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62303\Dropbox\USPS_032019\"/>
    </mc:Choice>
  </mc:AlternateContent>
  <xr:revisionPtr revIDLastSave="0" documentId="8_{B5888E1C-C7C5-4F1A-8CF8-F3031A168109}" xr6:coauthVersionLast="43" xr6:coauthVersionMax="43" xr10:uidLastSave="{00000000-0000-0000-0000-000000000000}"/>
  <bookViews>
    <workbookView xWindow="2370" yWindow="2850" windowWidth="24120" windowHeight="12675"/>
  </bookViews>
  <sheets>
    <sheet name="CBSA_ZIP_032019" sheetId="1" r:id="rId1"/>
  </sheets>
  <definedNames>
    <definedName name="_xlnm._FilterDatabase" localSheetId="0" hidden="1">CBSA_ZIP_032019!$A$1:$F$47281</definedName>
  </definedNames>
  <calcPr calcId="0"/>
</workbook>
</file>

<file path=xl/calcChain.xml><?xml version="1.0" encoding="utf-8"?>
<calcChain xmlns="http://schemas.openxmlformats.org/spreadsheetml/2006/main">
  <c r="A1" i="1" l="1"/>
  <c r="B1" i="1"/>
  <c r="C1" i="1"/>
  <c r="D1" i="1"/>
  <c r="E1" i="1"/>
  <c r="F1" i="1"/>
  <c r="A2" i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  <c r="A7456" i="1"/>
  <c r="B7456" i="1"/>
  <c r="A7457" i="1"/>
  <c r="B7457" i="1"/>
  <c r="A7458" i="1"/>
  <c r="B7458" i="1"/>
  <c r="A7459" i="1"/>
  <c r="B7459" i="1"/>
  <c r="A7460" i="1"/>
  <c r="B7460" i="1"/>
  <c r="A7461" i="1"/>
  <c r="B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A7470" i="1"/>
  <c r="B7470" i="1"/>
  <c r="A7471" i="1"/>
  <c r="B7471" i="1"/>
  <c r="A7472" i="1"/>
  <c r="B7472" i="1"/>
  <c r="A7473" i="1"/>
  <c r="B7473" i="1"/>
  <c r="A7474" i="1"/>
  <c r="B7474" i="1"/>
  <c r="A7475" i="1"/>
  <c r="B7475" i="1"/>
  <c r="A7476" i="1"/>
  <c r="B7476" i="1"/>
  <c r="A7477" i="1"/>
  <c r="B7477" i="1"/>
  <c r="A7478" i="1"/>
  <c r="B7478" i="1"/>
  <c r="A7479" i="1"/>
  <c r="B7479" i="1"/>
  <c r="A7480" i="1"/>
  <c r="B7480" i="1"/>
  <c r="A7481" i="1"/>
  <c r="B7481" i="1"/>
  <c r="A7482" i="1"/>
  <c r="B7482" i="1"/>
  <c r="A7483" i="1"/>
  <c r="B7483" i="1"/>
  <c r="A7484" i="1"/>
  <c r="B7484" i="1"/>
  <c r="A7485" i="1"/>
  <c r="B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B7493" i="1"/>
  <c r="A7494" i="1"/>
  <c r="B7494" i="1"/>
  <c r="A7495" i="1"/>
  <c r="B7495" i="1"/>
  <c r="A7496" i="1"/>
  <c r="B7496" i="1"/>
  <c r="A7497" i="1"/>
  <c r="B7497" i="1"/>
  <c r="A7498" i="1"/>
  <c r="B7498" i="1"/>
  <c r="A7499" i="1"/>
  <c r="B7499" i="1"/>
  <c r="A7500" i="1"/>
  <c r="B7500" i="1"/>
  <c r="A7501" i="1"/>
  <c r="B7501" i="1"/>
  <c r="A7502" i="1"/>
  <c r="B7502" i="1"/>
  <c r="A7503" i="1"/>
  <c r="B7503" i="1"/>
  <c r="A7504" i="1"/>
  <c r="B7504" i="1"/>
  <c r="A7505" i="1"/>
  <c r="B7505" i="1"/>
  <c r="A7506" i="1"/>
  <c r="B7506" i="1"/>
  <c r="A7507" i="1"/>
  <c r="B7507" i="1"/>
  <c r="A7508" i="1"/>
  <c r="B7508" i="1"/>
  <c r="A7509" i="1"/>
  <c r="B7509" i="1"/>
  <c r="A7510" i="1"/>
  <c r="B7510" i="1"/>
  <c r="A7511" i="1"/>
  <c r="B7511" i="1"/>
  <c r="A7512" i="1"/>
  <c r="B7512" i="1"/>
  <c r="A7513" i="1"/>
  <c r="B7513" i="1"/>
  <c r="A7514" i="1"/>
  <c r="B7514" i="1"/>
  <c r="A7515" i="1"/>
  <c r="B7515" i="1"/>
  <c r="A7516" i="1"/>
  <c r="B7516" i="1"/>
  <c r="A7517" i="1"/>
  <c r="B7517" i="1"/>
  <c r="A7518" i="1"/>
  <c r="B7518" i="1"/>
  <c r="A7519" i="1"/>
  <c r="B7519" i="1"/>
  <c r="A7520" i="1"/>
  <c r="B7520" i="1"/>
  <c r="A7521" i="1"/>
  <c r="B7521" i="1"/>
  <c r="A7522" i="1"/>
  <c r="B7522" i="1"/>
  <c r="A7523" i="1"/>
  <c r="B7523" i="1"/>
  <c r="A7524" i="1"/>
  <c r="B7524" i="1"/>
  <c r="A7525" i="1"/>
  <c r="B7525" i="1"/>
  <c r="A7526" i="1"/>
  <c r="B7526" i="1"/>
  <c r="A7527" i="1"/>
  <c r="B7527" i="1"/>
  <c r="A7528" i="1"/>
  <c r="B7528" i="1"/>
  <c r="A7529" i="1"/>
  <c r="B7529" i="1"/>
  <c r="A7530" i="1"/>
  <c r="B7530" i="1"/>
  <c r="A7531" i="1"/>
  <c r="B7531" i="1"/>
  <c r="A7532" i="1"/>
  <c r="B7532" i="1"/>
  <c r="A7533" i="1"/>
  <c r="B7533" i="1"/>
  <c r="A7534" i="1"/>
  <c r="B7534" i="1"/>
  <c r="A7535" i="1"/>
  <c r="B7535" i="1"/>
  <c r="A7536" i="1"/>
  <c r="B7536" i="1"/>
  <c r="A7537" i="1"/>
  <c r="B7537" i="1"/>
  <c r="A7538" i="1"/>
  <c r="B7538" i="1"/>
  <c r="A7539" i="1"/>
  <c r="B7539" i="1"/>
  <c r="A7540" i="1"/>
  <c r="B7540" i="1"/>
  <c r="A7541" i="1"/>
  <c r="B7541" i="1"/>
  <c r="A7542" i="1"/>
  <c r="B7542" i="1"/>
  <c r="A7543" i="1"/>
  <c r="B7543" i="1"/>
  <c r="A7544" i="1"/>
  <c r="B7544" i="1"/>
  <c r="A7545" i="1"/>
  <c r="B7545" i="1"/>
  <c r="A7546" i="1"/>
  <c r="B7546" i="1"/>
  <c r="A7547" i="1"/>
  <c r="B7547" i="1"/>
  <c r="A7548" i="1"/>
  <c r="B7548" i="1"/>
  <c r="A7549" i="1"/>
  <c r="B7549" i="1"/>
  <c r="A7550" i="1"/>
  <c r="B7550" i="1"/>
  <c r="A7551" i="1"/>
  <c r="B7551" i="1"/>
  <c r="A7552" i="1"/>
  <c r="B7552" i="1"/>
  <c r="A7553" i="1"/>
  <c r="B7553" i="1"/>
  <c r="A7554" i="1"/>
  <c r="B7554" i="1"/>
  <c r="A7555" i="1"/>
  <c r="B7555" i="1"/>
  <c r="A7556" i="1"/>
  <c r="B7556" i="1"/>
  <c r="A7557" i="1"/>
  <c r="B7557" i="1"/>
  <c r="A7558" i="1"/>
  <c r="B7558" i="1"/>
  <c r="A7559" i="1"/>
  <c r="B7559" i="1"/>
  <c r="A7560" i="1"/>
  <c r="B7560" i="1"/>
  <c r="A7561" i="1"/>
  <c r="B7561" i="1"/>
  <c r="A7562" i="1"/>
  <c r="B7562" i="1"/>
  <c r="A7563" i="1"/>
  <c r="B7563" i="1"/>
  <c r="A7564" i="1"/>
  <c r="B7564" i="1"/>
  <c r="A7565" i="1"/>
  <c r="B7565" i="1"/>
  <c r="A7566" i="1"/>
  <c r="B7566" i="1"/>
  <c r="A7567" i="1"/>
  <c r="B7567" i="1"/>
  <c r="A7568" i="1"/>
  <c r="B7568" i="1"/>
  <c r="A7569" i="1"/>
  <c r="B7569" i="1"/>
  <c r="A7570" i="1"/>
  <c r="B7570" i="1"/>
  <c r="A7571" i="1"/>
  <c r="B7571" i="1"/>
  <c r="A7572" i="1"/>
  <c r="B7572" i="1"/>
  <c r="A7573" i="1"/>
  <c r="B7573" i="1"/>
  <c r="A7574" i="1"/>
  <c r="B7574" i="1"/>
  <c r="A7575" i="1"/>
  <c r="B7575" i="1"/>
  <c r="A7576" i="1"/>
  <c r="B7576" i="1"/>
  <c r="A7577" i="1"/>
  <c r="B7577" i="1"/>
  <c r="A7578" i="1"/>
  <c r="B7578" i="1"/>
  <c r="A7579" i="1"/>
  <c r="B7579" i="1"/>
  <c r="A7580" i="1"/>
  <c r="B7580" i="1"/>
  <c r="A7581" i="1"/>
  <c r="B7581" i="1"/>
  <c r="A7582" i="1"/>
  <c r="B7582" i="1"/>
  <c r="A7583" i="1"/>
  <c r="B7583" i="1"/>
  <c r="A7584" i="1"/>
  <c r="B7584" i="1"/>
  <c r="A7585" i="1"/>
  <c r="B7585" i="1"/>
  <c r="A7586" i="1"/>
  <c r="B7586" i="1"/>
  <c r="A7587" i="1"/>
  <c r="B7587" i="1"/>
  <c r="A7588" i="1"/>
  <c r="B7588" i="1"/>
  <c r="A7589" i="1"/>
  <c r="B7589" i="1"/>
  <c r="A7590" i="1"/>
  <c r="B7590" i="1"/>
  <c r="A7591" i="1"/>
  <c r="B7591" i="1"/>
  <c r="A7592" i="1"/>
  <c r="B7592" i="1"/>
  <c r="A7593" i="1"/>
  <c r="B7593" i="1"/>
  <c r="A7594" i="1"/>
  <c r="B7594" i="1"/>
  <c r="A7595" i="1"/>
  <c r="B7595" i="1"/>
  <c r="A7596" i="1"/>
  <c r="B7596" i="1"/>
  <c r="A7597" i="1"/>
  <c r="B7597" i="1"/>
  <c r="A7598" i="1"/>
  <c r="B7598" i="1"/>
  <c r="A7599" i="1"/>
  <c r="B7599" i="1"/>
  <c r="A7600" i="1"/>
  <c r="B7600" i="1"/>
  <c r="A7601" i="1"/>
  <c r="B7601" i="1"/>
  <c r="A7602" i="1"/>
  <c r="B7602" i="1"/>
  <c r="A7603" i="1"/>
  <c r="B7603" i="1"/>
  <c r="A7604" i="1"/>
  <c r="B7604" i="1"/>
  <c r="A7605" i="1"/>
  <c r="B7605" i="1"/>
  <c r="A7606" i="1"/>
  <c r="B7606" i="1"/>
  <c r="A7607" i="1"/>
  <c r="B7607" i="1"/>
  <c r="A7608" i="1"/>
  <c r="B7608" i="1"/>
  <c r="A7609" i="1"/>
  <c r="B7609" i="1"/>
  <c r="A7610" i="1"/>
  <c r="B7610" i="1"/>
  <c r="A7611" i="1"/>
  <c r="B7611" i="1"/>
  <c r="A7612" i="1"/>
  <c r="B7612" i="1"/>
  <c r="A7613" i="1"/>
  <c r="B7613" i="1"/>
  <c r="A7614" i="1"/>
  <c r="B7614" i="1"/>
  <c r="A7615" i="1"/>
  <c r="B7615" i="1"/>
  <c r="A7616" i="1"/>
  <c r="B7616" i="1"/>
  <c r="A7617" i="1"/>
  <c r="B7617" i="1"/>
  <c r="A7618" i="1"/>
  <c r="B7618" i="1"/>
  <c r="A7619" i="1"/>
  <c r="B7619" i="1"/>
  <c r="A7620" i="1"/>
  <c r="B7620" i="1"/>
  <c r="A7621" i="1"/>
  <c r="B7621" i="1"/>
  <c r="A7622" i="1"/>
  <c r="B7622" i="1"/>
  <c r="A7623" i="1"/>
  <c r="B7623" i="1"/>
  <c r="A7624" i="1"/>
  <c r="B7624" i="1"/>
  <c r="A7625" i="1"/>
  <c r="B7625" i="1"/>
  <c r="A7626" i="1"/>
  <c r="B7626" i="1"/>
  <c r="A7627" i="1"/>
  <c r="B7627" i="1"/>
  <c r="A7628" i="1"/>
  <c r="B7628" i="1"/>
  <c r="A7629" i="1"/>
  <c r="B7629" i="1"/>
  <c r="A7630" i="1"/>
  <c r="B7630" i="1"/>
  <c r="A7631" i="1"/>
  <c r="B7631" i="1"/>
  <c r="A7632" i="1"/>
  <c r="B7632" i="1"/>
  <c r="A7633" i="1"/>
  <c r="B7633" i="1"/>
  <c r="A7634" i="1"/>
  <c r="B7634" i="1"/>
  <c r="A7635" i="1"/>
  <c r="B7635" i="1"/>
  <c r="A7636" i="1"/>
  <c r="B7636" i="1"/>
  <c r="A7637" i="1"/>
  <c r="B7637" i="1"/>
  <c r="A7638" i="1"/>
  <c r="B7638" i="1"/>
  <c r="A7639" i="1"/>
  <c r="B7639" i="1"/>
  <c r="A7640" i="1"/>
  <c r="B7640" i="1"/>
  <c r="A7641" i="1"/>
  <c r="B7641" i="1"/>
  <c r="A7642" i="1"/>
  <c r="B7642" i="1"/>
  <c r="A7643" i="1"/>
  <c r="B7643" i="1"/>
  <c r="A7644" i="1"/>
  <c r="B7644" i="1"/>
  <c r="A7645" i="1"/>
  <c r="B7645" i="1"/>
  <c r="A7646" i="1"/>
  <c r="B7646" i="1"/>
  <c r="A7647" i="1"/>
  <c r="B7647" i="1"/>
  <c r="A7648" i="1"/>
  <c r="B7648" i="1"/>
  <c r="A7649" i="1"/>
  <c r="B7649" i="1"/>
  <c r="A7650" i="1"/>
  <c r="B7650" i="1"/>
  <c r="A7651" i="1"/>
  <c r="B7651" i="1"/>
  <c r="A7652" i="1"/>
  <c r="B7652" i="1"/>
  <c r="A7653" i="1"/>
  <c r="B7653" i="1"/>
  <c r="A7654" i="1"/>
  <c r="B7654" i="1"/>
  <c r="A7655" i="1"/>
  <c r="B7655" i="1"/>
  <c r="A7656" i="1"/>
  <c r="B7656" i="1"/>
  <c r="A7657" i="1"/>
  <c r="B7657" i="1"/>
  <c r="A7658" i="1"/>
  <c r="B7658" i="1"/>
  <c r="A7659" i="1"/>
  <c r="B7659" i="1"/>
  <c r="A7660" i="1"/>
  <c r="B7660" i="1"/>
  <c r="A7661" i="1"/>
  <c r="B7661" i="1"/>
  <c r="A7662" i="1"/>
  <c r="B7662" i="1"/>
  <c r="A7663" i="1"/>
  <c r="B7663" i="1"/>
  <c r="A7664" i="1"/>
  <c r="B7664" i="1"/>
  <c r="A7665" i="1"/>
  <c r="B7665" i="1"/>
  <c r="A7666" i="1"/>
  <c r="B7666" i="1"/>
  <c r="A7667" i="1"/>
  <c r="B7667" i="1"/>
  <c r="A7668" i="1"/>
  <c r="B7668" i="1"/>
  <c r="A7669" i="1"/>
  <c r="B7669" i="1"/>
  <c r="A7670" i="1"/>
  <c r="B7670" i="1"/>
  <c r="A7671" i="1"/>
  <c r="B7671" i="1"/>
  <c r="A7672" i="1"/>
  <c r="B7672" i="1"/>
  <c r="A7673" i="1"/>
  <c r="B7673" i="1"/>
  <c r="A7674" i="1"/>
  <c r="B7674" i="1"/>
  <c r="A7675" i="1"/>
  <c r="B7675" i="1"/>
  <c r="A7676" i="1"/>
  <c r="B7676" i="1"/>
  <c r="A7677" i="1"/>
  <c r="B7677" i="1"/>
  <c r="A7678" i="1"/>
  <c r="B7678" i="1"/>
  <c r="A7679" i="1"/>
  <c r="B7679" i="1"/>
  <c r="A7680" i="1"/>
  <c r="B7680" i="1"/>
  <c r="A7681" i="1"/>
  <c r="B7681" i="1"/>
  <c r="A7682" i="1"/>
  <c r="B7682" i="1"/>
  <c r="A7683" i="1"/>
  <c r="B7683" i="1"/>
  <c r="A7684" i="1"/>
  <c r="B7684" i="1"/>
  <c r="A7685" i="1"/>
  <c r="B7685" i="1"/>
  <c r="A7686" i="1"/>
  <c r="B7686" i="1"/>
  <c r="A7687" i="1"/>
  <c r="B7687" i="1"/>
  <c r="A7688" i="1"/>
  <c r="B7688" i="1"/>
  <c r="A7689" i="1"/>
  <c r="B7689" i="1"/>
  <c r="A7690" i="1"/>
  <c r="B7690" i="1"/>
  <c r="A7691" i="1"/>
  <c r="B7691" i="1"/>
  <c r="A7692" i="1"/>
  <c r="B7692" i="1"/>
  <c r="A7693" i="1"/>
  <c r="B7693" i="1"/>
  <c r="A7694" i="1"/>
  <c r="B7694" i="1"/>
  <c r="A7695" i="1"/>
  <c r="B7695" i="1"/>
  <c r="A7696" i="1"/>
  <c r="B7696" i="1"/>
  <c r="A7697" i="1"/>
  <c r="B7697" i="1"/>
  <c r="A7698" i="1"/>
  <c r="B7698" i="1"/>
  <c r="A7699" i="1"/>
  <c r="B7699" i="1"/>
  <c r="A7700" i="1"/>
  <c r="B7700" i="1"/>
  <c r="A7701" i="1"/>
  <c r="B7701" i="1"/>
  <c r="A7702" i="1"/>
  <c r="B7702" i="1"/>
  <c r="A7703" i="1"/>
  <c r="B7703" i="1"/>
  <c r="A7704" i="1"/>
  <c r="B7704" i="1"/>
  <c r="A7705" i="1"/>
  <c r="B7705" i="1"/>
  <c r="A7706" i="1"/>
  <c r="B7706" i="1"/>
  <c r="A7707" i="1"/>
  <c r="B7707" i="1"/>
  <c r="A7708" i="1"/>
  <c r="B7708" i="1"/>
  <c r="A7709" i="1"/>
  <c r="B7709" i="1"/>
  <c r="A7710" i="1"/>
  <c r="B7710" i="1"/>
  <c r="A7711" i="1"/>
  <c r="B7711" i="1"/>
  <c r="A7712" i="1"/>
  <c r="B7712" i="1"/>
  <c r="A7713" i="1"/>
  <c r="B7713" i="1"/>
  <c r="A7714" i="1"/>
  <c r="B7714" i="1"/>
  <c r="A7715" i="1"/>
  <c r="B7715" i="1"/>
  <c r="A7716" i="1"/>
  <c r="B7716" i="1"/>
  <c r="A7717" i="1"/>
  <c r="B7717" i="1"/>
  <c r="A7718" i="1"/>
  <c r="B7718" i="1"/>
  <c r="A7719" i="1"/>
  <c r="B7719" i="1"/>
  <c r="A7720" i="1"/>
  <c r="B7720" i="1"/>
  <c r="A7721" i="1"/>
  <c r="B7721" i="1"/>
  <c r="A7722" i="1"/>
  <c r="B7722" i="1"/>
  <c r="A7723" i="1"/>
  <c r="B7723" i="1"/>
  <c r="A7724" i="1"/>
  <c r="B7724" i="1"/>
  <c r="A7725" i="1"/>
  <c r="B7725" i="1"/>
  <c r="A7726" i="1"/>
  <c r="B7726" i="1"/>
  <c r="A7727" i="1"/>
  <c r="B7727" i="1"/>
  <c r="A7728" i="1"/>
  <c r="B7728" i="1"/>
  <c r="A7729" i="1"/>
  <c r="B7729" i="1"/>
  <c r="A7730" i="1"/>
  <c r="B7730" i="1"/>
  <c r="A7731" i="1"/>
  <c r="B7731" i="1"/>
  <c r="A7732" i="1"/>
  <c r="B7732" i="1"/>
  <c r="A7733" i="1"/>
  <c r="B7733" i="1"/>
  <c r="A7734" i="1"/>
  <c r="B7734" i="1"/>
  <c r="A7735" i="1"/>
  <c r="B7735" i="1"/>
  <c r="A7736" i="1"/>
  <c r="B7736" i="1"/>
  <c r="A7737" i="1"/>
  <c r="B7737" i="1"/>
  <c r="A7738" i="1"/>
  <c r="B7738" i="1"/>
  <c r="A7739" i="1"/>
  <c r="B7739" i="1"/>
  <c r="A7740" i="1"/>
  <c r="B7740" i="1"/>
  <c r="A7741" i="1"/>
  <c r="B7741" i="1"/>
  <c r="A7742" i="1"/>
  <c r="B7742" i="1"/>
  <c r="A7743" i="1"/>
  <c r="B7743" i="1"/>
  <c r="A7744" i="1"/>
  <c r="B7744" i="1"/>
  <c r="A7745" i="1"/>
  <c r="B7745" i="1"/>
  <c r="A7746" i="1"/>
  <c r="B7746" i="1"/>
  <c r="A7747" i="1"/>
  <c r="B7747" i="1"/>
  <c r="A7748" i="1"/>
  <c r="B7748" i="1"/>
  <c r="A7749" i="1"/>
  <c r="B7749" i="1"/>
  <c r="A7750" i="1"/>
  <c r="B7750" i="1"/>
  <c r="A7751" i="1"/>
  <c r="B7751" i="1"/>
  <c r="A7752" i="1"/>
  <c r="B7752" i="1"/>
  <c r="A7753" i="1"/>
  <c r="B7753" i="1"/>
  <c r="A7754" i="1"/>
  <c r="B7754" i="1"/>
  <c r="A7755" i="1"/>
  <c r="B7755" i="1"/>
  <c r="A7756" i="1"/>
  <c r="B7756" i="1"/>
  <c r="A7757" i="1"/>
  <c r="B7757" i="1"/>
  <c r="A7758" i="1"/>
  <c r="B7758" i="1"/>
  <c r="A7759" i="1"/>
  <c r="B7759" i="1"/>
  <c r="A7760" i="1"/>
  <c r="B7760" i="1"/>
  <c r="A7761" i="1"/>
  <c r="B7761" i="1"/>
  <c r="A7762" i="1"/>
  <c r="B7762" i="1"/>
  <c r="A7763" i="1"/>
  <c r="B7763" i="1"/>
  <c r="A7764" i="1"/>
  <c r="B7764" i="1"/>
  <c r="A7765" i="1"/>
  <c r="B7765" i="1"/>
  <c r="A7766" i="1"/>
  <c r="B7766" i="1"/>
  <c r="A7767" i="1"/>
  <c r="B7767" i="1"/>
  <c r="A7768" i="1"/>
  <c r="B7768" i="1"/>
  <c r="A7769" i="1"/>
  <c r="B7769" i="1"/>
  <c r="A7770" i="1"/>
  <c r="B7770" i="1"/>
  <c r="A7771" i="1"/>
  <c r="B7771" i="1"/>
  <c r="A7772" i="1"/>
  <c r="B7772" i="1"/>
  <c r="A7773" i="1"/>
  <c r="B7773" i="1"/>
  <c r="A7774" i="1"/>
  <c r="B7774" i="1"/>
  <c r="A7775" i="1"/>
  <c r="B7775" i="1"/>
  <c r="A7776" i="1"/>
  <c r="B7776" i="1"/>
  <c r="A7777" i="1"/>
  <c r="B7777" i="1"/>
  <c r="A7778" i="1"/>
  <c r="B7778" i="1"/>
  <c r="A7779" i="1"/>
  <c r="B7779" i="1"/>
  <c r="A7780" i="1"/>
  <c r="B7780" i="1"/>
  <c r="A7781" i="1"/>
  <c r="B7781" i="1"/>
  <c r="A7782" i="1"/>
  <c r="B7782" i="1"/>
  <c r="A7783" i="1"/>
  <c r="B7783" i="1"/>
  <c r="A7784" i="1"/>
  <c r="B7784" i="1"/>
  <c r="A7785" i="1"/>
  <c r="B7785" i="1"/>
  <c r="A7786" i="1"/>
  <c r="B7786" i="1"/>
  <c r="A7787" i="1"/>
  <c r="B7787" i="1"/>
  <c r="A7788" i="1"/>
  <c r="B7788" i="1"/>
  <c r="A7789" i="1"/>
  <c r="B7789" i="1"/>
  <c r="A7790" i="1"/>
  <c r="B7790" i="1"/>
  <c r="A7791" i="1"/>
  <c r="B7791" i="1"/>
  <c r="A7792" i="1"/>
  <c r="B7792" i="1"/>
  <c r="A7793" i="1"/>
  <c r="B7793" i="1"/>
  <c r="A7794" i="1"/>
  <c r="B7794" i="1"/>
  <c r="A7795" i="1"/>
  <c r="B7795" i="1"/>
  <c r="A7796" i="1"/>
  <c r="B7796" i="1"/>
  <c r="A7797" i="1"/>
  <c r="B7797" i="1"/>
  <c r="A7798" i="1"/>
  <c r="B7798" i="1"/>
  <c r="A7799" i="1"/>
  <c r="B7799" i="1"/>
  <c r="A7800" i="1"/>
  <c r="B7800" i="1"/>
  <c r="A7801" i="1"/>
  <c r="B7801" i="1"/>
  <c r="A7802" i="1"/>
  <c r="B7802" i="1"/>
  <c r="A7803" i="1"/>
  <c r="B7803" i="1"/>
  <c r="A7804" i="1"/>
  <c r="B7804" i="1"/>
  <c r="A7805" i="1"/>
  <c r="B7805" i="1"/>
  <c r="A7806" i="1"/>
  <c r="B7806" i="1"/>
  <c r="A7807" i="1"/>
  <c r="B7807" i="1"/>
  <c r="A7808" i="1"/>
  <c r="B7808" i="1"/>
  <c r="A7809" i="1"/>
  <c r="B7809" i="1"/>
  <c r="A7810" i="1"/>
  <c r="B7810" i="1"/>
  <c r="A7811" i="1"/>
  <c r="B7811" i="1"/>
  <c r="A7812" i="1"/>
  <c r="B7812" i="1"/>
  <c r="A7813" i="1"/>
  <c r="B7813" i="1"/>
  <c r="A7814" i="1"/>
  <c r="B7814" i="1"/>
  <c r="A7815" i="1"/>
  <c r="B7815" i="1"/>
  <c r="A7816" i="1"/>
  <c r="B7816" i="1"/>
  <c r="A7817" i="1"/>
  <c r="B7817" i="1"/>
  <c r="A7818" i="1"/>
  <c r="B7818" i="1"/>
  <c r="A7819" i="1"/>
  <c r="B7819" i="1"/>
  <c r="A7820" i="1"/>
  <c r="B7820" i="1"/>
  <c r="A7821" i="1"/>
  <c r="B7821" i="1"/>
  <c r="A7822" i="1"/>
  <c r="B7822" i="1"/>
  <c r="A7823" i="1"/>
  <c r="B7823" i="1"/>
  <c r="A7824" i="1"/>
  <c r="B7824" i="1"/>
  <c r="A7825" i="1"/>
  <c r="B7825" i="1"/>
  <c r="A7826" i="1"/>
  <c r="B7826" i="1"/>
  <c r="A7827" i="1"/>
  <c r="B7827" i="1"/>
  <c r="A7828" i="1"/>
  <c r="B7828" i="1"/>
  <c r="A7829" i="1"/>
  <c r="B7829" i="1"/>
  <c r="A7830" i="1"/>
  <c r="B7830" i="1"/>
  <c r="A7831" i="1"/>
  <c r="B7831" i="1"/>
  <c r="A7832" i="1"/>
  <c r="B7832" i="1"/>
  <c r="A7833" i="1"/>
  <c r="B7833" i="1"/>
  <c r="A7834" i="1"/>
  <c r="B7834" i="1"/>
  <c r="A7835" i="1"/>
  <c r="B7835" i="1"/>
  <c r="A7836" i="1"/>
  <c r="B7836" i="1"/>
  <c r="A7837" i="1"/>
  <c r="B7837" i="1"/>
  <c r="A7838" i="1"/>
  <c r="B7838" i="1"/>
  <c r="A7839" i="1"/>
  <c r="B7839" i="1"/>
  <c r="A7840" i="1"/>
  <c r="B7840" i="1"/>
  <c r="A7841" i="1"/>
  <c r="B7841" i="1"/>
  <c r="A7842" i="1"/>
  <c r="B7842" i="1"/>
  <c r="A7843" i="1"/>
  <c r="B7843" i="1"/>
  <c r="A7844" i="1"/>
  <c r="B7844" i="1"/>
  <c r="A7845" i="1"/>
  <c r="B7845" i="1"/>
  <c r="A7846" i="1"/>
  <c r="B7846" i="1"/>
  <c r="A7847" i="1"/>
  <c r="B7847" i="1"/>
  <c r="A7848" i="1"/>
  <c r="B7848" i="1"/>
  <c r="A7849" i="1"/>
  <c r="B7849" i="1"/>
  <c r="A7850" i="1"/>
  <c r="B7850" i="1"/>
  <c r="A7851" i="1"/>
  <c r="B7851" i="1"/>
  <c r="A7852" i="1"/>
  <c r="B7852" i="1"/>
  <c r="A7853" i="1"/>
  <c r="B7853" i="1"/>
  <c r="A7854" i="1"/>
  <c r="B7854" i="1"/>
  <c r="A7855" i="1"/>
  <c r="B7855" i="1"/>
  <c r="A7856" i="1"/>
  <c r="B7856" i="1"/>
  <c r="A7857" i="1"/>
  <c r="B7857" i="1"/>
  <c r="A7858" i="1"/>
  <c r="B7858" i="1"/>
  <c r="A7859" i="1"/>
  <c r="B7859" i="1"/>
  <c r="A7860" i="1"/>
  <c r="B7860" i="1"/>
  <c r="A7861" i="1"/>
  <c r="B7861" i="1"/>
  <c r="A7862" i="1"/>
  <c r="B7862" i="1"/>
  <c r="A7863" i="1"/>
  <c r="B7863" i="1"/>
  <c r="A7864" i="1"/>
  <c r="B7864" i="1"/>
  <c r="A7865" i="1"/>
  <c r="B7865" i="1"/>
  <c r="A7866" i="1"/>
  <c r="B7866" i="1"/>
  <c r="A7867" i="1"/>
  <c r="B7867" i="1"/>
  <c r="A7868" i="1"/>
  <c r="B7868" i="1"/>
  <c r="A7869" i="1"/>
  <c r="B7869" i="1"/>
  <c r="A7870" i="1"/>
  <c r="B7870" i="1"/>
  <c r="A7871" i="1"/>
  <c r="B7871" i="1"/>
  <c r="A7872" i="1"/>
  <c r="B7872" i="1"/>
  <c r="A7873" i="1"/>
  <c r="B7873" i="1"/>
  <c r="A7874" i="1"/>
  <c r="B7874" i="1"/>
  <c r="A7875" i="1"/>
  <c r="B7875" i="1"/>
  <c r="A7876" i="1"/>
  <c r="B7876" i="1"/>
  <c r="A7877" i="1"/>
  <c r="B7877" i="1"/>
  <c r="A7878" i="1"/>
  <c r="B7878" i="1"/>
  <c r="A7879" i="1"/>
  <c r="B7879" i="1"/>
  <c r="A7880" i="1"/>
  <c r="B7880" i="1"/>
  <c r="A7881" i="1"/>
  <c r="B7881" i="1"/>
  <c r="A7882" i="1"/>
  <c r="B7882" i="1"/>
  <c r="A7883" i="1"/>
  <c r="B7883" i="1"/>
  <c r="A7884" i="1"/>
  <c r="B7884" i="1"/>
  <c r="A7885" i="1"/>
  <c r="B7885" i="1"/>
  <c r="A7886" i="1"/>
  <c r="B7886" i="1"/>
  <c r="A7887" i="1"/>
  <c r="B7887" i="1"/>
  <c r="A7888" i="1"/>
  <c r="B7888" i="1"/>
  <c r="A7889" i="1"/>
  <c r="B7889" i="1"/>
  <c r="A7890" i="1"/>
  <c r="B7890" i="1"/>
  <c r="A7891" i="1"/>
  <c r="B7891" i="1"/>
  <c r="A7892" i="1"/>
  <c r="B7892" i="1"/>
  <c r="A7893" i="1"/>
  <c r="B7893" i="1"/>
  <c r="A7894" i="1"/>
  <c r="B7894" i="1"/>
  <c r="A7895" i="1"/>
  <c r="B7895" i="1"/>
  <c r="A7896" i="1"/>
  <c r="B7896" i="1"/>
  <c r="A7897" i="1"/>
  <c r="B7897" i="1"/>
  <c r="A7898" i="1"/>
  <c r="B7898" i="1"/>
  <c r="A7899" i="1"/>
  <c r="B7899" i="1"/>
  <c r="A7900" i="1"/>
  <c r="B7900" i="1"/>
  <c r="A7901" i="1"/>
  <c r="B7901" i="1"/>
  <c r="A7902" i="1"/>
  <c r="B7902" i="1"/>
  <c r="A7903" i="1"/>
  <c r="B7903" i="1"/>
  <c r="A7904" i="1"/>
  <c r="B7904" i="1"/>
  <c r="A7905" i="1"/>
  <c r="B7905" i="1"/>
  <c r="A7906" i="1"/>
  <c r="B7906" i="1"/>
  <c r="A7907" i="1"/>
  <c r="B7907" i="1"/>
  <c r="A7908" i="1"/>
  <c r="B7908" i="1"/>
  <c r="A7909" i="1"/>
  <c r="B7909" i="1"/>
  <c r="A7910" i="1"/>
  <c r="B7910" i="1"/>
  <c r="A7911" i="1"/>
  <c r="B7911" i="1"/>
  <c r="A7912" i="1"/>
  <c r="B7912" i="1"/>
  <c r="A7913" i="1"/>
  <c r="B7913" i="1"/>
  <c r="A7914" i="1"/>
  <c r="B7914" i="1"/>
  <c r="A7915" i="1"/>
  <c r="B7915" i="1"/>
  <c r="A7916" i="1"/>
  <c r="B7916" i="1"/>
  <c r="A7917" i="1"/>
  <c r="B7917" i="1"/>
  <c r="A7918" i="1"/>
  <c r="B7918" i="1"/>
  <c r="A7919" i="1"/>
  <c r="B7919" i="1"/>
  <c r="A7920" i="1"/>
  <c r="B7920" i="1"/>
  <c r="A7921" i="1"/>
  <c r="B7921" i="1"/>
  <c r="A7922" i="1"/>
  <c r="B7922" i="1"/>
  <c r="A7923" i="1"/>
  <c r="B7923" i="1"/>
  <c r="A7924" i="1"/>
  <c r="B7924" i="1"/>
  <c r="A7925" i="1"/>
  <c r="B7925" i="1"/>
  <c r="A7926" i="1"/>
  <c r="B7926" i="1"/>
  <c r="A7927" i="1"/>
  <c r="B7927" i="1"/>
  <c r="A7928" i="1"/>
  <c r="B7928" i="1"/>
  <c r="A7929" i="1"/>
  <c r="B7929" i="1"/>
  <c r="A7930" i="1"/>
  <c r="B7930" i="1"/>
  <c r="A7931" i="1"/>
  <c r="B7931" i="1"/>
  <c r="A7932" i="1"/>
  <c r="B7932" i="1"/>
  <c r="A7933" i="1"/>
  <c r="B7933" i="1"/>
  <c r="A7934" i="1"/>
  <c r="B7934" i="1"/>
  <c r="A7935" i="1"/>
  <c r="B7935" i="1"/>
  <c r="A7936" i="1"/>
  <c r="B7936" i="1"/>
  <c r="A7937" i="1"/>
  <c r="B7937" i="1"/>
  <c r="A7938" i="1"/>
  <c r="B7938" i="1"/>
  <c r="A7939" i="1"/>
  <c r="B7939" i="1"/>
  <c r="A7940" i="1"/>
  <c r="B7940" i="1"/>
  <c r="A7941" i="1"/>
  <c r="B7941" i="1"/>
  <c r="A7942" i="1"/>
  <c r="B7942" i="1"/>
  <c r="A7943" i="1"/>
  <c r="B7943" i="1"/>
  <c r="A7944" i="1"/>
  <c r="B7944" i="1"/>
  <c r="A7945" i="1"/>
  <c r="B7945" i="1"/>
  <c r="A7946" i="1"/>
  <c r="B7946" i="1"/>
  <c r="A7947" i="1"/>
  <c r="B7947" i="1"/>
  <c r="A7948" i="1"/>
  <c r="B7948" i="1"/>
  <c r="A7949" i="1"/>
  <c r="B7949" i="1"/>
  <c r="A7950" i="1"/>
  <c r="B7950" i="1"/>
  <c r="A7951" i="1"/>
  <c r="B7951" i="1"/>
  <c r="A7952" i="1"/>
  <c r="B7952" i="1"/>
  <c r="A7953" i="1"/>
  <c r="B7953" i="1"/>
  <c r="A7954" i="1"/>
  <c r="B7954" i="1"/>
  <c r="A7955" i="1"/>
  <c r="B7955" i="1"/>
  <c r="A7956" i="1"/>
  <c r="B7956" i="1"/>
  <c r="A7957" i="1"/>
  <c r="B7957" i="1"/>
  <c r="A7958" i="1"/>
  <c r="B7958" i="1"/>
  <c r="A7959" i="1"/>
  <c r="B7959" i="1"/>
  <c r="A7960" i="1"/>
  <c r="B7960" i="1"/>
  <c r="A7961" i="1"/>
  <c r="B7961" i="1"/>
  <c r="A7962" i="1"/>
  <c r="B7962" i="1"/>
  <c r="A7963" i="1"/>
  <c r="B7963" i="1"/>
  <c r="A7964" i="1"/>
  <c r="B7964" i="1"/>
  <c r="A7965" i="1"/>
  <c r="B7965" i="1"/>
  <c r="A7966" i="1"/>
  <c r="B7966" i="1"/>
  <c r="A7967" i="1"/>
  <c r="B7967" i="1"/>
  <c r="A7968" i="1"/>
  <c r="B7968" i="1"/>
  <c r="A7969" i="1"/>
  <c r="B7969" i="1"/>
  <c r="A7970" i="1"/>
  <c r="B7970" i="1"/>
  <c r="A7971" i="1"/>
  <c r="B7971" i="1"/>
  <c r="A7972" i="1"/>
  <c r="B7972" i="1"/>
  <c r="A7973" i="1"/>
  <c r="B7973" i="1"/>
  <c r="A7974" i="1"/>
  <c r="B7974" i="1"/>
  <c r="A7975" i="1"/>
  <c r="B7975" i="1"/>
  <c r="A7976" i="1"/>
  <c r="B7976" i="1"/>
  <c r="A7977" i="1"/>
  <c r="B7977" i="1"/>
  <c r="A7978" i="1"/>
  <c r="B7978" i="1"/>
  <c r="A7979" i="1"/>
  <c r="B7979" i="1"/>
  <c r="A7980" i="1"/>
  <c r="B7980" i="1"/>
  <c r="A7981" i="1"/>
  <c r="B7981" i="1"/>
  <c r="A7982" i="1"/>
  <c r="B7982" i="1"/>
  <c r="A7983" i="1"/>
  <c r="B7983" i="1"/>
  <c r="A7984" i="1"/>
  <c r="B7984" i="1"/>
  <c r="A7985" i="1"/>
  <c r="B7985" i="1"/>
  <c r="A7986" i="1"/>
  <c r="B7986" i="1"/>
  <c r="A7987" i="1"/>
  <c r="B7987" i="1"/>
  <c r="A7988" i="1"/>
  <c r="B7988" i="1"/>
  <c r="A7989" i="1"/>
  <c r="B7989" i="1"/>
  <c r="A7990" i="1"/>
  <c r="B7990" i="1"/>
  <c r="A7991" i="1"/>
  <c r="B7991" i="1"/>
  <c r="A7992" i="1"/>
  <c r="B7992" i="1"/>
  <c r="A7993" i="1"/>
  <c r="B7993" i="1"/>
  <c r="A7994" i="1"/>
  <c r="B7994" i="1"/>
  <c r="A7995" i="1"/>
  <c r="B7995" i="1"/>
  <c r="A7996" i="1"/>
  <c r="B7996" i="1"/>
  <c r="A7997" i="1"/>
  <c r="B7997" i="1"/>
  <c r="A7998" i="1"/>
  <c r="B7998" i="1"/>
  <c r="A7999" i="1"/>
  <c r="B7999" i="1"/>
  <c r="A8000" i="1"/>
  <c r="B8000" i="1"/>
  <c r="A8001" i="1"/>
  <c r="B8001" i="1"/>
  <c r="A8002" i="1"/>
  <c r="B8002" i="1"/>
  <c r="A8003" i="1"/>
  <c r="B8003" i="1"/>
  <c r="A8004" i="1"/>
  <c r="B8004" i="1"/>
  <c r="A8005" i="1"/>
  <c r="B8005" i="1"/>
  <c r="A8006" i="1"/>
  <c r="B8006" i="1"/>
  <c r="A8007" i="1"/>
  <c r="B8007" i="1"/>
  <c r="A8008" i="1"/>
  <c r="B8008" i="1"/>
  <c r="A8009" i="1"/>
  <c r="B8009" i="1"/>
  <c r="A8010" i="1"/>
  <c r="B8010" i="1"/>
  <c r="A8011" i="1"/>
  <c r="B8011" i="1"/>
  <c r="A8012" i="1"/>
  <c r="B8012" i="1"/>
  <c r="A8013" i="1"/>
  <c r="B8013" i="1"/>
  <c r="A8014" i="1"/>
  <c r="B8014" i="1"/>
  <c r="A8015" i="1"/>
  <c r="B8015" i="1"/>
  <c r="A8016" i="1"/>
  <c r="B8016" i="1"/>
  <c r="A8017" i="1"/>
  <c r="B8017" i="1"/>
  <c r="A8018" i="1"/>
  <c r="B8018" i="1"/>
  <c r="A8019" i="1"/>
  <c r="B8019" i="1"/>
  <c r="A8020" i="1"/>
  <c r="B8020" i="1"/>
  <c r="A8021" i="1"/>
  <c r="B8021" i="1"/>
  <c r="A8022" i="1"/>
  <c r="B8022" i="1"/>
  <c r="A8023" i="1"/>
  <c r="B8023" i="1"/>
  <c r="A8024" i="1"/>
  <c r="B8024" i="1"/>
  <c r="A8025" i="1"/>
  <c r="B8025" i="1"/>
  <c r="A8026" i="1"/>
  <c r="B8026" i="1"/>
  <c r="A8027" i="1"/>
  <c r="B8027" i="1"/>
  <c r="A8028" i="1"/>
  <c r="B8028" i="1"/>
  <c r="A8029" i="1"/>
  <c r="B8029" i="1"/>
  <c r="A8030" i="1"/>
  <c r="B8030" i="1"/>
  <c r="A8031" i="1"/>
  <c r="B8031" i="1"/>
  <c r="A8032" i="1"/>
  <c r="B8032" i="1"/>
  <c r="A8033" i="1"/>
  <c r="B8033" i="1"/>
  <c r="A8034" i="1"/>
  <c r="B8034" i="1"/>
  <c r="A8035" i="1"/>
  <c r="B8035" i="1"/>
  <c r="A8036" i="1"/>
  <c r="B8036" i="1"/>
  <c r="A8037" i="1"/>
  <c r="B8037" i="1"/>
  <c r="A8038" i="1"/>
  <c r="B8038" i="1"/>
  <c r="A8039" i="1"/>
  <c r="B8039" i="1"/>
  <c r="A8040" i="1"/>
  <c r="B8040" i="1"/>
  <c r="A8041" i="1"/>
  <c r="B8041" i="1"/>
  <c r="A8042" i="1"/>
  <c r="B8042" i="1"/>
  <c r="A8043" i="1"/>
  <c r="B8043" i="1"/>
  <c r="A8044" i="1"/>
  <c r="B8044" i="1"/>
  <c r="A8045" i="1"/>
  <c r="B8045" i="1"/>
  <c r="A8046" i="1"/>
  <c r="B8046" i="1"/>
  <c r="A8047" i="1"/>
  <c r="B8047" i="1"/>
  <c r="A8048" i="1"/>
  <c r="B8048" i="1"/>
  <c r="A8049" i="1"/>
  <c r="B8049" i="1"/>
  <c r="A8050" i="1"/>
  <c r="B8050" i="1"/>
  <c r="A8051" i="1"/>
  <c r="B8051" i="1"/>
  <c r="A8052" i="1"/>
  <c r="B8052" i="1"/>
  <c r="A8053" i="1"/>
  <c r="B8053" i="1"/>
  <c r="A8054" i="1"/>
  <c r="B8054" i="1"/>
  <c r="A8055" i="1"/>
  <c r="B8055" i="1"/>
  <c r="A8056" i="1"/>
  <c r="B8056" i="1"/>
  <c r="A8057" i="1"/>
  <c r="B8057" i="1"/>
  <c r="A8058" i="1"/>
  <c r="B8058" i="1"/>
  <c r="A8059" i="1"/>
  <c r="B8059" i="1"/>
  <c r="A8060" i="1"/>
  <c r="B8060" i="1"/>
  <c r="A8061" i="1"/>
  <c r="B8061" i="1"/>
  <c r="A8062" i="1"/>
  <c r="B8062" i="1"/>
  <c r="A8063" i="1"/>
  <c r="B8063" i="1"/>
  <c r="A8064" i="1"/>
  <c r="B8064" i="1"/>
  <c r="A8065" i="1"/>
  <c r="B8065" i="1"/>
  <c r="A8066" i="1"/>
  <c r="B8066" i="1"/>
  <c r="A8067" i="1"/>
  <c r="B8067" i="1"/>
  <c r="A8068" i="1"/>
  <c r="B8068" i="1"/>
  <c r="A8069" i="1"/>
  <c r="B8069" i="1"/>
  <c r="A8070" i="1"/>
  <c r="B8070" i="1"/>
  <c r="A8071" i="1"/>
  <c r="B8071" i="1"/>
  <c r="A8072" i="1"/>
  <c r="B8072" i="1"/>
  <c r="A8073" i="1"/>
  <c r="B8073" i="1"/>
  <c r="A8074" i="1"/>
  <c r="B8074" i="1"/>
  <c r="A8075" i="1"/>
  <c r="B8075" i="1"/>
  <c r="A8076" i="1"/>
  <c r="B8076" i="1"/>
  <c r="A8077" i="1"/>
  <c r="B8077" i="1"/>
  <c r="A8078" i="1"/>
  <c r="B8078" i="1"/>
  <c r="A8079" i="1"/>
  <c r="B8079" i="1"/>
  <c r="A8080" i="1"/>
  <c r="B8080" i="1"/>
  <c r="A8081" i="1"/>
  <c r="B8081" i="1"/>
  <c r="A8082" i="1"/>
  <c r="B8082" i="1"/>
  <c r="A8083" i="1"/>
  <c r="B8083" i="1"/>
  <c r="A8084" i="1"/>
  <c r="B8084" i="1"/>
  <c r="A8085" i="1"/>
  <c r="B8085" i="1"/>
  <c r="A8086" i="1"/>
  <c r="B8086" i="1"/>
  <c r="A8087" i="1"/>
  <c r="B8087" i="1"/>
  <c r="A8088" i="1"/>
  <c r="B8088" i="1"/>
  <c r="A8089" i="1"/>
  <c r="B8089" i="1"/>
  <c r="A8090" i="1"/>
  <c r="B8090" i="1"/>
  <c r="A8091" i="1"/>
  <c r="B8091" i="1"/>
  <c r="A8092" i="1"/>
  <c r="B8092" i="1"/>
  <c r="A8093" i="1"/>
  <c r="B8093" i="1"/>
  <c r="A8094" i="1"/>
  <c r="B8094" i="1"/>
  <c r="A8095" i="1"/>
  <c r="B8095" i="1"/>
  <c r="A8096" i="1"/>
  <c r="B8096" i="1"/>
  <c r="A8097" i="1"/>
  <c r="B8097" i="1"/>
  <c r="A8098" i="1"/>
  <c r="B8098" i="1"/>
  <c r="A8099" i="1"/>
  <c r="B8099" i="1"/>
  <c r="A8100" i="1"/>
  <c r="B8100" i="1"/>
  <c r="A8101" i="1"/>
  <c r="B8101" i="1"/>
  <c r="A8102" i="1"/>
  <c r="B8102" i="1"/>
  <c r="A8103" i="1"/>
  <c r="B8103" i="1"/>
  <c r="A8104" i="1"/>
  <c r="B8104" i="1"/>
  <c r="A8105" i="1"/>
  <c r="B8105" i="1"/>
  <c r="A8106" i="1"/>
  <c r="B8106" i="1"/>
  <c r="A8107" i="1"/>
  <c r="B8107" i="1"/>
  <c r="A8108" i="1"/>
  <c r="B8108" i="1"/>
  <c r="A8109" i="1"/>
  <c r="B8109" i="1"/>
  <c r="A8110" i="1"/>
  <c r="B8110" i="1"/>
  <c r="A8111" i="1"/>
  <c r="B8111" i="1"/>
  <c r="A8112" i="1"/>
  <c r="B8112" i="1"/>
  <c r="A8113" i="1"/>
  <c r="B8113" i="1"/>
  <c r="A8114" i="1"/>
  <c r="B8114" i="1"/>
  <c r="A8115" i="1"/>
  <c r="B8115" i="1"/>
  <c r="A8116" i="1"/>
  <c r="B8116" i="1"/>
  <c r="A8117" i="1"/>
  <c r="B8117" i="1"/>
  <c r="A8118" i="1"/>
  <c r="B8118" i="1"/>
  <c r="A8119" i="1"/>
  <c r="B8119" i="1"/>
  <c r="A8120" i="1"/>
  <c r="B8120" i="1"/>
  <c r="A8121" i="1"/>
  <c r="B8121" i="1"/>
  <c r="A8122" i="1"/>
  <c r="B8122" i="1"/>
  <c r="A8123" i="1"/>
  <c r="B8123" i="1"/>
  <c r="A8124" i="1"/>
  <c r="B8124" i="1"/>
  <c r="A8125" i="1"/>
  <c r="B8125" i="1"/>
  <c r="A8126" i="1"/>
  <c r="B8126" i="1"/>
  <c r="A8127" i="1"/>
  <c r="B8127" i="1"/>
  <c r="A8128" i="1"/>
  <c r="B8128" i="1"/>
  <c r="A8129" i="1"/>
  <c r="B8129" i="1"/>
  <c r="A8130" i="1"/>
  <c r="B8130" i="1"/>
  <c r="A8131" i="1"/>
  <c r="B8131" i="1"/>
  <c r="A8132" i="1"/>
  <c r="B8132" i="1"/>
  <c r="A8133" i="1"/>
  <c r="B8133" i="1"/>
  <c r="A8134" i="1"/>
  <c r="B8134" i="1"/>
  <c r="A8135" i="1"/>
  <c r="B8135" i="1"/>
  <c r="A8136" i="1"/>
  <c r="B8136" i="1"/>
  <c r="A8137" i="1"/>
  <c r="B8137" i="1"/>
  <c r="A8138" i="1"/>
  <c r="B8138" i="1"/>
  <c r="A8139" i="1"/>
  <c r="B8139" i="1"/>
  <c r="A8140" i="1"/>
  <c r="B8140" i="1"/>
  <c r="A8141" i="1"/>
  <c r="B8141" i="1"/>
  <c r="A8142" i="1"/>
  <c r="B8142" i="1"/>
  <c r="A8143" i="1"/>
  <c r="B8143" i="1"/>
  <c r="A8144" i="1"/>
  <c r="B8144" i="1"/>
  <c r="A8145" i="1"/>
  <c r="B8145" i="1"/>
  <c r="A8146" i="1"/>
  <c r="B8146" i="1"/>
  <c r="A8147" i="1"/>
  <c r="B8147" i="1"/>
  <c r="A8148" i="1"/>
  <c r="B8148" i="1"/>
  <c r="A8149" i="1"/>
  <c r="B8149" i="1"/>
  <c r="A8150" i="1"/>
  <c r="B8150" i="1"/>
  <c r="A8151" i="1"/>
  <c r="B8151" i="1"/>
  <c r="A8152" i="1"/>
  <c r="B8152" i="1"/>
  <c r="A8153" i="1"/>
  <c r="B8153" i="1"/>
  <c r="A8154" i="1"/>
  <c r="B8154" i="1"/>
  <c r="A8155" i="1"/>
  <c r="B8155" i="1"/>
  <c r="A8156" i="1"/>
  <c r="B8156" i="1"/>
  <c r="A8157" i="1"/>
  <c r="B8157" i="1"/>
  <c r="A8158" i="1"/>
  <c r="B8158" i="1"/>
  <c r="A8159" i="1"/>
  <c r="B8159" i="1"/>
  <c r="A8160" i="1"/>
  <c r="B8160" i="1"/>
  <c r="A8161" i="1"/>
  <c r="B8161" i="1"/>
  <c r="A8162" i="1"/>
  <c r="B8162" i="1"/>
  <c r="A8163" i="1"/>
  <c r="B8163" i="1"/>
  <c r="A8164" i="1"/>
  <c r="B8164" i="1"/>
  <c r="A8165" i="1"/>
  <c r="B8165" i="1"/>
  <c r="A8166" i="1"/>
  <c r="B8166" i="1"/>
  <c r="A8167" i="1"/>
  <c r="B8167" i="1"/>
  <c r="A8168" i="1"/>
  <c r="B8168" i="1"/>
  <c r="A8169" i="1"/>
  <c r="B8169" i="1"/>
  <c r="A8170" i="1"/>
  <c r="B8170" i="1"/>
  <c r="A8171" i="1"/>
  <c r="B8171" i="1"/>
  <c r="A8172" i="1"/>
  <c r="B8172" i="1"/>
  <c r="A8173" i="1"/>
  <c r="B8173" i="1"/>
  <c r="A8174" i="1"/>
  <c r="B8174" i="1"/>
  <c r="A8175" i="1"/>
  <c r="B8175" i="1"/>
  <c r="A8176" i="1"/>
  <c r="B8176" i="1"/>
  <c r="A8177" i="1"/>
  <c r="B8177" i="1"/>
  <c r="A8178" i="1"/>
  <c r="B8178" i="1"/>
  <c r="A8179" i="1"/>
  <c r="B8179" i="1"/>
  <c r="A8180" i="1"/>
  <c r="B8180" i="1"/>
  <c r="A8181" i="1"/>
  <c r="B8181" i="1"/>
  <c r="A8182" i="1"/>
  <c r="B8182" i="1"/>
  <c r="A8183" i="1"/>
  <c r="B8183" i="1"/>
  <c r="A8184" i="1"/>
  <c r="B8184" i="1"/>
  <c r="A8185" i="1"/>
  <c r="B8185" i="1"/>
  <c r="A8186" i="1"/>
  <c r="B8186" i="1"/>
  <c r="A8187" i="1"/>
  <c r="B8187" i="1"/>
  <c r="A8188" i="1"/>
  <c r="B8188" i="1"/>
  <c r="A8189" i="1"/>
  <c r="B8189" i="1"/>
  <c r="A8190" i="1"/>
  <c r="B8190" i="1"/>
  <c r="A8191" i="1"/>
  <c r="B8191" i="1"/>
  <c r="A8192" i="1"/>
  <c r="B8192" i="1"/>
  <c r="A8193" i="1"/>
  <c r="B8193" i="1"/>
  <c r="A8194" i="1"/>
  <c r="B8194" i="1"/>
  <c r="A8195" i="1"/>
  <c r="B8195" i="1"/>
  <c r="A8196" i="1"/>
  <c r="B8196" i="1"/>
  <c r="A8197" i="1"/>
  <c r="B8197" i="1"/>
  <c r="A8198" i="1"/>
  <c r="B8198" i="1"/>
  <c r="A8199" i="1"/>
  <c r="B8199" i="1"/>
  <c r="A8200" i="1"/>
  <c r="B8200" i="1"/>
  <c r="A8201" i="1"/>
  <c r="B8201" i="1"/>
  <c r="A8202" i="1"/>
  <c r="B8202" i="1"/>
  <c r="A8203" i="1"/>
  <c r="B8203" i="1"/>
  <c r="A8204" i="1"/>
  <c r="B8204" i="1"/>
  <c r="A8205" i="1"/>
  <c r="B8205" i="1"/>
  <c r="A8206" i="1"/>
  <c r="B8206" i="1"/>
  <c r="A8207" i="1"/>
  <c r="B8207" i="1"/>
  <c r="A8208" i="1"/>
  <c r="B8208" i="1"/>
  <c r="A8209" i="1"/>
  <c r="B8209" i="1"/>
  <c r="A8210" i="1"/>
  <c r="B8210" i="1"/>
  <c r="A8211" i="1"/>
  <c r="B8211" i="1"/>
  <c r="A8212" i="1"/>
  <c r="B8212" i="1"/>
  <c r="A8213" i="1"/>
  <c r="B8213" i="1"/>
  <c r="A8214" i="1"/>
  <c r="B8214" i="1"/>
  <c r="A8215" i="1"/>
  <c r="B8215" i="1"/>
  <c r="A8216" i="1"/>
  <c r="B8216" i="1"/>
  <c r="A8217" i="1"/>
  <c r="B8217" i="1"/>
  <c r="A8218" i="1"/>
  <c r="B8218" i="1"/>
  <c r="A8219" i="1"/>
  <c r="B8219" i="1"/>
  <c r="A8220" i="1"/>
  <c r="B8220" i="1"/>
  <c r="A8221" i="1"/>
  <c r="B8221" i="1"/>
  <c r="A8222" i="1"/>
  <c r="B8222" i="1"/>
  <c r="A8223" i="1"/>
  <c r="B8223" i="1"/>
  <c r="A8224" i="1"/>
  <c r="B8224" i="1"/>
  <c r="A8225" i="1"/>
  <c r="B8225" i="1"/>
  <c r="A8226" i="1"/>
  <c r="B8226" i="1"/>
  <c r="A8227" i="1"/>
  <c r="B8227" i="1"/>
  <c r="A8228" i="1"/>
  <c r="B8228" i="1"/>
  <c r="A8229" i="1"/>
  <c r="B8229" i="1"/>
  <c r="A8230" i="1"/>
  <c r="B8230" i="1"/>
  <c r="A8231" i="1"/>
  <c r="B8231" i="1"/>
  <c r="A8232" i="1"/>
  <c r="B8232" i="1"/>
  <c r="A8233" i="1"/>
  <c r="B8233" i="1"/>
  <c r="A8234" i="1"/>
  <c r="B8234" i="1"/>
  <c r="A8235" i="1"/>
  <c r="B8235" i="1"/>
  <c r="A8236" i="1"/>
  <c r="B8236" i="1"/>
  <c r="A8237" i="1"/>
  <c r="B8237" i="1"/>
  <c r="A8238" i="1"/>
  <c r="B8238" i="1"/>
  <c r="A8239" i="1"/>
  <c r="B8239" i="1"/>
  <c r="A8240" i="1"/>
  <c r="B8240" i="1"/>
  <c r="A8241" i="1"/>
  <c r="B8241" i="1"/>
  <c r="A8242" i="1"/>
  <c r="B8242" i="1"/>
  <c r="A8243" i="1"/>
  <c r="B8243" i="1"/>
  <c r="A8244" i="1"/>
  <c r="B8244" i="1"/>
  <c r="A8245" i="1"/>
  <c r="B8245" i="1"/>
  <c r="A8246" i="1"/>
  <c r="B8246" i="1"/>
  <c r="A8247" i="1"/>
  <c r="B8247" i="1"/>
  <c r="A8248" i="1"/>
  <c r="B8248" i="1"/>
  <c r="A8249" i="1"/>
  <c r="B8249" i="1"/>
  <c r="A8250" i="1"/>
  <c r="B8250" i="1"/>
  <c r="A8251" i="1"/>
  <c r="B8251" i="1"/>
  <c r="A8252" i="1"/>
  <c r="B8252" i="1"/>
  <c r="A8253" i="1"/>
  <c r="B8253" i="1"/>
  <c r="A8254" i="1"/>
  <c r="B8254" i="1"/>
  <c r="A8255" i="1"/>
  <c r="B8255" i="1"/>
  <c r="A8256" i="1"/>
  <c r="B8256" i="1"/>
  <c r="A8257" i="1"/>
  <c r="B8257" i="1"/>
  <c r="A8258" i="1"/>
  <c r="B8258" i="1"/>
  <c r="A8259" i="1"/>
  <c r="B8259" i="1"/>
  <c r="A8260" i="1"/>
  <c r="B8260" i="1"/>
  <c r="A8261" i="1"/>
  <c r="B8261" i="1"/>
  <c r="A8262" i="1"/>
  <c r="B8262" i="1"/>
  <c r="A8263" i="1"/>
  <c r="B8263" i="1"/>
  <c r="A8264" i="1"/>
  <c r="B8264" i="1"/>
  <c r="A8265" i="1"/>
  <c r="B8265" i="1"/>
  <c r="A8266" i="1"/>
  <c r="B8266" i="1"/>
  <c r="A8267" i="1"/>
  <c r="B8267" i="1"/>
  <c r="A8268" i="1"/>
  <c r="B8268" i="1"/>
  <c r="A8269" i="1"/>
  <c r="B8269" i="1"/>
  <c r="A8270" i="1"/>
  <c r="B8270" i="1"/>
  <c r="A8271" i="1"/>
  <c r="B8271" i="1"/>
  <c r="A8272" i="1"/>
  <c r="B8272" i="1"/>
  <c r="A8273" i="1"/>
  <c r="B8273" i="1"/>
  <c r="A8274" i="1"/>
  <c r="B8274" i="1"/>
  <c r="A8275" i="1"/>
  <c r="B8275" i="1"/>
  <c r="A8276" i="1"/>
  <c r="B8276" i="1"/>
  <c r="A8277" i="1"/>
  <c r="B8277" i="1"/>
  <c r="A8278" i="1"/>
  <c r="B8278" i="1"/>
  <c r="A8279" i="1"/>
  <c r="B8279" i="1"/>
  <c r="A8280" i="1"/>
  <c r="B8280" i="1"/>
  <c r="A8281" i="1"/>
  <c r="B8281" i="1"/>
  <c r="A8282" i="1"/>
  <c r="B8282" i="1"/>
  <c r="A8283" i="1"/>
  <c r="B8283" i="1"/>
  <c r="A8284" i="1"/>
  <c r="B8284" i="1"/>
  <c r="A8285" i="1"/>
  <c r="B8285" i="1"/>
  <c r="A8286" i="1"/>
  <c r="B8286" i="1"/>
  <c r="A8287" i="1"/>
  <c r="B8287" i="1"/>
  <c r="A8288" i="1"/>
  <c r="B8288" i="1"/>
  <c r="A8289" i="1"/>
  <c r="B8289" i="1"/>
  <c r="A8290" i="1"/>
  <c r="B8290" i="1"/>
  <c r="A8291" i="1"/>
  <c r="B8291" i="1"/>
  <c r="A8292" i="1"/>
  <c r="B8292" i="1"/>
  <c r="A8293" i="1"/>
  <c r="B8293" i="1"/>
  <c r="A8294" i="1"/>
  <c r="B8294" i="1"/>
  <c r="A8295" i="1"/>
  <c r="B8295" i="1"/>
  <c r="A8296" i="1"/>
  <c r="B8296" i="1"/>
  <c r="A8297" i="1"/>
  <c r="B8297" i="1"/>
  <c r="A8298" i="1"/>
  <c r="B8298" i="1"/>
  <c r="A8299" i="1"/>
  <c r="B8299" i="1"/>
  <c r="A8300" i="1"/>
  <c r="B8300" i="1"/>
  <c r="A8301" i="1"/>
  <c r="B8301" i="1"/>
  <c r="A8302" i="1"/>
  <c r="B8302" i="1"/>
  <c r="A8303" i="1"/>
  <c r="B8303" i="1"/>
  <c r="A8304" i="1"/>
  <c r="B8304" i="1"/>
  <c r="A8305" i="1"/>
  <c r="B8305" i="1"/>
  <c r="A8306" i="1"/>
  <c r="B8306" i="1"/>
  <c r="A8307" i="1"/>
  <c r="B8307" i="1"/>
  <c r="A8308" i="1"/>
  <c r="B8308" i="1"/>
  <c r="A8309" i="1"/>
  <c r="B8309" i="1"/>
  <c r="A8310" i="1"/>
  <c r="B8310" i="1"/>
  <c r="A8311" i="1"/>
  <c r="B8311" i="1"/>
  <c r="A8312" i="1"/>
  <c r="B8312" i="1"/>
  <c r="A8313" i="1"/>
  <c r="B8313" i="1"/>
  <c r="A8314" i="1"/>
  <c r="B8314" i="1"/>
  <c r="A8315" i="1"/>
  <c r="B8315" i="1"/>
  <c r="A8316" i="1"/>
  <c r="B8316" i="1"/>
  <c r="A8317" i="1"/>
  <c r="B8317" i="1"/>
  <c r="A8318" i="1"/>
  <c r="B8318" i="1"/>
  <c r="A8319" i="1"/>
  <c r="B8319" i="1"/>
  <c r="A8320" i="1"/>
  <c r="B8320" i="1"/>
  <c r="A8321" i="1"/>
  <c r="B8321" i="1"/>
  <c r="A8322" i="1"/>
  <c r="B8322" i="1"/>
  <c r="A8323" i="1"/>
  <c r="B8323" i="1"/>
  <c r="A8324" i="1"/>
  <c r="B8324" i="1"/>
  <c r="A8325" i="1"/>
  <c r="B8325" i="1"/>
  <c r="A8326" i="1"/>
  <c r="B8326" i="1"/>
  <c r="A8327" i="1"/>
  <c r="B8327" i="1"/>
  <c r="A8328" i="1"/>
  <c r="B8328" i="1"/>
  <c r="A8329" i="1"/>
  <c r="B8329" i="1"/>
  <c r="A8330" i="1"/>
  <c r="B8330" i="1"/>
  <c r="A8331" i="1"/>
  <c r="B8331" i="1"/>
  <c r="A8332" i="1"/>
  <c r="B8332" i="1"/>
  <c r="A8333" i="1"/>
  <c r="B8333" i="1"/>
  <c r="A8334" i="1"/>
  <c r="B8334" i="1"/>
  <c r="A8335" i="1"/>
  <c r="B8335" i="1"/>
  <c r="A8336" i="1"/>
  <c r="B8336" i="1"/>
  <c r="A8337" i="1"/>
  <c r="B8337" i="1"/>
  <c r="A8338" i="1"/>
  <c r="B8338" i="1"/>
  <c r="A8339" i="1"/>
  <c r="B8339" i="1"/>
  <c r="A8340" i="1"/>
  <c r="B8340" i="1"/>
  <c r="A8341" i="1"/>
  <c r="B8341" i="1"/>
  <c r="A8342" i="1"/>
  <c r="B8342" i="1"/>
  <c r="A8343" i="1"/>
  <c r="B8343" i="1"/>
  <c r="A8344" i="1"/>
  <c r="B8344" i="1"/>
  <c r="A8345" i="1"/>
  <c r="B8345" i="1"/>
  <c r="A8346" i="1"/>
  <c r="B8346" i="1"/>
  <c r="A8347" i="1"/>
  <c r="B8347" i="1"/>
  <c r="A8348" i="1"/>
  <c r="B8348" i="1"/>
  <c r="A8349" i="1"/>
  <c r="B8349" i="1"/>
  <c r="A8350" i="1"/>
  <c r="B8350" i="1"/>
  <c r="A8351" i="1"/>
  <c r="B8351" i="1"/>
  <c r="A8352" i="1"/>
  <c r="B8352" i="1"/>
  <c r="A8353" i="1"/>
  <c r="B8353" i="1"/>
  <c r="A8354" i="1"/>
  <c r="B8354" i="1"/>
  <c r="A8355" i="1"/>
  <c r="B8355" i="1"/>
  <c r="A8356" i="1"/>
  <c r="B8356" i="1"/>
  <c r="A8357" i="1"/>
  <c r="B8357" i="1"/>
  <c r="A8358" i="1"/>
  <c r="B8358" i="1"/>
  <c r="A8359" i="1"/>
  <c r="B8359" i="1"/>
  <c r="A8360" i="1"/>
  <c r="B8360" i="1"/>
  <c r="A8361" i="1"/>
  <c r="B8361" i="1"/>
  <c r="A8362" i="1"/>
  <c r="B8362" i="1"/>
  <c r="A8363" i="1"/>
  <c r="B8363" i="1"/>
  <c r="A8364" i="1"/>
  <c r="B8364" i="1"/>
  <c r="A8365" i="1"/>
  <c r="B8365" i="1"/>
  <c r="A8366" i="1"/>
  <c r="B8366" i="1"/>
  <c r="A8367" i="1"/>
  <c r="B8367" i="1"/>
  <c r="A8368" i="1"/>
  <c r="B8368" i="1"/>
  <c r="A8369" i="1"/>
  <c r="B8369" i="1"/>
  <c r="A8370" i="1"/>
  <c r="B8370" i="1"/>
  <c r="A8371" i="1"/>
  <c r="B8371" i="1"/>
  <c r="A8372" i="1"/>
  <c r="B8372" i="1"/>
  <c r="A8373" i="1"/>
  <c r="B8373" i="1"/>
  <c r="A8374" i="1"/>
  <c r="B8374" i="1"/>
  <c r="A8375" i="1"/>
  <c r="B8375" i="1"/>
  <c r="A8376" i="1"/>
  <c r="B8376" i="1"/>
  <c r="A8377" i="1"/>
  <c r="B8377" i="1"/>
  <c r="A8378" i="1"/>
  <c r="B8378" i="1"/>
  <c r="A8379" i="1"/>
  <c r="B8379" i="1"/>
  <c r="A8380" i="1"/>
  <c r="B8380" i="1"/>
  <c r="A8381" i="1"/>
  <c r="B8381" i="1"/>
  <c r="A8382" i="1"/>
  <c r="B8382" i="1"/>
  <c r="A8383" i="1"/>
  <c r="B8383" i="1"/>
  <c r="A8384" i="1"/>
  <c r="B8384" i="1"/>
  <c r="A8385" i="1"/>
  <c r="B8385" i="1"/>
  <c r="A8386" i="1"/>
  <c r="B8386" i="1"/>
  <c r="A8387" i="1"/>
  <c r="B8387" i="1"/>
  <c r="A8388" i="1"/>
  <c r="B8388" i="1"/>
  <c r="A8389" i="1"/>
  <c r="B8389" i="1"/>
  <c r="A8390" i="1"/>
  <c r="B8390" i="1"/>
  <c r="A8391" i="1"/>
  <c r="B8391" i="1"/>
  <c r="A8392" i="1"/>
  <c r="B8392" i="1"/>
  <c r="A8393" i="1"/>
  <c r="B8393" i="1"/>
  <c r="A8394" i="1"/>
  <c r="B8394" i="1"/>
  <c r="A8395" i="1"/>
  <c r="B8395" i="1"/>
  <c r="A8396" i="1"/>
  <c r="B8396" i="1"/>
  <c r="A8397" i="1"/>
  <c r="B8397" i="1"/>
  <c r="A8398" i="1"/>
  <c r="B8398" i="1"/>
  <c r="A8399" i="1"/>
  <c r="B8399" i="1"/>
  <c r="A8400" i="1"/>
  <c r="B8400" i="1"/>
  <c r="A8401" i="1"/>
  <c r="B8401" i="1"/>
  <c r="A8402" i="1"/>
  <c r="B8402" i="1"/>
  <c r="A8403" i="1"/>
  <c r="B8403" i="1"/>
  <c r="A8404" i="1"/>
  <c r="B8404" i="1"/>
  <c r="A8405" i="1"/>
  <c r="B8405" i="1"/>
  <c r="A8406" i="1"/>
  <c r="B8406" i="1"/>
  <c r="A8407" i="1"/>
  <c r="B8407" i="1"/>
  <c r="A8408" i="1"/>
  <c r="B8408" i="1"/>
  <c r="A8409" i="1"/>
  <c r="B8409" i="1"/>
  <c r="A8410" i="1"/>
  <c r="B8410" i="1"/>
  <c r="A8411" i="1"/>
  <c r="B8411" i="1"/>
  <c r="A8412" i="1"/>
  <c r="B8412" i="1"/>
  <c r="A8413" i="1"/>
  <c r="B8413" i="1"/>
  <c r="A8414" i="1"/>
  <c r="B8414" i="1"/>
  <c r="A8415" i="1"/>
  <c r="B8415" i="1"/>
  <c r="A8416" i="1"/>
  <c r="B8416" i="1"/>
  <c r="A8417" i="1"/>
  <c r="B8417" i="1"/>
  <c r="A8418" i="1"/>
  <c r="B8418" i="1"/>
  <c r="A8419" i="1"/>
  <c r="B8419" i="1"/>
  <c r="A8420" i="1"/>
  <c r="B8420" i="1"/>
  <c r="A8421" i="1"/>
  <c r="B8421" i="1"/>
  <c r="A8422" i="1"/>
  <c r="B8422" i="1"/>
  <c r="A8423" i="1"/>
  <c r="B8423" i="1"/>
  <c r="A8424" i="1"/>
  <c r="B8424" i="1"/>
  <c r="A8425" i="1"/>
  <c r="B8425" i="1"/>
  <c r="A8426" i="1"/>
  <c r="B8426" i="1"/>
  <c r="A8427" i="1"/>
  <c r="B8427" i="1"/>
  <c r="A8428" i="1"/>
  <c r="B8428" i="1"/>
  <c r="A8429" i="1"/>
  <c r="B8429" i="1"/>
  <c r="A8430" i="1"/>
  <c r="B8430" i="1"/>
  <c r="A8431" i="1"/>
  <c r="B8431" i="1"/>
  <c r="A8432" i="1"/>
  <c r="B8432" i="1"/>
  <c r="A8433" i="1"/>
  <c r="B8433" i="1"/>
  <c r="A8434" i="1"/>
  <c r="B8434" i="1"/>
  <c r="A8435" i="1"/>
  <c r="B8435" i="1"/>
  <c r="A8436" i="1"/>
  <c r="B8436" i="1"/>
  <c r="A8437" i="1"/>
  <c r="B8437" i="1"/>
  <c r="A8438" i="1"/>
  <c r="B8438" i="1"/>
  <c r="A8439" i="1"/>
  <c r="B8439" i="1"/>
  <c r="A8440" i="1"/>
  <c r="B8440" i="1"/>
  <c r="A8441" i="1"/>
  <c r="B8441" i="1"/>
  <c r="A8442" i="1"/>
  <c r="B8442" i="1"/>
  <c r="A8443" i="1"/>
  <c r="B8443" i="1"/>
  <c r="A8444" i="1"/>
  <c r="B8444" i="1"/>
  <c r="A8445" i="1"/>
  <c r="B8445" i="1"/>
  <c r="A8446" i="1"/>
  <c r="B8446" i="1"/>
  <c r="A8447" i="1"/>
  <c r="B8447" i="1"/>
  <c r="A8448" i="1"/>
  <c r="B8448" i="1"/>
  <c r="A8449" i="1"/>
  <c r="B8449" i="1"/>
  <c r="A8450" i="1"/>
  <c r="B8450" i="1"/>
  <c r="A8451" i="1"/>
  <c r="B8451" i="1"/>
  <c r="A8452" i="1"/>
  <c r="B8452" i="1"/>
  <c r="A8453" i="1"/>
  <c r="B8453" i="1"/>
  <c r="A8454" i="1"/>
  <c r="B8454" i="1"/>
  <c r="A8455" i="1"/>
  <c r="B8455" i="1"/>
  <c r="A8456" i="1"/>
  <c r="B8456" i="1"/>
  <c r="A8457" i="1"/>
  <c r="B8457" i="1"/>
  <c r="A8458" i="1"/>
  <c r="B8458" i="1"/>
  <c r="A8459" i="1"/>
  <c r="B8459" i="1"/>
  <c r="A8460" i="1"/>
  <c r="B8460" i="1"/>
  <c r="A8461" i="1"/>
  <c r="B8461" i="1"/>
  <c r="A8462" i="1"/>
  <c r="B8462" i="1"/>
  <c r="A8463" i="1"/>
  <c r="B8463" i="1"/>
  <c r="A8464" i="1"/>
  <c r="B8464" i="1"/>
  <c r="A8465" i="1"/>
  <c r="B8465" i="1"/>
  <c r="A8466" i="1"/>
  <c r="B8466" i="1"/>
  <c r="A8467" i="1"/>
  <c r="B8467" i="1"/>
  <c r="A8468" i="1"/>
  <c r="B8468" i="1"/>
  <c r="A8469" i="1"/>
  <c r="B8469" i="1"/>
  <c r="A8470" i="1"/>
  <c r="B8470" i="1"/>
  <c r="A8471" i="1"/>
  <c r="B8471" i="1"/>
  <c r="A8472" i="1"/>
  <c r="B8472" i="1"/>
  <c r="A8473" i="1"/>
  <c r="B8473" i="1"/>
  <c r="A8474" i="1"/>
  <c r="B8474" i="1"/>
  <c r="A8475" i="1"/>
  <c r="B8475" i="1"/>
  <c r="A8476" i="1"/>
  <c r="B8476" i="1"/>
  <c r="A8477" i="1"/>
  <c r="B8477" i="1"/>
  <c r="A8478" i="1"/>
  <c r="B8478" i="1"/>
  <c r="A8479" i="1"/>
  <c r="B8479" i="1"/>
  <c r="A8480" i="1"/>
  <c r="B8480" i="1"/>
  <c r="A8481" i="1"/>
  <c r="B8481" i="1"/>
  <c r="A8482" i="1"/>
  <c r="B8482" i="1"/>
  <c r="A8483" i="1"/>
  <c r="B8483" i="1"/>
  <c r="A8484" i="1"/>
  <c r="B8484" i="1"/>
  <c r="A8485" i="1"/>
  <c r="B8485" i="1"/>
  <c r="A8486" i="1"/>
  <c r="B8486" i="1"/>
  <c r="A8487" i="1"/>
  <c r="B8487" i="1"/>
  <c r="A8488" i="1"/>
  <c r="B8488" i="1"/>
  <c r="A8489" i="1"/>
  <c r="B8489" i="1"/>
  <c r="A8490" i="1"/>
  <c r="B8490" i="1"/>
  <c r="A8491" i="1"/>
  <c r="B8491" i="1"/>
  <c r="A8492" i="1"/>
  <c r="B8492" i="1"/>
  <c r="A8493" i="1"/>
  <c r="B8493" i="1"/>
  <c r="A8494" i="1"/>
  <c r="B8494" i="1"/>
  <c r="A8495" i="1"/>
  <c r="B8495" i="1"/>
  <c r="A8496" i="1"/>
  <c r="B8496" i="1"/>
  <c r="A8497" i="1"/>
  <c r="B8497" i="1"/>
  <c r="A8498" i="1"/>
  <c r="B8498" i="1"/>
  <c r="A8499" i="1"/>
  <c r="B8499" i="1"/>
  <c r="A8500" i="1"/>
  <c r="B8500" i="1"/>
  <c r="A8501" i="1"/>
  <c r="B8501" i="1"/>
  <c r="A8502" i="1"/>
  <c r="B8502" i="1"/>
  <c r="A8503" i="1"/>
  <c r="B8503" i="1"/>
  <c r="A8504" i="1"/>
  <c r="B8504" i="1"/>
  <c r="A8505" i="1"/>
  <c r="B8505" i="1"/>
  <c r="A8506" i="1"/>
  <c r="B8506" i="1"/>
  <c r="A8507" i="1"/>
  <c r="B8507" i="1"/>
  <c r="A8508" i="1"/>
  <c r="B8508" i="1"/>
  <c r="A8509" i="1"/>
  <c r="B8509" i="1"/>
  <c r="A8510" i="1"/>
  <c r="B8510" i="1"/>
  <c r="A8511" i="1"/>
  <c r="B8511" i="1"/>
  <c r="A8512" i="1"/>
  <c r="B8512" i="1"/>
  <c r="A8513" i="1"/>
  <c r="B8513" i="1"/>
  <c r="A8514" i="1"/>
  <c r="B8514" i="1"/>
  <c r="A8515" i="1"/>
  <c r="B8515" i="1"/>
  <c r="A8516" i="1"/>
  <c r="B8516" i="1"/>
  <c r="A8517" i="1"/>
  <c r="B8517" i="1"/>
  <c r="A8518" i="1"/>
  <c r="B8518" i="1"/>
  <c r="A8519" i="1"/>
  <c r="B8519" i="1"/>
  <c r="A8520" i="1"/>
  <c r="B8520" i="1"/>
  <c r="A8521" i="1"/>
  <c r="B8521" i="1"/>
  <c r="A8522" i="1"/>
  <c r="B8522" i="1"/>
  <c r="A8523" i="1"/>
  <c r="B8523" i="1"/>
  <c r="A8524" i="1"/>
  <c r="B8524" i="1"/>
  <c r="A8525" i="1"/>
  <c r="B8525" i="1"/>
  <c r="A8526" i="1"/>
  <c r="B8526" i="1"/>
  <c r="A8527" i="1"/>
  <c r="B8527" i="1"/>
  <c r="A8528" i="1"/>
  <c r="B8528" i="1"/>
  <c r="A8529" i="1"/>
  <c r="B8529" i="1"/>
  <c r="A8530" i="1"/>
  <c r="B8530" i="1"/>
  <c r="A8531" i="1"/>
  <c r="B8531" i="1"/>
  <c r="A8532" i="1"/>
  <c r="B8532" i="1"/>
  <c r="A8533" i="1"/>
  <c r="B8533" i="1"/>
  <c r="A8534" i="1"/>
  <c r="B8534" i="1"/>
  <c r="A8535" i="1"/>
  <c r="B8535" i="1"/>
  <c r="A8536" i="1"/>
  <c r="B8536" i="1"/>
  <c r="A8537" i="1"/>
  <c r="B8537" i="1"/>
  <c r="A8538" i="1"/>
  <c r="B8538" i="1"/>
  <c r="A8539" i="1"/>
  <c r="B8539" i="1"/>
  <c r="A8540" i="1"/>
  <c r="B8540" i="1"/>
  <c r="A8541" i="1"/>
  <c r="B8541" i="1"/>
  <c r="A8542" i="1"/>
  <c r="B8542" i="1"/>
  <c r="A8543" i="1"/>
  <c r="B8543" i="1"/>
  <c r="A8544" i="1"/>
  <c r="B8544" i="1"/>
  <c r="A8545" i="1"/>
  <c r="B8545" i="1"/>
  <c r="A8546" i="1"/>
  <c r="B8546" i="1"/>
  <c r="A8547" i="1"/>
  <c r="B8547" i="1"/>
  <c r="A8548" i="1"/>
  <c r="B8548" i="1"/>
  <c r="A8549" i="1"/>
  <c r="B8549" i="1"/>
  <c r="A8550" i="1"/>
  <c r="B8550" i="1"/>
  <c r="A8551" i="1"/>
  <c r="B8551" i="1"/>
  <c r="A8552" i="1"/>
  <c r="B8552" i="1"/>
  <c r="A8553" i="1"/>
  <c r="B8553" i="1"/>
  <c r="A8554" i="1"/>
  <c r="B8554" i="1"/>
  <c r="A8555" i="1"/>
  <c r="B8555" i="1"/>
  <c r="A8556" i="1"/>
  <c r="B8556" i="1"/>
  <c r="A8557" i="1"/>
  <c r="B8557" i="1"/>
  <c r="A8558" i="1"/>
  <c r="B8558" i="1"/>
  <c r="A8559" i="1"/>
  <c r="B8559" i="1"/>
  <c r="A8560" i="1"/>
  <c r="B8560" i="1"/>
  <c r="A8561" i="1"/>
  <c r="B8561" i="1"/>
  <c r="A8562" i="1"/>
  <c r="B8562" i="1"/>
  <c r="A8563" i="1"/>
  <c r="B8563" i="1"/>
  <c r="A8564" i="1"/>
  <c r="B8564" i="1"/>
  <c r="A8565" i="1"/>
  <c r="B8565" i="1"/>
  <c r="A8566" i="1"/>
  <c r="B8566" i="1"/>
  <c r="A8567" i="1"/>
  <c r="B8567" i="1"/>
  <c r="A8568" i="1"/>
  <c r="B8568" i="1"/>
  <c r="A8569" i="1"/>
  <c r="B8569" i="1"/>
  <c r="A8570" i="1"/>
  <c r="B8570" i="1"/>
  <c r="A8571" i="1"/>
  <c r="B8571" i="1"/>
  <c r="A8572" i="1"/>
  <c r="B8572" i="1"/>
  <c r="A8573" i="1"/>
  <c r="B8573" i="1"/>
  <c r="A8574" i="1"/>
  <c r="B8574" i="1"/>
  <c r="A8575" i="1"/>
  <c r="B8575" i="1"/>
  <c r="A8576" i="1"/>
  <c r="B8576" i="1"/>
  <c r="A8577" i="1"/>
  <c r="B8577" i="1"/>
  <c r="A8578" i="1"/>
  <c r="B8578" i="1"/>
  <c r="A8579" i="1"/>
  <c r="B8579" i="1"/>
  <c r="A8580" i="1"/>
  <c r="B8580" i="1"/>
  <c r="A8581" i="1"/>
  <c r="B8581" i="1"/>
  <c r="A8582" i="1"/>
  <c r="B8582" i="1"/>
  <c r="A8583" i="1"/>
  <c r="B8583" i="1"/>
  <c r="A8584" i="1"/>
  <c r="B8584" i="1"/>
  <c r="A8585" i="1"/>
  <c r="B8585" i="1"/>
  <c r="A8586" i="1"/>
  <c r="B8586" i="1"/>
  <c r="A8587" i="1"/>
  <c r="B8587" i="1"/>
  <c r="A8588" i="1"/>
  <c r="B8588" i="1"/>
  <c r="A8589" i="1"/>
  <c r="B8589" i="1"/>
  <c r="A8590" i="1"/>
  <c r="B8590" i="1"/>
  <c r="A8591" i="1"/>
  <c r="B8591" i="1"/>
  <c r="A8592" i="1"/>
  <c r="B8592" i="1"/>
  <c r="A8593" i="1"/>
  <c r="B8593" i="1"/>
  <c r="A8594" i="1"/>
  <c r="B8594" i="1"/>
  <c r="A8595" i="1"/>
  <c r="B8595" i="1"/>
  <c r="A8596" i="1"/>
  <c r="B8596" i="1"/>
  <c r="A8597" i="1"/>
  <c r="B8597" i="1"/>
  <c r="A8598" i="1"/>
  <c r="B8598" i="1"/>
  <c r="A8599" i="1"/>
  <c r="B8599" i="1"/>
  <c r="A8600" i="1"/>
  <c r="B8600" i="1"/>
  <c r="A8601" i="1"/>
  <c r="B8601" i="1"/>
  <c r="A8602" i="1"/>
  <c r="B8602" i="1"/>
  <c r="A8603" i="1"/>
  <c r="B8603" i="1"/>
  <c r="A8604" i="1"/>
  <c r="B8604" i="1"/>
  <c r="A8605" i="1"/>
  <c r="B8605" i="1"/>
  <c r="A8606" i="1"/>
  <c r="B8606" i="1"/>
  <c r="A8607" i="1"/>
  <c r="B8607" i="1"/>
  <c r="A8608" i="1"/>
  <c r="B8608" i="1"/>
  <c r="A8609" i="1"/>
  <c r="B8609" i="1"/>
  <c r="A8610" i="1"/>
  <c r="B8610" i="1"/>
  <c r="A8611" i="1"/>
  <c r="B8611" i="1"/>
  <c r="A8612" i="1"/>
  <c r="B8612" i="1"/>
  <c r="A8613" i="1"/>
  <c r="B8613" i="1"/>
  <c r="A8614" i="1"/>
  <c r="B8614" i="1"/>
  <c r="A8615" i="1"/>
  <c r="B8615" i="1"/>
  <c r="A8616" i="1"/>
  <c r="B8616" i="1"/>
  <c r="A8617" i="1"/>
  <c r="B8617" i="1"/>
  <c r="A8618" i="1"/>
  <c r="B8618" i="1"/>
  <c r="A8619" i="1"/>
  <c r="B8619" i="1"/>
  <c r="A8620" i="1"/>
  <c r="B8620" i="1"/>
  <c r="A8621" i="1"/>
  <c r="B8621" i="1"/>
  <c r="A8622" i="1"/>
  <c r="B8622" i="1"/>
  <c r="A8623" i="1"/>
  <c r="B8623" i="1"/>
  <c r="A8624" i="1"/>
  <c r="B8624" i="1"/>
  <c r="A8625" i="1"/>
  <c r="B8625" i="1"/>
  <c r="A8626" i="1"/>
  <c r="B8626" i="1"/>
  <c r="A8627" i="1"/>
  <c r="B8627" i="1"/>
  <c r="A8628" i="1"/>
  <c r="B8628" i="1"/>
  <c r="A8629" i="1"/>
  <c r="B8629" i="1"/>
  <c r="A8630" i="1"/>
  <c r="B8630" i="1"/>
  <c r="A8631" i="1"/>
  <c r="B8631" i="1"/>
  <c r="A8632" i="1"/>
  <c r="B8632" i="1"/>
  <c r="A8633" i="1"/>
  <c r="B8633" i="1"/>
  <c r="A8634" i="1"/>
  <c r="B8634" i="1"/>
  <c r="A8635" i="1"/>
  <c r="B8635" i="1"/>
  <c r="A8636" i="1"/>
  <c r="B8636" i="1"/>
  <c r="A8637" i="1"/>
  <c r="B8637" i="1"/>
  <c r="A8638" i="1"/>
  <c r="B8638" i="1"/>
  <c r="A8639" i="1"/>
  <c r="B8639" i="1"/>
  <c r="A8640" i="1"/>
  <c r="B8640" i="1"/>
  <c r="A8641" i="1"/>
  <c r="B8641" i="1"/>
  <c r="A8642" i="1"/>
  <c r="B8642" i="1"/>
  <c r="A8643" i="1"/>
  <c r="B8643" i="1"/>
  <c r="A8644" i="1"/>
  <c r="B8644" i="1"/>
  <c r="A8645" i="1"/>
  <c r="B8645" i="1"/>
  <c r="A8646" i="1"/>
  <c r="B8646" i="1"/>
  <c r="A8647" i="1"/>
  <c r="B8647" i="1"/>
  <c r="A8648" i="1"/>
  <c r="B8648" i="1"/>
  <c r="A8649" i="1"/>
  <c r="B8649" i="1"/>
  <c r="A8650" i="1"/>
  <c r="B8650" i="1"/>
  <c r="A8651" i="1"/>
  <c r="B8651" i="1"/>
  <c r="A8652" i="1"/>
  <c r="B8652" i="1"/>
  <c r="A8653" i="1"/>
  <c r="B8653" i="1"/>
  <c r="A8654" i="1"/>
  <c r="B8654" i="1"/>
  <c r="A8655" i="1"/>
  <c r="B8655" i="1"/>
  <c r="A8656" i="1"/>
  <c r="B8656" i="1"/>
  <c r="A8657" i="1"/>
  <c r="B8657" i="1"/>
  <c r="A8658" i="1"/>
  <c r="B8658" i="1"/>
  <c r="A8659" i="1"/>
  <c r="B8659" i="1"/>
  <c r="A8660" i="1"/>
  <c r="B8660" i="1"/>
  <c r="A8661" i="1"/>
  <c r="B8661" i="1"/>
  <c r="A8662" i="1"/>
  <c r="B8662" i="1"/>
  <c r="A8663" i="1"/>
  <c r="B8663" i="1"/>
  <c r="A8664" i="1"/>
  <c r="B8664" i="1"/>
  <c r="A8665" i="1"/>
  <c r="B8665" i="1"/>
  <c r="A8666" i="1"/>
  <c r="B8666" i="1"/>
  <c r="A8667" i="1"/>
  <c r="B8667" i="1"/>
  <c r="A8668" i="1"/>
  <c r="B8668" i="1"/>
  <c r="A8669" i="1"/>
  <c r="B8669" i="1"/>
  <c r="A8670" i="1"/>
  <c r="B8670" i="1"/>
  <c r="A8671" i="1"/>
  <c r="B8671" i="1"/>
  <c r="A8672" i="1"/>
  <c r="B8672" i="1"/>
  <c r="A8673" i="1"/>
  <c r="B8673" i="1"/>
  <c r="A8674" i="1"/>
  <c r="B8674" i="1"/>
  <c r="A8675" i="1"/>
  <c r="B8675" i="1"/>
  <c r="A8676" i="1"/>
  <c r="B8676" i="1"/>
  <c r="A8677" i="1"/>
  <c r="B8677" i="1"/>
  <c r="A8678" i="1"/>
  <c r="B8678" i="1"/>
  <c r="A8679" i="1"/>
  <c r="B8679" i="1"/>
  <c r="A8680" i="1"/>
  <c r="B8680" i="1"/>
  <c r="A8681" i="1"/>
  <c r="B8681" i="1"/>
  <c r="A8682" i="1"/>
  <c r="B8682" i="1"/>
  <c r="A8683" i="1"/>
  <c r="B8683" i="1"/>
  <c r="A8684" i="1"/>
  <c r="B8684" i="1"/>
  <c r="A8685" i="1"/>
  <c r="B8685" i="1"/>
  <c r="A8686" i="1"/>
  <c r="B8686" i="1"/>
  <c r="A8687" i="1"/>
  <c r="B8687" i="1"/>
  <c r="A8688" i="1"/>
  <c r="B8688" i="1"/>
  <c r="A8689" i="1"/>
  <c r="B8689" i="1"/>
  <c r="A8690" i="1"/>
  <c r="B8690" i="1"/>
  <c r="A8691" i="1"/>
  <c r="B8691" i="1"/>
  <c r="A8692" i="1"/>
  <c r="B8692" i="1"/>
  <c r="A8693" i="1"/>
  <c r="B8693" i="1"/>
  <c r="A8694" i="1"/>
  <c r="B8694" i="1"/>
  <c r="A8695" i="1"/>
  <c r="B8695" i="1"/>
  <c r="A8696" i="1"/>
  <c r="B8696" i="1"/>
  <c r="A8697" i="1"/>
  <c r="B8697" i="1"/>
  <c r="A8698" i="1"/>
  <c r="B8698" i="1"/>
  <c r="A8699" i="1"/>
  <c r="B8699" i="1"/>
  <c r="A8700" i="1"/>
  <c r="B8700" i="1"/>
  <c r="A8701" i="1"/>
  <c r="B8701" i="1"/>
  <c r="A8702" i="1"/>
  <c r="B8702" i="1"/>
  <c r="A8703" i="1"/>
  <c r="B8703" i="1"/>
  <c r="A8704" i="1"/>
  <c r="B8704" i="1"/>
  <c r="A8705" i="1"/>
  <c r="B8705" i="1"/>
  <c r="A8706" i="1"/>
  <c r="B8706" i="1"/>
  <c r="A8707" i="1"/>
  <c r="B8707" i="1"/>
  <c r="A8708" i="1"/>
  <c r="B8708" i="1"/>
  <c r="A8709" i="1"/>
  <c r="B8709" i="1"/>
  <c r="A8710" i="1"/>
  <c r="B8710" i="1"/>
  <c r="A8711" i="1"/>
  <c r="B8711" i="1"/>
  <c r="A8712" i="1"/>
  <c r="B8712" i="1"/>
  <c r="A8713" i="1"/>
  <c r="B8713" i="1"/>
  <c r="A8714" i="1"/>
  <c r="B8714" i="1"/>
  <c r="A8715" i="1"/>
  <c r="B8715" i="1"/>
  <c r="A8716" i="1"/>
  <c r="B8716" i="1"/>
  <c r="A8717" i="1"/>
  <c r="B8717" i="1"/>
  <c r="A8718" i="1"/>
  <c r="B8718" i="1"/>
  <c r="A8719" i="1"/>
  <c r="B8719" i="1"/>
  <c r="A8720" i="1"/>
  <c r="B8720" i="1"/>
  <c r="A8721" i="1"/>
  <c r="B8721" i="1"/>
  <c r="A8722" i="1"/>
  <c r="B8722" i="1"/>
  <c r="A8723" i="1"/>
  <c r="B8723" i="1"/>
  <c r="A8724" i="1"/>
  <c r="B8724" i="1"/>
  <c r="A8725" i="1"/>
  <c r="B8725" i="1"/>
  <c r="A8726" i="1"/>
  <c r="B8726" i="1"/>
  <c r="A8727" i="1"/>
  <c r="B8727" i="1"/>
  <c r="A8728" i="1"/>
  <c r="B8728" i="1"/>
  <c r="A8729" i="1"/>
  <c r="B8729" i="1"/>
  <c r="A8730" i="1"/>
  <c r="B8730" i="1"/>
  <c r="A8731" i="1"/>
  <c r="B8731" i="1"/>
  <c r="A8732" i="1"/>
  <c r="B8732" i="1"/>
  <c r="A8733" i="1"/>
  <c r="B8733" i="1"/>
  <c r="A8734" i="1"/>
  <c r="B8734" i="1"/>
  <c r="A8735" i="1"/>
  <c r="B8735" i="1"/>
  <c r="A8736" i="1"/>
  <c r="B8736" i="1"/>
  <c r="A8737" i="1"/>
  <c r="B8737" i="1"/>
  <c r="A8738" i="1"/>
  <c r="B8738" i="1"/>
  <c r="A8739" i="1"/>
  <c r="B8739" i="1"/>
  <c r="A8740" i="1"/>
  <c r="B8740" i="1"/>
  <c r="A8741" i="1"/>
  <c r="B8741" i="1"/>
  <c r="A8742" i="1"/>
  <c r="B8742" i="1"/>
  <c r="A8743" i="1"/>
  <c r="B8743" i="1"/>
  <c r="A8744" i="1"/>
  <c r="B8744" i="1"/>
  <c r="A8745" i="1"/>
  <c r="B8745" i="1"/>
  <c r="A8746" i="1"/>
  <c r="B8746" i="1"/>
  <c r="A8747" i="1"/>
  <c r="B8747" i="1"/>
  <c r="A8748" i="1"/>
  <c r="B8748" i="1"/>
  <c r="A8749" i="1"/>
  <c r="B8749" i="1"/>
  <c r="A8750" i="1"/>
  <c r="B8750" i="1"/>
  <c r="A8751" i="1"/>
  <c r="B8751" i="1"/>
  <c r="A8752" i="1"/>
  <c r="B8752" i="1"/>
  <c r="A8753" i="1"/>
  <c r="B8753" i="1"/>
  <c r="A8754" i="1"/>
  <c r="B8754" i="1"/>
  <c r="A8755" i="1"/>
  <c r="B8755" i="1"/>
  <c r="A8756" i="1"/>
  <c r="B8756" i="1"/>
  <c r="A8757" i="1"/>
  <c r="B8757" i="1"/>
  <c r="A8758" i="1"/>
  <c r="B8758" i="1"/>
  <c r="A8759" i="1"/>
  <c r="B8759" i="1"/>
  <c r="A8760" i="1"/>
  <c r="B8760" i="1"/>
  <c r="A8761" i="1"/>
  <c r="B8761" i="1"/>
  <c r="A8762" i="1"/>
  <c r="B8762" i="1"/>
  <c r="A8763" i="1"/>
  <c r="B8763" i="1"/>
  <c r="A8764" i="1"/>
  <c r="B8764" i="1"/>
  <c r="A8765" i="1"/>
  <c r="B8765" i="1"/>
  <c r="A8766" i="1"/>
  <c r="B8766" i="1"/>
  <c r="A8767" i="1"/>
  <c r="B8767" i="1"/>
  <c r="A8768" i="1"/>
  <c r="B8768" i="1"/>
  <c r="A8769" i="1"/>
  <c r="B8769" i="1"/>
  <c r="A8770" i="1"/>
  <c r="B8770" i="1"/>
  <c r="A8771" i="1"/>
  <c r="B8771" i="1"/>
  <c r="A8772" i="1"/>
  <c r="B8772" i="1"/>
  <c r="A8773" i="1"/>
  <c r="B8773" i="1"/>
  <c r="A8774" i="1"/>
  <c r="B8774" i="1"/>
  <c r="A8775" i="1"/>
  <c r="B8775" i="1"/>
  <c r="A8776" i="1"/>
  <c r="B8776" i="1"/>
  <c r="A8777" i="1"/>
  <c r="B8777" i="1"/>
  <c r="A8778" i="1"/>
  <c r="B8778" i="1"/>
  <c r="A8779" i="1"/>
  <c r="B8779" i="1"/>
  <c r="A8780" i="1"/>
  <c r="B8780" i="1"/>
  <c r="A8781" i="1"/>
  <c r="B8781" i="1"/>
  <c r="A8782" i="1"/>
  <c r="B8782" i="1"/>
  <c r="A8783" i="1"/>
  <c r="B8783" i="1"/>
  <c r="A8784" i="1"/>
  <c r="B8784" i="1"/>
  <c r="A8785" i="1"/>
  <c r="B8785" i="1"/>
  <c r="A8786" i="1"/>
  <c r="B8786" i="1"/>
  <c r="A8787" i="1"/>
  <c r="B8787" i="1"/>
  <c r="A8788" i="1"/>
  <c r="B8788" i="1"/>
  <c r="A8789" i="1"/>
  <c r="B8789" i="1"/>
  <c r="A8790" i="1"/>
  <c r="B8790" i="1"/>
  <c r="A8791" i="1"/>
  <c r="B8791" i="1"/>
  <c r="A8792" i="1"/>
  <c r="B8792" i="1"/>
  <c r="A8793" i="1"/>
  <c r="B8793" i="1"/>
  <c r="A8794" i="1"/>
  <c r="B8794" i="1"/>
  <c r="A8795" i="1"/>
  <c r="B8795" i="1"/>
  <c r="A8796" i="1"/>
  <c r="B8796" i="1"/>
  <c r="A8797" i="1"/>
  <c r="B8797" i="1"/>
  <c r="A8798" i="1"/>
  <c r="B8798" i="1"/>
  <c r="A8799" i="1"/>
  <c r="B8799" i="1"/>
  <c r="A8800" i="1"/>
  <c r="B8800" i="1"/>
  <c r="A8801" i="1"/>
  <c r="B8801" i="1"/>
  <c r="A8802" i="1"/>
  <c r="B8802" i="1"/>
  <c r="A8803" i="1"/>
  <c r="B8803" i="1"/>
  <c r="A8804" i="1"/>
  <c r="B8804" i="1"/>
  <c r="A8805" i="1"/>
  <c r="B8805" i="1"/>
  <c r="A8806" i="1"/>
  <c r="B8806" i="1"/>
  <c r="A8807" i="1"/>
  <c r="B8807" i="1"/>
  <c r="A8808" i="1"/>
  <c r="B8808" i="1"/>
  <c r="A8809" i="1"/>
  <c r="B8809" i="1"/>
  <c r="A8810" i="1"/>
  <c r="B8810" i="1"/>
  <c r="A8811" i="1"/>
  <c r="B8811" i="1"/>
  <c r="A8812" i="1"/>
  <c r="B8812" i="1"/>
  <c r="A8813" i="1"/>
  <c r="B8813" i="1"/>
  <c r="A8814" i="1"/>
  <c r="B8814" i="1"/>
  <c r="A8815" i="1"/>
  <c r="B8815" i="1"/>
  <c r="A8816" i="1"/>
  <c r="B8816" i="1"/>
  <c r="A8817" i="1"/>
  <c r="B8817" i="1"/>
  <c r="A8818" i="1"/>
  <c r="B8818" i="1"/>
  <c r="A8819" i="1"/>
  <c r="B8819" i="1"/>
  <c r="A8820" i="1"/>
  <c r="B8820" i="1"/>
  <c r="A8821" i="1"/>
  <c r="B8821" i="1"/>
  <c r="A8822" i="1"/>
  <c r="B8822" i="1"/>
  <c r="A8823" i="1"/>
  <c r="B8823" i="1"/>
  <c r="A8824" i="1"/>
  <c r="B8824" i="1"/>
  <c r="A8825" i="1"/>
  <c r="B8825" i="1"/>
  <c r="A8826" i="1"/>
  <c r="B8826" i="1"/>
  <c r="A8827" i="1"/>
  <c r="B8827" i="1"/>
  <c r="A8828" i="1"/>
  <c r="B8828" i="1"/>
  <c r="A8829" i="1"/>
  <c r="B8829" i="1"/>
  <c r="A8830" i="1"/>
  <c r="B8830" i="1"/>
  <c r="A8831" i="1"/>
  <c r="B8831" i="1"/>
  <c r="A8832" i="1"/>
  <c r="B8832" i="1"/>
  <c r="A8833" i="1"/>
  <c r="B8833" i="1"/>
  <c r="A8834" i="1"/>
  <c r="B8834" i="1"/>
  <c r="A8835" i="1"/>
  <c r="B8835" i="1"/>
  <c r="A8836" i="1"/>
  <c r="B8836" i="1"/>
  <c r="A8837" i="1"/>
  <c r="B8837" i="1"/>
  <c r="A8838" i="1"/>
  <c r="B8838" i="1"/>
  <c r="A8839" i="1"/>
  <c r="B8839" i="1"/>
  <c r="A8840" i="1"/>
  <c r="B8840" i="1"/>
  <c r="A8841" i="1"/>
  <c r="B8841" i="1"/>
  <c r="A8842" i="1"/>
  <c r="B8842" i="1"/>
  <c r="A8843" i="1"/>
  <c r="B8843" i="1"/>
  <c r="A8844" i="1"/>
  <c r="B8844" i="1"/>
  <c r="A8845" i="1"/>
  <c r="B8845" i="1"/>
  <c r="A8846" i="1"/>
  <c r="B8846" i="1"/>
  <c r="A8847" i="1"/>
  <c r="B8847" i="1"/>
  <c r="A8848" i="1"/>
  <c r="B8848" i="1"/>
  <c r="A8849" i="1"/>
  <c r="B8849" i="1"/>
  <c r="A8850" i="1"/>
  <c r="B8850" i="1"/>
  <c r="A8851" i="1"/>
  <c r="B8851" i="1"/>
  <c r="A8852" i="1"/>
  <c r="B8852" i="1"/>
  <c r="A8853" i="1"/>
  <c r="B8853" i="1"/>
  <c r="A8854" i="1"/>
  <c r="B8854" i="1"/>
  <c r="A8855" i="1"/>
  <c r="B8855" i="1"/>
  <c r="A8856" i="1"/>
  <c r="B8856" i="1"/>
  <c r="A8857" i="1"/>
  <c r="B8857" i="1"/>
  <c r="A8858" i="1"/>
  <c r="B8858" i="1"/>
  <c r="A8859" i="1"/>
  <c r="B8859" i="1"/>
  <c r="A8860" i="1"/>
  <c r="B8860" i="1"/>
  <c r="A8861" i="1"/>
  <c r="B8861" i="1"/>
  <c r="A8862" i="1"/>
  <c r="B8862" i="1"/>
  <c r="A8863" i="1"/>
  <c r="B8863" i="1"/>
  <c r="A8864" i="1"/>
  <c r="B8864" i="1"/>
  <c r="A8865" i="1"/>
  <c r="B8865" i="1"/>
  <c r="A8866" i="1"/>
  <c r="B8866" i="1"/>
  <c r="A8867" i="1"/>
  <c r="B8867" i="1"/>
  <c r="A8868" i="1"/>
  <c r="B8868" i="1"/>
  <c r="A8869" i="1"/>
  <c r="B8869" i="1"/>
  <c r="A8870" i="1"/>
  <c r="B8870" i="1"/>
  <c r="A8871" i="1"/>
  <c r="B8871" i="1"/>
  <c r="A8872" i="1"/>
  <c r="B8872" i="1"/>
  <c r="A8873" i="1"/>
  <c r="B8873" i="1"/>
  <c r="A8874" i="1"/>
  <c r="B8874" i="1"/>
  <c r="A8875" i="1"/>
  <c r="B8875" i="1"/>
  <c r="A8876" i="1"/>
  <c r="B8876" i="1"/>
  <c r="A8877" i="1"/>
  <c r="B8877" i="1"/>
  <c r="A8878" i="1"/>
  <c r="B8878" i="1"/>
  <c r="A8879" i="1"/>
  <c r="B8879" i="1"/>
  <c r="A8880" i="1"/>
  <c r="B8880" i="1"/>
  <c r="A8881" i="1"/>
  <c r="B8881" i="1"/>
  <c r="A8882" i="1"/>
  <c r="B8882" i="1"/>
  <c r="A8883" i="1"/>
  <c r="B8883" i="1"/>
  <c r="A8884" i="1"/>
  <c r="B8884" i="1"/>
  <c r="A8885" i="1"/>
  <c r="B8885" i="1"/>
  <c r="A8886" i="1"/>
  <c r="B8886" i="1"/>
  <c r="A8887" i="1"/>
  <c r="B8887" i="1"/>
  <c r="A8888" i="1"/>
  <c r="B8888" i="1"/>
  <c r="A8889" i="1"/>
  <c r="B8889" i="1"/>
  <c r="A8890" i="1"/>
  <c r="B8890" i="1"/>
  <c r="A8891" i="1"/>
  <c r="B8891" i="1"/>
  <c r="A8892" i="1"/>
  <c r="B8892" i="1"/>
  <c r="A8893" i="1"/>
  <c r="B8893" i="1"/>
  <c r="A8894" i="1"/>
  <c r="B8894" i="1"/>
  <c r="A8895" i="1"/>
  <c r="B8895" i="1"/>
  <c r="A8896" i="1"/>
  <c r="B8896" i="1"/>
  <c r="A8897" i="1"/>
  <c r="B8897" i="1"/>
  <c r="A8898" i="1"/>
  <c r="B8898" i="1"/>
  <c r="A8899" i="1"/>
  <c r="B8899" i="1"/>
  <c r="A8900" i="1"/>
  <c r="B8900" i="1"/>
  <c r="A8901" i="1"/>
  <c r="B8901" i="1"/>
  <c r="A8902" i="1"/>
  <c r="B8902" i="1"/>
  <c r="A8903" i="1"/>
  <c r="B8903" i="1"/>
  <c r="A8904" i="1"/>
  <c r="B8904" i="1"/>
  <c r="A8905" i="1"/>
  <c r="B8905" i="1"/>
  <c r="A8906" i="1"/>
  <c r="B8906" i="1"/>
  <c r="A8907" i="1"/>
  <c r="B8907" i="1"/>
  <c r="A8908" i="1"/>
  <c r="B8908" i="1"/>
  <c r="A8909" i="1"/>
  <c r="B8909" i="1"/>
  <c r="A8910" i="1"/>
  <c r="B8910" i="1"/>
  <c r="A8911" i="1"/>
  <c r="B8911" i="1"/>
  <c r="A8912" i="1"/>
  <c r="B8912" i="1"/>
  <c r="A8913" i="1"/>
  <c r="B8913" i="1"/>
  <c r="A8914" i="1"/>
  <c r="B8914" i="1"/>
  <c r="A8915" i="1"/>
  <c r="B8915" i="1"/>
  <c r="A8916" i="1"/>
  <c r="B8916" i="1"/>
  <c r="A8917" i="1"/>
  <c r="B8917" i="1"/>
  <c r="A8918" i="1"/>
  <c r="B8918" i="1"/>
  <c r="A8919" i="1"/>
  <c r="B8919" i="1"/>
  <c r="A8920" i="1"/>
  <c r="B8920" i="1"/>
  <c r="A8921" i="1"/>
  <c r="B8921" i="1"/>
  <c r="A8922" i="1"/>
  <c r="B8922" i="1"/>
  <c r="A8923" i="1"/>
  <c r="B8923" i="1"/>
  <c r="A8924" i="1"/>
  <c r="B8924" i="1"/>
  <c r="A8925" i="1"/>
  <c r="B8925" i="1"/>
  <c r="A8926" i="1"/>
  <c r="B8926" i="1"/>
  <c r="A8927" i="1"/>
  <c r="B8927" i="1"/>
  <c r="A8928" i="1"/>
  <c r="B8928" i="1"/>
  <c r="A8929" i="1"/>
  <c r="B8929" i="1"/>
  <c r="A8930" i="1"/>
  <c r="B8930" i="1"/>
  <c r="A8931" i="1"/>
  <c r="B8931" i="1"/>
  <c r="A8932" i="1"/>
  <c r="B8932" i="1"/>
  <c r="A8933" i="1"/>
  <c r="B8933" i="1"/>
  <c r="A8934" i="1"/>
  <c r="B8934" i="1"/>
  <c r="A8935" i="1"/>
  <c r="B8935" i="1"/>
  <c r="A8936" i="1"/>
  <c r="B8936" i="1"/>
  <c r="A8937" i="1"/>
  <c r="B8937" i="1"/>
  <c r="A8938" i="1"/>
  <c r="B8938" i="1"/>
  <c r="A8939" i="1"/>
  <c r="B8939" i="1"/>
  <c r="A8940" i="1"/>
  <c r="B8940" i="1"/>
  <c r="A8941" i="1"/>
  <c r="B8941" i="1"/>
  <c r="A8942" i="1"/>
  <c r="B8942" i="1"/>
  <c r="A8943" i="1"/>
  <c r="B8943" i="1"/>
  <c r="A8944" i="1"/>
  <c r="B8944" i="1"/>
  <c r="A8945" i="1"/>
  <c r="B8945" i="1"/>
  <c r="A8946" i="1"/>
  <c r="B8946" i="1"/>
  <c r="A8947" i="1"/>
  <c r="B8947" i="1"/>
  <c r="A8948" i="1"/>
  <c r="B8948" i="1"/>
  <c r="A8949" i="1"/>
  <c r="B8949" i="1"/>
  <c r="A8950" i="1"/>
  <c r="B8950" i="1"/>
  <c r="A8951" i="1"/>
  <c r="B8951" i="1"/>
  <c r="A8952" i="1"/>
  <c r="B8952" i="1"/>
  <c r="A8953" i="1"/>
  <c r="B8953" i="1"/>
  <c r="A8954" i="1"/>
  <c r="B8954" i="1"/>
  <c r="A8955" i="1"/>
  <c r="B8955" i="1"/>
  <c r="A8956" i="1"/>
  <c r="B8956" i="1"/>
  <c r="A8957" i="1"/>
  <c r="B8957" i="1"/>
  <c r="A8958" i="1"/>
  <c r="B8958" i="1"/>
  <c r="A8959" i="1"/>
  <c r="B8959" i="1"/>
  <c r="A8960" i="1"/>
  <c r="B8960" i="1"/>
  <c r="A8961" i="1"/>
  <c r="B8961" i="1"/>
  <c r="A8962" i="1"/>
  <c r="B8962" i="1"/>
  <c r="A8963" i="1"/>
  <c r="B8963" i="1"/>
  <c r="A8964" i="1"/>
  <c r="B8964" i="1"/>
  <c r="A8965" i="1"/>
  <c r="B8965" i="1"/>
  <c r="A8966" i="1"/>
  <c r="B8966" i="1"/>
  <c r="A8967" i="1"/>
  <c r="B8967" i="1"/>
  <c r="A8968" i="1"/>
  <c r="B8968" i="1"/>
  <c r="A8969" i="1"/>
  <c r="B8969" i="1"/>
  <c r="A8970" i="1"/>
  <c r="B8970" i="1"/>
  <c r="A8971" i="1"/>
  <c r="B8971" i="1"/>
  <c r="A8972" i="1"/>
  <c r="B8972" i="1"/>
  <c r="A8973" i="1"/>
  <c r="B8973" i="1"/>
  <c r="A8974" i="1"/>
  <c r="B8974" i="1"/>
  <c r="A8975" i="1"/>
  <c r="B8975" i="1"/>
  <c r="A8976" i="1"/>
  <c r="B8976" i="1"/>
  <c r="A8977" i="1"/>
  <c r="B8977" i="1"/>
  <c r="A8978" i="1"/>
  <c r="B8978" i="1"/>
  <c r="A8979" i="1"/>
  <c r="B8979" i="1"/>
  <c r="A8980" i="1"/>
  <c r="B8980" i="1"/>
  <c r="A8981" i="1"/>
  <c r="B8981" i="1"/>
  <c r="A8982" i="1"/>
  <c r="B8982" i="1"/>
  <c r="A8983" i="1"/>
  <c r="B8983" i="1"/>
  <c r="A8984" i="1"/>
  <c r="B8984" i="1"/>
  <c r="A8985" i="1"/>
  <c r="B8985" i="1"/>
  <c r="A8986" i="1"/>
  <c r="B8986" i="1"/>
  <c r="A8987" i="1"/>
  <c r="B8987" i="1"/>
  <c r="A8988" i="1"/>
  <c r="B8988" i="1"/>
  <c r="A8989" i="1"/>
  <c r="B8989" i="1"/>
  <c r="A8990" i="1"/>
  <c r="B8990" i="1"/>
  <c r="A8991" i="1"/>
  <c r="B8991" i="1"/>
  <c r="A8992" i="1"/>
  <c r="B8992" i="1"/>
  <c r="A8993" i="1"/>
  <c r="B8993" i="1"/>
  <c r="A8994" i="1"/>
  <c r="B8994" i="1"/>
  <c r="A8995" i="1"/>
  <c r="B8995" i="1"/>
  <c r="A8996" i="1"/>
  <c r="B8996" i="1"/>
  <c r="A8997" i="1"/>
  <c r="B8997" i="1"/>
  <c r="A8998" i="1"/>
  <c r="B8998" i="1"/>
  <c r="A8999" i="1"/>
  <c r="B8999" i="1"/>
  <c r="A9000" i="1"/>
  <c r="B9000" i="1"/>
  <c r="A9001" i="1"/>
  <c r="B9001" i="1"/>
  <c r="A9002" i="1"/>
  <c r="B9002" i="1"/>
  <c r="A9003" i="1"/>
  <c r="B9003" i="1"/>
  <c r="A9004" i="1"/>
  <c r="B9004" i="1"/>
  <c r="A9005" i="1"/>
  <c r="B9005" i="1"/>
  <c r="A9006" i="1"/>
  <c r="B9006" i="1"/>
  <c r="A9007" i="1"/>
  <c r="B9007" i="1"/>
  <c r="A9008" i="1"/>
  <c r="B9008" i="1"/>
  <c r="A9009" i="1"/>
  <c r="B9009" i="1"/>
  <c r="A9010" i="1"/>
  <c r="B9010" i="1"/>
  <c r="A9011" i="1"/>
  <c r="B9011" i="1"/>
  <c r="A9012" i="1"/>
  <c r="B9012" i="1"/>
  <c r="A9013" i="1"/>
  <c r="B9013" i="1"/>
  <c r="A9014" i="1"/>
  <c r="B9014" i="1"/>
  <c r="A9015" i="1"/>
  <c r="B9015" i="1"/>
  <c r="A9016" i="1"/>
  <c r="B9016" i="1"/>
  <c r="A9017" i="1"/>
  <c r="B9017" i="1"/>
  <c r="A9018" i="1"/>
  <c r="B9018" i="1"/>
  <c r="A9019" i="1"/>
  <c r="B9019" i="1"/>
  <c r="A9020" i="1"/>
  <c r="B9020" i="1"/>
  <c r="A9021" i="1"/>
  <c r="B9021" i="1"/>
  <c r="A9022" i="1"/>
  <c r="B9022" i="1"/>
  <c r="A9023" i="1"/>
  <c r="B9023" i="1"/>
  <c r="A9024" i="1"/>
  <c r="B9024" i="1"/>
  <c r="A9025" i="1"/>
  <c r="B9025" i="1"/>
  <c r="A9026" i="1"/>
  <c r="B9026" i="1"/>
  <c r="A9027" i="1"/>
  <c r="B9027" i="1"/>
  <c r="A9028" i="1"/>
  <c r="B9028" i="1"/>
  <c r="A9029" i="1"/>
  <c r="B9029" i="1"/>
  <c r="A9030" i="1"/>
  <c r="B9030" i="1"/>
  <c r="A9031" i="1"/>
  <c r="B9031" i="1"/>
  <c r="A9032" i="1"/>
  <c r="B9032" i="1"/>
  <c r="A9033" i="1"/>
  <c r="B9033" i="1"/>
  <c r="A9034" i="1"/>
  <c r="B9034" i="1"/>
  <c r="A9035" i="1"/>
  <c r="B9035" i="1"/>
  <c r="A9036" i="1"/>
  <c r="B9036" i="1"/>
  <c r="A9037" i="1"/>
  <c r="B9037" i="1"/>
  <c r="A9038" i="1"/>
  <c r="B9038" i="1"/>
  <c r="A9039" i="1"/>
  <c r="B9039" i="1"/>
  <c r="A9040" i="1"/>
  <c r="B9040" i="1"/>
  <c r="A9041" i="1"/>
  <c r="B9041" i="1"/>
  <c r="A9042" i="1"/>
  <c r="B9042" i="1"/>
  <c r="A9043" i="1"/>
  <c r="B9043" i="1"/>
  <c r="A9044" i="1"/>
  <c r="B9044" i="1"/>
  <c r="A9045" i="1"/>
  <c r="B9045" i="1"/>
  <c r="A9046" i="1"/>
  <c r="B9046" i="1"/>
  <c r="A9047" i="1"/>
  <c r="B9047" i="1"/>
  <c r="A9048" i="1"/>
  <c r="B9048" i="1"/>
  <c r="A9049" i="1"/>
  <c r="B9049" i="1"/>
  <c r="A9050" i="1"/>
  <c r="B9050" i="1"/>
  <c r="A9051" i="1"/>
  <c r="B9051" i="1"/>
  <c r="A9052" i="1"/>
  <c r="B9052" i="1"/>
  <c r="A9053" i="1"/>
  <c r="B9053" i="1"/>
  <c r="A9054" i="1"/>
  <c r="B9054" i="1"/>
  <c r="A9055" i="1"/>
  <c r="B9055" i="1"/>
  <c r="A9056" i="1"/>
  <c r="B9056" i="1"/>
  <c r="A9057" i="1"/>
  <c r="B9057" i="1"/>
  <c r="A9058" i="1"/>
  <c r="B9058" i="1"/>
  <c r="A9059" i="1"/>
  <c r="B9059" i="1"/>
  <c r="A9060" i="1"/>
  <c r="B9060" i="1"/>
  <c r="A9061" i="1"/>
  <c r="B9061" i="1"/>
  <c r="A9062" i="1"/>
  <c r="B9062" i="1"/>
  <c r="A9063" i="1"/>
  <c r="B9063" i="1"/>
  <c r="A9064" i="1"/>
  <c r="B9064" i="1"/>
  <c r="A9065" i="1"/>
  <c r="B9065" i="1"/>
  <c r="A9066" i="1"/>
  <c r="B9066" i="1"/>
  <c r="A9067" i="1"/>
  <c r="B9067" i="1"/>
  <c r="A9068" i="1"/>
  <c r="B9068" i="1"/>
  <c r="A9069" i="1"/>
  <c r="B9069" i="1"/>
  <c r="A9070" i="1"/>
  <c r="B9070" i="1"/>
  <c r="A9071" i="1"/>
  <c r="B9071" i="1"/>
  <c r="A9072" i="1"/>
  <c r="B9072" i="1"/>
  <c r="A9073" i="1"/>
  <c r="B9073" i="1"/>
  <c r="A9074" i="1"/>
  <c r="B9074" i="1"/>
  <c r="A9075" i="1"/>
  <c r="B9075" i="1"/>
  <c r="A9076" i="1"/>
  <c r="B9076" i="1"/>
  <c r="A9077" i="1"/>
  <c r="B9077" i="1"/>
  <c r="A9078" i="1"/>
  <c r="B9078" i="1"/>
  <c r="A9079" i="1"/>
  <c r="B9079" i="1"/>
  <c r="A9080" i="1"/>
  <c r="B9080" i="1"/>
  <c r="A9081" i="1"/>
  <c r="B9081" i="1"/>
  <c r="A9082" i="1"/>
  <c r="B9082" i="1"/>
  <c r="A9083" i="1"/>
  <c r="B9083" i="1"/>
  <c r="A9084" i="1"/>
  <c r="B9084" i="1"/>
  <c r="A9085" i="1"/>
  <c r="B9085" i="1"/>
  <c r="A9086" i="1"/>
  <c r="B9086" i="1"/>
  <c r="A9087" i="1"/>
  <c r="B9087" i="1"/>
  <c r="A9088" i="1"/>
  <c r="B9088" i="1"/>
  <c r="A9089" i="1"/>
  <c r="B9089" i="1"/>
  <c r="A9090" i="1"/>
  <c r="B9090" i="1"/>
  <c r="A9091" i="1"/>
  <c r="B9091" i="1"/>
  <c r="A9092" i="1"/>
  <c r="B9092" i="1"/>
  <c r="A9093" i="1"/>
  <c r="B9093" i="1"/>
  <c r="A9094" i="1"/>
  <c r="B9094" i="1"/>
  <c r="A9095" i="1"/>
  <c r="B9095" i="1"/>
  <c r="A9096" i="1"/>
  <c r="B9096" i="1"/>
  <c r="A9097" i="1"/>
  <c r="B9097" i="1"/>
  <c r="A9098" i="1"/>
  <c r="B9098" i="1"/>
  <c r="A9099" i="1"/>
  <c r="B9099" i="1"/>
  <c r="A9100" i="1"/>
  <c r="B9100" i="1"/>
  <c r="A9101" i="1"/>
  <c r="B9101" i="1"/>
  <c r="A9102" i="1"/>
  <c r="B9102" i="1"/>
  <c r="A9103" i="1"/>
  <c r="B9103" i="1"/>
  <c r="A9104" i="1"/>
  <c r="B9104" i="1"/>
  <c r="A9105" i="1"/>
  <c r="B9105" i="1"/>
  <c r="A9106" i="1"/>
  <c r="B9106" i="1"/>
  <c r="A9107" i="1"/>
  <c r="B9107" i="1"/>
  <c r="A9108" i="1"/>
  <c r="B9108" i="1"/>
  <c r="A9109" i="1"/>
  <c r="B9109" i="1"/>
  <c r="A9110" i="1"/>
  <c r="B9110" i="1"/>
  <c r="A9111" i="1"/>
  <c r="B9111" i="1"/>
  <c r="A9112" i="1"/>
  <c r="B9112" i="1"/>
  <c r="A9113" i="1"/>
  <c r="B9113" i="1"/>
  <c r="A9114" i="1"/>
  <c r="B9114" i="1"/>
  <c r="A9115" i="1"/>
  <c r="B9115" i="1"/>
  <c r="A9116" i="1"/>
  <c r="B9116" i="1"/>
  <c r="A9117" i="1"/>
  <c r="B9117" i="1"/>
  <c r="A9118" i="1"/>
  <c r="B9118" i="1"/>
  <c r="A9119" i="1"/>
  <c r="B9119" i="1"/>
  <c r="A9120" i="1"/>
  <c r="B9120" i="1"/>
  <c r="A9121" i="1"/>
  <c r="B9121" i="1"/>
  <c r="A9122" i="1"/>
  <c r="B9122" i="1"/>
  <c r="A9123" i="1"/>
  <c r="B9123" i="1"/>
  <c r="A9124" i="1"/>
  <c r="B9124" i="1"/>
  <c r="A9125" i="1"/>
  <c r="B9125" i="1"/>
  <c r="A9126" i="1"/>
  <c r="B9126" i="1"/>
  <c r="A9127" i="1"/>
  <c r="B9127" i="1"/>
  <c r="A9128" i="1"/>
  <c r="B9128" i="1"/>
  <c r="A9129" i="1"/>
  <c r="B9129" i="1"/>
  <c r="A9130" i="1"/>
  <c r="B9130" i="1"/>
  <c r="A9131" i="1"/>
  <c r="B9131" i="1"/>
  <c r="A9132" i="1"/>
  <c r="B9132" i="1"/>
  <c r="A9133" i="1"/>
  <c r="B9133" i="1"/>
  <c r="A9134" i="1"/>
  <c r="B9134" i="1"/>
  <c r="A9135" i="1"/>
  <c r="B9135" i="1"/>
  <c r="A9136" i="1"/>
  <c r="B9136" i="1"/>
  <c r="A9137" i="1"/>
  <c r="B9137" i="1"/>
  <c r="A9138" i="1"/>
  <c r="B9138" i="1"/>
  <c r="A9139" i="1"/>
  <c r="B9139" i="1"/>
  <c r="A9140" i="1"/>
  <c r="B9140" i="1"/>
  <c r="A9141" i="1"/>
  <c r="B9141" i="1"/>
  <c r="A9142" i="1"/>
  <c r="B9142" i="1"/>
  <c r="A9143" i="1"/>
  <c r="B9143" i="1"/>
  <c r="A9144" i="1"/>
  <c r="B9144" i="1"/>
  <c r="A9145" i="1"/>
  <c r="B9145" i="1"/>
  <c r="A9146" i="1"/>
  <c r="B9146" i="1"/>
  <c r="A9147" i="1"/>
  <c r="B9147" i="1"/>
  <c r="A9148" i="1"/>
  <c r="B9148" i="1"/>
  <c r="A9149" i="1"/>
  <c r="B9149" i="1"/>
  <c r="A9150" i="1"/>
  <c r="B9150" i="1"/>
  <c r="A9151" i="1"/>
  <c r="B9151" i="1"/>
  <c r="A9152" i="1"/>
  <c r="B9152" i="1"/>
  <c r="A9153" i="1"/>
  <c r="B9153" i="1"/>
  <c r="A9154" i="1"/>
  <c r="B9154" i="1"/>
  <c r="A9155" i="1"/>
  <c r="B9155" i="1"/>
  <c r="A9156" i="1"/>
  <c r="B9156" i="1"/>
  <c r="A9157" i="1"/>
  <c r="B9157" i="1"/>
  <c r="A9158" i="1"/>
  <c r="B9158" i="1"/>
  <c r="A9159" i="1"/>
  <c r="B9159" i="1"/>
  <c r="A9160" i="1"/>
  <c r="B9160" i="1"/>
  <c r="A9161" i="1"/>
  <c r="B9161" i="1"/>
  <c r="A9162" i="1"/>
  <c r="B9162" i="1"/>
  <c r="A9163" i="1"/>
  <c r="B9163" i="1"/>
  <c r="A9164" i="1"/>
  <c r="B9164" i="1"/>
  <c r="A9165" i="1"/>
  <c r="B9165" i="1"/>
  <c r="A9166" i="1"/>
  <c r="B9166" i="1"/>
  <c r="A9167" i="1"/>
  <c r="B9167" i="1"/>
  <c r="A9168" i="1"/>
  <c r="B9168" i="1"/>
  <c r="A9169" i="1"/>
  <c r="B9169" i="1"/>
  <c r="A9170" i="1"/>
  <c r="B9170" i="1"/>
  <c r="A9171" i="1"/>
  <c r="B9171" i="1"/>
  <c r="A9172" i="1"/>
  <c r="B9172" i="1"/>
  <c r="A9173" i="1"/>
  <c r="B9173" i="1"/>
  <c r="A9174" i="1"/>
  <c r="B9174" i="1"/>
  <c r="A9175" i="1"/>
  <c r="B9175" i="1"/>
  <c r="A9176" i="1"/>
  <c r="B9176" i="1"/>
  <c r="A9177" i="1"/>
  <c r="B9177" i="1"/>
  <c r="A9178" i="1"/>
  <c r="B9178" i="1"/>
  <c r="A9179" i="1"/>
  <c r="B9179" i="1"/>
  <c r="A9180" i="1"/>
  <c r="B9180" i="1"/>
  <c r="A9181" i="1"/>
  <c r="B9181" i="1"/>
  <c r="A9182" i="1"/>
  <c r="B9182" i="1"/>
  <c r="A9183" i="1"/>
  <c r="B9183" i="1"/>
  <c r="A9184" i="1"/>
  <c r="B9184" i="1"/>
  <c r="A9185" i="1"/>
  <c r="B9185" i="1"/>
  <c r="A9186" i="1"/>
  <c r="B9186" i="1"/>
  <c r="A9187" i="1"/>
  <c r="B9187" i="1"/>
  <c r="A9188" i="1"/>
  <c r="B9188" i="1"/>
  <c r="A9189" i="1"/>
  <c r="B9189" i="1"/>
  <c r="A9190" i="1"/>
  <c r="B9190" i="1"/>
  <c r="A9191" i="1"/>
  <c r="B9191" i="1"/>
  <c r="A9192" i="1"/>
  <c r="B9192" i="1"/>
  <c r="A9193" i="1"/>
  <c r="B9193" i="1"/>
  <c r="A9194" i="1"/>
  <c r="B9194" i="1"/>
  <c r="A9195" i="1"/>
  <c r="B9195" i="1"/>
  <c r="A9196" i="1"/>
  <c r="B9196" i="1"/>
  <c r="A9197" i="1"/>
  <c r="B9197" i="1"/>
  <c r="A9198" i="1"/>
  <c r="B9198" i="1"/>
  <c r="A9199" i="1"/>
  <c r="B9199" i="1"/>
  <c r="A9200" i="1"/>
  <c r="B9200" i="1"/>
  <c r="A9201" i="1"/>
  <c r="B9201" i="1"/>
  <c r="A9202" i="1"/>
  <c r="B9202" i="1"/>
  <c r="A9203" i="1"/>
  <c r="B9203" i="1"/>
  <c r="A9204" i="1"/>
  <c r="B9204" i="1"/>
  <c r="A9205" i="1"/>
  <c r="B9205" i="1"/>
  <c r="A9206" i="1"/>
  <c r="B9206" i="1"/>
  <c r="A9207" i="1"/>
  <c r="B9207" i="1"/>
  <c r="A9208" i="1"/>
  <c r="B9208" i="1"/>
  <c r="A9209" i="1"/>
  <c r="B9209" i="1"/>
  <c r="A9210" i="1"/>
  <c r="B9210" i="1"/>
  <c r="A9211" i="1"/>
  <c r="B9211" i="1"/>
  <c r="A9212" i="1"/>
  <c r="B9212" i="1"/>
  <c r="A9213" i="1"/>
  <c r="B9213" i="1"/>
  <c r="A9214" i="1"/>
  <c r="B9214" i="1"/>
  <c r="A9215" i="1"/>
  <c r="B9215" i="1"/>
  <c r="A9216" i="1"/>
  <c r="B9216" i="1"/>
  <c r="A9217" i="1"/>
  <c r="B9217" i="1"/>
  <c r="A9218" i="1"/>
  <c r="B9218" i="1"/>
  <c r="A9219" i="1"/>
  <c r="B9219" i="1"/>
  <c r="A9220" i="1"/>
  <c r="B9220" i="1"/>
  <c r="A9221" i="1"/>
  <c r="B9221" i="1"/>
  <c r="A9222" i="1"/>
  <c r="B9222" i="1"/>
  <c r="A9223" i="1"/>
  <c r="B9223" i="1"/>
  <c r="A9224" i="1"/>
  <c r="B9224" i="1"/>
  <c r="A9225" i="1"/>
  <c r="B9225" i="1"/>
  <c r="A9226" i="1"/>
  <c r="B9226" i="1"/>
  <c r="A9227" i="1"/>
  <c r="B9227" i="1"/>
  <c r="A9228" i="1"/>
  <c r="B9228" i="1"/>
  <c r="A9229" i="1"/>
  <c r="B9229" i="1"/>
  <c r="A9230" i="1"/>
  <c r="B9230" i="1"/>
  <c r="A9231" i="1"/>
  <c r="B9231" i="1"/>
  <c r="A9232" i="1"/>
  <c r="B9232" i="1"/>
  <c r="A9233" i="1"/>
  <c r="B9233" i="1"/>
  <c r="A9234" i="1"/>
  <c r="B9234" i="1"/>
  <c r="A9235" i="1"/>
  <c r="B9235" i="1"/>
  <c r="A9236" i="1"/>
  <c r="B9236" i="1"/>
  <c r="A9237" i="1"/>
  <c r="B9237" i="1"/>
  <c r="A9238" i="1"/>
  <c r="B9238" i="1"/>
  <c r="A9239" i="1"/>
  <c r="B9239" i="1"/>
  <c r="A9240" i="1"/>
  <c r="B9240" i="1"/>
  <c r="A9241" i="1"/>
  <c r="B9241" i="1"/>
  <c r="A9242" i="1"/>
  <c r="B9242" i="1"/>
  <c r="A9243" i="1"/>
  <c r="B9243" i="1"/>
  <c r="A9244" i="1"/>
  <c r="B9244" i="1"/>
  <c r="A9245" i="1"/>
  <c r="B9245" i="1"/>
  <c r="A9246" i="1"/>
  <c r="B9246" i="1"/>
  <c r="A9247" i="1"/>
  <c r="B9247" i="1"/>
  <c r="A9248" i="1"/>
  <c r="B9248" i="1"/>
  <c r="A9249" i="1"/>
  <c r="B9249" i="1"/>
  <c r="A9250" i="1"/>
  <c r="B9250" i="1"/>
  <c r="A9251" i="1"/>
  <c r="B9251" i="1"/>
  <c r="A9252" i="1"/>
  <c r="B9252" i="1"/>
  <c r="A9253" i="1"/>
  <c r="B9253" i="1"/>
  <c r="A9254" i="1"/>
  <c r="B9254" i="1"/>
  <c r="A9255" i="1"/>
  <c r="B9255" i="1"/>
  <c r="A9256" i="1"/>
  <c r="B9256" i="1"/>
  <c r="A9257" i="1"/>
  <c r="B9257" i="1"/>
  <c r="A9258" i="1"/>
  <c r="B9258" i="1"/>
  <c r="A9259" i="1"/>
  <c r="B9259" i="1"/>
  <c r="A9260" i="1"/>
  <c r="B9260" i="1"/>
  <c r="A9261" i="1"/>
  <c r="B9261" i="1"/>
  <c r="A9262" i="1"/>
  <c r="B9262" i="1"/>
  <c r="A9263" i="1"/>
  <c r="B9263" i="1"/>
  <c r="A9264" i="1"/>
  <c r="B9264" i="1"/>
  <c r="A9265" i="1"/>
  <c r="B9265" i="1"/>
  <c r="A9266" i="1"/>
  <c r="B9266" i="1"/>
  <c r="A9267" i="1"/>
  <c r="B9267" i="1"/>
  <c r="A9268" i="1"/>
  <c r="B9268" i="1"/>
  <c r="A9269" i="1"/>
  <c r="B9269" i="1"/>
  <c r="A9270" i="1"/>
  <c r="B9270" i="1"/>
  <c r="A9271" i="1"/>
  <c r="B9271" i="1"/>
  <c r="A9272" i="1"/>
  <c r="B9272" i="1"/>
  <c r="A9273" i="1"/>
  <c r="B9273" i="1"/>
  <c r="A9274" i="1"/>
  <c r="B9274" i="1"/>
  <c r="A9275" i="1"/>
  <c r="B9275" i="1"/>
  <c r="A9276" i="1"/>
  <c r="B9276" i="1"/>
  <c r="A9277" i="1"/>
  <c r="B9277" i="1"/>
  <c r="A9278" i="1"/>
  <c r="B9278" i="1"/>
  <c r="A9279" i="1"/>
  <c r="B9279" i="1"/>
  <c r="A9280" i="1"/>
  <c r="B9280" i="1"/>
  <c r="A9281" i="1"/>
  <c r="B9281" i="1"/>
  <c r="A9282" i="1"/>
  <c r="B9282" i="1"/>
  <c r="A9283" i="1"/>
  <c r="B9283" i="1"/>
  <c r="A9284" i="1"/>
  <c r="B9284" i="1"/>
  <c r="A9285" i="1"/>
  <c r="B9285" i="1"/>
  <c r="A9286" i="1"/>
  <c r="B9286" i="1"/>
  <c r="A9287" i="1"/>
  <c r="B9287" i="1"/>
  <c r="A9288" i="1"/>
  <c r="B9288" i="1"/>
  <c r="A9289" i="1"/>
  <c r="B9289" i="1"/>
  <c r="A9290" i="1"/>
  <c r="B9290" i="1"/>
  <c r="A9291" i="1"/>
  <c r="B9291" i="1"/>
  <c r="A9292" i="1"/>
  <c r="B9292" i="1"/>
  <c r="A9293" i="1"/>
  <c r="B9293" i="1"/>
  <c r="A9294" i="1"/>
  <c r="B9294" i="1"/>
  <c r="A9295" i="1"/>
  <c r="B9295" i="1"/>
  <c r="A9296" i="1"/>
  <c r="B9296" i="1"/>
  <c r="A9297" i="1"/>
  <c r="B9297" i="1"/>
  <c r="A9298" i="1"/>
  <c r="B9298" i="1"/>
  <c r="A9299" i="1"/>
  <c r="B9299" i="1"/>
  <c r="A9300" i="1"/>
  <c r="B9300" i="1"/>
  <c r="A9301" i="1"/>
  <c r="B9301" i="1"/>
  <c r="A9302" i="1"/>
  <c r="B9302" i="1"/>
  <c r="A9303" i="1"/>
  <c r="B9303" i="1"/>
  <c r="A9304" i="1"/>
  <c r="B9304" i="1"/>
  <c r="A9305" i="1"/>
  <c r="B9305" i="1"/>
  <c r="A9306" i="1"/>
  <c r="B9306" i="1"/>
  <c r="A9307" i="1"/>
  <c r="B9307" i="1"/>
  <c r="A9308" i="1"/>
  <c r="B9308" i="1"/>
  <c r="A9309" i="1"/>
  <c r="B9309" i="1"/>
  <c r="A9310" i="1"/>
  <c r="B9310" i="1"/>
  <c r="A9311" i="1"/>
  <c r="B9311" i="1"/>
  <c r="A9312" i="1"/>
  <c r="B9312" i="1"/>
  <c r="A9313" i="1"/>
  <c r="B9313" i="1"/>
  <c r="A9314" i="1"/>
  <c r="B9314" i="1"/>
  <c r="A9315" i="1"/>
  <c r="B9315" i="1"/>
  <c r="A9316" i="1"/>
  <c r="B9316" i="1"/>
  <c r="A9317" i="1"/>
  <c r="B9317" i="1"/>
  <c r="A9318" i="1"/>
  <c r="B9318" i="1"/>
  <c r="A9319" i="1"/>
  <c r="B9319" i="1"/>
  <c r="A9320" i="1"/>
  <c r="B9320" i="1"/>
  <c r="A9321" i="1"/>
  <c r="B9321" i="1"/>
  <c r="A9322" i="1"/>
  <c r="B9322" i="1"/>
  <c r="A9323" i="1"/>
  <c r="B9323" i="1"/>
  <c r="A9324" i="1"/>
  <c r="B9324" i="1"/>
  <c r="A9325" i="1"/>
  <c r="B9325" i="1"/>
  <c r="A9326" i="1"/>
  <c r="B9326" i="1"/>
  <c r="A9327" i="1"/>
  <c r="B9327" i="1"/>
  <c r="A9328" i="1"/>
  <c r="B9328" i="1"/>
  <c r="A9329" i="1"/>
  <c r="B9329" i="1"/>
  <c r="A9330" i="1"/>
  <c r="B9330" i="1"/>
  <c r="A9331" i="1"/>
  <c r="B9331" i="1"/>
  <c r="A9332" i="1"/>
  <c r="B9332" i="1"/>
  <c r="A9333" i="1"/>
  <c r="B9333" i="1"/>
  <c r="A9334" i="1"/>
  <c r="B9334" i="1"/>
  <c r="A9335" i="1"/>
  <c r="B9335" i="1"/>
  <c r="A9336" i="1"/>
  <c r="B9336" i="1"/>
  <c r="A9337" i="1"/>
  <c r="B9337" i="1"/>
  <c r="A9338" i="1"/>
  <c r="B9338" i="1"/>
  <c r="A9339" i="1"/>
  <c r="B9339" i="1"/>
  <c r="A9340" i="1"/>
  <c r="B9340" i="1"/>
  <c r="A9341" i="1"/>
  <c r="B9341" i="1"/>
  <c r="A9342" i="1"/>
  <c r="B9342" i="1"/>
  <c r="A9343" i="1"/>
  <c r="B9343" i="1"/>
  <c r="A9344" i="1"/>
  <c r="B9344" i="1"/>
  <c r="A9345" i="1"/>
  <c r="B9345" i="1"/>
  <c r="A9346" i="1"/>
  <c r="B9346" i="1"/>
  <c r="A9347" i="1"/>
  <c r="B9347" i="1"/>
  <c r="A9348" i="1"/>
  <c r="B9348" i="1"/>
  <c r="A9349" i="1"/>
  <c r="B9349" i="1"/>
  <c r="A9350" i="1"/>
  <c r="B9350" i="1"/>
  <c r="A9351" i="1"/>
  <c r="B9351" i="1"/>
  <c r="A9352" i="1"/>
  <c r="B9352" i="1"/>
  <c r="A9353" i="1"/>
  <c r="B9353" i="1"/>
  <c r="A9354" i="1"/>
  <c r="B9354" i="1"/>
  <c r="A9355" i="1"/>
  <c r="B9355" i="1"/>
  <c r="A9356" i="1"/>
  <c r="B9356" i="1"/>
  <c r="A9357" i="1"/>
  <c r="B9357" i="1"/>
  <c r="A9358" i="1"/>
  <c r="B9358" i="1"/>
  <c r="A9359" i="1"/>
  <c r="B9359" i="1"/>
  <c r="A9360" i="1"/>
  <c r="B9360" i="1"/>
  <c r="A9361" i="1"/>
  <c r="B9361" i="1"/>
  <c r="A9362" i="1"/>
  <c r="B9362" i="1"/>
  <c r="A9363" i="1"/>
  <c r="B9363" i="1"/>
  <c r="A9364" i="1"/>
  <c r="B9364" i="1"/>
  <c r="A9365" i="1"/>
  <c r="B9365" i="1"/>
  <c r="A9366" i="1"/>
  <c r="B9366" i="1"/>
  <c r="A9367" i="1"/>
  <c r="B9367" i="1"/>
  <c r="A9368" i="1"/>
  <c r="B9368" i="1"/>
  <c r="A9369" i="1"/>
  <c r="B9369" i="1"/>
  <c r="A9370" i="1"/>
  <c r="B9370" i="1"/>
  <c r="A9371" i="1"/>
  <c r="B9371" i="1"/>
  <c r="A9372" i="1"/>
  <c r="B9372" i="1"/>
  <c r="A9373" i="1"/>
  <c r="B9373" i="1"/>
  <c r="A9374" i="1"/>
  <c r="B9374" i="1"/>
  <c r="A9375" i="1"/>
  <c r="B9375" i="1"/>
  <c r="A9376" i="1"/>
  <c r="B9376" i="1"/>
  <c r="A9377" i="1"/>
  <c r="B9377" i="1"/>
  <c r="A9378" i="1"/>
  <c r="B9378" i="1"/>
  <c r="A9379" i="1"/>
  <c r="B9379" i="1"/>
  <c r="A9380" i="1"/>
  <c r="B9380" i="1"/>
  <c r="A9381" i="1"/>
  <c r="B9381" i="1"/>
  <c r="A9382" i="1"/>
  <c r="B9382" i="1"/>
  <c r="A9383" i="1"/>
  <c r="B9383" i="1"/>
  <c r="A9384" i="1"/>
  <c r="B9384" i="1"/>
  <c r="A9385" i="1"/>
  <c r="B9385" i="1"/>
  <c r="A9386" i="1"/>
  <c r="B9386" i="1"/>
  <c r="A9387" i="1"/>
  <c r="B9387" i="1"/>
  <c r="A9388" i="1"/>
  <c r="B9388" i="1"/>
  <c r="A9389" i="1"/>
  <c r="B9389" i="1"/>
  <c r="A9390" i="1"/>
  <c r="B9390" i="1"/>
  <c r="A9391" i="1"/>
  <c r="B9391" i="1"/>
  <c r="A9392" i="1"/>
  <c r="B9392" i="1"/>
  <c r="A9393" i="1"/>
  <c r="B9393" i="1"/>
  <c r="A9394" i="1"/>
  <c r="B9394" i="1"/>
  <c r="A9395" i="1"/>
  <c r="B9395" i="1"/>
  <c r="A9396" i="1"/>
  <c r="B9396" i="1"/>
  <c r="A9397" i="1"/>
  <c r="B9397" i="1"/>
  <c r="A9398" i="1"/>
  <c r="B9398" i="1"/>
  <c r="A9399" i="1"/>
  <c r="B9399" i="1"/>
  <c r="A9400" i="1"/>
  <c r="B9400" i="1"/>
  <c r="A9401" i="1"/>
  <c r="B9401" i="1"/>
  <c r="A9402" i="1"/>
  <c r="B9402" i="1"/>
  <c r="A9403" i="1"/>
  <c r="B9403" i="1"/>
  <c r="A9404" i="1"/>
  <c r="B9404" i="1"/>
  <c r="A9405" i="1"/>
  <c r="B9405" i="1"/>
  <c r="A9406" i="1"/>
  <c r="B9406" i="1"/>
  <c r="A9407" i="1"/>
  <c r="B9407" i="1"/>
  <c r="A9408" i="1"/>
  <c r="B9408" i="1"/>
  <c r="A9409" i="1"/>
  <c r="B9409" i="1"/>
  <c r="A9410" i="1"/>
  <c r="B9410" i="1"/>
  <c r="A9411" i="1"/>
  <c r="B9411" i="1"/>
  <c r="A9412" i="1"/>
  <c r="B9412" i="1"/>
  <c r="A9413" i="1"/>
  <c r="B9413" i="1"/>
  <c r="A9414" i="1"/>
  <c r="B9414" i="1"/>
  <c r="A9415" i="1"/>
  <c r="B9415" i="1"/>
  <c r="A9416" i="1"/>
  <c r="B9416" i="1"/>
  <c r="A9417" i="1"/>
  <c r="B9417" i="1"/>
  <c r="A9418" i="1"/>
  <c r="B9418" i="1"/>
  <c r="A9419" i="1"/>
  <c r="B9419" i="1"/>
  <c r="A9420" i="1"/>
  <c r="B9420" i="1"/>
  <c r="A9421" i="1"/>
  <c r="B9421" i="1"/>
  <c r="A9422" i="1"/>
  <c r="B9422" i="1"/>
  <c r="A9423" i="1"/>
  <c r="B9423" i="1"/>
  <c r="A9424" i="1"/>
  <c r="B9424" i="1"/>
  <c r="A9425" i="1"/>
  <c r="B9425" i="1"/>
  <c r="A9426" i="1"/>
  <c r="B9426" i="1"/>
  <c r="A9427" i="1"/>
  <c r="B9427" i="1"/>
  <c r="A9428" i="1"/>
  <c r="B9428" i="1"/>
  <c r="A9429" i="1"/>
  <c r="B9429" i="1"/>
  <c r="A9430" i="1"/>
  <c r="B9430" i="1"/>
  <c r="A9431" i="1"/>
  <c r="B9431" i="1"/>
  <c r="A9432" i="1"/>
  <c r="B9432" i="1"/>
  <c r="A9433" i="1"/>
  <c r="B9433" i="1"/>
  <c r="A9434" i="1"/>
  <c r="B9434" i="1"/>
  <c r="A9435" i="1"/>
  <c r="B9435" i="1"/>
  <c r="A9436" i="1"/>
  <c r="B9436" i="1"/>
  <c r="A9437" i="1"/>
  <c r="B9437" i="1"/>
  <c r="A9438" i="1"/>
  <c r="B9438" i="1"/>
  <c r="A9439" i="1"/>
  <c r="B9439" i="1"/>
  <c r="A9440" i="1"/>
  <c r="B9440" i="1"/>
  <c r="A9441" i="1"/>
  <c r="B9441" i="1"/>
  <c r="A9442" i="1"/>
  <c r="B9442" i="1"/>
  <c r="A9443" i="1"/>
  <c r="B9443" i="1"/>
  <c r="A9444" i="1"/>
  <c r="B9444" i="1"/>
  <c r="A9445" i="1"/>
  <c r="B9445" i="1"/>
  <c r="A9446" i="1"/>
  <c r="B9446" i="1"/>
  <c r="A9447" i="1"/>
  <c r="B9447" i="1"/>
  <c r="A9448" i="1"/>
  <c r="B9448" i="1"/>
  <c r="A9449" i="1"/>
  <c r="B9449" i="1"/>
  <c r="A9450" i="1"/>
  <c r="B9450" i="1"/>
  <c r="A9451" i="1"/>
  <c r="B9451" i="1"/>
  <c r="A9452" i="1"/>
  <c r="B9452" i="1"/>
  <c r="A9453" i="1"/>
  <c r="B9453" i="1"/>
  <c r="A9454" i="1"/>
  <c r="B9454" i="1"/>
  <c r="A9455" i="1"/>
  <c r="B9455" i="1"/>
  <c r="A9456" i="1"/>
  <c r="B9456" i="1"/>
  <c r="A9457" i="1"/>
  <c r="B9457" i="1"/>
  <c r="A9458" i="1"/>
  <c r="B9458" i="1"/>
  <c r="A9459" i="1"/>
  <c r="B9459" i="1"/>
  <c r="A9460" i="1"/>
  <c r="B9460" i="1"/>
  <c r="A9461" i="1"/>
  <c r="B9461" i="1"/>
  <c r="A9462" i="1"/>
  <c r="B9462" i="1"/>
  <c r="A9463" i="1"/>
  <c r="B9463" i="1"/>
  <c r="A9464" i="1"/>
  <c r="B9464" i="1"/>
  <c r="A9465" i="1"/>
  <c r="B9465" i="1"/>
  <c r="A9466" i="1"/>
  <c r="B9466" i="1"/>
  <c r="A9467" i="1"/>
  <c r="B9467" i="1"/>
  <c r="A9468" i="1"/>
  <c r="B9468" i="1"/>
  <c r="A9469" i="1"/>
  <c r="B9469" i="1"/>
  <c r="A9470" i="1"/>
  <c r="B9470" i="1"/>
  <c r="A9471" i="1"/>
  <c r="B9471" i="1"/>
  <c r="A9472" i="1"/>
  <c r="B9472" i="1"/>
  <c r="A9473" i="1"/>
  <c r="B9473" i="1"/>
  <c r="A9474" i="1"/>
  <c r="B9474" i="1"/>
  <c r="A9475" i="1"/>
  <c r="B9475" i="1"/>
  <c r="A9476" i="1"/>
  <c r="B9476" i="1"/>
  <c r="A9477" i="1"/>
  <c r="B9477" i="1"/>
  <c r="A9478" i="1"/>
  <c r="B9478" i="1"/>
  <c r="A9479" i="1"/>
  <c r="B9479" i="1"/>
  <c r="A9480" i="1"/>
  <c r="B9480" i="1"/>
  <c r="A9481" i="1"/>
  <c r="B9481" i="1"/>
  <c r="A9482" i="1"/>
  <c r="B9482" i="1"/>
  <c r="A9483" i="1"/>
  <c r="B9483" i="1"/>
  <c r="A9484" i="1"/>
  <c r="B9484" i="1"/>
  <c r="A9485" i="1"/>
  <c r="B9485" i="1"/>
  <c r="A9486" i="1"/>
  <c r="B9486" i="1"/>
  <c r="A9487" i="1"/>
  <c r="B9487" i="1"/>
  <c r="A9488" i="1"/>
  <c r="B9488" i="1"/>
  <c r="A9489" i="1"/>
  <c r="B9489" i="1"/>
  <c r="A9490" i="1"/>
  <c r="B9490" i="1"/>
  <c r="A9491" i="1"/>
  <c r="B9491" i="1"/>
  <c r="A9492" i="1"/>
  <c r="B9492" i="1"/>
  <c r="A9493" i="1"/>
  <c r="B9493" i="1"/>
  <c r="A9494" i="1"/>
  <c r="B9494" i="1"/>
  <c r="A9495" i="1"/>
  <c r="B9495" i="1"/>
  <c r="A9496" i="1"/>
  <c r="B9496" i="1"/>
  <c r="A9497" i="1"/>
  <c r="B9497" i="1"/>
  <c r="A9498" i="1"/>
  <c r="B9498" i="1"/>
  <c r="A9499" i="1"/>
  <c r="B9499" i="1"/>
  <c r="A9500" i="1"/>
  <c r="B9500" i="1"/>
  <c r="A9501" i="1"/>
  <c r="B9501" i="1"/>
  <c r="A9502" i="1"/>
  <c r="B9502" i="1"/>
  <c r="A9503" i="1"/>
  <c r="B9503" i="1"/>
  <c r="A9504" i="1"/>
  <c r="B9504" i="1"/>
  <c r="A9505" i="1"/>
  <c r="B9505" i="1"/>
  <c r="A9506" i="1"/>
  <c r="B9506" i="1"/>
  <c r="A9507" i="1"/>
  <c r="B9507" i="1"/>
  <c r="A9508" i="1"/>
  <c r="B9508" i="1"/>
  <c r="A9509" i="1"/>
  <c r="B9509" i="1"/>
  <c r="A9510" i="1"/>
  <c r="B9510" i="1"/>
  <c r="A9511" i="1"/>
  <c r="B9511" i="1"/>
  <c r="A9512" i="1"/>
  <c r="B9512" i="1"/>
  <c r="A9513" i="1"/>
  <c r="B9513" i="1"/>
  <c r="A9514" i="1"/>
  <c r="B9514" i="1"/>
  <c r="A9515" i="1"/>
  <c r="B9515" i="1"/>
  <c r="A9516" i="1"/>
  <c r="B9516" i="1"/>
  <c r="A9517" i="1"/>
  <c r="B9517" i="1"/>
  <c r="A9518" i="1"/>
  <c r="B9518" i="1"/>
  <c r="A9519" i="1"/>
  <c r="B9519" i="1"/>
  <c r="A9520" i="1"/>
  <c r="B9520" i="1"/>
  <c r="A9521" i="1"/>
  <c r="B9521" i="1"/>
  <c r="A9522" i="1"/>
  <c r="B9522" i="1"/>
  <c r="A9523" i="1"/>
  <c r="B9523" i="1"/>
  <c r="A9524" i="1"/>
  <c r="B9524" i="1"/>
  <c r="A9525" i="1"/>
  <c r="B9525" i="1"/>
  <c r="A9526" i="1"/>
  <c r="B9526" i="1"/>
  <c r="A9527" i="1"/>
  <c r="B9527" i="1"/>
  <c r="A9528" i="1"/>
  <c r="B9528" i="1"/>
  <c r="A9529" i="1"/>
  <c r="B9529" i="1"/>
  <c r="A9530" i="1"/>
  <c r="B9530" i="1"/>
  <c r="A9531" i="1"/>
  <c r="B9531" i="1"/>
  <c r="A9532" i="1"/>
  <c r="B9532" i="1"/>
  <c r="A9533" i="1"/>
  <c r="B9533" i="1"/>
  <c r="A9534" i="1"/>
  <c r="B9534" i="1"/>
  <c r="A9535" i="1"/>
  <c r="B9535" i="1"/>
  <c r="A9536" i="1"/>
  <c r="B9536" i="1"/>
  <c r="A9537" i="1"/>
  <c r="B9537" i="1"/>
  <c r="A9538" i="1"/>
  <c r="B9538" i="1"/>
  <c r="A9539" i="1"/>
  <c r="B9539" i="1"/>
  <c r="A9540" i="1"/>
  <c r="B9540" i="1"/>
  <c r="A9541" i="1"/>
  <c r="B9541" i="1"/>
  <c r="A9542" i="1"/>
  <c r="B9542" i="1"/>
  <c r="A9543" i="1"/>
  <c r="B9543" i="1"/>
  <c r="A9544" i="1"/>
  <c r="B9544" i="1"/>
  <c r="A9545" i="1"/>
  <c r="B9545" i="1"/>
  <c r="A9546" i="1"/>
  <c r="B9546" i="1"/>
  <c r="A9547" i="1"/>
  <c r="B9547" i="1"/>
  <c r="A9548" i="1"/>
  <c r="B9548" i="1"/>
  <c r="A9549" i="1"/>
  <c r="B9549" i="1"/>
  <c r="A9550" i="1"/>
  <c r="B9550" i="1"/>
  <c r="A9551" i="1"/>
  <c r="B9551" i="1"/>
  <c r="A9552" i="1"/>
  <c r="B9552" i="1"/>
  <c r="A9553" i="1"/>
  <c r="B9553" i="1"/>
  <c r="A9554" i="1"/>
  <c r="B9554" i="1"/>
  <c r="A9555" i="1"/>
  <c r="B9555" i="1"/>
  <c r="A9556" i="1"/>
  <c r="B9556" i="1"/>
  <c r="A9557" i="1"/>
  <c r="B9557" i="1"/>
  <c r="A9558" i="1"/>
  <c r="B9558" i="1"/>
  <c r="A9559" i="1"/>
  <c r="B9559" i="1"/>
  <c r="A9560" i="1"/>
  <c r="B9560" i="1"/>
  <c r="A9561" i="1"/>
  <c r="B9561" i="1"/>
  <c r="A9562" i="1"/>
  <c r="B9562" i="1"/>
  <c r="A9563" i="1"/>
  <c r="B9563" i="1"/>
  <c r="A9564" i="1"/>
  <c r="B9564" i="1"/>
  <c r="A9565" i="1"/>
  <c r="B9565" i="1"/>
  <c r="A9566" i="1"/>
  <c r="B9566" i="1"/>
  <c r="A9567" i="1"/>
  <c r="B9567" i="1"/>
  <c r="A9568" i="1"/>
  <c r="B9568" i="1"/>
  <c r="A9569" i="1"/>
  <c r="B9569" i="1"/>
  <c r="A9570" i="1"/>
  <c r="B9570" i="1"/>
  <c r="A9571" i="1"/>
  <c r="B9571" i="1"/>
  <c r="A9572" i="1"/>
  <c r="B9572" i="1"/>
  <c r="A9573" i="1"/>
  <c r="B9573" i="1"/>
  <c r="A9574" i="1"/>
  <c r="B9574" i="1"/>
  <c r="A9575" i="1"/>
  <c r="B9575" i="1"/>
  <c r="A9576" i="1"/>
  <c r="B9576" i="1"/>
  <c r="A9577" i="1"/>
  <c r="B9577" i="1"/>
  <c r="A9578" i="1"/>
  <c r="B9578" i="1"/>
  <c r="A9579" i="1"/>
  <c r="B9579" i="1"/>
  <c r="A9580" i="1"/>
  <c r="B9580" i="1"/>
  <c r="A9581" i="1"/>
  <c r="B9581" i="1"/>
  <c r="A9582" i="1"/>
  <c r="B9582" i="1"/>
  <c r="A9583" i="1"/>
  <c r="B9583" i="1"/>
  <c r="A9584" i="1"/>
  <c r="B9584" i="1"/>
  <c r="A9585" i="1"/>
  <c r="B9585" i="1"/>
  <c r="A9586" i="1"/>
  <c r="B9586" i="1"/>
  <c r="A9587" i="1"/>
  <c r="B9587" i="1"/>
  <c r="A9588" i="1"/>
  <c r="B9588" i="1"/>
  <c r="A9589" i="1"/>
  <c r="B9589" i="1"/>
  <c r="A9590" i="1"/>
  <c r="B9590" i="1"/>
  <c r="A9591" i="1"/>
  <c r="B9591" i="1"/>
  <c r="A9592" i="1"/>
  <c r="B9592" i="1"/>
  <c r="A9593" i="1"/>
  <c r="B9593" i="1"/>
  <c r="A9594" i="1"/>
  <c r="B9594" i="1"/>
  <c r="A9595" i="1"/>
  <c r="B9595" i="1"/>
  <c r="A9596" i="1"/>
  <c r="B9596" i="1"/>
  <c r="A9597" i="1"/>
  <c r="B9597" i="1"/>
  <c r="A9598" i="1"/>
  <c r="B9598" i="1"/>
  <c r="A9599" i="1"/>
  <c r="B9599" i="1"/>
  <c r="A9600" i="1"/>
  <c r="B9600" i="1"/>
  <c r="A9601" i="1"/>
  <c r="B9601" i="1"/>
  <c r="A9602" i="1"/>
  <c r="B9602" i="1"/>
  <c r="A9603" i="1"/>
  <c r="B9603" i="1"/>
  <c r="A9604" i="1"/>
  <c r="B9604" i="1"/>
  <c r="A9605" i="1"/>
  <c r="B9605" i="1"/>
  <c r="A9606" i="1"/>
  <c r="B9606" i="1"/>
  <c r="A9607" i="1"/>
  <c r="B9607" i="1"/>
  <c r="A9608" i="1"/>
  <c r="B9608" i="1"/>
  <c r="A9609" i="1"/>
  <c r="B9609" i="1"/>
  <c r="A9610" i="1"/>
  <c r="B9610" i="1"/>
  <c r="A9611" i="1"/>
  <c r="B9611" i="1"/>
  <c r="A9612" i="1"/>
  <c r="B9612" i="1"/>
  <c r="A9613" i="1"/>
  <c r="B9613" i="1"/>
  <c r="A9614" i="1"/>
  <c r="B9614" i="1"/>
  <c r="A9615" i="1"/>
  <c r="B9615" i="1"/>
  <c r="A9616" i="1"/>
  <c r="B9616" i="1"/>
  <c r="A9617" i="1"/>
  <c r="B9617" i="1"/>
  <c r="A9618" i="1"/>
  <c r="B9618" i="1"/>
  <c r="A9619" i="1"/>
  <c r="B9619" i="1"/>
  <c r="A9620" i="1"/>
  <c r="B9620" i="1"/>
  <c r="A9621" i="1"/>
  <c r="B9621" i="1"/>
  <c r="A9622" i="1"/>
  <c r="B9622" i="1"/>
  <c r="A9623" i="1"/>
  <c r="B9623" i="1"/>
  <c r="A9624" i="1"/>
  <c r="B9624" i="1"/>
  <c r="A9625" i="1"/>
  <c r="B9625" i="1"/>
  <c r="A9626" i="1"/>
  <c r="B9626" i="1"/>
  <c r="A9627" i="1"/>
  <c r="B9627" i="1"/>
  <c r="A9628" i="1"/>
  <c r="B9628" i="1"/>
  <c r="A9629" i="1"/>
  <c r="B9629" i="1"/>
  <c r="A9630" i="1"/>
  <c r="B9630" i="1"/>
  <c r="A9631" i="1"/>
  <c r="B9631" i="1"/>
  <c r="A9632" i="1"/>
  <c r="B9632" i="1"/>
  <c r="A9633" i="1"/>
  <c r="B9633" i="1"/>
  <c r="A9634" i="1"/>
  <c r="B9634" i="1"/>
  <c r="A9635" i="1"/>
  <c r="B9635" i="1"/>
  <c r="A9636" i="1"/>
  <c r="B9636" i="1"/>
  <c r="A9637" i="1"/>
  <c r="B9637" i="1"/>
  <c r="A9638" i="1"/>
  <c r="B9638" i="1"/>
  <c r="A9639" i="1"/>
  <c r="B9639" i="1"/>
  <c r="A9640" i="1"/>
  <c r="B9640" i="1"/>
  <c r="A9641" i="1"/>
  <c r="B9641" i="1"/>
  <c r="A9642" i="1"/>
  <c r="B9642" i="1"/>
  <c r="A9643" i="1"/>
  <c r="B9643" i="1"/>
  <c r="A9644" i="1"/>
  <c r="B9644" i="1"/>
  <c r="A9645" i="1"/>
  <c r="B9645" i="1"/>
  <c r="A9646" i="1"/>
  <c r="B9646" i="1"/>
  <c r="A9647" i="1"/>
  <c r="B9647" i="1"/>
  <c r="A9648" i="1"/>
  <c r="B9648" i="1"/>
  <c r="A9649" i="1"/>
  <c r="B9649" i="1"/>
  <c r="A9650" i="1"/>
  <c r="B9650" i="1"/>
  <c r="A9651" i="1"/>
  <c r="B9651" i="1"/>
  <c r="A9652" i="1"/>
  <c r="B9652" i="1"/>
  <c r="A9653" i="1"/>
  <c r="B9653" i="1"/>
  <c r="A9654" i="1"/>
  <c r="B9654" i="1"/>
  <c r="A9655" i="1"/>
  <c r="B9655" i="1"/>
  <c r="A9656" i="1"/>
  <c r="B9656" i="1"/>
  <c r="A9657" i="1"/>
  <c r="B9657" i="1"/>
  <c r="A9658" i="1"/>
  <c r="B9658" i="1"/>
  <c r="A9659" i="1"/>
  <c r="B9659" i="1"/>
  <c r="A9660" i="1"/>
  <c r="B9660" i="1"/>
  <c r="A9661" i="1"/>
  <c r="B9661" i="1"/>
  <c r="A9662" i="1"/>
  <c r="B9662" i="1"/>
  <c r="A9663" i="1"/>
  <c r="B9663" i="1"/>
  <c r="A9664" i="1"/>
  <c r="B9664" i="1"/>
  <c r="A9665" i="1"/>
  <c r="B9665" i="1"/>
  <c r="A9666" i="1"/>
  <c r="B9666" i="1"/>
  <c r="A9667" i="1"/>
  <c r="B9667" i="1"/>
  <c r="A9668" i="1"/>
  <c r="B9668" i="1"/>
  <c r="A9669" i="1"/>
  <c r="B9669" i="1"/>
  <c r="A9670" i="1"/>
  <c r="B9670" i="1"/>
  <c r="A9671" i="1"/>
  <c r="B9671" i="1"/>
  <c r="A9672" i="1"/>
  <c r="B9672" i="1"/>
  <c r="A9673" i="1"/>
  <c r="B9673" i="1"/>
  <c r="A9674" i="1"/>
  <c r="B9674" i="1"/>
  <c r="A9675" i="1"/>
  <c r="B9675" i="1"/>
  <c r="A9676" i="1"/>
  <c r="B9676" i="1"/>
  <c r="A9677" i="1"/>
  <c r="B9677" i="1"/>
  <c r="A9678" i="1"/>
  <c r="B9678" i="1"/>
  <c r="A9679" i="1"/>
  <c r="B9679" i="1"/>
  <c r="A9680" i="1"/>
  <c r="B9680" i="1"/>
  <c r="A9681" i="1"/>
  <c r="B9681" i="1"/>
  <c r="A9682" i="1"/>
  <c r="B9682" i="1"/>
  <c r="A9683" i="1"/>
  <c r="B9683" i="1"/>
  <c r="A9684" i="1"/>
  <c r="B9684" i="1"/>
  <c r="A9685" i="1"/>
  <c r="B9685" i="1"/>
  <c r="A9686" i="1"/>
  <c r="B9686" i="1"/>
  <c r="A9687" i="1"/>
  <c r="B9687" i="1"/>
  <c r="A9688" i="1"/>
  <c r="B9688" i="1"/>
  <c r="A9689" i="1"/>
  <c r="B9689" i="1"/>
  <c r="A9690" i="1"/>
  <c r="B9690" i="1"/>
  <c r="A9691" i="1"/>
  <c r="B9691" i="1"/>
  <c r="A9692" i="1"/>
  <c r="B9692" i="1"/>
  <c r="A9693" i="1"/>
  <c r="B9693" i="1"/>
  <c r="A9694" i="1"/>
  <c r="B9694" i="1"/>
  <c r="A9695" i="1"/>
  <c r="B9695" i="1"/>
  <c r="A9696" i="1"/>
  <c r="B9696" i="1"/>
  <c r="A9697" i="1"/>
  <c r="B9697" i="1"/>
  <c r="A9698" i="1"/>
  <c r="B9698" i="1"/>
  <c r="A9699" i="1"/>
  <c r="B9699" i="1"/>
  <c r="A9700" i="1"/>
  <c r="B9700" i="1"/>
  <c r="A9701" i="1"/>
  <c r="B9701" i="1"/>
  <c r="A9702" i="1"/>
  <c r="B9702" i="1"/>
  <c r="A9703" i="1"/>
  <c r="B9703" i="1"/>
  <c r="A9704" i="1"/>
  <c r="B9704" i="1"/>
  <c r="A9705" i="1"/>
  <c r="B9705" i="1"/>
  <c r="A9706" i="1"/>
  <c r="B9706" i="1"/>
  <c r="A9707" i="1"/>
  <c r="B9707" i="1"/>
  <c r="A9708" i="1"/>
  <c r="B9708" i="1"/>
  <c r="A9709" i="1"/>
  <c r="B9709" i="1"/>
  <c r="A9710" i="1"/>
  <c r="B9710" i="1"/>
  <c r="A9711" i="1"/>
  <c r="B9711" i="1"/>
  <c r="A9712" i="1"/>
  <c r="B9712" i="1"/>
  <c r="A9713" i="1"/>
  <c r="B9713" i="1"/>
  <c r="A9714" i="1"/>
  <c r="B9714" i="1"/>
  <c r="A9715" i="1"/>
  <c r="B9715" i="1"/>
  <c r="A9716" i="1"/>
  <c r="B9716" i="1"/>
  <c r="A9717" i="1"/>
  <c r="B9717" i="1"/>
  <c r="A9718" i="1"/>
  <c r="B9718" i="1"/>
  <c r="A9719" i="1"/>
  <c r="B9719" i="1"/>
  <c r="A9720" i="1"/>
  <c r="B9720" i="1"/>
  <c r="A9721" i="1"/>
  <c r="B9721" i="1"/>
  <c r="A9722" i="1"/>
  <c r="B9722" i="1"/>
  <c r="A9723" i="1"/>
  <c r="B9723" i="1"/>
  <c r="A9724" i="1"/>
  <c r="B9724" i="1"/>
  <c r="A9725" i="1"/>
  <c r="B9725" i="1"/>
  <c r="A9726" i="1"/>
  <c r="B9726" i="1"/>
  <c r="A9727" i="1"/>
  <c r="B9727" i="1"/>
  <c r="A9728" i="1"/>
  <c r="B9728" i="1"/>
  <c r="A9729" i="1"/>
  <c r="B9729" i="1"/>
  <c r="A9730" i="1"/>
  <c r="B9730" i="1"/>
  <c r="A9731" i="1"/>
  <c r="B9731" i="1"/>
  <c r="A9732" i="1"/>
  <c r="B9732" i="1"/>
  <c r="A9733" i="1"/>
  <c r="B9733" i="1"/>
  <c r="A9734" i="1"/>
  <c r="B9734" i="1"/>
  <c r="A9735" i="1"/>
  <c r="B9735" i="1"/>
  <c r="A9736" i="1"/>
  <c r="B9736" i="1"/>
  <c r="A9737" i="1"/>
  <c r="B9737" i="1"/>
  <c r="A9738" i="1"/>
  <c r="B9738" i="1"/>
  <c r="A9739" i="1"/>
  <c r="B9739" i="1"/>
  <c r="A9740" i="1"/>
  <c r="B9740" i="1"/>
  <c r="A9741" i="1"/>
  <c r="B9741" i="1"/>
  <c r="A9742" i="1"/>
  <c r="B9742" i="1"/>
  <c r="A9743" i="1"/>
  <c r="B9743" i="1"/>
  <c r="A9744" i="1"/>
  <c r="B9744" i="1"/>
  <c r="A9745" i="1"/>
  <c r="B9745" i="1"/>
  <c r="A9746" i="1"/>
  <c r="B9746" i="1"/>
  <c r="A9747" i="1"/>
  <c r="B9747" i="1"/>
  <c r="A9748" i="1"/>
  <c r="B9748" i="1"/>
  <c r="A9749" i="1"/>
  <c r="B9749" i="1"/>
  <c r="A9750" i="1"/>
  <c r="B9750" i="1"/>
  <c r="A9751" i="1"/>
  <c r="B9751" i="1"/>
  <c r="A9752" i="1"/>
  <c r="B9752" i="1"/>
  <c r="A9753" i="1"/>
  <c r="B9753" i="1"/>
  <c r="A9754" i="1"/>
  <c r="B9754" i="1"/>
  <c r="A9755" i="1"/>
  <c r="B9755" i="1"/>
  <c r="A9756" i="1"/>
  <c r="B9756" i="1"/>
  <c r="A9757" i="1"/>
  <c r="B9757" i="1"/>
  <c r="A9758" i="1"/>
  <c r="B9758" i="1"/>
  <c r="A9759" i="1"/>
  <c r="B9759" i="1"/>
  <c r="A9760" i="1"/>
  <c r="B9760" i="1"/>
  <c r="A9761" i="1"/>
  <c r="B9761" i="1"/>
  <c r="A9762" i="1"/>
  <c r="B9762" i="1"/>
  <c r="A9763" i="1"/>
  <c r="B9763" i="1"/>
  <c r="A9764" i="1"/>
  <c r="B9764" i="1"/>
  <c r="A9765" i="1"/>
  <c r="B9765" i="1"/>
  <c r="A9766" i="1"/>
  <c r="B9766" i="1"/>
  <c r="A9767" i="1"/>
  <c r="B9767" i="1"/>
  <c r="A9768" i="1"/>
  <c r="B9768" i="1"/>
  <c r="A9769" i="1"/>
  <c r="B9769" i="1"/>
  <c r="A9770" i="1"/>
  <c r="B9770" i="1"/>
  <c r="A9771" i="1"/>
  <c r="B9771" i="1"/>
  <c r="A9772" i="1"/>
  <c r="B9772" i="1"/>
  <c r="A9773" i="1"/>
  <c r="B9773" i="1"/>
  <c r="A9774" i="1"/>
  <c r="B9774" i="1"/>
  <c r="A9775" i="1"/>
  <c r="B9775" i="1"/>
  <c r="A9776" i="1"/>
  <c r="B9776" i="1"/>
  <c r="A9777" i="1"/>
  <c r="B9777" i="1"/>
  <c r="A9778" i="1"/>
  <c r="B9778" i="1"/>
  <c r="A9779" i="1"/>
  <c r="B9779" i="1"/>
  <c r="A9780" i="1"/>
  <c r="B9780" i="1"/>
  <c r="A9781" i="1"/>
  <c r="B9781" i="1"/>
  <c r="A9782" i="1"/>
  <c r="B9782" i="1"/>
  <c r="A9783" i="1"/>
  <c r="B9783" i="1"/>
  <c r="A9784" i="1"/>
  <c r="B9784" i="1"/>
  <c r="A9785" i="1"/>
  <c r="B9785" i="1"/>
  <c r="A9786" i="1"/>
  <c r="B9786" i="1"/>
  <c r="A9787" i="1"/>
  <c r="B9787" i="1"/>
  <c r="A9788" i="1"/>
  <c r="B9788" i="1"/>
  <c r="A9789" i="1"/>
  <c r="B9789" i="1"/>
  <c r="A9790" i="1"/>
  <c r="B9790" i="1"/>
  <c r="A9791" i="1"/>
  <c r="B9791" i="1"/>
  <c r="A9792" i="1"/>
  <c r="B9792" i="1"/>
  <c r="A9793" i="1"/>
  <c r="B9793" i="1"/>
  <c r="A9794" i="1"/>
  <c r="B9794" i="1"/>
  <c r="A9795" i="1"/>
  <c r="B9795" i="1"/>
  <c r="A9796" i="1"/>
  <c r="B9796" i="1"/>
  <c r="A9797" i="1"/>
  <c r="B9797" i="1"/>
  <c r="A9798" i="1"/>
  <c r="B9798" i="1"/>
  <c r="A9799" i="1"/>
  <c r="B9799" i="1"/>
  <c r="A9800" i="1"/>
  <c r="B9800" i="1"/>
  <c r="A9801" i="1"/>
  <c r="B9801" i="1"/>
  <c r="A9802" i="1"/>
  <c r="B9802" i="1"/>
  <c r="A9803" i="1"/>
  <c r="B9803" i="1"/>
  <c r="A9804" i="1"/>
  <c r="B9804" i="1"/>
  <c r="A9805" i="1"/>
  <c r="B9805" i="1"/>
  <c r="A9806" i="1"/>
  <c r="B9806" i="1"/>
  <c r="A9807" i="1"/>
  <c r="B9807" i="1"/>
  <c r="A9808" i="1"/>
  <c r="B9808" i="1"/>
  <c r="A9809" i="1"/>
  <c r="B9809" i="1"/>
  <c r="A9810" i="1"/>
  <c r="B9810" i="1"/>
  <c r="A9811" i="1"/>
  <c r="B9811" i="1"/>
  <c r="A9812" i="1"/>
  <c r="B9812" i="1"/>
  <c r="A9813" i="1"/>
  <c r="B9813" i="1"/>
  <c r="A9814" i="1"/>
  <c r="B9814" i="1"/>
  <c r="A9815" i="1"/>
  <c r="B9815" i="1"/>
  <c r="A9816" i="1"/>
  <c r="B9816" i="1"/>
  <c r="A9817" i="1"/>
  <c r="B9817" i="1"/>
  <c r="A9818" i="1"/>
  <c r="B9818" i="1"/>
  <c r="A9819" i="1"/>
  <c r="B9819" i="1"/>
  <c r="A9820" i="1"/>
  <c r="B9820" i="1"/>
  <c r="A9821" i="1"/>
  <c r="B9821" i="1"/>
  <c r="A9822" i="1"/>
  <c r="B9822" i="1"/>
  <c r="A9823" i="1"/>
  <c r="B9823" i="1"/>
  <c r="A9824" i="1"/>
  <c r="B9824" i="1"/>
  <c r="A9825" i="1"/>
  <c r="B9825" i="1"/>
  <c r="A9826" i="1"/>
  <c r="B9826" i="1"/>
  <c r="A9827" i="1"/>
  <c r="B9827" i="1"/>
  <c r="A9828" i="1"/>
  <c r="B9828" i="1"/>
  <c r="A9829" i="1"/>
  <c r="B9829" i="1"/>
  <c r="A9830" i="1"/>
  <c r="B9830" i="1"/>
  <c r="A9831" i="1"/>
  <c r="B9831" i="1"/>
  <c r="A9832" i="1"/>
  <c r="B9832" i="1"/>
  <c r="A9833" i="1"/>
  <c r="B9833" i="1"/>
  <c r="A9834" i="1"/>
  <c r="B9834" i="1"/>
  <c r="A9835" i="1"/>
  <c r="B9835" i="1"/>
  <c r="A9836" i="1"/>
  <c r="B9836" i="1"/>
  <c r="A9837" i="1"/>
  <c r="B9837" i="1"/>
  <c r="A9838" i="1"/>
  <c r="B9838" i="1"/>
  <c r="A9839" i="1"/>
  <c r="B9839" i="1"/>
  <c r="A9840" i="1"/>
  <c r="B9840" i="1"/>
  <c r="A9841" i="1"/>
  <c r="B9841" i="1"/>
  <c r="A9842" i="1"/>
  <c r="B9842" i="1"/>
  <c r="A9843" i="1"/>
  <c r="B9843" i="1"/>
  <c r="A9844" i="1"/>
  <c r="B9844" i="1"/>
  <c r="A9845" i="1"/>
  <c r="B9845" i="1"/>
  <c r="A9846" i="1"/>
  <c r="B9846" i="1"/>
  <c r="A9847" i="1"/>
  <c r="B9847" i="1"/>
  <c r="A9848" i="1"/>
  <c r="B9848" i="1"/>
  <c r="A9849" i="1"/>
  <c r="B9849" i="1"/>
  <c r="A9850" i="1"/>
  <c r="B9850" i="1"/>
  <c r="A9851" i="1"/>
  <c r="B9851" i="1"/>
  <c r="A9852" i="1"/>
  <c r="B9852" i="1"/>
  <c r="A9853" i="1"/>
  <c r="B9853" i="1"/>
  <c r="A9854" i="1"/>
  <c r="B9854" i="1"/>
  <c r="A9855" i="1"/>
  <c r="B9855" i="1"/>
  <c r="A9856" i="1"/>
  <c r="B9856" i="1"/>
  <c r="A9857" i="1"/>
  <c r="B9857" i="1"/>
  <c r="A9858" i="1"/>
  <c r="B9858" i="1"/>
  <c r="A9859" i="1"/>
  <c r="B9859" i="1"/>
  <c r="A9860" i="1"/>
  <c r="B9860" i="1"/>
  <c r="A9861" i="1"/>
  <c r="B9861" i="1"/>
  <c r="A9862" i="1"/>
  <c r="B9862" i="1"/>
  <c r="A9863" i="1"/>
  <c r="B9863" i="1"/>
  <c r="A9864" i="1"/>
  <c r="B9864" i="1"/>
  <c r="A9865" i="1"/>
  <c r="B9865" i="1"/>
  <c r="A9866" i="1"/>
  <c r="B9866" i="1"/>
  <c r="A9867" i="1"/>
  <c r="B9867" i="1"/>
  <c r="A9868" i="1"/>
  <c r="B9868" i="1"/>
  <c r="A9869" i="1"/>
  <c r="B9869" i="1"/>
  <c r="A9870" i="1"/>
  <c r="B9870" i="1"/>
  <c r="A9871" i="1"/>
  <c r="B9871" i="1"/>
  <c r="A9872" i="1"/>
  <c r="B9872" i="1"/>
  <c r="A9873" i="1"/>
  <c r="B9873" i="1"/>
  <c r="A9874" i="1"/>
  <c r="B9874" i="1"/>
  <c r="A9875" i="1"/>
  <c r="B9875" i="1"/>
  <c r="A9876" i="1"/>
  <c r="B9876" i="1"/>
  <c r="A9877" i="1"/>
  <c r="B9877" i="1"/>
  <c r="A9878" i="1"/>
  <c r="B9878" i="1"/>
  <c r="A9879" i="1"/>
  <c r="B9879" i="1"/>
  <c r="A9880" i="1"/>
  <c r="B9880" i="1"/>
  <c r="A9881" i="1"/>
  <c r="B9881" i="1"/>
  <c r="A9882" i="1"/>
  <c r="B9882" i="1"/>
  <c r="A9883" i="1"/>
  <c r="B9883" i="1"/>
  <c r="A9884" i="1"/>
  <c r="B9884" i="1"/>
  <c r="A9885" i="1"/>
  <c r="B9885" i="1"/>
  <c r="A9886" i="1"/>
  <c r="B9886" i="1"/>
  <c r="A9887" i="1"/>
  <c r="B9887" i="1"/>
  <c r="A9888" i="1"/>
  <c r="B9888" i="1"/>
  <c r="A9889" i="1"/>
  <c r="B9889" i="1"/>
  <c r="A9890" i="1"/>
  <c r="B9890" i="1"/>
  <c r="A9891" i="1"/>
  <c r="B9891" i="1"/>
  <c r="A9892" i="1"/>
  <c r="B9892" i="1"/>
  <c r="A9893" i="1"/>
  <c r="B9893" i="1"/>
  <c r="A9894" i="1"/>
  <c r="B9894" i="1"/>
  <c r="A9895" i="1"/>
  <c r="B9895" i="1"/>
  <c r="A9896" i="1"/>
  <c r="B9896" i="1"/>
  <c r="A9897" i="1"/>
  <c r="B9897" i="1"/>
  <c r="A9898" i="1"/>
  <c r="B9898" i="1"/>
  <c r="A9899" i="1"/>
  <c r="B9899" i="1"/>
  <c r="A9900" i="1"/>
  <c r="B9900" i="1"/>
  <c r="A9901" i="1"/>
  <c r="B9901" i="1"/>
  <c r="A9902" i="1"/>
  <c r="B9902" i="1"/>
  <c r="A9903" i="1"/>
  <c r="B9903" i="1"/>
  <c r="A9904" i="1"/>
  <c r="B9904" i="1"/>
  <c r="A9905" i="1"/>
  <c r="B9905" i="1"/>
  <c r="A9906" i="1"/>
  <c r="B9906" i="1"/>
  <c r="A9907" i="1"/>
  <c r="B9907" i="1"/>
  <c r="A9908" i="1"/>
  <c r="B9908" i="1"/>
  <c r="A9909" i="1"/>
  <c r="B9909" i="1"/>
  <c r="A9910" i="1"/>
  <c r="B9910" i="1"/>
  <c r="A9911" i="1"/>
  <c r="B9911" i="1"/>
  <c r="A9912" i="1"/>
  <c r="B9912" i="1"/>
  <c r="A9913" i="1"/>
  <c r="B9913" i="1"/>
  <c r="A9914" i="1"/>
  <c r="B9914" i="1"/>
  <c r="A9915" i="1"/>
  <c r="B9915" i="1"/>
  <c r="A9916" i="1"/>
  <c r="B9916" i="1"/>
  <c r="A9917" i="1"/>
  <c r="B9917" i="1"/>
  <c r="A9918" i="1"/>
  <c r="B9918" i="1"/>
  <c r="A9919" i="1"/>
  <c r="B9919" i="1"/>
  <c r="A9920" i="1"/>
  <c r="B9920" i="1"/>
  <c r="A9921" i="1"/>
  <c r="B9921" i="1"/>
  <c r="A9922" i="1"/>
  <c r="B9922" i="1"/>
  <c r="A9923" i="1"/>
  <c r="B9923" i="1"/>
  <c r="A9924" i="1"/>
  <c r="B9924" i="1"/>
  <c r="A9925" i="1"/>
  <c r="B9925" i="1"/>
  <c r="A9926" i="1"/>
  <c r="B9926" i="1"/>
  <c r="A9927" i="1"/>
  <c r="B9927" i="1"/>
  <c r="A9928" i="1"/>
  <c r="B9928" i="1"/>
  <c r="A9929" i="1"/>
  <c r="B9929" i="1"/>
  <c r="A9930" i="1"/>
  <c r="B9930" i="1"/>
  <c r="A9931" i="1"/>
  <c r="B9931" i="1"/>
  <c r="A9932" i="1"/>
  <c r="B9932" i="1"/>
  <c r="A9933" i="1"/>
  <c r="B9933" i="1"/>
  <c r="A9934" i="1"/>
  <c r="B9934" i="1"/>
  <c r="A9935" i="1"/>
  <c r="B9935" i="1"/>
  <c r="A9936" i="1"/>
  <c r="B9936" i="1"/>
  <c r="A9937" i="1"/>
  <c r="B9937" i="1"/>
  <c r="A9938" i="1"/>
  <c r="B9938" i="1"/>
  <c r="A9939" i="1"/>
  <c r="B9939" i="1"/>
  <c r="A9940" i="1"/>
  <c r="B9940" i="1"/>
  <c r="A9941" i="1"/>
  <c r="B9941" i="1"/>
  <c r="A9942" i="1"/>
  <c r="B9942" i="1"/>
  <c r="A9943" i="1"/>
  <c r="B9943" i="1"/>
  <c r="A9944" i="1"/>
  <c r="B9944" i="1"/>
  <c r="A9945" i="1"/>
  <c r="B9945" i="1"/>
  <c r="A9946" i="1"/>
  <c r="B9946" i="1"/>
  <c r="A9947" i="1"/>
  <c r="B9947" i="1"/>
  <c r="A9948" i="1"/>
  <c r="B9948" i="1"/>
  <c r="A9949" i="1"/>
  <c r="B9949" i="1"/>
  <c r="A9950" i="1"/>
  <c r="B9950" i="1"/>
  <c r="A9951" i="1"/>
  <c r="B9951" i="1"/>
  <c r="A9952" i="1"/>
  <c r="B9952" i="1"/>
  <c r="A9953" i="1"/>
  <c r="B9953" i="1"/>
  <c r="A9954" i="1"/>
  <c r="B9954" i="1"/>
  <c r="A9955" i="1"/>
  <c r="B9955" i="1"/>
  <c r="A9956" i="1"/>
  <c r="B9956" i="1"/>
  <c r="A9957" i="1"/>
  <c r="B9957" i="1"/>
  <c r="A9958" i="1"/>
  <c r="B9958" i="1"/>
  <c r="A9959" i="1"/>
  <c r="B9959" i="1"/>
  <c r="A9960" i="1"/>
  <c r="B9960" i="1"/>
  <c r="A9961" i="1"/>
  <c r="B9961" i="1"/>
  <c r="A9962" i="1"/>
  <c r="B9962" i="1"/>
  <c r="A9963" i="1"/>
  <c r="B9963" i="1"/>
  <c r="A9964" i="1"/>
  <c r="B9964" i="1"/>
  <c r="A9965" i="1"/>
  <c r="B9965" i="1"/>
  <c r="A9966" i="1"/>
  <c r="B9966" i="1"/>
  <c r="A9967" i="1"/>
  <c r="B9967" i="1"/>
  <c r="A9968" i="1"/>
  <c r="B9968" i="1"/>
  <c r="A9969" i="1"/>
  <c r="B9969" i="1"/>
  <c r="A9970" i="1"/>
  <c r="B9970" i="1"/>
  <c r="A9971" i="1"/>
  <c r="B9971" i="1"/>
  <c r="A9972" i="1"/>
  <c r="B9972" i="1"/>
  <c r="A9973" i="1"/>
  <c r="B9973" i="1"/>
  <c r="A9974" i="1"/>
  <c r="B9974" i="1"/>
  <c r="A9975" i="1"/>
  <c r="B9975" i="1"/>
  <c r="A9976" i="1"/>
  <c r="B9976" i="1"/>
  <c r="A9977" i="1"/>
  <c r="B9977" i="1"/>
  <c r="A9978" i="1"/>
  <c r="B9978" i="1"/>
  <c r="A9979" i="1"/>
  <c r="B9979" i="1"/>
  <c r="A9980" i="1"/>
  <c r="B9980" i="1"/>
  <c r="A9981" i="1"/>
  <c r="B9981" i="1"/>
  <c r="A9982" i="1"/>
  <c r="B9982" i="1"/>
  <c r="A9983" i="1"/>
  <c r="B9983" i="1"/>
  <c r="A9984" i="1"/>
  <c r="B9984" i="1"/>
  <c r="A9985" i="1"/>
  <c r="B9985" i="1"/>
  <c r="A9986" i="1"/>
  <c r="B9986" i="1"/>
  <c r="A9987" i="1"/>
  <c r="B9987" i="1"/>
  <c r="A9988" i="1"/>
  <c r="B9988" i="1"/>
  <c r="A9989" i="1"/>
  <c r="B9989" i="1"/>
  <c r="A9990" i="1"/>
  <c r="B9990" i="1"/>
  <c r="A9991" i="1"/>
  <c r="B9991" i="1"/>
  <c r="A9992" i="1"/>
  <c r="B9992" i="1"/>
  <c r="A9993" i="1"/>
  <c r="B9993" i="1"/>
  <c r="A9994" i="1"/>
  <c r="B9994" i="1"/>
  <c r="A9995" i="1"/>
  <c r="B9995" i="1"/>
  <c r="A9996" i="1"/>
  <c r="B9996" i="1"/>
  <c r="A9997" i="1"/>
  <c r="B9997" i="1"/>
  <c r="A9998" i="1"/>
  <c r="B9998" i="1"/>
  <c r="A9999" i="1"/>
  <c r="B9999" i="1"/>
  <c r="A10000" i="1"/>
  <c r="B10000" i="1"/>
  <c r="A10001" i="1"/>
  <c r="B10001" i="1"/>
  <c r="A10002" i="1"/>
  <c r="B10002" i="1"/>
  <c r="A10003" i="1"/>
  <c r="B10003" i="1"/>
  <c r="A10004" i="1"/>
  <c r="B10004" i="1"/>
  <c r="A10005" i="1"/>
  <c r="B10005" i="1"/>
  <c r="A10006" i="1"/>
  <c r="B10006" i="1"/>
  <c r="A10007" i="1"/>
  <c r="B10007" i="1"/>
  <c r="A10008" i="1"/>
  <c r="B10008" i="1"/>
  <c r="A10009" i="1"/>
  <c r="B10009" i="1"/>
  <c r="A10010" i="1"/>
  <c r="B10010" i="1"/>
  <c r="A10011" i="1"/>
  <c r="B10011" i="1"/>
  <c r="A10012" i="1"/>
  <c r="B10012" i="1"/>
  <c r="A10013" i="1"/>
  <c r="B10013" i="1"/>
  <c r="A10014" i="1"/>
  <c r="B10014" i="1"/>
  <c r="A10015" i="1"/>
  <c r="B10015" i="1"/>
  <c r="A10016" i="1"/>
  <c r="B10016" i="1"/>
  <c r="A10017" i="1"/>
  <c r="B10017" i="1"/>
  <c r="A10018" i="1"/>
  <c r="B10018" i="1"/>
  <c r="A10019" i="1"/>
  <c r="B10019" i="1"/>
  <c r="A10020" i="1"/>
  <c r="B10020" i="1"/>
  <c r="A10021" i="1"/>
  <c r="B10021" i="1"/>
  <c r="A10022" i="1"/>
  <c r="B10022" i="1"/>
  <c r="A10023" i="1"/>
  <c r="B10023" i="1"/>
  <c r="A10024" i="1"/>
  <c r="B10024" i="1"/>
  <c r="A10025" i="1"/>
  <c r="B10025" i="1"/>
  <c r="A10026" i="1"/>
  <c r="B10026" i="1"/>
  <c r="A10027" i="1"/>
  <c r="B10027" i="1"/>
  <c r="A10028" i="1"/>
  <c r="B10028" i="1"/>
  <c r="A10029" i="1"/>
  <c r="B10029" i="1"/>
  <c r="A10030" i="1"/>
  <c r="B10030" i="1"/>
  <c r="A10031" i="1"/>
  <c r="B10031" i="1"/>
  <c r="A10032" i="1"/>
  <c r="B10032" i="1"/>
  <c r="A10033" i="1"/>
  <c r="B10033" i="1"/>
  <c r="A10034" i="1"/>
  <c r="B10034" i="1"/>
  <c r="A10035" i="1"/>
  <c r="B10035" i="1"/>
  <c r="A10036" i="1"/>
  <c r="B10036" i="1"/>
  <c r="A10037" i="1"/>
  <c r="B10037" i="1"/>
  <c r="A10038" i="1"/>
  <c r="B10038" i="1"/>
  <c r="A10039" i="1"/>
  <c r="B10039" i="1"/>
  <c r="A10040" i="1"/>
  <c r="B10040" i="1"/>
  <c r="A10041" i="1"/>
  <c r="B10041" i="1"/>
  <c r="A10042" i="1"/>
  <c r="B10042" i="1"/>
  <c r="A10043" i="1"/>
  <c r="B10043" i="1"/>
  <c r="A10044" i="1"/>
  <c r="B10044" i="1"/>
  <c r="A10045" i="1"/>
  <c r="B10045" i="1"/>
  <c r="A10046" i="1"/>
  <c r="B10046" i="1"/>
  <c r="A10047" i="1"/>
  <c r="B10047" i="1"/>
  <c r="A10048" i="1"/>
  <c r="B10048" i="1"/>
  <c r="A10049" i="1"/>
  <c r="B10049" i="1"/>
  <c r="A10050" i="1"/>
  <c r="B10050" i="1"/>
  <c r="A10051" i="1"/>
  <c r="B10051" i="1"/>
  <c r="A10052" i="1"/>
  <c r="B10052" i="1"/>
  <c r="A10053" i="1"/>
  <c r="B10053" i="1"/>
  <c r="A10054" i="1"/>
  <c r="B10054" i="1"/>
  <c r="A10055" i="1"/>
  <c r="B10055" i="1"/>
  <c r="A10056" i="1"/>
  <c r="B10056" i="1"/>
  <c r="A10057" i="1"/>
  <c r="B10057" i="1"/>
  <c r="A10058" i="1"/>
  <c r="B10058" i="1"/>
  <c r="A10059" i="1"/>
  <c r="B10059" i="1"/>
  <c r="A10060" i="1"/>
  <c r="B10060" i="1"/>
  <c r="A10061" i="1"/>
  <c r="B10061" i="1"/>
  <c r="A10062" i="1"/>
  <c r="B10062" i="1"/>
  <c r="A10063" i="1"/>
  <c r="B10063" i="1"/>
  <c r="A10064" i="1"/>
  <c r="B10064" i="1"/>
  <c r="A10065" i="1"/>
  <c r="B10065" i="1"/>
  <c r="A10066" i="1"/>
  <c r="B10066" i="1"/>
  <c r="A10067" i="1"/>
  <c r="B10067" i="1"/>
  <c r="A10068" i="1"/>
  <c r="B10068" i="1"/>
  <c r="A10069" i="1"/>
  <c r="B10069" i="1"/>
  <c r="A10070" i="1"/>
  <c r="B10070" i="1"/>
  <c r="A10071" i="1"/>
  <c r="B10071" i="1"/>
  <c r="A10072" i="1"/>
  <c r="B10072" i="1"/>
  <c r="A10073" i="1"/>
  <c r="B10073" i="1"/>
  <c r="A10074" i="1"/>
  <c r="B10074" i="1"/>
  <c r="A10075" i="1"/>
  <c r="B10075" i="1"/>
  <c r="A10076" i="1"/>
  <c r="B10076" i="1"/>
  <c r="A10077" i="1"/>
  <c r="B10077" i="1"/>
  <c r="A10078" i="1"/>
  <c r="B10078" i="1"/>
  <c r="A10079" i="1"/>
  <c r="B10079" i="1"/>
  <c r="A10080" i="1"/>
  <c r="B10080" i="1"/>
  <c r="A10081" i="1"/>
  <c r="B10081" i="1"/>
  <c r="A10082" i="1"/>
  <c r="B10082" i="1"/>
  <c r="A10083" i="1"/>
  <c r="B10083" i="1"/>
  <c r="A10084" i="1"/>
  <c r="B10084" i="1"/>
  <c r="A10085" i="1"/>
  <c r="B10085" i="1"/>
  <c r="A10086" i="1"/>
  <c r="B10086" i="1"/>
  <c r="A10087" i="1"/>
  <c r="B10087" i="1"/>
  <c r="A10088" i="1"/>
  <c r="B10088" i="1"/>
  <c r="A10089" i="1"/>
  <c r="B10089" i="1"/>
  <c r="A10090" i="1"/>
  <c r="B10090" i="1"/>
  <c r="A10091" i="1"/>
  <c r="B10091" i="1"/>
  <c r="A10092" i="1"/>
  <c r="B10092" i="1"/>
  <c r="A10093" i="1"/>
  <c r="B10093" i="1"/>
  <c r="A10094" i="1"/>
  <c r="B10094" i="1"/>
  <c r="A10095" i="1"/>
  <c r="B10095" i="1"/>
  <c r="A10096" i="1"/>
  <c r="B10096" i="1"/>
  <c r="A10097" i="1"/>
  <c r="B10097" i="1"/>
  <c r="A10098" i="1"/>
  <c r="B10098" i="1"/>
  <c r="A10099" i="1"/>
  <c r="B10099" i="1"/>
  <c r="A10100" i="1"/>
  <c r="B10100" i="1"/>
  <c r="A10101" i="1"/>
  <c r="B10101" i="1"/>
  <c r="A10102" i="1"/>
  <c r="B10102" i="1"/>
  <c r="A10103" i="1"/>
  <c r="B10103" i="1"/>
  <c r="A10104" i="1"/>
  <c r="B10104" i="1"/>
  <c r="A10105" i="1"/>
  <c r="B10105" i="1"/>
  <c r="A10106" i="1"/>
  <c r="B10106" i="1"/>
  <c r="A10107" i="1"/>
  <c r="B10107" i="1"/>
  <c r="A10108" i="1"/>
  <c r="B10108" i="1"/>
  <c r="A10109" i="1"/>
  <c r="B10109" i="1"/>
  <c r="A10110" i="1"/>
  <c r="B10110" i="1"/>
  <c r="A10111" i="1"/>
  <c r="B10111" i="1"/>
  <c r="A10112" i="1"/>
  <c r="B10112" i="1"/>
  <c r="A10113" i="1"/>
  <c r="B10113" i="1"/>
  <c r="A10114" i="1"/>
  <c r="B10114" i="1"/>
  <c r="A10115" i="1"/>
  <c r="B10115" i="1"/>
  <c r="A10116" i="1"/>
  <c r="B10116" i="1"/>
  <c r="A10117" i="1"/>
  <c r="B10117" i="1"/>
  <c r="A10118" i="1"/>
  <c r="B10118" i="1"/>
  <c r="A10119" i="1"/>
  <c r="B10119" i="1"/>
  <c r="A10120" i="1"/>
  <c r="B10120" i="1"/>
  <c r="A10121" i="1"/>
  <c r="B10121" i="1"/>
  <c r="A10122" i="1"/>
  <c r="B10122" i="1"/>
  <c r="A10123" i="1"/>
  <c r="B10123" i="1"/>
  <c r="A10124" i="1"/>
  <c r="B10124" i="1"/>
  <c r="A10125" i="1"/>
  <c r="B10125" i="1"/>
  <c r="A10126" i="1"/>
  <c r="B10126" i="1"/>
  <c r="A10127" i="1"/>
  <c r="B10127" i="1"/>
  <c r="A10128" i="1"/>
  <c r="B10128" i="1"/>
  <c r="A10129" i="1"/>
  <c r="B10129" i="1"/>
  <c r="A10130" i="1"/>
  <c r="B10130" i="1"/>
  <c r="A10131" i="1"/>
  <c r="B10131" i="1"/>
  <c r="A10132" i="1"/>
  <c r="B10132" i="1"/>
  <c r="A10133" i="1"/>
  <c r="B10133" i="1"/>
  <c r="A10134" i="1"/>
  <c r="B10134" i="1"/>
  <c r="A10135" i="1"/>
  <c r="B10135" i="1"/>
  <c r="A10136" i="1"/>
  <c r="B10136" i="1"/>
  <c r="A10137" i="1"/>
  <c r="B10137" i="1"/>
  <c r="A10138" i="1"/>
  <c r="B10138" i="1"/>
  <c r="A10139" i="1"/>
  <c r="B10139" i="1"/>
  <c r="A10140" i="1"/>
  <c r="B10140" i="1"/>
  <c r="A10141" i="1"/>
  <c r="B10141" i="1"/>
  <c r="A10142" i="1"/>
  <c r="B10142" i="1"/>
  <c r="A10143" i="1"/>
  <c r="B10143" i="1"/>
  <c r="A10144" i="1"/>
  <c r="B10144" i="1"/>
  <c r="A10145" i="1"/>
  <c r="B10145" i="1"/>
  <c r="A10146" i="1"/>
  <c r="B10146" i="1"/>
  <c r="A10147" i="1"/>
  <c r="B10147" i="1"/>
  <c r="A10148" i="1"/>
  <c r="B10148" i="1"/>
  <c r="A10149" i="1"/>
  <c r="B10149" i="1"/>
  <c r="A10150" i="1"/>
  <c r="B10150" i="1"/>
  <c r="A10151" i="1"/>
  <c r="B10151" i="1"/>
  <c r="A10152" i="1"/>
  <c r="B10152" i="1"/>
  <c r="A10153" i="1"/>
  <c r="B10153" i="1"/>
  <c r="A10154" i="1"/>
  <c r="B10154" i="1"/>
  <c r="A10155" i="1"/>
  <c r="B10155" i="1"/>
  <c r="A10156" i="1"/>
  <c r="B10156" i="1"/>
  <c r="A10157" i="1"/>
  <c r="B10157" i="1"/>
  <c r="A10158" i="1"/>
  <c r="B10158" i="1"/>
  <c r="A10159" i="1"/>
  <c r="B10159" i="1"/>
  <c r="A10160" i="1"/>
  <c r="B10160" i="1"/>
  <c r="A10161" i="1"/>
  <c r="B10161" i="1"/>
  <c r="A10162" i="1"/>
  <c r="B10162" i="1"/>
  <c r="A10163" i="1"/>
  <c r="B10163" i="1"/>
  <c r="A10164" i="1"/>
  <c r="B10164" i="1"/>
  <c r="A10165" i="1"/>
  <c r="B10165" i="1"/>
  <c r="A10166" i="1"/>
  <c r="B10166" i="1"/>
  <c r="A10167" i="1"/>
  <c r="B10167" i="1"/>
  <c r="A10168" i="1"/>
  <c r="B10168" i="1"/>
  <c r="A10169" i="1"/>
  <c r="B10169" i="1"/>
  <c r="A10170" i="1"/>
  <c r="B10170" i="1"/>
  <c r="A10171" i="1"/>
  <c r="B10171" i="1"/>
  <c r="A10172" i="1"/>
  <c r="B10172" i="1"/>
  <c r="A10173" i="1"/>
  <c r="B10173" i="1"/>
  <c r="A10174" i="1"/>
  <c r="B10174" i="1"/>
  <c r="A10175" i="1"/>
  <c r="B10175" i="1"/>
  <c r="A10176" i="1"/>
  <c r="B10176" i="1"/>
  <c r="A10177" i="1"/>
  <c r="B10177" i="1"/>
  <c r="A10178" i="1"/>
  <c r="B10178" i="1"/>
  <c r="A10179" i="1"/>
  <c r="B10179" i="1"/>
  <c r="A10180" i="1"/>
  <c r="B10180" i="1"/>
  <c r="A10181" i="1"/>
  <c r="B10181" i="1"/>
  <c r="A10182" i="1"/>
  <c r="B10182" i="1"/>
  <c r="A10183" i="1"/>
  <c r="B10183" i="1"/>
  <c r="A10184" i="1"/>
  <c r="B10184" i="1"/>
  <c r="A10185" i="1"/>
  <c r="B10185" i="1"/>
  <c r="A10186" i="1"/>
  <c r="B10186" i="1"/>
  <c r="A10187" i="1"/>
  <c r="B10187" i="1"/>
  <c r="A10188" i="1"/>
  <c r="B10188" i="1"/>
  <c r="A10189" i="1"/>
  <c r="B10189" i="1"/>
  <c r="A10190" i="1"/>
  <c r="B10190" i="1"/>
  <c r="A10191" i="1"/>
  <c r="B10191" i="1"/>
  <c r="A10192" i="1"/>
  <c r="B10192" i="1"/>
  <c r="A10193" i="1"/>
  <c r="B10193" i="1"/>
  <c r="A10194" i="1"/>
  <c r="B10194" i="1"/>
  <c r="A10195" i="1"/>
  <c r="B10195" i="1"/>
  <c r="A10196" i="1"/>
  <c r="B10196" i="1"/>
  <c r="A10197" i="1"/>
  <c r="B10197" i="1"/>
  <c r="A10198" i="1"/>
  <c r="B10198" i="1"/>
  <c r="A10199" i="1"/>
  <c r="B10199" i="1"/>
  <c r="A10200" i="1"/>
  <c r="B10200" i="1"/>
  <c r="A10201" i="1"/>
  <c r="B10201" i="1"/>
  <c r="A10202" i="1"/>
  <c r="B10202" i="1"/>
  <c r="A10203" i="1"/>
  <c r="B10203" i="1"/>
  <c r="A10204" i="1"/>
  <c r="B10204" i="1"/>
  <c r="A10205" i="1"/>
  <c r="B10205" i="1"/>
  <c r="A10206" i="1"/>
  <c r="B10206" i="1"/>
  <c r="A10207" i="1"/>
  <c r="B10207" i="1"/>
  <c r="A10208" i="1"/>
  <c r="B10208" i="1"/>
  <c r="A10209" i="1"/>
  <c r="B10209" i="1"/>
  <c r="A10210" i="1"/>
  <c r="B10210" i="1"/>
  <c r="A10211" i="1"/>
  <c r="B10211" i="1"/>
  <c r="A10212" i="1"/>
  <c r="B10212" i="1"/>
  <c r="A10213" i="1"/>
  <c r="B10213" i="1"/>
  <c r="A10214" i="1"/>
  <c r="B10214" i="1"/>
  <c r="A10215" i="1"/>
  <c r="B10215" i="1"/>
  <c r="A10216" i="1"/>
  <c r="B10216" i="1"/>
  <c r="A10217" i="1"/>
  <c r="B10217" i="1"/>
  <c r="A10218" i="1"/>
  <c r="B10218" i="1"/>
  <c r="A10219" i="1"/>
  <c r="B10219" i="1"/>
  <c r="A10220" i="1"/>
  <c r="B10220" i="1"/>
  <c r="A10221" i="1"/>
  <c r="B10221" i="1"/>
  <c r="A10222" i="1"/>
  <c r="B10222" i="1"/>
  <c r="A10223" i="1"/>
  <c r="B10223" i="1"/>
  <c r="A10224" i="1"/>
  <c r="B10224" i="1"/>
  <c r="A10225" i="1"/>
  <c r="B10225" i="1"/>
  <c r="A10226" i="1"/>
  <c r="B10226" i="1"/>
  <c r="A10227" i="1"/>
  <c r="B10227" i="1"/>
  <c r="A10228" i="1"/>
  <c r="B10228" i="1"/>
  <c r="A10229" i="1"/>
  <c r="B10229" i="1"/>
  <c r="A10230" i="1"/>
  <c r="B10230" i="1"/>
  <c r="A10231" i="1"/>
  <c r="B10231" i="1"/>
  <c r="A10232" i="1"/>
  <c r="B10232" i="1"/>
  <c r="A10233" i="1"/>
  <c r="B10233" i="1"/>
  <c r="A10234" i="1"/>
  <c r="B10234" i="1"/>
  <c r="A10235" i="1"/>
  <c r="B10235" i="1"/>
  <c r="A10236" i="1"/>
  <c r="B10236" i="1"/>
  <c r="A10237" i="1"/>
  <c r="B10237" i="1"/>
  <c r="A10238" i="1"/>
  <c r="B10238" i="1"/>
  <c r="A10239" i="1"/>
  <c r="B10239" i="1"/>
  <c r="A10240" i="1"/>
  <c r="B10240" i="1"/>
  <c r="A10241" i="1"/>
  <c r="B10241" i="1"/>
  <c r="A10242" i="1"/>
  <c r="B10242" i="1"/>
  <c r="A10243" i="1"/>
  <c r="B10243" i="1"/>
  <c r="A10244" i="1"/>
  <c r="B10244" i="1"/>
  <c r="A10245" i="1"/>
  <c r="B10245" i="1"/>
  <c r="A10246" i="1"/>
  <c r="B10246" i="1"/>
  <c r="A10247" i="1"/>
  <c r="B10247" i="1"/>
  <c r="A10248" i="1"/>
  <c r="B10248" i="1"/>
  <c r="A10249" i="1"/>
  <c r="B10249" i="1"/>
  <c r="A10250" i="1"/>
  <c r="B10250" i="1"/>
  <c r="A10251" i="1"/>
  <c r="B10251" i="1"/>
  <c r="A10252" i="1"/>
  <c r="B10252" i="1"/>
  <c r="A10253" i="1"/>
  <c r="B10253" i="1"/>
  <c r="A10254" i="1"/>
  <c r="B10254" i="1"/>
  <c r="A10255" i="1"/>
  <c r="B10255" i="1"/>
  <c r="A10256" i="1"/>
  <c r="B10256" i="1"/>
  <c r="A10257" i="1"/>
  <c r="B10257" i="1"/>
  <c r="A10258" i="1"/>
  <c r="B10258" i="1"/>
  <c r="A10259" i="1"/>
  <c r="B10259" i="1"/>
  <c r="A10260" i="1"/>
  <c r="B10260" i="1"/>
  <c r="A10261" i="1"/>
  <c r="B10261" i="1"/>
  <c r="A10262" i="1"/>
  <c r="B10262" i="1"/>
  <c r="A10263" i="1"/>
  <c r="B10263" i="1"/>
  <c r="A10264" i="1"/>
  <c r="B10264" i="1"/>
  <c r="A10265" i="1"/>
  <c r="B10265" i="1"/>
  <c r="A10266" i="1"/>
  <c r="B10266" i="1"/>
  <c r="A10267" i="1"/>
  <c r="B10267" i="1"/>
  <c r="A10268" i="1"/>
  <c r="B10268" i="1"/>
  <c r="A10269" i="1"/>
  <c r="B10269" i="1"/>
  <c r="A10270" i="1"/>
  <c r="B10270" i="1"/>
  <c r="A10271" i="1"/>
  <c r="B10271" i="1"/>
  <c r="A10272" i="1"/>
  <c r="B10272" i="1"/>
  <c r="A10273" i="1"/>
  <c r="B10273" i="1"/>
  <c r="A10274" i="1"/>
  <c r="B10274" i="1"/>
  <c r="A10275" i="1"/>
  <c r="B10275" i="1"/>
  <c r="A10276" i="1"/>
  <c r="B10276" i="1"/>
  <c r="A10277" i="1"/>
  <c r="B10277" i="1"/>
  <c r="A10278" i="1"/>
  <c r="B10278" i="1"/>
  <c r="A10279" i="1"/>
  <c r="B10279" i="1"/>
  <c r="A10280" i="1"/>
  <c r="B10280" i="1"/>
  <c r="A10281" i="1"/>
  <c r="B10281" i="1"/>
  <c r="A10282" i="1"/>
  <c r="B10282" i="1"/>
  <c r="A10283" i="1"/>
  <c r="B10283" i="1"/>
  <c r="A10284" i="1"/>
  <c r="B10284" i="1"/>
  <c r="A10285" i="1"/>
  <c r="B10285" i="1"/>
  <c r="A10286" i="1"/>
  <c r="B10286" i="1"/>
  <c r="A10287" i="1"/>
  <c r="B10287" i="1"/>
  <c r="A10288" i="1"/>
  <c r="B10288" i="1"/>
  <c r="A10289" i="1"/>
  <c r="B10289" i="1"/>
  <c r="A10290" i="1"/>
  <c r="B10290" i="1"/>
  <c r="A10291" i="1"/>
  <c r="B10291" i="1"/>
  <c r="A10292" i="1"/>
  <c r="B10292" i="1"/>
  <c r="A10293" i="1"/>
  <c r="B10293" i="1"/>
  <c r="A10294" i="1"/>
  <c r="B10294" i="1"/>
  <c r="A10295" i="1"/>
  <c r="B10295" i="1"/>
  <c r="A10296" i="1"/>
  <c r="B10296" i="1"/>
  <c r="A10297" i="1"/>
  <c r="B10297" i="1"/>
  <c r="A10298" i="1"/>
  <c r="B10298" i="1"/>
  <c r="A10299" i="1"/>
  <c r="B10299" i="1"/>
  <c r="A10300" i="1"/>
  <c r="B10300" i="1"/>
  <c r="A10301" i="1"/>
  <c r="B10301" i="1"/>
  <c r="A10302" i="1"/>
  <c r="B10302" i="1"/>
  <c r="A10303" i="1"/>
  <c r="B10303" i="1"/>
  <c r="A10304" i="1"/>
  <c r="B10304" i="1"/>
  <c r="A10305" i="1"/>
  <c r="B10305" i="1"/>
  <c r="A10306" i="1"/>
  <c r="B10306" i="1"/>
  <c r="A10307" i="1"/>
  <c r="B10307" i="1"/>
  <c r="A10308" i="1"/>
  <c r="B10308" i="1"/>
  <c r="A10309" i="1"/>
  <c r="B10309" i="1"/>
  <c r="A10310" i="1"/>
  <c r="B10310" i="1"/>
  <c r="A10311" i="1"/>
  <c r="B10311" i="1"/>
  <c r="A10312" i="1"/>
  <c r="B10312" i="1"/>
  <c r="A10313" i="1"/>
  <c r="B10313" i="1"/>
  <c r="A10314" i="1"/>
  <c r="B10314" i="1"/>
  <c r="A10315" i="1"/>
  <c r="B10315" i="1"/>
  <c r="A10316" i="1"/>
  <c r="B10316" i="1"/>
  <c r="A10317" i="1"/>
  <c r="B10317" i="1"/>
  <c r="A10318" i="1"/>
  <c r="B10318" i="1"/>
  <c r="A10319" i="1"/>
  <c r="B10319" i="1"/>
  <c r="A10320" i="1"/>
  <c r="B10320" i="1"/>
  <c r="A10321" i="1"/>
  <c r="B10321" i="1"/>
  <c r="A10322" i="1"/>
  <c r="B10322" i="1"/>
  <c r="A10323" i="1"/>
  <c r="B10323" i="1"/>
  <c r="A10324" i="1"/>
  <c r="B10324" i="1"/>
  <c r="A10325" i="1"/>
  <c r="B10325" i="1"/>
  <c r="A10326" i="1"/>
  <c r="B10326" i="1"/>
  <c r="A10327" i="1"/>
  <c r="B10327" i="1"/>
  <c r="A10328" i="1"/>
  <c r="B10328" i="1"/>
  <c r="A10329" i="1"/>
  <c r="B10329" i="1"/>
  <c r="A10330" i="1"/>
  <c r="B10330" i="1"/>
  <c r="A10331" i="1"/>
  <c r="B10331" i="1"/>
  <c r="A10332" i="1"/>
  <c r="B10332" i="1"/>
  <c r="A10333" i="1"/>
  <c r="B10333" i="1"/>
  <c r="A10334" i="1"/>
  <c r="B10334" i="1"/>
  <c r="A10335" i="1"/>
  <c r="B10335" i="1"/>
  <c r="A10336" i="1"/>
  <c r="B10336" i="1"/>
  <c r="A10337" i="1"/>
  <c r="B10337" i="1"/>
  <c r="A10338" i="1"/>
  <c r="B10338" i="1"/>
  <c r="A10339" i="1"/>
  <c r="B10339" i="1"/>
  <c r="A10340" i="1"/>
  <c r="B10340" i="1"/>
  <c r="A10341" i="1"/>
  <c r="B10341" i="1"/>
  <c r="A10342" i="1"/>
  <c r="B10342" i="1"/>
  <c r="A10343" i="1"/>
  <c r="B10343" i="1"/>
  <c r="A10344" i="1"/>
  <c r="B10344" i="1"/>
  <c r="A10345" i="1"/>
  <c r="B10345" i="1"/>
  <c r="A10346" i="1"/>
  <c r="B10346" i="1"/>
  <c r="A10347" i="1"/>
  <c r="B10347" i="1"/>
  <c r="A10348" i="1"/>
  <c r="B10348" i="1"/>
  <c r="A10349" i="1"/>
  <c r="B10349" i="1"/>
  <c r="A10350" i="1"/>
  <c r="B10350" i="1"/>
  <c r="A10351" i="1"/>
  <c r="B10351" i="1"/>
  <c r="A10352" i="1"/>
  <c r="B10352" i="1"/>
  <c r="A10353" i="1"/>
  <c r="B10353" i="1"/>
  <c r="A10354" i="1"/>
  <c r="B10354" i="1"/>
  <c r="A10355" i="1"/>
  <c r="B10355" i="1"/>
  <c r="A10356" i="1"/>
  <c r="B10356" i="1"/>
  <c r="A10357" i="1"/>
  <c r="B10357" i="1"/>
  <c r="A10358" i="1"/>
  <c r="B10358" i="1"/>
  <c r="A10359" i="1"/>
  <c r="B10359" i="1"/>
  <c r="A10360" i="1"/>
  <c r="B10360" i="1"/>
  <c r="A10361" i="1"/>
  <c r="B10361" i="1"/>
  <c r="A10362" i="1"/>
  <c r="B10362" i="1"/>
  <c r="A10363" i="1"/>
  <c r="B10363" i="1"/>
  <c r="A10364" i="1"/>
  <c r="B10364" i="1"/>
  <c r="A10365" i="1"/>
  <c r="B10365" i="1"/>
  <c r="A10366" i="1"/>
  <c r="B10366" i="1"/>
  <c r="A10367" i="1"/>
  <c r="B10367" i="1"/>
  <c r="A10368" i="1"/>
  <c r="B10368" i="1"/>
  <c r="A10369" i="1"/>
  <c r="B10369" i="1"/>
  <c r="A10370" i="1"/>
  <c r="B10370" i="1"/>
  <c r="A10371" i="1"/>
  <c r="B10371" i="1"/>
  <c r="A10372" i="1"/>
  <c r="B10372" i="1"/>
  <c r="A10373" i="1"/>
  <c r="B10373" i="1"/>
  <c r="A10374" i="1"/>
  <c r="B10374" i="1"/>
  <c r="A10375" i="1"/>
  <c r="B10375" i="1"/>
  <c r="A10376" i="1"/>
  <c r="B10376" i="1"/>
  <c r="A10377" i="1"/>
  <c r="B10377" i="1"/>
  <c r="A10378" i="1"/>
  <c r="B10378" i="1"/>
  <c r="A10379" i="1"/>
  <c r="B10379" i="1"/>
  <c r="A10380" i="1"/>
  <c r="B10380" i="1"/>
  <c r="A10381" i="1"/>
  <c r="B10381" i="1"/>
  <c r="A10382" i="1"/>
  <c r="B10382" i="1"/>
  <c r="A10383" i="1"/>
  <c r="B10383" i="1"/>
  <c r="A10384" i="1"/>
  <c r="B10384" i="1"/>
  <c r="A10385" i="1"/>
  <c r="B10385" i="1"/>
  <c r="A10386" i="1"/>
  <c r="B10386" i="1"/>
  <c r="A10387" i="1"/>
  <c r="B10387" i="1"/>
  <c r="A10388" i="1"/>
  <c r="B10388" i="1"/>
  <c r="A10389" i="1"/>
  <c r="B10389" i="1"/>
  <c r="A10390" i="1"/>
  <c r="B10390" i="1"/>
  <c r="A10391" i="1"/>
  <c r="B10391" i="1"/>
  <c r="A10392" i="1"/>
  <c r="B10392" i="1"/>
  <c r="A10393" i="1"/>
  <c r="B10393" i="1"/>
  <c r="A10394" i="1"/>
  <c r="B10394" i="1"/>
  <c r="A10395" i="1"/>
  <c r="B10395" i="1"/>
  <c r="A10396" i="1"/>
  <c r="B10396" i="1"/>
  <c r="A10397" i="1"/>
  <c r="B10397" i="1"/>
  <c r="A10398" i="1"/>
  <c r="B10398" i="1"/>
  <c r="A10399" i="1"/>
  <c r="B10399" i="1"/>
  <c r="A10400" i="1"/>
  <c r="B10400" i="1"/>
  <c r="A10401" i="1"/>
  <c r="B10401" i="1"/>
  <c r="A10402" i="1"/>
  <c r="B10402" i="1"/>
  <c r="A10403" i="1"/>
  <c r="B10403" i="1"/>
  <c r="A10404" i="1"/>
  <c r="B10404" i="1"/>
  <c r="A10405" i="1"/>
  <c r="B10405" i="1"/>
  <c r="A10406" i="1"/>
  <c r="B10406" i="1"/>
  <c r="A10407" i="1"/>
  <c r="B10407" i="1"/>
  <c r="A10408" i="1"/>
  <c r="B10408" i="1"/>
  <c r="A10409" i="1"/>
  <c r="B10409" i="1"/>
  <c r="A10410" i="1"/>
  <c r="B10410" i="1"/>
  <c r="A10411" i="1"/>
  <c r="B10411" i="1"/>
  <c r="A10412" i="1"/>
  <c r="B10412" i="1"/>
  <c r="A10413" i="1"/>
  <c r="B10413" i="1"/>
  <c r="A10414" i="1"/>
  <c r="B10414" i="1"/>
  <c r="A10415" i="1"/>
  <c r="B10415" i="1"/>
  <c r="A10416" i="1"/>
  <c r="B10416" i="1"/>
  <c r="A10417" i="1"/>
  <c r="B10417" i="1"/>
  <c r="A10418" i="1"/>
  <c r="B10418" i="1"/>
  <c r="A10419" i="1"/>
  <c r="B10419" i="1"/>
  <c r="A10420" i="1"/>
  <c r="B10420" i="1"/>
  <c r="A10421" i="1"/>
  <c r="B10421" i="1"/>
  <c r="A10422" i="1"/>
  <c r="B10422" i="1"/>
  <c r="A10423" i="1"/>
  <c r="B10423" i="1"/>
  <c r="A10424" i="1"/>
  <c r="B10424" i="1"/>
  <c r="A10425" i="1"/>
  <c r="B10425" i="1"/>
  <c r="A10426" i="1"/>
  <c r="B10426" i="1"/>
  <c r="A10427" i="1"/>
  <c r="B10427" i="1"/>
  <c r="A10428" i="1"/>
  <c r="B10428" i="1"/>
  <c r="A10429" i="1"/>
  <c r="B10429" i="1"/>
  <c r="A10430" i="1"/>
  <c r="B10430" i="1"/>
  <c r="A10431" i="1"/>
  <c r="B10431" i="1"/>
  <c r="A10432" i="1"/>
  <c r="B10432" i="1"/>
  <c r="A10433" i="1"/>
  <c r="B10433" i="1"/>
  <c r="A10434" i="1"/>
  <c r="B10434" i="1"/>
  <c r="A10435" i="1"/>
  <c r="B10435" i="1"/>
  <c r="A10436" i="1"/>
  <c r="B10436" i="1"/>
  <c r="A10437" i="1"/>
  <c r="B10437" i="1"/>
  <c r="A10438" i="1"/>
  <c r="B10438" i="1"/>
  <c r="A10439" i="1"/>
  <c r="B10439" i="1"/>
  <c r="A10440" i="1"/>
  <c r="B10440" i="1"/>
  <c r="A10441" i="1"/>
  <c r="B10441" i="1"/>
  <c r="A10442" i="1"/>
  <c r="B10442" i="1"/>
  <c r="A10443" i="1"/>
  <c r="B10443" i="1"/>
  <c r="A10444" i="1"/>
  <c r="B10444" i="1"/>
  <c r="A10445" i="1"/>
  <c r="B10445" i="1"/>
  <c r="A10446" i="1"/>
  <c r="B10446" i="1"/>
  <c r="A10447" i="1"/>
  <c r="B10447" i="1"/>
  <c r="A10448" i="1"/>
  <c r="B10448" i="1"/>
  <c r="A10449" i="1"/>
  <c r="B10449" i="1"/>
  <c r="A10450" i="1"/>
  <c r="B10450" i="1"/>
  <c r="A10451" i="1"/>
  <c r="B10451" i="1"/>
  <c r="A10452" i="1"/>
  <c r="B10452" i="1"/>
  <c r="A10453" i="1"/>
  <c r="B10453" i="1"/>
  <c r="A10454" i="1"/>
  <c r="B10454" i="1"/>
  <c r="A10455" i="1"/>
  <c r="B10455" i="1"/>
  <c r="A10456" i="1"/>
  <c r="B10456" i="1"/>
  <c r="A10457" i="1"/>
  <c r="B10457" i="1"/>
  <c r="A10458" i="1"/>
  <c r="B10458" i="1"/>
  <c r="A10459" i="1"/>
  <c r="B10459" i="1"/>
  <c r="A10460" i="1"/>
  <c r="B10460" i="1"/>
  <c r="A10461" i="1"/>
  <c r="B10461" i="1"/>
  <c r="A10462" i="1"/>
  <c r="B10462" i="1"/>
  <c r="A10463" i="1"/>
  <c r="B10463" i="1"/>
  <c r="A10464" i="1"/>
  <c r="B10464" i="1"/>
  <c r="A10465" i="1"/>
  <c r="B10465" i="1"/>
  <c r="A10466" i="1"/>
  <c r="B10466" i="1"/>
  <c r="A10467" i="1"/>
  <c r="B10467" i="1"/>
  <c r="A10468" i="1"/>
  <c r="B10468" i="1"/>
  <c r="A10469" i="1"/>
  <c r="B10469" i="1"/>
  <c r="A10470" i="1"/>
  <c r="B10470" i="1"/>
  <c r="A10471" i="1"/>
  <c r="B10471" i="1"/>
  <c r="A10472" i="1"/>
  <c r="B10472" i="1"/>
  <c r="A10473" i="1"/>
  <c r="B10473" i="1"/>
  <c r="A10474" i="1"/>
  <c r="B10474" i="1"/>
  <c r="A10475" i="1"/>
  <c r="B10475" i="1"/>
  <c r="A10476" i="1"/>
  <c r="B10476" i="1"/>
  <c r="A10477" i="1"/>
  <c r="B10477" i="1"/>
  <c r="A10478" i="1"/>
  <c r="B10478" i="1"/>
  <c r="A10479" i="1"/>
  <c r="B10479" i="1"/>
  <c r="A10480" i="1"/>
  <c r="B10480" i="1"/>
  <c r="A10481" i="1"/>
  <c r="B10481" i="1"/>
  <c r="A10482" i="1"/>
  <c r="B10482" i="1"/>
  <c r="A10483" i="1"/>
  <c r="B10483" i="1"/>
  <c r="A10484" i="1"/>
  <c r="B10484" i="1"/>
  <c r="A10485" i="1"/>
  <c r="B10485" i="1"/>
  <c r="A10486" i="1"/>
  <c r="B10486" i="1"/>
  <c r="A10487" i="1"/>
  <c r="B10487" i="1"/>
  <c r="A10488" i="1"/>
  <c r="B10488" i="1"/>
  <c r="A10489" i="1"/>
  <c r="B10489" i="1"/>
  <c r="A10490" i="1"/>
  <c r="B10490" i="1"/>
  <c r="A10491" i="1"/>
  <c r="B10491" i="1"/>
  <c r="A10492" i="1"/>
  <c r="B10492" i="1"/>
  <c r="A10493" i="1"/>
  <c r="B10493" i="1"/>
  <c r="A10494" i="1"/>
  <c r="B10494" i="1"/>
  <c r="A10495" i="1"/>
  <c r="B10495" i="1"/>
  <c r="A10496" i="1"/>
  <c r="B10496" i="1"/>
  <c r="A10497" i="1"/>
  <c r="B10497" i="1"/>
  <c r="A10498" i="1"/>
  <c r="B10498" i="1"/>
  <c r="A10499" i="1"/>
  <c r="B10499" i="1"/>
  <c r="A10500" i="1"/>
  <c r="B10500" i="1"/>
  <c r="A10501" i="1"/>
  <c r="B10501" i="1"/>
  <c r="A10502" i="1"/>
  <c r="B10502" i="1"/>
  <c r="A10503" i="1"/>
  <c r="B10503" i="1"/>
  <c r="A10504" i="1"/>
  <c r="B10504" i="1"/>
  <c r="A10505" i="1"/>
  <c r="B10505" i="1"/>
  <c r="A10506" i="1"/>
  <c r="B10506" i="1"/>
  <c r="A10507" i="1"/>
  <c r="B10507" i="1"/>
  <c r="A10508" i="1"/>
  <c r="B10508" i="1"/>
  <c r="A10509" i="1"/>
  <c r="B10509" i="1"/>
  <c r="A10510" i="1"/>
  <c r="B10510" i="1"/>
  <c r="A10511" i="1"/>
  <c r="B10511" i="1"/>
  <c r="A10512" i="1"/>
  <c r="B10512" i="1"/>
  <c r="A10513" i="1"/>
  <c r="B10513" i="1"/>
  <c r="A10514" i="1"/>
  <c r="B10514" i="1"/>
  <c r="A10515" i="1"/>
  <c r="B10515" i="1"/>
  <c r="A10516" i="1"/>
  <c r="B10516" i="1"/>
  <c r="A10517" i="1"/>
  <c r="B10517" i="1"/>
  <c r="A10518" i="1"/>
  <c r="B10518" i="1"/>
  <c r="A10519" i="1"/>
  <c r="B10519" i="1"/>
  <c r="A10520" i="1"/>
  <c r="B10520" i="1"/>
  <c r="A10521" i="1"/>
  <c r="B10521" i="1"/>
  <c r="A10522" i="1"/>
  <c r="B10522" i="1"/>
  <c r="A10523" i="1"/>
  <c r="B10523" i="1"/>
  <c r="A10524" i="1"/>
  <c r="B10524" i="1"/>
  <c r="A10525" i="1"/>
  <c r="B10525" i="1"/>
  <c r="A10526" i="1"/>
  <c r="B10526" i="1"/>
  <c r="A10527" i="1"/>
  <c r="B10527" i="1"/>
  <c r="A10528" i="1"/>
  <c r="B10528" i="1"/>
  <c r="A10529" i="1"/>
  <c r="B10529" i="1"/>
  <c r="A10530" i="1"/>
  <c r="B10530" i="1"/>
  <c r="A10531" i="1"/>
  <c r="B10531" i="1"/>
  <c r="A10532" i="1"/>
  <c r="B10532" i="1"/>
  <c r="A10533" i="1"/>
  <c r="B10533" i="1"/>
  <c r="A10534" i="1"/>
  <c r="B10534" i="1"/>
  <c r="A10535" i="1"/>
  <c r="B10535" i="1"/>
  <c r="A10536" i="1"/>
  <c r="B10536" i="1"/>
  <c r="A10537" i="1"/>
  <c r="B10537" i="1"/>
  <c r="A10538" i="1"/>
  <c r="B10538" i="1"/>
  <c r="A10539" i="1"/>
  <c r="B10539" i="1"/>
  <c r="A10540" i="1"/>
  <c r="B10540" i="1"/>
  <c r="A10541" i="1"/>
  <c r="B10541" i="1"/>
  <c r="A10542" i="1"/>
  <c r="B10542" i="1"/>
  <c r="A10543" i="1"/>
  <c r="B10543" i="1"/>
  <c r="A10544" i="1"/>
  <c r="B10544" i="1"/>
  <c r="A10545" i="1"/>
  <c r="B10545" i="1"/>
  <c r="A10546" i="1"/>
  <c r="B10546" i="1"/>
  <c r="A10547" i="1"/>
  <c r="B10547" i="1"/>
  <c r="A10548" i="1"/>
  <c r="B10548" i="1"/>
  <c r="A10549" i="1"/>
  <c r="B10549" i="1"/>
  <c r="A10550" i="1"/>
  <c r="B10550" i="1"/>
  <c r="A10551" i="1"/>
  <c r="B10551" i="1"/>
  <c r="A10552" i="1"/>
  <c r="B10552" i="1"/>
  <c r="A10553" i="1"/>
  <c r="B10553" i="1"/>
  <c r="A10554" i="1"/>
  <c r="B10554" i="1"/>
  <c r="A10555" i="1"/>
  <c r="B10555" i="1"/>
  <c r="A10556" i="1"/>
  <c r="B10556" i="1"/>
  <c r="A10557" i="1"/>
  <c r="B10557" i="1"/>
  <c r="A10558" i="1"/>
  <c r="B10558" i="1"/>
  <c r="A10559" i="1"/>
  <c r="B10559" i="1"/>
  <c r="A10560" i="1"/>
  <c r="B10560" i="1"/>
  <c r="A10561" i="1"/>
  <c r="B10561" i="1"/>
  <c r="A10562" i="1"/>
  <c r="B10562" i="1"/>
  <c r="A10563" i="1"/>
  <c r="B10563" i="1"/>
  <c r="A10564" i="1"/>
  <c r="B10564" i="1"/>
  <c r="A10565" i="1"/>
  <c r="B10565" i="1"/>
  <c r="A10566" i="1"/>
  <c r="B10566" i="1"/>
  <c r="A10567" i="1"/>
  <c r="B10567" i="1"/>
  <c r="A10568" i="1"/>
  <c r="B10568" i="1"/>
  <c r="A10569" i="1"/>
  <c r="B10569" i="1"/>
  <c r="A10570" i="1"/>
  <c r="B10570" i="1"/>
  <c r="A10571" i="1"/>
  <c r="B10571" i="1"/>
  <c r="A10572" i="1"/>
  <c r="B10572" i="1"/>
  <c r="A10573" i="1"/>
  <c r="B10573" i="1"/>
  <c r="A10574" i="1"/>
  <c r="B10574" i="1"/>
  <c r="A10575" i="1"/>
  <c r="B10575" i="1"/>
  <c r="A10576" i="1"/>
  <c r="B10576" i="1"/>
  <c r="A10577" i="1"/>
  <c r="B10577" i="1"/>
  <c r="A10578" i="1"/>
  <c r="B10578" i="1"/>
  <c r="A10579" i="1"/>
  <c r="B10579" i="1"/>
  <c r="A10580" i="1"/>
  <c r="B10580" i="1"/>
  <c r="A10581" i="1"/>
  <c r="B10581" i="1"/>
  <c r="A10582" i="1"/>
  <c r="B10582" i="1"/>
  <c r="A10583" i="1"/>
  <c r="B10583" i="1"/>
  <c r="A10584" i="1"/>
  <c r="B10584" i="1"/>
  <c r="A10585" i="1"/>
  <c r="B10585" i="1"/>
  <c r="A10586" i="1"/>
  <c r="B10586" i="1"/>
  <c r="A10587" i="1"/>
  <c r="B10587" i="1"/>
  <c r="A10588" i="1"/>
  <c r="B10588" i="1"/>
  <c r="A10589" i="1"/>
  <c r="B10589" i="1"/>
  <c r="A10590" i="1"/>
  <c r="B10590" i="1"/>
  <c r="A10591" i="1"/>
  <c r="B10591" i="1"/>
  <c r="A10592" i="1"/>
  <c r="B10592" i="1"/>
  <c r="A10593" i="1"/>
  <c r="B10593" i="1"/>
  <c r="A10594" i="1"/>
  <c r="B10594" i="1"/>
  <c r="A10595" i="1"/>
  <c r="B10595" i="1"/>
  <c r="A10596" i="1"/>
  <c r="B10596" i="1"/>
  <c r="A10597" i="1"/>
  <c r="B10597" i="1"/>
  <c r="A10598" i="1"/>
  <c r="B10598" i="1"/>
  <c r="A10599" i="1"/>
  <c r="B10599" i="1"/>
  <c r="A10600" i="1"/>
  <c r="B10600" i="1"/>
  <c r="A10601" i="1"/>
  <c r="B10601" i="1"/>
  <c r="A10602" i="1"/>
  <c r="B10602" i="1"/>
  <c r="A10603" i="1"/>
  <c r="B10603" i="1"/>
  <c r="A10604" i="1"/>
  <c r="B10604" i="1"/>
  <c r="A10605" i="1"/>
  <c r="B10605" i="1"/>
  <c r="A10606" i="1"/>
  <c r="B10606" i="1"/>
  <c r="A10607" i="1"/>
  <c r="B10607" i="1"/>
  <c r="A10608" i="1"/>
  <c r="B10608" i="1"/>
  <c r="A10609" i="1"/>
  <c r="B10609" i="1"/>
  <c r="A10610" i="1"/>
  <c r="B10610" i="1"/>
  <c r="A10611" i="1"/>
  <c r="B10611" i="1"/>
  <c r="A10612" i="1"/>
  <c r="B10612" i="1"/>
  <c r="A10613" i="1"/>
  <c r="B10613" i="1"/>
  <c r="A10614" i="1"/>
  <c r="B10614" i="1"/>
  <c r="A10615" i="1"/>
  <c r="B10615" i="1"/>
  <c r="A10616" i="1"/>
  <c r="B10616" i="1"/>
  <c r="A10617" i="1"/>
  <c r="B10617" i="1"/>
  <c r="A10618" i="1"/>
  <c r="B10618" i="1"/>
  <c r="A10619" i="1"/>
  <c r="B10619" i="1"/>
  <c r="A10620" i="1"/>
  <c r="B10620" i="1"/>
  <c r="A10621" i="1"/>
  <c r="B10621" i="1"/>
  <c r="A10622" i="1"/>
  <c r="B10622" i="1"/>
  <c r="A10623" i="1"/>
  <c r="B10623" i="1"/>
  <c r="A10624" i="1"/>
  <c r="B10624" i="1"/>
  <c r="A10625" i="1"/>
  <c r="B10625" i="1"/>
  <c r="A10626" i="1"/>
  <c r="B10626" i="1"/>
  <c r="A10627" i="1"/>
  <c r="B10627" i="1"/>
  <c r="A10628" i="1"/>
  <c r="B10628" i="1"/>
  <c r="A10629" i="1"/>
  <c r="B10629" i="1"/>
  <c r="A10630" i="1"/>
  <c r="B10630" i="1"/>
  <c r="A10631" i="1"/>
  <c r="B10631" i="1"/>
  <c r="A10632" i="1"/>
  <c r="B10632" i="1"/>
  <c r="A10633" i="1"/>
  <c r="B10633" i="1"/>
  <c r="A10634" i="1"/>
  <c r="B10634" i="1"/>
  <c r="A10635" i="1"/>
  <c r="B10635" i="1"/>
  <c r="A10636" i="1"/>
  <c r="B10636" i="1"/>
  <c r="A10637" i="1"/>
  <c r="B10637" i="1"/>
  <c r="A10638" i="1"/>
  <c r="B10638" i="1"/>
  <c r="A10639" i="1"/>
  <c r="B10639" i="1"/>
  <c r="A10640" i="1"/>
  <c r="B10640" i="1"/>
  <c r="A10641" i="1"/>
  <c r="B10641" i="1"/>
  <c r="A10642" i="1"/>
  <c r="B10642" i="1"/>
  <c r="A10643" i="1"/>
  <c r="B10643" i="1"/>
  <c r="A10644" i="1"/>
  <c r="B10644" i="1"/>
  <c r="A10645" i="1"/>
  <c r="B10645" i="1"/>
  <c r="A10646" i="1"/>
  <c r="B10646" i="1"/>
  <c r="A10647" i="1"/>
  <c r="B10647" i="1"/>
  <c r="A10648" i="1"/>
  <c r="B10648" i="1"/>
  <c r="A10649" i="1"/>
  <c r="B10649" i="1"/>
  <c r="A10650" i="1"/>
  <c r="B10650" i="1"/>
  <c r="A10651" i="1"/>
  <c r="B10651" i="1"/>
  <c r="A10652" i="1"/>
  <c r="B10652" i="1"/>
  <c r="A10653" i="1"/>
  <c r="B10653" i="1"/>
  <c r="A10654" i="1"/>
  <c r="B10654" i="1"/>
  <c r="A10655" i="1"/>
  <c r="B10655" i="1"/>
  <c r="A10656" i="1"/>
  <c r="B10656" i="1"/>
  <c r="A10657" i="1"/>
  <c r="B10657" i="1"/>
  <c r="A10658" i="1"/>
  <c r="B10658" i="1"/>
  <c r="A10659" i="1"/>
  <c r="B10659" i="1"/>
  <c r="A10660" i="1"/>
  <c r="B10660" i="1"/>
  <c r="A10661" i="1"/>
  <c r="B10661" i="1"/>
  <c r="A10662" i="1"/>
  <c r="B10662" i="1"/>
  <c r="A10663" i="1"/>
  <c r="B10663" i="1"/>
  <c r="A10664" i="1"/>
  <c r="B10664" i="1"/>
  <c r="A10665" i="1"/>
  <c r="B10665" i="1"/>
  <c r="A10666" i="1"/>
  <c r="B10666" i="1"/>
  <c r="A10667" i="1"/>
  <c r="B10667" i="1"/>
  <c r="A10668" i="1"/>
  <c r="B10668" i="1"/>
  <c r="A10669" i="1"/>
  <c r="B10669" i="1"/>
  <c r="A10670" i="1"/>
  <c r="B10670" i="1"/>
  <c r="A10671" i="1"/>
  <c r="B10671" i="1"/>
  <c r="A10672" i="1"/>
  <c r="B10672" i="1"/>
  <c r="A10673" i="1"/>
  <c r="B10673" i="1"/>
  <c r="A10674" i="1"/>
  <c r="B10674" i="1"/>
  <c r="A10675" i="1"/>
  <c r="B10675" i="1"/>
  <c r="A10676" i="1"/>
  <c r="B10676" i="1"/>
  <c r="A10677" i="1"/>
  <c r="B10677" i="1"/>
  <c r="A10678" i="1"/>
  <c r="B10678" i="1"/>
  <c r="A10679" i="1"/>
  <c r="B10679" i="1"/>
  <c r="A10680" i="1"/>
  <c r="B10680" i="1"/>
  <c r="A10681" i="1"/>
  <c r="B10681" i="1"/>
  <c r="A10682" i="1"/>
  <c r="B10682" i="1"/>
  <c r="A10683" i="1"/>
  <c r="B10683" i="1"/>
  <c r="A10684" i="1"/>
  <c r="B10684" i="1"/>
  <c r="A10685" i="1"/>
  <c r="B10685" i="1"/>
  <c r="A10686" i="1"/>
  <c r="B10686" i="1"/>
  <c r="A10687" i="1"/>
  <c r="B10687" i="1"/>
  <c r="A10688" i="1"/>
  <c r="B10688" i="1"/>
  <c r="A10689" i="1"/>
  <c r="B10689" i="1"/>
  <c r="A10690" i="1"/>
  <c r="B10690" i="1"/>
  <c r="A10691" i="1"/>
  <c r="B10691" i="1"/>
  <c r="A10692" i="1"/>
  <c r="B10692" i="1"/>
  <c r="A10693" i="1"/>
  <c r="B10693" i="1"/>
  <c r="A10694" i="1"/>
  <c r="B10694" i="1"/>
  <c r="A10695" i="1"/>
  <c r="B10695" i="1"/>
  <c r="A10696" i="1"/>
  <c r="B10696" i="1"/>
  <c r="A10697" i="1"/>
  <c r="B10697" i="1"/>
  <c r="A10698" i="1"/>
  <c r="B10698" i="1"/>
  <c r="A10699" i="1"/>
  <c r="B10699" i="1"/>
  <c r="A10700" i="1"/>
  <c r="B10700" i="1"/>
  <c r="A10701" i="1"/>
  <c r="B10701" i="1"/>
  <c r="A10702" i="1"/>
  <c r="B10702" i="1"/>
  <c r="A10703" i="1"/>
  <c r="B10703" i="1"/>
  <c r="A10704" i="1"/>
  <c r="B10704" i="1"/>
  <c r="A10705" i="1"/>
  <c r="B10705" i="1"/>
  <c r="A10706" i="1"/>
  <c r="B10706" i="1"/>
  <c r="A10707" i="1"/>
  <c r="B10707" i="1"/>
  <c r="A10708" i="1"/>
  <c r="B10708" i="1"/>
  <c r="A10709" i="1"/>
  <c r="B10709" i="1"/>
  <c r="A10710" i="1"/>
  <c r="B10710" i="1"/>
  <c r="A10711" i="1"/>
  <c r="B10711" i="1"/>
  <c r="A10712" i="1"/>
  <c r="B10712" i="1"/>
  <c r="A10713" i="1"/>
  <c r="B10713" i="1"/>
  <c r="A10714" i="1"/>
  <c r="B10714" i="1"/>
  <c r="A10715" i="1"/>
  <c r="B10715" i="1"/>
  <c r="A10716" i="1"/>
  <c r="B10716" i="1"/>
  <c r="A10717" i="1"/>
  <c r="B10717" i="1"/>
  <c r="A10718" i="1"/>
  <c r="B10718" i="1"/>
  <c r="A10719" i="1"/>
  <c r="B10719" i="1"/>
  <c r="A10720" i="1"/>
  <c r="B10720" i="1"/>
  <c r="A10721" i="1"/>
  <c r="B10721" i="1"/>
  <c r="A10722" i="1"/>
  <c r="B10722" i="1"/>
  <c r="A10723" i="1"/>
  <c r="B10723" i="1"/>
  <c r="A10724" i="1"/>
  <c r="B10724" i="1"/>
  <c r="A10725" i="1"/>
  <c r="B10725" i="1"/>
  <c r="A10726" i="1"/>
  <c r="B10726" i="1"/>
  <c r="A10727" i="1"/>
  <c r="B10727" i="1"/>
  <c r="A10728" i="1"/>
  <c r="B10728" i="1"/>
  <c r="A10729" i="1"/>
  <c r="B10729" i="1"/>
  <c r="A10730" i="1"/>
  <c r="B10730" i="1"/>
  <c r="A10731" i="1"/>
  <c r="B10731" i="1"/>
  <c r="A10732" i="1"/>
  <c r="B10732" i="1"/>
  <c r="A10733" i="1"/>
  <c r="B10733" i="1"/>
  <c r="A10734" i="1"/>
  <c r="B10734" i="1"/>
  <c r="A10735" i="1"/>
  <c r="B10735" i="1"/>
  <c r="A10736" i="1"/>
  <c r="B10736" i="1"/>
  <c r="A10737" i="1"/>
  <c r="B10737" i="1"/>
  <c r="A10738" i="1"/>
  <c r="B10738" i="1"/>
  <c r="A10739" i="1"/>
  <c r="B10739" i="1"/>
  <c r="A10740" i="1"/>
  <c r="B10740" i="1"/>
  <c r="A10741" i="1"/>
  <c r="B10741" i="1"/>
  <c r="A10742" i="1"/>
  <c r="B10742" i="1"/>
  <c r="A10743" i="1"/>
  <c r="B10743" i="1"/>
  <c r="A10744" i="1"/>
  <c r="B10744" i="1"/>
  <c r="A10745" i="1"/>
  <c r="B10745" i="1"/>
  <c r="A10746" i="1"/>
  <c r="B10746" i="1"/>
  <c r="A10747" i="1"/>
  <c r="B10747" i="1"/>
  <c r="A10748" i="1"/>
  <c r="B10748" i="1"/>
  <c r="A10749" i="1"/>
  <c r="B10749" i="1"/>
  <c r="A10750" i="1"/>
  <c r="B10750" i="1"/>
  <c r="A10751" i="1"/>
  <c r="B10751" i="1"/>
  <c r="A10752" i="1"/>
  <c r="B10752" i="1"/>
  <c r="A10753" i="1"/>
  <c r="B10753" i="1"/>
  <c r="A10754" i="1"/>
  <c r="B10754" i="1"/>
  <c r="A10755" i="1"/>
  <c r="B10755" i="1"/>
  <c r="A10756" i="1"/>
  <c r="B10756" i="1"/>
  <c r="A10757" i="1"/>
  <c r="B10757" i="1"/>
  <c r="A10758" i="1"/>
  <c r="B10758" i="1"/>
  <c r="A10759" i="1"/>
  <c r="B10759" i="1"/>
  <c r="A10760" i="1"/>
  <c r="B10760" i="1"/>
  <c r="A10761" i="1"/>
  <c r="B10761" i="1"/>
  <c r="A10762" i="1"/>
  <c r="B10762" i="1"/>
  <c r="A10763" i="1"/>
  <c r="B10763" i="1"/>
  <c r="A10764" i="1"/>
  <c r="B10764" i="1"/>
  <c r="A10765" i="1"/>
  <c r="B10765" i="1"/>
  <c r="A10766" i="1"/>
  <c r="B10766" i="1"/>
  <c r="A10767" i="1"/>
  <c r="B10767" i="1"/>
  <c r="A10768" i="1"/>
  <c r="B10768" i="1"/>
  <c r="A10769" i="1"/>
  <c r="B10769" i="1"/>
  <c r="A10770" i="1"/>
  <c r="B10770" i="1"/>
  <c r="A10771" i="1"/>
  <c r="B10771" i="1"/>
  <c r="A10772" i="1"/>
  <c r="B10772" i="1"/>
  <c r="A10773" i="1"/>
  <c r="B10773" i="1"/>
  <c r="A10774" i="1"/>
  <c r="B10774" i="1"/>
  <c r="A10775" i="1"/>
  <c r="B10775" i="1"/>
  <c r="A10776" i="1"/>
  <c r="B10776" i="1"/>
  <c r="A10777" i="1"/>
  <c r="B10777" i="1"/>
  <c r="A10778" i="1"/>
  <c r="B10778" i="1"/>
  <c r="A10779" i="1"/>
  <c r="B10779" i="1"/>
  <c r="A10780" i="1"/>
  <c r="B10780" i="1"/>
  <c r="A10781" i="1"/>
  <c r="B10781" i="1"/>
  <c r="A10782" i="1"/>
  <c r="B10782" i="1"/>
  <c r="A10783" i="1"/>
  <c r="B10783" i="1"/>
  <c r="A10784" i="1"/>
  <c r="B10784" i="1"/>
  <c r="A10785" i="1"/>
  <c r="B10785" i="1"/>
  <c r="A10786" i="1"/>
  <c r="B10786" i="1"/>
  <c r="A10787" i="1"/>
  <c r="B10787" i="1"/>
  <c r="A10788" i="1"/>
  <c r="B10788" i="1"/>
  <c r="A10789" i="1"/>
  <c r="B10789" i="1"/>
  <c r="A10790" i="1"/>
  <c r="B10790" i="1"/>
  <c r="A10791" i="1"/>
  <c r="B10791" i="1"/>
  <c r="A10792" i="1"/>
  <c r="B10792" i="1"/>
  <c r="A10793" i="1"/>
  <c r="B10793" i="1"/>
  <c r="A10794" i="1"/>
  <c r="B10794" i="1"/>
  <c r="A10795" i="1"/>
  <c r="B10795" i="1"/>
  <c r="A10796" i="1"/>
  <c r="B10796" i="1"/>
  <c r="A10797" i="1"/>
  <c r="B10797" i="1"/>
  <c r="A10798" i="1"/>
  <c r="B10798" i="1"/>
  <c r="A10799" i="1"/>
  <c r="B10799" i="1"/>
  <c r="A10800" i="1"/>
  <c r="B10800" i="1"/>
  <c r="A10801" i="1"/>
  <c r="B10801" i="1"/>
  <c r="A10802" i="1"/>
  <c r="B10802" i="1"/>
  <c r="A10803" i="1"/>
  <c r="B10803" i="1"/>
  <c r="A10804" i="1"/>
  <c r="B10804" i="1"/>
  <c r="A10805" i="1"/>
  <c r="B10805" i="1"/>
  <c r="A10806" i="1"/>
  <c r="B10806" i="1"/>
  <c r="A10807" i="1"/>
  <c r="B10807" i="1"/>
  <c r="A10808" i="1"/>
  <c r="B10808" i="1"/>
  <c r="A10809" i="1"/>
  <c r="B10809" i="1"/>
  <c r="A10810" i="1"/>
  <c r="B10810" i="1"/>
  <c r="A10811" i="1"/>
  <c r="B10811" i="1"/>
  <c r="A10812" i="1"/>
  <c r="B10812" i="1"/>
  <c r="A10813" i="1"/>
  <c r="B10813" i="1"/>
  <c r="A10814" i="1"/>
  <c r="B10814" i="1"/>
  <c r="A10815" i="1"/>
  <c r="B10815" i="1"/>
  <c r="A10816" i="1"/>
  <c r="B10816" i="1"/>
  <c r="A10817" i="1"/>
  <c r="B10817" i="1"/>
  <c r="A10818" i="1"/>
  <c r="B10818" i="1"/>
  <c r="A10819" i="1"/>
  <c r="B10819" i="1"/>
  <c r="A10820" i="1"/>
  <c r="B10820" i="1"/>
  <c r="A10821" i="1"/>
  <c r="B10821" i="1"/>
  <c r="A10822" i="1"/>
  <c r="B10822" i="1"/>
  <c r="A10823" i="1"/>
  <c r="B10823" i="1"/>
  <c r="A10824" i="1"/>
  <c r="B10824" i="1"/>
  <c r="A10825" i="1"/>
  <c r="B10825" i="1"/>
  <c r="A10826" i="1"/>
  <c r="B10826" i="1"/>
  <c r="A10827" i="1"/>
  <c r="B10827" i="1"/>
  <c r="A10828" i="1"/>
  <c r="B10828" i="1"/>
  <c r="A10829" i="1"/>
  <c r="B10829" i="1"/>
  <c r="A10830" i="1"/>
  <c r="B10830" i="1"/>
  <c r="A10831" i="1"/>
  <c r="B10831" i="1"/>
  <c r="A10832" i="1"/>
  <c r="B10832" i="1"/>
  <c r="A10833" i="1"/>
  <c r="B10833" i="1"/>
  <c r="A10834" i="1"/>
  <c r="B10834" i="1"/>
  <c r="A10835" i="1"/>
  <c r="B10835" i="1"/>
  <c r="A10836" i="1"/>
  <c r="B10836" i="1"/>
  <c r="A10837" i="1"/>
  <c r="B10837" i="1"/>
  <c r="A10838" i="1"/>
  <c r="B10838" i="1"/>
  <c r="A10839" i="1"/>
  <c r="B10839" i="1"/>
  <c r="A10840" i="1"/>
  <c r="B10840" i="1"/>
  <c r="A10841" i="1"/>
  <c r="B10841" i="1"/>
  <c r="A10842" i="1"/>
  <c r="B10842" i="1"/>
  <c r="A10843" i="1"/>
  <c r="B10843" i="1"/>
  <c r="A10844" i="1"/>
  <c r="B10844" i="1"/>
  <c r="A10845" i="1"/>
  <c r="B10845" i="1"/>
  <c r="A10846" i="1"/>
  <c r="B10846" i="1"/>
  <c r="A10847" i="1"/>
  <c r="B10847" i="1"/>
  <c r="A10848" i="1"/>
  <c r="B10848" i="1"/>
  <c r="A10849" i="1"/>
  <c r="B10849" i="1"/>
  <c r="A10850" i="1"/>
  <c r="B10850" i="1"/>
  <c r="A10851" i="1"/>
  <c r="B10851" i="1"/>
  <c r="A10852" i="1"/>
  <c r="B10852" i="1"/>
  <c r="A10853" i="1"/>
  <c r="B10853" i="1"/>
  <c r="A10854" i="1"/>
  <c r="B10854" i="1"/>
  <c r="A10855" i="1"/>
  <c r="B10855" i="1"/>
  <c r="A10856" i="1"/>
  <c r="B10856" i="1"/>
  <c r="A10857" i="1"/>
  <c r="B10857" i="1"/>
  <c r="A10858" i="1"/>
  <c r="B10858" i="1"/>
  <c r="A10859" i="1"/>
  <c r="B10859" i="1"/>
  <c r="A10860" i="1"/>
  <c r="B10860" i="1"/>
  <c r="A10861" i="1"/>
  <c r="B10861" i="1"/>
  <c r="A10862" i="1"/>
  <c r="B10862" i="1"/>
  <c r="A10863" i="1"/>
  <c r="B10863" i="1"/>
  <c r="A10864" i="1"/>
  <c r="B10864" i="1"/>
  <c r="A10865" i="1"/>
  <c r="B10865" i="1"/>
  <c r="A10866" i="1"/>
  <c r="B10866" i="1"/>
  <c r="A10867" i="1"/>
  <c r="B10867" i="1"/>
  <c r="A10868" i="1"/>
  <c r="B10868" i="1"/>
  <c r="A10869" i="1"/>
  <c r="B10869" i="1"/>
  <c r="A10870" i="1"/>
  <c r="B10870" i="1"/>
  <c r="A10871" i="1"/>
  <c r="B10871" i="1"/>
  <c r="A10872" i="1"/>
  <c r="B10872" i="1"/>
  <c r="A10873" i="1"/>
  <c r="B10873" i="1"/>
  <c r="A10874" i="1"/>
  <c r="B10874" i="1"/>
  <c r="A10875" i="1"/>
  <c r="B10875" i="1"/>
  <c r="A10876" i="1"/>
  <c r="B10876" i="1"/>
  <c r="A10877" i="1"/>
  <c r="B10877" i="1"/>
  <c r="A10878" i="1"/>
  <c r="B10878" i="1"/>
  <c r="A10879" i="1"/>
  <c r="B10879" i="1"/>
  <c r="A10880" i="1"/>
  <c r="B10880" i="1"/>
  <c r="A10881" i="1"/>
  <c r="B10881" i="1"/>
  <c r="A10882" i="1"/>
  <c r="B10882" i="1"/>
  <c r="A10883" i="1"/>
  <c r="B10883" i="1"/>
  <c r="A10884" i="1"/>
  <c r="B10884" i="1"/>
  <c r="A10885" i="1"/>
  <c r="B10885" i="1"/>
  <c r="A10886" i="1"/>
  <c r="B10886" i="1"/>
  <c r="A10887" i="1"/>
  <c r="B10887" i="1"/>
  <c r="A10888" i="1"/>
  <c r="B10888" i="1"/>
  <c r="A10889" i="1"/>
  <c r="B10889" i="1"/>
  <c r="A10890" i="1"/>
  <c r="B10890" i="1"/>
  <c r="A10891" i="1"/>
  <c r="B10891" i="1"/>
  <c r="A10892" i="1"/>
  <c r="B10892" i="1"/>
  <c r="A10893" i="1"/>
  <c r="B10893" i="1"/>
  <c r="A10894" i="1"/>
  <c r="B10894" i="1"/>
  <c r="A10895" i="1"/>
  <c r="B10895" i="1"/>
  <c r="A10896" i="1"/>
  <c r="B10896" i="1"/>
  <c r="A10897" i="1"/>
  <c r="B10897" i="1"/>
  <c r="A10898" i="1"/>
  <c r="B10898" i="1"/>
  <c r="A10899" i="1"/>
  <c r="B10899" i="1"/>
  <c r="A10900" i="1"/>
  <c r="B10900" i="1"/>
  <c r="A10901" i="1"/>
  <c r="B10901" i="1"/>
  <c r="A10902" i="1"/>
  <c r="B10902" i="1"/>
  <c r="A10903" i="1"/>
  <c r="B10903" i="1"/>
  <c r="A10904" i="1"/>
  <c r="B10904" i="1"/>
  <c r="A10905" i="1"/>
  <c r="B10905" i="1"/>
  <c r="A10906" i="1"/>
  <c r="B10906" i="1"/>
  <c r="A10907" i="1"/>
  <c r="B10907" i="1"/>
  <c r="A10908" i="1"/>
  <c r="B10908" i="1"/>
  <c r="A10909" i="1"/>
  <c r="B10909" i="1"/>
  <c r="A10910" i="1"/>
  <c r="B10910" i="1"/>
  <c r="A10911" i="1"/>
  <c r="B10911" i="1"/>
  <c r="A10912" i="1"/>
  <c r="B10912" i="1"/>
  <c r="A10913" i="1"/>
  <c r="B10913" i="1"/>
  <c r="A10914" i="1"/>
  <c r="B10914" i="1"/>
  <c r="A10915" i="1"/>
  <c r="B10915" i="1"/>
  <c r="A10916" i="1"/>
  <c r="B10916" i="1"/>
  <c r="A10917" i="1"/>
  <c r="B10917" i="1"/>
  <c r="A10918" i="1"/>
  <c r="B10918" i="1"/>
  <c r="A10919" i="1"/>
  <c r="B10919" i="1"/>
  <c r="A10920" i="1"/>
  <c r="B10920" i="1"/>
  <c r="A10921" i="1"/>
  <c r="B10921" i="1"/>
  <c r="A10922" i="1"/>
  <c r="B10922" i="1"/>
  <c r="A10923" i="1"/>
  <c r="B10923" i="1"/>
  <c r="A10924" i="1"/>
  <c r="B10924" i="1"/>
  <c r="A10925" i="1"/>
  <c r="B10925" i="1"/>
  <c r="A10926" i="1"/>
  <c r="B10926" i="1"/>
  <c r="A10927" i="1"/>
  <c r="B10927" i="1"/>
  <c r="A10928" i="1"/>
  <c r="B10928" i="1"/>
  <c r="A10929" i="1"/>
  <c r="B10929" i="1"/>
  <c r="A10930" i="1"/>
  <c r="B10930" i="1"/>
  <c r="A10931" i="1"/>
  <c r="B10931" i="1"/>
  <c r="A10932" i="1"/>
  <c r="B10932" i="1"/>
  <c r="A10933" i="1"/>
  <c r="B10933" i="1"/>
  <c r="A10934" i="1"/>
  <c r="B10934" i="1"/>
  <c r="A10935" i="1"/>
  <c r="B10935" i="1"/>
  <c r="A10936" i="1"/>
  <c r="B10936" i="1"/>
  <c r="A10937" i="1"/>
  <c r="B10937" i="1"/>
  <c r="A10938" i="1"/>
  <c r="B10938" i="1"/>
  <c r="A10939" i="1"/>
  <c r="B10939" i="1"/>
  <c r="A10940" i="1"/>
  <c r="B10940" i="1"/>
  <c r="A10941" i="1"/>
  <c r="B10941" i="1"/>
  <c r="A10942" i="1"/>
  <c r="B10942" i="1"/>
  <c r="A10943" i="1"/>
  <c r="B10943" i="1"/>
  <c r="A10944" i="1"/>
  <c r="B10944" i="1"/>
  <c r="A10945" i="1"/>
  <c r="B10945" i="1"/>
  <c r="A10946" i="1"/>
  <c r="B10946" i="1"/>
  <c r="A10947" i="1"/>
  <c r="B10947" i="1"/>
  <c r="A10948" i="1"/>
  <c r="B10948" i="1"/>
  <c r="A10949" i="1"/>
  <c r="B10949" i="1"/>
  <c r="A10950" i="1"/>
  <c r="B10950" i="1"/>
  <c r="A10951" i="1"/>
  <c r="B10951" i="1"/>
  <c r="A10952" i="1"/>
  <c r="B10952" i="1"/>
  <c r="A10953" i="1"/>
  <c r="B10953" i="1"/>
  <c r="A10954" i="1"/>
  <c r="B10954" i="1"/>
  <c r="A10955" i="1"/>
  <c r="B10955" i="1"/>
  <c r="A10956" i="1"/>
  <c r="B10956" i="1"/>
  <c r="A10957" i="1"/>
  <c r="B10957" i="1"/>
  <c r="A10958" i="1"/>
  <c r="B10958" i="1"/>
  <c r="A10959" i="1"/>
  <c r="B10959" i="1"/>
  <c r="A10960" i="1"/>
  <c r="B10960" i="1"/>
  <c r="A10961" i="1"/>
  <c r="B10961" i="1"/>
  <c r="A10962" i="1"/>
  <c r="B10962" i="1"/>
  <c r="A10963" i="1"/>
  <c r="B10963" i="1"/>
  <c r="A10964" i="1"/>
  <c r="B10964" i="1"/>
  <c r="A10965" i="1"/>
  <c r="B10965" i="1"/>
  <c r="A10966" i="1"/>
  <c r="B10966" i="1"/>
  <c r="A10967" i="1"/>
  <c r="B10967" i="1"/>
  <c r="A10968" i="1"/>
  <c r="B10968" i="1"/>
  <c r="A10969" i="1"/>
  <c r="B10969" i="1"/>
  <c r="A10970" i="1"/>
  <c r="B10970" i="1"/>
  <c r="A10971" i="1"/>
  <c r="B10971" i="1"/>
  <c r="A10972" i="1"/>
  <c r="B10972" i="1"/>
  <c r="A10973" i="1"/>
  <c r="B10973" i="1"/>
  <c r="A10974" i="1"/>
  <c r="B10974" i="1"/>
  <c r="A10975" i="1"/>
  <c r="B10975" i="1"/>
  <c r="A10976" i="1"/>
  <c r="B10976" i="1"/>
  <c r="A10977" i="1"/>
  <c r="B10977" i="1"/>
  <c r="A10978" i="1"/>
  <c r="B10978" i="1"/>
  <c r="A10979" i="1"/>
  <c r="B10979" i="1"/>
  <c r="A10980" i="1"/>
  <c r="B10980" i="1"/>
  <c r="A10981" i="1"/>
  <c r="B10981" i="1"/>
  <c r="A10982" i="1"/>
  <c r="B10982" i="1"/>
  <c r="A10983" i="1"/>
  <c r="B10983" i="1"/>
  <c r="A10984" i="1"/>
  <c r="B10984" i="1"/>
  <c r="A10985" i="1"/>
  <c r="B10985" i="1"/>
  <c r="A10986" i="1"/>
  <c r="B10986" i="1"/>
  <c r="A10987" i="1"/>
  <c r="B10987" i="1"/>
  <c r="A10988" i="1"/>
  <c r="B10988" i="1"/>
  <c r="A10989" i="1"/>
  <c r="B10989" i="1"/>
  <c r="A10990" i="1"/>
  <c r="B10990" i="1"/>
  <c r="A10991" i="1"/>
  <c r="B10991" i="1"/>
  <c r="A10992" i="1"/>
  <c r="B10992" i="1"/>
  <c r="A10993" i="1"/>
  <c r="B10993" i="1"/>
  <c r="A10994" i="1"/>
  <c r="B10994" i="1"/>
  <c r="A10995" i="1"/>
  <c r="B10995" i="1"/>
  <c r="A10996" i="1"/>
  <c r="B10996" i="1"/>
  <c r="A10997" i="1"/>
  <c r="B10997" i="1"/>
  <c r="A10998" i="1"/>
  <c r="B10998" i="1"/>
  <c r="A10999" i="1"/>
  <c r="B10999" i="1"/>
  <c r="A11000" i="1"/>
  <c r="B11000" i="1"/>
  <c r="A11001" i="1"/>
  <c r="B11001" i="1"/>
  <c r="A11002" i="1"/>
  <c r="B11002" i="1"/>
  <c r="A11003" i="1"/>
  <c r="B11003" i="1"/>
  <c r="A11004" i="1"/>
  <c r="B11004" i="1"/>
  <c r="A11005" i="1"/>
  <c r="B11005" i="1"/>
  <c r="A11006" i="1"/>
  <c r="B11006" i="1"/>
  <c r="A11007" i="1"/>
  <c r="B11007" i="1"/>
  <c r="A11008" i="1"/>
  <c r="B11008" i="1"/>
  <c r="A11009" i="1"/>
  <c r="B11009" i="1"/>
  <c r="A11010" i="1"/>
  <c r="B11010" i="1"/>
  <c r="A11011" i="1"/>
  <c r="B11011" i="1"/>
  <c r="A11012" i="1"/>
  <c r="B11012" i="1"/>
  <c r="A11013" i="1"/>
  <c r="B11013" i="1"/>
  <c r="A11014" i="1"/>
  <c r="B11014" i="1"/>
  <c r="A11015" i="1"/>
  <c r="B11015" i="1"/>
  <c r="A11016" i="1"/>
  <c r="B11016" i="1"/>
  <c r="A11017" i="1"/>
  <c r="B11017" i="1"/>
  <c r="A11018" i="1"/>
  <c r="B11018" i="1"/>
  <c r="A11019" i="1"/>
  <c r="B11019" i="1"/>
  <c r="A11020" i="1"/>
  <c r="B11020" i="1"/>
  <c r="A11021" i="1"/>
  <c r="B11021" i="1"/>
  <c r="A11022" i="1"/>
  <c r="B11022" i="1"/>
  <c r="A11023" i="1"/>
  <c r="B11023" i="1"/>
  <c r="A11024" i="1"/>
  <c r="B11024" i="1"/>
  <c r="A11025" i="1"/>
  <c r="B11025" i="1"/>
  <c r="A11026" i="1"/>
  <c r="B11026" i="1"/>
  <c r="A11027" i="1"/>
  <c r="B11027" i="1"/>
  <c r="A11028" i="1"/>
  <c r="B11028" i="1"/>
  <c r="A11029" i="1"/>
  <c r="B11029" i="1"/>
  <c r="A11030" i="1"/>
  <c r="B11030" i="1"/>
  <c r="A11031" i="1"/>
  <c r="B11031" i="1"/>
  <c r="A11032" i="1"/>
  <c r="B11032" i="1"/>
  <c r="A11033" i="1"/>
  <c r="B11033" i="1"/>
  <c r="A11034" i="1"/>
  <c r="B11034" i="1"/>
  <c r="A11035" i="1"/>
  <c r="B11035" i="1"/>
  <c r="A11036" i="1"/>
  <c r="B11036" i="1"/>
  <c r="A11037" i="1"/>
  <c r="B11037" i="1"/>
  <c r="A11038" i="1"/>
  <c r="B11038" i="1"/>
  <c r="A11039" i="1"/>
  <c r="B11039" i="1"/>
  <c r="A11040" i="1"/>
  <c r="B11040" i="1"/>
  <c r="A11041" i="1"/>
  <c r="B11041" i="1"/>
  <c r="A11042" i="1"/>
  <c r="B11042" i="1"/>
  <c r="A11043" i="1"/>
  <c r="B11043" i="1"/>
  <c r="A11044" i="1"/>
  <c r="B11044" i="1"/>
  <c r="A11045" i="1"/>
  <c r="B11045" i="1"/>
  <c r="A11046" i="1"/>
  <c r="B11046" i="1"/>
  <c r="A11047" i="1"/>
  <c r="B11047" i="1"/>
  <c r="A11048" i="1"/>
  <c r="B11048" i="1"/>
  <c r="A11049" i="1"/>
  <c r="B11049" i="1"/>
  <c r="A11050" i="1"/>
  <c r="B11050" i="1"/>
  <c r="A11051" i="1"/>
  <c r="B11051" i="1"/>
  <c r="A11052" i="1"/>
  <c r="B11052" i="1"/>
  <c r="A11053" i="1"/>
  <c r="B11053" i="1"/>
  <c r="A11054" i="1"/>
  <c r="B11054" i="1"/>
  <c r="A11055" i="1"/>
  <c r="B11055" i="1"/>
  <c r="A11056" i="1"/>
  <c r="B11056" i="1"/>
  <c r="A11057" i="1"/>
  <c r="B11057" i="1"/>
  <c r="A11058" i="1"/>
  <c r="B11058" i="1"/>
  <c r="A11059" i="1"/>
  <c r="B11059" i="1"/>
  <c r="A11060" i="1"/>
  <c r="B11060" i="1"/>
  <c r="A11061" i="1"/>
  <c r="B11061" i="1"/>
  <c r="A11062" i="1"/>
  <c r="B11062" i="1"/>
  <c r="A11063" i="1"/>
  <c r="B11063" i="1"/>
  <c r="A11064" i="1"/>
  <c r="B11064" i="1"/>
  <c r="A11065" i="1"/>
  <c r="B11065" i="1"/>
  <c r="A11066" i="1"/>
  <c r="B11066" i="1"/>
  <c r="A11067" i="1"/>
  <c r="B11067" i="1"/>
  <c r="A11068" i="1"/>
  <c r="B11068" i="1"/>
  <c r="A11069" i="1"/>
  <c r="B11069" i="1"/>
  <c r="A11070" i="1"/>
  <c r="B11070" i="1"/>
  <c r="A11071" i="1"/>
  <c r="B11071" i="1"/>
  <c r="A11072" i="1"/>
  <c r="B11072" i="1"/>
  <c r="A11073" i="1"/>
  <c r="B11073" i="1"/>
  <c r="A11074" i="1"/>
  <c r="B11074" i="1"/>
  <c r="A11075" i="1"/>
  <c r="B11075" i="1"/>
  <c r="A11076" i="1"/>
  <c r="B11076" i="1"/>
  <c r="A11077" i="1"/>
  <c r="B11077" i="1"/>
  <c r="A11078" i="1"/>
  <c r="B11078" i="1"/>
  <c r="A11079" i="1"/>
  <c r="B11079" i="1"/>
  <c r="A11080" i="1"/>
  <c r="B11080" i="1"/>
  <c r="A11081" i="1"/>
  <c r="B11081" i="1"/>
  <c r="A11082" i="1"/>
  <c r="B11082" i="1"/>
  <c r="A11083" i="1"/>
  <c r="B11083" i="1"/>
  <c r="A11084" i="1"/>
  <c r="B11084" i="1"/>
  <c r="A11085" i="1"/>
  <c r="B11085" i="1"/>
  <c r="A11086" i="1"/>
  <c r="B11086" i="1"/>
  <c r="A11087" i="1"/>
  <c r="B11087" i="1"/>
  <c r="A11088" i="1"/>
  <c r="B11088" i="1"/>
  <c r="A11089" i="1"/>
  <c r="B11089" i="1"/>
  <c r="A11090" i="1"/>
  <c r="B11090" i="1"/>
  <c r="A11091" i="1"/>
  <c r="B11091" i="1"/>
  <c r="A11092" i="1"/>
  <c r="B11092" i="1"/>
  <c r="A11093" i="1"/>
  <c r="B11093" i="1"/>
  <c r="A11094" i="1"/>
  <c r="B11094" i="1"/>
  <c r="A11095" i="1"/>
  <c r="B11095" i="1"/>
  <c r="A11096" i="1"/>
  <c r="B11096" i="1"/>
  <c r="A11097" i="1"/>
  <c r="B11097" i="1"/>
  <c r="A11098" i="1"/>
  <c r="B11098" i="1"/>
  <c r="A11099" i="1"/>
  <c r="B11099" i="1"/>
  <c r="A11100" i="1"/>
  <c r="B11100" i="1"/>
  <c r="A11101" i="1"/>
  <c r="B11101" i="1"/>
  <c r="A11102" i="1"/>
  <c r="B11102" i="1"/>
  <c r="A11103" i="1"/>
  <c r="B11103" i="1"/>
  <c r="A11104" i="1"/>
  <c r="B11104" i="1"/>
  <c r="A11105" i="1"/>
  <c r="B11105" i="1"/>
  <c r="A11106" i="1"/>
  <c r="B11106" i="1"/>
  <c r="A11107" i="1"/>
  <c r="B11107" i="1"/>
  <c r="A11108" i="1"/>
  <c r="B11108" i="1"/>
  <c r="A11109" i="1"/>
  <c r="B11109" i="1"/>
  <c r="A11110" i="1"/>
  <c r="B11110" i="1"/>
  <c r="A11111" i="1"/>
  <c r="B11111" i="1"/>
  <c r="A11112" i="1"/>
  <c r="B11112" i="1"/>
  <c r="A11113" i="1"/>
  <c r="B11113" i="1"/>
  <c r="A11114" i="1"/>
  <c r="B11114" i="1"/>
  <c r="A11115" i="1"/>
  <c r="B11115" i="1"/>
  <c r="A11116" i="1"/>
  <c r="B11116" i="1"/>
  <c r="A11117" i="1"/>
  <c r="B11117" i="1"/>
  <c r="A11118" i="1"/>
  <c r="B11118" i="1"/>
  <c r="A11119" i="1"/>
  <c r="B11119" i="1"/>
  <c r="A11120" i="1"/>
  <c r="B11120" i="1"/>
  <c r="A11121" i="1"/>
  <c r="B11121" i="1"/>
  <c r="A11122" i="1"/>
  <c r="B11122" i="1"/>
  <c r="A11123" i="1"/>
  <c r="B11123" i="1"/>
  <c r="A11124" i="1"/>
  <c r="B11124" i="1"/>
  <c r="A11125" i="1"/>
  <c r="B11125" i="1"/>
  <c r="A11126" i="1"/>
  <c r="B11126" i="1"/>
  <c r="A11127" i="1"/>
  <c r="B11127" i="1"/>
  <c r="A11128" i="1"/>
  <c r="B11128" i="1"/>
  <c r="A11129" i="1"/>
  <c r="B11129" i="1"/>
  <c r="A11130" i="1"/>
  <c r="B11130" i="1"/>
  <c r="A11131" i="1"/>
  <c r="B11131" i="1"/>
  <c r="A11132" i="1"/>
  <c r="B11132" i="1"/>
  <c r="A11133" i="1"/>
  <c r="B11133" i="1"/>
  <c r="A11134" i="1"/>
  <c r="B11134" i="1"/>
  <c r="A11135" i="1"/>
  <c r="B11135" i="1"/>
  <c r="A11136" i="1"/>
  <c r="B11136" i="1"/>
  <c r="A11137" i="1"/>
  <c r="B11137" i="1"/>
  <c r="A11138" i="1"/>
  <c r="B11138" i="1"/>
  <c r="A11139" i="1"/>
  <c r="B11139" i="1"/>
  <c r="A11140" i="1"/>
  <c r="B11140" i="1"/>
  <c r="A11141" i="1"/>
  <c r="B11141" i="1"/>
  <c r="A11142" i="1"/>
  <c r="B11142" i="1"/>
  <c r="A11143" i="1"/>
  <c r="B11143" i="1"/>
  <c r="A11144" i="1"/>
  <c r="B11144" i="1"/>
  <c r="A11145" i="1"/>
  <c r="B11145" i="1"/>
  <c r="A11146" i="1"/>
  <c r="B11146" i="1"/>
  <c r="A11147" i="1"/>
  <c r="B11147" i="1"/>
  <c r="A11148" i="1"/>
  <c r="B11148" i="1"/>
  <c r="A11149" i="1"/>
  <c r="B11149" i="1"/>
  <c r="A11150" i="1"/>
  <c r="B11150" i="1"/>
  <c r="A11151" i="1"/>
  <c r="B11151" i="1"/>
  <c r="A11152" i="1"/>
  <c r="B11152" i="1"/>
  <c r="A11153" i="1"/>
  <c r="B11153" i="1"/>
  <c r="A11154" i="1"/>
  <c r="B11154" i="1"/>
  <c r="A11155" i="1"/>
  <c r="B11155" i="1"/>
  <c r="A11156" i="1"/>
  <c r="B11156" i="1"/>
  <c r="A11157" i="1"/>
  <c r="B11157" i="1"/>
  <c r="A11158" i="1"/>
  <c r="B11158" i="1"/>
  <c r="A11159" i="1"/>
  <c r="B11159" i="1"/>
  <c r="A11160" i="1"/>
  <c r="B11160" i="1"/>
  <c r="A11161" i="1"/>
  <c r="B11161" i="1"/>
  <c r="A11162" i="1"/>
  <c r="B11162" i="1"/>
  <c r="A11163" i="1"/>
  <c r="B11163" i="1"/>
  <c r="A11164" i="1"/>
  <c r="B11164" i="1"/>
  <c r="A11165" i="1"/>
  <c r="B11165" i="1"/>
  <c r="A11166" i="1"/>
  <c r="B11166" i="1"/>
  <c r="A11167" i="1"/>
  <c r="B11167" i="1"/>
  <c r="A11168" i="1"/>
  <c r="B11168" i="1"/>
  <c r="A11169" i="1"/>
  <c r="B11169" i="1"/>
  <c r="A11170" i="1"/>
  <c r="B11170" i="1"/>
  <c r="A11171" i="1"/>
  <c r="B11171" i="1"/>
  <c r="A11172" i="1"/>
  <c r="B11172" i="1"/>
  <c r="A11173" i="1"/>
  <c r="B11173" i="1"/>
  <c r="A11174" i="1"/>
  <c r="B11174" i="1"/>
  <c r="A11175" i="1"/>
  <c r="B11175" i="1"/>
  <c r="A11176" i="1"/>
  <c r="B11176" i="1"/>
  <c r="A11177" i="1"/>
  <c r="B11177" i="1"/>
  <c r="A11178" i="1"/>
  <c r="B11178" i="1"/>
  <c r="A11179" i="1"/>
  <c r="B11179" i="1"/>
  <c r="A11180" i="1"/>
  <c r="B11180" i="1"/>
  <c r="A11181" i="1"/>
  <c r="B11181" i="1"/>
  <c r="A11182" i="1"/>
  <c r="B11182" i="1"/>
  <c r="A11183" i="1"/>
  <c r="B11183" i="1"/>
  <c r="A11184" i="1"/>
  <c r="B11184" i="1"/>
  <c r="A11185" i="1"/>
  <c r="B11185" i="1"/>
  <c r="A11186" i="1"/>
  <c r="B11186" i="1"/>
  <c r="A11187" i="1"/>
  <c r="B11187" i="1"/>
  <c r="A11188" i="1"/>
  <c r="B11188" i="1"/>
  <c r="A11189" i="1"/>
  <c r="B11189" i="1"/>
  <c r="A11190" i="1"/>
  <c r="B11190" i="1"/>
  <c r="A11191" i="1"/>
  <c r="B11191" i="1"/>
  <c r="A11192" i="1"/>
  <c r="B11192" i="1"/>
  <c r="A11193" i="1"/>
  <c r="B11193" i="1"/>
  <c r="A11194" i="1"/>
  <c r="B11194" i="1"/>
  <c r="A11195" i="1"/>
  <c r="B11195" i="1"/>
  <c r="A11196" i="1"/>
  <c r="B11196" i="1"/>
  <c r="A11197" i="1"/>
  <c r="B11197" i="1"/>
  <c r="A11198" i="1"/>
  <c r="B11198" i="1"/>
  <c r="A11199" i="1"/>
  <c r="B11199" i="1"/>
  <c r="A11200" i="1"/>
  <c r="B11200" i="1"/>
  <c r="A11201" i="1"/>
  <c r="B11201" i="1"/>
  <c r="A11202" i="1"/>
  <c r="B11202" i="1"/>
  <c r="A11203" i="1"/>
  <c r="B11203" i="1"/>
  <c r="A11204" i="1"/>
  <c r="B11204" i="1"/>
  <c r="A11205" i="1"/>
  <c r="B11205" i="1"/>
  <c r="A11206" i="1"/>
  <c r="B11206" i="1"/>
  <c r="A11207" i="1"/>
  <c r="B11207" i="1"/>
  <c r="A11208" i="1"/>
  <c r="B11208" i="1"/>
  <c r="A11209" i="1"/>
  <c r="B11209" i="1"/>
  <c r="A11210" i="1"/>
  <c r="B11210" i="1"/>
  <c r="A11211" i="1"/>
  <c r="B11211" i="1"/>
  <c r="A11212" i="1"/>
  <c r="B11212" i="1"/>
  <c r="A11213" i="1"/>
  <c r="B11213" i="1"/>
  <c r="A11214" i="1"/>
  <c r="B11214" i="1"/>
  <c r="A11215" i="1"/>
  <c r="B11215" i="1"/>
  <c r="A11216" i="1"/>
  <c r="B11216" i="1"/>
  <c r="A11217" i="1"/>
  <c r="B11217" i="1"/>
  <c r="A11218" i="1"/>
  <c r="B11218" i="1"/>
  <c r="A11219" i="1"/>
  <c r="B11219" i="1"/>
  <c r="A11220" i="1"/>
  <c r="B11220" i="1"/>
  <c r="A11221" i="1"/>
  <c r="B11221" i="1"/>
  <c r="A11222" i="1"/>
  <c r="B11222" i="1"/>
  <c r="A11223" i="1"/>
  <c r="B11223" i="1"/>
  <c r="A11224" i="1"/>
  <c r="B11224" i="1"/>
  <c r="A11225" i="1"/>
  <c r="B11225" i="1"/>
  <c r="A11226" i="1"/>
  <c r="B11226" i="1"/>
  <c r="A11227" i="1"/>
  <c r="B11227" i="1"/>
  <c r="A11228" i="1"/>
  <c r="B11228" i="1"/>
  <c r="A11229" i="1"/>
  <c r="B11229" i="1"/>
  <c r="A11230" i="1"/>
  <c r="B11230" i="1"/>
  <c r="A11231" i="1"/>
  <c r="B11231" i="1"/>
  <c r="A11232" i="1"/>
  <c r="B11232" i="1"/>
  <c r="A11233" i="1"/>
  <c r="B11233" i="1"/>
  <c r="A11234" i="1"/>
  <c r="B11234" i="1"/>
  <c r="A11235" i="1"/>
  <c r="B11235" i="1"/>
  <c r="A11236" i="1"/>
  <c r="B11236" i="1"/>
  <c r="A11237" i="1"/>
  <c r="B11237" i="1"/>
  <c r="A11238" i="1"/>
  <c r="B11238" i="1"/>
  <c r="A11239" i="1"/>
  <c r="B11239" i="1"/>
  <c r="A11240" i="1"/>
  <c r="B11240" i="1"/>
  <c r="A11241" i="1"/>
  <c r="B11241" i="1"/>
  <c r="A11242" i="1"/>
  <c r="B11242" i="1"/>
  <c r="A11243" i="1"/>
  <c r="B11243" i="1"/>
  <c r="A11244" i="1"/>
  <c r="B11244" i="1"/>
  <c r="A11245" i="1"/>
  <c r="B11245" i="1"/>
  <c r="A11246" i="1"/>
  <c r="B11246" i="1"/>
  <c r="A11247" i="1"/>
  <c r="B11247" i="1"/>
  <c r="A11248" i="1"/>
  <c r="B11248" i="1"/>
  <c r="A11249" i="1"/>
  <c r="B11249" i="1"/>
  <c r="A11250" i="1"/>
  <c r="B11250" i="1"/>
  <c r="A11251" i="1"/>
  <c r="B11251" i="1"/>
  <c r="A11252" i="1"/>
  <c r="B11252" i="1"/>
  <c r="A11253" i="1"/>
  <c r="B11253" i="1"/>
  <c r="A11254" i="1"/>
  <c r="B11254" i="1"/>
  <c r="A11255" i="1"/>
  <c r="B11255" i="1"/>
  <c r="A11256" i="1"/>
  <c r="B11256" i="1"/>
  <c r="A11257" i="1"/>
  <c r="B11257" i="1"/>
  <c r="A11258" i="1"/>
  <c r="B11258" i="1"/>
  <c r="A11259" i="1"/>
  <c r="B11259" i="1"/>
  <c r="A11260" i="1"/>
  <c r="B11260" i="1"/>
  <c r="A11261" i="1"/>
  <c r="B11261" i="1"/>
  <c r="A11262" i="1"/>
  <c r="B11262" i="1"/>
  <c r="A11263" i="1"/>
  <c r="B11263" i="1"/>
  <c r="A11264" i="1"/>
  <c r="B11264" i="1"/>
  <c r="A11265" i="1"/>
  <c r="B11265" i="1"/>
  <c r="A11266" i="1"/>
  <c r="B11266" i="1"/>
  <c r="A11267" i="1"/>
  <c r="B11267" i="1"/>
  <c r="A11268" i="1"/>
  <c r="B11268" i="1"/>
  <c r="A11269" i="1"/>
  <c r="B11269" i="1"/>
  <c r="A11270" i="1"/>
  <c r="B11270" i="1"/>
  <c r="A11271" i="1"/>
  <c r="B11271" i="1"/>
  <c r="A11272" i="1"/>
  <c r="B11272" i="1"/>
  <c r="A11273" i="1"/>
  <c r="B11273" i="1"/>
  <c r="A11274" i="1"/>
  <c r="B11274" i="1"/>
  <c r="A11275" i="1"/>
  <c r="B11275" i="1"/>
  <c r="A11276" i="1"/>
  <c r="B11276" i="1"/>
  <c r="A11277" i="1"/>
  <c r="B11277" i="1"/>
  <c r="A11278" i="1"/>
  <c r="B11278" i="1"/>
  <c r="A11279" i="1"/>
  <c r="B11279" i="1"/>
  <c r="A11280" i="1"/>
  <c r="B11280" i="1"/>
  <c r="A11281" i="1"/>
  <c r="B11281" i="1"/>
  <c r="A11282" i="1"/>
  <c r="B11282" i="1"/>
  <c r="A11283" i="1"/>
  <c r="B11283" i="1"/>
  <c r="A11284" i="1"/>
  <c r="B11284" i="1"/>
  <c r="A11285" i="1"/>
  <c r="B11285" i="1"/>
  <c r="A11286" i="1"/>
  <c r="B11286" i="1"/>
  <c r="A11287" i="1"/>
  <c r="B11287" i="1"/>
  <c r="A11288" i="1"/>
  <c r="B11288" i="1"/>
  <c r="A11289" i="1"/>
  <c r="B11289" i="1"/>
  <c r="A11290" i="1"/>
  <c r="B11290" i="1"/>
  <c r="A11291" i="1"/>
  <c r="B11291" i="1"/>
  <c r="A11292" i="1"/>
  <c r="B11292" i="1"/>
  <c r="A11293" i="1"/>
  <c r="B11293" i="1"/>
  <c r="A11294" i="1"/>
  <c r="B11294" i="1"/>
  <c r="A11295" i="1"/>
  <c r="B11295" i="1"/>
  <c r="A11296" i="1"/>
  <c r="B11296" i="1"/>
  <c r="A11297" i="1"/>
  <c r="B11297" i="1"/>
  <c r="A11298" i="1"/>
  <c r="B11298" i="1"/>
  <c r="A11299" i="1"/>
  <c r="B11299" i="1"/>
  <c r="A11300" i="1"/>
  <c r="B11300" i="1"/>
  <c r="A11301" i="1"/>
  <c r="B11301" i="1"/>
  <c r="A11302" i="1"/>
  <c r="B11302" i="1"/>
  <c r="A11303" i="1"/>
  <c r="B11303" i="1"/>
  <c r="A11304" i="1"/>
  <c r="B11304" i="1"/>
  <c r="A11305" i="1"/>
  <c r="B11305" i="1"/>
  <c r="A11306" i="1"/>
  <c r="B11306" i="1"/>
  <c r="A11307" i="1"/>
  <c r="B11307" i="1"/>
  <c r="A11308" i="1"/>
  <c r="B11308" i="1"/>
  <c r="A11309" i="1"/>
  <c r="B11309" i="1"/>
  <c r="A11310" i="1"/>
  <c r="B11310" i="1"/>
  <c r="A11311" i="1"/>
  <c r="B11311" i="1"/>
  <c r="A11312" i="1"/>
  <c r="B11312" i="1"/>
  <c r="A11313" i="1"/>
  <c r="B11313" i="1"/>
  <c r="A11314" i="1"/>
  <c r="B11314" i="1"/>
  <c r="A11315" i="1"/>
  <c r="B11315" i="1"/>
  <c r="A11316" i="1"/>
  <c r="B11316" i="1"/>
  <c r="A11317" i="1"/>
  <c r="B11317" i="1"/>
  <c r="A11318" i="1"/>
  <c r="B11318" i="1"/>
  <c r="A11319" i="1"/>
  <c r="B11319" i="1"/>
  <c r="A11320" i="1"/>
  <c r="B11320" i="1"/>
  <c r="A11321" i="1"/>
  <c r="B11321" i="1"/>
  <c r="A11322" i="1"/>
  <c r="B11322" i="1"/>
  <c r="A11323" i="1"/>
  <c r="B11323" i="1"/>
  <c r="A11324" i="1"/>
  <c r="B11324" i="1"/>
  <c r="A11325" i="1"/>
  <c r="B11325" i="1"/>
  <c r="A11326" i="1"/>
  <c r="B11326" i="1"/>
  <c r="A11327" i="1"/>
  <c r="B11327" i="1"/>
  <c r="A11328" i="1"/>
  <c r="B11328" i="1"/>
  <c r="A11329" i="1"/>
  <c r="B11329" i="1"/>
  <c r="A11330" i="1"/>
  <c r="B11330" i="1"/>
  <c r="A11331" i="1"/>
  <c r="B11331" i="1"/>
  <c r="A11332" i="1"/>
  <c r="B11332" i="1"/>
  <c r="A11333" i="1"/>
  <c r="B11333" i="1"/>
  <c r="A11334" i="1"/>
  <c r="B11334" i="1"/>
  <c r="A11335" i="1"/>
  <c r="B11335" i="1"/>
  <c r="A11336" i="1"/>
  <c r="B11336" i="1"/>
  <c r="A11337" i="1"/>
  <c r="B11337" i="1"/>
  <c r="A11338" i="1"/>
  <c r="B11338" i="1"/>
  <c r="A11339" i="1"/>
  <c r="B11339" i="1"/>
  <c r="A11340" i="1"/>
  <c r="B11340" i="1"/>
  <c r="A11341" i="1"/>
  <c r="B11341" i="1"/>
  <c r="A11342" i="1"/>
  <c r="B11342" i="1"/>
  <c r="A11343" i="1"/>
  <c r="B11343" i="1"/>
  <c r="A11344" i="1"/>
  <c r="B11344" i="1"/>
  <c r="A11345" i="1"/>
  <c r="B11345" i="1"/>
  <c r="A11346" i="1"/>
  <c r="B11346" i="1"/>
  <c r="A11347" i="1"/>
  <c r="B11347" i="1"/>
  <c r="A11348" i="1"/>
  <c r="B11348" i="1"/>
  <c r="A11349" i="1"/>
  <c r="B11349" i="1"/>
  <c r="A11350" i="1"/>
  <c r="B11350" i="1"/>
  <c r="A11351" i="1"/>
  <c r="B11351" i="1"/>
  <c r="A11352" i="1"/>
  <c r="B11352" i="1"/>
  <c r="A11353" i="1"/>
  <c r="B11353" i="1"/>
  <c r="A11354" i="1"/>
  <c r="B11354" i="1"/>
  <c r="A11355" i="1"/>
  <c r="B11355" i="1"/>
  <c r="A11356" i="1"/>
  <c r="B11356" i="1"/>
  <c r="A11357" i="1"/>
  <c r="B11357" i="1"/>
  <c r="A11358" i="1"/>
  <c r="B11358" i="1"/>
  <c r="A11359" i="1"/>
  <c r="B11359" i="1"/>
  <c r="A11360" i="1"/>
  <c r="B11360" i="1"/>
  <c r="A11361" i="1"/>
  <c r="B11361" i="1"/>
  <c r="A11362" i="1"/>
  <c r="B11362" i="1"/>
  <c r="A11363" i="1"/>
  <c r="B11363" i="1"/>
  <c r="A11364" i="1"/>
  <c r="B11364" i="1"/>
  <c r="A11365" i="1"/>
  <c r="B11365" i="1"/>
  <c r="A11366" i="1"/>
  <c r="B11366" i="1"/>
  <c r="A11367" i="1"/>
  <c r="B11367" i="1"/>
  <c r="A11368" i="1"/>
  <c r="B11368" i="1"/>
  <c r="A11369" i="1"/>
  <c r="B11369" i="1"/>
  <c r="A11370" i="1"/>
  <c r="B11370" i="1"/>
  <c r="A11371" i="1"/>
  <c r="B11371" i="1"/>
  <c r="A11372" i="1"/>
  <c r="B11372" i="1"/>
  <c r="A11373" i="1"/>
  <c r="B11373" i="1"/>
  <c r="A11374" i="1"/>
  <c r="B11374" i="1"/>
  <c r="A11375" i="1"/>
  <c r="B11375" i="1"/>
  <c r="A11376" i="1"/>
  <c r="B11376" i="1"/>
  <c r="A11377" i="1"/>
  <c r="B11377" i="1"/>
  <c r="A11378" i="1"/>
  <c r="B11378" i="1"/>
  <c r="A11379" i="1"/>
  <c r="B11379" i="1"/>
  <c r="A11380" i="1"/>
  <c r="B11380" i="1"/>
  <c r="A11381" i="1"/>
  <c r="B11381" i="1"/>
  <c r="A11382" i="1"/>
  <c r="B11382" i="1"/>
  <c r="A11383" i="1"/>
  <c r="B11383" i="1"/>
  <c r="A11384" i="1"/>
  <c r="B11384" i="1"/>
  <c r="A11385" i="1"/>
  <c r="B11385" i="1"/>
  <c r="A11386" i="1"/>
  <c r="B11386" i="1"/>
  <c r="A11387" i="1"/>
  <c r="B11387" i="1"/>
  <c r="A11388" i="1"/>
  <c r="B11388" i="1"/>
  <c r="A11389" i="1"/>
  <c r="B11389" i="1"/>
  <c r="A11390" i="1"/>
  <c r="B11390" i="1"/>
  <c r="A11391" i="1"/>
  <c r="B11391" i="1"/>
  <c r="A11392" i="1"/>
  <c r="B11392" i="1"/>
  <c r="A11393" i="1"/>
  <c r="B11393" i="1"/>
  <c r="A11394" i="1"/>
  <c r="B11394" i="1"/>
  <c r="A11395" i="1"/>
  <c r="B11395" i="1"/>
  <c r="A11396" i="1"/>
  <c r="B11396" i="1"/>
  <c r="A11397" i="1"/>
  <c r="B11397" i="1"/>
  <c r="A11398" i="1"/>
  <c r="B11398" i="1"/>
  <c r="A11399" i="1"/>
  <c r="B11399" i="1"/>
  <c r="A11400" i="1"/>
  <c r="B11400" i="1"/>
  <c r="A11401" i="1"/>
  <c r="B11401" i="1"/>
  <c r="A11402" i="1"/>
  <c r="B11402" i="1"/>
  <c r="A11403" i="1"/>
  <c r="B11403" i="1"/>
  <c r="A11404" i="1"/>
  <c r="B11404" i="1"/>
  <c r="A11405" i="1"/>
  <c r="B11405" i="1"/>
  <c r="A11406" i="1"/>
  <c r="B11406" i="1"/>
  <c r="A11407" i="1"/>
  <c r="B11407" i="1"/>
  <c r="A11408" i="1"/>
  <c r="B11408" i="1"/>
  <c r="A11409" i="1"/>
  <c r="B11409" i="1"/>
  <c r="A11410" i="1"/>
  <c r="B11410" i="1"/>
  <c r="A11411" i="1"/>
  <c r="B11411" i="1"/>
  <c r="A11412" i="1"/>
  <c r="B11412" i="1"/>
  <c r="A11413" i="1"/>
  <c r="B11413" i="1"/>
  <c r="A11414" i="1"/>
  <c r="B11414" i="1"/>
  <c r="A11415" i="1"/>
  <c r="B11415" i="1"/>
  <c r="A11416" i="1"/>
  <c r="B11416" i="1"/>
  <c r="A11417" i="1"/>
  <c r="B11417" i="1"/>
  <c r="A11418" i="1"/>
  <c r="B11418" i="1"/>
  <c r="A11419" i="1"/>
  <c r="B11419" i="1"/>
  <c r="A11420" i="1"/>
  <c r="B11420" i="1"/>
  <c r="A11421" i="1"/>
  <c r="B11421" i="1"/>
  <c r="A11422" i="1"/>
  <c r="B11422" i="1"/>
  <c r="A11423" i="1"/>
  <c r="B11423" i="1"/>
  <c r="A11424" i="1"/>
  <c r="B11424" i="1"/>
  <c r="A11425" i="1"/>
  <c r="B11425" i="1"/>
  <c r="A11426" i="1"/>
  <c r="B11426" i="1"/>
  <c r="A11427" i="1"/>
  <c r="B11427" i="1"/>
  <c r="A11428" i="1"/>
  <c r="B11428" i="1"/>
  <c r="A11429" i="1"/>
  <c r="B11429" i="1"/>
  <c r="A11430" i="1"/>
  <c r="B11430" i="1"/>
  <c r="A11431" i="1"/>
  <c r="B11431" i="1"/>
  <c r="A11432" i="1"/>
  <c r="B11432" i="1"/>
  <c r="A11433" i="1"/>
  <c r="B11433" i="1"/>
  <c r="A11434" i="1"/>
  <c r="B11434" i="1"/>
  <c r="A11435" i="1"/>
  <c r="B11435" i="1"/>
  <c r="A11436" i="1"/>
  <c r="B11436" i="1"/>
  <c r="A11437" i="1"/>
  <c r="B11437" i="1"/>
  <c r="A11438" i="1"/>
  <c r="B11438" i="1"/>
  <c r="A11439" i="1"/>
  <c r="B11439" i="1"/>
  <c r="A11440" i="1"/>
  <c r="B11440" i="1"/>
  <c r="A11441" i="1"/>
  <c r="B11441" i="1"/>
  <c r="A11442" i="1"/>
  <c r="B11442" i="1"/>
  <c r="A11443" i="1"/>
  <c r="B11443" i="1"/>
  <c r="A11444" i="1"/>
  <c r="B11444" i="1"/>
  <c r="A11445" i="1"/>
  <c r="B11445" i="1"/>
  <c r="A11446" i="1"/>
  <c r="B11446" i="1"/>
  <c r="A11447" i="1"/>
  <c r="B11447" i="1"/>
  <c r="A11448" i="1"/>
  <c r="B11448" i="1"/>
  <c r="A11449" i="1"/>
  <c r="B11449" i="1"/>
  <c r="A11450" i="1"/>
  <c r="B11450" i="1"/>
  <c r="A11451" i="1"/>
  <c r="B11451" i="1"/>
  <c r="A11452" i="1"/>
  <c r="B11452" i="1"/>
  <c r="A11453" i="1"/>
  <c r="B11453" i="1"/>
  <c r="A11454" i="1"/>
  <c r="B11454" i="1"/>
  <c r="A11455" i="1"/>
  <c r="B11455" i="1"/>
  <c r="A11456" i="1"/>
  <c r="B11456" i="1"/>
  <c r="A11457" i="1"/>
  <c r="B11457" i="1"/>
  <c r="A11458" i="1"/>
  <c r="B11458" i="1"/>
  <c r="A11459" i="1"/>
  <c r="B11459" i="1"/>
  <c r="A11460" i="1"/>
  <c r="B11460" i="1"/>
  <c r="A11461" i="1"/>
  <c r="B11461" i="1"/>
  <c r="A11462" i="1"/>
  <c r="B11462" i="1"/>
  <c r="A11463" i="1"/>
  <c r="B11463" i="1"/>
  <c r="A11464" i="1"/>
  <c r="B11464" i="1"/>
  <c r="A11465" i="1"/>
  <c r="B11465" i="1"/>
  <c r="A11466" i="1"/>
  <c r="B11466" i="1"/>
  <c r="A11467" i="1"/>
  <c r="B11467" i="1"/>
  <c r="A11468" i="1"/>
  <c r="B11468" i="1"/>
  <c r="A11469" i="1"/>
  <c r="B11469" i="1"/>
  <c r="A11470" i="1"/>
  <c r="B11470" i="1"/>
  <c r="A11471" i="1"/>
  <c r="B11471" i="1"/>
  <c r="A11472" i="1"/>
  <c r="B11472" i="1"/>
  <c r="A11473" i="1"/>
  <c r="B11473" i="1"/>
  <c r="A11474" i="1"/>
  <c r="B11474" i="1"/>
  <c r="A11475" i="1"/>
  <c r="B11475" i="1"/>
  <c r="A11476" i="1"/>
  <c r="B11476" i="1"/>
  <c r="A11477" i="1"/>
  <c r="B11477" i="1"/>
  <c r="A11478" i="1"/>
  <c r="B11478" i="1"/>
  <c r="A11479" i="1"/>
  <c r="B11479" i="1"/>
  <c r="A11480" i="1"/>
  <c r="B11480" i="1"/>
  <c r="A11481" i="1"/>
  <c r="B11481" i="1"/>
  <c r="A11482" i="1"/>
  <c r="B11482" i="1"/>
  <c r="A11483" i="1"/>
  <c r="B11483" i="1"/>
  <c r="A11484" i="1"/>
  <c r="B11484" i="1"/>
  <c r="A11485" i="1"/>
  <c r="B11485" i="1"/>
  <c r="A11486" i="1"/>
  <c r="B11486" i="1"/>
  <c r="A11487" i="1"/>
  <c r="B11487" i="1"/>
  <c r="A11488" i="1"/>
  <c r="B11488" i="1"/>
  <c r="A11489" i="1"/>
  <c r="B11489" i="1"/>
  <c r="A11490" i="1"/>
  <c r="B11490" i="1"/>
  <c r="A11491" i="1"/>
  <c r="B11491" i="1"/>
  <c r="A11492" i="1"/>
  <c r="B11492" i="1"/>
  <c r="A11493" i="1"/>
  <c r="B11493" i="1"/>
  <c r="A11494" i="1"/>
  <c r="B11494" i="1"/>
  <c r="A11495" i="1"/>
  <c r="B11495" i="1"/>
  <c r="A11496" i="1"/>
  <c r="B11496" i="1"/>
  <c r="A11497" i="1"/>
  <c r="B11497" i="1"/>
  <c r="A11498" i="1"/>
  <c r="B11498" i="1"/>
  <c r="A11499" i="1"/>
  <c r="B11499" i="1"/>
  <c r="A11500" i="1"/>
  <c r="B11500" i="1"/>
  <c r="A11501" i="1"/>
  <c r="B11501" i="1"/>
  <c r="A11502" i="1"/>
  <c r="B11502" i="1"/>
  <c r="A11503" i="1"/>
  <c r="B11503" i="1"/>
  <c r="A11504" i="1"/>
  <c r="B11504" i="1"/>
  <c r="A11505" i="1"/>
  <c r="B11505" i="1"/>
  <c r="A11506" i="1"/>
  <c r="B11506" i="1"/>
  <c r="A11507" i="1"/>
  <c r="B11507" i="1"/>
  <c r="A11508" i="1"/>
  <c r="B11508" i="1"/>
  <c r="A11509" i="1"/>
  <c r="B11509" i="1"/>
  <c r="A11510" i="1"/>
  <c r="B11510" i="1"/>
  <c r="A11511" i="1"/>
  <c r="B11511" i="1"/>
  <c r="A11512" i="1"/>
  <c r="B11512" i="1"/>
  <c r="A11513" i="1"/>
  <c r="B11513" i="1"/>
  <c r="A11514" i="1"/>
  <c r="B11514" i="1"/>
  <c r="A11515" i="1"/>
  <c r="B11515" i="1"/>
  <c r="A11516" i="1"/>
  <c r="B11516" i="1"/>
  <c r="A11517" i="1"/>
  <c r="B11517" i="1"/>
  <c r="A11518" i="1"/>
  <c r="B11518" i="1"/>
  <c r="A11519" i="1"/>
  <c r="B11519" i="1"/>
  <c r="A11520" i="1"/>
  <c r="B11520" i="1"/>
  <c r="A11521" i="1"/>
  <c r="B11521" i="1"/>
  <c r="A11522" i="1"/>
  <c r="B11522" i="1"/>
  <c r="A11523" i="1"/>
  <c r="B11523" i="1"/>
  <c r="A11524" i="1"/>
  <c r="B11524" i="1"/>
  <c r="A11525" i="1"/>
  <c r="B11525" i="1"/>
  <c r="A11526" i="1"/>
  <c r="B11526" i="1"/>
  <c r="A11527" i="1"/>
  <c r="B11527" i="1"/>
  <c r="A11528" i="1"/>
  <c r="B11528" i="1"/>
  <c r="A11529" i="1"/>
  <c r="B11529" i="1"/>
  <c r="A11530" i="1"/>
  <c r="B11530" i="1"/>
  <c r="A11531" i="1"/>
  <c r="B11531" i="1"/>
  <c r="A11532" i="1"/>
  <c r="B11532" i="1"/>
  <c r="A11533" i="1"/>
  <c r="B11533" i="1"/>
  <c r="A11534" i="1"/>
  <c r="B11534" i="1"/>
  <c r="A11535" i="1"/>
  <c r="B11535" i="1"/>
  <c r="A11536" i="1"/>
  <c r="B11536" i="1"/>
  <c r="A11537" i="1"/>
  <c r="B11537" i="1"/>
  <c r="A11538" i="1"/>
  <c r="B11538" i="1"/>
  <c r="A11539" i="1"/>
  <c r="B11539" i="1"/>
  <c r="A11540" i="1"/>
  <c r="B11540" i="1"/>
  <c r="A11541" i="1"/>
  <c r="B11541" i="1"/>
  <c r="A11542" i="1"/>
  <c r="B11542" i="1"/>
  <c r="A11543" i="1"/>
  <c r="B11543" i="1"/>
  <c r="A11544" i="1"/>
  <c r="B11544" i="1"/>
  <c r="A11545" i="1"/>
  <c r="B11545" i="1"/>
  <c r="A11546" i="1"/>
  <c r="B11546" i="1"/>
  <c r="A11547" i="1"/>
  <c r="B11547" i="1"/>
  <c r="A11548" i="1"/>
  <c r="B11548" i="1"/>
  <c r="A11549" i="1"/>
  <c r="B11549" i="1"/>
  <c r="A11550" i="1"/>
  <c r="B11550" i="1"/>
  <c r="A11551" i="1"/>
  <c r="B11551" i="1"/>
  <c r="A11552" i="1"/>
  <c r="B11552" i="1"/>
  <c r="A11553" i="1"/>
  <c r="B11553" i="1"/>
  <c r="A11554" i="1"/>
  <c r="B11554" i="1"/>
  <c r="A11555" i="1"/>
  <c r="B11555" i="1"/>
  <c r="A11556" i="1"/>
  <c r="B11556" i="1"/>
  <c r="A11557" i="1"/>
  <c r="B11557" i="1"/>
  <c r="A11558" i="1"/>
  <c r="B11558" i="1"/>
  <c r="A11559" i="1"/>
  <c r="B11559" i="1"/>
  <c r="A11560" i="1"/>
  <c r="B11560" i="1"/>
  <c r="A11561" i="1"/>
  <c r="B11561" i="1"/>
  <c r="A11562" i="1"/>
  <c r="B11562" i="1"/>
  <c r="A11563" i="1"/>
  <c r="B11563" i="1"/>
  <c r="A11564" i="1"/>
  <c r="B11564" i="1"/>
  <c r="A11565" i="1"/>
  <c r="B11565" i="1"/>
  <c r="A11566" i="1"/>
  <c r="B11566" i="1"/>
  <c r="A11567" i="1"/>
  <c r="B11567" i="1"/>
  <c r="A11568" i="1"/>
  <c r="B11568" i="1"/>
  <c r="A11569" i="1"/>
  <c r="B11569" i="1"/>
  <c r="A11570" i="1"/>
  <c r="B11570" i="1"/>
  <c r="A11571" i="1"/>
  <c r="B11571" i="1"/>
  <c r="A11572" i="1"/>
  <c r="B11572" i="1"/>
  <c r="A11573" i="1"/>
  <c r="B11573" i="1"/>
  <c r="A11574" i="1"/>
  <c r="B11574" i="1"/>
  <c r="A11575" i="1"/>
  <c r="B11575" i="1"/>
  <c r="A11576" i="1"/>
  <c r="B11576" i="1"/>
  <c r="A11577" i="1"/>
  <c r="B11577" i="1"/>
  <c r="A11578" i="1"/>
  <c r="B11578" i="1"/>
  <c r="A11579" i="1"/>
  <c r="B11579" i="1"/>
  <c r="A11580" i="1"/>
  <c r="B11580" i="1"/>
  <c r="A11581" i="1"/>
  <c r="B11581" i="1"/>
  <c r="A11582" i="1"/>
  <c r="B11582" i="1"/>
  <c r="A11583" i="1"/>
  <c r="B11583" i="1"/>
  <c r="A11584" i="1"/>
  <c r="B11584" i="1"/>
  <c r="A11585" i="1"/>
  <c r="B11585" i="1"/>
  <c r="A11586" i="1"/>
  <c r="B11586" i="1"/>
  <c r="A11587" i="1"/>
  <c r="B11587" i="1"/>
  <c r="A11588" i="1"/>
  <c r="B11588" i="1"/>
  <c r="A11589" i="1"/>
  <c r="B11589" i="1"/>
  <c r="A11590" i="1"/>
  <c r="B11590" i="1"/>
  <c r="A11591" i="1"/>
  <c r="B11591" i="1"/>
  <c r="A11592" i="1"/>
  <c r="B11592" i="1"/>
  <c r="A11593" i="1"/>
  <c r="B11593" i="1"/>
  <c r="A11594" i="1"/>
  <c r="B11594" i="1"/>
  <c r="A11595" i="1"/>
  <c r="B11595" i="1"/>
  <c r="A11596" i="1"/>
  <c r="B11596" i="1"/>
  <c r="A11597" i="1"/>
  <c r="B11597" i="1"/>
  <c r="A11598" i="1"/>
  <c r="B11598" i="1"/>
  <c r="A11599" i="1"/>
  <c r="B11599" i="1"/>
  <c r="A11600" i="1"/>
  <c r="B11600" i="1"/>
  <c r="A11601" i="1"/>
  <c r="B11601" i="1"/>
  <c r="A11602" i="1"/>
  <c r="B11602" i="1"/>
  <c r="A11603" i="1"/>
  <c r="B11603" i="1"/>
  <c r="A11604" i="1"/>
  <c r="B11604" i="1"/>
  <c r="A11605" i="1"/>
  <c r="B11605" i="1"/>
  <c r="A11606" i="1"/>
  <c r="B11606" i="1"/>
  <c r="A11607" i="1"/>
  <c r="B11607" i="1"/>
  <c r="A11608" i="1"/>
  <c r="B11608" i="1"/>
  <c r="A11609" i="1"/>
  <c r="B11609" i="1"/>
  <c r="A11610" i="1"/>
  <c r="B11610" i="1"/>
  <c r="A11611" i="1"/>
  <c r="B11611" i="1"/>
  <c r="A11612" i="1"/>
  <c r="B11612" i="1"/>
  <c r="A11613" i="1"/>
  <c r="B11613" i="1"/>
  <c r="A11614" i="1"/>
  <c r="B11614" i="1"/>
  <c r="A11615" i="1"/>
  <c r="B11615" i="1"/>
  <c r="A11616" i="1"/>
  <c r="B11616" i="1"/>
  <c r="A11617" i="1"/>
  <c r="B11617" i="1"/>
  <c r="A11618" i="1"/>
  <c r="B11618" i="1"/>
  <c r="A11619" i="1"/>
  <c r="B11619" i="1"/>
  <c r="A11620" i="1"/>
  <c r="B11620" i="1"/>
  <c r="A11621" i="1"/>
  <c r="B11621" i="1"/>
  <c r="A11622" i="1"/>
  <c r="B11622" i="1"/>
  <c r="A11623" i="1"/>
  <c r="B11623" i="1"/>
  <c r="A11624" i="1"/>
  <c r="B11624" i="1"/>
  <c r="A11625" i="1"/>
  <c r="B11625" i="1"/>
  <c r="A11626" i="1"/>
  <c r="B11626" i="1"/>
  <c r="A11627" i="1"/>
  <c r="B11627" i="1"/>
  <c r="A11628" i="1"/>
  <c r="B11628" i="1"/>
  <c r="A11629" i="1"/>
  <c r="B11629" i="1"/>
  <c r="A11630" i="1"/>
  <c r="B11630" i="1"/>
  <c r="A11631" i="1"/>
  <c r="B11631" i="1"/>
  <c r="A11632" i="1"/>
  <c r="B11632" i="1"/>
  <c r="A11633" i="1"/>
  <c r="B11633" i="1"/>
  <c r="A11634" i="1"/>
  <c r="B11634" i="1"/>
  <c r="A11635" i="1"/>
  <c r="B11635" i="1"/>
  <c r="A11636" i="1"/>
  <c r="B11636" i="1"/>
  <c r="A11637" i="1"/>
  <c r="B11637" i="1"/>
  <c r="A11638" i="1"/>
  <c r="B11638" i="1"/>
  <c r="A11639" i="1"/>
  <c r="B11639" i="1"/>
  <c r="A11640" i="1"/>
  <c r="B11640" i="1"/>
  <c r="A11641" i="1"/>
  <c r="B11641" i="1"/>
  <c r="A11642" i="1"/>
  <c r="B11642" i="1"/>
  <c r="A11643" i="1"/>
  <c r="B11643" i="1"/>
  <c r="A11644" i="1"/>
  <c r="B11644" i="1"/>
  <c r="A11645" i="1"/>
  <c r="B11645" i="1"/>
  <c r="A11646" i="1"/>
  <c r="B11646" i="1"/>
  <c r="A11647" i="1"/>
  <c r="B11647" i="1"/>
  <c r="A11648" i="1"/>
  <c r="B11648" i="1"/>
  <c r="A11649" i="1"/>
  <c r="B11649" i="1"/>
  <c r="A11650" i="1"/>
  <c r="B11650" i="1"/>
  <c r="A11651" i="1"/>
  <c r="B11651" i="1"/>
  <c r="A11652" i="1"/>
  <c r="B11652" i="1"/>
  <c r="A11653" i="1"/>
  <c r="B11653" i="1"/>
  <c r="A11654" i="1"/>
  <c r="B11654" i="1"/>
  <c r="A11655" i="1"/>
  <c r="B11655" i="1"/>
  <c r="A11656" i="1"/>
  <c r="B11656" i="1"/>
  <c r="A11657" i="1"/>
  <c r="B11657" i="1"/>
  <c r="A11658" i="1"/>
  <c r="B11658" i="1"/>
  <c r="A11659" i="1"/>
  <c r="B11659" i="1"/>
  <c r="A11660" i="1"/>
  <c r="B11660" i="1"/>
  <c r="A11661" i="1"/>
  <c r="B11661" i="1"/>
  <c r="A11662" i="1"/>
  <c r="B11662" i="1"/>
  <c r="A11663" i="1"/>
  <c r="B11663" i="1"/>
  <c r="A11664" i="1"/>
  <c r="B11664" i="1"/>
  <c r="A11665" i="1"/>
  <c r="B11665" i="1"/>
  <c r="A11666" i="1"/>
  <c r="B11666" i="1"/>
  <c r="A11667" i="1"/>
  <c r="B11667" i="1"/>
  <c r="A11668" i="1"/>
  <c r="B11668" i="1"/>
  <c r="A11669" i="1"/>
  <c r="B11669" i="1"/>
  <c r="A11670" i="1"/>
  <c r="B11670" i="1"/>
  <c r="A11671" i="1"/>
  <c r="B11671" i="1"/>
  <c r="A11672" i="1"/>
  <c r="B11672" i="1"/>
  <c r="A11673" i="1"/>
  <c r="B11673" i="1"/>
  <c r="A11674" i="1"/>
  <c r="B11674" i="1"/>
  <c r="A11675" i="1"/>
  <c r="B11675" i="1"/>
  <c r="A11676" i="1"/>
  <c r="B11676" i="1"/>
  <c r="A11677" i="1"/>
  <c r="B11677" i="1"/>
  <c r="A11678" i="1"/>
  <c r="B11678" i="1"/>
  <c r="A11679" i="1"/>
  <c r="B11679" i="1"/>
  <c r="A11680" i="1"/>
  <c r="B11680" i="1"/>
  <c r="A11681" i="1"/>
  <c r="B11681" i="1"/>
  <c r="A11682" i="1"/>
  <c r="B11682" i="1"/>
  <c r="A11683" i="1"/>
  <c r="B11683" i="1"/>
  <c r="A11684" i="1"/>
  <c r="B11684" i="1"/>
  <c r="A11685" i="1"/>
  <c r="B11685" i="1"/>
  <c r="A11686" i="1"/>
  <c r="B11686" i="1"/>
  <c r="A11687" i="1"/>
  <c r="B11687" i="1"/>
  <c r="A11688" i="1"/>
  <c r="B11688" i="1"/>
  <c r="A11689" i="1"/>
  <c r="B11689" i="1"/>
  <c r="A11690" i="1"/>
  <c r="B11690" i="1"/>
  <c r="A11691" i="1"/>
  <c r="B11691" i="1"/>
  <c r="A11692" i="1"/>
  <c r="B11692" i="1"/>
  <c r="A11693" i="1"/>
  <c r="B11693" i="1"/>
  <c r="A11694" i="1"/>
  <c r="B11694" i="1"/>
  <c r="A11695" i="1"/>
  <c r="B11695" i="1"/>
  <c r="A11696" i="1"/>
  <c r="B11696" i="1"/>
  <c r="A11697" i="1"/>
  <c r="B11697" i="1"/>
  <c r="A11698" i="1"/>
  <c r="B11698" i="1"/>
  <c r="A11699" i="1"/>
  <c r="B11699" i="1"/>
  <c r="A11700" i="1"/>
  <c r="B11700" i="1"/>
  <c r="A11701" i="1"/>
  <c r="B11701" i="1"/>
  <c r="A11702" i="1"/>
  <c r="B11702" i="1"/>
  <c r="A11703" i="1"/>
  <c r="B11703" i="1"/>
  <c r="A11704" i="1"/>
  <c r="B11704" i="1"/>
  <c r="A11705" i="1"/>
  <c r="B11705" i="1"/>
  <c r="A11706" i="1"/>
  <c r="B11706" i="1"/>
  <c r="A11707" i="1"/>
  <c r="B11707" i="1"/>
  <c r="A11708" i="1"/>
  <c r="B11708" i="1"/>
  <c r="A11709" i="1"/>
  <c r="B11709" i="1"/>
  <c r="A11710" i="1"/>
  <c r="B11710" i="1"/>
  <c r="A11711" i="1"/>
  <c r="B11711" i="1"/>
  <c r="A11712" i="1"/>
  <c r="B11712" i="1"/>
  <c r="A11713" i="1"/>
  <c r="B11713" i="1"/>
  <c r="A11714" i="1"/>
  <c r="B11714" i="1"/>
  <c r="A11715" i="1"/>
  <c r="B11715" i="1"/>
  <c r="A11716" i="1"/>
  <c r="B11716" i="1"/>
  <c r="A11717" i="1"/>
  <c r="B11717" i="1"/>
  <c r="A11718" i="1"/>
  <c r="B11718" i="1"/>
  <c r="A11719" i="1"/>
  <c r="B11719" i="1"/>
  <c r="A11720" i="1"/>
  <c r="B11720" i="1"/>
  <c r="A11721" i="1"/>
  <c r="B11721" i="1"/>
  <c r="A11722" i="1"/>
  <c r="B11722" i="1"/>
  <c r="A11723" i="1"/>
  <c r="B11723" i="1"/>
  <c r="A11724" i="1"/>
  <c r="B11724" i="1"/>
  <c r="A11725" i="1"/>
  <c r="B11725" i="1"/>
  <c r="A11726" i="1"/>
  <c r="B11726" i="1"/>
  <c r="A11727" i="1"/>
  <c r="B11727" i="1"/>
  <c r="A11728" i="1"/>
  <c r="B11728" i="1"/>
  <c r="A11729" i="1"/>
  <c r="B11729" i="1"/>
  <c r="A11730" i="1"/>
  <c r="B11730" i="1"/>
  <c r="A11731" i="1"/>
  <c r="B11731" i="1"/>
  <c r="A11732" i="1"/>
  <c r="B11732" i="1"/>
  <c r="A11733" i="1"/>
  <c r="B11733" i="1"/>
  <c r="A11734" i="1"/>
  <c r="B11734" i="1"/>
  <c r="A11735" i="1"/>
  <c r="B11735" i="1"/>
  <c r="A11736" i="1"/>
  <c r="B11736" i="1"/>
  <c r="A11737" i="1"/>
  <c r="B11737" i="1"/>
  <c r="A11738" i="1"/>
  <c r="B11738" i="1"/>
  <c r="A11739" i="1"/>
  <c r="B11739" i="1"/>
  <c r="A11740" i="1"/>
  <c r="B11740" i="1"/>
  <c r="A11741" i="1"/>
  <c r="B11741" i="1"/>
  <c r="A11742" i="1"/>
  <c r="B11742" i="1"/>
  <c r="A11743" i="1"/>
  <c r="B11743" i="1"/>
  <c r="A11744" i="1"/>
  <c r="B11744" i="1"/>
  <c r="A11745" i="1"/>
  <c r="B11745" i="1"/>
  <c r="A11746" i="1"/>
  <c r="B11746" i="1"/>
  <c r="A11747" i="1"/>
  <c r="B11747" i="1"/>
  <c r="A11748" i="1"/>
  <c r="B11748" i="1"/>
  <c r="A11749" i="1"/>
  <c r="B11749" i="1"/>
  <c r="A11750" i="1"/>
  <c r="B11750" i="1"/>
  <c r="A11751" i="1"/>
  <c r="B11751" i="1"/>
  <c r="A11752" i="1"/>
  <c r="B11752" i="1"/>
  <c r="A11753" i="1"/>
  <c r="B11753" i="1"/>
  <c r="A11754" i="1"/>
  <c r="B11754" i="1"/>
  <c r="A11755" i="1"/>
  <c r="B11755" i="1"/>
  <c r="A11756" i="1"/>
  <c r="B11756" i="1"/>
  <c r="A11757" i="1"/>
  <c r="B11757" i="1"/>
  <c r="A11758" i="1"/>
  <c r="B11758" i="1"/>
  <c r="A11759" i="1"/>
  <c r="B11759" i="1"/>
  <c r="A11760" i="1"/>
  <c r="B11760" i="1"/>
  <c r="A11761" i="1"/>
  <c r="B11761" i="1"/>
  <c r="A11762" i="1"/>
  <c r="B11762" i="1"/>
  <c r="A11763" i="1"/>
  <c r="B11763" i="1"/>
  <c r="A11764" i="1"/>
  <c r="B11764" i="1"/>
  <c r="A11765" i="1"/>
  <c r="B11765" i="1"/>
  <c r="A11766" i="1"/>
  <c r="B11766" i="1"/>
  <c r="A11767" i="1"/>
  <c r="B11767" i="1"/>
  <c r="A11768" i="1"/>
  <c r="B11768" i="1"/>
  <c r="A11769" i="1"/>
  <c r="B11769" i="1"/>
  <c r="A11770" i="1"/>
  <c r="B11770" i="1"/>
  <c r="A11771" i="1"/>
  <c r="B11771" i="1"/>
  <c r="A11772" i="1"/>
  <c r="B11772" i="1"/>
  <c r="A11773" i="1"/>
  <c r="B11773" i="1"/>
  <c r="A11774" i="1"/>
  <c r="B11774" i="1"/>
  <c r="A11775" i="1"/>
  <c r="B11775" i="1"/>
  <c r="A11776" i="1"/>
  <c r="B11776" i="1"/>
  <c r="A11777" i="1"/>
  <c r="B11777" i="1"/>
  <c r="A11778" i="1"/>
  <c r="B11778" i="1"/>
  <c r="A11779" i="1"/>
  <c r="B11779" i="1"/>
  <c r="A11780" i="1"/>
  <c r="B11780" i="1"/>
  <c r="A11781" i="1"/>
  <c r="B11781" i="1"/>
  <c r="A11782" i="1"/>
  <c r="B11782" i="1"/>
  <c r="A11783" i="1"/>
  <c r="B11783" i="1"/>
  <c r="A11784" i="1"/>
  <c r="B11784" i="1"/>
  <c r="A11785" i="1"/>
  <c r="B11785" i="1"/>
  <c r="A11786" i="1"/>
  <c r="B11786" i="1"/>
  <c r="A11787" i="1"/>
  <c r="B11787" i="1"/>
  <c r="A11788" i="1"/>
  <c r="B11788" i="1"/>
  <c r="A11789" i="1"/>
  <c r="B11789" i="1"/>
  <c r="A11790" i="1"/>
  <c r="B11790" i="1"/>
  <c r="A11791" i="1"/>
  <c r="B11791" i="1"/>
  <c r="A11792" i="1"/>
  <c r="B11792" i="1"/>
  <c r="A11793" i="1"/>
  <c r="B11793" i="1"/>
  <c r="A11794" i="1"/>
  <c r="B11794" i="1"/>
  <c r="A11795" i="1"/>
  <c r="B11795" i="1"/>
  <c r="A11796" i="1"/>
  <c r="B11796" i="1"/>
  <c r="A11797" i="1"/>
  <c r="B11797" i="1"/>
  <c r="A11798" i="1"/>
  <c r="B11798" i="1"/>
  <c r="A11799" i="1"/>
  <c r="B11799" i="1"/>
  <c r="A11800" i="1"/>
  <c r="B11800" i="1"/>
  <c r="A11801" i="1"/>
  <c r="B11801" i="1"/>
  <c r="A11802" i="1"/>
  <c r="B11802" i="1"/>
  <c r="A11803" i="1"/>
  <c r="B11803" i="1"/>
  <c r="A11804" i="1"/>
  <c r="B11804" i="1"/>
  <c r="A11805" i="1"/>
  <c r="B11805" i="1"/>
  <c r="A11806" i="1"/>
  <c r="B11806" i="1"/>
  <c r="A11807" i="1"/>
  <c r="B11807" i="1"/>
  <c r="A11808" i="1"/>
  <c r="B11808" i="1"/>
  <c r="A11809" i="1"/>
  <c r="B11809" i="1"/>
  <c r="A11810" i="1"/>
  <c r="B11810" i="1"/>
  <c r="A11811" i="1"/>
  <c r="B11811" i="1"/>
  <c r="A11812" i="1"/>
  <c r="B11812" i="1"/>
  <c r="A11813" i="1"/>
  <c r="B11813" i="1"/>
  <c r="A11814" i="1"/>
  <c r="B11814" i="1"/>
  <c r="A11815" i="1"/>
  <c r="B11815" i="1"/>
  <c r="A11816" i="1"/>
  <c r="B11816" i="1"/>
  <c r="A11817" i="1"/>
  <c r="B11817" i="1"/>
  <c r="A11818" i="1"/>
  <c r="B11818" i="1"/>
  <c r="A11819" i="1"/>
  <c r="B11819" i="1"/>
  <c r="A11820" i="1"/>
  <c r="B11820" i="1"/>
  <c r="A11821" i="1"/>
  <c r="B11821" i="1"/>
  <c r="A11822" i="1"/>
  <c r="B11822" i="1"/>
  <c r="A11823" i="1"/>
  <c r="B11823" i="1"/>
  <c r="A11824" i="1"/>
  <c r="B11824" i="1"/>
  <c r="A11825" i="1"/>
  <c r="B11825" i="1"/>
  <c r="A11826" i="1"/>
  <c r="B11826" i="1"/>
  <c r="A11827" i="1"/>
  <c r="B11827" i="1"/>
  <c r="A11828" i="1"/>
  <c r="B11828" i="1"/>
  <c r="A11829" i="1"/>
  <c r="B11829" i="1"/>
  <c r="A11830" i="1"/>
  <c r="B11830" i="1"/>
  <c r="A11831" i="1"/>
  <c r="B11831" i="1"/>
  <c r="A11832" i="1"/>
  <c r="B11832" i="1"/>
  <c r="A11833" i="1"/>
  <c r="B11833" i="1"/>
  <c r="A11834" i="1"/>
  <c r="B11834" i="1"/>
  <c r="A11835" i="1"/>
  <c r="B11835" i="1"/>
  <c r="A11836" i="1"/>
  <c r="B11836" i="1"/>
  <c r="A11837" i="1"/>
  <c r="B11837" i="1"/>
  <c r="A11838" i="1"/>
  <c r="B11838" i="1"/>
  <c r="A11839" i="1"/>
  <c r="B11839" i="1"/>
  <c r="A11840" i="1"/>
  <c r="B11840" i="1"/>
  <c r="A11841" i="1"/>
  <c r="B11841" i="1"/>
  <c r="A11842" i="1"/>
  <c r="B11842" i="1"/>
  <c r="A11843" i="1"/>
  <c r="B11843" i="1"/>
  <c r="A11844" i="1"/>
  <c r="B11844" i="1"/>
  <c r="A11845" i="1"/>
  <c r="B11845" i="1"/>
  <c r="A11846" i="1"/>
  <c r="B11846" i="1"/>
  <c r="A11847" i="1"/>
  <c r="B11847" i="1"/>
  <c r="A11848" i="1"/>
  <c r="B11848" i="1"/>
  <c r="A11849" i="1"/>
  <c r="B11849" i="1"/>
  <c r="A11850" i="1"/>
  <c r="B11850" i="1"/>
  <c r="A11851" i="1"/>
  <c r="B11851" i="1"/>
  <c r="A11852" i="1"/>
  <c r="B11852" i="1"/>
  <c r="A11853" i="1"/>
  <c r="B11853" i="1"/>
  <c r="A11854" i="1"/>
  <c r="B11854" i="1"/>
  <c r="A11855" i="1"/>
  <c r="B11855" i="1"/>
  <c r="A11856" i="1"/>
  <c r="B11856" i="1"/>
  <c r="A11857" i="1"/>
  <c r="B11857" i="1"/>
  <c r="A11858" i="1"/>
  <c r="B11858" i="1"/>
  <c r="A11859" i="1"/>
  <c r="B11859" i="1"/>
  <c r="A11860" i="1"/>
  <c r="B11860" i="1"/>
  <c r="A11861" i="1"/>
  <c r="B11861" i="1"/>
  <c r="A11862" i="1"/>
  <c r="B11862" i="1"/>
  <c r="A11863" i="1"/>
  <c r="B11863" i="1"/>
  <c r="A11864" i="1"/>
  <c r="B11864" i="1"/>
  <c r="A11865" i="1"/>
  <c r="B11865" i="1"/>
  <c r="A11866" i="1"/>
  <c r="B11866" i="1"/>
  <c r="A11867" i="1"/>
  <c r="B11867" i="1"/>
  <c r="A11868" i="1"/>
  <c r="B11868" i="1"/>
  <c r="A11869" i="1"/>
  <c r="B11869" i="1"/>
  <c r="A11870" i="1"/>
  <c r="B11870" i="1"/>
  <c r="A11871" i="1"/>
  <c r="B11871" i="1"/>
  <c r="A11872" i="1"/>
  <c r="B11872" i="1"/>
  <c r="A11873" i="1"/>
  <c r="B11873" i="1"/>
  <c r="A11874" i="1"/>
  <c r="B11874" i="1"/>
  <c r="A11875" i="1"/>
  <c r="B11875" i="1"/>
  <c r="A11876" i="1"/>
  <c r="B11876" i="1"/>
  <c r="A11877" i="1"/>
  <c r="B11877" i="1"/>
  <c r="A11878" i="1"/>
  <c r="B11878" i="1"/>
  <c r="A11879" i="1"/>
  <c r="B11879" i="1"/>
  <c r="A11880" i="1"/>
  <c r="B11880" i="1"/>
  <c r="A11881" i="1"/>
  <c r="B11881" i="1"/>
  <c r="A11882" i="1"/>
  <c r="B11882" i="1"/>
  <c r="A11883" i="1"/>
  <c r="B11883" i="1"/>
  <c r="A11884" i="1"/>
  <c r="B11884" i="1"/>
  <c r="A11885" i="1"/>
  <c r="B11885" i="1"/>
  <c r="A11886" i="1"/>
  <c r="B11886" i="1"/>
  <c r="A11887" i="1"/>
  <c r="B11887" i="1"/>
  <c r="A11888" i="1"/>
  <c r="B11888" i="1"/>
  <c r="A11889" i="1"/>
  <c r="B11889" i="1"/>
  <c r="A11890" i="1"/>
  <c r="B11890" i="1"/>
  <c r="A11891" i="1"/>
  <c r="B11891" i="1"/>
  <c r="A11892" i="1"/>
  <c r="B11892" i="1"/>
  <c r="A11893" i="1"/>
  <c r="B11893" i="1"/>
  <c r="A11894" i="1"/>
  <c r="B11894" i="1"/>
  <c r="A11895" i="1"/>
  <c r="B11895" i="1"/>
  <c r="A11896" i="1"/>
  <c r="B11896" i="1"/>
  <c r="A11897" i="1"/>
  <c r="B11897" i="1"/>
  <c r="A11898" i="1"/>
  <c r="B11898" i="1"/>
  <c r="A11899" i="1"/>
  <c r="B11899" i="1"/>
  <c r="A11900" i="1"/>
  <c r="B11900" i="1"/>
  <c r="A11901" i="1"/>
  <c r="B11901" i="1"/>
  <c r="A11902" i="1"/>
  <c r="B11902" i="1"/>
  <c r="A11903" i="1"/>
  <c r="B11903" i="1"/>
  <c r="A11904" i="1"/>
  <c r="B11904" i="1"/>
  <c r="A11905" i="1"/>
  <c r="B11905" i="1"/>
  <c r="A11906" i="1"/>
  <c r="B11906" i="1"/>
  <c r="A11907" i="1"/>
  <c r="B11907" i="1"/>
  <c r="A11908" i="1"/>
  <c r="B11908" i="1"/>
  <c r="A11909" i="1"/>
  <c r="B11909" i="1"/>
  <c r="A11910" i="1"/>
  <c r="B11910" i="1"/>
  <c r="A11911" i="1"/>
  <c r="B11911" i="1"/>
  <c r="A11912" i="1"/>
  <c r="B11912" i="1"/>
  <c r="A11913" i="1"/>
  <c r="B11913" i="1"/>
  <c r="A11914" i="1"/>
  <c r="B11914" i="1"/>
  <c r="A11915" i="1"/>
  <c r="B11915" i="1"/>
  <c r="A11916" i="1"/>
  <c r="B11916" i="1"/>
  <c r="A11917" i="1"/>
  <c r="B11917" i="1"/>
  <c r="A11918" i="1"/>
  <c r="B11918" i="1"/>
  <c r="A11919" i="1"/>
  <c r="B11919" i="1"/>
  <c r="A11920" i="1"/>
  <c r="B11920" i="1"/>
  <c r="A11921" i="1"/>
  <c r="B11921" i="1"/>
  <c r="A11922" i="1"/>
  <c r="B11922" i="1"/>
  <c r="A11923" i="1"/>
  <c r="B11923" i="1"/>
  <c r="A11924" i="1"/>
  <c r="B11924" i="1"/>
  <c r="A11925" i="1"/>
  <c r="B11925" i="1"/>
  <c r="A11926" i="1"/>
  <c r="B11926" i="1"/>
  <c r="A11927" i="1"/>
  <c r="B11927" i="1"/>
  <c r="A11928" i="1"/>
  <c r="B11928" i="1"/>
  <c r="A11929" i="1"/>
  <c r="B11929" i="1"/>
  <c r="A11930" i="1"/>
  <c r="B11930" i="1"/>
  <c r="A11931" i="1"/>
  <c r="B11931" i="1"/>
  <c r="A11932" i="1"/>
  <c r="B11932" i="1"/>
  <c r="A11933" i="1"/>
  <c r="B11933" i="1"/>
  <c r="A11934" i="1"/>
  <c r="B11934" i="1"/>
  <c r="A11935" i="1"/>
  <c r="B11935" i="1"/>
  <c r="A11936" i="1"/>
  <c r="B11936" i="1"/>
  <c r="A11937" i="1"/>
  <c r="B11937" i="1"/>
  <c r="A11938" i="1"/>
  <c r="B11938" i="1"/>
  <c r="A11939" i="1"/>
  <c r="B11939" i="1"/>
  <c r="A11940" i="1"/>
  <c r="B11940" i="1"/>
  <c r="A11941" i="1"/>
  <c r="B11941" i="1"/>
  <c r="A11942" i="1"/>
  <c r="B11942" i="1"/>
  <c r="A11943" i="1"/>
  <c r="B11943" i="1"/>
  <c r="A11944" i="1"/>
  <c r="B11944" i="1"/>
  <c r="A11945" i="1"/>
  <c r="B11945" i="1"/>
  <c r="A11946" i="1"/>
  <c r="B11946" i="1"/>
  <c r="A11947" i="1"/>
  <c r="B11947" i="1"/>
  <c r="A11948" i="1"/>
  <c r="B11948" i="1"/>
  <c r="A11949" i="1"/>
  <c r="B11949" i="1"/>
  <c r="A11950" i="1"/>
  <c r="B11950" i="1"/>
  <c r="A11951" i="1"/>
  <c r="B11951" i="1"/>
  <c r="A11952" i="1"/>
  <c r="B11952" i="1"/>
  <c r="A11953" i="1"/>
  <c r="B11953" i="1"/>
  <c r="A11954" i="1"/>
  <c r="B11954" i="1"/>
  <c r="A11955" i="1"/>
  <c r="B11955" i="1"/>
  <c r="A11956" i="1"/>
  <c r="B11956" i="1"/>
  <c r="A11957" i="1"/>
  <c r="B11957" i="1"/>
  <c r="A11958" i="1"/>
  <c r="B11958" i="1"/>
  <c r="A11959" i="1"/>
  <c r="B11959" i="1"/>
  <c r="A11960" i="1"/>
  <c r="B11960" i="1"/>
  <c r="A11961" i="1"/>
  <c r="B11961" i="1"/>
  <c r="A11962" i="1"/>
  <c r="B11962" i="1"/>
  <c r="A11963" i="1"/>
  <c r="B11963" i="1"/>
  <c r="A11964" i="1"/>
  <c r="B11964" i="1"/>
  <c r="A11965" i="1"/>
  <c r="B11965" i="1"/>
  <c r="A11966" i="1"/>
  <c r="B11966" i="1"/>
  <c r="A11967" i="1"/>
  <c r="B11967" i="1"/>
  <c r="A11968" i="1"/>
  <c r="B11968" i="1"/>
  <c r="A11969" i="1"/>
  <c r="B11969" i="1"/>
  <c r="A11970" i="1"/>
  <c r="B11970" i="1"/>
  <c r="A11971" i="1"/>
  <c r="B11971" i="1"/>
  <c r="A11972" i="1"/>
  <c r="B11972" i="1"/>
  <c r="A11973" i="1"/>
  <c r="B11973" i="1"/>
  <c r="A11974" i="1"/>
  <c r="B11974" i="1"/>
  <c r="A11975" i="1"/>
  <c r="B11975" i="1"/>
  <c r="A11976" i="1"/>
  <c r="B11976" i="1"/>
  <c r="A11977" i="1"/>
  <c r="B11977" i="1"/>
  <c r="A11978" i="1"/>
  <c r="B11978" i="1"/>
  <c r="A11979" i="1"/>
  <c r="B11979" i="1"/>
  <c r="A11980" i="1"/>
  <c r="B11980" i="1"/>
  <c r="A11981" i="1"/>
  <c r="B11981" i="1"/>
  <c r="A11982" i="1"/>
  <c r="B11982" i="1"/>
  <c r="A11983" i="1"/>
  <c r="B11983" i="1"/>
  <c r="A11984" i="1"/>
  <c r="B11984" i="1"/>
  <c r="A11985" i="1"/>
  <c r="B11985" i="1"/>
  <c r="A11986" i="1"/>
  <c r="B11986" i="1"/>
  <c r="A11987" i="1"/>
  <c r="B11987" i="1"/>
  <c r="A11988" i="1"/>
  <c r="B11988" i="1"/>
  <c r="A11989" i="1"/>
  <c r="B11989" i="1"/>
  <c r="A11990" i="1"/>
  <c r="B11990" i="1"/>
  <c r="A11991" i="1"/>
  <c r="B11991" i="1"/>
  <c r="A11992" i="1"/>
  <c r="B11992" i="1"/>
  <c r="A11993" i="1"/>
  <c r="B11993" i="1"/>
  <c r="A11994" i="1"/>
  <c r="B11994" i="1"/>
  <c r="A11995" i="1"/>
  <c r="B11995" i="1"/>
  <c r="A11996" i="1"/>
  <c r="B11996" i="1"/>
  <c r="A11997" i="1"/>
  <c r="B11997" i="1"/>
  <c r="A11998" i="1"/>
  <c r="B11998" i="1"/>
  <c r="A11999" i="1"/>
  <c r="B11999" i="1"/>
  <c r="A12000" i="1"/>
  <c r="B12000" i="1"/>
  <c r="A12001" i="1"/>
  <c r="B12001" i="1"/>
  <c r="A12002" i="1"/>
  <c r="B12002" i="1"/>
  <c r="A12003" i="1"/>
  <c r="B12003" i="1"/>
  <c r="A12004" i="1"/>
  <c r="B12004" i="1"/>
  <c r="A12005" i="1"/>
  <c r="B12005" i="1"/>
  <c r="A12006" i="1"/>
  <c r="B12006" i="1"/>
  <c r="A12007" i="1"/>
  <c r="B12007" i="1"/>
  <c r="A12008" i="1"/>
  <c r="B12008" i="1"/>
  <c r="A12009" i="1"/>
  <c r="B12009" i="1"/>
  <c r="A12010" i="1"/>
  <c r="B12010" i="1"/>
  <c r="A12011" i="1"/>
  <c r="B12011" i="1"/>
  <c r="A12012" i="1"/>
  <c r="B12012" i="1"/>
  <c r="A12013" i="1"/>
  <c r="B12013" i="1"/>
  <c r="A12014" i="1"/>
  <c r="B12014" i="1"/>
  <c r="A12015" i="1"/>
  <c r="B12015" i="1"/>
  <c r="A12016" i="1"/>
  <c r="B12016" i="1"/>
  <c r="A12017" i="1"/>
  <c r="B12017" i="1"/>
  <c r="A12018" i="1"/>
  <c r="B12018" i="1"/>
  <c r="A12019" i="1"/>
  <c r="B12019" i="1"/>
  <c r="A12020" i="1"/>
  <c r="B12020" i="1"/>
  <c r="A12021" i="1"/>
  <c r="B12021" i="1"/>
  <c r="A12022" i="1"/>
  <c r="B12022" i="1"/>
  <c r="A12023" i="1"/>
  <c r="B12023" i="1"/>
  <c r="A12024" i="1"/>
  <c r="B12024" i="1"/>
  <c r="A12025" i="1"/>
  <c r="B12025" i="1"/>
  <c r="A12026" i="1"/>
  <c r="B12026" i="1"/>
  <c r="A12027" i="1"/>
  <c r="B12027" i="1"/>
  <c r="A12028" i="1"/>
  <c r="B12028" i="1"/>
  <c r="A12029" i="1"/>
  <c r="B12029" i="1"/>
  <c r="A12030" i="1"/>
  <c r="B12030" i="1"/>
  <c r="A12031" i="1"/>
  <c r="B12031" i="1"/>
  <c r="A12032" i="1"/>
  <c r="B12032" i="1"/>
  <c r="A12033" i="1"/>
  <c r="B12033" i="1"/>
  <c r="A12034" i="1"/>
  <c r="B12034" i="1"/>
  <c r="A12035" i="1"/>
  <c r="B12035" i="1"/>
  <c r="A12036" i="1"/>
  <c r="B12036" i="1"/>
  <c r="A12037" i="1"/>
  <c r="B12037" i="1"/>
  <c r="A12038" i="1"/>
  <c r="B12038" i="1"/>
  <c r="A12039" i="1"/>
  <c r="B12039" i="1"/>
  <c r="A12040" i="1"/>
  <c r="B12040" i="1"/>
  <c r="A12041" i="1"/>
  <c r="B12041" i="1"/>
  <c r="A12042" i="1"/>
  <c r="B12042" i="1"/>
  <c r="A12043" i="1"/>
  <c r="B12043" i="1"/>
  <c r="A12044" i="1"/>
  <c r="B12044" i="1"/>
  <c r="A12045" i="1"/>
  <c r="B12045" i="1"/>
  <c r="A12046" i="1"/>
  <c r="B12046" i="1"/>
  <c r="A12047" i="1"/>
  <c r="B12047" i="1"/>
  <c r="A12048" i="1"/>
  <c r="B12048" i="1"/>
  <c r="A12049" i="1"/>
  <c r="B12049" i="1"/>
  <c r="A12050" i="1"/>
  <c r="B12050" i="1"/>
  <c r="A12051" i="1"/>
  <c r="B12051" i="1"/>
  <c r="A12052" i="1"/>
  <c r="B12052" i="1"/>
  <c r="A12053" i="1"/>
  <c r="B12053" i="1"/>
  <c r="A12054" i="1"/>
  <c r="B12054" i="1"/>
  <c r="A12055" i="1"/>
  <c r="B12055" i="1"/>
  <c r="A12056" i="1"/>
  <c r="B12056" i="1"/>
  <c r="A12057" i="1"/>
  <c r="B12057" i="1"/>
  <c r="A12058" i="1"/>
  <c r="B12058" i="1"/>
  <c r="A12059" i="1"/>
  <c r="B12059" i="1"/>
  <c r="A12060" i="1"/>
  <c r="B12060" i="1"/>
  <c r="A12061" i="1"/>
  <c r="B12061" i="1"/>
  <c r="A12062" i="1"/>
  <c r="B12062" i="1"/>
  <c r="A12063" i="1"/>
  <c r="B12063" i="1"/>
  <c r="A12064" i="1"/>
  <c r="B12064" i="1"/>
  <c r="A12065" i="1"/>
  <c r="B12065" i="1"/>
  <c r="A12066" i="1"/>
  <c r="B12066" i="1"/>
  <c r="A12067" i="1"/>
  <c r="B12067" i="1"/>
  <c r="A12068" i="1"/>
  <c r="B12068" i="1"/>
  <c r="A12069" i="1"/>
  <c r="B12069" i="1"/>
  <c r="A12070" i="1"/>
  <c r="B12070" i="1"/>
  <c r="A12071" i="1"/>
  <c r="B12071" i="1"/>
  <c r="A12072" i="1"/>
  <c r="B12072" i="1"/>
  <c r="A12073" i="1"/>
  <c r="B12073" i="1"/>
  <c r="A12074" i="1"/>
  <c r="B12074" i="1"/>
  <c r="A12075" i="1"/>
  <c r="B12075" i="1"/>
  <c r="A12076" i="1"/>
  <c r="B12076" i="1"/>
  <c r="A12077" i="1"/>
  <c r="B12077" i="1"/>
  <c r="A12078" i="1"/>
  <c r="B12078" i="1"/>
  <c r="A12079" i="1"/>
  <c r="B12079" i="1"/>
  <c r="A12080" i="1"/>
  <c r="B12080" i="1"/>
  <c r="A12081" i="1"/>
  <c r="B12081" i="1"/>
  <c r="A12082" i="1"/>
  <c r="B12082" i="1"/>
  <c r="A12083" i="1"/>
  <c r="B12083" i="1"/>
  <c r="A12084" i="1"/>
  <c r="B12084" i="1"/>
  <c r="A12085" i="1"/>
  <c r="B12085" i="1"/>
  <c r="A12086" i="1"/>
  <c r="B12086" i="1"/>
  <c r="A12087" i="1"/>
  <c r="B12087" i="1"/>
  <c r="A12088" i="1"/>
  <c r="B12088" i="1"/>
  <c r="A12089" i="1"/>
  <c r="B12089" i="1"/>
  <c r="A12090" i="1"/>
  <c r="B12090" i="1"/>
  <c r="A12091" i="1"/>
  <c r="B12091" i="1"/>
  <c r="A12092" i="1"/>
  <c r="B12092" i="1"/>
  <c r="A12093" i="1"/>
  <c r="B12093" i="1"/>
  <c r="A12094" i="1"/>
  <c r="B12094" i="1"/>
  <c r="A12095" i="1"/>
  <c r="B12095" i="1"/>
  <c r="A12096" i="1"/>
  <c r="B12096" i="1"/>
  <c r="A12097" i="1"/>
  <c r="B12097" i="1"/>
  <c r="A12098" i="1"/>
  <c r="B12098" i="1"/>
  <c r="A12099" i="1"/>
  <c r="B12099" i="1"/>
  <c r="A12100" i="1"/>
  <c r="B12100" i="1"/>
  <c r="A12101" i="1"/>
  <c r="B12101" i="1"/>
  <c r="A12102" i="1"/>
  <c r="B12102" i="1"/>
  <c r="A12103" i="1"/>
  <c r="B12103" i="1"/>
  <c r="A12104" i="1"/>
  <c r="B12104" i="1"/>
  <c r="A12105" i="1"/>
  <c r="B12105" i="1"/>
  <c r="A12106" i="1"/>
  <c r="B12106" i="1"/>
  <c r="A12107" i="1"/>
  <c r="B12107" i="1"/>
  <c r="A12108" i="1"/>
  <c r="B12108" i="1"/>
  <c r="A12109" i="1"/>
  <c r="B12109" i="1"/>
  <c r="A12110" i="1"/>
  <c r="B12110" i="1"/>
  <c r="A12111" i="1"/>
  <c r="B12111" i="1"/>
  <c r="A12112" i="1"/>
  <c r="B12112" i="1"/>
  <c r="A12113" i="1"/>
  <c r="B12113" i="1"/>
  <c r="A12114" i="1"/>
  <c r="B12114" i="1"/>
  <c r="A12115" i="1"/>
  <c r="B12115" i="1"/>
  <c r="A12116" i="1"/>
  <c r="B12116" i="1"/>
  <c r="A12117" i="1"/>
  <c r="B12117" i="1"/>
  <c r="A12118" i="1"/>
  <c r="B12118" i="1"/>
  <c r="A12119" i="1"/>
  <c r="B12119" i="1"/>
  <c r="A12120" i="1"/>
  <c r="B12120" i="1"/>
  <c r="A12121" i="1"/>
  <c r="B12121" i="1"/>
  <c r="A12122" i="1"/>
  <c r="B12122" i="1"/>
  <c r="A12123" i="1"/>
  <c r="B12123" i="1"/>
  <c r="A12124" i="1"/>
  <c r="B12124" i="1"/>
  <c r="A12125" i="1"/>
  <c r="B12125" i="1"/>
  <c r="A12126" i="1"/>
  <c r="B12126" i="1"/>
  <c r="A12127" i="1"/>
  <c r="B12127" i="1"/>
  <c r="A12128" i="1"/>
  <c r="B12128" i="1"/>
  <c r="A12129" i="1"/>
  <c r="B12129" i="1"/>
  <c r="A12130" i="1"/>
  <c r="B12130" i="1"/>
  <c r="A12131" i="1"/>
  <c r="B12131" i="1"/>
  <c r="A12132" i="1"/>
  <c r="B12132" i="1"/>
  <c r="A12133" i="1"/>
  <c r="B12133" i="1"/>
  <c r="A12134" i="1"/>
  <c r="B12134" i="1"/>
  <c r="A12135" i="1"/>
  <c r="B12135" i="1"/>
  <c r="A12136" i="1"/>
  <c r="B12136" i="1"/>
  <c r="A12137" i="1"/>
  <c r="B12137" i="1"/>
  <c r="A12138" i="1"/>
  <c r="B12138" i="1"/>
  <c r="A12139" i="1"/>
  <c r="B12139" i="1"/>
  <c r="A12140" i="1"/>
  <c r="B12140" i="1"/>
  <c r="A12141" i="1"/>
  <c r="B12141" i="1"/>
  <c r="A12142" i="1"/>
  <c r="B12142" i="1"/>
  <c r="A12143" i="1"/>
  <c r="B12143" i="1"/>
  <c r="A12144" i="1"/>
  <c r="B12144" i="1"/>
  <c r="A12145" i="1"/>
  <c r="B12145" i="1"/>
  <c r="A12146" i="1"/>
  <c r="B12146" i="1"/>
  <c r="A12147" i="1"/>
  <c r="B12147" i="1"/>
  <c r="A12148" i="1"/>
  <c r="B12148" i="1"/>
  <c r="A12149" i="1"/>
  <c r="B12149" i="1"/>
  <c r="A12150" i="1"/>
  <c r="B12150" i="1"/>
  <c r="A12151" i="1"/>
  <c r="B12151" i="1"/>
  <c r="A12152" i="1"/>
  <c r="B12152" i="1"/>
  <c r="A12153" i="1"/>
  <c r="B12153" i="1"/>
  <c r="A12154" i="1"/>
  <c r="B12154" i="1"/>
  <c r="A12155" i="1"/>
  <c r="B12155" i="1"/>
  <c r="A12156" i="1"/>
  <c r="B12156" i="1"/>
  <c r="A12157" i="1"/>
  <c r="B12157" i="1"/>
  <c r="A12158" i="1"/>
  <c r="B12158" i="1"/>
  <c r="A12159" i="1"/>
  <c r="B12159" i="1"/>
  <c r="A12160" i="1"/>
  <c r="B12160" i="1"/>
  <c r="A12161" i="1"/>
  <c r="B12161" i="1"/>
  <c r="A12162" i="1"/>
  <c r="B12162" i="1"/>
  <c r="A12163" i="1"/>
  <c r="B12163" i="1"/>
  <c r="A12164" i="1"/>
  <c r="B12164" i="1"/>
  <c r="A12165" i="1"/>
  <c r="B12165" i="1"/>
  <c r="A12166" i="1"/>
  <c r="B12166" i="1"/>
  <c r="A12167" i="1"/>
  <c r="B12167" i="1"/>
  <c r="A12168" i="1"/>
  <c r="B12168" i="1"/>
  <c r="A12169" i="1"/>
  <c r="B12169" i="1"/>
  <c r="A12170" i="1"/>
  <c r="B12170" i="1"/>
  <c r="A12171" i="1"/>
  <c r="B12171" i="1"/>
  <c r="A12172" i="1"/>
  <c r="B12172" i="1"/>
  <c r="A12173" i="1"/>
  <c r="B12173" i="1"/>
  <c r="A12174" i="1"/>
  <c r="B12174" i="1"/>
  <c r="A12175" i="1"/>
  <c r="B12175" i="1"/>
  <c r="A12176" i="1"/>
  <c r="B12176" i="1"/>
  <c r="A12177" i="1"/>
  <c r="B12177" i="1"/>
  <c r="A12178" i="1"/>
  <c r="B12178" i="1"/>
  <c r="A12179" i="1"/>
  <c r="B12179" i="1"/>
  <c r="A12180" i="1"/>
  <c r="B12180" i="1"/>
  <c r="A12181" i="1"/>
  <c r="B12181" i="1"/>
  <c r="A12182" i="1"/>
  <c r="B12182" i="1"/>
  <c r="A12183" i="1"/>
  <c r="B12183" i="1"/>
  <c r="A12184" i="1"/>
  <c r="B12184" i="1"/>
  <c r="A12185" i="1"/>
  <c r="B12185" i="1"/>
  <c r="A12186" i="1"/>
  <c r="B12186" i="1"/>
  <c r="A12187" i="1"/>
  <c r="B12187" i="1"/>
  <c r="A12188" i="1"/>
  <c r="B12188" i="1"/>
  <c r="A12189" i="1"/>
  <c r="B12189" i="1"/>
  <c r="A12190" i="1"/>
  <c r="B12190" i="1"/>
  <c r="A12191" i="1"/>
  <c r="B12191" i="1"/>
  <c r="A12192" i="1"/>
  <c r="B12192" i="1"/>
  <c r="A12193" i="1"/>
  <c r="B12193" i="1"/>
  <c r="A12194" i="1"/>
  <c r="B12194" i="1"/>
  <c r="A12195" i="1"/>
  <c r="B12195" i="1"/>
  <c r="A12196" i="1"/>
  <c r="B12196" i="1"/>
  <c r="A12197" i="1"/>
  <c r="B12197" i="1"/>
  <c r="A12198" i="1"/>
  <c r="B12198" i="1"/>
  <c r="A12199" i="1"/>
  <c r="B12199" i="1"/>
  <c r="A12200" i="1"/>
  <c r="B12200" i="1"/>
  <c r="A12201" i="1"/>
  <c r="B12201" i="1"/>
  <c r="A12202" i="1"/>
  <c r="B12202" i="1"/>
  <c r="A12203" i="1"/>
  <c r="B12203" i="1"/>
  <c r="A12204" i="1"/>
  <c r="B12204" i="1"/>
  <c r="A12205" i="1"/>
  <c r="B12205" i="1"/>
  <c r="A12206" i="1"/>
  <c r="B12206" i="1"/>
  <c r="A12207" i="1"/>
  <c r="B12207" i="1"/>
  <c r="A12208" i="1"/>
  <c r="B12208" i="1"/>
  <c r="A12209" i="1"/>
  <c r="B12209" i="1"/>
  <c r="A12210" i="1"/>
  <c r="B12210" i="1"/>
  <c r="A12211" i="1"/>
  <c r="B12211" i="1"/>
  <c r="A12212" i="1"/>
  <c r="B12212" i="1"/>
  <c r="A12213" i="1"/>
  <c r="B12213" i="1"/>
  <c r="A12214" i="1"/>
  <c r="B12214" i="1"/>
  <c r="A12215" i="1"/>
  <c r="B12215" i="1"/>
  <c r="A12216" i="1"/>
  <c r="B12216" i="1"/>
  <c r="A12217" i="1"/>
  <c r="B12217" i="1"/>
  <c r="A12218" i="1"/>
  <c r="B12218" i="1"/>
  <c r="A12219" i="1"/>
  <c r="B12219" i="1"/>
  <c r="A12220" i="1"/>
  <c r="B12220" i="1"/>
  <c r="A12221" i="1"/>
  <c r="B12221" i="1"/>
  <c r="A12222" i="1"/>
  <c r="B12222" i="1"/>
  <c r="A12223" i="1"/>
  <c r="B12223" i="1"/>
  <c r="A12224" i="1"/>
  <c r="B12224" i="1"/>
  <c r="A12225" i="1"/>
  <c r="B12225" i="1"/>
  <c r="A12226" i="1"/>
  <c r="B12226" i="1"/>
  <c r="A12227" i="1"/>
  <c r="B12227" i="1"/>
  <c r="A12228" i="1"/>
  <c r="B12228" i="1"/>
  <c r="A12229" i="1"/>
  <c r="B12229" i="1"/>
  <c r="A12230" i="1"/>
  <c r="B12230" i="1"/>
  <c r="A12231" i="1"/>
  <c r="B12231" i="1"/>
  <c r="A12232" i="1"/>
  <c r="B12232" i="1"/>
  <c r="A12233" i="1"/>
  <c r="B12233" i="1"/>
  <c r="A12234" i="1"/>
  <c r="B12234" i="1"/>
  <c r="A12235" i="1"/>
  <c r="B12235" i="1"/>
  <c r="A12236" i="1"/>
  <c r="B12236" i="1"/>
  <c r="A12237" i="1"/>
  <c r="B12237" i="1"/>
  <c r="A12238" i="1"/>
  <c r="B12238" i="1"/>
  <c r="A12239" i="1"/>
  <c r="B12239" i="1"/>
  <c r="A12240" i="1"/>
  <c r="B12240" i="1"/>
  <c r="A12241" i="1"/>
  <c r="B12241" i="1"/>
  <c r="A12242" i="1"/>
  <c r="B12242" i="1"/>
  <c r="A12243" i="1"/>
  <c r="B12243" i="1"/>
  <c r="A12244" i="1"/>
  <c r="B12244" i="1"/>
  <c r="A12245" i="1"/>
  <c r="B12245" i="1"/>
  <c r="A12246" i="1"/>
  <c r="B12246" i="1"/>
  <c r="A12247" i="1"/>
  <c r="B12247" i="1"/>
  <c r="A12248" i="1"/>
  <c r="B12248" i="1"/>
  <c r="A12249" i="1"/>
  <c r="B12249" i="1"/>
  <c r="A12250" i="1"/>
  <c r="B12250" i="1"/>
  <c r="A12251" i="1"/>
  <c r="B12251" i="1"/>
  <c r="A12252" i="1"/>
  <c r="B12252" i="1"/>
  <c r="A12253" i="1"/>
  <c r="B12253" i="1"/>
  <c r="A12254" i="1"/>
  <c r="B12254" i="1"/>
  <c r="A12255" i="1"/>
  <c r="B12255" i="1"/>
  <c r="A12256" i="1"/>
  <c r="B12256" i="1"/>
  <c r="A12257" i="1"/>
  <c r="B12257" i="1"/>
  <c r="A12258" i="1"/>
  <c r="B12258" i="1"/>
  <c r="A12259" i="1"/>
  <c r="B12259" i="1"/>
  <c r="A12260" i="1"/>
  <c r="B12260" i="1"/>
  <c r="A12261" i="1"/>
  <c r="B12261" i="1"/>
  <c r="A12262" i="1"/>
  <c r="B12262" i="1"/>
  <c r="A12263" i="1"/>
  <c r="B12263" i="1"/>
  <c r="A12264" i="1"/>
  <c r="B12264" i="1"/>
  <c r="A12265" i="1"/>
  <c r="B12265" i="1"/>
  <c r="A12266" i="1"/>
  <c r="B12266" i="1"/>
  <c r="A12267" i="1"/>
  <c r="B12267" i="1"/>
  <c r="A12268" i="1"/>
  <c r="B12268" i="1"/>
  <c r="A12269" i="1"/>
  <c r="B12269" i="1"/>
  <c r="A12270" i="1"/>
  <c r="B12270" i="1"/>
  <c r="A12271" i="1"/>
  <c r="B12271" i="1"/>
  <c r="A12272" i="1"/>
  <c r="B12272" i="1"/>
  <c r="A12273" i="1"/>
  <c r="B12273" i="1"/>
  <c r="A12274" i="1"/>
  <c r="B12274" i="1"/>
  <c r="A12275" i="1"/>
  <c r="B12275" i="1"/>
  <c r="A12276" i="1"/>
  <c r="B12276" i="1"/>
  <c r="A12277" i="1"/>
  <c r="B12277" i="1"/>
  <c r="A12278" i="1"/>
  <c r="B12278" i="1"/>
  <c r="A12279" i="1"/>
  <c r="B12279" i="1"/>
  <c r="A12280" i="1"/>
  <c r="B12280" i="1"/>
  <c r="A12281" i="1"/>
  <c r="B12281" i="1"/>
  <c r="A12282" i="1"/>
  <c r="B12282" i="1"/>
  <c r="A12283" i="1"/>
  <c r="B12283" i="1"/>
  <c r="A12284" i="1"/>
  <c r="B12284" i="1"/>
  <c r="A12285" i="1"/>
  <c r="B12285" i="1"/>
  <c r="A12286" i="1"/>
  <c r="B12286" i="1"/>
  <c r="A12287" i="1"/>
  <c r="B12287" i="1"/>
  <c r="A12288" i="1"/>
  <c r="B12288" i="1"/>
  <c r="A12289" i="1"/>
  <c r="B12289" i="1"/>
  <c r="A12290" i="1"/>
  <c r="B12290" i="1"/>
  <c r="A12291" i="1"/>
  <c r="B12291" i="1"/>
  <c r="A12292" i="1"/>
  <c r="B12292" i="1"/>
  <c r="A12293" i="1"/>
  <c r="B12293" i="1"/>
  <c r="A12294" i="1"/>
  <c r="B12294" i="1"/>
  <c r="A12295" i="1"/>
  <c r="B12295" i="1"/>
  <c r="A12296" i="1"/>
  <c r="B12296" i="1"/>
  <c r="A12297" i="1"/>
  <c r="B12297" i="1"/>
  <c r="A12298" i="1"/>
  <c r="B12298" i="1"/>
  <c r="A12299" i="1"/>
  <c r="B12299" i="1"/>
  <c r="A12300" i="1"/>
  <c r="B12300" i="1"/>
  <c r="A12301" i="1"/>
  <c r="B12301" i="1"/>
  <c r="A12302" i="1"/>
  <c r="B12302" i="1"/>
  <c r="A12303" i="1"/>
  <c r="B12303" i="1"/>
  <c r="A12304" i="1"/>
  <c r="B12304" i="1"/>
  <c r="A12305" i="1"/>
  <c r="B12305" i="1"/>
  <c r="A12306" i="1"/>
  <c r="B12306" i="1"/>
  <c r="A12307" i="1"/>
  <c r="B12307" i="1"/>
  <c r="A12308" i="1"/>
  <c r="B12308" i="1"/>
  <c r="A12309" i="1"/>
  <c r="B12309" i="1"/>
  <c r="A12310" i="1"/>
  <c r="B12310" i="1"/>
  <c r="A12311" i="1"/>
  <c r="B12311" i="1"/>
  <c r="A12312" i="1"/>
  <c r="B12312" i="1"/>
  <c r="A12313" i="1"/>
  <c r="B12313" i="1"/>
  <c r="A12314" i="1"/>
  <c r="B12314" i="1"/>
  <c r="A12315" i="1"/>
  <c r="B12315" i="1"/>
  <c r="A12316" i="1"/>
  <c r="B12316" i="1"/>
  <c r="A12317" i="1"/>
  <c r="B12317" i="1"/>
  <c r="A12318" i="1"/>
  <c r="B12318" i="1"/>
  <c r="A12319" i="1"/>
  <c r="B12319" i="1"/>
  <c r="A12320" i="1"/>
  <c r="B12320" i="1"/>
  <c r="A12321" i="1"/>
  <c r="B12321" i="1"/>
  <c r="A12322" i="1"/>
  <c r="B12322" i="1"/>
  <c r="A12323" i="1"/>
  <c r="B12323" i="1"/>
  <c r="A12324" i="1"/>
  <c r="B12324" i="1"/>
  <c r="A12325" i="1"/>
  <c r="B12325" i="1"/>
  <c r="A12326" i="1"/>
  <c r="B12326" i="1"/>
  <c r="A12327" i="1"/>
  <c r="B12327" i="1"/>
  <c r="A12328" i="1"/>
  <c r="B12328" i="1"/>
  <c r="A12329" i="1"/>
  <c r="B12329" i="1"/>
  <c r="A12330" i="1"/>
  <c r="B12330" i="1"/>
  <c r="A12331" i="1"/>
  <c r="B12331" i="1"/>
  <c r="A12332" i="1"/>
  <c r="B12332" i="1"/>
  <c r="A12333" i="1"/>
  <c r="B12333" i="1"/>
  <c r="A12334" i="1"/>
  <c r="B12334" i="1"/>
  <c r="A12335" i="1"/>
  <c r="B12335" i="1"/>
  <c r="A12336" i="1"/>
  <c r="B12336" i="1"/>
  <c r="A12337" i="1"/>
  <c r="B12337" i="1"/>
  <c r="A12338" i="1"/>
  <c r="B12338" i="1"/>
  <c r="A12339" i="1"/>
  <c r="B12339" i="1"/>
  <c r="A12340" i="1"/>
  <c r="B12340" i="1"/>
  <c r="A12341" i="1"/>
  <c r="B12341" i="1"/>
  <c r="A12342" i="1"/>
  <c r="B12342" i="1"/>
  <c r="A12343" i="1"/>
  <c r="B12343" i="1"/>
  <c r="A12344" i="1"/>
  <c r="B12344" i="1"/>
  <c r="A12345" i="1"/>
  <c r="B12345" i="1"/>
  <c r="A12346" i="1"/>
  <c r="B12346" i="1"/>
  <c r="A12347" i="1"/>
  <c r="B12347" i="1"/>
  <c r="A12348" i="1"/>
  <c r="B12348" i="1"/>
  <c r="A12349" i="1"/>
  <c r="B12349" i="1"/>
  <c r="A12350" i="1"/>
  <c r="B12350" i="1"/>
  <c r="A12351" i="1"/>
  <c r="B12351" i="1"/>
  <c r="A12352" i="1"/>
  <c r="B12352" i="1"/>
  <c r="A12353" i="1"/>
  <c r="B12353" i="1"/>
  <c r="A12354" i="1"/>
  <c r="B12354" i="1"/>
  <c r="A12355" i="1"/>
  <c r="B12355" i="1"/>
  <c r="A12356" i="1"/>
  <c r="B12356" i="1"/>
  <c r="A12357" i="1"/>
  <c r="B12357" i="1"/>
  <c r="A12358" i="1"/>
  <c r="B12358" i="1"/>
  <c r="A12359" i="1"/>
  <c r="B12359" i="1"/>
  <c r="A12360" i="1"/>
  <c r="B12360" i="1"/>
  <c r="A12361" i="1"/>
  <c r="B12361" i="1"/>
  <c r="A12362" i="1"/>
  <c r="B12362" i="1"/>
  <c r="A12363" i="1"/>
  <c r="B12363" i="1"/>
  <c r="A12364" i="1"/>
  <c r="B12364" i="1"/>
  <c r="A12365" i="1"/>
  <c r="B12365" i="1"/>
  <c r="A12366" i="1"/>
  <c r="B12366" i="1"/>
  <c r="A12367" i="1"/>
  <c r="B12367" i="1"/>
  <c r="A12368" i="1"/>
  <c r="B12368" i="1"/>
  <c r="A12369" i="1"/>
  <c r="B12369" i="1"/>
  <c r="A12370" i="1"/>
  <c r="B12370" i="1"/>
  <c r="A12371" i="1"/>
  <c r="B12371" i="1"/>
  <c r="A12372" i="1"/>
  <c r="B12372" i="1"/>
  <c r="A12373" i="1"/>
  <c r="B12373" i="1"/>
  <c r="A12374" i="1"/>
  <c r="B12374" i="1"/>
  <c r="A12375" i="1"/>
  <c r="B12375" i="1"/>
  <c r="A12376" i="1"/>
  <c r="B12376" i="1"/>
  <c r="A12377" i="1"/>
  <c r="B12377" i="1"/>
  <c r="A12378" i="1"/>
  <c r="B12378" i="1"/>
  <c r="A12379" i="1"/>
  <c r="B12379" i="1"/>
  <c r="A12380" i="1"/>
  <c r="B12380" i="1"/>
  <c r="A12381" i="1"/>
  <c r="B12381" i="1"/>
  <c r="A12382" i="1"/>
  <c r="B12382" i="1"/>
  <c r="A12383" i="1"/>
  <c r="B12383" i="1"/>
  <c r="A12384" i="1"/>
  <c r="B12384" i="1"/>
  <c r="A12385" i="1"/>
  <c r="B12385" i="1"/>
  <c r="A12386" i="1"/>
  <c r="B12386" i="1"/>
  <c r="A12387" i="1"/>
  <c r="B12387" i="1"/>
  <c r="A12388" i="1"/>
  <c r="B12388" i="1"/>
  <c r="A12389" i="1"/>
  <c r="B12389" i="1"/>
  <c r="A12390" i="1"/>
  <c r="B12390" i="1"/>
  <c r="A12391" i="1"/>
  <c r="B12391" i="1"/>
  <c r="A12392" i="1"/>
  <c r="B12392" i="1"/>
  <c r="A12393" i="1"/>
  <c r="B12393" i="1"/>
  <c r="A12394" i="1"/>
  <c r="B12394" i="1"/>
  <c r="A12395" i="1"/>
  <c r="B12395" i="1"/>
  <c r="A12396" i="1"/>
  <c r="B12396" i="1"/>
  <c r="A12397" i="1"/>
  <c r="B12397" i="1"/>
  <c r="A12398" i="1"/>
  <c r="B12398" i="1"/>
  <c r="A12399" i="1"/>
  <c r="B12399" i="1"/>
  <c r="A12400" i="1"/>
  <c r="B12400" i="1"/>
  <c r="A12401" i="1"/>
  <c r="B12401" i="1"/>
  <c r="A12402" i="1"/>
  <c r="B12402" i="1"/>
  <c r="A12403" i="1"/>
  <c r="B12403" i="1"/>
  <c r="A12404" i="1"/>
  <c r="B12404" i="1"/>
  <c r="A12405" i="1"/>
  <c r="B12405" i="1"/>
  <c r="A12406" i="1"/>
  <c r="B12406" i="1"/>
  <c r="A12407" i="1"/>
  <c r="B12407" i="1"/>
  <c r="A12408" i="1"/>
  <c r="B12408" i="1"/>
  <c r="A12409" i="1"/>
  <c r="B12409" i="1"/>
  <c r="A12410" i="1"/>
  <c r="B12410" i="1"/>
  <c r="A12411" i="1"/>
  <c r="B12411" i="1"/>
  <c r="A12412" i="1"/>
  <c r="B12412" i="1"/>
  <c r="A12413" i="1"/>
  <c r="B12413" i="1"/>
  <c r="A12414" i="1"/>
  <c r="B12414" i="1"/>
  <c r="A12415" i="1"/>
  <c r="B12415" i="1"/>
  <c r="A12416" i="1"/>
  <c r="B12416" i="1"/>
  <c r="A12417" i="1"/>
  <c r="B12417" i="1"/>
  <c r="A12418" i="1"/>
  <c r="B12418" i="1"/>
  <c r="A12419" i="1"/>
  <c r="B12419" i="1"/>
  <c r="A12420" i="1"/>
  <c r="B12420" i="1"/>
  <c r="A12421" i="1"/>
  <c r="B12421" i="1"/>
  <c r="A12422" i="1"/>
  <c r="B12422" i="1"/>
  <c r="A12423" i="1"/>
  <c r="B12423" i="1"/>
  <c r="A12424" i="1"/>
  <c r="B12424" i="1"/>
  <c r="A12425" i="1"/>
  <c r="B12425" i="1"/>
  <c r="A12426" i="1"/>
  <c r="B12426" i="1"/>
  <c r="A12427" i="1"/>
  <c r="B12427" i="1"/>
  <c r="A12428" i="1"/>
  <c r="B12428" i="1"/>
  <c r="A12429" i="1"/>
  <c r="B12429" i="1"/>
  <c r="A12430" i="1"/>
  <c r="B12430" i="1"/>
  <c r="A12431" i="1"/>
  <c r="B12431" i="1"/>
  <c r="A12432" i="1"/>
  <c r="B12432" i="1"/>
  <c r="A12433" i="1"/>
  <c r="B12433" i="1"/>
  <c r="A12434" i="1"/>
  <c r="B12434" i="1"/>
  <c r="A12435" i="1"/>
  <c r="B12435" i="1"/>
  <c r="A12436" i="1"/>
  <c r="B12436" i="1"/>
  <c r="A12437" i="1"/>
  <c r="B12437" i="1"/>
  <c r="A12438" i="1"/>
  <c r="B12438" i="1"/>
  <c r="A12439" i="1"/>
  <c r="B12439" i="1"/>
  <c r="A12440" i="1"/>
  <c r="B12440" i="1"/>
  <c r="A12441" i="1"/>
  <c r="B12441" i="1"/>
  <c r="A12442" i="1"/>
  <c r="B12442" i="1"/>
  <c r="A12443" i="1"/>
  <c r="B12443" i="1"/>
  <c r="A12444" i="1"/>
  <c r="B12444" i="1"/>
  <c r="A12445" i="1"/>
  <c r="B12445" i="1"/>
  <c r="A12446" i="1"/>
  <c r="B12446" i="1"/>
  <c r="A12447" i="1"/>
  <c r="B12447" i="1"/>
  <c r="A12448" i="1"/>
  <c r="B12448" i="1"/>
  <c r="A12449" i="1"/>
  <c r="B12449" i="1"/>
  <c r="A12450" i="1"/>
  <c r="B12450" i="1"/>
  <c r="A12451" i="1"/>
  <c r="B12451" i="1"/>
  <c r="A12452" i="1"/>
  <c r="B12452" i="1"/>
  <c r="A12453" i="1"/>
  <c r="B12453" i="1"/>
  <c r="A12454" i="1"/>
  <c r="B12454" i="1"/>
  <c r="A12455" i="1"/>
  <c r="B12455" i="1"/>
  <c r="A12456" i="1"/>
  <c r="B12456" i="1"/>
  <c r="A12457" i="1"/>
  <c r="B12457" i="1"/>
  <c r="A12458" i="1"/>
  <c r="B12458" i="1"/>
  <c r="A12459" i="1"/>
  <c r="B12459" i="1"/>
  <c r="A12460" i="1"/>
  <c r="B12460" i="1"/>
  <c r="A12461" i="1"/>
  <c r="B12461" i="1"/>
  <c r="A12462" i="1"/>
  <c r="B12462" i="1"/>
  <c r="A12463" i="1"/>
  <c r="B12463" i="1"/>
  <c r="A12464" i="1"/>
  <c r="B12464" i="1"/>
  <c r="A12465" i="1"/>
  <c r="B12465" i="1"/>
  <c r="A12466" i="1"/>
  <c r="B12466" i="1"/>
  <c r="A12467" i="1"/>
  <c r="B12467" i="1"/>
  <c r="A12468" i="1"/>
  <c r="B12468" i="1"/>
  <c r="A12469" i="1"/>
  <c r="B12469" i="1"/>
  <c r="A12470" i="1"/>
  <c r="B12470" i="1"/>
  <c r="A12471" i="1"/>
  <c r="B12471" i="1"/>
  <c r="A12472" i="1"/>
  <c r="B12472" i="1"/>
  <c r="A12473" i="1"/>
  <c r="B12473" i="1"/>
  <c r="A12474" i="1"/>
  <c r="B12474" i="1"/>
  <c r="A12475" i="1"/>
  <c r="B12475" i="1"/>
  <c r="A12476" i="1"/>
  <c r="B12476" i="1"/>
  <c r="A12477" i="1"/>
  <c r="B12477" i="1"/>
  <c r="A12478" i="1"/>
  <c r="B12478" i="1"/>
  <c r="A12479" i="1"/>
  <c r="B12479" i="1"/>
  <c r="A12480" i="1"/>
  <c r="B12480" i="1"/>
  <c r="A12481" i="1"/>
  <c r="B12481" i="1"/>
  <c r="A12482" i="1"/>
  <c r="B12482" i="1"/>
  <c r="A12483" i="1"/>
  <c r="B12483" i="1"/>
  <c r="A12484" i="1"/>
  <c r="B12484" i="1"/>
  <c r="A12485" i="1"/>
  <c r="B12485" i="1"/>
  <c r="A12486" i="1"/>
  <c r="B12486" i="1"/>
  <c r="A12487" i="1"/>
  <c r="B12487" i="1"/>
  <c r="A12488" i="1"/>
  <c r="B12488" i="1"/>
  <c r="A12489" i="1"/>
  <c r="B12489" i="1"/>
  <c r="A12490" i="1"/>
  <c r="B12490" i="1"/>
  <c r="A12491" i="1"/>
  <c r="B12491" i="1"/>
  <c r="A12492" i="1"/>
  <c r="B12492" i="1"/>
  <c r="A12493" i="1"/>
  <c r="B12493" i="1"/>
  <c r="A12494" i="1"/>
  <c r="B12494" i="1"/>
  <c r="A12495" i="1"/>
  <c r="B12495" i="1"/>
  <c r="A12496" i="1"/>
  <c r="B12496" i="1"/>
  <c r="A12497" i="1"/>
  <c r="B12497" i="1"/>
  <c r="A12498" i="1"/>
  <c r="B12498" i="1"/>
  <c r="A12499" i="1"/>
  <c r="B12499" i="1"/>
  <c r="A12500" i="1"/>
  <c r="B12500" i="1"/>
  <c r="A12501" i="1"/>
  <c r="B12501" i="1"/>
  <c r="A12502" i="1"/>
  <c r="B12502" i="1"/>
  <c r="A12503" i="1"/>
  <c r="B12503" i="1"/>
  <c r="A12504" i="1"/>
  <c r="B12504" i="1"/>
  <c r="A12505" i="1"/>
  <c r="B12505" i="1"/>
  <c r="A12506" i="1"/>
  <c r="B12506" i="1"/>
  <c r="A12507" i="1"/>
  <c r="B12507" i="1"/>
  <c r="A12508" i="1"/>
  <c r="B12508" i="1"/>
  <c r="A12509" i="1"/>
  <c r="B12509" i="1"/>
  <c r="A12510" i="1"/>
  <c r="B12510" i="1"/>
  <c r="A12511" i="1"/>
  <c r="B12511" i="1"/>
  <c r="A12512" i="1"/>
  <c r="B12512" i="1"/>
  <c r="A12513" i="1"/>
  <c r="B12513" i="1"/>
  <c r="A12514" i="1"/>
  <c r="B12514" i="1"/>
  <c r="A12515" i="1"/>
  <c r="B12515" i="1"/>
  <c r="A12516" i="1"/>
  <c r="B12516" i="1"/>
  <c r="A12517" i="1"/>
  <c r="B12517" i="1"/>
  <c r="A12518" i="1"/>
  <c r="B12518" i="1"/>
  <c r="A12519" i="1"/>
  <c r="B12519" i="1"/>
  <c r="A12520" i="1"/>
  <c r="B12520" i="1"/>
  <c r="A12521" i="1"/>
  <c r="B12521" i="1"/>
  <c r="A12522" i="1"/>
  <c r="B12522" i="1"/>
  <c r="A12523" i="1"/>
  <c r="B12523" i="1"/>
  <c r="A12524" i="1"/>
  <c r="B12524" i="1"/>
  <c r="A12525" i="1"/>
  <c r="B12525" i="1"/>
  <c r="A12526" i="1"/>
  <c r="B12526" i="1"/>
  <c r="A12527" i="1"/>
  <c r="B12527" i="1"/>
  <c r="A12528" i="1"/>
  <c r="B12528" i="1"/>
  <c r="A12529" i="1"/>
  <c r="B12529" i="1"/>
  <c r="A12530" i="1"/>
  <c r="B12530" i="1"/>
  <c r="A12531" i="1"/>
  <c r="B12531" i="1"/>
  <c r="A12532" i="1"/>
  <c r="B12532" i="1"/>
  <c r="A12533" i="1"/>
  <c r="B12533" i="1"/>
  <c r="A12534" i="1"/>
  <c r="B12534" i="1"/>
  <c r="A12535" i="1"/>
  <c r="B12535" i="1"/>
  <c r="A12536" i="1"/>
  <c r="B12536" i="1"/>
  <c r="A12537" i="1"/>
  <c r="B12537" i="1"/>
  <c r="A12538" i="1"/>
  <c r="B12538" i="1"/>
  <c r="A12539" i="1"/>
  <c r="B12539" i="1"/>
  <c r="A12540" i="1"/>
  <c r="B12540" i="1"/>
  <c r="A12541" i="1"/>
  <c r="B12541" i="1"/>
  <c r="A12542" i="1"/>
  <c r="B12542" i="1"/>
  <c r="A12543" i="1"/>
  <c r="B12543" i="1"/>
  <c r="A12544" i="1"/>
  <c r="B12544" i="1"/>
  <c r="A12545" i="1"/>
  <c r="B12545" i="1"/>
  <c r="A12546" i="1"/>
  <c r="B12546" i="1"/>
  <c r="A12547" i="1"/>
  <c r="B12547" i="1"/>
  <c r="A12548" i="1"/>
  <c r="B12548" i="1"/>
  <c r="A12549" i="1"/>
  <c r="B12549" i="1"/>
  <c r="A12550" i="1"/>
  <c r="B12550" i="1"/>
  <c r="A12551" i="1"/>
  <c r="B12551" i="1"/>
  <c r="A12552" i="1"/>
  <c r="B12552" i="1"/>
  <c r="A12553" i="1"/>
  <c r="B12553" i="1"/>
  <c r="A12554" i="1"/>
  <c r="B12554" i="1"/>
  <c r="A12555" i="1"/>
  <c r="B12555" i="1"/>
  <c r="A12556" i="1"/>
  <c r="B12556" i="1"/>
  <c r="A12557" i="1"/>
  <c r="B12557" i="1"/>
  <c r="A12558" i="1"/>
  <c r="B12558" i="1"/>
  <c r="A12559" i="1"/>
  <c r="B12559" i="1"/>
  <c r="A12560" i="1"/>
  <c r="B12560" i="1"/>
  <c r="A12561" i="1"/>
  <c r="B12561" i="1"/>
  <c r="A12562" i="1"/>
  <c r="B12562" i="1"/>
  <c r="A12563" i="1"/>
  <c r="B12563" i="1"/>
  <c r="A12564" i="1"/>
  <c r="B12564" i="1"/>
  <c r="A12565" i="1"/>
  <c r="B12565" i="1"/>
  <c r="A12566" i="1"/>
  <c r="B12566" i="1"/>
  <c r="A12567" i="1"/>
  <c r="B12567" i="1"/>
  <c r="A12568" i="1"/>
  <c r="B12568" i="1"/>
  <c r="A12569" i="1"/>
  <c r="B12569" i="1"/>
  <c r="A12570" i="1"/>
  <c r="B12570" i="1"/>
  <c r="A12571" i="1"/>
  <c r="B12571" i="1"/>
  <c r="A12572" i="1"/>
  <c r="B12572" i="1"/>
  <c r="A12573" i="1"/>
  <c r="B12573" i="1"/>
  <c r="A12574" i="1"/>
  <c r="B12574" i="1"/>
  <c r="A12575" i="1"/>
  <c r="B12575" i="1"/>
  <c r="A12576" i="1"/>
  <c r="B12576" i="1"/>
  <c r="A12577" i="1"/>
  <c r="B12577" i="1"/>
  <c r="A12578" i="1"/>
  <c r="B12578" i="1"/>
  <c r="A12579" i="1"/>
  <c r="B12579" i="1"/>
  <c r="A12580" i="1"/>
  <c r="B12580" i="1"/>
  <c r="A12581" i="1"/>
  <c r="B12581" i="1"/>
  <c r="A12582" i="1"/>
  <c r="B12582" i="1"/>
  <c r="A12583" i="1"/>
  <c r="B12583" i="1"/>
  <c r="A12584" i="1"/>
  <c r="B12584" i="1"/>
  <c r="A12585" i="1"/>
  <c r="B12585" i="1"/>
  <c r="A12586" i="1"/>
  <c r="B12586" i="1"/>
  <c r="A12587" i="1"/>
  <c r="B12587" i="1"/>
  <c r="A12588" i="1"/>
  <c r="B12588" i="1"/>
  <c r="A12589" i="1"/>
  <c r="B12589" i="1"/>
  <c r="A12590" i="1"/>
  <c r="B12590" i="1"/>
  <c r="A12591" i="1"/>
  <c r="B12591" i="1"/>
  <c r="A12592" i="1"/>
  <c r="B12592" i="1"/>
  <c r="A12593" i="1"/>
  <c r="B12593" i="1"/>
  <c r="A12594" i="1"/>
  <c r="B12594" i="1"/>
  <c r="A12595" i="1"/>
  <c r="B12595" i="1"/>
  <c r="A12596" i="1"/>
  <c r="B12596" i="1"/>
  <c r="A12597" i="1"/>
  <c r="B12597" i="1"/>
  <c r="A12598" i="1"/>
  <c r="B12598" i="1"/>
  <c r="A12599" i="1"/>
  <c r="B12599" i="1"/>
  <c r="A12600" i="1"/>
  <c r="B12600" i="1"/>
  <c r="A12601" i="1"/>
  <c r="B12601" i="1"/>
  <c r="A12602" i="1"/>
  <c r="B12602" i="1"/>
  <c r="A12603" i="1"/>
  <c r="B12603" i="1"/>
  <c r="A12604" i="1"/>
  <c r="B12604" i="1"/>
  <c r="A12605" i="1"/>
  <c r="B12605" i="1"/>
  <c r="A12606" i="1"/>
  <c r="B12606" i="1"/>
  <c r="A12607" i="1"/>
  <c r="B12607" i="1"/>
  <c r="A12608" i="1"/>
  <c r="B12608" i="1"/>
  <c r="A12609" i="1"/>
  <c r="B12609" i="1"/>
  <c r="A12610" i="1"/>
  <c r="B12610" i="1"/>
  <c r="A12611" i="1"/>
  <c r="B12611" i="1"/>
  <c r="A12612" i="1"/>
  <c r="B12612" i="1"/>
  <c r="A12613" i="1"/>
  <c r="B12613" i="1"/>
  <c r="A12614" i="1"/>
  <c r="B12614" i="1"/>
  <c r="A12615" i="1"/>
  <c r="B12615" i="1"/>
  <c r="A12616" i="1"/>
  <c r="B12616" i="1"/>
  <c r="A12617" i="1"/>
  <c r="B12617" i="1"/>
  <c r="A12618" i="1"/>
  <c r="B12618" i="1"/>
  <c r="A12619" i="1"/>
  <c r="B12619" i="1"/>
  <c r="A12620" i="1"/>
  <c r="B12620" i="1"/>
  <c r="A12621" i="1"/>
  <c r="B12621" i="1"/>
  <c r="A12622" i="1"/>
  <c r="B12622" i="1"/>
  <c r="A12623" i="1"/>
  <c r="B12623" i="1"/>
  <c r="A12624" i="1"/>
  <c r="B12624" i="1"/>
  <c r="A12625" i="1"/>
  <c r="B12625" i="1"/>
  <c r="A12626" i="1"/>
  <c r="B12626" i="1"/>
  <c r="A12627" i="1"/>
  <c r="B12627" i="1"/>
  <c r="A12628" i="1"/>
  <c r="B12628" i="1"/>
  <c r="A12629" i="1"/>
  <c r="B12629" i="1"/>
  <c r="A12630" i="1"/>
  <c r="B12630" i="1"/>
  <c r="A12631" i="1"/>
  <c r="B12631" i="1"/>
  <c r="A12632" i="1"/>
  <c r="B12632" i="1"/>
  <c r="A12633" i="1"/>
  <c r="B12633" i="1"/>
  <c r="A12634" i="1"/>
  <c r="B12634" i="1"/>
  <c r="A12635" i="1"/>
  <c r="B12635" i="1"/>
  <c r="A12636" i="1"/>
  <c r="B12636" i="1"/>
  <c r="A12637" i="1"/>
  <c r="B12637" i="1"/>
  <c r="A12638" i="1"/>
  <c r="B12638" i="1"/>
  <c r="A12639" i="1"/>
  <c r="B12639" i="1"/>
  <c r="A12640" i="1"/>
  <c r="B12640" i="1"/>
  <c r="A12641" i="1"/>
  <c r="B12641" i="1"/>
  <c r="A12642" i="1"/>
  <c r="B12642" i="1"/>
  <c r="A12643" i="1"/>
  <c r="B12643" i="1"/>
  <c r="A12644" i="1"/>
  <c r="B12644" i="1"/>
  <c r="A12645" i="1"/>
  <c r="B12645" i="1"/>
  <c r="A12646" i="1"/>
  <c r="B12646" i="1"/>
  <c r="A12647" i="1"/>
  <c r="B12647" i="1"/>
  <c r="A12648" i="1"/>
  <c r="B12648" i="1"/>
  <c r="A12649" i="1"/>
  <c r="B12649" i="1"/>
  <c r="A12650" i="1"/>
  <c r="B12650" i="1"/>
  <c r="A12651" i="1"/>
  <c r="B12651" i="1"/>
  <c r="A12652" i="1"/>
  <c r="B12652" i="1"/>
  <c r="A12653" i="1"/>
  <c r="B12653" i="1"/>
  <c r="A12654" i="1"/>
  <c r="B12654" i="1"/>
  <c r="A12655" i="1"/>
  <c r="B12655" i="1"/>
  <c r="A12656" i="1"/>
  <c r="B12656" i="1"/>
  <c r="A12657" i="1"/>
  <c r="B12657" i="1"/>
  <c r="A12658" i="1"/>
  <c r="B12658" i="1"/>
  <c r="A12659" i="1"/>
  <c r="B12659" i="1"/>
  <c r="A12660" i="1"/>
  <c r="B12660" i="1"/>
  <c r="A12661" i="1"/>
  <c r="B12661" i="1"/>
  <c r="A12662" i="1"/>
  <c r="B12662" i="1"/>
  <c r="A12663" i="1"/>
  <c r="B12663" i="1"/>
  <c r="A12664" i="1"/>
  <c r="B12664" i="1"/>
  <c r="A12665" i="1"/>
  <c r="B12665" i="1"/>
  <c r="A12666" i="1"/>
  <c r="B12666" i="1"/>
  <c r="A12667" i="1"/>
  <c r="B12667" i="1"/>
  <c r="A12668" i="1"/>
  <c r="B12668" i="1"/>
  <c r="A12669" i="1"/>
  <c r="B12669" i="1"/>
  <c r="A12670" i="1"/>
  <c r="B12670" i="1"/>
  <c r="A12671" i="1"/>
  <c r="B12671" i="1"/>
  <c r="A12672" i="1"/>
  <c r="B12672" i="1"/>
  <c r="A12673" i="1"/>
  <c r="B12673" i="1"/>
  <c r="A12674" i="1"/>
  <c r="B12674" i="1"/>
  <c r="A12675" i="1"/>
  <c r="B12675" i="1"/>
  <c r="A12676" i="1"/>
  <c r="B12676" i="1"/>
  <c r="A12677" i="1"/>
  <c r="B12677" i="1"/>
  <c r="A12678" i="1"/>
  <c r="B12678" i="1"/>
  <c r="A12679" i="1"/>
  <c r="B12679" i="1"/>
  <c r="A12680" i="1"/>
  <c r="B12680" i="1"/>
  <c r="A12681" i="1"/>
  <c r="B12681" i="1"/>
  <c r="A12682" i="1"/>
  <c r="B12682" i="1"/>
  <c r="A12683" i="1"/>
  <c r="B12683" i="1"/>
  <c r="A12684" i="1"/>
  <c r="B12684" i="1"/>
  <c r="A12685" i="1"/>
  <c r="B12685" i="1"/>
  <c r="A12686" i="1"/>
  <c r="B12686" i="1"/>
  <c r="A12687" i="1"/>
  <c r="B12687" i="1"/>
  <c r="A12688" i="1"/>
  <c r="B12688" i="1"/>
  <c r="A12689" i="1"/>
  <c r="B12689" i="1"/>
  <c r="A12690" i="1"/>
  <c r="B12690" i="1"/>
  <c r="A12691" i="1"/>
  <c r="B12691" i="1"/>
  <c r="A12692" i="1"/>
  <c r="B12692" i="1"/>
  <c r="A12693" i="1"/>
  <c r="B12693" i="1"/>
  <c r="A12694" i="1"/>
  <c r="B12694" i="1"/>
  <c r="A12695" i="1"/>
  <c r="B12695" i="1"/>
  <c r="A12696" i="1"/>
  <c r="B12696" i="1"/>
  <c r="A12697" i="1"/>
  <c r="B12697" i="1"/>
  <c r="A12698" i="1"/>
  <c r="B12698" i="1"/>
  <c r="A12699" i="1"/>
  <c r="B12699" i="1"/>
  <c r="A12700" i="1"/>
  <c r="B12700" i="1"/>
  <c r="A12701" i="1"/>
  <c r="B12701" i="1"/>
  <c r="A12702" i="1"/>
  <c r="B12702" i="1"/>
  <c r="A12703" i="1"/>
  <c r="B12703" i="1"/>
  <c r="A12704" i="1"/>
  <c r="B12704" i="1"/>
  <c r="A12705" i="1"/>
  <c r="B12705" i="1"/>
  <c r="A12706" i="1"/>
  <c r="B12706" i="1"/>
  <c r="A12707" i="1"/>
  <c r="B12707" i="1"/>
  <c r="A12708" i="1"/>
  <c r="B12708" i="1"/>
  <c r="A12709" i="1"/>
  <c r="B12709" i="1"/>
  <c r="A12710" i="1"/>
  <c r="B12710" i="1"/>
  <c r="A12711" i="1"/>
  <c r="B12711" i="1"/>
  <c r="A12712" i="1"/>
  <c r="B12712" i="1"/>
  <c r="A12713" i="1"/>
  <c r="B12713" i="1"/>
  <c r="A12714" i="1"/>
  <c r="B12714" i="1"/>
  <c r="A12715" i="1"/>
  <c r="B12715" i="1"/>
  <c r="A12716" i="1"/>
  <c r="B12716" i="1"/>
  <c r="A12717" i="1"/>
  <c r="B12717" i="1"/>
  <c r="A12718" i="1"/>
  <c r="B12718" i="1"/>
  <c r="A12719" i="1"/>
  <c r="B12719" i="1"/>
  <c r="A12720" i="1"/>
  <c r="B12720" i="1"/>
  <c r="A12721" i="1"/>
  <c r="B12721" i="1"/>
  <c r="A12722" i="1"/>
  <c r="B12722" i="1"/>
  <c r="A12723" i="1"/>
  <c r="B12723" i="1"/>
  <c r="A12724" i="1"/>
  <c r="B12724" i="1"/>
  <c r="A12725" i="1"/>
  <c r="B12725" i="1"/>
  <c r="A12726" i="1"/>
  <c r="B12726" i="1"/>
  <c r="A12727" i="1"/>
  <c r="B12727" i="1"/>
  <c r="A12728" i="1"/>
  <c r="B12728" i="1"/>
  <c r="A12729" i="1"/>
  <c r="B12729" i="1"/>
  <c r="A12730" i="1"/>
  <c r="B12730" i="1"/>
  <c r="A12731" i="1"/>
  <c r="B12731" i="1"/>
  <c r="A12732" i="1"/>
  <c r="B12732" i="1"/>
  <c r="A12733" i="1"/>
  <c r="B12733" i="1"/>
  <c r="A12734" i="1"/>
  <c r="B12734" i="1"/>
  <c r="A12735" i="1"/>
  <c r="B12735" i="1"/>
  <c r="A12736" i="1"/>
  <c r="B12736" i="1"/>
  <c r="A12737" i="1"/>
  <c r="B12737" i="1"/>
  <c r="A12738" i="1"/>
  <c r="B12738" i="1"/>
  <c r="A12739" i="1"/>
  <c r="B12739" i="1"/>
  <c r="A12740" i="1"/>
  <c r="B12740" i="1"/>
  <c r="A12741" i="1"/>
  <c r="B12741" i="1"/>
  <c r="A12742" i="1"/>
  <c r="B12742" i="1"/>
  <c r="A12743" i="1"/>
  <c r="B12743" i="1"/>
  <c r="A12744" i="1"/>
  <c r="B12744" i="1"/>
  <c r="A12745" i="1"/>
  <c r="B12745" i="1"/>
  <c r="A12746" i="1"/>
  <c r="B12746" i="1"/>
  <c r="A12747" i="1"/>
  <c r="B12747" i="1"/>
  <c r="A12748" i="1"/>
  <c r="B12748" i="1"/>
  <c r="A12749" i="1"/>
  <c r="B12749" i="1"/>
  <c r="A12750" i="1"/>
  <c r="B12750" i="1"/>
  <c r="A12751" i="1"/>
  <c r="B12751" i="1"/>
  <c r="A12752" i="1"/>
  <c r="B12752" i="1"/>
  <c r="A12753" i="1"/>
  <c r="B12753" i="1"/>
  <c r="A12754" i="1"/>
  <c r="B12754" i="1"/>
  <c r="A12755" i="1"/>
  <c r="B12755" i="1"/>
  <c r="A12756" i="1"/>
  <c r="B12756" i="1"/>
  <c r="A12757" i="1"/>
  <c r="B12757" i="1"/>
  <c r="A12758" i="1"/>
  <c r="B12758" i="1"/>
  <c r="A12759" i="1"/>
  <c r="B12759" i="1"/>
  <c r="A12760" i="1"/>
  <c r="B12760" i="1"/>
  <c r="A12761" i="1"/>
  <c r="B12761" i="1"/>
  <c r="A12762" i="1"/>
  <c r="B12762" i="1"/>
  <c r="A12763" i="1"/>
  <c r="B12763" i="1"/>
  <c r="A12764" i="1"/>
  <c r="B12764" i="1"/>
  <c r="A12765" i="1"/>
  <c r="B12765" i="1"/>
  <c r="A12766" i="1"/>
  <c r="B12766" i="1"/>
  <c r="A12767" i="1"/>
  <c r="B12767" i="1"/>
  <c r="A12768" i="1"/>
  <c r="B12768" i="1"/>
  <c r="A12769" i="1"/>
  <c r="B12769" i="1"/>
  <c r="A12770" i="1"/>
  <c r="B12770" i="1"/>
  <c r="A12771" i="1"/>
  <c r="B12771" i="1"/>
  <c r="A12772" i="1"/>
  <c r="B12772" i="1"/>
  <c r="A12773" i="1"/>
  <c r="B12773" i="1"/>
  <c r="A12774" i="1"/>
  <c r="B12774" i="1"/>
  <c r="A12775" i="1"/>
  <c r="B12775" i="1"/>
  <c r="A12776" i="1"/>
  <c r="B12776" i="1"/>
  <c r="A12777" i="1"/>
  <c r="B12777" i="1"/>
  <c r="A12778" i="1"/>
  <c r="B12778" i="1"/>
  <c r="A12779" i="1"/>
  <c r="B12779" i="1"/>
  <c r="A12780" i="1"/>
  <c r="B12780" i="1"/>
  <c r="A12781" i="1"/>
  <c r="B12781" i="1"/>
  <c r="A12782" i="1"/>
  <c r="B12782" i="1"/>
  <c r="A12783" i="1"/>
  <c r="B12783" i="1"/>
  <c r="A12784" i="1"/>
  <c r="B12784" i="1"/>
  <c r="A12785" i="1"/>
  <c r="B12785" i="1"/>
  <c r="A12786" i="1"/>
  <c r="B12786" i="1"/>
  <c r="A12787" i="1"/>
  <c r="B12787" i="1"/>
  <c r="A12788" i="1"/>
  <c r="B12788" i="1"/>
  <c r="A12789" i="1"/>
  <c r="B12789" i="1"/>
  <c r="A12790" i="1"/>
  <c r="B12790" i="1"/>
  <c r="A12791" i="1"/>
  <c r="B12791" i="1"/>
  <c r="A12792" i="1"/>
  <c r="B12792" i="1"/>
  <c r="A12793" i="1"/>
  <c r="B12793" i="1"/>
  <c r="A12794" i="1"/>
  <c r="B12794" i="1"/>
  <c r="A12795" i="1"/>
  <c r="B12795" i="1"/>
  <c r="A12796" i="1"/>
  <c r="B12796" i="1"/>
  <c r="A12797" i="1"/>
  <c r="B12797" i="1"/>
  <c r="A12798" i="1"/>
  <c r="B12798" i="1"/>
  <c r="A12799" i="1"/>
  <c r="B12799" i="1"/>
  <c r="A12800" i="1"/>
  <c r="B12800" i="1"/>
  <c r="A12801" i="1"/>
  <c r="B12801" i="1"/>
  <c r="A12802" i="1"/>
  <c r="B12802" i="1"/>
  <c r="A12803" i="1"/>
  <c r="B12803" i="1"/>
  <c r="A12804" i="1"/>
  <c r="B12804" i="1"/>
  <c r="A12805" i="1"/>
  <c r="B12805" i="1"/>
  <c r="A12806" i="1"/>
  <c r="B12806" i="1"/>
  <c r="A12807" i="1"/>
  <c r="B12807" i="1"/>
  <c r="A12808" i="1"/>
  <c r="B12808" i="1"/>
  <c r="A12809" i="1"/>
  <c r="B12809" i="1"/>
  <c r="A12810" i="1"/>
  <c r="B12810" i="1"/>
  <c r="A12811" i="1"/>
  <c r="B12811" i="1"/>
  <c r="A12812" i="1"/>
  <c r="B12812" i="1"/>
  <c r="A12813" i="1"/>
  <c r="B12813" i="1"/>
  <c r="A12814" i="1"/>
  <c r="B12814" i="1"/>
  <c r="A12815" i="1"/>
  <c r="B12815" i="1"/>
  <c r="A12816" i="1"/>
  <c r="B12816" i="1"/>
  <c r="A12817" i="1"/>
  <c r="B12817" i="1"/>
  <c r="A12818" i="1"/>
  <c r="B12818" i="1"/>
  <c r="A12819" i="1"/>
  <c r="B12819" i="1"/>
  <c r="A12820" i="1"/>
  <c r="B12820" i="1"/>
  <c r="A12821" i="1"/>
  <c r="B12821" i="1"/>
  <c r="A12822" i="1"/>
  <c r="B12822" i="1"/>
  <c r="A12823" i="1"/>
  <c r="B12823" i="1"/>
  <c r="A12824" i="1"/>
  <c r="B12824" i="1"/>
  <c r="A12825" i="1"/>
  <c r="B12825" i="1"/>
  <c r="A12826" i="1"/>
  <c r="B12826" i="1"/>
  <c r="A12827" i="1"/>
  <c r="B12827" i="1"/>
  <c r="A12828" i="1"/>
  <c r="B12828" i="1"/>
  <c r="A12829" i="1"/>
  <c r="B12829" i="1"/>
  <c r="A12830" i="1"/>
  <c r="B12830" i="1"/>
  <c r="A12831" i="1"/>
  <c r="B12831" i="1"/>
  <c r="A12832" i="1"/>
  <c r="B12832" i="1"/>
  <c r="A12833" i="1"/>
  <c r="B12833" i="1"/>
  <c r="A12834" i="1"/>
  <c r="B12834" i="1"/>
  <c r="A12835" i="1"/>
  <c r="B12835" i="1"/>
  <c r="A12836" i="1"/>
  <c r="B12836" i="1"/>
  <c r="A12837" i="1"/>
  <c r="B12837" i="1"/>
  <c r="A12838" i="1"/>
  <c r="B12838" i="1"/>
  <c r="A12839" i="1"/>
  <c r="B12839" i="1"/>
  <c r="A12840" i="1"/>
  <c r="B12840" i="1"/>
  <c r="A12841" i="1"/>
  <c r="B12841" i="1"/>
  <c r="A12842" i="1"/>
  <c r="B12842" i="1"/>
  <c r="A12843" i="1"/>
  <c r="B12843" i="1"/>
  <c r="A12844" i="1"/>
  <c r="B12844" i="1"/>
  <c r="A12845" i="1"/>
  <c r="B12845" i="1"/>
  <c r="A12846" i="1"/>
  <c r="B12846" i="1"/>
  <c r="A12847" i="1"/>
  <c r="B12847" i="1"/>
  <c r="A12848" i="1"/>
  <c r="B12848" i="1"/>
  <c r="A12849" i="1"/>
  <c r="B12849" i="1"/>
  <c r="A12850" i="1"/>
  <c r="B12850" i="1"/>
  <c r="A12851" i="1"/>
  <c r="B12851" i="1"/>
  <c r="A12852" i="1"/>
  <c r="B12852" i="1"/>
  <c r="A12853" i="1"/>
  <c r="B12853" i="1"/>
  <c r="A12854" i="1"/>
  <c r="B12854" i="1"/>
  <c r="A12855" i="1"/>
  <c r="B12855" i="1"/>
  <c r="A12856" i="1"/>
  <c r="B12856" i="1"/>
  <c r="A12857" i="1"/>
  <c r="B12857" i="1"/>
  <c r="A12858" i="1"/>
  <c r="B12858" i="1"/>
  <c r="A12859" i="1"/>
  <c r="B12859" i="1"/>
  <c r="A12860" i="1"/>
  <c r="B12860" i="1"/>
  <c r="A12861" i="1"/>
  <c r="B12861" i="1"/>
  <c r="A12862" i="1"/>
  <c r="B12862" i="1"/>
  <c r="A12863" i="1"/>
  <c r="B12863" i="1"/>
  <c r="A12864" i="1"/>
  <c r="B12864" i="1"/>
  <c r="A12865" i="1"/>
  <c r="B12865" i="1"/>
  <c r="A12866" i="1"/>
  <c r="B12866" i="1"/>
  <c r="A12867" i="1"/>
  <c r="B12867" i="1"/>
  <c r="A12868" i="1"/>
  <c r="B12868" i="1"/>
  <c r="A12869" i="1"/>
  <c r="B12869" i="1"/>
  <c r="A12870" i="1"/>
  <c r="B12870" i="1"/>
  <c r="A12871" i="1"/>
  <c r="B12871" i="1"/>
  <c r="A12872" i="1"/>
  <c r="B12872" i="1"/>
  <c r="A12873" i="1"/>
  <c r="B12873" i="1"/>
  <c r="A12874" i="1"/>
  <c r="B12874" i="1"/>
  <c r="A12875" i="1"/>
  <c r="B12875" i="1"/>
  <c r="A12876" i="1"/>
  <c r="B12876" i="1"/>
  <c r="A12877" i="1"/>
  <c r="B12877" i="1"/>
  <c r="A12878" i="1"/>
  <c r="B12878" i="1"/>
  <c r="A12879" i="1"/>
  <c r="B12879" i="1"/>
  <c r="A12880" i="1"/>
  <c r="B12880" i="1"/>
  <c r="A12881" i="1"/>
  <c r="B12881" i="1"/>
  <c r="A12882" i="1"/>
  <c r="B12882" i="1"/>
  <c r="A12883" i="1"/>
  <c r="B12883" i="1"/>
  <c r="A12884" i="1"/>
  <c r="B12884" i="1"/>
  <c r="A12885" i="1"/>
  <c r="B12885" i="1"/>
  <c r="A12886" i="1"/>
  <c r="B12886" i="1"/>
  <c r="A12887" i="1"/>
  <c r="B12887" i="1"/>
  <c r="A12888" i="1"/>
  <c r="B12888" i="1"/>
  <c r="A12889" i="1"/>
  <c r="B12889" i="1"/>
  <c r="A12890" i="1"/>
  <c r="B12890" i="1"/>
  <c r="A12891" i="1"/>
  <c r="B12891" i="1"/>
  <c r="A12892" i="1"/>
  <c r="B12892" i="1"/>
  <c r="A12893" i="1"/>
  <c r="B12893" i="1"/>
  <c r="A12894" i="1"/>
  <c r="B12894" i="1"/>
  <c r="A12895" i="1"/>
  <c r="B12895" i="1"/>
  <c r="A12896" i="1"/>
  <c r="B12896" i="1"/>
  <c r="A12897" i="1"/>
  <c r="B12897" i="1"/>
  <c r="A12898" i="1"/>
  <c r="B12898" i="1"/>
  <c r="A12899" i="1"/>
  <c r="B12899" i="1"/>
  <c r="A12900" i="1"/>
  <c r="B12900" i="1"/>
  <c r="A12901" i="1"/>
  <c r="B12901" i="1"/>
  <c r="A12902" i="1"/>
  <c r="B12902" i="1"/>
  <c r="A12903" i="1"/>
  <c r="B12903" i="1"/>
  <c r="A12904" i="1"/>
  <c r="B12904" i="1"/>
  <c r="A12905" i="1"/>
  <c r="B12905" i="1"/>
  <c r="A12906" i="1"/>
  <c r="B12906" i="1"/>
  <c r="A12907" i="1"/>
  <c r="B12907" i="1"/>
  <c r="A12908" i="1"/>
  <c r="B12908" i="1"/>
  <c r="A12909" i="1"/>
  <c r="B12909" i="1"/>
  <c r="A12910" i="1"/>
  <c r="B12910" i="1"/>
  <c r="A12911" i="1"/>
  <c r="B12911" i="1"/>
  <c r="A12912" i="1"/>
  <c r="B12912" i="1"/>
  <c r="A12913" i="1"/>
  <c r="B12913" i="1"/>
  <c r="A12914" i="1"/>
  <c r="B12914" i="1"/>
  <c r="A12915" i="1"/>
  <c r="B12915" i="1"/>
  <c r="A12916" i="1"/>
  <c r="B12916" i="1"/>
  <c r="A12917" i="1"/>
  <c r="B12917" i="1"/>
  <c r="A12918" i="1"/>
  <c r="B12918" i="1"/>
  <c r="A12919" i="1"/>
  <c r="B12919" i="1"/>
  <c r="A12920" i="1"/>
  <c r="B12920" i="1"/>
  <c r="A12921" i="1"/>
  <c r="B12921" i="1"/>
  <c r="A12922" i="1"/>
  <c r="B12922" i="1"/>
  <c r="A12923" i="1"/>
  <c r="B12923" i="1"/>
  <c r="A12924" i="1"/>
  <c r="B12924" i="1"/>
  <c r="A12925" i="1"/>
  <c r="B12925" i="1"/>
  <c r="A12926" i="1"/>
  <c r="B12926" i="1"/>
  <c r="A12927" i="1"/>
  <c r="B12927" i="1"/>
  <c r="A12928" i="1"/>
  <c r="B12928" i="1"/>
  <c r="A12929" i="1"/>
  <c r="B12929" i="1"/>
  <c r="A12930" i="1"/>
  <c r="B12930" i="1"/>
  <c r="A12931" i="1"/>
  <c r="B12931" i="1"/>
  <c r="A12932" i="1"/>
  <c r="B12932" i="1"/>
  <c r="A12933" i="1"/>
  <c r="B12933" i="1"/>
  <c r="A12934" i="1"/>
  <c r="B12934" i="1"/>
  <c r="A12935" i="1"/>
  <c r="B12935" i="1"/>
  <c r="A12936" i="1"/>
  <c r="B12936" i="1"/>
  <c r="A12937" i="1"/>
  <c r="B12937" i="1"/>
  <c r="A12938" i="1"/>
  <c r="B12938" i="1"/>
  <c r="A12939" i="1"/>
  <c r="B12939" i="1"/>
  <c r="A12940" i="1"/>
  <c r="B12940" i="1"/>
  <c r="A12941" i="1"/>
  <c r="B12941" i="1"/>
  <c r="A12942" i="1"/>
  <c r="B12942" i="1"/>
  <c r="A12943" i="1"/>
  <c r="B12943" i="1"/>
  <c r="A12944" i="1"/>
  <c r="B12944" i="1"/>
  <c r="A12945" i="1"/>
  <c r="B12945" i="1"/>
  <c r="A12946" i="1"/>
  <c r="B12946" i="1"/>
  <c r="A12947" i="1"/>
  <c r="B12947" i="1"/>
  <c r="A12948" i="1"/>
  <c r="B12948" i="1"/>
  <c r="A12949" i="1"/>
  <c r="B12949" i="1"/>
  <c r="A12950" i="1"/>
  <c r="B12950" i="1"/>
  <c r="A12951" i="1"/>
  <c r="B12951" i="1"/>
  <c r="A12952" i="1"/>
  <c r="B12952" i="1"/>
  <c r="A12953" i="1"/>
  <c r="B12953" i="1"/>
  <c r="A12954" i="1"/>
  <c r="B12954" i="1"/>
  <c r="A12955" i="1"/>
  <c r="B12955" i="1"/>
  <c r="A12956" i="1"/>
  <c r="B12956" i="1"/>
  <c r="A12957" i="1"/>
  <c r="B12957" i="1"/>
  <c r="A12958" i="1"/>
  <c r="B12958" i="1"/>
  <c r="A12959" i="1"/>
  <c r="B12959" i="1"/>
  <c r="A12960" i="1"/>
  <c r="B12960" i="1"/>
  <c r="A12961" i="1"/>
  <c r="B12961" i="1"/>
  <c r="A12962" i="1"/>
  <c r="B12962" i="1"/>
  <c r="A12963" i="1"/>
  <c r="B12963" i="1"/>
  <c r="A12964" i="1"/>
  <c r="B12964" i="1"/>
  <c r="A12965" i="1"/>
  <c r="B12965" i="1"/>
  <c r="A12966" i="1"/>
  <c r="B12966" i="1"/>
  <c r="A12967" i="1"/>
  <c r="B12967" i="1"/>
  <c r="A12968" i="1"/>
  <c r="B12968" i="1"/>
  <c r="A12969" i="1"/>
  <c r="B12969" i="1"/>
  <c r="A12970" i="1"/>
  <c r="B12970" i="1"/>
  <c r="A12971" i="1"/>
  <c r="B12971" i="1"/>
  <c r="A12972" i="1"/>
  <c r="B12972" i="1"/>
  <c r="A12973" i="1"/>
  <c r="B12973" i="1"/>
  <c r="A12974" i="1"/>
  <c r="B12974" i="1"/>
  <c r="A12975" i="1"/>
  <c r="B12975" i="1"/>
  <c r="A12976" i="1"/>
  <c r="B12976" i="1"/>
  <c r="A12977" i="1"/>
  <c r="B12977" i="1"/>
  <c r="A12978" i="1"/>
  <c r="B12978" i="1"/>
  <c r="A12979" i="1"/>
  <c r="B12979" i="1"/>
  <c r="A12980" i="1"/>
  <c r="B12980" i="1"/>
  <c r="A12981" i="1"/>
  <c r="B12981" i="1"/>
  <c r="A12982" i="1"/>
  <c r="B12982" i="1"/>
  <c r="A12983" i="1"/>
  <c r="B12983" i="1"/>
  <c r="A12984" i="1"/>
  <c r="B12984" i="1"/>
  <c r="A12985" i="1"/>
  <c r="B12985" i="1"/>
  <c r="A12986" i="1"/>
  <c r="B12986" i="1"/>
  <c r="A12987" i="1"/>
  <c r="B12987" i="1"/>
  <c r="A12988" i="1"/>
  <c r="B12988" i="1"/>
  <c r="A12989" i="1"/>
  <c r="B12989" i="1"/>
  <c r="A12990" i="1"/>
  <c r="B12990" i="1"/>
  <c r="A12991" i="1"/>
  <c r="B12991" i="1"/>
  <c r="A12992" i="1"/>
  <c r="B12992" i="1"/>
  <c r="A12993" i="1"/>
  <c r="B12993" i="1"/>
  <c r="A12994" i="1"/>
  <c r="B12994" i="1"/>
  <c r="A12995" i="1"/>
  <c r="B12995" i="1"/>
  <c r="A12996" i="1"/>
  <c r="B12996" i="1"/>
  <c r="A12997" i="1"/>
  <c r="B12997" i="1"/>
  <c r="A12998" i="1"/>
  <c r="B12998" i="1"/>
  <c r="A12999" i="1"/>
  <c r="B12999" i="1"/>
  <c r="A13000" i="1"/>
  <c r="B13000" i="1"/>
  <c r="A13001" i="1"/>
  <c r="B13001" i="1"/>
  <c r="A13002" i="1"/>
  <c r="B13002" i="1"/>
  <c r="A13003" i="1"/>
  <c r="B13003" i="1"/>
  <c r="A13004" i="1"/>
  <c r="B13004" i="1"/>
  <c r="A13005" i="1"/>
  <c r="B13005" i="1"/>
  <c r="A13006" i="1"/>
  <c r="B13006" i="1"/>
  <c r="A13007" i="1"/>
  <c r="B13007" i="1"/>
  <c r="A13008" i="1"/>
  <c r="B13008" i="1"/>
  <c r="A13009" i="1"/>
  <c r="B13009" i="1"/>
  <c r="A13010" i="1"/>
  <c r="B13010" i="1"/>
  <c r="A13011" i="1"/>
  <c r="B13011" i="1"/>
  <c r="A13012" i="1"/>
  <c r="B13012" i="1"/>
  <c r="A13013" i="1"/>
  <c r="B13013" i="1"/>
  <c r="A13014" i="1"/>
  <c r="B13014" i="1"/>
  <c r="A13015" i="1"/>
  <c r="B13015" i="1"/>
  <c r="A13016" i="1"/>
  <c r="B13016" i="1"/>
  <c r="A13017" i="1"/>
  <c r="B13017" i="1"/>
  <c r="A13018" i="1"/>
  <c r="B13018" i="1"/>
  <c r="A13019" i="1"/>
  <c r="B13019" i="1"/>
  <c r="A13020" i="1"/>
  <c r="B13020" i="1"/>
  <c r="A13021" i="1"/>
  <c r="B13021" i="1"/>
  <c r="A13022" i="1"/>
  <c r="B13022" i="1"/>
  <c r="A13023" i="1"/>
  <c r="B13023" i="1"/>
  <c r="A13024" i="1"/>
  <c r="B13024" i="1"/>
  <c r="A13025" i="1"/>
  <c r="B13025" i="1"/>
  <c r="A13026" i="1"/>
  <c r="B13026" i="1"/>
  <c r="A13027" i="1"/>
  <c r="B13027" i="1"/>
  <c r="A13028" i="1"/>
  <c r="B13028" i="1"/>
  <c r="A13029" i="1"/>
  <c r="B13029" i="1"/>
  <c r="A13030" i="1"/>
  <c r="B13030" i="1"/>
  <c r="A13031" i="1"/>
  <c r="B13031" i="1"/>
  <c r="A13032" i="1"/>
  <c r="B13032" i="1"/>
  <c r="A13033" i="1"/>
  <c r="B13033" i="1"/>
  <c r="A13034" i="1"/>
  <c r="B13034" i="1"/>
  <c r="A13035" i="1"/>
  <c r="B13035" i="1"/>
  <c r="A13036" i="1"/>
  <c r="B13036" i="1"/>
  <c r="A13037" i="1"/>
  <c r="B13037" i="1"/>
  <c r="A13038" i="1"/>
  <c r="B13038" i="1"/>
  <c r="A13039" i="1"/>
  <c r="B13039" i="1"/>
  <c r="A13040" i="1"/>
  <c r="B13040" i="1"/>
  <c r="A13041" i="1"/>
  <c r="B13041" i="1"/>
  <c r="A13042" i="1"/>
  <c r="B13042" i="1"/>
  <c r="A13043" i="1"/>
  <c r="B13043" i="1"/>
  <c r="A13044" i="1"/>
  <c r="B13044" i="1"/>
  <c r="A13045" i="1"/>
  <c r="B13045" i="1"/>
  <c r="A13046" i="1"/>
  <c r="B13046" i="1"/>
  <c r="A13047" i="1"/>
  <c r="B13047" i="1"/>
  <c r="A13048" i="1"/>
  <c r="B13048" i="1"/>
  <c r="A13049" i="1"/>
  <c r="B13049" i="1"/>
  <c r="A13050" i="1"/>
  <c r="B13050" i="1"/>
  <c r="A13051" i="1"/>
  <c r="B13051" i="1"/>
  <c r="A13052" i="1"/>
  <c r="B13052" i="1"/>
  <c r="A13053" i="1"/>
  <c r="B13053" i="1"/>
  <c r="A13054" i="1"/>
  <c r="B13054" i="1"/>
  <c r="A13055" i="1"/>
  <c r="B13055" i="1"/>
  <c r="A13056" i="1"/>
  <c r="B13056" i="1"/>
  <c r="A13057" i="1"/>
  <c r="B13057" i="1"/>
  <c r="A13058" i="1"/>
  <c r="B13058" i="1"/>
  <c r="A13059" i="1"/>
  <c r="B13059" i="1"/>
  <c r="A13060" i="1"/>
  <c r="B13060" i="1"/>
  <c r="A13061" i="1"/>
  <c r="B13061" i="1"/>
  <c r="A13062" i="1"/>
  <c r="B13062" i="1"/>
  <c r="A13063" i="1"/>
  <c r="B13063" i="1"/>
  <c r="A13064" i="1"/>
  <c r="B13064" i="1"/>
  <c r="A13065" i="1"/>
  <c r="B13065" i="1"/>
  <c r="A13066" i="1"/>
  <c r="B13066" i="1"/>
  <c r="A13067" i="1"/>
  <c r="B13067" i="1"/>
  <c r="A13068" i="1"/>
  <c r="B13068" i="1"/>
  <c r="A13069" i="1"/>
  <c r="B13069" i="1"/>
  <c r="A13070" i="1"/>
  <c r="B13070" i="1"/>
  <c r="A13071" i="1"/>
  <c r="B13071" i="1"/>
  <c r="A13072" i="1"/>
  <c r="B13072" i="1"/>
  <c r="A13073" i="1"/>
  <c r="B13073" i="1"/>
  <c r="A13074" i="1"/>
  <c r="B13074" i="1"/>
  <c r="A13075" i="1"/>
  <c r="B13075" i="1"/>
  <c r="A13076" i="1"/>
  <c r="B13076" i="1"/>
  <c r="A13077" i="1"/>
  <c r="B13077" i="1"/>
  <c r="A13078" i="1"/>
  <c r="B13078" i="1"/>
  <c r="A13079" i="1"/>
  <c r="B13079" i="1"/>
  <c r="A13080" i="1"/>
  <c r="B13080" i="1"/>
  <c r="A13081" i="1"/>
  <c r="B13081" i="1"/>
  <c r="A13082" i="1"/>
  <c r="B13082" i="1"/>
  <c r="A13083" i="1"/>
  <c r="B13083" i="1"/>
  <c r="A13084" i="1"/>
  <c r="B13084" i="1"/>
  <c r="A13085" i="1"/>
  <c r="B13085" i="1"/>
  <c r="A13086" i="1"/>
  <c r="B13086" i="1"/>
  <c r="A13087" i="1"/>
  <c r="B13087" i="1"/>
  <c r="A13088" i="1"/>
  <c r="B13088" i="1"/>
  <c r="A13089" i="1"/>
  <c r="B13089" i="1"/>
  <c r="A13090" i="1"/>
  <c r="B13090" i="1"/>
  <c r="A13091" i="1"/>
  <c r="B13091" i="1"/>
  <c r="A13092" i="1"/>
  <c r="B13092" i="1"/>
  <c r="A13093" i="1"/>
  <c r="B13093" i="1"/>
  <c r="A13094" i="1"/>
  <c r="B13094" i="1"/>
  <c r="A13095" i="1"/>
  <c r="B13095" i="1"/>
  <c r="A13096" i="1"/>
  <c r="B13096" i="1"/>
  <c r="A13097" i="1"/>
  <c r="B13097" i="1"/>
  <c r="A13098" i="1"/>
  <c r="B13098" i="1"/>
  <c r="A13099" i="1"/>
  <c r="B13099" i="1"/>
  <c r="A13100" i="1"/>
  <c r="B13100" i="1"/>
  <c r="A13101" i="1"/>
  <c r="B13101" i="1"/>
  <c r="A13102" i="1"/>
  <c r="B13102" i="1"/>
  <c r="A13103" i="1"/>
  <c r="B13103" i="1"/>
  <c r="A13104" i="1"/>
  <c r="B13104" i="1"/>
  <c r="A13105" i="1"/>
  <c r="B13105" i="1"/>
  <c r="A13106" i="1"/>
  <c r="B13106" i="1"/>
  <c r="A13107" i="1"/>
  <c r="B13107" i="1"/>
  <c r="A13108" i="1"/>
  <c r="B13108" i="1"/>
  <c r="A13109" i="1"/>
  <c r="B13109" i="1"/>
  <c r="A13110" i="1"/>
  <c r="B13110" i="1"/>
  <c r="A13111" i="1"/>
  <c r="B13111" i="1"/>
  <c r="A13112" i="1"/>
  <c r="B13112" i="1"/>
  <c r="A13113" i="1"/>
  <c r="B13113" i="1"/>
  <c r="A13114" i="1"/>
  <c r="B13114" i="1"/>
  <c r="A13115" i="1"/>
  <c r="B13115" i="1"/>
  <c r="A13116" i="1"/>
  <c r="B13116" i="1"/>
  <c r="A13117" i="1"/>
  <c r="B13117" i="1"/>
  <c r="A13118" i="1"/>
  <c r="B13118" i="1"/>
  <c r="A13119" i="1"/>
  <c r="B13119" i="1"/>
  <c r="A13120" i="1"/>
  <c r="B13120" i="1"/>
  <c r="A13121" i="1"/>
  <c r="B13121" i="1"/>
  <c r="A13122" i="1"/>
  <c r="B13122" i="1"/>
  <c r="A13123" i="1"/>
  <c r="B13123" i="1"/>
  <c r="A13124" i="1"/>
  <c r="B13124" i="1"/>
  <c r="A13125" i="1"/>
  <c r="B13125" i="1"/>
  <c r="A13126" i="1"/>
  <c r="B13126" i="1"/>
  <c r="A13127" i="1"/>
  <c r="B13127" i="1"/>
  <c r="A13128" i="1"/>
  <c r="B13128" i="1"/>
  <c r="A13129" i="1"/>
  <c r="B13129" i="1"/>
  <c r="A13130" i="1"/>
  <c r="B13130" i="1"/>
  <c r="A13131" i="1"/>
  <c r="B13131" i="1"/>
  <c r="A13132" i="1"/>
  <c r="B13132" i="1"/>
  <c r="A13133" i="1"/>
  <c r="B13133" i="1"/>
  <c r="A13134" i="1"/>
  <c r="B13134" i="1"/>
  <c r="A13135" i="1"/>
  <c r="B13135" i="1"/>
  <c r="A13136" i="1"/>
  <c r="B13136" i="1"/>
  <c r="A13137" i="1"/>
  <c r="B13137" i="1"/>
  <c r="A13138" i="1"/>
  <c r="B13138" i="1"/>
  <c r="A13139" i="1"/>
  <c r="B13139" i="1"/>
  <c r="A13140" i="1"/>
  <c r="B13140" i="1"/>
  <c r="A13141" i="1"/>
  <c r="B13141" i="1"/>
  <c r="A13142" i="1"/>
  <c r="B13142" i="1"/>
  <c r="A13143" i="1"/>
  <c r="B13143" i="1"/>
  <c r="A13144" i="1"/>
  <c r="B13144" i="1"/>
  <c r="A13145" i="1"/>
  <c r="B13145" i="1"/>
  <c r="A13146" i="1"/>
  <c r="B13146" i="1"/>
  <c r="A13147" i="1"/>
  <c r="B13147" i="1"/>
  <c r="A13148" i="1"/>
  <c r="B13148" i="1"/>
  <c r="A13149" i="1"/>
  <c r="B13149" i="1"/>
  <c r="A13150" i="1"/>
  <c r="B13150" i="1"/>
  <c r="A13151" i="1"/>
  <c r="B13151" i="1"/>
  <c r="A13152" i="1"/>
  <c r="B13152" i="1"/>
  <c r="A13153" i="1"/>
  <c r="B13153" i="1"/>
  <c r="A13154" i="1"/>
  <c r="B13154" i="1"/>
  <c r="A13155" i="1"/>
  <c r="B13155" i="1"/>
  <c r="A13156" i="1"/>
  <c r="B13156" i="1"/>
  <c r="A13157" i="1"/>
  <c r="B13157" i="1"/>
  <c r="A13158" i="1"/>
  <c r="B13158" i="1"/>
  <c r="A13159" i="1"/>
  <c r="B13159" i="1"/>
  <c r="A13160" i="1"/>
  <c r="B13160" i="1"/>
  <c r="A13161" i="1"/>
  <c r="B13161" i="1"/>
  <c r="A13162" i="1"/>
  <c r="B13162" i="1"/>
  <c r="A13163" i="1"/>
  <c r="B13163" i="1"/>
  <c r="A13164" i="1"/>
  <c r="B13164" i="1"/>
  <c r="A13165" i="1"/>
  <c r="B13165" i="1"/>
  <c r="A13166" i="1"/>
  <c r="B13166" i="1"/>
  <c r="A13167" i="1"/>
  <c r="B13167" i="1"/>
  <c r="A13168" i="1"/>
  <c r="B13168" i="1"/>
  <c r="A13169" i="1"/>
  <c r="B13169" i="1"/>
  <c r="A13170" i="1"/>
  <c r="B13170" i="1"/>
  <c r="A13171" i="1"/>
  <c r="B13171" i="1"/>
  <c r="A13172" i="1"/>
  <c r="B13172" i="1"/>
  <c r="A13173" i="1"/>
  <c r="B13173" i="1"/>
  <c r="A13174" i="1"/>
  <c r="B13174" i="1"/>
  <c r="A13175" i="1"/>
  <c r="B13175" i="1"/>
  <c r="A13176" i="1"/>
  <c r="B13176" i="1"/>
  <c r="A13177" i="1"/>
  <c r="B13177" i="1"/>
  <c r="A13178" i="1"/>
  <c r="B13178" i="1"/>
  <c r="A13179" i="1"/>
  <c r="B13179" i="1"/>
  <c r="A13180" i="1"/>
  <c r="B13180" i="1"/>
  <c r="A13181" i="1"/>
  <c r="B13181" i="1"/>
  <c r="A13182" i="1"/>
  <c r="B13182" i="1"/>
  <c r="A13183" i="1"/>
  <c r="B13183" i="1"/>
  <c r="A13184" i="1"/>
  <c r="B13184" i="1"/>
  <c r="A13185" i="1"/>
  <c r="B13185" i="1"/>
  <c r="A13186" i="1"/>
  <c r="B13186" i="1"/>
  <c r="A13187" i="1"/>
  <c r="B13187" i="1"/>
  <c r="A13188" i="1"/>
  <c r="B13188" i="1"/>
  <c r="A13189" i="1"/>
  <c r="B13189" i="1"/>
  <c r="A13190" i="1"/>
  <c r="B13190" i="1"/>
  <c r="A13191" i="1"/>
  <c r="B13191" i="1"/>
  <c r="A13192" i="1"/>
  <c r="B13192" i="1"/>
  <c r="A13193" i="1"/>
  <c r="B13193" i="1"/>
  <c r="A13194" i="1"/>
  <c r="B13194" i="1"/>
  <c r="A13195" i="1"/>
  <c r="B13195" i="1"/>
  <c r="A13196" i="1"/>
  <c r="B13196" i="1"/>
  <c r="A13197" i="1"/>
  <c r="B13197" i="1"/>
  <c r="A13198" i="1"/>
  <c r="B13198" i="1"/>
  <c r="A13199" i="1"/>
  <c r="B13199" i="1"/>
  <c r="A13200" i="1"/>
  <c r="B13200" i="1"/>
  <c r="A13201" i="1"/>
  <c r="B13201" i="1"/>
  <c r="A13202" i="1"/>
  <c r="B13202" i="1"/>
  <c r="A13203" i="1"/>
  <c r="B13203" i="1"/>
  <c r="A13204" i="1"/>
  <c r="B13204" i="1"/>
  <c r="A13205" i="1"/>
  <c r="B13205" i="1"/>
  <c r="A13206" i="1"/>
  <c r="B13206" i="1"/>
  <c r="A13207" i="1"/>
  <c r="B13207" i="1"/>
  <c r="A13208" i="1"/>
  <c r="B13208" i="1"/>
  <c r="A13209" i="1"/>
  <c r="B13209" i="1"/>
  <c r="A13210" i="1"/>
  <c r="B13210" i="1"/>
  <c r="A13211" i="1"/>
  <c r="B13211" i="1"/>
  <c r="A13212" i="1"/>
  <c r="B13212" i="1"/>
  <c r="A13213" i="1"/>
  <c r="B13213" i="1"/>
  <c r="A13214" i="1"/>
  <c r="B13214" i="1"/>
  <c r="A13215" i="1"/>
  <c r="B13215" i="1"/>
  <c r="A13216" i="1"/>
  <c r="B13216" i="1"/>
  <c r="A13217" i="1"/>
  <c r="B13217" i="1"/>
  <c r="A13218" i="1"/>
  <c r="B13218" i="1"/>
  <c r="A13219" i="1"/>
  <c r="B13219" i="1"/>
  <c r="A13220" i="1"/>
  <c r="B13220" i="1"/>
  <c r="A13221" i="1"/>
  <c r="B13221" i="1"/>
  <c r="A13222" i="1"/>
  <c r="B13222" i="1"/>
  <c r="A13223" i="1"/>
  <c r="B13223" i="1"/>
  <c r="A13224" i="1"/>
  <c r="B13224" i="1"/>
  <c r="A13225" i="1"/>
  <c r="B13225" i="1"/>
  <c r="A13226" i="1"/>
  <c r="B13226" i="1"/>
  <c r="A13227" i="1"/>
  <c r="B13227" i="1"/>
  <c r="A13228" i="1"/>
  <c r="B13228" i="1"/>
  <c r="A13229" i="1"/>
  <c r="B13229" i="1"/>
  <c r="A13230" i="1"/>
  <c r="B13230" i="1"/>
  <c r="A13231" i="1"/>
  <c r="B13231" i="1"/>
  <c r="A13232" i="1"/>
  <c r="B13232" i="1"/>
  <c r="A13233" i="1"/>
  <c r="B13233" i="1"/>
  <c r="A13234" i="1"/>
  <c r="B13234" i="1"/>
  <c r="A13235" i="1"/>
  <c r="B13235" i="1"/>
  <c r="A13236" i="1"/>
  <c r="B13236" i="1"/>
  <c r="A13237" i="1"/>
  <c r="B13237" i="1"/>
  <c r="A13238" i="1"/>
  <c r="B13238" i="1"/>
  <c r="A13239" i="1"/>
  <c r="B13239" i="1"/>
  <c r="A13240" i="1"/>
  <c r="B13240" i="1"/>
  <c r="A13241" i="1"/>
  <c r="B13241" i="1"/>
  <c r="A13242" i="1"/>
  <c r="B13242" i="1"/>
  <c r="A13243" i="1"/>
  <c r="B13243" i="1"/>
  <c r="A13244" i="1"/>
  <c r="B13244" i="1"/>
  <c r="A13245" i="1"/>
  <c r="B13245" i="1"/>
  <c r="A13246" i="1"/>
  <c r="B13246" i="1"/>
  <c r="A13247" i="1"/>
  <c r="B13247" i="1"/>
  <c r="A13248" i="1"/>
  <c r="B13248" i="1"/>
  <c r="A13249" i="1"/>
  <c r="B13249" i="1"/>
  <c r="A13250" i="1"/>
  <c r="B13250" i="1"/>
  <c r="A13251" i="1"/>
  <c r="B13251" i="1"/>
  <c r="A13252" i="1"/>
  <c r="B13252" i="1"/>
  <c r="A13253" i="1"/>
  <c r="B13253" i="1"/>
  <c r="A13254" i="1"/>
  <c r="B13254" i="1"/>
  <c r="A13255" i="1"/>
  <c r="B13255" i="1"/>
  <c r="A13256" i="1"/>
  <c r="B13256" i="1"/>
  <c r="A13257" i="1"/>
  <c r="B13257" i="1"/>
  <c r="A13258" i="1"/>
  <c r="B13258" i="1"/>
  <c r="A13259" i="1"/>
  <c r="B13259" i="1"/>
  <c r="A13260" i="1"/>
  <c r="B13260" i="1"/>
  <c r="A13261" i="1"/>
  <c r="B13261" i="1"/>
  <c r="A13262" i="1"/>
  <c r="B13262" i="1"/>
  <c r="A13263" i="1"/>
  <c r="B13263" i="1"/>
  <c r="A13264" i="1"/>
  <c r="B13264" i="1"/>
  <c r="A13265" i="1"/>
  <c r="B13265" i="1"/>
  <c r="A13266" i="1"/>
  <c r="B13266" i="1"/>
  <c r="A13267" i="1"/>
  <c r="B13267" i="1"/>
  <c r="A13268" i="1"/>
  <c r="B13268" i="1"/>
  <c r="A13269" i="1"/>
  <c r="B13269" i="1"/>
  <c r="A13270" i="1"/>
  <c r="B13270" i="1"/>
  <c r="A13271" i="1"/>
  <c r="B13271" i="1"/>
  <c r="A13272" i="1"/>
  <c r="B13272" i="1"/>
  <c r="A13273" i="1"/>
  <c r="B13273" i="1"/>
  <c r="A13274" i="1"/>
  <c r="B13274" i="1"/>
  <c r="A13275" i="1"/>
  <c r="B13275" i="1"/>
  <c r="A13276" i="1"/>
  <c r="B13276" i="1"/>
  <c r="A13277" i="1"/>
  <c r="B13277" i="1"/>
  <c r="A13278" i="1"/>
  <c r="B13278" i="1"/>
  <c r="A13279" i="1"/>
  <c r="B13279" i="1"/>
  <c r="A13280" i="1"/>
  <c r="B13280" i="1"/>
  <c r="A13281" i="1"/>
  <c r="B13281" i="1"/>
  <c r="A13282" i="1"/>
  <c r="B13282" i="1"/>
  <c r="A13283" i="1"/>
  <c r="B13283" i="1"/>
  <c r="A13284" i="1"/>
  <c r="B13284" i="1"/>
  <c r="A13285" i="1"/>
  <c r="B13285" i="1"/>
  <c r="A13286" i="1"/>
  <c r="B13286" i="1"/>
  <c r="A13287" i="1"/>
  <c r="B13287" i="1"/>
  <c r="A13288" i="1"/>
  <c r="B13288" i="1"/>
  <c r="A13289" i="1"/>
  <c r="B13289" i="1"/>
  <c r="A13290" i="1"/>
  <c r="B13290" i="1"/>
  <c r="A13291" i="1"/>
  <c r="B13291" i="1"/>
  <c r="A13292" i="1"/>
  <c r="B13292" i="1"/>
  <c r="A13293" i="1"/>
  <c r="B13293" i="1"/>
  <c r="A13294" i="1"/>
  <c r="B13294" i="1"/>
  <c r="A13295" i="1"/>
  <c r="B13295" i="1"/>
  <c r="A13296" i="1"/>
  <c r="B13296" i="1"/>
  <c r="A13297" i="1"/>
  <c r="B13297" i="1"/>
  <c r="A13298" i="1"/>
  <c r="B13298" i="1"/>
  <c r="A13299" i="1"/>
  <c r="B13299" i="1"/>
  <c r="A13300" i="1"/>
  <c r="B13300" i="1"/>
  <c r="A13301" i="1"/>
  <c r="B13301" i="1"/>
  <c r="A13302" i="1"/>
  <c r="B13302" i="1"/>
  <c r="A13303" i="1"/>
  <c r="B13303" i="1"/>
  <c r="A13304" i="1"/>
  <c r="B13304" i="1"/>
  <c r="A13305" i="1"/>
  <c r="B13305" i="1"/>
  <c r="A13306" i="1"/>
  <c r="B13306" i="1"/>
  <c r="A13307" i="1"/>
  <c r="B13307" i="1"/>
  <c r="A13308" i="1"/>
  <c r="B13308" i="1"/>
  <c r="A13309" i="1"/>
  <c r="B13309" i="1"/>
  <c r="A13310" i="1"/>
  <c r="B13310" i="1"/>
  <c r="A13311" i="1"/>
  <c r="B13311" i="1"/>
  <c r="A13312" i="1"/>
  <c r="B13312" i="1"/>
  <c r="A13313" i="1"/>
  <c r="B13313" i="1"/>
  <c r="A13314" i="1"/>
  <c r="B13314" i="1"/>
  <c r="A13315" i="1"/>
  <c r="B13315" i="1"/>
  <c r="A13316" i="1"/>
  <c r="B13316" i="1"/>
  <c r="A13317" i="1"/>
  <c r="B13317" i="1"/>
  <c r="A13318" i="1"/>
  <c r="B13318" i="1"/>
  <c r="A13319" i="1"/>
  <c r="B13319" i="1"/>
  <c r="A13320" i="1"/>
  <c r="B13320" i="1"/>
  <c r="A13321" i="1"/>
  <c r="B13321" i="1"/>
  <c r="A13322" i="1"/>
  <c r="B13322" i="1"/>
  <c r="A13323" i="1"/>
  <c r="B13323" i="1"/>
  <c r="A13324" i="1"/>
  <c r="B13324" i="1"/>
  <c r="A13325" i="1"/>
  <c r="B13325" i="1"/>
  <c r="A13326" i="1"/>
  <c r="B13326" i="1"/>
  <c r="A13327" i="1"/>
  <c r="B13327" i="1"/>
  <c r="A13328" i="1"/>
  <c r="B13328" i="1"/>
  <c r="A13329" i="1"/>
  <c r="B13329" i="1"/>
  <c r="A13330" i="1"/>
  <c r="B13330" i="1"/>
  <c r="A13331" i="1"/>
  <c r="B13331" i="1"/>
  <c r="A13332" i="1"/>
  <c r="B13332" i="1"/>
  <c r="A13333" i="1"/>
  <c r="B13333" i="1"/>
  <c r="A13334" i="1"/>
  <c r="B13334" i="1"/>
  <c r="A13335" i="1"/>
  <c r="B13335" i="1"/>
  <c r="A13336" i="1"/>
  <c r="B13336" i="1"/>
  <c r="A13337" i="1"/>
  <c r="B13337" i="1"/>
  <c r="A13338" i="1"/>
  <c r="B13338" i="1"/>
  <c r="A13339" i="1"/>
  <c r="B13339" i="1"/>
  <c r="A13340" i="1"/>
  <c r="B13340" i="1"/>
  <c r="A13341" i="1"/>
  <c r="B13341" i="1"/>
  <c r="A13342" i="1"/>
  <c r="B13342" i="1"/>
  <c r="A13343" i="1"/>
  <c r="B13343" i="1"/>
  <c r="A13344" i="1"/>
  <c r="B13344" i="1"/>
  <c r="A13345" i="1"/>
  <c r="B13345" i="1"/>
  <c r="A13346" i="1"/>
  <c r="B13346" i="1"/>
  <c r="A13347" i="1"/>
  <c r="B13347" i="1"/>
  <c r="A13348" i="1"/>
  <c r="B13348" i="1"/>
  <c r="A13349" i="1"/>
  <c r="B13349" i="1"/>
  <c r="A13350" i="1"/>
  <c r="B13350" i="1"/>
  <c r="A13351" i="1"/>
  <c r="B13351" i="1"/>
  <c r="A13352" i="1"/>
  <c r="B13352" i="1"/>
  <c r="A13353" i="1"/>
  <c r="B13353" i="1"/>
  <c r="A13354" i="1"/>
  <c r="B13354" i="1"/>
  <c r="A13355" i="1"/>
  <c r="B13355" i="1"/>
  <c r="A13356" i="1"/>
  <c r="B13356" i="1"/>
  <c r="A13357" i="1"/>
  <c r="B13357" i="1"/>
  <c r="A13358" i="1"/>
  <c r="B13358" i="1"/>
  <c r="A13359" i="1"/>
  <c r="B13359" i="1"/>
  <c r="A13360" i="1"/>
  <c r="B13360" i="1"/>
  <c r="A13361" i="1"/>
  <c r="B13361" i="1"/>
  <c r="A13362" i="1"/>
  <c r="B13362" i="1"/>
  <c r="A13363" i="1"/>
  <c r="B13363" i="1"/>
  <c r="A13364" i="1"/>
  <c r="B13364" i="1"/>
  <c r="A13365" i="1"/>
  <c r="B13365" i="1"/>
  <c r="A13366" i="1"/>
  <c r="B13366" i="1"/>
  <c r="A13367" i="1"/>
  <c r="B13367" i="1"/>
  <c r="A13368" i="1"/>
  <c r="B13368" i="1"/>
  <c r="A13369" i="1"/>
  <c r="B13369" i="1"/>
  <c r="A13370" i="1"/>
  <c r="B13370" i="1"/>
  <c r="A13371" i="1"/>
  <c r="B13371" i="1"/>
  <c r="A13372" i="1"/>
  <c r="B13372" i="1"/>
  <c r="A13373" i="1"/>
  <c r="B13373" i="1"/>
  <c r="A13374" i="1"/>
  <c r="B13374" i="1"/>
  <c r="A13375" i="1"/>
  <c r="B13375" i="1"/>
  <c r="A13376" i="1"/>
  <c r="B13376" i="1"/>
  <c r="A13377" i="1"/>
  <c r="B13377" i="1"/>
  <c r="A13378" i="1"/>
  <c r="B13378" i="1"/>
  <c r="A13379" i="1"/>
  <c r="B13379" i="1"/>
  <c r="A13380" i="1"/>
  <c r="B13380" i="1"/>
  <c r="A13381" i="1"/>
  <c r="B13381" i="1"/>
  <c r="A13382" i="1"/>
  <c r="B13382" i="1"/>
  <c r="A13383" i="1"/>
  <c r="B13383" i="1"/>
  <c r="A13384" i="1"/>
  <c r="B13384" i="1"/>
  <c r="A13385" i="1"/>
  <c r="B13385" i="1"/>
  <c r="A13386" i="1"/>
  <c r="B13386" i="1"/>
  <c r="A13387" i="1"/>
  <c r="B13387" i="1"/>
  <c r="A13388" i="1"/>
  <c r="B13388" i="1"/>
  <c r="A13389" i="1"/>
  <c r="B13389" i="1"/>
  <c r="A13390" i="1"/>
  <c r="B13390" i="1"/>
  <c r="A13391" i="1"/>
  <c r="B13391" i="1"/>
  <c r="A13392" i="1"/>
  <c r="B13392" i="1"/>
  <c r="A13393" i="1"/>
  <c r="B13393" i="1"/>
  <c r="A13394" i="1"/>
  <c r="B13394" i="1"/>
  <c r="A13395" i="1"/>
  <c r="B13395" i="1"/>
  <c r="A13396" i="1"/>
  <c r="B13396" i="1"/>
  <c r="A13397" i="1"/>
  <c r="B13397" i="1"/>
  <c r="A13398" i="1"/>
  <c r="B13398" i="1"/>
  <c r="A13399" i="1"/>
  <c r="B13399" i="1"/>
  <c r="A13400" i="1"/>
  <c r="B13400" i="1"/>
  <c r="A13401" i="1"/>
  <c r="B13401" i="1"/>
  <c r="A13402" i="1"/>
  <c r="B13402" i="1"/>
  <c r="A13403" i="1"/>
  <c r="B13403" i="1"/>
  <c r="A13404" i="1"/>
  <c r="B13404" i="1"/>
  <c r="A13405" i="1"/>
  <c r="B13405" i="1"/>
  <c r="A13406" i="1"/>
  <c r="B13406" i="1"/>
  <c r="A13407" i="1"/>
  <c r="B13407" i="1"/>
  <c r="A13408" i="1"/>
  <c r="B13408" i="1"/>
  <c r="A13409" i="1"/>
  <c r="B13409" i="1"/>
  <c r="A13410" i="1"/>
  <c r="B13410" i="1"/>
  <c r="A13411" i="1"/>
  <c r="B13411" i="1"/>
  <c r="A13412" i="1"/>
  <c r="B13412" i="1"/>
  <c r="A13413" i="1"/>
  <c r="B13413" i="1"/>
  <c r="A13414" i="1"/>
  <c r="B13414" i="1"/>
  <c r="A13415" i="1"/>
  <c r="B13415" i="1"/>
  <c r="A13416" i="1"/>
  <c r="B13416" i="1"/>
  <c r="A13417" i="1"/>
  <c r="B13417" i="1"/>
  <c r="A13418" i="1"/>
  <c r="B13418" i="1"/>
  <c r="A13419" i="1"/>
  <c r="B13419" i="1"/>
  <c r="A13420" i="1"/>
  <c r="B13420" i="1"/>
  <c r="A13421" i="1"/>
  <c r="B13421" i="1"/>
  <c r="A13422" i="1"/>
  <c r="B13422" i="1"/>
  <c r="A13423" i="1"/>
  <c r="B13423" i="1"/>
  <c r="A13424" i="1"/>
  <c r="B13424" i="1"/>
  <c r="A13425" i="1"/>
  <c r="B13425" i="1"/>
  <c r="A13426" i="1"/>
  <c r="B13426" i="1"/>
  <c r="A13427" i="1"/>
  <c r="B13427" i="1"/>
  <c r="A13428" i="1"/>
  <c r="B13428" i="1"/>
  <c r="A13429" i="1"/>
  <c r="B13429" i="1"/>
  <c r="A13430" i="1"/>
  <c r="B13430" i="1"/>
  <c r="A13431" i="1"/>
  <c r="B13431" i="1"/>
  <c r="A13432" i="1"/>
  <c r="B13432" i="1"/>
  <c r="A13433" i="1"/>
  <c r="B13433" i="1"/>
  <c r="A13434" i="1"/>
  <c r="B13434" i="1"/>
  <c r="A13435" i="1"/>
  <c r="B13435" i="1"/>
  <c r="A13436" i="1"/>
  <c r="B13436" i="1"/>
  <c r="A13437" i="1"/>
  <c r="B13437" i="1"/>
  <c r="A13438" i="1"/>
  <c r="B13438" i="1"/>
  <c r="A13439" i="1"/>
  <c r="B13439" i="1"/>
  <c r="A13440" i="1"/>
  <c r="B13440" i="1"/>
  <c r="A13441" i="1"/>
  <c r="B13441" i="1"/>
  <c r="A13442" i="1"/>
  <c r="B13442" i="1"/>
  <c r="A13443" i="1"/>
  <c r="B13443" i="1"/>
  <c r="A13444" i="1"/>
  <c r="B13444" i="1"/>
  <c r="A13445" i="1"/>
  <c r="B13445" i="1"/>
  <c r="A13446" i="1"/>
  <c r="B13446" i="1"/>
  <c r="A13447" i="1"/>
  <c r="B13447" i="1"/>
  <c r="A13448" i="1"/>
  <c r="B13448" i="1"/>
  <c r="A13449" i="1"/>
  <c r="B13449" i="1"/>
  <c r="A13450" i="1"/>
  <c r="B13450" i="1"/>
  <c r="A13451" i="1"/>
  <c r="B13451" i="1"/>
  <c r="A13452" i="1"/>
  <c r="B13452" i="1"/>
  <c r="A13453" i="1"/>
  <c r="B13453" i="1"/>
  <c r="A13454" i="1"/>
  <c r="B13454" i="1"/>
  <c r="A13455" i="1"/>
  <c r="B13455" i="1"/>
  <c r="A13456" i="1"/>
  <c r="B13456" i="1"/>
  <c r="A13457" i="1"/>
  <c r="B13457" i="1"/>
  <c r="A13458" i="1"/>
  <c r="B13458" i="1"/>
  <c r="A13459" i="1"/>
  <c r="B13459" i="1"/>
  <c r="A13460" i="1"/>
  <c r="B13460" i="1"/>
  <c r="A13461" i="1"/>
  <c r="B13461" i="1"/>
  <c r="A13462" i="1"/>
  <c r="B13462" i="1"/>
  <c r="A13463" i="1"/>
  <c r="B13463" i="1"/>
  <c r="A13464" i="1"/>
  <c r="B13464" i="1"/>
  <c r="A13465" i="1"/>
  <c r="B13465" i="1"/>
  <c r="A13466" i="1"/>
  <c r="B13466" i="1"/>
  <c r="A13467" i="1"/>
  <c r="B13467" i="1"/>
  <c r="A13468" i="1"/>
  <c r="B13468" i="1"/>
  <c r="A13469" i="1"/>
  <c r="B13469" i="1"/>
  <c r="A13470" i="1"/>
  <c r="B13470" i="1"/>
  <c r="A13471" i="1"/>
  <c r="B13471" i="1"/>
  <c r="A13472" i="1"/>
  <c r="B13472" i="1"/>
  <c r="A13473" i="1"/>
  <c r="B13473" i="1"/>
  <c r="A13474" i="1"/>
  <c r="B13474" i="1"/>
  <c r="A13475" i="1"/>
  <c r="B13475" i="1"/>
  <c r="A13476" i="1"/>
  <c r="B13476" i="1"/>
  <c r="A13477" i="1"/>
  <c r="B13477" i="1"/>
  <c r="A13478" i="1"/>
  <c r="B13478" i="1"/>
  <c r="A13479" i="1"/>
  <c r="B13479" i="1"/>
  <c r="A13480" i="1"/>
  <c r="B13480" i="1"/>
  <c r="A13481" i="1"/>
  <c r="B13481" i="1"/>
  <c r="A13482" i="1"/>
  <c r="B13482" i="1"/>
  <c r="A13483" i="1"/>
  <c r="B13483" i="1"/>
  <c r="A13484" i="1"/>
  <c r="B13484" i="1"/>
  <c r="A13485" i="1"/>
  <c r="B13485" i="1"/>
  <c r="A13486" i="1"/>
  <c r="B13486" i="1"/>
  <c r="A13487" i="1"/>
  <c r="B13487" i="1"/>
  <c r="A13488" i="1"/>
  <c r="B13488" i="1"/>
  <c r="A13489" i="1"/>
  <c r="B13489" i="1"/>
  <c r="A13490" i="1"/>
  <c r="B13490" i="1"/>
  <c r="A13491" i="1"/>
  <c r="B13491" i="1"/>
  <c r="A13492" i="1"/>
  <c r="B13492" i="1"/>
  <c r="A13493" i="1"/>
  <c r="B13493" i="1"/>
  <c r="A13494" i="1"/>
  <c r="B13494" i="1"/>
  <c r="A13495" i="1"/>
  <c r="B13495" i="1"/>
  <c r="A13496" i="1"/>
  <c r="B13496" i="1"/>
  <c r="A13497" i="1"/>
  <c r="B13497" i="1"/>
  <c r="A13498" i="1"/>
  <c r="B13498" i="1"/>
  <c r="A13499" i="1"/>
  <c r="B13499" i="1"/>
  <c r="A13500" i="1"/>
  <c r="B13500" i="1"/>
  <c r="A13501" i="1"/>
  <c r="B13501" i="1"/>
  <c r="A13502" i="1"/>
  <c r="B13502" i="1"/>
  <c r="A13503" i="1"/>
  <c r="B13503" i="1"/>
  <c r="A13504" i="1"/>
  <c r="B13504" i="1"/>
  <c r="A13505" i="1"/>
  <c r="B13505" i="1"/>
  <c r="A13506" i="1"/>
  <c r="B13506" i="1"/>
  <c r="A13507" i="1"/>
  <c r="B13507" i="1"/>
  <c r="A13508" i="1"/>
  <c r="B13508" i="1"/>
  <c r="A13509" i="1"/>
  <c r="B13509" i="1"/>
  <c r="A13510" i="1"/>
  <c r="B13510" i="1"/>
  <c r="A13511" i="1"/>
  <c r="B13511" i="1"/>
  <c r="A13512" i="1"/>
  <c r="B13512" i="1"/>
  <c r="A13513" i="1"/>
  <c r="B13513" i="1"/>
  <c r="A13514" i="1"/>
  <c r="B13514" i="1"/>
  <c r="A13515" i="1"/>
  <c r="B13515" i="1"/>
  <c r="A13516" i="1"/>
  <c r="B13516" i="1"/>
  <c r="A13517" i="1"/>
  <c r="B13517" i="1"/>
  <c r="A13518" i="1"/>
  <c r="B13518" i="1"/>
  <c r="A13519" i="1"/>
  <c r="B13519" i="1"/>
  <c r="A13520" i="1"/>
  <c r="B13520" i="1"/>
  <c r="A13521" i="1"/>
  <c r="B13521" i="1"/>
  <c r="A13522" i="1"/>
  <c r="B13522" i="1"/>
  <c r="A13523" i="1"/>
  <c r="B13523" i="1"/>
  <c r="A13524" i="1"/>
  <c r="B13524" i="1"/>
  <c r="A13525" i="1"/>
  <c r="B13525" i="1"/>
  <c r="A13526" i="1"/>
  <c r="B13526" i="1"/>
  <c r="A13527" i="1"/>
  <c r="B13527" i="1"/>
  <c r="A13528" i="1"/>
  <c r="B13528" i="1"/>
  <c r="A13529" i="1"/>
  <c r="B13529" i="1"/>
  <c r="A13530" i="1"/>
  <c r="B13530" i="1"/>
  <c r="A13531" i="1"/>
  <c r="B13531" i="1"/>
  <c r="A13532" i="1"/>
  <c r="B13532" i="1"/>
  <c r="A13533" i="1"/>
  <c r="B13533" i="1"/>
  <c r="A13534" i="1"/>
  <c r="B13534" i="1"/>
  <c r="A13535" i="1"/>
  <c r="B13535" i="1"/>
  <c r="A13536" i="1"/>
  <c r="B13536" i="1"/>
  <c r="A13537" i="1"/>
  <c r="B13537" i="1"/>
  <c r="A13538" i="1"/>
  <c r="B13538" i="1"/>
  <c r="A13539" i="1"/>
  <c r="B13539" i="1"/>
  <c r="A13540" i="1"/>
  <c r="B13540" i="1"/>
  <c r="A13541" i="1"/>
  <c r="B13541" i="1"/>
  <c r="A13542" i="1"/>
  <c r="B13542" i="1"/>
  <c r="A13543" i="1"/>
  <c r="B13543" i="1"/>
  <c r="A13544" i="1"/>
  <c r="B13544" i="1"/>
  <c r="A13545" i="1"/>
  <c r="B13545" i="1"/>
  <c r="A13546" i="1"/>
  <c r="B13546" i="1"/>
  <c r="A13547" i="1"/>
  <c r="B13547" i="1"/>
  <c r="A13548" i="1"/>
  <c r="B13548" i="1"/>
  <c r="A13549" i="1"/>
  <c r="B13549" i="1"/>
  <c r="A13550" i="1"/>
  <c r="B13550" i="1"/>
  <c r="A13551" i="1"/>
  <c r="B13551" i="1"/>
  <c r="A13552" i="1"/>
  <c r="B13552" i="1"/>
  <c r="A13553" i="1"/>
  <c r="B13553" i="1"/>
  <c r="A13554" i="1"/>
  <c r="B13554" i="1"/>
  <c r="A13555" i="1"/>
  <c r="B13555" i="1"/>
  <c r="A13556" i="1"/>
  <c r="B13556" i="1"/>
  <c r="A13557" i="1"/>
  <c r="B13557" i="1"/>
  <c r="A13558" i="1"/>
  <c r="B13558" i="1"/>
  <c r="A13559" i="1"/>
  <c r="B13559" i="1"/>
  <c r="A13560" i="1"/>
  <c r="B13560" i="1"/>
  <c r="A13561" i="1"/>
  <c r="B13561" i="1"/>
  <c r="A13562" i="1"/>
  <c r="B13562" i="1"/>
  <c r="A13563" i="1"/>
  <c r="B13563" i="1"/>
  <c r="A13564" i="1"/>
  <c r="B13564" i="1"/>
  <c r="A13565" i="1"/>
  <c r="B13565" i="1"/>
  <c r="A13566" i="1"/>
  <c r="B13566" i="1"/>
  <c r="A13567" i="1"/>
  <c r="B13567" i="1"/>
  <c r="A13568" i="1"/>
  <c r="B13568" i="1"/>
  <c r="A13569" i="1"/>
  <c r="B13569" i="1"/>
  <c r="A13570" i="1"/>
  <c r="B13570" i="1"/>
  <c r="A13571" i="1"/>
  <c r="B13571" i="1"/>
  <c r="A13572" i="1"/>
  <c r="B13572" i="1"/>
  <c r="A13573" i="1"/>
  <c r="B13573" i="1"/>
  <c r="A13574" i="1"/>
  <c r="B13574" i="1"/>
  <c r="A13575" i="1"/>
  <c r="B13575" i="1"/>
  <c r="A13576" i="1"/>
  <c r="B13576" i="1"/>
  <c r="A13577" i="1"/>
  <c r="B13577" i="1"/>
  <c r="A13578" i="1"/>
  <c r="B13578" i="1"/>
  <c r="A13579" i="1"/>
  <c r="B13579" i="1"/>
  <c r="A13580" i="1"/>
  <c r="B13580" i="1"/>
  <c r="A13581" i="1"/>
  <c r="B13581" i="1"/>
  <c r="A13582" i="1"/>
  <c r="B13582" i="1"/>
  <c r="A13583" i="1"/>
  <c r="B13583" i="1"/>
  <c r="A13584" i="1"/>
  <c r="B13584" i="1"/>
  <c r="A13585" i="1"/>
  <c r="B13585" i="1"/>
  <c r="A13586" i="1"/>
  <c r="B13586" i="1"/>
  <c r="A13587" i="1"/>
  <c r="B13587" i="1"/>
  <c r="A13588" i="1"/>
  <c r="B13588" i="1"/>
  <c r="A13589" i="1"/>
  <c r="B13589" i="1"/>
  <c r="A13590" i="1"/>
  <c r="B13590" i="1"/>
  <c r="A13591" i="1"/>
  <c r="B13591" i="1"/>
  <c r="A13592" i="1"/>
  <c r="B13592" i="1"/>
  <c r="A13593" i="1"/>
  <c r="B13593" i="1"/>
  <c r="A13594" i="1"/>
  <c r="B13594" i="1"/>
  <c r="A13595" i="1"/>
  <c r="B13595" i="1"/>
  <c r="A13596" i="1"/>
  <c r="B13596" i="1"/>
  <c r="A13597" i="1"/>
  <c r="B13597" i="1"/>
  <c r="A13598" i="1"/>
  <c r="B13598" i="1"/>
  <c r="A13599" i="1"/>
  <c r="B13599" i="1"/>
  <c r="A13600" i="1"/>
  <c r="B13600" i="1"/>
  <c r="A13601" i="1"/>
  <c r="B13601" i="1"/>
  <c r="A13602" i="1"/>
  <c r="B13602" i="1"/>
  <c r="A13603" i="1"/>
  <c r="B13603" i="1"/>
  <c r="A13604" i="1"/>
  <c r="B13604" i="1"/>
  <c r="A13605" i="1"/>
  <c r="B13605" i="1"/>
  <c r="A13606" i="1"/>
  <c r="B13606" i="1"/>
  <c r="A13607" i="1"/>
  <c r="B13607" i="1"/>
  <c r="A13608" i="1"/>
  <c r="B13608" i="1"/>
  <c r="A13609" i="1"/>
  <c r="B13609" i="1"/>
  <c r="A13610" i="1"/>
  <c r="B13610" i="1"/>
  <c r="A13611" i="1"/>
  <c r="B13611" i="1"/>
  <c r="A13612" i="1"/>
  <c r="B13612" i="1"/>
  <c r="A13613" i="1"/>
  <c r="B13613" i="1"/>
  <c r="A13614" i="1"/>
  <c r="B13614" i="1"/>
  <c r="A13615" i="1"/>
  <c r="B13615" i="1"/>
  <c r="A13616" i="1"/>
  <c r="B13616" i="1"/>
  <c r="A13617" i="1"/>
  <c r="B13617" i="1"/>
  <c r="A13618" i="1"/>
  <c r="B13618" i="1"/>
  <c r="A13619" i="1"/>
  <c r="B13619" i="1"/>
  <c r="A13620" i="1"/>
  <c r="B13620" i="1"/>
  <c r="A13621" i="1"/>
  <c r="B13621" i="1"/>
  <c r="A13622" i="1"/>
  <c r="B13622" i="1"/>
  <c r="A13623" i="1"/>
  <c r="B13623" i="1"/>
  <c r="A13624" i="1"/>
  <c r="B13624" i="1"/>
  <c r="A13625" i="1"/>
  <c r="B13625" i="1"/>
  <c r="A13626" i="1"/>
  <c r="B13626" i="1"/>
  <c r="A13627" i="1"/>
  <c r="B13627" i="1"/>
  <c r="A13628" i="1"/>
  <c r="B13628" i="1"/>
  <c r="A13629" i="1"/>
  <c r="B13629" i="1"/>
  <c r="A13630" i="1"/>
  <c r="B13630" i="1"/>
  <c r="A13631" i="1"/>
  <c r="B13631" i="1"/>
  <c r="A13632" i="1"/>
  <c r="B13632" i="1"/>
  <c r="A13633" i="1"/>
  <c r="B13633" i="1"/>
  <c r="A13634" i="1"/>
  <c r="B13634" i="1"/>
  <c r="A13635" i="1"/>
  <c r="B13635" i="1"/>
  <c r="A13636" i="1"/>
  <c r="B13636" i="1"/>
  <c r="A13637" i="1"/>
  <c r="B13637" i="1"/>
  <c r="A13638" i="1"/>
  <c r="B13638" i="1"/>
  <c r="A13639" i="1"/>
  <c r="B13639" i="1"/>
  <c r="A13640" i="1"/>
  <c r="B13640" i="1"/>
  <c r="A13641" i="1"/>
  <c r="B13641" i="1"/>
  <c r="A13642" i="1"/>
  <c r="B13642" i="1"/>
  <c r="A13643" i="1"/>
  <c r="B13643" i="1"/>
  <c r="A13644" i="1"/>
  <c r="B13644" i="1"/>
  <c r="A13645" i="1"/>
  <c r="B13645" i="1"/>
  <c r="A13646" i="1"/>
  <c r="B13646" i="1"/>
  <c r="A13647" i="1"/>
  <c r="B13647" i="1"/>
  <c r="A13648" i="1"/>
  <c r="B13648" i="1"/>
  <c r="A13649" i="1"/>
  <c r="B13649" i="1"/>
  <c r="A13650" i="1"/>
  <c r="B13650" i="1"/>
  <c r="A13651" i="1"/>
  <c r="B13651" i="1"/>
  <c r="A13652" i="1"/>
  <c r="B13652" i="1"/>
  <c r="A13653" i="1"/>
  <c r="B13653" i="1"/>
  <c r="A13654" i="1"/>
  <c r="B13654" i="1"/>
  <c r="A13655" i="1"/>
  <c r="B13655" i="1"/>
  <c r="A13656" i="1"/>
  <c r="B13656" i="1"/>
  <c r="A13657" i="1"/>
  <c r="B13657" i="1"/>
  <c r="A13658" i="1"/>
  <c r="B13658" i="1"/>
  <c r="A13659" i="1"/>
  <c r="B13659" i="1"/>
  <c r="A13660" i="1"/>
  <c r="B13660" i="1"/>
  <c r="A13661" i="1"/>
  <c r="B13661" i="1"/>
  <c r="A13662" i="1"/>
  <c r="B13662" i="1"/>
  <c r="A13663" i="1"/>
  <c r="B13663" i="1"/>
  <c r="A13664" i="1"/>
  <c r="B13664" i="1"/>
  <c r="A13665" i="1"/>
  <c r="B13665" i="1"/>
  <c r="A13666" i="1"/>
  <c r="B13666" i="1"/>
  <c r="A13667" i="1"/>
  <c r="B13667" i="1"/>
  <c r="A13668" i="1"/>
  <c r="B13668" i="1"/>
  <c r="A13669" i="1"/>
  <c r="B13669" i="1"/>
  <c r="A13670" i="1"/>
  <c r="B13670" i="1"/>
  <c r="A13671" i="1"/>
  <c r="B13671" i="1"/>
  <c r="A13672" i="1"/>
  <c r="B13672" i="1"/>
  <c r="A13673" i="1"/>
  <c r="B13673" i="1"/>
  <c r="A13674" i="1"/>
  <c r="B13674" i="1"/>
  <c r="A13675" i="1"/>
  <c r="B13675" i="1"/>
  <c r="A13676" i="1"/>
  <c r="B13676" i="1"/>
  <c r="A13677" i="1"/>
  <c r="B13677" i="1"/>
  <c r="A13678" i="1"/>
  <c r="B13678" i="1"/>
  <c r="A13679" i="1"/>
  <c r="B13679" i="1"/>
  <c r="A13680" i="1"/>
  <c r="B13680" i="1"/>
  <c r="A13681" i="1"/>
  <c r="B13681" i="1"/>
  <c r="A13682" i="1"/>
  <c r="B13682" i="1"/>
  <c r="A13683" i="1"/>
  <c r="B13683" i="1"/>
  <c r="A13684" i="1"/>
  <c r="B13684" i="1"/>
  <c r="A13685" i="1"/>
  <c r="B13685" i="1"/>
  <c r="A13686" i="1"/>
  <c r="B13686" i="1"/>
  <c r="A13687" i="1"/>
  <c r="B13687" i="1"/>
  <c r="A13688" i="1"/>
  <c r="B13688" i="1"/>
  <c r="A13689" i="1"/>
  <c r="B13689" i="1"/>
  <c r="A13690" i="1"/>
  <c r="B13690" i="1"/>
  <c r="A13691" i="1"/>
  <c r="B13691" i="1"/>
  <c r="A13692" i="1"/>
  <c r="B13692" i="1"/>
  <c r="A13693" i="1"/>
  <c r="B13693" i="1"/>
  <c r="A13694" i="1"/>
  <c r="B13694" i="1"/>
  <c r="A13695" i="1"/>
  <c r="B13695" i="1"/>
  <c r="A13696" i="1"/>
  <c r="B13696" i="1"/>
  <c r="A13697" i="1"/>
  <c r="B13697" i="1"/>
  <c r="A13698" i="1"/>
  <c r="B13698" i="1"/>
  <c r="A13699" i="1"/>
  <c r="B13699" i="1"/>
  <c r="A13700" i="1"/>
  <c r="B13700" i="1"/>
  <c r="A13701" i="1"/>
  <c r="B13701" i="1"/>
  <c r="A13702" i="1"/>
  <c r="B13702" i="1"/>
  <c r="A13703" i="1"/>
  <c r="B13703" i="1"/>
  <c r="A13704" i="1"/>
  <c r="B13704" i="1"/>
  <c r="A13705" i="1"/>
  <c r="B13705" i="1"/>
  <c r="A13706" i="1"/>
  <c r="B13706" i="1"/>
  <c r="A13707" i="1"/>
  <c r="B13707" i="1"/>
  <c r="A13708" i="1"/>
  <c r="B13708" i="1"/>
  <c r="A13709" i="1"/>
  <c r="B13709" i="1"/>
  <c r="A13710" i="1"/>
  <c r="B13710" i="1"/>
  <c r="A13711" i="1"/>
  <c r="B13711" i="1"/>
  <c r="A13712" i="1"/>
  <c r="B13712" i="1"/>
  <c r="A13713" i="1"/>
  <c r="B13713" i="1"/>
  <c r="A13714" i="1"/>
  <c r="B13714" i="1"/>
  <c r="A13715" i="1"/>
  <c r="B13715" i="1"/>
  <c r="A13716" i="1"/>
  <c r="B13716" i="1"/>
  <c r="A13717" i="1"/>
  <c r="B13717" i="1"/>
  <c r="A13718" i="1"/>
  <c r="B13718" i="1"/>
  <c r="A13719" i="1"/>
  <c r="B13719" i="1"/>
  <c r="A13720" i="1"/>
  <c r="B13720" i="1"/>
  <c r="A13721" i="1"/>
  <c r="B13721" i="1"/>
  <c r="A13722" i="1"/>
  <c r="B13722" i="1"/>
  <c r="A13723" i="1"/>
  <c r="B13723" i="1"/>
  <c r="A13724" i="1"/>
  <c r="B13724" i="1"/>
  <c r="A13725" i="1"/>
  <c r="B13725" i="1"/>
  <c r="A13726" i="1"/>
  <c r="B13726" i="1"/>
  <c r="A13727" i="1"/>
  <c r="B13727" i="1"/>
  <c r="A13728" i="1"/>
  <c r="B13728" i="1"/>
  <c r="A13729" i="1"/>
  <c r="B13729" i="1"/>
  <c r="A13730" i="1"/>
  <c r="B13730" i="1"/>
  <c r="A13731" i="1"/>
  <c r="B13731" i="1"/>
  <c r="A13732" i="1"/>
  <c r="B13732" i="1"/>
  <c r="A13733" i="1"/>
  <c r="B13733" i="1"/>
  <c r="A13734" i="1"/>
  <c r="B13734" i="1"/>
  <c r="A13735" i="1"/>
  <c r="B13735" i="1"/>
  <c r="A13736" i="1"/>
  <c r="B13736" i="1"/>
  <c r="A13737" i="1"/>
  <c r="B13737" i="1"/>
  <c r="A13738" i="1"/>
  <c r="B13738" i="1"/>
  <c r="A13739" i="1"/>
  <c r="B13739" i="1"/>
  <c r="A13740" i="1"/>
  <c r="B13740" i="1"/>
  <c r="A13741" i="1"/>
  <c r="B13741" i="1"/>
  <c r="A13742" i="1"/>
  <c r="B13742" i="1"/>
  <c r="A13743" i="1"/>
  <c r="B13743" i="1"/>
  <c r="A13744" i="1"/>
  <c r="B13744" i="1"/>
  <c r="A13745" i="1"/>
  <c r="B13745" i="1"/>
  <c r="A13746" i="1"/>
  <c r="B13746" i="1"/>
  <c r="A13747" i="1"/>
  <c r="B13747" i="1"/>
  <c r="A13748" i="1"/>
  <c r="B13748" i="1"/>
  <c r="A13749" i="1"/>
  <c r="B13749" i="1"/>
  <c r="A13750" i="1"/>
  <c r="B13750" i="1"/>
  <c r="A13751" i="1"/>
  <c r="B13751" i="1"/>
  <c r="A13752" i="1"/>
  <c r="B13752" i="1"/>
  <c r="A13753" i="1"/>
  <c r="B13753" i="1"/>
  <c r="A13754" i="1"/>
  <c r="B13754" i="1"/>
  <c r="A13755" i="1"/>
  <c r="B13755" i="1"/>
  <c r="A13756" i="1"/>
  <c r="B13756" i="1"/>
  <c r="A13757" i="1"/>
  <c r="B13757" i="1"/>
  <c r="A13758" i="1"/>
  <c r="B13758" i="1"/>
  <c r="A13759" i="1"/>
  <c r="B13759" i="1"/>
  <c r="A13760" i="1"/>
  <c r="B13760" i="1"/>
  <c r="A13761" i="1"/>
  <c r="B13761" i="1"/>
  <c r="A13762" i="1"/>
  <c r="B13762" i="1"/>
  <c r="A13763" i="1"/>
  <c r="B13763" i="1"/>
  <c r="A13764" i="1"/>
  <c r="B13764" i="1"/>
  <c r="A13765" i="1"/>
  <c r="B13765" i="1"/>
  <c r="A13766" i="1"/>
  <c r="B13766" i="1"/>
  <c r="A13767" i="1"/>
  <c r="B13767" i="1"/>
  <c r="A13768" i="1"/>
  <c r="B13768" i="1"/>
  <c r="A13769" i="1"/>
  <c r="B13769" i="1"/>
  <c r="A13770" i="1"/>
  <c r="B13770" i="1"/>
  <c r="A13771" i="1"/>
  <c r="B13771" i="1"/>
  <c r="A13772" i="1"/>
  <c r="B13772" i="1"/>
  <c r="A13773" i="1"/>
  <c r="B13773" i="1"/>
  <c r="A13774" i="1"/>
  <c r="B13774" i="1"/>
  <c r="A13775" i="1"/>
  <c r="B13775" i="1"/>
  <c r="A13776" i="1"/>
  <c r="B13776" i="1"/>
  <c r="A13777" i="1"/>
  <c r="B13777" i="1"/>
  <c r="A13778" i="1"/>
  <c r="B13778" i="1"/>
  <c r="A13779" i="1"/>
  <c r="B13779" i="1"/>
  <c r="A13780" i="1"/>
  <c r="B13780" i="1"/>
  <c r="A13781" i="1"/>
  <c r="B13781" i="1"/>
  <c r="A13782" i="1"/>
  <c r="B13782" i="1"/>
  <c r="A13783" i="1"/>
  <c r="B13783" i="1"/>
  <c r="A13784" i="1"/>
  <c r="B13784" i="1"/>
  <c r="A13785" i="1"/>
  <c r="B13785" i="1"/>
  <c r="A13786" i="1"/>
  <c r="B13786" i="1"/>
  <c r="A13787" i="1"/>
  <c r="B13787" i="1"/>
  <c r="A13788" i="1"/>
  <c r="B13788" i="1"/>
  <c r="A13789" i="1"/>
  <c r="B13789" i="1"/>
  <c r="A13790" i="1"/>
  <c r="B13790" i="1"/>
  <c r="A13791" i="1"/>
  <c r="B13791" i="1"/>
  <c r="A13792" i="1"/>
  <c r="B13792" i="1"/>
  <c r="A13793" i="1"/>
  <c r="B13793" i="1"/>
  <c r="A13794" i="1"/>
  <c r="B13794" i="1"/>
  <c r="A13795" i="1"/>
  <c r="B13795" i="1"/>
  <c r="A13796" i="1"/>
  <c r="B13796" i="1"/>
  <c r="A13797" i="1"/>
  <c r="B13797" i="1"/>
  <c r="A13798" i="1"/>
  <c r="B13798" i="1"/>
  <c r="A13799" i="1"/>
  <c r="B13799" i="1"/>
  <c r="A13800" i="1"/>
  <c r="B13800" i="1"/>
  <c r="A13801" i="1"/>
  <c r="B13801" i="1"/>
  <c r="A13802" i="1"/>
  <c r="B13802" i="1"/>
  <c r="A13803" i="1"/>
  <c r="B13803" i="1"/>
  <c r="A13804" i="1"/>
  <c r="B13804" i="1"/>
  <c r="A13805" i="1"/>
  <c r="B13805" i="1"/>
  <c r="A13806" i="1"/>
  <c r="B13806" i="1"/>
  <c r="A13807" i="1"/>
  <c r="B13807" i="1"/>
  <c r="A13808" i="1"/>
  <c r="B13808" i="1"/>
  <c r="A13809" i="1"/>
  <c r="B13809" i="1"/>
  <c r="A13810" i="1"/>
  <c r="B13810" i="1"/>
  <c r="A13811" i="1"/>
  <c r="B13811" i="1"/>
  <c r="A13812" i="1"/>
  <c r="B13812" i="1"/>
  <c r="A13813" i="1"/>
  <c r="B13813" i="1"/>
  <c r="A13814" i="1"/>
  <c r="B13814" i="1"/>
  <c r="A13815" i="1"/>
  <c r="B13815" i="1"/>
  <c r="A13816" i="1"/>
  <c r="B13816" i="1"/>
  <c r="A13817" i="1"/>
  <c r="B13817" i="1"/>
  <c r="A13818" i="1"/>
  <c r="B13818" i="1"/>
  <c r="A13819" i="1"/>
  <c r="B13819" i="1"/>
  <c r="A13820" i="1"/>
  <c r="B13820" i="1"/>
  <c r="A13821" i="1"/>
  <c r="B13821" i="1"/>
  <c r="A13822" i="1"/>
  <c r="B13822" i="1"/>
  <c r="A13823" i="1"/>
  <c r="B13823" i="1"/>
  <c r="A13824" i="1"/>
  <c r="B13824" i="1"/>
  <c r="A13825" i="1"/>
  <c r="B13825" i="1"/>
  <c r="A13826" i="1"/>
  <c r="B13826" i="1"/>
  <c r="A13827" i="1"/>
  <c r="B13827" i="1"/>
  <c r="A13828" i="1"/>
  <c r="B13828" i="1"/>
  <c r="A13829" i="1"/>
  <c r="B13829" i="1"/>
  <c r="A13830" i="1"/>
  <c r="B13830" i="1"/>
  <c r="A13831" i="1"/>
  <c r="B13831" i="1"/>
  <c r="A13832" i="1"/>
  <c r="B13832" i="1"/>
  <c r="A13833" i="1"/>
  <c r="B13833" i="1"/>
  <c r="A13834" i="1"/>
  <c r="B13834" i="1"/>
  <c r="A13835" i="1"/>
  <c r="B13835" i="1"/>
  <c r="A13836" i="1"/>
  <c r="B13836" i="1"/>
  <c r="A13837" i="1"/>
  <c r="B13837" i="1"/>
  <c r="A13838" i="1"/>
  <c r="B13838" i="1"/>
  <c r="A13839" i="1"/>
  <c r="B13839" i="1"/>
  <c r="A13840" i="1"/>
  <c r="B13840" i="1"/>
  <c r="A13841" i="1"/>
  <c r="B13841" i="1"/>
  <c r="A13842" i="1"/>
  <c r="B13842" i="1"/>
  <c r="A13843" i="1"/>
  <c r="B13843" i="1"/>
  <c r="A13844" i="1"/>
  <c r="B13844" i="1"/>
  <c r="A13845" i="1"/>
  <c r="B13845" i="1"/>
  <c r="A13846" i="1"/>
  <c r="B13846" i="1"/>
  <c r="A13847" i="1"/>
  <c r="B13847" i="1"/>
  <c r="A13848" i="1"/>
  <c r="B13848" i="1"/>
  <c r="A13849" i="1"/>
  <c r="B13849" i="1"/>
  <c r="A13850" i="1"/>
  <c r="B13850" i="1"/>
  <c r="A13851" i="1"/>
  <c r="B13851" i="1"/>
  <c r="A13852" i="1"/>
  <c r="B13852" i="1"/>
  <c r="A13853" i="1"/>
  <c r="B13853" i="1"/>
  <c r="A13854" i="1"/>
  <c r="B13854" i="1"/>
  <c r="A13855" i="1"/>
  <c r="B13855" i="1"/>
  <c r="A13856" i="1"/>
  <c r="B13856" i="1"/>
  <c r="A13857" i="1"/>
  <c r="B13857" i="1"/>
  <c r="A13858" i="1"/>
  <c r="B13858" i="1"/>
  <c r="A13859" i="1"/>
  <c r="B13859" i="1"/>
  <c r="A13860" i="1"/>
  <c r="B13860" i="1"/>
  <c r="A13861" i="1"/>
  <c r="B13861" i="1"/>
  <c r="A13862" i="1"/>
  <c r="B13862" i="1"/>
  <c r="A13863" i="1"/>
  <c r="B13863" i="1"/>
  <c r="A13864" i="1"/>
  <c r="B13864" i="1"/>
  <c r="A13865" i="1"/>
  <c r="B13865" i="1"/>
  <c r="A13866" i="1"/>
  <c r="B13866" i="1"/>
  <c r="A13867" i="1"/>
  <c r="B13867" i="1"/>
  <c r="A13868" i="1"/>
  <c r="B13868" i="1"/>
  <c r="A13869" i="1"/>
  <c r="B13869" i="1"/>
  <c r="A13870" i="1"/>
  <c r="B13870" i="1"/>
  <c r="A13871" i="1"/>
  <c r="B13871" i="1"/>
  <c r="A13872" i="1"/>
  <c r="B13872" i="1"/>
  <c r="A13873" i="1"/>
  <c r="B13873" i="1"/>
  <c r="A13874" i="1"/>
  <c r="B13874" i="1"/>
  <c r="A13875" i="1"/>
  <c r="B13875" i="1"/>
  <c r="A13876" i="1"/>
  <c r="B13876" i="1"/>
  <c r="A13877" i="1"/>
  <c r="B13877" i="1"/>
  <c r="A13878" i="1"/>
  <c r="B13878" i="1"/>
  <c r="A13879" i="1"/>
  <c r="B13879" i="1"/>
  <c r="A13880" i="1"/>
  <c r="B13880" i="1"/>
  <c r="A13881" i="1"/>
  <c r="B13881" i="1"/>
  <c r="A13882" i="1"/>
  <c r="B13882" i="1"/>
  <c r="A13883" i="1"/>
  <c r="B13883" i="1"/>
  <c r="A13884" i="1"/>
  <c r="B13884" i="1"/>
  <c r="A13885" i="1"/>
  <c r="B13885" i="1"/>
  <c r="A13886" i="1"/>
  <c r="B13886" i="1"/>
  <c r="A13887" i="1"/>
  <c r="B13887" i="1"/>
  <c r="A13888" i="1"/>
  <c r="B13888" i="1"/>
  <c r="A13889" i="1"/>
  <c r="B13889" i="1"/>
  <c r="A13890" i="1"/>
  <c r="B13890" i="1"/>
  <c r="A13891" i="1"/>
  <c r="B13891" i="1"/>
  <c r="A13892" i="1"/>
  <c r="B13892" i="1"/>
  <c r="A13893" i="1"/>
  <c r="B13893" i="1"/>
  <c r="A13894" i="1"/>
  <c r="B13894" i="1"/>
  <c r="A13895" i="1"/>
  <c r="B13895" i="1"/>
  <c r="A13896" i="1"/>
  <c r="B13896" i="1"/>
  <c r="A13897" i="1"/>
  <c r="B13897" i="1"/>
  <c r="A13898" i="1"/>
  <c r="B13898" i="1"/>
  <c r="A13899" i="1"/>
  <c r="B13899" i="1"/>
  <c r="A13900" i="1"/>
  <c r="B13900" i="1"/>
  <c r="A13901" i="1"/>
  <c r="B13901" i="1"/>
  <c r="A13902" i="1"/>
  <c r="B13902" i="1"/>
  <c r="A13903" i="1"/>
  <c r="B13903" i="1"/>
  <c r="A13904" i="1"/>
  <c r="B13904" i="1"/>
  <c r="A13905" i="1"/>
  <c r="B13905" i="1"/>
  <c r="A13906" i="1"/>
  <c r="B13906" i="1"/>
  <c r="A13907" i="1"/>
  <c r="B13907" i="1"/>
  <c r="A13908" i="1"/>
  <c r="B13908" i="1"/>
  <c r="A13909" i="1"/>
  <c r="B13909" i="1"/>
  <c r="A13910" i="1"/>
  <c r="B13910" i="1"/>
  <c r="A13911" i="1"/>
  <c r="B13911" i="1"/>
  <c r="A13912" i="1"/>
  <c r="B13912" i="1"/>
  <c r="A13913" i="1"/>
  <c r="B13913" i="1"/>
  <c r="A13914" i="1"/>
  <c r="B13914" i="1"/>
  <c r="A13915" i="1"/>
  <c r="B13915" i="1"/>
  <c r="A13916" i="1"/>
  <c r="B13916" i="1"/>
  <c r="A13917" i="1"/>
  <c r="B13917" i="1"/>
  <c r="A13918" i="1"/>
  <c r="B13918" i="1"/>
  <c r="A13919" i="1"/>
  <c r="B13919" i="1"/>
  <c r="A13920" i="1"/>
  <c r="B13920" i="1"/>
  <c r="A13921" i="1"/>
  <c r="B13921" i="1"/>
  <c r="A13922" i="1"/>
  <c r="B13922" i="1"/>
  <c r="A13923" i="1"/>
  <c r="B13923" i="1"/>
  <c r="A13924" i="1"/>
  <c r="B13924" i="1"/>
  <c r="A13925" i="1"/>
  <c r="B13925" i="1"/>
  <c r="A13926" i="1"/>
  <c r="B13926" i="1"/>
  <c r="A13927" i="1"/>
  <c r="B13927" i="1"/>
  <c r="A13928" i="1"/>
  <c r="B13928" i="1"/>
  <c r="A13929" i="1"/>
  <c r="B13929" i="1"/>
  <c r="A13930" i="1"/>
  <c r="B13930" i="1"/>
  <c r="A13931" i="1"/>
  <c r="B13931" i="1"/>
  <c r="A13932" i="1"/>
  <c r="B13932" i="1"/>
  <c r="A13933" i="1"/>
  <c r="B13933" i="1"/>
  <c r="A13934" i="1"/>
  <c r="B13934" i="1"/>
  <c r="A13935" i="1"/>
  <c r="B13935" i="1"/>
  <c r="A13936" i="1"/>
  <c r="B13936" i="1"/>
  <c r="A13937" i="1"/>
  <c r="B13937" i="1"/>
  <c r="A13938" i="1"/>
  <c r="B13938" i="1"/>
  <c r="A13939" i="1"/>
  <c r="B13939" i="1"/>
  <c r="A13940" i="1"/>
  <c r="B13940" i="1"/>
  <c r="A13941" i="1"/>
  <c r="B13941" i="1"/>
  <c r="A13942" i="1"/>
  <c r="B13942" i="1"/>
  <c r="A13943" i="1"/>
  <c r="B13943" i="1"/>
  <c r="A13944" i="1"/>
  <c r="B13944" i="1"/>
  <c r="A13945" i="1"/>
  <c r="B13945" i="1"/>
  <c r="A13946" i="1"/>
  <c r="B13946" i="1"/>
  <c r="A13947" i="1"/>
  <c r="B13947" i="1"/>
  <c r="A13948" i="1"/>
  <c r="B13948" i="1"/>
  <c r="A13949" i="1"/>
  <c r="B13949" i="1"/>
  <c r="A13950" i="1"/>
  <c r="B13950" i="1"/>
  <c r="A13951" i="1"/>
  <c r="B13951" i="1"/>
  <c r="A13952" i="1"/>
  <c r="B13952" i="1"/>
  <c r="A13953" i="1"/>
  <c r="B13953" i="1"/>
  <c r="A13954" i="1"/>
  <c r="B13954" i="1"/>
  <c r="A13955" i="1"/>
  <c r="B13955" i="1"/>
  <c r="A13956" i="1"/>
  <c r="B13956" i="1"/>
  <c r="A13957" i="1"/>
  <c r="B13957" i="1"/>
  <c r="A13958" i="1"/>
  <c r="B13958" i="1"/>
  <c r="A13959" i="1"/>
  <c r="B13959" i="1"/>
  <c r="A13960" i="1"/>
  <c r="B13960" i="1"/>
  <c r="A13961" i="1"/>
  <c r="B13961" i="1"/>
  <c r="A13962" i="1"/>
  <c r="B13962" i="1"/>
  <c r="A13963" i="1"/>
  <c r="B13963" i="1"/>
  <c r="A13964" i="1"/>
  <c r="B13964" i="1"/>
  <c r="A13965" i="1"/>
  <c r="B13965" i="1"/>
  <c r="A13966" i="1"/>
  <c r="B13966" i="1"/>
  <c r="A13967" i="1"/>
  <c r="B13967" i="1"/>
  <c r="A13968" i="1"/>
  <c r="B13968" i="1"/>
  <c r="A13969" i="1"/>
  <c r="B13969" i="1"/>
  <c r="A13970" i="1"/>
  <c r="B13970" i="1"/>
  <c r="A13971" i="1"/>
  <c r="B13971" i="1"/>
  <c r="A13972" i="1"/>
  <c r="B13972" i="1"/>
  <c r="A13973" i="1"/>
  <c r="B13973" i="1"/>
  <c r="A13974" i="1"/>
  <c r="B13974" i="1"/>
  <c r="A13975" i="1"/>
  <c r="B13975" i="1"/>
  <c r="A13976" i="1"/>
  <c r="B13976" i="1"/>
  <c r="A13977" i="1"/>
  <c r="B13977" i="1"/>
  <c r="A13978" i="1"/>
  <c r="B13978" i="1"/>
  <c r="A13979" i="1"/>
  <c r="B13979" i="1"/>
  <c r="A13980" i="1"/>
  <c r="B13980" i="1"/>
  <c r="A13981" i="1"/>
  <c r="B13981" i="1"/>
  <c r="A13982" i="1"/>
  <c r="B13982" i="1"/>
  <c r="A13983" i="1"/>
  <c r="B13983" i="1"/>
  <c r="A13984" i="1"/>
  <c r="B13984" i="1"/>
  <c r="A13985" i="1"/>
  <c r="B13985" i="1"/>
  <c r="A13986" i="1"/>
  <c r="B13986" i="1"/>
  <c r="A13987" i="1"/>
  <c r="B13987" i="1"/>
  <c r="A13988" i="1"/>
  <c r="B13988" i="1"/>
  <c r="A13989" i="1"/>
  <c r="B13989" i="1"/>
  <c r="A13990" i="1"/>
  <c r="B13990" i="1"/>
  <c r="A13991" i="1"/>
  <c r="B13991" i="1"/>
  <c r="A13992" i="1"/>
  <c r="B13992" i="1"/>
  <c r="A13993" i="1"/>
  <c r="B13993" i="1"/>
  <c r="A13994" i="1"/>
  <c r="B13994" i="1"/>
  <c r="A13995" i="1"/>
  <c r="B13995" i="1"/>
  <c r="A13996" i="1"/>
  <c r="B13996" i="1"/>
  <c r="A13997" i="1"/>
  <c r="B13997" i="1"/>
  <c r="A13998" i="1"/>
  <c r="B13998" i="1"/>
  <c r="A13999" i="1"/>
  <c r="B13999" i="1"/>
  <c r="A14000" i="1"/>
  <c r="B14000" i="1"/>
  <c r="A14001" i="1"/>
  <c r="B14001" i="1"/>
  <c r="A14002" i="1"/>
  <c r="B14002" i="1"/>
  <c r="A14003" i="1"/>
  <c r="B14003" i="1"/>
  <c r="A14004" i="1"/>
  <c r="B14004" i="1"/>
  <c r="A14005" i="1"/>
  <c r="B14005" i="1"/>
  <c r="A14006" i="1"/>
  <c r="B14006" i="1"/>
  <c r="A14007" i="1"/>
  <c r="B14007" i="1"/>
  <c r="A14008" i="1"/>
  <c r="B14008" i="1"/>
  <c r="A14009" i="1"/>
  <c r="B14009" i="1"/>
  <c r="A14010" i="1"/>
  <c r="B14010" i="1"/>
  <c r="A14011" i="1"/>
  <c r="B14011" i="1"/>
  <c r="A14012" i="1"/>
  <c r="B14012" i="1"/>
  <c r="A14013" i="1"/>
  <c r="B14013" i="1"/>
  <c r="A14014" i="1"/>
  <c r="B14014" i="1"/>
  <c r="A14015" i="1"/>
  <c r="B14015" i="1"/>
  <c r="A14016" i="1"/>
  <c r="B14016" i="1"/>
  <c r="A14017" i="1"/>
  <c r="B14017" i="1"/>
  <c r="A14018" i="1"/>
  <c r="B14018" i="1"/>
  <c r="A14019" i="1"/>
  <c r="B14019" i="1"/>
  <c r="A14020" i="1"/>
  <c r="B14020" i="1"/>
  <c r="A14021" i="1"/>
  <c r="B14021" i="1"/>
  <c r="A14022" i="1"/>
  <c r="B14022" i="1"/>
  <c r="A14023" i="1"/>
  <c r="B14023" i="1"/>
  <c r="A14024" i="1"/>
  <c r="B14024" i="1"/>
  <c r="A14025" i="1"/>
  <c r="B14025" i="1"/>
  <c r="A14026" i="1"/>
  <c r="B14026" i="1"/>
  <c r="A14027" i="1"/>
  <c r="B14027" i="1"/>
  <c r="A14028" i="1"/>
  <c r="B14028" i="1"/>
  <c r="A14029" i="1"/>
  <c r="B14029" i="1"/>
  <c r="A14030" i="1"/>
  <c r="B14030" i="1"/>
  <c r="A14031" i="1"/>
  <c r="B14031" i="1"/>
  <c r="A14032" i="1"/>
  <c r="B14032" i="1"/>
  <c r="A14033" i="1"/>
  <c r="B14033" i="1"/>
  <c r="A14034" i="1"/>
  <c r="B14034" i="1"/>
  <c r="A14035" i="1"/>
  <c r="B14035" i="1"/>
  <c r="A14036" i="1"/>
  <c r="B14036" i="1"/>
  <c r="A14037" i="1"/>
  <c r="B14037" i="1"/>
  <c r="A14038" i="1"/>
  <c r="B14038" i="1"/>
  <c r="A14039" i="1"/>
  <c r="B14039" i="1"/>
  <c r="A14040" i="1"/>
  <c r="B14040" i="1"/>
  <c r="A14041" i="1"/>
  <c r="B14041" i="1"/>
  <c r="A14042" i="1"/>
  <c r="B14042" i="1"/>
  <c r="A14043" i="1"/>
  <c r="B14043" i="1"/>
  <c r="A14044" i="1"/>
  <c r="B14044" i="1"/>
  <c r="A14045" i="1"/>
  <c r="B14045" i="1"/>
  <c r="A14046" i="1"/>
  <c r="B14046" i="1"/>
  <c r="A14047" i="1"/>
  <c r="B14047" i="1"/>
  <c r="A14048" i="1"/>
  <c r="B14048" i="1"/>
  <c r="A14049" i="1"/>
  <c r="B14049" i="1"/>
  <c r="A14050" i="1"/>
  <c r="B14050" i="1"/>
  <c r="A14051" i="1"/>
  <c r="B14051" i="1"/>
  <c r="A14052" i="1"/>
  <c r="B14052" i="1"/>
  <c r="A14053" i="1"/>
  <c r="B14053" i="1"/>
  <c r="A14054" i="1"/>
  <c r="B14054" i="1"/>
  <c r="A14055" i="1"/>
  <c r="B14055" i="1"/>
  <c r="A14056" i="1"/>
  <c r="B14056" i="1"/>
  <c r="A14057" i="1"/>
  <c r="B14057" i="1"/>
  <c r="A14058" i="1"/>
  <c r="B14058" i="1"/>
  <c r="A14059" i="1"/>
  <c r="B14059" i="1"/>
  <c r="A14060" i="1"/>
  <c r="B14060" i="1"/>
  <c r="A14061" i="1"/>
  <c r="B14061" i="1"/>
  <c r="A14062" i="1"/>
  <c r="B14062" i="1"/>
  <c r="A14063" i="1"/>
  <c r="B14063" i="1"/>
  <c r="A14064" i="1"/>
  <c r="B14064" i="1"/>
  <c r="A14065" i="1"/>
  <c r="B14065" i="1"/>
  <c r="A14066" i="1"/>
  <c r="B14066" i="1"/>
  <c r="A14067" i="1"/>
  <c r="B14067" i="1"/>
  <c r="A14068" i="1"/>
  <c r="B14068" i="1"/>
  <c r="A14069" i="1"/>
  <c r="B14069" i="1"/>
  <c r="A14070" i="1"/>
  <c r="B14070" i="1"/>
  <c r="A14071" i="1"/>
  <c r="B14071" i="1"/>
  <c r="A14072" i="1"/>
  <c r="B14072" i="1"/>
  <c r="A14073" i="1"/>
  <c r="B14073" i="1"/>
  <c r="A14074" i="1"/>
  <c r="B14074" i="1"/>
  <c r="A14075" i="1"/>
  <c r="B14075" i="1"/>
  <c r="A14076" i="1"/>
  <c r="B14076" i="1"/>
  <c r="A14077" i="1"/>
  <c r="B14077" i="1"/>
  <c r="A14078" i="1"/>
  <c r="B14078" i="1"/>
  <c r="A14079" i="1"/>
  <c r="B14079" i="1"/>
  <c r="A14080" i="1"/>
  <c r="B14080" i="1"/>
  <c r="A14081" i="1"/>
  <c r="B14081" i="1"/>
  <c r="A14082" i="1"/>
  <c r="B14082" i="1"/>
  <c r="A14083" i="1"/>
  <c r="B14083" i="1"/>
  <c r="A14084" i="1"/>
  <c r="B14084" i="1"/>
  <c r="A14085" i="1"/>
  <c r="B14085" i="1"/>
  <c r="A14086" i="1"/>
  <c r="B14086" i="1"/>
  <c r="A14087" i="1"/>
  <c r="B14087" i="1"/>
  <c r="A14088" i="1"/>
  <c r="B14088" i="1"/>
  <c r="A14089" i="1"/>
  <c r="B14089" i="1"/>
  <c r="A14090" i="1"/>
  <c r="B14090" i="1"/>
  <c r="A14091" i="1"/>
  <c r="B14091" i="1"/>
  <c r="A14092" i="1"/>
  <c r="B14092" i="1"/>
  <c r="A14093" i="1"/>
  <c r="B14093" i="1"/>
  <c r="A14094" i="1"/>
  <c r="B14094" i="1"/>
  <c r="A14095" i="1"/>
  <c r="B14095" i="1"/>
  <c r="A14096" i="1"/>
  <c r="B14096" i="1"/>
  <c r="A14097" i="1"/>
  <c r="B14097" i="1"/>
  <c r="A14098" i="1"/>
  <c r="B14098" i="1"/>
  <c r="A14099" i="1"/>
  <c r="B14099" i="1"/>
  <c r="A14100" i="1"/>
  <c r="B14100" i="1"/>
  <c r="A14101" i="1"/>
  <c r="B14101" i="1"/>
  <c r="A14102" i="1"/>
  <c r="B14102" i="1"/>
  <c r="A14103" i="1"/>
  <c r="B14103" i="1"/>
  <c r="A14104" i="1"/>
  <c r="B14104" i="1"/>
  <c r="A14105" i="1"/>
  <c r="B14105" i="1"/>
  <c r="A14106" i="1"/>
  <c r="B14106" i="1"/>
  <c r="A14107" i="1"/>
  <c r="B14107" i="1"/>
  <c r="A14108" i="1"/>
  <c r="B14108" i="1"/>
  <c r="A14109" i="1"/>
  <c r="B14109" i="1"/>
  <c r="A14110" i="1"/>
  <c r="B14110" i="1"/>
  <c r="A14111" i="1"/>
  <c r="B14111" i="1"/>
  <c r="A14112" i="1"/>
  <c r="B14112" i="1"/>
  <c r="A14113" i="1"/>
  <c r="B14113" i="1"/>
  <c r="A14114" i="1"/>
  <c r="B14114" i="1"/>
  <c r="A14115" i="1"/>
  <c r="B14115" i="1"/>
  <c r="A14116" i="1"/>
  <c r="B14116" i="1"/>
  <c r="A14117" i="1"/>
  <c r="B14117" i="1"/>
  <c r="A14118" i="1"/>
  <c r="B14118" i="1"/>
  <c r="A14119" i="1"/>
  <c r="B14119" i="1"/>
  <c r="A14120" i="1"/>
  <c r="B14120" i="1"/>
  <c r="A14121" i="1"/>
  <c r="B14121" i="1"/>
  <c r="A14122" i="1"/>
  <c r="B14122" i="1"/>
  <c r="A14123" i="1"/>
  <c r="B14123" i="1"/>
  <c r="A14124" i="1"/>
  <c r="B14124" i="1"/>
  <c r="A14125" i="1"/>
  <c r="B14125" i="1"/>
  <c r="A14126" i="1"/>
  <c r="B14126" i="1"/>
  <c r="A14127" i="1"/>
  <c r="B14127" i="1"/>
  <c r="A14128" i="1"/>
  <c r="B14128" i="1"/>
  <c r="A14129" i="1"/>
  <c r="B14129" i="1"/>
  <c r="A14130" i="1"/>
  <c r="B14130" i="1"/>
  <c r="A14131" i="1"/>
  <c r="B14131" i="1"/>
  <c r="A14132" i="1"/>
  <c r="B14132" i="1"/>
  <c r="A14133" i="1"/>
  <c r="B14133" i="1"/>
  <c r="A14134" i="1"/>
  <c r="B14134" i="1"/>
  <c r="A14135" i="1"/>
  <c r="B14135" i="1"/>
  <c r="A14136" i="1"/>
  <c r="B14136" i="1"/>
  <c r="A14137" i="1"/>
  <c r="B14137" i="1"/>
  <c r="A14138" i="1"/>
  <c r="B14138" i="1"/>
  <c r="A14139" i="1"/>
  <c r="B14139" i="1"/>
  <c r="A14140" i="1"/>
  <c r="B14140" i="1"/>
  <c r="A14141" i="1"/>
  <c r="B14141" i="1"/>
  <c r="A14142" i="1"/>
  <c r="B14142" i="1"/>
  <c r="A14143" i="1"/>
  <c r="B14143" i="1"/>
  <c r="A14144" i="1"/>
  <c r="B14144" i="1"/>
  <c r="A14145" i="1"/>
  <c r="B14145" i="1"/>
  <c r="A14146" i="1"/>
  <c r="B14146" i="1"/>
  <c r="A14147" i="1"/>
  <c r="B14147" i="1"/>
  <c r="A14148" i="1"/>
  <c r="B14148" i="1"/>
  <c r="A14149" i="1"/>
  <c r="B14149" i="1"/>
  <c r="A14150" i="1"/>
  <c r="B14150" i="1"/>
  <c r="A14151" i="1"/>
  <c r="B14151" i="1"/>
  <c r="A14152" i="1"/>
  <c r="B14152" i="1"/>
  <c r="A14153" i="1"/>
  <c r="B14153" i="1"/>
  <c r="A14154" i="1"/>
  <c r="B14154" i="1"/>
  <c r="A14155" i="1"/>
  <c r="B14155" i="1"/>
  <c r="A14156" i="1"/>
  <c r="B14156" i="1"/>
  <c r="A14157" i="1"/>
  <c r="B14157" i="1"/>
  <c r="A14158" i="1"/>
  <c r="B14158" i="1"/>
  <c r="A14159" i="1"/>
  <c r="B14159" i="1"/>
  <c r="A14160" i="1"/>
  <c r="B14160" i="1"/>
  <c r="A14161" i="1"/>
  <c r="B14161" i="1"/>
  <c r="A14162" i="1"/>
  <c r="B14162" i="1"/>
  <c r="A14163" i="1"/>
  <c r="B14163" i="1"/>
  <c r="A14164" i="1"/>
  <c r="B14164" i="1"/>
  <c r="A14165" i="1"/>
  <c r="B14165" i="1"/>
  <c r="A14166" i="1"/>
  <c r="B14166" i="1"/>
  <c r="A14167" i="1"/>
  <c r="B14167" i="1"/>
  <c r="A14168" i="1"/>
  <c r="B14168" i="1"/>
  <c r="A14169" i="1"/>
  <c r="B14169" i="1"/>
  <c r="A14170" i="1"/>
  <c r="B14170" i="1"/>
  <c r="A14171" i="1"/>
  <c r="B14171" i="1"/>
  <c r="A14172" i="1"/>
  <c r="B14172" i="1"/>
  <c r="A14173" i="1"/>
  <c r="B14173" i="1"/>
  <c r="A14174" i="1"/>
  <c r="B14174" i="1"/>
  <c r="A14175" i="1"/>
  <c r="B14175" i="1"/>
  <c r="A14176" i="1"/>
  <c r="B14176" i="1"/>
  <c r="A14177" i="1"/>
  <c r="B14177" i="1"/>
  <c r="A14178" i="1"/>
  <c r="B14178" i="1"/>
  <c r="A14179" i="1"/>
  <c r="B14179" i="1"/>
  <c r="A14180" i="1"/>
  <c r="B14180" i="1"/>
  <c r="A14181" i="1"/>
  <c r="B14181" i="1"/>
  <c r="A14182" i="1"/>
  <c r="B14182" i="1"/>
  <c r="A14183" i="1"/>
  <c r="B14183" i="1"/>
  <c r="A14184" i="1"/>
  <c r="B14184" i="1"/>
  <c r="A14185" i="1"/>
  <c r="B14185" i="1"/>
  <c r="A14186" i="1"/>
  <c r="B14186" i="1"/>
  <c r="A14187" i="1"/>
  <c r="B14187" i="1"/>
  <c r="A14188" i="1"/>
  <c r="B14188" i="1"/>
  <c r="A14189" i="1"/>
  <c r="B14189" i="1"/>
  <c r="A14190" i="1"/>
  <c r="B14190" i="1"/>
  <c r="A14191" i="1"/>
  <c r="B14191" i="1"/>
  <c r="A14192" i="1"/>
  <c r="B14192" i="1"/>
  <c r="A14193" i="1"/>
  <c r="B14193" i="1"/>
  <c r="A14194" i="1"/>
  <c r="B14194" i="1"/>
  <c r="A14195" i="1"/>
  <c r="B14195" i="1"/>
  <c r="A14196" i="1"/>
  <c r="B14196" i="1"/>
  <c r="A14197" i="1"/>
  <c r="B14197" i="1"/>
  <c r="A14198" i="1"/>
  <c r="B14198" i="1"/>
  <c r="A14199" i="1"/>
  <c r="B14199" i="1"/>
  <c r="A14200" i="1"/>
  <c r="B14200" i="1"/>
  <c r="A14201" i="1"/>
  <c r="B14201" i="1"/>
  <c r="A14202" i="1"/>
  <c r="B14202" i="1"/>
  <c r="A14203" i="1"/>
  <c r="B14203" i="1"/>
  <c r="A14204" i="1"/>
  <c r="B14204" i="1"/>
  <c r="A14205" i="1"/>
  <c r="B14205" i="1"/>
  <c r="A14206" i="1"/>
  <c r="B14206" i="1"/>
  <c r="A14207" i="1"/>
  <c r="B14207" i="1"/>
  <c r="A14208" i="1"/>
  <c r="B14208" i="1"/>
  <c r="A14209" i="1"/>
  <c r="B14209" i="1"/>
  <c r="A14210" i="1"/>
  <c r="B14210" i="1"/>
  <c r="A14211" i="1"/>
  <c r="B14211" i="1"/>
  <c r="A14212" i="1"/>
  <c r="B14212" i="1"/>
  <c r="A14213" i="1"/>
  <c r="B14213" i="1"/>
  <c r="A14214" i="1"/>
  <c r="B14214" i="1"/>
  <c r="A14215" i="1"/>
  <c r="B14215" i="1"/>
  <c r="A14216" i="1"/>
  <c r="B14216" i="1"/>
  <c r="A14217" i="1"/>
  <c r="B14217" i="1"/>
  <c r="A14218" i="1"/>
  <c r="B14218" i="1"/>
  <c r="A14219" i="1"/>
  <c r="B14219" i="1"/>
  <c r="A14220" i="1"/>
  <c r="B14220" i="1"/>
  <c r="A14221" i="1"/>
  <c r="B14221" i="1"/>
  <c r="A14222" i="1"/>
  <c r="B14222" i="1"/>
  <c r="A14223" i="1"/>
  <c r="B14223" i="1"/>
  <c r="A14224" i="1"/>
  <c r="B14224" i="1"/>
  <c r="A14225" i="1"/>
  <c r="B14225" i="1"/>
  <c r="A14226" i="1"/>
  <c r="B14226" i="1"/>
  <c r="A14227" i="1"/>
  <c r="B14227" i="1"/>
  <c r="A14228" i="1"/>
  <c r="B14228" i="1"/>
  <c r="A14229" i="1"/>
  <c r="B14229" i="1"/>
  <c r="A14230" i="1"/>
  <c r="B14230" i="1"/>
  <c r="A14231" i="1"/>
  <c r="B14231" i="1"/>
  <c r="A14232" i="1"/>
  <c r="B14232" i="1"/>
  <c r="A14233" i="1"/>
  <c r="B14233" i="1"/>
  <c r="A14234" i="1"/>
  <c r="B14234" i="1"/>
  <c r="A14235" i="1"/>
  <c r="B14235" i="1"/>
  <c r="A14236" i="1"/>
  <c r="B14236" i="1"/>
  <c r="A14237" i="1"/>
  <c r="B14237" i="1"/>
  <c r="A14238" i="1"/>
  <c r="B14238" i="1"/>
  <c r="A14239" i="1"/>
  <c r="B14239" i="1"/>
  <c r="A14240" i="1"/>
  <c r="B14240" i="1"/>
  <c r="A14241" i="1"/>
  <c r="B14241" i="1"/>
  <c r="A14242" i="1"/>
  <c r="B14242" i="1"/>
  <c r="A14243" i="1"/>
  <c r="B14243" i="1"/>
  <c r="A14244" i="1"/>
  <c r="B14244" i="1"/>
  <c r="A14245" i="1"/>
  <c r="B14245" i="1"/>
  <c r="A14246" i="1"/>
  <c r="B14246" i="1"/>
  <c r="A14247" i="1"/>
  <c r="B14247" i="1"/>
  <c r="A14248" i="1"/>
  <c r="B14248" i="1"/>
  <c r="A14249" i="1"/>
  <c r="B14249" i="1"/>
  <c r="A14250" i="1"/>
  <c r="B14250" i="1"/>
  <c r="A14251" i="1"/>
  <c r="B14251" i="1"/>
  <c r="A14252" i="1"/>
  <c r="B14252" i="1"/>
  <c r="A14253" i="1"/>
  <c r="B14253" i="1"/>
  <c r="A14254" i="1"/>
  <c r="B14254" i="1"/>
  <c r="A14255" i="1"/>
  <c r="B14255" i="1"/>
  <c r="A14256" i="1"/>
  <c r="B14256" i="1"/>
  <c r="A14257" i="1"/>
  <c r="B14257" i="1"/>
  <c r="A14258" i="1"/>
  <c r="B14258" i="1"/>
  <c r="A14259" i="1"/>
  <c r="B14259" i="1"/>
  <c r="A14260" i="1"/>
  <c r="B14260" i="1"/>
  <c r="A14261" i="1"/>
  <c r="B14261" i="1"/>
  <c r="A14262" i="1"/>
  <c r="B14262" i="1"/>
  <c r="A14263" i="1"/>
  <c r="B14263" i="1"/>
  <c r="A14264" i="1"/>
  <c r="B14264" i="1"/>
  <c r="A14265" i="1"/>
  <c r="B14265" i="1"/>
  <c r="A14266" i="1"/>
  <c r="B14266" i="1"/>
  <c r="A14267" i="1"/>
  <c r="B14267" i="1"/>
  <c r="A14268" i="1"/>
  <c r="B14268" i="1"/>
  <c r="A14269" i="1"/>
  <c r="B14269" i="1"/>
  <c r="A14270" i="1"/>
  <c r="B14270" i="1"/>
  <c r="A14271" i="1"/>
  <c r="B14271" i="1"/>
  <c r="A14272" i="1"/>
  <c r="B14272" i="1"/>
  <c r="A14273" i="1"/>
  <c r="B14273" i="1"/>
  <c r="A14274" i="1"/>
  <c r="B14274" i="1"/>
  <c r="A14275" i="1"/>
  <c r="B14275" i="1"/>
  <c r="A14276" i="1"/>
  <c r="B14276" i="1"/>
  <c r="A14277" i="1"/>
  <c r="B14277" i="1"/>
  <c r="A14278" i="1"/>
  <c r="B14278" i="1"/>
  <c r="A14279" i="1"/>
  <c r="B14279" i="1"/>
  <c r="A14280" i="1"/>
  <c r="B14280" i="1"/>
  <c r="A14281" i="1"/>
  <c r="B14281" i="1"/>
  <c r="A14282" i="1"/>
  <c r="B14282" i="1"/>
  <c r="A14283" i="1"/>
  <c r="B14283" i="1"/>
  <c r="A14284" i="1"/>
  <c r="B14284" i="1"/>
  <c r="A14285" i="1"/>
  <c r="B14285" i="1"/>
  <c r="A14286" i="1"/>
  <c r="B14286" i="1"/>
  <c r="A14287" i="1"/>
  <c r="B14287" i="1"/>
  <c r="A14288" i="1"/>
  <c r="B14288" i="1"/>
  <c r="A14289" i="1"/>
  <c r="B14289" i="1"/>
  <c r="A14290" i="1"/>
  <c r="B14290" i="1"/>
  <c r="A14291" i="1"/>
  <c r="B14291" i="1"/>
  <c r="A14292" i="1"/>
  <c r="B14292" i="1"/>
  <c r="A14293" i="1"/>
  <c r="B14293" i="1"/>
  <c r="A14294" i="1"/>
  <c r="B14294" i="1"/>
  <c r="A14295" i="1"/>
  <c r="B14295" i="1"/>
  <c r="A14296" i="1"/>
  <c r="B14296" i="1"/>
  <c r="A14297" i="1"/>
  <c r="B14297" i="1"/>
  <c r="A14298" i="1"/>
  <c r="B14298" i="1"/>
  <c r="A14299" i="1"/>
  <c r="B14299" i="1"/>
  <c r="A14300" i="1"/>
  <c r="B14300" i="1"/>
  <c r="A14301" i="1"/>
  <c r="B14301" i="1"/>
  <c r="A14302" i="1"/>
  <c r="B14302" i="1"/>
  <c r="A14303" i="1"/>
  <c r="B14303" i="1"/>
  <c r="A14304" i="1"/>
  <c r="B14304" i="1"/>
  <c r="A14305" i="1"/>
  <c r="B14305" i="1"/>
  <c r="A14306" i="1"/>
  <c r="B14306" i="1"/>
  <c r="A14307" i="1"/>
  <c r="B14307" i="1"/>
  <c r="A14308" i="1"/>
  <c r="B14308" i="1"/>
  <c r="A14309" i="1"/>
  <c r="B14309" i="1"/>
  <c r="A14310" i="1"/>
  <c r="B14310" i="1"/>
  <c r="A14311" i="1"/>
  <c r="B14311" i="1"/>
  <c r="A14312" i="1"/>
  <c r="B14312" i="1"/>
  <c r="A14313" i="1"/>
  <c r="B14313" i="1"/>
  <c r="A14314" i="1"/>
  <c r="B14314" i="1"/>
  <c r="A14315" i="1"/>
  <c r="B14315" i="1"/>
  <c r="A14316" i="1"/>
  <c r="B14316" i="1"/>
  <c r="A14317" i="1"/>
  <c r="B14317" i="1"/>
  <c r="A14318" i="1"/>
  <c r="B14318" i="1"/>
  <c r="A14319" i="1"/>
  <c r="B14319" i="1"/>
  <c r="A14320" i="1"/>
  <c r="B14320" i="1"/>
  <c r="A14321" i="1"/>
  <c r="B14321" i="1"/>
  <c r="A14322" i="1"/>
  <c r="B14322" i="1"/>
  <c r="A14323" i="1"/>
  <c r="B14323" i="1"/>
  <c r="A14324" i="1"/>
  <c r="B14324" i="1"/>
  <c r="A14325" i="1"/>
  <c r="B14325" i="1"/>
  <c r="A14326" i="1"/>
  <c r="B14326" i="1"/>
  <c r="A14327" i="1"/>
  <c r="B14327" i="1"/>
  <c r="A14328" i="1"/>
  <c r="B14328" i="1"/>
  <c r="A14329" i="1"/>
  <c r="B14329" i="1"/>
  <c r="A14330" i="1"/>
  <c r="B14330" i="1"/>
  <c r="A14331" i="1"/>
  <c r="B14331" i="1"/>
  <c r="A14332" i="1"/>
  <c r="B14332" i="1"/>
  <c r="A14333" i="1"/>
  <c r="B14333" i="1"/>
  <c r="A14334" i="1"/>
  <c r="B14334" i="1"/>
  <c r="A14335" i="1"/>
  <c r="B14335" i="1"/>
  <c r="A14336" i="1"/>
  <c r="B14336" i="1"/>
  <c r="A14337" i="1"/>
  <c r="B14337" i="1"/>
  <c r="A14338" i="1"/>
  <c r="B14338" i="1"/>
  <c r="A14339" i="1"/>
  <c r="B14339" i="1"/>
  <c r="A14340" i="1"/>
  <c r="B14340" i="1"/>
  <c r="A14341" i="1"/>
  <c r="B14341" i="1"/>
  <c r="A14342" i="1"/>
  <c r="B14342" i="1"/>
  <c r="A14343" i="1"/>
  <c r="B14343" i="1"/>
  <c r="A14344" i="1"/>
  <c r="B14344" i="1"/>
  <c r="A14345" i="1"/>
  <c r="B14345" i="1"/>
  <c r="A14346" i="1"/>
  <c r="B14346" i="1"/>
  <c r="A14347" i="1"/>
  <c r="B14347" i="1"/>
  <c r="A14348" i="1"/>
  <c r="B14348" i="1"/>
  <c r="A14349" i="1"/>
  <c r="B14349" i="1"/>
  <c r="A14350" i="1"/>
  <c r="B14350" i="1"/>
  <c r="A14351" i="1"/>
  <c r="B14351" i="1"/>
  <c r="A14352" i="1"/>
  <c r="B14352" i="1"/>
  <c r="A14353" i="1"/>
  <c r="B14353" i="1"/>
  <c r="A14354" i="1"/>
  <c r="B14354" i="1"/>
  <c r="A14355" i="1"/>
  <c r="B14355" i="1"/>
  <c r="A14356" i="1"/>
  <c r="B14356" i="1"/>
  <c r="A14357" i="1"/>
  <c r="B14357" i="1"/>
  <c r="A14358" i="1"/>
  <c r="B14358" i="1"/>
  <c r="A14359" i="1"/>
  <c r="B14359" i="1"/>
  <c r="A14360" i="1"/>
  <c r="B14360" i="1"/>
  <c r="A14361" i="1"/>
  <c r="B14361" i="1"/>
  <c r="A14362" i="1"/>
  <c r="B14362" i="1"/>
  <c r="A14363" i="1"/>
  <c r="B14363" i="1"/>
  <c r="A14364" i="1"/>
  <c r="B14364" i="1"/>
  <c r="A14365" i="1"/>
  <c r="B14365" i="1"/>
  <c r="A14366" i="1"/>
  <c r="B14366" i="1"/>
  <c r="A14367" i="1"/>
  <c r="B14367" i="1"/>
  <c r="A14368" i="1"/>
  <c r="B14368" i="1"/>
  <c r="A14369" i="1"/>
  <c r="B14369" i="1"/>
  <c r="A14370" i="1"/>
  <c r="B14370" i="1"/>
  <c r="A14371" i="1"/>
  <c r="B14371" i="1"/>
  <c r="A14372" i="1"/>
  <c r="B14372" i="1"/>
  <c r="A14373" i="1"/>
  <c r="B14373" i="1"/>
  <c r="A14374" i="1"/>
  <c r="B14374" i="1"/>
  <c r="A14375" i="1"/>
  <c r="B14375" i="1"/>
  <c r="A14376" i="1"/>
  <c r="B14376" i="1"/>
  <c r="A14377" i="1"/>
  <c r="B14377" i="1"/>
  <c r="A14378" i="1"/>
  <c r="B14378" i="1"/>
  <c r="A14379" i="1"/>
  <c r="B14379" i="1"/>
  <c r="A14380" i="1"/>
  <c r="B14380" i="1"/>
  <c r="A14381" i="1"/>
  <c r="B14381" i="1"/>
  <c r="A14382" i="1"/>
  <c r="B14382" i="1"/>
  <c r="A14383" i="1"/>
  <c r="B14383" i="1"/>
  <c r="A14384" i="1"/>
  <c r="B14384" i="1"/>
  <c r="A14385" i="1"/>
  <c r="B14385" i="1"/>
  <c r="A14386" i="1"/>
  <c r="B14386" i="1"/>
  <c r="A14387" i="1"/>
  <c r="B14387" i="1"/>
  <c r="A14388" i="1"/>
  <c r="B14388" i="1"/>
  <c r="A14389" i="1"/>
  <c r="B14389" i="1"/>
  <c r="A14390" i="1"/>
  <c r="B14390" i="1"/>
  <c r="A14391" i="1"/>
  <c r="B14391" i="1"/>
  <c r="A14392" i="1"/>
  <c r="B14392" i="1"/>
  <c r="A14393" i="1"/>
  <c r="B14393" i="1"/>
  <c r="A14394" i="1"/>
  <c r="B14394" i="1"/>
  <c r="A14395" i="1"/>
  <c r="B14395" i="1"/>
  <c r="A14396" i="1"/>
  <c r="B14396" i="1"/>
  <c r="A14397" i="1"/>
  <c r="B14397" i="1"/>
  <c r="A14398" i="1"/>
  <c r="B14398" i="1"/>
  <c r="A14399" i="1"/>
  <c r="B14399" i="1"/>
  <c r="A14400" i="1"/>
  <c r="B14400" i="1"/>
  <c r="A14401" i="1"/>
  <c r="B14401" i="1"/>
  <c r="A14402" i="1"/>
  <c r="B14402" i="1"/>
  <c r="A14403" i="1"/>
  <c r="B14403" i="1"/>
  <c r="A14404" i="1"/>
  <c r="B14404" i="1"/>
  <c r="A14405" i="1"/>
  <c r="B14405" i="1"/>
  <c r="A14406" i="1"/>
  <c r="B14406" i="1"/>
  <c r="A14407" i="1"/>
  <c r="B14407" i="1"/>
  <c r="A14408" i="1"/>
  <c r="B14408" i="1"/>
  <c r="A14409" i="1"/>
  <c r="B14409" i="1"/>
  <c r="A14410" i="1"/>
  <c r="B14410" i="1"/>
  <c r="A14411" i="1"/>
  <c r="B14411" i="1"/>
  <c r="A14412" i="1"/>
  <c r="B14412" i="1"/>
  <c r="A14413" i="1"/>
  <c r="B14413" i="1"/>
  <c r="A14414" i="1"/>
  <c r="B14414" i="1"/>
  <c r="A14415" i="1"/>
  <c r="B14415" i="1"/>
  <c r="A14416" i="1"/>
  <c r="B14416" i="1"/>
  <c r="A14417" i="1"/>
  <c r="B14417" i="1"/>
  <c r="A14418" i="1"/>
  <c r="B14418" i="1"/>
  <c r="A14419" i="1"/>
  <c r="B14419" i="1"/>
  <c r="A14420" i="1"/>
  <c r="B14420" i="1"/>
  <c r="A14421" i="1"/>
  <c r="B14421" i="1"/>
  <c r="A14422" i="1"/>
  <c r="B14422" i="1"/>
  <c r="A14423" i="1"/>
  <c r="B14423" i="1"/>
  <c r="A14424" i="1"/>
  <c r="B14424" i="1"/>
  <c r="A14425" i="1"/>
  <c r="B14425" i="1"/>
  <c r="A14426" i="1"/>
  <c r="B14426" i="1"/>
  <c r="A14427" i="1"/>
  <c r="B14427" i="1"/>
  <c r="A14428" i="1"/>
  <c r="B14428" i="1"/>
  <c r="A14429" i="1"/>
  <c r="B14429" i="1"/>
  <c r="A14430" i="1"/>
  <c r="B14430" i="1"/>
  <c r="A14431" i="1"/>
  <c r="B14431" i="1"/>
  <c r="A14432" i="1"/>
  <c r="B14432" i="1"/>
  <c r="A14433" i="1"/>
  <c r="B14433" i="1"/>
  <c r="A14434" i="1"/>
  <c r="B14434" i="1"/>
  <c r="A14435" i="1"/>
  <c r="B14435" i="1"/>
  <c r="A14436" i="1"/>
  <c r="B14436" i="1"/>
  <c r="A14437" i="1"/>
  <c r="B14437" i="1"/>
  <c r="A14438" i="1"/>
  <c r="B14438" i="1"/>
  <c r="A14439" i="1"/>
  <c r="B14439" i="1"/>
  <c r="A14440" i="1"/>
  <c r="B14440" i="1"/>
  <c r="A14441" i="1"/>
  <c r="B14441" i="1"/>
  <c r="A14442" i="1"/>
  <c r="B14442" i="1"/>
  <c r="A14443" i="1"/>
  <c r="B14443" i="1"/>
  <c r="A14444" i="1"/>
  <c r="B14444" i="1"/>
  <c r="A14445" i="1"/>
  <c r="B14445" i="1"/>
  <c r="A14446" i="1"/>
  <c r="B14446" i="1"/>
  <c r="A14447" i="1"/>
  <c r="B14447" i="1"/>
  <c r="A14448" i="1"/>
  <c r="B14448" i="1"/>
  <c r="A14449" i="1"/>
  <c r="B14449" i="1"/>
  <c r="A14450" i="1"/>
  <c r="B14450" i="1"/>
  <c r="A14451" i="1"/>
  <c r="B14451" i="1"/>
  <c r="A14452" i="1"/>
  <c r="B14452" i="1"/>
  <c r="A14453" i="1"/>
  <c r="B14453" i="1"/>
  <c r="A14454" i="1"/>
  <c r="B14454" i="1"/>
  <c r="A14455" i="1"/>
  <c r="B14455" i="1"/>
  <c r="A14456" i="1"/>
  <c r="B14456" i="1"/>
  <c r="A14457" i="1"/>
  <c r="B14457" i="1"/>
  <c r="A14458" i="1"/>
  <c r="B14458" i="1"/>
  <c r="A14459" i="1"/>
  <c r="B14459" i="1"/>
  <c r="A14460" i="1"/>
  <c r="B14460" i="1"/>
  <c r="A14461" i="1"/>
  <c r="B14461" i="1"/>
  <c r="A14462" i="1"/>
  <c r="B14462" i="1"/>
  <c r="A14463" i="1"/>
  <c r="B14463" i="1"/>
  <c r="A14464" i="1"/>
  <c r="B14464" i="1"/>
  <c r="A14465" i="1"/>
  <c r="B14465" i="1"/>
  <c r="A14466" i="1"/>
  <c r="B14466" i="1"/>
  <c r="A14467" i="1"/>
  <c r="B14467" i="1"/>
  <c r="A14468" i="1"/>
  <c r="B14468" i="1"/>
  <c r="A14469" i="1"/>
  <c r="B14469" i="1"/>
  <c r="A14470" i="1"/>
  <c r="B14470" i="1"/>
  <c r="A14471" i="1"/>
  <c r="B14471" i="1"/>
  <c r="A14472" i="1"/>
  <c r="B14472" i="1"/>
  <c r="A14473" i="1"/>
  <c r="B14473" i="1"/>
  <c r="A14474" i="1"/>
  <c r="B14474" i="1"/>
  <c r="A14475" i="1"/>
  <c r="B14475" i="1"/>
  <c r="A14476" i="1"/>
  <c r="B14476" i="1"/>
  <c r="A14477" i="1"/>
  <c r="B14477" i="1"/>
  <c r="A14478" i="1"/>
  <c r="B14478" i="1"/>
  <c r="A14479" i="1"/>
  <c r="B14479" i="1"/>
  <c r="A14480" i="1"/>
  <c r="B14480" i="1"/>
  <c r="A14481" i="1"/>
  <c r="B14481" i="1"/>
  <c r="A14482" i="1"/>
  <c r="B14482" i="1"/>
  <c r="A14483" i="1"/>
  <c r="B14483" i="1"/>
  <c r="A14484" i="1"/>
  <c r="B14484" i="1"/>
  <c r="A14485" i="1"/>
  <c r="B14485" i="1"/>
  <c r="A14486" i="1"/>
  <c r="B14486" i="1"/>
  <c r="A14487" i="1"/>
  <c r="B14487" i="1"/>
  <c r="A14488" i="1"/>
  <c r="B14488" i="1"/>
  <c r="A14489" i="1"/>
  <c r="B14489" i="1"/>
  <c r="A14490" i="1"/>
  <c r="B14490" i="1"/>
  <c r="A14491" i="1"/>
  <c r="B14491" i="1"/>
  <c r="A14492" i="1"/>
  <c r="B14492" i="1"/>
  <c r="A14493" i="1"/>
  <c r="B14493" i="1"/>
  <c r="A14494" i="1"/>
  <c r="B14494" i="1"/>
  <c r="A14495" i="1"/>
  <c r="B14495" i="1"/>
  <c r="A14496" i="1"/>
  <c r="B14496" i="1"/>
  <c r="A14497" i="1"/>
  <c r="B14497" i="1"/>
  <c r="A14498" i="1"/>
  <c r="B14498" i="1"/>
  <c r="A14499" i="1"/>
  <c r="B14499" i="1"/>
  <c r="A14500" i="1"/>
  <c r="B14500" i="1"/>
  <c r="A14501" i="1"/>
  <c r="B14501" i="1"/>
  <c r="A14502" i="1"/>
  <c r="B14502" i="1"/>
  <c r="A14503" i="1"/>
  <c r="B14503" i="1"/>
  <c r="A14504" i="1"/>
  <c r="B14504" i="1"/>
  <c r="A14505" i="1"/>
  <c r="B14505" i="1"/>
  <c r="A14506" i="1"/>
  <c r="B14506" i="1"/>
  <c r="A14507" i="1"/>
  <c r="B14507" i="1"/>
  <c r="A14508" i="1"/>
  <c r="B14508" i="1"/>
  <c r="A14509" i="1"/>
  <c r="B14509" i="1"/>
  <c r="A14510" i="1"/>
  <c r="B14510" i="1"/>
  <c r="A14511" i="1"/>
  <c r="B14511" i="1"/>
  <c r="A14512" i="1"/>
  <c r="B14512" i="1"/>
  <c r="A14513" i="1"/>
  <c r="B14513" i="1"/>
  <c r="A14514" i="1"/>
  <c r="B14514" i="1"/>
  <c r="A14515" i="1"/>
  <c r="B14515" i="1"/>
  <c r="A14516" i="1"/>
  <c r="B14516" i="1"/>
  <c r="A14517" i="1"/>
  <c r="B14517" i="1"/>
  <c r="A14518" i="1"/>
  <c r="B14518" i="1"/>
  <c r="A14519" i="1"/>
  <c r="B14519" i="1"/>
  <c r="A14520" i="1"/>
  <c r="B14520" i="1"/>
  <c r="A14521" i="1"/>
  <c r="B14521" i="1"/>
  <c r="A14522" i="1"/>
  <c r="B14522" i="1"/>
  <c r="A14523" i="1"/>
  <c r="B14523" i="1"/>
  <c r="A14524" i="1"/>
  <c r="B14524" i="1"/>
  <c r="A14525" i="1"/>
  <c r="B14525" i="1"/>
  <c r="A14526" i="1"/>
  <c r="B14526" i="1"/>
  <c r="A14527" i="1"/>
  <c r="B14527" i="1"/>
  <c r="A14528" i="1"/>
  <c r="B14528" i="1"/>
  <c r="A14529" i="1"/>
  <c r="B14529" i="1"/>
  <c r="A14530" i="1"/>
  <c r="B14530" i="1"/>
  <c r="A14531" i="1"/>
  <c r="B14531" i="1"/>
  <c r="A14532" i="1"/>
  <c r="B14532" i="1"/>
  <c r="A14533" i="1"/>
  <c r="B14533" i="1"/>
  <c r="A14534" i="1"/>
  <c r="B14534" i="1"/>
  <c r="A14535" i="1"/>
  <c r="B14535" i="1"/>
  <c r="A14536" i="1"/>
  <c r="B14536" i="1"/>
  <c r="A14537" i="1"/>
  <c r="B14537" i="1"/>
  <c r="A14538" i="1"/>
  <c r="B14538" i="1"/>
  <c r="A14539" i="1"/>
  <c r="B14539" i="1"/>
  <c r="A14540" i="1"/>
  <c r="B14540" i="1"/>
  <c r="A14541" i="1"/>
  <c r="B14541" i="1"/>
  <c r="A14542" i="1"/>
  <c r="B14542" i="1"/>
  <c r="A14543" i="1"/>
  <c r="B14543" i="1"/>
  <c r="A14544" i="1"/>
  <c r="B14544" i="1"/>
  <c r="A14545" i="1"/>
  <c r="B14545" i="1"/>
  <c r="A14546" i="1"/>
  <c r="B14546" i="1"/>
  <c r="A14547" i="1"/>
  <c r="B14547" i="1"/>
  <c r="A14548" i="1"/>
  <c r="B14548" i="1"/>
  <c r="A14549" i="1"/>
  <c r="B14549" i="1"/>
  <c r="A14550" i="1"/>
  <c r="B14550" i="1"/>
  <c r="A14551" i="1"/>
  <c r="B14551" i="1"/>
  <c r="A14552" i="1"/>
  <c r="B14552" i="1"/>
  <c r="A14553" i="1"/>
  <c r="B14553" i="1"/>
  <c r="A14554" i="1"/>
  <c r="B14554" i="1"/>
  <c r="A14555" i="1"/>
  <c r="B14555" i="1"/>
  <c r="A14556" i="1"/>
  <c r="B14556" i="1"/>
  <c r="A14557" i="1"/>
  <c r="B14557" i="1"/>
  <c r="A14558" i="1"/>
  <c r="B14558" i="1"/>
  <c r="A14559" i="1"/>
  <c r="B14559" i="1"/>
  <c r="A14560" i="1"/>
  <c r="B14560" i="1"/>
  <c r="A14561" i="1"/>
  <c r="B14561" i="1"/>
  <c r="A14562" i="1"/>
  <c r="B14562" i="1"/>
  <c r="A14563" i="1"/>
  <c r="B14563" i="1"/>
  <c r="A14564" i="1"/>
  <c r="B14564" i="1"/>
  <c r="A14565" i="1"/>
  <c r="B14565" i="1"/>
  <c r="A14566" i="1"/>
  <c r="B14566" i="1"/>
  <c r="A14567" i="1"/>
  <c r="B14567" i="1"/>
  <c r="A14568" i="1"/>
  <c r="B14568" i="1"/>
  <c r="A14569" i="1"/>
  <c r="B14569" i="1"/>
  <c r="A14570" i="1"/>
  <c r="B14570" i="1"/>
  <c r="A14571" i="1"/>
  <c r="B14571" i="1"/>
  <c r="A14572" i="1"/>
  <c r="B14572" i="1"/>
  <c r="A14573" i="1"/>
  <c r="B14573" i="1"/>
  <c r="A14574" i="1"/>
  <c r="B14574" i="1"/>
  <c r="A14575" i="1"/>
  <c r="B14575" i="1"/>
  <c r="A14576" i="1"/>
  <c r="B14576" i="1"/>
  <c r="A14577" i="1"/>
  <c r="B14577" i="1"/>
  <c r="A14578" i="1"/>
  <c r="B14578" i="1"/>
  <c r="A14579" i="1"/>
  <c r="B14579" i="1"/>
  <c r="A14580" i="1"/>
  <c r="B14580" i="1"/>
  <c r="A14581" i="1"/>
  <c r="B14581" i="1"/>
  <c r="A14582" i="1"/>
  <c r="B14582" i="1"/>
  <c r="A14583" i="1"/>
  <c r="B14583" i="1"/>
  <c r="A14584" i="1"/>
  <c r="B14584" i="1"/>
  <c r="A14585" i="1"/>
  <c r="B14585" i="1"/>
  <c r="A14586" i="1"/>
  <c r="B14586" i="1"/>
  <c r="A14587" i="1"/>
  <c r="B14587" i="1"/>
  <c r="A14588" i="1"/>
  <c r="B14588" i="1"/>
  <c r="A14589" i="1"/>
  <c r="B14589" i="1"/>
  <c r="A14590" i="1"/>
  <c r="B14590" i="1"/>
  <c r="A14591" i="1"/>
  <c r="B14591" i="1"/>
  <c r="A14592" i="1"/>
  <c r="B14592" i="1"/>
  <c r="A14593" i="1"/>
  <c r="B14593" i="1"/>
  <c r="A14594" i="1"/>
  <c r="B14594" i="1"/>
  <c r="A14595" i="1"/>
  <c r="B14595" i="1"/>
  <c r="A14596" i="1"/>
  <c r="B14596" i="1"/>
  <c r="A14597" i="1"/>
  <c r="B14597" i="1"/>
  <c r="A14598" i="1"/>
  <c r="B14598" i="1"/>
  <c r="A14599" i="1"/>
  <c r="B14599" i="1"/>
  <c r="A14600" i="1"/>
  <c r="B14600" i="1"/>
  <c r="A14601" i="1"/>
  <c r="B14601" i="1"/>
  <c r="A14602" i="1"/>
  <c r="B14602" i="1"/>
  <c r="A14603" i="1"/>
  <c r="B14603" i="1"/>
  <c r="A14604" i="1"/>
  <c r="B14604" i="1"/>
  <c r="A14605" i="1"/>
  <c r="B14605" i="1"/>
  <c r="A14606" i="1"/>
  <c r="B14606" i="1"/>
  <c r="A14607" i="1"/>
  <c r="B14607" i="1"/>
  <c r="A14608" i="1"/>
  <c r="B14608" i="1"/>
  <c r="A14609" i="1"/>
  <c r="B14609" i="1"/>
  <c r="A14610" i="1"/>
  <c r="B14610" i="1"/>
  <c r="A14611" i="1"/>
  <c r="B14611" i="1"/>
  <c r="A14612" i="1"/>
  <c r="B14612" i="1"/>
  <c r="A14613" i="1"/>
  <c r="B14613" i="1"/>
  <c r="A14614" i="1"/>
  <c r="B14614" i="1"/>
  <c r="A14615" i="1"/>
  <c r="B14615" i="1"/>
  <c r="A14616" i="1"/>
  <c r="B14616" i="1"/>
  <c r="A14617" i="1"/>
  <c r="B14617" i="1"/>
  <c r="A14618" i="1"/>
  <c r="B14618" i="1"/>
  <c r="A14619" i="1"/>
  <c r="B14619" i="1"/>
  <c r="A14620" i="1"/>
  <c r="B14620" i="1"/>
  <c r="A14621" i="1"/>
  <c r="B14621" i="1"/>
  <c r="A14622" i="1"/>
  <c r="B14622" i="1"/>
  <c r="A14623" i="1"/>
  <c r="B14623" i="1"/>
  <c r="A14624" i="1"/>
  <c r="B14624" i="1"/>
  <c r="A14625" i="1"/>
  <c r="B14625" i="1"/>
  <c r="A14626" i="1"/>
  <c r="B14626" i="1"/>
  <c r="A14627" i="1"/>
  <c r="B14627" i="1"/>
  <c r="A14628" i="1"/>
  <c r="B14628" i="1"/>
  <c r="A14629" i="1"/>
  <c r="B14629" i="1"/>
  <c r="A14630" i="1"/>
  <c r="B14630" i="1"/>
  <c r="A14631" i="1"/>
  <c r="B14631" i="1"/>
  <c r="A14632" i="1"/>
  <c r="B14632" i="1"/>
  <c r="A14633" i="1"/>
  <c r="B14633" i="1"/>
  <c r="A14634" i="1"/>
  <c r="B14634" i="1"/>
  <c r="A14635" i="1"/>
  <c r="B14635" i="1"/>
  <c r="A14636" i="1"/>
  <c r="B14636" i="1"/>
  <c r="A14637" i="1"/>
  <c r="B14637" i="1"/>
  <c r="A14638" i="1"/>
  <c r="B14638" i="1"/>
  <c r="A14639" i="1"/>
  <c r="B14639" i="1"/>
  <c r="A14640" i="1"/>
  <c r="B14640" i="1"/>
  <c r="A14641" i="1"/>
  <c r="B14641" i="1"/>
  <c r="A14642" i="1"/>
  <c r="B14642" i="1"/>
  <c r="A14643" i="1"/>
  <c r="B14643" i="1"/>
  <c r="A14644" i="1"/>
  <c r="B14644" i="1"/>
  <c r="A14645" i="1"/>
  <c r="B14645" i="1"/>
  <c r="A14646" i="1"/>
  <c r="B14646" i="1"/>
  <c r="A14647" i="1"/>
  <c r="B14647" i="1"/>
  <c r="A14648" i="1"/>
  <c r="B14648" i="1"/>
  <c r="A14649" i="1"/>
  <c r="B14649" i="1"/>
  <c r="A14650" i="1"/>
  <c r="B14650" i="1"/>
  <c r="A14651" i="1"/>
  <c r="B14651" i="1"/>
  <c r="A14652" i="1"/>
  <c r="B14652" i="1"/>
  <c r="A14653" i="1"/>
  <c r="B14653" i="1"/>
  <c r="A14654" i="1"/>
  <c r="B14654" i="1"/>
  <c r="A14655" i="1"/>
  <c r="B14655" i="1"/>
  <c r="A14656" i="1"/>
  <c r="B14656" i="1"/>
  <c r="A14657" i="1"/>
  <c r="B14657" i="1"/>
  <c r="A14658" i="1"/>
  <c r="B14658" i="1"/>
  <c r="A14659" i="1"/>
  <c r="B14659" i="1"/>
  <c r="A14660" i="1"/>
  <c r="B14660" i="1"/>
  <c r="A14661" i="1"/>
  <c r="B14661" i="1"/>
  <c r="A14662" i="1"/>
  <c r="B14662" i="1"/>
  <c r="A14663" i="1"/>
  <c r="B14663" i="1"/>
  <c r="A14664" i="1"/>
  <c r="B14664" i="1"/>
  <c r="A14665" i="1"/>
  <c r="B14665" i="1"/>
  <c r="A14666" i="1"/>
  <c r="B14666" i="1"/>
  <c r="A14667" i="1"/>
  <c r="B14667" i="1"/>
  <c r="A14668" i="1"/>
  <c r="B14668" i="1"/>
  <c r="A14669" i="1"/>
  <c r="B14669" i="1"/>
  <c r="A14670" i="1"/>
  <c r="B14670" i="1"/>
  <c r="A14671" i="1"/>
  <c r="B14671" i="1"/>
  <c r="A14672" i="1"/>
  <c r="B14672" i="1"/>
  <c r="A14673" i="1"/>
  <c r="B14673" i="1"/>
  <c r="A14674" i="1"/>
  <c r="B14674" i="1"/>
  <c r="A14675" i="1"/>
  <c r="B14675" i="1"/>
  <c r="A14676" i="1"/>
  <c r="B14676" i="1"/>
  <c r="A14677" i="1"/>
  <c r="B14677" i="1"/>
  <c r="A14678" i="1"/>
  <c r="B14678" i="1"/>
  <c r="A14679" i="1"/>
  <c r="B14679" i="1"/>
  <c r="A14680" i="1"/>
  <c r="B14680" i="1"/>
  <c r="A14681" i="1"/>
  <c r="B14681" i="1"/>
  <c r="A14682" i="1"/>
  <c r="B14682" i="1"/>
  <c r="A14683" i="1"/>
  <c r="B14683" i="1"/>
  <c r="A14684" i="1"/>
  <c r="B14684" i="1"/>
  <c r="A14685" i="1"/>
  <c r="B14685" i="1"/>
  <c r="A14686" i="1"/>
  <c r="B14686" i="1"/>
  <c r="A14687" i="1"/>
  <c r="B14687" i="1"/>
  <c r="A14688" i="1"/>
  <c r="B14688" i="1"/>
  <c r="A14689" i="1"/>
  <c r="B14689" i="1"/>
  <c r="A14690" i="1"/>
  <c r="B14690" i="1"/>
  <c r="A14691" i="1"/>
  <c r="B14691" i="1"/>
  <c r="A14692" i="1"/>
  <c r="B14692" i="1"/>
  <c r="A14693" i="1"/>
  <c r="B14693" i="1"/>
  <c r="A14694" i="1"/>
  <c r="B14694" i="1"/>
  <c r="A14695" i="1"/>
  <c r="B14695" i="1"/>
  <c r="A14696" i="1"/>
  <c r="B14696" i="1"/>
  <c r="A14697" i="1"/>
  <c r="B14697" i="1"/>
  <c r="A14698" i="1"/>
  <c r="B14698" i="1"/>
  <c r="A14699" i="1"/>
  <c r="B14699" i="1"/>
  <c r="A14700" i="1"/>
  <c r="B14700" i="1"/>
  <c r="A14701" i="1"/>
  <c r="B14701" i="1"/>
  <c r="A14702" i="1"/>
  <c r="B14702" i="1"/>
  <c r="A14703" i="1"/>
  <c r="B14703" i="1"/>
  <c r="A14704" i="1"/>
  <c r="B14704" i="1"/>
  <c r="A14705" i="1"/>
  <c r="B14705" i="1"/>
  <c r="A14706" i="1"/>
  <c r="B14706" i="1"/>
  <c r="A14707" i="1"/>
  <c r="B14707" i="1"/>
  <c r="A14708" i="1"/>
  <c r="B14708" i="1"/>
  <c r="A14709" i="1"/>
  <c r="B14709" i="1"/>
  <c r="A14710" i="1"/>
  <c r="B14710" i="1"/>
  <c r="A14711" i="1"/>
  <c r="B14711" i="1"/>
  <c r="A14712" i="1"/>
  <c r="B14712" i="1"/>
  <c r="A14713" i="1"/>
  <c r="B14713" i="1"/>
  <c r="A14714" i="1"/>
  <c r="B14714" i="1"/>
  <c r="A14715" i="1"/>
  <c r="B14715" i="1"/>
  <c r="A14716" i="1"/>
  <c r="B14716" i="1"/>
  <c r="A14717" i="1"/>
  <c r="B14717" i="1"/>
  <c r="A14718" i="1"/>
  <c r="B14718" i="1"/>
  <c r="A14719" i="1"/>
  <c r="B14719" i="1"/>
  <c r="A14720" i="1"/>
  <c r="B14720" i="1"/>
  <c r="A14721" i="1"/>
  <c r="B14721" i="1"/>
  <c r="A14722" i="1"/>
  <c r="B14722" i="1"/>
  <c r="A14723" i="1"/>
  <c r="B14723" i="1"/>
  <c r="A14724" i="1"/>
  <c r="B14724" i="1"/>
  <c r="A14725" i="1"/>
  <c r="B14725" i="1"/>
  <c r="A14726" i="1"/>
  <c r="B14726" i="1"/>
  <c r="A14727" i="1"/>
  <c r="B14727" i="1"/>
  <c r="A14728" i="1"/>
  <c r="B14728" i="1"/>
  <c r="A14729" i="1"/>
  <c r="B14729" i="1"/>
  <c r="A14730" i="1"/>
  <c r="B14730" i="1"/>
  <c r="A14731" i="1"/>
  <c r="B14731" i="1"/>
  <c r="A14732" i="1"/>
  <c r="B14732" i="1"/>
  <c r="A14733" i="1"/>
  <c r="B14733" i="1"/>
  <c r="A14734" i="1"/>
  <c r="B14734" i="1"/>
  <c r="A14735" i="1"/>
  <c r="B14735" i="1"/>
  <c r="A14736" i="1"/>
  <c r="B14736" i="1"/>
  <c r="A14737" i="1"/>
  <c r="B14737" i="1"/>
  <c r="A14738" i="1"/>
  <c r="B14738" i="1"/>
  <c r="A14739" i="1"/>
  <c r="B14739" i="1"/>
  <c r="A14740" i="1"/>
  <c r="B14740" i="1"/>
  <c r="A14741" i="1"/>
  <c r="B14741" i="1"/>
  <c r="A14742" i="1"/>
  <c r="B14742" i="1"/>
  <c r="A14743" i="1"/>
  <c r="B14743" i="1"/>
  <c r="A14744" i="1"/>
  <c r="B14744" i="1"/>
  <c r="A14745" i="1"/>
  <c r="B14745" i="1"/>
  <c r="A14746" i="1"/>
  <c r="B14746" i="1"/>
  <c r="A14747" i="1"/>
  <c r="B14747" i="1"/>
  <c r="A14748" i="1"/>
  <c r="B14748" i="1"/>
  <c r="A14749" i="1"/>
  <c r="B14749" i="1"/>
  <c r="A14750" i="1"/>
  <c r="B14750" i="1"/>
  <c r="A14751" i="1"/>
  <c r="B14751" i="1"/>
  <c r="A14752" i="1"/>
  <c r="B14752" i="1"/>
  <c r="A14753" i="1"/>
  <c r="B14753" i="1"/>
  <c r="A14754" i="1"/>
  <c r="B14754" i="1"/>
  <c r="A14755" i="1"/>
  <c r="B14755" i="1"/>
  <c r="A14756" i="1"/>
  <c r="B14756" i="1"/>
  <c r="A14757" i="1"/>
  <c r="B14757" i="1"/>
  <c r="A14758" i="1"/>
  <c r="B14758" i="1"/>
  <c r="A14759" i="1"/>
  <c r="B14759" i="1"/>
  <c r="A14760" i="1"/>
  <c r="B14760" i="1"/>
  <c r="A14761" i="1"/>
  <c r="B14761" i="1"/>
  <c r="A14762" i="1"/>
  <c r="B14762" i="1"/>
  <c r="A14763" i="1"/>
  <c r="B14763" i="1"/>
  <c r="A14764" i="1"/>
  <c r="B14764" i="1"/>
  <c r="A14765" i="1"/>
  <c r="B14765" i="1"/>
  <c r="A14766" i="1"/>
  <c r="B14766" i="1"/>
  <c r="A14767" i="1"/>
  <c r="B14767" i="1"/>
  <c r="A14768" i="1"/>
  <c r="B14768" i="1"/>
  <c r="A14769" i="1"/>
  <c r="B14769" i="1"/>
  <c r="A14770" i="1"/>
  <c r="B14770" i="1"/>
  <c r="A14771" i="1"/>
  <c r="B14771" i="1"/>
  <c r="A14772" i="1"/>
  <c r="B14772" i="1"/>
  <c r="A14773" i="1"/>
  <c r="B14773" i="1"/>
  <c r="A14774" i="1"/>
  <c r="B14774" i="1"/>
  <c r="A14775" i="1"/>
  <c r="B14775" i="1"/>
  <c r="A14776" i="1"/>
  <c r="B14776" i="1"/>
  <c r="A14777" i="1"/>
  <c r="B14777" i="1"/>
  <c r="A14778" i="1"/>
  <c r="B14778" i="1"/>
  <c r="A14779" i="1"/>
  <c r="B14779" i="1"/>
  <c r="A14780" i="1"/>
  <c r="B14780" i="1"/>
  <c r="A14781" i="1"/>
  <c r="B14781" i="1"/>
  <c r="A14782" i="1"/>
  <c r="B14782" i="1"/>
  <c r="A14783" i="1"/>
  <c r="B14783" i="1"/>
  <c r="A14784" i="1"/>
  <c r="B14784" i="1"/>
  <c r="A14785" i="1"/>
  <c r="B14785" i="1"/>
  <c r="A14786" i="1"/>
  <c r="B14786" i="1"/>
  <c r="A14787" i="1"/>
  <c r="B14787" i="1"/>
  <c r="A14788" i="1"/>
  <c r="B14788" i="1"/>
  <c r="A14789" i="1"/>
  <c r="B14789" i="1"/>
  <c r="A14790" i="1"/>
  <c r="B14790" i="1"/>
  <c r="A14791" i="1"/>
  <c r="B14791" i="1"/>
  <c r="A14792" i="1"/>
  <c r="B14792" i="1"/>
  <c r="A14793" i="1"/>
  <c r="B14793" i="1"/>
  <c r="A14794" i="1"/>
  <c r="B14794" i="1"/>
  <c r="A14795" i="1"/>
  <c r="B14795" i="1"/>
  <c r="A14796" i="1"/>
  <c r="B14796" i="1"/>
  <c r="A14797" i="1"/>
  <c r="B14797" i="1"/>
  <c r="A14798" i="1"/>
  <c r="B14798" i="1"/>
  <c r="A14799" i="1"/>
  <c r="B14799" i="1"/>
  <c r="A14800" i="1"/>
  <c r="B14800" i="1"/>
  <c r="A14801" i="1"/>
  <c r="B14801" i="1"/>
  <c r="A14802" i="1"/>
  <c r="B14802" i="1"/>
  <c r="A14803" i="1"/>
  <c r="B14803" i="1"/>
  <c r="A14804" i="1"/>
  <c r="B14804" i="1"/>
  <c r="A14805" i="1"/>
  <c r="B14805" i="1"/>
  <c r="A14806" i="1"/>
  <c r="B14806" i="1"/>
  <c r="A14807" i="1"/>
  <c r="B14807" i="1"/>
  <c r="A14808" i="1"/>
  <c r="B14808" i="1"/>
  <c r="A14809" i="1"/>
  <c r="B14809" i="1"/>
  <c r="A14810" i="1"/>
  <c r="B14810" i="1"/>
  <c r="A14811" i="1"/>
  <c r="B14811" i="1"/>
  <c r="A14812" i="1"/>
  <c r="B14812" i="1"/>
  <c r="A14813" i="1"/>
  <c r="B14813" i="1"/>
  <c r="A14814" i="1"/>
  <c r="B14814" i="1"/>
  <c r="A14815" i="1"/>
  <c r="B14815" i="1"/>
  <c r="A14816" i="1"/>
  <c r="B14816" i="1"/>
  <c r="A14817" i="1"/>
  <c r="B14817" i="1"/>
  <c r="A14818" i="1"/>
  <c r="B14818" i="1"/>
  <c r="A14819" i="1"/>
  <c r="B14819" i="1"/>
  <c r="A14820" i="1"/>
  <c r="B14820" i="1"/>
  <c r="A14821" i="1"/>
  <c r="B14821" i="1"/>
  <c r="A14822" i="1"/>
  <c r="B14822" i="1"/>
  <c r="A14823" i="1"/>
  <c r="B14823" i="1"/>
  <c r="A14824" i="1"/>
  <c r="B14824" i="1"/>
  <c r="A14825" i="1"/>
  <c r="B14825" i="1"/>
  <c r="A14826" i="1"/>
  <c r="B14826" i="1"/>
  <c r="A14827" i="1"/>
  <c r="B14827" i="1"/>
  <c r="A14828" i="1"/>
  <c r="B14828" i="1"/>
  <c r="A14829" i="1"/>
  <c r="B14829" i="1"/>
  <c r="A14830" i="1"/>
  <c r="B14830" i="1"/>
  <c r="A14831" i="1"/>
  <c r="B14831" i="1"/>
  <c r="A14832" i="1"/>
  <c r="B14832" i="1"/>
  <c r="A14833" i="1"/>
  <c r="B14833" i="1"/>
  <c r="A14834" i="1"/>
  <c r="B14834" i="1"/>
  <c r="A14835" i="1"/>
  <c r="B14835" i="1"/>
  <c r="A14836" i="1"/>
  <c r="B14836" i="1"/>
  <c r="A14837" i="1"/>
  <c r="B14837" i="1"/>
  <c r="A14838" i="1"/>
  <c r="B14838" i="1"/>
  <c r="A14839" i="1"/>
  <c r="B14839" i="1"/>
  <c r="A14840" i="1"/>
  <c r="B14840" i="1"/>
  <c r="A14841" i="1"/>
  <c r="B14841" i="1"/>
  <c r="A14842" i="1"/>
  <c r="B14842" i="1"/>
  <c r="A14843" i="1"/>
  <c r="B14843" i="1"/>
  <c r="A14844" i="1"/>
  <c r="B14844" i="1"/>
  <c r="A14845" i="1"/>
  <c r="B14845" i="1"/>
  <c r="A14846" i="1"/>
  <c r="B14846" i="1"/>
  <c r="A14847" i="1"/>
  <c r="B14847" i="1"/>
  <c r="A14848" i="1"/>
  <c r="B14848" i="1"/>
  <c r="A14849" i="1"/>
  <c r="B14849" i="1"/>
  <c r="A14850" i="1"/>
  <c r="B14850" i="1"/>
  <c r="A14851" i="1"/>
  <c r="B14851" i="1"/>
  <c r="A14852" i="1"/>
  <c r="B14852" i="1"/>
  <c r="A14853" i="1"/>
  <c r="B14853" i="1"/>
  <c r="A14854" i="1"/>
  <c r="B14854" i="1"/>
  <c r="A14855" i="1"/>
  <c r="B14855" i="1"/>
  <c r="A14856" i="1"/>
  <c r="B14856" i="1"/>
  <c r="A14857" i="1"/>
  <c r="B14857" i="1"/>
  <c r="A14858" i="1"/>
  <c r="B14858" i="1"/>
  <c r="A14859" i="1"/>
  <c r="B14859" i="1"/>
  <c r="A14860" i="1"/>
  <c r="B14860" i="1"/>
  <c r="A14861" i="1"/>
  <c r="B14861" i="1"/>
  <c r="A14862" i="1"/>
  <c r="B14862" i="1"/>
  <c r="A14863" i="1"/>
  <c r="B14863" i="1"/>
  <c r="A14864" i="1"/>
  <c r="B14864" i="1"/>
  <c r="A14865" i="1"/>
  <c r="B14865" i="1"/>
  <c r="A14866" i="1"/>
  <c r="B14866" i="1"/>
  <c r="A14867" i="1"/>
  <c r="B14867" i="1"/>
  <c r="A14868" i="1"/>
  <c r="B14868" i="1"/>
  <c r="A14869" i="1"/>
  <c r="B14869" i="1"/>
  <c r="A14870" i="1"/>
  <c r="B14870" i="1"/>
  <c r="A14871" i="1"/>
  <c r="B14871" i="1"/>
  <c r="A14872" i="1"/>
  <c r="B14872" i="1"/>
  <c r="A14873" i="1"/>
  <c r="B14873" i="1"/>
  <c r="A14874" i="1"/>
  <c r="B14874" i="1"/>
  <c r="A14875" i="1"/>
  <c r="B14875" i="1"/>
  <c r="A14876" i="1"/>
  <c r="B14876" i="1"/>
  <c r="A14877" i="1"/>
  <c r="B14877" i="1"/>
  <c r="A14878" i="1"/>
  <c r="B14878" i="1"/>
  <c r="A14879" i="1"/>
  <c r="B14879" i="1"/>
  <c r="A14880" i="1"/>
  <c r="B14880" i="1"/>
  <c r="A14881" i="1"/>
  <c r="B14881" i="1"/>
  <c r="A14882" i="1"/>
  <c r="B14882" i="1"/>
  <c r="A14883" i="1"/>
  <c r="B14883" i="1"/>
  <c r="A14884" i="1"/>
  <c r="B14884" i="1"/>
  <c r="A14885" i="1"/>
  <c r="B14885" i="1"/>
  <c r="A14886" i="1"/>
  <c r="B14886" i="1"/>
  <c r="A14887" i="1"/>
  <c r="B14887" i="1"/>
  <c r="A14888" i="1"/>
  <c r="B14888" i="1"/>
  <c r="A14889" i="1"/>
  <c r="B14889" i="1"/>
  <c r="A14890" i="1"/>
  <c r="B14890" i="1"/>
  <c r="A14891" i="1"/>
  <c r="B14891" i="1"/>
  <c r="A14892" i="1"/>
  <c r="B14892" i="1"/>
  <c r="A14893" i="1"/>
  <c r="B14893" i="1"/>
  <c r="A14894" i="1"/>
  <c r="B14894" i="1"/>
  <c r="A14895" i="1"/>
  <c r="B14895" i="1"/>
  <c r="A14896" i="1"/>
  <c r="B14896" i="1"/>
  <c r="A14897" i="1"/>
  <c r="B14897" i="1"/>
  <c r="A14898" i="1"/>
  <c r="B14898" i="1"/>
  <c r="A14899" i="1"/>
  <c r="B14899" i="1"/>
  <c r="A14900" i="1"/>
  <c r="B14900" i="1"/>
  <c r="A14901" i="1"/>
  <c r="B14901" i="1"/>
  <c r="A14902" i="1"/>
  <c r="B14902" i="1"/>
  <c r="A14903" i="1"/>
  <c r="B14903" i="1"/>
  <c r="A14904" i="1"/>
  <c r="B14904" i="1"/>
  <c r="A14905" i="1"/>
  <c r="B14905" i="1"/>
  <c r="A14906" i="1"/>
  <c r="B14906" i="1"/>
  <c r="A14907" i="1"/>
  <c r="B14907" i="1"/>
  <c r="A14908" i="1"/>
  <c r="B14908" i="1"/>
  <c r="A14909" i="1"/>
  <c r="B14909" i="1"/>
  <c r="A14910" i="1"/>
  <c r="B14910" i="1"/>
  <c r="A14911" i="1"/>
  <c r="B14911" i="1"/>
  <c r="A14912" i="1"/>
  <c r="B14912" i="1"/>
  <c r="A14913" i="1"/>
  <c r="B14913" i="1"/>
  <c r="A14914" i="1"/>
  <c r="B14914" i="1"/>
  <c r="A14915" i="1"/>
  <c r="B14915" i="1"/>
  <c r="A14916" i="1"/>
  <c r="B14916" i="1"/>
  <c r="A14917" i="1"/>
  <c r="B14917" i="1"/>
  <c r="A14918" i="1"/>
  <c r="B14918" i="1"/>
  <c r="A14919" i="1"/>
  <c r="B14919" i="1"/>
  <c r="A14920" i="1"/>
  <c r="B14920" i="1"/>
  <c r="A14921" i="1"/>
  <c r="B14921" i="1"/>
  <c r="A14922" i="1"/>
  <c r="B14922" i="1"/>
  <c r="A14923" i="1"/>
  <c r="B14923" i="1"/>
  <c r="A14924" i="1"/>
  <c r="B14924" i="1"/>
  <c r="A14925" i="1"/>
  <c r="B14925" i="1"/>
  <c r="A14926" i="1"/>
  <c r="B14926" i="1"/>
  <c r="A14927" i="1"/>
  <c r="B14927" i="1"/>
  <c r="A14928" i="1"/>
  <c r="B14928" i="1"/>
  <c r="A14929" i="1"/>
  <c r="B14929" i="1"/>
  <c r="A14930" i="1"/>
  <c r="B14930" i="1"/>
  <c r="A14931" i="1"/>
  <c r="B14931" i="1"/>
  <c r="A14932" i="1"/>
  <c r="B14932" i="1"/>
  <c r="A14933" i="1"/>
  <c r="B14933" i="1"/>
  <c r="A14934" i="1"/>
  <c r="B14934" i="1"/>
  <c r="A14935" i="1"/>
  <c r="B14935" i="1"/>
  <c r="A14936" i="1"/>
  <c r="B14936" i="1"/>
  <c r="A14937" i="1"/>
  <c r="B14937" i="1"/>
  <c r="A14938" i="1"/>
  <c r="B14938" i="1"/>
  <c r="A14939" i="1"/>
  <c r="B14939" i="1"/>
  <c r="A14940" i="1"/>
  <c r="B14940" i="1"/>
  <c r="A14941" i="1"/>
  <c r="B14941" i="1"/>
  <c r="A14942" i="1"/>
  <c r="B14942" i="1"/>
  <c r="A14943" i="1"/>
  <c r="B14943" i="1"/>
  <c r="A14944" i="1"/>
  <c r="B14944" i="1"/>
  <c r="A14945" i="1"/>
  <c r="B14945" i="1"/>
  <c r="A14946" i="1"/>
  <c r="B14946" i="1"/>
  <c r="A14947" i="1"/>
  <c r="B14947" i="1"/>
  <c r="A14948" i="1"/>
  <c r="B14948" i="1"/>
  <c r="A14949" i="1"/>
  <c r="B14949" i="1"/>
  <c r="A14950" i="1"/>
  <c r="B14950" i="1"/>
  <c r="A14951" i="1"/>
  <c r="B14951" i="1"/>
  <c r="A14952" i="1"/>
  <c r="B14952" i="1"/>
  <c r="A14953" i="1"/>
  <c r="B14953" i="1"/>
  <c r="A14954" i="1"/>
  <c r="B14954" i="1"/>
  <c r="A14955" i="1"/>
  <c r="B14955" i="1"/>
  <c r="A14956" i="1"/>
  <c r="B14956" i="1"/>
  <c r="A14957" i="1"/>
  <c r="B14957" i="1"/>
  <c r="A14958" i="1"/>
  <c r="B14958" i="1"/>
  <c r="A14959" i="1"/>
  <c r="B14959" i="1"/>
  <c r="A14960" i="1"/>
  <c r="B14960" i="1"/>
  <c r="A14961" i="1"/>
  <c r="B14961" i="1"/>
  <c r="A14962" i="1"/>
  <c r="B14962" i="1"/>
  <c r="A14963" i="1"/>
  <c r="B14963" i="1"/>
  <c r="A14964" i="1"/>
  <c r="B14964" i="1"/>
  <c r="A14965" i="1"/>
  <c r="B14965" i="1"/>
  <c r="A14966" i="1"/>
  <c r="B14966" i="1"/>
  <c r="A14967" i="1"/>
  <c r="B14967" i="1"/>
  <c r="A14968" i="1"/>
  <c r="B14968" i="1"/>
  <c r="A14969" i="1"/>
  <c r="B14969" i="1"/>
  <c r="A14970" i="1"/>
  <c r="B14970" i="1"/>
  <c r="A14971" i="1"/>
  <c r="B14971" i="1"/>
  <c r="A14972" i="1"/>
  <c r="B14972" i="1"/>
  <c r="A14973" i="1"/>
  <c r="B14973" i="1"/>
  <c r="A14974" i="1"/>
  <c r="B14974" i="1"/>
  <c r="A14975" i="1"/>
  <c r="B14975" i="1"/>
  <c r="A14976" i="1"/>
  <c r="B14976" i="1"/>
  <c r="A14977" i="1"/>
  <c r="B14977" i="1"/>
  <c r="A14978" i="1"/>
  <c r="B14978" i="1"/>
  <c r="A14979" i="1"/>
  <c r="B14979" i="1"/>
  <c r="A14980" i="1"/>
  <c r="B14980" i="1"/>
  <c r="A14981" i="1"/>
  <c r="B14981" i="1"/>
  <c r="A14982" i="1"/>
  <c r="B14982" i="1"/>
  <c r="A14983" i="1"/>
  <c r="B14983" i="1"/>
  <c r="A14984" i="1"/>
  <c r="B14984" i="1"/>
  <c r="A14985" i="1"/>
  <c r="B14985" i="1"/>
  <c r="A14986" i="1"/>
  <c r="B14986" i="1"/>
  <c r="A14987" i="1"/>
  <c r="B14987" i="1"/>
  <c r="A14988" i="1"/>
  <c r="B14988" i="1"/>
  <c r="A14989" i="1"/>
  <c r="B14989" i="1"/>
  <c r="A14990" i="1"/>
  <c r="B14990" i="1"/>
  <c r="A14991" i="1"/>
  <c r="B14991" i="1"/>
  <c r="A14992" i="1"/>
  <c r="B14992" i="1"/>
  <c r="A14993" i="1"/>
  <c r="B14993" i="1"/>
  <c r="A14994" i="1"/>
  <c r="B14994" i="1"/>
  <c r="A14995" i="1"/>
  <c r="B14995" i="1"/>
  <c r="A14996" i="1"/>
  <c r="B14996" i="1"/>
  <c r="A14997" i="1"/>
  <c r="B14997" i="1"/>
  <c r="A14998" i="1"/>
  <c r="B14998" i="1"/>
  <c r="A14999" i="1"/>
  <c r="B14999" i="1"/>
  <c r="A15000" i="1"/>
  <c r="B15000" i="1"/>
  <c r="A15001" i="1"/>
  <c r="B15001" i="1"/>
  <c r="A15002" i="1"/>
  <c r="B15002" i="1"/>
  <c r="A15003" i="1"/>
  <c r="B15003" i="1"/>
  <c r="A15004" i="1"/>
  <c r="B15004" i="1"/>
  <c r="A15005" i="1"/>
  <c r="B15005" i="1"/>
  <c r="A15006" i="1"/>
  <c r="B15006" i="1"/>
  <c r="A15007" i="1"/>
  <c r="B15007" i="1"/>
  <c r="A15008" i="1"/>
  <c r="B15008" i="1"/>
  <c r="A15009" i="1"/>
  <c r="B15009" i="1"/>
  <c r="A15010" i="1"/>
  <c r="B15010" i="1"/>
  <c r="A15011" i="1"/>
  <c r="B15011" i="1"/>
  <c r="A15012" i="1"/>
  <c r="B15012" i="1"/>
  <c r="A15013" i="1"/>
  <c r="B15013" i="1"/>
  <c r="A15014" i="1"/>
  <c r="B15014" i="1"/>
  <c r="A15015" i="1"/>
  <c r="B15015" i="1"/>
  <c r="A15016" i="1"/>
  <c r="B15016" i="1"/>
  <c r="A15017" i="1"/>
  <c r="B15017" i="1"/>
  <c r="A15018" i="1"/>
  <c r="B15018" i="1"/>
  <c r="A15019" i="1"/>
  <c r="B15019" i="1"/>
  <c r="A15020" i="1"/>
  <c r="B15020" i="1"/>
  <c r="A15021" i="1"/>
  <c r="B15021" i="1"/>
  <c r="A15022" i="1"/>
  <c r="B15022" i="1"/>
  <c r="A15023" i="1"/>
  <c r="B15023" i="1"/>
  <c r="A15024" i="1"/>
  <c r="B15024" i="1"/>
  <c r="A15025" i="1"/>
  <c r="B15025" i="1"/>
  <c r="A15026" i="1"/>
  <c r="B15026" i="1"/>
  <c r="A15027" i="1"/>
  <c r="B15027" i="1"/>
  <c r="A15028" i="1"/>
  <c r="B15028" i="1"/>
  <c r="A15029" i="1"/>
  <c r="B15029" i="1"/>
  <c r="A15030" i="1"/>
  <c r="B15030" i="1"/>
  <c r="A15031" i="1"/>
  <c r="B15031" i="1"/>
  <c r="A15032" i="1"/>
  <c r="B15032" i="1"/>
  <c r="A15033" i="1"/>
  <c r="B15033" i="1"/>
  <c r="A15034" i="1"/>
  <c r="B15034" i="1"/>
  <c r="A15035" i="1"/>
  <c r="B15035" i="1"/>
  <c r="A15036" i="1"/>
  <c r="B15036" i="1"/>
  <c r="A15037" i="1"/>
  <c r="B15037" i="1"/>
  <c r="A15038" i="1"/>
  <c r="B15038" i="1"/>
  <c r="A15039" i="1"/>
  <c r="B15039" i="1"/>
  <c r="A15040" i="1"/>
  <c r="B15040" i="1"/>
  <c r="A15041" i="1"/>
  <c r="B15041" i="1"/>
  <c r="A15042" i="1"/>
  <c r="B15042" i="1"/>
  <c r="A15043" i="1"/>
  <c r="B15043" i="1"/>
  <c r="A15044" i="1"/>
  <c r="B15044" i="1"/>
  <c r="A15045" i="1"/>
  <c r="B15045" i="1"/>
  <c r="A15046" i="1"/>
  <c r="B15046" i="1"/>
  <c r="A15047" i="1"/>
  <c r="B15047" i="1"/>
  <c r="A15048" i="1"/>
  <c r="B15048" i="1"/>
  <c r="A15049" i="1"/>
  <c r="B15049" i="1"/>
  <c r="A15050" i="1"/>
  <c r="B15050" i="1"/>
  <c r="A15051" i="1"/>
  <c r="B15051" i="1"/>
  <c r="A15052" i="1"/>
  <c r="B15052" i="1"/>
  <c r="A15053" i="1"/>
  <c r="B15053" i="1"/>
  <c r="A15054" i="1"/>
  <c r="B15054" i="1"/>
  <c r="A15055" i="1"/>
  <c r="B15055" i="1"/>
  <c r="A15056" i="1"/>
  <c r="B15056" i="1"/>
  <c r="A15057" i="1"/>
  <c r="B15057" i="1"/>
  <c r="A15058" i="1"/>
  <c r="B15058" i="1"/>
  <c r="A15059" i="1"/>
  <c r="B15059" i="1"/>
  <c r="A15060" i="1"/>
  <c r="B15060" i="1"/>
  <c r="A15061" i="1"/>
  <c r="B15061" i="1"/>
  <c r="A15062" i="1"/>
  <c r="B15062" i="1"/>
  <c r="A15063" i="1"/>
  <c r="B15063" i="1"/>
  <c r="A15064" i="1"/>
  <c r="B15064" i="1"/>
  <c r="A15065" i="1"/>
  <c r="B15065" i="1"/>
  <c r="A15066" i="1"/>
  <c r="B15066" i="1"/>
  <c r="A15067" i="1"/>
  <c r="B15067" i="1"/>
  <c r="A15068" i="1"/>
  <c r="B15068" i="1"/>
  <c r="A15069" i="1"/>
  <c r="B15069" i="1"/>
  <c r="A15070" i="1"/>
  <c r="B15070" i="1"/>
  <c r="A15071" i="1"/>
  <c r="B15071" i="1"/>
  <c r="A15072" i="1"/>
  <c r="B15072" i="1"/>
  <c r="A15073" i="1"/>
  <c r="B15073" i="1"/>
  <c r="A15074" i="1"/>
  <c r="B15074" i="1"/>
  <c r="A15075" i="1"/>
  <c r="B15075" i="1"/>
  <c r="A15076" i="1"/>
  <c r="B15076" i="1"/>
  <c r="A15077" i="1"/>
  <c r="B15077" i="1"/>
  <c r="A15078" i="1"/>
  <c r="B15078" i="1"/>
  <c r="A15079" i="1"/>
  <c r="B15079" i="1"/>
  <c r="A15080" i="1"/>
  <c r="B15080" i="1"/>
  <c r="A15081" i="1"/>
  <c r="B15081" i="1"/>
  <c r="A15082" i="1"/>
  <c r="B15082" i="1"/>
  <c r="A15083" i="1"/>
  <c r="B15083" i="1"/>
  <c r="A15084" i="1"/>
  <c r="B15084" i="1"/>
  <c r="A15085" i="1"/>
  <c r="B15085" i="1"/>
  <c r="A15086" i="1"/>
  <c r="B15086" i="1"/>
  <c r="A15087" i="1"/>
  <c r="B15087" i="1"/>
  <c r="A15088" i="1"/>
  <c r="B15088" i="1"/>
  <c r="A15089" i="1"/>
  <c r="B15089" i="1"/>
  <c r="A15090" i="1"/>
  <c r="B15090" i="1"/>
  <c r="A15091" i="1"/>
  <c r="B15091" i="1"/>
  <c r="A15092" i="1"/>
  <c r="B15092" i="1"/>
  <c r="A15093" i="1"/>
  <c r="B15093" i="1"/>
  <c r="A15094" i="1"/>
  <c r="B15094" i="1"/>
  <c r="A15095" i="1"/>
  <c r="B15095" i="1"/>
  <c r="A15096" i="1"/>
  <c r="B15096" i="1"/>
  <c r="A15097" i="1"/>
  <c r="B15097" i="1"/>
  <c r="A15098" i="1"/>
  <c r="B15098" i="1"/>
  <c r="A15099" i="1"/>
  <c r="B15099" i="1"/>
  <c r="A15100" i="1"/>
  <c r="B15100" i="1"/>
  <c r="A15101" i="1"/>
  <c r="B15101" i="1"/>
  <c r="A15102" i="1"/>
  <c r="B15102" i="1"/>
  <c r="A15103" i="1"/>
  <c r="B15103" i="1"/>
  <c r="A15104" i="1"/>
  <c r="B15104" i="1"/>
  <c r="A15105" i="1"/>
  <c r="B15105" i="1"/>
  <c r="A15106" i="1"/>
  <c r="B15106" i="1"/>
  <c r="A15107" i="1"/>
  <c r="B15107" i="1"/>
  <c r="A15108" i="1"/>
  <c r="B15108" i="1"/>
  <c r="A15109" i="1"/>
  <c r="B15109" i="1"/>
  <c r="A15110" i="1"/>
  <c r="B15110" i="1"/>
  <c r="A15111" i="1"/>
  <c r="B15111" i="1"/>
  <c r="A15112" i="1"/>
  <c r="B15112" i="1"/>
  <c r="A15113" i="1"/>
  <c r="B15113" i="1"/>
  <c r="A15114" i="1"/>
  <c r="B15114" i="1"/>
  <c r="A15115" i="1"/>
  <c r="B15115" i="1"/>
  <c r="A15116" i="1"/>
  <c r="B15116" i="1"/>
  <c r="A15117" i="1"/>
  <c r="B15117" i="1"/>
  <c r="A15118" i="1"/>
  <c r="B15118" i="1"/>
  <c r="A15119" i="1"/>
  <c r="B15119" i="1"/>
  <c r="A15120" i="1"/>
  <c r="B15120" i="1"/>
  <c r="A15121" i="1"/>
  <c r="B15121" i="1"/>
  <c r="A15122" i="1"/>
  <c r="B15122" i="1"/>
  <c r="A15123" i="1"/>
  <c r="B15123" i="1"/>
  <c r="A15124" i="1"/>
  <c r="B15124" i="1"/>
  <c r="A15125" i="1"/>
  <c r="B15125" i="1"/>
  <c r="A15126" i="1"/>
  <c r="B15126" i="1"/>
  <c r="A15127" i="1"/>
  <c r="B15127" i="1"/>
  <c r="A15128" i="1"/>
  <c r="B15128" i="1"/>
  <c r="A15129" i="1"/>
  <c r="B15129" i="1"/>
  <c r="A15130" i="1"/>
  <c r="B15130" i="1"/>
  <c r="A15131" i="1"/>
  <c r="B15131" i="1"/>
  <c r="A15132" i="1"/>
  <c r="B15132" i="1"/>
  <c r="A15133" i="1"/>
  <c r="B15133" i="1"/>
  <c r="A15134" i="1"/>
  <c r="B15134" i="1"/>
  <c r="A15135" i="1"/>
  <c r="B15135" i="1"/>
  <c r="A15136" i="1"/>
  <c r="B15136" i="1"/>
  <c r="A15137" i="1"/>
  <c r="B15137" i="1"/>
  <c r="A15138" i="1"/>
  <c r="B15138" i="1"/>
  <c r="A15139" i="1"/>
  <c r="B15139" i="1"/>
  <c r="A15140" i="1"/>
  <c r="B15140" i="1"/>
  <c r="A15141" i="1"/>
  <c r="B15141" i="1"/>
  <c r="A15142" i="1"/>
  <c r="B15142" i="1"/>
  <c r="A15143" i="1"/>
  <c r="B15143" i="1"/>
  <c r="A15144" i="1"/>
  <c r="B15144" i="1"/>
  <c r="A15145" i="1"/>
  <c r="B15145" i="1"/>
  <c r="A15146" i="1"/>
  <c r="B15146" i="1"/>
  <c r="A15147" i="1"/>
  <c r="B15147" i="1"/>
  <c r="A15148" i="1"/>
  <c r="B15148" i="1"/>
  <c r="A15149" i="1"/>
  <c r="B15149" i="1"/>
  <c r="A15150" i="1"/>
  <c r="B15150" i="1"/>
  <c r="A15151" i="1"/>
  <c r="B15151" i="1"/>
  <c r="A15152" i="1"/>
  <c r="B15152" i="1"/>
  <c r="A15153" i="1"/>
  <c r="B15153" i="1"/>
  <c r="A15154" i="1"/>
  <c r="B15154" i="1"/>
  <c r="A15155" i="1"/>
  <c r="B15155" i="1"/>
  <c r="A15156" i="1"/>
  <c r="B15156" i="1"/>
  <c r="A15157" i="1"/>
  <c r="B15157" i="1"/>
  <c r="A15158" i="1"/>
  <c r="B15158" i="1"/>
  <c r="A15159" i="1"/>
  <c r="B15159" i="1"/>
  <c r="A15160" i="1"/>
  <c r="B15160" i="1"/>
  <c r="A15161" i="1"/>
  <c r="B15161" i="1"/>
  <c r="A15162" i="1"/>
  <c r="B15162" i="1"/>
  <c r="A15163" i="1"/>
  <c r="B15163" i="1"/>
  <c r="A15164" i="1"/>
  <c r="B15164" i="1"/>
  <c r="A15165" i="1"/>
  <c r="B15165" i="1"/>
  <c r="A15166" i="1"/>
  <c r="B15166" i="1"/>
  <c r="A15167" i="1"/>
  <c r="B15167" i="1"/>
  <c r="A15168" i="1"/>
  <c r="B15168" i="1"/>
  <c r="A15169" i="1"/>
  <c r="B15169" i="1"/>
  <c r="A15170" i="1"/>
  <c r="B15170" i="1"/>
  <c r="A15171" i="1"/>
  <c r="B15171" i="1"/>
  <c r="A15172" i="1"/>
  <c r="B15172" i="1"/>
  <c r="A15173" i="1"/>
  <c r="B15173" i="1"/>
  <c r="A15174" i="1"/>
  <c r="B15174" i="1"/>
  <c r="A15175" i="1"/>
  <c r="B15175" i="1"/>
  <c r="A15176" i="1"/>
  <c r="B15176" i="1"/>
  <c r="A15177" i="1"/>
  <c r="B15177" i="1"/>
  <c r="A15178" i="1"/>
  <c r="B15178" i="1"/>
  <c r="A15179" i="1"/>
  <c r="B15179" i="1"/>
  <c r="A15180" i="1"/>
  <c r="B15180" i="1"/>
  <c r="A15181" i="1"/>
  <c r="B15181" i="1"/>
  <c r="A15182" i="1"/>
  <c r="B15182" i="1"/>
  <c r="A15183" i="1"/>
  <c r="B15183" i="1"/>
  <c r="A15184" i="1"/>
  <c r="B15184" i="1"/>
  <c r="A15185" i="1"/>
  <c r="B15185" i="1"/>
  <c r="A15186" i="1"/>
  <c r="B15186" i="1"/>
  <c r="A15187" i="1"/>
  <c r="B15187" i="1"/>
  <c r="A15188" i="1"/>
  <c r="B15188" i="1"/>
  <c r="A15189" i="1"/>
  <c r="B15189" i="1"/>
  <c r="A15190" i="1"/>
  <c r="B15190" i="1"/>
  <c r="A15191" i="1"/>
  <c r="B15191" i="1"/>
  <c r="A15192" i="1"/>
  <c r="B15192" i="1"/>
  <c r="A15193" i="1"/>
  <c r="B15193" i="1"/>
  <c r="A15194" i="1"/>
  <c r="B15194" i="1"/>
  <c r="A15195" i="1"/>
  <c r="B15195" i="1"/>
  <c r="A15196" i="1"/>
  <c r="B15196" i="1"/>
  <c r="A15197" i="1"/>
  <c r="B15197" i="1"/>
  <c r="A15198" i="1"/>
  <c r="B15198" i="1"/>
  <c r="A15199" i="1"/>
  <c r="B15199" i="1"/>
  <c r="A15200" i="1"/>
  <c r="B15200" i="1"/>
  <c r="A15201" i="1"/>
  <c r="B15201" i="1"/>
  <c r="A15202" i="1"/>
  <c r="B15202" i="1"/>
  <c r="A15203" i="1"/>
  <c r="B15203" i="1"/>
  <c r="A15204" i="1"/>
  <c r="B15204" i="1"/>
  <c r="A15205" i="1"/>
  <c r="B15205" i="1"/>
  <c r="A15206" i="1"/>
  <c r="B15206" i="1"/>
  <c r="A15207" i="1"/>
  <c r="B15207" i="1"/>
  <c r="A15208" i="1"/>
  <c r="B15208" i="1"/>
  <c r="A15209" i="1"/>
  <c r="B15209" i="1"/>
  <c r="A15210" i="1"/>
  <c r="B15210" i="1"/>
  <c r="A15211" i="1"/>
  <c r="B15211" i="1"/>
  <c r="A15212" i="1"/>
  <c r="B15212" i="1"/>
  <c r="A15213" i="1"/>
  <c r="B15213" i="1"/>
  <c r="A15214" i="1"/>
  <c r="B15214" i="1"/>
  <c r="A15215" i="1"/>
  <c r="B15215" i="1"/>
  <c r="A15216" i="1"/>
  <c r="B15216" i="1"/>
  <c r="A15217" i="1"/>
  <c r="B15217" i="1"/>
  <c r="A15218" i="1"/>
  <c r="B15218" i="1"/>
  <c r="A15219" i="1"/>
  <c r="B15219" i="1"/>
  <c r="A15220" i="1"/>
  <c r="B15220" i="1"/>
  <c r="A15221" i="1"/>
  <c r="B15221" i="1"/>
  <c r="A15222" i="1"/>
  <c r="B15222" i="1"/>
  <c r="A15223" i="1"/>
  <c r="B15223" i="1"/>
  <c r="A15224" i="1"/>
  <c r="B15224" i="1"/>
  <c r="A15225" i="1"/>
  <c r="B15225" i="1"/>
  <c r="A15226" i="1"/>
  <c r="B15226" i="1"/>
  <c r="A15227" i="1"/>
  <c r="B15227" i="1"/>
  <c r="A15228" i="1"/>
  <c r="B15228" i="1"/>
  <c r="A15229" i="1"/>
  <c r="B15229" i="1"/>
  <c r="A15230" i="1"/>
  <c r="B15230" i="1"/>
  <c r="A15231" i="1"/>
  <c r="B15231" i="1"/>
  <c r="A15232" i="1"/>
  <c r="B15232" i="1"/>
  <c r="A15233" i="1"/>
  <c r="B15233" i="1"/>
  <c r="A15234" i="1"/>
  <c r="B15234" i="1"/>
  <c r="A15235" i="1"/>
  <c r="B15235" i="1"/>
  <c r="A15236" i="1"/>
  <c r="B15236" i="1"/>
  <c r="A15237" i="1"/>
  <c r="B15237" i="1"/>
  <c r="A15238" i="1"/>
  <c r="B15238" i="1"/>
  <c r="A15239" i="1"/>
  <c r="B15239" i="1"/>
  <c r="A15240" i="1"/>
  <c r="B15240" i="1"/>
  <c r="A15241" i="1"/>
  <c r="B15241" i="1"/>
  <c r="A15242" i="1"/>
  <c r="B15242" i="1"/>
  <c r="A15243" i="1"/>
  <c r="B15243" i="1"/>
  <c r="A15244" i="1"/>
  <c r="B15244" i="1"/>
  <c r="A15245" i="1"/>
  <c r="B15245" i="1"/>
  <c r="A15246" i="1"/>
  <c r="B15246" i="1"/>
  <c r="A15247" i="1"/>
  <c r="B15247" i="1"/>
  <c r="A15248" i="1"/>
  <c r="B15248" i="1"/>
  <c r="A15249" i="1"/>
  <c r="B15249" i="1"/>
  <c r="A15250" i="1"/>
  <c r="B15250" i="1"/>
  <c r="A15251" i="1"/>
  <c r="B15251" i="1"/>
  <c r="A15252" i="1"/>
  <c r="B15252" i="1"/>
  <c r="A15253" i="1"/>
  <c r="B15253" i="1"/>
  <c r="A15254" i="1"/>
  <c r="B15254" i="1"/>
  <c r="A15255" i="1"/>
  <c r="B15255" i="1"/>
  <c r="A15256" i="1"/>
  <c r="B15256" i="1"/>
  <c r="A15257" i="1"/>
  <c r="B15257" i="1"/>
  <c r="A15258" i="1"/>
  <c r="B15258" i="1"/>
  <c r="A15259" i="1"/>
  <c r="B15259" i="1"/>
  <c r="A15260" i="1"/>
  <c r="B15260" i="1"/>
  <c r="A15261" i="1"/>
  <c r="B15261" i="1"/>
  <c r="A15262" i="1"/>
  <c r="B15262" i="1"/>
  <c r="A15263" i="1"/>
  <c r="B15263" i="1"/>
  <c r="A15264" i="1"/>
  <c r="B15264" i="1"/>
  <c r="A15265" i="1"/>
  <c r="B15265" i="1"/>
  <c r="A15266" i="1"/>
  <c r="B15266" i="1"/>
  <c r="A15267" i="1"/>
  <c r="B15267" i="1"/>
  <c r="A15268" i="1"/>
  <c r="B15268" i="1"/>
  <c r="A15269" i="1"/>
  <c r="B15269" i="1"/>
  <c r="A15270" i="1"/>
  <c r="B15270" i="1"/>
  <c r="A15271" i="1"/>
  <c r="B15271" i="1"/>
  <c r="A15272" i="1"/>
  <c r="B15272" i="1"/>
  <c r="A15273" i="1"/>
  <c r="B15273" i="1"/>
  <c r="A15274" i="1"/>
  <c r="B15274" i="1"/>
  <c r="A15275" i="1"/>
  <c r="B15275" i="1"/>
  <c r="A15276" i="1"/>
  <c r="B15276" i="1"/>
  <c r="A15277" i="1"/>
  <c r="B15277" i="1"/>
  <c r="A15278" i="1"/>
  <c r="B15278" i="1"/>
  <c r="A15279" i="1"/>
  <c r="B15279" i="1"/>
  <c r="A15280" i="1"/>
  <c r="B15280" i="1"/>
  <c r="A15281" i="1"/>
  <c r="B15281" i="1"/>
  <c r="A15282" i="1"/>
  <c r="B15282" i="1"/>
  <c r="A15283" i="1"/>
  <c r="B15283" i="1"/>
  <c r="A15284" i="1"/>
  <c r="B15284" i="1"/>
  <c r="A15285" i="1"/>
  <c r="B15285" i="1"/>
  <c r="A15286" i="1"/>
  <c r="B15286" i="1"/>
  <c r="A15287" i="1"/>
  <c r="B15287" i="1"/>
  <c r="A15288" i="1"/>
  <c r="B15288" i="1"/>
  <c r="A15289" i="1"/>
  <c r="B15289" i="1"/>
  <c r="A15290" i="1"/>
  <c r="B15290" i="1"/>
  <c r="A15291" i="1"/>
  <c r="B15291" i="1"/>
  <c r="A15292" i="1"/>
  <c r="B15292" i="1"/>
  <c r="A15293" i="1"/>
  <c r="B15293" i="1"/>
  <c r="A15294" i="1"/>
  <c r="B15294" i="1"/>
  <c r="A15295" i="1"/>
  <c r="B15295" i="1"/>
  <c r="A15296" i="1"/>
  <c r="B15296" i="1"/>
  <c r="A15297" i="1"/>
  <c r="B15297" i="1"/>
  <c r="A15298" i="1"/>
  <c r="B15298" i="1"/>
  <c r="A15299" i="1"/>
  <c r="B15299" i="1"/>
  <c r="A15300" i="1"/>
  <c r="B15300" i="1"/>
  <c r="A15301" i="1"/>
  <c r="B15301" i="1"/>
  <c r="A15302" i="1"/>
  <c r="B15302" i="1"/>
  <c r="A15303" i="1"/>
  <c r="B15303" i="1"/>
  <c r="A15304" i="1"/>
  <c r="B15304" i="1"/>
  <c r="A15305" i="1"/>
  <c r="B15305" i="1"/>
  <c r="A15306" i="1"/>
  <c r="B15306" i="1"/>
  <c r="A15307" i="1"/>
  <c r="B15307" i="1"/>
  <c r="A15308" i="1"/>
  <c r="B15308" i="1"/>
  <c r="A15309" i="1"/>
  <c r="B15309" i="1"/>
  <c r="A15310" i="1"/>
  <c r="B15310" i="1"/>
  <c r="A15311" i="1"/>
  <c r="B15311" i="1"/>
  <c r="A15312" i="1"/>
  <c r="B15312" i="1"/>
  <c r="A15313" i="1"/>
  <c r="B15313" i="1"/>
  <c r="A15314" i="1"/>
  <c r="B15314" i="1"/>
  <c r="A15315" i="1"/>
  <c r="B15315" i="1"/>
  <c r="A15316" i="1"/>
  <c r="B15316" i="1"/>
  <c r="A15317" i="1"/>
  <c r="B15317" i="1"/>
  <c r="A15318" i="1"/>
  <c r="B15318" i="1"/>
  <c r="A15319" i="1"/>
  <c r="B15319" i="1"/>
  <c r="A15320" i="1"/>
  <c r="B15320" i="1"/>
  <c r="A15321" i="1"/>
  <c r="B15321" i="1"/>
  <c r="A15322" i="1"/>
  <c r="B15322" i="1"/>
  <c r="A15323" i="1"/>
  <c r="B15323" i="1"/>
  <c r="A15324" i="1"/>
  <c r="B15324" i="1"/>
  <c r="A15325" i="1"/>
  <c r="B15325" i="1"/>
  <c r="A15326" i="1"/>
  <c r="B15326" i="1"/>
  <c r="A15327" i="1"/>
  <c r="B15327" i="1"/>
  <c r="A15328" i="1"/>
  <c r="B15328" i="1"/>
  <c r="A15329" i="1"/>
  <c r="B15329" i="1"/>
  <c r="A15330" i="1"/>
  <c r="B15330" i="1"/>
  <c r="A15331" i="1"/>
  <c r="B15331" i="1"/>
  <c r="A15332" i="1"/>
  <c r="B15332" i="1"/>
  <c r="A15333" i="1"/>
  <c r="B15333" i="1"/>
  <c r="A15334" i="1"/>
  <c r="B15334" i="1"/>
  <c r="A15335" i="1"/>
  <c r="B15335" i="1"/>
  <c r="A15336" i="1"/>
  <c r="B15336" i="1"/>
  <c r="A15337" i="1"/>
  <c r="B15337" i="1"/>
  <c r="A15338" i="1"/>
  <c r="B15338" i="1"/>
  <c r="A15339" i="1"/>
  <c r="B15339" i="1"/>
  <c r="A15340" i="1"/>
  <c r="B15340" i="1"/>
  <c r="A15341" i="1"/>
  <c r="B15341" i="1"/>
  <c r="A15342" i="1"/>
  <c r="B15342" i="1"/>
  <c r="A15343" i="1"/>
  <c r="B15343" i="1"/>
  <c r="A15344" i="1"/>
  <c r="B15344" i="1"/>
  <c r="A15345" i="1"/>
  <c r="B15345" i="1"/>
  <c r="A15346" i="1"/>
  <c r="B15346" i="1"/>
  <c r="A15347" i="1"/>
  <c r="B15347" i="1"/>
  <c r="A15348" i="1"/>
  <c r="B15348" i="1"/>
  <c r="A15349" i="1"/>
  <c r="B15349" i="1"/>
  <c r="A15350" i="1"/>
  <c r="B15350" i="1"/>
  <c r="A15351" i="1"/>
  <c r="B15351" i="1"/>
  <c r="A15352" i="1"/>
  <c r="B15352" i="1"/>
  <c r="A15353" i="1"/>
  <c r="B15353" i="1"/>
  <c r="A15354" i="1"/>
  <c r="B15354" i="1"/>
  <c r="A15355" i="1"/>
  <c r="B15355" i="1"/>
  <c r="A15356" i="1"/>
  <c r="B15356" i="1"/>
  <c r="A15357" i="1"/>
  <c r="B15357" i="1"/>
  <c r="A15358" i="1"/>
  <c r="B15358" i="1"/>
  <c r="A15359" i="1"/>
  <c r="B15359" i="1"/>
  <c r="A15360" i="1"/>
  <c r="B15360" i="1"/>
  <c r="A15361" i="1"/>
  <c r="B15361" i="1"/>
  <c r="A15362" i="1"/>
  <c r="B15362" i="1"/>
  <c r="A15363" i="1"/>
  <c r="B15363" i="1"/>
  <c r="A15364" i="1"/>
  <c r="B15364" i="1"/>
  <c r="A15365" i="1"/>
  <c r="B15365" i="1"/>
  <c r="A15366" i="1"/>
  <c r="B15366" i="1"/>
  <c r="A15367" i="1"/>
  <c r="B15367" i="1"/>
  <c r="A15368" i="1"/>
  <c r="B15368" i="1"/>
  <c r="A15369" i="1"/>
  <c r="B15369" i="1"/>
  <c r="A15370" i="1"/>
  <c r="B15370" i="1"/>
  <c r="A15371" i="1"/>
  <c r="B15371" i="1"/>
  <c r="A15372" i="1"/>
  <c r="B15372" i="1"/>
  <c r="A15373" i="1"/>
  <c r="B15373" i="1"/>
  <c r="A15374" i="1"/>
  <c r="B15374" i="1"/>
  <c r="A15375" i="1"/>
  <c r="B15375" i="1"/>
  <c r="A15376" i="1"/>
  <c r="B15376" i="1"/>
  <c r="A15377" i="1"/>
  <c r="B15377" i="1"/>
  <c r="A15378" i="1"/>
  <c r="B15378" i="1"/>
  <c r="A15379" i="1"/>
  <c r="B15379" i="1"/>
  <c r="A15380" i="1"/>
  <c r="B15380" i="1"/>
  <c r="A15381" i="1"/>
  <c r="B15381" i="1"/>
  <c r="A15382" i="1"/>
  <c r="B15382" i="1"/>
  <c r="A15383" i="1"/>
  <c r="B15383" i="1"/>
  <c r="A15384" i="1"/>
  <c r="B15384" i="1"/>
  <c r="A15385" i="1"/>
  <c r="B15385" i="1"/>
  <c r="A15386" i="1"/>
  <c r="B15386" i="1"/>
  <c r="A15387" i="1"/>
  <c r="B15387" i="1"/>
  <c r="A15388" i="1"/>
  <c r="B15388" i="1"/>
  <c r="A15389" i="1"/>
  <c r="B15389" i="1"/>
  <c r="A15390" i="1"/>
  <c r="B15390" i="1"/>
  <c r="A15391" i="1"/>
  <c r="B15391" i="1"/>
  <c r="A15392" i="1"/>
  <c r="B15392" i="1"/>
  <c r="A15393" i="1"/>
  <c r="B15393" i="1"/>
  <c r="A15394" i="1"/>
  <c r="B15394" i="1"/>
  <c r="A15395" i="1"/>
  <c r="B15395" i="1"/>
  <c r="A15396" i="1"/>
  <c r="B15396" i="1"/>
  <c r="A15397" i="1"/>
  <c r="B15397" i="1"/>
  <c r="A15398" i="1"/>
  <c r="B15398" i="1"/>
  <c r="A15399" i="1"/>
  <c r="B15399" i="1"/>
  <c r="A15400" i="1"/>
  <c r="B15400" i="1"/>
  <c r="A15401" i="1"/>
  <c r="B15401" i="1"/>
  <c r="A15402" i="1"/>
  <c r="B15402" i="1"/>
  <c r="A15403" i="1"/>
  <c r="B15403" i="1"/>
  <c r="A15404" i="1"/>
  <c r="B15404" i="1"/>
  <c r="A15405" i="1"/>
  <c r="B15405" i="1"/>
  <c r="A15406" i="1"/>
  <c r="B15406" i="1"/>
  <c r="A15407" i="1"/>
  <c r="B15407" i="1"/>
  <c r="A15408" i="1"/>
  <c r="B15408" i="1"/>
  <c r="A15409" i="1"/>
  <c r="B15409" i="1"/>
  <c r="A15410" i="1"/>
  <c r="B15410" i="1"/>
  <c r="A15411" i="1"/>
  <c r="B15411" i="1"/>
  <c r="A15412" i="1"/>
  <c r="B15412" i="1"/>
  <c r="A15413" i="1"/>
  <c r="B15413" i="1"/>
  <c r="A15414" i="1"/>
  <c r="B15414" i="1"/>
  <c r="A15415" i="1"/>
  <c r="B15415" i="1"/>
  <c r="A15416" i="1"/>
  <c r="B15416" i="1"/>
  <c r="A15417" i="1"/>
  <c r="B15417" i="1"/>
  <c r="A15418" i="1"/>
  <c r="B15418" i="1"/>
  <c r="A15419" i="1"/>
  <c r="B15419" i="1"/>
  <c r="A15420" i="1"/>
  <c r="B15420" i="1"/>
  <c r="A15421" i="1"/>
  <c r="B15421" i="1"/>
  <c r="A15422" i="1"/>
  <c r="B15422" i="1"/>
  <c r="A15423" i="1"/>
  <c r="B15423" i="1"/>
  <c r="A15424" i="1"/>
  <c r="B15424" i="1"/>
  <c r="A15425" i="1"/>
  <c r="B15425" i="1"/>
  <c r="A15426" i="1"/>
  <c r="B15426" i="1"/>
  <c r="A15427" i="1"/>
  <c r="B15427" i="1"/>
  <c r="A15428" i="1"/>
  <c r="B15428" i="1"/>
  <c r="A15429" i="1"/>
  <c r="B15429" i="1"/>
  <c r="A15430" i="1"/>
  <c r="B15430" i="1"/>
  <c r="A15431" i="1"/>
  <c r="B15431" i="1"/>
  <c r="A15432" i="1"/>
  <c r="B15432" i="1"/>
  <c r="A15433" i="1"/>
  <c r="B15433" i="1"/>
  <c r="A15434" i="1"/>
  <c r="B15434" i="1"/>
  <c r="A15435" i="1"/>
  <c r="B15435" i="1"/>
  <c r="A15436" i="1"/>
  <c r="B15436" i="1"/>
  <c r="A15437" i="1"/>
  <c r="B15437" i="1"/>
  <c r="A15438" i="1"/>
  <c r="B15438" i="1"/>
  <c r="A15439" i="1"/>
  <c r="B15439" i="1"/>
  <c r="A15440" i="1"/>
  <c r="B15440" i="1"/>
  <c r="A15441" i="1"/>
  <c r="B15441" i="1"/>
  <c r="A15442" i="1"/>
  <c r="B15442" i="1"/>
  <c r="A15443" i="1"/>
  <c r="B15443" i="1"/>
  <c r="A15444" i="1"/>
  <c r="B15444" i="1"/>
  <c r="A15445" i="1"/>
  <c r="B15445" i="1"/>
  <c r="A15446" i="1"/>
  <c r="B15446" i="1"/>
  <c r="A15447" i="1"/>
  <c r="B15447" i="1"/>
  <c r="A15448" i="1"/>
  <c r="B15448" i="1"/>
  <c r="A15449" i="1"/>
  <c r="B15449" i="1"/>
  <c r="A15450" i="1"/>
  <c r="B15450" i="1"/>
  <c r="A15451" i="1"/>
  <c r="B15451" i="1"/>
  <c r="A15452" i="1"/>
  <c r="B15452" i="1"/>
  <c r="A15453" i="1"/>
  <c r="B15453" i="1"/>
  <c r="A15454" i="1"/>
  <c r="B15454" i="1"/>
  <c r="A15455" i="1"/>
  <c r="B15455" i="1"/>
  <c r="A15456" i="1"/>
  <c r="B15456" i="1"/>
  <c r="A15457" i="1"/>
  <c r="B15457" i="1"/>
  <c r="A15458" i="1"/>
  <c r="B15458" i="1"/>
  <c r="A15459" i="1"/>
  <c r="B15459" i="1"/>
  <c r="A15460" i="1"/>
  <c r="B15460" i="1"/>
  <c r="A15461" i="1"/>
  <c r="B15461" i="1"/>
  <c r="A15462" i="1"/>
  <c r="B15462" i="1"/>
  <c r="A15463" i="1"/>
  <c r="B15463" i="1"/>
  <c r="A15464" i="1"/>
  <c r="B15464" i="1"/>
  <c r="A15465" i="1"/>
  <c r="B15465" i="1"/>
  <c r="A15466" i="1"/>
  <c r="B15466" i="1"/>
  <c r="A15467" i="1"/>
  <c r="B15467" i="1"/>
  <c r="A15468" i="1"/>
  <c r="B15468" i="1"/>
  <c r="A15469" i="1"/>
  <c r="B15469" i="1"/>
  <c r="A15470" i="1"/>
  <c r="B15470" i="1"/>
  <c r="A15471" i="1"/>
  <c r="B15471" i="1"/>
  <c r="A15472" i="1"/>
  <c r="B15472" i="1"/>
  <c r="A15473" i="1"/>
  <c r="B15473" i="1"/>
  <c r="A15474" i="1"/>
  <c r="B15474" i="1"/>
  <c r="A15475" i="1"/>
  <c r="B15475" i="1"/>
  <c r="A15476" i="1"/>
  <c r="B15476" i="1"/>
  <c r="A15477" i="1"/>
  <c r="B15477" i="1"/>
  <c r="A15478" i="1"/>
  <c r="B15478" i="1"/>
  <c r="A15479" i="1"/>
  <c r="B15479" i="1"/>
  <c r="A15480" i="1"/>
  <c r="B15480" i="1"/>
  <c r="A15481" i="1"/>
  <c r="B15481" i="1"/>
  <c r="A15482" i="1"/>
  <c r="B15482" i="1"/>
  <c r="A15483" i="1"/>
  <c r="B15483" i="1"/>
  <c r="A15484" i="1"/>
  <c r="B15484" i="1"/>
  <c r="A15485" i="1"/>
  <c r="B15485" i="1"/>
  <c r="A15486" i="1"/>
  <c r="B15486" i="1"/>
  <c r="A15487" i="1"/>
  <c r="B15487" i="1"/>
  <c r="A15488" i="1"/>
  <c r="B15488" i="1"/>
  <c r="A15489" i="1"/>
  <c r="B15489" i="1"/>
  <c r="A15490" i="1"/>
  <c r="B15490" i="1"/>
  <c r="A15491" i="1"/>
  <c r="B15491" i="1"/>
  <c r="A15492" i="1"/>
  <c r="B15492" i="1"/>
  <c r="A15493" i="1"/>
  <c r="B15493" i="1"/>
  <c r="A15494" i="1"/>
  <c r="B15494" i="1"/>
  <c r="A15495" i="1"/>
  <c r="B15495" i="1"/>
  <c r="A15496" i="1"/>
  <c r="B15496" i="1"/>
  <c r="A15497" i="1"/>
  <c r="B15497" i="1"/>
  <c r="A15498" i="1"/>
  <c r="B15498" i="1"/>
  <c r="A15499" i="1"/>
  <c r="B15499" i="1"/>
  <c r="A15500" i="1"/>
  <c r="B15500" i="1"/>
  <c r="A15501" i="1"/>
  <c r="B15501" i="1"/>
  <c r="A15502" i="1"/>
  <c r="B15502" i="1"/>
  <c r="A15503" i="1"/>
  <c r="B15503" i="1"/>
  <c r="A15504" i="1"/>
  <c r="B15504" i="1"/>
  <c r="A15505" i="1"/>
  <c r="B15505" i="1"/>
  <c r="A15506" i="1"/>
  <c r="B15506" i="1"/>
  <c r="A15507" i="1"/>
  <c r="B15507" i="1"/>
  <c r="A15508" i="1"/>
  <c r="B15508" i="1"/>
  <c r="A15509" i="1"/>
  <c r="B15509" i="1"/>
  <c r="A15510" i="1"/>
  <c r="B15510" i="1"/>
  <c r="A15511" i="1"/>
  <c r="B15511" i="1"/>
  <c r="A15512" i="1"/>
  <c r="B15512" i="1"/>
  <c r="A15513" i="1"/>
  <c r="B15513" i="1"/>
  <c r="A15514" i="1"/>
  <c r="B15514" i="1"/>
  <c r="A15515" i="1"/>
  <c r="B15515" i="1"/>
  <c r="A15516" i="1"/>
  <c r="B15516" i="1"/>
  <c r="A15517" i="1"/>
  <c r="B15517" i="1"/>
  <c r="A15518" i="1"/>
  <c r="B15518" i="1"/>
  <c r="A15519" i="1"/>
  <c r="B15519" i="1"/>
  <c r="A15520" i="1"/>
  <c r="B15520" i="1"/>
  <c r="A15521" i="1"/>
  <c r="B15521" i="1"/>
  <c r="A15522" i="1"/>
  <c r="B15522" i="1"/>
  <c r="A15523" i="1"/>
  <c r="B15523" i="1"/>
  <c r="A15524" i="1"/>
  <c r="B15524" i="1"/>
  <c r="A15525" i="1"/>
  <c r="B15525" i="1"/>
  <c r="A15526" i="1"/>
  <c r="B15526" i="1"/>
  <c r="A15527" i="1"/>
  <c r="B15527" i="1"/>
  <c r="A15528" i="1"/>
  <c r="B15528" i="1"/>
  <c r="A15529" i="1"/>
  <c r="B15529" i="1"/>
  <c r="A15530" i="1"/>
  <c r="B15530" i="1"/>
  <c r="A15531" i="1"/>
  <c r="B15531" i="1"/>
  <c r="A15532" i="1"/>
  <c r="B15532" i="1"/>
  <c r="A15533" i="1"/>
  <c r="B15533" i="1"/>
  <c r="A15534" i="1"/>
  <c r="B15534" i="1"/>
  <c r="A15535" i="1"/>
  <c r="B15535" i="1"/>
  <c r="A15536" i="1"/>
  <c r="B15536" i="1"/>
  <c r="A15537" i="1"/>
  <c r="B15537" i="1"/>
  <c r="A15538" i="1"/>
  <c r="B15538" i="1"/>
  <c r="A15539" i="1"/>
  <c r="B15539" i="1"/>
  <c r="A15540" i="1"/>
  <c r="B15540" i="1"/>
  <c r="A15541" i="1"/>
  <c r="B15541" i="1"/>
  <c r="A15542" i="1"/>
  <c r="B15542" i="1"/>
  <c r="A15543" i="1"/>
  <c r="B15543" i="1"/>
  <c r="A15544" i="1"/>
  <c r="B15544" i="1"/>
  <c r="A15545" i="1"/>
  <c r="B15545" i="1"/>
  <c r="A15546" i="1"/>
  <c r="B15546" i="1"/>
  <c r="A15547" i="1"/>
  <c r="B15547" i="1"/>
  <c r="A15548" i="1"/>
  <c r="B15548" i="1"/>
  <c r="A15549" i="1"/>
  <c r="B15549" i="1"/>
  <c r="A15550" i="1"/>
  <c r="B15550" i="1"/>
  <c r="A15551" i="1"/>
  <c r="B15551" i="1"/>
  <c r="A15552" i="1"/>
  <c r="B15552" i="1"/>
  <c r="A15553" i="1"/>
  <c r="B15553" i="1"/>
  <c r="A15554" i="1"/>
  <c r="B15554" i="1"/>
  <c r="A15555" i="1"/>
  <c r="B15555" i="1"/>
  <c r="A15556" i="1"/>
  <c r="B15556" i="1"/>
  <c r="A15557" i="1"/>
  <c r="B15557" i="1"/>
  <c r="A15558" i="1"/>
  <c r="B15558" i="1"/>
  <c r="A15559" i="1"/>
  <c r="B15559" i="1"/>
  <c r="A15560" i="1"/>
  <c r="B15560" i="1"/>
  <c r="A15561" i="1"/>
  <c r="B15561" i="1"/>
  <c r="A15562" i="1"/>
  <c r="B15562" i="1"/>
  <c r="A15563" i="1"/>
  <c r="B15563" i="1"/>
  <c r="A15564" i="1"/>
  <c r="B15564" i="1"/>
  <c r="A15565" i="1"/>
  <c r="B15565" i="1"/>
  <c r="A15566" i="1"/>
  <c r="B15566" i="1"/>
  <c r="A15567" i="1"/>
  <c r="B15567" i="1"/>
  <c r="A15568" i="1"/>
  <c r="B15568" i="1"/>
  <c r="A15569" i="1"/>
  <c r="B15569" i="1"/>
  <c r="A15570" i="1"/>
  <c r="B15570" i="1"/>
  <c r="A15571" i="1"/>
  <c r="B15571" i="1"/>
  <c r="A15572" i="1"/>
  <c r="B15572" i="1"/>
  <c r="A15573" i="1"/>
  <c r="B15573" i="1"/>
  <c r="A15574" i="1"/>
  <c r="B15574" i="1"/>
  <c r="A15575" i="1"/>
  <c r="B15575" i="1"/>
  <c r="A15576" i="1"/>
  <c r="B15576" i="1"/>
  <c r="A15577" i="1"/>
  <c r="B15577" i="1"/>
  <c r="A15578" i="1"/>
  <c r="B15578" i="1"/>
  <c r="A15579" i="1"/>
  <c r="B15579" i="1"/>
  <c r="A15580" i="1"/>
  <c r="B15580" i="1"/>
  <c r="A15581" i="1"/>
  <c r="B15581" i="1"/>
  <c r="A15582" i="1"/>
  <c r="B15582" i="1"/>
  <c r="A15583" i="1"/>
  <c r="B15583" i="1"/>
  <c r="A15584" i="1"/>
  <c r="B15584" i="1"/>
  <c r="A15585" i="1"/>
  <c r="B15585" i="1"/>
  <c r="A15586" i="1"/>
  <c r="B15586" i="1"/>
  <c r="A15587" i="1"/>
  <c r="B15587" i="1"/>
  <c r="A15588" i="1"/>
  <c r="B15588" i="1"/>
  <c r="A15589" i="1"/>
  <c r="B15589" i="1"/>
  <c r="A15590" i="1"/>
  <c r="B15590" i="1"/>
  <c r="A15591" i="1"/>
  <c r="B15591" i="1"/>
  <c r="A15592" i="1"/>
  <c r="B15592" i="1"/>
  <c r="A15593" i="1"/>
  <c r="B15593" i="1"/>
  <c r="A15594" i="1"/>
  <c r="B15594" i="1"/>
  <c r="A15595" i="1"/>
  <c r="B15595" i="1"/>
  <c r="A15596" i="1"/>
  <c r="B15596" i="1"/>
  <c r="A15597" i="1"/>
  <c r="B15597" i="1"/>
  <c r="A15598" i="1"/>
  <c r="B15598" i="1"/>
  <c r="A15599" i="1"/>
  <c r="B15599" i="1"/>
  <c r="A15600" i="1"/>
  <c r="B15600" i="1"/>
  <c r="A15601" i="1"/>
  <c r="B15601" i="1"/>
  <c r="A15602" i="1"/>
  <c r="B15602" i="1"/>
  <c r="A15603" i="1"/>
  <c r="B15603" i="1"/>
  <c r="A15604" i="1"/>
  <c r="B15604" i="1"/>
  <c r="A15605" i="1"/>
  <c r="B15605" i="1"/>
  <c r="A15606" i="1"/>
  <c r="B15606" i="1"/>
  <c r="A15607" i="1"/>
  <c r="B15607" i="1"/>
  <c r="A15608" i="1"/>
  <c r="B15608" i="1"/>
  <c r="A15609" i="1"/>
  <c r="B15609" i="1"/>
  <c r="A15610" i="1"/>
  <c r="B15610" i="1"/>
  <c r="A15611" i="1"/>
  <c r="B15611" i="1"/>
  <c r="A15612" i="1"/>
  <c r="B15612" i="1"/>
  <c r="A15613" i="1"/>
  <c r="B15613" i="1"/>
  <c r="A15614" i="1"/>
  <c r="B15614" i="1"/>
  <c r="A15615" i="1"/>
  <c r="B15615" i="1"/>
  <c r="A15616" i="1"/>
  <c r="B15616" i="1"/>
  <c r="A15617" i="1"/>
  <c r="B15617" i="1"/>
  <c r="A15618" i="1"/>
  <c r="B15618" i="1"/>
  <c r="A15619" i="1"/>
  <c r="B15619" i="1"/>
  <c r="A15620" i="1"/>
  <c r="B15620" i="1"/>
  <c r="A15621" i="1"/>
  <c r="B15621" i="1"/>
  <c r="A15622" i="1"/>
  <c r="B15622" i="1"/>
  <c r="A15623" i="1"/>
  <c r="B15623" i="1"/>
  <c r="A15624" i="1"/>
  <c r="B15624" i="1"/>
  <c r="A15625" i="1"/>
  <c r="B15625" i="1"/>
  <c r="A15626" i="1"/>
  <c r="B15626" i="1"/>
  <c r="A15627" i="1"/>
  <c r="B15627" i="1"/>
  <c r="A15628" i="1"/>
  <c r="B15628" i="1"/>
  <c r="A15629" i="1"/>
  <c r="B15629" i="1"/>
  <c r="A15630" i="1"/>
  <c r="B15630" i="1"/>
  <c r="A15631" i="1"/>
  <c r="B15631" i="1"/>
  <c r="A15632" i="1"/>
  <c r="B15632" i="1"/>
  <c r="A15633" i="1"/>
  <c r="B15633" i="1"/>
  <c r="A15634" i="1"/>
  <c r="B15634" i="1"/>
  <c r="A15635" i="1"/>
  <c r="B15635" i="1"/>
  <c r="A15636" i="1"/>
  <c r="B15636" i="1"/>
  <c r="A15637" i="1"/>
  <c r="B15637" i="1"/>
  <c r="A15638" i="1"/>
  <c r="B15638" i="1"/>
  <c r="A15639" i="1"/>
  <c r="B15639" i="1"/>
  <c r="A15640" i="1"/>
  <c r="B15640" i="1"/>
  <c r="A15641" i="1"/>
  <c r="B15641" i="1"/>
  <c r="A15642" i="1"/>
  <c r="B15642" i="1"/>
  <c r="A15643" i="1"/>
  <c r="B15643" i="1"/>
  <c r="A15644" i="1"/>
  <c r="B15644" i="1"/>
  <c r="A15645" i="1"/>
  <c r="B15645" i="1"/>
  <c r="A15646" i="1"/>
  <c r="B15646" i="1"/>
  <c r="A15647" i="1"/>
  <c r="B15647" i="1"/>
  <c r="A15648" i="1"/>
  <c r="B15648" i="1"/>
  <c r="A15649" i="1"/>
  <c r="B15649" i="1"/>
  <c r="A15650" i="1"/>
  <c r="B15650" i="1"/>
  <c r="A15651" i="1"/>
  <c r="B15651" i="1"/>
  <c r="A15652" i="1"/>
  <c r="B15652" i="1"/>
  <c r="A15653" i="1"/>
  <c r="B15653" i="1"/>
  <c r="A15654" i="1"/>
  <c r="B15654" i="1"/>
  <c r="A15655" i="1"/>
  <c r="B15655" i="1"/>
  <c r="A15656" i="1"/>
  <c r="B15656" i="1"/>
  <c r="A15657" i="1"/>
  <c r="B15657" i="1"/>
  <c r="A15658" i="1"/>
  <c r="B15658" i="1"/>
  <c r="A15659" i="1"/>
  <c r="B15659" i="1"/>
  <c r="A15660" i="1"/>
  <c r="B15660" i="1"/>
  <c r="A15661" i="1"/>
  <c r="B15661" i="1"/>
  <c r="A15662" i="1"/>
  <c r="B15662" i="1"/>
  <c r="A15663" i="1"/>
  <c r="B15663" i="1"/>
  <c r="A15664" i="1"/>
  <c r="B15664" i="1"/>
  <c r="A15665" i="1"/>
  <c r="B15665" i="1"/>
  <c r="A15666" i="1"/>
  <c r="B15666" i="1"/>
  <c r="A15667" i="1"/>
  <c r="B15667" i="1"/>
  <c r="A15668" i="1"/>
  <c r="B15668" i="1"/>
  <c r="A15669" i="1"/>
  <c r="B15669" i="1"/>
  <c r="A15670" i="1"/>
  <c r="B15670" i="1"/>
  <c r="A15671" i="1"/>
  <c r="B15671" i="1"/>
  <c r="A15672" i="1"/>
  <c r="B15672" i="1"/>
  <c r="A15673" i="1"/>
  <c r="B15673" i="1"/>
  <c r="A15674" i="1"/>
  <c r="B15674" i="1"/>
  <c r="A15675" i="1"/>
  <c r="B15675" i="1"/>
  <c r="A15676" i="1"/>
  <c r="B15676" i="1"/>
  <c r="A15677" i="1"/>
  <c r="B15677" i="1"/>
  <c r="A15678" i="1"/>
  <c r="B15678" i="1"/>
  <c r="A15679" i="1"/>
  <c r="B15679" i="1"/>
  <c r="A15680" i="1"/>
  <c r="B15680" i="1"/>
  <c r="A15681" i="1"/>
  <c r="B15681" i="1"/>
  <c r="A15682" i="1"/>
  <c r="B15682" i="1"/>
  <c r="A15683" i="1"/>
  <c r="B15683" i="1"/>
  <c r="A15684" i="1"/>
  <c r="B15684" i="1"/>
  <c r="A15685" i="1"/>
  <c r="B15685" i="1"/>
  <c r="A15686" i="1"/>
  <c r="B15686" i="1"/>
  <c r="A15687" i="1"/>
  <c r="B15687" i="1"/>
  <c r="A15688" i="1"/>
  <c r="B15688" i="1"/>
  <c r="A15689" i="1"/>
  <c r="B15689" i="1"/>
  <c r="A15690" i="1"/>
  <c r="B15690" i="1"/>
  <c r="A15691" i="1"/>
  <c r="B15691" i="1"/>
  <c r="A15692" i="1"/>
  <c r="B15692" i="1"/>
  <c r="A15693" i="1"/>
  <c r="B15693" i="1"/>
  <c r="A15694" i="1"/>
  <c r="B15694" i="1"/>
  <c r="A15695" i="1"/>
  <c r="B15695" i="1"/>
  <c r="A15696" i="1"/>
  <c r="B15696" i="1"/>
  <c r="A15697" i="1"/>
  <c r="B15697" i="1"/>
  <c r="A15698" i="1"/>
  <c r="B15698" i="1"/>
  <c r="A15699" i="1"/>
  <c r="B15699" i="1"/>
  <c r="A15700" i="1"/>
  <c r="B15700" i="1"/>
  <c r="A15701" i="1"/>
  <c r="B15701" i="1"/>
  <c r="A15702" i="1"/>
  <c r="B15702" i="1"/>
  <c r="A15703" i="1"/>
  <c r="B15703" i="1"/>
  <c r="A15704" i="1"/>
  <c r="B15704" i="1"/>
  <c r="A15705" i="1"/>
  <c r="B15705" i="1"/>
  <c r="A15706" i="1"/>
  <c r="B15706" i="1"/>
  <c r="A15707" i="1"/>
  <c r="B15707" i="1"/>
  <c r="A15708" i="1"/>
  <c r="B15708" i="1"/>
  <c r="A15709" i="1"/>
  <c r="B15709" i="1"/>
  <c r="A15710" i="1"/>
  <c r="B15710" i="1"/>
  <c r="A15711" i="1"/>
  <c r="B15711" i="1"/>
  <c r="A15712" i="1"/>
  <c r="B15712" i="1"/>
  <c r="A15713" i="1"/>
  <c r="B15713" i="1"/>
  <c r="A15714" i="1"/>
  <c r="B15714" i="1"/>
  <c r="A15715" i="1"/>
  <c r="B15715" i="1"/>
  <c r="A15716" i="1"/>
  <c r="B15716" i="1"/>
  <c r="A15717" i="1"/>
  <c r="B15717" i="1"/>
  <c r="A15718" i="1"/>
  <c r="B15718" i="1"/>
  <c r="A15719" i="1"/>
  <c r="B15719" i="1"/>
  <c r="A15720" i="1"/>
  <c r="B15720" i="1"/>
  <c r="A15721" i="1"/>
  <c r="B15721" i="1"/>
  <c r="A15722" i="1"/>
  <c r="B15722" i="1"/>
  <c r="A15723" i="1"/>
  <c r="B15723" i="1"/>
  <c r="A15724" i="1"/>
  <c r="B15724" i="1"/>
  <c r="A15725" i="1"/>
  <c r="B15725" i="1"/>
  <c r="A15726" i="1"/>
  <c r="B15726" i="1"/>
  <c r="A15727" i="1"/>
  <c r="B15727" i="1"/>
  <c r="A15728" i="1"/>
  <c r="B15728" i="1"/>
  <c r="A15729" i="1"/>
  <c r="B15729" i="1"/>
  <c r="A15730" i="1"/>
  <c r="B15730" i="1"/>
  <c r="A15731" i="1"/>
  <c r="B15731" i="1"/>
  <c r="A15732" i="1"/>
  <c r="B15732" i="1"/>
  <c r="A15733" i="1"/>
  <c r="B15733" i="1"/>
  <c r="A15734" i="1"/>
  <c r="B15734" i="1"/>
  <c r="A15735" i="1"/>
  <c r="B15735" i="1"/>
  <c r="A15736" i="1"/>
  <c r="B15736" i="1"/>
  <c r="A15737" i="1"/>
  <c r="B15737" i="1"/>
  <c r="A15738" i="1"/>
  <c r="B15738" i="1"/>
  <c r="A15739" i="1"/>
  <c r="B15739" i="1"/>
  <c r="A15740" i="1"/>
  <c r="B15740" i="1"/>
  <c r="A15741" i="1"/>
  <c r="B15741" i="1"/>
  <c r="A15742" i="1"/>
  <c r="B15742" i="1"/>
  <c r="A15743" i="1"/>
  <c r="B15743" i="1"/>
  <c r="A15744" i="1"/>
  <c r="B15744" i="1"/>
  <c r="A15745" i="1"/>
  <c r="B15745" i="1"/>
  <c r="A15746" i="1"/>
  <c r="B15746" i="1"/>
  <c r="A15747" i="1"/>
  <c r="B15747" i="1"/>
  <c r="A15748" i="1"/>
  <c r="B15748" i="1"/>
  <c r="A15749" i="1"/>
  <c r="B15749" i="1"/>
  <c r="A15750" i="1"/>
  <c r="B15750" i="1"/>
  <c r="A15751" i="1"/>
  <c r="B15751" i="1"/>
  <c r="A15752" i="1"/>
  <c r="B15752" i="1"/>
  <c r="A15753" i="1"/>
  <c r="B15753" i="1"/>
  <c r="A15754" i="1"/>
  <c r="B15754" i="1"/>
  <c r="A15755" i="1"/>
  <c r="B15755" i="1"/>
  <c r="A15756" i="1"/>
  <c r="B15756" i="1"/>
  <c r="A15757" i="1"/>
  <c r="B15757" i="1"/>
  <c r="A15758" i="1"/>
  <c r="B15758" i="1"/>
  <c r="A15759" i="1"/>
  <c r="B15759" i="1"/>
  <c r="A15760" i="1"/>
  <c r="B15760" i="1"/>
  <c r="A15761" i="1"/>
  <c r="B15761" i="1"/>
  <c r="A15762" i="1"/>
  <c r="B15762" i="1"/>
  <c r="A15763" i="1"/>
  <c r="B15763" i="1"/>
  <c r="A15764" i="1"/>
  <c r="B15764" i="1"/>
  <c r="A15765" i="1"/>
  <c r="B15765" i="1"/>
  <c r="A15766" i="1"/>
  <c r="B15766" i="1"/>
  <c r="A15767" i="1"/>
  <c r="B15767" i="1"/>
  <c r="A15768" i="1"/>
  <c r="B15768" i="1"/>
  <c r="A15769" i="1"/>
  <c r="B15769" i="1"/>
  <c r="A15770" i="1"/>
  <c r="B15770" i="1"/>
  <c r="A15771" i="1"/>
  <c r="B15771" i="1"/>
  <c r="A15772" i="1"/>
  <c r="B15772" i="1"/>
  <c r="A15773" i="1"/>
  <c r="B15773" i="1"/>
  <c r="A15774" i="1"/>
  <c r="B15774" i="1"/>
  <c r="A15775" i="1"/>
  <c r="B15775" i="1"/>
  <c r="A15776" i="1"/>
  <c r="B15776" i="1"/>
  <c r="A15777" i="1"/>
  <c r="B15777" i="1"/>
  <c r="A15778" i="1"/>
  <c r="B15778" i="1"/>
  <c r="A15779" i="1"/>
  <c r="B15779" i="1"/>
  <c r="A15780" i="1"/>
  <c r="B15780" i="1"/>
  <c r="A15781" i="1"/>
  <c r="B15781" i="1"/>
  <c r="A15782" i="1"/>
  <c r="B15782" i="1"/>
  <c r="A15783" i="1"/>
  <c r="B15783" i="1"/>
  <c r="A15784" i="1"/>
  <c r="B15784" i="1"/>
  <c r="A15785" i="1"/>
  <c r="B15785" i="1"/>
  <c r="A15786" i="1"/>
  <c r="B15786" i="1"/>
  <c r="A15787" i="1"/>
  <c r="B15787" i="1"/>
  <c r="A15788" i="1"/>
  <c r="B15788" i="1"/>
  <c r="A15789" i="1"/>
  <c r="B15789" i="1"/>
  <c r="A15790" i="1"/>
  <c r="B15790" i="1"/>
  <c r="A15791" i="1"/>
  <c r="B15791" i="1"/>
  <c r="A15792" i="1"/>
  <c r="B15792" i="1"/>
  <c r="A15793" i="1"/>
  <c r="B15793" i="1"/>
  <c r="A15794" i="1"/>
  <c r="B15794" i="1"/>
  <c r="A15795" i="1"/>
  <c r="B15795" i="1"/>
  <c r="A15796" i="1"/>
  <c r="B15796" i="1"/>
  <c r="A15797" i="1"/>
  <c r="B15797" i="1"/>
  <c r="A15798" i="1"/>
  <c r="B15798" i="1"/>
  <c r="A15799" i="1"/>
  <c r="B15799" i="1"/>
  <c r="A15800" i="1"/>
  <c r="B15800" i="1"/>
  <c r="A15801" i="1"/>
  <c r="B15801" i="1"/>
  <c r="A15802" i="1"/>
  <c r="B15802" i="1"/>
  <c r="A15803" i="1"/>
  <c r="B15803" i="1"/>
  <c r="A15804" i="1"/>
  <c r="B15804" i="1"/>
  <c r="A15805" i="1"/>
  <c r="B15805" i="1"/>
  <c r="A15806" i="1"/>
  <c r="B15806" i="1"/>
  <c r="A15807" i="1"/>
  <c r="B15807" i="1"/>
  <c r="A15808" i="1"/>
  <c r="B15808" i="1"/>
  <c r="A15809" i="1"/>
  <c r="B15809" i="1"/>
  <c r="A15810" i="1"/>
  <c r="B15810" i="1"/>
  <c r="A15811" i="1"/>
  <c r="B15811" i="1"/>
  <c r="A15812" i="1"/>
  <c r="B15812" i="1"/>
  <c r="A15813" i="1"/>
  <c r="B15813" i="1"/>
  <c r="A15814" i="1"/>
  <c r="B15814" i="1"/>
  <c r="A15815" i="1"/>
  <c r="B15815" i="1"/>
  <c r="A15816" i="1"/>
  <c r="B15816" i="1"/>
  <c r="A15817" i="1"/>
  <c r="B15817" i="1"/>
  <c r="A15818" i="1"/>
  <c r="B15818" i="1"/>
  <c r="A15819" i="1"/>
  <c r="B15819" i="1"/>
  <c r="A15820" i="1"/>
  <c r="B15820" i="1"/>
  <c r="A15821" i="1"/>
  <c r="B15821" i="1"/>
  <c r="A15822" i="1"/>
  <c r="B15822" i="1"/>
  <c r="A15823" i="1"/>
  <c r="B15823" i="1"/>
  <c r="A15824" i="1"/>
  <c r="B15824" i="1"/>
  <c r="A15825" i="1"/>
  <c r="B15825" i="1"/>
  <c r="A15826" i="1"/>
  <c r="B15826" i="1"/>
  <c r="A15827" i="1"/>
  <c r="B15827" i="1"/>
  <c r="A15828" i="1"/>
  <c r="B15828" i="1"/>
  <c r="A15829" i="1"/>
  <c r="B15829" i="1"/>
  <c r="A15830" i="1"/>
  <c r="B15830" i="1"/>
  <c r="A15831" i="1"/>
  <c r="B15831" i="1"/>
  <c r="A15832" i="1"/>
  <c r="B15832" i="1"/>
  <c r="A15833" i="1"/>
  <c r="B15833" i="1"/>
  <c r="A15834" i="1"/>
  <c r="B15834" i="1"/>
  <c r="A15835" i="1"/>
  <c r="B15835" i="1"/>
  <c r="A15836" i="1"/>
  <c r="B15836" i="1"/>
  <c r="A15837" i="1"/>
  <c r="B15837" i="1"/>
  <c r="A15838" i="1"/>
  <c r="B15838" i="1"/>
  <c r="A15839" i="1"/>
  <c r="B15839" i="1"/>
  <c r="A15840" i="1"/>
  <c r="B15840" i="1"/>
  <c r="A15841" i="1"/>
  <c r="B15841" i="1"/>
  <c r="A15842" i="1"/>
  <c r="B15842" i="1"/>
  <c r="A15843" i="1"/>
  <c r="B15843" i="1"/>
  <c r="A15844" i="1"/>
  <c r="B15844" i="1"/>
  <c r="A15845" i="1"/>
  <c r="B15845" i="1"/>
  <c r="A15846" i="1"/>
  <c r="B15846" i="1"/>
  <c r="A15847" i="1"/>
  <c r="B15847" i="1"/>
  <c r="A15848" i="1"/>
  <c r="B15848" i="1"/>
  <c r="A15849" i="1"/>
  <c r="B15849" i="1"/>
  <c r="A15850" i="1"/>
  <c r="B15850" i="1"/>
  <c r="A15851" i="1"/>
  <c r="B15851" i="1"/>
  <c r="A15852" i="1"/>
  <c r="B15852" i="1"/>
  <c r="A15853" i="1"/>
  <c r="B15853" i="1"/>
  <c r="A15854" i="1"/>
  <c r="B15854" i="1"/>
  <c r="A15855" i="1"/>
  <c r="B15855" i="1"/>
  <c r="A15856" i="1"/>
  <c r="B15856" i="1"/>
  <c r="A15857" i="1"/>
  <c r="B15857" i="1"/>
  <c r="A15858" i="1"/>
  <c r="B15858" i="1"/>
  <c r="A15859" i="1"/>
  <c r="B15859" i="1"/>
  <c r="A15860" i="1"/>
  <c r="B15860" i="1"/>
  <c r="A15861" i="1"/>
  <c r="B15861" i="1"/>
  <c r="A15862" i="1"/>
  <c r="B15862" i="1"/>
  <c r="A15863" i="1"/>
  <c r="B15863" i="1"/>
  <c r="A15864" i="1"/>
  <c r="B15864" i="1"/>
  <c r="A15865" i="1"/>
  <c r="B15865" i="1"/>
  <c r="A15866" i="1"/>
  <c r="B15866" i="1"/>
  <c r="A15867" i="1"/>
  <c r="B15867" i="1"/>
  <c r="A15868" i="1"/>
  <c r="B15868" i="1"/>
  <c r="A15869" i="1"/>
  <c r="B15869" i="1"/>
  <c r="A15870" i="1"/>
  <c r="B15870" i="1"/>
  <c r="A15871" i="1"/>
  <c r="B15871" i="1"/>
  <c r="A15872" i="1"/>
  <c r="B15872" i="1"/>
  <c r="A15873" i="1"/>
  <c r="B15873" i="1"/>
  <c r="A15874" i="1"/>
  <c r="B15874" i="1"/>
  <c r="A15875" i="1"/>
  <c r="B15875" i="1"/>
  <c r="A15876" i="1"/>
  <c r="B15876" i="1"/>
  <c r="A15877" i="1"/>
  <c r="B15877" i="1"/>
  <c r="A15878" i="1"/>
  <c r="B15878" i="1"/>
  <c r="A15879" i="1"/>
  <c r="B15879" i="1"/>
  <c r="A15880" i="1"/>
  <c r="B15880" i="1"/>
  <c r="A15881" i="1"/>
  <c r="B15881" i="1"/>
  <c r="A15882" i="1"/>
  <c r="B15882" i="1"/>
  <c r="A15883" i="1"/>
  <c r="B15883" i="1"/>
  <c r="A15884" i="1"/>
  <c r="B15884" i="1"/>
  <c r="A15885" i="1"/>
  <c r="B15885" i="1"/>
  <c r="A15886" i="1"/>
  <c r="B15886" i="1"/>
  <c r="A15887" i="1"/>
  <c r="B15887" i="1"/>
  <c r="A15888" i="1"/>
  <c r="B15888" i="1"/>
  <c r="A15889" i="1"/>
  <c r="B15889" i="1"/>
  <c r="A15890" i="1"/>
  <c r="B15890" i="1"/>
  <c r="A15891" i="1"/>
  <c r="B15891" i="1"/>
  <c r="A15892" i="1"/>
  <c r="B15892" i="1"/>
  <c r="A15893" i="1"/>
  <c r="B15893" i="1"/>
  <c r="A15894" i="1"/>
  <c r="B15894" i="1"/>
  <c r="A15895" i="1"/>
  <c r="B15895" i="1"/>
  <c r="A15896" i="1"/>
  <c r="B15896" i="1"/>
  <c r="A15897" i="1"/>
  <c r="B15897" i="1"/>
  <c r="A15898" i="1"/>
  <c r="B15898" i="1"/>
  <c r="A15899" i="1"/>
  <c r="B15899" i="1"/>
  <c r="A15900" i="1"/>
  <c r="B15900" i="1"/>
  <c r="A15901" i="1"/>
  <c r="B15901" i="1"/>
  <c r="A15902" i="1"/>
  <c r="B15902" i="1"/>
  <c r="A15903" i="1"/>
  <c r="B15903" i="1"/>
  <c r="A15904" i="1"/>
  <c r="B15904" i="1"/>
  <c r="A15905" i="1"/>
  <c r="B15905" i="1"/>
  <c r="A15906" i="1"/>
  <c r="B15906" i="1"/>
  <c r="A15907" i="1"/>
  <c r="B15907" i="1"/>
  <c r="A15908" i="1"/>
  <c r="B15908" i="1"/>
  <c r="A15909" i="1"/>
  <c r="B15909" i="1"/>
  <c r="A15910" i="1"/>
  <c r="B15910" i="1"/>
  <c r="A15911" i="1"/>
  <c r="B15911" i="1"/>
  <c r="A15912" i="1"/>
  <c r="B15912" i="1"/>
  <c r="A15913" i="1"/>
  <c r="B15913" i="1"/>
  <c r="A15914" i="1"/>
  <c r="B15914" i="1"/>
  <c r="A15915" i="1"/>
  <c r="B15915" i="1"/>
  <c r="A15916" i="1"/>
  <c r="B15916" i="1"/>
  <c r="A15917" i="1"/>
  <c r="B15917" i="1"/>
  <c r="A15918" i="1"/>
  <c r="B15918" i="1"/>
  <c r="A15919" i="1"/>
  <c r="B15919" i="1"/>
  <c r="A15920" i="1"/>
  <c r="B15920" i="1"/>
  <c r="A15921" i="1"/>
  <c r="B15921" i="1"/>
  <c r="A15922" i="1"/>
  <c r="B15922" i="1"/>
  <c r="A15923" i="1"/>
  <c r="B15923" i="1"/>
  <c r="A15924" i="1"/>
  <c r="B15924" i="1"/>
  <c r="A15925" i="1"/>
  <c r="B15925" i="1"/>
  <c r="A15926" i="1"/>
  <c r="B15926" i="1"/>
  <c r="A15927" i="1"/>
  <c r="B15927" i="1"/>
  <c r="A15928" i="1"/>
  <c r="B15928" i="1"/>
  <c r="A15929" i="1"/>
  <c r="B15929" i="1"/>
  <c r="A15930" i="1"/>
  <c r="B15930" i="1"/>
  <c r="A15931" i="1"/>
  <c r="B15931" i="1"/>
  <c r="A15932" i="1"/>
  <c r="B15932" i="1"/>
  <c r="A15933" i="1"/>
  <c r="B15933" i="1"/>
  <c r="A15934" i="1"/>
  <c r="B15934" i="1"/>
  <c r="A15935" i="1"/>
  <c r="B15935" i="1"/>
  <c r="A15936" i="1"/>
  <c r="B15936" i="1"/>
  <c r="A15937" i="1"/>
  <c r="B15937" i="1"/>
  <c r="A15938" i="1"/>
  <c r="B15938" i="1"/>
  <c r="A15939" i="1"/>
  <c r="B15939" i="1"/>
  <c r="A15940" i="1"/>
  <c r="B15940" i="1"/>
  <c r="A15941" i="1"/>
  <c r="B15941" i="1"/>
  <c r="A15942" i="1"/>
  <c r="B15942" i="1"/>
  <c r="A15943" i="1"/>
  <c r="B15943" i="1"/>
  <c r="A15944" i="1"/>
  <c r="B15944" i="1"/>
  <c r="A15945" i="1"/>
  <c r="B15945" i="1"/>
  <c r="A15946" i="1"/>
  <c r="B15946" i="1"/>
  <c r="A15947" i="1"/>
  <c r="B15947" i="1"/>
  <c r="A15948" i="1"/>
  <c r="B15948" i="1"/>
  <c r="A15949" i="1"/>
  <c r="B15949" i="1"/>
  <c r="A15950" i="1"/>
  <c r="B15950" i="1"/>
  <c r="A15951" i="1"/>
  <c r="B15951" i="1"/>
  <c r="A15952" i="1"/>
  <c r="B15952" i="1"/>
  <c r="A15953" i="1"/>
  <c r="B15953" i="1"/>
  <c r="A15954" i="1"/>
  <c r="B15954" i="1"/>
  <c r="A15955" i="1"/>
  <c r="B15955" i="1"/>
  <c r="A15956" i="1"/>
  <c r="B15956" i="1"/>
  <c r="A15957" i="1"/>
  <c r="B15957" i="1"/>
  <c r="A15958" i="1"/>
  <c r="B15958" i="1"/>
  <c r="A15959" i="1"/>
  <c r="B15959" i="1"/>
  <c r="A15960" i="1"/>
  <c r="B15960" i="1"/>
  <c r="A15961" i="1"/>
  <c r="B15961" i="1"/>
  <c r="A15962" i="1"/>
  <c r="B15962" i="1"/>
  <c r="A15963" i="1"/>
  <c r="B15963" i="1"/>
  <c r="A15964" i="1"/>
  <c r="B15964" i="1"/>
  <c r="A15965" i="1"/>
  <c r="B15965" i="1"/>
  <c r="A15966" i="1"/>
  <c r="B15966" i="1"/>
  <c r="A15967" i="1"/>
  <c r="B15967" i="1"/>
  <c r="A15968" i="1"/>
  <c r="B15968" i="1"/>
  <c r="A15969" i="1"/>
  <c r="B15969" i="1"/>
  <c r="A15970" i="1"/>
  <c r="B15970" i="1"/>
  <c r="A15971" i="1"/>
  <c r="B15971" i="1"/>
  <c r="A15972" i="1"/>
  <c r="B15972" i="1"/>
  <c r="A15973" i="1"/>
  <c r="B15973" i="1"/>
  <c r="A15974" i="1"/>
  <c r="B15974" i="1"/>
  <c r="A15975" i="1"/>
  <c r="B15975" i="1"/>
  <c r="A15976" i="1"/>
  <c r="B15976" i="1"/>
  <c r="A15977" i="1"/>
  <c r="B15977" i="1"/>
  <c r="A15978" i="1"/>
  <c r="B15978" i="1"/>
  <c r="A15979" i="1"/>
  <c r="B15979" i="1"/>
  <c r="A15980" i="1"/>
  <c r="B15980" i="1"/>
  <c r="A15981" i="1"/>
  <c r="B15981" i="1"/>
  <c r="A15982" i="1"/>
  <c r="B15982" i="1"/>
  <c r="A15983" i="1"/>
  <c r="B15983" i="1"/>
  <c r="A15984" i="1"/>
  <c r="B15984" i="1"/>
  <c r="A15985" i="1"/>
  <c r="B15985" i="1"/>
  <c r="A15986" i="1"/>
  <c r="B15986" i="1"/>
  <c r="A15987" i="1"/>
  <c r="B15987" i="1"/>
  <c r="A15988" i="1"/>
  <c r="B15988" i="1"/>
  <c r="A15989" i="1"/>
  <c r="B15989" i="1"/>
  <c r="A15990" i="1"/>
  <c r="B15990" i="1"/>
  <c r="A15991" i="1"/>
  <c r="B15991" i="1"/>
  <c r="A15992" i="1"/>
  <c r="B15992" i="1"/>
  <c r="A15993" i="1"/>
  <c r="B15993" i="1"/>
  <c r="A15994" i="1"/>
  <c r="B15994" i="1"/>
  <c r="A15995" i="1"/>
  <c r="B15995" i="1"/>
  <c r="A15996" i="1"/>
  <c r="B15996" i="1"/>
  <c r="A15997" i="1"/>
  <c r="B15997" i="1"/>
  <c r="A15998" i="1"/>
  <c r="B15998" i="1"/>
  <c r="A15999" i="1"/>
  <c r="B15999" i="1"/>
  <c r="A16000" i="1"/>
  <c r="B16000" i="1"/>
  <c r="A16001" i="1"/>
  <c r="B16001" i="1"/>
  <c r="A16002" i="1"/>
  <c r="B16002" i="1"/>
  <c r="A16003" i="1"/>
  <c r="B16003" i="1"/>
  <c r="A16004" i="1"/>
  <c r="B16004" i="1"/>
  <c r="A16005" i="1"/>
  <c r="B16005" i="1"/>
  <c r="A16006" i="1"/>
  <c r="B16006" i="1"/>
  <c r="A16007" i="1"/>
  <c r="B16007" i="1"/>
  <c r="A16008" i="1"/>
  <c r="B16008" i="1"/>
  <c r="A16009" i="1"/>
  <c r="B16009" i="1"/>
  <c r="A16010" i="1"/>
  <c r="B16010" i="1"/>
  <c r="A16011" i="1"/>
  <c r="B16011" i="1"/>
  <c r="A16012" i="1"/>
  <c r="B16012" i="1"/>
  <c r="A16013" i="1"/>
  <c r="B16013" i="1"/>
  <c r="A16014" i="1"/>
  <c r="B16014" i="1"/>
  <c r="A16015" i="1"/>
  <c r="B16015" i="1"/>
  <c r="A16016" i="1"/>
  <c r="B16016" i="1"/>
  <c r="A16017" i="1"/>
  <c r="B16017" i="1"/>
  <c r="A16018" i="1"/>
  <c r="B16018" i="1"/>
  <c r="A16019" i="1"/>
  <c r="B16019" i="1"/>
  <c r="A16020" i="1"/>
  <c r="B16020" i="1"/>
  <c r="A16021" i="1"/>
  <c r="B16021" i="1"/>
  <c r="A16022" i="1"/>
  <c r="B16022" i="1"/>
  <c r="A16023" i="1"/>
  <c r="B16023" i="1"/>
  <c r="A16024" i="1"/>
  <c r="B16024" i="1"/>
  <c r="A16025" i="1"/>
  <c r="B16025" i="1"/>
  <c r="A16026" i="1"/>
  <c r="B16026" i="1"/>
  <c r="A16027" i="1"/>
  <c r="B16027" i="1"/>
  <c r="A16028" i="1"/>
  <c r="B16028" i="1"/>
  <c r="A16029" i="1"/>
  <c r="B16029" i="1"/>
  <c r="A16030" i="1"/>
  <c r="B16030" i="1"/>
  <c r="A16031" i="1"/>
  <c r="B16031" i="1"/>
  <c r="A16032" i="1"/>
  <c r="B16032" i="1"/>
  <c r="A16033" i="1"/>
  <c r="B16033" i="1"/>
  <c r="A16034" i="1"/>
  <c r="B16034" i="1"/>
  <c r="A16035" i="1"/>
  <c r="B16035" i="1"/>
  <c r="A16036" i="1"/>
  <c r="B16036" i="1"/>
  <c r="A16037" i="1"/>
  <c r="B16037" i="1"/>
  <c r="A16038" i="1"/>
  <c r="B16038" i="1"/>
  <c r="A16039" i="1"/>
  <c r="B16039" i="1"/>
  <c r="A16040" i="1"/>
  <c r="B16040" i="1"/>
  <c r="A16041" i="1"/>
  <c r="B16041" i="1"/>
  <c r="A16042" i="1"/>
  <c r="B16042" i="1"/>
  <c r="A16043" i="1"/>
  <c r="B16043" i="1"/>
  <c r="A16044" i="1"/>
  <c r="B16044" i="1"/>
  <c r="A16045" i="1"/>
  <c r="B16045" i="1"/>
  <c r="A16046" i="1"/>
  <c r="B16046" i="1"/>
  <c r="A16047" i="1"/>
  <c r="B16047" i="1"/>
  <c r="A16048" i="1"/>
  <c r="B16048" i="1"/>
  <c r="A16049" i="1"/>
  <c r="B16049" i="1"/>
  <c r="A16050" i="1"/>
  <c r="B16050" i="1"/>
  <c r="A16051" i="1"/>
  <c r="B16051" i="1"/>
  <c r="A16052" i="1"/>
  <c r="B16052" i="1"/>
  <c r="A16053" i="1"/>
  <c r="B16053" i="1"/>
  <c r="A16054" i="1"/>
  <c r="B16054" i="1"/>
  <c r="A16055" i="1"/>
  <c r="B16055" i="1"/>
  <c r="A16056" i="1"/>
  <c r="B16056" i="1"/>
  <c r="A16057" i="1"/>
  <c r="B16057" i="1"/>
  <c r="A16058" i="1"/>
  <c r="B16058" i="1"/>
  <c r="A16059" i="1"/>
  <c r="B16059" i="1"/>
  <c r="A16060" i="1"/>
  <c r="B16060" i="1"/>
  <c r="A16061" i="1"/>
  <c r="B16061" i="1"/>
  <c r="A16062" i="1"/>
  <c r="B16062" i="1"/>
  <c r="A16063" i="1"/>
  <c r="B16063" i="1"/>
  <c r="A16064" i="1"/>
  <c r="B16064" i="1"/>
  <c r="A16065" i="1"/>
  <c r="B16065" i="1"/>
  <c r="A16066" i="1"/>
  <c r="B16066" i="1"/>
  <c r="A16067" i="1"/>
  <c r="B16067" i="1"/>
  <c r="A16068" i="1"/>
  <c r="B16068" i="1"/>
  <c r="A16069" i="1"/>
  <c r="B16069" i="1"/>
  <c r="A16070" i="1"/>
  <c r="B16070" i="1"/>
  <c r="A16071" i="1"/>
  <c r="B16071" i="1"/>
  <c r="A16072" i="1"/>
  <c r="B16072" i="1"/>
  <c r="A16073" i="1"/>
  <c r="B16073" i="1"/>
  <c r="A16074" i="1"/>
  <c r="B16074" i="1"/>
  <c r="A16075" i="1"/>
  <c r="B16075" i="1"/>
  <c r="A16076" i="1"/>
  <c r="B16076" i="1"/>
  <c r="A16077" i="1"/>
  <c r="B16077" i="1"/>
  <c r="A16078" i="1"/>
  <c r="B16078" i="1"/>
  <c r="A16079" i="1"/>
  <c r="B16079" i="1"/>
  <c r="A16080" i="1"/>
  <c r="B16080" i="1"/>
  <c r="A16081" i="1"/>
  <c r="B16081" i="1"/>
  <c r="A16082" i="1"/>
  <c r="B16082" i="1"/>
  <c r="A16083" i="1"/>
  <c r="B16083" i="1"/>
  <c r="A16084" i="1"/>
  <c r="B16084" i="1"/>
  <c r="A16085" i="1"/>
  <c r="B16085" i="1"/>
  <c r="A16086" i="1"/>
  <c r="B16086" i="1"/>
  <c r="A16087" i="1"/>
  <c r="B16087" i="1"/>
  <c r="A16088" i="1"/>
  <c r="B16088" i="1"/>
  <c r="A16089" i="1"/>
  <c r="B16089" i="1"/>
  <c r="A16090" i="1"/>
  <c r="B16090" i="1"/>
  <c r="A16091" i="1"/>
  <c r="B16091" i="1"/>
  <c r="A16092" i="1"/>
  <c r="B16092" i="1"/>
  <c r="A16093" i="1"/>
  <c r="B16093" i="1"/>
  <c r="A16094" i="1"/>
  <c r="B16094" i="1"/>
  <c r="A16095" i="1"/>
  <c r="B16095" i="1"/>
  <c r="A16096" i="1"/>
  <c r="B16096" i="1"/>
  <c r="A16097" i="1"/>
  <c r="B16097" i="1"/>
  <c r="A16098" i="1"/>
  <c r="B16098" i="1"/>
  <c r="A16099" i="1"/>
  <c r="B16099" i="1"/>
  <c r="A16100" i="1"/>
  <c r="B16100" i="1"/>
  <c r="A16101" i="1"/>
  <c r="B16101" i="1"/>
  <c r="A16102" i="1"/>
  <c r="B16102" i="1"/>
  <c r="A16103" i="1"/>
  <c r="B16103" i="1"/>
  <c r="A16104" i="1"/>
  <c r="B16104" i="1"/>
  <c r="A16105" i="1"/>
  <c r="B16105" i="1"/>
  <c r="A16106" i="1"/>
  <c r="B16106" i="1"/>
  <c r="A16107" i="1"/>
  <c r="B16107" i="1"/>
  <c r="A16108" i="1"/>
  <c r="B16108" i="1"/>
  <c r="A16109" i="1"/>
  <c r="B16109" i="1"/>
  <c r="A16110" i="1"/>
  <c r="B16110" i="1"/>
  <c r="A16111" i="1"/>
  <c r="B16111" i="1"/>
  <c r="A16112" i="1"/>
  <c r="B16112" i="1"/>
  <c r="A16113" i="1"/>
  <c r="B16113" i="1"/>
  <c r="A16114" i="1"/>
  <c r="B16114" i="1"/>
  <c r="A16115" i="1"/>
  <c r="B16115" i="1"/>
  <c r="A16116" i="1"/>
  <c r="B16116" i="1"/>
  <c r="A16117" i="1"/>
  <c r="B16117" i="1"/>
  <c r="A16118" i="1"/>
  <c r="B16118" i="1"/>
  <c r="A16119" i="1"/>
  <c r="B16119" i="1"/>
  <c r="A16120" i="1"/>
  <c r="B16120" i="1"/>
  <c r="A16121" i="1"/>
  <c r="B16121" i="1"/>
  <c r="A16122" i="1"/>
  <c r="B16122" i="1"/>
  <c r="A16123" i="1"/>
  <c r="B16123" i="1"/>
  <c r="A16124" i="1"/>
  <c r="B16124" i="1"/>
  <c r="A16125" i="1"/>
  <c r="B16125" i="1"/>
  <c r="A16126" i="1"/>
  <c r="B16126" i="1"/>
  <c r="A16127" i="1"/>
  <c r="B16127" i="1"/>
  <c r="A16128" i="1"/>
  <c r="B16128" i="1"/>
  <c r="A16129" i="1"/>
  <c r="B16129" i="1"/>
  <c r="A16130" i="1"/>
  <c r="B16130" i="1"/>
  <c r="A16131" i="1"/>
  <c r="B16131" i="1"/>
  <c r="A16132" i="1"/>
  <c r="B16132" i="1"/>
  <c r="A16133" i="1"/>
  <c r="B16133" i="1"/>
  <c r="A16134" i="1"/>
  <c r="B16134" i="1"/>
  <c r="A16135" i="1"/>
  <c r="B16135" i="1"/>
  <c r="A16136" i="1"/>
  <c r="B16136" i="1"/>
  <c r="A16137" i="1"/>
  <c r="B16137" i="1"/>
  <c r="A16138" i="1"/>
  <c r="B16138" i="1"/>
  <c r="A16139" i="1"/>
  <c r="B16139" i="1"/>
  <c r="A16140" i="1"/>
  <c r="B16140" i="1"/>
  <c r="A16141" i="1"/>
  <c r="B16141" i="1"/>
  <c r="A16142" i="1"/>
  <c r="B16142" i="1"/>
  <c r="A16143" i="1"/>
  <c r="B16143" i="1"/>
  <c r="A16144" i="1"/>
  <c r="B16144" i="1"/>
  <c r="A16145" i="1"/>
  <c r="B16145" i="1"/>
  <c r="A16146" i="1"/>
  <c r="B16146" i="1"/>
  <c r="A16147" i="1"/>
  <c r="B16147" i="1"/>
  <c r="A16148" i="1"/>
  <c r="B16148" i="1"/>
  <c r="A16149" i="1"/>
  <c r="B16149" i="1"/>
  <c r="A16150" i="1"/>
  <c r="B16150" i="1"/>
  <c r="A16151" i="1"/>
  <c r="B16151" i="1"/>
  <c r="A16152" i="1"/>
  <c r="B16152" i="1"/>
  <c r="A16153" i="1"/>
  <c r="B16153" i="1"/>
  <c r="A16154" i="1"/>
  <c r="B16154" i="1"/>
  <c r="A16155" i="1"/>
  <c r="B16155" i="1"/>
  <c r="A16156" i="1"/>
  <c r="B16156" i="1"/>
  <c r="A16157" i="1"/>
  <c r="B16157" i="1"/>
  <c r="A16158" i="1"/>
  <c r="B16158" i="1"/>
  <c r="A16159" i="1"/>
  <c r="B16159" i="1"/>
  <c r="A16160" i="1"/>
  <c r="B16160" i="1"/>
  <c r="A16161" i="1"/>
  <c r="B16161" i="1"/>
  <c r="A16162" i="1"/>
  <c r="B16162" i="1"/>
  <c r="A16163" i="1"/>
  <c r="B16163" i="1"/>
  <c r="A16164" i="1"/>
  <c r="B16164" i="1"/>
  <c r="A16165" i="1"/>
  <c r="B16165" i="1"/>
  <c r="A16166" i="1"/>
  <c r="B16166" i="1"/>
  <c r="A16167" i="1"/>
  <c r="B16167" i="1"/>
  <c r="A16168" i="1"/>
  <c r="B16168" i="1"/>
  <c r="A16169" i="1"/>
  <c r="B16169" i="1"/>
  <c r="A16170" i="1"/>
  <c r="B16170" i="1"/>
  <c r="A16171" i="1"/>
  <c r="B16171" i="1"/>
  <c r="A16172" i="1"/>
  <c r="B16172" i="1"/>
  <c r="A16173" i="1"/>
  <c r="B16173" i="1"/>
  <c r="A16174" i="1"/>
  <c r="B16174" i="1"/>
  <c r="A16175" i="1"/>
  <c r="B16175" i="1"/>
  <c r="A16176" i="1"/>
  <c r="B16176" i="1"/>
  <c r="A16177" i="1"/>
  <c r="B16177" i="1"/>
  <c r="A16178" i="1"/>
  <c r="B16178" i="1"/>
  <c r="A16179" i="1"/>
  <c r="B16179" i="1"/>
  <c r="A16180" i="1"/>
  <c r="B16180" i="1"/>
  <c r="A16181" i="1"/>
  <c r="B16181" i="1"/>
  <c r="A16182" i="1"/>
  <c r="B16182" i="1"/>
  <c r="A16183" i="1"/>
  <c r="B16183" i="1"/>
  <c r="A16184" i="1"/>
  <c r="B16184" i="1"/>
  <c r="A16185" i="1"/>
  <c r="B16185" i="1"/>
  <c r="A16186" i="1"/>
  <c r="B16186" i="1"/>
  <c r="A16187" i="1"/>
  <c r="B16187" i="1"/>
  <c r="A16188" i="1"/>
  <c r="B16188" i="1"/>
  <c r="A16189" i="1"/>
  <c r="B16189" i="1"/>
  <c r="A16190" i="1"/>
  <c r="B16190" i="1"/>
  <c r="A16191" i="1"/>
  <c r="B16191" i="1"/>
  <c r="A16192" i="1"/>
  <c r="B16192" i="1"/>
  <c r="A16193" i="1"/>
  <c r="B16193" i="1"/>
  <c r="A16194" i="1"/>
  <c r="B16194" i="1"/>
  <c r="A16195" i="1"/>
  <c r="B16195" i="1"/>
  <c r="A16196" i="1"/>
  <c r="B16196" i="1"/>
  <c r="A16197" i="1"/>
  <c r="B16197" i="1"/>
  <c r="A16198" i="1"/>
  <c r="B16198" i="1"/>
  <c r="A16199" i="1"/>
  <c r="B16199" i="1"/>
  <c r="A16200" i="1"/>
  <c r="B16200" i="1"/>
  <c r="A16201" i="1"/>
  <c r="B16201" i="1"/>
  <c r="A16202" i="1"/>
  <c r="B16202" i="1"/>
  <c r="A16203" i="1"/>
  <c r="B16203" i="1"/>
  <c r="A16204" i="1"/>
  <c r="B16204" i="1"/>
  <c r="A16205" i="1"/>
  <c r="B16205" i="1"/>
  <c r="A16206" i="1"/>
  <c r="B16206" i="1"/>
  <c r="A16207" i="1"/>
  <c r="B16207" i="1"/>
  <c r="A16208" i="1"/>
  <c r="B16208" i="1"/>
  <c r="A16209" i="1"/>
  <c r="B16209" i="1"/>
  <c r="A16210" i="1"/>
  <c r="B16210" i="1"/>
  <c r="A16211" i="1"/>
  <c r="B16211" i="1"/>
  <c r="A16212" i="1"/>
  <c r="B16212" i="1"/>
  <c r="A16213" i="1"/>
  <c r="B16213" i="1"/>
  <c r="A16214" i="1"/>
  <c r="B16214" i="1"/>
  <c r="A16215" i="1"/>
  <c r="B16215" i="1"/>
  <c r="A16216" i="1"/>
  <c r="B16216" i="1"/>
  <c r="A16217" i="1"/>
  <c r="B16217" i="1"/>
  <c r="A16218" i="1"/>
  <c r="B16218" i="1"/>
  <c r="A16219" i="1"/>
  <c r="B16219" i="1"/>
  <c r="A16220" i="1"/>
  <c r="B16220" i="1"/>
  <c r="A16221" i="1"/>
  <c r="B16221" i="1"/>
  <c r="A16222" i="1"/>
  <c r="B16222" i="1"/>
  <c r="A16223" i="1"/>
  <c r="B16223" i="1"/>
  <c r="A16224" i="1"/>
  <c r="B16224" i="1"/>
  <c r="A16225" i="1"/>
  <c r="B16225" i="1"/>
  <c r="A16226" i="1"/>
  <c r="B16226" i="1"/>
  <c r="A16227" i="1"/>
  <c r="B16227" i="1"/>
  <c r="A16228" i="1"/>
  <c r="B16228" i="1"/>
  <c r="A16229" i="1"/>
  <c r="B16229" i="1"/>
  <c r="A16230" i="1"/>
  <c r="B16230" i="1"/>
  <c r="A16231" i="1"/>
  <c r="B16231" i="1"/>
  <c r="A16232" i="1"/>
  <c r="B16232" i="1"/>
  <c r="A16233" i="1"/>
  <c r="B16233" i="1"/>
  <c r="A16234" i="1"/>
  <c r="B16234" i="1"/>
  <c r="A16235" i="1"/>
  <c r="B16235" i="1"/>
  <c r="A16236" i="1"/>
  <c r="B16236" i="1"/>
  <c r="A16237" i="1"/>
  <c r="B16237" i="1"/>
  <c r="A16238" i="1"/>
  <c r="B16238" i="1"/>
  <c r="A16239" i="1"/>
  <c r="B16239" i="1"/>
  <c r="A16240" i="1"/>
  <c r="B16240" i="1"/>
  <c r="A16241" i="1"/>
  <c r="B16241" i="1"/>
  <c r="A16242" i="1"/>
  <c r="B16242" i="1"/>
  <c r="A16243" i="1"/>
  <c r="B16243" i="1"/>
  <c r="A16244" i="1"/>
  <c r="B16244" i="1"/>
  <c r="A16245" i="1"/>
  <c r="B16245" i="1"/>
  <c r="A16246" i="1"/>
  <c r="B16246" i="1"/>
  <c r="A16247" i="1"/>
  <c r="B16247" i="1"/>
  <c r="A16248" i="1"/>
  <c r="B16248" i="1"/>
  <c r="A16249" i="1"/>
  <c r="B16249" i="1"/>
  <c r="A16250" i="1"/>
  <c r="B16250" i="1"/>
  <c r="A16251" i="1"/>
  <c r="B16251" i="1"/>
  <c r="A16252" i="1"/>
  <c r="B16252" i="1"/>
  <c r="A16253" i="1"/>
  <c r="B16253" i="1"/>
  <c r="A16254" i="1"/>
  <c r="B16254" i="1"/>
  <c r="A16255" i="1"/>
  <c r="B16255" i="1"/>
  <c r="A16256" i="1"/>
  <c r="B16256" i="1"/>
  <c r="A16257" i="1"/>
  <c r="B16257" i="1"/>
  <c r="A16258" i="1"/>
  <c r="B16258" i="1"/>
  <c r="A16259" i="1"/>
  <c r="B16259" i="1"/>
  <c r="A16260" i="1"/>
  <c r="B16260" i="1"/>
  <c r="A16261" i="1"/>
  <c r="B16261" i="1"/>
  <c r="A16262" i="1"/>
  <c r="B16262" i="1"/>
  <c r="A16263" i="1"/>
  <c r="B16263" i="1"/>
  <c r="A16264" i="1"/>
  <c r="B16264" i="1"/>
  <c r="A16265" i="1"/>
  <c r="B16265" i="1"/>
  <c r="A16266" i="1"/>
  <c r="B16266" i="1"/>
  <c r="A16267" i="1"/>
  <c r="B16267" i="1"/>
  <c r="A16268" i="1"/>
  <c r="B16268" i="1"/>
  <c r="A16269" i="1"/>
  <c r="B16269" i="1"/>
  <c r="A16270" i="1"/>
  <c r="B16270" i="1"/>
  <c r="A16271" i="1"/>
  <c r="B16271" i="1"/>
  <c r="A16272" i="1"/>
  <c r="B16272" i="1"/>
  <c r="A16273" i="1"/>
  <c r="B16273" i="1"/>
  <c r="A16274" i="1"/>
  <c r="B16274" i="1"/>
  <c r="A16275" i="1"/>
  <c r="B16275" i="1"/>
  <c r="A16276" i="1"/>
  <c r="B16276" i="1"/>
  <c r="A16277" i="1"/>
  <c r="B16277" i="1"/>
  <c r="A16278" i="1"/>
  <c r="B16278" i="1"/>
  <c r="A16279" i="1"/>
  <c r="B16279" i="1"/>
  <c r="A16280" i="1"/>
  <c r="B16280" i="1"/>
  <c r="A16281" i="1"/>
  <c r="B16281" i="1"/>
  <c r="A16282" i="1"/>
  <c r="B16282" i="1"/>
  <c r="A16283" i="1"/>
  <c r="B16283" i="1"/>
  <c r="A16284" i="1"/>
  <c r="B16284" i="1"/>
  <c r="A16285" i="1"/>
  <c r="B16285" i="1"/>
  <c r="A16286" i="1"/>
  <c r="B16286" i="1"/>
  <c r="A16287" i="1"/>
  <c r="B16287" i="1"/>
  <c r="A16288" i="1"/>
  <c r="B16288" i="1"/>
  <c r="A16289" i="1"/>
  <c r="B16289" i="1"/>
  <c r="A16290" i="1"/>
  <c r="B16290" i="1"/>
  <c r="A16291" i="1"/>
  <c r="B16291" i="1"/>
  <c r="A16292" i="1"/>
  <c r="B16292" i="1"/>
  <c r="A16293" i="1"/>
  <c r="B16293" i="1"/>
  <c r="A16294" i="1"/>
  <c r="B16294" i="1"/>
  <c r="A16295" i="1"/>
  <c r="B16295" i="1"/>
  <c r="A16296" i="1"/>
  <c r="B16296" i="1"/>
  <c r="A16297" i="1"/>
  <c r="B16297" i="1"/>
  <c r="A16298" i="1"/>
  <c r="B16298" i="1"/>
  <c r="A16299" i="1"/>
  <c r="B16299" i="1"/>
  <c r="A16300" i="1"/>
  <c r="B16300" i="1"/>
  <c r="A16301" i="1"/>
  <c r="B16301" i="1"/>
  <c r="A16302" i="1"/>
  <c r="B16302" i="1"/>
  <c r="A16303" i="1"/>
  <c r="B16303" i="1"/>
  <c r="A16304" i="1"/>
  <c r="B16304" i="1"/>
  <c r="A16305" i="1"/>
  <c r="B16305" i="1"/>
  <c r="A16306" i="1"/>
  <c r="B16306" i="1"/>
  <c r="A16307" i="1"/>
  <c r="B16307" i="1"/>
  <c r="A16308" i="1"/>
  <c r="B16308" i="1"/>
  <c r="A16309" i="1"/>
  <c r="B16309" i="1"/>
  <c r="A16310" i="1"/>
  <c r="B16310" i="1"/>
  <c r="A16311" i="1"/>
  <c r="B16311" i="1"/>
  <c r="A16312" i="1"/>
  <c r="B16312" i="1"/>
  <c r="A16313" i="1"/>
  <c r="B16313" i="1"/>
  <c r="A16314" i="1"/>
  <c r="B16314" i="1"/>
  <c r="A16315" i="1"/>
  <c r="B16315" i="1"/>
  <c r="A16316" i="1"/>
  <c r="B16316" i="1"/>
  <c r="A16317" i="1"/>
  <c r="B16317" i="1"/>
  <c r="A16318" i="1"/>
  <c r="B16318" i="1"/>
  <c r="A16319" i="1"/>
  <c r="B16319" i="1"/>
  <c r="A16320" i="1"/>
  <c r="B16320" i="1"/>
  <c r="A16321" i="1"/>
  <c r="B16321" i="1"/>
  <c r="A16322" i="1"/>
  <c r="B16322" i="1"/>
  <c r="A16323" i="1"/>
  <c r="B16323" i="1"/>
  <c r="A16324" i="1"/>
  <c r="B16324" i="1"/>
  <c r="A16325" i="1"/>
  <c r="B16325" i="1"/>
  <c r="A16326" i="1"/>
  <c r="B16326" i="1"/>
  <c r="A16327" i="1"/>
  <c r="B16327" i="1"/>
  <c r="A16328" i="1"/>
  <c r="B16328" i="1"/>
  <c r="A16329" i="1"/>
  <c r="B16329" i="1"/>
  <c r="A16330" i="1"/>
  <c r="B16330" i="1"/>
  <c r="A16331" i="1"/>
  <c r="B16331" i="1"/>
  <c r="A16332" i="1"/>
  <c r="B16332" i="1"/>
  <c r="A16333" i="1"/>
  <c r="B16333" i="1"/>
  <c r="A16334" i="1"/>
  <c r="B16334" i="1"/>
  <c r="A16335" i="1"/>
  <c r="B16335" i="1"/>
  <c r="A16336" i="1"/>
  <c r="B16336" i="1"/>
  <c r="A16337" i="1"/>
  <c r="B16337" i="1"/>
  <c r="A16338" i="1"/>
  <c r="B16338" i="1"/>
  <c r="A16339" i="1"/>
  <c r="B16339" i="1"/>
  <c r="A16340" i="1"/>
  <c r="B16340" i="1"/>
  <c r="A16341" i="1"/>
  <c r="B16341" i="1"/>
  <c r="A16342" i="1"/>
  <c r="B16342" i="1"/>
  <c r="A16343" i="1"/>
  <c r="B16343" i="1"/>
  <c r="A16344" i="1"/>
  <c r="B16344" i="1"/>
  <c r="A16345" i="1"/>
  <c r="B16345" i="1"/>
  <c r="A16346" i="1"/>
  <c r="B16346" i="1"/>
  <c r="A16347" i="1"/>
  <c r="B16347" i="1"/>
  <c r="A16348" i="1"/>
  <c r="B16348" i="1"/>
  <c r="A16349" i="1"/>
  <c r="B16349" i="1"/>
  <c r="A16350" i="1"/>
  <c r="B16350" i="1"/>
  <c r="A16351" i="1"/>
  <c r="B16351" i="1"/>
  <c r="A16352" i="1"/>
  <c r="B16352" i="1"/>
  <c r="A16353" i="1"/>
  <c r="B16353" i="1"/>
  <c r="A16354" i="1"/>
  <c r="B16354" i="1"/>
  <c r="A16355" i="1"/>
  <c r="B16355" i="1"/>
  <c r="A16356" i="1"/>
  <c r="B16356" i="1"/>
  <c r="A16357" i="1"/>
  <c r="B16357" i="1"/>
  <c r="A16358" i="1"/>
  <c r="B16358" i="1"/>
  <c r="A16359" i="1"/>
  <c r="B16359" i="1"/>
  <c r="A16360" i="1"/>
  <c r="B16360" i="1"/>
  <c r="A16361" i="1"/>
  <c r="B16361" i="1"/>
  <c r="A16362" i="1"/>
  <c r="B16362" i="1"/>
  <c r="A16363" i="1"/>
  <c r="B16363" i="1"/>
  <c r="A16364" i="1"/>
  <c r="B16364" i="1"/>
  <c r="A16365" i="1"/>
  <c r="B16365" i="1"/>
  <c r="A16366" i="1"/>
  <c r="B16366" i="1"/>
  <c r="A16367" i="1"/>
  <c r="B16367" i="1"/>
  <c r="A16368" i="1"/>
  <c r="B16368" i="1"/>
  <c r="A16369" i="1"/>
  <c r="B16369" i="1"/>
  <c r="A16370" i="1"/>
  <c r="B16370" i="1"/>
  <c r="A16371" i="1"/>
  <c r="B16371" i="1"/>
  <c r="A16372" i="1"/>
  <c r="B16372" i="1"/>
  <c r="A16373" i="1"/>
  <c r="B16373" i="1"/>
  <c r="A16374" i="1"/>
  <c r="B16374" i="1"/>
  <c r="A16375" i="1"/>
  <c r="B16375" i="1"/>
  <c r="A16376" i="1"/>
  <c r="B16376" i="1"/>
  <c r="A16377" i="1"/>
  <c r="B16377" i="1"/>
  <c r="A16378" i="1"/>
  <c r="B16378" i="1"/>
  <c r="A16379" i="1"/>
  <c r="B16379" i="1"/>
  <c r="A16380" i="1"/>
  <c r="B16380" i="1"/>
  <c r="A16381" i="1"/>
  <c r="B16381" i="1"/>
  <c r="A16382" i="1"/>
  <c r="B16382" i="1"/>
  <c r="A16383" i="1"/>
  <c r="B16383" i="1"/>
  <c r="A16384" i="1"/>
  <c r="B16384" i="1"/>
  <c r="A16385" i="1"/>
  <c r="B16385" i="1"/>
  <c r="A16386" i="1"/>
  <c r="B16386" i="1"/>
  <c r="A16387" i="1"/>
  <c r="B16387" i="1"/>
  <c r="A16388" i="1"/>
  <c r="B16388" i="1"/>
  <c r="A16389" i="1"/>
  <c r="B16389" i="1"/>
  <c r="A16390" i="1"/>
  <c r="B16390" i="1"/>
  <c r="A16391" i="1"/>
  <c r="B16391" i="1"/>
  <c r="A16392" i="1"/>
  <c r="B16392" i="1"/>
  <c r="A16393" i="1"/>
  <c r="B16393" i="1"/>
  <c r="A16394" i="1"/>
  <c r="B16394" i="1"/>
  <c r="A16395" i="1"/>
  <c r="B16395" i="1"/>
  <c r="A16396" i="1"/>
  <c r="B16396" i="1"/>
  <c r="A16397" i="1"/>
  <c r="B16397" i="1"/>
  <c r="A16398" i="1"/>
  <c r="B16398" i="1"/>
  <c r="A16399" i="1"/>
  <c r="B16399" i="1"/>
  <c r="A16400" i="1"/>
  <c r="B16400" i="1"/>
  <c r="A16401" i="1"/>
  <c r="B16401" i="1"/>
  <c r="A16402" i="1"/>
  <c r="B16402" i="1"/>
  <c r="A16403" i="1"/>
  <c r="B16403" i="1"/>
  <c r="A16404" i="1"/>
  <c r="B16404" i="1"/>
  <c r="A16405" i="1"/>
  <c r="B16405" i="1"/>
  <c r="A16406" i="1"/>
  <c r="B16406" i="1"/>
  <c r="A16407" i="1"/>
  <c r="B16407" i="1"/>
  <c r="A16408" i="1"/>
  <c r="B16408" i="1"/>
  <c r="A16409" i="1"/>
  <c r="B16409" i="1"/>
  <c r="A16410" i="1"/>
  <c r="B16410" i="1"/>
  <c r="A16411" i="1"/>
  <c r="B16411" i="1"/>
  <c r="A16412" i="1"/>
  <c r="B16412" i="1"/>
  <c r="A16413" i="1"/>
  <c r="B16413" i="1"/>
  <c r="A16414" i="1"/>
  <c r="B16414" i="1"/>
  <c r="A16415" i="1"/>
  <c r="B16415" i="1"/>
  <c r="A16416" i="1"/>
  <c r="B16416" i="1"/>
  <c r="A16417" i="1"/>
  <c r="B16417" i="1"/>
  <c r="A16418" i="1"/>
  <c r="B16418" i="1"/>
  <c r="A16419" i="1"/>
  <c r="B16419" i="1"/>
  <c r="A16420" i="1"/>
  <c r="B16420" i="1"/>
  <c r="A16421" i="1"/>
  <c r="B16421" i="1"/>
  <c r="A16422" i="1"/>
  <c r="B16422" i="1"/>
  <c r="A16423" i="1"/>
  <c r="B16423" i="1"/>
  <c r="A16424" i="1"/>
  <c r="B16424" i="1"/>
  <c r="A16425" i="1"/>
  <c r="B16425" i="1"/>
  <c r="A16426" i="1"/>
  <c r="B16426" i="1"/>
  <c r="A16427" i="1"/>
  <c r="B16427" i="1"/>
  <c r="A16428" i="1"/>
  <c r="B16428" i="1"/>
  <c r="A16429" i="1"/>
  <c r="B16429" i="1"/>
  <c r="A16430" i="1"/>
  <c r="B16430" i="1"/>
  <c r="A16431" i="1"/>
  <c r="B16431" i="1"/>
  <c r="A16432" i="1"/>
  <c r="B16432" i="1"/>
  <c r="A16433" i="1"/>
  <c r="B16433" i="1"/>
  <c r="A16434" i="1"/>
  <c r="B16434" i="1"/>
  <c r="A16435" i="1"/>
  <c r="B16435" i="1"/>
  <c r="A16436" i="1"/>
  <c r="B16436" i="1"/>
  <c r="A16437" i="1"/>
  <c r="B16437" i="1"/>
  <c r="A16438" i="1"/>
  <c r="B16438" i="1"/>
  <c r="A16439" i="1"/>
  <c r="B16439" i="1"/>
  <c r="A16440" i="1"/>
  <c r="B16440" i="1"/>
  <c r="A16441" i="1"/>
  <c r="B16441" i="1"/>
  <c r="A16442" i="1"/>
  <c r="B16442" i="1"/>
  <c r="A16443" i="1"/>
  <c r="B16443" i="1"/>
  <c r="A16444" i="1"/>
  <c r="B16444" i="1"/>
  <c r="A16445" i="1"/>
  <c r="B16445" i="1"/>
  <c r="A16446" i="1"/>
  <c r="B16446" i="1"/>
  <c r="A16447" i="1"/>
  <c r="B16447" i="1"/>
  <c r="A16448" i="1"/>
  <c r="B16448" i="1"/>
  <c r="A16449" i="1"/>
  <c r="B16449" i="1"/>
  <c r="A16450" i="1"/>
  <c r="B16450" i="1"/>
  <c r="A16451" i="1"/>
  <c r="B16451" i="1"/>
  <c r="A16452" i="1"/>
  <c r="B16452" i="1"/>
  <c r="A16453" i="1"/>
  <c r="B16453" i="1"/>
  <c r="A16454" i="1"/>
  <c r="B16454" i="1"/>
  <c r="A16455" i="1"/>
  <c r="B16455" i="1"/>
  <c r="A16456" i="1"/>
  <c r="B16456" i="1"/>
  <c r="A16457" i="1"/>
  <c r="B16457" i="1"/>
  <c r="A16458" i="1"/>
  <c r="B16458" i="1"/>
  <c r="A16459" i="1"/>
  <c r="B16459" i="1"/>
  <c r="A16460" i="1"/>
  <c r="B16460" i="1"/>
  <c r="A16461" i="1"/>
  <c r="B16461" i="1"/>
  <c r="A16462" i="1"/>
  <c r="B16462" i="1"/>
  <c r="A16463" i="1"/>
  <c r="B16463" i="1"/>
  <c r="A16464" i="1"/>
  <c r="B16464" i="1"/>
  <c r="A16465" i="1"/>
  <c r="B16465" i="1"/>
  <c r="A16466" i="1"/>
  <c r="B16466" i="1"/>
  <c r="A16467" i="1"/>
  <c r="B16467" i="1"/>
  <c r="A16468" i="1"/>
  <c r="B16468" i="1"/>
  <c r="A16469" i="1"/>
  <c r="B16469" i="1"/>
  <c r="A16470" i="1"/>
  <c r="B16470" i="1"/>
  <c r="A16471" i="1"/>
  <c r="B16471" i="1"/>
  <c r="A16472" i="1"/>
  <c r="B16472" i="1"/>
  <c r="A16473" i="1"/>
  <c r="B16473" i="1"/>
  <c r="A16474" i="1"/>
  <c r="B16474" i="1"/>
  <c r="A16475" i="1"/>
  <c r="B16475" i="1"/>
  <c r="A16476" i="1"/>
  <c r="B16476" i="1"/>
  <c r="A16477" i="1"/>
  <c r="B16477" i="1"/>
  <c r="A16478" i="1"/>
  <c r="B16478" i="1"/>
  <c r="A16479" i="1"/>
  <c r="B16479" i="1"/>
  <c r="A16480" i="1"/>
  <c r="B16480" i="1"/>
  <c r="A16481" i="1"/>
  <c r="B16481" i="1"/>
  <c r="A16482" i="1"/>
  <c r="B16482" i="1"/>
  <c r="A16483" i="1"/>
  <c r="B16483" i="1"/>
  <c r="A16484" i="1"/>
  <c r="B16484" i="1"/>
  <c r="A16485" i="1"/>
  <c r="B16485" i="1"/>
  <c r="A16486" i="1"/>
  <c r="B16486" i="1"/>
  <c r="A16487" i="1"/>
  <c r="B16487" i="1"/>
  <c r="A16488" i="1"/>
  <c r="B16488" i="1"/>
  <c r="A16489" i="1"/>
  <c r="B16489" i="1"/>
  <c r="A16490" i="1"/>
  <c r="B16490" i="1"/>
  <c r="A16491" i="1"/>
  <c r="B16491" i="1"/>
  <c r="A16492" i="1"/>
  <c r="B16492" i="1"/>
  <c r="A16493" i="1"/>
  <c r="B16493" i="1"/>
  <c r="A16494" i="1"/>
  <c r="B16494" i="1"/>
  <c r="A16495" i="1"/>
  <c r="B16495" i="1"/>
  <c r="A16496" i="1"/>
  <c r="B16496" i="1"/>
  <c r="A16497" i="1"/>
  <c r="B16497" i="1"/>
  <c r="A16498" i="1"/>
  <c r="B16498" i="1"/>
  <c r="A16499" i="1"/>
  <c r="B16499" i="1"/>
  <c r="A16500" i="1"/>
  <c r="B16500" i="1"/>
  <c r="A16501" i="1"/>
  <c r="B16501" i="1"/>
  <c r="A16502" i="1"/>
  <c r="B16502" i="1"/>
  <c r="A16503" i="1"/>
  <c r="B16503" i="1"/>
  <c r="A16504" i="1"/>
  <c r="B16504" i="1"/>
  <c r="A16505" i="1"/>
  <c r="B16505" i="1"/>
  <c r="A16506" i="1"/>
  <c r="B16506" i="1"/>
  <c r="A16507" i="1"/>
  <c r="B16507" i="1"/>
  <c r="A16508" i="1"/>
  <c r="B16508" i="1"/>
  <c r="A16509" i="1"/>
  <c r="B16509" i="1"/>
  <c r="A16510" i="1"/>
  <c r="B16510" i="1"/>
  <c r="A16511" i="1"/>
  <c r="B16511" i="1"/>
  <c r="A16512" i="1"/>
  <c r="B16512" i="1"/>
  <c r="A16513" i="1"/>
  <c r="B16513" i="1"/>
  <c r="A16514" i="1"/>
  <c r="B16514" i="1"/>
  <c r="A16515" i="1"/>
  <c r="B16515" i="1"/>
  <c r="A16516" i="1"/>
  <c r="B16516" i="1"/>
  <c r="A16517" i="1"/>
  <c r="B16517" i="1"/>
  <c r="A16518" i="1"/>
  <c r="B16518" i="1"/>
  <c r="A16519" i="1"/>
  <c r="B16519" i="1"/>
  <c r="A16520" i="1"/>
  <c r="B16520" i="1"/>
  <c r="A16521" i="1"/>
  <c r="B16521" i="1"/>
  <c r="A16522" i="1"/>
  <c r="B16522" i="1"/>
  <c r="A16523" i="1"/>
  <c r="B16523" i="1"/>
  <c r="A16524" i="1"/>
  <c r="B16524" i="1"/>
  <c r="A16525" i="1"/>
  <c r="B16525" i="1"/>
  <c r="A16526" i="1"/>
  <c r="B16526" i="1"/>
  <c r="A16527" i="1"/>
  <c r="B16527" i="1"/>
  <c r="A16528" i="1"/>
  <c r="B16528" i="1"/>
  <c r="A16529" i="1"/>
  <c r="B16529" i="1"/>
  <c r="A16530" i="1"/>
  <c r="B16530" i="1"/>
  <c r="A16531" i="1"/>
  <c r="B16531" i="1"/>
  <c r="A16532" i="1"/>
  <c r="B16532" i="1"/>
  <c r="A16533" i="1"/>
  <c r="B16533" i="1"/>
  <c r="A16534" i="1"/>
  <c r="B16534" i="1"/>
  <c r="A16535" i="1"/>
  <c r="B16535" i="1"/>
  <c r="A16536" i="1"/>
  <c r="B16536" i="1"/>
  <c r="A16537" i="1"/>
  <c r="B16537" i="1"/>
  <c r="A16538" i="1"/>
  <c r="B16538" i="1"/>
  <c r="A16539" i="1"/>
  <c r="B16539" i="1"/>
  <c r="A16540" i="1"/>
  <c r="B16540" i="1"/>
  <c r="A16541" i="1"/>
  <c r="B16541" i="1"/>
  <c r="A16542" i="1"/>
  <c r="B16542" i="1"/>
  <c r="A16543" i="1"/>
  <c r="B16543" i="1"/>
  <c r="A16544" i="1"/>
  <c r="B16544" i="1"/>
  <c r="A16545" i="1"/>
  <c r="B16545" i="1"/>
  <c r="A16546" i="1"/>
  <c r="B16546" i="1"/>
  <c r="A16547" i="1"/>
  <c r="B16547" i="1"/>
  <c r="A16548" i="1"/>
  <c r="B16548" i="1"/>
  <c r="A16549" i="1"/>
  <c r="B16549" i="1"/>
  <c r="A16550" i="1"/>
  <c r="B16550" i="1"/>
  <c r="A16551" i="1"/>
  <c r="B16551" i="1"/>
  <c r="A16552" i="1"/>
  <c r="B16552" i="1"/>
  <c r="A16553" i="1"/>
  <c r="B16553" i="1"/>
  <c r="A16554" i="1"/>
  <c r="B16554" i="1"/>
  <c r="A16555" i="1"/>
  <c r="B16555" i="1"/>
  <c r="A16556" i="1"/>
  <c r="B16556" i="1"/>
  <c r="A16557" i="1"/>
  <c r="B16557" i="1"/>
  <c r="A16558" i="1"/>
  <c r="B16558" i="1"/>
  <c r="A16559" i="1"/>
  <c r="B16559" i="1"/>
  <c r="A16560" i="1"/>
  <c r="B16560" i="1"/>
  <c r="A16561" i="1"/>
  <c r="B16561" i="1"/>
  <c r="A16562" i="1"/>
  <c r="B16562" i="1"/>
  <c r="A16563" i="1"/>
  <c r="B16563" i="1"/>
  <c r="A16564" i="1"/>
  <c r="B16564" i="1"/>
  <c r="A16565" i="1"/>
  <c r="B16565" i="1"/>
  <c r="A16566" i="1"/>
  <c r="B16566" i="1"/>
  <c r="A16567" i="1"/>
  <c r="B16567" i="1"/>
  <c r="A16568" i="1"/>
  <c r="B16568" i="1"/>
  <c r="A16569" i="1"/>
  <c r="B16569" i="1"/>
  <c r="A16570" i="1"/>
  <c r="B16570" i="1"/>
  <c r="A16571" i="1"/>
  <c r="B16571" i="1"/>
  <c r="A16572" i="1"/>
  <c r="B16572" i="1"/>
  <c r="A16573" i="1"/>
  <c r="B16573" i="1"/>
  <c r="A16574" i="1"/>
  <c r="B16574" i="1"/>
  <c r="A16575" i="1"/>
  <c r="B16575" i="1"/>
  <c r="A16576" i="1"/>
  <c r="B16576" i="1"/>
  <c r="A16577" i="1"/>
  <c r="B16577" i="1"/>
  <c r="A16578" i="1"/>
  <c r="B16578" i="1"/>
  <c r="A16579" i="1"/>
  <c r="B16579" i="1"/>
  <c r="A16580" i="1"/>
  <c r="B16580" i="1"/>
  <c r="A16581" i="1"/>
  <c r="B16581" i="1"/>
  <c r="A16582" i="1"/>
  <c r="B16582" i="1"/>
  <c r="A16583" i="1"/>
  <c r="B16583" i="1"/>
  <c r="A16584" i="1"/>
  <c r="B16584" i="1"/>
  <c r="A16585" i="1"/>
  <c r="B16585" i="1"/>
  <c r="A16586" i="1"/>
  <c r="B16586" i="1"/>
  <c r="A16587" i="1"/>
  <c r="B16587" i="1"/>
  <c r="A16588" i="1"/>
  <c r="B16588" i="1"/>
  <c r="A16589" i="1"/>
  <c r="B16589" i="1"/>
  <c r="A16590" i="1"/>
  <c r="B16590" i="1"/>
  <c r="A16591" i="1"/>
  <c r="B16591" i="1"/>
  <c r="A16592" i="1"/>
  <c r="B16592" i="1"/>
  <c r="A16593" i="1"/>
  <c r="B16593" i="1"/>
  <c r="A16594" i="1"/>
  <c r="B16594" i="1"/>
  <c r="A16595" i="1"/>
  <c r="B16595" i="1"/>
  <c r="A16596" i="1"/>
  <c r="B16596" i="1"/>
  <c r="A16597" i="1"/>
  <c r="B16597" i="1"/>
  <c r="A16598" i="1"/>
  <c r="B16598" i="1"/>
  <c r="A16599" i="1"/>
  <c r="B16599" i="1"/>
  <c r="A16600" i="1"/>
  <c r="B16600" i="1"/>
  <c r="A16601" i="1"/>
  <c r="B16601" i="1"/>
  <c r="A16602" i="1"/>
  <c r="B16602" i="1"/>
  <c r="A16603" i="1"/>
  <c r="B16603" i="1"/>
  <c r="A16604" i="1"/>
  <c r="B16604" i="1"/>
  <c r="A16605" i="1"/>
  <c r="B16605" i="1"/>
  <c r="A16606" i="1"/>
  <c r="B16606" i="1"/>
  <c r="A16607" i="1"/>
  <c r="B16607" i="1"/>
  <c r="A16608" i="1"/>
  <c r="B16608" i="1"/>
  <c r="A16609" i="1"/>
  <c r="B16609" i="1"/>
  <c r="A16610" i="1"/>
  <c r="B16610" i="1"/>
  <c r="A16611" i="1"/>
  <c r="B16611" i="1"/>
  <c r="A16612" i="1"/>
  <c r="B16612" i="1"/>
  <c r="A16613" i="1"/>
  <c r="B16613" i="1"/>
  <c r="A16614" i="1"/>
  <c r="B16614" i="1"/>
  <c r="A16615" i="1"/>
  <c r="B16615" i="1"/>
  <c r="A16616" i="1"/>
  <c r="B16616" i="1"/>
  <c r="A16617" i="1"/>
  <c r="B16617" i="1"/>
  <c r="A16618" i="1"/>
  <c r="B16618" i="1"/>
  <c r="A16619" i="1"/>
  <c r="B16619" i="1"/>
  <c r="A16620" i="1"/>
  <c r="B16620" i="1"/>
  <c r="A16621" i="1"/>
  <c r="B16621" i="1"/>
  <c r="A16622" i="1"/>
  <c r="B16622" i="1"/>
  <c r="A16623" i="1"/>
  <c r="B16623" i="1"/>
  <c r="A16624" i="1"/>
  <c r="B16624" i="1"/>
  <c r="A16625" i="1"/>
  <c r="B16625" i="1"/>
  <c r="A16626" i="1"/>
  <c r="B16626" i="1"/>
  <c r="A16627" i="1"/>
  <c r="B16627" i="1"/>
  <c r="A16628" i="1"/>
  <c r="B16628" i="1"/>
  <c r="A16629" i="1"/>
  <c r="B16629" i="1"/>
  <c r="A16630" i="1"/>
  <c r="B16630" i="1"/>
  <c r="A16631" i="1"/>
  <c r="B16631" i="1"/>
  <c r="A16632" i="1"/>
  <c r="B16632" i="1"/>
  <c r="A16633" i="1"/>
  <c r="B16633" i="1"/>
  <c r="A16634" i="1"/>
  <c r="B16634" i="1"/>
  <c r="A16635" i="1"/>
  <c r="B16635" i="1"/>
  <c r="A16636" i="1"/>
  <c r="B16636" i="1"/>
  <c r="A16637" i="1"/>
  <c r="B16637" i="1"/>
  <c r="A16638" i="1"/>
  <c r="B16638" i="1"/>
  <c r="A16639" i="1"/>
  <c r="B16639" i="1"/>
  <c r="A16640" i="1"/>
  <c r="B16640" i="1"/>
  <c r="A16641" i="1"/>
  <c r="B16641" i="1"/>
  <c r="A16642" i="1"/>
  <c r="B16642" i="1"/>
  <c r="A16643" i="1"/>
  <c r="B16643" i="1"/>
  <c r="A16644" i="1"/>
  <c r="B16644" i="1"/>
  <c r="A16645" i="1"/>
  <c r="B16645" i="1"/>
  <c r="A16646" i="1"/>
  <c r="B16646" i="1"/>
  <c r="A16647" i="1"/>
  <c r="B16647" i="1"/>
  <c r="A16648" i="1"/>
  <c r="B16648" i="1"/>
  <c r="A16649" i="1"/>
  <c r="B16649" i="1"/>
  <c r="A16650" i="1"/>
  <c r="B16650" i="1"/>
  <c r="A16651" i="1"/>
  <c r="B16651" i="1"/>
  <c r="A16652" i="1"/>
  <c r="B16652" i="1"/>
  <c r="A16653" i="1"/>
  <c r="B16653" i="1"/>
  <c r="A16654" i="1"/>
  <c r="B16654" i="1"/>
  <c r="A16655" i="1"/>
  <c r="B16655" i="1"/>
  <c r="A16656" i="1"/>
  <c r="B16656" i="1"/>
  <c r="A16657" i="1"/>
  <c r="B16657" i="1"/>
  <c r="A16658" i="1"/>
  <c r="B16658" i="1"/>
  <c r="A16659" i="1"/>
  <c r="B16659" i="1"/>
  <c r="A16660" i="1"/>
  <c r="B16660" i="1"/>
  <c r="A16661" i="1"/>
  <c r="B16661" i="1"/>
  <c r="A16662" i="1"/>
  <c r="B16662" i="1"/>
  <c r="A16663" i="1"/>
  <c r="B16663" i="1"/>
  <c r="A16664" i="1"/>
  <c r="B16664" i="1"/>
  <c r="A16665" i="1"/>
  <c r="B16665" i="1"/>
  <c r="A16666" i="1"/>
  <c r="B16666" i="1"/>
  <c r="A16667" i="1"/>
  <c r="B16667" i="1"/>
  <c r="A16668" i="1"/>
  <c r="B16668" i="1"/>
  <c r="A16669" i="1"/>
  <c r="B16669" i="1"/>
  <c r="A16670" i="1"/>
  <c r="B16670" i="1"/>
  <c r="A16671" i="1"/>
  <c r="B16671" i="1"/>
  <c r="A16672" i="1"/>
  <c r="B16672" i="1"/>
  <c r="A16673" i="1"/>
  <c r="B16673" i="1"/>
  <c r="A16674" i="1"/>
  <c r="B16674" i="1"/>
  <c r="A16675" i="1"/>
  <c r="B16675" i="1"/>
  <c r="A16676" i="1"/>
  <c r="B16676" i="1"/>
  <c r="A16677" i="1"/>
  <c r="B16677" i="1"/>
  <c r="A16678" i="1"/>
  <c r="B16678" i="1"/>
  <c r="A16679" i="1"/>
  <c r="B16679" i="1"/>
  <c r="A16680" i="1"/>
  <c r="B16680" i="1"/>
  <c r="A16681" i="1"/>
  <c r="B16681" i="1"/>
  <c r="A16682" i="1"/>
  <c r="B16682" i="1"/>
  <c r="A16683" i="1"/>
  <c r="B16683" i="1"/>
  <c r="A16684" i="1"/>
  <c r="B16684" i="1"/>
  <c r="A16685" i="1"/>
  <c r="B16685" i="1"/>
  <c r="A16686" i="1"/>
  <c r="B16686" i="1"/>
  <c r="A16687" i="1"/>
  <c r="B16687" i="1"/>
  <c r="A16688" i="1"/>
  <c r="B16688" i="1"/>
  <c r="A16689" i="1"/>
  <c r="B16689" i="1"/>
  <c r="A16690" i="1"/>
  <c r="B16690" i="1"/>
  <c r="A16691" i="1"/>
  <c r="B16691" i="1"/>
  <c r="A16692" i="1"/>
  <c r="B16692" i="1"/>
  <c r="A16693" i="1"/>
  <c r="B16693" i="1"/>
  <c r="A16694" i="1"/>
  <c r="B16694" i="1"/>
  <c r="A16695" i="1"/>
  <c r="B16695" i="1"/>
  <c r="A16696" i="1"/>
  <c r="B16696" i="1"/>
  <c r="A16697" i="1"/>
  <c r="B16697" i="1"/>
  <c r="A16698" i="1"/>
  <c r="B16698" i="1"/>
  <c r="A16699" i="1"/>
  <c r="B16699" i="1"/>
  <c r="A16700" i="1"/>
  <c r="B16700" i="1"/>
  <c r="A16701" i="1"/>
  <c r="B16701" i="1"/>
  <c r="A16702" i="1"/>
  <c r="B16702" i="1"/>
  <c r="A16703" i="1"/>
  <c r="B16703" i="1"/>
  <c r="A16704" i="1"/>
  <c r="B16704" i="1"/>
  <c r="A16705" i="1"/>
  <c r="B16705" i="1"/>
  <c r="A16706" i="1"/>
  <c r="B16706" i="1"/>
  <c r="A16707" i="1"/>
  <c r="B16707" i="1"/>
  <c r="A16708" i="1"/>
  <c r="B16708" i="1"/>
  <c r="A16709" i="1"/>
  <c r="B16709" i="1"/>
  <c r="A16710" i="1"/>
  <c r="B16710" i="1"/>
  <c r="A16711" i="1"/>
  <c r="B16711" i="1"/>
  <c r="A16712" i="1"/>
  <c r="B16712" i="1"/>
  <c r="A16713" i="1"/>
  <c r="B16713" i="1"/>
  <c r="A16714" i="1"/>
  <c r="B16714" i="1"/>
  <c r="A16715" i="1"/>
  <c r="B16715" i="1"/>
  <c r="A16716" i="1"/>
  <c r="B16716" i="1"/>
  <c r="A16717" i="1"/>
  <c r="B16717" i="1"/>
  <c r="A16718" i="1"/>
  <c r="B16718" i="1"/>
  <c r="A16719" i="1"/>
  <c r="B16719" i="1"/>
  <c r="A16720" i="1"/>
  <c r="B16720" i="1"/>
  <c r="A16721" i="1"/>
  <c r="B16721" i="1"/>
  <c r="A16722" i="1"/>
  <c r="B16722" i="1"/>
  <c r="A16723" i="1"/>
  <c r="B16723" i="1"/>
  <c r="A16724" i="1"/>
  <c r="B16724" i="1"/>
  <c r="A16725" i="1"/>
  <c r="B16725" i="1"/>
  <c r="A16726" i="1"/>
  <c r="B16726" i="1"/>
  <c r="A16727" i="1"/>
  <c r="B16727" i="1"/>
  <c r="A16728" i="1"/>
  <c r="B16728" i="1"/>
  <c r="A16729" i="1"/>
  <c r="B16729" i="1"/>
  <c r="A16730" i="1"/>
  <c r="B16730" i="1"/>
  <c r="A16731" i="1"/>
  <c r="B16731" i="1"/>
  <c r="A16732" i="1"/>
  <c r="B16732" i="1"/>
  <c r="A16733" i="1"/>
  <c r="B16733" i="1"/>
  <c r="A16734" i="1"/>
  <c r="B16734" i="1"/>
  <c r="A16735" i="1"/>
  <c r="B16735" i="1"/>
  <c r="A16736" i="1"/>
  <c r="B16736" i="1"/>
  <c r="A16737" i="1"/>
  <c r="B16737" i="1"/>
  <c r="A16738" i="1"/>
  <c r="B16738" i="1"/>
  <c r="A16739" i="1"/>
  <c r="B16739" i="1"/>
  <c r="A16740" i="1"/>
  <c r="B16740" i="1"/>
  <c r="A16741" i="1"/>
  <c r="B16741" i="1"/>
  <c r="A16742" i="1"/>
  <c r="B16742" i="1"/>
  <c r="A16743" i="1"/>
  <c r="B16743" i="1"/>
  <c r="A16744" i="1"/>
  <c r="B16744" i="1"/>
  <c r="A16745" i="1"/>
  <c r="B16745" i="1"/>
  <c r="A16746" i="1"/>
  <c r="B16746" i="1"/>
  <c r="A16747" i="1"/>
  <c r="B16747" i="1"/>
  <c r="A16748" i="1"/>
  <c r="B16748" i="1"/>
  <c r="A16749" i="1"/>
  <c r="B16749" i="1"/>
  <c r="A16750" i="1"/>
  <c r="B16750" i="1"/>
  <c r="A16751" i="1"/>
  <c r="B16751" i="1"/>
  <c r="A16752" i="1"/>
  <c r="B16752" i="1"/>
  <c r="A16753" i="1"/>
  <c r="B16753" i="1"/>
  <c r="A16754" i="1"/>
  <c r="B16754" i="1"/>
  <c r="A16755" i="1"/>
  <c r="B16755" i="1"/>
  <c r="A16756" i="1"/>
  <c r="B16756" i="1"/>
  <c r="A16757" i="1"/>
  <c r="B16757" i="1"/>
  <c r="A16758" i="1"/>
  <c r="B16758" i="1"/>
  <c r="A16759" i="1"/>
  <c r="B16759" i="1"/>
  <c r="A16760" i="1"/>
  <c r="B16760" i="1"/>
  <c r="A16761" i="1"/>
  <c r="B16761" i="1"/>
  <c r="A16762" i="1"/>
  <c r="B16762" i="1"/>
  <c r="A16763" i="1"/>
  <c r="B16763" i="1"/>
  <c r="A16764" i="1"/>
  <c r="B16764" i="1"/>
  <c r="A16765" i="1"/>
  <c r="B16765" i="1"/>
  <c r="A16766" i="1"/>
  <c r="B16766" i="1"/>
  <c r="A16767" i="1"/>
  <c r="B16767" i="1"/>
  <c r="A16768" i="1"/>
  <c r="B16768" i="1"/>
  <c r="A16769" i="1"/>
  <c r="B16769" i="1"/>
  <c r="A16770" i="1"/>
  <c r="B16770" i="1"/>
  <c r="A16771" i="1"/>
  <c r="B16771" i="1"/>
  <c r="A16772" i="1"/>
  <c r="B16772" i="1"/>
  <c r="A16773" i="1"/>
  <c r="B16773" i="1"/>
  <c r="A16774" i="1"/>
  <c r="B16774" i="1"/>
  <c r="A16775" i="1"/>
  <c r="B16775" i="1"/>
  <c r="A16776" i="1"/>
  <c r="B16776" i="1"/>
  <c r="A16777" i="1"/>
  <c r="B16777" i="1"/>
  <c r="A16778" i="1"/>
  <c r="B16778" i="1"/>
  <c r="A16779" i="1"/>
  <c r="B16779" i="1"/>
  <c r="A16780" i="1"/>
  <c r="B16780" i="1"/>
  <c r="A16781" i="1"/>
  <c r="B16781" i="1"/>
  <c r="A16782" i="1"/>
  <c r="B16782" i="1"/>
  <c r="A16783" i="1"/>
  <c r="B16783" i="1"/>
  <c r="A16784" i="1"/>
  <c r="B16784" i="1"/>
  <c r="A16785" i="1"/>
  <c r="B16785" i="1"/>
  <c r="A16786" i="1"/>
  <c r="B16786" i="1"/>
  <c r="A16787" i="1"/>
  <c r="B16787" i="1"/>
  <c r="A16788" i="1"/>
  <c r="B16788" i="1"/>
  <c r="A16789" i="1"/>
  <c r="B16789" i="1"/>
  <c r="A16790" i="1"/>
  <c r="B16790" i="1"/>
  <c r="A16791" i="1"/>
  <c r="B16791" i="1"/>
  <c r="A16792" i="1"/>
  <c r="B16792" i="1"/>
  <c r="A16793" i="1"/>
  <c r="B16793" i="1"/>
  <c r="A16794" i="1"/>
  <c r="B16794" i="1"/>
  <c r="A16795" i="1"/>
  <c r="B16795" i="1"/>
  <c r="A16796" i="1"/>
  <c r="B16796" i="1"/>
  <c r="A16797" i="1"/>
  <c r="B16797" i="1"/>
  <c r="A16798" i="1"/>
  <c r="B16798" i="1"/>
  <c r="A16799" i="1"/>
  <c r="B16799" i="1"/>
  <c r="A16800" i="1"/>
  <c r="B16800" i="1"/>
  <c r="A16801" i="1"/>
  <c r="B16801" i="1"/>
  <c r="A16802" i="1"/>
  <c r="B16802" i="1"/>
  <c r="A16803" i="1"/>
  <c r="B16803" i="1"/>
  <c r="A16804" i="1"/>
  <c r="B16804" i="1"/>
  <c r="A16805" i="1"/>
  <c r="B16805" i="1"/>
  <c r="A16806" i="1"/>
  <c r="B16806" i="1"/>
  <c r="A16807" i="1"/>
  <c r="B16807" i="1"/>
  <c r="A16808" i="1"/>
  <c r="B16808" i="1"/>
  <c r="A16809" i="1"/>
  <c r="B16809" i="1"/>
  <c r="A16810" i="1"/>
  <c r="B16810" i="1"/>
  <c r="A16811" i="1"/>
  <c r="B16811" i="1"/>
  <c r="A16812" i="1"/>
  <c r="B16812" i="1"/>
  <c r="A16813" i="1"/>
  <c r="B16813" i="1"/>
  <c r="A16814" i="1"/>
  <c r="B16814" i="1"/>
  <c r="A16815" i="1"/>
  <c r="B16815" i="1"/>
  <c r="A16816" i="1"/>
  <c r="B16816" i="1"/>
  <c r="A16817" i="1"/>
  <c r="B16817" i="1"/>
  <c r="A16818" i="1"/>
  <c r="B16818" i="1"/>
  <c r="A16819" i="1"/>
  <c r="B16819" i="1"/>
  <c r="A16820" i="1"/>
  <c r="B16820" i="1"/>
  <c r="A16821" i="1"/>
  <c r="B16821" i="1"/>
  <c r="A16822" i="1"/>
  <c r="B16822" i="1"/>
  <c r="A16823" i="1"/>
  <c r="B16823" i="1"/>
  <c r="A16824" i="1"/>
  <c r="B16824" i="1"/>
  <c r="A16825" i="1"/>
  <c r="B16825" i="1"/>
  <c r="A16826" i="1"/>
  <c r="B16826" i="1"/>
  <c r="A16827" i="1"/>
  <c r="B16827" i="1"/>
  <c r="A16828" i="1"/>
  <c r="B16828" i="1"/>
  <c r="A16829" i="1"/>
  <c r="B16829" i="1"/>
  <c r="A16830" i="1"/>
  <c r="B16830" i="1"/>
  <c r="A16831" i="1"/>
  <c r="B16831" i="1"/>
  <c r="A16832" i="1"/>
  <c r="B16832" i="1"/>
  <c r="A16833" i="1"/>
  <c r="B16833" i="1"/>
  <c r="A16834" i="1"/>
  <c r="B16834" i="1"/>
  <c r="A16835" i="1"/>
  <c r="B16835" i="1"/>
  <c r="A16836" i="1"/>
  <c r="B16836" i="1"/>
  <c r="A16837" i="1"/>
  <c r="B16837" i="1"/>
  <c r="A16838" i="1"/>
  <c r="B16838" i="1"/>
  <c r="A16839" i="1"/>
  <c r="B16839" i="1"/>
  <c r="A16840" i="1"/>
  <c r="B16840" i="1"/>
  <c r="A16841" i="1"/>
  <c r="B16841" i="1"/>
  <c r="A16842" i="1"/>
  <c r="B16842" i="1"/>
  <c r="A16843" i="1"/>
  <c r="B16843" i="1"/>
  <c r="A16844" i="1"/>
  <c r="B16844" i="1"/>
  <c r="A16845" i="1"/>
  <c r="B16845" i="1"/>
  <c r="A16846" i="1"/>
  <c r="B16846" i="1"/>
  <c r="A16847" i="1"/>
  <c r="B16847" i="1"/>
  <c r="A16848" i="1"/>
  <c r="B16848" i="1"/>
  <c r="A16849" i="1"/>
  <c r="B16849" i="1"/>
  <c r="A16850" i="1"/>
  <c r="B16850" i="1"/>
  <c r="A16851" i="1"/>
  <c r="B16851" i="1"/>
  <c r="A16852" i="1"/>
  <c r="B16852" i="1"/>
  <c r="A16853" i="1"/>
  <c r="B16853" i="1"/>
  <c r="A16854" i="1"/>
  <c r="B16854" i="1"/>
  <c r="A16855" i="1"/>
  <c r="B16855" i="1"/>
  <c r="A16856" i="1"/>
  <c r="B16856" i="1"/>
  <c r="A16857" i="1"/>
  <c r="B16857" i="1"/>
  <c r="A16858" i="1"/>
  <c r="B16858" i="1"/>
  <c r="A16859" i="1"/>
  <c r="B16859" i="1"/>
  <c r="A16860" i="1"/>
  <c r="B16860" i="1"/>
  <c r="A16861" i="1"/>
  <c r="B16861" i="1"/>
  <c r="A16862" i="1"/>
  <c r="B16862" i="1"/>
  <c r="A16863" i="1"/>
  <c r="B16863" i="1"/>
  <c r="A16864" i="1"/>
  <c r="B16864" i="1"/>
  <c r="A16865" i="1"/>
  <c r="B16865" i="1"/>
  <c r="A16866" i="1"/>
  <c r="B16866" i="1"/>
  <c r="A16867" i="1"/>
  <c r="B16867" i="1"/>
  <c r="A16868" i="1"/>
  <c r="B16868" i="1"/>
  <c r="A16869" i="1"/>
  <c r="B16869" i="1"/>
  <c r="A16870" i="1"/>
  <c r="B16870" i="1"/>
  <c r="A16871" i="1"/>
  <c r="B16871" i="1"/>
  <c r="A16872" i="1"/>
  <c r="B16872" i="1"/>
  <c r="A16873" i="1"/>
  <c r="B16873" i="1"/>
  <c r="A16874" i="1"/>
  <c r="B16874" i="1"/>
  <c r="A16875" i="1"/>
  <c r="B16875" i="1"/>
  <c r="A16876" i="1"/>
  <c r="B16876" i="1"/>
  <c r="A16877" i="1"/>
  <c r="B16877" i="1"/>
  <c r="A16878" i="1"/>
  <c r="B16878" i="1"/>
  <c r="A16879" i="1"/>
  <c r="B16879" i="1"/>
  <c r="A16880" i="1"/>
  <c r="B16880" i="1"/>
  <c r="A16881" i="1"/>
  <c r="B16881" i="1"/>
  <c r="A16882" i="1"/>
  <c r="B16882" i="1"/>
  <c r="A16883" i="1"/>
  <c r="B16883" i="1"/>
  <c r="A16884" i="1"/>
  <c r="B16884" i="1"/>
  <c r="A16885" i="1"/>
  <c r="B16885" i="1"/>
  <c r="A16886" i="1"/>
  <c r="B16886" i="1"/>
  <c r="A16887" i="1"/>
  <c r="B16887" i="1"/>
  <c r="A16888" i="1"/>
  <c r="B16888" i="1"/>
  <c r="A16889" i="1"/>
  <c r="B16889" i="1"/>
  <c r="A16890" i="1"/>
  <c r="B16890" i="1"/>
  <c r="A16891" i="1"/>
  <c r="B16891" i="1"/>
  <c r="A16892" i="1"/>
  <c r="B16892" i="1"/>
  <c r="A16893" i="1"/>
  <c r="B16893" i="1"/>
  <c r="A16894" i="1"/>
  <c r="B16894" i="1"/>
  <c r="A16895" i="1"/>
  <c r="B16895" i="1"/>
  <c r="A16896" i="1"/>
  <c r="B16896" i="1"/>
  <c r="A16897" i="1"/>
  <c r="B16897" i="1"/>
  <c r="A16898" i="1"/>
  <c r="B16898" i="1"/>
  <c r="A16899" i="1"/>
  <c r="B16899" i="1"/>
  <c r="A16900" i="1"/>
  <c r="B16900" i="1"/>
  <c r="A16901" i="1"/>
  <c r="B16901" i="1"/>
  <c r="A16902" i="1"/>
  <c r="B16902" i="1"/>
  <c r="A16903" i="1"/>
  <c r="B16903" i="1"/>
  <c r="A16904" i="1"/>
  <c r="B16904" i="1"/>
  <c r="A16905" i="1"/>
  <c r="B16905" i="1"/>
  <c r="A16906" i="1"/>
  <c r="B16906" i="1"/>
  <c r="A16907" i="1"/>
  <c r="B16907" i="1"/>
  <c r="A16908" i="1"/>
  <c r="B16908" i="1"/>
  <c r="A16909" i="1"/>
  <c r="B16909" i="1"/>
  <c r="A16910" i="1"/>
  <c r="B16910" i="1"/>
  <c r="A16911" i="1"/>
  <c r="B16911" i="1"/>
  <c r="A16912" i="1"/>
  <c r="B16912" i="1"/>
  <c r="A16913" i="1"/>
  <c r="B16913" i="1"/>
  <c r="A16914" i="1"/>
  <c r="B16914" i="1"/>
  <c r="A16915" i="1"/>
  <c r="B16915" i="1"/>
  <c r="A16916" i="1"/>
  <c r="B16916" i="1"/>
  <c r="A16917" i="1"/>
  <c r="B16917" i="1"/>
  <c r="A16918" i="1"/>
  <c r="B16918" i="1"/>
  <c r="A16919" i="1"/>
  <c r="B16919" i="1"/>
  <c r="A16920" i="1"/>
  <c r="B16920" i="1"/>
  <c r="A16921" i="1"/>
  <c r="B16921" i="1"/>
  <c r="A16922" i="1"/>
  <c r="B16922" i="1"/>
  <c r="A16923" i="1"/>
  <c r="B16923" i="1"/>
  <c r="A16924" i="1"/>
  <c r="B16924" i="1"/>
  <c r="A16925" i="1"/>
  <c r="B16925" i="1"/>
  <c r="A16926" i="1"/>
  <c r="B16926" i="1"/>
  <c r="A16927" i="1"/>
  <c r="B16927" i="1"/>
  <c r="A16928" i="1"/>
  <c r="B16928" i="1"/>
  <c r="A16929" i="1"/>
  <c r="B16929" i="1"/>
  <c r="A16930" i="1"/>
  <c r="B16930" i="1"/>
  <c r="A16931" i="1"/>
  <c r="B16931" i="1"/>
  <c r="A16932" i="1"/>
  <c r="B16932" i="1"/>
  <c r="A16933" i="1"/>
  <c r="B16933" i="1"/>
  <c r="A16934" i="1"/>
  <c r="B16934" i="1"/>
  <c r="A16935" i="1"/>
  <c r="B16935" i="1"/>
  <c r="A16936" i="1"/>
  <c r="B16936" i="1"/>
  <c r="A16937" i="1"/>
  <c r="B16937" i="1"/>
  <c r="A16938" i="1"/>
  <c r="B16938" i="1"/>
  <c r="A16939" i="1"/>
  <c r="B16939" i="1"/>
  <c r="A16940" i="1"/>
  <c r="B16940" i="1"/>
  <c r="A16941" i="1"/>
  <c r="B16941" i="1"/>
  <c r="A16942" i="1"/>
  <c r="B16942" i="1"/>
  <c r="A16943" i="1"/>
  <c r="B16943" i="1"/>
  <c r="A16944" i="1"/>
  <c r="B16944" i="1"/>
  <c r="A16945" i="1"/>
  <c r="B16945" i="1"/>
  <c r="A16946" i="1"/>
  <c r="B16946" i="1"/>
  <c r="A16947" i="1"/>
  <c r="B16947" i="1"/>
  <c r="A16948" i="1"/>
  <c r="B16948" i="1"/>
  <c r="A16949" i="1"/>
  <c r="B16949" i="1"/>
  <c r="A16950" i="1"/>
  <c r="B16950" i="1"/>
  <c r="A16951" i="1"/>
  <c r="B16951" i="1"/>
  <c r="A16952" i="1"/>
  <c r="B16952" i="1"/>
  <c r="A16953" i="1"/>
  <c r="B16953" i="1"/>
  <c r="A16954" i="1"/>
  <c r="B16954" i="1"/>
  <c r="A16955" i="1"/>
  <c r="B16955" i="1"/>
  <c r="A16956" i="1"/>
  <c r="B16956" i="1"/>
  <c r="A16957" i="1"/>
  <c r="B16957" i="1"/>
  <c r="A16958" i="1"/>
  <c r="B16958" i="1"/>
  <c r="A16959" i="1"/>
  <c r="B16959" i="1"/>
  <c r="A16960" i="1"/>
  <c r="B16960" i="1"/>
  <c r="A16961" i="1"/>
  <c r="B16961" i="1"/>
  <c r="A16962" i="1"/>
  <c r="B16962" i="1"/>
  <c r="A16963" i="1"/>
  <c r="B16963" i="1"/>
  <c r="A16964" i="1"/>
  <c r="B16964" i="1"/>
  <c r="A16965" i="1"/>
  <c r="B16965" i="1"/>
  <c r="A16966" i="1"/>
  <c r="B16966" i="1"/>
  <c r="A16967" i="1"/>
  <c r="B16967" i="1"/>
  <c r="A16968" i="1"/>
  <c r="B16968" i="1"/>
  <c r="A16969" i="1"/>
  <c r="B16969" i="1"/>
  <c r="A16970" i="1"/>
  <c r="B16970" i="1"/>
  <c r="A16971" i="1"/>
  <c r="B16971" i="1"/>
  <c r="A16972" i="1"/>
  <c r="B16972" i="1"/>
  <c r="A16973" i="1"/>
  <c r="B16973" i="1"/>
  <c r="A16974" i="1"/>
  <c r="B16974" i="1"/>
  <c r="A16975" i="1"/>
  <c r="B16975" i="1"/>
  <c r="A16976" i="1"/>
  <c r="B16976" i="1"/>
  <c r="A16977" i="1"/>
  <c r="B16977" i="1"/>
  <c r="A16978" i="1"/>
  <c r="B16978" i="1"/>
  <c r="A16979" i="1"/>
  <c r="B16979" i="1"/>
  <c r="A16980" i="1"/>
  <c r="B16980" i="1"/>
  <c r="A16981" i="1"/>
  <c r="B16981" i="1"/>
  <c r="A16982" i="1"/>
  <c r="B16982" i="1"/>
  <c r="A16983" i="1"/>
  <c r="B16983" i="1"/>
  <c r="A16984" i="1"/>
  <c r="B16984" i="1"/>
  <c r="A16985" i="1"/>
  <c r="B16985" i="1"/>
  <c r="A16986" i="1"/>
  <c r="B16986" i="1"/>
  <c r="A16987" i="1"/>
  <c r="B16987" i="1"/>
  <c r="A16988" i="1"/>
  <c r="B16988" i="1"/>
  <c r="A16989" i="1"/>
  <c r="B16989" i="1"/>
  <c r="A16990" i="1"/>
  <c r="B16990" i="1"/>
  <c r="A16991" i="1"/>
  <c r="B16991" i="1"/>
  <c r="A16992" i="1"/>
  <c r="B16992" i="1"/>
  <c r="A16993" i="1"/>
  <c r="B16993" i="1"/>
  <c r="A16994" i="1"/>
  <c r="B16994" i="1"/>
  <c r="A16995" i="1"/>
  <c r="B16995" i="1"/>
  <c r="A16996" i="1"/>
  <c r="B16996" i="1"/>
  <c r="A16997" i="1"/>
  <c r="B16997" i="1"/>
  <c r="A16998" i="1"/>
  <c r="B16998" i="1"/>
  <c r="A16999" i="1"/>
  <c r="B16999" i="1"/>
  <c r="A17000" i="1"/>
  <c r="B17000" i="1"/>
  <c r="A17001" i="1"/>
  <c r="B17001" i="1"/>
  <c r="A17002" i="1"/>
  <c r="B17002" i="1"/>
  <c r="A17003" i="1"/>
  <c r="B17003" i="1"/>
  <c r="A17004" i="1"/>
  <c r="B17004" i="1"/>
  <c r="A17005" i="1"/>
  <c r="B17005" i="1"/>
  <c r="A17006" i="1"/>
  <c r="B17006" i="1"/>
  <c r="A17007" i="1"/>
  <c r="B17007" i="1"/>
  <c r="A17008" i="1"/>
  <c r="B17008" i="1"/>
  <c r="A17009" i="1"/>
  <c r="B17009" i="1"/>
  <c r="A17010" i="1"/>
  <c r="B17010" i="1"/>
  <c r="A17011" i="1"/>
  <c r="B17011" i="1"/>
  <c r="A17012" i="1"/>
  <c r="B17012" i="1"/>
  <c r="A17013" i="1"/>
  <c r="B17013" i="1"/>
  <c r="A17014" i="1"/>
  <c r="B17014" i="1"/>
  <c r="A17015" i="1"/>
  <c r="B17015" i="1"/>
  <c r="A17016" i="1"/>
  <c r="B17016" i="1"/>
  <c r="A17017" i="1"/>
  <c r="B17017" i="1"/>
  <c r="A17018" i="1"/>
  <c r="B17018" i="1"/>
  <c r="A17019" i="1"/>
  <c r="B17019" i="1"/>
  <c r="A17020" i="1"/>
  <c r="B17020" i="1"/>
  <c r="A17021" i="1"/>
  <c r="B17021" i="1"/>
  <c r="A17022" i="1"/>
  <c r="B17022" i="1"/>
  <c r="A17023" i="1"/>
  <c r="B17023" i="1"/>
  <c r="A17024" i="1"/>
  <c r="B17024" i="1"/>
  <c r="A17025" i="1"/>
  <c r="B17025" i="1"/>
  <c r="A17026" i="1"/>
  <c r="B17026" i="1"/>
  <c r="A17027" i="1"/>
  <c r="B17027" i="1"/>
  <c r="A17028" i="1"/>
  <c r="B17028" i="1"/>
  <c r="A17029" i="1"/>
  <c r="B17029" i="1"/>
  <c r="A17030" i="1"/>
  <c r="B17030" i="1"/>
  <c r="A17031" i="1"/>
  <c r="B17031" i="1"/>
  <c r="A17032" i="1"/>
  <c r="B17032" i="1"/>
  <c r="A17033" i="1"/>
  <c r="B17033" i="1"/>
  <c r="A17034" i="1"/>
  <c r="B17034" i="1"/>
  <c r="A17035" i="1"/>
  <c r="B17035" i="1"/>
  <c r="A17036" i="1"/>
  <c r="B17036" i="1"/>
  <c r="A17037" i="1"/>
  <c r="B17037" i="1"/>
  <c r="A17038" i="1"/>
  <c r="B17038" i="1"/>
  <c r="A17039" i="1"/>
  <c r="B17039" i="1"/>
  <c r="A17040" i="1"/>
  <c r="B17040" i="1"/>
  <c r="A17041" i="1"/>
  <c r="B17041" i="1"/>
  <c r="A17042" i="1"/>
  <c r="B17042" i="1"/>
  <c r="A17043" i="1"/>
  <c r="B17043" i="1"/>
  <c r="A17044" i="1"/>
  <c r="B17044" i="1"/>
  <c r="A17045" i="1"/>
  <c r="B17045" i="1"/>
  <c r="A17046" i="1"/>
  <c r="B17046" i="1"/>
  <c r="A17047" i="1"/>
  <c r="B17047" i="1"/>
  <c r="A17048" i="1"/>
  <c r="B17048" i="1"/>
  <c r="A17049" i="1"/>
  <c r="B17049" i="1"/>
  <c r="A17050" i="1"/>
  <c r="B17050" i="1"/>
  <c r="A17051" i="1"/>
  <c r="B17051" i="1"/>
  <c r="A17052" i="1"/>
  <c r="B17052" i="1"/>
  <c r="A17053" i="1"/>
  <c r="B17053" i="1"/>
  <c r="A17054" i="1"/>
  <c r="B17054" i="1"/>
  <c r="A17055" i="1"/>
  <c r="B17055" i="1"/>
  <c r="A17056" i="1"/>
  <c r="B17056" i="1"/>
  <c r="A17057" i="1"/>
  <c r="B17057" i="1"/>
  <c r="A17058" i="1"/>
  <c r="B17058" i="1"/>
  <c r="A17059" i="1"/>
  <c r="B17059" i="1"/>
  <c r="A17060" i="1"/>
  <c r="B17060" i="1"/>
  <c r="A17061" i="1"/>
  <c r="B17061" i="1"/>
  <c r="A17062" i="1"/>
  <c r="B17062" i="1"/>
  <c r="A17063" i="1"/>
  <c r="B17063" i="1"/>
  <c r="A17064" i="1"/>
  <c r="B17064" i="1"/>
  <c r="A17065" i="1"/>
  <c r="B17065" i="1"/>
  <c r="A17066" i="1"/>
  <c r="B17066" i="1"/>
  <c r="A17067" i="1"/>
  <c r="B17067" i="1"/>
  <c r="A17068" i="1"/>
  <c r="B17068" i="1"/>
  <c r="A17069" i="1"/>
  <c r="B17069" i="1"/>
  <c r="A17070" i="1"/>
  <c r="B17070" i="1"/>
  <c r="A17071" i="1"/>
  <c r="B17071" i="1"/>
  <c r="A17072" i="1"/>
  <c r="B17072" i="1"/>
  <c r="A17073" i="1"/>
  <c r="B17073" i="1"/>
  <c r="A17074" i="1"/>
  <c r="B17074" i="1"/>
  <c r="A17075" i="1"/>
  <c r="B17075" i="1"/>
  <c r="A17076" i="1"/>
  <c r="B17076" i="1"/>
  <c r="A17077" i="1"/>
  <c r="B17077" i="1"/>
  <c r="A17078" i="1"/>
  <c r="B17078" i="1"/>
  <c r="A17079" i="1"/>
  <c r="B17079" i="1"/>
  <c r="A17080" i="1"/>
  <c r="B17080" i="1"/>
  <c r="A17081" i="1"/>
  <c r="B17081" i="1"/>
  <c r="A17082" i="1"/>
  <c r="B17082" i="1"/>
  <c r="A17083" i="1"/>
  <c r="B17083" i="1"/>
  <c r="A17084" i="1"/>
  <c r="B17084" i="1"/>
  <c r="A17085" i="1"/>
  <c r="B17085" i="1"/>
  <c r="A17086" i="1"/>
  <c r="B17086" i="1"/>
  <c r="A17087" i="1"/>
  <c r="B17087" i="1"/>
  <c r="A17088" i="1"/>
  <c r="B17088" i="1"/>
  <c r="A17089" i="1"/>
  <c r="B17089" i="1"/>
  <c r="A17090" i="1"/>
  <c r="B17090" i="1"/>
  <c r="A17091" i="1"/>
  <c r="B17091" i="1"/>
  <c r="A17092" i="1"/>
  <c r="B17092" i="1"/>
  <c r="A17093" i="1"/>
  <c r="B17093" i="1"/>
  <c r="A17094" i="1"/>
  <c r="B17094" i="1"/>
  <c r="A17095" i="1"/>
  <c r="B17095" i="1"/>
  <c r="A17096" i="1"/>
  <c r="B17096" i="1"/>
  <c r="A17097" i="1"/>
  <c r="B17097" i="1"/>
  <c r="A17098" i="1"/>
  <c r="B17098" i="1"/>
  <c r="A17099" i="1"/>
  <c r="B17099" i="1"/>
  <c r="A17100" i="1"/>
  <c r="B17100" i="1"/>
  <c r="A17101" i="1"/>
  <c r="B17101" i="1"/>
  <c r="A17102" i="1"/>
  <c r="B17102" i="1"/>
  <c r="A17103" i="1"/>
  <c r="B17103" i="1"/>
  <c r="A17104" i="1"/>
  <c r="B17104" i="1"/>
  <c r="A17105" i="1"/>
  <c r="B17105" i="1"/>
  <c r="A17106" i="1"/>
  <c r="B17106" i="1"/>
  <c r="A17107" i="1"/>
  <c r="B17107" i="1"/>
  <c r="A17108" i="1"/>
  <c r="B17108" i="1"/>
  <c r="A17109" i="1"/>
  <c r="B17109" i="1"/>
  <c r="A17110" i="1"/>
  <c r="B17110" i="1"/>
  <c r="A17111" i="1"/>
  <c r="B17111" i="1"/>
  <c r="A17112" i="1"/>
  <c r="B17112" i="1"/>
  <c r="A17113" i="1"/>
  <c r="B17113" i="1"/>
  <c r="A17114" i="1"/>
  <c r="B17114" i="1"/>
  <c r="A17115" i="1"/>
  <c r="B17115" i="1"/>
  <c r="A17116" i="1"/>
  <c r="B17116" i="1"/>
  <c r="A17117" i="1"/>
  <c r="B17117" i="1"/>
  <c r="A17118" i="1"/>
  <c r="B17118" i="1"/>
  <c r="A17119" i="1"/>
  <c r="B17119" i="1"/>
  <c r="A17120" i="1"/>
  <c r="B17120" i="1"/>
  <c r="A17121" i="1"/>
  <c r="B17121" i="1"/>
  <c r="A17122" i="1"/>
  <c r="B17122" i="1"/>
  <c r="A17123" i="1"/>
  <c r="B17123" i="1"/>
  <c r="A17124" i="1"/>
  <c r="B17124" i="1"/>
  <c r="A17125" i="1"/>
  <c r="B17125" i="1"/>
  <c r="A17126" i="1"/>
  <c r="B17126" i="1"/>
  <c r="A17127" i="1"/>
  <c r="B17127" i="1"/>
  <c r="A17128" i="1"/>
  <c r="B17128" i="1"/>
  <c r="A17129" i="1"/>
  <c r="B17129" i="1"/>
  <c r="A17130" i="1"/>
  <c r="B17130" i="1"/>
  <c r="A17131" i="1"/>
  <c r="B17131" i="1"/>
  <c r="A17132" i="1"/>
  <c r="B17132" i="1"/>
  <c r="A17133" i="1"/>
  <c r="B17133" i="1"/>
  <c r="A17134" i="1"/>
  <c r="B17134" i="1"/>
  <c r="A17135" i="1"/>
  <c r="B17135" i="1"/>
  <c r="A17136" i="1"/>
  <c r="B17136" i="1"/>
  <c r="A17137" i="1"/>
  <c r="B17137" i="1"/>
  <c r="A17138" i="1"/>
  <c r="B17138" i="1"/>
  <c r="A17139" i="1"/>
  <c r="B17139" i="1"/>
  <c r="A17140" i="1"/>
  <c r="B17140" i="1"/>
  <c r="A17141" i="1"/>
  <c r="B17141" i="1"/>
  <c r="A17142" i="1"/>
  <c r="B17142" i="1"/>
  <c r="A17143" i="1"/>
  <c r="B17143" i="1"/>
  <c r="A17144" i="1"/>
  <c r="B17144" i="1"/>
  <c r="A17145" i="1"/>
  <c r="B17145" i="1"/>
  <c r="A17146" i="1"/>
  <c r="B17146" i="1"/>
  <c r="A17147" i="1"/>
  <c r="B17147" i="1"/>
  <c r="A17148" i="1"/>
  <c r="B17148" i="1"/>
  <c r="A17149" i="1"/>
  <c r="B17149" i="1"/>
  <c r="A17150" i="1"/>
  <c r="B17150" i="1"/>
  <c r="A17151" i="1"/>
  <c r="B17151" i="1"/>
  <c r="A17152" i="1"/>
  <c r="B17152" i="1"/>
  <c r="A17153" i="1"/>
  <c r="B17153" i="1"/>
  <c r="A17154" i="1"/>
  <c r="B17154" i="1"/>
  <c r="A17155" i="1"/>
  <c r="B17155" i="1"/>
  <c r="A17156" i="1"/>
  <c r="B17156" i="1"/>
  <c r="A17157" i="1"/>
  <c r="B17157" i="1"/>
  <c r="A17158" i="1"/>
  <c r="B17158" i="1"/>
  <c r="A17159" i="1"/>
  <c r="B17159" i="1"/>
  <c r="A17160" i="1"/>
  <c r="B17160" i="1"/>
  <c r="A17161" i="1"/>
  <c r="B17161" i="1"/>
  <c r="A17162" i="1"/>
  <c r="B17162" i="1"/>
  <c r="A17163" i="1"/>
  <c r="B17163" i="1"/>
  <c r="A17164" i="1"/>
  <c r="B17164" i="1"/>
  <c r="A17165" i="1"/>
  <c r="B17165" i="1"/>
  <c r="A17166" i="1"/>
  <c r="B17166" i="1"/>
  <c r="A17167" i="1"/>
  <c r="B17167" i="1"/>
  <c r="A17168" i="1"/>
  <c r="B17168" i="1"/>
  <c r="A17169" i="1"/>
  <c r="B17169" i="1"/>
  <c r="A17170" i="1"/>
  <c r="B17170" i="1"/>
  <c r="A17171" i="1"/>
  <c r="B17171" i="1"/>
  <c r="A17172" i="1"/>
  <c r="B17172" i="1"/>
  <c r="A17173" i="1"/>
  <c r="B17173" i="1"/>
  <c r="A17174" i="1"/>
  <c r="B17174" i="1"/>
  <c r="A17175" i="1"/>
  <c r="B17175" i="1"/>
  <c r="A17176" i="1"/>
  <c r="B17176" i="1"/>
  <c r="A17177" i="1"/>
  <c r="B17177" i="1"/>
  <c r="A17178" i="1"/>
  <c r="B17178" i="1"/>
  <c r="A17179" i="1"/>
  <c r="B17179" i="1"/>
  <c r="A17180" i="1"/>
  <c r="B17180" i="1"/>
  <c r="A17181" i="1"/>
  <c r="B17181" i="1"/>
  <c r="A17182" i="1"/>
  <c r="B17182" i="1"/>
  <c r="A17183" i="1"/>
  <c r="B17183" i="1"/>
  <c r="A17184" i="1"/>
  <c r="B17184" i="1"/>
  <c r="A17185" i="1"/>
  <c r="B17185" i="1"/>
  <c r="A17186" i="1"/>
  <c r="B17186" i="1"/>
  <c r="A17187" i="1"/>
  <c r="B17187" i="1"/>
  <c r="A17188" i="1"/>
  <c r="B17188" i="1"/>
  <c r="A17189" i="1"/>
  <c r="B17189" i="1"/>
  <c r="A17190" i="1"/>
  <c r="B17190" i="1"/>
  <c r="A17191" i="1"/>
  <c r="B17191" i="1"/>
  <c r="A17192" i="1"/>
  <c r="B17192" i="1"/>
  <c r="A17193" i="1"/>
  <c r="B17193" i="1"/>
  <c r="A17194" i="1"/>
  <c r="B17194" i="1"/>
  <c r="A17195" i="1"/>
  <c r="B17195" i="1"/>
  <c r="A17196" i="1"/>
  <c r="B17196" i="1"/>
  <c r="A17197" i="1"/>
  <c r="B17197" i="1"/>
  <c r="A17198" i="1"/>
  <c r="B17198" i="1"/>
  <c r="A17199" i="1"/>
  <c r="B17199" i="1"/>
  <c r="A17200" i="1"/>
  <c r="B17200" i="1"/>
  <c r="A17201" i="1"/>
  <c r="B17201" i="1"/>
  <c r="A17202" i="1"/>
  <c r="B17202" i="1"/>
  <c r="A17203" i="1"/>
  <c r="B17203" i="1"/>
  <c r="A17204" i="1"/>
  <c r="B17204" i="1"/>
  <c r="A17205" i="1"/>
  <c r="B17205" i="1"/>
  <c r="A17206" i="1"/>
  <c r="B17206" i="1"/>
  <c r="A17207" i="1"/>
  <c r="B17207" i="1"/>
  <c r="A17208" i="1"/>
  <c r="B17208" i="1"/>
  <c r="A17209" i="1"/>
  <c r="B17209" i="1"/>
  <c r="A17210" i="1"/>
  <c r="B17210" i="1"/>
  <c r="A17211" i="1"/>
  <c r="B17211" i="1"/>
  <c r="A17212" i="1"/>
  <c r="B17212" i="1"/>
  <c r="A17213" i="1"/>
  <c r="B17213" i="1"/>
  <c r="A17214" i="1"/>
  <c r="B17214" i="1"/>
  <c r="A17215" i="1"/>
  <c r="B17215" i="1"/>
  <c r="A17216" i="1"/>
  <c r="B17216" i="1"/>
  <c r="A17217" i="1"/>
  <c r="B17217" i="1"/>
  <c r="A17218" i="1"/>
  <c r="B17218" i="1"/>
  <c r="A17219" i="1"/>
  <c r="B17219" i="1"/>
  <c r="A17220" i="1"/>
  <c r="B17220" i="1"/>
  <c r="A17221" i="1"/>
  <c r="B17221" i="1"/>
  <c r="A17222" i="1"/>
  <c r="B17222" i="1"/>
  <c r="A17223" i="1"/>
  <c r="B17223" i="1"/>
  <c r="A17224" i="1"/>
  <c r="B17224" i="1"/>
  <c r="A17225" i="1"/>
  <c r="B17225" i="1"/>
  <c r="A17226" i="1"/>
  <c r="B17226" i="1"/>
  <c r="A17227" i="1"/>
  <c r="B17227" i="1"/>
  <c r="A17228" i="1"/>
  <c r="B17228" i="1"/>
  <c r="A17229" i="1"/>
  <c r="B17229" i="1"/>
  <c r="A17230" i="1"/>
  <c r="B17230" i="1"/>
  <c r="A17231" i="1"/>
  <c r="B17231" i="1"/>
  <c r="A17232" i="1"/>
  <c r="B17232" i="1"/>
  <c r="A17233" i="1"/>
  <c r="B17233" i="1"/>
  <c r="A17234" i="1"/>
  <c r="B17234" i="1"/>
  <c r="A17235" i="1"/>
  <c r="B17235" i="1"/>
  <c r="A17236" i="1"/>
  <c r="B17236" i="1"/>
  <c r="A17237" i="1"/>
  <c r="B17237" i="1"/>
  <c r="A17238" i="1"/>
  <c r="B17238" i="1"/>
  <c r="A17239" i="1"/>
  <c r="B17239" i="1"/>
  <c r="A17240" i="1"/>
  <c r="B17240" i="1"/>
  <c r="A17241" i="1"/>
  <c r="B17241" i="1"/>
  <c r="A17242" i="1"/>
  <c r="B17242" i="1"/>
  <c r="A17243" i="1"/>
  <c r="B17243" i="1"/>
  <c r="A17244" i="1"/>
  <c r="B17244" i="1"/>
  <c r="A17245" i="1"/>
  <c r="B17245" i="1"/>
  <c r="A17246" i="1"/>
  <c r="B17246" i="1"/>
  <c r="A17247" i="1"/>
  <c r="B17247" i="1"/>
  <c r="A17248" i="1"/>
  <c r="B17248" i="1"/>
  <c r="A17249" i="1"/>
  <c r="B17249" i="1"/>
  <c r="A17250" i="1"/>
  <c r="B17250" i="1"/>
  <c r="A17251" i="1"/>
  <c r="B17251" i="1"/>
  <c r="A17252" i="1"/>
  <c r="B17252" i="1"/>
  <c r="A17253" i="1"/>
  <c r="B17253" i="1"/>
  <c r="A17254" i="1"/>
  <c r="B17254" i="1"/>
  <c r="A17255" i="1"/>
  <c r="B17255" i="1"/>
  <c r="A17256" i="1"/>
  <c r="B17256" i="1"/>
  <c r="A17257" i="1"/>
  <c r="B17257" i="1"/>
  <c r="A17258" i="1"/>
  <c r="B17258" i="1"/>
  <c r="A17259" i="1"/>
  <c r="B17259" i="1"/>
  <c r="A17260" i="1"/>
  <c r="B17260" i="1"/>
  <c r="A17261" i="1"/>
  <c r="B17261" i="1"/>
  <c r="A17262" i="1"/>
  <c r="B17262" i="1"/>
  <c r="A17263" i="1"/>
  <c r="B17263" i="1"/>
  <c r="A17264" i="1"/>
  <c r="B17264" i="1"/>
  <c r="A17265" i="1"/>
  <c r="B17265" i="1"/>
  <c r="A17266" i="1"/>
  <c r="B17266" i="1"/>
  <c r="A17267" i="1"/>
  <c r="B17267" i="1"/>
  <c r="A17268" i="1"/>
  <c r="B17268" i="1"/>
  <c r="A17269" i="1"/>
  <c r="B17269" i="1"/>
  <c r="A17270" i="1"/>
  <c r="B17270" i="1"/>
  <c r="A17271" i="1"/>
  <c r="B17271" i="1"/>
  <c r="A17272" i="1"/>
  <c r="B17272" i="1"/>
  <c r="A17273" i="1"/>
  <c r="B17273" i="1"/>
  <c r="A17274" i="1"/>
  <c r="B17274" i="1"/>
  <c r="A17275" i="1"/>
  <c r="B17275" i="1"/>
  <c r="A17276" i="1"/>
  <c r="B17276" i="1"/>
  <c r="A17277" i="1"/>
  <c r="B17277" i="1"/>
  <c r="A17278" i="1"/>
  <c r="B17278" i="1"/>
  <c r="A17279" i="1"/>
  <c r="B17279" i="1"/>
  <c r="A17280" i="1"/>
  <c r="B17280" i="1"/>
  <c r="A17281" i="1"/>
  <c r="B17281" i="1"/>
  <c r="A17282" i="1"/>
  <c r="B17282" i="1"/>
  <c r="A17283" i="1"/>
  <c r="B17283" i="1"/>
  <c r="A17284" i="1"/>
  <c r="B17284" i="1"/>
  <c r="A17285" i="1"/>
  <c r="B17285" i="1"/>
  <c r="A17286" i="1"/>
  <c r="B17286" i="1"/>
  <c r="A17287" i="1"/>
  <c r="B17287" i="1"/>
  <c r="A17288" i="1"/>
  <c r="B17288" i="1"/>
  <c r="A17289" i="1"/>
  <c r="B17289" i="1"/>
  <c r="A17290" i="1"/>
  <c r="B17290" i="1"/>
  <c r="A17291" i="1"/>
  <c r="B17291" i="1"/>
  <c r="A17292" i="1"/>
  <c r="B17292" i="1"/>
  <c r="A17293" i="1"/>
  <c r="B17293" i="1"/>
  <c r="A17294" i="1"/>
  <c r="B17294" i="1"/>
  <c r="A17295" i="1"/>
  <c r="B17295" i="1"/>
  <c r="A17296" i="1"/>
  <c r="B17296" i="1"/>
  <c r="A17297" i="1"/>
  <c r="B17297" i="1"/>
  <c r="A17298" i="1"/>
  <c r="B17298" i="1"/>
  <c r="A17299" i="1"/>
  <c r="B17299" i="1"/>
  <c r="A17300" i="1"/>
  <c r="B17300" i="1"/>
  <c r="A17301" i="1"/>
  <c r="B17301" i="1"/>
  <c r="A17302" i="1"/>
  <c r="B17302" i="1"/>
  <c r="A17303" i="1"/>
  <c r="B17303" i="1"/>
  <c r="A17304" i="1"/>
  <c r="B17304" i="1"/>
  <c r="A17305" i="1"/>
  <c r="B17305" i="1"/>
  <c r="A17306" i="1"/>
  <c r="B17306" i="1"/>
  <c r="A17307" i="1"/>
  <c r="B17307" i="1"/>
  <c r="A17308" i="1"/>
  <c r="B17308" i="1"/>
  <c r="A17309" i="1"/>
  <c r="B17309" i="1"/>
  <c r="A17310" i="1"/>
  <c r="B17310" i="1"/>
  <c r="A17311" i="1"/>
  <c r="B17311" i="1"/>
  <c r="A17312" i="1"/>
  <c r="B17312" i="1"/>
  <c r="A17313" i="1"/>
  <c r="B17313" i="1"/>
  <c r="A17314" i="1"/>
  <c r="B17314" i="1"/>
  <c r="A17315" i="1"/>
  <c r="B17315" i="1"/>
  <c r="A17316" i="1"/>
  <c r="B17316" i="1"/>
  <c r="A17317" i="1"/>
  <c r="B17317" i="1"/>
  <c r="A17318" i="1"/>
  <c r="B17318" i="1"/>
  <c r="A17319" i="1"/>
  <c r="B17319" i="1"/>
  <c r="A17320" i="1"/>
  <c r="B17320" i="1"/>
  <c r="A17321" i="1"/>
  <c r="B17321" i="1"/>
  <c r="A17322" i="1"/>
  <c r="B17322" i="1"/>
  <c r="A17323" i="1"/>
  <c r="B17323" i="1"/>
  <c r="A17324" i="1"/>
  <c r="B17324" i="1"/>
  <c r="A17325" i="1"/>
  <c r="B17325" i="1"/>
  <c r="A17326" i="1"/>
  <c r="B17326" i="1"/>
  <c r="A17327" i="1"/>
  <c r="B17327" i="1"/>
  <c r="A17328" i="1"/>
  <c r="B17328" i="1"/>
  <c r="A17329" i="1"/>
  <c r="B17329" i="1"/>
  <c r="A17330" i="1"/>
  <c r="B17330" i="1"/>
  <c r="A17331" i="1"/>
  <c r="B17331" i="1"/>
  <c r="A17332" i="1"/>
  <c r="B17332" i="1"/>
  <c r="A17333" i="1"/>
  <c r="B17333" i="1"/>
  <c r="A17334" i="1"/>
  <c r="B17334" i="1"/>
  <c r="A17335" i="1"/>
  <c r="B17335" i="1"/>
  <c r="A17336" i="1"/>
  <c r="B17336" i="1"/>
  <c r="A17337" i="1"/>
  <c r="B17337" i="1"/>
  <c r="A17338" i="1"/>
  <c r="B17338" i="1"/>
  <c r="A17339" i="1"/>
  <c r="B17339" i="1"/>
  <c r="A17340" i="1"/>
  <c r="B17340" i="1"/>
  <c r="A17341" i="1"/>
  <c r="B17341" i="1"/>
  <c r="A17342" i="1"/>
  <c r="B17342" i="1"/>
  <c r="A17343" i="1"/>
  <c r="B17343" i="1"/>
  <c r="A17344" i="1"/>
  <c r="B17344" i="1"/>
  <c r="A17345" i="1"/>
  <c r="B17345" i="1"/>
  <c r="A17346" i="1"/>
  <c r="B17346" i="1"/>
  <c r="A17347" i="1"/>
  <c r="B17347" i="1"/>
  <c r="A17348" i="1"/>
  <c r="B17348" i="1"/>
  <c r="A17349" i="1"/>
  <c r="B17349" i="1"/>
  <c r="A17350" i="1"/>
  <c r="B17350" i="1"/>
  <c r="A17351" i="1"/>
  <c r="B17351" i="1"/>
  <c r="A17352" i="1"/>
  <c r="B17352" i="1"/>
  <c r="A17353" i="1"/>
  <c r="B17353" i="1"/>
  <c r="A17354" i="1"/>
  <c r="B17354" i="1"/>
  <c r="A17355" i="1"/>
  <c r="B17355" i="1"/>
  <c r="A17356" i="1"/>
  <c r="B17356" i="1"/>
  <c r="A17357" i="1"/>
  <c r="B17357" i="1"/>
  <c r="A17358" i="1"/>
  <c r="B17358" i="1"/>
  <c r="A17359" i="1"/>
  <c r="B17359" i="1"/>
  <c r="A17360" i="1"/>
  <c r="B17360" i="1"/>
  <c r="A17361" i="1"/>
  <c r="B17361" i="1"/>
  <c r="A17362" i="1"/>
  <c r="B17362" i="1"/>
  <c r="A17363" i="1"/>
  <c r="B17363" i="1"/>
  <c r="A17364" i="1"/>
  <c r="B17364" i="1"/>
  <c r="A17365" i="1"/>
  <c r="B17365" i="1"/>
  <c r="A17366" i="1"/>
  <c r="B17366" i="1"/>
  <c r="A17367" i="1"/>
  <c r="B17367" i="1"/>
  <c r="A17368" i="1"/>
  <c r="B17368" i="1"/>
  <c r="A17369" i="1"/>
  <c r="B17369" i="1"/>
  <c r="A17370" i="1"/>
  <c r="B17370" i="1"/>
  <c r="A17371" i="1"/>
  <c r="B17371" i="1"/>
  <c r="A17372" i="1"/>
  <c r="B17372" i="1"/>
  <c r="A17373" i="1"/>
  <c r="B17373" i="1"/>
  <c r="A17374" i="1"/>
  <c r="B17374" i="1"/>
  <c r="A17375" i="1"/>
  <c r="B17375" i="1"/>
  <c r="A17376" i="1"/>
  <c r="B17376" i="1"/>
  <c r="A17377" i="1"/>
  <c r="B17377" i="1"/>
  <c r="A17378" i="1"/>
  <c r="B17378" i="1"/>
  <c r="A17379" i="1"/>
  <c r="B17379" i="1"/>
  <c r="A17380" i="1"/>
  <c r="B17380" i="1"/>
  <c r="A17381" i="1"/>
  <c r="B17381" i="1"/>
  <c r="A17382" i="1"/>
  <c r="B17382" i="1"/>
  <c r="A17383" i="1"/>
  <c r="B17383" i="1"/>
  <c r="A17384" i="1"/>
  <c r="B17384" i="1"/>
  <c r="A17385" i="1"/>
  <c r="B17385" i="1"/>
  <c r="A17386" i="1"/>
  <c r="B17386" i="1"/>
  <c r="A17387" i="1"/>
  <c r="B17387" i="1"/>
  <c r="A17388" i="1"/>
  <c r="B17388" i="1"/>
  <c r="A17389" i="1"/>
  <c r="B17389" i="1"/>
  <c r="A17390" i="1"/>
  <c r="B17390" i="1"/>
  <c r="A17391" i="1"/>
  <c r="B17391" i="1"/>
  <c r="A17392" i="1"/>
  <c r="B17392" i="1"/>
  <c r="A17393" i="1"/>
  <c r="B17393" i="1"/>
  <c r="A17394" i="1"/>
  <c r="B17394" i="1"/>
  <c r="A17395" i="1"/>
  <c r="B17395" i="1"/>
  <c r="A17396" i="1"/>
  <c r="B17396" i="1"/>
  <c r="A17397" i="1"/>
  <c r="B17397" i="1"/>
  <c r="A17398" i="1"/>
  <c r="B17398" i="1"/>
  <c r="A17399" i="1"/>
  <c r="B17399" i="1"/>
  <c r="A17400" i="1"/>
  <c r="B17400" i="1"/>
  <c r="A17401" i="1"/>
  <c r="B17401" i="1"/>
  <c r="A17402" i="1"/>
  <c r="B17402" i="1"/>
  <c r="A17403" i="1"/>
  <c r="B17403" i="1"/>
  <c r="A17404" i="1"/>
  <c r="B17404" i="1"/>
  <c r="A17405" i="1"/>
  <c r="B17405" i="1"/>
  <c r="A17406" i="1"/>
  <c r="B17406" i="1"/>
  <c r="A17407" i="1"/>
  <c r="B17407" i="1"/>
  <c r="A17408" i="1"/>
  <c r="B17408" i="1"/>
  <c r="A17409" i="1"/>
  <c r="B17409" i="1"/>
  <c r="A17410" i="1"/>
  <c r="B17410" i="1"/>
  <c r="A17411" i="1"/>
  <c r="B17411" i="1"/>
  <c r="A17412" i="1"/>
  <c r="B17412" i="1"/>
  <c r="A17413" i="1"/>
  <c r="B17413" i="1"/>
  <c r="A17414" i="1"/>
  <c r="B17414" i="1"/>
  <c r="A17415" i="1"/>
  <c r="B17415" i="1"/>
  <c r="A17416" i="1"/>
  <c r="B17416" i="1"/>
  <c r="A17417" i="1"/>
  <c r="B17417" i="1"/>
  <c r="A17418" i="1"/>
  <c r="B17418" i="1"/>
  <c r="A17419" i="1"/>
  <c r="B17419" i="1"/>
  <c r="A17420" i="1"/>
  <c r="B17420" i="1"/>
  <c r="A17421" i="1"/>
  <c r="B17421" i="1"/>
  <c r="A17422" i="1"/>
  <c r="B17422" i="1"/>
  <c r="A17423" i="1"/>
  <c r="B17423" i="1"/>
  <c r="A17424" i="1"/>
  <c r="B17424" i="1"/>
  <c r="A17425" i="1"/>
  <c r="B17425" i="1"/>
  <c r="A17426" i="1"/>
  <c r="B17426" i="1"/>
  <c r="A17427" i="1"/>
  <c r="B17427" i="1"/>
  <c r="A17428" i="1"/>
  <c r="B17428" i="1"/>
  <c r="A17429" i="1"/>
  <c r="B17429" i="1"/>
  <c r="A17430" i="1"/>
  <c r="B17430" i="1"/>
  <c r="A17431" i="1"/>
  <c r="B17431" i="1"/>
  <c r="A17432" i="1"/>
  <c r="B17432" i="1"/>
  <c r="A17433" i="1"/>
  <c r="B17433" i="1"/>
  <c r="A17434" i="1"/>
  <c r="B17434" i="1"/>
  <c r="A17435" i="1"/>
  <c r="B17435" i="1"/>
  <c r="A17436" i="1"/>
  <c r="B17436" i="1"/>
  <c r="A17437" i="1"/>
  <c r="B17437" i="1"/>
  <c r="A17438" i="1"/>
  <c r="B17438" i="1"/>
  <c r="A17439" i="1"/>
  <c r="B17439" i="1"/>
  <c r="A17440" i="1"/>
  <c r="B17440" i="1"/>
  <c r="A17441" i="1"/>
  <c r="B17441" i="1"/>
  <c r="A17442" i="1"/>
  <c r="B17442" i="1"/>
  <c r="A17443" i="1"/>
  <c r="B17443" i="1"/>
  <c r="A17444" i="1"/>
  <c r="B17444" i="1"/>
  <c r="A17445" i="1"/>
  <c r="B17445" i="1"/>
  <c r="A17446" i="1"/>
  <c r="B17446" i="1"/>
  <c r="A17447" i="1"/>
  <c r="B17447" i="1"/>
  <c r="A17448" i="1"/>
  <c r="B17448" i="1"/>
  <c r="A17449" i="1"/>
  <c r="B17449" i="1"/>
  <c r="A17450" i="1"/>
  <c r="B17450" i="1"/>
  <c r="A17451" i="1"/>
  <c r="B17451" i="1"/>
  <c r="A17452" i="1"/>
  <c r="B17452" i="1"/>
  <c r="A17453" i="1"/>
  <c r="B17453" i="1"/>
  <c r="A17454" i="1"/>
  <c r="B17454" i="1"/>
  <c r="A17455" i="1"/>
  <c r="B17455" i="1"/>
  <c r="A17456" i="1"/>
  <c r="B17456" i="1"/>
  <c r="A17457" i="1"/>
  <c r="B17457" i="1"/>
  <c r="A17458" i="1"/>
  <c r="B17458" i="1"/>
  <c r="A17459" i="1"/>
  <c r="B17459" i="1"/>
  <c r="A17460" i="1"/>
  <c r="B17460" i="1"/>
  <c r="A17461" i="1"/>
  <c r="B17461" i="1"/>
  <c r="A17462" i="1"/>
  <c r="B17462" i="1"/>
  <c r="A17463" i="1"/>
  <c r="B17463" i="1"/>
  <c r="A17464" i="1"/>
  <c r="B17464" i="1"/>
  <c r="A17465" i="1"/>
  <c r="B17465" i="1"/>
  <c r="A17466" i="1"/>
  <c r="B17466" i="1"/>
  <c r="A17467" i="1"/>
  <c r="B17467" i="1"/>
  <c r="A17468" i="1"/>
  <c r="B17468" i="1"/>
  <c r="A17469" i="1"/>
  <c r="B17469" i="1"/>
  <c r="A17470" i="1"/>
  <c r="B17470" i="1"/>
  <c r="A17471" i="1"/>
  <c r="B17471" i="1"/>
  <c r="A17472" i="1"/>
  <c r="B17472" i="1"/>
  <c r="A17473" i="1"/>
  <c r="B17473" i="1"/>
  <c r="A17474" i="1"/>
  <c r="B17474" i="1"/>
  <c r="A17475" i="1"/>
  <c r="B17475" i="1"/>
  <c r="A17476" i="1"/>
  <c r="B17476" i="1"/>
  <c r="A17477" i="1"/>
  <c r="B17477" i="1"/>
  <c r="A17478" i="1"/>
  <c r="B17478" i="1"/>
  <c r="A17479" i="1"/>
  <c r="B17479" i="1"/>
  <c r="A17480" i="1"/>
  <c r="B17480" i="1"/>
  <c r="A17481" i="1"/>
  <c r="B17481" i="1"/>
  <c r="A17482" i="1"/>
  <c r="B17482" i="1"/>
  <c r="A17483" i="1"/>
  <c r="B17483" i="1"/>
  <c r="A17484" i="1"/>
  <c r="B17484" i="1"/>
  <c r="A17485" i="1"/>
  <c r="B17485" i="1"/>
  <c r="A17486" i="1"/>
  <c r="B17486" i="1"/>
  <c r="A17487" i="1"/>
  <c r="B17487" i="1"/>
  <c r="A17488" i="1"/>
  <c r="B17488" i="1"/>
  <c r="A17489" i="1"/>
  <c r="B17489" i="1"/>
  <c r="A17490" i="1"/>
  <c r="B17490" i="1"/>
  <c r="A17491" i="1"/>
  <c r="B17491" i="1"/>
  <c r="A17492" i="1"/>
  <c r="B17492" i="1"/>
  <c r="A17493" i="1"/>
  <c r="B17493" i="1"/>
  <c r="A17494" i="1"/>
  <c r="B17494" i="1"/>
  <c r="A17495" i="1"/>
  <c r="B17495" i="1"/>
  <c r="A17496" i="1"/>
  <c r="B17496" i="1"/>
  <c r="A17497" i="1"/>
  <c r="B17497" i="1"/>
  <c r="A17498" i="1"/>
  <c r="B17498" i="1"/>
  <c r="A17499" i="1"/>
  <c r="B17499" i="1"/>
  <c r="A17500" i="1"/>
  <c r="B17500" i="1"/>
  <c r="A17501" i="1"/>
  <c r="B17501" i="1"/>
  <c r="A17502" i="1"/>
  <c r="B17502" i="1"/>
  <c r="A17503" i="1"/>
  <c r="B17503" i="1"/>
  <c r="A17504" i="1"/>
  <c r="B17504" i="1"/>
  <c r="A17505" i="1"/>
  <c r="B17505" i="1"/>
  <c r="A17506" i="1"/>
  <c r="B17506" i="1"/>
  <c r="A17507" i="1"/>
  <c r="B17507" i="1"/>
  <c r="A17508" i="1"/>
  <c r="B17508" i="1"/>
  <c r="A17509" i="1"/>
  <c r="B17509" i="1"/>
  <c r="A17510" i="1"/>
  <c r="B17510" i="1"/>
  <c r="A17511" i="1"/>
  <c r="B17511" i="1"/>
  <c r="A17512" i="1"/>
  <c r="B17512" i="1"/>
  <c r="A17513" i="1"/>
  <c r="B17513" i="1"/>
  <c r="A17514" i="1"/>
  <c r="B17514" i="1"/>
  <c r="A17515" i="1"/>
  <c r="B17515" i="1"/>
  <c r="A17516" i="1"/>
  <c r="B17516" i="1"/>
  <c r="A17517" i="1"/>
  <c r="B17517" i="1"/>
  <c r="A17518" i="1"/>
  <c r="B17518" i="1"/>
  <c r="A17519" i="1"/>
  <c r="B17519" i="1"/>
  <c r="A17520" i="1"/>
  <c r="B17520" i="1"/>
  <c r="A17521" i="1"/>
  <c r="B17521" i="1"/>
  <c r="A17522" i="1"/>
  <c r="B17522" i="1"/>
  <c r="A17523" i="1"/>
  <c r="B17523" i="1"/>
  <c r="A17524" i="1"/>
  <c r="B17524" i="1"/>
  <c r="A17525" i="1"/>
  <c r="B17525" i="1"/>
  <c r="A17526" i="1"/>
  <c r="B17526" i="1"/>
  <c r="A17527" i="1"/>
  <c r="B17527" i="1"/>
  <c r="A17528" i="1"/>
  <c r="B17528" i="1"/>
  <c r="A17529" i="1"/>
  <c r="B17529" i="1"/>
  <c r="A17530" i="1"/>
  <c r="B17530" i="1"/>
  <c r="A17531" i="1"/>
  <c r="B17531" i="1"/>
  <c r="A17532" i="1"/>
  <c r="B17532" i="1"/>
  <c r="A17533" i="1"/>
  <c r="B17533" i="1"/>
  <c r="A17534" i="1"/>
  <c r="B17534" i="1"/>
  <c r="A17535" i="1"/>
  <c r="B17535" i="1"/>
  <c r="A17536" i="1"/>
  <c r="B17536" i="1"/>
  <c r="A17537" i="1"/>
  <c r="B17537" i="1"/>
  <c r="A17538" i="1"/>
  <c r="B17538" i="1"/>
  <c r="A17539" i="1"/>
  <c r="B17539" i="1"/>
  <c r="A17540" i="1"/>
  <c r="B17540" i="1"/>
  <c r="A17541" i="1"/>
  <c r="B17541" i="1"/>
  <c r="A17542" i="1"/>
  <c r="B17542" i="1"/>
  <c r="A17543" i="1"/>
  <c r="B17543" i="1"/>
  <c r="A17544" i="1"/>
  <c r="B17544" i="1"/>
  <c r="A17545" i="1"/>
  <c r="B17545" i="1"/>
  <c r="A17546" i="1"/>
  <c r="B17546" i="1"/>
  <c r="A17547" i="1"/>
  <c r="B17547" i="1"/>
  <c r="A17548" i="1"/>
  <c r="B17548" i="1"/>
  <c r="A17549" i="1"/>
  <c r="B17549" i="1"/>
  <c r="A17550" i="1"/>
  <c r="B17550" i="1"/>
  <c r="A17551" i="1"/>
  <c r="B17551" i="1"/>
  <c r="A17552" i="1"/>
  <c r="B17552" i="1"/>
  <c r="A17553" i="1"/>
  <c r="B17553" i="1"/>
  <c r="A17554" i="1"/>
  <c r="B17554" i="1"/>
  <c r="A17555" i="1"/>
  <c r="B17555" i="1"/>
  <c r="A17556" i="1"/>
  <c r="B17556" i="1"/>
  <c r="A17557" i="1"/>
  <c r="B17557" i="1"/>
  <c r="A17558" i="1"/>
  <c r="B17558" i="1"/>
  <c r="A17559" i="1"/>
  <c r="B17559" i="1"/>
  <c r="A17560" i="1"/>
  <c r="B17560" i="1"/>
  <c r="A17561" i="1"/>
  <c r="B17561" i="1"/>
  <c r="A17562" i="1"/>
  <c r="B17562" i="1"/>
  <c r="A17563" i="1"/>
  <c r="B17563" i="1"/>
  <c r="A17564" i="1"/>
  <c r="B17564" i="1"/>
  <c r="A17565" i="1"/>
  <c r="B17565" i="1"/>
  <c r="A17566" i="1"/>
  <c r="B17566" i="1"/>
  <c r="A17567" i="1"/>
  <c r="B17567" i="1"/>
  <c r="A17568" i="1"/>
  <c r="B17568" i="1"/>
  <c r="A17569" i="1"/>
  <c r="B17569" i="1"/>
  <c r="A17570" i="1"/>
  <c r="B17570" i="1"/>
  <c r="A17571" i="1"/>
  <c r="B17571" i="1"/>
  <c r="A17572" i="1"/>
  <c r="B17572" i="1"/>
  <c r="A17573" i="1"/>
  <c r="B17573" i="1"/>
  <c r="A17574" i="1"/>
  <c r="B17574" i="1"/>
  <c r="A17575" i="1"/>
  <c r="B17575" i="1"/>
  <c r="A17576" i="1"/>
  <c r="B17576" i="1"/>
  <c r="A17577" i="1"/>
  <c r="B17577" i="1"/>
  <c r="A17578" i="1"/>
  <c r="B17578" i="1"/>
  <c r="A17579" i="1"/>
  <c r="B17579" i="1"/>
  <c r="A17580" i="1"/>
  <c r="B17580" i="1"/>
  <c r="A17581" i="1"/>
  <c r="B17581" i="1"/>
  <c r="A17582" i="1"/>
  <c r="B17582" i="1"/>
  <c r="A17583" i="1"/>
  <c r="B17583" i="1"/>
  <c r="A17584" i="1"/>
  <c r="B17584" i="1"/>
  <c r="A17585" i="1"/>
  <c r="B17585" i="1"/>
  <c r="A17586" i="1"/>
  <c r="B17586" i="1"/>
  <c r="A17587" i="1"/>
  <c r="B17587" i="1"/>
  <c r="A17588" i="1"/>
  <c r="B17588" i="1"/>
  <c r="A17589" i="1"/>
  <c r="B17589" i="1"/>
  <c r="A17590" i="1"/>
  <c r="B17590" i="1"/>
  <c r="A17591" i="1"/>
  <c r="B17591" i="1"/>
  <c r="A17592" i="1"/>
  <c r="B17592" i="1"/>
  <c r="A17593" i="1"/>
  <c r="B17593" i="1"/>
  <c r="A17594" i="1"/>
  <c r="B17594" i="1"/>
  <c r="A17595" i="1"/>
  <c r="B17595" i="1"/>
  <c r="A17596" i="1"/>
  <c r="B17596" i="1"/>
  <c r="A17597" i="1"/>
  <c r="B17597" i="1"/>
  <c r="A17598" i="1"/>
  <c r="B17598" i="1"/>
  <c r="A17599" i="1"/>
  <c r="B17599" i="1"/>
  <c r="A17600" i="1"/>
  <c r="B17600" i="1"/>
  <c r="A17601" i="1"/>
  <c r="B17601" i="1"/>
  <c r="A17602" i="1"/>
  <c r="B17602" i="1"/>
  <c r="A17603" i="1"/>
  <c r="B17603" i="1"/>
  <c r="A17604" i="1"/>
  <c r="B17604" i="1"/>
  <c r="A17605" i="1"/>
  <c r="B17605" i="1"/>
  <c r="A17606" i="1"/>
  <c r="B17606" i="1"/>
  <c r="A17607" i="1"/>
  <c r="B17607" i="1"/>
  <c r="A17608" i="1"/>
  <c r="B17608" i="1"/>
  <c r="A17609" i="1"/>
  <c r="B17609" i="1"/>
  <c r="A17610" i="1"/>
  <c r="B17610" i="1"/>
  <c r="A17611" i="1"/>
  <c r="B17611" i="1"/>
  <c r="A17612" i="1"/>
  <c r="B17612" i="1"/>
  <c r="A17613" i="1"/>
  <c r="B17613" i="1"/>
  <c r="A17614" i="1"/>
  <c r="B17614" i="1"/>
  <c r="A17615" i="1"/>
  <c r="B17615" i="1"/>
  <c r="A17616" i="1"/>
  <c r="B17616" i="1"/>
  <c r="A17617" i="1"/>
  <c r="B17617" i="1"/>
  <c r="A17618" i="1"/>
  <c r="B17618" i="1"/>
  <c r="A17619" i="1"/>
  <c r="B17619" i="1"/>
  <c r="A17620" i="1"/>
  <c r="B17620" i="1"/>
  <c r="A17621" i="1"/>
  <c r="B17621" i="1"/>
  <c r="A17622" i="1"/>
  <c r="B17622" i="1"/>
  <c r="A17623" i="1"/>
  <c r="B17623" i="1"/>
  <c r="A17624" i="1"/>
  <c r="B17624" i="1"/>
  <c r="A17625" i="1"/>
  <c r="B17625" i="1"/>
  <c r="A17626" i="1"/>
  <c r="B17626" i="1"/>
  <c r="A17627" i="1"/>
  <c r="B17627" i="1"/>
  <c r="A17628" i="1"/>
  <c r="B17628" i="1"/>
  <c r="A17629" i="1"/>
  <c r="B17629" i="1"/>
  <c r="A17630" i="1"/>
  <c r="B17630" i="1"/>
  <c r="A17631" i="1"/>
  <c r="B17631" i="1"/>
  <c r="A17632" i="1"/>
  <c r="B17632" i="1"/>
  <c r="A17633" i="1"/>
  <c r="B17633" i="1"/>
  <c r="A17634" i="1"/>
  <c r="B17634" i="1"/>
  <c r="A17635" i="1"/>
  <c r="B17635" i="1"/>
  <c r="A17636" i="1"/>
  <c r="B17636" i="1"/>
  <c r="A17637" i="1"/>
  <c r="B17637" i="1"/>
  <c r="A17638" i="1"/>
  <c r="B17638" i="1"/>
  <c r="A17639" i="1"/>
  <c r="B17639" i="1"/>
  <c r="A17640" i="1"/>
  <c r="B17640" i="1"/>
  <c r="A17641" i="1"/>
  <c r="B17641" i="1"/>
  <c r="A17642" i="1"/>
  <c r="B17642" i="1"/>
  <c r="A17643" i="1"/>
  <c r="B17643" i="1"/>
  <c r="A17644" i="1"/>
  <c r="B17644" i="1"/>
  <c r="A17645" i="1"/>
  <c r="B17645" i="1"/>
  <c r="A17646" i="1"/>
  <c r="B17646" i="1"/>
  <c r="A17647" i="1"/>
  <c r="B17647" i="1"/>
  <c r="A17648" i="1"/>
  <c r="B17648" i="1"/>
  <c r="A17649" i="1"/>
  <c r="B17649" i="1"/>
  <c r="A17650" i="1"/>
  <c r="B17650" i="1"/>
  <c r="A17651" i="1"/>
  <c r="B17651" i="1"/>
  <c r="A17652" i="1"/>
  <c r="B17652" i="1"/>
  <c r="A17653" i="1"/>
  <c r="B17653" i="1"/>
  <c r="A17654" i="1"/>
  <c r="B17654" i="1"/>
  <c r="A17655" i="1"/>
  <c r="B17655" i="1"/>
  <c r="A17656" i="1"/>
  <c r="B17656" i="1"/>
  <c r="A17657" i="1"/>
  <c r="B17657" i="1"/>
  <c r="A17658" i="1"/>
  <c r="B17658" i="1"/>
  <c r="A17659" i="1"/>
  <c r="B17659" i="1"/>
  <c r="A17660" i="1"/>
  <c r="B17660" i="1"/>
  <c r="A17661" i="1"/>
  <c r="B17661" i="1"/>
  <c r="A17662" i="1"/>
  <c r="B17662" i="1"/>
  <c r="A17663" i="1"/>
  <c r="B17663" i="1"/>
  <c r="A17664" i="1"/>
  <c r="B17664" i="1"/>
  <c r="A17665" i="1"/>
  <c r="B17665" i="1"/>
  <c r="A17666" i="1"/>
  <c r="B17666" i="1"/>
  <c r="A17667" i="1"/>
  <c r="B17667" i="1"/>
  <c r="A17668" i="1"/>
  <c r="B17668" i="1"/>
  <c r="A17669" i="1"/>
  <c r="B17669" i="1"/>
  <c r="A17670" i="1"/>
  <c r="B17670" i="1"/>
  <c r="A17671" i="1"/>
  <c r="B17671" i="1"/>
  <c r="A17672" i="1"/>
  <c r="B17672" i="1"/>
  <c r="A17673" i="1"/>
  <c r="B17673" i="1"/>
  <c r="A17674" i="1"/>
  <c r="B17674" i="1"/>
  <c r="A17675" i="1"/>
  <c r="B17675" i="1"/>
  <c r="A17676" i="1"/>
  <c r="B17676" i="1"/>
  <c r="A17677" i="1"/>
  <c r="B17677" i="1"/>
  <c r="A17678" i="1"/>
  <c r="B17678" i="1"/>
  <c r="A17679" i="1"/>
  <c r="B17679" i="1"/>
  <c r="A17680" i="1"/>
  <c r="B17680" i="1"/>
  <c r="A17681" i="1"/>
  <c r="B17681" i="1"/>
  <c r="A17682" i="1"/>
  <c r="B17682" i="1"/>
  <c r="A17683" i="1"/>
  <c r="B17683" i="1"/>
  <c r="A17684" i="1"/>
  <c r="B17684" i="1"/>
  <c r="A17685" i="1"/>
  <c r="B17685" i="1"/>
  <c r="A17686" i="1"/>
  <c r="B17686" i="1"/>
  <c r="A17687" i="1"/>
  <c r="B17687" i="1"/>
  <c r="A17688" i="1"/>
  <c r="B17688" i="1"/>
  <c r="A17689" i="1"/>
  <c r="B17689" i="1"/>
  <c r="A17690" i="1"/>
  <c r="B17690" i="1"/>
  <c r="A17691" i="1"/>
  <c r="B17691" i="1"/>
  <c r="A17692" i="1"/>
  <c r="B17692" i="1"/>
  <c r="A17693" i="1"/>
  <c r="B17693" i="1"/>
  <c r="A17694" i="1"/>
  <c r="B17694" i="1"/>
  <c r="A17695" i="1"/>
  <c r="B17695" i="1"/>
  <c r="A17696" i="1"/>
  <c r="B17696" i="1"/>
  <c r="A17697" i="1"/>
  <c r="B17697" i="1"/>
  <c r="A17698" i="1"/>
  <c r="B17698" i="1"/>
  <c r="A17699" i="1"/>
  <c r="B17699" i="1"/>
  <c r="A17700" i="1"/>
  <c r="B17700" i="1"/>
  <c r="A17701" i="1"/>
  <c r="B17701" i="1"/>
  <c r="A17702" i="1"/>
  <c r="B17702" i="1"/>
  <c r="A17703" i="1"/>
  <c r="B17703" i="1"/>
  <c r="A17704" i="1"/>
  <c r="B17704" i="1"/>
  <c r="A17705" i="1"/>
  <c r="B17705" i="1"/>
  <c r="A17706" i="1"/>
  <c r="B17706" i="1"/>
  <c r="A17707" i="1"/>
  <c r="B17707" i="1"/>
  <c r="A17708" i="1"/>
  <c r="B17708" i="1"/>
  <c r="A17709" i="1"/>
  <c r="B17709" i="1"/>
  <c r="A17710" i="1"/>
  <c r="B17710" i="1"/>
  <c r="A17711" i="1"/>
  <c r="B17711" i="1"/>
  <c r="A17712" i="1"/>
  <c r="B17712" i="1"/>
  <c r="A17713" i="1"/>
  <c r="B17713" i="1"/>
  <c r="A17714" i="1"/>
  <c r="B17714" i="1"/>
  <c r="A17715" i="1"/>
  <c r="B17715" i="1"/>
  <c r="A17716" i="1"/>
  <c r="B17716" i="1"/>
  <c r="A17717" i="1"/>
  <c r="B17717" i="1"/>
  <c r="A17718" i="1"/>
  <c r="B17718" i="1"/>
  <c r="A17719" i="1"/>
  <c r="B17719" i="1"/>
  <c r="A17720" i="1"/>
  <c r="B17720" i="1"/>
  <c r="A17721" i="1"/>
  <c r="B17721" i="1"/>
  <c r="A17722" i="1"/>
  <c r="B17722" i="1"/>
  <c r="A17723" i="1"/>
  <c r="B17723" i="1"/>
  <c r="A17724" i="1"/>
  <c r="B17724" i="1"/>
  <c r="A17725" i="1"/>
  <c r="B17725" i="1"/>
  <c r="A17726" i="1"/>
  <c r="B17726" i="1"/>
  <c r="A17727" i="1"/>
  <c r="B17727" i="1"/>
  <c r="A17728" i="1"/>
  <c r="B17728" i="1"/>
  <c r="A17729" i="1"/>
  <c r="B17729" i="1"/>
  <c r="A17730" i="1"/>
  <c r="B17730" i="1"/>
  <c r="A17731" i="1"/>
  <c r="B17731" i="1"/>
  <c r="A17732" i="1"/>
  <c r="B17732" i="1"/>
  <c r="A17733" i="1"/>
  <c r="B17733" i="1"/>
  <c r="A17734" i="1"/>
  <c r="B17734" i="1"/>
  <c r="A17735" i="1"/>
  <c r="B17735" i="1"/>
  <c r="A17736" i="1"/>
  <c r="B17736" i="1"/>
  <c r="A17737" i="1"/>
  <c r="B17737" i="1"/>
  <c r="A17738" i="1"/>
  <c r="B17738" i="1"/>
  <c r="A17739" i="1"/>
  <c r="B17739" i="1"/>
  <c r="A17740" i="1"/>
  <c r="B17740" i="1"/>
  <c r="A17741" i="1"/>
  <c r="B17741" i="1"/>
  <c r="A17742" i="1"/>
  <c r="B17742" i="1"/>
  <c r="A17743" i="1"/>
  <c r="B17743" i="1"/>
  <c r="A17744" i="1"/>
  <c r="B17744" i="1"/>
  <c r="A17745" i="1"/>
  <c r="B17745" i="1"/>
  <c r="A17746" i="1"/>
  <c r="B17746" i="1"/>
  <c r="A17747" i="1"/>
  <c r="B17747" i="1"/>
  <c r="A17748" i="1"/>
  <c r="B17748" i="1"/>
  <c r="A17749" i="1"/>
  <c r="B17749" i="1"/>
  <c r="A17750" i="1"/>
  <c r="B17750" i="1"/>
  <c r="A17751" i="1"/>
  <c r="B17751" i="1"/>
  <c r="A17752" i="1"/>
  <c r="B17752" i="1"/>
  <c r="A17753" i="1"/>
  <c r="B17753" i="1"/>
  <c r="A17754" i="1"/>
  <c r="B17754" i="1"/>
  <c r="A17755" i="1"/>
  <c r="B17755" i="1"/>
  <c r="A17756" i="1"/>
  <c r="B17756" i="1"/>
  <c r="A17757" i="1"/>
  <c r="B17757" i="1"/>
  <c r="A17758" i="1"/>
  <c r="B17758" i="1"/>
  <c r="A17759" i="1"/>
  <c r="B17759" i="1"/>
  <c r="A17760" i="1"/>
  <c r="B17760" i="1"/>
  <c r="A17761" i="1"/>
  <c r="B17761" i="1"/>
  <c r="A17762" i="1"/>
  <c r="B17762" i="1"/>
  <c r="A17763" i="1"/>
  <c r="B17763" i="1"/>
  <c r="A17764" i="1"/>
  <c r="B17764" i="1"/>
  <c r="A17765" i="1"/>
  <c r="B17765" i="1"/>
  <c r="A17766" i="1"/>
  <c r="B17766" i="1"/>
  <c r="A17767" i="1"/>
  <c r="B17767" i="1"/>
  <c r="A17768" i="1"/>
  <c r="B17768" i="1"/>
  <c r="A17769" i="1"/>
  <c r="B17769" i="1"/>
  <c r="A17770" i="1"/>
  <c r="B17770" i="1"/>
  <c r="A17771" i="1"/>
  <c r="B17771" i="1"/>
  <c r="A17772" i="1"/>
  <c r="B17772" i="1"/>
  <c r="A17773" i="1"/>
  <c r="B17773" i="1"/>
  <c r="A17774" i="1"/>
  <c r="B17774" i="1"/>
  <c r="A17775" i="1"/>
  <c r="B17775" i="1"/>
  <c r="A17776" i="1"/>
  <c r="B17776" i="1"/>
  <c r="A17777" i="1"/>
  <c r="B17777" i="1"/>
  <c r="A17778" i="1"/>
  <c r="B17778" i="1"/>
  <c r="A17779" i="1"/>
  <c r="B17779" i="1"/>
  <c r="A17780" i="1"/>
  <c r="B17780" i="1"/>
  <c r="A17781" i="1"/>
  <c r="B17781" i="1"/>
  <c r="A17782" i="1"/>
  <c r="B17782" i="1"/>
  <c r="A17783" i="1"/>
  <c r="B17783" i="1"/>
  <c r="A17784" i="1"/>
  <c r="B17784" i="1"/>
  <c r="A17785" i="1"/>
  <c r="B17785" i="1"/>
  <c r="A17786" i="1"/>
  <c r="B17786" i="1"/>
  <c r="A17787" i="1"/>
  <c r="B17787" i="1"/>
  <c r="A17788" i="1"/>
  <c r="B17788" i="1"/>
  <c r="A17789" i="1"/>
  <c r="B17789" i="1"/>
  <c r="A17790" i="1"/>
  <c r="B17790" i="1"/>
  <c r="A17791" i="1"/>
  <c r="B17791" i="1"/>
  <c r="A17792" i="1"/>
  <c r="B17792" i="1"/>
  <c r="A17793" i="1"/>
  <c r="B17793" i="1"/>
  <c r="A17794" i="1"/>
  <c r="B17794" i="1"/>
  <c r="A17795" i="1"/>
  <c r="B17795" i="1"/>
  <c r="A17796" i="1"/>
  <c r="B17796" i="1"/>
  <c r="A17797" i="1"/>
  <c r="B17797" i="1"/>
  <c r="A17798" i="1"/>
  <c r="B17798" i="1"/>
  <c r="A17799" i="1"/>
  <c r="B17799" i="1"/>
  <c r="A17800" i="1"/>
  <c r="B17800" i="1"/>
  <c r="A17801" i="1"/>
  <c r="B17801" i="1"/>
  <c r="A17802" i="1"/>
  <c r="B17802" i="1"/>
  <c r="A17803" i="1"/>
  <c r="B17803" i="1"/>
  <c r="A17804" i="1"/>
  <c r="B17804" i="1"/>
  <c r="A17805" i="1"/>
  <c r="B17805" i="1"/>
  <c r="A17806" i="1"/>
  <c r="B17806" i="1"/>
  <c r="A17807" i="1"/>
  <c r="B17807" i="1"/>
  <c r="A17808" i="1"/>
  <c r="B17808" i="1"/>
  <c r="A17809" i="1"/>
  <c r="B17809" i="1"/>
  <c r="A17810" i="1"/>
  <c r="B17810" i="1"/>
  <c r="A17811" i="1"/>
  <c r="B17811" i="1"/>
  <c r="A17812" i="1"/>
  <c r="B17812" i="1"/>
  <c r="A17813" i="1"/>
  <c r="B17813" i="1"/>
  <c r="A17814" i="1"/>
  <c r="B17814" i="1"/>
  <c r="A17815" i="1"/>
  <c r="B17815" i="1"/>
  <c r="A17816" i="1"/>
  <c r="B17816" i="1"/>
  <c r="A17817" i="1"/>
  <c r="B17817" i="1"/>
  <c r="A17818" i="1"/>
  <c r="B17818" i="1"/>
  <c r="A17819" i="1"/>
  <c r="B17819" i="1"/>
  <c r="A17820" i="1"/>
  <c r="B17820" i="1"/>
  <c r="A17821" i="1"/>
  <c r="B17821" i="1"/>
  <c r="A17822" i="1"/>
  <c r="B17822" i="1"/>
  <c r="A17823" i="1"/>
  <c r="B17823" i="1"/>
  <c r="A17824" i="1"/>
  <c r="B17824" i="1"/>
  <c r="A17825" i="1"/>
  <c r="B17825" i="1"/>
  <c r="A17826" i="1"/>
  <c r="B17826" i="1"/>
  <c r="A17827" i="1"/>
  <c r="B17827" i="1"/>
  <c r="A17828" i="1"/>
  <c r="B17828" i="1"/>
  <c r="A17829" i="1"/>
  <c r="B17829" i="1"/>
  <c r="A17830" i="1"/>
  <c r="B17830" i="1"/>
  <c r="A17831" i="1"/>
  <c r="B17831" i="1"/>
  <c r="A17832" i="1"/>
  <c r="B17832" i="1"/>
  <c r="A17833" i="1"/>
  <c r="B17833" i="1"/>
  <c r="A17834" i="1"/>
  <c r="B17834" i="1"/>
  <c r="A17835" i="1"/>
  <c r="B17835" i="1"/>
  <c r="A17836" i="1"/>
  <c r="B17836" i="1"/>
  <c r="A17837" i="1"/>
  <c r="B17837" i="1"/>
  <c r="A17838" i="1"/>
  <c r="B17838" i="1"/>
  <c r="A17839" i="1"/>
  <c r="B17839" i="1"/>
  <c r="A17840" i="1"/>
  <c r="B17840" i="1"/>
  <c r="A17841" i="1"/>
  <c r="B17841" i="1"/>
  <c r="A17842" i="1"/>
  <c r="B17842" i="1"/>
  <c r="A17843" i="1"/>
  <c r="B17843" i="1"/>
  <c r="A17844" i="1"/>
  <c r="B17844" i="1"/>
  <c r="A17845" i="1"/>
  <c r="B17845" i="1"/>
  <c r="A17846" i="1"/>
  <c r="B17846" i="1"/>
  <c r="A17847" i="1"/>
  <c r="B17847" i="1"/>
  <c r="A17848" i="1"/>
  <c r="B17848" i="1"/>
  <c r="A17849" i="1"/>
  <c r="B17849" i="1"/>
  <c r="A17850" i="1"/>
  <c r="B17850" i="1"/>
  <c r="A17851" i="1"/>
  <c r="B17851" i="1"/>
  <c r="A17852" i="1"/>
  <c r="B17852" i="1"/>
  <c r="A17853" i="1"/>
  <c r="B17853" i="1"/>
  <c r="A17854" i="1"/>
  <c r="B17854" i="1"/>
  <c r="A17855" i="1"/>
  <c r="B17855" i="1"/>
  <c r="A17856" i="1"/>
  <c r="B17856" i="1"/>
  <c r="A17857" i="1"/>
  <c r="B17857" i="1"/>
  <c r="A17858" i="1"/>
  <c r="B17858" i="1"/>
  <c r="A17859" i="1"/>
  <c r="B17859" i="1"/>
  <c r="A17860" i="1"/>
  <c r="B17860" i="1"/>
  <c r="A17861" i="1"/>
  <c r="B17861" i="1"/>
  <c r="A17862" i="1"/>
  <c r="B17862" i="1"/>
  <c r="A17863" i="1"/>
  <c r="B17863" i="1"/>
  <c r="A17864" i="1"/>
  <c r="B17864" i="1"/>
  <c r="A17865" i="1"/>
  <c r="B17865" i="1"/>
  <c r="A17866" i="1"/>
  <c r="B17866" i="1"/>
  <c r="A17867" i="1"/>
  <c r="B17867" i="1"/>
  <c r="A17868" i="1"/>
  <c r="B17868" i="1"/>
  <c r="A17869" i="1"/>
  <c r="B17869" i="1"/>
  <c r="A17870" i="1"/>
  <c r="B17870" i="1"/>
  <c r="A17871" i="1"/>
  <c r="B17871" i="1"/>
  <c r="A17872" i="1"/>
  <c r="B17872" i="1"/>
  <c r="A17873" i="1"/>
  <c r="B17873" i="1"/>
  <c r="A17874" i="1"/>
  <c r="B17874" i="1"/>
  <c r="A17875" i="1"/>
  <c r="B17875" i="1"/>
  <c r="A17876" i="1"/>
  <c r="B17876" i="1"/>
  <c r="A17877" i="1"/>
  <c r="B17877" i="1"/>
  <c r="A17878" i="1"/>
  <c r="B17878" i="1"/>
  <c r="A17879" i="1"/>
  <c r="B17879" i="1"/>
  <c r="A17880" i="1"/>
  <c r="B17880" i="1"/>
  <c r="A17881" i="1"/>
  <c r="B17881" i="1"/>
  <c r="A17882" i="1"/>
  <c r="B17882" i="1"/>
  <c r="A17883" i="1"/>
  <c r="B17883" i="1"/>
  <c r="A17884" i="1"/>
  <c r="B17884" i="1"/>
  <c r="A17885" i="1"/>
  <c r="B17885" i="1"/>
  <c r="A17886" i="1"/>
  <c r="B17886" i="1"/>
  <c r="A17887" i="1"/>
  <c r="B17887" i="1"/>
  <c r="A17888" i="1"/>
  <c r="B17888" i="1"/>
  <c r="A17889" i="1"/>
  <c r="B17889" i="1"/>
  <c r="A17890" i="1"/>
  <c r="B17890" i="1"/>
  <c r="A17891" i="1"/>
  <c r="B17891" i="1"/>
  <c r="A17892" i="1"/>
  <c r="B17892" i="1"/>
  <c r="A17893" i="1"/>
  <c r="B17893" i="1"/>
  <c r="A17894" i="1"/>
  <c r="B17894" i="1"/>
  <c r="A17895" i="1"/>
  <c r="B17895" i="1"/>
  <c r="A17896" i="1"/>
  <c r="B17896" i="1"/>
  <c r="A17897" i="1"/>
  <c r="B17897" i="1"/>
  <c r="A17898" i="1"/>
  <c r="B17898" i="1"/>
  <c r="A17899" i="1"/>
  <c r="B17899" i="1"/>
  <c r="A17900" i="1"/>
  <c r="B17900" i="1"/>
  <c r="A17901" i="1"/>
  <c r="B17901" i="1"/>
  <c r="A17902" i="1"/>
  <c r="B17902" i="1"/>
  <c r="A17903" i="1"/>
  <c r="B17903" i="1"/>
  <c r="A17904" i="1"/>
  <c r="B17904" i="1"/>
  <c r="A17905" i="1"/>
  <c r="B17905" i="1"/>
  <c r="A17906" i="1"/>
  <c r="B17906" i="1"/>
  <c r="A17907" i="1"/>
  <c r="B17907" i="1"/>
  <c r="A17908" i="1"/>
  <c r="B17908" i="1"/>
  <c r="A17909" i="1"/>
  <c r="B17909" i="1"/>
  <c r="A17910" i="1"/>
  <c r="B17910" i="1"/>
  <c r="A17911" i="1"/>
  <c r="B17911" i="1"/>
  <c r="A17912" i="1"/>
  <c r="B17912" i="1"/>
  <c r="A17913" i="1"/>
  <c r="B17913" i="1"/>
  <c r="A17914" i="1"/>
  <c r="B17914" i="1"/>
  <c r="A17915" i="1"/>
  <c r="B17915" i="1"/>
  <c r="A17916" i="1"/>
  <c r="B17916" i="1"/>
  <c r="A17917" i="1"/>
  <c r="B17917" i="1"/>
  <c r="A17918" i="1"/>
  <c r="B17918" i="1"/>
  <c r="A17919" i="1"/>
  <c r="B17919" i="1"/>
  <c r="A17920" i="1"/>
  <c r="B17920" i="1"/>
  <c r="A17921" i="1"/>
  <c r="B17921" i="1"/>
  <c r="A17922" i="1"/>
  <c r="B17922" i="1"/>
  <c r="A17923" i="1"/>
  <c r="B17923" i="1"/>
  <c r="A17924" i="1"/>
  <c r="B17924" i="1"/>
  <c r="A17925" i="1"/>
  <c r="B17925" i="1"/>
  <c r="A17926" i="1"/>
  <c r="B17926" i="1"/>
  <c r="A17927" i="1"/>
  <c r="B17927" i="1"/>
  <c r="A17928" i="1"/>
  <c r="B17928" i="1"/>
  <c r="A17929" i="1"/>
  <c r="B17929" i="1"/>
  <c r="A17930" i="1"/>
  <c r="B17930" i="1"/>
  <c r="A17931" i="1"/>
  <c r="B17931" i="1"/>
  <c r="A17932" i="1"/>
  <c r="B17932" i="1"/>
  <c r="A17933" i="1"/>
  <c r="B17933" i="1"/>
  <c r="A17934" i="1"/>
  <c r="B17934" i="1"/>
  <c r="A17935" i="1"/>
  <c r="B17935" i="1"/>
  <c r="A17936" i="1"/>
  <c r="B17936" i="1"/>
  <c r="A17937" i="1"/>
  <c r="B17937" i="1"/>
  <c r="A17938" i="1"/>
  <c r="B17938" i="1"/>
  <c r="A17939" i="1"/>
  <c r="B17939" i="1"/>
  <c r="A17940" i="1"/>
  <c r="B17940" i="1"/>
  <c r="A17941" i="1"/>
  <c r="B17941" i="1"/>
  <c r="A17942" i="1"/>
  <c r="B17942" i="1"/>
  <c r="A17943" i="1"/>
  <c r="B17943" i="1"/>
  <c r="A17944" i="1"/>
  <c r="B17944" i="1"/>
  <c r="A17945" i="1"/>
  <c r="B17945" i="1"/>
  <c r="A17946" i="1"/>
  <c r="B17946" i="1"/>
  <c r="A17947" i="1"/>
  <c r="B17947" i="1"/>
  <c r="A17948" i="1"/>
  <c r="B17948" i="1"/>
  <c r="A17949" i="1"/>
  <c r="B17949" i="1"/>
  <c r="A17950" i="1"/>
  <c r="B17950" i="1"/>
  <c r="A17951" i="1"/>
  <c r="B17951" i="1"/>
  <c r="A17952" i="1"/>
  <c r="B17952" i="1"/>
  <c r="A17953" i="1"/>
  <c r="B17953" i="1"/>
  <c r="A17954" i="1"/>
  <c r="B17954" i="1"/>
  <c r="A17955" i="1"/>
  <c r="B17955" i="1"/>
  <c r="A17956" i="1"/>
  <c r="B17956" i="1"/>
  <c r="A17957" i="1"/>
  <c r="B17957" i="1"/>
  <c r="A17958" i="1"/>
  <c r="B17958" i="1"/>
  <c r="A17959" i="1"/>
  <c r="B17959" i="1"/>
  <c r="A17960" i="1"/>
  <c r="B17960" i="1"/>
  <c r="A17961" i="1"/>
  <c r="B17961" i="1"/>
  <c r="A17962" i="1"/>
  <c r="B17962" i="1"/>
  <c r="A17963" i="1"/>
  <c r="B17963" i="1"/>
  <c r="A17964" i="1"/>
  <c r="B17964" i="1"/>
  <c r="A17965" i="1"/>
  <c r="B17965" i="1"/>
  <c r="A17966" i="1"/>
  <c r="B17966" i="1"/>
  <c r="A17967" i="1"/>
  <c r="B17967" i="1"/>
  <c r="A17968" i="1"/>
  <c r="B17968" i="1"/>
  <c r="A17969" i="1"/>
  <c r="B17969" i="1"/>
  <c r="A17970" i="1"/>
  <c r="B17970" i="1"/>
  <c r="A17971" i="1"/>
  <c r="B17971" i="1"/>
  <c r="A17972" i="1"/>
  <c r="B17972" i="1"/>
  <c r="A17973" i="1"/>
  <c r="B17973" i="1"/>
  <c r="A17974" i="1"/>
  <c r="B17974" i="1"/>
  <c r="A17975" i="1"/>
  <c r="B17975" i="1"/>
  <c r="A17976" i="1"/>
  <c r="B17976" i="1"/>
  <c r="A17977" i="1"/>
  <c r="B17977" i="1"/>
  <c r="A17978" i="1"/>
  <c r="B17978" i="1"/>
  <c r="A17979" i="1"/>
  <c r="B17979" i="1"/>
  <c r="A17980" i="1"/>
  <c r="B17980" i="1"/>
  <c r="A17981" i="1"/>
  <c r="B17981" i="1"/>
  <c r="A17982" i="1"/>
  <c r="B17982" i="1"/>
  <c r="A17983" i="1"/>
  <c r="B17983" i="1"/>
  <c r="A17984" i="1"/>
  <c r="B17984" i="1"/>
  <c r="A17985" i="1"/>
  <c r="B17985" i="1"/>
  <c r="A17986" i="1"/>
  <c r="B17986" i="1"/>
  <c r="A17987" i="1"/>
  <c r="B17987" i="1"/>
  <c r="A17988" i="1"/>
  <c r="B17988" i="1"/>
  <c r="A17989" i="1"/>
  <c r="B17989" i="1"/>
  <c r="A17990" i="1"/>
  <c r="B17990" i="1"/>
  <c r="A17991" i="1"/>
  <c r="B17991" i="1"/>
  <c r="A17992" i="1"/>
  <c r="B17992" i="1"/>
  <c r="A17993" i="1"/>
  <c r="B17993" i="1"/>
  <c r="A17994" i="1"/>
  <c r="B17994" i="1"/>
  <c r="A17995" i="1"/>
  <c r="B17995" i="1"/>
  <c r="A17996" i="1"/>
  <c r="B17996" i="1"/>
  <c r="A17997" i="1"/>
  <c r="B17997" i="1"/>
  <c r="A17998" i="1"/>
  <c r="B17998" i="1"/>
  <c r="A17999" i="1"/>
  <c r="B17999" i="1"/>
  <c r="A18000" i="1"/>
  <c r="B18000" i="1"/>
  <c r="A18001" i="1"/>
  <c r="B18001" i="1"/>
  <c r="A18002" i="1"/>
  <c r="B18002" i="1"/>
  <c r="A18003" i="1"/>
  <c r="B18003" i="1"/>
  <c r="A18004" i="1"/>
  <c r="B18004" i="1"/>
  <c r="A18005" i="1"/>
  <c r="B18005" i="1"/>
  <c r="A18006" i="1"/>
  <c r="B18006" i="1"/>
  <c r="A18007" i="1"/>
  <c r="B18007" i="1"/>
  <c r="A18008" i="1"/>
  <c r="B18008" i="1"/>
  <c r="A18009" i="1"/>
  <c r="B18009" i="1"/>
  <c r="A18010" i="1"/>
  <c r="B18010" i="1"/>
  <c r="A18011" i="1"/>
  <c r="B18011" i="1"/>
  <c r="A18012" i="1"/>
  <c r="B18012" i="1"/>
  <c r="A18013" i="1"/>
  <c r="B18013" i="1"/>
  <c r="A18014" i="1"/>
  <c r="B18014" i="1"/>
  <c r="A18015" i="1"/>
  <c r="B18015" i="1"/>
  <c r="A18016" i="1"/>
  <c r="B18016" i="1"/>
  <c r="A18017" i="1"/>
  <c r="B18017" i="1"/>
  <c r="A18018" i="1"/>
  <c r="B18018" i="1"/>
  <c r="A18019" i="1"/>
  <c r="B18019" i="1"/>
  <c r="A18020" i="1"/>
  <c r="B18020" i="1"/>
  <c r="A18021" i="1"/>
  <c r="B18021" i="1"/>
  <c r="A18022" i="1"/>
  <c r="B18022" i="1"/>
  <c r="A18023" i="1"/>
  <c r="B18023" i="1"/>
  <c r="A18024" i="1"/>
  <c r="B18024" i="1"/>
  <c r="A18025" i="1"/>
  <c r="B18025" i="1"/>
  <c r="A18026" i="1"/>
  <c r="B18026" i="1"/>
  <c r="A18027" i="1"/>
  <c r="B18027" i="1"/>
  <c r="A18028" i="1"/>
  <c r="B18028" i="1"/>
  <c r="A18029" i="1"/>
  <c r="B18029" i="1"/>
  <c r="A18030" i="1"/>
  <c r="B18030" i="1"/>
  <c r="A18031" i="1"/>
  <c r="B18031" i="1"/>
  <c r="A18032" i="1"/>
  <c r="B18032" i="1"/>
  <c r="A18033" i="1"/>
  <c r="B18033" i="1"/>
  <c r="A18034" i="1"/>
  <c r="B18034" i="1"/>
  <c r="A18035" i="1"/>
  <c r="B18035" i="1"/>
  <c r="A18036" i="1"/>
  <c r="B18036" i="1"/>
  <c r="A18037" i="1"/>
  <c r="B18037" i="1"/>
  <c r="A18038" i="1"/>
  <c r="B18038" i="1"/>
  <c r="A18039" i="1"/>
  <c r="B18039" i="1"/>
  <c r="A18040" i="1"/>
  <c r="B18040" i="1"/>
  <c r="A18041" i="1"/>
  <c r="B18041" i="1"/>
  <c r="A18042" i="1"/>
  <c r="B18042" i="1"/>
  <c r="A18043" i="1"/>
  <c r="B18043" i="1"/>
  <c r="A18044" i="1"/>
  <c r="B18044" i="1"/>
  <c r="A18045" i="1"/>
  <c r="B18045" i="1"/>
  <c r="A18046" i="1"/>
  <c r="B18046" i="1"/>
  <c r="A18047" i="1"/>
  <c r="B18047" i="1"/>
  <c r="A18048" i="1"/>
  <c r="B18048" i="1"/>
  <c r="A18049" i="1"/>
  <c r="B18049" i="1"/>
  <c r="A18050" i="1"/>
  <c r="B18050" i="1"/>
  <c r="A18051" i="1"/>
  <c r="B18051" i="1"/>
  <c r="A18052" i="1"/>
  <c r="B18052" i="1"/>
  <c r="A18053" i="1"/>
  <c r="B18053" i="1"/>
  <c r="A18054" i="1"/>
  <c r="B18054" i="1"/>
  <c r="A18055" i="1"/>
  <c r="B18055" i="1"/>
  <c r="A18056" i="1"/>
  <c r="B18056" i="1"/>
  <c r="A18057" i="1"/>
  <c r="B18057" i="1"/>
  <c r="A18058" i="1"/>
  <c r="B18058" i="1"/>
  <c r="A18059" i="1"/>
  <c r="B18059" i="1"/>
  <c r="A18060" i="1"/>
  <c r="B18060" i="1"/>
  <c r="A18061" i="1"/>
  <c r="B18061" i="1"/>
  <c r="A18062" i="1"/>
  <c r="B18062" i="1"/>
  <c r="A18063" i="1"/>
  <c r="B18063" i="1"/>
  <c r="A18064" i="1"/>
  <c r="B18064" i="1"/>
  <c r="A18065" i="1"/>
  <c r="B18065" i="1"/>
  <c r="A18066" i="1"/>
  <c r="B18066" i="1"/>
  <c r="A18067" i="1"/>
  <c r="B18067" i="1"/>
  <c r="A18068" i="1"/>
  <c r="B18068" i="1"/>
  <c r="A18069" i="1"/>
  <c r="B18069" i="1"/>
  <c r="A18070" i="1"/>
  <c r="B18070" i="1"/>
  <c r="A18071" i="1"/>
  <c r="B18071" i="1"/>
  <c r="A18072" i="1"/>
  <c r="B18072" i="1"/>
  <c r="A18073" i="1"/>
  <c r="B18073" i="1"/>
  <c r="A18074" i="1"/>
  <c r="B18074" i="1"/>
  <c r="A18075" i="1"/>
  <c r="B18075" i="1"/>
  <c r="A18076" i="1"/>
  <c r="B18076" i="1"/>
  <c r="A18077" i="1"/>
  <c r="B18077" i="1"/>
  <c r="A18078" i="1"/>
  <c r="B18078" i="1"/>
  <c r="A18079" i="1"/>
  <c r="B18079" i="1"/>
  <c r="A18080" i="1"/>
  <c r="B18080" i="1"/>
  <c r="A18081" i="1"/>
  <c r="B18081" i="1"/>
  <c r="A18082" i="1"/>
  <c r="B18082" i="1"/>
  <c r="A18083" i="1"/>
  <c r="B18083" i="1"/>
  <c r="A18084" i="1"/>
  <c r="B18084" i="1"/>
  <c r="A18085" i="1"/>
  <c r="B18085" i="1"/>
  <c r="A18086" i="1"/>
  <c r="B18086" i="1"/>
  <c r="A18087" i="1"/>
  <c r="B18087" i="1"/>
  <c r="A18088" i="1"/>
  <c r="B18088" i="1"/>
  <c r="A18089" i="1"/>
  <c r="B18089" i="1"/>
  <c r="A18090" i="1"/>
  <c r="B18090" i="1"/>
  <c r="A18091" i="1"/>
  <c r="B18091" i="1"/>
  <c r="A18092" i="1"/>
  <c r="B18092" i="1"/>
  <c r="A18093" i="1"/>
  <c r="B18093" i="1"/>
  <c r="A18094" i="1"/>
  <c r="B18094" i="1"/>
  <c r="A18095" i="1"/>
  <c r="B18095" i="1"/>
  <c r="A18096" i="1"/>
  <c r="B18096" i="1"/>
  <c r="A18097" i="1"/>
  <c r="B18097" i="1"/>
  <c r="A18098" i="1"/>
  <c r="B18098" i="1"/>
  <c r="A18099" i="1"/>
  <c r="B18099" i="1"/>
  <c r="A18100" i="1"/>
  <c r="B18100" i="1"/>
  <c r="A18101" i="1"/>
  <c r="B18101" i="1"/>
  <c r="A18102" i="1"/>
  <c r="B18102" i="1"/>
  <c r="A18103" i="1"/>
  <c r="B18103" i="1"/>
  <c r="A18104" i="1"/>
  <c r="B18104" i="1"/>
  <c r="A18105" i="1"/>
  <c r="B18105" i="1"/>
  <c r="A18106" i="1"/>
  <c r="B18106" i="1"/>
  <c r="A18107" i="1"/>
  <c r="B18107" i="1"/>
  <c r="A18108" i="1"/>
  <c r="B18108" i="1"/>
  <c r="A18109" i="1"/>
  <c r="B18109" i="1"/>
  <c r="A18110" i="1"/>
  <c r="B18110" i="1"/>
  <c r="A18111" i="1"/>
  <c r="B18111" i="1"/>
  <c r="A18112" i="1"/>
  <c r="B18112" i="1"/>
  <c r="A18113" i="1"/>
  <c r="B18113" i="1"/>
  <c r="A18114" i="1"/>
  <c r="B18114" i="1"/>
  <c r="A18115" i="1"/>
  <c r="B18115" i="1"/>
  <c r="A18116" i="1"/>
  <c r="B18116" i="1"/>
  <c r="A18117" i="1"/>
  <c r="B18117" i="1"/>
  <c r="A18118" i="1"/>
  <c r="B18118" i="1"/>
  <c r="A18119" i="1"/>
  <c r="B18119" i="1"/>
  <c r="A18120" i="1"/>
  <c r="B18120" i="1"/>
  <c r="A18121" i="1"/>
  <c r="B18121" i="1"/>
  <c r="A18122" i="1"/>
  <c r="B18122" i="1"/>
  <c r="A18123" i="1"/>
  <c r="B18123" i="1"/>
  <c r="A18124" i="1"/>
  <c r="B18124" i="1"/>
  <c r="A18125" i="1"/>
  <c r="B18125" i="1"/>
  <c r="A18126" i="1"/>
  <c r="B18126" i="1"/>
  <c r="A18127" i="1"/>
  <c r="B18127" i="1"/>
  <c r="A18128" i="1"/>
  <c r="B18128" i="1"/>
  <c r="A18129" i="1"/>
  <c r="B18129" i="1"/>
  <c r="A18130" i="1"/>
  <c r="B18130" i="1"/>
  <c r="A18131" i="1"/>
  <c r="B18131" i="1"/>
  <c r="A18132" i="1"/>
  <c r="B18132" i="1"/>
  <c r="A18133" i="1"/>
  <c r="B18133" i="1"/>
  <c r="A18134" i="1"/>
  <c r="B18134" i="1"/>
  <c r="A18135" i="1"/>
  <c r="B18135" i="1"/>
  <c r="A18136" i="1"/>
  <c r="B18136" i="1"/>
  <c r="A18137" i="1"/>
  <c r="B18137" i="1"/>
  <c r="A18138" i="1"/>
  <c r="B18138" i="1"/>
  <c r="A18139" i="1"/>
  <c r="B18139" i="1"/>
  <c r="A18140" i="1"/>
  <c r="B18140" i="1"/>
  <c r="A18141" i="1"/>
  <c r="B18141" i="1"/>
  <c r="A18142" i="1"/>
  <c r="B18142" i="1"/>
  <c r="A18143" i="1"/>
  <c r="B18143" i="1"/>
  <c r="A18144" i="1"/>
  <c r="B18144" i="1"/>
  <c r="A18145" i="1"/>
  <c r="B18145" i="1"/>
  <c r="A18146" i="1"/>
  <c r="B18146" i="1"/>
  <c r="A18147" i="1"/>
  <c r="B18147" i="1"/>
  <c r="A18148" i="1"/>
  <c r="B18148" i="1"/>
  <c r="A18149" i="1"/>
  <c r="B18149" i="1"/>
  <c r="A18150" i="1"/>
  <c r="B18150" i="1"/>
  <c r="A18151" i="1"/>
  <c r="B18151" i="1"/>
  <c r="A18152" i="1"/>
  <c r="B18152" i="1"/>
  <c r="A18153" i="1"/>
  <c r="B18153" i="1"/>
  <c r="A18154" i="1"/>
  <c r="B18154" i="1"/>
  <c r="A18155" i="1"/>
  <c r="B18155" i="1"/>
  <c r="A18156" i="1"/>
  <c r="B18156" i="1"/>
  <c r="A18157" i="1"/>
  <c r="B18157" i="1"/>
  <c r="A18158" i="1"/>
  <c r="B18158" i="1"/>
  <c r="A18159" i="1"/>
  <c r="B18159" i="1"/>
  <c r="A18160" i="1"/>
  <c r="B18160" i="1"/>
  <c r="A18161" i="1"/>
  <c r="B18161" i="1"/>
  <c r="A18162" i="1"/>
  <c r="B18162" i="1"/>
  <c r="A18163" i="1"/>
  <c r="B18163" i="1"/>
  <c r="A18164" i="1"/>
  <c r="B18164" i="1"/>
  <c r="A18165" i="1"/>
  <c r="B18165" i="1"/>
  <c r="A18166" i="1"/>
  <c r="B18166" i="1"/>
  <c r="A18167" i="1"/>
  <c r="B18167" i="1"/>
  <c r="A18168" i="1"/>
  <c r="B18168" i="1"/>
  <c r="A18169" i="1"/>
  <c r="B18169" i="1"/>
  <c r="A18170" i="1"/>
  <c r="B18170" i="1"/>
  <c r="A18171" i="1"/>
  <c r="B18171" i="1"/>
  <c r="A18172" i="1"/>
  <c r="B18172" i="1"/>
  <c r="A18173" i="1"/>
  <c r="B18173" i="1"/>
  <c r="A18174" i="1"/>
  <c r="B18174" i="1"/>
  <c r="A18175" i="1"/>
  <c r="B18175" i="1"/>
  <c r="A18176" i="1"/>
  <c r="B18176" i="1"/>
  <c r="A18177" i="1"/>
  <c r="B18177" i="1"/>
  <c r="A18178" i="1"/>
  <c r="B18178" i="1"/>
  <c r="A18179" i="1"/>
  <c r="B18179" i="1"/>
  <c r="A18180" i="1"/>
  <c r="B18180" i="1"/>
  <c r="A18181" i="1"/>
  <c r="B18181" i="1"/>
  <c r="A18182" i="1"/>
  <c r="B18182" i="1"/>
  <c r="A18183" i="1"/>
  <c r="B18183" i="1"/>
  <c r="A18184" i="1"/>
  <c r="B18184" i="1"/>
  <c r="A18185" i="1"/>
  <c r="B18185" i="1"/>
  <c r="A18186" i="1"/>
  <c r="B18186" i="1"/>
  <c r="A18187" i="1"/>
  <c r="B18187" i="1"/>
  <c r="A18188" i="1"/>
  <c r="B18188" i="1"/>
  <c r="A18189" i="1"/>
  <c r="B18189" i="1"/>
  <c r="A18190" i="1"/>
  <c r="B18190" i="1"/>
  <c r="A18191" i="1"/>
  <c r="B18191" i="1"/>
  <c r="A18192" i="1"/>
  <c r="B18192" i="1"/>
  <c r="A18193" i="1"/>
  <c r="B18193" i="1"/>
  <c r="A18194" i="1"/>
  <c r="B18194" i="1"/>
  <c r="A18195" i="1"/>
  <c r="B18195" i="1"/>
  <c r="A18196" i="1"/>
  <c r="B18196" i="1"/>
  <c r="A18197" i="1"/>
  <c r="B18197" i="1"/>
  <c r="A18198" i="1"/>
  <c r="B18198" i="1"/>
  <c r="A18199" i="1"/>
  <c r="B18199" i="1"/>
  <c r="A18200" i="1"/>
  <c r="B18200" i="1"/>
  <c r="A18201" i="1"/>
  <c r="B18201" i="1"/>
  <c r="A18202" i="1"/>
  <c r="B18202" i="1"/>
  <c r="A18203" i="1"/>
  <c r="B18203" i="1"/>
  <c r="A18204" i="1"/>
  <c r="B18204" i="1"/>
  <c r="A18205" i="1"/>
  <c r="B18205" i="1"/>
  <c r="A18206" i="1"/>
  <c r="B18206" i="1"/>
  <c r="A18207" i="1"/>
  <c r="B18207" i="1"/>
  <c r="A18208" i="1"/>
  <c r="B18208" i="1"/>
  <c r="A18209" i="1"/>
  <c r="B18209" i="1"/>
  <c r="A18210" i="1"/>
  <c r="B18210" i="1"/>
  <c r="A18211" i="1"/>
  <c r="B18211" i="1"/>
  <c r="A18212" i="1"/>
  <c r="B18212" i="1"/>
  <c r="A18213" i="1"/>
  <c r="B18213" i="1"/>
  <c r="A18214" i="1"/>
  <c r="B18214" i="1"/>
  <c r="A18215" i="1"/>
  <c r="B18215" i="1"/>
  <c r="A18216" i="1"/>
  <c r="B18216" i="1"/>
  <c r="A18217" i="1"/>
  <c r="B18217" i="1"/>
  <c r="A18218" i="1"/>
  <c r="B18218" i="1"/>
  <c r="A18219" i="1"/>
  <c r="B18219" i="1"/>
  <c r="A18220" i="1"/>
  <c r="B18220" i="1"/>
  <c r="A18221" i="1"/>
  <c r="B18221" i="1"/>
  <c r="A18222" i="1"/>
  <c r="B18222" i="1"/>
  <c r="A18223" i="1"/>
  <c r="B18223" i="1"/>
  <c r="A18224" i="1"/>
  <c r="B18224" i="1"/>
  <c r="A18225" i="1"/>
  <c r="B18225" i="1"/>
  <c r="A18226" i="1"/>
  <c r="B18226" i="1"/>
  <c r="A18227" i="1"/>
  <c r="B18227" i="1"/>
  <c r="A18228" i="1"/>
  <c r="B18228" i="1"/>
  <c r="A18229" i="1"/>
  <c r="B18229" i="1"/>
  <c r="A18230" i="1"/>
  <c r="B18230" i="1"/>
  <c r="A18231" i="1"/>
  <c r="B18231" i="1"/>
  <c r="A18232" i="1"/>
  <c r="B18232" i="1"/>
  <c r="A18233" i="1"/>
  <c r="B18233" i="1"/>
  <c r="A18234" i="1"/>
  <c r="B18234" i="1"/>
  <c r="A18235" i="1"/>
  <c r="B18235" i="1"/>
  <c r="A18236" i="1"/>
  <c r="B18236" i="1"/>
  <c r="A18237" i="1"/>
  <c r="B18237" i="1"/>
  <c r="A18238" i="1"/>
  <c r="B18238" i="1"/>
  <c r="A18239" i="1"/>
  <c r="B18239" i="1"/>
  <c r="A18240" i="1"/>
  <c r="B18240" i="1"/>
  <c r="A18241" i="1"/>
  <c r="B18241" i="1"/>
  <c r="A18242" i="1"/>
  <c r="B18242" i="1"/>
  <c r="A18243" i="1"/>
  <c r="B18243" i="1"/>
  <c r="A18244" i="1"/>
  <c r="B18244" i="1"/>
  <c r="A18245" i="1"/>
  <c r="B18245" i="1"/>
  <c r="A18246" i="1"/>
  <c r="B18246" i="1"/>
  <c r="A18247" i="1"/>
  <c r="B18247" i="1"/>
  <c r="A18248" i="1"/>
  <c r="B18248" i="1"/>
  <c r="A18249" i="1"/>
  <c r="B18249" i="1"/>
  <c r="A18250" i="1"/>
  <c r="B18250" i="1"/>
  <c r="A18251" i="1"/>
  <c r="B18251" i="1"/>
  <c r="A18252" i="1"/>
  <c r="B18252" i="1"/>
  <c r="A18253" i="1"/>
  <c r="B18253" i="1"/>
  <c r="A18254" i="1"/>
  <c r="B18254" i="1"/>
  <c r="A18255" i="1"/>
  <c r="B18255" i="1"/>
  <c r="A18256" i="1"/>
  <c r="B18256" i="1"/>
  <c r="A18257" i="1"/>
  <c r="B18257" i="1"/>
  <c r="A18258" i="1"/>
  <c r="B18258" i="1"/>
  <c r="A18259" i="1"/>
  <c r="B18259" i="1"/>
  <c r="A18260" i="1"/>
  <c r="B18260" i="1"/>
  <c r="A18261" i="1"/>
  <c r="B18261" i="1"/>
  <c r="A18262" i="1"/>
  <c r="B18262" i="1"/>
  <c r="A18263" i="1"/>
  <c r="B18263" i="1"/>
  <c r="A18264" i="1"/>
  <c r="B18264" i="1"/>
  <c r="A18265" i="1"/>
  <c r="B18265" i="1"/>
  <c r="A18266" i="1"/>
  <c r="B18266" i="1"/>
  <c r="A18267" i="1"/>
  <c r="B18267" i="1"/>
  <c r="A18268" i="1"/>
  <c r="B18268" i="1"/>
  <c r="A18269" i="1"/>
  <c r="B18269" i="1"/>
  <c r="A18270" i="1"/>
  <c r="B18270" i="1"/>
  <c r="A18271" i="1"/>
  <c r="B18271" i="1"/>
  <c r="A18272" i="1"/>
  <c r="B18272" i="1"/>
  <c r="A18273" i="1"/>
  <c r="B18273" i="1"/>
  <c r="A18274" i="1"/>
  <c r="B18274" i="1"/>
  <c r="A18275" i="1"/>
  <c r="B18275" i="1"/>
  <c r="A18276" i="1"/>
  <c r="B18276" i="1"/>
  <c r="A18277" i="1"/>
  <c r="B18277" i="1"/>
  <c r="A18278" i="1"/>
  <c r="B18278" i="1"/>
  <c r="A18279" i="1"/>
  <c r="B18279" i="1"/>
  <c r="A18280" i="1"/>
  <c r="B18280" i="1"/>
  <c r="A18281" i="1"/>
  <c r="B18281" i="1"/>
  <c r="A18282" i="1"/>
  <c r="B18282" i="1"/>
  <c r="A18283" i="1"/>
  <c r="B18283" i="1"/>
  <c r="A18284" i="1"/>
  <c r="B18284" i="1"/>
  <c r="A18285" i="1"/>
  <c r="B18285" i="1"/>
  <c r="A18286" i="1"/>
  <c r="B18286" i="1"/>
  <c r="A18287" i="1"/>
  <c r="B18287" i="1"/>
  <c r="A18288" i="1"/>
  <c r="B18288" i="1"/>
  <c r="A18289" i="1"/>
  <c r="B18289" i="1"/>
  <c r="A18290" i="1"/>
  <c r="B18290" i="1"/>
  <c r="A18291" i="1"/>
  <c r="B18291" i="1"/>
  <c r="A18292" i="1"/>
  <c r="B18292" i="1"/>
  <c r="A18293" i="1"/>
  <c r="B18293" i="1"/>
  <c r="A18294" i="1"/>
  <c r="B18294" i="1"/>
  <c r="A18295" i="1"/>
  <c r="B18295" i="1"/>
  <c r="A18296" i="1"/>
  <c r="B18296" i="1"/>
  <c r="A18297" i="1"/>
  <c r="B18297" i="1"/>
  <c r="A18298" i="1"/>
  <c r="B18298" i="1"/>
  <c r="A18299" i="1"/>
  <c r="B18299" i="1"/>
  <c r="A18300" i="1"/>
  <c r="B18300" i="1"/>
  <c r="A18301" i="1"/>
  <c r="B18301" i="1"/>
  <c r="A18302" i="1"/>
  <c r="B18302" i="1"/>
  <c r="A18303" i="1"/>
  <c r="B18303" i="1"/>
  <c r="A18304" i="1"/>
  <c r="B18304" i="1"/>
  <c r="A18305" i="1"/>
  <c r="B18305" i="1"/>
  <c r="A18306" i="1"/>
  <c r="B18306" i="1"/>
  <c r="A18307" i="1"/>
  <c r="B18307" i="1"/>
  <c r="A18308" i="1"/>
  <c r="B18308" i="1"/>
  <c r="A18309" i="1"/>
  <c r="B18309" i="1"/>
  <c r="A18310" i="1"/>
  <c r="B18310" i="1"/>
  <c r="A18311" i="1"/>
  <c r="B18311" i="1"/>
  <c r="A18312" i="1"/>
  <c r="B18312" i="1"/>
  <c r="A18313" i="1"/>
  <c r="B18313" i="1"/>
  <c r="A18314" i="1"/>
  <c r="B18314" i="1"/>
  <c r="A18315" i="1"/>
  <c r="B18315" i="1"/>
  <c r="A18316" i="1"/>
  <c r="B18316" i="1"/>
  <c r="A18317" i="1"/>
  <c r="B18317" i="1"/>
  <c r="A18318" i="1"/>
  <c r="B18318" i="1"/>
  <c r="A18319" i="1"/>
  <c r="B18319" i="1"/>
  <c r="A18320" i="1"/>
  <c r="B18320" i="1"/>
  <c r="A18321" i="1"/>
  <c r="B18321" i="1"/>
  <c r="A18322" i="1"/>
  <c r="B18322" i="1"/>
  <c r="A18323" i="1"/>
  <c r="B18323" i="1"/>
  <c r="A18324" i="1"/>
  <c r="B18324" i="1"/>
  <c r="A18325" i="1"/>
  <c r="B18325" i="1"/>
  <c r="A18326" i="1"/>
  <c r="B18326" i="1"/>
  <c r="A18327" i="1"/>
  <c r="B18327" i="1"/>
  <c r="A18328" i="1"/>
  <c r="B18328" i="1"/>
  <c r="A18329" i="1"/>
  <c r="B18329" i="1"/>
  <c r="A18330" i="1"/>
  <c r="B18330" i="1"/>
  <c r="A18331" i="1"/>
  <c r="B18331" i="1"/>
  <c r="A18332" i="1"/>
  <c r="B18332" i="1"/>
  <c r="A18333" i="1"/>
  <c r="B18333" i="1"/>
  <c r="A18334" i="1"/>
  <c r="B18334" i="1"/>
  <c r="A18335" i="1"/>
  <c r="B18335" i="1"/>
  <c r="A18336" i="1"/>
  <c r="B18336" i="1"/>
  <c r="A18337" i="1"/>
  <c r="B18337" i="1"/>
  <c r="A18338" i="1"/>
  <c r="B18338" i="1"/>
  <c r="A18339" i="1"/>
  <c r="B18339" i="1"/>
  <c r="A18340" i="1"/>
  <c r="B18340" i="1"/>
  <c r="A18341" i="1"/>
  <c r="B18341" i="1"/>
  <c r="A18342" i="1"/>
  <c r="B18342" i="1"/>
  <c r="A18343" i="1"/>
  <c r="B18343" i="1"/>
  <c r="A18344" i="1"/>
  <c r="B18344" i="1"/>
  <c r="A18345" i="1"/>
  <c r="B18345" i="1"/>
  <c r="A18346" i="1"/>
  <c r="B18346" i="1"/>
  <c r="A18347" i="1"/>
  <c r="B18347" i="1"/>
  <c r="A18348" i="1"/>
  <c r="B18348" i="1"/>
  <c r="A18349" i="1"/>
  <c r="B18349" i="1"/>
  <c r="A18350" i="1"/>
  <c r="B18350" i="1"/>
  <c r="A18351" i="1"/>
  <c r="B18351" i="1"/>
  <c r="A18352" i="1"/>
  <c r="B18352" i="1"/>
  <c r="A18353" i="1"/>
  <c r="B18353" i="1"/>
  <c r="A18354" i="1"/>
  <c r="B18354" i="1"/>
  <c r="A18355" i="1"/>
  <c r="B18355" i="1"/>
  <c r="A18356" i="1"/>
  <c r="B18356" i="1"/>
  <c r="A18357" i="1"/>
  <c r="B18357" i="1"/>
  <c r="A18358" i="1"/>
  <c r="B18358" i="1"/>
  <c r="A18359" i="1"/>
  <c r="B18359" i="1"/>
  <c r="A18360" i="1"/>
  <c r="B18360" i="1"/>
  <c r="A18361" i="1"/>
  <c r="B18361" i="1"/>
  <c r="A18362" i="1"/>
  <c r="B18362" i="1"/>
  <c r="A18363" i="1"/>
  <c r="B18363" i="1"/>
  <c r="A18364" i="1"/>
  <c r="B18364" i="1"/>
  <c r="A18365" i="1"/>
  <c r="B18365" i="1"/>
  <c r="A18366" i="1"/>
  <c r="B18366" i="1"/>
  <c r="A18367" i="1"/>
  <c r="B18367" i="1"/>
  <c r="A18368" i="1"/>
  <c r="B18368" i="1"/>
  <c r="A18369" i="1"/>
  <c r="B18369" i="1"/>
  <c r="A18370" i="1"/>
  <c r="B18370" i="1"/>
  <c r="A18371" i="1"/>
  <c r="B18371" i="1"/>
  <c r="A18372" i="1"/>
  <c r="B18372" i="1"/>
  <c r="A18373" i="1"/>
  <c r="B18373" i="1"/>
  <c r="A18374" i="1"/>
  <c r="B18374" i="1"/>
  <c r="A18375" i="1"/>
  <c r="B18375" i="1"/>
  <c r="A18376" i="1"/>
  <c r="B18376" i="1"/>
  <c r="A18377" i="1"/>
  <c r="B18377" i="1"/>
  <c r="A18378" i="1"/>
  <c r="B18378" i="1"/>
  <c r="A18379" i="1"/>
  <c r="B18379" i="1"/>
  <c r="A18380" i="1"/>
  <c r="B18380" i="1"/>
  <c r="A18381" i="1"/>
  <c r="B18381" i="1"/>
  <c r="A18382" i="1"/>
  <c r="B18382" i="1"/>
  <c r="A18383" i="1"/>
  <c r="B18383" i="1"/>
  <c r="A18384" i="1"/>
  <c r="B18384" i="1"/>
  <c r="A18385" i="1"/>
  <c r="B18385" i="1"/>
  <c r="A18386" i="1"/>
  <c r="B18386" i="1"/>
  <c r="A18387" i="1"/>
  <c r="B18387" i="1"/>
  <c r="A18388" i="1"/>
  <c r="B18388" i="1"/>
  <c r="A18389" i="1"/>
  <c r="B18389" i="1"/>
  <c r="A18390" i="1"/>
  <c r="B18390" i="1"/>
  <c r="A18391" i="1"/>
  <c r="B18391" i="1"/>
  <c r="A18392" i="1"/>
  <c r="B18392" i="1"/>
  <c r="A18393" i="1"/>
  <c r="B18393" i="1"/>
  <c r="A18394" i="1"/>
  <c r="B18394" i="1"/>
  <c r="A18395" i="1"/>
  <c r="B18395" i="1"/>
  <c r="A18396" i="1"/>
  <c r="B18396" i="1"/>
  <c r="A18397" i="1"/>
  <c r="B18397" i="1"/>
  <c r="A18398" i="1"/>
  <c r="B18398" i="1"/>
  <c r="A18399" i="1"/>
  <c r="B18399" i="1"/>
  <c r="A18400" i="1"/>
  <c r="B18400" i="1"/>
  <c r="A18401" i="1"/>
  <c r="B18401" i="1"/>
  <c r="A18402" i="1"/>
  <c r="B18402" i="1"/>
  <c r="A18403" i="1"/>
  <c r="B18403" i="1"/>
  <c r="A18404" i="1"/>
  <c r="B18404" i="1"/>
  <c r="A18405" i="1"/>
  <c r="B18405" i="1"/>
  <c r="A18406" i="1"/>
  <c r="B18406" i="1"/>
  <c r="A18407" i="1"/>
  <c r="B18407" i="1"/>
  <c r="A18408" i="1"/>
  <c r="B18408" i="1"/>
  <c r="A18409" i="1"/>
  <c r="B18409" i="1"/>
  <c r="A18410" i="1"/>
  <c r="B18410" i="1"/>
  <c r="A18411" i="1"/>
  <c r="B18411" i="1"/>
  <c r="A18412" i="1"/>
  <c r="B18412" i="1"/>
  <c r="A18413" i="1"/>
  <c r="B18413" i="1"/>
  <c r="A18414" i="1"/>
  <c r="B18414" i="1"/>
  <c r="A18415" i="1"/>
  <c r="B18415" i="1"/>
  <c r="A18416" i="1"/>
  <c r="B18416" i="1"/>
  <c r="A18417" i="1"/>
  <c r="B18417" i="1"/>
  <c r="A18418" i="1"/>
  <c r="B18418" i="1"/>
  <c r="A18419" i="1"/>
  <c r="B18419" i="1"/>
  <c r="A18420" i="1"/>
  <c r="B18420" i="1"/>
  <c r="A18421" i="1"/>
  <c r="B18421" i="1"/>
  <c r="A18422" i="1"/>
  <c r="B18422" i="1"/>
  <c r="A18423" i="1"/>
  <c r="B18423" i="1"/>
  <c r="A18424" i="1"/>
  <c r="B18424" i="1"/>
  <c r="A18425" i="1"/>
  <c r="B18425" i="1"/>
  <c r="A18426" i="1"/>
  <c r="B18426" i="1"/>
  <c r="A18427" i="1"/>
  <c r="B18427" i="1"/>
  <c r="A18428" i="1"/>
  <c r="B18428" i="1"/>
  <c r="A18429" i="1"/>
  <c r="B18429" i="1"/>
  <c r="A18430" i="1"/>
  <c r="B18430" i="1"/>
  <c r="A18431" i="1"/>
  <c r="B18431" i="1"/>
  <c r="A18432" i="1"/>
  <c r="B18432" i="1"/>
  <c r="A18433" i="1"/>
  <c r="B18433" i="1"/>
  <c r="A18434" i="1"/>
  <c r="B18434" i="1"/>
  <c r="A18435" i="1"/>
  <c r="B18435" i="1"/>
  <c r="A18436" i="1"/>
  <c r="B18436" i="1"/>
  <c r="A18437" i="1"/>
  <c r="B18437" i="1"/>
  <c r="A18438" i="1"/>
  <c r="B18438" i="1"/>
  <c r="A18439" i="1"/>
  <c r="B18439" i="1"/>
  <c r="A18440" i="1"/>
  <c r="B18440" i="1"/>
  <c r="A18441" i="1"/>
  <c r="B18441" i="1"/>
  <c r="A18442" i="1"/>
  <c r="B18442" i="1"/>
  <c r="A18443" i="1"/>
  <c r="B18443" i="1"/>
  <c r="A18444" i="1"/>
  <c r="B18444" i="1"/>
  <c r="A18445" i="1"/>
  <c r="B18445" i="1"/>
  <c r="A18446" i="1"/>
  <c r="B18446" i="1"/>
  <c r="A18447" i="1"/>
  <c r="B18447" i="1"/>
  <c r="A18448" i="1"/>
  <c r="B18448" i="1"/>
  <c r="A18449" i="1"/>
  <c r="B18449" i="1"/>
  <c r="A18450" i="1"/>
  <c r="B18450" i="1"/>
  <c r="A18451" i="1"/>
  <c r="B18451" i="1"/>
  <c r="A18452" i="1"/>
  <c r="B18452" i="1"/>
  <c r="A18453" i="1"/>
  <c r="B18453" i="1"/>
  <c r="A18454" i="1"/>
  <c r="B18454" i="1"/>
  <c r="A18455" i="1"/>
  <c r="B18455" i="1"/>
  <c r="A18456" i="1"/>
  <c r="B18456" i="1"/>
  <c r="A18457" i="1"/>
  <c r="B18457" i="1"/>
  <c r="A18458" i="1"/>
  <c r="B18458" i="1"/>
  <c r="A18459" i="1"/>
  <c r="B18459" i="1"/>
  <c r="A18460" i="1"/>
  <c r="B18460" i="1"/>
  <c r="A18461" i="1"/>
  <c r="B18461" i="1"/>
  <c r="A18462" i="1"/>
  <c r="B18462" i="1"/>
  <c r="A18463" i="1"/>
  <c r="B18463" i="1"/>
  <c r="A18464" i="1"/>
  <c r="B18464" i="1"/>
  <c r="A18465" i="1"/>
  <c r="B18465" i="1"/>
  <c r="A18466" i="1"/>
  <c r="B18466" i="1"/>
  <c r="A18467" i="1"/>
  <c r="B18467" i="1"/>
  <c r="A18468" i="1"/>
  <c r="B18468" i="1"/>
  <c r="A18469" i="1"/>
  <c r="B18469" i="1"/>
  <c r="A18470" i="1"/>
  <c r="B18470" i="1"/>
  <c r="A18471" i="1"/>
  <c r="B18471" i="1"/>
  <c r="A18472" i="1"/>
  <c r="B18472" i="1"/>
  <c r="A18473" i="1"/>
  <c r="B18473" i="1"/>
  <c r="A18474" i="1"/>
  <c r="B18474" i="1"/>
  <c r="A18475" i="1"/>
  <c r="B18475" i="1"/>
  <c r="A18476" i="1"/>
  <c r="B18476" i="1"/>
  <c r="A18477" i="1"/>
  <c r="B18477" i="1"/>
  <c r="A18478" i="1"/>
  <c r="B18478" i="1"/>
  <c r="A18479" i="1"/>
  <c r="B18479" i="1"/>
  <c r="A18480" i="1"/>
  <c r="B18480" i="1"/>
  <c r="A18481" i="1"/>
  <c r="B18481" i="1"/>
  <c r="A18482" i="1"/>
  <c r="B18482" i="1"/>
  <c r="A18483" i="1"/>
  <c r="B18483" i="1"/>
  <c r="A18484" i="1"/>
  <c r="B18484" i="1"/>
  <c r="A18485" i="1"/>
  <c r="B18485" i="1"/>
  <c r="A18486" i="1"/>
  <c r="B18486" i="1"/>
  <c r="A18487" i="1"/>
  <c r="B18487" i="1"/>
  <c r="A18488" i="1"/>
  <c r="B18488" i="1"/>
  <c r="A18489" i="1"/>
  <c r="B18489" i="1"/>
  <c r="A18490" i="1"/>
  <c r="B18490" i="1"/>
  <c r="A18491" i="1"/>
  <c r="B18491" i="1"/>
  <c r="A18492" i="1"/>
  <c r="B18492" i="1"/>
  <c r="A18493" i="1"/>
  <c r="B18493" i="1"/>
  <c r="A18494" i="1"/>
  <c r="B18494" i="1"/>
  <c r="A18495" i="1"/>
  <c r="B18495" i="1"/>
  <c r="A18496" i="1"/>
  <c r="B18496" i="1"/>
  <c r="A18497" i="1"/>
  <c r="B18497" i="1"/>
  <c r="A18498" i="1"/>
  <c r="B18498" i="1"/>
  <c r="A18499" i="1"/>
  <c r="B18499" i="1"/>
  <c r="A18500" i="1"/>
  <c r="B18500" i="1"/>
  <c r="A18501" i="1"/>
  <c r="B18501" i="1"/>
  <c r="A18502" i="1"/>
  <c r="B18502" i="1"/>
  <c r="A18503" i="1"/>
  <c r="B18503" i="1"/>
  <c r="A18504" i="1"/>
  <c r="B18504" i="1"/>
  <c r="A18505" i="1"/>
  <c r="B18505" i="1"/>
  <c r="A18506" i="1"/>
  <c r="B18506" i="1"/>
  <c r="A18507" i="1"/>
  <c r="B18507" i="1"/>
  <c r="A18508" i="1"/>
  <c r="B18508" i="1"/>
  <c r="A18509" i="1"/>
  <c r="B18509" i="1"/>
  <c r="A18510" i="1"/>
  <c r="B18510" i="1"/>
  <c r="A18511" i="1"/>
  <c r="B18511" i="1"/>
  <c r="A18512" i="1"/>
  <c r="B18512" i="1"/>
  <c r="A18513" i="1"/>
  <c r="B18513" i="1"/>
  <c r="A18514" i="1"/>
  <c r="B18514" i="1"/>
  <c r="A18515" i="1"/>
  <c r="B18515" i="1"/>
  <c r="A18516" i="1"/>
  <c r="B18516" i="1"/>
  <c r="A18517" i="1"/>
  <c r="B18517" i="1"/>
  <c r="A18518" i="1"/>
  <c r="B18518" i="1"/>
  <c r="A18519" i="1"/>
  <c r="B18519" i="1"/>
  <c r="A18520" i="1"/>
  <c r="B18520" i="1"/>
  <c r="A18521" i="1"/>
  <c r="B18521" i="1"/>
  <c r="A18522" i="1"/>
  <c r="B18522" i="1"/>
  <c r="A18523" i="1"/>
  <c r="B18523" i="1"/>
  <c r="A18524" i="1"/>
  <c r="B18524" i="1"/>
  <c r="A18525" i="1"/>
  <c r="B18525" i="1"/>
  <c r="A18526" i="1"/>
  <c r="B18526" i="1"/>
  <c r="A18527" i="1"/>
  <c r="B18527" i="1"/>
  <c r="A18528" i="1"/>
  <c r="B18528" i="1"/>
  <c r="A18529" i="1"/>
  <c r="B18529" i="1"/>
  <c r="A18530" i="1"/>
  <c r="B18530" i="1"/>
  <c r="A18531" i="1"/>
  <c r="B18531" i="1"/>
  <c r="A18532" i="1"/>
  <c r="B18532" i="1"/>
  <c r="A18533" i="1"/>
  <c r="B18533" i="1"/>
  <c r="A18534" i="1"/>
  <c r="B18534" i="1"/>
  <c r="A18535" i="1"/>
  <c r="B18535" i="1"/>
  <c r="A18536" i="1"/>
  <c r="B18536" i="1"/>
  <c r="A18537" i="1"/>
  <c r="B18537" i="1"/>
  <c r="A18538" i="1"/>
  <c r="B18538" i="1"/>
  <c r="A18539" i="1"/>
  <c r="B18539" i="1"/>
  <c r="A18540" i="1"/>
  <c r="B18540" i="1"/>
  <c r="A18541" i="1"/>
  <c r="B18541" i="1"/>
  <c r="A18542" i="1"/>
  <c r="B18542" i="1"/>
  <c r="A18543" i="1"/>
  <c r="B18543" i="1"/>
  <c r="A18544" i="1"/>
  <c r="B18544" i="1"/>
  <c r="A18545" i="1"/>
  <c r="B18545" i="1"/>
  <c r="A18546" i="1"/>
  <c r="B18546" i="1"/>
  <c r="A18547" i="1"/>
  <c r="B18547" i="1"/>
  <c r="A18548" i="1"/>
  <c r="B18548" i="1"/>
  <c r="A18549" i="1"/>
  <c r="B18549" i="1"/>
  <c r="A18550" i="1"/>
  <c r="B18550" i="1"/>
  <c r="A18551" i="1"/>
  <c r="B18551" i="1"/>
  <c r="A18552" i="1"/>
  <c r="B18552" i="1"/>
  <c r="A18553" i="1"/>
  <c r="B18553" i="1"/>
  <c r="A18554" i="1"/>
  <c r="B18554" i="1"/>
  <c r="A18555" i="1"/>
  <c r="B18555" i="1"/>
  <c r="A18556" i="1"/>
  <c r="B18556" i="1"/>
  <c r="A18557" i="1"/>
  <c r="B18557" i="1"/>
  <c r="A18558" i="1"/>
  <c r="B18558" i="1"/>
  <c r="A18559" i="1"/>
  <c r="B18559" i="1"/>
  <c r="A18560" i="1"/>
  <c r="B18560" i="1"/>
  <c r="A18561" i="1"/>
  <c r="B18561" i="1"/>
  <c r="A18562" i="1"/>
  <c r="B18562" i="1"/>
  <c r="A18563" i="1"/>
  <c r="B18563" i="1"/>
  <c r="A18564" i="1"/>
  <c r="B18564" i="1"/>
  <c r="A18565" i="1"/>
  <c r="B18565" i="1"/>
  <c r="A18566" i="1"/>
  <c r="B18566" i="1"/>
  <c r="A18567" i="1"/>
  <c r="B18567" i="1"/>
  <c r="A18568" i="1"/>
  <c r="B18568" i="1"/>
  <c r="A18569" i="1"/>
  <c r="B18569" i="1"/>
  <c r="A18570" i="1"/>
  <c r="B18570" i="1"/>
  <c r="A18571" i="1"/>
  <c r="B18571" i="1"/>
  <c r="A18572" i="1"/>
  <c r="B18572" i="1"/>
  <c r="A18573" i="1"/>
  <c r="B18573" i="1"/>
  <c r="A18574" i="1"/>
  <c r="B18574" i="1"/>
  <c r="A18575" i="1"/>
  <c r="B18575" i="1"/>
  <c r="A18576" i="1"/>
  <c r="B18576" i="1"/>
  <c r="A18577" i="1"/>
  <c r="B18577" i="1"/>
  <c r="A18578" i="1"/>
  <c r="B18578" i="1"/>
  <c r="A18579" i="1"/>
  <c r="B18579" i="1"/>
  <c r="A18580" i="1"/>
  <c r="B18580" i="1"/>
  <c r="A18581" i="1"/>
  <c r="B18581" i="1"/>
  <c r="A18582" i="1"/>
  <c r="B18582" i="1"/>
  <c r="A18583" i="1"/>
  <c r="B18583" i="1"/>
  <c r="A18584" i="1"/>
  <c r="B18584" i="1"/>
  <c r="A18585" i="1"/>
  <c r="B18585" i="1"/>
  <c r="A18586" i="1"/>
  <c r="B18586" i="1"/>
  <c r="A18587" i="1"/>
  <c r="B18587" i="1"/>
  <c r="A18588" i="1"/>
  <c r="B18588" i="1"/>
  <c r="A18589" i="1"/>
  <c r="B18589" i="1"/>
  <c r="A18590" i="1"/>
  <c r="B18590" i="1"/>
  <c r="A18591" i="1"/>
  <c r="B18591" i="1"/>
  <c r="A18592" i="1"/>
  <c r="B18592" i="1"/>
  <c r="A18593" i="1"/>
  <c r="B18593" i="1"/>
  <c r="A18594" i="1"/>
  <c r="B18594" i="1"/>
  <c r="A18595" i="1"/>
  <c r="B18595" i="1"/>
  <c r="A18596" i="1"/>
  <c r="B18596" i="1"/>
  <c r="A18597" i="1"/>
  <c r="B18597" i="1"/>
  <c r="A18598" i="1"/>
  <c r="B18598" i="1"/>
  <c r="A18599" i="1"/>
  <c r="B18599" i="1"/>
  <c r="A18600" i="1"/>
  <c r="B18600" i="1"/>
  <c r="A18601" i="1"/>
  <c r="B18601" i="1"/>
  <c r="A18602" i="1"/>
  <c r="B18602" i="1"/>
  <c r="A18603" i="1"/>
  <c r="B18603" i="1"/>
  <c r="A18604" i="1"/>
  <c r="B18604" i="1"/>
  <c r="A18605" i="1"/>
  <c r="B18605" i="1"/>
  <c r="A18606" i="1"/>
  <c r="B18606" i="1"/>
  <c r="A18607" i="1"/>
  <c r="B18607" i="1"/>
  <c r="A18608" i="1"/>
  <c r="B18608" i="1"/>
  <c r="A18609" i="1"/>
  <c r="B18609" i="1"/>
  <c r="A18610" i="1"/>
  <c r="B18610" i="1"/>
  <c r="A18611" i="1"/>
  <c r="B18611" i="1"/>
  <c r="A18612" i="1"/>
  <c r="B18612" i="1"/>
  <c r="A18613" i="1"/>
  <c r="B18613" i="1"/>
  <c r="A18614" i="1"/>
  <c r="B18614" i="1"/>
  <c r="A18615" i="1"/>
  <c r="B18615" i="1"/>
  <c r="A18616" i="1"/>
  <c r="B18616" i="1"/>
  <c r="A18617" i="1"/>
  <c r="B18617" i="1"/>
  <c r="A18618" i="1"/>
  <c r="B18618" i="1"/>
  <c r="A18619" i="1"/>
  <c r="B18619" i="1"/>
  <c r="A18620" i="1"/>
  <c r="B18620" i="1"/>
  <c r="A18621" i="1"/>
  <c r="B18621" i="1"/>
  <c r="A18622" i="1"/>
  <c r="B18622" i="1"/>
  <c r="A18623" i="1"/>
  <c r="B18623" i="1"/>
  <c r="A18624" i="1"/>
  <c r="B18624" i="1"/>
  <c r="A18625" i="1"/>
  <c r="B18625" i="1"/>
  <c r="A18626" i="1"/>
  <c r="B18626" i="1"/>
  <c r="A18627" i="1"/>
  <c r="B18627" i="1"/>
  <c r="A18628" i="1"/>
  <c r="B18628" i="1"/>
  <c r="A18629" i="1"/>
  <c r="B18629" i="1"/>
  <c r="A18630" i="1"/>
  <c r="B18630" i="1"/>
  <c r="A18631" i="1"/>
  <c r="B18631" i="1"/>
  <c r="A18632" i="1"/>
  <c r="B18632" i="1"/>
  <c r="A18633" i="1"/>
  <c r="B18633" i="1"/>
  <c r="A18634" i="1"/>
  <c r="B18634" i="1"/>
  <c r="A18635" i="1"/>
  <c r="B18635" i="1"/>
  <c r="A18636" i="1"/>
  <c r="B18636" i="1"/>
  <c r="A18637" i="1"/>
  <c r="B18637" i="1"/>
  <c r="A18638" i="1"/>
  <c r="B18638" i="1"/>
  <c r="A18639" i="1"/>
  <c r="B18639" i="1"/>
  <c r="A18640" i="1"/>
  <c r="B18640" i="1"/>
  <c r="A18641" i="1"/>
  <c r="B18641" i="1"/>
  <c r="A18642" i="1"/>
  <c r="B18642" i="1"/>
  <c r="A18643" i="1"/>
  <c r="B18643" i="1"/>
  <c r="A18644" i="1"/>
  <c r="B18644" i="1"/>
  <c r="A18645" i="1"/>
  <c r="B18645" i="1"/>
  <c r="A18646" i="1"/>
  <c r="B18646" i="1"/>
  <c r="A18647" i="1"/>
  <c r="B18647" i="1"/>
  <c r="A18648" i="1"/>
  <c r="B18648" i="1"/>
  <c r="A18649" i="1"/>
  <c r="B18649" i="1"/>
  <c r="A18650" i="1"/>
  <c r="B18650" i="1"/>
  <c r="A18651" i="1"/>
  <c r="B18651" i="1"/>
  <c r="A18652" i="1"/>
  <c r="B18652" i="1"/>
  <c r="A18653" i="1"/>
  <c r="B18653" i="1"/>
  <c r="A18654" i="1"/>
  <c r="B18654" i="1"/>
  <c r="A18655" i="1"/>
  <c r="B18655" i="1"/>
  <c r="A18656" i="1"/>
  <c r="B18656" i="1"/>
  <c r="A18657" i="1"/>
  <c r="B18657" i="1"/>
  <c r="A18658" i="1"/>
  <c r="B18658" i="1"/>
  <c r="A18659" i="1"/>
  <c r="B18659" i="1"/>
  <c r="A18660" i="1"/>
  <c r="B18660" i="1"/>
  <c r="A18661" i="1"/>
  <c r="B18661" i="1"/>
  <c r="A18662" i="1"/>
  <c r="B18662" i="1"/>
  <c r="A18663" i="1"/>
  <c r="B18663" i="1"/>
  <c r="A18664" i="1"/>
  <c r="B18664" i="1"/>
  <c r="A18665" i="1"/>
  <c r="B18665" i="1"/>
  <c r="A18666" i="1"/>
  <c r="B18666" i="1"/>
  <c r="A18667" i="1"/>
  <c r="B18667" i="1"/>
  <c r="A18668" i="1"/>
  <c r="B18668" i="1"/>
  <c r="A18669" i="1"/>
  <c r="B18669" i="1"/>
  <c r="A18670" i="1"/>
  <c r="B18670" i="1"/>
  <c r="A18671" i="1"/>
  <c r="B18671" i="1"/>
  <c r="A18672" i="1"/>
  <c r="B18672" i="1"/>
  <c r="A18673" i="1"/>
  <c r="B18673" i="1"/>
  <c r="A18674" i="1"/>
  <c r="B18674" i="1"/>
  <c r="A18675" i="1"/>
  <c r="B18675" i="1"/>
  <c r="A18676" i="1"/>
  <c r="B18676" i="1"/>
  <c r="A18677" i="1"/>
  <c r="B18677" i="1"/>
  <c r="A18678" i="1"/>
  <c r="B18678" i="1"/>
  <c r="A18679" i="1"/>
  <c r="B18679" i="1"/>
  <c r="A18680" i="1"/>
  <c r="B18680" i="1"/>
  <c r="A18681" i="1"/>
  <c r="B18681" i="1"/>
  <c r="A18682" i="1"/>
  <c r="B18682" i="1"/>
  <c r="A18683" i="1"/>
  <c r="B18683" i="1"/>
  <c r="A18684" i="1"/>
  <c r="B18684" i="1"/>
  <c r="A18685" i="1"/>
  <c r="B18685" i="1"/>
  <c r="A18686" i="1"/>
  <c r="B18686" i="1"/>
  <c r="A18687" i="1"/>
  <c r="B18687" i="1"/>
  <c r="A18688" i="1"/>
  <c r="B18688" i="1"/>
  <c r="A18689" i="1"/>
  <c r="B18689" i="1"/>
  <c r="A18690" i="1"/>
  <c r="B18690" i="1"/>
  <c r="A18691" i="1"/>
  <c r="B18691" i="1"/>
  <c r="A18692" i="1"/>
  <c r="B18692" i="1"/>
  <c r="A18693" i="1"/>
  <c r="B18693" i="1"/>
  <c r="A18694" i="1"/>
  <c r="B18694" i="1"/>
  <c r="A18695" i="1"/>
  <c r="B18695" i="1"/>
  <c r="A18696" i="1"/>
  <c r="B18696" i="1"/>
  <c r="A18697" i="1"/>
  <c r="B18697" i="1"/>
  <c r="A18698" i="1"/>
  <c r="B18698" i="1"/>
  <c r="A18699" i="1"/>
  <c r="B18699" i="1"/>
  <c r="A18700" i="1"/>
  <c r="B18700" i="1"/>
  <c r="A18701" i="1"/>
  <c r="B18701" i="1"/>
  <c r="A18702" i="1"/>
  <c r="B18702" i="1"/>
  <c r="A18703" i="1"/>
  <c r="B18703" i="1"/>
  <c r="A18704" i="1"/>
  <c r="B18704" i="1"/>
  <c r="A18705" i="1"/>
  <c r="B18705" i="1"/>
  <c r="A18706" i="1"/>
  <c r="B18706" i="1"/>
  <c r="A18707" i="1"/>
  <c r="B18707" i="1"/>
  <c r="A18708" i="1"/>
  <c r="B18708" i="1"/>
  <c r="A18709" i="1"/>
  <c r="B18709" i="1"/>
  <c r="A18710" i="1"/>
  <c r="B18710" i="1"/>
  <c r="A18711" i="1"/>
  <c r="B18711" i="1"/>
  <c r="A18712" i="1"/>
  <c r="B18712" i="1"/>
  <c r="A18713" i="1"/>
  <c r="B18713" i="1"/>
  <c r="A18714" i="1"/>
  <c r="B18714" i="1"/>
  <c r="A18715" i="1"/>
  <c r="B18715" i="1"/>
  <c r="A18716" i="1"/>
  <c r="B18716" i="1"/>
  <c r="A18717" i="1"/>
  <c r="B18717" i="1"/>
  <c r="A18718" i="1"/>
  <c r="B18718" i="1"/>
  <c r="A18719" i="1"/>
  <c r="B18719" i="1"/>
  <c r="A18720" i="1"/>
  <c r="B18720" i="1"/>
  <c r="A18721" i="1"/>
  <c r="B18721" i="1"/>
  <c r="A18722" i="1"/>
  <c r="B18722" i="1"/>
  <c r="A18723" i="1"/>
  <c r="B18723" i="1"/>
  <c r="A18724" i="1"/>
  <c r="B18724" i="1"/>
  <c r="A18725" i="1"/>
  <c r="B18725" i="1"/>
  <c r="A18726" i="1"/>
  <c r="B18726" i="1"/>
  <c r="A18727" i="1"/>
  <c r="B18727" i="1"/>
  <c r="A18728" i="1"/>
  <c r="B18728" i="1"/>
  <c r="A18729" i="1"/>
  <c r="B18729" i="1"/>
  <c r="A18730" i="1"/>
  <c r="B18730" i="1"/>
  <c r="A18731" i="1"/>
  <c r="B18731" i="1"/>
  <c r="A18732" i="1"/>
  <c r="B18732" i="1"/>
  <c r="A18733" i="1"/>
  <c r="B18733" i="1"/>
  <c r="A18734" i="1"/>
  <c r="B18734" i="1"/>
  <c r="A18735" i="1"/>
  <c r="B18735" i="1"/>
  <c r="A18736" i="1"/>
  <c r="B18736" i="1"/>
  <c r="A18737" i="1"/>
  <c r="B18737" i="1"/>
  <c r="A18738" i="1"/>
  <c r="B18738" i="1"/>
  <c r="A18739" i="1"/>
  <c r="B18739" i="1"/>
  <c r="A18740" i="1"/>
  <c r="B18740" i="1"/>
  <c r="A18741" i="1"/>
  <c r="B18741" i="1"/>
  <c r="A18742" i="1"/>
  <c r="B18742" i="1"/>
  <c r="A18743" i="1"/>
  <c r="B18743" i="1"/>
  <c r="A18744" i="1"/>
  <c r="B18744" i="1"/>
  <c r="A18745" i="1"/>
  <c r="B18745" i="1"/>
  <c r="A18746" i="1"/>
  <c r="B18746" i="1"/>
  <c r="A18747" i="1"/>
  <c r="B18747" i="1"/>
  <c r="A18748" i="1"/>
  <c r="B18748" i="1"/>
  <c r="A18749" i="1"/>
  <c r="B18749" i="1"/>
  <c r="A18750" i="1"/>
  <c r="B18750" i="1"/>
  <c r="A18751" i="1"/>
  <c r="B18751" i="1"/>
  <c r="A18752" i="1"/>
  <c r="B18752" i="1"/>
  <c r="A18753" i="1"/>
  <c r="B18753" i="1"/>
  <c r="A18754" i="1"/>
  <c r="B18754" i="1"/>
  <c r="A18755" i="1"/>
  <c r="B18755" i="1"/>
  <c r="A18756" i="1"/>
  <c r="B18756" i="1"/>
  <c r="A18757" i="1"/>
  <c r="B18757" i="1"/>
  <c r="A18758" i="1"/>
  <c r="B18758" i="1"/>
  <c r="A18759" i="1"/>
  <c r="B18759" i="1"/>
  <c r="A18760" i="1"/>
  <c r="B18760" i="1"/>
  <c r="A18761" i="1"/>
  <c r="B18761" i="1"/>
  <c r="A18762" i="1"/>
  <c r="B18762" i="1"/>
  <c r="A18763" i="1"/>
  <c r="B18763" i="1"/>
  <c r="A18764" i="1"/>
  <c r="B18764" i="1"/>
  <c r="A18765" i="1"/>
  <c r="B18765" i="1"/>
  <c r="A18766" i="1"/>
  <c r="B18766" i="1"/>
  <c r="A18767" i="1"/>
  <c r="B18767" i="1"/>
  <c r="A18768" i="1"/>
  <c r="B18768" i="1"/>
  <c r="A18769" i="1"/>
  <c r="B18769" i="1"/>
  <c r="A18770" i="1"/>
  <c r="B18770" i="1"/>
  <c r="A18771" i="1"/>
  <c r="B18771" i="1"/>
  <c r="A18772" i="1"/>
  <c r="B18772" i="1"/>
  <c r="A18773" i="1"/>
  <c r="B18773" i="1"/>
  <c r="A18774" i="1"/>
  <c r="B18774" i="1"/>
  <c r="A18775" i="1"/>
  <c r="B18775" i="1"/>
  <c r="A18776" i="1"/>
  <c r="B18776" i="1"/>
  <c r="A18777" i="1"/>
  <c r="B18777" i="1"/>
  <c r="A18778" i="1"/>
  <c r="B18778" i="1"/>
  <c r="A18779" i="1"/>
  <c r="B18779" i="1"/>
  <c r="A18780" i="1"/>
  <c r="B18780" i="1"/>
  <c r="A18781" i="1"/>
  <c r="B18781" i="1"/>
  <c r="A18782" i="1"/>
  <c r="B18782" i="1"/>
  <c r="A18783" i="1"/>
  <c r="B18783" i="1"/>
  <c r="A18784" i="1"/>
  <c r="B18784" i="1"/>
  <c r="A18785" i="1"/>
  <c r="B18785" i="1"/>
  <c r="A18786" i="1"/>
  <c r="B18786" i="1"/>
  <c r="A18787" i="1"/>
  <c r="B18787" i="1"/>
  <c r="A18788" i="1"/>
  <c r="B18788" i="1"/>
  <c r="A18789" i="1"/>
  <c r="B18789" i="1"/>
  <c r="A18790" i="1"/>
  <c r="B18790" i="1"/>
  <c r="A18791" i="1"/>
  <c r="B18791" i="1"/>
  <c r="A18792" i="1"/>
  <c r="B18792" i="1"/>
  <c r="A18793" i="1"/>
  <c r="B18793" i="1"/>
  <c r="A18794" i="1"/>
  <c r="B18794" i="1"/>
  <c r="A18795" i="1"/>
  <c r="B18795" i="1"/>
  <c r="A18796" i="1"/>
  <c r="B18796" i="1"/>
  <c r="A18797" i="1"/>
  <c r="B18797" i="1"/>
  <c r="A18798" i="1"/>
  <c r="B18798" i="1"/>
  <c r="A18799" i="1"/>
  <c r="B18799" i="1"/>
  <c r="A18800" i="1"/>
  <c r="B18800" i="1"/>
  <c r="A18801" i="1"/>
  <c r="B18801" i="1"/>
  <c r="A18802" i="1"/>
  <c r="B18802" i="1"/>
  <c r="A18803" i="1"/>
  <c r="B18803" i="1"/>
  <c r="A18804" i="1"/>
  <c r="B18804" i="1"/>
  <c r="A18805" i="1"/>
  <c r="B18805" i="1"/>
  <c r="A18806" i="1"/>
  <c r="B18806" i="1"/>
  <c r="A18807" i="1"/>
  <c r="B18807" i="1"/>
  <c r="A18808" i="1"/>
  <c r="B18808" i="1"/>
  <c r="A18809" i="1"/>
  <c r="B18809" i="1"/>
  <c r="A18810" i="1"/>
  <c r="B18810" i="1"/>
  <c r="A18811" i="1"/>
  <c r="B18811" i="1"/>
  <c r="A18812" i="1"/>
  <c r="B18812" i="1"/>
  <c r="A18813" i="1"/>
  <c r="B18813" i="1"/>
  <c r="A18814" i="1"/>
  <c r="B18814" i="1"/>
  <c r="A18815" i="1"/>
  <c r="B18815" i="1"/>
  <c r="A18816" i="1"/>
  <c r="B18816" i="1"/>
  <c r="A18817" i="1"/>
  <c r="B18817" i="1"/>
  <c r="A18818" i="1"/>
  <c r="B18818" i="1"/>
  <c r="A18819" i="1"/>
  <c r="B18819" i="1"/>
  <c r="A18820" i="1"/>
  <c r="B18820" i="1"/>
  <c r="A18821" i="1"/>
  <c r="B18821" i="1"/>
  <c r="A18822" i="1"/>
  <c r="B18822" i="1"/>
  <c r="A18823" i="1"/>
  <c r="B18823" i="1"/>
  <c r="A18824" i="1"/>
  <c r="B18824" i="1"/>
  <c r="A18825" i="1"/>
  <c r="B18825" i="1"/>
  <c r="A18826" i="1"/>
  <c r="B18826" i="1"/>
  <c r="A18827" i="1"/>
  <c r="B18827" i="1"/>
  <c r="A18828" i="1"/>
  <c r="B18828" i="1"/>
  <c r="A18829" i="1"/>
  <c r="B18829" i="1"/>
  <c r="A18830" i="1"/>
  <c r="B18830" i="1"/>
  <c r="A18831" i="1"/>
  <c r="B18831" i="1"/>
  <c r="A18832" i="1"/>
  <c r="B18832" i="1"/>
  <c r="A18833" i="1"/>
  <c r="B18833" i="1"/>
  <c r="A18834" i="1"/>
  <c r="B18834" i="1"/>
  <c r="A18835" i="1"/>
  <c r="B18835" i="1"/>
  <c r="A18836" i="1"/>
  <c r="B18836" i="1"/>
  <c r="A18837" i="1"/>
  <c r="B18837" i="1"/>
  <c r="A18838" i="1"/>
  <c r="B18838" i="1"/>
  <c r="A18839" i="1"/>
  <c r="B18839" i="1"/>
  <c r="A18840" i="1"/>
  <c r="B18840" i="1"/>
  <c r="A18841" i="1"/>
  <c r="B18841" i="1"/>
  <c r="A18842" i="1"/>
  <c r="B18842" i="1"/>
  <c r="A18843" i="1"/>
  <c r="B18843" i="1"/>
  <c r="A18844" i="1"/>
  <c r="B18844" i="1"/>
  <c r="A18845" i="1"/>
  <c r="B18845" i="1"/>
  <c r="A18846" i="1"/>
  <c r="B18846" i="1"/>
  <c r="A18847" i="1"/>
  <c r="B18847" i="1"/>
  <c r="A18848" i="1"/>
  <c r="B18848" i="1"/>
  <c r="A18849" i="1"/>
  <c r="B18849" i="1"/>
  <c r="A18850" i="1"/>
  <c r="B18850" i="1"/>
  <c r="A18851" i="1"/>
  <c r="B18851" i="1"/>
  <c r="A18852" i="1"/>
  <c r="B18852" i="1"/>
  <c r="A18853" i="1"/>
  <c r="B18853" i="1"/>
  <c r="A18854" i="1"/>
  <c r="B18854" i="1"/>
  <c r="A18855" i="1"/>
  <c r="B18855" i="1"/>
  <c r="A18856" i="1"/>
  <c r="B18856" i="1"/>
  <c r="A18857" i="1"/>
  <c r="B18857" i="1"/>
  <c r="A18858" i="1"/>
  <c r="B18858" i="1"/>
  <c r="A18859" i="1"/>
  <c r="B18859" i="1"/>
  <c r="A18860" i="1"/>
  <c r="B18860" i="1"/>
  <c r="A18861" i="1"/>
  <c r="B18861" i="1"/>
  <c r="A18862" i="1"/>
  <c r="B18862" i="1"/>
  <c r="A18863" i="1"/>
  <c r="B18863" i="1"/>
  <c r="A18864" i="1"/>
  <c r="B18864" i="1"/>
  <c r="A18865" i="1"/>
  <c r="B18865" i="1"/>
  <c r="A18866" i="1"/>
  <c r="B18866" i="1"/>
  <c r="A18867" i="1"/>
  <c r="B18867" i="1"/>
  <c r="A18868" i="1"/>
  <c r="B18868" i="1"/>
  <c r="A18869" i="1"/>
  <c r="B18869" i="1"/>
  <c r="A18870" i="1"/>
  <c r="B18870" i="1"/>
  <c r="A18871" i="1"/>
  <c r="B18871" i="1"/>
  <c r="A18872" i="1"/>
  <c r="B18872" i="1"/>
  <c r="A18873" i="1"/>
  <c r="B18873" i="1"/>
  <c r="A18874" i="1"/>
  <c r="B18874" i="1"/>
  <c r="A18875" i="1"/>
  <c r="B18875" i="1"/>
  <c r="A18876" i="1"/>
  <c r="B18876" i="1"/>
  <c r="A18877" i="1"/>
  <c r="B18877" i="1"/>
  <c r="A18878" i="1"/>
  <c r="B18878" i="1"/>
  <c r="A18879" i="1"/>
  <c r="B18879" i="1"/>
  <c r="A18880" i="1"/>
  <c r="B18880" i="1"/>
  <c r="A18881" i="1"/>
  <c r="B18881" i="1"/>
  <c r="A18882" i="1"/>
  <c r="B18882" i="1"/>
  <c r="A18883" i="1"/>
  <c r="B18883" i="1"/>
  <c r="A18884" i="1"/>
  <c r="B18884" i="1"/>
  <c r="A18885" i="1"/>
  <c r="B18885" i="1"/>
  <c r="A18886" i="1"/>
  <c r="B18886" i="1"/>
  <c r="A18887" i="1"/>
  <c r="B18887" i="1"/>
  <c r="A18888" i="1"/>
  <c r="B18888" i="1"/>
  <c r="A18889" i="1"/>
  <c r="B18889" i="1"/>
  <c r="A18890" i="1"/>
  <c r="B18890" i="1"/>
  <c r="A18891" i="1"/>
  <c r="B18891" i="1"/>
  <c r="A18892" i="1"/>
  <c r="B18892" i="1"/>
  <c r="A18893" i="1"/>
  <c r="B18893" i="1"/>
  <c r="A18894" i="1"/>
  <c r="B18894" i="1"/>
  <c r="A18895" i="1"/>
  <c r="B18895" i="1"/>
  <c r="A18896" i="1"/>
  <c r="B18896" i="1"/>
  <c r="A18897" i="1"/>
  <c r="B18897" i="1"/>
  <c r="A18898" i="1"/>
  <c r="B18898" i="1"/>
  <c r="A18899" i="1"/>
  <c r="B18899" i="1"/>
  <c r="A18900" i="1"/>
  <c r="B18900" i="1"/>
  <c r="A18901" i="1"/>
  <c r="B18901" i="1"/>
  <c r="A18902" i="1"/>
  <c r="B18902" i="1"/>
  <c r="A18903" i="1"/>
  <c r="B18903" i="1"/>
  <c r="A18904" i="1"/>
  <c r="B18904" i="1"/>
  <c r="A18905" i="1"/>
  <c r="B18905" i="1"/>
  <c r="A18906" i="1"/>
  <c r="B18906" i="1"/>
  <c r="A18907" i="1"/>
  <c r="B18907" i="1"/>
  <c r="A18908" i="1"/>
  <c r="B18908" i="1"/>
  <c r="A18909" i="1"/>
  <c r="B18909" i="1"/>
  <c r="A18910" i="1"/>
  <c r="B18910" i="1"/>
  <c r="A18911" i="1"/>
  <c r="B18911" i="1"/>
  <c r="A18912" i="1"/>
  <c r="B18912" i="1"/>
  <c r="A18913" i="1"/>
  <c r="B18913" i="1"/>
  <c r="A18914" i="1"/>
  <c r="B18914" i="1"/>
  <c r="A18915" i="1"/>
  <c r="B18915" i="1"/>
  <c r="A18916" i="1"/>
  <c r="B18916" i="1"/>
  <c r="A18917" i="1"/>
  <c r="B18917" i="1"/>
  <c r="A18918" i="1"/>
  <c r="B18918" i="1"/>
  <c r="A18919" i="1"/>
  <c r="B18919" i="1"/>
  <c r="A18920" i="1"/>
  <c r="B18920" i="1"/>
  <c r="A18921" i="1"/>
  <c r="B18921" i="1"/>
  <c r="A18922" i="1"/>
  <c r="B18922" i="1"/>
  <c r="A18923" i="1"/>
  <c r="B18923" i="1"/>
  <c r="A18924" i="1"/>
  <c r="B18924" i="1"/>
  <c r="A18925" i="1"/>
  <c r="B18925" i="1"/>
  <c r="A18926" i="1"/>
  <c r="B18926" i="1"/>
  <c r="A18927" i="1"/>
  <c r="B18927" i="1"/>
  <c r="A18928" i="1"/>
  <c r="B18928" i="1"/>
  <c r="A18929" i="1"/>
  <c r="B18929" i="1"/>
  <c r="A18930" i="1"/>
  <c r="B18930" i="1"/>
  <c r="A18931" i="1"/>
  <c r="B18931" i="1"/>
  <c r="A18932" i="1"/>
  <c r="B18932" i="1"/>
  <c r="A18933" i="1"/>
  <c r="B18933" i="1"/>
  <c r="A18934" i="1"/>
  <c r="B18934" i="1"/>
  <c r="A18935" i="1"/>
  <c r="B18935" i="1"/>
  <c r="A18936" i="1"/>
  <c r="B18936" i="1"/>
  <c r="A18937" i="1"/>
  <c r="B18937" i="1"/>
  <c r="A18938" i="1"/>
  <c r="B18938" i="1"/>
  <c r="A18939" i="1"/>
  <c r="B18939" i="1"/>
  <c r="A18940" i="1"/>
  <c r="B18940" i="1"/>
  <c r="A18941" i="1"/>
  <c r="B18941" i="1"/>
  <c r="A18942" i="1"/>
  <c r="B18942" i="1"/>
  <c r="A18943" i="1"/>
  <c r="B18943" i="1"/>
  <c r="A18944" i="1"/>
  <c r="B18944" i="1"/>
  <c r="A18945" i="1"/>
  <c r="B18945" i="1"/>
  <c r="A18946" i="1"/>
  <c r="B18946" i="1"/>
  <c r="A18947" i="1"/>
  <c r="B18947" i="1"/>
  <c r="A18948" i="1"/>
  <c r="B18948" i="1"/>
  <c r="A18949" i="1"/>
  <c r="B18949" i="1"/>
  <c r="A18950" i="1"/>
  <c r="B18950" i="1"/>
  <c r="A18951" i="1"/>
  <c r="B18951" i="1"/>
  <c r="A18952" i="1"/>
  <c r="B18952" i="1"/>
  <c r="A18953" i="1"/>
  <c r="B18953" i="1"/>
  <c r="A18954" i="1"/>
  <c r="B18954" i="1"/>
  <c r="A18955" i="1"/>
  <c r="B18955" i="1"/>
  <c r="A18956" i="1"/>
  <c r="B18956" i="1"/>
  <c r="A18957" i="1"/>
  <c r="B18957" i="1"/>
  <c r="A18958" i="1"/>
  <c r="B18958" i="1"/>
  <c r="A18959" i="1"/>
  <c r="B18959" i="1"/>
  <c r="A18960" i="1"/>
  <c r="B18960" i="1"/>
  <c r="A18961" i="1"/>
  <c r="B18961" i="1"/>
  <c r="A18962" i="1"/>
  <c r="B18962" i="1"/>
  <c r="A18963" i="1"/>
  <c r="B18963" i="1"/>
  <c r="A18964" i="1"/>
  <c r="B18964" i="1"/>
  <c r="A18965" i="1"/>
  <c r="B18965" i="1"/>
  <c r="A18966" i="1"/>
  <c r="B18966" i="1"/>
  <c r="A18967" i="1"/>
  <c r="B18967" i="1"/>
  <c r="A18968" i="1"/>
  <c r="B18968" i="1"/>
  <c r="A18969" i="1"/>
  <c r="B18969" i="1"/>
  <c r="A18970" i="1"/>
  <c r="B18970" i="1"/>
  <c r="A18971" i="1"/>
  <c r="B18971" i="1"/>
  <c r="A18972" i="1"/>
  <c r="B18972" i="1"/>
  <c r="A18973" i="1"/>
  <c r="B18973" i="1"/>
  <c r="A18974" i="1"/>
  <c r="B18974" i="1"/>
  <c r="A18975" i="1"/>
  <c r="B18975" i="1"/>
  <c r="A18976" i="1"/>
  <c r="B18976" i="1"/>
  <c r="A18977" i="1"/>
  <c r="B18977" i="1"/>
  <c r="A18978" i="1"/>
  <c r="B18978" i="1"/>
  <c r="A18979" i="1"/>
  <c r="B18979" i="1"/>
  <c r="A18980" i="1"/>
  <c r="B18980" i="1"/>
  <c r="A18981" i="1"/>
  <c r="B18981" i="1"/>
  <c r="A18982" i="1"/>
  <c r="B18982" i="1"/>
  <c r="A18983" i="1"/>
  <c r="B18983" i="1"/>
  <c r="A18984" i="1"/>
  <c r="B18984" i="1"/>
  <c r="A18985" i="1"/>
  <c r="B18985" i="1"/>
  <c r="A18986" i="1"/>
  <c r="B18986" i="1"/>
  <c r="A18987" i="1"/>
  <c r="B18987" i="1"/>
  <c r="A18988" i="1"/>
  <c r="B18988" i="1"/>
  <c r="A18989" i="1"/>
  <c r="B18989" i="1"/>
  <c r="A18990" i="1"/>
  <c r="B18990" i="1"/>
  <c r="A18991" i="1"/>
  <c r="B18991" i="1"/>
  <c r="A18992" i="1"/>
  <c r="B18992" i="1"/>
  <c r="A18993" i="1"/>
  <c r="B18993" i="1"/>
  <c r="A18994" i="1"/>
  <c r="B18994" i="1"/>
  <c r="A18995" i="1"/>
  <c r="B18995" i="1"/>
  <c r="A18996" i="1"/>
  <c r="B18996" i="1"/>
  <c r="A18997" i="1"/>
  <c r="B18997" i="1"/>
  <c r="A18998" i="1"/>
  <c r="B18998" i="1"/>
  <c r="A18999" i="1"/>
  <c r="B18999" i="1"/>
  <c r="A19000" i="1"/>
  <c r="B19000" i="1"/>
  <c r="A19001" i="1"/>
  <c r="B19001" i="1"/>
  <c r="A19002" i="1"/>
  <c r="B19002" i="1"/>
  <c r="A19003" i="1"/>
  <c r="B19003" i="1"/>
  <c r="A19004" i="1"/>
  <c r="B19004" i="1"/>
  <c r="A19005" i="1"/>
  <c r="B19005" i="1"/>
  <c r="A19006" i="1"/>
  <c r="B19006" i="1"/>
  <c r="A19007" i="1"/>
  <c r="B19007" i="1"/>
  <c r="A19008" i="1"/>
  <c r="B19008" i="1"/>
  <c r="A19009" i="1"/>
  <c r="B19009" i="1"/>
  <c r="A19010" i="1"/>
  <c r="B19010" i="1"/>
  <c r="A19011" i="1"/>
  <c r="B19011" i="1"/>
  <c r="A19012" i="1"/>
  <c r="B19012" i="1"/>
  <c r="A19013" i="1"/>
  <c r="B19013" i="1"/>
  <c r="A19014" i="1"/>
  <c r="B19014" i="1"/>
  <c r="A19015" i="1"/>
  <c r="B19015" i="1"/>
  <c r="A19016" i="1"/>
  <c r="B19016" i="1"/>
  <c r="A19017" i="1"/>
  <c r="B19017" i="1"/>
  <c r="A19018" i="1"/>
  <c r="B19018" i="1"/>
  <c r="A19019" i="1"/>
  <c r="B19019" i="1"/>
  <c r="A19020" i="1"/>
  <c r="B19020" i="1"/>
  <c r="A19021" i="1"/>
  <c r="B19021" i="1"/>
  <c r="A19022" i="1"/>
  <c r="B19022" i="1"/>
  <c r="A19023" i="1"/>
  <c r="B19023" i="1"/>
  <c r="A19024" i="1"/>
  <c r="B19024" i="1"/>
  <c r="A19025" i="1"/>
  <c r="B19025" i="1"/>
  <c r="A19026" i="1"/>
  <c r="B19026" i="1"/>
  <c r="A19027" i="1"/>
  <c r="B19027" i="1"/>
  <c r="A19028" i="1"/>
  <c r="B19028" i="1"/>
  <c r="A19029" i="1"/>
  <c r="B19029" i="1"/>
  <c r="A19030" i="1"/>
  <c r="B19030" i="1"/>
  <c r="A19031" i="1"/>
  <c r="B19031" i="1"/>
  <c r="A19032" i="1"/>
  <c r="B19032" i="1"/>
  <c r="A19033" i="1"/>
  <c r="B19033" i="1"/>
  <c r="A19034" i="1"/>
  <c r="B19034" i="1"/>
  <c r="A19035" i="1"/>
  <c r="B19035" i="1"/>
  <c r="A19036" i="1"/>
  <c r="B19036" i="1"/>
  <c r="A19037" i="1"/>
  <c r="B19037" i="1"/>
  <c r="A19038" i="1"/>
  <c r="B19038" i="1"/>
  <c r="A19039" i="1"/>
  <c r="B19039" i="1"/>
  <c r="A19040" i="1"/>
  <c r="B19040" i="1"/>
  <c r="A19041" i="1"/>
  <c r="B19041" i="1"/>
  <c r="A19042" i="1"/>
  <c r="B19042" i="1"/>
  <c r="A19043" i="1"/>
  <c r="B19043" i="1"/>
  <c r="A19044" i="1"/>
  <c r="B19044" i="1"/>
  <c r="A19045" i="1"/>
  <c r="B19045" i="1"/>
  <c r="A19046" i="1"/>
  <c r="B19046" i="1"/>
  <c r="A19047" i="1"/>
  <c r="B19047" i="1"/>
  <c r="A19048" i="1"/>
  <c r="B19048" i="1"/>
  <c r="A19049" i="1"/>
  <c r="B19049" i="1"/>
  <c r="A19050" i="1"/>
  <c r="B19050" i="1"/>
  <c r="A19051" i="1"/>
  <c r="B19051" i="1"/>
  <c r="A19052" i="1"/>
  <c r="B19052" i="1"/>
  <c r="A19053" i="1"/>
  <c r="B19053" i="1"/>
  <c r="A19054" i="1"/>
  <c r="B19054" i="1"/>
  <c r="A19055" i="1"/>
  <c r="B19055" i="1"/>
  <c r="A19056" i="1"/>
  <c r="B19056" i="1"/>
  <c r="A19057" i="1"/>
  <c r="B19057" i="1"/>
  <c r="A19058" i="1"/>
  <c r="B19058" i="1"/>
  <c r="A19059" i="1"/>
  <c r="B19059" i="1"/>
  <c r="A19060" i="1"/>
  <c r="B19060" i="1"/>
  <c r="A19061" i="1"/>
  <c r="B19061" i="1"/>
  <c r="A19062" i="1"/>
  <c r="B19062" i="1"/>
  <c r="A19063" i="1"/>
  <c r="B19063" i="1"/>
  <c r="A19064" i="1"/>
  <c r="B19064" i="1"/>
  <c r="A19065" i="1"/>
  <c r="B19065" i="1"/>
  <c r="A19066" i="1"/>
  <c r="B19066" i="1"/>
  <c r="A19067" i="1"/>
  <c r="B19067" i="1"/>
  <c r="A19068" i="1"/>
  <c r="B19068" i="1"/>
  <c r="A19069" i="1"/>
  <c r="B19069" i="1"/>
  <c r="A19070" i="1"/>
  <c r="B19070" i="1"/>
  <c r="A19071" i="1"/>
  <c r="B19071" i="1"/>
  <c r="A19072" i="1"/>
  <c r="B19072" i="1"/>
  <c r="A19073" i="1"/>
  <c r="B19073" i="1"/>
  <c r="A19074" i="1"/>
  <c r="B19074" i="1"/>
  <c r="A19075" i="1"/>
  <c r="B19075" i="1"/>
  <c r="A19076" i="1"/>
  <c r="B19076" i="1"/>
  <c r="A19077" i="1"/>
  <c r="B19077" i="1"/>
  <c r="A19078" i="1"/>
  <c r="B19078" i="1"/>
  <c r="A19079" i="1"/>
  <c r="B19079" i="1"/>
  <c r="A19080" i="1"/>
  <c r="B19080" i="1"/>
  <c r="A19081" i="1"/>
  <c r="B19081" i="1"/>
  <c r="A19082" i="1"/>
  <c r="B19082" i="1"/>
  <c r="A19083" i="1"/>
  <c r="B19083" i="1"/>
  <c r="A19084" i="1"/>
  <c r="B19084" i="1"/>
  <c r="A19085" i="1"/>
  <c r="B19085" i="1"/>
  <c r="A19086" i="1"/>
  <c r="B19086" i="1"/>
  <c r="A19087" i="1"/>
  <c r="B19087" i="1"/>
  <c r="A19088" i="1"/>
  <c r="B19088" i="1"/>
  <c r="A19089" i="1"/>
  <c r="B19089" i="1"/>
  <c r="A19090" i="1"/>
  <c r="B19090" i="1"/>
  <c r="A19091" i="1"/>
  <c r="B19091" i="1"/>
  <c r="A19092" i="1"/>
  <c r="B19092" i="1"/>
  <c r="A19093" i="1"/>
  <c r="B19093" i="1"/>
  <c r="A19094" i="1"/>
  <c r="B19094" i="1"/>
  <c r="A19095" i="1"/>
  <c r="B19095" i="1"/>
  <c r="A19096" i="1"/>
  <c r="B19096" i="1"/>
  <c r="A19097" i="1"/>
  <c r="B19097" i="1"/>
  <c r="A19098" i="1"/>
  <c r="B19098" i="1"/>
  <c r="A19099" i="1"/>
  <c r="B19099" i="1"/>
  <c r="A19100" i="1"/>
  <c r="B19100" i="1"/>
  <c r="A19101" i="1"/>
  <c r="B19101" i="1"/>
  <c r="A19102" i="1"/>
  <c r="B19102" i="1"/>
  <c r="A19103" i="1"/>
  <c r="B19103" i="1"/>
  <c r="A19104" i="1"/>
  <c r="B19104" i="1"/>
  <c r="A19105" i="1"/>
  <c r="B19105" i="1"/>
  <c r="A19106" i="1"/>
  <c r="B19106" i="1"/>
  <c r="A19107" i="1"/>
  <c r="B19107" i="1"/>
  <c r="A19108" i="1"/>
  <c r="B19108" i="1"/>
  <c r="A19109" i="1"/>
  <c r="B19109" i="1"/>
  <c r="A19110" i="1"/>
  <c r="B19110" i="1"/>
  <c r="A19111" i="1"/>
  <c r="B19111" i="1"/>
  <c r="A19112" i="1"/>
  <c r="B19112" i="1"/>
  <c r="A19113" i="1"/>
  <c r="B19113" i="1"/>
  <c r="A19114" i="1"/>
  <c r="B19114" i="1"/>
  <c r="A19115" i="1"/>
  <c r="B19115" i="1"/>
  <c r="A19116" i="1"/>
  <c r="B19116" i="1"/>
  <c r="A19117" i="1"/>
  <c r="B19117" i="1"/>
  <c r="A19118" i="1"/>
  <c r="B19118" i="1"/>
  <c r="A19119" i="1"/>
  <c r="B19119" i="1"/>
  <c r="A19120" i="1"/>
  <c r="B19120" i="1"/>
  <c r="A19121" i="1"/>
  <c r="B19121" i="1"/>
  <c r="A19122" i="1"/>
  <c r="B19122" i="1"/>
  <c r="A19123" i="1"/>
  <c r="B19123" i="1"/>
  <c r="A19124" i="1"/>
  <c r="B19124" i="1"/>
  <c r="A19125" i="1"/>
  <c r="B19125" i="1"/>
  <c r="A19126" i="1"/>
  <c r="B19126" i="1"/>
  <c r="A19127" i="1"/>
  <c r="B19127" i="1"/>
  <c r="A19128" i="1"/>
  <c r="B19128" i="1"/>
  <c r="A19129" i="1"/>
  <c r="B19129" i="1"/>
  <c r="A19130" i="1"/>
  <c r="B19130" i="1"/>
  <c r="A19131" i="1"/>
  <c r="B19131" i="1"/>
  <c r="A19132" i="1"/>
  <c r="B19132" i="1"/>
  <c r="A19133" i="1"/>
  <c r="B19133" i="1"/>
  <c r="A19134" i="1"/>
  <c r="B19134" i="1"/>
  <c r="A19135" i="1"/>
  <c r="B19135" i="1"/>
  <c r="A19136" i="1"/>
  <c r="B19136" i="1"/>
  <c r="A19137" i="1"/>
  <c r="B19137" i="1"/>
  <c r="A19138" i="1"/>
  <c r="B19138" i="1"/>
  <c r="A19139" i="1"/>
  <c r="B19139" i="1"/>
  <c r="A19140" i="1"/>
  <c r="B19140" i="1"/>
  <c r="A19141" i="1"/>
  <c r="B19141" i="1"/>
  <c r="A19142" i="1"/>
  <c r="B19142" i="1"/>
  <c r="A19143" i="1"/>
  <c r="B19143" i="1"/>
  <c r="A19144" i="1"/>
  <c r="B19144" i="1"/>
  <c r="A19145" i="1"/>
  <c r="B19145" i="1"/>
  <c r="A19146" i="1"/>
  <c r="B19146" i="1"/>
  <c r="A19147" i="1"/>
  <c r="B19147" i="1"/>
  <c r="A19148" i="1"/>
  <c r="B19148" i="1"/>
  <c r="A19149" i="1"/>
  <c r="B19149" i="1"/>
  <c r="A19150" i="1"/>
  <c r="B19150" i="1"/>
  <c r="A19151" i="1"/>
  <c r="B19151" i="1"/>
  <c r="A19152" i="1"/>
  <c r="B19152" i="1"/>
  <c r="A19153" i="1"/>
  <c r="B19153" i="1"/>
  <c r="A19154" i="1"/>
  <c r="B19154" i="1"/>
  <c r="A19155" i="1"/>
  <c r="B19155" i="1"/>
  <c r="A19156" i="1"/>
  <c r="B19156" i="1"/>
  <c r="A19157" i="1"/>
  <c r="B19157" i="1"/>
  <c r="A19158" i="1"/>
  <c r="B19158" i="1"/>
  <c r="A19159" i="1"/>
  <c r="B19159" i="1"/>
  <c r="A19160" i="1"/>
  <c r="B19160" i="1"/>
  <c r="A19161" i="1"/>
  <c r="B19161" i="1"/>
  <c r="A19162" i="1"/>
  <c r="B19162" i="1"/>
  <c r="A19163" i="1"/>
  <c r="B19163" i="1"/>
  <c r="A19164" i="1"/>
  <c r="B19164" i="1"/>
  <c r="A19165" i="1"/>
  <c r="B19165" i="1"/>
  <c r="A19166" i="1"/>
  <c r="B19166" i="1"/>
  <c r="A19167" i="1"/>
  <c r="B19167" i="1"/>
  <c r="A19168" i="1"/>
  <c r="B19168" i="1"/>
  <c r="A19169" i="1"/>
  <c r="B19169" i="1"/>
  <c r="A19170" i="1"/>
  <c r="B19170" i="1"/>
  <c r="A19171" i="1"/>
  <c r="B19171" i="1"/>
  <c r="A19172" i="1"/>
  <c r="B19172" i="1"/>
  <c r="A19173" i="1"/>
  <c r="B19173" i="1"/>
  <c r="A19174" i="1"/>
  <c r="B19174" i="1"/>
  <c r="A19175" i="1"/>
  <c r="B19175" i="1"/>
  <c r="A19176" i="1"/>
  <c r="B19176" i="1"/>
  <c r="A19177" i="1"/>
  <c r="B19177" i="1"/>
  <c r="A19178" i="1"/>
  <c r="B19178" i="1"/>
  <c r="A19179" i="1"/>
  <c r="B19179" i="1"/>
  <c r="A19180" i="1"/>
  <c r="B19180" i="1"/>
  <c r="A19181" i="1"/>
  <c r="B19181" i="1"/>
  <c r="A19182" i="1"/>
  <c r="B19182" i="1"/>
  <c r="A19183" i="1"/>
  <c r="B19183" i="1"/>
  <c r="A19184" i="1"/>
  <c r="B19184" i="1"/>
  <c r="A19185" i="1"/>
  <c r="B19185" i="1"/>
  <c r="A19186" i="1"/>
  <c r="B19186" i="1"/>
  <c r="A19187" i="1"/>
  <c r="B19187" i="1"/>
  <c r="A19188" i="1"/>
  <c r="B19188" i="1"/>
  <c r="A19189" i="1"/>
  <c r="B19189" i="1"/>
  <c r="A19190" i="1"/>
  <c r="B19190" i="1"/>
  <c r="A19191" i="1"/>
  <c r="B19191" i="1"/>
  <c r="A19192" i="1"/>
  <c r="B19192" i="1"/>
  <c r="A19193" i="1"/>
  <c r="B19193" i="1"/>
  <c r="A19194" i="1"/>
  <c r="B19194" i="1"/>
  <c r="A19195" i="1"/>
  <c r="B19195" i="1"/>
  <c r="A19196" i="1"/>
  <c r="B19196" i="1"/>
  <c r="A19197" i="1"/>
  <c r="B19197" i="1"/>
  <c r="A19198" i="1"/>
  <c r="B19198" i="1"/>
  <c r="A19199" i="1"/>
  <c r="B19199" i="1"/>
  <c r="A19200" i="1"/>
  <c r="B19200" i="1"/>
  <c r="A19201" i="1"/>
  <c r="B19201" i="1"/>
  <c r="A19202" i="1"/>
  <c r="B19202" i="1"/>
  <c r="A19203" i="1"/>
  <c r="B19203" i="1"/>
  <c r="A19204" i="1"/>
  <c r="B19204" i="1"/>
  <c r="A19205" i="1"/>
  <c r="B19205" i="1"/>
  <c r="A19206" i="1"/>
  <c r="B19206" i="1"/>
  <c r="A19207" i="1"/>
  <c r="B19207" i="1"/>
  <c r="A19208" i="1"/>
  <c r="B19208" i="1"/>
  <c r="A19209" i="1"/>
  <c r="B19209" i="1"/>
  <c r="A19210" i="1"/>
  <c r="B19210" i="1"/>
  <c r="A19211" i="1"/>
  <c r="B19211" i="1"/>
  <c r="A19212" i="1"/>
  <c r="B19212" i="1"/>
  <c r="A19213" i="1"/>
  <c r="B19213" i="1"/>
  <c r="A19214" i="1"/>
  <c r="B19214" i="1"/>
  <c r="A19215" i="1"/>
  <c r="B19215" i="1"/>
  <c r="A19216" i="1"/>
  <c r="B19216" i="1"/>
  <c r="A19217" i="1"/>
  <c r="B19217" i="1"/>
  <c r="A19218" i="1"/>
  <c r="B19218" i="1"/>
  <c r="A19219" i="1"/>
  <c r="B19219" i="1"/>
  <c r="A19220" i="1"/>
  <c r="B19220" i="1"/>
  <c r="A19221" i="1"/>
  <c r="B19221" i="1"/>
  <c r="A19222" i="1"/>
  <c r="B19222" i="1"/>
  <c r="A19223" i="1"/>
  <c r="B19223" i="1"/>
  <c r="A19224" i="1"/>
  <c r="B19224" i="1"/>
  <c r="A19225" i="1"/>
  <c r="B19225" i="1"/>
  <c r="A19226" i="1"/>
  <c r="B19226" i="1"/>
  <c r="A19227" i="1"/>
  <c r="B19227" i="1"/>
  <c r="A19228" i="1"/>
  <c r="B19228" i="1"/>
  <c r="A19229" i="1"/>
  <c r="B19229" i="1"/>
  <c r="A19230" i="1"/>
  <c r="B19230" i="1"/>
  <c r="A19231" i="1"/>
  <c r="B19231" i="1"/>
  <c r="A19232" i="1"/>
  <c r="B19232" i="1"/>
  <c r="A19233" i="1"/>
  <c r="B19233" i="1"/>
  <c r="A19234" i="1"/>
  <c r="B19234" i="1"/>
  <c r="A19235" i="1"/>
  <c r="B19235" i="1"/>
  <c r="A19236" i="1"/>
  <c r="B19236" i="1"/>
  <c r="A19237" i="1"/>
  <c r="B19237" i="1"/>
  <c r="A19238" i="1"/>
  <c r="B19238" i="1"/>
  <c r="A19239" i="1"/>
  <c r="B19239" i="1"/>
  <c r="A19240" i="1"/>
  <c r="B19240" i="1"/>
  <c r="A19241" i="1"/>
  <c r="B19241" i="1"/>
  <c r="A19242" i="1"/>
  <c r="B19242" i="1"/>
  <c r="A19243" i="1"/>
  <c r="B19243" i="1"/>
  <c r="A19244" i="1"/>
  <c r="B19244" i="1"/>
  <c r="A19245" i="1"/>
  <c r="B19245" i="1"/>
  <c r="A19246" i="1"/>
  <c r="B19246" i="1"/>
  <c r="A19247" i="1"/>
  <c r="B19247" i="1"/>
  <c r="A19248" i="1"/>
  <c r="B19248" i="1"/>
  <c r="A19249" i="1"/>
  <c r="B19249" i="1"/>
  <c r="A19250" i="1"/>
  <c r="B19250" i="1"/>
  <c r="A19251" i="1"/>
  <c r="B19251" i="1"/>
  <c r="A19252" i="1"/>
  <c r="B19252" i="1"/>
  <c r="A19253" i="1"/>
  <c r="B19253" i="1"/>
  <c r="A19254" i="1"/>
  <c r="B19254" i="1"/>
  <c r="A19255" i="1"/>
  <c r="B19255" i="1"/>
  <c r="A19256" i="1"/>
  <c r="B19256" i="1"/>
  <c r="A19257" i="1"/>
  <c r="B19257" i="1"/>
  <c r="A19258" i="1"/>
  <c r="B19258" i="1"/>
  <c r="A19259" i="1"/>
  <c r="B19259" i="1"/>
  <c r="A19260" i="1"/>
  <c r="B19260" i="1"/>
  <c r="A19261" i="1"/>
  <c r="B19261" i="1"/>
  <c r="A19262" i="1"/>
  <c r="B19262" i="1"/>
  <c r="A19263" i="1"/>
  <c r="B19263" i="1"/>
  <c r="A19264" i="1"/>
  <c r="B19264" i="1"/>
  <c r="A19265" i="1"/>
  <c r="B19265" i="1"/>
  <c r="A19266" i="1"/>
  <c r="B19266" i="1"/>
  <c r="A19267" i="1"/>
  <c r="B19267" i="1"/>
  <c r="A19268" i="1"/>
  <c r="B19268" i="1"/>
  <c r="A19269" i="1"/>
  <c r="B19269" i="1"/>
  <c r="A19270" i="1"/>
  <c r="B19270" i="1"/>
  <c r="A19271" i="1"/>
  <c r="B19271" i="1"/>
  <c r="A19272" i="1"/>
  <c r="B19272" i="1"/>
  <c r="A19273" i="1"/>
  <c r="B19273" i="1"/>
  <c r="A19274" i="1"/>
  <c r="B19274" i="1"/>
  <c r="A19275" i="1"/>
  <c r="B19275" i="1"/>
  <c r="A19276" i="1"/>
  <c r="B19276" i="1"/>
  <c r="A19277" i="1"/>
  <c r="B19277" i="1"/>
  <c r="A19278" i="1"/>
  <c r="B19278" i="1"/>
  <c r="A19279" i="1"/>
  <c r="B19279" i="1"/>
  <c r="A19280" i="1"/>
  <c r="B19280" i="1"/>
  <c r="A19281" i="1"/>
  <c r="B19281" i="1"/>
  <c r="A19282" i="1"/>
  <c r="B19282" i="1"/>
  <c r="A19283" i="1"/>
  <c r="B19283" i="1"/>
  <c r="A19284" i="1"/>
  <c r="B19284" i="1"/>
  <c r="A19285" i="1"/>
  <c r="B19285" i="1"/>
  <c r="A19286" i="1"/>
  <c r="B19286" i="1"/>
  <c r="A19287" i="1"/>
  <c r="B19287" i="1"/>
  <c r="A19288" i="1"/>
  <c r="B19288" i="1"/>
  <c r="A19289" i="1"/>
  <c r="B19289" i="1"/>
  <c r="A19290" i="1"/>
  <c r="B19290" i="1"/>
  <c r="A19291" i="1"/>
  <c r="B19291" i="1"/>
  <c r="A19292" i="1"/>
  <c r="B19292" i="1"/>
  <c r="A19293" i="1"/>
  <c r="B19293" i="1"/>
  <c r="A19294" i="1"/>
  <c r="B19294" i="1"/>
  <c r="A19295" i="1"/>
  <c r="B19295" i="1"/>
  <c r="A19296" i="1"/>
  <c r="B19296" i="1"/>
  <c r="A19297" i="1"/>
  <c r="B19297" i="1"/>
  <c r="A19298" i="1"/>
  <c r="B19298" i="1"/>
  <c r="A19299" i="1"/>
  <c r="B19299" i="1"/>
  <c r="A19300" i="1"/>
  <c r="B19300" i="1"/>
  <c r="A19301" i="1"/>
  <c r="B19301" i="1"/>
  <c r="A19302" i="1"/>
  <c r="B19302" i="1"/>
  <c r="A19303" i="1"/>
  <c r="B19303" i="1"/>
  <c r="A19304" i="1"/>
  <c r="B19304" i="1"/>
  <c r="A19305" i="1"/>
  <c r="B19305" i="1"/>
  <c r="A19306" i="1"/>
  <c r="B19306" i="1"/>
  <c r="A19307" i="1"/>
  <c r="B19307" i="1"/>
  <c r="A19308" i="1"/>
  <c r="B19308" i="1"/>
  <c r="A19309" i="1"/>
  <c r="B19309" i="1"/>
  <c r="A19310" i="1"/>
  <c r="B19310" i="1"/>
  <c r="A19311" i="1"/>
  <c r="B19311" i="1"/>
  <c r="A19312" i="1"/>
  <c r="B19312" i="1"/>
  <c r="A19313" i="1"/>
  <c r="B19313" i="1"/>
  <c r="A19314" i="1"/>
  <c r="B19314" i="1"/>
  <c r="A19315" i="1"/>
  <c r="B19315" i="1"/>
  <c r="A19316" i="1"/>
  <c r="B19316" i="1"/>
  <c r="A19317" i="1"/>
  <c r="B19317" i="1"/>
  <c r="A19318" i="1"/>
  <c r="B19318" i="1"/>
  <c r="A19319" i="1"/>
  <c r="B19319" i="1"/>
  <c r="A19320" i="1"/>
  <c r="B19320" i="1"/>
  <c r="A19321" i="1"/>
  <c r="B19321" i="1"/>
  <c r="A19322" i="1"/>
  <c r="B19322" i="1"/>
  <c r="A19323" i="1"/>
  <c r="B19323" i="1"/>
  <c r="A19324" i="1"/>
  <c r="B19324" i="1"/>
  <c r="A19325" i="1"/>
  <c r="B19325" i="1"/>
  <c r="A19326" i="1"/>
  <c r="B19326" i="1"/>
  <c r="A19327" i="1"/>
  <c r="B19327" i="1"/>
  <c r="A19328" i="1"/>
  <c r="B19328" i="1"/>
  <c r="A19329" i="1"/>
  <c r="B19329" i="1"/>
  <c r="A19330" i="1"/>
  <c r="B19330" i="1"/>
  <c r="A19331" i="1"/>
  <c r="B19331" i="1"/>
  <c r="A19332" i="1"/>
  <c r="B19332" i="1"/>
  <c r="A19333" i="1"/>
  <c r="B19333" i="1"/>
  <c r="A19334" i="1"/>
  <c r="B19334" i="1"/>
  <c r="A19335" i="1"/>
  <c r="B19335" i="1"/>
  <c r="A19336" i="1"/>
  <c r="B19336" i="1"/>
  <c r="A19337" i="1"/>
  <c r="B19337" i="1"/>
  <c r="A19338" i="1"/>
  <c r="B19338" i="1"/>
  <c r="A19339" i="1"/>
  <c r="B19339" i="1"/>
  <c r="A19340" i="1"/>
  <c r="B19340" i="1"/>
  <c r="A19341" i="1"/>
  <c r="B19341" i="1"/>
  <c r="A19342" i="1"/>
  <c r="B19342" i="1"/>
  <c r="A19343" i="1"/>
  <c r="B19343" i="1"/>
  <c r="A19344" i="1"/>
  <c r="B19344" i="1"/>
  <c r="A19345" i="1"/>
  <c r="B19345" i="1"/>
  <c r="A19346" i="1"/>
  <c r="B19346" i="1"/>
  <c r="A19347" i="1"/>
  <c r="B19347" i="1"/>
  <c r="A19348" i="1"/>
  <c r="B19348" i="1"/>
  <c r="A19349" i="1"/>
  <c r="B19349" i="1"/>
  <c r="A19350" i="1"/>
  <c r="B19350" i="1"/>
  <c r="A19351" i="1"/>
  <c r="B19351" i="1"/>
  <c r="A19352" i="1"/>
  <c r="B19352" i="1"/>
  <c r="A19353" i="1"/>
  <c r="B19353" i="1"/>
  <c r="A19354" i="1"/>
  <c r="B19354" i="1"/>
  <c r="A19355" i="1"/>
  <c r="B19355" i="1"/>
  <c r="A19356" i="1"/>
  <c r="B19356" i="1"/>
  <c r="A19357" i="1"/>
  <c r="B19357" i="1"/>
  <c r="A19358" i="1"/>
  <c r="B19358" i="1"/>
  <c r="A19359" i="1"/>
  <c r="B19359" i="1"/>
  <c r="A19360" i="1"/>
  <c r="B19360" i="1"/>
  <c r="A19361" i="1"/>
  <c r="B19361" i="1"/>
  <c r="A19362" i="1"/>
  <c r="B19362" i="1"/>
  <c r="A19363" i="1"/>
  <c r="B19363" i="1"/>
  <c r="A19364" i="1"/>
  <c r="B19364" i="1"/>
  <c r="A19365" i="1"/>
  <c r="B19365" i="1"/>
  <c r="A19366" i="1"/>
  <c r="B19366" i="1"/>
  <c r="A19367" i="1"/>
  <c r="B19367" i="1"/>
  <c r="A19368" i="1"/>
  <c r="B19368" i="1"/>
  <c r="A19369" i="1"/>
  <c r="B19369" i="1"/>
  <c r="A19370" i="1"/>
  <c r="B19370" i="1"/>
  <c r="A19371" i="1"/>
  <c r="B19371" i="1"/>
  <c r="A19372" i="1"/>
  <c r="B19372" i="1"/>
  <c r="A19373" i="1"/>
  <c r="B19373" i="1"/>
  <c r="A19374" i="1"/>
  <c r="B19374" i="1"/>
  <c r="A19375" i="1"/>
  <c r="B19375" i="1"/>
  <c r="A19376" i="1"/>
  <c r="B19376" i="1"/>
  <c r="A19377" i="1"/>
  <c r="B19377" i="1"/>
  <c r="A19378" i="1"/>
  <c r="B19378" i="1"/>
  <c r="A19379" i="1"/>
  <c r="B19379" i="1"/>
  <c r="A19380" i="1"/>
  <c r="B19380" i="1"/>
  <c r="A19381" i="1"/>
  <c r="B19381" i="1"/>
  <c r="A19382" i="1"/>
  <c r="B19382" i="1"/>
  <c r="A19383" i="1"/>
  <c r="B19383" i="1"/>
  <c r="A19384" i="1"/>
  <c r="B19384" i="1"/>
  <c r="A19385" i="1"/>
  <c r="B19385" i="1"/>
  <c r="A19386" i="1"/>
  <c r="B19386" i="1"/>
  <c r="A19387" i="1"/>
  <c r="B19387" i="1"/>
  <c r="A19388" i="1"/>
  <c r="B19388" i="1"/>
  <c r="A19389" i="1"/>
  <c r="B19389" i="1"/>
  <c r="A19390" i="1"/>
  <c r="B19390" i="1"/>
  <c r="A19391" i="1"/>
  <c r="B19391" i="1"/>
  <c r="A19392" i="1"/>
  <c r="B19392" i="1"/>
  <c r="A19393" i="1"/>
  <c r="B19393" i="1"/>
  <c r="A19394" i="1"/>
  <c r="B19394" i="1"/>
  <c r="A19395" i="1"/>
  <c r="B19395" i="1"/>
  <c r="A19396" i="1"/>
  <c r="B19396" i="1"/>
  <c r="A19397" i="1"/>
  <c r="B19397" i="1"/>
  <c r="A19398" i="1"/>
  <c r="B19398" i="1"/>
  <c r="A19399" i="1"/>
  <c r="B19399" i="1"/>
  <c r="A19400" i="1"/>
  <c r="B19400" i="1"/>
  <c r="A19401" i="1"/>
  <c r="B19401" i="1"/>
  <c r="A19402" i="1"/>
  <c r="B19402" i="1"/>
  <c r="A19403" i="1"/>
  <c r="B19403" i="1"/>
  <c r="A19404" i="1"/>
  <c r="B19404" i="1"/>
  <c r="A19405" i="1"/>
  <c r="B19405" i="1"/>
  <c r="A19406" i="1"/>
  <c r="B19406" i="1"/>
  <c r="A19407" i="1"/>
  <c r="B19407" i="1"/>
  <c r="A19408" i="1"/>
  <c r="B19408" i="1"/>
  <c r="A19409" i="1"/>
  <c r="B19409" i="1"/>
  <c r="A19410" i="1"/>
  <c r="B19410" i="1"/>
  <c r="A19411" i="1"/>
  <c r="B19411" i="1"/>
  <c r="A19412" i="1"/>
  <c r="B19412" i="1"/>
  <c r="A19413" i="1"/>
  <c r="B19413" i="1"/>
  <c r="A19414" i="1"/>
  <c r="B19414" i="1"/>
  <c r="A19415" i="1"/>
  <c r="B19415" i="1"/>
  <c r="A19416" i="1"/>
  <c r="B19416" i="1"/>
  <c r="A19417" i="1"/>
  <c r="B19417" i="1"/>
  <c r="A19418" i="1"/>
  <c r="B19418" i="1"/>
  <c r="A19419" i="1"/>
  <c r="B19419" i="1"/>
  <c r="A19420" i="1"/>
  <c r="B19420" i="1"/>
  <c r="A19421" i="1"/>
  <c r="B19421" i="1"/>
  <c r="A19422" i="1"/>
  <c r="B19422" i="1"/>
  <c r="A19423" i="1"/>
  <c r="B19423" i="1"/>
  <c r="A19424" i="1"/>
  <c r="B19424" i="1"/>
  <c r="A19425" i="1"/>
  <c r="B19425" i="1"/>
  <c r="A19426" i="1"/>
  <c r="B19426" i="1"/>
  <c r="A19427" i="1"/>
  <c r="B19427" i="1"/>
  <c r="A19428" i="1"/>
  <c r="B19428" i="1"/>
  <c r="A19429" i="1"/>
  <c r="B19429" i="1"/>
  <c r="A19430" i="1"/>
  <c r="B19430" i="1"/>
  <c r="A19431" i="1"/>
  <c r="B19431" i="1"/>
  <c r="A19432" i="1"/>
  <c r="B19432" i="1"/>
  <c r="A19433" i="1"/>
  <c r="B19433" i="1"/>
  <c r="A19434" i="1"/>
  <c r="B19434" i="1"/>
  <c r="A19435" i="1"/>
  <c r="B19435" i="1"/>
  <c r="A19436" i="1"/>
  <c r="B19436" i="1"/>
  <c r="A19437" i="1"/>
  <c r="B19437" i="1"/>
  <c r="A19438" i="1"/>
  <c r="B19438" i="1"/>
  <c r="A19439" i="1"/>
  <c r="B19439" i="1"/>
  <c r="A19440" i="1"/>
  <c r="B19440" i="1"/>
  <c r="A19441" i="1"/>
  <c r="B19441" i="1"/>
  <c r="A19442" i="1"/>
  <c r="B19442" i="1"/>
  <c r="A19443" i="1"/>
  <c r="B19443" i="1"/>
  <c r="A19444" i="1"/>
  <c r="B19444" i="1"/>
  <c r="A19445" i="1"/>
  <c r="B19445" i="1"/>
  <c r="A19446" i="1"/>
  <c r="B19446" i="1"/>
  <c r="A19447" i="1"/>
  <c r="B19447" i="1"/>
  <c r="A19448" i="1"/>
  <c r="B19448" i="1"/>
  <c r="A19449" i="1"/>
  <c r="B19449" i="1"/>
  <c r="A19450" i="1"/>
  <c r="B19450" i="1"/>
  <c r="A19451" i="1"/>
  <c r="B19451" i="1"/>
  <c r="A19452" i="1"/>
  <c r="B19452" i="1"/>
  <c r="A19453" i="1"/>
  <c r="B19453" i="1"/>
  <c r="A19454" i="1"/>
  <c r="B19454" i="1"/>
  <c r="A19455" i="1"/>
  <c r="B19455" i="1"/>
  <c r="A19456" i="1"/>
  <c r="B19456" i="1"/>
  <c r="A19457" i="1"/>
  <c r="B19457" i="1"/>
  <c r="A19458" i="1"/>
  <c r="B19458" i="1"/>
  <c r="A19459" i="1"/>
  <c r="B19459" i="1"/>
  <c r="A19460" i="1"/>
  <c r="B19460" i="1"/>
  <c r="A19461" i="1"/>
  <c r="B19461" i="1"/>
  <c r="A19462" i="1"/>
  <c r="B19462" i="1"/>
  <c r="A19463" i="1"/>
  <c r="B19463" i="1"/>
  <c r="A19464" i="1"/>
  <c r="B19464" i="1"/>
  <c r="A19465" i="1"/>
  <c r="B19465" i="1"/>
  <c r="A19466" i="1"/>
  <c r="B19466" i="1"/>
  <c r="A19467" i="1"/>
  <c r="B19467" i="1"/>
  <c r="A19468" i="1"/>
  <c r="B19468" i="1"/>
  <c r="A19469" i="1"/>
  <c r="B19469" i="1"/>
  <c r="A19470" i="1"/>
  <c r="B19470" i="1"/>
  <c r="A19471" i="1"/>
  <c r="B19471" i="1"/>
  <c r="A19472" i="1"/>
  <c r="B19472" i="1"/>
  <c r="A19473" i="1"/>
  <c r="B19473" i="1"/>
  <c r="A19474" i="1"/>
  <c r="B19474" i="1"/>
  <c r="A19475" i="1"/>
  <c r="B19475" i="1"/>
  <c r="A19476" i="1"/>
  <c r="B19476" i="1"/>
  <c r="A19477" i="1"/>
  <c r="B19477" i="1"/>
  <c r="A19478" i="1"/>
  <c r="B19478" i="1"/>
  <c r="A19479" i="1"/>
  <c r="B19479" i="1"/>
  <c r="A19480" i="1"/>
  <c r="B19480" i="1"/>
  <c r="A19481" i="1"/>
  <c r="B19481" i="1"/>
  <c r="A19482" i="1"/>
  <c r="B19482" i="1"/>
  <c r="A19483" i="1"/>
  <c r="B19483" i="1"/>
  <c r="A19484" i="1"/>
  <c r="B19484" i="1"/>
  <c r="A19485" i="1"/>
  <c r="B19485" i="1"/>
  <c r="A19486" i="1"/>
  <c r="B19486" i="1"/>
  <c r="A19487" i="1"/>
  <c r="B19487" i="1"/>
  <c r="A19488" i="1"/>
  <c r="B19488" i="1"/>
  <c r="A19489" i="1"/>
  <c r="B19489" i="1"/>
  <c r="A19490" i="1"/>
  <c r="B19490" i="1"/>
  <c r="A19491" i="1"/>
  <c r="B19491" i="1"/>
  <c r="A19492" i="1"/>
  <c r="B19492" i="1"/>
  <c r="A19493" i="1"/>
  <c r="B19493" i="1"/>
  <c r="A19494" i="1"/>
  <c r="B19494" i="1"/>
  <c r="A19495" i="1"/>
  <c r="B19495" i="1"/>
  <c r="A19496" i="1"/>
  <c r="B19496" i="1"/>
  <c r="A19497" i="1"/>
  <c r="B19497" i="1"/>
  <c r="A19498" i="1"/>
  <c r="B19498" i="1"/>
  <c r="A19499" i="1"/>
  <c r="B19499" i="1"/>
  <c r="A19500" i="1"/>
  <c r="B19500" i="1"/>
  <c r="A19501" i="1"/>
  <c r="B19501" i="1"/>
  <c r="A19502" i="1"/>
  <c r="B19502" i="1"/>
  <c r="A19503" i="1"/>
  <c r="B19503" i="1"/>
  <c r="A19504" i="1"/>
  <c r="B19504" i="1"/>
  <c r="A19505" i="1"/>
  <c r="B19505" i="1"/>
  <c r="A19506" i="1"/>
  <c r="B19506" i="1"/>
  <c r="A19507" i="1"/>
  <c r="B19507" i="1"/>
  <c r="A19508" i="1"/>
  <c r="B19508" i="1"/>
  <c r="A19509" i="1"/>
  <c r="B19509" i="1"/>
  <c r="A19510" i="1"/>
  <c r="B19510" i="1"/>
  <c r="A19511" i="1"/>
  <c r="B19511" i="1"/>
  <c r="A19512" i="1"/>
  <c r="B19512" i="1"/>
  <c r="A19513" i="1"/>
  <c r="B19513" i="1"/>
  <c r="A19514" i="1"/>
  <c r="B19514" i="1"/>
  <c r="A19515" i="1"/>
  <c r="B19515" i="1"/>
  <c r="A19516" i="1"/>
  <c r="B19516" i="1"/>
  <c r="A19517" i="1"/>
  <c r="B19517" i="1"/>
  <c r="A19518" i="1"/>
  <c r="B19518" i="1"/>
  <c r="A19519" i="1"/>
  <c r="B19519" i="1"/>
  <c r="A19520" i="1"/>
  <c r="B19520" i="1"/>
  <c r="A19521" i="1"/>
  <c r="B19521" i="1"/>
  <c r="A19522" i="1"/>
  <c r="B19522" i="1"/>
  <c r="A19523" i="1"/>
  <c r="B19523" i="1"/>
  <c r="A19524" i="1"/>
  <c r="B19524" i="1"/>
  <c r="A19525" i="1"/>
  <c r="B19525" i="1"/>
  <c r="A19526" i="1"/>
  <c r="B19526" i="1"/>
  <c r="A19527" i="1"/>
  <c r="B19527" i="1"/>
  <c r="A19528" i="1"/>
  <c r="B19528" i="1"/>
  <c r="A19529" i="1"/>
  <c r="B19529" i="1"/>
  <c r="A19530" i="1"/>
  <c r="B19530" i="1"/>
  <c r="A19531" i="1"/>
  <c r="B19531" i="1"/>
  <c r="A19532" i="1"/>
  <c r="B19532" i="1"/>
  <c r="A19533" i="1"/>
  <c r="B19533" i="1"/>
  <c r="A19534" i="1"/>
  <c r="B19534" i="1"/>
  <c r="A19535" i="1"/>
  <c r="B19535" i="1"/>
  <c r="A19536" i="1"/>
  <c r="B19536" i="1"/>
  <c r="A19537" i="1"/>
  <c r="B19537" i="1"/>
  <c r="A19538" i="1"/>
  <c r="B19538" i="1"/>
  <c r="A19539" i="1"/>
  <c r="B19539" i="1"/>
  <c r="A19540" i="1"/>
  <c r="B19540" i="1"/>
  <c r="A19541" i="1"/>
  <c r="B19541" i="1"/>
  <c r="A19542" i="1"/>
  <c r="B19542" i="1"/>
  <c r="A19543" i="1"/>
  <c r="B19543" i="1"/>
  <c r="A19544" i="1"/>
  <c r="B19544" i="1"/>
  <c r="A19545" i="1"/>
  <c r="B19545" i="1"/>
  <c r="A19546" i="1"/>
  <c r="B19546" i="1"/>
  <c r="A19547" i="1"/>
  <c r="B19547" i="1"/>
  <c r="A19548" i="1"/>
  <c r="B19548" i="1"/>
  <c r="A19549" i="1"/>
  <c r="B19549" i="1"/>
  <c r="A19550" i="1"/>
  <c r="B19550" i="1"/>
  <c r="A19551" i="1"/>
  <c r="B19551" i="1"/>
  <c r="A19552" i="1"/>
  <c r="B19552" i="1"/>
  <c r="A19553" i="1"/>
  <c r="B19553" i="1"/>
  <c r="A19554" i="1"/>
  <c r="B19554" i="1"/>
  <c r="A19555" i="1"/>
  <c r="B19555" i="1"/>
  <c r="A19556" i="1"/>
  <c r="B19556" i="1"/>
  <c r="A19557" i="1"/>
  <c r="B19557" i="1"/>
  <c r="A19558" i="1"/>
  <c r="B19558" i="1"/>
  <c r="A19559" i="1"/>
  <c r="B19559" i="1"/>
  <c r="A19560" i="1"/>
  <c r="B19560" i="1"/>
  <c r="A19561" i="1"/>
  <c r="B19561" i="1"/>
  <c r="A19562" i="1"/>
  <c r="B19562" i="1"/>
  <c r="A19563" i="1"/>
  <c r="B19563" i="1"/>
  <c r="A19564" i="1"/>
  <c r="B19564" i="1"/>
  <c r="A19565" i="1"/>
  <c r="B19565" i="1"/>
  <c r="A19566" i="1"/>
  <c r="B19566" i="1"/>
  <c r="A19567" i="1"/>
  <c r="B19567" i="1"/>
  <c r="A19568" i="1"/>
  <c r="B19568" i="1"/>
  <c r="A19569" i="1"/>
  <c r="B19569" i="1"/>
  <c r="A19570" i="1"/>
  <c r="B19570" i="1"/>
  <c r="A19571" i="1"/>
  <c r="B19571" i="1"/>
  <c r="A19572" i="1"/>
  <c r="B19572" i="1"/>
  <c r="A19573" i="1"/>
  <c r="B19573" i="1"/>
  <c r="A19574" i="1"/>
  <c r="B19574" i="1"/>
  <c r="A19575" i="1"/>
  <c r="B19575" i="1"/>
  <c r="A19576" i="1"/>
  <c r="B19576" i="1"/>
  <c r="A19577" i="1"/>
  <c r="B19577" i="1"/>
  <c r="A19578" i="1"/>
  <c r="B19578" i="1"/>
  <c r="A19579" i="1"/>
  <c r="B19579" i="1"/>
  <c r="A19580" i="1"/>
  <c r="B19580" i="1"/>
  <c r="A19581" i="1"/>
  <c r="B19581" i="1"/>
  <c r="A19582" i="1"/>
  <c r="B19582" i="1"/>
  <c r="A19583" i="1"/>
  <c r="B19583" i="1"/>
  <c r="A19584" i="1"/>
  <c r="B19584" i="1"/>
  <c r="A19585" i="1"/>
  <c r="B19585" i="1"/>
  <c r="A19586" i="1"/>
  <c r="B19586" i="1"/>
  <c r="A19587" i="1"/>
  <c r="B19587" i="1"/>
  <c r="A19588" i="1"/>
  <c r="B19588" i="1"/>
  <c r="A19589" i="1"/>
  <c r="B19589" i="1"/>
  <c r="A19590" i="1"/>
  <c r="B19590" i="1"/>
  <c r="A19591" i="1"/>
  <c r="B19591" i="1"/>
  <c r="A19592" i="1"/>
  <c r="B19592" i="1"/>
  <c r="A19593" i="1"/>
  <c r="B19593" i="1"/>
  <c r="A19594" i="1"/>
  <c r="B19594" i="1"/>
  <c r="A19595" i="1"/>
  <c r="B19595" i="1"/>
  <c r="A19596" i="1"/>
  <c r="B19596" i="1"/>
  <c r="A19597" i="1"/>
  <c r="B19597" i="1"/>
  <c r="A19598" i="1"/>
  <c r="B19598" i="1"/>
  <c r="A19599" i="1"/>
  <c r="B19599" i="1"/>
  <c r="A19600" i="1"/>
  <c r="B19600" i="1"/>
  <c r="A19601" i="1"/>
  <c r="B19601" i="1"/>
  <c r="A19602" i="1"/>
  <c r="B19602" i="1"/>
  <c r="A19603" i="1"/>
  <c r="B19603" i="1"/>
  <c r="A19604" i="1"/>
  <c r="B19604" i="1"/>
  <c r="A19605" i="1"/>
  <c r="B19605" i="1"/>
  <c r="A19606" i="1"/>
  <c r="B19606" i="1"/>
  <c r="A19607" i="1"/>
  <c r="B19607" i="1"/>
  <c r="A19608" i="1"/>
  <c r="B19608" i="1"/>
  <c r="A19609" i="1"/>
  <c r="B19609" i="1"/>
  <c r="A19610" i="1"/>
  <c r="B19610" i="1"/>
  <c r="A19611" i="1"/>
  <c r="B19611" i="1"/>
  <c r="A19612" i="1"/>
  <c r="B19612" i="1"/>
  <c r="A19613" i="1"/>
  <c r="B19613" i="1"/>
  <c r="A19614" i="1"/>
  <c r="B19614" i="1"/>
  <c r="A19615" i="1"/>
  <c r="B19615" i="1"/>
  <c r="A19616" i="1"/>
  <c r="B19616" i="1"/>
  <c r="A19617" i="1"/>
  <c r="B19617" i="1"/>
  <c r="A19618" i="1"/>
  <c r="B19618" i="1"/>
  <c r="A19619" i="1"/>
  <c r="B19619" i="1"/>
  <c r="A19620" i="1"/>
  <c r="B19620" i="1"/>
  <c r="A19621" i="1"/>
  <c r="B19621" i="1"/>
  <c r="A19622" i="1"/>
  <c r="B19622" i="1"/>
  <c r="A19623" i="1"/>
  <c r="B19623" i="1"/>
  <c r="A19624" i="1"/>
  <c r="B19624" i="1"/>
  <c r="A19625" i="1"/>
  <c r="B19625" i="1"/>
  <c r="A19626" i="1"/>
  <c r="B19626" i="1"/>
  <c r="A19627" i="1"/>
  <c r="B19627" i="1"/>
  <c r="A19628" i="1"/>
  <c r="B19628" i="1"/>
  <c r="A19629" i="1"/>
  <c r="B19629" i="1"/>
  <c r="A19630" i="1"/>
  <c r="B19630" i="1"/>
  <c r="A19631" i="1"/>
  <c r="B19631" i="1"/>
  <c r="A19632" i="1"/>
  <c r="B19632" i="1"/>
  <c r="A19633" i="1"/>
  <c r="B19633" i="1"/>
  <c r="A19634" i="1"/>
  <c r="B19634" i="1"/>
  <c r="A19635" i="1"/>
  <c r="B19635" i="1"/>
  <c r="A19636" i="1"/>
  <c r="B19636" i="1"/>
  <c r="A19637" i="1"/>
  <c r="B19637" i="1"/>
  <c r="A19638" i="1"/>
  <c r="B19638" i="1"/>
  <c r="A19639" i="1"/>
  <c r="B19639" i="1"/>
  <c r="A19640" i="1"/>
  <c r="B19640" i="1"/>
  <c r="A19641" i="1"/>
  <c r="B19641" i="1"/>
  <c r="A19642" i="1"/>
  <c r="B19642" i="1"/>
  <c r="A19643" i="1"/>
  <c r="B19643" i="1"/>
  <c r="A19644" i="1"/>
  <c r="B19644" i="1"/>
  <c r="A19645" i="1"/>
  <c r="B19645" i="1"/>
  <c r="A19646" i="1"/>
  <c r="B19646" i="1"/>
  <c r="A19647" i="1"/>
  <c r="B19647" i="1"/>
  <c r="A19648" i="1"/>
  <c r="B19648" i="1"/>
  <c r="A19649" i="1"/>
  <c r="B19649" i="1"/>
  <c r="A19650" i="1"/>
  <c r="B19650" i="1"/>
  <c r="A19651" i="1"/>
  <c r="B19651" i="1"/>
  <c r="A19652" i="1"/>
  <c r="B19652" i="1"/>
  <c r="A19653" i="1"/>
  <c r="B19653" i="1"/>
  <c r="A19654" i="1"/>
  <c r="B19654" i="1"/>
  <c r="A19655" i="1"/>
  <c r="B19655" i="1"/>
  <c r="A19656" i="1"/>
  <c r="B19656" i="1"/>
  <c r="A19657" i="1"/>
  <c r="B19657" i="1"/>
  <c r="A19658" i="1"/>
  <c r="B19658" i="1"/>
  <c r="A19659" i="1"/>
  <c r="B19659" i="1"/>
  <c r="A19660" i="1"/>
  <c r="B19660" i="1"/>
  <c r="A19661" i="1"/>
  <c r="B19661" i="1"/>
  <c r="A19662" i="1"/>
  <c r="B19662" i="1"/>
  <c r="A19663" i="1"/>
  <c r="B19663" i="1"/>
  <c r="A19664" i="1"/>
  <c r="B19664" i="1"/>
  <c r="A19665" i="1"/>
  <c r="B19665" i="1"/>
  <c r="A19666" i="1"/>
  <c r="B19666" i="1"/>
  <c r="A19667" i="1"/>
  <c r="B19667" i="1"/>
  <c r="A19668" i="1"/>
  <c r="B19668" i="1"/>
  <c r="A19669" i="1"/>
  <c r="B19669" i="1"/>
  <c r="A19670" i="1"/>
  <c r="B19670" i="1"/>
  <c r="A19671" i="1"/>
  <c r="B19671" i="1"/>
  <c r="A19672" i="1"/>
  <c r="B19672" i="1"/>
  <c r="A19673" i="1"/>
  <c r="B19673" i="1"/>
  <c r="A19674" i="1"/>
  <c r="B19674" i="1"/>
  <c r="A19675" i="1"/>
  <c r="B19675" i="1"/>
  <c r="A19676" i="1"/>
  <c r="B19676" i="1"/>
  <c r="A19677" i="1"/>
  <c r="B19677" i="1"/>
  <c r="A19678" i="1"/>
  <c r="B19678" i="1"/>
  <c r="A19679" i="1"/>
  <c r="B19679" i="1"/>
  <c r="A19680" i="1"/>
  <c r="B19680" i="1"/>
  <c r="A19681" i="1"/>
  <c r="B19681" i="1"/>
  <c r="A19682" i="1"/>
  <c r="B19682" i="1"/>
  <c r="A19683" i="1"/>
  <c r="B19683" i="1"/>
  <c r="A19684" i="1"/>
  <c r="B19684" i="1"/>
  <c r="A19685" i="1"/>
  <c r="B19685" i="1"/>
  <c r="A19686" i="1"/>
  <c r="B19686" i="1"/>
  <c r="A19687" i="1"/>
  <c r="B19687" i="1"/>
  <c r="A19688" i="1"/>
  <c r="B19688" i="1"/>
  <c r="A19689" i="1"/>
  <c r="B19689" i="1"/>
  <c r="A19690" i="1"/>
  <c r="B19690" i="1"/>
  <c r="A19691" i="1"/>
  <c r="B19691" i="1"/>
  <c r="A19692" i="1"/>
  <c r="B19692" i="1"/>
  <c r="A19693" i="1"/>
  <c r="B19693" i="1"/>
  <c r="A19694" i="1"/>
  <c r="B19694" i="1"/>
  <c r="A19695" i="1"/>
  <c r="B19695" i="1"/>
  <c r="A19696" i="1"/>
  <c r="B19696" i="1"/>
  <c r="A19697" i="1"/>
  <c r="B19697" i="1"/>
  <c r="A19698" i="1"/>
  <c r="B19698" i="1"/>
  <c r="A19699" i="1"/>
  <c r="B19699" i="1"/>
  <c r="A19700" i="1"/>
  <c r="B19700" i="1"/>
  <c r="A19701" i="1"/>
  <c r="B19701" i="1"/>
  <c r="A19702" i="1"/>
  <c r="B19702" i="1"/>
  <c r="A19703" i="1"/>
  <c r="B19703" i="1"/>
  <c r="A19704" i="1"/>
  <c r="B19704" i="1"/>
  <c r="A19705" i="1"/>
  <c r="B19705" i="1"/>
  <c r="A19706" i="1"/>
  <c r="B19706" i="1"/>
  <c r="A19707" i="1"/>
  <c r="B19707" i="1"/>
  <c r="A19708" i="1"/>
  <c r="B19708" i="1"/>
  <c r="A19709" i="1"/>
  <c r="B19709" i="1"/>
  <c r="A19710" i="1"/>
  <c r="B19710" i="1"/>
  <c r="A19711" i="1"/>
  <c r="B19711" i="1"/>
  <c r="A19712" i="1"/>
  <c r="B19712" i="1"/>
  <c r="A19713" i="1"/>
  <c r="B19713" i="1"/>
  <c r="A19714" i="1"/>
  <c r="B19714" i="1"/>
  <c r="A19715" i="1"/>
  <c r="B19715" i="1"/>
  <c r="A19716" i="1"/>
  <c r="B19716" i="1"/>
  <c r="A19717" i="1"/>
  <c r="B19717" i="1"/>
  <c r="A19718" i="1"/>
  <c r="B19718" i="1"/>
  <c r="A19719" i="1"/>
  <c r="B19719" i="1"/>
  <c r="A19720" i="1"/>
  <c r="B19720" i="1"/>
  <c r="A19721" i="1"/>
  <c r="B19721" i="1"/>
  <c r="A19722" i="1"/>
  <c r="B19722" i="1"/>
  <c r="A19723" i="1"/>
  <c r="B19723" i="1"/>
  <c r="A19724" i="1"/>
  <c r="B19724" i="1"/>
  <c r="A19725" i="1"/>
  <c r="B19725" i="1"/>
  <c r="A19726" i="1"/>
  <c r="B19726" i="1"/>
  <c r="A19727" i="1"/>
  <c r="B19727" i="1"/>
  <c r="A19728" i="1"/>
  <c r="B19728" i="1"/>
  <c r="A19729" i="1"/>
  <c r="B19729" i="1"/>
  <c r="A19730" i="1"/>
  <c r="B19730" i="1"/>
  <c r="A19731" i="1"/>
  <c r="B19731" i="1"/>
  <c r="A19732" i="1"/>
  <c r="B19732" i="1"/>
  <c r="A19733" i="1"/>
  <c r="B19733" i="1"/>
  <c r="A19734" i="1"/>
  <c r="B19734" i="1"/>
  <c r="A19735" i="1"/>
  <c r="B19735" i="1"/>
  <c r="A19736" i="1"/>
  <c r="B19736" i="1"/>
  <c r="A19737" i="1"/>
  <c r="B19737" i="1"/>
  <c r="A19738" i="1"/>
  <c r="B19738" i="1"/>
  <c r="A19739" i="1"/>
  <c r="B19739" i="1"/>
  <c r="A19740" i="1"/>
  <c r="B19740" i="1"/>
  <c r="A19741" i="1"/>
  <c r="B19741" i="1"/>
  <c r="A19742" i="1"/>
  <c r="B19742" i="1"/>
  <c r="A19743" i="1"/>
  <c r="B19743" i="1"/>
  <c r="A19744" i="1"/>
  <c r="B19744" i="1"/>
  <c r="A19745" i="1"/>
  <c r="B19745" i="1"/>
  <c r="A19746" i="1"/>
  <c r="B19746" i="1"/>
  <c r="A19747" i="1"/>
  <c r="B19747" i="1"/>
  <c r="A19748" i="1"/>
  <c r="B19748" i="1"/>
  <c r="A19749" i="1"/>
  <c r="B19749" i="1"/>
  <c r="A19750" i="1"/>
  <c r="B19750" i="1"/>
  <c r="A19751" i="1"/>
  <c r="B19751" i="1"/>
  <c r="A19752" i="1"/>
  <c r="B19752" i="1"/>
  <c r="A19753" i="1"/>
  <c r="B19753" i="1"/>
  <c r="A19754" i="1"/>
  <c r="B19754" i="1"/>
  <c r="A19755" i="1"/>
  <c r="B19755" i="1"/>
  <c r="A19756" i="1"/>
  <c r="B19756" i="1"/>
  <c r="A19757" i="1"/>
  <c r="B19757" i="1"/>
  <c r="A19758" i="1"/>
  <c r="B19758" i="1"/>
  <c r="A19759" i="1"/>
  <c r="B19759" i="1"/>
  <c r="A19760" i="1"/>
  <c r="B19760" i="1"/>
  <c r="A19761" i="1"/>
  <c r="B19761" i="1"/>
  <c r="A19762" i="1"/>
  <c r="B19762" i="1"/>
  <c r="A19763" i="1"/>
  <c r="B19763" i="1"/>
  <c r="A19764" i="1"/>
  <c r="B19764" i="1"/>
  <c r="A19765" i="1"/>
  <c r="B19765" i="1"/>
  <c r="A19766" i="1"/>
  <c r="B19766" i="1"/>
  <c r="A19767" i="1"/>
  <c r="B19767" i="1"/>
  <c r="A19768" i="1"/>
  <c r="B19768" i="1"/>
  <c r="A19769" i="1"/>
  <c r="B19769" i="1"/>
  <c r="A19770" i="1"/>
  <c r="B19770" i="1"/>
  <c r="A19771" i="1"/>
  <c r="B19771" i="1"/>
  <c r="A19772" i="1"/>
  <c r="B19772" i="1"/>
  <c r="A19773" i="1"/>
  <c r="B19773" i="1"/>
  <c r="A19774" i="1"/>
  <c r="B19774" i="1"/>
  <c r="A19775" i="1"/>
  <c r="B19775" i="1"/>
  <c r="A19776" i="1"/>
  <c r="B19776" i="1"/>
  <c r="A19777" i="1"/>
  <c r="B19777" i="1"/>
  <c r="A19778" i="1"/>
  <c r="B19778" i="1"/>
  <c r="A19779" i="1"/>
  <c r="B19779" i="1"/>
  <c r="A19780" i="1"/>
  <c r="B19780" i="1"/>
  <c r="A19781" i="1"/>
  <c r="B19781" i="1"/>
  <c r="A19782" i="1"/>
  <c r="B19782" i="1"/>
  <c r="A19783" i="1"/>
  <c r="B19783" i="1"/>
  <c r="A19784" i="1"/>
  <c r="B19784" i="1"/>
  <c r="A19785" i="1"/>
  <c r="B19785" i="1"/>
  <c r="A19786" i="1"/>
  <c r="B19786" i="1"/>
  <c r="A19787" i="1"/>
  <c r="B19787" i="1"/>
  <c r="A19788" i="1"/>
  <c r="B19788" i="1"/>
  <c r="A19789" i="1"/>
  <c r="B19789" i="1"/>
  <c r="A19790" i="1"/>
  <c r="B19790" i="1"/>
  <c r="A19791" i="1"/>
  <c r="B19791" i="1"/>
  <c r="A19792" i="1"/>
  <c r="B19792" i="1"/>
  <c r="A19793" i="1"/>
  <c r="B19793" i="1"/>
  <c r="A19794" i="1"/>
  <c r="B19794" i="1"/>
  <c r="A19795" i="1"/>
  <c r="B19795" i="1"/>
  <c r="A19796" i="1"/>
  <c r="B19796" i="1"/>
  <c r="A19797" i="1"/>
  <c r="B19797" i="1"/>
  <c r="A19798" i="1"/>
  <c r="B19798" i="1"/>
  <c r="A19799" i="1"/>
  <c r="B19799" i="1"/>
  <c r="A19800" i="1"/>
  <c r="B19800" i="1"/>
  <c r="A19801" i="1"/>
  <c r="B19801" i="1"/>
  <c r="A19802" i="1"/>
  <c r="B19802" i="1"/>
  <c r="A19803" i="1"/>
  <c r="B19803" i="1"/>
  <c r="A19804" i="1"/>
  <c r="B19804" i="1"/>
  <c r="A19805" i="1"/>
  <c r="B19805" i="1"/>
  <c r="A19806" i="1"/>
  <c r="B19806" i="1"/>
  <c r="A19807" i="1"/>
  <c r="B19807" i="1"/>
  <c r="A19808" i="1"/>
  <c r="B19808" i="1"/>
  <c r="A19809" i="1"/>
  <c r="B19809" i="1"/>
  <c r="A19810" i="1"/>
  <c r="B19810" i="1"/>
  <c r="A19811" i="1"/>
  <c r="B19811" i="1"/>
  <c r="A19812" i="1"/>
  <c r="B19812" i="1"/>
  <c r="A19813" i="1"/>
  <c r="B19813" i="1"/>
  <c r="A19814" i="1"/>
  <c r="B19814" i="1"/>
  <c r="A19815" i="1"/>
  <c r="B19815" i="1"/>
  <c r="A19816" i="1"/>
  <c r="B19816" i="1"/>
  <c r="A19817" i="1"/>
  <c r="B19817" i="1"/>
  <c r="A19818" i="1"/>
  <c r="B19818" i="1"/>
  <c r="A19819" i="1"/>
  <c r="B19819" i="1"/>
  <c r="A19820" i="1"/>
  <c r="B19820" i="1"/>
  <c r="A19821" i="1"/>
  <c r="B19821" i="1"/>
  <c r="A19822" i="1"/>
  <c r="B19822" i="1"/>
  <c r="A19823" i="1"/>
  <c r="B19823" i="1"/>
  <c r="A19824" i="1"/>
  <c r="B19824" i="1"/>
  <c r="A19825" i="1"/>
  <c r="B19825" i="1"/>
  <c r="A19826" i="1"/>
  <c r="B19826" i="1"/>
  <c r="A19827" i="1"/>
  <c r="B19827" i="1"/>
  <c r="A19828" i="1"/>
  <c r="B19828" i="1"/>
  <c r="A19829" i="1"/>
  <c r="B19829" i="1"/>
  <c r="A19830" i="1"/>
  <c r="B19830" i="1"/>
  <c r="A19831" i="1"/>
  <c r="B19831" i="1"/>
  <c r="A19832" i="1"/>
  <c r="B19832" i="1"/>
  <c r="A19833" i="1"/>
  <c r="B19833" i="1"/>
  <c r="A19834" i="1"/>
  <c r="B19834" i="1"/>
  <c r="A19835" i="1"/>
  <c r="B19835" i="1"/>
  <c r="A19836" i="1"/>
  <c r="B19836" i="1"/>
  <c r="A19837" i="1"/>
  <c r="B19837" i="1"/>
  <c r="A19838" i="1"/>
  <c r="B19838" i="1"/>
  <c r="A19839" i="1"/>
  <c r="B19839" i="1"/>
  <c r="A19840" i="1"/>
  <c r="B19840" i="1"/>
  <c r="A19841" i="1"/>
  <c r="B19841" i="1"/>
  <c r="A19842" i="1"/>
  <c r="B19842" i="1"/>
  <c r="A19843" i="1"/>
  <c r="B19843" i="1"/>
  <c r="A19844" i="1"/>
  <c r="B19844" i="1"/>
  <c r="A19845" i="1"/>
  <c r="B19845" i="1"/>
  <c r="A19846" i="1"/>
  <c r="B19846" i="1"/>
  <c r="A19847" i="1"/>
  <c r="B19847" i="1"/>
  <c r="A19848" i="1"/>
  <c r="B19848" i="1"/>
  <c r="A19849" i="1"/>
  <c r="B19849" i="1"/>
  <c r="A19850" i="1"/>
  <c r="B19850" i="1"/>
  <c r="A19851" i="1"/>
  <c r="B19851" i="1"/>
  <c r="A19852" i="1"/>
  <c r="B19852" i="1"/>
  <c r="A19853" i="1"/>
  <c r="B19853" i="1"/>
  <c r="A19854" i="1"/>
  <c r="B19854" i="1"/>
  <c r="A19855" i="1"/>
  <c r="B19855" i="1"/>
  <c r="A19856" i="1"/>
  <c r="B19856" i="1"/>
  <c r="A19857" i="1"/>
  <c r="B19857" i="1"/>
  <c r="A19858" i="1"/>
  <c r="B19858" i="1"/>
  <c r="A19859" i="1"/>
  <c r="B19859" i="1"/>
  <c r="A19860" i="1"/>
  <c r="B19860" i="1"/>
  <c r="A19861" i="1"/>
  <c r="B19861" i="1"/>
  <c r="A19862" i="1"/>
  <c r="B19862" i="1"/>
  <c r="A19863" i="1"/>
  <c r="B19863" i="1"/>
  <c r="A19864" i="1"/>
  <c r="B19864" i="1"/>
  <c r="A19865" i="1"/>
  <c r="B19865" i="1"/>
  <c r="A19866" i="1"/>
  <c r="B19866" i="1"/>
  <c r="A19867" i="1"/>
  <c r="B19867" i="1"/>
  <c r="A19868" i="1"/>
  <c r="B19868" i="1"/>
  <c r="A19869" i="1"/>
  <c r="B19869" i="1"/>
  <c r="A19870" i="1"/>
  <c r="B19870" i="1"/>
  <c r="A19871" i="1"/>
  <c r="B19871" i="1"/>
  <c r="A19872" i="1"/>
  <c r="B19872" i="1"/>
  <c r="A19873" i="1"/>
  <c r="B19873" i="1"/>
  <c r="A19874" i="1"/>
  <c r="B19874" i="1"/>
  <c r="A19875" i="1"/>
  <c r="B19875" i="1"/>
  <c r="A19876" i="1"/>
  <c r="B19876" i="1"/>
  <c r="A19877" i="1"/>
  <c r="B19877" i="1"/>
  <c r="A19878" i="1"/>
  <c r="B19878" i="1"/>
  <c r="A19879" i="1"/>
  <c r="B19879" i="1"/>
  <c r="A19880" i="1"/>
  <c r="B19880" i="1"/>
  <c r="A19881" i="1"/>
  <c r="B19881" i="1"/>
  <c r="A19882" i="1"/>
  <c r="B19882" i="1"/>
  <c r="A19883" i="1"/>
  <c r="B19883" i="1"/>
  <c r="A19884" i="1"/>
  <c r="B19884" i="1"/>
  <c r="A19885" i="1"/>
  <c r="B19885" i="1"/>
  <c r="A19886" i="1"/>
  <c r="B19886" i="1"/>
  <c r="A19887" i="1"/>
  <c r="B19887" i="1"/>
  <c r="A19888" i="1"/>
  <c r="B19888" i="1"/>
  <c r="A19889" i="1"/>
  <c r="B19889" i="1"/>
  <c r="A19890" i="1"/>
  <c r="B19890" i="1"/>
  <c r="A19891" i="1"/>
  <c r="B19891" i="1"/>
  <c r="A19892" i="1"/>
  <c r="B19892" i="1"/>
  <c r="A19893" i="1"/>
  <c r="B19893" i="1"/>
  <c r="A19894" i="1"/>
  <c r="B19894" i="1"/>
  <c r="A19895" i="1"/>
  <c r="B19895" i="1"/>
  <c r="A19896" i="1"/>
  <c r="B19896" i="1"/>
  <c r="A19897" i="1"/>
  <c r="B19897" i="1"/>
  <c r="A19898" i="1"/>
  <c r="B19898" i="1"/>
  <c r="A19899" i="1"/>
  <c r="B19899" i="1"/>
  <c r="A19900" i="1"/>
  <c r="B19900" i="1"/>
  <c r="A19901" i="1"/>
  <c r="B19901" i="1"/>
  <c r="A19902" i="1"/>
  <c r="B19902" i="1"/>
  <c r="A19903" i="1"/>
  <c r="B19903" i="1"/>
  <c r="A19904" i="1"/>
  <c r="B19904" i="1"/>
  <c r="A19905" i="1"/>
  <c r="B19905" i="1"/>
  <c r="A19906" i="1"/>
  <c r="B19906" i="1"/>
  <c r="A19907" i="1"/>
  <c r="B19907" i="1"/>
  <c r="A19908" i="1"/>
  <c r="B19908" i="1"/>
  <c r="A19909" i="1"/>
  <c r="B19909" i="1"/>
  <c r="A19910" i="1"/>
  <c r="B19910" i="1"/>
  <c r="A19911" i="1"/>
  <c r="B19911" i="1"/>
  <c r="A19912" i="1"/>
  <c r="B19912" i="1"/>
  <c r="A19913" i="1"/>
  <c r="B19913" i="1"/>
  <c r="A19914" i="1"/>
  <c r="B19914" i="1"/>
  <c r="A19915" i="1"/>
  <c r="B19915" i="1"/>
  <c r="A19916" i="1"/>
  <c r="B19916" i="1"/>
  <c r="A19917" i="1"/>
  <c r="B19917" i="1"/>
  <c r="A19918" i="1"/>
  <c r="B19918" i="1"/>
  <c r="A19919" i="1"/>
  <c r="B19919" i="1"/>
  <c r="A19920" i="1"/>
  <c r="B19920" i="1"/>
  <c r="A19921" i="1"/>
  <c r="B19921" i="1"/>
  <c r="A19922" i="1"/>
  <c r="B19922" i="1"/>
  <c r="A19923" i="1"/>
  <c r="B19923" i="1"/>
  <c r="A19924" i="1"/>
  <c r="B19924" i="1"/>
  <c r="A19925" i="1"/>
  <c r="B19925" i="1"/>
  <c r="A19926" i="1"/>
  <c r="B19926" i="1"/>
  <c r="A19927" i="1"/>
  <c r="B19927" i="1"/>
  <c r="A19928" i="1"/>
  <c r="B19928" i="1"/>
  <c r="A19929" i="1"/>
  <c r="B19929" i="1"/>
  <c r="A19930" i="1"/>
  <c r="B19930" i="1"/>
  <c r="A19931" i="1"/>
  <c r="B19931" i="1"/>
  <c r="A19932" i="1"/>
  <c r="B19932" i="1"/>
  <c r="A19933" i="1"/>
  <c r="B19933" i="1"/>
  <c r="A19934" i="1"/>
  <c r="B19934" i="1"/>
  <c r="A19935" i="1"/>
  <c r="B19935" i="1"/>
  <c r="A19936" i="1"/>
  <c r="B19936" i="1"/>
  <c r="A19937" i="1"/>
  <c r="B19937" i="1"/>
  <c r="A19938" i="1"/>
  <c r="B19938" i="1"/>
  <c r="A19939" i="1"/>
  <c r="B19939" i="1"/>
  <c r="A19940" i="1"/>
  <c r="B19940" i="1"/>
  <c r="A19941" i="1"/>
  <c r="B19941" i="1"/>
  <c r="A19942" i="1"/>
  <c r="B19942" i="1"/>
  <c r="A19943" i="1"/>
  <c r="B19943" i="1"/>
  <c r="A19944" i="1"/>
  <c r="B19944" i="1"/>
  <c r="A19945" i="1"/>
  <c r="B19945" i="1"/>
  <c r="A19946" i="1"/>
  <c r="B19946" i="1"/>
  <c r="A19947" i="1"/>
  <c r="B19947" i="1"/>
  <c r="A19948" i="1"/>
  <c r="B19948" i="1"/>
  <c r="A19949" i="1"/>
  <c r="B19949" i="1"/>
  <c r="A19950" i="1"/>
  <c r="B19950" i="1"/>
  <c r="A19951" i="1"/>
  <c r="B19951" i="1"/>
  <c r="A19952" i="1"/>
  <c r="B19952" i="1"/>
  <c r="A19953" i="1"/>
  <c r="B19953" i="1"/>
  <c r="A19954" i="1"/>
  <c r="B19954" i="1"/>
  <c r="A19955" i="1"/>
  <c r="B19955" i="1"/>
  <c r="A19956" i="1"/>
  <c r="B19956" i="1"/>
  <c r="A19957" i="1"/>
  <c r="B19957" i="1"/>
  <c r="A19958" i="1"/>
  <c r="B19958" i="1"/>
  <c r="A19959" i="1"/>
  <c r="B19959" i="1"/>
  <c r="A19960" i="1"/>
  <c r="B19960" i="1"/>
  <c r="A19961" i="1"/>
  <c r="B19961" i="1"/>
  <c r="A19962" i="1"/>
  <c r="B19962" i="1"/>
  <c r="A19963" i="1"/>
  <c r="B19963" i="1"/>
  <c r="A19964" i="1"/>
  <c r="B19964" i="1"/>
  <c r="A19965" i="1"/>
  <c r="B19965" i="1"/>
  <c r="A19966" i="1"/>
  <c r="B19966" i="1"/>
  <c r="A19967" i="1"/>
  <c r="B19967" i="1"/>
  <c r="A19968" i="1"/>
  <c r="B19968" i="1"/>
  <c r="A19969" i="1"/>
  <c r="B19969" i="1"/>
  <c r="A19970" i="1"/>
  <c r="B19970" i="1"/>
  <c r="A19971" i="1"/>
  <c r="B19971" i="1"/>
  <c r="A19972" i="1"/>
  <c r="B19972" i="1"/>
  <c r="A19973" i="1"/>
  <c r="B19973" i="1"/>
  <c r="A19974" i="1"/>
  <c r="B19974" i="1"/>
  <c r="A19975" i="1"/>
  <c r="B19975" i="1"/>
  <c r="A19976" i="1"/>
  <c r="B19976" i="1"/>
  <c r="A19977" i="1"/>
  <c r="B19977" i="1"/>
  <c r="A19978" i="1"/>
  <c r="B19978" i="1"/>
  <c r="A19979" i="1"/>
  <c r="B19979" i="1"/>
  <c r="A19980" i="1"/>
  <c r="B19980" i="1"/>
  <c r="A19981" i="1"/>
  <c r="B19981" i="1"/>
  <c r="A19982" i="1"/>
  <c r="B19982" i="1"/>
  <c r="A19983" i="1"/>
  <c r="B19983" i="1"/>
  <c r="A19984" i="1"/>
  <c r="B19984" i="1"/>
  <c r="A19985" i="1"/>
  <c r="B19985" i="1"/>
  <c r="A19986" i="1"/>
  <c r="B19986" i="1"/>
  <c r="A19987" i="1"/>
  <c r="B19987" i="1"/>
  <c r="A19988" i="1"/>
  <c r="B19988" i="1"/>
  <c r="A19989" i="1"/>
  <c r="B19989" i="1"/>
  <c r="A19990" i="1"/>
  <c r="B19990" i="1"/>
  <c r="A19991" i="1"/>
  <c r="B19991" i="1"/>
  <c r="A19992" i="1"/>
  <c r="B19992" i="1"/>
  <c r="A19993" i="1"/>
  <c r="B19993" i="1"/>
  <c r="A19994" i="1"/>
  <c r="B19994" i="1"/>
  <c r="A19995" i="1"/>
  <c r="B19995" i="1"/>
  <c r="A19996" i="1"/>
  <c r="B19996" i="1"/>
  <c r="A19997" i="1"/>
  <c r="B19997" i="1"/>
  <c r="A19998" i="1"/>
  <c r="B19998" i="1"/>
  <c r="A19999" i="1"/>
  <c r="B19999" i="1"/>
  <c r="A20000" i="1"/>
  <c r="B20000" i="1"/>
  <c r="A20001" i="1"/>
  <c r="B20001" i="1"/>
  <c r="A20002" i="1"/>
  <c r="B20002" i="1"/>
  <c r="A20003" i="1"/>
  <c r="B20003" i="1"/>
  <c r="A20004" i="1"/>
  <c r="B20004" i="1"/>
  <c r="A20005" i="1"/>
  <c r="B20005" i="1"/>
  <c r="A20006" i="1"/>
  <c r="B20006" i="1"/>
  <c r="A20007" i="1"/>
  <c r="B20007" i="1"/>
  <c r="A20008" i="1"/>
  <c r="B20008" i="1"/>
  <c r="A20009" i="1"/>
  <c r="B20009" i="1"/>
  <c r="A20010" i="1"/>
  <c r="B20010" i="1"/>
  <c r="A20011" i="1"/>
  <c r="B20011" i="1"/>
  <c r="A20012" i="1"/>
  <c r="B20012" i="1"/>
  <c r="A20013" i="1"/>
  <c r="B20013" i="1"/>
  <c r="A20014" i="1"/>
  <c r="B20014" i="1"/>
  <c r="A20015" i="1"/>
  <c r="B20015" i="1"/>
  <c r="A20016" i="1"/>
  <c r="B20016" i="1"/>
  <c r="A20017" i="1"/>
  <c r="B20017" i="1"/>
  <c r="A20018" i="1"/>
  <c r="B20018" i="1"/>
  <c r="A20019" i="1"/>
  <c r="B20019" i="1"/>
  <c r="A20020" i="1"/>
  <c r="B20020" i="1"/>
  <c r="A20021" i="1"/>
  <c r="B20021" i="1"/>
  <c r="A20022" i="1"/>
  <c r="B20022" i="1"/>
  <c r="A20023" i="1"/>
  <c r="B20023" i="1"/>
  <c r="A20024" i="1"/>
  <c r="B20024" i="1"/>
  <c r="A20025" i="1"/>
  <c r="B20025" i="1"/>
  <c r="A20026" i="1"/>
  <c r="B20026" i="1"/>
  <c r="A20027" i="1"/>
  <c r="B20027" i="1"/>
  <c r="A20028" i="1"/>
  <c r="B20028" i="1"/>
  <c r="A20029" i="1"/>
  <c r="B20029" i="1"/>
  <c r="A20030" i="1"/>
  <c r="B20030" i="1"/>
  <c r="A20031" i="1"/>
  <c r="B20031" i="1"/>
  <c r="A20032" i="1"/>
  <c r="B20032" i="1"/>
  <c r="A20033" i="1"/>
  <c r="B20033" i="1"/>
  <c r="A20034" i="1"/>
  <c r="B20034" i="1"/>
  <c r="A20035" i="1"/>
  <c r="B20035" i="1"/>
  <c r="A20036" i="1"/>
  <c r="B20036" i="1"/>
  <c r="A20037" i="1"/>
  <c r="B20037" i="1"/>
  <c r="A20038" i="1"/>
  <c r="B20038" i="1"/>
  <c r="A20039" i="1"/>
  <c r="B20039" i="1"/>
  <c r="A20040" i="1"/>
  <c r="B20040" i="1"/>
  <c r="A20041" i="1"/>
  <c r="B20041" i="1"/>
  <c r="A20042" i="1"/>
  <c r="B20042" i="1"/>
  <c r="A20043" i="1"/>
  <c r="B20043" i="1"/>
  <c r="A20044" i="1"/>
  <c r="B20044" i="1"/>
  <c r="A20045" i="1"/>
  <c r="B20045" i="1"/>
  <c r="A20046" i="1"/>
  <c r="B20046" i="1"/>
  <c r="A20047" i="1"/>
  <c r="B20047" i="1"/>
  <c r="A20048" i="1"/>
  <c r="B20048" i="1"/>
  <c r="A20049" i="1"/>
  <c r="B20049" i="1"/>
  <c r="A20050" i="1"/>
  <c r="B20050" i="1"/>
  <c r="A20051" i="1"/>
  <c r="B20051" i="1"/>
  <c r="A20052" i="1"/>
  <c r="B20052" i="1"/>
  <c r="A20053" i="1"/>
  <c r="B20053" i="1"/>
  <c r="A20054" i="1"/>
  <c r="B20054" i="1"/>
  <c r="A20055" i="1"/>
  <c r="B20055" i="1"/>
  <c r="A20056" i="1"/>
  <c r="B20056" i="1"/>
  <c r="A20057" i="1"/>
  <c r="B20057" i="1"/>
  <c r="A20058" i="1"/>
  <c r="B20058" i="1"/>
  <c r="A20059" i="1"/>
  <c r="B20059" i="1"/>
  <c r="A20060" i="1"/>
  <c r="B20060" i="1"/>
  <c r="A20061" i="1"/>
  <c r="B20061" i="1"/>
  <c r="A20062" i="1"/>
  <c r="B20062" i="1"/>
  <c r="A20063" i="1"/>
  <c r="B20063" i="1"/>
  <c r="A20064" i="1"/>
  <c r="B20064" i="1"/>
  <c r="A20065" i="1"/>
  <c r="B20065" i="1"/>
  <c r="A20066" i="1"/>
  <c r="B20066" i="1"/>
  <c r="A20067" i="1"/>
  <c r="B20067" i="1"/>
  <c r="A20068" i="1"/>
  <c r="B20068" i="1"/>
  <c r="A20069" i="1"/>
  <c r="B20069" i="1"/>
  <c r="A20070" i="1"/>
  <c r="B20070" i="1"/>
  <c r="A20071" i="1"/>
  <c r="B20071" i="1"/>
  <c r="A20072" i="1"/>
  <c r="B20072" i="1"/>
  <c r="A20073" i="1"/>
  <c r="B20073" i="1"/>
  <c r="A20074" i="1"/>
  <c r="B20074" i="1"/>
  <c r="A20075" i="1"/>
  <c r="B20075" i="1"/>
  <c r="A20076" i="1"/>
  <c r="B20076" i="1"/>
  <c r="A20077" i="1"/>
  <c r="B20077" i="1"/>
  <c r="A20078" i="1"/>
  <c r="B20078" i="1"/>
  <c r="A20079" i="1"/>
  <c r="B20079" i="1"/>
  <c r="A20080" i="1"/>
  <c r="B20080" i="1"/>
  <c r="A20081" i="1"/>
  <c r="B20081" i="1"/>
  <c r="A20082" i="1"/>
  <c r="B20082" i="1"/>
  <c r="A20083" i="1"/>
  <c r="B20083" i="1"/>
  <c r="A20084" i="1"/>
  <c r="B20084" i="1"/>
  <c r="A20085" i="1"/>
  <c r="B20085" i="1"/>
  <c r="A20086" i="1"/>
  <c r="B20086" i="1"/>
  <c r="A20087" i="1"/>
  <c r="B20087" i="1"/>
  <c r="A20088" i="1"/>
  <c r="B20088" i="1"/>
  <c r="A20089" i="1"/>
  <c r="B20089" i="1"/>
  <c r="A20090" i="1"/>
  <c r="B20090" i="1"/>
  <c r="A20091" i="1"/>
  <c r="B20091" i="1"/>
  <c r="A20092" i="1"/>
  <c r="B20092" i="1"/>
  <c r="A20093" i="1"/>
  <c r="B20093" i="1"/>
  <c r="A20094" i="1"/>
  <c r="B20094" i="1"/>
  <c r="A20095" i="1"/>
  <c r="B20095" i="1"/>
  <c r="A20096" i="1"/>
  <c r="B20096" i="1"/>
  <c r="A20097" i="1"/>
  <c r="B20097" i="1"/>
  <c r="A20098" i="1"/>
  <c r="B20098" i="1"/>
  <c r="A20099" i="1"/>
  <c r="B20099" i="1"/>
  <c r="A20100" i="1"/>
  <c r="B20100" i="1"/>
  <c r="A20101" i="1"/>
  <c r="B20101" i="1"/>
  <c r="A20102" i="1"/>
  <c r="B20102" i="1"/>
  <c r="A20103" i="1"/>
  <c r="B20103" i="1"/>
  <c r="A20104" i="1"/>
  <c r="B20104" i="1"/>
  <c r="A20105" i="1"/>
  <c r="B20105" i="1"/>
  <c r="A20106" i="1"/>
  <c r="B20106" i="1"/>
  <c r="A20107" i="1"/>
  <c r="B20107" i="1"/>
  <c r="A20108" i="1"/>
  <c r="B20108" i="1"/>
  <c r="A20109" i="1"/>
  <c r="B20109" i="1"/>
  <c r="A20110" i="1"/>
  <c r="B20110" i="1"/>
  <c r="A20111" i="1"/>
  <c r="B20111" i="1"/>
  <c r="A20112" i="1"/>
  <c r="B20112" i="1"/>
  <c r="A20113" i="1"/>
  <c r="B20113" i="1"/>
  <c r="A20114" i="1"/>
  <c r="B20114" i="1"/>
  <c r="A20115" i="1"/>
  <c r="B20115" i="1"/>
  <c r="A20116" i="1"/>
  <c r="B20116" i="1"/>
  <c r="A20117" i="1"/>
  <c r="B20117" i="1"/>
  <c r="A20118" i="1"/>
  <c r="B20118" i="1"/>
  <c r="A20119" i="1"/>
  <c r="B20119" i="1"/>
  <c r="A20120" i="1"/>
  <c r="B20120" i="1"/>
  <c r="A20121" i="1"/>
  <c r="B20121" i="1"/>
  <c r="A20122" i="1"/>
  <c r="B20122" i="1"/>
  <c r="A20123" i="1"/>
  <c r="B20123" i="1"/>
  <c r="A20124" i="1"/>
  <c r="B20124" i="1"/>
  <c r="A20125" i="1"/>
  <c r="B20125" i="1"/>
  <c r="A20126" i="1"/>
  <c r="B20126" i="1"/>
  <c r="A20127" i="1"/>
  <c r="B20127" i="1"/>
  <c r="A20128" i="1"/>
  <c r="B20128" i="1"/>
  <c r="A20129" i="1"/>
  <c r="B20129" i="1"/>
  <c r="A20130" i="1"/>
  <c r="B20130" i="1"/>
  <c r="A20131" i="1"/>
  <c r="B20131" i="1"/>
  <c r="A20132" i="1"/>
  <c r="B20132" i="1"/>
  <c r="A20133" i="1"/>
  <c r="B20133" i="1"/>
  <c r="A20134" i="1"/>
  <c r="B20134" i="1"/>
  <c r="A20135" i="1"/>
  <c r="B20135" i="1"/>
  <c r="A20136" i="1"/>
  <c r="B20136" i="1"/>
  <c r="A20137" i="1"/>
  <c r="B20137" i="1"/>
  <c r="A20138" i="1"/>
  <c r="B20138" i="1"/>
  <c r="A20139" i="1"/>
  <c r="B20139" i="1"/>
  <c r="A20140" i="1"/>
  <c r="B20140" i="1"/>
  <c r="A20141" i="1"/>
  <c r="B20141" i="1"/>
  <c r="A20142" i="1"/>
  <c r="B20142" i="1"/>
  <c r="A20143" i="1"/>
  <c r="B20143" i="1"/>
  <c r="A20144" i="1"/>
  <c r="B20144" i="1"/>
  <c r="A20145" i="1"/>
  <c r="B20145" i="1"/>
  <c r="A20146" i="1"/>
  <c r="B20146" i="1"/>
  <c r="A20147" i="1"/>
  <c r="B20147" i="1"/>
  <c r="A20148" i="1"/>
  <c r="B20148" i="1"/>
  <c r="A20149" i="1"/>
  <c r="B20149" i="1"/>
  <c r="A20150" i="1"/>
  <c r="B20150" i="1"/>
  <c r="A20151" i="1"/>
  <c r="B20151" i="1"/>
  <c r="A20152" i="1"/>
  <c r="B20152" i="1"/>
  <c r="A20153" i="1"/>
  <c r="B20153" i="1"/>
  <c r="A20154" i="1"/>
  <c r="B20154" i="1"/>
  <c r="A20155" i="1"/>
  <c r="B20155" i="1"/>
  <c r="A20156" i="1"/>
  <c r="B20156" i="1"/>
  <c r="A20157" i="1"/>
  <c r="B20157" i="1"/>
  <c r="A20158" i="1"/>
  <c r="B20158" i="1"/>
  <c r="A20159" i="1"/>
  <c r="B20159" i="1"/>
  <c r="A20160" i="1"/>
  <c r="B20160" i="1"/>
  <c r="A20161" i="1"/>
  <c r="B20161" i="1"/>
  <c r="A20162" i="1"/>
  <c r="B20162" i="1"/>
  <c r="A20163" i="1"/>
  <c r="B20163" i="1"/>
  <c r="A20164" i="1"/>
  <c r="B20164" i="1"/>
  <c r="A20165" i="1"/>
  <c r="B20165" i="1"/>
  <c r="A20166" i="1"/>
  <c r="B20166" i="1"/>
  <c r="A20167" i="1"/>
  <c r="B20167" i="1"/>
  <c r="A20168" i="1"/>
  <c r="B20168" i="1"/>
  <c r="A20169" i="1"/>
  <c r="B20169" i="1"/>
  <c r="A20170" i="1"/>
  <c r="B20170" i="1"/>
  <c r="A20171" i="1"/>
  <c r="B20171" i="1"/>
  <c r="A20172" i="1"/>
  <c r="B20172" i="1"/>
  <c r="A20173" i="1"/>
  <c r="B20173" i="1"/>
  <c r="A20174" i="1"/>
  <c r="B20174" i="1"/>
  <c r="A20175" i="1"/>
  <c r="B20175" i="1"/>
  <c r="A20176" i="1"/>
  <c r="B20176" i="1"/>
  <c r="A20177" i="1"/>
  <c r="B20177" i="1"/>
  <c r="A20178" i="1"/>
  <c r="B20178" i="1"/>
  <c r="A20179" i="1"/>
  <c r="B20179" i="1"/>
  <c r="A20180" i="1"/>
  <c r="B20180" i="1"/>
  <c r="A20181" i="1"/>
  <c r="B20181" i="1"/>
  <c r="A20182" i="1"/>
  <c r="B20182" i="1"/>
  <c r="A20183" i="1"/>
  <c r="B20183" i="1"/>
  <c r="A20184" i="1"/>
  <c r="B20184" i="1"/>
  <c r="A20185" i="1"/>
  <c r="B20185" i="1"/>
  <c r="A20186" i="1"/>
  <c r="B20186" i="1"/>
  <c r="A20187" i="1"/>
  <c r="B20187" i="1"/>
  <c r="A20188" i="1"/>
  <c r="B20188" i="1"/>
  <c r="A20189" i="1"/>
  <c r="B20189" i="1"/>
  <c r="A20190" i="1"/>
  <c r="B20190" i="1"/>
  <c r="A20191" i="1"/>
  <c r="B20191" i="1"/>
  <c r="A20192" i="1"/>
  <c r="B20192" i="1"/>
  <c r="A20193" i="1"/>
  <c r="B20193" i="1"/>
  <c r="A20194" i="1"/>
  <c r="B20194" i="1"/>
  <c r="A20195" i="1"/>
  <c r="B20195" i="1"/>
  <c r="A20196" i="1"/>
  <c r="B20196" i="1"/>
  <c r="A20197" i="1"/>
  <c r="B20197" i="1"/>
  <c r="A20198" i="1"/>
  <c r="B20198" i="1"/>
  <c r="A20199" i="1"/>
  <c r="B20199" i="1"/>
  <c r="A20200" i="1"/>
  <c r="B20200" i="1"/>
  <c r="A20201" i="1"/>
  <c r="B20201" i="1"/>
  <c r="A20202" i="1"/>
  <c r="B20202" i="1"/>
  <c r="A20203" i="1"/>
  <c r="B20203" i="1"/>
  <c r="A20204" i="1"/>
  <c r="B20204" i="1"/>
  <c r="A20205" i="1"/>
  <c r="B20205" i="1"/>
  <c r="A20206" i="1"/>
  <c r="B20206" i="1"/>
  <c r="A20207" i="1"/>
  <c r="B20207" i="1"/>
  <c r="A20208" i="1"/>
  <c r="B20208" i="1"/>
  <c r="A20209" i="1"/>
  <c r="B20209" i="1"/>
  <c r="A20210" i="1"/>
  <c r="B20210" i="1"/>
  <c r="A20211" i="1"/>
  <c r="B20211" i="1"/>
  <c r="A20212" i="1"/>
  <c r="B20212" i="1"/>
  <c r="A20213" i="1"/>
  <c r="B20213" i="1"/>
  <c r="A20214" i="1"/>
  <c r="B20214" i="1"/>
  <c r="A20215" i="1"/>
  <c r="B20215" i="1"/>
  <c r="A20216" i="1"/>
  <c r="B20216" i="1"/>
  <c r="A20217" i="1"/>
  <c r="B20217" i="1"/>
  <c r="A20218" i="1"/>
  <c r="B20218" i="1"/>
  <c r="A20219" i="1"/>
  <c r="B20219" i="1"/>
  <c r="A20220" i="1"/>
  <c r="B20220" i="1"/>
  <c r="A20221" i="1"/>
  <c r="B20221" i="1"/>
  <c r="A20222" i="1"/>
  <c r="B20222" i="1"/>
  <c r="A20223" i="1"/>
  <c r="B20223" i="1"/>
  <c r="A20224" i="1"/>
  <c r="B20224" i="1"/>
  <c r="A20225" i="1"/>
  <c r="B20225" i="1"/>
  <c r="A20226" i="1"/>
  <c r="B20226" i="1"/>
  <c r="A20227" i="1"/>
  <c r="B20227" i="1"/>
  <c r="A20228" i="1"/>
  <c r="B20228" i="1"/>
  <c r="A20229" i="1"/>
  <c r="B20229" i="1"/>
  <c r="A20230" i="1"/>
  <c r="B20230" i="1"/>
  <c r="A20231" i="1"/>
  <c r="B20231" i="1"/>
  <c r="A20232" i="1"/>
  <c r="B20232" i="1"/>
  <c r="A20233" i="1"/>
  <c r="B20233" i="1"/>
  <c r="A20234" i="1"/>
  <c r="B20234" i="1"/>
  <c r="A20235" i="1"/>
  <c r="B20235" i="1"/>
  <c r="A20236" i="1"/>
  <c r="B20236" i="1"/>
  <c r="A20237" i="1"/>
  <c r="B20237" i="1"/>
  <c r="A20238" i="1"/>
  <c r="B20238" i="1"/>
  <c r="A20239" i="1"/>
  <c r="B20239" i="1"/>
  <c r="A20240" i="1"/>
  <c r="B20240" i="1"/>
  <c r="A20241" i="1"/>
  <c r="B20241" i="1"/>
  <c r="A20242" i="1"/>
  <c r="B20242" i="1"/>
  <c r="A20243" i="1"/>
  <c r="B20243" i="1"/>
  <c r="A20244" i="1"/>
  <c r="B20244" i="1"/>
  <c r="A20245" i="1"/>
  <c r="B20245" i="1"/>
  <c r="A20246" i="1"/>
  <c r="B20246" i="1"/>
  <c r="A20247" i="1"/>
  <c r="B20247" i="1"/>
  <c r="A20248" i="1"/>
  <c r="B20248" i="1"/>
  <c r="A20249" i="1"/>
  <c r="B20249" i="1"/>
  <c r="A20250" i="1"/>
  <c r="B20250" i="1"/>
  <c r="A20251" i="1"/>
  <c r="B20251" i="1"/>
  <c r="A20252" i="1"/>
  <c r="B20252" i="1"/>
  <c r="A20253" i="1"/>
  <c r="B20253" i="1"/>
  <c r="A20254" i="1"/>
  <c r="B20254" i="1"/>
  <c r="A20255" i="1"/>
  <c r="B20255" i="1"/>
  <c r="A20256" i="1"/>
  <c r="B20256" i="1"/>
  <c r="A20257" i="1"/>
  <c r="B20257" i="1"/>
  <c r="A20258" i="1"/>
  <c r="B20258" i="1"/>
  <c r="A20259" i="1"/>
  <c r="B20259" i="1"/>
  <c r="A20260" i="1"/>
  <c r="B20260" i="1"/>
  <c r="A20261" i="1"/>
  <c r="B20261" i="1"/>
  <c r="A20262" i="1"/>
  <c r="B20262" i="1"/>
  <c r="A20263" i="1"/>
  <c r="B20263" i="1"/>
  <c r="A20264" i="1"/>
  <c r="B20264" i="1"/>
  <c r="A20265" i="1"/>
  <c r="B20265" i="1"/>
  <c r="A20266" i="1"/>
  <c r="B20266" i="1"/>
  <c r="A20267" i="1"/>
  <c r="B20267" i="1"/>
  <c r="A20268" i="1"/>
  <c r="B20268" i="1"/>
  <c r="A20269" i="1"/>
  <c r="B20269" i="1"/>
  <c r="A20270" i="1"/>
  <c r="B20270" i="1"/>
  <c r="A20271" i="1"/>
  <c r="B20271" i="1"/>
  <c r="A20272" i="1"/>
  <c r="B20272" i="1"/>
  <c r="A20273" i="1"/>
  <c r="B20273" i="1"/>
  <c r="A20274" i="1"/>
  <c r="B20274" i="1"/>
  <c r="A20275" i="1"/>
  <c r="B20275" i="1"/>
  <c r="A20276" i="1"/>
  <c r="B20276" i="1"/>
  <c r="A20277" i="1"/>
  <c r="B20277" i="1"/>
  <c r="A20278" i="1"/>
  <c r="B20278" i="1"/>
  <c r="A20279" i="1"/>
  <c r="B20279" i="1"/>
  <c r="A20280" i="1"/>
  <c r="B20280" i="1"/>
  <c r="A20281" i="1"/>
  <c r="B20281" i="1"/>
  <c r="A20282" i="1"/>
  <c r="B20282" i="1"/>
  <c r="A20283" i="1"/>
  <c r="B20283" i="1"/>
  <c r="A20284" i="1"/>
  <c r="B20284" i="1"/>
  <c r="A20285" i="1"/>
  <c r="B20285" i="1"/>
  <c r="A20286" i="1"/>
  <c r="B20286" i="1"/>
  <c r="A20287" i="1"/>
  <c r="B20287" i="1"/>
  <c r="A20288" i="1"/>
  <c r="B20288" i="1"/>
  <c r="A20289" i="1"/>
  <c r="B20289" i="1"/>
  <c r="A20290" i="1"/>
  <c r="B20290" i="1"/>
  <c r="A20291" i="1"/>
  <c r="B20291" i="1"/>
  <c r="A20292" i="1"/>
  <c r="B20292" i="1"/>
  <c r="A20293" i="1"/>
  <c r="B20293" i="1"/>
  <c r="A20294" i="1"/>
  <c r="B20294" i="1"/>
  <c r="A20295" i="1"/>
  <c r="B20295" i="1"/>
  <c r="A20296" i="1"/>
  <c r="B20296" i="1"/>
  <c r="A20297" i="1"/>
  <c r="B20297" i="1"/>
  <c r="A20298" i="1"/>
  <c r="B20298" i="1"/>
  <c r="A20299" i="1"/>
  <c r="B20299" i="1"/>
  <c r="A20300" i="1"/>
  <c r="B20300" i="1"/>
  <c r="A20301" i="1"/>
  <c r="B20301" i="1"/>
  <c r="A20302" i="1"/>
  <c r="B20302" i="1"/>
  <c r="A20303" i="1"/>
  <c r="B20303" i="1"/>
  <c r="A20304" i="1"/>
  <c r="B20304" i="1"/>
  <c r="A20305" i="1"/>
  <c r="B20305" i="1"/>
  <c r="A20306" i="1"/>
  <c r="B20306" i="1"/>
  <c r="A20307" i="1"/>
  <c r="B20307" i="1"/>
  <c r="A20308" i="1"/>
  <c r="B20308" i="1"/>
  <c r="A20309" i="1"/>
  <c r="B20309" i="1"/>
  <c r="A20310" i="1"/>
  <c r="B20310" i="1"/>
  <c r="A20311" i="1"/>
  <c r="B20311" i="1"/>
  <c r="A20312" i="1"/>
  <c r="B20312" i="1"/>
  <c r="A20313" i="1"/>
  <c r="B20313" i="1"/>
  <c r="A20314" i="1"/>
  <c r="B20314" i="1"/>
  <c r="A20315" i="1"/>
  <c r="B20315" i="1"/>
  <c r="A20316" i="1"/>
  <c r="B20316" i="1"/>
  <c r="A20317" i="1"/>
  <c r="B20317" i="1"/>
  <c r="A20318" i="1"/>
  <c r="B20318" i="1"/>
  <c r="A20319" i="1"/>
  <c r="B20319" i="1"/>
  <c r="A20320" i="1"/>
  <c r="B20320" i="1"/>
  <c r="A20321" i="1"/>
  <c r="B20321" i="1"/>
  <c r="A20322" i="1"/>
  <c r="B20322" i="1"/>
  <c r="A20323" i="1"/>
  <c r="B20323" i="1"/>
  <c r="A20324" i="1"/>
  <c r="B20324" i="1"/>
  <c r="A20325" i="1"/>
  <c r="B20325" i="1"/>
  <c r="A20326" i="1"/>
  <c r="B20326" i="1"/>
  <c r="A20327" i="1"/>
  <c r="B20327" i="1"/>
  <c r="A20328" i="1"/>
  <c r="B20328" i="1"/>
  <c r="A20329" i="1"/>
  <c r="B20329" i="1"/>
  <c r="A20330" i="1"/>
  <c r="B20330" i="1"/>
  <c r="A20331" i="1"/>
  <c r="B20331" i="1"/>
  <c r="A20332" i="1"/>
  <c r="B20332" i="1"/>
  <c r="A20333" i="1"/>
  <c r="B20333" i="1"/>
  <c r="A20334" i="1"/>
  <c r="B20334" i="1"/>
  <c r="A20335" i="1"/>
  <c r="B20335" i="1"/>
  <c r="A20336" i="1"/>
  <c r="B20336" i="1"/>
  <c r="A20337" i="1"/>
  <c r="B20337" i="1"/>
  <c r="A20338" i="1"/>
  <c r="B20338" i="1"/>
  <c r="A20339" i="1"/>
  <c r="B20339" i="1"/>
  <c r="A20340" i="1"/>
  <c r="B20340" i="1"/>
  <c r="A20341" i="1"/>
  <c r="B20341" i="1"/>
  <c r="A20342" i="1"/>
  <c r="B20342" i="1"/>
  <c r="A20343" i="1"/>
  <c r="B20343" i="1"/>
  <c r="A20344" i="1"/>
  <c r="B20344" i="1"/>
  <c r="A20345" i="1"/>
  <c r="B20345" i="1"/>
  <c r="A20346" i="1"/>
  <c r="B20346" i="1"/>
  <c r="A20347" i="1"/>
  <c r="B20347" i="1"/>
  <c r="A20348" i="1"/>
  <c r="B20348" i="1"/>
  <c r="A20349" i="1"/>
  <c r="B20349" i="1"/>
  <c r="A20350" i="1"/>
  <c r="B20350" i="1"/>
  <c r="A20351" i="1"/>
  <c r="B20351" i="1"/>
  <c r="A20352" i="1"/>
  <c r="B20352" i="1"/>
  <c r="A20353" i="1"/>
  <c r="B20353" i="1"/>
  <c r="A20354" i="1"/>
  <c r="B20354" i="1"/>
  <c r="A20355" i="1"/>
  <c r="B20355" i="1"/>
  <c r="A20356" i="1"/>
  <c r="B20356" i="1"/>
  <c r="A20357" i="1"/>
  <c r="B20357" i="1"/>
  <c r="A20358" i="1"/>
  <c r="B20358" i="1"/>
  <c r="A20359" i="1"/>
  <c r="B20359" i="1"/>
  <c r="A20360" i="1"/>
  <c r="B20360" i="1"/>
  <c r="A20361" i="1"/>
  <c r="B20361" i="1"/>
  <c r="A20362" i="1"/>
  <c r="B20362" i="1"/>
  <c r="A20363" i="1"/>
  <c r="B20363" i="1"/>
  <c r="A20364" i="1"/>
  <c r="B20364" i="1"/>
  <c r="A20365" i="1"/>
  <c r="B20365" i="1"/>
  <c r="A20366" i="1"/>
  <c r="B20366" i="1"/>
  <c r="A20367" i="1"/>
  <c r="B20367" i="1"/>
  <c r="A20368" i="1"/>
  <c r="B20368" i="1"/>
  <c r="A20369" i="1"/>
  <c r="B20369" i="1"/>
  <c r="A20370" i="1"/>
  <c r="B20370" i="1"/>
  <c r="A20371" i="1"/>
  <c r="B20371" i="1"/>
  <c r="A20372" i="1"/>
  <c r="B20372" i="1"/>
  <c r="A20373" i="1"/>
  <c r="B20373" i="1"/>
  <c r="A20374" i="1"/>
  <c r="B20374" i="1"/>
  <c r="A20375" i="1"/>
  <c r="B20375" i="1"/>
  <c r="A20376" i="1"/>
  <c r="B20376" i="1"/>
  <c r="A20377" i="1"/>
  <c r="B20377" i="1"/>
  <c r="A20378" i="1"/>
  <c r="B20378" i="1"/>
  <c r="A20379" i="1"/>
  <c r="B20379" i="1"/>
  <c r="A20380" i="1"/>
  <c r="B20380" i="1"/>
  <c r="A20381" i="1"/>
  <c r="B20381" i="1"/>
  <c r="A20382" i="1"/>
  <c r="B20382" i="1"/>
  <c r="A20383" i="1"/>
  <c r="B20383" i="1"/>
  <c r="A20384" i="1"/>
  <c r="B20384" i="1"/>
  <c r="A20385" i="1"/>
  <c r="B20385" i="1"/>
  <c r="A20386" i="1"/>
  <c r="B20386" i="1"/>
  <c r="A20387" i="1"/>
  <c r="B20387" i="1"/>
  <c r="A20388" i="1"/>
  <c r="B20388" i="1"/>
  <c r="A20389" i="1"/>
  <c r="B20389" i="1"/>
  <c r="A20390" i="1"/>
  <c r="B20390" i="1"/>
  <c r="A20391" i="1"/>
  <c r="B20391" i="1"/>
  <c r="A20392" i="1"/>
  <c r="B20392" i="1"/>
  <c r="A20393" i="1"/>
  <c r="B20393" i="1"/>
  <c r="A20394" i="1"/>
  <c r="B20394" i="1"/>
  <c r="A20395" i="1"/>
  <c r="B20395" i="1"/>
  <c r="A20396" i="1"/>
  <c r="B20396" i="1"/>
  <c r="A20397" i="1"/>
  <c r="B20397" i="1"/>
  <c r="A20398" i="1"/>
  <c r="B20398" i="1"/>
  <c r="A20399" i="1"/>
  <c r="B20399" i="1"/>
  <c r="A20400" i="1"/>
  <c r="B20400" i="1"/>
  <c r="A20401" i="1"/>
  <c r="B20401" i="1"/>
  <c r="A20402" i="1"/>
  <c r="B20402" i="1"/>
  <c r="A20403" i="1"/>
  <c r="B20403" i="1"/>
  <c r="A20404" i="1"/>
  <c r="B20404" i="1"/>
  <c r="A20405" i="1"/>
  <c r="B20405" i="1"/>
  <c r="A20406" i="1"/>
  <c r="B20406" i="1"/>
  <c r="A20407" i="1"/>
  <c r="B20407" i="1"/>
  <c r="A20408" i="1"/>
  <c r="B20408" i="1"/>
  <c r="A20409" i="1"/>
  <c r="B20409" i="1"/>
  <c r="A20410" i="1"/>
  <c r="B20410" i="1"/>
  <c r="A20411" i="1"/>
  <c r="B20411" i="1"/>
  <c r="A20412" i="1"/>
  <c r="B20412" i="1"/>
  <c r="A20413" i="1"/>
  <c r="B20413" i="1"/>
  <c r="A20414" i="1"/>
  <c r="B20414" i="1"/>
  <c r="A20415" i="1"/>
  <c r="B20415" i="1"/>
  <c r="A20416" i="1"/>
  <c r="B20416" i="1"/>
  <c r="A20417" i="1"/>
  <c r="B20417" i="1"/>
  <c r="A20418" i="1"/>
  <c r="B20418" i="1"/>
  <c r="A20419" i="1"/>
  <c r="B20419" i="1"/>
  <c r="A20420" i="1"/>
  <c r="B20420" i="1"/>
  <c r="A20421" i="1"/>
  <c r="B20421" i="1"/>
  <c r="A20422" i="1"/>
  <c r="B20422" i="1"/>
  <c r="A20423" i="1"/>
  <c r="B20423" i="1"/>
  <c r="A20424" i="1"/>
  <c r="B20424" i="1"/>
  <c r="A20425" i="1"/>
  <c r="B20425" i="1"/>
  <c r="A20426" i="1"/>
  <c r="B20426" i="1"/>
  <c r="A20427" i="1"/>
  <c r="B20427" i="1"/>
  <c r="A20428" i="1"/>
  <c r="B20428" i="1"/>
  <c r="A20429" i="1"/>
  <c r="B20429" i="1"/>
  <c r="A20430" i="1"/>
  <c r="B20430" i="1"/>
  <c r="A20431" i="1"/>
  <c r="B20431" i="1"/>
  <c r="A20432" i="1"/>
  <c r="B20432" i="1"/>
  <c r="A20433" i="1"/>
  <c r="B20433" i="1"/>
  <c r="A20434" i="1"/>
  <c r="B20434" i="1"/>
  <c r="A20435" i="1"/>
  <c r="B20435" i="1"/>
  <c r="A20436" i="1"/>
  <c r="B20436" i="1"/>
  <c r="A20437" i="1"/>
  <c r="B20437" i="1"/>
  <c r="A20438" i="1"/>
  <c r="B20438" i="1"/>
  <c r="A20439" i="1"/>
  <c r="B20439" i="1"/>
  <c r="A20440" i="1"/>
  <c r="B20440" i="1"/>
  <c r="A20441" i="1"/>
  <c r="B20441" i="1"/>
  <c r="A20442" i="1"/>
  <c r="B20442" i="1"/>
  <c r="A20443" i="1"/>
  <c r="B20443" i="1"/>
  <c r="A20444" i="1"/>
  <c r="B20444" i="1"/>
  <c r="A20445" i="1"/>
  <c r="B20445" i="1"/>
  <c r="A20446" i="1"/>
  <c r="B20446" i="1"/>
  <c r="A20447" i="1"/>
  <c r="B20447" i="1"/>
  <c r="A20448" i="1"/>
  <c r="B20448" i="1"/>
  <c r="A20449" i="1"/>
  <c r="B20449" i="1"/>
  <c r="A20450" i="1"/>
  <c r="B20450" i="1"/>
  <c r="A20451" i="1"/>
  <c r="B20451" i="1"/>
  <c r="A20452" i="1"/>
  <c r="B20452" i="1"/>
  <c r="A20453" i="1"/>
  <c r="B20453" i="1"/>
  <c r="A20454" i="1"/>
  <c r="B20454" i="1"/>
  <c r="A20455" i="1"/>
  <c r="B20455" i="1"/>
  <c r="A20456" i="1"/>
  <c r="B20456" i="1"/>
  <c r="A20457" i="1"/>
  <c r="B20457" i="1"/>
  <c r="A20458" i="1"/>
  <c r="B20458" i="1"/>
  <c r="A20459" i="1"/>
  <c r="B20459" i="1"/>
  <c r="A20460" i="1"/>
  <c r="B20460" i="1"/>
  <c r="A20461" i="1"/>
  <c r="B20461" i="1"/>
  <c r="A20462" i="1"/>
  <c r="B20462" i="1"/>
  <c r="A20463" i="1"/>
  <c r="B20463" i="1"/>
  <c r="A20464" i="1"/>
  <c r="B20464" i="1"/>
  <c r="A20465" i="1"/>
  <c r="B20465" i="1"/>
  <c r="A20466" i="1"/>
  <c r="B20466" i="1"/>
  <c r="A20467" i="1"/>
  <c r="B20467" i="1"/>
  <c r="A20468" i="1"/>
  <c r="B20468" i="1"/>
  <c r="A20469" i="1"/>
  <c r="B20469" i="1"/>
  <c r="A20470" i="1"/>
  <c r="B20470" i="1"/>
  <c r="A20471" i="1"/>
  <c r="B20471" i="1"/>
  <c r="A20472" i="1"/>
  <c r="B20472" i="1"/>
  <c r="A20473" i="1"/>
  <c r="B20473" i="1"/>
  <c r="A20474" i="1"/>
  <c r="B20474" i="1"/>
  <c r="A20475" i="1"/>
  <c r="B20475" i="1"/>
  <c r="A20476" i="1"/>
  <c r="B20476" i="1"/>
  <c r="A20477" i="1"/>
  <c r="B20477" i="1"/>
  <c r="A20478" i="1"/>
  <c r="B20478" i="1"/>
  <c r="A20479" i="1"/>
  <c r="B20479" i="1"/>
  <c r="A20480" i="1"/>
  <c r="B20480" i="1"/>
  <c r="A20481" i="1"/>
  <c r="B20481" i="1"/>
  <c r="A20482" i="1"/>
  <c r="B20482" i="1"/>
  <c r="A20483" i="1"/>
  <c r="B20483" i="1"/>
  <c r="A20484" i="1"/>
  <c r="B20484" i="1"/>
  <c r="A20485" i="1"/>
  <c r="B20485" i="1"/>
  <c r="A20486" i="1"/>
  <c r="B20486" i="1"/>
  <c r="A20487" i="1"/>
  <c r="B20487" i="1"/>
  <c r="A20488" i="1"/>
  <c r="B20488" i="1"/>
  <c r="A20489" i="1"/>
  <c r="B20489" i="1"/>
  <c r="A20490" i="1"/>
  <c r="B20490" i="1"/>
  <c r="A20491" i="1"/>
  <c r="B20491" i="1"/>
  <c r="A20492" i="1"/>
  <c r="B20492" i="1"/>
  <c r="A20493" i="1"/>
  <c r="B20493" i="1"/>
  <c r="A20494" i="1"/>
  <c r="B20494" i="1"/>
  <c r="A20495" i="1"/>
  <c r="B20495" i="1"/>
  <c r="A20496" i="1"/>
  <c r="B20496" i="1"/>
  <c r="A20497" i="1"/>
  <c r="B20497" i="1"/>
  <c r="A20498" i="1"/>
  <c r="B20498" i="1"/>
  <c r="A20499" i="1"/>
  <c r="B20499" i="1"/>
  <c r="A20500" i="1"/>
  <c r="B20500" i="1"/>
  <c r="A20501" i="1"/>
  <c r="B20501" i="1"/>
  <c r="A20502" i="1"/>
  <c r="B20502" i="1"/>
  <c r="A20503" i="1"/>
  <c r="B20503" i="1"/>
  <c r="A20504" i="1"/>
  <c r="B20504" i="1"/>
  <c r="A20505" i="1"/>
  <c r="B20505" i="1"/>
  <c r="A20506" i="1"/>
  <c r="B20506" i="1"/>
  <c r="A20507" i="1"/>
  <c r="B20507" i="1"/>
  <c r="A20508" i="1"/>
  <c r="B20508" i="1"/>
  <c r="A20509" i="1"/>
  <c r="B20509" i="1"/>
  <c r="A20510" i="1"/>
  <c r="B20510" i="1"/>
  <c r="A20511" i="1"/>
  <c r="B20511" i="1"/>
  <c r="A20512" i="1"/>
  <c r="B20512" i="1"/>
  <c r="A20513" i="1"/>
  <c r="B20513" i="1"/>
  <c r="A20514" i="1"/>
  <c r="B20514" i="1"/>
  <c r="A20515" i="1"/>
  <c r="B20515" i="1"/>
  <c r="A20516" i="1"/>
  <c r="B20516" i="1"/>
  <c r="A20517" i="1"/>
  <c r="B20517" i="1"/>
  <c r="A20518" i="1"/>
  <c r="B20518" i="1"/>
  <c r="A20519" i="1"/>
  <c r="B20519" i="1"/>
  <c r="A20520" i="1"/>
  <c r="B20520" i="1"/>
  <c r="A20521" i="1"/>
  <c r="B20521" i="1"/>
  <c r="A20522" i="1"/>
  <c r="B20522" i="1"/>
  <c r="A20523" i="1"/>
  <c r="B20523" i="1"/>
  <c r="A20524" i="1"/>
  <c r="B20524" i="1"/>
  <c r="A20525" i="1"/>
  <c r="B20525" i="1"/>
  <c r="A20526" i="1"/>
  <c r="B20526" i="1"/>
  <c r="A20527" i="1"/>
  <c r="B20527" i="1"/>
  <c r="A20528" i="1"/>
  <c r="B20528" i="1"/>
  <c r="A20529" i="1"/>
  <c r="B20529" i="1"/>
  <c r="A20530" i="1"/>
  <c r="B20530" i="1"/>
  <c r="A20531" i="1"/>
  <c r="B20531" i="1"/>
  <c r="A20532" i="1"/>
  <c r="B20532" i="1"/>
  <c r="A20533" i="1"/>
  <c r="B20533" i="1"/>
  <c r="A20534" i="1"/>
  <c r="B20534" i="1"/>
  <c r="A20535" i="1"/>
  <c r="B20535" i="1"/>
  <c r="A20536" i="1"/>
  <c r="B20536" i="1"/>
  <c r="A20537" i="1"/>
  <c r="B20537" i="1"/>
  <c r="A20538" i="1"/>
  <c r="B20538" i="1"/>
  <c r="A20539" i="1"/>
  <c r="B20539" i="1"/>
  <c r="A20540" i="1"/>
  <c r="B20540" i="1"/>
  <c r="A20541" i="1"/>
  <c r="B20541" i="1"/>
  <c r="A20542" i="1"/>
  <c r="B20542" i="1"/>
  <c r="A20543" i="1"/>
  <c r="B20543" i="1"/>
  <c r="A20544" i="1"/>
  <c r="B20544" i="1"/>
  <c r="A20545" i="1"/>
  <c r="B20545" i="1"/>
  <c r="A20546" i="1"/>
  <c r="B20546" i="1"/>
  <c r="A20547" i="1"/>
  <c r="B20547" i="1"/>
  <c r="A20548" i="1"/>
  <c r="B20548" i="1"/>
  <c r="A20549" i="1"/>
  <c r="B20549" i="1"/>
  <c r="A20550" i="1"/>
  <c r="B20550" i="1"/>
  <c r="A20551" i="1"/>
  <c r="B20551" i="1"/>
  <c r="A20552" i="1"/>
  <c r="B20552" i="1"/>
  <c r="A20553" i="1"/>
  <c r="B20553" i="1"/>
  <c r="A20554" i="1"/>
  <c r="B20554" i="1"/>
  <c r="A20555" i="1"/>
  <c r="B20555" i="1"/>
  <c r="A20556" i="1"/>
  <c r="B20556" i="1"/>
  <c r="A20557" i="1"/>
  <c r="B20557" i="1"/>
  <c r="A20558" i="1"/>
  <c r="B20558" i="1"/>
  <c r="A20559" i="1"/>
  <c r="B20559" i="1"/>
  <c r="A20560" i="1"/>
  <c r="B20560" i="1"/>
  <c r="A20561" i="1"/>
  <c r="B20561" i="1"/>
  <c r="A20562" i="1"/>
  <c r="B20562" i="1"/>
  <c r="A20563" i="1"/>
  <c r="B20563" i="1"/>
  <c r="A20564" i="1"/>
  <c r="B20564" i="1"/>
  <c r="A20565" i="1"/>
  <c r="B20565" i="1"/>
  <c r="A20566" i="1"/>
  <c r="B20566" i="1"/>
  <c r="A20567" i="1"/>
  <c r="B20567" i="1"/>
  <c r="A20568" i="1"/>
  <c r="B20568" i="1"/>
  <c r="A20569" i="1"/>
  <c r="B20569" i="1"/>
  <c r="A20570" i="1"/>
  <c r="B20570" i="1"/>
  <c r="A20571" i="1"/>
  <c r="B20571" i="1"/>
  <c r="A20572" i="1"/>
  <c r="B20572" i="1"/>
  <c r="A20573" i="1"/>
  <c r="B20573" i="1"/>
  <c r="A20574" i="1"/>
  <c r="B20574" i="1"/>
  <c r="A20575" i="1"/>
  <c r="B20575" i="1"/>
  <c r="A20576" i="1"/>
  <c r="B20576" i="1"/>
  <c r="A20577" i="1"/>
  <c r="B20577" i="1"/>
  <c r="A20578" i="1"/>
  <c r="B20578" i="1"/>
  <c r="A20579" i="1"/>
  <c r="B20579" i="1"/>
  <c r="A20580" i="1"/>
  <c r="B20580" i="1"/>
  <c r="A20581" i="1"/>
  <c r="B20581" i="1"/>
  <c r="A20582" i="1"/>
  <c r="B20582" i="1"/>
  <c r="A20583" i="1"/>
  <c r="B20583" i="1"/>
  <c r="A20584" i="1"/>
  <c r="B20584" i="1"/>
  <c r="A20585" i="1"/>
  <c r="B20585" i="1"/>
  <c r="A20586" i="1"/>
  <c r="B20586" i="1"/>
  <c r="A20587" i="1"/>
  <c r="B20587" i="1"/>
  <c r="A20588" i="1"/>
  <c r="B20588" i="1"/>
  <c r="A20589" i="1"/>
  <c r="B20589" i="1"/>
  <c r="A20590" i="1"/>
  <c r="B20590" i="1"/>
  <c r="A20591" i="1"/>
  <c r="B20591" i="1"/>
  <c r="A20592" i="1"/>
  <c r="B20592" i="1"/>
  <c r="A20593" i="1"/>
  <c r="B20593" i="1"/>
  <c r="A20594" i="1"/>
  <c r="B20594" i="1"/>
  <c r="A20595" i="1"/>
  <c r="B20595" i="1"/>
  <c r="A20596" i="1"/>
  <c r="B20596" i="1"/>
  <c r="A20597" i="1"/>
  <c r="B20597" i="1"/>
  <c r="A20598" i="1"/>
  <c r="B20598" i="1"/>
  <c r="A20599" i="1"/>
  <c r="B20599" i="1"/>
  <c r="A20600" i="1"/>
  <c r="B20600" i="1"/>
  <c r="A20601" i="1"/>
  <c r="B20601" i="1"/>
  <c r="A20602" i="1"/>
  <c r="B20602" i="1"/>
  <c r="A20603" i="1"/>
  <c r="B20603" i="1"/>
  <c r="A20604" i="1"/>
  <c r="B20604" i="1"/>
  <c r="A20605" i="1"/>
  <c r="B20605" i="1"/>
  <c r="A20606" i="1"/>
  <c r="B20606" i="1"/>
  <c r="A20607" i="1"/>
  <c r="B20607" i="1"/>
  <c r="A20608" i="1"/>
  <c r="B20608" i="1"/>
  <c r="A20609" i="1"/>
  <c r="B20609" i="1"/>
  <c r="A20610" i="1"/>
  <c r="B20610" i="1"/>
  <c r="A20611" i="1"/>
  <c r="B20611" i="1"/>
  <c r="A20612" i="1"/>
  <c r="B20612" i="1"/>
  <c r="A20613" i="1"/>
  <c r="B20613" i="1"/>
  <c r="A20614" i="1"/>
  <c r="B20614" i="1"/>
  <c r="A20615" i="1"/>
  <c r="B20615" i="1"/>
  <c r="A20616" i="1"/>
  <c r="B20616" i="1"/>
  <c r="A20617" i="1"/>
  <c r="B20617" i="1"/>
  <c r="A20618" i="1"/>
  <c r="B20618" i="1"/>
  <c r="A20619" i="1"/>
  <c r="B20619" i="1"/>
  <c r="A20620" i="1"/>
  <c r="B20620" i="1"/>
  <c r="A20621" i="1"/>
  <c r="B20621" i="1"/>
  <c r="A20622" i="1"/>
  <c r="B20622" i="1"/>
  <c r="A20623" i="1"/>
  <c r="B20623" i="1"/>
  <c r="A20624" i="1"/>
  <c r="B20624" i="1"/>
  <c r="A20625" i="1"/>
  <c r="B20625" i="1"/>
  <c r="A20626" i="1"/>
  <c r="B20626" i="1"/>
  <c r="A20627" i="1"/>
  <c r="B20627" i="1"/>
  <c r="A20628" i="1"/>
  <c r="B20628" i="1"/>
  <c r="A20629" i="1"/>
  <c r="B20629" i="1"/>
  <c r="A20630" i="1"/>
  <c r="B20630" i="1"/>
  <c r="A20631" i="1"/>
  <c r="B20631" i="1"/>
  <c r="A20632" i="1"/>
  <c r="B20632" i="1"/>
  <c r="A20633" i="1"/>
  <c r="B20633" i="1"/>
  <c r="A20634" i="1"/>
  <c r="B20634" i="1"/>
  <c r="A20635" i="1"/>
  <c r="B20635" i="1"/>
  <c r="A20636" i="1"/>
  <c r="B20636" i="1"/>
  <c r="A20637" i="1"/>
  <c r="B20637" i="1"/>
  <c r="A20638" i="1"/>
  <c r="B20638" i="1"/>
  <c r="A20639" i="1"/>
  <c r="B20639" i="1"/>
  <c r="A20640" i="1"/>
  <c r="B20640" i="1"/>
  <c r="A20641" i="1"/>
  <c r="B20641" i="1"/>
  <c r="A20642" i="1"/>
  <c r="B20642" i="1"/>
  <c r="A20643" i="1"/>
  <c r="B20643" i="1"/>
  <c r="A20644" i="1"/>
  <c r="B20644" i="1"/>
  <c r="A20645" i="1"/>
  <c r="B20645" i="1"/>
  <c r="A20646" i="1"/>
  <c r="B20646" i="1"/>
  <c r="A20647" i="1"/>
  <c r="B20647" i="1"/>
  <c r="A20648" i="1"/>
  <c r="B20648" i="1"/>
  <c r="A20649" i="1"/>
  <c r="B20649" i="1"/>
  <c r="A20650" i="1"/>
  <c r="B20650" i="1"/>
  <c r="A20651" i="1"/>
  <c r="B20651" i="1"/>
  <c r="A20652" i="1"/>
  <c r="B20652" i="1"/>
  <c r="A20653" i="1"/>
  <c r="B20653" i="1"/>
  <c r="A20654" i="1"/>
  <c r="B20654" i="1"/>
  <c r="A20655" i="1"/>
  <c r="B20655" i="1"/>
  <c r="A20656" i="1"/>
  <c r="B20656" i="1"/>
  <c r="A20657" i="1"/>
  <c r="B20657" i="1"/>
  <c r="A20658" i="1"/>
  <c r="B20658" i="1"/>
  <c r="A20659" i="1"/>
  <c r="B20659" i="1"/>
  <c r="A20660" i="1"/>
  <c r="B20660" i="1"/>
  <c r="A20661" i="1"/>
  <c r="B20661" i="1"/>
  <c r="A20662" i="1"/>
  <c r="B20662" i="1"/>
  <c r="A20663" i="1"/>
  <c r="B20663" i="1"/>
  <c r="A20664" i="1"/>
  <c r="B20664" i="1"/>
  <c r="A20665" i="1"/>
  <c r="B20665" i="1"/>
  <c r="A20666" i="1"/>
  <c r="B20666" i="1"/>
  <c r="A20667" i="1"/>
  <c r="B20667" i="1"/>
  <c r="A20668" i="1"/>
  <c r="B20668" i="1"/>
  <c r="A20669" i="1"/>
  <c r="B20669" i="1"/>
  <c r="A20670" i="1"/>
  <c r="B20670" i="1"/>
  <c r="A20671" i="1"/>
  <c r="B20671" i="1"/>
  <c r="A20672" i="1"/>
  <c r="B20672" i="1"/>
  <c r="A20673" i="1"/>
  <c r="B20673" i="1"/>
  <c r="A20674" i="1"/>
  <c r="B20674" i="1"/>
  <c r="A20675" i="1"/>
  <c r="B20675" i="1"/>
  <c r="A20676" i="1"/>
  <c r="B20676" i="1"/>
  <c r="A20677" i="1"/>
  <c r="B20677" i="1"/>
  <c r="A20678" i="1"/>
  <c r="B20678" i="1"/>
  <c r="A20679" i="1"/>
  <c r="B20679" i="1"/>
  <c r="A20680" i="1"/>
  <c r="B20680" i="1"/>
  <c r="A20681" i="1"/>
  <c r="B20681" i="1"/>
  <c r="A20682" i="1"/>
  <c r="B20682" i="1"/>
  <c r="A20683" i="1"/>
  <c r="B20683" i="1"/>
  <c r="A20684" i="1"/>
  <c r="B20684" i="1"/>
  <c r="A20685" i="1"/>
  <c r="B20685" i="1"/>
  <c r="A20686" i="1"/>
  <c r="B20686" i="1"/>
  <c r="A20687" i="1"/>
  <c r="B20687" i="1"/>
  <c r="A20688" i="1"/>
  <c r="B20688" i="1"/>
  <c r="A20689" i="1"/>
  <c r="B20689" i="1"/>
  <c r="A20690" i="1"/>
  <c r="B20690" i="1"/>
  <c r="A20691" i="1"/>
  <c r="B20691" i="1"/>
  <c r="A20692" i="1"/>
  <c r="B20692" i="1"/>
  <c r="A20693" i="1"/>
  <c r="B20693" i="1"/>
  <c r="A20694" i="1"/>
  <c r="B20694" i="1"/>
  <c r="A20695" i="1"/>
  <c r="B20695" i="1"/>
  <c r="A20696" i="1"/>
  <c r="B20696" i="1"/>
  <c r="A20697" i="1"/>
  <c r="B20697" i="1"/>
  <c r="A20698" i="1"/>
  <c r="B20698" i="1"/>
  <c r="A20699" i="1"/>
  <c r="B20699" i="1"/>
  <c r="A20700" i="1"/>
  <c r="B20700" i="1"/>
  <c r="A20701" i="1"/>
  <c r="B20701" i="1"/>
  <c r="A20702" i="1"/>
  <c r="B20702" i="1"/>
  <c r="A20703" i="1"/>
  <c r="B20703" i="1"/>
  <c r="A20704" i="1"/>
  <c r="B20704" i="1"/>
  <c r="A20705" i="1"/>
  <c r="B20705" i="1"/>
  <c r="A20706" i="1"/>
  <c r="B20706" i="1"/>
  <c r="A20707" i="1"/>
  <c r="B20707" i="1"/>
  <c r="A20708" i="1"/>
  <c r="B20708" i="1"/>
  <c r="A20709" i="1"/>
  <c r="B20709" i="1"/>
  <c r="A20710" i="1"/>
  <c r="B20710" i="1"/>
  <c r="A20711" i="1"/>
  <c r="B20711" i="1"/>
  <c r="A20712" i="1"/>
  <c r="B20712" i="1"/>
  <c r="A20713" i="1"/>
  <c r="B20713" i="1"/>
  <c r="A20714" i="1"/>
  <c r="B20714" i="1"/>
  <c r="A20715" i="1"/>
  <c r="B20715" i="1"/>
  <c r="A20716" i="1"/>
  <c r="B20716" i="1"/>
  <c r="A20717" i="1"/>
  <c r="B20717" i="1"/>
  <c r="A20718" i="1"/>
  <c r="B20718" i="1"/>
  <c r="A20719" i="1"/>
  <c r="B20719" i="1"/>
  <c r="A20720" i="1"/>
  <c r="B20720" i="1"/>
  <c r="A20721" i="1"/>
  <c r="B20721" i="1"/>
  <c r="A20722" i="1"/>
  <c r="B20722" i="1"/>
  <c r="A20723" i="1"/>
  <c r="B20723" i="1"/>
  <c r="A20724" i="1"/>
  <c r="B20724" i="1"/>
  <c r="A20725" i="1"/>
  <c r="B20725" i="1"/>
  <c r="A20726" i="1"/>
  <c r="B20726" i="1"/>
  <c r="A20727" i="1"/>
  <c r="B20727" i="1"/>
  <c r="A20728" i="1"/>
  <c r="B20728" i="1"/>
  <c r="A20729" i="1"/>
  <c r="B20729" i="1"/>
  <c r="A20730" i="1"/>
  <c r="B20730" i="1"/>
  <c r="A20731" i="1"/>
  <c r="B20731" i="1"/>
  <c r="A20732" i="1"/>
  <c r="B20732" i="1"/>
  <c r="A20733" i="1"/>
  <c r="B20733" i="1"/>
  <c r="A20734" i="1"/>
  <c r="B20734" i="1"/>
  <c r="A20735" i="1"/>
  <c r="B20735" i="1"/>
  <c r="A20736" i="1"/>
  <c r="B20736" i="1"/>
  <c r="A20737" i="1"/>
  <c r="B20737" i="1"/>
  <c r="A20738" i="1"/>
  <c r="B20738" i="1"/>
  <c r="A20739" i="1"/>
  <c r="B20739" i="1"/>
  <c r="A20740" i="1"/>
  <c r="B20740" i="1"/>
  <c r="A20741" i="1"/>
  <c r="B20741" i="1"/>
  <c r="A20742" i="1"/>
  <c r="B20742" i="1"/>
  <c r="A20743" i="1"/>
  <c r="B20743" i="1"/>
  <c r="A20744" i="1"/>
  <c r="B20744" i="1"/>
  <c r="A20745" i="1"/>
  <c r="B20745" i="1"/>
  <c r="A20746" i="1"/>
  <c r="B20746" i="1"/>
  <c r="A20747" i="1"/>
  <c r="B20747" i="1"/>
  <c r="A20748" i="1"/>
  <c r="B20748" i="1"/>
  <c r="A20749" i="1"/>
  <c r="B20749" i="1"/>
  <c r="A20750" i="1"/>
  <c r="B20750" i="1"/>
  <c r="A20751" i="1"/>
  <c r="B20751" i="1"/>
  <c r="A20752" i="1"/>
  <c r="B20752" i="1"/>
  <c r="A20753" i="1"/>
  <c r="B20753" i="1"/>
  <c r="A20754" i="1"/>
  <c r="B20754" i="1"/>
  <c r="A20755" i="1"/>
  <c r="B20755" i="1"/>
  <c r="A20756" i="1"/>
  <c r="B20756" i="1"/>
  <c r="A20757" i="1"/>
  <c r="B20757" i="1"/>
  <c r="A20758" i="1"/>
  <c r="B20758" i="1"/>
  <c r="A20759" i="1"/>
  <c r="B20759" i="1"/>
  <c r="A20760" i="1"/>
  <c r="B20760" i="1"/>
  <c r="A20761" i="1"/>
  <c r="B20761" i="1"/>
  <c r="A20762" i="1"/>
  <c r="B20762" i="1"/>
  <c r="A20763" i="1"/>
  <c r="B20763" i="1"/>
  <c r="A20764" i="1"/>
  <c r="B20764" i="1"/>
  <c r="A20765" i="1"/>
  <c r="B20765" i="1"/>
  <c r="A20766" i="1"/>
  <c r="B20766" i="1"/>
  <c r="A20767" i="1"/>
  <c r="B20767" i="1"/>
  <c r="A20768" i="1"/>
  <c r="B20768" i="1"/>
  <c r="A20769" i="1"/>
  <c r="B20769" i="1"/>
  <c r="A20770" i="1"/>
  <c r="B20770" i="1"/>
  <c r="A20771" i="1"/>
  <c r="B20771" i="1"/>
  <c r="A20772" i="1"/>
  <c r="B20772" i="1"/>
  <c r="A20773" i="1"/>
  <c r="B20773" i="1"/>
  <c r="A20774" i="1"/>
  <c r="B20774" i="1"/>
  <c r="A20775" i="1"/>
  <c r="B20775" i="1"/>
  <c r="A20776" i="1"/>
  <c r="B20776" i="1"/>
  <c r="A20777" i="1"/>
  <c r="B20777" i="1"/>
  <c r="A20778" i="1"/>
  <c r="B20778" i="1"/>
  <c r="A20779" i="1"/>
  <c r="B20779" i="1"/>
  <c r="A20780" i="1"/>
  <c r="B20780" i="1"/>
  <c r="A20781" i="1"/>
  <c r="B20781" i="1"/>
  <c r="A20782" i="1"/>
  <c r="B20782" i="1"/>
  <c r="A20783" i="1"/>
  <c r="B20783" i="1"/>
  <c r="A20784" i="1"/>
  <c r="B20784" i="1"/>
  <c r="A20785" i="1"/>
  <c r="B20785" i="1"/>
  <c r="A20786" i="1"/>
  <c r="B20786" i="1"/>
  <c r="A20787" i="1"/>
  <c r="B20787" i="1"/>
  <c r="A20788" i="1"/>
  <c r="B20788" i="1"/>
  <c r="A20789" i="1"/>
  <c r="B20789" i="1"/>
  <c r="A20790" i="1"/>
  <c r="B20790" i="1"/>
  <c r="A20791" i="1"/>
  <c r="B20791" i="1"/>
  <c r="A20792" i="1"/>
  <c r="B20792" i="1"/>
  <c r="A20793" i="1"/>
  <c r="B20793" i="1"/>
  <c r="A20794" i="1"/>
  <c r="B20794" i="1"/>
  <c r="A20795" i="1"/>
  <c r="B20795" i="1"/>
  <c r="A20796" i="1"/>
  <c r="B20796" i="1"/>
  <c r="A20797" i="1"/>
  <c r="B20797" i="1"/>
  <c r="A20798" i="1"/>
  <c r="B20798" i="1"/>
  <c r="A20799" i="1"/>
  <c r="B20799" i="1"/>
  <c r="A20800" i="1"/>
  <c r="B20800" i="1"/>
  <c r="A20801" i="1"/>
  <c r="B20801" i="1"/>
  <c r="A20802" i="1"/>
  <c r="B20802" i="1"/>
  <c r="A20803" i="1"/>
  <c r="B20803" i="1"/>
  <c r="A20804" i="1"/>
  <c r="B20804" i="1"/>
  <c r="A20805" i="1"/>
  <c r="B20805" i="1"/>
  <c r="A20806" i="1"/>
  <c r="B20806" i="1"/>
  <c r="A20807" i="1"/>
  <c r="B20807" i="1"/>
  <c r="A20808" i="1"/>
  <c r="B20808" i="1"/>
  <c r="A20809" i="1"/>
  <c r="B20809" i="1"/>
  <c r="A20810" i="1"/>
  <c r="B20810" i="1"/>
  <c r="A20811" i="1"/>
  <c r="B20811" i="1"/>
  <c r="A20812" i="1"/>
  <c r="B20812" i="1"/>
  <c r="A20813" i="1"/>
  <c r="B20813" i="1"/>
  <c r="A20814" i="1"/>
  <c r="B20814" i="1"/>
  <c r="A20815" i="1"/>
  <c r="B20815" i="1"/>
  <c r="A20816" i="1"/>
  <c r="B20816" i="1"/>
  <c r="A20817" i="1"/>
  <c r="B20817" i="1"/>
  <c r="A20818" i="1"/>
  <c r="B20818" i="1"/>
  <c r="A20819" i="1"/>
  <c r="B20819" i="1"/>
  <c r="A20820" i="1"/>
  <c r="B20820" i="1"/>
  <c r="A20821" i="1"/>
  <c r="B20821" i="1"/>
  <c r="A20822" i="1"/>
  <c r="B20822" i="1"/>
  <c r="A20823" i="1"/>
  <c r="B20823" i="1"/>
  <c r="A20824" i="1"/>
  <c r="B20824" i="1"/>
  <c r="A20825" i="1"/>
  <c r="B20825" i="1"/>
  <c r="A20826" i="1"/>
  <c r="B20826" i="1"/>
  <c r="A20827" i="1"/>
  <c r="B20827" i="1"/>
  <c r="A20828" i="1"/>
  <c r="B20828" i="1"/>
  <c r="A20829" i="1"/>
  <c r="B20829" i="1"/>
  <c r="A20830" i="1"/>
  <c r="B20830" i="1"/>
  <c r="A20831" i="1"/>
  <c r="B20831" i="1"/>
  <c r="A20832" i="1"/>
  <c r="B20832" i="1"/>
  <c r="A20833" i="1"/>
  <c r="B20833" i="1"/>
  <c r="A20834" i="1"/>
  <c r="B20834" i="1"/>
  <c r="A20835" i="1"/>
  <c r="B20835" i="1"/>
  <c r="A20836" i="1"/>
  <c r="B20836" i="1"/>
  <c r="A20837" i="1"/>
  <c r="B20837" i="1"/>
  <c r="A20838" i="1"/>
  <c r="B20838" i="1"/>
  <c r="A20839" i="1"/>
  <c r="B20839" i="1"/>
  <c r="A20840" i="1"/>
  <c r="B20840" i="1"/>
  <c r="A20841" i="1"/>
  <c r="B20841" i="1"/>
  <c r="A20842" i="1"/>
  <c r="B20842" i="1"/>
  <c r="A20843" i="1"/>
  <c r="B20843" i="1"/>
  <c r="A20844" i="1"/>
  <c r="B20844" i="1"/>
  <c r="A20845" i="1"/>
  <c r="B20845" i="1"/>
  <c r="A20846" i="1"/>
  <c r="B20846" i="1"/>
  <c r="A20847" i="1"/>
  <c r="B20847" i="1"/>
  <c r="A20848" i="1"/>
  <c r="B20848" i="1"/>
  <c r="A20849" i="1"/>
  <c r="B20849" i="1"/>
  <c r="A20850" i="1"/>
  <c r="B20850" i="1"/>
  <c r="A20851" i="1"/>
  <c r="B20851" i="1"/>
  <c r="A20852" i="1"/>
  <c r="B20852" i="1"/>
  <c r="A20853" i="1"/>
  <c r="B20853" i="1"/>
  <c r="A20854" i="1"/>
  <c r="B20854" i="1"/>
  <c r="A20855" i="1"/>
  <c r="B20855" i="1"/>
  <c r="A20856" i="1"/>
  <c r="B20856" i="1"/>
  <c r="A20857" i="1"/>
  <c r="B20857" i="1"/>
  <c r="A20858" i="1"/>
  <c r="B20858" i="1"/>
  <c r="A20859" i="1"/>
  <c r="B20859" i="1"/>
  <c r="A20860" i="1"/>
  <c r="B20860" i="1"/>
  <c r="A20861" i="1"/>
  <c r="B20861" i="1"/>
  <c r="A20862" i="1"/>
  <c r="B20862" i="1"/>
  <c r="A20863" i="1"/>
  <c r="B20863" i="1"/>
  <c r="A20864" i="1"/>
  <c r="B20864" i="1"/>
  <c r="A20865" i="1"/>
  <c r="B20865" i="1"/>
  <c r="A20866" i="1"/>
  <c r="B20866" i="1"/>
  <c r="A20867" i="1"/>
  <c r="B20867" i="1"/>
  <c r="A20868" i="1"/>
  <c r="B20868" i="1"/>
  <c r="A20869" i="1"/>
  <c r="B20869" i="1"/>
  <c r="A20870" i="1"/>
  <c r="B20870" i="1"/>
  <c r="A20871" i="1"/>
  <c r="B20871" i="1"/>
  <c r="A20872" i="1"/>
  <c r="B20872" i="1"/>
  <c r="A20873" i="1"/>
  <c r="B20873" i="1"/>
  <c r="A20874" i="1"/>
  <c r="B20874" i="1"/>
  <c r="A20875" i="1"/>
  <c r="B20875" i="1"/>
  <c r="A20876" i="1"/>
  <c r="B20876" i="1"/>
  <c r="A20877" i="1"/>
  <c r="B20877" i="1"/>
  <c r="A20878" i="1"/>
  <c r="B20878" i="1"/>
  <c r="A20879" i="1"/>
  <c r="B20879" i="1"/>
  <c r="A20880" i="1"/>
  <c r="B20880" i="1"/>
  <c r="A20881" i="1"/>
  <c r="B20881" i="1"/>
  <c r="A20882" i="1"/>
  <c r="B20882" i="1"/>
  <c r="A20883" i="1"/>
  <c r="B20883" i="1"/>
  <c r="A20884" i="1"/>
  <c r="B20884" i="1"/>
  <c r="A20885" i="1"/>
  <c r="B20885" i="1"/>
  <c r="A20886" i="1"/>
  <c r="B20886" i="1"/>
  <c r="A20887" i="1"/>
  <c r="B20887" i="1"/>
  <c r="A20888" i="1"/>
  <c r="B20888" i="1"/>
  <c r="A20889" i="1"/>
  <c r="B20889" i="1"/>
  <c r="A20890" i="1"/>
  <c r="B20890" i="1"/>
  <c r="A20891" i="1"/>
  <c r="B20891" i="1"/>
  <c r="A20892" i="1"/>
  <c r="B20892" i="1"/>
  <c r="A20893" i="1"/>
  <c r="B20893" i="1"/>
  <c r="A20894" i="1"/>
  <c r="B20894" i="1"/>
  <c r="A20895" i="1"/>
  <c r="B20895" i="1"/>
  <c r="A20896" i="1"/>
  <c r="B20896" i="1"/>
  <c r="A20897" i="1"/>
  <c r="B20897" i="1"/>
  <c r="A20898" i="1"/>
  <c r="B20898" i="1"/>
  <c r="A20899" i="1"/>
  <c r="B20899" i="1"/>
  <c r="A20900" i="1"/>
  <c r="B20900" i="1"/>
  <c r="A20901" i="1"/>
  <c r="B20901" i="1"/>
  <c r="A20902" i="1"/>
  <c r="B20902" i="1"/>
  <c r="A20903" i="1"/>
  <c r="B20903" i="1"/>
  <c r="A20904" i="1"/>
  <c r="B20904" i="1"/>
  <c r="A20905" i="1"/>
  <c r="B20905" i="1"/>
  <c r="A20906" i="1"/>
  <c r="B20906" i="1"/>
  <c r="A20907" i="1"/>
  <c r="B20907" i="1"/>
  <c r="A20908" i="1"/>
  <c r="B20908" i="1"/>
  <c r="A20909" i="1"/>
  <c r="B20909" i="1"/>
  <c r="A20910" i="1"/>
  <c r="B20910" i="1"/>
  <c r="A20911" i="1"/>
  <c r="B20911" i="1"/>
  <c r="A20912" i="1"/>
  <c r="B20912" i="1"/>
  <c r="A20913" i="1"/>
  <c r="B20913" i="1"/>
  <c r="A20914" i="1"/>
  <c r="B20914" i="1"/>
  <c r="A20915" i="1"/>
  <c r="B20915" i="1"/>
  <c r="A20916" i="1"/>
  <c r="B20916" i="1"/>
  <c r="A20917" i="1"/>
  <c r="B20917" i="1"/>
  <c r="A20918" i="1"/>
  <c r="B20918" i="1"/>
  <c r="A20919" i="1"/>
  <c r="B20919" i="1"/>
  <c r="A20920" i="1"/>
  <c r="B20920" i="1"/>
  <c r="A20921" i="1"/>
  <c r="B20921" i="1"/>
  <c r="A20922" i="1"/>
  <c r="B20922" i="1"/>
  <c r="A20923" i="1"/>
  <c r="B20923" i="1"/>
  <c r="A20924" i="1"/>
  <c r="B20924" i="1"/>
  <c r="A20925" i="1"/>
  <c r="B20925" i="1"/>
  <c r="A20926" i="1"/>
  <c r="B20926" i="1"/>
  <c r="A20927" i="1"/>
  <c r="B20927" i="1"/>
  <c r="A20928" i="1"/>
  <c r="B20928" i="1"/>
  <c r="A20929" i="1"/>
  <c r="B20929" i="1"/>
  <c r="A20930" i="1"/>
  <c r="B20930" i="1"/>
  <c r="A20931" i="1"/>
  <c r="B20931" i="1"/>
  <c r="A20932" i="1"/>
  <c r="B20932" i="1"/>
  <c r="A20933" i="1"/>
  <c r="B20933" i="1"/>
  <c r="A20934" i="1"/>
  <c r="B20934" i="1"/>
  <c r="A20935" i="1"/>
  <c r="B20935" i="1"/>
  <c r="A20936" i="1"/>
  <c r="B20936" i="1"/>
  <c r="A20937" i="1"/>
  <c r="B20937" i="1"/>
  <c r="A20938" i="1"/>
  <c r="B20938" i="1"/>
  <c r="A20939" i="1"/>
  <c r="B20939" i="1"/>
  <c r="A20940" i="1"/>
  <c r="B20940" i="1"/>
  <c r="A20941" i="1"/>
  <c r="B20941" i="1"/>
  <c r="A20942" i="1"/>
  <c r="B20942" i="1"/>
  <c r="A20943" i="1"/>
  <c r="B20943" i="1"/>
  <c r="A20944" i="1"/>
  <c r="B20944" i="1"/>
  <c r="A20945" i="1"/>
  <c r="B20945" i="1"/>
  <c r="A20946" i="1"/>
  <c r="B20946" i="1"/>
  <c r="A20947" i="1"/>
  <c r="B20947" i="1"/>
  <c r="A20948" i="1"/>
  <c r="B20948" i="1"/>
  <c r="A20949" i="1"/>
  <c r="B20949" i="1"/>
  <c r="A20950" i="1"/>
  <c r="B20950" i="1"/>
  <c r="A20951" i="1"/>
  <c r="B20951" i="1"/>
  <c r="A20952" i="1"/>
  <c r="B20952" i="1"/>
  <c r="A20953" i="1"/>
  <c r="B20953" i="1"/>
  <c r="A20954" i="1"/>
  <c r="B20954" i="1"/>
  <c r="A20955" i="1"/>
  <c r="B20955" i="1"/>
  <c r="A20956" i="1"/>
  <c r="B20956" i="1"/>
  <c r="A20957" i="1"/>
  <c r="B20957" i="1"/>
  <c r="A20958" i="1"/>
  <c r="B20958" i="1"/>
  <c r="A20959" i="1"/>
  <c r="B20959" i="1"/>
  <c r="A20960" i="1"/>
  <c r="B20960" i="1"/>
  <c r="A20961" i="1"/>
  <c r="B20961" i="1"/>
  <c r="A20962" i="1"/>
  <c r="B20962" i="1"/>
  <c r="A20963" i="1"/>
  <c r="B20963" i="1"/>
  <c r="A20964" i="1"/>
  <c r="B20964" i="1"/>
  <c r="A20965" i="1"/>
  <c r="B20965" i="1"/>
  <c r="A20966" i="1"/>
  <c r="B20966" i="1"/>
  <c r="A20967" i="1"/>
  <c r="B20967" i="1"/>
  <c r="A20968" i="1"/>
  <c r="B20968" i="1"/>
  <c r="A20969" i="1"/>
  <c r="B20969" i="1"/>
  <c r="A20970" i="1"/>
  <c r="B20970" i="1"/>
  <c r="A20971" i="1"/>
  <c r="B20971" i="1"/>
  <c r="A20972" i="1"/>
  <c r="B20972" i="1"/>
  <c r="A20973" i="1"/>
  <c r="B20973" i="1"/>
  <c r="A20974" i="1"/>
  <c r="B20974" i="1"/>
  <c r="A20975" i="1"/>
  <c r="B20975" i="1"/>
  <c r="A20976" i="1"/>
  <c r="B20976" i="1"/>
  <c r="A20977" i="1"/>
  <c r="B20977" i="1"/>
  <c r="A20978" i="1"/>
  <c r="B20978" i="1"/>
  <c r="A20979" i="1"/>
  <c r="B20979" i="1"/>
  <c r="A20980" i="1"/>
  <c r="B20980" i="1"/>
  <c r="A20981" i="1"/>
  <c r="B20981" i="1"/>
  <c r="A20982" i="1"/>
  <c r="B20982" i="1"/>
  <c r="A20983" i="1"/>
  <c r="B20983" i="1"/>
  <c r="A20984" i="1"/>
  <c r="B20984" i="1"/>
  <c r="A20985" i="1"/>
  <c r="B20985" i="1"/>
  <c r="A20986" i="1"/>
  <c r="B20986" i="1"/>
  <c r="A20987" i="1"/>
  <c r="B20987" i="1"/>
  <c r="A20988" i="1"/>
  <c r="B20988" i="1"/>
  <c r="A20989" i="1"/>
  <c r="B20989" i="1"/>
  <c r="A20990" i="1"/>
  <c r="B20990" i="1"/>
  <c r="A20991" i="1"/>
  <c r="B20991" i="1"/>
  <c r="A20992" i="1"/>
  <c r="B20992" i="1"/>
  <c r="A20993" i="1"/>
  <c r="B20993" i="1"/>
  <c r="A20994" i="1"/>
  <c r="B20994" i="1"/>
  <c r="A20995" i="1"/>
  <c r="B20995" i="1"/>
  <c r="A20996" i="1"/>
  <c r="B20996" i="1"/>
  <c r="A20997" i="1"/>
  <c r="B20997" i="1"/>
  <c r="A20998" i="1"/>
  <c r="B20998" i="1"/>
  <c r="A20999" i="1"/>
  <c r="B20999" i="1"/>
  <c r="A21000" i="1"/>
  <c r="B21000" i="1"/>
  <c r="A21001" i="1"/>
  <c r="B21001" i="1"/>
  <c r="A21002" i="1"/>
  <c r="B21002" i="1"/>
  <c r="A21003" i="1"/>
  <c r="B21003" i="1"/>
  <c r="A21004" i="1"/>
  <c r="B21004" i="1"/>
  <c r="A21005" i="1"/>
  <c r="B21005" i="1"/>
  <c r="A21006" i="1"/>
  <c r="B21006" i="1"/>
  <c r="A21007" i="1"/>
  <c r="B21007" i="1"/>
  <c r="A21008" i="1"/>
  <c r="B21008" i="1"/>
  <c r="A21009" i="1"/>
  <c r="B21009" i="1"/>
  <c r="A21010" i="1"/>
  <c r="B21010" i="1"/>
  <c r="A21011" i="1"/>
  <c r="B21011" i="1"/>
  <c r="A21012" i="1"/>
  <c r="B21012" i="1"/>
  <c r="A21013" i="1"/>
  <c r="B21013" i="1"/>
  <c r="A21014" i="1"/>
  <c r="B21014" i="1"/>
  <c r="A21015" i="1"/>
  <c r="B21015" i="1"/>
  <c r="A21016" i="1"/>
  <c r="B21016" i="1"/>
  <c r="A21017" i="1"/>
  <c r="B21017" i="1"/>
  <c r="A21018" i="1"/>
  <c r="B21018" i="1"/>
  <c r="A21019" i="1"/>
  <c r="B21019" i="1"/>
  <c r="A21020" i="1"/>
  <c r="B21020" i="1"/>
  <c r="A21021" i="1"/>
  <c r="B21021" i="1"/>
  <c r="A21022" i="1"/>
  <c r="B21022" i="1"/>
  <c r="A21023" i="1"/>
  <c r="B21023" i="1"/>
  <c r="A21024" i="1"/>
  <c r="B21024" i="1"/>
  <c r="A21025" i="1"/>
  <c r="B21025" i="1"/>
  <c r="A21026" i="1"/>
  <c r="B21026" i="1"/>
  <c r="A21027" i="1"/>
  <c r="B21027" i="1"/>
  <c r="A21028" i="1"/>
  <c r="B21028" i="1"/>
  <c r="A21029" i="1"/>
  <c r="B21029" i="1"/>
  <c r="A21030" i="1"/>
  <c r="B21030" i="1"/>
  <c r="A21031" i="1"/>
  <c r="B21031" i="1"/>
  <c r="A21032" i="1"/>
  <c r="B21032" i="1"/>
  <c r="A21033" i="1"/>
  <c r="B21033" i="1"/>
  <c r="A21034" i="1"/>
  <c r="B21034" i="1"/>
  <c r="A21035" i="1"/>
  <c r="B21035" i="1"/>
  <c r="A21036" i="1"/>
  <c r="B21036" i="1"/>
  <c r="A21037" i="1"/>
  <c r="B21037" i="1"/>
  <c r="A21038" i="1"/>
  <c r="B21038" i="1"/>
  <c r="A21039" i="1"/>
  <c r="B21039" i="1"/>
  <c r="A21040" i="1"/>
  <c r="B21040" i="1"/>
  <c r="A21041" i="1"/>
  <c r="B21041" i="1"/>
  <c r="A21042" i="1"/>
  <c r="B21042" i="1"/>
  <c r="A21043" i="1"/>
  <c r="B21043" i="1"/>
  <c r="A21044" i="1"/>
  <c r="B21044" i="1"/>
  <c r="A21045" i="1"/>
  <c r="B21045" i="1"/>
  <c r="A21046" i="1"/>
  <c r="B21046" i="1"/>
  <c r="A21047" i="1"/>
  <c r="B21047" i="1"/>
  <c r="A21048" i="1"/>
  <c r="B21048" i="1"/>
  <c r="A21049" i="1"/>
  <c r="B21049" i="1"/>
  <c r="A21050" i="1"/>
  <c r="B21050" i="1"/>
  <c r="A21051" i="1"/>
  <c r="B21051" i="1"/>
  <c r="A21052" i="1"/>
  <c r="B21052" i="1"/>
  <c r="A21053" i="1"/>
  <c r="B21053" i="1"/>
  <c r="A21054" i="1"/>
  <c r="B21054" i="1"/>
  <c r="A21055" i="1"/>
  <c r="B21055" i="1"/>
  <c r="A21056" i="1"/>
  <c r="B21056" i="1"/>
  <c r="A21057" i="1"/>
  <c r="B21057" i="1"/>
  <c r="A21058" i="1"/>
  <c r="B21058" i="1"/>
  <c r="A21059" i="1"/>
  <c r="B21059" i="1"/>
  <c r="A21060" i="1"/>
  <c r="B21060" i="1"/>
  <c r="A21061" i="1"/>
  <c r="B21061" i="1"/>
  <c r="A21062" i="1"/>
  <c r="B21062" i="1"/>
  <c r="A21063" i="1"/>
  <c r="B21063" i="1"/>
  <c r="A21064" i="1"/>
  <c r="B21064" i="1"/>
  <c r="A21065" i="1"/>
  <c r="B21065" i="1"/>
  <c r="A21066" i="1"/>
  <c r="B21066" i="1"/>
  <c r="A21067" i="1"/>
  <c r="B21067" i="1"/>
  <c r="A21068" i="1"/>
  <c r="B21068" i="1"/>
  <c r="A21069" i="1"/>
  <c r="B21069" i="1"/>
  <c r="A21070" i="1"/>
  <c r="B21070" i="1"/>
  <c r="A21071" i="1"/>
  <c r="B21071" i="1"/>
  <c r="A21072" i="1"/>
  <c r="B21072" i="1"/>
  <c r="A21073" i="1"/>
  <c r="B21073" i="1"/>
  <c r="A21074" i="1"/>
  <c r="B21074" i="1"/>
  <c r="A21075" i="1"/>
  <c r="B21075" i="1"/>
  <c r="A21076" i="1"/>
  <c r="B21076" i="1"/>
  <c r="A21077" i="1"/>
  <c r="B21077" i="1"/>
  <c r="A21078" i="1"/>
  <c r="B21078" i="1"/>
  <c r="A21079" i="1"/>
  <c r="B21079" i="1"/>
  <c r="A21080" i="1"/>
  <c r="B21080" i="1"/>
  <c r="A21081" i="1"/>
  <c r="B21081" i="1"/>
  <c r="A21082" i="1"/>
  <c r="B21082" i="1"/>
  <c r="A21083" i="1"/>
  <c r="B21083" i="1"/>
  <c r="A21084" i="1"/>
  <c r="B21084" i="1"/>
  <c r="A21085" i="1"/>
  <c r="B21085" i="1"/>
  <c r="A21086" i="1"/>
  <c r="B21086" i="1"/>
  <c r="A21087" i="1"/>
  <c r="B21087" i="1"/>
  <c r="A21088" i="1"/>
  <c r="B21088" i="1"/>
  <c r="A21089" i="1"/>
  <c r="B21089" i="1"/>
  <c r="A21090" i="1"/>
  <c r="B21090" i="1"/>
  <c r="A21091" i="1"/>
  <c r="B21091" i="1"/>
  <c r="A21092" i="1"/>
  <c r="B21092" i="1"/>
  <c r="A21093" i="1"/>
  <c r="B21093" i="1"/>
  <c r="A21094" i="1"/>
  <c r="B21094" i="1"/>
  <c r="A21095" i="1"/>
  <c r="B21095" i="1"/>
  <c r="A21096" i="1"/>
  <c r="B21096" i="1"/>
  <c r="A21097" i="1"/>
  <c r="B21097" i="1"/>
  <c r="A21098" i="1"/>
  <c r="B21098" i="1"/>
  <c r="A21099" i="1"/>
  <c r="B21099" i="1"/>
  <c r="A21100" i="1"/>
  <c r="B21100" i="1"/>
  <c r="A21101" i="1"/>
  <c r="B21101" i="1"/>
  <c r="A21102" i="1"/>
  <c r="B21102" i="1"/>
  <c r="A21103" i="1"/>
  <c r="B21103" i="1"/>
  <c r="A21104" i="1"/>
  <c r="B21104" i="1"/>
  <c r="A21105" i="1"/>
  <c r="B21105" i="1"/>
  <c r="A21106" i="1"/>
  <c r="B21106" i="1"/>
  <c r="A21107" i="1"/>
  <c r="B21107" i="1"/>
  <c r="A21108" i="1"/>
  <c r="B21108" i="1"/>
  <c r="A21109" i="1"/>
  <c r="B21109" i="1"/>
  <c r="A21110" i="1"/>
  <c r="B21110" i="1"/>
  <c r="A21111" i="1"/>
  <c r="B21111" i="1"/>
  <c r="A21112" i="1"/>
  <c r="B21112" i="1"/>
  <c r="A21113" i="1"/>
  <c r="B21113" i="1"/>
  <c r="A21114" i="1"/>
  <c r="B21114" i="1"/>
  <c r="A21115" i="1"/>
  <c r="B21115" i="1"/>
  <c r="A21116" i="1"/>
  <c r="B21116" i="1"/>
  <c r="A21117" i="1"/>
  <c r="B21117" i="1"/>
  <c r="A21118" i="1"/>
  <c r="B21118" i="1"/>
  <c r="A21119" i="1"/>
  <c r="B21119" i="1"/>
  <c r="A21120" i="1"/>
  <c r="B21120" i="1"/>
  <c r="A21121" i="1"/>
  <c r="B21121" i="1"/>
  <c r="A21122" i="1"/>
  <c r="B21122" i="1"/>
  <c r="A21123" i="1"/>
  <c r="B21123" i="1"/>
  <c r="A21124" i="1"/>
  <c r="B21124" i="1"/>
  <c r="A21125" i="1"/>
  <c r="B21125" i="1"/>
  <c r="A21126" i="1"/>
  <c r="B21126" i="1"/>
  <c r="A21127" i="1"/>
  <c r="B21127" i="1"/>
  <c r="A21128" i="1"/>
  <c r="B21128" i="1"/>
  <c r="A21129" i="1"/>
  <c r="B21129" i="1"/>
  <c r="A21130" i="1"/>
  <c r="B21130" i="1"/>
  <c r="A21131" i="1"/>
  <c r="B21131" i="1"/>
  <c r="A21132" i="1"/>
  <c r="B21132" i="1"/>
  <c r="A21133" i="1"/>
  <c r="B21133" i="1"/>
  <c r="A21134" i="1"/>
  <c r="B21134" i="1"/>
  <c r="A21135" i="1"/>
  <c r="B21135" i="1"/>
  <c r="A21136" i="1"/>
  <c r="B21136" i="1"/>
  <c r="A21137" i="1"/>
  <c r="B21137" i="1"/>
  <c r="A21138" i="1"/>
  <c r="B21138" i="1"/>
  <c r="A21139" i="1"/>
  <c r="B21139" i="1"/>
  <c r="A21140" i="1"/>
  <c r="B21140" i="1"/>
  <c r="A21141" i="1"/>
  <c r="B21141" i="1"/>
  <c r="A21142" i="1"/>
  <c r="B21142" i="1"/>
  <c r="A21143" i="1"/>
  <c r="B21143" i="1"/>
  <c r="A21144" i="1"/>
  <c r="B21144" i="1"/>
  <c r="A21145" i="1"/>
  <c r="B21145" i="1"/>
  <c r="A21146" i="1"/>
  <c r="B21146" i="1"/>
  <c r="A21147" i="1"/>
  <c r="B21147" i="1"/>
  <c r="A21148" i="1"/>
  <c r="B21148" i="1"/>
  <c r="A21149" i="1"/>
  <c r="B21149" i="1"/>
  <c r="A21150" i="1"/>
  <c r="B21150" i="1"/>
  <c r="A21151" i="1"/>
  <c r="B21151" i="1"/>
  <c r="A21152" i="1"/>
  <c r="B21152" i="1"/>
  <c r="A21153" i="1"/>
  <c r="B21153" i="1"/>
  <c r="A21154" i="1"/>
  <c r="B21154" i="1"/>
  <c r="A21155" i="1"/>
  <c r="B21155" i="1"/>
  <c r="A21156" i="1"/>
  <c r="B21156" i="1"/>
  <c r="A21157" i="1"/>
  <c r="B21157" i="1"/>
  <c r="A21158" i="1"/>
  <c r="B21158" i="1"/>
  <c r="A21159" i="1"/>
  <c r="B21159" i="1"/>
  <c r="A21160" i="1"/>
  <c r="B21160" i="1"/>
  <c r="A21161" i="1"/>
  <c r="B21161" i="1"/>
  <c r="A21162" i="1"/>
  <c r="B21162" i="1"/>
  <c r="A21163" i="1"/>
  <c r="B21163" i="1"/>
  <c r="A21164" i="1"/>
  <c r="B21164" i="1"/>
  <c r="A21165" i="1"/>
  <c r="B21165" i="1"/>
  <c r="A21166" i="1"/>
  <c r="B21166" i="1"/>
  <c r="A21167" i="1"/>
  <c r="B21167" i="1"/>
  <c r="A21168" i="1"/>
  <c r="B21168" i="1"/>
  <c r="A21169" i="1"/>
  <c r="B21169" i="1"/>
  <c r="A21170" i="1"/>
  <c r="B21170" i="1"/>
  <c r="A21171" i="1"/>
  <c r="B21171" i="1"/>
  <c r="A21172" i="1"/>
  <c r="B21172" i="1"/>
  <c r="A21173" i="1"/>
  <c r="B21173" i="1"/>
  <c r="A21174" i="1"/>
  <c r="B21174" i="1"/>
  <c r="A21175" i="1"/>
  <c r="B21175" i="1"/>
  <c r="A21176" i="1"/>
  <c r="B21176" i="1"/>
  <c r="A21177" i="1"/>
  <c r="B21177" i="1"/>
  <c r="A21178" i="1"/>
  <c r="B21178" i="1"/>
  <c r="A21179" i="1"/>
  <c r="B21179" i="1"/>
  <c r="A21180" i="1"/>
  <c r="B21180" i="1"/>
  <c r="A21181" i="1"/>
  <c r="B21181" i="1"/>
  <c r="A21182" i="1"/>
  <c r="B21182" i="1"/>
  <c r="A21183" i="1"/>
  <c r="B21183" i="1"/>
  <c r="A21184" i="1"/>
  <c r="B21184" i="1"/>
  <c r="A21185" i="1"/>
  <c r="B21185" i="1"/>
  <c r="A21186" i="1"/>
  <c r="B21186" i="1"/>
  <c r="A21187" i="1"/>
  <c r="B21187" i="1"/>
  <c r="A21188" i="1"/>
  <c r="B21188" i="1"/>
  <c r="A21189" i="1"/>
  <c r="B21189" i="1"/>
  <c r="A21190" i="1"/>
  <c r="B21190" i="1"/>
  <c r="A21191" i="1"/>
  <c r="B21191" i="1"/>
  <c r="A21192" i="1"/>
  <c r="B21192" i="1"/>
  <c r="A21193" i="1"/>
  <c r="B21193" i="1"/>
  <c r="A21194" i="1"/>
  <c r="B21194" i="1"/>
  <c r="A21195" i="1"/>
  <c r="B21195" i="1"/>
  <c r="A21196" i="1"/>
  <c r="B21196" i="1"/>
  <c r="A21197" i="1"/>
  <c r="B21197" i="1"/>
  <c r="A21198" i="1"/>
  <c r="B21198" i="1"/>
  <c r="A21199" i="1"/>
  <c r="B21199" i="1"/>
  <c r="A21200" i="1"/>
  <c r="B21200" i="1"/>
  <c r="A21201" i="1"/>
  <c r="B21201" i="1"/>
  <c r="A21202" i="1"/>
  <c r="B21202" i="1"/>
  <c r="A21203" i="1"/>
  <c r="B21203" i="1"/>
  <c r="A21204" i="1"/>
  <c r="B21204" i="1"/>
  <c r="A21205" i="1"/>
  <c r="B21205" i="1"/>
  <c r="A21206" i="1"/>
  <c r="B21206" i="1"/>
  <c r="A21207" i="1"/>
  <c r="B21207" i="1"/>
  <c r="A21208" i="1"/>
  <c r="B21208" i="1"/>
  <c r="A21209" i="1"/>
  <c r="B21209" i="1"/>
  <c r="A21210" i="1"/>
  <c r="B21210" i="1"/>
  <c r="A21211" i="1"/>
  <c r="B21211" i="1"/>
  <c r="A21212" i="1"/>
  <c r="B21212" i="1"/>
  <c r="A21213" i="1"/>
  <c r="B21213" i="1"/>
  <c r="A21214" i="1"/>
  <c r="B21214" i="1"/>
  <c r="A21215" i="1"/>
  <c r="B21215" i="1"/>
  <c r="A21216" i="1"/>
  <c r="B21216" i="1"/>
  <c r="A21217" i="1"/>
  <c r="B21217" i="1"/>
  <c r="A21218" i="1"/>
  <c r="B21218" i="1"/>
  <c r="A21219" i="1"/>
  <c r="B21219" i="1"/>
  <c r="A21220" i="1"/>
  <c r="B21220" i="1"/>
  <c r="A21221" i="1"/>
  <c r="B21221" i="1"/>
  <c r="A21222" i="1"/>
  <c r="B21222" i="1"/>
  <c r="A21223" i="1"/>
  <c r="B21223" i="1"/>
  <c r="A21224" i="1"/>
  <c r="B21224" i="1"/>
  <c r="A21225" i="1"/>
  <c r="B21225" i="1"/>
  <c r="A21226" i="1"/>
  <c r="B21226" i="1"/>
  <c r="A21227" i="1"/>
  <c r="B21227" i="1"/>
  <c r="A21228" i="1"/>
  <c r="B21228" i="1"/>
  <c r="A21229" i="1"/>
  <c r="B21229" i="1"/>
  <c r="A21230" i="1"/>
  <c r="B21230" i="1"/>
  <c r="A21231" i="1"/>
  <c r="B21231" i="1"/>
  <c r="A21232" i="1"/>
  <c r="B21232" i="1"/>
  <c r="A21233" i="1"/>
  <c r="B21233" i="1"/>
  <c r="A21234" i="1"/>
  <c r="B21234" i="1"/>
  <c r="A21235" i="1"/>
  <c r="B21235" i="1"/>
  <c r="A21236" i="1"/>
  <c r="B21236" i="1"/>
  <c r="A21237" i="1"/>
  <c r="B21237" i="1"/>
  <c r="A21238" i="1"/>
  <c r="B21238" i="1"/>
  <c r="A21239" i="1"/>
  <c r="B21239" i="1"/>
  <c r="A21240" i="1"/>
  <c r="B21240" i="1"/>
  <c r="A21241" i="1"/>
  <c r="B21241" i="1"/>
  <c r="A21242" i="1"/>
  <c r="B21242" i="1"/>
  <c r="A21243" i="1"/>
  <c r="B21243" i="1"/>
  <c r="A21244" i="1"/>
  <c r="B21244" i="1"/>
  <c r="A21245" i="1"/>
  <c r="B21245" i="1"/>
  <c r="A21246" i="1"/>
  <c r="B21246" i="1"/>
  <c r="A21247" i="1"/>
  <c r="B21247" i="1"/>
  <c r="A21248" i="1"/>
  <c r="B21248" i="1"/>
  <c r="A21249" i="1"/>
  <c r="B21249" i="1"/>
  <c r="A21250" i="1"/>
  <c r="B21250" i="1"/>
  <c r="A21251" i="1"/>
  <c r="B21251" i="1"/>
  <c r="A21252" i="1"/>
  <c r="B21252" i="1"/>
  <c r="A21253" i="1"/>
  <c r="B21253" i="1"/>
  <c r="A21254" i="1"/>
  <c r="B21254" i="1"/>
  <c r="A21255" i="1"/>
  <c r="B21255" i="1"/>
  <c r="A21256" i="1"/>
  <c r="B21256" i="1"/>
  <c r="A21257" i="1"/>
  <c r="B21257" i="1"/>
  <c r="A21258" i="1"/>
  <c r="B21258" i="1"/>
  <c r="A21259" i="1"/>
  <c r="B21259" i="1"/>
  <c r="A21260" i="1"/>
  <c r="B21260" i="1"/>
  <c r="A21261" i="1"/>
  <c r="B21261" i="1"/>
  <c r="A21262" i="1"/>
  <c r="B21262" i="1"/>
  <c r="A21263" i="1"/>
  <c r="B21263" i="1"/>
  <c r="A21264" i="1"/>
  <c r="B21264" i="1"/>
  <c r="A21265" i="1"/>
  <c r="B21265" i="1"/>
  <c r="A21266" i="1"/>
  <c r="B21266" i="1"/>
  <c r="A21267" i="1"/>
  <c r="B21267" i="1"/>
  <c r="A21268" i="1"/>
  <c r="B21268" i="1"/>
  <c r="A21269" i="1"/>
  <c r="B21269" i="1"/>
  <c r="A21270" i="1"/>
  <c r="B21270" i="1"/>
  <c r="A21271" i="1"/>
  <c r="B21271" i="1"/>
  <c r="A21272" i="1"/>
  <c r="B21272" i="1"/>
  <c r="A21273" i="1"/>
  <c r="B21273" i="1"/>
  <c r="A21274" i="1"/>
  <c r="B21274" i="1"/>
  <c r="A21275" i="1"/>
  <c r="B21275" i="1"/>
  <c r="A21276" i="1"/>
  <c r="B21276" i="1"/>
  <c r="A21277" i="1"/>
  <c r="B21277" i="1"/>
  <c r="A21278" i="1"/>
  <c r="B21278" i="1"/>
  <c r="A21279" i="1"/>
  <c r="B21279" i="1"/>
  <c r="A21280" i="1"/>
  <c r="B21280" i="1"/>
  <c r="A21281" i="1"/>
  <c r="B21281" i="1"/>
  <c r="A21282" i="1"/>
  <c r="B21282" i="1"/>
  <c r="A21283" i="1"/>
  <c r="B21283" i="1"/>
  <c r="A21284" i="1"/>
  <c r="B21284" i="1"/>
  <c r="A21285" i="1"/>
  <c r="B21285" i="1"/>
  <c r="A21286" i="1"/>
  <c r="B21286" i="1"/>
  <c r="A21287" i="1"/>
  <c r="B21287" i="1"/>
  <c r="A21288" i="1"/>
  <c r="B21288" i="1"/>
  <c r="A21289" i="1"/>
  <c r="B21289" i="1"/>
  <c r="A21290" i="1"/>
  <c r="B21290" i="1"/>
  <c r="A21291" i="1"/>
  <c r="B21291" i="1"/>
  <c r="A21292" i="1"/>
  <c r="B21292" i="1"/>
  <c r="A21293" i="1"/>
  <c r="B21293" i="1"/>
  <c r="A21294" i="1"/>
  <c r="B21294" i="1"/>
  <c r="A21295" i="1"/>
  <c r="B21295" i="1"/>
  <c r="A21296" i="1"/>
  <c r="B21296" i="1"/>
  <c r="A21297" i="1"/>
  <c r="B21297" i="1"/>
  <c r="A21298" i="1"/>
  <c r="B21298" i="1"/>
  <c r="A21299" i="1"/>
  <c r="B21299" i="1"/>
  <c r="A21300" i="1"/>
  <c r="B21300" i="1"/>
  <c r="A21301" i="1"/>
  <c r="B21301" i="1"/>
  <c r="A21302" i="1"/>
  <c r="B21302" i="1"/>
  <c r="A21303" i="1"/>
  <c r="B21303" i="1"/>
  <c r="A21304" i="1"/>
  <c r="B21304" i="1"/>
  <c r="A21305" i="1"/>
  <c r="B21305" i="1"/>
  <c r="A21306" i="1"/>
  <c r="B21306" i="1"/>
  <c r="A21307" i="1"/>
  <c r="B21307" i="1"/>
  <c r="A21308" i="1"/>
  <c r="B21308" i="1"/>
  <c r="A21309" i="1"/>
  <c r="B21309" i="1"/>
  <c r="A21310" i="1"/>
  <c r="B21310" i="1"/>
  <c r="A21311" i="1"/>
  <c r="B21311" i="1"/>
  <c r="A21312" i="1"/>
  <c r="B21312" i="1"/>
  <c r="A21313" i="1"/>
  <c r="B21313" i="1"/>
  <c r="A21314" i="1"/>
  <c r="B21314" i="1"/>
  <c r="A21315" i="1"/>
  <c r="B21315" i="1"/>
  <c r="A21316" i="1"/>
  <c r="B21316" i="1"/>
  <c r="A21317" i="1"/>
  <c r="B21317" i="1"/>
  <c r="A21318" i="1"/>
  <c r="B21318" i="1"/>
  <c r="A21319" i="1"/>
  <c r="B21319" i="1"/>
  <c r="A21320" i="1"/>
  <c r="B21320" i="1"/>
  <c r="A21321" i="1"/>
  <c r="B21321" i="1"/>
  <c r="A21322" i="1"/>
  <c r="B21322" i="1"/>
  <c r="A21323" i="1"/>
  <c r="B21323" i="1"/>
  <c r="A21324" i="1"/>
  <c r="B21324" i="1"/>
  <c r="A21325" i="1"/>
  <c r="B21325" i="1"/>
  <c r="A21326" i="1"/>
  <c r="B21326" i="1"/>
  <c r="A21327" i="1"/>
  <c r="B21327" i="1"/>
  <c r="A21328" i="1"/>
  <c r="B21328" i="1"/>
  <c r="A21329" i="1"/>
  <c r="B21329" i="1"/>
  <c r="A21330" i="1"/>
  <c r="B21330" i="1"/>
  <c r="A21331" i="1"/>
  <c r="B21331" i="1"/>
  <c r="A21332" i="1"/>
  <c r="B21332" i="1"/>
  <c r="A21333" i="1"/>
  <c r="B21333" i="1"/>
  <c r="A21334" i="1"/>
  <c r="B21334" i="1"/>
  <c r="A21335" i="1"/>
  <c r="B21335" i="1"/>
  <c r="A21336" i="1"/>
  <c r="B21336" i="1"/>
  <c r="A21337" i="1"/>
  <c r="B21337" i="1"/>
  <c r="A21338" i="1"/>
  <c r="B21338" i="1"/>
  <c r="A21339" i="1"/>
  <c r="B21339" i="1"/>
  <c r="A21340" i="1"/>
  <c r="B21340" i="1"/>
  <c r="A21341" i="1"/>
  <c r="B21341" i="1"/>
  <c r="A21342" i="1"/>
  <c r="B21342" i="1"/>
  <c r="A21343" i="1"/>
  <c r="B21343" i="1"/>
  <c r="A21344" i="1"/>
  <c r="B21344" i="1"/>
  <c r="A21345" i="1"/>
  <c r="B21345" i="1"/>
  <c r="A21346" i="1"/>
  <c r="B21346" i="1"/>
  <c r="A21347" i="1"/>
  <c r="B21347" i="1"/>
  <c r="A21348" i="1"/>
  <c r="B21348" i="1"/>
  <c r="A21349" i="1"/>
  <c r="B21349" i="1"/>
  <c r="A21350" i="1"/>
  <c r="B21350" i="1"/>
  <c r="A21351" i="1"/>
  <c r="B21351" i="1"/>
  <c r="A21352" i="1"/>
  <c r="B21352" i="1"/>
  <c r="A21353" i="1"/>
  <c r="B21353" i="1"/>
  <c r="A21354" i="1"/>
  <c r="B21354" i="1"/>
  <c r="A21355" i="1"/>
  <c r="B21355" i="1"/>
  <c r="A21356" i="1"/>
  <c r="B21356" i="1"/>
  <c r="A21357" i="1"/>
  <c r="B21357" i="1"/>
  <c r="A21358" i="1"/>
  <c r="B21358" i="1"/>
  <c r="A21359" i="1"/>
  <c r="B21359" i="1"/>
  <c r="A21360" i="1"/>
  <c r="B21360" i="1"/>
  <c r="A21361" i="1"/>
  <c r="B21361" i="1"/>
  <c r="A21362" i="1"/>
  <c r="B21362" i="1"/>
  <c r="A21363" i="1"/>
  <c r="B21363" i="1"/>
  <c r="A21364" i="1"/>
  <c r="B21364" i="1"/>
  <c r="A21365" i="1"/>
  <c r="B21365" i="1"/>
  <c r="A21366" i="1"/>
  <c r="B21366" i="1"/>
  <c r="A21367" i="1"/>
  <c r="B21367" i="1"/>
  <c r="A21368" i="1"/>
  <c r="B21368" i="1"/>
  <c r="A21369" i="1"/>
  <c r="B21369" i="1"/>
  <c r="A21370" i="1"/>
  <c r="B21370" i="1"/>
  <c r="A21371" i="1"/>
  <c r="B21371" i="1"/>
  <c r="A21372" i="1"/>
  <c r="B21372" i="1"/>
  <c r="A21373" i="1"/>
  <c r="B21373" i="1"/>
  <c r="A21374" i="1"/>
  <c r="B21374" i="1"/>
  <c r="A21375" i="1"/>
  <c r="B21375" i="1"/>
  <c r="A21376" i="1"/>
  <c r="B21376" i="1"/>
  <c r="A21377" i="1"/>
  <c r="B21377" i="1"/>
  <c r="A21378" i="1"/>
  <c r="B21378" i="1"/>
  <c r="A21379" i="1"/>
  <c r="B21379" i="1"/>
  <c r="A21380" i="1"/>
  <c r="B21380" i="1"/>
  <c r="A21381" i="1"/>
  <c r="B21381" i="1"/>
  <c r="A21382" i="1"/>
  <c r="B21382" i="1"/>
  <c r="A21383" i="1"/>
  <c r="B21383" i="1"/>
  <c r="A21384" i="1"/>
  <c r="B21384" i="1"/>
  <c r="A21385" i="1"/>
  <c r="B21385" i="1"/>
  <c r="A21386" i="1"/>
  <c r="B21386" i="1"/>
  <c r="A21387" i="1"/>
  <c r="B21387" i="1"/>
  <c r="A21388" i="1"/>
  <c r="B21388" i="1"/>
  <c r="A21389" i="1"/>
  <c r="B21389" i="1"/>
  <c r="A21390" i="1"/>
  <c r="B21390" i="1"/>
  <c r="A21391" i="1"/>
  <c r="B21391" i="1"/>
  <c r="A21392" i="1"/>
  <c r="B21392" i="1"/>
  <c r="A21393" i="1"/>
  <c r="B21393" i="1"/>
  <c r="A21394" i="1"/>
  <c r="B21394" i="1"/>
  <c r="A21395" i="1"/>
  <c r="B21395" i="1"/>
  <c r="A21396" i="1"/>
  <c r="B21396" i="1"/>
  <c r="A21397" i="1"/>
  <c r="B21397" i="1"/>
  <c r="A21398" i="1"/>
  <c r="B21398" i="1"/>
  <c r="A21399" i="1"/>
  <c r="B21399" i="1"/>
  <c r="A21400" i="1"/>
  <c r="B21400" i="1"/>
  <c r="A21401" i="1"/>
  <c r="B21401" i="1"/>
  <c r="A21402" i="1"/>
  <c r="B21402" i="1"/>
  <c r="A21403" i="1"/>
  <c r="B21403" i="1"/>
  <c r="A21404" i="1"/>
  <c r="B21404" i="1"/>
  <c r="A21405" i="1"/>
  <c r="B21405" i="1"/>
  <c r="A21406" i="1"/>
  <c r="B21406" i="1"/>
  <c r="A21407" i="1"/>
  <c r="B21407" i="1"/>
  <c r="A21408" i="1"/>
  <c r="B21408" i="1"/>
  <c r="A21409" i="1"/>
  <c r="B21409" i="1"/>
  <c r="A21410" i="1"/>
  <c r="B21410" i="1"/>
  <c r="A21411" i="1"/>
  <c r="B21411" i="1"/>
  <c r="A21412" i="1"/>
  <c r="B21412" i="1"/>
  <c r="A21413" i="1"/>
  <c r="B21413" i="1"/>
  <c r="A21414" i="1"/>
  <c r="B21414" i="1"/>
  <c r="A21415" i="1"/>
  <c r="B21415" i="1"/>
  <c r="A21416" i="1"/>
  <c r="B21416" i="1"/>
  <c r="A21417" i="1"/>
  <c r="B21417" i="1"/>
  <c r="A21418" i="1"/>
  <c r="B21418" i="1"/>
  <c r="A21419" i="1"/>
  <c r="B21419" i="1"/>
  <c r="A21420" i="1"/>
  <c r="B21420" i="1"/>
  <c r="A21421" i="1"/>
  <c r="B21421" i="1"/>
  <c r="A21422" i="1"/>
  <c r="B21422" i="1"/>
  <c r="A21423" i="1"/>
  <c r="B21423" i="1"/>
  <c r="A21424" i="1"/>
  <c r="B21424" i="1"/>
  <c r="A21425" i="1"/>
  <c r="B21425" i="1"/>
  <c r="A21426" i="1"/>
  <c r="B21426" i="1"/>
  <c r="A21427" i="1"/>
  <c r="B21427" i="1"/>
  <c r="A21428" i="1"/>
  <c r="B21428" i="1"/>
  <c r="A21429" i="1"/>
  <c r="B21429" i="1"/>
  <c r="A21430" i="1"/>
  <c r="B21430" i="1"/>
  <c r="A21431" i="1"/>
  <c r="B21431" i="1"/>
  <c r="A21432" i="1"/>
  <c r="B21432" i="1"/>
  <c r="A21433" i="1"/>
  <c r="B21433" i="1"/>
  <c r="A21434" i="1"/>
  <c r="B21434" i="1"/>
  <c r="A21435" i="1"/>
  <c r="B21435" i="1"/>
  <c r="A21436" i="1"/>
  <c r="B21436" i="1"/>
  <c r="A21437" i="1"/>
  <c r="B21437" i="1"/>
  <c r="A21438" i="1"/>
  <c r="B21438" i="1"/>
  <c r="A21439" i="1"/>
  <c r="B21439" i="1"/>
  <c r="A21440" i="1"/>
  <c r="B21440" i="1"/>
  <c r="A21441" i="1"/>
  <c r="B21441" i="1"/>
  <c r="A21442" i="1"/>
  <c r="B21442" i="1"/>
  <c r="A21443" i="1"/>
  <c r="B21443" i="1"/>
  <c r="A21444" i="1"/>
  <c r="B21444" i="1"/>
  <c r="A21445" i="1"/>
  <c r="B21445" i="1"/>
  <c r="A21446" i="1"/>
  <c r="B21446" i="1"/>
  <c r="A21447" i="1"/>
  <c r="B21447" i="1"/>
  <c r="A21448" i="1"/>
  <c r="B21448" i="1"/>
  <c r="A21449" i="1"/>
  <c r="B21449" i="1"/>
  <c r="A21450" i="1"/>
  <c r="B21450" i="1"/>
  <c r="A21451" i="1"/>
  <c r="B21451" i="1"/>
  <c r="A21452" i="1"/>
  <c r="B21452" i="1"/>
  <c r="A21453" i="1"/>
  <c r="B21453" i="1"/>
  <c r="A21454" i="1"/>
  <c r="B21454" i="1"/>
  <c r="A21455" i="1"/>
  <c r="B21455" i="1"/>
  <c r="A21456" i="1"/>
  <c r="B21456" i="1"/>
  <c r="A21457" i="1"/>
  <c r="B21457" i="1"/>
  <c r="A21458" i="1"/>
  <c r="B21458" i="1"/>
  <c r="A21459" i="1"/>
  <c r="B21459" i="1"/>
  <c r="A21460" i="1"/>
  <c r="B21460" i="1"/>
  <c r="A21461" i="1"/>
  <c r="B21461" i="1"/>
  <c r="A21462" i="1"/>
  <c r="B21462" i="1"/>
  <c r="A21463" i="1"/>
  <c r="B21463" i="1"/>
  <c r="A21464" i="1"/>
  <c r="B21464" i="1"/>
  <c r="A21465" i="1"/>
  <c r="B21465" i="1"/>
  <c r="A21466" i="1"/>
  <c r="B21466" i="1"/>
  <c r="A21467" i="1"/>
  <c r="B21467" i="1"/>
  <c r="A21468" i="1"/>
  <c r="B21468" i="1"/>
  <c r="A21469" i="1"/>
  <c r="B21469" i="1"/>
  <c r="A21470" i="1"/>
  <c r="B21470" i="1"/>
  <c r="A21471" i="1"/>
  <c r="B21471" i="1"/>
  <c r="A21472" i="1"/>
  <c r="B21472" i="1"/>
  <c r="A21473" i="1"/>
  <c r="B21473" i="1"/>
  <c r="A21474" i="1"/>
  <c r="B21474" i="1"/>
  <c r="A21475" i="1"/>
  <c r="B21475" i="1"/>
  <c r="A21476" i="1"/>
  <c r="B21476" i="1"/>
  <c r="A21477" i="1"/>
  <c r="B21477" i="1"/>
  <c r="A21478" i="1"/>
  <c r="B21478" i="1"/>
  <c r="A21479" i="1"/>
  <c r="B21479" i="1"/>
  <c r="A21480" i="1"/>
  <c r="B21480" i="1"/>
  <c r="A21481" i="1"/>
  <c r="B21481" i="1"/>
  <c r="A21482" i="1"/>
  <c r="B21482" i="1"/>
  <c r="A21483" i="1"/>
  <c r="B21483" i="1"/>
  <c r="A21484" i="1"/>
  <c r="B21484" i="1"/>
  <c r="A21485" i="1"/>
  <c r="B21485" i="1"/>
  <c r="A21486" i="1"/>
  <c r="B21486" i="1"/>
  <c r="A21487" i="1"/>
  <c r="B21487" i="1"/>
  <c r="A21488" i="1"/>
  <c r="B21488" i="1"/>
  <c r="A21489" i="1"/>
  <c r="B21489" i="1"/>
  <c r="A21490" i="1"/>
  <c r="B21490" i="1"/>
  <c r="A21491" i="1"/>
  <c r="B21491" i="1"/>
  <c r="A21492" i="1"/>
  <c r="B21492" i="1"/>
  <c r="A21493" i="1"/>
  <c r="B21493" i="1"/>
  <c r="A21494" i="1"/>
  <c r="B21494" i="1"/>
  <c r="A21495" i="1"/>
  <c r="B21495" i="1"/>
  <c r="A21496" i="1"/>
  <c r="B21496" i="1"/>
  <c r="A21497" i="1"/>
  <c r="B21497" i="1"/>
  <c r="A21498" i="1"/>
  <c r="B21498" i="1"/>
  <c r="A21499" i="1"/>
  <c r="B21499" i="1"/>
  <c r="A21500" i="1"/>
  <c r="B21500" i="1"/>
  <c r="A21501" i="1"/>
  <c r="B21501" i="1"/>
  <c r="A21502" i="1"/>
  <c r="B21502" i="1"/>
  <c r="A21503" i="1"/>
  <c r="B21503" i="1"/>
  <c r="A21504" i="1"/>
  <c r="B21504" i="1"/>
  <c r="A21505" i="1"/>
  <c r="B21505" i="1"/>
  <c r="A21506" i="1"/>
  <c r="B21506" i="1"/>
  <c r="A21507" i="1"/>
  <c r="B21507" i="1"/>
  <c r="A21508" i="1"/>
  <c r="B21508" i="1"/>
  <c r="A21509" i="1"/>
  <c r="B21509" i="1"/>
  <c r="A21510" i="1"/>
  <c r="B21510" i="1"/>
  <c r="A21511" i="1"/>
  <c r="B21511" i="1"/>
  <c r="A21512" i="1"/>
  <c r="B21512" i="1"/>
  <c r="A21513" i="1"/>
  <c r="B21513" i="1"/>
  <c r="A21514" i="1"/>
  <c r="B21514" i="1"/>
  <c r="A21515" i="1"/>
  <c r="B21515" i="1"/>
  <c r="A21516" i="1"/>
  <c r="B21516" i="1"/>
  <c r="A21517" i="1"/>
  <c r="B21517" i="1"/>
  <c r="A21518" i="1"/>
  <c r="B21518" i="1"/>
  <c r="A21519" i="1"/>
  <c r="B21519" i="1"/>
  <c r="A21520" i="1"/>
  <c r="B21520" i="1"/>
  <c r="A21521" i="1"/>
  <c r="B21521" i="1"/>
  <c r="A21522" i="1"/>
  <c r="B21522" i="1"/>
  <c r="A21523" i="1"/>
  <c r="B21523" i="1"/>
  <c r="A21524" i="1"/>
  <c r="B21524" i="1"/>
  <c r="A21525" i="1"/>
  <c r="B21525" i="1"/>
  <c r="A21526" i="1"/>
  <c r="B21526" i="1"/>
  <c r="A21527" i="1"/>
  <c r="B21527" i="1"/>
  <c r="A21528" i="1"/>
  <c r="B21528" i="1"/>
  <c r="A21529" i="1"/>
  <c r="B21529" i="1"/>
  <c r="A21530" i="1"/>
  <c r="B21530" i="1"/>
  <c r="A21531" i="1"/>
  <c r="B21531" i="1"/>
  <c r="A21532" i="1"/>
  <c r="B21532" i="1"/>
  <c r="A21533" i="1"/>
  <c r="B21533" i="1"/>
  <c r="A21534" i="1"/>
  <c r="B21534" i="1"/>
  <c r="A21535" i="1"/>
  <c r="B21535" i="1"/>
  <c r="A21536" i="1"/>
  <c r="B21536" i="1"/>
  <c r="A21537" i="1"/>
  <c r="B21537" i="1"/>
  <c r="A21538" i="1"/>
  <c r="B21538" i="1"/>
  <c r="A21539" i="1"/>
  <c r="B21539" i="1"/>
  <c r="A21540" i="1"/>
  <c r="B21540" i="1"/>
  <c r="A21541" i="1"/>
  <c r="B21541" i="1"/>
  <c r="A21542" i="1"/>
  <c r="B21542" i="1"/>
  <c r="A21543" i="1"/>
  <c r="B21543" i="1"/>
  <c r="A21544" i="1"/>
  <c r="B21544" i="1"/>
  <c r="A21545" i="1"/>
  <c r="B21545" i="1"/>
  <c r="A21546" i="1"/>
  <c r="B21546" i="1"/>
  <c r="A21547" i="1"/>
  <c r="B21547" i="1"/>
  <c r="A21548" i="1"/>
  <c r="B21548" i="1"/>
  <c r="A21549" i="1"/>
  <c r="B21549" i="1"/>
  <c r="A21550" i="1"/>
  <c r="B21550" i="1"/>
  <c r="A21551" i="1"/>
  <c r="B21551" i="1"/>
  <c r="A21552" i="1"/>
  <c r="B21552" i="1"/>
  <c r="A21553" i="1"/>
  <c r="B21553" i="1"/>
  <c r="A21554" i="1"/>
  <c r="B21554" i="1"/>
  <c r="A21555" i="1"/>
  <c r="B21555" i="1"/>
  <c r="A21556" i="1"/>
  <c r="B21556" i="1"/>
  <c r="A21557" i="1"/>
  <c r="B21557" i="1"/>
  <c r="A21558" i="1"/>
  <c r="B21558" i="1"/>
  <c r="A21559" i="1"/>
  <c r="B21559" i="1"/>
  <c r="A21560" i="1"/>
  <c r="B21560" i="1"/>
  <c r="A21561" i="1"/>
  <c r="B21561" i="1"/>
  <c r="A21562" i="1"/>
  <c r="B21562" i="1"/>
  <c r="A21563" i="1"/>
  <c r="B21563" i="1"/>
  <c r="A21564" i="1"/>
  <c r="B21564" i="1"/>
  <c r="A21565" i="1"/>
  <c r="B21565" i="1"/>
  <c r="A21566" i="1"/>
  <c r="B21566" i="1"/>
  <c r="A21567" i="1"/>
  <c r="B21567" i="1"/>
  <c r="A21568" i="1"/>
  <c r="B21568" i="1"/>
  <c r="A21569" i="1"/>
  <c r="B21569" i="1"/>
  <c r="A21570" i="1"/>
  <c r="B21570" i="1"/>
  <c r="A21571" i="1"/>
  <c r="B21571" i="1"/>
  <c r="A21572" i="1"/>
  <c r="B21572" i="1"/>
  <c r="A21573" i="1"/>
  <c r="B21573" i="1"/>
  <c r="A21574" i="1"/>
  <c r="B21574" i="1"/>
  <c r="A21575" i="1"/>
  <c r="B21575" i="1"/>
  <c r="A21576" i="1"/>
  <c r="B21576" i="1"/>
  <c r="A21577" i="1"/>
  <c r="B21577" i="1"/>
  <c r="A21578" i="1"/>
  <c r="B21578" i="1"/>
  <c r="A21579" i="1"/>
  <c r="B21579" i="1"/>
  <c r="A21580" i="1"/>
  <c r="B21580" i="1"/>
  <c r="A21581" i="1"/>
  <c r="B21581" i="1"/>
  <c r="A21582" i="1"/>
  <c r="B21582" i="1"/>
  <c r="A21583" i="1"/>
  <c r="B21583" i="1"/>
  <c r="A21584" i="1"/>
  <c r="B21584" i="1"/>
  <c r="A21585" i="1"/>
  <c r="B21585" i="1"/>
  <c r="A21586" i="1"/>
  <c r="B21586" i="1"/>
  <c r="A21587" i="1"/>
  <c r="B21587" i="1"/>
  <c r="A21588" i="1"/>
  <c r="B21588" i="1"/>
  <c r="A21589" i="1"/>
  <c r="B21589" i="1"/>
  <c r="A21590" i="1"/>
  <c r="B21590" i="1"/>
  <c r="A21591" i="1"/>
  <c r="B21591" i="1"/>
  <c r="A21592" i="1"/>
  <c r="B21592" i="1"/>
  <c r="A21593" i="1"/>
  <c r="B21593" i="1"/>
  <c r="A21594" i="1"/>
  <c r="B21594" i="1"/>
  <c r="A21595" i="1"/>
  <c r="B21595" i="1"/>
  <c r="A21596" i="1"/>
  <c r="B21596" i="1"/>
  <c r="A21597" i="1"/>
  <c r="B21597" i="1"/>
  <c r="A21598" i="1"/>
  <c r="B21598" i="1"/>
  <c r="A21599" i="1"/>
  <c r="B21599" i="1"/>
  <c r="A21600" i="1"/>
  <c r="B21600" i="1"/>
  <c r="A21601" i="1"/>
  <c r="B21601" i="1"/>
  <c r="A21602" i="1"/>
  <c r="B21602" i="1"/>
  <c r="A21603" i="1"/>
  <c r="B21603" i="1"/>
  <c r="A21604" i="1"/>
  <c r="B21604" i="1"/>
  <c r="A21605" i="1"/>
  <c r="B21605" i="1"/>
  <c r="A21606" i="1"/>
  <c r="B21606" i="1"/>
  <c r="A21607" i="1"/>
  <c r="B21607" i="1"/>
  <c r="A21608" i="1"/>
  <c r="B21608" i="1"/>
  <c r="A21609" i="1"/>
  <c r="B21609" i="1"/>
  <c r="A21610" i="1"/>
  <c r="B21610" i="1"/>
  <c r="A21611" i="1"/>
  <c r="B21611" i="1"/>
  <c r="A21612" i="1"/>
  <c r="B21612" i="1"/>
  <c r="A21613" i="1"/>
  <c r="B21613" i="1"/>
  <c r="A21614" i="1"/>
  <c r="B21614" i="1"/>
  <c r="A21615" i="1"/>
  <c r="B21615" i="1"/>
  <c r="A21616" i="1"/>
  <c r="B21616" i="1"/>
  <c r="A21617" i="1"/>
  <c r="B21617" i="1"/>
  <c r="A21618" i="1"/>
  <c r="B21618" i="1"/>
  <c r="A21619" i="1"/>
  <c r="B21619" i="1"/>
  <c r="A21620" i="1"/>
  <c r="B21620" i="1"/>
  <c r="A21621" i="1"/>
  <c r="B21621" i="1"/>
  <c r="A21622" i="1"/>
  <c r="B21622" i="1"/>
  <c r="A21623" i="1"/>
  <c r="B21623" i="1"/>
  <c r="A21624" i="1"/>
  <c r="B21624" i="1"/>
  <c r="A21625" i="1"/>
  <c r="B21625" i="1"/>
  <c r="A21626" i="1"/>
  <c r="B21626" i="1"/>
  <c r="A21627" i="1"/>
  <c r="B21627" i="1"/>
  <c r="A21628" i="1"/>
  <c r="B21628" i="1"/>
  <c r="A21629" i="1"/>
  <c r="B21629" i="1"/>
  <c r="A21630" i="1"/>
  <c r="B21630" i="1"/>
  <c r="A21631" i="1"/>
  <c r="B21631" i="1"/>
  <c r="A21632" i="1"/>
  <c r="B21632" i="1"/>
  <c r="A21633" i="1"/>
  <c r="B21633" i="1"/>
  <c r="A21634" i="1"/>
  <c r="B21634" i="1"/>
  <c r="A21635" i="1"/>
  <c r="B21635" i="1"/>
  <c r="A21636" i="1"/>
  <c r="B21636" i="1"/>
  <c r="A21637" i="1"/>
  <c r="B21637" i="1"/>
  <c r="A21638" i="1"/>
  <c r="B21638" i="1"/>
  <c r="A21639" i="1"/>
  <c r="B21639" i="1"/>
  <c r="A21640" i="1"/>
  <c r="B21640" i="1"/>
  <c r="A21641" i="1"/>
  <c r="B21641" i="1"/>
  <c r="A21642" i="1"/>
  <c r="B21642" i="1"/>
  <c r="A21643" i="1"/>
  <c r="B21643" i="1"/>
  <c r="A21644" i="1"/>
  <c r="B21644" i="1"/>
  <c r="A21645" i="1"/>
  <c r="B21645" i="1"/>
  <c r="A21646" i="1"/>
  <c r="B21646" i="1"/>
  <c r="A21647" i="1"/>
  <c r="B21647" i="1"/>
  <c r="A21648" i="1"/>
  <c r="B21648" i="1"/>
  <c r="A21649" i="1"/>
  <c r="B21649" i="1"/>
  <c r="A21650" i="1"/>
  <c r="B21650" i="1"/>
  <c r="A21651" i="1"/>
  <c r="B21651" i="1"/>
  <c r="A21652" i="1"/>
  <c r="B21652" i="1"/>
  <c r="A21653" i="1"/>
  <c r="B21653" i="1"/>
  <c r="A21654" i="1"/>
  <c r="B21654" i="1"/>
  <c r="A21655" i="1"/>
  <c r="B21655" i="1"/>
  <c r="A21656" i="1"/>
  <c r="B21656" i="1"/>
  <c r="A21657" i="1"/>
  <c r="B21657" i="1"/>
  <c r="A21658" i="1"/>
  <c r="B21658" i="1"/>
  <c r="A21659" i="1"/>
  <c r="B21659" i="1"/>
  <c r="A21660" i="1"/>
  <c r="B21660" i="1"/>
  <c r="A21661" i="1"/>
  <c r="B21661" i="1"/>
  <c r="A21662" i="1"/>
  <c r="B21662" i="1"/>
  <c r="A21663" i="1"/>
  <c r="B21663" i="1"/>
  <c r="A21664" i="1"/>
  <c r="B21664" i="1"/>
  <c r="A21665" i="1"/>
  <c r="B21665" i="1"/>
  <c r="A21666" i="1"/>
  <c r="B21666" i="1"/>
  <c r="A21667" i="1"/>
  <c r="B21667" i="1"/>
  <c r="A21668" i="1"/>
  <c r="B21668" i="1"/>
  <c r="A21669" i="1"/>
  <c r="B21669" i="1"/>
  <c r="A21670" i="1"/>
  <c r="B21670" i="1"/>
  <c r="A21671" i="1"/>
  <c r="B21671" i="1"/>
  <c r="A21672" i="1"/>
  <c r="B21672" i="1"/>
  <c r="A21673" i="1"/>
  <c r="B21673" i="1"/>
  <c r="A21674" i="1"/>
  <c r="B21674" i="1"/>
  <c r="A21675" i="1"/>
  <c r="B21675" i="1"/>
  <c r="A21676" i="1"/>
  <c r="B21676" i="1"/>
  <c r="A21677" i="1"/>
  <c r="B21677" i="1"/>
  <c r="A21678" i="1"/>
  <c r="B21678" i="1"/>
  <c r="A21679" i="1"/>
  <c r="B21679" i="1"/>
  <c r="A21680" i="1"/>
  <c r="B21680" i="1"/>
  <c r="A21681" i="1"/>
  <c r="B21681" i="1"/>
  <c r="A21682" i="1"/>
  <c r="B21682" i="1"/>
  <c r="A21683" i="1"/>
  <c r="B21683" i="1"/>
  <c r="A21684" i="1"/>
  <c r="B21684" i="1"/>
  <c r="A21685" i="1"/>
  <c r="B21685" i="1"/>
  <c r="A21686" i="1"/>
  <c r="B21686" i="1"/>
  <c r="A21687" i="1"/>
  <c r="B21687" i="1"/>
  <c r="A21688" i="1"/>
  <c r="B21688" i="1"/>
  <c r="A21689" i="1"/>
  <c r="B21689" i="1"/>
  <c r="A21690" i="1"/>
  <c r="B21690" i="1"/>
  <c r="A21691" i="1"/>
  <c r="B21691" i="1"/>
  <c r="A21692" i="1"/>
  <c r="B21692" i="1"/>
  <c r="A21693" i="1"/>
  <c r="B21693" i="1"/>
  <c r="A21694" i="1"/>
  <c r="B21694" i="1"/>
  <c r="A21695" i="1"/>
  <c r="B21695" i="1"/>
  <c r="A21696" i="1"/>
  <c r="B21696" i="1"/>
  <c r="A21697" i="1"/>
  <c r="B21697" i="1"/>
  <c r="A21698" i="1"/>
  <c r="B21698" i="1"/>
  <c r="A21699" i="1"/>
  <c r="B21699" i="1"/>
  <c r="A21700" i="1"/>
  <c r="B21700" i="1"/>
  <c r="A21701" i="1"/>
  <c r="B21701" i="1"/>
  <c r="A21702" i="1"/>
  <c r="B21702" i="1"/>
  <c r="A21703" i="1"/>
  <c r="B21703" i="1"/>
  <c r="A21704" i="1"/>
  <c r="B21704" i="1"/>
  <c r="A21705" i="1"/>
  <c r="B21705" i="1"/>
  <c r="A21706" i="1"/>
  <c r="B21706" i="1"/>
  <c r="A21707" i="1"/>
  <c r="B21707" i="1"/>
  <c r="A21708" i="1"/>
  <c r="B21708" i="1"/>
  <c r="A21709" i="1"/>
  <c r="B21709" i="1"/>
  <c r="A21710" i="1"/>
  <c r="B21710" i="1"/>
  <c r="A21711" i="1"/>
  <c r="B21711" i="1"/>
  <c r="A21712" i="1"/>
  <c r="B21712" i="1"/>
  <c r="A21713" i="1"/>
  <c r="B21713" i="1"/>
  <c r="A21714" i="1"/>
  <c r="B21714" i="1"/>
  <c r="A21715" i="1"/>
  <c r="B21715" i="1"/>
  <c r="A21716" i="1"/>
  <c r="B21716" i="1"/>
  <c r="A21717" i="1"/>
  <c r="B21717" i="1"/>
  <c r="A21718" i="1"/>
  <c r="B21718" i="1"/>
  <c r="A21719" i="1"/>
  <c r="B21719" i="1"/>
  <c r="A21720" i="1"/>
  <c r="B21720" i="1"/>
  <c r="A21721" i="1"/>
  <c r="B21721" i="1"/>
  <c r="A21722" i="1"/>
  <c r="B21722" i="1"/>
  <c r="A21723" i="1"/>
  <c r="B21723" i="1"/>
  <c r="A21724" i="1"/>
  <c r="B21724" i="1"/>
  <c r="A21725" i="1"/>
  <c r="B21725" i="1"/>
  <c r="A21726" i="1"/>
  <c r="B21726" i="1"/>
  <c r="A21727" i="1"/>
  <c r="B21727" i="1"/>
  <c r="A21728" i="1"/>
  <c r="B21728" i="1"/>
  <c r="A21729" i="1"/>
  <c r="B21729" i="1"/>
  <c r="A21730" i="1"/>
  <c r="B21730" i="1"/>
  <c r="A21731" i="1"/>
  <c r="B21731" i="1"/>
  <c r="A21732" i="1"/>
  <c r="B21732" i="1"/>
  <c r="A21733" i="1"/>
  <c r="B21733" i="1"/>
  <c r="A21734" i="1"/>
  <c r="B21734" i="1"/>
  <c r="A21735" i="1"/>
  <c r="B21735" i="1"/>
  <c r="A21736" i="1"/>
  <c r="B21736" i="1"/>
  <c r="A21737" i="1"/>
  <c r="B21737" i="1"/>
  <c r="A21738" i="1"/>
  <c r="B21738" i="1"/>
  <c r="A21739" i="1"/>
  <c r="B21739" i="1"/>
  <c r="A21740" i="1"/>
  <c r="B21740" i="1"/>
  <c r="A21741" i="1"/>
  <c r="B21741" i="1"/>
  <c r="A21742" i="1"/>
  <c r="B21742" i="1"/>
  <c r="A21743" i="1"/>
  <c r="B21743" i="1"/>
  <c r="A21744" i="1"/>
  <c r="B21744" i="1"/>
  <c r="A21745" i="1"/>
  <c r="B21745" i="1"/>
  <c r="A21746" i="1"/>
  <c r="B21746" i="1"/>
  <c r="A21747" i="1"/>
  <c r="B21747" i="1"/>
  <c r="A21748" i="1"/>
  <c r="B21748" i="1"/>
  <c r="A21749" i="1"/>
  <c r="B21749" i="1"/>
  <c r="A21750" i="1"/>
  <c r="B21750" i="1"/>
  <c r="A21751" i="1"/>
  <c r="B21751" i="1"/>
  <c r="A21752" i="1"/>
  <c r="B21752" i="1"/>
  <c r="A21753" i="1"/>
  <c r="B21753" i="1"/>
  <c r="A21754" i="1"/>
  <c r="B21754" i="1"/>
  <c r="A21755" i="1"/>
  <c r="B21755" i="1"/>
  <c r="A21756" i="1"/>
  <c r="B21756" i="1"/>
  <c r="A21757" i="1"/>
  <c r="B21757" i="1"/>
  <c r="A21758" i="1"/>
  <c r="B21758" i="1"/>
  <c r="A21759" i="1"/>
  <c r="B21759" i="1"/>
  <c r="A21760" i="1"/>
  <c r="B21760" i="1"/>
  <c r="A21761" i="1"/>
  <c r="B21761" i="1"/>
  <c r="A21762" i="1"/>
  <c r="B21762" i="1"/>
  <c r="A21763" i="1"/>
  <c r="B21763" i="1"/>
  <c r="A21764" i="1"/>
  <c r="B21764" i="1"/>
  <c r="A21765" i="1"/>
  <c r="B21765" i="1"/>
  <c r="A21766" i="1"/>
  <c r="B21766" i="1"/>
  <c r="A21767" i="1"/>
  <c r="B21767" i="1"/>
  <c r="A21768" i="1"/>
  <c r="B21768" i="1"/>
  <c r="A21769" i="1"/>
  <c r="B21769" i="1"/>
  <c r="A21770" i="1"/>
  <c r="B21770" i="1"/>
  <c r="A21771" i="1"/>
  <c r="B21771" i="1"/>
  <c r="A21772" i="1"/>
  <c r="B21772" i="1"/>
  <c r="A21773" i="1"/>
  <c r="B21773" i="1"/>
  <c r="A21774" i="1"/>
  <c r="B21774" i="1"/>
  <c r="A21775" i="1"/>
  <c r="B21775" i="1"/>
  <c r="A21776" i="1"/>
  <c r="B21776" i="1"/>
  <c r="A21777" i="1"/>
  <c r="B21777" i="1"/>
  <c r="A21778" i="1"/>
  <c r="B21778" i="1"/>
  <c r="A21779" i="1"/>
  <c r="B21779" i="1"/>
  <c r="A21780" i="1"/>
  <c r="B21780" i="1"/>
  <c r="A21781" i="1"/>
  <c r="B21781" i="1"/>
  <c r="A21782" i="1"/>
  <c r="B21782" i="1"/>
  <c r="A21783" i="1"/>
  <c r="B21783" i="1"/>
  <c r="A21784" i="1"/>
  <c r="B21784" i="1"/>
  <c r="A21785" i="1"/>
  <c r="B21785" i="1"/>
  <c r="A21786" i="1"/>
  <c r="B21786" i="1"/>
  <c r="A21787" i="1"/>
  <c r="B21787" i="1"/>
  <c r="A21788" i="1"/>
  <c r="B21788" i="1"/>
  <c r="A21789" i="1"/>
  <c r="B21789" i="1"/>
  <c r="A21790" i="1"/>
  <c r="B21790" i="1"/>
  <c r="A21791" i="1"/>
  <c r="B21791" i="1"/>
  <c r="A21792" i="1"/>
  <c r="B21792" i="1"/>
  <c r="A21793" i="1"/>
  <c r="B21793" i="1"/>
  <c r="A21794" i="1"/>
  <c r="B21794" i="1"/>
  <c r="A21795" i="1"/>
  <c r="B21795" i="1"/>
  <c r="A21796" i="1"/>
  <c r="B21796" i="1"/>
  <c r="A21797" i="1"/>
  <c r="B21797" i="1"/>
  <c r="A21798" i="1"/>
  <c r="B21798" i="1"/>
  <c r="A21799" i="1"/>
  <c r="B21799" i="1"/>
  <c r="A21800" i="1"/>
  <c r="B21800" i="1"/>
  <c r="A21801" i="1"/>
  <c r="B21801" i="1"/>
  <c r="A21802" i="1"/>
  <c r="B21802" i="1"/>
  <c r="A21803" i="1"/>
  <c r="B21803" i="1"/>
  <c r="A21804" i="1"/>
  <c r="B21804" i="1"/>
  <c r="A21805" i="1"/>
  <c r="B21805" i="1"/>
  <c r="A21806" i="1"/>
  <c r="B21806" i="1"/>
  <c r="A21807" i="1"/>
  <c r="B21807" i="1"/>
  <c r="A21808" i="1"/>
  <c r="B21808" i="1"/>
  <c r="A21809" i="1"/>
  <c r="B21809" i="1"/>
  <c r="A21810" i="1"/>
  <c r="B21810" i="1"/>
  <c r="A21811" i="1"/>
  <c r="B21811" i="1"/>
  <c r="A21812" i="1"/>
  <c r="B21812" i="1"/>
  <c r="A21813" i="1"/>
  <c r="B21813" i="1"/>
  <c r="A21814" i="1"/>
  <c r="B21814" i="1"/>
  <c r="A21815" i="1"/>
  <c r="B21815" i="1"/>
  <c r="A21816" i="1"/>
  <c r="B21816" i="1"/>
  <c r="A21817" i="1"/>
  <c r="B21817" i="1"/>
  <c r="A21818" i="1"/>
  <c r="B21818" i="1"/>
  <c r="A21819" i="1"/>
  <c r="B21819" i="1"/>
  <c r="A21820" i="1"/>
  <c r="B21820" i="1"/>
  <c r="A21821" i="1"/>
  <c r="B21821" i="1"/>
  <c r="A21822" i="1"/>
  <c r="B21822" i="1"/>
  <c r="A21823" i="1"/>
  <c r="B21823" i="1"/>
  <c r="A21824" i="1"/>
  <c r="B21824" i="1"/>
  <c r="A21825" i="1"/>
  <c r="B21825" i="1"/>
  <c r="A21826" i="1"/>
  <c r="B21826" i="1"/>
  <c r="A21827" i="1"/>
  <c r="B21827" i="1"/>
  <c r="A21828" i="1"/>
  <c r="B21828" i="1"/>
  <c r="A21829" i="1"/>
  <c r="B21829" i="1"/>
  <c r="A21830" i="1"/>
  <c r="B21830" i="1"/>
  <c r="A21831" i="1"/>
  <c r="B21831" i="1"/>
  <c r="A21832" i="1"/>
  <c r="B21832" i="1"/>
  <c r="A21833" i="1"/>
  <c r="B21833" i="1"/>
  <c r="A21834" i="1"/>
  <c r="B21834" i="1"/>
  <c r="A21835" i="1"/>
  <c r="B21835" i="1"/>
  <c r="A21836" i="1"/>
  <c r="B21836" i="1"/>
  <c r="A21837" i="1"/>
  <c r="B21837" i="1"/>
  <c r="A21838" i="1"/>
  <c r="B21838" i="1"/>
  <c r="A21839" i="1"/>
  <c r="B21839" i="1"/>
  <c r="A21840" i="1"/>
  <c r="B21840" i="1"/>
  <c r="A21841" i="1"/>
  <c r="B21841" i="1"/>
  <c r="A21842" i="1"/>
  <c r="B21842" i="1"/>
  <c r="A21843" i="1"/>
  <c r="B21843" i="1"/>
  <c r="A21844" i="1"/>
  <c r="B21844" i="1"/>
  <c r="A21845" i="1"/>
  <c r="B21845" i="1"/>
  <c r="A21846" i="1"/>
  <c r="B21846" i="1"/>
  <c r="A21847" i="1"/>
  <c r="B21847" i="1"/>
  <c r="A21848" i="1"/>
  <c r="B21848" i="1"/>
  <c r="A21849" i="1"/>
  <c r="B21849" i="1"/>
  <c r="A21850" i="1"/>
  <c r="B21850" i="1"/>
  <c r="A21851" i="1"/>
  <c r="B21851" i="1"/>
  <c r="A21852" i="1"/>
  <c r="B21852" i="1"/>
  <c r="A21853" i="1"/>
  <c r="B21853" i="1"/>
  <c r="A21854" i="1"/>
  <c r="B21854" i="1"/>
  <c r="A21855" i="1"/>
  <c r="B21855" i="1"/>
  <c r="A21856" i="1"/>
  <c r="B21856" i="1"/>
  <c r="A21857" i="1"/>
  <c r="B21857" i="1"/>
  <c r="A21858" i="1"/>
  <c r="B21858" i="1"/>
  <c r="A21859" i="1"/>
  <c r="B21859" i="1"/>
  <c r="A21860" i="1"/>
  <c r="B21860" i="1"/>
  <c r="A21861" i="1"/>
  <c r="B21861" i="1"/>
  <c r="A21862" i="1"/>
  <c r="B21862" i="1"/>
  <c r="A21863" i="1"/>
  <c r="B21863" i="1"/>
  <c r="A21864" i="1"/>
  <c r="B21864" i="1"/>
  <c r="A21865" i="1"/>
  <c r="B21865" i="1"/>
  <c r="A21866" i="1"/>
  <c r="B21866" i="1"/>
  <c r="A21867" i="1"/>
  <c r="B21867" i="1"/>
  <c r="A21868" i="1"/>
  <c r="B21868" i="1"/>
  <c r="A21869" i="1"/>
  <c r="B21869" i="1"/>
  <c r="A21870" i="1"/>
  <c r="B21870" i="1"/>
  <c r="A21871" i="1"/>
  <c r="B21871" i="1"/>
  <c r="A21872" i="1"/>
  <c r="B21872" i="1"/>
  <c r="A21873" i="1"/>
  <c r="B21873" i="1"/>
  <c r="A21874" i="1"/>
  <c r="B21874" i="1"/>
  <c r="A21875" i="1"/>
  <c r="B21875" i="1"/>
  <c r="A21876" i="1"/>
  <c r="B21876" i="1"/>
  <c r="A21877" i="1"/>
  <c r="B21877" i="1"/>
  <c r="A21878" i="1"/>
  <c r="B21878" i="1"/>
  <c r="A21879" i="1"/>
  <c r="B21879" i="1"/>
  <c r="A21880" i="1"/>
  <c r="B21880" i="1"/>
  <c r="A21881" i="1"/>
  <c r="B21881" i="1"/>
  <c r="A21882" i="1"/>
  <c r="B21882" i="1"/>
  <c r="A21883" i="1"/>
  <c r="B21883" i="1"/>
  <c r="A21884" i="1"/>
  <c r="B21884" i="1"/>
  <c r="A21885" i="1"/>
  <c r="B21885" i="1"/>
  <c r="A21886" i="1"/>
  <c r="B21886" i="1"/>
  <c r="A21887" i="1"/>
  <c r="B21887" i="1"/>
  <c r="A21888" i="1"/>
  <c r="B21888" i="1"/>
  <c r="A21889" i="1"/>
  <c r="B21889" i="1"/>
  <c r="A21890" i="1"/>
  <c r="B21890" i="1"/>
  <c r="A21891" i="1"/>
  <c r="B21891" i="1"/>
  <c r="A21892" i="1"/>
  <c r="B21892" i="1"/>
  <c r="A21893" i="1"/>
  <c r="B21893" i="1"/>
  <c r="A21894" i="1"/>
  <c r="B21894" i="1"/>
  <c r="A21895" i="1"/>
  <c r="B21895" i="1"/>
  <c r="A21896" i="1"/>
  <c r="B21896" i="1"/>
  <c r="A21897" i="1"/>
  <c r="B21897" i="1"/>
  <c r="A21898" i="1"/>
  <c r="B21898" i="1"/>
  <c r="A21899" i="1"/>
  <c r="B21899" i="1"/>
  <c r="A21900" i="1"/>
  <c r="B21900" i="1"/>
  <c r="A21901" i="1"/>
  <c r="B21901" i="1"/>
  <c r="A21902" i="1"/>
  <c r="B21902" i="1"/>
  <c r="A21903" i="1"/>
  <c r="B21903" i="1"/>
  <c r="A21904" i="1"/>
  <c r="B21904" i="1"/>
  <c r="A21905" i="1"/>
  <c r="B21905" i="1"/>
  <c r="A21906" i="1"/>
  <c r="B21906" i="1"/>
  <c r="A21907" i="1"/>
  <c r="B21907" i="1"/>
  <c r="A21908" i="1"/>
  <c r="B21908" i="1"/>
  <c r="A21909" i="1"/>
  <c r="B21909" i="1"/>
  <c r="A21910" i="1"/>
  <c r="B21910" i="1"/>
  <c r="A21911" i="1"/>
  <c r="B21911" i="1"/>
  <c r="A21912" i="1"/>
  <c r="B21912" i="1"/>
  <c r="A21913" i="1"/>
  <c r="B21913" i="1"/>
  <c r="A21914" i="1"/>
  <c r="B21914" i="1"/>
  <c r="A21915" i="1"/>
  <c r="B21915" i="1"/>
  <c r="A21916" i="1"/>
  <c r="B21916" i="1"/>
  <c r="A21917" i="1"/>
  <c r="B21917" i="1"/>
  <c r="A21918" i="1"/>
  <c r="B21918" i="1"/>
  <c r="A21919" i="1"/>
  <c r="B21919" i="1"/>
  <c r="A21920" i="1"/>
  <c r="B21920" i="1"/>
  <c r="A21921" i="1"/>
  <c r="B21921" i="1"/>
  <c r="A21922" i="1"/>
  <c r="B21922" i="1"/>
  <c r="A21923" i="1"/>
  <c r="B21923" i="1"/>
  <c r="A21924" i="1"/>
  <c r="B21924" i="1"/>
  <c r="A21925" i="1"/>
  <c r="B21925" i="1"/>
  <c r="A21926" i="1"/>
  <c r="B21926" i="1"/>
  <c r="A21927" i="1"/>
  <c r="B21927" i="1"/>
  <c r="A21928" i="1"/>
  <c r="B21928" i="1"/>
  <c r="A21929" i="1"/>
  <c r="B21929" i="1"/>
  <c r="A21930" i="1"/>
  <c r="B21930" i="1"/>
  <c r="A21931" i="1"/>
  <c r="B21931" i="1"/>
  <c r="A21932" i="1"/>
  <c r="B21932" i="1"/>
  <c r="A21933" i="1"/>
  <c r="B21933" i="1"/>
  <c r="A21934" i="1"/>
  <c r="B21934" i="1"/>
  <c r="A21935" i="1"/>
  <c r="B21935" i="1"/>
  <c r="A21936" i="1"/>
  <c r="B21936" i="1"/>
  <c r="A21937" i="1"/>
  <c r="B21937" i="1"/>
  <c r="A21938" i="1"/>
  <c r="B21938" i="1"/>
  <c r="A21939" i="1"/>
  <c r="B21939" i="1"/>
  <c r="A21940" i="1"/>
  <c r="B21940" i="1"/>
  <c r="A21941" i="1"/>
  <c r="B21941" i="1"/>
  <c r="A21942" i="1"/>
  <c r="B21942" i="1"/>
  <c r="A21943" i="1"/>
  <c r="B21943" i="1"/>
  <c r="A21944" i="1"/>
  <c r="B21944" i="1"/>
  <c r="A21945" i="1"/>
  <c r="B21945" i="1"/>
  <c r="A21946" i="1"/>
  <c r="B21946" i="1"/>
  <c r="A21947" i="1"/>
  <c r="B21947" i="1"/>
  <c r="A21948" i="1"/>
  <c r="B21948" i="1"/>
  <c r="A21949" i="1"/>
  <c r="B21949" i="1"/>
  <c r="A21950" i="1"/>
  <c r="B21950" i="1"/>
  <c r="A21951" i="1"/>
  <c r="B21951" i="1"/>
  <c r="A21952" i="1"/>
  <c r="B21952" i="1"/>
  <c r="A21953" i="1"/>
  <c r="B21953" i="1"/>
  <c r="A21954" i="1"/>
  <c r="B21954" i="1"/>
  <c r="A21955" i="1"/>
  <c r="B21955" i="1"/>
  <c r="A21956" i="1"/>
  <c r="B21956" i="1"/>
  <c r="A21957" i="1"/>
  <c r="B21957" i="1"/>
  <c r="A21958" i="1"/>
  <c r="B21958" i="1"/>
  <c r="A21959" i="1"/>
  <c r="B21959" i="1"/>
  <c r="A21960" i="1"/>
  <c r="B21960" i="1"/>
  <c r="A21961" i="1"/>
  <c r="B21961" i="1"/>
  <c r="A21962" i="1"/>
  <c r="B21962" i="1"/>
  <c r="A21963" i="1"/>
  <c r="B21963" i="1"/>
  <c r="A21964" i="1"/>
  <c r="B21964" i="1"/>
  <c r="A21965" i="1"/>
  <c r="B21965" i="1"/>
  <c r="A21966" i="1"/>
  <c r="B21966" i="1"/>
  <c r="A21967" i="1"/>
  <c r="B21967" i="1"/>
  <c r="A21968" i="1"/>
  <c r="B21968" i="1"/>
  <c r="A21969" i="1"/>
  <c r="B21969" i="1"/>
  <c r="A21970" i="1"/>
  <c r="B21970" i="1"/>
  <c r="A21971" i="1"/>
  <c r="B21971" i="1"/>
  <c r="A21972" i="1"/>
  <c r="B21972" i="1"/>
  <c r="A21973" i="1"/>
  <c r="B21973" i="1"/>
  <c r="A21974" i="1"/>
  <c r="B21974" i="1"/>
  <c r="A21975" i="1"/>
  <c r="B21975" i="1"/>
  <c r="A21976" i="1"/>
  <c r="B21976" i="1"/>
  <c r="A21977" i="1"/>
  <c r="B21977" i="1"/>
  <c r="A21978" i="1"/>
  <c r="B21978" i="1"/>
  <c r="A21979" i="1"/>
  <c r="B21979" i="1"/>
  <c r="A21980" i="1"/>
  <c r="B21980" i="1"/>
  <c r="A21981" i="1"/>
  <c r="B21981" i="1"/>
  <c r="A21982" i="1"/>
  <c r="B21982" i="1"/>
  <c r="A21983" i="1"/>
  <c r="B21983" i="1"/>
  <c r="A21984" i="1"/>
  <c r="B21984" i="1"/>
  <c r="A21985" i="1"/>
  <c r="B21985" i="1"/>
  <c r="A21986" i="1"/>
  <c r="B21986" i="1"/>
  <c r="A21987" i="1"/>
  <c r="B21987" i="1"/>
  <c r="A21988" i="1"/>
  <c r="B21988" i="1"/>
  <c r="A21989" i="1"/>
  <c r="B21989" i="1"/>
  <c r="A21990" i="1"/>
  <c r="B21990" i="1"/>
  <c r="A21991" i="1"/>
  <c r="B21991" i="1"/>
  <c r="A21992" i="1"/>
  <c r="B21992" i="1"/>
  <c r="A21993" i="1"/>
  <c r="B21993" i="1"/>
  <c r="A21994" i="1"/>
  <c r="B21994" i="1"/>
  <c r="A21995" i="1"/>
  <c r="B21995" i="1"/>
  <c r="A21996" i="1"/>
  <c r="B21996" i="1"/>
  <c r="A21997" i="1"/>
  <c r="B21997" i="1"/>
  <c r="A21998" i="1"/>
  <c r="B21998" i="1"/>
  <c r="A21999" i="1"/>
  <c r="B21999" i="1"/>
  <c r="A22000" i="1"/>
  <c r="B22000" i="1"/>
  <c r="A22001" i="1"/>
  <c r="B22001" i="1"/>
  <c r="A22002" i="1"/>
  <c r="B22002" i="1"/>
  <c r="A22003" i="1"/>
  <c r="B22003" i="1"/>
  <c r="A22004" i="1"/>
  <c r="B22004" i="1"/>
  <c r="A22005" i="1"/>
  <c r="B22005" i="1"/>
  <c r="A22006" i="1"/>
  <c r="B22006" i="1"/>
  <c r="A22007" i="1"/>
  <c r="B22007" i="1"/>
  <c r="A22008" i="1"/>
  <c r="B22008" i="1"/>
  <c r="A22009" i="1"/>
  <c r="B22009" i="1"/>
  <c r="A22010" i="1"/>
  <c r="B22010" i="1"/>
  <c r="A22011" i="1"/>
  <c r="B22011" i="1"/>
  <c r="A22012" i="1"/>
  <c r="B22012" i="1"/>
  <c r="A22013" i="1"/>
  <c r="B22013" i="1"/>
  <c r="A22014" i="1"/>
  <c r="B22014" i="1"/>
  <c r="A22015" i="1"/>
  <c r="B22015" i="1"/>
  <c r="A22016" i="1"/>
  <c r="B22016" i="1"/>
  <c r="A22017" i="1"/>
  <c r="B22017" i="1"/>
  <c r="A22018" i="1"/>
  <c r="B22018" i="1"/>
  <c r="A22019" i="1"/>
  <c r="B22019" i="1"/>
  <c r="A22020" i="1"/>
  <c r="B22020" i="1"/>
  <c r="A22021" i="1"/>
  <c r="B22021" i="1"/>
  <c r="A22022" i="1"/>
  <c r="B22022" i="1"/>
  <c r="A22023" i="1"/>
  <c r="B22023" i="1"/>
  <c r="A22024" i="1"/>
  <c r="B22024" i="1"/>
  <c r="A22025" i="1"/>
  <c r="B22025" i="1"/>
  <c r="A22026" i="1"/>
  <c r="B22026" i="1"/>
  <c r="A22027" i="1"/>
  <c r="B22027" i="1"/>
  <c r="A22028" i="1"/>
  <c r="B22028" i="1"/>
  <c r="A22029" i="1"/>
  <c r="B22029" i="1"/>
  <c r="A22030" i="1"/>
  <c r="B22030" i="1"/>
  <c r="A22031" i="1"/>
  <c r="B22031" i="1"/>
  <c r="A22032" i="1"/>
  <c r="B22032" i="1"/>
  <c r="A22033" i="1"/>
  <c r="B22033" i="1"/>
  <c r="A22034" i="1"/>
  <c r="B22034" i="1"/>
  <c r="A22035" i="1"/>
  <c r="B22035" i="1"/>
  <c r="A22036" i="1"/>
  <c r="B22036" i="1"/>
  <c r="A22037" i="1"/>
  <c r="B22037" i="1"/>
  <c r="A22038" i="1"/>
  <c r="B22038" i="1"/>
  <c r="A22039" i="1"/>
  <c r="B22039" i="1"/>
  <c r="A22040" i="1"/>
  <c r="B22040" i="1"/>
  <c r="A22041" i="1"/>
  <c r="B22041" i="1"/>
  <c r="A22042" i="1"/>
  <c r="B22042" i="1"/>
  <c r="A22043" i="1"/>
  <c r="B22043" i="1"/>
  <c r="A22044" i="1"/>
  <c r="B22044" i="1"/>
  <c r="A22045" i="1"/>
  <c r="B22045" i="1"/>
  <c r="A22046" i="1"/>
  <c r="B22046" i="1"/>
  <c r="A22047" i="1"/>
  <c r="B22047" i="1"/>
  <c r="A22048" i="1"/>
  <c r="B22048" i="1"/>
  <c r="A22049" i="1"/>
  <c r="B22049" i="1"/>
  <c r="A22050" i="1"/>
  <c r="B22050" i="1"/>
  <c r="A22051" i="1"/>
  <c r="B22051" i="1"/>
  <c r="A22052" i="1"/>
  <c r="B22052" i="1"/>
  <c r="A22053" i="1"/>
  <c r="B22053" i="1"/>
  <c r="A22054" i="1"/>
  <c r="B22054" i="1"/>
  <c r="A22055" i="1"/>
  <c r="B22055" i="1"/>
  <c r="A22056" i="1"/>
  <c r="B22056" i="1"/>
  <c r="A22057" i="1"/>
  <c r="B22057" i="1"/>
  <c r="A22058" i="1"/>
  <c r="B22058" i="1"/>
  <c r="A22059" i="1"/>
  <c r="B22059" i="1"/>
  <c r="A22060" i="1"/>
  <c r="B22060" i="1"/>
  <c r="A22061" i="1"/>
  <c r="B22061" i="1"/>
  <c r="A22062" i="1"/>
  <c r="B22062" i="1"/>
  <c r="A22063" i="1"/>
  <c r="B22063" i="1"/>
  <c r="A22064" i="1"/>
  <c r="B22064" i="1"/>
  <c r="A22065" i="1"/>
  <c r="B22065" i="1"/>
  <c r="A22066" i="1"/>
  <c r="B22066" i="1"/>
  <c r="A22067" i="1"/>
  <c r="B22067" i="1"/>
  <c r="A22068" i="1"/>
  <c r="B22068" i="1"/>
  <c r="A22069" i="1"/>
  <c r="B22069" i="1"/>
  <c r="A22070" i="1"/>
  <c r="B22070" i="1"/>
  <c r="A22071" i="1"/>
  <c r="B22071" i="1"/>
  <c r="A22072" i="1"/>
  <c r="B22072" i="1"/>
  <c r="A22073" i="1"/>
  <c r="B22073" i="1"/>
  <c r="A22074" i="1"/>
  <c r="B22074" i="1"/>
  <c r="A22075" i="1"/>
  <c r="B22075" i="1"/>
  <c r="A22076" i="1"/>
  <c r="B22076" i="1"/>
  <c r="A22077" i="1"/>
  <c r="B22077" i="1"/>
  <c r="A22078" i="1"/>
  <c r="B22078" i="1"/>
  <c r="A22079" i="1"/>
  <c r="B22079" i="1"/>
  <c r="A22080" i="1"/>
  <c r="B22080" i="1"/>
  <c r="A22081" i="1"/>
  <c r="B22081" i="1"/>
  <c r="A22082" i="1"/>
  <c r="B22082" i="1"/>
  <c r="A22083" i="1"/>
  <c r="B22083" i="1"/>
  <c r="A22084" i="1"/>
  <c r="B22084" i="1"/>
  <c r="A22085" i="1"/>
  <c r="B22085" i="1"/>
  <c r="A22086" i="1"/>
  <c r="B22086" i="1"/>
  <c r="A22087" i="1"/>
  <c r="B22087" i="1"/>
  <c r="A22088" i="1"/>
  <c r="B22088" i="1"/>
  <c r="A22089" i="1"/>
  <c r="B22089" i="1"/>
  <c r="A22090" i="1"/>
  <c r="B22090" i="1"/>
  <c r="A22091" i="1"/>
  <c r="B22091" i="1"/>
  <c r="A22092" i="1"/>
  <c r="B22092" i="1"/>
  <c r="A22093" i="1"/>
  <c r="B22093" i="1"/>
  <c r="A22094" i="1"/>
  <c r="B22094" i="1"/>
  <c r="A22095" i="1"/>
  <c r="B22095" i="1"/>
  <c r="A22096" i="1"/>
  <c r="B22096" i="1"/>
  <c r="A22097" i="1"/>
  <c r="B22097" i="1"/>
  <c r="A22098" i="1"/>
  <c r="B22098" i="1"/>
  <c r="A22099" i="1"/>
  <c r="B22099" i="1"/>
  <c r="A22100" i="1"/>
  <c r="B22100" i="1"/>
  <c r="A22101" i="1"/>
  <c r="B22101" i="1"/>
  <c r="A22102" i="1"/>
  <c r="B22102" i="1"/>
  <c r="A22103" i="1"/>
  <c r="B22103" i="1"/>
  <c r="A22104" i="1"/>
  <c r="B22104" i="1"/>
  <c r="A22105" i="1"/>
  <c r="B22105" i="1"/>
  <c r="A22106" i="1"/>
  <c r="B22106" i="1"/>
  <c r="A22107" i="1"/>
  <c r="B22107" i="1"/>
  <c r="A22108" i="1"/>
  <c r="B22108" i="1"/>
  <c r="A22109" i="1"/>
  <c r="B22109" i="1"/>
  <c r="A22110" i="1"/>
  <c r="B22110" i="1"/>
  <c r="A22111" i="1"/>
  <c r="B22111" i="1"/>
  <c r="A22112" i="1"/>
  <c r="B22112" i="1"/>
  <c r="A22113" i="1"/>
  <c r="B22113" i="1"/>
  <c r="A22114" i="1"/>
  <c r="B22114" i="1"/>
  <c r="A22115" i="1"/>
  <c r="B22115" i="1"/>
  <c r="A22116" i="1"/>
  <c r="B22116" i="1"/>
  <c r="A22117" i="1"/>
  <c r="B22117" i="1"/>
  <c r="A22118" i="1"/>
  <c r="B22118" i="1"/>
  <c r="A22119" i="1"/>
  <c r="B22119" i="1"/>
  <c r="A22120" i="1"/>
  <c r="B22120" i="1"/>
  <c r="A22121" i="1"/>
  <c r="B22121" i="1"/>
  <c r="A22122" i="1"/>
  <c r="B22122" i="1"/>
  <c r="A22123" i="1"/>
  <c r="B22123" i="1"/>
  <c r="A22124" i="1"/>
  <c r="B22124" i="1"/>
  <c r="A22125" i="1"/>
  <c r="B22125" i="1"/>
  <c r="A22126" i="1"/>
  <c r="B22126" i="1"/>
  <c r="A22127" i="1"/>
  <c r="B22127" i="1"/>
  <c r="A22128" i="1"/>
  <c r="B22128" i="1"/>
  <c r="A22129" i="1"/>
  <c r="B22129" i="1"/>
  <c r="A22130" i="1"/>
  <c r="B22130" i="1"/>
  <c r="A22131" i="1"/>
  <c r="B22131" i="1"/>
  <c r="A22132" i="1"/>
  <c r="B22132" i="1"/>
  <c r="A22133" i="1"/>
  <c r="B22133" i="1"/>
  <c r="A22134" i="1"/>
  <c r="B22134" i="1"/>
  <c r="A22135" i="1"/>
  <c r="B22135" i="1"/>
  <c r="A22136" i="1"/>
  <c r="B22136" i="1"/>
  <c r="A22137" i="1"/>
  <c r="B22137" i="1"/>
  <c r="A22138" i="1"/>
  <c r="B22138" i="1"/>
  <c r="A22139" i="1"/>
  <c r="B22139" i="1"/>
  <c r="A22140" i="1"/>
  <c r="B22140" i="1"/>
  <c r="A22141" i="1"/>
  <c r="B22141" i="1"/>
  <c r="A22142" i="1"/>
  <c r="B22142" i="1"/>
  <c r="A22143" i="1"/>
  <c r="B22143" i="1"/>
  <c r="A22144" i="1"/>
  <c r="B22144" i="1"/>
  <c r="A22145" i="1"/>
  <c r="B22145" i="1"/>
  <c r="A22146" i="1"/>
  <c r="B22146" i="1"/>
  <c r="A22147" i="1"/>
  <c r="B22147" i="1"/>
  <c r="A22148" i="1"/>
  <c r="B22148" i="1"/>
  <c r="A22149" i="1"/>
  <c r="B22149" i="1"/>
  <c r="A22150" i="1"/>
  <c r="B22150" i="1"/>
  <c r="A22151" i="1"/>
  <c r="B22151" i="1"/>
  <c r="A22152" i="1"/>
  <c r="B22152" i="1"/>
  <c r="A22153" i="1"/>
  <c r="B22153" i="1"/>
  <c r="A22154" i="1"/>
  <c r="B22154" i="1"/>
  <c r="A22155" i="1"/>
  <c r="B22155" i="1"/>
  <c r="A22156" i="1"/>
  <c r="B22156" i="1"/>
  <c r="A22157" i="1"/>
  <c r="B22157" i="1"/>
  <c r="A22158" i="1"/>
  <c r="B22158" i="1"/>
  <c r="A22159" i="1"/>
  <c r="B22159" i="1"/>
  <c r="A22160" i="1"/>
  <c r="B22160" i="1"/>
  <c r="A22161" i="1"/>
  <c r="B22161" i="1"/>
  <c r="A22162" i="1"/>
  <c r="B22162" i="1"/>
  <c r="A22163" i="1"/>
  <c r="B22163" i="1"/>
  <c r="A22164" i="1"/>
  <c r="B22164" i="1"/>
  <c r="A22165" i="1"/>
  <c r="B22165" i="1"/>
  <c r="A22166" i="1"/>
  <c r="B22166" i="1"/>
  <c r="A22167" i="1"/>
  <c r="B22167" i="1"/>
  <c r="A22168" i="1"/>
  <c r="B22168" i="1"/>
  <c r="A22169" i="1"/>
  <c r="B22169" i="1"/>
  <c r="A22170" i="1"/>
  <c r="B22170" i="1"/>
  <c r="A22171" i="1"/>
  <c r="B22171" i="1"/>
  <c r="A22172" i="1"/>
  <c r="B22172" i="1"/>
  <c r="A22173" i="1"/>
  <c r="B22173" i="1"/>
  <c r="A22174" i="1"/>
  <c r="B22174" i="1"/>
  <c r="A22175" i="1"/>
  <c r="B22175" i="1"/>
  <c r="A22176" i="1"/>
  <c r="B22176" i="1"/>
  <c r="A22177" i="1"/>
  <c r="B22177" i="1"/>
  <c r="A22178" i="1"/>
  <c r="B22178" i="1"/>
  <c r="A22179" i="1"/>
  <c r="B22179" i="1"/>
  <c r="A22180" i="1"/>
  <c r="B22180" i="1"/>
  <c r="A22181" i="1"/>
  <c r="B22181" i="1"/>
  <c r="A22182" i="1"/>
  <c r="B22182" i="1"/>
  <c r="A22183" i="1"/>
  <c r="B22183" i="1"/>
  <c r="A22184" i="1"/>
  <c r="B22184" i="1"/>
  <c r="A22185" i="1"/>
  <c r="B22185" i="1"/>
  <c r="A22186" i="1"/>
  <c r="B22186" i="1"/>
  <c r="A22187" i="1"/>
  <c r="B22187" i="1"/>
  <c r="A22188" i="1"/>
  <c r="B22188" i="1"/>
  <c r="A22189" i="1"/>
  <c r="B22189" i="1"/>
  <c r="A22190" i="1"/>
  <c r="B22190" i="1"/>
  <c r="A22191" i="1"/>
  <c r="B22191" i="1"/>
  <c r="A22192" i="1"/>
  <c r="B22192" i="1"/>
  <c r="A22193" i="1"/>
  <c r="B22193" i="1"/>
  <c r="A22194" i="1"/>
  <c r="B22194" i="1"/>
  <c r="A22195" i="1"/>
  <c r="B22195" i="1"/>
  <c r="A22196" i="1"/>
  <c r="B22196" i="1"/>
  <c r="A22197" i="1"/>
  <c r="B22197" i="1"/>
  <c r="A22198" i="1"/>
  <c r="B22198" i="1"/>
  <c r="A22199" i="1"/>
  <c r="B22199" i="1"/>
  <c r="A22200" i="1"/>
  <c r="B22200" i="1"/>
  <c r="A22201" i="1"/>
  <c r="B22201" i="1"/>
  <c r="A22202" i="1"/>
  <c r="B22202" i="1"/>
  <c r="A22203" i="1"/>
  <c r="B22203" i="1"/>
  <c r="A22204" i="1"/>
  <c r="B22204" i="1"/>
  <c r="A22205" i="1"/>
  <c r="B22205" i="1"/>
  <c r="A22206" i="1"/>
  <c r="B22206" i="1"/>
  <c r="A22207" i="1"/>
  <c r="B22207" i="1"/>
  <c r="A22208" i="1"/>
  <c r="B22208" i="1"/>
  <c r="A22209" i="1"/>
  <c r="B22209" i="1"/>
  <c r="A22210" i="1"/>
  <c r="B22210" i="1"/>
  <c r="A22211" i="1"/>
  <c r="B22211" i="1"/>
  <c r="A22212" i="1"/>
  <c r="B22212" i="1"/>
  <c r="A22213" i="1"/>
  <c r="B22213" i="1"/>
  <c r="A22214" i="1"/>
  <c r="B22214" i="1"/>
  <c r="A22215" i="1"/>
  <c r="B22215" i="1"/>
  <c r="A22216" i="1"/>
  <c r="B22216" i="1"/>
  <c r="A22217" i="1"/>
  <c r="B22217" i="1"/>
  <c r="A22218" i="1"/>
  <c r="B22218" i="1"/>
  <c r="A22219" i="1"/>
  <c r="B22219" i="1"/>
  <c r="A22220" i="1"/>
  <c r="B22220" i="1"/>
  <c r="A22221" i="1"/>
  <c r="B22221" i="1"/>
  <c r="A22222" i="1"/>
  <c r="B22222" i="1"/>
  <c r="A22223" i="1"/>
  <c r="B22223" i="1"/>
  <c r="A22224" i="1"/>
  <c r="B22224" i="1"/>
  <c r="A22225" i="1"/>
  <c r="B22225" i="1"/>
  <c r="A22226" i="1"/>
  <c r="B22226" i="1"/>
  <c r="A22227" i="1"/>
  <c r="B22227" i="1"/>
  <c r="A22228" i="1"/>
  <c r="B22228" i="1"/>
  <c r="A22229" i="1"/>
  <c r="B22229" i="1"/>
  <c r="A22230" i="1"/>
  <c r="B22230" i="1"/>
  <c r="A22231" i="1"/>
  <c r="B22231" i="1"/>
  <c r="A22232" i="1"/>
  <c r="B22232" i="1"/>
  <c r="A22233" i="1"/>
  <c r="B22233" i="1"/>
  <c r="A22234" i="1"/>
  <c r="B22234" i="1"/>
  <c r="A22235" i="1"/>
  <c r="B22235" i="1"/>
  <c r="A22236" i="1"/>
  <c r="B22236" i="1"/>
  <c r="A22237" i="1"/>
  <c r="B22237" i="1"/>
  <c r="A22238" i="1"/>
  <c r="B22238" i="1"/>
  <c r="A22239" i="1"/>
  <c r="B22239" i="1"/>
  <c r="A22240" i="1"/>
  <c r="B22240" i="1"/>
  <c r="A22241" i="1"/>
  <c r="B22241" i="1"/>
  <c r="A22242" i="1"/>
  <c r="B22242" i="1"/>
  <c r="A22243" i="1"/>
  <c r="B22243" i="1"/>
  <c r="A22244" i="1"/>
  <c r="B22244" i="1"/>
  <c r="A22245" i="1"/>
  <c r="B22245" i="1"/>
  <c r="A22246" i="1"/>
  <c r="B22246" i="1"/>
  <c r="A22247" i="1"/>
  <c r="B22247" i="1"/>
  <c r="A22248" i="1"/>
  <c r="B22248" i="1"/>
  <c r="A22249" i="1"/>
  <c r="B22249" i="1"/>
  <c r="A22250" i="1"/>
  <c r="B22250" i="1"/>
  <c r="A22251" i="1"/>
  <c r="B22251" i="1"/>
  <c r="A22252" i="1"/>
  <c r="B22252" i="1"/>
  <c r="A22253" i="1"/>
  <c r="B22253" i="1"/>
  <c r="A22254" i="1"/>
  <c r="B22254" i="1"/>
  <c r="A22255" i="1"/>
  <c r="B22255" i="1"/>
  <c r="A22256" i="1"/>
  <c r="B22256" i="1"/>
  <c r="A22257" i="1"/>
  <c r="B22257" i="1"/>
  <c r="A22258" i="1"/>
  <c r="B22258" i="1"/>
  <c r="A22259" i="1"/>
  <c r="B22259" i="1"/>
  <c r="A22260" i="1"/>
  <c r="B22260" i="1"/>
  <c r="A22261" i="1"/>
  <c r="B22261" i="1"/>
  <c r="A22262" i="1"/>
  <c r="B22262" i="1"/>
  <c r="A22263" i="1"/>
  <c r="B22263" i="1"/>
  <c r="A22264" i="1"/>
  <c r="B22264" i="1"/>
  <c r="A22265" i="1"/>
  <c r="B22265" i="1"/>
  <c r="A22266" i="1"/>
  <c r="B22266" i="1"/>
  <c r="A22267" i="1"/>
  <c r="B22267" i="1"/>
  <c r="A22268" i="1"/>
  <c r="B22268" i="1"/>
  <c r="A22269" i="1"/>
  <c r="B22269" i="1"/>
  <c r="A22270" i="1"/>
  <c r="B22270" i="1"/>
  <c r="A22271" i="1"/>
  <c r="B22271" i="1"/>
  <c r="A22272" i="1"/>
  <c r="B22272" i="1"/>
  <c r="A22273" i="1"/>
  <c r="B22273" i="1"/>
  <c r="A22274" i="1"/>
  <c r="B22274" i="1"/>
  <c r="A22275" i="1"/>
  <c r="B22275" i="1"/>
  <c r="A22276" i="1"/>
  <c r="B22276" i="1"/>
  <c r="A22277" i="1"/>
  <c r="B22277" i="1"/>
  <c r="A22278" i="1"/>
  <c r="B22278" i="1"/>
  <c r="A22279" i="1"/>
  <c r="B22279" i="1"/>
  <c r="A22280" i="1"/>
  <c r="B22280" i="1"/>
  <c r="A22281" i="1"/>
  <c r="B22281" i="1"/>
  <c r="A22282" i="1"/>
  <c r="B22282" i="1"/>
  <c r="A22283" i="1"/>
  <c r="B22283" i="1"/>
  <c r="A22284" i="1"/>
  <c r="B22284" i="1"/>
  <c r="A22285" i="1"/>
  <c r="B22285" i="1"/>
  <c r="A22286" i="1"/>
  <c r="B22286" i="1"/>
  <c r="A22287" i="1"/>
  <c r="B22287" i="1"/>
  <c r="A22288" i="1"/>
  <c r="B22288" i="1"/>
  <c r="A22289" i="1"/>
  <c r="B22289" i="1"/>
  <c r="A22290" i="1"/>
  <c r="B22290" i="1"/>
  <c r="A22291" i="1"/>
  <c r="B22291" i="1"/>
  <c r="A22292" i="1"/>
  <c r="B22292" i="1"/>
  <c r="A22293" i="1"/>
  <c r="B22293" i="1"/>
  <c r="A22294" i="1"/>
  <c r="B22294" i="1"/>
  <c r="A22295" i="1"/>
  <c r="B22295" i="1"/>
  <c r="A22296" i="1"/>
  <c r="B22296" i="1"/>
  <c r="A22297" i="1"/>
  <c r="B22297" i="1"/>
  <c r="A22298" i="1"/>
  <c r="B22298" i="1"/>
  <c r="A22299" i="1"/>
  <c r="B22299" i="1"/>
  <c r="A22300" i="1"/>
  <c r="B22300" i="1"/>
  <c r="A22301" i="1"/>
  <c r="B22301" i="1"/>
  <c r="A22302" i="1"/>
  <c r="B22302" i="1"/>
  <c r="A22303" i="1"/>
  <c r="B22303" i="1"/>
  <c r="A22304" i="1"/>
  <c r="B22304" i="1"/>
  <c r="A22305" i="1"/>
  <c r="B22305" i="1"/>
  <c r="A22306" i="1"/>
  <c r="B22306" i="1"/>
  <c r="A22307" i="1"/>
  <c r="B22307" i="1"/>
  <c r="A22308" i="1"/>
  <c r="B22308" i="1"/>
  <c r="A22309" i="1"/>
  <c r="B22309" i="1"/>
  <c r="A22310" i="1"/>
  <c r="B22310" i="1"/>
  <c r="A22311" i="1"/>
  <c r="B22311" i="1"/>
  <c r="A22312" i="1"/>
  <c r="B22312" i="1"/>
  <c r="A22313" i="1"/>
  <c r="B22313" i="1"/>
  <c r="A22314" i="1"/>
  <c r="B22314" i="1"/>
  <c r="A22315" i="1"/>
  <c r="B22315" i="1"/>
  <c r="A22316" i="1"/>
  <c r="B22316" i="1"/>
  <c r="A22317" i="1"/>
  <c r="B22317" i="1"/>
  <c r="A22318" i="1"/>
  <c r="B22318" i="1"/>
  <c r="A22319" i="1"/>
  <c r="B22319" i="1"/>
  <c r="A22320" i="1"/>
  <c r="B22320" i="1"/>
  <c r="A22321" i="1"/>
  <c r="B22321" i="1"/>
  <c r="A22322" i="1"/>
  <c r="B22322" i="1"/>
  <c r="A22323" i="1"/>
  <c r="B22323" i="1"/>
  <c r="A22324" i="1"/>
  <c r="B22324" i="1"/>
  <c r="A22325" i="1"/>
  <c r="B22325" i="1"/>
  <c r="A22326" i="1"/>
  <c r="B22326" i="1"/>
  <c r="A22327" i="1"/>
  <c r="B22327" i="1"/>
  <c r="A22328" i="1"/>
  <c r="B22328" i="1"/>
  <c r="A22329" i="1"/>
  <c r="B22329" i="1"/>
  <c r="A22330" i="1"/>
  <c r="B22330" i="1"/>
  <c r="A22331" i="1"/>
  <c r="B22331" i="1"/>
  <c r="A22332" i="1"/>
  <c r="B22332" i="1"/>
  <c r="A22333" i="1"/>
  <c r="B22333" i="1"/>
  <c r="A22334" i="1"/>
  <c r="B22334" i="1"/>
  <c r="A22335" i="1"/>
  <c r="B22335" i="1"/>
  <c r="A22336" i="1"/>
  <c r="B22336" i="1"/>
  <c r="A22337" i="1"/>
  <c r="B22337" i="1"/>
  <c r="A22338" i="1"/>
  <c r="B22338" i="1"/>
  <c r="A22339" i="1"/>
  <c r="B22339" i="1"/>
  <c r="A22340" i="1"/>
  <c r="B22340" i="1"/>
  <c r="A22341" i="1"/>
  <c r="B22341" i="1"/>
  <c r="A22342" i="1"/>
  <c r="B22342" i="1"/>
  <c r="A22343" i="1"/>
  <c r="B22343" i="1"/>
  <c r="A22344" i="1"/>
  <c r="B22344" i="1"/>
  <c r="A22345" i="1"/>
  <c r="B22345" i="1"/>
  <c r="A22346" i="1"/>
  <c r="B22346" i="1"/>
  <c r="A22347" i="1"/>
  <c r="B22347" i="1"/>
  <c r="A22348" i="1"/>
  <c r="B22348" i="1"/>
  <c r="A22349" i="1"/>
  <c r="B22349" i="1"/>
  <c r="A22350" i="1"/>
  <c r="B22350" i="1"/>
  <c r="A22351" i="1"/>
  <c r="B22351" i="1"/>
  <c r="A22352" i="1"/>
  <c r="B22352" i="1"/>
  <c r="A22353" i="1"/>
  <c r="B22353" i="1"/>
  <c r="A22354" i="1"/>
  <c r="B22354" i="1"/>
  <c r="A22355" i="1"/>
  <c r="B22355" i="1"/>
  <c r="A22356" i="1"/>
  <c r="B22356" i="1"/>
  <c r="A22357" i="1"/>
  <c r="B22357" i="1"/>
  <c r="A22358" i="1"/>
  <c r="B22358" i="1"/>
  <c r="A22359" i="1"/>
  <c r="B22359" i="1"/>
  <c r="A22360" i="1"/>
  <c r="B22360" i="1"/>
  <c r="A22361" i="1"/>
  <c r="B22361" i="1"/>
  <c r="A22362" i="1"/>
  <c r="B22362" i="1"/>
  <c r="A22363" i="1"/>
  <c r="B22363" i="1"/>
  <c r="A22364" i="1"/>
  <c r="B22364" i="1"/>
  <c r="A22365" i="1"/>
  <c r="B22365" i="1"/>
  <c r="A22366" i="1"/>
  <c r="B22366" i="1"/>
  <c r="A22367" i="1"/>
  <c r="B22367" i="1"/>
  <c r="A22368" i="1"/>
  <c r="B22368" i="1"/>
  <c r="A22369" i="1"/>
  <c r="B22369" i="1"/>
  <c r="A22370" i="1"/>
  <c r="B22370" i="1"/>
  <c r="A22371" i="1"/>
  <c r="B22371" i="1"/>
  <c r="A22372" i="1"/>
  <c r="B22372" i="1"/>
  <c r="A22373" i="1"/>
  <c r="B22373" i="1"/>
  <c r="A22374" i="1"/>
  <c r="B22374" i="1"/>
  <c r="A22375" i="1"/>
  <c r="B22375" i="1"/>
  <c r="A22376" i="1"/>
  <c r="B22376" i="1"/>
  <c r="A22377" i="1"/>
  <c r="B22377" i="1"/>
  <c r="A22378" i="1"/>
  <c r="B22378" i="1"/>
  <c r="A22379" i="1"/>
  <c r="B22379" i="1"/>
  <c r="A22380" i="1"/>
  <c r="B22380" i="1"/>
  <c r="A22381" i="1"/>
  <c r="B22381" i="1"/>
  <c r="A22382" i="1"/>
  <c r="B22382" i="1"/>
  <c r="A22383" i="1"/>
  <c r="B22383" i="1"/>
  <c r="A22384" i="1"/>
  <c r="B22384" i="1"/>
  <c r="A22385" i="1"/>
  <c r="B22385" i="1"/>
  <c r="A22386" i="1"/>
  <c r="B22386" i="1"/>
  <c r="A22387" i="1"/>
  <c r="B22387" i="1"/>
  <c r="A22388" i="1"/>
  <c r="B22388" i="1"/>
  <c r="A22389" i="1"/>
  <c r="B22389" i="1"/>
  <c r="A22390" i="1"/>
  <c r="B22390" i="1"/>
  <c r="A22391" i="1"/>
  <c r="B22391" i="1"/>
  <c r="A22392" i="1"/>
  <c r="B22392" i="1"/>
  <c r="A22393" i="1"/>
  <c r="B22393" i="1"/>
  <c r="A22394" i="1"/>
  <c r="B22394" i="1"/>
  <c r="A22395" i="1"/>
  <c r="B22395" i="1"/>
  <c r="A22396" i="1"/>
  <c r="B22396" i="1"/>
  <c r="A22397" i="1"/>
  <c r="B22397" i="1"/>
  <c r="A22398" i="1"/>
  <c r="B22398" i="1"/>
  <c r="A22399" i="1"/>
  <c r="B22399" i="1"/>
  <c r="A22400" i="1"/>
  <c r="B22400" i="1"/>
  <c r="A22401" i="1"/>
  <c r="B22401" i="1"/>
  <c r="A22402" i="1"/>
  <c r="B22402" i="1"/>
  <c r="A22403" i="1"/>
  <c r="B22403" i="1"/>
  <c r="A22404" i="1"/>
  <c r="B22404" i="1"/>
  <c r="A22405" i="1"/>
  <c r="B22405" i="1"/>
  <c r="A22406" i="1"/>
  <c r="B22406" i="1"/>
  <c r="A22407" i="1"/>
  <c r="B22407" i="1"/>
  <c r="A22408" i="1"/>
  <c r="B22408" i="1"/>
  <c r="A22409" i="1"/>
  <c r="B22409" i="1"/>
  <c r="A22410" i="1"/>
  <c r="B22410" i="1"/>
  <c r="A22411" i="1"/>
  <c r="B22411" i="1"/>
  <c r="A22412" i="1"/>
  <c r="B22412" i="1"/>
  <c r="A22413" i="1"/>
  <c r="B22413" i="1"/>
  <c r="A22414" i="1"/>
  <c r="B22414" i="1"/>
  <c r="A22415" i="1"/>
  <c r="B22415" i="1"/>
  <c r="A22416" i="1"/>
  <c r="B22416" i="1"/>
  <c r="A22417" i="1"/>
  <c r="B22417" i="1"/>
  <c r="A22418" i="1"/>
  <c r="B22418" i="1"/>
  <c r="A22419" i="1"/>
  <c r="B22419" i="1"/>
  <c r="A22420" i="1"/>
  <c r="B22420" i="1"/>
  <c r="A22421" i="1"/>
  <c r="B22421" i="1"/>
  <c r="A22422" i="1"/>
  <c r="B22422" i="1"/>
  <c r="A22423" i="1"/>
  <c r="B22423" i="1"/>
  <c r="A22424" i="1"/>
  <c r="B22424" i="1"/>
  <c r="A22425" i="1"/>
  <c r="B22425" i="1"/>
  <c r="A22426" i="1"/>
  <c r="B22426" i="1"/>
  <c r="A22427" i="1"/>
  <c r="B22427" i="1"/>
  <c r="A22428" i="1"/>
  <c r="B22428" i="1"/>
  <c r="A22429" i="1"/>
  <c r="B22429" i="1"/>
  <c r="A22430" i="1"/>
  <c r="B22430" i="1"/>
  <c r="A22431" i="1"/>
  <c r="B22431" i="1"/>
  <c r="A22432" i="1"/>
  <c r="B22432" i="1"/>
  <c r="A22433" i="1"/>
  <c r="B22433" i="1"/>
  <c r="A22434" i="1"/>
  <c r="B22434" i="1"/>
  <c r="A22435" i="1"/>
  <c r="B22435" i="1"/>
  <c r="A22436" i="1"/>
  <c r="B22436" i="1"/>
  <c r="A22437" i="1"/>
  <c r="B22437" i="1"/>
  <c r="A22438" i="1"/>
  <c r="B22438" i="1"/>
  <c r="A22439" i="1"/>
  <c r="B22439" i="1"/>
  <c r="A22440" i="1"/>
  <c r="B22440" i="1"/>
  <c r="A22441" i="1"/>
  <c r="B22441" i="1"/>
  <c r="A22442" i="1"/>
  <c r="B22442" i="1"/>
  <c r="A22443" i="1"/>
  <c r="B22443" i="1"/>
  <c r="A22444" i="1"/>
  <c r="B22444" i="1"/>
  <c r="A22445" i="1"/>
  <c r="B22445" i="1"/>
  <c r="A22446" i="1"/>
  <c r="B22446" i="1"/>
  <c r="A22447" i="1"/>
  <c r="B22447" i="1"/>
  <c r="A22448" i="1"/>
  <c r="B22448" i="1"/>
  <c r="A22449" i="1"/>
  <c r="B22449" i="1"/>
  <c r="A22450" i="1"/>
  <c r="B22450" i="1"/>
  <c r="A22451" i="1"/>
  <c r="B22451" i="1"/>
  <c r="A22452" i="1"/>
  <c r="B22452" i="1"/>
  <c r="A22453" i="1"/>
  <c r="B22453" i="1"/>
  <c r="A22454" i="1"/>
  <c r="B22454" i="1"/>
  <c r="A22455" i="1"/>
  <c r="B22455" i="1"/>
  <c r="A22456" i="1"/>
  <c r="B22456" i="1"/>
  <c r="A22457" i="1"/>
  <c r="B22457" i="1"/>
  <c r="A22458" i="1"/>
  <c r="B22458" i="1"/>
  <c r="A22459" i="1"/>
  <c r="B22459" i="1"/>
  <c r="A22460" i="1"/>
  <c r="B22460" i="1"/>
  <c r="A22461" i="1"/>
  <c r="B22461" i="1"/>
  <c r="A22462" i="1"/>
  <c r="B22462" i="1"/>
  <c r="A22463" i="1"/>
  <c r="B22463" i="1"/>
  <c r="A22464" i="1"/>
  <c r="B22464" i="1"/>
  <c r="A22465" i="1"/>
  <c r="B22465" i="1"/>
  <c r="A22466" i="1"/>
  <c r="B22466" i="1"/>
  <c r="A22467" i="1"/>
  <c r="B22467" i="1"/>
  <c r="A22468" i="1"/>
  <c r="B22468" i="1"/>
  <c r="A22469" i="1"/>
  <c r="B22469" i="1"/>
  <c r="A22470" i="1"/>
  <c r="B22470" i="1"/>
  <c r="A22471" i="1"/>
  <c r="B22471" i="1"/>
  <c r="A22472" i="1"/>
  <c r="B22472" i="1"/>
  <c r="A22473" i="1"/>
  <c r="B22473" i="1"/>
  <c r="A22474" i="1"/>
  <c r="B22474" i="1"/>
  <c r="A22475" i="1"/>
  <c r="B22475" i="1"/>
  <c r="A22476" i="1"/>
  <c r="B22476" i="1"/>
  <c r="A22477" i="1"/>
  <c r="B22477" i="1"/>
  <c r="A22478" i="1"/>
  <c r="B22478" i="1"/>
  <c r="A22479" i="1"/>
  <c r="B22479" i="1"/>
  <c r="A22480" i="1"/>
  <c r="B22480" i="1"/>
  <c r="A22481" i="1"/>
  <c r="B22481" i="1"/>
  <c r="A22482" i="1"/>
  <c r="B22482" i="1"/>
  <c r="A22483" i="1"/>
  <c r="B22483" i="1"/>
  <c r="A22484" i="1"/>
  <c r="B22484" i="1"/>
  <c r="A22485" i="1"/>
  <c r="B22485" i="1"/>
  <c r="A22486" i="1"/>
  <c r="B22486" i="1"/>
  <c r="A22487" i="1"/>
  <c r="B22487" i="1"/>
  <c r="A22488" i="1"/>
  <c r="B22488" i="1"/>
  <c r="A22489" i="1"/>
  <c r="B22489" i="1"/>
  <c r="A22490" i="1"/>
  <c r="B22490" i="1"/>
  <c r="A22491" i="1"/>
  <c r="B22491" i="1"/>
  <c r="A22492" i="1"/>
  <c r="B22492" i="1"/>
  <c r="A22493" i="1"/>
  <c r="B22493" i="1"/>
  <c r="A22494" i="1"/>
  <c r="B22494" i="1"/>
  <c r="A22495" i="1"/>
  <c r="B22495" i="1"/>
  <c r="A22496" i="1"/>
  <c r="B22496" i="1"/>
  <c r="A22497" i="1"/>
  <c r="B22497" i="1"/>
  <c r="A22498" i="1"/>
  <c r="B22498" i="1"/>
  <c r="A22499" i="1"/>
  <c r="B22499" i="1"/>
  <c r="A22500" i="1"/>
  <c r="B22500" i="1"/>
  <c r="A22501" i="1"/>
  <c r="B22501" i="1"/>
  <c r="A22502" i="1"/>
  <c r="B22502" i="1"/>
  <c r="A22503" i="1"/>
  <c r="B22503" i="1"/>
  <c r="A22504" i="1"/>
  <c r="B22504" i="1"/>
  <c r="A22505" i="1"/>
  <c r="B22505" i="1"/>
  <c r="A22506" i="1"/>
  <c r="B22506" i="1"/>
  <c r="A22507" i="1"/>
  <c r="B22507" i="1"/>
  <c r="A22508" i="1"/>
  <c r="B22508" i="1"/>
  <c r="A22509" i="1"/>
  <c r="B22509" i="1"/>
  <c r="A22510" i="1"/>
  <c r="B22510" i="1"/>
  <c r="A22511" i="1"/>
  <c r="B22511" i="1"/>
  <c r="A22512" i="1"/>
  <c r="B22512" i="1"/>
  <c r="A22513" i="1"/>
  <c r="B22513" i="1"/>
  <c r="A22514" i="1"/>
  <c r="B22514" i="1"/>
  <c r="A22515" i="1"/>
  <c r="B22515" i="1"/>
  <c r="A22516" i="1"/>
  <c r="B22516" i="1"/>
  <c r="A22517" i="1"/>
  <c r="B22517" i="1"/>
  <c r="A22518" i="1"/>
  <c r="B22518" i="1"/>
  <c r="A22519" i="1"/>
  <c r="B22519" i="1"/>
  <c r="A22520" i="1"/>
  <c r="B22520" i="1"/>
  <c r="A22521" i="1"/>
  <c r="B22521" i="1"/>
  <c r="A22522" i="1"/>
  <c r="B22522" i="1"/>
  <c r="A22523" i="1"/>
  <c r="B22523" i="1"/>
  <c r="A22524" i="1"/>
  <c r="B22524" i="1"/>
  <c r="A22525" i="1"/>
  <c r="B22525" i="1"/>
  <c r="A22526" i="1"/>
  <c r="B22526" i="1"/>
  <c r="A22527" i="1"/>
  <c r="B22527" i="1"/>
  <c r="A22528" i="1"/>
  <c r="B22528" i="1"/>
  <c r="A22529" i="1"/>
  <c r="B22529" i="1"/>
  <c r="A22530" i="1"/>
  <c r="B22530" i="1"/>
  <c r="A22531" i="1"/>
  <c r="B22531" i="1"/>
  <c r="A22532" i="1"/>
  <c r="B22532" i="1"/>
  <c r="A22533" i="1"/>
  <c r="B22533" i="1"/>
  <c r="A22534" i="1"/>
  <c r="B22534" i="1"/>
  <c r="A22535" i="1"/>
  <c r="B22535" i="1"/>
  <c r="A22536" i="1"/>
  <c r="B22536" i="1"/>
  <c r="A22537" i="1"/>
  <c r="B22537" i="1"/>
  <c r="A22538" i="1"/>
  <c r="B22538" i="1"/>
  <c r="A22539" i="1"/>
  <c r="B22539" i="1"/>
  <c r="A22540" i="1"/>
  <c r="B22540" i="1"/>
  <c r="A22541" i="1"/>
  <c r="B22541" i="1"/>
  <c r="A22542" i="1"/>
  <c r="B22542" i="1"/>
  <c r="A22543" i="1"/>
  <c r="B22543" i="1"/>
  <c r="A22544" i="1"/>
  <c r="B22544" i="1"/>
  <c r="A22545" i="1"/>
  <c r="B22545" i="1"/>
  <c r="A22546" i="1"/>
  <c r="B22546" i="1"/>
  <c r="A22547" i="1"/>
  <c r="B22547" i="1"/>
  <c r="A22548" i="1"/>
  <c r="B22548" i="1"/>
  <c r="A22549" i="1"/>
  <c r="B22549" i="1"/>
  <c r="A22550" i="1"/>
  <c r="B22550" i="1"/>
  <c r="A22551" i="1"/>
  <c r="B22551" i="1"/>
  <c r="A22552" i="1"/>
  <c r="B22552" i="1"/>
  <c r="A22553" i="1"/>
  <c r="B22553" i="1"/>
  <c r="A22554" i="1"/>
  <c r="B22554" i="1"/>
  <c r="A22555" i="1"/>
  <c r="B22555" i="1"/>
  <c r="A22556" i="1"/>
  <c r="B22556" i="1"/>
  <c r="A22557" i="1"/>
  <c r="B22557" i="1"/>
  <c r="A22558" i="1"/>
  <c r="B22558" i="1"/>
  <c r="A22559" i="1"/>
  <c r="B22559" i="1"/>
  <c r="A22560" i="1"/>
  <c r="B22560" i="1"/>
  <c r="A22561" i="1"/>
  <c r="B22561" i="1"/>
  <c r="A22562" i="1"/>
  <c r="B22562" i="1"/>
  <c r="A22563" i="1"/>
  <c r="B22563" i="1"/>
  <c r="A22564" i="1"/>
  <c r="B22564" i="1"/>
  <c r="A22565" i="1"/>
  <c r="B22565" i="1"/>
  <c r="A22566" i="1"/>
  <c r="B22566" i="1"/>
  <c r="A22567" i="1"/>
  <c r="B22567" i="1"/>
  <c r="A22568" i="1"/>
  <c r="B22568" i="1"/>
  <c r="A22569" i="1"/>
  <c r="B22569" i="1"/>
  <c r="A22570" i="1"/>
  <c r="B22570" i="1"/>
  <c r="A22571" i="1"/>
  <c r="B22571" i="1"/>
  <c r="A22572" i="1"/>
  <c r="B22572" i="1"/>
  <c r="A22573" i="1"/>
  <c r="B22573" i="1"/>
  <c r="A22574" i="1"/>
  <c r="B22574" i="1"/>
  <c r="A22575" i="1"/>
  <c r="B22575" i="1"/>
  <c r="A22576" i="1"/>
  <c r="B22576" i="1"/>
  <c r="A22577" i="1"/>
  <c r="B22577" i="1"/>
  <c r="A22578" i="1"/>
  <c r="B22578" i="1"/>
  <c r="A22579" i="1"/>
  <c r="B22579" i="1"/>
  <c r="A22580" i="1"/>
  <c r="B22580" i="1"/>
  <c r="A22581" i="1"/>
  <c r="B22581" i="1"/>
  <c r="A22582" i="1"/>
  <c r="B22582" i="1"/>
  <c r="A22583" i="1"/>
  <c r="B22583" i="1"/>
  <c r="A22584" i="1"/>
  <c r="B22584" i="1"/>
  <c r="A22585" i="1"/>
  <c r="B22585" i="1"/>
  <c r="A22586" i="1"/>
  <c r="B22586" i="1"/>
  <c r="A22587" i="1"/>
  <c r="B22587" i="1"/>
  <c r="A22588" i="1"/>
  <c r="B22588" i="1"/>
  <c r="A22589" i="1"/>
  <c r="B22589" i="1"/>
  <c r="A22590" i="1"/>
  <c r="B22590" i="1"/>
  <c r="A22591" i="1"/>
  <c r="B22591" i="1"/>
  <c r="A22592" i="1"/>
  <c r="B22592" i="1"/>
  <c r="A22593" i="1"/>
  <c r="B22593" i="1"/>
  <c r="A22594" i="1"/>
  <c r="B22594" i="1"/>
  <c r="A22595" i="1"/>
  <c r="B22595" i="1"/>
  <c r="A22596" i="1"/>
  <c r="B22596" i="1"/>
  <c r="A22597" i="1"/>
  <c r="B22597" i="1"/>
  <c r="A22598" i="1"/>
  <c r="B22598" i="1"/>
  <c r="A22599" i="1"/>
  <c r="B22599" i="1"/>
  <c r="A22600" i="1"/>
  <c r="B22600" i="1"/>
  <c r="A22601" i="1"/>
  <c r="B22601" i="1"/>
  <c r="A22602" i="1"/>
  <c r="B22602" i="1"/>
  <c r="A22603" i="1"/>
  <c r="B22603" i="1"/>
  <c r="A22604" i="1"/>
  <c r="B22604" i="1"/>
  <c r="A22605" i="1"/>
  <c r="B22605" i="1"/>
  <c r="A22606" i="1"/>
  <c r="B22606" i="1"/>
  <c r="A22607" i="1"/>
  <c r="B22607" i="1"/>
  <c r="A22608" i="1"/>
  <c r="B22608" i="1"/>
  <c r="A22609" i="1"/>
  <c r="B22609" i="1"/>
  <c r="A22610" i="1"/>
  <c r="B22610" i="1"/>
  <c r="A22611" i="1"/>
  <c r="B22611" i="1"/>
  <c r="A22612" i="1"/>
  <c r="B22612" i="1"/>
  <c r="A22613" i="1"/>
  <c r="B22613" i="1"/>
  <c r="A22614" i="1"/>
  <c r="B22614" i="1"/>
  <c r="A22615" i="1"/>
  <c r="B22615" i="1"/>
  <c r="A22616" i="1"/>
  <c r="B22616" i="1"/>
  <c r="A22617" i="1"/>
  <c r="B22617" i="1"/>
  <c r="A22618" i="1"/>
  <c r="B22618" i="1"/>
  <c r="A22619" i="1"/>
  <c r="B22619" i="1"/>
  <c r="A22620" i="1"/>
  <c r="B22620" i="1"/>
  <c r="A22621" i="1"/>
  <c r="B22621" i="1"/>
  <c r="A22622" i="1"/>
  <c r="B22622" i="1"/>
  <c r="A22623" i="1"/>
  <c r="B22623" i="1"/>
  <c r="A22624" i="1"/>
  <c r="B22624" i="1"/>
  <c r="A22625" i="1"/>
  <c r="B22625" i="1"/>
  <c r="A22626" i="1"/>
  <c r="B22626" i="1"/>
  <c r="A22627" i="1"/>
  <c r="B22627" i="1"/>
  <c r="A22628" i="1"/>
  <c r="B22628" i="1"/>
  <c r="A22629" i="1"/>
  <c r="B22629" i="1"/>
  <c r="A22630" i="1"/>
  <c r="B22630" i="1"/>
  <c r="A22631" i="1"/>
  <c r="B22631" i="1"/>
  <c r="A22632" i="1"/>
  <c r="B22632" i="1"/>
  <c r="A22633" i="1"/>
  <c r="B22633" i="1"/>
  <c r="A22634" i="1"/>
  <c r="B22634" i="1"/>
  <c r="A22635" i="1"/>
  <c r="B22635" i="1"/>
  <c r="A22636" i="1"/>
  <c r="B22636" i="1"/>
  <c r="A22637" i="1"/>
  <c r="B22637" i="1"/>
  <c r="A22638" i="1"/>
  <c r="B22638" i="1"/>
  <c r="A22639" i="1"/>
  <c r="B22639" i="1"/>
  <c r="A22640" i="1"/>
  <c r="B22640" i="1"/>
  <c r="A22641" i="1"/>
  <c r="B22641" i="1"/>
  <c r="A22642" i="1"/>
  <c r="B22642" i="1"/>
  <c r="A22643" i="1"/>
  <c r="B22643" i="1"/>
  <c r="A22644" i="1"/>
  <c r="B22644" i="1"/>
  <c r="A22645" i="1"/>
  <c r="B22645" i="1"/>
  <c r="A22646" i="1"/>
  <c r="B22646" i="1"/>
  <c r="A22647" i="1"/>
  <c r="B22647" i="1"/>
  <c r="A22648" i="1"/>
  <c r="B22648" i="1"/>
  <c r="A22649" i="1"/>
  <c r="B22649" i="1"/>
  <c r="A22650" i="1"/>
  <c r="B22650" i="1"/>
  <c r="A22651" i="1"/>
  <c r="B22651" i="1"/>
  <c r="A22652" i="1"/>
  <c r="B22652" i="1"/>
  <c r="A22653" i="1"/>
  <c r="B22653" i="1"/>
  <c r="A22654" i="1"/>
  <c r="B22654" i="1"/>
  <c r="A22655" i="1"/>
  <c r="B22655" i="1"/>
  <c r="A22656" i="1"/>
  <c r="B22656" i="1"/>
  <c r="A22657" i="1"/>
  <c r="B22657" i="1"/>
  <c r="A22658" i="1"/>
  <c r="B22658" i="1"/>
  <c r="A22659" i="1"/>
  <c r="B22659" i="1"/>
  <c r="A22660" i="1"/>
  <c r="B22660" i="1"/>
  <c r="A22661" i="1"/>
  <c r="B22661" i="1"/>
  <c r="A22662" i="1"/>
  <c r="B22662" i="1"/>
  <c r="A22663" i="1"/>
  <c r="B22663" i="1"/>
  <c r="A22664" i="1"/>
  <c r="B22664" i="1"/>
  <c r="A22665" i="1"/>
  <c r="B22665" i="1"/>
  <c r="A22666" i="1"/>
  <c r="B22666" i="1"/>
  <c r="A22667" i="1"/>
  <c r="B22667" i="1"/>
  <c r="A22668" i="1"/>
  <c r="B22668" i="1"/>
  <c r="A22669" i="1"/>
  <c r="B22669" i="1"/>
  <c r="A22670" i="1"/>
  <c r="B22670" i="1"/>
  <c r="A22671" i="1"/>
  <c r="B22671" i="1"/>
  <c r="A22672" i="1"/>
  <c r="B22672" i="1"/>
  <c r="A22673" i="1"/>
  <c r="B22673" i="1"/>
  <c r="A22674" i="1"/>
  <c r="B22674" i="1"/>
  <c r="A22675" i="1"/>
  <c r="B22675" i="1"/>
  <c r="A22676" i="1"/>
  <c r="B22676" i="1"/>
  <c r="A22677" i="1"/>
  <c r="B22677" i="1"/>
  <c r="A22678" i="1"/>
  <c r="B22678" i="1"/>
  <c r="A22679" i="1"/>
  <c r="B22679" i="1"/>
  <c r="A22680" i="1"/>
  <c r="B22680" i="1"/>
  <c r="A22681" i="1"/>
  <c r="B22681" i="1"/>
  <c r="A22682" i="1"/>
  <c r="B22682" i="1"/>
  <c r="A22683" i="1"/>
  <c r="B22683" i="1"/>
  <c r="A22684" i="1"/>
  <c r="B22684" i="1"/>
  <c r="A22685" i="1"/>
  <c r="B22685" i="1"/>
  <c r="A22686" i="1"/>
  <c r="B22686" i="1"/>
  <c r="A22687" i="1"/>
  <c r="B22687" i="1"/>
  <c r="A22688" i="1"/>
  <c r="B22688" i="1"/>
  <c r="A22689" i="1"/>
  <c r="B22689" i="1"/>
  <c r="A22690" i="1"/>
  <c r="B22690" i="1"/>
  <c r="A22691" i="1"/>
  <c r="B22691" i="1"/>
  <c r="A22692" i="1"/>
  <c r="B22692" i="1"/>
  <c r="A22693" i="1"/>
  <c r="B22693" i="1"/>
  <c r="A22694" i="1"/>
  <c r="B22694" i="1"/>
  <c r="A22695" i="1"/>
  <c r="B22695" i="1"/>
  <c r="A22696" i="1"/>
  <c r="B22696" i="1"/>
  <c r="A22697" i="1"/>
  <c r="B22697" i="1"/>
  <c r="A22698" i="1"/>
  <c r="B22698" i="1"/>
  <c r="A22699" i="1"/>
  <c r="B22699" i="1"/>
  <c r="A22700" i="1"/>
  <c r="B22700" i="1"/>
  <c r="A22701" i="1"/>
  <c r="B22701" i="1"/>
  <c r="A22702" i="1"/>
  <c r="B22702" i="1"/>
  <c r="A22703" i="1"/>
  <c r="B22703" i="1"/>
  <c r="A22704" i="1"/>
  <c r="B22704" i="1"/>
  <c r="A22705" i="1"/>
  <c r="B22705" i="1"/>
  <c r="A22706" i="1"/>
  <c r="B22706" i="1"/>
  <c r="A22707" i="1"/>
  <c r="B22707" i="1"/>
  <c r="A22708" i="1"/>
  <c r="B22708" i="1"/>
  <c r="A22709" i="1"/>
  <c r="B22709" i="1"/>
  <c r="A22710" i="1"/>
  <c r="B22710" i="1"/>
  <c r="A22711" i="1"/>
  <c r="B22711" i="1"/>
  <c r="A22712" i="1"/>
  <c r="B22712" i="1"/>
  <c r="A22713" i="1"/>
  <c r="B22713" i="1"/>
  <c r="A22714" i="1"/>
  <c r="B22714" i="1"/>
  <c r="A22715" i="1"/>
  <c r="B22715" i="1"/>
  <c r="A22716" i="1"/>
  <c r="B22716" i="1"/>
  <c r="A22717" i="1"/>
  <c r="B22717" i="1"/>
  <c r="A22718" i="1"/>
  <c r="B22718" i="1"/>
  <c r="A22719" i="1"/>
  <c r="B22719" i="1"/>
  <c r="A22720" i="1"/>
  <c r="B22720" i="1"/>
  <c r="A22721" i="1"/>
  <c r="B22721" i="1"/>
  <c r="A22722" i="1"/>
  <c r="B22722" i="1"/>
  <c r="A22723" i="1"/>
  <c r="B22723" i="1"/>
  <c r="A22724" i="1"/>
  <c r="B22724" i="1"/>
  <c r="A22725" i="1"/>
  <c r="B22725" i="1"/>
  <c r="A22726" i="1"/>
  <c r="B22726" i="1"/>
  <c r="A22727" i="1"/>
  <c r="B22727" i="1"/>
  <c r="A22728" i="1"/>
  <c r="B22728" i="1"/>
  <c r="A22729" i="1"/>
  <c r="B22729" i="1"/>
  <c r="A22730" i="1"/>
  <c r="B22730" i="1"/>
  <c r="A22731" i="1"/>
  <c r="B22731" i="1"/>
  <c r="A22732" i="1"/>
  <c r="B22732" i="1"/>
  <c r="A22733" i="1"/>
  <c r="B22733" i="1"/>
  <c r="A22734" i="1"/>
  <c r="B22734" i="1"/>
  <c r="A22735" i="1"/>
  <c r="B22735" i="1"/>
  <c r="A22736" i="1"/>
  <c r="B22736" i="1"/>
  <c r="A22737" i="1"/>
  <c r="B22737" i="1"/>
  <c r="A22738" i="1"/>
  <c r="B22738" i="1"/>
  <c r="A22739" i="1"/>
  <c r="B22739" i="1"/>
  <c r="A22740" i="1"/>
  <c r="B22740" i="1"/>
  <c r="A22741" i="1"/>
  <c r="B22741" i="1"/>
  <c r="A22742" i="1"/>
  <c r="B22742" i="1"/>
  <c r="A22743" i="1"/>
  <c r="B22743" i="1"/>
  <c r="A22744" i="1"/>
  <c r="B22744" i="1"/>
  <c r="A22745" i="1"/>
  <c r="B22745" i="1"/>
  <c r="A22746" i="1"/>
  <c r="B22746" i="1"/>
  <c r="A22747" i="1"/>
  <c r="B22747" i="1"/>
  <c r="A22748" i="1"/>
  <c r="B22748" i="1"/>
  <c r="A22749" i="1"/>
  <c r="B22749" i="1"/>
  <c r="A22750" i="1"/>
  <c r="B22750" i="1"/>
  <c r="A22751" i="1"/>
  <c r="B22751" i="1"/>
  <c r="A22752" i="1"/>
  <c r="B22752" i="1"/>
  <c r="A22753" i="1"/>
  <c r="B22753" i="1"/>
  <c r="A22754" i="1"/>
  <c r="B22754" i="1"/>
  <c r="A22755" i="1"/>
  <c r="B22755" i="1"/>
  <c r="A22756" i="1"/>
  <c r="B22756" i="1"/>
  <c r="A22757" i="1"/>
  <c r="B22757" i="1"/>
  <c r="A22758" i="1"/>
  <c r="B22758" i="1"/>
  <c r="A22759" i="1"/>
  <c r="B22759" i="1"/>
  <c r="A22760" i="1"/>
  <c r="B22760" i="1"/>
  <c r="A22761" i="1"/>
  <c r="B22761" i="1"/>
  <c r="A22762" i="1"/>
  <c r="B22762" i="1"/>
  <c r="A22763" i="1"/>
  <c r="B22763" i="1"/>
  <c r="A22764" i="1"/>
  <c r="B22764" i="1"/>
  <c r="A22765" i="1"/>
  <c r="B22765" i="1"/>
  <c r="A22766" i="1"/>
  <c r="B22766" i="1"/>
  <c r="A22767" i="1"/>
  <c r="B22767" i="1"/>
  <c r="A22768" i="1"/>
  <c r="B22768" i="1"/>
  <c r="A22769" i="1"/>
  <c r="B22769" i="1"/>
  <c r="A22770" i="1"/>
  <c r="B22770" i="1"/>
  <c r="A22771" i="1"/>
  <c r="B22771" i="1"/>
  <c r="A22772" i="1"/>
  <c r="B22772" i="1"/>
  <c r="A22773" i="1"/>
  <c r="B22773" i="1"/>
  <c r="A22774" i="1"/>
  <c r="B22774" i="1"/>
  <c r="A22775" i="1"/>
  <c r="B22775" i="1"/>
  <c r="A22776" i="1"/>
  <c r="B22776" i="1"/>
  <c r="A22777" i="1"/>
  <c r="B22777" i="1"/>
  <c r="A22778" i="1"/>
  <c r="B22778" i="1"/>
  <c r="A22779" i="1"/>
  <c r="B22779" i="1"/>
  <c r="A22780" i="1"/>
  <c r="B22780" i="1"/>
  <c r="A22781" i="1"/>
  <c r="B22781" i="1"/>
  <c r="A22782" i="1"/>
  <c r="B22782" i="1"/>
  <c r="A22783" i="1"/>
  <c r="B22783" i="1"/>
  <c r="A22784" i="1"/>
  <c r="B22784" i="1"/>
  <c r="A22785" i="1"/>
  <c r="B22785" i="1"/>
  <c r="A22786" i="1"/>
  <c r="B22786" i="1"/>
  <c r="A22787" i="1"/>
  <c r="B22787" i="1"/>
  <c r="A22788" i="1"/>
  <c r="B22788" i="1"/>
  <c r="A22789" i="1"/>
  <c r="B22789" i="1"/>
  <c r="A22790" i="1"/>
  <c r="B22790" i="1"/>
  <c r="A22791" i="1"/>
  <c r="B22791" i="1"/>
  <c r="A22792" i="1"/>
  <c r="B22792" i="1"/>
  <c r="A22793" i="1"/>
  <c r="B22793" i="1"/>
  <c r="A22794" i="1"/>
  <c r="B22794" i="1"/>
  <c r="A22795" i="1"/>
  <c r="B22795" i="1"/>
  <c r="A22796" i="1"/>
  <c r="B22796" i="1"/>
  <c r="A22797" i="1"/>
  <c r="B22797" i="1"/>
  <c r="A22798" i="1"/>
  <c r="B22798" i="1"/>
  <c r="A22799" i="1"/>
  <c r="B22799" i="1"/>
  <c r="A22800" i="1"/>
  <c r="B22800" i="1"/>
  <c r="A22801" i="1"/>
  <c r="B22801" i="1"/>
  <c r="A22802" i="1"/>
  <c r="B22802" i="1"/>
  <c r="A22803" i="1"/>
  <c r="B22803" i="1"/>
  <c r="A22804" i="1"/>
  <c r="B22804" i="1"/>
  <c r="A22805" i="1"/>
  <c r="B22805" i="1"/>
  <c r="A22806" i="1"/>
  <c r="B22806" i="1"/>
  <c r="A22807" i="1"/>
  <c r="B22807" i="1"/>
  <c r="A22808" i="1"/>
  <c r="B22808" i="1"/>
  <c r="A22809" i="1"/>
  <c r="B22809" i="1"/>
  <c r="A22810" i="1"/>
  <c r="B22810" i="1"/>
  <c r="A22811" i="1"/>
  <c r="B22811" i="1"/>
  <c r="A22812" i="1"/>
  <c r="B22812" i="1"/>
  <c r="A22813" i="1"/>
  <c r="B22813" i="1"/>
  <c r="A22814" i="1"/>
  <c r="B22814" i="1"/>
  <c r="A22815" i="1"/>
  <c r="B22815" i="1"/>
  <c r="A22816" i="1"/>
  <c r="B22816" i="1"/>
  <c r="A22817" i="1"/>
  <c r="B22817" i="1"/>
  <c r="A22818" i="1"/>
  <c r="B22818" i="1"/>
  <c r="A22819" i="1"/>
  <c r="B22819" i="1"/>
  <c r="A22820" i="1"/>
  <c r="B22820" i="1"/>
  <c r="A22821" i="1"/>
  <c r="B22821" i="1"/>
  <c r="A22822" i="1"/>
  <c r="B22822" i="1"/>
  <c r="A22823" i="1"/>
  <c r="B22823" i="1"/>
  <c r="A22824" i="1"/>
  <c r="B22824" i="1"/>
  <c r="A22825" i="1"/>
  <c r="B22825" i="1"/>
  <c r="A22826" i="1"/>
  <c r="B22826" i="1"/>
  <c r="A22827" i="1"/>
  <c r="B22827" i="1"/>
  <c r="A22828" i="1"/>
  <c r="B22828" i="1"/>
  <c r="A22829" i="1"/>
  <c r="B22829" i="1"/>
  <c r="A22830" i="1"/>
  <c r="B22830" i="1"/>
  <c r="A22831" i="1"/>
  <c r="B22831" i="1"/>
  <c r="A22832" i="1"/>
  <c r="B22832" i="1"/>
  <c r="A22833" i="1"/>
  <c r="B22833" i="1"/>
  <c r="A22834" i="1"/>
  <c r="B22834" i="1"/>
  <c r="A22835" i="1"/>
  <c r="B22835" i="1"/>
  <c r="A22836" i="1"/>
  <c r="B22836" i="1"/>
  <c r="A22837" i="1"/>
  <c r="B22837" i="1"/>
  <c r="A22838" i="1"/>
  <c r="B22838" i="1"/>
  <c r="A22839" i="1"/>
  <c r="B22839" i="1"/>
  <c r="A22840" i="1"/>
  <c r="B22840" i="1"/>
  <c r="A22841" i="1"/>
  <c r="B22841" i="1"/>
  <c r="A22842" i="1"/>
  <c r="B22842" i="1"/>
  <c r="A22843" i="1"/>
  <c r="B22843" i="1"/>
  <c r="A22844" i="1"/>
  <c r="B22844" i="1"/>
  <c r="A22845" i="1"/>
  <c r="B22845" i="1"/>
  <c r="A22846" i="1"/>
  <c r="B22846" i="1"/>
  <c r="A22847" i="1"/>
  <c r="B22847" i="1"/>
  <c r="A22848" i="1"/>
  <c r="B22848" i="1"/>
  <c r="A22849" i="1"/>
  <c r="B22849" i="1"/>
  <c r="A22850" i="1"/>
  <c r="B22850" i="1"/>
  <c r="A22851" i="1"/>
  <c r="B22851" i="1"/>
  <c r="A22852" i="1"/>
  <c r="B22852" i="1"/>
  <c r="A22853" i="1"/>
  <c r="B22853" i="1"/>
  <c r="A22854" i="1"/>
  <c r="B22854" i="1"/>
  <c r="A22855" i="1"/>
  <c r="B22855" i="1"/>
  <c r="A22856" i="1"/>
  <c r="B22856" i="1"/>
  <c r="A22857" i="1"/>
  <c r="B22857" i="1"/>
  <c r="A22858" i="1"/>
  <c r="B22858" i="1"/>
  <c r="A22859" i="1"/>
  <c r="B22859" i="1"/>
  <c r="A22860" i="1"/>
  <c r="B22860" i="1"/>
  <c r="A22861" i="1"/>
  <c r="B22861" i="1"/>
  <c r="A22862" i="1"/>
  <c r="B22862" i="1"/>
  <c r="A22863" i="1"/>
  <c r="B22863" i="1"/>
  <c r="A22864" i="1"/>
  <c r="B22864" i="1"/>
  <c r="A22865" i="1"/>
  <c r="B22865" i="1"/>
  <c r="A22866" i="1"/>
  <c r="B22866" i="1"/>
  <c r="A22867" i="1"/>
  <c r="B22867" i="1"/>
  <c r="A22868" i="1"/>
  <c r="B22868" i="1"/>
  <c r="A22869" i="1"/>
  <c r="B22869" i="1"/>
  <c r="A22870" i="1"/>
  <c r="B22870" i="1"/>
  <c r="A22871" i="1"/>
  <c r="B22871" i="1"/>
  <c r="A22872" i="1"/>
  <c r="B22872" i="1"/>
  <c r="A22873" i="1"/>
  <c r="B22873" i="1"/>
  <c r="A22874" i="1"/>
  <c r="B22874" i="1"/>
  <c r="A22875" i="1"/>
  <c r="B22875" i="1"/>
  <c r="A22876" i="1"/>
  <c r="B22876" i="1"/>
  <c r="A22877" i="1"/>
  <c r="B22877" i="1"/>
  <c r="A22878" i="1"/>
  <c r="B22878" i="1"/>
  <c r="A22879" i="1"/>
  <c r="B22879" i="1"/>
  <c r="A22880" i="1"/>
  <c r="B22880" i="1"/>
  <c r="A22881" i="1"/>
  <c r="B22881" i="1"/>
  <c r="A22882" i="1"/>
  <c r="B22882" i="1"/>
  <c r="A22883" i="1"/>
  <c r="B22883" i="1"/>
  <c r="A22884" i="1"/>
  <c r="B22884" i="1"/>
  <c r="A22885" i="1"/>
  <c r="B22885" i="1"/>
  <c r="A22886" i="1"/>
  <c r="B22886" i="1"/>
  <c r="A22887" i="1"/>
  <c r="B22887" i="1"/>
  <c r="A22888" i="1"/>
  <c r="B22888" i="1"/>
  <c r="A22889" i="1"/>
  <c r="B22889" i="1"/>
  <c r="A22890" i="1"/>
  <c r="B22890" i="1"/>
  <c r="A22891" i="1"/>
  <c r="B22891" i="1"/>
  <c r="A22892" i="1"/>
  <c r="B22892" i="1"/>
  <c r="A22893" i="1"/>
  <c r="B22893" i="1"/>
  <c r="A22894" i="1"/>
  <c r="B22894" i="1"/>
  <c r="A22895" i="1"/>
  <c r="B22895" i="1"/>
  <c r="A22896" i="1"/>
  <c r="B22896" i="1"/>
  <c r="A22897" i="1"/>
  <c r="B22897" i="1"/>
  <c r="A22898" i="1"/>
  <c r="B22898" i="1"/>
  <c r="A22899" i="1"/>
  <c r="B22899" i="1"/>
  <c r="A22900" i="1"/>
  <c r="B22900" i="1"/>
  <c r="A22901" i="1"/>
  <c r="B22901" i="1"/>
  <c r="A22902" i="1"/>
  <c r="B22902" i="1"/>
  <c r="A22903" i="1"/>
  <c r="B22903" i="1"/>
  <c r="A22904" i="1"/>
  <c r="B22904" i="1"/>
  <c r="A22905" i="1"/>
  <c r="B22905" i="1"/>
  <c r="A22906" i="1"/>
  <c r="B22906" i="1"/>
  <c r="A22907" i="1"/>
  <c r="B22907" i="1"/>
  <c r="A22908" i="1"/>
  <c r="B22908" i="1"/>
  <c r="A22909" i="1"/>
  <c r="B22909" i="1"/>
  <c r="A22910" i="1"/>
  <c r="B22910" i="1"/>
  <c r="A22911" i="1"/>
  <c r="B22911" i="1"/>
  <c r="A22912" i="1"/>
  <c r="B22912" i="1"/>
  <c r="A22913" i="1"/>
  <c r="B22913" i="1"/>
  <c r="A22914" i="1"/>
  <c r="B22914" i="1"/>
  <c r="A22915" i="1"/>
  <c r="B22915" i="1"/>
  <c r="A22916" i="1"/>
  <c r="B22916" i="1"/>
  <c r="A22917" i="1"/>
  <c r="B22917" i="1"/>
  <c r="A22918" i="1"/>
  <c r="B22918" i="1"/>
  <c r="A22919" i="1"/>
  <c r="B22919" i="1"/>
  <c r="A22920" i="1"/>
  <c r="B22920" i="1"/>
  <c r="A22921" i="1"/>
  <c r="B22921" i="1"/>
  <c r="A22922" i="1"/>
  <c r="B22922" i="1"/>
  <c r="A22923" i="1"/>
  <c r="B22923" i="1"/>
  <c r="A22924" i="1"/>
  <c r="B22924" i="1"/>
  <c r="A22925" i="1"/>
  <c r="B22925" i="1"/>
  <c r="A22926" i="1"/>
  <c r="B22926" i="1"/>
  <c r="A22927" i="1"/>
  <c r="B22927" i="1"/>
  <c r="A22928" i="1"/>
  <c r="B22928" i="1"/>
  <c r="A22929" i="1"/>
  <c r="B22929" i="1"/>
  <c r="A22930" i="1"/>
  <c r="B22930" i="1"/>
  <c r="A22931" i="1"/>
  <c r="B22931" i="1"/>
  <c r="A22932" i="1"/>
  <c r="B22932" i="1"/>
  <c r="A22933" i="1"/>
  <c r="B22933" i="1"/>
  <c r="A22934" i="1"/>
  <c r="B22934" i="1"/>
  <c r="A22935" i="1"/>
  <c r="B22935" i="1"/>
  <c r="A22936" i="1"/>
  <c r="B22936" i="1"/>
  <c r="A22937" i="1"/>
  <c r="B22937" i="1"/>
  <c r="A22938" i="1"/>
  <c r="B22938" i="1"/>
  <c r="A22939" i="1"/>
  <c r="B22939" i="1"/>
  <c r="A22940" i="1"/>
  <c r="B22940" i="1"/>
  <c r="A22941" i="1"/>
  <c r="B22941" i="1"/>
  <c r="A22942" i="1"/>
  <c r="B22942" i="1"/>
  <c r="A22943" i="1"/>
  <c r="B22943" i="1"/>
  <c r="A22944" i="1"/>
  <c r="B22944" i="1"/>
  <c r="A22945" i="1"/>
  <c r="B22945" i="1"/>
  <c r="A22946" i="1"/>
  <c r="B22946" i="1"/>
  <c r="A22947" i="1"/>
  <c r="B22947" i="1"/>
  <c r="A22948" i="1"/>
  <c r="B22948" i="1"/>
  <c r="A22949" i="1"/>
  <c r="B22949" i="1"/>
  <c r="A22950" i="1"/>
  <c r="B22950" i="1"/>
  <c r="A22951" i="1"/>
  <c r="B22951" i="1"/>
  <c r="A22952" i="1"/>
  <c r="B22952" i="1"/>
  <c r="A22953" i="1"/>
  <c r="B22953" i="1"/>
  <c r="A22954" i="1"/>
  <c r="B22954" i="1"/>
  <c r="A22955" i="1"/>
  <c r="B22955" i="1"/>
  <c r="A22956" i="1"/>
  <c r="B22956" i="1"/>
  <c r="A22957" i="1"/>
  <c r="B22957" i="1"/>
  <c r="A22958" i="1"/>
  <c r="B22958" i="1"/>
  <c r="A22959" i="1"/>
  <c r="B22959" i="1"/>
  <c r="A22960" i="1"/>
  <c r="B22960" i="1"/>
  <c r="A22961" i="1"/>
  <c r="B22961" i="1"/>
  <c r="A22962" i="1"/>
  <c r="B22962" i="1"/>
  <c r="A22963" i="1"/>
  <c r="B22963" i="1"/>
  <c r="A22964" i="1"/>
  <c r="B22964" i="1"/>
  <c r="A22965" i="1"/>
  <c r="B22965" i="1"/>
  <c r="A22966" i="1"/>
  <c r="B22966" i="1"/>
  <c r="A22967" i="1"/>
  <c r="B22967" i="1"/>
  <c r="A22968" i="1"/>
  <c r="B22968" i="1"/>
  <c r="A22969" i="1"/>
  <c r="B22969" i="1"/>
  <c r="A22970" i="1"/>
  <c r="B22970" i="1"/>
  <c r="A22971" i="1"/>
  <c r="B22971" i="1"/>
  <c r="A22972" i="1"/>
  <c r="B22972" i="1"/>
  <c r="A22973" i="1"/>
  <c r="B22973" i="1"/>
  <c r="A22974" i="1"/>
  <c r="B22974" i="1"/>
  <c r="A22975" i="1"/>
  <c r="B22975" i="1"/>
  <c r="A22976" i="1"/>
  <c r="B22976" i="1"/>
  <c r="A22977" i="1"/>
  <c r="B22977" i="1"/>
  <c r="A22978" i="1"/>
  <c r="B22978" i="1"/>
  <c r="A22979" i="1"/>
  <c r="B22979" i="1"/>
  <c r="A22980" i="1"/>
  <c r="B22980" i="1"/>
  <c r="A22981" i="1"/>
  <c r="B22981" i="1"/>
  <c r="A22982" i="1"/>
  <c r="B22982" i="1"/>
  <c r="A22983" i="1"/>
  <c r="B22983" i="1"/>
  <c r="A22984" i="1"/>
  <c r="B22984" i="1"/>
  <c r="A22985" i="1"/>
  <c r="B22985" i="1"/>
  <c r="A22986" i="1"/>
  <c r="B22986" i="1"/>
  <c r="A22987" i="1"/>
  <c r="B22987" i="1"/>
  <c r="A22988" i="1"/>
  <c r="B22988" i="1"/>
  <c r="A22989" i="1"/>
  <c r="B22989" i="1"/>
  <c r="A22990" i="1"/>
  <c r="B22990" i="1"/>
  <c r="A22991" i="1"/>
  <c r="B22991" i="1"/>
  <c r="A22992" i="1"/>
  <c r="B22992" i="1"/>
  <c r="A22993" i="1"/>
  <c r="B22993" i="1"/>
  <c r="A22994" i="1"/>
  <c r="B22994" i="1"/>
  <c r="A22995" i="1"/>
  <c r="B22995" i="1"/>
  <c r="A22996" i="1"/>
  <c r="B22996" i="1"/>
  <c r="A22997" i="1"/>
  <c r="B22997" i="1"/>
  <c r="A22998" i="1"/>
  <c r="B22998" i="1"/>
  <c r="A22999" i="1"/>
  <c r="B22999" i="1"/>
  <c r="A23000" i="1"/>
  <c r="B23000" i="1"/>
  <c r="A23001" i="1"/>
  <c r="B23001" i="1"/>
  <c r="A23002" i="1"/>
  <c r="B23002" i="1"/>
  <c r="A23003" i="1"/>
  <c r="B23003" i="1"/>
  <c r="A23004" i="1"/>
  <c r="B23004" i="1"/>
  <c r="A23005" i="1"/>
  <c r="B23005" i="1"/>
  <c r="A23006" i="1"/>
  <c r="B23006" i="1"/>
  <c r="A23007" i="1"/>
  <c r="B23007" i="1"/>
  <c r="A23008" i="1"/>
  <c r="B23008" i="1"/>
  <c r="A23009" i="1"/>
  <c r="B23009" i="1"/>
  <c r="A23010" i="1"/>
  <c r="B23010" i="1"/>
  <c r="A23011" i="1"/>
  <c r="B23011" i="1"/>
  <c r="A23012" i="1"/>
  <c r="B23012" i="1"/>
  <c r="A23013" i="1"/>
  <c r="B23013" i="1"/>
  <c r="A23014" i="1"/>
  <c r="B23014" i="1"/>
  <c r="A23015" i="1"/>
  <c r="B23015" i="1"/>
  <c r="A23016" i="1"/>
  <c r="B23016" i="1"/>
  <c r="A23017" i="1"/>
  <c r="B23017" i="1"/>
  <c r="A23018" i="1"/>
  <c r="B23018" i="1"/>
  <c r="A23019" i="1"/>
  <c r="B23019" i="1"/>
  <c r="A23020" i="1"/>
  <c r="B23020" i="1"/>
  <c r="A23021" i="1"/>
  <c r="B23021" i="1"/>
  <c r="A23022" i="1"/>
  <c r="B23022" i="1"/>
  <c r="A23023" i="1"/>
  <c r="B23023" i="1"/>
  <c r="A23024" i="1"/>
  <c r="B23024" i="1"/>
  <c r="A23025" i="1"/>
  <c r="B23025" i="1"/>
  <c r="A23026" i="1"/>
  <c r="B23026" i="1"/>
  <c r="A23027" i="1"/>
  <c r="B23027" i="1"/>
  <c r="A23028" i="1"/>
  <c r="B23028" i="1"/>
  <c r="A23029" i="1"/>
  <c r="B23029" i="1"/>
  <c r="A23030" i="1"/>
  <c r="B23030" i="1"/>
  <c r="A23031" i="1"/>
  <c r="B23031" i="1"/>
  <c r="A23032" i="1"/>
  <c r="B23032" i="1"/>
  <c r="A23033" i="1"/>
  <c r="B23033" i="1"/>
  <c r="A23034" i="1"/>
  <c r="B23034" i="1"/>
  <c r="A23035" i="1"/>
  <c r="B23035" i="1"/>
  <c r="A23036" i="1"/>
  <c r="B23036" i="1"/>
  <c r="A23037" i="1"/>
  <c r="B23037" i="1"/>
  <c r="A23038" i="1"/>
  <c r="B23038" i="1"/>
  <c r="A23039" i="1"/>
  <c r="B23039" i="1"/>
  <c r="A23040" i="1"/>
  <c r="B23040" i="1"/>
  <c r="A23041" i="1"/>
  <c r="B23041" i="1"/>
  <c r="A23042" i="1"/>
  <c r="B23042" i="1"/>
  <c r="A23043" i="1"/>
  <c r="B23043" i="1"/>
  <c r="A23044" i="1"/>
  <c r="B23044" i="1"/>
  <c r="A23045" i="1"/>
  <c r="B23045" i="1"/>
  <c r="A23046" i="1"/>
  <c r="B23046" i="1"/>
  <c r="A23047" i="1"/>
  <c r="B23047" i="1"/>
  <c r="A23048" i="1"/>
  <c r="B23048" i="1"/>
  <c r="A23049" i="1"/>
  <c r="B23049" i="1"/>
  <c r="A23050" i="1"/>
  <c r="B23050" i="1"/>
  <c r="A23051" i="1"/>
  <c r="B23051" i="1"/>
  <c r="A23052" i="1"/>
  <c r="B23052" i="1"/>
  <c r="A23053" i="1"/>
  <c r="B23053" i="1"/>
  <c r="A23054" i="1"/>
  <c r="B23054" i="1"/>
  <c r="A23055" i="1"/>
  <c r="B23055" i="1"/>
  <c r="A23056" i="1"/>
  <c r="B23056" i="1"/>
  <c r="A23057" i="1"/>
  <c r="B23057" i="1"/>
  <c r="A23058" i="1"/>
  <c r="B23058" i="1"/>
  <c r="A23059" i="1"/>
  <c r="B23059" i="1"/>
  <c r="A23060" i="1"/>
  <c r="B23060" i="1"/>
  <c r="A23061" i="1"/>
  <c r="B23061" i="1"/>
  <c r="A23062" i="1"/>
  <c r="B23062" i="1"/>
  <c r="A23063" i="1"/>
  <c r="B23063" i="1"/>
  <c r="A23064" i="1"/>
  <c r="B23064" i="1"/>
  <c r="A23065" i="1"/>
  <c r="B23065" i="1"/>
  <c r="A23066" i="1"/>
  <c r="B23066" i="1"/>
  <c r="A23067" i="1"/>
  <c r="B23067" i="1"/>
  <c r="A23068" i="1"/>
  <c r="B23068" i="1"/>
  <c r="A23069" i="1"/>
  <c r="B23069" i="1"/>
  <c r="A23070" i="1"/>
  <c r="B23070" i="1"/>
  <c r="A23071" i="1"/>
  <c r="B23071" i="1"/>
  <c r="A23072" i="1"/>
  <c r="B23072" i="1"/>
  <c r="A23073" i="1"/>
  <c r="B23073" i="1"/>
  <c r="A23074" i="1"/>
  <c r="B23074" i="1"/>
  <c r="A23075" i="1"/>
  <c r="B23075" i="1"/>
  <c r="A23076" i="1"/>
  <c r="B23076" i="1"/>
  <c r="A23077" i="1"/>
  <c r="B23077" i="1"/>
  <c r="A23078" i="1"/>
  <c r="B23078" i="1"/>
  <c r="A23079" i="1"/>
  <c r="B23079" i="1"/>
  <c r="A23080" i="1"/>
  <c r="B23080" i="1"/>
  <c r="A23081" i="1"/>
  <c r="B23081" i="1"/>
  <c r="A23082" i="1"/>
  <c r="B23082" i="1"/>
  <c r="A23083" i="1"/>
  <c r="B23083" i="1"/>
  <c r="A23084" i="1"/>
  <c r="B23084" i="1"/>
  <c r="A23085" i="1"/>
  <c r="B23085" i="1"/>
  <c r="A23086" i="1"/>
  <c r="B23086" i="1"/>
  <c r="A23087" i="1"/>
  <c r="B23087" i="1"/>
  <c r="A23088" i="1"/>
  <c r="B23088" i="1"/>
  <c r="A23089" i="1"/>
  <c r="B23089" i="1"/>
  <c r="A23090" i="1"/>
  <c r="B23090" i="1"/>
  <c r="A23091" i="1"/>
  <c r="B23091" i="1"/>
  <c r="A23092" i="1"/>
  <c r="B23092" i="1"/>
  <c r="A23093" i="1"/>
  <c r="B23093" i="1"/>
  <c r="A23094" i="1"/>
  <c r="B23094" i="1"/>
  <c r="A23095" i="1"/>
  <c r="B23095" i="1"/>
  <c r="A23096" i="1"/>
  <c r="B23096" i="1"/>
  <c r="A23097" i="1"/>
  <c r="B23097" i="1"/>
  <c r="A23098" i="1"/>
  <c r="B23098" i="1"/>
  <c r="A23099" i="1"/>
  <c r="B23099" i="1"/>
  <c r="A23100" i="1"/>
  <c r="B23100" i="1"/>
  <c r="A23101" i="1"/>
  <c r="B23101" i="1"/>
  <c r="A23102" i="1"/>
  <c r="B23102" i="1"/>
  <c r="A23103" i="1"/>
  <c r="B23103" i="1"/>
  <c r="A23104" i="1"/>
  <c r="B23104" i="1"/>
  <c r="A23105" i="1"/>
  <c r="B23105" i="1"/>
  <c r="A23106" i="1"/>
  <c r="B23106" i="1"/>
  <c r="A23107" i="1"/>
  <c r="B23107" i="1"/>
  <c r="A23108" i="1"/>
  <c r="B23108" i="1"/>
  <c r="A23109" i="1"/>
  <c r="B23109" i="1"/>
  <c r="A23110" i="1"/>
  <c r="B23110" i="1"/>
  <c r="A23111" i="1"/>
  <c r="B23111" i="1"/>
  <c r="A23112" i="1"/>
  <c r="B23112" i="1"/>
  <c r="A23113" i="1"/>
  <c r="B23113" i="1"/>
  <c r="A23114" i="1"/>
  <c r="B23114" i="1"/>
  <c r="A23115" i="1"/>
  <c r="B23115" i="1"/>
  <c r="A23116" i="1"/>
  <c r="B23116" i="1"/>
  <c r="A23117" i="1"/>
  <c r="B23117" i="1"/>
  <c r="A23118" i="1"/>
  <c r="B23118" i="1"/>
  <c r="A23119" i="1"/>
  <c r="B23119" i="1"/>
  <c r="A23120" i="1"/>
  <c r="B23120" i="1"/>
  <c r="A23121" i="1"/>
  <c r="B23121" i="1"/>
  <c r="A23122" i="1"/>
  <c r="B23122" i="1"/>
  <c r="A23123" i="1"/>
  <c r="B23123" i="1"/>
  <c r="A23124" i="1"/>
  <c r="B23124" i="1"/>
  <c r="A23125" i="1"/>
  <c r="B23125" i="1"/>
  <c r="A23126" i="1"/>
  <c r="B23126" i="1"/>
  <c r="A23127" i="1"/>
  <c r="B23127" i="1"/>
  <c r="A23128" i="1"/>
  <c r="B23128" i="1"/>
  <c r="A23129" i="1"/>
  <c r="B23129" i="1"/>
  <c r="A23130" i="1"/>
  <c r="B23130" i="1"/>
  <c r="A23131" i="1"/>
  <c r="B23131" i="1"/>
  <c r="A23132" i="1"/>
  <c r="B23132" i="1"/>
  <c r="A23133" i="1"/>
  <c r="B23133" i="1"/>
  <c r="A23134" i="1"/>
  <c r="B23134" i="1"/>
  <c r="A23135" i="1"/>
  <c r="B23135" i="1"/>
  <c r="A23136" i="1"/>
  <c r="B23136" i="1"/>
  <c r="A23137" i="1"/>
  <c r="B23137" i="1"/>
  <c r="A23138" i="1"/>
  <c r="B23138" i="1"/>
  <c r="A23139" i="1"/>
  <c r="B23139" i="1"/>
  <c r="A23140" i="1"/>
  <c r="B23140" i="1"/>
  <c r="A23141" i="1"/>
  <c r="B23141" i="1"/>
  <c r="A23142" i="1"/>
  <c r="B23142" i="1"/>
  <c r="A23143" i="1"/>
  <c r="B23143" i="1"/>
  <c r="A23144" i="1"/>
  <c r="B23144" i="1"/>
  <c r="A23145" i="1"/>
  <c r="B23145" i="1"/>
  <c r="A23146" i="1"/>
  <c r="B23146" i="1"/>
  <c r="A23147" i="1"/>
  <c r="B23147" i="1"/>
  <c r="A23148" i="1"/>
  <c r="B23148" i="1"/>
  <c r="A23149" i="1"/>
  <c r="B23149" i="1"/>
  <c r="A23150" i="1"/>
  <c r="B23150" i="1"/>
  <c r="A23151" i="1"/>
  <c r="B23151" i="1"/>
  <c r="A23152" i="1"/>
  <c r="B23152" i="1"/>
  <c r="A23153" i="1"/>
  <c r="B23153" i="1"/>
  <c r="A23154" i="1"/>
  <c r="B23154" i="1"/>
  <c r="A23155" i="1"/>
  <c r="B23155" i="1"/>
  <c r="A23156" i="1"/>
  <c r="B23156" i="1"/>
  <c r="A23157" i="1"/>
  <c r="B23157" i="1"/>
  <c r="A23158" i="1"/>
  <c r="B23158" i="1"/>
  <c r="A23159" i="1"/>
  <c r="B23159" i="1"/>
  <c r="A23160" i="1"/>
  <c r="B23160" i="1"/>
  <c r="A23161" i="1"/>
  <c r="B23161" i="1"/>
  <c r="A23162" i="1"/>
  <c r="B23162" i="1"/>
  <c r="A23163" i="1"/>
  <c r="B23163" i="1"/>
  <c r="A23164" i="1"/>
  <c r="B23164" i="1"/>
  <c r="A23165" i="1"/>
  <c r="B23165" i="1"/>
  <c r="A23166" i="1"/>
  <c r="B23166" i="1"/>
  <c r="A23167" i="1"/>
  <c r="B23167" i="1"/>
  <c r="A23168" i="1"/>
  <c r="B23168" i="1"/>
  <c r="A23169" i="1"/>
  <c r="B23169" i="1"/>
  <c r="A23170" i="1"/>
  <c r="B23170" i="1"/>
  <c r="A23171" i="1"/>
  <c r="B23171" i="1"/>
  <c r="A23172" i="1"/>
  <c r="B23172" i="1"/>
  <c r="A23173" i="1"/>
  <c r="B23173" i="1"/>
  <c r="A23174" i="1"/>
  <c r="B23174" i="1"/>
  <c r="A23175" i="1"/>
  <c r="B23175" i="1"/>
  <c r="A23176" i="1"/>
  <c r="B23176" i="1"/>
  <c r="A23177" i="1"/>
  <c r="B23177" i="1"/>
  <c r="A23178" i="1"/>
  <c r="B23178" i="1"/>
  <c r="A23179" i="1"/>
  <c r="B23179" i="1"/>
  <c r="A23180" i="1"/>
  <c r="B23180" i="1"/>
  <c r="A23181" i="1"/>
  <c r="B23181" i="1"/>
  <c r="A23182" i="1"/>
  <c r="B23182" i="1"/>
  <c r="A23183" i="1"/>
  <c r="B23183" i="1"/>
  <c r="A23184" i="1"/>
  <c r="B23184" i="1"/>
  <c r="A23185" i="1"/>
  <c r="B23185" i="1"/>
  <c r="A23186" i="1"/>
  <c r="B23186" i="1"/>
  <c r="A23187" i="1"/>
  <c r="B23187" i="1"/>
  <c r="A23188" i="1"/>
  <c r="B23188" i="1"/>
  <c r="A23189" i="1"/>
  <c r="B23189" i="1"/>
  <c r="A23190" i="1"/>
  <c r="B23190" i="1"/>
  <c r="A23191" i="1"/>
  <c r="B23191" i="1"/>
  <c r="A23192" i="1"/>
  <c r="B23192" i="1"/>
  <c r="A23193" i="1"/>
  <c r="B23193" i="1"/>
  <c r="A23194" i="1"/>
  <c r="B23194" i="1"/>
  <c r="A23195" i="1"/>
  <c r="B23195" i="1"/>
  <c r="A23196" i="1"/>
  <c r="B23196" i="1"/>
  <c r="A23197" i="1"/>
  <c r="B23197" i="1"/>
  <c r="A23198" i="1"/>
  <c r="B23198" i="1"/>
  <c r="A23199" i="1"/>
  <c r="B23199" i="1"/>
  <c r="A23200" i="1"/>
  <c r="B23200" i="1"/>
  <c r="A23201" i="1"/>
  <c r="B23201" i="1"/>
  <c r="A23202" i="1"/>
  <c r="B23202" i="1"/>
  <c r="A23203" i="1"/>
  <c r="B23203" i="1"/>
  <c r="A23204" i="1"/>
  <c r="B23204" i="1"/>
  <c r="A23205" i="1"/>
  <c r="B23205" i="1"/>
  <c r="A23206" i="1"/>
  <c r="B23206" i="1"/>
  <c r="A23207" i="1"/>
  <c r="B23207" i="1"/>
  <c r="A23208" i="1"/>
  <c r="B23208" i="1"/>
  <c r="A23209" i="1"/>
  <c r="B23209" i="1"/>
  <c r="A23210" i="1"/>
  <c r="B23210" i="1"/>
  <c r="A23211" i="1"/>
  <c r="B23211" i="1"/>
  <c r="A23212" i="1"/>
  <c r="B23212" i="1"/>
  <c r="A23213" i="1"/>
  <c r="B23213" i="1"/>
  <c r="A23214" i="1"/>
  <c r="B23214" i="1"/>
  <c r="A23215" i="1"/>
  <c r="B23215" i="1"/>
  <c r="A23216" i="1"/>
  <c r="B23216" i="1"/>
  <c r="A23217" i="1"/>
  <c r="B23217" i="1"/>
  <c r="A23218" i="1"/>
  <c r="B23218" i="1"/>
  <c r="A23219" i="1"/>
  <c r="B23219" i="1"/>
  <c r="A23220" i="1"/>
  <c r="B23220" i="1"/>
  <c r="A23221" i="1"/>
  <c r="B23221" i="1"/>
  <c r="A23222" i="1"/>
  <c r="B23222" i="1"/>
  <c r="A23223" i="1"/>
  <c r="B23223" i="1"/>
  <c r="A23224" i="1"/>
  <c r="B23224" i="1"/>
  <c r="A23225" i="1"/>
  <c r="B23225" i="1"/>
  <c r="A23226" i="1"/>
  <c r="B23226" i="1"/>
  <c r="A23227" i="1"/>
  <c r="B23227" i="1"/>
  <c r="A23228" i="1"/>
  <c r="B23228" i="1"/>
  <c r="A23229" i="1"/>
  <c r="B23229" i="1"/>
  <c r="A23230" i="1"/>
  <c r="B23230" i="1"/>
  <c r="A23231" i="1"/>
  <c r="B23231" i="1"/>
  <c r="A23232" i="1"/>
  <c r="B23232" i="1"/>
  <c r="A23233" i="1"/>
  <c r="B23233" i="1"/>
  <c r="A23234" i="1"/>
  <c r="B23234" i="1"/>
  <c r="A23235" i="1"/>
  <c r="B23235" i="1"/>
  <c r="A23236" i="1"/>
  <c r="B23236" i="1"/>
  <c r="A23237" i="1"/>
  <c r="B23237" i="1"/>
  <c r="A23238" i="1"/>
  <c r="B23238" i="1"/>
  <c r="A23239" i="1"/>
  <c r="B23239" i="1"/>
  <c r="A23240" i="1"/>
  <c r="B23240" i="1"/>
  <c r="A23241" i="1"/>
  <c r="B23241" i="1"/>
  <c r="A23242" i="1"/>
  <c r="B23242" i="1"/>
  <c r="A23243" i="1"/>
  <c r="B23243" i="1"/>
  <c r="A23244" i="1"/>
  <c r="B23244" i="1"/>
  <c r="A23245" i="1"/>
  <c r="B23245" i="1"/>
  <c r="A23246" i="1"/>
  <c r="B23246" i="1"/>
  <c r="A23247" i="1"/>
  <c r="B23247" i="1"/>
  <c r="A23248" i="1"/>
  <c r="B23248" i="1"/>
  <c r="A23249" i="1"/>
  <c r="B23249" i="1"/>
  <c r="A23250" i="1"/>
  <c r="B23250" i="1"/>
  <c r="A23251" i="1"/>
  <c r="B23251" i="1"/>
  <c r="A23252" i="1"/>
  <c r="B23252" i="1"/>
  <c r="A23253" i="1"/>
  <c r="B23253" i="1"/>
  <c r="A23254" i="1"/>
  <c r="B23254" i="1"/>
  <c r="A23255" i="1"/>
  <c r="B23255" i="1"/>
  <c r="A23256" i="1"/>
  <c r="B23256" i="1"/>
  <c r="A23257" i="1"/>
  <c r="B23257" i="1"/>
  <c r="A23258" i="1"/>
  <c r="B23258" i="1"/>
  <c r="A23259" i="1"/>
  <c r="B23259" i="1"/>
  <c r="A23260" i="1"/>
  <c r="B23260" i="1"/>
  <c r="A23261" i="1"/>
  <c r="B23261" i="1"/>
  <c r="A23262" i="1"/>
  <c r="B23262" i="1"/>
  <c r="A23263" i="1"/>
  <c r="B23263" i="1"/>
  <c r="A23264" i="1"/>
  <c r="B23264" i="1"/>
  <c r="A23265" i="1"/>
  <c r="B23265" i="1"/>
  <c r="A23266" i="1"/>
  <c r="B23266" i="1"/>
  <c r="A23267" i="1"/>
  <c r="B23267" i="1"/>
  <c r="A23268" i="1"/>
  <c r="B23268" i="1"/>
  <c r="A23269" i="1"/>
  <c r="B23269" i="1"/>
  <c r="A23270" i="1"/>
  <c r="B23270" i="1"/>
  <c r="A23271" i="1"/>
  <c r="B23271" i="1"/>
  <c r="A23272" i="1"/>
  <c r="B23272" i="1"/>
  <c r="A23273" i="1"/>
  <c r="B23273" i="1"/>
  <c r="A23274" i="1"/>
  <c r="B23274" i="1"/>
  <c r="A23275" i="1"/>
  <c r="B23275" i="1"/>
  <c r="A23276" i="1"/>
  <c r="B23276" i="1"/>
  <c r="A23277" i="1"/>
  <c r="B23277" i="1"/>
  <c r="A23278" i="1"/>
  <c r="B23278" i="1"/>
  <c r="A23279" i="1"/>
  <c r="B23279" i="1"/>
  <c r="A23280" i="1"/>
  <c r="B23280" i="1"/>
  <c r="A23281" i="1"/>
  <c r="B23281" i="1"/>
  <c r="A23282" i="1"/>
  <c r="B23282" i="1"/>
  <c r="A23283" i="1"/>
  <c r="B23283" i="1"/>
  <c r="A23284" i="1"/>
  <c r="B23284" i="1"/>
  <c r="A23285" i="1"/>
  <c r="B23285" i="1"/>
  <c r="A23286" i="1"/>
  <c r="B23286" i="1"/>
  <c r="A23287" i="1"/>
  <c r="B23287" i="1"/>
  <c r="A23288" i="1"/>
  <c r="B23288" i="1"/>
  <c r="A23289" i="1"/>
  <c r="B23289" i="1"/>
  <c r="A23290" i="1"/>
  <c r="B23290" i="1"/>
  <c r="A23291" i="1"/>
  <c r="B23291" i="1"/>
  <c r="A23292" i="1"/>
  <c r="B23292" i="1"/>
  <c r="A23293" i="1"/>
  <c r="B23293" i="1"/>
  <c r="A23294" i="1"/>
  <c r="B23294" i="1"/>
  <c r="A23295" i="1"/>
  <c r="B23295" i="1"/>
  <c r="A23296" i="1"/>
  <c r="B23296" i="1"/>
  <c r="A23297" i="1"/>
  <c r="B23297" i="1"/>
  <c r="A23298" i="1"/>
  <c r="B23298" i="1"/>
  <c r="A23299" i="1"/>
  <c r="B23299" i="1"/>
  <c r="A23300" i="1"/>
  <c r="B23300" i="1"/>
  <c r="A23301" i="1"/>
  <c r="B23301" i="1"/>
  <c r="A23302" i="1"/>
  <c r="B23302" i="1"/>
  <c r="A23303" i="1"/>
  <c r="B23303" i="1"/>
  <c r="A23304" i="1"/>
  <c r="B23304" i="1"/>
  <c r="A23305" i="1"/>
  <c r="B23305" i="1"/>
  <c r="A23306" i="1"/>
  <c r="B23306" i="1"/>
  <c r="A23307" i="1"/>
  <c r="B23307" i="1"/>
  <c r="A23308" i="1"/>
  <c r="B23308" i="1"/>
  <c r="A23309" i="1"/>
  <c r="B23309" i="1"/>
  <c r="A23310" i="1"/>
  <c r="B23310" i="1"/>
  <c r="A23311" i="1"/>
  <c r="B23311" i="1"/>
  <c r="A23312" i="1"/>
  <c r="B23312" i="1"/>
  <c r="A23313" i="1"/>
  <c r="B23313" i="1"/>
  <c r="A23314" i="1"/>
  <c r="B23314" i="1"/>
  <c r="A23315" i="1"/>
  <c r="B23315" i="1"/>
  <c r="A23316" i="1"/>
  <c r="B23316" i="1"/>
  <c r="A23317" i="1"/>
  <c r="B23317" i="1"/>
  <c r="A23318" i="1"/>
  <c r="B23318" i="1"/>
  <c r="A23319" i="1"/>
  <c r="B23319" i="1"/>
  <c r="A23320" i="1"/>
  <c r="B23320" i="1"/>
  <c r="A23321" i="1"/>
  <c r="B23321" i="1"/>
  <c r="A23322" i="1"/>
  <c r="B23322" i="1"/>
  <c r="A23323" i="1"/>
  <c r="B23323" i="1"/>
  <c r="A23324" i="1"/>
  <c r="B23324" i="1"/>
  <c r="A23325" i="1"/>
  <c r="B23325" i="1"/>
  <c r="A23326" i="1"/>
  <c r="B23326" i="1"/>
  <c r="A23327" i="1"/>
  <c r="B23327" i="1"/>
  <c r="A23328" i="1"/>
  <c r="B23328" i="1"/>
  <c r="A23329" i="1"/>
  <c r="B23329" i="1"/>
  <c r="A23330" i="1"/>
  <c r="B23330" i="1"/>
  <c r="A23331" i="1"/>
  <c r="B23331" i="1"/>
  <c r="A23332" i="1"/>
  <c r="B23332" i="1"/>
  <c r="A23333" i="1"/>
  <c r="B23333" i="1"/>
  <c r="A23334" i="1"/>
  <c r="B23334" i="1"/>
  <c r="A23335" i="1"/>
  <c r="B23335" i="1"/>
  <c r="A23336" i="1"/>
  <c r="B23336" i="1"/>
  <c r="A23337" i="1"/>
  <c r="B23337" i="1"/>
  <c r="A23338" i="1"/>
  <c r="B23338" i="1"/>
  <c r="A23339" i="1"/>
  <c r="B23339" i="1"/>
  <c r="A23340" i="1"/>
  <c r="B23340" i="1"/>
  <c r="A23341" i="1"/>
  <c r="B23341" i="1"/>
  <c r="A23342" i="1"/>
  <c r="B23342" i="1"/>
  <c r="A23343" i="1"/>
  <c r="B23343" i="1"/>
  <c r="A23344" i="1"/>
  <c r="B23344" i="1"/>
  <c r="A23345" i="1"/>
  <c r="B23345" i="1"/>
  <c r="A23346" i="1"/>
  <c r="B23346" i="1"/>
  <c r="A23347" i="1"/>
  <c r="B23347" i="1"/>
  <c r="A23348" i="1"/>
  <c r="B23348" i="1"/>
  <c r="A23349" i="1"/>
  <c r="B23349" i="1"/>
  <c r="A23350" i="1"/>
  <c r="B23350" i="1"/>
  <c r="A23351" i="1"/>
  <c r="B23351" i="1"/>
  <c r="A23352" i="1"/>
  <c r="B23352" i="1"/>
  <c r="A23353" i="1"/>
  <c r="B23353" i="1"/>
  <c r="A23354" i="1"/>
  <c r="B23354" i="1"/>
  <c r="A23355" i="1"/>
  <c r="B23355" i="1"/>
  <c r="A23356" i="1"/>
  <c r="B23356" i="1"/>
  <c r="A23357" i="1"/>
  <c r="B23357" i="1"/>
  <c r="A23358" i="1"/>
  <c r="B23358" i="1"/>
  <c r="A23359" i="1"/>
  <c r="B23359" i="1"/>
  <c r="A23360" i="1"/>
  <c r="B23360" i="1"/>
  <c r="A23361" i="1"/>
  <c r="B23361" i="1"/>
  <c r="A23362" i="1"/>
  <c r="B23362" i="1"/>
  <c r="A23363" i="1"/>
  <c r="B23363" i="1"/>
  <c r="A23364" i="1"/>
  <c r="B23364" i="1"/>
  <c r="A23365" i="1"/>
  <c r="B23365" i="1"/>
  <c r="A23366" i="1"/>
  <c r="B23366" i="1"/>
  <c r="A23367" i="1"/>
  <c r="B23367" i="1"/>
  <c r="A23368" i="1"/>
  <c r="B23368" i="1"/>
  <c r="A23369" i="1"/>
  <c r="B23369" i="1"/>
  <c r="A23370" i="1"/>
  <c r="B23370" i="1"/>
  <c r="A23371" i="1"/>
  <c r="B23371" i="1"/>
  <c r="A23372" i="1"/>
  <c r="B23372" i="1"/>
  <c r="A23373" i="1"/>
  <c r="B23373" i="1"/>
  <c r="A23374" i="1"/>
  <c r="B23374" i="1"/>
  <c r="A23375" i="1"/>
  <c r="B23375" i="1"/>
  <c r="A23376" i="1"/>
  <c r="B23376" i="1"/>
  <c r="A23377" i="1"/>
  <c r="B23377" i="1"/>
  <c r="A23378" i="1"/>
  <c r="B23378" i="1"/>
  <c r="A23379" i="1"/>
  <c r="B23379" i="1"/>
  <c r="A23380" i="1"/>
  <c r="B23380" i="1"/>
  <c r="A23381" i="1"/>
  <c r="B23381" i="1"/>
  <c r="A23382" i="1"/>
  <c r="B23382" i="1"/>
  <c r="A23383" i="1"/>
  <c r="B23383" i="1"/>
  <c r="A23384" i="1"/>
  <c r="B23384" i="1"/>
  <c r="A23385" i="1"/>
  <c r="B23385" i="1"/>
  <c r="A23386" i="1"/>
  <c r="B23386" i="1"/>
  <c r="A23387" i="1"/>
  <c r="B23387" i="1"/>
  <c r="A23388" i="1"/>
  <c r="B23388" i="1"/>
  <c r="A23389" i="1"/>
  <c r="B23389" i="1"/>
  <c r="A23390" i="1"/>
  <c r="B23390" i="1"/>
  <c r="A23391" i="1"/>
  <c r="B23391" i="1"/>
  <c r="A23392" i="1"/>
  <c r="B23392" i="1"/>
  <c r="A23393" i="1"/>
  <c r="B23393" i="1"/>
  <c r="A23394" i="1"/>
  <c r="B23394" i="1"/>
  <c r="A23395" i="1"/>
  <c r="B23395" i="1"/>
  <c r="A23396" i="1"/>
  <c r="B23396" i="1"/>
  <c r="A23397" i="1"/>
  <c r="B23397" i="1"/>
  <c r="A23398" i="1"/>
  <c r="B23398" i="1"/>
  <c r="A23399" i="1"/>
  <c r="B23399" i="1"/>
  <c r="A23400" i="1"/>
  <c r="B23400" i="1"/>
  <c r="A23401" i="1"/>
  <c r="B23401" i="1"/>
  <c r="A23402" i="1"/>
  <c r="B23402" i="1"/>
  <c r="A23403" i="1"/>
  <c r="B23403" i="1"/>
  <c r="A23404" i="1"/>
  <c r="B23404" i="1"/>
  <c r="A23405" i="1"/>
  <c r="B23405" i="1"/>
  <c r="A23406" i="1"/>
  <c r="B23406" i="1"/>
  <c r="A23407" i="1"/>
  <c r="B23407" i="1"/>
  <c r="A23408" i="1"/>
  <c r="B23408" i="1"/>
  <c r="A23409" i="1"/>
  <c r="B23409" i="1"/>
  <c r="A23410" i="1"/>
  <c r="B23410" i="1"/>
  <c r="A23411" i="1"/>
  <c r="B23411" i="1"/>
  <c r="A23412" i="1"/>
  <c r="B23412" i="1"/>
  <c r="A23413" i="1"/>
  <c r="B23413" i="1"/>
  <c r="A23414" i="1"/>
  <c r="B23414" i="1"/>
  <c r="A23415" i="1"/>
  <c r="B23415" i="1"/>
  <c r="A23416" i="1"/>
  <c r="B23416" i="1"/>
  <c r="A23417" i="1"/>
  <c r="B23417" i="1"/>
  <c r="A23418" i="1"/>
  <c r="B23418" i="1"/>
  <c r="A23419" i="1"/>
  <c r="B23419" i="1"/>
  <c r="A23420" i="1"/>
  <c r="B23420" i="1"/>
  <c r="A23421" i="1"/>
  <c r="B23421" i="1"/>
  <c r="A23422" i="1"/>
  <c r="B23422" i="1"/>
  <c r="A23423" i="1"/>
  <c r="B23423" i="1"/>
  <c r="A23424" i="1"/>
  <c r="B23424" i="1"/>
  <c r="A23425" i="1"/>
  <c r="B23425" i="1"/>
  <c r="A23426" i="1"/>
  <c r="B23426" i="1"/>
  <c r="A23427" i="1"/>
  <c r="B23427" i="1"/>
  <c r="A23428" i="1"/>
  <c r="B23428" i="1"/>
  <c r="A23429" i="1"/>
  <c r="B23429" i="1"/>
  <c r="A23430" i="1"/>
  <c r="B23430" i="1"/>
  <c r="A23431" i="1"/>
  <c r="B23431" i="1"/>
  <c r="A23432" i="1"/>
  <c r="B23432" i="1"/>
  <c r="A23433" i="1"/>
  <c r="B23433" i="1"/>
  <c r="A23434" i="1"/>
  <c r="B23434" i="1"/>
  <c r="A23435" i="1"/>
  <c r="B23435" i="1"/>
  <c r="A23436" i="1"/>
  <c r="B23436" i="1"/>
  <c r="A23437" i="1"/>
  <c r="B23437" i="1"/>
  <c r="A23438" i="1"/>
  <c r="B23438" i="1"/>
  <c r="A23439" i="1"/>
  <c r="B23439" i="1"/>
  <c r="A23440" i="1"/>
  <c r="B23440" i="1"/>
  <c r="A23441" i="1"/>
  <c r="B23441" i="1"/>
  <c r="A23442" i="1"/>
  <c r="B23442" i="1"/>
  <c r="A23443" i="1"/>
  <c r="B23443" i="1"/>
  <c r="A23444" i="1"/>
  <c r="B23444" i="1"/>
  <c r="A23445" i="1"/>
  <c r="B23445" i="1"/>
  <c r="A23446" i="1"/>
  <c r="B23446" i="1"/>
  <c r="A23447" i="1"/>
  <c r="B23447" i="1"/>
  <c r="A23448" i="1"/>
  <c r="B23448" i="1"/>
  <c r="A23449" i="1"/>
  <c r="B23449" i="1"/>
  <c r="A23450" i="1"/>
  <c r="B23450" i="1"/>
  <c r="A23451" i="1"/>
  <c r="B23451" i="1"/>
  <c r="A23452" i="1"/>
  <c r="B23452" i="1"/>
  <c r="A23453" i="1"/>
  <c r="B23453" i="1"/>
  <c r="A23454" i="1"/>
  <c r="B23454" i="1"/>
  <c r="A23455" i="1"/>
  <c r="B23455" i="1"/>
  <c r="A23456" i="1"/>
  <c r="B23456" i="1"/>
  <c r="A23457" i="1"/>
  <c r="B23457" i="1"/>
  <c r="A23458" i="1"/>
  <c r="B23458" i="1"/>
  <c r="A23459" i="1"/>
  <c r="B23459" i="1"/>
  <c r="A23460" i="1"/>
  <c r="B23460" i="1"/>
  <c r="A23461" i="1"/>
  <c r="B23461" i="1"/>
  <c r="A23462" i="1"/>
  <c r="B23462" i="1"/>
  <c r="A23463" i="1"/>
  <c r="B23463" i="1"/>
  <c r="A23464" i="1"/>
  <c r="B23464" i="1"/>
  <c r="A23465" i="1"/>
  <c r="B23465" i="1"/>
  <c r="A23466" i="1"/>
  <c r="B23466" i="1"/>
  <c r="A23467" i="1"/>
  <c r="B23467" i="1"/>
  <c r="A23468" i="1"/>
  <c r="B23468" i="1"/>
  <c r="A23469" i="1"/>
  <c r="B23469" i="1"/>
  <c r="A23470" i="1"/>
  <c r="B23470" i="1"/>
  <c r="A23471" i="1"/>
  <c r="B23471" i="1"/>
  <c r="A23472" i="1"/>
  <c r="B23472" i="1"/>
  <c r="A23473" i="1"/>
  <c r="B23473" i="1"/>
  <c r="A23474" i="1"/>
  <c r="B23474" i="1"/>
  <c r="A23475" i="1"/>
  <c r="B23475" i="1"/>
  <c r="A23476" i="1"/>
  <c r="B23476" i="1"/>
  <c r="A23477" i="1"/>
  <c r="B23477" i="1"/>
  <c r="A23478" i="1"/>
  <c r="B23478" i="1"/>
  <c r="A23479" i="1"/>
  <c r="B23479" i="1"/>
  <c r="A23480" i="1"/>
  <c r="B23480" i="1"/>
  <c r="A23481" i="1"/>
  <c r="B23481" i="1"/>
  <c r="A23482" i="1"/>
  <c r="B23482" i="1"/>
  <c r="A23483" i="1"/>
  <c r="B23483" i="1"/>
  <c r="A23484" i="1"/>
  <c r="B23484" i="1"/>
  <c r="A23485" i="1"/>
  <c r="B23485" i="1"/>
  <c r="A23486" i="1"/>
  <c r="B23486" i="1"/>
  <c r="A23487" i="1"/>
  <c r="B23487" i="1"/>
  <c r="A23488" i="1"/>
  <c r="B23488" i="1"/>
  <c r="A23489" i="1"/>
  <c r="B23489" i="1"/>
  <c r="A23490" i="1"/>
  <c r="B23490" i="1"/>
  <c r="A23491" i="1"/>
  <c r="B23491" i="1"/>
  <c r="A23492" i="1"/>
  <c r="B23492" i="1"/>
  <c r="A23493" i="1"/>
  <c r="B23493" i="1"/>
  <c r="A23494" i="1"/>
  <c r="B23494" i="1"/>
  <c r="A23495" i="1"/>
  <c r="B23495" i="1"/>
  <c r="A23496" i="1"/>
  <c r="B23496" i="1"/>
  <c r="A23497" i="1"/>
  <c r="B23497" i="1"/>
  <c r="A23498" i="1"/>
  <c r="B23498" i="1"/>
  <c r="A23499" i="1"/>
  <c r="B23499" i="1"/>
  <c r="A23500" i="1"/>
  <c r="B23500" i="1"/>
  <c r="A23501" i="1"/>
  <c r="B23501" i="1"/>
  <c r="A23502" i="1"/>
  <c r="B23502" i="1"/>
  <c r="A23503" i="1"/>
  <c r="B23503" i="1"/>
  <c r="A23504" i="1"/>
  <c r="B23504" i="1"/>
  <c r="A23505" i="1"/>
  <c r="B23505" i="1"/>
  <c r="A23506" i="1"/>
  <c r="B23506" i="1"/>
  <c r="A23507" i="1"/>
  <c r="B23507" i="1"/>
  <c r="A23508" i="1"/>
  <c r="B23508" i="1"/>
  <c r="A23509" i="1"/>
  <c r="B23509" i="1"/>
  <c r="A23510" i="1"/>
  <c r="B23510" i="1"/>
  <c r="A23511" i="1"/>
  <c r="B23511" i="1"/>
  <c r="A23512" i="1"/>
  <c r="B23512" i="1"/>
  <c r="A23513" i="1"/>
  <c r="B23513" i="1"/>
  <c r="A23514" i="1"/>
  <c r="B23514" i="1"/>
  <c r="A23515" i="1"/>
  <c r="B23515" i="1"/>
  <c r="A23516" i="1"/>
  <c r="B23516" i="1"/>
  <c r="A23517" i="1"/>
  <c r="B23517" i="1"/>
  <c r="A23518" i="1"/>
  <c r="B23518" i="1"/>
  <c r="A23519" i="1"/>
  <c r="B23519" i="1"/>
  <c r="A23520" i="1"/>
  <c r="B23520" i="1"/>
  <c r="A23521" i="1"/>
  <c r="B23521" i="1"/>
  <c r="A23522" i="1"/>
  <c r="B23522" i="1"/>
  <c r="A23523" i="1"/>
  <c r="B23523" i="1"/>
  <c r="A23524" i="1"/>
  <c r="B23524" i="1"/>
  <c r="A23525" i="1"/>
  <c r="B23525" i="1"/>
  <c r="A23526" i="1"/>
  <c r="B23526" i="1"/>
  <c r="A23527" i="1"/>
  <c r="B23527" i="1"/>
  <c r="A23528" i="1"/>
  <c r="B23528" i="1"/>
  <c r="A23529" i="1"/>
  <c r="B23529" i="1"/>
  <c r="A23530" i="1"/>
  <c r="B23530" i="1"/>
  <c r="A23531" i="1"/>
  <c r="B23531" i="1"/>
  <c r="A23532" i="1"/>
  <c r="B23532" i="1"/>
  <c r="A23533" i="1"/>
  <c r="B23533" i="1"/>
  <c r="A23534" i="1"/>
  <c r="B23534" i="1"/>
  <c r="A23535" i="1"/>
  <c r="B23535" i="1"/>
  <c r="A23536" i="1"/>
  <c r="B23536" i="1"/>
  <c r="A23537" i="1"/>
  <c r="B23537" i="1"/>
  <c r="A23538" i="1"/>
  <c r="B23538" i="1"/>
  <c r="A23539" i="1"/>
  <c r="B23539" i="1"/>
  <c r="A23540" i="1"/>
  <c r="B23540" i="1"/>
  <c r="A23541" i="1"/>
  <c r="B23541" i="1"/>
  <c r="A23542" i="1"/>
  <c r="B23542" i="1"/>
  <c r="A23543" i="1"/>
  <c r="B23543" i="1"/>
  <c r="A23544" i="1"/>
  <c r="B23544" i="1"/>
  <c r="A23545" i="1"/>
  <c r="B23545" i="1"/>
  <c r="A23546" i="1"/>
  <c r="B23546" i="1"/>
  <c r="A23547" i="1"/>
  <c r="B23547" i="1"/>
  <c r="A23548" i="1"/>
  <c r="B23548" i="1"/>
  <c r="A23549" i="1"/>
  <c r="B23549" i="1"/>
  <c r="A23550" i="1"/>
  <c r="B23550" i="1"/>
  <c r="A23551" i="1"/>
  <c r="B23551" i="1"/>
  <c r="A23552" i="1"/>
  <c r="B23552" i="1"/>
  <c r="A23553" i="1"/>
  <c r="B23553" i="1"/>
  <c r="A23554" i="1"/>
  <c r="B23554" i="1"/>
  <c r="A23555" i="1"/>
  <c r="B23555" i="1"/>
  <c r="A23556" i="1"/>
  <c r="B23556" i="1"/>
  <c r="A23557" i="1"/>
  <c r="B23557" i="1"/>
  <c r="A23558" i="1"/>
  <c r="B23558" i="1"/>
  <c r="A23559" i="1"/>
  <c r="B23559" i="1"/>
  <c r="A23560" i="1"/>
  <c r="B23560" i="1"/>
  <c r="A23561" i="1"/>
  <c r="B23561" i="1"/>
  <c r="A23562" i="1"/>
  <c r="B23562" i="1"/>
  <c r="A23563" i="1"/>
  <c r="B23563" i="1"/>
  <c r="A23564" i="1"/>
  <c r="B23564" i="1"/>
  <c r="A23565" i="1"/>
  <c r="B23565" i="1"/>
  <c r="A23566" i="1"/>
  <c r="B23566" i="1"/>
  <c r="A23567" i="1"/>
  <c r="B23567" i="1"/>
  <c r="A23568" i="1"/>
  <c r="B23568" i="1"/>
  <c r="A23569" i="1"/>
  <c r="B23569" i="1"/>
  <c r="A23570" i="1"/>
  <c r="B23570" i="1"/>
  <c r="A23571" i="1"/>
  <c r="B23571" i="1"/>
  <c r="A23572" i="1"/>
  <c r="B23572" i="1"/>
  <c r="A23573" i="1"/>
  <c r="B23573" i="1"/>
  <c r="A23574" i="1"/>
  <c r="B23574" i="1"/>
  <c r="A23575" i="1"/>
  <c r="B23575" i="1"/>
  <c r="A23576" i="1"/>
  <c r="B23576" i="1"/>
  <c r="A23577" i="1"/>
  <c r="B23577" i="1"/>
  <c r="A23578" i="1"/>
  <c r="B23578" i="1"/>
  <c r="A23579" i="1"/>
  <c r="B23579" i="1"/>
  <c r="A23580" i="1"/>
  <c r="B23580" i="1"/>
  <c r="A23581" i="1"/>
  <c r="B23581" i="1"/>
  <c r="A23582" i="1"/>
  <c r="B23582" i="1"/>
  <c r="A23583" i="1"/>
  <c r="B23583" i="1"/>
  <c r="A23584" i="1"/>
  <c r="B23584" i="1"/>
  <c r="A23585" i="1"/>
  <c r="B23585" i="1"/>
  <c r="A23586" i="1"/>
  <c r="B23586" i="1"/>
  <c r="A23587" i="1"/>
  <c r="B23587" i="1"/>
  <c r="A23588" i="1"/>
  <c r="B23588" i="1"/>
  <c r="A23589" i="1"/>
  <c r="B23589" i="1"/>
  <c r="A23590" i="1"/>
  <c r="B23590" i="1"/>
  <c r="A23591" i="1"/>
  <c r="B23591" i="1"/>
  <c r="A23592" i="1"/>
  <c r="B23592" i="1"/>
  <c r="A23593" i="1"/>
  <c r="B23593" i="1"/>
  <c r="A23594" i="1"/>
  <c r="B23594" i="1"/>
  <c r="A23595" i="1"/>
  <c r="B23595" i="1"/>
  <c r="A23596" i="1"/>
  <c r="B23596" i="1"/>
  <c r="A23597" i="1"/>
  <c r="B23597" i="1"/>
  <c r="A23598" i="1"/>
  <c r="B23598" i="1"/>
  <c r="A23599" i="1"/>
  <c r="B23599" i="1"/>
  <c r="A23600" i="1"/>
  <c r="B23600" i="1"/>
  <c r="A23601" i="1"/>
  <c r="B23601" i="1"/>
  <c r="A23602" i="1"/>
  <c r="B23602" i="1"/>
  <c r="A23603" i="1"/>
  <c r="B23603" i="1"/>
  <c r="A23604" i="1"/>
  <c r="B23604" i="1"/>
  <c r="A23605" i="1"/>
  <c r="B23605" i="1"/>
  <c r="A23606" i="1"/>
  <c r="B23606" i="1"/>
  <c r="A23607" i="1"/>
  <c r="B23607" i="1"/>
  <c r="A23608" i="1"/>
  <c r="B23608" i="1"/>
  <c r="A23609" i="1"/>
  <c r="B23609" i="1"/>
  <c r="A23610" i="1"/>
  <c r="B23610" i="1"/>
  <c r="A23611" i="1"/>
  <c r="B23611" i="1"/>
  <c r="A23612" i="1"/>
  <c r="B23612" i="1"/>
  <c r="A23613" i="1"/>
  <c r="B23613" i="1"/>
  <c r="A23614" i="1"/>
  <c r="B23614" i="1"/>
  <c r="A23615" i="1"/>
  <c r="B23615" i="1"/>
  <c r="A23616" i="1"/>
  <c r="B23616" i="1"/>
  <c r="A23617" i="1"/>
  <c r="B23617" i="1"/>
  <c r="A23618" i="1"/>
  <c r="B23618" i="1"/>
  <c r="A23619" i="1"/>
  <c r="B23619" i="1"/>
  <c r="A23620" i="1"/>
  <c r="B23620" i="1"/>
  <c r="A23621" i="1"/>
  <c r="B23621" i="1"/>
  <c r="A23622" i="1"/>
  <c r="B23622" i="1"/>
  <c r="A23623" i="1"/>
  <c r="B23623" i="1"/>
  <c r="A23624" i="1"/>
  <c r="B23624" i="1"/>
  <c r="A23625" i="1"/>
  <c r="B23625" i="1"/>
  <c r="A23626" i="1"/>
  <c r="B23626" i="1"/>
  <c r="A23627" i="1"/>
  <c r="B23627" i="1"/>
  <c r="A23628" i="1"/>
  <c r="B23628" i="1"/>
  <c r="A23629" i="1"/>
  <c r="B23629" i="1"/>
  <c r="A23630" i="1"/>
  <c r="B23630" i="1"/>
  <c r="A23631" i="1"/>
  <c r="B23631" i="1"/>
  <c r="A23632" i="1"/>
  <c r="B23632" i="1"/>
  <c r="A23633" i="1"/>
  <c r="B23633" i="1"/>
  <c r="A23634" i="1"/>
  <c r="B23634" i="1"/>
  <c r="A23635" i="1"/>
  <c r="B23635" i="1"/>
  <c r="A23636" i="1"/>
  <c r="B23636" i="1"/>
  <c r="A23637" i="1"/>
  <c r="B23637" i="1"/>
  <c r="A23638" i="1"/>
  <c r="B23638" i="1"/>
  <c r="A23639" i="1"/>
  <c r="B23639" i="1"/>
  <c r="A23640" i="1"/>
  <c r="B23640" i="1"/>
  <c r="A23641" i="1"/>
  <c r="B23641" i="1"/>
  <c r="A23642" i="1"/>
  <c r="B23642" i="1"/>
  <c r="A23643" i="1"/>
  <c r="B23643" i="1"/>
  <c r="A23644" i="1"/>
  <c r="B23644" i="1"/>
  <c r="A23645" i="1"/>
  <c r="B23645" i="1"/>
  <c r="A23646" i="1"/>
  <c r="B23646" i="1"/>
  <c r="A23647" i="1"/>
  <c r="B23647" i="1"/>
  <c r="A23648" i="1"/>
  <c r="B23648" i="1"/>
  <c r="A23649" i="1"/>
  <c r="B23649" i="1"/>
  <c r="A23650" i="1"/>
  <c r="B23650" i="1"/>
  <c r="A23651" i="1"/>
  <c r="B23651" i="1"/>
  <c r="A23652" i="1"/>
  <c r="B23652" i="1"/>
  <c r="A23653" i="1"/>
  <c r="B23653" i="1"/>
  <c r="A23654" i="1"/>
  <c r="B23654" i="1"/>
  <c r="A23655" i="1"/>
  <c r="B23655" i="1"/>
  <c r="A23656" i="1"/>
  <c r="B23656" i="1"/>
  <c r="A23657" i="1"/>
  <c r="B23657" i="1"/>
  <c r="A23658" i="1"/>
  <c r="B23658" i="1"/>
  <c r="A23659" i="1"/>
  <c r="B23659" i="1"/>
  <c r="A23660" i="1"/>
  <c r="B23660" i="1"/>
  <c r="A23661" i="1"/>
  <c r="B23661" i="1"/>
  <c r="A23662" i="1"/>
  <c r="B23662" i="1"/>
  <c r="A23663" i="1"/>
  <c r="B23663" i="1"/>
  <c r="A23664" i="1"/>
  <c r="B23664" i="1"/>
  <c r="A23665" i="1"/>
  <c r="B23665" i="1"/>
  <c r="A23666" i="1"/>
  <c r="B23666" i="1"/>
  <c r="A23667" i="1"/>
  <c r="B23667" i="1"/>
  <c r="A23668" i="1"/>
  <c r="B23668" i="1"/>
  <c r="A23669" i="1"/>
  <c r="B23669" i="1"/>
  <c r="A23670" i="1"/>
  <c r="B23670" i="1"/>
  <c r="A23671" i="1"/>
  <c r="B23671" i="1"/>
  <c r="A23672" i="1"/>
  <c r="B23672" i="1"/>
  <c r="A23673" i="1"/>
  <c r="B23673" i="1"/>
  <c r="A23674" i="1"/>
  <c r="B23674" i="1"/>
  <c r="A23675" i="1"/>
  <c r="B23675" i="1"/>
  <c r="A23676" i="1"/>
  <c r="B23676" i="1"/>
  <c r="A23677" i="1"/>
  <c r="B23677" i="1"/>
  <c r="A23678" i="1"/>
  <c r="B23678" i="1"/>
  <c r="A23679" i="1"/>
  <c r="B23679" i="1"/>
  <c r="A23680" i="1"/>
  <c r="B23680" i="1"/>
  <c r="A23681" i="1"/>
  <c r="B23681" i="1"/>
  <c r="A23682" i="1"/>
  <c r="B23682" i="1"/>
  <c r="A23683" i="1"/>
  <c r="B23683" i="1"/>
  <c r="A23684" i="1"/>
  <c r="B23684" i="1"/>
  <c r="A23685" i="1"/>
  <c r="B23685" i="1"/>
  <c r="A23686" i="1"/>
  <c r="B23686" i="1"/>
  <c r="A23687" i="1"/>
  <c r="B23687" i="1"/>
  <c r="A23688" i="1"/>
  <c r="B23688" i="1"/>
  <c r="A23689" i="1"/>
  <c r="B23689" i="1"/>
  <c r="A23690" i="1"/>
  <c r="B23690" i="1"/>
  <c r="A23691" i="1"/>
  <c r="B23691" i="1"/>
  <c r="A23692" i="1"/>
  <c r="B23692" i="1"/>
  <c r="A23693" i="1"/>
  <c r="B23693" i="1"/>
  <c r="A23694" i="1"/>
  <c r="B23694" i="1"/>
  <c r="A23695" i="1"/>
  <c r="B23695" i="1"/>
  <c r="A23696" i="1"/>
  <c r="B23696" i="1"/>
  <c r="A23697" i="1"/>
  <c r="B23697" i="1"/>
  <c r="A23698" i="1"/>
  <c r="B23698" i="1"/>
  <c r="A23699" i="1"/>
  <c r="B23699" i="1"/>
  <c r="A23700" i="1"/>
  <c r="B23700" i="1"/>
  <c r="A23701" i="1"/>
  <c r="B23701" i="1"/>
  <c r="A23702" i="1"/>
  <c r="B23702" i="1"/>
  <c r="A23703" i="1"/>
  <c r="B23703" i="1"/>
  <c r="A23704" i="1"/>
  <c r="B23704" i="1"/>
  <c r="A23705" i="1"/>
  <c r="B23705" i="1"/>
  <c r="A23706" i="1"/>
  <c r="B23706" i="1"/>
  <c r="A23707" i="1"/>
  <c r="B23707" i="1"/>
  <c r="A23708" i="1"/>
  <c r="B23708" i="1"/>
  <c r="A23709" i="1"/>
  <c r="B23709" i="1"/>
  <c r="A23710" i="1"/>
  <c r="B23710" i="1"/>
  <c r="A23711" i="1"/>
  <c r="B23711" i="1"/>
  <c r="A23712" i="1"/>
  <c r="B23712" i="1"/>
  <c r="A23713" i="1"/>
  <c r="B23713" i="1"/>
  <c r="A23714" i="1"/>
  <c r="B23714" i="1"/>
  <c r="A23715" i="1"/>
  <c r="B23715" i="1"/>
  <c r="A23716" i="1"/>
  <c r="B23716" i="1"/>
  <c r="A23717" i="1"/>
  <c r="B23717" i="1"/>
  <c r="A23718" i="1"/>
  <c r="B23718" i="1"/>
  <c r="A23719" i="1"/>
  <c r="B23719" i="1"/>
  <c r="A23720" i="1"/>
  <c r="B23720" i="1"/>
  <c r="A23721" i="1"/>
  <c r="B23721" i="1"/>
  <c r="A23722" i="1"/>
  <c r="B23722" i="1"/>
  <c r="A23723" i="1"/>
  <c r="B23723" i="1"/>
  <c r="A23724" i="1"/>
  <c r="B23724" i="1"/>
  <c r="A23725" i="1"/>
  <c r="B23725" i="1"/>
  <c r="A23726" i="1"/>
  <c r="B23726" i="1"/>
  <c r="A23727" i="1"/>
  <c r="B23727" i="1"/>
  <c r="A23728" i="1"/>
  <c r="B23728" i="1"/>
  <c r="A23729" i="1"/>
  <c r="B23729" i="1"/>
  <c r="A23730" i="1"/>
  <c r="B23730" i="1"/>
  <c r="A23731" i="1"/>
  <c r="B23731" i="1"/>
  <c r="A23732" i="1"/>
  <c r="B23732" i="1"/>
  <c r="A23733" i="1"/>
  <c r="B23733" i="1"/>
  <c r="A23734" i="1"/>
  <c r="B23734" i="1"/>
  <c r="A23735" i="1"/>
  <c r="B23735" i="1"/>
  <c r="A23736" i="1"/>
  <c r="B23736" i="1"/>
  <c r="A23737" i="1"/>
  <c r="B23737" i="1"/>
  <c r="A23738" i="1"/>
  <c r="B23738" i="1"/>
  <c r="A23739" i="1"/>
  <c r="B23739" i="1"/>
  <c r="A23740" i="1"/>
  <c r="B23740" i="1"/>
  <c r="A23741" i="1"/>
  <c r="B23741" i="1"/>
  <c r="A23742" i="1"/>
  <c r="B23742" i="1"/>
  <c r="A23743" i="1"/>
  <c r="B23743" i="1"/>
  <c r="A23744" i="1"/>
  <c r="B23744" i="1"/>
  <c r="A23745" i="1"/>
  <c r="B23745" i="1"/>
  <c r="A23746" i="1"/>
  <c r="B23746" i="1"/>
  <c r="A23747" i="1"/>
  <c r="B23747" i="1"/>
  <c r="A23748" i="1"/>
  <c r="B23748" i="1"/>
  <c r="A23749" i="1"/>
  <c r="B23749" i="1"/>
  <c r="A23750" i="1"/>
  <c r="B23750" i="1"/>
  <c r="A23751" i="1"/>
  <c r="B23751" i="1"/>
  <c r="A23752" i="1"/>
  <c r="B23752" i="1"/>
  <c r="A23753" i="1"/>
  <c r="B23753" i="1"/>
  <c r="A23754" i="1"/>
  <c r="B23754" i="1"/>
  <c r="A23755" i="1"/>
  <c r="B23755" i="1"/>
  <c r="A23756" i="1"/>
  <c r="B23756" i="1"/>
  <c r="A23757" i="1"/>
  <c r="B23757" i="1"/>
  <c r="A23758" i="1"/>
  <c r="B23758" i="1"/>
  <c r="A23759" i="1"/>
  <c r="B23759" i="1"/>
  <c r="A23760" i="1"/>
  <c r="B23760" i="1"/>
  <c r="A23761" i="1"/>
  <c r="B23761" i="1"/>
  <c r="A23762" i="1"/>
  <c r="B23762" i="1"/>
  <c r="A23763" i="1"/>
  <c r="B23763" i="1"/>
  <c r="A23764" i="1"/>
  <c r="B23764" i="1"/>
  <c r="A23765" i="1"/>
  <c r="B23765" i="1"/>
  <c r="A23766" i="1"/>
  <c r="B23766" i="1"/>
  <c r="A23767" i="1"/>
  <c r="B23767" i="1"/>
  <c r="A23768" i="1"/>
  <c r="B23768" i="1"/>
  <c r="A23769" i="1"/>
  <c r="B23769" i="1"/>
  <c r="A23770" i="1"/>
  <c r="B23770" i="1"/>
  <c r="A23771" i="1"/>
  <c r="B23771" i="1"/>
  <c r="A23772" i="1"/>
  <c r="B23772" i="1"/>
  <c r="A23773" i="1"/>
  <c r="B23773" i="1"/>
  <c r="A23774" i="1"/>
  <c r="B23774" i="1"/>
  <c r="A23775" i="1"/>
  <c r="B23775" i="1"/>
  <c r="A23776" i="1"/>
  <c r="B23776" i="1"/>
  <c r="A23777" i="1"/>
  <c r="B23777" i="1"/>
  <c r="A23778" i="1"/>
  <c r="B23778" i="1"/>
  <c r="A23779" i="1"/>
  <c r="B23779" i="1"/>
  <c r="A23780" i="1"/>
  <c r="B23780" i="1"/>
  <c r="A23781" i="1"/>
  <c r="B23781" i="1"/>
  <c r="A23782" i="1"/>
  <c r="B23782" i="1"/>
  <c r="A23783" i="1"/>
  <c r="B23783" i="1"/>
  <c r="A23784" i="1"/>
  <c r="B23784" i="1"/>
  <c r="A23785" i="1"/>
  <c r="B23785" i="1"/>
  <c r="A23786" i="1"/>
  <c r="B23786" i="1"/>
  <c r="A23787" i="1"/>
  <c r="B23787" i="1"/>
  <c r="A23788" i="1"/>
  <c r="B23788" i="1"/>
  <c r="A23789" i="1"/>
  <c r="B23789" i="1"/>
  <c r="A23790" i="1"/>
  <c r="B23790" i="1"/>
  <c r="A23791" i="1"/>
  <c r="B23791" i="1"/>
  <c r="A23792" i="1"/>
  <c r="B23792" i="1"/>
  <c r="A23793" i="1"/>
  <c r="B23793" i="1"/>
  <c r="A23794" i="1"/>
  <c r="B23794" i="1"/>
  <c r="A23795" i="1"/>
  <c r="B23795" i="1"/>
  <c r="A23796" i="1"/>
  <c r="B23796" i="1"/>
  <c r="A23797" i="1"/>
  <c r="B23797" i="1"/>
  <c r="A23798" i="1"/>
  <c r="B23798" i="1"/>
  <c r="A23799" i="1"/>
  <c r="B23799" i="1"/>
  <c r="A23800" i="1"/>
  <c r="B23800" i="1"/>
  <c r="A23801" i="1"/>
  <c r="B23801" i="1"/>
  <c r="A23802" i="1"/>
  <c r="B23802" i="1"/>
  <c r="A23803" i="1"/>
  <c r="B23803" i="1"/>
  <c r="A23804" i="1"/>
  <c r="B23804" i="1"/>
  <c r="A23805" i="1"/>
  <c r="B23805" i="1"/>
  <c r="A23806" i="1"/>
  <c r="B23806" i="1"/>
  <c r="A23807" i="1"/>
  <c r="B23807" i="1"/>
  <c r="A23808" i="1"/>
  <c r="B23808" i="1"/>
  <c r="A23809" i="1"/>
  <c r="B23809" i="1"/>
  <c r="A23810" i="1"/>
  <c r="B23810" i="1"/>
  <c r="A23811" i="1"/>
  <c r="B23811" i="1"/>
  <c r="A23812" i="1"/>
  <c r="B23812" i="1"/>
  <c r="A23813" i="1"/>
  <c r="B23813" i="1"/>
  <c r="A23814" i="1"/>
  <c r="B23814" i="1"/>
  <c r="A23815" i="1"/>
  <c r="B23815" i="1"/>
  <c r="A23816" i="1"/>
  <c r="B23816" i="1"/>
  <c r="A23817" i="1"/>
  <c r="B23817" i="1"/>
  <c r="A23818" i="1"/>
  <c r="B23818" i="1"/>
  <c r="A23819" i="1"/>
  <c r="B23819" i="1"/>
  <c r="A23820" i="1"/>
  <c r="B23820" i="1"/>
  <c r="A23821" i="1"/>
  <c r="B23821" i="1"/>
  <c r="A23822" i="1"/>
  <c r="B23822" i="1"/>
  <c r="A23823" i="1"/>
  <c r="B23823" i="1"/>
  <c r="A23824" i="1"/>
  <c r="B23824" i="1"/>
  <c r="A23825" i="1"/>
  <c r="B23825" i="1"/>
  <c r="A23826" i="1"/>
  <c r="B23826" i="1"/>
  <c r="A23827" i="1"/>
  <c r="B23827" i="1"/>
  <c r="A23828" i="1"/>
  <c r="B23828" i="1"/>
  <c r="A23829" i="1"/>
  <c r="B23829" i="1"/>
  <c r="A23830" i="1"/>
  <c r="B23830" i="1"/>
  <c r="A23831" i="1"/>
  <c r="B23831" i="1"/>
  <c r="A23832" i="1"/>
  <c r="B23832" i="1"/>
  <c r="A23833" i="1"/>
  <c r="B23833" i="1"/>
  <c r="A23834" i="1"/>
  <c r="B23834" i="1"/>
  <c r="A23835" i="1"/>
  <c r="B23835" i="1"/>
  <c r="A23836" i="1"/>
  <c r="B23836" i="1"/>
  <c r="A23837" i="1"/>
  <c r="B23837" i="1"/>
  <c r="A23838" i="1"/>
  <c r="B23838" i="1"/>
  <c r="A23839" i="1"/>
  <c r="B23839" i="1"/>
  <c r="A23840" i="1"/>
  <c r="B23840" i="1"/>
  <c r="A23841" i="1"/>
  <c r="B23841" i="1"/>
  <c r="A23842" i="1"/>
  <c r="B23842" i="1"/>
  <c r="A23843" i="1"/>
  <c r="B23843" i="1"/>
  <c r="A23844" i="1"/>
  <c r="B23844" i="1"/>
  <c r="A23845" i="1"/>
  <c r="B23845" i="1"/>
  <c r="A23846" i="1"/>
  <c r="B23846" i="1"/>
  <c r="A23847" i="1"/>
  <c r="B23847" i="1"/>
  <c r="A23848" i="1"/>
  <c r="B23848" i="1"/>
  <c r="A23849" i="1"/>
  <c r="B23849" i="1"/>
  <c r="A23850" i="1"/>
  <c r="B23850" i="1"/>
  <c r="A23851" i="1"/>
  <c r="B23851" i="1"/>
  <c r="A23852" i="1"/>
  <c r="B23852" i="1"/>
  <c r="A23853" i="1"/>
  <c r="B23853" i="1"/>
  <c r="A23854" i="1"/>
  <c r="B23854" i="1"/>
  <c r="A23855" i="1"/>
  <c r="B23855" i="1"/>
  <c r="A23856" i="1"/>
  <c r="B23856" i="1"/>
  <c r="A23857" i="1"/>
  <c r="B23857" i="1"/>
  <c r="A23858" i="1"/>
  <c r="B23858" i="1"/>
  <c r="A23859" i="1"/>
  <c r="B23859" i="1"/>
  <c r="A23860" i="1"/>
  <c r="B23860" i="1"/>
  <c r="A23861" i="1"/>
  <c r="B23861" i="1"/>
  <c r="A23862" i="1"/>
  <c r="B23862" i="1"/>
  <c r="A23863" i="1"/>
  <c r="B23863" i="1"/>
  <c r="A23864" i="1"/>
  <c r="B23864" i="1"/>
  <c r="A23865" i="1"/>
  <c r="B23865" i="1"/>
  <c r="A23866" i="1"/>
  <c r="B23866" i="1"/>
  <c r="A23867" i="1"/>
  <c r="B23867" i="1"/>
  <c r="A23868" i="1"/>
  <c r="B23868" i="1"/>
  <c r="A23869" i="1"/>
  <c r="B23869" i="1"/>
  <c r="A23870" i="1"/>
  <c r="B23870" i="1"/>
  <c r="A23871" i="1"/>
  <c r="B23871" i="1"/>
  <c r="A23872" i="1"/>
  <c r="B23872" i="1"/>
  <c r="A23873" i="1"/>
  <c r="B23873" i="1"/>
  <c r="A23874" i="1"/>
  <c r="B23874" i="1"/>
  <c r="A23875" i="1"/>
  <c r="B23875" i="1"/>
  <c r="A23876" i="1"/>
  <c r="B23876" i="1"/>
  <c r="A23877" i="1"/>
  <c r="B23877" i="1"/>
  <c r="A23878" i="1"/>
  <c r="B23878" i="1"/>
  <c r="A23879" i="1"/>
  <c r="B23879" i="1"/>
  <c r="A23880" i="1"/>
  <c r="B23880" i="1"/>
  <c r="A23881" i="1"/>
  <c r="B23881" i="1"/>
  <c r="A23882" i="1"/>
  <c r="B23882" i="1"/>
  <c r="A23883" i="1"/>
  <c r="B23883" i="1"/>
  <c r="A23884" i="1"/>
  <c r="B23884" i="1"/>
  <c r="A23885" i="1"/>
  <c r="B23885" i="1"/>
  <c r="A23886" i="1"/>
  <c r="B23886" i="1"/>
  <c r="A23887" i="1"/>
  <c r="B23887" i="1"/>
  <c r="A23888" i="1"/>
  <c r="B23888" i="1"/>
  <c r="A23889" i="1"/>
  <c r="B23889" i="1"/>
  <c r="A23890" i="1"/>
  <c r="B23890" i="1"/>
  <c r="A23891" i="1"/>
  <c r="B23891" i="1"/>
  <c r="A23892" i="1"/>
  <c r="B23892" i="1"/>
  <c r="A23893" i="1"/>
  <c r="B23893" i="1"/>
  <c r="A23894" i="1"/>
  <c r="B23894" i="1"/>
  <c r="A23895" i="1"/>
  <c r="B23895" i="1"/>
  <c r="A23896" i="1"/>
  <c r="B23896" i="1"/>
  <c r="A23897" i="1"/>
  <c r="B23897" i="1"/>
  <c r="A23898" i="1"/>
  <c r="B23898" i="1"/>
  <c r="A23899" i="1"/>
  <c r="B23899" i="1"/>
  <c r="A23900" i="1"/>
  <c r="B23900" i="1"/>
  <c r="A23901" i="1"/>
  <c r="B23901" i="1"/>
  <c r="A23902" i="1"/>
  <c r="B23902" i="1"/>
  <c r="A23903" i="1"/>
  <c r="B23903" i="1"/>
  <c r="A23904" i="1"/>
  <c r="B23904" i="1"/>
  <c r="A23905" i="1"/>
  <c r="B23905" i="1"/>
  <c r="A23906" i="1"/>
  <c r="B23906" i="1"/>
  <c r="A23907" i="1"/>
  <c r="B23907" i="1"/>
  <c r="A23908" i="1"/>
  <c r="B23908" i="1"/>
  <c r="A23909" i="1"/>
  <c r="B23909" i="1"/>
  <c r="A23910" i="1"/>
  <c r="B23910" i="1"/>
  <c r="A23911" i="1"/>
  <c r="B23911" i="1"/>
  <c r="A23912" i="1"/>
  <c r="B23912" i="1"/>
  <c r="A23913" i="1"/>
  <c r="B23913" i="1"/>
  <c r="A23914" i="1"/>
  <c r="B23914" i="1"/>
  <c r="A23915" i="1"/>
  <c r="B23915" i="1"/>
  <c r="A23916" i="1"/>
  <c r="B23916" i="1"/>
  <c r="A23917" i="1"/>
  <c r="B23917" i="1"/>
  <c r="A23918" i="1"/>
  <c r="B23918" i="1"/>
  <c r="A23919" i="1"/>
  <c r="B23919" i="1"/>
  <c r="A23920" i="1"/>
  <c r="B23920" i="1"/>
  <c r="A23921" i="1"/>
  <c r="B23921" i="1"/>
  <c r="A23922" i="1"/>
  <c r="B23922" i="1"/>
  <c r="A23923" i="1"/>
  <c r="B23923" i="1"/>
  <c r="A23924" i="1"/>
  <c r="B23924" i="1"/>
  <c r="A23925" i="1"/>
  <c r="B23925" i="1"/>
  <c r="A23926" i="1"/>
  <c r="B23926" i="1"/>
  <c r="A23927" i="1"/>
  <c r="B23927" i="1"/>
  <c r="A23928" i="1"/>
  <c r="B23928" i="1"/>
  <c r="A23929" i="1"/>
  <c r="B23929" i="1"/>
  <c r="A23930" i="1"/>
  <c r="B23930" i="1"/>
  <c r="A23931" i="1"/>
  <c r="B23931" i="1"/>
  <c r="A23932" i="1"/>
  <c r="B23932" i="1"/>
  <c r="A23933" i="1"/>
  <c r="B23933" i="1"/>
  <c r="A23934" i="1"/>
  <c r="B23934" i="1"/>
  <c r="A23935" i="1"/>
  <c r="B23935" i="1"/>
  <c r="A23936" i="1"/>
  <c r="B23936" i="1"/>
  <c r="A23937" i="1"/>
  <c r="B23937" i="1"/>
  <c r="A23938" i="1"/>
  <c r="B23938" i="1"/>
  <c r="A23939" i="1"/>
  <c r="B23939" i="1"/>
  <c r="A23940" i="1"/>
  <c r="B23940" i="1"/>
  <c r="A23941" i="1"/>
  <c r="B23941" i="1"/>
  <c r="A23942" i="1"/>
  <c r="B23942" i="1"/>
  <c r="A23943" i="1"/>
  <c r="B23943" i="1"/>
  <c r="A23944" i="1"/>
  <c r="B23944" i="1"/>
  <c r="A23945" i="1"/>
  <c r="B23945" i="1"/>
  <c r="A23946" i="1"/>
  <c r="B23946" i="1"/>
  <c r="A23947" i="1"/>
  <c r="B23947" i="1"/>
  <c r="A23948" i="1"/>
  <c r="B23948" i="1"/>
  <c r="A23949" i="1"/>
  <c r="B23949" i="1"/>
  <c r="A23950" i="1"/>
  <c r="B23950" i="1"/>
  <c r="A23951" i="1"/>
  <c r="B23951" i="1"/>
  <c r="A23952" i="1"/>
  <c r="B23952" i="1"/>
  <c r="A23953" i="1"/>
  <c r="B23953" i="1"/>
  <c r="A23954" i="1"/>
  <c r="B23954" i="1"/>
  <c r="A23955" i="1"/>
  <c r="B23955" i="1"/>
  <c r="A23956" i="1"/>
  <c r="B23956" i="1"/>
  <c r="A23957" i="1"/>
  <c r="B23957" i="1"/>
  <c r="A23958" i="1"/>
  <c r="B23958" i="1"/>
  <c r="A23959" i="1"/>
  <c r="B23959" i="1"/>
  <c r="A23960" i="1"/>
  <c r="B23960" i="1"/>
  <c r="A23961" i="1"/>
  <c r="B23961" i="1"/>
  <c r="A23962" i="1"/>
  <c r="B23962" i="1"/>
  <c r="A23963" i="1"/>
  <c r="B23963" i="1"/>
  <c r="A23964" i="1"/>
  <c r="B23964" i="1"/>
  <c r="A23965" i="1"/>
  <c r="B23965" i="1"/>
  <c r="A23966" i="1"/>
  <c r="B23966" i="1"/>
  <c r="A23967" i="1"/>
  <c r="B23967" i="1"/>
  <c r="A23968" i="1"/>
  <c r="B23968" i="1"/>
  <c r="A23969" i="1"/>
  <c r="B23969" i="1"/>
  <c r="A23970" i="1"/>
  <c r="B23970" i="1"/>
  <c r="A23971" i="1"/>
  <c r="B23971" i="1"/>
  <c r="A23972" i="1"/>
  <c r="B23972" i="1"/>
  <c r="A23973" i="1"/>
  <c r="B23973" i="1"/>
  <c r="A23974" i="1"/>
  <c r="B23974" i="1"/>
  <c r="A23975" i="1"/>
  <c r="B23975" i="1"/>
  <c r="A23976" i="1"/>
  <c r="B23976" i="1"/>
  <c r="A23977" i="1"/>
  <c r="B23977" i="1"/>
  <c r="A23978" i="1"/>
  <c r="B23978" i="1"/>
  <c r="A23979" i="1"/>
  <c r="B23979" i="1"/>
  <c r="A23980" i="1"/>
  <c r="B23980" i="1"/>
  <c r="A23981" i="1"/>
  <c r="B23981" i="1"/>
  <c r="A23982" i="1"/>
  <c r="B23982" i="1"/>
  <c r="A23983" i="1"/>
  <c r="B23983" i="1"/>
  <c r="A23984" i="1"/>
  <c r="B23984" i="1"/>
  <c r="A23985" i="1"/>
  <c r="B23985" i="1"/>
  <c r="A23986" i="1"/>
  <c r="B23986" i="1"/>
  <c r="A23987" i="1"/>
  <c r="B23987" i="1"/>
  <c r="A23988" i="1"/>
  <c r="B23988" i="1"/>
  <c r="A23989" i="1"/>
  <c r="B23989" i="1"/>
  <c r="A23990" i="1"/>
  <c r="B23990" i="1"/>
  <c r="A23991" i="1"/>
  <c r="B23991" i="1"/>
  <c r="A23992" i="1"/>
  <c r="B23992" i="1"/>
  <c r="A23993" i="1"/>
  <c r="B23993" i="1"/>
  <c r="A23994" i="1"/>
  <c r="B23994" i="1"/>
  <c r="A23995" i="1"/>
  <c r="B23995" i="1"/>
  <c r="A23996" i="1"/>
  <c r="B23996" i="1"/>
  <c r="A23997" i="1"/>
  <c r="B23997" i="1"/>
  <c r="A23998" i="1"/>
  <c r="B23998" i="1"/>
  <c r="A23999" i="1"/>
  <c r="B23999" i="1"/>
  <c r="A24000" i="1"/>
  <c r="B24000" i="1"/>
  <c r="A24001" i="1"/>
  <c r="B24001" i="1"/>
  <c r="A24002" i="1"/>
  <c r="B24002" i="1"/>
  <c r="A24003" i="1"/>
  <c r="B24003" i="1"/>
  <c r="A24004" i="1"/>
  <c r="B24004" i="1"/>
  <c r="A24005" i="1"/>
  <c r="B24005" i="1"/>
  <c r="A24006" i="1"/>
  <c r="B24006" i="1"/>
  <c r="A24007" i="1"/>
  <c r="B24007" i="1"/>
  <c r="A24008" i="1"/>
  <c r="B24008" i="1"/>
  <c r="A24009" i="1"/>
  <c r="B24009" i="1"/>
  <c r="A24010" i="1"/>
  <c r="B24010" i="1"/>
  <c r="A24011" i="1"/>
  <c r="B24011" i="1"/>
  <c r="A24012" i="1"/>
  <c r="B24012" i="1"/>
  <c r="A24013" i="1"/>
  <c r="B24013" i="1"/>
  <c r="A24014" i="1"/>
  <c r="B24014" i="1"/>
  <c r="A24015" i="1"/>
  <c r="B24015" i="1"/>
  <c r="A24016" i="1"/>
  <c r="B24016" i="1"/>
  <c r="A24017" i="1"/>
  <c r="B24017" i="1"/>
  <c r="A24018" i="1"/>
  <c r="B24018" i="1"/>
  <c r="A24019" i="1"/>
  <c r="B24019" i="1"/>
  <c r="A24020" i="1"/>
  <c r="B24020" i="1"/>
  <c r="A24021" i="1"/>
  <c r="B24021" i="1"/>
  <c r="A24022" i="1"/>
  <c r="B24022" i="1"/>
  <c r="A24023" i="1"/>
  <c r="B24023" i="1"/>
  <c r="A24024" i="1"/>
  <c r="B24024" i="1"/>
  <c r="A24025" i="1"/>
  <c r="B24025" i="1"/>
  <c r="A24026" i="1"/>
  <c r="B24026" i="1"/>
  <c r="A24027" i="1"/>
  <c r="B24027" i="1"/>
  <c r="A24028" i="1"/>
  <c r="B24028" i="1"/>
  <c r="A24029" i="1"/>
  <c r="B24029" i="1"/>
  <c r="A24030" i="1"/>
  <c r="B24030" i="1"/>
  <c r="A24031" i="1"/>
  <c r="B24031" i="1"/>
  <c r="A24032" i="1"/>
  <c r="B24032" i="1"/>
  <c r="A24033" i="1"/>
  <c r="B24033" i="1"/>
  <c r="A24034" i="1"/>
  <c r="B24034" i="1"/>
  <c r="A24035" i="1"/>
  <c r="B24035" i="1"/>
  <c r="A24036" i="1"/>
  <c r="B24036" i="1"/>
  <c r="A24037" i="1"/>
  <c r="B24037" i="1"/>
  <c r="A24038" i="1"/>
  <c r="B24038" i="1"/>
  <c r="A24039" i="1"/>
  <c r="B24039" i="1"/>
  <c r="A24040" i="1"/>
  <c r="B24040" i="1"/>
  <c r="A24041" i="1"/>
  <c r="B24041" i="1"/>
  <c r="A24042" i="1"/>
  <c r="B24042" i="1"/>
  <c r="A24043" i="1"/>
  <c r="B24043" i="1"/>
  <c r="A24044" i="1"/>
  <c r="B24044" i="1"/>
  <c r="A24045" i="1"/>
  <c r="B24045" i="1"/>
  <c r="A24046" i="1"/>
  <c r="B24046" i="1"/>
  <c r="A24047" i="1"/>
  <c r="B24047" i="1"/>
  <c r="A24048" i="1"/>
  <c r="B24048" i="1"/>
  <c r="A24049" i="1"/>
  <c r="B24049" i="1"/>
  <c r="A24050" i="1"/>
  <c r="B24050" i="1"/>
  <c r="A24051" i="1"/>
  <c r="B24051" i="1"/>
  <c r="A24052" i="1"/>
  <c r="B24052" i="1"/>
  <c r="A24053" i="1"/>
  <c r="B24053" i="1"/>
  <c r="A24054" i="1"/>
  <c r="B24054" i="1"/>
  <c r="A24055" i="1"/>
  <c r="B24055" i="1"/>
  <c r="A24056" i="1"/>
  <c r="B24056" i="1"/>
  <c r="A24057" i="1"/>
  <c r="B24057" i="1"/>
  <c r="A24058" i="1"/>
  <c r="B24058" i="1"/>
  <c r="A24059" i="1"/>
  <c r="B24059" i="1"/>
  <c r="A24060" i="1"/>
  <c r="B24060" i="1"/>
  <c r="A24061" i="1"/>
  <c r="B24061" i="1"/>
  <c r="A24062" i="1"/>
  <c r="B24062" i="1"/>
  <c r="A24063" i="1"/>
  <c r="B24063" i="1"/>
  <c r="A24064" i="1"/>
  <c r="B24064" i="1"/>
  <c r="A24065" i="1"/>
  <c r="B24065" i="1"/>
  <c r="A24066" i="1"/>
  <c r="B24066" i="1"/>
  <c r="A24067" i="1"/>
  <c r="B24067" i="1"/>
  <c r="A24068" i="1"/>
  <c r="B24068" i="1"/>
  <c r="A24069" i="1"/>
  <c r="B24069" i="1"/>
  <c r="A24070" i="1"/>
  <c r="B24070" i="1"/>
  <c r="A24071" i="1"/>
  <c r="B24071" i="1"/>
  <c r="A24072" i="1"/>
  <c r="B24072" i="1"/>
  <c r="A24073" i="1"/>
  <c r="B24073" i="1"/>
  <c r="A24074" i="1"/>
  <c r="B24074" i="1"/>
  <c r="A24075" i="1"/>
  <c r="B24075" i="1"/>
  <c r="A24076" i="1"/>
  <c r="B24076" i="1"/>
  <c r="A24077" i="1"/>
  <c r="B24077" i="1"/>
  <c r="A24078" i="1"/>
  <c r="B24078" i="1"/>
  <c r="A24079" i="1"/>
  <c r="B24079" i="1"/>
  <c r="A24080" i="1"/>
  <c r="B24080" i="1"/>
  <c r="A24081" i="1"/>
  <c r="B24081" i="1"/>
  <c r="A24082" i="1"/>
  <c r="B24082" i="1"/>
  <c r="A24083" i="1"/>
  <c r="B24083" i="1"/>
  <c r="A24084" i="1"/>
  <c r="B24084" i="1"/>
  <c r="A24085" i="1"/>
  <c r="B24085" i="1"/>
  <c r="A24086" i="1"/>
  <c r="B24086" i="1"/>
  <c r="A24087" i="1"/>
  <c r="B24087" i="1"/>
  <c r="A24088" i="1"/>
  <c r="B24088" i="1"/>
  <c r="A24089" i="1"/>
  <c r="B24089" i="1"/>
  <c r="A24090" i="1"/>
  <c r="B24090" i="1"/>
  <c r="A24091" i="1"/>
  <c r="B24091" i="1"/>
  <c r="A24092" i="1"/>
  <c r="B24092" i="1"/>
  <c r="A24093" i="1"/>
  <c r="B24093" i="1"/>
  <c r="A24094" i="1"/>
  <c r="B24094" i="1"/>
  <c r="A24095" i="1"/>
  <c r="B24095" i="1"/>
  <c r="A24096" i="1"/>
  <c r="B24096" i="1"/>
  <c r="A24097" i="1"/>
  <c r="B24097" i="1"/>
  <c r="A24098" i="1"/>
  <c r="B24098" i="1"/>
  <c r="A24099" i="1"/>
  <c r="B24099" i="1"/>
  <c r="A24100" i="1"/>
  <c r="B24100" i="1"/>
  <c r="A24101" i="1"/>
  <c r="B24101" i="1"/>
  <c r="A24102" i="1"/>
  <c r="B24102" i="1"/>
  <c r="A24103" i="1"/>
  <c r="B24103" i="1"/>
  <c r="A24104" i="1"/>
  <c r="B24104" i="1"/>
  <c r="A24105" i="1"/>
  <c r="B24105" i="1"/>
  <c r="A24106" i="1"/>
  <c r="B24106" i="1"/>
  <c r="A24107" i="1"/>
  <c r="B24107" i="1"/>
  <c r="A24108" i="1"/>
  <c r="B24108" i="1"/>
  <c r="A24109" i="1"/>
  <c r="B24109" i="1"/>
  <c r="A24110" i="1"/>
  <c r="B24110" i="1"/>
  <c r="A24111" i="1"/>
  <c r="B24111" i="1"/>
  <c r="A24112" i="1"/>
  <c r="B24112" i="1"/>
  <c r="A24113" i="1"/>
  <c r="B24113" i="1"/>
  <c r="A24114" i="1"/>
  <c r="B24114" i="1"/>
  <c r="A24115" i="1"/>
  <c r="B24115" i="1"/>
  <c r="A24116" i="1"/>
  <c r="B24116" i="1"/>
  <c r="A24117" i="1"/>
  <c r="B24117" i="1"/>
  <c r="A24118" i="1"/>
  <c r="B24118" i="1"/>
  <c r="A24119" i="1"/>
  <c r="B24119" i="1"/>
  <c r="A24120" i="1"/>
  <c r="B24120" i="1"/>
  <c r="A24121" i="1"/>
  <c r="B24121" i="1"/>
  <c r="A24122" i="1"/>
  <c r="B24122" i="1"/>
  <c r="A24123" i="1"/>
  <c r="B24123" i="1"/>
  <c r="A24124" i="1"/>
  <c r="B24124" i="1"/>
  <c r="A24125" i="1"/>
  <c r="B24125" i="1"/>
  <c r="A24126" i="1"/>
  <c r="B24126" i="1"/>
  <c r="A24127" i="1"/>
  <c r="B24127" i="1"/>
  <c r="A24128" i="1"/>
  <c r="B24128" i="1"/>
  <c r="A24129" i="1"/>
  <c r="B24129" i="1"/>
  <c r="A24130" i="1"/>
  <c r="B24130" i="1"/>
  <c r="A24131" i="1"/>
  <c r="B24131" i="1"/>
  <c r="A24132" i="1"/>
  <c r="B24132" i="1"/>
  <c r="A24133" i="1"/>
  <c r="B24133" i="1"/>
  <c r="A24134" i="1"/>
  <c r="B24134" i="1"/>
  <c r="A24135" i="1"/>
  <c r="B24135" i="1"/>
  <c r="A24136" i="1"/>
  <c r="B24136" i="1"/>
  <c r="A24137" i="1"/>
  <c r="B24137" i="1"/>
  <c r="A24138" i="1"/>
  <c r="B24138" i="1"/>
  <c r="A24139" i="1"/>
  <c r="B24139" i="1"/>
  <c r="A24140" i="1"/>
  <c r="B24140" i="1"/>
  <c r="A24141" i="1"/>
  <c r="B24141" i="1"/>
  <c r="A24142" i="1"/>
  <c r="B24142" i="1"/>
  <c r="A24143" i="1"/>
  <c r="B24143" i="1"/>
  <c r="A24144" i="1"/>
  <c r="B24144" i="1"/>
  <c r="A24145" i="1"/>
  <c r="B24145" i="1"/>
  <c r="A24146" i="1"/>
  <c r="B24146" i="1"/>
  <c r="A24147" i="1"/>
  <c r="B24147" i="1"/>
  <c r="A24148" i="1"/>
  <c r="B24148" i="1"/>
  <c r="A24149" i="1"/>
  <c r="B24149" i="1"/>
  <c r="A24150" i="1"/>
  <c r="B24150" i="1"/>
  <c r="A24151" i="1"/>
  <c r="B24151" i="1"/>
  <c r="A24152" i="1"/>
  <c r="B24152" i="1"/>
  <c r="A24153" i="1"/>
  <c r="B24153" i="1"/>
  <c r="A24154" i="1"/>
  <c r="B24154" i="1"/>
  <c r="A24155" i="1"/>
  <c r="B24155" i="1"/>
  <c r="A24156" i="1"/>
  <c r="B24156" i="1"/>
  <c r="A24157" i="1"/>
  <c r="B24157" i="1"/>
  <c r="A24158" i="1"/>
  <c r="B24158" i="1"/>
  <c r="A24159" i="1"/>
  <c r="B24159" i="1"/>
  <c r="A24160" i="1"/>
  <c r="B24160" i="1"/>
  <c r="A24161" i="1"/>
  <c r="B24161" i="1"/>
  <c r="A24162" i="1"/>
  <c r="B24162" i="1"/>
  <c r="A24163" i="1"/>
  <c r="B24163" i="1"/>
  <c r="A24164" i="1"/>
  <c r="B24164" i="1"/>
  <c r="A24165" i="1"/>
  <c r="B24165" i="1"/>
  <c r="A24166" i="1"/>
  <c r="B24166" i="1"/>
  <c r="A24167" i="1"/>
  <c r="B24167" i="1"/>
  <c r="A24168" i="1"/>
  <c r="B24168" i="1"/>
  <c r="A24169" i="1"/>
  <c r="B24169" i="1"/>
  <c r="A24170" i="1"/>
  <c r="B24170" i="1"/>
  <c r="A24171" i="1"/>
  <c r="B24171" i="1"/>
  <c r="A24172" i="1"/>
  <c r="B24172" i="1"/>
  <c r="A24173" i="1"/>
  <c r="B24173" i="1"/>
  <c r="A24174" i="1"/>
  <c r="B24174" i="1"/>
  <c r="A24175" i="1"/>
  <c r="B24175" i="1"/>
  <c r="A24176" i="1"/>
  <c r="B24176" i="1"/>
  <c r="A24177" i="1"/>
  <c r="B24177" i="1"/>
  <c r="A24178" i="1"/>
  <c r="B24178" i="1"/>
  <c r="A24179" i="1"/>
  <c r="B24179" i="1"/>
  <c r="A24180" i="1"/>
  <c r="B24180" i="1"/>
  <c r="A24181" i="1"/>
  <c r="B24181" i="1"/>
  <c r="A24182" i="1"/>
  <c r="B24182" i="1"/>
  <c r="A24183" i="1"/>
  <c r="B24183" i="1"/>
  <c r="A24184" i="1"/>
  <c r="B24184" i="1"/>
  <c r="A24185" i="1"/>
  <c r="B24185" i="1"/>
  <c r="A24186" i="1"/>
  <c r="B24186" i="1"/>
  <c r="A24187" i="1"/>
  <c r="B24187" i="1"/>
  <c r="A24188" i="1"/>
  <c r="B24188" i="1"/>
  <c r="A24189" i="1"/>
  <c r="B24189" i="1"/>
  <c r="A24190" i="1"/>
  <c r="B24190" i="1"/>
  <c r="A24191" i="1"/>
  <c r="B24191" i="1"/>
  <c r="A24192" i="1"/>
  <c r="B24192" i="1"/>
  <c r="A24193" i="1"/>
  <c r="B24193" i="1"/>
  <c r="A24194" i="1"/>
  <c r="B24194" i="1"/>
  <c r="A24195" i="1"/>
  <c r="B24195" i="1"/>
  <c r="A24196" i="1"/>
  <c r="B24196" i="1"/>
  <c r="A24197" i="1"/>
  <c r="B24197" i="1"/>
  <c r="A24198" i="1"/>
  <c r="B24198" i="1"/>
  <c r="A24199" i="1"/>
  <c r="B24199" i="1"/>
  <c r="A24200" i="1"/>
  <c r="B24200" i="1"/>
  <c r="A24201" i="1"/>
  <c r="B24201" i="1"/>
  <c r="A24202" i="1"/>
  <c r="B24202" i="1"/>
  <c r="A24203" i="1"/>
  <c r="B24203" i="1"/>
  <c r="A24204" i="1"/>
  <c r="B24204" i="1"/>
  <c r="A24205" i="1"/>
  <c r="B24205" i="1"/>
  <c r="A24206" i="1"/>
  <c r="B24206" i="1"/>
  <c r="A24207" i="1"/>
  <c r="B24207" i="1"/>
  <c r="A24208" i="1"/>
  <c r="B24208" i="1"/>
  <c r="A24209" i="1"/>
  <c r="B24209" i="1"/>
  <c r="A24210" i="1"/>
  <c r="B24210" i="1"/>
  <c r="A24211" i="1"/>
  <c r="B24211" i="1"/>
  <c r="A24212" i="1"/>
  <c r="B24212" i="1"/>
  <c r="A24213" i="1"/>
  <c r="B24213" i="1"/>
  <c r="A24214" i="1"/>
  <c r="B24214" i="1"/>
  <c r="A24215" i="1"/>
  <c r="B24215" i="1"/>
  <c r="A24216" i="1"/>
  <c r="B24216" i="1"/>
  <c r="A24217" i="1"/>
  <c r="B24217" i="1"/>
  <c r="A24218" i="1"/>
  <c r="B24218" i="1"/>
  <c r="A24219" i="1"/>
  <c r="B24219" i="1"/>
  <c r="A24220" i="1"/>
  <c r="B24220" i="1"/>
  <c r="A24221" i="1"/>
  <c r="B24221" i="1"/>
  <c r="A24222" i="1"/>
  <c r="B24222" i="1"/>
  <c r="A24223" i="1"/>
  <c r="B24223" i="1"/>
  <c r="A24224" i="1"/>
  <c r="B24224" i="1"/>
  <c r="A24225" i="1"/>
  <c r="B24225" i="1"/>
  <c r="A24226" i="1"/>
  <c r="B24226" i="1"/>
  <c r="A24227" i="1"/>
  <c r="B24227" i="1"/>
  <c r="A24228" i="1"/>
  <c r="B24228" i="1"/>
  <c r="A24229" i="1"/>
  <c r="B24229" i="1"/>
  <c r="A24230" i="1"/>
  <c r="B24230" i="1"/>
  <c r="A24231" i="1"/>
  <c r="B24231" i="1"/>
  <c r="A24232" i="1"/>
  <c r="B24232" i="1"/>
  <c r="A24233" i="1"/>
  <c r="B24233" i="1"/>
  <c r="A24234" i="1"/>
  <c r="B24234" i="1"/>
  <c r="A24235" i="1"/>
  <c r="B24235" i="1"/>
  <c r="A24236" i="1"/>
  <c r="B24236" i="1"/>
  <c r="A24237" i="1"/>
  <c r="B24237" i="1"/>
  <c r="A24238" i="1"/>
  <c r="B24238" i="1"/>
  <c r="A24239" i="1"/>
  <c r="B24239" i="1"/>
  <c r="A24240" i="1"/>
  <c r="B24240" i="1"/>
  <c r="A24241" i="1"/>
  <c r="B24241" i="1"/>
  <c r="A24242" i="1"/>
  <c r="B24242" i="1"/>
  <c r="A24243" i="1"/>
  <c r="B24243" i="1"/>
  <c r="A24244" i="1"/>
  <c r="B24244" i="1"/>
  <c r="A24245" i="1"/>
  <c r="B24245" i="1"/>
  <c r="A24246" i="1"/>
  <c r="B24246" i="1"/>
  <c r="A24247" i="1"/>
  <c r="B24247" i="1"/>
  <c r="A24248" i="1"/>
  <c r="B24248" i="1"/>
  <c r="A24249" i="1"/>
  <c r="B24249" i="1"/>
  <c r="A24250" i="1"/>
  <c r="B24250" i="1"/>
  <c r="A24251" i="1"/>
  <c r="B24251" i="1"/>
  <c r="A24252" i="1"/>
  <c r="B24252" i="1"/>
  <c r="A24253" i="1"/>
  <c r="B24253" i="1"/>
  <c r="A24254" i="1"/>
  <c r="B24254" i="1"/>
  <c r="A24255" i="1"/>
  <c r="B24255" i="1"/>
  <c r="A24256" i="1"/>
  <c r="B24256" i="1"/>
  <c r="A24257" i="1"/>
  <c r="B24257" i="1"/>
  <c r="A24258" i="1"/>
  <c r="B24258" i="1"/>
  <c r="A24259" i="1"/>
  <c r="B24259" i="1"/>
  <c r="A24260" i="1"/>
  <c r="B24260" i="1"/>
  <c r="A24261" i="1"/>
  <c r="B24261" i="1"/>
  <c r="A24262" i="1"/>
  <c r="B24262" i="1"/>
  <c r="A24263" i="1"/>
  <c r="B24263" i="1"/>
  <c r="A24264" i="1"/>
  <c r="B24264" i="1"/>
  <c r="A24265" i="1"/>
  <c r="B24265" i="1"/>
  <c r="A24266" i="1"/>
  <c r="B24266" i="1"/>
  <c r="A24267" i="1"/>
  <c r="B24267" i="1"/>
  <c r="A24268" i="1"/>
  <c r="B24268" i="1"/>
  <c r="A24269" i="1"/>
  <c r="B24269" i="1"/>
  <c r="A24270" i="1"/>
  <c r="B24270" i="1"/>
  <c r="A24271" i="1"/>
  <c r="B24271" i="1"/>
  <c r="A24272" i="1"/>
  <c r="B24272" i="1"/>
  <c r="A24273" i="1"/>
  <c r="B24273" i="1"/>
  <c r="A24274" i="1"/>
  <c r="B24274" i="1"/>
  <c r="A24275" i="1"/>
  <c r="B24275" i="1"/>
  <c r="A24276" i="1"/>
  <c r="B24276" i="1"/>
  <c r="A24277" i="1"/>
  <c r="B24277" i="1"/>
  <c r="A24278" i="1"/>
  <c r="B24278" i="1"/>
  <c r="A24279" i="1"/>
  <c r="B24279" i="1"/>
  <c r="A24280" i="1"/>
  <c r="B24280" i="1"/>
  <c r="A24281" i="1"/>
  <c r="B24281" i="1"/>
  <c r="A24282" i="1"/>
  <c r="B24282" i="1"/>
  <c r="A24283" i="1"/>
  <c r="B24283" i="1"/>
  <c r="A24284" i="1"/>
  <c r="B24284" i="1"/>
  <c r="A24285" i="1"/>
  <c r="B24285" i="1"/>
  <c r="A24286" i="1"/>
  <c r="B24286" i="1"/>
  <c r="A24287" i="1"/>
  <c r="B24287" i="1"/>
  <c r="A24288" i="1"/>
  <c r="B24288" i="1"/>
  <c r="A24289" i="1"/>
  <c r="B24289" i="1"/>
  <c r="A24290" i="1"/>
  <c r="B24290" i="1"/>
  <c r="A24291" i="1"/>
  <c r="B24291" i="1"/>
  <c r="A24292" i="1"/>
  <c r="B24292" i="1"/>
  <c r="A24293" i="1"/>
  <c r="B24293" i="1"/>
  <c r="A24294" i="1"/>
  <c r="B24294" i="1"/>
  <c r="A24295" i="1"/>
  <c r="B24295" i="1"/>
  <c r="A24296" i="1"/>
  <c r="B24296" i="1"/>
  <c r="A24297" i="1"/>
  <c r="B24297" i="1"/>
  <c r="A24298" i="1"/>
  <c r="B24298" i="1"/>
  <c r="A24299" i="1"/>
  <c r="B24299" i="1"/>
  <c r="A24300" i="1"/>
  <c r="B24300" i="1"/>
  <c r="A24301" i="1"/>
  <c r="B24301" i="1"/>
  <c r="A24302" i="1"/>
  <c r="B24302" i="1"/>
  <c r="A24303" i="1"/>
  <c r="B24303" i="1"/>
  <c r="A24304" i="1"/>
  <c r="B24304" i="1"/>
  <c r="A24305" i="1"/>
  <c r="B24305" i="1"/>
  <c r="A24306" i="1"/>
  <c r="B24306" i="1"/>
  <c r="A24307" i="1"/>
  <c r="B24307" i="1"/>
  <c r="A24308" i="1"/>
  <c r="B24308" i="1"/>
  <c r="A24309" i="1"/>
  <c r="B24309" i="1"/>
  <c r="A24310" i="1"/>
  <c r="B24310" i="1"/>
  <c r="A24311" i="1"/>
  <c r="B24311" i="1"/>
  <c r="A24312" i="1"/>
  <c r="B24312" i="1"/>
  <c r="A24313" i="1"/>
  <c r="B24313" i="1"/>
  <c r="A24314" i="1"/>
  <c r="B24314" i="1"/>
  <c r="A24315" i="1"/>
  <c r="B24315" i="1"/>
  <c r="A24316" i="1"/>
  <c r="B24316" i="1"/>
  <c r="A24317" i="1"/>
  <c r="B24317" i="1"/>
  <c r="A24318" i="1"/>
  <c r="B24318" i="1"/>
  <c r="A24319" i="1"/>
  <c r="B24319" i="1"/>
  <c r="A24320" i="1"/>
  <c r="B24320" i="1"/>
  <c r="A24321" i="1"/>
  <c r="B24321" i="1"/>
  <c r="A24322" i="1"/>
  <c r="B24322" i="1"/>
  <c r="A24323" i="1"/>
  <c r="B24323" i="1"/>
  <c r="A24324" i="1"/>
  <c r="B24324" i="1"/>
  <c r="A24325" i="1"/>
  <c r="B24325" i="1"/>
  <c r="A24326" i="1"/>
  <c r="B24326" i="1"/>
  <c r="A24327" i="1"/>
  <c r="B24327" i="1"/>
  <c r="A24328" i="1"/>
  <c r="B24328" i="1"/>
  <c r="A24329" i="1"/>
  <c r="B24329" i="1"/>
  <c r="A24330" i="1"/>
  <c r="B24330" i="1"/>
  <c r="A24331" i="1"/>
  <c r="B24331" i="1"/>
  <c r="A24332" i="1"/>
  <c r="B24332" i="1"/>
  <c r="A24333" i="1"/>
  <c r="B24333" i="1"/>
  <c r="A24334" i="1"/>
  <c r="B24334" i="1"/>
  <c r="A24335" i="1"/>
  <c r="B24335" i="1"/>
  <c r="A24336" i="1"/>
  <c r="B24336" i="1"/>
  <c r="A24337" i="1"/>
  <c r="B24337" i="1"/>
  <c r="A24338" i="1"/>
  <c r="B24338" i="1"/>
  <c r="A24339" i="1"/>
  <c r="B24339" i="1"/>
  <c r="A24340" i="1"/>
  <c r="B24340" i="1"/>
  <c r="A24341" i="1"/>
  <c r="B24341" i="1"/>
  <c r="A24342" i="1"/>
  <c r="B24342" i="1"/>
  <c r="A24343" i="1"/>
  <c r="B24343" i="1"/>
  <c r="A24344" i="1"/>
  <c r="B24344" i="1"/>
  <c r="A24345" i="1"/>
  <c r="B24345" i="1"/>
  <c r="A24346" i="1"/>
  <c r="B24346" i="1"/>
  <c r="A24347" i="1"/>
  <c r="B24347" i="1"/>
  <c r="A24348" i="1"/>
  <c r="B24348" i="1"/>
  <c r="A24349" i="1"/>
  <c r="B24349" i="1"/>
  <c r="A24350" i="1"/>
  <c r="B24350" i="1"/>
  <c r="A24351" i="1"/>
  <c r="B24351" i="1"/>
  <c r="A24352" i="1"/>
  <c r="B24352" i="1"/>
  <c r="A24353" i="1"/>
  <c r="B24353" i="1"/>
  <c r="A24354" i="1"/>
  <c r="B24354" i="1"/>
  <c r="A24355" i="1"/>
  <c r="B24355" i="1"/>
  <c r="A24356" i="1"/>
  <c r="B24356" i="1"/>
  <c r="A24357" i="1"/>
  <c r="B24357" i="1"/>
  <c r="A24358" i="1"/>
  <c r="B24358" i="1"/>
  <c r="A24359" i="1"/>
  <c r="B24359" i="1"/>
  <c r="A24360" i="1"/>
  <c r="B24360" i="1"/>
  <c r="A24361" i="1"/>
  <c r="B24361" i="1"/>
  <c r="A24362" i="1"/>
  <c r="B24362" i="1"/>
  <c r="A24363" i="1"/>
  <c r="B24363" i="1"/>
  <c r="A24364" i="1"/>
  <c r="B24364" i="1"/>
  <c r="A24365" i="1"/>
  <c r="B24365" i="1"/>
  <c r="A24366" i="1"/>
  <c r="B24366" i="1"/>
  <c r="A24367" i="1"/>
  <c r="B24367" i="1"/>
  <c r="A24368" i="1"/>
  <c r="B24368" i="1"/>
  <c r="A24369" i="1"/>
  <c r="B24369" i="1"/>
  <c r="A24370" i="1"/>
  <c r="B24370" i="1"/>
  <c r="A24371" i="1"/>
  <c r="B24371" i="1"/>
  <c r="A24372" i="1"/>
  <c r="B24372" i="1"/>
  <c r="A24373" i="1"/>
  <c r="B24373" i="1"/>
  <c r="A24374" i="1"/>
  <c r="B24374" i="1"/>
  <c r="A24375" i="1"/>
  <c r="B24375" i="1"/>
  <c r="A24376" i="1"/>
  <c r="B24376" i="1"/>
  <c r="A24377" i="1"/>
  <c r="B24377" i="1"/>
  <c r="A24378" i="1"/>
  <c r="B24378" i="1"/>
  <c r="A24379" i="1"/>
  <c r="B24379" i="1"/>
  <c r="A24380" i="1"/>
  <c r="B24380" i="1"/>
  <c r="A24381" i="1"/>
  <c r="B24381" i="1"/>
  <c r="A24382" i="1"/>
  <c r="B24382" i="1"/>
  <c r="A24383" i="1"/>
  <c r="B24383" i="1"/>
  <c r="A24384" i="1"/>
  <c r="B24384" i="1"/>
  <c r="A24385" i="1"/>
  <c r="B24385" i="1"/>
  <c r="A24386" i="1"/>
  <c r="B24386" i="1"/>
  <c r="A24387" i="1"/>
  <c r="B24387" i="1"/>
  <c r="A24388" i="1"/>
  <c r="B24388" i="1"/>
  <c r="A24389" i="1"/>
  <c r="B24389" i="1"/>
  <c r="A24390" i="1"/>
  <c r="B24390" i="1"/>
  <c r="A24391" i="1"/>
  <c r="B24391" i="1"/>
  <c r="A24392" i="1"/>
  <c r="B24392" i="1"/>
  <c r="A24393" i="1"/>
  <c r="B24393" i="1"/>
  <c r="A24394" i="1"/>
  <c r="B24394" i="1"/>
  <c r="A24395" i="1"/>
  <c r="B24395" i="1"/>
  <c r="A24396" i="1"/>
  <c r="B24396" i="1"/>
  <c r="A24397" i="1"/>
  <c r="B24397" i="1"/>
  <c r="A24398" i="1"/>
  <c r="B24398" i="1"/>
  <c r="A24399" i="1"/>
  <c r="B24399" i="1"/>
  <c r="A24400" i="1"/>
  <c r="B24400" i="1"/>
  <c r="A24401" i="1"/>
  <c r="B24401" i="1"/>
  <c r="A24402" i="1"/>
  <c r="B24402" i="1"/>
  <c r="A24403" i="1"/>
  <c r="B24403" i="1"/>
  <c r="A24404" i="1"/>
  <c r="B24404" i="1"/>
  <c r="A24405" i="1"/>
  <c r="B24405" i="1"/>
  <c r="A24406" i="1"/>
  <c r="B24406" i="1"/>
  <c r="A24407" i="1"/>
  <c r="B24407" i="1"/>
  <c r="A24408" i="1"/>
  <c r="B24408" i="1"/>
  <c r="A24409" i="1"/>
  <c r="B24409" i="1"/>
  <c r="A24410" i="1"/>
  <c r="B24410" i="1"/>
  <c r="A24411" i="1"/>
  <c r="B24411" i="1"/>
  <c r="A24412" i="1"/>
  <c r="B24412" i="1"/>
  <c r="A24413" i="1"/>
  <c r="B24413" i="1"/>
  <c r="A24414" i="1"/>
  <c r="B24414" i="1"/>
  <c r="A24415" i="1"/>
  <c r="B24415" i="1"/>
  <c r="A24416" i="1"/>
  <c r="B24416" i="1"/>
  <c r="A24417" i="1"/>
  <c r="B24417" i="1"/>
  <c r="A24418" i="1"/>
  <c r="B24418" i="1"/>
  <c r="A24419" i="1"/>
  <c r="B24419" i="1"/>
  <c r="A24420" i="1"/>
  <c r="B24420" i="1"/>
  <c r="A24421" i="1"/>
  <c r="B24421" i="1"/>
  <c r="A24422" i="1"/>
  <c r="B24422" i="1"/>
  <c r="A24423" i="1"/>
  <c r="B24423" i="1"/>
  <c r="A24424" i="1"/>
  <c r="B24424" i="1"/>
  <c r="A24425" i="1"/>
  <c r="B24425" i="1"/>
  <c r="A24426" i="1"/>
  <c r="B24426" i="1"/>
  <c r="A24427" i="1"/>
  <c r="B24427" i="1"/>
  <c r="A24428" i="1"/>
  <c r="B24428" i="1"/>
  <c r="A24429" i="1"/>
  <c r="B24429" i="1"/>
  <c r="A24430" i="1"/>
  <c r="B24430" i="1"/>
  <c r="A24431" i="1"/>
  <c r="B24431" i="1"/>
  <c r="A24432" i="1"/>
  <c r="B24432" i="1"/>
  <c r="A24433" i="1"/>
  <c r="B24433" i="1"/>
  <c r="A24434" i="1"/>
  <c r="B24434" i="1"/>
  <c r="A24435" i="1"/>
  <c r="B24435" i="1"/>
  <c r="A24436" i="1"/>
  <c r="B24436" i="1"/>
  <c r="A24437" i="1"/>
  <c r="B24437" i="1"/>
  <c r="A24438" i="1"/>
  <c r="B24438" i="1"/>
  <c r="A24439" i="1"/>
  <c r="B24439" i="1"/>
  <c r="A24440" i="1"/>
  <c r="B24440" i="1"/>
  <c r="A24441" i="1"/>
  <c r="B24441" i="1"/>
  <c r="A24442" i="1"/>
  <c r="B24442" i="1"/>
  <c r="A24443" i="1"/>
  <c r="B24443" i="1"/>
  <c r="A24444" i="1"/>
  <c r="B24444" i="1"/>
  <c r="A24445" i="1"/>
  <c r="B24445" i="1"/>
  <c r="A24446" i="1"/>
  <c r="B24446" i="1"/>
  <c r="A24447" i="1"/>
  <c r="B24447" i="1"/>
  <c r="A24448" i="1"/>
  <c r="B24448" i="1"/>
  <c r="A24449" i="1"/>
  <c r="B24449" i="1"/>
  <c r="A24450" i="1"/>
  <c r="B24450" i="1"/>
  <c r="A24451" i="1"/>
  <c r="B24451" i="1"/>
  <c r="A24452" i="1"/>
  <c r="B24452" i="1"/>
  <c r="A24453" i="1"/>
  <c r="B24453" i="1"/>
  <c r="A24454" i="1"/>
  <c r="B24454" i="1"/>
  <c r="A24455" i="1"/>
  <c r="B24455" i="1"/>
  <c r="A24456" i="1"/>
  <c r="B24456" i="1"/>
  <c r="A24457" i="1"/>
  <c r="B24457" i="1"/>
  <c r="A24458" i="1"/>
  <c r="B24458" i="1"/>
  <c r="A24459" i="1"/>
  <c r="B24459" i="1"/>
  <c r="A24460" i="1"/>
  <c r="B24460" i="1"/>
  <c r="A24461" i="1"/>
  <c r="B24461" i="1"/>
  <c r="A24462" i="1"/>
  <c r="B24462" i="1"/>
  <c r="A24463" i="1"/>
  <c r="B24463" i="1"/>
  <c r="A24464" i="1"/>
  <c r="B24464" i="1"/>
  <c r="A24465" i="1"/>
  <c r="B24465" i="1"/>
  <c r="A24466" i="1"/>
  <c r="B24466" i="1"/>
  <c r="A24467" i="1"/>
  <c r="B24467" i="1"/>
  <c r="A24468" i="1"/>
  <c r="B24468" i="1"/>
  <c r="A24469" i="1"/>
  <c r="B24469" i="1"/>
  <c r="A24470" i="1"/>
  <c r="B24470" i="1"/>
  <c r="A24471" i="1"/>
  <c r="B24471" i="1"/>
  <c r="A24472" i="1"/>
  <c r="B24472" i="1"/>
  <c r="A24473" i="1"/>
  <c r="B24473" i="1"/>
  <c r="A24474" i="1"/>
  <c r="B24474" i="1"/>
  <c r="A24475" i="1"/>
  <c r="B24475" i="1"/>
  <c r="A24476" i="1"/>
  <c r="B24476" i="1"/>
  <c r="A24477" i="1"/>
  <c r="B24477" i="1"/>
  <c r="A24478" i="1"/>
  <c r="B24478" i="1"/>
  <c r="A24479" i="1"/>
  <c r="B24479" i="1"/>
  <c r="A24480" i="1"/>
  <c r="B24480" i="1"/>
  <c r="A24481" i="1"/>
  <c r="B24481" i="1"/>
  <c r="A24482" i="1"/>
  <c r="B24482" i="1"/>
  <c r="A24483" i="1"/>
  <c r="B24483" i="1"/>
  <c r="A24484" i="1"/>
  <c r="B24484" i="1"/>
  <c r="A24485" i="1"/>
  <c r="B24485" i="1"/>
  <c r="A24486" i="1"/>
  <c r="B24486" i="1"/>
  <c r="A24487" i="1"/>
  <c r="B24487" i="1"/>
  <c r="A24488" i="1"/>
  <c r="B24488" i="1"/>
  <c r="A24489" i="1"/>
  <c r="B24489" i="1"/>
  <c r="A24490" i="1"/>
  <c r="B24490" i="1"/>
  <c r="A24491" i="1"/>
  <c r="B24491" i="1"/>
  <c r="A24492" i="1"/>
  <c r="B24492" i="1"/>
  <c r="A24493" i="1"/>
  <c r="B24493" i="1"/>
  <c r="A24494" i="1"/>
  <c r="B24494" i="1"/>
  <c r="A24495" i="1"/>
  <c r="B24495" i="1"/>
  <c r="A24496" i="1"/>
  <c r="B24496" i="1"/>
  <c r="A24497" i="1"/>
  <c r="B24497" i="1"/>
  <c r="A24498" i="1"/>
  <c r="B24498" i="1"/>
  <c r="A24499" i="1"/>
  <c r="B24499" i="1"/>
  <c r="A24500" i="1"/>
  <c r="B24500" i="1"/>
  <c r="A24501" i="1"/>
  <c r="B24501" i="1"/>
  <c r="A24502" i="1"/>
  <c r="B24502" i="1"/>
  <c r="A24503" i="1"/>
  <c r="B24503" i="1"/>
  <c r="A24504" i="1"/>
  <c r="B24504" i="1"/>
  <c r="A24505" i="1"/>
  <c r="B24505" i="1"/>
  <c r="A24506" i="1"/>
  <c r="B24506" i="1"/>
  <c r="A24507" i="1"/>
  <c r="B24507" i="1"/>
  <c r="A24508" i="1"/>
  <c r="B24508" i="1"/>
  <c r="A24509" i="1"/>
  <c r="B24509" i="1"/>
  <c r="A24510" i="1"/>
  <c r="B24510" i="1"/>
  <c r="A24511" i="1"/>
  <c r="B24511" i="1"/>
  <c r="A24512" i="1"/>
  <c r="B24512" i="1"/>
  <c r="A24513" i="1"/>
  <c r="B24513" i="1"/>
  <c r="A24514" i="1"/>
  <c r="B24514" i="1"/>
  <c r="A24515" i="1"/>
  <c r="B24515" i="1"/>
  <c r="A24516" i="1"/>
  <c r="B24516" i="1"/>
  <c r="A24517" i="1"/>
  <c r="B24517" i="1"/>
  <c r="A24518" i="1"/>
  <c r="B24518" i="1"/>
  <c r="A24519" i="1"/>
  <c r="B24519" i="1"/>
  <c r="A24520" i="1"/>
  <c r="B24520" i="1"/>
  <c r="A24521" i="1"/>
  <c r="B24521" i="1"/>
  <c r="A24522" i="1"/>
  <c r="B24522" i="1"/>
  <c r="A24523" i="1"/>
  <c r="B24523" i="1"/>
  <c r="A24524" i="1"/>
  <c r="B24524" i="1"/>
  <c r="A24525" i="1"/>
  <c r="B24525" i="1"/>
  <c r="A24526" i="1"/>
  <c r="B24526" i="1"/>
  <c r="A24527" i="1"/>
  <c r="B24527" i="1"/>
  <c r="A24528" i="1"/>
  <c r="B24528" i="1"/>
  <c r="A24529" i="1"/>
  <c r="B24529" i="1"/>
  <c r="A24530" i="1"/>
  <c r="B24530" i="1"/>
  <c r="A24531" i="1"/>
  <c r="B24531" i="1"/>
  <c r="A24532" i="1"/>
  <c r="B24532" i="1"/>
  <c r="A24533" i="1"/>
  <c r="B24533" i="1"/>
  <c r="A24534" i="1"/>
  <c r="B24534" i="1"/>
  <c r="A24535" i="1"/>
  <c r="B24535" i="1"/>
  <c r="A24536" i="1"/>
  <c r="B24536" i="1"/>
  <c r="A24537" i="1"/>
  <c r="B24537" i="1"/>
  <c r="A24538" i="1"/>
  <c r="B24538" i="1"/>
  <c r="A24539" i="1"/>
  <c r="B24539" i="1"/>
  <c r="A24540" i="1"/>
  <c r="B24540" i="1"/>
  <c r="A24541" i="1"/>
  <c r="B24541" i="1"/>
  <c r="A24542" i="1"/>
  <c r="B24542" i="1"/>
  <c r="A24543" i="1"/>
  <c r="B24543" i="1"/>
  <c r="A24544" i="1"/>
  <c r="B24544" i="1"/>
  <c r="A24545" i="1"/>
  <c r="B24545" i="1"/>
  <c r="A24546" i="1"/>
  <c r="B24546" i="1"/>
  <c r="A24547" i="1"/>
  <c r="B24547" i="1"/>
  <c r="A24548" i="1"/>
  <c r="B24548" i="1"/>
  <c r="A24549" i="1"/>
  <c r="B24549" i="1"/>
  <c r="A24550" i="1"/>
  <c r="B24550" i="1"/>
  <c r="A24551" i="1"/>
  <c r="B24551" i="1"/>
  <c r="A24552" i="1"/>
  <c r="B24552" i="1"/>
  <c r="A24553" i="1"/>
  <c r="B24553" i="1"/>
  <c r="A24554" i="1"/>
  <c r="B24554" i="1"/>
  <c r="A24555" i="1"/>
  <c r="B24555" i="1"/>
  <c r="A24556" i="1"/>
  <c r="B24556" i="1"/>
  <c r="A24557" i="1"/>
  <c r="B24557" i="1"/>
  <c r="A24558" i="1"/>
  <c r="B24558" i="1"/>
  <c r="A24559" i="1"/>
  <c r="B24559" i="1"/>
  <c r="A24560" i="1"/>
  <c r="B24560" i="1"/>
  <c r="A24561" i="1"/>
  <c r="B24561" i="1"/>
  <c r="A24562" i="1"/>
  <c r="B24562" i="1"/>
  <c r="A24563" i="1"/>
  <c r="B24563" i="1"/>
  <c r="A24564" i="1"/>
  <c r="B24564" i="1"/>
  <c r="A24565" i="1"/>
  <c r="B24565" i="1"/>
  <c r="A24566" i="1"/>
  <c r="B24566" i="1"/>
  <c r="A24567" i="1"/>
  <c r="B24567" i="1"/>
  <c r="A24568" i="1"/>
  <c r="B24568" i="1"/>
  <c r="A24569" i="1"/>
  <c r="B24569" i="1"/>
  <c r="A24570" i="1"/>
  <c r="B24570" i="1"/>
  <c r="A24571" i="1"/>
  <c r="B24571" i="1"/>
  <c r="A24572" i="1"/>
  <c r="B24572" i="1"/>
  <c r="A24573" i="1"/>
  <c r="B24573" i="1"/>
  <c r="A24574" i="1"/>
  <c r="B24574" i="1"/>
  <c r="A24575" i="1"/>
  <c r="B24575" i="1"/>
  <c r="A24576" i="1"/>
  <c r="B24576" i="1"/>
  <c r="A24577" i="1"/>
  <c r="B24577" i="1"/>
  <c r="A24578" i="1"/>
  <c r="B24578" i="1"/>
  <c r="A24579" i="1"/>
  <c r="B24579" i="1"/>
  <c r="A24580" i="1"/>
  <c r="B24580" i="1"/>
  <c r="A24581" i="1"/>
  <c r="B24581" i="1"/>
  <c r="A24582" i="1"/>
  <c r="B24582" i="1"/>
  <c r="A24583" i="1"/>
  <c r="B24583" i="1"/>
  <c r="A24584" i="1"/>
  <c r="B24584" i="1"/>
  <c r="A24585" i="1"/>
  <c r="B24585" i="1"/>
  <c r="A24586" i="1"/>
  <c r="B24586" i="1"/>
  <c r="A24587" i="1"/>
  <c r="B24587" i="1"/>
  <c r="A24588" i="1"/>
  <c r="B24588" i="1"/>
  <c r="A24589" i="1"/>
  <c r="B24589" i="1"/>
  <c r="A24590" i="1"/>
  <c r="B24590" i="1"/>
  <c r="A24591" i="1"/>
  <c r="B24591" i="1"/>
  <c r="A24592" i="1"/>
  <c r="B24592" i="1"/>
  <c r="A24593" i="1"/>
  <c r="B24593" i="1"/>
  <c r="A24594" i="1"/>
  <c r="B24594" i="1"/>
  <c r="A24595" i="1"/>
  <c r="B24595" i="1"/>
  <c r="A24596" i="1"/>
  <c r="B24596" i="1"/>
  <c r="A24597" i="1"/>
  <c r="B24597" i="1"/>
  <c r="A24598" i="1"/>
  <c r="B24598" i="1"/>
  <c r="A24599" i="1"/>
  <c r="B24599" i="1"/>
  <c r="A24600" i="1"/>
  <c r="B24600" i="1"/>
  <c r="A24601" i="1"/>
  <c r="B24601" i="1"/>
  <c r="A24602" i="1"/>
  <c r="B24602" i="1"/>
  <c r="A24603" i="1"/>
  <c r="B24603" i="1"/>
  <c r="A24604" i="1"/>
  <c r="B24604" i="1"/>
  <c r="A24605" i="1"/>
  <c r="B24605" i="1"/>
  <c r="A24606" i="1"/>
  <c r="B24606" i="1"/>
  <c r="A24607" i="1"/>
  <c r="B24607" i="1"/>
  <c r="A24608" i="1"/>
  <c r="B24608" i="1"/>
  <c r="A24609" i="1"/>
  <c r="B24609" i="1"/>
  <c r="A24610" i="1"/>
  <c r="B24610" i="1"/>
  <c r="A24611" i="1"/>
  <c r="B24611" i="1"/>
  <c r="A24612" i="1"/>
  <c r="B24612" i="1"/>
  <c r="A24613" i="1"/>
  <c r="B24613" i="1"/>
  <c r="A24614" i="1"/>
  <c r="B24614" i="1"/>
  <c r="A24615" i="1"/>
  <c r="B24615" i="1"/>
  <c r="A24616" i="1"/>
  <c r="B24616" i="1"/>
  <c r="A24617" i="1"/>
  <c r="B24617" i="1"/>
  <c r="A24618" i="1"/>
  <c r="B24618" i="1"/>
  <c r="A24619" i="1"/>
  <c r="B24619" i="1"/>
  <c r="A24620" i="1"/>
  <c r="B24620" i="1"/>
  <c r="A24621" i="1"/>
  <c r="B24621" i="1"/>
  <c r="A24622" i="1"/>
  <c r="B24622" i="1"/>
  <c r="A24623" i="1"/>
  <c r="B24623" i="1"/>
  <c r="A24624" i="1"/>
  <c r="B24624" i="1"/>
  <c r="A24625" i="1"/>
  <c r="B24625" i="1"/>
  <c r="A24626" i="1"/>
  <c r="B24626" i="1"/>
  <c r="A24627" i="1"/>
  <c r="B24627" i="1"/>
  <c r="A24628" i="1"/>
  <c r="B24628" i="1"/>
  <c r="A24629" i="1"/>
  <c r="B24629" i="1"/>
  <c r="A24630" i="1"/>
  <c r="B24630" i="1"/>
  <c r="A24631" i="1"/>
  <c r="B24631" i="1"/>
  <c r="A24632" i="1"/>
  <c r="B24632" i="1"/>
  <c r="A24633" i="1"/>
  <c r="B24633" i="1"/>
  <c r="A24634" i="1"/>
  <c r="B24634" i="1"/>
  <c r="A24635" i="1"/>
  <c r="B24635" i="1"/>
  <c r="A24636" i="1"/>
  <c r="B24636" i="1"/>
  <c r="A24637" i="1"/>
  <c r="B24637" i="1"/>
  <c r="A24638" i="1"/>
  <c r="B24638" i="1"/>
  <c r="A24639" i="1"/>
  <c r="B24639" i="1"/>
  <c r="A24640" i="1"/>
  <c r="B24640" i="1"/>
  <c r="A24641" i="1"/>
  <c r="B24641" i="1"/>
  <c r="A24642" i="1"/>
  <c r="B24642" i="1"/>
  <c r="A24643" i="1"/>
  <c r="B24643" i="1"/>
  <c r="A24644" i="1"/>
  <c r="B24644" i="1"/>
  <c r="A24645" i="1"/>
  <c r="B24645" i="1"/>
  <c r="A24646" i="1"/>
  <c r="B24646" i="1"/>
  <c r="A24647" i="1"/>
  <c r="B24647" i="1"/>
  <c r="A24648" i="1"/>
  <c r="B24648" i="1"/>
  <c r="A24649" i="1"/>
  <c r="B24649" i="1"/>
  <c r="A24650" i="1"/>
  <c r="B24650" i="1"/>
  <c r="A24651" i="1"/>
  <c r="B24651" i="1"/>
  <c r="A24652" i="1"/>
  <c r="B24652" i="1"/>
  <c r="A24653" i="1"/>
  <c r="B24653" i="1"/>
  <c r="A24654" i="1"/>
  <c r="B24654" i="1"/>
  <c r="A24655" i="1"/>
  <c r="B24655" i="1"/>
  <c r="A24656" i="1"/>
  <c r="B24656" i="1"/>
  <c r="A24657" i="1"/>
  <c r="B24657" i="1"/>
  <c r="A24658" i="1"/>
  <c r="B24658" i="1"/>
  <c r="A24659" i="1"/>
  <c r="B24659" i="1"/>
  <c r="A24660" i="1"/>
  <c r="B24660" i="1"/>
  <c r="A24661" i="1"/>
  <c r="B24661" i="1"/>
  <c r="A24662" i="1"/>
  <c r="B24662" i="1"/>
  <c r="A24663" i="1"/>
  <c r="B24663" i="1"/>
  <c r="A24664" i="1"/>
  <c r="B24664" i="1"/>
  <c r="A24665" i="1"/>
  <c r="B24665" i="1"/>
  <c r="A24666" i="1"/>
  <c r="B24666" i="1"/>
  <c r="A24667" i="1"/>
  <c r="B24667" i="1"/>
  <c r="A24668" i="1"/>
  <c r="B24668" i="1"/>
  <c r="A24669" i="1"/>
  <c r="B24669" i="1"/>
  <c r="A24670" i="1"/>
  <c r="B24670" i="1"/>
  <c r="A24671" i="1"/>
  <c r="B24671" i="1"/>
  <c r="A24672" i="1"/>
  <c r="B24672" i="1"/>
  <c r="A24673" i="1"/>
  <c r="B24673" i="1"/>
  <c r="A24674" i="1"/>
  <c r="B24674" i="1"/>
  <c r="A24675" i="1"/>
  <c r="B24675" i="1"/>
  <c r="A24676" i="1"/>
  <c r="B24676" i="1"/>
  <c r="A24677" i="1"/>
  <c r="B24677" i="1"/>
  <c r="A24678" i="1"/>
  <c r="B24678" i="1"/>
  <c r="A24679" i="1"/>
  <c r="B24679" i="1"/>
  <c r="A24680" i="1"/>
  <c r="B24680" i="1"/>
  <c r="A24681" i="1"/>
  <c r="B24681" i="1"/>
  <c r="A24682" i="1"/>
  <c r="B24682" i="1"/>
  <c r="A24683" i="1"/>
  <c r="B24683" i="1"/>
  <c r="A24684" i="1"/>
  <c r="B24684" i="1"/>
  <c r="A24685" i="1"/>
  <c r="B24685" i="1"/>
  <c r="A24686" i="1"/>
  <c r="B24686" i="1"/>
  <c r="A24687" i="1"/>
  <c r="B24687" i="1"/>
  <c r="A24688" i="1"/>
  <c r="B24688" i="1"/>
  <c r="A24689" i="1"/>
  <c r="B24689" i="1"/>
  <c r="A24690" i="1"/>
  <c r="B24690" i="1"/>
  <c r="A24691" i="1"/>
  <c r="B24691" i="1"/>
  <c r="A24692" i="1"/>
  <c r="B24692" i="1"/>
  <c r="A24693" i="1"/>
  <c r="B24693" i="1"/>
  <c r="A24694" i="1"/>
  <c r="B24694" i="1"/>
  <c r="A24695" i="1"/>
  <c r="B24695" i="1"/>
  <c r="A24696" i="1"/>
  <c r="B24696" i="1"/>
  <c r="A24697" i="1"/>
  <c r="B24697" i="1"/>
  <c r="A24698" i="1"/>
  <c r="B24698" i="1"/>
  <c r="A24699" i="1"/>
  <c r="B24699" i="1"/>
  <c r="A24700" i="1"/>
  <c r="B24700" i="1"/>
  <c r="A24701" i="1"/>
  <c r="B24701" i="1"/>
  <c r="A24702" i="1"/>
  <c r="B24702" i="1"/>
  <c r="A24703" i="1"/>
  <c r="B24703" i="1"/>
  <c r="A24704" i="1"/>
  <c r="B24704" i="1"/>
  <c r="A24705" i="1"/>
  <c r="B24705" i="1"/>
  <c r="A24706" i="1"/>
  <c r="B24706" i="1"/>
  <c r="A24707" i="1"/>
  <c r="B24707" i="1"/>
  <c r="A24708" i="1"/>
  <c r="B24708" i="1"/>
  <c r="A24709" i="1"/>
  <c r="B24709" i="1"/>
  <c r="A24710" i="1"/>
  <c r="B24710" i="1"/>
  <c r="A24711" i="1"/>
  <c r="B24711" i="1"/>
  <c r="A24712" i="1"/>
  <c r="B24712" i="1"/>
  <c r="A24713" i="1"/>
  <c r="B24713" i="1"/>
  <c r="A24714" i="1"/>
  <c r="B24714" i="1"/>
  <c r="A24715" i="1"/>
  <c r="B24715" i="1"/>
  <c r="A24716" i="1"/>
  <c r="B24716" i="1"/>
  <c r="A24717" i="1"/>
  <c r="B24717" i="1"/>
  <c r="A24718" i="1"/>
  <c r="B24718" i="1"/>
  <c r="A24719" i="1"/>
  <c r="B24719" i="1"/>
  <c r="A24720" i="1"/>
  <c r="B24720" i="1"/>
  <c r="A24721" i="1"/>
  <c r="B24721" i="1"/>
  <c r="A24722" i="1"/>
  <c r="B24722" i="1"/>
  <c r="A24723" i="1"/>
  <c r="B24723" i="1"/>
  <c r="A24724" i="1"/>
  <c r="B24724" i="1"/>
  <c r="A24725" i="1"/>
  <c r="B24725" i="1"/>
  <c r="A24726" i="1"/>
  <c r="B24726" i="1"/>
  <c r="A24727" i="1"/>
  <c r="B24727" i="1"/>
  <c r="A24728" i="1"/>
  <c r="B24728" i="1"/>
  <c r="A24729" i="1"/>
  <c r="B24729" i="1"/>
  <c r="A24730" i="1"/>
  <c r="B24730" i="1"/>
  <c r="A24731" i="1"/>
  <c r="B24731" i="1"/>
  <c r="A24732" i="1"/>
  <c r="B24732" i="1"/>
  <c r="A24733" i="1"/>
  <c r="B24733" i="1"/>
  <c r="A24734" i="1"/>
  <c r="B24734" i="1"/>
  <c r="A24735" i="1"/>
  <c r="B24735" i="1"/>
  <c r="A24736" i="1"/>
  <c r="B24736" i="1"/>
  <c r="A24737" i="1"/>
  <c r="B24737" i="1"/>
  <c r="A24738" i="1"/>
  <c r="B24738" i="1"/>
  <c r="A24739" i="1"/>
  <c r="B24739" i="1"/>
  <c r="A24740" i="1"/>
  <c r="B24740" i="1"/>
  <c r="A24741" i="1"/>
  <c r="B24741" i="1"/>
  <c r="A24742" i="1"/>
  <c r="B24742" i="1"/>
  <c r="A24743" i="1"/>
  <c r="B24743" i="1"/>
  <c r="A24744" i="1"/>
  <c r="B24744" i="1"/>
  <c r="A24745" i="1"/>
  <c r="B24745" i="1"/>
  <c r="A24746" i="1"/>
  <c r="B24746" i="1"/>
  <c r="A24747" i="1"/>
  <c r="B24747" i="1"/>
  <c r="A24748" i="1"/>
  <c r="B24748" i="1"/>
  <c r="A24749" i="1"/>
  <c r="B24749" i="1"/>
  <c r="A24750" i="1"/>
  <c r="B24750" i="1"/>
  <c r="A24751" i="1"/>
  <c r="B24751" i="1"/>
  <c r="A24752" i="1"/>
  <c r="B24752" i="1"/>
  <c r="A24753" i="1"/>
  <c r="B24753" i="1"/>
  <c r="A24754" i="1"/>
  <c r="B24754" i="1"/>
  <c r="A24755" i="1"/>
  <c r="B24755" i="1"/>
  <c r="A24756" i="1"/>
  <c r="B24756" i="1"/>
  <c r="A24757" i="1"/>
  <c r="B24757" i="1"/>
  <c r="A24758" i="1"/>
  <c r="B24758" i="1"/>
  <c r="A24759" i="1"/>
  <c r="B24759" i="1"/>
  <c r="A24760" i="1"/>
  <c r="B24760" i="1"/>
  <c r="A24761" i="1"/>
  <c r="B24761" i="1"/>
  <c r="A24762" i="1"/>
  <c r="B24762" i="1"/>
  <c r="A24763" i="1"/>
  <c r="B24763" i="1"/>
  <c r="A24764" i="1"/>
  <c r="B24764" i="1"/>
  <c r="A24765" i="1"/>
  <c r="B24765" i="1"/>
  <c r="A24766" i="1"/>
  <c r="B24766" i="1"/>
  <c r="A24767" i="1"/>
  <c r="B24767" i="1"/>
  <c r="A24768" i="1"/>
  <c r="B24768" i="1"/>
  <c r="A24769" i="1"/>
  <c r="B24769" i="1"/>
  <c r="A24770" i="1"/>
  <c r="B24770" i="1"/>
  <c r="A24771" i="1"/>
  <c r="B24771" i="1"/>
  <c r="A24772" i="1"/>
  <c r="B24772" i="1"/>
  <c r="A24773" i="1"/>
  <c r="B24773" i="1"/>
  <c r="A24774" i="1"/>
  <c r="B24774" i="1"/>
  <c r="A24775" i="1"/>
  <c r="B24775" i="1"/>
  <c r="A24776" i="1"/>
  <c r="B24776" i="1"/>
  <c r="A24777" i="1"/>
  <c r="B24777" i="1"/>
  <c r="A24778" i="1"/>
  <c r="B24778" i="1"/>
  <c r="A24779" i="1"/>
  <c r="B24779" i="1"/>
  <c r="A24780" i="1"/>
  <c r="B24780" i="1"/>
  <c r="A24781" i="1"/>
  <c r="B24781" i="1"/>
  <c r="A24782" i="1"/>
  <c r="B24782" i="1"/>
  <c r="A24783" i="1"/>
  <c r="B24783" i="1"/>
  <c r="A24784" i="1"/>
  <c r="B24784" i="1"/>
  <c r="A24785" i="1"/>
  <c r="B24785" i="1"/>
  <c r="A24786" i="1"/>
  <c r="B24786" i="1"/>
  <c r="A24787" i="1"/>
  <c r="B24787" i="1"/>
  <c r="A24788" i="1"/>
  <c r="B24788" i="1"/>
  <c r="A24789" i="1"/>
  <c r="B24789" i="1"/>
  <c r="A24790" i="1"/>
  <c r="B24790" i="1"/>
  <c r="A24791" i="1"/>
  <c r="B24791" i="1"/>
  <c r="A24792" i="1"/>
  <c r="B24792" i="1"/>
  <c r="A24793" i="1"/>
  <c r="B24793" i="1"/>
  <c r="A24794" i="1"/>
  <c r="B24794" i="1"/>
  <c r="A24795" i="1"/>
  <c r="B24795" i="1"/>
  <c r="A24796" i="1"/>
  <c r="B24796" i="1"/>
  <c r="A24797" i="1"/>
  <c r="B24797" i="1"/>
  <c r="A24798" i="1"/>
  <c r="B24798" i="1"/>
  <c r="A24799" i="1"/>
  <c r="B24799" i="1"/>
  <c r="A24800" i="1"/>
  <c r="B24800" i="1"/>
  <c r="A24801" i="1"/>
  <c r="B24801" i="1"/>
  <c r="A24802" i="1"/>
  <c r="B24802" i="1"/>
  <c r="A24803" i="1"/>
  <c r="B24803" i="1"/>
  <c r="A24804" i="1"/>
  <c r="B24804" i="1"/>
  <c r="A24805" i="1"/>
  <c r="B24805" i="1"/>
  <c r="A24806" i="1"/>
  <c r="B24806" i="1"/>
  <c r="A24807" i="1"/>
  <c r="B24807" i="1"/>
  <c r="A24808" i="1"/>
  <c r="B24808" i="1"/>
  <c r="A24809" i="1"/>
  <c r="B24809" i="1"/>
  <c r="A24810" i="1"/>
  <c r="B24810" i="1"/>
  <c r="A24811" i="1"/>
  <c r="B24811" i="1"/>
  <c r="A24812" i="1"/>
  <c r="B24812" i="1"/>
  <c r="A24813" i="1"/>
  <c r="B24813" i="1"/>
  <c r="A24814" i="1"/>
  <c r="B24814" i="1"/>
  <c r="A24815" i="1"/>
  <c r="B24815" i="1"/>
  <c r="A24816" i="1"/>
  <c r="B24816" i="1"/>
  <c r="A24817" i="1"/>
  <c r="B24817" i="1"/>
  <c r="A24818" i="1"/>
  <c r="B24818" i="1"/>
  <c r="A24819" i="1"/>
  <c r="B24819" i="1"/>
  <c r="A24820" i="1"/>
  <c r="B24820" i="1"/>
  <c r="A24821" i="1"/>
  <c r="B24821" i="1"/>
  <c r="A24822" i="1"/>
  <c r="B24822" i="1"/>
  <c r="A24823" i="1"/>
  <c r="B24823" i="1"/>
  <c r="A24824" i="1"/>
  <c r="B24824" i="1"/>
  <c r="A24825" i="1"/>
  <c r="B24825" i="1"/>
  <c r="A24826" i="1"/>
  <c r="B24826" i="1"/>
  <c r="A24827" i="1"/>
  <c r="B24827" i="1"/>
  <c r="A24828" i="1"/>
  <c r="B24828" i="1"/>
  <c r="A24829" i="1"/>
  <c r="B24829" i="1"/>
  <c r="A24830" i="1"/>
  <c r="B24830" i="1"/>
  <c r="A24831" i="1"/>
  <c r="B24831" i="1"/>
  <c r="A24832" i="1"/>
  <c r="B24832" i="1"/>
  <c r="A24833" i="1"/>
  <c r="B24833" i="1"/>
  <c r="A24834" i="1"/>
  <c r="B24834" i="1"/>
  <c r="A24835" i="1"/>
  <c r="B24835" i="1"/>
  <c r="A24836" i="1"/>
  <c r="B24836" i="1"/>
  <c r="A24837" i="1"/>
  <c r="B24837" i="1"/>
  <c r="A24838" i="1"/>
  <c r="B24838" i="1"/>
  <c r="A24839" i="1"/>
  <c r="B24839" i="1"/>
  <c r="A24840" i="1"/>
  <c r="B24840" i="1"/>
  <c r="A24841" i="1"/>
  <c r="B24841" i="1"/>
  <c r="A24842" i="1"/>
  <c r="B24842" i="1"/>
  <c r="A24843" i="1"/>
  <c r="B24843" i="1"/>
  <c r="A24844" i="1"/>
  <c r="B24844" i="1"/>
  <c r="A24845" i="1"/>
  <c r="B24845" i="1"/>
  <c r="A24846" i="1"/>
  <c r="B24846" i="1"/>
  <c r="A24847" i="1"/>
  <c r="B24847" i="1"/>
  <c r="A24848" i="1"/>
  <c r="B24848" i="1"/>
  <c r="A24849" i="1"/>
  <c r="B24849" i="1"/>
  <c r="A24850" i="1"/>
  <c r="B24850" i="1"/>
  <c r="A24851" i="1"/>
  <c r="B24851" i="1"/>
  <c r="A24852" i="1"/>
  <c r="B24852" i="1"/>
  <c r="A24853" i="1"/>
  <c r="B24853" i="1"/>
  <c r="A24854" i="1"/>
  <c r="B24854" i="1"/>
  <c r="A24855" i="1"/>
  <c r="B24855" i="1"/>
  <c r="A24856" i="1"/>
  <c r="B24856" i="1"/>
  <c r="A24857" i="1"/>
  <c r="B24857" i="1"/>
  <c r="A24858" i="1"/>
  <c r="B24858" i="1"/>
  <c r="A24859" i="1"/>
  <c r="B24859" i="1"/>
  <c r="A24860" i="1"/>
  <c r="B24860" i="1"/>
  <c r="A24861" i="1"/>
  <c r="B24861" i="1"/>
  <c r="A24862" i="1"/>
  <c r="B24862" i="1"/>
  <c r="A24863" i="1"/>
  <c r="B24863" i="1"/>
  <c r="A24864" i="1"/>
  <c r="B24864" i="1"/>
  <c r="A24865" i="1"/>
  <c r="B24865" i="1"/>
  <c r="A24866" i="1"/>
  <c r="B24866" i="1"/>
  <c r="A24867" i="1"/>
  <c r="B24867" i="1"/>
  <c r="A24868" i="1"/>
  <c r="B24868" i="1"/>
  <c r="A24869" i="1"/>
  <c r="B24869" i="1"/>
  <c r="A24870" i="1"/>
  <c r="B24870" i="1"/>
  <c r="A24871" i="1"/>
  <c r="B24871" i="1"/>
  <c r="A24872" i="1"/>
  <c r="B24872" i="1"/>
  <c r="A24873" i="1"/>
  <c r="B24873" i="1"/>
  <c r="A24874" i="1"/>
  <c r="B24874" i="1"/>
  <c r="A24875" i="1"/>
  <c r="B24875" i="1"/>
  <c r="A24876" i="1"/>
  <c r="B24876" i="1"/>
  <c r="A24877" i="1"/>
  <c r="B24877" i="1"/>
  <c r="A24878" i="1"/>
  <c r="B24878" i="1"/>
  <c r="A24879" i="1"/>
  <c r="B24879" i="1"/>
  <c r="A24880" i="1"/>
  <c r="B24880" i="1"/>
  <c r="A24881" i="1"/>
  <c r="B24881" i="1"/>
  <c r="A24882" i="1"/>
  <c r="B24882" i="1"/>
  <c r="A24883" i="1"/>
  <c r="B24883" i="1"/>
  <c r="A24884" i="1"/>
  <c r="B24884" i="1"/>
  <c r="A24885" i="1"/>
  <c r="B24885" i="1"/>
  <c r="A24886" i="1"/>
  <c r="B24886" i="1"/>
  <c r="A24887" i="1"/>
  <c r="B24887" i="1"/>
  <c r="A24888" i="1"/>
  <c r="B24888" i="1"/>
  <c r="A24889" i="1"/>
  <c r="B24889" i="1"/>
  <c r="A24890" i="1"/>
  <c r="B24890" i="1"/>
  <c r="A24891" i="1"/>
  <c r="B24891" i="1"/>
  <c r="A24892" i="1"/>
  <c r="B24892" i="1"/>
  <c r="A24893" i="1"/>
  <c r="B24893" i="1"/>
  <c r="A24894" i="1"/>
  <c r="B24894" i="1"/>
  <c r="A24895" i="1"/>
  <c r="B24895" i="1"/>
  <c r="A24896" i="1"/>
  <c r="B24896" i="1"/>
  <c r="A24897" i="1"/>
  <c r="B24897" i="1"/>
  <c r="A24898" i="1"/>
  <c r="B24898" i="1"/>
  <c r="A24899" i="1"/>
  <c r="B24899" i="1"/>
  <c r="A24900" i="1"/>
  <c r="B24900" i="1"/>
  <c r="A24901" i="1"/>
  <c r="B24901" i="1"/>
  <c r="A24902" i="1"/>
  <c r="B24902" i="1"/>
  <c r="A24903" i="1"/>
  <c r="B24903" i="1"/>
  <c r="A24904" i="1"/>
  <c r="B24904" i="1"/>
  <c r="A24905" i="1"/>
  <c r="B24905" i="1"/>
  <c r="A24906" i="1"/>
  <c r="B24906" i="1"/>
  <c r="A24907" i="1"/>
  <c r="B24907" i="1"/>
  <c r="A24908" i="1"/>
  <c r="B24908" i="1"/>
  <c r="A24909" i="1"/>
  <c r="B24909" i="1"/>
  <c r="A24910" i="1"/>
  <c r="B24910" i="1"/>
  <c r="A24911" i="1"/>
  <c r="B24911" i="1"/>
  <c r="A24912" i="1"/>
  <c r="B24912" i="1"/>
  <c r="A24913" i="1"/>
  <c r="B24913" i="1"/>
  <c r="A24914" i="1"/>
  <c r="B24914" i="1"/>
  <c r="A24915" i="1"/>
  <c r="B24915" i="1"/>
  <c r="A24916" i="1"/>
  <c r="B24916" i="1"/>
  <c r="A24917" i="1"/>
  <c r="B24917" i="1"/>
  <c r="A24918" i="1"/>
  <c r="B24918" i="1"/>
  <c r="A24919" i="1"/>
  <c r="B24919" i="1"/>
  <c r="A24920" i="1"/>
  <c r="B24920" i="1"/>
  <c r="A24921" i="1"/>
  <c r="B24921" i="1"/>
  <c r="A24922" i="1"/>
  <c r="B24922" i="1"/>
  <c r="A24923" i="1"/>
  <c r="B24923" i="1"/>
  <c r="A24924" i="1"/>
  <c r="B24924" i="1"/>
  <c r="A24925" i="1"/>
  <c r="B24925" i="1"/>
  <c r="A24926" i="1"/>
  <c r="B24926" i="1"/>
  <c r="A24927" i="1"/>
  <c r="B24927" i="1"/>
  <c r="A24928" i="1"/>
  <c r="B24928" i="1"/>
  <c r="A24929" i="1"/>
  <c r="B24929" i="1"/>
  <c r="A24930" i="1"/>
  <c r="B24930" i="1"/>
  <c r="A24931" i="1"/>
  <c r="B24931" i="1"/>
  <c r="A24932" i="1"/>
  <c r="B24932" i="1"/>
  <c r="A24933" i="1"/>
  <c r="B24933" i="1"/>
  <c r="A24934" i="1"/>
  <c r="B24934" i="1"/>
  <c r="A24935" i="1"/>
  <c r="B24935" i="1"/>
  <c r="A24936" i="1"/>
  <c r="B24936" i="1"/>
  <c r="A24937" i="1"/>
  <c r="B24937" i="1"/>
  <c r="A24938" i="1"/>
  <c r="B24938" i="1"/>
  <c r="A24939" i="1"/>
  <c r="B24939" i="1"/>
  <c r="A24940" i="1"/>
  <c r="B24940" i="1"/>
  <c r="A24941" i="1"/>
  <c r="B24941" i="1"/>
  <c r="A24942" i="1"/>
  <c r="B24942" i="1"/>
  <c r="A24943" i="1"/>
  <c r="B24943" i="1"/>
  <c r="A24944" i="1"/>
  <c r="B24944" i="1"/>
  <c r="A24945" i="1"/>
  <c r="B24945" i="1"/>
  <c r="A24946" i="1"/>
  <c r="B24946" i="1"/>
  <c r="A24947" i="1"/>
  <c r="B24947" i="1"/>
  <c r="A24948" i="1"/>
  <c r="B24948" i="1"/>
  <c r="A24949" i="1"/>
  <c r="B24949" i="1"/>
  <c r="A24950" i="1"/>
  <c r="B24950" i="1"/>
  <c r="A24951" i="1"/>
  <c r="B24951" i="1"/>
  <c r="A24952" i="1"/>
  <c r="B24952" i="1"/>
  <c r="A24953" i="1"/>
  <c r="B24953" i="1"/>
  <c r="A24954" i="1"/>
  <c r="B24954" i="1"/>
  <c r="A24955" i="1"/>
  <c r="B24955" i="1"/>
  <c r="A24956" i="1"/>
  <c r="B24956" i="1"/>
  <c r="A24957" i="1"/>
  <c r="B24957" i="1"/>
  <c r="A24958" i="1"/>
  <c r="B24958" i="1"/>
  <c r="A24959" i="1"/>
  <c r="B24959" i="1"/>
  <c r="A24960" i="1"/>
  <c r="B24960" i="1"/>
  <c r="A24961" i="1"/>
  <c r="B24961" i="1"/>
  <c r="A24962" i="1"/>
  <c r="B24962" i="1"/>
  <c r="A24963" i="1"/>
  <c r="B24963" i="1"/>
  <c r="A24964" i="1"/>
  <c r="B24964" i="1"/>
  <c r="A24965" i="1"/>
  <c r="B24965" i="1"/>
  <c r="A24966" i="1"/>
  <c r="B24966" i="1"/>
  <c r="A24967" i="1"/>
  <c r="B24967" i="1"/>
  <c r="A24968" i="1"/>
  <c r="B24968" i="1"/>
  <c r="A24969" i="1"/>
  <c r="B24969" i="1"/>
  <c r="A24970" i="1"/>
  <c r="B24970" i="1"/>
  <c r="A24971" i="1"/>
  <c r="B24971" i="1"/>
  <c r="A24972" i="1"/>
  <c r="B24972" i="1"/>
  <c r="A24973" i="1"/>
  <c r="B24973" i="1"/>
  <c r="A24974" i="1"/>
  <c r="B24974" i="1"/>
  <c r="A24975" i="1"/>
  <c r="B24975" i="1"/>
  <c r="A24976" i="1"/>
  <c r="B24976" i="1"/>
  <c r="A24977" i="1"/>
  <c r="B24977" i="1"/>
  <c r="A24978" i="1"/>
  <c r="B24978" i="1"/>
  <c r="A24979" i="1"/>
  <c r="B24979" i="1"/>
  <c r="A24980" i="1"/>
  <c r="B24980" i="1"/>
  <c r="A24981" i="1"/>
  <c r="B24981" i="1"/>
  <c r="A24982" i="1"/>
  <c r="B24982" i="1"/>
  <c r="A24983" i="1"/>
  <c r="B24983" i="1"/>
  <c r="A24984" i="1"/>
  <c r="B24984" i="1"/>
  <c r="A24985" i="1"/>
  <c r="B24985" i="1"/>
  <c r="A24986" i="1"/>
  <c r="B24986" i="1"/>
  <c r="A24987" i="1"/>
  <c r="B24987" i="1"/>
  <c r="A24988" i="1"/>
  <c r="B24988" i="1"/>
  <c r="A24989" i="1"/>
  <c r="B24989" i="1"/>
  <c r="A24990" i="1"/>
  <c r="B24990" i="1"/>
  <c r="A24991" i="1"/>
  <c r="B24991" i="1"/>
  <c r="A24992" i="1"/>
  <c r="B24992" i="1"/>
  <c r="A24993" i="1"/>
  <c r="B24993" i="1"/>
  <c r="A24994" i="1"/>
  <c r="B24994" i="1"/>
  <c r="A24995" i="1"/>
  <c r="B24995" i="1"/>
  <c r="A24996" i="1"/>
  <c r="B24996" i="1"/>
  <c r="A24997" i="1"/>
  <c r="B24997" i="1"/>
  <c r="A24998" i="1"/>
  <c r="B24998" i="1"/>
  <c r="A24999" i="1"/>
  <c r="B24999" i="1"/>
  <c r="A25000" i="1"/>
  <c r="B25000" i="1"/>
  <c r="A25001" i="1"/>
  <c r="B25001" i="1"/>
  <c r="A25002" i="1"/>
  <c r="B25002" i="1"/>
  <c r="A25003" i="1"/>
  <c r="B25003" i="1"/>
  <c r="A25004" i="1"/>
  <c r="B25004" i="1"/>
  <c r="A25005" i="1"/>
  <c r="B25005" i="1"/>
  <c r="A25006" i="1"/>
  <c r="B25006" i="1"/>
  <c r="A25007" i="1"/>
  <c r="B25007" i="1"/>
  <c r="A25008" i="1"/>
  <c r="B25008" i="1"/>
  <c r="A25009" i="1"/>
  <c r="B25009" i="1"/>
  <c r="A25010" i="1"/>
  <c r="B25010" i="1"/>
  <c r="A25011" i="1"/>
  <c r="B25011" i="1"/>
  <c r="A25012" i="1"/>
  <c r="B25012" i="1"/>
  <c r="A25013" i="1"/>
  <c r="B25013" i="1"/>
  <c r="A25014" i="1"/>
  <c r="B25014" i="1"/>
  <c r="A25015" i="1"/>
  <c r="B25015" i="1"/>
  <c r="A25016" i="1"/>
  <c r="B25016" i="1"/>
  <c r="A25017" i="1"/>
  <c r="B25017" i="1"/>
  <c r="A25018" i="1"/>
  <c r="B25018" i="1"/>
  <c r="A25019" i="1"/>
  <c r="B25019" i="1"/>
  <c r="A25020" i="1"/>
  <c r="B25020" i="1"/>
  <c r="A25021" i="1"/>
  <c r="B25021" i="1"/>
  <c r="A25022" i="1"/>
  <c r="B25022" i="1"/>
  <c r="A25023" i="1"/>
  <c r="B25023" i="1"/>
  <c r="A25024" i="1"/>
  <c r="B25024" i="1"/>
  <c r="A25025" i="1"/>
  <c r="B25025" i="1"/>
  <c r="A25026" i="1"/>
  <c r="B25026" i="1"/>
  <c r="A25027" i="1"/>
  <c r="B25027" i="1"/>
  <c r="A25028" i="1"/>
  <c r="B25028" i="1"/>
  <c r="A25029" i="1"/>
  <c r="B25029" i="1"/>
  <c r="A25030" i="1"/>
  <c r="B25030" i="1"/>
  <c r="A25031" i="1"/>
  <c r="B25031" i="1"/>
  <c r="A25032" i="1"/>
  <c r="B25032" i="1"/>
  <c r="A25033" i="1"/>
  <c r="B25033" i="1"/>
  <c r="A25034" i="1"/>
  <c r="B25034" i="1"/>
  <c r="A25035" i="1"/>
  <c r="B25035" i="1"/>
  <c r="A25036" i="1"/>
  <c r="B25036" i="1"/>
  <c r="A25037" i="1"/>
  <c r="B25037" i="1"/>
  <c r="A25038" i="1"/>
  <c r="B25038" i="1"/>
  <c r="A25039" i="1"/>
  <c r="B25039" i="1"/>
  <c r="A25040" i="1"/>
  <c r="B25040" i="1"/>
  <c r="A25041" i="1"/>
  <c r="B25041" i="1"/>
  <c r="A25042" i="1"/>
  <c r="B25042" i="1"/>
  <c r="A25043" i="1"/>
  <c r="B25043" i="1"/>
  <c r="A25044" i="1"/>
  <c r="B25044" i="1"/>
  <c r="A25045" i="1"/>
  <c r="B25045" i="1"/>
  <c r="A25046" i="1"/>
  <c r="B25046" i="1"/>
  <c r="A25047" i="1"/>
  <c r="B25047" i="1"/>
  <c r="A25048" i="1"/>
  <c r="B25048" i="1"/>
  <c r="A25049" i="1"/>
  <c r="B25049" i="1"/>
  <c r="A25050" i="1"/>
  <c r="B25050" i="1"/>
  <c r="A25051" i="1"/>
  <c r="B25051" i="1"/>
  <c r="A25052" i="1"/>
  <c r="B25052" i="1"/>
  <c r="A25053" i="1"/>
  <c r="B25053" i="1"/>
  <c r="A25054" i="1"/>
  <c r="B25054" i="1"/>
  <c r="A25055" i="1"/>
  <c r="B25055" i="1"/>
  <c r="A25056" i="1"/>
  <c r="B25056" i="1"/>
  <c r="A25057" i="1"/>
  <c r="B25057" i="1"/>
  <c r="A25058" i="1"/>
  <c r="B25058" i="1"/>
  <c r="A25059" i="1"/>
  <c r="B25059" i="1"/>
  <c r="A25060" i="1"/>
  <c r="B25060" i="1"/>
  <c r="A25061" i="1"/>
  <c r="B25061" i="1"/>
  <c r="A25062" i="1"/>
  <c r="B25062" i="1"/>
  <c r="A25063" i="1"/>
  <c r="B25063" i="1"/>
  <c r="A25064" i="1"/>
  <c r="B25064" i="1"/>
  <c r="A25065" i="1"/>
  <c r="B25065" i="1"/>
  <c r="A25066" i="1"/>
  <c r="B25066" i="1"/>
  <c r="A25067" i="1"/>
  <c r="B25067" i="1"/>
  <c r="A25068" i="1"/>
  <c r="B25068" i="1"/>
  <c r="A25069" i="1"/>
  <c r="B25069" i="1"/>
  <c r="A25070" i="1"/>
  <c r="B25070" i="1"/>
  <c r="A25071" i="1"/>
  <c r="B25071" i="1"/>
  <c r="A25072" i="1"/>
  <c r="B25072" i="1"/>
  <c r="A25073" i="1"/>
  <c r="B25073" i="1"/>
  <c r="A25074" i="1"/>
  <c r="B25074" i="1"/>
  <c r="A25075" i="1"/>
  <c r="B25075" i="1"/>
  <c r="A25076" i="1"/>
  <c r="B25076" i="1"/>
  <c r="A25077" i="1"/>
  <c r="B25077" i="1"/>
  <c r="A25078" i="1"/>
  <c r="B25078" i="1"/>
  <c r="A25079" i="1"/>
  <c r="B25079" i="1"/>
  <c r="A25080" i="1"/>
  <c r="B25080" i="1"/>
  <c r="A25081" i="1"/>
  <c r="B25081" i="1"/>
  <c r="A25082" i="1"/>
  <c r="B25082" i="1"/>
  <c r="A25083" i="1"/>
  <c r="B25083" i="1"/>
  <c r="A25084" i="1"/>
  <c r="B25084" i="1"/>
  <c r="A25085" i="1"/>
  <c r="B25085" i="1"/>
  <c r="A25086" i="1"/>
  <c r="B25086" i="1"/>
  <c r="A25087" i="1"/>
  <c r="B25087" i="1"/>
  <c r="A25088" i="1"/>
  <c r="B25088" i="1"/>
  <c r="A25089" i="1"/>
  <c r="B25089" i="1"/>
  <c r="A25090" i="1"/>
  <c r="B25090" i="1"/>
  <c r="A25091" i="1"/>
  <c r="B25091" i="1"/>
  <c r="A25092" i="1"/>
  <c r="B25092" i="1"/>
  <c r="A25093" i="1"/>
  <c r="B25093" i="1"/>
  <c r="A25094" i="1"/>
  <c r="B25094" i="1"/>
  <c r="A25095" i="1"/>
  <c r="B25095" i="1"/>
  <c r="A25096" i="1"/>
  <c r="B25096" i="1"/>
  <c r="A25097" i="1"/>
  <c r="B25097" i="1"/>
  <c r="A25098" i="1"/>
  <c r="B25098" i="1"/>
  <c r="A25099" i="1"/>
  <c r="B25099" i="1"/>
  <c r="A25100" i="1"/>
  <c r="B25100" i="1"/>
  <c r="A25101" i="1"/>
  <c r="B25101" i="1"/>
  <c r="A25102" i="1"/>
  <c r="B25102" i="1"/>
  <c r="A25103" i="1"/>
  <c r="B25103" i="1"/>
  <c r="A25104" i="1"/>
  <c r="B25104" i="1"/>
  <c r="A25105" i="1"/>
  <c r="B25105" i="1"/>
  <c r="A25106" i="1"/>
  <c r="B25106" i="1"/>
  <c r="A25107" i="1"/>
  <c r="B25107" i="1"/>
  <c r="A25108" i="1"/>
  <c r="B25108" i="1"/>
  <c r="A25109" i="1"/>
  <c r="B25109" i="1"/>
  <c r="A25110" i="1"/>
  <c r="B25110" i="1"/>
  <c r="A25111" i="1"/>
  <c r="B25111" i="1"/>
  <c r="A25112" i="1"/>
  <c r="B25112" i="1"/>
  <c r="A25113" i="1"/>
  <c r="B25113" i="1"/>
  <c r="A25114" i="1"/>
  <c r="B25114" i="1"/>
  <c r="A25115" i="1"/>
  <c r="B25115" i="1"/>
  <c r="A25116" i="1"/>
  <c r="B25116" i="1"/>
  <c r="A25117" i="1"/>
  <c r="B25117" i="1"/>
  <c r="A25118" i="1"/>
  <c r="B25118" i="1"/>
  <c r="A25119" i="1"/>
  <c r="B25119" i="1"/>
  <c r="A25120" i="1"/>
  <c r="B25120" i="1"/>
  <c r="A25121" i="1"/>
  <c r="B25121" i="1"/>
  <c r="A25122" i="1"/>
  <c r="B25122" i="1"/>
  <c r="A25123" i="1"/>
  <c r="B25123" i="1"/>
  <c r="A25124" i="1"/>
  <c r="B25124" i="1"/>
  <c r="A25125" i="1"/>
  <c r="B25125" i="1"/>
  <c r="A25126" i="1"/>
  <c r="B25126" i="1"/>
  <c r="A25127" i="1"/>
  <c r="B25127" i="1"/>
  <c r="A25128" i="1"/>
  <c r="B25128" i="1"/>
  <c r="A25129" i="1"/>
  <c r="B25129" i="1"/>
  <c r="A25130" i="1"/>
  <c r="B25130" i="1"/>
  <c r="A25131" i="1"/>
  <c r="B25131" i="1"/>
  <c r="A25132" i="1"/>
  <c r="B25132" i="1"/>
  <c r="A25133" i="1"/>
  <c r="B25133" i="1"/>
  <c r="A25134" i="1"/>
  <c r="B25134" i="1"/>
  <c r="A25135" i="1"/>
  <c r="B25135" i="1"/>
  <c r="A25136" i="1"/>
  <c r="B25136" i="1"/>
  <c r="A25137" i="1"/>
  <c r="B25137" i="1"/>
  <c r="A25138" i="1"/>
  <c r="B25138" i="1"/>
  <c r="A25139" i="1"/>
  <c r="B25139" i="1"/>
  <c r="A25140" i="1"/>
  <c r="B25140" i="1"/>
  <c r="A25141" i="1"/>
  <c r="B25141" i="1"/>
  <c r="A25142" i="1"/>
  <c r="B25142" i="1"/>
  <c r="A25143" i="1"/>
  <c r="B25143" i="1"/>
  <c r="A25144" i="1"/>
  <c r="B25144" i="1"/>
  <c r="A25145" i="1"/>
  <c r="B25145" i="1"/>
  <c r="A25146" i="1"/>
  <c r="B25146" i="1"/>
  <c r="A25147" i="1"/>
  <c r="B25147" i="1"/>
  <c r="A25148" i="1"/>
  <c r="B25148" i="1"/>
  <c r="A25149" i="1"/>
  <c r="B25149" i="1"/>
  <c r="A25150" i="1"/>
  <c r="B25150" i="1"/>
  <c r="A25151" i="1"/>
  <c r="B25151" i="1"/>
  <c r="A25152" i="1"/>
  <c r="B25152" i="1"/>
  <c r="A25153" i="1"/>
  <c r="B25153" i="1"/>
  <c r="A25154" i="1"/>
  <c r="B25154" i="1"/>
  <c r="A25155" i="1"/>
  <c r="B25155" i="1"/>
  <c r="A25156" i="1"/>
  <c r="B25156" i="1"/>
  <c r="A25157" i="1"/>
  <c r="B25157" i="1"/>
  <c r="A25158" i="1"/>
  <c r="B25158" i="1"/>
  <c r="A25159" i="1"/>
  <c r="B25159" i="1"/>
  <c r="A25160" i="1"/>
  <c r="B25160" i="1"/>
  <c r="A25161" i="1"/>
  <c r="B25161" i="1"/>
  <c r="A25162" i="1"/>
  <c r="B25162" i="1"/>
  <c r="A25163" i="1"/>
  <c r="B25163" i="1"/>
  <c r="A25164" i="1"/>
  <c r="B25164" i="1"/>
  <c r="A25165" i="1"/>
  <c r="B25165" i="1"/>
  <c r="A25166" i="1"/>
  <c r="B25166" i="1"/>
  <c r="A25167" i="1"/>
  <c r="B25167" i="1"/>
  <c r="A25168" i="1"/>
  <c r="B25168" i="1"/>
  <c r="A25169" i="1"/>
  <c r="B25169" i="1"/>
  <c r="A25170" i="1"/>
  <c r="B25170" i="1"/>
  <c r="A25171" i="1"/>
  <c r="B25171" i="1"/>
  <c r="A25172" i="1"/>
  <c r="B25172" i="1"/>
  <c r="A25173" i="1"/>
  <c r="B25173" i="1"/>
  <c r="A25174" i="1"/>
  <c r="B25174" i="1"/>
  <c r="A25175" i="1"/>
  <c r="B25175" i="1"/>
  <c r="A25176" i="1"/>
  <c r="B25176" i="1"/>
  <c r="A25177" i="1"/>
  <c r="B25177" i="1"/>
  <c r="A25178" i="1"/>
  <c r="B25178" i="1"/>
  <c r="A25179" i="1"/>
  <c r="B25179" i="1"/>
  <c r="A25180" i="1"/>
  <c r="B25180" i="1"/>
  <c r="A25181" i="1"/>
  <c r="B25181" i="1"/>
  <c r="A25182" i="1"/>
  <c r="B25182" i="1"/>
  <c r="A25183" i="1"/>
  <c r="B25183" i="1"/>
  <c r="A25184" i="1"/>
  <c r="B25184" i="1"/>
  <c r="A25185" i="1"/>
  <c r="B25185" i="1"/>
  <c r="A25186" i="1"/>
  <c r="B25186" i="1"/>
  <c r="A25187" i="1"/>
  <c r="B25187" i="1"/>
  <c r="A25188" i="1"/>
  <c r="B25188" i="1"/>
  <c r="A25189" i="1"/>
  <c r="B25189" i="1"/>
  <c r="A25190" i="1"/>
  <c r="B25190" i="1"/>
  <c r="A25191" i="1"/>
  <c r="B25191" i="1"/>
  <c r="A25192" i="1"/>
  <c r="B25192" i="1"/>
  <c r="A25193" i="1"/>
  <c r="B25193" i="1"/>
  <c r="A25194" i="1"/>
  <c r="B25194" i="1"/>
  <c r="A25195" i="1"/>
  <c r="B25195" i="1"/>
  <c r="A25196" i="1"/>
  <c r="B25196" i="1"/>
  <c r="A25197" i="1"/>
  <c r="B25197" i="1"/>
  <c r="A25198" i="1"/>
  <c r="B25198" i="1"/>
  <c r="A25199" i="1"/>
  <c r="B25199" i="1"/>
  <c r="A25200" i="1"/>
  <c r="B25200" i="1"/>
  <c r="A25201" i="1"/>
  <c r="B25201" i="1"/>
  <c r="A25202" i="1"/>
  <c r="B25202" i="1"/>
  <c r="A25203" i="1"/>
  <c r="B25203" i="1"/>
  <c r="A25204" i="1"/>
  <c r="B25204" i="1"/>
  <c r="A25205" i="1"/>
  <c r="B25205" i="1"/>
  <c r="A25206" i="1"/>
  <c r="B25206" i="1"/>
  <c r="A25207" i="1"/>
  <c r="B25207" i="1"/>
  <c r="A25208" i="1"/>
  <c r="B25208" i="1"/>
  <c r="A25209" i="1"/>
  <c r="B25209" i="1"/>
  <c r="A25210" i="1"/>
  <c r="B25210" i="1"/>
  <c r="A25211" i="1"/>
  <c r="B25211" i="1"/>
  <c r="A25212" i="1"/>
  <c r="B25212" i="1"/>
  <c r="A25213" i="1"/>
  <c r="B25213" i="1"/>
  <c r="A25214" i="1"/>
  <c r="B25214" i="1"/>
  <c r="A25215" i="1"/>
  <c r="B25215" i="1"/>
  <c r="A25216" i="1"/>
  <c r="B25216" i="1"/>
  <c r="A25217" i="1"/>
  <c r="B25217" i="1"/>
  <c r="A25218" i="1"/>
  <c r="B25218" i="1"/>
  <c r="A25219" i="1"/>
  <c r="B25219" i="1"/>
  <c r="A25220" i="1"/>
  <c r="B25220" i="1"/>
  <c r="A25221" i="1"/>
  <c r="B25221" i="1"/>
  <c r="A25222" i="1"/>
  <c r="B25222" i="1"/>
  <c r="A25223" i="1"/>
  <c r="B25223" i="1"/>
  <c r="A25224" i="1"/>
  <c r="B25224" i="1"/>
  <c r="A25225" i="1"/>
  <c r="B25225" i="1"/>
  <c r="A25226" i="1"/>
  <c r="B25226" i="1"/>
  <c r="A25227" i="1"/>
  <c r="B25227" i="1"/>
  <c r="A25228" i="1"/>
  <c r="B25228" i="1"/>
  <c r="A25229" i="1"/>
  <c r="B25229" i="1"/>
  <c r="A25230" i="1"/>
  <c r="B25230" i="1"/>
  <c r="A25231" i="1"/>
  <c r="B25231" i="1"/>
  <c r="A25232" i="1"/>
  <c r="B25232" i="1"/>
  <c r="A25233" i="1"/>
  <c r="B25233" i="1"/>
  <c r="A25234" i="1"/>
  <c r="B25234" i="1"/>
  <c r="A25235" i="1"/>
  <c r="B25235" i="1"/>
  <c r="A25236" i="1"/>
  <c r="B25236" i="1"/>
  <c r="A25237" i="1"/>
  <c r="B25237" i="1"/>
  <c r="A25238" i="1"/>
  <c r="B25238" i="1"/>
  <c r="A25239" i="1"/>
  <c r="B25239" i="1"/>
  <c r="A25240" i="1"/>
  <c r="B25240" i="1"/>
  <c r="A25241" i="1"/>
  <c r="B25241" i="1"/>
  <c r="A25242" i="1"/>
  <c r="B25242" i="1"/>
  <c r="A25243" i="1"/>
  <c r="B25243" i="1"/>
  <c r="A25244" i="1"/>
  <c r="B25244" i="1"/>
  <c r="A25245" i="1"/>
  <c r="B25245" i="1"/>
  <c r="A25246" i="1"/>
  <c r="B25246" i="1"/>
  <c r="A25247" i="1"/>
  <c r="B25247" i="1"/>
  <c r="A25248" i="1"/>
  <c r="B25248" i="1"/>
  <c r="A25249" i="1"/>
  <c r="B25249" i="1"/>
  <c r="A25250" i="1"/>
  <c r="B25250" i="1"/>
  <c r="A25251" i="1"/>
  <c r="B25251" i="1"/>
  <c r="A25252" i="1"/>
  <c r="B25252" i="1"/>
  <c r="A25253" i="1"/>
  <c r="B25253" i="1"/>
  <c r="A25254" i="1"/>
  <c r="B25254" i="1"/>
  <c r="A25255" i="1"/>
  <c r="B25255" i="1"/>
  <c r="A25256" i="1"/>
  <c r="B25256" i="1"/>
  <c r="A25257" i="1"/>
  <c r="B25257" i="1"/>
  <c r="A25258" i="1"/>
  <c r="B25258" i="1"/>
  <c r="A25259" i="1"/>
  <c r="B25259" i="1"/>
  <c r="A25260" i="1"/>
  <c r="B25260" i="1"/>
  <c r="A25261" i="1"/>
  <c r="B25261" i="1"/>
  <c r="A25262" i="1"/>
  <c r="B25262" i="1"/>
  <c r="A25263" i="1"/>
  <c r="B25263" i="1"/>
  <c r="A25264" i="1"/>
  <c r="B25264" i="1"/>
  <c r="A25265" i="1"/>
  <c r="B25265" i="1"/>
  <c r="A25266" i="1"/>
  <c r="B25266" i="1"/>
  <c r="A25267" i="1"/>
  <c r="B25267" i="1"/>
  <c r="A25268" i="1"/>
  <c r="B25268" i="1"/>
  <c r="A25269" i="1"/>
  <c r="B25269" i="1"/>
  <c r="A25270" i="1"/>
  <c r="B25270" i="1"/>
  <c r="A25271" i="1"/>
  <c r="B25271" i="1"/>
  <c r="A25272" i="1"/>
  <c r="B25272" i="1"/>
  <c r="A25273" i="1"/>
  <c r="B25273" i="1"/>
  <c r="A25274" i="1"/>
  <c r="B25274" i="1"/>
  <c r="A25275" i="1"/>
  <c r="B25275" i="1"/>
  <c r="A25276" i="1"/>
  <c r="B25276" i="1"/>
  <c r="A25277" i="1"/>
  <c r="B25277" i="1"/>
  <c r="A25278" i="1"/>
  <c r="B25278" i="1"/>
  <c r="A25279" i="1"/>
  <c r="B25279" i="1"/>
  <c r="A25280" i="1"/>
  <c r="B25280" i="1"/>
  <c r="A25281" i="1"/>
  <c r="B25281" i="1"/>
  <c r="A25282" i="1"/>
  <c r="B25282" i="1"/>
  <c r="A25283" i="1"/>
  <c r="B25283" i="1"/>
  <c r="A25284" i="1"/>
  <c r="B25284" i="1"/>
  <c r="A25285" i="1"/>
  <c r="B25285" i="1"/>
  <c r="A25286" i="1"/>
  <c r="B25286" i="1"/>
  <c r="A25287" i="1"/>
  <c r="B25287" i="1"/>
  <c r="A25288" i="1"/>
  <c r="B25288" i="1"/>
  <c r="A25289" i="1"/>
  <c r="B25289" i="1"/>
  <c r="A25290" i="1"/>
  <c r="B25290" i="1"/>
  <c r="A25291" i="1"/>
  <c r="B25291" i="1"/>
  <c r="A25292" i="1"/>
  <c r="B25292" i="1"/>
  <c r="A25293" i="1"/>
  <c r="B25293" i="1"/>
  <c r="A25294" i="1"/>
  <c r="B25294" i="1"/>
  <c r="A25295" i="1"/>
  <c r="B25295" i="1"/>
  <c r="A25296" i="1"/>
  <c r="B25296" i="1"/>
  <c r="A25297" i="1"/>
  <c r="B25297" i="1"/>
  <c r="A25298" i="1"/>
  <c r="B25298" i="1"/>
  <c r="A25299" i="1"/>
  <c r="B25299" i="1"/>
  <c r="A25300" i="1"/>
  <c r="B25300" i="1"/>
  <c r="A25301" i="1"/>
  <c r="B25301" i="1"/>
  <c r="A25302" i="1"/>
  <c r="B25302" i="1"/>
  <c r="A25303" i="1"/>
  <c r="B25303" i="1"/>
  <c r="A25304" i="1"/>
  <c r="B25304" i="1"/>
  <c r="A25305" i="1"/>
  <c r="B25305" i="1"/>
  <c r="A25306" i="1"/>
  <c r="B25306" i="1"/>
  <c r="A25307" i="1"/>
  <c r="B25307" i="1"/>
  <c r="A25308" i="1"/>
  <c r="B25308" i="1"/>
  <c r="A25309" i="1"/>
  <c r="B25309" i="1"/>
  <c r="A25310" i="1"/>
  <c r="B25310" i="1"/>
  <c r="A25311" i="1"/>
  <c r="B25311" i="1"/>
  <c r="A25312" i="1"/>
  <c r="B25312" i="1"/>
  <c r="A25313" i="1"/>
  <c r="B25313" i="1"/>
  <c r="A25314" i="1"/>
  <c r="B25314" i="1"/>
  <c r="A25315" i="1"/>
  <c r="B25315" i="1"/>
  <c r="A25316" i="1"/>
  <c r="B25316" i="1"/>
  <c r="A25317" i="1"/>
  <c r="B25317" i="1"/>
  <c r="A25318" i="1"/>
  <c r="B25318" i="1"/>
  <c r="A25319" i="1"/>
  <c r="B25319" i="1"/>
  <c r="A25320" i="1"/>
  <c r="B25320" i="1"/>
  <c r="A25321" i="1"/>
  <c r="B25321" i="1"/>
  <c r="A25322" i="1"/>
  <c r="B25322" i="1"/>
  <c r="A25323" i="1"/>
  <c r="B25323" i="1"/>
  <c r="A25324" i="1"/>
  <c r="B25324" i="1"/>
  <c r="A25325" i="1"/>
  <c r="B25325" i="1"/>
  <c r="A25326" i="1"/>
  <c r="B25326" i="1"/>
  <c r="A25327" i="1"/>
  <c r="B25327" i="1"/>
  <c r="A25328" i="1"/>
  <c r="B25328" i="1"/>
  <c r="A25329" i="1"/>
  <c r="B25329" i="1"/>
  <c r="A25330" i="1"/>
  <c r="B25330" i="1"/>
  <c r="A25331" i="1"/>
  <c r="B25331" i="1"/>
  <c r="A25332" i="1"/>
  <c r="B25332" i="1"/>
  <c r="A25333" i="1"/>
  <c r="B25333" i="1"/>
  <c r="A25334" i="1"/>
  <c r="B25334" i="1"/>
  <c r="A25335" i="1"/>
  <c r="B25335" i="1"/>
  <c r="A25336" i="1"/>
  <c r="B25336" i="1"/>
  <c r="A25337" i="1"/>
  <c r="B25337" i="1"/>
  <c r="A25338" i="1"/>
  <c r="B25338" i="1"/>
  <c r="A25339" i="1"/>
  <c r="B25339" i="1"/>
  <c r="A25340" i="1"/>
  <c r="B25340" i="1"/>
  <c r="A25341" i="1"/>
  <c r="B25341" i="1"/>
  <c r="A25342" i="1"/>
  <c r="B25342" i="1"/>
  <c r="A25343" i="1"/>
  <c r="B25343" i="1"/>
  <c r="A25344" i="1"/>
  <c r="B25344" i="1"/>
  <c r="A25345" i="1"/>
  <c r="B25345" i="1"/>
  <c r="A25346" i="1"/>
  <c r="B25346" i="1"/>
  <c r="A25347" i="1"/>
  <c r="B25347" i="1"/>
  <c r="A25348" i="1"/>
  <c r="B25348" i="1"/>
  <c r="A25349" i="1"/>
  <c r="B25349" i="1"/>
  <c r="A25350" i="1"/>
  <c r="B25350" i="1"/>
  <c r="A25351" i="1"/>
  <c r="B25351" i="1"/>
  <c r="A25352" i="1"/>
  <c r="B25352" i="1"/>
  <c r="A25353" i="1"/>
  <c r="B25353" i="1"/>
  <c r="A25354" i="1"/>
  <c r="B25354" i="1"/>
  <c r="A25355" i="1"/>
  <c r="B25355" i="1"/>
  <c r="A25356" i="1"/>
  <c r="B25356" i="1"/>
  <c r="A25357" i="1"/>
  <c r="B25357" i="1"/>
  <c r="A25358" i="1"/>
  <c r="B25358" i="1"/>
  <c r="A25359" i="1"/>
  <c r="B25359" i="1"/>
  <c r="A25360" i="1"/>
  <c r="B25360" i="1"/>
  <c r="A25361" i="1"/>
  <c r="B25361" i="1"/>
  <c r="A25362" i="1"/>
  <c r="B25362" i="1"/>
  <c r="A25363" i="1"/>
  <c r="B25363" i="1"/>
  <c r="A25364" i="1"/>
  <c r="B25364" i="1"/>
  <c r="A25365" i="1"/>
  <c r="B25365" i="1"/>
  <c r="A25366" i="1"/>
  <c r="B25366" i="1"/>
  <c r="A25367" i="1"/>
  <c r="B25367" i="1"/>
  <c r="A25368" i="1"/>
  <c r="B25368" i="1"/>
  <c r="A25369" i="1"/>
  <c r="B25369" i="1"/>
  <c r="A25370" i="1"/>
  <c r="B25370" i="1"/>
  <c r="A25371" i="1"/>
  <c r="B25371" i="1"/>
  <c r="A25372" i="1"/>
  <c r="B25372" i="1"/>
  <c r="A25373" i="1"/>
  <c r="B25373" i="1"/>
  <c r="A25374" i="1"/>
  <c r="B25374" i="1"/>
  <c r="A25375" i="1"/>
  <c r="B25375" i="1"/>
  <c r="A25376" i="1"/>
  <c r="B25376" i="1"/>
  <c r="A25377" i="1"/>
  <c r="B25377" i="1"/>
  <c r="A25378" i="1"/>
  <c r="B25378" i="1"/>
  <c r="A25379" i="1"/>
  <c r="B25379" i="1"/>
  <c r="A25380" i="1"/>
  <c r="B25380" i="1"/>
  <c r="A25381" i="1"/>
  <c r="B25381" i="1"/>
  <c r="A25382" i="1"/>
  <c r="B25382" i="1"/>
  <c r="A25383" i="1"/>
  <c r="B25383" i="1"/>
  <c r="A25384" i="1"/>
  <c r="B25384" i="1"/>
  <c r="A25385" i="1"/>
  <c r="B25385" i="1"/>
  <c r="A25386" i="1"/>
  <c r="B25386" i="1"/>
  <c r="A25387" i="1"/>
  <c r="B25387" i="1"/>
  <c r="A25388" i="1"/>
  <c r="B25388" i="1"/>
  <c r="A25389" i="1"/>
  <c r="B25389" i="1"/>
  <c r="A25390" i="1"/>
  <c r="B25390" i="1"/>
  <c r="A25391" i="1"/>
  <c r="B25391" i="1"/>
  <c r="A25392" i="1"/>
  <c r="B25392" i="1"/>
  <c r="A25393" i="1"/>
  <c r="B25393" i="1"/>
  <c r="A25394" i="1"/>
  <c r="B25394" i="1"/>
  <c r="A25395" i="1"/>
  <c r="B25395" i="1"/>
  <c r="A25396" i="1"/>
  <c r="B25396" i="1"/>
  <c r="A25397" i="1"/>
  <c r="B25397" i="1"/>
  <c r="A25398" i="1"/>
  <c r="B25398" i="1"/>
  <c r="A25399" i="1"/>
  <c r="B25399" i="1"/>
  <c r="A25400" i="1"/>
  <c r="B25400" i="1"/>
  <c r="A25401" i="1"/>
  <c r="B25401" i="1"/>
  <c r="A25402" i="1"/>
  <c r="B25402" i="1"/>
  <c r="A25403" i="1"/>
  <c r="B25403" i="1"/>
  <c r="A25404" i="1"/>
  <c r="B25404" i="1"/>
  <c r="A25405" i="1"/>
  <c r="B25405" i="1"/>
  <c r="A25406" i="1"/>
  <c r="B25406" i="1"/>
  <c r="A25407" i="1"/>
  <c r="B25407" i="1"/>
  <c r="A25408" i="1"/>
  <c r="B25408" i="1"/>
  <c r="A25409" i="1"/>
  <c r="B25409" i="1"/>
  <c r="A25410" i="1"/>
  <c r="B25410" i="1"/>
  <c r="A25411" i="1"/>
  <c r="B25411" i="1"/>
  <c r="A25412" i="1"/>
  <c r="B25412" i="1"/>
  <c r="A25413" i="1"/>
  <c r="B25413" i="1"/>
  <c r="A25414" i="1"/>
  <c r="B25414" i="1"/>
  <c r="A25415" i="1"/>
  <c r="B25415" i="1"/>
  <c r="A25416" i="1"/>
  <c r="B25416" i="1"/>
  <c r="A25417" i="1"/>
  <c r="B25417" i="1"/>
  <c r="A25418" i="1"/>
  <c r="B25418" i="1"/>
  <c r="A25419" i="1"/>
  <c r="B25419" i="1"/>
  <c r="A25420" i="1"/>
  <c r="B25420" i="1"/>
  <c r="A25421" i="1"/>
  <c r="B25421" i="1"/>
  <c r="A25422" i="1"/>
  <c r="B25422" i="1"/>
  <c r="A25423" i="1"/>
  <c r="B25423" i="1"/>
  <c r="A25424" i="1"/>
  <c r="B25424" i="1"/>
  <c r="A25425" i="1"/>
  <c r="B25425" i="1"/>
  <c r="A25426" i="1"/>
  <c r="B25426" i="1"/>
  <c r="A25427" i="1"/>
  <c r="B25427" i="1"/>
  <c r="A25428" i="1"/>
  <c r="B25428" i="1"/>
  <c r="A25429" i="1"/>
  <c r="B25429" i="1"/>
  <c r="A25430" i="1"/>
  <c r="B25430" i="1"/>
  <c r="A25431" i="1"/>
  <c r="B25431" i="1"/>
  <c r="A25432" i="1"/>
  <c r="B25432" i="1"/>
  <c r="A25433" i="1"/>
  <c r="B25433" i="1"/>
  <c r="A25434" i="1"/>
  <c r="B25434" i="1"/>
  <c r="A25435" i="1"/>
  <c r="B25435" i="1"/>
  <c r="A25436" i="1"/>
  <c r="B25436" i="1"/>
  <c r="A25437" i="1"/>
  <c r="B25437" i="1"/>
  <c r="A25438" i="1"/>
  <c r="B25438" i="1"/>
  <c r="A25439" i="1"/>
  <c r="B25439" i="1"/>
  <c r="A25440" i="1"/>
  <c r="B25440" i="1"/>
  <c r="A25441" i="1"/>
  <c r="B25441" i="1"/>
  <c r="A25442" i="1"/>
  <c r="B25442" i="1"/>
  <c r="A25443" i="1"/>
  <c r="B25443" i="1"/>
  <c r="A25444" i="1"/>
  <c r="B25444" i="1"/>
  <c r="A25445" i="1"/>
  <c r="B25445" i="1"/>
  <c r="A25446" i="1"/>
  <c r="B25446" i="1"/>
  <c r="A25447" i="1"/>
  <c r="B25447" i="1"/>
  <c r="A25448" i="1"/>
  <c r="B25448" i="1"/>
  <c r="A25449" i="1"/>
  <c r="B25449" i="1"/>
  <c r="A25450" i="1"/>
  <c r="B25450" i="1"/>
  <c r="A25451" i="1"/>
  <c r="B25451" i="1"/>
  <c r="A25452" i="1"/>
  <c r="B25452" i="1"/>
  <c r="A25453" i="1"/>
  <c r="B25453" i="1"/>
  <c r="A25454" i="1"/>
  <c r="B25454" i="1"/>
  <c r="A25455" i="1"/>
  <c r="B25455" i="1"/>
  <c r="A25456" i="1"/>
  <c r="B25456" i="1"/>
  <c r="A25457" i="1"/>
  <c r="B25457" i="1"/>
  <c r="A25458" i="1"/>
  <c r="B25458" i="1"/>
  <c r="A25459" i="1"/>
  <c r="B25459" i="1"/>
  <c r="A25460" i="1"/>
  <c r="B25460" i="1"/>
  <c r="A25461" i="1"/>
  <c r="B25461" i="1"/>
  <c r="A25462" i="1"/>
  <c r="B25462" i="1"/>
  <c r="A25463" i="1"/>
  <c r="B25463" i="1"/>
  <c r="A25464" i="1"/>
  <c r="B25464" i="1"/>
  <c r="A25465" i="1"/>
  <c r="B25465" i="1"/>
  <c r="A25466" i="1"/>
  <c r="B25466" i="1"/>
  <c r="A25467" i="1"/>
  <c r="B25467" i="1"/>
  <c r="A25468" i="1"/>
  <c r="B25468" i="1"/>
  <c r="A25469" i="1"/>
  <c r="B25469" i="1"/>
  <c r="A25470" i="1"/>
  <c r="B25470" i="1"/>
  <c r="A25471" i="1"/>
  <c r="B25471" i="1"/>
  <c r="A25472" i="1"/>
  <c r="B25472" i="1"/>
  <c r="A25473" i="1"/>
  <c r="B25473" i="1"/>
  <c r="A25474" i="1"/>
  <c r="B25474" i="1"/>
  <c r="A25475" i="1"/>
  <c r="B25475" i="1"/>
  <c r="A25476" i="1"/>
  <c r="B25476" i="1"/>
  <c r="A25477" i="1"/>
  <c r="B25477" i="1"/>
  <c r="A25478" i="1"/>
  <c r="B25478" i="1"/>
  <c r="A25479" i="1"/>
  <c r="B25479" i="1"/>
  <c r="A25480" i="1"/>
  <c r="B25480" i="1"/>
  <c r="A25481" i="1"/>
  <c r="B25481" i="1"/>
  <c r="A25482" i="1"/>
  <c r="B25482" i="1"/>
  <c r="A25483" i="1"/>
  <c r="B25483" i="1"/>
  <c r="A25484" i="1"/>
  <c r="B25484" i="1"/>
  <c r="A25485" i="1"/>
  <c r="B25485" i="1"/>
  <c r="A25486" i="1"/>
  <c r="B25486" i="1"/>
  <c r="A25487" i="1"/>
  <c r="B25487" i="1"/>
  <c r="A25488" i="1"/>
  <c r="B25488" i="1"/>
  <c r="A25489" i="1"/>
  <c r="B25489" i="1"/>
  <c r="A25490" i="1"/>
  <c r="B25490" i="1"/>
  <c r="A25491" i="1"/>
  <c r="B25491" i="1"/>
  <c r="A25492" i="1"/>
  <c r="B25492" i="1"/>
  <c r="A25493" i="1"/>
  <c r="B25493" i="1"/>
  <c r="A25494" i="1"/>
  <c r="B25494" i="1"/>
  <c r="A25495" i="1"/>
  <c r="B25495" i="1"/>
  <c r="A25496" i="1"/>
  <c r="B25496" i="1"/>
  <c r="A25497" i="1"/>
  <c r="B25497" i="1"/>
  <c r="A25498" i="1"/>
  <c r="B25498" i="1"/>
  <c r="A25499" i="1"/>
  <c r="B25499" i="1"/>
  <c r="A25500" i="1"/>
  <c r="B25500" i="1"/>
  <c r="A25501" i="1"/>
  <c r="B25501" i="1"/>
  <c r="A25502" i="1"/>
  <c r="B25502" i="1"/>
  <c r="A25503" i="1"/>
  <c r="B25503" i="1"/>
  <c r="A25504" i="1"/>
  <c r="B25504" i="1"/>
  <c r="A25505" i="1"/>
  <c r="B25505" i="1"/>
  <c r="A25506" i="1"/>
  <c r="B25506" i="1"/>
  <c r="A25507" i="1"/>
  <c r="B25507" i="1"/>
  <c r="A25508" i="1"/>
  <c r="B25508" i="1"/>
  <c r="A25509" i="1"/>
  <c r="B25509" i="1"/>
  <c r="A25510" i="1"/>
  <c r="B25510" i="1"/>
  <c r="A25511" i="1"/>
  <c r="B25511" i="1"/>
  <c r="A25512" i="1"/>
  <c r="B25512" i="1"/>
  <c r="A25513" i="1"/>
  <c r="B25513" i="1"/>
  <c r="A25514" i="1"/>
  <c r="B25514" i="1"/>
  <c r="A25515" i="1"/>
  <c r="B25515" i="1"/>
  <c r="A25516" i="1"/>
  <c r="B25516" i="1"/>
  <c r="A25517" i="1"/>
  <c r="B25517" i="1"/>
  <c r="A25518" i="1"/>
  <c r="B25518" i="1"/>
  <c r="A25519" i="1"/>
  <c r="B25519" i="1"/>
  <c r="A25520" i="1"/>
  <c r="B25520" i="1"/>
  <c r="A25521" i="1"/>
  <c r="B25521" i="1"/>
  <c r="A25522" i="1"/>
  <c r="B25522" i="1"/>
  <c r="A25523" i="1"/>
  <c r="B25523" i="1"/>
  <c r="A25524" i="1"/>
  <c r="B25524" i="1"/>
  <c r="A25525" i="1"/>
  <c r="B25525" i="1"/>
  <c r="A25526" i="1"/>
  <c r="B25526" i="1"/>
  <c r="A25527" i="1"/>
  <c r="B25527" i="1"/>
  <c r="A25528" i="1"/>
  <c r="B25528" i="1"/>
  <c r="A25529" i="1"/>
  <c r="B25529" i="1"/>
  <c r="A25530" i="1"/>
  <c r="B25530" i="1"/>
  <c r="A25531" i="1"/>
  <c r="B25531" i="1"/>
  <c r="A25532" i="1"/>
  <c r="B25532" i="1"/>
  <c r="A25533" i="1"/>
  <c r="B25533" i="1"/>
  <c r="A25534" i="1"/>
  <c r="B25534" i="1"/>
  <c r="A25535" i="1"/>
  <c r="B25535" i="1"/>
  <c r="A25536" i="1"/>
  <c r="B25536" i="1"/>
  <c r="A25537" i="1"/>
  <c r="B25537" i="1"/>
  <c r="A25538" i="1"/>
  <c r="B25538" i="1"/>
  <c r="A25539" i="1"/>
  <c r="B25539" i="1"/>
  <c r="A25540" i="1"/>
  <c r="B25540" i="1"/>
  <c r="A25541" i="1"/>
  <c r="B25541" i="1"/>
  <c r="A25542" i="1"/>
  <c r="B25542" i="1"/>
  <c r="A25543" i="1"/>
  <c r="B25543" i="1"/>
  <c r="A25544" i="1"/>
  <c r="B25544" i="1"/>
  <c r="A25545" i="1"/>
  <c r="B25545" i="1"/>
  <c r="A25546" i="1"/>
  <c r="B25546" i="1"/>
  <c r="A25547" i="1"/>
  <c r="B25547" i="1"/>
  <c r="A25548" i="1"/>
  <c r="B25548" i="1"/>
  <c r="A25549" i="1"/>
  <c r="B25549" i="1"/>
  <c r="A25550" i="1"/>
  <c r="B25550" i="1"/>
  <c r="A25551" i="1"/>
  <c r="B25551" i="1"/>
  <c r="A25552" i="1"/>
  <c r="B25552" i="1"/>
  <c r="A25553" i="1"/>
  <c r="B25553" i="1"/>
  <c r="A25554" i="1"/>
  <c r="B25554" i="1"/>
  <c r="A25555" i="1"/>
  <c r="B25555" i="1"/>
  <c r="A25556" i="1"/>
  <c r="B25556" i="1"/>
  <c r="A25557" i="1"/>
  <c r="B25557" i="1"/>
  <c r="A25558" i="1"/>
  <c r="B25558" i="1"/>
  <c r="A25559" i="1"/>
  <c r="B25559" i="1"/>
  <c r="A25560" i="1"/>
  <c r="B25560" i="1"/>
  <c r="A25561" i="1"/>
  <c r="B25561" i="1"/>
  <c r="A25562" i="1"/>
  <c r="B25562" i="1"/>
  <c r="A25563" i="1"/>
  <c r="B25563" i="1"/>
  <c r="A25564" i="1"/>
  <c r="B25564" i="1"/>
  <c r="A25565" i="1"/>
  <c r="B25565" i="1"/>
  <c r="A25566" i="1"/>
  <c r="B25566" i="1"/>
  <c r="A25567" i="1"/>
  <c r="B25567" i="1"/>
  <c r="A25568" i="1"/>
  <c r="B25568" i="1"/>
  <c r="A25569" i="1"/>
  <c r="B25569" i="1"/>
  <c r="A25570" i="1"/>
  <c r="B25570" i="1"/>
  <c r="A25571" i="1"/>
  <c r="B25571" i="1"/>
  <c r="A25572" i="1"/>
  <c r="B25572" i="1"/>
  <c r="A25573" i="1"/>
  <c r="B25573" i="1"/>
  <c r="A25574" i="1"/>
  <c r="B25574" i="1"/>
  <c r="A25575" i="1"/>
  <c r="B25575" i="1"/>
  <c r="A25576" i="1"/>
  <c r="B25576" i="1"/>
  <c r="A25577" i="1"/>
  <c r="B25577" i="1"/>
  <c r="A25578" i="1"/>
  <c r="B25578" i="1"/>
  <c r="A25579" i="1"/>
  <c r="B25579" i="1"/>
  <c r="A25580" i="1"/>
  <c r="B25580" i="1"/>
  <c r="A25581" i="1"/>
  <c r="B25581" i="1"/>
  <c r="A25582" i="1"/>
  <c r="B25582" i="1"/>
  <c r="A25583" i="1"/>
  <c r="B25583" i="1"/>
  <c r="A25584" i="1"/>
  <c r="B25584" i="1"/>
  <c r="A25585" i="1"/>
  <c r="B25585" i="1"/>
  <c r="A25586" i="1"/>
  <c r="B25586" i="1"/>
  <c r="A25587" i="1"/>
  <c r="B25587" i="1"/>
  <c r="A25588" i="1"/>
  <c r="B25588" i="1"/>
  <c r="A25589" i="1"/>
  <c r="B25589" i="1"/>
  <c r="A25590" i="1"/>
  <c r="B25590" i="1"/>
  <c r="A25591" i="1"/>
  <c r="B25591" i="1"/>
  <c r="A25592" i="1"/>
  <c r="B25592" i="1"/>
  <c r="A25593" i="1"/>
  <c r="B25593" i="1"/>
  <c r="A25594" i="1"/>
  <c r="B25594" i="1"/>
  <c r="A25595" i="1"/>
  <c r="B25595" i="1"/>
  <c r="A25596" i="1"/>
  <c r="B25596" i="1"/>
  <c r="A25597" i="1"/>
  <c r="B25597" i="1"/>
  <c r="A25598" i="1"/>
  <c r="B25598" i="1"/>
  <c r="A25599" i="1"/>
  <c r="B25599" i="1"/>
  <c r="A25600" i="1"/>
  <c r="B25600" i="1"/>
  <c r="A25601" i="1"/>
  <c r="B25601" i="1"/>
  <c r="A25602" i="1"/>
  <c r="B25602" i="1"/>
  <c r="A25603" i="1"/>
  <c r="B25603" i="1"/>
  <c r="A25604" i="1"/>
  <c r="B25604" i="1"/>
  <c r="A25605" i="1"/>
  <c r="B25605" i="1"/>
  <c r="A25606" i="1"/>
  <c r="B25606" i="1"/>
  <c r="A25607" i="1"/>
  <c r="B25607" i="1"/>
  <c r="A25608" i="1"/>
  <c r="B25608" i="1"/>
  <c r="A25609" i="1"/>
  <c r="B25609" i="1"/>
  <c r="A25610" i="1"/>
  <c r="B25610" i="1"/>
  <c r="A25611" i="1"/>
  <c r="B25611" i="1"/>
  <c r="A25612" i="1"/>
  <c r="B25612" i="1"/>
  <c r="A25613" i="1"/>
  <c r="B25613" i="1"/>
  <c r="A25614" i="1"/>
  <c r="B25614" i="1"/>
  <c r="A25615" i="1"/>
  <c r="B25615" i="1"/>
  <c r="A25616" i="1"/>
  <c r="B25616" i="1"/>
  <c r="A25617" i="1"/>
  <c r="B25617" i="1"/>
  <c r="A25618" i="1"/>
  <c r="B25618" i="1"/>
  <c r="A25619" i="1"/>
  <c r="B25619" i="1"/>
  <c r="A25620" i="1"/>
  <c r="B25620" i="1"/>
  <c r="A25621" i="1"/>
  <c r="B25621" i="1"/>
  <c r="A25622" i="1"/>
  <c r="B25622" i="1"/>
  <c r="A25623" i="1"/>
  <c r="B25623" i="1"/>
  <c r="A25624" i="1"/>
  <c r="B25624" i="1"/>
  <c r="A25625" i="1"/>
  <c r="B25625" i="1"/>
  <c r="A25626" i="1"/>
  <c r="B25626" i="1"/>
  <c r="A25627" i="1"/>
  <c r="B25627" i="1"/>
  <c r="A25628" i="1"/>
  <c r="B25628" i="1"/>
  <c r="A25629" i="1"/>
  <c r="B25629" i="1"/>
  <c r="A25630" i="1"/>
  <c r="B25630" i="1"/>
  <c r="A25631" i="1"/>
  <c r="B25631" i="1"/>
  <c r="A25632" i="1"/>
  <c r="B25632" i="1"/>
  <c r="A25633" i="1"/>
  <c r="B25633" i="1"/>
  <c r="A25634" i="1"/>
  <c r="B25634" i="1"/>
  <c r="A25635" i="1"/>
  <c r="B25635" i="1"/>
  <c r="A25636" i="1"/>
  <c r="B25636" i="1"/>
  <c r="A25637" i="1"/>
  <c r="B25637" i="1"/>
  <c r="A25638" i="1"/>
  <c r="B25638" i="1"/>
  <c r="A25639" i="1"/>
  <c r="B25639" i="1"/>
  <c r="A25640" i="1"/>
  <c r="B25640" i="1"/>
  <c r="A25641" i="1"/>
  <c r="B25641" i="1"/>
  <c r="A25642" i="1"/>
  <c r="B25642" i="1"/>
  <c r="A25643" i="1"/>
  <c r="B25643" i="1"/>
  <c r="A25644" i="1"/>
  <c r="B25644" i="1"/>
  <c r="A25645" i="1"/>
  <c r="B25645" i="1"/>
  <c r="A25646" i="1"/>
  <c r="B25646" i="1"/>
  <c r="A25647" i="1"/>
  <c r="B25647" i="1"/>
  <c r="A25648" i="1"/>
  <c r="B25648" i="1"/>
  <c r="A25649" i="1"/>
  <c r="B25649" i="1"/>
  <c r="A25650" i="1"/>
  <c r="B25650" i="1"/>
  <c r="A25651" i="1"/>
  <c r="B25651" i="1"/>
  <c r="A25652" i="1"/>
  <c r="B25652" i="1"/>
  <c r="A25653" i="1"/>
  <c r="B25653" i="1"/>
  <c r="A25654" i="1"/>
  <c r="B25654" i="1"/>
  <c r="A25655" i="1"/>
  <c r="B25655" i="1"/>
  <c r="A25656" i="1"/>
  <c r="B25656" i="1"/>
  <c r="A25657" i="1"/>
  <c r="B25657" i="1"/>
  <c r="A25658" i="1"/>
  <c r="B25658" i="1"/>
  <c r="A25659" i="1"/>
  <c r="B25659" i="1"/>
  <c r="A25660" i="1"/>
  <c r="B25660" i="1"/>
  <c r="A25661" i="1"/>
  <c r="B25661" i="1"/>
  <c r="A25662" i="1"/>
  <c r="B25662" i="1"/>
  <c r="A25663" i="1"/>
  <c r="B25663" i="1"/>
  <c r="A25664" i="1"/>
  <c r="B25664" i="1"/>
  <c r="A25665" i="1"/>
  <c r="B25665" i="1"/>
  <c r="A25666" i="1"/>
  <c r="B25666" i="1"/>
  <c r="A25667" i="1"/>
  <c r="B25667" i="1"/>
  <c r="A25668" i="1"/>
  <c r="B25668" i="1"/>
  <c r="A25669" i="1"/>
  <c r="B25669" i="1"/>
  <c r="A25670" i="1"/>
  <c r="B25670" i="1"/>
  <c r="A25671" i="1"/>
  <c r="B25671" i="1"/>
  <c r="A25672" i="1"/>
  <c r="B25672" i="1"/>
  <c r="A25673" i="1"/>
  <c r="B25673" i="1"/>
  <c r="A25674" i="1"/>
  <c r="B25674" i="1"/>
  <c r="A25675" i="1"/>
  <c r="B25675" i="1"/>
  <c r="A25676" i="1"/>
  <c r="B25676" i="1"/>
  <c r="A25677" i="1"/>
  <c r="B25677" i="1"/>
  <c r="A25678" i="1"/>
  <c r="B25678" i="1"/>
  <c r="A25679" i="1"/>
  <c r="B25679" i="1"/>
  <c r="A25680" i="1"/>
  <c r="B25680" i="1"/>
  <c r="A25681" i="1"/>
  <c r="B25681" i="1"/>
  <c r="A25682" i="1"/>
  <c r="B25682" i="1"/>
  <c r="A25683" i="1"/>
  <c r="B25683" i="1"/>
  <c r="A25684" i="1"/>
  <c r="B25684" i="1"/>
  <c r="A25685" i="1"/>
  <c r="B25685" i="1"/>
  <c r="A25686" i="1"/>
  <c r="B25686" i="1"/>
  <c r="A25687" i="1"/>
  <c r="B25687" i="1"/>
  <c r="A25688" i="1"/>
  <c r="B25688" i="1"/>
  <c r="A25689" i="1"/>
  <c r="B25689" i="1"/>
  <c r="A25690" i="1"/>
  <c r="B25690" i="1"/>
  <c r="A25691" i="1"/>
  <c r="B25691" i="1"/>
  <c r="A25692" i="1"/>
  <c r="B25692" i="1"/>
  <c r="A25693" i="1"/>
  <c r="B25693" i="1"/>
  <c r="A25694" i="1"/>
  <c r="B25694" i="1"/>
  <c r="A25695" i="1"/>
  <c r="B25695" i="1"/>
  <c r="A25696" i="1"/>
  <c r="B25696" i="1"/>
  <c r="A25697" i="1"/>
  <c r="B25697" i="1"/>
  <c r="A25698" i="1"/>
  <c r="B25698" i="1"/>
  <c r="A25699" i="1"/>
  <c r="B25699" i="1"/>
  <c r="A25700" i="1"/>
  <c r="B25700" i="1"/>
  <c r="A25701" i="1"/>
  <c r="B25701" i="1"/>
  <c r="A25702" i="1"/>
  <c r="B25702" i="1"/>
  <c r="A25703" i="1"/>
  <c r="B25703" i="1"/>
  <c r="A25704" i="1"/>
  <c r="B25704" i="1"/>
  <c r="A25705" i="1"/>
  <c r="B25705" i="1"/>
  <c r="A25706" i="1"/>
  <c r="B25706" i="1"/>
  <c r="A25707" i="1"/>
  <c r="B25707" i="1"/>
  <c r="A25708" i="1"/>
  <c r="B25708" i="1"/>
  <c r="A25709" i="1"/>
  <c r="B25709" i="1"/>
  <c r="A25710" i="1"/>
  <c r="B25710" i="1"/>
  <c r="A25711" i="1"/>
  <c r="B25711" i="1"/>
  <c r="A25712" i="1"/>
  <c r="B25712" i="1"/>
  <c r="A25713" i="1"/>
  <c r="B25713" i="1"/>
  <c r="A25714" i="1"/>
  <c r="B25714" i="1"/>
  <c r="A25715" i="1"/>
  <c r="B25715" i="1"/>
  <c r="A25716" i="1"/>
  <c r="B25716" i="1"/>
  <c r="A25717" i="1"/>
  <c r="B25717" i="1"/>
  <c r="A25718" i="1"/>
  <c r="B25718" i="1"/>
  <c r="A25719" i="1"/>
  <c r="B25719" i="1"/>
  <c r="A25720" i="1"/>
  <c r="B25720" i="1"/>
  <c r="A25721" i="1"/>
  <c r="B25721" i="1"/>
  <c r="A25722" i="1"/>
  <c r="B25722" i="1"/>
  <c r="A25723" i="1"/>
  <c r="B25723" i="1"/>
  <c r="A25724" i="1"/>
  <c r="B25724" i="1"/>
  <c r="A25725" i="1"/>
  <c r="B25725" i="1"/>
  <c r="A25726" i="1"/>
  <c r="B25726" i="1"/>
  <c r="A25727" i="1"/>
  <c r="B25727" i="1"/>
  <c r="A25728" i="1"/>
  <c r="B25728" i="1"/>
  <c r="A25729" i="1"/>
  <c r="B25729" i="1"/>
  <c r="A25730" i="1"/>
  <c r="B25730" i="1"/>
  <c r="A25731" i="1"/>
  <c r="B25731" i="1"/>
  <c r="A25732" i="1"/>
  <c r="B25732" i="1"/>
  <c r="A25733" i="1"/>
  <c r="B25733" i="1"/>
  <c r="A25734" i="1"/>
  <c r="B25734" i="1"/>
  <c r="A25735" i="1"/>
  <c r="B25735" i="1"/>
  <c r="A25736" i="1"/>
  <c r="B25736" i="1"/>
  <c r="A25737" i="1"/>
  <c r="B25737" i="1"/>
  <c r="A25738" i="1"/>
  <c r="B25738" i="1"/>
  <c r="A25739" i="1"/>
  <c r="B25739" i="1"/>
  <c r="A25740" i="1"/>
  <c r="B25740" i="1"/>
  <c r="A25741" i="1"/>
  <c r="B25741" i="1"/>
  <c r="A25742" i="1"/>
  <c r="B25742" i="1"/>
  <c r="A25743" i="1"/>
  <c r="B25743" i="1"/>
  <c r="A25744" i="1"/>
  <c r="B25744" i="1"/>
  <c r="A25745" i="1"/>
  <c r="B25745" i="1"/>
  <c r="A25746" i="1"/>
  <c r="B25746" i="1"/>
  <c r="A25747" i="1"/>
  <c r="B25747" i="1"/>
  <c r="A25748" i="1"/>
  <c r="B25748" i="1"/>
  <c r="A25749" i="1"/>
  <c r="B25749" i="1"/>
  <c r="A25750" i="1"/>
  <c r="B25750" i="1"/>
  <c r="A25751" i="1"/>
  <c r="B25751" i="1"/>
  <c r="A25752" i="1"/>
  <c r="B25752" i="1"/>
  <c r="A25753" i="1"/>
  <c r="B25753" i="1"/>
  <c r="A25754" i="1"/>
  <c r="B25754" i="1"/>
  <c r="A25755" i="1"/>
  <c r="B25755" i="1"/>
  <c r="A25756" i="1"/>
  <c r="B25756" i="1"/>
  <c r="A25757" i="1"/>
  <c r="B25757" i="1"/>
  <c r="A25758" i="1"/>
  <c r="B25758" i="1"/>
  <c r="A25759" i="1"/>
  <c r="B25759" i="1"/>
  <c r="A25760" i="1"/>
  <c r="B25760" i="1"/>
  <c r="A25761" i="1"/>
  <c r="B25761" i="1"/>
  <c r="A25762" i="1"/>
  <c r="B25762" i="1"/>
  <c r="A25763" i="1"/>
  <c r="B25763" i="1"/>
  <c r="A25764" i="1"/>
  <c r="B25764" i="1"/>
  <c r="A25765" i="1"/>
  <c r="B25765" i="1"/>
  <c r="A25766" i="1"/>
  <c r="B25766" i="1"/>
  <c r="A25767" i="1"/>
  <c r="B25767" i="1"/>
  <c r="A25768" i="1"/>
  <c r="B25768" i="1"/>
  <c r="A25769" i="1"/>
  <c r="B25769" i="1"/>
  <c r="A25770" i="1"/>
  <c r="B25770" i="1"/>
  <c r="A25771" i="1"/>
  <c r="B25771" i="1"/>
  <c r="A25772" i="1"/>
  <c r="B25772" i="1"/>
  <c r="A25773" i="1"/>
  <c r="B25773" i="1"/>
  <c r="A25774" i="1"/>
  <c r="B25774" i="1"/>
  <c r="A25775" i="1"/>
  <c r="B25775" i="1"/>
  <c r="A25776" i="1"/>
  <c r="B25776" i="1"/>
  <c r="A25777" i="1"/>
  <c r="B25777" i="1"/>
  <c r="A25778" i="1"/>
  <c r="B25778" i="1"/>
  <c r="A25779" i="1"/>
  <c r="B25779" i="1"/>
  <c r="A25780" i="1"/>
  <c r="B25780" i="1"/>
  <c r="A25781" i="1"/>
  <c r="B25781" i="1"/>
  <c r="A25782" i="1"/>
  <c r="B25782" i="1"/>
  <c r="A25783" i="1"/>
  <c r="B25783" i="1"/>
  <c r="A25784" i="1"/>
  <c r="B25784" i="1"/>
  <c r="A25785" i="1"/>
  <c r="B25785" i="1"/>
  <c r="A25786" i="1"/>
  <c r="B25786" i="1"/>
  <c r="A25787" i="1"/>
  <c r="B25787" i="1"/>
  <c r="A25788" i="1"/>
  <c r="B25788" i="1"/>
  <c r="A25789" i="1"/>
  <c r="B25789" i="1"/>
  <c r="A25790" i="1"/>
  <c r="B25790" i="1"/>
  <c r="A25791" i="1"/>
  <c r="B25791" i="1"/>
  <c r="A25792" i="1"/>
  <c r="B25792" i="1"/>
  <c r="A25793" i="1"/>
  <c r="B25793" i="1"/>
  <c r="A25794" i="1"/>
  <c r="B25794" i="1"/>
  <c r="A25795" i="1"/>
  <c r="B25795" i="1"/>
  <c r="A25796" i="1"/>
  <c r="B25796" i="1"/>
  <c r="A25797" i="1"/>
  <c r="B25797" i="1"/>
  <c r="A25798" i="1"/>
  <c r="B25798" i="1"/>
  <c r="A25799" i="1"/>
  <c r="B25799" i="1"/>
  <c r="A25800" i="1"/>
  <c r="B25800" i="1"/>
  <c r="A25801" i="1"/>
  <c r="B25801" i="1"/>
  <c r="A25802" i="1"/>
  <c r="B25802" i="1"/>
  <c r="A25803" i="1"/>
  <c r="B25803" i="1"/>
  <c r="A25804" i="1"/>
  <c r="B25804" i="1"/>
  <c r="A25805" i="1"/>
  <c r="B25805" i="1"/>
  <c r="A25806" i="1"/>
  <c r="B25806" i="1"/>
  <c r="A25807" i="1"/>
  <c r="B25807" i="1"/>
  <c r="A25808" i="1"/>
  <c r="B25808" i="1"/>
  <c r="A25809" i="1"/>
  <c r="B25809" i="1"/>
  <c r="A25810" i="1"/>
  <c r="B25810" i="1"/>
  <c r="A25811" i="1"/>
  <c r="B25811" i="1"/>
  <c r="A25812" i="1"/>
  <c r="B25812" i="1"/>
  <c r="A25813" i="1"/>
  <c r="B25813" i="1"/>
  <c r="A25814" i="1"/>
  <c r="B25814" i="1"/>
  <c r="A25815" i="1"/>
  <c r="B25815" i="1"/>
  <c r="A25816" i="1"/>
  <c r="B25816" i="1"/>
  <c r="A25817" i="1"/>
  <c r="B25817" i="1"/>
  <c r="A25818" i="1"/>
  <c r="B25818" i="1"/>
  <c r="A25819" i="1"/>
  <c r="B25819" i="1"/>
  <c r="A25820" i="1"/>
  <c r="B25820" i="1"/>
  <c r="A25821" i="1"/>
  <c r="B25821" i="1"/>
  <c r="A25822" i="1"/>
  <c r="B25822" i="1"/>
  <c r="A25823" i="1"/>
  <c r="B25823" i="1"/>
  <c r="A25824" i="1"/>
  <c r="B25824" i="1"/>
  <c r="A25825" i="1"/>
  <c r="B25825" i="1"/>
  <c r="A25826" i="1"/>
  <c r="B25826" i="1"/>
  <c r="A25827" i="1"/>
  <c r="B25827" i="1"/>
  <c r="A25828" i="1"/>
  <c r="B25828" i="1"/>
  <c r="A25829" i="1"/>
  <c r="B25829" i="1"/>
  <c r="A25830" i="1"/>
  <c r="B25830" i="1"/>
  <c r="A25831" i="1"/>
  <c r="B25831" i="1"/>
  <c r="A25832" i="1"/>
  <c r="B25832" i="1"/>
  <c r="A25833" i="1"/>
  <c r="B25833" i="1"/>
  <c r="A25834" i="1"/>
  <c r="B25834" i="1"/>
  <c r="A25835" i="1"/>
  <c r="B25835" i="1"/>
  <c r="A25836" i="1"/>
  <c r="B25836" i="1"/>
  <c r="A25837" i="1"/>
  <c r="B25837" i="1"/>
  <c r="A25838" i="1"/>
  <c r="B25838" i="1"/>
  <c r="A25839" i="1"/>
  <c r="B25839" i="1"/>
  <c r="A25840" i="1"/>
  <c r="B25840" i="1"/>
  <c r="A25841" i="1"/>
  <c r="B25841" i="1"/>
  <c r="A25842" i="1"/>
  <c r="B25842" i="1"/>
  <c r="A25843" i="1"/>
  <c r="B25843" i="1"/>
  <c r="A25844" i="1"/>
  <c r="B25844" i="1"/>
  <c r="A25845" i="1"/>
  <c r="B25845" i="1"/>
  <c r="A25846" i="1"/>
  <c r="B25846" i="1"/>
  <c r="A25847" i="1"/>
  <c r="B25847" i="1"/>
  <c r="A25848" i="1"/>
  <c r="B25848" i="1"/>
  <c r="A25849" i="1"/>
  <c r="B25849" i="1"/>
  <c r="A25850" i="1"/>
  <c r="B25850" i="1"/>
  <c r="A25851" i="1"/>
  <c r="B25851" i="1"/>
  <c r="A25852" i="1"/>
  <c r="B25852" i="1"/>
  <c r="A25853" i="1"/>
  <c r="B25853" i="1"/>
  <c r="A25854" i="1"/>
  <c r="B25854" i="1"/>
  <c r="A25855" i="1"/>
  <c r="B25855" i="1"/>
  <c r="A25856" i="1"/>
  <c r="B25856" i="1"/>
  <c r="A25857" i="1"/>
  <c r="B25857" i="1"/>
  <c r="A25858" i="1"/>
  <c r="B25858" i="1"/>
  <c r="A25859" i="1"/>
  <c r="B25859" i="1"/>
  <c r="A25860" i="1"/>
  <c r="B25860" i="1"/>
  <c r="A25861" i="1"/>
  <c r="B25861" i="1"/>
  <c r="A25862" i="1"/>
  <c r="B25862" i="1"/>
  <c r="A25863" i="1"/>
  <c r="B25863" i="1"/>
  <c r="A25864" i="1"/>
  <c r="B25864" i="1"/>
  <c r="A25865" i="1"/>
  <c r="B25865" i="1"/>
  <c r="A25866" i="1"/>
  <c r="B25866" i="1"/>
  <c r="A25867" i="1"/>
  <c r="B25867" i="1"/>
  <c r="A25868" i="1"/>
  <c r="B25868" i="1"/>
  <c r="A25869" i="1"/>
  <c r="B25869" i="1"/>
  <c r="A25870" i="1"/>
  <c r="B25870" i="1"/>
  <c r="A25871" i="1"/>
  <c r="B25871" i="1"/>
  <c r="A25872" i="1"/>
  <c r="B25872" i="1"/>
  <c r="A25873" i="1"/>
  <c r="B25873" i="1"/>
  <c r="A25874" i="1"/>
  <c r="B25874" i="1"/>
  <c r="A25875" i="1"/>
  <c r="B25875" i="1"/>
  <c r="A25876" i="1"/>
  <c r="B25876" i="1"/>
  <c r="A25877" i="1"/>
  <c r="B25877" i="1"/>
  <c r="A25878" i="1"/>
  <c r="B25878" i="1"/>
  <c r="A25879" i="1"/>
  <c r="B25879" i="1"/>
  <c r="A25880" i="1"/>
  <c r="B25880" i="1"/>
  <c r="A25881" i="1"/>
  <c r="B25881" i="1"/>
  <c r="A25882" i="1"/>
  <c r="B25882" i="1"/>
  <c r="A25883" i="1"/>
  <c r="B25883" i="1"/>
  <c r="A25884" i="1"/>
  <c r="B25884" i="1"/>
  <c r="A25885" i="1"/>
  <c r="B25885" i="1"/>
  <c r="A25886" i="1"/>
  <c r="B25886" i="1"/>
  <c r="A25887" i="1"/>
  <c r="B25887" i="1"/>
  <c r="A25888" i="1"/>
  <c r="B25888" i="1"/>
  <c r="A25889" i="1"/>
  <c r="B25889" i="1"/>
  <c r="A25890" i="1"/>
  <c r="B25890" i="1"/>
  <c r="A25891" i="1"/>
  <c r="B25891" i="1"/>
  <c r="A25892" i="1"/>
  <c r="B25892" i="1"/>
  <c r="A25893" i="1"/>
  <c r="B25893" i="1"/>
  <c r="A25894" i="1"/>
  <c r="B25894" i="1"/>
  <c r="A25895" i="1"/>
  <c r="B25895" i="1"/>
  <c r="A25896" i="1"/>
  <c r="B25896" i="1"/>
  <c r="A25897" i="1"/>
  <c r="B25897" i="1"/>
  <c r="A25898" i="1"/>
  <c r="B25898" i="1"/>
  <c r="A25899" i="1"/>
  <c r="B25899" i="1"/>
  <c r="A25900" i="1"/>
  <c r="B25900" i="1"/>
  <c r="A25901" i="1"/>
  <c r="B25901" i="1"/>
  <c r="A25902" i="1"/>
  <c r="B25902" i="1"/>
  <c r="A25903" i="1"/>
  <c r="B25903" i="1"/>
  <c r="A25904" i="1"/>
  <c r="B25904" i="1"/>
  <c r="A25905" i="1"/>
  <c r="B25905" i="1"/>
  <c r="A25906" i="1"/>
  <c r="B25906" i="1"/>
  <c r="A25907" i="1"/>
  <c r="B25907" i="1"/>
  <c r="A25908" i="1"/>
  <c r="B25908" i="1"/>
  <c r="A25909" i="1"/>
  <c r="B25909" i="1"/>
  <c r="A25910" i="1"/>
  <c r="B25910" i="1"/>
  <c r="A25911" i="1"/>
  <c r="B25911" i="1"/>
  <c r="A25912" i="1"/>
  <c r="B25912" i="1"/>
  <c r="A25913" i="1"/>
  <c r="B25913" i="1"/>
  <c r="A25914" i="1"/>
  <c r="B25914" i="1"/>
  <c r="A25915" i="1"/>
  <c r="B25915" i="1"/>
  <c r="A25916" i="1"/>
  <c r="B25916" i="1"/>
  <c r="A25917" i="1"/>
  <c r="B25917" i="1"/>
  <c r="A25918" i="1"/>
  <c r="B25918" i="1"/>
  <c r="A25919" i="1"/>
  <c r="B25919" i="1"/>
  <c r="A25920" i="1"/>
  <c r="B25920" i="1"/>
  <c r="A25921" i="1"/>
  <c r="B25921" i="1"/>
  <c r="A25922" i="1"/>
  <c r="B25922" i="1"/>
  <c r="A25923" i="1"/>
  <c r="B25923" i="1"/>
  <c r="A25924" i="1"/>
  <c r="B25924" i="1"/>
  <c r="A25925" i="1"/>
  <c r="B25925" i="1"/>
  <c r="A25926" i="1"/>
  <c r="B25926" i="1"/>
  <c r="A25927" i="1"/>
  <c r="B25927" i="1"/>
  <c r="A25928" i="1"/>
  <c r="B25928" i="1"/>
  <c r="A25929" i="1"/>
  <c r="B25929" i="1"/>
  <c r="A25930" i="1"/>
  <c r="B25930" i="1"/>
  <c r="A25931" i="1"/>
  <c r="B25931" i="1"/>
  <c r="A25932" i="1"/>
  <c r="B25932" i="1"/>
  <c r="A25933" i="1"/>
  <c r="B25933" i="1"/>
  <c r="A25934" i="1"/>
  <c r="B25934" i="1"/>
  <c r="A25935" i="1"/>
  <c r="B25935" i="1"/>
  <c r="A25936" i="1"/>
  <c r="B25936" i="1"/>
  <c r="A25937" i="1"/>
  <c r="B25937" i="1"/>
  <c r="A25938" i="1"/>
  <c r="B25938" i="1"/>
  <c r="A25939" i="1"/>
  <c r="B25939" i="1"/>
  <c r="A25940" i="1"/>
  <c r="B25940" i="1"/>
  <c r="A25941" i="1"/>
  <c r="B25941" i="1"/>
  <c r="A25942" i="1"/>
  <c r="B25942" i="1"/>
  <c r="A25943" i="1"/>
  <c r="B25943" i="1"/>
  <c r="A25944" i="1"/>
  <c r="B25944" i="1"/>
  <c r="A25945" i="1"/>
  <c r="B25945" i="1"/>
  <c r="A25946" i="1"/>
  <c r="B25946" i="1"/>
  <c r="A25947" i="1"/>
  <c r="B25947" i="1"/>
  <c r="A25948" i="1"/>
  <c r="B25948" i="1"/>
  <c r="A25949" i="1"/>
  <c r="B25949" i="1"/>
  <c r="A25950" i="1"/>
  <c r="B25950" i="1"/>
  <c r="A25951" i="1"/>
  <c r="B25951" i="1"/>
  <c r="A25952" i="1"/>
  <c r="B25952" i="1"/>
  <c r="A25953" i="1"/>
  <c r="B25953" i="1"/>
  <c r="A25954" i="1"/>
  <c r="B25954" i="1"/>
  <c r="A25955" i="1"/>
  <c r="B25955" i="1"/>
  <c r="A25956" i="1"/>
  <c r="B25956" i="1"/>
  <c r="A25957" i="1"/>
  <c r="B25957" i="1"/>
  <c r="A25958" i="1"/>
  <c r="B25958" i="1"/>
  <c r="A25959" i="1"/>
  <c r="B25959" i="1"/>
  <c r="A25960" i="1"/>
  <c r="B25960" i="1"/>
  <c r="A25961" i="1"/>
  <c r="B25961" i="1"/>
  <c r="A25962" i="1"/>
  <c r="B25962" i="1"/>
  <c r="A25963" i="1"/>
  <c r="B25963" i="1"/>
  <c r="A25964" i="1"/>
  <c r="B25964" i="1"/>
  <c r="A25965" i="1"/>
  <c r="B25965" i="1"/>
  <c r="A25966" i="1"/>
  <c r="B25966" i="1"/>
  <c r="A25967" i="1"/>
  <c r="B25967" i="1"/>
  <c r="A25968" i="1"/>
  <c r="B25968" i="1"/>
  <c r="A25969" i="1"/>
  <c r="B25969" i="1"/>
  <c r="A25970" i="1"/>
  <c r="B25970" i="1"/>
  <c r="A25971" i="1"/>
  <c r="B25971" i="1"/>
  <c r="A25972" i="1"/>
  <c r="B25972" i="1"/>
  <c r="A25973" i="1"/>
  <c r="B25973" i="1"/>
  <c r="A25974" i="1"/>
  <c r="B25974" i="1"/>
  <c r="A25975" i="1"/>
  <c r="B25975" i="1"/>
  <c r="A25976" i="1"/>
  <c r="B25976" i="1"/>
  <c r="A25977" i="1"/>
  <c r="B25977" i="1"/>
  <c r="A25978" i="1"/>
  <c r="B25978" i="1"/>
  <c r="A25979" i="1"/>
  <c r="B25979" i="1"/>
  <c r="A25980" i="1"/>
  <c r="B25980" i="1"/>
  <c r="A25981" i="1"/>
  <c r="B25981" i="1"/>
  <c r="A25982" i="1"/>
  <c r="B25982" i="1"/>
  <c r="A25983" i="1"/>
  <c r="B25983" i="1"/>
  <c r="A25984" i="1"/>
  <c r="B25984" i="1"/>
  <c r="A25985" i="1"/>
  <c r="B25985" i="1"/>
  <c r="A25986" i="1"/>
  <c r="B25986" i="1"/>
  <c r="A25987" i="1"/>
  <c r="B25987" i="1"/>
  <c r="A25988" i="1"/>
  <c r="B25988" i="1"/>
  <c r="A25989" i="1"/>
  <c r="B25989" i="1"/>
  <c r="A25990" i="1"/>
  <c r="B25990" i="1"/>
  <c r="A25991" i="1"/>
  <c r="B25991" i="1"/>
  <c r="A25992" i="1"/>
  <c r="B25992" i="1"/>
  <c r="A25993" i="1"/>
  <c r="B25993" i="1"/>
  <c r="A25994" i="1"/>
  <c r="B25994" i="1"/>
  <c r="A25995" i="1"/>
  <c r="B25995" i="1"/>
  <c r="A25996" i="1"/>
  <c r="B25996" i="1"/>
  <c r="A25997" i="1"/>
  <c r="B25997" i="1"/>
  <c r="A25998" i="1"/>
  <c r="B25998" i="1"/>
  <c r="A25999" i="1"/>
  <c r="B25999" i="1"/>
  <c r="A26000" i="1"/>
  <c r="B26000" i="1"/>
  <c r="A26001" i="1"/>
  <c r="B26001" i="1"/>
  <c r="A26002" i="1"/>
  <c r="B26002" i="1"/>
  <c r="A26003" i="1"/>
  <c r="B26003" i="1"/>
  <c r="A26004" i="1"/>
  <c r="B26004" i="1"/>
  <c r="A26005" i="1"/>
  <c r="B26005" i="1"/>
  <c r="A26006" i="1"/>
  <c r="B26006" i="1"/>
  <c r="A26007" i="1"/>
  <c r="B26007" i="1"/>
  <c r="A26008" i="1"/>
  <c r="B26008" i="1"/>
  <c r="A26009" i="1"/>
  <c r="B26009" i="1"/>
  <c r="A26010" i="1"/>
  <c r="B26010" i="1"/>
  <c r="A26011" i="1"/>
  <c r="B26011" i="1"/>
  <c r="A26012" i="1"/>
  <c r="B26012" i="1"/>
  <c r="A26013" i="1"/>
  <c r="B26013" i="1"/>
  <c r="A26014" i="1"/>
  <c r="B26014" i="1"/>
  <c r="A26015" i="1"/>
  <c r="B26015" i="1"/>
  <c r="A26016" i="1"/>
  <c r="B26016" i="1"/>
  <c r="A26017" i="1"/>
  <c r="B26017" i="1"/>
  <c r="A26018" i="1"/>
  <c r="B26018" i="1"/>
  <c r="A26019" i="1"/>
  <c r="B26019" i="1"/>
  <c r="A26020" i="1"/>
  <c r="B26020" i="1"/>
  <c r="A26021" i="1"/>
  <c r="B26021" i="1"/>
  <c r="A26022" i="1"/>
  <c r="B26022" i="1"/>
  <c r="A26023" i="1"/>
  <c r="B26023" i="1"/>
  <c r="A26024" i="1"/>
  <c r="B26024" i="1"/>
  <c r="A26025" i="1"/>
  <c r="B26025" i="1"/>
  <c r="A26026" i="1"/>
  <c r="B26026" i="1"/>
  <c r="A26027" i="1"/>
  <c r="B26027" i="1"/>
  <c r="A26028" i="1"/>
  <c r="B26028" i="1"/>
  <c r="A26029" i="1"/>
  <c r="B26029" i="1"/>
  <c r="A26030" i="1"/>
  <c r="B26030" i="1"/>
  <c r="A26031" i="1"/>
  <c r="B26031" i="1"/>
  <c r="A26032" i="1"/>
  <c r="B26032" i="1"/>
  <c r="A26033" i="1"/>
  <c r="B26033" i="1"/>
  <c r="A26034" i="1"/>
  <c r="B26034" i="1"/>
  <c r="A26035" i="1"/>
  <c r="B26035" i="1"/>
  <c r="A26036" i="1"/>
  <c r="B26036" i="1"/>
  <c r="A26037" i="1"/>
  <c r="B26037" i="1"/>
  <c r="A26038" i="1"/>
  <c r="B26038" i="1"/>
  <c r="A26039" i="1"/>
  <c r="B26039" i="1"/>
  <c r="A26040" i="1"/>
  <c r="B26040" i="1"/>
  <c r="A26041" i="1"/>
  <c r="B26041" i="1"/>
  <c r="A26042" i="1"/>
  <c r="B26042" i="1"/>
  <c r="A26043" i="1"/>
  <c r="B26043" i="1"/>
  <c r="A26044" i="1"/>
  <c r="B26044" i="1"/>
  <c r="A26045" i="1"/>
  <c r="B26045" i="1"/>
  <c r="A26046" i="1"/>
  <c r="B26046" i="1"/>
  <c r="A26047" i="1"/>
  <c r="B26047" i="1"/>
  <c r="A26048" i="1"/>
  <c r="B26048" i="1"/>
  <c r="A26049" i="1"/>
  <c r="B26049" i="1"/>
  <c r="A26050" i="1"/>
  <c r="B26050" i="1"/>
  <c r="A26051" i="1"/>
  <c r="B26051" i="1"/>
  <c r="A26052" i="1"/>
  <c r="B26052" i="1"/>
  <c r="A26053" i="1"/>
  <c r="B26053" i="1"/>
  <c r="A26054" i="1"/>
  <c r="B26054" i="1"/>
  <c r="A26055" i="1"/>
  <c r="B26055" i="1"/>
  <c r="A26056" i="1"/>
  <c r="B26056" i="1"/>
  <c r="A26057" i="1"/>
  <c r="B26057" i="1"/>
  <c r="A26058" i="1"/>
  <c r="B26058" i="1"/>
  <c r="A26059" i="1"/>
  <c r="B26059" i="1"/>
  <c r="A26060" i="1"/>
  <c r="B26060" i="1"/>
  <c r="A26061" i="1"/>
  <c r="B26061" i="1"/>
  <c r="A26062" i="1"/>
  <c r="B26062" i="1"/>
  <c r="A26063" i="1"/>
  <c r="B26063" i="1"/>
  <c r="A26064" i="1"/>
  <c r="B26064" i="1"/>
  <c r="A26065" i="1"/>
  <c r="B26065" i="1"/>
  <c r="A26066" i="1"/>
  <c r="B26066" i="1"/>
  <c r="A26067" i="1"/>
  <c r="B26067" i="1"/>
  <c r="A26068" i="1"/>
  <c r="B26068" i="1"/>
  <c r="A26069" i="1"/>
  <c r="B26069" i="1"/>
  <c r="A26070" i="1"/>
  <c r="B26070" i="1"/>
  <c r="A26071" i="1"/>
  <c r="B26071" i="1"/>
  <c r="A26072" i="1"/>
  <c r="B26072" i="1"/>
  <c r="A26073" i="1"/>
  <c r="B26073" i="1"/>
  <c r="A26074" i="1"/>
  <c r="B26074" i="1"/>
  <c r="A26075" i="1"/>
  <c r="B26075" i="1"/>
  <c r="A26076" i="1"/>
  <c r="B26076" i="1"/>
  <c r="A26077" i="1"/>
  <c r="B26077" i="1"/>
  <c r="A26078" i="1"/>
  <c r="B26078" i="1"/>
  <c r="A26079" i="1"/>
  <c r="B26079" i="1"/>
  <c r="A26080" i="1"/>
  <c r="B26080" i="1"/>
  <c r="A26081" i="1"/>
  <c r="B26081" i="1"/>
  <c r="A26082" i="1"/>
  <c r="B26082" i="1"/>
  <c r="A26083" i="1"/>
  <c r="B26083" i="1"/>
  <c r="A26084" i="1"/>
  <c r="B26084" i="1"/>
  <c r="A26085" i="1"/>
  <c r="B26085" i="1"/>
  <c r="A26086" i="1"/>
  <c r="B26086" i="1"/>
  <c r="A26087" i="1"/>
  <c r="B26087" i="1"/>
  <c r="A26088" i="1"/>
  <c r="B26088" i="1"/>
  <c r="A26089" i="1"/>
  <c r="B26089" i="1"/>
  <c r="A26090" i="1"/>
  <c r="B26090" i="1"/>
  <c r="A26091" i="1"/>
  <c r="B26091" i="1"/>
  <c r="A26092" i="1"/>
  <c r="B26092" i="1"/>
  <c r="A26093" i="1"/>
  <c r="B26093" i="1"/>
  <c r="A26094" i="1"/>
  <c r="B26094" i="1"/>
  <c r="A26095" i="1"/>
  <c r="B26095" i="1"/>
  <c r="A26096" i="1"/>
  <c r="B26096" i="1"/>
  <c r="A26097" i="1"/>
  <c r="B26097" i="1"/>
  <c r="A26098" i="1"/>
  <c r="B26098" i="1"/>
  <c r="A26099" i="1"/>
  <c r="B26099" i="1"/>
  <c r="A26100" i="1"/>
  <c r="B26100" i="1"/>
  <c r="A26101" i="1"/>
  <c r="B26101" i="1"/>
  <c r="A26102" i="1"/>
  <c r="B26102" i="1"/>
  <c r="A26103" i="1"/>
  <c r="B26103" i="1"/>
  <c r="A26104" i="1"/>
  <c r="B26104" i="1"/>
  <c r="A26105" i="1"/>
  <c r="B26105" i="1"/>
  <c r="A26106" i="1"/>
  <c r="B26106" i="1"/>
  <c r="A26107" i="1"/>
  <c r="B26107" i="1"/>
  <c r="A26108" i="1"/>
  <c r="B26108" i="1"/>
  <c r="A26109" i="1"/>
  <c r="B26109" i="1"/>
  <c r="A26110" i="1"/>
  <c r="B26110" i="1"/>
  <c r="A26111" i="1"/>
  <c r="B26111" i="1"/>
  <c r="A26112" i="1"/>
  <c r="B26112" i="1"/>
  <c r="A26113" i="1"/>
  <c r="B26113" i="1"/>
  <c r="A26114" i="1"/>
  <c r="B26114" i="1"/>
  <c r="A26115" i="1"/>
  <c r="B26115" i="1"/>
  <c r="A26116" i="1"/>
  <c r="B26116" i="1"/>
  <c r="A26117" i="1"/>
  <c r="B26117" i="1"/>
  <c r="A26118" i="1"/>
  <c r="B26118" i="1"/>
  <c r="A26119" i="1"/>
  <c r="B26119" i="1"/>
  <c r="A26120" i="1"/>
  <c r="B26120" i="1"/>
  <c r="A26121" i="1"/>
  <c r="B26121" i="1"/>
  <c r="A26122" i="1"/>
  <c r="B26122" i="1"/>
  <c r="A26123" i="1"/>
  <c r="B26123" i="1"/>
  <c r="A26124" i="1"/>
  <c r="B26124" i="1"/>
  <c r="A26125" i="1"/>
  <c r="B26125" i="1"/>
  <c r="A26126" i="1"/>
  <c r="B26126" i="1"/>
  <c r="A26127" i="1"/>
  <c r="B26127" i="1"/>
  <c r="A26128" i="1"/>
  <c r="B26128" i="1"/>
  <c r="A26129" i="1"/>
  <c r="B26129" i="1"/>
  <c r="A26130" i="1"/>
  <c r="B26130" i="1"/>
  <c r="A26131" i="1"/>
  <c r="B26131" i="1"/>
  <c r="A26132" i="1"/>
  <c r="B26132" i="1"/>
  <c r="A26133" i="1"/>
  <c r="B26133" i="1"/>
  <c r="A26134" i="1"/>
  <c r="B26134" i="1"/>
  <c r="A26135" i="1"/>
  <c r="B26135" i="1"/>
  <c r="A26136" i="1"/>
  <c r="B26136" i="1"/>
  <c r="A26137" i="1"/>
  <c r="B26137" i="1"/>
  <c r="A26138" i="1"/>
  <c r="B26138" i="1"/>
  <c r="A26139" i="1"/>
  <c r="B26139" i="1"/>
  <c r="A26140" i="1"/>
  <c r="B26140" i="1"/>
  <c r="A26141" i="1"/>
  <c r="B26141" i="1"/>
  <c r="A26142" i="1"/>
  <c r="B26142" i="1"/>
  <c r="A26143" i="1"/>
  <c r="B26143" i="1"/>
  <c r="A26144" i="1"/>
  <c r="B26144" i="1"/>
  <c r="A26145" i="1"/>
  <c r="B26145" i="1"/>
  <c r="A26146" i="1"/>
  <c r="B26146" i="1"/>
  <c r="A26147" i="1"/>
  <c r="B26147" i="1"/>
  <c r="A26148" i="1"/>
  <c r="B26148" i="1"/>
  <c r="A26149" i="1"/>
  <c r="B26149" i="1"/>
  <c r="A26150" i="1"/>
  <c r="B26150" i="1"/>
  <c r="A26151" i="1"/>
  <c r="B26151" i="1"/>
  <c r="A26152" i="1"/>
  <c r="B26152" i="1"/>
  <c r="A26153" i="1"/>
  <c r="B26153" i="1"/>
  <c r="A26154" i="1"/>
  <c r="B26154" i="1"/>
  <c r="A26155" i="1"/>
  <c r="B26155" i="1"/>
  <c r="A26156" i="1"/>
  <c r="B26156" i="1"/>
  <c r="A26157" i="1"/>
  <c r="B26157" i="1"/>
  <c r="A26158" i="1"/>
  <c r="B26158" i="1"/>
  <c r="A26159" i="1"/>
  <c r="B26159" i="1"/>
  <c r="A26160" i="1"/>
  <c r="B26160" i="1"/>
  <c r="A26161" i="1"/>
  <c r="B26161" i="1"/>
  <c r="A26162" i="1"/>
  <c r="B26162" i="1"/>
  <c r="A26163" i="1"/>
  <c r="B26163" i="1"/>
  <c r="A26164" i="1"/>
  <c r="B26164" i="1"/>
  <c r="A26165" i="1"/>
  <c r="B26165" i="1"/>
  <c r="A26166" i="1"/>
  <c r="B26166" i="1"/>
  <c r="A26167" i="1"/>
  <c r="B26167" i="1"/>
  <c r="A26168" i="1"/>
  <c r="B26168" i="1"/>
  <c r="A26169" i="1"/>
  <c r="B26169" i="1"/>
  <c r="A26170" i="1"/>
  <c r="B26170" i="1"/>
  <c r="A26171" i="1"/>
  <c r="B26171" i="1"/>
  <c r="A26172" i="1"/>
  <c r="B26172" i="1"/>
  <c r="A26173" i="1"/>
  <c r="B26173" i="1"/>
  <c r="A26174" i="1"/>
  <c r="B26174" i="1"/>
  <c r="A26175" i="1"/>
  <c r="B26175" i="1"/>
  <c r="A26176" i="1"/>
  <c r="B26176" i="1"/>
  <c r="A26177" i="1"/>
  <c r="B26177" i="1"/>
  <c r="A26178" i="1"/>
  <c r="B26178" i="1"/>
  <c r="A26179" i="1"/>
  <c r="B26179" i="1"/>
  <c r="A26180" i="1"/>
  <c r="B26180" i="1"/>
  <c r="A26181" i="1"/>
  <c r="B26181" i="1"/>
  <c r="A26182" i="1"/>
  <c r="B26182" i="1"/>
  <c r="A26183" i="1"/>
  <c r="B26183" i="1"/>
  <c r="A26184" i="1"/>
  <c r="B26184" i="1"/>
  <c r="A26185" i="1"/>
  <c r="B26185" i="1"/>
  <c r="A26186" i="1"/>
  <c r="B26186" i="1"/>
  <c r="A26187" i="1"/>
  <c r="B26187" i="1"/>
  <c r="A26188" i="1"/>
  <c r="B26188" i="1"/>
  <c r="A26189" i="1"/>
  <c r="B26189" i="1"/>
  <c r="A26190" i="1"/>
  <c r="B26190" i="1"/>
  <c r="A26191" i="1"/>
  <c r="B26191" i="1"/>
  <c r="A26192" i="1"/>
  <c r="B26192" i="1"/>
  <c r="A26193" i="1"/>
  <c r="B26193" i="1"/>
  <c r="A26194" i="1"/>
  <c r="B26194" i="1"/>
  <c r="A26195" i="1"/>
  <c r="B26195" i="1"/>
  <c r="A26196" i="1"/>
  <c r="B26196" i="1"/>
  <c r="A26197" i="1"/>
  <c r="B26197" i="1"/>
  <c r="A26198" i="1"/>
  <c r="B26198" i="1"/>
  <c r="A26199" i="1"/>
  <c r="B26199" i="1"/>
  <c r="A26200" i="1"/>
  <c r="B26200" i="1"/>
  <c r="A26201" i="1"/>
  <c r="B26201" i="1"/>
  <c r="A26202" i="1"/>
  <c r="B26202" i="1"/>
  <c r="A26203" i="1"/>
  <c r="B26203" i="1"/>
  <c r="A26204" i="1"/>
  <c r="B26204" i="1"/>
  <c r="A26205" i="1"/>
  <c r="B26205" i="1"/>
  <c r="A26206" i="1"/>
  <c r="B26206" i="1"/>
  <c r="A26207" i="1"/>
  <c r="B26207" i="1"/>
  <c r="A26208" i="1"/>
  <c r="B26208" i="1"/>
  <c r="A26209" i="1"/>
  <c r="B26209" i="1"/>
  <c r="A26210" i="1"/>
  <c r="B26210" i="1"/>
  <c r="A26211" i="1"/>
  <c r="B26211" i="1"/>
  <c r="A26212" i="1"/>
  <c r="B26212" i="1"/>
  <c r="A26213" i="1"/>
  <c r="B26213" i="1"/>
  <c r="A26214" i="1"/>
  <c r="B26214" i="1"/>
  <c r="A26215" i="1"/>
  <c r="B26215" i="1"/>
  <c r="A26216" i="1"/>
  <c r="B26216" i="1"/>
  <c r="A26217" i="1"/>
  <c r="B26217" i="1"/>
  <c r="A26218" i="1"/>
  <c r="B26218" i="1"/>
  <c r="A26219" i="1"/>
  <c r="B26219" i="1"/>
  <c r="A26220" i="1"/>
  <c r="B26220" i="1"/>
  <c r="A26221" i="1"/>
  <c r="B26221" i="1"/>
  <c r="A26222" i="1"/>
  <c r="B26222" i="1"/>
  <c r="A26223" i="1"/>
  <c r="B26223" i="1"/>
  <c r="A26224" i="1"/>
  <c r="B26224" i="1"/>
  <c r="A26225" i="1"/>
  <c r="B26225" i="1"/>
  <c r="A26226" i="1"/>
  <c r="B26226" i="1"/>
  <c r="A26227" i="1"/>
  <c r="B26227" i="1"/>
  <c r="A26228" i="1"/>
  <c r="B26228" i="1"/>
  <c r="A26229" i="1"/>
  <c r="B26229" i="1"/>
  <c r="A26230" i="1"/>
  <c r="B26230" i="1"/>
  <c r="A26231" i="1"/>
  <c r="B26231" i="1"/>
  <c r="A26232" i="1"/>
  <c r="B26232" i="1"/>
  <c r="A26233" i="1"/>
  <c r="B26233" i="1"/>
  <c r="A26234" i="1"/>
  <c r="B26234" i="1"/>
  <c r="A26235" i="1"/>
  <c r="B26235" i="1"/>
  <c r="A26236" i="1"/>
  <c r="B26236" i="1"/>
  <c r="A26237" i="1"/>
  <c r="B26237" i="1"/>
  <c r="A26238" i="1"/>
  <c r="B26238" i="1"/>
  <c r="A26239" i="1"/>
  <c r="B26239" i="1"/>
  <c r="A26240" i="1"/>
  <c r="B26240" i="1"/>
  <c r="A26241" i="1"/>
  <c r="B26241" i="1"/>
  <c r="A26242" i="1"/>
  <c r="B26242" i="1"/>
  <c r="A26243" i="1"/>
  <c r="B26243" i="1"/>
  <c r="A26244" i="1"/>
  <c r="B26244" i="1"/>
  <c r="A26245" i="1"/>
  <c r="B26245" i="1"/>
  <c r="A26246" i="1"/>
  <c r="B26246" i="1"/>
  <c r="A26247" i="1"/>
  <c r="B26247" i="1"/>
  <c r="A26248" i="1"/>
  <c r="B26248" i="1"/>
  <c r="A26249" i="1"/>
  <c r="B26249" i="1"/>
  <c r="A26250" i="1"/>
  <c r="B26250" i="1"/>
  <c r="A26251" i="1"/>
  <c r="B26251" i="1"/>
  <c r="A26252" i="1"/>
  <c r="B26252" i="1"/>
  <c r="A26253" i="1"/>
  <c r="B26253" i="1"/>
  <c r="A26254" i="1"/>
  <c r="B26254" i="1"/>
  <c r="A26255" i="1"/>
  <c r="B26255" i="1"/>
  <c r="A26256" i="1"/>
  <c r="B26256" i="1"/>
  <c r="A26257" i="1"/>
  <c r="B26257" i="1"/>
  <c r="A26258" i="1"/>
  <c r="B26258" i="1"/>
  <c r="A26259" i="1"/>
  <c r="B26259" i="1"/>
  <c r="A26260" i="1"/>
  <c r="B26260" i="1"/>
  <c r="A26261" i="1"/>
  <c r="B26261" i="1"/>
  <c r="A26262" i="1"/>
  <c r="B26262" i="1"/>
  <c r="A26263" i="1"/>
  <c r="B26263" i="1"/>
  <c r="A26264" i="1"/>
  <c r="B26264" i="1"/>
  <c r="A26265" i="1"/>
  <c r="B26265" i="1"/>
  <c r="A26266" i="1"/>
  <c r="B26266" i="1"/>
  <c r="A26267" i="1"/>
  <c r="B26267" i="1"/>
  <c r="A26268" i="1"/>
  <c r="B26268" i="1"/>
  <c r="A26269" i="1"/>
  <c r="B26269" i="1"/>
  <c r="A26270" i="1"/>
  <c r="B26270" i="1"/>
  <c r="A26271" i="1"/>
  <c r="B26271" i="1"/>
  <c r="A26272" i="1"/>
  <c r="B26272" i="1"/>
  <c r="A26273" i="1"/>
  <c r="B26273" i="1"/>
  <c r="A26274" i="1"/>
  <c r="B26274" i="1"/>
  <c r="A26275" i="1"/>
  <c r="B26275" i="1"/>
  <c r="A26276" i="1"/>
  <c r="B26276" i="1"/>
  <c r="A26277" i="1"/>
  <c r="B26277" i="1"/>
  <c r="A26278" i="1"/>
  <c r="B26278" i="1"/>
  <c r="A26279" i="1"/>
  <c r="B26279" i="1"/>
  <c r="A26280" i="1"/>
  <c r="B26280" i="1"/>
  <c r="A26281" i="1"/>
  <c r="B26281" i="1"/>
  <c r="A26282" i="1"/>
  <c r="B26282" i="1"/>
  <c r="A26283" i="1"/>
  <c r="B26283" i="1"/>
  <c r="A26284" i="1"/>
  <c r="B26284" i="1"/>
  <c r="A26285" i="1"/>
  <c r="B26285" i="1"/>
  <c r="A26286" i="1"/>
  <c r="B26286" i="1"/>
  <c r="A26287" i="1"/>
  <c r="B26287" i="1"/>
  <c r="A26288" i="1"/>
  <c r="B26288" i="1"/>
  <c r="A26289" i="1"/>
  <c r="B26289" i="1"/>
  <c r="A26290" i="1"/>
  <c r="B26290" i="1"/>
  <c r="A26291" i="1"/>
  <c r="B26291" i="1"/>
  <c r="A26292" i="1"/>
  <c r="B26292" i="1"/>
  <c r="A26293" i="1"/>
  <c r="B26293" i="1"/>
  <c r="A26294" i="1"/>
  <c r="B26294" i="1"/>
  <c r="A26295" i="1"/>
  <c r="B26295" i="1"/>
  <c r="A26296" i="1"/>
  <c r="B26296" i="1"/>
  <c r="A26297" i="1"/>
  <c r="B26297" i="1"/>
  <c r="A26298" i="1"/>
  <c r="B26298" i="1"/>
  <c r="A26299" i="1"/>
  <c r="B26299" i="1"/>
  <c r="A26300" i="1"/>
  <c r="B26300" i="1"/>
  <c r="A26301" i="1"/>
  <c r="B26301" i="1"/>
  <c r="A26302" i="1"/>
  <c r="B26302" i="1"/>
  <c r="A26303" i="1"/>
  <c r="B26303" i="1"/>
  <c r="A26304" i="1"/>
  <c r="B26304" i="1"/>
  <c r="A26305" i="1"/>
  <c r="B26305" i="1"/>
  <c r="A26306" i="1"/>
  <c r="B26306" i="1"/>
  <c r="A26307" i="1"/>
  <c r="B26307" i="1"/>
  <c r="A26308" i="1"/>
  <c r="B26308" i="1"/>
  <c r="A26309" i="1"/>
  <c r="B26309" i="1"/>
  <c r="A26310" i="1"/>
  <c r="B26310" i="1"/>
  <c r="A26311" i="1"/>
  <c r="B26311" i="1"/>
  <c r="A26312" i="1"/>
  <c r="B26312" i="1"/>
  <c r="A26313" i="1"/>
  <c r="B26313" i="1"/>
  <c r="A26314" i="1"/>
  <c r="B26314" i="1"/>
  <c r="A26315" i="1"/>
  <c r="B26315" i="1"/>
  <c r="A26316" i="1"/>
  <c r="B26316" i="1"/>
  <c r="A26317" i="1"/>
  <c r="B26317" i="1"/>
  <c r="A26318" i="1"/>
  <c r="B26318" i="1"/>
  <c r="A26319" i="1"/>
  <c r="B26319" i="1"/>
  <c r="A26320" i="1"/>
  <c r="B26320" i="1"/>
  <c r="A26321" i="1"/>
  <c r="B26321" i="1"/>
  <c r="A26322" i="1"/>
  <c r="B26322" i="1"/>
  <c r="A26323" i="1"/>
  <c r="B26323" i="1"/>
  <c r="A26324" i="1"/>
  <c r="B26324" i="1"/>
  <c r="A26325" i="1"/>
  <c r="B26325" i="1"/>
  <c r="A26326" i="1"/>
  <c r="B26326" i="1"/>
  <c r="A26327" i="1"/>
  <c r="B26327" i="1"/>
  <c r="A26328" i="1"/>
  <c r="B26328" i="1"/>
  <c r="A26329" i="1"/>
  <c r="B26329" i="1"/>
  <c r="A26330" i="1"/>
  <c r="B26330" i="1"/>
  <c r="A26331" i="1"/>
  <c r="B26331" i="1"/>
  <c r="A26332" i="1"/>
  <c r="B26332" i="1"/>
  <c r="A26333" i="1"/>
  <c r="B26333" i="1"/>
  <c r="A26334" i="1"/>
  <c r="B26334" i="1"/>
  <c r="A26335" i="1"/>
  <c r="B26335" i="1"/>
  <c r="A26336" i="1"/>
  <c r="B26336" i="1"/>
  <c r="A26337" i="1"/>
  <c r="B26337" i="1"/>
  <c r="A26338" i="1"/>
  <c r="B26338" i="1"/>
  <c r="A26339" i="1"/>
  <c r="B26339" i="1"/>
  <c r="A26340" i="1"/>
  <c r="B26340" i="1"/>
  <c r="A26341" i="1"/>
  <c r="B26341" i="1"/>
  <c r="A26342" i="1"/>
  <c r="B26342" i="1"/>
  <c r="A26343" i="1"/>
  <c r="B26343" i="1"/>
  <c r="A26344" i="1"/>
  <c r="B26344" i="1"/>
  <c r="A26345" i="1"/>
  <c r="B26345" i="1"/>
  <c r="A26346" i="1"/>
  <c r="B26346" i="1"/>
  <c r="A26347" i="1"/>
  <c r="B26347" i="1"/>
  <c r="A26348" i="1"/>
  <c r="B26348" i="1"/>
  <c r="A26349" i="1"/>
  <c r="B26349" i="1"/>
  <c r="A26350" i="1"/>
  <c r="B26350" i="1"/>
  <c r="A26351" i="1"/>
  <c r="B26351" i="1"/>
  <c r="A26352" i="1"/>
  <c r="B26352" i="1"/>
  <c r="A26353" i="1"/>
  <c r="B26353" i="1"/>
  <c r="A26354" i="1"/>
  <c r="B26354" i="1"/>
  <c r="A26355" i="1"/>
  <c r="B26355" i="1"/>
  <c r="A26356" i="1"/>
  <c r="B26356" i="1"/>
  <c r="A26357" i="1"/>
  <c r="B26357" i="1"/>
  <c r="A26358" i="1"/>
  <c r="B26358" i="1"/>
  <c r="A26359" i="1"/>
  <c r="B26359" i="1"/>
  <c r="A26360" i="1"/>
  <c r="B26360" i="1"/>
  <c r="A26361" i="1"/>
  <c r="B26361" i="1"/>
  <c r="A26362" i="1"/>
  <c r="B26362" i="1"/>
  <c r="A26363" i="1"/>
  <c r="B26363" i="1"/>
  <c r="A26364" i="1"/>
  <c r="B26364" i="1"/>
  <c r="A26365" i="1"/>
  <c r="B26365" i="1"/>
  <c r="A26366" i="1"/>
  <c r="B26366" i="1"/>
  <c r="A26367" i="1"/>
  <c r="B26367" i="1"/>
  <c r="A26368" i="1"/>
  <c r="B26368" i="1"/>
  <c r="A26369" i="1"/>
  <c r="B26369" i="1"/>
  <c r="A26370" i="1"/>
  <c r="B26370" i="1"/>
  <c r="A26371" i="1"/>
  <c r="B26371" i="1"/>
  <c r="A26372" i="1"/>
  <c r="B26372" i="1"/>
  <c r="A26373" i="1"/>
  <c r="B26373" i="1"/>
  <c r="A26374" i="1"/>
  <c r="B26374" i="1"/>
  <c r="A26375" i="1"/>
  <c r="B26375" i="1"/>
  <c r="A26376" i="1"/>
  <c r="B26376" i="1"/>
  <c r="A26377" i="1"/>
  <c r="B26377" i="1"/>
  <c r="A26378" i="1"/>
  <c r="B26378" i="1"/>
  <c r="A26379" i="1"/>
  <c r="B26379" i="1"/>
  <c r="A26380" i="1"/>
  <c r="B26380" i="1"/>
  <c r="A26381" i="1"/>
  <c r="B26381" i="1"/>
  <c r="A26382" i="1"/>
  <c r="B26382" i="1"/>
  <c r="A26383" i="1"/>
  <c r="B26383" i="1"/>
  <c r="A26384" i="1"/>
  <c r="B26384" i="1"/>
  <c r="A26385" i="1"/>
  <c r="B26385" i="1"/>
  <c r="A26386" i="1"/>
  <c r="B26386" i="1"/>
  <c r="A26387" i="1"/>
  <c r="B26387" i="1"/>
  <c r="A26388" i="1"/>
  <c r="B26388" i="1"/>
  <c r="A26389" i="1"/>
  <c r="B26389" i="1"/>
  <c r="A26390" i="1"/>
  <c r="B26390" i="1"/>
  <c r="A26391" i="1"/>
  <c r="B26391" i="1"/>
  <c r="A26392" i="1"/>
  <c r="B26392" i="1"/>
  <c r="A26393" i="1"/>
  <c r="B26393" i="1"/>
  <c r="A26394" i="1"/>
  <c r="B26394" i="1"/>
  <c r="A26395" i="1"/>
  <c r="B26395" i="1"/>
  <c r="A26396" i="1"/>
  <c r="B26396" i="1"/>
  <c r="A26397" i="1"/>
  <c r="B26397" i="1"/>
  <c r="A26398" i="1"/>
  <c r="B26398" i="1"/>
  <c r="A26399" i="1"/>
  <c r="B26399" i="1"/>
  <c r="A26400" i="1"/>
  <c r="B26400" i="1"/>
  <c r="A26401" i="1"/>
  <c r="B26401" i="1"/>
  <c r="A26402" i="1"/>
  <c r="B26402" i="1"/>
  <c r="A26403" i="1"/>
  <c r="B26403" i="1"/>
  <c r="A26404" i="1"/>
  <c r="B26404" i="1"/>
  <c r="A26405" i="1"/>
  <c r="B26405" i="1"/>
  <c r="A26406" i="1"/>
  <c r="B26406" i="1"/>
  <c r="A26407" i="1"/>
  <c r="B26407" i="1"/>
  <c r="A26408" i="1"/>
  <c r="B26408" i="1"/>
  <c r="A26409" i="1"/>
  <c r="B26409" i="1"/>
  <c r="A26410" i="1"/>
  <c r="B26410" i="1"/>
  <c r="A26411" i="1"/>
  <c r="B26411" i="1"/>
  <c r="A26412" i="1"/>
  <c r="B26412" i="1"/>
  <c r="A26413" i="1"/>
  <c r="B26413" i="1"/>
  <c r="A26414" i="1"/>
  <c r="B26414" i="1"/>
  <c r="A26415" i="1"/>
  <c r="B26415" i="1"/>
  <c r="A26416" i="1"/>
  <c r="B26416" i="1"/>
  <c r="A26417" i="1"/>
  <c r="B26417" i="1"/>
  <c r="A26418" i="1"/>
  <c r="B26418" i="1"/>
  <c r="A26419" i="1"/>
  <c r="B26419" i="1"/>
  <c r="A26420" i="1"/>
  <c r="B26420" i="1"/>
  <c r="A26421" i="1"/>
  <c r="B26421" i="1"/>
  <c r="A26422" i="1"/>
  <c r="B26422" i="1"/>
  <c r="A26423" i="1"/>
  <c r="B26423" i="1"/>
  <c r="A26424" i="1"/>
  <c r="B26424" i="1"/>
  <c r="A26425" i="1"/>
  <c r="B26425" i="1"/>
  <c r="A26426" i="1"/>
  <c r="B26426" i="1"/>
  <c r="A26427" i="1"/>
  <c r="B26427" i="1"/>
  <c r="A26428" i="1"/>
  <c r="B26428" i="1"/>
  <c r="A26429" i="1"/>
  <c r="B26429" i="1"/>
  <c r="A26430" i="1"/>
  <c r="B26430" i="1"/>
  <c r="A26431" i="1"/>
  <c r="B26431" i="1"/>
  <c r="A26432" i="1"/>
  <c r="B26432" i="1"/>
  <c r="A26433" i="1"/>
  <c r="B26433" i="1"/>
  <c r="A26434" i="1"/>
  <c r="B26434" i="1"/>
  <c r="A26435" i="1"/>
  <c r="B26435" i="1"/>
  <c r="A26436" i="1"/>
  <c r="B26436" i="1"/>
  <c r="A26437" i="1"/>
  <c r="B26437" i="1"/>
  <c r="A26438" i="1"/>
  <c r="B26438" i="1"/>
  <c r="A26439" i="1"/>
  <c r="B26439" i="1"/>
  <c r="A26440" i="1"/>
  <c r="B26440" i="1"/>
  <c r="A26441" i="1"/>
  <c r="B26441" i="1"/>
  <c r="A26442" i="1"/>
  <c r="B26442" i="1"/>
  <c r="A26443" i="1"/>
  <c r="B26443" i="1"/>
  <c r="A26444" i="1"/>
  <c r="B26444" i="1"/>
  <c r="A26445" i="1"/>
  <c r="B26445" i="1"/>
  <c r="A26446" i="1"/>
  <c r="B26446" i="1"/>
  <c r="A26447" i="1"/>
  <c r="B26447" i="1"/>
  <c r="A26448" i="1"/>
  <c r="B26448" i="1"/>
  <c r="A26449" i="1"/>
  <c r="B26449" i="1"/>
  <c r="A26450" i="1"/>
  <c r="B26450" i="1"/>
  <c r="A26451" i="1"/>
  <c r="B26451" i="1"/>
  <c r="A26452" i="1"/>
  <c r="B26452" i="1"/>
  <c r="A26453" i="1"/>
  <c r="B26453" i="1"/>
  <c r="A26454" i="1"/>
  <c r="B26454" i="1"/>
  <c r="A26455" i="1"/>
  <c r="B26455" i="1"/>
  <c r="A26456" i="1"/>
  <c r="B26456" i="1"/>
  <c r="A26457" i="1"/>
  <c r="B26457" i="1"/>
  <c r="A26458" i="1"/>
  <c r="B26458" i="1"/>
  <c r="A26459" i="1"/>
  <c r="B26459" i="1"/>
  <c r="A26460" i="1"/>
  <c r="B26460" i="1"/>
  <c r="A26461" i="1"/>
  <c r="B26461" i="1"/>
  <c r="A26462" i="1"/>
  <c r="B26462" i="1"/>
  <c r="A26463" i="1"/>
  <c r="B26463" i="1"/>
  <c r="A26464" i="1"/>
  <c r="B26464" i="1"/>
  <c r="A26465" i="1"/>
  <c r="B26465" i="1"/>
  <c r="A26466" i="1"/>
  <c r="B26466" i="1"/>
  <c r="A26467" i="1"/>
  <c r="B26467" i="1"/>
  <c r="A26468" i="1"/>
  <c r="B26468" i="1"/>
  <c r="A26469" i="1"/>
  <c r="B26469" i="1"/>
  <c r="A26470" i="1"/>
  <c r="B26470" i="1"/>
  <c r="A26471" i="1"/>
  <c r="B26471" i="1"/>
  <c r="A26472" i="1"/>
  <c r="B26472" i="1"/>
  <c r="A26473" i="1"/>
  <c r="B26473" i="1"/>
  <c r="A26474" i="1"/>
  <c r="B26474" i="1"/>
  <c r="A26475" i="1"/>
  <c r="B26475" i="1"/>
  <c r="A26476" i="1"/>
  <c r="B26476" i="1"/>
  <c r="A26477" i="1"/>
  <c r="B26477" i="1"/>
  <c r="A26478" i="1"/>
  <c r="B26478" i="1"/>
  <c r="A26479" i="1"/>
  <c r="B26479" i="1"/>
  <c r="A26480" i="1"/>
  <c r="B26480" i="1"/>
  <c r="A26481" i="1"/>
  <c r="B26481" i="1"/>
  <c r="A26482" i="1"/>
  <c r="B26482" i="1"/>
  <c r="A26483" i="1"/>
  <c r="B26483" i="1"/>
  <c r="A26484" i="1"/>
  <c r="B26484" i="1"/>
  <c r="A26485" i="1"/>
  <c r="B26485" i="1"/>
  <c r="A26486" i="1"/>
  <c r="B26486" i="1"/>
  <c r="A26487" i="1"/>
  <c r="B26487" i="1"/>
  <c r="A26488" i="1"/>
  <c r="B26488" i="1"/>
  <c r="A26489" i="1"/>
  <c r="B26489" i="1"/>
  <c r="A26490" i="1"/>
  <c r="B26490" i="1"/>
  <c r="A26491" i="1"/>
  <c r="B26491" i="1"/>
  <c r="A26492" i="1"/>
  <c r="B26492" i="1"/>
  <c r="A26493" i="1"/>
  <c r="B26493" i="1"/>
  <c r="A26494" i="1"/>
  <c r="B26494" i="1"/>
  <c r="A26495" i="1"/>
  <c r="B26495" i="1"/>
  <c r="A26496" i="1"/>
  <c r="B26496" i="1"/>
  <c r="A26497" i="1"/>
  <c r="B26497" i="1"/>
  <c r="A26498" i="1"/>
  <c r="B26498" i="1"/>
  <c r="A26499" i="1"/>
  <c r="B26499" i="1"/>
  <c r="A26500" i="1"/>
  <c r="B26500" i="1"/>
  <c r="A26501" i="1"/>
  <c r="B26501" i="1"/>
  <c r="A26502" i="1"/>
  <c r="B26502" i="1"/>
  <c r="A26503" i="1"/>
  <c r="B26503" i="1"/>
  <c r="A26504" i="1"/>
  <c r="B26504" i="1"/>
  <c r="A26505" i="1"/>
  <c r="B26505" i="1"/>
  <c r="A26506" i="1"/>
  <c r="B26506" i="1"/>
  <c r="A26507" i="1"/>
  <c r="B26507" i="1"/>
  <c r="A26508" i="1"/>
  <c r="B26508" i="1"/>
  <c r="A26509" i="1"/>
  <c r="B26509" i="1"/>
  <c r="A26510" i="1"/>
  <c r="B26510" i="1"/>
  <c r="A26511" i="1"/>
  <c r="B26511" i="1"/>
  <c r="A26512" i="1"/>
  <c r="B26512" i="1"/>
  <c r="A26513" i="1"/>
  <c r="B26513" i="1"/>
  <c r="A26514" i="1"/>
  <c r="B26514" i="1"/>
  <c r="A26515" i="1"/>
  <c r="B26515" i="1"/>
  <c r="A26516" i="1"/>
  <c r="B26516" i="1"/>
  <c r="A26517" i="1"/>
  <c r="B26517" i="1"/>
  <c r="A26518" i="1"/>
  <c r="B26518" i="1"/>
  <c r="A26519" i="1"/>
  <c r="B26519" i="1"/>
  <c r="A26520" i="1"/>
  <c r="B26520" i="1"/>
  <c r="A26521" i="1"/>
  <c r="B26521" i="1"/>
  <c r="A26522" i="1"/>
  <c r="B26522" i="1"/>
  <c r="A26523" i="1"/>
  <c r="B26523" i="1"/>
  <c r="A26524" i="1"/>
  <c r="B26524" i="1"/>
  <c r="A26525" i="1"/>
  <c r="B26525" i="1"/>
  <c r="A26526" i="1"/>
  <c r="B26526" i="1"/>
  <c r="A26527" i="1"/>
  <c r="B26527" i="1"/>
  <c r="A26528" i="1"/>
  <c r="B26528" i="1"/>
  <c r="A26529" i="1"/>
  <c r="B26529" i="1"/>
  <c r="A26530" i="1"/>
  <c r="B26530" i="1"/>
  <c r="A26531" i="1"/>
  <c r="B26531" i="1"/>
  <c r="A26532" i="1"/>
  <c r="B26532" i="1"/>
  <c r="A26533" i="1"/>
  <c r="B26533" i="1"/>
  <c r="A26534" i="1"/>
  <c r="B26534" i="1"/>
  <c r="A26535" i="1"/>
  <c r="B26535" i="1"/>
  <c r="A26536" i="1"/>
  <c r="B26536" i="1"/>
  <c r="A26537" i="1"/>
  <c r="B26537" i="1"/>
  <c r="A26538" i="1"/>
  <c r="B26538" i="1"/>
  <c r="A26539" i="1"/>
  <c r="B26539" i="1"/>
  <c r="A26540" i="1"/>
  <c r="B26540" i="1"/>
  <c r="A26541" i="1"/>
  <c r="B26541" i="1"/>
  <c r="A26542" i="1"/>
  <c r="B26542" i="1"/>
  <c r="A26543" i="1"/>
  <c r="B26543" i="1"/>
  <c r="A26544" i="1"/>
  <c r="B26544" i="1"/>
  <c r="A26545" i="1"/>
  <c r="B26545" i="1"/>
  <c r="A26546" i="1"/>
  <c r="B26546" i="1"/>
  <c r="A26547" i="1"/>
  <c r="B26547" i="1"/>
  <c r="A26548" i="1"/>
  <c r="B26548" i="1"/>
  <c r="A26549" i="1"/>
  <c r="B26549" i="1"/>
  <c r="A26550" i="1"/>
  <c r="B26550" i="1"/>
  <c r="A26551" i="1"/>
  <c r="B26551" i="1"/>
  <c r="A26552" i="1"/>
  <c r="B26552" i="1"/>
  <c r="A26553" i="1"/>
  <c r="B26553" i="1"/>
  <c r="A26554" i="1"/>
  <c r="B26554" i="1"/>
  <c r="A26555" i="1"/>
  <c r="B26555" i="1"/>
  <c r="A26556" i="1"/>
  <c r="B26556" i="1"/>
  <c r="A26557" i="1"/>
  <c r="B26557" i="1"/>
  <c r="A26558" i="1"/>
  <c r="B26558" i="1"/>
  <c r="A26559" i="1"/>
  <c r="B26559" i="1"/>
  <c r="A26560" i="1"/>
  <c r="B26560" i="1"/>
  <c r="A26561" i="1"/>
  <c r="B26561" i="1"/>
  <c r="A26562" i="1"/>
  <c r="B26562" i="1"/>
  <c r="A26563" i="1"/>
  <c r="B26563" i="1"/>
  <c r="A26564" i="1"/>
  <c r="B26564" i="1"/>
  <c r="A26565" i="1"/>
  <c r="B26565" i="1"/>
  <c r="A26566" i="1"/>
  <c r="B26566" i="1"/>
  <c r="A26567" i="1"/>
  <c r="B26567" i="1"/>
  <c r="A26568" i="1"/>
  <c r="B26568" i="1"/>
  <c r="A26569" i="1"/>
  <c r="B26569" i="1"/>
  <c r="A26570" i="1"/>
  <c r="B26570" i="1"/>
  <c r="A26571" i="1"/>
  <c r="B26571" i="1"/>
  <c r="A26572" i="1"/>
  <c r="B26572" i="1"/>
  <c r="A26573" i="1"/>
  <c r="B26573" i="1"/>
  <c r="A26574" i="1"/>
  <c r="B26574" i="1"/>
  <c r="A26575" i="1"/>
  <c r="B26575" i="1"/>
  <c r="A26576" i="1"/>
  <c r="B26576" i="1"/>
  <c r="A26577" i="1"/>
  <c r="B26577" i="1"/>
  <c r="A26578" i="1"/>
  <c r="B26578" i="1"/>
  <c r="A26579" i="1"/>
  <c r="B26579" i="1"/>
  <c r="A26580" i="1"/>
  <c r="B26580" i="1"/>
  <c r="A26581" i="1"/>
  <c r="B26581" i="1"/>
  <c r="A26582" i="1"/>
  <c r="B26582" i="1"/>
  <c r="A26583" i="1"/>
  <c r="B26583" i="1"/>
  <c r="A26584" i="1"/>
  <c r="B26584" i="1"/>
  <c r="A26585" i="1"/>
  <c r="B26585" i="1"/>
  <c r="A26586" i="1"/>
  <c r="B26586" i="1"/>
  <c r="A26587" i="1"/>
  <c r="B26587" i="1"/>
  <c r="A26588" i="1"/>
  <c r="B26588" i="1"/>
  <c r="A26589" i="1"/>
  <c r="B26589" i="1"/>
  <c r="A26590" i="1"/>
  <c r="B26590" i="1"/>
  <c r="A26591" i="1"/>
  <c r="B26591" i="1"/>
  <c r="A26592" i="1"/>
  <c r="B26592" i="1"/>
  <c r="A26593" i="1"/>
  <c r="B26593" i="1"/>
  <c r="A26594" i="1"/>
  <c r="B26594" i="1"/>
  <c r="A26595" i="1"/>
  <c r="B26595" i="1"/>
  <c r="A26596" i="1"/>
  <c r="B26596" i="1"/>
  <c r="A26597" i="1"/>
  <c r="B26597" i="1"/>
  <c r="A26598" i="1"/>
  <c r="B26598" i="1"/>
  <c r="A26599" i="1"/>
  <c r="B26599" i="1"/>
  <c r="A26600" i="1"/>
  <c r="B26600" i="1"/>
  <c r="A26601" i="1"/>
  <c r="B26601" i="1"/>
  <c r="A26602" i="1"/>
  <c r="B26602" i="1"/>
  <c r="A26603" i="1"/>
  <c r="B26603" i="1"/>
  <c r="A26604" i="1"/>
  <c r="B26604" i="1"/>
  <c r="A26605" i="1"/>
  <c r="B26605" i="1"/>
  <c r="A26606" i="1"/>
  <c r="B26606" i="1"/>
  <c r="A26607" i="1"/>
  <c r="B26607" i="1"/>
  <c r="A26608" i="1"/>
  <c r="B26608" i="1"/>
  <c r="A26609" i="1"/>
  <c r="B26609" i="1"/>
  <c r="A26610" i="1"/>
  <c r="B26610" i="1"/>
  <c r="A26611" i="1"/>
  <c r="B26611" i="1"/>
  <c r="A26612" i="1"/>
  <c r="B26612" i="1"/>
  <c r="A26613" i="1"/>
  <c r="B26613" i="1"/>
  <c r="A26614" i="1"/>
  <c r="B26614" i="1"/>
  <c r="A26615" i="1"/>
  <c r="B26615" i="1"/>
  <c r="A26616" i="1"/>
  <c r="B26616" i="1"/>
  <c r="A26617" i="1"/>
  <c r="B26617" i="1"/>
  <c r="A26618" i="1"/>
  <c r="B26618" i="1"/>
  <c r="A26619" i="1"/>
  <c r="B26619" i="1"/>
  <c r="A26620" i="1"/>
  <c r="B26620" i="1"/>
  <c r="A26621" i="1"/>
  <c r="B26621" i="1"/>
  <c r="A26622" i="1"/>
  <c r="B26622" i="1"/>
  <c r="A26623" i="1"/>
  <c r="B26623" i="1"/>
  <c r="A26624" i="1"/>
  <c r="B26624" i="1"/>
  <c r="A26625" i="1"/>
  <c r="B26625" i="1"/>
  <c r="A26626" i="1"/>
  <c r="B26626" i="1"/>
  <c r="A26627" i="1"/>
  <c r="B26627" i="1"/>
  <c r="A26628" i="1"/>
  <c r="B26628" i="1"/>
  <c r="A26629" i="1"/>
  <c r="B26629" i="1"/>
  <c r="A26630" i="1"/>
  <c r="B26630" i="1"/>
  <c r="A26631" i="1"/>
  <c r="B26631" i="1"/>
  <c r="A26632" i="1"/>
  <c r="B26632" i="1"/>
  <c r="A26633" i="1"/>
  <c r="B26633" i="1"/>
  <c r="A26634" i="1"/>
  <c r="B26634" i="1"/>
  <c r="A26635" i="1"/>
  <c r="B26635" i="1"/>
  <c r="A26636" i="1"/>
  <c r="B26636" i="1"/>
  <c r="A26637" i="1"/>
  <c r="B26637" i="1"/>
  <c r="A26638" i="1"/>
  <c r="B26638" i="1"/>
  <c r="A26639" i="1"/>
  <c r="B26639" i="1"/>
  <c r="A26640" i="1"/>
  <c r="B26640" i="1"/>
  <c r="A26641" i="1"/>
  <c r="B26641" i="1"/>
  <c r="A26642" i="1"/>
  <c r="B26642" i="1"/>
  <c r="A26643" i="1"/>
  <c r="B26643" i="1"/>
  <c r="A26644" i="1"/>
  <c r="B26644" i="1"/>
  <c r="A26645" i="1"/>
  <c r="B26645" i="1"/>
  <c r="A26646" i="1"/>
  <c r="B26646" i="1"/>
  <c r="A26647" i="1"/>
  <c r="B26647" i="1"/>
  <c r="A26648" i="1"/>
  <c r="B26648" i="1"/>
  <c r="A26649" i="1"/>
  <c r="B26649" i="1"/>
  <c r="A26650" i="1"/>
  <c r="B26650" i="1"/>
  <c r="A26651" i="1"/>
  <c r="B26651" i="1"/>
  <c r="A26652" i="1"/>
  <c r="B26652" i="1"/>
  <c r="A26653" i="1"/>
  <c r="B26653" i="1"/>
  <c r="A26654" i="1"/>
  <c r="B26654" i="1"/>
  <c r="A26655" i="1"/>
  <c r="B26655" i="1"/>
  <c r="A26656" i="1"/>
  <c r="B26656" i="1"/>
  <c r="A26657" i="1"/>
  <c r="B26657" i="1"/>
  <c r="A26658" i="1"/>
  <c r="B26658" i="1"/>
  <c r="A26659" i="1"/>
  <c r="B26659" i="1"/>
  <c r="A26660" i="1"/>
  <c r="B26660" i="1"/>
  <c r="A26661" i="1"/>
  <c r="B26661" i="1"/>
  <c r="A26662" i="1"/>
  <c r="B26662" i="1"/>
  <c r="A26663" i="1"/>
  <c r="B26663" i="1"/>
  <c r="A26664" i="1"/>
  <c r="B26664" i="1"/>
  <c r="A26665" i="1"/>
  <c r="B26665" i="1"/>
  <c r="A26666" i="1"/>
  <c r="B26666" i="1"/>
  <c r="A26667" i="1"/>
  <c r="B26667" i="1"/>
  <c r="A26668" i="1"/>
  <c r="B26668" i="1"/>
  <c r="A26669" i="1"/>
  <c r="B26669" i="1"/>
  <c r="A26670" i="1"/>
  <c r="B26670" i="1"/>
  <c r="A26671" i="1"/>
  <c r="B26671" i="1"/>
  <c r="A26672" i="1"/>
  <c r="B26672" i="1"/>
  <c r="A26673" i="1"/>
  <c r="B26673" i="1"/>
  <c r="A26674" i="1"/>
  <c r="B26674" i="1"/>
  <c r="A26675" i="1"/>
  <c r="B26675" i="1"/>
  <c r="A26676" i="1"/>
  <c r="B26676" i="1"/>
  <c r="A26677" i="1"/>
  <c r="B26677" i="1"/>
  <c r="A26678" i="1"/>
  <c r="B26678" i="1"/>
  <c r="A26679" i="1"/>
  <c r="B26679" i="1"/>
  <c r="A26680" i="1"/>
  <c r="B26680" i="1"/>
  <c r="A26681" i="1"/>
  <c r="B26681" i="1"/>
  <c r="A26682" i="1"/>
  <c r="B26682" i="1"/>
  <c r="A26683" i="1"/>
  <c r="B26683" i="1"/>
  <c r="A26684" i="1"/>
  <c r="B26684" i="1"/>
  <c r="A26685" i="1"/>
  <c r="B26685" i="1"/>
  <c r="A26686" i="1"/>
  <c r="B26686" i="1"/>
  <c r="A26687" i="1"/>
  <c r="B26687" i="1"/>
  <c r="A26688" i="1"/>
  <c r="B26688" i="1"/>
  <c r="A26689" i="1"/>
  <c r="B26689" i="1"/>
  <c r="A26690" i="1"/>
  <c r="B26690" i="1"/>
  <c r="A26691" i="1"/>
  <c r="B26691" i="1"/>
  <c r="A26692" i="1"/>
  <c r="B26692" i="1"/>
  <c r="A26693" i="1"/>
  <c r="B26693" i="1"/>
  <c r="A26694" i="1"/>
  <c r="B26694" i="1"/>
  <c r="A26695" i="1"/>
  <c r="B26695" i="1"/>
  <c r="A26696" i="1"/>
  <c r="B26696" i="1"/>
  <c r="A26697" i="1"/>
  <c r="B26697" i="1"/>
  <c r="A26698" i="1"/>
  <c r="B26698" i="1"/>
  <c r="A26699" i="1"/>
  <c r="B26699" i="1"/>
  <c r="A26700" i="1"/>
  <c r="B26700" i="1"/>
  <c r="A26701" i="1"/>
  <c r="B26701" i="1"/>
  <c r="A26702" i="1"/>
  <c r="B26702" i="1"/>
  <c r="A26703" i="1"/>
  <c r="B26703" i="1"/>
  <c r="A26704" i="1"/>
  <c r="B26704" i="1"/>
  <c r="A26705" i="1"/>
  <c r="B26705" i="1"/>
  <c r="A26706" i="1"/>
  <c r="B26706" i="1"/>
  <c r="A26707" i="1"/>
  <c r="B26707" i="1"/>
  <c r="A26708" i="1"/>
  <c r="B26708" i="1"/>
  <c r="A26709" i="1"/>
  <c r="B26709" i="1"/>
  <c r="A26710" i="1"/>
  <c r="B26710" i="1"/>
  <c r="A26711" i="1"/>
  <c r="B26711" i="1"/>
  <c r="A26712" i="1"/>
  <c r="B26712" i="1"/>
  <c r="A26713" i="1"/>
  <c r="B26713" i="1"/>
  <c r="A26714" i="1"/>
  <c r="B26714" i="1"/>
  <c r="A26715" i="1"/>
  <c r="B26715" i="1"/>
  <c r="A26716" i="1"/>
  <c r="B26716" i="1"/>
  <c r="A26717" i="1"/>
  <c r="B26717" i="1"/>
  <c r="A26718" i="1"/>
  <c r="B26718" i="1"/>
  <c r="A26719" i="1"/>
  <c r="B26719" i="1"/>
  <c r="A26720" i="1"/>
  <c r="B26720" i="1"/>
  <c r="A26721" i="1"/>
  <c r="B26721" i="1"/>
  <c r="A26722" i="1"/>
  <c r="B26722" i="1"/>
  <c r="A26723" i="1"/>
  <c r="B26723" i="1"/>
  <c r="A26724" i="1"/>
  <c r="B26724" i="1"/>
  <c r="A26725" i="1"/>
  <c r="B26725" i="1"/>
  <c r="A26726" i="1"/>
  <c r="B26726" i="1"/>
  <c r="A26727" i="1"/>
  <c r="B26727" i="1"/>
  <c r="A26728" i="1"/>
  <c r="B26728" i="1"/>
  <c r="A26729" i="1"/>
  <c r="B26729" i="1"/>
  <c r="A26730" i="1"/>
  <c r="B26730" i="1"/>
  <c r="A26731" i="1"/>
  <c r="B26731" i="1"/>
  <c r="A26732" i="1"/>
  <c r="B26732" i="1"/>
  <c r="A26733" i="1"/>
  <c r="B26733" i="1"/>
  <c r="A26734" i="1"/>
  <c r="B26734" i="1"/>
  <c r="A26735" i="1"/>
  <c r="B26735" i="1"/>
  <c r="A26736" i="1"/>
  <c r="B26736" i="1"/>
  <c r="A26737" i="1"/>
  <c r="B26737" i="1"/>
  <c r="A26738" i="1"/>
  <c r="B26738" i="1"/>
  <c r="A26739" i="1"/>
  <c r="B26739" i="1"/>
  <c r="A26740" i="1"/>
  <c r="B26740" i="1"/>
  <c r="A26741" i="1"/>
  <c r="B26741" i="1"/>
  <c r="A26742" i="1"/>
  <c r="B26742" i="1"/>
  <c r="A26743" i="1"/>
  <c r="B26743" i="1"/>
  <c r="A26744" i="1"/>
  <c r="B26744" i="1"/>
  <c r="A26745" i="1"/>
  <c r="B26745" i="1"/>
  <c r="A26746" i="1"/>
  <c r="B26746" i="1"/>
  <c r="A26747" i="1"/>
  <c r="B26747" i="1"/>
  <c r="A26748" i="1"/>
  <c r="B26748" i="1"/>
  <c r="A26749" i="1"/>
  <c r="B26749" i="1"/>
  <c r="A26750" i="1"/>
  <c r="B26750" i="1"/>
  <c r="A26751" i="1"/>
  <c r="B26751" i="1"/>
  <c r="A26752" i="1"/>
  <c r="B26752" i="1"/>
  <c r="A26753" i="1"/>
  <c r="B26753" i="1"/>
  <c r="A26754" i="1"/>
  <c r="B26754" i="1"/>
  <c r="A26755" i="1"/>
  <c r="B26755" i="1"/>
  <c r="A26756" i="1"/>
  <c r="B26756" i="1"/>
  <c r="A26757" i="1"/>
  <c r="B26757" i="1"/>
  <c r="A26758" i="1"/>
  <c r="B26758" i="1"/>
  <c r="A26759" i="1"/>
  <c r="B26759" i="1"/>
  <c r="A26760" i="1"/>
  <c r="B26760" i="1"/>
  <c r="A26761" i="1"/>
  <c r="B26761" i="1"/>
  <c r="A26762" i="1"/>
  <c r="B26762" i="1"/>
  <c r="A26763" i="1"/>
  <c r="B26763" i="1"/>
  <c r="A26764" i="1"/>
  <c r="B26764" i="1"/>
  <c r="A26765" i="1"/>
  <c r="B26765" i="1"/>
  <c r="A26766" i="1"/>
  <c r="B26766" i="1"/>
  <c r="A26767" i="1"/>
  <c r="B26767" i="1"/>
  <c r="A26768" i="1"/>
  <c r="B26768" i="1"/>
  <c r="A26769" i="1"/>
  <c r="B26769" i="1"/>
  <c r="A26770" i="1"/>
  <c r="B26770" i="1"/>
  <c r="A26771" i="1"/>
  <c r="B26771" i="1"/>
  <c r="A26772" i="1"/>
  <c r="B26772" i="1"/>
  <c r="A26773" i="1"/>
  <c r="B26773" i="1"/>
  <c r="A26774" i="1"/>
  <c r="B26774" i="1"/>
  <c r="A26775" i="1"/>
  <c r="B26775" i="1"/>
  <c r="A26776" i="1"/>
  <c r="B26776" i="1"/>
  <c r="A26777" i="1"/>
  <c r="B26777" i="1"/>
  <c r="A26778" i="1"/>
  <c r="B26778" i="1"/>
  <c r="A26779" i="1"/>
  <c r="B26779" i="1"/>
  <c r="A26780" i="1"/>
  <c r="B26780" i="1"/>
  <c r="A26781" i="1"/>
  <c r="B26781" i="1"/>
  <c r="A26782" i="1"/>
  <c r="B26782" i="1"/>
  <c r="A26783" i="1"/>
  <c r="B26783" i="1"/>
  <c r="A26784" i="1"/>
  <c r="B26784" i="1"/>
  <c r="A26785" i="1"/>
  <c r="B26785" i="1"/>
  <c r="A26786" i="1"/>
  <c r="B26786" i="1"/>
  <c r="A26787" i="1"/>
  <c r="B26787" i="1"/>
  <c r="A26788" i="1"/>
  <c r="B26788" i="1"/>
  <c r="A26789" i="1"/>
  <c r="B26789" i="1"/>
  <c r="A26790" i="1"/>
  <c r="B26790" i="1"/>
  <c r="A26791" i="1"/>
  <c r="B26791" i="1"/>
  <c r="A26792" i="1"/>
  <c r="B26792" i="1"/>
  <c r="A26793" i="1"/>
  <c r="B26793" i="1"/>
  <c r="A26794" i="1"/>
  <c r="B26794" i="1"/>
  <c r="A26795" i="1"/>
  <c r="B26795" i="1"/>
  <c r="A26796" i="1"/>
  <c r="B26796" i="1"/>
  <c r="A26797" i="1"/>
  <c r="B26797" i="1"/>
  <c r="A26798" i="1"/>
  <c r="B26798" i="1"/>
  <c r="A26799" i="1"/>
  <c r="B26799" i="1"/>
  <c r="A26800" i="1"/>
  <c r="B26800" i="1"/>
  <c r="A26801" i="1"/>
  <c r="B26801" i="1"/>
  <c r="A26802" i="1"/>
  <c r="B26802" i="1"/>
  <c r="A26803" i="1"/>
  <c r="B26803" i="1"/>
  <c r="A26804" i="1"/>
  <c r="B26804" i="1"/>
  <c r="A26805" i="1"/>
  <c r="B26805" i="1"/>
  <c r="A26806" i="1"/>
  <c r="B26806" i="1"/>
  <c r="A26807" i="1"/>
  <c r="B26807" i="1"/>
  <c r="A26808" i="1"/>
  <c r="B26808" i="1"/>
  <c r="A26809" i="1"/>
  <c r="B26809" i="1"/>
  <c r="A26810" i="1"/>
  <c r="B26810" i="1"/>
  <c r="A26811" i="1"/>
  <c r="B26811" i="1"/>
  <c r="A26812" i="1"/>
  <c r="B26812" i="1"/>
  <c r="A26813" i="1"/>
  <c r="B26813" i="1"/>
  <c r="A26814" i="1"/>
  <c r="B26814" i="1"/>
  <c r="A26815" i="1"/>
  <c r="B26815" i="1"/>
  <c r="A26816" i="1"/>
  <c r="B26816" i="1"/>
  <c r="A26817" i="1"/>
  <c r="B26817" i="1"/>
  <c r="A26818" i="1"/>
  <c r="B26818" i="1"/>
  <c r="A26819" i="1"/>
  <c r="B26819" i="1"/>
  <c r="A26820" i="1"/>
  <c r="B26820" i="1"/>
  <c r="A26821" i="1"/>
  <c r="B26821" i="1"/>
  <c r="A26822" i="1"/>
  <c r="B26822" i="1"/>
  <c r="A26823" i="1"/>
  <c r="B26823" i="1"/>
  <c r="A26824" i="1"/>
  <c r="B26824" i="1"/>
  <c r="A26825" i="1"/>
  <c r="B26825" i="1"/>
  <c r="A26826" i="1"/>
  <c r="B26826" i="1"/>
  <c r="A26827" i="1"/>
  <c r="B26827" i="1"/>
  <c r="A26828" i="1"/>
  <c r="B26828" i="1"/>
  <c r="A26829" i="1"/>
  <c r="B26829" i="1"/>
  <c r="A26830" i="1"/>
  <c r="B26830" i="1"/>
  <c r="A26831" i="1"/>
  <c r="B26831" i="1"/>
  <c r="A26832" i="1"/>
  <c r="B26832" i="1"/>
  <c r="A26833" i="1"/>
  <c r="B26833" i="1"/>
  <c r="A26834" i="1"/>
  <c r="B26834" i="1"/>
  <c r="A26835" i="1"/>
  <c r="B26835" i="1"/>
  <c r="A26836" i="1"/>
  <c r="B26836" i="1"/>
  <c r="A26837" i="1"/>
  <c r="B26837" i="1"/>
  <c r="A26838" i="1"/>
  <c r="B26838" i="1"/>
  <c r="A26839" i="1"/>
  <c r="B26839" i="1"/>
  <c r="A26840" i="1"/>
  <c r="B26840" i="1"/>
  <c r="A26841" i="1"/>
  <c r="B26841" i="1"/>
  <c r="A26842" i="1"/>
  <c r="B26842" i="1"/>
  <c r="A26843" i="1"/>
  <c r="B26843" i="1"/>
  <c r="A26844" i="1"/>
  <c r="B26844" i="1"/>
  <c r="A26845" i="1"/>
  <c r="B26845" i="1"/>
  <c r="A26846" i="1"/>
  <c r="B26846" i="1"/>
  <c r="A26847" i="1"/>
  <c r="B26847" i="1"/>
  <c r="A26848" i="1"/>
  <c r="B26848" i="1"/>
  <c r="A26849" i="1"/>
  <c r="B26849" i="1"/>
  <c r="A26850" i="1"/>
  <c r="B26850" i="1"/>
  <c r="A26851" i="1"/>
  <c r="B26851" i="1"/>
  <c r="A26852" i="1"/>
  <c r="B26852" i="1"/>
  <c r="A26853" i="1"/>
  <c r="B26853" i="1"/>
  <c r="A26854" i="1"/>
  <c r="B26854" i="1"/>
  <c r="A26855" i="1"/>
  <c r="B26855" i="1"/>
  <c r="A26856" i="1"/>
  <c r="B26856" i="1"/>
  <c r="A26857" i="1"/>
  <c r="B26857" i="1"/>
  <c r="A26858" i="1"/>
  <c r="B26858" i="1"/>
  <c r="A26859" i="1"/>
  <c r="B26859" i="1"/>
  <c r="A26860" i="1"/>
  <c r="B26860" i="1"/>
  <c r="A26861" i="1"/>
  <c r="B26861" i="1"/>
  <c r="A26862" i="1"/>
  <c r="B26862" i="1"/>
  <c r="A26863" i="1"/>
  <c r="B26863" i="1"/>
  <c r="A26864" i="1"/>
  <c r="B26864" i="1"/>
  <c r="A26865" i="1"/>
  <c r="B26865" i="1"/>
  <c r="A26866" i="1"/>
  <c r="B26866" i="1"/>
  <c r="A26867" i="1"/>
  <c r="B26867" i="1"/>
  <c r="A26868" i="1"/>
  <c r="B26868" i="1"/>
  <c r="A26869" i="1"/>
  <c r="B26869" i="1"/>
  <c r="A26870" i="1"/>
  <c r="B26870" i="1"/>
  <c r="A26871" i="1"/>
  <c r="B26871" i="1"/>
  <c r="A26872" i="1"/>
  <c r="B26872" i="1"/>
  <c r="A26873" i="1"/>
  <c r="B26873" i="1"/>
  <c r="A26874" i="1"/>
  <c r="B26874" i="1"/>
  <c r="A26875" i="1"/>
  <c r="B26875" i="1"/>
  <c r="A26876" i="1"/>
  <c r="B26876" i="1"/>
  <c r="A26877" i="1"/>
  <c r="B26877" i="1"/>
  <c r="A26878" i="1"/>
  <c r="B26878" i="1"/>
  <c r="A26879" i="1"/>
  <c r="B26879" i="1"/>
  <c r="A26880" i="1"/>
  <c r="B26880" i="1"/>
  <c r="A26881" i="1"/>
  <c r="B26881" i="1"/>
  <c r="A26882" i="1"/>
  <c r="B26882" i="1"/>
  <c r="A26883" i="1"/>
  <c r="B26883" i="1"/>
  <c r="A26884" i="1"/>
  <c r="B26884" i="1"/>
  <c r="A26885" i="1"/>
  <c r="B26885" i="1"/>
  <c r="A26886" i="1"/>
  <c r="B26886" i="1"/>
  <c r="A26887" i="1"/>
  <c r="B26887" i="1"/>
  <c r="A26888" i="1"/>
  <c r="B26888" i="1"/>
  <c r="A26889" i="1"/>
  <c r="B26889" i="1"/>
  <c r="A26890" i="1"/>
  <c r="B26890" i="1"/>
  <c r="A26891" i="1"/>
  <c r="B26891" i="1"/>
  <c r="A26892" i="1"/>
  <c r="B26892" i="1"/>
  <c r="A26893" i="1"/>
  <c r="B26893" i="1"/>
  <c r="A26894" i="1"/>
  <c r="B26894" i="1"/>
  <c r="A26895" i="1"/>
  <c r="B26895" i="1"/>
  <c r="A26896" i="1"/>
  <c r="B26896" i="1"/>
  <c r="A26897" i="1"/>
  <c r="B26897" i="1"/>
  <c r="A26898" i="1"/>
  <c r="B26898" i="1"/>
  <c r="A26899" i="1"/>
  <c r="B26899" i="1"/>
  <c r="A26900" i="1"/>
  <c r="B26900" i="1"/>
  <c r="A26901" i="1"/>
  <c r="B26901" i="1"/>
  <c r="A26902" i="1"/>
  <c r="B26902" i="1"/>
  <c r="A26903" i="1"/>
  <c r="B26903" i="1"/>
  <c r="A26904" i="1"/>
  <c r="B26904" i="1"/>
  <c r="A26905" i="1"/>
  <c r="B26905" i="1"/>
  <c r="A26906" i="1"/>
  <c r="B26906" i="1"/>
  <c r="A26907" i="1"/>
  <c r="B26907" i="1"/>
  <c r="A26908" i="1"/>
  <c r="B26908" i="1"/>
  <c r="A26909" i="1"/>
  <c r="B26909" i="1"/>
  <c r="A26910" i="1"/>
  <c r="B26910" i="1"/>
  <c r="A26911" i="1"/>
  <c r="B26911" i="1"/>
  <c r="A26912" i="1"/>
  <c r="B26912" i="1"/>
  <c r="A26913" i="1"/>
  <c r="B26913" i="1"/>
  <c r="A26914" i="1"/>
  <c r="B26914" i="1"/>
  <c r="A26915" i="1"/>
  <c r="B26915" i="1"/>
  <c r="A26916" i="1"/>
  <c r="B26916" i="1"/>
  <c r="A26917" i="1"/>
  <c r="B26917" i="1"/>
  <c r="A26918" i="1"/>
  <c r="B26918" i="1"/>
  <c r="A26919" i="1"/>
  <c r="B26919" i="1"/>
  <c r="A26920" i="1"/>
  <c r="B26920" i="1"/>
  <c r="A26921" i="1"/>
  <c r="B26921" i="1"/>
  <c r="A26922" i="1"/>
  <c r="B26922" i="1"/>
  <c r="A26923" i="1"/>
  <c r="B26923" i="1"/>
  <c r="A26924" i="1"/>
  <c r="B26924" i="1"/>
  <c r="A26925" i="1"/>
  <c r="B26925" i="1"/>
  <c r="A26926" i="1"/>
  <c r="B26926" i="1"/>
  <c r="A26927" i="1"/>
  <c r="B26927" i="1"/>
  <c r="A26928" i="1"/>
  <c r="B26928" i="1"/>
  <c r="A26929" i="1"/>
  <c r="B26929" i="1"/>
  <c r="A26930" i="1"/>
  <c r="B26930" i="1"/>
  <c r="A26931" i="1"/>
  <c r="B26931" i="1"/>
  <c r="A26932" i="1"/>
  <c r="B26932" i="1"/>
  <c r="A26933" i="1"/>
  <c r="B26933" i="1"/>
  <c r="A26934" i="1"/>
  <c r="B26934" i="1"/>
  <c r="A26935" i="1"/>
  <c r="B26935" i="1"/>
  <c r="A26936" i="1"/>
  <c r="B26936" i="1"/>
  <c r="A26937" i="1"/>
  <c r="B26937" i="1"/>
  <c r="A26938" i="1"/>
  <c r="B26938" i="1"/>
  <c r="A26939" i="1"/>
  <c r="B26939" i="1"/>
  <c r="A26940" i="1"/>
  <c r="B26940" i="1"/>
  <c r="A26941" i="1"/>
  <c r="B26941" i="1"/>
  <c r="A26942" i="1"/>
  <c r="B26942" i="1"/>
  <c r="A26943" i="1"/>
  <c r="B26943" i="1"/>
  <c r="A26944" i="1"/>
  <c r="B26944" i="1"/>
  <c r="A26945" i="1"/>
  <c r="B26945" i="1"/>
  <c r="A26946" i="1"/>
  <c r="B26946" i="1"/>
  <c r="A26947" i="1"/>
  <c r="B26947" i="1"/>
  <c r="A26948" i="1"/>
  <c r="B26948" i="1"/>
  <c r="A26949" i="1"/>
  <c r="B26949" i="1"/>
  <c r="A26950" i="1"/>
  <c r="B26950" i="1"/>
  <c r="A26951" i="1"/>
  <c r="B26951" i="1"/>
  <c r="A26952" i="1"/>
  <c r="B26952" i="1"/>
  <c r="A26953" i="1"/>
  <c r="B26953" i="1"/>
  <c r="A26954" i="1"/>
  <c r="B26954" i="1"/>
  <c r="A26955" i="1"/>
  <c r="B26955" i="1"/>
  <c r="A26956" i="1"/>
  <c r="B26956" i="1"/>
  <c r="A26957" i="1"/>
  <c r="B26957" i="1"/>
  <c r="A26958" i="1"/>
  <c r="B26958" i="1"/>
  <c r="A26959" i="1"/>
  <c r="B26959" i="1"/>
  <c r="A26960" i="1"/>
  <c r="B26960" i="1"/>
  <c r="A26961" i="1"/>
  <c r="B26961" i="1"/>
  <c r="A26962" i="1"/>
  <c r="B26962" i="1"/>
  <c r="A26963" i="1"/>
  <c r="B26963" i="1"/>
  <c r="A26964" i="1"/>
  <c r="B26964" i="1"/>
  <c r="A26965" i="1"/>
  <c r="B26965" i="1"/>
  <c r="A26966" i="1"/>
  <c r="B26966" i="1"/>
  <c r="A26967" i="1"/>
  <c r="B26967" i="1"/>
  <c r="A26968" i="1"/>
  <c r="B26968" i="1"/>
  <c r="A26969" i="1"/>
  <c r="B26969" i="1"/>
  <c r="A26970" i="1"/>
  <c r="B26970" i="1"/>
  <c r="A26971" i="1"/>
  <c r="B26971" i="1"/>
  <c r="A26972" i="1"/>
  <c r="B26972" i="1"/>
  <c r="A26973" i="1"/>
  <c r="B26973" i="1"/>
  <c r="A26974" i="1"/>
  <c r="B26974" i="1"/>
  <c r="A26975" i="1"/>
  <c r="B26975" i="1"/>
  <c r="A26976" i="1"/>
  <c r="B26976" i="1"/>
  <c r="A26977" i="1"/>
  <c r="B26977" i="1"/>
  <c r="A26978" i="1"/>
  <c r="B26978" i="1"/>
  <c r="A26979" i="1"/>
  <c r="B26979" i="1"/>
  <c r="A26980" i="1"/>
  <c r="B26980" i="1"/>
  <c r="A26981" i="1"/>
  <c r="B26981" i="1"/>
  <c r="A26982" i="1"/>
  <c r="B26982" i="1"/>
  <c r="A26983" i="1"/>
  <c r="B26983" i="1"/>
  <c r="A26984" i="1"/>
  <c r="B26984" i="1"/>
  <c r="A26985" i="1"/>
  <c r="B26985" i="1"/>
  <c r="A26986" i="1"/>
  <c r="B26986" i="1"/>
  <c r="A26987" i="1"/>
  <c r="B26987" i="1"/>
  <c r="A26988" i="1"/>
  <c r="B26988" i="1"/>
  <c r="A26989" i="1"/>
  <c r="B26989" i="1"/>
  <c r="A26990" i="1"/>
  <c r="B26990" i="1"/>
  <c r="A26991" i="1"/>
  <c r="B26991" i="1"/>
  <c r="A26992" i="1"/>
  <c r="B26992" i="1"/>
  <c r="A26993" i="1"/>
  <c r="B26993" i="1"/>
  <c r="A26994" i="1"/>
  <c r="B26994" i="1"/>
  <c r="A26995" i="1"/>
  <c r="B26995" i="1"/>
  <c r="A26996" i="1"/>
  <c r="B26996" i="1"/>
  <c r="A26997" i="1"/>
  <c r="B26997" i="1"/>
  <c r="A26998" i="1"/>
  <c r="B26998" i="1"/>
  <c r="A26999" i="1"/>
  <c r="B26999" i="1"/>
  <c r="A27000" i="1"/>
  <c r="B27000" i="1"/>
  <c r="A27001" i="1"/>
  <c r="B27001" i="1"/>
  <c r="A27002" i="1"/>
  <c r="B27002" i="1"/>
  <c r="A27003" i="1"/>
  <c r="B27003" i="1"/>
  <c r="A27004" i="1"/>
  <c r="B27004" i="1"/>
  <c r="A27005" i="1"/>
  <c r="B27005" i="1"/>
  <c r="A27006" i="1"/>
  <c r="B27006" i="1"/>
  <c r="A27007" i="1"/>
  <c r="B27007" i="1"/>
  <c r="A27008" i="1"/>
  <c r="B27008" i="1"/>
  <c r="A27009" i="1"/>
  <c r="B27009" i="1"/>
  <c r="A27010" i="1"/>
  <c r="B27010" i="1"/>
  <c r="A27011" i="1"/>
  <c r="B27011" i="1"/>
  <c r="A27012" i="1"/>
  <c r="B27012" i="1"/>
  <c r="A27013" i="1"/>
  <c r="B27013" i="1"/>
  <c r="A27014" i="1"/>
  <c r="B27014" i="1"/>
  <c r="A27015" i="1"/>
  <c r="B27015" i="1"/>
  <c r="A27016" i="1"/>
  <c r="B27016" i="1"/>
  <c r="A27017" i="1"/>
  <c r="B27017" i="1"/>
  <c r="A27018" i="1"/>
  <c r="B27018" i="1"/>
  <c r="A27019" i="1"/>
  <c r="B27019" i="1"/>
  <c r="A27020" i="1"/>
  <c r="B27020" i="1"/>
  <c r="A27021" i="1"/>
  <c r="B27021" i="1"/>
  <c r="A27022" i="1"/>
  <c r="B27022" i="1"/>
  <c r="A27023" i="1"/>
  <c r="B27023" i="1"/>
  <c r="A27024" i="1"/>
  <c r="B27024" i="1"/>
  <c r="A27025" i="1"/>
  <c r="B27025" i="1"/>
  <c r="A27026" i="1"/>
  <c r="B27026" i="1"/>
  <c r="A27027" i="1"/>
  <c r="B27027" i="1"/>
  <c r="A27028" i="1"/>
  <c r="B27028" i="1"/>
  <c r="A27029" i="1"/>
  <c r="B27029" i="1"/>
  <c r="A27030" i="1"/>
  <c r="B27030" i="1"/>
  <c r="A27031" i="1"/>
  <c r="B27031" i="1"/>
  <c r="A27032" i="1"/>
  <c r="B27032" i="1"/>
  <c r="A27033" i="1"/>
  <c r="B27033" i="1"/>
  <c r="A27034" i="1"/>
  <c r="B27034" i="1"/>
  <c r="A27035" i="1"/>
  <c r="B27035" i="1"/>
  <c r="A27036" i="1"/>
  <c r="B27036" i="1"/>
  <c r="A27037" i="1"/>
  <c r="B27037" i="1"/>
  <c r="A27038" i="1"/>
  <c r="B27038" i="1"/>
  <c r="A27039" i="1"/>
  <c r="B27039" i="1"/>
  <c r="A27040" i="1"/>
  <c r="B27040" i="1"/>
  <c r="A27041" i="1"/>
  <c r="B27041" i="1"/>
  <c r="A27042" i="1"/>
  <c r="B27042" i="1"/>
  <c r="A27043" i="1"/>
  <c r="B27043" i="1"/>
  <c r="A27044" i="1"/>
  <c r="B27044" i="1"/>
  <c r="A27045" i="1"/>
  <c r="B27045" i="1"/>
  <c r="A27046" i="1"/>
  <c r="B27046" i="1"/>
  <c r="A27047" i="1"/>
  <c r="B27047" i="1"/>
  <c r="A27048" i="1"/>
  <c r="B27048" i="1"/>
  <c r="A27049" i="1"/>
  <c r="B27049" i="1"/>
  <c r="A27050" i="1"/>
  <c r="B27050" i="1"/>
  <c r="A27051" i="1"/>
  <c r="B27051" i="1"/>
  <c r="A27052" i="1"/>
  <c r="B27052" i="1"/>
  <c r="A27053" i="1"/>
  <c r="B27053" i="1"/>
  <c r="A27054" i="1"/>
  <c r="B27054" i="1"/>
  <c r="A27055" i="1"/>
  <c r="B27055" i="1"/>
  <c r="A27056" i="1"/>
  <c r="B27056" i="1"/>
  <c r="A27057" i="1"/>
  <c r="B27057" i="1"/>
  <c r="A27058" i="1"/>
  <c r="B27058" i="1"/>
  <c r="A27059" i="1"/>
  <c r="B27059" i="1"/>
  <c r="A27060" i="1"/>
  <c r="B27060" i="1"/>
  <c r="A27061" i="1"/>
  <c r="B27061" i="1"/>
  <c r="A27062" i="1"/>
  <c r="B27062" i="1"/>
  <c r="A27063" i="1"/>
  <c r="B27063" i="1"/>
  <c r="A27064" i="1"/>
  <c r="B27064" i="1"/>
  <c r="A27065" i="1"/>
  <c r="B27065" i="1"/>
  <c r="A27066" i="1"/>
  <c r="B27066" i="1"/>
  <c r="A27067" i="1"/>
  <c r="B27067" i="1"/>
  <c r="A27068" i="1"/>
  <c r="B27068" i="1"/>
  <c r="A27069" i="1"/>
  <c r="B27069" i="1"/>
  <c r="A27070" i="1"/>
  <c r="B27070" i="1"/>
  <c r="A27071" i="1"/>
  <c r="B27071" i="1"/>
  <c r="A27072" i="1"/>
  <c r="B27072" i="1"/>
  <c r="A27073" i="1"/>
  <c r="B27073" i="1"/>
  <c r="A27074" i="1"/>
  <c r="B27074" i="1"/>
  <c r="A27075" i="1"/>
  <c r="B27075" i="1"/>
  <c r="A27076" i="1"/>
  <c r="B27076" i="1"/>
  <c r="A27077" i="1"/>
  <c r="B27077" i="1"/>
  <c r="A27078" i="1"/>
  <c r="B27078" i="1"/>
  <c r="A27079" i="1"/>
  <c r="B27079" i="1"/>
  <c r="A27080" i="1"/>
  <c r="B27080" i="1"/>
  <c r="A27081" i="1"/>
  <c r="B27081" i="1"/>
  <c r="A27082" i="1"/>
  <c r="B27082" i="1"/>
  <c r="A27083" i="1"/>
  <c r="B27083" i="1"/>
  <c r="A27084" i="1"/>
  <c r="B27084" i="1"/>
  <c r="A27085" i="1"/>
  <c r="B27085" i="1"/>
  <c r="A27086" i="1"/>
  <c r="B27086" i="1"/>
  <c r="A27087" i="1"/>
  <c r="B27087" i="1"/>
  <c r="A27088" i="1"/>
  <c r="B27088" i="1"/>
  <c r="A27089" i="1"/>
  <c r="B27089" i="1"/>
  <c r="A27090" i="1"/>
  <c r="B27090" i="1"/>
  <c r="A27091" i="1"/>
  <c r="B27091" i="1"/>
  <c r="A27092" i="1"/>
  <c r="B27092" i="1"/>
  <c r="A27093" i="1"/>
  <c r="B27093" i="1"/>
  <c r="A27094" i="1"/>
  <c r="B27094" i="1"/>
  <c r="A27095" i="1"/>
  <c r="B27095" i="1"/>
  <c r="A27096" i="1"/>
  <c r="B27096" i="1"/>
  <c r="A27097" i="1"/>
  <c r="B27097" i="1"/>
  <c r="A27098" i="1"/>
  <c r="B27098" i="1"/>
  <c r="A27099" i="1"/>
  <c r="B27099" i="1"/>
  <c r="A27100" i="1"/>
  <c r="B27100" i="1"/>
  <c r="A27101" i="1"/>
  <c r="B27101" i="1"/>
  <c r="A27102" i="1"/>
  <c r="B27102" i="1"/>
  <c r="A27103" i="1"/>
  <c r="B27103" i="1"/>
  <c r="A27104" i="1"/>
  <c r="B27104" i="1"/>
  <c r="A27105" i="1"/>
  <c r="B27105" i="1"/>
  <c r="A27106" i="1"/>
  <c r="B27106" i="1"/>
  <c r="A27107" i="1"/>
  <c r="B27107" i="1"/>
  <c r="A27108" i="1"/>
  <c r="B27108" i="1"/>
  <c r="A27109" i="1"/>
  <c r="B27109" i="1"/>
  <c r="A27110" i="1"/>
  <c r="B27110" i="1"/>
  <c r="A27111" i="1"/>
  <c r="B27111" i="1"/>
  <c r="A27112" i="1"/>
  <c r="B27112" i="1"/>
  <c r="A27113" i="1"/>
  <c r="B27113" i="1"/>
  <c r="A27114" i="1"/>
  <c r="B27114" i="1"/>
  <c r="A27115" i="1"/>
  <c r="B27115" i="1"/>
  <c r="A27116" i="1"/>
  <c r="B27116" i="1"/>
  <c r="A27117" i="1"/>
  <c r="B27117" i="1"/>
  <c r="A27118" i="1"/>
  <c r="B27118" i="1"/>
  <c r="A27119" i="1"/>
  <c r="B27119" i="1"/>
  <c r="A27120" i="1"/>
  <c r="B27120" i="1"/>
  <c r="A27121" i="1"/>
  <c r="B27121" i="1"/>
  <c r="A27122" i="1"/>
  <c r="B27122" i="1"/>
  <c r="A27123" i="1"/>
  <c r="B27123" i="1"/>
  <c r="A27124" i="1"/>
  <c r="B27124" i="1"/>
  <c r="A27125" i="1"/>
  <c r="B27125" i="1"/>
  <c r="A27126" i="1"/>
  <c r="B27126" i="1"/>
  <c r="A27127" i="1"/>
  <c r="B27127" i="1"/>
  <c r="A27128" i="1"/>
  <c r="B27128" i="1"/>
  <c r="A27129" i="1"/>
  <c r="B27129" i="1"/>
  <c r="A27130" i="1"/>
  <c r="B27130" i="1"/>
  <c r="A27131" i="1"/>
  <c r="B27131" i="1"/>
  <c r="A27132" i="1"/>
  <c r="B27132" i="1"/>
  <c r="A27133" i="1"/>
  <c r="B27133" i="1"/>
  <c r="A27134" i="1"/>
  <c r="B27134" i="1"/>
  <c r="A27135" i="1"/>
  <c r="B27135" i="1"/>
  <c r="A27136" i="1"/>
  <c r="B27136" i="1"/>
  <c r="A27137" i="1"/>
  <c r="B27137" i="1"/>
  <c r="A27138" i="1"/>
  <c r="B27138" i="1"/>
  <c r="A27139" i="1"/>
  <c r="B27139" i="1"/>
  <c r="A27140" i="1"/>
  <c r="B27140" i="1"/>
  <c r="A27141" i="1"/>
  <c r="B27141" i="1"/>
  <c r="A27142" i="1"/>
  <c r="B27142" i="1"/>
  <c r="A27143" i="1"/>
  <c r="B27143" i="1"/>
  <c r="A27144" i="1"/>
  <c r="B27144" i="1"/>
  <c r="A27145" i="1"/>
  <c r="B27145" i="1"/>
  <c r="A27146" i="1"/>
  <c r="B27146" i="1"/>
  <c r="A27147" i="1"/>
  <c r="B27147" i="1"/>
  <c r="A27148" i="1"/>
  <c r="B27148" i="1"/>
  <c r="A27149" i="1"/>
  <c r="B27149" i="1"/>
  <c r="A27150" i="1"/>
  <c r="B27150" i="1"/>
  <c r="A27151" i="1"/>
  <c r="B27151" i="1"/>
  <c r="A27152" i="1"/>
  <c r="B27152" i="1"/>
  <c r="A27153" i="1"/>
  <c r="B27153" i="1"/>
  <c r="A27154" i="1"/>
  <c r="B27154" i="1"/>
  <c r="A27155" i="1"/>
  <c r="B27155" i="1"/>
  <c r="A27156" i="1"/>
  <c r="B27156" i="1"/>
  <c r="A27157" i="1"/>
  <c r="B27157" i="1"/>
  <c r="A27158" i="1"/>
  <c r="B27158" i="1"/>
  <c r="A27159" i="1"/>
  <c r="B27159" i="1"/>
  <c r="A27160" i="1"/>
  <c r="B27160" i="1"/>
  <c r="A27161" i="1"/>
  <c r="B27161" i="1"/>
  <c r="A27162" i="1"/>
  <c r="B27162" i="1"/>
  <c r="A27163" i="1"/>
  <c r="B27163" i="1"/>
  <c r="A27164" i="1"/>
  <c r="B27164" i="1"/>
  <c r="A27165" i="1"/>
  <c r="B27165" i="1"/>
  <c r="A27166" i="1"/>
  <c r="B27166" i="1"/>
  <c r="A27167" i="1"/>
  <c r="B27167" i="1"/>
  <c r="A27168" i="1"/>
  <c r="B27168" i="1"/>
  <c r="A27169" i="1"/>
  <c r="B27169" i="1"/>
  <c r="A27170" i="1"/>
  <c r="B27170" i="1"/>
  <c r="A27171" i="1"/>
  <c r="B27171" i="1"/>
  <c r="A27172" i="1"/>
  <c r="B27172" i="1"/>
  <c r="A27173" i="1"/>
  <c r="B27173" i="1"/>
  <c r="A27174" i="1"/>
  <c r="B27174" i="1"/>
  <c r="A27175" i="1"/>
  <c r="B27175" i="1"/>
  <c r="A27176" i="1"/>
  <c r="B27176" i="1"/>
  <c r="A27177" i="1"/>
  <c r="B27177" i="1"/>
  <c r="A27178" i="1"/>
  <c r="B27178" i="1"/>
  <c r="A27179" i="1"/>
  <c r="B27179" i="1"/>
  <c r="A27180" i="1"/>
  <c r="B27180" i="1"/>
  <c r="A27181" i="1"/>
  <c r="B27181" i="1"/>
  <c r="A27182" i="1"/>
  <c r="B27182" i="1"/>
  <c r="A27183" i="1"/>
  <c r="B27183" i="1"/>
  <c r="A27184" i="1"/>
  <c r="B27184" i="1"/>
  <c r="A27185" i="1"/>
  <c r="B27185" i="1"/>
  <c r="A27186" i="1"/>
  <c r="B27186" i="1"/>
  <c r="A27187" i="1"/>
  <c r="B27187" i="1"/>
  <c r="A27188" i="1"/>
  <c r="B27188" i="1"/>
  <c r="A27189" i="1"/>
  <c r="B27189" i="1"/>
  <c r="A27190" i="1"/>
  <c r="B27190" i="1"/>
  <c r="A27191" i="1"/>
  <c r="B27191" i="1"/>
  <c r="A27192" i="1"/>
  <c r="B27192" i="1"/>
  <c r="A27193" i="1"/>
  <c r="B27193" i="1"/>
  <c r="A27194" i="1"/>
  <c r="B27194" i="1"/>
  <c r="A27195" i="1"/>
  <c r="B27195" i="1"/>
  <c r="A27196" i="1"/>
  <c r="B27196" i="1"/>
  <c r="A27197" i="1"/>
  <c r="B27197" i="1"/>
  <c r="A27198" i="1"/>
  <c r="B27198" i="1"/>
  <c r="A27199" i="1"/>
  <c r="B27199" i="1"/>
  <c r="A27200" i="1"/>
  <c r="B27200" i="1"/>
  <c r="A27201" i="1"/>
  <c r="B27201" i="1"/>
  <c r="A27202" i="1"/>
  <c r="B27202" i="1"/>
  <c r="A27203" i="1"/>
  <c r="B27203" i="1"/>
  <c r="A27204" i="1"/>
  <c r="B27204" i="1"/>
  <c r="A27205" i="1"/>
  <c r="B27205" i="1"/>
  <c r="A27206" i="1"/>
  <c r="B27206" i="1"/>
  <c r="A27207" i="1"/>
  <c r="B27207" i="1"/>
  <c r="A27208" i="1"/>
  <c r="B27208" i="1"/>
  <c r="A27209" i="1"/>
  <c r="B27209" i="1"/>
  <c r="A27210" i="1"/>
  <c r="B27210" i="1"/>
  <c r="A27211" i="1"/>
  <c r="B27211" i="1"/>
  <c r="A27212" i="1"/>
  <c r="B27212" i="1"/>
  <c r="A27213" i="1"/>
  <c r="B27213" i="1"/>
  <c r="A27214" i="1"/>
  <c r="B27214" i="1"/>
  <c r="A27215" i="1"/>
  <c r="B27215" i="1"/>
  <c r="A27216" i="1"/>
  <c r="B27216" i="1"/>
  <c r="A27217" i="1"/>
  <c r="B27217" i="1"/>
  <c r="A27218" i="1"/>
  <c r="B27218" i="1"/>
  <c r="A27219" i="1"/>
  <c r="B27219" i="1"/>
  <c r="A27220" i="1"/>
  <c r="B27220" i="1"/>
  <c r="A27221" i="1"/>
  <c r="B27221" i="1"/>
  <c r="A27222" i="1"/>
  <c r="B27222" i="1"/>
  <c r="A27223" i="1"/>
  <c r="B27223" i="1"/>
  <c r="A27224" i="1"/>
  <c r="B27224" i="1"/>
  <c r="A27225" i="1"/>
  <c r="B27225" i="1"/>
  <c r="A27226" i="1"/>
  <c r="B27226" i="1"/>
  <c r="A27227" i="1"/>
  <c r="B27227" i="1"/>
  <c r="A27228" i="1"/>
  <c r="B27228" i="1"/>
  <c r="A27229" i="1"/>
  <c r="B27229" i="1"/>
  <c r="A27230" i="1"/>
  <c r="B27230" i="1"/>
  <c r="A27231" i="1"/>
  <c r="B27231" i="1"/>
  <c r="A27232" i="1"/>
  <c r="B27232" i="1"/>
  <c r="A27233" i="1"/>
  <c r="B27233" i="1"/>
  <c r="A27234" i="1"/>
  <c r="B27234" i="1"/>
  <c r="A27235" i="1"/>
  <c r="B27235" i="1"/>
  <c r="A27236" i="1"/>
  <c r="B27236" i="1"/>
  <c r="A27237" i="1"/>
  <c r="B27237" i="1"/>
  <c r="A27238" i="1"/>
  <c r="B27238" i="1"/>
  <c r="A27239" i="1"/>
  <c r="B27239" i="1"/>
  <c r="A27240" i="1"/>
  <c r="B27240" i="1"/>
  <c r="A27241" i="1"/>
  <c r="B27241" i="1"/>
  <c r="A27242" i="1"/>
  <c r="B27242" i="1"/>
  <c r="A27243" i="1"/>
  <c r="B27243" i="1"/>
  <c r="A27244" i="1"/>
  <c r="B27244" i="1"/>
  <c r="A27245" i="1"/>
  <c r="B27245" i="1"/>
  <c r="A27246" i="1"/>
  <c r="B27246" i="1"/>
  <c r="A27247" i="1"/>
  <c r="B27247" i="1"/>
  <c r="A27248" i="1"/>
  <c r="B27248" i="1"/>
  <c r="A27249" i="1"/>
  <c r="B27249" i="1"/>
  <c r="A27250" i="1"/>
  <c r="B27250" i="1"/>
  <c r="A27251" i="1"/>
  <c r="B27251" i="1"/>
  <c r="A27252" i="1"/>
  <c r="B27252" i="1"/>
  <c r="A27253" i="1"/>
  <c r="B27253" i="1"/>
  <c r="A27254" i="1"/>
  <c r="B27254" i="1"/>
  <c r="A27255" i="1"/>
  <c r="B27255" i="1"/>
  <c r="A27256" i="1"/>
  <c r="B27256" i="1"/>
  <c r="A27257" i="1"/>
  <c r="B27257" i="1"/>
  <c r="A27258" i="1"/>
  <c r="B27258" i="1"/>
  <c r="A27259" i="1"/>
  <c r="B27259" i="1"/>
  <c r="A27260" i="1"/>
  <c r="B27260" i="1"/>
  <c r="A27261" i="1"/>
  <c r="B27261" i="1"/>
  <c r="A27262" i="1"/>
  <c r="B27262" i="1"/>
  <c r="A27263" i="1"/>
  <c r="B27263" i="1"/>
  <c r="A27264" i="1"/>
  <c r="B27264" i="1"/>
  <c r="A27265" i="1"/>
  <c r="B27265" i="1"/>
  <c r="A27266" i="1"/>
  <c r="B27266" i="1"/>
  <c r="A27267" i="1"/>
  <c r="B27267" i="1"/>
  <c r="A27268" i="1"/>
  <c r="B27268" i="1"/>
  <c r="A27269" i="1"/>
  <c r="B27269" i="1"/>
  <c r="A27270" i="1"/>
  <c r="B27270" i="1"/>
  <c r="A27271" i="1"/>
  <c r="B27271" i="1"/>
  <c r="A27272" i="1"/>
  <c r="B27272" i="1"/>
  <c r="A27273" i="1"/>
  <c r="B27273" i="1"/>
  <c r="A27274" i="1"/>
  <c r="B27274" i="1"/>
  <c r="A27275" i="1"/>
  <c r="B27275" i="1"/>
  <c r="A27276" i="1"/>
  <c r="B27276" i="1"/>
  <c r="A27277" i="1"/>
  <c r="B27277" i="1"/>
  <c r="A27278" i="1"/>
  <c r="B27278" i="1"/>
  <c r="A27279" i="1"/>
  <c r="B27279" i="1"/>
  <c r="A27280" i="1"/>
  <c r="B27280" i="1"/>
  <c r="A27281" i="1"/>
  <c r="B27281" i="1"/>
  <c r="A27282" i="1"/>
  <c r="B27282" i="1"/>
  <c r="A27283" i="1"/>
  <c r="B27283" i="1"/>
  <c r="A27284" i="1"/>
  <c r="B27284" i="1"/>
  <c r="A27285" i="1"/>
  <c r="B27285" i="1"/>
  <c r="A27286" i="1"/>
  <c r="B27286" i="1"/>
  <c r="A27287" i="1"/>
  <c r="B27287" i="1"/>
  <c r="A27288" i="1"/>
  <c r="B27288" i="1"/>
  <c r="A27289" i="1"/>
  <c r="B27289" i="1"/>
  <c r="A27290" i="1"/>
  <c r="B27290" i="1"/>
  <c r="A27291" i="1"/>
  <c r="B27291" i="1"/>
  <c r="A27292" i="1"/>
  <c r="B27292" i="1"/>
  <c r="A27293" i="1"/>
  <c r="B27293" i="1"/>
  <c r="A27294" i="1"/>
  <c r="B27294" i="1"/>
  <c r="A27295" i="1"/>
  <c r="B27295" i="1"/>
  <c r="A27296" i="1"/>
  <c r="B27296" i="1"/>
  <c r="A27297" i="1"/>
  <c r="B27297" i="1"/>
  <c r="A27298" i="1"/>
  <c r="B27298" i="1"/>
  <c r="A27299" i="1"/>
  <c r="B27299" i="1"/>
  <c r="A27300" i="1"/>
  <c r="B27300" i="1"/>
  <c r="A27301" i="1"/>
  <c r="B27301" i="1"/>
  <c r="A27302" i="1"/>
  <c r="B27302" i="1"/>
  <c r="A27303" i="1"/>
  <c r="B27303" i="1"/>
  <c r="A27304" i="1"/>
  <c r="B27304" i="1"/>
  <c r="A27305" i="1"/>
  <c r="B27305" i="1"/>
  <c r="A27306" i="1"/>
  <c r="B27306" i="1"/>
  <c r="A27307" i="1"/>
  <c r="B27307" i="1"/>
  <c r="A27308" i="1"/>
  <c r="B27308" i="1"/>
  <c r="A27309" i="1"/>
  <c r="B27309" i="1"/>
  <c r="A27310" i="1"/>
  <c r="B27310" i="1"/>
  <c r="A27311" i="1"/>
  <c r="B27311" i="1"/>
  <c r="A27312" i="1"/>
  <c r="B27312" i="1"/>
  <c r="A27313" i="1"/>
  <c r="B27313" i="1"/>
  <c r="A27314" i="1"/>
  <c r="B27314" i="1"/>
  <c r="A27315" i="1"/>
  <c r="B27315" i="1"/>
  <c r="A27316" i="1"/>
  <c r="B27316" i="1"/>
  <c r="A27317" i="1"/>
  <c r="B27317" i="1"/>
  <c r="A27318" i="1"/>
  <c r="B27318" i="1"/>
  <c r="A27319" i="1"/>
  <c r="B27319" i="1"/>
  <c r="A27320" i="1"/>
  <c r="B27320" i="1"/>
  <c r="A27321" i="1"/>
  <c r="B27321" i="1"/>
  <c r="A27322" i="1"/>
  <c r="B27322" i="1"/>
  <c r="A27323" i="1"/>
  <c r="B27323" i="1"/>
  <c r="A27324" i="1"/>
  <c r="B27324" i="1"/>
  <c r="A27325" i="1"/>
  <c r="B27325" i="1"/>
  <c r="A27326" i="1"/>
  <c r="B27326" i="1"/>
  <c r="A27327" i="1"/>
  <c r="B27327" i="1"/>
  <c r="A27328" i="1"/>
  <c r="B27328" i="1"/>
  <c r="A27329" i="1"/>
  <c r="B27329" i="1"/>
  <c r="A27330" i="1"/>
  <c r="B27330" i="1"/>
  <c r="A27331" i="1"/>
  <c r="B27331" i="1"/>
  <c r="A27332" i="1"/>
  <c r="B27332" i="1"/>
  <c r="A27333" i="1"/>
  <c r="B27333" i="1"/>
  <c r="A27334" i="1"/>
  <c r="B27334" i="1"/>
  <c r="A27335" i="1"/>
  <c r="B27335" i="1"/>
  <c r="A27336" i="1"/>
  <c r="B27336" i="1"/>
  <c r="A27337" i="1"/>
  <c r="B27337" i="1"/>
  <c r="A27338" i="1"/>
  <c r="B27338" i="1"/>
  <c r="A27339" i="1"/>
  <c r="B27339" i="1"/>
  <c r="A27340" i="1"/>
  <c r="B27340" i="1"/>
  <c r="A27341" i="1"/>
  <c r="B27341" i="1"/>
  <c r="A27342" i="1"/>
  <c r="B27342" i="1"/>
  <c r="A27343" i="1"/>
  <c r="B27343" i="1"/>
  <c r="A27344" i="1"/>
  <c r="B27344" i="1"/>
  <c r="A27345" i="1"/>
  <c r="B27345" i="1"/>
  <c r="A27346" i="1"/>
  <c r="B27346" i="1"/>
  <c r="A27347" i="1"/>
  <c r="B27347" i="1"/>
  <c r="A27348" i="1"/>
  <c r="B27348" i="1"/>
  <c r="A27349" i="1"/>
  <c r="B27349" i="1"/>
  <c r="A27350" i="1"/>
  <c r="B27350" i="1"/>
  <c r="A27351" i="1"/>
  <c r="B27351" i="1"/>
  <c r="A27352" i="1"/>
  <c r="B27352" i="1"/>
  <c r="A27353" i="1"/>
  <c r="B27353" i="1"/>
  <c r="A27354" i="1"/>
  <c r="B27354" i="1"/>
  <c r="A27355" i="1"/>
  <c r="B27355" i="1"/>
  <c r="A27356" i="1"/>
  <c r="B27356" i="1"/>
  <c r="A27357" i="1"/>
  <c r="B27357" i="1"/>
  <c r="A27358" i="1"/>
  <c r="B27358" i="1"/>
  <c r="A27359" i="1"/>
  <c r="B27359" i="1"/>
  <c r="A27360" i="1"/>
  <c r="B27360" i="1"/>
  <c r="A27361" i="1"/>
  <c r="B27361" i="1"/>
  <c r="A27362" i="1"/>
  <c r="B27362" i="1"/>
  <c r="A27363" i="1"/>
  <c r="B27363" i="1"/>
  <c r="A27364" i="1"/>
  <c r="B27364" i="1"/>
  <c r="A27365" i="1"/>
  <c r="B27365" i="1"/>
  <c r="A27366" i="1"/>
  <c r="B27366" i="1"/>
  <c r="A27367" i="1"/>
  <c r="B27367" i="1"/>
  <c r="A27368" i="1"/>
  <c r="B27368" i="1"/>
  <c r="A27369" i="1"/>
  <c r="B27369" i="1"/>
  <c r="A27370" i="1"/>
  <c r="B27370" i="1"/>
  <c r="A27371" i="1"/>
  <c r="B27371" i="1"/>
  <c r="A27372" i="1"/>
  <c r="B27372" i="1"/>
  <c r="A27373" i="1"/>
  <c r="B27373" i="1"/>
  <c r="A27374" i="1"/>
  <c r="B27374" i="1"/>
  <c r="A27375" i="1"/>
  <c r="B27375" i="1"/>
  <c r="A27376" i="1"/>
  <c r="B27376" i="1"/>
  <c r="A27377" i="1"/>
  <c r="B27377" i="1"/>
  <c r="A27378" i="1"/>
  <c r="B27378" i="1"/>
  <c r="A27379" i="1"/>
  <c r="B27379" i="1"/>
  <c r="A27380" i="1"/>
  <c r="B27380" i="1"/>
  <c r="A27381" i="1"/>
  <c r="B27381" i="1"/>
  <c r="A27382" i="1"/>
  <c r="B27382" i="1"/>
  <c r="A27383" i="1"/>
  <c r="B27383" i="1"/>
  <c r="A27384" i="1"/>
  <c r="B27384" i="1"/>
  <c r="A27385" i="1"/>
  <c r="B27385" i="1"/>
  <c r="A27386" i="1"/>
  <c r="B27386" i="1"/>
  <c r="A27387" i="1"/>
  <c r="B27387" i="1"/>
  <c r="A27388" i="1"/>
  <c r="B27388" i="1"/>
  <c r="A27389" i="1"/>
  <c r="B27389" i="1"/>
  <c r="A27390" i="1"/>
  <c r="B27390" i="1"/>
  <c r="A27391" i="1"/>
  <c r="B27391" i="1"/>
  <c r="A27392" i="1"/>
  <c r="B27392" i="1"/>
  <c r="A27393" i="1"/>
  <c r="B27393" i="1"/>
  <c r="A27394" i="1"/>
  <c r="B27394" i="1"/>
  <c r="A27395" i="1"/>
  <c r="B27395" i="1"/>
  <c r="A27396" i="1"/>
  <c r="B27396" i="1"/>
  <c r="A27397" i="1"/>
  <c r="B27397" i="1"/>
  <c r="A27398" i="1"/>
  <c r="B27398" i="1"/>
  <c r="A27399" i="1"/>
  <c r="B27399" i="1"/>
  <c r="A27400" i="1"/>
  <c r="B27400" i="1"/>
  <c r="A27401" i="1"/>
  <c r="B27401" i="1"/>
  <c r="A27402" i="1"/>
  <c r="B27402" i="1"/>
  <c r="A27403" i="1"/>
  <c r="B27403" i="1"/>
  <c r="A27404" i="1"/>
  <c r="B27404" i="1"/>
  <c r="A27405" i="1"/>
  <c r="B27405" i="1"/>
  <c r="A27406" i="1"/>
  <c r="B27406" i="1"/>
  <c r="A27407" i="1"/>
  <c r="B27407" i="1"/>
  <c r="A27408" i="1"/>
  <c r="B27408" i="1"/>
  <c r="A27409" i="1"/>
  <c r="B27409" i="1"/>
  <c r="A27410" i="1"/>
  <c r="B27410" i="1"/>
  <c r="A27411" i="1"/>
  <c r="B27411" i="1"/>
  <c r="A27412" i="1"/>
  <c r="B27412" i="1"/>
  <c r="A27413" i="1"/>
  <c r="B27413" i="1"/>
  <c r="A27414" i="1"/>
  <c r="B27414" i="1"/>
  <c r="A27415" i="1"/>
  <c r="B27415" i="1"/>
  <c r="A27416" i="1"/>
  <c r="B27416" i="1"/>
  <c r="A27417" i="1"/>
  <c r="B27417" i="1"/>
  <c r="A27418" i="1"/>
  <c r="B27418" i="1"/>
  <c r="A27419" i="1"/>
  <c r="B27419" i="1"/>
  <c r="A27420" i="1"/>
  <c r="B27420" i="1"/>
  <c r="A27421" i="1"/>
  <c r="B27421" i="1"/>
  <c r="A27422" i="1"/>
  <c r="B27422" i="1"/>
  <c r="A27423" i="1"/>
  <c r="B27423" i="1"/>
  <c r="A27424" i="1"/>
  <c r="B27424" i="1"/>
  <c r="A27425" i="1"/>
  <c r="B27425" i="1"/>
  <c r="A27426" i="1"/>
  <c r="B27426" i="1"/>
  <c r="A27427" i="1"/>
  <c r="B27427" i="1"/>
  <c r="A27428" i="1"/>
  <c r="B27428" i="1"/>
  <c r="A27429" i="1"/>
  <c r="B27429" i="1"/>
  <c r="A27430" i="1"/>
  <c r="B27430" i="1"/>
  <c r="A27431" i="1"/>
  <c r="B27431" i="1"/>
  <c r="A27432" i="1"/>
  <c r="B27432" i="1"/>
  <c r="A27433" i="1"/>
  <c r="B27433" i="1"/>
  <c r="A27434" i="1"/>
  <c r="B27434" i="1"/>
  <c r="A27435" i="1"/>
  <c r="B27435" i="1"/>
  <c r="A27436" i="1"/>
  <c r="B27436" i="1"/>
  <c r="A27437" i="1"/>
  <c r="B27437" i="1"/>
  <c r="A27438" i="1"/>
  <c r="B27438" i="1"/>
  <c r="A27439" i="1"/>
  <c r="B27439" i="1"/>
  <c r="A27440" i="1"/>
  <c r="B27440" i="1"/>
  <c r="A27441" i="1"/>
  <c r="B27441" i="1"/>
  <c r="A27442" i="1"/>
  <c r="B27442" i="1"/>
  <c r="A27443" i="1"/>
  <c r="B27443" i="1"/>
  <c r="A27444" i="1"/>
  <c r="B27444" i="1"/>
  <c r="A27445" i="1"/>
  <c r="B27445" i="1"/>
  <c r="A27446" i="1"/>
  <c r="B27446" i="1"/>
  <c r="A27447" i="1"/>
  <c r="B27447" i="1"/>
  <c r="A27448" i="1"/>
  <c r="B27448" i="1"/>
  <c r="A27449" i="1"/>
  <c r="B27449" i="1"/>
  <c r="A27450" i="1"/>
  <c r="B27450" i="1"/>
  <c r="A27451" i="1"/>
  <c r="B27451" i="1"/>
  <c r="A27452" i="1"/>
  <c r="B27452" i="1"/>
  <c r="A27453" i="1"/>
  <c r="B27453" i="1"/>
  <c r="A27454" i="1"/>
  <c r="B27454" i="1"/>
  <c r="A27455" i="1"/>
  <c r="B27455" i="1"/>
  <c r="A27456" i="1"/>
  <c r="B27456" i="1"/>
  <c r="A27457" i="1"/>
  <c r="B27457" i="1"/>
  <c r="A27458" i="1"/>
  <c r="B27458" i="1"/>
  <c r="A27459" i="1"/>
  <c r="B27459" i="1"/>
  <c r="A27460" i="1"/>
  <c r="B27460" i="1"/>
  <c r="A27461" i="1"/>
  <c r="B27461" i="1"/>
  <c r="A27462" i="1"/>
  <c r="B27462" i="1"/>
  <c r="A27463" i="1"/>
  <c r="B27463" i="1"/>
  <c r="A27464" i="1"/>
  <c r="B27464" i="1"/>
  <c r="A27465" i="1"/>
  <c r="B27465" i="1"/>
  <c r="A27466" i="1"/>
  <c r="B27466" i="1"/>
  <c r="A27467" i="1"/>
  <c r="B27467" i="1"/>
  <c r="A27468" i="1"/>
  <c r="B27468" i="1"/>
  <c r="A27469" i="1"/>
  <c r="B27469" i="1"/>
  <c r="A27470" i="1"/>
  <c r="B27470" i="1"/>
  <c r="A27471" i="1"/>
  <c r="B27471" i="1"/>
  <c r="A27472" i="1"/>
  <c r="B27472" i="1"/>
  <c r="A27473" i="1"/>
  <c r="B27473" i="1"/>
  <c r="A27474" i="1"/>
  <c r="B27474" i="1"/>
  <c r="A27475" i="1"/>
  <c r="B27475" i="1"/>
  <c r="A27476" i="1"/>
  <c r="B27476" i="1"/>
  <c r="A27477" i="1"/>
  <c r="B27477" i="1"/>
  <c r="A27478" i="1"/>
  <c r="B27478" i="1"/>
  <c r="A27479" i="1"/>
  <c r="B27479" i="1"/>
  <c r="A27480" i="1"/>
  <c r="B27480" i="1"/>
  <c r="A27481" i="1"/>
  <c r="B27481" i="1"/>
  <c r="A27482" i="1"/>
  <c r="B27482" i="1"/>
  <c r="A27483" i="1"/>
  <c r="B27483" i="1"/>
  <c r="A27484" i="1"/>
  <c r="B27484" i="1"/>
  <c r="A27485" i="1"/>
  <c r="B27485" i="1"/>
  <c r="A27486" i="1"/>
  <c r="B27486" i="1"/>
  <c r="A27487" i="1"/>
  <c r="B27487" i="1"/>
  <c r="A27488" i="1"/>
  <c r="B27488" i="1"/>
  <c r="A27489" i="1"/>
  <c r="B27489" i="1"/>
  <c r="A27490" i="1"/>
  <c r="B27490" i="1"/>
  <c r="A27491" i="1"/>
  <c r="B27491" i="1"/>
  <c r="A27492" i="1"/>
  <c r="B27492" i="1"/>
  <c r="A27493" i="1"/>
  <c r="B27493" i="1"/>
  <c r="A27494" i="1"/>
  <c r="B27494" i="1"/>
  <c r="A27495" i="1"/>
  <c r="B27495" i="1"/>
  <c r="A27496" i="1"/>
  <c r="B27496" i="1"/>
  <c r="A27497" i="1"/>
  <c r="B27497" i="1"/>
  <c r="A27498" i="1"/>
  <c r="B27498" i="1"/>
  <c r="A27499" i="1"/>
  <c r="B27499" i="1"/>
  <c r="A27500" i="1"/>
  <c r="B27500" i="1"/>
  <c r="A27501" i="1"/>
  <c r="B27501" i="1"/>
  <c r="A27502" i="1"/>
  <c r="B27502" i="1"/>
  <c r="A27503" i="1"/>
  <c r="B27503" i="1"/>
  <c r="A27504" i="1"/>
  <c r="B27504" i="1"/>
  <c r="A27505" i="1"/>
  <c r="B27505" i="1"/>
  <c r="A27506" i="1"/>
  <c r="B27506" i="1"/>
  <c r="A27507" i="1"/>
  <c r="B27507" i="1"/>
  <c r="A27508" i="1"/>
  <c r="B27508" i="1"/>
  <c r="A27509" i="1"/>
  <c r="B27509" i="1"/>
  <c r="A27510" i="1"/>
  <c r="B27510" i="1"/>
  <c r="A27511" i="1"/>
  <c r="B27511" i="1"/>
  <c r="A27512" i="1"/>
  <c r="B27512" i="1"/>
  <c r="A27513" i="1"/>
  <c r="B27513" i="1"/>
  <c r="A27514" i="1"/>
  <c r="B27514" i="1"/>
  <c r="A27515" i="1"/>
  <c r="B27515" i="1"/>
  <c r="A27516" i="1"/>
  <c r="B27516" i="1"/>
  <c r="A27517" i="1"/>
  <c r="B27517" i="1"/>
  <c r="A27518" i="1"/>
  <c r="B27518" i="1"/>
  <c r="A27519" i="1"/>
  <c r="B27519" i="1"/>
  <c r="A27520" i="1"/>
  <c r="B27520" i="1"/>
  <c r="A27521" i="1"/>
  <c r="B27521" i="1"/>
  <c r="A27522" i="1"/>
  <c r="B27522" i="1"/>
  <c r="A27523" i="1"/>
  <c r="B27523" i="1"/>
  <c r="A27524" i="1"/>
  <c r="B27524" i="1"/>
  <c r="A27525" i="1"/>
  <c r="B27525" i="1"/>
  <c r="A27526" i="1"/>
  <c r="B27526" i="1"/>
  <c r="A27527" i="1"/>
  <c r="B27527" i="1"/>
  <c r="A27528" i="1"/>
  <c r="B27528" i="1"/>
  <c r="A27529" i="1"/>
  <c r="B27529" i="1"/>
  <c r="A27530" i="1"/>
  <c r="B27530" i="1"/>
  <c r="A27531" i="1"/>
  <c r="B27531" i="1"/>
  <c r="A27532" i="1"/>
  <c r="B27532" i="1"/>
  <c r="A27533" i="1"/>
  <c r="B27533" i="1"/>
  <c r="A27534" i="1"/>
  <c r="B27534" i="1"/>
  <c r="A27535" i="1"/>
  <c r="B27535" i="1"/>
  <c r="A27536" i="1"/>
  <c r="B27536" i="1"/>
  <c r="A27537" i="1"/>
  <c r="B27537" i="1"/>
  <c r="A27538" i="1"/>
  <c r="B27538" i="1"/>
  <c r="A27539" i="1"/>
  <c r="B27539" i="1"/>
  <c r="A27540" i="1"/>
  <c r="B27540" i="1"/>
  <c r="A27541" i="1"/>
  <c r="B27541" i="1"/>
  <c r="A27542" i="1"/>
  <c r="B27542" i="1"/>
  <c r="A27543" i="1"/>
  <c r="B27543" i="1"/>
  <c r="A27544" i="1"/>
  <c r="B27544" i="1"/>
  <c r="A27545" i="1"/>
  <c r="B27545" i="1"/>
  <c r="A27546" i="1"/>
  <c r="B27546" i="1"/>
  <c r="A27547" i="1"/>
  <c r="B27547" i="1"/>
  <c r="A27548" i="1"/>
  <c r="B27548" i="1"/>
  <c r="A27549" i="1"/>
  <c r="B27549" i="1"/>
  <c r="A27550" i="1"/>
  <c r="B27550" i="1"/>
  <c r="A27551" i="1"/>
  <c r="B27551" i="1"/>
  <c r="A27552" i="1"/>
  <c r="B27552" i="1"/>
  <c r="A27553" i="1"/>
  <c r="B27553" i="1"/>
  <c r="A27554" i="1"/>
  <c r="B27554" i="1"/>
  <c r="A27555" i="1"/>
  <c r="B27555" i="1"/>
  <c r="A27556" i="1"/>
  <c r="B27556" i="1"/>
  <c r="A27557" i="1"/>
  <c r="B27557" i="1"/>
  <c r="A27558" i="1"/>
  <c r="B27558" i="1"/>
  <c r="A27559" i="1"/>
  <c r="B27559" i="1"/>
  <c r="A27560" i="1"/>
  <c r="B27560" i="1"/>
  <c r="A27561" i="1"/>
  <c r="B27561" i="1"/>
  <c r="A27562" i="1"/>
  <c r="B27562" i="1"/>
  <c r="A27563" i="1"/>
  <c r="B27563" i="1"/>
  <c r="A27564" i="1"/>
  <c r="B27564" i="1"/>
  <c r="A27565" i="1"/>
  <c r="B27565" i="1"/>
  <c r="A27566" i="1"/>
  <c r="B27566" i="1"/>
  <c r="A27567" i="1"/>
  <c r="B27567" i="1"/>
  <c r="A27568" i="1"/>
  <c r="B27568" i="1"/>
  <c r="A27569" i="1"/>
  <c r="B27569" i="1"/>
  <c r="A27570" i="1"/>
  <c r="B27570" i="1"/>
  <c r="A27571" i="1"/>
  <c r="B27571" i="1"/>
  <c r="A27572" i="1"/>
  <c r="B27572" i="1"/>
  <c r="A27573" i="1"/>
  <c r="B27573" i="1"/>
  <c r="A27574" i="1"/>
  <c r="B27574" i="1"/>
  <c r="A27575" i="1"/>
  <c r="B27575" i="1"/>
  <c r="A27576" i="1"/>
  <c r="B27576" i="1"/>
  <c r="A27577" i="1"/>
  <c r="B27577" i="1"/>
  <c r="A27578" i="1"/>
  <c r="B27578" i="1"/>
  <c r="A27579" i="1"/>
  <c r="B27579" i="1"/>
  <c r="A27580" i="1"/>
  <c r="B27580" i="1"/>
  <c r="A27581" i="1"/>
  <c r="B27581" i="1"/>
  <c r="A27582" i="1"/>
  <c r="B27582" i="1"/>
  <c r="A27583" i="1"/>
  <c r="B27583" i="1"/>
  <c r="A27584" i="1"/>
  <c r="B27584" i="1"/>
  <c r="A27585" i="1"/>
  <c r="B27585" i="1"/>
  <c r="A27586" i="1"/>
  <c r="B27586" i="1"/>
  <c r="A27587" i="1"/>
  <c r="B27587" i="1"/>
  <c r="A27588" i="1"/>
  <c r="B27588" i="1"/>
  <c r="A27589" i="1"/>
  <c r="B27589" i="1"/>
  <c r="A27590" i="1"/>
  <c r="B27590" i="1"/>
  <c r="A27591" i="1"/>
  <c r="B27591" i="1"/>
  <c r="A27592" i="1"/>
  <c r="B27592" i="1"/>
  <c r="A27593" i="1"/>
  <c r="B27593" i="1"/>
  <c r="A27594" i="1"/>
  <c r="B27594" i="1"/>
  <c r="A27595" i="1"/>
  <c r="B27595" i="1"/>
  <c r="A27596" i="1"/>
  <c r="B27596" i="1"/>
  <c r="A27597" i="1"/>
  <c r="B27597" i="1"/>
  <c r="A27598" i="1"/>
  <c r="B27598" i="1"/>
  <c r="A27599" i="1"/>
  <c r="B27599" i="1"/>
  <c r="A27600" i="1"/>
  <c r="B27600" i="1"/>
  <c r="A27601" i="1"/>
  <c r="B27601" i="1"/>
  <c r="A27602" i="1"/>
  <c r="B27602" i="1"/>
  <c r="A27603" i="1"/>
  <c r="B27603" i="1"/>
  <c r="A27604" i="1"/>
  <c r="B27604" i="1"/>
  <c r="A27605" i="1"/>
  <c r="B27605" i="1"/>
  <c r="A27606" i="1"/>
  <c r="B27606" i="1"/>
  <c r="A27607" i="1"/>
  <c r="B27607" i="1"/>
  <c r="A27608" i="1"/>
  <c r="B27608" i="1"/>
  <c r="A27609" i="1"/>
  <c r="B27609" i="1"/>
  <c r="A27610" i="1"/>
  <c r="B27610" i="1"/>
  <c r="A27611" i="1"/>
  <c r="B27611" i="1"/>
  <c r="A27612" i="1"/>
  <c r="B27612" i="1"/>
  <c r="A27613" i="1"/>
  <c r="B27613" i="1"/>
  <c r="A27614" i="1"/>
  <c r="B27614" i="1"/>
  <c r="A27615" i="1"/>
  <c r="B27615" i="1"/>
  <c r="A27616" i="1"/>
  <c r="B27616" i="1"/>
  <c r="A27617" i="1"/>
  <c r="B27617" i="1"/>
  <c r="A27618" i="1"/>
  <c r="B27618" i="1"/>
  <c r="A27619" i="1"/>
  <c r="B27619" i="1"/>
  <c r="A27620" i="1"/>
  <c r="B27620" i="1"/>
  <c r="A27621" i="1"/>
  <c r="B27621" i="1"/>
  <c r="A27622" i="1"/>
  <c r="B27622" i="1"/>
  <c r="A27623" i="1"/>
  <c r="B27623" i="1"/>
  <c r="A27624" i="1"/>
  <c r="B27624" i="1"/>
  <c r="A27625" i="1"/>
  <c r="B27625" i="1"/>
  <c r="A27626" i="1"/>
  <c r="B27626" i="1"/>
  <c r="A27627" i="1"/>
  <c r="B27627" i="1"/>
  <c r="A27628" i="1"/>
  <c r="B27628" i="1"/>
  <c r="A27629" i="1"/>
  <c r="B27629" i="1"/>
  <c r="A27630" i="1"/>
  <c r="B27630" i="1"/>
  <c r="A27631" i="1"/>
  <c r="B27631" i="1"/>
  <c r="A27632" i="1"/>
  <c r="B27632" i="1"/>
  <c r="A27633" i="1"/>
  <c r="B27633" i="1"/>
  <c r="A27634" i="1"/>
  <c r="B27634" i="1"/>
  <c r="A27635" i="1"/>
  <c r="B27635" i="1"/>
  <c r="A27636" i="1"/>
  <c r="B27636" i="1"/>
  <c r="A27637" i="1"/>
  <c r="B27637" i="1"/>
  <c r="A27638" i="1"/>
  <c r="B27638" i="1"/>
  <c r="A27639" i="1"/>
  <c r="B27639" i="1"/>
  <c r="A27640" i="1"/>
  <c r="B27640" i="1"/>
  <c r="A27641" i="1"/>
  <c r="B27641" i="1"/>
  <c r="A27642" i="1"/>
  <c r="B27642" i="1"/>
  <c r="A27643" i="1"/>
  <c r="B27643" i="1"/>
  <c r="A27644" i="1"/>
  <c r="B27644" i="1"/>
  <c r="A27645" i="1"/>
  <c r="B27645" i="1"/>
  <c r="A27646" i="1"/>
  <c r="B27646" i="1"/>
  <c r="A27647" i="1"/>
  <c r="B27647" i="1"/>
  <c r="A27648" i="1"/>
  <c r="B27648" i="1"/>
  <c r="A27649" i="1"/>
  <c r="B27649" i="1"/>
  <c r="A27650" i="1"/>
  <c r="B27650" i="1"/>
  <c r="A27651" i="1"/>
  <c r="B27651" i="1"/>
  <c r="A27652" i="1"/>
  <c r="B27652" i="1"/>
  <c r="A27653" i="1"/>
  <c r="B27653" i="1"/>
  <c r="A27654" i="1"/>
  <c r="B27654" i="1"/>
  <c r="A27655" i="1"/>
  <c r="B27655" i="1"/>
  <c r="A27656" i="1"/>
  <c r="B27656" i="1"/>
  <c r="A27657" i="1"/>
  <c r="B27657" i="1"/>
  <c r="A27658" i="1"/>
  <c r="B27658" i="1"/>
  <c r="A27659" i="1"/>
  <c r="B27659" i="1"/>
  <c r="A27660" i="1"/>
  <c r="B27660" i="1"/>
  <c r="A27661" i="1"/>
  <c r="B27661" i="1"/>
  <c r="A27662" i="1"/>
  <c r="B27662" i="1"/>
  <c r="A27663" i="1"/>
  <c r="B27663" i="1"/>
  <c r="A27664" i="1"/>
  <c r="B27664" i="1"/>
  <c r="A27665" i="1"/>
  <c r="B27665" i="1"/>
  <c r="A27666" i="1"/>
  <c r="B27666" i="1"/>
  <c r="A27667" i="1"/>
  <c r="B27667" i="1"/>
  <c r="A27668" i="1"/>
  <c r="B27668" i="1"/>
  <c r="A27669" i="1"/>
  <c r="B27669" i="1"/>
  <c r="A27670" i="1"/>
  <c r="B27670" i="1"/>
  <c r="A27671" i="1"/>
  <c r="B27671" i="1"/>
  <c r="A27672" i="1"/>
  <c r="B27672" i="1"/>
  <c r="A27673" i="1"/>
  <c r="B27673" i="1"/>
  <c r="A27674" i="1"/>
  <c r="B27674" i="1"/>
  <c r="A27675" i="1"/>
  <c r="B27675" i="1"/>
  <c r="A27676" i="1"/>
  <c r="B27676" i="1"/>
  <c r="A27677" i="1"/>
  <c r="B27677" i="1"/>
  <c r="A27678" i="1"/>
  <c r="B27678" i="1"/>
  <c r="A27679" i="1"/>
  <c r="B27679" i="1"/>
  <c r="A27680" i="1"/>
  <c r="B27680" i="1"/>
  <c r="A27681" i="1"/>
  <c r="B27681" i="1"/>
  <c r="A27682" i="1"/>
  <c r="B27682" i="1"/>
  <c r="A27683" i="1"/>
  <c r="B27683" i="1"/>
  <c r="A27684" i="1"/>
  <c r="B27684" i="1"/>
  <c r="A27685" i="1"/>
  <c r="B27685" i="1"/>
  <c r="A27686" i="1"/>
  <c r="B27686" i="1"/>
  <c r="A27687" i="1"/>
  <c r="B27687" i="1"/>
  <c r="A27688" i="1"/>
  <c r="B27688" i="1"/>
  <c r="A27689" i="1"/>
  <c r="B27689" i="1"/>
  <c r="A27690" i="1"/>
  <c r="B27690" i="1"/>
  <c r="A27691" i="1"/>
  <c r="B27691" i="1"/>
  <c r="A27692" i="1"/>
  <c r="B27692" i="1"/>
  <c r="A27693" i="1"/>
  <c r="B27693" i="1"/>
  <c r="A27694" i="1"/>
  <c r="B27694" i="1"/>
  <c r="A27695" i="1"/>
  <c r="B27695" i="1"/>
  <c r="A27696" i="1"/>
  <c r="B27696" i="1"/>
  <c r="A27697" i="1"/>
  <c r="B27697" i="1"/>
  <c r="A27698" i="1"/>
  <c r="B27698" i="1"/>
  <c r="A27699" i="1"/>
  <c r="B27699" i="1"/>
  <c r="A27700" i="1"/>
  <c r="B27700" i="1"/>
  <c r="A27701" i="1"/>
  <c r="B27701" i="1"/>
  <c r="A27702" i="1"/>
  <c r="B27702" i="1"/>
  <c r="A27703" i="1"/>
  <c r="B27703" i="1"/>
  <c r="A27704" i="1"/>
  <c r="B27704" i="1"/>
  <c r="A27705" i="1"/>
  <c r="B27705" i="1"/>
  <c r="A27706" i="1"/>
  <c r="B27706" i="1"/>
  <c r="A27707" i="1"/>
  <c r="B27707" i="1"/>
  <c r="A27708" i="1"/>
  <c r="B27708" i="1"/>
  <c r="A27709" i="1"/>
  <c r="B27709" i="1"/>
  <c r="A27710" i="1"/>
  <c r="B27710" i="1"/>
  <c r="A27711" i="1"/>
  <c r="B27711" i="1"/>
  <c r="A27712" i="1"/>
  <c r="B27712" i="1"/>
  <c r="A27713" i="1"/>
  <c r="B27713" i="1"/>
  <c r="A27714" i="1"/>
  <c r="B27714" i="1"/>
  <c r="A27715" i="1"/>
  <c r="B27715" i="1"/>
  <c r="A27716" i="1"/>
  <c r="B27716" i="1"/>
  <c r="A27717" i="1"/>
  <c r="B27717" i="1"/>
  <c r="A27718" i="1"/>
  <c r="B27718" i="1"/>
  <c r="A27719" i="1"/>
  <c r="B27719" i="1"/>
  <c r="A27720" i="1"/>
  <c r="B27720" i="1"/>
  <c r="A27721" i="1"/>
  <c r="B27721" i="1"/>
  <c r="A27722" i="1"/>
  <c r="B27722" i="1"/>
  <c r="A27723" i="1"/>
  <c r="B27723" i="1"/>
  <c r="A27724" i="1"/>
  <c r="B27724" i="1"/>
  <c r="A27725" i="1"/>
  <c r="B27725" i="1"/>
  <c r="A27726" i="1"/>
  <c r="B27726" i="1"/>
  <c r="A27727" i="1"/>
  <c r="B27727" i="1"/>
  <c r="A27728" i="1"/>
  <c r="B27728" i="1"/>
  <c r="A27729" i="1"/>
  <c r="B27729" i="1"/>
  <c r="A27730" i="1"/>
  <c r="B27730" i="1"/>
  <c r="A27731" i="1"/>
  <c r="B27731" i="1"/>
  <c r="A27732" i="1"/>
  <c r="B27732" i="1"/>
  <c r="A27733" i="1"/>
  <c r="B27733" i="1"/>
  <c r="A27734" i="1"/>
  <c r="B27734" i="1"/>
  <c r="A27735" i="1"/>
  <c r="B27735" i="1"/>
  <c r="A27736" i="1"/>
  <c r="B27736" i="1"/>
  <c r="A27737" i="1"/>
  <c r="B27737" i="1"/>
  <c r="A27738" i="1"/>
  <c r="B27738" i="1"/>
  <c r="A27739" i="1"/>
  <c r="B27739" i="1"/>
  <c r="A27740" i="1"/>
  <c r="B27740" i="1"/>
  <c r="A27741" i="1"/>
  <c r="B27741" i="1"/>
  <c r="A27742" i="1"/>
  <c r="B27742" i="1"/>
  <c r="A27743" i="1"/>
  <c r="B27743" i="1"/>
  <c r="A27744" i="1"/>
  <c r="B27744" i="1"/>
  <c r="A27745" i="1"/>
  <c r="B27745" i="1"/>
  <c r="A27746" i="1"/>
  <c r="B27746" i="1"/>
  <c r="A27747" i="1"/>
  <c r="B27747" i="1"/>
  <c r="A27748" i="1"/>
  <c r="B27748" i="1"/>
  <c r="A27749" i="1"/>
  <c r="B27749" i="1"/>
  <c r="A27750" i="1"/>
  <c r="B27750" i="1"/>
  <c r="A27751" i="1"/>
  <c r="B27751" i="1"/>
  <c r="A27752" i="1"/>
  <c r="B27752" i="1"/>
  <c r="A27753" i="1"/>
  <c r="B27753" i="1"/>
  <c r="A27754" i="1"/>
  <c r="B27754" i="1"/>
  <c r="A27755" i="1"/>
  <c r="B27755" i="1"/>
  <c r="A27756" i="1"/>
  <c r="B27756" i="1"/>
  <c r="A27757" i="1"/>
  <c r="B27757" i="1"/>
  <c r="A27758" i="1"/>
  <c r="B27758" i="1"/>
  <c r="A27759" i="1"/>
  <c r="B27759" i="1"/>
  <c r="A27760" i="1"/>
  <c r="B27760" i="1"/>
  <c r="A27761" i="1"/>
  <c r="B27761" i="1"/>
  <c r="A27762" i="1"/>
  <c r="B27762" i="1"/>
  <c r="A27763" i="1"/>
  <c r="B27763" i="1"/>
  <c r="A27764" i="1"/>
  <c r="B27764" i="1"/>
  <c r="A27765" i="1"/>
  <c r="B27765" i="1"/>
  <c r="A27766" i="1"/>
  <c r="B27766" i="1"/>
  <c r="A27767" i="1"/>
  <c r="B27767" i="1"/>
  <c r="A27768" i="1"/>
  <c r="B27768" i="1"/>
  <c r="A27769" i="1"/>
  <c r="B27769" i="1"/>
  <c r="A27770" i="1"/>
  <c r="B27770" i="1"/>
  <c r="A27771" i="1"/>
  <c r="B27771" i="1"/>
  <c r="A27772" i="1"/>
  <c r="B27772" i="1"/>
  <c r="A27773" i="1"/>
  <c r="B27773" i="1"/>
  <c r="A27774" i="1"/>
  <c r="B27774" i="1"/>
  <c r="A27775" i="1"/>
  <c r="B27775" i="1"/>
  <c r="A27776" i="1"/>
  <c r="B27776" i="1"/>
  <c r="A27777" i="1"/>
  <c r="B27777" i="1"/>
  <c r="A27778" i="1"/>
  <c r="B27778" i="1"/>
  <c r="A27779" i="1"/>
  <c r="B27779" i="1"/>
  <c r="A27780" i="1"/>
  <c r="B27780" i="1"/>
  <c r="A27781" i="1"/>
  <c r="B27781" i="1"/>
  <c r="A27782" i="1"/>
  <c r="B27782" i="1"/>
  <c r="A27783" i="1"/>
  <c r="B27783" i="1"/>
  <c r="A27784" i="1"/>
  <c r="B27784" i="1"/>
  <c r="A27785" i="1"/>
  <c r="B27785" i="1"/>
  <c r="A27786" i="1"/>
  <c r="B27786" i="1"/>
  <c r="A27787" i="1"/>
  <c r="B27787" i="1"/>
  <c r="A27788" i="1"/>
  <c r="B27788" i="1"/>
  <c r="A27789" i="1"/>
  <c r="B27789" i="1"/>
  <c r="A27790" i="1"/>
  <c r="B27790" i="1"/>
  <c r="A27791" i="1"/>
  <c r="B27791" i="1"/>
  <c r="A27792" i="1"/>
  <c r="B27792" i="1"/>
  <c r="A27793" i="1"/>
  <c r="B27793" i="1"/>
  <c r="A27794" i="1"/>
  <c r="B27794" i="1"/>
  <c r="A27795" i="1"/>
  <c r="B27795" i="1"/>
  <c r="A27796" i="1"/>
  <c r="B27796" i="1"/>
  <c r="A27797" i="1"/>
  <c r="B27797" i="1"/>
  <c r="A27798" i="1"/>
  <c r="B27798" i="1"/>
  <c r="A27799" i="1"/>
  <c r="B27799" i="1"/>
  <c r="A27800" i="1"/>
  <c r="B27800" i="1"/>
  <c r="A27801" i="1"/>
  <c r="B27801" i="1"/>
  <c r="A27802" i="1"/>
  <c r="B27802" i="1"/>
  <c r="A27803" i="1"/>
  <c r="B27803" i="1"/>
  <c r="A27804" i="1"/>
  <c r="B27804" i="1"/>
  <c r="A27805" i="1"/>
  <c r="B27805" i="1"/>
  <c r="A27806" i="1"/>
  <c r="B27806" i="1"/>
  <c r="A27807" i="1"/>
  <c r="B27807" i="1"/>
  <c r="A27808" i="1"/>
  <c r="B27808" i="1"/>
  <c r="A27809" i="1"/>
  <c r="B27809" i="1"/>
  <c r="A27810" i="1"/>
  <c r="B27810" i="1"/>
  <c r="A27811" i="1"/>
  <c r="B27811" i="1"/>
  <c r="A27812" i="1"/>
  <c r="B27812" i="1"/>
  <c r="A27813" i="1"/>
  <c r="B27813" i="1"/>
  <c r="A27814" i="1"/>
  <c r="B27814" i="1"/>
  <c r="A27815" i="1"/>
  <c r="B27815" i="1"/>
  <c r="A27816" i="1"/>
  <c r="B27816" i="1"/>
  <c r="A27817" i="1"/>
  <c r="B27817" i="1"/>
  <c r="A27818" i="1"/>
  <c r="B27818" i="1"/>
  <c r="A27819" i="1"/>
  <c r="B27819" i="1"/>
  <c r="A27820" i="1"/>
  <c r="B27820" i="1"/>
  <c r="A27821" i="1"/>
  <c r="B27821" i="1"/>
  <c r="A27822" i="1"/>
  <c r="B27822" i="1"/>
  <c r="A27823" i="1"/>
  <c r="B27823" i="1"/>
  <c r="A27824" i="1"/>
  <c r="B27824" i="1"/>
  <c r="A27825" i="1"/>
  <c r="B27825" i="1"/>
  <c r="A27826" i="1"/>
  <c r="B27826" i="1"/>
  <c r="A27827" i="1"/>
  <c r="B27827" i="1"/>
  <c r="A27828" i="1"/>
  <c r="B27828" i="1"/>
  <c r="A27829" i="1"/>
  <c r="B27829" i="1"/>
  <c r="A27830" i="1"/>
  <c r="B27830" i="1"/>
  <c r="A27831" i="1"/>
  <c r="B27831" i="1"/>
  <c r="A27832" i="1"/>
  <c r="B27832" i="1"/>
  <c r="A27833" i="1"/>
  <c r="B27833" i="1"/>
  <c r="A27834" i="1"/>
  <c r="B27834" i="1"/>
  <c r="A27835" i="1"/>
  <c r="B27835" i="1"/>
  <c r="A27836" i="1"/>
  <c r="B27836" i="1"/>
  <c r="A27837" i="1"/>
  <c r="B27837" i="1"/>
  <c r="A27838" i="1"/>
  <c r="B27838" i="1"/>
  <c r="A27839" i="1"/>
  <c r="B27839" i="1"/>
  <c r="A27840" i="1"/>
  <c r="B27840" i="1"/>
  <c r="A27841" i="1"/>
  <c r="B27841" i="1"/>
  <c r="A27842" i="1"/>
  <c r="B27842" i="1"/>
  <c r="A27843" i="1"/>
  <c r="B27843" i="1"/>
  <c r="A27844" i="1"/>
  <c r="B27844" i="1"/>
  <c r="A27845" i="1"/>
  <c r="B27845" i="1"/>
  <c r="A27846" i="1"/>
  <c r="B27846" i="1"/>
  <c r="A27847" i="1"/>
  <c r="B27847" i="1"/>
  <c r="A27848" i="1"/>
  <c r="B27848" i="1"/>
  <c r="A27849" i="1"/>
  <c r="B27849" i="1"/>
  <c r="A27850" i="1"/>
  <c r="B27850" i="1"/>
  <c r="A27851" i="1"/>
  <c r="B27851" i="1"/>
  <c r="A27852" i="1"/>
  <c r="B27852" i="1"/>
  <c r="A27853" i="1"/>
  <c r="B27853" i="1"/>
  <c r="A27854" i="1"/>
  <c r="B27854" i="1"/>
  <c r="A27855" i="1"/>
  <c r="B27855" i="1"/>
  <c r="A27856" i="1"/>
  <c r="B27856" i="1"/>
  <c r="A27857" i="1"/>
  <c r="B27857" i="1"/>
  <c r="A27858" i="1"/>
  <c r="B27858" i="1"/>
  <c r="A27859" i="1"/>
  <c r="B27859" i="1"/>
  <c r="A27860" i="1"/>
  <c r="B27860" i="1"/>
  <c r="A27861" i="1"/>
  <c r="B27861" i="1"/>
  <c r="A27862" i="1"/>
  <c r="B27862" i="1"/>
  <c r="A27863" i="1"/>
  <c r="B27863" i="1"/>
  <c r="A27864" i="1"/>
  <c r="B27864" i="1"/>
  <c r="A27865" i="1"/>
  <c r="B27865" i="1"/>
  <c r="A27866" i="1"/>
  <c r="B27866" i="1"/>
  <c r="A27867" i="1"/>
  <c r="B27867" i="1"/>
  <c r="A27868" i="1"/>
  <c r="B27868" i="1"/>
  <c r="A27869" i="1"/>
  <c r="B27869" i="1"/>
  <c r="A27870" i="1"/>
  <c r="B27870" i="1"/>
  <c r="A27871" i="1"/>
  <c r="B27871" i="1"/>
  <c r="A27872" i="1"/>
  <c r="B27872" i="1"/>
  <c r="A27873" i="1"/>
  <c r="B27873" i="1"/>
  <c r="A27874" i="1"/>
  <c r="B27874" i="1"/>
  <c r="A27875" i="1"/>
  <c r="B27875" i="1"/>
  <c r="A27876" i="1"/>
  <c r="B27876" i="1"/>
  <c r="A27877" i="1"/>
  <c r="B27877" i="1"/>
  <c r="A27878" i="1"/>
  <c r="B27878" i="1"/>
  <c r="A27879" i="1"/>
  <c r="B27879" i="1"/>
  <c r="A27880" i="1"/>
  <c r="B27880" i="1"/>
  <c r="A27881" i="1"/>
  <c r="B27881" i="1"/>
  <c r="A27882" i="1"/>
  <c r="B27882" i="1"/>
  <c r="A27883" i="1"/>
  <c r="B27883" i="1"/>
  <c r="A27884" i="1"/>
  <c r="B27884" i="1"/>
  <c r="A27885" i="1"/>
  <c r="B27885" i="1"/>
  <c r="A27886" i="1"/>
  <c r="B27886" i="1"/>
  <c r="A27887" i="1"/>
  <c r="B27887" i="1"/>
  <c r="A27888" i="1"/>
  <c r="B27888" i="1"/>
  <c r="A27889" i="1"/>
  <c r="B27889" i="1"/>
  <c r="A27890" i="1"/>
  <c r="B27890" i="1"/>
  <c r="A27891" i="1"/>
  <c r="B27891" i="1"/>
  <c r="A27892" i="1"/>
  <c r="B27892" i="1"/>
  <c r="A27893" i="1"/>
  <c r="B27893" i="1"/>
  <c r="A27894" i="1"/>
  <c r="B27894" i="1"/>
  <c r="A27895" i="1"/>
  <c r="B27895" i="1"/>
  <c r="A27896" i="1"/>
  <c r="B27896" i="1"/>
  <c r="A27897" i="1"/>
  <c r="B27897" i="1"/>
  <c r="A27898" i="1"/>
  <c r="B27898" i="1"/>
  <c r="A27899" i="1"/>
  <c r="B27899" i="1"/>
  <c r="A27900" i="1"/>
  <c r="B27900" i="1"/>
  <c r="A27901" i="1"/>
  <c r="B27901" i="1"/>
  <c r="A27902" i="1"/>
  <c r="B27902" i="1"/>
  <c r="A27903" i="1"/>
  <c r="B27903" i="1"/>
  <c r="A27904" i="1"/>
  <c r="B27904" i="1"/>
  <c r="A27905" i="1"/>
  <c r="B27905" i="1"/>
  <c r="A27906" i="1"/>
  <c r="B27906" i="1"/>
  <c r="A27907" i="1"/>
  <c r="B27907" i="1"/>
  <c r="A27908" i="1"/>
  <c r="B27908" i="1"/>
  <c r="A27909" i="1"/>
  <c r="B27909" i="1"/>
  <c r="A27910" i="1"/>
  <c r="B27910" i="1"/>
  <c r="A27911" i="1"/>
  <c r="B27911" i="1"/>
  <c r="A27912" i="1"/>
  <c r="B27912" i="1"/>
  <c r="A27913" i="1"/>
  <c r="B27913" i="1"/>
  <c r="A27914" i="1"/>
  <c r="B27914" i="1"/>
  <c r="A27915" i="1"/>
  <c r="B27915" i="1"/>
  <c r="A27916" i="1"/>
  <c r="B27916" i="1"/>
  <c r="A27917" i="1"/>
  <c r="B27917" i="1"/>
  <c r="A27918" i="1"/>
  <c r="B27918" i="1"/>
  <c r="A27919" i="1"/>
  <c r="B27919" i="1"/>
  <c r="A27920" i="1"/>
  <c r="B27920" i="1"/>
  <c r="A27921" i="1"/>
  <c r="B27921" i="1"/>
  <c r="A27922" i="1"/>
  <c r="B27922" i="1"/>
  <c r="A27923" i="1"/>
  <c r="B27923" i="1"/>
  <c r="A27924" i="1"/>
  <c r="B27924" i="1"/>
  <c r="A27925" i="1"/>
  <c r="B27925" i="1"/>
  <c r="A27926" i="1"/>
  <c r="B27926" i="1"/>
  <c r="A27927" i="1"/>
  <c r="B27927" i="1"/>
  <c r="A27928" i="1"/>
  <c r="B27928" i="1"/>
  <c r="A27929" i="1"/>
  <c r="B27929" i="1"/>
  <c r="A27930" i="1"/>
  <c r="B27930" i="1"/>
  <c r="A27931" i="1"/>
  <c r="B27931" i="1"/>
  <c r="A27932" i="1"/>
  <c r="B27932" i="1"/>
  <c r="A27933" i="1"/>
  <c r="B27933" i="1"/>
  <c r="A27934" i="1"/>
  <c r="B27934" i="1"/>
  <c r="A27935" i="1"/>
  <c r="B27935" i="1"/>
  <c r="A27936" i="1"/>
  <c r="B27936" i="1"/>
  <c r="A27937" i="1"/>
  <c r="B27937" i="1"/>
  <c r="A27938" i="1"/>
  <c r="B27938" i="1"/>
  <c r="A27939" i="1"/>
  <c r="B27939" i="1"/>
  <c r="A27940" i="1"/>
  <c r="B27940" i="1"/>
  <c r="A27941" i="1"/>
  <c r="B27941" i="1"/>
  <c r="A27942" i="1"/>
  <c r="B27942" i="1"/>
  <c r="A27943" i="1"/>
  <c r="B27943" i="1"/>
  <c r="A27944" i="1"/>
  <c r="B27944" i="1"/>
  <c r="A27945" i="1"/>
  <c r="B27945" i="1"/>
  <c r="A27946" i="1"/>
  <c r="B27946" i="1"/>
  <c r="A27947" i="1"/>
  <c r="B27947" i="1"/>
  <c r="A27948" i="1"/>
  <c r="B27948" i="1"/>
  <c r="A27949" i="1"/>
  <c r="B27949" i="1"/>
  <c r="A27950" i="1"/>
  <c r="B27950" i="1"/>
  <c r="A27951" i="1"/>
  <c r="B27951" i="1"/>
  <c r="A27952" i="1"/>
  <c r="B27952" i="1"/>
  <c r="A27953" i="1"/>
  <c r="B27953" i="1"/>
  <c r="A27954" i="1"/>
  <c r="B27954" i="1"/>
  <c r="A27955" i="1"/>
  <c r="B27955" i="1"/>
  <c r="A27956" i="1"/>
  <c r="B27956" i="1"/>
  <c r="A27957" i="1"/>
  <c r="B27957" i="1"/>
  <c r="A27958" i="1"/>
  <c r="B27958" i="1"/>
  <c r="A27959" i="1"/>
  <c r="B27959" i="1"/>
  <c r="A27960" i="1"/>
  <c r="B27960" i="1"/>
  <c r="A27961" i="1"/>
  <c r="B27961" i="1"/>
  <c r="A27962" i="1"/>
  <c r="B27962" i="1"/>
  <c r="A27963" i="1"/>
  <c r="B27963" i="1"/>
  <c r="A27964" i="1"/>
  <c r="B27964" i="1"/>
  <c r="A27965" i="1"/>
  <c r="B27965" i="1"/>
  <c r="A27966" i="1"/>
  <c r="B27966" i="1"/>
  <c r="A27967" i="1"/>
  <c r="B27967" i="1"/>
  <c r="A27968" i="1"/>
  <c r="B27968" i="1"/>
  <c r="A27969" i="1"/>
  <c r="B27969" i="1"/>
  <c r="A27970" i="1"/>
  <c r="B27970" i="1"/>
  <c r="A27971" i="1"/>
  <c r="B27971" i="1"/>
  <c r="A27972" i="1"/>
  <c r="B27972" i="1"/>
  <c r="A27973" i="1"/>
  <c r="B27973" i="1"/>
  <c r="A27974" i="1"/>
  <c r="B27974" i="1"/>
  <c r="A27975" i="1"/>
  <c r="B27975" i="1"/>
  <c r="A27976" i="1"/>
  <c r="B27976" i="1"/>
  <c r="A27977" i="1"/>
  <c r="B27977" i="1"/>
  <c r="A27978" i="1"/>
  <c r="B27978" i="1"/>
  <c r="A27979" i="1"/>
  <c r="B27979" i="1"/>
  <c r="A27980" i="1"/>
  <c r="B27980" i="1"/>
  <c r="A27981" i="1"/>
  <c r="B27981" i="1"/>
  <c r="A27982" i="1"/>
  <c r="B27982" i="1"/>
  <c r="A27983" i="1"/>
  <c r="B27983" i="1"/>
  <c r="A27984" i="1"/>
  <c r="B27984" i="1"/>
  <c r="A27985" i="1"/>
  <c r="B27985" i="1"/>
  <c r="A27986" i="1"/>
  <c r="B27986" i="1"/>
  <c r="A27987" i="1"/>
  <c r="B27987" i="1"/>
  <c r="A27988" i="1"/>
  <c r="B27988" i="1"/>
  <c r="A27989" i="1"/>
  <c r="B27989" i="1"/>
  <c r="A27990" i="1"/>
  <c r="B27990" i="1"/>
  <c r="A27991" i="1"/>
  <c r="B27991" i="1"/>
  <c r="A27992" i="1"/>
  <c r="B27992" i="1"/>
  <c r="A27993" i="1"/>
  <c r="B27993" i="1"/>
  <c r="A27994" i="1"/>
  <c r="B27994" i="1"/>
  <c r="A27995" i="1"/>
  <c r="B27995" i="1"/>
  <c r="A27996" i="1"/>
  <c r="B27996" i="1"/>
  <c r="A27997" i="1"/>
  <c r="B27997" i="1"/>
  <c r="A27998" i="1"/>
  <c r="B27998" i="1"/>
  <c r="A27999" i="1"/>
  <c r="B27999" i="1"/>
  <c r="A28000" i="1"/>
  <c r="B28000" i="1"/>
  <c r="A28001" i="1"/>
  <c r="B28001" i="1"/>
  <c r="A28002" i="1"/>
  <c r="B28002" i="1"/>
  <c r="A28003" i="1"/>
  <c r="B28003" i="1"/>
  <c r="A28004" i="1"/>
  <c r="B28004" i="1"/>
  <c r="A28005" i="1"/>
  <c r="B28005" i="1"/>
  <c r="A28006" i="1"/>
  <c r="B28006" i="1"/>
  <c r="A28007" i="1"/>
  <c r="B28007" i="1"/>
  <c r="A28008" i="1"/>
  <c r="B28008" i="1"/>
  <c r="A28009" i="1"/>
  <c r="B28009" i="1"/>
  <c r="A28010" i="1"/>
  <c r="B28010" i="1"/>
  <c r="A28011" i="1"/>
  <c r="B28011" i="1"/>
  <c r="A28012" i="1"/>
  <c r="B28012" i="1"/>
  <c r="A28013" i="1"/>
  <c r="B28013" i="1"/>
  <c r="A28014" i="1"/>
  <c r="B28014" i="1"/>
  <c r="A28015" i="1"/>
  <c r="B28015" i="1"/>
  <c r="A28016" i="1"/>
  <c r="B28016" i="1"/>
  <c r="A28017" i="1"/>
  <c r="B28017" i="1"/>
  <c r="A28018" i="1"/>
  <c r="B28018" i="1"/>
  <c r="A28019" i="1"/>
  <c r="B28019" i="1"/>
  <c r="A28020" i="1"/>
  <c r="B28020" i="1"/>
  <c r="A28021" i="1"/>
  <c r="B28021" i="1"/>
  <c r="A28022" i="1"/>
  <c r="B28022" i="1"/>
  <c r="A28023" i="1"/>
  <c r="B28023" i="1"/>
  <c r="A28024" i="1"/>
  <c r="B28024" i="1"/>
  <c r="A28025" i="1"/>
  <c r="B28025" i="1"/>
  <c r="A28026" i="1"/>
  <c r="B28026" i="1"/>
  <c r="A28027" i="1"/>
  <c r="B28027" i="1"/>
  <c r="A28028" i="1"/>
  <c r="B28028" i="1"/>
  <c r="A28029" i="1"/>
  <c r="B28029" i="1"/>
  <c r="A28030" i="1"/>
  <c r="B28030" i="1"/>
  <c r="A28031" i="1"/>
  <c r="B28031" i="1"/>
  <c r="A28032" i="1"/>
  <c r="B28032" i="1"/>
  <c r="A28033" i="1"/>
  <c r="B28033" i="1"/>
  <c r="A28034" i="1"/>
  <c r="B28034" i="1"/>
  <c r="A28035" i="1"/>
  <c r="B28035" i="1"/>
  <c r="A28036" i="1"/>
  <c r="B28036" i="1"/>
  <c r="A28037" i="1"/>
  <c r="B28037" i="1"/>
  <c r="A28038" i="1"/>
  <c r="B28038" i="1"/>
  <c r="A28039" i="1"/>
  <c r="B28039" i="1"/>
  <c r="A28040" i="1"/>
  <c r="B28040" i="1"/>
  <c r="A28041" i="1"/>
  <c r="B28041" i="1"/>
  <c r="A28042" i="1"/>
  <c r="B28042" i="1"/>
  <c r="A28043" i="1"/>
  <c r="B28043" i="1"/>
  <c r="A28044" i="1"/>
  <c r="B28044" i="1"/>
  <c r="A28045" i="1"/>
  <c r="B28045" i="1"/>
  <c r="A28046" i="1"/>
  <c r="B28046" i="1"/>
  <c r="A28047" i="1"/>
  <c r="B28047" i="1"/>
  <c r="A28048" i="1"/>
  <c r="B28048" i="1"/>
  <c r="A28049" i="1"/>
  <c r="B28049" i="1"/>
  <c r="A28050" i="1"/>
  <c r="B28050" i="1"/>
  <c r="A28051" i="1"/>
  <c r="B28051" i="1"/>
  <c r="A28052" i="1"/>
  <c r="B28052" i="1"/>
  <c r="A28053" i="1"/>
  <c r="B28053" i="1"/>
  <c r="A28054" i="1"/>
  <c r="B28054" i="1"/>
  <c r="A28055" i="1"/>
  <c r="B28055" i="1"/>
  <c r="A28056" i="1"/>
  <c r="B28056" i="1"/>
  <c r="A28057" i="1"/>
  <c r="B28057" i="1"/>
  <c r="A28058" i="1"/>
  <c r="B28058" i="1"/>
  <c r="A28059" i="1"/>
  <c r="B28059" i="1"/>
  <c r="A28060" i="1"/>
  <c r="B28060" i="1"/>
  <c r="A28061" i="1"/>
  <c r="B28061" i="1"/>
  <c r="A28062" i="1"/>
  <c r="B28062" i="1"/>
  <c r="A28063" i="1"/>
  <c r="B28063" i="1"/>
  <c r="A28064" i="1"/>
  <c r="B28064" i="1"/>
  <c r="A28065" i="1"/>
  <c r="B28065" i="1"/>
  <c r="A28066" i="1"/>
  <c r="B28066" i="1"/>
  <c r="A28067" i="1"/>
  <c r="B28067" i="1"/>
  <c r="A28068" i="1"/>
  <c r="B28068" i="1"/>
  <c r="A28069" i="1"/>
  <c r="B28069" i="1"/>
  <c r="A28070" i="1"/>
  <c r="B28070" i="1"/>
  <c r="A28071" i="1"/>
  <c r="B28071" i="1"/>
  <c r="A28072" i="1"/>
  <c r="B28072" i="1"/>
  <c r="A28073" i="1"/>
  <c r="B28073" i="1"/>
  <c r="A28074" i="1"/>
  <c r="B28074" i="1"/>
  <c r="A28075" i="1"/>
  <c r="B28075" i="1"/>
  <c r="A28076" i="1"/>
  <c r="B28076" i="1"/>
  <c r="A28077" i="1"/>
  <c r="B28077" i="1"/>
  <c r="A28078" i="1"/>
  <c r="B28078" i="1"/>
  <c r="A28079" i="1"/>
  <c r="B28079" i="1"/>
  <c r="A28080" i="1"/>
  <c r="B28080" i="1"/>
  <c r="A28081" i="1"/>
  <c r="B28081" i="1"/>
  <c r="A28082" i="1"/>
  <c r="B28082" i="1"/>
  <c r="A28083" i="1"/>
  <c r="B28083" i="1"/>
  <c r="A28084" i="1"/>
  <c r="B28084" i="1"/>
  <c r="A28085" i="1"/>
  <c r="B28085" i="1"/>
  <c r="A28086" i="1"/>
  <c r="B28086" i="1"/>
  <c r="A28087" i="1"/>
  <c r="B28087" i="1"/>
  <c r="A28088" i="1"/>
  <c r="B28088" i="1"/>
  <c r="A28089" i="1"/>
  <c r="B28089" i="1"/>
  <c r="A28090" i="1"/>
  <c r="B28090" i="1"/>
  <c r="A28091" i="1"/>
  <c r="B28091" i="1"/>
  <c r="A28092" i="1"/>
  <c r="B28092" i="1"/>
  <c r="A28093" i="1"/>
  <c r="B28093" i="1"/>
  <c r="A28094" i="1"/>
  <c r="B28094" i="1"/>
  <c r="A28095" i="1"/>
  <c r="B28095" i="1"/>
  <c r="A28096" i="1"/>
  <c r="B28096" i="1"/>
  <c r="A28097" i="1"/>
  <c r="B28097" i="1"/>
  <c r="A28098" i="1"/>
  <c r="B28098" i="1"/>
  <c r="A28099" i="1"/>
  <c r="B28099" i="1"/>
  <c r="A28100" i="1"/>
  <c r="B28100" i="1"/>
  <c r="A28101" i="1"/>
  <c r="B28101" i="1"/>
  <c r="A28102" i="1"/>
  <c r="B28102" i="1"/>
  <c r="A28103" i="1"/>
  <c r="B28103" i="1"/>
  <c r="A28104" i="1"/>
  <c r="B28104" i="1"/>
  <c r="A28105" i="1"/>
  <c r="B28105" i="1"/>
  <c r="A28106" i="1"/>
  <c r="B28106" i="1"/>
  <c r="A28107" i="1"/>
  <c r="B28107" i="1"/>
  <c r="A28108" i="1"/>
  <c r="B28108" i="1"/>
  <c r="A28109" i="1"/>
  <c r="B28109" i="1"/>
  <c r="A28110" i="1"/>
  <c r="B28110" i="1"/>
  <c r="A28111" i="1"/>
  <c r="B28111" i="1"/>
  <c r="A28112" i="1"/>
  <c r="B28112" i="1"/>
  <c r="A28113" i="1"/>
  <c r="B28113" i="1"/>
  <c r="A28114" i="1"/>
  <c r="B28114" i="1"/>
  <c r="A28115" i="1"/>
  <c r="B28115" i="1"/>
  <c r="A28116" i="1"/>
  <c r="B28116" i="1"/>
  <c r="A28117" i="1"/>
  <c r="B28117" i="1"/>
  <c r="A28118" i="1"/>
  <c r="B28118" i="1"/>
  <c r="A28119" i="1"/>
  <c r="B28119" i="1"/>
  <c r="A28120" i="1"/>
  <c r="B28120" i="1"/>
  <c r="A28121" i="1"/>
  <c r="B28121" i="1"/>
  <c r="A28122" i="1"/>
  <c r="B28122" i="1"/>
  <c r="A28123" i="1"/>
  <c r="B28123" i="1"/>
  <c r="A28124" i="1"/>
  <c r="B28124" i="1"/>
  <c r="A28125" i="1"/>
  <c r="B28125" i="1"/>
  <c r="A28126" i="1"/>
  <c r="B28126" i="1"/>
  <c r="A28127" i="1"/>
  <c r="B28127" i="1"/>
  <c r="A28128" i="1"/>
  <c r="B28128" i="1"/>
  <c r="A28129" i="1"/>
  <c r="B28129" i="1"/>
  <c r="A28130" i="1"/>
  <c r="B28130" i="1"/>
  <c r="A28131" i="1"/>
  <c r="B28131" i="1"/>
  <c r="A28132" i="1"/>
  <c r="B28132" i="1"/>
  <c r="A28133" i="1"/>
  <c r="B28133" i="1"/>
  <c r="A28134" i="1"/>
  <c r="B28134" i="1"/>
  <c r="A28135" i="1"/>
  <c r="B28135" i="1"/>
  <c r="A28136" i="1"/>
  <c r="B28136" i="1"/>
  <c r="A28137" i="1"/>
  <c r="B28137" i="1"/>
  <c r="A28138" i="1"/>
  <c r="B28138" i="1"/>
  <c r="A28139" i="1"/>
  <c r="B28139" i="1"/>
  <c r="A28140" i="1"/>
  <c r="B28140" i="1"/>
  <c r="A28141" i="1"/>
  <c r="B28141" i="1"/>
  <c r="A28142" i="1"/>
  <c r="B28142" i="1"/>
  <c r="A28143" i="1"/>
  <c r="B28143" i="1"/>
  <c r="A28144" i="1"/>
  <c r="B28144" i="1"/>
  <c r="A28145" i="1"/>
  <c r="B28145" i="1"/>
  <c r="A28146" i="1"/>
  <c r="B28146" i="1"/>
  <c r="A28147" i="1"/>
  <c r="B28147" i="1"/>
  <c r="A28148" i="1"/>
  <c r="B28148" i="1"/>
  <c r="A28149" i="1"/>
  <c r="B28149" i="1"/>
  <c r="A28150" i="1"/>
  <c r="B28150" i="1"/>
  <c r="A28151" i="1"/>
  <c r="B28151" i="1"/>
  <c r="A28152" i="1"/>
  <c r="B28152" i="1"/>
  <c r="A28153" i="1"/>
  <c r="B28153" i="1"/>
  <c r="A28154" i="1"/>
  <c r="B28154" i="1"/>
  <c r="A28155" i="1"/>
  <c r="B28155" i="1"/>
  <c r="A28156" i="1"/>
  <c r="B28156" i="1"/>
  <c r="A28157" i="1"/>
  <c r="B28157" i="1"/>
  <c r="A28158" i="1"/>
  <c r="B28158" i="1"/>
  <c r="A28159" i="1"/>
  <c r="B28159" i="1"/>
  <c r="A28160" i="1"/>
  <c r="B28160" i="1"/>
  <c r="A28161" i="1"/>
  <c r="B28161" i="1"/>
  <c r="A28162" i="1"/>
  <c r="B28162" i="1"/>
  <c r="A28163" i="1"/>
  <c r="B28163" i="1"/>
  <c r="A28164" i="1"/>
  <c r="B28164" i="1"/>
  <c r="A28165" i="1"/>
  <c r="B28165" i="1"/>
  <c r="A28166" i="1"/>
  <c r="B28166" i="1"/>
  <c r="A28167" i="1"/>
  <c r="B28167" i="1"/>
  <c r="A28168" i="1"/>
  <c r="B28168" i="1"/>
  <c r="A28169" i="1"/>
  <c r="B28169" i="1"/>
  <c r="A28170" i="1"/>
  <c r="B28170" i="1"/>
  <c r="A28171" i="1"/>
  <c r="B28171" i="1"/>
  <c r="A28172" i="1"/>
  <c r="B28172" i="1"/>
  <c r="A28173" i="1"/>
  <c r="B28173" i="1"/>
  <c r="A28174" i="1"/>
  <c r="B28174" i="1"/>
  <c r="A28175" i="1"/>
  <c r="B28175" i="1"/>
  <c r="A28176" i="1"/>
  <c r="B28176" i="1"/>
  <c r="A28177" i="1"/>
  <c r="B28177" i="1"/>
  <c r="A28178" i="1"/>
  <c r="B28178" i="1"/>
  <c r="A28179" i="1"/>
  <c r="B28179" i="1"/>
  <c r="A28180" i="1"/>
  <c r="B28180" i="1"/>
  <c r="A28181" i="1"/>
  <c r="B28181" i="1"/>
  <c r="A28182" i="1"/>
  <c r="B28182" i="1"/>
  <c r="A28183" i="1"/>
  <c r="B28183" i="1"/>
  <c r="A28184" i="1"/>
  <c r="B28184" i="1"/>
  <c r="A28185" i="1"/>
  <c r="B28185" i="1"/>
  <c r="A28186" i="1"/>
  <c r="B28186" i="1"/>
  <c r="A28187" i="1"/>
  <c r="B28187" i="1"/>
  <c r="A28188" i="1"/>
  <c r="B28188" i="1"/>
  <c r="A28189" i="1"/>
  <c r="B28189" i="1"/>
  <c r="A28190" i="1"/>
  <c r="B28190" i="1"/>
  <c r="A28191" i="1"/>
  <c r="B28191" i="1"/>
  <c r="A28192" i="1"/>
  <c r="B28192" i="1"/>
  <c r="A28193" i="1"/>
  <c r="B28193" i="1"/>
  <c r="A28194" i="1"/>
  <c r="B28194" i="1"/>
  <c r="A28195" i="1"/>
  <c r="B28195" i="1"/>
  <c r="A28196" i="1"/>
  <c r="B28196" i="1"/>
  <c r="A28197" i="1"/>
  <c r="B28197" i="1"/>
  <c r="A28198" i="1"/>
  <c r="B28198" i="1"/>
  <c r="A28199" i="1"/>
  <c r="B28199" i="1"/>
  <c r="A28200" i="1"/>
  <c r="B28200" i="1"/>
  <c r="A28201" i="1"/>
  <c r="B28201" i="1"/>
  <c r="A28202" i="1"/>
  <c r="B28202" i="1"/>
  <c r="A28203" i="1"/>
  <c r="B28203" i="1"/>
  <c r="A28204" i="1"/>
  <c r="B28204" i="1"/>
  <c r="A28205" i="1"/>
  <c r="B28205" i="1"/>
  <c r="A28206" i="1"/>
  <c r="B28206" i="1"/>
  <c r="A28207" i="1"/>
  <c r="B28207" i="1"/>
  <c r="A28208" i="1"/>
  <c r="B28208" i="1"/>
  <c r="A28209" i="1"/>
  <c r="B28209" i="1"/>
  <c r="A28210" i="1"/>
  <c r="B28210" i="1"/>
  <c r="A28211" i="1"/>
  <c r="B28211" i="1"/>
  <c r="A28212" i="1"/>
  <c r="B28212" i="1"/>
  <c r="A28213" i="1"/>
  <c r="B28213" i="1"/>
  <c r="A28214" i="1"/>
  <c r="B28214" i="1"/>
  <c r="A28215" i="1"/>
  <c r="B28215" i="1"/>
  <c r="A28216" i="1"/>
  <c r="B28216" i="1"/>
  <c r="A28217" i="1"/>
  <c r="B28217" i="1"/>
  <c r="A28218" i="1"/>
  <c r="B28218" i="1"/>
  <c r="A28219" i="1"/>
  <c r="B28219" i="1"/>
  <c r="A28220" i="1"/>
  <c r="B28220" i="1"/>
  <c r="A28221" i="1"/>
  <c r="B28221" i="1"/>
  <c r="A28222" i="1"/>
  <c r="B28222" i="1"/>
  <c r="A28223" i="1"/>
  <c r="B28223" i="1"/>
  <c r="A28224" i="1"/>
  <c r="B28224" i="1"/>
  <c r="A28225" i="1"/>
  <c r="B28225" i="1"/>
  <c r="A28226" i="1"/>
  <c r="B28226" i="1"/>
  <c r="A28227" i="1"/>
  <c r="B28227" i="1"/>
  <c r="A28228" i="1"/>
  <c r="B28228" i="1"/>
  <c r="A28229" i="1"/>
  <c r="B28229" i="1"/>
  <c r="A28230" i="1"/>
  <c r="B28230" i="1"/>
  <c r="A28231" i="1"/>
  <c r="B28231" i="1"/>
  <c r="A28232" i="1"/>
  <c r="B28232" i="1"/>
  <c r="A28233" i="1"/>
  <c r="B28233" i="1"/>
  <c r="A28234" i="1"/>
  <c r="B28234" i="1"/>
  <c r="A28235" i="1"/>
  <c r="B28235" i="1"/>
  <c r="A28236" i="1"/>
  <c r="B28236" i="1"/>
  <c r="A28237" i="1"/>
  <c r="B28237" i="1"/>
  <c r="A28238" i="1"/>
  <c r="B28238" i="1"/>
  <c r="A28239" i="1"/>
  <c r="B28239" i="1"/>
  <c r="A28240" i="1"/>
  <c r="B28240" i="1"/>
  <c r="A28241" i="1"/>
  <c r="B28241" i="1"/>
  <c r="A28242" i="1"/>
  <c r="B28242" i="1"/>
  <c r="A28243" i="1"/>
  <c r="B28243" i="1"/>
  <c r="A28244" i="1"/>
  <c r="B28244" i="1"/>
  <c r="A28245" i="1"/>
  <c r="B28245" i="1"/>
  <c r="A28246" i="1"/>
  <c r="B28246" i="1"/>
  <c r="A28247" i="1"/>
  <c r="B28247" i="1"/>
  <c r="A28248" i="1"/>
  <c r="B28248" i="1"/>
  <c r="A28249" i="1"/>
  <c r="B28249" i="1"/>
  <c r="A28250" i="1"/>
  <c r="B28250" i="1"/>
  <c r="A28251" i="1"/>
  <c r="B28251" i="1"/>
  <c r="A28252" i="1"/>
  <c r="B28252" i="1"/>
  <c r="A28253" i="1"/>
  <c r="B28253" i="1"/>
  <c r="A28254" i="1"/>
  <c r="B28254" i="1"/>
  <c r="A28255" i="1"/>
  <c r="B28255" i="1"/>
  <c r="A28256" i="1"/>
  <c r="B28256" i="1"/>
  <c r="A28257" i="1"/>
  <c r="B28257" i="1"/>
  <c r="A28258" i="1"/>
  <c r="B28258" i="1"/>
  <c r="A28259" i="1"/>
  <c r="B28259" i="1"/>
  <c r="A28260" i="1"/>
  <c r="B28260" i="1"/>
  <c r="A28261" i="1"/>
  <c r="B28261" i="1"/>
  <c r="A28262" i="1"/>
  <c r="B28262" i="1"/>
  <c r="A28263" i="1"/>
  <c r="B28263" i="1"/>
  <c r="A28264" i="1"/>
  <c r="B28264" i="1"/>
  <c r="A28265" i="1"/>
  <c r="B28265" i="1"/>
  <c r="A28266" i="1"/>
  <c r="B28266" i="1"/>
  <c r="A28267" i="1"/>
  <c r="B28267" i="1"/>
  <c r="A28268" i="1"/>
  <c r="B28268" i="1"/>
  <c r="A28269" i="1"/>
  <c r="B28269" i="1"/>
  <c r="A28270" i="1"/>
  <c r="B28270" i="1"/>
  <c r="A28271" i="1"/>
  <c r="B28271" i="1"/>
  <c r="A28272" i="1"/>
  <c r="B28272" i="1"/>
  <c r="A28273" i="1"/>
  <c r="B28273" i="1"/>
  <c r="A28274" i="1"/>
  <c r="B28274" i="1"/>
  <c r="A28275" i="1"/>
  <c r="B28275" i="1"/>
  <c r="A28276" i="1"/>
  <c r="B28276" i="1"/>
  <c r="A28277" i="1"/>
  <c r="B28277" i="1"/>
  <c r="A28278" i="1"/>
  <c r="B28278" i="1"/>
  <c r="A28279" i="1"/>
  <c r="B28279" i="1"/>
  <c r="A28280" i="1"/>
  <c r="B28280" i="1"/>
  <c r="A28281" i="1"/>
  <c r="B28281" i="1"/>
  <c r="A28282" i="1"/>
  <c r="B28282" i="1"/>
  <c r="A28283" i="1"/>
  <c r="B28283" i="1"/>
  <c r="A28284" i="1"/>
  <c r="B28284" i="1"/>
  <c r="A28285" i="1"/>
  <c r="B28285" i="1"/>
  <c r="A28286" i="1"/>
  <c r="B28286" i="1"/>
  <c r="A28287" i="1"/>
  <c r="B28287" i="1"/>
  <c r="A28288" i="1"/>
  <c r="B28288" i="1"/>
  <c r="A28289" i="1"/>
  <c r="B28289" i="1"/>
  <c r="A28290" i="1"/>
  <c r="B28290" i="1"/>
  <c r="A28291" i="1"/>
  <c r="B28291" i="1"/>
  <c r="A28292" i="1"/>
  <c r="B28292" i="1"/>
  <c r="A28293" i="1"/>
  <c r="B28293" i="1"/>
  <c r="A28294" i="1"/>
  <c r="B28294" i="1"/>
  <c r="A28295" i="1"/>
  <c r="B28295" i="1"/>
  <c r="A28296" i="1"/>
  <c r="B28296" i="1"/>
  <c r="A28297" i="1"/>
  <c r="B28297" i="1"/>
  <c r="A28298" i="1"/>
  <c r="B28298" i="1"/>
  <c r="A28299" i="1"/>
  <c r="B28299" i="1"/>
  <c r="A28300" i="1"/>
  <c r="B28300" i="1"/>
  <c r="A28301" i="1"/>
  <c r="B28301" i="1"/>
  <c r="A28302" i="1"/>
  <c r="B28302" i="1"/>
  <c r="A28303" i="1"/>
  <c r="B28303" i="1"/>
  <c r="A28304" i="1"/>
  <c r="B28304" i="1"/>
  <c r="A28305" i="1"/>
  <c r="B28305" i="1"/>
  <c r="A28306" i="1"/>
  <c r="B28306" i="1"/>
  <c r="A28307" i="1"/>
  <c r="B28307" i="1"/>
  <c r="A28308" i="1"/>
  <c r="B28308" i="1"/>
  <c r="A28309" i="1"/>
  <c r="B28309" i="1"/>
  <c r="A28310" i="1"/>
  <c r="B28310" i="1"/>
  <c r="A28311" i="1"/>
  <c r="B28311" i="1"/>
  <c r="A28312" i="1"/>
  <c r="B28312" i="1"/>
  <c r="A28313" i="1"/>
  <c r="B28313" i="1"/>
  <c r="A28314" i="1"/>
  <c r="B28314" i="1"/>
  <c r="A28315" i="1"/>
  <c r="B28315" i="1"/>
  <c r="A28316" i="1"/>
  <c r="B28316" i="1"/>
  <c r="A28317" i="1"/>
  <c r="B28317" i="1"/>
  <c r="A28318" i="1"/>
  <c r="B28318" i="1"/>
  <c r="A28319" i="1"/>
  <c r="B28319" i="1"/>
  <c r="A28320" i="1"/>
  <c r="B28320" i="1"/>
  <c r="A28321" i="1"/>
  <c r="B28321" i="1"/>
  <c r="A28322" i="1"/>
  <c r="B28322" i="1"/>
  <c r="A28323" i="1"/>
  <c r="B28323" i="1"/>
  <c r="A28324" i="1"/>
  <c r="B28324" i="1"/>
  <c r="A28325" i="1"/>
  <c r="B28325" i="1"/>
  <c r="A28326" i="1"/>
  <c r="B28326" i="1"/>
  <c r="A28327" i="1"/>
  <c r="B28327" i="1"/>
  <c r="A28328" i="1"/>
  <c r="B28328" i="1"/>
  <c r="A28329" i="1"/>
  <c r="B28329" i="1"/>
  <c r="A28330" i="1"/>
  <c r="B28330" i="1"/>
  <c r="A28331" i="1"/>
  <c r="B28331" i="1"/>
  <c r="A28332" i="1"/>
  <c r="B28332" i="1"/>
  <c r="A28333" i="1"/>
  <c r="B28333" i="1"/>
  <c r="A28334" i="1"/>
  <c r="B28334" i="1"/>
  <c r="A28335" i="1"/>
  <c r="B28335" i="1"/>
  <c r="A28336" i="1"/>
  <c r="B28336" i="1"/>
  <c r="A28337" i="1"/>
  <c r="B28337" i="1"/>
  <c r="A28338" i="1"/>
  <c r="B28338" i="1"/>
  <c r="A28339" i="1"/>
  <c r="B28339" i="1"/>
  <c r="A28340" i="1"/>
  <c r="B28340" i="1"/>
  <c r="A28341" i="1"/>
  <c r="B28341" i="1"/>
  <c r="A28342" i="1"/>
  <c r="B28342" i="1"/>
  <c r="A28343" i="1"/>
  <c r="B28343" i="1"/>
  <c r="A28344" i="1"/>
  <c r="B28344" i="1"/>
  <c r="A28345" i="1"/>
  <c r="B28345" i="1"/>
  <c r="A28346" i="1"/>
  <c r="B28346" i="1"/>
  <c r="A28347" i="1"/>
  <c r="B28347" i="1"/>
  <c r="A28348" i="1"/>
  <c r="B28348" i="1"/>
  <c r="A28349" i="1"/>
  <c r="B28349" i="1"/>
  <c r="A28350" i="1"/>
  <c r="B28350" i="1"/>
  <c r="A28351" i="1"/>
  <c r="B28351" i="1"/>
  <c r="A28352" i="1"/>
  <c r="B28352" i="1"/>
  <c r="A28353" i="1"/>
  <c r="B28353" i="1"/>
  <c r="A28354" i="1"/>
  <c r="B28354" i="1"/>
  <c r="A28355" i="1"/>
  <c r="B28355" i="1"/>
  <c r="A28356" i="1"/>
  <c r="B28356" i="1"/>
  <c r="A28357" i="1"/>
  <c r="B28357" i="1"/>
  <c r="A28358" i="1"/>
  <c r="B28358" i="1"/>
  <c r="A28359" i="1"/>
  <c r="B28359" i="1"/>
  <c r="A28360" i="1"/>
  <c r="B28360" i="1"/>
  <c r="A28361" i="1"/>
  <c r="B28361" i="1"/>
  <c r="A28362" i="1"/>
  <c r="B28362" i="1"/>
  <c r="A28363" i="1"/>
  <c r="B28363" i="1"/>
  <c r="A28364" i="1"/>
  <c r="B28364" i="1"/>
  <c r="A28365" i="1"/>
  <c r="B28365" i="1"/>
  <c r="A28366" i="1"/>
  <c r="B28366" i="1"/>
  <c r="A28367" i="1"/>
  <c r="B28367" i="1"/>
  <c r="A28368" i="1"/>
  <c r="B28368" i="1"/>
  <c r="A28369" i="1"/>
  <c r="B28369" i="1"/>
  <c r="A28370" i="1"/>
  <c r="B28370" i="1"/>
  <c r="A28371" i="1"/>
  <c r="B28371" i="1"/>
  <c r="A28372" i="1"/>
  <c r="B28372" i="1"/>
  <c r="A28373" i="1"/>
  <c r="B28373" i="1"/>
  <c r="A28374" i="1"/>
  <c r="B28374" i="1"/>
  <c r="A28375" i="1"/>
  <c r="B28375" i="1"/>
  <c r="A28376" i="1"/>
  <c r="B28376" i="1"/>
  <c r="A28377" i="1"/>
  <c r="B28377" i="1"/>
  <c r="A28378" i="1"/>
  <c r="B28378" i="1"/>
  <c r="A28379" i="1"/>
  <c r="B28379" i="1"/>
  <c r="A28380" i="1"/>
  <c r="B28380" i="1"/>
  <c r="A28381" i="1"/>
  <c r="B28381" i="1"/>
  <c r="A28382" i="1"/>
  <c r="B28382" i="1"/>
  <c r="A28383" i="1"/>
  <c r="B28383" i="1"/>
  <c r="A28384" i="1"/>
  <c r="B28384" i="1"/>
  <c r="A28385" i="1"/>
  <c r="B28385" i="1"/>
  <c r="A28386" i="1"/>
  <c r="B28386" i="1"/>
  <c r="A28387" i="1"/>
  <c r="B28387" i="1"/>
  <c r="A28388" i="1"/>
  <c r="B28388" i="1"/>
  <c r="A28389" i="1"/>
  <c r="B28389" i="1"/>
  <c r="A28390" i="1"/>
  <c r="B28390" i="1"/>
  <c r="A28391" i="1"/>
  <c r="B28391" i="1"/>
  <c r="A28392" i="1"/>
  <c r="B28392" i="1"/>
  <c r="A28393" i="1"/>
  <c r="B28393" i="1"/>
  <c r="A28394" i="1"/>
  <c r="B28394" i="1"/>
  <c r="A28395" i="1"/>
  <c r="B28395" i="1"/>
  <c r="A28396" i="1"/>
  <c r="B28396" i="1"/>
  <c r="A28397" i="1"/>
  <c r="B28397" i="1"/>
  <c r="A28398" i="1"/>
  <c r="B28398" i="1"/>
  <c r="A28399" i="1"/>
  <c r="B28399" i="1"/>
  <c r="A28400" i="1"/>
  <c r="B28400" i="1"/>
  <c r="A28401" i="1"/>
  <c r="B28401" i="1"/>
  <c r="A28402" i="1"/>
  <c r="B28402" i="1"/>
  <c r="A28403" i="1"/>
  <c r="B28403" i="1"/>
  <c r="A28404" i="1"/>
  <c r="B28404" i="1"/>
  <c r="A28405" i="1"/>
  <c r="B28405" i="1"/>
  <c r="A28406" i="1"/>
  <c r="B28406" i="1"/>
  <c r="A28407" i="1"/>
  <c r="B28407" i="1"/>
  <c r="A28408" i="1"/>
  <c r="B28408" i="1"/>
  <c r="A28409" i="1"/>
  <c r="B28409" i="1"/>
  <c r="A28410" i="1"/>
  <c r="B28410" i="1"/>
  <c r="A28411" i="1"/>
  <c r="B28411" i="1"/>
  <c r="A28412" i="1"/>
  <c r="B28412" i="1"/>
  <c r="A28413" i="1"/>
  <c r="B28413" i="1"/>
  <c r="A28414" i="1"/>
  <c r="B28414" i="1"/>
  <c r="A28415" i="1"/>
  <c r="B28415" i="1"/>
  <c r="A28416" i="1"/>
  <c r="B28416" i="1"/>
  <c r="A28417" i="1"/>
  <c r="B28417" i="1"/>
  <c r="A28418" i="1"/>
  <c r="B28418" i="1"/>
  <c r="A28419" i="1"/>
  <c r="B28419" i="1"/>
  <c r="A28420" i="1"/>
  <c r="B28420" i="1"/>
  <c r="A28421" i="1"/>
  <c r="B28421" i="1"/>
  <c r="A28422" i="1"/>
  <c r="B28422" i="1"/>
  <c r="A28423" i="1"/>
  <c r="B28423" i="1"/>
  <c r="A28424" i="1"/>
  <c r="B28424" i="1"/>
  <c r="A28425" i="1"/>
  <c r="B28425" i="1"/>
  <c r="A28426" i="1"/>
  <c r="B28426" i="1"/>
  <c r="A28427" i="1"/>
  <c r="B28427" i="1"/>
  <c r="A28428" i="1"/>
  <c r="B28428" i="1"/>
  <c r="A28429" i="1"/>
  <c r="B28429" i="1"/>
  <c r="A28430" i="1"/>
  <c r="B28430" i="1"/>
  <c r="A28431" i="1"/>
  <c r="B28431" i="1"/>
  <c r="A28432" i="1"/>
  <c r="B28432" i="1"/>
  <c r="A28433" i="1"/>
  <c r="B28433" i="1"/>
  <c r="A28434" i="1"/>
  <c r="B28434" i="1"/>
  <c r="A28435" i="1"/>
  <c r="B28435" i="1"/>
  <c r="A28436" i="1"/>
  <c r="B28436" i="1"/>
  <c r="A28437" i="1"/>
  <c r="B28437" i="1"/>
  <c r="A28438" i="1"/>
  <c r="B28438" i="1"/>
  <c r="A28439" i="1"/>
  <c r="B28439" i="1"/>
  <c r="A28440" i="1"/>
  <c r="B28440" i="1"/>
  <c r="A28441" i="1"/>
  <c r="B28441" i="1"/>
  <c r="A28442" i="1"/>
  <c r="B28442" i="1"/>
  <c r="A28443" i="1"/>
  <c r="B28443" i="1"/>
  <c r="A28444" i="1"/>
  <c r="B28444" i="1"/>
  <c r="A28445" i="1"/>
  <c r="B28445" i="1"/>
  <c r="A28446" i="1"/>
  <c r="B28446" i="1"/>
  <c r="A28447" i="1"/>
  <c r="B28447" i="1"/>
  <c r="A28448" i="1"/>
  <c r="B28448" i="1"/>
  <c r="A28449" i="1"/>
  <c r="B28449" i="1"/>
  <c r="A28450" i="1"/>
  <c r="B28450" i="1"/>
  <c r="A28451" i="1"/>
  <c r="B28451" i="1"/>
  <c r="A28452" i="1"/>
  <c r="B28452" i="1"/>
  <c r="A28453" i="1"/>
  <c r="B28453" i="1"/>
  <c r="A28454" i="1"/>
  <c r="B28454" i="1"/>
  <c r="A28455" i="1"/>
  <c r="B28455" i="1"/>
  <c r="A28456" i="1"/>
  <c r="B28456" i="1"/>
  <c r="A28457" i="1"/>
  <c r="B28457" i="1"/>
  <c r="A28458" i="1"/>
  <c r="B28458" i="1"/>
  <c r="A28459" i="1"/>
  <c r="B28459" i="1"/>
  <c r="A28460" i="1"/>
  <c r="B28460" i="1"/>
  <c r="A28461" i="1"/>
  <c r="B28461" i="1"/>
  <c r="A28462" i="1"/>
  <c r="B28462" i="1"/>
  <c r="A28463" i="1"/>
  <c r="B28463" i="1"/>
  <c r="A28464" i="1"/>
  <c r="B28464" i="1"/>
  <c r="A28465" i="1"/>
  <c r="B28465" i="1"/>
  <c r="A28466" i="1"/>
  <c r="B28466" i="1"/>
  <c r="A28467" i="1"/>
  <c r="B28467" i="1"/>
  <c r="A28468" i="1"/>
  <c r="B28468" i="1"/>
  <c r="A28469" i="1"/>
  <c r="B28469" i="1"/>
  <c r="A28470" i="1"/>
  <c r="B28470" i="1"/>
  <c r="A28471" i="1"/>
  <c r="B28471" i="1"/>
  <c r="A28472" i="1"/>
  <c r="B28472" i="1"/>
  <c r="A28473" i="1"/>
  <c r="B28473" i="1"/>
  <c r="A28474" i="1"/>
  <c r="B28474" i="1"/>
  <c r="A28475" i="1"/>
  <c r="B28475" i="1"/>
  <c r="A28476" i="1"/>
  <c r="B28476" i="1"/>
  <c r="A28477" i="1"/>
  <c r="B28477" i="1"/>
  <c r="A28478" i="1"/>
  <c r="B28478" i="1"/>
  <c r="A28479" i="1"/>
  <c r="B28479" i="1"/>
  <c r="A28480" i="1"/>
  <c r="B28480" i="1"/>
  <c r="A28481" i="1"/>
  <c r="B28481" i="1"/>
  <c r="A28482" i="1"/>
  <c r="B28482" i="1"/>
  <c r="A28483" i="1"/>
  <c r="B28483" i="1"/>
  <c r="A28484" i="1"/>
  <c r="B28484" i="1"/>
  <c r="A28485" i="1"/>
  <c r="B28485" i="1"/>
  <c r="A28486" i="1"/>
  <c r="B28486" i="1"/>
  <c r="A28487" i="1"/>
  <c r="B28487" i="1"/>
  <c r="A28488" i="1"/>
  <c r="B28488" i="1"/>
  <c r="A28489" i="1"/>
  <c r="B28489" i="1"/>
  <c r="A28490" i="1"/>
  <c r="B28490" i="1"/>
  <c r="A28491" i="1"/>
  <c r="B28491" i="1"/>
  <c r="A28492" i="1"/>
  <c r="B28492" i="1"/>
  <c r="A28493" i="1"/>
  <c r="B28493" i="1"/>
  <c r="A28494" i="1"/>
  <c r="B28494" i="1"/>
  <c r="A28495" i="1"/>
  <c r="B28495" i="1"/>
  <c r="A28496" i="1"/>
  <c r="B28496" i="1"/>
  <c r="A28497" i="1"/>
  <c r="B28497" i="1"/>
  <c r="A28498" i="1"/>
  <c r="B28498" i="1"/>
  <c r="A28499" i="1"/>
  <c r="B28499" i="1"/>
  <c r="A28500" i="1"/>
  <c r="B28500" i="1"/>
  <c r="A28501" i="1"/>
  <c r="B28501" i="1"/>
  <c r="A28502" i="1"/>
  <c r="B28502" i="1"/>
  <c r="A28503" i="1"/>
  <c r="B28503" i="1"/>
  <c r="A28504" i="1"/>
  <c r="B28504" i="1"/>
  <c r="A28505" i="1"/>
  <c r="B28505" i="1"/>
  <c r="A28506" i="1"/>
  <c r="B28506" i="1"/>
  <c r="A28507" i="1"/>
  <c r="B28507" i="1"/>
  <c r="A28508" i="1"/>
  <c r="B28508" i="1"/>
  <c r="A28509" i="1"/>
  <c r="B28509" i="1"/>
  <c r="A28510" i="1"/>
  <c r="B28510" i="1"/>
  <c r="A28511" i="1"/>
  <c r="B28511" i="1"/>
  <c r="A28512" i="1"/>
  <c r="B28512" i="1"/>
  <c r="A28513" i="1"/>
  <c r="B28513" i="1"/>
  <c r="A28514" i="1"/>
  <c r="B28514" i="1"/>
  <c r="A28515" i="1"/>
  <c r="B28515" i="1"/>
  <c r="A28516" i="1"/>
  <c r="B28516" i="1"/>
  <c r="A28517" i="1"/>
  <c r="B28517" i="1"/>
  <c r="A28518" i="1"/>
  <c r="B28518" i="1"/>
  <c r="A28519" i="1"/>
  <c r="B28519" i="1"/>
  <c r="A28520" i="1"/>
  <c r="B28520" i="1"/>
  <c r="A28521" i="1"/>
  <c r="B28521" i="1"/>
  <c r="A28522" i="1"/>
  <c r="B28522" i="1"/>
  <c r="A28523" i="1"/>
  <c r="B28523" i="1"/>
  <c r="A28524" i="1"/>
  <c r="B28524" i="1"/>
  <c r="A28525" i="1"/>
  <c r="B28525" i="1"/>
  <c r="A28526" i="1"/>
  <c r="B28526" i="1"/>
  <c r="A28527" i="1"/>
  <c r="B28527" i="1"/>
  <c r="A28528" i="1"/>
  <c r="B28528" i="1"/>
  <c r="A28529" i="1"/>
  <c r="B28529" i="1"/>
  <c r="A28530" i="1"/>
  <c r="B28530" i="1"/>
  <c r="A28531" i="1"/>
  <c r="B28531" i="1"/>
  <c r="A28532" i="1"/>
  <c r="B28532" i="1"/>
  <c r="A28533" i="1"/>
  <c r="B28533" i="1"/>
  <c r="A28534" i="1"/>
  <c r="B28534" i="1"/>
  <c r="A28535" i="1"/>
  <c r="B28535" i="1"/>
  <c r="A28536" i="1"/>
  <c r="B28536" i="1"/>
  <c r="A28537" i="1"/>
  <c r="B28537" i="1"/>
  <c r="A28538" i="1"/>
  <c r="B28538" i="1"/>
  <c r="A28539" i="1"/>
  <c r="B28539" i="1"/>
  <c r="A28540" i="1"/>
  <c r="B28540" i="1"/>
  <c r="A28541" i="1"/>
  <c r="B28541" i="1"/>
  <c r="A28542" i="1"/>
  <c r="B28542" i="1"/>
  <c r="A28543" i="1"/>
  <c r="B28543" i="1"/>
  <c r="A28544" i="1"/>
  <c r="B28544" i="1"/>
  <c r="A28545" i="1"/>
  <c r="B28545" i="1"/>
  <c r="A28546" i="1"/>
  <c r="B28546" i="1"/>
  <c r="A28547" i="1"/>
  <c r="B28547" i="1"/>
  <c r="A28548" i="1"/>
  <c r="B28548" i="1"/>
  <c r="A28549" i="1"/>
  <c r="B28549" i="1"/>
  <c r="A28550" i="1"/>
  <c r="B28550" i="1"/>
  <c r="A28551" i="1"/>
  <c r="B28551" i="1"/>
  <c r="A28552" i="1"/>
  <c r="B28552" i="1"/>
  <c r="A28553" i="1"/>
  <c r="B28553" i="1"/>
  <c r="A28554" i="1"/>
  <c r="B28554" i="1"/>
  <c r="A28555" i="1"/>
  <c r="B28555" i="1"/>
  <c r="A28556" i="1"/>
  <c r="B28556" i="1"/>
  <c r="A28557" i="1"/>
  <c r="B28557" i="1"/>
  <c r="A28558" i="1"/>
  <c r="B28558" i="1"/>
  <c r="A28559" i="1"/>
  <c r="B28559" i="1"/>
  <c r="A28560" i="1"/>
  <c r="B28560" i="1"/>
  <c r="A28561" i="1"/>
  <c r="B28561" i="1"/>
  <c r="A28562" i="1"/>
  <c r="B28562" i="1"/>
  <c r="A28563" i="1"/>
  <c r="B28563" i="1"/>
  <c r="A28564" i="1"/>
  <c r="B28564" i="1"/>
  <c r="A28565" i="1"/>
  <c r="B28565" i="1"/>
  <c r="A28566" i="1"/>
  <c r="B28566" i="1"/>
  <c r="A28567" i="1"/>
  <c r="B28567" i="1"/>
  <c r="A28568" i="1"/>
  <c r="B28568" i="1"/>
  <c r="A28569" i="1"/>
  <c r="B28569" i="1"/>
  <c r="A28570" i="1"/>
  <c r="B28570" i="1"/>
  <c r="A28571" i="1"/>
  <c r="B28571" i="1"/>
  <c r="A28572" i="1"/>
  <c r="B28572" i="1"/>
  <c r="A28573" i="1"/>
  <c r="B28573" i="1"/>
  <c r="A28574" i="1"/>
  <c r="B28574" i="1"/>
  <c r="A28575" i="1"/>
  <c r="B28575" i="1"/>
  <c r="A28576" i="1"/>
  <c r="B28576" i="1"/>
  <c r="A28577" i="1"/>
  <c r="B28577" i="1"/>
  <c r="A28578" i="1"/>
  <c r="B28578" i="1"/>
  <c r="A28579" i="1"/>
  <c r="B28579" i="1"/>
  <c r="A28580" i="1"/>
  <c r="B28580" i="1"/>
  <c r="A28581" i="1"/>
  <c r="B28581" i="1"/>
  <c r="A28582" i="1"/>
  <c r="B28582" i="1"/>
  <c r="A28583" i="1"/>
  <c r="B28583" i="1"/>
  <c r="A28584" i="1"/>
  <c r="B28584" i="1"/>
  <c r="A28585" i="1"/>
  <c r="B28585" i="1"/>
  <c r="A28586" i="1"/>
  <c r="B28586" i="1"/>
  <c r="A28587" i="1"/>
  <c r="B28587" i="1"/>
  <c r="A28588" i="1"/>
  <c r="B28588" i="1"/>
  <c r="A28589" i="1"/>
  <c r="B28589" i="1"/>
  <c r="A28590" i="1"/>
  <c r="B28590" i="1"/>
  <c r="A28591" i="1"/>
  <c r="B28591" i="1"/>
  <c r="A28592" i="1"/>
  <c r="B28592" i="1"/>
  <c r="A28593" i="1"/>
  <c r="B28593" i="1"/>
  <c r="A28594" i="1"/>
  <c r="B28594" i="1"/>
  <c r="A28595" i="1"/>
  <c r="B28595" i="1"/>
  <c r="A28596" i="1"/>
  <c r="B28596" i="1"/>
  <c r="A28597" i="1"/>
  <c r="B28597" i="1"/>
  <c r="A28598" i="1"/>
  <c r="B28598" i="1"/>
  <c r="A28599" i="1"/>
  <c r="B28599" i="1"/>
  <c r="A28600" i="1"/>
  <c r="B28600" i="1"/>
  <c r="A28601" i="1"/>
  <c r="B28601" i="1"/>
  <c r="A28602" i="1"/>
  <c r="B28602" i="1"/>
  <c r="A28603" i="1"/>
  <c r="B28603" i="1"/>
  <c r="A28604" i="1"/>
  <c r="B28604" i="1"/>
  <c r="A28605" i="1"/>
  <c r="B28605" i="1"/>
  <c r="A28606" i="1"/>
  <c r="B28606" i="1"/>
  <c r="A28607" i="1"/>
  <c r="B28607" i="1"/>
  <c r="A28608" i="1"/>
  <c r="B28608" i="1"/>
  <c r="A28609" i="1"/>
  <c r="B28609" i="1"/>
  <c r="A28610" i="1"/>
  <c r="B28610" i="1"/>
  <c r="A28611" i="1"/>
  <c r="B28611" i="1"/>
  <c r="A28612" i="1"/>
  <c r="B28612" i="1"/>
  <c r="A28613" i="1"/>
  <c r="B28613" i="1"/>
  <c r="A28614" i="1"/>
  <c r="B28614" i="1"/>
  <c r="A28615" i="1"/>
  <c r="B28615" i="1"/>
  <c r="A28616" i="1"/>
  <c r="B28616" i="1"/>
  <c r="A28617" i="1"/>
  <c r="B28617" i="1"/>
  <c r="A28618" i="1"/>
  <c r="B28618" i="1"/>
  <c r="A28619" i="1"/>
  <c r="B28619" i="1"/>
  <c r="A28620" i="1"/>
  <c r="B28620" i="1"/>
  <c r="A28621" i="1"/>
  <c r="B28621" i="1"/>
  <c r="A28622" i="1"/>
  <c r="B28622" i="1"/>
  <c r="A28623" i="1"/>
  <c r="B28623" i="1"/>
  <c r="A28624" i="1"/>
  <c r="B28624" i="1"/>
  <c r="A28625" i="1"/>
  <c r="B28625" i="1"/>
  <c r="A28626" i="1"/>
  <c r="B28626" i="1"/>
  <c r="A28627" i="1"/>
  <c r="B28627" i="1"/>
  <c r="A28628" i="1"/>
  <c r="B28628" i="1"/>
  <c r="A28629" i="1"/>
  <c r="B28629" i="1"/>
  <c r="A28630" i="1"/>
  <c r="B28630" i="1"/>
  <c r="A28631" i="1"/>
  <c r="B28631" i="1"/>
  <c r="A28632" i="1"/>
  <c r="B28632" i="1"/>
  <c r="A28633" i="1"/>
  <c r="B28633" i="1"/>
  <c r="A28634" i="1"/>
  <c r="B28634" i="1"/>
  <c r="A28635" i="1"/>
  <c r="B28635" i="1"/>
  <c r="A28636" i="1"/>
  <c r="B28636" i="1"/>
  <c r="A28637" i="1"/>
  <c r="B28637" i="1"/>
  <c r="A28638" i="1"/>
  <c r="B28638" i="1"/>
  <c r="A28639" i="1"/>
  <c r="B28639" i="1"/>
  <c r="A28640" i="1"/>
  <c r="B28640" i="1"/>
  <c r="A28641" i="1"/>
  <c r="B28641" i="1"/>
  <c r="A28642" i="1"/>
  <c r="B28642" i="1"/>
  <c r="A28643" i="1"/>
  <c r="B28643" i="1"/>
  <c r="A28644" i="1"/>
  <c r="B28644" i="1"/>
  <c r="A28645" i="1"/>
  <c r="B28645" i="1"/>
  <c r="A28646" i="1"/>
  <c r="B28646" i="1"/>
  <c r="A28647" i="1"/>
  <c r="B28647" i="1"/>
  <c r="A28648" i="1"/>
  <c r="B28648" i="1"/>
  <c r="A28649" i="1"/>
  <c r="B28649" i="1"/>
  <c r="A28650" i="1"/>
  <c r="B28650" i="1"/>
  <c r="A28651" i="1"/>
  <c r="B28651" i="1"/>
  <c r="A28652" i="1"/>
  <c r="B28652" i="1"/>
  <c r="A28653" i="1"/>
  <c r="B28653" i="1"/>
  <c r="A28654" i="1"/>
  <c r="B28654" i="1"/>
  <c r="A28655" i="1"/>
  <c r="B28655" i="1"/>
  <c r="A28656" i="1"/>
  <c r="B28656" i="1"/>
  <c r="A28657" i="1"/>
  <c r="B28657" i="1"/>
  <c r="A28658" i="1"/>
  <c r="B28658" i="1"/>
  <c r="A28659" i="1"/>
  <c r="B28659" i="1"/>
  <c r="A28660" i="1"/>
  <c r="B28660" i="1"/>
  <c r="A28661" i="1"/>
  <c r="B28661" i="1"/>
  <c r="A28662" i="1"/>
  <c r="B28662" i="1"/>
  <c r="A28663" i="1"/>
  <c r="B28663" i="1"/>
  <c r="A28664" i="1"/>
  <c r="B28664" i="1"/>
  <c r="A28665" i="1"/>
  <c r="B28665" i="1"/>
  <c r="A28666" i="1"/>
  <c r="B28666" i="1"/>
  <c r="A28667" i="1"/>
  <c r="B28667" i="1"/>
  <c r="A28668" i="1"/>
  <c r="B28668" i="1"/>
  <c r="A28669" i="1"/>
  <c r="B28669" i="1"/>
  <c r="A28670" i="1"/>
  <c r="B28670" i="1"/>
  <c r="A28671" i="1"/>
  <c r="B28671" i="1"/>
  <c r="A28672" i="1"/>
  <c r="B28672" i="1"/>
  <c r="A28673" i="1"/>
  <c r="B28673" i="1"/>
  <c r="A28674" i="1"/>
  <c r="B28674" i="1"/>
  <c r="A28675" i="1"/>
  <c r="B28675" i="1"/>
  <c r="A28676" i="1"/>
  <c r="B28676" i="1"/>
  <c r="A28677" i="1"/>
  <c r="B28677" i="1"/>
  <c r="A28678" i="1"/>
  <c r="B28678" i="1"/>
  <c r="A28679" i="1"/>
  <c r="B28679" i="1"/>
  <c r="A28680" i="1"/>
  <c r="B28680" i="1"/>
  <c r="A28681" i="1"/>
  <c r="B28681" i="1"/>
  <c r="A28682" i="1"/>
  <c r="B28682" i="1"/>
  <c r="A28683" i="1"/>
  <c r="B28683" i="1"/>
  <c r="A28684" i="1"/>
  <c r="B28684" i="1"/>
  <c r="A28685" i="1"/>
  <c r="B28685" i="1"/>
  <c r="A28686" i="1"/>
  <c r="B28686" i="1"/>
  <c r="A28687" i="1"/>
  <c r="B28687" i="1"/>
  <c r="A28688" i="1"/>
  <c r="B28688" i="1"/>
  <c r="A28689" i="1"/>
  <c r="B28689" i="1"/>
  <c r="A28690" i="1"/>
  <c r="B28690" i="1"/>
  <c r="A28691" i="1"/>
  <c r="B28691" i="1"/>
  <c r="A28692" i="1"/>
  <c r="B28692" i="1"/>
  <c r="A28693" i="1"/>
  <c r="B28693" i="1"/>
  <c r="A28694" i="1"/>
  <c r="B28694" i="1"/>
  <c r="A28695" i="1"/>
  <c r="B28695" i="1"/>
  <c r="A28696" i="1"/>
  <c r="B28696" i="1"/>
  <c r="A28697" i="1"/>
  <c r="B28697" i="1"/>
  <c r="A28698" i="1"/>
  <c r="B28698" i="1"/>
  <c r="A28699" i="1"/>
  <c r="B28699" i="1"/>
  <c r="A28700" i="1"/>
  <c r="B28700" i="1"/>
  <c r="A28701" i="1"/>
  <c r="B28701" i="1"/>
  <c r="A28702" i="1"/>
  <c r="B28702" i="1"/>
  <c r="A28703" i="1"/>
  <c r="B28703" i="1"/>
  <c r="A28704" i="1"/>
  <c r="B28704" i="1"/>
  <c r="A28705" i="1"/>
  <c r="B28705" i="1"/>
  <c r="A28706" i="1"/>
  <c r="B28706" i="1"/>
  <c r="A28707" i="1"/>
  <c r="B28707" i="1"/>
  <c r="A28708" i="1"/>
  <c r="B28708" i="1"/>
  <c r="A28709" i="1"/>
  <c r="B28709" i="1"/>
  <c r="A28710" i="1"/>
  <c r="B28710" i="1"/>
  <c r="A28711" i="1"/>
  <c r="B28711" i="1"/>
  <c r="A28712" i="1"/>
  <c r="B28712" i="1"/>
  <c r="A28713" i="1"/>
  <c r="B28713" i="1"/>
  <c r="A28714" i="1"/>
  <c r="B28714" i="1"/>
  <c r="A28715" i="1"/>
  <c r="B28715" i="1"/>
  <c r="A28716" i="1"/>
  <c r="B28716" i="1"/>
  <c r="A28717" i="1"/>
  <c r="B28717" i="1"/>
  <c r="A28718" i="1"/>
  <c r="B28718" i="1"/>
  <c r="A28719" i="1"/>
  <c r="B28719" i="1"/>
  <c r="A28720" i="1"/>
  <c r="B28720" i="1"/>
  <c r="A28721" i="1"/>
  <c r="B28721" i="1"/>
  <c r="A28722" i="1"/>
  <c r="B28722" i="1"/>
  <c r="A28723" i="1"/>
  <c r="B28723" i="1"/>
  <c r="A28724" i="1"/>
  <c r="B28724" i="1"/>
  <c r="A28725" i="1"/>
  <c r="B28725" i="1"/>
  <c r="A28726" i="1"/>
  <c r="B28726" i="1"/>
  <c r="A28727" i="1"/>
  <c r="B28727" i="1"/>
  <c r="A28728" i="1"/>
  <c r="B28728" i="1"/>
  <c r="A28729" i="1"/>
  <c r="B28729" i="1"/>
  <c r="A28730" i="1"/>
  <c r="B28730" i="1"/>
  <c r="A28731" i="1"/>
  <c r="B28731" i="1"/>
  <c r="A28732" i="1"/>
  <c r="B28732" i="1"/>
  <c r="A28733" i="1"/>
  <c r="B28733" i="1"/>
  <c r="A28734" i="1"/>
  <c r="B28734" i="1"/>
  <c r="A28735" i="1"/>
  <c r="B28735" i="1"/>
  <c r="A28736" i="1"/>
  <c r="B28736" i="1"/>
  <c r="A28737" i="1"/>
  <c r="B28737" i="1"/>
  <c r="A28738" i="1"/>
  <c r="B28738" i="1"/>
  <c r="A28739" i="1"/>
  <c r="B28739" i="1"/>
  <c r="A28740" i="1"/>
  <c r="B28740" i="1"/>
  <c r="A28741" i="1"/>
  <c r="B28741" i="1"/>
  <c r="A28742" i="1"/>
  <c r="B28742" i="1"/>
  <c r="A28743" i="1"/>
  <c r="B28743" i="1"/>
  <c r="A28744" i="1"/>
  <c r="B28744" i="1"/>
  <c r="A28745" i="1"/>
  <c r="B28745" i="1"/>
  <c r="A28746" i="1"/>
  <c r="B28746" i="1"/>
  <c r="A28747" i="1"/>
  <c r="B28747" i="1"/>
  <c r="A28748" i="1"/>
  <c r="B28748" i="1"/>
  <c r="A28749" i="1"/>
  <c r="B28749" i="1"/>
  <c r="A28750" i="1"/>
  <c r="B28750" i="1"/>
  <c r="A28751" i="1"/>
  <c r="B28751" i="1"/>
  <c r="A28752" i="1"/>
  <c r="B28752" i="1"/>
  <c r="A28753" i="1"/>
  <c r="B28753" i="1"/>
  <c r="A28754" i="1"/>
  <c r="B28754" i="1"/>
  <c r="A28755" i="1"/>
  <c r="B28755" i="1"/>
  <c r="A28756" i="1"/>
  <c r="B28756" i="1"/>
  <c r="A28757" i="1"/>
  <c r="B28757" i="1"/>
  <c r="A28758" i="1"/>
  <c r="B28758" i="1"/>
  <c r="A28759" i="1"/>
  <c r="B28759" i="1"/>
  <c r="A28760" i="1"/>
  <c r="B28760" i="1"/>
  <c r="A28761" i="1"/>
  <c r="B28761" i="1"/>
  <c r="A28762" i="1"/>
  <c r="B28762" i="1"/>
  <c r="A28763" i="1"/>
  <c r="B28763" i="1"/>
  <c r="A28764" i="1"/>
  <c r="B28764" i="1"/>
  <c r="A28765" i="1"/>
  <c r="B28765" i="1"/>
  <c r="A28766" i="1"/>
  <c r="B28766" i="1"/>
  <c r="A28767" i="1"/>
  <c r="B28767" i="1"/>
  <c r="A28768" i="1"/>
  <c r="B28768" i="1"/>
  <c r="A28769" i="1"/>
  <c r="B28769" i="1"/>
  <c r="A28770" i="1"/>
  <c r="B28770" i="1"/>
  <c r="A28771" i="1"/>
  <c r="B28771" i="1"/>
  <c r="A28772" i="1"/>
  <c r="B28772" i="1"/>
  <c r="A28773" i="1"/>
  <c r="B28773" i="1"/>
  <c r="A28774" i="1"/>
  <c r="B28774" i="1"/>
  <c r="A28775" i="1"/>
  <c r="B28775" i="1"/>
  <c r="A28776" i="1"/>
  <c r="B28776" i="1"/>
  <c r="A28777" i="1"/>
  <c r="B28777" i="1"/>
  <c r="A28778" i="1"/>
  <c r="B28778" i="1"/>
  <c r="A28779" i="1"/>
  <c r="B28779" i="1"/>
  <c r="A28780" i="1"/>
  <c r="B28780" i="1"/>
  <c r="A28781" i="1"/>
  <c r="B28781" i="1"/>
  <c r="A28782" i="1"/>
  <c r="B28782" i="1"/>
  <c r="A28783" i="1"/>
  <c r="B28783" i="1"/>
  <c r="A28784" i="1"/>
  <c r="B28784" i="1"/>
  <c r="A28785" i="1"/>
  <c r="B28785" i="1"/>
  <c r="A28786" i="1"/>
  <c r="B28786" i="1"/>
  <c r="A28787" i="1"/>
  <c r="B28787" i="1"/>
  <c r="A28788" i="1"/>
  <c r="B28788" i="1"/>
  <c r="A28789" i="1"/>
  <c r="B28789" i="1"/>
  <c r="A28790" i="1"/>
  <c r="B28790" i="1"/>
  <c r="A28791" i="1"/>
  <c r="B28791" i="1"/>
  <c r="A28792" i="1"/>
  <c r="B28792" i="1"/>
  <c r="A28793" i="1"/>
  <c r="B28793" i="1"/>
  <c r="A28794" i="1"/>
  <c r="B28794" i="1"/>
  <c r="A28795" i="1"/>
  <c r="B28795" i="1"/>
  <c r="A28796" i="1"/>
  <c r="B28796" i="1"/>
  <c r="A28797" i="1"/>
  <c r="B28797" i="1"/>
  <c r="A28798" i="1"/>
  <c r="B28798" i="1"/>
  <c r="A28799" i="1"/>
  <c r="B28799" i="1"/>
  <c r="A28800" i="1"/>
  <c r="B28800" i="1"/>
  <c r="A28801" i="1"/>
  <c r="B28801" i="1"/>
  <c r="A28802" i="1"/>
  <c r="B28802" i="1"/>
  <c r="A28803" i="1"/>
  <c r="B28803" i="1"/>
  <c r="A28804" i="1"/>
  <c r="B28804" i="1"/>
  <c r="A28805" i="1"/>
  <c r="B28805" i="1"/>
  <c r="A28806" i="1"/>
  <c r="B28806" i="1"/>
  <c r="A28807" i="1"/>
  <c r="B28807" i="1"/>
  <c r="A28808" i="1"/>
  <c r="B28808" i="1"/>
  <c r="A28809" i="1"/>
  <c r="B28809" i="1"/>
  <c r="A28810" i="1"/>
  <c r="B28810" i="1"/>
  <c r="A28811" i="1"/>
  <c r="B28811" i="1"/>
  <c r="A28812" i="1"/>
  <c r="B28812" i="1"/>
  <c r="A28813" i="1"/>
  <c r="B28813" i="1"/>
  <c r="A28814" i="1"/>
  <c r="B28814" i="1"/>
  <c r="A28815" i="1"/>
  <c r="B28815" i="1"/>
  <c r="A28816" i="1"/>
  <c r="B28816" i="1"/>
  <c r="A28817" i="1"/>
  <c r="B28817" i="1"/>
  <c r="A28818" i="1"/>
  <c r="B28818" i="1"/>
  <c r="A28819" i="1"/>
  <c r="B28819" i="1"/>
  <c r="A28820" i="1"/>
  <c r="B28820" i="1"/>
  <c r="A28821" i="1"/>
  <c r="B28821" i="1"/>
  <c r="A28822" i="1"/>
  <c r="B28822" i="1"/>
  <c r="A28823" i="1"/>
  <c r="B28823" i="1"/>
  <c r="A28824" i="1"/>
  <c r="B28824" i="1"/>
  <c r="A28825" i="1"/>
  <c r="B28825" i="1"/>
  <c r="A28826" i="1"/>
  <c r="B28826" i="1"/>
  <c r="A28827" i="1"/>
  <c r="B28827" i="1"/>
  <c r="A28828" i="1"/>
  <c r="B28828" i="1"/>
  <c r="A28829" i="1"/>
  <c r="B28829" i="1"/>
  <c r="A28830" i="1"/>
  <c r="B28830" i="1"/>
  <c r="A28831" i="1"/>
  <c r="B28831" i="1"/>
  <c r="A28832" i="1"/>
  <c r="B28832" i="1"/>
  <c r="A28833" i="1"/>
  <c r="B28833" i="1"/>
  <c r="A28834" i="1"/>
  <c r="B28834" i="1"/>
  <c r="A28835" i="1"/>
  <c r="B28835" i="1"/>
  <c r="A28836" i="1"/>
  <c r="B28836" i="1"/>
  <c r="A28837" i="1"/>
  <c r="B28837" i="1"/>
  <c r="A28838" i="1"/>
  <c r="B28838" i="1"/>
  <c r="A28839" i="1"/>
  <c r="B28839" i="1"/>
  <c r="A28840" i="1"/>
  <c r="B28840" i="1"/>
  <c r="A28841" i="1"/>
  <c r="B28841" i="1"/>
  <c r="A28842" i="1"/>
  <c r="B28842" i="1"/>
  <c r="A28843" i="1"/>
  <c r="B28843" i="1"/>
  <c r="A28844" i="1"/>
  <c r="B28844" i="1"/>
  <c r="A28845" i="1"/>
  <c r="B28845" i="1"/>
  <c r="A28846" i="1"/>
  <c r="B28846" i="1"/>
  <c r="A28847" i="1"/>
  <c r="B28847" i="1"/>
  <c r="A28848" i="1"/>
  <c r="B28848" i="1"/>
  <c r="A28849" i="1"/>
  <c r="B28849" i="1"/>
  <c r="A28850" i="1"/>
  <c r="B28850" i="1"/>
  <c r="A28851" i="1"/>
  <c r="B28851" i="1"/>
  <c r="A28852" i="1"/>
  <c r="B28852" i="1"/>
  <c r="A28853" i="1"/>
  <c r="B28853" i="1"/>
  <c r="A28854" i="1"/>
  <c r="B28854" i="1"/>
  <c r="A28855" i="1"/>
  <c r="B28855" i="1"/>
  <c r="A28856" i="1"/>
  <c r="B28856" i="1"/>
  <c r="A28857" i="1"/>
  <c r="B28857" i="1"/>
  <c r="A28858" i="1"/>
  <c r="B28858" i="1"/>
  <c r="A28859" i="1"/>
  <c r="B28859" i="1"/>
  <c r="A28860" i="1"/>
  <c r="B28860" i="1"/>
  <c r="A28861" i="1"/>
  <c r="B28861" i="1"/>
  <c r="A28862" i="1"/>
  <c r="B28862" i="1"/>
  <c r="A28863" i="1"/>
  <c r="B28863" i="1"/>
  <c r="A28864" i="1"/>
  <c r="B28864" i="1"/>
  <c r="A28865" i="1"/>
  <c r="B28865" i="1"/>
  <c r="A28866" i="1"/>
  <c r="B28866" i="1"/>
  <c r="A28867" i="1"/>
  <c r="B28867" i="1"/>
  <c r="A28868" i="1"/>
  <c r="B28868" i="1"/>
  <c r="A28869" i="1"/>
  <c r="B28869" i="1"/>
  <c r="A28870" i="1"/>
  <c r="B28870" i="1"/>
  <c r="A28871" i="1"/>
  <c r="B28871" i="1"/>
  <c r="A28872" i="1"/>
  <c r="B28872" i="1"/>
  <c r="A28873" i="1"/>
  <c r="B28873" i="1"/>
  <c r="A28874" i="1"/>
  <c r="B28874" i="1"/>
  <c r="A28875" i="1"/>
  <c r="B28875" i="1"/>
  <c r="A28876" i="1"/>
  <c r="B28876" i="1"/>
  <c r="A28877" i="1"/>
  <c r="B28877" i="1"/>
  <c r="A28878" i="1"/>
  <c r="B28878" i="1"/>
  <c r="A28879" i="1"/>
  <c r="B28879" i="1"/>
  <c r="A28880" i="1"/>
  <c r="B28880" i="1"/>
  <c r="A28881" i="1"/>
  <c r="B28881" i="1"/>
  <c r="A28882" i="1"/>
  <c r="B28882" i="1"/>
  <c r="A28883" i="1"/>
  <c r="B28883" i="1"/>
  <c r="A28884" i="1"/>
  <c r="B28884" i="1"/>
  <c r="A28885" i="1"/>
  <c r="B28885" i="1"/>
  <c r="A28886" i="1"/>
  <c r="B28886" i="1"/>
  <c r="A28887" i="1"/>
  <c r="B28887" i="1"/>
  <c r="A28888" i="1"/>
  <c r="B28888" i="1"/>
  <c r="A28889" i="1"/>
  <c r="B28889" i="1"/>
  <c r="A28890" i="1"/>
  <c r="B28890" i="1"/>
  <c r="A28891" i="1"/>
  <c r="B28891" i="1"/>
  <c r="A28892" i="1"/>
  <c r="B28892" i="1"/>
  <c r="A28893" i="1"/>
  <c r="B28893" i="1"/>
  <c r="A28894" i="1"/>
  <c r="B28894" i="1"/>
  <c r="A28895" i="1"/>
  <c r="B28895" i="1"/>
  <c r="A28896" i="1"/>
  <c r="B28896" i="1"/>
  <c r="A28897" i="1"/>
  <c r="B28897" i="1"/>
  <c r="A28898" i="1"/>
  <c r="B28898" i="1"/>
  <c r="A28899" i="1"/>
  <c r="B28899" i="1"/>
  <c r="A28900" i="1"/>
  <c r="B28900" i="1"/>
  <c r="A28901" i="1"/>
  <c r="B28901" i="1"/>
  <c r="A28902" i="1"/>
  <c r="B28902" i="1"/>
  <c r="A28903" i="1"/>
  <c r="B28903" i="1"/>
  <c r="A28904" i="1"/>
  <c r="B28904" i="1"/>
  <c r="A28905" i="1"/>
  <c r="B28905" i="1"/>
  <c r="A28906" i="1"/>
  <c r="B28906" i="1"/>
  <c r="A28907" i="1"/>
  <c r="B28907" i="1"/>
  <c r="A28908" i="1"/>
  <c r="B28908" i="1"/>
  <c r="A28909" i="1"/>
  <c r="B28909" i="1"/>
  <c r="A28910" i="1"/>
  <c r="B28910" i="1"/>
  <c r="A28911" i="1"/>
  <c r="B28911" i="1"/>
  <c r="A28912" i="1"/>
  <c r="B28912" i="1"/>
  <c r="A28913" i="1"/>
  <c r="B28913" i="1"/>
  <c r="A28914" i="1"/>
  <c r="B28914" i="1"/>
  <c r="A28915" i="1"/>
  <c r="B28915" i="1"/>
  <c r="A28916" i="1"/>
  <c r="B28916" i="1"/>
  <c r="A28917" i="1"/>
  <c r="B28917" i="1"/>
  <c r="A28918" i="1"/>
  <c r="B28918" i="1"/>
  <c r="A28919" i="1"/>
  <c r="B28919" i="1"/>
  <c r="A28920" i="1"/>
  <c r="B28920" i="1"/>
  <c r="A28921" i="1"/>
  <c r="B28921" i="1"/>
  <c r="A28922" i="1"/>
  <c r="B28922" i="1"/>
  <c r="A28923" i="1"/>
  <c r="B28923" i="1"/>
  <c r="A28924" i="1"/>
  <c r="B28924" i="1"/>
  <c r="A28925" i="1"/>
  <c r="B28925" i="1"/>
  <c r="A28926" i="1"/>
  <c r="B28926" i="1"/>
  <c r="A28927" i="1"/>
  <c r="B28927" i="1"/>
  <c r="A28928" i="1"/>
  <c r="B28928" i="1"/>
  <c r="A28929" i="1"/>
  <c r="B28929" i="1"/>
  <c r="A28930" i="1"/>
  <c r="B28930" i="1"/>
  <c r="A28931" i="1"/>
  <c r="B28931" i="1"/>
  <c r="A28932" i="1"/>
  <c r="B28932" i="1"/>
  <c r="A28933" i="1"/>
  <c r="B28933" i="1"/>
  <c r="A28934" i="1"/>
  <c r="B28934" i="1"/>
  <c r="A28935" i="1"/>
  <c r="B28935" i="1"/>
  <c r="A28936" i="1"/>
  <c r="B28936" i="1"/>
  <c r="A28937" i="1"/>
  <c r="B28937" i="1"/>
  <c r="A28938" i="1"/>
  <c r="B28938" i="1"/>
  <c r="A28939" i="1"/>
  <c r="B28939" i="1"/>
  <c r="A28940" i="1"/>
  <c r="B28940" i="1"/>
  <c r="A28941" i="1"/>
  <c r="B28941" i="1"/>
  <c r="A28942" i="1"/>
  <c r="B28942" i="1"/>
  <c r="A28943" i="1"/>
  <c r="B28943" i="1"/>
  <c r="A28944" i="1"/>
  <c r="B28944" i="1"/>
  <c r="A28945" i="1"/>
  <c r="B28945" i="1"/>
  <c r="A28946" i="1"/>
  <c r="B28946" i="1"/>
  <c r="A28947" i="1"/>
  <c r="B28947" i="1"/>
  <c r="A28948" i="1"/>
  <c r="B28948" i="1"/>
  <c r="A28949" i="1"/>
  <c r="B28949" i="1"/>
  <c r="A28950" i="1"/>
  <c r="B28950" i="1"/>
  <c r="A28951" i="1"/>
  <c r="B28951" i="1"/>
  <c r="A28952" i="1"/>
  <c r="B28952" i="1"/>
  <c r="A28953" i="1"/>
  <c r="B28953" i="1"/>
  <c r="A28954" i="1"/>
  <c r="B28954" i="1"/>
  <c r="A28955" i="1"/>
  <c r="B28955" i="1"/>
  <c r="A28956" i="1"/>
  <c r="B28956" i="1"/>
  <c r="A28957" i="1"/>
  <c r="B28957" i="1"/>
  <c r="A28958" i="1"/>
  <c r="B28958" i="1"/>
  <c r="A28959" i="1"/>
  <c r="B28959" i="1"/>
  <c r="A28960" i="1"/>
  <c r="B28960" i="1"/>
  <c r="A28961" i="1"/>
  <c r="B28961" i="1"/>
  <c r="A28962" i="1"/>
  <c r="B28962" i="1"/>
  <c r="A28963" i="1"/>
  <c r="B28963" i="1"/>
  <c r="A28964" i="1"/>
  <c r="B28964" i="1"/>
  <c r="A28965" i="1"/>
  <c r="B28965" i="1"/>
  <c r="A28966" i="1"/>
  <c r="B28966" i="1"/>
  <c r="A28967" i="1"/>
  <c r="B28967" i="1"/>
  <c r="A28968" i="1"/>
  <c r="B28968" i="1"/>
  <c r="A28969" i="1"/>
  <c r="B28969" i="1"/>
  <c r="A28970" i="1"/>
  <c r="B28970" i="1"/>
  <c r="A28971" i="1"/>
  <c r="B28971" i="1"/>
  <c r="A28972" i="1"/>
  <c r="B28972" i="1"/>
  <c r="A28973" i="1"/>
  <c r="B28973" i="1"/>
  <c r="A28974" i="1"/>
  <c r="B28974" i="1"/>
  <c r="A28975" i="1"/>
  <c r="B28975" i="1"/>
  <c r="A28976" i="1"/>
  <c r="B28976" i="1"/>
  <c r="A28977" i="1"/>
  <c r="B28977" i="1"/>
  <c r="A28978" i="1"/>
  <c r="B28978" i="1"/>
  <c r="A28979" i="1"/>
  <c r="B28979" i="1"/>
  <c r="A28980" i="1"/>
  <c r="B28980" i="1"/>
  <c r="A28981" i="1"/>
  <c r="B28981" i="1"/>
  <c r="A28982" i="1"/>
  <c r="B28982" i="1"/>
  <c r="A28983" i="1"/>
  <c r="B28983" i="1"/>
  <c r="A28984" i="1"/>
  <c r="B28984" i="1"/>
  <c r="A28985" i="1"/>
  <c r="B28985" i="1"/>
  <c r="A28986" i="1"/>
  <c r="B28986" i="1"/>
  <c r="A28987" i="1"/>
  <c r="B28987" i="1"/>
  <c r="A28988" i="1"/>
  <c r="B28988" i="1"/>
  <c r="A28989" i="1"/>
  <c r="B28989" i="1"/>
  <c r="A28990" i="1"/>
  <c r="B28990" i="1"/>
  <c r="A28991" i="1"/>
  <c r="B28991" i="1"/>
  <c r="A28992" i="1"/>
  <c r="B28992" i="1"/>
  <c r="A28993" i="1"/>
  <c r="B28993" i="1"/>
  <c r="A28994" i="1"/>
  <c r="B28994" i="1"/>
  <c r="A28995" i="1"/>
  <c r="B28995" i="1"/>
  <c r="A28996" i="1"/>
  <c r="B28996" i="1"/>
  <c r="A28997" i="1"/>
  <c r="B28997" i="1"/>
  <c r="A28998" i="1"/>
  <c r="B28998" i="1"/>
  <c r="A28999" i="1"/>
  <c r="B28999" i="1"/>
  <c r="A29000" i="1"/>
  <c r="B29000" i="1"/>
  <c r="A29001" i="1"/>
  <c r="B29001" i="1"/>
  <c r="A29002" i="1"/>
  <c r="B29002" i="1"/>
  <c r="A29003" i="1"/>
  <c r="B29003" i="1"/>
  <c r="A29004" i="1"/>
  <c r="B29004" i="1"/>
  <c r="A29005" i="1"/>
  <c r="B29005" i="1"/>
  <c r="A29006" i="1"/>
  <c r="B29006" i="1"/>
  <c r="A29007" i="1"/>
  <c r="B29007" i="1"/>
  <c r="A29008" i="1"/>
  <c r="B29008" i="1"/>
  <c r="A29009" i="1"/>
  <c r="B29009" i="1"/>
  <c r="A29010" i="1"/>
  <c r="B29010" i="1"/>
  <c r="A29011" i="1"/>
  <c r="B29011" i="1"/>
  <c r="A29012" i="1"/>
  <c r="B29012" i="1"/>
  <c r="A29013" i="1"/>
  <c r="B29013" i="1"/>
  <c r="A29014" i="1"/>
  <c r="B29014" i="1"/>
  <c r="A29015" i="1"/>
  <c r="B29015" i="1"/>
  <c r="A29016" i="1"/>
  <c r="B29016" i="1"/>
  <c r="A29017" i="1"/>
  <c r="B29017" i="1"/>
  <c r="A29018" i="1"/>
  <c r="B29018" i="1"/>
  <c r="A29019" i="1"/>
  <c r="B29019" i="1"/>
  <c r="A29020" i="1"/>
  <c r="B29020" i="1"/>
  <c r="A29021" i="1"/>
  <c r="B29021" i="1"/>
  <c r="A29022" i="1"/>
  <c r="B29022" i="1"/>
  <c r="A29023" i="1"/>
  <c r="B29023" i="1"/>
  <c r="A29024" i="1"/>
  <c r="B29024" i="1"/>
  <c r="A29025" i="1"/>
  <c r="B29025" i="1"/>
  <c r="A29026" i="1"/>
  <c r="B29026" i="1"/>
  <c r="A29027" i="1"/>
  <c r="B29027" i="1"/>
  <c r="A29028" i="1"/>
  <c r="B29028" i="1"/>
  <c r="A29029" i="1"/>
  <c r="B29029" i="1"/>
  <c r="A29030" i="1"/>
  <c r="B29030" i="1"/>
  <c r="A29031" i="1"/>
  <c r="B29031" i="1"/>
  <c r="A29032" i="1"/>
  <c r="B29032" i="1"/>
  <c r="A29033" i="1"/>
  <c r="B29033" i="1"/>
  <c r="A29034" i="1"/>
  <c r="B29034" i="1"/>
  <c r="A29035" i="1"/>
  <c r="B29035" i="1"/>
  <c r="A29036" i="1"/>
  <c r="B29036" i="1"/>
  <c r="A29037" i="1"/>
  <c r="B29037" i="1"/>
  <c r="A29038" i="1"/>
  <c r="B29038" i="1"/>
  <c r="A29039" i="1"/>
  <c r="B29039" i="1"/>
  <c r="A29040" i="1"/>
  <c r="B29040" i="1"/>
  <c r="A29041" i="1"/>
  <c r="B29041" i="1"/>
  <c r="A29042" i="1"/>
  <c r="B29042" i="1"/>
  <c r="A29043" i="1"/>
  <c r="B29043" i="1"/>
  <c r="A29044" i="1"/>
  <c r="B29044" i="1"/>
  <c r="A29045" i="1"/>
  <c r="B29045" i="1"/>
  <c r="A29046" i="1"/>
  <c r="B29046" i="1"/>
  <c r="A29047" i="1"/>
  <c r="B29047" i="1"/>
  <c r="A29048" i="1"/>
  <c r="B29048" i="1"/>
  <c r="A29049" i="1"/>
  <c r="B29049" i="1"/>
  <c r="A29050" i="1"/>
  <c r="B29050" i="1"/>
  <c r="A29051" i="1"/>
  <c r="B29051" i="1"/>
  <c r="A29052" i="1"/>
  <c r="B29052" i="1"/>
  <c r="A29053" i="1"/>
  <c r="B29053" i="1"/>
  <c r="A29054" i="1"/>
  <c r="B29054" i="1"/>
  <c r="A29055" i="1"/>
  <c r="B29055" i="1"/>
  <c r="A29056" i="1"/>
  <c r="B29056" i="1"/>
  <c r="A29057" i="1"/>
  <c r="B29057" i="1"/>
  <c r="A29058" i="1"/>
  <c r="B29058" i="1"/>
  <c r="A29059" i="1"/>
  <c r="B29059" i="1"/>
  <c r="A29060" i="1"/>
  <c r="B29060" i="1"/>
  <c r="A29061" i="1"/>
  <c r="B29061" i="1"/>
  <c r="A29062" i="1"/>
  <c r="B29062" i="1"/>
  <c r="A29063" i="1"/>
  <c r="B29063" i="1"/>
  <c r="A29064" i="1"/>
  <c r="B29064" i="1"/>
  <c r="A29065" i="1"/>
  <c r="B29065" i="1"/>
  <c r="A29066" i="1"/>
  <c r="B29066" i="1"/>
  <c r="A29067" i="1"/>
  <c r="B29067" i="1"/>
  <c r="A29068" i="1"/>
  <c r="B29068" i="1"/>
  <c r="A29069" i="1"/>
  <c r="B29069" i="1"/>
  <c r="A29070" i="1"/>
  <c r="B29070" i="1"/>
  <c r="A29071" i="1"/>
  <c r="B29071" i="1"/>
  <c r="A29072" i="1"/>
  <c r="B29072" i="1"/>
  <c r="A29073" i="1"/>
  <c r="B29073" i="1"/>
  <c r="A29074" i="1"/>
  <c r="B29074" i="1"/>
  <c r="A29075" i="1"/>
  <c r="B29075" i="1"/>
  <c r="A29076" i="1"/>
  <c r="B29076" i="1"/>
  <c r="A29077" i="1"/>
  <c r="B29077" i="1"/>
  <c r="A29078" i="1"/>
  <c r="B29078" i="1"/>
  <c r="A29079" i="1"/>
  <c r="B29079" i="1"/>
  <c r="A29080" i="1"/>
  <c r="B29080" i="1"/>
  <c r="A29081" i="1"/>
  <c r="B29081" i="1"/>
  <c r="A29082" i="1"/>
  <c r="B29082" i="1"/>
  <c r="A29083" i="1"/>
  <c r="B29083" i="1"/>
  <c r="A29084" i="1"/>
  <c r="B29084" i="1"/>
  <c r="A29085" i="1"/>
  <c r="B29085" i="1"/>
  <c r="A29086" i="1"/>
  <c r="B29086" i="1"/>
  <c r="A29087" i="1"/>
  <c r="B29087" i="1"/>
  <c r="A29088" i="1"/>
  <c r="B29088" i="1"/>
  <c r="A29089" i="1"/>
  <c r="B29089" i="1"/>
  <c r="A29090" i="1"/>
  <c r="B29090" i="1"/>
  <c r="A29091" i="1"/>
  <c r="B29091" i="1"/>
  <c r="A29092" i="1"/>
  <c r="B29092" i="1"/>
  <c r="A29093" i="1"/>
  <c r="B29093" i="1"/>
  <c r="A29094" i="1"/>
  <c r="B29094" i="1"/>
  <c r="A29095" i="1"/>
  <c r="B29095" i="1"/>
  <c r="A29096" i="1"/>
  <c r="B29096" i="1"/>
  <c r="A29097" i="1"/>
  <c r="B29097" i="1"/>
  <c r="A29098" i="1"/>
  <c r="B29098" i="1"/>
  <c r="A29099" i="1"/>
  <c r="B29099" i="1"/>
  <c r="A29100" i="1"/>
  <c r="B29100" i="1"/>
  <c r="A29101" i="1"/>
  <c r="B29101" i="1"/>
  <c r="A29102" i="1"/>
  <c r="B29102" i="1"/>
  <c r="A29103" i="1"/>
  <c r="B29103" i="1"/>
  <c r="A29104" i="1"/>
  <c r="B29104" i="1"/>
  <c r="A29105" i="1"/>
  <c r="B29105" i="1"/>
  <c r="A29106" i="1"/>
  <c r="B29106" i="1"/>
  <c r="A29107" i="1"/>
  <c r="B29107" i="1"/>
  <c r="A29108" i="1"/>
  <c r="B29108" i="1"/>
  <c r="A29109" i="1"/>
  <c r="B29109" i="1"/>
  <c r="A29110" i="1"/>
  <c r="B29110" i="1"/>
  <c r="A29111" i="1"/>
  <c r="B29111" i="1"/>
  <c r="A29112" i="1"/>
  <c r="B29112" i="1"/>
  <c r="A29113" i="1"/>
  <c r="B29113" i="1"/>
  <c r="A29114" i="1"/>
  <c r="B29114" i="1"/>
  <c r="A29115" i="1"/>
  <c r="B29115" i="1"/>
  <c r="A29116" i="1"/>
  <c r="B29116" i="1"/>
  <c r="A29117" i="1"/>
  <c r="B29117" i="1"/>
  <c r="A29118" i="1"/>
  <c r="B29118" i="1"/>
  <c r="A29119" i="1"/>
  <c r="B29119" i="1"/>
  <c r="A29120" i="1"/>
  <c r="B29120" i="1"/>
  <c r="A29121" i="1"/>
  <c r="B29121" i="1"/>
  <c r="A29122" i="1"/>
  <c r="B29122" i="1"/>
  <c r="A29123" i="1"/>
  <c r="B29123" i="1"/>
  <c r="A29124" i="1"/>
  <c r="B29124" i="1"/>
  <c r="A29125" i="1"/>
  <c r="B29125" i="1"/>
  <c r="A29126" i="1"/>
  <c r="B29126" i="1"/>
  <c r="A29127" i="1"/>
  <c r="B29127" i="1"/>
  <c r="A29128" i="1"/>
  <c r="B29128" i="1"/>
  <c r="A29129" i="1"/>
  <c r="B29129" i="1"/>
  <c r="A29130" i="1"/>
  <c r="B29130" i="1"/>
  <c r="A29131" i="1"/>
  <c r="B29131" i="1"/>
  <c r="A29132" i="1"/>
  <c r="B29132" i="1"/>
  <c r="A29133" i="1"/>
  <c r="B29133" i="1"/>
  <c r="A29134" i="1"/>
  <c r="B29134" i="1"/>
  <c r="A29135" i="1"/>
  <c r="B29135" i="1"/>
  <c r="A29136" i="1"/>
  <c r="B29136" i="1"/>
  <c r="A29137" i="1"/>
  <c r="B29137" i="1"/>
  <c r="A29138" i="1"/>
  <c r="B29138" i="1"/>
  <c r="A29139" i="1"/>
  <c r="B29139" i="1"/>
  <c r="A29140" i="1"/>
  <c r="B29140" i="1"/>
  <c r="A29141" i="1"/>
  <c r="B29141" i="1"/>
  <c r="A29142" i="1"/>
  <c r="B29142" i="1"/>
  <c r="A29143" i="1"/>
  <c r="B29143" i="1"/>
  <c r="A29144" i="1"/>
  <c r="B29144" i="1"/>
  <c r="A29145" i="1"/>
  <c r="B29145" i="1"/>
  <c r="A29146" i="1"/>
  <c r="B29146" i="1"/>
  <c r="A29147" i="1"/>
  <c r="B29147" i="1"/>
  <c r="A29148" i="1"/>
  <c r="B29148" i="1"/>
  <c r="A29149" i="1"/>
  <c r="B29149" i="1"/>
  <c r="A29150" i="1"/>
  <c r="B29150" i="1"/>
  <c r="A29151" i="1"/>
  <c r="B29151" i="1"/>
  <c r="A29152" i="1"/>
  <c r="B29152" i="1"/>
  <c r="A29153" i="1"/>
  <c r="B29153" i="1"/>
  <c r="A29154" i="1"/>
  <c r="B29154" i="1"/>
  <c r="A29155" i="1"/>
  <c r="B29155" i="1"/>
  <c r="A29156" i="1"/>
  <c r="B29156" i="1"/>
  <c r="A29157" i="1"/>
  <c r="B29157" i="1"/>
  <c r="A29158" i="1"/>
  <c r="B29158" i="1"/>
  <c r="A29159" i="1"/>
  <c r="B29159" i="1"/>
  <c r="A29160" i="1"/>
  <c r="B29160" i="1"/>
  <c r="A29161" i="1"/>
  <c r="B29161" i="1"/>
  <c r="A29162" i="1"/>
  <c r="B29162" i="1"/>
  <c r="A29163" i="1"/>
  <c r="B29163" i="1"/>
  <c r="A29164" i="1"/>
  <c r="B29164" i="1"/>
  <c r="A29165" i="1"/>
  <c r="B29165" i="1"/>
  <c r="A29166" i="1"/>
  <c r="B29166" i="1"/>
  <c r="A29167" i="1"/>
  <c r="B29167" i="1"/>
  <c r="A29168" i="1"/>
  <c r="B29168" i="1"/>
  <c r="A29169" i="1"/>
  <c r="B29169" i="1"/>
  <c r="A29170" i="1"/>
  <c r="B29170" i="1"/>
  <c r="A29171" i="1"/>
  <c r="B29171" i="1"/>
  <c r="A29172" i="1"/>
  <c r="B29172" i="1"/>
  <c r="A29173" i="1"/>
  <c r="B29173" i="1"/>
  <c r="A29174" i="1"/>
  <c r="B29174" i="1"/>
  <c r="A29175" i="1"/>
  <c r="B29175" i="1"/>
  <c r="A29176" i="1"/>
  <c r="B29176" i="1"/>
  <c r="A29177" i="1"/>
  <c r="B29177" i="1"/>
  <c r="A29178" i="1"/>
  <c r="B29178" i="1"/>
  <c r="A29179" i="1"/>
  <c r="B29179" i="1"/>
  <c r="A29180" i="1"/>
  <c r="B29180" i="1"/>
  <c r="A29181" i="1"/>
  <c r="B29181" i="1"/>
  <c r="A29182" i="1"/>
  <c r="B29182" i="1"/>
  <c r="A29183" i="1"/>
  <c r="B29183" i="1"/>
  <c r="A29184" i="1"/>
  <c r="B29184" i="1"/>
  <c r="A29185" i="1"/>
  <c r="B29185" i="1"/>
  <c r="A29186" i="1"/>
  <c r="B29186" i="1"/>
  <c r="A29187" i="1"/>
  <c r="B29187" i="1"/>
  <c r="A29188" i="1"/>
  <c r="B29188" i="1"/>
  <c r="A29189" i="1"/>
  <c r="B29189" i="1"/>
  <c r="A29190" i="1"/>
  <c r="B29190" i="1"/>
  <c r="A29191" i="1"/>
  <c r="B29191" i="1"/>
  <c r="A29192" i="1"/>
  <c r="B29192" i="1"/>
  <c r="A29193" i="1"/>
  <c r="B29193" i="1"/>
  <c r="A29194" i="1"/>
  <c r="B29194" i="1"/>
  <c r="A29195" i="1"/>
  <c r="B29195" i="1"/>
  <c r="A29196" i="1"/>
  <c r="B29196" i="1"/>
  <c r="A29197" i="1"/>
  <c r="B29197" i="1"/>
  <c r="A29198" i="1"/>
  <c r="B29198" i="1"/>
  <c r="A29199" i="1"/>
  <c r="B29199" i="1"/>
  <c r="A29200" i="1"/>
  <c r="B29200" i="1"/>
  <c r="A29201" i="1"/>
  <c r="B29201" i="1"/>
  <c r="A29202" i="1"/>
  <c r="B29202" i="1"/>
  <c r="A29203" i="1"/>
  <c r="B29203" i="1"/>
  <c r="A29204" i="1"/>
  <c r="B29204" i="1"/>
  <c r="A29205" i="1"/>
  <c r="B29205" i="1"/>
  <c r="A29206" i="1"/>
  <c r="B29206" i="1"/>
  <c r="A29207" i="1"/>
  <c r="B29207" i="1"/>
  <c r="A29208" i="1"/>
  <c r="B29208" i="1"/>
  <c r="A29209" i="1"/>
  <c r="B29209" i="1"/>
  <c r="A29210" i="1"/>
  <c r="B29210" i="1"/>
  <c r="A29211" i="1"/>
  <c r="B29211" i="1"/>
  <c r="A29212" i="1"/>
  <c r="B29212" i="1"/>
  <c r="A29213" i="1"/>
  <c r="B29213" i="1"/>
  <c r="A29214" i="1"/>
  <c r="B29214" i="1"/>
  <c r="A29215" i="1"/>
  <c r="B29215" i="1"/>
  <c r="A29216" i="1"/>
  <c r="B29216" i="1"/>
  <c r="A29217" i="1"/>
  <c r="B29217" i="1"/>
  <c r="A29218" i="1"/>
  <c r="B29218" i="1"/>
  <c r="A29219" i="1"/>
  <c r="B29219" i="1"/>
  <c r="A29220" i="1"/>
  <c r="B29220" i="1"/>
  <c r="A29221" i="1"/>
  <c r="B29221" i="1"/>
  <c r="A29222" i="1"/>
  <c r="B29222" i="1"/>
  <c r="A29223" i="1"/>
  <c r="B29223" i="1"/>
  <c r="A29224" i="1"/>
  <c r="B29224" i="1"/>
  <c r="A29225" i="1"/>
  <c r="B29225" i="1"/>
  <c r="A29226" i="1"/>
  <c r="B29226" i="1"/>
  <c r="A29227" i="1"/>
  <c r="B29227" i="1"/>
  <c r="A29228" i="1"/>
  <c r="B29228" i="1"/>
  <c r="A29229" i="1"/>
  <c r="B29229" i="1"/>
  <c r="A29230" i="1"/>
  <c r="B29230" i="1"/>
  <c r="A29231" i="1"/>
  <c r="B29231" i="1"/>
  <c r="A29232" i="1"/>
  <c r="B29232" i="1"/>
  <c r="A29233" i="1"/>
  <c r="B29233" i="1"/>
  <c r="A29234" i="1"/>
  <c r="B29234" i="1"/>
  <c r="A29235" i="1"/>
  <c r="B29235" i="1"/>
  <c r="A29236" i="1"/>
  <c r="B29236" i="1"/>
  <c r="A29237" i="1"/>
  <c r="B29237" i="1"/>
  <c r="A29238" i="1"/>
  <c r="B29238" i="1"/>
  <c r="A29239" i="1"/>
  <c r="B29239" i="1"/>
  <c r="A29240" i="1"/>
  <c r="B29240" i="1"/>
  <c r="A29241" i="1"/>
  <c r="B29241" i="1"/>
  <c r="A29242" i="1"/>
  <c r="B29242" i="1"/>
  <c r="A29243" i="1"/>
  <c r="B29243" i="1"/>
  <c r="A29244" i="1"/>
  <c r="B29244" i="1"/>
  <c r="A29245" i="1"/>
  <c r="B29245" i="1"/>
  <c r="A29246" i="1"/>
  <c r="B29246" i="1"/>
  <c r="A29247" i="1"/>
  <c r="B29247" i="1"/>
  <c r="A29248" i="1"/>
  <c r="B29248" i="1"/>
  <c r="A29249" i="1"/>
  <c r="B29249" i="1"/>
  <c r="A29250" i="1"/>
  <c r="B29250" i="1"/>
  <c r="A29251" i="1"/>
  <c r="B29251" i="1"/>
  <c r="A29252" i="1"/>
  <c r="B29252" i="1"/>
  <c r="A29253" i="1"/>
  <c r="B29253" i="1"/>
  <c r="A29254" i="1"/>
  <c r="B29254" i="1"/>
  <c r="A29255" i="1"/>
  <c r="B29255" i="1"/>
  <c r="A29256" i="1"/>
  <c r="B29256" i="1"/>
  <c r="A29257" i="1"/>
  <c r="B29257" i="1"/>
  <c r="A29258" i="1"/>
  <c r="B29258" i="1"/>
  <c r="A29259" i="1"/>
  <c r="B29259" i="1"/>
  <c r="A29260" i="1"/>
  <c r="B29260" i="1"/>
  <c r="A29261" i="1"/>
  <c r="B29261" i="1"/>
  <c r="A29262" i="1"/>
  <c r="B29262" i="1"/>
  <c r="A29263" i="1"/>
  <c r="B29263" i="1"/>
  <c r="A29264" i="1"/>
  <c r="B29264" i="1"/>
  <c r="A29265" i="1"/>
  <c r="B29265" i="1"/>
  <c r="A29266" i="1"/>
  <c r="B29266" i="1"/>
  <c r="A29267" i="1"/>
  <c r="B29267" i="1"/>
  <c r="A29268" i="1"/>
  <c r="B29268" i="1"/>
  <c r="A29269" i="1"/>
  <c r="B29269" i="1"/>
  <c r="A29270" i="1"/>
  <c r="B29270" i="1"/>
  <c r="A29271" i="1"/>
  <c r="B29271" i="1"/>
  <c r="A29272" i="1"/>
  <c r="B29272" i="1"/>
  <c r="A29273" i="1"/>
  <c r="B29273" i="1"/>
  <c r="A29274" i="1"/>
  <c r="B29274" i="1"/>
  <c r="A29275" i="1"/>
  <c r="B29275" i="1"/>
  <c r="A29276" i="1"/>
  <c r="B29276" i="1"/>
  <c r="A29277" i="1"/>
  <c r="B29277" i="1"/>
  <c r="A29278" i="1"/>
  <c r="B29278" i="1"/>
  <c r="A29279" i="1"/>
  <c r="B29279" i="1"/>
  <c r="A29280" i="1"/>
  <c r="B29280" i="1"/>
  <c r="A29281" i="1"/>
  <c r="B29281" i="1"/>
  <c r="A29282" i="1"/>
  <c r="B29282" i="1"/>
  <c r="A29283" i="1"/>
  <c r="B29283" i="1"/>
  <c r="A29284" i="1"/>
  <c r="B29284" i="1"/>
  <c r="A29285" i="1"/>
  <c r="B29285" i="1"/>
  <c r="A29286" i="1"/>
  <c r="B29286" i="1"/>
  <c r="A29287" i="1"/>
  <c r="B29287" i="1"/>
  <c r="A29288" i="1"/>
  <c r="B29288" i="1"/>
  <c r="A29289" i="1"/>
  <c r="B29289" i="1"/>
  <c r="A29290" i="1"/>
  <c r="B29290" i="1"/>
  <c r="A29291" i="1"/>
  <c r="B29291" i="1"/>
  <c r="A29292" i="1"/>
  <c r="B29292" i="1"/>
  <c r="A29293" i="1"/>
  <c r="B29293" i="1"/>
  <c r="A29294" i="1"/>
  <c r="B29294" i="1"/>
  <c r="A29295" i="1"/>
  <c r="B29295" i="1"/>
  <c r="A29296" i="1"/>
  <c r="B29296" i="1"/>
  <c r="A29297" i="1"/>
  <c r="B29297" i="1"/>
  <c r="A29298" i="1"/>
  <c r="B29298" i="1"/>
  <c r="A29299" i="1"/>
  <c r="B29299" i="1"/>
  <c r="A29300" i="1"/>
  <c r="B29300" i="1"/>
  <c r="A29301" i="1"/>
  <c r="B29301" i="1"/>
  <c r="A29302" i="1"/>
  <c r="B29302" i="1"/>
  <c r="A29303" i="1"/>
  <c r="B29303" i="1"/>
  <c r="A29304" i="1"/>
  <c r="B29304" i="1"/>
  <c r="A29305" i="1"/>
  <c r="B29305" i="1"/>
  <c r="A29306" i="1"/>
  <c r="B29306" i="1"/>
  <c r="A29307" i="1"/>
  <c r="B29307" i="1"/>
  <c r="A29308" i="1"/>
  <c r="B29308" i="1"/>
  <c r="A29309" i="1"/>
  <c r="B29309" i="1"/>
  <c r="A29310" i="1"/>
  <c r="B29310" i="1"/>
  <c r="A29311" i="1"/>
  <c r="B29311" i="1"/>
  <c r="A29312" i="1"/>
  <c r="B29312" i="1"/>
  <c r="A29313" i="1"/>
  <c r="B29313" i="1"/>
  <c r="A29314" i="1"/>
  <c r="B29314" i="1"/>
  <c r="A29315" i="1"/>
  <c r="B29315" i="1"/>
  <c r="A29316" i="1"/>
  <c r="B29316" i="1"/>
  <c r="A29317" i="1"/>
  <c r="B29317" i="1"/>
  <c r="A29318" i="1"/>
  <c r="B29318" i="1"/>
  <c r="A29319" i="1"/>
  <c r="B29319" i="1"/>
  <c r="A29320" i="1"/>
  <c r="B29320" i="1"/>
  <c r="A29321" i="1"/>
  <c r="B29321" i="1"/>
  <c r="A29322" i="1"/>
  <c r="B29322" i="1"/>
  <c r="A29323" i="1"/>
  <c r="B29323" i="1"/>
  <c r="A29324" i="1"/>
  <c r="B29324" i="1"/>
  <c r="A29325" i="1"/>
  <c r="B29325" i="1"/>
  <c r="A29326" i="1"/>
  <c r="B29326" i="1"/>
  <c r="A29327" i="1"/>
  <c r="B29327" i="1"/>
  <c r="A29328" i="1"/>
  <c r="B29328" i="1"/>
  <c r="A29329" i="1"/>
  <c r="B29329" i="1"/>
  <c r="A29330" i="1"/>
  <c r="B29330" i="1"/>
  <c r="A29331" i="1"/>
  <c r="B29331" i="1"/>
  <c r="A29332" i="1"/>
  <c r="B29332" i="1"/>
  <c r="A29333" i="1"/>
  <c r="B29333" i="1"/>
  <c r="A29334" i="1"/>
  <c r="B29334" i="1"/>
  <c r="A29335" i="1"/>
  <c r="B29335" i="1"/>
  <c r="A29336" i="1"/>
  <c r="B29336" i="1"/>
  <c r="A29337" i="1"/>
  <c r="B29337" i="1"/>
  <c r="A29338" i="1"/>
  <c r="B29338" i="1"/>
  <c r="A29339" i="1"/>
  <c r="B29339" i="1"/>
  <c r="A29340" i="1"/>
  <c r="B29340" i="1"/>
  <c r="A29341" i="1"/>
  <c r="B29341" i="1"/>
  <c r="A29342" i="1"/>
  <c r="B29342" i="1"/>
  <c r="A29343" i="1"/>
  <c r="B29343" i="1"/>
  <c r="A29344" i="1"/>
  <c r="B29344" i="1"/>
  <c r="A29345" i="1"/>
  <c r="B29345" i="1"/>
  <c r="A29346" i="1"/>
  <c r="B29346" i="1"/>
  <c r="A29347" i="1"/>
  <c r="B29347" i="1"/>
  <c r="A29348" i="1"/>
  <c r="B29348" i="1"/>
  <c r="A29349" i="1"/>
  <c r="B29349" i="1"/>
  <c r="A29350" i="1"/>
  <c r="B29350" i="1"/>
  <c r="A29351" i="1"/>
  <c r="B29351" i="1"/>
  <c r="A29352" i="1"/>
  <c r="B29352" i="1"/>
  <c r="A29353" i="1"/>
  <c r="B29353" i="1"/>
  <c r="A29354" i="1"/>
  <c r="B29354" i="1"/>
  <c r="A29355" i="1"/>
  <c r="B29355" i="1"/>
  <c r="A29356" i="1"/>
  <c r="B29356" i="1"/>
  <c r="A29357" i="1"/>
  <c r="B29357" i="1"/>
  <c r="A29358" i="1"/>
  <c r="B29358" i="1"/>
  <c r="A29359" i="1"/>
  <c r="B29359" i="1"/>
  <c r="A29360" i="1"/>
  <c r="B29360" i="1"/>
  <c r="A29361" i="1"/>
  <c r="B29361" i="1"/>
  <c r="A29362" i="1"/>
  <c r="B29362" i="1"/>
  <c r="A29363" i="1"/>
  <c r="B29363" i="1"/>
  <c r="A29364" i="1"/>
  <c r="B29364" i="1"/>
  <c r="A29365" i="1"/>
  <c r="B29365" i="1"/>
  <c r="A29366" i="1"/>
  <c r="B29366" i="1"/>
  <c r="A29367" i="1"/>
  <c r="B29367" i="1"/>
  <c r="A29368" i="1"/>
  <c r="B29368" i="1"/>
  <c r="A29369" i="1"/>
  <c r="B29369" i="1"/>
  <c r="A29370" i="1"/>
  <c r="B29370" i="1"/>
  <c r="A29371" i="1"/>
  <c r="B29371" i="1"/>
  <c r="A29372" i="1"/>
  <c r="B29372" i="1"/>
  <c r="A29373" i="1"/>
  <c r="B29373" i="1"/>
  <c r="A29374" i="1"/>
  <c r="B29374" i="1"/>
  <c r="A29375" i="1"/>
  <c r="B29375" i="1"/>
  <c r="A29376" i="1"/>
  <c r="B29376" i="1"/>
  <c r="A29377" i="1"/>
  <c r="B29377" i="1"/>
  <c r="A29378" i="1"/>
  <c r="B29378" i="1"/>
  <c r="A29379" i="1"/>
  <c r="B29379" i="1"/>
  <c r="A29380" i="1"/>
  <c r="B29380" i="1"/>
  <c r="A29381" i="1"/>
  <c r="B29381" i="1"/>
  <c r="A29382" i="1"/>
  <c r="B29382" i="1"/>
  <c r="A29383" i="1"/>
  <c r="B29383" i="1"/>
  <c r="A29384" i="1"/>
  <c r="B29384" i="1"/>
  <c r="A29385" i="1"/>
  <c r="B29385" i="1"/>
  <c r="A29386" i="1"/>
  <c r="B29386" i="1"/>
  <c r="A29387" i="1"/>
  <c r="B29387" i="1"/>
  <c r="A29388" i="1"/>
  <c r="B29388" i="1"/>
  <c r="A29389" i="1"/>
  <c r="B29389" i="1"/>
  <c r="A29390" i="1"/>
  <c r="B29390" i="1"/>
  <c r="A29391" i="1"/>
  <c r="B29391" i="1"/>
  <c r="A29392" i="1"/>
  <c r="B29392" i="1"/>
  <c r="A29393" i="1"/>
  <c r="B29393" i="1"/>
  <c r="A29394" i="1"/>
  <c r="B29394" i="1"/>
  <c r="A29395" i="1"/>
  <c r="B29395" i="1"/>
  <c r="A29396" i="1"/>
  <c r="B29396" i="1"/>
  <c r="A29397" i="1"/>
  <c r="B29397" i="1"/>
  <c r="A29398" i="1"/>
  <c r="B29398" i="1"/>
  <c r="A29399" i="1"/>
  <c r="B29399" i="1"/>
  <c r="A29400" i="1"/>
  <c r="B29400" i="1"/>
  <c r="A29401" i="1"/>
  <c r="B29401" i="1"/>
  <c r="A29402" i="1"/>
  <c r="B29402" i="1"/>
  <c r="A29403" i="1"/>
  <c r="B29403" i="1"/>
  <c r="A29404" i="1"/>
  <c r="B29404" i="1"/>
  <c r="A29405" i="1"/>
  <c r="B29405" i="1"/>
  <c r="A29406" i="1"/>
  <c r="B29406" i="1"/>
  <c r="A29407" i="1"/>
  <c r="B29407" i="1"/>
  <c r="A29408" i="1"/>
  <c r="B29408" i="1"/>
  <c r="A29409" i="1"/>
  <c r="B29409" i="1"/>
  <c r="A29410" i="1"/>
  <c r="B29410" i="1"/>
  <c r="A29411" i="1"/>
  <c r="B29411" i="1"/>
  <c r="A29412" i="1"/>
  <c r="B29412" i="1"/>
  <c r="A29413" i="1"/>
  <c r="B29413" i="1"/>
  <c r="A29414" i="1"/>
  <c r="B29414" i="1"/>
  <c r="A29415" i="1"/>
  <c r="B29415" i="1"/>
  <c r="A29416" i="1"/>
  <c r="B29416" i="1"/>
  <c r="A29417" i="1"/>
  <c r="B29417" i="1"/>
  <c r="A29418" i="1"/>
  <c r="B29418" i="1"/>
  <c r="A29419" i="1"/>
  <c r="B29419" i="1"/>
  <c r="A29420" i="1"/>
  <c r="B29420" i="1"/>
  <c r="A29421" i="1"/>
  <c r="B29421" i="1"/>
  <c r="A29422" i="1"/>
  <c r="B29422" i="1"/>
  <c r="A29423" i="1"/>
  <c r="B29423" i="1"/>
  <c r="A29424" i="1"/>
  <c r="B29424" i="1"/>
  <c r="A29425" i="1"/>
  <c r="B29425" i="1"/>
  <c r="A29426" i="1"/>
  <c r="B29426" i="1"/>
  <c r="A29427" i="1"/>
  <c r="B29427" i="1"/>
  <c r="A29428" i="1"/>
  <c r="B29428" i="1"/>
  <c r="A29429" i="1"/>
  <c r="B29429" i="1"/>
  <c r="A29430" i="1"/>
  <c r="B29430" i="1"/>
  <c r="A29431" i="1"/>
  <c r="B29431" i="1"/>
  <c r="A29432" i="1"/>
  <c r="B29432" i="1"/>
  <c r="A29433" i="1"/>
  <c r="B29433" i="1"/>
  <c r="A29434" i="1"/>
  <c r="B29434" i="1"/>
  <c r="A29435" i="1"/>
  <c r="B29435" i="1"/>
  <c r="A29436" i="1"/>
  <c r="B29436" i="1"/>
  <c r="A29437" i="1"/>
  <c r="B29437" i="1"/>
  <c r="A29438" i="1"/>
  <c r="B29438" i="1"/>
  <c r="A29439" i="1"/>
  <c r="B29439" i="1"/>
  <c r="A29440" i="1"/>
  <c r="B29440" i="1"/>
  <c r="A29441" i="1"/>
  <c r="B29441" i="1"/>
  <c r="A29442" i="1"/>
  <c r="B29442" i="1"/>
  <c r="A29443" i="1"/>
  <c r="B29443" i="1"/>
  <c r="A29444" i="1"/>
  <c r="B29444" i="1"/>
  <c r="A29445" i="1"/>
  <c r="B29445" i="1"/>
  <c r="A29446" i="1"/>
  <c r="B29446" i="1"/>
  <c r="A29447" i="1"/>
  <c r="B29447" i="1"/>
  <c r="A29448" i="1"/>
  <c r="B29448" i="1"/>
  <c r="A29449" i="1"/>
  <c r="B29449" i="1"/>
  <c r="A29450" i="1"/>
  <c r="B29450" i="1"/>
  <c r="A29451" i="1"/>
  <c r="B29451" i="1"/>
  <c r="A29452" i="1"/>
  <c r="B29452" i="1"/>
  <c r="A29453" i="1"/>
  <c r="B29453" i="1"/>
  <c r="A29454" i="1"/>
  <c r="B29454" i="1"/>
  <c r="A29455" i="1"/>
  <c r="B29455" i="1"/>
  <c r="A29456" i="1"/>
  <c r="B29456" i="1"/>
  <c r="A29457" i="1"/>
  <c r="B29457" i="1"/>
  <c r="A29458" i="1"/>
  <c r="B29458" i="1"/>
  <c r="A29459" i="1"/>
  <c r="B29459" i="1"/>
  <c r="A29460" i="1"/>
  <c r="B29460" i="1"/>
  <c r="A29461" i="1"/>
  <c r="B29461" i="1"/>
  <c r="A29462" i="1"/>
  <c r="B29462" i="1"/>
  <c r="A29463" i="1"/>
  <c r="B29463" i="1"/>
  <c r="A29464" i="1"/>
  <c r="B29464" i="1"/>
  <c r="A29465" i="1"/>
  <c r="B29465" i="1"/>
  <c r="A29466" i="1"/>
  <c r="B29466" i="1"/>
  <c r="A29467" i="1"/>
  <c r="B29467" i="1"/>
  <c r="A29468" i="1"/>
  <c r="B29468" i="1"/>
  <c r="A29469" i="1"/>
  <c r="B29469" i="1"/>
  <c r="A29470" i="1"/>
  <c r="B29470" i="1"/>
  <c r="A29471" i="1"/>
  <c r="B29471" i="1"/>
  <c r="A29472" i="1"/>
  <c r="B29472" i="1"/>
  <c r="A29473" i="1"/>
  <c r="B29473" i="1"/>
  <c r="A29474" i="1"/>
  <c r="B29474" i="1"/>
  <c r="A29475" i="1"/>
  <c r="B29475" i="1"/>
  <c r="A29476" i="1"/>
  <c r="B29476" i="1"/>
  <c r="A29477" i="1"/>
  <c r="B29477" i="1"/>
  <c r="A29478" i="1"/>
  <c r="B29478" i="1"/>
  <c r="A29479" i="1"/>
  <c r="B29479" i="1"/>
  <c r="A29480" i="1"/>
  <c r="B29480" i="1"/>
  <c r="A29481" i="1"/>
  <c r="B29481" i="1"/>
  <c r="A29482" i="1"/>
  <c r="B29482" i="1"/>
  <c r="A29483" i="1"/>
  <c r="B29483" i="1"/>
  <c r="A29484" i="1"/>
  <c r="B29484" i="1"/>
  <c r="A29485" i="1"/>
  <c r="B29485" i="1"/>
  <c r="A29486" i="1"/>
  <c r="B29486" i="1"/>
  <c r="A29487" i="1"/>
  <c r="B29487" i="1"/>
  <c r="A29488" i="1"/>
  <c r="B29488" i="1"/>
  <c r="A29489" i="1"/>
  <c r="B29489" i="1"/>
  <c r="A29490" i="1"/>
  <c r="B29490" i="1"/>
  <c r="A29491" i="1"/>
  <c r="B29491" i="1"/>
  <c r="A29492" i="1"/>
  <c r="B29492" i="1"/>
  <c r="A29493" i="1"/>
  <c r="B29493" i="1"/>
  <c r="A29494" i="1"/>
  <c r="B29494" i="1"/>
  <c r="A29495" i="1"/>
  <c r="B29495" i="1"/>
  <c r="A29496" i="1"/>
  <c r="B29496" i="1"/>
  <c r="A29497" i="1"/>
  <c r="B29497" i="1"/>
  <c r="A29498" i="1"/>
  <c r="B29498" i="1"/>
  <c r="A29499" i="1"/>
  <c r="B29499" i="1"/>
  <c r="A29500" i="1"/>
  <c r="B29500" i="1"/>
  <c r="A29501" i="1"/>
  <c r="B29501" i="1"/>
  <c r="A29502" i="1"/>
  <c r="B29502" i="1"/>
  <c r="A29503" i="1"/>
  <c r="B29503" i="1"/>
  <c r="A29504" i="1"/>
  <c r="B29504" i="1"/>
  <c r="A29505" i="1"/>
  <c r="B29505" i="1"/>
  <c r="A29506" i="1"/>
  <c r="B29506" i="1"/>
  <c r="A29507" i="1"/>
  <c r="B29507" i="1"/>
  <c r="A29508" i="1"/>
  <c r="B29508" i="1"/>
  <c r="A29509" i="1"/>
  <c r="B29509" i="1"/>
  <c r="A29510" i="1"/>
  <c r="B29510" i="1"/>
  <c r="A29511" i="1"/>
  <c r="B29511" i="1"/>
  <c r="A29512" i="1"/>
  <c r="B29512" i="1"/>
  <c r="A29513" i="1"/>
  <c r="B29513" i="1"/>
  <c r="A29514" i="1"/>
  <c r="B29514" i="1"/>
  <c r="A29515" i="1"/>
  <c r="B29515" i="1"/>
  <c r="A29516" i="1"/>
  <c r="B29516" i="1"/>
  <c r="A29517" i="1"/>
  <c r="B29517" i="1"/>
  <c r="A29518" i="1"/>
  <c r="B29518" i="1"/>
  <c r="A29519" i="1"/>
  <c r="B29519" i="1"/>
  <c r="A29520" i="1"/>
  <c r="B29520" i="1"/>
  <c r="A29521" i="1"/>
  <c r="B29521" i="1"/>
  <c r="A29522" i="1"/>
  <c r="B29522" i="1"/>
  <c r="A29523" i="1"/>
  <c r="B29523" i="1"/>
  <c r="A29524" i="1"/>
  <c r="B29524" i="1"/>
  <c r="A29525" i="1"/>
  <c r="B29525" i="1"/>
  <c r="A29526" i="1"/>
  <c r="B29526" i="1"/>
  <c r="A29527" i="1"/>
  <c r="B29527" i="1"/>
  <c r="A29528" i="1"/>
  <c r="B29528" i="1"/>
  <c r="A29529" i="1"/>
  <c r="B29529" i="1"/>
  <c r="A29530" i="1"/>
  <c r="B29530" i="1"/>
  <c r="A29531" i="1"/>
  <c r="B29531" i="1"/>
  <c r="A29532" i="1"/>
  <c r="B29532" i="1"/>
  <c r="A29533" i="1"/>
  <c r="B29533" i="1"/>
  <c r="A29534" i="1"/>
  <c r="B29534" i="1"/>
  <c r="A29535" i="1"/>
  <c r="B29535" i="1"/>
  <c r="A29536" i="1"/>
  <c r="B29536" i="1"/>
  <c r="A29537" i="1"/>
  <c r="B29537" i="1"/>
  <c r="A29538" i="1"/>
  <c r="B29538" i="1"/>
  <c r="A29539" i="1"/>
  <c r="B29539" i="1"/>
  <c r="A29540" i="1"/>
  <c r="B29540" i="1"/>
  <c r="A29541" i="1"/>
  <c r="B29541" i="1"/>
  <c r="A29542" i="1"/>
  <c r="B29542" i="1"/>
  <c r="A29543" i="1"/>
  <c r="B29543" i="1"/>
  <c r="A29544" i="1"/>
  <c r="B29544" i="1"/>
  <c r="A29545" i="1"/>
  <c r="B29545" i="1"/>
  <c r="A29546" i="1"/>
  <c r="B29546" i="1"/>
  <c r="A29547" i="1"/>
  <c r="B29547" i="1"/>
  <c r="A29548" i="1"/>
  <c r="B29548" i="1"/>
  <c r="A29549" i="1"/>
  <c r="B29549" i="1"/>
  <c r="A29550" i="1"/>
  <c r="B29550" i="1"/>
  <c r="A29551" i="1"/>
  <c r="B29551" i="1"/>
  <c r="A29552" i="1"/>
  <c r="B29552" i="1"/>
  <c r="A29553" i="1"/>
  <c r="B29553" i="1"/>
  <c r="A29554" i="1"/>
  <c r="B29554" i="1"/>
  <c r="A29555" i="1"/>
  <c r="B29555" i="1"/>
  <c r="A29556" i="1"/>
  <c r="B29556" i="1"/>
  <c r="A29557" i="1"/>
  <c r="B29557" i="1"/>
  <c r="A29558" i="1"/>
  <c r="B29558" i="1"/>
  <c r="A29559" i="1"/>
  <c r="B29559" i="1"/>
  <c r="A29560" i="1"/>
  <c r="B29560" i="1"/>
  <c r="A29561" i="1"/>
  <c r="B29561" i="1"/>
  <c r="A29562" i="1"/>
  <c r="B29562" i="1"/>
  <c r="A29563" i="1"/>
  <c r="B29563" i="1"/>
  <c r="A29564" i="1"/>
  <c r="B29564" i="1"/>
  <c r="A29565" i="1"/>
  <c r="B29565" i="1"/>
  <c r="A29566" i="1"/>
  <c r="B29566" i="1"/>
  <c r="A29567" i="1"/>
  <c r="B29567" i="1"/>
  <c r="A29568" i="1"/>
  <c r="B29568" i="1"/>
  <c r="A29569" i="1"/>
  <c r="B29569" i="1"/>
  <c r="A29570" i="1"/>
  <c r="B29570" i="1"/>
  <c r="A29571" i="1"/>
  <c r="B29571" i="1"/>
  <c r="A29572" i="1"/>
  <c r="B29572" i="1"/>
  <c r="A29573" i="1"/>
  <c r="B29573" i="1"/>
  <c r="A29574" i="1"/>
  <c r="B29574" i="1"/>
  <c r="A29575" i="1"/>
  <c r="B29575" i="1"/>
  <c r="A29576" i="1"/>
  <c r="B29576" i="1"/>
  <c r="A29577" i="1"/>
  <c r="B29577" i="1"/>
  <c r="A29578" i="1"/>
  <c r="B29578" i="1"/>
  <c r="A29579" i="1"/>
  <c r="B29579" i="1"/>
  <c r="A29580" i="1"/>
  <c r="B29580" i="1"/>
  <c r="A29581" i="1"/>
  <c r="B29581" i="1"/>
  <c r="A29582" i="1"/>
  <c r="B29582" i="1"/>
  <c r="A29583" i="1"/>
  <c r="B29583" i="1"/>
  <c r="A29584" i="1"/>
  <c r="B29584" i="1"/>
  <c r="A29585" i="1"/>
  <c r="B29585" i="1"/>
  <c r="A29586" i="1"/>
  <c r="B29586" i="1"/>
  <c r="A29587" i="1"/>
  <c r="B29587" i="1"/>
  <c r="A29588" i="1"/>
  <c r="B29588" i="1"/>
  <c r="A29589" i="1"/>
  <c r="B29589" i="1"/>
  <c r="A29590" i="1"/>
  <c r="B29590" i="1"/>
  <c r="A29591" i="1"/>
  <c r="B29591" i="1"/>
  <c r="A29592" i="1"/>
  <c r="B29592" i="1"/>
  <c r="A29593" i="1"/>
  <c r="B29593" i="1"/>
  <c r="A29594" i="1"/>
  <c r="B29594" i="1"/>
  <c r="A29595" i="1"/>
  <c r="B29595" i="1"/>
  <c r="A29596" i="1"/>
  <c r="B29596" i="1"/>
  <c r="A29597" i="1"/>
  <c r="B29597" i="1"/>
  <c r="A29598" i="1"/>
  <c r="B29598" i="1"/>
  <c r="A29599" i="1"/>
  <c r="B29599" i="1"/>
  <c r="A29600" i="1"/>
  <c r="B29600" i="1"/>
  <c r="A29601" i="1"/>
  <c r="B29601" i="1"/>
  <c r="A29602" i="1"/>
  <c r="B29602" i="1"/>
  <c r="A29603" i="1"/>
  <c r="B29603" i="1"/>
  <c r="A29604" i="1"/>
  <c r="B29604" i="1"/>
  <c r="A29605" i="1"/>
  <c r="B29605" i="1"/>
  <c r="A29606" i="1"/>
  <c r="B29606" i="1"/>
  <c r="A29607" i="1"/>
  <c r="B29607" i="1"/>
  <c r="A29608" i="1"/>
  <c r="B29608" i="1"/>
  <c r="A29609" i="1"/>
  <c r="B29609" i="1"/>
  <c r="A29610" i="1"/>
  <c r="B29610" i="1"/>
  <c r="A29611" i="1"/>
  <c r="B29611" i="1"/>
  <c r="A29612" i="1"/>
  <c r="B29612" i="1"/>
  <c r="A29613" i="1"/>
  <c r="B29613" i="1"/>
  <c r="A29614" i="1"/>
  <c r="B29614" i="1"/>
  <c r="A29615" i="1"/>
  <c r="B29615" i="1"/>
  <c r="A29616" i="1"/>
  <c r="B29616" i="1"/>
  <c r="A29617" i="1"/>
  <c r="B29617" i="1"/>
  <c r="A29618" i="1"/>
  <c r="B29618" i="1"/>
  <c r="A29619" i="1"/>
  <c r="B29619" i="1"/>
  <c r="A29620" i="1"/>
  <c r="B29620" i="1"/>
  <c r="A29621" i="1"/>
  <c r="B29621" i="1"/>
  <c r="A29622" i="1"/>
  <c r="B29622" i="1"/>
  <c r="A29623" i="1"/>
  <c r="B29623" i="1"/>
  <c r="A29624" i="1"/>
  <c r="B29624" i="1"/>
  <c r="A29625" i="1"/>
  <c r="B29625" i="1"/>
  <c r="A29626" i="1"/>
  <c r="B29626" i="1"/>
  <c r="A29627" i="1"/>
  <c r="B29627" i="1"/>
  <c r="A29628" i="1"/>
  <c r="B29628" i="1"/>
  <c r="A29629" i="1"/>
  <c r="B29629" i="1"/>
  <c r="A29630" i="1"/>
  <c r="B29630" i="1"/>
  <c r="A29631" i="1"/>
  <c r="B29631" i="1"/>
  <c r="A29632" i="1"/>
  <c r="B29632" i="1"/>
  <c r="A29633" i="1"/>
  <c r="B29633" i="1"/>
  <c r="A29634" i="1"/>
  <c r="B29634" i="1"/>
  <c r="A29635" i="1"/>
  <c r="B29635" i="1"/>
  <c r="A29636" i="1"/>
  <c r="B29636" i="1"/>
  <c r="A29637" i="1"/>
  <c r="B29637" i="1"/>
  <c r="A29638" i="1"/>
  <c r="B29638" i="1"/>
  <c r="A29639" i="1"/>
  <c r="B29639" i="1"/>
  <c r="A29640" i="1"/>
  <c r="B29640" i="1"/>
  <c r="A29641" i="1"/>
  <c r="B29641" i="1"/>
  <c r="A29642" i="1"/>
  <c r="B29642" i="1"/>
  <c r="A29643" i="1"/>
  <c r="B29643" i="1"/>
  <c r="A29644" i="1"/>
  <c r="B29644" i="1"/>
  <c r="A29645" i="1"/>
  <c r="B29645" i="1"/>
  <c r="A29646" i="1"/>
  <c r="B29646" i="1"/>
  <c r="A29647" i="1"/>
  <c r="B29647" i="1"/>
  <c r="A29648" i="1"/>
  <c r="B29648" i="1"/>
  <c r="A29649" i="1"/>
  <c r="B29649" i="1"/>
  <c r="A29650" i="1"/>
  <c r="B29650" i="1"/>
  <c r="A29651" i="1"/>
  <c r="B29651" i="1"/>
  <c r="A29652" i="1"/>
  <c r="B29652" i="1"/>
  <c r="A29653" i="1"/>
  <c r="B29653" i="1"/>
  <c r="A29654" i="1"/>
  <c r="B29654" i="1"/>
  <c r="A29655" i="1"/>
  <c r="B29655" i="1"/>
  <c r="A29656" i="1"/>
  <c r="B29656" i="1"/>
  <c r="A29657" i="1"/>
  <c r="B29657" i="1"/>
  <c r="A29658" i="1"/>
  <c r="B29658" i="1"/>
  <c r="A29659" i="1"/>
  <c r="B29659" i="1"/>
  <c r="A29660" i="1"/>
  <c r="B29660" i="1"/>
  <c r="A29661" i="1"/>
  <c r="B29661" i="1"/>
  <c r="A29662" i="1"/>
  <c r="B29662" i="1"/>
  <c r="A29663" i="1"/>
  <c r="B29663" i="1"/>
  <c r="A29664" i="1"/>
  <c r="B29664" i="1"/>
  <c r="A29665" i="1"/>
  <c r="B29665" i="1"/>
  <c r="A29666" i="1"/>
  <c r="B29666" i="1"/>
  <c r="A29667" i="1"/>
  <c r="B29667" i="1"/>
  <c r="A29668" i="1"/>
  <c r="B29668" i="1"/>
  <c r="A29669" i="1"/>
  <c r="B29669" i="1"/>
  <c r="A29670" i="1"/>
  <c r="B29670" i="1"/>
  <c r="A29671" i="1"/>
  <c r="B29671" i="1"/>
  <c r="A29672" i="1"/>
  <c r="B29672" i="1"/>
  <c r="A29673" i="1"/>
  <c r="B29673" i="1"/>
  <c r="A29674" i="1"/>
  <c r="B29674" i="1"/>
  <c r="A29675" i="1"/>
  <c r="B29675" i="1"/>
  <c r="A29676" i="1"/>
  <c r="B29676" i="1"/>
  <c r="A29677" i="1"/>
  <c r="B29677" i="1"/>
  <c r="A29678" i="1"/>
  <c r="B29678" i="1"/>
  <c r="A29679" i="1"/>
  <c r="B29679" i="1"/>
  <c r="A29680" i="1"/>
  <c r="B29680" i="1"/>
  <c r="A29681" i="1"/>
  <c r="B29681" i="1"/>
  <c r="A29682" i="1"/>
  <c r="B29682" i="1"/>
  <c r="A29683" i="1"/>
  <c r="B29683" i="1"/>
  <c r="A29684" i="1"/>
  <c r="B29684" i="1"/>
  <c r="A29685" i="1"/>
  <c r="B29685" i="1"/>
  <c r="A29686" i="1"/>
  <c r="B29686" i="1"/>
  <c r="A29687" i="1"/>
  <c r="B29687" i="1"/>
  <c r="A29688" i="1"/>
  <c r="B29688" i="1"/>
  <c r="A29689" i="1"/>
  <c r="B29689" i="1"/>
  <c r="A29690" i="1"/>
  <c r="B29690" i="1"/>
  <c r="A29691" i="1"/>
  <c r="B29691" i="1"/>
  <c r="A29692" i="1"/>
  <c r="B29692" i="1"/>
  <c r="A29693" i="1"/>
  <c r="B29693" i="1"/>
  <c r="A29694" i="1"/>
  <c r="B29694" i="1"/>
  <c r="A29695" i="1"/>
  <c r="B29695" i="1"/>
  <c r="A29696" i="1"/>
  <c r="B29696" i="1"/>
  <c r="A29697" i="1"/>
  <c r="B29697" i="1"/>
  <c r="A29698" i="1"/>
  <c r="B29698" i="1"/>
  <c r="A29699" i="1"/>
  <c r="B29699" i="1"/>
  <c r="A29700" i="1"/>
  <c r="B29700" i="1"/>
  <c r="A29701" i="1"/>
  <c r="B29701" i="1"/>
  <c r="A29702" i="1"/>
  <c r="B29702" i="1"/>
  <c r="A29703" i="1"/>
  <c r="B29703" i="1"/>
  <c r="A29704" i="1"/>
  <c r="B29704" i="1"/>
  <c r="A29705" i="1"/>
  <c r="B29705" i="1"/>
  <c r="A29706" i="1"/>
  <c r="B29706" i="1"/>
  <c r="A29707" i="1"/>
  <c r="B29707" i="1"/>
  <c r="A29708" i="1"/>
  <c r="B29708" i="1"/>
  <c r="A29709" i="1"/>
  <c r="B29709" i="1"/>
  <c r="A29710" i="1"/>
  <c r="B29710" i="1"/>
  <c r="A29711" i="1"/>
  <c r="B29711" i="1"/>
  <c r="A29712" i="1"/>
  <c r="B29712" i="1"/>
  <c r="A29713" i="1"/>
  <c r="B29713" i="1"/>
  <c r="A29714" i="1"/>
  <c r="B29714" i="1"/>
  <c r="A29715" i="1"/>
  <c r="B29715" i="1"/>
  <c r="A29716" i="1"/>
  <c r="B29716" i="1"/>
  <c r="A29717" i="1"/>
  <c r="B29717" i="1"/>
  <c r="A29718" i="1"/>
  <c r="B29718" i="1"/>
  <c r="A29719" i="1"/>
  <c r="B29719" i="1"/>
  <c r="A29720" i="1"/>
  <c r="B29720" i="1"/>
  <c r="A29721" i="1"/>
  <c r="B29721" i="1"/>
  <c r="A29722" i="1"/>
  <c r="B29722" i="1"/>
  <c r="A29723" i="1"/>
  <c r="B29723" i="1"/>
  <c r="A29724" i="1"/>
  <c r="B29724" i="1"/>
  <c r="A29725" i="1"/>
  <c r="B29725" i="1"/>
  <c r="A29726" i="1"/>
  <c r="B29726" i="1"/>
  <c r="A29727" i="1"/>
  <c r="B29727" i="1"/>
  <c r="A29728" i="1"/>
  <c r="B29728" i="1"/>
  <c r="A29729" i="1"/>
  <c r="B29729" i="1"/>
  <c r="A29730" i="1"/>
  <c r="B29730" i="1"/>
  <c r="A29731" i="1"/>
  <c r="B29731" i="1"/>
  <c r="A29732" i="1"/>
  <c r="B29732" i="1"/>
  <c r="A29733" i="1"/>
  <c r="B29733" i="1"/>
  <c r="A29734" i="1"/>
  <c r="B29734" i="1"/>
  <c r="A29735" i="1"/>
  <c r="B29735" i="1"/>
  <c r="A29736" i="1"/>
  <c r="B29736" i="1"/>
  <c r="A29737" i="1"/>
  <c r="B29737" i="1"/>
  <c r="A29738" i="1"/>
  <c r="B29738" i="1"/>
  <c r="A29739" i="1"/>
  <c r="B29739" i="1"/>
  <c r="A29740" i="1"/>
  <c r="B29740" i="1"/>
  <c r="A29741" i="1"/>
  <c r="B29741" i="1"/>
  <c r="A29742" i="1"/>
  <c r="B29742" i="1"/>
  <c r="A29743" i="1"/>
  <c r="B29743" i="1"/>
  <c r="A29744" i="1"/>
  <c r="B29744" i="1"/>
  <c r="A29745" i="1"/>
  <c r="B29745" i="1"/>
  <c r="A29746" i="1"/>
  <c r="B29746" i="1"/>
  <c r="A29747" i="1"/>
  <c r="B29747" i="1"/>
  <c r="A29748" i="1"/>
  <c r="B29748" i="1"/>
  <c r="A29749" i="1"/>
  <c r="B29749" i="1"/>
  <c r="A29750" i="1"/>
  <c r="B29750" i="1"/>
  <c r="A29751" i="1"/>
  <c r="B29751" i="1"/>
  <c r="A29752" i="1"/>
  <c r="B29752" i="1"/>
  <c r="A29753" i="1"/>
  <c r="B29753" i="1"/>
  <c r="A29754" i="1"/>
  <c r="B29754" i="1"/>
  <c r="A29755" i="1"/>
  <c r="B29755" i="1"/>
  <c r="A29756" i="1"/>
  <c r="B29756" i="1"/>
  <c r="A29757" i="1"/>
  <c r="B29757" i="1"/>
  <c r="A29758" i="1"/>
  <c r="B29758" i="1"/>
  <c r="A29759" i="1"/>
  <c r="B29759" i="1"/>
  <c r="A29760" i="1"/>
  <c r="B29760" i="1"/>
  <c r="A29761" i="1"/>
  <c r="B29761" i="1"/>
  <c r="A29762" i="1"/>
  <c r="B29762" i="1"/>
  <c r="A29763" i="1"/>
  <c r="B29763" i="1"/>
  <c r="A29764" i="1"/>
  <c r="B29764" i="1"/>
  <c r="A29765" i="1"/>
  <c r="B29765" i="1"/>
  <c r="A29766" i="1"/>
  <c r="B29766" i="1"/>
  <c r="A29767" i="1"/>
  <c r="B29767" i="1"/>
  <c r="A29768" i="1"/>
  <c r="B29768" i="1"/>
  <c r="A29769" i="1"/>
  <c r="B29769" i="1"/>
  <c r="A29770" i="1"/>
  <c r="B29770" i="1"/>
  <c r="A29771" i="1"/>
  <c r="B29771" i="1"/>
  <c r="A29772" i="1"/>
  <c r="B29772" i="1"/>
  <c r="A29773" i="1"/>
  <c r="B29773" i="1"/>
  <c r="A29774" i="1"/>
  <c r="B29774" i="1"/>
  <c r="A29775" i="1"/>
  <c r="B29775" i="1"/>
  <c r="A29776" i="1"/>
  <c r="B29776" i="1"/>
  <c r="A29777" i="1"/>
  <c r="B29777" i="1"/>
  <c r="A29778" i="1"/>
  <c r="B29778" i="1"/>
  <c r="A29779" i="1"/>
  <c r="B29779" i="1"/>
  <c r="A29780" i="1"/>
  <c r="B29780" i="1"/>
  <c r="A29781" i="1"/>
  <c r="B29781" i="1"/>
  <c r="A29782" i="1"/>
  <c r="B29782" i="1"/>
  <c r="A29783" i="1"/>
  <c r="B29783" i="1"/>
  <c r="A29784" i="1"/>
  <c r="B29784" i="1"/>
  <c r="A29785" i="1"/>
  <c r="B29785" i="1"/>
  <c r="A29786" i="1"/>
  <c r="B29786" i="1"/>
  <c r="A29787" i="1"/>
  <c r="B29787" i="1"/>
  <c r="A29788" i="1"/>
  <c r="B29788" i="1"/>
  <c r="A29789" i="1"/>
  <c r="B29789" i="1"/>
  <c r="A29790" i="1"/>
  <c r="B29790" i="1"/>
  <c r="A29791" i="1"/>
  <c r="B29791" i="1"/>
  <c r="A29792" i="1"/>
  <c r="B29792" i="1"/>
  <c r="A29793" i="1"/>
  <c r="B29793" i="1"/>
  <c r="A29794" i="1"/>
  <c r="B29794" i="1"/>
  <c r="A29795" i="1"/>
  <c r="B29795" i="1"/>
  <c r="A29796" i="1"/>
  <c r="B29796" i="1"/>
  <c r="A29797" i="1"/>
  <c r="B29797" i="1"/>
  <c r="A29798" i="1"/>
  <c r="B29798" i="1"/>
  <c r="A29799" i="1"/>
  <c r="B29799" i="1"/>
  <c r="A29800" i="1"/>
  <c r="B29800" i="1"/>
  <c r="A29801" i="1"/>
  <c r="B29801" i="1"/>
  <c r="A29802" i="1"/>
  <c r="B29802" i="1"/>
  <c r="A29803" i="1"/>
  <c r="B29803" i="1"/>
  <c r="A29804" i="1"/>
  <c r="B29804" i="1"/>
  <c r="A29805" i="1"/>
  <c r="B29805" i="1"/>
  <c r="A29806" i="1"/>
  <c r="B29806" i="1"/>
  <c r="A29807" i="1"/>
  <c r="B29807" i="1"/>
  <c r="A29808" i="1"/>
  <c r="B29808" i="1"/>
  <c r="A29809" i="1"/>
  <c r="B29809" i="1"/>
  <c r="A29810" i="1"/>
  <c r="B29810" i="1"/>
  <c r="A29811" i="1"/>
  <c r="B29811" i="1"/>
  <c r="A29812" i="1"/>
  <c r="B29812" i="1"/>
  <c r="A29813" i="1"/>
  <c r="B29813" i="1"/>
  <c r="A29814" i="1"/>
  <c r="B29814" i="1"/>
  <c r="A29815" i="1"/>
  <c r="B29815" i="1"/>
  <c r="A29816" i="1"/>
  <c r="B29816" i="1"/>
  <c r="A29817" i="1"/>
  <c r="B29817" i="1"/>
  <c r="A29818" i="1"/>
  <c r="B29818" i="1"/>
  <c r="A29819" i="1"/>
  <c r="B29819" i="1"/>
  <c r="A29820" i="1"/>
  <c r="B29820" i="1"/>
  <c r="A29821" i="1"/>
  <c r="B29821" i="1"/>
  <c r="A29822" i="1"/>
  <c r="B29822" i="1"/>
  <c r="A29823" i="1"/>
  <c r="B29823" i="1"/>
  <c r="A29824" i="1"/>
  <c r="B29824" i="1"/>
  <c r="A29825" i="1"/>
  <c r="B29825" i="1"/>
  <c r="A29826" i="1"/>
  <c r="B29826" i="1"/>
  <c r="A29827" i="1"/>
  <c r="B29827" i="1"/>
  <c r="A29828" i="1"/>
  <c r="B29828" i="1"/>
  <c r="A29829" i="1"/>
  <c r="B29829" i="1"/>
  <c r="A29830" i="1"/>
  <c r="B29830" i="1"/>
  <c r="A29831" i="1"/>
  <c r="B29831" i="1"/>
  <c r="A29832" i="1"/>
  <c r="B29832" i="1"/>
  <c r="A29833" i="1"/>
  <c r="B29833" i="1"/>
  <c r="A29834" i="1"/>
  <c r="B29834" i="1"/>
  <c r="A29835" i="1"/>
  <c r="B29835" i="1"/>
  <c r="A29836" i="1"/>
  <c r="B29836" i="1"/>
  <c r="A29837" i="1"/>
  <c r="B29837" i="1"/>
  <c r="A29838" i="1"/>
  <c r="B29838" i="1"/>
  <c r="A29839" i="1"/>
  <c r="B29839" i="1"/>
  <c r="A29840" i="1"/>
  <c r="B29840" i="1"/>
  <c r="A29841" i="1"/>
  <c r="B29841" i="1"/>
  <c r="A29842" i="1"/>
  <c r="B29842" i="1"/>
  <c r="A29843" i="1"/>
  <c r="B29843" i="1"/>
  <c r="A29844" i="1"/>
  <c r="B29844" i="1"/>
  <c r="A29845" i="1"/>
  <c r="B29845" i="1"/>
  <c r="A29846" i="1"/>
  <c r="B29846" i="1"/>
  <c r="A29847" i="1"/>
  <c r="B29847" i="1"/>
  <c r="A29848" i="1"/>
  <c r="B29848" i="1"/>
  <c r="A29849" i="1"/>
  <c r="B29849" i="1"/>
  <c r="A29850" i="1"/>
  <c r="B29850" i="1"/>
  <c r="A29851" i="1"/>
  <c r="B29851" i="1"/>
  <c r="A29852" i="1"/>
  <c r="B29852" i="1"/>
  <c r="A29853" i="1"/>
  <c r="B29853" i="1"/>
  <c r="A29854" i="1"/>
  <c r="B29854" i="1"/>
  <c r="A29855" i="1"/>
  <c r="B29855" i="1"/>
  <c r="A29856" i="1"/>
  <c r="B29856" i="1"/>
  <c r="A29857" i="1"/>
  <c r="B29857" i="1"/>
  <c r="A29858" i="1"/>
  <c r="B29858" i="1"/>
  <c r="A29859" i="1"/>
  <c r="B29859" i="1"/>
  <c r="A29860" i="1"/>
  <c r="B29860" i="1"/>
  <c r="A29861" i="1"/>
  <c r="B29861" i="1"/>
  <c r="A29862" i="1"/>
  <c r="B29862" i="1"/>
  <c r="A29863" i="1"/>
  <c r="B29863" i="1"/>
  <c r="A29864" i="1"/>
  <c r="B29864" i="1"/>
  <c r="A29865" i="1"/>
  <c r="B29865" i="1"/>
  <c r="A29866" i="1"/>
  <c r="B29866" i="1"/>
  <c r="A29867" i="1"/>
  <c r="B29867" i="1"/>
  <c r="A29868" i="1"/>
  <c r="B29868" i="1"/>
  <c r="A29869" i="1"/>
  <c r="B29869" i="1"/>
  <c r="A29870" i="1"/>
  <c r="B29870" i="1"/>
  <c r="A29871" i="1"/>
  <c r="B29871" i="1"/>
  <c r="A29872" i="1"/>
  <c r="B29872" i="1"/>
  <c r="A29873" i="1"/>
  <c r="B29873" i="1"/>
  <c r="A29874" i="1"/>
  <c r="B29874" i="1"/>
  <c r="A29875" i="1"/>
  <c r="B29875" i="1"/>
  <c r="A29876" i="1"/>
  <c r="B29876" i="1"/>
  <c r="A29877" i="1"/>
  <c r="B29877" i="1"/>
  <c r="A29878" i="1"/>
  <c r="B29878" i="1"/>
  <c r="A29879" i="1"/>
  <c r="B29879" i="1"/>
  <c r="A29880" i="1"/>
  <c r="B29880" i="1"/>
  <c r="A29881" i="1"/>
  <c r="B29881" i="1"/>
  <c r="A29882" i="1"/>
  <c r="B29882" i="1"/>
  <c r="A29883" i="1"/>
  <c r="B29883" i="1"/>
  <c r="A29884" i="1"/>
  <c r="B29884" i="1"/>
  <c r="A29885" i="1"/>
  <c r="B29885" i="1"/>
  <c r="A29886" i="1"/>
  <c r="B29886" i="1"/>
  <c r="A29887" i="1"/>
  <c r="B29887" i="1"/>
  <c r="A29888" i="1"/>
  <c r="B29888" i="1"/>
  <c r="A29889" i="1"/>
  <c r="B29889" i="1"/>
  <c r="A29890" i="1"/>
  <c r="B29890" i="1"/>
  <c r="A29891" i="1"/>
  <c r="B29891" i="1"/>
  <c r="A29892" i="1"/>
  <c r="B29892" i="1"/>
  <c r="A29893" i="1"/>
  <c r="B29893" i="1"/>
  <c r="A29894" i="1"/>
  <c r="B29894" i="1"/>
  <c r="A29895" i="1"/>
  <c r="B29895" i="1"/>
  <c r="A29896" i="1"/>
  <c r="B29896" i="1"/>
  <c r="A29897" i="1"/>
  <c r="B29897" i="1"/>
  <c r="A29898" i="1"/>
  <c r="B29898" i="1"/>
  <c r="A29899" i="1"/>
  <c r="B29899" i="1"/>
  <c r="A29900" i="1"/>
  <c r="B29900" i="1"/>
  <c r="A29901" i="1"/>
  <c r="B29901" i="1"/>
  <c r="A29902" i="1"/>
  <c r="B29902" i="1"/>
  <c r="A29903" i="1"/>
  <c r="B29903" i="1"/>
  <c r="A29904" i="1"/>
  <c r="B29904" i="1"/>
  <c r="A29905" i="1"/>
  <c r="B29905" i="1"/>
  <c r="A29906" i="1"/>
  <c r="B29906" i="1"/>
  <c r="A29907" i="1"/>
  <c r="B29907" i="1"/>
  <c r="A29908" i="1"/>
  <c r="B29908" i="1"/>
  <c r="A29909" i="1"/>
  <c r="B29909" i="1"/>
  <c r="A29910" i="1"/>
  <c r="B29910" i="1"/>
  <c r="A29911" i="1"/>
  <c r="B29911" i="1"/>
  <c r="A29912" i="1"/>
  <c r="B29912" i="1"/>
  <c r="A29913" i="1"/>
  <c r="B29913" i="1"/>
  <c r="A29914" i="1"/>
  <c r="B29914" i="1"/>
  <c r="A29915" i="1"/>
  <c r="B29915" i="1"/>
  <c r="A29916" i="1"/>
  <c r="B29916" i="1"/>
  <c r="A29917" i="1"/>
  <c r="B29917" i="1"/>
  <c r="A29918" i="1"/>
  <c r="B29918" i="1"/>
  <c r="A29919" i="1"/>
  <c r="B29919" i="1"/>
  <c r="A29920" i="1"/>
  <c r="B29920" i="1"/>
  <c r="A29921" i="1"/>
  <c r="B29921" i="1"/>
  <c r="A29922" i="1"/>
  <c r="B29922" i="1"/>
  <c r="A29923" i="1"/>
  <c r="B29923" i="1"/>
  <c r="A29924" i="1"/>
  <c r="B29924" i="1"/>
  <c r="A29925" i="1"/>
  <c r="B29925" i="1"/>
  <c r="A29926" i="1"/>
  <c r="B29926" i="1"/>
  <c r="A29927" i="1"/>
  <c r="B29927" i="1"/>
  <c r="A29928" i="1"/>
  <c r="B29928" i="1"/>
  <c r="A29929" i="1"/>
  <c r="B29929" i="1"/>
  <c r="A29930" i="1"/>
  <c r="B29930" i="1"/>
  <c r="A29931" i="1"/>
  <c r="B29931" i="1"/>
  <c r="A29932" i="1"/>
  <c r="B29932" i="1"/>
  <c r="A29933" i="1"/>
  <c r="B29933" i="1"/>
  <c r="A29934" i="1"/>
  <c r="B29934" i="1"/>
  <c r="A29935" i="1"/>
  <c r="B29935" i="1"/>
  <c r="A29936" i="1"/>
  <c r="B29936" i="1"/>
  <c r="A29937" i="1"/>
  <c r="B29937" i="1"/>
  <c r="A29938" i="1"/>
  <c r="B29938" i="1"/>
  <c r="A29939" i="1"/>
  <c r="B29939" i="1"/>
  <c r="A29940" i="1"/>
  <c r="B29940" i="1"/>
  <c r="A29941" i="1"/>
  <c r="B29941" i="1"/>
  <c r="A29942" i="1"/>
  <c r="B29942" i="1"/>
  <c r="A29943" i="1"/>
  <c r="B29943" i="1"/>
  <c r="A29944" i="1"/>
  <c r="B29944" i="1"/>
  <c r="A29945" i="1"/>
  <c r="B29945" i="1"/>
  <c r="A29946" i="1"/>
  <c r="B29946" i="1"/>
  <c r="A29947" i="1"/>
  <c r="B29947" i="1"/>
  <c r="A29948" i="1"/>
  <c r="B29948" i="1"/>
  <c r="A29949" i="1"/>
  <c r="B29949" i="1"/>
  <c r="A29950" i="1"/>
  <c r="B29950" i="1"/>
  <c r="A29951" i="1"/>
  <c r="B29951" i="1"/>
  <c r="A29952" i="1"/>
  <c r="B29952" i="1"/>
  <c r="A29953" i="1"/>
  <c r="B29953" i="1"/>
  <c r="A29954" i="1"/>
  <c r="B29954" i="1"/>
  <c r="A29955" i="1"/>
  <c r="B29955" i="1"/>
  <c r="A29956" i="1"/>
  <c r="B29956" i="1"/>
  <c r="A29957" i="1"/>
  <c r="B29957" i="1"/>
  <c r="A29958" i="1"/>
  <c r="B29958" i="1"/>
  <c r="A29959" i="1"/>
  <c r="B29959" i="1"/>
  <c r="A29960" i="1"/>
  <c r="B29960" i="1"/>
  <c r="A29961" i="1"/>
  <c r="B29961" i="1"/>
  <c r="A29962" i="1"/>
  <c r="B29962" i="1"/>
  <c r="A29963" i="1"/>
  <c r="B29963" i="1"/>
  <c r="A29964" i="1"/>
  <c r="B29964" i="1"/>
  <c r="A29965" i="1"/>
  <c r="B29965" i="1"/>
  <c r="A29966" i="1"/>
  <c r="B29966" i="1"/>
  <c r="A29967" i="1"/>
  <c r="B29967" i="1"/>
  <c r="A29968" i="1"/>
  <c r="B29968" i="1"/>
  <c r="A29969" i="1"/>
  <c r="B29969" i="1"/>
  <c r="A29970" i="1"/>
  <c r="B29970" i="1"/>
  <c r="A29971" i="1"/>
  <c r="B29971" i="1"/>
  <c r="A29972" i="1"/>
  <c r="B29972" i="1"/>
  <c r="A29973" i="1"/>
  <c r="B29973" i="1"/>
  <c r="A29974" i="1"/>
  <c r="B29974" i="1"/>
  <c r="A29975" i="1"/>
  <c r="B29975" i="1"/>
  <c r="A29976" i="1"/>
  <c r="B29976" i="1"/>
  <c r="A29977" i="1"/>
  <c r="B29977" i="1"/>
  <c r="A29978" i="1"/>
  <c r="B29978" i="1"/>
  <c r="A29979" i="1"/>
  <c r="B29979" i="1"/>
  <c r="A29980" i="1"/>
  <c r="B29980" i="1"/>
  <c r="A29981" i="1"/>
  <c r="B29981" i="1"/>
  <c r="A29982" i="1"/>
  <c r="B29982" i="1"/>
  <c r="A29983" i="1"/>
  <c r="B29983" i="1"/>
  <c r="A29984" i="1"/>
  <c r="B29984" i="1"/>
  <c r="A29985" i="1"/>
  <c r="B29985" i="1"/>
  <c r="A29986" i="1"/>
  <c r="B29986" i="1"/>
  <c r="A29987" i="1"/>
  <c r="B29987" i="1"/>
  <c r="A29988" i="1"/>
  <c r="B29988" i="1"/>
  <c r="A29989" i="1"/>
  <c r="B29989" i="1"/>
  <c r="A29990" i="1"/>
  <c r="B29990" i="1"/>
  <c r="A29991" i="1"/>
  <c r="B29991" i="1"/>
  <c r="A29992" i="1"/>
  <c r="B29992" i="1"/>
  <c r="A29993" i="1"/>
  <c r="B29993" i="1"/>
  <c r="A29994" i="1"/>
  <c r="B29994" i="1"/>
  <c r="A29995" i="1"/>
  <c r="B29995" i="1"/>
  <c r="A29996" i="1"/>
  <c r="B29996" i="1"/>
  <c r="A29997" i="1"/>
  <c r="B29997" i="1"/>
  <c r="A29998" i="1"/>
  <c r="B29998" i="1"/>
  <c r="A29999" i="1"/>
  <c r="B29999" i="1"/>
  <c r="A30000" i="1"/>
  <c r="B30000" i="1"/>
  <c r="A30001" i="1"/>
  <c r="B30001" i="1"/>
  <c r="A30002" i="1"/>
  <c r="B30002" i="1"/>
  <c r="A30003" i="1"/>
  <c r="B30003" i="1"/>
  <c r="A30004" i="1"/>
  <c r="B30004" i="1"/>
  <c r="A30005" i="1"/>
  <c r="B30005" i="1"/>
  <c r="A30006" i="1"/>
  <c r="B30006" i="1"/>
  <c r="A30007" i="1"/>
  <c r="B30007" i="1"/>
  <c r="A30008" i="1"/>
  <c r="B30008" i="1"/>
  <c r="A30009" i="1"/>
  <c r="B30009" i="1"/>
  <c r="A30010" i="1"/>
  <c r="B30010" i="1"/>
  <c r="A30011" i="1"/>
  <c r="B30011" i="1"/>
  <c r="A30012" i="1"/>
  <c r="B30012" i="1"/>
  <c r="A30013" i="1"/>
  <c r="B30013" i="1"/>
  <c r="A30014" i="1"/>
  <c r="B30014" i="1"/>
  <c r="A30015" i="1"/>
  <c r="B30015" i="1"/>
  <c r="A30016" i="1"/>
  <c r="B30016" i="1"/>
  <c r="A30017" i="1"/>
  <c r="B30017" i="1"/>
  <c r="A30018" i="1"/>
  <c r="B30018" i="1"/>
  <c r="A30019" i="1"/>
  <c r="B30019" i="1"/>
  <c r="A30020" i="1"/>
  <c r="B30020" i="1"/>
  <c r="A30021" i="1"/>
  <c r="B30021" i="1"/>
  <c r="A30022" i="1"/>
  <c r="B30022" i="1"/>
  <c r="A30023" i="1"/>
  <c r="B30023" i="1"/>
  <c r="A30024" i="1"/>
  <c r="B30024" i="1"/>
  <c r="A30025" i="1"/>
  <c r="B30025" i="1"/>
  <c r="A30026" i="1"/>
  <c r="B30026" i="1"/>
  <c r="A30027" i="1"/>
  <c r="B30027" i="1"/>
  <c r="A30028" i="1"/>
  <c r="B30028" i="1"/>
  <c r="A30029" i="1"/>
  <c r="B30029" i="1"/>
  <c r="A30030" i="1"/>
  <c r="B30030" i="1"/>
  <c r="A30031" i="1"/>
  <c r="B30031" i="1"/>
  <c r="A30032" i="1"/>
  <c r="B30032" i="1"/>
  <c r="A30033" i="1"/>
  <c r="B30033" i="1"/>
  <c r="A30034" i="1"/>
  <c r="B30034" i="1"/>
  <c r="A30035" i="1"/>
  <c r="B30035" i="1"/>
  <c r="A30036" i="1"/>
  <c r="B30036" i="1"/>
  <c r="A30037" i="1"/>
  <c r="B30037" i="1"/>
  <c r="A30038" i="1"/>
  <c r="B30038" i="1"/>
  <c r="A30039" i="1"/>
  <c r="B30039" i="1"/>
  <c r="A30040" i="1"/>
  <c r="B30040" i="1"/>
  <c r="A30041" i="1"/>
  <c r="B30041" i="1"/>
  <c r="A30042" i="1"/>
  <c r="B30042" i="1"/>
  <c r="A30043" i="1"/>
  <c r="B30043" i="1"/>
  <c r="A30044" i="1"/>
  <c r="B30044" i="1"/>
  <c r="A30045" i="1"/>
  <c r="B30045" i="1"/>
  <c r="A30046" i="1"/>
  <c r="B30046" i="1"/>
  <c r="A30047" i="1"/>
  <c r="B30047" i="1"/>
  <c r="A30048" i="1"/>
  <c r="B30048" i="1"/>
  <c r="A30049" i="1"/>
  <c r="B30049" i="1"/>
  <c r="A30050" i="1"/>
  <c r="B30050" i="1"/>
  <c r="A30051" i="1"/>
  <c r="B30051" i="1"/>
  <c r="A30052" i="1"/>
  <c r="B30052" i="1"/>
  <c r="A30053" i="1"/>
  <c r="B30053" i="1"/>
  <c r="A30054" i="1"/>
  <c r="B30054" i="1"/>
  <c r="A30055" i="1"/>
  <c r="B30055" i="1"/>
  <c r="A30056" i="1"/>
  <c r="B30056" i="1"/>
  <c r="A30057" i="1"/>
  <c r="B30057" i="1"/>
  <c r="A30058" i="1"/>
  <c r="B30058" i="1"/>
  <c r="A30059" i="1"/>
  <c r="B30059" i="1"/>
  <c r="A30060" i="1"/>
  <c r="B30060" i="1"/>
  <c r="A30061" i="1"/>
  <c r="B30061" i="1"/>
  <c r="A30062" i="1"/>
  <c r="B30062" i="1"/>
  <c r="A30063" i="1"/>
  <c r="B30063" i="1"/>
  <c r="A30064" i="1"/>
  <c r="B30064" i="1"/>
  <c r="A30065" i="1"/>
  <c r="B30065" i="1"/>
  <c r="A30066" i="1"/>
  <c r="B30066" i="1"/>
  <c r="A30067" i="1"/>
  <c r="B30067" i="1"/>
  <c r="A30068" i="1"/>
  <c r="B30068" i="1"/>
  <c r="A30069" i="1"/>
  <c r="B30069" i="1"/>
  <c r="A30070" i="1"/>
  <c r="B30070" i="1"/>
  <c r="A30071" i="1"/>
  <c r="B30071" i="1"/>
  <c r="A30072" i="1"/>
  <c r="B30072" i="1"/>
  <c r="A30073" i="1"/>
  <c r="B30073" i="1"/>
  <c r="A30074" i="1"/>
  <c r="B30074" i="1"/>
  <c r="A30075" i="1"/>
  <c r="B30075" i="1"/>
  <c r="A30076" i="1"/>
  <c r="B30076" i="1"/>
  <c r="A30077" i="1"/>
  <c r="B30077" i="1"/>
  <c r="A30078" i="1"/>
  <c r="B30078" i="1"/>
  <c r="A30079" i="1"/>
  <c r="B30079" i="1"/>
  <c r="A30080" i="1"/>
  <c r="B30080" i="1"/>
  <c r="A30081" i="1"/>
  <c r="B30081" i="1"/>
  <c r="A30082" i="1"/>
  <c r="B30082" i="1"/>
  <c r="A30083" i="1"/>
  <c r="B30083" i="1"/>
  <c r="A30084" i="1"/>
  <c r="B30084" i="1"/>
  <c r="A30085" i="1"/>
  <c r="B30085" i="1"/>
  <c r="A30086" i="1"/>
  <c r="B30086" i="1"/>
  <c r="A30087" i="1"/>
  <c r="B30087" i="1"/>
  <c r="A30088" i="1"/>
  <c r="B30088" i="1"/>
  <c r="A30089" i="1"/>
  <c r="B30089" i="1"/>
  <c r="A30090" i="1"/>
  <c r="B30090" i="1"/>
  <c r="A30091" i="1"/>
  <c r="B30091" i="1"/>
  <c r="A30092" i="1"/>
  <c r="B30092" i="1"/>
  <c r="A30093" i="1"/>
  <c r="B30093" i="1"/>
  <c r="A30094" i="1"/>
  <c r="B30094" i="1"/>
  <c r="A30095" i="1"/>
  <c r="B30095" i="1"/>
  <c r="A30096" i="1"/>
  <c r="B30096" i="1"/>
  <c r="A30097" i="1"/>
  <c r="B30097" i="1"/>
  <c r="A30098" i="1"/>
  <c r="B30098" i="1"/>
  <c r="A30099" i="1"/>
  <c r="B30099" i="1"/>
  <c r="A30100" i="1"/>
  <c r="B30100" i="1"/>
  <c r="A30101" i="1"/>
  <c r="B30101" i="1"/>
  <c r="A30102" i="1"/>
  <c r="B30102" i="1"/>
  <c r="A30103" i="1"/>
  <c r="B30103" i="1"/>
  <c r="A30104" i="1"/>
  <c r="B30104" i="1"/>
  <c r="A30105" i="1"/>
  <c r="B30105" i="1"/>
  <c r="A30106" i="1"/>
  <c r="B30106" i="1"/>
  <c r="A30107" i="1"/>
  <c r="B30107" i="1"/>
  <c r="A30108" i="1"/>
  <c r="B30108" i="1"/>
  <c r="A30109" i="1"/>
  <c r="B30109" i="1"/>
  <c r="A30110" i="1"/>
  <c r="B30110" i="1"/>
  <c r="A30111" i="1"/>
  <c r="B30111" i="1"/>
  <c r="A30112" i="1"/>
  <c r="B30112" i="1"/>
  <c r="A30113" i="1"/>
  <c r="B30113" i="1"/>
  <c r="A30114" i="1"/>
  <c r="B30114" i="1"/>
  <c r="A30115" i="1"/>
  <c r="B30115" i="1"/>
  <c r="A30116" i="1"/>
  <c r="B30116" i="1"/>
  <c r="A30117" i="1"/>
  <c r="B30117" i="1"/>
  <c r="A30118" i="1"/>
  <c r="B30118" i="1"/>
  <c r="A30119" i="1"/>
  <c r="B30119" i="1"/>
  <c r="A30120" i="1"/>
  <c r="B30120" i="1"/>
  <c r="A30121" i="1"/>
  <c r="B30121" i="1"/>
  <c r="A30122" i="1"/>
  <c r="B30122" i="1"/>
  <c r="A30123" i="1"/>
  <c r="B30123" i="1"/>
  <c r="A30124" i="1"/>
  <c r="B30124" i="1"/>
  <c r="A30125" i="1"/>
  <c r="B30125" i="1"/>
  <c r="A30126" i="1"/>
  <c r="B30126" i="1"/>
  <c r="A30127" i="1"/>
  <c r="B30127" i="1"/>
  <c r="A30128" i="1"/>
  <c r="B30128" i="1"/>
  <c r="A30129" i="1"/>
  <c r="B30129" i="1"/>
  <c r="A30130" i="1"/>
  <c r="B30130" i="1"/>
  <c r="A30131" i="1"/>
  <c r="B30131" i="1"/>
  <c r="A30132" i="1"/>
  <c r="B30132" i="1"/>
  <c r="A30133" i="1"/>
  <c r="B30133" i="1"/>
  <c r="A30134" i="1"/>
  <c r="B30134" i="1"/>
  <c r="A30135" i="1"/>
  <c r="B30135" i="1"/>
  <c r="A30136" i="1"/>
  <c r="B30136" i="1"/>
  <c r="A30137" i="1"/>
  <c r="B30137" i="1"/>
  <c r="A30138" i="1"/>
  <c r="B30138" i="1"/>
  <c r="A30139" i="1"/>
  <c r="B30139" i="1"/>
  <c r="A30140" i="1"/>
  <c r="B30140" i="1"/>
  <c r="A30141" i="1"/>
  <c r="B30141" i="1"/>
  <c r="A30142" i="1"/>
  <c r="B30142" i="1"/>
  <c r="A30143" i="1"/>
  <c r="B30143" i="1"/>
  <c r="A30144" i="1"/>
  <c r="B30144" i="1"/>
  <c r="A30145" i="1"/>
  <c r="B30145" i="1"/>
  <c r="A30146" i="1"/>
  <c r="B30146" i="1"/>
  <c r="A30147" i="1"/>
  <c r="B30147" i="1"/>
  <c r="A30148" i="1"/>
  <c r="B30148" i="1"/>
  <c r="A30149" i="1"/>
  <c r="B30149" i="1"/>
  <c r="A30150" i="1"/>
  <c r="B30150" i="1"/>
  <c r="A30151" i="1"/>
  <c r="B30151" i="1"/>
  <c r="A30152" i="1"/>
  <c r="B30152" i="1"/>
  <c r="A30153" i="1"/>
  <c r="B30153" i="1"/>
  <c r="A30154" i="1"/>
  <c r="B30154" i="1"/>
  <c r="A30155" i="1"/>
  <c r="B30155" i="1"/>
  <c r="A30156" i="1"/>
  <c r="B30156" i="1"/>
  <c r="A30157" i="1"/>
  <c r="B30157" i="1"/>
  <c r="A30158" i="1"/>
  <c r="B30158" i="1"/>
  <c r="A30159" i="1"/>
  <c r="B30159" i="1"/>
  <c r="A30160" i="1"/>
  <c r="B30160" i="1"/>
  <c r="A30161" i="1"/>
  <c r="B30161" i="1"/>
  <c r="A30162" i="1"/>
  <c r="B30162" i="1"/>
  <c r="A30163" i="1"/>
  <c r="B30163" i="1"/>
  <c r="A30164" i="1"/>
  <c r="B30164" i="1"/>
  <c r="A30165" i="1"/>
  <c r="B30165" i="1"/>
  <c r="A30166" i="1"/>
  <c r="B30166" i="1"/>
  <c r="A30167" i="1"/>
  <c r="B30167" i="1"/>
  <c r="A30168" i="1"/>
  <c r="B30168" i="1"/>
  <c r="A30169" i="1"/>
  <c r="B30169" i="1"/>
  <c r="A30170" i="1"/>
  <c r="B30170" i="1"/>
  <c r="A30171" i="1"/>
  <c r="B30171" i="1"/>
  <c r="A30172" i="1"/>
  <c r="B30172" i="1"/>
  <c r="A30173" i="1"/>
  <c r="B30173" i="1"/>
  <c r="A30174" i="1"/>
  <c r="B30174" i="1"/>
  <c r="A30175" i="1"/>
  <c r="B30175" i="1"/>
  <c r="A30176" i="1"/>
  <c r="B30176" i="1"/>
  <c r="A30177" i="1"/>
  <c r="B30177" i="1"/>
  <c r="A30178" i="1"/>
  <c r="B30178" i="1"/>
  <c r="A30179" i="1"/>
  <c r="B30179" i="1"/>
  <c r="A30180" i="1"/>
  <c r="B30180" i="1"/>
  <c r="A30181" i="1"/>
  <c r="B30181" i="1"/>
  <c r="A30182" i="1"/>
  <c r="B30182" i="1"/>
  <c r="A30183" i="1"/>
  <c r="B30183" i="1"/>
  <c r="A30184" i="1"/>
  <c r="B30184" i="1"/>
  <c r="A30185" i="1"/>
  <c r="B30185" i="1"/>
  <c r="A30186" i="1"/>
  <c r="B30186" i="1"/>
  <c r="A30187" i="1"/>
  <c r="B30187" i="1"/>
  <c r="A30188" i="1"/>
  <c r="B30188" i="1"/>
  <c r="A30189" i="1"/>
  <c r="B30189" i="1"/>
  <c r="A30190" i="1"/>
  <c r="B30190" i="1"/>
  <c r="A30191" i="1"/>
  <c r="B30191" i="1"/>
  <c r="A30192" i="1"/>
  <c r="B30192" i="1"/>
  <c r="A30193" i="1"/>
  <c r="B30193" i="1"/>
  <c r="A30194" i="1"/>
  <c r="B30194" i="1"/>
  <c r="A30195" i="1"/>
  <c r="B30195" i="1"/>
  <c r="A30196" i="1"/>
  <c r="B30196" i="1"/>
  <c r="A30197" i="1"/>
  <c r="B30197" i="1"/>
  <c r="A30198" i="1"/>
  <c r="B30198" i="1"/>
  <c r="A30199" i="1"/>
  <c r="B30199" i="1"/>
  <c r="A30200" i="1"/>
  <c r="B30200" i="1"/>
  <c r="A30201" i="1"/>
  <c r="B30201" i="1"/>
  <c r="A30202" i="1"/>
  <c r="B30202" i="1"/>
  <c r="A30203" i="1"/>
  <c r="B30203" i="1"/>
  <c r="A30204" i="1"/>
  <c r="B30204" i="1"/>
  <c r="A30205" i="1"/>
  <c r="B30205" i="1"/>
  <c r="A30206" i="1"/>
  <c r="B30206" i="1"/>
  <c r="A30207" i="1"/>
  <c r="B30207" i="1"/>
  <c r="A30208" i="1"/>
  <c r="B30208" i="1"/>
  <c r="A30209" i="1"/>
  <c r="B30209" i="1"/>
  <c r="A30210" i="1"/>
  <c r="B30210" i="1"/>
  <c r="A30211" i="1"/>
  <c r="B30211" i="1"/>
  <c r="A30212" i="1"/>
  <c r="B30212" i="1"/>
  <c r="A30213" i="1"/>
  <c r="B30213" i="1"/>
  <c r="A30214" i="1"/>
  <c r="B30214" i="1"/>
  <c r="A30215" i="1"/>
  <c r="B30215" i="1"/>
  <c r="A30216" i="1"/>
  <c r="B30216" i="1"/>
  <c r="A30217" i="1"/>
  <c r="B30217" i="1"/>
  <c r="A30218" i="1"/>
  <c r="B30218" i="1"/>
  <c r="A30219" i="1"/>
  <c r="B30219" i="1"/>
  <c r="A30220" i="1"/>
  <c r="B30220" i="1"/>
  <c r="A30221" i="1"/>
  <c r="B30221" i="1"/>
  <c r="A30222" i="1"/>
  <c r="B30222" i="1"/>
  <c r="A30223" i="1"/>
  <c r="B30223" i="1"/>
  <c r="A30224" i="1"/>
  <c r="B30224" i="1"/>
  <c r="A30225" i="1"/>
  <c r="B30225" i="1"/>
  <c r="A30226" i="1"/>
  <c r="B30226" i="1"/>
  <c r="A30227" i="1"/>
  <c r="B30227" i="1"/>
  <c r="A30228" i="1"/>
  <c r="B30228" i="1"/>
  <c r="A30229" i="1"/>
  <c r="B30229" i="1"/>
  <c r="A30230" i="1"/>
  <c r="B30230" i="1"/>
  <c r="A30231" i="1"/>
  <c r="B30231" i="1"/>
  <c r="A30232" i="1"/>
  <c r="B30232" i="1"/>
  <c r="A30233" i="1"/>
  <c r="B30233" i="1"/>
  <c r="A30234" i="1"/>
  <c r="B30234" i="1"/>
  <c r="A30235" i="1"/>
  <c r="B30235" i="1"/>
  <c r="A30236" i="1"/>
  <c r="B30236" i="1"/>
  <c r="A30237" i="1"/>
  <c r="B30237" i="1"/>
  <c r="A30238" i="1"/>
  <c r="B30238" i="1"/>
  <c r="A30239" i="1"/>
  <c r="B30239" i="1"/>
  <c r="A30240" i="1"/>
  <c r="B30240" i="1"/>
  <c r="A30241" i="1"/>
  <c r="B30241" i="1"/>
  <c r="A30242" i="1"/>
  <c r="B30242" i="1"/>
  <c r="A30243" i="1"/>
  <c r="B30243" i="1"/>
  <c r="A30244" i="1"/>
  <c r="B30244" i="1"/>
  <c r="A30245" i="1"/>
  <c r="B30245" i="1"/>
  <c r="A30246" i="1"/>
  <c r="B30246" i="1"/>
  <c r="A30247" i="1"/>
  <c r="B30247" i="1"/>
  <c r="A30248" i="1"/>
  <c r="B30248" i="1"/>
  <c r="A30249" i="1"/>
  <c r="B30249" i="1"/>
  <c r="A30250" i="1"/>
  <c r="B30250" i="1"/>
  <c r="A30251" i="1"/>
  <c r="B30251" i="1"/>
  <c r="A30252" i="1"/>
  <c r="B30252" i="1"/>
  <c r="A30253" i="1"/>
  <c r="B30253" i="1"/>
  <c r="A30254" i="1"/>
  <c r="B30254" i="1"/>
  <c r="A30255" i="1"/>
  <c r="B30255" i="1"/>
  <c r="A30256" i="1"/>
  <c r="B30256" i="1"/>
  <c r="A30257" i="1"/>
  <c r="B30257" i="1"/>
  <c r="A30258" i="1"/>
  <c r="B30258" i="1"/>
  <c r="A30259" i="1"/>
  <c r="B30259" i="1"/>
  <c r="A30260" i="1"/>
  <c r="B30260" i="1"/>
  <c r="A30261" i="1"/>
  <c r="B30261" i="1"/>
  <c r="A30262" i="1"/>
  <c r="B30262" i="1"/>
  <c r="A30263" i="1"/>
  <c r="B30263" i="1"/>
  <c r="A30264" i="1"/>
  <c r="B30264" i="1"/>
  <c r="A30265" i="1"/>
  <c r="B30265" i="1"/>
  <c r="A30266" i="1"/>
  <c r="B30266" i="1"/>
  <c r="A30267" i="1"/>
  <c r="B30267" i="1"/>
  <c r="A30268" i="1"/>
  <c r="B30268" i="1"/>
  <c r="A30269" i="1"/>
  <c r="B30269" i="1"/>
  <c r="A30270" i="1"/>
  <c r="B30270" i="1"/>
  <c r="A30271" i="1"/>
  <c r="B30271" i="1"/>
  <c r="A30272" i="1"/>
  <c r="B30272" i="1"/>
  <c r="A30273" i="1"/>
  <c r="B30273" i="1"/>
  <c r="A30274" i="1"/>
  <c r="B30274" i="1"/>
  <c r="A30275" i="1"/>
  <c r="B30275" i="1"/>
  <c r="A30276" i="1"/>
  <c r="B30276" i="1"/>
  <c r="A30277" i="1"/>
  <c r="B30277" i="1"/>
  <c r="A30278" i="1"/>
  <c r="B30278" i="1"/>
  <c r="A30279" i="1"/>
  <c r="B30279" i="1"/>
  <c r="A30280" i="1"/>
  <c r="B30280" i="1"/>
  <c r="A30281" i="1"/>
  <c r="B30281" i="1"/>
  <c r="A30282" i="1"/>
  <c r="B30282" i="1"/>
  <c r="A30283" i="1"/>
  <c r="B30283" i="1"/>
  <c r="A30284" i="1"/>
  <c r="B30284" i="1"/>
  <c r="A30285" i="1"/>
  <c r="B30285" i="1"/>
  <c r="A30286" i="1"/>
  <c r="B30286" i="1"/>
  <c r="A30287" i="1"/>
  <c r="B30287" i="1"/>
  <c r="A30288" i="1"/>
  <c r="B30288" i="1"/>
  <c r="A30289" i="1"/>
  <c r="B30289" i="1"/>
  <c r="A30290" i="1"/>
  <c r="B30290" i="1"/>
  <c r="A30291" i="1"/>
  <c r="B30291" i="1"/>
  <c r="A30292" i="1"/>
  <c r="B30292" i="1"/>
  <c r="A30293" i="1"/>
  <c r="B30293" i="1"/>
  <c r="A30294" i="1"/>
  <c r="B30294" i="1"/>
  <c r="A30295" i="1"/>
  <c r="B30295" i="1"/>
  <c r="A30296" i="1"/>
  <c r="B30296" i="1"/>
  <c r="A30297" i="1"/>
  <c r="B30297" i="1"/>
  <c r="A30298" i="1"/>
  <c r="B30298" i="1"/>
  <c r="A30299" i="1"/>
  <c r="B30299" i="1"/>
  <c r="A30300" i="1"/>
  <c r="B30300" i="1"/>
  <c r="A30301" i="1"/>
  <c r="B30301" i="1"/>
  <c r="A30302" i="1"/>
  <c r="B30302" i="1"/>
  <c r="A30303" i="1"/>
  <c r="B30303" i="1"/>
  <c r="A30304" i="1"/>
  <c r="B30304" i="1"/>
  <c r="A30305" i="1"/>
  <c r="B30305" i="1"/>
  <c r="A30306" i="1"/>
  <c r="B30306" i="1"/>
  <c r="A30307" i="1"/>
  <c r="B30307" i="1"/>
  <c r="A30308" i="1"/>
  <c r="B30308" i="1"/>
  <c r="A30309" i="1"/>
  <c r="B30309" i="1"/>
  <c r="A30310" i="1"/>
  <c r="B30310" i="1"/>
  <c r="A30311" i="1"/>
  <c r="B30311" i="1"/>
  <c r="A30312" i="1"/>
  <c r="B30312" i="1"/>
  <c r="A30313" i="1"/>
  <c r="B30313" i="1"/>
  <c r="A30314" i="1"/>
  <c r="B30314" i="1"/>
  <c r="A30315" i="1"/>
  <c r="B30315" i="1"/>
  <c r="A30316" i="1"/>
  <c r="B30316" i="1"/>
  <c r="A30317" i="1"/>
  <c r="B30317" i="1"/>
  <c r="A30318" i="1"/>
  <c r="B30318" i="1"/>
  <c r="A30319" i="1"/>
  <c r="B30319" i="1"/>
  <c r="A30320" i="1"/>
  <c r="B30320" i="1"/>
  <c r="A30321" i="1"/>
  <c r="B30321" i="1"/>
  <c r="A30322" i="1"/>
  <c r="B30322" i="1"/>
  <c r="A30323" i="1"/>
  <c r="B30323" i="1"/>
  <c r="A30324" i="1"/>
  <c r="B30324" i="1"/>
  <c r="A30325" i="1"/>
  <c r="B30325" i="1"/>
  <c r="A30326" i="1"/>
  <c r="B30326" i="1"/>
  <c r="A30327" i="1"/>
  <c r="B30327" i="1"/>
  <c r="A30328" i="1"/>
  <c r="B30328" i="1"/>
  <c r="A30329" i="1"/>
  <c r="B30329" i="1"/>
  <c r="A30330" i="1"/>
  <c r="B30330" i="1"/>
  <c r="A30331" i="1"/>
  <c r="B30331" i="1"/>
  <c r="A30332" i="1"/>
  <c r="B30332" i="1"/>
  <c r="A30333" i="1"/>
  <c r="B30333" i="1"/>
  <c r="A30334" i="1"/>
  <c r="B30334" i="1"/>
  <c r="A30335" i="1"/>
  <c r="B30335" i="1"/>
  <c r="A30336" i="1"/>
  <c r="B30336" i="1"/>
  <c r="A30337" i="1"/>
  <c r="B30337" i="1"/>
  <c r="A30338" i="1"/>
  <c r="B30338" i="1"/>
  <c r="A30339" i="1"/>
  <c r="B30339" i="1"/>
  <c r="A30340" i="1"/>
  <c r="B30340" i="1"/>
  <c r="A30341" i="1"/>
  <c r="B30341" i="1"/>
  <c r="A30342" i="1"/>
  <c r="B30342" i="1"/>
  <c r="A30343" i="1"/>
  <c r="B30343" i="1"/>
  <c r="A30344" i="1"/>
  <c r="B30344" i="1"/>
  <c r="A30345" i="1"/>
  <c r="B30345" i="1"/>
  <c r="A30346" i="1"/>
  <c r="B30346" i="1"/>
  <c r="A30347" i="1"/>
  <c r="B30347" i="1"/>
  <c r="A30348" i="1"/>
  <c r="B30348" i="1"/>
  <c r="A30349" i="1"/>
  <c r="B30349" i="1"/>
  <c r="A30350" i="1"/>
  <c r="B30350" i="1"/>
  <c r="A30351" i="1"/>
  <c r="B30351" i="1"/>
  <c r="A30352" i="1"/>
  <c r="B30352" i="1"/>
  <c r="A30353" i="1"/>
  <c r="B30353" i="1"/>
  <c r="A30354" i="1"/>
  <c r="B30354" i="1"/>
  <c r="A30355" i="1"/>
  <c r="B30355" i="1"/>
  <c r="A30356" i="1"/>
  <c r="B30356" i="1"/>
  <c r="A30357" i="1"/>
  <c r="B30357" i="1"/>
  <c r="A30358" i="1"/>
  <c r="B30358" i="1"/>
  <c r="A30359" i="1"/>
  <c r="B30359" i="1"/>
  <c r="A30360" i="1"/>
  <c r="B30360" i="1"/>
  <c r="A30361" i="1"/>
  <c r="B30361" i="1"/>
  <c r="A30362" i="1"/>
  <c r="B30362" i="1"/>
  <c r="A30363" i="1"/>
  <c r="B30363" i="1"/>
  <c r="A30364" i="1"/>
  <c r="B30364" i="1"/>
  <c r="A30365" i="1"/>
  <c r="B30365" i="1"/>
  <c r="A30366" i="1"/>
  <c r="B30366" i="1"/>
  <c r="A30367" i="1"/>
  <c r="B30367" i="1"/>
  <c r="A30368" i="1"/>
  <c r="B30368" i="1"/>
  <c r="A30369" i="1"/>
  <c r="B30369" i="1"/>
  <c r="A30370" i="1"/>
  <c r="B30370" i="1"/>
  <c r="A30371" i="1"/>
  <c r="B30371" i="1"/>
  <c r="A30372" i="1"/>
  <c r="B30372" i="1"/>
  <c r="A30373" i="1"/>
  <c r="B30373" i="1"/>
  <c r="A30374" i="1"/>
  <c r="B30374" i="1"/>
  <c r="A30375" i="1"/>
  <c r="B30375" i="1"/>
  <c r="A30376" i="1"/>
  <c r="B30376" i="1"/>
  <c r="A30377" i="1"/>
  <c r="B30377" i="1"/>
  <c r="A30378" i="1"/>
  <c r="B30378" i="1"/>
  <c r="A30379" i="1"/>
  <c r="B30379" i="1"/>
  <c r="A30380" i="1"/>
  <c r="B30380" i="1"/>
  <c r="A30381" i="1"/>
  <c r="B30381" i="1"/>
  <c r="A30382" i="1"/>
  <c r="B30382" i="1"/>
  <c r="A30383" i="1"/>
  <c r="B30383" i="1"/>
  <c r="A30384" i="1"/>
  <c r="B30384" i="1"/>
  <c r="A30385" i="1"/>
  <c r="B30385" i="1"/>
  <c r="A30386" i="1"/>
  <c r="B30386" i="1"/>
  <c r="A30387" i="1"/>
  <c r="B30387" i="1"/>
  <c r="A30388" i="1"/>
  <c r="B30388" i="1"/>
  <c r="A30389" i="1"/>
  <c r="B30389" i="1"/>
  <c r="A30390" i="1"/>
  <c r="B30390" i="1"/>
  <c r="A30391" i="1"/>
  <c r="B30391" i="1"/>
  <c r="A30392" i="1"/>
  <c r="B30392" i="1"/>
  <c r="A30393" i="1"/>
  <c r="B30393" i="1"/>
  <c r="A30394" i="1"/>
  <c r="B30394" i="1"/>
  <c r="A30395" i="1"/>
  <c r="B30395" i="1"/>
  <c r="A30396" i="1"/>
  <c r="B30396" i="1"/>
  <c r="A30397" i="1"/>
  <c r="B30397" i="1"/>
  <c r="A30398" i="1"/>
  <c r="B30398" i="1"/>
  <c r="A30399" i="1"/>
  <c r="B30399" i="1"/>
  <c r="A30400" i="1"/>
  <c r="B30400" i="1"/>
  <c r="A30401" i="1"/>
  <c r="B30401" i="1"/>
  <c r="A30402" i="1"/>
  <c r="B30402" i="1"/>
  <c r="A30403" i="1"/>
  <c r="B30403" i="1"/>
  <c r="A30404" i="1"/>
  <c r="B30404" i="1"/>
  <c r="A30405" i="1"/>
  <c r="B30405" i="1"/>
  <c r="A30406" i="1"/>
  <c r="B30406" i="1"/>
  <c r="A30407" i="1"/>
  <c r="B30407" i="1"/>
  <c r="A30408" i="1"/>
  <c r="B30408" i="1"/>
  <c r="A30409" i="1"/>
  <c r="B30409" i="1"/>
  <c r="A30410" i="1"/>
  <c r="B30410" i="1"/>
  <c r="A30411" i="1"/>
  <c r="B30411" i="1"/>
  <c r="A30412" i="1"/>
  <c r="B30412" i="1"/>
  <c r="A30413" i="1"/>
  <c r="B30413" i="1"/>
  <c r="A30414" i="1"/>
  <c r="B30414" i="1"/>
  <c r="A30415" i="1"/>
  <c r="B30415" i="1"/>
  <c r="A30416" i="1"/>
  <c r="B30416" i="1"/>
  <c r="A30417" i="1"/>
  <c r="B30417" i="1"/>
  <c r="A30418" i="1"/>
  <c r="B30418" i="1"/>
  <c r="A30419" i="1"/>
  <c r="B30419" i="1"/>
  <c r="A30420" i="1"/>
  <c r="B30420" i="1"/>
  <c r="A30421" i="1"/>
  <c r="B30421" i="1"/>
  <c r="A30422" i="1"/>
  <c r="B30422" i="1"/>
  <c r="A30423" i="1"/>
  <c r="B30423" i="1"/>
  <c r="A30424" i="1"/>
  <c r="B30424" i="1"/>
  <c r="A30425" i="1"/>
  <c r="B30425" i="1"/>
  <c r="A30426" i="1"/>
  <c r="B30426" i="1"/>
  <c r="A30427" i="1"/>
  <c r="B30427" i="1"/>
  <c r="A30428" i="1"/>
  <c r="B30428" i="1"/>
  <c r="A30429" i="1"/>
  <c r="B30429" i="1"/>
  <c r="A30430" i="1"/>
  <c r="B30430" i="1"/>
  <c r="A30431" i="1"/>
  <c r="B30431" i="1"/>
  <c r="A30432" i="1"/>
  <c r="B30432" i="1"/>
  <c r="A30433" i="1"/>
  <c r="B30433" i="1"/>
  <c r="A30434" i="1"/>
  <c r="B30434" i="1"/>
  <c r="A30435" i="1"/>
  <c r="B30435" i="1"/>
  <c r="A30436" i="1"/>
  <c r="B30436" i="1"/>
  <c r="A30437" i="1"/>
  <c r="B30437" i="1"/>
  <c r="A30438" i="1"/>
  <c r="B30438" i="1"/>
  <c r="A30439" i="1"/>
  <c r="B30439" i="1"/>
  <c r="A30440" i="1"/>
  <c r="B30440" i="1"/>
  <c r="A30441" i="1"/>
  <c r="B30441" i="1"/>
  <c r="A30442" i="1"/>
  <c r="B30442" i="1"/>
  <c r="A30443" i="1"/>
  <c r="B30443" i="1"/>
  <c r="A30444" i="1"/>
  <c r="B30444" i="1"/>
  <c r="A30445" i="1"/>
  <c r="B30445" i="1"/>
  <c r="A30446" i="1"/>
  <c r="B30446" i="1"/>
  <c r="A30447" i="1"/>
  <c r="B30447" i="1"/>
  <c r="A30448" i="1"/>
  <c r="B30448" i="1"/>
  <c r="A30449" i="1"/>
  <c r="B30449" i="1"/>
  <c r="A30450" i="1"/>
  <c r="B30450" i="1"/>
  <c r="A30451" i="1"/>
  <c r="B30451" i="1"/>
  <c r="A30452" i="1"/>
  <c r="B30452" i="1"/>
  <c r="A30453" i="1"/>
  <c r="B30453" i="1"/>
  <c r="A30454" i="1"/>
  <c r="B30454" i="1"/>
  <c r="A30455" i="1"/>
  <c r="B30455" i="1"/>
  <c r="A30456" i="1"/>
  <c r="B30456" i="1"/>
  <c r="A30457" i="1"/>
  <c r="B30457" i="1"/>
  <c r="A30458" i="1"/>
  <c r="B30458" i="1"/>
  <c r="A30459" i="1"/>
  <c r="B30459" i="1"/>
  <c r="A30460" i="1"/>
  <c r="B30460" i="1"/>
  <c r="A30461" i="1"/>
  <c r="B30461" i="1"/>
  <c r="A30462" i="1"/>
  <c r="B30462" i="1"/>
  <c r="A30463" i="1"/>
  <c r="B30463" i="1"/>
  <c r="A30464" i="1"/>
  <c r="B30464" i="1"/>
  <c r="A30465" i="1"/>
  <c r="B30465" i="1"/>
  <c r="A30466" i="1"/>
  <c r="B30466" i="1"/>
  <c r="A30467" i="1"/>
  <c r="B30467" i="1"/>
  <c r="A30468" i="1"/>
  <c r="B30468" i="1"/>
  <c r="A30469" i="1"/>
  <c r="B30469" i="1"/>
  <c r="A30470" i="1"/>
  <c r="B30470" i="1"/>
  <c r="A30471" i="1"/>
  <c r="B30471" i="1"/>
  <c r="A30472" i="1"/>
  <c r="B30472" i="1"/>
  <c r="A30473" i="1"/>
  <c r="B30473" i="1"/>
  <c r="A30474" i="1"/>
  <c r="B30474" i="1"/>
  <c r="A30475" i="1"/>
  <c r="B30475" i="1"/>
  <c r="A30476" i="1"/>
  <c r="B30476" i="1"/>
  <c r="A30477" i="1"/>
  <c r="B30477" i="1"/>
  <c r="A30478" i="1"/>
  <c r="B30478" i="1"/>
  <c r="A30479" i="1"/>
  <c r="B30479" i="1"/>
  <c r="A30480" i="1"/>
  <c r="B30480" i="1"/>
  <c r="A30481" i="1"/>
  <c r="B30481" i="1"/>
  <c r="A30482" i="1"/>
  <c r="B30482" i="1"/>
  <c r="A30483" i="1"/>
  <c r="B30483" i="1"/>
  <c r="A30484" i="1"/>
  <c r="B30484" i="1"/>
  <c r="A30485" i="1"/>
  <c r="B30485" i="1"/>
  <c r="A30486" i="1"/>
  <c r="B30486" i="1"/>
  <c r="A30487" i="1"/>
  <c r="B30487" i="1"/>
  <c r="A30488" i="1"/>
  <c r="B30488" i="1"/>
  <c r="A30489" i="1"/>
  <c r="B30489" i="1"/>
  <c r="A30490" i="1"/>
  <c r="B30490" i="1"/>
  <c r="A30491" i="1"/>
  <c r="B30491" i="1"/>
  <c r="A30492" i="1"/>
  <c r="B30492" i="1"/>
  <c r="A30493" i="1"/>
  <c r="B30493" i="1"/>
  <c r="A30494" i="1"/>
  <c r="B30494" i="1"/>
  <c r="A30495" i="1"/>
  <c r="B30495" i="1"/>
  <c r="A30496" i="1"/>
  <c r="B30496" i="1"/>
  <c r="A30497" i="1"/>
  <c r="B30497" i="1"/>
  <c r="A30498" i="1"/>
  <c r="B30498" i="1"/>
  <c r="A30499" i="1"/>
  <c r="B30499" i="1"/>
  <c r="A30500" i="1"/>
  <c r="B30500" i="1"/>
  <c r="A30501" i="1"/>
  <c r="B30501" i="1"/>
  <c r="A30502" i="1"/>
  <c r="B30502" i="1"/>
  <c r="A30503" i="1"/>
  <c r="B30503" i="1"/>
  <c r="A30504" i="1"/>
  <c r="B30504" i="1"/>
  <c r="A30505" i="1"/>
  <c r="B30505" i="1"/>
  <c r="A30506" i="1"/>
  <c r="B30506" i="1"/>
  <c r="A30507" i="1"/>
  <c r="B30507" i="1"/>
  <c r="A30508" i="1"/>
  <c r="B30508" i="1"/>
  <c r="A30509" i="1"/>
  <c r="B30509" i="1"/>
  <c r="A30510" i="1"/>
  <c r="B30510" i="1"/>
  <c r="A30511" i="1"/>
  <c r="B30511" i="1"/>
  <c r="A30512" i="1"/>
  <c r="B30512" i="1"/>
  <c r="A30513" i="1"/>
  <c r="B30513" i="1"/>
  <c r="A30514" i="1"/>
  <c r="B30514" i="1"/>
  <c r="A30515" i="1"/>
  <c r="B30515" i="1"/>
  <c r="A30516" i="1"/>
  <c r="B30516" i="1"/>
  <c r="A30517" i="1"/>
  <c r="B30517" i="1"/>
  <c r="A30518" i="1"/>
  <c r="B30518" i="1"/>
  <c r="A30519" i="1"/>
  <c r="B30519" i="1"/>
  <c r="A30520" i="1"/>
  <c r="B30520" i="1"/>
  <c r="A30521" i="1"/>
  <c r="B30521" i="1"/>
  <c r="A30522" i="1"/>
  <c r="B30522" i="1"/>
  <c r="A30523" i="1"/>
  <c r="B30523" i="1"/>
  <c r="A30524" i="1"/>
  <c r="B30524" i="1"/>
  <c r="A30525" i="1"/>
  <c r="B30525" i="1"/>
  <c r="A30526" i="1"/>
  <c r="B30526" i="1"/>
  <c r="A30527" i="1"/>
  <c r="B30527" i="1"/>
  <c r="A30528" i="1"/>
  <c r="B30528" i="1"/>
  <c r="A30529" i="1"/>
  <c r="B30529" i="1"/>
  <c r="A30530" i="1"/>
  <c r="B30530" i="1"/>
  <c r="A30531" i="1"/>
  <c r="B30531" i="1"/>
  <c r="A30532" i="1"/>
  <c r="B30532" i="1"/>
  <c r="A30533" i="1"/>
  <c r="B30533" i="1"/>
  <c r="A30534" i="1"/>
  <c r="B30534" i="1"/>
  <c r="A30535" i="1"/>
  <c r="B30535" i="1"/>
  <c r="A30536" i="1"/>
  <c r="B30536" i="1"/>
  <c r="A30537" i="1"/>
  <c r="B30537" i="1"/>
  <c r="A30538" i="1"/>
  <c r="B30538" i="1"/>
  <c r="A30539" i="1"/>
  <c r="B30539" i="1"/>
  <c r="A30540" i="1"/>
  <c r="B30540" i="1"/>
  <c r="A30541" i="1"/>
  <c r="B30541" i="1"/>
  <c r="A30542" i="1"/>
  <c r="B30542" i="1"/>
  <c r="A30543" i="1"/>
  <c r="B30543" i="1"/>
  <c r="A30544" i="1"/>
  <c r="B30544" i="1"/>
  <c r="A30545" i="1"/>
  <c r="B30545" i="1"/>
  <c r="A30546" i="1"/>
  <c r="B30546" i="1"/>
  <c r="A30547" i="1"/>
  <c r="B30547" i="1"/>
  <c r="A30548" i="1"/>
  <c r="B30548" i="1"/>
  <c r="A30549" i="1"/>
  <c r="B30549" i="1"/>
  <c r="A30550" i="1"/>
  <c r="B30550" i="1"/>
  <c r="A30551" i="1"/>
  <c r="B30551" i="1"/>
  <c r="A30552" i="1"/>
  <c r="B30552" i="1"/>
  <c r="A30553" i="1"/>
  <c r="B30553" i="1"/>
  <c r="A30554" i="1"/>
  <c r="B30554" i="1"/>
  <c r="A30555" i="1"/>
  <c r="B30555" i="1"/>
  <c r="A30556" i="1"/>
  <c r="B30556" i="1"/>
  <c r="A30557" i="1"/>
  <c r="B30557" i="1"/>
  <c r="A30558" i="1"/>
  <c r="B30558" i="1"/>
  <c r="A30559" i="1"/>
  <c r="B30559" i="1"/>
  <c r="A30560" i="1"/>
  <c r="B30560" i="1"/>
  <c r="A30561" i="1"/>
  <c r="B30561" i="1"/>
  <c r="A30562" i="1"/>
  <c r="B30562" i="1"/>
  <c r="A30563" i="1"/>
  <c r="B30563" i="1"/>
  <c r="A30564" i="1"/>
  <c r="B30564" i="1"/>
  <c r="A30565" i="1"/>
  <c r="B30565" i="1"/>
  <c r="A30566" i="1"/>
  <c r="B30566" i="1"/>
  <c r="A30567" i="1"/>
  <c r="B30567" i="1"/>
  <c r="A30568" i="1"/>
  <c r="B30568" i="1"/>
  <c r="A30569" i="1"/>
  <c r="B30569" i="1"/>
  <c r="A30570" i="1"/>
  <c r="B30570" i="1"/>
  <c r="A30571" i="1"/>
  <c r="B30571" i="1"/>
  <c r="A30572" i="1"/>
  <c r="B30572" i="1"/>
  <c r="A30573" i="1"/>
  <c r="B30573" i="1"/>
  <c r="A30574" i="1"/>
  <c r="B30574" i="1"/>
  <c r="A30575" i="1"/>
  <c r="B30575" i="1"/>
  <c r="A30576" i="1"/>
  <c r="B30576" i="1"/>
  <c r="A30577" i="1"/>
  <c r="B30577" i="1"/>
  <c r="A30578" i="1"/>
  <c r="B30578" i="1"/>
  <c r="A30579" i="1"/>
  <c r="B30579" i="1"/>
  <c r="A30580" i="1"/>
  <c r="B30580" i="1"/>
  <c r="A30581" i="1"/>
  <c r="B30581" i="1"/>
  <c r="A30582" i="1"/>
  <c r="B30582" i="1"/>
  <c r="A30583" i="1"/>
  <c r="B30583" i="1"/>
  <c r="A30584" i="1"/>
  <c r="B30584" i="1"/>
  <c r="A30585" i="1"/>
  <c r="B30585" i="1"/>
  <c r="A30586" i="1"/>
  <c r="B30586" i="1"/>
  <c r="A30587" i="1"/>
  <c r="B30587" i="1"/>
  <c r="A30588" i="1"/>
  <c r="B30588" i="1"/>
  <c r="A30589" i="1"/>
  <c r="B30589" i="1"/>
  <c r="A30590" i="1"/>
  <c r="B30590" i="1"/>
  <c r="A30591" i="1"/>
  <c r="B30591" i="1"/>
  <c r="A30592" i="1"/>
  <c r="B30592" i="1"/>
  <c r="A30593" i="1"/>
  <c r="B30593" i="1"/>
  <c r="A30594" i="1"/>
  <c r="B30594" i="1"/>
  <c r="A30595" i="1"/>
  <c r="B30595" i="1"/>
  <c r="A30596" i="1"/>
  <c r="B30596" i="1"/>
  <c r="A30597" i="1"/>
  <c r="B30597" i="1"/>
  <c r="A30598" i="1"/>
  <c r="B30598" i="1"/>
  <c r="A30599" i="1"/>
  <c r="B30599" i="1"/>
  <c r="A30600" i="1"/>
  <c r="B30600" i="1"/>
  <c r="A30601" i="1"/>
  <c r="B30601" i="1"/>
  <c r="A30602" i="1"/>
  <c r="B30602" i="1"/>
  <c r="A30603" i="1"/>
  <c r="B30603" i="1"/>
  <c r="A30604" i="1"/>
  <c r="B30604" i="1"/>
  <c r="A30605" i="1"/>
  <c r="B30605" i="1"/>
  <c r="A30606" i="1"/>
  <c r="B30606" i="1"/>
  <c r="A30607" i="1"/>
  <c r="B30607" i="1"/>
  <c r="A30608" i="1"/>
  <c r="B30608" i="1"/>
  <c r="A30609" i="1"/>
  <c r="B30609" i="1"/>
  <c r="A30610" i="1"/>
  <c r="B30610" i="1"/>
  <c r="A30611" i="1"/>
  <c r="B30611" i="1"/>
  <c r="A30612" i="1"/>
  <c r="B30612" i="1"/>
  <c r="A30613" i="1"/>
  <c r="B30613" i="1"/>
  <c r="A30614" i="1"/>
  <c r="B30614" i="1"/>
  <c r="A30615" i="1"/>
  <c r="B30615" i="1"/>
  <c r="A30616" i="1"/>
  <c r="B30616" i="1"/>
  <c r="A30617" i="1"/>
  <c r="B30617" i="1"/>
  <c r="A30618" i="1"/>
  <c r="B30618" i="1"/>
  <c r="A30619" i="1"/>
  <c r="B30619" i="1"/>
  <c r="A30620" i="1"/>
  <c r="B30620" i="1"/>
  <c r="A30621" i="1"/>
  <c r="B30621" i="1"/>
  <c r="A30622" i="1"/>
  <c r="B30622" i="1"/>
  <c r="A30623" i="1"/>
  <c r="B30623" i="1"/>
  <c r="A30624" i="1"/>
  <c r="B30624" i="1"/>
  <c r="A30625" i="1"/>
  <c r="B30625" i="1"/>
  <c r="A30626" i="1"/>
  <c r="B30626" i="1"/>
  <c r="A30627" i="1"/>
  <c r="B30627" i="1"/>
  <c r="A30628" i="1"/>
  <c r="B30628" i="1"/>
  <c r="A30629" i="1"/>
  <c r="B30629" i="1"/>
  <c r="A30630" i="1"/>
  <c r="B30630" i="1"/>
  <c r="A30631" i="1"/>
  <c r="B30631" i="1"/>
  <c r="A30632" i="1"/>
  <c r="B30632" i="1"/>
  <c r="A30633" i="1"/>
  <c r="B30633" i="1"/>
  <c r="A30634" i="1"/>
  <c r="B30634" i="1"/>
  <c r="A30635" i="1"/>
  <c r="B30635" i="1"/>
  <c r="A30636" i="1"/>
  <c r="B30636" i="1"/>
  <c r="A30637" i="1"/>
  <c r="B30637" i="1"/>
  <c r="A30638" i="1"/>
  <c r="B30638" i="1"/>
  <c r="A30639" i="1"/>
  <c r="B30639" i="1"/>
  <c r="A30640" i="1"/>
  <c r="B30640" i="1"/>
  <c r="A30641" i="1"/>
  <c r="B30641" i="1"/>
  <c r="A30642" i="1"/>
  <c r="B30642" i="1"/>
  <c r="A30643" i="1"/>
  <c r="B30643" i="1"/>
  <c r="A30644" i="1"/>
  <c r="B30644" i="1"/>
  <c r="A30645" i="1"/>
  <c r="B30645" i="1"/>
  <c r="A30646" i="1"/>
  <c r="B30646" i="1"/>
  <c r="A30647" i="1"/>
  <c r="B30647" i="1"/>
  <c r="A30648" i="1"/>
  <c r="B30648" i="1"/>
  <c r="A30649" i="1"/>
  <c r="B30649" i="1"/>
  <c r="A30650" i="1"/>
  <c r="B30650" i="1"/>
  <c r="A30651" i="1"/>
  <c r="B30651" i="1"/>
  <c r="A30652" i="1"/>
  <c r="B30652" i="1"/>
  <c r="A30653" i="1"/>
  <c r="B30653" i="1"/>
  <c r="A30654" i="1"/>
  <c r="B30654" i="1"/>
  <c r="A30655" i="1"/>
  <c r="B30655" i="1"/>
  <c r="A30656" i="1"/>
  <c r="B30656" i="1"/>
  <c r="A30657" i="1"/>
  <c r="B30657" i="1"/>
  <c r="A30658" i="1"/>
  <c r="B30658" i="1"/>
  <c r="A30659" i="1"/>
  <c r="B30659" i="1"/>
  <c r="A30660" i="1"/>
  <c r="B30660" i="1"/>
  <c r="A30661" i="1"/>
  <c r="B30661" i="1"/>
  <c r="A30662" i="1"/>
  <c r="B30662" i="1"/>
  <c r="A30663" i="1"/>
  <c r="B30663" i="1"/>
  <c r="A30664" i="1"/>
  <c r="B30664" i="1"/>
  <c r="A30665" i="1"/>
  <c r="B30665" i="1"/>
  <c r="A30666" i="1"/>
  <c r="B30666" i="1"/>
  <c r="A30667" i="1"/>
  <c r="B30667" i="1"/>
  <c r="A30668" i="1"/>
  <c r="B30668" i="1"/>
  <c r="A30669" i="1"/>
  <c r="B30669" i="1"/>
  <c r="A30670" i="1"/>
  <c r="B30670" i="1"/>
  <c r="A30671" i="1"/>
  <c r="B30671" i="1"/>
  <c r="A30672" i="1"/>
  <c r="B30672" i="1"/>
  <c r="A30673" i="1"/>
  <c r="B30673" i="1"/>
  <c r="A30674" i="1"/>
  <c r="B30674" i="1"/>
  <c r="A30675" i="1"/>
  <c r="B30675" i="1"/>
  <c r="A30676" i="1"/>
  <c r="B30676" i="1"/>
  <c r="A30677" i="1"/>
  <c r="B30677" i="1"/>
  <c r="A30678" i="1"/>
  <c r="B30678" i="1"/>
  <c r="A30679" i="1"/>
  <c r="B30679" i="1"/>
  <c r="A30680" i="1"/>
  <c r="B30680" i="1"/>
  <c r="A30681" i="1"/>
  <c r="B30681" i="1"/>
  <c r="A30682" i="1"/>
  <c r="B30682" i="1"/>
  <c r="A30683" i="1"/>
  <c r="B30683" i="1"/>
  <c r="A30684" i="1"/>
  <c r="B30684" i="1"/>
  <c r="A30685" i="1"/>
  <c r="B30685" i="1"/>
  <c r="A30686" i="1"/>
  <c r="B30686" i="1"/>
  <c r="A30687" i="1"/>
  <c r="B30687" i="1"/>
  <c r="A30688" i="1"/>
  <c r="B30688" i="1"/>
  <c r="A30689" i="1"/>
  <c r="B30689" i="1"/>
  <c r="A30690" i="1"/>
  <c r="B30690" i="1"/>
  <c r="A30691" i="1"/>
  <c r="B30691" i="1"/>
  <c r="A30692" i="1"/>
  <c r="B30692" i="1"/>
  <c r="A30693" i="1"/>
  <c r="B30693" i="1"/>
  <c r="A30694" i="1"/>
  <c r="B30694" i="1"/>
  <c r="A30695" i="1"/>
  <c r="B30695" i="1"/>
  <c r="A30696" i="1"/>
  <c r="B30696" i="1"/>
  <c r="A30697" i="1"/>
  <c r="B30697" i="1"/>
  <c r="A30698" i="1"/>
  <c r="B30698" i="1"/>
  <c r="A30699" i="1"/>
  <c r="B30699" i="1"/>
  <c r="A30700" i="1"/>
  <c r="B30700" i="1"/>
  <c r="A30701" i="1"/>
  <c r="B30701" i="1"/>
  <c r="A30702" i="1"/>
  <c r="B30702" i="1"/>
  <c r="A30703" i="1"/>
  <c r="B30703" i="1"/>
  <c r="A30704" i="1"/>
  <c r="B30704" i="1"/>
  <c r="A30705" i="1"/>
  <c r="B30705" i="1"/>
  <c r="A30706" i="1"/>
  <c r="B30706" i="1"/>
  <c r="A30707" i="1"/>
  <c r="B30707" i="1"/>
  <c r="A30708" i="1"/>
  <c r="B30708" i="1"/>
  <c r="A30709" i="1"/>
  <c r="B30709" i="1"/>
  <c r="A30710" i="1"/>
  <c r="B30710" i="1"/>
  <c r="A30711" i="1"/>
  <c r="B30711" i="1"/>
  <c r="A30712" i="1"/>
  <c r="B30712" i="1"/>
  <c r="A30713" i="1"/>
  <c r="B30713" i="1"/>
  <c r="A30714" i="1"/>
  <c r="B30714" i="1"/>
  <c r="A30715" i="1"/>
  <c r="B30715" i="1"/>
  <c r="A30716" i="1"/>
  <c r="B30716" i="1"/>
  <c r="A30717" i="1"/>
  <c r="B30717" i="1"/>
  <c r="A30718" i="1"/>
  <c r="B30718" i="1"/>
  <c r="A30719" i="1"/>
  <c r="B30719" i="1"/>
  <c r="A30720" i="1"/>
  <c r="B30720" i="1"/>
  <c r="A30721" i="1"/>
  <c r="B30721" i="1"/>
  <c r="A30722" i="1"/>
  <c r="B30722" i="1"/>
  <c r="A30723" i="1"/>
  <c r="B30723" i="1"/>
  <c r="A30724" i="1"/>
  <c r="B30724" i="1"/>
  <c r="A30725" i="1"/>
  <c r="B30725" i="1"/>
  <c r="A30726" i="1"/>
  <c r="B30726" i="1"/>
  <c r="A30727" i="1"/>
  <c r="B30727" i="1"/>
  <c r="A30728" i="1"/>
  <c r="B30728" i="1"/>
  <c r="A30729" i="1"/>
  <c r="B30729" i="1"/>
  <c r="A30730" i="1"/>
  <c r="B30730" i="1"/>
  <c r="A30731" i="1"/>
  <c r="B30731" i="1"/>
  <c r="A30732" i="1"/>
  <c r="B30732" i="1"/>
  <c r="A30733" i="1"/>
  <c r="B30733" i="1"/>
  <c r="A30734" i="1"/>
  <c r="B30734" i="1"/>
  <c r="A30735" i="1"/>
  <c r="B30735" i="1"/>
  <c r="A30736" i="1"/>
  <c r="B30736" i="1"/>
  <c r="A30737" i="1"/>
  <c r="B30737" i="1"/>
  <c r="A30738" i="1"/>
  <c r="B30738" i="1"/>
  <c r="A30739" i="1"/>
  <c r="B30739" i="1"/>
  <c r="A30740" i="1"/>
  <c r="B30740" i="1"/>
  <c r="A30741" i="1"/>
  <c r="B30741" i="1"/>
  <c r="A30742" i="1"/>
  <c r="B30742" i="1"/>
  <c r="A30743" i="1"/>
  <c r="B30743" i="1"/>
  <c r="A30744" i="1"/>
  <c r="B30744" i="1"/>
  <c r="A30745" i="1"/>
  <c r="B30745" i="1"/>
  <c r="A30746" i="1"/>
  <c r="B30746" i="1"/>
  <c r="A30747" i="1"/>
  <c r="B30747" i="1"/>
  <c r="A30748" i="1"/>
  <c r="B30748" i="1"/>
  <c r="A30749" i="1"/>
  <c r="B30749" i="1"/>
  <c r="A30750" i="1"/>
  <c r="B30750" i="1"/>
  <c r="A30751" i="1"/>
  <c r="B30751" i="1"/>
  <c r="A30752" i="1"/>
  <c r="B30752" i="1"/>
  <c r="A30753" i="1"/>
  <c r="B30753" i="1"/>
  <c r="A30754" i="1"/>
  <c r="B30754" i="1"/>
  <c r="A30755" i="1"/>
  <c r="B30755" i="1"/>
  <c r="A30756" i="1"/>
  <c r="B30756" i="1"/>
  <c r="A30757" i="1"/>
  <c r="B30757" i="1"/>
  <c r="A30758" i="1"/>
  <c r="B30758" i="1"/>
  <c r="A30759" i="1"/>
  <c r="B30759" i="1"/>
  <c r="A30760" i="1"/>
  <c r="B30760" i="1"/>
  <c r="A30761" i="1"/>
  <c r="B30761" i="1"/>
  <c r="A30762" i="1"/>
  <c r="B30762" i="1"/>
  <c r="A30763" i="1"/>
  <c r="B30763" i="1"/>
  <c r="A30764" i="1"/>
  <c r="B30764" i="1"/>
  <c r="A30765" i="1"/>
  <c r="B30765" i="1"/>
  <c r="A30766" i="1"/>
  <c r="B30766" i="1"/>
  <c r="A30767" i="1"/>
  <c r="B30767" i="1"/>
  <c r="A30768" i="1"/>
  <c r="B30768" i="1"/>
  <c r="A30769" i="1"/>
  <c r="B30769" i="1"/>
  <c r="A30770" i="1"/>
  <c r="B30770" i="1"/>
  <c r="A30771" i="1"/>
  <c r="B30771" i="1"/>
  <c r="A30772" i="1"/>
  <c r="B30772" i="1"/>
  <c r="A30773" i="1"/>
  <c r="B30773" i="1"/>
  <c r="A30774" i="1"/>
  <c r="B30774" i="1"/>
  <c r="A30775" i="1"/>
  <c r="B30775" i="1"/>
  <c r="A30776" i="1"/>
  <c r="B30776" i="1"/>
  <c r="A30777" i="1"/>
  <c r="B30777" i="1"/>
  <c r="A30778" i="1"/>
  <c r="B30778" i="1"/>
  <c r="A30779" i="1"/>
  <c r="B30779" i="1"/>
  <c r="A30780" i="1"/>
  <c r="B30780" i="1"/>
  <c r="A30781" i="1"/>
  <c r="B30781" i="1"/>
  <c r="A30782" i="1"/>
  <c r="B30782" i="1"/>
  <c r="A30783" i="1"/>
  <c r="B30783" i="1"/>
  <c r="A30784" i="1"/>
  <c r="B30784" i="1"/>
  <c r="A30785" i="1"/>
  <c r="B30785" i="1"/>
  <c r="A30786" i="1"/>
  <c r="B30786" i="1"/>
  <c r="A30787" i="1"/>
  <c r="B30787" i="1"/>
  <c r="A30788" i="1"/>
  <c r="B30788" i="1"/>
  <c r="A30789" i="1"/>
  <c r="B30789" i="1"/>
  <c r="A30790" i="1"/>
  <c r="B30790" i="1"/>
  <c r="A30791" i="1"/>
  <c r="B30791" i="1"/>
  <c r="A30792" i="1"/>
  <c r="B30792" i="1"/>
  <c r="A30793" i="1"/>
  <c r="B30793" i="1"/>
  <c r="A30794" i="1"/>
  <c r="B30794" i="1"/>
  <c r="A30795" i="1"/>
  <c r="B30795" i="1"/>
  <c r="A30796" i="1"/>
  <c r="B30796" i="1"/>
  <c r="A30797" i="1"/>
  <c r="B30797" i="1"/>
  <c r="A30798" i="1"/>
  <c r="B30798" i="1"/>
  <c r="A30799" i="1"/>
  <c r="B30799" i="1"/>
  <c r="A30800" i="1"/>
  <c r="B30800" i="1"/>
  <c r="A30801" i="1"/>
  <c r="B30801" i="1"/>
  <c r="A30802" i="1"/>
  <c r="B30802" i="1"/>
  <c r="A30803" i="1"/>
  <c r="B30803" i="1"/>
  <c r="A30804" i="1"/>
  <c r="B30804" i="1"/>
  <c r="A30805" i="1"/>
  <c r="B30805" i="1"/>
  <c r="A30806" i="1"/>
  <c r="B30806" i="1"/>
  <c r="A30807" i="1"/>
  <c r="B30807" i="1"/>
  <c r="A30808" i="1"/>
  <c r="B30808" i="1"/>
  <c r="A30809" i="1"/>
  <c r="B30809" i="1"/>
  <c r="A30810" i="1"/>
  <c r="B30810" i="1"/>
  <c r="A30811" i="1"/>
  <c r="B30811" i="1"/>
  <c r="A30812" i="1"/>
  <c r="B30812" i="1"/>
  <c r="A30813" i="1"/>
  <c r="B30813" i="1"/>
  <c r="A30814" i="1"/>
  <c r="B30814" i="1"/>
  <c r="A30815" i="1"/>
  <c r="B30815" i="1"/>
  <c r="A30816" i="1"/>
  <c r="B30816" i="1"/>
  <c r="A30817" i="1"/>
  <c r="B30817" i="1"/>
  <c r="A30818" i="1"/>
  <c r="B30818" i="1"/>
  <c r="A30819" i="1"/>
  <c r="B30819" i="1"/>
  <c r="A30820" i="1"/>
  <c r="B30820" i="1"/>
  <c r="A30821" i="1"/>
  <c r="B30821" i="1"/>
  <c r="A30822" i="1"/>
  <c r="B30822" i="1"/>
  <c r="A30823" i="1"/>
  <c r="B30823" i="1"/>
  <c r="A30824" i="1"/>
  <c r="B30824" i="1"/>
  <c r="A30825" i="1"/>
  <c r="B30825" i="1"/>
  <c r="A30826" i="1"/>
  <c r="B30826" i="1"/>
  <c r="A30827" i="1"/>
  <c r="B30827" i="1"/>
  <c r="A30828" i="1"/>
  <c r="B30828" i="1"/>
  <c r="A30829" i="1"/>
  <c r="B30829" i="1"/>
  <c r="A30830" i="1"/>
  <c r="B30830" i="1"/>
  <c r="A30831" i="1"/>
  <c r="B30831" i="1"/>
  <c r="A30832" i="1"/>
  <c r="B30832" i="1"/>
  <c r="A30833" i="1"/>
  <c r="B30833" i="1"/>
  <c r="A30834" i="1"/>
  <c r="B30834" i="1"/>
  <c r="A30835" i="1"/>
  <c r="B30835" i="1"/>
  <c r="A30836" i="1"/>
  <c r="B30836" i="1"/>
  <c r="A30837" i="1"/>
  <c r="B30837" i="1"/>
  <c r="A30838" i="1"/>
  <c r="B30838" i="1"/>
  <c r="A30839" i="1"/>
  <c r="B30839" i="1"/>
  <c r="A30840" i="1"/>
  <c r="B30840" i="1"/>
  <c r="A30841" i="1"/>
  <c r="B30841" i="1"/>
  <c r="A30842" i="1"/>
  <c r="B30842" i="1"/>
  <c r="A30843" i="1"/>
  <c r="B30843" i="1"/>
  <c r="A30844" i="1"/>
  <c r="B30844" i="1"/>
  <c r="A30845" i="1"/>
  <c r="B30845" i="1"/>
  <c r="A30846" i="1"/>
  <c r="B30846" i="1"/>
  <c r="A30847" i="1"/>
  <c r="B30847" i="1"/>
  <c r="A30848" i="1"/>
  <c r="B30848" i="1"/>
  <c r="A30849" i="1"/>
  <c r="B30849" i="1"/>
  <c r="A30850" i="1"/>
  <c r="B30850" i="1"/>
  <c r="A30851" i="1"/>
  <c r="B30851" i="1"/>
  <c r="A30852" i="1"/>
  <c r="B30852" i="1"/>
  <c r="A30853" i="1"/>
  <c r="B30853" i="1"/>
  <c r="A30854" i="1"/>
  <c r="B30854" i="1"/>
  <c r="A30855" i="1"/>
  <c r="B30855" i="1"/>
  <c r="A30856" i="1"/>
  <c r="B30856" i="1"/>
  <c r="A30857" i="1"/>
  <c r="B30857" i="1"/>
  <c r="A30858" i="1"/>
  <c r="B30858" i="1"/>
  <c r="A30859" i="1"/>
  <c r="B30859" i="1"/>
  <c r="A30860" i="1"/>
  <c r="B30860" i="1"/>
  <c r="A30861" i="1"/>
  <c r="B30861" i="1"/>
  <c r="A30862" i="1"/>
  <c r="B30862" i="1"/>
  <c r="A30863" i="1"/>
  <c r="B30863" i="1"/>
  <c r="A30864" i="1"/>
  <c r="B30864" i="1"/>
  <c r="A30865" i="1"/>
  <c r="B30865" i="1"/>
  <c r="A30866" i="1"/>
  <c r="B30866" i="1"/>
  <c r="A30867" i="1"/>
  <c r="B30867" i="1"/>
  <c r="A30868" i="1"/>
  <c r="B30868" i="1"/>
  <c r="A30869" i="1"/>
  <c r="B30869" i="1"/>
  <c r="A30870" i="1"/>
  <c r="B30870" i="1"/>
  <c r="A30871" i="1"/>
  <c r="B30871" i="1"/>
  <c r="A30872" i="1"/>
  <c r="B30872" i="1"/>
  <c r="A30873" i="1"/>
  <c r="B30873" i="1"/>
  <c r="A30874" i="1"/>
  <c r="B30874" i="1"/>
  <c r="A30875" i="1"/>
  <c r="B30875" i="1"/>
  <c r="A30876" i="1"/>
  <c r="B30876" i="1"/>
  <c r="A30877" i="1"/>
  <c r="B30877" i="1"/>
  <c r="A30878" i="1"/>
  <c r="B30878" i="1"/>
  <c r="A30879" i="1"/>
  <c r="B30879" i="1"/>
  <c r="A30880" i="1"/>
  <c r="B30880" i="1"/>
  <c r="A30881" i="1"/>
  <c r="B30881" i="1"/>
  <c r="A30882" i="1"/>
  <c r="B30882" i="1"/>
  <c r="A30883" i="1"/>
  <c r="B30883" i="1"/>
  <c r="A30884" i="1"/>
  <c r="B30884" i="1"/>
  <c r="A30885" i="1"/>
  <c r="B30885" i="1"/>
  <c r="A30886" i="1"/>
  <c r="B30886" i="1"/>
  <c r="A30887" i="1"/>
  <c r="B30887" i="1"/>
  <c r="A30888" i="1"/>
  <c r="B30888" i="1"/>
  <c r="A30889" i="1"/>
  <c r="B30889" i="1"/>
  <c r="A30890" i="1"/>
  <c r="B30890" i="1"/>
  <c r="A30891" i="1"/>
  <c r="B30891" i="1"/>
  <c r="A30892" i="1"/>
  <c r="B30892" i="1"/>
  <c r="A30893" i="1"/>
  <c r="B30893" i="1"/>
  <c r="A30894" i="1"/>
  <c r="B30894" i="1"/>
  <c r="A30895" i="1"/>
  <c r="B30895" i="1"/>
  <c r="A30896" i="1"/>
  <c r="B30896" i="1"/>
  <c r="A30897" i="1"/>
  <c r="B30897" i="1"/>
  <c r="A30898" i="1"/>
  <c r="B30898" i="1"/>
  <c r="A30899" i="1"/>
  <c r="B30899" i="1"/>
  <c r="A30900" i="1"/>
  <c r="B30900" i="1"/>
  <c r="A30901" i="1"/>
  <c r="B30901" i="1"/>
  <c r="A30902" i="1"/>
  <c r="B30902" i="1"/>
  <c r="A30903" i="1"/>
  <c r="B30903" i="1"/>
  <c r="A30904" i="1"/>
  <c r="B30904" i="1"/>
  <c r="A30905" i="1"/>
  <c r="B30905" i="1"/>
  <c r="A30906" i="1"/>
  <c r="B30906" i="1"/>
  <c r="A30907" i="1"/>
  <c r="B30907" i="1"/>
  <c r="A30908" i="1"/>
  <c r="B30908" i="1"/>
  <c r="A30909" i="1"/>
  <c r="B30909" i="1"/>
  <c r="A30910" i="1"/>
  <c r="B30910" i="1"/>
  <c r="A30911" i="1"/>
  <c r="B30911" i="1"/>
  <c r="A30912" i="1"/>
  <c r="B30912" i="1"/>
  <c r="A30913" i="1"/>
  <c r="B30913" i="1"/>
  <c r="A30914" i="1"/>
  <c r="B30914" i="1"/>
  <c r="A30915" i="1"/>
  <c r="B30915" i="1"/>
  <c r="A30916" i="1"/>
  <c r="B30916" i="1"/>
  <c r="A30917" i="1"/>
  <c r="B30917" i="1"/>
  <c r="A30918" i="1"/>
  <c r="B30918" i="1"/>
  <c r="A30919" i="1"/>
  <c r="B30919" i="1"/>
  <c r="A30920" i="1"/>
  <c r="B30920" i="1"/>
  <c r="A30921" i="1"/>
  <c r="B30921" i="1"/>
  <c r="A30922" i="1"/>
  <c r="B30922" i="1"/>
  <c r="A30923" i="1"/>
  <c r="B30923" i="1"/>
  <c r="A30924" i="1"/>
  <c r="B30924" i="1"/>
  <c r="A30925" i="1"/>
  <c r="B30925" i="1"/>
  <c r="A30926" i="1"/>
  <c r="B30926" i="1"/>
  <c r="A30927" i="1"/>
  <c r="B30927" i="1"/>
  <c r="A30928" i="1"/>
  <c r="B30928" i="1"/>
  <c r="A30929" i="1"/>
  <c r="B30929" i="1"/>
  <c r="A30930" i="1"/>
  <c r="B30930" i="1"/>
  <c r="A30931" i="1"/>
  <c r="B30931" i="1"/>
  <c r="A30932" i="1"/>
  <c r="B30932" i="1"/>
  <c r="A30933" i="1"/>
  <c r="B30933" i="1"/>
  <c r="A30934" i="1"/>
  <c r="B30934" i="1"/>
  <c r="A30935" i="1"/>
  <c r="B30935" i="1"/>
  <c r="A30936" i="1"/>
  <c r="B30936" i="1"/>
  <c r="A30937" i="1"/>
  <c r="B30937" i="1"/>
  <c r="A30938" i="1"/>
  <c r="B30938" i="1"/>
  <c r="A30939" i="1"/>
  <c r="B30939" i="1"/>
  <c r="A30940" i="1"/>
  <c r="B30940" i="1"/>
  <c r="A30941" i="1"/>
  <c r="B30941" i="1"/>
  <c r="A30942" i="1"/>
  <c r="B30942" i="1"/>
  <c r="A30943" i="1"/>
  <c r="B30943" i="1"/>
  <c r="A30944" i="1"/>
  <c r="B30944" i="1"/>
  <c r="A30945" i="1"/>
  <c r="B30945" i="1"/>
  <c r="A30946" i="1"/>
  <c r="B30946" i="1"/>
  <c r="A30947" i="1"/>
  <c r="B30947" i="1"/>
  <c r="A30948" i="1"/>
  <c r="B30948" i="1"/>
  <c r="A30949" i="1"/>
  <c r="B30949" i="1"/>
  <c r="A30950" i="1"/>
  <c r="B30950" i="1"/>
  <c r="A30951" i="1"/>
  <c r="B30951" i="1"/>
  <c r="A30952" i="1"/>
  <c r="B30952" i="1"/>
  <c r="A30953" i="1"/>
  <c r="B30953" i="1"/>
  <c r="A30954" i="1"/>
  <c r="B30954" i="1"/>
  <c r="A30955" i="1"/>
  <c r="B30955" i="1"/>
  <c r="A30956" i="1"/>
  <c r="B30956" i="1"/>
  <c r="A30957" i="1"/>
  <c r="B30957" i="1"/>
  <c r="A30958" i="1"/>
  <c r="B30958" i="1"/>
  <c r="A30959" i="1"/>
  <c r="B30959" i="1"/>
  <c r="A30960" i="1"/>
  <c r="B30960" i="1"/>
  <c r="A30961" i="1"/>
  <c r="B30961" i="1"/>
  <c r="A30962" i="1"/>
  <c r="B30962" i="1"/>
  <c r="A30963" i="1"/>
  <c r="B30963" i="1"/>
  <c r="A30964" i="1"/>
  <c r="B30964" i="1"/>
  <c r="A30965" i="1"/>
  <c r="B30965" i="1"/>
  <c r="A30966" i="1"/>
  <c r="B30966" i="1"/>
  <c r="A30967" i="1"/>
  <c r="B30967" i="1"/>
  <c r="A30968" i="1"/>
  <c r="B30968" i="1"/>
  <c r="A30969" i="1"/>
  <c r="B30969" i="1"/>
  <c r="A30970" i="1"/>
  <c r="B30970" i="1"/>
  <c r="A30971" i="1"/>
  <c r="B30971" i="1"/>
  <c r="A30972" i="1"/>
  <c r="B30972" i="1"/>
  <c r="A30973" i="1"/>
  <c r="B30973" i="1"/>
  <c r="A30974" i="1"/>
  <c r="B30974" i="1"/>
  <c r="A30975" i="1"/>
  <c r="B30975" i="1"/>
  <c r="A30976" i="1"/>
  <c r="B30976" i="1"/>
  <c r="A30977" i="1"/>
  <c r="B30977" i="1"/>
  <c r="A30978" i="1"/>
  <c r="B30978" i="1"/>
  <c r="A30979" i="1"/>
  <c r="B30979" i="1"/>
  <c r="A30980" i="1"/>
  <c r="B30980" i="1"/>
  <c r="A30981" i="1"/>
  <c r="B30981" i="1"/>
  <c r="A30982" i="1"/>
  <c r="B30982" i="1"/>
  <c r="A30983" i="1"/>
  <c r="B30983" i="1"/>
  <c r="A30984" i="1"/>
  <c r="B30984" i="1"/>
  <c r="A30985" i="1"/>
  <c r="B30985" i="1"/>
  <c r="A30986" i="1"/>
  <c r="B30986" i="1"/>
  <c r="A30987" i="1"/>
  <c r="B30987" i="1"/>
  <c r="A30988" i="1"/>
  <c r="B30988" i="1"/>
  <c r="A30989" i="1"/>
  <c r="B30989" i="1"/>
  <c r="A30990" i="1"/>
  <c r="B30990" i="1"/>
  <c r="A30991" i="1"/>
  <c r="B30991" i="1"/>
  <c r="A30992" i="1"/>
  <c r="B30992" i="1"/>
  <c r="A30993" i="1"/>
  <c r="B30993" i="1"/>
  <c r="A30994" i="1"/>
  <c r="B30994" i="1"/>
  <c r="A30995" i="1"/>
  <c r="B30995" i="1"/>
  <c r="A30996" i="1"/>
  <c r="B30996" i="1"/>
  <c r="A30997" i="1"/>
  <c r="B30997" i="1"/>
  <c r="A30998" i="1"/>
  <c r="B30998" i="1"/>
  <c r="A30999" i="1"/>
  <c r="B30999" i="1"/>
  <c r="A31000" i="1"/>
  <c r="B31000" i="1"/>
  <c r="A31001" i="1"/>
  <c r="B31001" i="1"/>
  <c r="A31002" i="1"/>
  <c r="B31002" i="1"/>
  <c r="A31003" i="1"/>
  <c r="B31003" i="1"/>
  <c r="A31004" i="1"/>
  <c r="B31004" i="1"/>
  <c r="A31005" i="1"/>
  <c r="B31005" i="1"/>
  <c r="A31006" i="1"/>
  <c r="B31006" i="1"/>
  <c r="A31007" i="1"/>
  <c r="B31007" i="1"/>
  <c r="A31008" i="1"/>
  <c r="B31008" i="1"/>
  <c r="A31009" i="1"/>
  <c r="B31009" i="1"/>
  <c r="A31010" i="1"/>
  <c r="B31010" i="1"/>
  <c r="A31011" i="1"/>
  <c r="B31011" i="1"/>
  <c r="A31012" i="1"/>
  <c r="B31012" i="1"/>
  <c r="A31013" i="1"/>
  <c r="B31013" i="1"/>
  <c r="A31014" i="1"/>
  <c r="B31014" i="1"/>
  <c r="A31015" i="1"/>
  <c r="B31015" i="1"/>
  <c r="A31016" i="1"/>
  <c r="B31016" i="1"/>
  <c r="A31017" i="1"/>
  <c r="B31017" i="1"/>
  <c r="A31018" i="1"/>
  <c r="B31018" i="1"/>
  <c r="A31019" i="1"/>
  <c r="B31019" i="1"/>
  <c r="A31020" i="1"/>
  <c r="B31020" i="1"/>
  <c r="A31021" i="1"/>
  <c r="B31021" i="1"/>
  <c r="A31022" i="1"/>
  <c r="B31022" i="1"/>
  <c r="A31023" i="1"/>
  <c r="B31023" i="1"/>
  <c r="A31024" i="1"/>
  <c r="B31024" i="1"/>
  <c r="A31025" i="1"/>
  <c r="B31025" i="1"/>
  <c r="A31026" i="1"/>
  <c r="B31026" i="1"/>
  <c r="A31027" i="1"/>
  <c r="B31027" i="1"/>
  <c r="A31028" i="1"/>
  <c r="B31028" i="1"/>
  <c r="A31029" i="1"/>
  <c r="B31029" i="1"/>
  <c r="A31030" i="1"/>
  <c r="B31030" i="1"/>
  <c r="A31031" i="1"/>
  <c r="B31031" i="1"/>
  <c r="A31032" i="1"/>
  <c r="B31032" i="1"/>
  <c r="A31033" i="1"/>
  <c r="B31033" i="1"/>
  <c r="A31034" i="1"/>
  <c r="B31034" i="1"/>
  <c r="A31035" i="1"/>
  <c r="B31035" i="1"/>
  <c r="A31036" i="1"/>
  <c r="B31036" i="1"/>
  <c r="A31037" i="1"/>
  <c r="B31037" i="1"/>
  <c r="A31038" i="1"/>
  <c r="B31038" i="1"/>
  <c r="A31039" i="1"/>
  <c r="B31039" i="1"/>
  <c r="A31040" i="1"/>
  <c r="B31040" i="1"/>
  <c r="A31041" i="1"/>
  <c r="B31041" i="1"/>
  <c r="A31042" i="1"/>
  <c r="B31042" i="1"/>
  <c r="A31043" i="1"/>
  <c r="B31043" i="1"/>
  <c r="A31044" i="1"/>
  <c r="B31044" i="1"/>
  <c r="A31045" i="1"/>
  <c r="B31045" i="1"/>
  <c r="A31046" i="1"/>
  <c r="B31046" i="1"/>
  <c r="A31047" i="1"/>
  <c r="B31047" i="1"/>
  <c r="A31048" i="1"/>
  <c r="B31048" i="1"/>
  <c r="A31049" i="1"/>
  <c r="B31049" i="1"/>
  <c r="A31050" i="1"/>
  <c r="B31050" i="1"/>
  <c r="A31051" i="1"/>
  <c r="B31051" i="1"/>
  <c r="A31052" i="1"/>
  <c r="B31052" i="1"/>
  <c r="A31053" i="1"/>
  <c r="B31053" i="1"/>
  <c r="A31054" i="1"/>
  <c r="B31054" i="1"/>
  <c r="A31055" i="1"/>
  <c r="B31055" i="1"/>
  <c r="A31056" i="1"/>
  <c r="B31056" i="1"/>
  <c r="A31057" i="1"/>
  <c r="B31057" i="1"/>
  <c r="A31058" i="1"/>
  <c r="B31058" i="1"/>
  <c r="A31059" i="1"/>
  <c r="B31059" i="1"/>
  <c r="A31060" i="1"/>
  <c r="B31060" i="1"/>
  <c r="A31061" i="1"/>
  <c r="B31061" i="1"/>
  <c r="A31062" i="1"/>
  <c r="B31062" i="1"/>
  <c r="A31063" i="1"/>
  <c r="B31063" i="1"/>
  <c r="A31064" i="1"/>
  <c r="B31064" i="1"/>
  <c r="A31065" i="1"/>
  <c r="B31065" i="1"/>
  <c r="A31066" i="1"/>
  <c r="B31066" i="1"/>
  <c r="A31067" i="1"/>
  <c r="B31067" i="1"/>
  <c r="A31068" i="1"/>
  <c r="B31068" i="1"/>
  <c r="A31069" i="1"/>
  <c r="B31069" i="1"/>
  <c r="A31070" i="1"/>
  <c r="B31070" i="1"/>
  <c r="A31071" i="1"/>
  <c r="B31071" i="1"/>
  <c r="A31072" i="1"/>
  <c r="B31072" i="1"/>
  <c r="A31073" i="1"/>
  <c r="B31073" i="1"/>
  <c r="A31074" i="1"/>
  <c r="B31074" i="1"/>
  <c r="A31075" i="1"/>
  <c r="B31075" i="1"/>
  <c r="A31076" i="1"/>
  <c r="B31076" i="1"/>
  <c r="A31077" i="1"/>
  <c r="B31077" i="1"/>
  <c r="A31078" i="1"/>
  <c r="B31078" i="1"/>
  <c r="A31079" i="1"/>
  <c r="B31079" i="1"/>
  <c r="A31080" i="1"/>
  <c r="B31080" i="1"/>
  <c r="A31081" i="1"/>
  <c r="B31081" i="1"/>
  <c r="A31082" i="1"/>
  <c r="B31082" i="1"/>
  <c r="A31083" i="1"/>
  <c r="B31083" i="1"/>
  <c r="A31084" i="1"/>
  <c r="B31084" i="1"/>
  <c r="A31085" i="1"/>
  <c r="B31085" i="1"/>
  <c r="A31086" i="1"/>
  <c r="B31086" i="1"/>
  <c r="A31087" i="1"/>
  <c r="B31087" i="1"/>
  <c r="A31088" i="1"/>
  <c r="B31088" i="1"/>
  <c r="A31089" i="1"/>
  <c r="B31089" i="1"/>
  <c r="A31090" i="1"/>
  <c r="B31090" i="1"/>
  <c r="A31091" i="1"/>
  <c r="B31091" i="1"/>
  <c r="A31092" i="1"/>
  <c r="B31092" i="1"/>
  <c r="A31093" i="1"/>
  <c r="B31093" i="1"/>
  <c r="A31094" i="1"/>
  <c r="B31094" i="1"/>
  <c r="A31095" i="1"/>
  <c r="B31095" i="1"/>
  <c r="A31096" i="1"/>
  <c r="B31096" i="1"/>
  <c r="A31097" i="1"/>
  <c r="B31097" i="1"/>
  <c r="A31098" i="1"/>
  <c r="B31098" i="1"/>
  <c r="A31099" i="1"/>
  <c r="B31099" i="1"/>
  <c r="A31100" i="1"/>
  <c r="B31100" i="1"/>
  <c r="A31101" i="1"/>
  <c r="B31101" i="1"/>
  <c r="A31102" i="1"/>
  <c r="B31102" i="1"/>
  <c r="A31103" i="1"/>
  <c r="B31103" i="1"/>
  <c r="A31104" i="1"/>
  <c r="B31104" i="1"/>
  <c r="A31105" i="1"/>
  <c r="B31105" i="1"/>
  <c r="A31106" i="1"/>
  <c r="B31106" i="1"/>
  <c r="A31107" i="1"/>
  <c r="B31107" i="1"/>
  <c r="A31108" i="1"/>
  <c r="B31108" i="1"/>
  <c r="A31109" i="1"/>
  <c r="B31109" i="1"/>
  <c r="A31110" i="1"/>
  <c r="B31110" i="1"/>
  <c r="A31111" i="1"/>
  <c r="B31111" i="1"/>
  <c r="A31112" i="1"/>
  <c r="B31112" i="1"/>
  <c r="A31113" i="1"/>
  <c r="B31113" i="1"/>
  <c r="A31114" i="1"/>
  <c r="B31114" i="1"/>
  <c r="A31115" i="1"/>
  <c r="B31115" i="1"/>
  <c r="A31116" i="1"/>
  <c r="B31116" i="1"/>
  <c r="A31117" i="1"/>
  <c r="B31117" i="1"/>
  <c r="A31118" i="1"/>
  <c r="B31118" i="1"/>
  <c r="A31119" i="1"/>
  <c r="B31119" i="1"/>
  <c r="A31120" i="1"/>
  <c r="B31120" i="1"/>
  <c r="A31121" i="1"/>
  <c r="B31121" i="1"/>
  <c r="A31122" i="1"/>
  <c r="B31122" i="1"/>
  <c r="A31123" i="1"/>
  <c r="B31123" i="1"/>
  <c r="A31124" i="1"/>
  <c r="B31124" i="1"/>
  <c r="A31125" i="1"/>
  <c r="B31125" i="1"/>
  <c r="A31126" i="1"/>
  <c r="B31126" i="1"/>
  <c r="A31127" i="1"/>
  <c r="B31127" i="1"/>
  <c r="A31128" i="1"/>
  <c r="B31128" i="1"/>
  <c r="A31129" i="1"/>
  <c r="B31129" i="1"/>
  <c r="A31130" i="1"/>
  <c r="B31130" i="1"/>
  <c r="A31131" i="1"/>
  <c r="B31131" i="1"/>
  <c r="A31132" i="1"/>
  <c r="B31132" i="1"/>
  <c r="A31133" i="1"/>
  <c r="B31133" i="1"/>
  <c r="A31134" i="1"/>
  <c r="B31134" i="1"/>
  <c r="A31135" i="1"/>
  <c r="B31135" i="1"/>
  <c r="A31136" i="1"/>
  <c r="B31136" i="1"/>
  <c r="A31137" i="1"/>
  <c r="B31137" i="1"/>
  <c r="A31138" i="1"/>
  <c r="B31138" i="1"/>
  <c r="A31139" i="1"/>
  <c r="B31139" i="1"/>
  <c r="A31140" i="1"/>
  <c r="B31140" i="1"/>
  <c r="A31141" i="1"/>
  <c r="B31141" i="1"/>
  <c r="A31142" i="1"/>
  <c r="B31142" i="1"/>
  <c r="A31143" i="1"/>
  <c r="B31143" i="1"/>
  <c r="A31144" i="1"/>
  <c r="B31144" i="1"/>
  <c r="A31145" i="1"/>
  <c r="B31145" i="1"/>
  <c r="A31146" i="1"/>
  <c r="B31146" i="1"/>
  <c r="A31147" i="1"/>
  <c r="B31147" i="1"/>
  <c r="A31148" i="1"/>
  <c r="B31148" i="1"/>
  <c r="A31149" i="1"/>
  <c r="B31149" i="1"/>
  <c r="A31150" i="1"/>
  <c r="B31150" i="1"/>
  <c r="A31151" i="1"/>
  <c r="B31151" i="1"/>
  <c r="A31152" i="1"/>
  <c r="B31152" i="1"/>
  <c r="A31153" i="1"/>
  <c r="B31153" i="1"/>
  <c r="A31154" i="1"/>
  <c r="B31154" i="1"/>
  <c r="A31155" i="1"/>
  <c r="B31155" i="1"/>
  <c r="A31156" i="1"/>
  <c r="B31156" i="1"/>
  <c r="A31157" i="1"/>
  <c r="B31157" i="1"/>
  <c r="A31158" i="1"/>
  <c r="B31158" i="1"/>
  <c r="A31159" i="1"/>
  <c r="B31159" i="1"/>
  <c r="A31160" i="1"/>
  <c r="B31160" i="1"/>
  <c r="A31161" i="1"/>
  <c r="B31161" i="1"/>
  <c r="A31162" i="1"/>
  <c r="B31162" i="1"/>
  <c r="A31163" i="1"/>
  <c r="B31163" i="1"/>
  <c r="A31164" i="1"/>
  <c r="B31164" i="1"/>
  <c r="A31165" i="1"/>
  <c r="B31165" i="1"/>
  <c r="A31166" i="1"/>
  <c r="B31166" i="1"/>
  <c r="A31167" i="1"/>
  <c r="B31167" i="1"/>
  <c r="A31168" i="1"/>
  <c r="B31168" i="1"/>
  <c r="A31169" i="1"/>
  <c r="B31169" i="1"/>
  <c r="A31170" i="1"/>
  <c r="B31170" i="1"/>
  <c r="A31171" i="1"/>
  <c r="B31171" i="1"/>
  <c r="A31172" i="1"/>
  <c r="B31172" i="1"/>
  <c r="A31173" i="1"/>
  <c r="B31173" i="1"/>
  <c r="A31174" i="1"/>
  <c r="B31174" i="1"/>
  <c r="A31175" i="1"/>
  <c r="B31175" i="1"/>
  <c r="A31176" i="1"/>
  <c r="B31176" i="1"/>
  <c r="A31177" i="1"/>
  <c r="B31177" i="1"/>
  <c r="A31178" i="1"/>
  <c r="B31178" i="1"/>
  <c r="A31179" i="1"/>
  <c r="B31179" i="1"/>
  <c r="A31180" i="1"/>
  <c r="B31180" i="1"/>
  <c r="A31181" i="1"/>
  <c r="B31181" i="1"/>
  <c r="A31182" i="1"/>
  <c r="B31182" i="1"/>
  <c r="A31183" i="1"/>
  <c r="B31183" i="1"/>
  <c r="A31184" i="1"/>
  <c r="B31184" i="1"/>
  <c r="A31185" i="1"/>
  <c r="B31185" i="1"/>
  <c r="A31186" i="1"/>
  <c r="B31186" i="1"/>
  <c r="A31187" i="1"/>
  <c r="B31187" i="1"/>
  <c r="A31188" i="1"/>
  <c r="B31188" i="1"/>
  <c r="A31189" i="1"/>
  <c r="B31189" i="1"/>
  <c r="A31190" i="1"/>
  <c r="B31190" i="1"/>
  <c r="A31191" i="1"/>
  <c r="B31191" i="1"/>
  <c r="A31192" i="1"/>
  <c r="B31192" i="1"/>
  <c r="A31193" i="1"/>
  <c r="B31193" i="1"/>
  <c r="A31194" i="1"/>
  <c r="B31194" i="1"/>
  <c r="A31195" i="1"/>
  <c r="B31195" i="1"/>
  <c r="A31196" i="1"/>
  <c r="B31196" i="1"/>
  <c r="A31197" i="1"/>
  <c r="B31197" i="1"/>
  <c r="A31198" i="1"/>
  <c r="B31198" i="1"/>
  <c r="A31199" i="1"/>
  <c r="B31199" i="1"/>
  <c r="A31200" i="1"/>
  <c r="B31200" i="1"/>
  <c r="A31201" i="1"/>
  <c r="B31201" i="1"/>
  <c r="A31202" i="1"/>
  <c r="B31202" i="1"/>
  <c r="A31203" i="1"/>
  <c r="B31203" i="1"/>
  <c r="A31204" i="1"/>
  <c r="B31204" i="1"/>
  <c r="A31205" i="1"/>
  <c r="B31205" i="1"/>
  <c r="A31206" i="1"/>
  <c r="B31206" i="1"/>
  <c r="A31207" i="1"/>
  <c r="B31207" i="1"/>
  <c r="A31208" i="1"/>
  <c r="B31208" i="1"/>
  <c r="A31209" i="1"/>
  <c r="B31209" i="1"/>
  <c r="A31210" i="1"/>
  <c r="B31210" i="1"/>
  <c r="A31211" i="1"/>
  <c r="B31211" i="1"/>
  <c r="A31212" i="1"/>
  <c r="B31212" i="1"/>
  <c r="A31213" i="1"/>
  <c r="B31213" i="1"/>
  <c r="A31214" i="1"/>
  <c r="B31214" i="1"/>
  <c r="A31215" i="1"/>
  <c r="B31215" i="1"/>
  <c r="A31216" i="1"/>
  <c r="B31216" i="1"/>
  <c r="A31217" i="1"/>
  <c r="B31217" i="1"/>
  <c r="A31218" i="1"/>
  <c r="B31218" i="1"/>
  <c r="A31219" i="1"/>
  <c r="B31219" i="1"/>
  <c r="A31220" i="1"/>
  <c r="B31220" i="1"/>
  <c r="A31221" i="1"/>
  <c r="B31221" i="1"/>
  <c r="A31222" i="1"/>
  <c r="B31222" i="1"/>
  <c r="A31223" i="1"/>
  <c r="B31223" i="1"/>
  <c r="A31224" i="1"/>
  <c r="B31224" i="1"/>
  <c r="A31225" i="1"/>
  <c r="B31225" i="1"/>
  <c r="A31226" i="1"/>
  <c r="B31226" i="1"/>
  <c r="A31227" i="1"/>
  <c r="B31227" i="1"/>
  <c r="A31228" i="1"/>
  <c r="B31228" i="1"/>
  <c r="A31229" i="1"/>
  <c r="B31229" i="1"/>
  <c r="A31230" i="1"/>
  <c r="B31230" i="1"/>
  <c r="A31231" i="1"/>
  <c r="B31231" i="1"/>
  <c r="A31232" i="1"/>
  <c r="B31232" i="1"/>
  <c r="A31233" i="1"/>
  <c r="B31233" i="1"/>
  <c r="A31234" i="1"/>
  <c r="B31234" i="1"/>
  <c r="A31235" i="1"/>
  <c r="B31235" i="1"/>
  <c r="A31236" i="1"/>
  <c r="B31236" i="1"/>
  <c r="A31237" i="1"/>
  <c r="B31237" i="1"/>
  <c r="A31238" i="1"/>
  <c r="B31238" i="1"/>
  <c r="A31239" i="1"/>
  <c r="B31239" i="1"/>
  <c r="A31240" i="1"/>
  <c r="B31240" i="1"/>
  <c r="A31241" i="1"/>
  <c r="B31241" i="1"/>
  <c r="A31242" i="1"/>
  <c r="B31242" i="1"/>
  <c r="A31243" i="1"/>
  <c r="B31243" i="1"/>
  <c r="A31244" i="1"/>
  <c r="B31244" i="1"/>
  <c r="A31245" i="1"/>
  <c r="B31245" i="1"/>
  <c r="A31246" i="1"/>
  <c r="B31246" i="1"/>
  <c r="A31247" i="1"/>
  <c r="B31247" i="1"/>
  <c r="A31248" i="1"/>
  <c r="B31248" i="1"/>
  <c r="A31249" i="1"/>
  <c r="B31249" i="1"/>
  <c r="A31250" i="1"/>
  <c r="B31250" i="1"/>
  <c r="A31251" i="1"/>
  <c r="B31251" i="1"/>
  <c r="A31252" i="1"/>
  <c r="B31252" i="1"/>
  <c r="A31253" i="1"/>
  <c r="B31253" i="1"/>
  <c r="A31254" i="1"/>
  <c r="B31254" i="1"/>
  <c r="A31255" i="1"/>
  <c r="B31255" i="1"/>
  <c r="A31256" i="1"/>
  <c r="B31256" i="1"/>
  <c r="A31257" i="1"/>
  <c r="B31257" i="1"/>
  <c r="A31258" i="1"/>
  <c r="B31258" i="1"/>
  <c r="A31259" i="1"/>
  <c r="B31259" i="1"/>
  <c r="A31260" i="1"/>
  <c r="B31260" i="1"/>
  <c r="A31261" i="1"/>
  <c r="B31261" i="1"/>
  <c r="A31262" i="1"/>
  <c r="B31262" i="1"/>
  <c r="A31263" i="1"/>
  <c r="B31263" i="1"/>
  <c r="A31264" i="1"/>
  <c r="B31264" i="1"/>
  <c r="A31265" i="1"/>
  <c r="B31265" i="1"/>
  <c r="A31266" i="1"/>
  <c r="B31266" i="1"/>
  <c r="A31267" i="1"/>
  <c r="B31267" i="1"/>
  <c r="A31268" i="1"/>
  <c r="B31268" i="1"/>
  <c r="A31269" i="1"/>
  <c r="B31269" i="1"/>
  <c r="A31270" i="1"/>
  <c r="B31270" i="1"/>
  <c r="A31271" i="1"/>
  <c r="B31271" i="1"/>
  <c r="A31272" i="1"/>
  <c r="B31272" i="1"/>
  <c r="A31273" i="1"/>
  <c r="B31273" i="1"/>
  <c r="A31274" i="1"/>
  <c r="B31274" i="1"/>
  <c r="A31275" i="1"/>
  <c r="B31275" i="1"/>
  <c r="A31276" i="1"/>
  <c r="B31276" i="1"/>
  <c r="A31277" i="1"/>
  <c r="B31277" i="1"/>
  <c r="A31278" i="1"/>
  <c r="B31278" i="1"/>
  <c r="A31279" i="1"/>
  <c r="B31279" i="1"/>
  <c r="A31280" i="1"/>
  <c r="B31280" i="1"/>
  <c r="A31281" i="1"/>
  <c r="B31281" i="1"/>
  <c r="A31282" i="1"/>
  <c r="B31282" i="1"/>
  <c r="A31283" i="1"/>
  <c r="B31283" i="1"/>
  <c r="A31284" i="1"/>
  <c r="B31284" i="1"/>
  <c r="A31285" i="1"/>
  <c r="B31285" i="1"/>
  <c r="A31286" i="1"/>
  <c r="B31286" i="1"/>
  <c r="A31287" i="1"/>
  <c r="B31287" i="1"/>
  <c r="A31288" i="1"/>
  <c r="B31288" i="1"/>
  <c r="A31289" i="1"/>
  <c r="B31289" i="1"/>
  <c r="A31290" i="1"/>
  <c r="B31290" i="1"/>
  <c r="A31291" i="1"/>
  <c r="B31291" i="1"/>
  <c r="A31292" i="1"/>
  <c r="B31292" i="1"/>
  <c r="A31293" i="1"/>
  <c r="B31293" i="1"/>
  <c r="A31294" i="1"/>
  <c r="B31294" i="1"/>
  <c r="A31295" i="1"/>
  <c r="B31295" i="1"/>
  <c r="A31296" i="1"/>
  <c r="B31296" i="1"/>
  <c r="A31297" i="1"/>
  <c r="B31297" i="1"/>
  <c r="A31298" i="1"/>
  <c r="B31298" i="1"/>
  <c r="A31299" i="1"/>
  <c r="B31299" i="1"/>
  <c r="A31300" i="1"/>
  <c r="B31300" i="1"/>
  <c r="A31301" i="1"/>
  <c r="B31301" i="1"/>
  <c r="A31302" i="1"/>
  <c r="B31302" i="1"/>
  <c r="A31303" i="1"/>
  <c r="B31303" i="1"/>
  <c r="A31304" i="1"/>
  <c r="B31304" i="1"/>
  <c r="A31305" i="1"/>
  <c r="B31305" i="1"/>
  <c r="A31306" i="1"/>
  <c r="B31306" i="1"/>
  <c r="A31307" i="1"/>
  <c r="B31307" i="1"/>
  <c r="A31308" i="1"/>
  <c r="B31308" i="1"/>
  <c r="A31309" i="1"/>
  <c r="B31309" i="1"/>
  <c r="A31310" i="1"/>
  <c r="B31310" i="1"/>
  <c r="A31311" i="1"/>
  <c r="B31311" i="1"/>
  <c r="A31312" i="1"/>
  <c r="B31312" i="1"/>
  <c r="A31313" i="1"/>
  <c r="B31313" i="1"/>
  <c r="A31314" i="1"/>
  <c r="B31314" i="1"/>
  <c r="A31315" i="1"/>
  <c r="B31315" i="1"/>
  <c r="A31316" i="1"/>
  <c r="B31316" i="1"/>
  <c r="A31317" i="1"/>
  <c r="B31317" i="1"/>
  <c r="A31318" i="1"/>
  <c r="B31318" i="1"/>
  <c r="A31319" i="1"/>
  <c r="B31319" i="1"/>
  <c r="A31320" i="1"/>
  <c r="B31320" i="1"/>
  <c r="A31321" i="1"/>
  <c r="B31321" i="1"/>
  <c r="A31322" i="1"/>
  <c r="B31322" i="1"/>
  <c r="A31323" i="1"/>
  <c r="B31323" i="1"/>
  <c r="A31324" i="1"/>
  <c r="B31324" i="1"/>
  <c r="A31325" i="1"/>
  <c r="B31325" i="1"/>
  <c r="A31326" i="1"/>
  <c r="B31326" i="1"/>
  <c r="A31327" i="1"/>
  <c r="B31327" i="1"/>
  <c r="A31328" i="1"/>
  <c r="B31328" i="1"/>
  <c r="A31329" i="1"/>
  <c r="B31329" i="1"/>
  <c r="A31330" i="1"/>
  <c r="B31330" i="1"/>
  <c r="A31331" i="1"/>
  <c r="B31331" i="1"/>
  <c r="A31332" i="1"/>
  <c r="B31332" i="1"/>
  <c r="A31333" i="1"/>
  <c r="B31333" i="1"/>
  <c r="A31334" i="1"/>
  <c r="B31334" i="1"/>
  <c r="A31335" i="1"/>
  <c r="B31335" i="1"/>
  <c r="A31336" i="1"/>
  <c r="B31336" i="1"/>
  <c r="A31337" i="1"/>
  <c r="B31337" i="1"/>
  <c r="A31338" i="1"/>
  <c r="B31338" i="1"/>
  <c r="A31339" i="1"/>
  <c r="B31339" i="1"/>
  <c r="A31340" i="1"/>
  <c r="B31340" i="1"/>
  <c r="A31341" i="1"/>
  <c r="B31341" i="1"/>
  <c r="A31342" i="1"/>
  <c r="B31342" i="1"/>
  <c r="A31343" i="1"/>
  <c r="B31343" i="1"/>
  <c r="A31344" i="1"/>
  <c r="B31344" i="1"/>
  <c r="A31345" i="1"/>
  <c r="B31345" i="1"/>
  <c r="A31346" i="1"/>
  <c r="B31346" i="1"/>
  <c r="A31347" i="1"/>
  <c r="B31347" i="1"/>
  <c r="A31348" i="1"/>
  <c r="B31348" i="1"/>
  <c r="A31349" i="1"/>
  <c r="B31349" i="1"/>
  <c r="A31350" i="1"/>
  <c r="B31350" i="1"/>
  <c r="A31351" i="1"/>
  <c r="B31351" i="1"/>
  <c r="A31352" i="1"/>
  <c r="B31352" i="1"/>
  <c r="A31353" i="1"/>
  <c r="B31353" i="1"/>
  <c r="A31354" i="1"/>
  <c r="B31354" i="1"/>
  <c r="A31355" i="1"/>
  <c r="B31355" i="1"/>
  <c r="A31356" i="1"/>
  <c r="B31356" i="1"/>
  <c r="A31357" i="1"/>
  <c r="B31357" i="1"/>
  <c r="A31358" i="1"/>
  <c r="B31358" i="1"/>
  <c r="A31359" i="1"/>
  <c r="B31359" i="1"/>
  <c r="A31360" i="1"/>
  <c r="B31360" i="1"/>
  <c r="A31361" i="1"/>
  <c r="B31361" i="1"/>
  <c r="A31362" i="1"/>
  <c r="B31362" i="1"/>
  <c r="A31363" i="1"/>
  <c r="B31363" i="1"/>
  <c r="A31364" i="1"/>
  <c r="B31364" i="1"/>
  <c r="A31365" i="1"/>
  <c r="B31365" i="1"/>
  <c r="A31366" i="1"/>
  <c r="B31366" i="1"/>
  <c r="A31367" i="1"/>
  <c r="B31367" i="1"/>
  <c r="A31368" i="1"/>
  <c r="B31368" i="1"/>
  <c r="A31369" i="1"/>
  <c r="B31369" i="1"/>
  <c r="A31370" i="1"/>
  <c r="B31370" i="1"/>
  <c r="A31371" i="1"/>
  <c r="B31371" i="1"/>
  <c r="A31372" i="1"/>
  <c r="B31372" i="1"/>
  <c r="A31373" i="1"/>
  <c r="B31373" i="1"/>
  <c r="A31374" i="1"/>
  <c r="B31374" i="1"/>
  <c r="A31375" i="1"/>
  <c r="B31375" i="1"/>
  <c r="A31376" i="1"/>
  <c r="B31376" i="1"/>
  <c r="A31377" i="1"/>
  <c r="B31377" i="1"/>
  <c r="A31378" i="1"/>
  <c r="B31378" i="1"/>
  <c r="A31379" i="1"/>
  <c r="B31379" i="1"/>
  <c r="A31380" i="1"/>
  <c r="B31380" i="1"/>
  <c r="A31381" i="1"/>
  <c r="B31381" i="1"/>
  <c r="A31382" i="1"/>
  <c r="B31382" i="1"/>
  <c r="A31383" i="1"/>
  <c r="B31383" i="1"/>
  <c r="A31384" i="1"/>
  <c r="B31384" i="1"/>
  <c r="A31385" i="1"/>
  <c r="B31385" i="1"/>
  <c r="A31386" i="1"/>
  <c r="B31386" i="1"/>
  <c r="A31387" i="1"/>
  <c r="B31387" i="1"/>
  <c r="A31388" i="1"/>
  <c r="B31388" i="1"/>
  <c r="A31389" i="1"/>
  <c r="B31389" i="1"/>
  <c r="A31390" i="1"/>
  <c r="B31390" i="1"/>
  <c r="A31391" i="1"/>
  <c r="B31391" i="1"/>
  <c r="A31392" i="1"/>
  <c r="B31392" i="1"/>
  <c r="A31393" i="1"/>
  <c r="B31393" i="1"/>
  <c r="A31394" i="1"/>
  <c r="B31394" i="1"/>
  <c r="A31395" i="1"/>
  <c r="B31395" i="1"/>
  <c r="A31396" i="1"/>
  <c r="B31396" i="1"/>
  <c r="A31397" i="1"/>
  <c r="B31397" i="1"/>
  <c r="A31398" i="1"/>
  <c r="B31398" i="1"/>
  <c r="A31399" i="1"/>
  <c r="B31399" i="1"/>
  <c r="A31400" i="1"/>
  <c r="B31400" i="1"/>
  <c r="A31401" i="1"/>
  <c r="B31401" i="1"/>
  <c r="A31402" i="1"/>
  <c r="B31402" i="1"/>
  <c r="A31403" i="1"/>
  <c r="B31403" i="1"/>
  <c r="A31404" i="1"/>
  <c r="B31404" i="1"/>
  <c r="A31405" i="1"/>
  <c r="B31405" i="1"/>
  <c r="A31406" i="1"/>
  <c r="B31406" i="1"/>
  <c r="A31407" i="1"/>
  <c r="B31407" i="1"/>
  <c r="A31408" i="1"/>
  <c r="B31408" i="1"/>
  <c r="A31409" i="1"/>
  <c r="B31409" i="1"/>
  <c r="A31410" i="1"/>
  <c r="B31410" i="1"/>
  <c r="A31411" i="1"/>
  <c r="B31411" i="1"/>
  <c r="A31412" i="1"/>
  <c r="B31412" i="1"/>
  <c r="A31413" i="1"/>
  <c r="B31413" i="1"/>
  <c r="A31414" i="1"/>
  <c r="B31414" i="1"/>
  <c r="A31415" i="1"/>
  <c r="B31415" i="1"/>
  <c r="A31416" i="1"/>
  <c r="B31416" i="1"/>
  <c r="A31417" i="1"/>
  <c r="B31417" i="1"/>
  <c r="A31418" i="1"/>
  <c r="B31418" i="1"/>
  <c r="A31419" i="1"/>
  <c r="B31419" i="1"/>
  <c r="A31420" i="1"/>
  <c r="B31420" i="1"/>
  <c r="A31421" i="1"/>
  <c r="B31421" i="1"/>
  <c r="A31422" i="1"/>
  <c r="B31422" i="1"/>
  <c r="A31423" i="1"/>
  <c r="B31423" i="1"/>
  <c r="A31424" i="1"/>
  <c r="B31424" i="1"/>
  <c r="A31425" i="1"/>
  <c r="B31425" i="1"/>
  <c r="A31426" i="1"/>
  <c r="B31426" i="1"/>
  <c r="A31427" i="1"/>
  <c r="B31427" i="1"/>
  <c r="A31428" i="1"/>
  <c r="B31428" i="1"/>
  <c r="A31429" i="1"/>
  <c r="B31429" i="1"/>
  <c r="A31430" i="1"/>
  <c r="B31430" i="1"/>
  <c r="A31431" i="1"/>
  <c r="B31431" i="1"/>
  <c r="A31432" i="1"/>
  <c r="B31432" i="1"/>
  <c r="A31433" i="1"/>
  <c r="B31433" i="1"/>
  <c r="A31434" i="1"/>
  <c r="B31434" i="1"/>
  <c r="A31435" i="1"/>
  <c r="B31435" i="1"/>
  <c r="A31436" i="1"/>
  <c r="B31436" i="1"/>
  <c r="A31437" i="1"/>
  <c r="B31437" i="1"/>
  <c r="A31438" i="1"/>
  <c r="B31438" i="1"/>
  <c r="A31439" i="1"/>
  <c r="B31439" i="1"/>
  <c r="A31440" i="1"/>
  <c r="B31440" i="1"/>
  <c r="A31441" i="1"/>
  <c r="B31441" i="1"/>
  <c r="A31442" i="1"/>
  <c r="B31442" i="1"/>
  <c r="A31443" i="1"/>
  <c r="B31443" i="1"/>
  <c r="A31444" i="1"/>
  <c r="B31444" i="1"/>
  <c r="A31445" i="1"/>
  <c r="B31445" i="1"/>
  <c r="A31446" i="1"/>
  <c r="B31446" i="1"/>
  <c r="A31447" i="1"/>
  <c r="B31447" i="1"/>
  <c r="A31448" i="1"/>
  <c r="B31448" i="1"/>
  <c r="A31449" i="1"/>
  <c r="B31449" i="1"/>
  <c r="A31450" i="1"/>
  <c r="B31450" i="1"/>
  <c r="A31451" i="1"/>
  <c r="B31451" i="1"/>
  <c r="A31452" i="1"/>
  <c r="B31452" i="1"/>
  <c r="A31453" i="1"/>
  <c r="B31453" i="1"/>
  <c r="A31454" i="1"/>
  <c r="B31454" i="1"/>
  <c r="A31455" i="1"/>
  <c r="B31455" i="1"/>
  <c r="A31456" i="1"/>
  <c r="B31456" i="1"/>
  <c r="A31457" i="1"/>
  <c r="B31457" i="1"/>
  <c r="A31458" i="1"/>
  <c r="B31458" i="1"/>
  <c r="A31459" i="1"/>
  <c r="B31459" i="1"/>
  <c r="A31460" i="1"/>
  <c r="B31460" i="1"/>
  <c r="A31461" i="1"/>
  <c r="B31461" i="1"/>
  <c r="A31462" i="1"/>
  <c r="B31462" i="1"/>
  <c r="A31463" i="1"/>
  <c r="B31463" i="1"/>
  <c r="A31464" i="1"/>
  <c r="B31464" i="1"/>
  <c r="A31465" i="1"/>
  <c r="B31465" i="1"/>
  <c r="A31466" i="1"/>
  <c r="B31466" i="1"/>
  <c r="A31467" i="1"/>
  <c r="B31467" i="1"/>
  <c r="A31468" i="1"/>
  <c r="B31468" i="1"/>
  <c r="A31469" i="1"/>
  <c r="B31469" i="1"/>
  <c r="A31470" i="1"/>
  <c r="B31470" i="1"/>
  <c r="A31471" i="1"/>
  <c r="B31471" i="1"/>
  <c r="A31472" i="1"/>
  <c r="B31472" i="1"/>
  <c r="A31473" i="1"/>
  <c r="B31473" i="1"/>
  <c r="A31474" i="1"/>
  <c r="B31474" i="1"/>
  <c r="A31475" i="1"/>
  <c r="B31475" i="1"/>
  <c r="A31476" i="1"/>
  <c r="B31476" i="1"/>
  <c r="A31477" i="1"/>
  <c r="B31477" i="1"/>
  <c r="A31478" i="1"/>
  <c r="B31478" i="1"/>
  <c r="A31479" i="1"/>
  <c r="B31479" i="1"/>
  <c r="A31480" i="1"/>
  <c r="B31480" i="1"/>
  <c r="A31481" i="1"/>
  <c r="B31481" i="1"/>
  <c r="A31482" i="1"/>
  <c r="B31482" i="1"/>
  <c r="A31483" i="1"/>
  <c r="B31483" i="1"/>
  <c r="A31484" i="1"/>
  <c r="B31484" i="1"/>
  <c r="A31485" i="1"/>
  <c r="B31485" i="1"/>
  <c r="A31486" i="1"/>
  <c r="B31486" i="1"/>
  <c r="A31487" i="1"/>
  <c r="B31487" i="1"/>
  <c r="A31488" i="1"/>
  <c r="B31488" i="1"/>
  <c r="A31489" i="1"/>
  <c r="B31489" i="1"/>
  <c r="A31490" i="1"/>
  <c r="B31490" i="1"/>
  <c r="A31491" i="1"/>
  <c r="B31491" i="1"/>
  <c r="A31492" i="1"/>
  <c r="B31492" i="1"/>
  <c r="A31493" i="1"/>
  <c r="B31493" i="1"/>
  <c r="A31494" i="1"/>
  <c r="B31494" i="1"/>
  <c r="A31495" i="1"/>
  <c r="B31495" i="1"/>
  <c r="A31496" i="1"/>
  <c r="B31496" i="1"/>
  <c r="A31497" i="1"/>
  <c r="B31497" i="1"/>
  <c r="A31498" i="1"/>
  <c r="B31498" i="1"/>
  <c r="A31499" i="1"/>
  <c r="B31499" i="1"/>
  <c r="A31500" i="1"/>
  <c r="B31500" i="1"/>
  <c r="A31501" i="1"/>
  <c r="B31501" i="1"/>
  <c r="A31502" i="1"/>
  <c r="B31502" i="1"/>
  <c r="A31503" i="1"/>
  <c r="B31503" i="1"/>
  <c r="A31504" i="1"/>
  <c r="B31504" i="1"/>
  <c r="A31505" i="1"/>
  <c r="B31505" i="1"/>
  <c r="A31506" i="1"/>
  <c r="B31506" i="1"/>
  <c r="A31507" i="1"/>
  <c r="B31507" i="1"/>
  <c r="A31508" i="1"/>
  <c r="B31508" i="1"/>
  <c r="A31509" i="1"/>
  <c r="B31509" i="1"/>
  <c r="A31510" i="1"/>
  <c r="B31510" i="1"/>
  <c r="A31511" i="1"/>
  <c r="B31511" i="1"/>
  <c r="A31512" i="1"/>
  <c r="B31512" i="1"/>
  <c r="A31513" i="1"/>
  <c r="B31513" i="1"/>
  <c r="A31514" i="1"/>
  <c r="B31514" i="1"/>
  <c r="A31515" i="1"/>
  <c r="B31515" i="1"/>
  <c r="A31516" i="1"/>
  <c r="B31516" i="1"/>
  <c r="A31517" i="1"/>
  <c r="B31517" i="1"/>
  <c r="A31518" i="1"/>
  <c r="B31518" i="1"/>
  <c r="A31519" i="1"/>
  <c r="B31519" i="1"/>
  <c r="A31520" i="1"/>
  <c r="B31520" i="1"/>
  <c r="A31521" i="1"/>
  <c r="B31521" i="1"/>
  <c r="A31522" i="1"/>
  <c r="B31522" i="1"/>
  <c r="A31523" i="1"/>
  <c r="B31523" i="1"/>
  <c r="A31524" i="1"/>
  <c r="B31524" i="1"/>
  <c r="A31525" i="1"/>
  <c r="B31525" i="1"/>
  <c r="A31526" i="1"/>
  <c r="B31526" i="1"/>
  <c r="A31527" i="1"/>
  <c r="B31527" i="1"/>
  <c r="A31528" i="1"/>
  <c r="B31528" i="1"/>
  <c r="A31529" i="1"/>
  <c r="B31529" i="1"/>
  <c r="A31530" i="1"/>
  <c r="B31530" i="1"/>
  <c r="A31531" i="1"/>
  <c r="B31531" i="1"/>
  <c r="A31532" i="1"/>
  <c r="B31532" i="1"/>
  <c r="A31533" i="1"/>
  <c r="B31533" i="1"/>
  <c r="A31534" i="1"/>
  <c r="B31534" i="1"/>
  <c r="A31535" i="1"/>
  <c r="B31535" i="1"/>
  <c r="A31536" i="1"/>
  <c r="B31536" i="1"/>
  <c r="A31537" i="1"/>
  <c r="B31537" i="1"/>
  <c r="A31538" i="1"/>
  <c r="B31538" i="1"/>
  <c r="A31539" i="1"/>
  <c r="B31539" i="1"/>
  <c r="A31540" i="1"/>
  <c r="B31540" i="1"/>
  <c r="A31541" i="1"/>
  <c r="B31541" i="1"/>
  <c r="A31542" i="1"/>
  <c r="B31542" i="1"/>
  <c r="A31543" i="1"/>
  <c r="B31543" i="1"/>
  <c r="A31544" i="1"/>
  <c r="B31544" i="1"/>
  <c r="A31545" i="1"/>
  <c r="B31545" i="1"/>
  <c r="A31546" i="1"/>
  <c r="B31546" i="1"/>
  <c r="A31547" i="1"/>
  <c r="B31547" i="1"/>
  <c r="A31548" i="1"/>
  <c r="B31548" i="1"/>
  <c r="A31549" i="1"/>
  <c r="B31549" i="1"/>
  <c r="A31550" i="1"/>
  <c r="B31550" i="1"/>
  <c r="A31551" i="1"/>
  <c r="B31551" i="1"/>
  <c r="A31552" i="1"/>
  <c r="B31552" i="1"/>
  <c r="A31553" i="1"/>
  <c r="B31553" i="1"/>
  <c r="A31554" i="1"/>
  <c r="B31554" i="1"/>
  <c r="A31555" i="1"/>
  <c r="B31555" i="1"/>
  <c r="A31556" i="1"/>
  <c r="B31556" i="1"/>
  <c r="A31557" i="1"/>
  <c r="B31557" i="1"/>
  <c r="A31558" i="1"/>
  <c r="B31558" i="1"/>
  <c r="A31559" i="1"/>
  <c r="B31559" i="1"/>
  <c r="A31560" i="1"/>
  <c r="B31560" i="1"/>
  <c r="A31561" i="1"/>
  <c r="B31561" i="1"/>
  <c r="A31562" i="1"/>
  <c r="B31562" i="1"/>
  <c r="A31563" i="1"/>
  <c r="B31563" i="1"/>
  <c r="A31564" i="1"/>
  <c r="B31564" i="1"/>
  <c r="A31565" i="1"/>
  <c r="B31565" i="1"/>
  <c r="A31566" i="1"/>
  <c r="B31566" i="1"/>
  <c r="A31567" i="1"/>
  <c r="B31567" i="1"/>
  <c r="A31568" i="1"/>
  <c r="B31568" i="1"/>
  <c r="A31569" i="1"/>
  <c r="B31569" i="1"/>
  <c r="A31570" i="1"/>
  <c r="B31570" i="1"/>
  <c r="A31571" i="1"/>
  <c r="B31571" i="1"/>
  <c r="A31572" i="1"/>
  <c r="B31572" i="1"/>
  <c r="A31573" i="1"/>
  <c r="B31573" i="1"/>
  <c r="A31574" i="1"/>
  <c r="B31574" i="1"/>
  <c r="A31575" i="1"/>
  <c r="B31575" i="1"/>
  <c r="A31576" i="1"/>
  <c r="B31576" i="1"/>
  <c r="A31577" i="1"/>
  <c r="B31577" i="1"/>
  <c r="A31578" i="1"/>
  <c r="B31578" i="1"/>
  <c r="A31579" i="1"/>
  <c r="B31579" i="1"/>
  <c r="A31580" i="1"/>
  <c r="B31580" i="1"/>
  <c r="A31581" i="1"/>
  <c r="B31581" i="1"/>
  <c r="A31582" i="1"/>
  <c r="B31582" i="1"/>
  <c r="A31583" i="1"/>
  <c r="B31583" i="1"/>
  <c r="A31584" i="1"/>
  <c r="B31584" i="1"/>
  <c r="A31585" i="1"/>
  <c r="B31585" i="1"/>
  <c r="A31586" i="1"/>
  <c r="B31586" i="1"/>
  <c r="A31587" i="1"/>
  <c r="B31587" i="1"/>
  <c r="A31588" i="1"/>
  <c r="B31588" i="1"/>
  <c r="A31589" i="1"/>
  <c r="B31589" i="1"/>
  <c r="A31590" i="1"/>
  <c r="B31590" i="1"/>
  <c r="A31591" i="1"/>
  <c r="B31591" i="1"/>
  <c r="A31592" i="1"/>
  <c r="B31592" i="1"/>
  <c r="A31593" i="1"/>
  <c r="B31593" i="1"/>
  <c r="A31594" i="1"/>
  <c r="B31594" i="1"/>
  <c r="A31595" i="1"/>
  <c r="B31595" i="1"/>
  <c r="A31596" i="1"/>
  <c r="B31596" i="1"/>
  <c r="A31597" i="1"/>
  <c r="B31597" i="1"/>
  <c r="A31598" i="1"/>
  <c r="B31598" i="1"/>
  <c r="A31599" i="1"/>
  <c r="B31599" i="1"/>
  <c r="A31600" i="1"/>
  <c r="B31600" i="1"/>
  <c r="A31601" i="1"/>
  <c r="B31601" i="1"/>
  <c r="A31602" i="1"/>
  <c r="B31602" i="1"/>
  <c r="A31603" i="1"/>
  <c r="B31603" i="1"/>
  <c r="A31604" i="1"/>
  <c r="B31604" i="1"/>
  <c r="A31605" i="1"/>
  <c r="B31605" i="1"/>
  <c r="A31606" i="1"/>
  <c r="B31606" i="1"/>
  <c r="A31607" i="1"/>
  <c r="B31607" i="1"/>
  <c r="A31608" i="1"/>
  <c r="B31608" i="1"/>
  <c r="A31609" i="1"/>
  <c r="B31609" i="1"/>
  <c r="A31610" i="1"/>
  <c r="B31610" i="1"/>
  <c r="A31611" i="1"/>
  <c r="B31611" i="1"/>
  <c r="A31612" i="1"/>
  <c r="B31612" i="1"/>
  <c r="A31613" i="1"/>
  <c r="B31613" i="1"/>
  <c r="A31614" i="1"/>
  <c r="B31614" i="1"/>
  <c r="A31615" i="1"/>
  <c r="B31615" i="1"/>
  <c r="A31616" i="1"/>
  <c r="B31616" i="1"/>
  <c r="A31617" i="1"/>
  <c r="B31617" i="1"/>
  <c r="A31618" i="1"/>
  <c r="B31618" i="1"/>
  <c r="A31619" i="1"/>
  <c r="B31619" i="1"/>
  <c r="A31620" i="1"/>
  <c r="B31620" i="1"/>
  <c r="A31621" i="1"/>
  <c r="B31621" i="1"/>
  <c r="A31622" i="1"/>
  <c r="B31622" i="1"/>
  <c r="A31623" i="1"/>
  <c r="B31623" i="1"/>
  <c r="A31624" i="1"/>
  <c r="B31624" i="1"/>
  <c r="A31625" i="1"/>
  <c r="B31625" i="1"/>
  <c r="A31626" i="1"/>
  <c r="B31626" i="1"/>
  <c r="A31627" i="1"/>
  <c r="B31627" i="1"/>
  <c r="A31628" i="1"/>
  <c r="B31628" i="1"/>
  <c r="A31629" i="1"/>
  <c r="B31629" i="1"/>
  <c r="A31630" i="1"/>
  <c r="B31630" i="1"/>
  <c r="A31631" i="1"/>
  <c r="B31631" i="1"/>
  <c r="A31632" i="1"/>
  <c r="B31632" i="1"/>
  <c r="A31633" i="1"/>
  <c r="B31633" i="1"/>
  <c r="A31634" i="1"/>
  <c r="B31634" i="1"/>
  <c r="A31635" i="1"/>
  <c r="B31635" i="1"/>
  <c r="A31636" i="1"/>
  <c r="B31636" i="1"/>
  <c r="A31637" i="1"/>
  <c r="B31637" i="1"/>
  <c r="A31638" i="1"/>
  <c r="B31638" i="1"/>
  <c r="A31639" i="1"/>
  <c r="B31639" i="1"/>
  <c r="A31640" i="1"/>
  <c r="B31640" i="1"/>
  <c r="A31641" i="1"/>
  <c r="B31641" i="1"/>
  <c r="A31642" i="1"/>
  <c r="B31642" i="1"/>
  <c r="A31643" i="1"/>
  <c r="B31643" i="1"/>
  <c r="A31644" i="1"/>
  <c r="B31644" i="1"/>
  <c r="A31645" i="1"/>
  <c r="B31645" i="1"/>
  <c r="A31646" i="1"/>
  <c r="B31646" i="1"/>
  <c r="A31647" i="1"/>
  <c r="B31647" i="1"/>
  <c r="A31648" i="1"/>
  <c r="B31648" i="1"/>
  <c r="A31649" i="1"/>
  <c r="B31649" i="1"/>
  <c r="A31650" i="1"/>
  <c r="B31650" i="1"/>
  <c r="A31651" i="1"/>
  <c r="B31651" i="1"/>
  <c r="A31652" i="1"/>
  <c r="B31652" i="1"/>
  <c r="A31653" i="1"/>
  <c r="B31653" i="1"/>
  <c r="A31654" i="1"/>
  <c r="B31654" i="1"/>
  <c r="A31655" i="1"/>
  <c r="B31655" i="1"/>
  <c r="A31656" i="1"/>
  <c r="B31656" i="1"/>
  <c r="A31657" i="1"/>
  <c r="B31657" i="1"/>
  <c r="A31658" i="1"/>
  <c r="B31658" i="1"/>
  <c r="A31659" i="1"/>
  <c r="B31659" i="1"/>
  <c r="A31660" i="1"/>
  <c r="B31660" i="1"/>
  <c r="A31661" i="1"/>
  <c r="B31661" i="1"/>
  <c r="A31662" i="1"/>
  <c r="B31662" i="1"/>
  <c r="A31663" i="1"/>
  <c r="B31663" i="1"/>
  <c r="A31664" i="1"/>
  <c r="B31664" i="1"/>
  <c r="A31665" i="1"/>
  <c r="B31665" i="1"/>
  <c r="A31666" i="1"/>
  <c r="B31666" i="1"/>
  <c r="A31667" i="1"/>
  <c r="B31667" i="1"/>
  <c r="A31668" i="1"/>
  <c r="B31668" i="1"/>
  <c r="A31669" i="1"/>
  <c r="B31669" i="1"/>
  <c r="A31670" i="1"/>
  <c r="B31670" i="1"/>
  <c r="A31671" i="1"/>
  <c r="B31671" i="1"/>
  <c r="A31672" i="1"/>
  <c r="B31672" i="1"/>
  <c r="A31673" i="1"/>
  <c r="B31673" i="1"/>
  <c r="A31674" i="1"/>
  <c r="B31674" i="1"/>
  <c r="A31675" i="1"/>
  <c r="B31675" i="1"/>
  <c r="A31676" i="1"/>
  <c r="B31676" i="1"/>
  <c r="A31677" i="1"/>
  <c r="B31677" i="1"/>
  <c r="A31678" i="1"/>
  <c r="B31678" i="1"/>
  <c r="A31679" i="1"/>
  <c r="B31679" i="1"/>
  <c r="A31680" i="1"/>
  <c r="B31680" i="1"/>
  <c r="A31681" i="1"/>
  <c r="B31681" i="1"/>
  <c r="A31682" i="1"/>
  <c r="B31682" i="1"/>
  <c r="A31683" i="1"/>
  <c r="B31683" i="1"/>
  <c r="A31684" i="1"/>
  <c r="B31684" i="1"/>
  <c r="A31685" i="1"/>
  <c r="B31685" i="1"/>
  <c r="A31686" i="1"/>
  <c r="B31686" i="1"/>
  <c r="A31687" i="1"/>
  <c r="B31687" i="1"/>
  <c r="A31688" i="1"/>
  <c r="B31688" i="1"/>
  <c r="A31689" i="1"/>
  <c r="B31689" i="1"/>
  <c r="A31690" i="1"/>
  <c r="B31690" i="1"/>
  <c r="A31691" i="1"/>
  <c r="B31691" i="1"/>
  <c r="A31692" i="1"/>
  <c r="B31692" i="1"/>
  <c r="A31693" i="1"/>
  <c r="B31693" i="1"/>
  <c r="A31694" i="1"/>
  <c r="B31694" i="1"/>
  <c r="A31695" i="1"/>
  <c r="B31695" i="1"/>
  <c r="A31696" i="1"/>
  <c r="B31696" i="1"/>
  <c r="A31697" i="1"/>
  <c r="B31697" i="1"/>
  <c r="A31698" i="1"/>
  <c r="B31698" i="1"/>
  <c r="A31699" i="1"/>
  <c r="B31699" i="1"/>
  <c r="A31700" i="1"/>
  <c r="B31700" i="1"/>
  <c r="A31701" i="1"/>
  <c r="B31701" i="1"/>
  <c r="A31702" i="1"/>
  <c r="B31702" i="1"/>
  <c r="A31703" i="1"/>
  <c r="B31703" i="1"/>
  <c r="A31704" i="1"/>
  <c r="B31704" i="1"/>
  <c r="A31705" i="1"/>
  <c r="B31705" i="1"/>
  <c r="A31706" i="1"/>
  <c r="B31706" i="1"/>
  <c r="A31707" i="1"/>
  <c r="B31707" i="1"/>
  <c r="A31708" i="1"/>
  <c r="B31708" i="1"/>
  <c r="A31709" i="1"/>
  <c r="B31709" i="1"/>
  <c r="A31710" i="1"/>
  <c r="B31710" i="1"/>
  <c r="A31711" i="1"/>
  <c r="B31711" i="1"/>
  <c r="A31712" i="1"/>
  <c r="B31712" i="1"/>
  <c r="A31713" i="1"/>
  <c r="B31713" i="1"/>
  <c r="A31714" i="1"/>
  <c r="B31714" i="1"/>
  <c r="A31715" i="1"/>
  <c r="B31715" i="1"/>
  <c r="A31716" i="1"/>
  <c r="B31716" i="1"/>
  <c r="A31717" i="1"/>
  <c r="B31717" i="1"/>
  <c r="A31718" i="1"/>
  <c r="B31718" i="1"/>
  <c r="A31719" i="1"/>
  <c r="B31719" i="1"/>
  <c r="A31720" i="1"/>
  <c r="B31720" i="1"/>
  <c r="A31721" i="1"/>
  <c r="B31721" i="1"/>
  <c r="A31722" i="1"/>
  <c r="B31722" i="1"/>
  <c r="A31723" i="1"/>
  <c r="B31723" i="1"/>
  <c r="A31724" i="1"/>
  <c r="B31724" i="1"/>
  <c r="A31725" i="1"/>
  <c r="B31725" i="1"/>
  <c r="A31726" i="1"/>
  <c r="B31726" i="1"/>
  <c r="A31727" i="1"/>
  <c r="B31727" i="1"/>
  <c r="A31728" i="1"/>
  <c r="B31728" i="1"/>
  <c r="A31729" i="1"/>
  <c r="B31729" i="1"/>
  <c r="A31730" i="1"/>
  <c r="B31730" i="1"/>
  <c r="A31731" i="1"/>
  <c r="B31731" i="1"/>
  <c r="A31732" i="1"/>
  <c r="B31732" i="1"/>
  <c r="A31733" i="1"/>
  <c r="B31733" i="1"/>
  <c r="A31734" i="1"/>
  <c r="B31734" i="1"/>
  <c r="A31735" i="1"/>
  <c r="B31735" i="1"/>
  <c r="A31736" i="1"/>
  <c r="B31736" i="1"/>
  <c r="A31737" i="1"/>
  <c r="B31737" i="1"/>
  <c r="A31738" i="1"/>
  <c r="B31738" i="1"/>
  <c r="A31739" i="1"/>
  <c r="B31739" i="1"/>
  <c r="A31740" i="1"/>
  <c r="B31740" i="1"/>
  <c r="A31741" i="1"/>
  <c r="B31741" i="1"/>
  <c r="A31742" i="1"/>
  <c r="B31742" i="1"/>
  <c r="A31743" i="1"/>
  <c r="B31743" i="1"/>
  <c r="A31744" i="1"/>
  <c r="B31744" i="1"/>
  <c r="A31745" i="1"/>
  <c r="B31745" i="1"/>
  <c r="A31746" i="1"/>
  <c r="B31746" i="1"/>
  <c r="A31747" i="1"/>
  <c r="B31747" i="1"/>
  <c r="A31748" i="1"/>
  <c r="B31748" i="1"/>
  <c r="A31749" i="1"/>
  <c r="B31749" i="1"/>
  <c r="A31750" i="1"/>
  <c r="B31750" i="1"/>
  <c r="A31751" i="1"/>
  <c r="B31751" i="1"/>
  <c r="A31752" i="1"/>
  <c r="B31752" i="1"/>
  <c r="A31753" i="1"/>
  <c r="B31753" i="1"/>
  <c r="A31754" i="1"/>
  <c r="B31754" i="1"/>
  <c r="A31755" i="1"/>
  <c r="B31755" i="1"/>
  <c r="A31756" i="1"/>
  <c r="B31756" i="1"/>
  <c r="A31757" i="1"/>
  <c r="B31757" i="1"/>
  <c r="A31758" i="1"/>
  <c r="B31758" i="1"/>
  <c r="A31759" i="1"/>
  <c r="B31759" i="1"/>
  <c r="A31760" i="1"/>
  <c r="B31760" i="1"/>
  <c r="A31761" i="1"/>
  <c r="B31761" i="1"/>
  <c r="A31762" i="1"/>
  <c r="B31762" i="1"/>
  <c r="A31763" i="1"/>
  <c r="B31763" i="1"/>
  <c r="A31764" i="1"/>
  <c r="B31764" i="1"/>
  <c r="A31765" i="1"/>
  <c r="B31765" i="1"/>
  <c r="A31766" i="1"/>
  <c r="B31766" i="1"/>
  <c r="A31767" i="1"/>
  <c r="B31767" i="1"/>
  <c r="A31768" i="1"/>
  <c r="B31768" i="1"/>
  <c r="A31769" i="1"/>
  <c r="B31769" i="1"/>
  <c r="A31770" i="1"/>
  <c r="B31770" i="1"/>
  <c r="A31771" i="1"/>
  <c r="B31771" i="1"/>
  <c r="A31772" i="1"/>
  <c r="B31772" i="1"/>
  <c r="A31773" i="1"/>
  <c r="B31773" i="1"/>
  <c r="A31774" i="1"/>
  <c r="B31774" i="1"/>
  <c r="A31775" i="1"/>
  <c r="B31775" i="1"/>
  <c r="A31776" i="1"/>
  <c r="B31776" i="1"/>
  <c r="A31777" i="1"/>
  <c r="B31777" i="1"/>
  <c r="A31778" i="1"/>
  <c r="B31778" i="1"/>
  <c r="A31779" i="1"/>
  <c r="B31779" i="1"/>
  <c r="A31780" i="1"/>
  <c r="B31780" i="1"/>
  <c r="A31781" i="1"/>
  <c r="B31781" i="1"/>
  <c r="A31782" i="1"/>
  <c r="B31782" i="1"/>
  <c r="A31783" i="1"/>
  <c r="B31783" i="1"/>
  <c r="A31784" i="1"/>
  <c r="B31784" i="1"/>
  <c r="A31785" i="1"/>
  <c r="B31785" i="1"/>
  <c r="A31786" i="1"/>
  <c r="B31786" i="1"/>
  <c r="A31787" i="1"/>
  <c r="B31787" i="1"/>
  <c r="A31788" i="1"/>
  <c r="B31788" i="1"/>
  <c r="A31789" i="1"/>
  <c r="B31789" i="1"/>
  <c r="A31790" i="1"/>
  <c r="B31790" i="1"/>
  <c r="A31791" i="1"/>
  <c r="B31791" i="1"/>
  <c r="A31792" i="1"/>
  <c r="B31792" i="1"/>
  <c r="A31793" i="1"/>
  <c r="B31793" i="1"/>
  <c r="A31794" i="1"/>
  <c r="B31794" i="1"/>
  <c r="A31795" i="1"/>
  <c r="B31795" i="1"/>
  <c r="A31796" i="1"/>
  <c r="B31796" i="1"/>
  <c r="A31797" i="1"/>
  <c r="B31797" i="1"/>
  <c r="A31798" i="1"/>
  <c r="B31798" i="1"/>
  <c r="A31799" i="1"/>
  <c r="B31799" i="1"/>
  <c r="A31800" i="1"/>
  <c r="B31800" i="1"/>
  <c r="A31801" i="1"/>
  <c r="B31801" i="1"/>
  <c r="A31802" i="1"/>
  <c r="B31802" i="1"/>
  <c r="A31803" i="1"/>
  <c r="B31803" i="1"/>
  <c r="A31804" i="1"/>
  <c r="B31804" i="1"/>
  <c r="A31805" i="1"/>
  <c r="B31805" i="1"/>
  <c r="A31806" i="1"/>
  <c r="B31806" i="1"/>
  <c r="A31807" i="1"/>
  <c r="B31807" i="1"/>
  <c r="A31808" i="1"/>
  <c r="B31808" i="1"/>
  <c r="A31809" i="1"/>
  <c r="B31809" i="1"/>
  <c r="A31810" i="1"/>
  <c r="B31810" i="1"/>
  <c r="A31811" i="1"/>
  <c r="B31811" i="1"/>
  <c r="A31812" i="1"/>
  <c r="B31812" i="1"/>
  <c r="A31813" i="1"/>
  <c r="B31813" i="1"/>
  <c r="A31814" i="1"/>
  <c r="B31814" i="1"/>
  <c r="A31815" i="1"/>
  <c r="B31815" i="1"/>
  <c r="A31816" i="1"/>
  <c r="B31816" i="1"/>
  <c r="A31817" i="1"/>
  <c r="B31817" i="1"/>
  <c r="A31818" i="1"/>
  <c r="B31818" i="1"/>
  <c r="A31819" i="1"/>
  <c r="B31819" i="1"/>
  <c r="A31820" i="1"/>
  <c r="B31820" i="1"/>
  <c r="A31821" i="1"/>
  <c r="B31821" i="1"/>
  <c r="A31822" i="1"/>
  <c r="B31822" i="1"/>
  <c r="A31823" i="1"/>
  <c r="B31823" i="1"/>
  <c r="A31824" i="1"/>
  <c r="B31824" i="1"/>
  <c r="A31825" i="1"/>
  <c r="B31825" i="1"/>
  <c r="A31826" i="1"/>
  <c r="B31826" i="1"/>
  <c r="A31827" i="1"/>
  <c r="B31827" i="1"/>
  <c r="A31828" i="1"/>
  <c r="B31828" i="1"/>
  <c r="A31829" i="1"/>
  <c r="B31829" i="1"/>
  <c r="A31830" i="1"/>
  <c r="B31830" i="1"/>
  <c r="A31831" i="1"/>
  <c r="B31831" i="1"/>
  <c r="A31832" i="1"/>
  <c r="B31832" i="1"/>
  <c r="A31833" i="1"/>
  <c r="B31833" i="1"/>
  <c r="A31834" i="1"/>
  <c r="B31834" i="1"/>
  <c r="A31835" i="1"/>
  <c r="B31835" i="1"/>
  <c r="A31836" i="1"/>
  <c r="B31836" i="1"/>
  <c r="A31837" i="1"/>
  <c r="B31837" i="1"/>
  <c r="A31838" i="1"/>
  <c r="B31838" i="1"/>
  <c r="A31839" i="1"/>
  <c r="B31839" i="1"/>
  <c r="A31840" i="1"/>
  <c r="B31840" i="1"/>
  <c r="A31841" i="1"/>
  <c r="B31841" i="1"/>
  <c r="A31842" i="1"/>
  <c r="B31842" i="1"/>
  <c r="A31843" i="1"/>
  <c r="B31843" i="1"/>
  <c r="A31844" i="1"/>
  <c r="B31844" i="1"/>
  <c r="A31845" i="1"/>
  <c r="B31845" i="1"/>
  <c r="A31846" i="1"/>
  <c r="B31846" i="1"/>
  <c r="A31847" i="1"/>
  <c r="B31847" i="1"/>
  <c r="A31848" i="1"/>
  <c r="B31848" i="1"/>
  <c r="A31849" i="1"/>
  <c r="B31849" i="1"/>
  <c r="A31850" i="1"/>
  <c r="B31850" i="1"/>
  <c r="A31851" i="1"/>
  <c r="B31851" i="1"/>
  <c r="A31852" i="1"/>
  <c r="B31852" i="1"/>
  <c r="A31853" i="1"/>
  <c r="B31853" i="1"/>
  <c r="A31854" i="1"/>
  <c r="B31854" i="1"/>
  <c r="A31855" i="1"/>
  <c r="B31855" i="1"/>
  <c r="A31856" i="1"/>
  <c r="B31856" i="1"/>
  <c r="A31857" i="1"/>
  <c r="B31857" i="1"/>
  <c r="A31858" i="1"/>
  <c r="B31858" i="1"/>
  <c r="A31859" i="1"/>
  <c r="B31859" i="1"/>
  <c r="A31860" i="1"/>
  <c r="B31860" i="1"/>
  <c r="A31861" i="1"/>
  <c r="B31861" i="1"/>
  <c r="A31862" i="1"/>
  <c r="B31862" i="1"/>
  <c r="A31863" i="1"/>
  <c r="B31863" i="1"/>
  <c r="A31864" i="1"/>
  <c r="B31864" i="1"/>
  <c r="A31865" i="1"/>
  <c r="B31865" i="1"/>
  <c r="A31866" i="1"/>
  <c r="B31866" i="1"/>
  <c r="A31867" i="1"/>
  <c r="B31867" i="1"/>
  <c r="A31868" i="1"/>
  <c r="B31868" i="1"/>
  <c r="A31869" i="1"/>
  <c r="B31869" i="1"/>
  <c r="A31870" i="1"/>
  <c r="B31870" i="1"/>
  <c r="A31871" i="1"/>
  <c r="B31871" i="1"/>
  <c r="A31872" i="1"/>
  <c r="B31872" i="1"/>
  <c r="A31873" i="1"/>
  <c r="B31873" i="1"/>
  <c r="A31874" i="1"/>
  <c r="B31874" i="1"/>
  <c r="A31875" i="1"/>
  <c r="B31875" i="1"/>
  <c r="A31876" i="1"/>
  <c r="B31876" i="1"/>
  <c r="A31877" i="1"/>
  <c r="B31877" i="1"/>
  <c r="A31878" i="1"/>
  <c r="B31878" i="1"/>
  <c r="A31879" i="1"/>
  <c r="B31879" i="1"/>
  <c r="A31880" i="1"/>
  <c r="B31880" i="1"/>
  <c r="A31881" i="1"/>
  <c r="B31881" i="1"/>
  <c r="A31882" i="1"/>
  <c r="B31882" i="1"/>
  <c r="A31883" i="1"/>
  <c r="B31883" i="1"/>
  <c r="A31884" i="1"/>
  <c r="B31884" i="1"/>
  <c r="A31885" i="1"/>
  <c r="B31885" i="1"/>
  <c r="A31886" i="1"/>
  <c r="B31886" i="1"/>
  <c r="A31887" i="1"/>
  <c r="B31887" i="1"/>
  <c r="A31888" i="1"/>
  <c r="B31888" i="1"/>
  <c r="A31889" i="1"/>
  <c r="B31889" i="1"/>
  <c r="A31890" i="1"/>
  <c r="B31890" i="1"/>
  <c r="A31891" i="1"/>
  <c r="B31891" i="1"/>
  <c r="A31892" i="1"/>
  <c r="B31892" i="1"/>
  <c r="A31893" i="1"/>
  <c r="B31893" i="1"/>
  <c r="A31894" i="1"/>
  <c r="B31894" i="1"/>
  <c r="A31895" i="1"/>
  <c r="B31895" i="1"/>
  <c r="A31896" i="1"/>
  <c r="B31896" i="1"/>
  <c r="A31897" i="1"/>
  <c r="B31897" i="1"/>
  <c r="A31898" i="1"/>
  <c r="B31898" i="1"/>
  <c r="A31899" i="1"/>
  <c r="B31899" i="1"/>
  <c r="A31900" i="1"/>
  <c r="B31900" i="1"/>
  <c r="A31901" i="1"/>
  <c r="B31901" i="1"/>
  <c r="A31902" i="1"/>
  <c r="B31902" i="1"/>
  <c r="A31903" i="1"/>
  <c r="B31903" i="1"/>
  <c r="A31904" i="1"/>
  <c r="B31904" i="1"/>
  <c r="A31905" i="1"/>
  <c r="B31905" i="1"/>
  <c r="A31906" i="1"/>
  <c r="B31906" i="1"/>
  <c r="A31907" i="1"/>
  <c r="B31907" i="1"/>
  <c r="A31908" i="1"/>
  <c r="B31908" i="1"/>
  <c r="A31909" i="1"/>
  <c r="B31909" i="1"/>
  <c r="A31910" i="1"/>
  <c r="B31910" i="1"/>
  <c r="A31911" i="1"/>
  <c r="B31911" i="1"/>
  <c r="A31912" i="1"/>
  <c r="B31912" i="1"/>
  <c r="A31913" i="1"/>
  <c r="B31913" i="1"/>
  <c r="A31914" i="1"/>
  <c r="B31914" i="1"/>
  <c r="A31915" i="1"/>
  <c r="B31915" i="1"/>
  <c r="A31916" i="1"/>
  <c r="B31916" i="1"/>
  <c r="A31917" i="1"/>
  <c r="B31917" i="1"/>
  <c r="A31918" i="1"/>
  <c r="B31918" i="1"/>
  <c r="A31919" i="1"/>
  <c r="B31919" i="1"/>
  <c r="A31920" i="1"/>
  <c r="B31920" i="1"/>
  <c r="A31921" i="1"/>
  <c r="B31921" i="1"/>
  <c r="A31922" i="1"/>
  <c r="B31922" i="1"/>
  <c r="A31923" i="1"/>
  <c r="B31923" i="1"/>
  <c r="A31924" i="1"/>
  <c r="B31924" i="1"/>
  <c r="A31925" i="1"/>
  <c r="B31925" i="1"/>
  <c r="A31926" i="1"/>
  <c r="B31926" i="1"/>
  <c r="A31927" i="1"/>
  <c r="B31927" i="1"/>
  <c r="A31928" i="1"/>
  <c r="B31928" i="1"/>
  <c r="A31929" i="1"/>
  <c r="B31929" i="1"/>
  <c r="A31930" i="1"/>
  <c r="B31930" i="1"/>
  <c r="A31931" i="1"/>
  <c r="B31931" i="1"/>
  <c r="A31932" i="1"/>
  <c r="B31932" i="1"/>
  <c r="A31933" i="1"/>
  <c r="B31933" i="1"/>
  <c r="A31934" i="1"/>
  <c r="B31934" i="1"/>
  <c r="A31935" i="1"/>
  <c r="B31935" i="1"/>
  <c r="A31936" i="1"/>
  <c r="B31936" i="1"/>
  <c r="A31937" i="1"/>
  <c r="B31937" i="1"/>
  <c r="A31938" i="1"/>
  <c r="B31938" i="1"/>
  <c r="A31939" i="1"/>
  <c r="B31939" i="1"/>
  <c r="A31940" i="1"/>
  <c r="B31940" i="1"/>
  <c r="A31941" i="1"/>
  <c r="B31941" i="1"/>
  <c r="A31942" i="1"/>
  <c r="B31942" i="1"/>
  <c r="A31943" i="1"/>
  <c r="B31943" i="1"/>
  <c r="A31944" i="1"/>
  <c r="B31944" i="1"/>
  <c r="A31945" i="1"/>
  <c r="B31945" i="1"/>
  <c r="A31946" i="1"/>
  <c r="B31946" i="1"/>
  <c r="A31947" i="1"/>
  <c r="B31947" i="1"/>
  <c r="A31948" i="1"/>
  <c r="B31948" i="1"/>
  <c r="A31949" i="1"/>
  <c r="B31949" i="1"/>
  <c r="A31950" i="1"/>
  <c r="B31950" i="1"/>
  <c r="A31951" i="1"/>
  <c r="B31951" i="1"/>
  <c r="A31952" i="1"/>
  <c r="B31952" i="1"/>
  <c r="A31953" i="1"/>
  <c r="B31953" i="1"/>
  <c r="A31954" i="1"/>
  <c r="B31954" i="1"/>
  <c r="A31955" i="1"/>
  <c r="B31955" i="1"/>
  <c r="A31956" i="1"/>
  <c r="B31956" i="1"/>
  <c r="A31957" i="1"/>
  <c r="B31957" i="1"/>
  <c r="A31958" i="1"/>
  <c r="B31958" i="1"/>
  <c r="A31959" i="1"/>
  <c r="B31959" i="1"/>
  <c r="A31960" i="1"/>
  <c r="B31960" i="1"/>
  <c r="A31961" i="1"/>
  <c r="B31961" i="1"/>
  <c r="A31962" i="1"/>
  <c r="B31962" i="1"/>
  <c r="A31963" i="1"/>
  <c r="B31963" i="1"/>
  <c r="A31964" i="1"/>
  <c r="B31964" i="1"/>
  <c r="A31965" i="1"/>
  <c r="B31965" i="1"/>
  <c r="A31966" i="1"/>
  <c r="B31966" i="1"/>
  <c r="A31967" i="1"/>
  <c r="B31967" i="1"/>
  <c r="A31968" i="1"/>
  <c r="B31968" i="1"/>
  <c r="A31969" i="1"/>
  <c r="B31969" i="1"/>
  <c r="A31970" i="1"/>
  <c r="B31970" i="1"/>
  <c r="A31971" i="1"/>
  <c r="B31971" i="1"/>
  <c r="A31972" i="1"/>
  <c r="B31972" i="1"/>
  <c r="A31973" i="1"/>
  <c r="B31973" i="1"/>
  <c r="A31974" i="1"/>
  <c r="B31974" i="1"/>
  <c r="A31975" i="1"/>
  <c r="B31975" i="1"/>
  <c r="A31976" i="1"/>
  <c r="B31976" i="1"/>
  <c r="A31977" i="1"/>
  <c r="B31977" i="1"/>
  <c r="A31978" i="1"/>
  <c r="B31978" i="1"/>
  <c r="A31979" i="1"/>
  <c r="B31979" i="1"/>
  <c r="A31980" i="1"/>
  <c r="B31980" i="1"/>
  <c r="A31981" i="1"/>
  <c r="B31981" i="1"/>
  <c r="A31982" i="1"/>
  <c r="B31982" i="1"/>
  <c r="A31983" i="1"/>
  <c r="B31983" i="1"/>
  <c r="A31984" i="1"/>
  <c r="B31984" i="1"/>
  <c r="A31985" i="1"/>
  <c r="B31985" i="1"/>
  <c r="A31986" i="1"/>
  <c r="B31986" i="1"/>
  <c r="A31987" i="1"/>
  <c r="B31987" i="1"/>
  <c r="A31988" i="1"/>
  <c r="B31988" i="1"/>
  <c r="A31989" i="1"/>
  <c r="B31989" i="1"/>
  <c r="A31990" i="1"/>
  <c r="B31990" i="1"/>
  <c r="A31991" i="1"/>
  <c r="B31991" i="1"/>
  <c r="A31992" i="1"/>
  <c r="B31992" i="1"/>
  <c r="A31993" i="1"/>
  <c r="B31993" i="1"/>
  <c r="A31994" i="1"/>
  <c r="B31994" i="1"/>
  <c r="A31995" i="1"/>
  <c r="B31995" i="1"/>
  <c r="A31996" i="1"/>
  <c r="B31996" i="1"/>
  <c r="A31997" i="1"/>
  <c r="B31997" i="1"/>
  <c r="A31998" i="1"/>
  <c r="B31998" i="1"/>
  <c r="A31999" i="1"/>
  <c r="B31999" i="1"/>
  <c r="A32000" i="1"/>
  <c r="B32000" i="1"/>
  <c r="A32001" i="1"/>
  <c r="B32001" i="1"/>
  <c r="A32002" i="1"/>
  <c r="B32002" i="1"/>
  <c r="A32003" i="1"/>
  <c r="B32003" i="1"/>
  <c r="A32004" i="1"/>
  <c r="B32004" i="1"/>
  <c r="A32005" i="1"/>
  <c r="B32005" i="1"/>
  <c r="A32006" i="1"/>
  <c r="B32006" i="1"/>
  <c r="A32007" i="1"/>
  <c r="B32007" i="1"/>
  <c r="A32008" i="1"/>
  <c r="B32008" i="1"/>
  <c r="A32009" i="1"/>
  <c r="B32009" i="1"/>
  <c r="A32010" i="1"/>
  <c r="B32010" i="1"/>
  <c r="A32011" i="1"/>
  <c r="B32011" i="1"/>
  <c r="A32012" i="1"/>
  <c r="B32012" i="1"/>
  <c r="A32013" i="1"/>
  <c r="B32013" i="1"/>
  <c r="A32014" i="1"/>
  <c r="B32014" i="1"/>
  <c r="A32015" i="1"/>
  <c r="B32015" i="1"/>
  <c r="A32016" i="1"/>
  <c r="B32016" i="1"/>
  <c r="A32017" i="1"/>
  <c r="B32017" i="1"/>
  <c r="A32018" i="1"/>
  <c r="B32018" i="1"/>
  <c r="A32019" i="1"/>
  <c r="B32019" i="1"/>
  <c r="A32020" i="1"/>
  <c r="B32020" i="1"/>
  <c r="A32021" i="1"/>
  <c r="B32021" i="1"/>
  <c r="A32022" i="1"/>
  <c r="B32022" i="1"/>
  <c r="A32023" i="1"/>
  <c r="B32023" i="1"/>
  <c r="A32024" i="1"/>
  <c r="B32024" i="1"/>
  <c r="A32025" i="1"/>
  <c r="B32025" i="1"/>
  <c r="A32026" i="1"/>
  <c r="B32026" i="1"/>
  <c r="A32027" i="1"/>
  <c r="B32027" i="1"/>
  <c r="A32028" i="1"/>
  <c r="B32028" i="1"/>
  <c r="A32029" i="1"/>
  <c r="B32029" i="1"/>
  <c r="A32030" i="1"/>
  <c r="B32030" i="1"/>
  <c r="A32031" i="1"/>
  <c r="B32031" i="1"/>
  <c r="A32032" i="1"/>
  <c r="B32032" i="1"/>
  <c r="A32033" i="1"/>
  <c r="B32033" i="1"/>
  <c r="A32034" i="1"/>
  <c r="B32034" i="1"/>
  <c r="A32035" i="1"/>
  <c r="B32035" i="1"/>
  <c r="A32036" i="1"/>
  <c r="B32036" i="1"/>
  <c r="A32037" i="1"/>
  <c r="B32037" i="1"/>
  <c r="A32038" i="1"/>
  <c r="B32038" i="1"/>
  <c r="A32039" i="1"/>
  <c r="B32039" i="1"/>
  <c r="A32040" i="1"/>
  <c r="B32040" i="1"/>
  <c r="A32041" i="1"/>
  <c r="B32041" i="1"/>
  <c r="A32042" i="1"/>
  <c r="B32042" i="1"/>
  <c r="A32043" i="1"/>
  <c r="B32043" i="1"/>
  <c r="A32044" i="1"/>
  <c r="B32044" i="1"/>
  <c r="A32045" i="1"/>
  <c r="B32045" i="1"/>
  <c r="A32046" i="1"/>
  <c r="B32046" i="1"/>
  <c r="A32047" i="1"/>
  <c r="B32047" i="1"/>
  <c r="A32048" i="1"/>
  <c r="B32048" i="1"/>
  <c r="A32049" i="1"/>
  <c r="B32049" i="1"/>
  <c r="A32050" i="1"/>
  <c r="B32050" i="1"/>
  <c r="A32051" i="1"/>
  <c r="B32051" i="1"/>
  <c r="A32052" i="1"/>
  <c r="B32052" i="1"/>
  <c r="A32053" i="1"/>
  <c r="B32053" i="1"/>
  <c r="A32054" i="1"/>
  <c r="B32054" i="1"/>
  <c r="A32055" i="1"/>
  <c r="B32055" i="1"/>
  <c r="A32056" i="1"/>
  <c r="B32056" i="1"/>
  <c r="A32057" i="1"/>
  <c r="B32057" i="1"/>
  <c r="A32058" i="1"/>
  <c r="B32058" i="1"/>
  <c r="A32059" i="1"/>
  <c r="B32059" i="1"/>
  <c r="A32060" i="1"/>
  <c r="B32060" i="1"/>
  <c r="A32061" i="1"/>
  <c r="B32061" i="1"/>
  <c r="A32062" i="1"/>
  <c r="B32062" i="1"/>
  <c r="A32063" i="1"/>
  <c r="B32063" i="1"/>
  <c r="A32064" i="1"/>
  <c r="B32064" i="1"/>
  <c r="A32065" i="1"/>
  <c r="B32065" i="1"/>
  <c r="A32066" i="1"/>
  <c r="B32066" i="1"/>
  <c r="A32067" i="1"/>
  <c r="B32067" i="1"/>
  <c r="A32068" i="1"/>
  <c r="B32068" i="1"/>
  <c r="A32069" i="1"/>
  <c r="B32069" i="1"/>
  <c r="A32070" i="1"/>
  <c r="B32070" i="1"/>
  <c r="A32071" i="1"/>
  <c r="B32071" i="1"/>
  <c r="A32072" i="1"/>
  <c r="B32072" i="1"/>
  <c r="A32073" i="1"/>
  <c r="B32073" i="1"/>
  <c r="A32074" i="1"/>
  <c r="B32074" i="1"/>
  <c r="A32075" i="1"/>
  <c r="B32075" i="1"/>
  <c r="A32076" i="1"/>
  <c r="B32076" i="1"/>
  <c r="A32077" i="1"/>
  <c r="B32077" i="1"/>
  <c r="A32078" i="1"/>
  <c r="B32078" i="1"/>
  <c r="A32079" i="1"/>
  <c r="B32079" i="1"/>
  <c r="A32080" i="1"/>
  <c r="B32080" i="1"/>
  <c r="A32081" i="1"/>
  <c r="B32081" i="1"/>
  <c r="A32082" i="1"/>
  <c r="B32082" i="1"/>
  <c r="A32083" i="1"/>
  <c r="B32083" i="1"/>
  <c r="A32084" i="1"/>
  <c r="B32084" i="1"/>
  <c r="A32085" i="1"/>
  <c r="B32085" i="1"/>
  <c r="A32086" i="1"/>
  <c r="B32086" i="1"/>
  <c r="A32087" i="1"/>
  <c r="B32087" i="1"/>
  <c r="A32088" i="1"/>
  <c r="B32088" i="1"/>
  <c r="A32089" i="1"/>
  <c r="B32089" i="1"/>
  <c r="A32090" i="1"/>
  <c r="B32090" i="1"/>
  <c r="A32091" i="1"/>
  <c r="B32091" i="1"/>
  <c r="A32092" i="1"/>
  <c r="B32092" i="1"/>
  <c r="A32093" i="1"/>
  <c r="B32093" i="1"/>
  <c r="A32094" i="1"/>
  <c r="B32094" i="1"/>
  <c r="A32095" i="1"/>
  <c r="B32095" i="1"/>
  <c r="A32096" i="1"/>
  <c r="B32096" i="1"/>
  <c r="A32097" i="1"/>
  <c r="B32097" i="1"/>
  <c r="A32098" i="1"/>
  <c r="B32098" i="1"/>
  <c r="A32099" i="1"/>
  <c r="B32099" i="1"/>
  <c r="A32100" i="1"/>
  <c r="B32100" i="1"/>
  <c r="A32101" i="1"/>
  <c r="B32101" i="1"/>
  <c r="A32102" i="1"/>
  <c r="B32102" i="1"/>
  <c r="A32103" i="1"/>
  <c r="B32103" i="1"/>
  <c r="A32104" i="1"/>
  <c r="B32104" i="1"/>
  <c r="A32105" i="1"/>
  <c r="B32105" i="1"/>
  <c r="A32106" i="1"/>
  <c r="B32106" i="1"/>
  <c r="A32107" i="1"/>
  <c r="B32107" i="1"/>
  <c r="A32108" i="1"/>
  <c r="B32108" i="1"/>
  <c r="A32109" i="1"/>
  <c r="B32109" i="1"/>
  <c r="A32110" i="1"/>
  <c r="B32110" i="1"/>
  <c r="A32111" i="1"/>
  <c r="B32111" i="1"/>
  <c r="A32112" i="1"/>
  <c r="B32112" i="1"/>
  <c r="A32113" i="1"/>
  <c r="B32113" i="1"/>
  <c r="A32114" i="1"/>
  <c r="B32114" i="1"/>
  <c r="A32115" i="1"/>
  <c r="B32115" i="1"/>
  <c r="A32116" i="1"/>
  <c r="B32116" i="1"/>
  <c r="A32117" i="1"/>
  <c r="B32117" i="1"/>
  <c r="A32118" i="1"/>
  <c r="B32118" i="1"/>
  <c r="A32119" i="1"/>
  <c r="B32119" i="1"/>
  <c r="A32120" i="1"/>
  <c r="B32120" i="1"/>
  <c r="A32121" i="1"/>
  <c r="B32121" i="1"/>
  <c r="A32122" i="1"/>
  <c r="B32122" i="1"/>
  <c r="A32123" i="1"/>
  <c r="B32123" i="1"/>
  <c r="A32124" i="1"/>
  <c r="B32124" i="1"/>
  <c r="A32125" i="1"/>
  <c r="B32125" i="1"/>
  <c r="A32126" i="1"/>
  <c r="B32126" i="1"/>
  <c r="A32127" i="1"/>
  <c r="B32127" i="1"/>
  <c r="A32128" i="1"/>
  <c r="B32128" i="1"/>
  <c r="A32129" i="1"/>
  <c r="B32129" i="1"/>
  <c r="A32130" i="1"/>
  <c r="B32130" i="1"/>
  <c r="A32131" i="1"/>
  <c r="B32131" i="1"/>
  <c r="A32132" i="1"/>
  <c r="B32132" i="1"/>
  <c r="A32133" i="1"/>
  <c r="B32133" i="1"/>
  <c r="A32134" i="1"/>
  <c r="B32134" i="1"/>
  <c r="A32135" i="1"/>
  <c r="B32135" i="1"/>
  <c r="A32136" i="1"/>
  <c r="B32136" i="1"/>
  <c r="A32137" i="1"/>
  <c r="B32137" i="1"/>
  <c r="A32138" i="1"/>
  <c r="B32138" i="1"/>
  <c r="A32139" i="1"/>
  <c r="B32139" i="1"/>
  <c r="A32140" i="1"/>
  <c r="B32140" i="1"/>
  <c r="A32141" i="1"/>
  <c r="B32141" i="1"/>
  <c r="A32142" i="1"/>
  <c r="B32142" i="1"/>
  <c r="A32143" i="1"/>
  <c r="B32143" i="1"/>
  <c r="A32144" i="1"/>
  <c r="B32144" i="1"/>
  <c r="A32145" i="1"/>
  <c r="B32145" i="1"/>
  <c r="A32146" i="1"/>
  <c r="B32146" i="1"/>
  <c r="A32147" i="1"/>
  <c r="B32147" i="1"/>
  <c r="A32148" i="1"/>
  <c r="B32148" i="1"/>
  <c r="A32149" i="1"/>
  <c r="B32149" i="1"/>
  <c r="A32150" i="1"/>
  <c r="B32150" i="1"/>
  <c r="A32151" i="1"/>
  <c r="B32151" i="1"/>
  <c r="A32152" i="1"/>
  <c r="B32152" i="1"/>
  <c r="A32153" i="1"/>
  <c r="B32153" i="1"/>
  <c r="A32154" i="1"/>
  <c r="B32154" i="1"/>
  <c r="A32155" i="1"/>
  <c r="B32155" i="1"/>
  <c r="A32156" i="1"/>
  <c r="B32156" i="1"/>
  <c r="A32157" i="1"/>
  <c r="B32157" i="1"/>
  <c r="A32158" i="1"/>
  <c r="B32158" i="1"/>
  <c r="A32159" i="1"/>
  <c r="B32159" i="1"/>
  <c r="A32160" i="1"/>
  <c r="B32160" i="1"/>
  <c r="A32161" i="1"/>
  <c r="B32161" i="1"/>
  <c r="A32162" i="1"/>
  <c r="B32162" i="1"/>
  <c r="A32163" i="1"/>
  <c r="B32163" i="1"/>
  <c r="A32164" i="1"/>
  <c r="B32164" i="1"/>
  <c r="A32165" i="1"/>
  <c r="B32165" i="1"/>
  <c r="A32166" i="1"/>
  <c r="B32166" i="1"/>
  <c r="A32167" i="1"/>
  <c r="B32167" i="1"/>
  <c r="A32168" i="1"/>
  <c r="B32168" i="1"/>
  <c r="A32169" i="1"/>
  <c r="B32169" i="1"/>
  <c r="A32170" i="1"/>
  <c r="B32170" i="1"/>
  <c r="A32171" i="1"/>
  <c r="B32171" i="1"/>
  <c r="A32172" i="1"/>
  <c r="B32172" i="1"/>
  <c r="A32173" i="1"/>
  <c r="B32173" i="1"/>
  <c r="A32174" i="1"/>
  <c r="B32174" i="1"/>
  <c r="A32175" i="1"/>
  <c r="B32175" i="1"/>
  <c r="A32176" i="1"/>
  <c r="B32176" i="1"/>
  <c r="A32177" i="1"/>
  <c r="B32177" i="1"/>
  <c r="A32178" i="1"/>
  <c r="B32178" i="1"/>
  <c r="A32179" i="1"/>
  <c r="B32179" i="1"/>
  <c r="A32180" i="1"/>
  <c r="B32180" i="1"/>
  <c r="A32181" i="1"/>
  <c r="B32181" i="1"/>
  <c r="A32182" i="1"/>
  <c r="B32182" i="1"/>
  <c r="A32183" i="1"/>
  <c r="B32183" i="1"/>
  <c r="A32184" i="1"/>
  <c r="B32184" i="1"/>
  <c r="A32185" i="1"/>
  <c r="B32185" i="1"/>
  <c r="A32186" i="1"/>
  <c r="B32186" i="1"/>
  <c r="A32187" i="1"/>
  <c r="B32187" i="1"/>
  <c r="A32188" i="1"/>
  <c r="B32188" i="1"/>
  <c r="A32189" i="1"/>
  <c r="B32189" i="1"/>
  <c r="A32190" i="1"/>
  <c r="B32190" i="1"/>
  <c r="A32191" i="1"/>
  <c r="B32191" i="1"/>
  <c r="A32192" i="1"/>
  <c r="B32192" i="1"/>
  <c r="A32193" i="1"/>
  <c r="B32193" i="1"/>
  <c r="A32194" i="1"/>
  <c r="B32194" i="1"/>
  <c r="A32195" i="1"/>
  <c r="B32195" i="1"/>
  <c r="A32196" i="1"/>
  <c r="B32196" i="1"/>
  <c r="A32197" i="1"/>
  <c r="B32197" i="1"/>
  <c r="A32198" i="1"/>
  <c r="B32198" i="1"/>
  <c r="A32199" i="1"/>
  <c r="B32199" i="1"/>
  <c r="A32200" i="1"/>
  <c r="B32200" i="1"/>
  <c r="A32201" i="1"/>
  <c r="B32201" i="1"/>
  <c r="A32202" i="1"/>
  <c r="B32202" i="1"/>
  <c r="A32203" i="1"/>
  <c r="B32203" i="1"/>
  <c r="A32204" i="1"/>
  <c r="B32204" i="1"/>
  <c r="A32205" i="1"/>
  <c r="B32205" i="1"/>
  <c r="A32206" i="1"/>
  <c r="B32206" i="1"/>
  <c r="A32207" i="1"/>
  <c r="B32207" i="1"/>
  <c r="A32208" i="1"/>
  <c r="B32208" i="1"/>
  <c r="A32209" i="1"/>
  <c r="B32209" i="1"/>
  <c r="A32210" i="1"/>
  <c r="B32210" i="1"/>
  <c r="A32211" i="1"/>
  <c r="B32211" i="1"/>
  <c r="A32212" i="1"/>
  <c r="B32212" i="1"/>
  <c r="A32213" i="1"/>
  <c r="B32213" i="1"/>
  <c r="A32214" i="1"/>
  <c r="B32214" i="1"/>
  <c r="A32215" i="1"/>
  <c r="B32215" i="1"/>
  <c r="A32216" i="1"/>
  <c r="B32216" i="1"/>
  <c r="A32217" i="1"/>
  <c r="B32217" i="1"/>
  <c r="A32218" i="1"/>
  <c r="B32218" i="1"/>
  <c r="A32219" i="1"/>
  <c r="B32219" i="1"/>
  <c r="A32220" i="1"/>
  <c r="B32220" i="1"/>
  <c r="A32221" i="1"/>
  <c r="B32221" i="1"/>
  <c r="A32222" i="1"/>
  <c r="B32222" i="1"/>
  <c r="A32223" i="1"/>
  <c r="B32223" i="1"/>
  <c r="A32224" i="1"/>
  <c r="B32224" i="1"/>
  <c r="A32225" i="1"/>
  <c r="B32225" i="1"/>
  <c r="A32226" i="1"/>
  <c r="B32226" i="1"/>
  <c r="A32227" i="1"/>
  <c r="B32227" i="1"/>
  <c r="A32228" i="1"/>
  <c r="B32228" i="1"/>
  <c r="A32229" i="1"/>
  <c r="B32229" i="1"/>
  <c r="A32230" i="1"/>
  <c r="B32230" i="1"/>
  <c r="A32231" i="1"/>
  <c r="B32231" i="1"/>
  <c r="A32232" i="1"/>
  <c r="B32232" i="1"/>
  <c r="A32233" i="1"/>
  <c r="B32233" i="1"/>
  <c r="A32234" i="1"/>
  <c r="B32234" i="1"/>
  <c r="A32235" i="1"/>
  <c r="B32235" i="1"/>
  <c r="A32236" i="1"/>
  <c r="B32236" i="1"/>
  <c r="A32237" i="1"/>
  <c r="B32237" i="1"/>
  <c r="A32238" i="1"/>
  <c r="B32238" i="1"/>
  <c r="A32239" i="1"/>
  <c r="B32239" i="1"/>
  <c r="A32240" i="1"/>
  <c r="B32240" i="1"/>
  <c r="A32241" i="1"/>
  <c r="B32241" i="1"/>
  <c r="A32242" i="1"/>
  <c r="B32242" i="1"/>
  <c r="A32243" i="1"/>
  <c r="B32243" i="1"/>
  <c r="A32244" i="1"/>
  <c r="B32244" i="1"/>
  <c r="A32245" i="1"/>
  <c r="B32245" i="1"/>
  <c r="A32246" i="1"/>
  <c r="B32246" i="1"/>
  <c r="A32247" i="1"/>
  <c r="B32247" i="1"/>
  <c r="A32248" i="1"/>
  <c r="B32248" i="1"/>
  <c r="A32249" i="1"/>
  <c r="B32249" i="1"/>
  <c r="A32250" i="1"/>
  <c r="B32250" i="1"/>
  <c r="A32251" i="1"/>
  <c r="B32251" i="1"/>
  <c r="A32252" i="1"/>
  <c r="B32252" i="1"/>
  <c r="A32253" i="1"/>
  <c r="B32253" i="1"/>
  <c r="A32254" i="1"/>
  <c r="B32254" i="1"/>
  <c r="A32255" i="1"/>
  <c r="B32255" i="1"/>
  <c r="A32256" i="1"/>
  <c r="B32256" i="1"/>
  <c r="A32257" i="1"/>
  <c r="B32257" i="1"/>
  <c r="A32258" i="1"/>
  <c r="B32258" i="1"/>
  <c r="A32259" i="1"/>
  <c r="B32259" i="1"/>
  <c r="A32260" i="1"/>
  <c r="B32260" i="1"/>
  <c r="A32261" i="1"/>
  <c r="B32261" i="1"/>
  <c r="A32262" i="1"/>
  <c r="B32262" i="1"/>
  <c r="A32263" i="1"/>
  <c r="B32263" i="1"/>
  <c r="A32264" i="1"/>
  <c r="B32264" i="1"/>
  <c r="A32265" i="1"/>
  <c r="B32265" i="1"/>
  <c r="A32266" i="1"/>
  <c r="B32266" i="1"/>
  <c r="A32267" i="1"/>
  <c r="B32267" i="1"/>
  <c r="A32268" i="1"/>
  <c r="B32268" i="1"/>
  <c r="A32269" i="1"/>
  <c r="B32269" i="1"/>
  <c r="A32270" i="1"/>
  <c r="B32270" i="1"/>
  <c r="A32271" i="1"/>
  <c r="B32271" i="1"/>
  <c r="A32272" i="1"/>
  <c r="B32272" i="1"/>
  <c r="A32273" i="1"/>
  <c r="B32273" i="1"/>
  <c r="A32274" i="1"/>
  <c r="B32274" i="1"/>
  <c r="A32275" i="1"/>
  <c r="B32275" i="1"/>
  <c r="A32276" i="1"/>
  <c r="B32276" i="1"/>
  <c r="A32277" i="1"/>
  <c r="B32277" i="1"/>
  <c r="A32278" i="1"/>
  <c r="B32278" i="1"/>
  <c r="A32279" i="1"/>
  <c r="B32279" i="1"/>
  <c r="A32280" i="1"/>
  <c r="B32280" i="1"/>
  <c r="A32281" i="1"/>
  <c r="B32281" i="1"/>
  <c r="A32282" i="1"/>
  <c r="B32282" i="1"/>
  <c r="A32283" i="1"/>
  <c r="B32283" i="1"/>
  <c r="A32284" i="1"/>
  <c r="B32284" i="1"/>
  <c r="A32285" i="1"/>
  <c r="B32285" i="1"/>
  <c r="A32286" i="1"/>
  <c r="B32286" i="1"/>
  <c r="A32287" i="1"/>
  <c r="B32287" i="1"/>
  <c r="A32288" i="1"/>
  <c r="B32288" i="1"/>
  <c r="A32289" i="1"/>
  <c r="B32289" i="1"/>
  <c r="A32290" i="1"/>
  <c r="B32290" i="1"/>
  <c r="A32291" i="1"/>
  <c r="B32291" i="1"/>
  <c r="A32292" i="1"/>
  <c r="B32292" i="1"/>
  <c r="A32293" i="1"/>
  <c r="B32293" i="1"/>
  <c r="A32294" i="1"/>
  <c r="B32294" i="1"/>
  <c r="A32295" i="1"/>
  <c r="B32295" i="1"/>
  <c r="A32296" i="1"/>
  <c r="B32296" i="1"/>
  <c r="A32297" i="1"/>
  <c r="B32297" i="1"/>
  <c r="A32298" i="1"/>
  <c r="B32298" i="1"/>
  <c r="A32299" i="1"/>
  <c r="B32299" i="1"/>
  <c r="A32300" i="1"/>
  <c r="B32300" i="1"/>
  <c r="A32301" i="1"/>
  <c r="B32301" i="1"/>
  <c r="A32302" i="1"/>
  <c r="B32302" i="1"/>
  <c r="A32303" i="1"/>
  <c r="B32303" i="1"/>
  <c r="A32304" i="1"/>
  <c r="B32304" i="1"/>
  <c r="A32305" i="1"/>
  <c r="B32305" i="1"/>
  <c r="A32306" i="1"/>
  <c r="B32306" i="1"/>
  <c r="A32307" i="1"/>
  <c r="B32307" i="1"/>
  <c r="A32308" i="1"/>
  <c r="B32308" i="1"/>
  <c r="A32309" i="1"/>
  <c r="B32309" i="1"/>
  <c r="A32310" i="1"/>
  <c r="B32310" i="1"/>
  <c r="A32311" i="1"/>
  <c r="B32311" i="1"/>
  <c r="A32312" i="1"/>
  <c r="B32312" i="1"/>
  <c r="A32313" i="1"/>
  <c r="B32313" i="1"/>
  <c r="A32314" i="1"/>
  <c r="B32314" i="1"/>
  <c r="A32315" i="1"/>
  <c r="B32315" i="1"/>
  <c r="A32316" i="1"/>
  <c r="B32316" i="1"/>
  <c r="A32317" i="1"/>
  <c r="B32317" i="1"/>
  <c r="A32318" i="1"/>
  <c r="B32318" i="1"/>
  <c r="A32319" i="1"/>
  <c r="B32319" i="1"/>
  <c r="A32320" i="1"/>
  <c r="B32320" i="1"/>
  <c r="A32321" i="1"/>
  <c r="B32321" i="1"/>
  <c r="A32322" i="1"/>
  <c r="B32322" i="1"/>
  <c r="A32323" i="1"/>
  <c r="B32323" i="1"/>
  <c r="A32324" i="1"/>
  <c r="B32324" i="1"/>
  <c r="A32325" i="1"/>
  <c r="B32325" i="1"/>
  <c r="A32326" i="1"/>
  <c r="B32326" i="1"/>
  <c r="A32327" i="1"/>
  <c r="B32327" i="1"/>
  <c r="A32328" i="1"/>
  <c r="B32328" i="1"/>
  <c r="A32329" i="1"/>
  <c r="B32329" i="1"/>
  <c r="A32330" i="1"/>
  <c r="B32330" i="1"/>
  <c r="A32331" i="1"/>
  <c r="B32331" i="1"/>
  <c r="A32332" i="1"/>
  <c r="B32332" i="1"/>
  <c r="A32333" i="1"/>
  <c r="B32333" i="1"/>
  <c r="A32334" i="1"/>
  <c r="B32334" i="1"/>
  <c r="A32335" i="1"/>
  <c r="B32335" i="1"/>
  <c r="A32336" i="1"/>
  <c r="B32336" i="1"/>
  <c r="A32337" i="1"/>
  <c r="B32337" i="1"/>
  <c r="A32338" i="1"/>
  <c r="B32338" i="1"/>
  <c r="A32339" i="1"/>
  <c r="B32339" i="1"/>
  <c r="A32340" i="1"/>
  <c r="B32340" i="1"/>
  <c r="A32341" i="1"/>
  <c r="B32341" i="1"/>
  <c r="A32342" i="1"/>
  <c r="B32342" i="1"/>
  <c r="A32343" i="1"/>
  <c r="B32343" i="1"/>
  <c r="A32344" i="1"/>
  <c r="B32344" i="1"/>
  <c r="A32345" i="1"/>
  <c r="B32345" i="1"/>
  <c r="A32346" i="1"/>
  <c r="B32346" i="1"/>
  <c r="A32347" i="1"/>
  <c r="B32347" i="1"/>
  <c r="A32348" i="1"/>
  <c r="B32348" i="1"/>
  <c r="A32349" i="1"/>
  <c r="B32349" i="1"/>
  <c r="A32350" i="1"/>
  <c r="B32350" i="1"/>
  <c r="A32351" i="1"/>
  <c r="B32351" i="1"/>
  <c r="A32352" i="1"/>
  <c r="B32352" i="1"/>
  <c r="A32353" i="1"/>
  <c r="B32353" i="1"/>
  <c r="A32354" i="1"/>
  <c r="B32354" i="1"/>
  <c r="A32355" i="1"/>
  <c r="B32355" i="1"/>
  <c r="A32356" i="1"/>
  <c r="B32356" i="1"/>
  <c r="A32357" i="1"/>
  <c r="B32357" i="1"/>
  <c r="A32358" i="1"/>
  <c r="B32358" i="1"/>
  <c r="A32359" i="1"/>
  <c r="B32359" i="1"/>
  <c r="A32360" i="1"/>
  <c r="B32360" i="1"/>
  <c r="A32361" i="1"/>
  <c r="B32361" i="1"/>
  <c r="A32362" i="1"/>
  <c r="B32362" i="1"/>
  <c r="A32363" i="1"/>
  <c r="B32363" i="1"/>
  <c r="A32364" i="1"/>
  <c r="B32364" i="1"/>
  <c r="A32365" i="1"/>
  <c r="B32365" i="1"/>
  <c r="A32366" i="1"/>
  <c r="B32366" i="1"/>
  <c r="A32367" i="1"/>
  <c r="B32367" i="1"/>
  <c r="A32368" i="1"/>
  <c r="B32368" i="1"/>
  <c r="A32369" i="1"/>
  <c r="B32369" i="1"/>
  <c r="A32370" i="1"/>
  <c r="B32370" i="1"/>
  <c r="A32371" i="1"/>
  <c r="B32371" i="1"/>
  <c r="A32372" i="1"/>
  <c r="B32372" i="1"/>
  <c r="A32373" i="1"/>
  <c r="B32373" i="1"/>
  <c r="A32374" i="1"/>
  <c r="B32374" i="1"/>
  <c r="A32375" i="1"/>
  <c r="B32375" i="1"/>
  <c r="A32376" i="1"/>
  <c r="B32376" i="1"/>
  <c r="A32377" i="1"/>
  <c r="B32377" i="1"/>
  <c r="A32378" i="1"/>
  <c r="B32378" i="1"/>
  <c r="A32379" i="1"/>
  <c r="B32379" i="1"/>
  <c r="A32380" i="1"/>
  <c r="B32380" i="1"/>
  <c r="A32381" i="1"/>
  <c r="B32381" i="1"/>
  <c r="A32382" i="1"/>
  <c r="B32382" i="1"/>
  <c r="A32383" i="1"/>
  <c r="B32383" i="1"/>
  <c r="A32384" i="1"/>
  <c r="B32384" i="1"/>
  <c r="A32385" i="1"/>
  <c r="B32385" i="1"/>
  <c r="A32386" i="1"/>
  <c r="B32386" i="1"/>
  <c r="A32387" i="1"/>
  <c r="B32387" i="1"/>
  <c r="A32388" i="1"/>
  <c r="B32388" i="1"/>
  <c r="A32389" i="1"/>
  <c r="B32389" i="1"/>
  <c r="A32390" i="1"/>
  <c r="B32390" i="1"/>
  <c r="A32391" i="1"/>
  <c r="B32391" i="1"/>
  <c r="A32392" i="1"/>
  <c r="B32392" i="1"/>
  <c r="A32393" i="1"/>
  <c r="B32393" i="1"/>
  <c r="A32394" i="1"/>
  <c r="B32394" i="1"/>
  <c r="A32395" i="1"/>
  <c r="B32395" i="1"/>
  <c r="A32396" i="1"/>
  <c r="B32396" i="1"/>
  <c r="A32397" i="1"/>
  <c r="B32397" i="1"/>
  <c r="A32398" i="1"/>
  <c r="B32398" i="1"/>
  <c r="A32399" i="1"/>
  <c r="B32399" i="1"/>
  <c r="A32400" i="1"/>
  <c r="B32400" i="1"/>
  <c r="A32401" i="1"/>
  <c r="B32401" i="1"/>
  <c r="A32402" i="1"/>
  <c r="B32402" i="1"/>
  <c r="A32403" i="1"/>
  <c r="B32403" i="1"/>
  <c r="A32404" i="1"/>
  <c r="B32404" i="1"/>
  <c r="A32405" i="1"/>
  <c r="B32405" i="1"/>
  <c r="A32406" i="1"/>
  <c r="B32406" i="1"/>
  <c r="A32407" i="1"/>
  <c r="B32407" i="1"/>
  <c r="A32408" i="1"/>
  <c r="B32408" i="1"/>
  <c r="A32409" i="1"/>
  <c r="B32409" i="1"/>
  <c r="A32410" i="1"/>
  <c r="B32410" i="1"/>
  <c r="A32411" i="1"/>
  <c r="B32411" i="1"/>
  <c r="A32412" i="1"/>
  <c r="B32412" i="1"/>
  <c r="A32413" i="1"/>
  <c r="B32413" i="1"/>
  <c r="A32414" i="1"/>
  <c r="B32414" i="1"/>
  <c r="A32415" i="1"/>
  <c r="B32415" i="1"/>
  <c r="A32416" i="1"/>
  <c r="B32416" i="1"/>
  <c r="A32417" i="1"/>
  <c r="B32417" i="1"/>
  <c r="A32418" i="1"/>
  <c r="B32418" i="1"/>
  <c r="A32419" i="1"/>
  <c r="B32419" i="1"/>
  <c r="A32420" i="1"/>
  <c r="B32420" i="1"/>
  <c r="A32421" i="1"/>
  <c r="B32421" i="1"/>
  <c r="A32422" i="1"/>
  <c r="B32422" i="1"/>
  <c r="A32423" i="1"/>
  <c r="B32423" i="1"/>
  <c r="A32424" i="1"/>
  <c r="B32424" i="1"/>
  <c r="A32425" i="1"/>
  <c r="B32425" i="1"/>
  <c r="A32426" i="1"/>
  <c r="B32426" i="1"/>
  <c r="A32427" i="1"/>
  <c r="B32427" i="1"/>
  <c r="A32428" i="1"/>
  <c r="B32428" i="1"/>
  <c r="A32429" i="1"/>
  <c r="B32429" i="1"/>
  <c r="A32430" i="1"/>
  <c r="B32430" i="1"/>
  <c r="A32431" i="1"/>
  <c r="B32431" i="1"/>
  <c r="A32432" i="1"/>
  <c r="B32432" i="1"/>
  <c r="A32433" i="1"/>
  <c r="B32433" i="1"/>
  <c r="A32434" i="1"/>
  <c r="B32434" i="1"/>
  <c r="A32435" i="1"/>
  <c r="B32435" i="1"/>
  <c r="A32436" i="1"/>
  <c r="B32436" i="1"/>
  <c r="A32437" i="1"/>
  <c r="B32437" i="1"/>
  <c r="A32438" i="1"/>
  <c r="B32438" i="1"/>
  <c r="A32439" i="1"/>
  <c r="B32439" i="1"/>
  <c r="A32440" i="1"/>
  <c r="B32440" i="1"/>
  <c r="A32441" i="1"/>
  <c r="B32441" i="1"/>
  <c r="A32442" i="1"/>
  <c r="B32442" i="1"/>
  <c r="A32443" i="1"/>
  <c r="B32443" i="1"/>
  <c r="A32444" i="1"/>
  <c r="B32444" i="1"/>
  <c r="A32445" i="1"/>
  <c r="B32445" i="1"/>
  <c r="A32446" i="1"/>
  <c r="B32446" i="1"/>
  <c r="A32447" i="1"/>
  <c r="B32447" i="1"/>
  <c r="A32448" i="1"/>
  <c r="B32448" i="1"/>
  <c r="A32449" i="1"/>
  <c r="B32449" i="1"/>
  <c r="A32450" i="1"/>
  <c r="B32450" i="1"/>
  <c r="A32451" i="1"/>
  <c r="B32451" i="1"/>
  <c r="A32452" i="1"/>
  <c r="B32452" i="1"/>
  <c r="A32453" i="1"/>
  <c r="B32453" i="1"/>
  <c r="A32454" i="1"/>
  <c r="B32454" i="1"/>
  <c r="A32455" i="1"/>
  <c r="B32455" i="1"/>
  <c r="A32456" i="1"/>
  <c r="B32456" i="1"/>
  <c r="A32457" i="1"/>
  <c r="B32457" i="1"/>
  <c r="A32458" i="1"/>
  <c r="B32458" i="1"/>
  <c r="A32459" i="1"/>
  <c r="B32459" i="1"/>
  <c r="A32460" i="1"/>
  <c r="B32460" i="1"/>
  <c r="A32461" i="1"/>
  <c r="B32461" i="1"/>
  <c r="A32462" i="1"/>
  <c r="B32462" i="1"/>
  <c r="A32463" i="1"/>
  <c r="B32463" i="1"/>
  <c r="A32464" i="1"/>
  <c r="B32464" i="1"/>
  <c r="A32465" i="1"/>
  <c r="B32465" i="1"/>
  <c r="A32466" i="1"/>
  <c r="B32466" i="1"/>
  <c r="A32467" i="1"/>
  <c r="B32467" i="1"/>
  <c r="A32468" i="1"/>
  <c r="B32468" i="1"/>
  <c r="A32469" i="1"/>
  <c r="B32469" i="1"/>
  <c r="A32470" i="1"/>
  <c r="B32470" i="1"/>
  <c r="A32471" i="1"/>
  <c r="B32471" i="1"/>
  <c r="A32472" i="1"/>
  <c r="B32472" i="1"/>
  <c r="A32473" i="1"/>
  <c r="B32473" i="1"/>
  <c r="A32474" i="1"/>
  <c r="B32474" i="1"/>
  <c r="A32475" i="1"/>
  <c r="B32475" i="1"/>
  <c r="A32476" i="1"/>
  <c r="B32476" i="1"/>
  <c r="A32477" i="1"/>
  <c r="B32477" i="1"/>
  <c r="A32478" i="1"/>
  <c r="B32478" i="1"/>
  <c r="A32479" i="1"/>
  <c r="B32479" i="1"/>
  <c r="A32480" i="1"/>
  <c r="B32480" i="1"/>
  <c r="A32481" i="1"/>
  <c r="B32481" i="1"/>
  <c r="A32482" i="1"/>
  <c r="B32482" i="1"/>
  <c r="A32483" i="1"/>
  <c r="B32483" i="1"/>
  <c r="A32484" i="1"/>
  <c r="B32484" i="1"/>
  <c r="A32485" i="1"/>
  <c r="B32485" i="1"/>
  <c r="A32486" i="1"/>
  <c r="B32486" i="1"/>
  <c r="A32487" i="1"/>
  <c r="B32487" i="1"/>
  <c r="A32488" i="1"/>
  <c r="B32488" i="1"/>
  <c r="A32489" i="1"/>
  <c r="B32489" i="1"/>
  <c r="A32490" i="1"/>
  <c r="B32490" i="1"/>
  <c r="A32491" i="1"/>
  <c r="B32491" i="1"/>
  <c r="A32492" i="1"/>
  <c r="B32492" i="1"/>
  <c r="A32493" i="1"/>
  <c r="B32493" i="1"/>
  <c r="A32494" i="1"/>
  <c r="B32494" i="1"/>
  <c r="A32495" i="1"/>
  <c r="B32495" i="1"/>
  <c r="A32496" i="1"/>
  <c r="B32496" i="1"/>
  <c r="A32497" i="1"/>
  <c r="B32497" i="1"/>
  <c r="A32498" i="1"/>
  <c r="B32498" i="1"/>
  <c r="A32499" i="1"/>
  <c r="B32499" i="1"/>
  <c r="A32500" i="1"/>
  <c r="B32500" i="1"/>
  <c r="A32501" i="1"/>
  <c r="B32501" i="1"/>
  <c r="A32502" i="1"/>
  <c r="B32502" i="1"/>
  <c r="A32503" i="1"/>
  <c r="B32503" i="1"/>
  <c r="A32504" i="1"/>
  <c r="B32504" i="1"/>
  <c r="A32505" i="1"/>
  <c r="B32505" i="1"/>
  <c r="A32506" i="1"/>
  <c r="B32506" i="1"/>
  <c r="A32507" i="1"/>
  <c r="B32507" i="1"/>
  <c r="A32508" i="1"/>
  <c r="B32508" i="1"/>
  <c r="A32509" i="1"/>
  <c r="B32509" i="1"/>
  <c r="A32510" i="1"/>
  <c r="B32510" i="1"/>
  <c r="A32511" i="1"/>
  <c r="B32511" i="1"/>
  <c r="A32512" i="1"/>
  <c r="B32512" i="1"/>
  <c r="A32513" i="1"/>
  <c r="B32513" i="1"/>
  <c r="A32514" i="1"/>
  <c r="B32514" i="1"/>
  <c r="A32515" i="1"/>
  <c r="B32515" i="1"/>
  <c r="A32516" i="1"/>
  <c r="B32516" i="1"/>
  <c r="A32517" i="1"/>
  <c r="B32517" i="1"/>
  <c r="A32518" i="1"/>
  <c r="B32518" i="1"/>
  <c r="A32519" i="1"/>
  <c r="B32519" i="1"/>
  <c r="A32520" i="1"/>
  <c r="B32520" i="1"/>
  <c r="A32521" i="1"/>
  <c r="B32521" i="1"/>
  <c r="A32522" i="1"/>
  <c r="B32522" i="1"/>
  <c r="A32523" i="1"/>
  <c r="B32523" i="1"/>
  <c r="A32524" i="1"/>
  <c r="B32524" i="1"/>
  <c r="A32525" i="1"/>
  <c r="B32525" i="1"/>
  <c r="A32526" i="1"/>
  <c r="B32526" i="1"/>
  <c r="A32527" i="1"/>
  <c r="B32527" i="1"/>
  <c r="A32528" i="1"/>
  <c r="B32528" i="1"/>
  <c r="A32529" i="1"/>
  <c r="B32529" i="1"/>
  <c r="A32530" i="1"/>
  <c r="B32530" i="1"/>
  <c r="A32531" i="1"/>
  <c r="B32531" i="1"/>
  <c r="A32532" i="1"/>
  <c r="B32532" i="1"/>
  <c r="A32533" i="1"/>
  <c r="B32533" i="1"/>
  <c r="A32534" i="1"/>
  <c r="B32534" i="1"/>
  <c r="A32535" i="1"/>
  <c r="B32535" i="1"/>
  <c r="A32536" i="1"/>
  <c r="B32536" i="1"/>
  <c r="A32537" i="1"/>
  <c r="B32537" i="1"/>
  <c r="A32538" i="1"/>
  <c r="B32538" i="1"/>
  <c r="A32539" i="1"/>
  <c r="B32539" i="1"/>
  <c r="A32540" i="1"/>
  <c r="B32540" i="1"/>
  <c r="A32541" i="1"/>
  <c r="B32541" i="1"/>
  <c r="A32542" i="1"/>
  <c r="B32542" i="1"/>
  <c r="A32543" i="1"/>
  <c r="B32543" i="1"/>
  <c r="A32544" i="1"/>
  <c r="B32544" i="1"/>
  <c r="A32545" i="1"/>
  <c r="B32545" i="1"/>
  <c r="A32546" i="1"/>
  <c r="B32546" i="1"/>
  <c r="A32547" i="1"/>
  <c r="B32547" i="1"/>
  <c r="A32548" i="1"/>
  <c r="B32548" i="1"/>
  <c r="A32549" i="1"/>
  <c r="B32549" i="1"/>
  <c r="A32550" i="1"/>
  <c r="B32550" i="1"/>
  <c r="A32551" i="1"/>
  <c r="B32551" i="1"/>
  <c r="A32552" i="1"/>
  <c r="B32552" i="1"/>
  <c r="A32553" i="1"/>
  <c r="B32553" i="1"/>
  <c r="A32554" i="1"/>
  <c r="B32554" i="1"/>
  <c r="A32555" i="1"/>
  <c r="B32555" i="1"/>
  <c r="A32556" i="1"/>
  <c r="B32556" i="1"/>
  <c r="A32557" i="1"/>
  <c r="B32557" i="1"/>
  <c r="A32558" i="1"/>
  <c r="B32558" i="1"/>
  <c r="A32559" i="1"/>
  <c r="B32559" i="1"/>
  <c r="A32560" i="1"/>
  <c r="B32560" i="1"/>
  <c r="A32561" i="1"/>
  <c r="B32561" i="1"/>
  <c r="A32562" i="1"/>
  <c r="B32562" i="1"/>
  <c r="A32563" i="1"/>
  <c r="B32563" i="1"/>
  <c r="A32564" i="1"/>
  <c r="B32564" i="1"/>
  <c r="A32565" i="1"/>
  <c r="B32565" i="1"/>
  <c r="A32566" i="1"/>
  <c r="B32566" i="1"/>
  <c r="A32567" i="1"/>
  <c r="B32567" i="1"/>
  <c r="A32568" i="1"/>
  <c r="B32568" i="1"/>
  <c r="A32569" i="1"/>
  <c r="B32569" i="1"/>
  <c r="A32570" i="1"/>
  <c r="B32570" i="1"/>
  <c r="A32571" i="1"/>
  <c r="B32571" i="1"/>
  <c r="A32572" i="1"/>
  <c r="B32572" i="1"/>
  <c r="A32573" i="1"/>
  <c r="B32573" i="1"/>
  <c r="A32574" i="1"/>
  <c r="B32574" i="1"/>
  <c r="A32575" i="1"/>
  <c r="B32575" i="1"/>
  <c r="A32576" i="1"/>
  <c r="B32576" i="1"/>
  <c r="A32577" i="1"/>
  <c r="B32577" i="1"/>
  <c r="A32578" i="1"/>
  <c r="B32578" i="1"/>
  <c r="A32579" i="1"/>
  <c r="B32579" i="1"/>
  <c r="A32580" i="1"/>
  <c r="B32580" i="1"/>
  <c r="A32581" i="1"/>
  <c r="B32581" i="1"/>
  <c r="A32582" i="1"/>
  <c r="B32582" i="1"/>
  <c r="A32583" i="1"/>
  <c r="B32583" i="1"/>
  <c r="A32584" i="1"/>
  <c r="B32584" i="1"/>
  <c r="A32585" i="1"/>
  <c r="B32585" i="1"/>
  <c r="A32586" i="1"/>
  <c r="B32586" i="1"/>
  <c r="A32587" i="1"/>
  <c r="B32587" i="1"/>
  <c r="A32588" i="1"/>
  <c r="B32588" i="1"/>
  <c r="A32589" i="1"/>
  <c r="B32589" i="1"/>
  <c r="A32590" i="1"/>
  <c r="B32590" i="1"/>
  <c r="A32591" i="1"/>
  <c r="B32591" i="1"/>
  <c r="A32592" i="1"/>
  <c r="B32592" i="1"/>
  <c r="A32593" i="1"/>
  <c r="B32593" i="1"/>
  <c r="A32594" i="1"/>
  <c r="B32594" i="1"/>
  <c r="A32595" i="1"/>
  <c r="B32595" i="1"/>
  <c r="A32596" i="1"/>
  <c r="B32596" i="1"/>
  <c r="A32597" i="1"/>
  <c r="B32597" i="1"/>
  <c r="A32598" i="1"/>
  <c r="B32598" i="1"/>
  <c r="A32599" i="1"/>
  <c r="B32599" i="1"/>
  <c r="A32600" i="1"/>
  <c r="B32600" i="1"/>
  <c r="A32601" i="1"/>
  <c r="B32601" i="1"/>
  <c r="A32602" i="1"/>
  <c r="B32602" i="1"/>
  <c r="A32603" i="1"/>
  <c r="B32603" i="1"/>
  <c r="A32604" i="1"/>
  <c r="B32604" i="1"/>
  <c r="A32605" i="1"/>
  <c r="B32605" i="1"/>
  <c r="A32606" i="1"/>
  <c r="B32606" i="1"/>
  <c r="A32607" i="1"/>
  <c r="B32607" i="1"/>
  <c r="A32608" i="1"/>
  <c r="B32608" i="1"/>
  <c r="A32609" i="1"/>
  <c r="B32609" i="1"/>
  <c r="A32610" i="1"/>
  <c r="B32610" i="1"/>
  <c r="A32611" i="1"/>
  <c r="B32611" i="1"/>
  <c r="A32612" i="1"/>
  <c r="B32612" i="1"/>
  <c r="A32613" i="1"/>
  <c r="B32613" i="1"/>
  <c r="A32614" i="1"/>
  <c r="B32614" i="1"/>
  <c r="A32615" i="1"/>
  <c r="B32615" i="1"/>
  <c r="A32616" i="1"/>
  <c r="B32616" i="1"/>
  <c r="A32617" i="1"/>
  <c r="B32617" i="1"/>
  <c r="A32618" i="1"/>
  <c r="B32618" i="1"/>
  <c r="A32619" i="1"/>
  <c r="B32619" i="1"/>
  <c r="A32620" i="1"/>
  <c r="B32620" i="1"/>
  <c r="A32621" i="1"/>
  <c r="B32621" i="1"/>
  <c r="A32622" i="1"/>
  <c r="B32622" i="1"/>
  <c r="A32623" i="1"/>
  <c r="B32623" i="1"/>
  <c r="A32624" i="1"/>
  <c r="B32624" i="1"/>
  <c r="A32625" i="1"/>
  <c r="B32625" i="1"/>
  <c r="A32626" i="1"/>
  <c r="B32626" i="1"/>
  <c r="A32627" i="1"/>
  <c r="B32627" i="1"/>
  <c r="A32628" i="1"/>
  <c r="B32628" i="1"/>
  <c r="A32629" i="1"/>
  <c r="B32629" i="1"/>
  <c r="A32630" i="1"/>
  <c r="B32630" i="1"/>
  <c r="A32631" i="1"/>
  <c r="B32631" i="1"/>
  <c r="A32632" i="1"/>
  <c r="B32632" i="1"/>
  <c r="A32633" i="1"/>
  <c r="B32633" i="1"/>
  <c r="A32634" i="1"/>
  <c r="B32634" i="1"/>
  <c r="A32635" i="1"/>
  <c r="B32635" i="1"/>
  <c r="A32636" i="1"/>
  <c r="B32636" i="1"/>
  <c r="A32637" i="1"/>
  <c r="B32637" i="1"/>
  <c r="A32638" i="1"/>
  <c r="B32638" i="1"/>
  <c r="A32639" i="1"/>
  <c r="B32639" i="1"/>
  <c r="A32640" i="1"/>
  <c r="B32640" i="1"/>
  <c r="A32641" i="1"/>
  <c r="B32641" i="1"/>
  <c r="A32642" i="1"/>
  <c r="B32642" i="1"/>
  <c r="A32643" i="1"/>
  <c r="B32643" i="1"/>
  <c r="A32644" i="1"/>
  <c r="B32644" i="1"/>
  <c r="A32645" i="1"/>
  <c r="B32645" i="1"/>
  <c r="A32646" i="1"/>
  <c r="B32646" i="1"/>
  <c r="A32647" i="1"/>
  <c r="B32647" i="1"/>
  <c r="A32648" i="1"/>
  <c r="B32648" i="1"/>
  <c r="A32649" i="1"/>
  <c r="B32649" i="1"/>
  <c r="A32650" i="1"/>
  <c r="B32650" i="1"/>
  <c r="A32651" i="1"/>
  <c r="B32651" i="1"/>
  <c r="A32652" i="1"/>
  <c r="B32652" i="1"/>
  <c r="A32653" i="1"/>
  <c r="B32653" i="1"/>
  <c r="A32654" i="1"/>
  <c r="B32654" i="1"/>
  <c r="A32655" i="1"/>
  <c r="B32655" i="1"/>
  <c r="A32656" i="1"/>
  <c r="B32656" i="1"/>
  <c r="A32657" i="1"/>
  <c r="B32657" i="1"/>
  <c r="A32658" i="1"/>
  <c r="B32658" i="1"/>
  <c r="A32659" i="1"/>
  <c r="B32659" i="1"/>
  <c r="A32660" i="1"/>
  <c r="B32660" i="1"/>
  <c r="A32661" i="1"/>
  <c r="B32661" i="1"/>
  <c r="A32662" i="1"/>
  <c r="B32662" i="1"/>
  <c r="A32663" i="1"/>
  <c r="B32663" i="1"/>
  <c r="A32664" i="1"/>
  <c r="B32664" i="1"/>
  <c r="A32665" i="1"/>
  <c r="B32665" i="1"/>
  <c r="A32666" i="1"/>
  <c r="B32666" i="1"/>
  <c r="A32667" i="1"/>
  <c r="B32667" i="1"/>
  <c r="A32668" i="1"/>
  <c r="B32668" i="1"/>
  <c r="A32669" i="1"/>
  <c r="B32669" i="1"/>
  <c r="A32670" i="1"/>
  <c r="B32670" i="1"/>
  <c r="A32671" i="1"/>
  <c r="B32671" i="1"/>
  <c r="A32672" i="1"/>
  <c r="B32672" i="1"/>
  <c r="A32673" i="1"/>
  <c r="B32673" i="1"/>
  <c r="A32674" i="1"/>
  <c r="B32674" i="1"/>
  <c r="A32675" i="1"/>
  <c r="B32675" i="1"/>
  <c r="A32676" i="1"/>
  <c r="B32676" i="1"/>
  <c r="A32677" i="1"/>
  <c r="B32677" i="1"/>
  <c r="A32678" i="1"/>
  <c r="B32678" i="1"/>
  <c r="A32679" i="1"/>
  <c r="B32679" i="1"/>
  <c r="A32680" i="1"/>
  <c r="B32680" i="1"/>
  <c r="A32681" i="1"/>
  <c r="B32681" i="1"/>
  <c r="A32682" i="1"/>
  <c r="B32682" i="1"/>
  <c r="A32683" i="1"/>
  <c r="B32683" i="1"/>
  <c r="A32684" i="1"/>
  <c r="B32684" i="1"/>
  <c r="A32685" i="1"/>
  <c r="B32685" i="1"/>
  <c r="A32686" i="1"/>
  <c r="B32686" i="1"/>
  <c r="A32687" i="1"/>
  <c r="B32687" i="1"/>
  <c r="A32688" i="1"/>
  <c r="B32688" i="1"/>
  <c r="A32689" i="1"/>
  <c r="B32689" i="1"/>
  <c r="A32690" i="1"/>
  <c r="B32690" i="1"/>
  <c r="A32691" i="1"/>
  <c r="B32691" i="1"/>
  <c r="A32692" i="1"/>
  <c r="B32692" i="1"/>
  <c r="A32693" i="1"/>
  <c r="B32693" i="1"/>
  <c r="A32694" i="1"/>
  <c r="B32694" i="1"/>
  <c r="A32695" i="1"/>
  <c r="B32695" i="1"/>
  <c r="A32696" i="1"/>
  <c r="B32696" i="1"/>
  <c r="A32697" i="1"/>
  <c r="B32697" i="1"/>
  <c r="A32698" i="1"/>
  <c r="B32698" i="1"/>
  <c r="A32699" i="1"/>
  <c r="B32699" i="1"/>
  <c r="A32700" i="1"/>
  <c r="B32700" i="1"/>
  <c r="A32701" i="1"/>
  <c r="B32701" i="1"/>
  <c r="A32702" i="1"/>
  <c r="B32702" i="1"/>
  <c r="A32703" i="1"/>
  <c r="B32703" i="1"/>
  <c r="A32704" i="1"/>
  <c r="B32704" i="1"/>
  <c r="A32705" i="1"/>
  <c r="B32705" i="1"/>
  <c r="A32706" i="1"/>
  <c r="B32706" i="1"/>
  <c r="A32707" i="1"/>
  <c r="B32707" i="1"/>
  <c r="A32708" i="1"/>
  <c r="B32708" i="1"/>
  <c r="A32709" i="1"/>
  <c r="B32709" i="1"/>
  <c r="A32710" i="1"/>
  <c r="B32710" i="1"/>
  <c r="A32711" i="1"/>
  <c r="B32711" i="1"/>
  <c r="A32712" i="1"/>
  <c r="B32712" i="1"/>
  <c r="A32713" i="1"/>
  <c r="B32713" i="1"/>
  <c r="A32714" i="1"/>
  <c r="B32714" i="1"/>
  <c r="A32715" i="1"/>
  <c r="B32715" i="1"/>
  <c r="A32716" i="1"/>
  <c r="B32716" i="1"/>
  <c r="A32717" i="1"/>
  <c r="B32717" i="1"/>
  <c r="A32718" i="1"/>
  <c r="B32718" i="1"/>
  <c r="A32719" i="1"/>
  <c r="B32719" i="1"/>
  <c r="A32720" i="1"/>
  <c r="B32720" i="1"/>
  <c r="A32721" i="1"/>
  <c r="B32721" i="1"/>
  <c r="A32722" i="1"/>
  <c r="B32722" i="1"/>
  <c r="A32723" i="1"/>
  <c r="B32723" i="1"/>
  <c r="A32724" i="1"/>
  <c r="B32724" i="1"/>
  <c r="A32725" i="1"/>
  <c r="B32725" i="1"/>
  <c r="A32726" i="1"/>
  <c r="B32726" i="1"/>
  <c r="A32727" i="1"/>
  <c r="B32727" i="1"/>
  <c r="A32728" i="1"/>
  <c r="B32728" i="1"/>
  <c r="A32729" i="1"/>
  <c r="B32729" i="1"/>
  <c r="A32730" i="1"/>
  <c r="B32730" i="1"/>
  <c r="A32731" i="1"/>
  <c r="B32731" i="1"/>
  <c r="A32732" i="1"/>
  <c r="B32732" i="1"/>
  <c r="A32733" i="1"/>
  <c r="B32733" i="1"/>
  <c r="A32734" i="1"/>
  <c r="B32734" i="1"/>
  <c r="A32735" i="1"/>
  <c r="B32735" i="1"/>
  <c r="A32736" i="1"/>
  <c r="B32736" i="1"/>
  <c r="A32737" i="1"/>
  <c r="B32737" i="1"/>
  <c r="A32738" i="1"/>
  <c r="B32738" i="1"/>
  <c r="A32739" i="1"/>
  <c r="B32739" i="1"/>
  <c r="A32740" i="1"/>
  <c r="B32740" i="1"/>
  <c r="A32741" i="1"/>
  <c r="B32741" i="1"/>
  <c r="A32742" i="1"/>
  <c r="B32742" i="1"/>
  <c r="A32743" i="1"/>
  <c r="B32743" i="1"/>
  <c r="A32744" i="1"/>
  <c r="B32744" i="1"/>
  <c r="A32745" i="1"/>
  <c r="B32745" i="1"/>
  <c r="A32746" i="1"/>
  <c r="B32746" i="1"/>
  <c r="A32747" i="1"/>
  <c r="B32747" i="1"/>
  <c r="A32748" i="1"/>
  <c r="B32748" i="1"/>
  <c r="A32749" i="1"/>
  <c r="B32749" i="1"/>
  <c r="A32750" i="1"/>
  <c r="B32750" i="1"/>
  <c r="A32751" i="1"/>
  <c r="B32751" i="1"/>
  <c r="A32752" i="1"/>
  <c r="B32752" i="1"/>
  <c r="A32753" i="1"/>
  <c r="B32753" i="1"/>
  <c r="A32754" i="1"/>
  <c r="B32754" i="1"/>
  <c r="A32755" i="1"/>
  <c r="B32755" i="1"/>
  <c r="A32756" i="1"/>
  <c r="B32756" i="1"/>
  <c r="A32757" i="1"/>
  <c r="B32757" i="1"/>
  <c r="A32758" i="1"/>
  <c r="B32758" i="1"/>
  <c r="A32759" i="1"/>
  <c r="B32759" i="1"/>
  <c r="A32760" i="1"/>
  <c r="B32760" i="1"/>
  <c r="A32761" i="1"/>
  <c r="B32761" i="1"/>
  <c r="A32762" i="1"/>
  <c r="B32762" i="1"/>
  <c r="A32763" i="1"/>
  <c r="B32763" i="1"/>
  <c r="A32764" i="1"/>
  <c r="B32764" i="1"/>
  <c r="A32765" i="1"/>
  <c r="B32765" i="1"/>
  <c r="A32766" i="1"/>
  <c r="B32766" i="1"/>
  <c r="A32767" i="1"/>
  <c r="B32767" i="1"/>
  <c r="A32768" i="1"/>
  <c r="B32768" i="1"/>
  <c r="A32769" i="1"/>
  <c r="B32769" i="1"/>
  <c r="A32770" i="1"/>
  <c r="B32770" i="1"/>
  <c r="A32771" i="1"/>
  <c r="B32771" i="1"/>
  <c r="A32772" i="1"/>
  <c r="B32772" i="1"/>
  <c r="A32773" i="1"/>
  <c r="B32773" i="1"/>
  <c r="A32774" i="1"/>
  <c r="B32774" i="1"/>
  <c r="A32775" i="1"/>
  <c r="B32775" i="1"/>
  <c r="A32776" i="1"/>
  <c r="B32776" i="1"/>
  <c r="A32777" i="1"/>
  <c r="B32777" i="1"/>
  <c r="A32778" i="1"/>
  <c r="B32778" i="1"/>
  <c r="A32779" i="1"/>
  <c r="B32779" i="1"/>
  <c r="A32780" i="1"/>
  <c r="B32780" i="1"/>
  <c r="A32781" i="1"/>
  <c r="B32781" i="1"/>
  <c r="A32782" i="1"/>
  <c r="B32782" i="1"/>
  <c r="A32783" i="1"/>
  <c r="B32783" i="1"/>
  <c r="A32784" i="1"/>
  <c r="B32784" i="1"/>
  <c r="A32785" i="1"/>
  <c r="B32785" i="1"/>
  <c r="A32786" i="1"/>
  <c r="B32786" i="1"/>
  <c r="A32787" i="1"/>
  <c r="B32787" i="1"/>
  <c r="A32788" i="1"/>
  <c r="B32788" i="1"/>
  <c r="A32789" i="1"/>
  <c r="B32789" i="1"/>
  <c r="A32790" i="1"/>
  <c r="B32790" i="1"/>
  <c r="A32791" i="1"/>
  <c r="B32791" i="1"/>
  <c r="A32792" i="1"/>
  <c r="B32792" i="1"/>
  <c r="A32793" i="1"/>
  <c r="B32793" i="1"/>
  <c r="A32794" i="1"/>
  <c r="B32794" i="1"/>
  <c r="A32795" i="1"/>
  <c r="B32795" i="1"/>
  <c r="A32796" i="1"/>
  <c r="B32796" i="1"/>
  <c r="A32797" i="1"/>
  <c r="B32797" i="1"/>
  <c r="A32798" i="1"/>
  <c r="B32798" i="1"/>
  <c r="A32799" i="1"/>
  <c r="B32799" i="1"/>
  <c r="A32800" i="1"/>
  <c r="B32800" i="1"/>
  <c r="A32801" i="1"/>
  <c r="B32801" i="1"/>
  <c r="A32802" i="1"/>
  <c r="B32802" i="1"/>
  <c r="A32803" i="1"/>
  <c r="B32803" i="1"/>
  <c r="A32804" i="1"/>
  <c r="B32804" i="1"/>
  <c r="A32805" i="1"/>
  <c r="B32805" i="1"/>
  <c r="A32806" i="1"/>
  <c r="B32806" i="1"/>
  <c r="A32807" i="1"/>
  <c r="B32807" i="1"/>
  <c r="A32808" i="1"/>
  <c r="B32808" i="1"/>
  <c r="A32809" i="1"/>
  <c r="B32809" i="1"/>
  <c r="A32810" i="1"/>
  <c r="B32810" i="1"/>
  <c r="A32811" i="1"/>
  <c r="B32811" i="1"/>
  <c r="A32812" i="1"/>
  <c r="B32812" i="1"/>
  <c r="A32813" i="1"/>
  <c r="B32813" i="1"/>
  <c r="A32814" i="1"/>
  <c r="B32814" i="1"/>
  <c r="A32815" i="1"/>
  <c r="B32815" i="1"/>
  <c r="A32816" i="1"/>
  <c r="B32816" i="1"/>
  <c r="A32817" i="1"/>
  <c r="B32817" i="1"/>
  <c r="A32818" i="1"/>
  <c r="B32818" i="1"/>
  <c r="A32819" i="1"/>
  <c r="B32819" i="1"/>
  <c r="A32820" i="1"/>
  <c r="B32820" i="1"/>
  <c r="A32821" i="1"/>
  <c r="B32821" i="1"/>
  <c r="A32822" i="1"/>
  <c r="B32822" i="1"/>
  <c r="A32823" i="1"/>
  <c r="B32823" i="1"/>
  <c r="A32824" i="1"/>
  <c r="B32824" i="1"/>
  <c r="A32825" i="1"/>
  <c r="B32825" i="1"/>
  <c r="A32826" i="1"/>
  <c r="B32826" i="1"/>
  <c r="A32827" i="1"/>
  <c r="B32827" i="1"/>
  <c r="A32828" i="1"/>
  <c r="B32828" i="1"/>
  <c r="A32829" i="1"/>
  <c r="B32829" i="1"/>
  <c r="A32830" i="1"/>
  <c r="B32830" i="1"/>
  <c r="A32831" i="1"/>
  <c r="B32831" i="1"/>
  <c r="A32832" i="1"/>
  <c r="B32832" i="1"/>
  <c r="A32833" i="1"/>
  <c r="B32833" i="1"/>
  <c r="A32834" i="1"/>
  <c r="B32834" i="1"/>
  <c r="A32835" i="1"/>
  <c r="B32835" i="1"/>
  <c r="A32836" i="1"/>
  <c r="B32836" i="1"/>
  <c r="A32837" i="1"/>
  <c r="B32837" i="1"/>
  <c r="A32838" i="1"/>
  <c r="B32838" i="1"/>
  <c r="A32839" i="1"/>
  <c r="B32839" i="1"/>
  <c r="A32840" i="1"/>
  <c r="B32840" i="1"/>
  <c r="A32841" i="1"/>
  <c r="B32841" i="1"/>
  <c r="A32842" i="1"/>
  <c r="B32842" i="1"/>
  <c r="A32843" i="1"/>
  <c r="B32843" i="1"/>
  <c r="A32844" i="1"/>
  <c r="B32844" i="1"/>
  <c r="A32845" i="1"/>
  <c r="B32845" i="1"/>
  <c r="A32846" i="1"/>
  <c r="B32846" i="1"/>
  <c r="A32847" i="1"/>
  <c r="B32847" i="1"/>
  <c r="A32848" i="1"/>
  <c r="B32848" i="1"/>
  <c r="A32849" i="1"/>
  <c r="B32849" i="1"/>
  <c r="A32850" i="1"/>
  <c r="B32850" i="1"/>
  <c r="A32851" i="1"/>
  <c r="B32851" i="1"/>
  <c r="A32852" i="1"/>
  <c r="B32852" i="1"/>
  <c r="A32853" i="1"/>
  <c r="B32853" i="1"/>
  <c r="A32854" i="1"/>
  <c r="B32854" i="1"/>
  <c r="A32855" i="1"/>
  <c r="B32855" i="1"/>
  <c r="A32856" i="1"/>
  <c r="B32856" i="1"/>
  <c r="A32857" i="1"/>
  <c r="B32857" i="1"/>
  <c r="A32858" i="1"/>
  <c r="B32858" i="1"/>
  <c r="A32859" i="1"/>
  <c r="B32859" i="1"/>
  <c r="A32860" i="1"/>
  <c r="B32860" i="1"/>
  <c r="A32861" i="1"/>
  <c r="B32861" i="1"/>
  <c r="A32862" i="1"/>
  <c r="B32862" i="1"/>
  <c r="A32863" i="1"/>
  <c r="B32863" i="1"/>
  <c r="A32864" i="1"/>
  <c r="B32864" i="1"/>
  <c r="A32865" i="1"/>
  <c r="B32865" i="1"/>
  <c r="A32866" i="1"/>
  <c r="B32866" i="1"/>
  <c r="A32867" i="1"/>
  <c r="B32867" i="1"/>
  <c r="A32868" i="1"/>
  <c r="B32868" i="1"/>
  <c r="A32869" i="1"/>
  <c r="B32869" i="1"/>
  <c r="A32870" i="1"/>
  <c r="B32870" i="1"/>
  <c r="A32871" i="1"/>
  <c r="B32871" i="1"/>
  <c r="A32872" i="1"/>
  <c r="B32872" i="1"/>
  <c r="A32873" i="1"/>
  <c r="B32873" i="1"/>
  <c r="A32874" i="1"/>
  <c r="B32874" i="1"/>
  <c r="A32875" i="1"/>
  <c r="B32875" i="1"/>
  <c r="A32876" i="1"/>
  <c r="B32876" i="1"/>
  <c r="A32877" i="1"/>
  <c r="B32877" i="1"/>
  <c r="A32878" i="1"/>
  <c r="B32878" i="1"/>
  <c r="A32879" i="1"/>
  <c r="B32879" i="1"/>
  <c r="A32880" i="1"/>
  <c r="B32880" i="1"/>
  <c r="A32881" i="1"/>
  <c r="B32881" i="1"/>
  <c r="A32882" i="1"/>
  <c r="B32882" i="1"/>
  <c r="A32883" i="1"/>
  <c r="B32883" i="1"/>
  <c r="A32884" i="1"/>
  <c r="B32884" i="1"/>
  <c r="A32885" i="1"/>
  <c r="B32885" i="1"/>
  <c r="A32886" i="1"/>
  <c r="B32886" i="1"/>
  <c r="A32887" i="1"/>
  <c r="B32887" i="1"/>
  <c r="A32888" i="1"/>
  <c r="B32888" i="1"/>
  <c r="A32889" i="1"/>
  <c r="B32889" i="1"/>
  <c r="A32890" i="1"/>
  <c r="B32890" i="1"/>
  <c r="A32891" i="1"/>
  <c r="B32891" i="1"/>
  <c r="A32892" i="1"/>
  <c r="B32892" i="1"/>
  <c r="A32893" i="1"/>
  <c r="B32893" i="1"/>
  <c r="A32894" i="1"/>
  <c r="B32894" i="1"/>
  <c r="A32895" i="1"/>
  <c r="B32895" i="1"/>
  <c r="A32896" i="1"/>
  <c r="B32896" i="1"/>
  <c r="A32897" i="1"/>
  <c r="B32897" i="1"/>
  <c r="A32898" i="1"/>
  <c r="B32898" i="1"/>
  <c r="A32899" i="1"/>
  <c r="B32899" i="1"/>
  <c r="A32900" i="1"/>
  <c r="B32900" i="1"/>
  <c r="A32901" i="1"/>
  <c r="B32901" i="1"/>
  <c r="A32902" i="1"/>
  <c r="B32902" i="1"/>
  <c r="A32903" i="1"/>
  <c r="B32903" i="1"/>
  <c r="A32904" i="1"/>
  <c r="B32904" i="1"/>
  <c r="A32905" i="1"/>
  <c r="B32905" i="1"/>
  <c r="A32906" i="1"/>
  <c r="B32906" i="1"/>
  <c r="A32907" i="1"/>
  <c r="B32907" i="1"/>
  <c r="A32908" i="1"/>
  <c r="B32908" i="1"/>
  <c r="A32909" i="1"/>
  <c r="B32909" i="1"/>
  <c r="A32910" i="1"/>
  <c r="B32910" i="1"/>
  <c r="A32911" i="1"/>
  <c r="B32911" i="1"/>
  <c r="A32912" i="1"/>
  <c r="B32912" i="1"/>
  <c r="A32913" i="1"/>
  <c r="B32913" i="1"/>
  <c r="A32914" i="1"/>
  <c r="B32914" i="1"/>
  <c r="A32915" i="1"/>
  <c r="B32915" i="1"/>
  <c r="A32916" i="1"/>
  <c r="B32916" i="1"/>
  <c r="A32917" i="1"/>
  <c r="B32917" i="1"/>
  <c r="A32918" i="1"/>
  <c r="B32918" i="1"/>
  <c r="A32919" i="1"/>
  <c r="B32919" i="1"/>
  <c r="A32920" i="1"/>
  <c r="B32920" i="1"/>
  <c r="A32921" i="1"/>
  <c r="B32921" i="1"/>
  <c r="A32922" i="1"/>
  <c r="B32922" i="1"/>
  <c r="A32923" i="1"/>
  <c r="B32923" i="1"/>
  <c r="A32924" i="1"/>
  <c r="B32924" i="1"/>
  <c r="A32925" i="1"/>
  <c r="B32925" i="1"/>
  <c r="A32926" i="1"/>
  <c r="B32926" i="1"/>
  <c r="A32927" i="1"/>
  <c r="B32927" i="1"/>
  <c r="A32928" i="1"/>
  <c r="B32928" i="1"/>
  <c r="A32929" i="1"/>
  <c r="B32929" i="1"/>
  <c r="A32930" i="1"/>
  <c r="B32930" i="1"/>
  <c r="A32931" i="1"/>
  <c r="B32931" i="1"/>
  <c r="A32932" i="1"/>
  <c r="B32932" i="1"/>
  <c r="A32933" i="1"/>
  <c r="B32933" i="1"/>
  <c r="A32934" i="1"/>
  <c r="B32934" i="1"/>
  <c r="A32935" i="1"/>
  <c r="B32935" i="1"/>
  <c r="A32936" i="1"/>
  <c r="B32936" i="1"/>
  <c r="A32937" i="1"/>
  <c r="B32937" i="1"/>
  <c r="A32938" i="1"/>
  <c r="B32938" i="1"/>
  <c r="A32939" i="1"/>
  <c r="B32939" i="1"/>
  <c r="A32940" i="1"/>
  <c r="B32940" i="1"/>
  <c r="A32941" i="1"/>
  <c r="B32941" i="1"/>
  <c r="A32942" i="1"/>
  <c r="B32942" i="1"/>
  <c r="A32943" i="1"/>
  <c r="B32943" i="1"/>
  <c r="A32944" i="1"/>
  <c r="B32944" i="1"/>
  <c r="A32945" i="1"/>
  <c r="B32945" i="1"/>
  <c r="A32946" i="1"/>
  <c r="B32946" i="1"/>
  <c r="A32947" i="1"/>
  <c r="B32947" i="1"/>
  <c r="A32948" i="1"/>
  <c r="B32948" i="1"/>
  <c r="A32949" i="1"/>
  <c r="B32949" i="1"/>
  <c r="A32950" i="1"/>
  <c r="B32950" i="1"/>
  <c r="A32951" i="1"/>
  <c r="B32951" i="1"/>
  <c r="A32952" i="1"/>
  <c r="B32952" i="1"/>
  <c r="A32953" i="1"/>
  <c r="B32953" i="1"/>
  <c r="A32954" i="1"/>
  <c r="B32954" i="1"/>
  <c r="A32955" i="1"/>
  <c r="B32955" i="1"/>
  <c r="A32956" i="1"/>
  <c r="B32956" i="1"/>
  <c r="A32957" i="1"/>
  <c r="B32957" i="1"/>
  <c r="A32958" i="1"/>
  <c r="B32958" i="1"/>
  <c r="A32959" i="1"/>
  <c r="B32959" i="1"/>
  <c r="A32960" i="1"/>
  <c r="B32960" i="1"/>
  <c r="A32961" i="1"/>
  <c r="B32961" i="1"/>
  <c r="A32962" i="1"/>
  <c r="B32962" i="1"/>
  <c r="A32963" i="1"/>
  <c r="B32963" i="1"/>
  <c r="A32964" i="1"/>
  <c r="B32964" i="1"/>
  <c r="A32965" i="1"/>
  <c r="B32965" i="1"/>
  <c r="A32966" i="1"/>
  <c r="B32966" i="1"/>
  <c r="A32967" i="1"/>
  <c r="B32967" i="1"/>
  <c r="A32968" i="1"/>
  <c r="B32968" i="1"/>
  <c r="A32969" i="1"/>
  <c r="B32969" i="1"/>
  <c r="A32970" i="1"/>
  <c r="B32970" i="1"/>
  <c r="A32971" i="1"/>
  <c r="B32971" i="1"/>
  <c r="A32972" i="1"/>
  <c r="B32972" i="1"/>
  <c r="A32973" i="1"/>
  <c r="B32973" i="1"/>
  <c r="A32974" i="1"/>
  <c r="B32974" i="1"/>
  <c r="A32975" i="1"/>
  <c r="B32975" i="1"/>
  <c r="A32976" i="1"/>
  <c r="B32976" i="1"/>
  <c r="A32977" i="1"/>
  <c r="B32977" i="1"/>
  <c r="A32978" i="1"/>
  <c r="B32978" i="1"/>
  <c r="A32979" i="1"/>
  <c r="B32979" i="1"/>
  <c r="A32980" i="1"/>
  <c r="B32980" i="1"/>
  <c r="A32981" i="1"/>
  <c r="B32981" i="1"/>
  <c r="A32982" i="1"/>
  <c r="B32982" i="1"/>
  <c r="A32983" i="1"/>
  <c r="B32983" i="1"/>
  <c r="A32984" i="1"/>
  <c r="B32984" i="1"/>
  <c r="A32985" i="1"/>
  <c r="B32985" i="1"/>
  <c r="A32986" i="1"/>
  <c r="B32986" i="1"/>
  <c r="A32987" i="1"/>
  <c r="B32987" i="1"/>
  <c r="A32988" i="1"/>
  <c r="B32988" i="1"/>
  <c r="A32989" i="1"/>
  <c r="B32989" i="1"/>
  <c r="A32990" i="1"/>
  <c r="B32990" i="1"/>
  <c r="A32991" i="1"/>
  <c r="B32991" i="1"/>
  <c r="A32992" i="1"/>
  <c r="B32992" i="1"/>
  <c r="A32993" i="1"/>
  <c r="B32993" i="1"/>
  <c r="A32994" i="1"/>
  <c r="B32994" i="1"/>
  <c r="A32995" i="1"/>
  <c r="B32995" i="1"/>
  <c r="A32996" i="1"/>
  <c r="B32996" i="1"/>
  <c r="A32997" i="1"/>
  <c r="B32997" i="1"/>
  <c r="A32998" i="1"/>
  <c r="B32998" i="1"/>
  <c r="A32999" i="1"/>
  <c r="B32999" i="1"/>
  <c r="A33000" i="1"/>
  <c r="B33000" i="1"/>
  <c r="A33001" i="1"/>
  <c r="B33001" i="1"/>
  <c r="A33002" i="1"/>
  <c r="B33002" i="1"/>
  <c r="A33003" i="1"/>
  <c r="B33003" i="1"/>
  <c r="A33004" i="1"/>
  <c r="B33004" i="1"/>
  <c r="A33005" i="1"/>
  <c r="B33005" i="1"/>
  <c r="A33006" i="1"/>
  <c r="B33006" i="1"/>
  <c r="A33007" i="1"/>
  <c r="B33007" i="1"/>
  <c r="A33008" i="1"/>
  <c r="B33008" i="1"/>
  <c r="A33009" i="1"/>
  <c r="B33009" i="1"/>
  <c r="A33010" i="1"/>
  <c r="B33010" i="1"/>
  <c r="A33011" i="1"/>
  <c r="B33011" i="1"/>
  <c r="A33012" i="1"/>
  <c r="B33012" i="1"/>
  <c r="A33013" i="1"/>
  <c r="B33013" i="1"/>
  <c r="A33014" i="1"/>
  <c r="B33014" i="1"/>
  <c r="A33015" i="1"/>
  <c r="B33015" i="1"/>
  <c r="A33016" i="1"/>
  <c r="B33016" i="1"/>
  <c r="A33017" i="1"/>
  <c r="B33017" i="1"/>
  <c r="A33018" i="1"/>
  <c r="B33018" i="1"/>
  <c r="A33019" i="1"/>
  <c r="B33019" i="1"/>
  <c r="A33020" i="1"/>
  <c r="B33020" i="1"/>
  <c r="A33021" i="1"/>
  <c r="B33021" i="1"/>
  <c r="A33022" i="1"/>
  <c r="B33022" i="1"/>
  <c r="A33023" i="1"/>
  <c r="B33023" i="1"/>
  <c r="A33024" i="1"/>
  <c r="B33024" i="1"/>
  <c r="A33025" i="1"/>
  <c r="B33025" i="1"/>
  <c r="A33026" i="1"/>
  <c r="B33026" i="1"/>
  <c r="A33027" i="1"/>
  <c r="B33027" i="1"/>
  <c r="A33028" i="1"/>
  <c r="B33028" i="1"/>
  <c r="A33029" i="1"/>
  <c r="B33029" i="1"/>
  <c r="A33030" i="1"/>
  <c r="B33030" i="1"/>
  <c r="A33031" i="1"/>
  <c r="B33031" i="1"/>
  <c r="A33032" i="1"/>
  <c r="B33032" i="1"/>
  <c r="A33033" i="1"/>
  <c r="B33033" i="1"/>
  <c r="A33034" i="1"/>
  <c r="B33034" i="1"/>
  <c r="A33035" i="1"/>
  <c r="B33035" i="1"/>
  <c r="A33036" i="1"/>
  <c r="B33036" i="1"/>
  <c r="A33037" i="1"/>
  <c r="B33037" i="1"/>
  <c r="A33038" i="1"/>
  <c r="B33038" i="1"/>
  <c r="A33039" i="1"/>
  <c r="B33039" i="1"/>
  <c r="A33040" i="1"/>
  <c r="B33040" i="1"/>
  <c r="A33041" i="1"/>
  <c r="B33041" i="1"/>
  <c r="A33042" i="1"/>
  <c r="B33042" i="1"/>
  <c r="A33043" i="1"/>
  <c r="B33043" i="1"/>
  <c r="A33044" i="1"/>
  <c r="B33044" i="1"/>
  <c r="A33045" i="1"/>
  <c r="B33045" i="1"/>
  <c r="A33046" i="1"/>
  <c r="B33046" i="1"/>
  <c r="A33047" i="1"/>
  <c r="B33047" i="1"/>
  <c r="A33048" i="1"/>
  <c r="B33048" i="1"/>
  <c r="A33049" i="1"/>
  <c r="B33049" i="1"/>
  <c r="A33050" i="1"/>
  <c r="B33050" i="1"/>
  <c r="A33051" i="1"/>
  <c r="B33051" i="1"/>
  <c r="A33052" i="1"/>
  <c r="B33052" i="1"/>
  <c r="A33053" i="1"/>
  <c r="B33053" i="1"/>
  <c r="A33054" i="1"/>
  <c r="B33054" i="1"/>
  <c r="A33055" i="1"/>
  <c r="B33055" i="1"/>
  <c r="A33056" i="1"/>
  <c r="B33056" i="1"/>
  <c r="A33057" i="1"/>
  <c r="B33057" i="1"/>
  <c r="A33058" i="1"/>
  <c r="B33058" i="1"/>
  <c r="A33059" i="1"/>
  <c r="B33059" i="1"/>
  <c r="A33060" i="1"/>
  <c r="B33060" i="1"/>
  <c r="A33061" i="1"/>
  <c r="B33061" i="1"/>
  <c r="A33062" i="1"/>
  <c r="B33062" i="1"/>
  <c r="A33063" i="1"/>
  <c r="B33063" i="1"/>
  <c r="A33064" i="1"/>
  <c r="B33064" i="1"/>
  <c r="A33065" i="1"/>
  <c r="B33065" i="1"/>
  <c r="A33066" i="1"/>
  <c r="B33066" i="1"/>
  <c r="A33067" i="1"/>
  <c r="B33067" i="1"/>
  <c r="A33068" i="1"/>
  <c r="B33068" i="1"/>
  <c r="A33069" i="1"/>
  <c r="B33069" i="1"/>
  <c r="A33070" i="1"/>
  <c r="B33070" i="1"/>
  <c r="A33071" i="1"/>
  <c r="B33071" i="1"/>
  <c r="A33072" i="1"/>
  <c r="B33072" i="1"/>
  <c r="A33073" i="1"/>
  <c r="B33073" i="1"/>
  <c r="A33074" i="1"/>
  <c r="B33074" i="1"/>
  <c r="A33075" i="1"/>
  <c r="B33075" i="1"/>
  <c r="A33076" i="1"/>
  <c r="B33076" i="1"/>
  <c r="A33077" i="1"/>
  <c r="B33077" i="1"/>
  <c r="A33078" i="1"/>
  <c r="B33078" i="1"/>
  <c r="A33079" i="1"/>
  <c r="B33079" i="1"/>
  <c r="A33080" i="1"/>
  <c r="B33080" i="1"/>
  <c r="A33081" i="1"/>
  <c r="B33081" i="1"/>
  <c r="A33082" i="1"/>
  <c r="B33082" i="1"/>
  <c r="A33083" i="1"/>
  <c r="B33083" i="1"/>
  <c r="A33084" i="1"/>
  <c r="B33084" i="1"/>
  <c r="A33085" i="1"/>
  <c r="B33085" i="1"/>
  <c r="A33086" i="1"/>
  <c r="B33086" i="1"/>
  <c r="A33087" i="1"/>
  <c r="B33087" i="1"/>
  <c r="A33088" i="1"/>
  <c r="B33088" i="1"/>
  <c r="A33089" i="1"/>
  <c r="B33089" i="1"/>
  <c r="A33090" i="1"/>
  <c r="B33090" i="1"/>
  <c r="A33091" i="1"/>
  <c r="B33091" i="1"/>
  <c r="A33092" i="1"/>
  <c r="B33092" i="1"/>
  <c r="A33093" i="1"/>
  <c r="B33093" i="1"/>
  <c r="A33094" i="1"/>
  <c r="B33094" i="1"/>
  <c r="A33095" i="1"/>
  <c r="B33095" i="1"/>
  <c r="A33096" i="1"/>
  <c r="B33096" i="1"/>
  <c r="A33097" i="1"/>
  <c r="B33097" i="1"/>
  <c r="A33098" i="1"/>
  <c r="B33098" i="1"/>
  <c r="A33099" i="1"/>
  <c r="B33099" i="1"/>
  <c r="A33100" i="1"/>
  <c r="B33100" i="1"/>
  <c r="A33101" i="1"/>
  <c r="B33101" i="1"/>
  <c r="A33102" i="1"/>
  <c r="B33102" i="1"/>
  <c r="A33103" i="1"/>
  <c r="B33103" i="1"/>
  <c r="A33104" i="1"/>
  <c r="B33104" i="1"/>
  <c r="A33105" i="1"/>
  <c r="B33105" i="1"/>
  <c r="A33106" i="1"/>
  <c r="B33106" i="1"/>
  <c r="A33107" i="1"/>
  <c r="B33107" i="1"/>
  <c r="A33108" i="1"/>
  <c r="B33108" i="1"/>
  <c r="A33109" i="1"/>
  <c r="B33109" i="1"/>
  <c r="A33110" i="1"/>
  <c r="B33110" i="1"/>
  <c r="A33111" i="1"/>
  <c r="B33111" i="1"/>
  <c r="A33112" i="1"/>
  <c r="B33112" i="1"/>
  <c r="A33113" i="1"/>
  <c r="B33113" i="1"/>
  <c r="A33114" i="1"/>
  <c r="B33114" i="1"/>
  <c r="A33115" i="1"/>
  <c r="B33115" i="1"/>
  <c r="A33116" i="1"/>
  <c r="B33116" i="1"/>
  <c r="A33117" i="1"/>
  <c r="B33117" i="1"/>
  <c r="A33118" i="1"/>
  <c r="B33118" i="1"/>
  <c r="A33119" i="1"/>
  <c r="B33119" i="1"/>
  <c r="A33120" i="1"/>
  <c r="B33120" i="1"/>
  <c r="A33121" i="1"/>
  <c r="B33121" i="1"/>
  <c r="A33122" i="1"/>
  <c r="B33122" i="1"/>
  <c r="A33123" i="1"/>
  <c r="B33123" i="1"/>
  <c r="A33124" i="1"/>
  <c r="B33124" i="1"/>
  <c r="A33125" i="1"/>
  <c r="B33125" i="1"/>
  <c r="A33126" i="1"/>
  <c r="B33126" i="1"/>
  <c r="A33127" i="1"/>
  <c r="B33127" i="1"/>
  <c r="A33128" i="1"/>
  <c r="B33128" i="1"/>
  <c r="A33129" i="1"/>
  <c r="B33129" i="1"/>
  <c r="A33130" i="1"/>
  <c r="B33130" i="1"/>
  <c r="A33131" i="1"/>
  <c r="B33131" i="1"/>
  <c r="A33132" i="1"/>
  <c r="B33132" i="1"/>
  <c r="A33133" i="1"/>
  <c r="B33133" i="1"/>
  <c r="A33134" i="1"/>
  <c r="B33134" i="1"/>
  <c r="A33135" i="1"/>
  <c r="B33135" i="1"/>
  <c r="A33136" i="1"/>
  <c r="B33136" i="1"/>
  <c r="A33137" i="1"/>
  <c r="B33137" i="1"/>
  <c r="A33138" i="1"/>
  <c r="B33138" i="1"/>
  <c r="A33139" i="1"/>
  <c r="B33139" i="1"/>
  <c r="A33140" i="1"/>
  <c r="B33140" i="1"/>
  <c r="A33141" i="1"/>
  <c r="B33141" i="1"/>
  <c r="A33142" i="1"/>
  <c r="B33142" i="1"/>
  <c r="A33143" i="1"/>
  <c r="B33143" i="1"/>
  <c r="A33144" i="1"/>
  <c r="B33144" i="1"/>
  <c r="A33145" i="1"/>
  <c r="B33145" i="1"/>
  <c r="A33146" i="1"/>
  <c r="B33146" i="1"/>
  <c r="A33147" i="1"/>
  <c r="B33147" i="1"/>
  <c r="A33148" i="1"/>
  <c r="B33148" i="1"/>
  <c r="A33149" i="1"/>
  <c r="B33149" i="1"/>
  <c r="A33150" i="1"/>
  <c r="B33150" i="1"/>
  <c r="A33151" i="1"/>
  <c r="B33151" i="1"/>
  <c r="A33152" i="1"/>
  <c r="B33152" i="1"/>
  <c r="A33153" i="1"/>
  <c r="B33153" i="1"/>
  <c r="A33154" i="1"/>
  <c r="B33154" i="1"/>
  <c r="A33155" i="1"/>
  <c r="B33155" i="1"/>
  <c r="A33156" i="1"/>
  <c r="B33156" i="1"/>
  <c r="A33157" i="1"/>
  <c r="B33157" i="1"/>
  <c r="A33158" i="1"/>
  <c r="B33158" i="1"/>
  <c r="A33159" i="1"/>
  <c r="B33159" i="1"/>
  <c r="A33160" i="1"/>
  <c r="B33160" i="1"/>
  <c r="A33161" i="1"/>
  <c r="B33161" i="1"/>
  <c r="A33162" i="1"/>
  <c r="B33162" i="1"/>
  <c r="A33163" i="1"/>
  <c r="B33163" i="1"/>
  <c r="A33164" i="1"/>
  <c r="B33164" i="1"/>
  <c r="A33165" i="1"/>
  <c r="B33165" i="1"/>
  <c r="A33166" i="1"/>
  <c r="B33166" i="1"/>
  <c r="A33167" i="1"/>
  <c r="B33167" i="1"/>
  <c r="A33168" i="1"/>
  <c r="B33168" i="1"/>
  <c r="A33169" i="1"/>
  <c r="B33169" i="1"/>
  <c r="A33170" i="1"/>
  <c r="B33170" i="1"/>
  <c r="A33171" i="1"/>
  <c r="B33171" i="1"/>
  <c r="A33172" i="1"/>
  <c r="B33172" i="1"/>
  <c r="A33173" i="1"/>
  <c r="B33173" i="1"/>
  <c r="A33174" i="1"/>
  <c r="B33174" i="1"/>
  <c r="A33175" i="1"/>
  <c r="B33175" i="1"/>
  <c r="A33176" i="1"/>
  <c r="B33176" i="1"/>
  <c r="A33177" i="1"/>
  <c r="B33177" i="1"/>
  <c r="A33178" i="1"/>
  <c r="B33178" i="1"/>
  <c r="A33179" i="1"/>
  <c r="B33179" i="1"/>
  <c r="A33180" i="1"/>
  <c r="B33180" i="1"/>
  <c r="A33181" i="1"/>
  <c r="B33181" i="1"/>
  <c r="A33182" i="1"/>
  <c r="B33182" i="1"/>
  <c r="A33183" i="1"/>
  <c r="B33183" i="1"/>
  <c r="A33184" i="1"/>
  <c r="B33184" i="1"/>
  <c r="A33185" i="1"/>
  <c r="B33185" i="1"/>
  <c r="A33186" i="1"/>
  <c r="B33186" i="1"/>
  <c r="A33187" i="1"/>
  <c r="B33187" i="1"/>
  <c r="A33188" i="1"/>
  <c r="B33188" i="1"/>
  <c r="A33189" i="1"/>
  <c r="B33189" i="1"/>
  <c r="A33190" i="1"/>
  <c r="B33190" i="1"/>
  <c r="A33191" i="1"/>
  <c r="B33191" i="1"/>
  <c r="A33192" i="1"/>
  <c r="B33192" i="1"/>
  <c r="A33193" i="1"/>
  <c r="B33193" i="1"/>
  <c r="A33194" i="1"/>
  <c r="B33194" i="1"/>
  <c r="A33195" i="1"/>
  <c r="B33195" i="1"/>
  <c r="A33196" i="1"/>
  <c r="B33196" i="1"/>
  <c r="A33197" i="1"/>
  <c r="B33197" i="1"/>
  <c r="A33198" i="1"/>
  <c r="B33198" i="1"/>
  <c r="A33199" i="1"/>
  <c r="B33199" i="1"/>
  <c r="A33200" i="1"/>
  <c r="B33200" i="1"/>
  <c r="A33201" i="1"/>
  <c r="B33201" i="1"/>
  <c r="A33202" i="1"/>
  <c r="B33202" i="1"/>
  <c r="A33203" i="1"/>
  <c r="B33203" i="1"/>
  <c r="A33204" i="1"/>
  <c r="B33204" i="1"/>
  <c r="A33205" i="1"/>
  <c r="B33205" i="1"/>
  <c r="A33206" i="1"/>
  <c r="B33206" i="1"/>
  <c r="A33207" i="1"/>
  <c r="B33207" i="1"/>
  <c r="A33208" i="1"/>
  <c r="B33208" i="1"/>
  <c r="A33209" i="1"/>
  <c r="B33209" i="1"/>
  <c r="A33210" i="1"/>
  <c r="B33210" i="1"/>
  <c r="A33211" i="1"/>
  <c r="B33211" i="1"/>
  <c r="A33212" i="1"/>
  <c r="B33212" i="1"/>
  <c r="A33213" i="1"/>
  <c r="B33213" i="1"/>
  <c r="A33214" i="1"/>
  <c r="B33214" i="1"/>
  <c r="A33215" i="1"/>
  <c r="B33215" i="1"/>
  <c r="A33216" i="1"/>
  <c r="B33216" i="1"/>
  <c r="A33217" i="1"/>
  <c r="B33217" i="1"/>
  <c r="A33218" i="1"/>
  <c r="B33218" i="1"/>
  <c r="A33219" i="1"/>
  <c r="B33219" i="1"/>
  <c r="A33220" i="1"/>
  <c r="B33220" i="1"/>
  <c r="A33221" i="1"/>
  <c r="B33221" i="1"/>
  <c r="A33222" i="1"/>
  <c r="B33222" i="1"/>
  <c r="A33223" i="1"/>
  <c r="B33223" i="1"/>
  <c r="A33224" i="1"/>
  <c r="B33224" i="1"/>
  <c r="A33225" i="1"/>
  <c r="B33225" i="1"/>
  <c r="A33226" i="1"/>
  <c r="B33226" i="1"/>
  <c r="A33227" i="1"/>
  <c r="B33227" i="1"/>
  <c r="A33228" i="1"/>
  <c r="B33228" i="1"/>
  <c r="A33229" i="1"/>
  <c r="B33229" i="1"/>
  <c r="A33230" i="1"/>
  <c r="B33230" i="1"/>
  <c r="A33231" i="1"/>
  <c r="B33231" i="1"/>
  <c r="A33232" i="1"/>
  <c r="B33232" i="1"/>
  <c r="A33233" i="1"/>
  <c r="B33233" i="1"/>
  <c r="A33234" i="1"/>
  <c r="B33234" i="1"/>
  <c r="A33235" i="1"/>
  <c r="B33235" i="1"/>
  <c r="A33236" i="1"/>
  <c r="B33236" i="1"/>
  <c r="A33237" i="1"/>
  <c r="B33237" i="1"/>
  <c r="A33238" i="1"/>
  <c r="B33238" i="1"/>
  <c r="A33239" i="1"/>
  <c r="B33239" i="1"/>
  <c r="A33240" i="1"/>
  <c r="B33240" i="1"/>
  <c r="A33241" i="1"/>
  <c r="B33241" i="1"/>
  <c r="A33242" i="1"/>
  <c r="B33242" i="1"/>
  <c r="A33243" i="1"/>
  <c r="B33243" i="1"/>
  <c r="A33244" i="1"/>
  <c r="B33244" i="1"/>
  <c r="A33245" i="1"/>
  <c r="B33245" i="1"/>
  <c r="A33246" i="1"/>
  <c r="B33246" i="1"/>
  <c r="A33247" i="1"/>
  <c r="B33247" i="1"/>
  <c r="A33248" i="1"/>
  <c r="B33248" i="1"/>
  <c r="A33249" i="1"/>
  <c r="B33249" i="1"/>
  <c r="A33250" i="1"/>
  <c r="B33250" i="1"/>
  <c r="A33251" i="1"/>
  <c r="B33251" i="1"/>
  <c r="A33252" i="1"/>
  <c r="B33252" i="1"/>
  <c r="A33253" i="1"/>
  <c r="B33253" i="1"/>
  <c r="A33254" i="1"/>
  <c r="B33254" i="1"/>
  <c r="A33255" i="1"/>
  <c r="B33255" i="1"/>
  <c r="A33256" i="1"/>
  <c r="B33256" i="1"/>
  <c r="A33257" i="1"/>
  <c r="B33257" i="1"/>
  <c r="A33258" i="1"/>
  <c r="B33258" i="1"/>
  <c r="A33259" i="1"/>
  <c r="B33259" i="1"/>
  <c r="A33260" i="1"/>
  <c r="B33260" i="1"/>
  <c r="A33261" i="1"/>
  <c r="B33261" i="1"/>
  <c r="A33262" i="1"/>
  <c r="B33262" i="1"/>
  <c r="A33263" i="1"/>
  <c r="B33263" i="1"/>
  <c r="A33264" i="1"/>
  <c r="B33264" i="1"/>
  <c r="A33265" i="1"/>
  <c r="B33265" i="1"/>
  <c r="A33266" i="1"/>
  <c r="B33266" i="1"/>
  <c r="A33267" i="1"/>
  <c r="B33267" i="1"/>
  <c r="A33268" i="1"/>
  <c r="B33268" i="1"/>
  <c r="A33269" i="1"/>
  <c r="B33269" i="1"/>
  <c r="A33270" i="1"/>
  <c r="B33270" i="1"/>
  <c r="A33271" i="1"/>
  <c r="B33271" i="1"/>
  <c r="A33272" i="1"/>
  <c r="B33272" i="1"/>
  <c r="A33273" i="1"/>
  <c r="B33273" i="1"/>
  <c r="A33274" i="1"/>
  <c r="B33274" i="1"/>
  <c r="A33275" i="1"/>
  <c r="B33275" i="1"/>
  <c r="A33276" i="1"/>
  <c r="B33276" i="1"/>
  <c r="A33277" i="1"/>
  <c r="B33277" i="1"/>
  <c r="A33278" i="1"/>
  <c r="B33278" i="1"/>
  <c r="A33279" i="1"/>
  <c r="B33279" i="1"/>
  <c r="A33280" i="1"/>
  <c r="B33280" i="1"/>
  <c r="A33281" i="1"/>
  <c r="B33281" i="1"/>
  <c r="A33282" i="1"/>
  <c r="B33282" i="1"/>
  <c r="A33283" i="1"/>
  <c r="B33283" i="1"/>
  <c r="A33284" i="1"/>
  <c r="B33284" i="1"/>
  <c r="A33285" i="1"/>
  <c r="B33285" i="1"/>
  <c r="A33286" i="1"/>
  <c r="B33286" i="1"/>
  <c r="A33287" i="1"/>
  <c r="B33287" i="1"/>
  <c r="A33288" i="1"/>
  <c r="B33288" i="1"/>
  <c r="A33289" i="1"/>
  <c r="B33289" i="1"/>
  <c r="A33290" i="1"/>
  <c r="B33290" i="1"/>
  <c r="A33291" i="1"/>
  <c r="B33291" i="1"/>
  <c r="A33292" i="1"/>
  <c r="B33292" i="1"/>
  <c r="A33293" i="1"/>
  <c r="B33293" i="1"/>
  <c r="A33294" i="1"/>
  <c r="B33294" i="1"/>
  <c r="A33295" i="1"/>
  <c r="B33295" i="1"/>
  <c r="A33296" i="1"/>
  <c r="B33296" i="1"/>
  <c r="A33297" i="1"/>
  <c r="B33297" i="1"/>
  <c r="A33298" i="1"/>
  <c r="B33298" i="1"/>
  <c r="A33299" i="1"/>
  <c r="B33299" i="1"/>
  <c r="A33300" i="1"/>
  <c r="B33300" i="1"/>
  <c r="A33301" i="1"/>
  <c r="B33301" i="1"/>
  <c r="A33302" i="1"/>
  <c r="B33302" i="1"/>
  <c r="A33303" i="1"/>
  <c r="B33303" i="1"/>
  <c r="A33304" i="1"/>
  <c r="B33304" i="1"/>
  <c r="A33305" i="1"/>
  <c r="B33305" i="1"/>
  <c r="A33306" i="1"/>
  <c r="B33306" i="1"/>
  <c r="A33307" i="1"/>
  <c r="B33307" i="1"/>
  <c r="A33308" i="1"/>
  <c r="B33308" i="1"/>
  <c r="A33309" i="1"/>
  <c r="B33309" i="1"/>
  <c r="A33310" i="1"/>
  <c r="B33310" i="1"/>
  <c r="A33311" i="1"/>
  <c r="B33311" i="1"/>
  <c r="A33312" i="1"/>
  <c r="B33312" i="1"/>
  <c r="A33313" i="1"/>
  <c r="B33313" i="1"/>
  <c r="A33314" i="1"/>
  <c r="B33314" i="1"/>
  <c r="A33315" i="1"/>
  <c r="B33315" i="1"/>
  <c r="A33316" i="1"/>
  <c r="B33316" i="1"/>
  <c r="A33317" i="1"/>
  <c r="B33317" i="1"/>
  <c r="A33318" i="1"/>
  <c r="B33318" i="1"/>
  <c r="A33319" i="1"/>
  <c r="B33319" i="1"/>
  <c r="A33320" i="1"/>
  <c r="B33320" i="1"/>
  <c r="A33321" i="1"/>
  <c r="B33321" i="1"/>
  <c r="A33322" i="1"/>
  <c r="B33322" i="1"/>
  <c r="A33323" i="1"/>
  <c r="B33323" i="1"/>
  <c r="A33324" i="1"/>
  <c r="B33324" i="1"/>
  <c r="A33325" i="1"/>
  <c r="B33325" i="1"/>
  <c r="A33326" i="1"/>
  <c r="B33326" i="1"/>
  <c r="A33327" i="1"/>
  <c r="B33327" i="1"/>
  <c r="A33328" i="1"/>
  <c r="B33328" i="1"/>
  <c r="A33329" i="1"/>
  <c r="B33329" i="1"/>
  <c r="A33330" i="1"/>
  <c r="B33330" i="1"/>
  <c r="A33331" i="1"/>
  <c r="B33331" i="1"/>
  <c r="A33332" i="1"/>
  <c r="B33332" i="1"/>
  <c r="A33333" i="1"/>
  <c r="B33333" i="1"/>
  <c r="A33334" i="1"/>
  <c r="B33334" i="1"/>
  <c r="A33335" i="1"/>
  <c r="B33335" i="1"/>
  <c r="A33336" i="1"/>
  <c r="B33336" i="1"/>
  <c r="A33337" i="1"/>
  <c r="B33337" i="1"/>
  <c r="A33338" i="1"/>
  <c r="B33338" i="1"/>
  <c r="A33339" i="1"/>
  <c r="B33339" i="1"/>
  <c r="A33340" i="1"/>
  <c r="B33340" i="1"/>
  <c r="A33341" i="1"/>
  <c r="B33341" i="1"/>
  <c r="A33342" i="1"/>
  <c r="B33342" i="1"/>
  <c r="A33343" i="1"/>
  <c r="B33343" i="1"/>
  <c r="A33344" i="1"/>
  <c r="B33344" i="1"/>
  <c r="A33345" i="1"/>
  <c r="B33345" i="1"/>
  <c r="A33346" i="1"/>
  <c r="B33346" i="1"/>
  <c r="A33347" i="1"/>
  <c r="B33347" i="1"/>
  <c r="A33348" i="1"/>
  <c r="B33348" i="1"/>
  <c r="A33349" i="1"/>
  <c r="B33349" i="1"/>
  <c r="A33350" i="1"/>
  <c r="B33350" i="1"/>
  <c r="A33351" i="1"/>
  <c r="B33351" i="1"/>
  <c r="A33352" i="1"/>
  <c r="B33352" i="1"/>
  <c r="A33353" i="1"/>
  <c r="B33353" i="1"/>
  <c r="A33354" i="1"/>
  <c r="B33354" i="1"/>
  <c r="A33355" i="1"/>
  <c r="B33355" i="1"/>
  <c r="A33356" i="1"/>
  <c r="B33356" i="1"/>
  <c r="A33357" i="1"/>
  <c r="B33357" i="1"/>
  <c r="A33358" i="1"/>
  <c r="B33358" i="1"/>
  <c r="A33359" i="1"/>
  <c r="B33359" i="1"/>
  <c r="A33360" i="1"/>
  <c r="B33360" i="1"/>
  <c r="A33361" i="1"/>
  <c r="B33361" i="1"/>
  <c r="A33362" i="1"/>
  <c r="B33362" i="1"/>
  <c r="A33363" i="1"/>
  <c r="B33363" i="1"/>
  <c r="A33364" i="1"/>
  <c r="B33364" i="1"/>
  <c r="A33365" i="1"/>
  <c r="B33365" i="1"/>
  <c r="A33366" i="1"/>
  <c r="B33366" i="1"/>
  <c r="A33367" i="1"/>
  <c r="B33367" i="1"/>
  <c r="A33368" i="1"/>
  <c r="B33368" i="1"/>
  <c r="A33369" i="1"/>
  <c r="B33369" i="1"/>
  <c r="A33370" i="1"/>
  <c r="B33370" i="1"/>
  <c r="A33371" i="1"/>
  <c r="B33371" i="1"/>
  <c r="A33372" i="1"/>
  <c r="B33372" i="1"/>
  <c r="A33373" i="1"/>
  <c r="B33373" i="1"/>
  <c r="A33374" i="1"/>
  <c r="B33374" i="1"/>
  <c r="A33375" i="1"/>
  <c r="B33375" i="1"/>
  <c r="A33376" i="1"/>
  <c r="B33376" i="1"/>
  <c r="A33377" i="1"/>
  <c r="B33377" i="1"/>
  <c r="A33378" i="1"/>
  <c r="B33378" i="1"/>
  <c r="A33379" i="1"/>
  <c r="B33379" i="1"/>
  <c r="A33380" i="1"/>
  <c r="B33380" i="1"/>
  <c r="A33381" i="1"/>
  <c r="B33381" i="1"/>
  <c r="A33382" i="1"/>
  <c r="B33382" i="1"/>
  <c r="A33383" i="1"/>
  <c r="B33383" i="1"/>
  <c r="A33384" i="1"/>
  <c r="B33384" i="1"/>
  <c r="A33385" i="1"/>
  <c r="B33385" i="1"/>
  <c r="A33386" i="1"/>
  <c r="B33386" i="1"/>
  <c r="A33387" i="1"/>
  <c r="B33387" i="1"/>
  <c r="A33388" i="1"/>
  <c r="B33388" i="1"/>
  <c r="A33389" i="1"/>
  <c r="B33389" i="1"/>
  <c r="A33390" i="1"/>
  <c r="B33390" i="1"/>
  <c r="A33391" i="1"/>
  <c r="B33391" i="1"/>
  <c r="A33392" i="1"/>
  <c r="B33392" i="1"/>
  <c r="A33393" i="1"/>
  <c r="B33393" i="1"/>
  <c r="A33394" i="1"/>
  <c r="B33394" i="1"/>
  <c r="A33395" i="1"/>
  <c r="B33395" i="1"/>
  <c r="A33396" i="1"/>
  <c r="B33396" i="1"/>
  <c r="A33397" i="1"/>
  <c r="B33397" i="1"/>
  <c r="A33398" i="1"/>
  <c r="B33398" i="1"/>
  <c r="A33399" i="1"/>
  <c r="B33399" i="1"/>
  <c r="A33400" i="1"/>
  <c r="B33400" i="1"/>
  <c r="A33401" i="1"/>
  <c r="B33401" i="1"/>
  <c r="A33402" i="1"/>
  <c r="B33402" i="1"/>
  <c r="A33403" i="1"/>
  <c r="B33403" i="1"/>
  <c r="A33404" i="1"/>
  <c r="B33404" i="1"/>
  <c r="A33405" i="1"/>
  <c r="B33405" i="1"/>
  <c r="A33406" i="1"/>
  <c r="B33406" i="1"/>
  <c r="A33407" i="1"/>
  <c r="B33407" i="1"/>
  <c r="A33408" i="1"/>
  <c r="B33408" i="1"/>
  <c r="A33409" i="1"/>
  <c r="B33409" i="1"/>
  <c r="A33410" i="1"/>
  <c r="B33410" i="1"/>
  <c r="A33411" i="1"/>
  <c r="B33411" i="1"/>
  <c r="A33412" i="1"/>
  <c r="B33412" i="1"/>
  <c r="A33413" i="1"/>
  <c r="B33413" i="1"/>
  <c r="A33414" i="1"/>
  <c r="B33414" i="1"/>
  <c r="A33415" i="1"/>
  <c r="B33415" i="1"/>
  <c r="A33416" i="1"/>
  <c r="B33416" i="1"/>
  <c r="A33417" i="1"/>
  <c r="B33417" i="1"/>
  <c r="A33418" i="1"/>
  <c r="B33418" i="1"/>
  <c r="A33419" i="1"/>
  <c r="B33419" i="1"/>
  <c r="A33420" i="1"/>
  <c r="B33420" i="1"/>
  <c r="A33421" i="1"/>
  <c r="B33421" i="1"/>
  <c r="A33422" i="1"/>
  <c r="B33422" i="1"/>
  <c r="A33423" i="1"/>
  <c r="B33423" i="1"/>
  <c r="A33424" i="1"/>
  <c r="B33424" i="1"/>
  <c r="A33425" i="1"/>
  <c r="B33425" i="1"/>
  <c r="A33426" i="1"/>
  <c r="B33426" i="1"/>
  <c r="A33427" i="1"/>
  <c r="B33427" i="1"/>
  <c r="A33428" i="1"/>
  <c r="B33428" i="1"/>
  <c r="A33429" i="1"/>
  <c r="B33429" i="1"/>
  <c r="A33430" i="1"/>
  <c r="B33430" i="1"/>
  <c r="A33431" i="1"/>
  <c r="B33431" i="1"/>
  <c r="A33432" i="1"/>
  <c r="B33432" i="1"/>
  <c r="A33433" i="1"/>
  <c r="B33433" i="1"/>
  <c r="A33434" i="1"/>
  <c r="B33434" i="1"/>
  <c r="A33435" i="1"/>
  <c r="B33435" i="1"/>
  <c r="A33436" i="1"/>
  <c r="B33436" i="1"/>
  <c r="A33437" i="1"/>
  <c r="B33437" i="1"/>
  <c r="A33438" i="1"/>
  <c r="B33438" i="1"/>
  <c r="A33439" i="1"/>
  <c r="B33439" i="1"/>
  <c r="A33440" i="1"/>
  <c r="B33440" i="1"/>
  <c r="A33441" i="1"/>
  <c r="B33441" i="1"/>
  <c r="A33442" i="1"/>
  <c r="B33442" i="1"/>
  <c r="A33443" i="1"/>
  <c r="B33443" i="1"/>
  <c r="A33444" i="1"/>
  <c r="B33444" i="1"/>
  <c r="A33445" i="1"/>
  <c r="B33445" i="1"/>
  <c r="A33446" i="1"/>
  <c r="B33446" i="1"/>
  <c r="A33447" i="1"/>
  <c r="B33447" i="1"/>
  <c r="A33448" i="1"/>
  <c r="B33448" i="1"/>
  <c r="A33449" i="1"/>
  <c r="B33449" i="1"/>
  <c r="A33450" i="1"/>
  <c r="B33450" i="1"/>
  <c r="A33451" i="1"/>
  <c r="B33451" i="1"/>
  <c r="A33452" i="1"/>
  <c r="B33452" i="1"/>
  <c r="A33453" i="1"/>
  <c r="B33453" i="1"/>
  <c r="A33454" i="1"/>
  <c r="B33454" i="1"/>
  <c r="A33455" i="1"/>
  <c r="B33455" i="1"/>
  <c r="A33456" i="1"/>
  <c r="B33456" i="1"/>
  <c r="A33457" i="1"/>
  <c r="B33457" i="1"/>
  <c r="A33458" i="1"/>
  <c r="B33458" i="1"/>
  <c r="A33459" i="1"/>
  <c r="B33459" i="1"/>
  <c r="A33460" i="1"/>
  <c r="B33460" i="1"/>
  <c r="A33461" i="1"/>
  <c r="B33461" i="1"/>
  <c r="A33462" i="1"/>
  <c r="B33462" i="1"/>
  <c r="A33463" i="1"/>
  <c r="B33463" i="1"/>
  <c r="A33464" i="1"/>
  <c r="B33464" i="1"/>
  <c r="A33465" i="1"/>
  <c r="B33465" i="1"/>
  <c r="A33466" i="1"/>
  <c r="B33466" i="1"/>
  <c r="A33467" i="1"/>
  <c r="B33467" i="1"/>
  <c r="A33468" i="1"/>
  <c r="B33468" i="1"/>
  <c r="A33469" i="1"/>
  <c r="B33469" i="1"/>
  <c r="A33470" i="1"/>
  <c r="B33470" i="1"/>
  <c r="A33471" i="1"/>
  <c r="B33471" i="1"/>
  <c r="A33472" i="1"/>
  <c r="B33472" i="1"/>
  <c r="A33473" i="1"/>
  <c r="B33473" i="1"/>
  <c r="A33474" i="1"/>
  <c r="B33474" i="1"/>
  <c r="A33475" i="1"/>
  <c r="B33475" i="1"/>
  <c r="A33476" i="1"/>
  <c r="B33476" i="1"/>
  <c r="A33477" i="1"/>
  <c r="B33477" i="1"/>
  <c r="A33478" i="1"/>
  <c r="B33478" i="1"/>
  <c r="A33479" i="1"/>
  <c r="B33479" i="1"/>
  <c r="A33480" i="1"/>
  <c r="B33480" i="1"/>
  <c r="A33481" i="1"/>
  <c r="B33481" i="1"/>
  <c r="A33482" i="1"/>
  <c r="B33482" i="1"/>
  <c r="A33483" i="1"/>
  <c r="B33483" i="1"/>
  <c r="A33484" i="1"/>
  <c r="B33484" i="1"/>
  <c r="A33485" i="1"/>
  <c r="B33485" i="1"/>
  <c r="A33486" i="1"/>
  <c r="B33486" i="1"/>
  <c r="A33487" i="1"/>
  <c r="B33487" i="1"/>
  <c r="A33488" i="1"/>
  <c r="B33488" i="1"/>
  <c r="A33489" i="1"/>
  <c r="B33489" i="1"/>
  <c r="A33490" i="1"/>
  <c r="B33490" i="1"/>
  <c r="A33491" i="1"/>
  <c r="B33491" i="1"/>
  <c r="A33492" i="1"/>
  <c r="B33492" i="1"/>
  <c r="A33493" i="1"/>
  <c r="B33493" i="1"/>
  <c r="A33494" i="1"/>
  <c r="B33494" i="1"/>
  <c r="A33495" i="1"/>
  <c r="B33495" i="1"/>
  <c r="A33496" i="1"/>
  <c r="B33496" i="1"/>
  <c r="A33497" i="1"/>
  <c r="B33497" i="1"/>
  <c r="A33498" i="1"/>
  <c r="B33498" i="1"/>
  <c r="A33499" i="1"/>
  <c r="B33499" i="1"/>
  <c r="A33500" i="1"/>
  <c r="B33500" i="1"/>
  <c r="A33501" i="1"/>
  <c r="B33501" i="1"/>
  <c r="A33502" i="1"/>
  <c r="B33502" i="1"/>
  <c r="A33503" i="1"/>
  <c r="B33503" i="1"/>
  <c r="A33504" i="1"/>
  <c r="B33504" i="1"/>
  <c r="A33505" i="1"/>
  <c r="B33505" i="1"/>
  <c r="A33506" i="1"/>
  <c r="B33506" i="1"/>
  <c r="A33507" i="1"/>
  <c r="B33507" i="1"/>
  <c r="A33508" i="1"/>
  <c r="B33508" i="1"/>
  <c r="A33509" i="1"/>
  <c r="B33509" i="1"/>
  <c r="A33510" i="1"/>
  <c r="B33510" i="1"/>
  <c r="A33511" i="1"/>
  <c r="B33511" i="1"/>
  <c r="A33512" i="1"/>
  <c r="B33512" i="1"/>
  <c r="A33513" i="1"/>
  <c r="B33513" i="1"/>
  <c r="A33514" i="1"/>
  <c r="B33514" i="1"/>
  <c r="A33515" i="1"/>
  <c r="B33515" i="1"/>
  <c r="A33516" i="1"/>
  <c r="B33516" i="1"/>
  <c r="A33517" i="1"/>
  <c r="B33517" i="1"/>
  <c r="A33518" i="1"/>
  <c r="B33518" i="1"/>
  <c r="A33519" i="1"/>
  <c r="B33519" i="1"/>
  <c r="A33520" i="1"/>
  <c r="B33520" i="1"/>
  <c r="A33521" i="1"/>
  <c r="B33521" i="1"/>
  <c r="A33522" i="1"/>
  <c r="B33522" i="1"/>
  <c r="A33523" i="1"/>
  <c r="B33523" i="1"/>
  <c r="A33524" i="1"/>
  <c r="B33524" i="1"/>
  <c r="A33525" i="1"/>
  <c r="B33525" i="1"/>
  <c r="A33526" i="1"/>
  <c r="B33526" i="1"/>
  <c r="A33527" i="1"/>
  <c r="B33527" i="1"/>
  <c r="A33528" i="1"/>
  <c r="B33528" i="1"/>
  <c r="A33529" i="1"/>
  <c r="B33529" i="1"/>
  <c r="A33530" i="1"/>
  <c r="B33530" i="1"/>
  <c r="A33531" i="1"/>
  <c r="B33531" i="1"/>
  <c r="A33532" i="1"/>
  <c r="B33532" i="1"/>
  <c r="A33533" i="1"/>
  <c r="B33533" i="1"/>
  <c r="A33534" i="1"/>
  <c r="B33534" i="1"/>
  <c r="A33535" i="1"/>
  <c r="B33535" i="1"/>
  <c r="A33536" i="1"/>
  <c r="B33536" i="1"/>
  <c r="A33537" i="1"/>
  <c r="B33537" i="1"/>
  <c r="A33538" i="1"/>
  <c r="B33538" i="1"/>
  <c r="A33539" i="1"/>
  <c r="B33539" i="1"/>
  <c r="A33540" i="1"/>
  <c r="B33540" i="1"/>
  <c r="A33541" i="1"/>
  <c r="B33541" i="1"/>
  <c r="A33542" i="1"/>
  <c r="B33542" i="1"/>
  <c r="A33543" i="1"/>
  <c r="B33543" i="1"/>
  <c r="A33544" i="1"/>
  <c r="B33544" i="1"/>
  <c r="A33545" i="1"/>
  <c r="B33545" i="1"/>
  <c r="A33546" i="1"/>
  <c r="B33546" i="1"/>
  <c r="A33547" i="1"/>
  <c r="B33547" i="1"/>
  <c r="A33548" i="1"/>
  <c r="B33548" i="1"/>
  <c r="A33549" i="1"/>
  <c r="B33549" i="1"/>
  <c r="A33550" i="1"/>
  <c r="B33550" i="1"/>
  <c r="A33551" i="1"/>
  <c r="B33551" i="1"/>
  <c r="A33552" i="1"/>
  <c r="B33552" i="1"/>
  <c r="A33553" i="1"/>
  <c r="B33553" i="1"/>
  <c r="A33554" i="1"/>
  <c r="B33554" i="1"/>
  <c r="A33555" i="1"/>
  <c r="B33555" i="1"/>
  <c r="A33556" i="1"/>
  <c r="B33556" i="1"/>
  <c r="A33557" i="1"/>
  <c r="B33557" i="1"/>
  <c r="A33558" i="1"/>
  <c r="B33558" i="1"/>
  <c r="A33559" i="1"/>
  <c r="B33559" i="1"/>
  <c r="A33560" i="1"/>
  <c r="B33560" i="1"/>
  <c r="A33561" i="1"/>
  <c r="B33561" i="1"/>
  <c r="A33562" i="1"/>
  <c r="B33562" i="1"/>
  <c r="A33563" i="1"/>
  <c r="B33563" i="1"/>
  <c r="A33564" i="1"/>
  <c r="B33564" i="1"/>
  <c r="A33565" i="1"/>
  <c r="B33565" i="1"/>
  <c r="A33566" i="1"/>
  <c r="B33566" i="1"/>
  <c r="A33567" i="1"/>
  <c r="B33567" i="1"/>
  <c r="A33568" i="1"/>
  <c r="B33568" i="1"/>
  <c r="A33569" i="1"/>
  <c r="B33569" i="1"/>
  <c r="A33570" i="1"/>
  <c r="B33570" i="1"/>
  <c r="A33571" i="1"/>
  <c r="B33571" i="1"/>
  <c r="A33572" i="1"/>
  <c r="B33572" i="1"/>
  <c r="A33573" i="1"/>
  <c r="B33573" i="1"/>
  <c r="A33574" i="1"/>
  <c r="B33574" i="1"/>
  <c r="A33575" i="1"/>
  <c r="B33575" i="1"/>
  <c r="A33576" i="1"/>
  <c r="B33576" i="1"/>
  <c r="A33577" i="1"/>
  <c r="B33577" i="1"/>
  <c r="A33578" i="1"/>
  <c r="B33578" i="1"/>
  <c r="A33579" i="1"/>
  <c r="B33579" i="1"/>
  <c r="A33580" i="1"/>
  <c r="B33580" i="1"/>
  <c r="A33581" i="1"/>
  <c r="B33581" i="1"/>
  <c r="A33582" i="1"/>
  <c r="B33582" i="1"/>
  <c r="A33583" i="1"/>
  <c r="B33583" i="1"/>
  <c r="A33584" i="1"/>
  <c r="B33584" i="1"/>
  <c r="A33585" i="1"/>
  <c r="B33585" i="1"/>
  <c r="A33586" i="1"/>
  <c r="B33586" i="1"/>
  <c r="A33587" i="1"/>
  <c r="B33587" i="1"/>
  <c r="A33588" i="1"/>
  <c r="B33588" i="1"/>
  <c r="A33589" i="1"/>
  <c r="B33589" i="1"/>
  <c r="A33590" i="1"/>
  <c r="B33590" i="1"/>
  <c r="A33591" i="1"/>
  <c r="B33591" i="1"/>
  <c r="A33592" i="1"/>
  <c r="B33592" i="1"/>
  <c r="A33593" i="1"/>
  <c r="B33593" i="1"/>
  <c r="A33594" i="1"/>
  <c r="B33594" i="1"/>
  <c r="A33595" i="1"/>
  <c r="B33595" i="1"/>
  <c r="A33596" i="1"/>
  <c r="B33596" i="1"/>
  <c r="A33597" i="1"/>
  <c r="B33597" i="1"/>
  <c r="A33598" i="1"/>
  <c r="B33598" i="1"/>
  <c r="A33599" i="1"/>
  <c r="B33599" i="1"/>
  <c r="A33600" i="1"/>
  <c r="B33600" i="1"/>
  <c r="A33601" i="1"/>
  <c r="B33601" i="1"/>
  <c r="A33602" i="1"/>
  <c r="B33602" i="1"/>
  <c r="A33603" i="1"/>
  <c r="B33603" i="1"/>
  <c r="A33604" i="1"/>
  <c r="B33604" i="1"/>
  <c r="A33605" i="1"/>
  <c r="B33605" i="1"/>
  <c r="A33606" i="1"/>
  <c r="B33606" i="1"/>
  <c r="A33607" i="1"/>
  <c r="B33607" i="1"/>
  <c r="A33608" i="1"/>
  <c r="B33608" i="1"/>
  <c r="A33609" i="1"/>
  <c r="B33609" i="1"/>
  <c r="A33610" i="1"/>
  <c r="B33610" i="1"/>
  <c r="A33611" i="1"/>
  <c r="B33611" i="1"/>
  <c r="A33612" i="1"/>
  <c r="B33612" i="1"/>
  <c r="A33613" i="1"/>
  <c r="B33613" i="1"/>
  <c r="A33614" i="1"/>
  <c r="B33614" i="1"/>
  <c r="A33615" i="1"/>
  <c r="B33615" i="1"/>
  <c r="A33616" i="1"/>
  <c r="B33616" i="1"/>
  <c r="A33617" i="1"/>
  <c r="B33617" i="1"/>
  <c r="A33618" i="1"/>
  <c r="B33618" i="1"/>
  <c r="A33619" i="1"/>
  <c r="B33619" i="1"/>
  <c r="A33620" i="1"/>
  <c r="B33620" i="1"/>
  <c r="A33621" i="1"/>
  <c r="B33621" i="1"/>
  <c r="A33622" i="1"/>
  <c r="B33622" i="1"/>
  <c r="A33623" i="1"/>
  <c r="B33623" i="1"/>
  <c r="A33624" i="1"/>
  <c r="B33624" i="1"/>
  <c r="A33625" i="1"/>
  <c r="B33625" i="1"/>
  <c r="A33626" i="1"/>
  <c r="B33626" i="1"/>
  <c r="A33627" i="1"/>
  <c r="B33627" i="1"/>
  <c r="A33628" i="1"/>
  <c r="B33628" i="1"/>
  <c r="A33629" i="1"/>
  <c r="B33629" i="1"/>
  <c r="A33630" i="1"/>
  <c r="B33630" i="1"/>
  <c r="A33631" i="1"/>
  <c r="B33631" i="1"/>
  <c r="A33632" i="1"/>
  <c r="B33632" i="1"/>
  <c r="A33633" i="1"/>
  <c r="B33633" i="1"/>
  <c r="A33634" i="1"/>
  <c r="B33634" i="1"/>
  <c r="A33635" i="1"/>
  <c r="B33635" i="1"/>
  <c r="A33636" i="1"/>
  <c r="B33636" i="1"/>
  <c r="A33637" i="1"/>
  <c r="B33637" i="1"/>
  <c r="A33638" i="1"/>
  <c r="B33638" i="1"/>
  <c r="A33639" i="1"/>
  <c r="B33639" i="1"/>
  <c r="A33640" i="1"/>
  <c r="B33640" i="1"/>
  <c r="A33641" i="1"/>
  <c r="B33641" i="1"/>
  <c r="A33642" i="1"/>
  <c r="B33642" i="1"/>
  <c r="A33643" i="1"/>
  <c r="B33643" i="1"/>
  <c r="A33644" i="1"/>
  <c r="B33644" i="1"/>
  <c r="A33645" i="1"/>
  <c r="B33645" i="1"/>
  <c r="A33646" i="1"/>
  <c r="B33646" i="1"/>
  <c r="A33647" i="1"/>
  <c r="B33647" i="1"/>
  <c r="A33648" i="1"/>
  <c r="B33648" i="1"/>
  <c r="A33649" i="1"/>
  <c r="B33649" i="1"/>
  <c r="A33650" i="1"/>
  <c r="B33650" i="1"/>
  <c r="A33651" i="1"/>
  <c r="B33651" i="1"/>
  <c r="A33652" i="1"/>
  <c r="B33652" i="1"/>
  <c r="A33653" i="1"/>
  <c r="B33653" i="1"/>
  <c r="A33654" i="1"/>
  <c r="B33654" i="1"/>
  <c r="A33655" i="1"/>
  <c r="B33655" i="1"/>
  <c r="A33656" i="1"/>
  <c r="B33656" i="1"/>
  <c r="A33657" i="1"/>
  <c r="B33657" i="1"/>
  <c r="A33658" i="1"/>
  <c r="B33658" i="1"/>
  <c r="A33659" i="1"/>
  <c r="B33659" i="1"/>
  <c r="A33660" i="1"/>
  <c r="B33660" i="1"/>
  <c r="A33661" i="1"/>
  <c r="B33661" i="1"/>
  <c r="A33662" i="1"/>
  <c r="B33662" i="1"/>
  <c r="A33663" i="1"/>
  <c r="B33663" i="1"/>
  <c r="A33664" i="1"/>
  <c r="B33664" i="1"/>
  <c r="A33665" i="1"/>
  <c r="B33665" i="1"/>
  <c r="A33666" i="1"/>
  <c r="B33666" i="1"/>
  <c r="A33667" i="1"/>
  <c r="B33667" i="1"/>
  <c r="A33668" i="1"/>
  <c r="B33668" i="1"/>
  <c r="A33669" i="1"/>
  <c r="B33669" i="1"/>
  <c r="A33670" i="1"/>
  <c r="B33670" i="1"/>
  <c r="A33671" i="1"/>
  <c r="B33671" i="1"/>
  <c r="A33672" i="1"/>
  <c r="B33672" i="1"/>
  <c r="A33673" i="1"/>
  <c r="B33673" i="1"/>
  <c r="A33674" i="1"/>
  <c r="B33674" i="1"/>
  <c r="A33675" i="1"/>
  <c r="B33675" i="1"/>
  <c r="A33676" i="1"/>
  <c r="B33676" i="1"/>
  <c r="A33677" i="1"/>
  <c r="B33677" i="1"/>
  <c r="A33678" i="1"/>
  <c r="B33678" i="1"/>
  <c r="A33679" i="1"/>
  <c r="B33679" i="1"/>
  <c r="A33680" i="1"/>
  <c r="B33680" i="1"/>
  <c r="A33681" i="1"/>
  <c r="B33681" i="1"/>
  <c r="A33682" i="1"/>
  <c r="B33682" i="1"/>
  <c r="A33683" i="1"/>
  <c r="B33683" i="1"/>
  <c r="A33684" i="1"/>
  <c r="B33684" i="1"/>
  <c r="A33685" i="1"/>
  <c r="B33685" i="1"/>
  <c r="A33686" i="1"/>
  <c r="B33686" i="1"/>
  <c r="A33687" i="1"/>
  <c r="B33687" i="1"/>
  <c r="A33688" i="1"/>
  <c r="B33688" i="1"/>
  <c r="A33689" i="1"/>
  <c r="B33689" i="1"/>
  <c r="A33690" i="1"/>
  <c r="B33690" i="1"/>
  <c r="A33691" i="1"/>
  <c r="B33691" i="1"/>
  <c r="A33692" i="1"/>
  <c r="B33692" i="1"/>
  <c r="A33693" i="1"/>
  <c r="B33693" i="1"/>
  <c r="A33694" i="1"/>
  <c r="B33694" i="1"/>
  <c r="A33695" i="1"/>
  <c r="B33695" i="1"/>
  <c r="A33696" i="1"/>
  <c r="B33696" i="1"/>
  <c r="A33697" i="1"/>
  <c r="B33697" i="1"/>
  <c r="A33698" i="1"/>
  <c r="B33698" i="1"/>
  <c r="A33699" i="1"/>
  <c r="B33699" i="1"/>
  <c r="A33700" i="1"/>
  <c r="B33700" i="1"/>
  <c r="A33701" i="1"/>
  <c r="B33701" i="1"/>
  <c r="A33702" i="1"/>
  <c r="B33702" i="1"/>
  <c r="A33703" i="1"/>
  <c r="B33703" i="1"/>
  <c r="A33704" i="1"/>
  <c r="B33704" i="1"/>
  <c r="A33705" i="1"/>
  <c r="B33705" i="1"/>
  <c r="A33706" i="1"/>
  <c r="B33706" i="1"/>
  <c r="A33707" i="1"/>
  <c r="B33707" i="1"/>
  <c r="A33708" i="1"/>
  <c r="B33708" i="1"/>
  <c r="A33709" i="1"/>
  <c r="B33709" i="1"/>
  <c r="A33710" i="1"/>
  <c r="B33710" i="1"/>
  <c r="A33711" i="1"/>
  <c r="B33711" i="1"/>
  <c r="A33712" i="1"/>
  <c r="B33712" i="1"/>
  <c r="A33713" i="1"/>
  <c r="B33713" i="1"/>
  <c r="A33714" i="1"/>
  <c r="B33714" i="1"/>
  <c r="A33715" i="1"/>
  <c r="B33715" i="1"/>
  <c r="A33716" i="1"/>
  <c r="B33716" i="1"/>
  <c r="A33717" i="1"/>
  <c r="B33717" i="1"/>
  <c r="A33718" i="1"/>
  <c r="B33718" i="1"/>
  <c r="A33719" i="1"/>
  <c r="B33719" i="1"/>
  <c r="A33720" i="1"/>
  <c r="B33720" i="1"/>
  <c r="A33721" i="1"/>
  <c r="B33721" i="1"/>
  <c r="A33722" i="1"/>
  <c r="B33722" i="1"/>
  <c r="A33723" i="1"/>
  <c r="B33723" i="1"/>
  <c r="A33724" i="1"/>
  <c r="B33724" i="1"/>
  <c r="A33725" i="1"/>
  <c r="B33725" i="1"/>
  <c r="A33726" i="1"/>
  <c r="B33726" i="1"/>
  <c r="A33727" i="1"/>
  <c r="B33727" i="1"/>
  <c r="A33728" i="1"/>
  <c r="B33728" i="1"/>
  <c r="A33729" i="1"/>
  <c r="B33729" i="1"/>
  <c r="A33730" i="1"/>
  <c r="B33730" i="1"/>
  <c r="A33731" i="1"/>
  <c r="B33731" i="1"/>
  <c r="A33732" i="1"/>
  <c r="B33732" i="1"/>
  <c r="A33733" i="1"/>
  <c r="B33733" i="1"/>
  <c r="A33734" i="1"/>
  <c r="B33734" i="1"/>
  <c r="A33735" i="1"/>
  <c r="B33735" i="1"/>
  <c r="A33736" i="1"/>
  <c r="B33736" i="1"/>
  <c r="A33737" i="1"/>
  <c r="B33737" i="1"/>
  <c r="A33738" i="1"/>
  <c r="B33738" i="1"/>
  <c r="A33739" i="1"/>
  <c r="B33739" i="1"/>
  <c r="A33740" i="1"/>
  <c r="B33740" i="1"/>
  <c r="A33741" i="1"/>
  <c r="B33741" i="1"/>
  <c r="A33742" i="1"/>
  <c r="B33742" i="1"/>
  <c r="A33743" i="1"/>
  <c r="B33743" i="1"/>
  <c r="A33744" i="1"/>
  <c r="B33744" i="1"/>
  <c r="A33745" i="1"/>
  <c r="B33745" i="1"/>
  <c r="A33746" i="1"/>
  <c r="B33746" i="1"/>
  <c r="A33747" i="1"/>
  <c r="B33747" i="1"/>
  <c r="A33748" i="1"/>
  <c r="B33748" i="1"/>
  <c r="A33749" i="1"/>
  <c r="B33749" i="1"/>
  <c r="A33750" i="1"/>
  <c r="B33750" i="1"/>
  <c r="A33751" i="1"/>
  <c r="B33751" i="1"/>
  <c r="A33752" i="1"/>
  <c r="B33752" i="1"/>
  <c r="A33753" i="1"/>
  <c r="B33753" i="1"/>
  <c r="A33754" i="1"/>
  <c r="B33754" i="1"/>
  <c r="A33755" i="1"/>
  <c r="B33755" i="1"/>
  <c r="A33756" i="1"/>
  <c r="B33756" i="1"/>
  <c r="A33757" i="1"/>
  <c r="B33757" i="1"/>
  <c r="A33758" i="1"/>
  <c r="B33758" i="1"/>
  <c r="A33759" i="1"/>
  <c r="B33759" i="1"/>
  <c r="A33760" i="1"/>
  <c r="B33760" i="1"/>
  <c r="A33761" i="1"/>
  <c r="B33761" i="1"/>
  <c r="A33762" i="1"/>
  <c r="B33762" i="1"/>
  <c r="A33763" i="1"/>
  <c r="B33763" i="1"/>
  <c r="A33764" i="1"/>
  <c r="B33764" i="1"/>
  <c r="A33765" i="1"/>
  <c r="B33765" i="1"/>
  <c r="A33766" i="1"/>
  <c r="B33766" i="1"/>
  <c r="A33767" i="1"/>
  <c r="B33767" i="1"/>
  <c r="A33768" i="1"/>
  <c r="B33768" i="1"/>
  <c r="A33769" i="1"/>
  <c r="B33769" i="1"/>
  <c r="A33770" i="1"/>
  <c r="B33770" i="1"/>
  <c r="A33771" i="1"/>
  <c r="B33771" i="1"/>
  <c r="A33772" i="1"/>
  <c r="B33772" i="1"/>
  <c r="A33773" i="1"/>
  <c r="B33773" i="1"/>
  <c r="A33774" i="1"/>
  <c r="B33774" i="1"/>
  <c r="A33775" i="1"/>
  <c r="B33775" i="1"/>
  <c r="A33776" i="1"/>
  <c r="B33776" i="1"/>
  <c r="A33777" i="1"/>
  <c r="B33777" i="1"/>
  <c r="A33778" i="1"/>
  <c r="B33778" i="1"/>
  <c r="A33779" i="1"/>
  <c r="B33779" i="1"/>
  <c r="A33780" i="1"/>
  <c r="B33780" i="1"/>
  <c r="A33781" i="1"/>
  <c r="B33781" i="1"/>
  <c r="A33782" i="1"/>
  <c r="B33782" i="1"/>
  <c r="A33783" i="1"/>
  <c r="B33783" i="1"/>
  <c r="A33784" i="1"/>
  <c r="B33784" i="1"/>
  <c r="A33785" i="1"/>
  <c r="B33785" i="1"/>
  <c r="A33786" i="1"/>
  <c r="B33786" i="1"/>
  <c r="A33787" i="1"/>
  <c r="B33787" i="1"/>
  <c r="A33788" i="1"/>
  <c r="B33788" i="1"/>
  <c r="A33789" i="1"/>
  <c r="B33789" i="1"/>
  <c r="A33790" i="1"/>
  <c r="B33790" i="1"/>
  <c r="A33791" i="1"/>
  <c r="B33791" i="1"/>
  <c r="A33792" i="1"/>
  <c r="B33792" i="1"/>
  <c r="A33793" i="1"/>
  <c r="B33793" i="1"/>
  <c r="A33794" i="1"/>
  <c r="B33794" i="1"/>
  <c r="A33795" i="1"/>
  <c r="B33795" i="1"/>
  <c r="A33796" i="1"/>
  <c r="B33796" i="1"/>
  <c r="A33797" i="1"/>
  <c r="B33797" i="1"/>
  <c r="A33798" i="1"/>
  <c r="B33798" i="1"/>
  <c r="A33799" i="1"/>
  <c r="B33799" i="1"/>
  <c r="A33800" i="1"/>
  <c r="B33800" i="1"/>
  <c r="A33801" i="1"/>
  <c r="B33801" i="1"/>
  <c r="A33802" i="1"/>
  <c r="B33802" i="1"/>
  <c r="A33803" i="1"/>
  <c r="B33803" i="1"/>
  <c r="A33804" i="1"/>
  <c r="B33804" i="1"/>
  <c r="A33805" i="1"/>
  <c r="B33805" i="1"/>
  <c r="A33806" i="1"/>
  <c r="B33806" i="1"/>
  <c r="A33807" i="1"/>
  <c r="B33807" i="1"/>
  <c r="A33808" i="1"/>
  <c r="B33808" i="1"/>
  <c r="A33809" i="1"/>
  <c r="B33809" i="1"/>
  <c r="A33810" i="1"/>
  <c r="B33810" i="1"/>
  <c r="A33811" i="1"/>
  <c r="B33811" i="1"/>
  <c r="A33812" i="1"/>
  <c r="B33812" i="1"/>
  <c r="A33813" i="1"/>
  <c r="B33813" i="1"/>
  <c r="A33814" i="1"/>
  <c r="B33814" i="1"/>
  <c r="A33815" i="1"/>
  <c r="B33815" i="1"/>
  <c r="A33816" i="1"/>
  <c r="B33816" i="1"/>
  <c r="A33817" i="1"/>
  <c r="B33817" i="1"/>
  <c r="A33818" i="1"/>
  <c r="B33818" i="1"/>
  <c r="A33819" i="1"/>
  <c r="B33819" i="1"/>
  <c r="A33820" i="1"/>
  <c r="B33820" i="1"/>
  <c r="A33821" i="1"/>
  <c r="B33821" i="1"/>
  <c r="A33822" i="1"/>
  <c r="B33822" i="1"/>
  <c r="A33823" i="1"/>
  <c r="B33823" i="1"/>
  <c r="A33824" i="1"/>
  <c r="B33824" i="1"/>
  <c r="A33825" i="1"/>
  <c r="B33825" i="1"/>
  <c r="A33826" i="1"/>
  <c r="B33826" i="1"/>
  <c r="A33827" i="1"/>
  <c r="B33827" i="1"/>
  <c r="A33828" i="1"/>
  <c r="B33828" i="1"/>
  <c r="A33829" i="1"/>
  <c r="B33829" i="1"/>
  <c r="A33830" i="1"/>
  <c r="B33830" i="1"/>
  <c r="A33831" i="1"/>
  <c r="B33831" i="1"/>
  <c r="A33832" i="1"/>
  <c r="B33832" i="1"/>
  <c r="A33833" i="1"/>
  <c r="B33833" i="1"/>
  <c r="A33834" i="1"/>
  <c r="B33834" i="1"/>
  <c r="A33835" i="1"/>
  <c r="B33835" i="1"/>
  <c r="A33836" i="1"/>
  <c r="B33836" i="1"/>
  <c r="A33837" i="1"/>
  <c r="B33837" i="1"/>
  <c r="A33838" i="1"/>
  <c r="B33838" i="1"/>
  <c r="A33839" i="1"/>
  <c r="B33839" i="1"/>
  <c r="A33840" i="1"/>
  <c r="B33840" i="1"/>
  <c r="A33841" i="1"/>
  <c r="B33841" i="1"/>
  <c r="A33842" i="1"/>
  <c r="B33842" i="1"/>
  <c r="A33843" i="1"/>
  <c r="B33843" i="1"/>
  <c r="A33844" i="1"/>
  <c r="B33844" i="1"/>
  <c r="A33845" i="1"/>
  <c r="B33845" i="1"/>
  <c r="A33846" i="1"/>
  <c r="B33846" i="1"/>
  <c r="A33847" i="1"/>
  <c r="B33847" i="1"/>
  <c r="A33848" i="1"/>
  <c r="B33848" i="1"/>
  <c r="A33849" i="1"/>
  <c r="B33849" i="1"/>
  <c r="A33850" i="1"/>
  <c r="B33850" i="1"/>
  <c r="A33851" i="1"/>
  <c r="B33851" i="1"/>
  <c r="A33852" i="1"/>
  <c r="B33852" i="1"/>
  <c r="A33853" i="1"/>
  <c r="B33853" i="1"/>
  <c r="A33854" i="1"/>
  <c r="B33854" i="1"/>
  <c r="A33855" i="1"/>
  <c r="B33855" i="1"/>
  <c r="A33856" i="1"/>
  <c r="B33856" i="1"/>
  <c r="A33857" i="1"/>
  <c r="B33857" i="1"/>
  <c r="A33858" i="1"/>
  <c r="B33858" i="1"/>
  <c r="A33859" i="1"/>
  <c r="B33859" i="1"/>
  <c r="A33860" i="1"/>
  <c r="B33860" i="1"/>
  <c r="A33861" i="1"/>
  <c r="B33861" i="1"/>
  <c r="A33862" i="1"/>
  <c r="B33862" i="1"/>
  <c r="A33863" i="1"/>
  <c r="B33863" i="1"/>
  <c r="A33864" i="1"/>
  <c r="B33864" i="1"/>
  <c r="A33865" i="1"/>
  <c r="B33865" i="1"/>
  <c r="A33866" i="1"/>
  <c r="B33866" i="1"/>
  <c r="A33867" i="1"/>
  <c r="B33867" i="1"/>
  <c r="A33868" i="1"/>
  <c r="B33868" i="1"/>
  <c r="A33869" i="1"/>
  <c r="B33869" i="1"/>
  <c r="A33870" i="1"/>
  <c r="B33870" i="1"/>
  <c r="A33871" i="1"/>
  <c r="B33871" i="1"/>
  <c r="A33872" i="1"/>
  <c r="B33872" i="1"/>
  <c r="A33873" i="1"/>
  <c r="B33873" i="1"/>
  <c r="A33874" i="1"/>
  <c r="B33874" i="1"/>
  <c r="A33875" i="1"/>
  <c r="B33875" i="1"/>
  <c r="A33876" i="1"/>
  <c r="B33876" i="1"/>
  <c r="A33877" i="1"/>
  <c r="B33877" i="1"/>
  <c r="A33878" i="1"/>
  <c r="B33878" i="1"/>
  <c r="A33879" i="1"/>
  <c r="B33879" i="1"/>
  <c r="A33880" i="1"/>
  <c r="B33880" i="1"/>
  <c r="A33881" i="1"/>
  <c r="B33881" i="1"/>
  <c r="A33882" i="1"/>
  <c r="B33882" i="1"/>
  <c r="A33883" i="1"/>
  <c r="B33883" i="1"/>
  <c r="A33884" i="1"/>
  <c r="B33884" i="1"/>
  <c r="A33885" i="1"/>
  <c r="B33885" i="1"/>
  <c r="A33886" i="1"/>
  <c r="B33886" i="1"/>
  <c r="A33887" i="1"/>
  <c r="B33887" i="1"/>
  <c r="A33888" i="1"/>
  <c r="B33888" i="1"/>
  <c r="A33889" i="1"/>
  <c r="B33889" i="1"/>
  <c r="A33890" i="1"/>
  <c r="B33890" i="1"/>
  <c r="A33891" i="1"/>
  <c r="B33891" i="1"/>
  <c r="A33892" i="1"/>
  <c r="B33892" i="1"/>
  <c r="A33893" i="1"/>
  <c r="B33893" i="1"/>
  <c r="A33894" i="1"/>
  <c r="B33894" i="1"/>
  <c r="A33895" i="1"/>
  <c r="B33895" i="1"/>
  <c r="A33896" i="1"/>
  <c r="B33896" i="1"/>
  <c r="A33897" i="1"/>
  <c r="B33897" i="1"/>
  <c r="A33898" i="1"/>
  <c r="B33898" i="1"/>
  <c r="A33899" i="1"/>
  <c r="B33899" i="1"/>
  <c r="A33900" i="1"/>
  <c r="B33900" i="1"/>
  <c r="A33901" i="1"/>
  <c r="B33901" i="1"/>
  <c r="A33902" i="1"/>
  <c r="B33902" i="1"/>
  <c r="A33903" i="1"/>
  <c r="B33903" i="1"/>
  <c r="A33904" i="1"/>
  <c r="B33904" i="1"/>
  <c r="A33905" i="1"/>
  <c r="B33905" i="1"/>
  <c r="A33906" i="1"/>
  <c r="B33906" i="1"/>
  <c r="A33907" i="1"/>
  <c r="B33907" i="1"/>
  <c r="A33908" i="1"/>
  <c r="B33908" i="1"/>
  <c r="A33909" i="1"/>
  <c r="B33909" i="1"/>
  <c r="A33910" i="1"/>
  <c r="B33910" i="1"/>
  <c r="A33911" i="1"/>
  <c r="B33911" i="1"/>
  <c r="A33912" i="1"/>
  <c r="B33912" i="1"/>
  <c r="A33913" i="1"/>
  <c r="B33913" i="1"/>
  <c r="A33914" i="1"/>
  <c r="B33914" i="1"/>
  <c r="A33915" i="1"/>
  <c r="B33915" i="1"/>
  <c r="A33916" i="1"/>
  <c r="B33916" i="1"/>
  <c r="A33917" i="1"/>
  <c r="B33917" i="1"/>
  <c r="A33918" i="1"/>
  <c r="B33918" i="1"/>
  <c r="A33919" i="1"/>
  <c r="B33919" i="1"/>
  <c r="A33920" i="1"/>
  <c r="B33920" i="1"/>
  <c r="A33921" i="1"/>
  <c r="B33921" i="1"/>
  <c r="A33922" i="1"/>
  <c r="B33922" i="1"/>
  <c r="A33923" i="1"/>
  <c r="B33923" i="1"/>
  <c r="A33924" i="1"/>
  <c r="B33924" i="1"/>
  <c r="A33925" i="1"/>
  <c r="B33925" i="1"/>
  <c r="A33926" i="1"/>
  <c r="B33926" i="1"/>
  <c r="A33927" i="1"/>
  <c r="B33927" i="1"/>
  <c r="A33928" i="1"/>
  <c r="B33928" i="1"/>
  <c r="A33929" i="1"/>
  <c r="B33929" i="1"/>
  <c r="A33930" i="1"/>
  <c r="B33930" i="1"/>
  <c r="A33931" i="1"/>
  <c r="B33931" i="1"/>
  <c r="A33932" i="1"/>
  <c r="B33932" i="1"/>
  <c r="A33933" i="1"/>
  <c r="B33933" i="1"/>
  <c r="A33934" i="1"/>
  <c r="B33934" i="1"/>
  <c r="A33935" i="1"/>
  <c r="B33935" i="1"/>
  <c r="A33936" i="1"/>
  <c r="B33936" i="1"/>
  <c r="A33937" i="1"/>
  <c r="B33937" i="1"/>
  <c r="A33938" i="1"/>
  <c r="B33938" i="1"/>
  <c r="A33939" i="1"/>
  <c r="B33939" i="1"/>
  <c r="A33940" i="1"/>
  <c r="B33940" i="1"/>
  <c r="A33941" i="1"/>
  <c r="B33941" i="1"/>
  <c r="A33942" i="1"/>
  <c r="B33942" i="1"/>
  <c r="A33943" i="1"/>
  <c r="B33943" i="1"/>
  <c r="A33944" i="1"/>
  <c r="B33944" i="1"/>
  <c r="A33945" i="1"/>
  <c r="B33945" i="1"/>
  <c r="A33946" i="1"/>
  <c r="B33946" i="1"/>
  <c r="A33947" i="1"/>
  <c r="B33947" i="1"/>
  <c r="A33948" i="1"/>
  <c r="B33948" i="1"/>
  <c r="A33949" i="1"/>
  <c r="B33949" i="1"/>
  <c r="A33950" i="1"/>
  <c r="B33950" i="1"/>
  <c r="A33951" i="1"/>
  <c r="B33951" i="1"/>
  <c r="A33952" i="1"/>
  <c r="B33952" i="1"/>
  <c r="A33953" i="1"/>
  <c r="B33953" i="1"/>
  <c r="A33954" i="1"/>
  <c r="B33954" i="1"/>
  <c r="A33955" i="1"/>
  <c r="B33955" i="1"/>
  <c r="A33956" i="1"/>
  <c r="B33956" i="1"/>
  <c r="A33957" i="1"/>
  <c r="B33957" i="1"/>
  <c r="A33958" i="1"/>
  <c r="B33958" i="1"/>
  <c r="A33959" i="1"/>
  <c r="B33959" i="1"/>
  <c r="A33960" i="1"/>
  <c r="B33960" i="1"/>
  <c r="A33961" i="1"/>
  <c r="B33961" i="1"/>
  <c r="A33962" i="1"/>
  <c r="B33962" i="1"/>
  <c r="A33963" i="1"/>
  <c r="B33963" i="1"/>
  <c r="A33964" i="1"/>
  <c r="B33964" i="1"/>
  <c r="A33965" i="1"/>
  <c r="B33965" i="1"/>
  <c r="A33966" i="1"/>
  <c r="B33966" i="1"/>
  <c r="A33967" i="1"/>
  <c r="B33967" i="1"/>
  <c r="A33968" i="1"/>
  <c r="B33968" i="1"/>
  <c r="A33969" i="1"/>
  <c r="B33969" i="1"/>
  <c r="A33970" i="1"/>
  <c r="B33970" i="1"/>
  <c r="A33971" i="1"/>
  <c r="B33971" i="1"/>
  <c r="A33972" i="1"/>
  <c r="B33972" i="1"/>
  <c r="A33973" i="1"/>
  <c r="B33973" i="1"/>
  <c r="A33974" i="1"/>
  <c r="B33974" i="1"/>
  <c r="A33975" i="1"/>
  <c r="B33975" i="1"/>
  <c r="A33976" i="1"/>
  <c r="B33976" i="1"/>
  <c r="A33977" i="1"/>
  <c r="B33977" i="1"/>
  <c r="A33978" i="1"/>
  <c r="B33978" i="1"/>
  <c r="A33979" i="1"/>
  <c r="B33979" i="1"/>
  <c r="A33980" i="1"/>
  <c r="B33980" i="1"/>
  <c r="A33981" i="1"/>
  <c r="B33981" i="1"/>
  <c r="A33982" i="1"/>
  <c r="B33982" i="1"/>
  <c r="A33983" i="1"/>
  <c r="B33983" i="1"/>
  <c r="A33984" i="1"/>
  <c r="B33984" i="1"/>
  <c r="A33985" i="1"/>
  <c r="B33985" i="1"/>
  <c r="A33986" i="1"/>
  <c r="B33986" i="1"/>
  <c r="A33987" i="1"/>
  <c r="B33987" i="1"/>
  <c r="A33988" i="1"/>
  <c r="B33988" i="1"/>
  <c r="A33989" i="1"/>
  <c r="B33989" i="1"/>
  <c r="A33990" i="1"/>
  <c r="B33990" i="1"/>
  <c r="A33991" i="1"/>
  <c r="B33991" i="1"/>
  <c r="A33992" i="1"/>
  <c r="B33992" i="1"/>
  <c r="A33993" i="1"/>
  <c r="B33993" i="1"/>
  <c r="A33994" i="1"/>
  <c r="B33994" i="1"/>
  <c r="A33995" i="1"/>
  <c r="B33995" i="1"/>
  <c r="A33996" i="1"/>
  <c r="B33996" i="1"/>
  <c r="A33997" i="1"/>
  <c r="B33997" i="1"/>
  <c r="A33998" i="1"/>
  <c r="B33998" i="1"/>
  <c r="A33999" i="1"/>
  <c r="B33999" i="1"/>
  <c r="A34000" i="1"/>
  <c r="B34000" i="1"/>
  <c r="A34001" i="1"/>
  <c r="B34001" i="1"/>
  <c r="A34002" i="1"/>
  <c r="B34002" i="1"/>
  <c r="A34003" i="1"/>
  <c r="B34003" i="1"/>
  <c r="A34004" i="1"/>
  <c r="B34004" i="1"/>
  <c r="A34005" i="1"/>
  <c r="B34005" i="1"/>
  <c r="A34006" i="1"/>
  <c r="B34006" i="1"/>
  <c r="A34007" i="1"/>
  <c r="B34007" i="1"/>
  <c r="A34008" i="1"/>
  <c r="B34008" i="1"/>
  <c r="A34009" i="1"/>
  <c r="B34009" i="1"/>
  <c r="A34010" i="1"/>
  <c r="B34010" i="1"/>
  <c r="A34011" i="1"/>
  <c r="B34011" i="1"/>
  <c r="A34012" i="1"/>
  <c r="B34012" i="1"/>
  <c r="A34013" i="1"/>
  <c r="B34013" i="1"/>
  <c r="A34014" i="1"/>
  <c r="B34014" i="1"/>
  <c r="A34015" i="1"/>
  <c r="B34015" i="1"/>
  <c r="A34016" i="1"/>
  <c r="B34016" i="1"/>
  <c r="A34017" i="1"/>
  <c r="B34017" i="1"/>
  <c r="A34018" i="1"/>
  <c r="B34018" i="1"/>
  <c r="A34019" i="1"/>
  <c r="B34019" i="1"/>
  <c r="A34020" i="1"/>
  <c r="B34020" i="1"/>
  <c r="A34021" i="1"/>
  <c r="B34021" i="1"/>
  <c r="A34022" i="1"/>
  <c r="B34022" i="1"/>
  <c r="A34023" i="1"/>
  <c r="B34023" i="1"/>
  <c r="A34024" i="1"/>
  <c r="B34024" i="1"/>
  <c r="A34025" i="1"/>
  <c r="B34025" i="1"/>
  <c r="A34026" i="1"/>
  <c r="B34026" i="1"/>
  <c r="A34027" i="1"/>
  <c r="B34027" i="1"/>
  <c r="A34028" i="1"/>
  <c r="B34028" i="1"/>
  <c r="A34029" i="1"/>
  <c r="B34029" i="1"/>
  <c r="A34030" i="1"/>
  <c r="B34030" i="1"/>
  <c r="A34031" i="1"/>
  <c r="B34031" i="1"/>
  <c r="A34032" i="1"/>
  <c r="B34032" i="1"/>
  <c r="A34033" i="1"/>
  <c r="B34033" i="1"/>
  <c r="A34034" i="1"/>
  <c r="B34034" i="1"/>
  <c r="A34035" i="1"/>
  <c r="B34035" i="1"/>
  <c r="A34036" i="1"/>
  <c r="B34036" i="1"/>
  <c r="A34037" i="1"/>
  <c r="B34037" i="1"/>
  <c r="A34038" i="1"/>
  <c r="B34038" i="1"/>
  <c r="A34039" i="1"/>
  <c r="B34039" i="1"/>
  <c r="A34040" i="1"/>
  <c r="B34040" i="1"/>
  <c r="A34041" i="1"/>
  <c r="B34041" i="1"/>
  <c r="A34042" i="1"/>
  <c r="B34042" i="1"/>
  <c r="A34043" i="1"/>
  <c r="B34043" i="1"/>
  <c r="A34044" i="1"/>
  <c r="B34044" i="1"/>
  <c r="A34045" i="1"/>
  <c r="B34045" i="1"/>
  <c r="A34046" i="1"/>
  <c r="B34046" i="1"/>
  <c r="A34047" i="1"/>
  <c r="B34047" i="1"/>
  <c r="A34048" i="1"/>
  <c r="B34048" i="1"/>
  <c r="A34049" i="1"/>
  <c r="B34049" i="1"/>
  <c r="A34050" i="1"/>
  <c r="B34050" i="1"/>
  <c r="A34051" i="1"/>
  <c r="B34051" i="1"/>
  <c r="A34052" i="1"/>
  <c r="B34052" i="1"/>
  <c r="A34053" i="1"/>
  <c r="B34053" i="1"/>
  <c r="A34054" i="1"/>
  <c r="B34054" i="1"/>
  <c r="A34055" i="1"/>
  <c r="B34055" i="1"/>
  <c r="A34056" i="1"/>
  <c r="B34056" i="1"/>
  <c r="A34057" i="1"/>
  <c r="B34057" i="1"/>
  <c r="A34058" i="1"/>
  <c r="B34058" i="1"/>
  <c r="A34059" i="1"/>
  <c r="B34059" i="1"/>
  <c r="A34060" i="1"/>
  <c r="B34060" i="1"/>
  <c r="A34061" i="1"/>
  <c r="B34061" i="1"/>
  <c r="A34062" i="1"/>
  <c r="B34062" i="1"/>
  <c r="A34063" i="1"/>
  <c r="B34063" i="1"/>
  <c r="A34064" i="1"/>
  <c r="B34064" i="1"/>
  <c r="A34065" i="1"/>
  <c r="B34065" i="1"/>
  <c r="A34066" i="1"/>
  <c r="B34066" i="1"/>
  <c r="A34067" i="1"/>
  <c r="B34067" i="1"/>
  <c r="A34068" i="1"/>
  <c r="B34068" i="1"/>
  <c r="A34069" i="1"/>
  <c r="B34069" i="1"/>
  <c r="A34070" i="1"/>
  <c r="B34070" i="1"/>
  <c r="A34071" i="1"/>
  <c r="B34071" i="1"/>
  <c r="A34072" i="1"/>
  <c r="B34072" i="1"/>
  <c r="A34073" i="1"/>
  <c r="B34073" i="1"/>
  <c r="A34074" i="1"/>
  <c r="B34074" i="1"/>
  <c r="A34075" i="1"/>
  <c r="B34075" i="1"/>
  <c r="A34076" i="1"/>
  <c r="B34076" i="1"/>
  <c r="A34077" i="1"/>
  <c r="B34077" i="1"/>
  <c r="A34078" i="1"/>
  <c r="B34078" i="1"/>
  <c r="A34079" i="1"/>
  <c r="B34079" i="1"/>
  <c r="A34080" i="1"/>
  <c r="B34080" i="1"/>
  <c r="A34081" i="1"/>
  <c r="B34081" i="1"/>
  <c r="A34082" i="1"/>
  <c r="B34082" i="1"/>
  <c r="A34083" i="1"/>
  <c r="B34083" i="1"/>
  <c r="A34084" i="1"/>
  <c r="B34084" i="1"/>
  <c r="A34085" i="1"/>
  <c r="B34085" i="1"/>
  <c r="A34086" i="1"/>
  <c r="B34086" i="1"/>
  <c r="A34087" i="1"/>
  <c r="B34087" i="1"/>
  <c r="A34088" i="1"/>
  <c r="B34088" i="1"/>
  <c r="A34089" i="1"/>
  <c r="B34089" i="1"/>
  <c r="A34090" i="1"/>
  <c r="B34090" i="1"/>
  <c r="A34091" i="1"/>
  <c r="B34091" i="1"/>
  <c r="A34092" i="1"/>
  <c r="B34092" i="1"/>
  <c r="A34093" i="1"/>
  <c r="B34093" i="1"/>
  <c r="A34094" i="1"/>
  <c r="B34094" i="1"/>
  <c r="A34095" i="1"/>
  <c r="B34095" i="1"/>
  <c r="A34096" i="1"/>
  <c r="B34096" i="1"/>
  <c r="A34097" i="1"/>
  <c r="B34097" i="1"/>
  <c r="A34098" i="1"/>
  <c r="B34098" i="1"/>
  <c r="A34099" i="1"/>
  <c r="B34099" i="1"/>
  <c r="A34100" i="1"/>
  <c r="B34100" i="1"/>
  <c r="A34101" i="1"/>
  <c r="B34101" i="1"/>
  <c r="A34102" i="1"/>
  <c r="B34102" i="1"/>
  <c r="A34103" i="1"/>
  <c r="B34103" i="1"/>
  <c r="A34104" i="1"/>
  <c r="B34104" i="1"/>
  <c r="A34105" i="1"/>
  <c r="B34105" i="1"/>
  <c r="A34106" i="1"/>
  <c r="B34106" i="1"/>
  <c r="A34107" i="1"/>
  <c r="B34107" i="1"/>
  <c r="A34108" i="1"/>
  <c r="B34108" i="1"/>
  <c r="A34109" i="1"/>
  <c r="B34109" i="1"/>
  <c r="A34110" i="1"/>
  <c r="B34110" i="1"/>
  <c r="A34111" i="1"/>
  <c r="B34111" i="1"/>
  <c r="A34112" i="1"/>
  <c r="B34112" i="1"/>
  <c r="A34113" i="1"/>
  <c r="B34113" i="1"/>
  <c r="A34114" i="1"/>
  <c r="B34114" i="1"/>
  <c r="A34115" i="1"/>
  <c r="B34115" i="1"/>
  <c r="A34116" i="1"/>
  <c r="B34116" i="1"/>
  <c r="A34117" i="1"/>
  <c r="B34117" i="1"/>
  <c r="A34118" i="1"/>
  <c r="B34118" i="1"/>
  <c r="A34119" i="1"/>
  <c r="B34119" i="1"/>
  <c r="A34120" i="1"/>
  <c r="B34120" i="1"/>
  <c r="A34121" i="1"/>
  <c r="B34121" i="1"/>
  <c r="A34122" i="1"/>
  <c r="B34122" i="1"/>
  <c r="A34123" i="1"/>
  <c r="B34123" i="1"/>
  <c r="A34124" i="1"/>
  <c r="B34124" i="1"/>
  <c r="A34125" i="1"/>
  <c r="B34125" i="1"/>
  <c r="A34126" i="1"/>
  <c r="B34126" i="1"/>
  <c r="A34127" i="1"/>
  <c r="B34127" i="1"/>
  <c r="A34128" i="1"/>
  <c r="B34128" i="1"/>
  <c r="A34129" i="1"/>
  <c r="B34129" i="1"/>
  <c r="A34130" i="1"/>
  <c r="B34130" i="1"/>
  <c r="A34131" i="1"/>
  <c r="B34131" i="1"/>
  <c r="A34132" i="1"/>
  <c r="B34132" i="1"/>
  <c r="A34133" i="1"/>
  <c r="B34133" i="1"/>
  <c r="A34134" i="1"/>
  <c r="B34134" i="1"/>
  <c r="A34135" i="1"/>
  <c r="B34135" i="1"/>
  <c r="A34136" i="1"/>
  <c r="B34136" i="1"/>
  <c r="A34137" i="1"/>
  <c r="B34137" i="1"/>
  <c r="A34138" i="1"/>
  <c r="B34138" i="1"/>
  <c r="A34139" i="1"/>
  <c r="B34139" i="1"/>
  <c r="A34140" i="1"/>
  <c r="B34140" i="1"/>
  <c r="A34141" i="1"/>
  <c r="B34141" i="1"/>
  <c r="A34142" i="1"/>
  <c r="B34142" i="1"/>
  <c r="A34143" i="1"/>
  <c r="B34143" i="1"/>
  <c r="A34144" i="1"/>
  <c r="B34144" i="1"/>
  <c r="A34145" i="1"/>
  <c r="B34145" i="1"/>
  <c r="A34146" i="1"/>
  <c r="B34146" i="1"/>
  <c r="A34147" i="1"/>
  <c r="B34147" i="1"/>
  <c r="A34148" i="1"/>
  <c r="B34148" i="1"/>
  <c r="A34149" i="1"/>
  <c r="B34149" i="1"/>
  <c r="A34150" i="1"/>
  <c r="B34150" i="1"/>
  <c r="A34151" i="1"/>
  <c r="B34151" i="1"/>
  <c r="A34152" i="1"/>
  <c r="B34152" i="1"/>
  <c r="A34153" i="1"/>
  <c r="B34153" i="1"/>
  <c r="A34154" i="1"/>
  <c r="B34154" i="1"/>
  <c r="A34155" i="1"/>
  <c r="B34155" i="1"/>
  <c r="A34156" i="1"/>
  <c r="B34156" i="1"/>
  <c r="A34157" i="1"/>
  <c r="B34157" i="1"/>
  <c r="A34158" i="1"/>
  <c r="B34158" i="1"/>
  <c r="A34159" i="1"/>
  <c r="B34159" i="1"/>
  <c r="A34160" i="1"/>
  <c r="B34160" i="1"/>
  <c r="A34161" i="1"/>
  <c r="B34161" i="1"/>
  <c r="A34162" i="1"/>
  <c r="B34162" i="1"/>
  <c r="A34163" i="1"/>
  <c r="B34163" i="1"/>
  <c r="A34164" i="1"/>
  <c r="B34164" i="1"/>
  <c r="A34165" i="1"/>
  <c r="B34165" i="1"/>
  <c r="A34166" i="1"/>
  <c r="B34166" i="1"/>
  <c r="A34167" i="1"/>
  <c r="B34167" i="1"/>
  <c r="A34168" i="1"/>
  <c r="B34168" i="1"/>
  <c r="A34169" i="1"/>
  <c r="B34169" i="1"/>
  <c r="A34170" i="1"/>
  <c r="B34170" i="1"/>
  <c r="A34171" i="1"/>
  <c r="B34171" i="1"/>
  <c r="A34172" i="1"/>
  <c r="B34172" i="1"/>
  <c r="A34173" i="1"/>
  <c r="B34173" i="1"/>
  <c r="A34174" i="1"/>
  <c r="B34174" i="1"/>
  <c r="A34175" i="1"/>
  <c r="B34175" i="1"/>
  <c r="A34176" i="1"/>
  <c r="B34176" i="1"/>
  <c r="A34177" i="1"/>
  <c r="B34177" i="1"/>
  <c r="A34178" i="1"/>
  <c r="B34178" i="1"/>
  <c r="A34179" i="1"/>
  <c r="B34179" i="1"/>
  <c r="A34180" i="1"/>
  <c r="B34180" i="1"/>
  <c r="A34181" i="1"/>
  <c r="B34181" i="1"/>
  <c r="A34182" i="1"/>
  <c r="B34182" i="1"/>
  <c r="A34183" i="1"/>
  <c r="B34183" i="1"/>
  <c r="A34184" i="1"/>
  <c r="B34184" i="1"/>
  <c r="A34185" i="1"/>
  <c r="B34185" i="1"/>
  <c r="A34186" i="1"/>
  <c r="B34186" i="1"/>
  <c r="A34187" i="1"/>
  <c r="B34187" i="1"/>
  <c r="A34188" i="1"/>
  <c r="B34188" i="1"/>
  <c r="A34189" i="1"/>
  <c r="B34189" i="1"/>
  <c r="A34190" i="1"/>
  <c r="B34190" i="1"/>
  <c r="A34191" i="1"/>
  <c r="B34191" i="1"/>
  <c r="A34192" i="1"/>
  <c r="B34192" i="1"/>
  <c r="A34193" i="1"/>
  <c r="B34193" i="1"/>
  <c r="A34194" i="1"/>
  <c r="B34194" i="1"/>
  <c r="A34195" i="1"/>
  <c r="B34195" i="1"/>
  <c r="A34196" i="1"/>
  <c r="B34196" i="1"/>
  <c r="A34197" i="1"/>
  <c r="B34197" i="1"/>
  <c r="A34198" i="1"/>
  <c r="B34198" i="1"/>
  <c r="A34199" i="1"/>
  <c r="B34199" i="1"/>
  <c r="A34200" i="1"/>
  <c r="B34200" i="1"/>
  <c r="A34201" i="1"/>
  <c r="B34201" i="1"/>
  <c r="A34202" i="1"/>
  <c r="B34202" i="1"/>
  <c r="A34203" i="1"/>
  <c r="B34203" i="1"/>
  <c r="A34204" i="1"/>
  <c r="B34204" i="1"/>
  <c r="A34205" i="1"/>
  <c r="B34205" i="1"/>
  <c r="A34206" i="1"/>
  <c r="B34206" i="1"/>
  <c r="A34207" i="1"/>
  <c r="B34207" i="1"/>
  <c r="A34208" i="1"/>
  <c r="B34208" i="1"/>
  <c r="A34209" i="1"/>
  <c r="B34209" i="1"/>
  <c r="A34210" i="1"/>
  <c r="B34210" i="1"/>
  <c r="A34211" i="1"/>
  <c r="B34211" i="1"/>
  <c r="A34212" i="1"/>
  <c r="B34212" i="1"/>
  <c r="A34213" i="1"/>
  <c r="B34213" i="1"/>
  <c r="A34214" i="1"/>
  <c r="B34214" i="1"/>
  <c r="A34215" i="1"/>
  <c r="B34215" i="1"/>
  <c r="A34216" i="1"/>
  <c r="B34216" i="1"/>
  <c r="A34217" i="1"/>
  <c r="B34217" i="1"/>
  <c r="A34218" i="1"/>
  <c r="B34218" i="1"/>
  <c r="A34219" i="1"/>
  <c r="B34219" i="1"/>
  <c r="A34220" i="1"/>
  <c r="B34220" i="1"/>
  <c r="A34221" i="1"/>
  <c r="B34221" i="1"/>
  <c r="A34222" i="1"/>
  <c r="B34222" i="1"/>
  <c r="A34223" i="1"/>
  <c r="B34223" i="1"/>
  <c r="A34224" i="1"/>
  <c r="B34224" i="1"/>
  <c r="A34225" i="1"/>
  <c r="B34225" i="1"/>
  <c r="A34226" i="1"/>
  <c r="B34226" i="1"/>
  <c r="A34227" i="1"/>
  <c r="B34227" i="1"/>
  <c r="A34228" i="1"/>
  <c r="B34228" i="1"/>
  <c r="A34229" i="1"/>
  <c r="B34229" i="1"/>
  <c r="A34230" i="1"/>
  <c r="B34230" i="1"/>
  <c r="A34231" i="1"/>
  <c r="B34231" i="1"/>
  <c r="A34232" i="1"/>
  <c r="B34232" i="1"/>
  <c r="A34233" i="1"/>
  <c r="B34233" i="1"/>
  <c r="A34234" i="1"/>
  <c r="B34234" i="1"/>
  <c r="A34235" i="1"/>
  <c r="B34235" i="1"/>
  <c r="A34236" i="1"/>
  <c r="B34236" i="1"/>
  <c r="A34237" i="1"/>
  <c r="B34237" i="1"/>
  <c r="A34238" i="1"/>
  <c r="B34238" i="1"/>
  <c r="A34239" i="1"/>
  <c r="B34239" i="1"/>
  <c r="A34240" i="1"/>
  <c r="B34240" i="1"/>
  <c r="A34241" i="1"/>
  <c r="B34241" i="1"/>
  <c r="A34242" i="1"/>
  <c r="B34242" i="1"/>
  <c r="A34243" i="1"/>
  <c r="B34243" i="1"/>
  <c r="A34244" i="1"/>
  <c r="B34244" i="1"/>
  <c r="A34245" i="1"/>
  <c r="B34245" i="1"/>
  <c r="A34246" i="1"/>
  <c r="B34246" i="1"/>
  <c r="A34247" i="1"/>
  <c r="B34247" i="1"/>
  <c r="A34248" i="1"/>
  <c r="B34248" i="1"/>
  <c r="A34249" i="1"/>
  <c r="B34249" i="1"/>
  <c r="A34250" i="1"/>
  <c r="B34250" i="1"/>
  <c r="A34251" i="1"/>
  <c r="B34251" i="1"/>
  <c r="A34252" i="1"/>
  <c r="B34252" i="1"/>
  <c r="A34253" i="1"/>
  <c r="B34253" i="1"/>
  <c r="A34254" i="1"/>
  <c r="B34254" i="1"/>
  <c r="A34255" i="1"/>
  <c r="B34255" i="1"/>
  <c r="A34256" i="1"/>
  <c r="B34256" i="1"/>
  <c r="A34257" i="1"/>
  <c r="B34257" i="1"/>
  <c r="A34258" i="1"/>
  <c r="B34258" i="1"/>
  <c r="A34259" i="1"/>
  <c r="B34259" i="1"/>
  <c r="A34260" i="1"/>
  <c r="B34260" i="1"/>
  <c r="A34261" i="1"/>
  <c r="B34261" i="1"/>
  <c r="A34262" i="1"/>
  <c r="B34262" i="1"/>
  <c r="A34263" i="1"/>
  <c r="B34263" i="1"/>
  <c r="A34264" i="1"/>
  <c r="B34264" i="1"/>
  <c r="A34265" i="1"/>
  <c r="B34265" i="1"/>
  <c r="A34266" i="1"/>
  <c r="B34266" i="1"/>
  <c r="A34267" i="1"/>
  <c r="B34267" i="1"/>
  <c r="A34268" i="1"/>
  <c r="B34268" i="1"/>
  <c r="A34269" i="1"/>
  <c r="B34269" i="1"/>
  <c r="A34270" i="1"/>
  <c r="B34270" i="1"/>
  <c r="A34271" i="1"/>
  <c r="B34271" i="1"/>
  <c r="A34272" i="1"/>
  <c r="B34272" i="1"/>
  <c r="A34273" i="1"/>
  <c r="B34273" i="1"/>
  <c r="A34274" i="1"/>
  <c r="B34274" i="1"/>
  <c r="A34275" i="1"/>
  <c r="B34275" i="1"/>
  <c r="A34276" i="1"/>
  <c r="B34276" i="1"/>
  <c r="A34277" i="1"/>
  <c r="B34277" i="1"/>
  <c r="A34278" i="1"/>
  <c r="B34278" i="1"/>
  <c r="A34279" i="1"/>
  <c r="B34279" i="1"/>
  <c r="A34280" i="1"/>
  <c r="B34280" i="1"/>
  <c r="A34281" i="1"/>
  <c r="B34281" i="1"/>
  <c r="A34282" i="1"/>
  <c r="B34282" i="1"/>
  <c r="A34283" i="1"/>
  <c r="B34283" i="1"/>
  <c r="A34284" i="1"/>
  <c r="B34284" i="1"/>
  <c r="A34285" i="1"/>
  <c r="B34285" i="1"/>
  <c r="A34286" i="1"/>
  <c r="B34286" i="1"/>
  <c r="A34287" i="1"/>
  <c r="B34287" i="1"/>
  <c r="A34288" i="1"/>
  <c r="B34288" i="1"/>
  <c r="A34289" i="1"/>
  <c r="B34289" i="1"/>
  <c r="A34290" i="1"/>
  <c r="B34290" i="1"/>
  <c r="A34291" i="1"/>
  <c r="B34291" i="1"/>
  <c r="A34292" i="1"/>
  <c r="B34292" i="1"/>
  <c r="A34293" i="1"/>
  <c r="B34293" i="1"/>
  <c r="A34294" i="1"/>
  <c r="B34294" i="1"/>
  <c r="A34295" i="1"/>
  <c r="B34295" i="1"/>
  <c r="A34296" i="1"/>
  <c r="B34296" i="1"/>
  <c r="A34297" i="1"/>
  <c r="B34297" i="1"/>
  <c r="A34298" i="1"/>
  <c r="B34298" i="1"/>
  <c r="A34299" i="1"/>
  <c r="B34299" i="1"/>
  <c r="A34300" i="1"/>
  <c r="B34300" i="1"/>
  <c r="A34301" i="1"/>
  <c r="B34301" i="1"/>
  <c r="A34302" i="1"/>
  <c r="B34302" i="1"/>
  <c r="A34303" i="1"/>
  <c r="B34303" i="1"/>
  <c r="A34304" i="1"/>
  <c r="B34304" i="1"/>
  <c r="A34305" i="1"/>
  <c r="B34305" i="1"/>
  <c r="A34306" i="1"/>
  <c r="B34306" i="1"/>
  <c r="A34307" i="1"/>
  <c r="B34307" i="1"/>
  <c r="A34308" i="1"/>
  <c r="B34308" i="1"/>
  <c r="A34309" i="1"/>
  <c r="B34309" i="1"/>
  <c r="A34310" i="1"/>
  <c r="B34310" i="1"/>
  <c r="A34311" i="1"/>
  <c r="B34311" i="1"/>
  <c r="A34312" i="1"/>
  <c r="B34312" i="1"/>
  <c r="A34313" i="1"/>
  <c r="B34313" i="1"/>
  <c r="A34314" i="1"/>
  <c r="B34314" i="1"/>
  <c r="A34315" i="1"/>
  <c r="B34315" i="1"/>
  <c r="A34316" i="1"/>
  <c r="B34316" i="1"/>
  <c r="A34317" i="1"/>
  <c r="B34317" i="1"/>
  <c r="A34318" i="1"/>
  <c r="B34318" i="1"/>
  <c r="A34319" i="1"/>
  <c r="B34319" i="1"/>
  <c r="A34320" i="1"/>
  <c r="B34320" i="1"/>
  <c r="A34321" i="1"/>
  <c r="B34321" i="1"/>
  <c r="A34322" i="1"/>
  <c r="B34322" i="1"/>
  <c r="A34323" i="1"/>
  <c r="B34323" i="1"/>
  <c r="A34324" i="1"/>
  <c r="B34324" i="1"/>
  <c r="A34325" i="1"/>
  <c r="B34325" i="1"/>
  <c r="A34326" i="1"/>
  <c r="B34326" i="1"/>
  <c r="A34327" i="1"/>
  <c r="B34327" i="1"/>
  <c r="A34328" i="1"/>
  <c r="B34328" i="1"/>
  <c r="A34329" i="1"/>
  <c r="B34329" i="1"/>
  <c r="A34330" i="1"/>
  <c r="B34330" i="1"/>
  <c r="A34331" i="1"/>
  <c r="B34331" i="1"/>
  <c r="A34332" i="1"/>
  <c r="B34332" i="1"/>
  <c r="A34333" i="1"/>
  <c r="B34333" i="1"/>
  <c r="A34334" i="1"/>
  <c r="B34334" i="1"/>
  <c r="A34335" i="1"/>
  <c r="B34335" i="1"/>
  <c r="A34336" i="1"/>
  <c r="B34336" i="1"/>
  <c r="A34337" i="1"/>
  <c r="B34337" i="1"/>
  <c r="A34338" i="1"/>
  <c r="B34338" i="1"/>
  <c r="A34339" i="1"/>
  <c r="B34339" i="1"/>
  <c r="A34340" i="1"/>
  <c r="B34340" i="1"/>
  <c r="A34341" i="1"/>
  <c r="B34341" i="1"/>
  <c r="A34342" i="1"/>
  <c r="B34342" i="1"/>
  <c r="A34343" i="1"/>
  <c r="B34343" i="1"/>
  <c r="A34344" i="1"/>
  <c r="B34344" i="1"/>
  <c r="A34345" i="1"/>
  <c r="B34345" i="1"/>
  <c r="A34346" i="1"/>
  <c r="B34346" i="1"/>
  <c r="A34347" i="1"/>
  <c r="B34347" i="1"/>
  <c r="A34348" i="1"/>
  <c r="B34348" i="1"/>
  <c r="A34349" i="1"/>
  <c r="B34349" i="1"/>
  <c r="A34350" i="1"/>
  <c r="B34350" i="1"/>
  <c r="A34351" i="1"/>
  <c r="B34351" i="1"/>
  <c r="A34352" i="1"/>
  <c r="B34352" i="1"/>
  <c r="A34353" i="1"/>
  <c r="B34353" i="1"/>
  <c r="A34354" i="1"/>
  <c r="B34354" i="1"/>
  <c r="A34355" i="1"/>
  <c r="B34355" i="1"/>
  <c r="A34356" i="1"/>
  <c r="B34356" i="1"/>
  <c r="A34357" i="1"/>
  <c r="B34357" i="1"/>
  <c r="A34358" i="1"/>
  <c r="B34358" i="1"/>
  <c r="A34359" i="1"/>
  <c r="B34359" i="1"/>
  <c r="A34360" i="1"/>
  <c r="B34360" i="1"/>
  <c r="A34361" i="1"/>
  <c r="B34361" i="1"/>
  <c r="A34362" i="1"/>
  <c r="B34362" i="1"/>
  <c r="A34363" i="1"/>
  <c r="B34363" i="1"/>
  <c r="A34364" i="1"/>
  <c r="B34364" i="1"/>
  <c r="A34365" i="1"/>
  <c r="B34365" i="1"/>
  <c r="A34366" i="1"/>
  <c r="B34366" i="1"/>
  <c r="A34367" i="1"/>
  <c r="B34367" i="1"/>
  <c r="A34368" i="1"/>
  <c r="B34368" i="1"/>
  <c r="A34369" i="1"/>
  <c r="B34369" i="1"/>
  <c r="A34370" i="1"/>
  <c r="B34370" i="1"/>
  <c r="A34371" i="1"/>
  <c r="B34371" i="1"/>
  <c r="A34372" i="1"/>
  <c r="B34372" i="1"/>
  <c r="A34373" i="1"/>
  <c r="B34373" i="1"/>
  <c r="A34374" i="1"/>
  <c r="B34374" i="1"/>
  <c r="A34375" i="1"/>
  <c r="B34375" i="1"/>
  <c r="A34376" i="1"/>
  <c r="B34376" i="1"/>
  <c r="A34377" i="1"/>
  <c r="B34377" i="1"/>
  <c r="A34378" i="1"/>
  <c r="B34378" i="1"/>
  <c r="A34379" i="1"/>
  <c r="B34379" i="1"/>
  <c r="A34380" i="1"/>
  <c r="B34380" i="1"/>
  <c r="A34381" i="1"/>
  <c r="B34381" i="1"/>
  <c r="A34382" i="1"/>
  <c r="B34382" i="1"/>
  <c r="A34383" i="1"/>
  <c r="B34383" i="1"/>
  <c r="A34384" i="1"/>
  <c r="B34384" i="1"/>
  <c r="A34385" i="1"/>
  <c r="B34385" i="1"/>
  <c r="A34386" i="1"/>
  <c r="B34386" i="1"/>
  <c r="A34387" i="1"/>
  <c r="B34387" i="1"/>
  <c r="A34388" i="1"/>
  <c r="B34388" i="1"/>
  <c r="A34389" i="1"/>
  <c r="B34389" i="1"/>
  <c r="A34390" i="1"/>
  <c r="B34390" i="1"/>
  <c r="A34391" i="1"/>
  <c r="B34391" i="1"/>
  <c r="A34392" i="1"/>
  <c r="B34392" i="1"/>
  <c r="A34393" i="1"/>
  <c r="B34393" i="1"/>
  <c r="A34394" i="1"/>
  <c r="B34394" i="1"/>
  <c r="A34395" i="1"/>
  <c r="B34395" i="1"/>
  <c r="A34396" i="1"/>
  <c r="B34396" i="1"/>
  <c r="A34397" i="1"/>
  <c r="B34397" i="1"/>
  <c r="A34398" i="1"/>
  <c r="B34398" i="1"/>
  <c r="A34399" i="1"/>
  <c r="B34399" i="1"/>
  <c r="A34400" i="1"/>
  <c r="B34400" i="1"/>
  <c r="A34401" i="1"/>
  <c r="B34401" i="1"/>
  <c r="A34402" i="1"/>
  <c r="B34402" i="1"/>
  <c r="A34403" i="1"/>
  <c r="B34403" i="1"/>
  <c r="A34404" i="1"/>
  <c r="B34404" i="1"/>
  <c r="A34405" i="1"/>
  <c r="B34405" i="1"/>
  <c r="A34406" i="1"/>
  <c r="B34406" i="1"/>
  <c r="A34407" i="1"/>
  <c r="B34407" i="1"/>
  <c r="A34408" i="1"/>
  <c r="B34408" i="1"/>
  <c r="A34409" i="1"/>
  <c r="B34409" i="1"/>
  <c r="A34410" i="1"/>
  <c r="B34410" i="1"/>
  <c r="A34411" i="1"/>
  <c r="B34411" i="1"/>
  <c r="A34412" i="1"/>
  <c r="B34412" i="1"/>
  <c r="A34413" i="1"/>
  <c r="B34413" i="1"/>
  <c r="A34414" i="1"/>
  <c r="B34414" i="1"/>
  <c r="A34415" i="1"/>
  <c r="B34415" i="1"/>
  <c r="A34416" i="1"/>
  <c r="B34416" i="1"/>
  <c r="A34417" i="1"/>
  <c r="B34417" i="1"/>
  <c r="A34418" i="1"/>
  <c r="B34418" i="1"/>
  <c r="A34419" i="1"/>
  <c r="B34419" i="1"/>
  <c r="A34420" i="1"/>
  <c r="B34420" i="1"/>
  <c r="A34421" i="1"/>
  <c r="B34421" i="1"/>
  <c r="A34422" i="1"/>
  <c r="B34422" i="1"/>
  <c r="A34423" i="1"/>
  <c r="B34423" i="1"/>
  <c r="A34424" i="1"/>
  <c r="B34424" i="1"/>
  <c r="A34425" i="1"/>
  <c r="B34425" i="1"/>
  <c r="A34426" i="1"/>
  <c r="B34426" i="1"/>
  <c r="A34427" i="1"/>
  <c r="B34427" i="1"/>
  <c r="A34428" i="1"/>
  <c r="B34428" i="1"/>
  <c r="A34429" i="1"/>
  <c r="B34429" i="1"/>
  <c r="A34430" i="1"/>
  <c r="B34430" i="1"/>
  <c r="A34431" i="1"/>
  <c r="B34431" i="1"/>
  <c r="A34432" i="1"/>
  <c r="B34432" i="1"/>
  <c r="A34433" i="1"/>
  <c r="B34433" i="1"/>
  <c r="A34434" i="1"/>
  <c r="B34434" i="1"/>
  <c r="A34435" i="1"/>
  <c r="B34435" i="1"/>
  <c r="A34436" i="1"/>
  <c r="B34436" i="1"/>
  <c r="A34437" i="1"/>
  <c r="B34437" i="1"/>
  <c r="A34438" i="1"/>
  <c r="B34438" i="1"/>
  <c r="A34439" i="1"/>
  <c r="B34439" i="1"/>
  <c r="A34440" i="1"/>
  <c r="B34440" i="1"/>
  <c r="A34441" i="1"/>
  <c r="B34441" i="1"/>
  <c r="A34442" i="1"/>
  <c r="B34442" i="1"/>
  <c r="A34443" i="1"/>
  <c r="B34443" i="1"/>
  <c r="A34444" i="1"/>
  <c r="B34444" i="1"/>
  <c r="A34445" i="1"/>
  <c r="B34445" i="1"/>
  <c r="A34446" i="1"/>
  <c r="B34446" i="1"/>
  <c r="A34447" i="1"/>
  <c r="B34447" i="1"/>
  <c r="A34448" i="1"/>
  <c r="B34448" i="1"/>
  <c r="A34449" i="1"/>
  <c r="B34449" i="1"/>
  <c r="A34450" i="1"/>
  <c r="B34450" i="1"/>
  <c r="A34451" i="1"/>
  <c r="B34451" i="1"/>
  <c r="A34452" i="1"/>
  <c r="B34452" i="1"/>
  <c r="A34453" i="1"/>
  <c r="B34453" i="1"/>
  <c r="A34454" i="1"/>
  <c r="B34454" i="1"/>
  <c r="A34455" i="1"/>
  <c r="B34455" i="1"/>
  <c r="A34456" i="1"/>
  <c r="B34456" i="1"/>
  <c r="A34457" i="1"/>
  <c r="B34457" i="1"/>
  <c r="A34458" i="1"/>
  <c r="B34458" i="1"/>
  <c r="A34459" i="1"/>
  <c r="B34459" i="1"/>
  <c r="A34460" i="1"/>
  <c r="B34460" i="1"/>
  <c r="A34461" i="1"/>
  <c r="B34461" i="1"/>
  <c r="A34462" i="1"/>
  <c r="B34462" i="1"/>
  <c r="A34463" i="1"/>
  <c r="B34463" i="1"/>
  <c r="A34464" i="1"/>
  <c r="B34464" i="1"/>
  <c r="A34465" i="1"/>
  <c r="B34465" i="1"/>
  <c r="A34466" i="1"/>
  <c r="B34466" i="1"/>
  <c r="A34467" i="1"/>
  <c r="B34467" i="1"/>
  <c r="A34468" i="1"/>
  <c r="B34468" i="1"/>
  <c r="A34469" i="1"/>
  <c r="B34469" i="1"/>
  <c r="A34470" i="1"/>
  <c r="B34470" i="1"/>
  <c r="A34471" i="1"/>
  <c r="B34471" i="1"/>
  <c r="A34472" i="1"/>
  <c r="B34472" i="1"/>
  <c r="A34473" i="1"/>
  <c r="B34473" i="1"/>
  <c r="A34474" i="1"/>
  <c r="B34474" i="1"/>
  <c r="A34475" i="1"/>
  <c r="B34475" i="1"/>
  <c r="A34476" i="1"/>
  <c r="B34476" i="1"/>
  <c r="A34477" i="1"/>
  <c r="B34477" i="1"/>
  <c r="A34478" i="1"/>
  <c r="B34478" i="1"/>
  <c r="A34479" i="1"/>
  <c r="B34479" i="1"/>
  <c r="A34480" i="1"/>
  <c r="B34480" i="1"/>
  <c r="A34481" i="1"/>
  <c r="B34481" i="1"/>
  <c r="A34482" i="1"/>
  <c r="B34482" i="1"/>
  <c r="A34483" i="1"/>
  <c r="B34483" i="1"/>
  <c r="A34484" i="1"/>
  <c r="B34484" i="1"/>
  <c r="A34485" i="1"/>
  <c r="B34485" i="1"/>
  <c r="A34486" i="1"/>
  <c r="B34486" i="1"/>
  <c r="A34487" i="1"/>
  <c r="B34487" i="1"/>
  <c r="A34488" i="1"/>
  <c r="B34488" i="1"/>
  <c r="A34489" i="1"/>
  <c r="B34489" i="1"/>
  <c r="A34490" i="1"/>
  <c r="B34490" i="1"/>
  <c r="A34491" i="1"/>
  <c r="B34491" i="1"/>
  <c r="A34492" i="1"/>
  <c r="B34492" i="1"/>
  <c r="A34493" i="1"/>
  <c r="B34493" i="1"/>
  <c r="A34494" i="1"/>
  <c r="B34494" i="1"/>
  <c r="A34495" i="1"/>
  <c r="B34495" i="1"/>
  <c r="A34496" i="1"/>
  <c r="B34496" i="1"/>
  <c r="A34497" i="1"/>
  <c r="B34497" i="1"/>
  <c r="A34498" i="1"/>
  <c r="B34498" i="1"/>
  <c r="A34499" i="1"/>
  <c r="B34499" i="1"/>
  <c r="A34500" i="1"/>
  <c r="B34500" i="1"/>
  <c r="A34501" i="1"/>
  <c r="B34501" i="1"/>
  <c r="A34502" i="1"/>
  <c r="B34502" i="1"/>
  <c r="A34503" i="1"/>
  <c r="B34503" i="1"/>
  <c r="A34504" i="1"/>
  <c r="B34504" i="1"/>
  <c r="A34505" i="1"/>
  <c r="B34505" i="1"/>
  <c r="A34506" i="1"/>
  <c r="B34506" i="1"/>
  <c r="A34507" i="1"/>
  <c r="B34507" i="1"/>
  <c r="A34508" i="1"/>
  <c r="B34508" i="1"/>
  <c r="A34509" i="1"/>
  <c r="B34509" i="1"/>
  <c r="A34510" i="1"/>
  <c r="B34510" i="1"/>
  <c r="A34511" i="1"/>
  <c r="B34511" i="1"/>
  <c r="A34512" i="1"/>
  <c r="B34512" i="1"/>
  <c r="A34513" i="1"/>
  <c r="B34513" i="1"/>
  <c r="A34514" i="1"/>
  <c r="B34514" i="1"/>
  <c r="A34515" i="1"/>
  <c r="B34515" i="1"/>
  <c r="A34516" i="1"/>
  <c r="B34516" i="1"/>
  <c r="A34517" i="1"/>
  <c r="B34517" i="1"/>
  <c r="A34518" i="1"/>
  <c r="B34518" i="1"/>
  <c r="A34519" i="1"/>
  <c r="B34519" i="1"/>
  <c r="A34520" i="1"/>
  <c r="B34520" i="1"/>
  <c r="A34521" i="1"/>
  <c r="B34521" i="1"/>
  <c r="A34522" i="1"/>
  <c r="B34522" i="1"/>
  <c r="A34523" i="1"/>
  <c r="B34523" i="1"/>
  <c r="A34524" i="1"/>
  <c r="B34524" i="1"/>
  <c r="A34525" i="1"/>
  <c r="B34525" i="1"/>
  <c r="A34526" i="1"/>
  <c r="B34526" i="1"/>
  <c r="A34527" i="1"/>
  <c r="B34527" i="1"/>
  <c r="A34528" i="1"/>
  <c r="B34528" i="1"/>
  <c r="A34529" i="1"/>
  <c r="B34529" i="1"/>
  <c r="A34530" i="1"/>
  <c r="B34530" i="1"/>
  <c r="A34531" i="1"/>
  <c r="B34531" i="1"/>
  <c r="A34532" i="1"/>
  <c r="B34532" i="1"/>
  <c r="A34533" i="1"/>
  <c r="B34533" i="1"/>
  <c r="A34534" i="1"/>
  <c r="B34534" i="1"/>
  <c r="A34535" i="1"/>
  <c r="B34535" i="1"/>
  <c r="A34536" i="1"/>
  <c r="B34536" i="1"/>
  <c r="A34537" i="1"/>
  <c r="B34537" i="1"/>
  <c r="A34538" i="1"/>
  <c r="B34538" i="1"/>
  <c r="A34539" i="1"/>
  <c r="B34539" i="1"/>
  <c r="A34540" i="1"/>
  <c r="B34540" i="1"/>
  <c r="A34541" i="1"/>
  <c r="B34541" i="1"/>
  <c r="A34542" i="1"/>
  <c r="B34542" i="1"/>
  <c r="A34543" i="1"/>
  <c r="B34543" i="1"/>
  <c r="A34544" i="1"/>
  <c r="B34544" i="1"/>
  <c r="A34545" i="1"/>
  <c r="B34545" i="1"/>
  <c r="A34546" i="1"/>
  <c r="B34546" i="1"/>
  <c r="A34547" i="1"/>
  <c r="B34547" i="1"/>
  <c r="A34548" i="1"/>
  <c r="B34548" i="1"/>
  <c r="A34549" i="1"/>
  <c r="B34549" i="1"/>
  <c r="A34550" i="1"/>
  <c r="B34550" i="1"/>
  <c r="A34551" i="1"/>
  <c r="B34551" i="1"/>
  <c r="A34552" i="1"/>
  <c r="B34552" i="1"/>
  <c r="A34553" i="1"/>
  <c r="B34553" i="1"/>
  <c r="A34554" i="1"/>
  <c r="B34554" i="1"/>
  <c r="A34555" i="1"/>
  <c r="B34555" i="1"/>
  <c r="A34556" i="1"/>
  <c r="B34556" i="1"/>
  <c r="A34557" i="1"/>
  <c r="B34557" i="1"/>
  <c r="A34558" i="1"/>
  <c r="B34558" i="1"/>
  <c r="A34559" i="1"/>
  <c r="B34559" i="1"/>
  <c r="A34560" i="1"/>
  <c r="B34560" i="1"/>
  <c r="A34561" i="1"/>
  <c r="B34561" i="1"/>
  <c r="A34562" i="1"/>
  <c r="B34562" i="1"/>
  <c r="A34563" i="1"/>
  <c r="B34563" i="1"/>
  <c r="A34564" i="1"/>
  <c r="B34564" i="1"/>
  <c r="A34565" i="1"/>
  <c r="B34565" i="1"/>
  <c r="A34566" i="1"/>
  <c r="B34566" i="1"/>
  <c r="A34567" i="1"/>
  <c r="B34567" i="1"/>
  <c r="A34568" i="1"/>
  <c r="B34568" i="1"/>
  <c r="A34569" i="1"/>
  <c r="B34569" i="1"/>
  <c r="A34570" i="1"/>
  <c r="B34570" i="1"/>
  <c r="A34571" i="1"/>
  <c r="B34571" i="1"/>
  <c r="A34572" i="1"/>
  <c r="B34572" i="1"/>
  <c r="A34573" i="1"/>
  <c r="B34573" i="1"/>
  <c r="A34574" i="1"/>
  <c r="B34574" i="1"/>
  <c r="A34575" i="1"/>
  <c r="B34575" i="1"/>
  <c r="A34576" i="1"/>
  <c r="B34576" i="1"/>
  <c r="A34577" i="1"/>
  <c r="B34577" i="1"/>
  <c r="A34578" i="1"/>
  <c r="B34578" i="1"/>
  <c r="A34579" i="1"/>
  <c r="B34579" i="1"/>
  <c r="A34580" i="1"/>
  <c r="B34580" i="1"/>
  <c r="A34581" i="1"/>
  <c r="B34581" i="1"/>
  <c r="A34582" i="1"/>
  <c r="B34582" i="1"/>
  <c r="A34583" i="1"/>
  <c r="B34583" i="1"/>
  <c r="A34584" i="1"/>
  <c r="B34584" i="1"/>
  <c r="A34585" i="1"/>
  <c r="B34585" i="1"/>
  <c r="A34586" i="1"/>
  <c r="B34586" i="1"/>
  <c r="A34587" i="1"/>
  <c r="B34587" i="1"/>
  <c r="A34588" i="1"/>
  <c r="B34588" i="1"/>
  <c r="A34589" i="1"/>
  <c r="B34589" i="1"/>
  <c r="A34590" i="1"/>
  <c r="B34590" i="1"/>
  <c r="A34591" i="1"/>
  <c r="B34591" i="1"/>
  <c r="A34592" i="1"/>
  <c r="B34592" i="1"/>
  <c r="A34593" i="1"/>
  <c r="B34593" i="1"/>
  <c r="A34594" i="1"/>
  <c r="B34594" i="1"/>
  <c r="A34595" i="1"/>
  <c r="B34595" i="1"/>
  <c r="A34596" i="1"/>
  <c r="B34596" i="1"/>
  <c r="A34597" i="1"/>
  <c r="B34597" i="1"/>
  <c r="A34598" i="1"/>
  <c r="B34598" i="1"/>
  <c r="A34599" i="1"/>
  <c r="B34599" i="1"/>
  <c r="A34600" i="1"/>
  <c r="B34600" i="1"/>
  <c r="A34601" i="1"/>
  <c r="B34601" i="1"/>
  <c r="A34602" i="1"/>
  <c r="B34602" i="1"/>
  <c r="A34603" i="1"/>
  <c r="B34603" i="1"/>
  <c r="A34604" i="1"/>
  <c r="B34604" i="1"/>
  <c r="A34605" i="1"/>
  <c r="B34605" i="1"/>
  <c r="A34606" i="1"/>
  <c r="B34606" i="1"/>
  <c r="A34607" i="1"/>
  <c r="B34607" i="1"/>
  <c r="A34608" i="1"/>
  <c r="B34608" i="1"/>
  <c r="A34609" i="1"/>
  <c r="B34609" i="1"/>
  <c r="A34610" i="1"/>
  <c r="B34610" i="1"/>
  <c r="A34611" i="1"/>
  <c r="B34611" i="1"/>
  <c r="A34612" i="1"/>
  <c r="B34612" i="1"/>
  <c r="A34613" i="1"/>
  <c r="B34613" i="1"/>
  <c r="A34614" i="1"/>
  <c r="B34614" i="1"/>
  <c r="A34615" i="1"/>
  <c r="B34615" i="1"/>
  <c r="A34616" i="1"/>
  <c r="B34616" i="1"/>
  <c r="A34617" i="1"/>
  <c r="B34617" i="1"/>
  <c r="A34618" i="1"/>
  <c r="B34618" i="1"/>
  <c r="A34619" i="1"/>
  <c r="B34619" i="1"/>
  <c r="A34620" i="1"/>
  <c r="B34620" i="1"/>
  <c r="A34621" i="1"/>
  <c r="B34621" i="1"/>
  <c r="A34622" i="1"/>
  <c r="B34622" i="1"/>
  <c r="A34623" i="1"/>
  <c r="B34623" i="1"/>
  <c r="A34624" i="1"/>
  <c r="B34624" i="1"/>
  <c r="A34625" i="1"/>
  <c r="B34625" i="1"/>
  <c r="A34626" i="1"/>
  <c r="B34626" i="1"/>
  <c r="A34627" i="1"/>
  <c r="B34627" i="1"/>
  <c r="A34628" i="1"/>
  <c r="B34628" i="1"/>
  <c r="A34629" i="1"/>
  <c r="B34629" i="1"/>
  <c r="A34630" i="1"/>
  <c r="B34630" i="1"/>
  <c r="A34631" i="1"/>
  <c r="B34631" i="1"/>
  <c r="A34632" i="1"/>
  <c r="B34632" i="1"/>
  <c r="A34633" i="1"/>
  <c r="B34633" i="1"/>
  <c r="A34634" i="1"/>
  <c r="B34634" i="1"/>
  <c r="A34635" i="1"/>
  <c r="B34635" i="1"/>
  <c r="A34636" i="1"/>
  <c r="B34636" i="1"/>
  <c r="A34637" i="1"/>
  <c r="B34637" i="1"/>
  <c r="A34638" i="1"/>
  <c r="B34638" i="1"/>
  <c r="A34639" i="1"/>
  <c r="B34639" i="1"/>
  <c r="A34640" i="1"/>
  <c r="B34640" i="1"/>
  <c r="A34641" i="1"/>
  <c r="B34641" i="1"/>
  <c r="A34642" i="1"/>
  <c r="B34642" i="1"/>
  <c r="A34643" i="1"/>
  <c r="B34643" i="1"/>
  <c r="A34644" i="1"/>
  <c r="B34644" i="1"/>
  <c r="A34645" i="1"/>
  <c r="B34645" i="1"/>
  <c r="A34646" i="1"/>
  <c r="B34646" i="1"/>
  <c r="A34647" i="1"/>
  <c r="B34647" i="1"/>
  <c r="A34648" i="1"/>
  <c r="B34648" i="1"/>
  <c r="A34649" i="1"/>
  <c r="B34649" i="1"/>
  <c r="A34650" i="1"/>
  <c r="B34650" i="1"/>
  <c r="A34651" i="1"/>
  <c r="B34651" i="1"/>
  <c r="A34652" i="1"/>
  <c r="B34652" i="1"/>
  <c r="A34653" i="1"/>
  <c r="B34653" i="1"/>
  <c r="A34654" i="1"/>
  <c r="B34654" i="1"/>
  <c r="A34655" i="1"/>
  <c r="B34655" i="1"/>
  <c r="A34656" i="1"/>
  <c r="B34656" i="1"/>
  <c r="A34657" i="1"/>
  <c r="B34657" i="1"/>
  <c r="A34658" i="1"/>
  <c r="B34658" i="1"/>
  <c r="A34659" i="1"/>
  <c r="B34659" i="1"/>
  <c r="A34660" i="1"/>
  <c r="B34660" i="1"/>
  <c r="A34661" i="1"/>
  <c r="B34661" i="1"/>
  <c r="A34662" i="1"/>
  <c r="B34662" i="1"/>
  <c r="A34663" i="1"/>
  <c r="B34663" i="1"/>
  <c r="A34664" i="1"/>
  <c r="B34664" i="1"/>
  <c r="A34665" i="1"/>
  <c r="B34665" i="1"/>
  <c r="A34666" i="1"/>
  <c r="B34666" i="1"/>
  <c r="A34667" i="1"/>
  <c r="B34667" i="1"/>
  <c r="A34668" i="1"/>
  <c r="B34668" i="1"/>
  <c r="A34669" i="1"/>
  <c r="B34669" i="1"/>
  <c r="A34670" i="1"/>
  <c r="B34670" i="1"/>
  <c r="A34671" i="1"/>
  <c r="B34671" i="1"/>
  <c r="A34672" i="1"/>
  <c r="B34672" i="1"/>
  <c r="A34673" i="1"/>
  <c r="B34673" i="1"/>
  <c r="A34674" i="1"/>
  <c r="B34674" i="1"/>
  <c r="A34675" i="1"/>
  <c r="B34675" i="1"/>
  <c r="A34676" i="1"/>
  <c r="B34676" i="1"/>
  <c r="A34677" i="1"/>
  <c r="B34677" i="1"/>
  <c r="A34678" i="1"/>
  <c r="B34678" i="1"/>
  <c r="A34679" i="1"/>
  <c r="B34679" i="1"/>
  <c r="A34680" i="1"/>
  <c r="B34680" i="1"/>
  <c r="A34681" i="1"/>
  <c r="B34681" i="1"/>
  <c r="A34682" i="1"/>
  <c r="B34682" i="1"/>
  <c r="A34683" i="1"/>
  <c r="B34683" i="1"/>
  <c r="A34684" i="1"/>
  <c r="B34684" i="1"/>
  <c r="A34685" i="1"/>
  <c r="B34685" i="1"/>
  <c r="A34686" i="1"/>
  <c r="B34686" i="1"/>
  <c r="A34687" i="1"/>
  <c r="B34687" i="1"/>
  <c r="A34688" i="1"/>
  <c r="B34688" i="1"/>
  <c r="A34689" i="1"/>
  <c r="B34689" i="1"/>
  <c r="A34690" i="1"/>
  <c r="B34690" i="1"/>
  <c r="A34691" i="1"/>
  <c r="B34691" i="1"/>
  <c r="A34692" i="1"/>
  <c r="B34692" i="1"/>
  <c r="A34693" i="1"/>
  <c r="B34693" i="1"/>
  <c r="A34694" i="1"/>
  <c r="B34694" i="1"/>
  <c r="A34695" i="1"/>
  <c r="B34695" i="1"/>
  <c r="A34696" i="1"/>
  <c r="B34696" i="1"/>
  <c r="A34697" i="1"/>
  <c r="B34697" i="1"/>
  <c r="A34698" i="1"/>
  <c r="B34698" i="1"/>
  <c r="A34699" i="1"/>
  <c r="B34699" i="1"/>
  <c r="A34700" i="1"/>
  <c r="B34700" i="1"/>
  <c r="A34701" i="1"/>
  <c r="B34701" i="1"/>
  <c r="A34702" i="1"/>
  <c r="B34702" i="1"/>
  <c r="A34703" i="1"/>
  <c r="B34703" i="1"/>
  <c r="A34704" i="1"/>
  <c r="B34704" i="1"/>
  <c r="A34705" i="1"/>
  <c r="B34705" i="1"/>
  <c r="A34706" i="1"/>
  <c r="B34706" i="1"/>
  <c r="A34707" i="1"/>
  <c r="B34707" i="1"/>
  <c r="A34708" i="1"/>
  <c r="B34708" i="1"/>
  <c r="A34709" i="1"/>
  <c r="B34709" i="1"/>
  <c r="A34710" i="1"/>
  <c r="B34710" i="1"/>
  <c r="A34711" i="1"/>
  <c r="B34711" i="1"/>
  <c r="A34712" i="1"/>
  <c r="B34712" i="1"/>
  <c r="A34713" i="1"/>
  <c r="B34713" i="1"/>
  <c r="A34714" i="1"/>
  <c r="B34714" i="1"/>
  <c r="A34715" i="1"/>
  <c r="B34715" i="1"/>
  <c r="A34716" i="1"/>
  <c r="B34716" i="1"/>
  <c r="A34717" i="1"/>
  <c r="B34717" i="1"/>
  <c r="A34718" i="1"/>
  <c r="B34718" i="1"/>
  <c r="A34719" i="1"/>
  <c r="B34719" i="1"/>
  <c r="A34720" i="1"/>
  <c r="B34720" i="1"/>
  <c r="A34721" i="1"/>
  <c r="B34721" i="1"/>
  <c r="A34722" i="1"/>
  <c r="B34722" i="1"/>
  <c r="A34723" i="1"/>
  <c r="B34723" i="1"/>
  <c r="A34724" i="1"/>
  <c r="B34724" i="1"/>
  <c r="A34725" i="1"/>
  <c r="B34725" i="1"/>
  <c r="A34726" i="1"/>
  <c r="B34726" i="1"/>
  <c r="A34727" i="1"/>
  <c r="B34727" i="1"/>
  <c r="A34728" i="1"/>
  <c r="B34728" i="1"/>
  <c r="A34729" i="1"/>
  <c r="B34729" i="1"/>
  <c r="A34730" i="1"/>
  <c r="B34730" i="1"/>
  <c r="A34731" i="1"/>
  <c r="B34731" i="1"/>
  <c r="A34732" i="1"/>
  <c r="B34732" i="1"/>
  <c r="A34733" i="1"/>
  <c r="B34733" i="1"/>
  <c r="A34734" i="1"/>
  <c r="B34734" i="1"/>
  <c r="A34735" i="1"/>
  <c r="B34735" i="1"/>
  <c r="A34736" i="1"/>
  <c r="B34736" i="1"/>
  <c r="A34737" i="1"/>
  <c r="B34737" i="1"/>
  <c r="A34738" i="1"/>
  <c r="B34738" i="1"/>
  <c r="A34739" i="1"/>
  <c r="B34739" i="1"/>
  <c r="A34740" i="1"/>
  <c r="B34740" i="1"/>
  <c r="A34741" i="1"/>
  <c r="B34741" i="1"/>
  <c r="A34742" i="1"/>
  <c r="B34742" i="1"/>
  <c r="A34743" i="1"/>
  <c r="B34743" i="1"/>
  <c r="A34744" i="1"/>
  <c r="B34744" i="1"/>
  <c r="A34745" i="1"/>
  <c r="B34745" i="1"/>
  <c r="A34746" i="1"/>
  <c r="B34746" i="1"/>
  <c r="A34747" i="1"/>
  <c r="B34747" i="1"/>
  <c r="A34748" i="1"/>
  <c r="B34748" i="1"/>
  <c r="A34749" i="1"/>
  <c r="B34749" i="1"/>
  <c r="A34750" i="1"/>
  <c r="B34750" i="1"/>
  <c r="A34751" i="1"/>
  <c r="B34751" i="1"/>
  <c r="A34752" i="1"/>
  <c r="B34752" i="1"/>
  <c r="A34753" i="1"/>
  <c r="B34753" i="1"/>
  <c r="A34754" i="1"/>
  <c r="B34754" i="1"/>
  <c r="A34755" i="1"/>
  <c r="B34755" i="1"/>
  <c r="A34756" i="1"/>
  <c r="B34756" i="1"/>
  <c r="A34757" i="1"/>
  <c r="B34757" i="1"/>
  <c r="A34758" i="1"/>
  <c r="B34758" i="1"/>
  <c r="A34759" i="1"/>
  <c r="B34759" i="1"/>
  <c r="A34760" i="1"/>
  <c r="B34760" i="1"/>
  <c r="A34761" i="1"/>
  <c r="B34761" i="1"/>
  <c r="A34762" i="1"/>
  <c r="B34762" i="1"/>
  <c r="A34763" i="1"/>
  <c r="B34763" i="1"/>
  <c r="A34764" i="1"/>
  <c r="B34764" i="1"/>
  <c r="A34765" i="1"/>
  <c r="B34765" i="1"/>
  <c r="A34766" i="1"/>
  <c r="B34766" i="1"/>
  <c r="A34767" i="1"/>
  <c r="B34767" i="1"/>
  <c r="A34768" i="1"/>
  <c r="B34768" i="1"/>
  <c r="A34769" i="1"/>
  <c r="B34769" i="1"/>
  <c r="A34770" i="1"/>
  <c r="B34770" i="1"/>
  <c r="A34771" i="1"/>
  <c r="B34771" i="1"/>
  <c r="A34772" i="1"/>
  <c r="B34772" i="1"/>
  <c r="A34773" i="1"/>
  <c r="B34773" i="1"/>
  <c r="A34774" i="1"/>
  <c r="B34774" i="1"/>
  <c r="A34775" i="1"/>
  <c r="B34775" i="1"/>
  <c r="A34776" i="1"/>
  <c r="B34776" i="1"/>
  <c r="A34777" i="1"/>
  <c r="B34777" i="1"/>
  <c r="A34778" i="1"/>
  <c r="B34778" i="1"/>
  <c r="A34779" i="1"/>
  <c r="B34779" i="1"/>
  <c r="A34780" i="1"/>
  <c r="B34780" i="1"/>
  <c r="A34781" i="1"/>
  <c r="B34781" i="1"/>
  <c r="A34782" i="1"/>
  <c r="B34782" i="1"/>
  <c r="A34783" i="1"/>
  <c r="B34783" i="1"/>
  <c r="A34784" i="1"/>
  <c r="B34784" i="1"/>
  <c r="A34785" i="1"/>
  <c r="B34785" i="1"/>
  <c r="A34786" i="1"/>
  <c r="B34786" i="1"/>
  <c r="A34787" i="1"/>
  <c r="B34787" i="1"/>
  <c r="A34788" i="1"/>
  <c r="B34788" i="1"/>
  <c r="A34789" i="1"/>
  <c r="B34789" i="1"/>
  <c r="A34790" i="1"/>
  <c r="B34790" i="1"/>
  <c r="A34791" i="1"/>
  <c r="B34791" i="1"/>
  <c r="A34792" i="1"/>
  <c r="B34792" i="1"/>
  <c r="A34793" i="1"/>
  <c r="B34793" i="1"/>
  <c r="A34794" i="1"/>
  <c r="B34794" i="1"/>
  <c r="A34795" i="1"/>
  <c r="B34795" i="1"/>
  <c r="A34796" i="1"/>
  <c r="B34796" i="1"/>
  <c r="A34797" i="1"/>
  <c r="B34797" i="1"/>
  <c r="A34798" i="1"/>
  <c r="B34798" i="1"/>
  <c r="A34799" i="1"/>
  <c r="B34799" i="1"/>
  <c r="A34800" i="1"/>
  <c r="B34800" i="1"/>
  <c r="A34801" i="1"/>
  <c r="B34801" i="1"/>
  <c r="A34802" i="1"/>
  <c r="B34802" i="1"/>
  <c r="A34803" i="1"/>
  <c r="B34803" i="1"/>
  <c r="A34804" i="1"/>
  <c r="B34804" i="1"/>
  <c r="A34805" i="1"/>
  <c r="B34805" i="1"/>
  <c r="A34806" i="1"/>
  <c r="B34806" i="1"/>
  <c r="A34807" i="1"/>
  <c r="B34807" i="1"/>
  <c r="A34808" i="1"/>
  <c r="B34808" i="1"/>
  <c r="A34809" i="1"/>
  <c r="B34809" i="1"/>
  <c r="A34810" i="1"/>
  <c r="B34810" i="1"/>
  <c r="A34811" i="1"/>
  <c r="B34811" i="1"/>
  <c r="A34812" i="1"/>
  <c r="B34812" i="1"/>
  <c r="A34813" i="1"/>
  <c r="B34813" i="1"/>
  <c r="A34814" i="1"/>
  <c r="B34814" i="1"/>
  <c r="A34815" i="1"/>
  <c r="B34815" i="1"/>
  <c r="A34816" i="1"/>
  <c r="B34816" i="1"/>
  <c r="A34817" i="1"/>
  <c r="B34817" i="1"/>
  <c r="A34818" i="1"/>
  <c r="B34818" i="1"/>
  <c r="A34819" i="1"/>
  <c r="B34819" i="1"/>
  <c r="A34820" i="1"/>
  <c r="B34820" i="1"/>
  <c r="A34821" i="1"/>
  <c r="B34821" i="1"/>
  <c r="A34822" i="1"/>
  <c r="B34822" i="1"/>
  <c r="A34823" i="1"/>
  <c r="B34823" i="1"/>
  <c r="A34824" i="1"/>
  <c r="B34824" i="1"/>
  <c r="A34825" i="1"/>
  <c r="B34825" i="1"/>
  <c r="A34826" i="1"/>
  <c r="B34826" i="1"/>
  <c r="A34827" i="1"/>
  <c r="B34827" i="1"/>
  <c r="A34828" i="1"/>
  <c r="B34828" i="1"/>
  <c r="A34829" i="1"/>
  <c r="B34829" i="1"/>
  <c r="A34830" i="1"/>
  <c r="B34830" i="1"/>
  <c r="A34831" i="1"/>
  <c r="B34831" i="1"/>
  <c r="A34832" i="1"/>
  <c r="B34832" i="1"/>
  <c r="A34833" i="1"/>
  <c r="B34833" i="1"/>
  <c r="A34834" i="1"/>
  <c r="B34834" i="1"/>
  <c r="A34835" i="1"/>
  <c r="B34835" i="1"/>
  <c r="A34836" i="1"/>
  <c r="B34836" i="1"/>
  <c r="A34837" i="1"/>
  <c r="B34837" i="1"/>
  <c r="A34838" i="1"/>
  <c r="B34838" i="1"/>
  <c r="A34839" i="1"/>
  <c r="B34839" i="1"/>
  <c r="A34840" i="1"/>
  <c r="B34840" i="1"/>
  <c r="A34841" i="1"/>
  <c r="B34841" i="1"/>
  <c r="A34842" i="1"/>
  <c r="B34842" i="1"/>
  <c r="A34843" i="1"/>
  <c r="B34843" i="1"/>
  <c r="A34844" i="1"/>
  <c r="B34844" i="1"/>
  <c r="A34845" i="1"/>
  <c r="B34845" i="1"/>
  <c r="A34846" i="1"/>
  <c r="B34846" i="1"/>
  <c r="A34847" i="1"/>
  <c r="B34847" i="1"/>
  <c r="A34848" i="1"/>
  <c r="B34848" i="1"/>
  <c r="A34849" i="1"/>
  <c r="B34849" i="1"/>
  <c r="A34850" i="1"/>
  <c r="B34850" i="1"/>
  <c r="A34851" i="1"/>
  <c r="B34851" i="1"/>
  <c r="A34852" i="1"/>
  <c r="B34852" i="1"/>
  <c r="A34853" i="1"/>
  <c r="B34853" i="1"/>
  <c r="A34854" i="1"/>
  <c r="B34854" i="1"/>
  <c r="A34855" i="1"/>
  <c r="B34855" i="1"/>
  <c r="A34856" i="1"/>
  <c r="B34856" i="1"/>
  <c r="A34857" i="1"/>
  <c r="B34857" i="1"/>
  <c r="A34858" i="1"/>
  <c r="B34858" i="1"/>
  <c r="A34859" i="1"/>
  <c r="B34859" i="1"/>
  <c r="A34860" i="1"/>
  <c r="B34860" i="1"/>
  <c r="A34861" i="1"/>
  <c r="B34861" i="1"/>
  <c r="A34862" i="1"/>
  <c r="B34862" i="1"/>
  <c r="A34863" i="1"/>
  <c r="B34863" i="1"/>
  <c r="A34864" i="1"/>
  <c r="B34864" i="1"/>
  <c r="A34865" i="1"/>
  <c r="B34865" i="1"/>
  <c r="A34866" i="1"/>
  <c r="B34866" i="1"/>
  <c r="A34867" i="1"/>
  <c r="B34867" i="1"/>
  <c r="A34868" i="1"/>
  <c r="B34868" i="1"/>
  <c r="A34869" i="1"/>
  <c r="B34869" i="1"/>
  <c r="A34870" i="1"/>
  <c r="B34870" i="1"/>
  <c r="A34871" i="1"/>
  <c r="B34871" i="1"/>
  <c r="A34872" i="1"/>
  <c r="B34872" i="1"/>
  <c r="A34873" i="1"/>
  <c r="B34873" i="1"/>
  <c r="A34874" i="1"/>
  <c r="B34874" i="1"/>
  <c r="A34875" i="1"/>
  <c r="B34875" i="1"/>
  <c r="A34876" i="1"/>
  <c r="B34876" i="1"/>
  <c r="A34877" i="1"/>
  <c r="B34877" i="1"/>
  <c r="A34878" i="1"/>
  <c r="B34878" i="1"/>
  <c r="A34879" i="1"/>
  <c r="B34879" i="1"/>
  <c r="A34880" i="1"/>
  <c r="B34880" i="1"/>
  <c r="A34881" i="1"/>
  <c r="B34881" i="1"/>
  <c r="A34882" i="1"/>
  <c r="B34882" i="1"/>
  <c r="A34883" i="1"/>
  <c r="B34883" i="1"/>
  <c r="A34884" i="1"/>
  <c r="B34884" i="1"/>
  <c r="A34885" i="1"/>
  <c r="B34885" i="1"/>
  <c r="A34886" i="1"/>
  <c r="B34886" i="1"/>
  <c r="A34887" i="1"/>
  <c r="B34887" i="1"/>
  <c r="A34888" i="1"/>
  <c r="B34888" i="1"/>
  <c r="A34889" i="1"/>
  <c r="B34889" i="1"/>
  <c r="A34890" i="1"/>
  <c r="B34890" i="1"/>
  <c r="A34891" i="1"/>
  <c r="B34891" i="1"/>
  <c r="A34892" i="1"/>
  <c r="B34892" i="1"/>
  <c r="A34893" i="1"/>
  <c r="B34893" i="1"/>
  <c r="A34894" i="1"/>
  <c r="B34894" i="1"/>
  <c r="A34895" i="1"/>
  <c r="B34895" i="1"/>
  <c r="A34896" i="1"/>
  <c r="B34896" i="1"/>
  <c r="A34897" i="1"/>
  <c r="B34897" i="1"/>
  <c r="A34898" i="1"/>
  <c r="B34898" i="1"/>
  <c r="A34899" i="1"/>
  <c r="B34899" i="1"/>
  <c r="A34900" i="1"/>
  <c r="B34900" i="1"/>
  <c r="A34901" i="1"/>
  <c r="B34901" i="1"/>
  <c r="A34902" i="1"/>
  <c r="B34902" i="1"/>
  <c r="A34903" i="1"/>
  <c r="B34903" i="1"/>
  <c r="A34904" i="1"/>
  <c r="B34904" i="1"/>
  <c r="A34905" i="1"/>
  <c r="B34905" i="1"/>
  <c r="A34906" i="1"/>
  <c r="B34906" i="1"/>
  <c r="A34907" i="1"/>
  <c r="B34907" i="1"/>
  <c r="A34908" i="1"/>
  <c r="B34908" i="1"/>
  <c r="A34909" i="1"/>
  <c r="B34909" i="1"/>
  <c r="A34910" i="1"/>
  <c r="B34910" i="1"/>
  <c r="A34911" i="1"/>
  <c r="B34911" i="1"/>
  <c r="A34912" i="1"/>
  <c r="B34912" i="1"/>
  <c r="A34913" i="1"/>
  <c r="B34913" i="1"/>
  <c r="A34914" i="1"/>
  <c r="B34914" i="1"/>
  <c r="A34915" i="1"/>
  <c r="B34915" i="1"/>
  <c r="A34916" i="1"/>
  <c r="B34916" i="1"/>
  <c r="A34917" i="1"/>
  <c r="B34917" i="1"/>
  <c r="A34918" i="1"/>
  <c r="B34918" i="1"/>
  <c r="A34919" i="1"/>
  <c r="B34919" i="1"/>
  <c r="A34920" i="1"/>
  <c r="B34920" i="1"/>
  <c r="A34921" i="1"/>
  <c r="B34921" i="1"/>
  <c r="A34922" i="1"/>
  <c r="B34922" i="1"/>
  <c r="A34923" i="1"/>
  <c r="B34923" i="1"/>
  <c r="A34924" i="1"/>
  <c r="B34924" i="1"/>
  <c r="A34925" i="1"/>
  <c r="B34925" i="1"/>
  <c r="A34926" i="1"/>
  <c r="B34926" i="1"/>
  <c r="A34927" i="1"/>
  <c r="B34927" i="1"/>
  <c r="A34928" i="1"/>
  <c r="B34928" i="1"/>
  <c r="A34929" i="1"/>
  <c r="B34929" i="1"/>
  <c r="A34930" i="1"/>
  <c r="B34930" i="1"/>
  <c r="A34931" i="1"/>
  <c r="B34931" i="1"/>
  <c r="A34932" i="1"/>
  <c r="B34932" i="1"/>
  <c r="A34933" i="1"/>
  <c r="B34933" i="1"/>
  <c r="A34934" i="1"/>
  <c r="B34934" i="1"/>
  <c r="A34935" i="1"/>
  <c r="B34935" i="1"/>
  <c r="A34936" i="1"/>
  <c r="B34936" i="1"/>
  <c r="A34937" i="1"/>
  <c r="B34937" i="1"/>
  <c r="A34938" i="1"/>
  <c r="B34938" i="1"/>
  <c r="A34939" i="1"/>
  <c r="B34939" i="1"/>
  <c r="A34940" i="1"/>
  <c r="B34940" i="1"/>
  <c r="A34941" i="1"/>
  <c r="B34941" i="1"/>
  <c r="A34942" i="1"/>
  <c r="B34942" i="1"/>
  <c r="A34943" i="1"/>
  <c r="B34943" i="1"/>
  <c r="A34944" i="1"/>
  <c r="B34944" i="1"/>
  <c r="A34945" i="1"/>
  <c r="B34945" i="1"/>
  <c r="A34946" i="1"/>
  <c r="B34946" i="1"/>
  <c r="A34947" i="1"/>
  <c r="B34947" i="1"/>
  <c r="A34948" i="1"/>
  <c r="B34948" i="1"/>
  <c r="A34949" i="1"/>
  <c r="B34949" i="1"/>
  <c r="A34950" i="1"/>
  <c r="B34950" i="1"/>
  <c r="A34951" i="1"/>
  <c r="B34951" i="1"/>
  <c r="A34952" i="1"/>
  <c r="B34952" i="1"/>
  <c r="A34953" i="1"/>
  <c r="B34953" i="1"/>
  <c r="A34954" i="1"/>
  <c r="B34954" i="1"/>
  <c r="A34955" i="1"/>
  <c r="B34955" i="1"/>
  <c r="A34956" i="1"/>
  <c r="B34956" i="1"/>
  <c r="A34957" i="1"/>
  <c r="B34957" i="1"/>
  <c r="A34958" i="1"/>
  <c r="B34958" i="1"/>
  <c r="A34959" i="1"/>
  <c r="B34959" i="1"/>
  <c r="A34960" i="1"/>
  <c r="B34960" i="1"/>
  <c r="A34961" i="1"/>
  <c r="B34961" i="1"/>
  <c r="A34962" i="1"/>
  <c r="B34962" i="1"/>
  <c r="A34963" i="1"/>
  <c r="B34963" i="1"/>
  <c r="A34964" i="1"/>
  <c r="B34964" i="1"/>
  <c r="A34965" i="1"/>
  <c r="B34965" i="1"/>
  <c r="A34966" i="1"/>
  <c r="B34966" i="1"/>
  <c r="A34967" i="1"/>
  <c r="B34967" i="1"/>
  <c r="A34968" i="1"/>
  <c r="B34968" i="1"/>
  <c r="A34969" i="1"/>
  <c r="B34969" i="1"/>
  <c r="A34970" i="1"/>
  <c r="B34970" i="1"/>
  <c r="A34971" i="1"/>
  <c r="B34971" i="1"/>
  <c r="A34972" i="1"/>
  <c r="B34972" i="1"/>
  <c r="A34973" i="1"/>
  <c r="B34973" i="1"/>
  <c r="A34974" i="1"/>
  <c r="B34974" i="1"/>
  <c r="A34975" i="1"/>
  <c r="B34975" i="1"/>
  <c r="A34976" i="1"/>
  <c r="B34976" i="1"/>
  <c r="A34977" i="1"/>
  <c r="B34977" i="1"/>
  <c r="A34978" i="1"/>
  <c r="B34978" i="1"/>
  <c r="A34979" i="1"/>
  <c r="B34979" i="1"/>
  <c r="A34980" i="1"/>
  <c r="B34980" i="1"/>
  <c r="A34981" i="1"/>
  <c r="B34981" i="1"/>
  <c r="A34982" i="1"/>
  <c r="B34982" i="1"/>
  <c r="A34983" i="1"/>
  <c r="B34983" i="1"/>
  <c r="A34984" i="1"/>
  <c r="B34984" i="1"/>
  <c r="A34985" i="1"/>
  <c r="B34985" i="1"/>
  <c r="A34986" i="1"/>
  <c r="B34986" i="1"/>
  <c r="A34987" i="1"/>
  <c r="B34987" i="1"/>
  <c r="A34988" i="1"/>
  <c r="B34988" i="1"/>
  <c r="A34989" i="1"/>
  <c r="B34989" i="1"/>
  <c r="A34990" i="1"/>
  <c r="B34990" i="1"/>
  <c r="A34991" i="1"/>
  <c r="B34991" i="1"/>
  <c r="A34992" i="1"/>
  <c r="B34992" i="1"/>
  <c r="A34993" i="1"/>
  <c r="B34993" i="1"/>
  <c r="A34994" i="1"/>
  <c r="B34994" i="1"/>
  <c r="A34995" i="1"/>
  <c r="B34995" i="1"/>
  <c r="A34996" i="1"/>
  <c r="B34996" i="1"/>
  <c r="A34997" i="1"/>
  <c r="B34997" i="1"/>
  <c r="A34998" i="1"/>
  <c r="B34998" i="1"/>
  <c r="A34999" i="1"/>
  <c r="B34999" i="1"/>
  <c r="A35000" i="1"/>
  <c r="B35000" i="1"/>
  <c r="A35001" i="1"/>
  <c r="B35001" i="1"/>
  <c r="A35002" i="1"/>
  <c r="B35002" i="1"/>
  <c r="A35003" i="1"/>
  <c r="B35003" i="1"/>
  <c r="A35004" i="1"/>
  <c r="B35004" i="1"/>
  <c r="A35005" i="1"/>
  <c r="B35005" i="1"/>
  <c r="A35006" i="1"/>
  <c r="B35006" i="1"/>
  <c r="A35007" i="1"/>
  <c r="B35007" i="1"/>
  <c r="A35008" i="1"/>
  <c r="B35008" i="1"/>
  <c r="A35009" i="1"/>
  <c r="B35009" i="1"/>
  <c r="A35010" i="1"/>
  <c r="B35010" i="1"/>
  <c r="A35011" i="1"/>
  <c r="B35011" i="1"/>
  <c r="A35012" i="1"/>
  <c r="B35012" i="1"/>
  <c r="A35013" i="1"/>
  <c r="B35013" i="1"/>
  <c r="A35014" i="1"/>
  <c r="B35014" i="1"/>
  <c r="A35015" i="1"/>
  <c r="B35015" i="1"/>
  <c r="A35016" i="1"/>
  <c r="B35016" i="1"/>
  <c r="A35017" i="1"/>
  <c r="B35017" i="1"/>
  <c r="A35018" i="1"/>
  <c r="B35018" i="1"/>
  <c r="A35019" i="1"/>
  <c r="B35019" i="1"/>
  <c r="A35020" i="1"/>
  <c r="B35020" i="1"/>
  <c r="A35021" i="1"/>
  <c r="B35021" i="1"/>
  <c r="A35022" i="1"/>
  <c r="B35022" i="1"/>
  <c r="A35023" i="1"/>
  <c r="B35023" i="1"/>
  <c r="A35024" i="1"/>
  <c r="B35024" i="1"/>
  <c r="A35025" i="1"/>
  <c r="B35025" i="1"/>
  <c r="A35026" i="1"/>
  <c r="B35026" i="1"/>
  <c r="A35027" i="1"/>
  <c r="B35027" i="1"/>
  <c r="A35028" i="1"/>
  <c r="B35028" i="1"/>
  <c r="A35029" i="1"/>
  <c r="B35029" i="1"/>
  <c r="A35030" i="1"/>
  <c r="B35030" i="1"/>
  <c r="A35031" i="1"/>
  <c r="B35031" i="1"/>
  <c r="A35032" i="1"/>
  <c r="B35032" i="1"/>
  <c r="A35033" i="1"/>
  <c r="B35033" i="1"/>
  <c r="A35034" i="1"/>
  <c r="B35034" i="1"/>
  <c r="A35035" i="1"/>
  <c r="B35035" i="1"/>
  <c r="A35036" i="1"/>
  <c r="B35036" i="1"/>
  <c r="A35037" i="1"/>
  <c r="B35037" i="1"/>
  <c r="A35038" i="1"/>
  <c r="B35038" i="1"/>
  <c r="A35039" i="1"/>
  <c r="B35039" i="1"/>
  <c r="A35040" i="1"/>
  <c r="B35040" i="1"/>
  <c r="A35041" i="1"/>
  <c r="B35041" i="1"/>
  <c r="A35042" i="1"/>
  <c r="B35042" i="1"/>
  <c r="A35043" i="1"/>
  <c r="B35043" i="1"/>
  <c r="A35044" i="1"/>
  <c r="B35044" i="1"/>
  <c r="A35045" i="1"/>
  <c r="B35045" i="1"/>
  <c r="A35046" i="1"/>
  <c r="B35046" i="1"/>
  <c r="A35047" i="1"/>
  <c r="B35047" i="1"/>
  <c r="A35048" i="1"/>
  <c r="B35048" i="1"/>
  <c r="A35049" i="1"/>
  <c r="B35049" i="1"/>
  <c r="A35050" i="1"/>
  <c r="B35050" i="1"/>
  <c r="A35051" i="1"/>
  <c r="B35051" i="1"/>
  <c r="A35052" i="1"/>
  <c r="B35052" i="1"/>
  <c r="A35053" i="1"/>
  <c r="B35053" i="1"/>
  <c r="A35054" i="1"/>
  <c r="B35054" i="1"/>
  <c r="A35055" i="1"/>
  <c r="B35055" i="1"/>
  <c r="A35056" i="1"/>
  <c r="B35056" i="1"/>
  <c r="A35057" i="1"/>
  <c r="B35057" i="1"/>
  <c r="A35058" i="1"/>
  <c r="B35058" i="1"/>
  <c r="A35059" i="1"/>
  <c r="B35059" i="1"/>
  <c r="A35060" i="1"/>
  <c r="B35060" i="1"/>
  <c r="A35061" i="1"/>
  <c r="B35061" i="1"/>
  <c r="A35062" i="1"/>
  <c r="B35062" i="1"/>
  <c r="A35063" i="1"/>
  <c r="B35063" i="1"/>
  <c r="A35064" i="1"/>
  <c r="B35064" i="1"/>
  <c r="A35065" i="1"/>
  <c r="B35065" i="1"/>
  <c r="A35066" i="1"/>
  <c r="B35066" i="1"/>
  <c r="A35067" i="1"/>
  <c r="B35067" i="1"/>
  <c r="A35068" i="1"/>
  <c r="B35068" i="1"/>
  <c r="A35069" i="1"/>
  <c r="B35069" i="1"/>
  <c r="A35070" i="1"/>
  <c r="B35070" i="1"/>
  <c r="A35071" i="1"/>
  <c r="B35071" i="1"/>
  <c r="A35072" i="1"/>
  <c r="B35072" i="1"/>
  <c r="A35073" i="1"/>
  <c r="B35073" i="1"/>
  <c r="A35074" i="1"/>
  <c r="B35074" i="1"/>
  <c r="A35075" i="1"/>
  <c r="B35075" i="1"/>
  <c r="A35076" i="1"/>
  <c r="B35076" i="1"/>
  <c r="A35077" i="1"/>
  <c r="B35077" i="1"/>
  <c r="A35078" i="1"/>
  <c r="B35078" i="1"/>
  <c r="A35079" i="1"/>
  <c r="B35079" i="1"/>
  <c r="A35080" i="1"/>
  <c r="B35080" i="1"/>
  <c r="A35081" i="1"/>
  <c r="B35081" i="1"/>
  <c r="A35082" i="1"/>
  <c r="B35082" i="1"/>
  <c r="A35083" i="1"/>
  <c r="B35083" i="1"/>
  <c r="A35084" i="1"/>
  <c r="B35084" i="1"/>
  <c r="A35085" i="1"/>
  <c r="B35085" i="1"/>
  <c r="A35086" i="1"/>
  <c r="B35086" i="1"/>
  <c r="A35087" i="1"/>
  <c r="B35087" i="1"/>
  <c r="A35088" i="1"/>
  <c r="B35088" i="1"/>
  <c r="A35089" i="1"/>
  <c r="B35089" i="1"/>
  <c r="A35090" i="1"/>
  <c r="B35090" i="1"/>
  <c r="A35091" i="1"/>
  <c r="B35091" i="1"/>
  <c r="A35092" i="1"/>
  <c r="B35092" i="1"/>
  <c r="A35093" i="1"/>
  <c r="B35093" i="1"/>
  <c r="A35094" i="1"/>
  <c r="B35094" i="1"/>
  <c r="A35095" i="1"/>
  <c r="B35095" i="1"/>
  <c r="A35096" i="1"/>
  <c r="B35096" i="1"/>
  <c r="A35097" i="1"/>
  <c r="B35097" i="1"/>
  <c r="A35098" i="1"/>
  <c r="B35098" i="1"/>
  <c r="A35099" i="1"/>
  <c r="B35099" i="1"/>
  <c r="A35100" i="1"/>
  <c r="B35100" i="1"/>
  <c r="A35101" i="1"/>
  <c r="B35101" i="1"/>
  <c r="A35102" i="1"/>
  <c r="B35102" i="1"/>
  <c r="A35103" i="1"/>
  <c r="B35103" i="1"/>
  <c r="A35104" i="1"/>
  <c r="B35104" i="1"/>
  <c r="A35105" i="1"/>
  <c r="B35105" i="1"/>
  <c r="A35106" i="1"/>
  <c r="B35106" i="1"/>
  <c r="A35107" i="1"/>
  <c r="B35107" i="1"/>
  <c r="A35108" i="1"/>
  <c r="B35108" i="1"/>
  <c r="A35109" i="1"/>
  <c r="B35109" i="1"/>
  <c r="A35110" i="1"/>
  <c r="B35110" i="1"/>
  <c r="A35111" i="1"/>
  <c r="B35111" i="1"/>
  <c r="A35112" i="1"/>
  <c r="B35112" i="1"/>
  <c r="A35113" i="1"/>
  <c r="B35113" i="1"/>
  <c r="A35114" i="1"/>
  <c r="B35114" i="1"/>
  <c r="A35115" i="1"/>
  <c r="B35115" i="1"/>
  <c r="A35116" i="1"/>
  <c r="B35116" i="1"/>
  <c r="A35117" i="1"/>
  <c r="B35117" i="1"/>
  <c r="A35118" i="1"/>
  <c r="B35118" i="1"/>
  <c r="A35119" i="1"/>
  <c r="B35119" i="1"/>
  <c r="A35120" i="1"/>
  <c r="B35120" i="1"/>
  <c r="A35121" i="1"/>
  <c r="B35121" i="1"/>
  <c r="A35122" i="1"/>
  <c r="B35122" i="1"/>
  <c r="A35123" i="1"/>
  <c r="B35123" i="1"/>
  <c r="A35124" i="1"/>
  <c r="B35124" i="1"/>
  <c r="A35125" i="1"/>
  <c r="B35125" i="1"/>
  <c r="A35126" i="1"/>
  <c r="B35126" i="1"/>
  <c r="A35127" i="1"/>
  <c r="B35127" i="1"/>
  <c r="A35128" i="1"/>
  <c r="B35128" i="1"/>
  <c r="A35129" i="1"/>
  <c r="B35129" i="1"/>
  <c r="A35130" i="1"/>
  <c r="B35130" i="1"/>
  <c r="A35131" i="1"/>
  <c r="B35131" i="1"/>
  <c r="A35132" i="1"/>
  <c r="B35132" i="1"/>
  <c r="A35133" i="1"/>
  <c r="B35133" i="1"/>
  <c r="A35134" i="1"/>
  <c r="B35134" i="1"/>
  <c r="A35135" i="1"/>
  <c r="B35135" i="1"/>
  <c r="A35136" i="1"/>
  <c r="B35136" i="1"/>
  <c r="A35137" i="1"/>
  <c r="B35137" i="1"/>
  <c r="A35138" i="1"/>
  <c r="B35138" i="1"/>
  <c r="A35139" i="1"/>
  <c r="B35139" i="1"/>
  <c r="A35140" i="1"/>
  <c r="B35140" i="1"/>
  <c r="A35141" i="1"/>
  <c r="B35141" i="1"/>
  <c r="A35142" i="1"/>
  <c r="B35142" i="1"/>
  <c r="A35143" i="1"/>
  <c r="B35143" i="1"/>
  <c r="A35144" i="1"/>
  <c r="B35144" i="1"/>
  <c r="A35145" i="1"/>
  <c r="B35145" i="1"/>
  <c r="A35146" i="1"/>
  <c r="B35146" i="1"/>
  <c r="A35147" i="1"/>
  <c r="B35147" i="1"/>
  <c r="A35148" i="1"/>
  <c r="B35148" i="1"/>
  <c r="A35149" i="1"/>
  <c r="B35149" i="1"/>
  <c r="A35150" i="1"/>
  <c r="B35150" i="1"/>
  <c r="A35151" i="1"/>
  <c r="B35151" i="1"/>
  <c r="A35152" i="1"/>
  <c r="B35152" i="1"/>
  <c r="A35153" i="1"/>
  <c r="B35153" i="1"/>
  <c r="A35154" i="1"/>
  <c r="B35154" i="1"/>
  <c r="A35155" i="1"/>
  <c r="B35155" i="1"/>
  <c r="A35156" i="1"/>
  <c r="B35156" i="1"/>
  <c r="A35157" i="1"/>
  <c r="B35157" i="1"/>
  <c r="A35158" i="1"/>
  <c r="B35158" i="1"/>
  <c r="A35159" i="1"/>
  <c r="B35159" i="1"/>
  <c r="A35160" i="1"/>
  <c r="B35160" i="1"/>
  <c r="A35161" i="1"/>
  <c r="B35161" i="1"/>
  <c r="A35162" i="1"/>
  <c r="B35162" i="1"/>
  <c r="A35163" i="1"/>
  <c r="B35163" i="1"/>
  <c r="A35164" i="1"/>
  <c r="B35164" i="1"/>
  <c r="A35165" i="1"/>
  <c r="B35165" i="1"/>
  <c r="A35166" i="1"/>
  <c r="B35166" i="1"/>
  <c r="A35167" i="1"/>
  <c r="B35167" i="1"/>
  <c r="A35168" i="1"/>
  <c r="B35168" i="1"/>
  <c r="A35169" i="1"/>
  <c r="B35169" i="1"/>
  <c r="A35170" i="1"/>
  <c r="B35170" i="1"/>
  <c r="A35171" i="1"/>
  <c r="B35171" i="1"/>
  <c r="A35172" i="1"/>
  <c r="B35172" i="1"/>
  <c r="A35173" i="1"/>
  <c r="B35173" i="1"/>
  <c r="A35174" i="1"/>
  <c r="B35174" i="1"/>
  <c r="A35175" i="1"/>
  <c r="B35175" i="1"/>
  <c r="A35176" i="1"/>
  <c r="B35176" i="1"/>
  <c r="A35177" i="1"/>
  <c r="B35177" i="1"/>
  <c r="A35178" i="1"/>
  <c r="B35178" i="1"/>
  <c r="A35179" i="1"/>
  <c r="B35179" i="1"/>
  <c r="A35180" i="1"/>
  <c r="B35180" i="1"/>
  <c r="A35181" i="1"/>
  <c r="B35181" i="1"/>
  <c r="A35182" i="1"/>
  <c r="B35182" i="1"/>
  <c r="A35183" i="1"/>
  <c r="B35183" i="1"/>
  <c r="A35184" i="1"/>
  <c r="B35184" i="1"/>
  <c r="A35185" i="1"/>
  <c r="B35185" i="1"/>
  <c r="A35186" i="1"/>
  <c r="B35186" i="1"/>
  <c r="A35187" i="1"/>
  <c r="B35187" i="1"/>
  <c r="A35188" i="1"/>
  <c r="B35188" i="1"/>
  <c r="A35189" i="1"/>
  <c r="B35189" i="1"/>
  <c r="A35190" i="1"/>
  <c r="B35190" i="1"/>
  <c r="A35191" i="1"/>
  <c r="B35191" i="1"/>
  <c r="A35192" i="1"/>
  <c r="B35192" i="1"/>
  <c r="A35193" i="1"/>
  <c r="B35193" i="1"/>
  <c r="A35194" i="1"/>
  <c r="B35194" i="1"/>
  <c r="A35195" i="1"/>
  <c r="B35195" i="1"/>
  <c r="A35196" i="1"/>
  <c r="B35196" i="1"/>
  <c r="A35197" i="1"/>
  <c r="B35197" i="1"/>
  <c r="A35198" i="1"/>
  <c r="B35198" i="1"/>
  <c r="A35199" i="1"/>
  <c r="B35199" i="1"/>
  <c r="A35200" i="1"/>
  <c r="B35200" i="1"/>
  <c r="A35201" i="1"/>
  <c r="B35201" i="1"/>
  <c r="A35202" i="1"/>
  <c r="B35202" i="1"/>
  <c r="A35203" i="1"/>
  <c r="B35203" i="1"/>
  <c r="A35204" i="1"/>
  <c r="B35204" i="1"/>
  <c r="A35205" i="1"/>
  <c r="B35205" i="1"/>
  <c r="A35206" i="1"/>
  <c r="B35206" i="1"/>
  <c r="A35207" i="1"/>
  <c r="B35207" i="1"/>
  <c r="A35208" i="1"/>
  <c r="B35208" i="1"/>
  <c r="A35209" i="1"/>
  <c r="B35209" i="1"/>
  <c r="A35210" i="1"/>
  <c r="B35210" i="1"/>
  <c r="A35211" i="1"/>
  <c r="B35211" i="1"/>
  <c r="A35212" i="1"/>
  <c r="B35212" i="1"/>
  <c r="A35213" i="1"/>
  <c r="B35213" i="1"/>
  <c r="A35214" i="1"/>
  <c r="B35214" i="1"/>
  <c r="A35215" i="1"/>
  <c r="B35215" i="1"/>
  <c r="A35216" i="1"/>
  <c r="B35216" i="1"/>
  <c r="A35217" i="1"/>
  <c r="B35217" i="1"/>
  <c r="A35218" i="1"/>
  <c r="B35218" i="1"/>
  <c r="A35219" i="1"/>
  <c r="B35219" i="1"/>
  <c r="A35220" i="1"/>
  <c r="B35220" i="1"/>
  <c r="A35221" i="1"/>
  <c r="B35221" i="1"/>
  <c r="A35222" i="1"/>
  <c r="B35222" i="1"/>
  <c r="A35223" i="1"/>
  <c r="B35223" i="1"/>
  <c r="A35224" i="1"/>
  <c r="B35224" i="1"/>
  <c r="A35225" i="1"/>
  <c r="B35225" i="1"/>
  <c r="A35226" i="1"/>
  <c r="B35226" i="1"/>
  <c r="A35227" i="1"/>
  <c r="B35227" i="1"/>
  <c r="A35228" i="1"/>
  <c r="B35228" i="1"/>
  <c r="A35229" i="1"/>
  <c r="B35229" i="1"/>
  <c r="A35230" i="1"/>
  <c r="B35230" i="1"/>
  <c r="A35231" i="1"/>
  <c r="B35231" i="1"/>
  <c r="A35232" i="1"/>
  <c r="B35232" i="1"/>
  <c r="A35233" i="1"/>
  <c r="B35233" i="1"/>
  <c r="A35234" i="1"/>
  <c r="B35234" i="1"/>
  <c r="A35235" i="1"/>
  <c r="B35235" i="1"/>
  <c r="A35236" i="1"/>
  <c r="B35236" i="1"/>
  <c r="A35237" i="1"/>
  <c r="B35237" i="1"/>
  <c r="A35238" i="1"/>
  <c r="B35238" i="1"/>
  <c r="A35239" i="1"/>
  <c r="B35239" i="1"/>
  <c r="A35240" i="1"/>
  <c r="B35240" i="1"/>
  <c r="A35241" i="1"/>
  <c r="B35241" i="1"/>
  <c r="A35242" i="1"/>
  <c r="B35242" i="1"/>
  <c r="A35243" i="1"/>
  <c r="B35243" i="1"/>
  <c r="A35244" i="1"/>
  <c r="B35244" i="1"/>
  <c r="A35245" i="1"/>
  <c r="B35245" i="1"/>
  <c r="A35246" i="1"/>
  <c r="B35246" i="1"/>
  <c r="A35247" i="1"/>
  <c r="B35247" i="1"/>
  <c r="A35248" i="1"/>
  <c r="B35248" i="1"/>
  <c r="A35249" i="1"/>
  <c r="B35249" i="1"/>
  <c r="A35250" i="1"/>
  <c r="B35250" i="1"/>
  <c r="A35251" i="1"/>
  <c r="B35251" i="1"/>
  <c r="A35252" i="1"/>
  <c r="B35252" i="1"/>
  <c r="A35253" i="1"/>
  <c r="B35253" i="1"/>
  <c r="A35254" i="1"/>
  <c r="B35254" i="1"/>
  <c r="A35255" i="1"/>
  <c r="B35255" i="1"/>
  <c r="A35256" i="1"/>
  <c r="B35256" i="1"/>
  <c r="A35257" i="1"/>
  <c r="B35257" i="1"/>
  <c r="A35258" i="1"/>
  <c r="B35258" i="1"/>
  <c r="A35259" i="1"/>
  <c r="B35259" i="1"/>
  <c r="A35260" i="1"/>
  <c r="B35260" i="1"/>
  <c r="A35261" i="1"/>
  <c r="B35261" i="1"/>
  <c r="A35262" i="1"/>
  <c r="B35262" i="1"/>
  <c r="A35263" i="1"/>
  <c r="B35263" i="1"/>
  <c r="A35264" i="1"/>
  <c r="B35264" i="1"/>
  <c r="A35265" i="1"/>
  <c r="B35265" i="1"/>
  <c r="A35266" i="1"/>
  <c r="B35266" i="1"/>
  <c r="A35267" i="1"/>
  <c r="B35267" i="1"/>
  <c r="A35268" i="1"/>
  <c r="B35268" i="1"/>
  <c r="A35269" i="1"/>
  <c r="B35269" i="1"/>
  <c r="A35270" i="1"/>
  <c r="B35270" i="1"/>
  <c r="A35271" i="1"/>
  <c r="B35271" i="1"/>
  <c r="A35272" i="1"/>
  <c r="B35272" i="1"/>
  <c r="A35273" i="1"/>
  <c r="B35273" i="1"/>
  <c r="A35274" i="1"/>
  <c r="B35274" i="1"/>
  <c r="A35275" i="1"/>
  <c r="B35275" i="1"/>
  <c r="A35276" i="1"/>
  <c r="B35276" i="1"/>
  <c r="A35277" i="1"/>
  <c r="B35277" i="1"/>
  <c r="A35278" i="1"/>
  <c r="B35278" i="1"/>
  <c r="A35279" i="1"/>
  <c r="B35279" i="1"/>
  <c r="A35280" i="1"/>
  <c r="B35280" i="1"/>
  <c r="A35281" i="1"/>
  <c r="B35281" i="1"/>
  <c r="A35282" i="1"/>
  <c r="B35282" i="1"/>
  <c r="A35283" i="1"/>
  <c r="B35283" i="1"/>
  <c r="A35284" i="1"/>
  <c r="B35284" i="1"/>
  <c r="A35285" i="1"/>
  <c r="B35285" i="1"/>
  <c r="A35286" i="1"/>
  <c r="B35286" i="1"/>
  <c r="A35287" i="1"/>
  <c r="B35287" i="1"/>
  <c r="A35288" i="1"/>
  <c r="B35288" i="1"/>
  <c r="A35289" i="1"/>
  <c r="B35289" i="1"/>
  <c r="A35290" i="1"/>
  <c r="B35290" i="1"/>
  <c r="A35291" i="1"/>
  <c r="B35291" i="1"/>
  <c r="A35292" i="1"/>
  <c r="B35292" i="1"/>
  <c r="A35293" i="1"/>
  <c r="B35293" i="1"/>
  <c r="A35294" i="1"/>
  <c r="B35294" i="1"/>
  <c r="A35295" i="1"/>
  <c r="B35295" i="1"/>
  <c r="A35296" i="1"/>
  <c r="B35296" i="1"/>
  <c r="A35297" i="1"/>
  <c r="B35297" i="1"/>
  <c r="A35298" i="1"/>
  <c r="B35298" i="1"/>
  <c r="A35299" i="1"/>
  <c r="B35299" i="1"/>
  <c r="A35300" i="1"/>
  <c r="B35300" i="1"/>
  <c r="A35301" i="1"/>
  <c r="B35301" i="1"/>
  <c r="A35302" i="1"/>
  <c r="B35302" i="1"/>
  <c r="A35303" i="1"/>
  <c r="B35303" i="1"/>
  <c r="A35304" i="1"/>
  <c r="B35304" i="1"/>
  <c r="A35305" i="1"/>
  <c r="B35305" i="1"/>
  <c r="A35306" i="1"/>
  <c r="B35306" i="1"/>
  <c r="A35307" i="1"/>
  <c r="B35307" i="1"/>
  <c r="A35308" i="1"/>
  <c r="B35308" i="1"/>
  <c r="A35309" i="1"/>
  <c r="B35309" i="1"/>
  <c r="A35310" i="1"/>
  <c r="B35310" i="1"/>
  <c r="A35311" i="1"/>
  <c r="B35311" i="1"/>
  <c r="A35312" i="1"/>
  <c r="B35312" i="1"/>
  <c r="A35313" i="1"/>
  <c r="B35313" i="1"/>
  <c r="A35314" i="1"/>
  <c r="B35314" i="1"/>
  <c r="A35315" i="1"/>
  <c r="B35315" i="1"/>
  <c r="A35316" i="1"/>
  <c r="B35316" i="1"/>
  <c r="A35317" i="1"/>
  <c r="B35317" i="1"/>
  <c r="A35318" i="1"/>
  <c r="B35318" i="1"/>
  <c r="A35319" i="1"/>
  <c r="B35319" i="1"/>
  <c r="A35320" i="1"/>
  <c r="B35320" i="1"/>
  <c r="A35321" i="1"/>
  <c r="B35321" i="1"/>
  <c r="A35322" i="1"/>
  <c r="B35322" i="1"/>
  <c r="A35323" i="1"/>
  <c r="B35323" i="1"/>
  <c r="A35324" i="1"/>
  <c r="B35324" i="1"/>
  <c r="A35325" i="1"/>
  <c r="B35325" i="1"/>
  <c r="A35326" i="1"/>
  <c r="B35326" i="1"/>
  <c r="A35327" i="1"/>
  <c r="B35327" i="1"/>
  <c r="A35328" i="1"/>
  <c r="B35328" i="1"/>
  <c r="A35329" i="1"/>
  <c r="B35329" i="1"/>
  <c r="A35330" i="1"/>
  <c r="B35330" i="1"/>
  <c r="A35331" i="1"/>
  <c r="B35331" i="1"/>
  <c r="A35332" i="1"/>
  <c r="B35332" i="1"/>
  <c r="A35333" i="1"/>
  <c r="B35333" i="1"/>
  <c r="A35334" i="1"/>
  <c r="B35334" i="1"/>
  <c r="A35335" i="1"/>
  <c r="B35335" i="1"/>
  <c r="A35336" i="1"/>
  <c r="B35336" i="1"/>
  <c r="A35337" i="1"/>
  <c r="B35337" i="1"/>
  <c r="A35338" i="1"/>
  <c r="B35338" i="1"/>
  <c r="A35339" i="1"/>
  <c r="B35339" i="1"/>
  <c r="A35340" i="1"/>
  <c r="B35340" i="1"/>
  <c r="A35341" i="1"/>
  <c r="B35341" i="1"/>
  <c r="A35342" i="1"/>
  <c r="B35342" i="1"/>
  <c r="A35343" i="1"/>
  <c r="B35343" i="1"/>
  <c r="A35344" i="1"/>
  <c r="B35344" i="1"/>
  <c r="A35345" i="1"/>
  <c r="B35345" i="1"/>
  <c r="A35346" i="1"/>
  <c r="B35346" i="1"/>
  <c r="A35347" i="1"/>
  <c r="B35347" i="1"/>
  <c r="A35348" i="1"/>
  <c r="B35348" i="1"/>
  <c r="A35349" i="1"/>
  <c r="B35349" i="1"/>
  <c r="A35350" i="1"/>
  <c r="B35350" i="1"/>
  <c r="A35351" i="1"/>
  <c r="B35351" i="1"/>
  <c r="A35352" i="1"/>
  <c r="B35352" i="1"/>
  <c r="A35353" i="1"/>
  <c r="B35353" i="1"/>
  <c r="A35354" i="1"/>
  <c r="B35354" i="1"/>
  <c r="A35355" i="1"/>
  <c r="B35355" i="1"/>
  <c r="A35356" i="1"/>
  <c r="B35356" i="1"/>
  <c r="A35357" i="1"/>
  <c r="B35357" i="1"/>
  <c r="A35358" i="1"/>
  <c r="B35358" i="1"/>
  <c r="A35359" i="1"/>
  <c r="B35359" i="1"/>
  <c r="A35360" i="1"/>
  <c r="B35360" i="1"/>
  <c r="A35361" i="1"/>
  <c r="B35361" i="1"/>
  <c r="A35362" i="1"/>
  <c r="B35362" i="1"/>
  <c r="A35363" i="1"/>
  <c r="B35363" i="1"/>
  <c r="A35364" i="1"/>
  <c r="B35364" i="1"/>
  <c r="A35365" i="1"/>
  <c r="B35365" i="1"/>
  <c r="A35366" i="1"/>
  <c r="B35366" i="1"/>
  <c r="A35367" i="1"/>
  <c r="B35367" i="1"/>
  <c r="A35368" i="1"/>
  <c r="B35368" i="1"/>
  <c r="A35369" i="1"/>
  <c r="B35369" i="1"/>
  <c r="A35370" i="1"/>
  <c r="B35370" i="1"/>
  <c r="A35371" i="1"/>
  <c r="B35371" i="1"/>
  <c r="A35372" i="1"/>
  <c r="B35372" i="1"/>
  <c r="A35373" i="1"/>
  <c r="B35373" i="1"/>
  <c r="A35374" i="1"/>
  <c r="B35374" i="1"/>
  <c r="A35375" i="1"/>
  <c r="B35375" i="1"/>
  <c r="A35376" i="1"/>
  <c r="B35376" i="1"/>
  <c r="A35377" i="1"/>
  <c r="B35377" i="1"/>
  <c r="A35378" i="1"/>
  <c r="B35378" i="1"/>
  <c r="A35379" i="1"/>
  <c r="B35379" i="1"/>
  <c r="A35380" i="1"/>
  <c r="B35380" i="1"/>
  <c r="A35381" i="1"/>
  <c r="B35381" i="1"/>
  <c r="A35382" i="1"/>
  <c r="B35382" i="1"/>
  <c r="A35383" i="1"/>
  <c r="B35383" i="1"/>
  <c r="A35384" i="1"/>
  <c r="B35384" i="1"/>
  <c r="A35385" i="1"/>
  <c r="B35385" i="1"/>
  <c r="A35386" i="1"/>
  <c r="B35386" i="1"/>
  <c r="A35387" i="1"/>
  <c r="B35387" i="1"/>
  <c r="A35388" i="1"/>
  <c r="B35388" i="1"/>
  <c r="A35389" i="1"/>
  <c r="B35389" i="1"/>
  <c r="A35390" i="1"/>
  <c r="B35390" i="1"/>
  <c r="A35391" i="1"/>
  <c r="B35391" i="1"/>
  <c r="A35392" i="1"/>
  <c r="B35392" i="1"/>
  <c r="A35393" i="1"/>
  <c r="B35393" i="1"/>
  <c r="A35394" i="1"/>
  <c r="B35394" i="1"/>
  <c r="A35395" i="1"/>
  <c r="B35395" i="1"/>
  <c r="A35396" i="1"/>
  <c r="B35396" i="1"/>
  <c r="A35397" i="1"/>
  <c r="B35397" i="1"/>
  <c r="A35398" i="1"/>
  <c r="B35398" i="1"/>
  <c r="A35399" i="1"/>
  <c r="B35399" i="1"/>
  <c r="A35400" i="1"/>
  <c r="B35400" i="1"/>
  <c r="A35401" i="1"/>
  <c r="B35401" i="1"/>
  <c r="A35402" i="1"/>
  <c r="B35402" i="1"/>
  <c r="A35403" i="1"/>
  <c r="B35403" i="1"/>
  <c r="A35404" i="1"/>
  <c r="B35404" i="1"/>
  <c r="A35405" i="1"/>
  <c r="B35405" i="1"/>
  <c r="A35406" i="1"/>
  <c r="B35406" i="1"/>
  <c r="A35407" i="1"/>
  <c r="B35407" i="1"/>
  <c r="A35408" i="1"/>
  <c r="B35408" i="1"/>
  <c r="A35409" i="1"/>
  <c r="B35409" i="1"/>
  <c r="A35410" i="1"/>
  <c r="B35410" i="1"/>
  <c r="A35411" i="1"/>
  <c r="B35411" i="1"/>
  <c r="A35412" i="1"/>
  <c r="B35412" i="1"/>
  <c r="A35413" i="1"/>
  <c r="B35413" i="1"/>
  <c r="A35414" i="1"/>
  <c r="B35414" i="1"/>
  <c r="A35415" i="1"/>
  <c r="B35415" i="1"/>
  <c r="A35416" i="1"/>
  <c r="B35416" i="1"/>
  <c r="A35417" i="1"/>
  <c r="B35417" i="1"/>
  <c r="A35418" i="1"/>
  <c r="B35418" i="1"/>
  <c r="A35419" i="1"/>
  <c r="B35419" i="1"/>
  <c r="A35420" i="1"/>
  <c r="B35420" i="1"/>
  <c r="A35421" i="1"/>
  <c r="B35421" i="1"/>
  <c r="A35422" i="1"/>
  <c r="B35422" i="1"/>
  <c r="A35423" i="1"/>
  <c r="B35423" i="1"/>
  <c r="A35424" i="1"/>
  <c r="B35424" i="1"/>
  <c r="A35425" i="1"/>
  <c r="B35425" i="1"/>
  <c r="A35426" i="1"/>
  <c r="B35426" i="1"/>
  <c r="A35427" i="1"/>
  <c r="B35427" i="1"/>
  <c r="A35428" i="1"/>
  <c r="B35428" i="1"/>
  <c r="A35429" i="1"/>
  <c r="B35429" i="1"/>
  <c r="A35430" i="1"/>
  <c r="B35430" i="1"/>
  <c r="A35431" i="1"/>
  <c r="B35431" i="1"/>
  <c r="A35432" i="1"/>
  <c r="B35432" i="1"/>
  <c r="A35433" i="1"/>
  <c r="B35433" i="1"/>
  <c r="A35434" i="1"/>
  <c r="B35434" i="1"/>
  <c r="A35435" i="1"/>
  <c r="B35435" i="1"/>
  <c r="A35436" i="1"/>
  <c r="B35436" i="1"/>
  <c r="A35437" i="1"/>
  <c r="B35437" i="1"/>
  <c r="A35438" i="1"/>
  <c r="B35438" i="1"/>
  <c r="A35439" i="1"/>
  <c r="B35439" i="1"/>
  <c r="A35440" i="1"/>
  <c r="B35440" i="1"/>
  <c r="A35441" i="1"/>
  <c r="B35441" i="1"/>
  <c r="A35442" i="1"/>
  <c r="B35442" i="1"/>
  <c r="A35443" i="1"/>
  <c r="B35443" i="1"/>
  <c r="A35444" i="1"/>
  <c r="B35444" i="1"/>
  <c r="A35445" i="1"/>
  <c r="B35445" i="1"/>
  <c r="A35446" i="1"/>
  <c r="B35446" i="1"/>
  <c r="A35447" i="1"/>
  <c r="B35447" i="1"/>
  <c r="A35448" i="1"/>
  <c r="B35448" i="1"/>
  <c r="A35449" i="1"/>
  <c r="B35449" i="1"/>
  <c r="A35450" i="1"/>
  <c r="B35450" i="1"/>
  <c r="A35451" i="1"/>
  <c r="B35451" i="1"/>
  <c r="A35452" i="1"/>
  <c r="B35452" i="1"/>
  <c r="A35453" i="1"/>
  <c r="B35453" i="1"/>
  <c r="A35454" i="1"/>
  <c r="B35454" i="1"/>
  <c r="A35455" i="1"/>
  <c r="B35455" i="1"/>
  <c r="A35456" i="1"/>
  <c r="B35456" i="1"/>
  <c r="A35457" i="1"/>
  <c r="B35457" i="1"/>
  <c r="A35458" i="1"/>
  <c r="B35458" i="1"/>
  <c r="A35459" i="1"/>
  <c r="B35459" i="1"/>
  <c r="A35460" i="1"/>
  <c r="B35460" i="1"/>
  <c r="A35461" i="1"/>
  <c r="B35461" i="1"/>
  <c r="A35462" i="1"/>
  <c r="B35462" i="1"/>
  <c r="A35463" i="1"/>
  <c r="B35463" i="1"/>
  <c r="A35464" i="1"/>
  <c r="B35464" i="1"/>
  <c r="A35465" i="1"/>
  <c r="B35465" i="1"/>
  <c r="A35466" i="1"/>
  <c r="B35466" i="1"/>
  <c r="A35467" i="1"/>
  <c r="B35467" i="1"/>
  <c r="A35468" i="1"/>
  <c r="B35468" i="1"/>
  <c r="A35469" i="1"/>
  <c r="B35469" i="1"/>
  <c r="A35470" i="1"/>
  <c r="B35470" i="1"/>
  <c r="A35471" i="1"/>
  <c r="B35471" i="1"/>
  <c r="A35472" i="1"/>
  <c r="B35472" i="1"/>
  <c r="A35473" i="1"/>
  <c r="B35473" i="1"/>
  <c r="A35474" i="1"/>
  <c r="B35474" i="1"/>
  <c r="A35475" i="1"/>
  <c r="B35475" i="1"/>
  <c r="A35476" i="1"/>
  <c r="B35476" i="1"/>
  <c r="A35477" i="1"/>
  <c r="B35477" i="1"/>
  <c r="A35478" i="1"/>
  <c r="B35478" i="1"/>
  <c r="A35479" i="1"/>
  <c r="B35479" i="1"/>
  <c r="A35480" i="1"/>
  <c r="B35480" i="1"/>
  <c r="A35481" i="1"/>
  <c r="B35481" i="1"/>
  <c r="A35482" i="1"/>
  <c r="B35482" i="1"/>
  <c r="A35483" i="1"/>
  <c r="B35483" i="1"/>
  <c r="A35484" i="1"/>
  <c r="B35484" i="1"/>
  <c r="A35485" i="1"/>
  <c r="B35485" i="1"/>
  <c r="A35486" i="1"/>
  <c r="B35486" i="1"/>
  <c r="A35487" i="1"/>
  <c r="B35487" i="1"/>
  <c r="A35488" i="1"/>
  <c r="B35488" i="1"/>
  <c r="A35489" i="1"/>
  <c r="B35489" i="1"/>
  <c r="A35490" i="1"/>
  <c r="B35490" i="1"/>
  <c r="A35491" i="1"/>
  <c r="B35491" i="1"/>
  <c r="A35492" i="1"/>
  <c r="B35492" i="1"/>
  <c r="A35493" i="1"/>
  <c r="B35493" i="1"/>
  <c r="A35494" i="1"/>
  <c r="B35494" i="1"/>
  <c r="A35495" i="1"/>
  <c r="B35495" i="1"/>
  <c r="A35496" i="1"/>
  <c r="B35496" i="1"/>
  <c r="A35497" i="1"/>
  <c r="B35497" i="1"/>
  <c r="A35498" i="1"/>
  <c r="B35498" i="1"/>
  <c r="A35499" i="1"/>
  <c r="B35499" i="1"/>
  <c r="A35500" i="1"/>
  <c r="B35500" i="1"/>
  <c r="A35501" i="1"/>
  <c r="B35501" i="1"/>
  <c r="A35502" i="1"/>
  <c r="B35502" i="1"/>
  <c r="A35503" i="1"/>
  <c r="B35503" i="1"/>
  <c r="A35504" i="1"/>
  <c r="B35504" i="1"/>
  <c r="A35505" i="1"/>
  <c r="B35505" i="1"/>
  <c r="A35506" i="1"/>
  <c r="B35506" i="1"/>
  <c r="A35507" i="1"/>
  <c r="B35507" i="1"/>
  <c r="A35508" i="1"/>
  <c r="B35508" i="1"/>
  <c r="A35509" i="1"/>
  <c r="B35509" i="1"/>
  <c r="A35510" i="1"/>
  <c r="B35510" i="1"/>
  <c r="A35511" i="1"/>
  <c r="B35511" i="1"/>
  <c r="A35512" i="1"/>
  <c r="B35512" i="1"/>
  <c r="A35513" i="1"/>
  <c r="B35513" i="1"/>
  <c r="A35514" i="1"/>
  <c r="B35514" i="1"/>
  <c r="A35515" i="1"/>
  <c r="B35515" i="1"/>
  <c r="A35516" i="1"/>
  <c r="B35516" i="1"/>
  <c r="A35517" i="1"/>
  <c r="B35517" i="1"/>
  <c r="A35518" i="1"/>
  <c r="B35518" i="1"/>
  <c r="A35519" i="1"/>
  <c r="B35519" i="1"/>
  <c r="A35520" i="1"/>
  <c r="B35520" i="1"/>
  <c r="A35521" i="1"/>
  <c r="B35521" i="1"/>
  <c r="A35522" i="1"/>
  <c r="B35522" i="1"/>
  <c r="A35523" i="1"/>
  <c r="B35523" i="1"/>
  <c r="A35524" i="1"/>
  <c r="B35524" i="1"/>
  <c r="A35525" i="1"/>
  <c r="B35525" i="1"/>
  <c r="A35526" i="1"/>
  <c r="B35526" i="1"/>
  <c r="A35527" i="1"/>
  <c r="B35527" i="1"/>
  <c r="A35528" i="1"/>
  <c r="B35528" i="1"/>
  <c r="A35529" i="1"/>
  <c r="B35529" i="1"/>
  <c r="A35530" i="1"/>
  <c r="B35530" i="1"/>
  <c r="A35531" i="1"/>
  <c r="B35531" i="1"/>
  <c r="A35532" i="1"/>
  <c r="B35532" i="1"/>
  <c r="A35533" i="1"/>
  <c r="B35533" i="1"/>
  <c r="A35534" i="1"/>
  <c r="B35534" i="1"/>
  <c r="A35535" i="1"/>
  <c r="B35535" i="1"/>
  <c r="A35536" i="1"/>
  <c r="B35536" i="1"/>
  <c r="A35537" i="1"/>
  <c r="B35537" i="1"/>
  <c r="A35538" i="1"/>
  <c r="B35538" i="1"/>
  <c r="A35539" i="1"/>
  <c r="B35539" i="1"/>
  <c r="A35540" i="1"/>
  <c r="B35540" i="1"/>
  <c r="A35541" i="1"/>
  <c r="B35541" i="1"/>
  <c r="A35542" i="1"/>
  <c r="B35542" i="1"/>
  <c r="A35543" i="1"/>
  <c r="B35543" i="1"/>
  <c r="A35544" i="1"/>
  <c r="B35544" i="1"/>
  <c r="A35545" i="1"/>
  <c r="B35545" i="1"/>
  <c r="A35546" i="1"/>
  <c r="B35546" i="1"/>
  <c r="A35547" i="1"/>
  <c r="B35547" i="1"/>
  <c r="A35548" i="1"/>
  <c r="B35548" i="1"/>
  <c r="A35549" i="1"/>
  <c r="B35549" i="1"/>
  <c r="A35550" i="1"/>
  <c r="B35550" i="1"/>
  <c r="A35551" i="1"/>
  <c r="B35551" i="1"/>
  <c r="A35552" i="1"/>
  <c r="B35552" i="1"/>
  <c r="A35553" i="1"/>
  <c r="B35553" i="1"/>
  <c r="A35554" i="1"/>
  <c r="B35554" i="1"/>
  <c r="A35555" i="1"/>
  <c r="B35555" i="1"/>
  <c r="A35556" i="1"/>
  <c r="B35556" i="1"/>
  <c r="A35557" i="1"/>
  <c r="B35557" i="1"/>
  <c r="A35558" i="1"/>
  <c r="B35558" i="1"/>
  <c r="A35559" i="1"/>
  <c r="B35559" i="1"/>
  <c r="A35560" i="1"/>
  <c r="B35560" i="1"/>
  <c r="A35561" i="1"/>
  <c r="B35561" i="1"/>
  <c r="A35562" i="1"/>
  <c r="B35562" i="1"/>
  <c r="A35563" i="1"/>
  <c r="B35563" i="1"/>
  <c r="A35564" i="1"/>
  <c r="B35564" i="1"/>
  <c r="A35565" i="1"/>
  <c r="B35565" i="1"/>
  <c r="A35566" i="1"/>
  <c r="B35566" i="1"/>
  <c r="A35567" i="1"/>
  <c r="B35567" i="1"/>
  <c r="A35568" i="1"/>
  <c r="B35568" i="1"/>
  <c r="A35569" i="1"/>
  <c r="B35569" i="1"/>
  <c r="A35570" i="1"/>
  <c r="B35570" i="1"/>
  <c r="A35571" i="1"/>
  <c r="B35571" i="1"/>
  <c r="A35572" i="1"/>
  <c r="B35572" i="1"/>
  <c r="A35573" i="1"/>
  <c r="B35573" i="1"/>
  <c r="A35574" i="1"/>
  <c r="B35574" i="1"/>
  <c r="A35575" i="1"/>
  <c r="B35575" i="1"/>
  <c r="A35576" i="1"/>
  <c r="B35576" i="1"/>
  <c r="A35577" i="1"/>
  <c r="B35577" i="1"/>
  <c r="A35578" i="1"/>
  <c r="B35578" i="1"/>
  <c r="A35579" i="1"/>
  <c r="B35579" i="1"/>
  <c r="A35580" i="1"/>
  <c r="B35580" i="1"/>
  <c r="A35581" i="1"/>
  <c r="B35581" i="1"/>
  <c r="A35582" i="1"/>
  <c r="B35582" i="1"/>
  <c r="A35583" i="1"/>
  <c r="B35583" i="1"/>
  <c r="A35584" i="1"/>
  <c r="B35584" i="1"/>
  <c r="A35585" i="1"/>
  <c r="B35585" i="1"/>
  <c r="A35586" i="1"/>
  <c r="B35586" i="1"/>
  <c r="A35587" i="1"/>
  <c r="B35587" i="1"/>
  <c r="A35588" i="1"/>
  <c r="B35588" i="1"/>
  <c r="A35589" i="1"/>
  <c r="B35589" i="1"/>
  <c r="A35590" i="1"/>
  <c r="B35590" i="1"/>
  <c r="A35591" i="1"/>
  <c r="B35591" i="1"/>
  <c r="A35592" i="1"/>
  <c r="B35592" i="1"/>
  <c r="A35593" i="1"/>
  <c r="B35593" i="1"/>
  <c r="A35594" i="1"/>
  <c r="B35594" i="1"/>
  <c r="A35595" i="1"/>
  <c r="B35595" i="1"/>
  <c r="A35596" i="1"/>
  <c r="B35596" i="1"/>
  <c r="A35597" i="1"/>
  <c r="B35597" i="1"/>
  <c r="A35598" i="1"/>
  <c r="B35598" i="1"/>
  <c r="A35599" i="1"/>
  <c r="B35599" i="1"/>
  <c r="A35600" i="1"/>
  <c r="B35600" i="1"/>
  <c r="A35601" i="1"/>
  <c r="B35601" i="1"/>
  <c r="A35602" i="1"/>
  <c r="B35602" i="1"/>
  <c r="A35603" i="1"/>
  <c r="B35603" i="1"/>
  <c r="A35604" i="1"/>
  <c r="B35604" i="1"/>
  <c r="A35605" i="1"/>
  <c r="B35605" i="1"/>
  <c r="A35606" i="1"/>
  <c r="B35606" i="1"/>
  <c r="A35607" i="1"/>
  <c r="B35607" i="1"/>
  <c r="A35608" i="1"/>
  <c r="B35608" i="1"/>
  <c r="A35609" i="1"/>
  <c r="B35609" i="1"/>
  <c r="A35610" i="1"/>
  <c r="B35610" i="1"/>
  <c r="A35611" i="1"/>
  <c r="B35611" i="1"/>
  <c r="A35612" i="1"/>
  <c r="B35612" i="1"/>
  <c r="A35613" i="1"/>
  <c r="B35613" i="1"/>
  <c r="A35614" i="1"/>
  <c r="B35614" i="1"/>
  <c r="A35615" i="1"/>
  <c r="B35615" i="1"/>
  <c r="A35616" i="1"/>
  <c r="B35616" i="1"/>
  <c r="A35617" i="1"/>
  <c r="B35617" i="1"/>
  <c r="A35618" i="1"/>
  <c r="B35618" i="1"/>
  <c r="A35619" i="1"/>
  <c r="B35619" i="1"/>
  <c r="A35620" i="1"/>
  <c r="B35620" i="1"/>
  <c r="A35621" i="1"/>
  <c r="B35621" i="1"/>
  <c r="A35622" i="1"/>
  <c r="B35622" i="1"/>
  <c r="A35623" i="1"/>
  <c r="B35623" i="1"/>
  <c r="A35624" i="1"/>
  <c r="B35624" i="1"/>
  <c r="A35625" i="1"/>
  <c r="B35625" i="1"/>
  <c r="A35626" i="1"/>
  <c r="B35626" i="1"/>
  <c r="A35627" i="1"/>
  <c r="B35627" i="1"/>
  <c r="A35628" i="1"/>
  <c r="B35628" i="1"/>
  <c r="A35629" i="1"/>
  <c r="B35629" i="1"/>
  <c r="A35630" i="1"/>
  <c r="B35630" i="1"/>
  <c r="A35631" i="1"/>
  <c r="B35631" i="1"/>
  <c r="A35632" i="1"/>
  <c r="B35632" i="1"/>
  <c r="A35633" i="1"/>
  <c r="B35633" i="1"/>
  <c r="A35634" i="1"/>
  <c r="B35634" i="1"/>
  <c r="A35635" i="1"/>
  <c r="B35635" i="1"/>
  <c r="A35636" i="1"/>
  <c r="B35636" i="1"/>
  <c r="A35637" i="1"/>
  <c r="B35637" i="1"/>
  <c r="A35638" i="1"/>
  <c r="B35638" i="1"/>
  <c r="A35639" i="1"/>
  <c r="B35639" i="1"/>
  <c r="A35640" i="1"/>
  <c r="B35640" i="1"/>
  <c r="A35641" i="1"/>
  <c r="B35641" i="1"/>
  <c r="A35642" i="1"/>
  <c r="B35642" i="1"/>
  <c r="A35643" i="1"/>
  <c r="B35643" i="1"/>
  <c r="A35644" i="1"/>
  <c r="B35644" i="1"/>
  <c r="A35645" i="1"/>
  <c r="B35645" i="1"/>
  <c r="A35646" i="1"/>
  <c r="B35646" i="1"/>
  <c r="A35647" i="1"/>
  <c r="B35647" i="1"/>
  <c r="A35648" i="1"/>
  <c r="B35648" i="1"/>
  <c r="A35649" i="1"/>
  <c r="B35649" i="1"/>
  <c r="A35650" i="1"/>
  <c r="B35650" i="1"/>
  <c r="A35651" i="1"/>
  <c r="B35651" i="1"/>
  <c r="A35652" i="1"/>
  <c r="B35652" i="1"/>
  <c r="A35653" i="1"/>
  <c r="B35653" i="1"/>
  <c r="A35654" i="1"/>
  <c r="B35654" i="1"/>
  <c r="A35655" i="1"/>
  <c r="B35655" i="1"/>
  <c r="A35656" i="1"/>
  <c r="B35656" i="1"/>
  <c r="A35657" i="1"/>
  <c r="B35657" i="1"/>
  <c r="A35658" i="1"/>
  <c r="B35658" i="1"/>
  <c r="A35659" i="1"/>
  <c r="B35659" i="1"/>
  <c r="A35660" i="1"/>
  <c r="B35660" i="1"/>
  <c r="A35661" i="1"/>
  <c r="B35661" i="1"/>
  <c r="A35662" i="1"/>
  <c r="B35662" i="1"/>
  <c r="A35663" i="1"/>
  <c r="B35663" i="1"/>
  <c r="A35664" i="1"/>
  <c r="B35664" i="1"/>
  <c r="A35665" i="1"/>
  <c r="B35665" i="1"/>
  <c r="A35666" i="1"/>
  <c r="B35666" i="1"/>
  <c r="A35667" i="1"/>
  <c r="B35667" i="1"/>
  <c r="A35668" i="1"/>
  <c r="B35668" i="1"/>
  <c r="A35669" i="1"/>
  <c r="B35669" i="1"/>
  <c r="A35670" i="1"/>
  <c r="B35670" i="1"/>
  <c r="A35671" i="1"/>
  <c r="B35671" i="1"/>
  <c r="A35672" i="1"/>
  <c r="B35672" i="1"/>
  <c r="A35673" i="1"/>
  <c r="B35673" i="1"/>
  <c r="A35674" i="1"/>
  <c r="B35674" i="1"/>
  <c r="A35675" i="1"/>
  <c r="B35675" i="1"/>
  <c r="A35676" i="1"/>
  <c r="B35676" i="1"/>
  <c r="A35677" i="1"/>
  <c r="B35677" i="1"/>
  <c r="A35678" i="1"/>
  <c r="B35678" i="1"/>
  <c r="A35679" i="1"/>
  <c r="B35679" i="1"/>
  <c r="A35680" i="1"/>
  <c r="B35680" i="1"/>
  <c r="A35681" i="1"/>
  <c r="B35681" i="1"/>
  <c r="A35682" i="1"/>
  <c r="B35682" i="1"/>
  <c r="A35683" i="1"/>
  <c r="B35683" i="1"/>
  <c r="A35684" i="1"/>
  <c r="B35684" i="1"/>
  <c r="A35685" i="1"/>
  <c r="B35685" i="1"/>
  <c r="A35686" i="1"/>
  <c r="B35686" i="1"/>
  <c r="A35687" i="1"/>
  <c r="B35687" i="1"/>
  <c r="A35688" i="1"/>
  <c r="B35688" i="1"/>
  <c r="A35689" i="1"/>
  <c r="B35689" i="1"/>
  <c r="A35690" i="1"/>
  <c r="B35690" i="1"/>
  <c r="A35691" i="1"/>
  <c r="B35691" i="1"/>
  <c r="A35692" i="1"/>
  <c r="B35692" i="1"/>
  <c r="A35693" i="1"/>
  <c r="B35693" i="1"/>
  <c r="A35694" i="1"/>
  <c r="B35694" i="1"/>
  <c r="A35695" i="1"/>
  <c r="B35695" i="1"/>
  <c r="A35696" i="1"/>
  <c r="B35696" i="1"/>
  <c r="A35697" i="1"/>
  <c r="B35697" i="1"/>
  <c r="A35698" i="1"/>
  <c r="B35698" i="1"/>
  <c r="A35699" i="1"/>
  <c r="B35699" i="1"/>
  <c r="A35700" i="1"/>
  <c r="B35700" i="1"/>
  <c r="A35701" i="1"/>
  <c r="B35701" i="1"/>
  <c r="A35702" i="1"/>
  <c r="B35702" i="1"/>
  <c r="A35703" i="1"/>
  <c r="B35703" i="1"/>
  <c r="A35704" i="1"/>
  <c r="B35704" i="1"/>
  <c r="A35705" i="1"/>
  <c r="B35705" i="1"/>
  <c r="A35706" i="1"/>
  <c r="B35706" i="1"/>
  <c r="A35707" i="1"/>
  <c r="B35707" i="1"/>
  <c r="A35708" i="1"/>
  <c r="B35708" i="1"/>
  <c r="A35709" i="1"/>
  <c r="B35709" i="1"/>
  <c r="A35710" i="1"/>
  <c r="B35710" i="1"/>
  <c r="A35711" i="1"/>
  <c r="B35711" i="1"/>
  <c r="A35712" i="1"/>
  <c r="B35712" i="1"/>
  <c r="A35713" i="1"/>
  <c r="B35713" i="1"/>
  <c r="A35714" i="1"/>
  <c r="B35714" i="1"/>
  <c r="A35715" i="1"/>
  <c r="B35715" i="1"/>
  <c r="A35716" i="1"/>
  <c r="B35716" i="1"/>
  <c r="A35717" i="1"/>
  <c r="B35717" i="1"/>
  <c r="A35718" i="1"/>
  <c r="B35718" i="1"/>
  <c r="A35719" i="1"/>
  <c r="B35719" i="1"/>
  <c r="A35720" i="1"/>
  <c r="B35720" i="1"/>
  <c r="A35721" i="1"/>
  <c r="B35721" i="1"/>
  <c r="A35722" i="1"/>
  <c r="B35722" i="1"/>
  <c r="A35723" i="1"/>
  <c r="B35723" i="1"/>
  <c r="A35724" i="1"/>
  <c r="B35724" i="1"/>
  <c r="A35725" i="1"/>
  <c r="B35725" i="1"/>
  <c r="A35726" i="1"/>
  <c r="B35726" i="1"/>
  <c r="A35727" i="1"/>
  <c r="B35727" i="1"/>
  <c r="A35728" i="1"/>
  <c r="B35728" i="1"/>
  <c r="A35729" i="1"/>
  <c r="B35729" i="1"/>
  <c r="A35730" i="1"/>
  <c r="B35730" i="1"/>
  <c r="A35731" i="1"/>
  <c r="B35731" i="1"/>
  <c r="A35732" i="1"/>
  <c r="B35732" i="1"/>
  <c r="A35733" i="1"/>
  <c r="B35733" i="1"/>
  <c r="A35734" i="1"/>
  <c r="B35734" i="1"/>
  <c r="A35735" i="1"/>
  <c r="B35735" i="1"/>
  <c r="A35736" i="1"/>
  <c r="B35736" i="1"/>
  <c r="A35737" i="1"/>
  <c r="B35737" i="1"/>
  <c r="A35738" i="1"/>
  <c r="B35738" i="1"/>
  <c r="A35739" i="1"/>
  <c r="B35739" i="1"/>
  <c r="A35740" i="1"/>
  <c r="B35740" i="1"/>
  <c r="A35741" i="1"/>
  <c r="B35741" i="1"/>
  <c r="A35742" i="1"/>
  <c r="B35742" i="1"/>
  <c r="A35743" i="1"/>
  <c r="B35743" i="1"/>
  <c r="A35744" i="1"/>
  <c r="B35744" i="1"/>
  <c r="A35745" i="1"/>
  <c r="B35745" i="1"/>
  <c r="A35746" i="1"/>
  <c r="B35746" i="1"/>
  <c r="A35747" i="1"/>
  <c r="B35747" i="1"/>
  <c r="A35748" i="1"/>
  <c r="B35748" i="1"/>
  <c r="A35749" i="1"/>
  <c r="B35749" i="1"/>
  <c r="A35750" i="1"/>
  <c r="B35750" i="1"/>
  <c r="A35751" i="1"/>
  <c r="B35751" i="1"/>
  <c r="A35752" i="1"/>
  <c r="B35752" i="1"/>
  <c r="A35753" i="1"/>
  <c r="B35753" i="1"/>
  <c r="A35754" i="1"/>
  <c r="B35754" i="1"/>
  <c r="A35755" i="1"/>
  <c r="B35755" i="1"/>
  <c r="A35756" i="1"/>
  <c r="B35756" i="1"/>
  <c r="A35757" i="1"/>
  <c r="B35757" i="1"/>
  <c r="A35758" i="1"/>
  <c r="B35758" i="1"/>
  <c r="A35759" i="1"/>
  <c r="B35759" i="1"/>
  <c r="A35760" i="1"/>
  <c r="B35760" i="1"/>
  <c r="A35761" i="1"/>
  <c r="B35761" i="1"/>
  <c r="A35762" i="1"/>
  <c r="B35762" i="1"/>
  <c r="A35763" i="1"/>
  <c r="B35763" i="1"/>
  <c r="A35764" i="1"/>
  <c r="B35764" i="1"/>
  <c r="A35765" i="1"/>
  <c r="B35765" i="1"/>
  <c r="A35766" i="1"/>
  <c r="B35766" i="1"/>
  <c r="A35767" i="1"/>
  <c r="B35767" i="1"/>
  <c r="A35768" i="1"/>
  <c r="B35768" i="1"/>
  <c r="A35769" i="1"/>
  <c r="B35769" i="1"/>
  <c r="A35770" i="1"/>
  <c r="B35770" i="1"/>
  <c r="A35771" i="1"/>
  <c r="B35771" i="1"/>
  <c r="A35772" i="1"/>
  <c r="B35772" i="1"/>
  <c r="A35773" i="1"/>
  <c r="B35773" i="1"/>
  <c r="A35774" i="1"/>
  <c r="B35774" i="1"/>
  <c r="A35775" i="1"/>
  <c r="B35775" i="1"/>
  <c r="A35776" i="1"/>
  <c r="B35776" i="1"/>
  <c r="A35777" i="1"/>
  <c r="B35777" i="1"/>
  <c r="A35778" i="1"/>
  <c r="B35778" i="1"/>
  <c r="A35779" i="1"/>
  <c r="B35779" i="1"/>
  <c r="A35780" i="1"/>
  <c r="B35780" i="1"/>
  <c r="A35781" i="1"/>
  <c r="B35781" i="1"/>
  <c r="A35782" i="1"/>
  <c r="B35782" i="1"/>
  <c r="A35783" i="1"/>
  <c r="B35783" i="1"/>
  <c r="A35784" i="1"/>
  <c r="B35784" i="1"/>
  <c r="A35785" i="1"/>
  <c r="B35785" i="1"/>
  <c r="A35786" i="1"/>
  <c r="B35786" i="1"/>
  <c r="A35787" i="1"/>
  <c r="B35787" i="1"/>
  <c r="A35788" i="1"/>
  <c r="B35788" i="1"/>
  <c r="A35789" i="1"/>
  <c r="B35789" i="1"/>
  <c r="A35790" i="1"/>
  <c r="B35790" i="1"/>
  <c r="A35791" i="1"/>
  <c r="B35791" i="1"/>
  <c r="A35792" i="1"/>
  <c r="B35792" i="1"/>
  <c r="A35793" i="1"/>
  <c r="B35793" i="1"/>
  <c r="A35794" i="1"/>
  <c r="B35794" i="1"/>
  <c r="A35795" i="1"/>
  <c r="B35795" i="1"/>
  <c r="A35796" i="1"/>
  <c r="B35796" i="1"/>
  <c r="A35797" i="1"/>
  <c r="B35797" i="1"/>
  <c r="A35798" i="1"/>
  <c r="B35798" i="1"/>
  <c r="A35799" i="1"/>
  <c r="B35799" i="1"/>
  <c r="A35800" i="1"/>
  <c r="B35800" i="1"/>
  <c r="A35801" i="1"/>
  <c r="B35801" i="1"/>
  <c r="A35802" i="1"/>
  <c r="B35802" i="1"/>
  <c r="A35803" i="1"/>
  <c r="B35803" i="1"/>
  <c r="A35804" i="1"/>
  <c r="B35804" i="1"/>
  <c r="A35805" i="1"/>
  <c r="B35805" i="1"/>
  <c r="A35806" i="1"/>
  <c r="B35806" i="1"/>
  <c r="A35807" i="1"/>
  <c r="B35807" i="1"/>
  <c r="A35808" i="1"/>
  <c r="B35808" i="1"/>
  <c r="A35809" i="1"/>
  <c r="B35809" i="1"/>
  <c r="A35810" i="1"/>
  <c r="B35810" i="1"/>
  <c r="A35811" i="1"/>
  <c r="B35811" i="1"/>
  <c r="A35812" i="1"/>
  <c r="B35812" i="1"/>
  <c r="A35813" i="1"/>
  <c r="B35813" i="1"/>
  <c r="A35814" i="1"/>
  <c r="B35814" i="1"/>
  <c r="A35815" i="1"/>
  <c r="B35815" i="1"/>
  <c r="A35816" i="1"/>
  <c r="B35816" i="1"/>
  <c r="A35817" i="1"/>
  <c r="B35817" i="1"/>
  <c r="A35818" i="1"/>
  <c r="B35818" i="1"/>
  <c r="A35819" i="1"/>
  <c r="B35819" i="1"/>
  <c r="A35820" i="1"/>
  <c r="B35820" i="1"/>
  <c r="A35821" i="1"/>
  <c r="B35821" i="1"/>
  <c r="A35822" i="1"/>
  <c r="B35822" i="1"/>
  <c r="A35823" i="1"/>
  <c r="B35823" i="1"/>
  <c r="A35824" i="1"/>
  <c r="B35824" i="1"/>
  <c r="A35825" i="1"/>
  <c r="B35825" i="1"/>
  <c r="A35826" i="1"/>
  <c r="B35826" i="1"/>
  <c r="A35827" i="1"/>
  <c r="B35827" i="1"/>
  <c r="A35828" i="1"/>
  <c r="B35828" i="1"/>
  <c r="A35829" i="1"/>
  <c r="B35829" i="1"/>
  <c r="A35830" i="1"/>
  <c r="B35830" i="1"/>
  <c r="A35831" i="1"/>
  <c r="B35831" i="1"/>
  <c r="A35832" i="1"/>
  <c r="B35832" i="1"/>
  <c r="A35833" i="1"/>
  <c r="B35833" i="1"/>
  <c r="A35834" i="1"/>
  <c r="B35834" i="1"/>
  <c r="A35835" i="1"/>
  <c r="B35835" i="1"/>
  <c r="A35836" i="1"/>
  <c r="B35836" i="1"/>
  <c r="A35837" i="1"/>
  <c r="B35837" i="1"/>
  <c r="A35838" i="1"/>
  <c r="B35838" i="1"/>
  <c r="A35839" i="1"/>
  <c r="B35839" i="1"/>
  <c r="A35840" i="1"/>
  <c r="B35840" i="1"/>
  <c r="A35841" i="1"/>
  <c r="B35841" i="1"/>
  <c r="A35842" i="1"/>
  <c r="B35842" i="1"/>
  <c r="A35843" i="1"/>
  <c r="B35843" i="1"/>
  <c r="A35844" i="1"/>
  <c r="B35844" i="1"/>
  <c r="A35845" i="1"/>
  <c r="B35845" i="1"/>
  <c r="A35846" i="1"/>
  <c r="B35846" i="1"/>
  <c r="A35847" i="1"/>
  <c r="B35847" i="1"/>
  <c r="A35848" i="1"/>
  <c r="B35848" i="1"/>
  <c r="A35849" i="1"/>
  <c r="B35849" i="1"/>
  <c r="A35850" i="1"/>
  <c r="B35850" i="1"/>
  <c r="A35851" i="1"/>
  <c r="B35851" i="1"/>
  <c r="A35852" i="1"/>
  <c r="B35852" i="1"/>
  <c r="A35853" i="1"/>
  <c r="B35853" i="1"/>
  <c r="A35854" i="1"/>
  <c r="B35854" i="1"/>
  <c r="A35855" i="1"/>
  <c r="B35855" i="1"/>
  <c r="A35856" i="1"/>
  <c r="B35856" i="1"/>
  <c r="A35857" i="1"/>
  <c r="B35857" i="1"/>
  <c r="A35858" i="1"/>
  <c r="B35858" i="1"/>
  <c r="A35859" i="1"/>
  <c r="B35859" i="1"/>
  <c r="A35860" i="1"/>
  <c r="B35860" i="1"/>
  <c r="A35861" i="1"/>
  <c r="B35861" i="1"/>
  <c r="A35862" i="1"/>
  <c r="B35862" i="1"/>
  <c r="A35863" i="1"/>
  <c r="B35863" i="1"/>
  <c r="A35864" i="1"/>
  <c r="B35864" i="1"/>
  <c r="A35865" i="1"/>
  <c r="B35865" i="1"/>
  <c r="A35866" i="1"/>
  <c r="B35866" i="1"/>
  <c r="A35867" i="1"/>
  <c r="B35867" i="1"/>
  <c r="A35868" i="1"/>
  <c r="B35868" i="1"/>
  <c r="A35869" i="1"/>
  <c r="B35869" i="1"/>
  <c r="A35870" i="1"/>
  <c r="B35870" i="1"/>
  <c r="A35871" i="1"/>
  <c r="B35871" i="1"/>
  <c r="A35872" i="1"/>
  <c r="B35872" i="1"/>
  <c r="A35873" i="1"/>
  <c r="B35873" i="1"/>
  <c r="A35874" i="1"/>
  <c r="B35874" i="1"/>
  <c r="A35875" i="1"/>
  <c r="B35875" i="1"/>
  <c r="A35876" i="1"/>
  <c r="B35876" i="1"/>
  <c r="A35877" i="1"/>
  <c r="B35877" i="1"/>
  <c r="A35878" i="1"/>
  <c r="B35878" i="1"/>
  <c r="A35879" i="1"/>
  <c r="B35879" i="1"/>
  <c r="A35880" i="1"/>
  <c r="B35880" i="1"/>
  <c r="A35881" i="1"/>
  <c r="B35881" i="1"/>
  <c r="A35882" i="1"/>
  <c r="B35882" i="1"/>
  <c r="A35883" i="1"/>
  <c r="B35883" i="1"/>
  <c r="A35884" i="1"/>
  <c r="B35884" i="1"/>
  <c r="A35885" i="1"/>
  <c r="B35885" i="1"/>
  <c r="A35886" i="1"/>
  <c r="B35886" i="1"/>
  <c r="A35887" i="1"/>
  <c r="B35887" i="1"/>
  <c r="A35888" i="1"/>
  <c r="B35888" i="1"/>
  <c r="A35889" i="1"/>
  <c r="B35889" i="1"/>
  <c r="A35890" i="1"/>
  <c r="B35890" i="1"/>
  <c r="A35891" i="1"/>
  <c r="B35891" i="1"/>
  <c r="A35892" i="1"/>
  <c r="B35892" i="1"/>
  <c r="A35893" i="1"/>
  <c r="B35893" i="1"/>
  <c r="A35894" i="1"/>
  <c r="B35894" i="1"/>
  <c r="A35895" i="1"/>
  <c r="B35895" i="1"/>
  <c r="A35896" i="1"/>
  <c r="B35896" i="1"/>
  <c r="A35897" i="1"/>
  <c r="B35897" i="1"/>
  <c r="A35898" i="1"/>
  <c r="B35898" i="1"/>
  <c r="A35899" i="1"/>
  <c r="B35899" i="1"/>
  <c r="A35900" i="1"/>
  <c r="B35900" i="1"/>
  <c r="A35901" i="1"/>
  <c r="B35901" i="1"/>
  <c r="A35902" i="1"/>
  <c r="B35902" i="1"/>
  <c r="A35903" i="1"/>
  <c r="B35903" i="1"/>
  <c r="A35904" i="1"/>
  <c r="B35904" i="1"/>
  <c r="A35905" i="1"/>
  <c r="B35905" i="1"/>
  <c r="A35906" i="1"/>
  <c r="B35906" i="1"/>
  <c r="A35907" i="1"/>
  <c r="B35907" i="1"/>
  <c r="A35908" i="1"/>
  <c r="B35908" i="1"/>
  <c r="A35909" i="1"/>
  <c r="B35909" i="1"/>
  <c r="A35910" i="1"/>
  <c r="B35910" i="1"/>
  <c r="A35911" i="1"/>
  <c r="B35911" i="1"/>
  <c r="A35912" i="1"/>
  <c r="B35912" i="1"/>
  <c r="A35913" i="1"/>
  <c r="B35913" i="1"/>
  <c r="A35914" i="1"/>
  <c r="B35914" i="1"/>
  <c r="A35915" i="1"/>
  <c r="B35915" i="1"/>
  <c r="A35916" i="1"/>
  <c r="B35916" i="1"/>
  <c r="A35917" i="1"/>
  <c r="B35917" i="1"/>
  <c r="A35918" i="1"/>
  <c r="B35918" i="1"/>
  <c r="A35919" i="1"/>
  <c r="B35919" i="1"/>
  <c r="A35920" i="1"/>
  <c r="B35920" i="1"/>
  <c r="A35921" i="1"/>
  <c r="B35921" i="1"/>
  <c r="A35922" i="1"/>
  <c r="B35922" i="1"/>
  <c r="A35923" i="1"/>
  <c r="B35923" i="1"/>
  <c r="A35924" i="1"/>
  <c r="B35924" i="1"/>
  <c r="A35925" i="1"/>
  <c r="B35925" i="1"/>
  <c r="A35926" i="1"/>
  <c r="B35926" i="1"/>
  <c r="A35927" i="1"/>
  <c r="B35927" i="1"/>
  <c r="A35928" i="1"/>
  <c r="B35928" i="1"/>
  <c r="A35929" i="1"/>
  <c r="B35929" i="1"/>
  <c r="A35930" i="1"/>
  <c r="B35930" i="1"/>
  <c r="A35931" i="1"/>
  <c r="B35931" i="1"/>
  <c r="A35932" i="1"/>
  <c r="B35932" i="1"/>
  <c r="A35933" i="1"/>
  <c r="B35933" i="1"/>
  <c r="A35934" i="1"/>
  <c r="B35934" i="1"/>
  <c r="A35935" i="1"/>
  <c r="B35935" i="1"/>
  <c r="A35936" i="1"/>
  <c r="B35936" i="1"/>
  <c r="A35937" i="1"/>
  <c r="B35937" i="1"/>
  <c r="A35938" i="1"/>
  <c r="B35938" i="1"/>
  <c r="A35939" i="1"/>
  <c r="B35939" i="1"/>
  <c r="A35940" i="1"/>
  <c r="B35940" i="1"/>
  <c r="A35941" i="1"/>
  <c r="B35941" i="1"/>
  <c r="A35942" i="1"/>
  <c r="B35942" i="1"/>
  <c r="A35943" i="1"/>
  <c r="B35943" i="1"/>
  <c r="A35944" i="1"/>
  <c r="B35944" i="1"/>
  <c r="A35945" i="1"/>
  <c r="B35945" i="1"/>
  <c r="A35946" i="1"/>
  <c r="B35946" i="1"/>
  <c r="A35947" i="1"/>
  <c r="B35947" i="1"/>
  <c r="A35948" i="1"/>
  <c r="B35948" i="1"/>
  <c r="A35949" i="1"/>
  <c r="B35949" i="1"/>
  <c r="A35950" i="1"/>
  <c r="B35950" i="1"/>
  <c r="A35951" i="1"/>
  <c r="B35951" i="1"/>
  <c r="A35952" i="1"/>
  <c r="B35952" i="1"/>
  <c r="A35953" i="1"/>
  <c r="B35953" i="1"/>
  <c r="A35954" i="1"/>
  <c r="B35954" i="1"/>
  <c r="A35955" i="1"/>
  <c r="B35955" i="1"/>
  <c r="A35956" i="1"/>
  <c r="B35956" i="1"/>
  <c r="A35957" i="1"/>
  <c r="B35957" i="1"/>
  <c r="A35958" i="1"/>
  <c r="B35958" i="1"/>
  <c r="A35959" i="1"/>
  <c r="B35959" i="1"/>
  <c r="A35960" i="1"/>
  <c r="B35960" i="1"/>
  <c r="A35961" i="1"/>
  <c r="B35961" i="1"/>
  <c r="A35962" i="1"/>
  <c r="B35962" i="1"/>
  <c r="A35963" i="1"/>
  <c r="B35963" i="1"/>
  <c r="A35964" i="1"/>
  <c r="B35964" i="1"/>
  <c r="A35965" i="1"/>
  <c r="B35965" i="1"/>
  <c r="A35966" i="1"/>
  <c r="B35966" i="1"/>
  <c r="A35967" i="1"/>
  <c r="B35967" i="1"/>
  <c r="A35968" i="1"/>
  <c r="B35968" i="1"/>
  <c r="A35969" i="1"/>
  <c r="B35969" i="1"/>
  <c r="A35970" i="1"/>
  <c r="B35970" i="1"/>
  <c r="A35971" i="1"/>
  <c r="B35971" i="1"/>
  <c r="A35972" i="1"/>
  <c r="B35972" i="1"/>
  <c r="A35973" i="1"/>
  <c r="B35973" i="1"/>
  <c r="A35974" i="1"/>
  <c r="B35974" i="1"/>
  <c r="A35975" i="1"/>
  <c r="B35975" i="1"/>
  <c r="A35976" i="1"/>
  <c r="B35976" i="1"/>
  <c r="A35977" i="1"/>
  <c r="B35977" i="1"/>
  <c r="A35978" i="1"/>
  <c r="B35978" i="1"/>
  <c r="A35979" i="1"/>
  <c r="B35979" i="1"/>
  <c r="A35980" i="1"/>
  <c r="B35980" i="1"/>
  <c r="A35981" i="1"/>
  <c r="B35981" i="1"/>
  <c r="A35982" i="1"/>
  <c r="B35982" i="1"/>
  <c r="A35983" i="1"/>
  <c r="B35983" i="1"/>
  <c r="A35984" i="1"/>
  <c r="B35984" i="1"/>
  <c r="A35985" i="1"/>
  <c r="B35985" i="1"/>
  <c r="A35986" i="1"/>
  <c r="B35986" i="1"/>
  <c r="A35987" i="1"/>
  <c r="B35987" i="1"/>
  <c r="A35988" i="1"/>
  <c r="B35988" i="1"/>
  <c r="A35989" i="1"/>
  <c r="B35989" i="1"/>
  <c r="A35990" i="1"/>
  <c r="B35990" i="1"/>
  <c r="A35991" i="1"/>
  <c r="B35991" i="1"/>
  <c r="A35992" i="1"/>
  <c r="B35992" i="1"/>
  <c r="A35993" i="1"/>
  <c r="B35993" i="1"/>
  <c r="A35994" i="1"/>
  <c r="B35994" i="1"/>
  <c r="A35995" i="1"/>
  <c r="B35995" i="1"/>
  <c r="A35996" i="1"/>
  <c r="B35996" i="1"/>
  <c r="A35997" i="1"/>
  <c r="B35997" i="1"/>
  <c r="A35998" i="1"/>
  <c r="B35998" i="1"/>
  <c r="A35999" i="1"/>
  <c r="B35999" i="1"/>
  <c r="A36000" i="1"/>
  <c r="B36000" i="1"/>
  <c r="A36001" i="1"/>
  <c r="B36001" i="1"/>
  <c r="A36002" i="1"/>
  <c r="B36002" i="1"/>
  <c r="A36003" i="1"/>
  <c r="B36003" i="1"/>
  <c r="A36004" i="1"/>
  <c r="B36004" i="1"/>
  <c r="A36005" i="1"/>
  <c r="B36005" i="1"/>
  <c r="A36006" i="1"/>
  <c r="B36006" i="1"/>
  <c r="A36007" i="1"/>
  <c r="B36007" i="1"/>
  <c r="A36008" i="1"/>
  <c r="B36008" i="1"/>
  <c r="A36009" i="1"/>
  <c r="B36009" i="1"/>
  <c r="A36010" i="1"/>
  <c r="B36010" i="1"/>
  <c r="A36011" i="1"/>
  <c r="B36011" i="1"/>
  <c r="A36012" i="1"/>
  <c r="B36012" i="1"/>
  <c r="A36013" i="1"/>
  <c r="B36013" i="1"/>
  <c r="A36014" i="1"/>
  <c r="B36014" i="1"/>
  <c r="A36015" i="1"/>
  <c r="B36015" i="1"/>
  <c r="A36016" i="1"/>
  <c r="B36016" i="1"/>
  <c r="A36017" i="1"/>
  <c r="B36017" i="1"/>
  <c r="A36018" i="1"/>
  <c r="B36018" i="1"/>
  <c r="A36019" i="1"/>
  <c r="B36019" i="1"/>
  <c r="A36020" i="1"/>
  <c r="B36020" i="1"/>
  <c r="A36021" i="1"/>
  <c r="B36021" i="1"/>
  <c r="A36022" i="1"/>
  <c r="B36022" i="1"/>
  <c r="A36023" i="1"/>
  <c r="B36023" i="1"/>
  <c r="A36024" i="1"/>
  <c r="B36024" i="1"/>
  <c r="A36025" i="1"/>
  <c r="B36025" i="1"/>
  <c r="A36026" i="1"/>
  <c r="B36026" i="1"/>
  <c r="A36027" i="1"/>
  <c r="B36027" i="1"/>
  <c r="A36028" i="1"/>
  <c r="B36028" i="1"/>
  <c r="A36029" i="1"/>
  <c r="B36029" i="1"/>
  <c r="A36030" i="1"/>
  <c r="B36030" i="1"/>
  <c r="A36031" i="1"/>
  <c r="B36031" i="1"/>
  <c r="A36032" i="1"/>
  <c r="B36032" i="1"/>
  <c r="A36033" i="1"/>
  <c r="B36033" i="1"/>
  <c r="A36034" i="1"/>
  <c r="B36034" i="1"/>
  <c r="A36035" i="1"/>
  <c r="B36035" i="1"/>
  <c r="A36036" i="1"/>
  <c r="B36036" i="1"/>
  <c r="A36037" i="1"/>
  <c r="B36037" i="1"/>
  <c r="A36038" i="1"/>
  <c r="B36038" i="1"/>
  <c r="A36039" i="1"/>
  <c r="B36039" i="1"/>
  <c r="A36040" i="1"/>
  <c r="B36040" i="1"/>
  <c r="A36041" i="1"/>
  <c r="B36041" i="1"/>
  <c r="A36042" i="1"/>
  <c r="B36042" i="1"/>
  <c r="A36043" i="1"/>
  <c r="B36043" i="1"/>
  <c r="A36044" i="1"/>
  <c r="B36044" i="1"/>
  <c r="A36045" i="1"/>
  <c r="B36045" i="1"/>
  <c r="A36046" i="1"/>
  <c r="B36046" i="1"/>
  <c r="A36047" i="1"/>
  <c r="B36047" i="1"/>
  <c r="A36048" i="1"/>
  <c r="B36048" i="1"/>
  <c r="A36049" i="1"/>
  <c r="B36049" i="1"/>
  <c r="A36050" i="1"/>
  <c r="B36050" i="1"/>
  <c r="A36051" i="1"/>
  <c r="B36051" i="1"/>
  <c r="A36052" i="1"/>
  <c r="B36052" i="1"/>
  <c r="A36053" i="1"/>
  <c r="B36053" i="1"/>
  <c r="A36054" i="1"/>
  <c r="B36054" i="1"/>
  <c r="A36055" i="1"/>
  <c r="B36055" i="1"/>
  <c r="A36056" i="1"/>
  <c r="B36056" i="1"/>
  <c r="A36057" i="1"/>
  <c r="B36057" i="1"/>
  <c r="A36058" i="1"/>
  <c r="B36058" i="1"/>
  <c r="A36059" i="1"/>
  <c r="B36059" i="1"/>
  <c r="A36060" i="1"/>
  <c r="B36060" i="1"/>
  <c r="A36061" i="1"/>
  <c r="B36061" i="1"/>
  <c r="A36062" i="1"/>
  <c r="B36062" i="1"/>
  <c r="A36063" i="1"/>
  <c r="B36063" i="1"/>
  <c r="A36064" i="1"/>
  <c r="B36064" i="1"/>
  <c r="A36065" i="1"/>
  <c r="B36065" i="1"/>
  <c r="A36066" i="1"/>
  <c r="B36066" i="1"/>
  <c r="A36067" i="1"/>
  <c r="B36067" i="1"/>
  <c r="A36068" i="1"/>
  <c r="B36068" i="1"/>
  <c r="A36069" i="1"/>
  <c r="B36069" i="1"/>
  <c r="A36070" i="1"/>
  <c r="B36070" i="1"/>
  <c r="A36071" i="1"/>
  <c r="B36071" i="1"/>
  <c r="A36072" i="1"/>
  <c r="B36072" i="1"/>
  <c r="A36073" i="1"/>
  <c r="B36073" i="1"/>
  <c r="A36074" i="1"/>
  <c r="B36074" i="1"/>
  <c r="A36075" i="1"/>
  <c r="B36075" i="1"/>
  <c r="A36076" i="1"/>
  <c r="B36076" i="1"/>
  <c r="A36077" i="1"/>
  <c r="B36077" i="1"/>
  <c r="A36078" i="1"/>
  <c r="B36078" i="1"/>
  <c r="A36079" i="1"/>
  <c r="B36079" i="1"/>
  <c r="A36080" i="1"/>
  <c r="B36080" i="1"/>
  <c r="A36081" i="1"/>
  <c r="B36081" i="1"/>
  <c r="A36082" i="1"/>
  <c r="B36082" i="1"/>
  <c r="A36083" i="1"/>
  <c r="B36083" i="1"/>
  <c r="A36084" i="1"/>
  <c r="B36084" i="1"/>
  <c r="A36085" i="1"/>
  <c r="B36085" i="1"/>
  <c r="A36086" i="1"/>
  <c r="B36086" i="1"/>
  <c r="A36087" i="1"/>
  <c r="B36087" i="1"/>
  <c r="A36088" i="1"/>
  <c r="B36088" i="1"/>
  <c r="A36089" i="1"/>
  <c r="B36089" i="1"/>
  <c r="A36090" i="1"/>
  <c r="B36090" i="1"/>
  <c r="A36091" i="1"/>
  <c r="B36091" i="1"/>
  <c r="A36092" i="1"/>
  <c r="B36092" i="1"/>
  <c r="A36093" i="1"/>
  <c r="B36093" i="1"/>
  <c r="A36094" i="1"/>
  <c r="B36094" i="1"/>
  <c r="A36095" i="1"/>
  <c r="B36095" i="1"/>
  <c r="A36096" i="1"/>
  <c r="B36096" i="1"/>
  <c r="A36097" i="1"/>
  <c r="B36097" i="1"/>
  <c r="A36098" i="1"/>
  <c r="B36098" i="1"/>
  <c r="A36099" i="1"/>
  <c r="B36099" i="1"/>
  <c r="A36100" i="1"/>
  <c r="B36100" i="1"/>
  <c r="A36101" i="1"/>
  <c r="B36101" i="1"/>
  <c r="A36102" i="1"/>
  <c r="B36102" i="1"/>
  <c r="A36103" i="1"/>
  <c r="B36103" i="1"/>
  <c r="A36104" i="1"/>
  <c r="B36104" i="1"/>
  <c r="A36105" i="1"/>
  <c r="B36105" i="1"/>
  <c r="A36106" i="1"/>
  <c r="B36106" i="1"/>
  <c r="A36107" i="1"/>
  <c r="B36107" i="1"/>
  <c r="A36108" i="1"/>
  <c r="B36108" i="1"/>
  <c r="A36109" i="1"/>
  <c r="B36109" i="1"/>
  <c r="A36110" i="1"/>
  <c r="B36110" i="1"/>
  <c r="A36111" i="1"/>
  <c r="B36111" i="1"/>
  <c r="A36112" i="1"/>
  <c r="B36112" i="1"/>
  <c r="A36113" i="1"/>
  <c r="B36113" i="1"/>
  <c r="A36114" i="1"/>
  <c r="B36114" i="1"/>
  <c r="A36115" i="1"/>
  <c r="B36115" i="1"/>
  <c r="A36116" i="1"/>
  <c r="B36116" i="1"/>
  <c r="A36117" i="1"/>
  <c r="B36117" i="1"/>
  <c r="A36118" i="1"/>
  <c r="B36118" i="1"/>
  <c r="A36119" i="1"/>
  <c r="B36119" i="1"/>
  <c r="A36120" i="1"/>
  <c r="B36120" i="1"/>
  <c r="A36121" i="1"/>
  <c r="B36121" i="1"/>
  <c r="A36122" i="1"/>
  <c r="B36122" i="1"/>
  <c r="A36123" i="1"/>
  <c r="B36123" i="1"/>
  <c r="A36124" i="1"/>
  <c r="B36124" i="1"/>
  <c r="A36125" i="1"/>
  <c r="B36125" i="1"/>
  <c r="A36126" i="1"/>
  <c r="B36126" i="1"/>
  <c r="A36127" i="1"/>
  <c r="B36127" i="1"/>
  <c r="A36128" i="1"/>
  <c r="B36128" i="1"/>
  <c r="A36129" i="1"/>
  <c r="B36129" i="1"/>
  <c r="A36130" i="1"/>
  <c r="B36130" i="1"/>
  <c r="A36131" i="1"/>
  <c r="B36131" i="1"/>
  <c r="A36132" i="1"/>
  <c r="B36132" i="1"/>
  <c r="A36133" i="1"/>
  <c r="B36133" i="1"/>
  <c r="A36134" i="1"/>
  <c r="B36134" i="1"/>
  <c r="A36135" i="1"/>
  <c r="B36135" i="1"/>
  <c r="A36136" i="1"/>
  <c r="B36136" i="1"/>
  <c r="A36137" i="1"/>
  <c r="B36137" i="1"/>
  <c r="A36138" i="1"/>
  <c r="B36138" i="1"/>
  <c r="A36139" i="1"/>
  <c r="B36139" i="1"/>
  <c r="A36140" i="1"/>
  <c r="B36140" i="1"/>
  <c r="A36141" i="1"/>
  <c r="B36141" i="1"/>
  <c r="A36142" i="1"/>
  <c r="B36142" i="1"/>
  <c r="A36143" i="1"/>
  <c r="B36143" i="1"/>
  <c r="A36144" i="1"/>
  <c r="B36144" i="1"/>
  <c r="A36145" i="1"/>
  <c r="B36145" i="1"/>
  <c r="A36146" i="1"/>
  <c r="B36146" i="1"/>
  <c r="A36147" i="1"/>
  <c r="B36147" i="1"/>
  <c r="A36148" i="1"/>
  <c r="B36148" i="1"/>
  <c r="A36149" i="1"/>
  <c r="B36149" i="1"/>
  <c r="A36150" i="1"/>
  <c r="B36150" i="1"/>
  <c r="A36151" i="1"/>
  <c r="B36151" i="1"/>
  <c r="A36152" i="1"/>
  <c r="B36152" i="1"/>
  <c r="A36153" i="1"/>
  <c r="B36153" i="1"/>
  <c r="A36154" i="1"/>
  <c r="B36154" i="1"/>
  <c r="A36155" i="1"/>
  <c r="B36155" i="1"/>
  <c r="A36156" i="1"/>
  <c r="B36156" i="1"/>
  <c r="A36157" i="1"/>
  <c r="B36157" i="1"/>
  <c r="A36158" i="1"/>
  <c r="B36158" i="1"/>
  <c r="A36159" i="1"/>
  <c r="B36159" i="1"/>
  <c r="A36160" i="1"/>
  <c r="B36160" i="1"/>
  <c r="A36161" i="1"/>
  <c r="B36161" i="1"/>
  <c r="A36162" i="1"/>
  <c r="B36162" i="1"/>
  <c r="A36163" i="1"/>
  <c r="B36163" i="1"/>
  <c r="A36164" i="1"/>
  <c r="B36164" i="1"/>
  <c r="A36165" i="1"/>
  <c r="B36165" i="1"/>
  <c r="A36166" i="1"/>
  <c r="B36166" i="1"/>
  <c r="A36167" i="1"/>
  <c r="B36167" i="1"/>
  <c r="A36168" i="1"/>
  <c r="B36168" i="1"/>
  <c r="A36169" i="1"/>
  <c r="B36169" i="1"/>
  <c r="A36170" i="1"/>
  <c r="B36170" i="1"/>
  <c r="A36171" i="1"/>
  <c r="B36171" i="1"/>
  <c r="A36172" i="1"/>
  <c r="B36172" i="1"/>
  <c r="A36173" i="1"/>
  <c r="B36173" i="1"/>
  <c r="A36174" i="1"/>
  <c r="B36174" i="1"/>
  <c r="A36175" i="1"/>
  <c r="B36175" i="1"/>
  <c r="A36176" i="1"/>
  <c r="B36176" i="1"/>
  <c r="A36177" i="1"/>
  <c r="B36177" i="1"/>
  <c r="A36178" i="1"/>
  <c r="B36178" i="1"/>
  <c r="A36179" i="1"/>
  <c r="B36179" i="1"/>
  <c r="A36180" i="1"/>
  <c r="B36180" i="1"/>
  <c r="A36181" i="1"/>
  <c r="B36181" i="1"/>
  <c r="A36182" i="1"/>
  <c r="B36182" i="1"/>
  <c r="A36183" i="1"/>
  <c r="B36183" i="1"/>
  <c r="A36184" i="1"/>
  <c r="B36184" i="1"/>
  <c r="A36185" i="1"/>
  <c r="B36185" i="1"/>
  <c r="A36186" i="1"/>
  <c r="B36186" i="1"/>
  <c r="A36187" i="1"/>
  <c r="B36187" i="1"/>
  <c r="A36188" i="1"/>
  <c r="B36188" i="1"/>
  <c r="A36189" i="1"/>
  <c r="B36189" i="1"/>
  <c r="A36190" i="1"/>
  <c r="B36190" i="1"/>
  <c r="A36191" i="1"/>
  <c r="B36191" i="1"/>
  <c r="A36192" i="1"/>
  <c r="B36192" i="1"/>
  <c r="A36193" i="1"/>
  <c r="B36193" i="1"/>
  <c r="A36194" i="1"/>
  <c r="B36194" i="1"/>
  <c r="A36195" i="1"/>
  <c r="B36195" i="1"/>
  <c r="A36196" i="1"/>
  <c r="B36196" i="1"/>
  <c r="A36197" i="1"/>
  <c r="B36197" i="1"/>
  <c r="A36198" i="1"/>
  <c r="B36198" i="1"/>
  <c r="A36199" i="1"/>
  <c r="B36199" i="1"/>
  <c r="A36200" i="1"/>
  <c r="B36200" i="1"/>
  <c r="A36201" i="1"/>
  <c r="B36201" i="1"/>
  <c r="A36202" i="1"/>
  <c r="B36202" i="1"/>
  <c r="A36203" i="1"/>
  <c r="B36203" i="1"/>
  <c r="A36204" i="1"/>
  <c r="B36204" i="1"/>
  <c r="A36205" i="1"/>
  <c r="B36205" i="1"/>
  <c r="A36206" i="1"/>
  <c r="B36206" i="1"/>
  <c r="A36207" i="1"/>
  <c r="B36207" i="1"/>
  <c r="A36208" i="1"/>
  <c r="B36208" i="1"/>
  <c r="A36209" i="1"/>
  <c r="B36209" i="1"/>
  <c r="A36210" i="1"/>
  <c r="B36210" i="1"/>
  <c r="A36211" i="1"/>
  <c r="B36211" i="1"/>
  <c r="A36212" i="1"/>
  <c r="B36212" i="1"/>
  <c r="A36213" i="1"/>
  <c r="B36213" i="1"/>
  <c r="A36214" i="1"/>
  <c r="B36214" i="1"/>
  <c r="A36215" i="1"/>
  <c r="B36215" i="1"/>
  <c r="A36216" i="1"/>
  <c r="B36216" i="1"/>
  <c r="A36217" i="1"/>
  <c r="B36217" i="1"/>
  <c r="A36218" i="1"/>
  <c r="B36218" i="1"/>
  <c r="A36219" i="1"/>
  <c r="B36219" i="1"/>
  <c r="A36220" i="1"/>
  <c r="B36220" i="1"/>
  <c r="A36221" i="1"/>
  <c r="B36221" i="1"/>
  <c r="A36222" i="1"/>
  <c r="B36222" i="1"/>
  <c r="A36223" i="1"/>
  <c r="B36223" i="1"/>
  <c r="A36224" i="1"/>
  <c r="B36224" i="1"/>
  <c r="A36225" i="1"/>
  <c r="B36225" i="1"/>
  <c r="A36226" i="1"/>
  <c r="B36226" i="1"/>
  <c r="A36227" i="1"/>
  <c r="B36227" i="1"/>
  <c r="A36228" i="1"/>
  <c r="B36228" i="1"/>
  <c r="A36229" i="1"/>
  <c r="B36229" i="1"/>
  <c r="A36230" i="1"/>
  <c r="B36230" i="1"/>
  <c r="A36231" i="1"/>
  <c r="B36231" i="1"/>
  <c r="A36232" i="1"/>
  <c r="B36232" i="1"/>
  <c r="A36233" i="1"/>
  <c r="B36233" i="1"/>
  <c r="A36234" i="1"/>
  <c r="B36234" i="1"/>
  <c r="A36235" i="1"/>
  <c r="B36235" i="1"/>
  <c r="A36236" i="1"/>
  <c r="B36236" i="1"/>
  <c r="A36237" i="1"/>
  <c r="B36237" i="1"/>
  <c r="A36238" i="1"/>
  <c r="B36238" i="1"/>
  <c r="A36239" i="1"/>
  <c r="B36239" i="1"/>
  <c r="A36240" i="1"/>
  <c r="B36240" i="1"/>
  <c r="A36241" i="1"/>
  <c r="B36241" i="1"/>
  <c r="A36242" i="1"/>
  <c r="B36242" i="1"/>
  <c r="A36243" i="1"/>
  <c r="B36243" i="1"/>
  <c r="A36244" i="1"/>
  <c r="B36244" i="1"/>
  <c r="A36245" i="1"/>
  <c r="B36245" i="1"/>
  <c r="A36246" i="1"/>
  <c r="B36246" i="1"/>
  <c r="A36247" i="1"/>
  <c r="B36247" i="1"/>
  <c r="A36248" i="1"/>
  <c r="B36248" i="1"/>
  <c r="A36249" i="1"/>
  <c r="B36249" i="1"/>
  <c r="A36250" i="1"/>
  <c r="B36250" i="1"/>
  <c r="A36251" i="1"/>
  <c r="B36251" i="1"/>
  <c r="A36252" i="1"/>
  <c r="B36252" i="1"/>
  <c r="A36253" i="1"/>
  <c r="B36253" i="1"/>
  <c r="A36254" i="1"/>
  <c r="B36254" i="1"/>
  <c r="A36255" i="1"/>
  <c r="B36255" i="1"/>
  <c r="A36256" i="1"/>
  <c r="B36256" i="1"/>
  <c r="A36257" i="1"/>
  <c r="B36257" i="1"/>
  <c r="A36258" i="1"/>
  <c r="B36258" i="1"/>
  <c r="A36259" i="1"/>
  <c r="B36259" i="1"/>
  <c r="A36260" i="1"/>
  <c r="B36260" i="1"/>
  <c r="A36261" i="1"/>
  <c r="B36261" i="1"/>
  <c r="A36262" i="1"/>
  <c r="B36262" i="1"/>
  <c r="A36263" i="1"/>
  <c r="B36263" i="1"/>
  <c r="A36264" i="1"/>
  <c r="B36264" i="1"/>
  <c r="A36265" i="1"/>
  <c r="B36265" i="1"/>
  <c r="A36266" i="1"/>
  <c r="B36266" i="1"/>
  <c r="A36267" i="1"/>
  <c r="B36267" i="1"/>
  <c r="A36268" i="1"/>
  <c r="B36268" i="1"/>
  <c r="A36269" i="1"/>
  <c r="B36269" i="1"/>
  <c r="A36270" i="1"/>
  <c r="B36270" i="1"/>
  <c r="A36271" i="1"/>
  <c r="B36271" i="1"/>
  <c r="A36272" i="1"/>
  <c r="B36272" i="1"/>
  <c r="A36273" i="1"/>
  <c r="B36273" i="1"/>
  <c r="A36274" i="1"/>
  <c r="B36274" i="1"/>
  <c r="A36275" i="1"/>
  <c r="B36275" i="1"/>
  <c r="A36276" i="1"/>
  <c r="B36276" i="1"/>
  <c r="A36277" i="1"/>
  <c r="B36277" i="1"/>
  <c r="A36278" i="1"/>
  <c r="B36278" i="1"/>
  <c r="A36279" i="1"/>
  <c r="B36279" i="1"/>
  <c r="A36280" i="1"/>
  <c r="B36280" i="1"/>
  <c r="A36281" i="1"/>
  <c r="B36281" i="1"/>
  <c r="A36282" i="1"/>
  <c r="B36282" i="1"/>
  <c r="A36283" i="1"/>
  <c r="B36283" i="1"/>
  <c r="A36284" i="1"/>
  <c r="B36284" i="1"/>
  <c r="A36285" i="1"/>
  <c r="B36285" i="1"/>
  <c r="A36286" i="1"/>
  <c r="B36286" i="1"/>
  <c r="A36287" i="1"/>
  <c r="B36287" i="1"/>
  <c r="A36288" i="1"/>
  <c r="B36288" i="1"/>
  <c r="A36289" i="1"/>
  <c r="B36289" i="1"/>
  <c r="A36290" i="1"/>
  <c r="B36290" i="1"/>
  <c r="A36291" i="1"/>
  <c r="B36291" i="1"/>
  <c r="A36292" i="1"/>
  <c r="B36292" i="1"/>
  <c r="A36293" i="1"/>
  <c r="B36293" i="1"/>
  <c r="A36294" i="1"/>
  <c r="B36294" i="1"/>
  <c r="A36295" i="1"/>
  <c r="B36295" i="1"/>
  <c r="A36296" i="1"/>
  <c r="B36296" i="1"/>
  <c r="A36297" i="1"/>
  <c r="B36297" i="1"/>
  <c r="A36298" i="1"/>
  <c r="B36298" i="1"/>
  <c r="A36299" i="1"/>
  <c r="B36299" i="1"/>
  <c r="A36300" i="1"/>
  <c r="B36300" i="1"/>
  <c r="A36301" i="1"/>
  <c r="B36301" i="1"/>
  <c r="A36302" i="1"/>
  <c r="B36302" i="1"/>
  <c r="A36303" i="1"/>
  <c r="B36303" i="1"/>
  <c r="A36304" i="1"/>
  <c r="B36304" i="1"/>
  <c r="A36305" i="1"/>
  <c r="B36305" i="1"/>
  <c r="A36306" i="1"/>
  <c r="B36306" i="1"/>
  <c r="A36307" i="1"/>
  <c r="B36307" i="1"/>
  <c r="A36308" i="1"/>
  <c r="B36308" i="1"/>
  <c r="A36309" i="1"/>
  <c r="B36309" i="1"/>
  <c r="A36310" i="1"/>
  <c r="B36310" i="1"/>
  <c r="A36311" i="1"/>
  <c r="B36311" i="1"/>
  <c r="A36312" i="1"/>
  <c r="B36312" i="1"/>
  <c r="A36313" i="1"/>
  <c r="B36313" i="1"/>
  <c r="A36314" i="1"/>
  <c r="B36314" i="1"/>
  <c r="A36315" i="1"/>
  <c r="B36315" i="1"/>
  <c r="A36316" i="1"/>
  <c r="B36316" i="1"/>
  <c r="A36317" i="1"/>
  <c r="B36317" i="1"/>
  <c r="A36318" i="1"/>
  <c r="B36318" i="1"/>
  <c r="A36319" i="1"/>
  <c r="B36319" i="1"/>
  <c r="A36320" i="1"/>
  <c r="B36320" i="1"/>
  <c r="A36321" i="1"/>
  <c r="B36321" i="1"/>
  <c r="A36322" i="1"/>
  <c r="B36322" i="1"/>
  <c r="A36323" i="1"/>
  <c r="B36323" i="1"/>
  <c r="A36324" i="1"/>
  <c r="B36324" i="1"/>
  <c r="A36325" i="1"/>
  <c r="B36325" i="1"/>
  <c r="A36326" i="1"/>
  <c r="B36326" i="1"/>
  <c r="A36327" i="1"/>
  <c r="B36327" i="1"/>
  <c r="A36328" i="1"/>
  <c r="B36328" i="1"/>
  <c r="A36329" i="1"/>
  <c r="B36329" i="1"/>
  <c r="A36330" i="1"/>
  <c r="B36330" i="1"/>
  <c r="A36331" i="1"/>
  <c r="B36331" i="1"/>
  <c r="A36332" i="1"/>
  <c r="B36332" i="1"/>
  <c r="A36333" i="1"/>
  <c r="B36333" i="1"/>
  <c r="A36334" i="1"/>
  <c r="B36334" i="1"/>
  <c r="A36335" i="1"/>
  <c r="B36335" i="1"/>
  <c r="A36336" i="1"/>
  <c r="B36336" i="1"/>
  <c r="A36337" i="1"/>
  <c r="B36337" i="1"/>
  <c r="A36338" i="1"/>
  <c r="B36338" i="1"/>
  <c r="A36339" i="1"/>
  <c r="B36339" i="1"/>
  <c r="A36340" i="1"/>
  <c r="B36340" i="1"/>
  <c r="A36341" i="1"/>
  <c r="B36341" i="1"/>
  <c r="A36342" i="1"/>
  <c r="B36342" i="1"/>
  <c r="A36343" i="1"/>
  <c r="B36343" i="1"/>
  <c r="A36344" i="1"/>
  <c r="B36344" i="1"/>
  <c r="A36345" i="1"/>
  <c r="B36345" i="1"/>
  <c r="A36346" i="1"/>
  <c r="B36346" i="1"/>
  <c r="A36347" i="1"/>
  <c r="B36347" i="1"/>
  <c r="A36348" i="1"/>
  <c r="B36348" i="1"/>
  <c r="A36349" i="1"/>
  <c r="B36349" i="1"/>
  <c r="A36350" i="1"/>
  <c r="B36350" i="1"/>
  <c r="A36351" i="1"/>
  <c r="B36351" i="1"/>
  <c r="A36352" i="1"/>
  <c r="B36352" i="1"/>
  <c r="A36353" i="1"/>
  <c r="B36353" i="1"/>
  <c r="A36354" i="1"/>
  <c r="B36354" i="1"/>
  <c r="A36355" i="1"/>
  <c r="B36355" i="1"/>
  <c r="A36356" i="1"/>
  <c r="B36356" i="1"/>
  <c r="A36357" i="1"/>
  <c r="B36357" i="1"/>
  <c r="A36358" i="1"/>
  <c r="B36358" i="1"/>
  <c r="A36359" i="1"/>
  <c r="B36359" i="1"/>
  <c r="A36360" i="1"/>
  <c r="B36360" i="1"/>
  <c r="A36361" i="1"/>
  <c r="B36361" i="1"/>
  <c r="A36362" i="1"/>
  <c r="B36362" i="1"/>
  <c r="A36363" i="1"/>
  <c r="B36363" i="1"/>
  <c r="A36364" i="1"/>
  <c r="B36364" i="1"/>
  <c r="A36365" i="1"/>
  <c r="B36365" i="1"/>
  <c r="A36366" i="1"/>
  <c r="B36366" i="1"/>
  <c r="A36367" i="1"/>
  <c r="B36367" i="1"/>
  <c r="A36368" i="1"/>
  <c r="B36368" i="1"/>
  <c r="A36369" i="1"/>
  <c r="B36369" i="1"/>
  <c r="A36370" i="1"/>
  <c r="B36370" i="1"/>
  <c r="A36371" i="1"/>
  <c r="B36371" i="1"/>
  <c r="A36372" i="1"/>
  <c r="B36372" i="1"/>
  <c r="A36373" i="1"/>
  <c r="B36373" i="1"/>
  <c r="A36374" i="1"/>
  <c r="B36374" i="1"/>
  <c r="A36375" i="1"/>
  <c r="B36375" i="1"/>
  <c r="A36376" i="1"/>
  <c r="B36376" i="1"/>
  <c r="A36377" i="1"/>
  <c r="B36377" i="1"/>
  <c r="A36378" i="1"/>
  <c r="B36378" i="1"/>
  <c r="A36379" i="1"/>
  <c r="B36379" i="1"/>
  <c r="A36380" i="1"/>
  <c r="B36380" i="1"/>
  <c r="A36381" i="1"/>
  <c r="B36381" i="1"/>
  <c r="A36382" i="1"/>
  <c r="B36382" i="1"/>
  <c r="A36383" i="1"/>
  <c r="B36383" i="1"/>
  <c r="A36384" i="1"/>
  <c r="B36384" i="1"/>
  <c r="A36385" i="1"/>
  <c r="B36385" i="1"/>
  <c r="A36386" i="1"/>
  <c r="B36386" i="1"/>
  <c r="A36387" i="1"/>
  <c r="B36387" i="1"/>
  <c r="A36388" i="1"/>
  <c r="B36388" i="1"/>
  <c r="A36389" i="1"/>
  <c r="B36389" i="1"/>
  <c r="A36390" i="1"/>
  <c r="B36390" i="1"/>
  <c r="A36391" i="1"/>
  <c r="B36391" i="1"/>
  <c r="A36392" i="1"/>
  <c r="B36392" i="1"/>
  <c r="A36393" i="1"/>
  <c r="B36393" i="1"/>
  <c r="A36394" i="1"/>
  <c r="B36394" i="1"/>
  <c r="A36395" i="1"/>
  <c r="B36395" i="1"/>
  <c r="A36396" i="1"/>
  <c r="B36396" i="1"/>
  <c r="A36397" i="1"/>
  <c r="B36397" i="1"/>
  <c r="A36398" i="1"/>
  <c r="B36398" i="1"/>
  <c r="A36399" i="1"/>
  <c r="B36399" i="1"/>
  <c r="A36400" i="1"/>
  <c r="B36400" i="1"/>
  <c r="A36401" i="1"/>
  <c r="B36401" i="1"/>
  <c r="A36402" i="1"/>
  <c r="B36402" i="1"/>
  <c r="A36403" i="1"/>
  <c r="B36403" i="1"/>
  <c r="A36404" i="1"/>
  <c r="B36404" i="1"/>
  <c r="A36405" i="1"/>
  <c r="B36405" i="1"/>
  <c r="A36406" i="1"/>
  <c r="B36406" i="1"/>
  <c r="A36407" i="1"/>
  <c r="B36407" i="1"/>
  <c r="A36408" i="1"/>
  <c r="B36408" i="1"/>
  <c r="A36409" i="1"/>
  <c r="B36409" i="1"/>
  <c r="A36410" i="1"/>
  <c r="B36410" i="1"/>
  <c r="A36411" i="1"/>
  <c r="B36411" i="1"/>
  <c r="A36412" i="1"/>
  <c r="B36412" i="1"/>
  <c r="A36413" i="1"/>
  <c r="B36413" i="1"/>
  <c r="A36414" i="1"/>
  <c r="B36414" i="1"/>
  <c r="A36415" i="1"/>
  <c r="B36415" i="1"/>
  <c r="A36416" i="1"/>
  <c r="B36416" i="1"/>
  <c r="A36417" i="1"/>
  <c r="B36417" i="1"/>
  <c r="A36418" i="1"/>
  <c r="B36418" i="1"/>
  <c r="A36419" i="1"/>
  <c r="B36419" i="1"/>
  <c r="A36420" i="1"/>
  <c r="B36420" i="1"/>
  <c r="A36421" i="1"/>
  <c r="B36421" i="1"/>
  <c r="A36422" i="1"/>
  <c r="B36422" i="1"/>
  <c r="A36423" i="1"/>
  <c r="B36423" i="1"/>
  <c r="A36424" i="1"/>
  <c r="B36424" i="1"/>
  <c r="A36425" i="1"/>
  <c r="B36425" i="1"/>
  <c r="A36426" i="1"/>
  <c r="B36426" i="1"/>
  <c r="A36427" i="1"/>
  <c r="B36427" i="1"/>
  <c r="A36428" i="1"/>
  <c r="B36428" i="1"/>
  <c r="A36429" i="1"/>
  <c r="B36429" i="1"/>
  <c r="A36430" i="1"/>
  <c r="B36430" i="1"/>
  <c r="A36431" i="1"/>
  <c r="B36431" i="1"/>
  <c r="A36432" i="1"/>
  <c r="B36432" i="1"/>
  <c r="A36433" i="1"/>
  <c r="B36433" i="1"/>
  <c r="A36434" i="1"/>
  <c r="B36434" i="1"/>
  <c r="A36435" i="1"/>
  <c r="B36435" i="1"/>
  <c r="A36436" i="1"/>
  <c r="B36436" i="1"/>
  <c r="A36437" i="1"/>
  <c r="B36437" i="1"/>
  <c r="A36438" i="1"/>
  <c r="B36438" i="1"/>
  <c r="A36439" i="1"/>
  <c r="B36439" i="1"/>
  <c r="A36440" i="1"/>
  <c r="B36440" i="1"/>
  <c r="A36441" i="1"/>
  <c r="B36441" i="1"/>
  <c r="A36442" i="1"/>
  <c r="B36442" i="1"/>
  <c r="A36443" i="1"/>
  <c r="B36443" i="1"/>
  <c r="A36444" i="1"/>
  <c r="B36444" i="1"/>
  <c r="A36445" i="1"/>
  <c r="B36445" i="1"/>
  <c r="A36446" i="1"/>
  <c r="B36446" i="1"/>
  <c r="A36447" i="1"/>
  <c r="B36447" i="1"/>
  <c r="A36448" i="1"/>
  <c r="B36448" i="1"/>
  <c r="A36449" i="1"/>
  <c r="B36449" i="1"/>
  <c r="A36450" i="1"/>
  <c r="B36450" i="1"/>
  <c r="A36451" i="1"/>
  <c r="B36451" i="1"/>
  <c r="A36452" i="1"/>
  <c r="B36452" i="1"/>
  <c r="A36453" i="1"/>
  <c r="B36453" i="1"/>
  <c r="A36454" i="1"/>
  <c r="B36454" i="1"/>
  <c r="A36455" i="1"/>
  <c r="B36455" i="1"/>
  <c r="A36456" i="1"/>
  <c r="B36456" i="1"/>
  <c r="A36457" i="1"/>
  <c r="B36457" i="1"/>
  <c r="A36458" i="1"/>
  <c r="B36458" i="1"/>
  <c r="A36459" i="1"/>
  <c r="B36459" i="1"/>
  <c r="A36460" i="1"/>
  <c r="B36460" i="1"/>
  <c r="A36461" i="1"/>
  <c r="B36461" i="1"/>
  <c r="A36462" i="1"/>
  <c r="B36462" i="1"/>
  <c r="A36463" i="1"/>
  <c r="B36463" i="1"/>
  <c r="A36464" i="1"/>
  <c r="B36464" i="1"/>
  <c r="A36465" i="1"/>
  <c r="B36465" i="1"/>
  <c r="A36466" i="1"/>
  <c r="B36466" i="1"/>
  <c r="A36467" i="1"/>
  <c r="B36467" i="1"/>
  <c r="A36468" i="1"/>
  <c r="B36468" i="1"/>
  <c r="A36469" i="1"/>
  <c r="B36469" i="1"/>
  <c r="A36470" i="1"/>
  <c r="B36470" i="1"/>
  <c r="A36471" i="1"/>
  <c r="B36471" i="1"/>
  <c r="A36472" i="1"/>
  <c r="B36472" i="1"/>
  <c r="A36473" i="1"/>
  <c r="B36473" i="1"/>
  <c r="A36474" i="1"/>
  <c r="B36474" i="1"/>
  <c r="A36475" i="1"/>
  <c r="B36475" i="1"/>
  <c r="A36476" i="1"/>
  <c r="B36476" i="1"/>
  <c r="A36477" i="1"/>
  <c r="B36477" i="1"/>
  <c r="A36478" i="1"/>
  <c r="B36478" i="1"/>
  <c r="A36479" i="1"/>
  <c r="B36479" i="1"/>
  <c r="A36480" i="1"/>
  <c r="B36480" i="1"/>
  <c r="A36481" i="1"/>
  <c r="B36481" i="1"/>
  <c r="A36482" i="1"/>
  <c r="B36482" i="1"/>
  <c r="A36483" i="1"/>
  <c r="B36483" i="1"/>
  <c r="A36484" i="1"/>
  <c r="B36484" i="1"/>
  <c r="A36485" i="1"/>
  <c r="B36485" i="1"/>
  <c r="A36486" i="1"/>
  <c r="B36486" i="1"/>
  <c r="A36487" i="1"/>
  <c r="B36487" i="1"/>
  <c r="A36488" i="1"/>
  <c r="B36488" i="1"/>
  <c r="A36489" i="1"/>
  <c r="B36489" i="1"/>
  <c r="A36490" i="1"/>
  <c r="B36490" i="1"/>
  <c r="A36491" i="1"/>
  <c r="B36491" i="1"/>
  <c r="A36492" i="1"/>
  <c r="B36492" i="1"/>
  <c r="A36493" i="1"/>
  <c r="B36493" i="1"/>
  <c r="A36494" i="1"/>
  <c r="B36494" i="1"/>
  <c r="A36495" i="1"/>
  <c r="B36495" i="1"/>
  <c r="A36496" i="1"/>
  <c r="B36496" i="1"/>
  <c r="A36497" i="1"/>
  <c r="B36497" i="1"/>
  <c r="A36498" i="1"/>
  <c r="B36498" i="1"/>
  <c r="A36499" i="1"/>
  <c r="B36499" i="1"/>
  <c r="A36500" i="1"/>
  <c r="B36500" i="1"/>
  <c r="A36501" i="1"/>
  <c r="B36501" i="1"/>
  <c r="A36502" i="1"/>
  <c r="B36502" i="1"/>
  <c r="A36503" i="1"/>
  <c r="B36503" i="1"/>
  <c r="A36504" i="1"/>
  <c r="B36504" i="1"/>
  <c r="A36505" i="1"/>
  <c r="B36505" i="1"/>
  <c r="A36506" i="1"/>
  <c r="B36506" i="1"/>
  <c r="A36507" i="1"/>
  <c r="B36507" i="1"/>
  <c r="A36508" i="1"/>
  <c r="B36508" i="1"/>
  <c r="A36509" i="1"/>
  <c r="B36509" i="1"/>
  <c r="A36510" i="1"/>
  <c r="B36510" i="1"/>
  <c r="A36511" i="1"/>
  <c r="B36511" i="1"/>
  <c r="A36512" i="1"/>
  <c r="B36512" i="1"/>
  <c r="A36513" i="1"/>
  <c r="B36513" i="1"/>
  <c r="A36514" i="1"/>
  <c r="B36514" i="1"/>
  <c r="A36515" i="1"/>
  <c r="B36515" i="1"/>
  <c r="A36516" i="1"/>
  <c r="B36516" i="1"/>
  <c r="A36517" i="1"/>
  <c r="B36517" i="1"/>
  <c r="A36518" i="1"/>
  <c r="B36518" i="1"/>
  <c r="A36519" i="1"/>
  <c r="B36519" i="1"/>
  <c r="A36520" i="1"/>
  <c r="B36520" i="1"/>
  <c r="A36521" i="1"/>
  <c r="B36521" i="1"/>
  <c r="A36522" i="1"/>
  <c r="B36522" i="1"/>
  <c r="A36523" i="1"/>
  <c r="B36523" i="1"/>
  <c r="A36524" i="1"/>
  <c r="B36524" i="1"/>
  <c r="A36525" i="1"/>
  <c r="B36525" i="1"/>
  <c r="A36526" i="1"/>
  <c r="B36526" i="1"/>
  <c r="A36527" i="1"/>
  <c r="B36527" i="1"/>
  <c r="A36528" i="1"/>
  <c r="B36528" i="1"/>
  <c r="A36529" i="1"/>
  <c r="B36529" i="1"/>
  <c r="A36530" i="1"/>
  <c r="B36530" i="1"/>
  <c r="A36531" i="1"/>
  <c r="B36531" i="1"/>
  <c r="A36532" i="1"/>
  <c r="B36532" i="1"/>
  <c r="A36533" i="1"/>
  <c r="B36533" i="1"/>
  <c r="A36534" i="1"/>
  <c r="B36534" i="1"/>
  <c r="A36535" i="1"/>
  <c r="B36535" i="1"/>
  <c r="A36536" i="1"/>
  <c r="B36536" i="1"/>
  <c r="A36537" i="1"/>
  <c r="B36537" i="1"/>
  <c r="A36538" i="1"/>
  <c r="B36538" i="1"/>
  <c r="A36539" i="1"/>
  <c r="B36539" i="1"/>
  <c r="A36540" i="1"/>
  <c r="B36540" i="1"/>
  <c r="A36541" i="1"/>
  <c r="B36541" i="1"/>
  <c r="A36542" i="1"/>
  <c r="B36542" i="1"/>
  <c r="A36543" i="1"/>
  <c r="B36543" i="1"/>
  <c r="A36544" i="1"/>
  <c r="B36544" i="1"/>
  <c r="A36545" i="1"/>
  <c r="B36545" i="1"/>
  <c r="A36546" i="1"/>
  <c r="B36546" i="1"/>
  <c r="A36547" i="1"/>
  <c r="B36547" i="1"/>
  <c r="A36548" i="1"/>
  <c r="B36548" i="1"/>
  <c r="A36549" i="1"/>
  <c r="B36549" i="1"/>
  <c r="A36550" i="1"/>
  <c r="B36550" i="1"/>
  <c r="A36551" i="1"/>
  <c r="B36551" i="1"/>
  <c r="A36552" i="1"/>
  <c r="B36552" i="1"/>
  <c r="A36553" i="1"/>
  <c r="B36553" i="1"/>
  <c r="A36554" i="1"/>
  <c r="B36554" i="1"/>
  <c r="A36555" i="1"/>
  <c r="B36555" i="1"/>
  <c r="A36556" i="1"/>
  <c r="B36556" i="1"/>
  <c r="A36557" i="1"/>
  <c r="B36557" i="1"/>
  <c r="A36558" i="1"/>
  <c r="B36558" i="1"/>
  <c r="A36559" i="1"/>
  <c r="B36559" i="1"/>
  <c r="A36560" i="1"/>
  <c r="B36560" i="1"/>
  <c r="A36561" i="1"/>
  <c r="B36561" i="1"/>
  <c r="A36562" i="1"/>
  <c r="B36562" i="1"/>
  <c r="A36563" i="1"/>
  <c r="B36563" i="1"/>
  <c r="A36564" i="1"/>
  <c r="B36564" i="1"/>
  <c r="A36565" i="1"/>
  <c r="B36565" i="1"/>
  <c r="A36566" i="1"/>
  <c r="B36566" i="1"/>
  <c r="A36567" i="1"/>
  <c r="B36567" i="1"/>
  <c r="A36568" i="1"/>
  <c r="B36568" i="1"/>
  <c r="A36569" i="1"/>
  <c r="B36569" i="1"/>
  <c r="A36570" i="1"/>
  <c r="B36570" i="1"/>
  <c r="A36571" i="1"/>
  <c r="B36571" i="1"/>
  <c r="A36572" i="1"/>
  <c r="B36572" i="1"/>
  <c r="A36573" i="1"/>
  <c r="B36573" i="1"/>
  <c r="A36574" i="1"/>
  <c r="B36574" i="1"/>
  <c r="A36575" i="1"/>
  <c r="B36575" i="1"/>
  <c r="A36576" i="1"/>
  <c r="B36576" i="1"/>
  <c r="A36577" i="1"/>
  <c r="B36577" i="1"/>
  <c r="A36578" i="1"/>
  <c r="B36578" i="1"/>
  <c r="A36579" i="1"/>
  <c r="B36579" i="1"/>
  <c r="A36580" i="1"/>
  <c r="B36580" i="1"/>
  <c r="A36581" i="1"/>
  <c r="B36581" i="1"/>
  <c r="A36582" i="1"/>
  <c r="B36582" i="1"/>
  <c r="A36583" i="1"/>
  <c r="B36583" i="1"/>
  <c r="A36584" i="1"/>
  <c r="B36584" i="1"/>
  <c r="A36585" i="1"/>
  <c r="B36585" i="1"/>
  <c r="A36586" i="1"/>
  <c r="B36586" i="1"/>
  <c r="A36587" i="1"/>
  <c r="B36587" i="1"/>
  <c r="A36588" i="1"/>
  <c r="B36588" i="1"/>
  <c r="A36589" i="1"/>
  <c r="B36589" i="1"/>
  <c r="A36590" i="1"/>
  <c r="B36590" i="1"/>
  <c r="A36591" i="1"/>
  <c r="B36591" i="1"/>
  <c r="A36592" i="1"/>
  <c r="B36592" i="1"/>
  <c r="A36593" i="1"/>
  <c r="B36593" i="1"/>
  <c r="A36594" i="1"/>
  <c r="B36594" i="1"/>
  <c r="A36595" i="1"/>
  <c r="B36595" i="1"/>
  <c r="A36596" i="1"/>
  <c r="B36596" i="1"/>
  <c r="A36597" i="1"/>
  <c r="B36597" i="1"/>
  <c r="A36598" i="1"/>
  <c r="B36598" i="1"/>
  <c r="A36599" i="1"/>
  <c r="B36599" i="1"/>
  <c r="A36600" i="1"/>
  <c r="B36600" i="1"/>
  <c r="A36601" i="1"/>
  <c r="B36601" i="1"/>
  <c r="A36602" i="1"/>
  <c r="B36602" i="1"/>
  <c r="A36603" i="1"/>
  <c r="B36603" i="1"/>
  <c r="A36604" i="1"/>
  <c r="B36604" i="1"/>
  <c r="A36605" i="1"/>
  <c r="B36605" i="1"/>
  <c r="A36606" i="1"/>
  <c r="B36606" i="1"/>
  <c r="A36607" i="1"/>
  <c r="B36607" i="1"/>
  <c r="A36608" i="1"/>
  <c r="B36608" i="1"/>
  <c r="A36609" i="1"/>
  <c r="B36609" i="1"/>
  <c r="A36610" i="1"/>
  <c r="B36610" i="1"/>
  <c r="A36611" i="1"/>
  <c r="B36611" i="1"/>
  <c r="A36612" i="1"/>
  <c r="B36612" i="1"/>
  <c r="A36613" i="1"/>
  <c r="B36613" i="1"/>
  <c r="A36614" i="1"/>
  <c r="B36614" i="1"/>
  <c r="A36615" i="1"/>
  <c r="B36615" i="1"/>
  <c r="A36616" i="1"/>
  <c r="B36616" i="1"/>
  <c r="A36617" i="1"/>
  <c r="B36617" i="1"/>
  <c r="A36618" i="1"/>
  <c r="B36618" i="1"/>
  <c r="A36619" i="1"/>
  <c r="B36619" i="1"/>
  <c r="A36620" i="1"/>
  <c r="B36620" i="1"/>
  <c r="A36621" i="1"/>
  <c r="B36621" i="1"/>
  <c r="A36622" i="1"/>
  <c r="B36622" i="1"/>
  <c r="A36623" i="1"/>
  <c r="B36623" i="1"/>
  <c r="A36624" i="1"/>
  <c r="B36624" i="1"/>
  <c r="A36625" i="1"/>
  <c r="B36625" i="1"/>
  <c r="A36626" i="1"/>
  <c r="B36626" i="1"/>
  <c r="A36627" i="1"/>
  <c r="B36627" i="1"/>
  <c r="A36628" i="1"/>
  <c r="B36628" i="1"/>
  <c r="A36629" i="1"/>
  <c r="B36629" i="1"/>
  <c r="A36630" i="1"/>
  <c r="B36630" i="1"/>
  <c r="A36631" i="1"/>
  <c r="B36631" i="1"/>
  <c r="A36632" i="1"/>
  <c r="B36632" i="1"/>
  <c r="A36633" i="1"/>
  <c r="B36633" i="1"/>
  <c r="A36634" i="1"/>
  <c r="B36634" i="1"/>
  <c r="A36635" i="1"/>
  <c r="B36635" i="1"/>
  <c r="A36636" i="1"/>
  <c r="B36636" i="1"/>
  <c r="A36637" i="1"/>
  <c r="B36637" i="1"/>
  <c r="A36638" i="1"/>
  <c r="B36638" i="1"/>
  <c r="A36639" i="1"/>
  <c r="B36639" i="1"/>
  <c r="A36640" i="1"/>
  <c r="B36640" i="1"/>
  <c r="A36641" i="1"/>
  <c r="B36641" i="1"/>
  <c r="A36642" i="1"/>
  <c r="B36642" i="1"/>
  <c r="A36643" i="1"/>
  <c r="B36643" i="1"/>
  <c r="A36644" i="1"/>
  <c r="B36644" i="1"/>
  <c r="A36645" i="1"/>
  <c r="B36645" i="1"/>
  <c r="A36646" i="1"/>
  <c r="B36646" i="1"/>
  <c r="A36647" i="1"/>
  <c r="B36647" i="1"/>
  <c r="A36648" i="1"/>
  <c r="B36648" i="1"/>
  <c r="A36649" i="1"/>
  <c r="B36649" i="1"/>
  <c r="A36650" i="1"/>
  <c r="B36650" i="1"/>
  <c r="A36651" i="1"/>
  <c r="B36651" i="1"/>
  <c r="A36652" i="1"/>
  <c r="B36652" i="1"/>
  <c r="A36653" i="1"/>
  <c r="B36653" i="1"/>
  <c r="A36654" i="1"/>
  <c r="B36654" i="1"/>
  <c r="A36655" i="1"/>
  <c r="B36655" i="1"/>
  <c r="A36656" i="1"/>
  <c r="B36656" i="1"/>
  <c r="A36657" i="1"/>
  <c r="B36657" i="1"/>
  <c r="A36658" i="1"/>
  <c r="B36658" i="1"/>
  <c r="A36659" i="1"/>
  <c r="B36659" i="1"/>
  <c r="A36660" i="1"/>
  <c r="B36660" i="1"/>
  <c r="A36661" i="1"/>
  <c r="B36661" i="1"/>
  <c r="A36662" i="1"/>
  <c r="B36662" i="1"/>
  <c r="A36663" i="1"/>
  <c r="B36663" i="1"/>
  <c r="A36664" i="1"/>
  <c r="B36664" i="1"/>
  <c r="A36665" i="1"/>
  <c r="B36665" i="1"/>
  <c r="A36666" i="1"/>
  <c r="B36666" i="1"/>
  <c r="A36667" i="1"/>
  <c r="B36667" i="1"/>
  <c r="A36668" i="1"/>
  <c r="B36668" i="1"/>
  <c r="A36669" i="1"/>
  <c r="B36669" i="1"/>
  <c r="A36670" i="1"/>
  <c r="B36670" i="1"/>
  <c r="A36671" i="1"/>
  <c r="B36671" i="1"/>
  <c r="A36672" i="1"/>
  <c r="B36672" i="1"/>
  <c r="A36673" i="1"/>
  <c r="B36673" i="1"/>
  <c r="A36674" i="1"/>
  <c r="B36674" i="1"/>
  <c r="A36675" i="1"/>
  <c r="B36675" i="1"/>
  <c r="A36676" i="1"/>
  <c r="B36676" i="1"/>
  <c r="A36677" i="1"/>
  <c r="B36677" i="1"/>
  <c r="A36678" i="1"/>
  <c r="B36678" i="1"/>
  <c r="A36679" i="1"/>
  <c r="B36679" i="1"/>
  <c r="A36680" i="1"/>
  <c r="B36680" i="1"/>
  <c r="A36681" i="1"/>
  <c r="B36681" i="1"/>
  <c r="A36682" i="1"/>
  <c r="B36682" i="1"/>
  <c r="A36683" i="1"/>
  <c r="B36683" i="1"/>
  <c r="A36684" i="1"/>
  <c r="B36684" i="1"/>
  <c r="A36685" i="1"/>
  <c r="B36685" i="1"/>
  <c r="A36686" i="1"/>
  <c r="B36686" i="1"/>
  <c r="A36687" i="1"/>
  <c r="B36687" i="1"/>
  <c r="A36688" i="1"/>
  <c r="B36688" i="1"/>
  <c r="A36689" i="1"/>
  <c r="B36689" i="1"/>
  <c r="A36690" i="1"/>
  <c r="B36690" i="1"/>
  <c r="A36691" i="1"/>
  <c r="B36691" i="1"/>
  <c r="A36692" i="1"/>
  <c r="B36692" i="1"/>
  <c r="A36693" i="1"/>
  <c r="B36693" i="1"/>
  <c r="A36694" i="1"/>
  <c r="B36694" i="1"/>
  <c r="A36695" i="1"/>
  <c r="B36695" i="1"/>
  <c r="A36696" i="1"/>
  <c r="B36696" i="1"/>
  <c r="A36697" i="1"/>
  <c r="B36697" i="1"/>
  <c r="A36698" i="1"/>
  <c r="B36698" i="1"/>
  <c r="A36699" i="1"/>
  <c r="B36699" i="1"/>
  <c r="A36700" i="1"/>
  <c r="B36700" i="1"/>
  <c r="A36701" i="1"/>
  <c r="B36701" i="1"/>
  <c r="A36702" i="1"/>
  <c r="B36702" i="1"/>
  <c r="A36703" i="1"/>
  <c r="B36703" i="1"/>
  <c r="A36704" i="1"/>
  <c r="B36704" i="1"/>
  <c r="A36705" i="1"/>
  <c r="B36705" i="1"/>
  <c r="A36706" i="1"/>
  <c r="B36706" i="1"/>
  <c r="A36707" i="1"/>
  <c r="B36707" i="1"/>
  <c r="A36708" i="1"/>
  <c r="B36708" i="1"/>
  <c r="A36709" i="1"/>
  <c r="B36709" i="1"/>
  <c r="A36710" i="1"/>
  <c r="B36710" i="1"/>
  <c r="A36711" i="1"/>
  <c r="B36711" i="1"/>
  <c r="A36712" i="1"/>
  <c r="B36712" i="1"/>
  <c r="A36713" i="1"/>
  <c r="B36713" i="1"/>
  <c r="A36714" i="1"/>
  <c r="B36714" i="1"/>
  <c r="A36715" i="1"/>
  <c r="B36715" i="1"/>
  <c r="A36716" i="1"/>
  <c r="B36716" i="1"/>
  <c r="A36717" i="1"/>
  <c r="B36717" i="1"/>
  <c r="A36718" i="1"/>
  <c r="B36718" i="1"/>
  <c r="A36719" i="1"/>
  <c r="B36719" i="1"/>
  <c r="A36720" i="1"/>
  <c r="B36720" i="1"/>
  <c r="A36721" i="1"/>
  <c r="B36721" i="1"/>
  <c r="A36722" i="1"/>
  <c r="B36722" i="1"/>
  <c r="A36723" i="1"/>
  <c r="B36723" i="1"/>
  <c r="A36724" i="1"/>
  <c r="B36724" i="1"/>
  <c r="A36725" i="1"/>
  <c r="B36725" i="1"/>
  <c r="A36726" i="1"/>
  <c r="B36726" i="1"/>
  <c r="A36727" i="1"/>
  <c r="B36727" i="1"/>
  <c r="A36728" i="1"/>
  <c r="B36728" i="1"/>
  <c r="A36729" i="1"/>
  <c r="B36729" i="1"/>
  <c r="A36730" i="1"/>
  <c r="B36730" i="1"/>
  <c r="A36731" i="1"/>
  <c r="B36731" i="1"/>
  <c r="A36732" i="1"/>
  <c r="B36732" i="1"/>
  <c r="A36733" i="1"/>
  <c r="B36733" i="1"/>
  <c r="A36734" i="1"/>
  <c r="B36734" i="1"/>
  <c r="A36735" i="1"/>
  <c r="B36735" i="1"/>
  <c r="A36736" i="1"/>
  <c r="B36736" i="1"/>
  <c r="A36737" i="1"/>
  <c r="B36737" i="1"/>
  <c r="A36738" i="1"/>
  <c r="B36738" i="1"/>
  <c r="A36739" i="1"/>
  <c r="B36739" i="1"/>
  <c r="A36740" i="1"/>
  <c r="B36740" i="1"/>
  <c r="A36741" i="1"/>
  <c r="B36741" i="1"/>
  <c r="A36742" i="1"/>
  <c r="B36742" i="1"/>
  <c r="A36743" i="1"/>
  <c r="B36743" i="1"/>
  <c r="A36744" i="1"/>
  <c r="B36744" i="1"/>
  <c r="A36745" i="1"/>
  <c r="B36745" i="1"/>
  <c r="A36746" i="1"/>
  <c r="B36746" i="1"/>
  <c r="A36747" i="1"/>
  <c r="B36747" i="1"/>
  <c r="A36748" i="1"/>
  <c r="B36748" i="1"/>
  <c r="A36749" i="1"/>
  <c r="B36749" i="1"/>
  <c r="A36750" i="1"/>
  <c r="B36750" i="1"/>
  <c r="A36751" i="1"/>
  <c r="B36751" i="1"/>
  <c r="A36752" i="1"/>
  <c r="B36752" i="1"/>
  <c r="A36753" i="1"/>
  <c r="B36753" i="1"/>
  <c r="A36754" i="1"/>
  <c r="B36754" i="1"/>
  <c r="A36755" i="1"/>
  <c r="B36755" i="1"/>
  <c r="A36756" i="1"/>
  <c r="B36756" i="1"/>
  <c r="A36757" i="1"/>
  <c r="B36757" i="1"/>
  <c r="A36758" i="1"/>
  <c r="B36758" i="1"/>
  <c r="A36759" i="1"/>
  <c r="B36759" i="1"/>
  <c r="A36760" i="1"/>
  <c r="B36760" i="1"/>
  <c r="A36761" i="1"/>
  <c r="B36761" i="1"/>
  <c r="A36762" i="1"/>
  <c r="B36762" i="1"/>
  <c r="A36763" i="1"/>
  <c r="B36763" i="1"/>
  <c r="A36764" i="1"/>
  <c r="B36764" i="1"/>
  <c r="A36765" i="1"/>
  <c r="B36765" i="1"/>
  <c r="A36766" i="1"/>
  <c r="B36766" i="1"/>
  <c r="A36767" i="1"/>
  <c r="B36767" i="1"/>
  <c r="A36768" i="1"/>
  <c r="B36768" i="1"/>
  <c r="A36769" i="1"/>
  <c r="B36769" i="1"/>
  <c r="A36770" i="1"/>
  <c r="B36770" i="1"/>
  <c r="A36771" i="1"/>
  <c r="B36771" i="1"/>
  <c r="A36772" i="1"/>
  <c r="B36772" i="1"/>
  <c r="A36773" i="1"/>
  <c r="B36773" i="1"/>
  <c r="A36774" i="1"/>
  <c r="B36774" i="1"/>
  <c r="A36775" i="1"/>
  <c r="B36775" i="1"/>
  <c r="A36776" i="1"/>
  <c r="B36776" i="1"/>
  <c r="A36777" i="1"/>
  <c r="B36777" i="1"/>
  <c r="A36778" i="1"/>
  <c r="B36778" i="1"/>
  <c r="A36779" i="1"/>
  <c r="B36779" i="1"/>
  <c r="A36780" i="1"/>
  <c r="B36780" i="1"/>
  <c r="A36781" i="1"/>
  <c r="B36781" i="1"/>
  <c r="A36782" i="1"/>
  <c r="B36782" i="1"/>
  <c r="A36783" i="1"/>
  <c r="B36783" i="1"/>
  <c r="A36784" i="1"/>
  <c r="B36784" i="1"/>
  <c r="A36785" i="1"/>
  <c r="B36785" i="1"/>
  <c r="A36786" i="1"/>
  <c r="B36786" i="1"/>
  <c r="A36787" i="1"/>
  <c r="B36787" i="1"/>
  <c r="A36788" i="1"/>
  <c r="B36788" i="1"/>
  <c r="A36789" i="1"/>
  <c r="B36789" i="1"/>
  <c r="A36790" i="1"/>
  <c r="B36790" i="1"/>
  <c r="A36791" i="1"/>
  <c r="B36791" i="1"/>
  <c r="A36792" i="1"/>
  <c r="B36792" i="1"/>
  <c r="A36793" i="1"/>
  <c r="B36793" i="1"/>
  <c r="A36794" i="1"/>
  <c r="B36794" i="1"/>
  <c r="A36795" i="1"/>
  <c r="B36795" i="1"/>
  <c r="A36796" i="1"/>
  <c r="B36796" i="1"/>
  <c r="A36797" i="1"/>
  <c r="B36797" i="1"/>
  <c r="A36798" i="1"/>
  <c r="B36798" i="1"/>
  <c r="A36799" i="1"/>
  <c r="B36799" i="1"/>
  <c r="A36800" i="1"/>
  <c r="B36800" i="1"/>
  <c r="A36801" i="1"/>
  <c r="B36801" i="1"/>
  <c r="A36802" i="1"/>
  <c r="B36802" i="1"/>
  <c r="A36803" i="1"/>
  <c r="B36803" i="1"/>
  <c r="A36804" i="1"/>
  <c r="B36804" i="1"/>
  <c r="A36805" i="1"/>
  <c r="B36805" i="1"/>
  <c r="A36806" i="1"/>
  <c r="B36806" i="1"/>
  <c r="A36807" i="1"/>
  <c r="B36807" i="1"/>
  <c r="A36808" i="1"/>
  <c r="B36808" i="1"/>
  <c r="A36809" i="1"/>
  <c r="B36809" i="1"/>
  <c r="A36810" i="1"/>
  <c r="B36810" i="1"/>
  <c r="A36811" i="1"/>
  <c r="B36811" i="1"/>
  <c r="A36812" i="1"/>
  <c r="B36812" i="1"/>
  <c r="A36813" i="1"/>
  <c r="B36813" i="1"/>
  <c r="A36814" i="1"/>
  <c r="B36814" i="1"/>
  <c r="A36815" i="1"/>
  <c r="B36815" i="1"/>
  <c r="A36816" i="1"/>
  <c r="B36816" i="1"/>
  <c r="A36817" i="1"/>
  <c r="B36817" i="1"/>
  <c r="A36818" i="1"/>
  <c r="B36818" i="1"/>
  <c r="A36819" i="1"/>
  <c r="B36819" i="1"/>
  <c r="A36820" i="1"/>
  <c r="B36820" i="1"/>
  <c r="A36821" i="1"/>
  <c r="B36821" i="1"/>
  <c r="A36822" i="1"/>
  <c r="B36822" i="1"/>
  <c r="A36823" i="1"/>
  <c r="B36823" i="1"/>
  <c r="A36824" i="1"/>
  <c r="B36824" i="1"/>
  <c r="A36825" i="1"/>
  <c r="B36825" i="1"/>
  <c r="A36826" i="1"/>
  <c r="B36826" i="1"/>
  <c r="A36827" i="1"/>
  <c r="B36827" i="1"/>
  <c r="A36828" i="1"/>
  <c r="B36828" i="1"/>
  <c r="A36829" i="1"/>
  <c r="B36829" i="1"/>
  <c r="A36830" i="1"/>
  <c r="B36830" i="1"/>
  <c r="A36831" i="1"/>
  <c r="B36831" i="1"/>
  <c r="A36832" i="1"/>
  <c r="B36832" i="1"/>
  <c r="A36833" i="1"/>
  <c r="B36833" i="1"/>
  <c r="A36834" i="1"/>
  <c r="B36834" i="1"/>
  <c r="A36835" i="1"/>
  <c r="B36835" i="1"/>
  <c r="A36836" i="1"/>
  <c r="B36836" i="1"/>
  <c r="A36837" i="1"/>
  <c r="B36837" i="1"/>
  <c r="A36838" i="1"/>
  <c r="B36838" i="1"/>
  <c r="A36839" i="1"/>
  <c r="B36839" i="1"/>
  <c r="A36840" i="1"/>
  <c r="B36840" i="1"/>
  <c r="A36841" i="1"/>
  <c r="B36841" i="1"/>
  <c r="A36842" i="1"/>
  <c r="B36842" i="1"/>
  <c r="A36843" i="1"/>
  <c r="B36843" i="1"/>
  <c r="A36844" i="1"/>
  <c r="B36844" i="1"/>
  <c r="A36845" i="1"/>
  <c r="B36845" i="1"/>
  <c r="A36846" i="1"/>
  <c r="B36846" i="1"/>
  <c r="A36847" i="1"/>
  <c r="B36847" i="1"/>
  <c r="A36848" i="1"/>
  <c r="B36848" i="1"/>
  <c r="A36849" i="1"/>
  <c r="B36849" i="1"/>
  <c r="A36850" i="1"/>
  <c r="B36850" i="1"/>
  <c r="A36851" i="1"/>
  <c r="B36851" i="1"/>
  <c r="A36852" i="1"/>
  <c r="B36852" i="1"/>
  <c r="A36853" i="1"/>
  <c r="B36853" i="1"/>
  <c r="A36854" i="1"/>
  <c r="B36854" i="1"/>
  <c r="A36855" i="1"/>
  <c r="B36855" i="1"/>
  <c r="A36856" i="1"/>
  <c r="B36856" i="1"/>
  <c r="A36857" i="1"/>
  <c r="B36857" i="1"/>
  <c r="A36858" i="1"/>
  <c r="B36858" i="1"/>
  <c r="A36859" i="1"/>
  <c r="B36859" i="1"/>
  <c r="A36860" i="1"/>
  <c r="B36860" i="1"/>
  <c r="A36861" i="1"/>
  <c r="B36861" i="1"/>
  <c r="A36862" i="1"/>
  <c r="B36862" i="1"/>
  <c r="A36863" i="1"/>
  <c r="B36863" i="1"/>
  <c r="A36864" i="1"/>
  <c r="B36864" i="1"/>
  <c r="A36865" i="1"/>
  <c r="B36865" i="1"/>
  <c r="A36866" i="1"/>
  <c r="B36866" i="1"/>
  <c r="A36867" i="1"/>
  <c r="B36867" i="1"/>
  <c r="A36868" i="1"/>
  <c r="B36868" i="1"/>
  <c r="A36869" i="1"/>
  <c r="B36869" i="1"/>
  <c r="A36870" i="1"/>
  <c r="B36870" i="1"/>
  <c r="A36871" i="1"/>
  <c r="B36871" i="1"/>
  <c r="A36872" i="1"/>
  <c r="B36872" i="1"/>
  <c r="A36873" i="1"/>
  <c r="B36873" i="1"/>
  <c r="A36874" i="1"/>
  <c r="B36874" i="1"/>
  <c r="A36875" i="1"/>
  <c r="B36875" i="1"/>
  <c r="A36876" i="1"/>
  <c r="B36876" i="1"/>
  <c r="A36877" i="1"/>
  <c r="B36877" i="1"/>
  <c r="A36878" i="1"/>
  <c r="B36878" i="1"/>
  <c r="A36879" i="1"/>
  <c r="B36879" i="1"/>
  <c r="A36880" i="1"/>
  <c r="B36880" i="1"/>
  <c r="A36881" i="1"/>
  <c r="B36881" i="1"/>
  <c r="A36882" i="1"/>
  <c r="B36882" i="1"/>
  <c r="A36883" i="1"/>
  <c r="B36883" i="1"/>
  <c r="A36884" i="1"/>
  <c r="B36884" i="1"/>
  <c r="A36885" i="1"/>
  <c r="B36885" i="1"/>
  <c r="A36886" i="1"/>
  <c r="B36886" i="1"/>
  <c r="A36887" i="1"/>
  <c r="B36887" i="1"/>
  <c r="A36888" i="1"/>
  <c r="B36888" i="1"/>
  <c r="A36889" i="1"/>
  <c r="B36889" i="1"/>
  <c r="A36890" i="1"/>
  <c r="B36890" i="1"/>
  <c r="A36891" i="1"/>
  <c r="B36891" i="1"/>
  <c r="A36892" i="1"/>
  <c r="B36892" i="1"/>
  <c r="A36893" i="1"/>
  <c r="B36893" i="1"/>
  <c r="A36894" i="1"/>
  <c r="B36894" i="1"/>
  <c r="A36895" i="1"/>
  <c r="B36895" i="1"/>
  <c r="A36896" i="1"/>
  <c r="B36896" i="1"/>
  <c r="A36897" i="1"/>
  <c r="B36897" i="1"/>
  <c r="A36898" i="1"/>
  <c r="B36898" i="1"/>
  <c r="A36899" i="1"/>
  <c r="B36899" i="1"/>
  <c r="A36900" i="1"/>
  <c r="B36900" i="1"/>
  <c r="A36901" i="1"/>
  <c r="B36901" i="1"/>
  <c r="A36902" i="1"/>
  <c r="B36902" i="1"/>
  <c r="A36903" i="1"/>
  <c r="B36903" i="1"/>
  <c r="A36904" i="1"/>
  <c r="B36904" i="1"/>
  <c r="A36905" i="1"/>
  <c r="B36905" i="1"/>
  <c r="A36906" i="1"/>
  <c r="B36906" i="1"/>
  <c r="A36907" i="1"/>
  <c r="B36907" i="1"/>
  <c r="A36908" i="1"/>
  <c r="B36908" i="1"/>
  <c r="A36909" i="1"/>
  <c r="B36909" i="1"/>
  <c r="A36910" i="1"/>
  <c r="B36910" i="1"/>
  <c r="A36911" i="1"/>
  <c r="B36911" i="1"/>
  <c r="A36912" i="1"/>
  <c r="B36912" i="1"/>
  <c r="A36913" i="1"/>
  <c r="B36913" i="1"/>
  <c r="A36914" i="1"/>
  <c r="B36914" i="1"/>
  <c r="A36915" i="1"/>
  <c r="B36915" i="1"/>
  <c r="A36916" i="1"/>
  <c r="B36916" i="1"/>
  <c r="A36917" i="1"/>
  <c r="B36917" i="1"/>
  <c r="A36918" i="1"/>
  <c r="B36918" i="1"/>
  <c r="A36919" i="1"/>
  <c r="B36919" i="1"/>
  <c r="A36920" i="1"/>
  <c r="B36920" i="1"/>
  <c r="A36921" i="1"/>
  <c r="B36921" i="1"/>
  <c r="A36922" i="1"/>
  <c r="B36922" i="1"/>
  <c r="A36923" i="1"/>
  <c r="B36923" i="1"/>
  <c r="A36924" i="1"/>
  <c r="B36924" i="1"/>
  <c r="A36925" i="1"/>
  <c r="B36925" i="1"/>
  <c r="A36926" i="1"/>
  <c r="B36926" i="1"/>
  <c r="A36927" i="1"/>
  <c r="B36927" i="1"/>
  <c r="A36928" i="1"/>
  <c r="B36928" i="1"/>
  <c r="A36929" i="1"/>
  <c r="B36929" i="1"/>
  <c r="A36930" i="1"/>
  <c r="B36930" i="1"/>
  <c r="A36931" i="1"/>
  <c r="B36931" i="1"/>
  <c r="A36932" i="1"/>
  <c r="B36932" i="1"/>
  <c r="A36933" i="1"/>
  <c r="B36933" i="1"/>
  <c r="A36934" i="1"/>
  <c r="B36934" i="1"/>
  <c r="A36935" i="1"/>
  <c r="B36935" i="1"/>
  <c r="A36936" i="1"/>
  <c r="B36936" i="1"/>
  <c r="A36937" i="1"/>
  <c r="B36937" i="1"/>
  <c r="A36938" i="1"/>
  <c r="B36938" i="1"/>
  <c r="A36939" i="1"/>
  <c r="B36939" i="1"/>
  <c r="A36940" i="1"/>
  <c r="B36940" i="1"/>
  <c r="A36941" i="1"/>
  <c r="B36941" i="1"/>
  <c r="A36942" i="1"/>
  <c r="B36942" i="1"/>
  <c r="A36943" i="1"/>
  <c r="B36943" i="1"/>
  <c r="A36944" i="1"/>
  <c r="B36944" i="1"/>
  <c r="A36945" i="1"/>
  <c r="B36945" i="1"/>
  <c r="A36946" i="1"/>
  <c r="B36946" i="1"/>
  <c r="A36947" i="1"/>
  <c r="B36947" i="1"/>
  <c r="A36948" i="1"/>
  <c r="B36948" i="1"/>
  <c r="A36949" i="1"/>
  <c r="B36949" i="1"/>
  <c r="A36950" i="1"/>
  <c r="B36950" i="1"/>
  <c r="A36951" i="1"/>
  <c r="B36951" i="1"/>
  <c r="A36952" i="1"/>
  <c r="B36952" i="1"/>
  <c r="A36953" i="1"/>
  <c r="B36953" i="1"/>
  <c r="A36954" i="1"/>
  <c r="B36954" i="1"/>
  <c r="A36955" i="1"/>
  <c r="B36955" i="1"/>
  <c r="A36956" i="1"/>
  <c r="B36956" i="1"/>
  <c r="A36957" i="1"/>
  <c r="B36957" i="1"/>
  <c r="A36958" i="1"/>
  <c r="B36958" i="1"/>
  <c r="A36959" i="1"/>
  <c r="B36959" i="1"/>
  <c r="A36960" i="1"/>
  <c r="B36960" i="1"/>
  <c r="A36961" i="1"/>
  <c r="B36961" i="1"/>
  <c r="A36962" i="1"/>
  <c r="B36962" i="1"/>
  <c r="A36963" i="1"/>
  <c r="B36963" i="1"/>
  <c r="A36964" i="1"/>
  <c r="B36964" i="1"/>
  <c r="A36965" i="1"/>
  <c r="B36965" i="1"/>
  <c r="A36966" i="1"/>
  <c r="B36966" i="1"/>
  <c r="A36967" i="1"/>
  <c r="B36967" i="1"/>
  <c r="A36968" i="1"/>
  <c r="B36968" i="1"/>
  <c r="A36969" i="1"/>
  <c r="B36969" i="1"/>
  <c r="A36970" i="1"/>
  <c r="B36970" i="1"/>
  <c r="A36971" i="1"/>
  <c r="B36971" i="1"/>
  <c r="A36972" i="1"/>
  <c r="B36972" i="1"/>
  <c r="A36973" i="1"/>
  <c r="B36973" i="1"/>
  <c r="A36974" i="1"/>
  <c r="B36974" i="1"/>
  <c r="A36975" i="1"/>
  <c r="B36975" i="1"/>
  <c r="A36976" i="1"/>
  <c r="B36976" i="1"/>
  <c r="A36977" i="1"/>
  <c r="B36977" i="1"/>
  <c r="A36978" i="1"/>
  <c r="B36978" i="1"/>
  <c r="A36979" i="1"/>
  <c r="B36979" i="1"/>
  <c r="A36980" i="1"/>
  <c r="B36980" i="1"/>
  <c r="A36981" i="1"/>
  <c r="B36981" i="1"/>
  <c r="A36982" i="1"/>
  <c r="B36982" i="1"/>
  <c r="A36983" i="1"/>
  <c r="B36983" i="1"/>
  <c r="A36984" i="1"/>
  <c r="B36984" i="1"/>
  <c r="A36985" i="1"/>
  <c r="B36985" i="1"/>
  <c r="A36986" i="1"/>
  <c r="B36986" i="1"/>
  <c r="A36987" i="1"/>
  <c r="B36987" i="1"/>
  <c r="A36988" i="1"/>
  <c r="B36988" i="1"/>
  <c r="A36989" i="1"/>
  <c r="B36989" i="1"/>
  <c r="A36990" i="1"/>
  <c r="B36990" i="1"/>
  <c r="A36991" i="1"/>
  <c r="B36991" i="1"/>
  <c r="A36992" i="1"/>
  <c r="B36992" i="1"/>
  <c r="A36993" i="1"/>
  <c r="B36993" i="1"/>
  <c r="A36994" i="1"/>
  <c r="B36994" i="1"/>
  <c r="A36995" i="1"/>
  <c r="B36995" i="1"/>
  <c r="A36996" i="1"/>
  <c r="B36996" i="1"/>
  <c r="A36997" i="1"/>
  <c r="B36997" i="1"/>
  <c r="A36998" i="1"/>
  <c r="B36998" i="1"/>
  <c r="A36999" i="1"/>
  <c r="B36999" i="1"/>
  <c r="A37000" i="1"/>
  <c r="B37000" i="1"/>
  <c r="A37001" i="1"/>
  <c r="B37001" i="1"/>
  <c r="A37002" i="1"/>
  <c r="B37002" i="1"/>
  <c r="A37003" i="1"/>
  <c r="B37003" i="1"/>
  <c r="A37004" i="1"/>
  <c r="B37004" i="1"/>
  <c r="A37005" i="1"/>
  <c r="B37005" i="1"/>
  <c r="A37006" i="1"/>
  <c r="B37006" i="1"/>
  <c r="A37007" i="1"/>
  <c r="B37007" i="1"/>
  <c r="A37008" i="1"/>
  <c r="B37008" i="1"/>
  <c r="A37009" i="1"/>
  <c r="B37009" i="1"/>
  <c r="A37010" i="1"/>
  <c r="B37010" i="1"/>
  <c r="A37011" i="1"/>
  <c r="B37011" i="1"/>
  <c r="A37012" i="1"/>
  <c r="B37012" i="1"/>
  <c r="A37013" i="1"/>
  <c r="B37013" i="1"/>
  <c r="A37014" i="1"/>
  <c r="B37014" i="1"/>
  <c r="A37015" i="1"/>
  <c r="B37015" i="1"/>
  <c r="A37016" i="1"/>
  <c r="B37016" i="1"/>
  <c r="A37017" i="1"/>
  <c r="B37017" i="1"/>
  <c r="A37018" i="1"/>
  <c r="B37018" i="1"/>
  <c r="A37019" i="1"/>
  <c r="B37019" i="1"/>
  <c r="A37020" i="1"/>
  <c r="B37020" i="1"/>
  <c r="A37021" i="1"/>
  <c r="B37021" i="1"/>
  <c r="A37022" i="1"/>
  <c r="B37022" i="1"/>
  <c r="A37023" i="1"/>
  <c r="B37023" i="1"/>
  <c r="A37024" i="1"/>
  <c r="B37024" i="1"/>
  <c r="A37025" i="1"/>
  <c r="B37025" i="1"/>
  <c r="A37026" i="1"/>
  <c r="B37026" i="1"/>
  <c r="A37027" i="1"/>
  <c r="B37027" i="1"/>
  <c r="A37028" i="1"/>
  <c r="B37028" i="1"/>
  <c r="A37029" i="1"/>
  <c r="B37029" i="1"/>
  <c r="A37030" i="1"/>
  <c r="B37030" i="1"/>
  <c r="A37031" i="1"/>
  <c r="B37031" i="1"/>
  <c r="A37032" i="1"/>
  <c r="B37032" i="1"/>
  <c r="A37033" i="1"/>
  <c r="B37033" i="1"/>
  <c r="A37034" i="1"/>
  <c r="B37034" i="1"/>
  <c r="A37035" i="1"/>
  <c r="B37035" i="1"/>
  <c r="A37036" i="1"/>
  <c r="B37036" i="1"/>
  <c r="A37037" i="1"/>
  <c r="B37037" i="1"/>
  <c r="A37038" i="1"/>
  <c r="B37038" i="1"/>
  <c r="A37039" i="1"/>
  <c r="B37039" i="1"/>
  <c r="A37040" i="1"/>
  <c r="B37040" i="1"/>
  <c r="A37041" i="1"/>
  <c r="B37041" i="1"/>
  <c r="A37042" i="1"/>
  <c r="B37042" i="1"/>
  <c r="A37043" i="1"/>
  <c r="B37043" i="1"/>
  <c r="A37044" i="1"/>
  <c r="B37044" i="1"/>
  <c r="A37045" i="1"/>
  <c r="B37045" i="1"/>
  <c r="A37046" i="1"/>
  <c r="B37046" i="1"/>
  <c r="A37047" i="1"/>
  <c r="B37047" i="1"/>
  <c r="A37048" i="1"/>
  <c r="B37048" i="1"/>
  <c r="A37049" i="1"/>
  <c r="B37049" i="1"/>
  <c r="A37050" i="1"/>
  <c r="B37050" i="1"/>
  <c r="A37051" i="1"/>
  <c r="B37051" i="1"/>
  <c r="A37052" i="1"/>
  <c r="B37052" i="1"/>
  <c r="A37053" i="1"/>
  <c r="B37053" i="1"/>
  <c r="A37054" i="1"/>
  <c r="B37054" i="1"/>
  <c r="A37055" i="1"/>
  <c r="B37055" i="1"/>
  <c r="A37056" i="1"/>
  <c r="B37056" i="1"/>
  <c r="A37057" i="1"/>
  <c r="B37057" i="1"/>
  <c r="A37058" i="1"/>
  <c r="B37058" i="1"/>
  <c r="A37059" i="1"/>
  <c r="B37059" i="1"/>
  <c r="A37060" i="1"/>
  <c r="B37060" i="1"/>
  <c r="A37061" i="1"/>
  <c r="B37061" i="1"/>
  <c r="A37062" i="1"/>
  <c r="B37062" i="1"/>
  <c r="A37063" i="1"/>
  <c r="B37063" i="1"/>
  <c r="A37064" i="1"/>
  <c r="B37064" i="1"/>
  <c r="A37065" i="1"/>
  <c r="B37065" i="1"/>
  <c r="A37066" i="1"/>
  <c r="B37066" i="1"/>
  <c r="A37067" i="1"/>
  <c r="B37067" i="1"/>
  <c r="A37068" i="1"/>
  <c r="B37068" i="1"/>
  <c r="A37069" i="1"/>
  <c r="B37069" i="1"/>
  <c r="A37070" i="1"/>
  <c r="B37070" i="1"/>
  <c r="A37071" i="1"/>
  <c r="B37071" i="1"/>
  <c r="A37072" i="1"/>
  <c r="B37072" i="1"/>
  <c r="A37073" i="1"/>
  <c r="B37073" i="1"/>
  <c r="A37074" i="1"/>
  <c r="B37074" i="1"/>
  <c r="A37075" i="1"/>
  <c r="B37075" i="1"/>
  <c r="A37076" i="1"/>
  <c r="B37076" i="1"/>
  <c r="A37077" i="1"/>
  <c r="B37077" i="1"/>
  <c r="A37078" i="1"/>
  <c r="B37078" i="1"/>
  <c r="A37079" i="1"/>
  <c r="B37079" i="1"/>
  <c r="A37080" i="1"/>
  <c r="B37080" i="1"/>
  <c r="A37081" i="1"/>
  <c r="B37081" i="1"/>
  <c r="A37082" i="1"/>
  <c r="B37082" i="1"/>
  <c r="A37083" i="1"/>
  <c r="B37083" i="1"/>
  <c r="A37084" i="1"/>
  <c r="B37084" i="1"/>
  <c r="A37085" i="1"/>
  <c r="B37085" i="1"/>
  <c r="A37086" i="1"/>
  <c r="B37086" i="1"/>
  <c r="A37087" i="1"/>
  <c r="B37087" i="1"/>
  <c r="A37088" i="1"/>
  <c r="B37088" i="1"/>
  <c r="A37089" i="1"/>
  <c r="B37089" i="1"/>
  <c r="A37090" i="1"/>
  <c r="B37090" i="1"/>
  <c r="A37091" i="1"/>
  <c r="B37091" i="1"/>
  <c r="A37092" i="1"/>
  <c r="B37092" i="1"/>
  <c r="A37093" i="1"/>
  <c r="B37093" i="1"/>
  <c r="A37094" i="1"/>
  <c r="B37094" i="1"/>
  <c r="A37095" i="1"/>
  <c r="B37095" i="1"/>
  <c r="A37096" i="1"/>
  <c r="B37096" i="1"/>
  <c r="A37097" i="1"/>
  <c r="B37097" i="1"/>
  <c r="A37098" i="1"/>
  <c r="B37098" i="1"/>
  <c r="A37099" i="1"/>
  <c r="B37099" i="1"/>
  <c r="A37100" i="1"/>
  <c r="B37100" i="1"/>
  <c r="A37101" i="1"/>
  <c r="B37101" i="1"/>
  <c r="A37102" i="1"/>
  <c r="B37102" i="1"/>
  <c r="A37103" i="1"/>
  <c r="B37103" i="1"/>
  <c r="A37104" i="1"/>
  <c r="B37104" i="1"/>
  <c r="A37105" i="1"/>
  <c r="B37105" i="1"/>
  <c r="A37106" i="1"/>
  <c r="B37106" i="1"/>
  <c r="A37107" i="1"/>
  <c r="B37107" i="1"/>
  <c r="A37108" i="1"/>
  <c r="B37108" i="1"/>
  <c r="A37109" i="1"/>
  <c r="B37109" i="1"/>
  <c r="A37110" i="1"/>
  <c r="B37110" i="1"/>
  <c r="A37111" i="1"/>
  <c r="B37111" i="1"/>
  <c r="A37112" i="1"/>
  <c r="B37112" i="1"/>
  <c r="A37113" i="1"/>
  <c r="B37113" i="1"/>
  <c r="A37114" i="1"/>
  <c r="B37114" i="1"/>
  <c r="A37115" i="1"/>
  <c r="B37115" i="1"/>
  <c r="A37116" i="1"/>
  <c r="B37116" i="1"/>
  <c r="A37117" i="1"/>
  <c r="B37117" i="1"/>
  <c r="A37118" i="1"/>
  <c r="B37118" i="1"/>
  <c r="A37119" i="1"/>
  <c r="B37119" i="1"/>
  <c r="A37120" i="1"/>
  <c r="B37120" i="1"/>
  <c r="A37121" i="1"/>
  <c r="B37121" i="1"/>
  <c r="A37122" i="1"/>
  <c r="B37122" i="1"/>
  <c r="A37123" i="1"/>
  <c r="B37123" i="1"/>
  <c r="A37124" i="1"/>
  <c r="B37124" i="1"/>
  <c r="A37125" i="1"/>
  <c r="B37125" i="1"/>
  <c r="A37126" i="1"/>
  <c r="B37126" i="1"/>
  <c r="A37127" i="1"/>
  <c r="B37127" i="1"/>
  <c r="A37128" i="1"/>
  <c r="B37128" i="1"/>
  <c r="A37129" i="1"/>
  <c r="B37129" i="1"/>
  <c r="A37130" i="1"/>
  <c r="B37130" i="1"/>
  <c r="A37131" i="1"/>
  <c r="B37131" i="1"/>
  <c r="A37132" i="1"/>
  <c r="B37132" i="1"/>
  <c r="A37133" i="1"/>
  <c r="B37133" i="1"/>
  <c r="A37134" i="1"/>
  <c r="B37134" i="1"/>
  <c r="A37135" i="1"/>
  <c r="B37135" i="1"/>
  <c r="A37136" i="1"/>
  <c r="B37136" i="1"/>
  <c r="A37137" i="1"/>
  <c r="B37137" i="1"/>
  <c r="A37138" i="1"/>
  <c r="B37138" i="1"/>
  <c r="A37139" i="1"/>
  <c r="B37139" i="1"/>
  <c r="A37140" i="1"/>
  <c r="B37140" i="1"/>
  <c r="A37141" i="1"/>
  <c r="B37141" i="1"/>
  <c r="A37142" i="1"/>
  <c r="B37142" i="1"/>
  <c r="A37143" i="1"/>
  <c r="B37143" i="1"/>
  <c r="A37144" i="1"/>
  <c r="B37144" i="1"/>
  <c r="A37145" i="1"/>
  <c r="B37145" i="1"/>
  <c r="A37146" i="1"/>
  <c r="B37146" i="1"/>
  <c r="A37147" i="1"/>
  <c r="B37147" i="1"/>
  <c r="A37148" i="1"/>
  <c r="B37148" i="1"/>
  <c r="A37149" i="1"/>
  <c r="B37149" i="1"/>
  <c r="A37150" i="1"/>
  <c r="B37150" i="1"/>
  <c r="A37151" i="1"/>
  <c r="B37151" i="1"/>
  <c r="A37152" i="1"/>
  <c r="B37152" i="1"/>
  <c r="A37153" i="1"/>
  <c r="B37153" i="1"/>
  <c r="A37154" i="1"/>
  <c r="B37154" i="1"/>
  <c r="A37155" i="1"/>
  <c r="B37155" i="1"/>
  <c r="A37156" i="1"/>
  <c r="B37156" i="1"/>
  <c r="A37157" i="1"/>
  <c r="B37157" i="1"/>
  <c r="A37158" i="1"/>
  <c r="B37158" i="1"/>
  <c r="A37159" i="1"/>
  <c r="B37159" i="1"/>
  <c r="A37160" i="1"/>
  <c r="B37160" i="1"/>
  <c r="A37161" i="1"/>
  <c r="B37161" i="1"/>
  <c r="A37162" i="1"/>
  <c r="B37162" i="1"/>
  <c r="A37163" i="1"/>
  <c r="B37163" i="1"/>
  <c r="A37164" i="1"/>
  <c r="B37164" i="1"/>
  <c r="A37165" i="1"/>
  <c r="B37165" i="1"/>
  <c r="A37166" i="1"/>
  <c r="B37166" i="1"/>
  <c r="A37167" i="1"/>
  <c r="B37167" i="1"/>
  <c r="A37168" i="1"/>
  <c r="B37168" i="1"/>
  <c r="A37169" i="1"/>
  <c r="B37169" i="1"/>
  <c r="A37170" i="1"/>
  <c r="B37170" i="1"/>
  <c r="A37171" i="1"/>
  <c r="B37171" i="1"/>
  <c r="A37172" i="1"/>
  <c r="B37172" i="1"/>
  <c r="A37173" i="1"/>
  <c r="B37173" i="1"/>
  <c r="A37174" i="1"/>
  <c r="B37174" i="1"/>
  <c r="A37175" i="1"/>
  <c r="B37175" i="1"/>
  <c r="A37176" i="1"/>
  <c r="B37176" i="1"/>
  <c r="A37177" i="1"/>
  <c r="B37177" i="1"/>
  <c r="A37178" i="1"/>
  <c r="B37178" i="1"/>
  <c r="A37179" i="1"/>
  <c r="B37179" i="1"/>
  <c r="A37180" i="1"/>
  <c r="B37180" i="1"/>
  <c r="A37181" i="1"/>
  <c r="B37181" i="1"/>
  <c r="A37182" i="1"/>
  <c r="B37182" i="1"/>
  <c r="A37183" i="1"/>
  <c r="B37183" i="1"/>
  <c r="A37184" i="1"/>
  <c r="B37184" i="1"/>
  <c r="A37185" i="1"/>
  <c r="B37185" i="1"/>
  <c r="A37186" i="1"/>
  <c r="B37186" i="1"/>
  <c r="A37187" i="1"/>
  <c r="B37187" i="1"/>
  <c r="A37188" i="1"/>
  <c r="B37188" i="1"/>
  <c r="A37189" i="1"/>
  <c r="B37189" i="1"/>
  <c r="A37190" i="1"/>
  <c r="B37190" i="1"/>
  <c r="A37191" i="1"/>
  <c r="B37191" i="1"/>
  <c r="A37192" i="1"/>
  <c r="B37192" i="1"/>
  <c r="A37193" i="1"/>
  <c r="B37193" i="1"/>
  <c r="A37194" i="1"/>
  <c r="B37194" i="1"/>
  <c r="A37195" i="1"/>
  <c r="B37195" i="1"/>
  <c r="A37196" i="1"/>
  <c r="B37196" i="1"/>
  <c r="A37197" i="1"/>
  <c r="B37197" i="1"/>
  <c r="A37198" i="1"/>
  <c r="B37198" i="1"/>
  <c r="A37199" i="1"/>
  <c r="B37199" i="1"/>
  <c r="A37200" i="1"/>
  <c r="B37200" i="1"/>
  <c r="A37201" i="1"/>
  <c r="B37201" i="1"/>
  <c r="A37202" i="1"/>
  <c r="B37202" i="1"/>
  <c r="A37203" i="1"/>
  <c r="B37203" i="1"/>
  <c r="A37204" i="1"/>
  <c r="B37204" i="1"/>
  <c r="A37205" i="1"/>
  <c r="B37205" i="1"/>
  <c r="A37206" i="1"/>
  <c r="B37206" i="1"/>
  <c r="A37207" i="1"/>
  <c r="B37207" i="1"/>
  <c r="A37208" i="1"/>
  <c r="B37208" i="1"/>
  <c r="A37209" i="1"/>
  <c r="B37209" i="1"/>
  <c r="A37210" i="1"/>
  <c r="B37210" i="1"/>
  <c r="A37211" i="1"/>
  <c r="B37211" i="1"/>
  <c r="A37212" i="1"/>
  <c r="B37212" i="1"/>
  <c r="A37213" i="1"/>
  <c r="B37213" i="1"/>
  <c r="A37214" i="1"/>
  <c r="B37214" i="1"/>
  <c r="A37215" i="1"/>
  <c r="B37215" i="1"/>
  <c r="A37216" i="1"/>
  <c r="B37216" i="1"/>
  <c r="A37217" i="1"/>
  <c r="B37217" i="1"/>
  <c r="A37218" i="1"/>
  <c r="B37218" i="1"/>
  <c r="A37219" i="1"/>
  <c r="B37219" i="1"/>
  <c r="A37220" i="1"/>
  <c r="B37220" i="1"/>
  <c r="A37221" i="1"/>
  <c r="B37221" i="1"/>
  <c r="A37222" i="1"/>
  <c r="B37222" i="1"/>
  <c r="A37223" i="1"/>
  <c r="B37223" i="1"/>
  <c r="A37224" i="1"/>
  <c r="B37224" i="1"/>
  <c r="A37225" i="1"/>
  <c r="B37225" i="1"/>
  <c r="A37226" i="1"/>
  <c r="B37226" i="1"/>
  <c r="A37227" i="1"/>
  <c r="B37227" i="1"/>
  <c r="A37228" i="1"/>
  <c r="B37228" i="1"/>
  <c r="A37229" i="1"/>
  <c r="B37229" i="1"/>
  <c r="A37230" i="1"/>
  <c r="B37230" i="1"/>
  <c r="A37231" i="1"/>
  <c r="B37231" i="1"/>
  <c r="A37232" i="1"/>
  <c r="B37232" i="1"/>
  <c r="A37233" i="1"/>
  <c r="B37233" i="1"/>
  <c r="A37234" i="1"/>
  <c r="B37234" i="1"/>
  <c r="A37235" i="1"/>
  <c r="B37235" i="1"/>
  <c r="A37236" i="1"/>
  <c r="B37236" i="1"/>
  <c r="A37237" i="1"/>
  <c r="B37237" i="1"/>
  <c r="A37238" i="1"/>
  <c r="B37238" i="1"/>
  <c r="A37239" i="1"/>
  <c r="B37239" i="1"/>
  <c r="A37240" i="1"/>
  <c r="B37240" i="1"/>
  <c r="A37241" i="1"/>
  <c r="B37241" i="1"/>
  <c r="A37242" i="1"/>
  <c r="B37242" i="1"/>
  <c r="A37243" i="1"/>
  <c r="B37243" i="1"/>
  <c r="A37244" i="1"/>
  <c r="B37244" i="1"/>
  <c r="A37245" i="1"/>
  <c r="B37245" i="1"/>
  <c r="A37246" i="1"/>
  <c r="B37246" i="1"/>
  <c r="A37247" i="1"/>
  <c r="B37247" i="1"/>
  <c r="A37248" i="1"/>
  <c r="B37248" i="1"/>
  <c r="A37249" i="1"/>
  <c r="B37249" i="1"/>
  <c r="A37250" i="1"/>
  <c r="B37250" i="1"/>
  <c r="A37251" i="1"/>
  <c r="B37251" i="1"/>
  <c r="A37252" i="1"/>
  <c r="B37252" i="1"/>
  <c r="A37253" i="1"/>
  <c r="B37253" i="1"/>
  <c r="A37254" i="1"/>
  <c r="B37254" i="1"/>
  <c r="A37255" i="1"/>
  <c r="B37255" i="1"/>
  <c r="A37256" i="1"/>
  <c r="B37256" i="1"/>
  <c r="A37257" i="1"/>
  <c r="B37257" i="1"/>
  <c r="A37258" i="1"/>
  <c r="B37258" i="1"/>
  <c r="A37259" i="1"/>
  <c r="B37259" i="1"/>
  <c r="A37260" i="1"/>
  <c r="B37260" i="1"/>
  <c r="A37261" i="1"/>
  <c r="B37261" i="1"/>
  <c r="A37262" i="1"/>
  <c r="B37262" i="1"/>
  <c r="A37263" i="1"/>
  <c r="B37263" i="1"/>
  <c r="A37264" i="1"/>
  <c r="B37264" i="1"/>
  <c r="A37265" i="1"/>
  <c r="B37265" i="1"/>
  <c r="A37266" i="1"/>
  <c r="B37266" i="1"/>
  <c r="A37267" i="1"/>
  <c r="B37267" i="1"/>
  <c r="A37268" i="1"/>
  <c r="B37268" i="1"/>
  <c r="A37269" i="1"/>
  <c r="B37269" i="1"/>
  <c r="A37270" i="1"/>
  <c r="B37270" i="1"/>
  <c r="A37271" i="1"/>
  <c r="B37271" i="1"/>
  <c r="A37272" i="1"/>
  <c r="B37272" i="1"/>
  <c r="A37273" i="1"/>
  <c r="B37273" i="1"/>
  <c r="A37274" i="1"/>
  <c r="B37274" i="1"/>
  <c r="A37275" i="1"/>
  <c r="B37275" i="1"/>
  <c r="A37276" i="1"/>
  <c r="B37276" i="1"/>
  <c r="A37277" i="1"/>
  <c r="B37277" i="1"/>
  <c r="A37278" i="1"/>
  <c r="B37278" i="1"/>
  <c r="A37279" i="1"/>
  <c r="B37279" i="1"/>
  <c r="A37280" i="1"/>
  <c r="B37280" i="1"/>
  <c r="A37281" i="1"/>
  <c r="B37281" i="1"/>
  <c r="A37282" i="1"/>
  <c r="B37282" i="1"/>
  <c r="A37283" i="1"/>
  <c r="B37283" i="1"/>
  <c r="A37284" i="1"/>
  <c r="B37284" i="1"/>
  <c r="A37285" i="1"/>
  <c r="B37285" i="1"/>
  <c r="A37286" i="1"/>
  <c r="B37286" i="1"/>
  <c r="A37287" i="1"/>
  <c r="B37287" i="1"/>
  <c r="A37288" i="1"/>
  <c r="B37288" i="1"/>
  <c r="A37289" i="1"/>
  <c r="B37289" i="1"/>
  <c r="A37290" i="1"/>
  <c r="B37290" i="1"/>
  <c r="A37291" i="1"/>
  <c r="B37291" i="1"/>
  <c r="A37292" i="1"/>
  <c r="B37292" i="1"/>
  <c r="A37293" i="1"/>
  <c r="B37293" i="1"/>
  <c r="A37294" i="1"/>
  <c r="B37294" i="1"/>
  <c r="A37295" i="1"/>
  <c r="B37295" i="1"/>
  <c r="A37296" i="1"/>
  <c r="B37296" i="1"/>
  <c r="A37297" i="1"/>
  <c r="B37297" i="1"/>
  <c r="A37298" i="1"/>
  <c r="B37298" i="1"/>
  <c r="A37299" i="1"/>
  <c r="B37299" i="1"/>
  <c r="A37300" i="1"/>
  <c r="B37300" i="1"/>
  <c r="A37301" i="1"/>
  <c r="B37301" i="1"/>
  <c r="A37302" i="1"/>
  <c r="B37302" i="1"/>
  <c r="A37303" i="1"/>
  <c r="B37303" i="1"/>
  <c r="A37304" i="1"/>
  <c r="B37304" i="1"/>
  <c r="A37305" i="1"/>
  <c r="B37305" i="1"/>
  <c r="A37306" i="1"/>
  <c r="B37306" i="1"/>
  <c r="A37307" i="1"/>
  <c r="B37307" i="1"/>
  <c r="A37308" i="1"/>
  <c r="B37308" i="1"/>
  <c r="A37309" i="1"/>
  <c r="B37309" i="1"/>
  <c r="A37310" i="1"/>
  <c r="B37310" i="1"/>
  <c r="A37311" i="1"/>
  <c r="B37311" i="1"/>
  <c r="A37312" i="1"/>
  <c r="B37312" i="1"/>
  <c r="A37313" i="1"/>
  <c r="B37313" i="1"/>
  <c r="A37314" i="1"/>
  <c r="B37314" i="1"/>
  <c r="A37315" i="1"/>
  <c r="B37315" i="1"/>
  <c r="A37316" i="1"/>
  <c r="B37316" i="1"/>
  <c r="A37317" i="1"/>
  <c r="B37317" i="1"/>
  <c r="A37318" i="1"/>
  <c r="B37318" i="1"/>
  <c r="A37319" i="1"/>
  <c r="B37319" i="1"/>
  <c r="A37320" i="1"/>
  <c r="B37320" i="1"/>
  <c r="A37321" i="1"/>
  <c r="B37321" i="1"/>
  <c r="A37322" i="1"/>
  <c r="B37322" i="1"/>
  <c r="A37323" i="1"/>
  <c r="B37323" i="1"/>
  <c r="A37324" i="1"/>
  <c r="B37324" i="1"/>
  <c r="A37325" i="1"/>
  <c r="B37325" i="1"/>
  <c r="A37326" i="1"/>
  <c r="B37326" i="1"/>
  <c r="A37327" i="1"/>
  <c r="B37327" i="1"/>
  <c r="A37328" i="1"/>
  <c r="B37328" i="1"/>
  <c r="A37329" i="1"/>
  <c r="B37329" i="1"/>
  <c r="A37330" i="1"/>
  <c r="B37330" i="1"/>
  <c r="A37331" i="1"/>
  <c r="B37331" i="1"/>
  <c r="A37332" i="1"/>
  <c r="B37332" i="1"/>
  <c r="A37333" i="1"/>
  <c r="B37333" i="1"/>
  <c r="A37334" i="1"/>
  <c r="B37334" i="1"/>
  <c r="A37335" i="1"/>
  <c r="B37335" i="1"/>
  <c r="A37336" i="1"/>
  <c r="B37336" i="1"/>
  <c r="A37337" i="1"/>
  <c r="B37337" i="1"/>
  <c r="A37338" i="1"/>
  <c r="B37338" i="1"/>
  <c r="A37339" i="1"/>
  <c r="B37339" i="1"/>
  <c r="A37340" i="1"/>
  <c r="B37340" i="1"/>
  <c r="A37341" i="1"/>
  <c r="B37341" i="1"/>
  <c r="A37342" i="1"/>
  <c r="B37342" i="1"/>
  <c r="A37343" i="1"/>
  <c r="B37343" i="1"/>
  <c r="A37344" i="1"/>
  <c r="B37344" i="1"/>
  <c r="A37345" i="1"/>
  <c r="B37345" i="1"/>
  <c r="A37346" i="1"/>
  <c r="B37346" i="1"/>
  <c r="A37347" i="1"/>
  <c r="B37347" i="1"/>
  <c r="A37348" i="1"/>
  <c r="B37348" i="1"/>
  <c r="A37349" i="1"/>
  <c r="B37349" i="1"/>
  <c r="A37350" i="1"/>
  <c r="B37350" i="1"/>
  <c r="A37351" i="1"/>
  <c r="B37351" i="1"/>
  <c r="A37352" i="1"/>
  <c r="B37352" i="1"/>
  <c r="A37353" i="1"/>
  <c r="B37353" i="1"/>
  <c r="A37354" i="1"/>
  <c r="B37354" i="1"/>
  <c r="A37355" i="1"/>
  <c r="B37355" i="1"/>
  <c r="A37356" i="1"/>
  <c r="B37356" i="1"/>
  <c r="A37357" i="1"/>
  <c r="B37357" i="1"/>
  <c r="A37358" i="1"/>
  <c r="B37358" i="1"/>
  <c r="A37359" i="1"/>
  <c r="B37359" i="1"/>
  <c r="A37360" i="1"/>
  <c r="B37360" i="1"/>
  <c r="A37361" i="1"/>
  <c r="B37361" i="1"/>
  <c r="A37362" i="1"/>
  <c r="B37362" i="1"/>
  <c r="A37363" i="1"/>
  <c r="B37363" i="1"/>
  <c r="A37364" i="1"/>
  <c r="B37364" i="1"/>
  <c r="A37365" i="1"/>
  <c r="B37365" i="1"/>
  <c r="A37366" i="1"/>
  <c r="B37366" i="1"/>
  <c r="A37367" i="1"/>
  <c r="B37367" i="1"/>
  <c r="A37368" i="1"/>
  <c r="B37368" i="1"/>
  <c r="A37369" i="1"/>
  <c r="B37369" i="1"/>
  <c r="A37370" i="1"/>
  <c r="B37370" i="1"/>
  <c r="A37371" i="1"/>
  <c r="B37371" i="1"/>
  <c r="A37372" i="1"/>
  <c r="B37372" i="1"/>
  <c r="A37373" i="1"/>
  <c r="B37373" i="1"/>
  <c r="A37374" i="1"/>
  <c r="B37374" i="1"/>
  <c r="A37375" i="1"/>
  <c r="B37375" i="1"/>
  <c r="A37376" i="1"/>
  <c r="B37376" i="1"/>
  <c r="A37377" i="1"/>
  <c r="B37377" i="1"/>
  <c r="A37378" i="1"/>
  <c r="B37378" i="1"/>
  <c r="A37379" i="1"/>
  <c r="B37379" i="1"/>
  <c r="A37380" i="1"/>
  <c r="B37380" i="1"/>
  <c r="A37381" i="1"/>
  <c r="B37381" i="1"/>
  <c r="A37382" i="1"/>
  <c r="B37382" i="1"/>
  <c r="A37383" i="1"/>
  <c r="B37383" i="1"/>
  <c r="A37384" i="1"/>
  <c r="B37384" i="1"/>
  <c r="A37385" i="1"/>
  <c r="B37385" i="1"/>
  <c r="A37386" i="1"/>
  <c r="B37386" i="1"/>
  <c r="A37387" i="1"/>
  <c r="B37387" i="1"/>
  <c r="A37388" i="1"/>
  <c r="B37388" i="1"/>
  <c r="A37389" i="1"/>
  <c r="B37389" i="1"/>
  <c r="A37390" i="1"/>
  <c r="B37390" i="1"/>
  <c r="A37391" i="1"/>
  <c r="B37391" i="1"/>
  <c r="A37392" i="1"/>
  <c r="B37392" i="1"/>
  <c r="A37393" i="1"/>
  <c r="B37393" i="1"/>
  <c r="A37394" i="1"/>
  <c r="B37394" i="1"/>
  <c r="A37395" i="1"/>
  <c r="B37395" i="1"/>
  <c r="A37396" i="1"/>
  <c r="B37396" i="1"/>
  <c r="A37397" i="1"/>
  <c r="B37397" i="1"/>
  <c r="A37398" i="1"/>
  <c r="B37398" i="1"/>
  <c r="A37399" i="1"/>
  <c r="B37399" i="1"/>
  <c r="A37400" i="1"/>
  <c r="B37400" i="1"/>
  <c r="A37401" i="1"/>
  <c r="B37401" i="1"/>
  <c r="A37402" i="1"/>
  <c r="B37402" i="1"/>
  <c r="A37403" i="1"/>
  <c r="B37403" i="1"/>
  <c r="A37404" i="1"/>
  <c r="B37404" i="1"/>
  <c r="A37405" i="1"/>
  <c r="B37405" i="1"/>
  <c r="A37406" i="1"/>
  <c r="B37406" i="1"/>
  <c r="A37407" i="1"/>
  <c r="B37407" i="1"/>
  <c r="A37408" i="1"/>
  <c r="B37408" i="1"/>
  <c r="A37409" i="1"/>
  <c r="B37409" i="1"/>
  <c r="A37410" i="1"/>
  <c r="B37410" i="1"/>
  <c r="A37411" i="1"/>
  <c r="B37411" i="1"/>
  <c r="A37412" i="1"/>
  <c r="B37412" i="1"/>
  <c r="A37413" i="1"/>
  <c r="B37413" i="1"/>
  <c r="A37414" i="1"/>
  <c r="B37414" i="1"/>
  <c r="A37415" i="1"/>
  <c r="B37415" i="1"/>
  <c r="A37416" i="1"/>
  <c r="B37416" i="1"/>
  <c r="A37417" i="1"/>
  <c r="B37417" i="1"/>
  <c r="A37418" i="1"/>
  <c r="B37418" i="1"/>
  <c r="A37419" i="1"/>
  <c r="B37419" i="1"/>
  <c r="A37420" i="1"/>
  <c r="B37420" i="1"/>
  <c r="A37421" i="1"/>
  <c r="B37421" i="1"/>
  <c r="A37422" i="1"/>
  <c r="B37422" i="1"/>
  <c r="A37423" i="1"/>
  <c r="B37423" i="1"/>
  <c r="A37424" i="1"/>
  <c r="B37424" i="1"/>
  <c r="A37425" i="1"/>
  <c r="B37425" i="1"/>
  <c r="A37426" i="1"/>
  <c r="B37426" i="1"/>
  <c r="A37427" i="1"/>
  <c r="B37427" i="1"/>
  <c r="A37428" i="1"/>
  <c r="B37428" i="1"/>
  <c r="A37429" i="1"/>
  <c r="B37429" i="1"/>
  <c r="A37430" i="1"/>
  <c r="B37430" i="1"/>
  <c r="A37431" i="1"/>
  <c r="B37431" i="1"/>
  <c r="A37432" i="1"/>
  <c r="B37432" i="1"/>
  <c r="A37433" i="1"/>
  <c r="B37433" i="1"/>
  <c r="A37434" i="1"/>
  <c r="B37434" i="1"/>
  <c r="A37435" i="1"/>
  <c r="B37435" i="1"/>
  <c r="A37436" i="1"/>
  <c r="B37436" i="1"/>
  <c r="A37437" i="1"/>
  <c r="B37437" i="1"/>
  <c r="A37438" i="1"/>
  <c r="B37438" i="1"/>
  <c r="A37439" i="1"/>
  <c r="B37439" i="1"/>
  <c r="A37440" i="1"/>
  <c r="B37440" i="1"/>
  <c r="A37441" i="1"/>
  <c r="B37441" i="1"/>
  <c r="A37442" i="1"/>
  <c r="B37442" i="1"/>
  <c r="A37443" i="1"/>
  <c r="B37443" i="1"/>
  <c r="A37444" i="1"/>
  <c r="B37444" i="1"/>
  <c r="A37445" i="1"/>
  <c r="B37445" i="1"/>
  <c r="A37446" i="1"/>
  <c r="B37446" i="1"/>
  <c r="A37447" i="1"/>
  <c r="B37447" i="1"/>
  <c r="A37448" i="1"/>
  <c r="B37448" i="1"/>
  <c r="A37449" i="1"/>
  <c r="B37449" i="1"/>
  <c r="A37450" i="1"/>
  <c r="B37450" i="1"/>
  <c r="A37451" i="1"/>
  <c r="B37451" i="1"/>
  <c r="A37452" i="1"/>
  <c r="B37452" i="1"/>
  <c r="A37453" i="1"/>
  <c r="B37453" i="1"/>
  <c r="A37454" i="1"/>
  <c r="B37454" i="1"/>
  <c r="A37455" i="1"/>
  <c r="B37455" i="1"/>
  <c r="A37456" i="1"/>
  <c r="B37456" i="1"/>
  <c r="A37457" i="1"/>
  <c r="B37457" i="1"/>
  <c r="A37458" i="1"/>
  <c r="B37458" i="1"/>
  <c r="A37459" i="1"/>
  <c r="B37459" i="1"/>
  <c r="A37460" i="1"/>
  <c r="B37460" i="1"/>
  <c r="A37461" i="1"/>
  <c r="B37461" i="1"/>
  <c r="A37462" i="1"/>
  <c r="B37462" i="1"/>
  <c r="A37463" i="1"/>
  <c r="B37463" i="1"/>
  <c r="A37464" i="1"/>
  <c r="B37464" i="1"/>
  <c r="A37465" i="1"/>
  <c r="B37465" i="1"/>
  <c r="A37466" i="1"/>
  <c r="B37466" i="1"/>
  <c r="A37467" i="1"/>
  <c r="B37467" i="1"/>
  <c r="A37468" i="1"/>
  <c r="B37468" i="1"/>
  <c r="A37469" i="1"/>
  <c r="B37469" i="1"/>
  <c r="A37470" i="1"/>
  <c r="B37470" i="1"/>
  <c r="A37471" i="1"/>
  <c r="B37471" i="1"/>
  <c r="A37472" i="1"/>
  <c r="B37472" i="1"/>
  <c r="A37473" i="1"/>
  <c r="B37473" i="1"/>
  <c r="A37474" i="1"/>
  <c r="B37474" i="1"/>
  <c r="A37475" i="1"/>
  <c r="B37475" i="1"/>
  <c r="A37476" i="1"/>
  <c r="B37476" i="1"/>
  <c r="A37477" i="1"/>
  <c r="B37477" i="1"/>
  <c r="A37478" i="1"/>
  <c r="B37478" i="1"/>
  <c r="A37479" i="1"/>
  <c r="B37479" i="1"/>
  <c r="A37480" i="1"/>
  <c r="B37480" i="1"/>
  <c r="A37481" i="1"/>
  <c r="B37481" i="1"/>
  <c r="A37482" i="1"/>
  <c r="B37482" i="1"/>
  <c r="A37483" i="1"/>
  <c r="B37483" i="1"/>
  <c r="A37484" i="1"/>
  <c r="B37484" i="1"/>
  <c r="A37485" i="1"/>
  <c r="B37485" i="1"/>
  <c r="A37486" i="1"/>
  <c r="B37486" i="1"/>
  <c r="A37487" i="1"/>
  <c r="B37487" i="1"/>
  <c r="A37488" i="1"/>
  <c r="B37488" i="1"/>
  <c r="A37489" i="1"/>
  <c r="B37489" i="1"/>
  <c r="A37490" i="1"/>
  <c r="B37490" i="1"/>
  <c r="A37491" i="1"/>
  <c r="B37491" i="1"/>
  <c r="A37492" i="1"/>
  <c r="B37492" i="1"/>
  <c r="A37493" i="1"/>
  <c r="B37493" i="1"/>
  <c r="A37494" i="1"/>
  <c r="B37494" i="1"/>
  <c r="A37495" i="1"/>
  <c r="B37495" i="1"/>
  <c r="A37496" i="1"/>
  <c r="B37496" i="1"/>
  <c r="A37497" i="1"/>
  <c r="B37497" i="1"/>
  <c r="A37498" i="1"/>
  <c r="B37498" i="1"/>
  <c r="A37499" i="1"/>
  <c r="B37499" i="1"/>
  <c r="A37500" i="1"/>
  <c r="B37500" i="1"/>
  <c r="A37501" i="1"/>
  <c r="B37501" i="1"/>
  <c r="A37502" i="1"/>
  <c r="B37502" i="1"/>
  <c r="A37503" i="1"/>
  <c r="B37503" i="1"/>
  <c r="A37504" i="1"/>
  <c r="B37504" i="1"/>
  <c r="A37505" i="1"/>
  <c r="B37505" i="1"/>
  <c r="A37506" i="1"/>
  <c r="B37506" i="1"/>
  <c r="A37507" i="1"/>
  <c r="B37507" i="1"/>
  <c r="A37508" i="1"/>
  <c r="B37508" i="1"/>
  <c r="A37509" i="1"/>
  <c r="B37509" i="1"/>
  <c r="A37510" i="1"/>
  <c r="B37510" i="1"/>
  <c r="A37511" i="1"/>
  <c r="B37511" i="1"/>
  <c r="A37512" i="1"/>
  <c r="B37512" i="1"/>
  <c r="A37513" i="1"/>
  <c r="B37513" i="1"/>
  <c r="A37514" i="1"/>
  <c r="B37514" i="1"/>
  <c r="A37515" i="1"/>
  <c r="B37515" i="1"/>
  <c r="A37516" i="1"/>
  <c r="B37516" i="1"/>
  <c r="A37517" i="1"/>
  <c r="B37517" i="1"/>
  <c r="A37518" i="1"/>
  <c r="B37518" i="1"/>
  <c r="A37519" i="1"/>
  <c r="B37519" i="1"/>
  <c r="A37520" i="1"/>
  <c r="B37520" i="1"/>
  <c r="A37521" i="1"/>
  <c r="B37521" i="1"/>
  <c r="A37522" i="1"/>
  <c r="B37522" i="1"/>
  <c r="A37523" i="1"/>
  <c r="B37523" i="1"/>
  <c r="A37524" i="1"/>
  <c r="B37524" i="1"/>
  <c r="A37525" i="1"/>
  <c r="B37525" i="1"/>
  <c r="A37526" i="1"/>
  <c r="B37526" i="1"/>
  <c r="A37527" i="1"/>
  <c r="B37527" i="1"/>
  <c r="A37528" i="1"/>
  <c r="B37528" i="1"/>
  <c r="A37529" i="1"/>
  <c r="B37529" i="1"/>
  <c r="A37530" i="1"/>
  <c r="B37530" i="1"/>
  <c r="A37531" i="1"/>
  <c r="B37531" i="1"/>
  <c r="A37532" i="1"/>
  <c r="B37532" i="1"/>
  <c r="A37533" i="1"/>
  <c r="B37533" i="1"/>
  <c r="A37534" i="1"/>
  <c r="B37534" i="1"/>
  <c r="A37535" i="1"/>
  <c r="B37535" i="1"/>
  <c r="A37536" i="1"/>
  <c r="B37536" i="1"/>
  <c r="A37537" i="1"/>
  <c r="B37537" i="1"/>
  <c r="A37538" i="1"/>
  <c r="B37538" i="1"/>
  <c r="A37539" i="1"/>
  <c r="B37539" i="1"/>
  <c r="A37540" i="1"/>
  <c r="B37540" i="1"/>
  <c r="A37541" i="1"/>
  <c r="B37541" i="1"/>
  <c r="A37542" i="1"/>
  <c r="B37542" i="1"/>
  <c r="A37543" i="1"/>
  <c r="B37543" i="1"/>
  <c r="A37544" i="1"/>
  <c r="B37544" i="1"/>
  <c r="A37545" i="1"/>
  <c r="B37545" i="1"/>
  <c r="A37546" i="1"/>
  <c r="B37546" i="1"/>
  <c r="A37547" i="1"/>
  <c r="B37547" i="1"/>
  <c r="A37548" i="1"/>
  <c r="B37548" i="1"/>
  <c r="A37549" i="1"/>
  <c r="B37549" i="1"/>
  <c r="A37550" i="1"/>
  <c r="B37550" i="1"/>
  <c r="A37551" i="1"/>
  <c r="B37551" i="1"/>
  <c r="A37552" i="1"/>
  <c r="B37552" i="1"/>
  <c r="A37553" i="1"/>
  <c r="B37553" i="1"/>
  <c r="A37554" i="1"/>
  <c r="B37554" i="1"/>
  <c r="A37555" i="1"/>
  <c r="B37555" i="1"/>
  <c r="A37556" i="1"/>
  <c r="B37556" i="1"/>
  <c r="A37557" i="1"/>
  <c r="B37557" i="1"/>
  <c r="A37558" i="1"/>
  <c r="B37558" i="1"/>
  <c r="A37559" i="1"/>
  <c r="B37559" i="1"/>
  <c r="A37560" i="1"/>
  <c r="B37560" i="1"/>
  <c r="A37561" i="1"/>
  <c r="B37561" i="1"/>
  <c r="A37562" i="1"/>
  <c r="B37562" i="1"/>
  <c r="A37563" i="1"/>
  <c r="B37563" i="1"/>
  <c r="A37564" i="1"/>
  <c r="B37564" i="1"/>
  <c r="A37565" i="1"/>
  <c r="B37565" i="1"/>
  <c r="A37566" i="1"/>
  <c r="B37566" i="1"/>
  <c r="A37567" i="1"/>
  <c r="B37567" i="1"/>
  <c r="A37568" i="1"/>
  <c r="B37568" i="1"/>
  <c r="A37569" i="1"/>
  <c r="B37569" i="1"/>
  <c r="A37570" i="1"/>
  <c r="B37570" i="1"/>
  <c r="A37571" i="1"/>
  <c r="B37571" i="1"/>
  <c r="A37572" i="1"/>
  <c r="B37572" i="1"/>
  <c r="A37573" i="1"/>
  <c r="B37573" i="1"/>
  <c r="A37574" i="1"/>
  <c r="B37574" i="1"/>
  <c r="A37575" i="1"/>
  <c r="B37575" i="1"/>
  <c r="A37576" i="1"/>
  <c r="B37576" i="1"/>
  <c r="A37577" i="1"/>
  <c r="B37577" i="1"/>
  <c r="A37578" i="1"/>
  <c r="B37578" i="1"/>
  <c r="A37579" i="1"/>
  <c r="B37579" i="1"/>
  <c r="A37580" i="1"/>
  <c r="B37580" i="1"/>
  <c r="A37581" i="1"/>
  <c r="B37581" i="1"/>
  <c r="A37582" i="1"/>
  <c r="B37582" i="1"/>
  <c r="A37583" i="1"/>
  <c r="B37583" i="1"/>
  <c r="A37584" i="1"/>
  <c r="B37584" i="1"/>
  <c r="A37585" i="1"/>
  <c r="B37585" i="1"/>
  <c r="A37586" i="1"/>
  <c r="B37586" i="1"/>
  <c r="A37587" i="1"/>
  <c r="B37587" i="1"/>
  <c r="A37588" i="1"/>
  <c r="B37588" i="1"/>
  <c r="A37589" i="1"/>
  <c r="B37589" i="1"/>
  <c r="A37590" i="1"/>
  <c r="B37590" i="1"/>
  <c r="A37591" i="1"/>
  <c r="B37591" i="1"/>
  <c r="A37592" i="1"/>
  <c r="B37592" i="1"/>
  <c r="A37593" i="1"/>
  <c r="B37593" i="1"/>
  <c r="A37594" i="1"/>
  <c r="B37594" i="1"/>
  <c r="A37595" i="1"/>
  <c r="B37595" i="1"/>
  <c r="A37596" i="1"/>
  <c r="B37596" i="1"/>
  <c r="A37597" i="1"/>
  <c r="B37597" i="1"/>
  <c r="A37598" i="1"/>
  <c r="B37598" i="1"/>
  <c r="A37599" i="1"/>
  <c r="B37599" i="1"/>
  <c r="A37600" i="1"/>
  <c r="B37600" i="1"/>
  <c r="A37601" i="1"/>
  <c r="B37601" i="1"/>
  <c r="A37602" i="1"/>
  <c r="B37602" i="1"/>
  <c r="A37603" i="1"/>
  <c r="B37603" i="1"/>
  <c r="A37604" i="1"/>
  <c r="B37604" i="1"/>
  <c r="A37605" i="1"/>
  <c r="B37605" i="1"/>
  <c r="A37606" i="1"/>
  <c r="B37606" i="1"/>
  <c r="A37607" i="1"/>
  <c r="B37607" i="1"/>
  <c r="A37608" i="1"/>
  <c r="B37608" i="1"/>
  <c r="A37609" i="1"/>
  <c r="B37609" i="1"/>
  <c r="A37610" i="1"/>
  <c r="B37610" i="1"/>
  <c r="A37611" i="1"/>
  <c r="B37611" i="1"/>
  <c r="A37612" i="1"/>
  <c r="B37612" i="1"/>
  <c r="A37613" i="1"/>
  <c r="B37613" i="1"/>
  <c r="A37614" i="1"/>
  <c r="B37614" i="1"/>
  <c r="A37615" i="1"/>
  <c r="B37615" i="1"/>
  <c r="A37616" i="1"/>
  <c r="B37616" i="1"/>
  <c r="A37617" i="1"/>
  <c r="B37617" i="1"/>
  <c r="A37618" i="1"/>
  <c r="B37618" i="1"/>
  <c r="A37619" i="1"/>
  <c r="B37619" i="1"/>
  <c r="A37620" i="1"/>
  <c r="B37620" i="1"/>
  <c r="A37621" i="1"/>
  <c r="B37621" i="1"/>
  <c r="A37622" i="1"/>
  <c r="B37622" i="1"/>
  <c r="A37623" i="1"/>
  <c r="B37623" i="1"/>
  <c r="A37624" i="1"/>
  <c r="B37624" i="1"/>
  <c r="A37625" i="1"/>
  <c r="B37625" i="1"/>
  <c r="A37626" i="1"/>
  <c r="B37626" i="1"/>
  <c r="A37627" i="1"/>
  <c r="B37627" i="1"/>
  <c r="A37628" i="1"/>
  <c r="B37628" i="1"/>
  <c r="A37629" i="1"/>
  <c r="B37629" i="1"/>
  <c r="A37630" i="1"/>
  <c r="B37630" i="1"/>
  <c r="A37631" i="1"/>
  <c r="B37631" i="1"/>
  <c r="A37632" i="1"/>
  <c r="B37632" i="1"/>
  <c r="A37633" i="1"/>
  <c r="B37633" i="1"/>
  <c r="A37634" i="1"/>
  <c r="B37634" i="1"/>
  <c r="A37635" i="1"/>
  <c r="B37635" i="1"/>
  <c r="A37636" i="1"/>
  <c r="B37636" i="1"/>
  <c r="A37637" i="1"/>
  <c r="B37637" i="1"/>
  <c r="A37638" i="1"/>
  <c r="B37638" i="1"/>
  <c r="A37639" i="1"/>
  <c r="B37639" i="1"/>
  <c r="A37640" i="1"/>
  <c r="B37640" i="1"/>
  <c r="A37641" i="1"/>
  <c r="B37641" i="1"/>
  <c r="A37642" i="1"/>
  <c r="B37642" i="1"/>
  <c r="A37643" i="1"/>
  <c r="B37643" i="1"/>
  <c r="A37644" i="1"/>
  <c r="B37644" i="1"/>
  <c r="A37645" i="1"/>
  <c r="B37645" i="1"/>
  <c r="A37646" i="1"/>
  <c r="B37646" i="1"/>
  <c r="A37647" i="1"/>
  <c r="B37647" i="1"/>
  <c r="A37648" i="1"/>
  <c r="B37648" i="1"/>
  <c r="A37649" i="1"/>
  <c r="B37649" i="1"/>
  <c r="A37650" i="1"/>
  <c r="B37650" i="1"/>
  <c r="A37651" i="1"/>
  <c r="B37651" i="1"/>
  <c r="A37652" i="1"/>
  <c r="B37652" i="1"/>
  <c r="A37653" i="1"/>
  <c r="B37653" i="1"/>
  <c r="A37654" i="1"/>
  <c r="B37654" i="1"/>
  <c r="A37655" i="1"/>
  <c r="B37655" i="1"/>
  <c r="A37656" i="1"/>
  <c r="B37656" i="1"/>
  <c r="A37657" i="1"/>
  <c r="B37657" i="1"/>
  <c r="A37658" i="1"/>
  <c r="B37658" i="1"/>
  <c r="A37659" i="1"/>
  <c r="B37659" i="1"/>
  <c r="A37660" i="1"/>
  <c r="B37660" i="1"/>
  <c r="A37661" i="1"/>
  <c r="B37661" i="1"/>
  <c r="A37662" i="1"/>
  <c r="B37662" i="1"/>
  <c r="A37663" i="1"/>
  <c r="B37663" i="1"/>
  <c r="A37664" i="1"/>
  <c r="B37664" i="1"/>
  <c r="A37665" i="1"/>
  <c r="B37665" i="1"/>
  <c r="A37666" i="1"/>
  <c r="B37666" i="1"/>
  <c r="A37667" i="1"/>
  <c r="B37667" i="1"/>
  <c r="A37668" i="1"/>
  <c r="B37668" i="1"/>
  <c r="A37669" i="1"/>
  <c r="B37669" i="1"/>
  <c r="A37670" i="1"/>
  <c r="B37670" i="1"/>
  <c r="A37671" i="1"/>
  <c r="B37671" i="1"/>
  <c r="A37672" i="1"/>
  <c r="B37672" i="1"/>
  <c r="A37673" i="1"/>
  <c r="B37673" i="1"/>
  <c r="A37674" i="1"/>
  <c r="B37674" i="1"/>
  <c r="A37675" i="1"/>
  <c r="B37675" i="1"/>
  <c r="A37676" i="1"/>
  <c r="B37676" i="1"/>
  <c r="A37677" i="1"/>
  <c r="B37677" i="1"/>
  <c r="A37678" i="1"/>
  <c r="B37678" i="1"/>
  <c r="A37679" i="1"/>
  <c r="B37679" i="1"/>
  <c r="A37680" i="1"/>
  <c r="B37680" i="1"/>
  <c r="A37681" i="1"/>
  <c r="B37681" i="1"/>
  <c r="A37682" i="1"/>
  <c r="B37682" i="1"/>
  <c r="A37683" i="1"/>
  <c r="B37683" i="1"/>
  <c r="A37684" i="1"/>
  <c r="B37684" i="1"/>
  <c r="A37685" i="1"/>
  <c r="B37685" i="1"/>
  <c r="A37686" i="1"/>
  <c r="B37686" i="1"/>
  <c r="A37687" i="1"/>
  <c r="B37687" i="1"/>
  <c r="A37688" i="1"/>
  <c r="B37688" i="1"/>
  <c r="A37689" i="1"/>
  <c r="B37689" i="1"/>
  <c r="A37690" i="1"/>
  <c r="B37690" i="1"/>
  <c r="A37691" i="1"/>
  <c r="B37691" i="1"/>
  <c r="A37692" i="1"/>
  <c r="B37692" i="1"/>
  <c r="A37693" i="1"/>
  <c r="B37693" i="1"/>
  <c r="A37694" i="1"/>
  <c r="B37694" i="1"/>
  <c r="A37695" i="1"/>
  <c r="B37695" i="1"/>
  <c r="A37696" i="1"/>
  <c r="B37696" i="1"/>
  <c r="A37697" i="1"/>
  <c r="B37697" i="1"/>
  <c r="A37698" i="1"/>
  <c r="B37698" i="1"/>
  <c r="A37699" i="1"/>
  <c r="B37699" i="1"/>
  <c r="A37700" i="1"/>
  <c r="B37700" i="1"/>
  <c r="A37701" i="1"/>
  <c r="B37701" i="1"/>
  <c r="A37702" i="1"/>
  <c r="B37702" i="1"/>
  <c r="A37703" i="1"/>
  <c r="B37703" i="1"/>
  <c r="A37704" i="1"/>
  <c r="B37704" i="1"/>
  <c r="A37705" i="1"/>
  <c r="B37705" i="1"/>
  <c r="A37706" i="1"/>
  <c r="B37706" i="1"/>
  <c r="A37707" i="1"/>
  <c r="B37707" i="1"/>
  <c r="A37708" i="1"/>
  <c r="B37708" i="1"/>
  <c r="A37709" i="1"/>
  <c r="B37709" i="1"/>
  <c r="A37710" i="1"/>
  <c r="B37710" i="1"/>
  <c r="A37711" i="1"/>
  <c r="B37711" i="1"/>
  <c r="A37712" i="1"/>
  <c r="B37712" i="1"/>
  <c r="A37713" i="1"/>
  <c r="B37713" i="1"/>
  <c r="A37714" i="1"/>
  <c r="B37714" i="1"/>
  <c r="A37715" i="1"/>
  <c r="B37715" i="1"/>
  <c r="A37716" i="1"/>
  <c r="B37716" i="1"/>
  <c r="A37717" i="1"/>
  <c r="B37717" i="1"/>
  <c r="A37718" i="1"/>
  <c r="B37718" i="1"/>
  <c r="A37719" i="1"/>
  <c r="B37719" i="1"/>
  <c r="A37720" i="1"/>
  <c r="B37720" i="1"/>
  <c r="A37721" i="1"/>
  <c r="B37721" i="1"/>
  <c r="A37722" i="1"/>
  <c r="B37722" i="1"/>
  <c r="A37723" i="1"/>
  <c r="B37723" i="1"/>
  <c r="A37724" i="1"/>
  <c r="B37724" i="1"/>
  <c r="A37725" i="1"/>
  <c r="B37725" i="1"/>
  <c r="A37726" i="1"/>
  <c r="B37726" i="1"/>
  <c r="A37727" i="1"/>
  <c r="B37727" i="1"/>
  <c r="A37728" i="1"/>
  <c r="B37728" i="1"/>
  <c r="A37729" i="1"/>
  <c r="B37729" i="1"/>
  <c r="A37730" i="1"/>
  <c r="B37730" i="1"/>
  <c r="A37731" i="1"/>
  <c r="B37731" i="1"/>
  <c r="A37732" i="1"/>
  <c r="B37732" i="1"/>
  <c r="A37733" i="1"/>
  <c r="B37733" i="1"/>
  <c r="A37734" i="1"/>
  <c r="B37734" i="1"/>
  <c r="A37735" i="1"/>
  <c r="B37735" i="1"/>
  <c r="A37736" i="1"/>
  <c r="B37736" i="1"/>
  <c r="A37737" i="1"/>
  <c r="B37737" i="1"/>
  <c r="A37738" i="1"/>
  <c r="B37738" i="1"/>
  <c r="A37739" i="1"/>
  <c r="B37739" i="1"/>
  <c r="A37740" i="1"/>
  <c r="B37740" i="1"/>
  <c r="A37741" i="1"/>
  <c r="B37741" i="1"/>
  <c r="A37742" i="1"/>
  <c r="B37742" i="1"/>
  <c r="A37743" i="1"/>
  <c r="B37743" i="1"/>
  <c r="A37744" i="1"/>
  <c r="B37744" i="1"/>
  <c r="A37745" i="1"/>
  <c r="B37745" i="1"/>
  <c r="A37746" i="1"/>
  <c r="B37746" i="1"/>
  <c r="A37747" i="1"/>
  <c r="B37747" i="1"/>
  <c r="A37748" i="1"/>
  <c r="B37748" i="1"/>
  <c r="A37749" i="1"/>
  <c r="B37749" i="1"/>
  <c r="A37750" i="1"/>
  <c r="B37750" i="1"/>
  <c r="A37751" i="1"/>
  <c r="B37751" i="1"/>
  <c r="A37752" i="1"/>
  <c r="B37752" i="1"/>
  <c r="A37753" i="1"/>
  <c r="B37753" i="1"/>
  <c r="A37754" i="1"/>
  <c r="B37754" i="1"/>
  <c r="A37755" i="1"/>
  <c r="B37755" i="1"/>
  <c r="A37756" i="1"/>
  <c r="B37756" i="1"/>
  <c r="A37757" i="1"/>
  <c r="B37757" i="1"/>
  <c r="A37758" i="1"/>
  <c r="B37758" i="1"/>
  <c r="A37759" i="1"/>
  <c r="B37759" i="1"/>
  <c r="A37760" i="1"/>
  <c r="B37760" i="1"/>
  <c r="A37761" i="1"/>
  <c r="B37761" i="1"/>
  <c r="A37762" i="1"/>
  <c r="B37762" i="1"/>
  <c r="A37763" i="1"/>
  <c r="B37763" i="1"/>
  <c r="A37764" i="1"/>
  <c r="B37764" i="1"/>
  <c r="A37765" i="1"/>
  <c r="B37765" i="1"/>
  <c r="A37766" i="1"/>
  <c r="B37766" i="1"/>
  <c r="A37767" i="1"/>
  <c r="B37767" i="1"/>
  <c r="A37768" i="1"/>
  <c r="B37768" i="1"/>
  <c r="A37769" i="1"/>
  <c r="B37769" i="1"/>
  <c r="A37770" i="1"/>
  <c r="B37770" i="1"/>
  <c r="A37771" i="1"/>
  <c r="B37771" i="1"/>
  <c r="A37772" i="1"/>
  <c r="B37772" i="1"/>
  <c r="A37773" i="1"/>
  <c r="B37773" i="1"/>
  <c r="A37774" i="1"/>
  <c r="B37774" i="1"/>
  <c r="A37775" i="1"/>
  <c r="B37775" i="1"/>
  <c r="A37776" i="1"/>
  <c r="B37776" i="1"/>
  <c r="A37777" i="1"/>
  <c r="B37777" i="1"/>
  <c r="A37778" i="1"/>
  <c r="B37778" i="1"/>
  <c r="A37779" i="1"/>
  <c r="B37779" i="1"/>
  <c r="A37780" i="1"/>
  <c r="B37780" i="1"/>
  <c r="A37781" i="1"/>
  <c r="B37781" i="1"/>
  <c r="A37782" i="1"/>
  <c r="B37782" i="1"/>
  <c r="A37783" i="1"/>
  <c r="B37783" i="1"/>
  <c r="A37784" i="1"/>
  <c r="B37784" i="1"/>
  <c r="A37785" i="1"/>
  <c r="B37785" i="1"/>
  <c r="A37786" i="1"/>
  <c r="B37786" i="1"/>
  <c r="A37787" i="1"/>
  <c r="B37787" i="1"/>
  <c r="A37788" i="1"/>
  <c r="B37788" i="1"/>
  <c r="A37789" i="1"/>
  <c r="B37789" i="1"/>
  <c r="A37790" i="1"/>
  <c r="B37790" i="1"/>
  <c r="A37791" i="1"/>
  <c r="B37791" i="1"/>
  <c r="A37792" i="1"/>
  <c r="B37792" i="1"/>
  <c r="A37793" i="1"/>
  <c r="B37793" i="1"/>
  <c r="A37794" i="1"/>
  <c r="B37794" i="1"/>
  <c r="A37795" i="1"/>
  <c r="B37795" i="1"/>
  <c r="A37796" i="1"/>
  <c r="B37796" i="1"/>
  <c r="A37797" i="1"/>
  <c r="B37797" i="1"/>
  <c r="A37798" i="1"/>
  <c r="B37798" i="1"/>
  <c r="A37799" i="1"/>
  <c r="B37799" i="1"/>
  <c r="A37800" i="1"/>
  <c r="B37800" i="1"/>
  <c r="A37801" i="1"/>
  <c r="B37801" i="1"/>
  <c r="A37802" i="1"/>
  <c r="B37802" i="1"/>
  <c r="A37803" i="1"/>
  <c r="B37803" i="1"/>
  <c r="A37804" i="1"/>
  <c r="B37804" i="1"/>
  <c r="A37805" i="1"/>
  <c r="B37805" i="1"/>
  <c r="A37806" i="1"/>
  <c r="B37806" i="1"/>
  <c r="A37807" i="1"/>
  <c r="B37807" i="1"/>
  <c r="A37808" i="1"/>
  <c r="B37808" i="1"/>
  <c r="A37809" i="1"/>
  <c r="B37809" i="1"/>
  <c r="A37810" i="1"/>
  <c r="B37810" i="1"/>
  <c r="A37811" i="1"/>
  <c r="B37811" i="1"/>
  <c r="A37812" i="1"/>
  <c r="B37812" i="1"/>
  <c r="A37813" i="1"/>
  <c r="B37813" i="1"/>
  <c r="A37814" i="1"/>
  <c r="B37814" i="1"/>
  <c r="A37815" i="1"/>
  <c r="B37815" i="1"/>
  <c r="A37816" i="1"/>
  <c r="B37816" i="1"/>
  <c r="A37817" i="1"/>
  <c r="B37817" i="1"/>
  <c r="A37818" i="1"/>
  <c r="B37818" i="1"/>
  <c r="A37819" i="1"/>
  <c r="B37819" i="1"/>
  <c r="A37820" i="1"/>
  <c r="B37820" i="1"/>
  <c r="A37821" i="1"/>
  <c r="B37821" i="1"/>
  <c r="A37822" i="1"/>
  <c r="B37822" i="1"/>
  <c r="A37823" i="1"/>
  <c r="B37823" i="1"/>
  <c r="A37824" i="1"/>
  <c r="B37824" i="1"/>
  <c r="A37825" i="1"/>
  <c r="B37825" i="1"/>
  <c r="A37826" i="1"/>
  <c r="B37826" i="1"/>
  <c r="A37827" i="1"/>
  <c r="B37827" i="1"/>
  <c r="A37828" i="1"/>
  <c r="B37828" i="1"/>
  <c r="A37829" i="1"/>
  <c r="B37829" i="1"/>
  <c r="A37830" i="1"/>
  <c r="B37830" i="1"/>
  <c r="A37831" i="1"/>
  <c r="B37831" i="1"/>
  <c r="A37832" i="1"/>
  <c r="B37832" i="1"/>
  <c r="A37833" i="1"/>
  <c r="B37833" i="1"/>
  <c r="A37834" i="1"/>
  <c r="B37834" i="1"/>
  <c r="A37835" i="1"/>
  <c r="B37835" i="1"/>
  <c r="A37836" i="1"/>
  <c r="B37836" i="1"/>
  <c r="A37837" i="1"/>
  <c r="B37837" i="1"/>
  <c r="A37838" i="1"/>
  <c r="B37838" i="1"/>
  <c r="A37839" i="1"/>
  <c r="B37839" i="1"/>
  <c r="A37840" i="1"/>
  <c r="B37840" i="1"/>
  <c r="A37841" i="1"/>
  <c r="B37841" i="1"/>
  <c r="A37842" i="1"/>
  <c r="B37842" i="1"/>
  <c r="A37843" i="1"/>
  <c r="B37843" i="1"/>
  <c r="A37844" i="1"/>
  <c r="B37844" i="1"/>
  <c r="A37845" i="1"/>
  <c r="B37845" i="1"/>
  <c r="A37846" i="1"/>
  <c r="B37846" i="1"/>
  <c r="A37847" i="1"/>
  <c r="B37847" i="1"/>
  <c r="A37848" i="1"/>
  <c r="B37848" i="1"/>
  <c r="A37849" i="1"/>
  <c r="B37849" i="1"/>
  <c r="A37850" i="1"/>
  <c r="B37850" i="1"/>
  <c r="A37851" i="1"/>
  <c r="B37851" i="1"/>
  <c r="A37852" i="1"/>
  <c r="B37852" i="1"/>
  <c r="A37853" i="1"/>
  <c r="B37853" i="1"/>
  <c r="A37854" i="1"/>
  <c r="B37854" i="1"/>
  <c r="A37855" i="1"/>
  <c r="B37855" i="1"/>
  <c r="A37856" i="1"/>
  <c r="B37856" i="1"/>
  <c r="A37857" i="1"/>
  <c r="B37857" i="1"/>
  <c r="A37858" i="1"/>
  <c r="B37858" i="1"/>
  <c r="A37859" i="1"/>
  <c r="B37859" i="1"/>
  <c r="A37860" i="1"/>
  <c r="B37860" i="1"/>
  <c r="A37861" i="1"/>
  <c r="B37861" i="1"/>
  <c r="A37862" i="1"/>
  <c r="B37862" i="1"/>
  <c r="A37863" i="1"/>
  <c r="B37863" i="1"/>
  <c r="A37864" i="1"/>
  <c r="B37864" i="1"/>
  <c r="A37865" i="1"/>
  <c r="B37865" i="1"/>
  <c r="A37866" i="1"/>
  <c r="B37866" i="1"/>
  <c r="A37867" i="1"/>
  <c r="B37867" i="1"/>
  <c r="A37868" i="1"/>
  <c r="B37868" i="1"/>
  <c r="A37869" i="1"/>
  <c r="B37869" i="1"/>
  <c r="A37870" i="1"/>
  <c r="B37870" i="1"/>
  <c r="A37871" i="1"/>
  <c r="B37871" i="1"/>
  <c r="A37872" i="1"/>
  <c r="B37872" i="1"/>
  <c r="A37873" i="1"/>
  <c r="B37873" i="1"/>
  <c r="A37874" i="1"/>
  <c r="B37874" i="1"/>
  <c r="A37875" i="1"/>
  <c r="B37875" i="1"/>
  <c r="A37876" i="1"/>
  <c r="B37876" i="1"/>
  <c r="A37877" i="1"/>
  <c r="B37877" i="1"/>
  <c r="A37878" i="1"/>
  <c r="B37878" i="1"/>
  <c r="A37879" i="1"/>
  <c r="B37879" i="1"/>
  <c r="A37880" i="1"/>
  <c r="B37880" i="1"/>
  <c r="A37881" i="1"/>
  <c r="B37881" i="1"/>
  <c r="A37882" i="1"/>
  <c r="B37882" i="1"/>
  <c r="A37883" i="1"/>
  <c r="B37883" i="1"/>
  <c r="A37884" i="1"/>
  <c r="B37884" i="1"/>
  <c r="A37885" i="1"/>
  <c r="B37885" i="1"/>
  <c r="A37886" i="1"/>
  <c r="B37886" i="1"/>
  <c r="A37887" i="1"/>
  <c r="B37887" i="1"/>
  <c r="A37888" i="1"/>
  <c r="B37888" i="1"/>
  <c r="A37889" i="1"/>
  <c r="B37889" i="1"/>
  <c r="A37890" i="1"/>
  <c r="B37890" i="1"/>
  <c r="A37891" i="1"/>
  <c r="B37891" i="1"/>
  <c r="A37892" i="1"/>
  <c r="B37892" i="1"/>
  <c r="A37893" i="1"/>
  <c r="B37893" i="1"/>
  <c r="A37894" i="1"/>
  <c r="B37894" i="1"/>
  <c r="A37895" i="1"/>
  <c r="B37895" i="1"/>
  <c r="A37896" i="1"/>
  <c r="B37896" i="1"/>
  <c r="A37897" i="1"/>
  <c r="B37897" i="1"/>
  <c r="A37898" i="1"/>
  <c r="B37898" i="1"/>
  <c r="A37899" i="1"/>
  <c r="B37899" i="1"/>
  <c r="A37900" i="1"/>
  <c r="B37900" i="1"/>
  <c r="A37901" i="1"/>
  <c r="B37901" i="1"/>
  <c r="A37902" i="1"/>
  <c r="B37902" i="1"/>
  <c r="A37903" i="1"/>
  <c r="B37903" i="1"/>
  <c r="A37904" i="1"/>
  <c r="B37904" i="1"/>
  <c r="A37905" i="1"/>
  <c r="B37905" i="1"/>
  <c r="A37906" i="1"/>
  <c r="B37906" i="1"/>
  <c r="A37907" i="1"/>
  <c r="B37907" i="1"/>
  <c r="A37908" i="1"/>
  <c r="B37908" i="1"/>
  <c r="A37909" i="1"/>
  <c r="B37909" i="1"/>
  <c r="A37910" i="1"/>
  <c r="B37910" i="1"/>
  <c r="A37911" i="1"/>
  <c r="B37911" i="1"/>
  <c r="A37912" i="1"/>
  <c r="B37912" i="1"/>
  <c r="A37913" i="1"/>
  <c r="B37913" i="1"/>
  <c r="A37914" i="1"/>
  <c r="B37914" i="1"/>
  <c r="A37915" i="1"/>
  <c r="B37915" i="1"/>
  <c r="A37916" i="1"/>
  <c r="B37916" i="1"/>
  <c r="A37917" i="1"/>
  <c r="B37917" i="1"/>
  <c r="A37918" i="1"/>
  <c r="B37918" i="1"/>
  <c r="A37919" i="1"/>
  <c r="B37919" i="1"/>
  <c r="A37920" i="1"/>
  <c r="B37920" i="1"/>
  <c r="A37921" i="1"/>
  <c r="B37921" i="1"/>
  <c r="A37922" i="1"/>
  <c r="B37922" i="1"/>
  <c r="A37923" i="1"/>
  <c r="B37923" i="1"/>
  <c r="A37924" i="1"/>
  <c r="B37924" i="1"/>
  <c r="A37925" i="1"/>
  <c r="B37925" i="1"/>
  <c r="A37926" i="1"/>
  <c r="B37926" i="1"/>
  <c r="A37927" i="1"/>
  <c r="B37927" i="1"/>
  <c r="A37928" i="1"/>
  <c r="B37928" i="1"/>
  <c r="A37929" i="1"/>
  <c r="B37929" i="1"/>
  <c r="A37930" i="1"/>
  <c r="B37930" i="1"/>
  <c r="A37931" i="1"/>
  <c r="B37931" i="1"/>
  <c r="A37932" i="1"/>
  <c r="B37932" i="1"/>
  <c r="A37933" i="1"/>
  <c r="B37933" i="1"/>
  <c r="A37934" i="1"/>
  <c r="B37934" i="1"/>
  <c r="A37935" i="1"/>
  <c r="B37935" i="1"/>
  <c r="A37936" i="1"/>
  <c r="B37936" i="1"/>
  <c r="A37937" i="1"/>
  <c r="B37937" i="1"/>
  <c r="A37938" i="1"/>
  <c r="B37938" i="1"/>
  <c r="A37939" i="1"/>
  <c r="B37939" i="1"/>
  <c r="A37940" i="1"/>
  <c r="B37940" i="1"/>
  <c r="A37941" i="1"/>
  <c r="B37941" i="1"/>
  <c r="A37942" i="1"/>
  <c r="B37942" i="1"/>
  <c r="A37943" i="1"/>
  <c r="B37943" i="1"/>
  <c r="A37944" i="1"/>
  <c r="B37944" i="1"/>
  <c r="A37945" i="1"/>
  <c r="B37945" i="1"/>
  <c r="A37946" i="1"/>
  <c r="B37946" i="1"/>
  <c r="A37947" i="1"/>
  <c r="B37947" i="1"/>
  <c r="A37948" i="1"/>
  <c r="B37948" i="1"/>
  <c r="A37949" i="1"/>
  <c r="B37949" i="1"/>
  <c r="A37950" i="1"/>
  <c r="B37950" i="1"/>
  <c r="A37951" i="1"/>
  <c r="B37951" i="1"/>
  <c r="A37952" i="1"/>
  <c r="B37952" i="1"/>
  <c r="A37953" i="1"/>
  <c r="B37953" i="1"/>
  <c r="A37954" i="1"/>
  <c r="B37954" i="1"/>
  <c r="A37955" i="1"/>
  <c r="B37955" i="1"/>
  <c r="A37956" i="1"/>
  <c r="B37956" i="1"/>
  <c r="A37957" i="1"/>
  <c r="B37957" i="1"/>
  <c r="A37958" i="1"/>
  <c r="B37958" i="1"/>
  <c r="A37959" i="1"/>
  <c r="B37959" i="1"/>
  <c r="A37960" i="1"/>
  <c r="B37960" i="1"/>
  <c r="A37961" i="1"/>
  <c r="B37961" i="1"/>
  <c r="A37962" i="1"/>
  <c r="B37962" i="1"/>
  <c r="A37963" i="1"/>
  <c r="B37963" i="1"/>
  <c r="A37964" i="1"/>
  <c r="B37964" i="1"/>
  <c r="A37965" i="1"/>
  <c r="B37965" i="1"/>
  <c r="A37966" i="1"/>
  <c r="B37966" i="1"/>
  <c r="A37967" i="1"/>
  <c r="B37967" i="1"/>
  <c r="A37968" i="1"/>
  <c r="B37968" i="1"/>
  <c r="A37969" i="1"/>
  <c r="B37969" i="1"/>
  <c r="A37970" i="1"/>
  <c r="B37970" i="1"/>
  <c r="A37971" i="1"/>
  <c r="B37971" i="1"/>
  <c r="A37972" i="1"/>
  <c r="B37972" i="1"/>
  <c r="A37973" i="1"/>
  <c r="B37973" i="1"/>
  <c r="A37974" i="1"/>
  <c r="B37974" i="1"/>
  <c r="A37975" i="1"/>
  <c r="B37975" i="1"/>
  <c r="A37976" i="1"/>
  <c r="B37976" i="1"/>
  <c r="A37977" i="1"/>
  <c r="B37977" i="1"/>
  <c r="A37978" i="1"/>
  <c r="B37978" i="1"/>
  <c r="A37979" i="1"/>
  <c r="B37979" i="1"/>
  <c r="A37980" i="1"/>
  <c r="B37980" i="1"/>
  <c r="A37981" i="1"/>
  <c r="B37981" i="1"/>
  <c r="A37982" i="1"/>
  <c r="B37982" i="1"/>
  <c r="A37983" i="1"/>
  <c r="B37983" i="1"/>
  <c r="A37984" i="1"/>
  <c r="B37984" i="1"/>
  <c r="A37985" i="1"/>
  <c r="B37985" i="1"/>
  <c r="A37986" i="1"/>
  <c r="B37986" i="1"/>
  <c r="A37987" i="1"/>
  <c r="B37987" i="1"/>
  <c r="A37988" i="1"/>
  <c r="B37988" i="1"/>
  <c r="A37989" i="1"/>
  <c r="B37989" i="1"/>
  <c r="A37990" i="1"/>
  <c r="B37990" i="1"/>
  <c r="A37991" i="1"/>
  <c r="B37991" i="1"/>
  <c r="A37992" i="1"/>
  <c r="B37992" i="1"/>
  <c r="A37993" i="1"/>
  <c r="B37993" i="1"/>
  <c r="A37994" i="1"/>
  <c r="B37994" i="1"/>
  <c r="A37995" i="1"/>
  <c r="B37995" i="1"/>
  <c r="A37996" i="1"/>
  <c r="B37996" i="1"/>
  <c r="A37997" i="1"/>
  <c r="B37997" i="1"/>
  <c r="A37998" i="1"/>
  <c r="B37998" i="1"/>
  <c r="A37999" i="1"/>
  <c r="B37999" i="1"/>
  <c r="A38000" i="1"/>
  <c r="B38000" i="1"/>
  <c r="A38001" i="1"/>
  <c r="B38001" i="1"/>
  <c r="A38002" i="1"/>
  <c r="B38002" i="1"/>
  <c r="A38003" i="1"/>
  <c r="B38003" i="1"/>
  <c r="A38004" i="1"/>
  <c r="B38004" i="1"/>
  <c r="A38005" i="1"/>
  <c r="B38005" i="1"/>
  <c r="A38006" i="1"/>
  <c r="B38006" i="1"/>
  <c r="A38007" i="1"/>
  <c r="B38007" i="1"/>
  <c r="A38008" i="1"/>
  <c r="B38008" i="1"/>
  <c r="A38009" i="1"/>
  <c r="B38009" i="1"/>
  <c r="A38010" i="1"/>
  <c r="B38010" i="1"/>
  <c r="A38011" i="1"/>
  <c r="B38011" i="1"/>
  <c r="A38012" i="1"/>
  <c r="B38012" i="1"/>
  <c r="A38013" i="1"/>
  <c r="B38013" i="1"/>
  <c r="A38014" i="1"/>
  <c r="B38014" i="1"/>
  <c r="A38015" i="1"/>
  <c r="B38015" i="1"/>
  <c r="A38016" i="1"/>
  <c r="B38016" i="1"/>
  <c r="A38017" i="1"/>
  <c r="B38017" i="1"/>
  <c r="A38018" i="1"/>
  <c r="B38018" i="1"/>
  <c r="A38019" i="1"/>
  <c r="B38019" i="1"/>
  <c r="A38020" i="1"/>
  <c r="B38020" i="1"/>
  <c r="A38021" i="1"/>
  <c r="B38021" i="1"/>
  <c r="A38022" i="1"/>
  <c r="B38022" i="1"/>
  <c r="A38023" i="1"/>
  <c r="B38023" i="1"/>
  <c r="A38024" i="1"/>
  <c r="B38024" i="1"/>
  <c r="A38025" i="1"/>
  <c r="B38025" i="1"/>
  <c r="A38026" i="1"/>
  <c r="B38026" i="1"/>
  <c r="A38027" i="1"/>
  <c r="B38027" i="1"/>
  <c r="A38028" i="1"/>
  <c r="B38028" i="1"/>
  <c r="A38029" i="1"/>
  <c r="B38029" i="1"/>
  <c r="A38030" i="1"/>
  <c r="B38030" i="1"/>
  <c r="A38031" i="1"/>
  <c r="B38031" i="1"/>
  <c r="A38032" i="1"/>
  <c r="B38032" i="1"/>
  <c r="A38033" i="1"/>
  <c r="B38033" i="1"/>
  <c r="A38034" i="1"/>
  <c r="B38034" i="1"/>
  <c r="A38035" i="1"/>
  <c r="B38035" i="1"/>
  <c r="A38036" i="1"/>
  <c r="B38036" i="1"/>
  <c r="A38037" i="1"/>
  <c r="B38037" i="1"/>
  <c r="A38038" i="1"/>
  <c r="B38038" i="1"/>
  <c r="A38039" i="1"/>
  <c r="B38039" i="1"/>
  <c r="A38040" i="1"/>
  <c r="B38040" i="1"/>
  <c r="A38041" i="1"/>
  <c r="B38041" i="1"/>
  <c r="A38042" i="1"/>
  <c r="B38042" i="1"/>
  <c r="A38043" i="1"/>
  <c r="B38043" i="1"/>
  <c r="A38044" i="1"/>
  <c r="B38044" i="1"/>
  <c r="A38045" i="1"/>
  <c r="B38045" i="1"/>
  <c r="A38046" i="1"/>
  <c r="B38046" i="1"/>
  <c r="A38047" i="1"/>
  <c r="B38047" i="1"/>
  <c r="A38048" i="1"/>
  <c r="B38048" i="1"/>
  <c r="A38049" i="1"/>
  <c r="B38049" i="1"/>
  <c r="A38050" i="1"/>
  <c r="B38050" i="1"/>
  <c r="A38051" i="1"/>
  <c r="B38051" i="1"/>
  <c r="A38052" i="1"/>
  <c r="B38052" i="1"/>
  <c r="A38053" i="1"/>
  <c r="B38053" i="1"/>
  <c r="A38054" i="1"/>
  <c r="B38054" i="1"/>
  <c r="A38055" i="1"/>
  <c r="B38055" i="1"/>
  <c r="A38056" i="1"/>
  <c r="B38056" i="1"/>
  <c r="A38057" i="1"/>
  <c r="B38057" i="1"/>
  <c r="A38058" i="1"/>
  <c r="B38058" i="1"/>
  <c r="A38059" i="1"/>
  <c r="B38059" i="1"/>
  <c r="A38060" i="1"/>
  <c r="B38060" i="1"/>
  <c r="A38061" i="1"/>
  <c r="B38061" i="1"/>
  <c r="A38062" i="1"/>
  <c r="B38062" i="1"/>
  <c r="A38063" i="1"/>
  <c r="B38063" i="1"/>
  <c r="A38064" i="1"/>
  <c r="B38064" i="1"/>
  <c r="A38065" i="1"/>
  <c r="B38065" i="1"/>
  <c r="A38066" i="1"/>
  <c r="B38066" i="1"/>
  <c r="A38067" i="1"/>
  <c r="B38067" i="1"/>
  <c r="A38068" i="1"/>
  <c r="B38068" i="1"/>
  <c r="A38069" i="1"/>
  <c r="B38069" i="1"/>
  <c r="A38070" i="1"/>
  <c r="B38070" i="1"/>
  <c r="A38071" i="1"/>
  <c r="B38071" i="1"/>
  <c r="A38072" i="1"/>
  <c r="B38072" i="1"/>
  <c r="A38073" i="1"/>
  <c r="B38073" i="1"/>
  <c r="A38074" i="1"/>
  <c r="B38074" i="1"/>
  <c r="A38075" i="1"/>
  <c r="B38075" i="1"/>
  <c r="A38076" i="1"/>
  <c r="B38076" i="1"/>
  <c r="A38077" i="1"/>
  <c r="B38077" i="1"/>
  <c r="A38078" i="1"/>
  <c r="B38078" i="1"/>
  <c r="A38079" i="1"/>
  <c r="B38079" i="1"/>
  <c r="A38080" i="1"/>
  <c r="B38080" i="1"/>
  <c r="A38081" i="1"/>
  <c r="B38081" i="1"/>
  <c r="A38082" i="1"/>
  <c r="B38082" i="1"/>
  <c r="A38083" i="1"/>
  <c r="B38083" i="1"/>
  <c r="A38084" i="1"/>
  <c r="B38084" i="1"/>
  <c r="A38085" i="1"/>
  <c r="B38085" i="1"/>
  <c r="A38086" i="1"/>
  <c r="B38086" i="1"/>
  <c r="A38087" i="1"/>
  <c r="B38087" i="1"/>
  <c r="A38088" i="1"/>
  <c r="B38088" i="1"/>
  <c r="A38089" i="1"/>
  <c r="B38089" i="1"/>
  <c r="A38090" i="1"/>
  <c r="B38090" i="1"/>
  <c r="A38091" i="1"/>
  <c r="B38091" i="1"/>
  <c r="A38092" i="1"/>
  <c r="B38092" i="1"/>
  <c r="A38093" i="1"/>
  <c r="B38093" i="1"/>
  <c r="A38094" i="1"/>
  <c r="B38094" i="1"/>
  <c r="A38095" i="1"/>
  <c r="B38095" i="1"/>
  <c r="A38096" i="1"/>
  <c r="B38096" i="1"/>
  <c r="A38097" i="1"/>
  <c r="B38097" i="1"/>
  <c r="A38098" i="1"/>
  <c r="B38098" i="1"/>
  <c r="A38099" i="1"/>
  <c r="B38099" i="1"/>
  <c r="A38100" i="1"/>
  <c r="B38100" i="1"/>
  <c r="A38101" i="1"/>
  <c r="B38101" i="1"/>
  <c r="A38102" i="1"/>
  <c r="B38102" i="1"/>
  <c r="A38103" i="1"/>
  <c r="B38103" i="1"/>
  <c r="A38104" i="1"/>
  <c r="B38104" i="1"/>
  <c r="A38105" i="1"/>
  <c r="B38105" i="1"/>
  <c r="A38106" i="1"/>
  <c r="B38106" i="1"/>
  <c r="A38107" i="1"/>
  <c r="B38107" i="1"/>
  <c r="A38108" i="1"/>
  <c r="B38108" i="1"/>
  <c r="A38109" i="1"/>
  <c r="B38109" i="1"/>
  <c r="A38110" i="1"/>
  <c r="B38110" i="1"/>
  <c r="A38111" i="1"/>
  <c r="B38111" i="1"/>
  <c r="A38112" i="1"/>
  <c r="B38112" i="1"/>
  <c r="A38113" i="1"/>
  <c r="B38113" i="1"/>
  <c r="A38114" i="1"/>
  <c r="B38114" i="1"/>
  <c r="A38115" i="1"/>
  <c r="B38115" i="1"/>
  <c r="A38116" i="1"/>
  <c r="B38116" i="1"/>
  <c r="A38117" i="1"/>
  <c r="B38117" i="1"/>
  <c r="A38118" i="1"/>
  <c r="B38118" i="1"/>
  <c r="A38119" i="1"/>
  <c r="B38119" i="1"/>
  <c r="A38120" i="1"/>
  <c r="B38120" i="1"/>
  <c r="A38121" i="1"/>
  <c r="B38121" i="1"/>
  <c r="A38122" i="1"/>
  <c r="B38122" i="1"/>
  <c r="A38123" i="1"/>
  <c r="B38123" i="1"/>
  <c r="A38124" i="1"/>
  <c r="B38124" i="1"/>
  <c r="A38125" i="1"/>
  <c r="B38125" i="1"/>
  <c r="A38126" i="1"/>
  <c r="B38126" i="1"/>
  <c r="A38127" i="1"/>
  <c r="B38127" i="1"/>
  <c r="A38128" i="1"/>
  <c r="B38128" i="1"/>
  <c r="A38129" i="1"/>
  <c r="B38129" i="1"/>
  <c r="A38130" i="1"/>
  <c r="B38130" i="1"/>
  <c r="A38131" i="1"/>
  <c r="B38131" i="1"/>
  <c r="A38132" i="1"/>
  <c r="B38132" i="1"/>
  <c r="A38133" i="1"/>
  <c r="B38133" i="1"/>
  <c r="A38134" i="1"/>
  <c r="B38134" i="1"/>
  <c r="A38135" i="1"/>
  <c r="B38135" i="1"/>
  <c r="A38136" i="1"/>
  <c r="B38136" i="1"/>
  <c r="A38137" i="1"/>
  <c r="B38137" i="1"/>
  <c r="A38138" i="1"/>
  <c r="B38138" i="1"/>
  <c r="A38139" i="1"/>
  <c r="B38139" i="1"/>
  <c r="A38140" i="1"/>
  <c r="B38140" i="1"/>
  <c r="A38141" i="1"/>
  <c r="B38141" i="1"/>
  <c r="A38142" i="1"/>
  <c r="B38142" i="1"/>
  <c r="A38143" i="1"/>
  <c r="B38143" i="1"/>
  <c r="A38144" i="1"/>
  <c r="B38144" i="1"/>
  <c r="A38145" i="1"/>
  <c r="B38145" i="1"/>
  <c r="A38146" i="1"/>
  <c r="B38146" i="1"/>
  <c r="A38147" i="1"/>
  <c r="B38147" i="1"/>
  <c r="A38148" i="1"/>
  <c r="B38148" i="1"/>
  <c r="A38149" i="1"/>
  <c r="B38149" i="1"/>
  <c r="A38150" i="1"/>
  <c r="B38150" i="1"/>
  <c r="A38151" i="1"/>
  <c r="B38151" i="1"/>
  <c r="A38152" i="1"/>
  <c r="B38152" i="1"/>
  <c r="A38153" i="1"/>
  <c r="B38153" i="1"/>
  <c r="A38154" i="1"/>
  <c r="B38154" i="1"/>
  <c r="A38155" i="1"/>
  <c r="B38155" i="1"/>
  <c r="A38156" i="1"/>
  <c r="B38156" i="1"/>
  <c r="A38157" i="1"/>
  <c r="B38157" i="1"/>
  <c r="A38158" i="1"/>
  <c r="B38158" i="1"/>
  <c r="A38159" i="1"/>
  <c r="B38159" i="1"/>
  <c r="A38160" i="1"/>
  <c r="B38160" i="1"/>
  <c r="A38161" i="1"/>
  <c r="B38161" i="1"/>
  <c r="A38162" i="1"/>
  <c r="B38162" i="1"/>
  <c r="A38163" i="1"/>
  <c r="B38163" i="1"/>
  <c r="A38164" i="1"/>
  <c r="B38164" i="1"/>
  <c r="A38165" i="1"/>
  <c r="B38165" i="1"/>
  <c r="A38166" i="1"/>
  <c r="B38166" i="1"/>
  <c r="A38167" i="1"/>
  <c r="B38167" i="1"/>
  <c r="A38168" i="1"/>
  <c r="B38168" i="1"/>
  <c r="A38169" i="1"/>
  <c r="B38169" i="1"/>
  <c r="A38170" i="1"/>
  <c r="B38170" i="1"/>
  <c r="A38171" i="1"/>
  <c r="B38171" i="1"/>
  <c r="A38172" i="1"/>
  <c r="B38172" i="1"/>
  <c r="A38173" i="1"/>
  <c r="B38173" i="1"/>
  <c r="A38174" i="1"/>
  <c r="B38174" i="1"/>
  <c r="A38175" i="1"/>
  <c r="B38175" i="1"/>
  <c r="A38176" i="1"/>
  <c r="B38176" i="1"/>
  <c r="A38177" i="1"/>
  <c r="B38177" i="1"/>
  <c r="A38178" i="1"/>
  <c r="B38178" i="1"/>
  <c r="A38179" i="1"/>
  <c r="B38179" i="1"/>
  <c r="A38180" i="1"/>
  <c r="B38180" i="1"/>
  <c r="A38181" i="1"/>
  <c r="B38181" i="1"/>
  <c r="A38182" i="1"/>
  <c r="B38182" i="1"/>
  <c r="A38183" i="1"/>
  <c r="B38183" i="1"/>
  <c r="A38184" i="1"/>
  <c r="B38184" i="1"/>
  <c r="A38185" i="1"/>
  <c r="B38185" i="1"/>
  <c r="A38186" i="1"/>
  <c r="B38186" i="1"/>
  <c r="A38187" i="1"/>
  <c r="B38187" i="1"/>
  <c r="A38188" i="1"/>
  <c r="B38188" i="1"/>
  <c r="A38189" i="1"/>
  <c r="B38189" i="1"/>
  <c r="A38190" i="1"/>
  <c r="B38190" i="1"/>
  <c r="A38191" i="1"/>
  <c r="B38191" i="1"/>
  <c r="A38192" i="1"/>
  <c r="B38192" i="1"/>
  <c r="A38193" i="1"/>
  <c r="B38193" i="1"/>
  <c r="A38194" i="1"/>
  <c r="B38194" i="1"/>
  <c r="A38195" i="1"/>
  <c r="B38195" i="1"/>
  <c r="A38196" i="1"/>
  <c r="B38196" i="1"/>
  <c r="A38197" i="1"/>
  <c r="B38197" i="1"/>
  <c r="A38198" i="1"/>
  <c r="B38198" i="1"/>
  <c r="A38199" i="1"/>
  <c r="B38199" i="1"/>
  <c r="A38200" i="1"/>
  <c r="B38200" i="1"/>
  <c r="A38201" i="1"/>
  <c r="B38201" i="1"/>
  <c r="A38202" i="1"/>
  <c r="B38202" i="1"/>
  <c r="A38203" i="1"/>
  <c r="B38203" i="1"/>
  <c r="A38204" i="1"/>
  <c r="B38204" i="1"/>
  <c r="A38205" i="1"/>
  <c r="B38205" i="1"/>
  <c r="A38206" i="1"/>
  <c r="B38206" i="1"/>
  <c r="A38207" i="1"/>
  <c r="B38207" i="1"/>
  <c r="A38208" i="1"/>
  <c r="B38208" i="1"/>
  <c r="A38209" i="1"/>
  <c r="B38209" i="1"/>
  <c r="A38210" i="1"/>
  <c r="B38210" i="1"/>
  <c r="A38211" i="1"/>
  <c r="B38211" i="1"/>
  <c r="A38212" i="1"/>
  <c r="B38212" i="1"/>
  <c r="A38213" i="1"/>
  <c r="B38213" i="1"/>
  <c r="A38214" i="1"/>
  <c r="B38214" i="1"/>
  <c r="A38215" i="1"/>
  <c r="B38215" i="1"/>
  <c r="A38216" i="1"/>
  <c r="B38216" i="1"/>
  <c r="A38217" i="1"/>
  <c r="B38217" i="1"/>
  <c r="A38218" i="1"/>
  <c r="B38218" i="1"/>
  <c r="A38219" i="1"/>
  <c r="B38219" i="1"/>
  <c r="A38220" i="1"/>
  <c r="B38220" i="1"/>
  <c r="A38221" i="1"/>
  <c r="B38221" i="1"/>
  <c r="A38222" i="1"/>
  <c r="B38222" i="1"/>
  <c r="A38223" i="1"/>
  <c r="B38223" i="1"/>
  <c r="A38224" i="1"/>
  <c r="B38224" i="1"/>
  <c r="A38225" i="1"/>
  <c r="B38225" i="1"/>
  <c r="A38226" i="1"/>
  <c r="B38226" i="1"/>
  <c r="A38227" i="1"/>
  <c r="B38227" i="1"/>
  <c r="A38228" i="1"/>
  <c r="B38228" i="1"/>
  <c r="A38229" i="1"/>
  <c r="B38229" i="1"/>
  <c r="A38230" i="1"/>
  <c r="B38230" i="1"/>
  <c r="A38231" i="1"/>
  <c r="B38231" i="1"/>
  <c r="A38232" i="1"/>
  <c r="B38232" i="1"/>
  <c r="A38233" i="1"/>
  <c r="B38233" i="1"/>
  <c r="A38234" i="1"/>
  <c r="B38234" i="1"/>
  <c r="A38235" i="1"/>
  <c r="B38235" i="1"/>
  <c r="A38236" i="1"/>
  <c r="B38236" i="1"/>
  <c r="A38237" i="1"/>
  <c r="B38237" i="1"/>
  <c r="A38238" i="1"/>
  <c r="B38238" i="1"/>
  <c r="A38239" i="1"/>
  <c r="B38239" i="1"/>
  <c r="A38240" i="1"/>
  <c r="B38240" i="1"/>
  <c r="A38241" i="1"/>
  <c r="B38241" i="1"/>
  <c r="A38242" i="1"/>
  <c r="B38242" i="1"/>
  <c r="A38243" i="1"/>
  <c r="B38243" i="1"/>
  <c r="A38244" i="1"/>
  <c r="B38244" i="1"/>
  <c r="A38245" i="1"/>
  <c r="B38245" i="1"/>
  <c r="A38246" i="1"/>
  <c r="B38246" i="1"/>
  <c r="A38247" i="1"/>
  <c r="B38247" i="1"/>
  <c r="A38248" i="1"/>
  <c r="B38248" i="1"/>
  <c r="A38249" i="1"/>
  <c r="B38249" i="1"/>
  <c r="A38250" i="1"/>
  <c r="B38250" i="1"/>
  <c r="A38251" i="1"/>
  <c r="B38251" i="1"/>
  <c r="A38252" i="1"/>
  <c r="B38252" i="1"/>
  <c r="A38253" i="1"/>
  <c r="B38253" i="1"/>
  <c r="A38254" i="1"/>
  <c r="B38254" i="1"/>
  <c r="A38255" i="1"/>
  <c r="B38255" i="1"/>
  <c r="A38256" i="1"/>
  <c r="B38256" i="1"/>
  <c r="A38257" i="1"/>
  <c r="B38257" i="1"/>
  <c r="A38258" i="1"/>
  <c r="B38258" i="1"/>
  <c r="A38259" i="1"/>
  <c r="B38259" i="1"/>
  <c r="A38260" i="1"/>
  <c r="B38260" i="1"/>
  <c r="A38261" i="1"/>
  <c r="B38261" i="1"/>
  <c r="A38262" i="1"/>
  <c r="B38262" i="1"/>
  <c r="A38263" i="1"/>
  <c r="B38263" i="1"/>
  <c r="A38264" i="1"/>
  <c r="B38264" i="1"/>
  <c r="A38265" i="1"/>
  <c r="B38265" i="1"/>
  <c r="A38266" i="1"/>
  <c r="B38266" i="1"/>
  <c r="A38267" i="1"/>
  <c r="B38267" i="1"/>
  <c r="A38268" i="1"/>
  <c r="B38268" i="1"/>
  <c r="A38269" i="1"/>
  <c r="B38269" i="1"/>
  <c r="A38270" i="1"/>
  <c r="B38270" i="1"/>
  <c r="A38271" i="1"/>
  <c r="B38271" i="1"/>
  <c r="A38272" i="1"/>
  <c r="B38272" i="1"/>
  <c r="A38273" i="1"/>
  <c r="B38273" i="1"/>
  <c r="A38274" i="1"/>
  <c r="B38274" i="1"/>
  <c r="A38275" i="1"/>
  <c r="B38275" i="1"/>
  <c r="A38276" i="1"/>
  <c r="B38276" i="1"/>
  <c r="A38277" i="1"/>
  <c r="B38277" i="1"/>
  <c r="A38278" i="1"/>
  <c r="B38278" i="1"/>
  <c r="A38279" i="1"/>
  <c r="B38279" i="1"/>
  <c r="A38280" i="1"/>
  <c r="B38280" i="1"/>
  <c r="A38281" i="1"/>
  <c r="B38281" i="1"/>
  <c r="A38282" i="1"/>
  <c r="B38282" i="1"/>
  <c r="A38283" i="1"/>
  <c r="B38283" i="1"/>
  <c r="A38284" i="1"/>
  <c r="B38284" i="1"/>
  <c r="A38285" i="1"/>
  <c r="B38285" i="1"/>
  <c r="A38286" i="1"/>
  <c r="B38286" i="1"/>
  <c r="A38287" i="1"/>
  <c r="B38287" i="1"/>
  <c r="A38288" i="1"/>
  <c r="B38288" i="1"/>
  <c r="A38289" i="1"/>
  <c r="B38289" i="1"/>
  <c r="A38290" i="1"/>
  <c r="B38290" i="1"/>
  <c r="A38291" i="1"/>
  <c r="B38291" i="1"/>
  <c r="A38292" i="1"/>
  <c r="B38292" i="1"/>
  <c r="A38293" i="1"/>
  <c r="B38293" i="1"/>
  <c r="A38294" i="1"/>
  <c r="B38294" i="1"/>
  <c r="A38295" i="1"/>
  <c r="B38295" i="1"/>
  <c r="A38296" i="1"/>
  <c r="B38296" i="1"/>
  <c r="A38297" i="1"/>
  <c r="B38297" i="1"/>
  <c r="A38298" i="1"/>
  <c r="B38298" i="1"/>
  <c r="A38299" i="1"/>
  <c r="B38299" i="1"/>
  <c r="A38300" i="1"/>
  <c r="B38300" i="1"/>
  <c r="A38301" i="1"/>
  <c r="B38301" i="1"/>
  <c r="A38302" i="1"/>
  <c r="B38302" i="1"/>
  <c r="A38303" i="1"/>
  <c r="B38303" i="1"/>
  <c r="A38304" i="1"/>
  <c r="B38304" i="1"/>
  <c r="A38305" i="1"/>
  <c r="B38305" i="1"/>
  <c r="A38306" i="1"/>
  <c r="B38306" i="1"/>
  <c r="A38307" i="1"/>
  <c r="B38307" i="1"/>
  <c r="A38308" i="1"/>
  <c r="B38308" i="1"/>
  <c r="A38309" i="1"/>
  <c r="B38309" i="1"/>
  <c r="A38310" i="1"/>
  <c r="B38310" i="1"/>
  <c r="A38311" i="1"/>
  <c r="B38311" i="1"/>
  <c r="A38312" i="1"/>
  <c r="B38312" i="1"/>
  <c r="A38313" i="1"/>
  <c r="B38313" i="1"/>
  <c r="A38314" i="1"/>
  <c r="B38314" i="1"/>
  <c r="A38315" i="1"/>
  <c r="B38315" i="1"/>
  <c r="A38316" i="1"/>
  <c r="B38316" i="1"/>
  <c r="A38317" i="1"/>
  <c r="B38317" i="1"/>
  <c r="A38318" i="1"/>
  <c r="B38318" i="1"/>
  <c r="A38319" i="1"/>
  <c r="B38319" i="1"/>
  <c r="A38320" i="1"/>
  <c r="B38320" i="1"/>
  <c r="A38321" i="1"/>
  <c r="B38321" i="1"/>
  <c r="A38322" i="1"/>
  <c r="B38322" i="1"/>
  <c r="A38323" i="1"/>
  <c r="B38323" i="1"/>
  <c r="A38324" i="1"/>
  <c r="B38324" i="1"/>
  <c r="A38325" i="1"/>
  <c r="B38325" i="1"/>
  <c r="A38326" i="1"/>
  <c r="B38326" i="1"/>
  <c r="A38327" i="1"/>
  <c r="B38327" i="1"/>
  <c r="A38328" i="1"/>
  <c r="B38328" i="1"/>
  <c r="A38329" i="1"/>
  <c r="B38329" i="1"/>
  <c r="A38330" i="1"/>
  <c r="B38330" i="1"/>
  <c r="A38331" i="1"/>
  <c r="B38331" i="1"/>
  <c r="A38332" i="1"/>
  <c r="B38332" i="1"/>
  <c r="A38333" i="1"/>
  <c r="B38333" i="1"/>
  <c r="A38334" i="1"/>
  <c r="B38334" i="1"/>
  <c r="A38335" i="1"/>
  <c r="B38335" i="1"/>
  <c r="A38336" i="1"/>
  <c r="B38336" i="1"/>
  <c r="A38337" i="1"/>
  <c r="B38337" i="1"/>
  <c r="A38338" i="1"/>
  <c r="B38338" i="1"/>
  <c r="A38339" i="1"/>
  <c r="B38339" i="1"/>
  <c r="A38340" i="1"/>
  <c r="B38340" i="1"/>
  <c r="A38341" i="1"/>
  <c r="B38341" i="1"/>
  <c r="A38342" i="1"/>
  <c r="B38342" i="1"/>
  <c r="A38343" i="1"/>
  <c r="B38343" i="1"/>
  <c r="A38344" i="1"/>
  <c r="B38344" i="1"/>
  <c r="A38345" i="1"/>
  <c r="B38345" i="1"/>
  <c r="A38346" i="1"/>
  <c r="B38346" i="1"/>
  <c r="A38347" i="1"/>
  <c r="B38347" i="1"/>
  <c r="A38348" i="1"/>
  <c r="B38348" i="1"/>
  <c r="A38349" i="1"/>
  <c r="B38349" i="1"/>
  <c r="A38350" i="1"/>
  <c r="B38350" i="1"/>
  <c r="A38351" i="1"/>
  <c r="B38351" i="1"/>
  <c r="A38352" i="1"/>
  <c r="B38352" i="1"/>
  <c r="A38353" i="1"/>
  <c r="B38353" i="1"/>
  <c r="A38354" i="1"/>
  <c r="B38354" i="1"/>
  <c r="A38355" i="1"/>
  <c r="B38355" i="1"/>
  <c r="A38356" i="1"/>
  <c r="B38356" i="1"/>
  <c r="A38357" i="1"/>
  <c r="B38357" i="1"/>
  <c r="A38358" i="1"/>
  <c r="B38358" i="1"/>
  <c r="A38359" i="1"/>
  <c r="B38359" i="1"/>
  <c r="A38360" i="1"/>
  <c r="B38360" i="1"/>
  <c r="A38361" i="1"/>
  <c r="B38361" i="1"/>
  <c r="A38362" i="1"/>
  <c r="B38362" i="1"/>
  <c r="A38363" i="1"/>
  <c r="B38363" i="1"/>
  <c r="A38364" i="1"/>
  <c r="B38364" i="1"/>
  <c r="A38365" i="1"/>
  <c r="B38365" i="1"/>
  <c r="A38366" i="1"/>
  <c r="B38366" i="1"/>
  <c r="A38367" i="1"/>
  <c r="B38367" i="1"/>
  <c r="A38368" i="1"/>
  <c r="B38368" i="1"/>
  <c r="A38369" i="1"/>
  <c r="B38369" i="1"/>
  <c r="A38370" i="1"/>
  <c r="B38370" i="1"/>
  <c r="A38371" i="1"/>
  <c r="B38371" i="1"/>
  <c r="A38372" i="1"/>
  <c r="B38372" i="1"/>
  <c r="A38373" i="1"/>
  <c r="B38373" i="1"/>
  <c r="A38374" i="1"/>
  <c r="B38374" i="1"/>
  <c r="A38375" i="1"/>
  <c r="B38375" i="1"/>
  <c r="A38376" i="1"/>
  <c r="B38376" i="1"/>
  <c r="A38377" i="1"/>
  <c r="B38377" i="1"/>
  <c r="A38378" i="1"/>
  <c r="B38378" i="1"/>
  <c r="A38379" i="1"/>
  <c r="B38379" i="1"/>
  <c r="A38380" i="1"/>
  <c r="B38380" i="1"/>
  <c r="A38381" i="1"/>
  <c r="B38381" i="1"/>
  <c r="A38382" i="1"/>
  <c r="B38382" i="1"/>
  <c r="A38383" i="1"/>
  <c r="B38383" i="1"/>
  <c r="A38384" i="1"/>
  <c r="B38384" i="1"/>
  <c r="A38385" i="1"/>
  <c r="B38385" i="1"/>
  <c r="A38386" i="1"/>
  <c r="B38386" i="1"/>
  <c r="A38387" i="1"/>
  <c r="B38387" i="1"/>
  <c r="A38388" i="1"/>
  <c r="B38388" i="1"/>
  <c r="A38389" i="1"/>
  <c r="B38389" i="1"/>
  <c r="A38390" i="1"/>
  <c r="B38390" i="1"/>
  <c r="A38391" i="1"/>
  <c r="B38391" i="1"/>
  <c r="A38392" i="1"/>
  <c r="B38392" i="1"/>
  <c r="A38393" i="1"/>
  <c r="B38393" i="1"/>
  <c r="A38394" i="1"/>
  <c r="B38394" i="1"/>
  <c r="A38395" i="1"/>
  <c r="B38395" i="1"/>
  <c r="A38396" i="1"/>
  <c r="B38396" i="1"/>
  <c r="A38397" i="1"/>
  <c r="B38397" i="1"/>
  <c r="A38398" i="1"/>
  <c r="B38398" i="1"/>
  <c r="A38399" i="1"/>
  <c r="B38399" i="1"/>
  <c r="A38400" i="1"/>
  <c r="B38400" i="1"/>
  <c r="A38401" i="1"/>
  <c r="B38401" i="1"/>
  <c r="A38402" i="1"/>
  <c r="B38402" i="1"/>
  <c r="A38403" i="1"/>
  <c r="B38403" i="1"/>
  <c r="A38404" i="1"/>
  <c r="B38404" i="1"/>
  <c r="A38405" i="1"/>
  <c r="B38405" i="1"/>
  <c r="A38406" i="1"/>
  <c r="B38406" i="1"/>
  <c r="A38407" i="1"/>
  <c r="B38407" i="1"/>
  <c r="A38408" i="1"/>
  <c r="B38408" i="1"/>
  <c r="A38409" i="1"/>
  <c r="B38409" i="1"/>
  <c r="A38410" i="1"/>
  <c r="B38410" i="1"/>
  <c r="A38411" i="1"/>
  <c r="B38411" i="1"/>
  <c r="A38412" i="1"/>
  <c r="B38412" i="1"/>
  <c r="A38413" i="1"/>
  <c r="B38413" i="1"/>
  <c r="A38414" i="1"/>
  <c r="B38414" i="1"/>
  <c r="A38415" i="1"/>
  <c r="B38415" i="1"/>
  <c r="A38416" i="1"/>
  <c r="B38416" i="1"/>
  <c r="A38417" i="1"/>
  <c r="B38417" i="1"/>
  <c r="A38418" i="1"/>
  <c r="B38418" i="1"/>
  <c r="A38419" i="1"/>
  <c r="B38419" i="1"/>
  <c r="A38420" i="1"/>
  <c r="B38420" i="1"/>
  <c r="A38421" i="1"/>
  <c r="B38421" i="1"/>
  <c r="A38422" i="1"/>
  <c r="B38422" i="1"/>
  <c r="A38423" i="1"/>
  <c r="B38423" i="1"/>
  <c r="A38424" i="1"/>
  <c r="B38424" i="1"/>
  <c r="A38425" i="1"/>
  <c r="B38425" i="1"/>
  <c r="A38426" i="1"/>
  <c r="B38426" i="1"/>
  <c r="A38427" i="1"/>
  <c r="B38427" i="1"/>
  <c r="A38428" i="1"/>
  <c r="B38428" i="1"/>
  <c r="A38429" i="1"/>
  <c r="B38429" i="1"/>
  <c r="A38430" i="1"/>
  <c r="B38430" i="1"/>
  <c r="A38431" i="1"/>
  <c r="B38431" i="1"/>
  <c r="A38432" i="1"/>
  <c r="B38432" i="1"/>
  <c r="A38433" i="1"/>
  <c r="B38433" i="1"/>
  <c r="A38434" i="1"/>
  <c r="B38434" i="1"/>
  <c r="A38435" i="1"/>
  <c r="B38435" i="1"/>
  <c r="A38436" i="1"/>
  <c r="B38436" i="1"/>
  <c r="A38437" i="1"/>
  <c r="B38437" i="1"/>
  <c r="A38438" i="1"/>
  <c r="B38438" i="1"/>
  <c r="A38439" i="1"/>
  <c r="B38439" i="1"/>
  <c r="A38440" i="1"/>
  <c r="B38440" i="1"/>
  <c r="A38441" i="1"/>
  <c r="B38441" i="1"/>
  <c r="A38442" i="1"/>
  <c r="B38442" i="1"/>
  <c r="A38443" i="1"/>
  <c r="B38443" i="1"/>
  <c r="A38444" i="1"/>
  <c r="B38444" i="1"/>
  <c r="A38445" i="1"/>
  <c r="B38445" i="1"/>
  <c r="A38446" i="1"/>
  <c r="B38446" i="1"/>
  <c r="A38447" i="1"/>
  <c r="B38447" i="1"/>
  <c r="A38448" i="1"/>
  <c r="B38448" i="1"/>
  <c r="A38449" i="1"/>
  <c r="B38449" i="1"/>
  <c r="A38450" i="1"/>
  <c r="B38450" i="1"/>
  <c r="A38451" i="1"/>
  <c r="B38451" i="1"/>
  <c r="A38452" i="1"/>
  <c r="B38452" i="1"/>
  <c r="A38453" i="1"/>
  <c r="B38453" i="1"/>
  <c r="A38454" i="1"/>
  <c r="B38454" i="1"/>
  <c r="A38455" i="1"/>
  <c r="B38455" i="1"/>
  <c r="A38456" i="1"/>
  <c r="B38456" i="1"/>
  <c r="A38457" i="1"/>
  <c r="B38457" i="1"/>
  <c r="A38458" i="1"/>
  <c r="B38458" i="1"/>
  <c r="A38459" i="1"/>
  <c r="B38459" i="1"/>
  <c r="A38460" i="1"/>
  <c r="B38460" i="1"/>
  <c r="A38461" i="1"/>
  <c r="B38461" i="1"/>
  <c r="A38462" i="1"/>
  <c r="B38462" i="1"/>
  <c r="A38463" i="1"/>
  <c r="B38463" i="1"/>
  <c r="A38464" i="1"/>
  <c r="B38464" i="1"/>
  <c r="A38465" i="1"/>
  <c r="B38465" i="1"/>
  <c r="A38466" i="1"/>
  <c r="B38466" i="1"/>
  <c r="A38467" i="1"/>
  <c r="B38467" i="1"/>
  <c r="A38468" i="1"/>
  <c r="B38468" i="1"/>
  <c r="A38469" i="1"/>
  <c r="B38469" i="1"/>
  <c r="A38470" i="1"/>
  <c r="B38470" i="1"/>
  <c r="A38471" i="1"/>
  <c r="B38471" i="1"/>
  <c r="A38472" i="1"/>
  <c r="B38472" i="1"/>
  <c r="A38473" i="1"/>
  <c r="B38473" i="1"/>
  <c r="A38474" i="1"/>
  <c r="B38474" i="1"/>
  <c r="A38475" i="1"/>
  <c r="B38475" i="1"/>
  <c r="A38476" i="1"/>
  <c r="B38476" i="1"/>
  <c r="A38477" i="1"/>
  <c r="B38477" i="1"/>
  <c r="A38478" i="1"/>
  <c r="B38478" i="1"/>
  <c r="A38479" i="1"/>
  <c r="B38479" i="1"/>
  <c r="A38480" i="1"/>
  <c r="B38480" i="1"/>
  <c r="A38481" i="1"/>
  <c r="B38481" i="1"/>
  <c r="A38482" i="1"/>
  <c r="B38482" i="1"/>
  <c r="A38483" i="1"/>
  <c r="B38483" i="1"/>
  <c r="A38484" i="1"/>
  <c r="B38484" i="1"/>
  <c r="A38485" i="1"/>
  <c r="B38485" i="1"/>
  <c r="A38486" i="1"/>
  <c r="B38486" i="1"/>
  <c r="A38487" i="1"/>
  <c r="B38487" i="1"/>
  <c r="A38488" i="1"/>
  <c r="B38488" i="1"/>
  <c r="A38489" i="1"/>
  <c r="B38489" i="1"/>
  <c r="A38490" i="1"/>
  <c r="B38490" i="1"/>
  <c r="A38491" i="1"/>
  <c r="B38491" i="1"/>
  <c r="A38492" i="1"/>
  <c r="B38492" i="1"/>
  <c r="A38493" i="1"/>
  <c r="B38493" i="1"/>
  <c r="A38494" i="1"/>
  <c r="B38494" i="1"/>
  <c r="A38495" i="1"/>
  <c r="B38495" i="1"/>
  <c r="A38496" i="1"/>
  <c r="B38496" i="1"/>
  <c r="A38497" i="1"/>
  <c r="B38497" i="1"/>
  <c r="A38498" i="1"/>
  <c r="B38498" i="1"/>
  <c r="A38499" i="1"/>
  <c r="B38499" i="1"/>
  <c r="A38500" i="1"/>
  <c r="B38500" i="1"/>
  <c r="A38501" i="1"/>
  <c r="B38501" i="1"/>
  <c r="A38502" i="1"/>
  <c r="B38502" i="1"/>
  <c r="A38503" i="1"/>
  <c r="B38503" i="1"/>
  <c r="A38504" i="1"/>
  <c r="B38504" i="1"/>
  <c r="A38505" i="1"/>
  <c r="B38505" i="1"/>
  <c r="A38506" i="1"/>
  <c r="B38506" i="1"/>
  <c r="A38507" i="1"/>
  <c r="B38507" i="1"/>
  <c r="A38508" i="1"/>
  <c r="B38508" i="1"/>
  <c r="A38509" i="1"/>
  <c r="B38509" i="1"/>
  <c r="A38510" i="1"/>
  <c r="B38510" i="1"/>
  <c r="A38511" i="1"/>
  <c r="B38511" i="1"/>
  <c r="A38512" i="1"/>
  <c r="B38512" i="1"/>
  <c r="A38513" i="1"/>
  <c r="B38513" i="1"/>
  <c r="A38514" i="1"/>
  <c r="B38514" i="1"/>
  <c r="A38515" i="1"/>
  <c r="B38515" i="1"/>
  <c r="A38516" i="1"/>
  <c r="B38516" i="1"/>
  <c r="A38517" i="1"/>
  <c r="B38517" i="1"/>
  <c r="A38518" i="1"/>
  <c r="B38518" i="1"/>
  <c r="A38519" i="1"/>
  <c r="B38519" i="1"/>
  <c r="A38520" i="1"/>
  <c r="B38520" i="1"/>
  <c r="A38521" i="1"/>
  <c r="B38521" i="1"/>
  <c r="A38522" i="1"/>
  <c r="B38522" i="1"/>
  <c r="A38523" i="1"/>
  <c r="B38523" i="1"/>
  <c r="A38524" i="1"/>
  <c r="B38524" i="1"/>
  <c r="A38525" i="1"/>
  <c r="B38525" i="1"/>
  <c r="A38526" i="1"/>
  <c r="B38526" i="1"/>
  <c r="A38527" i="1"/>
  <c r="B38527" i="1"/>
  <c r="A38528" i="1"/>
  <c r="B38528" i="1"/>
  <c r="A38529" i="1"/>
  <c r="B38529" i="1"/>
  <c r="A38530" i="1"/>
  <c r="B38530" i="1"/>
  <c r="A38531" i="1"/>
  <c r="B38531" i="1"/>
  <c r="A38532" i="1"/>
  <c r="B38532" i="1"/>
  <c r="A38533" i="1"/>
  <c r="B38533" i="1"/>
  <c r="A38534" i="1"/>
  <c r="B38534" i="1"/>
  <c r="A38535" i="1"/>
  <c r="B38535" i="1"/>
  <c r="A38536" i="1"/>
  <c r="B38536" i="1"/>
  <c r="A38537" i="1"/>
  <c r="B38537" i="1"/>
  <c r="A38538" i="1"/>
  <c r="B38538" i="1"/>
  <c r="A38539" i="1"/>
  <c r="B38539" i="1"/>
  <c r="A38540" i="1"/>
  <c r="B38540" i="1"/>
  <c r="A38541" i="1"/>
  <c r="B38541" i="1"/>
  <c r="A38542" i="1"/>
  <c r="B38542" i="1"/>
  <c r="A38543" i="1"/>
  <c r="B38543" i="1"/>
  <c r="A38544" i="1"/>
  <c r="B38544" i="1"/>
  <c r="A38545" i="1"/>
  <c r="B38545" i="1"/>
  <c r="A38546" i="1"/>
  <c r="B38546" i="1"/>
  <c r="A38547" i="1"/>
  <c r="B38547" i="1"/>
  <c r="A38548" i="1"/>
  <c r="B38548" i="1"/>
  <c r="A38549" i="1"/>
  <c r="B38549" i="1"/>
  <c r="A38550" i="1"/>
  <c r="B38550" i="1"/>
  <c r="A38551" i="1"/>
  <c r="B38551" i="1"/>
  <c r="A38552" i="1"/>
  <c r="B38552" i="1"/>
  <c r="A38553" i="1"/>
  <c r="B38553" i="1"/>
  <c r="A38554" i="1"/>
  <c r="B38554" i="1"/>
  <c r="A38555" i="1"/>
  <c r="B38555" i="1"/>
  <c r="A38556" i="1"/>
  <c r="B38556" i="1"/>
  <c r="A38557" i="1"/>
  <c r="B38557" i="1"/>
  <c r="A38558" i="1"/>
  <c r="B38558" i="1"/>
  <c r="A38559" i="1"/>
  <c r="B38559" i="1"/>
  <c r="A38560" i="1"/>
  <c r="B38560" i="1"/>
  <c r="A38561" i="1"/>
  <c r="B38561" i="1"/>
  <c r="A38562" i="1"/>
  <c r="B38562" i="1"/>
  <c r="A38563" i="1"/>
  <c r="B38563" i="1"/>
  <c r="A38564" i="1"/>
  <c r="B38564" i="1"/>
  <c r="A38565" i="1"/>
  <c r="B38565" i="1"/>
  <c r="A38566" i="1"/>
  <c r="B38566" i="1"/>
  <c r="A38567" i="1"/>
  <c r="B38567" i="1"/>
  <c r="A38568" i="1"/>
  <c r="B38568" i="1"/>
  <c r="A38569" i="1"/>
  <c r="B38569" i="1"/>
  <c r="A38570" i="1"/>
  <c r="B38570" i="1"/>
  <c r="A38571" i="1"/>
  <c r="B38571" i="1"/>
  <c r="A38572" i="1"/>
  <c r="B38572" i="1"/>
  <c r="A38573" i="1"/>
  <c r="B38573" i="1"/>
  <c r="A38574" i="1"/>
  <c r="B38574" i="1"/>
  <c r="A38575" i="1"/>
  <c r="B38575" i="1"/>
  <c r="A38576" i="1"/>
  <c r="B38576" i="1"/>
  <c r="A38577" i="1"/>
  <c r="B38577" i="1"/>
  <c r="A38578" i="1"/>
  <c r="B38578" i="1"/>
  <c r="A38579" i="1"/>
  <c r="B38579" i="1"/>
  <c r="A38580" i="1"/>
  <c r="B38580" i="1"/>
  <c r="A38581" i="1"/>
  <c r="B38581" i="1"/>
  <c r="A38582" i="1"/>
  <c r="B38582" i="1"/>
  <c r="A38583" i="1"/>
  <c r="B38583" i="1"/>
  <c r="A38584" i="1"/>
  <c r="B38584" i="1"/>
  <c r="A38585" i="1"/>
  <c r="B38585" i="1"/>
  <c r="A38586" i="1"/>
  <c r="B38586" i="1"/>
  <c r="A38587" i="1"/>
  <c r="B38587" i="1"/>
  <c r="A38588" i="1"/>
  <c r="B38588" i="1"/>
  <c r="A38589" i="1"/>
  <c r="B38589" i="1"/>
  <c r="A38590" i="1"/>
  <c r="B38590" i="1"/>
  <c r="A38591" i="1"/>
  <c r="B38591" i="1"/>
  <c r="A38592" i="1"/>
  <c r="B38592" i="1"/>
  <c r="A38593" i="1"/>
  <c r="B38593" i="1"/>
  <c r="A38594" i="1"/>
  <c r="B38594" i="1"/>
  <c r="A38595" i="1"/>
  <c r="B38595" i="1"/>
  <c r="A38596" i="1"/>
  <c r="B38596" i="1"/>
  <c r="A38597" i="1"/>
  <c r="B38597" i="1"/>
  <c r="A38598" i="1"/>
  <c r="B38598" i="1"/>
  <c r="A38599" i="1"/>
  <c r="B38599" i="1"/>
  <c r="A38600" i="1"/>
  <c r="B38600" i="1"/>
  <c r="A38601" i="1"/>
  <c r="B38601" i="1"/>
  <c r="A38602" i="1"/>
  <c r="B38602" i="1"/>
  <c r="A38603" i="1"/>
  <c r="B38603" i="1"/>
  <c r="A38604" i="1"/>
  <c r="B38604" i="1"/>
  <c r="A38605" i="1"/>
  <c r="B38605" i="1"/>
  <c r="A38606" i="1"/>
  <c r="B38606" i="1"/>
  <c r="A38607" i="1"/>
  <c r="B38607" i="1"/>
  <c r="A38608" i="1"/>
  <c r="B38608" i="1"/>
  <c r="A38609" i="1"/>
  <c r="B38609" i="1"/>
  <c r="A38610" i="1"/>
  <c r="B38610" i="1"/>
  <c r="A38611" i="1"/>
  <c r="B38611" i="1"/>
  <c r="A38612" i="1"/>
  <c r="B38612" i="1"/>
  <c r="A38613" i="1"/>
  <c r="B38613" i="1"/>
  <c r="A38614" i="1"/>
  <c r="B38614" i="1"/>
  <c r="A38615" i="1"/>
  <c r="B38615" i="1"/>
  <c r="A38616" i="1"/>
  <c r="B38616" i="1"/>
  <c r="A38617" i="1"/>
  <c r="B38617" i="1"/>
  <c r="A38618" i="1"/>
  <c r="B38618" i="1"/>
  <c r="A38619" i="1"/>
  <c r="B38619" i="1"/>
  <c r="A38620" i="1"/>
  <c r="B38620" i="1"/>
  <c r="A38621" i="1"/>
  <c r="B38621" i="1"/>
  <c r="A38622" i="1"/>
  <c r="B38622" i="1"/>
  <c r="A38623" i="1"/>
  <c r="B38623" i="1"/>
  <c r="A38624" i="1"/>
  <c r="B38624" i="1"/>
  <c r="A38625" i="1"/>
  <c r="B38625" i="1"/>
  <c r="A38626" i="1"/>
  <c r="B38626" i="1"/>
  <c r="A38627" i="1"/>
  <c r="B38627" i="1"/>
  <c r="A38628" i="1"/>
  <c r="B38628" i="1"/>
  <c r="A38629" i="1"/>
  <c r="B38629" i="1"/>
  <c r="A38630" i="1"/>
  <c r="B38630" i="1"/>
  <c r="A38631" i="1"/>
  <c r="B38631" i="1"/>
  <c r="A38632" i="1"/>
  <c r="B38632" i="1"/>
  <c r="A38633" i="1"/>
  <c r="B38633" i="1"/>
  <c r="A38634" i="1"/>
  <c r="B38634" i="1"/>
  <c r="A38635" i="1"/>
  <c r="B38635" i="1"/>
  <c r="A38636" i="1"/>
  <c r="B38636" i="1"/>
  <c r="A38637" i="1"/>
  <c r="B38637" i="1"/>
  <c r="A38638" i="1"/>
  <c r="B38638" i="1"/>
  <c r="A38639" i="1"/>
  <c r="B38639" i="1"/>
  <c r="A38640" i="1"/>
  <c r="B38640" i="1"/>
  <c r="A38641" i="1"/>
  <c r="B38641" i="1"/>
  <c r="A38642" i="1"/>
  <c r="B38642" i="1"/>
  <c r="A38643" i="1"/>
  <c r="B38643" i="1"/>
  <c r="A38644" i="1"/>
  <c r="B38644" i="1"/>
  <c r="A38645" i="1"/>
  <c r="B38645" i="1"/>
  <c r="A38646" i="1"/>
  <c r="B38646" i="1"/>
  <c r="A38647" i="1"/>
  <c r="B38647" i="1"/>
  <c r="A38648" i="1"/>
  <c r="B38648" i="1"/>
  <c r="A38649" i="1"/>
  <c r="B38649" i="1"/>
  <c r="A38650" i="1"/>
  <c r="B38650" i="1"/>
  <c r="A38651" i="1"/>
  <c r="B38651" i="1"/>
  <c r="A38652" i="1"/>
  <c r="B38652" i="1"/>
  <c r="A38653" i="1"/>
  <c r="B38653" i="1"/>
  <c r="A38654" i="1"/>
  <c r="B38654" i="1"/>
  <c r="A38655" i="1"/>
  <c r="B38655" i="1"/>
  <c r="A38656" i="1"/>
  <c r="B38656" i="1"/>
  <c r="A38657" i="1"/>
  <c r="B38657" i="1"/>
  <c r="A38658" i="1"/>
  <c r="B38658" i="1"/>
  <c r="A38659" i="1"/>
  <c r="B38659" i="1"/>
  <c r="A38660" i="1"/>
  <c r="B38660" i="1"/>
  <c r="A38661" i="1"/>
  <c r="B38661" i="1"/>
  <c r="A38662" i="1"/>
  <c r="B38662" i="1"/>
  <c r="A38663" i="1"/>
  <c r="B38663" i="1"/>
  <c r="A38664" i="1"/>
  <c r="B38664" i="1"/>
  <c r="A38665" i="1"/>
  <c r="B38665" i="1"/>
  <c r="A38666" i="1"/>
  <c r="B38666" i="1"/>
  <c r="A38667" i="1"/>
  <c r="B38667" i="1"/>
  <c r="A38668" i="1"/>
  <c r="B38668" i="1"/>
  <c r="A38669" i="1"/>
  <c r="B38669" i="1"/>
  <c r="A38670" i="1"/>
  <c r="B38670" i="1"/>
  <c r="A38671" i="1"/>
  <c r="B38671" i="1"/>
  <c r="A38672" i="1"/>
  <c r="B38672" i="1"/>
  <c r="A38673" i="1"/>
  <c r="B38673" i="1"/>
  <c r="A38674" i="1"/>
  <c r="B38674" i="1"/>
  <c r="A38675" i="1"/>
  <c r="B38675" i="1"/>
  <c r="A38676" i="1"/>
  <c r="B38676" i="1"/>
  <c r="A38677" i="1"/>
  <c r="B38677" i="1"/>
  <c r="A38678" i="1"/>
  <c r="B38678" i="1"/>
  <c r="A38679" i="1"/>
  <c r="B38679" i="1"/>
  <c r="A38680" i="1"/>
  <c r="B38680" i="1"/>
  <c r="A38681" i="1"/>
  <c r="B38681" i="1"/>
  <c r="A38682" i="1"/>
  <c r="B38682" i="1"/>
  <c r="A38683" i="1"/>
  <c r="B38683" i="1"/>
  <c r="A38684" i="1"/>
  <c r="B38684" i="1"/>
  <c r="A38685" i="1"/>
  <c r="B38685" i="1"/>
  <c r="A38686" i="1"/>
  <c r="B38686" i="1"/>
  <c r="A38687" i="1"/>
  <c r="B38687" i="1"/>
  <c r="A38688" i="1"/>
  <c r="B38688" i="1"/>
  <c r="A38689" i="1"/>
  <c r="B38689" i="1"/>
  <c r="A38690" i="1"/>
  <c r="B38690" i="1"/>
  <c r="A38691" i="1"/>
  <c r="B38691" i="1"/>
  <c r="A38692" i="1"/>
  <c r="B38692" i="1"/>
  <c r="A38693" i="1"/>
  <c r="B38693" i="1"/>
  <c r="A38694" i="1"/>
  <c r="B38694" i="1"/>
  <c r="A38695" i="1"/>
  <c r="B38695" i="1"/>
  <c r="A38696" i="1"/>
  <c r="B38696" i="1"/>
  <c r="A38697" i="1"/>
  <c r="B38697" i="1"/>
  <c r="A38698" i="1"/>
  <c r="B38698" i="1"/>
  <c r="A38699" i="1"/>
  <c r="B38699" i="1"/>
  <c r="A38700" i="1"/>
  <c r="B38700" i="1"/>
  <c r="A38701" i="1"/>
  <c r="B38701" i="1"/>
  <c r="A38702" i="1"/>
  <c r="B38702" i="1"/>
  <c r="A38703" i="1"/>
  <c r="B38703" i="1"/>
  <c r="A38704" i="1"/>
  <c r="B38704" i="1"/>
  <c r="A38705" i="1"/>
  <c r="B38705" i="1"/>
  <c r="A38706" i="1"/>
  <c r="B38706" i="1"/>
  <c r="A38707" i="1"/>
  <c r="B38707" i="1"/>
  <c r="A38708" i="1"/>
  <c r="B38708" i="1"/>
  <c r="A38709" i="1"/>
  <c r="B38709" i="1"/>
  <c r="A38710" i="1"/>
  <c r="B38710" i="1"/>
  <c r="A38711" i="1"/>
  <c r="B38711" i="1"/>
  <c r="A38712" i="1"/>
  <c r="B38712" i="1"/>
  <c r="A38713" i="1"/>
  <c r="B38713" i="1"/>
  <c r="A38714" i="1"/>
  <c r="B38714" i="1"/>
  <c r="A38715" i="1"/>
  <c r="B38715" i="1"/>
  <c r="A38716" i="1"/>
  <c r="B38716" i="1"/>
  <c r="A38717" i="1"/>
  <c r="B38717" i="1"/>
  <c r="A38718" i="1"/>
  <c r="B38718" i="1"/>
  <c r="A38719" i="1"/>
  <c r="B38719" i="1"/>
  <c r="A38720" i="1"/>
  <c r="B38720" i="1"/>
  <c r="A38721" i="1"/>
  <c r="B38721" i="1"/>
  <c r="A38722" i="1"/>
  <c r="B38722" i="1"/>
  <c r="A38723" i="1"/>
  <c r="B38723" i="1"/>
  <c r="A38724" i="1"/>
  <c r="B38724" i="1"/>
  <c r="A38725" i="1"/>
  <c r="B38725" i="1"/>
  <c r="A38726" i="1"/>
  <c r="B38726" i="1"/>
  <c r="A38727" i="1"/>
  <c r="B38727" i="1"/>
  <c r="A38728" i="1"/>
  <c r="B38728" i="1"/>
  <c r="A38729" i="1"/>
  <c r="B38729" i="1"/>
  <c r="A38730" i="1"/>
  <c r="B38730" i="1"/>
  <c r="A38731" i="1"/>
  <c r="B38731" i="1"/>
  <c r="A38732" i="1"/>
  <c r="B38732" i="1"/>
  <c r="A38733" i="1"/>
  <c r="B38733" i="1"/>
  <c r="A38734" i="1"/>
  <c r="B38734" i="1"/>
  <c r="A38735" i="1"/>
  <c r="B38735" i="1"/>
  <c r="A38736" i="1"/>
  <c r="B38736" i="1"/>
  <c r="A38737" i="1"/>
  <c r="B38737" i="1"/>
  <c r="A38738" i="1"/>
  <c r="B38738" i="1"/>
  <c r="A38739" i="1"/>
  <c r="B38739" i="1"/>
  <c r="A38740" i="1"/>
  <c r="B38740" i="1"/>
  <c r="A38741" i="1"/>
  <c r="B38741" i="1"/>
  <c r="A38742" i="1"/>
  <c r="B38742" i="1"/>
  <c r="A38743" i="1"/>
  <c r="B38743" i="1"/>
  <c r="A38744" i="1"/>
  <c r="B38744" i="1"/>
  <c r="A38745" i="1"/>
  <c r="B38745" i="1"/>
  <c r="A38746" i="1"/>
  <c r="B38746" i="1"/>
  <c r="A38747" i="1"/>
  <c r="B38747" i="1"/>
  <c r="A38748" i="1"/>
  <c r="B38748" i="1"/>
  <c r="A38749" i="1"/>
  <c r="B38749" i="1"/>
  <c r="A38750" i="1"/>
  <c r="B38750" i="1"/>
  <c r="A38751" i="1"/>
  <c r="B38751" i="1"/>
  <c r="A38752" i="1"/>
  <c r="B38752" i="1"/>
  <c r="A38753" i="1"/>
  <c r="B38753" i="1"/>
  <c r="A38754" i="1"/>
  <c r="B38754" i="1"/>
  <c r="A38755" i="1"/>
  <c r="B38755" i="1"/>
  <c r="A38756" i="1"/>
  <c r="B38756" i="1"/>
  <c r="A38757" i="1"/>
  <c r="B38757" i="1"/>
  <c r="A38758" i="1"/>
  <c r="B38758" i="1"/>
  <c r="A38759" i="1"/>
  <c r="B38759" i="1"/>
  <c r="A38760" i="1"/>
  <c r="B38760" i="1"/>
  <c r="A38761" i="1"/>
  <c r="B38761" i="1"/>
  <c r="A38762" i="1"/>
  <c r="B38762" i="1"/>
  <c r="A38763" i="1"/>
  <c r="B38763" i="1"/>
  <c r="A38764" i="1"/>
  <c r="B38764" i="1"/>
  <c r="A38765" i="1"/>
  <c r="B38765" i="1"/>
  <c r="A38766" i="1"/>
  <c r="B38766" i="1"/>
  <c r="A38767" i="1"/>
  <c r="B38767" i="1"/>
  <c r="A38768" i="1"/>
  <c r="B38768" i="1"/>
  <c r="A38769" i="1"/>
  <c r="B38769" i="1"/>
  <c r="A38770" i="1"/>
  <c r="B38770" i="1"/>
  <c r="A38771" i="1"/>
  <c r="B38771" i="1"/>
  <c r="A38772" i="1"/>
  <c r="B38772" i="1"/>
  <c r="A38773" i="1"/>
  <c r="B38773" i="1"/>
  <c r="A38774" i="1"/>
  <c r="B38774" i="1"/>
  <c r="A38775" i="1"/>
  <c r="B38775" i="1"/>
  <c r="A38776" i="1"/>
  <c r="B38776" i="1"/>
  <c r="A38777" i="1"/>
  <c r="B38777" i="1"/>
  <c r="A38778" i="1"/>
  <c r="B38778" i="1"/>
  <c r="A38779" i="1"/>
  <c r="B38779" i="1"/>
  <c r="A38780" i="1"/>
  <c r="B38780" i="1"/>
  <c r="A38781" i="1"/>
  <c r="B38781" i="1"/>
  <c r="A38782" i="1"/>
  <c r="B38782" i="1"/>
  <c r="A38783" i="1"/>
  <c r="B38783" i="1"/>
  <c r="A38784" i="1"/>
  <c r="B38784" i="1"/>
  <c r="A38785" i="1"/>
  <c r="B38785" i="1"/>
  <c r="A38786" i="1"/>
  <c r="B38786" i="1"/>
  <c r="A38787" i="1"/>
  <c r="B38787" i="1"/>
  <c r="A38788" i="1"/>
  <c r="B38788" i="1"/>
  <c r="A38789" i="1"/>
  <c r="B38789" i="1"/>
  <c r="A38790" i="1"/>
  <c r="B38790" i="1"/>
  <c r="A38791" i="1"/>
  <c r="B38791" i="1"/>
  <c r="A38792" i="1"/>
  <c r="B38792" i="1"/>
  <c r="A38793" i="1"/>
  <c r="B38793" i="1"/>
  <c r="A38794" i="1"/>
  <c r="B38794" i="1"/>
  <c r="A38795" i="1"/>
  <c r="B38795" i="1"/>
  <c r="A38796" i="1"/>
  <c r="B38796" i="1"/>
  <c r="A38797" i="1"/>
  <c r="B38797" i="1"/>
  <c r="A38798" i="1"/>
  <c r="B38798" i="1"/>
  <c r="A38799" i="1"/>
  <c r="B38799" i="1"/>
  <c r="A38800" i="1"/>
  <c r="B38800" i="1"/>
  <c r="A38801" i="1"/>
  <c r="B38801" i="1"/>
  <c r="A38802" i="1"/>
  <c r="B38802" i="1"/>
  <c r="A38803" i="1"/>
  <c r="B38803" i="1"/>
  <c r="A38804" i="1"/>
  <c r="B38804" i="1"/>
  <c r="A38805" i="1"/>
  <c r="B38805" i="1"/>
  <c r="A38806" i="1"/>
  <c r="B38806" i="1"/>
  <c r="A38807" i="1"/>
  <c r="B38807" i="1"/>
  <c r="A38808" i="1"/>
  <c r="B38808" i="1"/>
  <c r="A38809" i="1"/>
  <c r="B38809" i="1"/>
  <c r="A38810" i="1"/>
  <c r="B38810" i="1"/>
  <c r="A38811" i="1"/>
  <c r="B38811" i="1"/>
  <c r="A38812" i="1"/>
  <c r="B38812" i="1"/>
  <c r="A38813" i="1"/>
  <c r="B38813" i="1"/>
  <c r="A38814" i="1"/>
  <c r="B38814" i="1"/>
  <c r="A38815" i="1"/>
  <c r="B38815" i="1"/>
  <c r="A38816" i="1"/>
  <c r="B38816" i="1"/>
  <c r="A38817" i="1"/>
  <c r="B38817" i="1"/>
  <c r="A38818" i="1"/>
  <c r="B38818" i="1"/>
  <c r="A38819" i="1"/>
  <c r="B38819" i="1"/>
  <c r="A38820" i="1"/>
  <c r="B38820" i="1"/>
  <c r="A38821" i="1"/>
  <c r="B38821" i="1"/>
  <c r="A38822" i="1"/>
  <c r="B38822" i="1"/>
  <c r="A38823" i="1"/>
  <c r="B38823" i="1"/>
  <c r="A38824" i="1"/>
  <c r="B38824" i="1"/>
  <c r="A38825" i="1"/>
  <c r="B38825" i="1"/>
  <c r="A38826" i="1"/>
  <c r="B38826" i="1"/>
  <c r="A38827" i="1"/>
  <c r="B38827" i="1"/>
  <c r="A38828" i="1"/>
  <c r="B38828" i="1"/>
  <c r="A38829" i="1"/>
  <c r="B38829" i="1"/>
  <c r="A38830" i="1"/>
  <c r="B38830" i="1"/>
  <c r="A38831" i="1"/>
  <c r="B38831" i="1"/>
  <c r="A38832" i="1"/>
  <c r="B38832" i="1"/>
  <c r="A38833" i="1"/>
  <c r="B38833" i="1"/>
  <c r="A38834" i="1"/>
  <c r="B38834" i="1"/>
  <c r="A38835" i="1"/>
  <c r="B38835" i="1"/>
  <c r="A38836" i="1"/>
  <c r="B38836" i="1"/>
  <c r="A38837" i="1"/>
  <c r="B38837" i="1"/>
  <c r="A38838" i="1"/>
  <c r="B38838" i="1"/>
  <c r="A38839" i="1"/>
  <c r="B38839" i="1"/>
  <c r="A38840" i="1"/>
  <c r="B38840" i="1"/>
  <c r="A38841" i="1"/>
  <c r="B38841" i="1"/>
  <c r="A38842" i="1"/>
  <c r="B38842" i="1"/>
  <c r="A38843" i="1"/>
  <c r="B38843" i="1"/>
  <c r="A38844" i="1"/>
  <c r="B38844" i="1"/>
  <c r="A38845" i="1"/>
  <c r="B38845" i="1"/>
  <c r="A38846" i="1"/>
  <c r="B38846" i="1"/>
  <c r="A38847" i="1"/>
  <c r="B38847" i="1"/>
  <c r="A38848" i="1"/>
  <c r="B38848" i="1"/>
  <c r="A38849" i="1"/>
  <c r="B38849" i="1"/>
  <c r="A38850" i="1"/>
  <c r="B38850" i="1"/>
  <c r="A38851" i="1"/>
  <c r="B38851" i="1"/>
  <c r="A38852" i="1"/>
  <c r="B38852" i="1"/>
  <c r="A38853" i="1"/>
  <c r="B38853" i="1"/>
  <c r="A38854" i="1"/>
  <c r="B38854" i="1"/>
  <c r="A38855" i="1"/>
  <c r="B38855" i="1"/>
  <c r="A38856" i="1"/>
  <c r="B38856" i="1"/>
  <c r="A38857" i="1"/>
  <c r="B38857" i="1"/>
  <c r="A38858" i="1"/>
  <c r="B38858" i="1"/>
  <c r="A38859" i="1"/>
  <c r="B38859" i="1"/>
  <c r="A38860" i="1"/>
  <c r="B38860" i="1"/>
  <c r="A38861" i="1"/>
  <c r="B38861" i="1"/>
  <c r="A38862" i="1"/>
  <c r="B38862" i="1"/>
  <c r="A38863" i="1"/>
  <c r="B38863" i="1"/>
  <c r="A38864" i="1"/>
  <c r="B38864" i="1"/>
  <c r="A38865" i="1"/>
  <c r="B38865" i="1"/>
  <c r="A38866" i="1"/>
  <c r="B38866" i="1"/>
  <c r="A38867" i="1"/>
  <c r="B38867" i="1"/>
  <c r="A38868" i="1"/>
  <c r="B38868" i="1"/>
  <c r="A38869" i="1"/>
  <c r="B38869" i="1"/>
  <c r="A38870" i="1"/>
  <c r="B38870" i="1"/>
  <c r="A38871" i="1"/>
  <c r="B38871" i="1"/>
  <c r="A38872" i="1"/>
  <c r="B38872" i="1"/>
  <c r="A38873" i="1"/>
  <c r="B38873" i="1"/>
  <c r="A38874" i="1"/>
  <c r="B38874" i="1"/>
  <c r="A38875" i="1"/>
  <c r="B38875" i="1"/>
  <c r="A38876" i="1"/>
  <c r="B38876" i="1"/>
  <c r="A38877" i="1"/>
  <c r="B38877" i="1"/>
  <c r="A38878" i="1"/>
  <c r="B38878" i="1"/>
  <c r="A38879" i="1"/>
  <c r="B38879" i="1"/>
  <c r="A38880" i="1"/>
  <c r="B38880" i="1"/>
  <c r="A38881" i="1"/>
  <c r="B38881" i="1"/>
  <c r="A38882" i="1"/>
  <c r="B38882" i="1"/>
  <c r="A38883" i="1"/>
  <c r="B38883" i="1"/>
  <c r="A38884" i="1"/>
  <c r="B38884" i="1"/>
  <c r="A38885" i="1"/>
  <c r="B38885" i="1"/>
  <c r="A38886" i="1"/>
  <c r="B38886" i="1"/>
  <c r="A38887" i="1"/>
  <c r="B38887" i="1"/>
  <c r="A38888" i="1"/>
  <c r="B38888" i="1"/>
  <c r="A38889" i="1"/>
  <c r="B38889" i="1"/>
  <c r="A38890" i="1"/>
  <c r="B38890" i="1"/>
  <c r="A38891" i="1"/>
  <c r="B38891" i="1"/>
  <c r="A38892" i="1"/>
  <c r="B38892" i="1"/>
  <c r="A38893" i="1"/>
  <c r="B38893" i="1"/>
  <c r="A38894" i="1"/>
  <c r="B38894" i="1"/>
  <c r="A38895" i="1"/>
  <c r="B38895" i="1"/>
  <c r="A38896" i="1"/>
  <c r="B38896" i="1"/>
  <c r="A38897" i="1"/>
  <c r="B38897" i="1"/>
  <c r="A38898" i="1"/>
  <c r="B38898" i="1"/>
  <c r="A38899" i="1"/>
  <c r="B38899" i="1"/>
  <c r="A38900" i="1"/>
  <c r="B38900" i="1"/>
  <c r="A38901" i="1"/>
  <c r="B38901" i="1"/>
  <c r="A38902" i="1"/>
  <c r="B38902" i="1"/>
  <c r="A38903" i="1"/>
  <c r="B38903" i="1"/>
  <c r="A38904" i="1"/>
  <c r="B38904" i="1"/>
  <c r="A38905" i="1"/>
  <c r="B38905" i="1"/>
  <c r="A38906" i="1"/>
  <c r="B38906" i="1"/>
  <c r="A38907" i="1"/>
  <c r="B38907" i="1"/>
  <c r="A38908" i="1"/>
  <c r="B38908" i="1"/>
  <c r="A38909" i="1"/>
  <c r="B38909" i="1"/>
  <c r="A38910" i="1"/>
  <c r="B38910" i="1"/>
  <c r="A38911" i="1"/>
  <c r="B38911" i="1"/>
  <c r="A38912" i="1"/>
  <c r="B38912" i="1"/>
  <c r="A38913" i="1"/>
  <c r="B38913" i="1"/>
  <c r="A38914" i="1"/>
  <c r="B38914" i="1"/>
  <c r="A38915" i="1"/>
  <c r="B38915" i="1"/>
  <c r="A38916" i="1"/>
  <c r="B38916" i="1"/>
  <c r="A38917" i="1"/>
  <c r="B38917" i="1"/>
  <c r="A38918" i="1"/>
  <c r="B38918" i="1"/>
  <c r="A38919" i="1"/>
  <c r="B38919" i="1"/>
  <c r="A38920" i="1"/>
  <c r="B38920" i="1"/>
  <c r="A38921" i="1"/>
  <c r="B38921" i="1"/>
  <c r="A38922" i="1"/>
  <c r="B38922" i="1"/>
  <c r="A38923" i="1"/>
  <c r="B38923" i="1"/>
  <c r="A38924" i="1"/>
  <c r="B38924" i="1"/>
  <c r="A38925" i="1"/>
  <c r="B38925" i="1"/>
  <c r="A38926" i="1"/>
  <c r="B38926" i="1"/>
  <c r="A38927" i="1"/>
  <c r="B38927" i="1"/>
  <c r="A38928" i="1"/>
  <c r="B38928" i="1"/>
  <c r="A38929" i="1"/>
  <c r="B38929" i="1"/>
  <c r="A38930" i="1"/>
  <c r="B38930" i="1"/>
  <c r="A38931" i="1"/>
  <c r="B38931" i="1"/>
  <c r="A38932" i="1"/>
  <c r="B38932" i="1"/>
  <c r="A38933" i="1"/>
  <c r="B38933" i="1"/>
  <c r="A38934" i="1"/>
  <c r="B38934" i="1"/>
  <c r="A38935" i="1"/>
  <c r="B38935" i="1"/>
  <c r="A38936" i="1"/>
  <c r="B38936" i="1"/>
  <c r="A38937" i="1"/>
  <c r="B38937" i="1"/>
  <c r="A38938" i="1"/>
  <c r="B38938" i="1"/>
  <c r="A38939" i="1"/>
  <c r="B38939" i="1"/>
  <c r="A38940" i="1"/>
  <c r="B38940" i="1"/>
  <c r="A38941" i="1"/>
  <c r="B38941" i="1"/>
  <c r="A38942" i="1"/>
  <c r="B38942" i="1"/>
  <c r="A38943" i="1"/>
  <c r="B38943" i="1"/>
  <c r="A38944" i="1"/>
  <c r="B38944" i="1"/>
  <c r="A38945" i="1"/>
  <c r="B38945" i="1"/>
  <c r="A38946" i="1"/>
  <c r="B38946" i="1"/>
  <c r="A38947" i="1"/>
  <c r="B38947" i="1"/>
  <c r="A38948" i="1"/>
  <c r="B38948" i="1"/>
  <c r="A38949" i="1"/>
  <c r="B38949" i="1"/>
  <c r="A38950" i="1"/>
  <c r="B38950" i="1"/>
  <c r="A38951" i="1"/>
  <c r="B38951" i="1"/>
  <c r="A38952" i="1"/>
  <c r="B38952" i="1"/>
  <c r="A38953" i="1"/>
  <c r="B38953" i="1"/>
  <c r="A38954" i="1"/>
  <c r="B38954" i="1"/>
  <c r="A38955" i="1"/>
  <c r="B38955" i="1"/>
  <c r="A38956" i="1"/>
  <c r="B38956" i="1"/>
  <c r="A38957" i="1"/>
  <c r="B38957" i="1"/>
  <c r="A38958" i="1"/>
  <c r="B38958" i="1"/>
  <c r="A38959" i="1"/>
  <c r="B38959" i="1"/>
  <c r="A38960" i="1"/>
  <c r="B38960" i="1"/>
  <c r="A38961" i="1"/>
  <c r="B38961" i="1"/>
  <c r="A38962" i="1"/>
  <c r="B38962" i="1"/>
  <c r="A38963" i="1"/>
  <c r="B38963" i="1"/>
  <c r="A38964" i="1"/>
  <c r="B38964" i="1"/>
  <c r="A38965" i="1"/>
  <c r="B38965" i="1"/>
  <c r="A38966" i="1"/>
  <c r="B38966" i="1"/>
  <c r="A38967" i="1"/>
  <c r="B38967" i="1"/>
  <c r="A38968" i="1"/>
  <c r="B38968" i="1"/>
  <c r="A38969" i="1"/>
  <c r="B38969" i="1"/>
  <c r="A38970" i="1"/>
  <c r="B38970" i="1"/>
  <c r="A38971" i="1"/>
  <c r="B38971" i="1"/>
  <c r="A38972" i="1"/>
  <c r="B38972" i="1"/>
  <c r="A38973" i="1"/>
  <c r="B38973" i="1"/>
  <c r="A38974" i="1"/>
  <c r="B38974" i="1"/>
  <c r="A38975" i="1"/>
  <c r="B38975" i="1"/>
  <c r="A38976" i="1"/>
  <c r="B38976" i="1"/>
  <c r="A38977" i="1"/>
  <c r="B38977" i="1"/>
  <c r="A38978" i="1"/>
  <c r="B38978" i="1"/>
  <c r="A38979" i="1"/>
  <c r="B38979" i="1"/>
  <c r="A38980" i="1"/>
  <c r="B38980" i="1"/>
  <c r="A38981" i="1"/>
  <c r="B38981" i="1"/>
  <c r="A38982" i="1"/>
  <c r="B38982" i="1"/>
  <c r="A38983" i="1"/>
  <c r="B38983" i="1"/>
  <c r="A38984" i="1"/>
  <c r="B38984" i="1"/>
  <c r="A38985" i="1"/>
  <c r="B38985" i="1"/>
  <c r="A38986" i="1"/>
  <c r="B38986" i="1"/>
  <c r="A38987" i="1"/>
  <c r="B38987" i="1"/>
  <c r="A38988" i="1"/>
  <c r="B38988" i="1"/>
  <c r="A38989" i="1"/>
  <c r="B38989" i="1"/>
  <c r="A38990" i="1"/>
  <c r="B38990" i="1"/>
  <c r="A38991" i="1"/>
  <c r="B38991" i="1"/>
  <c r="A38992" i="1"/>
  <c r="B38992" i="1"/>
  <c r="A38993" i="1"/>
  <c r="B38993" i="1"/>
  <c r="A38994" i="1"/>
  <c r="B38994" i="1"/>
  <c r="A38995" i="1"/>
  <c r="B38995" i="1"/>
  <c r="A38996" i="1"/>
  <c r="B38996" i="1"/>
  <c r="A38997" i="1"/>
  <c r="B38997" i="1"/>
  <c r="A38998" i="1"/>
  <c r="B38998" i="1"/>
  <c r="A38999" i="1"/>
  <c r="B38999" i="1"/>
  <c r="A39000" i="1"/>
  <c r="B39000" i="1"/>
  <c r="A39001" i="1"/>
  <c r="B39001" i="1"/>
  <c r="A39002" i="1"/>
  <c r="B39002" i="1"/>
  <c r="A39003" i="1"/>
  <c r="B39003" i="1"/>
  <c r="A39004" i="1"/>
  <c r="B39004" i="1"/>
  <c r="A39005" i="1"/>
  <c r="B39005" i="1"/>
  <c r="A39006" i="1"/>
  <c r="B39006" i="1"/>
  <c r="A39007" i="1"/>
  <c r="B39007" i="1"/>
  <c r="A39008" i="1"/>
  <c r="B39008" i="1"/>
  <c r="A39009" i="1"/>
  <c r="B39009" i="1"/>
  <c r="A39010" i="1"/>
  <c r="B39010" i="1"/>
  <c r="A39011" i="1"/>
  <c r="B39011" i="1"/>
  <c r="A39012" i="1"/>
  <c r="B39012" i="1"/>
  <c r="A39013" i="1"/>
  <c r="B39013" i="1"/>
  <c r="A39014" i="1"/>
  <c r="B39014" i="1"/>
  <c r="A39015" i="1"/>
  <c r="B39015" i="1"/>
  <c r="A39016" i="1"/>
  <c r="B39016" i="1"/>
  <c r="A39017" i="1"/>
  <c r="B39017" i="1"/>
  <c r="A39018" i="1"/>
  <c r="B39018" i="1"/>
  <c r="A39019" i="1"/>
  <c r="B39019" i="1"/>
  <c r="A39020" i="1"/>
  <c r="B39020" i="1"/>
  <c r="A39021" i="1"/>
  <c r="B39021" i="1"/>
  <c r="A39022" i="1"/>
  <c r="B39022" i="1"/>
  <c r="A39023" i="1"/>
  <c r="B39023" i="1"/>
  <c r="A39024" i="1"/>
  <c r="B39024" i="1"/>
  <c r="A39025" i="1"/>
  <c r="B39025" i="1"/>
  <c r="A39026" i="1"/>
  <c r="B39026" i="1"/>
  <c r="A39027" i="1"/>
  <c r="B39027" i="1"/>
  <c r="A39028" i="1"/>
  <c r="B39028" i="1"/>
  <c r="A39029" i="1"/>
  <c r="B39029" i="1"/>
  <c r="A39030" i="1"/>
  <c r="B39030" i="1"/>
  <c r="A39031" i="1"/>
  <c r="B39031" i="1"/>
  <c r="A39032" i="1"/>
  <c r="B39032" i="1"/>
  <c r="A39033" i="1"/>
  <c r="B39033" i="1"/>
  <c r="A39034" i="1"/>
  <c r="B39034" i="1"/>
  <c r="A39035" i="1"/>
  <c r="B39035" i="1"/>
  <c r="A39036" i="1"/>
  <c r="B39036" i="1"/>
  <c r="A39037" i="1"/>
  <c r="B39037" i="1"/>
  <c r="A39038" i="1"/>
  <c r="B39038" i="1"/>
  <c r="A39039" i="1"/>
  <c r="B39039" i="1"/>
  <c r="A39040" i="1"/>
  <c r="B39040" i="1"/>
  <c r="A39041" i="1"/>
  <c r="B39041" i="1"/>
  <c r="A39042" i="1"/>
  <c r="B39042" i="1"/>
  <c r="A39043" i="1"/>
  <c r="B39043" i="1"/>
  <c r="A39044" i="1"/>
  <c r="B39044" i="1"/>
  <c r="A39045" i="1"/>
  <c r="B39045" i="1"/>
  <c r="A39046" i="1"/>
  <c r="B39046" i="1"/>
  <c r="A39047" i="1"/>
  <c r="B39047" i="1"/>
  <c r="A39048" i="1"/>
  <c r="B39048" i="1"/>
  <c r="A39049" i="1"/>
  <c r="B39049" i="1"/>
  <c r="A39050" i="1"/>
  <c r="B39050" i="1"/>
  <c r="A39051" i="1"/>
  <c r="B39051" i="1"/>
  <c r="A39052" i="1"/>
  <c r="B39052" i="1"/>
  <c r="A39053" i="1"/>
  <c r="B39053" i="1"/>
  <c r="A39054" i="1"/>
  <c r="B39054" i="1"/>
  <c r="A39055" i="1"/>
  <c r="B39055" i="1"/>
  <c r="A39056" i="1"/>
  <c r="B39056" i="1"/>
  <c r="A39057" i="1"/>
  <c r="B39057" i="1"/>
  <c r="A39058" i="1"/>
  <c r="B39058" i="1"/>
  <c r="A39059" i="1"/>
  <c r="B39059" i="1"/>
  <c r="A39060" i="1"/>
  <c r="B39060" i="1"/>
  <c r="A39061" i="1"/>
  <c r="B39061" i="1"/>
  <c r="A39062" i="1"/>
  <c r="B39062" i="1"/>
  <c r="A39063" i="1"/>
  <c r="B39063" i="1"/>
  <c r="A39064" i="1"/>
  <c r="B39064" i="1"/>
  <c r="A39065" i="1"/>
  <c r="B39065" i="1"/>
  <c r="A39066" i="1"/>
  <c r="B39066" i="1"/>
  <c r="A39067" i="1"/>
  <c r="B39067" i="1"/>
  <c r="A39068" i="1"/>
  <c r="B39068" i="1"/>
  <c r="A39069" i="1"/>
  <c r="B39069" i="1"/>
  <c r="A39070" i="1"/>
  <c r="B39070" i="1"/>
  <c r="A39071" i="1"/>
  <c r="B39071" i="1"/>
  <c r="A39072" i="1"/>
  <c r="B39072" i="1"/>
  <c r="A39073" i="1"/>
  <c r="B39073" i="1"/>
  <c r="A39074" i="1"/>
  <c r="B39074" i="1"/>
  <c r="A39075" i="1"/>
  <c r="B39075" i="1"/>
  <c r="A39076" i="1"/>
  <c r="B39076" i="1"/>
  <c r="A39077" i="1"/>
  <c r="B39077" i="1"/>
  <c r="A39078" i="1"/>
  <c r="B39078" i="1"/>
  <c r="A39079" i="1"/>
  <c r="B39079" i="1"/>
  <c r="A39080" i="1"/>
  <c r="B39080" i="1"/>
  <c r="A39081" i="1"/>
  <c r="B39081" i="1"/>
  <c r="A39082" i="1"/>
  <c r="B39082" i="1"/>
  <c r="A39083" i="1"/>
  <c r="B39083" i="1"/>
  <c r="A39084" i="1"/>
  <c r="B39084" i="1"/>
  <c r="A39085" i="1"/>
  <c r="B39085" i="1"/>
  <c r="A39086" i="1"/>
  <c r="B39086" i="1"/>
  <c r="A39087" i="1"/>
  <c r="B39087" i="1"/>
  <c r="A39088" i="1"/>
  <c r="B39088" i="1"/>
  <c r="A39089" i="1"/>
  <c r="B39089" i="1"/>
  <c r="A39090" i="1"/>
  <c r="B39090" i="1"/>
  <c r="A39091" i="1"/>
  <c r="B39091" i="1"/>
  <c r="A39092" i="1"/>
  <c r="B39092" i="1"/>
  <c r="A39093" i="1"/>
  <c r="B39093" i="1"/>
  <c r="A39094" i="1"/>
  <c r="B39094" i="1"/>
  <c r="A39095" i="1"/>
  <c r="B39095" i="1"/>
  <c r="A39096" i="1"/>
  <c r="B39096" i="1"/>
  <c r="A39097" i="1"/>
  <c r="B39097" i="1"/>
  <c r="A39098" i="1"/>
  <c r="B39098" i="1"/>
  <c r="A39099" i="1"/>
  <c r="B39099" i="1"/>
  <c r="A39100" i="1"/>
  <c r="B39100" i="1"/>
  <c r="A39101" i="1"/>
  <c r="B39101" i="1"/>
  <c r="A39102" i="1"/>
  <c r="B39102" i="1"/>
  <c r="A39103" i="1"/>
  <c r="B39103" i="1"/>
  <c r="A39104" i="1"/>
  <c r="B39104" i="1"/>
  <c r="A39105" i="1"/>
  <c r="B39105" i="1"/>
  <c r="A39106" i="1"/>
  <c r="B39106" i="1"/>
  <c r="A39107" i="1"/>
  <c r="B39107" i="1"/>
  <c r="A39108" i="1"/>
  <c r="B39108" i="1"/>
  <c r="A39109" i="1"/>
  <c r="B39109" i="1"/>
  <c r="A39110" i="1"/>
  <c r="B39110" i="1"/>
  <c r="A39111" i="1"/>
  <c r="B39111" i="1"/>
  <c r="A39112" i="1"/>
  <c r="B39112" i="1"/>
  <c r="A39113" i="1"/>
  <c r="B39113" i="1"/>
  <c r="A39114" i="1"/>
  <c r="B39114" i="1"/>
  <c r="A39115" i="1"/>
  <c r="B39115" i="1"/>
  <c r="A39116" i="1"/>
  <c r="B39116" i="1"/>
  <c r="A39117" i="1"/>
  <c r="B39117" i="1"/>
  <c r="A39118" i="1"/>
  <c r="B39118" i="1"/>
  <c r="A39119" i="1"/>
  <c r="B39119" i="1"/>
  <c r="A39120" i="1"/>
  <c r="B39120" i="1"/>
  <c r="A39121" i="1"/>
  <c r="B39121" i="1"/>
  <c r="A39122" i="1"/>
  <c r="B39122" i="1"/>
  <c r="A39123" i="1"/>
  <c r="B39123" i="1"/>
  <c r="A39124" i="1"/>
  <c r="B39124" i="1"/>
  <c r="A39125" i="1"/>
  <c r="B39125" i="1"/>
  <c r="A39126" i="1"/>
  <c r="B39126" i="1"/>
  <c r="A39127" i="1"/>
  <c r="B39127" i="1"/>
  <c r="A39128" i="1"/>
  <c r="B39128" i="1"/>
  <c r="A39129" i="1"/>
  <c r="B39129" i="1"/>
  <c r="A39130" i="1"/>
  <c r="B39130" i="1"/>
  <c r="A39131" i="1"/>
  <c r="B39131" i="1"/>
  <c r="A39132" i="1"/>
  <c r="B39132" i="1"/>
  <c r="A39133" i="1"/>
  <c r="B39133" i="1"/>
  <c r="A39134" i="1"/>
  <c r="B39134" i="1"/>
  <c r="A39135" i="1"/>
  <c r="B39135" i="1"/>
  <c r="A39136" i="1"/>
  <c r="B39136" i="1"/>
  <c r="A39137" i="1"/>
  <c r="B39137" i="1"/>
  <c r="A39138" i="1"/>
  <c r="B39138" i="1"/>
  <c r="A39139" i="1"/>
  <c r="B39139" i="1"/>
  <c r="A39140" i="1"/>
  <c r="B39140" i="1"/>
  <c r="A39141" i="1"/>
  <c r="B39141" i="1"/>
  <c r="A39142" i="1"/>
  <c r="B39142" i="1"/>
  <c r="A39143" i="1"/>
  <c r="B39143" i="1"/>
  <c r="A39144" i="1"/>
  <c r="B39144" i="1"/>
  <c r="A39145" i="1"/>
  <c r="B39145" i="1"/>
  <c r="A39146" i="1"/>
  <c r="B39146" i="1"/>
  <c r="A39147" i="1"/>
  <c r="B39147" i="1"/>
  <c r="A39148" i="1"/>
  <c r="B39148" i="1"/>
  <c r="A39149" i="1"/>
  <c r="B39149" i="1"/>
  <c r="A39150" i="1"/>
  <c r="B39150" i="1"/>
  <c r="A39151" i="1"/>
  <c r="B39151" i="1"/>
  <c r="A39152" i="1"/>
  <c r="B39152" i="1"/>
  <c r="A39153" i="1"/>
  <c r="B39153" i="1"/>
  <c r="A39154" i="1"/>
  <c r="B39154" i="1"/>
  <c r="A39155" i="1"/>
  <c r="B39155" i="1"/>
  <c r="A39156" i="1"/>
  <c r="B39156" i="1"/>
  <c r="A39157" i="1"/>
  <c r="B39157" i="1"/>
  <c r="A39158" i="1"/>
  <c r="B39158" i="1"/>
  <c r="A39159" i="1"/>
  <c r="B39159" i="1"/>
  <c r="A39160" i="1"/>
  <c r="B39160" i="1"/>
  <c r="A39161" i="1"/>
  <c r="B39161" i="1"/>
  <c r="A39162" i="1"/>
  <c r="B39162" i="1"/>
  <c r="A39163" i="1"/>
  <c r="B39163" i="1"/>
  <c r="A39164" i="1"/>
  <c r="B39164" i="1"/>
  <c r="A39165" i="1"/>
  <c r="B39165" i="1"/>
  <c r="A39166" i="1"/>
  <c r="B39166" i="1"/>
  <c r="A39167" i="1"/>
  <c r="B39167" i="1"/>
  <c r="A39168" i="1"/>
  <c r="B39168" i="1"/>
  <c r="A39169" i="1"/>
  <c r="B39169" i="1"/>
  <c r="A39170" i="1"/>
  <c r="B39170" i="1"/>
  <c r="A39171" i="1"/>
  <c r="B39171" i="1"/>
  <c r="A39172" i="1"/>
  <c r="B39172" i="1"/>
  <c r="A39173" i="1"/>
  <c r="B39173" i="1"/>
  <c r="A39174" i="1"/>
  <c r="B39174" i="1"/>
  <c r="A39175" i="1"/>
  <c r="B39175" i="1"/>
  <c r="A39176" i="1"/>
  <c r="B39176" i="1"/>
  <c r="A39177" i="1"/>
  <c r="B39177" i="1"/>
  <c r="A39178" i="1"/>
  <c r="B39178" i="1"/>
  <c r="A39179" i="1"/>
  <c r="B39179" i="1"/>
  <c r="A39180" i="1"/>
  <c r="B39180" i="1"/>
  <c r="A39181" i="1"/>
  <c r="B39181" i="1"/>
  <c r="A39182" i="1"/>
  <c r="B39182" i="1"/>
  <c r="A39183" i="1"/>
  <c r="B39183" i="1"/>
  <c r="A39184" i="1"/>
  <c r="B39184" i="1"/>
  <c r="A39185" i="1"/>
  <c r="B39185" i="1"/>
  <c r="A39186" i="1"/>
  <c r="B39186" i="1"/>
  <c r="A39187" i="1"/>
  <c r="B39187" i="1"/>
  <c r="A39188" i="1"/>
  <c r="B39188" i="1"/>
  <c r="A39189" i="1"/>
  <c r="B39189" i="1"/>
  <c r="A39190" i="1"/>
  <c r="B39190" i="1"/>
  <c r="A39191" i="1"/>
  <c r="B39191" i="1"/>
  <c r="A39192" i="1"/>
  <c r="B39192" i="1"/>
  <c r="A39193" i="1"/>
  <c r="B39193" i="1"/>
  <c r="A39194" i="1"/>
  <c r="B39194" i="1"/>
  <c r="A39195" i="1"/>
  <c r="B39195" i="1"/>
  <c r="A39196" i="1"/>
  <c r="B39196" i="1"/>
  <c r="A39197" i="1"/>
  <c r="B39197" i="1"/>
  <c r="A39198" i="1"/>
  <c r="B39198" i="1"/>
  <c r="A39199" i="1"/>
  <c r="B39199" i="1"/>
  <c r="A39200" i="1"/>
  <c r="B39200" i="1"/>
  <c r="A39201" i="1"/>
  <c r="B39201" i="1"/>
  <c r="A39202" i="1"/>
  <c r="B39202" i="1"/>
  <c r="A39203" i="1"/>
  <c r="B39203" i="1"/>
  <c r="A39204" i="1"/>
  <c r="B39204" i="1"/>
  <c r="A39205" i="1"/>
  <c r="B39205" i="1"/>
  <c r="A39206" i="1"/>
  <c r="B39206" i="1"/>
  <c r="A39207" i="1"/>
  <c r="B39207" i="1"/>
  <c r="A39208" i="1"/>
  <c r="B39208" i="1"/>
  <c r="A39209" i="1"/>
  <c r="B39209" i="1"/>
  <c r="A39210" i="1"/>
  <c r="B39210" i="1"/>
  <c r="A39211" i="1"/>
  <c r="B39211" i="1"/>
  <c r="A39212" i="1"/>
  <c r="B39212" i="1"/>
  <c r="A39213" i="1"/>
  <c r="B39213" i="1"/>
  <c r="A39214" i="1"/>
  <c r="B39214" i="1"/>
  <c r="A39215" i="1"/>
  <c r="B39215" i="1"/>
  <c r="A39216" i="1"/>
  <c r="B39216" i="1"/>
  <c r="A39217" i="1"/>
  <c r="B39217" i="1"/>
  <c r="A39218" i="1"/>
  <c r="B39218" i="1"/>
  <c r="A39219" i="1"/>
  <c r="B39219" i="1"/>
  <c r="A39220" i="1"/>
  <c r="B39220" i="1"/>
  <c r="A39221" i="1"/>
  <c r="B39221" i="1"/>
  <c r="A39222" i="1"/>
  <c r="B39222" i="1"/>
  <c r="A39223" i="1"/>
  <c r="B39223" i="1"/>
  <c r="A39224" i="1"/>
  <c r="B39224" i="1"/>
  <c r="A39225" i="1"/>
  <c r="B39225" i="1"/>
  <c r="A39226" i="1"/>
  <c r="B39226" i="1"/>
  <c r="A39227" i="1"/>
  <c r="B39227" i="1"/>
  <c r="A39228" i="1"/>
  <c r="B39228" i="1"/>
  <c r="A39229" i="1"/>
  <c r="B39229" i="1"/>
  <c r="A39230" i="1"/>
  <c r="B39230" i="1"/>
  <c r="A39231" i="1"/>
  <c r="B39231" i="1"/>
  <c r="A39232" i="1"/>
  <c r="B39232" i="1"/>
  <c r="A39233" i="1"/>
  <c r="B39233" i="1"/>
  <c r="A39234" i="1"/>
  <c r="B39234" i="1"/>
  <c r="A39235" i="1"/>
  <c r="B39235" i="1"/>
  <c r="A39236" i="1"/>
  <c r="B39236" i="1"/>
  <c r="A39237" i="1"/>
  <c r="B39237" i="1"/>
  <c r="A39238" i="1"/>
  <c r="B39238" i="1"/>
  <c r="A39239" i="1"/>
  <c r="B39239" i="1"/>
  <c r="A39240" i="1"/>
  <c r="B39240" i="1"/>
  <c r="A39241" i="1"/>
  <c r="B39241" i="1"/>
  <c r="A39242" i="1"/>
  <c r="B39242" i="1"/>
  <c r="A39243" i="1"/>
  <c r="B39243" i="1"/>
  <c r="A39244" i="1"/>
  <c r="B39244" i="1"/>
  <c r="A39245" i="1"/>
  <c r="B39245" i="1"/>
  <c r="A39246" i="1"/>
  <c r="B39246" i="1"/>
  <c r="A39247" i="1"/>
  <c r="B39247" i="1"/>
  <c r="A39248" i="1"/>
  <c r="B39248" i="1"/>
  <c r="A39249" i="1"/>
  <c r="B39249" i="1"/>
  <c r="A39250" i="1"/>
  <c r="B39250" i="1"/>
  <c r="A39251" i="1"/>
  <c r="B39251" i="1"/>
  <c r="A39252" i="1"/>
  <c r="B39252" i="1"/>
  <c r="A39253" i="1"/>
  <c r="B39253" i="1"/>
  <c r="A39254" i="1"/>
  <c r="B39254" i="1"/>
  <c r="A39255" i="1"/>
  <c r="B39255" i="1"/>
  <c r="A39256" i="1"/>
  <c r="B39256" i="1"/>
  <c r="A39257" i="1"/>
  <c r="B39257" i="1"/>
  <c r="A39258" i="1"/>
  <c r="B39258" i="1"/>
  <c r="A39259" i="1"/>
  <c r="B39259" i="1"/>
  <c r="A39260" i="1"/>
  <c r="B39260" i="1"/>
  <c r="A39261" i="1"/>
  <c r="B39261" i="1"/>
  <c r="A39262" i="1"/>
  <c r="B39262" i="1"/>
  <c r="A39263" i="1"/>
  <c r="B39263" i="1"/>
  <c r="A39264" i="1"/>
  <c r="B39264" i="1"/>
  <c r="A39265" i="1"/>
  <c r="B39265" i="1"/>
  <c r="A39266" i="1"/>
  <c r="B39266" i="1"/>
  <c r="A39267" i="1"/>
  <c r="B39267" i="1"/>
  <c r="A39268" i="1"/>
  <c r="B39268" i="1"/>
  <c r="A39269" i="1"/>
  <c r="B39269" i="1"/>
  <c r="A39270" i="1"/>
  <c r="B39270" i="1"/>
  <c r="A39271" i="1"/>
  <c r="B39271" i="1"/>
  <c r="A39272" i="1"/>
  <c r="B39272" i="1"/>
  <c r="A39273" i="1"/>
  <c r="B39273" i="1"/>
  <c r="A39274" i="1"/>
  <c r="B39274" i="1"/>
  <c r="A39275" i="1"/>
  <c r="B39275" i="1"/>
  <c r="A39276" i="1"/>
  <c r="B39276" i="1"/>
  <c r="A39277" i="1"/>
  <c r="B39277" i="1"/>
  <c r="A39278" i="1"/>
  <c r="B39278" i="1"/>
  <c r="A39279" i="1"/>
  <c r="B39279" i="1"/>
  <c r="A39280" i="1"/>
  <c r="B39280" i="1"/>
  <c r="A39281" i="1"/>
  <c r="B39281" i="1"/>
  <c r="A39282" i="1"/>
  <c r="B39282" i="1"/>
  <c r="A39283" i="1"/>
  <c r="B39283" i="1"/>
  <c r="A39284" i="1"/>
  <c r="B39284" i="1"/>
  <c r="A39285" i="1"/>
  <c r="B39285" i="1"/>
  <c r="A39286" i="1"/>
  <c r="B39286" i="1"/>
  <c r="A39287" i="1"/>
  <c r="B39287" i="1"/>
  <c r="A39288" i="1"/>
  <c r="B39288" i="1"/>
  <c r="A39289" i="1"/>
  <c r="B39289" i="1"/>
  <c r="A39290" i="1"/>
  <c r="B39290" i="1"/>
  <c r="A39291" i="1"/>
  <c r="B39291" i="1"/>
  <c r="A39292" i="1"/>
  <c r="B39292" i="1"/>
  <c r="A39293" i="1"/>
  <c r="B39293" i="1"/>
  <c r="A39294" i="1"/>
  <c r="B39294" i="1"/>
  <c r="A39295" i="1"/>
  <c r="B39295" i="1"/>
  <c r="A39296" i="1"/>
  <c r="B39296" i="1"/>
  <c r="A39297" i="1"/>
  <c r="B39297" i="1"/>
  <c r="A39298" i="1"/>
  <c r="B39298" i="1"/>
  <c r="A39299" i="1"/>
  <c r="B39299" i="1"/>
  <c r="A39300" i="1"/>
  <c r="B39300" i="1"/>
  <c r="A39301" i="1"/>
  <c r="B39301" i="1"/>
  <c r="A39302" i="1"/>
  <c r="B39302" i="1"/>
  <c r="A39303" i="1"/>
  <c r="B39303" i="1"/>
  <c r="A39304" i="1"/>
  <c r="B39304" i="1"/>
  <c r="A39305" i="1"/>
  <c r="B39305" i="1"/>
  <c r="A39306" i="1"/>
  <c r="B39306" i="1"/>
  <c r="A39307" i="1"/>
  <c r="B39307" i="1"/>
  <c r="A39308" i="1"/>
  <c r="B39308" i="1"/>
  <c r="A39309" i="1"/>
  <c r="B39309" i="1"/>
  <c r="A39310" i="1"/>
  <c r="B39310" i="1"/>
  <c r="A39311" i="1"/>
  <c r="B39311" i="1"/>
  <c r="A39312" i="1"/>
  <c r="B39312" i="1"/>
  <c r="A39313" i="1"/>
  <c r="B39313" i="1"/>
  <c r="A39314" i="1"/>
  <c r="B39314" i="1"/>
  <c r="A39315" i="1"/>
  <c r="B39315" i="1"/>
  <c r="A39316" i="1"/>
  <c r="B39316" i="1"/>
  <c r="A39317" i="1"/>
  <c r="B39317" i="1"/>
  <c r="A39318" i="1"/>
  <c r="B39318" i="1"/>
  <c r="A39319" i="1"/>
  <c r="B39319" i="1"/>
  <c r="A39320" i="1"/>
  <c r="B39320" i="1"/>
  <c r="A39321" i="1"/>
  <c r="B39321" i="1"/>
  <c r="A39322" i="1"/>
  <c r="B39322" i="1"/>
  <c r="A39323" i="1"/>
  <c r="B39323" i="1"/>
  <c r="A39324" i="1"/>
  <c r="B39324" i="1"/>
  <c r="A39325" i="1"/>
  <c r="B39325" i="1"/>
  <c r="A39326" i="1"/>
  <c r="B39326" i="1"/>
  <c r="A39327" i="1"/>
  <c r="B39327" i="1"/>
  <c r="A39328" i="1"/>
  <c r="B39328" i="1"/>
  <c r="A39329" i="1"/>
  <c r="B39329" i="1"/>
  <c r="A39330" i="1"/>
  <c r="B39330" i="1"/>
  <c r="A39331" i="1"/>
  <c r="B39331" i="1"/>
  <c r="A39332" i="1"/>
  <c r="B39332" i="1"/>
  <c r="A39333" i="1"/>
  <c r="B39333" i="1"/>
  <c r="A39334" i="1"/>
  <c r="B39334" i="1"/>
  <c r="A39335" i="1"/>
  <c r="B39335" i="1"/>
  <c r="A39336" i="1"/>
  <c r="B39336" i="1"/>
  <c r="A39337" i="1"/>
  <c r="B39337" i="1"/>
  <c r="A39338" i="1"/>
  <c r="B39338" i="1"/>
  <c r="A39339" i="1"/>
  <c r="B39339" i="1"/>
  <c r="A39340" i="1"/>
  <c r="B39340" i="1"/>
  <c r="A39341" i="1"/>
  <c r="B39341" i="1"/>
  <c r="A39342" i="1"/>
  <c r="B39342" i="1"/>
  <c r="A39343" i="1"/>
  <c r="B39343" i="1"/>
  <c r="A39344" i="1"/>
  <c r="B39344" i="1"/>
  <c r="A39345" i="1"/>
  <c r="B39345" i="1"/>
  <c r="A39346" i="1"/>
  <c r="B39346" i="1"/>
  <c r="A39347" i="1"/>
  <c r="B39347" i="1"/>
  <c r="A39348" i="1"/>
  <c r="B39348" i="1"/>
  <c r="A39349" i="1"/>
  <c r="B39349" i="1"/>
  <c r="A39350" i="1"/>
  <c r="B39350" i="1"/>
  <c r="A39351" i="1"/>
  <c r="B39351" i="1"/>
  <c r="A39352" i="1"/>
  <c r="B39352" i="1"/>
  <c r="A39353" i="1"/>
  <c r="B39353" i="1"/>
  <c r="A39354" i="1"/>
  <c r="B39354" i="1"/>
  <c r="A39355" i="1"/>
  <c r="B39355" i="1"/>
  <c r="A39356" i="1"/>
  <c r="B39356" i="1"/>
  <c r="A39357" i="1"/>
  <c r="B39357" i="1"/>
  <c r="A39358" i="1"/>
  <c r="B39358" i="1"/>
  <c r="A39359" i="1"/>
  <c r="B39359" i="1"/>
  <c r="A39360" i="1"/>
  <c r="B39360" i="1"/>
  <c r="A39361" i="1"/>
  <c r="B39361" i="1"/>
  <c r="A39362" i="1"/>
  <c r="B39362" i="1"/>
  <c r="A39363" i="1"/>
  <c r="B39363" i="1"/>
  <c r="A39364" i="1"/>
  <c r="B39364" i="1"/>
  <c r="A39365" i="1"/>
  <c r="B39365" i="1"/>
  <c r="A39366" i="1"/>
  <c r="B39366" i="1"/>
  <c r="A39367" i="1"/>
  <c r="B39367" i="1"/>
  <c r="A39368" i="1"/>
  <c r="B39368" i="1"/>
  <c r="A39369" i="1"/>
  <c r="B39369" i="1"/>
  <c r="A39370" i="1"/>
  <c r="B39370" i="1"/>
  <c r="A39371" i="1"/>
  <c r="B39371" i="1"/>
  <c r="A39372" i="1"/>
  <c r="B39372" i="1"/>
  <c r="A39373" i="1"/>
  <c r="B39373" i="1"/>
  <c r="A39374" i="1"/>
  <c r="B39374" i="1"/>
  <c r="A39375" i="1"/>
  <c r="B39375" i="1"/>
  <c r="A39376" i="1"/>
  <c r="B39376" i="1"/>
  <c r="A39377" i="1"/>
  <c r="B39377" i="1"/>
  <c r="A39378" i="1"/>
  <c r="B39378" i="1"/>
  <c r="A39379" i="1"/>
  <c r="B39379" i="1"/>
  <c r="A39380" i="1"/>
  <c r="B39380" i="1"/>
  <c r="A39381" i="1"/>
  <c r="B39381" i="1"/>
  <c r="A39382" i="1"/>
  <c r="B39382" i="1"/>
  <c r="A39383" i="1"/>
  <c r="B39383" i="1"/>
  <c r="A39384" i="1"/>
  <c r="B39384" i="1"/>
  <c r="A39385" i="1"/>
  <c r="B39385" i="1"/>
  <c r="A39386" i="1"/>
  <c r="B39386" i="1"/>
  <c r="A39387" i="1"/>
  <c r="B39387" i="1"/>
  <c r="A39388" i="1"/>
  <c r="B39388" i="1"/>
  <c r="A39389" i="1"/>
  <c r="B39389" i="1"/>
  <c r="A39390" i="1"/>
  <c r="B39390" i="1"/>
  <c r="A39391" i="1"/>
  <c r="B39391" i="1"/>
  <c r="A39392" i="1"/>
  <c r="B39392" i="1"/>
  <c r="A39393" i="1"/>
  <c r="B39393" i="1"/>
  <c r="A39394" i="1"/>
  <c r="B39394" i="1"/>
  <c r="A39395" i="1"/>
  <c r="B39395" i="1"/>
  <c r="A39396" i="1"/>
  <c r="B39396" i="1"/>
  <c r="A39397" i="1"/>
  <c r="B39397" i="1"/>
  <c r="A39398" i="1"/>
  <c r="B39398" i="1"/>
  <c r="A39399" i="1"/>
  <c r="B39399" i="1"/>
  <c r="A39400" i="1"/>
  <c r="B39400" i="1"/>
  <c r="A39401" i="1"/>
  <c r="B39401" i="1"/>
  <c r="A39402" i="1"/>
  <c r="B39402" i="1"/>
  <c r="A39403" i="1"/>
  <c r="B39403" i="1"/>
  <c r="A39404" i="1"/>
  <c r="B39404" i="1"/>
  <c r="A39405" i="1"/>
  <c r="B39405" i="1"/>
  <c r="A39406" i="1"/>
  <c r="B39406" i="1"/>
  <c r="A39407" i="1"/>
  <c r="B39407" i="1"/>
  <c r="A39408" i="1"/>
  <c r="B39408" i="1"/>
  <c r="A39409" i="1"/>
  <c r="B39409" i="1"/>
  <c r="A39410" i="1"/>
  <c r="B39410" i="1"/>
  <c r="A39411" i="1"/>
  <c r="B39411" i="1"/>
  <c r="A39412" i="1"/>
  <c r="B39412" i="1"/>
  <c r="A39413" i="1"/>
  <c r="B39413" i="1"/>
  <c r="A39414" i="1"/>
  <c r="B39414" i="1"/>
  <c r="A39415" i="1"/>
  <c r="B39415" i="1"/>
  <c r="A39416" i="1"/>
  <c r="B39416" i="1"/>
  <c r="A39417" i="1"/>
  <c r="B39417" i="1"/>
  <c r="A39418" i="1"/>
  <c r="B39418" i="1"/>
  <c r="A39419" i="1"/>
  <c r="B39419" i="1"/>
  <c r="A39420" i="1"/>
  <c r="B39420" i="1"/>
  <c r="A39421" i="1"/>
  <c r="B39421" i="1"/>
  <c r="A39422" i="1"/>
  <c r="B39422" i="1"/>
  <c r="A39423" i="1"/>
  <c r="B39423" i="1"/>
  <c r="A39424" i="1"/>
  <c r="B39424" i="1"/>
  <c r="A39425" i="1"/>
  <c r="B39425" i="1"/>
  <c r="A39426" i="1"/>
  <c r="B39426" i="1"/>
  <c r="A39427" i="1"/>
  <c r="B39427" i="1"/>
  <c r="A39428" i="1"/>
  <c r="B39428" i="1"/>
  <c r="A39429" i="1"/>
  <c r="B39429" i="1"/>
  <c r="A39430" i="1"/>
  <c r="B39430" i="1"/>
  <c r="A39431" i="1"/>
  <c r="B39431" i="1"/>
  <c r="A39432" i="1"/>
  <c r="B39432" i="1"/>
  <c r="A39433" i="1"/>
  <c r="B39433" i="1"/>
  <c r="A39434" i="1"/>
  <c r="B39434" i="1"/>
  <c r="A39435" i="1"/>
  <c r="B39435" i="1"/>
  <c r="A39436" i="1"/>
  <c r="B39436" i="1"/>
  <c r="A39437" i="1"/>
  <c r="B39437" i="1"/>
  <c r="A39438" i="1"/>
  <c r="B39438" i="1"/>
  <c r="A39439" i="1"/>
  <c r="B39439" i="1"/>
  <c r="A39440" i="1"/>
  <c r="B39440" i="1"/>
  <c r="A39441" i="1"/>
  <c r="B39441" i="1"/>
  <c r="A39442" i="1"/>
  <c r="B39442" i="1"/>
  <c r="A39443" i="1"/>
  <c r="B39443" i="1"/>
  <c r="A39444" i="1"/>
  <c r="B39444" i="1"/>
  <c r="A39445" i="1"/>
  <c r="B39445" i="1"/>
  <c r="A39446" i="1"/>
  <c r="B39446" i="1"/>
  <c r="A39447" i="1"/>
  <c r="B39447" i="1"/>
  <c r="A39448" i="1"/>
  <c r="B39448" i="1"/>
  <c r="A39449" i="1"/>
  <c r="B39449" i="1"/>
  <c r="A39450" i="1"/>
  <c r="B39450" i="1"/>
  <c r="A39451" i="1"/>
  <c r="B39451" i="1"/>
  <c r="A39452" i="1"/>
  <c r="B39452" i="1"/>
  <c r="A39453" i="1"/>
  <c r="B39453" i="1"/>
  <c r="A39454" i="1"/>
  <c r="B39454" i="1"/>
  <c r="A39455" i="1"/>
  <c r="B39455" i="1"/>
  <c r="A39456" i="1"/>
  <c r="B39456" i="1"/>
  <c r="A39457" i="1"/>
  <c r="B39457" i="1"/>
  <c r="A39458" i="1"/>
  <c r="B39458" i="1"/>
  <c r="A39459" i="1"/>
  <c r="B39459" i="1"/>
  <c r="A39460" i="1"/>
  <c r="B39460" i="1"/>
  <c r="A39461" i="1"/>
  <c r="B39461" i="1"/>
  <c r="A39462" i="1"/>
  <c r="B39462" i="1"/>
  <c r="A39463" i="1"/>
  <c r="B39463" i="1"/>
  <c r="A39464" i="1"/>
  <c r="B39464" i="1"/>
  <c r="A39465" i="1"/>
  <c r="B39465" i="1"/>
  <c r="A39466" i="1"/>
  <c r="B39466" i="1"/>
  <c r="A39467" i="1"/>
  <c r="B39467" i="1"/>
  <c r="A39468" i="1"/>
  <c r="B39468" i="1"/>
  <c r="A39469" i="1"/>
  <c r="B39469" i="1"/>
  <c r="A39470" i="1"/>
  <c r="B39470" i="1"/>
  <c r="A39471" i="1"/>
  <c r="B39471" i="1"/>
  <c r="A39472" i="1"/>
  <c r="B39472" i="1"/>
  <c r="A39473" i="1"/>
  <c r="B39473" i="1"/>
  <c r="A39474" i="1"/>
  <c r="B39474" i="1"/>
  <c r="A39475" i="1"/>
  <c r="B39475" i="1"/>
  <c r="A39476" i="1"/>
  <c r="B39476" i="1"/>
  <c r="A39477" i="1"/>
  <c r="B39477" i="1"/>
  <c r="A39478" i="1"/>
  <c r="B39478" i="1"/>
  <c r="A39479" i="1"/>
  <c r="B39479" i="1"/>
  <c r="A39480" i="1"/>
  <c r="B39480" i="1"/>
  <c r="A39481" i="1"/>
  <c r="B39481" i="1"/>
  <c r="A39482" i="1"/>
  <c r="B39482" i="1"/>
  <c r="A39483" i="1"/>
  <c r="B39483" i="1"/>
  <c r="A39484" i="1"/>
  <c r="B39484" i="1"/>
  <c r="A39485" i="1"/>
  <c r="B39485" i="1"/>
  <c r="A39486" i="1"/>
  <c r="B39486" i="1"/>
  <c r="A39487" i="1"/>
  <c r="B39487" i="1"/>
  <c r="A39488" i="1"/>
  <c r="B39488" i="1"/>
  <c r="A39489" i="1"/>
  <c r="B39489" i="1"/>
  <c r="A39490" i="1"/>
  <c r="B39490" i="1"/>
  <c r="A39491" i="1"/>
  <c r="B39491" i="1"/>
  <c r="A39492" i="1"/>
  <c r="B39492" i="1"/>
  <c r="A39493" i="1"/>
  <c r="B39493" i="1"/>
  <c r="A39494" i="1"/>
  <c r="B39494" i="1"/>
  <c r="A39495" i="1"/>
  <c r="B39495" i="1"/>
  <c r="A39496" i="1"/>
  <c r="B39496" i="1"/>
  <c r="A39497" i="1"/>
  <c r="B39497" i="1"/>
  <c r="A39498" i="1"/>
  <c r="B39498" i="1"/>
  <c r="A39499" i="1"/>
  <c r="B39499" i="1"/>
  <c r="A39500" i="1"/>
  <c r="B39500" i="1"/>
  <c r="A39501" i="1"/>
  <c r="B39501" i="1"/>
  <c r="A39502" i="1"/>
  <c r="B39502" i="1"/>
  <c r="A39503" i="1"/>
  <c r="B39503" i="1"/>
  <c r="A39504" i="1"/>
  <c r="B39504" i="1"/>
  <c r="A39505" i="1"/>
  <c r="B39505" i="1"/>
  <c r="A39506" i="1"/>
  <c r="B39506" i="1"/>
  <c r="A39507" i="1"/>
  <c r="B39507" i="1"/>
  <c r="A39508" i="1"/>
  <c r="B39508" i="1"/>
  <c r="A39509" i="1"/>
  <c r="B39509" i="1"/>
  <c r="A39510" i="1"/>
  <c r="B39510" i="1"/>
  <c r="A39511" i="1"/>
  <c r="B39511" i="1"/>
  <c r="A39512" i="1"/>
  <c r="B39512" i="1"/>
  <c r="A39513" i="1"/>
  <c r="B39513" i="1"/>
  <c r="A39514" i="1"/>
  <c r="B39514" i="1"/>
  <c r="A39515" i="1"/>
  <c r="B39515" i="1"/>
  <c r="A39516" i="1"/>
  <c r="B39516" i="1"/>
  <c r="A39517" i="1"/>
  <c r="B39517" i="1"/>
  <c r="A39518" i="1"/>
  <c r="B39518" i="1"/>
  <c r="A39519" i="1"/>
  <c r="B39519" i="1"/>
  <c r="A39520" i="1"/>
  <c r="B39520" i="1"/>
  <c r="A39521" i="1"/>
  <c r="B39521" i="1"/>
  <c r="A39522" i="1"/>
  <c r="B39522" i="1"/>
  <c r="A39523" i="1"/>
  <c r="B39523" i="1"/>
  <c r="A39524" i="1"/>
  <c r="B39524" i="1"/>
  <c r="A39525" i="1"/>
  <c r="B39525" i="1"/>
  <c r="A39526" i="1"/>
  <c r="B39526" i="1"/>
  <c r="A39527" i="1"/>
  <c r="B39527" i="1"/>
  <c r="A39528" i="1"/>
  <c r="B39528" i="1"/>
  <c r="A39529" i="1"/>
  <c r="B39529" i="1"/>
  <c r="A39530" i="1"/>
  <c r="B39530" i="1"/>
  <c r="A39531" i="1"/>
  <c r="B39531" i="1"/>
  <c r="A39532" i="1"/>
  <c r="B39532" i="1"/>
  <c r="A39533" i="1"/>
  <c r="B39533" i="1"/>
  <c r="A39534" i="1"/>
  <c r="B39534" i="1"/>
  <c r="A39535" i="1"/>
  <c r="B39535" i="1"/>
  <c r="A39536" i="1"/>
  <c r="B39536" i="1"/>
  <c r="A39537" i="1"/>
  <c r="B39537" i="1"/>
  <c r="A39538" i="1"/>
  <c r="B39538" i="1"/>
  <c r="A39539" i="1"/>
  <c r="B39539" i="1"/>
  <c r="A39540" i="1"/>
  <c r="B39540" i="1"/>
  <c r="A39541" i="1"/>
  <c r="B39541" i="1"/>
  <c r="A39542" i="1"/>
  <c r="B39542" i="1"/>
  <c r="A39543" i="1"/>
  <c r="B39543" i="1"/>
  <c r="A39544" i="1"/>
  <c r="B39544" i="1"/>
  <c r="A39545" i="1"/>
  <c r="B39545" i="1"/>
  <c r="A39546" i="1"/>
  <c r="B39546" i="1"/>
  <c r="A39547" i="1"/>
  <c r="B39547" i="1"/>
  <c r="A39548" i="1"/>
  <c r="B39548" i="1"/>
  <c r="A39549" i="1"/>
  <c r="B39549" i="1"/>
  <c r="A39550" i="1"/>
  <c r="B39550" i="1"/>
  <c r="A39551" i="1"/>
  <c r="B39551" i="1"/>
  <c r="A39552" i="1"/>
  <c r="B39552" i="1"/>
  <c r="A39553" i="1"/>
  <c r="B39553" i="1"/>
  <c r="A39554" i="1"/>
  <c r="B39554" i="1"/>
  <c r="A39555" i="1"/>
  <c r="B39555" i="1"/>
  <c r="A39556" i="1"/>
  <c r="B39556" i="1"/>
  <c r="A39557" i="1"/>
  <c r="B39557" i="1"/>
  <c r="A39558" i="1"/>
  <c r="B39558" i="1"/>
  <c r="A39559" i="1"/>
  <c r="B39559" i="1"/>
  <c r="A39560" i="1"/>
  <c r="B39560" i="1"/>
  <c r="A39561" i="1"/>
  <c r="B39561" i="1"/>
  <c r="A39562" i="1"/>
  <c r="B39562" i="1"/>
  <c r="A39563" i="1"/>
  <c r="B39563" i="1"/>
  <c r="A39564" i="1"/>
  <c r="B39564" i="1"/>
  <c r="A39565" i="1"/>
  <c r="B39565" i="1"/>
  <c r="A39566" i="1"/>
  <c r="B39566" i="1"/>
  <c r="A39567" i="1"/>
  <c r="B39567" i="1"/>
  <c r="A39568" i="1"/>
  <c r="B39568" i="1"/>
  <c r="A39569" i="1"/>
  <c r="B39569" i="1"/>
  <c r="A39570" i="1"/>
  <c r="B39570" i="1"/>
  <c r="A39571" i="1"/>
  <c r="B39571" i="1"/>
  <c r="A39572" i="1"/>
  <c r="B39572" i="1"/>
  <c r="A39573" i="1"/>
  <c r="B39573" i="1"/>
  <c r="A39574" i="1"/>
  <c r="B39574" i="1"/>
  <c r="A39575" i="1"/>
  <c r="B39575" i="1"/>
  <c r="A39576" i="1"/>
  <c r="B39576" i="1"/>
  <c r="A39577" i="1"/>
  <c r="B39577" i="1"/>
  <c r="A39578" i="1"/>
  <c r="B39578" i="1"/>
  <c r="A39579" i="1"/>
  <c r="B39579" i="1"/>
  <c r="A39580" i="1"/>
  <c r="B39580" i="1"/>
  <c r="A39581" i="1"/>
  <c r="B39581" i="1"/>
  <c r="A39582" i="1"/>
  <c r="B39582" i="1"/>
  <c r="A39583" i="1"/>
  <c r="B39583" i="1"/>
  <c r="A39584" i="1"/>
  <c r="B39584" i="1"/>
  <c r="A39585" i="1"/>
  <c r="B39585" i="1"/>
  <c r="A39586" i="1"/>
  <c r="B39586" i="1"/>
  <c r="A39587" i="1"/>
  <c r="B39587" i="1"/>
  <c r="A39588" i="1"/>
  <c r="B39588" i="1"/>
  <c r="A39589" i="1"/>
  <c r="B39589" i="1"/>
  <c r="A39590" i="1"/>
  <c r="B39590" i="1"/>
  <c r="A39591" i="1"/>
  <c r="B39591" i="1"/>
  <c r="A39592" i="1"/>
  <c r="B39592" i="1"/>
  <c r="A39593" i="1"/>
  <c r="B39593" i="1"/>
  <c r="A39594" i="1"/>
  <c r="B39594" i="1"/>
  <c r="A39595" i="1"/>
  <c r="B39595" i="1"/>
  <c r="A39596" i="1"/>
  <c r="B39596" i="1"/>
  <c r="A39597" i="1"/>
  <c r="B39597" i="1"/>
  <c r="A39598" i="1"/>
  <c r="B39598" i="1"/>
  <c r="A39599" i="1"/>
  <c r="B39599" i="1"/>
  <c r="A39600" i="1"/>
  <c r="B39600" i="1"/>
  <c r="A39601" i="1"/>
  <c r="B39601" i="1"/>
  <c r="A39602" i="1"/>
  <c r="B39602" i="1"/>
  <c r="A39603" i="1"/>
  <c r="B39603" i="1"/>
  <c r="A39604" i="1"/>
  <c r="B39604" i="1"/>
  <c r="A39605" i="1"/>
  <c r="B39605" i="1"/>
  <c r="A39606" i="1"/>
  <c r="B39606" i="1"/>
  <c r="A39607" i="1"/>
  <c r="B39607" i="1"/>
  <c r="A39608" i="1"/>
  <c r="B39608" i="1"/>
  <c r="A39609" i="1"/>
  <c r="B39609" i="1"/>
  <c r="A39610" i="1"/>
  <c r="B39610" i="1"/>
  <c r="A39611" i="1"/>
  <c r="B39611" i="1"/>
  <c r="A39612" i="1"/>
  <c r="B39612" i="1"/>
  <c r="A39613" i="1"/>
  <c r="B39613" i="1"/>
  <c r="A39614" i="1"/>
  <c r="B39614" i="1"/>
  <c r="A39615" i="1"/>
  <c r="B39615" i="1"/>
  <c r="A39616" i="1"/>
  <c r="B39616" i="1"/>
  <c r="A39617" i="1"/>
  <c r="B39617" i="1"/>
  <c r="A39618" i="1"/>
  <c r="B39618" i="1"/>
  <c r="A39619" i="1"/>
  <c r="B39619" i="1"/>
  <c r="A39620" i="1"/>
  <c r="B39620" i="1"/>
  <c r="A39621" i="1"/>
  <c r="B39621" i="1"/>
  <c r="A39622" i="1"/>
  <c r="B39622" i="1"/>
  <c r="A39623" i="1"/>
  <c r="B39623" i="1"/>
  <c r="A39624" i="1"/>
  <c r="B39624" i="1"/>
  <c r="A39625" i="1"/>
  <c r="B39625" i="1"/>
  <c r="A39626" i="1"/>
  <c r="B39626" i="1"/>
  <c r="A39627" i="1"/>
  <c r="B39627" i="1"/>
  <c r="A39628" i="1"/>
  <c r="B39628" i="1"/>
  <c r="A39629" i="1"/>
  <c r="B39629" i="1"/>
  <c r="A39630" i="1"/>
  <c r="B39630" i="1"/>
  <c r="A39631" i="1"/>
  <c r="B39631" i="1"/>
  <c r="A39632" i="1"/>
  <c r="B39632" i="1"/>
  <c r="A39633" i="1"/>
  <c r="B39633" i="1"/>
  <c r="A39634" i="1"/>
  <c r="B39634" i="1"/>
  <c r="A39635" i="1"/>
  <c r="B39635" i="1"/>
  <c r="A39636" i="1"/>
  <c r="B39636" i="1"/>
  <c r="A39637" i="1"/>
  <c r="B39637" i="1"/>
  <c r="A39638" i="1"/>
  <c r="B39638" i="1"/>
  <c r="A39639" i="1"/>
  <c r="B39639" i="1"/>
  <c r="A39640" i="1"/>
  <c r="B39640" i="1"/>
  <c r="A39641" i="1"/>
  <c r="B39641" i="1"/>
  <c r="A39642" i="1"/>
  <c r="B39642" i="1"/>
  <c r="A39643" i="1"/>
  <c r="B39643" i="1"/>
  <c r="A39644" i="1"/>
  <c r="B39644" i="1"/>
  <c r="A39645" i="1"/>
  <c r="B39645" i="1"/>
  <c r="A39646" i="1"/>
  <c r="B39646" i="1"/>
  <c r="A39647" i="1"/>
  <c r="B39647" i="1"/>
  <c r="A39648" i="1"/>
  <c r="B39648" i="1"/>
  <c r="A39649" i="1"/>
  <c r="B39649" i="1"/>
  <c r="A39650" i="1"/>
  <c r="B39650" i="1"/>
  <c r="A39651" i="1"/>
  <c r="B39651" i="1"/>
  <c r="A39652" i="1"/>
  <c r="B39652" i="1"/>
  <c r="A39653" i="1"/>
  <c r="B39653" i="1"/>
  <c r="A39654" i="1"/>
  <c r="B39654" i="1"/>
  <c r="A39655" i="1"/>
  <c r="B39655" i="1"/>
  <c r="A39656" i="1"/>
  <c r="B39656" i="1"/>
  <c r="A39657" i="1"/>
  <c r="B39657" i="1"/>
  <c r="A39658" i="1"/>
  <c r="B39658" i="1"/>
  <c r="A39659" i="1"/>
  <c r="B39659" i="1"/>
  <c r="A39660" i="1"/>
  <c r="B39660" i="1"/>
  <c r="A39661" i="1"/>
  <c r="B39661" i="1"/>
  <c r="A39662" i="1"/>
  <c r="B39662" i="1"/>
  <c r="A39663" i="1"/>
  <c r="B39663" i="1"/>
  <c r="A39664" i="1"/>
  <c r="B39664" i="1"/>
  <c r="A39665" i="1"/>
  <c r="B39665" i="1"/>
  <c r="A39666" i="1"/>
  <c r="B39666" i="1"/>
  <c r="A39667" i="1"/>
  <c r="B39667" i="1"/>
  <c r="A39668" i="1"/>
  <c r="B39668" i="1"/>
  <c r="A39669" i="1"/>
  <c r="B39669" i="1"/>
  <c r="A39670" i="1"/>
  <c r="B39670" i="1"/>
  <c r="A39671" i="1"/>
  <c r="B39671" i="1"/>
  <c r="A39672" i="1"/>
  <c r="B39672" i="1"/>
  <c r="A39673" i="1"/>
  <c r="B39673" i="1"/>
  <c r="A39674" i="1"/>
  <c r="B39674" i="1"/>
  <c r="A39675" i="1"/>
  <c r="B39675" i="1"/>
  <c r="A39676" i="1"/>
  <c r="B39676" i="1"/>
  <c r="A39677" i="1"/>
  <c r="B39677" i="1"/>
  <c r="A39678" i="1"/>
  <c r="B39678" i="1"/>
  <c r="A39679" i="1"/>
  <c r="B39679" i="1"/>
  <c r="A39680" i="1"/>
  <c r="B39680" i="1"/>
  <c r="A39681" i="1"/>
  <c r="B39681" i="1"/>
  <c r="A39682" i="1"/>
  <c r="B39682" i="1"/>
  <c r="A39683" i="1"/>
  <c r="B39683" i="1"/>
  <c r="A39684" i="1"/>
  <c r="B39684" i="1"/>
  <c r="A39685" i="1"/>
  <c r="B39685" i="1"/>
  <c r="A39686" i="1"/>
  <c r="B39686" i="1"/>
  <c r="A39687" i="1"/>
  <c r="B39687" i="1"/>
  <c r="A39688" i="1"/>
  <c r="B39688" i="1"/>
  <c r="A39689" i="1"/>
  <c r="B39689" i="1"/>
  <c r="A39690" i="1"/>
  <c r="B39690" i="1"/>
  <c r="A39691" i="1"/>
  <c r="B39691" i="1"/>
  <c r="A39692" i="1"/>
  <c r="B39692" i="1"/>
  <c r="A39693" i="1"/>
  <c r="B39693" i="1"/>
  <c r="A39694" i="1"/>
  <c r="B39694" i="1"/>
  <c r="A39695" i="1"/>
  <c r="B39695" i="1"/>
  <c r="A39696" i="1"/>
  <c r="B39696" i="1"/>
  <c r="A39697" i="1"/>
  <c r="B39697" i="1"/>
  <c r="A39698" i="1"/>
  <c r="B39698" i="1"/>
  <c r="A39699" i="1"/>
  <c r="B39699" i="1"/>
  <c r="A39700" i="1"/>
  <c r="B39700" i="1"/>
  <c r="A39701" i="1"/>
  <c r="B39701" i="1"/>
  <c r="A39702" i="1"/>
  <c r="B39702" i="1"/>
  <c r="A39703" i="1"/>
  <c r="B39703" i="1"/>
  <c r="A39704" i="1"/>
  <c r="B39704" i="1"/>
  <c r="A39705" i="1"/>
  <c r="B39705" i="1"/>
  <c r="A39706" i="1"/>
  <c r="B39706" i="1"/>
  <c r="A39707" i="1"/>
  <c r="B39707" i="1"/>
  <c r="A39708" i="1"/>
  <c r="B39708" i="1"/>
  <c r="A39709" i="1"/>
  <c r="B39709" i="1"/>
  <c r="A39710" i="1"/>
  <c r="B39710" i="1"/>
  <c r="A39711" i="1"/>
  <c r="B39711" i="1"/>
  <c r="A39712" i="1"/>
  <c r="B39712" i="1"/>
  <c r="A39713" i="1"/>
  <c r="B39713" i="1"/>
  <c r="A39714" i="1"/>
  <c r="B39714" i="1"/>
  <c r="A39715" i="1"/>
  <c r="B39715" i="1"/>
  <c r="A39716" i="1"/>
  <c r="B39716" i="1"/>
  <c r="A39717" i="1"/>
  <c r="B39717" i="1"/>
  <c r="A39718" i="1"/>
  <c r="B39718" i="1"/>
  <c r="A39719" i="1"/>
  <c r="B39719" i="1"/>
  <c r="A39720" i="1"/>
  <c r="B39720" i="1"/>
  <c r="A39721" i="1"/>
  <c r="B39721" i="1"/>
  <c r="A39722" i="1"/>
  <c r="B39722" i="1"/>
  <c r="A39723" i="1"/>
  <c r="B39723" i="1"/>
  <c r="A39724" i="1"/>
  <c r="B39724" i="1"/>
  <c r="A39725" i="1"/>
  <c r="B39725" i="1"/>
  <c r="A39726" i="1"/>
  <c r="B39726" i="1"/>
  <c r="A39727" i="1"/>
  <c r="B39727" i="1"/>
  <c r="A39728" i="1"/>
  <c r="B39728" i="1"/>
  <c r="A39729" i="1"/>
  <c r="B39729" i="1"/>
  <c r="A39730" i="1"/>
  <c r="B39730" i="1"/>
  <c r="A39731" i="1"/>
  <c r="B39731" i="1"/>
  <c r="A39732" i="1"/>
  <c r="B39732" i="1"/>
  <c r="A39733" i="1"/>
  <c r="B39733" i="1"/>
  <c r="A39734" i="1"/>
  <c r="B39734" i="1"/>
  <c r="A39735" i="1"/>
  <c r="B39735" i="1"/>
  <c r="A39736" i="1"/>
  <c r="B39736" i="1"/>
  <c r="A39737" i="1"/>
  <c r="B39737" i="1"/>
  <c r="A39738" i="1"/>
  <c r="B39738" i="1"/>
  <c r="A39739" i="1"/>
  <c r="B39739" i="1"/>
  <c r="A39740" i="1"/>
  <c r="B39740" i="1"/>
  <c r="A39741" i="1"/>
  <c r="B39741" i="1"/>
  <c r="A39742" i="1"/>
  <c r="B39742" i="1"/>
  <c r="A39743" i="1"/>
  <c r="B39743" i="1"/>
  <c r="A39744" i="1"/>
  <c r="B39744" i="1"/>
  <c r="A39745" i="1"/>
  <c r="B39745" i="1"/>
  <c r="A39746" i="1"/>
  <c r="B39746" i="1"/>
  <c r="A39747" i="1"/>
  <c r="B39747" i="1"/>
  <c r="A39748" i="1"/>
  <c r="B39748" i="1"/>
  <c r="A39749" i="1"/>
  <c r="B39749" i="1"/>
  <c r="A39750" i="1"/>
  <c r="B39750" i="1"/>
  <c r="A39751" i="1"/>
  <c r="B39751" i="1"/>
  <c r="A39752" i="1"/>
  <c r="B39752" i="1"/>
  <c r="A39753" i="1"/>
  <c r="B39753" i="1"/>
  <c r="A39754" i="1"/>
  <c r="B39754" i="1"/>
  <c r="A39755" i="1"/>
  <c r="B39755" i="1"/>
  <c r="A39756" i="1"/>
  <c r="B39756" i="1"/>
  <c r="A39757" i="1"/>
  <c r="B39757" i="1"/>
  <c r="A39758" i="1"/>
  <c r="B39758" i="1"/>
  <c r="A39759" i="1"/>
  <c r="B39759" i="1"/>
  <c r="A39760" i="1"/>
  <c r="B39760" i="1"/>
  <c r="A39761" i="1"/>
  <c r="B39761" i="1"/>
  <c r="A39762" i="1"/>
  <c r="B39762" i="1"/>
  <c r="A39763" i="1"/>
  <c r="B39763" i="1"/>
  <c r="A39764" i="1"/>
  <c r="B39764" i="1"/>
  <c r="A39765" i="1"/>
  <c r="B39765" i="1"/>
  <c r="A39766" i="1"/>
  <c r="B39766" i="1"/>
  <c r="A39767" i="1"/>
  <c r="B39767" i="1"/>
  <c r="A39768" i="1"/>
  <c r="B39768" i="1"/>
  <c r="A39769" i="1"/>
  <c r="B39769" i="1"/>
  <c r="A39770" i="1"/>
  <c r="B39770" i="1"/>
  <c r="A39771" i="1"/>
  <c r="B39771" i="1"/>
  <c r="A39772" i="1"/>
  <c r="B39772" i="1"/>
  <c r="A39773" i="1"/>
  <c r="B39773" i="1"/>
  <c r="A39774" i="1"/>
  <c r="B39774" i="1"/>
  <c r="A39775" i="1"/>
  <c r="B39775" i="1"/>
  <c r="A39776" i="1"/>
  <c r="B39776" i="1"/>
  <c r="A39777" i="1"/>
  <c r="B39777" i="1"/>
  <c r="A39778" i="1"/>
  <c r="B39778" i="1"/>
  <c r="A39779" i="1"/>
  <c r="B39779" i="1"/>
  <c r="A39780" i="1"/>
  <c r="B39780" i="1"/>
  <c r="A39781" i="1"/>
  <c r="B39781" i="1"/>
  <c r="A39782" i="1"/>
  <c r="B39782" i="1"/>
  <c r="A39783" i="1"/>
  <c r="B39783" i="1"/>
  <c r="A39784" i="1"/>
  <c r="B39784" i="1"/>
  <c r="A39785" i="1"/>
  <c r="B39785" i="1"/>
  <c r="A39786" i="1"/>
  <c r="B39786" i="1"/>
  <c r="A39787" i="1"/>
  <c r="B39787" i="1"/>
  <c r="A39788" i="1"/>
  <c r="B39788" i="1"/>
  <c r="A39789" i="1"/>
  <c r="B39789" i="1"/>
  <c r="A39790" i="1"/>
  <c r="B39790" i="1"/>
  <c r="A39791" i="1"/>
  <c r="B39791" i="1"/>
  <c r="A39792" i="1"/>
  <c r="B39792" i="1"/>
  <c r="A39793" i="1"/>
  <c r="B39793" i="1"/>
  <c r="A39794" i="1"/>
  <c r="B39794" i="1"/>
  <c r="A39795" i="1"/>
  <c r="B39795" i="1"/>
  <c r="A39796" i="1"/>
  <c r="B39796" i="1"/>
  <c r="A39797" i="1"/>
  <c r="B39797" i="1"/>
  <c r="A39798" i="1"/>
  <c r="B39798" i="1"/>
  <c r="A39799" i="1"/>
  <c r="B39799" i="1"/>
  <c r="A39800" i="1"/>
  <c r="B39800" i="1"/>
  <c r="A39801" i="1"/>
  <c r="B39801" i="1"/>
  <c r="A39802" i="1"/>
  <c r="B39802" i="1"/>
  <c r="A39803" i="1"/>
  <c r="B39803" i="1"/>
  <c r="A39804" i="1"/>
  <c r="B39804" i="1"/>
  <c r="A39805" i="1"/>
  <c r="B39805" i="1"/>
  <c r="A39806" i="1"/>
  <c r="B39806" i="1"/>
  <c r="A39807" i="1"/>
  <c r="B39807" i="1"/>
  <c r="A39808" i="1"/>
  <c r="B39808" i="1"/>
  <c r="A39809" i="1"/>
  <c r="B39809" i="1"/>
  <c r="A39810" i="1"/>
  <c r="B39810" i="1"/>
  <c r="A39811" i="1"/>
  <c r="B39811" i="1"/>
  <c r="A39812" i="1"/>
  <c r="B39812" i="1"/>
  <c r="A39813" i="1"/>
  <c r="B39813" i="1"/>
  <c r="A39814" i="1"/>
  <c r="B39814" i="1"/>
  <c r="A39815" i="1"/>
  <c r="B39815" i="1"/>
  <c r="A39816" i="1"/>
  <c r="B39816" i="1"/>
  <c r="A39817" i="1"/>
  <c r="B39817" i="1"/>
  <c r="A39818" i="1"/>
  <c r="B39818" i="1"/>
  <c r="A39819" i="1"/>
  <c r="B39819" i="1"/>
  <c r="A39820" i="1"/>
  <c r="B39820" i="1"/>
  <c r="A39821" i="1"/>
  <c r="B39821" i="1"/>
  <c r="A39822" i="1"/>
  <c r="B39822" i="1"/>
  <c r="A39823" i="1"/>
  <c r="B39823" i="1"/>
  <c r="A39824" i="1"/>
  <c r="B39824" i="1"/>
  <c r="A39825" i="1"/>
  <c r="B39825" i="1"/>
  <c r="A39826" i="1"/>
  <c r="B39826" i="1"/>
  <c r="A39827" i="1"/>
  <c r="B39827" i="1"/>
  <c r="A39828" i="1"/>
  <c r="B39828" i="1"/>
  <c r="A39829" i="1"/>
  <c r="B39829" i="1"/>
  <c r="A39830" i="1"/>
  <c r="B39830" i="1"/>
  <c r="A39831" i="1"/>
  <c r="B39831" i="1"/>
  <c r="A39832" i="1"/>
  <c r="B39832" i="1"/>
  <c r="A39833" i="1"/>
  <c r="B39833" i="1"/>
  <c r="A39834" i="1"/>
  <c r="B39834" i="1"/>
  <c r="A39835" i="1"/>
  <c r="B39835" i="1"/>
  <c r="A39836" i="1"/>
  <c r="B39836" i="1"/>
  <c r="A39837" i="1"/>
  <c r="B39837" i="1"/>
  <c r="A39838" i="1"/>
  <c r="B39838" i="1"/>
  <c r="A39839" i="1"/>
  <c r="B39839" i="1"/>
  <c r="A39840" i="1"/>
  <c r="B39840" i="1"/>
  <c r="A39841" i="1"/>
  <c r="B39841" i="1"/>
  <c r="A39842" i="1"/>
  <c r="B39842" i="1"/>
  <c r="A39843" i="1"/>
  <c r="B39843" i="1"/>
  <c r="A39844" i="1"/>
  <c r="B39844" i="1"/>
  <c r="A39845" i="1"/>
  <c r="B39845" i="1"/>
  <c r="A39846" i="1"/>
  <c r="B39846" i="1"/>
  <c r="A39847" i="1"/>
  <c r="B39847" i="1"/>
  <c r="A39848" i="1"/>
  <c r="B39848" i="1"/>
  <c r="A39849" i="1"/>
  <c r="B39849" i="1"/>
  <c r="A39850" i="1"/>
  <c r="B39850" i="1"/>
  <c r="A39851" i="1"/>
  <c r="B39851" i="1"/>
  <c r="A39852" i="1"/>
  <c r="B39852" i="1"/>
  <c r="A39853" i="1"/>
  <c r="B39853" i="1"/>
  <c r="A39854" i="1"/>
  <c r="B39854" i="1"/>
  <c r="A39855" i="1"/>
  <c r="B39855" i="1"/>
  <c r="A39856" i="1"/>
  <c r="B39856" i="1"/>
  <c r="A39857" i="1"/>
  <c r="B39857" i="1"/>
  <c r="A39858" i="1"/>
  <c r="B39858" i="1"/>
  <c r="A39859" i="1"/>
  <c r="B39859" i="1"/>
  <c r="A39860" i="1"/>
  <c r="B39860" i="1"/>
  <c r="A39861" i="1"/>
  <c r="B39861" i="1"/>
  <c r="A39862" i="1"/>
  <c r="B39862" i="1"/>
  <c r="A39863" i="1"/>
  <c r="B39863" i="1"/>
  <c r="A39864" i="1"/>
  <c r="B39864" i="1"/>
  <c r="A39865" i="1"/>
  <c r="B39865" i="1"/>
  <c r="A39866" i="1"/>
  <c r="B39866" i="1"/>
  <c r="A39867" i="1"/>
  <c r="B39867" i="1"/>
  <c r="A39868" i="1"/>
  <c r="B39868" i="1"/>
  <c r="A39869" i="1"/>
  <c r="B39869" i="1"/>
  <c r="A39870" i="1"/>
  <c r="B39870" i="1"/>
  <c r="A39871" i="1"/>
  <c r="B39871" i="1"/>
  <c r="A39872" i="1"/>
  <c r="B39872" i="1"/>
  <c r="A39873" i="1"/>
  <c r="B39873" i="1"/>
  <c r="A39874" i="1"/>
  <c r="B39874" i="1"/>
  <c r="A39875" i="1"/>
  <c r="B39875" i="1"/>
  <c r="A39876" i="1"/>
  <c r="B39876" i="1"/>
  <c r="A39877" i="1"/>
  <c r="B39877" i="1"/>
  <c r="A39878" i="1"/>
  <c r="B39878" i="1"/>
  <c r="A39879" i="1"/>
  <c r="B39879" i="1"/>
  <c r="A39880" i="1"/>
  <c r="B39880" i="1"/>
  <c r="A39881" i="1"/>
  <c r="B39881" i="1"/>
  <c r="A39882" i="1"/>
  <c r="B39882" i="1"/>
  <c r="A39883" i="1"/>
  <c r="B39883" i="1"/>
  <c r="A39884" i="1"/>
  <c r="B39884" i="1"/>
  <c r="A39885" i="1"/>
  <c r="B39885" i="1"/>
  <c r="A39886" i="1"/>
  <c r="B39886" i="1"/>
  <c r="A39887" i="1"/>
  <c r="B39887" i="1"/>
  <c r="A39888" i="1"/>
  <c r="B39888" i="1"/>
  <c r="A39889" i="1"/>
  <c r="B39889" i="1"/>
  <c r="A39890" i="1"/>
  <c r="B39890" i="1"/>
  <c r="A39891" i="1"/>
  <c r="B39891" i="1"/>
  <c r="A39892" i="1"/>
  <c r="B39892" i="1"/>
  <c r="A39893" i="1"/>
  <c r="B39893" i="1"/>
  <c r="A39894" i="1"/>
  <c r="B39894" i="1"/>
  <c r="A39895" i="1"/>
  <c r="B39895" i="1"/>
  <c r="A39896" i="1"/>
  <c r="B39896" i="1"/>
  <c r="A39897" i="1"/>
  <c r="B39897" i="1"/>
  <c r="A39898" i="1"/>
  <c r="B39898" i="1"/>
  <c r="A39899" i="1"/>
  <c r="B39899" i="1"/>
  <c r="A39900" i="1"/>
  <c r="B39900" i="1"/>
  <c r="A39901" i="1"/>
  <c r="B39901" i="1"/>
  <c r="A39902" i="1"/>
  <c r="B39902" i="1"/>
  <c r="A39903" i="1"/>
  <c r="B39903" i="1"/>
  <c r="A39904" i="1"/>
  <c r="B39904" i="1"/>
  <c r="A39905" i="1"/>
  <c r="B39905" i="1"/>
  <c r="A39906" i="1"/>
  <c r="B39906" i="1"/>
  <c r="A39907" i="1"/>
  <c r="B39907" i="1"/>
  <c r="A39908" i="1"/>
  <c r="B39908" i="1"/>
  <c r="A39909" i="1"/>
  <c r="B39909" i="1"/>
  <c r="A39910" i="1"/>
  <c r="B39910" i="1"/>
  <c r="A39911" i="1"/>
  <c r="B39911" i="1"/>
  <c r="A39912" i="1"/>
  <c r="B39912" i="1"/>
  <c r="A39913" i="1"/>
  <c r="B39913" i="1"/>
  <c r="A39914" i="1"/>
  <c r="B39914" i="1"/>
  <c r="A39915" i="1"/>
  <c r="B39915" i="1"/>
  <c r="A39916" i="1"/>
  <c r="B39916" i="1"/>
  <c r="A39917" i="1"/>
  <c r="B39917" i="1"/>
  <c r="A39918" i="1"/>
  <c r="B39918" i="1"/>
  <c r="A39919" i="1"/>
  <c r="B39919" i="1"/>
  <c r="A39920" i="1"/>
  <c r="B39920" i="1"/>
  <c r="A39921" i="1"/>
  <c r="B39921" i="1"/>
  <c r="A39922" i="1"/>
  <c r="B39922" i="1"/>
  <c r="A39923" i="1"/>
  <c r="B39923" i="1"/>
  <c r="A39924" i="1"/>
  <c r="B39924" i="1"/>
  <c r="A39925" i="1"/>
  <c r="B39925" i="1"/>
  <c r="A39926" i="1"/>
  <c r="B39926" i="1"/>
  <c r="A39927" i="1"/>
  <c r="B39927" i="1"/>
  <c r="A39928" i="1"/>
  <c r="B39928" i="1"/>
  <c r="A39929" i="1"/>
  <c r="B39929" i="1"/>
  <c r="A39930" i="1"/>
  <c r="B39930" i="1"/>
  <c r="A39931" i="1"/>
  <c r="B39931" i="1"/>
  <c r="A39932" i="1"/>
  <c r="B39932" i="1"/>
  <c r="A39933" i="1"/>
  <c r="B39933" i="1"/>
  <c r="A39934" i="1"/>
  <c r="B39934" i="1"/>
  <c r="A39935" i="1"/>
  <c r="B39935" i="1"/>
  <c r="A39936" i="1"/>
  <c r="B39936" i="1"/>
  <c r="A39937" i="1"/>
  <c r="B39937" i="1"/>
  <c r="A39938" i="1"/>
  <c r="B39938" i="1"/>
  <c r="A39939" i="1"/>
  <c r="B39939" i="1"/>
  <c r="A39940" i="1"/>
  <c r="B39940" i="1"/>
  <c r="A39941" i="1"/>
  <c r="B39941" i="1"/>
  <c r="A39942" i="1"/>
  <c r="B39942" i="1"/>
  <c r="A39943" i="1"/>
  <c r="B39943" i="1"/>
  <c r="A39944" i="1"/>
  <c r="B39944" i="1"/>
  <c r="A39945" i="1"/>
  <c r="B39945" i="1"/>
  <c r="A39946" i="1"/>
  <c r="B39946" i="1"/>
  <c r="A39947" i="1"/>
  <c r="B39947" i="1"/>
  <c r="A39948" i="1"/>
  <c r="B39948" i="1"/>
  <c r="A39949" i="1"/>
  <c r="B39949" i="1"/>
  <c r="A39950" i="1"/>
  <c r="B39950" i="1"/>
  <c r="A39951" i="1"/>
  <c r="B39951" i="1"/>
  <c r="A39952" i="1"/>
  <c r="B39952" i="1"/>
  <c r="A39953" i="1"/>
  <c r="B39953" i="1"/>
  <c r="A39954" i="1"/>
  <c r="B39954" i="1"/>
  <c r="A39955" i="1"/>
  <c r="B39955" i="1"/>
  <c r="A39956" i="1"/>
  <c r="B39956" i="1"/>
  <c r="A39957" i="1"/>
  <c r="B39957" i="1"/>
  <c r="A39958" i="1"/>
  <c r="B39958" i="1"/>
  <c r="A39959" i="1"/>
  <c r="B39959" i="1"/>
  <c r="A39960" i="1"/>
  <c r="B39960" i="1"/>
  <c r="A39961" i="1"/>
  <c r="B39961" i="1"/>
  <c r="A39962" i="1"/>
  <c r="B39962" i="1"/>
  <c r="A39963" i="1"/>
  <c r="B39963" i="1"/>
  <c r="A39964" i="1"/>
  <c r="B39964" i="1"/>
  <c r="A39965" i="1"/>
  <c r="B39965" i="1"/>
  <c r="A39966" i="1"/>
  <c r="B39966" i="1"/>
  <c r="A39967" i="1"/>
  <c r="B39967" i="1"/>
  <c r="A39968" i="1"/>
  <c r="B39968" i="1"/>
  <c r="A39969" i="1"/>
  <c r="B39969" i="1"/>
  <c r="A39970" i="1"/>
  <c r="B39970" i="1"/>
  <c r="A39971" i="1"/>
  <c r="B39971" i="1"/>
  <c r="A39972" i="1"/>
  <c r="B39972" i="1"/>
  <c r="A39973" i="1"/>
  <c r="B39973" i="1"/>
  <c r="A39974" i="1"/>
  <c r="B39974" i="1"/>
  <c r="A39975" i="1"/>
  <c r="B39975" i="1"/>
  <c r="A39976" i="1"/>
  <c r="B39976" i="1"/>
  <c r="A39977" i="1"/>
  <c r="B39977" i="1"/>
  <c r="A39978" i="1"/>
  <c r="B39978" i="1"/>
  <c r="A39979" i="1"/>
  <c r="B39979" i="1"/>
  <c r="A39980" i="1"/>
  <c r="B39980" i="1"/>
  <c r="A39981" i="1"/>
  <c r="B39981" i="1"/>
  <c r="A39982" i="1"/>
  <c r="B39982" i="1"/>
  <c r="A39983" i="1"/>
  <c r="B39983" i="1"/>
  <c r="A39984" i="1"/>
  <c r="B39984" i="1"/>
  <c r="A39985" i="1"/>
  <c r="B39985" i="1"/>
  <c r="A39986" i="1"/>
  <c r="B39986" i="1"/>
  <c r="A39987" i="1"/>
  <c r="B39987" i="1"/>
  <c r="A39988" i="1"/>
  <c r="B39988" i="1"/>
  <c r="A39989" i="1"/>
  <c r="B39989" i="1"/>
  <c r="A39990" i="1"/>
  <c r="B39990" i="1"/>
  <c r="A39991" i="1"/>
  <c r="B39991" i="1"/>
  <c r="A39992" i="1"/>
  <c r="B39992" i="1"/>
  <c r="A39993" i="1"/>
  <c r="B39993" i="1"/>
  <c r="A39994" i="1"/>
  <c r="B39994" i="1"/>
  <c r="A39995" i="1"/>
  <c r="B39995" i="1"/>
  <c r="A39996" i="1"/>
  <c r="B39996" i="1"/>
  <c r="A39997" i="1"/>
  <c r="B39997" i="1"/>
  <c r="A39998" i="1"/>
  <c r="B39998" i="1"/>
  <c r="A39999" i="1"/>
  <c r="B39999" i="1"/>
  <c r="A40000" i="1"/>
  <c r="B40000" i="1"/>
  <c r="A40001" i="1"/>
  <c r="B40001" i="1"/>
  <c r="A40002" i="1"/>
  <c r="B40002" i="1"/>
  <c r="A40003" i="1"/>
  <c r="B40003" i="1"/>
  <c r="A40004" i="1"/>
  <c r="B40004" i="1"/>
  <c r="A40005" i="1"/>
  <c r="B40005" i="1"/>
  <c r="A40006" i="1"/>
  <c r="B40006" i="1"/>
  <c r="A40007" i="1"/>
  <c r="B40007" i="1"/>
  <c r="A40008" i="1"/>
  <c r="B40008" i="1"/>
  <c r="A40009" i="1"/>
  <c r="B40009" i="1"/>
  <c r="A40010" i="1"/>
  <c r="B40010" i="1"/>
  <c r="A40011" i="1"/>
  <c r="B40011" i="1"/>
  <c r="A40012" i="1"/>
  <c r="B40012" i="1"/>
  <c r="A40013" i="1"/>
  <c r="B40013" i="1"/>
  <c r="A40014" i="1"/>
  <c r="B40014" i="1"/>
  <c r="A40015" i="1"/>
  <c r="B40015" i="1"/>
  <c r="A40016" i="1"/>
  <c r="B40016" i="1"/>
  <c r="A40017" i="1"/>
  <c r="B40017" i="1"/>
  <c r="A40018" i="1"/>
  <c r="B40018" i="1"/>
  <c r="A40019" i="1"/>
  <c r="B40019" i="1"/>
  <c r="A40020" i="1"/>
  <c r="B40020" i="1"/>
  <c r="A40021" i="1"/>
  <c r="B40021" i="1"/>
  <c r="A40022" i="1"/>
  <c r="B40022" i="1"/>
  <c r="A40023" i="1"/>
  <c r="B40023" i="1"/>
  <c r="A40024" i="1"/>
  <c r="B40024" i="1"/>
  <c r="A40025" i="1"/>
  <c r="B40025" i="1"/>
  <c r="A40026" i="1"/>
  <c r="B40026" i="1"/>
  <c r="A40027" i="1"/>
  <c r="B40027" i="1"/>
  <c r="A40028" i="1"/>
  <c r="B40028" i="1"/>
  <c r="A40029" i="1"/>
  <c r="B40029" i="1"/>
  <c r="A40030" i="1"/>
  <c r="B40030" i="1"/>
  <c r="A40031" i="1"/>
  <c r="B40031" i="1"/>
  <c r="A40032" i="1"/>
  <c r="B40032" i="1"/>
  <c r="A40033" i="1"/>
  <c r="B40033" i="1"/>
  <c r="A40034" i="1"/>
  <c r="B40034" i="1"/>
  <c r="A40035" i="1"/>
  <c r="B40035" i="1"/>
  <c r="A40036" i="1"/>
  <c r="B40036" i="1"/>
  <c r="A40037" i="1"/>
  <c r="B40037" i="1"/>
  <c r="A40038" i="1"/>
  <c r="B40038" i="1"/>
  <c r="A40039" i="1"/>
  <c r="B40039" i="1"/>
  <c r="A40040" i="1"/>
  <c r="B40040" i="1"/>
  <c r="A40041" i="1"/>
  <c r="B40041" i="1"/>
  <c r="A40042" i="1"/>
  <c r="B40042" i="1"/>
  <c r="A40043" i="1"/>
  <c r="B40043" i="1"/>
  <c r="A40044" i="1"/>
  <c r="B40044" i="1"/>
  <c r="A40045" i="1"/>
  <c r="B40045" i="1"/>
  <c r="A40046" i="1"/>
  <c r="B40046" i="1"/>
  <c r="A40047" i="1"/>
  <c r="B40047" i="1"/>
  <c r="A40048" i="1"/>
  <c r="B40048" i="1"/>
  <c r="A40049" i="1"/>
  <c r="B40049" i="1"/>
  <c r="A40050" i="1"/>
  <c r="B40050" i="1"/>
  <c r="A40051" i="1"/>
  <c r="B40051" i="1"/>
  <c r="A40052" i="1"/>
  <c r="B40052" i="1"/>
  <c r="A40053" i="1"/>
  <c r="B40053" i="1"/>
  <c r="A40054" i="1"/>
  <c r="B40054" i="1"/>
  <c r="A40055" i="1"/>
  <c r="B40055" i="1"/>
  <c r="A40056" i="1"/>
  <c r="B40056" i="1"/>
  <c r="A40057" i="1"/>
  <c r="B40057" i="1"/>
  <c r="A40058" i="1"/>
  <c r="B40058" i="1"/>
  <c r="A40059" i="1"/>
  <c r="B40059" i="1"/>
  <c r="A40060" i="1"/>
  <c r="B40060" i="1"/>
  <c r="A40061" i="1"/>
  <c r="B40061" i="1"/>
  <c r="A40062" i="1"/>
  <c r="B40062" i="1"/>
  <c r="A40063" i="1"/>
  <c r="B40063" i="1"/>
  <c r="A40064" i="1"/>
  <c r="B40064" i="1"/>
  <c r="A40065" i="1"/>
  <c r="B40065" i="1"/>
  <c r="A40066" i="1"/>
  <c r="B40066" i="1"/>
  <c r="A40067" i="1"/>
  <c r="B40067" i="1"/>
  <c r="A40068" i="1"/>
  <c r="B40068" i="1"/>
  <c r="A40069" i="1"/>
  <c r="B40069" i="1"/>
  <c r="A40070" i="1"/>
  <c r="B40070" i="1"/>
  <c r="A40071" i="1"/>
  <c r="B40071" i="1"/>
  <c r="A40072" i="1"/>
  <c r="B40072" i="1"/>
  <c r="A40073" i="1"/>
  <c r="B40073" i="1"/>
  <c r="A40074" i="1"/>
  <c r="B40074" i="1"/>
  <c r="A40075" i="1"/>
  <c r="B40075" i="1"/>
  <c r="A40076" i="1"/>
  <c r="B40076" i="1"/>
  <c r="A40077" i="1"/>
  <c r="B40077" i="1"/>
  <c r="A40078" i="1"/>
  <c r="B40078" i="1"/>
  <c r="A40079" i="1"/>
  <c r="B40079" i="1"/>
  <c r="A40080" i="1"/>
  <c r="B40080" i="1"/>
  <c r="A40081" i="1"/>
  <c r="B40081" i="1"/>
  <c r="A40082" i="1"/>
  <c r="B40082" i="1"/>
  <c r="A40083" i="1"/>
  <c r="B40083" i="1"/>
  <c r="A40084" i="1"/>
  <c r="B40084" i="1"/>
  <c r="A40085" i="1"/>
  <c r="B40085" i="1"/>
  <c r="A40086" i="1"/>
  <c r="B40086" i="1"/>
  <c r="A40087" i="1"/>
  <c r="B40087" i="1"/>
  <c r="A40088" i="1"/>
  <c r="B40088" i="1"/>
  <c r="A40089" i="1"/>
  <c r="B40089" i="1"/>
  <c r="A40090" i="1"/>
  <c r="B40090" i="1"/>
  <c r="A40091" i="1"/>
  <c r="B40091" i="1"/>
  <c r="A40092" i="1"/>
  <c r="B40092" i="1"/>
  <c r="A40093" i="1"/>
  <c r="B40093" i="1"/>
  <c r="A40094" i="1"/>
  <c r="B40094" i="1"/>
  <c r="A40095" i="1"/>
  <c r="B40095" i="1"/>
  <c r="A40096" i="1"/>
  <c r="B40096" i="1"/>
  <c r="A40097" i="1"/>
  <c r="B40097" i="1"/>
  <c r="A40098" i="1"/>
  <c r="B40098" i="1"/>
  <c r="A40099" i="1"/>
  <c r="B40099" i="1"/>
  <c r="A40100" i="1"/>
  <c r="B40100" i="1"/>
  <c r="A40101" i="1"/>
  <c r="B40101" i="1"/>
  <c r="A40102" i="1"/>
  <c r="B40102" i="1"/>
  <c r="A40103" i="1"/>
  <c r="B40103" i="1"/>
  <c r="A40104" i="1"/>
  <c r="B40104" i="1"/>
  <c r="A40105" i="1"/>
  <c r="B40105" i="1"/>
  <c r="A40106" i="1"/>
  <c r="B40106" i="1"/>
  <c r="A40107" i="1"/>
  <c r="B40107" i="1"/>
  <c r="A40108" i="1"/>
  <c r="B40108" i="1"/>
  <c r="A40109" i="1"/>
  <c r="B40109" i="1"/>
  <c r="A40110" i="1"/>
  <c r="B40110" i="1"/>
  <c r="A40111" i="1"/>
  <c r="B40111" i="1"/>
  <c r="A40112" i="1"/>
  <c r="B40112" i="1"/>
  <c r="A40113" i="1"/>
  <c r="B40113" i="1"/>
  <c r="A40114" i="1"/>
  <c r="B40114" i="1"/>
  <c r="A40115" i="1"/>
  <c r="B40115" i="1"/>
  <c r="A40116" i="1"/>
  <c r="B40116" i="1"/>
  <c r="A40117" i="1"/>
  <c r="B40117" i="1"/>
  <c r="A40118" i="1"/>
  <c r="B40118" i="1"/>
  <c r="A40119" i="1"/>
  <c r="B40119" i="1"/>
  <c r="A40120" i="1"/>
  <c r="B40120" i="1"/>
  <c r="A40121" i="1"/>
  <c r="B40121" i="1"/>
  <c r="A40122" i="1"/>
  <c r="B40122" i="1"/>
  <c r="A40123" i="1"/>
  <c r="B40123" i="1"/>
  <c r="A40124" i="1"/>
  <c r="B40124" i="1"/>
  <c r="A40125" i="1"/>
  <c r="B40125" i="1"/>
  <c r="A40126" i="1"/>
  <c r="B40126" i="1"/>
  <c r="A40127" i="1"/>
  <c r="B40127" i="1"/>
  <c r="A40128" i="1"/>
  <c r="B40128" i="1"/>
  <c r="A40129" i="1"/>
  <c r="B40129" i="1"/>
  <c r="A40130" i="1"/>
  <c r="B40130" i="1"/>
  <c r="A40131" i="1"/>
  <c r="B40131" i="1"/>
  <c r="A40132" i="1"/>
  <c r="B40132" i="1"/>
  <c r="A40133" i="1"/>
  <c r="B40133" i="1"/>
  <c r="A40134" i="1"/>
  <c r="B40134" i="1"/>
  <c r="A40135" i="1"/>
  <c r="B40135" i="1"/>
  <c r="A40136" i="1"/>
  <c r="B40136" i="1"/>
  <c r="A40137" i="1"/>
  <c r="B40137" i="1"/>
  <c r="A40138" i="1"/>
  <c r="B40138" i="1"/>
  <c r="A40139" i="1"/>
  <c r="B40139" i="1"/>
  <c r="A40140" i="1"/>
  <c r="B40140" i="1"/>
  <c r="A40141" i="1"/>
  <c r="B40141" i="1"/>
  <c r="A40142" i="1"/>
  <c r="B40142" i="1"/>
  <c r="A40143" i="1"/>
  <c r="B40143" i="1"/>
  <c r="A40144" i="1"/>
  <c r="B40144" i="1"/>
  <c r="A40145" i="1"/>
  <c r="B40145" i="1"/>
  <c r="A40146" i="1"/>
  <c r="B40146" i="1"/>
  <c r="A40147" i="1"/>
  <c r="B40147" i="1"/>
  <c r="A40148" i="1"/>
  <c r="B40148" i="1"/>
  <c r="A40149" i="1"/>
  <c r="B40149" i="1"/>
  <c r="A40150" i="1"/>
  <c r="B40150" i="1"/>
  <c r="A40151" i="1"/>
  <c r="B40151" i="1"/>
  <c r="A40152" i="1"/>
  <c r="B40152" i="1"/>
  <c r="A40153" i="1"/>
  <c r="B40153" i="1"/>
  <c r="A40154" i="1"/>
  <c r="B40154" i="1"/>
  <c r="A40155" i="1"/>
  <c r="B40155" i="1"/>
  <c r="A40156" i="1"/>
  <c r="B40156" i="1"/>
  <c r="A40157" i="1"/>
  <c r="B40157" i="1"/>
  <c r="A40158" i="1"/>
  <c r="B40158" i="1"/>
  <c r="A40159" i="1"/>
  <c r="B40159" i="1"/>
  <c r="A40160" i="1"/>
  <c r="B40160" i="1"/>
  <c r="A40161" i="1"/>
  <c r="B40161" i="1"/>
  <c r="A40162" i="1"/>
  <c r="B40162" i="1"/>
  <c r="A40163" i="1"/>
  <c r="B40163" i="1"/>
  <c r="A40164" i="1"/>
  <c r="B40164" i="1"/>
  <c r="A40165" i="1"/>
  <c r="B40165" i="1"/>
  <c r="A40166" i="1"/>
  <c r="B40166" i="1"/>
  <c r="A40167" i="1"/>
  <c r="B40167" i="1"/>
  <c r="A40168" i="1"/>
  <c r="B40168" i="1"/>
  <c r="A40169" i="1"/>
  <c r="B40169" i="1"/>
  <c r="A40170" i="1"/>
  <c r="B40170" i="1"/>
  <c r="A40171" i="1"/>
  <c r="B40171" i="1"/>
  <c r="A40172" i="1"/>
  <c r="B40172" i="1"/>
  <c r="A40173" i="1"/>
  <c r="B40173" i="1"/>
  <c r="A40174" i="1"/>
  <c r="B40174" i="1"/>
  <c r="A40175" i="1"/>
  <c r="B40175" i="1"/>
  <c r="A40176" i="1"/>
  <c r="B40176" i="1"/>
  <c r="A40177" i="1"/>
  <c r="B40177" i="1"/>
  <c r="A40178" i="1"/>
  <c r="B40178" i="1"/>
  <c r="A40179" i="1"/>
  <c r="B40179" i="1"/>
  <c r="A40180" i="1"/>
  <c r="B40180" i="1"/>
  <c r="A40181" i="1"/>
  <c r="B40181" i="1"/>
  <c r="A40182" i="1"/>
  <c r="B40182" i="1"/>
  <c r="A40183" i="1"/>
  <c r="B40183" i="1"/>
  <c r="A40184" i="1"/>
  <c r="B40184" i="1"/>
  <c r="A40185" i="1"/>
  <c r="B40185" i="1"/>
  <c r="A40186" i="1"/>
  <c r="B40186" i="1"/>
  <c r="A40187" i="1"/>
  <c r="B40187" i="1"/>
  <c r="A40188" i="1"/>
  <c r="B40188" i="1"/>
  <c r="A40189" i="1"/>
  <c r="B40189" i="1"/>
  <c r="A40190" i="1"/>
  <c r="B40190" i="1"/>
  <c r="A40191" i="1"/>
  <c r="B40191" i="1"/>
  <c r="A40192" i="1"/>
  <c r="B40192" i="1"/>
  <c r="A40193" i="1"/>
  <c r="B40193" i="1"/>
  <c r="A40194" i="1"/>
  <c r="B40194" i="1"/>
  <c r="A40195" i="1"/>
  <c r="B40195" i="1"/>
  <c r="A40196" i="1"/>
  <c r="B40196" i="1"/>
  <c r="A40197" i="1"/>
  <c r="B40197" i="1"/>
  <c r="A40198" i="1"/>
  <c r="B40198" i="1"/>
  <c r="A40199" i="1"/>
  <c r="B40199" i="1"/>
  <c r="A40200" i="1"/>
  <c r="B40200" i="1"/>
  <c r="A40201" i="1"/>
  <c r="B40201" i="1"/>
  <c r="A40202" i="1"/>
  <c r="B40202" i="1"/>
  <c r="A40203" i="1"/>
  <c r="B40203" i="1"/>
  <c r="A40204" i="1"/>
  <c r="B40204" i="1"/>
  <c r="A40205" i="1"/>
  <c r="B40205" i="1"/>
  <c r="A40206" i="1"/>
  <c r="B40206" i="1"/>
  <c r="A40207" i="1"/>
  <c r="B40207" i="1"/>
  <c r="A40208" i="1"/>
  <c r="B40208" i="1"/>
  <c r="A40209" i="1"/>
  <c r="B40209" i="1"/>
  <c r="A40210" i="1"/>
  <c r="B40210" i="1"/>
  <c r="A40211" i="1"/>
  <c r="B40211" i="1"/>
  <c r="A40212" i="1"/>
  <c r="B40212" i="1"/>
  <c r="A40213" i="1"/>
  <c r="B40213" i="1"/>
  <c r="A40214" i="1"/>
  <c r="B40214" i="1"/>
  <c r="A40215" i="1"/>
  <c r="B40215" i="1"/>
  <c r="A40216" i="1"/>
  <c r="B40216" i="1"/>
  <c r="A40217" i="1"/>
  <c r="B40217" i="1"/>
  <c r="A40218" i="1"/>
  <c r="B40218" i="1"/>
  <c r="A40219" i="1"/>
  <c r="B40219" i="1"/>
  <c r="A40220" i="1"/>
  <c r="B40220" i="1"/>
  <c r="A40221" i="1"/>
  <c r="B40221" i="1"/>
  <c r="A40222" i="1"/>
  <c r="B40222" i="1"/>
  <c r="A40223" i="1"/>
  <c r="B40223" i="1"/>
  <c r="A40224" i="1"/>
  <c r="B40224" i="1"/>
  <c r="A40225" i="1"/>
  <c r="B40225" i="1"/>
  <c r="A40226" i="1"/>
  <c r="B40226" i="1"/>
  <c r="A40227" i="1"/>
  <c r="B40227" i="1"/>
  <c r="A40228" i="1"/>
  <c r="B40228" i="1"/>
  <c r="A40229" i="1"/>
  <c r="B40229" i="1"/>
  <c r="A40230" i="1"/>
  <c r="B40230" i="1"/>
  <c r="A40231" i="1"/>
  <c r="B40231" i="1"/>
  <c r="A40232" i="1"/>
  <c r="B40232" i="1"/>
  <c r="A40233" i="1"/>
  <c r="B40233" i="1"/>
  <c r="A40234" i="1"/>
  <c r="B40234" i="1"/>
  <c r="A40235" i="1"/>
  <c r="B40235" i="1"/>
  <c r="A40236" i="1"/>
  <c r="B40236" i="1"/>
  <c r="A40237" i="1"/>
  <c r="B40237" i="1"/>
  <c r="A40238" i="1"/>
  <c r="B40238" i="1"/>
  <c r="A40239" i="1"/>
  <c r="B40239" i="1"/>
  <c r="A40240" i="1"/>
  <c r="B40240" i="1"/>
  <c r="A40241" i="1"/>
  <c r="B40241" i="1"/>
  <c r="A40242" i="1"/>
  <c r="B40242" i="1"/>
  <c r="A40243" i="1"/>
  <c r="B40243" i="1"/>
  <c r="A40244" i="1"/>
  <c r="B40244" i="1"/>
  <c r="A40245" i="1"/>
  <c r="B40245" i="1"/>
  <c r="A40246" i="1"/>
  <c r="B40246" i="1"/>
  <c r="A40247" i="1"/>
  <c r="B40247" i="1"/>
  <c r="A40248" i="1"/>
  <c r="B40248" i="1"/>
  <c r="A40249" i="1"/>
  <c r="B40249" i="1"/>
  <c r="A40250" i="1"/>
  <c r="B40250" i="1"/>
  <c r="A40251" i="1"/>
  <c r="B40251" i="1"/>
  <c r="A40252" i="1"/>
  <c r="B40252" i="1"/>
  <c r="A40253" i="1"/>
  <c r="B40253" i="1"/>
  <c r="A40254" i="1"/>
  <c r="B40254" i="1"/>
  <c r="A40255" i="1"/>
  <c r="B40255" i="1"/>
  <c r="A40256" i="1"/>
  <c r="B40256" i="1"/>
  <c r="A40257" i="1"/>
  <c r="B40257" i="1"/>
  <c r="A40258" i="1"/>
  <c r="B40258" i="1"/>
  <c r="A40259" i="1"/>
  <c r="B40259" i="1"/>
  <c r="A40260" i="1"/>
  <c r="B40260" i="1"/>
  <c r="A40261" i="1"/>
  <c r="B40261" i="1"/>
  <c r="A40262" i="1"/>
  <c r="B40262" i="1"/>
  <c r="A40263" i="1"/>
  <c r="B40263" i="1"/>
  <c r="A40264" i="1"/>
  <c r="B40264" i="1"/>
  <c r="A40265" i="1"/>
  <c r="B40265" i="1"/>
  <c r="A40266" i="1"/>
  <c r="B40266" i="1"/>
  <c r="A40267" i="1"/>
  <c r="B40267" i="1"/>
  <c r="A40268" i="1"/>
  <c r="B40268" i="1"/>
  <c r="A40269" i="1"/>
  <c r="B40269" i="1"/>
  <c r="A40270" i="1"/>
  <c r="B40270" i="1"/>
  <c r="A40271" i="1"/>
  <c r="B40271" i="1"/>
  <c r="A40272" i="1"/>
  <c r="B40272" i="1"/>
  <c r="A40273" i="1"/>
  <c r="B40273" i="1"/>
  <c r="A40274" i="1"/>
  <c r="B40274" i="1"/>
  <c r="A40275" i="1"/>
  <c r="B40275" i="1"/>
  <c r="A40276" i="1"/>
  <c r="B40276" i="1"/>
  <c r="A40277" i="1"/>
  <c r="B40277" i="1"/>
  <c r="A40278" i="1"/>
  <c r="B40278" i="1"/>
  <c r="A40279" i="1"/>
  <c r="B40279" i="1"/>
  <c r="A40280" i="1"/>
  <c r="B40280" i="1"/>
  <c r="A40281" i="1"/>
  <c r="B40281" i="1"/>
  <c r="A40282" i="1"/>
  <c r="B40282" i="1"/>
  <c r="A40283" i="1"/>
  <c r="B40283" i="1"/>
  <c r="A40284" i="1"/>
  <c r="B40284" i="1"/>
  <c r="A40285" i="1"/>
  <c r="B40285" i="1"/>
  <c r="A40286" i="1"/>
  <c r="B40286" i="1"/>
  <c r="A40287" i="1"/>
  <c r="B40287" i="1"/>
  <c r="A40288" i="1"/>
  <c r="B40288" i="1"/>
  <c r="A40289" i="1"/>
  <c r="B40289" i="1"/>
  <c r="A40290" i="1"/>
  <c r="B40290" i="1"/>
  <c r="A40291" i="1"/>
  <c r="B40291" i="1"/>
  <c r="A40292" i="1"/>
  <c r="B40292" i="1"/>
  <c r="A40293" i="1"/>
  <c r="B40293" i="1"/>
  <c r="A40294" i="1"/>
  <c r="B40294" i="1"/>
  <c r="A40295" i="1"/>
  <c r="B40295" i="1"/>
  <c r="A40296" i="1"/>
  <c r="B40296" i="1"/>
  <c r="A40297" i="1"/>
  <c r="B40297" i="1"/>
  <c r="A40298" i="1"/>
  <c r="B40298" i="1"/>
  <c r="A40299" i="1"/>
  <c r="B40299" i="1"/>
  <c r="A40300" i="1"/>
  <c r="B40300" i="1"/>
  <c r="A40301" i="1"/>
  <c r="B40301" i="1"/>
  <c r="A40302" i="1"/>
  <c r="B40302" i="1"/>
  <c r="A40303" i="1"/>
  <c r="B40303" i="1"/>
  <c r="A40304" i="1"/>
  <c r="B40304" i="1"/>
  <c r="A40305" i="1"/>
  <c r="B40305" i="1"/>
  <c r="A40306" i="1"/>
  <c r="B40306" i="1"/>
  <c r="A40307" i="1"/>
  <c r="B40307" i="1"/>
  <c r="A40308" i="1"/>
  <c r="B40308" i="1"/>
  <c r="A40309" i="1"/>
  <c r="B40309" i="1"/>
  <c r="A40310" i="1"/>
  <c r="B40310" i="1"/>
  <c r="A40311" i="1"/>
  <c r="B40311" i="1"/>
  <c r="A40312" i="1"/>
  <c r="B40312" i="1"/>
  <c r="A40313" i="1"/>
  <c r="B40313" i="1"/>
  <c r="A40314" i="1"/>
  <c r="B40314" i="1"/>
  <c r="A40315" i="1"/>
  <c r="B40315" i="1"/>
  <c r="A40316" i="1"/>
  <c r="B40316" i="1"/>
  <c r="A40317" i="1"/>
  <c r="B40317" i="1"/>
  <c r="A40318" i="1"/>
  <c r="B40318" i="1"/>
  <c r="A40319" i="1"/>
  <c r="B40319" i="1"/>
  <c r="A40320" i="1"/>
  <c r="B40320" i="1"/>
  <c r="A40321" i="1"/>
  <c r="B40321" i="1"/>
  <c r="A40322" i="1"/>
  <c r="B40322" i="1"/>
  <c r="A40323" i="1"/>
  <c r="B40323" i="1"/>
  <c r="A40324" i="1"/>
  <c r="B40324" i="1"/>
  <c r="A40325" i="1"/>
  <c r="B40325" i="1"/>
  <c r="A40326" i="1"/>
  <c r="B40326" i="1"/>
  <c r="A40327" i="1"/>
  <c r="B40327" i="1"/>
  <c r="A40328" i="1"/>
  <c r="B40328" i="1"/>
  <c r="A40329" i="1"/>
  <c r="B40329" i="1"/>
  <c r="A40330" i="1"/>
  <c r="B40330" i="1"/>
  <c r="A40331" i="1"/>
  <c r="B40331" i="1"/>
  <c r="A40332" i="1"/>
  <c r="B40332" i="1"/>
  <c r="A40333" i="1"/>
  <c r="B40333" i="1"/>
  <c r="A40334" i="1"/>
  <c r="B40334" i="1"/>
  <c r="A40335" i="1"/>
  <c r="B40335" i="1"/>
  <c r="A40336" i="1"/>
  <c r="B40336" i="1"/>
  <c r="A40337" i="1"/>
  <c r="B40337" i="1"/>
  <c r="A40338" i="1"/>
  <c r="B40338" i="1"/>
  <c r="A40339" i="1"/>
  <c r="B40339" i="1"/>
  <c r="A40340" i="1"/>
  <c r="B40340" i="1"/>
  <c r="A40341" i="1"/>
  <c r="B40341" i="1"/>
  <c r="A40342" i="1"/>
  <c r="B40342" i="1"/>
  <c r="A40343" i="1"/>
  <c r="B40343" i="1"/>
  <c r="A40344" i="1"/>
  <c r="B40344" i="1"/>
  <c r="A40345" i="1"/>
  <c r="B40345" i="1"/>
  <c r="A40346" i="1"/>
  <c r="B40346" i="1"/>
  <c r="A40347" i="1"/>
  <c r="B40347" i="1"/>
  <c r="A40348" i="1"/>
  <c r="B40348" i="1"/>
  <c r="A40349" i="1"/>
  <c r="B40349" i="1"/>
  <c r="A40350" i="1"/>
  <c r="B40350" i="1"/>
  <c r="A40351" i="1"/>
  <c r="B40351" i="1"/>
  <c r="A40352" i="1"/>
  <c r="B40352" i="1"/>
  <c r="A40353" i="1"/>
  <c r="B40353" i="1"/>
  <c r="A40354" i="1"/>
  <c r="B40354" i="1"/>
  <c r="A40355" i="1"/>
  <c r="B40355" i="1"/>
  <c r="A40356" i="1"/>
  <c r="B40356" i="1"/>
  <c r="A40357" i="1"/>
  <c r="B40357" i="1"/>
  <c r="A40358" i="1"/>
  <c r="B40358" i="1"/>
  <c r="A40359" i="1"/>
  <c r="B40359" i="1"/>
  <c r="A40360" i="1"/>
  <c r="B40360" i="1"/>
  <c r="A40361" i="1"/>
  <c r="B40361" i="1"/>
  <c r="A40362" i="1"/>
  <c r="B40362" i="1"/>
  <c r="A40363" i="1"/>
  <c r="B40363" i="1"/>
  <c r="A40364" i="1"/>
  <c r="B40364" i="1"/>
  <c r="A40365" i="1"/>
  <c r="B40365" i="1"/>
  <c r="A40366" i="1"/>
  <c r="B40366" i="1"/>
  <c r="A40367" i="1"/>
  <c r="B40367" i="1"/>
  <c r="A40368" i="1"/>
  <c r="B40368" i="1"/>
  <c r="A40369" i="1"/>
  <c r="B40369" i="1"/>
  <c r="A40370" i="1"/>
  <c r="B40370" i="1"/>
  <c r="A40371" i="1"/>
  <c r="B40371" i="1"/>
  <c r="A40372" i="1"/>
  <c r="B40372" i="1"/>
  <c r="A40373" i="1"/>
  <c r="B40373" i="1"/>
  <c r="A40374" i="1"/>
  <c r="B40374" i="1"/>
  <c r="A40375" i="1"/>
  <c r="B40375" i="1"/>
  <c r="A40376" i="1"/>
  <c r="B40376" i="1"/>
  <c r="A40377" i="1"/>
  <c r="B40377" i="1"/>
  <c r="A40378" i="1"/>
  <c r="B40378" i="1"/>
  <c r="A40379" i="1"/>
  <c r="B40379" i="1"/>
  <c r="A40380" i="1"/>
  <c r="B40380" i="1"/>
  <c r="A40381" i="1"/>
  <c r="B40381" i="1"/>
  <c r="A40382" i="1"/>
  <c r="B40382" i="1"/>
  <c r="A40383" i="1"/>
  <c r="B40383" i="1"/>
  <c r="A40384" i="1"/>
  <c r="B40384" i="1"/>
  <c r="A40385" i="1"/>
  <c r="B40385" i="1"/>
  <c r="A40386" i="1"/>
  <c r="B40386" i="1"/>
  <c r="A40387" i="1"/>
  <c r="B40387" i="1"/>
  <c r="A40388" i="1"/>
  <c r="B40388" i="1"/>
  <c r="A40389" i="1"/>
  <c r="B40389" i="1"/>
  <c r="A40390" i="1"/>
  <c r="B40390" i="1"/>
  <c r="A40391" i="1"/>
  <c r="B40391" i="1"/>
  <c r="A40392" i="1"/>
  <c r="B40392" i="1"/>
  <c r="A40393" i="1"/>
  <c r="B40393" i="1"/>
  <c r="A40394" i="1"/>
  <c r="B40394" i="1"/>
  <c r="A40395" i="1"/>
  <c r="B40395" i="1"/>
  <c r="A40396" i="1"/>
  <c r="B40396" i="1"/>
  <c r="A40397" i="1"/>
  <c r="B40397" i="1"/>
  <c r="A40398" i="1"/>
  <c r="B40398" i="1"/>
  <c r="A40399" i="1"/>
  <c r="B40399" i="1"/>
  <c r="A40400" i="1"/>
  <c r="B40400" i="1"/>
  <c r="A40401" i="1"/>
  <c r="B40401" i="1"/>
  <c r="A40402" i="1"/>
  <c r="B40402" i="1"/>
  <c r="A40403" i="1"/>
  <c r="B40403" i="1"/>
  <c r="A40404" i="1"/>
  <c r="B40404" i="1"/>
  <c r="A40405" i="1"/>
  <c r="B40405" i="1"/>
  <c r="A40406" i="1"/>
  <c r="B40406" i="1"/>
  <c r="A40407" i="1"/>
  <c r="B40407" i="1"/>
  <c r="A40408" i="1"/>
  <c r="B40408" i="1"/>
  <c r="A40409" i="1"/>
  <c r="B40409" i="1"/>
  <c r="A40410" i="1"/>
  <c r="B40410" i="1"/>
  <c r="A40411" i="1"/>
  <c r="B40411" i="1"/>
  <c r="A40412" i="1"/>
  <c r="B40412" i="1"/>
  <c r="A40413" i="1"/>
  <c r="B40413" i="1"/>
  <c r="A40414" i="1"/>
  <c r="B40414" i="1"/>
  <c r="A40415" i="1"/>
  <c r="B40415" i="1"/>
  <c r="A40416" i="1"/>
  <c r="B40416" i="1"/>
  <c r="A40417" i="1"/>
  <c r="B40417" i="1"/>
  <c r="A40418" i="1"/>
  <c r="B40418" i="1"/>
  <c r="A40419" i="1"/>
  <c r="B40419" i="1"/>
  <c r="A40420" i="1"/>
  <c r="B40420" i="1"/>
  <c r="A40421" i="1"/>
  <c r="B40421" i="1"/>
  <c r="A40422" i="1"/>
  <c r="B40422" i="1"/>
  <c r="A40423" i="1"/>
  <c r="B40423" i="1"/>
  <c r="A40424" i="1"/>
  <c r="B40424" i="1"/>
  <c r="A40425" i="1"/>
  <c r="B40425" i="1"/>
  <c r="A40426" i="1"/>
  <c r="B40426" i="1"/>
  <c r="A40427" i="1"/>
  <c r="B40427" i="1"/>
  <c r="A40428" i="1"/>
  <c r="B40428" i="1"/>
  <c r="A40429" i="1"/>
  <c r="B40429" i="1"/>
  <c r="A40430" i="1"/>
  <c r="B40430" i="1"/>
  <c r="A40431" i="1"/>
  <c r="B40431" i="1"/>
  <c r="A40432" i="1"/>
  <c r="B40432" i="1"/>
  <c r="A40433" i="1"/>
  <c r="B40433" i="1"/>
  <c r="A40434" i="1"/>
  <c r="B40434" i="1"/>
  <c r="A40435" i="1"/>
  <c r="B40435" i="1"/>
  <c r="A40436" i="1"/>
  <c r="B40436" i="1"/>
  <c r="A40437" i="1"/>
  <c r="B40437" i="1"/>
  <c r="A40438" i="1"/>
  <c r="B40438" i="1"/>
  <c r="A40439" i="1"/>
  <c r="B40439" i="1"/>
  <c r="A40440" i="1"/>
  <c r="B40440" i="1"/>
  <c r="A40441" i="1"/>
  <c r="B40441" i="1"/>
  <c r="A40442" i="1"/>
  <c r="B40442" i="1"/>
  <c r="A40443" i="1"/>
  <c r="B40443" i="1"/>
  <c r="A40444" i="1"/>
  <c r="B40444" i="1"/>
  <c r="A40445" i="1"/>
  <c r="B40445" i="1"/>
  <c r="A40446" i="1"/>
  <c r="B40446" i="1"/>
  <c r="A40447" i="1"/>
  <c r="B40447" i="1"/>
  <c r="A40448" i="1"/>
  <c r="B40448" i="1"/>
  <c r="A40449" i="1"/>
  <c r="B40449" i="1"/>
  <c r="A40450" i="1"/>
  <c r="B40450" i="1"/>
  <c r="A40451" i="1"/>
  <c r="B40451" i="1"/>
  <c r="A40452" i="1"/>
  <c r="B40452" i="1"/>
  <c r="A40453" i="1"/>
  <c r="B40453" i="1"/>
  <c r="A40454" i="1"/>
  <c r="B40454" i="1"/>
  <c r="A40455" i="1"/>
  <c r="B40455" i="1"/>
  <c r="A40456" i="1"/>
  <c r="B40456" i="1"/>
  <c r="A40457" i="1"/>
  <c r="B40457" i="1"/>
  <c r="A40458" i="1"/>
  <c r="B40458" i="1"/>
  <c r="A40459" i="1"/>
  <c r="B40459" i="1"/>
  <c r="A40460" i="1"/>
  <c r="B40460" i="1"/>
  <c r="A40461" i="1"/>
  <c r="B40461" i="1"/>
  <c r="A40462" i="1"/>
  <c r="B40462" i="1"/>
  <c r="A40463" i="1"/>
  <c r="B40463" i="1"/>
  <c r="A40464" i="1"/>
  <c r="B40464" i="1"/>
  <c r="A40465" i="1"/>
  <c r="B40465" i="1"/>
  <c r="A40466" i="1"/>
  <c r="B40466" i="1"/>
  <c r="A40467" i="1"/>
  <c r="B40467" i="1"/>
  <c r="A40468" i="1"/>
  <c r="B40468" i="1"/>
  <c r="A40469" i="1"/>
  <c r="B40469" i="1"/>
  <c r="A40470" i="1"/>
  <c r="B40470" i="1"/>
  <c r="A40471" i="1"/>
  <c r="B40471" i="1"/>
  <c r="A40472" i="1"/>
  <c r="B40472" i="1"/>
  <c r="A40473" i="1"/>
  <c r="B40473" i="1"/>
  <c r="A40474" i="1"/>
  <c r="B40474" i="1"/>
  <c r="A40475" i="1"/>
  <c r="B40475" i="1"/>
  <c r="A40476" i="1"/>
  <c r="B40476" i="1"/>
  <c r="A40477" i="1"/>
  <c r="B40477" i="1"/>
  <c r="A40478" i="1"/>
  <c r="B40478" i="1"/>
  <c r="A40479" i="1"/>
  <c r="B40479" i="1"/>
  <c r="A40480" i="1"/>
  <c r="B40480" i="1"/>
  <c r="A40481" i="1"/>
  <c r="B40481" i="1"/>
  <c r="A40482" i="1"/>
  <c r="B40482" i="1"/>
  <c r="A40483" i="1"/>
  <c r="B40483" i="1"/>
  <c r="A40484" i="1"/>
  <c r="B40484" i="1"/>
  <c r="A40485" i="1"/>
  <c r="B40485" i="1"/>
  <c r="A40486" i="1"/>
  <c r="B40486" i="1"/>
  <c r="A40487" i="1"/>
  <c r="B40487" i="1"/>
  <c r="A40488" i="1"/>
  <c r="B40488" i="1"/>
  <c r="A40489" i="1"/>
  <c r="B40489" i="1"/>
  <c r="A40490" i="1"/>
  <c r="B40490" i="1"/>
  <c r="A40491" i="1"/>
  <c r="B40491" i="1"/>
  <c r="A40492" i="1"/>
  <c r="B40492" i="1"/>
  <c r="A40493" i="1"/>
  <c r="B40493" i="1"/>
  <c r="A40494" i="1"/>
  <c r="B40494" i="1"/>
  <c r="A40495" i="1"/>
  <c r="B40495" i="1"/>
  <c r="A40496" i="1"/>
  <c r="B40496" i="1"/>
  <c r="A40497" i="1"/>
  <c r="B40497" i="1"/>
  <c r="A40498" i="1"/>
  <c r="B40498" i="1"/>
  <c r="A40499" i="1"/>
  <c r="B40499" i="1"/>
  <c r="A40500" i="1"/>
  <c r="B40500" i="1"/>
  <c r="A40501" i="1"/>
  <c r="B40501" i="1"/>
  <c r="A40502" i="1"/>
  <c r="B40502" i="1"/>
  <c r="A40503" i="1"/>
  <c r="B40503" i="1"/>
  <c r="A40504" i="1"/>
  <c r="B40504" i="1"/>
  <c r="A40505" i="1"/>
  <c r="B40505" i="1"/>
  <c r="A40506" i="1"/>
  <c r="B40506" i="1"/>
  <c r="A40507" i="1"/>
  <c r="B40507" i="1"/>
  <c r="A40508" i="1"/>
  <c r="B40508" i="1"/>
  <c r="A40509" i="1"/>
  <c r="B40509" i="1"/>
  <c r="A40510" i="1"/>
  <c r="B40510" i="1"/>
  <c r="A40511" i="1"/>
  <c r="B40511" i="1"/>
  <c r="A40512" i="1"/>
  <c r="B40512" i="1"/>
  <c r="A40513" i="1"/>
  <c r="B40513" i="1"/>
  <c r="A40514" i="1"/>
  <c r="B40514" i="1"/>
  <c r="A40515" i="1"/>
  <c r="B40515" i="1"/>
  <c r="A40516" i="1"/>
  <c r="B40516" i="1"/>
  <c r="A40517" i="1"/>
  <c r="B40517" i="1"/>
  <c r="A40518" i="1"/>
  <c r="B40518" i="1"/>
  <c r="A40519" i="1"/>
  <c r="B40519" i="1"/>
  <c r="A40520" i="1"/>
  <c r="B40520" i="1"/>
  <c r="A40521" i="1"/>
  <c r="B40521" i="1"/>
  <c r="A40522" i="1"/>
  <c r="B40522" i="1"/>
  <c r="A40523" i="1"/>
  <c r="B40523" i="1"/>
  <c r="A40524" i="1"/>
  <c r="B40524" i="1"/>
  <c r="A40525" i="1"/>
  <c r="B40525" i="1"/>
  <c r="A40526" i="1"/>
  <c r="B40526" i="1"/>
  <c r="A40527" i="1"/>
  <c r="B40527" i="1"/>
  <c r="A40528" i="1"/>
  <c r="B40528" i="1"/>
  <c r="A40529" i="1"/>
  <c r="B40529" i="1"/>
  <c r="A40530" i="1"/>
  <c r="B40530" i="1"/>
  <c r="A40531" i="1"/>
  <c r="B40531" i="1"/>
  <c r="A40532" i="1"/>
  <c r="B40532" i="1"/>
  <c r="A40533" i="1"/>
  <c r="B40533" i="1"/>
  <c r="A40534" i="1"/>
  <c r="B40534" i="1"/>
  <c r="A40535" i="1"/>
  <c r="B40535" i="1"/>
  <c r="A40536" i="1"/>
  <c r="B40536" i="1"/>
  <c r="A40537" i="1"/>
  <c r="B40537" i="1"/>
  <c r="A40538" i="1"/>
  <c r="B40538" i="1"/>
  <c r="A40539" i="1"/>
  <c r="B40539" i="1"/>
  <c r="A40540" i="1"/>
  <c r="B40540" i="1"/>
  <c r="A40541" i="1"/>
  <c r="B40541" i="1"/>
  <c r="A40542" i="1"/>
  <c r="B40542" i="1"/>
  <c r="A40543" i="1"/>
  <c r="B40543" i="1"/>
  <c r="A40544" i="1"/>
  <c r="B40544" i="1"/>
  <c r="A40545" i="1"/>
  <c r="B40545" i="1"/>
  <c r="A40546" i="1"/>
  <c r="B40546" i="1"/>
  <c r="A40547" i="1"/>
  <c r="B40547" i="1"/>
  <c r="A40548" i="1"/>
  <c r="B40548" i="1"/>
  <c r="A40549" i="1"/>
  <c r="B40549" i="1"/>
  <c r="A40550" i="1"/>
  <c r="B40550" i="1"/>
  <c r="A40551" i="1"/>
  <c r="B40551" i="1"/>
  <c r="A40552" i="1"/>
  <c r="B40552" i="1"/>
  <c r="A40553" i="1"/>
  <c r="B40553" i="1"/>
  <c r="A40554" i="1"/>
  <c r="B40554" i="1"/>
  <c r="A40555" i="1"/>
  <c r="B40555" i="1"/>
  <c r="A40556" i="1"/>
  <c r="B40556" i="1"/>
  <c r="A40557" i="1"/>
  <c r="B40557" i="1"/>
  <c r="A40558" i="1"/>
  <c r="B40558" i="1"/>
  <c r="A40559" i="1"/>
  <c r="B40559" i="1"/>
  <c r="A40560" i="1"/>
  <c r="B40560" i="1"/>
  <c r="A40561" i="1"/>
  <c r="B40561" i="1"/>
  <c r="A40562" i="1"/>
  <c r="B40562" i="1"/>
  <c r="A40563" i="1"/>
  <c r="B40563" i="1"/>
  <c r="A40564" i="1"/>
  <c r="B40564" i="1"/>
  <c r="A40565" i="1"/>
  <c r="B40565" i="1"/>
  <c r="A40566" i="1"/>
  <c r="B40566" i="1"/>
  <c r="A40567" i="1"/>
  <c r="B40567" i="1"/>
  <c r="A40568" i="1"/>
  <c r="B40568" i="1"/>
  <c r="A40569" i="1"/>
  <c r="B40569" i="1"/>
  <c r="A40570" i="1"/>
  <c r="B40570" i="1"/>
  <c r="A40571" i="1"/>
  <c r="B40571" i="1"/>
  <c r="A40572" i="1"/>
  <c r="B40572" i="1"/>
  <c r="A40573" i="1"/>
  <c r="B40573" i="1"/>
  <c r="A40574" i="1"/>
  <c r="B40574" i="1"/>
  <c r="A40575" i="1"/>
  <c r="B40575" i="1"/>
  <c r="A40576" i="1"/>
  <c r="B40576" i="1"/>
  <c r="A40577" i="1"/>
  <c r="B40577" i="1"/>
  <c r="A40578" i="1"/>
  <c r="B40578" i="1"/>
  <c r="A40579" i="1"/>
  <c r="B40579" i="1"/>
  <c r="A40580" i="1"/>
  <c r="B40580" i="1"/>
  <c r="A40581" i="1"/>
  <c r="B40581" i="1"/>
  <c r="A40582" i="1"/>
  <c r="B40582" i="1"/>
  <c r="A40583" i="1"/>
  <c r="B40583" i="1"/>
  <c r="A40584" i="1"/>
  <c r="B40584" i="1"/>
  <c r="A40585" i="1"/>
  <c r="B40585" i="1"/>
  <c r="A40586" i="1"/>
  <c r="B40586" i="1"/>
  <c r="A40587" i="1"/>
  <c r="B40587" i="1"/>
  <c r="A40588" i="1"/>
  <c r="B40588" i="1"/>
  <c r="A40589" i="1"/>
  <c r="B40589" i="1"/>
  <c r="A40590" i="1"/>
  <c r="B40590" i="1"/>
  <c r="A40591" i="1"/>
  <c r="B40591" i="1"/>
  <c r="A40592" i="1"/>
  <c r="B40592" i="1"/>
  <c r="A40593" i="1"/>
  <c r="B40593" i="1"/>
  <c r="A40594" i="1"/>
  <c r="B40594" i="1"/>
  <c r="A40595" i="1"/>
  <c r="B40595" i="1"/>
  <c r="A40596" i="1"/>
  <c r="B40596" i="1"/>
  <c r="A40597" i="1"/>
  <c r="B40597" i="1"/>
  <c r="A40598" i="1"/>
  <c r="B40598" i="1"/>
  <c r="A40599" i="1"/>
  <c r="B40599" i="1"/>
  <c r="A40600" i="1"/>
  <c r="B40600" i="1"/>
  <c r="A40601" i="1"/>
  <c r="B40601" i="1"/>
  <c r="A40602" i="1"/>
  <c r="B40602" i="1"/>
  <c r="A40603" i="1"/>
  <c r="B40603" i="1"/>
  <c r="A40604" i="1"/>
  <c r="B40604" i="1"/>
  <c r="A40605" i="1"/>
  <c r="B40605" i="1"/>
  <c r="A40606" i="1"/>
  <c r="B40606" i="1"/>
  <c r="A40607" i="1"/>
  <c r="B40607" i="1"/>
  <c r="A40608" i="1"/>
  <c r="B40608" i="1"/>
  <c r="A40609" i="1"/>
  <c r="B40609" i="1"/>
  <c r="A40610" i="1"/>
  <c r="B40610" i="1"/>
  <c r="A40611" i="1"/>
  <c r="B40611" i="1"/>
  <c r="A40612" i="1"/>
  <c r="B40612" i="1"/>
  <c r="A40613" i="1"/>
  <c r="B40613" i="1"/>
  <c r="A40614" i="1"/>
  <c r="B40614" i="1"/>
  <c r="A40615" i="1"/>
  <c r="B40615" i="1"/>
  <c r="A40616" i="1"/>
  <c r="B40616" i="1"/>
  <c r="A40617" i="1"/>
  <c r="B40617" i="1"/>
  <c r="A40618" i="1"/>
  <c r="B40618" i="1"/>
  <c r="A40619" i="1"/>
  <c r="B40619" i="1"/>
  <c r="A40620" i="1"/>
  <c r="B40620" i="1"/>
  <c r="A40621" i="1"/>
  <c r="B40621" i="1"/>
  <c r="A40622" i="1"/>
  <c r="B40622" i="1"/>
  <c r="A40623" i="1"/>
  <c r="B40623" i="1"/>
  <c r="A40624" i="1"/>
  <c r="B40624" i="1"/>
  <c r="A40625" i="1"/>
  <c r="B40625" i="1"/>
  <c r="A40626" i="1"/>
  <c r="B40626" i="1"/>
  <c r="A40627" i="1"/>
  <c r="B40627" i="1"/>
  <c r="A40628" i="1"/>
  <c r="B40628" i="1"/>
  <c r="A40629" i="1"/>
  <c r="B40629" i="1"/>
  <c r="A40630" i="1"/>
  <c r="B40630" i="1"/>
  <c r="A40631" i="1"/>
  <c r="B40631" i="1"/>
  <c r="A40632" i="1"/>
  <c r="B40632" i="1"/>
  <c r="A40633" i="1"/>
  <c r="B40633" i="1"/>
  <c r="A40634" i="1"/>
  <c r="B40634" i="1"/>
  <c r="A40635" i="1"/>
  <c r="B40635" i="1"/>
  <c r="A40636" i="1"/>
  <c r="B40636" i="1"/>
  <c r="A40637" i="1"/>
  <c r="B40637" i="1"/>
  <c r="A40638" i="1"/>
  <c r="B40638" i="1"/>
  <c r="A40639" i="1"/>
  <c r="B40639" i="1"/>
  <c r="A40640" i="1"/>
  <c r="B40640" i="1"/>
  <c r="A40641" i="1"/>
  <c r="B40641" i="1"/>
  <c r="A40642" i="1"/>
  <c r="B40642" i="1"/>
  <c r="A40643" i="1"/>
  <c r="B40643" i="1"/>
  <c r="A40644" i="1"/>
  <c r="B40644" i="1"/>
  <c r="A40645" i="1"/>
  <c r="B40645" i="1"/>
  <c r="A40646" i="1"/>
  <c r="B40646" i="1"/>
  <c r="A40647" i="1"/>
  <c r="B40647" i="1"/>
  <c r="A40648" i="1"/>
  <c r="B40648" i="1"/>
  <c r="A40649" i="1"/>
  <c r="B40649" i="1"/>
  <c r="A40650" i="1"/>
  <c r="B40650" i="1"/>
  <c r="A40651" i="1"/>
  <c r="B40651" i="1"/>
  <c r="A40652" i="1"/>
  <c r="B40652" i="1"/>
  <c r="A40653" i="1"/>
  <c r="B40653" i="1"/>
  <c r="A40654" i="1"/>
  <c r="B40654" i="1"/>
  <c r="A40655" i="1"/>
  <c r="B40655" i="1"/>
  <c r="A40656" i="1"/>
  <c r="B40656" i="1"/>
  <c r="A40657" i="1"/>
  <c r="B40657" i="1"/>
  <c r="A40658" i="1"/>
  <c r="B40658" i="1"/>
  <c r="A40659" i="1"/>
  <c r="B40659" i="1"/>
  <c r="A40660" i="1"/>
  <c r="B40660" i="1"/>
  <c r="A40661" i="1"/>
  <c r="B40661" i="1"/>
  <c r="A40662" i="1"/>
  <c r="B40662" i="1"/>
  <c r="A40663" i="1"/>
  <c r="B40663" i="1"/>
  <c r="A40664" i="1"/>
  <c r="B40664" i="1"/>
  <c r="A40665" i="1"/>
  <c r="B40665" i="1"/>
  <c r="A40666" i="1"/>
  <c r="B40666" i="1"/>
  <c r="A40667" i="1"/>
  <c r="B40667" i="1"/>
  <c r="A40668" i="1"/>
  <c r="B40668" i="1"/>
  <c r="A40669" i="1"/>
  <c r="B40669" i="1"/>
  <c r="A40670" i="1"/>
  <c r="B40670" i="1"/>
  <c r="A40671" i="1"/>
  <c r="B40671" i="1"/>
  <c r="A40672" i="1"/>
  <c r="B40672" i="1"/>
  <c r="A40673" i="1"/>
  <c r="B40673" i="1"/>
  <c r="A40674" i="1"/>
  <c r="B40674" i="1"/>
  <c r="A40675" i="1"/>
  <c r="B40675" i="1"/>
  <c r="A40676" i="1"/>
  <c r="B40676" i="1"/>
  <c r="A40677" i="1"/>
  <c r="B40677" i="1"/>
  <c r="A40678" i="1"/>
  <c r="B40678" i="1"/>
  <c r="A40679" i="1"/>
  <c r="B40679" i="1"/>
  <c r="A40680" i="1"/>
  <c r="B40680" i="1"/>
  <c r="A40681" i="1"/>
  <c r="B40681" i="1"/>
  <c r="A40682" i="1"/>
  <c r="B40682" i="1"/>
  <c r="A40683" i="1"/>
  <c r="B40683" i="1"/>
  <c r="A40684" i="1"/>
  <c r="B40684" i="1"/>
  <c r="A40685" i="1"/>
  <c r="B40685" i="1"/>
  <c r="A40686" i="1"/>
  <c r="B40686" i="1"/>
  <c r="A40687" i="1"/>
  <c r="B40687" i="1"/>
  <c r="A40688" i="1"/>
  <c r="B40688" i="1"/>
  <c r="A40689" i="1"/>
  <c r="B40689" i="1"/>
  <c r="A40690" i="1"/>
  <c r="B40690" i="1"/>
  <c r="A40691" i="1"/>
  <c r="B40691" i="1"/>
  <c r="A40692" i="1"/>
  <c r="B40692" i="1"/>
  <c r="A40693" i="1"/>
  <c r="B40693" i="1"/>
  <c r="A40694" i="1"/>
  <c r="B40694" i="1"/>
  <c r="A40695" i="1"/>
  <c r="B40695" i="1"/>
  <c r="A40696" i="1"/>
  <c r="B40696" i="1"/>
  <c r="A40697" i="1"/>
  <c r="B40697" i="1"/>
  <c r="A40698" i="1"/>
  <c r="B40698" i="1"/>
  <c r="A40699" i="1"/>
  <c r="B40699" i="1"/>
  <c r="A40700" i="1"/>
  <c r="B40700" i="1"/>
  <c r="A40701" i="1"/>
  <c r="B40701" i="1"/>
  <c r="A40702" i="1"/>
  <c r="B40702" i="1"/>
  <c r="A40703" i="1"/>
  <c r="B40703" i="1"/>
  <c r="A40704" i="1"/>
  <c r="B40704" i="1"/>
  <c r="A40705" i="1"/>
  <c r="B40705" i="1"/>
  <c r="A40706" i="1"/>
  <c r="B40706" i="1"/>
  <c r="A40707" i="1"/>
  <c r="B40707" i="1"/>
  <c r="A40708" i="1"/>
  <c r="B40708" i="1"/>
  <c r="A40709" i="1"/>
  <c r="B40709" i="1"/>
  <c r="A40710" i="1"/>
  <c r="B40710" i="1"/>
  <c r="A40711" i="1"/>
  <c r="B40711" i="1"/>
  <c r="A40712" i="1"/>
  <c r="B40712" i="1"/>
  <c r="A40713" i="1"/>
  <c r="B40713" i="1"/>
  <c r="A40714" i="1"/>
  <c r="B40714" i="1"/>
  <c r="A40715" i="1"/>
  <c r="B40715" i="1"/>
  <c r="A40716" i="1"/>
  <c r="B40716" i="1"/>
  <c r="A40717" i="1"/>
  <c r="B40717" i="1"/>
  <c r="A40718" i="1"/>
  <c r="B40718" i="1"/>
  <c r="A40719" i="1"/>
  <c r="B40719" i="1"/>
  <c r="A40720" i="1"/>
  <c r="B40720" i="1"/>
  <c r="A40721" i="1"/>
  <c r="B40721" i="1"/>
  <c r="A40722" i="1"/>
  <c r="B40722" i="1"/>
  <c r="A40723" i="1"/>
  <c r="B40723" i="1"/>
  <c r="A40724" i="1"/>
  <c r="B40724" i="1"/>
  <c r="A40725" i="1"/>
  <c r="B40725" i="1"/>
  <c r="A40726" i="1"/>
  <c r="B40726" i="1"/>
  <c r="A40727" i="1"/>
  <c r="B40727" i="1"/>
  <c r="A40728" i="1"/>
  <c r="B40728" i="1"/>
  <c r="A40729" i="1"/>
  <c r="B40729" i="1"/>
  <c r="A40730" i="1"/>
  <c r="B40730" i="1"/>
  <c r="A40731" i="1"/>
  <c r="B40731" i="1"/>
  <c r="A40732" i="1"/>
  <c r="B40732" i="1"/>
  <c r="A40733" i="1"/>
  <c r="B40733" i="1"/>
  <c r="A40734" i="1"/>
  <c r="B40734" i="1"/>
  <c r="A40735" i="1"/>
  <c r="B40735" i="1"/>
  <c r="A40736" i="1"/>
  <c r="B40736" i="1"/>
  <c r="A40737" i="1"/>
  <c r="B40737" i="1"/>
  <c r="A40738" i="1"/>
  <c r="B40738" i="1"/>
  <c r="A40739" i="1"/>
  <c r="B40739" i="1"/>
  <c r="A40740" i="1"/>
  <c r="B40740" i="1"/>
  <c r="A40741" i="1"/>
  <c r="B40741" i="1"/>
  <c r="A40742" i="1"/>
  <c r="B40742" i="1"/>
  <c r="A40743" i="1"/>
  <c r="B40743" i="1"/>
  <c r="A40744" i="1"/>
  <c r="B40744" i="1"/>
  <c r="A40745" i="1"/>
  <c r="B40745" i="1"/>
  <c r="A40746" i="1"/>
  <c r="B40746" i="1"/>
  <c r="A40747" i="1"/>
  <c r="B40747" i="1"/>
  <c r="A40748" i="1"/>
  <c r="B40748" i="1"/>
  <c r="A40749" i="1"/>
  <c r="B40749" i="1"/>
  <c r="A40750" i="1"/>
  <c r="B40750" i="1"/>
  <c r="A40751" i="1"/>
  <c r="B40751" i="1"/>
  <c r="A40752" i="1"/>
  <c r="B40752" i="1"/>
  <c r="A40753" i="1"/>
  <c r="B40753" i="1"/>
  <c r="A40754" i="1"/>
  <c r="B40754" i="1"/>
  <c r="A40755" i="1"/>
  <c r="B40755" i="1"/>
  <c r="A40756" i="1"/>
  <c r="B40756" i="1"/>
  <c r="A40757" i="1"/>
  <c r="B40757" i="1"/>
  <c r="A40758" i="1"/>
  <c r="B40758" i="1"/>
  <c r="A40759" i="1"/>
  <c r="B40759" i="1"/>
  <c r="A40760" i="1"/>
  <c r="B40760" i="1"/>
  <c r="A40761" i="1"/>
  <c r="B40761" i="1"/>
  <c r="A40762" i="1"/>
  <c r="B40762" i="1"/>
  <c r="A40763" i="1"/>
  <c r="B40763" i="1"/>
  <c r="A40764" i="1"/>
  <c r="B40764" i="1"/>
  <c r="A40765" i="1"/>
  <c r="B40765" i="1"/>
  <c r="A40766" i="1"/>
  <c r="B40766" i="1"/>
  <c r="A40767" i="1"/>
  <c r="B40767" i="1"/>
  <c r="A40768" i="1"/>
  <c r="B40768" i="1"/>
  <c r="A40769" i="1"/>
  <c r="B40769" i="1"/>
  <c r="A40770" i="1"/>
  <c r="B40770" i="1"/>
  <c r="A40771" i="1"/>
  <c r="B40771" i="1"/>
  <c r="A40772" i="1"/>
  <c r="B40772" i="1"/>
  <c r="A40773" i="1"/>
  <c r="B40773" i="1"/>
  <c r="A40774" i="1"/>
  <c r="B40774" i="1"/>
  <c r="A40775" i="1"/>
  <c r="B40775" i="1"/>
  <c r="A40776" i="1"/>
  <c r="B40776" i="1"/>
  <c r="A40777" i="1"/>
  <c r="B40777" i="1"/>
  <c r="A40778" i="1"/>
  <c r="B40778" i="1"/>
  <c r="A40779" i="1"/>
  <c r="B40779" i="1"/>
  <c r="A40780" i="1"/>
  <c r="B40780" i="1"/>
  <c r="A40781" i="1"/>
  <c r="B40781" i="1"/>
  <c r="A40782" i="1"/>
  <c r="B40782" i="1"/>
  <c r="A40783" i="1"/>
  <c r="B40783" i="1"/>
  <c r="A40784" i="1"/>
  <c r="B40784" i="1"/>
  <c r="A40785" i="1"/>
  <c r="B40785" i="1"/>
  <c r="A40786" i="1"/>
  <c r="B40786" i="1"/>
  <c r="A40787" i="1"/>
  <c r="B40787" i="1"/>
  <c r="A40788" i="1"/>
  <c r="B40788" i="1"/>
  <c r="A40789" i="1"/>
  <c r="B40789" i="1"/>
  <c r="A40790" i="1"/>
  <c r="B40790" i="1"/>
  <c r="A40791" i="1"/>
  <c r="B40791" i="1"/>
  <c r="A40792" i="1"/>
  <c r="B40792" i="1"/>
  <c r="A40793" i="1"/>
  <c r="B40793" i="1"/>
  <c r="A40794" i="1"/>
  <c r="B40794" i="1"/>
  <c r="A40795" i="1"/>
  <c r="B40795" i="1"/>
  <c r="A40796" i="1"/>
  <c r="B40796" i="1"/>
  <c r="A40797" i="1"/>
  <c r="B40797" i="1"/>
  <c r="A40798" i="1"/>
  <c r="B40798" i="1"/>
  <c r="A40799" i="1"/>
  <c r="B40799" i="1"/>
  <c r="A40800" i="1"/>
  <c r="B40800" i="1"/>
  <c r="A40801" i="1"/>
  <c r="B40801" i="1"/>
  <c r="A40802" i="1"/>
  <c r="B40802" i="1"/>
  <c r="A40803" i="1"/>
  <c r="B40803" i="1"/>
  <c r="A40804" i="1"/>
  <c r="B40804" i="1"/>
  <c r="A40805" i="1"/>
  <c r="B40805" i="1"/>
  <c r="A40806" i="1"/>
  <c r="B40806" i="1"/>
  <c r="A40807" i="1"/>
  <c r="B40807" i="1"/>
  <c r="A40808" i="1"/>
  <c r="B40808" i="1"/>
  <c r="A40809" i="1"/>
  <c r="B40809" i="1"/>
  <c r="A40810" i="1"/>
  <c r="B40810" i="1"/>
  <c r="A40811" i="1"/>
  <c r="B40811" i="1"/>
  <c r="A40812" i="1"/>
  <c r="B40812" i="1"/>
  <c r="A40813" i="1"/>
  <c r="B40813" i="1"/>
  <c r="A40814" i="1"/>
  <c r="B40814" i="1"/>
  <c r="A40815" i="1"/>
  <c r="B40815" i="1"/>
  <c r="A40816" i="1"/>
  <c r="B40816" i="1"/>
  <c r="A40817" i="1"/>
  <c r="B40817" i="1"/>
  <c r="A40818" i="1"/>
  <c r="B40818" i="1"/>
  <c r="A40819" i="1"/>
  <c r="B40819" i="1"/>
  <c r="A40820" i="1"/>
  <c r="B40820" i="1"/>
  <c r="A40821" i="1"/>
  <c r="B40821" i="1"/>
  <c r="A40822" i="1"/>
  <c r="B40822" i="1"/>
  <c r="A40823" i="1"/>
  <c r="B40823" i="1"/>
  <c r="A40824" i="1"/>
  <c r="B40824" i="1"/>
  <c r="A40825" i="1"/>
  <c r="B40825" i="1"/>
  <c r="A40826" i="1"/>
  <c r="B40826" i="1"/>
  <c r="A40827" i="1"/>
  <c r="B40827" i="1"/>
  <c r="A40828" i="1"/>
  <c r="B40828" i="1"/>
  <c r="A40829" i="1"/>
  <c r="B40829" i="1"/>
  <c r="A40830" i="1"/>
  <c r="B40830" i="1"/>
  <c r="A40831" i="1"/>
  <c r="B40831" i="1"/>
  <c r="A40832" i="1"/>
  <c r="B40832" i="1"/>
  <c r="A40833" i="1"/>
  <c r="B40833" i="1"/>
  <c r="A40834" i="1"/>
  <c r="B40834" i="1"/>
  <c r="A40835" i="1"/>
  <c r="B40835" i="1"/>
  <c r="A40836" i="1"/>
  <c r="B40836" i="1"/>
  <c r="A40837" i="1"/>
  <c r="B40837" i="1"/>
  <c r="A40838" i="1"/>
  <c r="B40838" i="1"/>
  <c r="A40839" i="1"/>
  <c r="B40839" i="1"/>
  <c r="A40840" i="1"/>
  <c r="B40840" i="1"/>
  <c r="A40841" i="1"/>
  <c r="B40841" i="1"/>
  <c r="A40842" i="1"/>
  <c r="B40842" i="1"/>
  <c r="A40843" i="1"/>
  <c r="B40843" i="1"/>
  <c r="A40844" i="1"/>
  <c r="B40844" i="1"/>
  <c r="A40845" i="1"/>
  <c r="B40845" i="1"/>
  <c r="A40846" i="1"/>
  <c r="B40846" i="1"/>
  <c r="A40847" i="1"/>
  <c r="B40847" i="1"/>
  <c r="A40848" i="1"/>
  <c r="B40848" i="1"/>
  <c r="A40849" i="1"/>
  <c r="B40849" i="1"/>
  <c r="A40850" i="1"/>
  <c r="B40850" i="1"/>
  <c r="A40851" i="1"/>
  <c r="B40851" i="1"/>
  <c r="A40852" i="1"/>
  <c r="B40852" i="1"/>
  <c r="A40853" i="1"/>
  <c r="B40853" i="1"/>
  <c r="A40854" i="1"/>
  <c r="B40854" i="1"/>
  <c r="A40855" i="1"/>
  <c r="B40855" i="1"/>
  <c r="A40856" i="1"/>
  <c r="B40856" i="1"/>
  <c r="A40857" i="1"/>
  <c r="B40857" i="1"/>
  <c r="A40858" i="1"/>
  <c r="B40858" i="1"/>
  <c r="A40859" i="1"/>
  <c r="B40859" i="1"/>
  <c r="A40860" i="1"/>
  <c r="B40860" i="1"/>
  <c r="A40861" i="1"/>
  <c r="B40861" i="1"/>
  <c r="A40862" i="1"/>
  <c r="B40862" i="1"/>
  <c r="A40863" i="1"/>
  <c r="B40863" i="1"/>
  <c r="A40864" i="1"/>
  <c r="B40864" i="1"/>
  <c r="A40865" i="1"/>
  <c r="B40865" i="1"/>
  <c r="A40866" i="1"/>
  <c r="B40866" i="1"/>
  <c r="A40867" i="1"/>
  <c r="B40867" i="1"/>
  <c r="A40868" i="1"/>
  <c r="B40868" i="1"/>
  <c r="A40869" i="1"/>
  <c r="B40869" i="1"/>
  <c r="A40870" i="1"/>
  <c r="B40870" i="1"/>
  <c r="A40871" i="1"/>
  <c r="B40871" i="1"/>
  <c r="A40872" i="1"/>
  <c r="B40872" i="1"/>
  <c r="A40873" i="1"/>
  <c r="B40873" i="1"/>
  <c r="A40874" i="1"/>
  <c r="B40874" i="1"/>
  <c r="A40875" i="1"/>
  <c r="B40875" i="1"/>
  <c r="A40876" i="1"/>
  <c r="B40876" i="1"/>
  <c r="A40877" i="1"/>
  <c r="B40877" i="1"/>
  <c r="A40878" i="1"/>
  <c r="B40878" i="1"/>
  <c r="A40879" i="1"/>
  <c r="B40879" i="1"/>
  <c r="A40880" i="1"/>
  <c r="B40880" i="1"/>
  <c r="A40881" i="1"/>
  <c r="B40881" i="1"/>
  <c r="A40882" i="1"/>
  <c r="B40882" i="1"/>
  <c r="A40883" i="1"/>
  <c r="B40883" i="1"/>
  <c r="A40884" i="1"/>
  <c r="B40884" i="1"/>
  <c r="A40885" i="1"/>
  <c r="B40885" i="1"/>
  <c r="A40886" i="1"/>
  <c r="B40886" i="1"/>
  <c r="A40887" i="1"/>
  <c r="B40887" i="1"/>
  <c r="A40888" i="1"/>
  <c r="B40888" i="1"/>
  <c r="A40889" i="1"/>
  <c r="B40889" i="1"/>
  <c r="A40890" i="1"/>
  <c r="B40890" i="1"/>
  <c r="A40891" i="1"/>
  <c r="B40891" i="1"/>
  <c r="A40892" i="1"/>
  <c r="B40892" i="1"/>
  <c r="A40893" i="1"/>
  <c r="B40893" i="1"/>
  <c r="A40894" i="1"/>
  <c r="B40894" i="1"/>
  <c r="A40895" i="1"/>
  <c r="B40895" i="1"/>
  <c r="A40896" i="1"/>
  <c r="B40896" i="1"/>
  <c r="A40897" i="1"/>
  <c r="B40897" i="1"/>
  <c r="A40898" i="1"/>
  <c r="B40898" i="1"/>
  <c r="A40899" i="1"/>
  <c r="B40899" i="1"/>
  <c r="A40900" i="1"/>
  <c r="B40900" i="1"/>
  <c r="A40901" i="1"/>
  <c r="B40901" i="1"/>
  <c r="A40902" i="1"/>
  <c r="B40902" i="1"/>
  <c r="A40903" i="1"/>
  <c r="B40903" i="1"/>
  <c r="A40904" i="1"/>
  <c r="B40904" i="1"/>
  <c r="A40905" i="1"/>
  <c r="B40905" i="1"/>
  <c r="A40906" i="1"/>
  <c r="B40906" i="1"/>
  <c r="A40907" i="1"/>
  <c r="B40907" i="1"/>
  <c r="A40908" i="1"/>
  <c r="B40908" i="1"/>
  <c r="A40909" i="1"/>
  <c r="B40909" i="1"/>
  <c r="A40910" i="1"/>
  <c r="B40910" i="1"/>
  <c r="A40911" i="1"/>
  <c r="B40911" i="1"/>
  <c r="A40912" i="1"/>
  <c r="B40912" i="1"/>
  <c r="A40913" i="1"/>
  <c r="B40913" i="1"/>
  <c r="A40914" i="1"/>
  <c r="B40914" i="1"/>
  <c r="A40915" i="1"/>
  <c r="B40915" i="1"/>
  <c r="A40916" i="1"/>
  <c r="B40916" i="1"/>
  <c r="A40917" i="1"/>
  <c r="B40917" i="1"/>
  <c r="A40918" i="1"/>
  <c r="B40918" i="1"/>
  <c r="A40919" i="1"/>
  <c r="B40919" i="1"/>
  <c r="A40920" i="1"/>
  <c r="B40920" i="1"/>
  <c r="A40921" i="1"/>
  <c r="B40921" i="1"/>
  <c r="A40922" i="1"/>
  <c r="B40922" i="1"/>
  <c r="A40923" i="1"/>
  <c r="B40923" i="1"/>
  <c r="A40924" i="1"/>
  <c r="B40924" i="1"/>
  <c r="A40925" i="1"/>
  <c r="B40925" i="1"/>
  <c r="A40926" i="1"/>
  <c r="B40926" i="1"/>
  <c r="A40927" i="1"/>
  <c r="B40927" i="1"/>
  <c r="A40928" i="1"/>
  <c r="B40928" i="1"/>
  <c r="A40929" i="1"/>
  <c r="B40929" i="1"/>
  <c r="A40930" i="1"/>
  <c r="B40930" i="1"/>
  <c r="A40931" i="1"/>
  <c r="B40931" i="1"/>
  <c r="A40932" i="1"/>
  <c r="B40932" i="1"/>
  <c r="A40933" i="1"/>
  <c r="B40933" i="1"/>
  <c r="A40934" i="1"/>
  <c r="B40934" i="1"/>
  <c r="A40935" i="1"/>
  <c r="B40935" i="1"/>
  <c r="A40936" i="1"/>
  <c r="B40936" i="1"/>
  <c r="A40937" i="1"/>
  <c r="B40937" i="1"/>
  <c r="A40938" i="1"/>
  <c r="B40938" i="1"/>
  <c r="A40939" i="1"/>
  <c r="B40939" i="1"/>
  <c r="A40940" i="1"/>
  <c r="B40940" i="1"/>
  <c r="A40941" i="1"/>
  <c r="B40941" i="1"/>
  <c r="A40942" i="1"/>
  <c r="B40942" i="1"/>
  <c r="A40943" i="1"/>
  <c r="B40943" i="1"/>
  <c r="A40944" i="1"/>
  <c r="B40944" i="1"/>
  <c r="A40945" i="1"/>
  <c r="B40945" i="1"/>
  <c r="A40946" i="1"/>
  <c r="B40946" i="1"/>
  <c r="A40947" i="1"/>
  <c r="B40947" i="1"/>
  <c r="A40948" i="1"/>
  <c r="B40948" i="1"/>
  <c r="A40949" i="1"/>
  <c r="B40949" i="1"/>
  <c r="A40950" i="1"/>
  <c r="B40950" i="1"/>
  <c r="A40951" i="1"/>
  <c r="B40951" i="1"/>
  <c r="A40952" i="1"/>
  <c r="B40952" i="1"/>
  <c r="A40953" i="1"/>
  <c r="B40953" i="1"/>
  <c r="A40954" i="1"/>
  <c r="B40954" i="1"/>
  <c r="A40955" i="1"/>
  <c r="B40955" i="1"/>
  <c r="A40956" i="1"/>
  <c r="B40956" i="1"/>
  <c r="A40957" i="1"/>
  <c r="B40957" i="1"/>
  <c r="A40958" i="1"/>
  <c r="B40958" i="1"/>
  <c r="A40959" i="1"/>
  <c r="B40959" i="1"/>
  <c r="A40960" i="1"/>
  <c r="B40960" i="1"/>
  <c r="A40961" i="1"/>
  <c r="B40961" i="1"/>
  <c r="A40962" i="1"/>
  <c r="B40962" i="1"/>
  <c r="A40963" i="1"/>
  <c r="B40963" i="1"/>
  <c r="A40964" i="1"/>
  <c r="B40964" i="1"/>
  <c r="A40965" i="1"/>
  <c r="B40965" i="1"/>
  <c r="A40966" i="1"/>
  <c r="B40966" i="1"/>
  <c r="A40967" i="1"/>
  <c r="B40967" i="1"/>
  <c r="A40968" i="1"/>
  <c r="B40968" i="1"/>
  <c r="A40969" i="1"/>
  <c r="B40969" i="1"/>
  <c r="A40970" i="1"/>
  <c r="B40970" i="1"/>
  <c r="A40971" i="1"/>
  <c r="B40971" i="1"/>
  <c r="A40972" i="1"/>
  <c r="B40972" i="1"/>
  <c r="A40973" i="1"/>
  <c r="B40973" i="1"/>
  <c r="A40974" i="1"/>
  <c r="B40974" i="1"/>
  <c r="A40975" i="1"/>
  <c r="B40975" i="1"/>
  <c r="A40976" i="1"/>
  <c r="B40976" i="1"/>
  <c r="A40977" i="1"/>
  <c r="B40977" i="1"/>
  <c r="A40978" i="1"/>
  <c r="B40978" i="1"/>
  <c r="A40979" i="1"/>
  <c r="B40979" i="1"/>
  <c r="A40980" i="1"/>
  <c r="B40980" i="1"/>
  <c r="A40981" i="1"/>
  <c r="B40981" i="1"/>
  <c r="A40982" i="1"/>
  <c r="B40982" i="1"/>
  <c r="A40983" i="1"/>
  <c r="B40983" i="1"/>
  <c r="A40984" i="1"/>
  <c r="B40984" i="1"/>
  <c r="A40985" i="1"/>
  <c r="B40985" i="1"/>
  <c r="A40986" i="1"/>
  <c r="B40986" i="1"/>
  <c r="A40987" i="1"/>
  <c r="B40987" i="1"/>
  <c r="A40988" i="1"/>
  <c r="B40988" i="1"/>
  <c r="A40989" i="1"/>
  <c r="B40989" i="1"/>
  <c r="A40990" i="1"/>
  <c r="B40990" i="1"/>
  <c r="A40991" i="1"/>
  <c r="B40991" i="1"/>
  <c r="A40992" i="1"/>
  <c r="B40992" i="1"/>
  <c r="A40993" i="1"/>
  <c r="B40993" i="1"/>
  <c r="A40994" i="1"/>
  <c r="B40994" i="1"/>
  <c r="A40995" i="1"/>
  <c r="B40995" i="1"/>
  <c r="A40996" i="1"/>
  <c r="B40996" i="1"/>
  <c r="A40997" i="1"/>
  <c r="B40997" i="1"/>
  <c r="A40998" i="1"/>
  <c r="B40998" i="1"/>
  <c r="A40999" i="1"/>
  <c r="B40999" i="1"/>
  <c r="A41000" i="1"/>
  <c r="B41000" i="1"/>
  <c r="A41001" i="1"/>
  <c r="B41001" i="1"/>
  <c r="A41002" i="1"/>
  <c r="B41002" i="1"/>
  <c r="A41003" i="1"/>
  <c r="B41003" i="1"/>
  <c r="A41004" i="1"/>
  <c r="B41004" i="1"/>
  <c r="A41005" i="1"/>
  <c r="B41005" i="1"/>
  <c r="A41006" i="1"/>
  <c r="B41006" i="1"/>
  <c r="A41007" i="1"/>
  <c r="B41007" i="1"/>
  <c r="A41008" i="1"/>
  <c r="B41008" i="1"/>
  <c r="A41009" i="1"/>
  <c r="B41009" i="1"/>
  <c r="A41010" i="1"/>
  <c r="B41010" i="1"/>
  <c r="A41011" i="1"/>
  <c r="B41011" i="1"/>
  <c r="A41012" i="1"/>
  <c r="B41012" i="1"/>
  <c r="A41013" i="1"/>
  <c r="B41013" i="1"/>
  <c r="A41014" i="1"/>
  <c r="B41014" i="1"/>
  <c r="A41015" i="1"/>
  <c r="B41015" i="1"/>
  <c r="A41016" i="1"/>
  <c r="B41016" i="1"/>
  <c r="A41017" i="1"/>
  <c r="B41017" i="1"/>
  <c r="A41018" i="1"/>
  <c r="B41018" i="1"/>
  <c r="A41019" i="1"/>
  <c r="B41019" i="1"/>
  <c r="A41020" i="1"/>
  <c r="B41020" i="1"/>
  <c r="A41021" i="1"/>
  <c r="B41021" i="1"/>
  <c r="A41022" i="1"/>
  <c r="B41022" i="1"/>
  <c r="A41023" i="1"/>
  <c r="B41023" i="1"/>
  <c r="A41024" i="1"/>
  <c r="B41024" i="1"/>
  <c r="A41025" i="1"/>
  <c r="B41025" i="1"/>
  <c r="A41026" i="1"/>
  <c r="B41026" i="1"/>
  <c r="A41027" i="1"/>
  <c r="B41027" i="1"/>
  <c r="A41028" i="1"/>
  <c r="B41028" i="1"/>
  <c r="A41029" i="1"/>
  <c r="B41029" i="1"/>
  <c r="A41030" i="1"/>
  <c r="B41030" i="1"/>
  <c r="A41031" i="1"/>
  <c r="B41031" i="1"/>
  <c r="A41032" i="1"/>
  <c r="B41032" i="1"/>
  <c r="A41033" i="1"/>
  <c r="B41033" i="1"/>
  <c r="A41034" i="1"/>
  <c r="B41034" i="1"/>
  <c r="A41035" i="1"/>
  <c r="B41035" i="1"/>
  <c r="A41036" i="1"/>
  <c r="B41036" i="1"/>
  <c r="A41037" i="1"/>
  <c r="B41037" i="1"/>
  <c r="A41038" i="1"/>
  <c r="B41038" i="1"/>
  <c r="A41039" i="1"/>
  <c r="B41039" i="1"/>
  <c r="A41040" i="1"/>
  <c r="B41040" i="1"/>
  <c r="A41041" i="1"/>
  <c r="B41041" i="1"/>
  <c r="A41042" i="1"/>
  <c r="B41042" i="1"/>
  <c r="A41043" i="1"/>
  <c r="B41043" i="1"/>
  <c r="A41044" i="1"/>
  <c r="B41044" i="1"/>
  <c r="A41045" i="1"/>
  <c r="B41045" i="1"/>
  <c r="A41046" i="1"/>
  <c r="B41046" i="1"/>
  <c r="A41047" i="1"/>
  <c r="B41047" i="1"/>
  <c r="A41048" i="1"/>
  <c r="B41048" i="1"/>
  <c r="A41049" i="1"/>
  <c r="B41049" i="1"/>
  <c r="A41050" i="1"/>
  <c r="B41050" i="1"/>
  <c r="A41051" i="1"/>
  <c r="B41051" i="1"/>
  <c r="A41052" i="1"/>
  <c r="B41052" i="1"/>
  <c r="A41053" i="1"/>
  <c r="B41053" i="1"/>
  <c r="A41054" i="1"/>
  <c r="B41054" i="1"/>
  <c r="A41055" i="1"/>
  <c r="B41055" i="1"/>
  <c r="A41056" i="1"/>
  <c r="B41056" i="1"/>
  <c r="A41057" i="1"/>
  <c r="B41057" i="1"/>
  <c r="A41058" i="1"/>
  <c r="B41058" i="1"/>
  <c r="A41059" i="1"/>
  <c r="B41059" i="1"/>
  <c r="A41060" i="1"/>
  <c r="B41060" i="1"/>
  <c r="A41061" i="1"/>
  <c r="B41061" i="1"/>
  <c r="A41062" i="1"/>
  <c r="B41062" i="1"/>
  <c r="A41063" i="1"/>
  <c r="B41063" i="1"/>
  <c r="A41064" i="1"/>
  <c r="B41064" i="1"/>
  <c r="A41065" i="1"/>
  <c r="B41065" i="1"/>
  <c r="A41066" i="1"/>
  <c r="B41066" i="1"/>
  <c r="A41067" i="1"/>
  <c r="B41067" i="1"/>
  <c r="A41068" i="1"/>
  <c r="B41068" i="1"/>
  <c r="A41069" i="1"/>
  <c r="B41069" i="1"/>
  <c r="A41070" i="1"/>
  <c r="B41070" i="1"/>
  <c r="A41071" i="1"/>
  <c r="B41071" i="1"/>
  <c r="A41072" i="1"/>
  <c r="B41072" i="1"/>
  <c r="A41073" i="1"/>
  <c r="B41073" i="1"/>
  <c r="A41074" i="1"/>
  <c r="B41074" i="1"/>
  <c r="A41075" i="1"/>
  <c r="B41075" i="1"/>
  <c r="A41076" i="1"/>
  <c r="B41076" i="1"/>
  <c r="A41077" i="1"/>
  <c r="B41077" i="1"/>
  <c r="A41078" i="1"/>
  <c r="B41078" i="1"/>
  <c r="A41079" i="1"/>
  <c r="B41079" i="1"/>
  <c r="A41080" i="1"/>
  <c r="B41080" i="1"/>
  <c r="A41081" i="1"/>
  <c r="B41081" i="1"/>
  <c r="A41082" i="1"/>
  <c r="B41082" i="1"/>
  <c r="A41083" i="1"/>
  <c r="B41083" i="1"/>
  <c r="A41084" i="1"/>
  <c r="B41084" i="1"/>
  <c r="A41085" i="1"/>
  <c r="B41085" i="1"/>
  <c r="A41086" i="1"/>
  <c r="B41086" i="1"/>
  <c r="A41087" i="1"/>
  <c r="B41087" i="1"/>
  <c r="A41088" i="1"/>
  <c r="B41088" i="1"/>
  <c r="A41089" i="1"/>
  <c r="B41089" i="1"/>
  <c r="A41090" i="1"/>
  <c r="B41090" i="1"/>
  <c r="A41091" i="1"/>
  <c r="B41091" i="1"/>
  <c r="A41092" i="1"/>
  <c r="B41092" i="1"/>
  <c r="A41093" i="1"/>
  <c r="B41093" i="1"/>
  <c r="A41094" i="1"/>
  <c r="B41094" i="1"/>
  <c r="A41095" i="1"/>
  <c r="B41095" i="1"/>
  <c r="A41096" i="1"/>
  <c r="B41096" i="1"/>
  <c r="A41097" i="1"/>
  <c r="B41097" i="1"/>
  <c r="A41098" i="1"/>
  <c r="B41098" i="1"/>
  <c r="A41099" i="1"/>
  <c r="B41099" i="1"/>
  <c r="A41100" i="1"/>
  <c r="B41100" i="1"/>
  <c r="A41101" i="1"/>
  <c r="B41101" i="1"/>
  <c r="A41102" i="1"/>
  <c r="B41102" i="1"/>
  <c r="A41103" i="1"/>
  <c r="B41103" i="1"/>
  <c r="A41104" i="1"/>
  <c r="B41104" i="1"/>
  <c r="A41105" i="1"/>
  <c r="B41105" i="1"/>
  <c r="A41106" i="1"/>
  <c r="B41106" i="1"/>
  <c r="A41107" i="1"/>
  <c r="B41107" i="1"/>
  <c r="A41108" i="1"/>
  <c r="B41108" i="1"/>
  <c r="A41109" i="1"/>
  <c r="B41109" i="1"/>
  <c r="A41110" i="1"/>
  <c r="B41110" i="1"/>
  <c r="A41111" i="1"/>
  <c r="B41111" i="1"/>
  <c r="A41112" i="1"/>
  <c r="B41112" i="1"/>
  <c r="A41113" i="1"/>
  <c r="B41113" i="1"/>
  <c r="A41114" i="1"/>
  <c r="B41114" i="1"/>
  <c r="A41115" i="1"/>
  <c r="B41115" i="1"/>
  <c r="A41116" i="1"/>
  <c r="B41116" i="1"/>
  <c r="A41117" i="1"/>
  <c r="B41117" i="1"/>
  <c r="A41118" i="1"/>
  <c r="B41118" i="1"/>
  <c r="A41119" i="1"/>
  <c r="B41119" i="1"/>
  <c r="A41120" i="1"/>
  <c r="B41120" i="1"/>
  <c r="A41121" i="1"/>
  <c r="B41121" i="1"/>
  <c r="A41122" i="1"/>
  <c r="B41122" i="1"/>
  <c r="A41123" i="1"/>
  <c r="B41123" i="1"/>
  <c r="A41124" i="1"/>
  <c r="B41124" i="1"/>
  <c r="A41125" i="1"/>
  <c r="B41125" i="1"/>
  <c r="A41126" i="1"/>
  <c r="B41126" i="1"/>
  <c r="A41127" i="1"/>
  <c r="B41127" i="1"/>
  <c r="A41128" i="1"/>
  <c r="B41128" i="1"/>
  <c r="A41129" i="1"/>
  <c r="B41129" i="1"/>
  <c r="A41130" i="1"/>
  <c r="B41130" i="1"/>
  <c r="A41131" i="1"/>
  <c r="B41131" i="1"/>
  <c r="A41132" i="1"/>
  <c r="B41132" i="1"/>
  <c r="A41133" i="1"/>
  <c r="B41133" i="1"/>
  <c r="A41134" i="1"/>
  <c r="B41134" i="1"/>
  <c r="A41135" i="1"/>
  <c r="B41135" i="1"/>
  <c r="A41136" i="1"/>
  <c r="B41136" i="1"/>
  <c r="A41137" i="1"/>
  <c r="B41137" i="1"/>
  <c r="A41138" i="1"/>
  <c r="B41138" i="1"/>
  <c r="A41139" i="1"/>
  <c r="B41139" i="1"/>
  <c r="A41140" i="1"/>
  <c r="B41140" i="1"/>
  <c r="A41141" i="1"/>
  <c r="B41141" i="1"/>
  <c r="A41142" i="1"/>
  <c r="B41142" i="1"/>
  <c r="A41143" i="1"/>
  <c r="B41143" i="1"/>
  <c r="A41144" i="1"/>
  <c r="B41144" i="1"/>
  <c r="A41145" i="1"/>
  <c r="B41145" i="1"/>
  <c r="A41146" i="1"/>
  <c r="B41146" i="1"/>
  <c r="A41147" i="1"/>
  <c r="B41147" i="1"/>
  <c r="A41148" i="1"/>
  <c r="B41148" i="1"/>
  <c r="A41149" i="1"/>
  <c r="B41149" i="1"/>
  <c r="A41150" i="1"/>
  <c r="B41150" i="1"/>
  <c r="A41151" i="1"/>
  <c r="B41151" i="1"/>
  <c r="A41152" i="1"/>
  <c r="B41152" i="1"/>
  <c r="A41153" i="1"/>
  <c r="B41153" i="1"/>
  <c r="A41154" i="1"/>
  <c r="B41154" i="1"/>
  <c r="A41155" i="1"/>
  <c r="B41155" i="1"/>
  <c r="A41156" i="1"/>
  <c r="B41156" i="1"/>
  <c r="A41157" i="1"/>
  <c r="B41157" i="1"/>
  <c r="A41158" i="1"/>
  <c r="B41158" i="1"/>
  <c r="A41159" i="1"/>
  <c r="B41159" i="1"/>
  <c r="A41160" i="1"/>
  <c r="B41160" i="1"/>
  <c r="A41161" i="1"/>
  <c r="B41161" i="1"/>
  <c r="A41162" i="1"/>
  <c r="B41162" i="1"/>
  <c r="A41163" i="1"/>
  <c r="B41163" i="1"/>
  <c r="A41164" i="1"/>
  <c r="B41164" i="1"/>
  <c r="A41165" i="1"/>
  <c r="B41165" i="1"/>
  <c r="A41166" i="1"/>
  <c r="B41166" i="1"/>
  <c r="A41167" i="1"/>
  <c r="B41167" i="1"/>
  <c r="A41168" i="1"/>
  <c r="B41168" i="1"/>
  <c r="A41169" i="1"/>
  <c r="B41169" i="1"/>
  <c r="A41170" i="1"/>
  <c r="B41170" i="1"/>
  <c r="A41171" i="1"/>
  <c r="B41171" i="1"/>
  <c r="A41172" i="1"/>
  <c r="B41172" i="1"/>
  <c r="A41173" i="1"/>
  <c r="B41173" i="1"/>
  <c r="A41174" i="1"/>
  <c r="B41174" i="1"/>
  <c r="A41175" i="1"/>
  <c r="B41175" i="1"/>
  <c r="A41176" i="1"/>
  <c r="B41176" i="1"/>
  <c r="A41177" i="1"/>
  <c r="B41177" i="1"/>
  <c r="A41178" i="1"/>
  <c r="B41178" i="1"/>
  <c r="A41179" i="1"/>
  <c r="B41179" i="1"/>
  <c r="A41180" i="1"/>
  <c r="B41180" i="1"/>
  <c r="A41181" i="1"/>
  <c r="B41181" i="1"/>
  <c r="A41182" i="1"/>
  <c r="B41182" i="1"/>
  <c r="A41183" i="1"/>
  <c r="B41183" i="1"/>
  <c r="A41184" i="1"/>
  <c r="B41184" i="1"/>
  <c r="A41185" i="1"/>
  <c r="B41185" i="1"/>
  <c r="A41186" i="1"/>
  <c r="B41186" i="1"/>
  <c r="A41187" i="1"/>
  <c r="B41187" i="1"/>
  <c r="A41188" i="1"/>
  <c r="B41188" i="1"/>
  <c r="A41189" i="1"/>
  <c r="B41189" i="1"/>
  <c r="A41190" i="1"/>
  <c r="B41190" i="1"/>
  <c r="A41191" i="1"/>
  <c r="B41191" i="1"/>
  <c r="A41192" i="1"/>
  <c r="B41192" i="1"/>
  <c r="A41193" i="1"/>
  <c r="B41193" i="1"/>
  <c r="A41194" i="1"/>
  <c r="B41194" i="1"/>
  <c r="A41195" i="1"/>
  <c r="B41195" i="1"/>
  <c r="A41196" i="1"/>
  <c r="B41196" i="1"/>
  <c r="A41197" i="1"/>
  <c r="B41197" i="1"/>
  <c r="A41198" i="1"/>
  <c r="B41198" i="1"/>
  <c r="A41199" i="1"/>
  <c r="B41199" i="1"/>
  <c r="A41200" i="1"/>
  <c r="B41200" i="1"/>
  <c r="A41201" i="1"/>
  <c r="B41201" i="1"/>
  <c r="A41202" i="1"/>
  <c r="B41202" i="1"/>
  <c r="A41203" i="1"/>
  <c r="B41203" i="1"/>
  <c r="A41204" i="1"/>
  <c r="B41204" i="1"/>
  <c r="A41205" i="1"/>
  <c r="B41205" i="1"/>
  <c r="A41206" i="1"/>
  <c r="B41206" i="1"/>
  <c r="A41207" i="1"/>
  <c r="B41207" i="1"/>
  <c r="A41208" i="1"/>
  <c r="B41208" i="1"/>
  <c r="A41209" i="1"/>
  <c r="B41209" i="1"/>
  <c r="A41210" i="1"/>
  <c r="B41210" i="1"/>
  <c r="A41211" i="1"/>
  <c r="B41211" i="1"/>
  <c r="A41212" i="1"/>
  <c r="B41212" i="1"/>
  <c r="A41213" i="1"/>
  <c r="B41213" i="1"/>
  <c r="A41214" i="1"/>
  <c r="B41214" i="1"/>
  <c r="A41215" i="1"/>
  <c r="B41215" i="1"/>
  <c r="A41216" i="1"/>
  <c r="B41216" i="1"/>
  <c r="A41217" i="1"/>
  <c r="B41217" i="1"/>
  <c r="A41218" i="1"/>
  <c r="B41218" i="1"/>
  <c r="A41219" i="1"/>
  <c r="B41219" i="1"/>
  <c r="A41220" i="1"/>
  <c r="B41220" i="1"/>
  <c r="A41221" i="1"/>
  <c r="B41221" i="1"/>
  <c r="A41222" i="1"/>
  <c r="B41222" i="1"/>
  <c r="A41223" i="1"/>
  <c r="B41223" i="1"/>
  <c r="A41224" i="1"/>
  <c r="B41224" i="1"/>
  <c r="A41225" i="1"/>
  <c r="B41225" i="1"/>
  <c r="A41226" i="1"/>
  <c r="B41226" i="1"/>
  <c r="A41227" i="1"/>
  <c r="B41227" i="1"/>
  <c r="A41228" i="1"/>
  <c r="B41228" i="1"/>
  <c r="A41229" i="1"/>
  <c r="B41229" i="1"/>
  <c r="A41230" i="1"/>
  <c r="B41230" i="1"/>
  <c r="A41231" i="1"/>
  <c r="B41231" i="1"/>
  <c r="A41232" i="1"/>
  <c r="B41232" i="1"/>
  <c r="A41233" i="1"/>
  <c r="B41233" i="1"/>
  <c r="A41234" i="1"/>
  <c r="B41234" i="1"/>
  <c r="A41235" i="1"/>
  <c r="B41235" i="1"/>
  <c r="A41236" i="1"/>
  <c r="B41236" i="1"/>
  <c r="A41237" i="1"/>
  <c r="B41237" i="1"/>
  <c r="A41238" i="1"/>
  <c r="B41238" i="1"/>
  <c r="A41239" i="1"/>
  <c r="B41239" i="1"/>
  <c r="A41240" i="1"/>
  <c r="B41240" i="1"/>
  <c r="A41241" i="1"/>
  <c r="B41241" i="1"/>
  <c r="A41242" i="1"/>
  <c r="B41242" i="1"/>
  <c r="A41243" i="1"/>
  <c r="B41243" i="1"/>
  <c r="A41244" i="1"/>
  <c r="B41244" i="1"/>
  <c r="A41245" i="1"/>
  <c r="B41245" i="1"/>
  <c r="A41246" i="1"/>
  <c r="B41246" i="1"/>
  <c r="A41247" i="1"/>
  <c r="B41247" i="1"/>
  <c r="A41248" i="1"/>
  <c r="B41248" i="1"/>
  <c r="A41249" i="1"/>
  <c r="B41249" i="1"/>
  <c r="A41250" i="1"/>
  <c r="B41250" i="1"/>
  <c r="A41251" i="1"/>
  <c r="B41251" i="1"/>
  <c r="A41252" i="1"/>
  <c r="B41252" i="1"/>
  <c r="A41253" i="1"/>
  <c r="B41253" i="1"/>
  <c r="A41254" i="1"/>
  <c r="B41254" i="1"/>
  <c r="A41255" i="1"/>
  <c r="B41255" i="1"/>
  <c r="A41256" i="1"/>
  <c r="B41256" i="1"/>
  <c r="A41257" i="1"/>
  <c r="B41257" i="1"/>
  <c r="A41258" i="1"/>
  <c r="B41258" i="1"/>
  <c r="A41259" i="1"/>
  <c r="B41259" i="1"/>
  <c r="A41260" i="1"/>
  <c r="B41260" i="1"/>
  <c r="A41261" i="1"/>
  <c r="B41261" i="1"/>
  <c r="A41262" i="1"/>
  <c r="B41262" i="1"/>
  <c r="A41263" i="1"/>
  <c r="B41263" i="1"/>
  <c r="A41264" i="1"/>
  <c r="B41264" i="1"/>
  <c r="A41265" i="1"/>
  <c r="B41265" i="1"/>
  <c r="A41266" i="1"/>
  <c r="B41266" i="1"/>
  <c r="A41267" i="1"/>
  <c r="B41267" i="1"/>
  <c r="A41268" i="1"/>
  <c r="B41268" i="1"/>
  <c r="A41269" i="1"/>
  <c r="B41269" i="1"/>
  <c r="A41270" i="1"/>
  <c r="B41270" i="1"/>
  <c r="A41271" i="1"/>
  <c r="B41271" i="1"/>
  <c r="A41272" i="1"/>
  <c r="B41272" i="1"/>
  <c r="A41273" i="1"/>
  <c r="B41273" i="1"/>
  <c r="A41274" i="1"/>
  <c r="B41274" i="1"/>
  <c r="A41275" i="1"/>
  <c r="B41275" i="1"/>
  <c r="A41276" i="1"/>
  <c r="B41276" i="1"/>
  <c r="A41277" i="1"/>
  <c r="B41277" i="1"/>
  <c r="A41278" i="1"/>
  <c r="B41278" i="1"/>
  <c r="A41279" i="1"/>
  <c r="B41279" i="1"/>
  <c r="A41280" i="1"/>
  <c r="B41280" i="1"/>
  <c r="A41281" i="1"/>
  <c r="B41281" i="1"/>
  <c r="A41282" i="1"/>
  <c r="B41282" i="1"/>
  <c r="A41283" i="1"/>
  <c r="B41283" i="1"/>
  <c r="A41284" i="1"/>
  <c r="B41284" i="1"/>
  <c r="A41285" i="1"/>
  <c r="B41285" i="1"/>
  <c r="A41286" i="1"/>
  <c r="B41286" i="1"/>
  <c r="A41287" i="1"/>
  <c r="B41287" i="1"/>
  <c r="A41288" i="1"/>
  <c r="B41288" i="1"/>
  <c r="A41289" i="1"/>
  <c r="B41289" i="1"/>
  <c r="A41290" i="1"/>
  <c r="B41290" i="1"/>
  <c r="A41291" i="1"/>
  <c r="B41291" i="1"/>
  <c r="A41292" i="1"/>
  <c r="B41292" i="1"/>
  <c r="A41293" i="1"/>
  <c r="B41293" i="1"/>
  <c r="A41294" i="1"/>
  <c r="B41294" i="1"/>
  <c r="A41295" i="1"/>
  <c r="B41295" i="1"/>
  <c r="A41296" i="1"/>
  <c r="B41296" i="1"/>
  <c r="A41297" i="1"/>
  <c r="B41297" i="1"/>
  <c r="A41298" i="1"/>
  <c r="B41298" i="1"/>
  <c r="A41299" i="1"/>
  <c r="B41299" i="1"/>
  <c r="A41300" i="1"/>
  <c r="B41300" i="1"/>
  <c r="A41301" i="1"/>
  <c r="B41301" i="1"/>
  <c r="A41302" i="1"/>
  <c r="B41302" i="1"/>
  <c r="A41303" i="1"/>
  <c r="B41303" i="1"/>
  <c r="A41304" i="1"/>
  <c r="B41304" i="1"/>
  <c r="A41305" i="1"/>
  <c r="B41305" i="1"/>
  <c r="A41306" i="1"/>
  <c r="B41306" i="1"/>
  <c r="A41307" i="1"/>
  <c r="B41307" i="1"/>
  <c r="A41308" i="1"/>
  <c r="B41308" i="1"/>
  <c r="A41309" i="1"/>
  <c r="B41309" i="1"/>
  <c r="A41310" i="1"/>
  <c r="B41310" i="1"/>
  <c r="A41311" i="1"/>
  <c r="B41311" i="1"/>
  <c r="A41312" i="1"/>
  <c r="B41312" i="1"/>
  <c r="A41313" i="1"/>
  <c r="B41313" i="1"/>
  <c r="A41314" i="1"/>
  <c r="B41314" i="1"/>
  <c r="A41315" i="1"/>
  <c r="B41315" i="1"/>
  <c r="A41316" i="1"/>
  <c r="B41316" i="1"/>
  <c r="A41317" i="1"/>
  <c r="B41317" i="1"/>
  <c r="A41318" i="1"/>
  <c r="B41318" i="1"/>
  <c r="A41319" i="1"/>
  <c r="B41319" i="1"/>
  <c r="A41320" i="1"/>
  <c r="B41320" i="1"/>
  <c r="A41321" i="1"/>
  <c r="B41321" i="1"/>
  <c r="A41322" i="1"/>
  <c r="B41322" i="1"/>
  <c r="A41323" i="1"/>
  <c r="B41323" i="1"/>
  <c r="A41324" i="1"/>
  <c r="B41324" i="1"/>
  <c r="A41325" i="1"/>
  <c r="B41325" i="1"/>
  <c r="A41326" i="1"/>
  <c r="B41326" i="1"/>
  <c r="A41327" i="1"/>
  <c r="B41327" i="1"/>
  <c r="A41328" i="1"/>
  <c r="B41328" i="1"/>
  <c r="A41329" i="1"/>
  <c r="B41329" i="1"/>
  <c r="A41330" i="1"/>
  <c r="B41330" i="1"/>
  <c r="A41331" i="1"/>
  <c r="B41331" i="1"/>
  <c r="A41332" i="1"/>
  <c r="B41332" i="1"/>
  <c r="A41333" i="1"/>
  <c r="B41333" i="1"/>
  <c r="A41334" i="1"/>
  <c r="B41334" i="1"/>
  <c r="A41335" i="1"/>
  <c r="B41335" i="1"/>
  <c r="A41336" i="1"/>
  <c r="B41336" i="1"/>
  <c r="A41337" i="1"/>
  <c r="B41337" i="1"/>
  <c r="A41338" i="1"/>
  <c r="B41338" i="1"/>
  <c r="A41339" i="1"/>
  <c r="B41339" i="1"/>
  <c r="A41340" i="1"/>
  <c r="B41340" i="1"/>
  <c r="A41341" i="1"/>
  <c r="B41341" i="1"/>
  <c r="A41342" i="1"/>
  <c r="B41342" i="1"/>
  <c r="A41343" i="1"/>
  <c r="B41343" i="1"/>
  <c r="A41344" i="1"/>
  <c r="B41344" i="1"/>
  <c r="A41345" i="1"/>
  <c r="B41345" i="1"/>
  <c r="A41346" i="1"/>
  <c r="B41346" i="1"/>
  <c r="A41347" i="1"/>
  <c r="B41347" i="1"/>
  <c r="A41348" i="1"/>
  <c r="B41348" i="1"/>
  <c r="A41349" i="1"/>
  <c r="B41349" i="1"/>
  <c r="A41350" i="1"/>
  <c r="B41350" i="1"/>
  <c r="A41351" i="1"/>
  <c r="B41351" i="1"/>
  <c r="A41352" i="1"/>
  <c r="B41352" i="1"/>
  <c r="A41353" i="1"/>
  <c r="B41353" i="1"/>
  <c r="A41354" i="1"/>
  <c r="B41354" i="1"/>
  <c r="A41355" i="1"/>
  <c r="B41355" i="1"/>
  <c r="A41356" i="1"/>
  <c r="B41356" i="1"/>
  <c r="A41357" i="1"/>
  <c r="B41357" i="1"/>
  <c r="A41358" i="1"/>
  <c r="B41358" i="1"/>
  <c r="A41359" i="1"/>
  <c r="B41359" i="1"/>
  <c r="A41360" i="1"/>
  <c r="B41360" i="1"/>
  <c r="A41361" i="1"/>
  <c r="B41361" i="1"/>
  <c r="A41362" i="1"/>
  <c r="B41362" i="1"/>
  <c r="A41363" i="1"/>
  <c r="B41363" i="1"/>
  <c r="A41364" i="1"/>
  <c r="B41364" i="1"/>
  <c r="A41365" i="1"/>
  <c r="B41365" i="1"/>
  <c r="A41366" i="1"/>
  <c r="B41366" i="1"/>
  <c r="A41367" i="1"/>
  <c r="B41367" i="1"/>
  <c r="A41368" i="1"/>
  <c r="B41368" i="1"/>
  <c r="A41369" i="1"/>
  <c r="B41369" i="1"/>
  <c r="A41370" i="1"/>
  <c r="B41370" i="1"/>
  <c r="A41371" i="1"/>
  <c r="B41371" i="1"/>
  <c r="A41372" i="1"/>
  <c r="B41372" i="1"/>
  <c r="A41373" i="1"/>
  <c r="B41373" i="1"/>
  <c r="A41374" i="1"/>
  <c r="B41374" i="1"/>
  <c r="A41375" i="1"/>
  <c r="B41375" i="1"/>
  <c r="A41376" i="1"/>
  <c r="B41376" i="1"/>
  <c r="A41377" i="1"/>
  <c r="B41377" i="1"/>
  <c r="A41378" i="1"/>
  <c r="B41378" i="1"/>
  <c r="A41379" i="1"/>
  <c r="B41379" i="1"/>
  <c r="A41380" i="1"/>
  <c r="B41380" i="1"/>
  <c r="A41381" i="1"/>
  <c r="B41381" i="1"/>
  <c r="A41382" i="1"/>
  <c r="B41382" i="1"/>
  <c r="A41383" i="1"/>
  <c r="B41383" i="1"/>
  <c r="A41384" i="1"/>
  <c r="B41384" i="1"/>
  <c r="A41385" i="1"/>
  <c r="B41385" i="1"/>
  <c r="A41386" i="1"/>
  <c r="B41386" i="1"/>
  <c r="A41387" i="1"/>
  <c r="B41387" i="1"/>
  <c r="A41388" i="1"/>
  <c r="B41388" i="1"/>
  <c r="A41389" i="1"/>
  <c r="B41389" i="1"/>
  <c r="A41390" i="1"/>
  <c r="B41390" i="1"/>
  <c r="A41391" i="1"/>
  <c r="B41391" i="1"/>
  <c r="A41392" i="1"/>
  <c r="B41392" i="1"/>
  <c r="A41393" i="1"/>
  <c r="B41393" i="1"/>
  <c r="A41394" i="1"/>
  <c r="B41394" i="1"/>
  <c r="A41395" i="1"/>
  <c r="B41395" i="1"/>
  <c r="A41396" i="1"/>
  <c r="B41396" i="1"/>
  <c r="A41397" i="1"/>
  <c r="B41397" i="1"/>
  <c r="A41398" i="1"/>
  <c r="B41398" i="1"/>
  <c r="A41399" i="1"/>
  <c r="B41399" i="1"/>
  <c r="A41400" i="1"/>
  <c r="B41400" i="1"/>
  <c r="A41401" i="1"/>
  <c r="B41401" i="1"/>
  <c r="A41402" i="1"/>
  <c r="B41402" i="1"/>
  <c r="A41403" i="1"/>
  <c r="B41403" i="1"/>
  <c r="A41404" i="1"/>
  <c r="B41404" i="1"/>
  <c r="A41405" i="1"/>
  <c r="B41405" i="1"/>
  <c r="A41406" i="1"/>
  <c r="B41406" i="1"/>
  <c r="A41407" i="1"/>
  <c r="B41407" i="1"/>
  <c r="A41408" i="1"/>
  <c r="B41408" i="1"/>
  <c r="A41409" i="1"/>
  <c r="B41409" i="1"/>
  <c r="A41410" i="1"/>
  <c r="B41410" i="1"/>
  <c r="A41411" i="1"/>
  <c r="B41411" i="1"/>
  <c r="A41412" i="1"/>
  <c r="B41412" i="1"/>
  <c r="A41413" i="1"/>
  <c r="B41413" i="1"/>
  <c r="A41414" i="1"/>
  <c r="B41414" i="1"/>
  <c r="A41415" i="1"/>
  <c r="B41415" i="1"/>
  <c r="A41416" i="1"/>
  <c r="B41416" i="1"/>
  <c r="A41417" i="1"/>
  <c r="B41417" i="1"/>
  <c r="A41418" i="1"/>
  <c r="B41418" i="1"/>
  <c r="A41419" i="1"/>
  <c r="B41419" i="1"/>
  <c r="A41420" i="1"/>
  <c r="B41420" i="1"/>
  <c r="A41421" i="1"/>
  <c r="B41421" i="1"/>
  <c r="A41422" i="1"/>
  <c r="B41422" i="1"/>
  <c r="A41423" i="1"/>
  <c r="B41423" i="1"/>
  <c r="A41424" i="1"/>
  <c r="B41424" i="1"/>
  <c r="A41425" i="1"/>
  <c r="B41425" i="1"/>
  <c r="A41426" i="1"/>
  <c r="B41426" i="1"/>
  <c r="A41427" i="1"/>
  <c r="B41427" i="1"/>
  <c r="A41428" i="1"/>
  <c r="B41428" i="1"/>
  <c r="A41429" i="1"/>
  <c r="B41429" i="1"/>
  <c r="A41430" i="1"/>
  <c r="B41430" i="1"/>
  <c r="A41431" i="1"/>
  <c r="B41431" i="1"/>
  <c r="A41432" i="1"/>
  <c r="B41432" i="1"/>
  <c r="A41433" i="1"/>
  <c r="B41433" i="1"/>
  <c r="A41434" i="1"/>
  <c r="B41434" i="1"/>
  <c r="A41435" i="1"/>
  <c r="B41435" i="1"/>
  <c r="A41436" i="1"/>
  <c r="B41436" i="1"/>
  <c r="A41437" i="1"/>
  <c r="B41437" i="1"/>
  <c r="A41438" i="1"/>
  <c r="B41438" i="1"/>
  <c r="A41439" i="1"/>
  <c r="B41439" i="1"/>
  <c r="A41440" i="1"/>
  <c r="B41440" i="1"/>
  <c r="A41441" i="1"/>
  <c r="B41441" i="1"/>
  <c r="A41442" i="1"/>
  <c r="B41442" i="1"/>
  <c r="A41443" i="1"/>
  <c r="B41443" i="1"/>
  <c r="A41444" i="1"/>
  <c r="B41444" i="1"/>
  <c r="A41445" i="1"/>
  <c r="B41445" i="1"/>
  <c r="A41446" i="1"/>
  <c r="B41446" i="1"/>
  <c r="A41447" i="1"/>
  <c r="B41447" i="1"/>
  <c r="A41448" i="1"/>
  <c r="B41448" i="1"/>
  <c r="A41449" i="1"/>
  <c r="B41449" i="1"/>
  <c r="A41450" i="1"/>
  <c r="B41450" i="1"/>
  <c r="A41451" i="1"/>
  <c r="B41451" i="1"/>
  <c r="A41452" i="1"/>
  <c r="B41452" i="1"/>
  <c r="A41453" i="1"/>
  <c r="B41453" i="1"/>
  <c r="A41454" i="1"/>
  <c r="B41454" i="1"/>
  <c r="A41455" i="1"/>
  <c r="B41455" i="1"/>
  <c r="A41456" i="1"/>
  <c r="B41456" i="1"/>
  <c r="A41457" i="1"/>
  <c r="B41457" i="1"/>
  <c r="A41458" i="1"/>
  <c r="B41458" i="1"/>
  <c r="A41459" i="1"/>
  <c r="B41459" i="1"/>
  <c r="A41460" i="1"/>
  <c r="B41460" i="1"/>
  <c r="A41461" i="1"/>
  <c r="B41461" i="1"/>
  <c r="A41462" i="1"/>
  <c r="B41462" i="1"/>
  <c r="A41463" i="1"/>
  <c r="B41463" i="1"/>
  <c r="A41464" i="1"/>
  <c r="B41464" i="1"/>
  <c r="A41465" i="1"/>
  <c r="B41465" i="1"/>
  <c r="A41466" i="1"/>
  <c r="B41466" i="1"/>
  <c r="A41467" i="1"/>
  <c r="B41467" i="1"/>
  <c r="A41468" i="1"/>
  <c r="B41468" i="1"/>
  <c r="A41469" i="1"/>
  <c r="B41469" i="1"/>
  <c r="A41470" i="1"/>
  <c r="B41470" i="1"/>
  <c r="A41471" i="1"/>
  <c r="B41471" i="1"/>
  <c r="A41472" i="1"/>
  <c r="B41472" i="1"/>
  <c r="A41473" i="1"/>
  <c r="B41473" i="1"/>
  <c r="A41474" i="1"/>
  <c r="B41474" i="1"/>
  <c r="A41475" i="1"/>
  <c r="B41475" i="1"/>
  <c r="A41476" i="1"/>
  <c r="B41476" i="1"/>
  <c r="A41477" i="1"/>
  <c r="B41477" i="1"/>
  <c r="A41478" i="1"/>
  <c r="B41478" i="1"/>
  <c r="A41479" i="1"/>
  <c r="B41479" i="1"/>
  <c r="A41480" i="1"/>
  <c r="B41480" i="1"/>
  <c r="A41481" i="1"/>
  <c r="B41481" i="1"/>
  <c r="A41482" i="1"/>
  <c r="B41482" i="1"/>
  <c r="A41483" i="1"/>
  <c r="B41483" i="1"/>
  <c r="A41484" i="1"/>
  <c r="B41484" i="1"/>
  <c r="A41485" i="1"/>
  <c r="B41485" i="1"/>
  <c r="A41486" i="1"/>
  <c r="B41486" i="1"/>
  <c r="A41487" i="1"/>
  <c r="B41487" i="1"/>
  <c r="A41488" i="1"/>
  <c r="B41488" i="1"/>
  <c r="A41489" i="1"/>
  <c r="B41489" i="1"/>
  <c r="A41490" i="1"/>
  <c r="B41490" i="1"/>
  <c r="A41491" i="1"/>
  <c r="B41491" i="1"/>
  <c r="A41492" i="1"/>
  <c r="B41492" i="1"/>
  <c r="A41493" i="1"/>
  <c r="B41493" i="1"/>
  <c r="A41494" i="1"/>
  <c r="B41494" i="1"/>
  <c r="A41495" i="1"/>
  <c r="B41495" i="1"/>
  <c r="A41496" i="1"/>
  <c r="B41496" i="1"/>
  <c r="A41497" i="1"/>
  <c r="B41497" i="1"/>
  <c r="A41498" i="1"/>
  <c r="B41498" i="1"/>
  <c r="A41499" i="1"/>
  <c r="B41499" i="1"/>
  <c r="A41500" i="1"/>
  <c r="B41500" i="1"/>
  <c r="A41501" i="1"/>
  <c r="B41501" i="1"/>
  <c r="A41502" i="1"/>
  <c r="B41502" i="1"/>
  <c r="A41503" i="1"/>
  <c r="B41503" i="1"/>
  <c r="A41504" i="1"/>
  <c r="B41504" i="1"/>
  <c r="A41505" i="1"/>
  <c r="B41505" i="1"/>
  <c r="A41506" i="1"/>
  <c r="B41506" i="1"/>
  <c r="A41507" i="1"/>
  <c r="B41507" i="1"/>
  <c r="A41508" i="1"/>
  <c r="B41508" i="1"/>
  <c r="A41509" i="1"/>
  <c r="B41509" i="1"/>
  <c r="A41510" i="1"/>
  <c r="B41510" i="1"/>
  <c r="A41511" i="1"/>
  <c r="B41511" i="1"/>
  <c r="A41512" i="1"/>
  <c r="B41512" i="1"/>
  <c r="A41513" i="1"/>
  <c r="B41513" i="1"/>
  <c r="A41514" i="1"/>
  <c r="B41514" i="1"/>
  <c r="A41515" i="1"/>
  <c r="B41515" i="1"/>
  <c r="A41516" i="1"/>
  <c r="B41516" i="1"/>
  <c r="A41517" i="1"/>
  <c r="B41517" i="1"/>
  <c r="A41518" i="1"/>
  <c r="B41518" i="1"/>
  <c r="A41519" i="1"/>
  <c r="B41519" i="1"/>
  <c r="A41520" i="1"/>
  <c r="B41520" i="1"/>
  <c r="A41521" i="1"/>
  <c r="B41521" i="1"/>
  <c r="A41522" i="1"/>
  <c r="B41522" i="1"/>
  <c r="A41523" i="1"/>
  <c r="B41523" i="1"/>
  <c r="A41524" i="1"/>
  <c r="B41524" i="1"/>
  <c r="A41525" i="1"/>
  <c r="B41525" i="1"/>
  <c r="A41526" i="1"/>
  <c r="B41526" i="1"/>
  <c r="A41527" i="1"/>
  <c r="B41527" i="1"/>
  <c r="A41528" i="1"/>
  <c r="B41528" i="1"/>
  <c r="A41529" i="1"/>
  <c r="B41529" i="1"/>
  <c r="A41530" i="1"/>
  <c r="B41530" i="1"/>
  <c r="A41531" i="1"/>
  <c r="B41531" i="1"/>
  <c r="A41532" i="1"/>
  <c r="B41532" i="1"/>
  <c r="A41533" i="1"/>
  <c r="B41533" i="1"/>
  <c r="A41534" i="1"/>
  <c r="B41534" i="1"/>
  <c r="A41535" i="1"/>
  <c r="B41535" i="1"/>
  <c r="A41536" i="1"/>
  <c r="B41536" i="1"/>
  <c r="A41537" i="1"/>
  <c r="B41537" i="1"/>
  <c r="A41538" i="1"/>
  <c r="B41538" i="1"/>
  <c r="A41539" i="1"/>
  <c r="B41539" i="1"/>
  <c r="A41540" i="1"/>
  <c r="B41540" i="1"/>
  <c r="A41541" i="1"/>
  <c r="B41541" i="1"/>
  <c r="A41542" i="1"/>
  <c r="B41542" i="1"/>
  <c r="A41543" i="1"/>
  <c r="B41543" i="1"/>
  <c r="A41544" i="1"/>
  <c r="B41544" i="1"/>
  <c r="A41545" i="1"/>
  <c r="B41545" i="1"/>
  <c r="A41546" i="1"/>
  <c r="B41546" i="1"/>
  <c r="A41547" i="1"/>
  <c r="B41547" i="1"/>
  <c r="A41548" i="1"/>
  <c r="B41548" i="1"/>
  <c r="A41549" i="1"/>
  <c r="B41549" i="1"/>
  <c r="A41550" i="1"/>
  <c r="B41550" i="1"/>
  <c r="A41551" i="1"/>
  <c r="B41551" i="1"/>
  <c r="A41552" i="1"/>
  <c r="B41552" i="1"/>
  <c r="A41553" i="1"/>
  <c r="B41553" i="1"/>
  <c r="A41554" i="1"/>
  <c r="B41554" i="1"/>
  <c r="A41555" i="1"/>
  <c r="B41555" i="1"/>
  <c r="A41556" i="1"/>
  <c r="B41556" i="1"/>
  <c r="A41557" i="1"/>
  <c r="B41557" i="1"/>
  <c r="A41558" i="1"/>
  <c r="B41558" i="1"/>
  <c r="A41559" i="1"/>
  <c r="B41559" i="1"/>
  <c r="A41560" i="1"/>
  <c r="B41560" i="1"/>
  <c r="A41561" i="1"/>
  <c r="B41561" i="1"/>
  <c r="A41562" i="1"/>
  <c r="B41562" i="1"/>
  <c r="A41563" i="1"/>
  <c r="B41563" i="1"/>
  <c r="A41564" i="1"/>
  <c r="B41564" i="1"/>
  <c r="A41565" i="1"/>
  <c r="B41565" i="1"/>
  <c r="A41566" i="1"/>
  <c r="B41566" i="1"/>
  <c r="A41567" i="1"/>
  <c r="B41567" i="1"/>
  <c r="A41568" i="1"/>
  <c r="B41568" i="1"/>
  <c r="A41569" i="1"/>
  <c r="B41569" i="1"/>
  <c r="A41570" i="1"/>
  <c r="B41570" i="1"/>
  <c r="A41571" i="1"/>
  <c r="B41571" i="1"/>
  <c r="A41572" i="1"/>
  <c r="B41572" i="1"/>
  <c r="A41573" i="1"/>
  <c r="B41573" i="1"/>
  <c r="A41574" i="1"/>
  <c r="B41574" i="1"/>
  <c r="A41575" i="1"/>
  <c r="B41575" i="1"/>
  <c r="A41576" i="1"/>
  <c r="B41576" i="1"/>
  <c r="A41577" i="1"/>
  <c r="B41577" i="1"/>
  <c r="A41578" i="1"/>
  <c r="B41578" i="1"/>
  <c r="A41579" i="1"/>
  <c r="B41579" i="1"/>
  <c r="A41580" i="1"/>
  <c r="B41580" i="1"/>
  <c r="A41581" i="1"/>
  <c r="B41581" i="1"/>
  <c r="A41582" i="1"/>
  <c r="B41582" i="1"/>
  <c r="A41583" i="1"/>
  <c r="B41583" i="1"/>
  <c r="A41584" i="1"/>
  <c r="B41584" i="1"/>
  <c r="A41585" i="1"/>
  <c r="B41585" i="1"/>
  <c r="A41586" i="1"/>
  <c r="B41586" i="1"/>
  <c r="A41587" i="1"/>
  <c r="B41587" i="1"/>
  <c r="A41588" i="1"/>
  <c r="B41588" i="1"/>
  <c r="A41589" i="1"/>
  <c r="B41589" i="1"/>
  <c r="A41590" i="1"/>
  <c r="B41590" i="1"/>
  <c r="A41591" i="1"/>
  <c r="B41591" i="1"/>
  <c r="A41592" i="1"/>
  <c r="B41592" i="1"/>
  <c r="A41593" i="1"/>
  <c r="B41593" i="1"/>
  <c r="A41594" i="1"/>
  <c r="B41594" i="1"/>
  <c r="A41595" i="1"/>
  <c r="B41595" i="1"/>
  <c r="A41596" i="1"/>
  <c r="B41596" i="1"/>
  <c r="A41597" i="1"/>
  <c r="B41597" i="1"/>
  <c r="A41598" i="1"/>
  <c r="B41598" i="1"/>
  <c r="A41599" i="1"/>
  <c r="B41599" i="1"/>
  <c r="A41600" i="1"/>
  <c r="B41600" i="1"/>
  <c r="A41601" i="1"/>
  <c r="B41601" i="1"/>
  <c r="A41602" i="1"/>
  <c r="B41602" i="1"/>
  <c r="A41603" i="1"/>
  <c r="B41603" i="1"/>
  <c r="A41604" i="1"/>
  <c r="B41604" i="1"/>
  <c r="A41605" i="1"/>
  <c r="B41605" i="1"/>
  <c r="A41606" i="1"/>
  <c r="B41606" i="1"/>
  <c r="A41607" i="1"/>
  <c r="B41607" i="1"/>
  <c r="A41608" i="1"/>
  <c r="B41608" i="1"/>
  <c r="A41609" i="1"/>
  <c r="B41609" i="1"/>
  <c r="A41610" i="1"/>
  <c r="B41610" i="1"/>
  <c r="A41611" i="1"/>
  <c r="B41611" i="1"/>
  <c r="A41612" i="1"/>
  <c r="B41612" i="1"/>
  <c r="A41613" i="1"/>
  <c r="B41613" i="1"/>
  <c r="A41614" i="1"/>
  <c r="B41614" i="1"/>
  <c r="A41615" i="1"/>
  <c r="B41615" i="1"/>
  <c r="A41616" i="1"/>
  <c r="B41616" i="1"/>
  <c r="A41617" i="1"/>
  <c r="B41617" i="1"/>
  <c r="A41618" i="1"/>
  <c r="B41618" i="1"/>
  <c r="A41619" i="1"/>
  <c r="B41619" i="1"/>
  <c r="A41620" i="1"/>
  <c r="B41620" i="1"/>
  <c r="A41621" i="1"/>
  <c r="B41621" i="1"/>
  <c r="A41622" i="1"/>
  <c r="B41622" i="1"/>
  <c r="A41623" i="1"/>
  <c r="B41623" i="1"/>
  <c r="A41624" i="1"/>
  <c r="B41624" i="1"/>
  <c r="A41625" i="1"/>
  <c r="B41625" i="1"/>
  <c r="A41626" i="1"/>
  <c r="B41626" i="1"/>
  <c r="A41627" i="1"/>
  <c r="B41627" i="1"/>
  <c r="A41628" i="1"/>
  <c r="B41628" i="1"/>
  <c r="A41629" i="1"/>
  <c r="B41629" i="1"/>
  <c r="A41630" i="1"/>
  <c r="B41630" i="1"/>
  <c r="A41631" i="1"/>
  <c r="B41631" i="1"/>
  <c r="A41632" i="1"/>
  <c r="B41632" i="1"/>
  <c r="A41633" i="1"/>
  <c r="B41633" i="1"/>
  <c r="A41634" i="1"/>
  <c r="B41634" i="1"/>
  <c r="A41635" i="1"/>
  <c r="B41635" i="1"/>
  <c r="A41636" i="1"/>
  <c r="B41636" i="1"/>
  <c r="A41637" i="1"/>
  <c r="B41637" i="1"/>
  <c r="A41638" i="1"/>
  <c r="B41638" i="1"/>
  <c r="A41639" i="1"/>
  <c r="B41639" i="1"/>
  <c r="A41640" i="1"/>
  <c r="B41640" i="1"/>
  <c r="A41641" i="1"/>
  <c r="B41641" i="1"/>
  <c r="A41642" i="1"/>
  <c r="B41642" i="1"/>
  <c r="A41643" i="1"/>
  <c r="B41643" i="1"/>
  <c r="A41644" i="1"/>
  <c r="B41644" i="1"/>
  <c r="A41645" i="1"/>
  <c r="B41645" i="1"/>
  <c r="A41646" i="1"/>
  <c r="B41646" i="1"/>
  <c r="A41647" i="1"/>
  <c r="B41647" i="1"/>
  <c r="A41648" i="1"/>
  <c r="B41648" i="1"/>
  <c r="A41649" i="1"/>
  <c r="B41649" i="1"/>
  <c r="A41650" i="1"/>
  <c r="B41650" i="1"/>
  <c r="A41651" i="1"/>
  <c r="B41651" i="1"/>
  <c r="A41652" i="1"/>
  <c r="B41652" i="1"/>
  <c r="A41653" i="1"/>
  <c r="B41653" i="1"/>
  <c r="A41654" i="1"/>
  <c r="B41654" i="1"/>
  <c r="A41655" i="1"/>
  <c r="B41655" i="1"/>
  <c r="A41656" i="1"/>
  <c r="B41656" i="1"/>
  <c r="A41657" i="1"/>
  <c r="B41657" i="1"/>
  <c r="A41658" i="1"/>
  <c r="B41658" i="1"/>
  <c r="A41659" i="1"/>
  <c r="B41659" i="1"/>
  <c r="A41660" i="1"/>
  <c r="B41660" i="1"/>
  <c r="A41661" i="1"/>
  <c r="B41661" i="1"/>
  <c r="A41662" i="1"/>
  <c r="B41662" i="1"/>
  <c r="A41663" i="1"/>
  <c r="B41663" i="1"/>
  <c r="A41664" i="1"/>
  <c r="B41664" i="1"/>
  <c r="A41665" i="1"/>
  <c r="B41665" i="1"/>
  <c r="A41666" i="1"/>
  <c r="B41666" i="1"/>
  <c r="A41667" i="1"/>
  <c r="B41667" i="1"/>
  <c r="A41668" i="1"/>
  <c r="B41668" i="1"/>
  <c r="A41669" i="1"/>
  <c r="B41669" i="1"/>
  <c r="A41670" i="1"/>
  <c r="B41670" i="1"/>
  <c r="A41671" i="1"/>
  <c r="B41671" i="1"/>
  <c r="A41672" i="1"/>
  <c r="B41672" i="1"/>
  <c r="A41673" i="1"/>
  <c r="B41673" i="1"/>
  <c r="A41674" i="1"/>
  <c r="B41674" i="1"/>
  <c r="A41675" i="1"/>
  <c r="B41675" i="1"/>
  <c r="A41676" i="1"/>
  <c r="B41676" i="1"/>
  <c r="A41677" i="1"/>
  <c r="B41677" i="1"/>
  <c r="A41678" i="1"/>
  <c r="B41678" i="1"/>
  <c r="A41679" i="1"/>
  <c r="B41679" i="1"/>
  <c r="A41680" i="1"/>
  <c r="B41680" i="1"/>
  <c r="A41681" i="1"/>
  <c r="B41681" i="1"/>
  <c r="A41682" i="1"/>
  <c r="B41682" i="1"/>
  <c r="A41683" i="1"/>
  <c r="B41683" i="1"/>
  <c r="A41684" i="1"/>
  <c r="B41684" i="1"/>
  <c r="A41685" i="1"/>
  <c r="B41685" i="1"/>
  <c r="A41686" i="1"/>
  <c r="B41686" i="1"/>
  <c r="A41687" i="1"/>
  <c r="B41687" i="1"/>
  <c r="A41688" i="1"/>
  <c r="B41688" i="1"/>
  <c r="A41689" i="1"/>
  <c r="B41689" i="1"/>
  <c r="A41690" i="1"/>
  <c r="B41690" i="1"/>
  <c r="A41691" i="1"/>
  <c r="B41691" i="1"/>
  <c r="A41692" i="1"/>
  <c r="B41692" i="1"/>
  <c r="A41693" i="1"/>
  <c r="B41693" i="1"/>
  <c r="A41694" i="1"/>
  <c r="B41694" i="1"/>
  <c r="A41695" i="1"/>
  <c r="B41695" i="1"/>
  <c r="A41696" i="1"/>
  <c r="B41696" i="1"/>
  <c r="A41697" i="1"/>
  <c r="B41697" i="1"/>
  <c r="A41698" i="1"/>
  <c r="B41698" i="1"/>
  <c r="A41699" i="1"/>
  <c r="B41699" i="1"/>
  <c r="A41700" i="1"/>
  <c r="B41700" i="1"/>
  <c r="A41701" i="1"/>
  <c r="B41701" i="1"/>
  <c r="A41702" i="1"/>
  <c r="B41702" i="1"/>
  <c r="A41703" i="1"/>
  <c r="B41703" i="1"/>
  <c r="A41704" i="1"/>
  <c r="B41704" i="1"/>
  <c r="A41705" i="1"/>
  <c r="B41705" i="1"/>
  <c r="A41706" i="1"/>
  <c r="B41706" i="1"/>
  <c r="A41707" i="1"/>
  <c r="B41707" i="1"/>
  <c r="A41708" i="1"/>
  <c r="B41708" i="1"/>
  <c r="A41709" i="1"/>
  <c r="B41709" i="1"/>
  <c r="A41710" i="1"/>
  <c r="B41710" i="1"/>
  <c r="A41711" i="1"/>
  <c r="B41711" i="1"/>
  <c r="A41712" i="1"/>
  <c r="B41712" i="1"/>
  <c r="A41713" i="1"/>
  <c r="B41713" i="1"/>
  <c r="A41714" i="1"/>
  <c r="B41714" i="1"/>
  <c r="A41715" i="1"/>
  <c r="B41715" i="1"/>
  <c r="A41716" i="1"/>
  <c r="B41716" i="1"/>
  <c r="A41717" i="1"/>
  <c r="B41717" i="1"/>
  <c r="A41718" i="1"/>
  <c r="B41718" i="1"/>
  <c r="A41719" i="1"/>
  <c r="B41719" i="1"/>
  <c r="A41720" i="1"/>
  <c r="B41720" i="1"/>
  <c r="A41721" i="1"/>
  <c r="B41721" i="1"/>
  <c r="A41722" i="1"/>
  <c r="B41722" i="1"/>
  <c r="A41723" i="1"/>
  <c r="B41723" i="1"/>
  <c r="A41724" i="1"/>
  <c r="B41724" i="1"/>
  <c r="A41725" i="1"/>
  <c r="B41725" i="1"/>
  <c r="A41726" i="1"/>
  <c r="B41726" i="1"/>
  <c r="A41727" i="1"/>
  <c r="B41727" i="1"/>
  <c r="A41728" i="1"/>
  <c r="B41728" i="1"/>
  <c r="A41729" i="1"/>
  <c r="B41729" i="1"/>
  <c r="A41730" i="1"/>
  <c r="B41730" i="1"/>
  <c r="A41731" i="1"/>
  <c r="B41731" i="1"/>
  <c r="A41732" i="1"/>
  <c r="B41732" i="1"/>
  <c r="A41733" i="1"/>
  <c r="B41733" i="1"/>
  <c r="A41734" i="1"/>
  <c r="B41734" i="1"/>
  <c r="A41735" i="1"/>
  <c r="B41735" i="1"/>
  <c r="A41736" i="1"/>
  <c r="B41736" i="1"/>
  <c r="A41737" i="1"/>
  <c r="B41737" i="1"/>
  <c r="A41738" i="1"/>
  <c r="B41738" i="1"/>
  <c r="A41739" i="1"/>
  <c r="B41739" i="1"/>
  <c r="A41740" i="1"/>
  <c r="B41740" i="1"/>
  <c r="A41741" i="1"/>
  <c r="B41741" i="1"/>
  <c r="A41742" i="1"/>
  <c r="B41742" i="1"/>
  <c r="A41743" i="1"/>
  <c r="B41743" i="1"/>
  <c r="A41744" i="1"/>
  <c r="B41744" i="1"/>
  <c r="A41745" i="1"/>
  <c r="B41745" i="1"/>
  <c r="A41746" i="1"/>
  <c r="B41746" i="1"/>
  <c r="A41747" i="1"/>
  <c r="B41747" i="1"/>
  <c r="A41748" i="1"/>
  <c r="B41748" i="1"/>
  <c r="A41749" i="1"/>
  <c r="B41749" i="1"/>
  <c r="A41750" i="1"/>
  <c r="B41750" i="1"/>
  <c r="A41751" i="1"/>
  <c r="B41751" i="1"/>
  <c r="A41752" i="1"/>
  <c r="B41752" i="1"/>
  <c r="A41753" i="1"/>
  <c r="B41753" i="1"/>
  <c r="A41754" i="1"/>
  <c r="B41754" i="1"/>
  <c r="A41755" i="1"/>
  <c r="B41755" i="1"/>
  <c r="A41756" i="1"/>
  <c r="B41756" i="1"/>
  <c r="A41757" i="1"/>
  <c r="B41757" i="1"/>
  <c r="A41758" i="1"/>
  <c r="B41758" i="1"/>
  <c r="A41759" i="1"/>
  <c r="B41759" i="1"/>
  <c r="A41760" i="1"/>
  <c r="B41760" i="1"/>
  <c r="A41761" i="1"/>
  <c r="B41761" i="1"/>
  <c r="A41762" i="1"/>
  <c r="B41762" i="1"/>
  <c r="A41763" i="1"/>
  <c r="B41763" i="1"/>
  <c r="A41764" i="1"/>
  <c r="B41764" i="1"/>
  <c r="A41765" i="1"/>
  <c r="B41765" i="1"/>
  <c r="A41766" i="1"/>
  <c r="B41766" i="1"/>
  <c r="A41767" i="1"/>
  <c r="B41767" i="1"/>
  <c r="A41768" i="1"/>
  <c r="B41768" i="1"/>
  <c r="A41769" i="1"/>
  <c r="B41769" i="1"/>
  <c r="A41770" i="1"/>
  <c r="B41770" i="1"/>
  <c r="A41771" i="1"/>
  <c r="B41771" i="1"/>
  <c r="A41772" i="1"/>
  <c r="B41772" i="1"/>
  <c r="A41773" i="1"/>
  <c r="B41773" i="1"/>
  <c r="A41774" i="1"/>
  <c r="B41774" i="1"/>
  <c r="A41775" i="1"/>
  <c r="B41775" i="1"/>
  <c r="A41776" i="1"/>
  <c r="B41776" i="1"/>
  <c r="A41777" i="1"/>
  <c r="B41777" i="1"/>
  <c r="A41778" i="1"/>
  <c r="B41778" i="1"/>
  <c r="A41779" i="1"/>
  <c r="B41779" i="1"/>
  <c r="A41780" i="1"/>
  <c r="B41780" i="1"/>
  <c r="A41781" i="1"/>
  <c r="B41781" i="1"/>
  <c r="A41782" i="1"/>
  <c r="B41782" i="1"/>
  <c r="A41783" i="1"/>
  <c r="B41783" i="1"/>
  <c r="A41784" i="1"/>
  <c r="B41784" i="1"/>
  <c r="A41785" i="1"/>
  <c r="B41785" i="1"/>
  <c r="A41786" i="1"/>
  <c r="B41786" i="1"/>
  <c r="A41787" i="1"/>
  <c r="B41787" i="1"/>
  <c r="A41788" i="1"/>
  <c r="B41788" i="1"/>
  <c r="A41789" i="1"/>
  <c r="B41789" i="1"/>
  <c r="A41790" i="1"/>
  <c r="B41790" i="1"/>
  <c r="A41791" i="1"/>
  <c r="B41791" i="1"/>
  <c r="A41792" i="1"/>
  <c r="B41792" i="1"/>
  <c r="A41793" i="1"/>
  <c r="B41793" i="1"/>
  <c r="A41794" i="1"/>
  <c r="B41794" i="1"/>
  <c r="A41795" i="1"/>
  <c r="B41795" i="1"/>
  <c r="A41796" i="1"/>
  <c r="B41796" i="1"/>
  <c r="A41797" i="1"/>
  <c r="B41797" i="1"/>
  <c r="A41798" i="1"/>
  <c r="B41798" i="1"/>
  <c r="A41799" i="1"/>
  <c r="B41799" i="1"/>
  <c r="A41800" i="1"/>
  <c r="B41800" i="1"/>
  <c r="A41801" i="1"/>
  <c r="B41801" i="1"/>
  <c r="A41802" i="1"/>
  <c r="B41802" i="1"/>
  <c r="A41803" i="1"/>
  <c r="B41803" i="1"/>
  <c r="A41804" i="1"/>
  <c r="B41804" i="1"/>
  <c r="A41805" i="1"/>
  <c r="B41805" i="1"/>
  <c r="A41806" i="1"/>
  <c r="B41806" i="1"/>
  <c r="A41807" i="1"/>
  <c r="B41807" i="1"/>
  <c r="A41808" i="1"/>
  <c r="B41808" i="1"/>
  <c r="A41809" i="1"/>
  <c r="B41809" i="1"/>
  <c r="A41810" i="1"/>
  <c r="B41810" i="1"/>
  <c r="A41811" i="1"/>
  <c r="B41811" i="1"/>
  <c r="A41812" i="1"/>
  <c r="B41812" i="1"/>
  <c r="A41813" i="1"/>
  <c r="B41813" i="1"/>
  <c r="A41814" i="1"/>
  <c r="B41814" i="1"/>
  <c r="A41815" i="1"/>
  <c r="B41815" i="1"/>
  <c r="A41816" i="1"/>
  <c r="B41816" i="1"/>
  <c r="A41817" i="1"/>
  <c r="B41817" i="1"/>
  <c r="A41818" i="1"/>
  <c r="B41818" i="1"/>
  <c r="A41819" i="1"/>
  <c r="B41819" i="1"/>
  <c r="A41820" i="1"/>
  <c r="B41820" i="1"/>
  <c r="A41821" i="1"/>
  <c r="B41821" i="1"/>
  <c r="A41822" i="1"/>
  <c r="B41822" i="1"/>
  <c r="A41823" i="1"/>
  <c r="B41823" i="1"/>
  <c r="A41824" i="1"/>
  <c r="B41824" i="1"/>
  <c r="A41825" i="1"/>
  <c r="B41825" i="1"/>
  <c r="A41826" i="1"/>
  <c r="B41826" i="1"/>
  <c r="A41827" i="1"/>
  <c r="B41827" i="1"/>
  <c r="A41828" i="1"/>
  <c r="B41828" i="1"/>
  <c r="A41829" i="1"/>
  <c r="B41829" i="1"/>
  <c r="A41830" i="1"/>
  <c r="B41830" i="1"/>
  <c r="A41831" i="1"/>
  <c r="B41831" i="1"/>
  <c r="A41832" i="1"/>
  <c r="B41832" i="1"/>
  <c r="A41833" i="1"/>
  <c r="B41833" i="1"/>
  <c r="A41834" i="1"/>
  <c r="B41834" i="1"/>
  <c r="A41835" i="1"/>
  <c r="B41835" i="1"/>
  <c r="A41836" i="1"/>
  <c r="B41836" i="1"/>
  <c r="A41837" i="1"/>
  <c r="B41837" i="1"/>
  <c r="A41838" i="1"/>
  <c r="B41838" i="1"/>
  <c r="A41839" i="1"/>
  <c r="B41839" i="1"/>
  <c r="A41840" i="1"/>
  <c r="B41840" i="1"/>
  <c r="A41841" i="1"/>
  <c r="B41841" i="1"/>
  <c r="A41842" i="1"/>
  <c r="B41842" i="1"/>
  <c r="A41843" i="1"/>
  <c r="B41843" i="1"/>
  <c r="A41844" i="1"/>
  <c r="B41844" i="1"/>
  <c r="A41845" i="1"/>
  <c r="B41845" i="1"/>
  <c r="A41846" i="1"/>
  <c r="B41846" i="1"/>
  <c r="A41847" i="1"/>
  <c r="B41847" i="1"/>
  <c r="A41848" i="1"/>
  <c r="B41848" i="1"/>
  <c r="A41849" i="1"/>
  <c r="B41849" i="1"/>
  <c r="A41850" i="1"/>
  <c r="B41850" i="1"/>
  <c r="A41851" i="1"/>
  <c r="B41851" i="1"/>
  <c r="A41852" i="1"/>
  <c r="B41852" i="1"/>
  <c r="A41853" i="1"/>
  <c r="B41853" i="1"/>
  <c r="A41854" i="1"/>
  <c r="B41854" i="1"/>
  <c r="A41855" i="1"/>
  <c r="B41855" i="1"/>
  <c r="A41856" i="1"/>
  <c r="B41856" i="1"/>
  <c r="A41857" i="1"/>
  <c r="B41857" i="1"/>
  <c r="A41858" i="1"/>
  <c r="B41858" i="1"/>
  <c r="A41859" i="1"/>
  <c r="B41859" i="1"/>
  <c r="A41860" i="1"/>
  <c r="B41860" i="1"/>
  <c r="A41861" i="1"/>
  <c r="B41861" i="1"/>
  <c r="A41862" i="1"/>
  <c r="B41862" i="1"/>
  <c r="A41863" i="1"/>
  <c r="B41863" i="1"/>
  <c r="A41864" i="1"/>
  <c r="B41864" i="1"/>
  <c r="A41865" i="1"/>
  <c r="B41865" i="1"/>
  <c r="A41866" i="1"/>
  <c r="B41866" i="1"/>
  <c r="A41867" i="1"/>
  <c r="B41867" i="1"/>
  <c r="A41868" i="1"/>
  <c r="B41868" i="1"/>
  <c r="A41869" i="1"/>
  <c r="B41869" i="1"/>
  <c r="A41870" i="1"/>
  <c r="B41870" i="1"/>
  <c r="A41871" i="1"/>
  <c r="B41871" i="1"/>
  <c r="A41872" i="1"/>
  <c r="B41872" i="1"/>
  <c r="A41873" i="1"/>
  <c r="B41873" i="1"/>
  <c r="A41874" i="1"/>
  <c r="B41874" i="1"/>
  <c r="A41875" i="1"/>
  <c r="B41875" i="1"/>
  <c r="A41876" i="1"/>
  <c r="B41876" i="1"/>
  <c r="A41877" i="1"/>
  <c r="B41877" i="1"/>
  <c r="A41878" i="1"/>
  <c r="B41878" i="1"/>
  <c r="A41879" i="1"/>
  <c r="B41879" i="1"/>
  <c r="A41880" i="1"/>
  <c r="B41880" i="1"/>
  <c r="A41881" i="1"/>
  <c r="B41881" i="1"/>
  <c r="A41882" i="1"/>
  <c r="B41882" i="1"/>
  <c r="A41883" i="1"/>
  <c r="B41883" i="1"/>
  <c r="A41884" i="1"/>
  <c r="B41884" i="1"/>
  <c r="A41885" i="1"/>
  <c r="B41885" i="1"/>
  <c r="A41886" i="1"/>
  <c r="B41886" i="1"/>
  <c r="A41887" i="1"/>
  <c r="B41887" i="1"/>
  <c r="A41888" i="1"/>
  <c r="B41888" i="1"/>
  <c r="A41889" i="1"/>
  <c r="B41889" i="1"/>
  <c r="A41890" i="1"/>
  <c r="B41890" i="1"/>
  <c r="A41891" i="1"/>
  <c r="B41891" i="1"/>
  <c r="A41892" i="1"/>
  <c r="B41892" i="1"/>
  <c r="A41893" i="1"/>
  <c r="B41893" i="1"/>
  <c r="A41894" i="1"/>
  <c r="B41894" i="1"/>
  <c r="A41895" i="1"/>
  <c r="B41895" i="1"/>
  <c r="A41896" i="1"/>
  <c r="B41896" i="1"/>
  <c r="A41897" i="1"/>
  <c r="B41897" i="1"/>
  <c r="A41898" i="1"/>
  <c r="B41898" i="1"/>
  <c r="A41899" i="1"/>
  <c r="B41899" i="1"/>
  <c r="A41900" i="1"/>
  <c r="B41900" i="1"/>
  <c r="A41901" i="1"/>
  <c r="B41901" i="1"/>
  <c r="A41902" i="1"/>
  <c r="B41902" i="1"/>
  <c r="A41903" i="1"/>
  <c r="B41903" i="1"/>
  <c r="A41904" i="1"/>
  <c r="B41904" i="1"/>
  <c r="A41905" i="1"/>
  <c r="B41905" i="1"/>
  <c r="A41906" i="1"/>
  <c r="B41906" i="1"/>
  <c r="A41907" i="1"/>
  <c r="B41907" i="1"/>
  <c r="A41908" i="1"/>
  <c r="B41908" i="1"/>
  <c r="A41909" i="1"/>
  <c r="B41909" i="1"/>
  <c r="A41910" i="1"/>
  <c r="B41910" i="1"/>
  <c r="A41911" i="1"/>
  <c r="B41911" i="1"/>
  <c r="A41912" i="1"/>
  <c r="B41912" i="1"/>
  <c r="A41913" i="1"/>
  <c r="B41913" i="1"/>
  <c r="A41914" i="1"/>
  <c r="B41914" i="1"/>
  <c r="A41915" i="1"/>
  <c r="B41915" i="1"/>
  <c r="A41916" i="1"/>
  <c r="B41916" i="1"/>
  <c r="A41917" i="1"/>
  <c r="B41917" i="1"/>
  <c r="A41918" i="1"/>
  <c r="B41918" i="1"/>
  <c r="A41919" i="1"/>
  <c r="B41919" i="1"/>
  <c r="A41920" i="1"/>
  <c r="B41920" i="1"/>
  <c r="A41921" i="1"/>
  <c r="B41921" i="1"/>
  <c r="A41922" i="1"/>
  <c r="B41922" i="1"/>
  <c r="A41923" i="1"/>
  <c r="B41923" i="1"/>
  <c r="A41924" i="1"/>
  <c r="B41924" i="1"/>
  <c r="A41925" i="1"/>
  <c r="B41925" i="1"/>
  <c r="A41926" i="1"/>
  <c r="B41926" i="1"/>
  <c r="A41927" i="1"/>
  <c r="B41927" i="1"/>
  <c r="A41928" i="1"/>
  <c r="B41928" i="1"/>
  <c r="A41929" i="1"/>
  <c r="B41929" i="1"/>
  <c r="A41930" i="1"/>
  <c r="B41930" i="1"/>
  <c r="A41931" i="1"/>
  <c r="B41931" i="1"/>
  <c r="A41932" i="1"/>
  <c r="B41932" i="1"/>
  <c r="A41933" i="1"/>
  <c r="B41933" i="1"/>
  <c r="A41934" i="1"/>
  <c r="B41934" i="1"/>
  <c r="A41935" i="1"/>
  <c r="B41935" i="1"/>
  <c r="A41936" i="1"/>
  <c r="B41936" i="1"/>
  <c r="A41937" i="1"/>
  <c r="B41937" i="1"/>
  <c r="A41938" i="1"/>
  <c r="B41938" i="1"/>
  <c r="A41939" i="1"/>
  <c r="B41939" i="1"/>
  <c r="A41940" i="1"/>
  <c r="B41940" i="1"/>
  <c r="A41941" i="1"/>
  <c r="B41941" i="1"/>
  <c r="A41942" i="1"/>
  <c r="B41942" i="1"/>
  <c r="A41943" i="1"/>
  <c r="B41943" i="1"/>
  <c r="A41944" i="1"/>
  <c r="B41944" i="1"/>
  <c r="A41945" i="1"/>
  <c r="B41945" i="1"/>
  <c r="A41946" i="1"/>
  <c r="B41946" i="1"/>
  <c r="A41947" i="1"/>
  <c r="B41947" i="1"/>
  <c r="A41948" i="1"/>
  <c r="B41948" i="1"/>
  <c r="A41949" i="1"/>
  <c r="B41949" i="1"/>
  <c r="A41950" i="1"/>
  <c r="B41950" i="1"/>
  <c r="A41951" i="1"/>
  <c r="B41951" i="1"/>
  <c r="A41952" i="1"/>
  <c r="B41952" i="1"/>
  <c r="A41953" i="1"/>
  <c r="B41953" i="1"/>
  <c r="A41954" i="1"/>
  <c r="B41954" i="1"/>
  <c r="A41955" i="1"/>
  <c r="B41955" i="1"/>
  <c r="A41956" i="1"/>
  <c r="B41956" i="1"/>
  <c r="A41957" i="1"/>
  <c r="B41957" i="1"/>
  <c r="A41958" i="1"/>
  <c r="B41958" i="1"/>
  <c r="A41959" i="1"/>
  <c r="B41959" i="1"/>
  <c r="A41960" i="1"/>
  <c r="B41960" i="1"/>
  <c r="A41961" i="1"/>
  <c r="B41961" i="1"/>
  <c r="A41962" i="1"/>
  <c r="B41962" i="1"/>
  <c r="A41963" i="1"/>
  <c r="B41963" i="1"/>
  <c r="A41964" i="1"/>
  <c r="B41964" i="1"/>
  <c r="A41965" i="1"/>
  <c r="B41965" i="1"/>
  <c r="A41966" i="1"/>
  <c r="B41966" i="1"/>
  <c r="A41967" i="1"/>
  <c r="B41967" i="1"/>
  <c r="A41968" i="1"/>
  <c r="B41968" i="1"/>
  <c r="A41969" i="1"/>
  <c r="B41969" i="1"/>
  <c r="A41970" i="1"/>
  <c r="B41970" i="1"/>
  <c r="A41971" i="1"/>
  <c r="B41971" i="1"/>
  <c r="A41972" i="1"/>
  <c r="B41972" i="1"/>
  <c r="A41973" i="1"/>
  <c r="B41973" i="1"/>
  <c r="A41974" i="1"/>
  <c r="B41974" i="1"/>
  <c r="A41975" i="1"/>
  <c r="B41975" i="1"/>
  <c r="A41976" i="1"/>
  <c r="B41976" i="1"/>
  <c r="A41977" i="1"/>
  <c r="B41977" i="1"/>
  <c r="A41978" i="1"/>
  <c r="B41978" i="1"/>
  <c r="A41979" i="1"/>
  <c r="B41979" i="1"/>
  <c r="A41980" i="1"/>
  <c r="B41980" i="1"/>
  <c r="A41981" i="1"/>
  <c r="B41981" i="1"/>
  <c r="A41982" i="1"/>
  <c r="B41982" i="1"/>
  <c r="A41983" i="1"/>
  <c r="B41983" i="1"/>
  <c r="A41984" i="1"/>
  <c r="B41984" i="1"/>
  <c r="A41985" i="1"/>
  <c r="B41985" i="1"/>
  <c r="A41986" i="1"/>
  <c r="B41986" i="1"/>
  <c r="A41987" i="1"/>
  <c r="B41987" i="1"/>
  <c r="A41988" i="1"/>
  <c r="B41988" i="1"/>
  <c r="A41989" i="1"/>
  <c r="B41989" i="1"/>
  <c r="A41990" i="1"/>
  <c r="B41990" i="1"/>
  <c r="A41991" i="1"/>
  <c r="B41991" i="1"/>
  <c r="A41992" i="1"/>
  <c r="B41992" i="1"/>
  <c r="A41993" i="1"/>
  <c r="B41993" i="1"/>
  <c r="A41994" i="1"/>
  <c r="B41994" i="1"/>
  <c r="A41995" i="1"/>
  <c r="B41995" i="1"/>
  <c r="A41996" i="1"/>
  <c r="B41996" i="1"/>
  <c r="A41997" i="1"/>
  <c r="B41997" i="1"/>
  <c r="A41998" i="1"/>
  <c r="B41998" i="1"/>
  <c r="A41999" i="1"/>
  <c r="B41999" i="1"/>
  <c r="A42000" i="1"/>
  <c r="B42000" i="1"/>
  <c r="A42001" i="1"/>
  <c r="B42001" i="1"/>
  <c r="A42002" i="1"/>
  <c r="B42002" i="1"/>
  <c r="A42003" i="1"/>
  <c r="B42003" i="1"/>
  <c r="A42004" i="1"/>
  <c r="B42004" i="1"/>
  <c r="A42005" i="1"/>
  <c r="B42005" i="1"/>
  <c r="A42006" i="1"/>
  <c r="B42006" i="1"/>
  <c r="A42007" i="1"/>
  <c r="B42007" i="1"/>
  <c r="A42008" i="1"/>
  <c r="B42008" i="1"/>
  <c r="A42009" i="1"/>
  <c r="B42009" i="1"/>
  <c r="A42010" i="1"/>
  <c r="B42010" i="1"/>
  <c r="A42011" i="1"/>
  <c r="B42011" i="1"/>
  <c r="A42012" i="1"/>
  <c r="B42012" i="1"/>
  <c r="A42013" i="1"/>
  <c r="B42013" i="1"/>
  <c r="A42014" i="1"/>
  <c r="B42014" i="1"/>
  <c r="A42015" i="1"/>
  <c r="B42015" i="1"/>
  <c r="A42016" i="1"/>
  <c r="B42016" i="1"/>
  <c r="A42017" i="1"/>
  <c r="B42017" i="1"/>
  <c r="A42018" i="1"/>
  <c r="B42018" i="1"/>
  <c r="A42019" i="1"/>
  <c r="B42019" i="1"/>
  <c r="A42020" i="1"/>
  <c r="B42020" i="1"/>
  <c r="A42021" i="1"/>
  <c r="B42021" i="1"/>
  <c r="A42022" i="1"/>
  <c r="B42022" i="1"/>
  <c r="A42023" i="1"/>
  <c r="B42023" i="1"/>
  <c r="A42024" i="1"/>
  <c r="B42024" i="1"/>
  <c r="A42025" i="1"/>
  <c r="B42025" i="1"/>
  <c r="A42026" i="1"/>
  <c r="B42026" i="1"/>
  <c r="A42027" i="1"/>
  <c r="B42027" i="1"/>
  <c r="A42028" i="1"/>
  <c r="B42028" i="1"/>
  <c r="A42029" i="1"/>
  <c r="B42029" i="1"/>
  <c r="A42030" i="1"/>
  <c r="B42030" i="1"/>
  <c r="A42031" i="1"/>
  <c r="B42031" i="1"/>
  <c r="A42032" i="1"/>
  <c r="B42032" i="1"/>
  <c r="A42033" i="1"/>
  <c r="B42033" i="1"/>
  <c r="A42034" i="1"/>
  <c r="B42034" i="1"/>
  <c r="A42035" i="1"/>
  <c r="B42035" i="1"/>
  <c r="A42036" i="1"/>
  <c r="B42036" i="1"/>
  <c r="A42037" i="1"/>
  <c r="B42037" i="1"/>
  <c r="A42038" i="1"/>
  <c r="B42038" i="1"/>
  <c r="A42039" i="1"/>
  <c r="B42039" i="1"/>
  <c r="A42040" i="1"/>
  <c r="B42040" i="1"/>
  <c r="A42041" i="1"/>
  <c r="B42041" i="1"/>
  <c r="A42042" i="1"/>
  <c r="B42042" i="1"/>
  <c r="A42043" i="1"/>
  <c r="B42043" i="1"/>
  <c r="A42044" i="1"/>
  <c r="B42044" i="1"/>
  <c r="A42045" i="1"/>
  <c r="B42045" i="1"/>
  <c r="A42046" i="1"/>
  <c r="B42046" i="1"/>
  <c r="A42047" i="1"/>
  <c r="B42047" i="1"/>
  <c r="A42048" i="1"/>
  <c r="B42048" i="1"/>
  <c r="A42049" i="1"/>
  <c r="B42049" i="1"/>
  <c r="A42050" i="1"/>
  <c r="B42050" i="1"/>
  <c r="A42051" i="1"/>
  <c r="B42051" i="1"/>
  <c r="A42052" i="1"/>
  <c r="B42052" i="1"/>
  <c r="A42053" i="1"/>
  <c r="B42053" i="1"/>
  <c r="A42054" i="1"/>
  <c r="B42054" i="1"/>
  <c r="A42055" i="1"/>
  <c r="B42055" i="1"/>
  <c r="A42056" i="1"/>
  <c r="B42056" i="1"/>
  <c r="A42057" i="1"/>
  <c r="B42057" i="1"/>
  <c r="A42058" i="1"/>
  <c r="B42058" i="1"/>
  <c r="A42059" i="1"/>
  <c r="B42059" i="1"/>
  <c r="A42060" i="1"/>
  <c r="B42060" i="1"/>
  <c r="A42061" i="1"/>
  <c r="B42061" i="1"/>
  <c r="A42062" i="1"/>
  <c r="B42062" i="1"/>
  <c r="A42063" i="1"/>
  <c r="B42063" i="1"/>
  <c r="A42064" i="1"/>
  <c r="B42064" i="1"/>
  <c r="A42065" i="1"/>
  <c r="B42065" i="1"/>
  <c r="A42066" i="1"/>
  <c r="B42066" i="1"/>
  <c r="A42067" i="1"/>
  <c r="B42067" i="1"/>
  <c r="A42068" i="1"/>
  <c r="B42068" i="1"/>
  <c r="A42069" i="1"/>
  <c r="B42069" i="1"/>
  <c r="A42070" i="1"/>
  <c r="B42070" i="1"/>
  <c r="A42071" i="1"/>
  <c r="B42071" i="1"/>
  <c r="A42072" i="1"/>
  <c r="B42072" i="1"/>
  <c r="A42073" i="1"/>
  <c r="B42073" i="1"/>
  <c r="A42074" i="1"/>
  <c r="B42074" i="1"/>
  <c r="A42075" i="1"/>
  <c r="B42075" i="1"/>
  <c r="A42076" i="1"/>
  <c r="B42076" i="1"/>
  <c r="A42077" i="1"/>
  <c r="B42077" i="1"/>
  <c r="A42078" i="1"/>
  <c r="B42078" i="1"/>
  <c r="A42079" i="1"/>
  <c r="B42079" i="1"/>
  <c r="A42080" i="1"/>
  <c r="B42080" i="1"/>
  <c r="A42081" i="1"/>
  <c r="B42081" i="1"/>
  <c r="A42082" i="1"/>
  <c r="B42082" i="1"/>
  <c r="A42083" i="1"/>
  <c r="B42083" i="1"/>
  <c r="A42084" i="1"/>
  <c r="B42084" i="1"/>
  <c r="A42085" i="1"/>
  <c r="B42085" i="1"/>
  <c r="A42086" i="1"/>
  <c r="B42086" i="1"/>
  <c r="A42087" i="1"/>
  <c r="B42087" i="1"/>
  <c r="A42088" i="1"/>
  <c r="B42088" i="1"/>
  <c r="A42089" i="1"/>
  <c r="B42089" i="1"/>
  <c r="A42090" i="1"/>
  <c r="B42090" i="1"/>
  <c r="A42091" i="1"/>
  <c r="B42091" i="1"/>
  <c r="A42092" i="1"/>
  <c r="B42092" i="1"/>
  <c r="A42093" i="1"/>
  <c r="B42093" i="1"/>
  <c r="A42094" i="1"/>
  <c r="B42094" i="1"/>
  <c r="A42095" i="1"/>
  <c r="B42095" i="1"/>
  <c r="A42096" i="1"/>
  <c r="B42096" i="1"/>
  <c r="A42097" i="1"/>
  <c r="B42097" i="1"/>
  <c r="A42098" i="1"/>
  <c r="B42098" i="1"/>
  <c r="A42099" i="1"/>
  <c r="B42099" i="1"/>
  <c r="A42100" i="1"/>
  <c r="B42100" i="1"/>
  <c r="A42101" i="1"/>
  <c r="B42101" i="1"/>
  <c r="A42102" i="1"/>
  <c r="B42102" i="1"/>
  <c r="A42103" i="1"/>
  <c r="B42103" i="1"/>
  <c r="A42104" i="1"/>
  <c r="B42104" i="1"/>
  <c r="A42105" i="1"/>
  <c r="B42105" i="1"/>
  <c r="A42106" i="1"/>
  <c r="B42106" i="1"/>
  <c r="A42107" i="1"/>
  <c r="B42107" i="1"/>
  <c r="A42108" i="1"/>
  <c r="B42108" i="1"/>
  <c r="A42109" i="1"/>
  <c r="B42109" i="1"/>
  <c r="A42110" i="1"/>
  <c r="B42110" i="1"/>
  <c r="A42111" i="1"/>
  <c r="B42111" i="1"/>
  <c r="A42112" i="1"/>
  <c r="B42112" i="1"/>
  <c r="A42113" i="1"/>
  <c r="B42113" i="1"/>
  <c r="A42114" i="1"/>
  <c r="B42114" i="1"/>
  <c r="A42115" i="1"/>
  <c r="B42115" i="1"/>
  <c r="A42116" i="1"/>
  <c r="B42116" i="1"/>
  <c r="A42117" i="1"/>
  <c r="B42117" i="1"/>
  <c r="A42118" i="1"/>
  <c r="B42118" i="1"/>
  <c r="A42119" i="1"/>
  <c r="B42119" i="1"/>
  <c r="A42120" i="1"/>
  <c r="B42120" i="1"/>
  <c r="A42121" i="1"/>
  <c r="B42121" i="1"/>
  <c r="A42122" i="1"/>
  <c r="B42122" i="1"/>
  <c r="A42123" i="1"/>
  <c r="B42123" i="1"/>
  <c r="A42124" i="1"/>
  <c r="B42124" i="1"/>
  <c r="A42125" i="1"/>
  <c r="B42125" i="1"/>
  <c r="A42126" i="1"/>
  <c r="B42126" i="1"/>
  <c r="A42127" i="1"/>
  <c r="B42127" i="1"/>
  <c r="A42128" i="1"/>
  <c r="B42128" i="1"/>
  <c r="A42129" i="1"/>
  <c r="B42129" i="1"/>
  <c r="A42130" i="1"/>
  <c r="B42130" i="1"/>
  <c r="A42131" i="1"/>
  <c r="B42131" i="1"/>
  <c r="A42132" i="1"/>
  <c r="B42132" i="1"/>
  <c r="A42133" i="1"/>
  <c r="B42133" i="1"/>
  <c r="A42134" i="1"/>
  <c r="B42134" i="1"/>
  <c r="A42135" i="1"/>
  <c r="B42135" i="1"/>
  <c r="A42136" i="1"/>
  <c r="B42136" i="1"/>
  <c r="A42137" i="1"/>
  <c r="B42137" i="1"/>
  <c r="A42138" i="1"/>
  <c r="B42138" i="1"/>
  <c r="A42139" i="1"/>
  <c r="B42139" i="1"/>
  <c r="A42140" i="1"/>
  <c r="B42140" i="1"/>
  <c r="A42141" i="1"/>
  <c r="B42141" i="1"/>
  <c r="A42142" i="1"/>
  <c r="B42142" i="1"/>
  <c r="A42143" i="1"/>
  <c r="B42143" i="1"/>
  <c r="A42144" i="1"/>
  <c r="B42144" i="1"/>
  <c r="A42145" i="1"/>
  <c r="B42145" i="1"/>
  <c r="A42146" i="1"/>
  <c r="B42146" i="1"/>
  <c r="A42147" i="1"/>
  <c r="B42147" i="1"/>
  <c r="A42148" i="1"/>
  <c r="B42148" i="1"/>
  <c r="A42149" i="1"/>
  <c r="B42149" i="1"/>
  <c r="A42150" i="1"/>
  <c r="B42150" i="1"/>
  <c r="A42151" i="1"/>
  <c r="B42151" i="1"/>
  <c r="A42152" i="1"/>
  <c r="B42152" i="1"/>
  <c r="A42153" i="1"/>
  <c r="B42153" i="1"/>
  <c r="A42154" i="1"/>
  <c r="B42154" i="1"/>
  <c r="A42155" i="1"/>
  <c r="B42155" i="1"/>
  <c r="A42156" i="1"/>
  <c r="B42156" i="1"/>
  <c r="A42157" i="1"/>
  <c r="B42157" i="1"/>
  <c r="A42158" i="1"/>
  <c r="B42158" i="1"/>
  <c r="A42159" i="1"/>
  <c r="B42159" i="1"/>
  <c r="A42160" i="1"/>
  <c r="B42160" i="1"/>
  <c r="A42161" i="1"/>
  <c r="B42161" i="1"/>
  <c r="A42162" i="1"/>
  <c r="B42162" i="1"/>
  <c r="A42163" i="1"/>
  <c r="B42163" i="1"/>
  <c r="A42164" i="1"/>
  <c r="B42164" i="1"/>
  <c r="A42165" i="1"/>
  <c r="B42165" i="1"/>
  <c r="A42166" i="1"/>
  <c r="B42166" i="1"/>
  <c r="A42167" i="1"/>
  <c r="B42167" i="1"/>
  <c r="A42168" i="1"/>
  <c r="B42168" i="1"/>
  <c r="A42169" i="1"/>
  <c r="B42169" i="1"/>
  <c r="A42170" i="1"/>
  <c r="B42170" i="1"/>
  <c r="A42171" i="1"/>
  <c r="B42171" i="1"/>
  <c r="A42172" i="1"/>
  <c r="B42172" i="1"/>
  <c r="A42173" i="1"/>
  <c r="B42173" i="1"/>
  <c r="A42174" i="1"/>
  <c r="B42174" i="1"/>
  <c r="A42175" i="1"/>
  <c r="B42175" i="1"/>
  <c r="A42176" i="1"/>
  <c r="B42176" i="1"/>
  <c r="A42177" i="1"/>
  <c r="B42177" i="1"/>
  <c r="A42178" i="1"/>
  <c r="B42178" i="1"/>
  <c r="A42179" i="1"/>
  <c r="B42179" i="1"/>
  <c r="A42180" i="1"/>
  <c r="B42180" i="1"/>
  <c r="A42181" i="1"/>
  <c r="B42181" i="1"/>
  <c r="A42182" i="1"/>
  <c r="B42182" i="1"/>
  <c r="A42183" i="1"/>
  <c r="B42183" i="1"/>
  <c r="A42184" i="1"/>
  <c r="B42184" i="1"/>
  <c r="A42185" i="1"/>
  <c r="B42185" i="1"/>
  <c r="A42186" i="1"/>
  <c r="B42186" i="1"/>
  <c r="A42187" i="1"/>
  <c r="B42187" i="1"/>
  <c r="A42188" i="1"/>
  <c r="B42188" i="1"/>
  <c r="A42189" i="1"/>
  <c r="B42189" i="1"/>
  <c r="A42190" i="1"/>
  <c r="B42190" i="1"/>
  <c r="A42191" i="1"/>
  <c r="B42191" i="1"/>
  <c r="A42192" i="1"/>
  <c r="B42192" i="1"/>
  <c r="A42193" i="1"/>
  <c r="B42193" i="1"/>
  <c r="A42194" i="1"/>
  <c r="B42194" i="1"/>
  <c r="A42195" i="1"/>
  <c r="B42195" i="1"/>
  <c r="A42196" i="1"/>
  <c r="B42196" i="1"/>
  <c r="A42197" i="1"/>
  <c r="B42197" i="1"/>
  <c r="A42198" i="1"/>
  <c r="B42198" i="1"/>
  <c r="A42199" i="1"/>
  <c r="B42199" i="1"/>
  <c r="A42200" i="1"/>
  <c r="B42200" i="1"/>
  <c r="A42201" i="1"/>
  <c r="B42201" i="1"/>
  <c r="A42202" i="1"/>
  <c r="B42202" i="1"/>
  <c r="A42203" i="1"/>
  <c r="B42203" i="1"/>
  <c r="A42204" i="1"/>
  <c r="B42204" i="1"/>
  <c r="A42205" i="1"/>
  <c r="B42205" i="1"/>
  <c r="A42206" i="1"/>
  <c r="B42206" i="1"/>
  <c r="A42207" i="1"/>
  <c r="B42207" i="1"/>
  <c r="A42208" i="1"/>
  <c r="B42208" i="1"/>
  <c r="A42209" i="1"/>
  <c r="B42209" i="1"/>
  <c r="A42210" i="1"/>
  <c r="B42210" i="1"/>
  <c r="A42211" i="1"/>
  <c r="B42211" i="1"/>
  <c r="A42212" i="1"/>
  <c r="B42212" i="1"/>
  <c r="A42213" i="1"/>
  <c r="B42213" i="1"/>
  <c r="A42214" i="1"/>
  <c r="B42214" i="1"/>
  <c r="A42215" i="1"/>
  <c r="B42215" i="1"/>
  <c r="A42216" i="1"/>
  <c r="B42216" i="1"/>
  <c r="A42217" i="1"/>
  <c r="B42217" i="1"/>
  <c r="A42218" i="1"/>
  <c r="B42218" i="1"/>
  <c r="A42219" i="1"/>
  <c r="B42219" i="1"/>
  <c r="A42220" i="1"/>
  <c r="B42220" i="1"/>
  <c r="A42221" i="1"/>
  <c r="B42221" i="1"/>
  <c r="A42222" i="1"/>
  <c r="B42222" i="1"/>
  <c r="A42223" i="1"/>
  <c r="B42223" i="1"/>
  <c r="A42224" i="1"/>
  <c r="B42224" i="1"/>
  <c r="A42225" i="1"/>
  <c r="B42225" i="1"/>
  <c r="A42226" i="1"/>
  <c r="B42226" i="1"/>
  <c r="A42227" i="1"/>
  <c r="B42227" i="1"/>
  <c r="A42228" i="1"/>
  <c r="B42228" i="1"/>
  <c r="A42229" i="1"/>
  <c r="B42229" i="1"/>
  <c r="A42230" i="1"/>
  <c r="B42230" i="1"/>
  <c r="A42231" i="1"/>
  <c r="B42231" i="1"/>
  <c r="A42232" i="1"/>
  <c r="B42232" i="1"/>
  <c r="A42233" i="1"/>
  <c r="B42233" i="1"/>
  <c r="A42234" i="1"/>
  <c r="B42234" i="1"/>
  <c r="A42235" i="1"/>
  <c r="B42235" i="1"/>
  <c r="A42236" i="1"/>
  <c r="B42236" i="1"/>
  <c r="A42237" i="1"/>
  <c r="B42237" i="1"/>
  <c r="A42238" i="1"/>
  <c r="B42238" i="1"/>
  <c r="A42239" i="1"/>
  <c r="B42239" i="1"/>
  <c r="A42240" i="1"/>
  <c r="B42240" i="1"/>
  <c r="A42241" i="1"/>
  <c r="B42241" i="1"/>
  <c r="A42242" i="1"/>
  <c r="B42242" i="1"/>
  <c r="A42243" i="1"/>
  <c r="B42243" i="1"/>
  <c r="A42244" i="1"/>
  <c r="B42244" i="1"/>
  <c r="A42245" i="1"/>
  <c r="B42245" i="1"/>
  <c r="A42246" i="1"/>
  <c r="B42246" i="1"/>
  <c r="A42247" i="1"/>
  <c r="B42247" i="1"/>
  <c r="A42248" i="1"/>
  <c r="B42248" i="1"/>
  <c r="A42249" i="1"/>
  <c r="B42249" i="1"/>
  <c r="A42250" i="1"/>
  <c r="B42250" i="1"/>
  <c r="A42251" i="1"/>
  <c r="B42251" i="1"/>
  <c r="A42252" i="1"/>
  <c r="B42252" i="1"/>
  <c r="A42253" i="1"/>
  <c r="B42253" i="1"/>
  <c r="A42254" i="1"/>
  <c r="B42254" i="1"/>
  <c r="A42255" i="1"/>
  <c r="B42255" i="1"/>
  <c r="A42256" i="1"/>
  <c r="B42256" i="1"/>
  <c r="A42257" i="1"/>
  <c r="B42257" i="1"/>
  <c r="A42258" i="1"/>
  <c r="B42258" i="1"/>
  <c r="A42259" i="1"/>
  <c r="B42259" i="1"/>
  <c r="A42260" i="1"/>
  <c r="B42260" i="1"/>
  <c r="A42261" i="1"/>
  <c r="B42261" i="1"/>
  <c r="A42262" i="1"/>
  <c r="B42262" i="1"/>
  <c r="A42263" i="1"/>
  <c r="B42263" i="1"/>
  <c r="A42264" i="1"/>
  <c r="B42264" i="1"/>
  <c r="A42265" i="1"/>
  <c r="B42265" i="1"/>
  <c r="A42266" i="1"/>
  <c r="B42266" i="1"/>
  <c r="A42267" i="1"/>
  <c r="B42267" i="1"/>
  <c r="A42268" i="1"/>
  <c r="B42268" i="1"/>
  <c r="A42269" i="1"/>
  <c r="B42269" i="1"/>
  <c r="A42270" i="1"/>
  <c r="B42270" i="1"/>
  <c r="A42271" i="1"/>
  <c r="B42271" i="1"/>
  <c r="A42272" i="1"/>
  <c r="B42272" i="1"/>
  <c r="A42273" i="1"/>
  <c r="B42273" i="1"/>
  <c r="A42274" i="1"/>
  <c r="B42274" i="1"/>
  <c r="A42275" i="1"/>
  <c r="B42275" i="1"/>
  <c r="A42276" i="1"/>
  <c r="B42276" i="1"/>
  <c r="A42277" i="1"/>
  <c r="B42277" i="1"/>
  <c r="A42278" i="1"/>
  <c r="B42278" i="1"/>
  <c r="A42279" i="1"/>
  <c r="B42279" i="1"/>
  <c r="A42280" i="1"/>
  <c r="B42280" i="1"/>
  <c r="A42281" i="1"/>
  <c r="B42281" i="1"/>
  <c r="A42282" i="1"/>
  <c r="B42282" i="1"/>
  <c r="A42283" i="1"/>
  <c r="B42283" i="1"/>
  <c r="A42284" i="1"/>
  <c r="B42284" i="1"/>
  <c r="A42285" i="1"/>
  <c r="B42285" i="1"/>
  <c r="A42286" i="1"/>
  <c r="B42286" i="1"/>
  <c r="A42287" i="1"/>
  <c r="B42287" i="1"/>
  <c r="A42288" i="1"/>
  <c r="B42288" i="1"/>
  <c r="A42289" i="1"/>
  <c r="B42289" i="1"/>
  <c r="A42290" i="1"/>
  <c r="B42290" i="1"/>
  <c r="A42291" i="1"/>
  <c r="B42291" i="1"/>
  <c r="A42292" i="1"/>
  <c r="B42292" i="1"/>
  <c r="A42293" i="1"/>
  <c r="B42293" i="1"/>
  <c r="A42294" i="1"/>
  <c r="B42294" i="1"/>
  <c r="A42295" i="1"/>
  <c r="B42295" i="1"/>
  <c r="A42296" i="1"/>
  <c r="B42296" i="1"/>
  <c r="A42297" i="1"/>
  <c r="B42297" i="1"/>
  <c r="A42298" i="1"/>
  <c r="B42298" i="1"/>
  <c r="A42299" i="1"/>
  <c r="B42299" i="1"/>
  <c r="A42300" i="1"/>
  <c r="B42300" i="1"/>
  <c r="A42301" i="1"/>
  <c r="B42301" i="1"/>
  <c r="A42302" i="1"/>
  <c r="B42302" i="1"/>
  <c r="A42303" i="1"/>
  <c r="B42303" i="1"/>
  <c r="A42304" i="1"/>
  <c r="B42304" i="1"/>
  <c r="A42305" i="1"/>
  <c r="B42305" i="1"/>
  <c r="A42306" i="1"/>
  <c r="B42306" i="1"/>
  <c r="A42307" i="1"/>
  <c r="B42307" i="1"/>
  <c r="A42308" i="1"/>
  <c r="B42308" i="1"/>
  <c r="A42309" i="1"/>
  <c r="B42309" i="1"/>
  <c r="A42310" i="1"/>
  <c r="B42310" i="1"/>
  <c r="A42311" i="1"/>
  <c r="B42311" i="1"/>
  <c r="A42312" i="1"/>
  <c r="B42312" i="1"/>
  <c r="A42313" i="1"/>
  <c r="B42313" i="1"/>
  <c r="A42314" i="1"/>
  <c r="B42314" i="1"/>
  <c r="A42315" i="1"/>
  <c r="B42315" i="1"/>
  <c r="A42316" i="1"/>
  <c r="B42316" i="1"/>
  <c r="A42317" i="1"/>
  <c r="B42317" i="1"/>
  <c r="A42318" i="1"/>
  <c r="B42318" i="1"/>
  <c r="A42319" i="1"/>
  <c r="B42319" i="1"/>
  <c r="A42320" i="1"/>
  <c r="B42320" i="1"/>
  <c r="A42321" i="1"/>
  <c r="B42321" i="1"/>
  <c r="A42322" i="1"/>
  <c r="B42322" i="1"/>
  <c r="A42323" i="1"/>
  <c r="B42323" i="1"/>
  <c r="A42324" i="1"/>
  <c r="B42324" i="1"/>
  <c r="A42325" i="1"/>
  <c r="B42325" i="1"/>
  <c r="A42326" i="1"/>
  <c r="B42326" i="1"/>
  <c r="A42327" i="1"/>
  <c r="B42327" i="1"/>
  <c r="A42328" i="1"/>
  <c r="B42328" i="1"/>
  <c r="A42329" i="1"/>
  <c r="B42329" i="1"/>
  <c r="A42330" i="1"/>
  <c r="B42330" i="1"/>
  <c r="A42331" i="1"/>
  <c r="B42331" i="1"/>
  <c r="A42332" i="1"/>
  <c r="B42332" i="1"/>
  <c r="A42333" i="1"/>
  <c r="B42333" i="1"/>
  <c r="A42334" i="1"/>
  <c r="B42334" i="1"/>
  <c r="A42335" i="1"/>
  <c r="B42335" i="1"/>
  <c r="A42336" i="1"/>
  <c r="B42336" i="1"/>
  <c r="A42337" i="1"/>
  <c r="B42337" i="1"/>
  <c r="A42338" i="1"/>
  <c r="B42338" i="1"/>
  <c r="A42339" i="1"/>
  <c r="B42339" i="1"/>
  <c r="A42340" i="1"/>
  <c r="B42340" i="1"/>
  <c r="A42341" i="1"/>
  <c r="B42341" i="1"/>
  <c r="A42342" i="1"/>
  <c r="B42342" i="1"/>
  <c r="A42343" i="1"/>
  <c r="B42343" i="1"/>
  <c r="A42344" i="1"/>
  <c r="B42344" i="1"/>
  <c r="A42345" i="1"/>
  <c r="B42345" i="1"/>
  <c r="A42346" i="1"/>
  <c r="B42346" i="1"/>
  <c r="A42347" i="1"/>
  <c r="B42347" i="1"/>
  <c r="A42348" i="1"/>
  <c r="B42348" i="1"/>
  <c r="A42349" i="1"/>
  <c r="B42349" i="1"/>
  <c r="A42350" i="1"/>
  <c r="B42350" i="1"/>
  <c r="A42351" i="1"/>
  <c r="B42351" i="1"/>
  <c r="A42352" i="1"/>
  <c r="B42352" i="1"/>
  <c r="A42353" i="1"/>
  <c r="B42353" i="1"/>
  <c r="A42354" i="1"/>
  <c r="B42354" i="1"/>
  <c r="A42355" i="1"/>
  <c r="B42355" i="1"/>
  <c r="A42356" i="1"/>
  <c r="B42356" i="1"/>
  <c r="A42357" i="1"/>
  <c r="B42357" i="1"/>
  <c r="A42358" i="1"/>
  <c r="B42358" i="1"/>
  <c r="A42359" i="1"/>
  <c r="B42359" i="1"/>
  <c r="A42360" i="1"/>
  <c r="B42360" i="1"/>
  <c r="A42361" i="1"/>
  <c r="B42361" i="1"/>
  <c r="A42362" i="1"/>
  <c r="B42362" i="1"/>
  <c r="A42363" i="1"/>
  <c r="B42363" i="1"/>
  <c r="A42364" i="1"/>
  <c r="B42364" i="1"/>
  <c r="A42365" i="1"/>
  <c r="B42365" i="1"/>
  <c r="A42366" i="1"/>
  <c r="B42366" i="1"/>
  <c r="A42367" i="1"/>
  <c r="B42367" i="1"/>
  <c r="A42368" i="1"/>
  <c r="B42368" i="1"/>
  <c r="A42369" i="1"/>
  <c r="B42369" i="1"/>
  <c r="A42370" i="1"/>
  <c r="B42370" i="1"/>
  <c r="A42371" i="1"/>
  <c r="B42371" i="1"/>
  <c r="A42372" i="1"/>
  <c r="B42372" i="1"/>
  <c r="A42373" i="1"/>
  <c r="B42373" i="1"/>
  <c r="A42374" i="1"/>
  <c r="B42374" i="1"/>
  <c r="A42375" i="1"/>
  <c r="B42375" i="1"/>
  <c r="A42376" i="1"/>
  <c r="B42376" i="1"/>
  <c r="A42377" i="1"/>
  <c r="B42377" i="1"/>
  <c r="A42378" i="1"/>
  <c r="B42378" i="1"/>
  <c r="A42379" i="1"/>
  <c r="B42379" i="1"/>
  <c r="A42380" i="1"/>
  <c r="B42380" i="1"/>
  <c r="A42381" i="1"/>
  <c r="B42381" i="1"/>
  <c r="A42382" i="1"/>
  <c r="B42382" i="1"/>
  <c r="A42383" i="1"/>
  <c r="B42383" i="1"/>
  <c r="A42384" i="1"/>
  <c r="B42384" i="1"/>
  <c r="A42385" i="1"/>
  <c r="B42385" i="1"/>
  <c r="A42386" i="1"/>
  <c r="B42386" i="1"/>
  <c r="A42387" i="1"/>
  <c r="B42387" i="1"/>
  <c r="A42388" i="1"/>
  <c r="B42388" i="1"/>
  <c r="A42389" i="1"/>
  <c r="B42389" i="1"/>
  <c r="A42390" i="1"/>
  <c r="B42390" i="1"/>
  <c r="A42391" i="1"/>
  <c r="B42391" i="1"/>
  <c r="A42392" i="1"/>
  <c r="B42392" i="1"/>
  <c r="A42393" i="1"/>
  <c r="B42393" i="1"/>
  <c r="A42394" i="1"/>
  <c r="B42394" i="1"/>
  <c r="A42395" i="1"/>
  <c r="B42395" i="1"/>
  <c r="A42396" i="1"/>
  <c r="B42396" i="1"/>
  <c r="A42397" i="1"/>
  <c r="B42397" i="1"/>
  <c r="A42398" i="1"/>
  <c r="B42398" i="1"/>
  <c r="A42399" i="1"/>
  <c r="B42399" i="1"/>
  <c r="A42400" i="1"/>
  <c r="B42400" i="1"/>
  <c r="A42401" i="1"/>
  <c r="B42401" i="1"/>
  <c r="A42402" i="1"/>
  <c r="B42402" i="1"/>
  <c r="A42403" i="1"/>
  <c r="B42403" i="1"/>
  <c r="A42404" i="1"/>
  <c r="B42404" i="1"/>
  <c r="A42405" i="1"/>
  <c r="B42405" i="1"/>
  <c r="A42406" i="1"/>
  <c r="B42406" i="1"/>
  <c r="A42407" i="1"/>
  <c r="B42407" i="1"/>
  <c r="A42408" i="1"/>
  <c r="B42408" i="1"/>
  <c r="A42409" i="1"/>
  <c r="B42409" i="1"/>
  <c r="A42410" i="1"/>
  <c r="B42410" i="1"/>
  <c r="A42411" i="1"/>
  <c r="B42411" i="1"/>
  <c r="A42412" i="1"/>
  <c r="B42412" i="1"/>
  <c r="A42413" i="1"/>
  <c r="B42413" i="1"/>
  <c r="A42414" i="1"/>
  <c r="B42414" i="1"/>
  <c r="A42415" i="1"/>
  <c r="B42415" i="1"/>
  <c r="A42416" i="1"/>
  <c r="B42416" i="1"/>
  <c r="A42417" i="1"/>
  <c r="B42417" i="1"/>
  <c r="A42418" i="1"/>
  <c r="B42418" i="1"/>
  <c r="A42419" i="1"/>
  <c r="B42419" i="1"/>
  <c r="A42420" i="1"/>
  <c r="B42420" i="1"/>
  <c r="A42421" i="1"/>
  <c r="B42421" i="1"/>
  <c r="A42422" i="1"/>
  <c r="B42422" i="1"/>
  <c r="A42423" i="1"/>
  <c r="B42423" i="1"/>
  <c r="A42424" i="1"/>
  <c r="B42424" i="1"/>
  <c r="A42425" i="1"/>
  <c r="B42425" i="1"/>
  <c r="A42426" i="1"/>
  <c r="B42426" i="1"/>
  <c r="A42427" i="1"/>
  <c r="B42427" i="1"/>
  <c r="A42428" i="1"/>
  <c r="B42428" i="1"/>
  <c r="A42429" i="1"/>
  <c r="B42429" i="1"/>
  <c r="A42430" i="1"/>
  <c r="B42430" i="1"/>
  <c r="A42431" i="1"/>
  <c r="B42431" i="1"/>
  <c r="A42432" i="1"/>
  <c r="B42432" i="1"/>
  <c r="A42433" i="1"/>
  <c r="B42433" i="1"/>
  <c r="A42434" i="1"/>
  <c r="B42434" i="1"/>
  <c r="A42435" i="1"/>
  <c r="B42435" i="1"/>
  <c r="A42436" i="1"/>
  <c r="B42436" i="1"/>
  <c r="A42437" i="1"/>
  <c r="B42437" i="1"/>
  <c r="A42438" i="1"/>
  <c r="B42438" i="1"/>
  <c r="A42439" i="1"/>
  <c r="B42439" i="1"/>
  <c r="A42440" i="1"/>
  <c r="B42440" i="1"/>
  <c r="A42441" i="1"/>
  <c r="B42441" i="1"/>
  <c r="A42442" i="1"/>
  <c r="B42442" i="1"/>
  <c r="A42443" i="1"/>
  <c r="B42443" i="1"/>
  <c r="A42444" i="1"/>
  <c r="B42444" i="1"/>
  <c r="A42445" i="1"/>
  <c r="B42445" i="1"/>
  <c r="A42446" i="1"/>
  <c r="B42446" i="1"/>
  <c r="A42447" i="1"/>
  <c r="B42447" i="1"/>
  <c r="A42448" i="1"/>
  <c r="B42448" i="1"/>
  <c r="A42449" i="1"/>
  <c r="B42449" i="1"/>
  <c r="A42450" i="1"/>
  <c r="B42450" i="1"/>
  <c r="A42451" i="1"/>
  <c r="B42451" i="1"/>
  <c r="A42452" i="1"/>
  <c r="B42452" i="1"/>
  <c r="A42453" i="1"/>
  <c r="B42453" i="1"/>
  <c r="A42454" i="1"/>
  <c r="B42454" i="1"/>
  <c r="A42455" i="1"/>
  <c r="B42455" i="1"/>
  <c r="A42456" i="1"/>
  <c r="B42456" i="1"/>
  <c r="A42457" i="1"/>
  <c r="B42457" i="1"/>
  <c r="A42458" i="1"/>
  <c r="B42458" i="1"/>
  <c r="A42459" i="1"/>
  <c r="B42459" i="1"/>
  <c r="A42460" i="1"/>
  <c r="B42460" i="1"/>
  <c r="A42461" i="1"/>
  <c r="B42461" i="1"/>
  <c r="A42462" i="1"/>
  <c r="B42462" i="1"/>
  <c r="A42463" i="1"/>
  <c r="B42463" i="1"/>
  <c r="A42464" i="1"/>
  <c r="B42464" i="1"/>
  <c r="A42465" i="1"/>
  <c r="B42465" i="1"/>
  <c r="A42466" i="1"/>
  <c r="B42466" i="1"/>
  <c r="A42467" i="1"/>
  <c r="B42467" i="1"/>
  <c r="A42468" i="1"/>
  <c r="B42468" i="1"/>
  <c r="A42469" i="1"/>
  <c r="B42469" i="1"/>
  <c r="A42470" i="1"/>
  <c r="B42470" i="1"/>
  <c r="A42471" i="1"/>
  <c r="B42471" i="1"/>
  <c r="A42472" i="1"/>
  <c r="B42472" i="1"/>
  <c r="A42473" i="1"/>
  <c r="B42473" i="1"/>
  <c r="A42474" i="1"/>
  <c r="B42474" i="1"/>
  <c r="A42475" i="1"/>
  <c r="B42475" i="1"/>
  <c r="A42476" i="1"/>
  <c r="B42476" i="1"/>
  <c r="A42477" i="1"/>
  <c r="B42477" i="1"/>
  <c r="A42478" i="1"/>
  <c r="B42478" i="1"/>
  <c r="A42479" i="1"/>
  <c r="B42479" i="1"/>
  <c r="A42480" i="1"/>
  <c r="B42480" i="1"/>
  <c r="A42481" i="1"/>
  <c r="B42481" i="1"/>
  <c r="A42482" i="1"/>
  <c r="B42482" i="1"/>
  <c r="A42483" i="1"/>
  <c r="B42483" i="1"/>
  <c r="A42484" i="1"/>
  <c r="B42484" i="1"/>
  <c r="A42485" i="1"/>
  <c r="B42485" i="1"/>
  <c r="A42486" i="1"/>
  <c r="B42486" i="1"/>
  <c r="A42487" i="1"/>
  <c r="B42487" i="1"/>
  <c r="A42488" i="1"/>
  <c r="B42488" i="1"/>
  <c r="A42489" i="1"/>
  <c r="B42489" i="1"/>
  <c r="A42490" i="1"/>
  <c r="B42490" i="1"/>
  <c r="A42491" i="1"/>
  <c r="B42491" i="1"/>
  <c r="A42492" i="1"/>
  <c r="B42492" i="1"/>
  <c r="A42493" i="1"/>
  <c r="B42493" i="1"/>
  <c r="A42494" i="1"/>
  <c r="B42494" i="1"/>
  <c r="A42495" i="1"/>
  <c r="B42495" i="1"/>
  <c r="A42496" i="1"/>
  <c r="B42496" i="1"/>
  <c r="A42497" i="1"/>
  <c r="B42497" i="1"/>
  <c r="A42498" i="1"/>
  <c r="B42498" i="1"/>
  <c r="A42499" i="1"/>
  <c r="B42499" i="1"/>
  <c r="A42500" i="1"/>
  <c r="B42500" i="1"/>
  <c r="A42501" i="1"/>
  <c r="B42501" i="1"/>
  <c r="A42502" i="1"/>
  <c r="B42502" i="1"/>
  <c r="A42503" i="1"/>
  <c r="B42503" i="1"/>
  <c r="A42504" i="1"/>
  <c r="B42504" i="1"/>
  <c r="A42505" i="1"/>
  <c r="B42505" i="1"/>
  <c r="A42506" i="1"/>
  <c r="B42506" i="1"/>
  <c r="A42507" i="1"/>
  <c r="B42507" i="1"/>
  <c r="A42508" i="1"/>
  <c r="B42508" i="1"/>
  <c r="A42509" i="1"/>
  <c r="B42509" i="1"/>
  <c r="A42510" i="1"/>
  <c r="B42510" i="1"/>
  <c r="A42511" i="1"/>
  <c r="B42511" i="1"/>
  <c r="A42512" i="1"/>
  <c r="B42512" i="1"/>
  <c r="A42513" i="1"/>
  <c r="B42513" i="1"/>
  <c r="A42514" i="1"/>
  <c r="B42514" i="1"/>
  <c r="A42515" i="1"/>
  <c r="B42515" i="1"/>
  <c r="A42516" i="1"/>
  <c r="B42516" i="1"/>
  <c r="A42517" i="1"/>
  <c r="B42517" i="1"/>
  <c r="A42518" i="1"/>
  <c r="B42518" i="1"/>
  <c r="A42519" i="1"/>
  <c r="B42519" i="1"/>
  <c r="A42520" i="1"/>
  <c r="B42520" i="1"/>
  <c r="A42521" i="1"/>
  <c r="B42521" i="1"/>
  <c r="A42522" i="1"/>
  <c r="B42522" i="1"/>
  <c r="A42523" i="1"/>
  <c r="B42523" i="1"/>
  <c r="A42524" i="1"/>
  <c r="B42524" i="1"/>
  <c r="A42525" i="1"/>
  <c r="B42525" i="1"/>
  <c r="A42526" i="1"/>
  <c r="B42526" i="1"/>
  <c r="A42527" i="1"/>
  <c r="B42527" i="1"/>
  <c r="A42528" i="1"/>
  <c r="B42528" i="1"/>
  <c r="A42529" i="1"/>
  <c r="B42529" i="1"/>
  <c r="A42530" i="1"/>
  <c r="B42530" i="1"/>
  <c r="A42531" i="1"/>
  <c r="B42531" i="1"/>
  <c r="A42532" i="1"/>
  <c r="B42532" i="1"/>
  <c r="A42533" i="1"/>
  <c r="B42533" i="1"/>
  <c r="A42534" i="1"/>
  <c r="B42534" i="1"/>
  <c r="A42535" i="1"/>
  <c r="B42535" i="1"/>
  <c r="A42536" i="1"/>
  <c r="B42536" i="1"/>
  <c r="A42537" i="1"/>
  <c r="B42537" i="1"/>
  <c r="A42538" i="1"/>
  <c r="B42538" i="1"/>
  <c r="A42539" i="1"/>
  <c r="B42539" i="1"/>
  <c r="A42540" i="1"/>
  <c r="B42540" i="1"/>
  <c r="A42541" i="1"/>
  <c r="B42541" i="1"/>
  <c r="A42542" i="1"/>
  <c r="B42542" i="1"/>
  <c r="A42543" i="1"/>
  <c r="B42543" i="1"/>
  <c r="A42544" i="1"/>
  <c r="B42544" i="1"/>
  <c r="A42545" i="1"/>
  <c r="B42545" i="1"/>
  <c r="A42546" i="1"/>
  <c r="B42546" i="1"/>
  <c r="A42547" i="1"/>
  <c r="B42547" i="1"/>
  <c r="A42548" i="1"/>
  <c r="B42548" i="1"/>
  <c r="A42549" i="1"/>
  <c r="B42549" i="1"/>
  <c r="A42550" i="1"/>
  <c r="B42550" i="1"/>
  <c r="A42551" i="1"/>
  <c r="B42551" i="1"/>
  <c r="A42552" i="1"/>
  <c r="B42552" i="1"/>
  <c r="A42553" i="1"/>
  <c r="B42553" i="1"/>
  <c r="A42554" i="1"/>
  <c r="B42554" i="1"/>
  <c r="A42555" i="1"/>
  <c r="B42555" i="1"/>
  <c r="A42556" i="1"/>
  <c r="B42556" i="1"/>
  <c r="A42557" i="1"/>
  <c r="B42557" i="1"/>
  <c r="A42558" i="1"/>
  <c r="B42558" i="1"/>
  <c r="A42559" i="1"/>
  <c r="B42559" i="1"/>
  <c r="A42560" i="1"/>
  <c r="B42560" i="1"/>
  <c r="A42561" i="1"/>
  <c r="B42561" i="1"/>
  <c r="A42562" i="1"/>
  <c r="B42562" i="1"/>
  <c r="A42563" i="1"/>
  <c r="B42563" i="1"/>
  <c r="A42564" i="1"/>
  <c r="B42564" i="1"/>
  <c r="A42565" i="1"/>
  <c r="B42565" i="1"/>
  <c r="A42566" i="1"/>
  <c r="B42566" i="1"/>
  <c r="A42567" i="1"/>
  <c r="B42567" i="1"/>
  <c r="A42568" i="1"/>
  <c r="B42568" i="1"/>
  <c r="A42569" i="1"/>
  <c r="B42569" i="1"/>
  <c r="A42570" i="1"/>
  <c r="B42570" i="1"/>
  <c r="A42571" i="1"/>
  <c r="B42571" i="1"/>
  <c r="A42572" i="1"/>
  <c r="B42572" i="1"/>
  <c r="A42573" i="1"/>
  <c r="B42573" i="1"/>
  <c r="A42574" i="1"/>
  <c r="B42574" i="1"/>
  <c r="A42575" i="1"/>
  <c r="B42575" i="1"/>
  <c r="A42576" i="1"/>
  <c r="B42576" i="1"/>
  <c r="A42577" i="1"/>
  <c r="B42577" i="1"/>
  <c r="A42578" i="1"/>
  <c r="B42578" i="1"/>
  <c r="A42579" i="1"/>
  <c r="B42579" i="1"/>
  <c r="A42580" i="1"/>
  <c r="B42580" i="1"/>
  <c r="A42581" i="1"/>
  <c r="B42581" i="1"/>
  <c r="A42582" i="1"/>
  <c r="B42582" i="1"/>
  <c r="A42583" i="1"/>
  <c r="B42583" i="1"/>
  <c r="A42584" i="1"/>
  <c r="B42584" i="1"/>
  <c r="A42585" i="1"/>
  <c r="B42585" i="1"/>
  <c r="A42586" i="1"/>
  <c r="B42586" i="1"/>
  <c r="A42587" i="1"/>
  <c r="B42587" i="1"/>
  <c r="A42588" i="1"/>
  <c r="B42588" i="1"/>
  <c r="A42589" i="1"/>
  <c r="B42589" i="1"/>
  <c r="A42590" i="1"/>
  <c r="B42590" i="1"/>
  <c r="A42591" i="1"/>
  <c r="B42591" i="1"/>
  <c r="A42592" i="1"/>
  <c r="B42592" i="1"/>
  <c r="A42593" i="1"/>
  <c r="B42593" i="1"/>
  <c r="A42594" i="1"/>
  <c r="B42594" i="1"/>
  <c r="A42595" i="1"/>
  <c r="B42595" i="1"/>
  <c r="A42596" i="1"/>
  <c r="B42596" i="1"/>
  <c r="A42597" i="1"/>
  <c r="B42597" i="1"/>
  <c r="A42598" i="1"/>
  <c r="B42598" i="1"/>
  <c r="A42599" i="1"/>
  <c r="B42599" i="1"/>
  <c r="A42600" i="1"/>
  <c r="B42600" i="1"/>
  <c r="A42601" i="1"/>
  <c r="B42601" i="1"/>
  <c r="A42602" i="1"/>
  <c r="B42602" i="1"/>
  <c r="A42603" i="1"/>
  <c r="B42603" i="1"/>
  <c r="A42604" i="1"/>
  <c r="B42604" i="1"/>
  <c r="A42605" i="1"/>
  <c r="B42605" i="1"/>
  <c r="A42606" i="1"/>
  <c r="B42606" i="1"/>
  <c r="A42607" i="1"/>
  <c r="B42607" i="1"/>
  <c r="A42608" i="1"/>
  <c r="B42608" i="1"/>
  <c r="A42609" i="1"/>
  <c r="B42609" i="1"/>
  <c r="A42610" i="1"/>
  <c r="B42610" i="1"/>
  <c r="A42611" i="1"/>
  <c r="B42611" i="1"/>
  <c r="A42612" i="1"/>
  <c r="B42612" i="1"/>
  <c r="A42613" i="1"/>
  <c r="B42613" i="1"/>
  <c r="A42614" i="1"/>
  <c r="B42614" i="1"/>
  <c r="A42615" i="1"/>
  <c r="B42615" i="1"/>
  <c r="A42616" i="1"/>
  <c r="B42616" i="1"/>
  <c r="A42617" i="1"/>
  <c r="B42617" i="1"/>
  <c r="A42618" i="1"/>
  <c r="B42618" i="1"/>
  <c r="A42619" i="1"/>
  <c r="B42619" i="1"/>
  <c r="A42620" i="1"/>
  <c r="B42620" i="1"/>
  <c r="A42621" i="1"/>
  <c r="B42621" i="1"/>
  <c r="A42622" i="1"/>
  <c r="B42622" i="1"/>
  <c r="A42623" i="1"/>
  <c r="B42623" i="1"/>
  <c r="A42624" i="1"/>
  <c r="B42624" i="1"/>
  <c r="A42625" i="1"/>
  <c r="B42625" i="1"/>
  <c r="A42626" i="1"/>
  <c r="B42626" i="1"/>
  <c r="A42627" i="1"/>
  <c r="B42627" i="1"/>
  <c r="A42628" i="1"/>
  <c r="B42628" i="1"/>
  <c r="A42629" i="1"/>
  <c r="B42629" i="1"/>
  <c r="A42630" i="1"/>
  <c r="B42630" i="1"/>
  <c r="A42631" i="1"/>
  <c r="B42631" i="1"/>
  <c r="A42632" i="1"/>
  <c r="B42632" i="1"/>
  <c r="A42633" i="1"/>
  <c r="B42633" i="1"/>
  <c r="A42634" i="1"/>
  <c r="B42634" i="1"/>
  <c r="A42635" i="1"/>
  <c r="B42635" i="1"/>
  <c r="A42636" i="1"/>
  <c r="B42636" i="1"/>
  <c r="A42637" i="1"/>
  <c r="B42637" i="1"/>
  <c r="A42638" i="1"/>
  <c r="B42638" i="1"/>
  <c r="A42639" i="1"/>
  <c r="B42639" i="1"/>
  <c r="A42640" i="1"/>
  <c r="B42640" i="1"/>
  <c r="A42641" i="1"/>
  <c r="B42641" i="1"/>
  <c r="A42642" i="1"/>
  <c r="B42642" i="1"/>
  <c r="A42643" i="1"/>
  <c r="B42643" i="1"/>
  <c r="A42644" i="1"/>
  <c r="B42644" i="1"/>
  <c r="A42645" i="1"/>
  <c r="B42645" i="1"/>
  <c r="A42646" i="1"/>
  <c r="B42646" i="1"/>
  <c r="A42647" i="1"/>
  <c r="B42647" i="1"/>
  <c r="A42648" i="1"/>
  <c r="B42648" i="1"/>
  <c r="A42649" i="1"/>
  <c r="B42649" i="1"/>
  <c r="A42650" i="1"/>
  <c r="B42650" i="1"/>
  <c r="A42651" i="1"/>
  <c r="B42651" i="1"/>
  <c r="A42652" i="1"/>
  <c r="B42652" i="1"/>
  <c r="A42653" i="1"/>
  <c r="B42653" i="1"/>
  <c r="A42654" i="1"/>
  <c r="B42654" i="1"/>
  <c r="A42655" i="1"/>
  <c r="B42655" i="1"/>
  <c r="A42656" i="1"/>
  <c r="B42656" i="1"/>
  <c r="A42657" i="1"/>
  <c r="B42657" i="1"/>
  <c r="A42658" i="1"/>
  <c r="B42658" i="1"/>
  <c r="A42659" i="1"/>
  <c r="B42659" i="1"/>
  <c r="A42660" i="1"/>
  <c r="B42660" i="1"/>
  <c r="A42661" i="1"/>
  <c r="B42661" i="1"/>
  <c r="A42662" i="1"/>
  <c r="B42662" i="1"/>
  <c r="A42663" i="1"/>
  <c r="B42663" i="1"/>
  <c r="A42664" i="1"/>
  <c r="B42664" i="1"/>
  <c r="A42665" i="1"/>
  <c r="B42665" i="1"/>
  <c r="A42666" i="1"/>
  <c r="B42666" i="1"/>
  <c r="A42667" i="1"/>
  <c r="B42667" i="1"/>
  <c r="A42668" i="1"/>
  <c r="B42668" i="1"/>
  <c r="A42669" i="1"/>
  <c r="B42669" i="1"/>
  <c r="A42670" i="1"/>
  <c r="B42670" i="1"/>
  <c r="A42671" i="1"/>
  <c r="B42671" i="1"/>
  <c r="A42672" i="1"/>
  <c r="B42672" i="1"/>
  <c r="A42673" i="1"/>
  <c r="B42673" i="1"/>
  <c r="A42674" i="1"/>
  <c r="B42674" i="1"/>
  <c r="A42675" i="1"/>
  <c r="B42675" i="1"/>
  <c r="A42676" i="1"/>
  <c r="B42676" i="1"/>
  <c r="A42677" i="1"/>
  <c r="B42677" i="1"/>
  <c r="A42678" i="1"/>
  <c r="B42678" i="1"/>
  <c r="A42679" i="1"/>
  <c r="B42679" i="1"/>
  <c r="A42680" i="1"/>
  <c r="B42680" i="1"/>
  <c r="A42681" i="1"/>
  <c r="B42681" i="1"/>
  <c r="A42682" i="1"/>
  <c r="B42682" i="1"/>
  <c r="A42683" i="1"/>
  <c r="B42683" i="1"/>
  <c r="A42684" i="1"/>
  <c r="B42684" i="1"/>
  <c r="A42685" i="1"/>
  <c r="B42685" i="1"/>
  <c r="A42686" i="1"/>
  <c r="B42686" i="1"/>
  <c r="A42687" i="1"/>
  <c r="B42687" i="1"/>
  <c r="A42688" i="1"/>
  <c r="B42688" i="1"/>
  <c r="A42689" i="1"/>
  <c r="B42689" i="1"/>
  <c r="A42690" i="1"/>
  <c r="B42690" i="1"/>
  <c r="A42691" i="1"/>
  <c r="B42691" i="1"/>
  <c r="A42692" i="1"/>
  <c r="B42692" i="1"/>
  <c r="A42693" i="1"/>
  <c r="B42693" i="1"/>
  <c r="A42694" i="1"/>
  <c r="B42694" i="1"/>
  <c r="A42695" i="1"/>
  <c r="B42695" i="1"/>
  <c r="A42696" i="1"/>
  <c r="B42696" i="1"/>
  <c r="A42697" i="1"/>
  <c r="B42697" i="1"/>
  <c r="A42698" i="1"/>
  <c r="B42698" i="1"/>
  <c r="A42699" i="1"/>
  <c r="B42699" i="1"/>
  <c r="A42700" i="1"/>
  <c r="B42700" i="1"/>
  <c r="A42701" i="1"/>
  <c r="B42701" i="1"/>
  <c r="A42702" i="1"/>
  <c r="B42702" i="1"/>
  <c r="A42703" i="1"/>
  <c r="B42703" i="1"/>
  <c r="A42704" i="1"/>
  <c r="B42704" i="1"/>
  <c r="A42705" i="1"/>
  <c r="B42705" i="1"/>
  <c r="A42706" i="1"/>
  <c r="B42706" i="1"/>
  <c r="A42707" i="1"/>
  <c r="B42707" i="1"/>
  <c r="A42708" i="1"/>
  <c r="B42708" i="1"/>
  <c r="A42709" i="1"/>
  <c r="B42709" i="1"/>
  <c r="A42710" i="1"/>
  <c r="B42710" i="1"/>
  <c r="A42711" i="1"/>
  <c r="B42711" i="1"/>
  <c r="A42712" i="1"/>
  <c r="B42712" i="1"/>
  <c r="A42713" i="1"/>
  <c r="B42713" i="1"/>
  <c r="A42714" i="1"/>
  <c r="B42714" i="1"/>
  <c r="A42715" i="1"/>
  <c r="B42715" i="1"/>
  <c r="A42716" i="1"/>
  <c r="B42716" i="1"/>
  <c r="A42717" i="1"/>
  <c r="B42717" i="1"/>
  <c r="A42718" i="1"/>
  <c r="B42718" i="1"/>
  <c r="A42719" i="1"/>
  <c r="B42719" i="1"/>
  <c r="A42720" i="1"/>
  <c r="B42720" i="1"/>
  <c r="A42721" i="1"/>
  <c r="B42721" i="1"/>
  <c r="A42722" i="1"/>
  <c r="B42722" i="1"/>
  <c r="A42723" i="1"/>
  <c r="B42723" i="1"/>
  <c r="A42724" i="1"/>
  <c r="B42724" i="1"/>
  <c r="A42725" i="1"/>
  <c r="B42725" i="1"/>
  <c r="A42726" i="1"/>
  <c r="B42726" i="1"/>
  <c r="A42727" i="1"/>
  <c r="B42727" i="1"/>
  <c r="A42728" i="1"/>
  <c r="B42728" i="1"/>
  <c r="A42729" i="1"/>
  <c r="B42729" i="1"/>
  <c r="A42730" i="1"/>
  <c r="B42730" i="1"/>
  <c r="A42731" i="1"/>
  <c r="B42731" i="1"/>
  <c r="A42732" i="1"/>
  <c r="B42732" i="1"/>
  <c r="A42733" i="1"/>
  <c r="B42733" i="1"/>
  <c r="A42734" i="1"/>
  <c r="B42734" i="1"/>
  <c r="A42735" i="1"/>
  <c r="B42735" i="1"/>
  <c r="A42736" i="1"/>
  <c r="B42736" i="1"/>
  <c r="A42737" i="1"/>
  <c r="B42737" i="1"/>
  <c r="A42738" i="1"/>
  <c r="B42738" i="1"/>
  <c r="A42739" i="1"/>
  <c r="B42739" i="1"/>
  <c r="A42740" i="1"/>
  <c r="B42740" i="1"/>
  <c r="A42741" i="1"/>
  <c r="B42741" i="1"/>
  <c r="A42742" i="1"/>
  <c r="B42742" i="1"/>
  <c r="A42743" i="1"/>
  <c r="B42743" i="1"/>
  <c r="A42744" i="1"/>
  <c r="B42744" i="1"/>
  <c r="A42745" i="1"/>
  <c r="B42745" i="1"/>
  <c r="A42746" i="1"/>
  <c r="B42746" i="1"/>
  <c r="A42747" i="1"/>
  <c r="B42747" i="1"/>
  <c r="A42748" i="1"/>
  <c r="B42748" i="1"/>
  <c r="A42749" i="1"/>
  <c r="B42749" i="1"/>
  <c r="A42750" i="1"/>
  <c r="B42750" i="1"/>
  <c r="A42751" i="1"/>
  <c r="B42751" i="1"/>
  <c r="A42752" i="1"/>
  <c r="B42752" i="1"/>
  <c r="A42753" i="1"/>
  <c r="B42753" i="1"/>
  <c r="A42754" i="1"/>
  <c r="B42754" i="1"/>
  <c r="A42755" i="1"/>
  <c r="B42755" i="1"/>
  <c r="A42756" i="1"/>
  <c r="B42756" i="1"/>
  <c r="A42757" i="1"/>
  <c r="B42757" i="1"/>
  <c r="A42758" i="1"/>
  <c r="B42758" i="1"/>
  <c r="A42759" i="1"/>
  <c r="B42759" i="1"/>
  <c r="A42760" i="1"/>
  <c r="B42760" i="1"/>
  <c r="A42761" i="1"/>
  <c r="B42761" i="1"/>
  <c r="A42762" i="1"/>
  <c r="B42762" i="1"/>
  <c r="A42763" i="1"/>
  <c r="B42763" i="1"/>
  <c r="A42764" i="1"/>
  <c r="B42764" i="1"/>
  <c r="A42765" i="1"/>
  <c r="B42765" i="1"/>
  <c r="A42766" i="1"/>
  <c r="B42766" i="1"/>
  <c r="A42767" i="1"/>
  <c r="B42767" i="1"/>
  <c r="A42768" i="1"/>
  <c r="B42768" i="1"/>
  <c r="A42769" i="1"/>
  <c r="B42769" i="1"/>
  <c r="A42770" i="1"/>
  <c r="B42770" i="1"/>
  <c r="A42771" i="1"/>
  <c r="B42771" i="1"/>
  <c r="A42772" i="1"/>
  <c r="B42772" i="1"/>
  <c r="A42773" i="1"/>
  <c r="B42773" i="1"/>
  <c r="A42774" i="1"/>
  <c r="B42774" i="1"/>
  <c r="A42775" i="1"/>
  <c r="B42775" i="1"/>
  <c r="A42776" i="1"/>
  <c r="B42776" i="1"/>
  <c r="A42777" i="1"/>
  <c r="B42777" i="1"/>
  <c r="A42778" i="1"/>
  <c r="B42778" i="1"/>
  <c r="A42779" i="1"/>
  <c r="B42779" i="1"/>
  <c r="A42780" i="1"/>
  <c r="B42780" i="1"/>
  <c r="A42781" i="1"/>
  <c r="B42781" i="1"/>
  <c r="A42782" i="1"/>
  <c r="B42782" i="1"/>
  <c r="A42783" i="1"/>
  <c r="B42783" i="1"/>
  <c r="A42784" i="1"/>
  <c r="B42784" i="1"/>
  <c r="A42785" i="1"/>
  <c r="B42785" i="1"/>
  <c r="A42786" i="1"/>
  <c r="B42786" i="1"/>
  <c r="A42787" i="1"/>
  <c r="B42787" i="1"/>
  <c r="A42788" i="1"/>
  <c r="B42788" i="1"/>
  <c r="A42789" i="1"/>
  <c r="B42789" i="1"/>
  <c r="A42790" i="1"/>
  <c r="B42790" i="1"/>
  <c r="A42791" i="1"/>
  <c r="B42791" i="1"/>
  <c r="A42792" i="1"/>
  <c r="B42792" i="1"/>
  <c r="A42793" i="1"/>
  <c r="B42793" i="1"/>
  <c r="A42794" i="1"/>
  <c r="B42794" i="1"/>
  <c r="A42795" i="1"/>
  <c r="B42795" i="1"/>
  <c r="A42796" i="1"/>
  <c r="B42796" i="1"/>
  <c r="A42797" i="1"/>
  <c r="B42797" i="1"/>
  <c r="A42798" i="1"/>
  <c r="B42798" i="1"/>
  <c r="A42799" i="1"/>
  <c r="B42799" i="1"/>
  <c r="A42800" i="1"/>
  <c r="B42800" i="1"/>
  <c r="A42801" i="1"/>
  <c r="B42801" i="1"/>
  <c r="A42802" i="1"/>
  <c r="B42802" i="1"/>
  <c r="A42803" i="1"/>
  <c r="B42803" i="1"/>
  <c r="A42804" i="1"/>
  <c r="B42804" i="1"/>
  <c r="A42805" i="1"/>
  <c r="B42805" i="1"/>
  <c r="A42806" i="1"/>
  <c r="B42806" i="1"/>
  <c r="A42807" i="1"/>
  <c r="B42807" i="1"/>
  <c r="A42808" i="1"/>
  <c r="B42808" i="1"/>
  <c r="A42809" i="1"/>
  <c r="B42809" i="1"/>
  <c r="A42810" i="1"/>
  <c r="B42810" i="1"/>
  <c r="A42811" i="1"/>
  <c r="B42811" i="1"/>
  <c r="A42812" i="1"/>
  <c r="B42812" i="1"/>
  <c r="A42813" i="1"/>
  <c r="B42813" i="1"/>
  <c r="A42814" i="1"/>
  <c r="B42814" i="1"/>
  <c r="A42815" i="1"/>
  <c r="B42815" i="1"/>
  <c r="A42816" i="1"/>
  <c r="B42816" i="1"/>
  <c r="A42817" i="1"/>
  <c r="B42817" i="1"/>
  <c r="A42818" i="1"/>
  <c r="B42818" i="1"/>
  <c r="A42819" i="1"/>
  <c r="B42819" i="1"/>
  <c r="A42820" i="1"/>
  <c r="B42820" i="1"/>
  <c r="A42821" i="1"/>
  <c r="B42821" i="1"/>
  <c r="A42822" i="1"/>
  <c r="B42822" i="1"/>
  <c r="A42823" i="1"/>
  <c r="B42823" i="1"/>
  <c r="A42824" i="1"/>
  <c r="B42824" i="1"/>
  <c r="A42825" i="1"/>
  <c r="B42825" i="1"/>
  <c r="A42826" i="1"/>
  <c r="B42826" i="1"/>
  <c r="A42827" i="1"/>
  <c r="B42827" i="1"/>
  <c r="A42828" i="1"/>
  <c r="B42828" i="1"/>
  <c r="A42829" i="1"/>
  <c r="B42829" i="1"/>
  <c r="A42830" i="1"/>
  <c r="B42830" i="1"/>
  <c r="A42831" i="1"/>
  <c r="B42831" i="1"/>
  <c r="A42832" i="1"/>
  <c r="B42832" i="1"/>
  <c r="A42833" i="1"/>
  <c r="B42833" i="1"/>
  <c r="A42834" i="1"/>
  <c r="B42834" i="1"/>
  <c r="A42835" i="1"/>
  <c r="B42835" i="1"/>
  <c r="A42836" i="1"/>
  <c r="B42836" i="1"/>
  <c r="A42837" i="1"/>
  <c r="B42837" i="1"/>
  <c r="A42838" i="1"/>
  <c r="B42838" i="1"/>
  <c r="A42839" i="1"/>
  <c r="B42839" i="1"/>
  <c r="A42840" i="1"/>
  <c r="B42840" i="1"/>
  <c r="A42841" i="1"/>
  <c r="B42841" i="1"/>
  <c r="A42842" i="1"/>
  <c r="B42842" i="1"/>
  <c r="A42843" i="1"/>
  <c r="B42843" i="1"/>
  <c r="A42844" i="1"/>
  <c r="B42844" i="1"/>
  <c r="A42845" i="1"/>
  <c r="B42845" i="1"/>
  <c r="A42846" i="1"/>
  <c r="B42846" i="1"/>
  <c r="A42847" i="1"/>
  <c r="B42847" i="1"/>
  <c r="A42848" i="1"/>
  <c r="B42848" i="1"/>
  <c r="A42849" i="1"/>
  <c r="B42849" i="1"/>
  <c r="A42850" i="1"/>
  <c r="B42850" i="1"/>
  <c r="A42851" i="1"/>
  <c r="B42851" i="1"/>
  <c r="A42852" i="1"/>
  <c r="B42852" i="1"/>
  <c r="A42853" i="1"/>
  <c r="B42853" i="1"/>
  <c r="A42854" i="1"/>
  <c r="B42854" i="1"/>
  <c r="A42855" i="1"/>
  <c r="B42855" i="1"/>
  <c r="A42856" i="1"/>
  <c r="B42856" i="1"/>
  <c r="A42857" i="1"/>
  <c r="B42857" i="1"/>
  <c r="A42858" i="1"/>
  <c r="B42858" i="1"/>
  <c r="A42859" i="1"/>
  <c r="B42859" i="1"/>
  <c r="A42860" i="1"/>
  <c r="B42860" i="1"/>
  <c r="A42861" i="1"/>
  <c r="B42861" i="1"/>
  <c r="A42862" i="1"/>
  <c r="B42862" i="1"/>
  <c r="A42863" i="1"/>
  <c r="B42863" i="1"/>
  <c r="A42864" i="1"/>
  <c r="B42864" i="1"/>
  <c r="A42865" i="1"/>
  <c r="B42865" i="1"/>
  <c r="A42866" i="1"/>
  <c r="B42866" i="1"/>
  <c r="A42867" i="1"/>
  <c r="B42867" i="1"/>
  <c r="A42868" i="1"/>
  <c r="B42868" i="1"/>
  <c r="A42869" i="1"/>
  <c r="B42869" i="1"/>
  <c r="A42870" i="1"/>
  <c r="B42870" i="1"/>
  <c r="A42871" i="1"/>
  <c r="B42871" i="1"/>
  <c r="A42872" i="1"/>
  <c r="B42872" i="1"/>
  <c r="A42873" i="1"/>
  <c r="B42873" i="1"/>
  <c r="A42874" i="1"/>
  <c r="B42874" i="1"/>
  <c r="A42875" i="1"/>
  <c r="B42875" i="1"/>
  <c r="A42876" i="1"/>
  <c r="B42876" i="1"/>
  <c r="A42877" i="1"/>
  <c r="B42877" i="1"/>
  <c r="A42878" i="1"/>
  <c r="B42878" i="1"/>
  <c r="A42879" i="1"/>
  <c r="B42879" i="1"/>
  <c r="A42880" i="1"/>
  <c r="B42880" i="1"/>
  <c r="A42881" i="1"/>
  <c r="B42881" i="1"/>
  <c r="A42882" i="1"/>
  <c r="B42882" i="1"/>
  <c r="A42883" i="1"/>
  <c r="B42883" i="1"/>
  <c r="A42884" i="1"/>
  <c r="B42884" i="1"/>
  <c r="A42885" i="1"/>
  <c r="B42885" i="1"/>
  <c r="A42886" i="1"/>
  <c r="B42886" i="1"/>
  <c r="A42887" i="1"/>
  <c r="B42887" i="1"/>
  <c r="A42888" i="1"/>
  <c r="B42888" i="1"/>
  <c r="A42889" i="1"/>
  <c r="B42889" i="1"/>
  <c r="A42890" i="1"/>
  <c r="B42890" i="1"/>
  <c r="A42891" i="1"/>
  <c r="B42891" i="1"/>
  <c r="A42892" i="1"/>
  <c r="B42892" i="1"/>
  <c r="A42893" i="1"/>
  <c r="B42893" i="1"/>
  <c r="A42894" i="1"/>
  <c r="B42894" i="1"/>
  <c r="A42895" i="1"/>
  <c r="B42895" i="1"/>
  <c r="A42896" i="1"/>
  <c r="B42896" i="1"/>
  <c r="A42897" i="1"/>
  <c r="B42897" i="1"/>
  <c r="A42898" i="1"/>
  <c r="B42898" i="1"/>
  <c r="A42899" i="1"/>
  <c r="B42899" i="1"/>
  <c r="A42900" i="1"/>
  <c r="B42900" i="1"/>
  <c r="A42901" i="1"/>
  <c r="B42901" i="1"/>
  <c r="A42902" i="1"/>
  <c r="B42902" i="1"/>
  <c r="A42903" i="1"/>
  <c r="B42903" i="1"/>
  <c r="A42904" i="1"/>
  <c r="B42904" i="1"/>
  <c r="A42905" i="1"/>
  <c r="B42905" i="1"/>
  <c r="A42906" i="1"/>
  <c r="B42906" i="1"/>
  <c r="A42907" i="1"/>
  <c r="B42907" i="1"/>
  <c r="A42908" i="1"/>
  <c r="B42908" i="1"/>
  <c r="A42909" i="1"/>
  <c r="B42909" i="1"/>
  <c r="A42910" i="1"/>
  <c r="B42910" i="1"/>
  <c r="A42911" i="1"/>
  <c r="B42911" i="1"/>
  <c r="A42912" i="1"/>
  <c r="B42912" i="1"/>
  <c r="A42913" i="1"/>
  <c r="B42913" i="1"/>
  <c r="A42914" i="1"/>
  <c r="B42914" i="1"/>
  <c r="A42915" i="1"/>
  <c r="B42915" i="1"/>
  <c r="A42916" i="1"/>
  <c r="B42916" i="1"/>
  <c r="A42917" i="1"/>
  <c r="B42917" i="1"/>
  <c r="A42918" i="1"/>
  <c r="B42918" i="1"/>
  <c r="A42919" i="1"/>
  <c r="B42919" i="1"/>
  <c r="A42920" i="1"/>
  <c r="B42920" i="1"/>
  <c r="A42921" i="1"/>
  <c r="B42921" i="1"/>
  <c r="A42922" i="1"/>
  <c r="B42922" i="1"/>
  <c r="A42923" i="1"/>
  <c r="B42923" i="1"/>
  <c r="A42924" i="1"/>
  <c r="B42924" i="1"/>
  <c r="A42925" i="1"/>
  <c r="B42925" i="1"/>
  <c r="A42926" i="1"/>
  <c r="B42926" i="1"/>
  <c r="A42927" i="1"/>
  <c r="B42927" i="1"/>
  <c r="A42928" i="1"/>
  <c r="B42928" i="1"/>
  <c r="A42929" i="1"/>
  <c r="B42929" i="1"/>
  <c r="A42930" i="1"/>
  <c r="B42930" i="1"/>
  <c r="A42931" i="1"/>
  <c r="B42931" i="1"/>
  <c r="A42932" i="1"/>
  <c r="B42932" i="1"/>
  <c r="A42933" i="1"/>
  <c r="B42933" i="1"/>
  <c r="A42934" i="1"/>
  <c r="B42934" i="1"/>
  <c r="A42935" i="1"/>
  <c r="B42935" i="1"/>
  <c r="A42936" i="1"/>
  <c r="B42936" i="1"/>
  <c r="A42937" i="1"/>
  <c r="B42937" i="1"/>
  <c r="A42938" i="1"/>
  <c r="B42938" i="1"/>
  <c r="A42939" i="1"/>
  <c r="B42939" i="1"/>
  <c r="A42940" i="1"/>
  <c r="B42940" i="1"/>
  <c r="A42941" i="1"/>
  <c r="B42941" i="1"/>
  <c r="A42942" i="1"/>
  <c r="B42942" i="1"/>
  <c r="A42943" i="1"/>
  <c r="B42943" i="1"/>
  <c r="A42944" i="1"/>
  <c r="B42944" i="1"/>
  <c r="A42945" i="1"/>
  <c r="B42945" i="1"/>
  <c r="A42946" i="1"/>
  <c r="B42946" i="1"/>
  <c r="A42947" i="1"/>
  <c r="B42947" i="1"/>
  <c r="A42948" i="1"/>
  <c r="B42948" i="1"/>
  <c r="A42949" i="1"/>
  <c r="B42949" i="1"/>
  <c r="A42950" i="1"/>
  <c r="B42950" i="1"/>
  <c r="A42951" i="1"/>
  <c r="B42951" i="1"/>
  <c r="A42952" i="1"/>
  <c r="B42952" i="1"/>
  <c r="A42953" i="1"/>
  <c r="B42953" i="1"/>
  <c r="A42954" i="1"/>
  <c r="B42954" i="1"/>
  <c r="A42955" i="1"/>
  <c r="B42955" i="1"/>
  <c r="A42956" i="1"/>
  <c r="B42956" i="1"/>
  <c r="A42957" i="1"/>
  <c r="B42957" i="1"/>
  <c r="A42958" i="1"/>
  <c r="B42958" i="1"/>
  <c r="A42959" i="1"/>
  <c r="B42959" i="1"/>
  <c r="A42960" i="1"/>
  <c r="B42960" i="1"/>
  <c r="A42961" i="1"/>
  <c r="B42961" i="1"/>
  <c r="A42962" i="1"/>
  <c r="B42962" i="1"/>
  <c r="A42963" i="1"/>
  <c r="B42963" i="1"/>
  <c r="A42964" i="1"/>
  <c r="B42964" i="1"/>
  <c r="A42965" i="1"/>
  <c r="B42965" i="1"/>
  <c r="A42966" i="1"/>
  <c r="B42966" i="1"/>
  <c r="A42967" i="1"/>
  <c r="B42967" i="1"/>
  <c r="A42968" i="1"/>
  <c r="B42968" i="1"/>
  <c r="A42969" i="1"/>
  <c r="B42969" i="1"/>
  <c r="A42970" i="1"/>
  <c r="B42970" i="1"/>
  <c r="A42971" i="1"/>
  <c r="B42971" i="1"/>
  <c r="A42972" i="1"/>
  <c r="B42972" i="1"/>
  <c r="A42973" i="1"/>
  <c r="B42973" i="1"/>
  <c r="A42974" i="1"/>
  <c r="B42974" i="1"/>
  <c r="A42975" i="1"/>
  <c r="B42975" i="1"/>
  <c r="A42976" i="1"/>
  <c r="B42976" i="1"/>
  <c r="A42977" i="1"/>
  <c r="B42977" i="1"/>
  <c r="A42978" i="1"/>
  <c r="B42978" i="1"/>
  <c r="A42979" i="1"/>
  <c r="B42979" i="1"/>
  <c r="A42980" i="1"/>
  <c r="B42980" i="1"/>
  <c r="A42981" i="1"/>
  <c r="B42981" i="1"/>
  <c r="A42982" i="1"/>
  <c r="B42982" i="1"/>
  <c r="A42983" i="1"/>
  <c r="B42983" i="1"/>
  <c r="A42984" i="1"/>
  <c r="B42984" i="1"/>
  <c r="A42985" i="1"/>
  <c r="B42985" i="1"/>
  <c r="A42986" i="1"/>
  <c r="B42986" i="1"/>
  <c r="A42987" i="1"/>
  <c r="B42987" i="1"/>
  <c r="A42988" i="1"/>
  <c r="B42988" i="1"/>
  <c r="A42989" i="1"/>
  <c r="B42989" i="1"/>
  <c r="A42990" i="1"/>
  <c r="B42990" i="1"/>
  <c r="A42991" i="1"/>
  <c r="B42991" i="1"/>
  <c r="A42992" i="1"/>
  <c r="B42992" i="1"/>
  <c r="A42993" i="1"/>
  <c r="B42993" i="1"/>
  <c r="A42994" i="1"/>
  <c r="B42994" i="1"/>
  <c r="A42995" i="1"/>
  <c r="B42995" i="1"/>
  <c r="A42996" i="1"/>
  <c r="B42996" i="1"/>
  <c r="A42997" i="1"/>
  <c r="B42997" i="1"/>
  <c r="A42998" i="1"/>
  <c r="B42998" i="1"/>
  <c r="A42999" i="1"/>
  <c r="B42999" i="1"/>
  <c r="A43000" i="1"/>
  <c r="B43000" i="1"/>
  <c r="A43001" i="1"/>
  <c r="B43001" i="1"/>
  <c r="A43002" i="1"/>
  <c r="B43002" i="1"/>
  <c r="A43003" i="1"/>
  <c r="B43003" i="1"/>
  <c r="A43004" i="1"/>
  <c r="B43004" i="1"/>
  <c r="A43005" i="1"/>
  <c r="B43005" i="1"/>
  <c r="A43006" i="1"/>
  <c r="B43006" i="1"/>
  <c r="A43007" i="1"/>
  <c r="B43007" i="1"/>
  <c r="A43008" i="1"/>
  <c r="B43008" i="1"/>
  <c r="A43009" i="1"/>
  <c r="B43009" i="1"/>
  <c r="A43010" i="1"/>
  <c r="B43010" i="1"/>
  <c r="A43011" i="1"/>
  <c r="B43011" i="1"/>
  <c r="A43012" i="1"/>
  <c r="B43012" i="1"/>
  <c r="A43013" i="1"/>
  <c r="B43013" i="1"/>
  <c r="A43014" i="1"/>
  <c r="B43014" i="1"/>
  <c r="A43015" i="1"/>
  <c r="B43015" i="1"/>
  <c r="A43016" i="1"/>
  <c r="B43016" i="1"/>
  <c r="A43017" i="1"/>
  <c r="B43017" i="1"/>
  <c r="A43018" i="1"/>
  <c r="B43018" i="1"/>
  <c r="A43019" i="1"/>
  <c r="B43019" i="1"/>
  <c r="A43020" i="1"/>
  <c r="B43020" i="1"/>
  <c r="A43021" i="1"/>
  <c r="B43021" i="1"/>
  <c r="A43022" i="1"/>
  <c r="B43022" i="1"/>
  <c r="A43023" i="1"/>
  <c r="B43023" i="1"/>
  <c r="A43024" i="1"/>
  <c r="B43024" i="1"/>
  <c r="A43025" i="1"/>
  <c r="B43025" i="1"/>
  <c r="A43026" i="1"/>
  <c r="B43026" i="1"/>
  <c r="A43027" i="1"/>
  <c r="B43027" i="1"/>
  <c r="A43028" i="1"/>
  <c r="B43028" i="1"/>
  <c r="A43029" i="1"/>
  <c r="B43029" i="1"/>
  <c r="A43030" i="1"/>
  <c r="B43030" i="1"/>
  <c r="A43031" i="1"/>
  <c r="B43031" i="1"/>
  <c r="A43032" i="1"/>
  <c r="B43032" i="1"/>
  <c r="A43033" i="1"/>
  <c r="B43033" i="1"/>
  <c r="A43034" i="1"/>
  <c r="B43034" i="1"/>
  <c r="A43035" i="1"/>
  <c r="B43035" i="1"/>
  <c r="A43036" i="1"/>
  <c r="B43036" i="1"/>
  <c r="A43037" i="1"/>
  <c r="B43037" i="1"/>
  <c r="A43038" i="1"/>
  <c r="B43038" i="1"/>
  <c r="A43039" i="1"/>
  <c r="B43039" i="1"/>
  <c r="A43040" i="1"/>
  <c r="B43040" i="1"/>
  <c r="A43041" i="1"/>
  <c r="B43041" i="1"/>
  <c r="A43042" i="1"/>
  <c r="B43042" i="1"/>
  <c r="A43043" i="1"/>
  <c r="B43043" i="1"/>
  <c r="A43044" i="1"/>
  <c r="B43044" i="1"/>
  <c r="A43045" i="1"/>
  <c r="B43045" i="1"/>
  <c r="A43046" i="1"/>
  <c r="B43046" i="1"/>
  <c r="A43047" i="1"/>
  <c r="B43047" i="1"/>
  <c r="A43048" i="1"/>
  <c r="B43048" i="1"/>
  <c r="A43049" i="1"/>
  <c r="B43049" i="1"/>
  <c r="A43050" i="1"/>
  <c r="B43050" i="1"/>
  <c r="A43051" i="1"/>
  <c r="B43051" i="1"/>
  <c r="A43052" i="1"/>
  <c r="B43052" i="1"/>
  <c r="A43053" i="1"/>
  <c r="B43053" i="1"/>
  <c r="A43054" i="1"/>
  <c r="B43054" i="1"/>
  <c r="A43055" i="1"/>
  <c r="B43055" i="1"/>
  <c r="A43056" i="1"/>
  <c r="B43056" i="1"/>
  <c r="A43057" i="1"/>
  <c r="B43057" i="1"/>
  <c r="A43058" i="1"/>
  <c r="B43058" i="1"/>
  <c r="A43059" i="1"/>
  <c r="B43059" i="1"/>
  <c r="A43060" i="1"/>
  <c r="B43060" i="1"/>
  <c r="A43061" i="1"/>
  <c r="B43061" i="1"/>
  <c r="A43062" i="1"/>
  <c r="B43062" i="1"/>
  <c r="A43063" i="1"/>
  <c r="B43063" i="1"/>
  <c r="A43064" i="1"/>
  <c r="B43064" i="1"/>
  <c r="A43065" i="1"/>
  <c r="B43065" i="1"/>
  <c r="A43066" i="1"/>
  <c r="B43066" i="1"/>
  <c r="A43067" i="1"/>
  <c r="B43067" i="1"/>
  <c r="A43068" i="1"/>
  <c r="B43068" i="1"/>
  <c r="A43069" i="1"/>
  <c r="B43069" i="1"/>
  <c r="A43070" i="1"/>
  <c r="B43070" i="1"/>
  <c r="A43071" i="1"/>
  <c r="B43071" i="1"/>
  <c r="A43072" i="1"/>
  <c r="B43072" i="1"/>
  <c r="A43073" i="1"/>
  <c r="B43073" i="1"/>
  <c r="A43074" i="1"/>
  <c r="B43074" i="1"/>
  <c r="A43075" i="1"/>
  <c r="B43075" i="1"/>
  <c r="A43076" i="1"/>
  <c r="B43076" i="1"/>
  <c r="A43077" i="1"/>
  <c r="B43077" i="1"/>
  <c r="A43078" i="1"/>
  <c r="B43078" i="1"/>
  <c r="A43079" i="1"/>
  <c r="B43079" i="1"/>
  <c r="A43080" i="1"/>
  <c r="B43080" i="1"/>
  <c r="A43081" i="1"/>
  <c r="B43081" i="1"/>
  <c r="A43082" i="1"/>
  <c r="B43082" i="1"/>
  <c r="A43083" i="1"/>
  <c r="B43083" i="1"/>
  <c r="A43084" i="1"/>
  <c r="B43084" i="1"/>
  <c r="A43085" i="1"/>
  <c r="B43085" i="1"/>
  <c r="A43086" i="1"/>
  <c r="B43086" i="1"/>
  <c r="A43087" i="1"/>
  <c r="B43087" i="1"/>
  <c r="A43088" i="1"/>
  <c r="B43088" i="1"/>
  <c r="A43089" i="1"/>
  <c r="B43089" i="1"/>
  <c r="A43090" i="1"/>
  <c r="B43090" i="1"/>
  <c r="A43091" i="1"/>
  <c r="B43091" i="1"/>
  <c r="A43092" i="1"/>
  <c r="B43092" i="1"/>
  <c r="A43093" i="1"/>
  <c r="B43093" i="1"/>
  <c r="A43094" i="1"/>
  <c r="B43094" i="1"/>
  <c r="A43095" i="1"/>
  <c r="B43095" i="1"/>
  <c r="A43096" i="1"/>
  <c r="B43096" i="1"/>
  <c r="A43097" i="1"/>
  <c r="B43097" i="1"/>
  <c r="A43098" i="1"/>
  <c r="B43098" i="1"/>
  <c r="A43099" i="1"/>
  <c r="B43099" i="1"/>
  <c r="A43100" i="1"/>
  <c r="B43100" i="1"/>
  <c r="A43101" i="1"/>
  <c r="B43101" i="1"/>
  <c r="A43102" i="1"/>
  <c r="B43102" i="1"/>
  <c r="A43103" i="1"/>
  <c r="B43103" i="1"/>
  <c r="A43104" i="1"/>
  <c r="B43104" i="1"/>
  <c r="A43105" i="1"/>
  <c r="B43105" i="1"/>
  <c r="A43106" i="1"/>
  <c r="B43106" i="1"/>
  <c r="A43107" i="1"/>
  <c r="B43107" i="1"/>
  <c r="A43108" i="1"/>
  <c r="B43108" i="1"/>
  <c r="A43109" i="1"/>
  <c r="B43109" i="1"/>
  <c r="A43110" i="1"/>
  <c r="B43110" i="1"/>
  <c r="A43111" i="1"/>
  <c r="B43111" i="1"/>
  <c r="A43112" i="1"/>
  <c r="B43112" i="1"/>
  <c r="A43113" i="1"/>
  <c r="B43113" i="1"/>
  <c r="A43114" i="1"/>
  <c r="B43114" i="1"/>
  <c r="A43115" i="1"/>
  <c r="B43115" i="1"/>
  <c r="A43116" i="1"/>
  <c r="B43116" i="1"/>
  <c r="A43117" i="1"/>
  <c r="B43117" i="1"/>
  <c r="A43118" i="1"/>
  <c r="B43118" i="1"/>
  <c r="A43119" i="1"/>
  <c r="B43119" i="1"/>
  <c r="A43120" i="1"/>
  <c r="B43120" i="1"/>
  <c r="A43121" i="1"/>
  <c r="B43121" i="1"/>
  <c r="A43122" i="1"/>
  <c r="B43122" i="1"/>
  <c r="A43123" i="1"/>
  <c r="B43123" i="1"/>
  <c r="A43124" i="1"/>
  <c r="B43124" i="1"/>
  <c r="A43125" i="1"/>
  <c r="B43125" i="1"/>
  <c r="A43126" i="1"/>
  <c r="B43126" i="1"/>
  <c r="A43127" i="1"/>
  <c r="B43127" i="1"/>
  <c r="A43128" i="1"/>
  <c r="B43128" i="1"/>
  <c r="A43129" i="1"/>
  <c r="B43129" i="1"/>
  <c r="A43130" i="1"/>
  <c r="B43130" i="1"/>
  <c r="A43131" i="1"/>
  <c r="B43131" i="1"/>
  <c r="A43132" i="1"/>
  <c r="B43132" i="1"/>
  <c r="A43133" i="1"/>
  <c r="B43133" i="1"/>
  <c r="A43134" i="1"/>
  <c r="B43134" i="1"/>
  <c r="A43135" i="1"/>
  <c r="B43135" i="1"/>
  <c r="A43136" i="1"/>
  <c r="B43136" i="1"/>
  <c r="A43137" i="1"/>
  <c r="B43137" i="1"/>
  <c r="A43138" i="1"/>
  <c r="B43138" i="1"/>
  <c r="A43139" i="1"/>
  <c r="B43139" i="1"/>
  <c r="A43140" i="1"/>
  <c r="B43140" i="1"/>
  <c r="A43141" i="1"/>
  <c r="B43141" i="1"/>
  <c r="A43142" i="1"/>
  <c r="B43142" i="1"/>
  <c r="A43143" i="1"/>
  <c r="B43143" i="1"/>
  <c r="A43144" i="1"/>
  <c r="B43144" i="1"/>
  <c r="A43145" i="1"/>
  <c r="B43145" i="1"/>
  <c r="A43146" i="1"/>
  <c r="B43146" i="1"/>
  <c r="A43147" i="1"/>
  <c r="B43147" i="1"/>
  <c r="A43148" i="1"/>
  <c r="B43148" i="1"/>
  <c r="A43149" i="1"/>
  <c r="B43149" i="1"/>
  <c r="A43150" i="1"/>
  <c r="B43150" i="1"/>
  <c r="A43151" i="1"/>
  <c r="B43151" i="1"/>
  <c r="A43152" i="1"/>
  <c r="B43152" i="1"/>
  <c r="A43153" i="1"/>
  <c r="B43153" i="1"/>
  <c r="A43154" i="1"/>
  <c r="B43154" i="1"/>
  <c r="A43155" i="1"/>
  <c r="B43155" i="1"/>
  <c r="A43156" i="1"/>
  <c r="B43156" i="1"/>
  <c r="A43157" i="1"/>
  <c r="B43157" i="1"/>
  <c r="A43158" i="1"/>
  <c r="B43158" i="1"/>
  <c r="A43159" i="1"/>
  <c r="B43159" i="1"/>
  <c r="A43160" i="1"/>
  <c r="B43160" i="1"/>
  <c r="A43161" i="1"/>
  <c r="B43161" i="1"/>
  <c r="A43162" i="1"/>
  <c r="B43162" i="1"/>
  <c r="A43163" i="1"/>
  <c r="B43163" i="1"/>
  <c r="A43164" i="1"/>
  <c r="B43164" i="1"/>
  <c r="A43165" i="1"/>
  <c r="B43165" i="1"/>
  <c r="A43166" i="1"/>
  <c r="B43166" i="1"/>
  <c r="A43167" i="1"/>
  <c r="B43167" i="1"/>
  <c r="A43168" i="1"/>
  <c r="B43168" i="1"/>
  <c r="A43169" i="1"/>
  <c r="B43169" i="1"/>
  <c r="A43170" i="1"/>
  <c r="B43170" i="1"/>
  <c r="A43171" i="1"/>
  <c r="B43171" i="1"/>
  <c r="A43172" i="1"/>
  <c r="B43172" i="1"/>
  <c r="A43173" i="1"/>
  <c r="B43173" i="1"/>
  <c r="A43174" i="1"/>
  <c r="B43174" i="1"/>
  <c r="A43175" i="1"/>
  <c r="B43175" i="1"/>
  <c r="A43176" i="1"/>
  <c r="B43176" i="1"/>
  <c r="A43177" i="1"/>
  <c r="B43177" i="1"/>
  <c r="A43178" i="1"/>
  <c r="B43178" i="1"/>
  <c r="A43179" i="1"/>
  <c r="B43179" i="1"/>
  <c r="A43180" i="1"/>
  <c r="B43180" i="1"/>
  <c r="A43181" i="1"/>
  <c r="B43181" i="1"/>
  <c r="A43182" i="1"/>
  <c r="B43182" i="1"/>
  <c r="A43183" i="1"/>
  <c r="B43183" i="1"/>
  <c r="A43184" i="1"/>
  <c r="B43184" i="1"/>
  <c r="A43185" i="1"/>
  <c r="B43185" i="1"/>
  <c r="A43186" i="1"/>
  <c r="B43186" i="1"/>
  <c r="A43187" i="1"/>
  <c r="B43187" i="1"/>
  <c r="A43188" i="1"/>
  <c r="B43188" i="1"/>
  <c r="A43189" i="1"/>
  <c r="B43189" i="1"/>
  <c r="A43190" i="1"/>
  <c r="B43190" i="1"/>
  <c r="A43191" i="1"/>
  <c r="B43191" i="1"/>
  <c r="A43192" i="1"/>
  <c r="B43192" i="1"/>
  <c r="A43193" i="1"/>
  <c r="B43193" i="1"/>
  <c r="A43194" i="1"/>
  <c r="B43194" i="1"/>
  <c r="A43195" i="1"/>
  <c r="B43195" i="1"/>
  <c r="A43196" i="1"/>
  <c r="B43196" i="1"/>
  <c r="A43197" i="1"/>
  <c r="B43197" i="1"/>
  <c r="A43198" i="1"/>
  <c r="B43198" i="1"/>
  <c r="A43199" i="1"/>
  <c r="B43199" i="1"/>
  <c r="A43200" i="1"/>
  <c r="B43200" i="1"/>
  <c r="A43201" i="1"/>
  <c r="B43201" i="1"/>
  <c r="A43202" i="1"/>
  <c r="B43202" i="1"/>
  <c r="A43203" i="1"/>
  <c r="B43203" i="1"/>
  <c r="A43204" i="1"/>
  <c r="B43204" i="1"/>
  <c r="A43205" i="1"/>
  <c r="B43205" i="1"/>
  <c r="A43206" i="1"/>
  <c r="B43206" i="1"/>
  <c r="A43207" i="1"/>
  <c r="B43207" i="1"/>
  <c r="A43208" i="1"/>
  <c r="B43208" i="1"/>
  <c r="A43209" i="1"/>
  <c r="B43209" i="1"/>
  <c r="A43210" i="1"/>
  <c r="B43210" i="1"/>
  <c r="A43211" i="1"/>
  <c r="B43211" i="1"/>
  <c r="A43212" i="1"/>
  <c r="B43212" i="1"/>
  <c r="A43213" i="1"/>
  <c r="B43213" i="1"/>
  <c r="A43214" i="1"/>
  <c r="B43214" i="1"/>
  <c r="A43215" i="1"/>
  <c r="B43215" i="1"/>
  <c r="A43216" i="1"/>
  <c r="B43216" i="1"/>
  <c r="A43217" i="1"/>
  <c r="B43217" i="1"/>
  <c r="A43218" i="1"/>
  <c r="B43218" i="1"/>
  <c r="A43219" i="1"/>
  <c r="B43219" i="1"/>
  <c r="A43220" i="1"/>
  <c r="B43220" i="1"/>
  <c r="A43221" i="1"/>
  <c r="B43221" i="1"/>
  <c r="A43222" i="1"/>
  <c r="B43222" i="1"/>
  <c r="A43223" i="1"/>
  <c r="B43223" i="1"/>
  <c r="A43224" i="1"/>
  <c r="B43224" i="1"/>
  <c r="A43225" i="1"/>
  <c r="B43225" i="1"/>
  <c r="A43226" i="1"/>
  <c r="B43226" i="1"/>
  <c r="A43227" i="1"/>
  <c r="B43227" i="1"/>
  <c r="A43228" i="1"/>
  <c r="B43228" i="1"/>
  <c r="A43229" i="1"/>
  <c r="B43229" i="1"/>
  <c r="A43230" i="1"/>
  <c r="B43230" i="1"/>
  <c r="A43231" i="1"/>
  <c r="B43231" i="1"/>
  <c r="A43232" i="1"/>
  <c r="B43232" i="1"/>
  <c r="A43233" i="1"/>
  <c r="B43233" i="1"/>
  <c r="A43234" i="1"/>
  <c r="B43234" i="1"/>
  <c r="A43235" i="1"/>
  <c r="B43235" i="1"/>
  <c r="A43236" i="1"/>
  <c r="B43236" i="1"/>
  <c r="A43237" i="1"/>
  <c r="B43237" i="1"/>
  <c r="A43238" i="1"/>
  <c r="B43238" i="1"/>
  <c r="A43239" i="1"/>
  <c r="B43239" i="1"/>
  <c r="A43240" i="1"/>
  <c r="B43240" i="1"/>
  <c r="A43241" i="1"/>
  <c r="B43241" i="1"/>
  <c r="A43242" i="1"/>
  <c r="B43242" i="1"/>
  <c r="A43243" i="1"/>
  <c r="B43243" i="1"/>
  <c r="A43244" i="1"/>
  <c r="B43244" i="1"/>
  <c r="A43245" i="1"/>
  <c r="B43245" i="1"/>
  <c r="A43246" i="1"/>
  <c r="B43246" i="1"/>
  <c r="A43247" i="1"/>
  <c r="B43247" i="1"/>
  <c r="A43248" i="1"/>
  <c r="B43248" i="1"/>
  <c r="A43249" i="1"/>
  <c r="B43249" i="1"/>
  <c r="A43250" i="1"/>
  <c r="B43250" i="1"/>
  <c r="A43251" i="1"/>
  <c r="B43251" i="1"/>
  <c r="A43252" i="1"/>
  <c r="B43252" i="1"/>
  <c r="A43253" i="1"/>
  <c r="B43253" i="1"/>
  <c r="A43254" i="1"/>
  <c r="B43254" i="1"/>
  <c r="A43255" i="1"/>
  <c r="B43255" i="1"/>
  <c r="A43256" i="1"/>
  <c r="B43256" i="1"/>
  <c r="A43257" i="1"/>
  <c r="B43257" i="1"/>
  <c r="A43258" i="1"/>
  <c r="B43258" i="1"/>
  <c r="A43259" i="1"/>
  <c r="B43259" i="1"/>
  <c r="A43260" i="1"/>
  <c r="B43260" i="1"/>
  <c r="A43261" i="1"/>
  <c r="B43261" i="1"/>
  <c r="A43262" i="1"/>
  <c r="B43262" i="1"/>
  <c r="A43263" i="1"/>
  <c r="B43263" i="1"/>
  <c r="A43264" i="1"/>
  <c r="B43264" i="1"/>
  <c r="A43265" i="1"/>
  <c r="B43265" i="1"/>
  <c r="A43266" i="1"/>
  <c r="B43266" i="1"/>
  <c r="A43267" i="1"/>
  <c r="B43267" i="1"/>
  <c r="A43268" i="1"/>
  <c r="B43268" i="1"/>
  <c r="A43269" i="1"/>
  <c r="B43269" i="1"/>
  <c r="A43270" i="1"/>
  <c r="B43270" i="1"/>
  <c r="A43271" i="1"/>
  <c r="B43271" i="1"/>
  <c r="A43272" i="1"/>
  <c r="B43272" i="1"/>
  <c r="A43273" i="1"/>
  <c r="B43273" i="1"/>
  <c r="A43274" i="1"/>
  <c r="B43274" i="1"/>
  <c r="A43275" i="1"/>
  <c r="B43275" i="1"/>
  <c r="A43276" i="1"/>
  <c r="B43276" i="1"/>
  <c r="A43277" i="1"/>
  <c r="B43277" i="1"/>
  <c r="A43278" i="1"/>
  <c r="B43278" i="1"/>
  <c r="A43279" i="1"/>
  <c r="B43279" i="1"/>
  <c r="A43280" i="1"/>
  <c r="B43280" i="1"/>
  <c r="A43281" i="1"/>
  <c r="B43281" i="1"/>
  <c r="A43282" i="1"/>
  <c r="B43282" i="1"/>
  <c r="A43283" i="1"/>
  <c r="B43283" i="1"/>
  <c r="A43284" i="1"/>
  <c r="B43284" i="1"/>
  <c r="A43285" i="1"/>
  <c r="B43285" i="1"/>
  <c r="A43286" i="1"/>
  <c r="B43286" i="1"/>
  <c r="A43287" i="1"/>
  <c r="B43287" i="1"/>
  <c r="A43288" i="1"/>
  <c r="B43288" i="1"/>
  <c r="A43289" i="1"/>
  <c r="B43289" i="1"/>
  <c r="A43290" i="1"/>
  <c r="B43290" i="1"/>
  <c r="A43291" i="1"/>
  <c r="B43291" i="1"/>
  <c r="A43292" i="1"/>
  <c r="B43292" i="1"/>
  <c r="A43293" i="1"/>
  <c r="B43293" i="1"/>
  <c r="A43294" i="1"/>
  <c r="B43294" i="1"/>
  <c r="A43295" i="1"/>
  <c r="B43295" i="1"/>
  <c r="A43296" i="1"/>
  <c r="B43296" i="1"/>
  <c r="A43297" i="1"/>
  <c r="B43297" i="1"/>
  <c r="A43298" i="1"/>
  <c r="B43298" i="1"/>
  <c r="A43299" i="1"/>
  <c r="B43299" i="1"/>
  <c r="A43300" i="1"/>
  <c r="B43300" i="1"/>
  <c r="A43301" i="1"/>
  <c r="B43301" i="1"/>
  <c r="A43302" i="1"/>
  <c r="B43302" i="1"/>
  <c r="A43303" i="1"/>
  <c r="B43303" i="1"/>
  <c r="A43304" i="1"/>
  <c r="B43304" i="1"/>
  <c r="A43305" i="1"/>
  <c r="B43305" i="1"/>
  <c r="A43306" i="1"/>
  <c r="B43306" i="1"/>
  <c r="A43307" i="1"/>
  <c r="B43307" i="1"/>
  <c r="A43308" i="1"/>
  <c r="B43308" i="1"/>
  <c r="A43309" i="1"/>
  <c r="B43309" i="1"/>
  <c r="A43310" i="1"/>
  <c r="B43310" i="1"/>
  <c r="A43311" i="1"/>
  <c r="B43311" i="1"/>
  <c r="A43312" i="1"/>
  <c r="B43312" i="1"/>
  <c r="A43313" i="1"/>
  <c r="B43313" i="1"/>
  <c r="A43314" i="1"/>
  <c r="B43314" i="1"/>
  <c r="A43315" i="1"/>
  <c r="B43315" i="1"/>
  <c r="A43316" i="1"/>
  <c r="B43316" i="1"/>
  <c r="A43317" i="1"/>
  <c r="B43317" i="1"/>
  <c r="A43318" i="1"/>
  <c r="B43318" i="1"/>
  <c r="A43319" i="1"/>
  <c r="B43319" i="1"/>
  <c r="A43320" i="1"/>
  <c r="B43320" i="1"/>
  <c r="A43321" i="1"/>
  <c r="B43321" i="1"/>
  <c r="A43322" i="1"/>
  <c r="B43322" i="1"/>
  <c r="A43323" i="1"/>
  <c r="B43323" i="1"/>
  <c r="A43324" i="1"/>
  <c r="B43324" i="1"/>
  <c r="A43325" i="1"/>
  <c r="B43325" i="1"/>
  <c r="A43326" i="1"/>
  <c r="B43326" i="1"/>
  <c r="A43327" i="1"/>
  <c r="B43327" i="1"/>
  <c r="A43328" i="1"/>
  <c r="B43328" i="1"/>
  <c r="A43329" i="1"/>
  <c r="B43329" i="1"/>
  <c r="A43330" i="1"/>
  <c r="B43330" i="1"/>
  <c r="A43331" i="1"/>
  <c r="B43331" i="1"/>
  <c r="A43332" i="1"/>
  <c r="B43332" i="1"/>
  <c r="A43333" i="1"/>
  <c r="B43333" i="1"/>
  <c r="A43334" i="1"/>
  <c r="B43334" i="1"/>
  <c r="A43335" i="1"/>
  <c r="B43335" i="1"/>
  <c r="A43336" i="1"/>
  <c r="B43336" i="1"/>
  <c r="A43337" i="1"/>
  <c r="B43337" i="1"/>
  <c r="A43338" i="1"/>
  <c r="B43338" i="1"/>
  <c r="A43339" i="1"/>
  <c r="B43339" i="1"/>
  <c r="A43340" i="1"/>
  <c r="B43340" i="1"/>
  <c r="A43341" i="1"/>
  <c r="B43341" i="1"/>
  <c r="A43342" i="1"/>
  <c r="B43342" i="1"/>
  <c r="A43343" i="1"/>
  <c r="B43343" i="1"/>
  <c r="A43344" i="1"/>
  <c r="B43344" i="1"/>
  <c r="A43345" i="1"/>
  <c r="B43345" i="1"/>
  <c r="A43346" i="1"/>
  <c r="B43346" i="1"/>
  <c r="A43347" i="1"/>
  <c r="B43347" i="1"/>
  <c r="A43348" i="1"/>
  <c r="B43348" i="1"/>
  <c r="A43349" i="1"/>
  <c r="B43349" i="1"/>
  <c r="A43350" i="1"/>
  <c r="B43350" i="1"/>
  <c r="A43351" i="1"/>
  <c r="B43351" i="1"/>
  <c r="A43352" i="1"/>
  <c r="B43352" i="1"/>
  <c r="A43353" i="1"/>
  <c r="B43353" i="1"/>
  <c r="A43354" i="1"/>
  <c r="B43354" i="1"/>
  <c r="A43355" i="1"/>
  <c r="B43355" i="1"/>
  <c r="A43356" i="1"/>
  <c r="B43356" i="1"/>
  <c r="A43357" i="1"/>
  <c r="B43357" i="1"/>
  <c r="A43358" i="1"/>
  <c r="B43358" i="1"/>
  <c r="A43359" i="1"/>
  <c r="B43359" i="1"/>
  <c r="A43360" i="1"/>
  <c r="B43360" i="1"/>
  <c r="A43361" i="1"/>
  <c r="B43361" i="1"/>
  <c r="A43362" i="1"/>
  <c r="B43362" i="1"/>
  <c r="A43363" i="1"/>
  <c r="B43363" i="1"/>
  <c r="A43364" i="1"/>
  <c r="B43364" i="1"/>
  <c r="A43365" i="1"/>
  <c r="B43365" i="1"/>
  <c r="A43366" i="1"/>
  <c r="B43366" i="1"/>
  <c r="A43367" i="1"/>
  <c r="B43367" i="1"/>
  <c r="A43368" i="1"/>
  <c r="B43368" i="1"/>
  <c r="A43369" i="1"/>
  <c r="B43369" i="1"/>
  <c r="A43370" i="1"/>
  <c r="B43370" i="1"/>
  <c r="A43371" i="1"/>
  <c r="B43371" i="1"/>
  <c r="A43372" i="1"/>
  <c r="B43372" i="1"/>
  <c r="A43373" i="1"/>
  <c r="B43373" i="1"/>
  <c r="A43374" i="1"/>
  <c r="B43374" i="1"/>
  <c r="A43375" i="1"/>
  <c r="B43375" i="1"/>
  <c r="A43376" i="1"/>
  <c r="B43376" i="1"/>
  <c r="A43377" i="1"/>
  <c r="B43377" i="1"/>
  <c r="A43378" i="1"/>
  <c r="B43378" i="1"/>
  <c r="A43379" i="1"/>
  <c r="B43379" i="1"/>
  <c r="A43380" i="1"/>
  <c r="B43380" i="1"/>
  <c r="A43381" i="1"/>
  <c r="B43381" i="1"/>
  <c r="A43382" i="1"/>
  <c r="B43382" i="1"/>
  <c r="A43383" i="1"/>
  <c r="B43383" i="1"/>
  <c r="A43384" i="1"/>
  <c r="B43384" i="1"/>
  <c r="A43385" i="1"/>
  <c r="B43385" i="1"/>
  <c r="A43386" i="1"/>
  <c r="B43386" i="1"/>
  <c r="A43387" i="1"/>
  <c r="B43387" i="1"/>
  <c r="A43388" i="1"/>
  <c r="B43388" i="1"/>
  <c r="A43389" i="1"/>
  <c r="B43389" i="1"/>
  <c r="A43390" i="1"/>
  <c r="B43390" i="1"/>
  <c r="A43391" i="1"/>
  <c r="B43391" i="1"/>
  <c r="A43392" i="1"/>
  <c r="B43392" i="1"/>
  <c r="A43393" i="1"/>
  <c r="B43393" i="1"/>
  <c r="A43394" i="1"/>
  <c r="B43394" i="1"/>
  <c r="A43395" i="1"/>
  <c r="B43395" i="1"/>
  <c r="A43396" i="1"/>
  <c r="B43396" i="1"/>
  <c r="A43397" i="1"/>
  <c r="B43397" i="1"/>
  <c r="A43398" i="1"/>
  <c r="B43398" i="1"/>
  <c r="A43399" i="1"/>
  <c r="B43399" i="1"/>
  <c r="A43400" i="1"/>
  <c r="B43400" i="1"/>
  <c r="A43401" i="1"/>
  <c r="B43401" i="1"/>
  <c r="A43402" i="1"/>
  <c r="B43402" i="1"/>
  <c r="A43403" i="1"/>
  <c r="B43403" i="1"/>
  <c r="A43404" i="1"/>
  <c r="B43404" i="1"/>
  <c r="A43405" i="1"/>
  <c r="B43405" i="1"/>
  <c r="A43406" i="1"/>
  <c r="B43406" i="1"/>
  <c r="A43407" i="1"/>
  <c r="B43407" i="1"/>
  <c r="A43408" i="1"/>
  <c r="B43408" i="1"/>
  <c r="A43409" i="1"/>
  <c r="B43409" i="1"/>
  <c r="A43410" i="1"/>
  <c r="B43410" i="1"/>
  <c r="A43411" i="1"/>
  <c r="B43411" i="1"/>
  <c r="A43412" i="1"/>
  <c r="B43412" i="1"/>
  <c r="A43413" i="1"/>
  <c r="B43413" i="1"/>
  <c r="A43414" i="1"/>
  <c r="B43414" i="1"/>
  <c r="A43415" i="1"/>
  <c r="B43415" i="1"/>
  <c r="A43416" i="1"/>
  <c r="B43416" i="1"/>
  <c r="A43417" i="1"/>
  <c r="B43417" i="1"/>
  <c r="A43418" i="1"/>
  <c r="B43418" i="1"/>
  <c r="A43419" i="1"/>
  <c r="B43419" i="1"/>
  <c r="A43420" i="1"/>
  <c r="B43420" i="1"/>
  <c r="A43421" i="1"/>
  <c r="B43421" i="1"/>
  <c r="A43422" i="1"/>
  <c r="B43422" i="1"/>
  <c r="A43423" i="1"/>
  <c r="B43423" i="1"/>
  <c r="A43424" i="1"/>
  <c r="B43424" i="1"/>
  <c r="A43425" i="1"/>
  <c r="B43425" i="1"/>
  <c r="A43426" i="1"/>
  <c r="B43426" i="1"/>
  <c r="A43427" i="1"/>
  <c r="B43427" i="1"/>
  <c r="A43428" i="1"/>
  <c r="B43428" i="1"/>
  <c r="A43429" i="1"/>
  <c r="B43429" i="1"/>
  <c r="A43430" i="1"/>
  <c r="B43430" i="1"/>
  <c r="A43431" i="1"/>
  <c r="B43431" i="1"/>
  <c r="A43432" i="1"/>
  <c r="B43432" i="1"/>
  <c r="A43433" i="1"/>
  <c r="B43433" i="1"/>
  <c r="A43434" i="1"/>
  <c r="B43434" i="1"/>
  <c r="A43435" i="1"/>
  <c r="B43435" i="1"/>
  <c r="A43436" i="1"/>
  <c r="B43436" i="1"/>
  <c r="A43437" i="1"/>
  <c r="B43437" i="1"/>
  <c r="A43438" i="1"/>
  <c r="B43438" i="1"/>
  <c r="A43439" i="1"/>
  <c r="B43439" i="1"/>
  <c r="A43440" i="1"/>
  <c r="B43440" i="1"/>
  <c r="A43441" i="1"/>
  <c r="B43441" i="1"/>
  <c r="A43442" i="1"/>
  <c r="B43442" i="1"/>
  <c r="A43443" i="1"/>
  <c r="B43443" i="1"/>
  <c r="A43444" i="1"/>
  <c r="B43444" i="1"/>
  <c r="A43445" i="1"/>
  <c r="B43445" i="1"/>
  <c r="A43446" i="1"/>
  <c r="B43446" i="1"/>
  <c r="A43447" i="1"/>
  <c r="B43447" i="1"/>
  <c r="A43448" i="1"/>
  <c r="B43448" i="1"/>
  <c r="A43449" i="1"/>
  <c r="B43449" i="1"/>
  <c r="A43450" i="1"/>
  <c r="B43450" i="1"/>
  <c r="A43451" i="1"/>
  <c r="B43451" i="1"/>
  <c r="A43452" i="1"/>
  <c r="B43452" i="1"/>
  <c r="A43453" i="1"/>
  <c r="B43453" i="1"/>
  <c r="A43454" i="1"/>
  <c r="B43454" i="1"/>
  <c r="A43455" i="1"/>
  <c r="B43455" i="1"/>
  <c r="A43456" i="1"/>
  <c r="B43456" i="1"/>
  <c r="A43457" i="1"/>
  <c r="B43457" i="1"/>
  <c r="A43458" i="1"/>
  <c r="B43458" i="1"/>
  <c r="A43459" i="1"/>
  <c r="B43459" i="1"/>
  <c r="A43460" i="1"/>
  <c r="B43460" i="1"/>
  <c r="A43461" i="1"/>
  <c r="B43461" i="1"/>
  <c r="A43462" i="1"/>
  <c r="B43462" i="1"/>
  <c r="A43463" i="1"/>
  <c r="B43463" i="1"/>
  <c r="A43464" i="1"/>
  <c r="B43464" i="1"/>
  <c r="A43465" i="1"/>
  <c r="B43465" i="1"/>
  <c r="A43466" i="1"/>
  <c r="B43466" i="1"/>
  <c r="A43467" i="1"/>
  <c r="B43467" i="1"/>
  <c r="A43468" i="1"/>
  <c r="B43468" i="1"/>
  <c r="A43469" i="1"/>
  <c r="B43469" i="1"/>
  <c r="A43470" i="1"/>
  <c r="B43470" i="1"/>
  <c r="A43471" i="1"/>
  <c r="B43471" i="1"/>
  <c r="A43472" i="1"/>
  <c r="B43472" i="1"/>
  <c r="A43473" i="1"/>
  <c r="B43473" i="1"/>
  <c r="A43474" i="1"/>
  <c r="B43474" i="1"/>
  <c r="A43475" i="1"/>
  <c r="B43475" i="1"/>
  <c r="A43476" i="1"/>
  <c r="B43476" i="1"/>
  <c r="A43477" i="1"/>
  <c r="B43477" i="1"/>
  <c r="A43478" i="1"/>
  <c r="B43478" i="1"/>
  <c r="A43479" i="1"/>
  <c r="B43479" i="1"/>
  <c r="A43480" i="1"/>
  <c r="B43480" i="1"/>
  <c r="A43481" i="1"/>
  <c r="B43481" i="1"/>
  <c r="A43482" i="1"/>
  <c r="B43482" i="1"/>
  <c r="A43483" i="1"/>
  <c r="B43483" i="1"/>
  <c r="A43484" i="1"/>
  <c r="B43484" i="1"/>
  <c r="A43485" i="1"/>
  <c r="B43485" i="1"/>
  <c r="A43486" i="1"/>
  <c r="B43486" i="1"/>
  <c r="A43487" i="1"/>
  <c r="B43487" i="1"/>
  <c r="A43488" i="1"/>
  <c r="B43488" i="1"/>
  <c r="A43489" i="1"/>
  <c r="B43489" i="1"/>
  <c r="A43490" i="1"/>
  <c r="B43490" i="1"/>
  <c r="A43491" i="1"/>
  <c r="B43491" i="1"/>
  <c r="A43492" i="1"/>
  <c r="B43492" i="1"/>
  <c r="A43493" i="1"/>
  <c r="B43493" i="1"/>
  <c r="A43494" i="1"/>
  <c r="B43494" i="1"/>
  <c r="A43495" i="1"/>
  <c r="B43495" i="1"/>
  <c r="A43496" i="1"/>
  <c r="B43496" i="1"/>
  <c r="A43497" i="1"/>
  <c r="B43497" i="1"/>
  <c r="A43498" i="1"/>
  <c r="B43498" i="1"/>
  <c r="A43499" i="1"/>
  <c r="B43499" i="1"/>
  <c r="A43500" i="1"/>
  <c r="B43500" i="1"/>
  <c r="A43501" i="1"/>
  <c r="B43501" i="1"/>
  <c r="A43502" i="1"/>
  <c r="B43502" i="1"/>
  <c r="A43503" i="1"/>
  <c r="B43503" i="1"/>
  <c r="A43504" i="1"/>
  <c r="B43504" i="1"/>
  <c r="A43505" i="1"/>
  <c r="B43505" i="1"/>
  <c r="A43506" i="1"/>
  <c r="B43506" i="1"/>
  <c r="A43507" i="1"/>
  <c r="B43507" i="1"/>
  <c r="A43508" i="1"/>
  <c r="B43508" i="1"/>
  <c r="A43509" i="1"/>
  <c r="B43509" i="1"/>
  <c r="A43510" i="1"/>
  <c r="B43510" i="1"/>
  <c r="A43511" i="1"/>
  <c r="B43511" i="1"/>
  <c r="A43512" i="1"/>
  <c r="B43512" i="1"/>
  <c r="A43513" i="1"/>
  <c r="B43513" i="1"/>
  <c r="A43514" i="1"/>
  <c r="B43514" i="1"/>
  <c r="A43515" i="1"/>
  <c r="B43515" i="1"/>
  <c r="A43516" i="1"/>
  <c r="B43516" i="1"/>
  <c r="A43517" i="1"/>
  <c r="B43517" i="1"/>
  <c r="A43518" i="1"/>
  <c r="B43518" i="1"/>
  <c r="A43519" i="1"/>
  <c r="B43519" i="1"/>
  <c r="A43520" i="1"/>
  <c r="B43520" i="1"/>
  <c r="A43521" i="1"/>
  <c r="B43521" i="1"/>
  <c r="A43522" i="1"/>
  <c r="B43522" i="1"/>
  <c r="A43523" i="1"/>
  <c r="B43523" i="1"/>
  <c r="A43524" i="1"/>
  <c r="B43524" i="1"/>
  <c r="A43525" i="1"/>
  <c r="B43525" i="1"/>
  <c r="A43526" i="1"/>
  <c r="B43526" i="1"/>
  <c r="A43527" i="1"/>
  <c r="B43527" i="1"/>
  <c r="A43528" i="1"/>
  <c r="B43528" i="1"/>
  <c r="A43529" i="1"/>
  <c r="B43529" i="1"/>
  <c r="A43530" i="1"/>
  <c r="B43530" i="1"/>
  <c r="A43531" i="1"/>
  <c r="B43531" i="1"/>
  <c r="A43532" i="1"/>
  <c r="B43532" i="1"/>
  <c r="A43533" i="1"/>
  <c r="B43533" i="1"/>
  <c r="A43534" i="1"/>
  <c r="B43534" i="1"/>
  <c r="A43535" i="1"/>
  <c r="B43535" i="1"/>
  <c r="A43536" i="1"/>
  <c r="B43536" i="1"/>
  <c r="A43537" i="1"/>
  <c r="B43537" i="1"/>
  <c r="A43538" i="1"/>
  <c r="B43538" i="1"/>
  <c r="A43539" i="1"/>
  <c r="B43539" i="1"/>
  <c r="A43540" i="1"/>
  <c r="B43540" i="1"/>
  <c r="A43541" i="1"/>
  <c r="B43541" i="1"/>
  <c r="A43542" i="1"/>
  <c r="B43542" i="1"/>
  <c r="A43543" i="1"/>
  <c r="B43543" i="1"/>
  <c r="A43544" i="1"/>
  <c r="B43544" i="1"/>
  <c r="A43545" i="1"/>
  <c r="B43545" i="1"/>
  <c r="A43546" i="1"/>
  <c r="B43546" i="1"/>
  <c r="A43547" i="1"/>
  <c r="B43547" i="1"/>
  <c r="A43548" i="1"/>
  <c r="B43548" i="1"/>
  <c r="A43549" i="1"/>
  <c r="B43549" i="1"/>
  <c r="A43550" i="1"/>
  <c r="B43550" i="1"/>
  <c r="A43551" i="1"/>
  <c r="B43551" i="1"/>
  <c r="A43552" i="1"/>
  <c r="B43552" i="1"/>
  <c r="A43553" i="1"/>
  <c r="B43553" i="1"/>
  <c r="A43554" i="1"/>
  <c r="B43554" i="1"/>
  <c r="A43555" i="1"/>
  <c r="B43555" i="1"/>
  <c r="A43556" i="1"/>
  <c r="B43556" i="1"/>
  <c r="A43557" i="1"/>
  <c r="B43557" i="1"/>
  <c r="A43558" i="1"/>
  <c r="B43558" i="1"/>
  <c r="A43559" i="1"/>
  <c r="B43559" i="1"/>
  <c r="A43560" i="1"/>
  <c r="B43560" i="1"/>
  <c r="A43561" i="1"/>
  <c r="B43561" i="1"/>
  <c r="A43562" i="1"/>
  <c r="B43562" i="1"/>
  <c r="A43563" i="1"/>
  <c r="B43563" i="1"/>
  <c r="A43564" i="1"/>
  <c r="B43564" i="1"/>
  <c r="A43565" i="1"/>
  <c r="B43565" i="1"/>
  <c r="A43566" i="1"/>
  <c r="B43566" i="1"/>
  <c r="A43567" i="1"/>
  <c r="B43567" i="1"/>
  <c r="A43568" i="1"/>
  <c r="B43568" i="1"/>
  <c r="A43569" i="1"/>
  <c r="B43569" i="1"/>
  <c r="A43570" i="1"/>
  <c r="B43570" i="1"/>
  <c r="A43571" i="1"/>
  <c r="B43571" i="1"/>
  <c r="A43572" i="1"/>
  <c r="B43572" i="1"/>
  <c r="A43573" i="1"/>
  <c r="B43573" i="1"/>
  <c r="A43574" i="1"/>
  <c r="B43574" i="1"/>
  <c r="A43575" i="1"/>
  <c r="B43575" i="1"/>
  <c r="A43576" i="1"/>
  <c r="B43576" i="1"/>
  <c r="A43577" i="1"/>
  <c r="B43577" i="1"/>
  <c r="A43578" i="1"/>
  <c r="B43578" i="1"/>
  <c r="A43579" i="1"/>
  <c r="B43579" i="1"/>
  <c r="A43580" i="1"/>
  <c r="B43580" i="1"/>
  <c r="A43581" i="1"/>
  <c r="B43581" i="1"/>
  <c r="A43582" i="1"/>
  <c r="B43582" i="1"/>
  <c r="A43583" i="1"/>
  <c r="B43583" i="1"/>
  <c r="A43584" i="1"/>
  <c r="B43584" i="1"/>
  <c r="A43585" i="1"/>
  <c r="B43585" i="1"/>
  <c r="A43586" i="1"/>
  <c r="B43586" i="1"/>
  <c r="A43587" i="1"/>
  <c r="B43587" i="1"/>
  <c r="A43588" i="1"/>
  <c r="B43588" i="1"/>
  <c r="A43589" i="1"/>
  <c r="B43589" i="1"/>
  <c r="A43590" i="1"/>
  <c r="B43590" i="1"/>
  <c r="A43591" i="1"/>
  <c r="B43591" i="1"/>
  <c r="A43592" i="1"/>
  <c r="B43592" i="1"/>
  <c r="A43593" i="1"/>
  <c r="B43593" i="1"/>
  <c r="A43594" i="1"/>
  <c r="B43594" i="1"/>
  <c r="A43595" i="1"/>
  <c r="B43595" i="1"/>
  <c r="A43596" i="1"/>
  <c r="B43596" i="1"/>
  <c r="A43597" i="1"/>
  <c r="B43597" i="1"/>
  <c r="A43598" i="1"/>
  <c r="B43598" i="1"/>
  <c r="A43599" i="1"/>
  <c r="B43599" i="1"/>
  <c r="A43600" i="1"/>
  <c r="B43600" i="1"/>
  <c r="A43601" i="1"/>
  <c r="B43601" i="1"/>
  <c r="A43602" i="1"/>
  <c r="B43602" i="1"/>
  <c r="A43603" i="1"/>
  <c r="B43603" i="1"/>
  <c r="A43604" i="1"/>
  <c r="B43604" i="1"/>
  <c r="A43605" i="1"/>
  <c r="B43605" i="1"/>
  <c r="A43606" i="1"/>
  <c r="B43606" i="1"/>
  <c r="A43607" i="1"/>
  <c r="B43607" i="1"/>
  <c r="A43608" i="1"/>
  <c r="B43608" i="1"/>
  <c r="A43609" i="1"/>
  <c r="B43609" i="1"/>
  <c r="A43610" i="1"/>
  <c r="B43610" i="1"/>
  <c r="A43611" i="1"/>
  <c r="B43611" i="1"/>
  <c r="A43612" i="1"/>
  <c r="B43612" i="1"/>
  <c r="A43613" i="1"/>
  <c r="B43613" i="1"/>
  <c r="A43614" i="1"/>
  <c r="B43614" i="1"/>
  <c r="A43615" i="1"/>
  <c r="B43615" i="1"/>
  <c r="A43616" i="1"/>
  <c r="B43616" i="1"/>
  <c r="A43617" i="1"/>
  <c r="B43617" i="1"/>
  <c r="A43618" i="1"/>
  <c r="B43618" i="1"/>
  <c r="A43619" i="1"/>
  <c r="B43619" i="1"/>
  <c r="A43620" i="1"/>
  <c r="B43620" i="1"/>
  <c r="A43621" i="1"/>
  <c r="B43621" i="1"/>
  <c r="A43622" i="1"/>
  <c r="B43622" i="1"/>
  <c r="A43623" i="1"/>
  <c r="B43623" i="1"/>
  <c r="A43624" i="1"/>
  <c r="B43624" i="1"/>
  <c r="A43625" i="1"/>
  <c r="B43625" i="1"/>
  <c r="A43626" i="1"/>
  <c r="B43626" i="1"/>
  <c r="A43627" i="1"/>
  <c r="B43627" i="1"/>
  <c r="A43628" i="1"/>
  <c r="B43628" i="1"/>
  <c r="A43629" i="1"/>
  <c r="B43629" i="1"/>
  <c r="A43630" i="1"/>
  <c r="B43630" i="1"/>
  <c r="A43631" i="1"/>
  <c r="B43631" i="1"/>
  <c r="A43632" i="1"/>
  <c r="B43632" i="1"/>
  <c r="A43633" i="1"/>
  <c r="B43633" i="1"/>
  <c r="A43634" i="1"/>
  <c r="B43634" i="1"/>
  <c r="A43635" i="1"/>
  <c r="B43635" i="1"/>
  <c r="A43636" i="1"/>
  <c r="B43636" i="1"/>
  <c r="A43637" i="1"/>
  <c r="B43637" i="1"/>
  <c r="A43638" i="1"/>
  <c r="B43638" i="1"/>
  <c r="A43639" i="1"/>
  <c r="B43639" i="1"/>
  <c r="A43640" i="1"/>
  <c r="B43640" i="1"/>
  <c r="A43641" i="1"/>
  <c r="B43641" i="1"/>
  <c r="A43642" i="1"/>
  <c r="B43642" i="1"/>
  <c r="A43643" i="1"/>
  <c r="B43643" i="1"/>
  <c r="A43644" i="1"/>
  <c r="B43644" i="1"/>
  <c r="A43645" i="1"/>
  <c r="B43645" i="1"/>
  <c r="A43646" i="1"/>
  <c r="B43646" i="1"/>
  <c r="A43647" i="1"/>
  <c r="B43647" i="1"/>
  <c r="A43648" i="1"/>
  <c r="B43648" i="1"/>
  <c r="A43649" i="1"/>
  <c r="B43649" i="1"/>
  <c r="A43650" i="1"/>
  <c r="B43650" i="1"/>
  <c r="A43651" i="1"/>
  <c r="B43651" i="1"/>
  <c r="A43652" i="1"/>
  <c r="B43652" i="1"/>
  <c r="A43653" i="1"/>
  <c r="B43653" i="1"/>
  <c r="A43654" i="1"/>
  <c r="B43654" i="1"/>
  <c r="A43655" i="1"/>
  <c r="B43655" i="1"/>
  <c r="A43656" i="1"/>
  <c r="B43656" i="1"/>
  <c r="A43657" i="1"/>
  <c r="B43657" i="1"/>
  <c r="A43658" i="1"/>
  <c r="B43658" i="1"/>
  <c r="A43659" i="1"/>
  <c r="B43659" i="1"/>
  <c r="A43660" i="1"/>
  <c r="B43660" i="1"/>
  <c r="A43661" i="1"/>
  <c r="B43661" i="1"/>
  <c r="A43662" i="1"/>
  <c r="B43662" i="1"/>
  <c r="A43663" i="1"/>
  <c r="B43663" i="1"/>
  <c r="A43664" i="1"/>
  <c r="B43664" i="1"/>
  <c r="A43665" i="1"/>
  <c r="B43665" i="1"/>
  <c r="A43666" i="1"/>
  <c r="B43666" i="1"/>
  <c r="A43667" i="1"/>
  <c r="B43667" i="1"/>
  <c r="A43668" i="1"/>
  <c r="B43668" i="1"/>
  <c r="A43669" i="1"/>
  <c r="B43669" i="1"/>
  <c r="A43670" i="1"/>
  <c r="B43670" i="1"/>
  <c r="A43671" i="1"/>
  <c r="B43671" i="1"/>
  <c r="A43672" i="1"/>
  <c r="B43672" i="1"/>
  <c r="A43673" i="1"/>
  <c r="B43673" i="1"/>
  <c r="A43674" i="1"/>
  <c r="B43674" i="1"/>
  <c r="A43675" i="1"/>
  <c r="B43675" i="1"/>
  <c r="A43676" i="1"/>
  <c r="B43676" i="1"/>
  <c r="A43677" i="1"/>
  <c r="B43677" i="1"/>
  <c r="A43678" i="1"/>
  <c r="B43678" i="1"/>
  <c r="A43679" i="1"/>
  <c r="B43679" i="1"/>
  <c r="A43680" i="1"/>
  <c r="B43680" i="1"/>
  <c r="A43681" i="1"/>
  <c r="B43681" i="1"/>
  <c r="A43682" i="1"/>
  <c r="B43682" i="1"/>
  <c r="A43683" i="1"/>
  <c r="B43683" i="1"/>
  <c r="A43684" i="1"/>
  <c r="B43684" i="1"/>
  <c r="A43685" i="1"/>
  <c r="B43685" i="1"/>
  <c r="A43686" i="1"/>
  <c r="B43686" i="1"/>
  <c r="A43687" i="1"/>
  <c r="B43687" i="1"/>
  <c r="A43688" i="1"/>
  <c r="B43688" i="1"/>
  <c r="A43689" i="1"/>
  <c r="B43689" i="1"/>
  <c r="A43690" i="1"/>
  <c r="B43690" i="1"/>
  <c r="A43691" i="1"/>
  <c r="B43691" i="1"/>
  <c r="A43692" i="1"/>
  <c r="B43692" i="1"/>
  <c r="A43693" i="1"/>
  <c r="B43693" i="1"/>
  <c r="A43694" i="1"/>
  <c r="B43694" i="1"/>
  <c r="A43695" i="1"/>
  <c r="B43695" i="1"/>
  <c r="A43696" i="1"/>
  <c r="B43696" i="1"/>
  <c r="A43697" i="1"/>
  <c r="B43697" i="1"/>
  <c r="A43698" i="1"/>
  <c r="B43698" i="1"/>
  <c r="A43699" i="1"/>
  <c r="B43699" i="1"/>
  <c r="A43700" i="1"/>
  <c r="B43700" i="1"/>
  <c r="A43701" i="1"/>
  <c r="B43701" i="1"/>
  <c r="A43702" i="1"/>
  <c r="B43702" i="1"/>
  <c r="A43703" i="1"/>
  <c r="B43703" i="1"/>
  <c r="A43704" i="1"/>
  <c r="B43704" i="1"/>
  <c r="A43705" i="1"/>
  <c r="B43705" i="1"/>
  <c r="A43706" i="1"/>
  <c r="B43706" i="1"/>
  <c r="A43707" i="1"/>
  <c r="B43707" i="1"/>
  <c r="A43708" i="1"/>
  <c r="B43708" i="1"/>
  <c r="A43709" i="1"/>
  <c r="B43709" i="1"/>
  <c r="A43710" i="1"/>
  <c r="B43710" i="1"/>
  <c r="A43711" i="1"/>
  <c r="B43711" i="1"/>
  <c r="A43712" i="1"/>
  <c r="B43712" i="1"/>
  <c r="A43713" i="1"/>
  <c r="B43713" i="1"/>
  <c r="A43714" i="1"/>
  <c r="B43714" i="1"/>
  <c r="A43715" i="1"/>
  <c r="B43715" i="1"/>
  <c r="A43716" i="1"/>
  <c r="B43716" i="1"/>
  <c r="A43717" i="1"/>
  <c r="B43717" i="1"/>
  <c r="A43718" i="1"/>
  <c r="B43718" i="1"/>
  <c r="A43719" i="1"/>
  <c r="B43719" i="1"/>
  <c r="A43720" i="1"/>
  <c r="B43720" i="1"/>
  <c r="A43721" i="1"/>
  <c r="B43721" i="1"/>
  <c r="A43722" i="1"/>
  <c r="B43722" i="1"/>
  <c r="A43723" i="1"/>
  <c r="B43723" i="1"/>
  <c r="A43724" i="1"/>
  <c r="B43724" i="1"/>
  <c r="A43725" i="1"/>
  <c r="B43725" i="1"/>
  <c r="A43726" i="1"/>
  <c r="B43726" i="1"/>
  <c r="A43727" i="1"/>
  <c r="B43727" i="1"/>
  <c r="A43728" i="1"/>
  <c r="B43728" i="1"/>
  <c r="A43729" i="1"/>
  <c r="B43729" i="1"/>
  <c r="A43730" i="1"/>
  <c r="B43730" i="1"/>
  <c r="A43731" i="1"/>
  <c r="B43731" i="1"/>
  <c r="A43732" i="1"/>
  <c r="B43732" i="1"/>
  <c r="A43733" i="1"/>
  <c r="B43733" i="1"/>
  <c r="A43734" i="1"/>
  <c r="B43734" i="1"/>
  <c r="A43735" i="1"/>
  <c r="B43735" i="1"/>
  <c r="A43736" i="1"/>
  <c r="B43736" i="1"/>
  <c r="A43737" i="1"/>
  <c r="B43737" i="1"/>
  <c r="A43738" i="1"/>
  <c r="B43738" i="1"/>
  <c r="A43739" i="1"/>
  <c r="B43739" i="1"/>
  <c r="A43740" i="1"/>
  <c r="B43740" i="1"/>
  <c r="A43741" i="1"/>
  <c r="B43741" i="1"/>
  <c r="A43742" i="1"/>
  <c r="B43742" i="1"/>
  <c r="A43743" i="1"/>
  <c r="B43743" i="1"/>
  <c r="A43744" i="1"/>
  <c r="B43744" i="1"/>
  <c r="A43745" i="1"/>
  <c r="B43745" i="1"/>
  <c r="A43746" i="1"/>
  <c r="B43746" i="1"/>
  <c r="A43747" i="1"/>
  <c r="B43747" i="1"/>
  <c r="A43748" i="1"/>
  <c r="B43748" i="1"/>
  <c r="A43749" i="1"/>
  <c r="B43749" i="1"/>
  <c r="A43750" i="1"/>
  <c r="B43750" i="1"/>
  <c r="A43751" i="1"/>
  <c r="B43751" i="1"/>
  <c r="A43752" i="1"/>
  <c r="B43752" i="1"/>
  <c r="A43753" i="1"/>
  <c r="B43753" i="1"/>
  <c r="A43754" i="1"/>
  <c r="B43754" i="1"/>
  <c r="A43755" i="1"/>
  <c r="B43755" i="1"/>
  <c r="A43756" i="1"/>
  <c r="B43756" i="1"/>
  <c r="A43757" i="1"/>
  <c r="B43757" i="1"/>
  <c r="A43758" i="1"/>
  <c r="B43758" i="1"/>
  <c r="A43759" i="1"/>
  <c r="B43759" i="1"/>
  <c r="A43760" i="1"/>
  <c r="B43760" i="1"/>
  <c r="A43761" i="1"/>
  <c r="B43761" i="1"/>
  <c r="A43762" i="1"/>
  <c r="B43762" i="1"/>
  <c r="A43763" i="1"/>
  <c r="B43763" i="1"/>
  <c r="A43764" i="1"/>
  <c r="B43764" i="1"/>
  <c r="A43765" i="1"/>
  <c r="B43765" i="1"/>
  <c r="A43766" i="1"/>
  <c r="B43766" i="1"/>
  <c r="A43767" i="1"/>
  <c r="B43767" i="1"/>
  <c r="A43768" i="1"/>
  <c r="B43768" i="1"/>
  <c r="A43769" i="1"/>
  <c r="B43769" i="1"/>
  <c r="A43770" i="1"/>
  <c r="B43770" i="1"/>
  <c r="A43771" i="1"/>
  <c r="B43771" i="1"/>
  <c r="A43772" i="1"/>
  <c r="B43772" i="1"/>
  <c r="A43773" i="1"/>
  <c r="B43773" i="1"/>
  <c r="A43774" i="1"/>
  <c r="B43774" i="1"/>
  <c r="A43775" i="1"/>
  <c r="B43775" i="1"/>
  <c r="A43776" i="1"/>
  <c r="B43776" i="1"/>
  <c r="A43777" i="1"/>
  <c r="B43777" i="1"/>
  <c r="A43778" i="1"/>
  <c r="B43778" i="1"/>
  <c r="A43779" i="1"/>
  <c r="B43779" i="1"/>
  <c r="A43780" i="1"/>
  <c r="B43780" i="1"/>
  <c r="A43781" i="1"/>
  <c r="B43781" i="1"/>
  <c r="A43782" i="1"/>
  <c r="B43782" i="1"/>
  <c r="A43783" i="1"/>
  <c r="B43783" i="1"/>
  <c r="A43784" i="1"/>
  <c r="B43784" i="1"/>
  <c r="A43785" i="1"/>
  <c r="B43785" i="1"/>
  <c r="A43786" i="1"/>
  <c r="B43786" i="1"/>
  <c r="A43787" i="1"/>
  <c r="B43787" i="1"/>
  <c r="A43788" i="1"/>
  <c r="B43788" i="1"/>
  <c r="A43789" i="1"/>
  <c r="B43789" i="1"/>
  <c r="A43790" i="1"/>
  <c r="B43790" i="1"/>
  <c r="A43791" i="1"/>
  <c r="B43791" i="1"/>
  <c r="A43792" i="1"/>
  <c r="B43792" i="1"/>
  <c r="A43793" i="1"/>
  <c r="B43793" i="1"/>
  <c r="A43794" i="1"/>
  <c r="B43794" i="1"/>
  <c r="A43795" i="1"/>
  <c r="B43795" i="1"/>
  <c r="A43796" i="1"/>
  <c r="B43796" i="1"/>
  <c r="A43797" i="1"/>
  <c r="B43797" i="1"/>
  <c r="A43798" i="1"/>
  <c r="B43798" i="1"/>
  <c r="A43799" i="1"/>
  <c r="B43799" i="1"/>
  <c r="A43800" i="1"/>
  <c r="B43800" i="1"/>
  <c r="A43801" i="1"/>
  <c r="B43801" i="1"/>
  <c r="A43802" i="1"/>
  <c r="B43802" i="1"/>
  <c r="A43803" i="1"/>
  <c r="B43803" i="1"/>
  <c r="A43804" i="1"/>
  <c r="B43804" i="1"/>
  <c r="A43805" i="1"/>
  <c r="B43805" i="1"/>
  <c r="A43806" i="1"/>
  <c r="B43806" i="1"/>
  <c r="A43807" i="1"/>
  <c r="B43807" i="1"/>
  <c r="A43808" i="1"/>
  <c r="B43808" i="1"/>
  <c r="A43809" i="1"/>
  <c r="B43809" i="1"/>
  <c r="A43810" i="1"/>
  <c r="B43810" i="1"/>
  <c r="A43811" i="1"/>
  <c r="B43811" i="1"/>
  <c r="A43812" i="1"/>
  <c r="B43812" i="1"/>
  <c r="A43813" i="1"/>
  <c r="B43813" i="1"/>
  <c r="A43814" i="1"/>
  <c r="B43814" i="1"/>
  <c r="A43815" i="1"/>
  <c r="B43815" i="1"/>
  <c r="A43816" i="1"/>
  <c r="B43816" i="1"/>
  <c r="A43817" i="1"/>
  <c r="B43817" i="1"/>
  <c r="A43818" i="1"/>
  <c r="B43818" i="1"/>
  <c r="A43819" i="1"/>
  <c r="B43819" i="1"/>
  <c r="A43820" i="1"/>
  <c r="B43820" i="1"/>
  <c r="A43821" i="1"/>
  <c r="B43821" i="1"/>
  <c r="A43822" i="1"/>
  <c r="B43822" i="1"/>
  <c r="A43823" i="1"/>
  <c r="B43823" i="1"/>
  <c r="A43824" i="1"/>
  <c r="B43824" i="1"/>
  <c r="A43825" i="1"/>
  <c r="B43825" i="1"/>
  <c r="A43826" i="1"/>
  <c r="B43826" i="1"/>
  <c r="A43827" i="1"/>
  <c r="B43827" i="1"/>
  <c r="A43828" i="1"/>
  <c r="B43828" i="1"/>
  <c r="A43829" i="1"/>
  <c r="B43829" i="1"/>
  <c r="A43830" i="1"/>
  <c r="B43830" i="1"/>
  <c r="A43831" i="1"/>
  <c r="B43831" i="1"/>
  <c r="A43832" i="1"/>
  <c r="B43832" i="1"/>
  <c r="A43833" i="1"/>
  <c r="B43833" i="1"/>
  <c r="A43834" i="1"/>
  <c r="B43834" i="1"/>
  <c r="A43835" i="1"/>
  <c r="B43835" i="1"/>
  <c r="A43836" i="1"/>
  <c r="B43836" i="1"/>
  <c r="A43837" i="1"/>
  <c r="B43837" i="1"/>
  <c r="A43838" i="1"/>
  <c r="B43838" i="1"/>
  <c r="A43839" i="1"/>
  <c r="B43839" i="1"/>
  <c r="A43840" i="1"/>
  <c r="B43840" i="1"/>
  <c r="A43841" i="1"/>
  <c r="B43841" i="1"/>
  <c r="A43842" i="1"/>
  <c r="B43842" i="1"/>
  <c r="A43843" i="1"/>
  <c r="B43843" i="1"/>
  <c r="A43844" i="1"/>
  <c r="B43844" i="1"/>
  <c r="A43845" i="1"/>
  <c r="B43845" i="1"/>
  <c r="A43846" i="1"/>
  <c r="B43846" i="1"/>
  <c r="A43847" i="1"/>
  <c r="B43847" i="1"/>
  <c r="A43848" i="1"/>
  <c r="B43848" i="1"/>
  <c r="A43849" i="1"/>
  <c r="B43849" i="1"/>
  <c r="A43850" i="1"/>
  <c r="B43850" i="1"/>
  <c r="A43851" i="1"/>
  <c r="B43851" i="1"/>
  <c r="A43852" i="1"/>
  <c r="B43852" i="1"/>
  <c r="A43853" i="1"/>
  <c r="B43853" i="1"/>
  <c r="A43854" i="1"/>
  <c r="B43854" i="1"/>
  <c r="A43855" i="1"/>
  <c r="B43855" i="1"/>
  <c r="A43856" i="1"/>
  <c r="B43856" i="1"/>
  <c r="A43857" i="1"/>
  <c r="B43857" i="1"/>
  <c r="A43858" i="1"/>
  <c r="B43858" i="1"/>
  <c r="A43859" i="1"/>
  <c r="B43859" i="1"/>
  <c r="A43860" i="1"/>
  <c r="B43860" i="1"/>
  <c r="A43861" i="1"/>
  <c r="B43861" i="1"/>
  <c r="A43862" i="1"/>
  <c r="B43862" i="1"/>
  <c r="A43863" i="1"/>
  <c r="B43863" i="1"/>
  <c r="A43864" i="1"/>
  <c r="B43864" i="1"/>
  <c r="A43865" i="1"/>
  <c r="B43865" i="1"/>
  <c r="A43866" i="1"/>
  <c r="B43866" i="1"/>
  <c r="A43867" i="1"/>
  <c r="B43867" i="1"/>
  <c r="A43868" i="1"/>
  <c r="B43868" i="1"/>
  <c r="A43869" i="1"/>
  <c r="B43869" i="1"/>
  <c r="A43870" i="1"/>
  <c r="B43870" i="1"/>
  <c r="A43871" i="1"/>
  <c r="B43871" i="1"/>
  <c r="A43872" i="1"/>
  <c r="B43872" i="1"/>
  <c r="A43873" i="1"/>
  <c r="B43873" i="1"/>
  <c r="A43874" i="1"/>
  <c r="B43874" i="1"/>
  <c r="A43875" i="1"/>
  <c r="B43875" i="1"/>
  <c r="A43876" i="1"/>
  <c r="B43876" i="1"/>
  <c r="A43877" i="1"/>
  <c r="B43877" i="1"/>
  <c r="A43878" i="1"/>
  <c r="B43878" i="1"/>
  <c r="A43879" i="1"/>
  <c r="B43879" i="1"/>
  <c r="A43880" i="1"/>
  <c r="B43880" i="1"/>
  <c r="A43881" i="1"/>
  <c r="B43881" i="1"/>
  <c r="A43882" i="1"/>
  <c r="B43882" i="1"/>
  <c r="A43883" i="1"/>
  <c r="B43883" i="1"/>
  <c r="A43884" i="1"/>
  <c r="B43884" i="1"/>
  <c r="A43885" i="1"/>
  <c r="B43885" i="1"/>
  <c r="A43886" i="1"/>
  <c r="B43886" i="1"/>
  <c r="A43887" i="1"/>
  <c r="B43887" i="1"/>
  <c r="A43888" i="1"/>
  <c r="B43888" i="1"/>
  <c r="A43889" i="1"/>
  <c r="B43889" i="1"/>
  <c r="A43890" i="1"/>
  <c r="B43890" i="1"/>
  <c r="A43891" i="1"/>
  <c r="B43891" i="1"/>
  <c r="A43892" i="1"/>
  <c r="B43892" i="1"/>
  <c r="A43893" i="1"/>
  <c r="B43893" i="1"/>
  <c r="A43894" i="1"/>
  <c r="B43894" i="1"/>
  <c r="A43895" i="1"/>
  <c r="B43895" i="1"/>
  <c r="A43896" i="1"/>
  <c r="B43896" i="1"/>
  <c r="A43897" i="1"/>
  <c r="B43897" i="1"/>
  <c r="A43898" i="1"/>
  <c r="B43898" i="1"/>
  <c r="A43899" i="1"/>
  <c r="B43899" i="1"/>
  <c r="A43900" i="1"/>
  <c r="B43900" i="1"/>
  <c r="A43901" i="1"/>
  <c r="B43901" i="1"/>
  <c r="A43902" i="1"/>
  <c r="B43902" i="1"/>
  <c r="A43903" i="1"/>
  <c r="B43903" i="1"/>
  <c r="A43904" i="1"/>
  <c r="B43904" i="1"/>
  <c r="A43905" i="1"/>
  <c r="B43905" i="1"/>
  <c r="A43906" i="1"/>
  <c r="B43906" i="1"/>
  <c r="A43907" i="1"/>
  <c r="B43907" i="1"/>
  <c r="A43908" i="1"/>
  <c r="B43908" i="1"/>
  <c r="A43909" i="1"/>
  <c r="B43909" i="1"/>
  <c r="A43910" i="1"/>
  <c r="B43910" i="1"/>
  <c r="A43911" i="1"/>
  <c r="B43911" i="1"/>
  <c r="A43912" i="1"/>
  <c r="B43912" i="1"/>
  <c r="A43913" i="1"/>
  <c r="B43913" i="1"/>
  <c r="A43914" i="1"/>
  <c r="B43914" i="1"/>
  <c r="A43915" i="1"/>
  <c r="B43915" i="1"/>
  <c r="A43916" i="1"/>
  <c r="B43916" i="1"/>
  <c r="A43917" i="1"/>
  <c r="B43917" i="1"/>
  <c r="A43918" i="1"/>
  <c r="B43918" i="1"/>
  <c r="A43919" i="1"/>
  <c r="B43919" i="1"/>
  <c r="A43920" i="1"/>
  <c r="B43920" i="1"/>
  <c r="A43921" i="1"/>
  <c r="B43921" i="1"/>
  <c r="A43922" i="1"/>
  <c r="B43922" i="1"/>
  <c r="A43923" i="1"/>
  <c r="B43923" i="1"/>
  <c r="A43924" i="1"/>
  <c r="B43924" i="1"/>
  <c r="A43925" i="1"/>
  <c r="B43925" i="1"/>
  <c r="A43926" i="1"/>
  <c r="B43926" i="1"/>
  <c r="A43927" i="1"/>
  <c r="B43927" i="1"/>
  <c r="A43928" i="1"/>
  <c r="B43928" i="1"/>
  <c r="A43929" i="1"/>
  <c r="B43929" i="1"/>
  <c r="A43930" i="1"/>
  <c r="B43930" i="1"/>
  <c r="A43931" i="1"/>
  <c r="B43931" i="1"/>
  <c r="A43932" i="1"/>
  <c r="B43932" i="1"/>
  <c r="A43933" i="1"/>
  <c r="B43933" i="1"/>
  <c r="A43934" i="1"/>
  <c r="B43934" i="1"/>
  <c r="A43935" i="1"/>
  <c r="B43935" i="1"/>
  <c r="A43936" i="1"/>
  <c r="B43936" i="1"/>
  <c r="A43937" i="1"/>
  <c r="B43937" i="1"/>
  <c r="A43938" i="1"/>
  <c r="B43938" i="1"/>
  <c r="A43939" i="1"/>
  <c r="B43939" i="1"/>
  <c r="A43940" i="1"/>
  <c r="B43940" i="1"/>
  <c r="A43941" i="1"/>
  <c r="B43941" i="1"/>
  <c r="A43942" i="1"/>
  <c r="B43942" i="1"/>
  <c r="A43943" i="1"/>
  <c r="B43943" i="1"/>
  <c r="A43944" i="1"/>
  <c r="B43944" i="1"/>
  <c r="A43945" i="1"/>
  <c r="B43945" i="1"/>
  <c r="A43946" i="1"/>
  <c r="B43946" i="1"/>
  <c r="A43947" i="1"/>
  <c r="B43947" i="1"/>
  <c r="A43948" i="1"/>
  <c r="B43948" i="1"/>
  <c r="A43949" i="1"/>
  <c r="B43949" i="1"/>
  <c r="A43950" i="1"/>
  <c r="B43950" i="1"/>
  <c r="A43951" i="1"/>
  <c r="B43951" i="1"/>
  <c r="A43952" i="1"/>
  <c r="B43952" i="1"/>
  <c r="A43953" i="1"/>
  <c r="B43953" i="1"/>
  <c r="A43954" i="1"/>
  <c r="B43954" i="1"/>
  <c r="A43955" i="1"/>
  <c r="B43955" i="1"/>
  <c r="A43956" i="1"/>
  <c r="B43956" i="1"/>
  <c r="A43957" i="1"/>
  <c r="B43957" i="1"/>
  <c r="A43958" i="1"/>
  <c r="B43958" i="1"/>
  <c r="A43959" i="1"/>
  <c r="B43959" i="1"/>
  <c r="A43960" i="1"/>
  <c r="B43960" i="1"/>
  <c r="A43961" i="1"/>
  <c r="B43961" i="1"/>
  <c r="A43962" i="1"/>
  <c r="B43962" i="1"/>
  <c r="A43963" i="1"/>
  <c r="B43963" i="1"/>
  <c r="A43964" i="1"/>
  <c r="B43964" i="1"/>
  <c r="A43965" i="1"/>
  <c r="B43965" i="1"/>
  <c r="A43966" i="1"/>
  <c r="B43966" i="1"/>
  <c r="A43967" i="1"/>
  <c r="B43967" i="1"/>
  <c r="A43968" i="1"/>
  <c r="B43968" i="1"/>
  <c r="A43969" i="1"/>
  <c r="B43969" i="1"/>
  <c r="A43970" i="1"/>
  <c r="B43970" i="1"/>
  <c r="A43971" i="1"/>
  <c r="B43971" i="1"/>
  <c r="A43972" i="1"/>
  <c r="B43972" i="1"/>
  <c r="A43973" i="1"/>
  <c r="B43973" i="1"/>
  <c r="A43974" i="1"/>
  <c r="B43974" i="1"/>
  <c r="A43975" i="1"/>
  <c r="B43975" i="1"/>
  <c r="A43976" i="1"/>
  <c r="B43976" i="1"/>
  <c r="A43977" i="1"/>
  <c r="B43977" i="1"/>
  <c r="A43978" i="1"/>
  <c r="B43978" i="1"/>
  <c r="A43979" i="1"/>
  <c r="B43979" i="1"/>
  <c r="A43980" i="1"/>
  <c r="B43980" i="1"/>
  <c r="A43981" i="1"/>
  <c r="B43981" i="1"/>
  <c r="A43982" i="1"/>
  <c r="B43982" i="1"/>
  <c r="A43983" i="1"/>
  <c r="B43983" i="1"/>
  <c r="A43984" i="1"/>
  <c r="B43984" i="1"/>
  <c r="A43985" i="1"/>
  <c r="B43985" i="1"/>
  <c r="A43986" i="1"/>
  <c r="B43986" i="1"/>
  <c r="A43987" i="1"/>
  <c r="B43987" i="1"/>
  <c r="A43988" i="1"/>
  <c r="B43988" i="1"/>
  <c r="A43989" i="1"/>
  <c r="B43989" i="1"/>
  <c r="A43990" i="1"/>
  <c r="B43990" i="1"/>
  <c r="A43991" i="1"/>
  <c r="B43991" i="1"/>
  <c r="A43992" i="1"/>
  <c r="B43992" i="1"/>
  <c r="A43993" i="1"/>
  <c r="B43993" i="1"/>
  <c r="A43994" i="1"/>
  <c r="B43994" i="1"/>
  <c r="A43995" i="1"/>
  <c r="B43995" i="1"/>
  <c r="A43996" i="1"/>
  <c r="B43996" i="1"/>
  <c r="A43997" i="1"/>
  <c r="B43997" i="1"/>
  <c r="A43998" i="1"/>
  <c r="B43998" i="1"/>
  <c r="A43999" i="1"/>
  <c r="B43999" i="1"/>
  <c r="A44000" i="1"/>
  <c r="B44000" i="1"/>
  <c r="A44001" i="1"/>
  <c r="B44001" i="1"/>
  <c r="A44002" i="1"/>
  <c r="B44002" i="1"/>
  <c r="A44003" i="1"/>
  <c r="B44003" i="1"/>
  <c r="A44004" i="1"/>
  <c r="B44004" i="1"/>
  <c r="A44005" i="1"/>
  <c r="B44005" i="1"/>
  <c r="A44006" i="1"/>
  <c r="B44006" i="1"/>
  <c r="A44007" i="1"/>
  <c r="B44007" i="1"/>
  <c r="A44008" i="1"/>
  <c r="B44008" i="1"/>
  <c r="A44009" i="1"/>
  <c r="B44009" i="1"/>
  <c r="A44010" i="1"/>
  <c r="B44010" i="1"/>
  <c r="A44011" i="1"/>
  <c r="B44011" i="1"/>
  <c r="A44012" i="1"/>
  <c r="B44012" i="1"/>
  <c r="A44013" i="1"/>
  <c r="B44013" i="1"/>
  <c r="A44014" i="1"/>
  <c r="B44014" i="1"/>
  <c r="A44015" i="1"/>
  <c r="B44015" i="1"/>
  <c r="A44016" i="1"/>
  <c r="B44016" i="1"/>
  <c r="A44017" i="1"/>
  <c r="B44017" i="1"/>
  <c r="A44018" i="1"/>
  <c r="B44018" i="1"/>
  <c r="A44019" i="1"/>
  <c r="B44019" i="1"/>
  <c r="A44020" i="1"/>
  <c r="B44020" i="1"/>
  <c r="A44021" i="1"/>
  <c r="B44021" i="1"/>
  <c r="A44022" i="1"/>
  <c r="B44022" i="1"/>
  <c r="A44023" i="1"/>
  <c r="B44023" i="1"/>
  <c r="A44024" i="1"/>
  <c r="B44024" i="1"/>
  <c r="A44025" i="1"/>
  <c r="B44025" i="1"/>
  <c r="A44026" i="1"/>
  <c r="B44026" i="1"/>
  <c r="A44027" i="1"/>
  <c r="B44027" i="1"/>
  <c r="A44028" i="1"/>
  <c r="B44028" i="1"/>
  <c r="A44029" i="1"/>
  <c r="B44029" i="1"/>
  <c r="A44030" i="1"/>
  <c r="B44030" i="1"/>
  <c r="A44031" i="1"/>
  <c r="B44031" i="1"/>
  <c r="A44032" i="1"/>
  <c r="B44032" i="1"/>
  <c r="A44033" i="1"/>
  <c r="B44033" i="1"/>
  <c r="A44034" i="1"/>
  <c r="B44034" i="1"/>
  <c r="A44035" i="1"/>
  <c r="B44035" i="1"/>
  <c r="A44036" i="1"/>
  <c r="B44036" i="1"/>
  <c r="A44037" i="1"/>
  <c r="B44037" i="1"/>
  <c r="A44038" i="1"/>
  <c r="B44038" i="1"/>
  <c r="A44039" i="1"/>
  <c r="B44039" i="1"/>
  <c r="A44040" i="1"/>
  <c r="B44040" i="1"/>
  <c r="A44041" i="1"/>
  <c r="B44041" i="1"/>
  <c r="A44042" i="1"/>
  <c r="B44042" i="1"/>
  <c r="A44043" i="1"/>
  <c r="B44043" i="1"/>
  <c r="A44044" i="1"/>
  <c r="B44044" i="1"/>
  <c r="A44045" i="1"/>
  <c r="B44045" i="1"/>
  <c r="A44046" i="1"/>
  <c r="B44046" i="1"/>
  <c r="A44047" i="1"/>
  <c r="B44047" i="1"/>
  <c r="A44048" i="1"/>
  <c r="B44048" i="1"/>
  <c r="A44049" i="1"/>
  <c r="B44049" i="1"/>
  <c r="A44050" i="1"/>
  <c r="B44050" i="1"/>
  <c r="A44051" i="1"/>
  <c r="B44051" i="1"/>
  <c r="A44052" i="1"/>
  <c r="B44052" i="1"/>
  <c r="A44053" i="1"/>
  <c r="B44053" i="1"/>
  <c r="A44054" i="1"/>
  <c r="B44054" i="1"/>
  <c r="A44055" i="1"/>
  <c r="B44055" i="1"/>
  <c r="A44056" i="1"/>
  <c r="B44056" i="1"/>
  <c r="A44057" i="1"/>
  <c r="B44057" i="1"/>
  <c r="A44058" i="1"/>
  <c r="B44058" i="1"/>
  <c r="A44059" i="1"/>
  <c r="B44059" i="1"/>
  <c r="A44060" i="1"/>
  <c r="B44060" i="1"/>
  <c r="A44061" i="1"/>
  <c r="B44061" i="1"/>
  <c r="A44062" i="1"/>
  <c r="B44062" i="1"/>
  <c r="A44063" i="1"/>
  <c r="B44063" i="1"/>
  <c r="A44064" i="1"/>
  <c r="B44064" i="1"/>
  <c r="A44065" i="1"/>
  <c r="B44065" i="1"/>
  <c r="A44066" i="1"/>
  <c r="B44066" i="1"/>
  <c r="A44067" i="1"/>
  <c r="B44067" i="1"/>
  <c r="A44068" i="1"/>
  <c r="B44068" i="1"/>
  <c r="A44069" i="1"/>
  <c r="B44069" i="1"/>
  <c r="A44070" i="1"/>
  <c r="B44070" i="1"/>
  <c r="A44071" i="1"/>
  <c r="B44071" i="1"/>
  <c r="A44072" i="1"/>
  <c r="B44072" i="1"/>
  <c r="A44073" i="1"/>
  <c r="B44073" i="1"/>
  <c r="A44074" i="1"/>
  <c r="B44074" i="1"/>
  <c r="A44075" i="1"/>
  <c r="B44075" i="1"/>
  <c r="A44076" i="1"/>
  <c r="B44076" i="1"/>
  <c r="A44077" i="1"/>
  <c r="B44077" i="1"/>
  <c r="A44078" i="1"/>
  <c r="B44078" i="1"/>
  <c r="A44079" i="1"/>
  <c r="B44079" i="1"/>
  <c r="A44080" i="1"/>
  <c r="B44080" i="1"/>
  <c r="A44081" i="1"/>
  <c r="B44081" i="1"/>
  <c r="A44082" i="1"/>
  <c r="B44082" i="1"/>
  <c r="A44083" i="1"/>
  <c r="B44083" i="1"/>
  <c r="A44084" i="1"/>
  <c r="B44084" i="1"/>
  <c r="A44085" i="1"/>
  <c r="B44085" i="1"/>
  <c r="A44086" i="1"/>
  <c r="B44086" i="1"/>
  <c r="A44087" i="1"/>
  <c r="B44087" i="1"/>
  <c r="A44088" i="1"/>
  <c r="B44088" i="1"/>
  <c r="A44089" i="1"/>
  <c r="B44089" i="1"/>
  <c r="A44090" i="1"/>
  <c r="B44090" i="1"/>
  <c r="A44091" i="1"/>
  <c r="B44091" i="1"/>
  <c r="A44092" i="1"/>
  <c r="B44092" i="1"/>
  <c r="A44093" i="1"/>
  <c r="B44093" i="1"/>
  <c r="A44094" i="1"/>
  <c r="B44094" i="1"/>
  <c r="A44095" i="1"/>
  <c r="B44095" i="1"/>
  <c r="A44096" i="1"/>
  <c r="B44096" i="1"/>
  <c r="A44097" i="1"/>
  <c r="B44097" i="1"/>
  <c r="A44098" i="1"/>
  <c r="B44098" i="1"/>
  <c r="A44099" i="1"/>
  <c r="B44099" i="1"/>
  <c r="A44100" i="1"/>
  <c r="B44100" i="1"/>
  <c r="A44101" i="1"/>
  <c r="B44101" i="1"/>
  <c r="A44102" i="1"/>
  <c r="B44102" i="1"/>
  <c r="A44103" i="1"/>
  <c r="B44103" i="1"/>
  <c r="A44104" i="1"/>
  <c r="B44104" i="1"/>
  <c r="A44105" i="1"/>
  <c r="B44105" i="1"/>
  <c r="A44106" i="1"/>
  <c r="B44106" i="1"/>
  <c r="A44107" i="1"/>
  <c r="B44107" i="1"/>
  <c r="A44108" i="1"/>
  <c r="B44108" i="1"/>
  <c r="A44109" i="1"/>
  <c r="B44109" i="1"/>
  <c r="A44110" i="1"/>
  <c r="B44110" i="1"/>
  <c r="A44111" i="1"/>
  <c r="B44111" i="1"/>
  <c r="A44112" i="1"/>
  <c r="B44112" i="1"/>
  <c r="A44113" i="1"/>
  <c r="B44113" i="1"/>
  <c r="A44114" i="1"/>
  <c r="B44114" i="1"/>
  <c r="A44115" i="1"/>
  <c r="B44115" i="1"/>
  <c r="A44116" i="1"/>
  <c r="B44116" i="1"/>
  <c r="A44117" i="1"/>
  <c r="B44117" i="1"/>
  <c r="A44118" i="1"/>
  <c r="B44118" i="1"/>
  <c r="A44119" i="1"/>
  <c r="B44119" i="1"/>
  <c r="A44120" i="1"/>
  <c r="B44120" i="1"/>
  <c r="A44121" i="1"/>
  <c r="B44121" i="1"/>
  <c r="A44122" i="1"/>
  <c r="B44122" i="1"/>
  <c r="A44123" i="1"/>
  <c r="B44123" i="1"/>
  <c r="A44124" i="1"/>
  <c r="B44124" i="1"/>
  <c r="A44125" i="1"/>
  <c r="B44125" i="1"/>
  <c r="A44126" i="1"/>
  <c r="B44126" i="1"/>
  <c r="A44127" i="1"/>
  <c r="B44127" i="1"/>
  <c r="A44128" i="1"/>
  <c r="B44128" i="1"/>
  <c r="A44129" i="1"/>
  <c r="B44129" i="1"/>
  <c r="A44130" i="1"/>
  <c r="B44130" i="1"/>
  <c r="A44131" i="1"/>
  <c r="B44131" i="1"/>
  <c r="A44132" i="1"/>
  <c r="B44132" i="1"/>
  <c r="A44133" i="1"/>
  <c r="B44133" i="1"/>
  <c r="A44134" i="1"/>
  <c r="B44134" i="1"/>
  <c r="A44135" i="1"/>
  <c r="B44135" i="1"/>
  <c r="A44136" i="1"/>
  <c r="B44136" i="1"/>
  <c r="A44137" i="1"/>
  <c r="B44137" i="1"/>
  <c r="A44138" i="1"/>
  <c r="B44138" i="1"/>
  <c r="A44139" i="1"/>
  <c r="B44139" i="1"/>
  <c r="A44140" i="1"/>
  <c r="B44140" i="1"/>
  <c r="A44141" i="1"/>
  <c r="B44141" i="1"/>
  <c r="A44142" i="1"/>
  <c r="B44142" i="1"/>
  <c r="A44143" i="1"/>
  <c r="B44143" i="1"/>
  <c r="A44144" i="1"/>
  <c r="B44144" i="1"/>
  <c r="A44145" i="1"/>
  <c r="B44145" i="1"/>
  <c r="A44146" i="1"/>
  <c r="B44146" i="1"/>
  <c r="A44147" i="1"/>
  <c r="B44147" i="1"/>
  <c r="A44148" i="1"/>
  <c r="B44148" i="1"/>
  <c r="A44149" i="1"/>
  <c r="B44149" i="1"/>
  <c r="A44150" i="1"/>
  <c r="B44150" i="1"/>
  <c r="A44151" i="1"/>
  <c r="B44151" i="1"/>
  <c r="A44152" i="1"/>
  <c r="B44152" i="1"/>
  <c r="A44153" i="1"/>
  <c r="B44153" i="1"/>
  <c r="A44154" i="1"/>
  <c r="B44154" i="1"/>
  <c r="A44155" i="1"/>
  <c r="B44155" i="1"/>
  <c r="A44156" i="1"/>
  <c r="B44156" i="1"/>
  <c r="A44157" i="1"/>
  <c r="B44157" i="1"/>
  <c r="A44158" i="1"/>
  <c r="B44158" i="1"/>
  <c r="A44159" i="1"/>
  <c r="B44159" i="1"/>
  <c r="A44160" i="1"/>
  <c r="B44160" i="1"/>
  <c r="A44161" i="1"/>
  <c r="B44161" i="1"/>
  <c r="A44162" i="1"/>
  <c r="B44162" i="1"/>
  <c r="A44163" i="1"/>
  <c r="B44163" i="1"/>
  <c r="A44164" i="1"/>
  <c r="B44164" i="1"/>
  <c r="A44165" i="1"/>
  <c r="B44165" i="1"/>
  <c r="A44166" i="1"/>
  <c r="B44166" i="1"/>
  <c r="A44167" i="1"/>
  <c r="B44167" i="1"/>
  <c r="A44168" i="1"/>
  <c r="B44168" i="1"/>
  <c r="A44169" i="1"/>
  <c r="B44169" i="1"/>
  <c r="A44170" i="1"/>
  <c r="B44170" i="1"/>
  <c r="A44171" i="1"/>
  <c r="B44171" i="1"/>
  <c r="A44172" i="1"/>
  <c r="B44172" i="1"/>
  <c r="A44173" i="1"/>
  <c r="B44173" i="1"/>
  <c r="A44174" i="1"/>
  <c r="B44174" i="1"/>
  <c r="A44175" i="1"/>
  <c r="B44175" i="1"/>
  <c r="A44176" i="1"/>
  <c r="B44176" i="1"/>
  <c r="A44177" i="1"/>
  <c r="B44177" i="1"/>
  <c r="A44178" i="1"/>
  <c r="B44178" i="1"/>
  <c r="A44179" i="1"/>
  <c r="B44179" i="1"/>
  <c r="A44180" i="1"/>
  <c r="B44180" i="1"/>
  <c r="A44181" i="1"/>
  <c r="B44181" i="1"/>
  <c r="A44182" i="1"/>
  <c r="B44182" i="1"/>
  <c r="A44183" i="1"/>
  <c r="B44183" i="1"/>
  <c r="A44184" i="1"/>
  <c r="B44184" i="1"/>
  <c r="A44185" i="1"/>
  <c r="B44185" i="1"/>
  <c r="A44186" i="1"/>
  <c r="B44186" i="1"/>
  <c r="A44187" i="1"/>
  <c r="B44187" i="1"/>
  <c r="A44188" i="1"/>
  <c r="B44188" i="1"/>
  <c r="A44189" i="1"/>
  <c r="B44189" i="1"/>
  <c r="A44190" i="1"/>
  <c r="B44190" i="1"/>
  <c r="A44191" i="1"/>
  <c r="B44191" i="1"/>
  <c r="A44192" i="1"/>
  <c r="B44192" i="1"/>
  <c r="A44193" i="1"/>
  <c r="B44193" i="1"/>
  <c r="A44194" i="1"/>
  <c r="B44194" i="1"/>
  <c r="A44195" i="1"/>
  <c r="B44195" i="1"/>
  <c r="A44196" i="1"/>
  <c r="B44196" i="1"/>
  <c r="A44197" i="1"/>
  <c r="B44197" i="1"/>
  <c r="A44198" i="1"/>
  <c r="B44198" i="1"/>
  <c r="A44199" i="1"/>
  <c r="B44199" i="1"/>
  <c r="A44200" i="1"/>
  <c r="B44200" i="1"/>
  <c r="A44201" i="1"/>
  <c r="B44201" i="1"/>
  <c r="A44202" i="1"/>
  <c r="B44202" i="1"/>
  <c r="A44203" i="1"/>
  <c r="B44203" i="1"/>
  <c r="A44204" i="1"/>
  <c r="B44204" i="1"/>
  <c r="A44205" i="1"/>
  <c r="B44205" i="1"/>
  <c r="A44206" i="1"/>
  <c r="B44206" i="1"/>
  <c r="A44207" i="1"/>
  <c r="B44207" i="1"/>
  <c r="A44208" i="1"/>
  <c r="B44208" i="1"/>
  <c r="A44209" i="1"/>
  <c r="B44209" i="1"/>
  <c r="A44210" i="1"/>
  <c r="B44210" i="1"/>
  <c r="A44211" i="1"/>
  <c r="B44211" i="1"/>
  <c r="A44212" i="1"/>
  <c r="B44212" i="1"/>
  <c r="A44213" i="1"/>
  <c r="B44213" i="1"/>
  <c r="A44214" i="1"/>
  <c r="B44214" i="1"/>
  <c r="A44215" i="1"/>
  <c r="B44215" i="1"/>
  <c r="A44216" i="1"/>
  <c r="B44216" i="1"/>
  <c r="A44217" i="1"/>
  <c r="B44217" i="1"/>
  <c r="A44218" i="1"/>
  <c r="B44218" i="1"/>
  <c r="A44219" i="1"/>
  <c r="B44219" i="1"/>
  <c r="A44220" i="1"/>
  <c r="B44220" i="1"/>
  <c r="A44221" i="1"/>
  <c r="B44221" i="1"/>
  <c r="A44222" i="1"/>
  <c r="B44222" i="1"/>
  <c r="A44223" i="1"/>
  <c r="B44223" i="1"/>
  <c r="A44224" i="1"/>
  <c r="B44224" i="1"/>
  <c r="A44225" i="1"/>
  <c r="B44225" i="1"/>
  <c r="A44226" i="1"/>
  <c r="B44226" i="1"/>
  <c r="A44227" i="1"/>
  <c r="B44227" i="1"/>
  <c r="A44228" i="1"/>
  <c r="B44228" i="1"/>
  <c r="A44229" i="1"/>
  <c r="B44229" i="1"/>
  <c r="A44230" i="1"/>
  <c r="B44230" i="1"/>
  <c r="A44231" i="1"/>
  <c r="B44231" i="1"/>
  <c r="A44232" i="1"/>
  <c r="B44232" i="1"/>
  <c r="A44233" i="1"/>
  <c r="B44233" i="1"/>
  <c r="A44234" i="1"/>
  <c r="B44234" i="1"/>
  <c r="A44235" i="1"/>
  <c r="B44235" i="1"/>
  <c r="A44236" i="1"/>
  <c r="B44236" i="1"/>
  <c r="A44237" i="1"/>
  <c r="B44237" i="1"/>
  <c r="A44238" i="1"/>
  <c r="B44238" i="1"/>
  <c r="A44239" i="1"/>
  <c r="B44239" i="1"/>
  <c r="A44240" i="1"/>
  <c r="B44240" i="1"/>
  <c r="A44241" i="1"/>
  <c r="B44241" i="1"/>
  <c r="A44242" i="1"/>
  <c r="B44242" i="1"/>
  <c r="A44243" i="1"/>
  <c r="B44243" i="1"/>
  <c r="A44244" i="1"/>
  <c r="B44244" i="1"/>
  <c r="A44245" i="1"/>
  <c r="B44245" i="1"/>
  <c r="A44246" i="1"/>
  <c r="B44246" i="1"/>
  <c r="A44247" i="1"/>
  <c r="B44247" i="1"/>
  <c r="A44248" i="1"/>
  <c r="B44248" i="1"/>
  <c r="A44249" i="1"/>
  <c r="B44249" i="1"/>
  <c r="A44250" i="1"/>
  <c r="B44250" i="1"/>
  <c r="A44251" i="1"/>
  <c r="B44251" i="1"/>
  <c r="A44252" i="1"/>
  <c r="B44252" i="1"/>
  <c r="A44253" i="1"/>
  <c r="B44253" i="1"/>
  <c r="A44254" i="1"/>
  <c r="B44254" i="1"/>
  <c r="A44255" i="1"/>
  <c r="B44255" i="1"/>
  <c r="A44256" i="1"/>
  <c r="B44256" i="1"/>
  <c r="A44257" i="1"/>
  <c r="B44257" i="1"/>
  <c r="A44258" i="1"/>
  <c r="B44258" i="1"/>
  <c r="A44259" i="1"/>
  <c r="B44259" i="1"/>
  <c r="A44260" i="1"/>
  <c r="B44260" i="1"/>
  <c r="A44261" i="1"/>
  <c r="B44261" i="1"/>
  <c r="A44262" i="1"/>
  <c r="B44262" i="1"/>
  <c r="A44263" i="1"/>
  <c r="B44263" i="1"/>
  <c r="A44264" i="1"/>
  <c r="B44264" i="1"/>
  <c r="A44265" i="1"/>
  <c r="B44265" i="1"/>
  <c r="A44266" i="1"/>
  <c r="B44266" i="1"/>
  <c r="A44267" i="1"/>
  <c r="B44267" i="1"/>
  <c r="A44268" i="1"/>
  <c r="B44268" i="1"/>
  <c r="A44269" i="1"/>
  <c r="B44269" i="1"/>
  <c r="A44270" i="1"/>
  <c r="B44270" i="1"/>
  <c r="A44271" i="1"/>
  <c r="B44271" i="1"/>
  <c r="A44272" i="1"/>
  <c r="B44272" i="1"/>
  <c r="A44273" i="1"/>
  <c r="B44273" i="1"/>
  <c r="A44274" i="1"/>
  <c r="B44274" i="1"/>
  <c r="A44275" i="1"/>
  <c r="B44275" i="1"/>
  <c r="A44276" i="1"/>
  <c r="B44276" i="1"/>
  <c r="A44277" i="1"/>
  <c r="B44277" i="1"/>
  <c r="A44278" i="1"/>
  <c r="B44278" i="1"/>
  <c r="A44279" i="1"/>
  <c r="B44279" i="1"/>
  <c r="A44280" i="1"/>
  <c r="B44280" i="1"/>
  <c r="A44281" i="1"/>
  <c r="B44281" i="1"/>
  <c r="A44282" i="1"/>
  <c r="B44282" i="1"/>
  <c r="A44283" i="1"/>
  <c r="B44283" i="1"/>
  <c r="A44284" i="1"/>
  <c r="B44284" i="1"/>
  <c r="A44285" i="1"/>
  <c r="B44285" i="1"/>
  <c r="A44286" i="1"/>
  <c r="B44286" i="1"/>
  <c r="A44287" i="1"/>
  <c r="B44287" i="1"/>
  <c r="A44288" i="1"/>
  <c r="B44288" i="1"/>
  <c r="A44289" i="1"/>
  <c r="B44289" i="1"/>
  <c r="A44290" i="1"/>
  <c r="B44290" i="1"/>
  <c r="A44291" i="1"/>
  <c r="B44291" i="1"/>
  <c r="A44292" i="1"/>
  <c r="B44292" i="1"/>
  <c r="A44293" i="1"/>
  <c r="B44293" i="1"/>
  <c r="A44294" i="1"/>
  <c r="B44294" i="1"/>
  <c r="A44295" i="1"/>
  <c r="B44295" i="1"/>
  <c r="A44296" i="1"/>
  <c r="B44296" i="1"/>
  <c r="A44297" i="1"/>
  <c r="B44297" i="1"/>
  <c r="A44298" i="1"/>
  <c r="B44298" i="1"/>
  <c r="A44299" i="1"/>
  <c r="B44299" i="1"/>
  <c r="A44300" i="1"/>
  <c r="B44300" i="1"/>
  <c r="A44301" i="1"/>
  <c r="B44301" i="1"/>
  <c r="A44302" i="1"/>
  <c r="B44302" i="1"/>
  <c r="A44303" i="1"/>
  <c r="B44303" i="1"/>
  <c r="A44304" i="1"/>
  <c r="B44304" i="1"/>
  <c r="A44305" i="1"/>
  <c r="B44305" i="1"/>
  <c r="A44306" i="1"/>
  <c r="B44306" i="1"/>
  <c r="A44307" i="1"/>
  <c r="B44307" i="1"/>
  <c r="A44308" i="1"/>
  <c r="B44308" i="1"/>
  <c r="A44309" i="1"/>
  <c r="B44309" i="1"/>
  <c r="A44310" i="1"/>
  <c r="B44310" i="1"/>
  <c r="A44311" i="1"/>
  <c r="B44311" i="1"/>
  <c r="A44312" i="1"/>
  <c r="B44312" i="1"/>
  <c r="A44313" i="1"/>
  <c r="B44313" i="1"/>
  <c r="A44314" i="1"/>
  <c r="B44314" i="1"/>
  <c r="A44315" i="1"/>
  <c r="B44315" i="1"/>
  <c r="A44316" i="1"/>
  <c r="B44316" i="1"/>
  <c r="A44317" i="1"/>
  <c r="B44317" i="1"/>
  <c r="A44318" i="1"/>
  <c r="B44318" i="1"/>
  <c r="A44319" i="1"/>
  <c r="B44319" i="1"/>
  <c r="A44320" i="1"/>
  <c r="B44320" i="1"/>
  <c r="A44321" i="1"/>
  <c r="B44321" i="1"/>
  <c r="A44322" i="1"/>
  <c r="B44322" i="1"/>
  <c r="A44323" i="1"/>
  <c r="B44323" i="1"/>
  <c r="A44324" i="1"/>
  <c r="B44324" i="1"/>
  <c r="A44325" i="1"/>
  <c r="B44325" i="1"/>
  <c r="A44326" i="1"/>
  <c r="B44326" i="1"/>
  <c r="A44327" i="1"/>
  <c r="B44327" i="1"/>
  <c r="A44328" i="1"/>
  <c r="B44328" i="1"/>
  <c r="A44329" i="1"/>
  <c r="B44329" i="1"/>
  <c r="A44330" i="1"/>
  <c r="B44330" i="1"/>
  <c r="A44331" i="1"/>
  <c r="B44331" i="1"/>
  <c r="A44332" i="1"/>
  <c r="B44332" i="1"/>
  <c r="A44333" i="1"/>
  <c r="B44333" i="1"/>
  <c r="A44334" i="1"/>
  <c r="B44334" i="1"/>
  <c r="A44335" i="1"/>
  <c r="B44335" i="1"/>
  <c r="A44336" i="1"/>
  <c r="B44336" i="1"/>
  <c r="A44337" i="1"/>
  <c r="B44337" i="1"/>
  <c r="A44338" i="1"/>
  <c r="B44338" i="1"/>
  <c r="A44339" i="1"/>
  <c r="B44339" i="1"/>
  <c r="A44340" i="1"/>
  <c r="B44340" i="1"/>
  <c r="A44341" i="1"/>
  <c r="B44341" i="1"/>
  <c r="A44342" i="1"/>
  <c r="B44342" i="1"/>
  <c r="A44343" i="1"/>
  <c r="B44343" i="1"/>
  <c r="A44344" i="1"/>
  <c r="B44344" i="1"/>
  <c r="A44345" i="1"/>
  <c r="B44345" i="1"/>
  <c r="A44346" i="1"/>
  <c r="B44346" i="1"/>
  <c r="A44347" i="1"/>
  <c r="B44347" i="1"/>
  <c r="A44348" i="1"/>
  <c r="B44348" i="1"/>
  <c r="A44349" i="1"/>
  <c r="B44349" i="1"/>
  <c r="A44350" i="1"/>
  <c r="B44350" i="1"/>
  <c r="A44351" i="1"/>
  <c r="B44351" i="1"/>
  <c r="A44352" i="1"/>
  <c r="B44352" i="1"/>
  <c r="A44353" i="1"/>
  <c r="B44353" i="1"/>
  <c r="A44354" i="1"/>
  <c r="B44354" i="1"/>
  <c r="A44355" i="1"/>
  <c r="B44355" i="1"/>
  <c r="A44356" i="1"/>
  <c r="B44356" i="1"/>
  <c r="A44357" i="1"/>
  <c r="B44357" i="1"/>
  <c r="A44358" i="1"/>
  <c r="B44358" i="1"/>
  <c r="A44359" i="1"/>
  <c r="B44359" i="1"/>
  <c r="A44360" i="1"/>
  <c r="B44360" i="1"/>
  <c r="A44361" i="1"/>
  <c r="B44361" i="1"/>
  <c r="A44362" i="1"/>
  <c r="B44362" i="1"/>
  <c r="A44363" i="1"/>
  <c r="B44363" i="1"/>
  <c r="A44364" i="1"/>
  <c r="B44364" i="1"/>
  <c r="A44365" i="1"/>
  <c r="B44365" i="1"/>
  <c r="A44366" i="1"/>
  <c r="B44366" i="1"/>
  <c r="A44367" i="1"/>
  <c r="B44367" i="1"/>
  <c r="A44368" i="1"/>
  <c r="B44368" i="1"/>
  <c r="A44369" i="1"/>
  <c r="B44369" i="1"/>
  <c r="A44370" i="1"/>
  <c r="B44370" i="1"/>
  <c r="A44371" i="1"/>
  <c r="B44371" i="1"/>
  <c r="A44372" i="1"/>
  <c r="B44372" i="1"/>
  <c r="A44373" i="1"/>
  <c r="B44373" i="1"/>
  <c r="A44374" i="1"/>
  <c r="B44374" i="1"/>
  <c r="A44375" i="1"/>
  <c r="B44375" i="1"/>
  <c r="A44376" i="1"/>
  <c r="B44376" i="1"/>
  <c r="A44377" i="1"/>
  <c r="B44377" i="1"/>
  <c r="A44378" i="1"/>
  <c r="B44378" i="1"/>
  <c r="A44379" i="1"/>
  <c r="B44379" i="1"/>
  <c r="A44380" i="1"/>
  <c r="B44380" i="1"/>
  <c r="A44381" i="1"/>
  <c r="B44381" i="1"/>
  <c r="A44382" i="1"/>
  <c r="B44382" i="1"/>
  <c r="A44383" i="1"/>
  <c r="B44383" i="1"/>
  <c r="A44384" i="1"/>
  <c r="B44384" i="1"/>
  <c r="A44385" i="1"/>
  <c r="B44385" i="1"/>
  <c r="A44386" i="1"/>
  <c r="B44386" i="1"/>
  <c r="A44387" i="1"/>
  <c r="B44387" i="1"/>
  <c r="A44388" i="1"/>
  <c r="B44388" i="1"/>
  <c r="A44389" i="1"/>
  <c r="B44389" i="1"/>
  <c r="A44390" i="1"/>
  <c r="B44390" i="1"/>
  <c r="A44391" i="1"/>
  <c r="B44391" i="1"/>
  <c r="A44392" i="1"/>
  <c r="B44392" i="1"/>
  <c r="A44393" i="1"/>
  <c r="B44393" i="1"/>
  <c r="A44394" i="1"/>
  <c r="B44394" i="1"/>
  <c r="A44395" i="1"/>
  <c r="B44395" i="1"/>
  <c r="A44396" i="1"/>
  <c r="B44396" i="1"/>
  <c r="A44397" i="1"/>
  <c r="B44397" i="1"/>
  <c r="A44398" i="1"/>
  <c r="B44398" i="1"/>
  <c r="A44399" i="1"/>
  <c r="B44399" i="1"/>
  <c r="A44400" i="1"/>
  <c r="B44400" i="1"/>
  <c r="A44401" i="1"/>
  <c r="B44401" i="1"/>
  <c r="A44402" i="1"/>
  <c r="B44402" i="1"/>
  <c r="A44403" i="1"/>
  <c r="B44403" i="1"/>
  <c r="A44404" i="1"/>
  <c r="B44404" i="1"/>
  <c r="A44405" i="1"/>
  <c r="B44405" i="1"/>
  <c r="A44406" i="1"/>
  <c r="B44406" i="1"/>
  <c r="A44407" i="1"/>
  <c r="B44407" i="1"/>
  <c r="A44408" i="1"/>
  <c r="B44408" i="1"/>
  <c r="A44409" i="1"/>
  <c r="B44409" i="1"/>
  <c r="A44410" i="1"/>
  <c r="B44410" i="1"/>
  <c r="A44411" i="1"/>
  <c r="B44411" i="1"/>
  <c r="A44412" i="1"/>
  <c r="B44412" i="1"/>
  <c r="A44413" i="1"/>
  <c r="B44413" i="1"/>
  <c r="A44414" i="1"/>
  <c r="B44414" i="1"/>
  <c r="A44415" i="1"/>
  <c r="B44415" i="1"/>
  <c r="A44416" i="1"/>
  <c r="B44416" i="1"/>
  <c r="A44417" i="1"/>
  <c r="B44417" i="1"/>
  <c r="A44418" i="1"/>
  <c r="B44418" i="1"/>
  <c r="A44419" i="1"/>
  <c r="B44419" i="1"/>
  <c r="A44420" i="1"/>
  <c r="B44420" i="1"/>
  <c r="A44421" i="1"/>
  <c r="B44421" i="1"/>
  <c r="A44422" i="1"/>
  <c r="B44422" i="1"/>
  <c r="A44423" i="1"/>
  <c r="B44423" i="1"/>
  <c r="A44424" i="1"/>
  <c r="B44424" i="1"/>
  <c r="A44425" i="1"/>
  <c r="B44425" i="1"/>
  <c r="A44426" i="1"/>
  <c r="B44426" i="1"/>
  <c r="A44427" i="1"/>
  <c r="B44427" i="1"/>
  <c r="A44428" i="1"/>
  <c r="B44428" i="1"/>
  <c r="A44429" i="1"/>
  <c r="B44429" i="1"/>
  <c r="A44430" i="1"/>
  <c r="B44430" i="1"/>
  <c r="A44431" i="1"/>
  <c r="B44431" i="1"/>
  <c r="A44432" i="1"/>
  <c r="B44432" i="1"/>
  <c r="A44433" i="1"/>
  <c r="B44433" i="1"/>
  <c r="A44434" i="1"/>
  <c r="B44434" i="1"/>
  <c r="A44435" i="1"/>
  <c r="B44435" i="1"/>
  <c r="A44436" i="1"/>
  <c r="B44436" i="1"/>
  <c r="A44437" i="1"/>
  <c r="B44437" i="1"/>
  <c r="A44438" i="1"/>
  <c r="B44438" i="1"/>
  <c r="A44439" i="1"/>
  <c r="B44439" i="1"/>
  <c r="A44440" i="1"/>
  <c r="B44440" i="1"/>
  <c r="A44441" i="1"/>
  <c r="B44441" i="1"/>
  <c r="A44442" i="1"/>
  <c r="B44442" i="1"/>
  <c r="A44443" i="1"/>
  <c r="B44443" i="1"/>
  <c r="A44444" i="1"/>
  <c r="B44444" i="1"/>
  <c r="A44445" i="1"/>
  <c r="B44445" i="1"/>
  <c r="A44446" i="1"/>
  <c r="B44446" i="1"/>
  <c r="A44447" i="1"/>
  <c r="B44447" i="1"/>
  <c r="A44448" i="1"/>
  <c r="B44448" i="1"/>
  <c r="A44449" i="1"/>
  <c r="B44449" i="1"/>
  <c r="A44450" i="1"/>
  <c r="B44450" i="1"/>
  <c r="A44451" i="1"/>
  <c r="B44451" i="1"/>
  <c r="A44452" i="1"/>
  <c r="B44452" i="1"/>
  <c r="A44453" i="1"/>
  <c r="B44453" i="1"/>
  <c r="A44454" i="1"/>
  <c r="B44454" i="1"/>
  <c r="A44455" i="1"/>
  <c r="B44455" i="1"/>
  <c r="A44456" i="1"/>
  <c r="B44456" i="1"/>
  <c r="A44457" i="1"/>
  <c r="B44457" i="1"/>
  <c r="A44458" i="1"/>
  <c r="B44458" i="1"/>
  <c r="A44459" i="1"/>
  <c r="B44459" i="1"/>
  <c r="A44460" i="1"/>
  <c r="B44460" i="1"/>
  <c r="A44461" i="1"/>
  <c r="B44461" i="1"/>
  <c r="A44462" i="1"/>
  <c r="B44462" i="1"/>
  <c r="A44463" i="1"/>
  <c r="B44463" i="1"/>
  <c r="A44464" i="1"/>
  <c r="B44464" i="1"/>
  <c r="A44465" i="1"/>
  <c r="B44465" i="1"/>
  <c r="A44466" i="1"/>
  <c r="B44466" i="1"/>
  <c r="A44467" i="1"/>
  <c r="B44467" i="1"/>
  <c r="A44468" i="1"/>
  <c r="B44468" i="1"/>
  <c r="A44469" i="1"/>
  <c r="B44469" i="1"/>
  <c r="A44470" i="1"/>
  <c r="B44470" i="1"/>
  <c r="A44471" i="1"/>
  <c r="B44471" i="1"/>
  <c r="A44472" i="1"/>
  <c r="B44472" i="1"/>
  <c r="A44473" i="1"/>
  <c r="B44473" i="1"/>
  <c r="A44474" i="1"/>
  <c r="B44474" i="1"/>
  <c r="A44475" i="1"/>
  <c r="B44475" i="1"/>
  <c r="A44476" i="1"/>
  <c r="B44476" i="1"/>
  <c r="A44477" i="1"/>
  <c r="B44477" i="1"/>
  <c r="A44478" i="1"/>
  <c r="B44478" i="1"/>
  <c r="A44479" i="1"/>
  <c r="B44479" i="1"/>
  <c r="A44480" i="1"/>
  <c r="B44480" i="1"/>
  <c r="A44481" i="1"/>
  <c r="B44481" i="1"/>
  <c r="A44482" i="1"/>
  <c r="B44482" i="1"/>
  <c r="A44483" i="1"/>
  <c r="B44483" i="1"/>
  <c r="A44484" i="1"/>
  <c r="B44484" i="1"/>
  <c r="A44485" i="1"/>
  <c r="B44485" i="1"/>
  <c r="A44486" i="1"/>
  <c r="B44486" i="1"/>
  <c r="A44487" i="1"/>
  <c r="B44487" i="1"/>
  <c r="A44488" i="1"/>
  <c r="B44488" i="1"/>
  <c r="A44489" i="1"/>
  <c r="B44489" i="1"/>
  <c r="A44490" i="1"/>
  <c r="B44490" i="1"/>
  <c r="A44491" i="1"/>
  <c r="B44491" i="1"/>
  <c r="A44492" i="1"/>
  <c r="B44492" i="1"/>
  <c r="A44493" i="1"/>
  <c r="B44493" i="1"/>
  <c r="A44494" i="1"/>
  <c r="B44494" i="1"/>
  <c r="A44495" i="1"/>
  <c r="B44495" i="1"/>
  <c r="A44496" i="1"/>
  <c r="B44496" i="1"/>
  <c r="A44497" i="1"/>
  <c r="B44497" i="1"/>
  <c r="A44498" i="1"/>
  <c r="B44498" i="1"/>
  <c r="A44499" i="1"/>
  <c r="B44499" i="1"/>
  <c r="A44500" i="1"/>
  <c r="B44500" i="1"/>
  <c r="A44501" i="1"/>
  <c r="B44501" i="1"/>
  <c r="A44502" i="1"/>
  <c r="B44502" i="1"/>
  <c r="A44503" i="1"/>
  <c r="B44503" i="1"/>
  <c r="A44504" i="1"/>
  <c r="B44504" i="1"/>
  <c r="A44505" i="1"/>
  <c r="B44505" i="1"/>
  <c r="A44506" i="1"/>
  <c r="B44506" i="1"/>
  <c r="A44507" i="1"/>
  <c r="B44507" i="1"/>
  <c r="A44508" i="1"/>
  <c r="B44508" i="1"/>
  <c r="A44509" i="1"/>
  <c r="B44509" i="1"/>
  <c r="A44510" i="1"/>
  <c r="B44510" i="1"/>
  <c r="A44511" i="1"/>
  <c r="B44511" i="1"/>
  <c r="A44512" i="1"/>
  <c r="B44512" i="1"/>
  <c r="A44513" i="1"/>
  <c r="B44513" i="1"/>
  <c r="A44514" i="1"/>
  <c r="B44514" i="1"/>
  <c r="A44515" i="1"/>
  <c r="B44515" i="1"/>
  <c r="A44516" i="1"/>
  <c r="B44516" i="1"/>
  <c r="A44517" i="1"/>
  <c r="B44517" i="1"/>
  <c r="A44518" i="1"/>
  <c r="B44518" i="1"/>
  <c r="A44519" i="1"/>
  <c r="B44519" i="1"/>
  <c r="A44520" i="1"/>
  <c r="B44520" i="1"/>
  <c r="A44521" i="1"/>
  <c r="B44521" i="1"/>
  <c r="A44522" i="1"/>
  <c r="B44522" i="1"/>
  <c r="A44523" i="1"/>
  <c r="B44523" i="1"/>
  <c r="A44524" i="1"/>
  <c r="B44524" i="1"/>
  <c r="A44525" i="1"/>
  <c r="B44525" i="1"/>
  <c r="A44526" i="1"/>
  <c r="B44526" i="1"/>
  <c r="A44527" i="1"/>
  <c r="B44527" i="1"/>
  <c r="A44528" i="1"/>
  <c r="B44528" i="1"/>
  <c r="A44529" i="1"/>
  <c r="B44529" i="1"/>
  <c r="A44530" i="1"/>
  <c r="B44530" i="1"/>
  <c r="A44531" i="1"/>
  <c r="B44531" i="1"/>
  <c r="A44532" i="1"/>
  <c r="B44532" i="1"/>
  <c r="A44533" i="1"/>
  <c r="B44533" i="1"/>
  <c r="A44534" i="1"/>
  <c r="B44534" i="1"/>
  <c r="A44535" i="1"/>
  <c r="B44535" i="1"/>
  <c r="A44536" i="1"/>
  <c r="B44536" i="1"/>
  <c r="A44537" i="1"/>
  <c r="B44537" i="1"/>
  <c r="A44538" i="1"/>
  <c r="B44538" i="1"/>
  <c r="A44539" i="1"/>
  <c r="B44539" i="1"/>
  <c r="A44540" i="1"/>
  <c r="B44540" i="1"/>
  <c r="A44541" i="1"/>
  <c r="B44541" i="1"/>
  <c r="A44542" i="1"/>
  <c r="B44542" i="1"/>
  <c r="A44543" i="1"/>
  <c r="B44543" i="1"/>
  <c r="A44544" i="1"/>
  <c r="B44544" i="1"/>
  <c r="A44545" i="1"/>
  <c r="B44545" i="1"/>
  <c r="A44546" i="1"/>
  <c r="B44546" i="1"/>
  <c r="A44547" i="1"/>
  <c r="B44547" i="1"/>
  <c r="A44548" i="1"/>
  <c r="B44548" i="1"/>
  <c r="A44549" i="1"/>
  <c r="B44549" i="1"/>
  <c r="A44550" i="1"/>
  <c r="B44550" i="1"/>
  <c r="A44551" i="1"/>
  <c r="B44551" i="1"/>
  <c r="A44552" i="1"/>
  <c r="B44552" i="1"/>
  <c r="A44553" i="1"/>
  <c r="B44553" i="1"/>
  <c r="A44554" i="1"/>
  <c r="B44554" i="1"/>
  <c r="A44555" i="1"/>
  <c r="B44555" i="1"/>
  <c r="A44556" i="1"/>
  <c r="B44556" i="1"/>
  <c r="A44557" i="1"/>
  <c r="B44557" i="1"/>
  <c r="A44558" i="1"/>
  <c r="B44558" i="1"/>
  <c r="A44559" i="1"/>
  <c r="B44559" i="1"/>
  <c r="A44560" i="1"/>
  <c r="B44560" i="1"/>
  <c r="A44561" i="1"/>
  <c r="B44561" i="1"/>
  <c r="A44562" i="1"/>
  <c r="B44562" i="1"/>
  <c r="A44563" i="1"/>
  <c r="B44563" i="1"/>
  <c r="A44564" i="1"/>
  <c r="B44564" i="1"/>
  <c r="A44565" i="1"/>
  <c r="B44565" i="1"/>
  <c r="A44566" i="1"/>
  <c r="B44566" i="1"/>
  <c r="A44567" i="1"/>
  <c r="B44567" i="1"/>
  <c r="A44568" i="1"/>
  <c r="B44568" i="1"/>
  <c r="A44569" i="1"/>
  <c r="B44569" i="1"/>
  <c r="A44570" i="1"/>
  <c r="B44570" i="1"/>
  <c r="A44571" i="1"/>
  <c r="B44571" i="1"/>
  <c r="A44572" i="1"/>
  <c r="B44572" i="1"/>
  <c r="A44573" i="1"/>
  <c r="B44573" i="1"/>
  <c r="A44574" i="1"/>
  <c r="B44574" i="1"/>
  <c r="A44575" i="1"/>
  <c r="B44575" i="1"/>
  <c r="A44576" i="1"/>
  <c r="B44576" i="1"/>
  <c r="A44577" i="1"/>
  <c r="B44577" i="1"/>
  <c r="A44578" i="1"/>
  <c r="B44578" i="1"/>
  <c r="A44579" i="1"/>
  <c r="B44579" i="1"/>
  <c r="A44580" i="1"/>
  <c r="B44580" i="1"/>
  <c r="A44581" i="1"/>
  <c r="B44581" i="1"/>
  <c r="A44582" i="1"/>
  <c r="B44582" i="1"/>
  <c r="A44583" i="1"/>
  <c r="B44583" i="1"/>
  <c r="A44584" i="1"/>
  <c r="B44584" i="1"/>
  <c r="A44585" i="1"/>
  <c r="B44585" i="1"/>
  <c r="A44586" i="1"/>
  <c r="B44586" i="1"/>
  <c r="A44587" i="1"/>
  <c r="B44587" i="1"/>
  <c r="A44588" i="1"/>
  <c r="B44588" i="1"/>
  <c r="A44589" i="1"/>
  <c r="B44589" i="1"/>
  <c r="A44590" i="1"/>
  <c r="B44590" i="1"/>
  <c r="A44591" i="1"/>
  <c r="B44591" i="1"/>
  <c r="A44592" i="1"/>
  <c r="B44592" i="1"/>
  <c r="A44593" i="1"/>
  <c r="B44593" i="1"/>
  <c r="A44594" i="1"/>
  <c r="B44594" i="1"/>
  <c r="A44595" i="1"/>
  <c r="B44595" i="1"/>
  <c r="A44596" i="1"/>
  <c r="B44596" i="1"/>
  <c r="A44597" i="1"/>
  <c r="B44597" i="1"/>
  <c r="A44598" i="1"/>
  <c r="B44598" i="1"/>
  <c r="A44599" i="1"/>
  <c r="B44599" i="1"/>
  <c r="A44600" i="1"/>
  <c r="B44600" i="1"/>
  <c r="A44601" i="1"/>
  <c r="B44601" i="1"/>
  <c r="A44602" i="1"/>
  <c r="B44602" i="1"/>
  <c r="A44603" i="1"/>
  <c r="B44603" i="1"/>
  <c r="A44604" i="1"/>
  <c r="B44604" i="1"/>
  <c r="A44605" i="1"/>
  <c r="B44605" i="1"/>
  <c r="A44606" i="1"/>
  <c r="B44606" i="1"/>
  <c r="A44607" i="1"/>
  <c r="B44607" i="1"/>
  <c r="A44608" i="1"/>
  <c r="B44608" i="1"/>
  <c r="A44609" i="1"/>
  <c r="B44609" i="1"/>
  <c r="A44610" i="1"/>
  <c r="B44610" i="1"/>
  <c r="A44611" i="1"/>
  <c r="B44611" i="1"/>
  <c r="A44612" i="1"/>
  <c r="B44612" i="1"/>
  <c r="A44613" i="1"/>
  <c r="B44613" i="1"/>
  <c r="A44614" i="1"/>
  <c r="B44614" i="1"/>
  <c r="A44615" i="1"/>
  <c r="B44615" i="1"/>
  <c r="A44616" i="1"/>
  <c r="B44616" i="1"/>
  <c r="A44617" i="1"/>
  <c r="B44617" i="1"/>
  <c r="A44618" i="1"/>
  <c r="B44618" i="1"/>
  <c r="A44619" i="1"/>
  <c r="B44619" i="1"/>
  <c r="A44620" i="1"/>
  <c r="B44620" i="1"/>
  <c r="A44621" i="1"/>
  <c r="B44621" i="1"/>
  <c r="A44622" i="1"/>
  <c r="B44622" i="1"/>
  <c r="A44623" i="1"/>
  <c r="B44623" i="1"/>
  <c r="A44624" i="1"/>
  <c r="B44624" i="1"/>
  <c r="A44625" i="1"/>
  <c r="B44625" i="1"/>
  <c r="A44626" i="1"/>
  <c r="B44626" i="1"/>
  <c r="A44627" i="1"/>
  <c r="B44627" i="1"/>
  <c r="A44628" i="1"/>
  <c r="B44628" i="1"/>
  <c r="A44629" i="1"/>
  <c r="B44629" i="1"/>
  <c r="A44630" i="1"/>
  <c r="B44630" i="1"/>
  <c r="A44631" i="1"/>
  <c r="B44631" i="1"/>
  <c r="A44632" i="1"/>
  <c r="B44632" i="1"/>
  <c r="A44633" i="1"/>
  <c r="B44633" i="1"/>
  <c r="A44634" i="1"/>
  <c r="B44634" i="1"/>
  <c r="A44635" i="1"/>
  <c r="B44635" i="1"/>
  <c r="A44636" i="1"/>
  <c r="B44636" i="1"/>
  <c r="A44637" i="1"/>
  <c r="B44637" i="1"/>
  <c r="A44638" i="1"/>
  <c r="B44638" i="1"/>
  <c r="A44639" i="1"/>
  <c r="B44639" i="1"/>
  <c r="A44640" i="1"/>
  <c r="B44640" i="1"/>
  <c r="A44641" i="1"/>
  <c r="B44641" i="1"/>
  <c r="A44642" i="1"/>
  <c r="B44642" i="1"/>
  <c r="A44643" i="1"/>
  <c r="B44643" i="1"/>
  <c r="A44644" i="1"/>
  <c r="B44644" i="1"/>
  <c r="A44645" i="1"/>
  <c r="B44645" i="1"/>
  <c r="A44646" i="1"/>
  <c r="B44646" i="1"/>
  <c r="A44647" i="1"/>
  <c r="B44647" i="1"/>
  <c r="A44648" i="1"/>
  <c r="B44648" i="1"/>
  <c r="A44649" i="1"/>
  <c r="B44649" i="1"/>
  <c r="A44650" i="1"/>
  <c r="B44650" i="1"/>
  <c r="A44651" i="1"/>
  <c r="B44651" i="1"/>
  <c r="A44652" i="1"/>
  <c r="B44652" i="1"/>
  <c r="A44653" i="1"/>
  <c r="B44653" i="1"/>
  <c r="A44654" i="1"/>
  <c r="B44654" i="1"/>
  <c r="A44655" i="1"/>
  <c r="B44655" i="1"/>
  <c r="A44656" i="1"/>
  <c r="B44656" i="1"/>
  <c r="A44657" i="1"/>
  <c r="B44657" i="1"/>
  <c r="A44658" i="1"/>
  <c r="B44658" i="1"/>
  <c r="A44659" i="1"/>
  <c r="B44659" i="1"/>
  <c r="A44660" i="1"/>
  <c r="B44660" i="1"/>
  <c r="A44661" i="1"/>
  <c r="B44661" i="1"/>
  <c r="A44662" i="1"/>
  <c r="B44662" i="1"/>
  <c r="A44663" i="1"/>
  <c r="B44663" i="1"/>
  <c r="A44664" i="1"/>
  <c r="B44664" i="1"/>
  <c r="A44665" i="1"/>
  <c r="B44665" i="1"/>
  <c r="A44666" i="1"/>
  <c r="B44666" i="1"/>
  <c r="A44667" i="1"/>
  <c r="B44667" i="1"/>
  <c r="A44668" i="1"/>
  <c r="B44668" i="1"/>
  <c r="A44669" i="1"/>
  <c r="B44669" i="1"/>
  <c r="A44670" i="1"/>
  <c r="B44670" i="1"/>
  <c r="A44671" i="1"/>
  <c r="B44671" i="1"/>
  <c r="A44672" i="1"/>
  <c r="B44672" i="1"/>
  <c r="A44673" i="1"/>
  <c r="B44673" i="1"/>
  <c r="A44674" i="1"/>
  <c r="B44674" i="1"/>
  <c r="A44675" i="1"/>
  <c r="B44675" i="1"/>
  <c r="A44676" i="1"/>
  <c r="B44676" i="1"/>
  <c r="A44677" i="1"/>
  <c r="B44677" i="1"/>
  <c r="A44678" i="1"/>
  <c r="B44678" i="1"/>
  <c r="A44679" i="1"/>
  <c r="B44679" i="1"/>
  <c r="A44680" i="1"/>
  <c r="B44680" i="1"/>
  <c r="A44681" i="1"/>
  <c r="B44681" i="1"/>
  <c r="A44682" i="1"/>
  <c r="B44682" i="1"/>
  <c r="A44683" i="1"/>
  <c r="B44683" i="1"/>
  <c r="A44684" i="1"/>
  <c r="B44684" i="1"/>
  <c r="A44685" i="1"/>
  <c r="B44685" i="1"/>
  <c r="A44686" i="1"/>
  <c r="B44686" i="1"/>
  <c r="A44687" i="1"/>
  <c r="B44687" i="1"/>
  <c r="A44688" i="1"/>
  <c r="B44688" i="1"/>
  <c r="A44689" i="1"/>
  <c r="B44689" i="1"/>
  <c r="A44690" i="1"/>
  <c r="B44690" i="1"/>
  <c r="A44691" i="1"/>
  <c r="B44691" i="1"/>
  <c r="A44692" i="1"/>
  <c r="B44692" i="1"/>
  <c r="A44693" i="1"/>
  <c r="B44693" i="1"/>
  <c r="A44694" i="1"/>
  <c r="B44694" i="1"/>
  <c r="A44695" i="1"/>
  <c r="B44695" i="1"/>
  <c r="A44696" i="1"/>
  <c r="B44696" i="1"/>
  <c r="A44697" i="1"/>
  <c r="B44697" i="1"/>
  <c r="A44698" i="1"/>
  <c r="B44698" i="1"/>
  <c r="A44699" i="1"/>
  <c r="B44699" i="1"/>
  <c r="A44700" i="1"/>
  <c r="B44700" i="1"/>
  <c r="A44701" i="1"/>
  <c r="B44701" i="1"/>
  <c r="A44702" i="1"/>
  <c r="B44702" i="1"/>
  <c r="A44703" i="1"/>
  <c r="B44703" i="1"/>
  <c r="A44704" i="1"/>
  <c r="B44704" i="1"/>
  <c r="A44705" i="1"/>
  <c r="B44705" i="1"/>
  <c r="A44706" i="1"/>
  <c r="B44706" i="1"/>
  <c r="A44707" i="1"/>
  <c r="B44707" i="1"/>
  <c r="A44708" i="1"/>
  <c r="B44708" i="1"/>
  <c r="A44709" i="1"/>
  <c r="B44709" i="1"/>
  <c r="A44710" i="1"/>
  <c r="B44710" i="1"/>
  <c r="A44711" i="1"/>
  <c r="B44711" i="1"/>
  <c r="A44712" i="1"/>
  <c r="B44712" i="1"/>
  <c r="A44713" i="1"/>
  <c r="B44713" i="1"/>
  <c r="A44714" i="1"/>
  <c r="B44714" i="1"/>
  <c r="A44715" i="1"/>
  <c r="B44715" i="1"/>
  <c r="A44716" i="1"/>
  <c r="B44716" i="1"/>
  <c r="A44717" i="1"/>
  <c r="B44717" i="1"/>
  <c r="A44718" i="1"/>
  <c r="B44718" i="1"/>
  <c r="A44719" i="1"/>
  <c r="B44719" i="1"/>
  <c r="A44720" i="1"/>
  <c r="B44720" i="1"/>
  <c r="A44721" i="1"/>
  <c r="B44721" i="1"/>
  <c r="A44722" i="1"/>
  <c r="B44722" i="1"/>
  <c r="A44723" i="1"/>
  <c r="B44723" i="1"/>
  <c r="A44724" i="1"/>
  <c r="B44724" i="1"/>
  <c r="A44725" i="1"/>
  <c r="B44725" i="1"/>
  <c r="A44726" i="1"/>
  <c r="B44726" i="1"/>
  <c r="A44727" i="1"/>
  <c r="B44727" i="1"/>
  <c r="A44728" i="1"/>
  <c r="B44728" i="1"/>
  <c r="A44729" i="1"/>
  <c r="B44729" i="1"/>
  <c r="A44730" i="1"/>
  <c r="B44730" i="1"/>
  <c r="A44731" i="1"/>
  <c r="B44731" i="1"/>
  <c r="A44732" i="1"/>
  <c r="B44732" i="1"/>
  <c r="A44733" i="1"/>
  <c r="B44733" i="1"/>
  <c r="A44734" i="1"/>
  <c r="B44734" i="1"/>
  <c r="A44735" i="1"/>
  <c r="B44735" i="1"/>
  <c r="A44736" i="1"/>
  <c r="B44736" i="1"/>
  <c r="A44737" i="1"/>
  <c r="B44737" i="1"/>
  <c r="A44738" i="1"/>
  <c r="B44738" i="1"/>
  <c r="A44739" i="1"/>
  <c r="B44739" i="1"/>
  <c r="A44740" i="1"/>
  <c r="B44740" i="1"/>
  <c r="A44741" i="1"/>
  <c r="B44741" i="1"/>
  <c r="A44742" i="1"/>
  <c r="B44742" i="1"/>
  <c r="A44743" i="1"/>
  <c r="B44743" i="1"/>
  <c r="A44744" i="1"/>
  <c r="B44744" i="1"/>
  <c r="A44745" i="1"/>
  <c r="B44745" i="1"/>
  <c r="A44746" i="1"/>
  <c r="B44746" i="1"/>
  <c r="A44747" i="1"/>
  <c r="B44747" i="1"/>
  <c r="A44748" i="1"/>
  <c r="B44748" i="1"/>
  <c r="A44749" i="1"/>
  <c r="B44749" i="1"/>
  <c r="A44750" i="1"/>
  <c r="B44750" i="1"/>
  <c r="A44751" i="1"/>
  <c r="B44751" i="1"/>
  <c r="A44752" i="1"/>
  <c r="B44752" i="1"/>
  <c r="A44753" i="1"/>
  <c r="B44753" i="1"/>
  <c r="A44754" i="1"/>
  <c r="B44754" i="1"/>
  <c r="A44755" i="1"/>
  <c r="B44755" i="1"/>
  <c r="A44756" i="1"/>
  <c r="B44756" i="1"/>
  <c r="A44757" i="1"/>
  <c r="B44757" i="1"/>
  <c r="A44758" i="1"/>
  <c r="B44758" i="1"/>
  <c r="A44759" i="1"/>
  <c r="B44759" i="1"/>
  <c r="A44760" i="1"/>
  <c r="B44760" i="1"/>
  <c r="A44761" i="1"/>
  <c r="B44761" i="1"/>
  <c r="A44762" i="1"/>
  <c r="B44762" i="1"/>
  <c r="A44763" i="1"/>
  <c r="B44763" i="1"/>
  <c r="A44764" i="1"/>
  <c r="B44764" i="1"/>
  <c r="A44765" i="1"/>
  <c r="B44765" i="1"/>
  <c r="A44766" i="1"/>
  <c r="B44766" i="1"/>
  <c r="A44767" i="1"/>
  <c r="B44767" i="1"/>
  <c r="A44768" i="1"/>
  <c r="B44768" i="1"/>
  <c r="A44769" i="1"/>
  <c r="B44769" i="1"/>
  <c r="A44770" i="1"/>
  <c r="B44770" i="1"/>
  <c r="A44771" i="1"/>
  <c r="B44771" i="1"/>
  <c r="A44772" i="1"/>
  <c r="B44772" i="1"/>
  <c r="A44773" i="1"/>
  <c r="B44773" i="1"/>
  <c r="A44774" i="1"/>
  <c r="B44774" i="1"/>
  <c r="A44775" i="1"/>
  <c r="B44775" i="1"/>
  <c r="A44776" i="1"/>
  <c r="B44776" i="1"/>
  <c r="A44777" i="1"/>
  <c r="B44777" i="1"/>
  <c r="A44778" i="1"/>
  <c r="B44778" i="1"/>
  <c r="A44779" i="1"/>
  <c r="B44779" i="1"/>
  <c r="A44780" i="1"/>
  <c r="B44780" i="1"/>
  <c r="A44781" i="1"/>
  <c r="B44781" i="1"/>
  <c r="A44782" i="1"/>
  <c r="B44782" i="1"/>
  <c r="A44783" i="1"/>
  <c r="B44783" i="1"/>
  <c r="A44784" i="1"/>
  <c r="B44784" i="1"/>
  <c r="A44785" i="1"/>
  <c r="B44785" i="1"/>
  <c r="A44786" i="1"/>
  <c r="B44786" i="1"/>
  <c r="A44787" i="1"/>
  <c r="B44787" i="1"/>
  <c r="A44788" i="1"/>
  <c r="B44788" i="1"/>
  <c r="A44789" i="1"/>
  <c r="B44789" i="1"/>
  <c r="A44790" i="1"/>
  <c r="B44790" i="1"/>
  <c r="A44791" i="1"/>
  <c r="B44791" i="1"/>
  <c r="A44792" i="1"/>
  <c r="B44792" i="1"/>
  <c r="A44793" i="1"/>
  <c r="B44793" i="1"/>
  <c r="A44794" i="1"/>
  <c r="B44794" i="1"/>
  <c r="A44795" i="1"/>
  <c r="B44795" i="1"/>
  <c r="A44796" i="1"/>
  <c r="B44796" i="1"/>
  <c r="A44797" i="1"/>
  <c r="B44797" i="1"/>
  <c r="A44798" i="1"/>
  <c r="B44798" i="1"/>
  <c r="A44799" i="1"/>
  <c r="B44799" i="1"/>
  <c r="A44800" i="1"/>
  <c r="B44800" i="1"/>
  <c r="A44801" i="1"/>
  <c r="B44801" i="1"/>
  <c r="A44802" i="1"/>
  <c r="B44802" i="1"/>
  <c r="A44803" i="1"/>
  <c r="B44803" i="1"/>
  <c r="A44804" i="1"/>
  <c r="B44804" i="1"/>
  <c r="A44805" i="1"/>
  <c r="B44805" i="1"/>
  <c r="A44806" i="1"/>
  <c r="B44806" i="1"/>
  <c r="A44807" i="1"/>
  <c r="B44807" i="1"/>
  <c r="A44808" i="1"/>
  <c r="B44808" i="1"/>
  <c r="A44809" i="1"/>
  <c r="B44809" i="1"/>
  <c r="A44810" i="1"/>
  <c r="B44810" i="1"/>
  <c r="A44811" i="1"/>
  <c r="B44811" i="1"/>
  <c r="A44812" i="1"/>
  <c r="B44812" i="1"/>
  <c r="A44813" i="1"/>
  <c r="B44813" i="1"/>
  <c r="A44814" i="1"/>
  <c r="B44814" i="1"/>
  <c r="A44815" i="1"/>
  <c r="B44815" i="1"/>
  <c r="A44816" i="1"/>
  <c r="B44816" i="1"/>
  <c r="A44817" i="1"/>
  <c r="B44817" i="1"/>
  <c r="A44818" i="1"/>
  <c r="B44818" i="1"/>
  <c r="A44819" i="1"/>
  <c r="B44819" i="1"/>
  <c r="A44820" i="1"/>
  <c r="B44820" i="1"/>
  <c r="A44821" i="1"/>
  <c r="B44821" i="1"/>
  <c r="A44822" i="1"/>
  <c r="B44822" i="1"/>
  <c r="A44823" i="1"/>
  <c r="B44823" i="1"/>
  <c r="A44824" i="1"/>
  <c r="B44824" i="1"/>
  <c r="A44825" i="1"/>
  <c r="B44825" i="1"/>
  <c r="A44826" i="1"/>
  <c r="B44826" i="1"/>
  <c r="A44827" i="1"/>
  <c r="B44827" i="1"/>
  <c r="A44828" i="1"/>
  <c r="B44828" i="1"/>
  <c r="A44829" i="1"/>
  <c r="B44829" i="1"/>
  <c r="A44830" i="1"/>
  <c r="B44830" i="1"/>
  <c r="A44831" i="1"/>
  <c r="B44831" i="1"/>
  <c r="A44832" i="1"/>
  <c r="B44832" i="1"/>
  <c r="A44833" i="1"/>
  <c r="B44833" i="1"/>
  <c r="A44834" i="1"/>
  <c r="B44834" i="1"/>
  <c r="A44835" i="1"/>
  <c r="B44835" i="1"/>
  <c r="A44836" i="1"/>
  <c r="B44836" i="1"/>
  <c r="A44837" i="1"/>
  <c r="B44837" i="1"/>
  <c r="A44838" i="1"/>
  <c r="B44838" i="1"/>
  <c r="A44839" i="1"/>
  <c r="B44839" i="1"/>
  <c r="A44840" i="1"/>
  <c r="B44840" i="1"/>
  <c r="A44841" i="1"/>
  <c r="B44841" i="1"/>
  <c r="A44842" i="1"/>
  <c r="B44842" i="1"/>
  <c r="A44843" i="1"/>
  <c r="B44843" i="1"/>
  <c r="A44844" i="1"/>
  <c r="B44844" i="1"/>
  <c r="A44845" i="1"/>
  <c r="B44845" i="1"/>
  <c r="A44846" i="1"/>
  <c r="B44846" i="1"/>
  <c r="A44847" i="1"/>
  <c r="B44847" i="1"/>
  <c r="A44848" i="1"/>
  <c r="B44848" i="1"/>
  <c r="A44849" i="1"/>
  <c r="B44849" i="1"/>
  <c r="A44850" i="1"/>
  <c r="B44850" i="1"/>
  <c r="A44851" i="1"/>
  <c r="B44851" i="1"/>
  <c r="A44852" i="1"/>
  <c r="B44852" i="1"/>
  <c r="A44853" i="1"/>
  <c r="B44853" i="1"/>
  <c r="A44854" i="1"/>
  <c r="B44854" i="1"/>
  <c r="A44855" i="1"/>
  <c r="B44855" i="1"/>
  <c r="A44856" i="1"/>
  <c r="B44856" i="1"/>
  <c r="A44857" i="1"/>
  <c r="B44857" i="1"/>
  <c r="A44858" i="1"/>
  <c r="B44858" i="1"/>
  <c r="A44859" i="1"/>
  <c r="B44859" i="1"/>
  <c r="A44860" i="1"/>
  <c r="B44860" i="1"/>
  <c r="A44861" i="1"/>
  <c r="B44861" i="1"/>
  <c r="A44862" i="1"/>
  <c r="B44862" i="1"/>
  <c r="A44863" i="1"/>
  <c r="B44863" i="1"/>
  <c r="A44864" i="1"/>
  <c r="B44864" i="1"/>
  <c r="A44865" i="1"/>
  <c r="B44865" i="1"/>
  <c r="A44866" i="1"/>
  <c r="B44866" i="1"/>
  <c r="A44867" i="1"/>
  <c r="B44867" i="1"/>
  <c r="A44868" i="1"/>
  <c r="B44868" i="1"/>
  <c r="A44869" i="1"/>
  <c r="B44869" i="1"/>
  <c r="A44870" i="1"/>
  <c r="B44870" i="1"/>
  <c r="A44871" i="1"/>
  <c r="B44871" i="1"/>
  <c r="A44872" i="1"/>
  <c r="B44872" i="1"/>
  <c r="A44873" i="1"/>
  <c r="B44873" i="1"/>
  <c r="A44874" i="1"/>
  <c r="B44874" i="1"/>
  <c r="A44875" i="1"/>
  <c r="B44875" i="1"/>
  <c r="A44876" i="1"/>
  <c r="B44876" i="1"/>
  <c r="A44877" i="1"/>
  <c r="B44877" i="1"/>
  <c r="A44878" i="1"/>
  <c r="B44878" i="1"/>
  <c r="A44879" i="1"/>
  <c r="B44879" i="1"/>
  <c r="A44880" i="1"/>
  <c r="B44880" i="1"/>
  <c r="A44881" i="1"/>
  <c r="B44881" i="1"/>
  <c r="A44882" i="1"/>
  <c r="B44882" i="1"/>
  <c r="A44883" i="1"/>
  <c r="B44883" i="1"/>
  <c r="A44884" i="1"/>
  <c r="B44884" i="1"/>
  <c r="A44885" i="1"/>
  <c r="B44885" i="1"/>
  <c r="A44886" i="1"/>
  <c r="B44886" i="1"/>
  <c r="A44887" i="1"/>
  <c r="B44887" i="1"/>
  <c r="A44888" i="1"/>
  <c r="B44888" i="1"/>
  <c r="A44889" i="1"/>
  <c r="B44889" i="1"/>
  <c r="A44890" i="1"/>
  <c r="B44890" i="1"/>
  <c r="A44891" i="1"/>
  <c r="B44891" i="1"/>
  <c r="A44892" i="1"/>
  <c r="B44892" i="1"/>
  <c r="A44893" i="1"/>
  <c r="B44893" i="1"/>
  <c r="A44894" i="1"/>
  <c r="B44894" i="1"/>
  <c r="A44895" i="1"/>
  <c r="B44895" i="1"/>
  <c r="A44896" i="1"/>
  <c r="B44896" i="1"/>
  <c r="A44897" i="1"/>
  <c r="B44897" i="1"/>
  <c r="A44898" i="1"/>
  <c r="B44898" i="1"/>
  <c r="A44899" i="1"/>
  <c r="B44899" i="1"/>
  <c r="A44900" i="1"/>
  <c r="B44900" i="1"/>
  <c r="A44901" i="1"/>
  <c r="B44901" i="1"/>
  <c r="A44902" i="1"/>
  <c r="B44902" i="1"/>
  <c r="A44903" i="1"/>
  <c r="B44903" i="1"/>
  <c r="A44904" i="1"/>
  <c r="B44904" i="1"/>
  <c r="A44905" i="1"/>
  <c r="B44905" i="1"/>
  <c r="A44906" i="1"/>
  <c r="B44906" i="1"/>
  <c r="A44907" i="1"/>
  <c r="B44907" i="1"/>
  <c r="A44908" i="1"/>
  <c r="B44908" i="1"/>
  <c r="A44909" i="1"/>
  <c r="B44909" i="1"/>
  <c r="A44910" i="1"/>
  <c r="B44910" i="1"/>
  <c r="A44911" i="1"/>
  <c r="B44911" i="1"/>
  <c r="A44912" i="1"/>
  <c r="B44912" i="1"/>
  <c r="A44913" i="1"/>
  <c r="B44913" i="1"/>
  <c r="A44914" i="1"/>
  <c r="B44914" i="1"/>
  <c r="A44915" i="1"/>
  <c r="B44915" i="1"/>
  <c r="A44916" i="1"/>
  <c r="B44916" i="1"/>
  <c r="A44917" i="1"/>
  <c r="B44917" i="1"/>
  <c r="A44918" i="1"/>
  <c r="B44918" i="1"/>
  <c r="A44919" i="1"/>
  <c r="B44919" i="1"/>
  <c r="A44920" i="1"/>
  <c r="B44920" i="1"/>
  <c r="A44921" i="1"/>
  <c r="B44921" i="1"/>
  <c r="A44922" i="1"/>
  <c r="B44922" i="1"/>
  <c r="A44923" i="1"/>
  <c r="B44923" i="1"/>
  <c r="A44924" i="1"/>
  <c r="B44924" i="1"/>
  <c r="A44925" i="1"/>
  <c r="B44925" i="1"/>
  <c r="A44926" i="1"/>
  <c r="B44926" i="1"/>
  <c r="A44927" i="1"/>
  <c r="B44927" i="1"/>
  <c r="A44928" i="1"/>
  <c r="B44928" i="1"/>
  <c r="A44929" i="1"/>
  <c r="B44929" i="1"/>
  <c r="A44930" i="1"/>
  <c r="B44930" i="1"/>
  <c r="A44931" i="1"/>
  <c r="B44931" i="1"/>
  <c r="A44932" i="1"/>
  <c r="B44932" i="1"/>
  <c r="A44933" i="1"/>
  <c r="B44933" i="1"/>
  <c r="A44934" i="1"/>
  <c r="B44934" i="1"/>
  <c r="A44935" i="1"/>
  <c r="B44935" i="1"/>
  <c r="A44936" i="1"/>
  <c r="B44936" i="1"/>
  <c r="A44937" i="1"/>
  <c r="B44937" i="1"/>
  <c r="A44938" i="1"/>
  <c r="B44938" i="1"/>
  <c r="A44939" i="1"/>
  <c r="B44939" i="1"/>
  <c r="A44940" i="1"/>
  <c r="B44940" i="1"/>
  <c r="A44941" i="1"/>
  <c r="B44941" i="1"/>
  <c r="A44942" i="1"/>
  <c r="B44942" i="1"/>
  <c r="A44943" i="1"/>
  <c r="B44943" i="1"/>
  <c r="A44944" i="1"/>
  <c r="B44944" i="1"/>
  <c r="A44945" i="1"/>
  <c r="B44945" i="1"/>
  <c r="A44946" i="1"/>
  <c r="B44946" i="1"/>
  <c r="A44947" i="1"/>
  <c r="B44947" i="1"/>
  <c r="A44948" i="1"/>
  <c r="B44948" i="1"/>
  <c r="A44949" i="1"/>
  <c r="B44949" i="1"/>
  <c r="A44950" i="1"/>
  <c r="B44950" i="1"/>
  <c r="A44951" i="1"/>
  <c r="B44951" i="1"/>
  <c r="A44952" i="1"/>
  <c r="B44952" i="1"/>
  <c r="A44953" i="1"/>
  <c r="B44953" i="1"/>
  <c r="A44954" i="1"/>
  <c r="B44954" i="1"/>
  <c r="A44955" i="1"/>
  <c r="B44955" i="1"/>
  <c r="A44956" i="1"/>
  <c r="B44956" i="1"/>
  <c r="A44957" i="1"/>
  <c r="B44957" i="1"/>
  <c r="A44958" i="1"/>
  <c r="B44958" i="1"/>
  <c r="A44959" i="1"/>
  <c r="B44959" i="1"/>
  <c r="A44960" i="1"/>
  <c r="B44960" i="1"/>
  <c r="A44961" i="1"/>
  <c r="B44961" i="1"/>
  <c r="A44962" i="1"/>
  <c r="B44962" i="1"/>
  <c r="A44963" i="1"/>
  <c r="B44963" i="1"/>
  <c r="A44964" i="1"/>
  <c r="B44964" i="1"/>
  <c r="A44965" i="1"/>
  <c r="B44965" i="1"/>
  <c r="A44966" i="1"/>
  <c r="B44966" i="1"/>
  <c r="A44967" i="1"/>
  <c r="B44967" i="1"/>
  <c r="A44968" i="1"/>
  <c r="B44968" i="1"/>
  <c r="A44969" i="1"/>
  <c r="B44969" i="1"/>
  <c r="A44970" i="1"/>
  <c r="B44970" i="1"/>
  <c r="A44971" i="1"/>
  <c r="B44971" i="1"/>
  <c r="A44972" i="1"/>
  <c r="B44972" i="1"/>
  <c r="A44973" i="1"/>
  <c r="B44973" i="1"/>
  <c r="A44974" i="1"/>
  <c r="B44974" i="1"/>
  <c r="A44975" i="1"/>
  <c r="B44975" i="1"/>
  <c r="A44976" i="1"/>
  <c r="B44976" i="1"/>
  <c r="A44977" i="1"/>
  <c r="B44977" i="1"/>
  <c r="A44978" i="1"/>
  <c r="B44978" i="1"/>
  <c r="A44979" i="1"/>
  <c r="B44979" i="1"/>
  <c r="A44980" i="1"/>
  <c r="B44980" i="1"/>
  <c r="A44981" i="1"/>
  <c r="B44981" i="1"/>
  <c r="A44982" i="1"/>
  <c r="B44982" i="1"/>
  <c r="A44983" i="1"/>
  <c r="B44983" i="1"/>
  <c r="A44984" i="1"/>
  <c r="B44984" i="1"/>
  <c r="A44985" i="1"/>
  <c r="B44985" i="1"/>
  <c r="A44986" i="1"/>
  <c r="B44986" i="1"/>
  <c r="A44987" i="1"/>
  <c r="B44987" i="1"/>
  <c r="A44988" i="1"/>
  <c r="B44988" i="1"/>
  <c r="A44989" i="1"/>
  <c r="B44989" i="1"/>
  <c r="A44990" i="1"/>
  <c r="B44990" i="1"/>
  <c r="A44991" i="1"/>
  <c r="B44991" i="1"/>
  <c r="A44992" i="1"/>
  <c r="B44992" i="1"/>
  <c r="A44993" i="1"/>
  <c r="B44993" i="1"/>
  <c r="A44994" i="1"/>
  <c r="B44994" i="1"/>
  <c r="A44995" i="1"/>
  <c r="B44995" i="1"/>
  <c r="A44996" i="1"/>
  <c r="B44996" i="1"/>
  <c r="A44997" i="1"/>
  <c r="B44997" i="1"/>
  <c r="A44998" i="1"/>
  <c r="B44998" i="1"/>
  <c r="A44999" i="1"/>
  <c r="B44999" i="1"/>
  <c r="A45000" i="1"/>
  <c r="B45000" i="1"/>
  <c r="A45001" i="1"/>
  <c r="B45001" i="1"/>
  <c r="A45002" i="1"/>
  <c r="B45002" i="1"/>
  <c r="A45003" i="1"/>
  <c r="B45003" i="1"/>
  <c r="A45004" i="1"/>
  <c r="B45004" i="1"/>
  <c r="A45005" i="1"/>
  <c r="B45005" i="1"/>
  <c r="A45006" i="1"/>
  <c r="B45006" i="1"/>
  <c r="A45007" i="1"/>
  <c r="B45007" i="1"/>
  <c r="A45008" i="1"/>
  <c r="B45008" i="1"/>
  <c r="A45009" i="1"/>
  <c r="B45009" i="1"/>
  <c r="A45010" i="1"/>
  <c r="B45010" i="1"/>
  <c r="A45011" i="1"/>
  <c r="B45011" i="1"/>
  <c r="A45012" i="1"/>
  <c r="B45012" i="1"/>
  <c r="A45013" i="1"/>
  <c r="B45013" i="1"/>
  <c r="A45014" i="1"/>
  <c r="B45014" i="1"/>
  <c r="A45015" i="1"/>
  <c r="B45015" i="1"/>
  <c r="A45016" i="1"/>
  <c r="B45016" i="1"/>
  <c r="A45017" i="1"/>
  <c r="B45017" i="1"/>
  <c r="A45018" i="1"/>
  <c r="B45018" i="1"/>
  <c r="A45019" i="1"/>
  <c r="B45019" i="1"/>
  <c r="A45020" i="1"/>
  <c r="B45020" i="1"/>
  <c r="A45021" i="1"/>
  <c r="B45021" i="1"/>
  <c r="A45022" i="1"/>
  <c r="B45022" i="1"/>
  <c r="A45023" i="1"/>
  <c r="B45023" i="1"/>
  <c r="A45024" i="1"/>
  <c r="B45024" i="1"/>
  <c r="A45025" i="1"/>
  <c r="B45025" i="1"/>
  <c r="A45026" i="1"/>
  <c r="B45026" i="1"/>
  <c r="A45027" i="1"/>
  <c r="B45027" i="1"/>
  <c r="A45028" i="1"/>
  <c r="B45028" i="1"/>
  <c r="A45029" i="1"/>
  <c r="B45029" i="1"/>
  <c r="A45030" i="1"/>
  <c r="B45030" i="1"/>
  <c r="A45031" i="1"/>
  <c r="B45031" i="1"/>
  <c r="A45032" i="1"/>
  <c r="B45032" i="1"/>
  <c r="A45033" i="1"/>
  <c r="B45033" i="1"/>
  <c r="A45034" i="1"/>
  <c r="B45034" i="1"/>
  <c r="A45035" i="1"/>
  <c r="B45035" i="1"/>
  <c r="A45036" i="1"/>
  <c r="B45036" i="1"/>
  <c r="A45037" i="1"/>
  <c r="B45037" i="1"/>
  <c r="A45038" i="1"/>
  <c r="B45038" i="1"/>
  <c r="A45039" i="1"/>
  <c r="B45039" i="1"/>
  <c r="A45040" i="1"/>
  <c r="B45040" i="1"/>
  <c r="A45041" i="1"/>
  <c r="B45041" i="1"/>
  <c r="A45042" i="1"/>
  <c r="B45042" i="1"/>
  <c r="A45043" i="1"/>
  <c r="B45043" i="1"/>
  <c r="A45044" i="1"/>
  <c r="B45044" i="1"/>
  <c r="A45045" i="1"/>
  <c r="B45045" i="1"/>
  <c r="A45046" i="1"/>
  <c r="B45046" i="1"/>
  <c r="A45047" i="1"/>
  <c r="B45047" i="1"/>
  <c r="A45048" i="1"/>
  <c r="B45048" i="1"/>
  <c r="A45049" i="1"/>
  <c r="B45049" i="1"/>
  <c r="A45050" i="1"/>
  <c r="B45050" i="1"/>
  <c r="A45051" i="1"/>
  <c r="B45051" i="1"/>
  <c r="A45052" i="1"/>
  <c r="B45052" i="1"/>
  <c r="A45053" i="1"/>
  <c r="B45053" i="1"/>
  <c r="A45054" i="1"/>
  <c r="B45054" i="1"/>
  <c r="A45055" i="1"/>
  <c r="B45055" i="1"/>
  <c r="A45056" i="1"/>
  <c r="B45056" i="1"/>
  <c r="A45057" i="1"/>
  <c r="B45057" i="1"/>
  <c r="A45058" i="1"/>
  <c r="B45058" i="1"/>
  <c r="A45059" i="1"/>
  <c r="B45059" i="1"/>
  <c r="A45060" i="1"/>
  <c r="B45060" i="1"/>
  <c r="A45061" i="1"/>
  <c r="B45061" i="1"/>
  <c r="A45062" i="1"/>
  <c r="B45062" i="1"/>
  <c r="A45063" i="1"/>
  <c r="B45063" i="1"/>
  <c r="A45064" i="1"/>
  <c r="B45064" i="1"/>
  <c r="A45065" i="1"/>
  <c r="B45065" i="1"/>
  <c r="A45066" i="1"/>
  <c r="B45066" i="1"/>
  <c r="A45067" i="1"/>
  <c r="B45067" i="1"/>
  <c r="A45068" i="1"/>
  <c r="B45068" i="1"/>
  <c r="A45069" i="1"/>
  <c r="B45069" i="1"/>
  <c r="A45070" i="1"/>
  <c r="B45070" i="1"/>
  <c r="A45071" i="1"/>
  <c r="B45071" i="1"/>
  <c r="A45072" i="1"/>
  <c r="B45072" i="1"/>
  <c r="A45073" i="1"/>
  <c r="B45073" i="1"/>
  <c r="A45074" i="1"/>
  <c r="B45074" i="1"/>
  <c r="A45075" i="1"/>
  <c r="B45075" i="1"/>
  <c r="A45076" i="1"/>
  <c r="B45076" i="1"/>
  <c r="A45077" i="1"/>
  <c r="B45077" i="1"/>
  <c r="A45078" i="1"/>
  <c r="B45078" i="1"/>
  <c r="A45079" i="1"/>
  <c r="B45079" i="1"/>
  <c r="A45080" i="1"/>
  <c r="B45080" i="1"/>
  <c r="A45081" i="1"/>
  <c r="B45081" i="1"/>
  <c r="A45082" i="1"/>
  <c r="B45082" i="1"/>
  <c r="A45083" i="1"/>
  <c r="B45083" i="1"/>
  <c r="A45084" i="1"/>
  <c r="B45084" i="1"/>
  <c r="A45085" i="1"/>
  <c r="B45085" i="1"/>
  <c r="A45086" i="1"/>
  <c r="B45086" i="1"/>
  <c r="A45087" i="1"/>
  <c r="B45087" i="1"/>
  <c r="A45088" i="1"/>
  <c r="B45088" i="1"/>
  <c r="A45089" i="1"/>
  <c r="B45089" i="1"/>
  <c r="A45090" i="1"/>
  <c r="B45090" i="1"/>
  <c r="A45091" i="1"/>
  <c r="B45091" i="1"/>
  <c r="A45092" i="1"/>
  <c r="B45092" i="1"/>
  <c r="A45093" i="1"/>
  <c r="B45093" i="1"/>
  <c r="A45094" i="1"/>
  <c r="B45094" i="1"/>
  <c r="A45095" i="1"/>
  <c r="B45095" i="1"/>
  <c r="A45096" i="1"/>
  <c r="B45096" i="1"/>
  <c r="A45097" i="1"/>
  <c r="B45097" i="1"/>
  <c r="A45098" i="1"/>
  <c r="B45098" i="1"/>
  <c r="A45099" i="1"/>
  <c r="B45099" i="1"/>
  <c r="A45100" i="1"/>
  <c r="B45100" i="1"/>
  <c r="A45101" i="1"/>
  <c r="B45101" i="1"/>
  <c r="A45102" i="1"/>
  <c r="B45102" i="1"/>
  <c r="A45103" i="1"/>
  <c r="B45103" i="1"/>
  <c r="A45104" i="1"/>
  <c r="B45104" i="1"/>
  <c r="A45105" i="1"/>
  <c r="B45105" i="1"/>
  <c r="A45106" i="1"/>
  <c r="B45106" i="1"/>
  <c r="A45107" i="1"/>
  <c r="B45107" i="1"/>
  <c r="A45108" i="1"/>
  <c r="B45108" i="1"/>
  <c r="A45109" i="1"/>
  <c r="B45109" i="1"/>
  <c r="A45110" i="1"/>
  <c r="B45110" i="1"/>
  <c r="A45111" i="1"/>
  <c r="B45111" i="1"/>
  <c r="A45112" i="1"/>
  <c r="B45112" i="1"/>
  <c r="A45113" i="1"/>
  <c r="B45113" i="1"/>
  <c r="A45114" i="1"/>
  <c r="B45114" i="1"/>
  <c r="A45115" i="1"/>
  <c r="B45115" i="1"/>
  <c r="A45116" i="1"/>
  <c r="B45116" i="1"/>
  <c r="A45117" i="1"/>
  <c r="B45117" i="1"/>
  <c r="A45118" i="1"/>
  <c r="B45118" i="1"/>
  <c r="A45119" i="1"/>
  <c r="B45119" i="1"/>
  <c r="A45120" i="1"/>
  <c r="B45120" i="1"/>
  <c r="A45121" i="1"/>
  <c r="B45121" i="1"/>
  <c r="A45122" i="1"/>
  <c r="B45122" i="1"/>
  <c r="A45123" i="1"/>
  <c r="B45123" i="1"/>
  <c r="A45124" i="1"/>
  <c r="B45124" i="1"/>
  <c r="A45125" i="1"/>
  <c r="B45125" i="1"/>
  <c r="A45126" i="1"/>
  <c r="B45126" i="1"/>
  <c r="A45127" i="1"/>
  <c r="B45127" i="1"/>
  <c r="A45128" i="1"/>
  <c r="B45128" i="1"/>
  <c r="A45129" i="1"/>
  <c r="B45129" i="1"/>
  <c r="A45130" i="1"/>
  <c r="B45130" i="1"/>
  <c r="A45131" i="1"/>
  <c r="B45131" i="1"/>
  <c r="A45132" i="1"/>
  <c r="B45132" i="1"/>
  <c r="A45133" i="1"/>
  <c r="B45133" i="1"/>
  <c r="A45134" i="1"/>
  <c r="B45134" i="1"/>
  <c r="A45135" i="1"/>
  <c r="B45135" i="1"/>
  <c r="A45136" i="1"/>
  <c r="B45136" i="1"/>
  <c r="A45137" i="1"/>
  <c r="B45137" i="1"/>
  <c r="A45138" i="1"/>
  <c r="B45138" i="1"/>
  <c r="A45139" i="1"/>
  <c r="B45139" i="1"/>
  <c r="A45140" i="1"/>
  <c r="B45140" i="1"/>
  <c r="A45141" i="1"/>
  <c r="B45141" i="1"/>
  <c r="A45142" i="1"/>
  <c r="B45142" i="1"/>
  <c r="A45143" i="1"/>
  <c r="B45143" i="1"/>
  <c r="A45144" i="1"/>
  <c r="B45144" i="1"/>
  <c r="A45145" i="1"/>
  <c r="B45145" i="1"/>
  <c r="A45146" i="1"/>
  <c r="B45146" i="1"/>
  <c r="A45147" i="1"/>
  <c r="B45147" i="1"/>
  <c r="A45148" i="1"/>
  <c r="B45148" i="1"/>
  <c r="A45149" i="1"/>
  <c r="B45149" i="1"/>
  <c r="A45150" i="1"/>
  <c r="B45150" i="1"/>
  <c r="A45151" i="1"/>
  <c r="B45151" i="1"/>
  <c r="A45152" i="1"/>
  <c r="B45152" i="1"/>
  <c r="A45153" i="1"/>
  <c r="B45153" i="1"/>
  <c r="A45154" i="1"/>
  <c r="B45154" i="1"/>
  <c r="A45155" i="1"/>
  <c r="B45155" i="1"/>
  <c r="A45156" i="1"/>
  <c r="B45156" i="1"/>
  <c r="A45157" i="1"/>
  <c r="B45157" i="1"/>
  <c r="A45158" i="1"/>
  <c r="B45158" i="1"/>
  <c r="A45159" i="1"/>
  <c r="B45159" i="1"/>
  <c r="A45160" i="1"/>
  <c r="B45160" i="1"/>
  <c r="A45161" i="1"/>
  <c r="B45161" i="1"/>
  <c r="A45162" i="1"/>
  <c r="B45162" i="1"/>
  <c r="A45163" i="1"/>
  <c r="B45163" i="1"/>
  <c r="A45164" i="1"/>
  <c r="B45164" i="1"/>
  <c r="A45165" i="1"/>
  <c r="B45165" i="1"/>
  <c r="A45166" i="1"/>
  <c r="B45166" i="1"/>
  <c r="A45167" i="1"/>
  <c r="B45167" i="1"/>
  <c r="A45168" i="1"/>
  <c r="B45168" i="1"/>
  <c r="A45169" i="1"/>
  <c r="B45169" i="1"/>
  <c r="A45170" i="1"/>
  <c r="B45170" i="1"/>
  <c r="A45171" i="1"/>
  <c r="B45171" i="1"/>
  <c r="A45172" i="1"/>
  <c r="B45172" i="1"/>
  <c r="A45173" i="1"/>
  <c r="B45173" i="1"/>
  <c r="A45174" i="1"/>
  <c r="B45174" i="1"/>
  <c r="A45175" i="1"/>
  <c r="B45175" i="1"/>
  <c r="A45176" i="1"/>
  <c r="B45176" i="1"/>
  <c r="A45177" i="1"/>
  <c r="B45177" i="1"/>
  <c r="A45178" i="1"/>
  <c r="B45178" i="1"/>
  <c r="A45179" i="1"/>
  <c r="B45179" i="1"/>
  <c r="A45180" i="1"/>
  <c r="B45180" i="1"/>
  <c r="A45181" i="1"/>
  <c r="B45181" i="1"/>
  <c r="A45182" i="1"/>
  <c r="B45182" i="1"/>
  <c r="A45183" i="1"/>
  <c r="B45183" i="1"/>
  <c r="A45184" i="1"/>
  <c r="B45184" i="1"/>
  <c r="A45185" i="1"/>
  <c r="B45185" i="1"/>
  <c r="A45186" i="1"/>
  <c r="B45186" i="1"/>
  <c r="A45187" i="1"/>
  <c r="B45187" i="1"/>
  <c r="A45188" i="1"/>
  <c r="B45188" i="1"/>
  <c r="A45189" i="1"/>
  <c r="B45189" i="1"/>
  <c r="A45190" i="1"/>
  <c r="B45190" i="1"/>
  <c r="A45191" i="1"/>
  <c r="B45191" i="1"/>
  <c r="A45192" i="1"/>
  <c r="B45192" i="1"/>
  <c r="A45193" i="1"/>
  <c r="B45193" i="1"/>
  <c r="A45194" i="1"/>
  <c r="B45194" i="1"/>
  <c r="A45195" i="1"/>
  <c r="B45195" i="1"/>
  <c r="A45196" i="1"/>
  <c r="B45196" i="1"/>
  <c r="A45197" i="1"/>
  <c r="B45197" i="1"/>
  <c r="A45198" i="1"/>
  <c r="B45198" i="1"/>
  <c r="A45199" i="1"/>
  <c r="B45199" i="1"/>
  <c r="A45200" i="1"/>
  <c r="B45200" i="1"/>
  <c r="A45201" i="1"/>
  <c r="B45201" i="1"/>
  <c r="A45202" i="1"/>
  <c r="B45202" i="1"/>
  <c r="A45203" i="1"/>
  <c r="B45203" i="1"/>
  <c r="A45204" i="1"/>
  <c r="B45204" i="1"/>
  <c r="A45205" i="1"/>
  <c r="B45205" i="1"/>
  <c r="A45206" i="1"/>
  <c r="B45206" i="1"/>
  <c r="A45207" i="1"/>
  <c r="B45207" i="1"/>
  <c r="A45208" i="1"/>
  <c r="B45208" i="1"/>
  <c r="A45209" i="1"/>
  <c r="B45209" i="1"/>
  <c r="A45210" i="1"/>
  <c r="B45210" i="1"/>
  <c r="A45211" i="1"/>
  <c r="B45211" i="1"/>
  <c r="A45212" i="1"/>
  <c r="B45212" i="1"/>
  <c r="A45213" i="1"/>
  <c r="B45213" i="1"/>
  <c r="A45214" i="1"/>
  <c r="B45214" i="1"/>
  <c r="A45215" i="1"/>
  <c r="B45215" i="1"/>
  <c r="A45216" i="1"/>
  <c r="B45216" i="1"/>
  <c r="A45217" i="1"/>
  <c r="B45217" i="1"/>
  <c r="A45218" i="1"/>
  <c r="B45218" i="1"/>
  <c r="A45219" i="1"/>
  <c r="B45219" i="1"/>
  <c r="A45220" i="1"/>
  <c r="B45220" i="1"/>
  <c r="A45221" i="1"/>
  <c r="B45221" i="1"/>
  <c r="A45222" i="1"/>
  <c r="B45222" i="1"/>
  <c r="A45223" i="1"/>
  <c r="B45223" i="1"/>
  <c r="A45224" i="1"/>
  <c r="B45224" i="1"/>
  <c r="A45225" i="1"/>
  <c r="B45225" i="1"/>
  <c r="A45226" i="1"/>
  <c r="B45226" i="1"/>
  <c r="A45227" i="1"/>
  <c r="B45227" i="1"/>
  <c r="A45228" i="1"/>
  <c r="B45228" i="1"/>
  <c r="A45229" i="1"/>
  <c r="B45229" i="1"/>
  <c r="A45230" i="1"/>
  <c r="B45230" i="1"/>
  <c r="A45231" i="1"/>
  <c r="B45231" i="1"/>
  <c r="A45232" i="1"/>
  <c r="B45232" i="1"/>
  <c r="A45233" i="1"/>
  <c r="B45233" i="1"/>
  <c r="A45234" i="1"/>
  <c r="B45234" i="1"/>
  <c r="A45235" i="1"/>
  <c r="B45235" i="1"/>
  <c r="A45236" i="1"/>
  <c r="B45236" i="1"/>
  <c r="A45237" i="1"/>
  <c r="B45237" i="1"/>
  <c r="A45238" i="1"/>
  <c r="B45238" i="1"/>
  <c r="A45239" i="1"/>
  <c r="B45239" i="1"/>
  <c r="A45240" i="1"/>
  <c r="B45240" i="1"/>
  <c r="A45241" i="1"/>
  <c r="B45241" i="1"/>
  <c r="A45242" i="1"/>
  <c r="B45242" i="1"/>
  <c r="A45243" i="1"/>
  <c r="B45243" i="1"/>
  <c r="A45244" i="1"/>
  <c r="B45244" i="1"/>
  <c r="A45245" i="1"/>
  <c r="B45245" i="1"/>
  <c r="A45246" i="1"/>
  <c r="B45246" i="1"/>
  <c r="A45247" i="1"/>
  <c r="B45247" i="1"/>
  <c r="A45248" i="1"/>
  <c r="B45248" i="1"/>
  <c r="A45249" i="1"/>
  <c r="B45249" i="1"/>
  <c r="A45250" i="1"/>
  <c r="B45250" i="1"/>
  <c r="A45251" i="1"/>
  <c r="B45251" i="1"/>
  <c r="A45252" i="1"/>
  <c r="B45252" i="1"/>
  <c r="A45253" i="1"/>
  <c r="B45253" i="1"/>
  <c r="A45254" i="1"/>
  <c r="B45254" i="1"/>
  <c r="A45255" i="1"/>
  <c r="B45255" i="1"/>
  <c r="A45256" i="1"/>
  <c r="B45256" i="1"/>
  <c r="A45257" i="1"/>
  <c r="B45257" i="1"/>
  <c r="A45258" i="1"/>
  <c r="B45258" i="1"/>
  <c r="A45259" i="1"/>
  <c r="B45259" i="1"/>
  <c r="A45260" i="1"/>
  <c r="B45260" i="1"/>
  <c r="A45261" i="1"/>
  <c r="B45261" i="1"/>
  <c r="A45262" i="1"/>
  <c r="B45262" i="1"/>
  <c r="A45263" i="1"/>
  <c r="B45263" i="1"/>
  <c r="A45264" i="1"/>
  <c r="B45264" i="1"/>
  <c r="A45265" i="1"/>
  <c r="B45265" i="1"/>
  <c r="A45266" i="1"/>
  <c r="B45266" i="1"/>
  <c r="A45267" i="1"/>
  <c r="B45267" i="1"/>
  <c r="A45268" i="1"/>
  <c r="B45268" i="1"/>
  <c r="A45269" i="1"/>
  <c r="B45269" i="1"/>
  <c r="A45270" i="1"/>
  <c r="B45270" i="1"/>
  <c r="A45271" i="1"/>
  <c r="B45271" i="1"/>
  <c r="A45272" i="1"/>
  <c r="B45272" i="1"/>
  <c r="A45273" i="1"/>
  <c r="B45273" i="1"/>
  <c r="A45274" i="1"/>
  <c r="B45274" i="1"/>
  <c r="A45275" i="1"/>
  <c r="B45275" i="1"/>
  <c r="A45276" i="1"/>
  <c r="B45276" i="1"/>
  <c r="A45277" i="1"/>
  <c r="B45277" i="1"/>
  <c r="A45278" i="1"/>
  <c r="B45278" i="1"/>
  <c r="A45279" i="1"/>
  <c r="B45279" i="1"/>
  <c r="A45280" i="1"/>
  <c r="B45280" i="1"/>
  <c r="A45281" i="1"/>
  <c r="B45281" i="1"/>
  <c r="A45282" i="1"/>
  <c r="B45282" i="1"/>
  <c r="A45283" i="1"/>
  <c r="B45283" i="1"/>
  <c r="A45284" i="1"/>
  <c r="B45284" i="1"/>
  <c r="A45285" i="1"/>
  <c r="B45285" i="1"/>
  <c r="A45286" i="1"/>
  <c r="B45286" i="1"/>
  <c r="A45287" i="1"/>
  <c r="B45287" i="1"/>
  <c r="A45288" i="1"/>
  <c r="B45288" i="1"/>
  <c r="A45289" i="1"/>
  <c r="B45289" i="1"/>
  <c r="A45290" i="1"/>
  <c r="B45290" i="1"/>
  <c r="A45291" i="1"/>
  <c r="B45291" i="1"/>
  <c r="A45292" i="1"/>
  <c r="B45292" i="1"/>
  <c r="A45293" i="1"/>
  <c r="B45293" i="1"/>
  <c r="A45294" i="1"/>
  <c r="B45294" i="1"/>
  <c r="A45295" i="1"/>
  <c r="B45295" i="1"/>
  <c r="A45296" i="1"/>
  <c r="B45296" i="1"/>
  <c r="A45297" i="1"/>
  <c r="B45297" i="1"/>
  <c r="A45298" i="1"/>
  <c r="B45298" i="1"/>
  <c r="A45299" i="1"/>
  <c r="B45299" i="1"/>
  <c r="A45300" i="1"/>
  <c r="B45300" i="1"/>
  <c r="A45301" i="1"/>
  <c r="B45301" i="1"/>
  <c r="A45302" i="1"/>
  <c r="B45302" i="1"/>
  <c r="A45303" i="1"/>
  <c r="B45303" i="1"/>
  <c r="A45304" i="1"/>
  <c r="B45304" i="1"/>
  <c r="A45305" i="1"/>
  <c r="B45305" i="1"/>
  <c r="A45306" i="1"/>
  <c r="B45306" i="1"/>
  <c r="A45307" i="1"/>
  <c r="B45307" i="1"/>
  <c r="A45308" i="1"/>
  <c r="B45308" i="1"/>
  <c r="A45309" i="1"/>
  <c r="B45309" i="1"/>
  <c r="A45310" i="1"/>
  <c r="B45310" i="1"/>
  <c r="A45311" i="1"/>
  <c r="B45311" i="1"/>
  <c r="A45312" i="1"/>
  <c r="B45312" i="1"/>
  <c r="A45313" i="1"/>
  <c r="B45313" i="1"/>
  <c r="A45314" i="1"/>
  <c r="B45314" i="1"/>
  <c r="A45315" i="1"/>
  <c r="B45315" i="1"/>
  <c r="A45316" i="1"/>
  <c r="B45316" i="1"/>
  <c r="A45317" i="1"/>
  <c r="B45317" i="1"/>
  <c r="A45318" i="1"/>
  <c r="B45318" i="1"/>
  <c r="A45319" i="1"/>
  <c r="B45319" i="1"/>
  <c r="A45320" i="1"/>
  <c r="B45320" i="1"/>
  <c r="A45321" i="1"/>
  <c r="B45321" i="1"/>
  <c r="A45322" i="1"/>
  <c r="B45322" i="1"/>
  <c r="A45323" i="1"/>
  <c r="B45323" i="1"/>
  <c r="A45324" i="1"/>
  <c r="B45324" i="1"/>
  <c r="A45325" i="1"/>
  <c r="B45325" i="1"/>
  <c r="A45326" i="1"/>
  <c r="B45326" i="1"/>
  <c r="A45327" i="1"/>
  <c r="B45327" i="1"/>
  <c r="A45328" i="1"/>
  <c r="B45328" i="1"/>
  <c r="A45329" i="1"/>
  <c r="B45329" i="1"/>
  <c r="A45330" i="1"/>
  <c r="B45330" i="1"/>
  <c r="A45331" i="1"/>
  <c r="B45331" i="1"/>
  <c r="A45332" i="1"/>
  <c r="B45332" i="1"/>
  <c r="A45333" i="1"/>
  <c r="B45333" i="1"/>
  <c r="A45334" i="1"/>
  <c r="B45334" i="1"/>
  <c r="A45335" i="1"/>
  <c r="B45335" i="1"/>
  <c r="A45336" i="1"/>
  <c r="B45336" i="1"/>
  <c r="A45337" i="1"/>
  <c r="B45337" i="1"/>
  <c r="A45338" i="1"/>
  <c r="B45338" i="1"/>
  <c r="A45339" i="1"/>
  <c r="B45339" i="1"/>
  <c r="A45340" i="1"/>
  <c r="B45340" i="1"/>
  <c r="A45341" i="1"/>
  <c r="B45341" i="1"/>
  <c r="A45342" i="1"/>
  <c r="B45342" i="1"/>
  <c r="A45343" i="1"/>
  <c r="B45343" i="1"/>
  <c r="A45344" i="1"/>
  <c r="B45344" i="1"/>
  <c r="A45345" i="1"/>
  <c r="B45345" i="1"/>
  <c r="A45346" i="1"/>
  <c r="B45346" i="1"/>
  <c r="A45347" i="1"/>
  <c r="B45347" i="1"/>
  <c r="A45348" i="1"/>
  <c r="B45348" i="1"/>
  <c r="A45349" i="1"/>
  <c r="B45349" i="1"/>
  <c r="A45350" i="1"/>
  <c r="B45350" i="1"/>
  <c r="A45351" i="1"/>
  <c r="B45351" i="1"/>
  <c r="A45352" i="1"/>
  <c r="B45352" i="1"/>
  <c r="A45353" i="1"/>
  <c r="B45353" i="1"/>
  <c r="A45354" i="1"/>
  <c r="B45354" i="1"/>
  <c r="A45355" i="1"/>
  <c r="B45355" i="1"/>
  <c r="A45356" i="1"/>
  <c r="B45356" i="1"/>
  <c r="A45357" i="1"/>
  <c r="B45357" i="1"/>
  <c r="A45358" i="1"/>
  <c r="B45358" i="1"/>
  <c r="A45359" i="1"/>
  <c r="B45359" i="1"/>
  <c r="A45360" i="1"/>
  <c r="B45360" i="1"/>
  <c r="A45361" i="1"/>
  <c r="B45361" i="1"/>
  <c r="A45362" i="1"/>
  <c r="B45362" i="1"/>
  <c r="A45363" i="1"/>
  <c r="B45363" i="1"/>
  <c r="A45364" i="1"/>
  <c r="B45364" i="1"/>
  <c r="A45365" i="1"/>
  <c r="B45365" i="1"/>
  <c r="A45366" i="1"/>
  <c r="B45366" i="1"/>
  <c r="A45367" i="1"/>
  <c r="B45367" i="1"/>
  <c r="A45368" i="1"/>
  <c r="B45368" i="1"/>
  <c r="A45369" i="1"/>
  <c r="B45369" i="1"/>
  <c r="A45370" i="1"/>
  <c r="B45370" i="1"/>
  <c r="A45371" i="1"/>
  <c r="B45371" i="1"/>
  <c r="A45372" i="1"/>
  <c r="B45372" i="1"/>
  <c r="A45373" i="1"/>
  <c r="B45373" i="1"/>
  <c r="A45374" i="1"/>
  <c r="B45374" i="1"/>
  <c r="A45375" i="1"/>
  <c r="B45375" i="1"/>
  <c r="A45376" i="1"/>
  <c r="B45376" i="1"/>
  <c r="A45377" i="1"/>
  <c r="B45377" i="1"/>
  <c r="A45378" i="1"/>
  <c r="B45378" i="1"/>
  <c r="A45379" i="1"/>
  <c r="B45379" i="1"/>
  <c r="A45380" i="1"/>
  <c r="B45380" i="1"/>
  <c r="A45381" i="1"/>
  <c r="B45381" i="1"/>
  <c r="A45382" i="1"/>
  <c r="B45382" i="1"/>
  <c r="A45383" i="1"/>
  <c r="B45383" i="1"/>
  <c r="A45384" i="1"/>
  <c r="B45384" i="1"/>
  <c r="A45385" i="1"/>
  <c r="B45385" i="1"/>
  <c r="A45386" i="1"/>
  <c r="B45386" i="1"/>
  <c r="A45387" i="1"/>
  <c r="B45387" i="1"/>
  <c r="A45388" i="1"/>
  <c r="B45388" i="1"/>
  <c r="A45389" i="1"/>
  <c r="B45389" i="1"/>
  <c r="A45390" i="1"/>
  <c r="B45390" i="1"/>
  <c r="A45391" i="1"/>
  <c r="B45391" i="1"/>
  <c r="A45392" i="1"/>
  <c r="B45392" i="1"/>
  <c r="A45393" i="1"/>
  <c r="B45393" i="1"/>
  <c r="A45394" i="1"/>
  <c r="B45394" i="1"/>
  <c r="A45395" i="1"/>
  <c r="B45395" i="1"/>
  <c r="A45396" i="1"/>
  <c r="B45396" i="1"/>
  <c r="A45397" i="1"/>
  <c r="B45397" i="1"/>
  <c r="A45398" i="1"/>
  <c r="B45398" i="1"/>
  <c r="A45399" i="1"/>
  <c r="B45399" i="1"/>
  <c r="A45400" i="1"/>
  <c r="B45400" i="1"/>
  <c r="A45401" i="1"/>
  <c r="B45401" i="1"/>
  <c r="A45402" i="1"/>
  <c r="B45402" i="1"/>
  <c r="A45403" i="1"/>
  <c r="B45403" i="1"/>
  <c r="A45404" i="1"/>
  <c r="B45404" i="1"/>
  <c r="A45405" i="1"/>
  <c r="B45405" i="1"/>
  <c r="A45406" i="1"/>
  <c r="B45406" i="1"/>
  <c r="A45407" i="1"/>
  <c r="B45407" i="1"/>
  <c r="A45408" i="1"/>
  <c r="B45408" i="1"/>
  <c r="A45409" i="1"/>
  <c r="B45409" i="1"/>
  <c r="A45410" i="1"/>
  <c r="B45410" i="1"/>
  <c r="A45411" i="1"/>
  <c r="B45411" i="1"/>
  <c r="A45412" i="1"/>
  <c r="B45412" i="1"/>
  <c r="A45413" i="1"/>
  <c r="B45413" i="1"/>
  <c r="A45414" i="1"/>
  <c r="B45414" i="1"/>
  <c r="A45415" i="1"/>
  <c r="B45415" i="1"/>
  <c r="A45416" i="1"/>
  <c r="B45416" i="1"/>
  <c r="A45417" i="1"/>
  <c r="B45417" i="1"/>
  <c r="A45418" i="1"/>
  <c r="B45418" i="1"/>
  <c r="A45419" i="1"/>
  <c r="B45419" i="1"/>
  <c r="A45420" i="1"/>
  <c r="B45420" i="1"/>
  <c r="A45421" i="1"/>
  <c r="B45421" i="1"/>
  <c r="A45422" i="1"/>
  <c r="B45422" i="1"/>
  <c r="A45423" i="1"/>
  <c r="B45423" i="1"/>
  <c r="A45424" i="1"/>
  <c r="B45424" i="1"/>
  <c r="A45425" i="1"/>
  <c r="B45425" i="1"/>
  <c r="A45426" i="1"/>
  <c r="B45426" i="1"/>
  <c r="A45427" i="1"/>
  <c r="B45427" i="1"/>
  <c r="A45428" i="1"/>
  <c r="B45428" i="1"/>
  <c r="A45429" i="1"/>
  <c r="B45429" i="1"/>
  <c r="A45430" i="1"/>
  <c r="B45430" i="1"/>
  <c r="A45431" i="1"/>
  <c r="B45431" i="1"/>
  <c r="A45432" i="1"/>
  <c r="B45432" i="1"/>
  <c r="A45433" i="1"/>
  <c r="B45433" i="1"/>
  <c r="A45434" i="1"/>
  <c r="B45434" i="1"/>
  <c r="A45435" i="1"/>
  <c r="B45435" i="1"/>
  <c r="A45436" i="1"/>
  <c r="B45436" i="1"/>
  <c r="A45437" i="1"/>
  <c r="B45437" i="1"/>
  <c r="A45438" i="1"/>
  <c r="B45438" i="1"/>
  <c r="A45439" i="1"/>
  <c r="B45439" i="1"/>
  <c r="A45440" i="1"/>
  <c r="B45440" i="1"/>
  <c r="A45441" i="1"/>
  <c r="B45441" i="1"/>
  <c r="A45442" i="1"/>
  <c r="B45442" i="1"/>
  <c r="A45443" i="1"/>
  <c r="B45443" i="1"/>
  <c r="A45444" i="1"/>
  <c r="B45444" i="1"/>
  <c r="A45445" i="1"/>
  <c r="B45445" i="1"/>
  <c r="A45446" i="1"/>
  <c r="B45446" i="1"/>
  <c r="A45447" i="1"/>
  <c r="B45447" i="1"/>
  <c r="A45448" i="1"/>
  <c r="B45448" i="1"/>
  <c r="A45449" i="1"/>
  <c r="B45449" i="1"/>
  <c r="A45450" i="1"/>
  <c r="B45450" i="1"/>
  <c r="A45451" i="1"/>
  <c r="B45451" i="1"/>
  <c r="A45452" i="1"/>
  <c r="B45452" i="1"/>
  <c r="A45453" i="1"/>
  <c r="B45453" i="1"/>
  <c r="A45454" i="1"/>
  <c r="B45454" i="1"/>
  <c r="A45455" i="1"/>
  <c r="B45455" i="1"/>
  <c r="A45456" i="1"/>
  <c r="B45456" i="1"/>
  <c r="A45457" i="1"/>
  <c r="B45457" i="1"/>
  <c r="A45458" i="1"/>
  <c r="B45458" i="1"/>
  <c r="A45459" i="1"/>
  <c r="B45459" i="1"/>
  <c r="A45460" i="1"/>
  <c r="B45460" i="1"/>
  <c r="A45461" i="1"/>
  <c r="B45461" i="1"/>
  <c r="A45462" i="1"/>
  <c r="B45462" i="1"/>
  <c r="A45463" i="1"/>
  <c r="B45463" i="1"/>
  <c r="A45464" i="1"/>
  <c r="B45464" i="1"/>
  <c r="A45465" i="1"/>
  <c r="B45465" i="1"/>
  <c r="A45466" i="1"/>
  <c r="B45466" i="1"/>
  <c r="A45467" i="1"/>
  <c r="B45467" i="1"/>
  <c r="A45468" i="1"/>
  <c r="B45468" i="1"/>
  <c r="A45469" i="1"/>
  <c r="B45469" i="1"/>
  <c r="A45470" i="1"/>
  <c r="B45470" i="1"/>
  <c r="A45471" i="1"/>
  <c r="B45471" i="1"/>
  <c r="A45472" i="1"/>
  <c r="B45472" i="1"/>
  <c r="A45473" i="1"/>
  <c r="B45473" i="1"/>
  <c r="A45474" i="1"/>
  <c r="B45474" i="1"/>
  <c r="A45475" i="1"/>
  <c r="B45475" i="1"/>
  <c r="A45476" i="1"/>
  <c r="B45476" i="1"/>
  <c r="A45477" i="1"/>
  <c r="B45477" i="1"/>
  <c r="A45478" i="1"/>
  <c r="B45478" i="1"/>
  <c r="A45479" i="1"/>
  <c r="B45479" i="1"/>
  <c r="A45480" i="1"/>
  <c r="B45480" i="1"/>
  <c r="A45481" i="1"/>
  <c r="B45481" i="1"/>
  <c r="A45482" i="1"/>
  <c r="B45482" i="1"/>
  <c r="A45483" i="1"/>
  <c r="B45483" i="1"/>
  <c r="A45484" i="1"/>
  <c r="B45484" i="1"/>
  <c r="A45485" i="1"/>
  <c r="B45485" i="1"/>
  <c r="A45486" i="1"/>
  <c r="B45486" i="1"/>
  <c r="A45487" i="1"/>
  <c r="B45487" i="1"/>
  <c r="A45488" i="1"/>
  <c r="B45488" i="1"/>
  <c r="A45489" i="1"/>
  <c r="B45489" i="1"/>
  <c r="A45490" i="1"/>
  <c r="B45490" i="1"/>
  <c r="A45491" i="1"/>
  <c r="B45491" i="1"/>
  <c r="A45492" i="1"/>
  <c r="B45492" i="1"/>
  <c r="A45493" i="1"/>
  <c r="B45493" i="1"/>
  <c r="A45494" i="1"/>
  <c r="B45494" i="1"/>
  <c r="A45495" i="1"/>
  <c r="B45495" i="1"/>
  <c r="A45496" i="1"/>
  <c r="B45496" i="1"/>
  <c r="A45497" i="1"/>
  <c r="B45497" i="1"/>
  <c r="A45498" i="1"/>
  <c r="B45498" i="1"/>
  <c r="A45499" i="1"/>
  <c r="B45499" i="1"/>
  <c r="A45500" i="1"/>
  <c r="B45500" i="1"/>
  <c r="A45501" i="1"/>
  <c r="B45501" i="1"/>
  <c r="A45502" i="1"/>
  <c r="B45502" i="1"/>
  <c r="A45503" i="1"/>
  <c r="B45503" i="1"/>
  <c r="A45504" i="1"/>
  <c r="B45504" i="1"/>
  <c r="A45505" i="1"/>
  <c r="B45505" i="1"/>
  <c r="A45506" i="1"/>
  <c r="B45506" i="1"/>
  <c r="A45507" i="1"/>
  <c r="B45507" i="1"/>
  <c r="A45508" i="1"/>
  <c r="B45508" i="1"/>
  <c r="A45509" i="1"/>
  <c r="B45509" i="1"/>
  <c r="A45510" i="1"/>
  <c r="B45510" i="1"/>
  <c r="A45511" i="1"/>
  <c r="B45511" i="1"/>
  <c r="A45512" i="1"/>
  <c r="B45512" i="1"/>
  <c r="A45513" i="1"/>
  <c r="B45513" i="1"/>
  <c r="A45514" i="1"/>
  <c r="B45514" i="1"/>
  <c r="A45515" i="1"/>
  <c r="B45515" i="1"/>
  <c r="A45516" i="1"/>
  <c r="B45516" i="1"/>
  <c r="A45517" i="1"/>
  <c r="B45517" i="1"/>
  <c r="A45518" i="1"/>
  <c r="B45518" i="1"/>
  <c r="A45519" i="1"/>
  <c r="B45519" i="1"/>
  <c r="A45520" i="1"/>
  <c r="B45520" i="1"/>
  <c r="A45521" i="1"/>
  <c r="B45521" i="1"/>
  <c r="A45522" i="1"/>
  <c r="B45522" i="1"/>
  <c r="A45523" i="1"/>
  <c r="B45523" i="1"/>
  <c r="A45524" i="1"/>
  <c r="B45524" i="1"/>
  <c r="A45525" i="1"/>
  <c r="B45525" i="1"/>
  <c r="A45526" i="1"/>
  <c r="B45526" i="1"/>
  <c r="A45527" i="1"/>
  <c r="B45527" i="1"/>
  <c r="A45528" i="1"/>
  <c r="B45528" i="1"/>
  <c r="A45529" i="1"/>
  <c r="B45529" i="1"/>
  <c r="A45530" i="1"/>
  <c r="B45530" i="1"/>
  <c r="A45531" i="1"/>
  <c r="B45531" i="1"/>
  <c r="A45532" i="1"/>
  <c r="B45532" i="1"/>
  <c r="A45533" i="1"/>
  <c r="B45533" i="1"/>
  <c r="A45534" i="1"/>
  <c r="B45534" i="1"/>
  <c r="A45535" i="1"/>
  <c r="B45535" i="1"/>
  <c r="A45536" i="1"/>
  <c r="B45536" i="1"/>
  <c r="A45537" i="1"/>
  <c r="B45537" i="1"/>
  <c r="A45538" i="1"/>
  <c r="B45538" i="1"/>
  <c r="A45539" i="1"/>
  <c r="B45539" i="1"/>
  <c r="A45540" i="1"/>
  <c r="B45540" i="1"/>
  <c r="A45541" i="1"/>
  <c r="B45541" i="1"/>
  <c r="A45542" i="1"/>
  <c r="B45542" i="1"/>
  <c r="A45543" i="1"/>
  <c r="B45543" i="1"/>
  <c r="A45544" i="1"/>
  <c r="B45544" i="1"/>
  <c r="A45545" i="1"/>
  <c r="B45545" i="1"/>
  <c r="A45546" i="1"/>
  <c r="B45546" i="1"/>
  <c r="A45547" i="1"/>
  <c r="B45547" i="1"/>
  <c r="A45548" i="1"/>
  <c r="B45548" i="1"/>
  <c r="A45549" i="1"/>
  <c r="B45549" i="1"/>
  <c r="A45550" i="1"/>
  <c r="B45550" i="1"/>
  <c r="A45551" i="1"/>
  <c r="B45551" i="1"/>
  <c r="A45552" i="1"/>
  <c r="B45552" i="1"/>
  <c r="A45553" i="1"/>
  <c r="B45553" i="1"/>
  <c r="A45554" i="1"/>
  <c r="B45554" i="1"/>
  <c r="A45555" i="1"/>
  <c r="B45555" i="1"/>
  <c r="A45556" i="1"/>
  <c r="B45556" i="1"/>
  <c r="A45557" i="1"/>
  <c r="B45557" i="1"/>
  <c r="A45558" i="1"/>
  <c r="B45558" i="1"/>
  <c r="A45559" i="1"/>
  <c r="B45559" i="1"/>
  <c r="A45560" i="1"/>
  <c r="B45560" i="1"/>
  <c r="A45561" i="1"/>
  <c r="B45561" i="1"/>
  <c r="A45562" i="1"/>
  <c r="B45562" i="1"/>
  <c r="A45563" i="1"/>
  <c r="B45563" i="1"/>
  <c r="A45564" i="1"/>
  <c r="B45564" i="1"/>
  <c r="A45565" i="1"/>
  <c r="B45565" i="1"/>
  <c r="A45566" i="1"/>
  <c r="B45566" i="1"/>
  <c r="A45567" i="1"/>
  <c r="B45567" i="1"/>
  <c r="A45568" i="1"/>
  <c r="B45568" i="1"/>
  <c r="A45569" i="1"/>
  <c r="B45569" i="1"/>
  <c r="A45570" i="1"/>
  <c r="B45570" i="1"/>
  <c r="A45571" i="1"/>
  <c r="B45571" i="1"/>
  <c r="A45572" i="1"/>
  <c r="B45572" i="1"/>
  <c r="A45573" i="1"/>
  <c r="B45573" i="1"/>
  <c r="A45574" i="1"/>
  <c r="B45574" i="1"/>
  <c r="A45575" i="1"/>
  <c r="B45575" i="1"/>
  <c r="A45576" i="1"/>
  <c r="B45576" i="1"/>
  <c r="A45577" i="1"/>
  <c r="B45577" i="1"/>
  <c r="A45578" i="1"/>
  <c r="B45578" i="1"/>
  <c r="A45579" i="1"/>
  <c r="B45579" i="1"/>
  <c r="A45580" i="1"/>
  <c r="B45580" i="1"/>
  <c r="A45581" i="1"/>
  <c r="B45581" i="1"/>
  <c r="A45582" i="1"/>
  <c r="B45582" i="1"/>
  <c r="A45583" i="1"/>
  <c r="B45583" i="1"/>
  <c r="A45584" i="1"/>
  <c r="B45584" i="1"/>
  <c r="A45585" i="1"/>
  <c r="B45585" i="1"/>
  <c r="A45586" i="1"/>
  <c r="B45586" i="1"/>
  <c r="A45587" i="1"/>
  <c r="B45587" i="1"/>
  <c r="A45588" i="1"/>
  <c r="B45588" i="1"/>
  <c r="A45589" i="1"/>
  <c r="B45589" i="1"/>
  <c r="A45590" i="1"/>
  <c r="B45590" i="1"/>
  <c r="A45591" i="1"/>
  <c r="B45591" i="1"/>
  <c r="A45592" i="1"/>
  <c r="B45592" i="1"/>
  <c r="A45593" i="1"/>
  <c r="B45593" i="1"/>
  <c r="A45594" i="1"/>
  <c r="B45594" i="1"/>
  <c r="A45595" i="1"/>
  <c r="B45595" i="1"/>
  <c r="A45596" i="1"/>
  <c r="B45596" i="1"/>
  <c r="A45597" i="1"/>
  <c r="B45597" i="1"/>
  <c r="A45598" i="1"/>
  <c r="B45598" i="1"/>
  <c r="A45599" i="1"/>
  <c r="B45599" i="1"/>
  <c r="A45600" i="1"/>
  <c r="B45600" i="1"/>
  <c r="A45601" i="1"/>
  <c r="B45601" i="1"/>
  <c r="A45602" i="1"/>
  <c r="B45602" i="1"/>
  <c r="A45603" i="1"/>
  <c r="B45603" i="1"/>
  <c r="A45604" i="1"/>
  <c r="B45604" i="1"/>
  <c r="A45605" i="1"/>
  <c r="B45605" i="1"/>
  <c r="A45606" i="1"/>
  <c r="B45606" i="1"/>
  <c r="A45607" i="1"/>
  <c r="B45607" i="1"/>
  <c r="A45608" i="1"/>
  <c r="B45608" i="1"/>
  <c r="A45609" i="1"/>
  <c r="B45609" i="1"/>
  <c r="A45610" i="1"/>
  <c r="B45610" i="1"/>
  <c r="A45611" i="1"/>
  <c r="B45611" i="1"/>
  <c r="A45612" i="1"/>
  <c r="B45612" i="1"/>
  <c r="A45613" i="1"/>
  <c r="B45613" i="1"/>
  <c r="A45614" i="1"/>
  <c r="B45614" i="1"/>
  <c r="A45615" i="1"/>
  <c r="B45615" i="1"/>
  <c r="A45616" i="1"/>
  <c r="B45616" i="1"/>
  <c r="A45617" i="1"/>
  <c r="B45617" i="1"/>
  <c r="A45618" i="1"/>
  <c r="B45618" i="1"/>
  <c r="A45619" i="1"/>
  <c r="B45619" i="1"/>
  <c r="A45620" i="1"/>
  <c r="B45620" i="1"/>
  <c r="A45621" i="1"/>
  <c r="B45621" i="1"/>
  <c r="A45622" i="1"/>
  <c r="B45622" i="1"/>
  <c r="A45623" i="1"/>
  <c r="B45623" i="1"/>
  <c r="A45624" i="1"/>
  <c r="B45624" i="1"/>
  <c r="A45625" i="1"/>
  <c r="B45625" i="1"/>
  <c r="A45626" i="1"/>
  <c r="B45626" i="1"/>
  <c r="A45627" i="1"/>
  <c r="B45627" i="1"/>
  <c r="A45628" i="1"/>
  <c r="B45628" i="1"/>
  <c r="A45629" i="1"/>
  <c r="B45629" i="1"/>
  <c r="A45630" i="1"/>
  <c r="B45630" i="1"/>
  <c r="A45631" i="1"/>
  <c r="B45631" i="1"/>
  <c r="A45632" i="1"/>
  <c r="B45632" i="1"/>
  <c r="A45633" i="1"/>
  <c r="B45633" i="1"/>
  <c r="A45634" i="1"/>
  <c r="B45634" i="1"/>
  <c r="A45635" i="1"/>
  <c r="B45635" i="1"/>
  <c r="A45636" i="1"/>
  <c r="B45636" i="1"/>
  <c r="A45637" i="1"/>
  <c r="B45637" i="1"/>
  <c r="A45638" i="1"/>
  <c r="B45638" i="1"/>
  <c r="A45639" i="1"/>
  <c r="B45639" i="1"/>
  <c r="A45640" i="1"/>
  <c r="B45640" i="1"/>
  <c r="A45641" i="1"/>
  <c r="B45641" i="1"/>
  <c r="A45642" i="1"/>
  <c r="B45642" i="1"/>
  <c r="A45643" i="1"/>
  <c r="B45643" i="1"/>
  <c r="A45644" i="1"/>
  <c r="B45644" i="1"/>
  <c r="A45645" i="1"/>
  <c r="B45645" i="1"/>
  <c r="A45646" i="1"/>
  <c r="B45646" i="1"/>
  <c r="A45647" i="1"/>
  <c r="B45647" i="1"/>
  <c r="A45648" i="1"/>
  <c r="B45648" i="1"/>
  <c r="A45649" i="1"/>
  <c r="B45649" i="1"/>
  <c r="A45650" i="1"/>
  <c r="B45650" i="1"/>
  <c r="A45651" i="1"/>
  <c r="B45651" i="1"/>
  <c r="A45652" i="1"/>
  <c r="B45652" i="1"/>
  <c r="A45653" i="1"/>
  <c r="B45653" i="1"/>
  <c r="A45654" i="1"/>
  <c r="B45654" i="1"/>
  <c r="A45655" i="1"/>
  <c r="B45655" i="1"/>
  <c r="A45656" i="1"/>
  <c r="B45656" i="1"/>
  <c r="A45657" i="1"/>
  <c r="B45657" i="1"/>
  <c r="A45658" i="1"/>
  <c r="B45658" i="1"/>
  <c r="A45659" i="1"/>
  <c r="B45659" i="1"/>
  <c r="A45660" i="1"/>
  <c r="B45660" i="1"/>
  <c r="A45661" i="1"/>
  <c r="B45661" i="1"/>
  <c r="A45662" i="1"/>
  <c r="B45662" i="1"/>
  <c r="A45663" i="1"/>
  <c r="B45663" i="1"/>
  <c r="A45664" i="1"/>
  <c r="B45664" i="1"/>
  <c r="A45665" i="1"/>
  <c r="B45665" i="1"/>
  <c r="A45666" i="1"/>
  <c r="B45666" i="1"/>
  <c r="A45667" i="1"/>
  <c r="B45667" i="1"/>
  <c r="A45668" i="1"/>
  <c r="B45668" i="1"/>
  <c r="A45669" i="1"/>
  <c r="B45669" i="1"/>
  <c r="A45670" i="1"/>
  <c r="B45670" i="1"/>
  <c r="A45671" i="1"/>
  <c r="B45671" i="1"/>
  <c r="A45672" i="1"/>
  <c r="B45672" i="1"/>
  <c r="A45673" i="1"/>
  <c r="B45673" i="1"/>
  <c r="A45674" i="1"/>
  <c r="B45674" i="1"/>
  <c r="A45675" i="1"/>
  <c r="B45675" i="1"/>
  <c r="A45676" i="1"/>
  <c r="B45676" i="1"/>
  <c r="A45677" i="1"/>
  <c r="B45677" i="1"/>
  <c r="A45678" i="1"/>
  <c r="B45678" i="1"/>
  <c r="A45679" i="1"/>
  <c r="B45679" i="1"/>
  <c r="A45680" i="1"/>
  <c r="B45680" i="1"/>
  <c r="A45681" i="1"/>
  <c r="B45681" i="1"/>
  <c r="A45682" i="1"/>
  <c r="B45682" i="1"/>
  <c r="A45683" i="1"/>
  <c r="B45683" i="1"/>
  <c r="A45684" i="1"/>
  <c r="B45684" i="1"/>
  <c r="A45685" i="1"/>
  <c r="B45685" i="1"/>
  <c r="A45686" i="1"/>
  <c r="B45686" i="1"/>
  <c r="A45687" i="1"/>
  <c r="B45687" i="1"/>
  <c r="A45688" i="1"/>
  <c r="B45688" i="1"/>
  <c r="A45689" i="1"/>
  <c r="B45689" i="1"/>
  <c r="A45690" i="1"/>
  <c r="B45690" i="1"/>
  <c r="A45691" i="1"/>
  <c r="B45691" i="1"/>
  <c r="A45692" i="1"/>
  <c r="B45692" i="1"/>
  <c r="A45693" i="1"/>
  <c r="B45693" i="1"/>
  <c r="A45694" i="1"/>
  <c r="B45694" i="1"/>
  <c r="A45695" i="1"/>
  <c r="B45695" i="1"/>
  <c r="A45696" i="1"/>
  <c r="B45696" i="1"/>
  <c r="A45697" i="1"/>
  <c r="B45697" i="1"/>
  <c r="A45698" i="1"/>
  <c r="B45698" i="1"/>
  <c r="A45699" i="1"/>
  <c r="B45699" i="1"/>
  <c r="A45700" i="1"/>
  <c r="B45700" i="1"/>
  <c r="A45701" i="1"/>
  <c r="B45701" i="1"/>
  <c r="A45702" i="1"/>
  <c r="B45702" i="1"/>
  <c r="A45703" i="1"/>
  <c r="B45703" i="1"/>
  <c r="A45704" i="1"/>
  <c r="B45704" i="1"/>
  <c r="A45705" i="1"/>
  <c r="B45705" i="1"/>
  <c r="A45706" i="1"/>
  <c r="B45706" i="1"/>
  <c r="A45707" i="1"/>
  <c r="B45707" i="1"/>
  <c r="A45708" i="1"/>
  <c r="B45708" i="1"/>
  <c r="A45709" i="1"/>
  <c r="B45709" i="1"/>
  <c r="A45710" i="1"/>
  <c r="B45710" i="1"/>
  <c r="A45711" i="1"/>
  <c r="B45711" i="1"/>
  <c r="A45712" i="1"/>
  <c r="B45712" i="1"/>
  <c r="A45713" i="1"/>
  <c r="B45713" i="1"/>
  <c r="A45714" i="1"/>
  <c r="B45714" i="1"/>
  <c r="A45715" i="1"/>
  <c r="B45715" i="1"/>
  <c r="A45716" i="1"/>
  <c r="B45716" i="1"/>
  <c r="A45717" i="1"/>
  <c r="B45717" i="1"/>
  <c r="A45718" i="1"/>
  <c r="B45718" i="1"/>
  <c r="A45719" i="1"/>
  <c r="B45719" i="1"/>
  <c r="A45720" i="1"/>
  <c r="B45720" i="1"/>
  <c r="A45721" i="1"/>
  <c r="B45721" i="1"/>
  <c r="A45722" i="1"/>
  <c r="B45722" i="1"/>
  <c r="A45723" i="1"/>
  <c r="B45723" i="1"/>
  <c r="A45724" i="1"/>
  <c r="B45724" i="1"/>
  <c r="A45725" i="1"/>
  <c r="B45725" i="1"/>
  <c r="A45726" i="1"/>
  <c r="B45726" i="1"/>
  <c r="A45727" i="1"/>
  <c r="B45727" i="1"/>
  <c r="A45728" i="1"/>
  <c r="B45728" i="1"/>
  <c r="A45729" i="1"/>
  <c r="B45729" i="1"/>
  <c r="A45730" i="1"/>
  <c r="B45730" i="1"/>
  <c r="A45731" i="1"/>
  <c r="B45731" i="1"/>
  <c r="A45732" i="1"/>
  <c r="B45732" i="1"/>
  <c r="A45733" i="1"/>
  <c r="B45733" i="1"/>
  <c r="A45734" i="1"/>
  <c r="B45734" i="1"/>
  <c r="A45735" i="1"/>
  <c r="B45735" i="1"/>
  <c r="A45736" i="1"/>
  <c r="B45736" i="1"/>
  <c r="A45737" i="1"/>
  <c r="B45737" i="1"/>
  <c r="A45738" i="1"/>
  <c r="B45738" i="1"/>
  <c r="A45739" i="1"/>
  <c r="B45739" i="1"/>
  <c r="A45740" i="1"/>
  <c r="B45740" i="1"/>
  <c r="A45741" i="1"/>
  <c r="B45741" i="1"/>
  <c r="A45742" i="1"/>
  <c r="B45742" i="1"/>
  <c r="A45743" i="1"/>
  <c r="B45743" i="1"/>
  <c r="A45744" i="1"/>
  <c r="B45744" i="1"/>
  <c r="A45745" i="1"/>
  <c r="B45745" i="1"/>
  <c r="A45746" i="1"/>
  <c r="B45746" i="1"/>
  <c r="A45747" i="1"/>
  <c r="B45747" i="1"/>
  <c r="A45748" i="1"/>
  <c r="B45748" i="1"/>
  <c r="A45749" i="1"/>
  <c r="B45749" i="1"/>
  <c r="A45750" i="1"/>
  <c r="B45750" i="1"/>
  <c r="A45751" i="1"/>
  <c r="B45751" i="1"/>
  <c r="A45752" i="1"/>
  <c r="B45752" i="1"/>
  <c r="A45753" i="1"/>
  <c r="B45753" i="1"/>
  <c r="A45754" i="1"/>
  <c r="B45754" i="1"/>
  <c r="A45755" i="1"/>
  <c r="B45755" i="1"/>
  <c r="A45756" i="1"/>
  <c r="B45756" i="1"/>
  <c r="A45757" i="1"/>
  <c r="B45757" i="1"/>
  <c r="A45758" i="1"/>
  <c r="B45758" i="1"/>
  <c r="A45759" i="1"/>
  <c r="B45759" i="1"/>
  <c r="A45760" i="1"/>
  <c r="B45760" i="1"/>
  <c r="A45761" i="1"/>
  <c r="B45761" i="1"/>
  <c r="A45762" i="1"/>
  <c r="B45762" i="1"/>
  <c r="A45763" i="1"/>
  <c r="B45763" i="1"/>
  <c r="A45764" i="1"/>
  <c r="B45764" i="1"/>
  <c r="A45765" i="1"/>
  <c r="B45765" i="1"/>
  <c r="A45766" i="1"/>
  <c r="B45766" i="1"/>
  <c r="A45767" i="1"/>
  <c r="B45767" i="1"/>
  <c r="A45768" i="1"/>
  <c r="B45768" i="1"/>
  <c r="A45769" i="1"/>
  <c r="B45769" i="1"/>
  <c r="A45770" i="1"/>
  <c r="B45770" i="1"/>
  <c r="A45771" i="1"/>
  <c r="B45771" i="1"/>
  <c r="A45772" i="1"/>
  <c r="B45772" i="1"/>
  <c r="A45773" i="1"/>
  <c r="B45773" i="1"/>
  <c r="A45774" i="1"/>
  <c r="B45774" i="1"/>
  <c r="A45775" i="1"/>
  <c r="B45775" i="1"/>
  <c r="A45776" i="1"/>
  <c r="B45776" i="1"/>
  <c r="A45777" i="1"/>
  <c r="B45777" i="1"/>
  <c r="A45778" i="1"/>
  <c r="B45778" i="1"/>
  <c r="A45779" i="1"/>
  <c r="B45779" i="1"/>
  <c r="A45780" i="1"/>
  <c r="B45780" i="1"/>
  <c r="A45781" i="1"/>
  <c r="B45781" i="1"/>
  <c r="A45782" i="1"/>
  <c r="B45782" i="1"/>
  <c r="A45783" i="1"/>
  <c r="B45783" i="1"/>
  <c r="A45784" i="1"/>
  <c r="B45784" i="1"/>
  <c r="A45785" i="1"/>
  <c r="B45785" i="1"/>
  <c r="A45786" i="1"/>
  <c r="B45786" i="1"/>
  <c r="A45787" i="1"/>
  <c r="B45787" i="1"/>
  <c r="A45788" i="1"/>
  <c r="B45788" i="1"/>
  <c r="A45789" i="1"/>
  <c r="B45789" i="1"/>
  <c r="A45790" i="1"/>
  <c r="B45790" i="1"/>
  <c r="A45791" i="1"/>
  <c r="B45791" i="1"/>
  <c r="A45792" i="1"/>
  <c r="B45792" i="1"/>
  <c r="A45793" i="1"/>
  <c r="B45793" i="1"/>
  <c r="A45794" i="1"/>
  <c r="B45794" i="1"/>
  <c r="A45795" i="1"/>
  <c r="B45795" i="1"/>
  <c r="A45796" i="1"/>
  <c r="B45796" i="1"/>
  <c r="A45797" i="1"/>
  <c r="B45797" i="1"/>
  <c r="A45798" i="1"/>
  <c r="B45798" i="1"/>
  <c r="A45799" i="1"/>
  <c r="B45799" i="1"/>
  <c r="A45800" i="1"/>
  <c r="B45800" i="1"/>
  <c r="A45801" i="1"/>
  <c r="B45801" i="1"/>
  <c r="A45802" i="1"/>
  <c r="B45802" i="1"/>
  <c r="A45803" i="1"/>
  <c r="B45803" i="1"/>
  <c r="A45804" i="1"/>
  <c r="B45804" i="1"/>
  <c r="A45805" i="1"/>
  <c r="B45805" i="1"/>
  <c r="A45806" i="1"/>
  <c r="B45806" i="1"/>
  <c r="A45807" i="1"/>
  <c r="B45807" i="1"/>
  <c r="A45808" i="1"/>
  <c r="B45808" i="1"/>
  <c r="A45809" i="1"/>
  <c r="B45809" i="1"/>
  <c r="A45810" i="1"/>
  <c r="B45810" i="1"/>
  <c r="A45811" i="1"/>
  <c r="B45811" i="1"/>
  <c r="A45812" i="1"/>
  <c r="B45812" i="1"/>
  <c r="A45813" i="1"/>
  <c r="B45813" i="1"/>
  <c r="A45814" i="1"/>
  <c r="B45814" i="1"/>
  <c r="A45815" i="1"/>
  <c r="B45815" i="1"/>
  <c r="A45816" i="1"/>
  <c r="B45816" i="1"/>
  <c r="A45817" i="1"/>
  <c r="B45817" i="1"/>
  <c r="A45818" i="1"/>
  <c r="B45818" i="1"/>
  <c r="A45819" i="1"/>
  <c r="B45819" i="1"/>
  <c r="A45820" i="1"/>
  <c r="B45820" i="1"/>
  <c r="A45821" i="1"/>
  <c r="B45821" i="1"/>
  <c r="A45822" i="1"/>
  <c r="B45822" i="1"/>
  <c r="A45823" i="1"/>
  <c r="B45823" i="1"/>
  <c r="A45824" i="1"/>
  <c r="B45824" i="1"/>
  <c r="A45825" i="1"/>
  <c r="B45825" i="1"/>
  <c r="A45826" i="1"/>
  <c r="B45826" i="1"/>
  <c r="A45827" i="1"/>
  <c r="B45827" i="1"/>
  <c r="A45828" i="1"/>
  <c r="B45828" i="1"/>
  <c r="A45829" i="1"/>
  <c r="B45829" i="1"/>
  <c r="A45830" i="1"/>
  <c r="B45830" i="1"/>
  <c r="A45831" i="1"/>
  <c r="B45831" i="1"/>
  <c r="A45832" i="1"/>
  <c r="B45832" i="1"/>
  <c r="A45833" i="1"/>
  <c r="B45833" i="1"/>
  <c r="A45834" i="1"/>
  <c r="B45834" i="1"/>
  <c r="A45835" i="1"/>
  <c r="B45835" i="1"/>
  <c r="A45836" i="1"/>
  <c r="B45836" i="1"/>
  <c r="A45837" i="1"/>
  <c r="B45837" i="1"/>
  <c r="A45838" i="1"/>
  <c r="B45838" i="1"/>
  <c r="A45839" i="1"/>
  <c r="B45839" i="1"/>
  <c r="A45840" i="1"/>
  <c r="B45840" i="1"/>
  <c r="A45841" i="1"/>
  <c r="B45841" i="1"/>
  <c r="A45842" i="1"/>
  <c r="B45842" i="1"/>
  <c r="A45843" i="1"/>
  <c r="B45843" i="1"/>
  <c r="A45844" i="1"/>
  <c r="B45844" i="1"/>
  <c r="A45845" i="1"/>
  <c r="B45845" i="1"/>
  <c r="A45846" i="1"/>
  <c r="B45846" i="1"/>
  <c r="A45847" i="1"/>
  <c r="B45847" i="1"/>
  <c r="A45848" i="1"/>
  <c r="B45848" i="1"/>
  <c r="A45849" i="1"/>
  <c r="B45849" i="1"/>
  <c r="A45850" i="1"/>
  <c r="B45850" i="1"/>
  <c r="A45851" i="1"/>
  <c r="B45851" i="1"/>
  <c r="A45852" i="1"/>
  <c r="B45852" i="1"/>
  <c r="A45853" i="1"/>
  <c r="B45853" i="1"/>
  <c r="A45854" i="1"/>
  <c r="B45854" i="1"/>
  <c r="A45855" i="1"/>
  <c r="B45855" i="1"/>
  <c r="A45856" i="1"/>
  <c r="B45856" i="1"/>
  <c r="A45857" i="1"/>
  <c r="B45857" i="1"/>
  <c r="A45858" i="1"/>
  <c r="B45858" i="1"/>
  <c r="A45859" i="1"/>
  <c r="B45859" i="1"/>
  <c r="A45860" i="1"/>
  <c r="B45860" i="1"/>
  <c r="A45861" i="1"/>
  <c r="B45861" i="1"/>
  <c r="A45862" i="1"/>
  <c r="B45862" i="1"/>
  <c r="A45863" i="1"/>
  <c r="B45863" i="1"/>
  <c r="A45864" i="1"/>
  <c r="B45864" i="1"/>
  <c r="A45865" i="1"/>
  <c r="B45865" i="1"/>
  <c r="A45866" i="1"/>
  <c r="B45866" i="1"/>
  <c r="A45867" i="1"/>
  <c r="B45867" i="1"/>
  <c r="A45868" i="1"/>
  <c r="B45868" i="1"/>
  <c r="A45869" i="1"/>
  <c r="B45869" i="1"/>
  <c r="A45870" i="1"/>
  <c r="B45870" i="1"/>
  <c r="A45871" i="1"/>
  <c r="B45871" i="1"/>
  <c r="A45872" i="1"/>
  <c r="B45872" i="1"/>
  <c r="A45873" i="1"/>
  <c r="B45873" i="1"/>
  <c r="A45874" i="1"/>
  <c r="B45874" i="1"/>
  <c r="A45875" i="1"/>
  <c r="B45875" i="1"/>
  <c r="A45876" i="1"/>
  <c r="B45876" i="1"/>
  <c r="A45877" i="1"/>
  <c r="B45877" i="1"/>
  <c r="A45878" i="1"/>
  <c r="B45878" i="1"/>
  <c r="A45879" i="1"/>
  <c r="B45879" i="1"/>
  <c r="A45880" i="1"/>
  <c r="B45880" i="1"/>
  <c r="A45881" i="1"/>
  <c r="B45881" i="1"/>
  <c r="A45882" i="1"/>
  <c r="B45882" i="1"/>
  <c r="A45883" i="1"/>
  <c r="B45883" i="1"/>
  <c r="A45884" i="1"/>
  <c r="B45884" i="1"/>
  <c r="A45885" i="1"/>
  <c r="B45885" i="1"/>
  <c r="A45886" i="1"/>
  <c r="B45886" i="1"/>
  <c r="A45887" i="1"/>
  <c r="B45887" i="1"/>
  <c r="A45888" i="1"/>
  <c r="B45888" i="1"/>
  <c r="A45889" i="1"/>
  <c r="B45889" i="1"/>
  <c r="A45890" i="1"/>
  <c r="B45890" i="1"/>
  <c r="A45891" i="1"/>
  <c r="B45891" i="1"/>
  <c r="A45892" i="1"/>
  <c r="B45892" i="1"/>
  <c r="A45893" i="1"/>
  <c r="B45893" i="1"/>
  <c r="A45894" i="1"/>
  <c r="B45894" i="1"/>
  <c r="A45895" i="1"/>
  <c r="B45895" i="1"/>
  <c r="A45896" i="1"/>
  <c r="B45896" i="1"/>
  <c r="A45897" i="1"/>
  <c r="B45897" i="1"/>
  <c r="A45898" i="1"/>
  <c r="B45898" i="1"/>
  <c r="A45899" i="1"/>
  <c r="B45899" i="1"/>
  <c r="A45900" i="1"/>
  <c r="B45900" i="1"/>
  <c r="A45901" i="1"/>
  <c r="B45901" i="1"/>
  <c r="A45902" i="1"/>
  <c r="B45902" i="1"/>
  <c r="A45903" i="1"/>
  <c r="B45903" i="1"/>
  <c r="A45904" i="1"/>
  <c r="B45904" i="1"/>
  <c r="A45905" i="1"/>
  <c r="B45905" i="1"/>
  <c r="A45906" i="1"/>
  <c r="B45906" i="1"/>
  <c r="A45907" i="1"/>
  <c r="B45907" i="1"/>
  <c r="A45908" i="1"/>
  <c r="B45908" i="1"/>
  <c r="A45909" i="1"/>
  <c r="B45909" i="1"/>
  <c r="A45910" i="1"/>
  <c r="B45910" i="1"/>
  <c r="A45911" i="1"/>
  <c r="B45911" i="1"/>
  <c r="A45912" i="1"/>
  <c r="B45912" i="1"/>
  <c r="A45913" i="1"/>
  <c r="B45913" i="1"/>
  <c r="A45914" i="1"/>
  <c r="B45914" i="1"/>
  <c r="A45915" i="1"/>
  <c r="B45915" i="1"/>
  <c r="A45916" i="1"/>
  <c r="B45916" i="1"/>
  <c r="A45917" i="1"/>
  <c r="B45917" i="1"/>
  <c r="A45918" i="1"/>
  <c r="B45918" i="1"/>
  <c r="A45919" i="1"/>
  <c r="B45919" i="1"/>
  <c r="A45920" i="1"/>
  <c r="B45920" i="1"/>
  <c r="A45921" i="1"/>
  <c r="B45921" i="1"/>
  <c r="A45922" i="1"/>
  <c r="B45922" i="1"/>
  <c r="A45923" i="1"/>
  <c r="B45923" i="1"/>
  <c r="A45924" i="1"/>
  <c r="B45924" i="1"/>
  <c r="A45925" i="1"/>
  <c r="B45925" i="1"/>
  <c r="A45926" i="1"/>
  <c r="B45926" i="1"/>
  <c r="A45927" i="1"/>
  <c r="B45927" i="1"/>
  <c r="A45928" i="1"/>
  <c r="B45928" i="1"/>
  <c r="A45929" i="1"/>
  <c r="B45929" i="1"/>
  <c r="A45930" i="1"/>
  <c r="B45930" i="1"/>
  <c r="A45931" i="1"/>
  <c r="B45931" i="1"/>
  <c r="A45932" i="1"/>
  <c r="B45932" i="1"/>
  <c r="A45933" i="1"/>
  <c r="B45933" i="1"/>
  <c r="A45934" i="1"/>
  <c r="B45934" i="1"/>
  <c r="A45935" i="1"/>
  <c r="B45935" i="1"/>
  <c r="A45936" i="1"/>
  <c r="B45936" i="1"/>
  <c r="A45937" i="1"/>
  <c r="B45937" i="1"/>
  <c r="A45938" i="1"/>
  <c r="B45938" i="1"/>
  <c r="A45939" i="1"/>
  <c r="B45939" i="1"/>
  <c r="A45940" i="1"/>
  <c r="B45940" i="1"/>
  <c r="A45941" i="1"/>
  <c r="B45941" i="1"/>
  <c r="A45942" i="1"/>
  <c r="B45942" i="1"/>
  <c r="A45943" i="1"/>
  <c r="B45943" i="1"/>
  <c r="A45944" i="1"/>
  <c r="B45944" i="1"/>
  <c r="A45945" i="1"/>
  <c r="B45945" i="1"/>
  <c r="A45946" i="1"/>
  <c r="B45946" i="1"/>
  <c r="A45947" i="1"/>
  <c r="B45947" i="1"/>
  <c r="A45948" i="1"/>
  <c r="B45948" i="1"/>
  <c r="A45949" i="1"/>
  <c r="B45949" i="1"/>
  <c r="A45950" i="1"/>
  <c r="B45950" i="1"/>
  <c r="A45951" i="1"/>
  <c r="B45951" i="1"/>
  <c r="A45952" i="1"/>
  <c r="B45952" i="1"/>
  <c r="A45953" i="1"/>
  <c r="B45953" i="1"/>
  <c r="A45954" i="1"/>
  <c r="B45954" i="1"/>
  <c r="A45955" i="1"/>
  <c r="B45955" i="1"/>
  <c r="A45956" i="1"/>
  <c r="B45956" i="1"/>
  <c r="A45957" i="1"/>
  <c r="B45957" i="1"/>
  <c r="A45958" i="1"/>
  <c r="B45958" i="1"/>
  <c r="A45959" i="1"/>
  <c r="B45959" i="1"/>
  <c r="A45960" i="1"/>
  <c r="B45960" i="1"/>
  <c r="A45961" i="1"/>
  <c r="B45961" i="1"/>
  <c r="A45962" i="1"/>
  <c r="B45962" i="1"/>
  <c r="A45963" i="1"/>
  <c r="B45963" i="1"/>
  <c r="A45964" i="1"/>
  <c r="B45964" i="1"/>
  <c r="A45965" i="1"/>
  <c r="B45965" i="1"/>
  <c r="A45966" i="1"/>
  <c r="B45966" i="1"/>
  <c r="A45967" i="1"/>
  <c r="B45967" i="1"/>
  <c r="A45968" i="1"/>
  <c r="B45968" i="1"/>
  <c r="A45969" i="1"/>
  <c r="B45969" i="1"/>
  <c r="A45970" i="1"/>
  <c r="B45970" i="1"/>
  <c r="A45971" i="1"/>
  <c r="B45971" i="1"/>
  <c r="A45972" i="1"/>
  <c r="B45972" i="1"/>
  <c r="A45973" i="1"/>
  <c r="B45973" i="1"/>
  <c r="A45974" i="1"/>
  <c r="B45974" i="1"/>
  <c r="A45975" i="1"/>
  <c r="B45975" i="1"/>
  <c r="A45976" i="1"/>
  <c r="B45976" i="1"/>
  <c r="A45977" i="1"/>
  <c r="B45977" i="1"/>
  <c r="A45978" i="1"/>
  <c r="B45978" i="1"/>
  <c r="A45979" i="1"/>
  <c r="B45979" i="1"/>
  <c r="A45980" i="1"/>
  <c r="B45980" i="1"/>
  <c r="A45981" i="1"/>
  <c r="B45981" i="1"/>
  <c r="A45982" i="1"/>
  <c r="B45982" i="1"/>
  <c r="A45983" i="1"/>
  <c r="B45983" i="1"/>
  <c r="A45984" i="1"/>
  <c r="B45984" i="1"/>
  <c r="A45985" i="1"/>
  <c r="B45985" i="1"/>
  <c r="A45986" i="1"/>
  <c r="B45986" i="1"/>
  <c r="A45987" i="1"/>
  <c r="B45987" i="1"/>
  <c r="A45988" i="1"/>
  <c r="B45988" i="1"/>
  <c r="A45989" i="1"/>
  <c r="B45989" i="1"/>
  <c r="A45990" i="1"/>
  <c r="B45990" i="1"/>
  <c r="A45991" i="1"/>
  <c r="B45991" i="1"/>
  <c r="A45992" i="1"/>
  <c r="B45992" i="1"/>
  <c r="A45993" i="1"/>
  <c r="B45993" i="1"/>
  <c r="A45994" i="1"/>
  <c r="B45994" i="1"/>
  <c r="A45995" i="1"/>
  <c r="B45995" i="1"/>
  <c r="A45996" i="1"/>
  <c r="B45996" i="1"/>
  <c r="A45997" i="1"/>
  <c r="B45997" i="1"/>
  <c r="A45998" i="1"/>
  <c r="B45998" i="1"/>
  <c r="A45999" i="1"/>
  <c r="B45999" i="1"/>
  <c r="A46000" i="1"/>
  <c r="B46000" i="1"/>
  <c r="A46001" i="1"/>
  <c r="B46001" i="1"/>
  <c r="A46002" i="1"/>
  <c r="B46002" i="1"/>
  <c r="A46003" i="1"/>
  <c r="B46003" i="1"/>
  <c r="A46004" i="1"/>
  <c r="B46004" i="1"/>
  <c r="A46005" i="1"/>
  <c r="B46005" i="1"/>
  <c r="A46006" i="1"/>
  <c r="B46006" i="1"/>
  <c r="A46007" i="1"/>
  <c r="B46007" i="1"/>
  <c r="A46008" i="1"/>
  <c r="B46008" i="1"/>
  <c r="A46009" i="1"/>
  <c r="B46009" i="1"/>
  <c r="A46010" i="1"/>
  <c r="B46010" i="1"/>
  <c r="A46011" i="1"/>
  <c r="B46011" i="1"/>
  <c r="A46012" i="1"/>
  <c r="B46012" i="1"/>
  <c r="A46013" i="1"/>
  <c r="B46013" i="1"/>
  <c r="A46014" i="1"/>
  <c r="B46014" i="1"/>
  <c r="A46015" i="1"/>
  <c r="B46015" i="1"/>
  <c r="A46016" i="1"/>
  <c r="B46016" i="1"/>
  <c r="A46017" i="1"/>
  <c r="B46017" i="1"/>
  <c r="A46018" i="1"/>
  <c r="B46018" i="1"/>
  <c r="A46019" i="1"/>
  <c r="B46019" i="1"/>
  <c r="A46020" i="1"/>
  <c r="B46020" i="1"/>
  <c r="A46021" i="1"/>
  <c r="B46021" i="1"/>
  <c r="A46022" i="1"/>
  <c r="B46022" i="1"/>
  <c r="A46023" i="1"/>
  <c r="B46023" i="1"/>
  <c r="A46024" i="1"/>
  <c r="B46024" i="1"/>
  <c r="A46025" i="1"/>
  <c r="B46025" i="1"/>
  <c r="A46026" i="1"/>
  <c r="B46026" i="1"/>
  <c r="A46027" i="1"/>
  <c r="B46027" i="1"/>
  <c r="A46028" i="1"/>
  <c r="B46028" i="1"/>
  <c r="A46029" i="1"/>
  <c r="B46029" i="1"/>
  <c r="A46030" i="1"/>
  <c r="B46030" i="1"/>
  <c r="A46031" i="1"/>
  <c r="B46031" i="1"/>
  <c r="A46032" i="1"/>
  <c r="B46032" i="1"/>
  <c r="A46033" i="1"/>
  <c r="B46033" i="1"/>
  <c r="A46034" i="1"/>
  <c r="B46034" i="1"/>
  <c r="A46035" i="1"/>
  <c r="B46035" i="1"/>
  <c r="A46036" i="1"/>
  <c r="B46036" i="1"/>
  <c r="A46037" i="1"/>
  <c r="B46037" i="1"/>
  <c r="A46038" i="1"/>
  <c r="B46038" i="1"/>
  <c r="A46039" i="1"/>
  <c r="B46039" i="1"/>
  <c r="A46040" i="1"/>
  <c r="B46040" i="1"/>
  <c r="A46041" i="1"/>
  <c r="B46041" i="1"/>
  <c r="A46042" i="1"/>
  <c r="B46042" i="1"/>
  <c r="A46043" i="1"/>
  <c r="B46043" i="1"/>
  <c r="A46044" i="1"/>
  <c r="B46044" i="1"/>
  <c r="A46045" i="1"/>
  <c r="B46045" i="1"/>
  <c r="A46046" i="1"/>
  <c r="B46046" i="1"/>
  <c r="A46047" i="1"/>
  <c r="B46047" i="1"/>
  <c r="A46048" i="1"/>
  <c r="B46048" i="1"/>
  <c r="A46049" i="1"/>
  <c r="B46049" i="1"/>
  <c r="A46050" i="1"/>
  <c r="B46050" i="1"/>
  <c r="A46051" i="1"/>
  <c r="B46051" i="1"/>
  <c r="A46052" i="1"/>
  <c r="B46052" i="1"/>
  <c r="A46053" i="1"/>
  <c r="B46053" i="1"/>
  <c r="A46054" i="1"/>
  <c r="B46054" i="1"/>
  <c r="A46055" i="1"/>
  <c r="B46055" i="1"/>
  <c r="A46056" i="1"/>
  <c r="B46056" i="1"/>
  <c r="A46057" i="1"/>
  <c r="B46057" i="1"/>
  <c r="A46058" i="1"/>
  <c r="B46058" i="1"/>
  <c r="A46059" i="1"/>
  <c r="B46059" i="1"/>
  <c r="A46060" i="1"/>
  <c r="B46060" i="1"/>
  <c r="A46061" i="1"/>
  <c r="B46061" i="1"/>
  <c r="A46062" i="1"/>
  <c r="B46062" i="1"/>
  <c r="A46063" i="1"/>
  <c r="B46063" i="1"/>
  <c r="A46064" i="1"/>
  <c r="B46064" i="1"/>
  <c r="A46065" i="1"/>
  <c r="B46065" i="1"/>
  <c r="A46066" i="1"/>
  <c r="B46066" i="1"/>
  <c r="A46067" i="1"/>
  <c r="B46067" i="1"/>
  <c r="A46068" i="1"/>
  <c r="B46068" i="1"/>
  <c r="A46069" i="1"/>
  <c r="B46069" i="1"/>
  <c r="A46070" i="1"/>
  <c r="B46070" i="1"/>
  <c r="A46071" i="1"/>
  <c r="B46071" i="1"/>
  <c r="A46072" i="1"/>
  <c r="B46072" i="1"/>
  <c r="A46073" i="1"/>
  <c r="B46073" i="1"/>
  <c r="A46074" i="1"/>
  <c r="B46074" i="1"/>
  <c r="A46075" i="1"/>
  <c r="B46075" i="1"/>
  <c r="A46076" i="1"/>
  <c r="B46076" i="1"/>
  <c r="A46077" i="1"/>
  <c r="B46077" i="1"/>
  <c r="A46078" i="1"/>
  <c r="B46078" i="1"/>
  <c r="A46079" i="1"/>
  <c r="B46079" i="1"/>
  <c r="A46080" i="1"/>
  <c r="B46080" i="1"/>
  <c r="A46081" i="1"/>
  <c r="B46081" i="1"/>
  <c r="A46082" i="1"/>
  <c r="B46082" i="1"/>
  <c r="A46083" i="1"/>
  <c r="B46083" i="1"/>
  <c r="A46084" i="1"/>
  <c r="B46084" i="1"/>
  <c r="A46085" i="1"/>
  <c r="B46085" i="1"/>
  <c r="A46086" i="1"/>
  <c r="B46086" i="1"/>
  <c r="A46087" i="1"/>
  <c r="B46087" i="1"/>
  <c r="A46088" i="1"/>
  <c r="B46088" i="1"/>
  <c r="A46089" i="1"/>
  <c r="B46089" i="1"/>
  <c r="A46090" i="1"/>
  <c r="B46090" i="1"/>
  <c r="A46091" i="1"/>
  <c r="B46091" i="1"/>
  <c r="A46092" i="1"/>
  <c r="B46092" i="1"/>
  <c r="A46093" i="1"/>
  <c r="B46093" i="1"/>
  <c r="A46094" i="1"/>
  <c r="B46094" i="1"/>
  <c r="A46095" i="1"/>
  <c r="B46095" i="1"/>
  <c r="A46096" i="1"/>
  <c r="B46096" i="1"/>
  <c r="A46097" i="1"/>
  <c r="B46097" i="1"/>
  <c r="A46098" i="1"/>
  <c r="B46098" i="1"/>
  <c r="A46099" i="1"/>
  <c r="B46099" i="1"/>
  <c r="A46100" i="1"/>
  <c r="B46100" i="1"/>
  <c r="A46101" i="1"/>
  <c r="B46101" i="1"/>
  <c r="A46102" i="1"/>
  <c r="B46102" i="1"/>
  <c r="A46103" i="1"/>
  <c r="B46103" i="1"/>
  <c r="A46104" i="1"/>
  <c r="B46104" i="1"/>
  <c r="A46105" i="1"/>
  <c r="B46105" i="1"/>
  <c r="A46106" i="1"/>
  <c r="B46106" i="1"/>
  <c r="A46107" i="1"/>
  <c r="B46107" i="1"/>
  <c r="A46108" i="1"/>
  <c r="B46108" i="1"/>
  <c r="A46109" i="1"/>
  <c r="B46109" i="1"/>
  <c r="A46110" i="1"/>
  <c r="B46110" i="1"/>
  <c r="A46111" i="1"/>
  <c r="B46111" i="1"/>
  <c r="A46112" i="1"/>
  <c r="B46112" i="1"/>
  <c r="A46113" i="1"/>
  <c r="B46113" i="1"/>
  <c r="A46114" i="1"/>
  <c r="B46114" i="1"/>
  <c r="A46115" i="1"/>
  <c r="B46115" i="1"/>
  <c r="A46116" i="1"/>
  <c r="B46116" i="1"/>
  <c r="A46117" i="1"/>
  <c r="B46117" i="1"/>
  <c r="A46118" i="1"/>
  <c r="B46118" i="1"/>
  <c r="A46119" i="1"/>
  <c r="B46119" i="1"/>
  <c r="A46120" i="1"/>
  <c r="B46120" i="1"/>
  <c r="A46121" i="1"/>
  <c r="B46121" i="1"/>
  <c r="A46122" i="1"/>
  <c r="B46122" i="1"/>
  <c r="A46123" i="1"/>
  <c r="B46123" i="1"/>
  <c r="A46124" i="1"/>
  <c r="B46124" i="1"/>
  <c r="A46125" i="1"/>
  <c r="B46125" i="1"/>
  <c r="A46126" i="1"/>
  <c r="B46126" i="1"/>
  <c r="A46127" i="1"/>
  <c r="B46127" i="1"/>
  <c r="A46128" i="1"/>
  <c r="B46128" i="1"/>
  <c r="A46129" i="1"/>
  <c r="B46129" i="1"/>
  <c r="A46130" i="1"/>
  <c r="B46130" i="1"/>
  <c r="A46131" i="1"/>
  <c r="B46131" i="1"/>
  <c r="A46132" i="1"/>
  <c r="B46132" i="1"/>
  <c r="A46133" i="1"/>
  <c r="B46133" i="1"/>
  <c r="A46134" i="1"/>
  <c r="B46134" i="1"/>
  <c r="A46135" i="1"/>
  <c r="B46135" i="1"/>
  <c r="A46136" i="1"/>
  <c r="B46136" i="1"/>
  <c r="A46137" i="1"/>
  <c r="B46137" i="1"/>
  <c r="A46138" i="1"/>
  <c r="B46138" i="1"/>
  <c r="A46139" i="1"/>
  <c r="B46139" i="1"/>
  <c r="A46140" i="1"/>
  <c r="B46140" i="1"/>
  <c r="A46141" i="1"/>
  <c r="B46141" i="1"/>
  <c r="A46142" i="1"/>
  <c r="B46142" i="1"/>
  <c r="A46143" i="1"/>
  <c r="B46143" i="1"/>
  <c r="A46144" i="1"/>
  <c r="B46144" i="1"/>
  <c r="A46145" i="1"/>
  <c r="B46145" i="1"/>
  <c r="A46146" i="1"/>
  <c r="B46146" i="1"/>
  <c r="A46147" i="1"/>
  <c r="B46147" i="1"/>
  <c r="A46148" i="1"/>
  <c r="B46148" i="1"/>
  <c r="A46149" i="1"/>
  <c r="B46149" i="1"/>
  <c r="A46150" i="1"/>
  <c r="B46150" i="1"/>
  <c r="A46151" i="1"/>
  <c r="B46151" i="1"/>
  <c r="A46152" i="1"/>
  <c r="B46152" i="1"/>
  <c r="A46153" i="1"/>
  <c r="B46153" i="1"/>
  <c r="A46154" i="1"/>
  <c r="B46154" i="1"/>
  <c r="A46155" i="1"/>
  <c r="B46155" i="1"/>
  <c r="A46156" i="1"/>
  <c r="B46156" i="1"/>
  <c r="A46157" i="1"/>
  <c r="B46157" i="1"/>
  <c r="A46158" i="1"/>
  <c r="B46158" i="1"/>
  <c r="A46159" i="1"/>
  <c r="B46159" i="1"/>
  <c r="A46160" i="1"/>
  <c r="B46160" i="1"/>
  <c r="A46161" i="1"/>
  <c r="B46161" i="1"/>
  <c r="A46162" i="1"/>
  <c r="B46162" i="1"/>
  <c r="A46163" i="1"/>
  <c r="B46163" i="1"/>
  <c r="A46164" i="1"/>
  <c r="B46164" i="1"/>
  <c r="A46165" i="1"/>
  <c r="B46165" i="1"/>
  <c r="A46166" i="1"/>
  <c r="B46166" i="1"/>
  <c r="A46167" i="1"/>
  <c r="B46167" i="1"/>
  <c r="A46168" i="1"/>
  <c r="B46168" i="1"/>
  <c r="A46169" i="1"/>
  <c r="B46169" i="1"/>
  <c r="A46170" i="1"/>
  <c r="B46170" i="1"/>
  <c r="A46171" i="1"/>
  <c r="B46171" i="1"/>
  <c r="A46172" i="1"/>
  <c r="B46172" i="1"/>
  <c r="A46173" i="1"/>
  <c r="B46173" i="1"/>
  <c r="A46174" i="1"/>
  <c r="B46174" i="1"/>
  <c r="A46175" i="1"/>
  <c r="B46175" i="1"/>
  <c r="A46176" i="1"/>
  <c r="B46176" i="1"/>
  <c r="A46177" i="1"/>
  <c r="B46177" i="1"/>
  <c r="A46178" i="1"/>
  <c r="B46178" i="1"/>
  <c r="A46179" i="1"/>
  <c r="B46179" i="1"/>
  <c r="A46180" i="1"/>
  <c r="B46180" i="1"/>
  <c r="A46181" i="1"/>
  <c r="B46181" i="1"/>
  <c r="A46182" i="1"/>
  <c r="B46182" i="1"/>
  <c r="A46183" i="1"/>
  <c r="B46183" i="1"/>
  <c r="A46184" i="1"/>
  <c r="B46184" i="1"/>
  <c r="A46185" i="1"/>
  <c r="B46185" i="1"/>
  <c r="A46186" i="1"/>
  <c r="B46186" i="1"/>
  <c r="A46187" i="1"/>
  <c r="B46187" i="1"/>
  <c r="A46188" i="1"/>
  <c r="B46188" i="1"/>
  <c r="A46189" i="1"/>
  <c r="B46189" i="1"/>
  <c r="A46190" i="1"/>
  <c r="B46190" i="1"/>
  <c r="A46191" i="1"/>
  <c r="B46191" i="1"/>
  <c r="A46192" i="1"/>
  <c r="B46192" i="1"/>
  <c r="A46193" i="1"/>
  <c r="B46193" i="1"/>
  <c r="A46194" i="1"/>
  <c r="B46194" i="1"/>
  <c r="A46195" i="1"/>
  <c r="B46195" i="1"/>
  <c r="A46196" i="1"/>
  <c r="B46196" i="1"/>
  <c r="A46197" i="1"/>
  <c r="B46197" i="1"/>
  <c r="A46198" i="1"/>
  <c r="B46198" i="1"/>
  <c r="A46199" i="1"/>
  <c r="B46199" i="1"/>
  <c r="A46200" i="1"/>
  <c r="B46200" i="1"/>
  <c r="A46201" i="1"/>
  <c r="B46201" i="1"/>
  <c r="A46202" i="1"/>
  <c r="B46202" i="1"/>
  <c r="A46203" i="1"/>
  <c r="B46203" i="1"/>
  <c r="A46204" i="1"/>
  <c r="B46204" i="1"/>
  <c r="A46205" i="1"/>
  <c r="B46205" i="1"/>
  <c r="A46206" i="1"/>
  <c r="B46206" i="1"/>
  <c r="A46207" i="1"/>
  <c r="B46207" i="1"/>
  <c r="A46208" i="1"/>
  <c r="B46208" i="1"/>
  <c r="A46209" i="1"/>
  <c r="B46209" i="1"/>
  <c r="A46210" i="1"/>
  <c r="B46210" i="1"/>
  <c r="A46211" i="1"/>
  <c r="B46211" i="1"/>
  <c r="A46212" i="1"/>
  <c r="B46212" i="1"/>
  <c r="A46213" i="1"/>
  <c r="B46213" i="1"/>
  <c r="A46214" i="1"/>
  <c r="B46214" i="1"/>
  <c r="A46215" i="1"/>
  <c r="B46215" i="1"/>
  <c r="A46216" i="1"/>
  <c r="B46216" i="1"/>
  <c r="A46217" i="1"/>
  <c r="B46217" i="1"/>
  <c r="A46218" i="1"/>
  <c r="B46218" i="1"/>
  <c r="A46219" i="1"/>
  <c r="B46219" i="1"/>
  <c r="A46220" i="1"/>
  <c r="B46220" i="1"/>
  <c r="A46221" i="1"/>
  <c r="B46221" i="1"/>
  <c r="A46222" i="1"/>
  <c r="B46222" i="1"/>
  <c r="A46223" i="1"/>
  <c r="B46223" i="1"/>
  <c r="A46224" i="1"/>
  <c r="B46224" i="1"/>
  <c r="A46225" i="1"/>
  <c r="B46225" i="1"/>
  <c r="A46226" i="1"/>
  <c r="B46226" i="1"/>
  <c r="A46227" i="1"/>
  <c r="B46227" i="1"/>
  <c r="A46228" i="1"/>
  <c r="B46228" i="1"/>
  <c r="A46229" i="1"/>
  <c r="B46229" i="1"/>
  <c r="A46230" i="1"/>
  <c r="B46230" i="1"/>
  <c r="A46231" i="1"/>
  <c r="B46231" i="1"/>
  <c r="A46232" i="1"/>
  <c r="B46232" i="1"/>
  <c r="A46233" i="1"/>
  <c r="B46233" i="1"/>
  <c r="A46234" i="1"/>
  <c r="B46234" i="1"/>
  <c r="A46235" i="1"/>
  <c r="B46235" i="1"/>
  <c r="A46236" i="1"/>
  <c r="B46236" i="1"/>
  <c r="A46237" i="1"/>
  <c r="B46237" i="1"/>
  <c r="A46238" i="1"/>
  <c r="B46238" i="1"/>
  <c r="A46239" i="1"/>
  <c r="B46239" i="1"/>
  <c r="A46240" i="1"/>
  <c r="B46240" i="1"/>
  <c r="A46241" i="1"/>
  <c r="B46241" i="1"/>
  <c r="A46242" i="1"/>
  <c r="B46242" i="1"/>
  <c r="A46243" i="1"/>
  <c r="B46243" i="1"/>
  <c r="A46244" i="1"/>
  <c r="B46244" i="1"/>
  <c r="A46245" i="1"/>
  <c r="B46245" i="1"/>
  <c r="A46246" i="1"/>
  <c r="B46246" i="1"/>
  <c r="A46247" i="1"/>
  <c r="B46247" i="1"/>
  <c r="A46248" i="1"/>
  <c r="B46248" i="1"/>
  <c r="A46249" i="1"/>
  <c r="B46249" i="1"/>
  <c r="A46250" i="1"/>
  <c r="B46250" i="1"/>
  <c r="A46251" i="1"/>
  <c r="B46251" i="1"/>
  <c r="A46252" i="1"/>
  <c r="B46252" i="1"/>
  <c r="A46253" i="1"/>
  <c r="B46253" i="1"/>
  <c r="A46254" i="1"/>
  <c r="B46254" i="1"/>
  <c r="A46255" i="1"/>
  <c r="B46255" i="1"/>
  <c r="A46256" i="1"/>
  <c r="B46256" i="1"/>
  <c r="A46257" i="1"/>
  <c r="B46257" i="1"/>
  <c r="A46258" i="1"/>
  <c r="B46258" i="1"/>
  <c r="A46259" i="1"/>
  <c r="B46259" i="1"/>
  <c r="A46260" i="1"/>
  <c r="B46260" i="1"/>
  <c r="A46261" i="1"/>
  <c r="B46261" i="1"/>
  <c r="A46262" i="1"/>
  <c r="B46262" i="1"/>
  <c r="A46263" i="1"/>
  <c r="B46263" i="1"/>
  <c r="A46264" i="1"/>
  <c r="B46264" i="1"/>
  <c r="A46265" i="1"/>
  <c r="B46265" i="1"/>
  <c r="A46266" i="1"/>
  <c r="B46266" i="1"/>
  <c r="A46267" i="1"/>
  <c r="B46267" i="1"/>
  <c r="A46268" i="1"/>
  <c r="B46268" i="1"/>
  <c r="A46269" i="1"/>
  <c r="B46269" i="1"/>
  <c r="A46270" i="1"/>
  <c r="B46270" i="1"/>
  <c r="A46271" i="1"/>
  <c r="B46271" i="1"/>
  <c r="A46272" i="1"/>
  <c r="B46272" i="1"/>
  <c r="A46273" i="1"/>
  <c r="B46273" i="1"/>
  <c r="A46274" i="1"/>
  <c r="B46274" i="1"/>
  <c r="A46275" i="1"/>
  <c r="B46275" i="1"/>
  <c r="A46276" i="1"/>
  <c r="B46276" i="1"/>
  <c r="A46277" i="1"/>
  <c r="B46277" i="1"/>
  <c r="A46278" i="1"/>
  <c r="B46278" i="1"/>
  <c r="A46279" i="1"/>
  <c r="B46279" i="1"/>
  <c r="A46280" i="1"/>
  <c r="B46280" i="1"/>
  <c r="A46281" i="1"/>
  <c r="B46281" i="1"/>
  <c r="A46282" i="1"/>
  <c r="B46282" i="1"/>
  <c r="A46283" i="1"/>
  <c r="B46283" i="1"/>
  <c r="A46284" i="1"/>
  <c r="B46284" i="1"/>
  <c r="A46285" i="1"/>
  <c r="B46285" i="1"/>
  <c r="A46286" i="1"/>
  <c r="B46286" i="1"/>
  <c r="A46287" i="1"/>
  <c r="B46287" i="1"/>
  <c r="A46288" i="1"/>
  <c r="B46288" i="1"/>
  <c r="A46289" i="1"/>
  <c r="B46289" i="1"/>
  <c r="A46290" i="1"/>
  <c r="B46290" i="1"/>
  <c r="A46291" i="1"/>
  <c r="B46291" i="1"/>
  <c r="A46292" i="1"/>
  <c r="B46292" i="1"/>
  <c r="A46293" i="1"/>
  <c r="B46293" i="1"/>
  <c r="A46294" i="1"/>
  <c r="B46294" i="1"/>
  <c r="A46295" i="1"/>
  <c r="B46295" i="1"/>
  <c r="A46296" i="1"/>
  <c r="B46296" i="1"/>
  <c r="A46297" i="1"/>
  <c r="B46297" i="1"/>
  <c r="A46298" i="1"/>
  <c r="B46298" i="1"/>
  <c r="A46299" i="1"/>
  <c r="B46299" i="1"/>
  <c r="A46300" i="1"/>
  <c r="B46300" i="1"/>
  <c r="A46301" i="1"/>
  <c r="B46301" i="1"/>
  <c r="A46302" i="1"/>
  <c r="B46302" i="1"/>
  <c r="A46303" i="1"/>
  <c r="B46303" i="1"/>
  <c r="A46304" i="1"/>
  <c r="B46304" i="1"/>
  <c r="A46305" i="1"/>
  <c r="B46305" i="1"/>
  <c r="A46306" i="1"/>
  <c r="B46306" i="1"/>
  <c r="A46307" i="1"/>
  <c r="B46307" i="1"/>
  <c r="A46308" i="1"/>
  <c r="B46308" i="1"/>
  <c r="A46309" i="1"/>
  <c r="B46309" i="1"/>
  <c r="A46310" i="1"/>
  <c r="B46310" i="1"/>
  <c r="A46311" i="1"/>
  <c r="B46311" i="1"/>
  <c r="A46312" i="1"/>
  <c r="B46312" i="1"/>
  <c r="A46313" i="1"/>
  <c r="B46313" i="1"/>
  <c r="A46314" i="1"/>
  <c r="B46314" i="1"/>
  <c r="A46315" i="1"/>
  <c r="B46315" i="1"/>
  <c r="A46316" i="1"/>
  <c r="B46316" i="1"/>
  <c r="A46317" i="1"/>
  <c r="B46317" i="1"/>
  <c r="A46318" i="1"/>
  <c r="B46318" i="1"/>
  <c r="A46319" i="1"/>
  <c r="B46319" i="1"/>
  <c r="A46320" i="1"/>
  <c r="B46320" i="1"/>
  <c r="A46321" i="1"/>
  <c r="B46321" i="1"/>
  <c r="A46322" i="1"/>
  <c r="B46322" i="1"/>
  <c r="A46323" i="1"/>
  <c r="B46323" i="1"/>
  <c r="A46324" i="1"/>
  <c r="B46324" i="1"/>
  <c r="A46325" i="1"/>
  <c r="B46325" i="1"/>
  <c r="A46326" i="1"/>
  <c r="B46326" i="1"/>
  <c r="A46327" i="1"/>
  <c r="B46327" i="1"/>
  <c r="A46328" i="1"/>
  <c r="B46328" i="1"/>
  <c r="A46329" i="1"/>
  <c r="B46329" i="1"/>
  <c r="A46330" i="1"/>
  <c r="B46330" i="1"/>
  <c r="A46331" i="1"/>
  <c r="B46331" i="1"/>
  <c r="A46332" i="1"/>
  <c r="B46332" i="1"/>
  <c r="A46333" i="1"/>
  <c r="B46333" i="1"/>
  <c r="A46334" i="1"/>
  <c r="B46334" i="1"/>
  <c r="A46335" i="1"/>
  <c r="B46335" i="1"/>
  <c r="A46336" i="1"/>
  <c r="B46336" i="1"/>
  <c r="A46337" i="1"/>
  <c r="B46337" i="1"/>
  <c r="A46338" i="1"/>
  <c r="B46338" i="1"/>
  <c r="A46339" i="1"/>
  <c r="B46339" i="1"/>
  <c r="A46340" i="1"/>
  <c r="B46340" i="1"/>
  <c r="A46341" i="1"/>
  <c r="B46341" i="1"/>
  <c r="A46342" i="1"/>
  <c r="B46342" i="1"/>
  <c r="A46343" i="1"/>
  <c r="B46343" i="1"/>
  <c r="A46344" i="1"/>
  <c r="B46344" i="1"/>
  <c r="A46345" i="1"/>
  <c r="B46345" i="1"/>
  <c r="A46346" i="1"/>
  <c r="B46346" i="1"/>
  <c r="A46347" i="1"/>
  <c r="B46347" i="1"/>
  <c r="A46348" i="1"/>
  <c r="B46348" i="1"/>
  <c r="A46349" i="1"/>
  <c r="B46349" i="1"/>
  <c r="A46350" i="1"/>
  <c r="B46350" i="1"/>
  <c r="A46351" i="1"/>
  <c r="B46351" i="1"/>
  <c r="A46352" i="1"/>
  <c r="B46352" i="1"/>
  <c r="A46353" i="1"/>
  <c r="B46353" i="1"/>
  <c r="A46354" i="1"/>
  <c r="B46354" i="1"/>
  <c r="A46355" i="1"/>
  <c r="B46355" i="1"/>
  <c r="A46356" i="1"/>
  <c r="B46356" i="1"/>
  <c r="A46357" i="1"/>
  <c r="B46357" i="1"/>
  <c r="A46358" i="1"/>
  <c r="B46358" i="1"/>
  <c r="A46359" i="1"/>
  <c r="B46359" i="1"/>
  <c r="A46360" i="1"/>
  <c r="B46360" i="1"/>
  <c r="A46361" i="1"/>
  <c r="B46361" i="1"/>
  <c r="A46362" i="1"/>
  <c r="B46362" i="1"/>
  <c r="A46363" i="1"/>
  <c r="B46363" i="1"/>
  <c r="A46364" i="1"/>
  <c r="B46364" i="1"/>
  <c r="A46365" i="1"/>
  <c r="B46365" i="1"/>
  <c r="A46366" i="1"/>
  <c r="B46366" i="1"/>
  <c r="A46367" i="1"/>
  <c r="B46367" i="1"/>
  <c r="A46368" i="1"/>
  <c r="B46368" i="1"/>
  <c r="A46369" i="1"/>
  <c r="B46369" i="1"/>
  <c r="A46370" i="1"/>
  <c r="B46370" i="1"/>
  <c r="A46371" i="1"/>
  <c r="B46371" i="1"/>
  <c r="A46372" i="1"/>
  <c r="B46372" i="1"/>
  <c r="A46373" i="1"/>
  <c r="B46373" i="1"/>
  <c r="A46374" i="1"/>
  <c r="B46374" i="1"/>
  <c r="A46375" i="1"/>
  <c r="B46375" i="1"/>
  <c r="A46376" i="1"/>
  <c r="B46376" i="1"/>
  <c r="A46377" i="1"/>
  <c r="B46377" i="1"/>
  <c r="A46378" i="1"/>
  <c r="B46378" i="1"/>
  <c r="A46379" i="1"/>
  <c r="B46379" i="1"/>
  <c r="A46380" i="1"/>
  <c r="B46380" i="1"/>
  <c r="A46381" i="1"/>
  <c r="B46381" i="1"/>
  <c r="A46382" i="1"/>
  <c r="B46382" i="1"/>
  <c r="A46383" i="1"/>
  <c r="B46383" i="1"/>
  <c r="A46384" i="1"/>
  <c r="B46384" i="1"/>
  <c r="A46385" i="1"/>
  <c r="B46385" i="1"/>
  <c r="A46386" i="1"/>
  <c r="B46386" i="1"/>
  <c r="A46387" i="1"/>
  <c r="B46387" i="1"/>
  <c r="A46388" i="1"/>
  <c r="B46388" i="1"/>
  <c r="A46389" i="1"/>
  <c r="B46389" i="1"/>
  <c r="A46390" i="1"/>
  <c r="B46390" i="1"/>
  <c r="A46391" i="1"/>
  <c r="B46391" i="1"/>
  <c r="A46392" i="1"/>
  <c r="B46392" i="1"/>
  <c r="A46393" i="1"/>
  <c r="B46393" i="1"/>
  <c r="A46394" i="1"/>
  <c r="B46394" i="1"/>
  <c r="A46395" i="1"/>
  <c r="B46395" i="1"/>
  <c r="A46396" i="1"/>
  <c r="B46396" i="1"/>
  <c r="A46397" i="1"/>
  <c r="B46397" i="1"/>
  <c r="A46398" i="1"/>
  <c r="B46398" i="1"/>
  <c r="A46399" i="1"/>
  <c r="B46399" i="1"/>
  <c r="A46400" i="1"/>
  <c r="B46400" i="1"/>
  <c r="A46401" i="1"/>
  <c r="B46401" i="1"/>
  <c r="A46402" i="1"/>
  <c r="B46402" i="1"/>
  <c r="A46403" i="1"/>
  <c r="B46403" i="1"/>
  <c r="A46404" i="1"/>
  <c r="B46404" i="1"/>
  <c r="A46405" i="1"/>
  <c r="B46405" i="1"/>
  <c r="A46406" i="1"/>
  <c r="B46406" i="1"/>
  <c r="A46407" i="1"/>
  <c r="B46407" i="1"/>
  <c r="A46408" i="1"/>
  <c r="B46408" i="1"/>
  <c r="A46409" i="1"/>
  <c r="B46409" i="1"/>
  <c r="A46410" i="1"/>
  <c r="B46410" i="1"/>
  <c r="A46411" i="1"/>
  <c r="B46411" i="1"/>
  <c r="A46412" i="1"/>
  <c r="B46412" i="1"/>
  <c r="A46413" i="1"/>
  <c r="B46413" i="1"/>
  <c r="A46414" i="1"/>
  <c r="B46414" i="1"/>
  <c r="A46415" i="1"/>
  <c r="B46415" i="1"/>
  <c r="A46416" i="1"/>
  <c r="B46416" i="1"/>
  <c r="A46417" i="1"/>
  <c r="B46417" i="1"/>
  <c r="A46418" i="1"/>
  <c r="B46418" i="1"/>
  <c r="A46419" i="1"/>
  <c r="B46419" i="1"/>
  <c r="A46420" i="1"/>
  <c r="B46420" i="1"/>
  <c r="A46421" i="1"/>
  <c r="B46421" i="1"/>
  <c r="A46422" i="1"/>
  <c r="B46422" i="1"/>
  <c r="A46423" i="1"/>
  <c r="B46423" i="1"/>
  <c r="A46424" i="1"/>
  <c r="B46424" i="1"/>
  <c r="A46425" i="1"/>
  <c r="B46425" i="1"/>
  <c r="A46426" i="1"/>
  <c r="B46426" i="1"/>
  <c r="A46427" i="1"/>
  <c r="B46427" i="1"/>
  <c r="A46428" i="1"/>
  <c r="B46428" i="1"/>
  <c r="A46429" i="1"/>
  <c r="B46429" i="1"/>
  <c r="A46430" i="1"/>
  <c r="B46430" i="1"/>
  <c r="A46431" i="1"/>
  <c r="B46431" i="1"/>
  <c r="A46432" i="1"/>
  <c r="B46432" i="1"/>
  <c r="A46433" i="1"/>
  <c r="B46433" i="1"/>
  <c r="A46434" i="1"/>
  <c r="B46434" i="1"/>
  <c r="A46435" i="1"/>
  <c r="B46435" i="1"/>
  <c r="A46436" i="1"/>
  <c r="B46436" i="1"/>
  <c r="A46437" i="1"/>
  <c r="B46437" i="1"/>
  <c r="A46438" i="1"/>
  <c r="B46438" i="1"/>
  <c r="A46439" i="1"/>
  <c r="B46439" i="1"/>
  <c r="A46440" i="1"/>
  <c r="B46440" i="1"/>
  <c r="A46441" i="1"/>
  <c r="B46441" i="1"/>
  <c r="A46442" i="1"/>
  <c r="B46442" i="1"/>
  <c r="A46443" i="1"/>
  <c r="B46443" i="1"/>
  <c r="A46444" i="1"/>
  <c r="B46444" i="1"/>
  <c r="A46445" i="1"/>
  <c r="B46445" i="1"/>
  <c r="A46446" i="1"/>
  <c r="B46446" i="1"/>
  <c r="A46447" i="1"/>
  <c r="B46447" i="1"/>
  <c r="A46448" i="1"/>
  <c r="B46448" i="1"/>
  <c r="A46449" i="1"/>
  <c r="B46449" i="1"/>
  <c r="A46450" i="1"/>
  <c r="B46450" i="1"/>
  <c r="A46451" i="1"/>
  <c r="B46451" i="1"/>
  <c r="A46452" i="1"/>
  <c r="B46452" i="1"/>
  <c r="A46453" i="1"/>
  <c r="B46453" i="1"/>
  <c r="A46454" i="1"/>
  <c r="B46454" i="1"/>
  <c r="A46455" i="1"/>
  <c r="B46455" i="1"/>
  <c r="A46456" i="1"/>
  <c r="B46456" i="1"/>
  <c r="A46457" i="1"/>
  <c r="B46457" i="1"/>
  <c r="A46458" i="1"/>
  <c r="B46458" i="1"/>
  <c r="A46459" i="1"/>
  <c r="B46459" i="1"/>
  <c r="A46460" i="1"/>
  <c r="B46460" i="1"/>
  <c r="A46461" i="1"/>
  <c r="B46461" i="1"/>
  <c r="A46462" i="1"/>
  <c r="B46462" i="1"/>
  <c r="A46463" i="1"/>
  <c r="B46463" i="1"/>
  <c r="A46464" i="1"/>
  <c r="B46464" i="1"/>
  <c r="A46465" i="1"/>
  <c r="B46465" i="1"/>
  <c r="A46466" i="1"/>
  <c r="B46466" i="1"/>
  <c r="A46467" i="1"/>
  <c r="B46467" i="1"/>
  <c r="A46468" i="1"/>
  <c r="B46468" i="1"/>
  <c r="A46469" i="1"/>
  <c r="B46469" i="1"/>
  <c r="A46470" i="1"/>
  <c r="B46470" i="1"/>
  <c r="A46471" i="1"/>
  <c r="B46471" i="1"/>
  <c r="A46472" i="1"/>
  <c r="B46472" i="1"/>
  <c r="A46473" i="1"/>
  <c r="B46473" i="1"/>
  <c r="A46474" i="1"/>
  <c r="B46474" i="1"/>
  <c r="A46475" i="1"/>
  <c r="B46475" i="1"/>
  <c r="A46476" i="1"/>
  <c r="B46476" i="1"/>
  <c r="A46477" i="1"/>
  <c r="B46477" i="1"/>
  <c r="A46478" i="1"/>
  <c r="B46478" i="1"/>
  <c r="A46479" i="1"/>
  <c r="B46479" i="1"/>
  <c r="A46480" i="1"/>
  <c r="B46480" i="1"/>
  <c r="A46481" i="1"/>
  <c r="B46481" i="1"/>
  <c r="A46482" i="1"/>
  <c r="B46482" i="1"/>
  <c r="A46483" i="1"/>
  <c r="B46483" i="1"/>
  <c r="A46484" i="1"/>
  <c r="B46484" i="1"/>
  <c r="A46485" i="1"/>
  <c r="B46485" i="1"/>
  <c r="A46486" i="1"/>
  <c r="B46486" i="1"/>
  <c r="A46487" i="1"/>
  <c r="B46487" i="1"/>
  <c r="A46488" i="1"/>
  <c r="B46488" i="1"/>
  <c r="A46489" i="1"/>
  <c r="B46489" i="1"/>
  <c r="A46490" i="1"/>
  <c r="B46490" i="1"/>
  <c r="A46491" i="1"/>
  <c r="B46491" i="1"/>
  <c r="A46492" i="1"/>
  <c r="B46492" i="1"/>
  <c r="A46493" i="1"/>
  <c r="B46493" i="1"/>
  <c r="A46494" i="1"/>
  <c r="B46494" i="1"/>
  <c r="A46495" i="1"/>
  <c r="B46495" i="1"/>
  <c r="A46496" i="1"/>
  <c r="B46496" i="1"/>
  <c r="A46497" i="1"/>
  <c r="B46497" i="1"/>
  <c r="A46498" i="1"/>
  <c r="B46498" i="1"/>
  <c r="A46499" i="1"/>
  <c r="B46499" i="1"/>
  <c r="A46500" i="1"/>
  <c r="B46500" i="1"/>
  <c r="A46501" i="1"/>
  <c r="B46501" i="1"/>
  <c r="A46502" i="1"/>
  <c r="B46502" i="1"/>
  <c r="A46503" i="1"/>
  <c r="B46503" i="1"/>
  <c r="A46504" i="1"/>
  <c r="B46504" i="1"/>
  <c r="A46505" i="1"/>
  <c r="B46505" i="1"/>
  <c r="A46506" i="1"/>
  <c r="B46506" i="1"/>
  <c r="A46507" i="1"/>
  <c r="B46507" i="1"/>
  <c r="A46508" i="1"/>
  <c r="B46508" i="1"/>
  <c r="A46509" i="1"/>
  <c r="B46509" i="1"/>
  <c r="A46510" i="1"/>
  <c r="B46510" i="1"/>
  <c r="A46511" i="1"/>
  <c r="B46511" i="1"/>
  <c r="A46512" i="1"/>
  <c r="B46512" i="1"/>
  <c r="A46513" i="1"/>
  <c r="B46513" i="1"/>
  <c r="A46514" i="1"/>
  <c r="B46514" i="1"/>
  <c r="A46515" i="1"/>
  <c r="B46515" i="1"/>
  <c r="A46516" i="1"/>
  <c r="B46516" i="1"/>
  <c r="A46517" i="1"/>
  <c r="B46517" i="1"/>
  <c r="A46518" i="1"/>
  <c r="B46518" i="1"/>
  <c r="A46519" i="1"/>
  <c r="B46519" i="1"/>
  <c r="A46520" i="1"/>
  <c r="B46520" i="1"/>
  <c r="A46521" i="1"/>
  <c r="B46521" i="1"/>
  <c r="A46522" i="1"/>
  <c r="B46522" i="1"/>
  <c r="A46523" i="1"/>
  <c r="B46523" i="1"/>
  <c r="A46524" i="1"/>
  <c r="B46524" i="1"/>
  <c r="A46525" i="1"/>
  <c r="B46525" i="1"/>
  <c r="A46526" i="1"/>
  <c r="B46526" i="1"/>
  <c r="A46527" i="1"/>
  <c r="B46527" i="1"/>
  <c r="A46528" i="1"/>
  <c r="B46528" i="1"/>
  <c r="A46529" i="1"/>
  <c r="B46529" i="1"/>
  <c r="A46530" i="1"/>
  <c r="B46530" i="1"/>
  <c r="A46531" i="1"/>
  <c r="B46531" i="1"/>
  <c r="A46532" i="1"/>
  <c r="B46532" i="1"/>
  <c r="A46533" i="1"/>
  <c r="B46533" i="1"/>
  <c r="A46534" i="1"/>
  <c r="B46534" i="1"/>
  <c r="A46535" i="1"/>
  <c r="B46535" i="1"/>
  <c r="A46536" i="1"/>
  <c r="B46536" i="1"/>
  <c r="A46537" i="1"/>
  <c r="B46537" i="1"/>
  <c r="A46538" i="1"/>
  <c r="B46538" i="1"/>
  <c r="A46539" i="1"/>
  <c r="B46539" i="1"/>
  <c r="A46540" i="1"/>
  <c r="B46540" i="1"/>
  <c r="A46541" i="1"/>
  <c r="B46541" i="1"/>
  <c r="A46542" i="1"/>
  <c r="B46542" i="1"/>
  <c r="A46543" i="1"/>
  <c r="B46543" i="1"/>
  <c r="A46544" i="1"/>
  <c r="B46544" i="1"/>
  <c r="A46545" i="1"/>
  <c r="B46545" i="1"/>
  <c r="A46546" i="1"/>
  <c r="B46546" i="1"/>
  <c r="A46547" i="1"/>
  <c r="B46547" i="1"/>
  <c r="A46548" i="1"/>
  <c r="B46548" i="1"/>
  <c r="A46549" i="1"/>
  <c r="B46549" i="1"/>
  <c r="A46550" i="1"/>
  <c r="B46550" i="1"/>
  <c r="A46551" i="1"/>
  <c r="B46551" i="1"/>
  <c r="A46552" i="1"/>
  <c r="B46552" i="1"/>
  <c r="A46553" i="1"/>
  <c r="B46553" i="1"/>
  <c r="A46554" i="1"/>
  <c r="B46554" i="1"/>
  <c r="A46555" i="1"/>
  <c r="B46555" i="1"/>
  <c r="A46556" i="1"/>
  <c r="B46556" i="1"/>
  <c r="A46557" i="1"/>
  <c r="B46557" i="1"/>
  <c r="A46558" i="1"/>
  <c r="B46558" i="1"/>
  <c r="A46559" i="1"/>
  <c r="B46559" i="1"/>
  <c r="A46560" i="1"/>
  <c r="B46560" i="1"/>
  <c r="A46561" i="1"/>
  <c r="B46561" i="1"/>
  <c r="A46562" i="1"/>
  <c r="B46562" i="1"/>
  <c r="A46563" i="1"/>
  <c r="B46563" i="1"/>
  <c r="A46564" i="1"/>
  <c r="B46564" i="1"/>
  <c r="A46565" i="1"/>
  <c r="B46565" i="1"/>
  <c r="A46566" i="1"/>
  <c r="B46566" i="1"/>
  <c r="A46567" i="1"/>
  <c r="B46567" i="1"/>
  <c r="A46568" i="1"/>
  <c r="B46568" i="1"/>
  <c r="A46569" i="1"/>
  <c r="B46569" i="1"/>
  <c r="A46570" i="1"/>
  <c r="B46570" i="1"/>
  <c r="A46571" i="1"/>
  <c r="B46571" i="1"/>
  <c r="A46572" i="1"/>
  <c r="B46572" i="1"/>
  <c r="A46573" i="1"/>
  <c r="B46573" i="1"/>
  <c r="A46574" i="1"/>
  <c r="B46574" i="1"/>
  <c r="A46575" i="1"/>
  <c r="B46575" i="1"/>
  <c r="A46576" i="1"/>
  <c r="B46576" i="1"/>
  <c r="A46577" i="1"/>
  <c r="B46577" i="1"/>
  <c r="A46578" i="1"/>
  <c r="B46578" i="1"/>
  <c r="A46579" i="1"/>
  <c r="B46579" i="1"/>
  <c r="A46580" i="1"/>
  <c r="B46580" i="1"/>
  <c r="A46581" i="1"/>
  <c r="B46581" i="1"/>
  <c r="A46582" i="1"/>
  <c r="B46582" i="1"/>
  <c r="A46583" i="1"/>
  <c r="B46583" i="1"/>
  <c r="A46584" i="1"/>
  <c r="B46584" i="1"/>
  <c r="A46585" i="1"/>
  <c r="B46585" i="1"/>
  <c r="A46586" i="1"/>
  <c r="B46586" i="1"/>
  <c r="A46587" i="1"/>
  <c r="B46587" i="1"/>
  <c r="A46588" i="1"/>
  <c r="B46588" i="1"/>
  <c r="A46589" i="1"/>
  <c r="B46589" i="1"/>
  <c r="A46590" i="1"/>
  <c r="B46590" i="1"/>
  <c r="A46591" i="1"/>
  <c r="B46591" i="1"/>
  <c r="A46592" i="1"/>
  <c r="B46592" i="1"/>
  <c r="A46593" i="1"/>
  <c r="B46593" i="1"/>
  <c r="A46594" i="1"/>
  <c r="B46594" i="1"/>
  <c r="A46595" i="1"/>
  <c r="B46595" i="1"/>
  <c r="A46596" i="1"/>
  <c r="B46596" i="1"/>
  <c r="A46597" i="1"/>
  <c r="B46597" i="1"/>
  <c r="A46598" i="1"/>
  <c r="B46598" i="1"/>
  <c r="A46599" i="1"/>
  <c r="B46599" i="1"/>
  <c r="A46600" i="1"/>
  <c r="B46600" i="1"/>
  <c r="A46601" i="1"/>
  <c r="B46601" i="1"/>
  <c r="A46602" i="1"/>
  <c r="B46602" i="1"/>
  <c r="A46603" i="1"/>
  <c r="B46603" i="1"/>
  <c r="A46604" i="1"/>
  <c r="B46604" i="1"/>
  <c r="A46605" i="1"/>
  <c r="B46605" i="1"/>
  <c r="A46606" i="1"/>
  <c r="B46606" i="1"/>
  <c r="A46607" i="1"/>
  <c r="B46607" i="1"/>
  <c r="A46608" i="1"/>
  <c r="B46608" i="1"/>
  <c r="A46609" i="1"/>
  <c r="B46609" i="1"/>
  <c r="A46610" i="1"/>
  <c r="B46610" i="1"/>
  <c r="A46611" i="1"/>
  <c r="B46611" i="1"/>
  <c r="A46612" i="1"/>
  <c r="B46612" i="1"/>
  <c r="A46613" i="1"/>
  <c r="B46613" i="1"/>
  <c r="A46614" i="1"/>
  <c r="B46614" i="1"/>
  <c r="A46615" i="1"/>
  <c r="B46615" i="1"/>
  <c r="A46616" i="1"/>
  <c r="B46616" i="1"/>
  <c r="A46617" i="1"/>
  <c r="B46617" i="1"/>
  <c r="A46618" i="1"/>
  <c r="B46618" i="1"/>
  <c r="A46619" i="1"/>
  <c r="B46619" i="1"/>
  <c r="A46620" i="1"/>
  <c r="B46620" i="1"/>
  <c r="A46621" i="1"/>
  <c r="B46621" i="1"/>
  <c r="A46622" i="1"/>
  <c r="B46622" i="1"/>
  <c r="A46623" i="1"/>
  <c r="B46623" i="1"/>
  <c r="A46624" i="1"/>
  <c r="B46624" i="1"/>
  <c r="A46625" i="1"/>
  <c r="B46625" i="1"/>
  <c r="A46626" i="1"/>
  <c r="B46626" i="1"/>
  <c r="A46627" i="1"/>
  <c r="B46627" i="1"/>
  <c r="A46628" i="1"/>
  <c r="B46628" i="1"/>
  <c r="A46629" i="1"/>
  <c r="B46629" i="1"/>
  <c r="A46630" i="1"/>
  <c r="B46630" i="1"/>
  <c r="A46631" i="1"/>
  <c r="B46631" i="1"/>
  <c r="A46632" i="1"/>
  <c r="B46632" i="1"/>
  <c r="A46633" i="1"/>
  <c r="B46633" i="1"/>
  <c r="A46634" i="1"/>
  <c r="B46634" i="1"/>
  <c r="A46635" i="1"/>
  <c r="B46635" i="1"/>
  <c r="A46636" i="1"/>
  <c r="B46636" i="1"/>
  <c r="A46637" i="1"/>
  <c r="B46637" i="1"/>
  <c r="A46638" i="1"/>
  <c r="B46638" i="1"/>
  <c r="A46639" i="1"/>
  <c r="B46639" i="1"/>
  <c r="A46640" i="1"/>
  <c r="B46640" i="1"/>
  <c r="A46641" i="1"/>
  <c r="B46641" i="1"/>
  <c r="A46642" i="1"/>
  <c r="B46642" i="1"/>
  <c r="A46643" i="1"/>
  <c r="B46643" i="1"/>
  <c r="A46644" i="1"/>
  <c r="B46644" i="1"/>
  <c r="A46645" i="1"/>
  <c r="B46645" i="1"/>
  <c r="A46646" i="1"/>
  <c r="B46646" i="1"/>
  <c r="A46647" i="1"/>
  <c r="B46647" i="1"/>
  <c r="A46648" i="1"/>
  <c r="B46648" i="1"/>
  <c r="A46649" i="1"/>
  <c r="B46649" i="1"/>
  <c r="A46650" i="1"/>
  <c r="B46650" i="1"/>
  <c r="A46651" i="1"/>
  <c r="B46651" i="1"/>
  <c r="A46652" i="1"/>
  <c r="B46652" i="1"/>
  <c r="A46653" i="1"/>
  <c r="B46653" i="1"/>
  <c r="A46654" i="1"/>
  <c r="B46654" i="1"/>
  <c r="A46655" i="1"/>
  <c r="B46655" i="1"/>
  <c r="A46656" i="1"/>
  <c r="B46656" i="1"/>
  <c r="A46657" i="1"/>
  <c r="B46657" i="1"/>
  <c r="A46658" i="1"/>
  <c r="B46658" i="1"/>
  <c r="A46659" i="1"/>
  <c r="B46659" i="1"/>
  <c r="A46660" i="1"/>
  <c r="B46660" i="1"/>
  <c r="A46661" i="1"/>
  <c r="B46661" i="1"/>
  <c r="A46662" i="1"/>
  <c r="B46662" i="1"/>
  <c r="A46663" i="1"/>
  <c r="B46663" i="1"/>
  <c r="A46664" i="1"/>
  <c r="B46664" i="1"/>
  <c r="A46665" i="1"/>
  <c r="B46665" i="1"/>
  <c r="A46666" i="1"/>
  <c r="B46666" i="1"/>
  <c r="A46667" i="1"/>
  <c r="B46667" i="1"/>
  <c r="A46668" i="1"/>
  <c r="B46668" i="1"/>
  <c r="A46669" i="1"/>
  <c r="B46669" i="1"/>
  <c r="A46670" i="1"/>
  <c r="B46670" i="1"/>
  <c r="A46671" i="1"/>
  <c r="B46671" i="1"/>
  <c r="A46672" i="1"/>
  <c r="B46672" i="1"/>
  <c r="A46673" i="1"/>
  <c r="B46673" i="1"/>
  <c r="A46674" i="1"/>
  <c r="B46674" i="1"/>
  <c r="A46675" i="1"/>
  <c r="B46675" i="1"/>
  <c r="A46676" i="1"/>
  <c r="B46676" i="1"/>
  <c r="A46677" i="1"/>
  <c r="B46677" i="1"/>
  <c r="A46678" i="1"/>
  <c r="B46678" i="1"/>
  <c r="A46679" i="1"/>
  <c r="B46679" i="1"/>
  <c r="A46680" i="1"/>
  <c r="B46680" i="1"/>
  <c r="A46681" i="1"/>
  <c r="B46681" i="1"/>
  <c r="A46682" i="1"/>
  <c r="B46682" i="1"/>
  <c r="A46683" i="1"/>
  <c r="B46683" i="1"/>
  <c r="A46684" i="1"/>
  <c r="B46684" i="1"/>
  <c r="A46685" i="1"/>
  <c r="B46685" i="1"/>
  <c r="A46686" i="1"/>
  <c r="B46686" i="1"/>
  <c r="A46687" i="1"/>
  <c r="B46687" i="1"/>
  <c r="A46688" i="1"/>
  <c r="B46688" i="1"/>
  <c r="A46689" i="1"/>
  <c r="B46689" i="1"/>
  <c r="A46690" i="1"/>
  <c r="B46690" i="1"/>
  <c r="A46691" i="1"/>
  <c r="B46691" i="1"/>
  <c r="A46692" i="1"/>
  <c r="B46692" i="1"/>
  <c r="A46693" i="1"/>
  <c r="B46693" i="1"/>
  <c r="A46694" i="1"/>
  <c r="B46694" i="1"/>
  <c r="A46695" i="1"/>
  <c r="B46695" i="1"/>
  <c r="A46696" i="1"/>
  <c r="B46696" i="1"/>
  <c r="A46697" i="1"/>
  <c r="B46697" i="1"/>
  <c r="A46698" i="1"/>
  <c r="B46698" i="1"/>
  <c r="A46699" i="1"/>
  <c r="B46699" i="1"/>
  <c r="A46700" i="1"/>
  <c r="B46700" i="1"/>
  <c r="A46701" i="1"/>
  <c r="B46701" i="1"/>
  <c r="A46702" i="1"/>
  <c r="B46702" i="1"/>
  <c r="A46703" i="1"/>
  <c r="B46703" i="1"/>
  <c r="A46704" i="1"/>
  <c r="B46704" i="1"/>
  <c r="A46705" i="1"/>
  <c r="B46705" i="1"/>
  <c r="A46706" i="1"/>
  <c r="B46706" i="1"/>
  <c r="A46707" i="1"/>
  <c r="B46707" i="1"/>
  <c r="A46708" i="1"/>
  <c r="B46708" i="1"/>
  <c r="A46709" i="1"/>
  <c r="B46709" i="1"/>
  <c r="A46710" i="1"/>
  <c r="B46710" i="1"/>
  <c r="A46711" i="1"/>
  <c r="B46711" i="1"/>
  <c r="A46712" i="1"/>
  <c r="B46712" i="1"/>
  <c r="A46713" i="1"/>
  <c r="B46713" i="1"/>
  <c r="A46714" i="1"/>
  <c r="B46714" i="1"/>
  <c r="A46715" i="1"/>
  <c r="B46715" i="1"/>
  <c r="A46716" i="1"/>
  <c r="B46716" i="1"/>
  <c r="A46717" i="1"/>
  <c r="B46717" i="1"/>
  <c r="A46718" i="1"/>
  <c r="B46718" i="1"/>
  <c r="A46719" i="1"/>
  <c r="B46719" i="1"/>
  <c r="A46720" i="1"/>
  <c r="B46720" i="1"/>
  <c r="A46721" i="1"/>
  <c r="B46721" i="1"/>
  <c r="A46722" i="1"/>
  <c r="B46722" i="1"/>
  <c r="A46723" i="1"/>
  <c r="B46723" i="1"/>
  <c r="A46724" i="1"/>
  <c r="B46724" i="1"/>
  <c r="A46725" i="1"/>
  <c r="B46725" i="1"/>
  <c r="A46726" i="1"/>
  <c r="B46726" i="1"/>
  <c r="A46727" i="1"/>
  <c r="B46727" i="1"/>
  <c r="A46728" i="1"/>
  <c r="B46728" i="1"/>
  <c r="A46729" i="1"/>
  <c r="B46729" i="1"/>
  <c r="A46730" i="1"/>
  <c r="B46730" i="1"/>
  <c r="A46731" i="1"/>
  <c r="B46731" i="1"/>
  <c r="A46732" i="1"/>
  <c r="B46732" i="1"/>
  <c r="A46733" i="1"/>
  <c r="B46733" i="1"/>
  <c r="A46734" i="1"/>
  <c r="B46734" i="1"/>
  <c r="A46735" i="1"/>
  <c r="B46735" i="1"/>
  <c r="A46736" i="1"/>
  <c r="B46736" i="1"/>
  <c r="A46737" i="1"/>
  <c r="B46737" i="1"/>
  <c r="A46738" i="1"/>
  <c r="B46738" i="1"/>
  <c r="A46739" i="1"/>
  <c r="B46739" i="1"/>
  <c r="A46740" i="1"/>
  <c r="B46740" i="1"/>
  <c r="A46741" i="1"/>
  <c r="B46741" i="1"/>
  <c r="A46742" i="1"/>
  <c r="B46742" i="1"/>
  <c r="A46743" i="1"/>
  <c r="B46743" i="1"/>
  <c r="A46744" i="1"/>
  <c r="B46744" i="1"/>
  <c r="A46745" i="1"/>
  <c r="B46745" i="1"/>
  <c r="A46746" i="1"/>
  <c r="B46746" i="1"/>
  <c r="A46747" i="1"/>
  <c r="B46747" i="1"/>
  <c r="A46748" i="1"/>
  <c r="B46748" i="1"/>
  <c r="A46749" i="1"/>
  <c r="B46749" i="1"/>
  <c r="A46750" i="1"/>
  <c r="B46750" i="1"/>
  <c r="A46751" i="1"/>
  <c r="B46751" i="1"/>
  <c r="A46752" i="1"/>
  <c r="B46752" i="1"/>
  <c r="A46753" i="1"/>
  <c r="B46753" i="1"/>
  <c r="A46754" i="1"/>
  <c r="B46754" i="1"/>
  <c r="A46755" i="1"/>
  <c r="B46755" i="1"/>
  <c r="A46756" i="1"/>
  <c r="B46756" i="1"/>
  <c r="A46757" i="1"/>
  <c r="B46757" i="1"/>
  <c r="A46758" i="1"/>
  <c r="B46758" i="1"/>
  <c r="A46759" i="1"/>
  <c r="B46759" i="1"/>
  <c r="A46760" i="1"/>
  <c r="B46760" i="1"/>
  <c r="A46761" i="1"/>
  <c r="B46761" i="1"/>
  <c r="A46762" i="1"/>
  <c r="B46762" i="1"/>
  <c r="A46763" i="1"/>
  <c r="B46763" i="1"/>
  <c r="A46764" i="1"/>
  <c r="B46764" i="1"/>
  <c r="A46765" i="1"/>
  <c r="B46765" i="1"/>
  <c r="A46766" i="1"/>
  <c r="B46766" i="1"/>
  <c r="A46767" i="1"/>
  <c r="B46767" i="1"/>
  <c r="A46768" i="1"/>
  <c r="B46768" i="1"/>
  <c r="A46769" i="1"/>
  <c r="B46769" i="1"/>
  <c r="A46770" i="1"/>
  <c r="B46770" i="1"/>
  <c r="A46771" i="1"/>
  <c r="B46771" i="1"/>
  <c r="A46772" i="1"/>
  <c r="B46772" i="1"/>
  <c r="A46773" i="1"/>
  <c r="B46773" i="1"/>
  <c r="A46774" i="1"/>
  <c r="B46774" i="1"/>
  <c r="A46775" i="1"/>
  <c r="B46775" i="1"/>
  <c r="A46776" i="1"/>
  <c r="B46776" i="1"/>
  <c r="A46777" i="1"/>
  <c r="B46777" i="1"/>
  <c r="A46778" i="1"/>
  <c r="B46778" i="1"/>
  <c r="A46779" i="1"/>
  <c r="B46779" i="1"/>
  <c r="A46780" i="1"/>
  <c r="B46780" i="1"/>
  <c r="A46781" i="1"/>
  <c r="B46781" i="1"/>
  <c r="A46782" i="1"/>
  <c r="B46782" i="1"/>
  <c r="A46783" i="1"/>
  <c r="B46783" i="1"/>
  <c r="A46784" i="1"/>
  <c r="B46784" i="1"/>
  <c r="A46785" i="1"/>
  <c r="B46785" i="1"/>
  <c r="A46786" i="1"/>
  <c r="B46786" i="1"/>
  <c r="A46787" i="1"/>
  <c r="B46787" i="1"/>
  <c r="A46788" i="1"/>
  <c r="B46788" i="1"/>
  <c r="A46789" i="1"/>
  <c r="B46789" i="1"/>
  <c r="A46790" i="1"/>
  <c r="B46790" i="1"/>
  <c r="A46791" i="1"/>
  <c r="B46791" i="1"/>
  <c r="A46792" i="1"/>
  <c r="B46792" i="1"/>
  <c r="A46793" i="1"/>
  <c r="B46793" i="1"/>
  <c r="A46794" i="1"/>
  <c r="B46794" i="1"/>
  <c r="A46795" i="1"/>
  <c r="B46795" i="1"/>
  <c r="A46796" i="1"/>
  <c r="B46796" i="1"/>
  <c r="A46797" i="1"/>
  <c r="B46797" i="1"/>
  <c r="A46798" i="1"/>
  <c r="B46798" i="1"/>
  <c r="A46799" i="1"/>
  <c r="B46799" i="1"/>
  <c r="A46800" i="1"/>
  <c r="B46800" i="1"/>
  <c r="A46801" i="1"/>
  <c r="B46801" i="1"/>
  <c r="A46802" i="1"/>
  <c r="B46802" i="1"/>
  <c r="A46803" i="1"/>
  <c r="B46803" i="1"/>
  <c r="A46804" i="1"/>
  <c r="B46804" i="1"/>
  <c r="A46805" i="1"/>
  <c r="B46805" i="1"/>
  <c r="A46806" i="1"/>
  <c r="B46806" i="1"/>
  <c r="A46807" i="1"/>
  <c r="B46807" i="1"/>
  <c r="A46808" i="1"/>
  <c r="B46808" i="1"/>
  <c r="A46809" i="1"/>
  <c r="B46809" i="1"/>
  <c r="A46810" i="1"/>
  <c r="B46810" i="1"/>
  <c r="A46811" i="1"/>
  <c r="B46811" i="1"/>
  <c r="A46812" i="1"/>
  <c r="B46812" i="1"/>
  <c r="A46813" i="1"/>
  <c r="B46813" i="1"/>
  <c r="A46814" i="1"/>
  <c r="B46814" i="1"/>
  <c r="A46815" i="1"/>
  <c r="B46815" i="1"/>
  <c r="A46816" i="1"/>
  <c r="B46816" i="1"/>
  <c r="A46817" i="1"/>
  <c r="B46817" i="1"/>
  <c r="A46818" i="1"/>
  <c r="B46818" i="1"/>
  <c r="A46819" i="1"/>
  <c r="B46819" i="1"/>
  <c r="A46820" i="1"/>
  <c r="B46820" i="1"/>
  <c r="A46821" i="1"/>
  <c r="B46821" i="1"/>
  <c r="A46822" i="1"/>
  <c r="B46822" i="1"/>
  <c r="A46823" i="1"/>
  <c r="B46823" i="1"/>
  <c r="A46824" i="1"/>
  <c r="B46824" i="1"/>
  <c r="A46825" i="1"/>
  <c r="B46825" i="1"/>
  <c r="A46826" i="1"/>
  <c r="B46826" i="1"/>
  <c r="A46827" i="1"/>
  <c r="B46827" i="1"/>
  <c r="A46828" i="1"/>
  <c r="B46828" i="1"/>
  <c r="A46829" i="1"/>
  <c r="B46829" i="1"/>
  <c r="A46830" i="1"/>
  <c r="B46830" i="1"/>
  <c r="A46831" i="1"/>
  <c r="B46831" i="1"/>
  <c r="A46832" i="1"/>
  <c r="B46832" i="1"/>
  <c r="A46833" i="1"/>
  <c r="B46833" i="1"/>
  <c r="A46834" i="1"/>
  <c r="B46834" i="1"/>
  <c r="A46835" i="1"/>
  <c r="B46835" i="1"/>
  <c r="A46836" i="1"/>
  <c r="B46836" i="1"/>
  <c r="A46837" i="1"/>
  <c r="B46837" i="1"/>
  <c r="A46838" i="1"/>
  <c r="B46838" i="1"/>
  <c r="A46839" i="1"/>
  <c r="B46839" i="1"/>
  <c r="A46840" i="1"/>
  <c r="B46840" i="1"/>
  <c r="A46841" i="1"/>
  <c r="B46841" i="1"/>
  <c r="A46842" i="1"/>
  <c r="B46842" i="1"/>
  <c r="A46843" i="1"/>
  <c r="B46843" i="1"/>
  <c r="A46844" i="1"/>
  <c r="B46844" i="1"/>
  <c r="A46845" i="1"/>
  <c r="B46845" i="1"/>
  <c r="A46846" i="1"/>
  <c r="B46846" i="1"/>
  <c r="A46847" i="1"/>
  <c r="B46847" i="1"/>
  <c r="A46848" i="1"/>
  <c r="B46848" i="1"/>
  <c r="A46849" i="1"/>
  <c r="B46849" i="1"/>
  <c r="A46850" i="1"/>
  <c r="B46850" i="1"/>
  <c r="A46851" i="1"/>
  <c r="B46851" i="1"/>
  <c r="A46852" i="1"/>
  <c r="B46852" i="1"/>
  <c r="A46853" i="1"/>
  <c r="B46853" i="1"/>
  <c r="A46854" i="1"/>
  <c r="B46854" i="1"/>
  <c r="A46855" i="1"/>
  <c r="B46855" i="1"/>
  <c r="A46856" i="1"/>
  <c r="B46856" i="1"/>
  <c r="A46857" i="1"/>
  <c r="B46857" i="1"/>
  <c r="A46858" i="1"/>
  <c r="B46858" i="1"/>
  <c r="A46859" i="1"/>
  <c r="B46859" i="1"/>
  <c r="A46860" i="1"/>
  <c r="B46860" i="1"/>
  <c r="A46861" i="1"/>
  <c r="B46861" i="1"/>
  <c r="A46862" i="1"/>
  <c r="B46862" i="1"/>
  <c r="A46863" i="1"/>
  <c r="B46863" i="1"/>
  <c r="A46864" i="1"/>
  <c r="B46864" i="1"/>
  <c r="A46865" i="1"/>
  <c r="B46865" i="1"/>
  <c r="A46866" i="1"/>
  <c r="B46866" i="1"/>
  <c r="A46867" i="1"/>
  <c r="B46867" i="1"/>
  <c r="A46868" i="1"/>
  <c r="B46868" i="1"/>
  <c r="A46869" i="1"/>
  <c r="B46869" i="1"/>
  <c r="A46870" i="1"/>
  <c r="B46870" i="1"/>
  <c r="A46871" i="1"/>
  <c r="B46871" i="1"/>
  <c r="A46872" i="1"/>
  <c r="B46872" i="1"/>
  <c r="A46873" i="1"/>
  <c r="B46873" i="1"/>
  <c r="A46874" i="1"/>
  <c r="B46874" i="1"/>
  <c r="A46875" i="1"/>
  <c r="B46875" i="1"/>
  <c r="A46876" i="1"/>
  <c r="B46876" i="1"/>
  <c r="A46877" i="1"/>
  <c r="B46877" i="1"/>
  <c r="A46878" i="1"/>
  <c r="B46878" i="1"/>
  <c r="A46879" i="1"/>
  <c r="B46879" i="1"/>
  <c r="A46880" i="1"/>
  <c r="B46880" i="1"/>
  <c r="A46881" i="1"/>
  <c r="B46881" i="1"/>
  <c r="A46882" i="1"/>
  <c r="B46882" i="1"/>
  <c r="A46883" i="1"/>
  <c r="B46883" i="1"/>
  <c r="A46884" i="1"/>
  <c r="B46884" i="1"/>
  <c r="A46885" i="1"/>
  <c r="B46885" i="1"/>
  <c r="A46886" i="1"/>
  <c r="B46886" i="1"/>
  <c r="A46887" i="1"/>
  <c r="B46887" i="1"/>
  <c r="A46888" i="1"/>
  <c r="B46888" i="1"/>
  <c r="A46889" i="1"/>
  <c r="B46889" i="1"/>
  <c r="A46890" i="1"/>
  <c r="B46890" i="1"/>
  <c r="A46891" i="1"/>
  <c r="B46891" i="1"/>
  <c r="A46892" i="1"/>
  <c r="B46892" i="1"/>
  <c r="A46893" i="1"/>
  <c r="B46893" i="1"/>
  <c r="A46894" i="1"/>
  <c r="B46894" i="1"/>
  <c r="A46895" i="1"/>
  <c r="B46895" i="1"/>
  <c r="A46896" i="1"/>
  <c r="B46896" i="1"/>
  <c r="A46897" i="1"/>
  <c r="B46897" i="1"/>
  <c r="A46898" i="1"/>
  <c r="B46898" i="1"/>
  <c r="A46899" i="1"/>
  <c r="B46899" i="1"/>
  <c r="A46900" i="1"/>
  <c r="B46900" i="1"/>
  <c r="A46901" i="1"/>
  <c r="B46901" i="1"/>
  <c r="A46902" i="1"/>
  <c r="B46902" i="1"/>
  <c r="A46903" i="1"/>
  <c r="B46903" i="1"/>
  <c r="A46904" i="1"/>
  <c r="B46904" i="1"/>
  <c r="A46905" i="1"/>
  <c r="B46905" i="1"/>
  <c r="A46906" i="1"/>
  <c r="B46906" i="1"/>
  <c r="A46907" i="1"/>
  <c r="B46907" i="1"/>
  <c r="A46908" i="1"/>
  <c r="B46908" i="1"/>
  <c r="A46909" i="1"/>
  <c r="B46909" i="1"/>
  <c r="A46910" i="1"/>
  <c r="B46910" i="1"/>
  <c r="A46911" i="1"/>
  <c r="B46911" i="1"/>
  <c r="A46912" i="1"/>
  <c r="B46912" i="1"/>
  <c r="A46913" i="1"/>
  <c r="B46913" i="1"/>
  <c r="A46914" i="1"/>
  <c r="B46914" i="1"/>
  <c r="A46915" i="1"/>
  <c r="B46915" i="1"/>
  <c r="A46916" i="1"/>
  <c r="B46916" i="1"/>
  <c r="A46917" i="1"/>
  <c r="B46917" i="1"/>
  <c r="A46918" i="1"/>
  <c r="B46918" i="1"/>
  <c r="A46919" i="1"/>
  <c r="B46919" i="1"/>
  <c r="A46920" i="1"/>
  <c r="B46920" i="1"/>
  <c r="A46921" i="1"/>
  <c r="B46921" i="1"/>
  <c r="A46922" i="1"/>
  <c r="B46922" i="1"/>
  <c r="A46923" i="1"/>
  <c r="B46923" i="1"/>
  <c r="A46924" i="1"/>
  <c r="B46924" i="1"/>
  <c r="A46925" i="1"/>
  <c r="B46925" i="1"/>
  <c r="A46926" i="1"/>
  <c r="B46926" i="1"/>
  <c r="A46927" i="1"/>
  <c r="B46927" i="1"/>
  <c r="A46928" i="1"/>
  <c r="B46928" i="1"/>
  <c r="A46929" i="1"/>
  <c r="B46929" i="1"/>
  <c r="A46930" i="1"/>
  <c r="B46930" i="1"/>
  <c r="A46931" i="1"/>
  <c r="B46931" i="1"/>
  <c r="A46932" i="1"/>
  <c r="B46932" i="1"/>
  <c r="A46933" i="1"/>
  <c r="B46933" i="1"/>
  <c r="A46934" i="1"/>
  <c r="B46934" i="1"/>
  <c r="A46935" i="1"/>
  <c r="B46935" i="1"/>
  <c r="A46936" i="1"/>
  <c r="B46936" i="1"/>
  <c r="A46937" i="1"/>
  <c r="B46937" i="1"/>
  <c r="A46938" i="1"/>
  <c r="B46938" i="1"/>
  <c r="A46939" i="1"/>
  <c r="B46939" i="1"/>
  <c r="A46940" i="1"/>
  <c r="B46940" i="1"/>
  <c r="A46941" i="1"/>
  <c r="B46941" i="1"/>
  <c r="A46942" i="1"/>
  <c r="B46942" i="1"/>
  <c r="A46943" i="1"/>
  <c r="B46943" i="1"/>
  <c r="A46944" i="1"/>
  <c r="B46944" i="1"/>
  <c r="A46945" i="1"/>
  <c r="B46945" i="1"/>
  <c r="A46946" i="1"/>
  <c r="B46946" i="1"/>
  <c r="A46947" i="1"/>
  <c r="B46947" i="1"/>
  <c r="A46948" i="1"/>
  <c r="B46948" i="1"/>
  <c r="A46949" i="1"/>
  <c r="B46949" i="1"/>
  <c r="A46950" i="1"/>
  <c r="B46950" i="1"/>
  <c r="A46951" i="1"/>
  <c r="B46951" i="1"/>
  <c r="A46952" i="1"/>
  <c r="B46952" i="1"/>
  <c r="A46953" i="1"/>
  <c r="B46953" i="1"/>
  <c r="A46954" i="1"/>
  <c r="B46954" i="1"/>
  <c r="A46955" i="1"/>
  <c r="B46955" i="1"/>
  <c r="A46956" i="1"/>
  <c r="B46956" i="1"/>
  <c r="A46957" i="1"/>
  <c r="B46957" i="1"/>
  <c r="A46958" i="1"/>
  <c r="B46958" i="1"/>
  <c r="A46959" i="1"/>
  <c r="B46959" i="1"/>
  <c r="A46960" i="1"/>
  <c r="B46960" i="1"/>
  <c r="A46961" i="1"/>
  <c r="B46961" i="1"/>
  <c r="A46962" i="1"/>
  <c r="B46962" i="1"/>
  <c r="A46963" i="1"/>
  <c r="B46963" i="1"/>
  <c r="A46964" i="1"/>
  <c r="B46964" i="1"/>
  <c r="A46965" i="1"/>
  <c r="B46965" i="1"/>
  <c r="A46966" i="1"/>
  <c r="B46966" i="1"/>
  <c r="A46967" i="1"/>
  <c r="B46967" i="1"/>
  <c r="A46968" i="1"/>
  <c r="B46968" i="1"/>
  <c r="A46969" i="1"/>
  <c r="B46969" i="1"/>
  <c r="A46970" i="1"/>
  <c r="B46970" i="1"/>
  <c r="A46971" i="1"/>
  <c r="B46971" i="1"/>
  <c r="A46972" i="1"/>
  <c r="B46972" i="1"/>
  <c r="A46973" i="1"/>
  <c r="B46973" i="1"/>
  <c r="A46974" i="1"/>
  <c r="B46974" i="1"/>
  <c r="A46975" i="1"/>
  <c r="B46975" i="1"/>
  <c r="A46976" i="1"/>
  <c r="B46976" i="1"/>
  <c r="A46977" i="1"/>
  <c r="B46977" i="1"/>
  <c r="A46978" i="1"/>
  <c r="B46978" i="1"/>
  <c r="A46979" i="1"/>
  <c r="B46979" i="1"/>
  <c r="A46980" i="1"/>
  <c r="B46980" i="1"/>
  <c r="A46981" i="1"/>
  <c r="B46981" i="1"/>
  <c r="A46982" i="1"/>
  <c r="B46982" i="1"/>
  <c r="A46983" i="1"/>
  <c r="B46983" i="1"/>
  <c r="A46984" i="1"/>
  <c r="B46984" i="1"/>
  <c r="A46985" i="1"/>
  <c r="B46985" i="1"/>
  <c r="A46986" i="1"/>
  <c r="B46986" i="1"/>
  <c r="A46987" i="1"/>
  <c r="B46987" i="1"/>
  <c r="A46988" i="1"/>
  <c r="B46988" i="1"/>
  <c r="A46989" i="1"/>
  <c r="B46989" i="1"/>
  <c r="A46990" i="1"/>
  <c r="B46990" i="1"/>
  <c r="A46991" i="1"/>
  <c r="B46991" i="1"/>
  <c r="A46992" i="1"/>
  <c r="B46992" i="1"/>
  <c r="A46993" i="1"/>
  <c r="B46993" i="1"/>
  <c r="A46994" i="1"/>
  <c r="B46994" i="1"/>
  <c r="A46995" i="1"/>
  <c r="B46995" i="1"/>
  <c r="A46996" i="1"/>
  <c r="B46996" i="1"/>
  <c r="A46997" i="1"/>
  <c r="B46997" i="1"/>
  <c r="A46998" i="1"/>
  <c r="B46998" i="1"/>
  <c r="A46999" i="1"/>
  <c r="B46999" i="1"/>
  <c r="A47000" i="1"/>
  <c r="B47000" i="1"/>
  <c r="A47001" i="1"/>
  <c r="B47001" i="1"/>
  <c r="A47002" i="1"/>
  <c r="B47002" i="1"/>
  <c r="A47003" i="1"/>
  <c r="B47003" i="1"/>
  <c r="A47004" i="1"/>
  <c r="B47004" i="1"/>
  <c r="A47005" i="1"/>
  <c r="B47005" i="1"/>
  <c r="A47006" i="1"/>
  <c r="B47006" i="1"/>
  <c r="A47007" i="1"/>
  <c r="B47007" i="1"/>
  <c r="A47008" i="1"/>
  <c r="B47008" i="1"/>
  <c r="A47009" i="1"/>
  <c r="B47009" i="1"/>
  <c r="A47010" i="1"/>
  <c r="B47010" i="1"/>
  <c r="A47011" i="1"/>
  <c r="B47011" i="1"/>
  <c r="A47012" i="1"/>
  <c r="B47012" i="1"/>
  <c r="A47013" i="1"/>
  <c r="B47013" i="1"/>
  <c r="A47014" i="1"/>
  <c r="B47014" i="1"/>
  <c r="A47015" i="1"/>
  <c r="B47015" i="1"/>
  <c r="A47016" i="1"/>
  <c r="B47016" i="1"/>
  <c r="A47017" i="1"/>
  <c r="B47017" i="1"/>
  <c r="A47018" i="1"/>
  <c r="B47018" i="1"/>
  <c r="A47019" i="1"/>
  <c r="B47019" i="1"/>
  <c r="A47020" i="1"/>
  <c r="B47020" i="1"/>
  <c r="A47021" i="1"/>
  <c r="B47021" i="1"/>
  <c r="A47022" i="1"/>
  <c r="B47022" i="1"/>
  <c r="A47023" i="1"/>
  <c r="B47023" i="1"/>
  <c r="A47024" i="1"/>
  <c r="B47024" i="1"/>
  <c r="A47025" i="1"/>
  <c r="B47025" i="1"/>
  <c r="A47026" i="1"/>
  <c r="B47026" i="1"/>
  <c r="A47027" i="1"/>
  <c r="B47027" i="1"/>
  <c r="A47028" i="1"/>
  <c r="B47028" i="1"/>
  <c r="A47029" i="1"/>
  <c r="B47029" i="1"/>
  <c r="A47030" i="1"/>
  <c r="B47030" i="1"/>
  <c r="A47031" i="1"/>
  <c r="B47031" i="1"/>
  <c r="A47032" i="1"/>
  <c r="B47032" i="1"/>
  <c r="A47033" i="1"/>
  <c r="B47033" i="1"/>
  <c r="A47034" i="1"/>
  <c r="B47034" i="1"/>
  <c r="A47035" i="1"/>
  <c r="B47035" i="1"/>
  <c r="A47036" i="1"/>
  <c r="B47036" i="1"/>
  <c r="A47037" i="1"/>
  <c r="B47037" i="1"/>
  <c r="A47038" i="1"/>
  <c r="B47038" i="1"/>
  <c r="A47039" i="1"/>
  <c r="B47039" i="1"/>
  <c r="A47040" i="1"/>
  <c r="B47040" i="1"/>
  <c r="A47041" i="1"/>
  <c r="B47041" i="1"/>
  <c r="A47042" i="1"/>
  <c r="B47042" i="1"/>
  <c r="A47043" i="1"/>
  <c r="B47043" i="1"/>
  <c r="A47044" i="1"/>
  <c r="B47044" i="1"/>
  <c r="A47045" i="1"/>
  <c r="B47045" i="1"/>
  <c r="A47046" i="1"/>
  <c r="B47046" i="1"/>
  <c r="A47047" i="1"/>
  <c r="B47047" i="1"/>
  <c r="A47048" i="1"/>
  <c r="B47048" i="1"/>
  <c r="A47049" i="1"/>
  <c r="B47049" i="1"/>
  <c r="A47050" i="1"/>
  <c r="B47050" i="1"/>
  <c r="A47051" i="1"/>
  <c r="B47051" i="1"/>
  <c r="A47052" i="1"/>
  <c r="B47052" i="1"/>
  <c r="A47053" i="1"/>
  <c r="B47053" i="1"/>
  <c r="A47054" i="1"/>
  <c r="B47054" i="1"/>
  <c r="A47055" i="1"/>
  <c r="B47055" i="1"/>
  <c r="A47056" i="1"/>
  <c r="B47056" i="1"/>
  <c r="A47057" i="1"/>
  <c r="B47057" i="1"/>
  <c r="A47058" i="1"/>
  <c r="B47058" i="1"/>
  <c r="A47059" i="1"/>
  <c r="B47059" i="1"/>
  <c r="A47060" i="1"/>
  <c r="B47060" i="1"/>
  <c r="A47061" i="1"/>
  <c r="B47061" i="1"/>
  <c r="A47062" i="1"/>
  <c r="B47062" i="1"/>
  <c r="A47063" i="1"/>
  <c r="B47063" i="1"/>
  <c r="A47064" i="1"/>
  <c r="B47064" i="1"/>
  <c r="A47065" i="1"/>
  <c r="B47065" i="1"/>
  <c r="A47066" i="1"/>
  <c r="B47066" i="1"/>
  <c r="A47067" i="1"/>
  <c r="B47067" i="1"/>
  <c r="A47068" i="1"/>
  <c r="B47068" i="1"/>
  <c r="A47069" i="1"/>
  <c r="B47069" i="1"/>
  <c r="A47070" i="1"/>
  <c r="B47070" i="1"/>
  <c r="A47071" i="1"/>
  <c r="B47071" i="1"/>
  <c r="A47072" i="1"/>
  <c r="B47072" i="1"/>
  <c r="A47073" i="1"/>
  <c r="B47073" i="1"/>
  <c r="A47074" i="1"/>
  <c r="B47074" i="1"/>
  <c r="A47075" i="1"/>
  <c r="B47075" i="1"/>
  <c r="A47076" i="1"/>
  <c r="B47076" i="1"/>
  <c r="A47077" i="1"/>
  <c r="B47077" i="1"/>
  <c r="A47078" i="1"/>
  <c r="B47078" i="1"/>
  <c r="A47079" i="1"/>
  <c r="B47079" i="1"/>
  <c r="A47080" i="1"/>
  <c r="B47080" i="1"/>
  <c r="A47081" i="1"/>
  <c r="B47081" i="1"/>
  <c r="A47082" i="1"/>
  <c r="B47082" i="1"/>
  <c r="A47083" i="1"/>
  <c r="B47083" i="1"/>
  <c r="A47084" i="1"/>
  <c r="B47084" i="1"/>
  <c r="A47085" i="1"/>
  <c r="B47085" i="1"/>
  <c r="A47086" i="1"/>
  <c r="B47086" i="1"/>
  <c r="A47087" i="1"/>
  <c r="B47087" i="1"/>
  <c r="A47088" i="1"/>
  <c r="B47088" i="1"/>
  <c r="A47089" i="1"/>
  <c r="B47089" i="1"/>
  <c r="A47090" i="1"/>
  <c r="B47090" i="1"/>
  <c r="A47091" i="1"/>
  <c r="B47091" i="1"/>
  <c r="A47092" i="1"/>
  <c r="B47092" i="1"/>
  <c r="A47093" i="1"/>
  <c r="B47093" i="1"/>
  <c r="A47094" i="1"/>
  <c r="B47094" i="1"/>
  <c r="A47095" i="1"/>
  <c r="B47095" i="1"/>
  <c r="A47096" i="1"/>
  <c r="B47096" i="1"/>
  <c r="A47097" i="1"/>
  <c r="B47097" i="1"/>
  <c r="A47098" i="1"/>
  <c r="B47098" i="1"/>
  <c r="A47099" i="1"/>
  <c r="B47099" i="1"/>
  <c r="A47100" i="1"/>
  <c r="B47100" i="1"/>
  <c r="A47101" i="1"/>
  <c r="B47101" i="1"/>
  <c r="A47102" i="1"/>
  <c r="B47102" i="1"/>
  <c r="A47103" i="1"/>
  <c r="B47103" i="1"/>
  <c r="A47104" i="1"/>
  <c r="B47104" i="1"/>
  <c r="A47105" i="1"/>
  <c r="B47105" i="1"/>
  <c r="A47106" i="1"/>
  <c r="B47106" i="1"/>
  <c r="A47107" i="1"/>
  <c r="B47107" i="1"/>
  <c r="A47108" i="1"/>
  <c r="B47108" i="1"/>
  <c r="A47109" i="1"/>
  <c r="B47109" i="1"/>
  <c r="A47110" i="1"/>
  <c r="B47110" i="1"/>
  <c r="A47111" i="1"/>
  <c r="B47111" i="1"/>
  <c r="A47112" i="1"/>
  <c r="B47112" i="1"/>
  <c r="A47113" i="1"/>
  <c r="B47113" i="1"/>
  <c r="A47114" i="1"/>
  <c r="B47114" i="1"/>
  <c r="A47115" i="1"/>
  <c r="B47115" i="1"/>
  <c r="A47116" i="1"/>
  <c r="B47116" i="1"/>
  <c r="A47117" i="1"/>
  <c r="B47117" i="1"/>
  <c r="A47118" i="1"/>
  <c r="B47118" i="1"/>
  <c r="A47119" i="1"/>
  <c r="B47119" i="1"/>
  <c r="A47120" i="1"/>
  <c r="B47120" i="1"/>
  <c r="A47121" i="1"/>
  <c r="B47121" i="1"/>
  <c r="A47122" i="1"/>
  <c r="B47122" i="1"/>
  <c r="A47123" i="1"/>
  <c r="B47123" i="1"/>
  <c r="A47124" i="1"/>
  <c r="B47124" i="1"/>
  <c r="A47125" i="1"/>
  <c r="B47125" i="1"/>
  <c r="A47126" i="1"/>
  <c r="B47126" i="1"/>
  <c r="A47127" i="1"/>
  <c r="B47127" i="1"/>
  <c r="A47128" i="1"/>
  <c r="B47128" i="1"/>
  <c r="A47129" i="1"/>
  <c r="B47129" i="1"/>
  <c r="A47130" i="1"/>
  <c r="B47130" i="1"/>
  <c r="A47131" i="1"/>
  <c r="B47131" i="1"/>
  <c r="A47132" i="1"/>
  <c r="B47132" i="1"/>
  <c r="A47133" i="1"/>
  <c r="B47133" i="1"/>
  <c r="A47134" i="1"/>
  <c r="B47134" i="1"/>
  <c r="A47135" i="1"/>
  <c r="B47135" i="1"/>
  <c r="A47136" i="1"/>
  <c r="B47136" i="1"/>
  <c r="A47137" i="1"/>
  <c r="B47137" i="1"/>
  <c r="A47138" i="1"/>
  <c r="B47138" i="1"/>
  <c r="A47139" i="1"/>
  <c r="B47139" i="1"/>
  <c r="A47140" i="1"/>
  <c r="B47140" i="1"/>
  <c r="A47141" i="1"/>
  <c r="B47141" i="1"/>
  <c r="A47142" i="1"/>
  <c r="B47142" i="1"/>
  <c r="A47143" i="1"/>
  <c r="B47143" i="1"/>
  <c r="A47144" i="1"/>
  <c r="B47144" i="1"/>
  <c r="A47145" i="1"/>
  <c r="B47145" i="1"/>
  <c r="A47146" i="1"/>
  <c r="B47146" i="1"/>
  <c r="A47147" i="1"/>
  <c r="B47147" i="1"/>
  <c r="A47148" i="1"/>
  <c r="B47148" i="1"/>
  <c r="A47149" i="1"/>
  <c r="B47149" i="1"/>
  <c r="A47150" i="1"/>
  <c r="B47150" i="1"/>
  <c r="A47151" i="1"/>
  <c r="B47151" i="1"/>
  <c r="A47152" i="1"/>
  <c r="B47152" i="1"/>
  <c r="A47153" i="1"/>
  <c r="B47153" i="1"/>
  <c r="A47154" i="1"/>
  <c r="B47154" i="1"/>
  <c r="A47155" i="1"/>
  <c r="B47155" i="1"/>
  <c r="A47156" i="1"/>
  <c r="B47156" i="1"/>
  <c r="A47157" i="1"/>
  <c r="B47157" i="1"/>
  <c r="A47158" i="1"/>
  <c r="B47158" i="1"/>
  <c r="A47159" i="1"/>
  <c r="B47159" i="1"/>
  <c r="A47160" i="1"/>
  <c r="B47160" i="1"/>
  <c r="A47161" i="1"/>
  <c r="B47161" i="1"/>
  <c r="A47162" i="1"/>
  <c r="B47162" i="1"/>
  <c r="A47163" i="1"/>
  <c r="B47163" i="1"/>
  <c r="A47164" i="1"/>
  <c r="B47164" i="1"/>
  <c r="A47165" i="1"/>
  <c r="B47165" i="1"/>
  <c r="A47166" i="1"/>
  <c r="B47166" i="1"/>
  <c r="A47167" i="1"/>
  <c r="B47167" i="1"/>
  <c r="A47168" i="1"/>
  <c r="B47168" i="1"/>
  <c r="A47169" i="1"/>
  <c r="B47169" i="1"/>
  <c r="A47170" i="1"/>
  <c r="B47170" i="1"/>
  <c r="A47171" i="1"/>
  <c r="B47171" i="1"/>
  <c r="A47172" i="1"/>
  <c r="B47172" i="1"/>
  <c r="A47173" i="1"/>
  <c r="B47173" i="1"/>
  <c r="A47174" i="1"/>
  <c r="B47174" i="1"/>
  <c r="A47175" i="1"/>
  <c r="B47175" i="1"/>
  <c r="A47176" i="1"/>
  <c r="B47176" i="1"/>
  <c r="A47177" i="1"/>
  <c r="B47177" i="1"/>
  <c r="A47178" i="1"/>
  <c r="B47178" i="1"/>
  <c r="A47179" i="1"/>
  <c r="B47179" i="1"/>
  <c r="A47180" i="1"/>
  <c r="B47180" i="1"/>
  <c r="A47181" i="1"/>
  <c r="B47181" i="1"/>
  <c r="A47182" i="1"/>
  <c r="B47182" i="1"/>
  <c r="A47183" i="1"/>
  <c r="B47183" i="1"/>
  <c r="A47184" i="1"/>
  <c r="B47184" i="1"/>
  <c r="A47185" i="1"/>
  <c r="B47185" i="1"/>
  <c r="A47186" i="1"/>
  <c r="B47186" i="1"/>
  <c r="A47187" i="1"/>
  <c r="B47187" i="1"/>
  <c r="A47188" i="1"/>
  <c r="B47188" i="1"/>
  <c r="A47189" i="1"/>
  <c r="B47189" i="1"/>
  <c r="A47190" i="1"/>
  <c r="B47190" i="1"/>
  <c r="A47191" i="1"/>
  <c r="B47191" i="1"/>
  <c r="A47192" i="1"/>
  <c r="B47192" i="1"/>
  <c r="A47193" i="1"/>
  <c r="B47193" i="1"/>
  <c r="A47194" i="1"/>
  <c r="B47194" i="1"/>
  <c r="A47195" i="1"/>
  <c r="B47195" i="1"/>
  <c r="A47196" i="1"/>
  <c r="B47196" i="1"/>
  <c r="A47197" i="1"/>
  <c r="B47197" i="1"/>
  <c r="A47198" i="1"/>
  <c r="B47198" i="1"/>
  <c r="A47199" i="1"/>
  <c r="B47199" i="1"/>
  <c r="A47200" i="1"/>
  <c r="B47200" i="1"/>
  <c r="A47201" i="1"/>
  <c r="B47201" i="1"/>
  <c r="A47202" i="1"/>
  <c r="B47202" i="1"/>
  <c r="A47203" i="1"/>
  <c r="B47203" i="1"/>
  <c r="A47204" i="1"/>
  <c r="B47204" i="1"/>
  <c r="A47205" i="1"/>
  <c r="B47205" i="1"/>
  <c r="A47206" i="1"/>
  <c r="B47206" i="1"/>
  <c r="A47207" i="1"/>
  <c r="B47207" i="1"/>
  <c r="A47208" i="1"/>
  <c r="B47208" i="1"/>
  <c r="A47209" i="1"/>
  <c r="B47209" i="1"/>
  <c r="A47210" i="1"/>
  <c r="B47210" i="1"/>
  <c r="A47211" i="1"/>
  <c r="B47211" i="1"/>
  <c r="A47212" i="1"/>
  <c r="B47212" i="1"/>
  <c r="A47213" i="1"/>
  <c r="B47213" i="1"/>
  <c r="A47214" i="1"/>
  <c r="B47214" i="1"/>
  <c r="A47215" i="1"/>
  <c r="B47215" i="1"/>
  <c r="A47216" i="1"/>
  <c r="B47216" i="1"/>
  <c r="A47217" i="1"/>
  <c r="B47217" i="1"/>
  <c r="A47218" i="1"/>
  <c r="B47218" i="1"/>
  <c r="A47219" i="1"/>
  <c r="B47219" i="1"/>
  <c r="A47220" i="1"/>
  <c r="B47220" i="1"/>
  <c r="A47221" i="1"/>
  <c r="B47221" i="1"/>
  <c r="A47222" i="1"/>
  <c r="B47222" i="1"/>
  <c r="A47223" i="1"/>
  <c r="B47223" i="1"/>
  <c r="A47224" i="1"/>
  <c r="B47224" i="1"/>
  <c r="A47225" i="1"/>
  <c r="B47225" i="1"/>
  <c r="A47226" i="1"/>
  <c r="B47226" i="1"/>
  <c r="A47227" i="1"/>
  <c r="B47227" i="1"/>
  <c r="A47228" i="1"/>
  <c r="B47228" i="1"/>
  <c r="A47229" i="1"/>
  <c r="B47229" i="1"/>
  <c r="A47230" i="1"/>
  <c r="B47230" i="1"/>
  <c r="A47231" i="1"/>
  <c r="B47231" i="1"/>
  <c r="A47232" i="1"/>
  <c r="B47232" i="1"/>
  <c r="A47233" i="1"/>
  <c r="B47233" i="1"/>
  <c r="A47234" i="1"/>
  <c r="B47234" i="1"/>
  <c r="A47235" i="1"/>
  <c r="B47235" i="1"/>
  <c r="A47236" i="1"/>
  <c r="B47236" i="1"/>
  <c r="A47237" i="1"/>
  <c r="B47237" i="1"/>
  <c r="A47238" i="1"/>
  <c r="B47238" i="1"/>
  <c r="A47239" i="1"/>
  <c r="B47239" i="1"/>
  <c r="A47240" i="1"/>
  <c r="B47240" i="1"/>
  <c r="A47241" i="1"/>
  <c r="B47241" i="1"/>
  <c r="A47242" i="1"/>
  <c r="B47242" i="1"/>
  <c r="A47243" i="1"/>
  <c r="B47243" i="1"/>
  <c r="A47244" i="1"/>
  <c r="B47244" i="1"/>
  <c r="A47245" i="1"/>
  <c r="B47245" i="1"/>
  <c r="A47246" i="1"/>
  <c r="B47246" i="1"/>
  <c r="A47247" i="1"/>
  <c r="B47247" i="1"/>
  <c r="A47248" i="1"/>
  <c r="B47248" i="1"/>
  <c r="A47249" i="1"/>
  <c r="B47249" i="1"/>
  <c r="A47250" i="1"/>
  <c r="B47250" i="1"/>
  <c r="A47251" i="1"/>
  <c r="B47251" i="1"/>
  <c r="A47252" i="1"/>
  <c r="B47252" i="1"/>
  <c r="A47253" i="1"/>
  <c r="B47253" i="1"/>
  <c r="A47254" i="1"/>
  <c r="B47254" i="1"/>
  <c r="A47255" i="1"/>
  <c r="B47255" i="1"/>
  <c r="A47256" i="1"/>
  <c r="B47256" i="1"/>
  <c r="A47257" i="1"/>
  <c r="B47257" i="1"/>
  <c r="A47258" i="1"/>
  <c r="B47258" i="1"/>
  <c r="A47259" i="1"/>
  <c r="B47259" i="1"/>
  <c r="A47260" i="1"/>
  <c r="B47260" i="1"/>
  <c r="A47261" i="1"/>
  <c r="B47261" i="1"/>
  <c r="A47262" i="1"/>
  <c r="B47262" i="1"/>
  <c r="A47263" i="1"/>
  <c r="B47263" i="1"/>
  <c r="A47264" i="1"/>
  <c r="B47264" i="1"/>
  <c r="A47265" i="1"/>
  <c r="B47265" i="1"/>
  <c r="A47266" i="1"/>
  <c r="B47266" i="1"/>
  <c r="A47267" i="1"/>
  <c r="B47267" i="1"/>
  <c r="A47268" i="1"/>
  <c r="B47268" i="1"/>
  <c r="A47269" i="1"/>
  <c r="B47269" i="1"/>
  <c r="A47270" i="1"/>
  <c r="B47270" i="1"/>
  <c r="A47271" i="1"/>
  <c r="B47271" i="1"/>
  <c r="A47272" i="1"/>
  <c r="B47272" i="1"/>
  <c r="A47273" i="1"/>
  <c r="B47273" i="1"/>
  <c r="A47274" i="1"/>
  <c r="B47274" i="1"/>
  <c r="A47275" i="1"/>
  <c r="B47275" i="1"/>
  <c r="A47276" i="1"/>
  <c r="B47276" i="1"/>
  <c r="A47277" i="1"/>
  <c r="B47277" i="1"/>
  <c r="A47278" i="1"/>
  <c r="B47278" i="1"/>
  <c r="A47279" i="1"/>
  <c r="B47279" i="1"/>
  <c r="A47280" i="1"/>
  <c r="B47280" i="1"/>
  <c r="A47281" i="1"/>
  <c r="B4728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281"/>
  <sheetViews>
    <sheetView tabSelected="1" workbookViewId="0">
      <selection activeCell="I10" sqref="I10"/>
    </sheetView>
  </sheetViews>
  <sheetFormatPr defaultRowHeight="15" x14ac:dyDescent="0.25"/>
  <cols>
    <col min="1" max="2" width="9.140625" style="2"/>
    <col min="3" max="6" width="11.5703125" style="1" bestFit="1" customWidth="1"/>
  </cols>
  <sheetData>
    <row r="1" spans="1:6" x14ac:dyDescent="0.25">
      <c r="A1" s="2" t="str">
        <f>"cbsa"</f>
        <v>cbsa</v>
      </c>
      <c r="B1" s="2" t="str">
        <f>"zip"</f>
        <v>zip</v>
      </c>
      <c r="C1" s="1" t="str">
        <f>"res_ratio"</f>
        <v>res_ratio</v>
      </c>
      <c r="D1" s="1" t="str">
        <f>"bus_ratio"</f>
        <v>bus_ratio</v>
      </c>
      <c r="E1" s="1" t="str">
        <f>"oth_ratio"</f>
        <v>oth_ratio</v>
      </c>
      <c r="F1" s="1" t="str">
        <f>"tot_ratio"</f>
        <v>tot_ratio</v>
      </c>
    </row>
    <row r="2" spans="1:6" x14ac:dyDescent="0.25">
      <c r="A2" s="2" t="str">
        <f t="shared" ref="A2:A16" si="0">"10380"</f>
        <v>10380</v>
      </c>
      <c r="B2" s="2" t="str">
        <f>"00690"</f>
        <v>00690</v>
      </c>
      <c r="C2" s="1">
        <v>2.60155741883316E-2</v>
      </c>
      <c r="D2" s="1">
        <v>1.9970709625881999E-2</v>
      </c>
      <c r="E2" s="1">
        <v>6.6489361702127599E-3</v>
      </c>
      <c r="F2" s="1">
        <v>2.5408614497568999E-2</v>
      </c>
    </row>
    <row r="3" spans="1:6" x14ac:dyDescent="0.25">
      <c r="A3" s="2" t="str">
        <f t="shared" si="0"/>
        <v>10380</v>
      </c>
      <c r="B3" s="2" t="str">
        <f>"00669"</f>
        <v>00669</v>
      </c>
      <c r="C3" s="1">
        <v>6.7236196804303094E-2</v>
      </c>
      <c r="D3" s="1">
        <v>5.5518572759951999E-2</v>
      </c>
      <c r="E3" s="1">
        <v>4.3882978723404201E-2</v>
      </c>
      <c r="F3" s="1">
        <v>6.6233417214336301E-2</v>
      </c>
    </row>
    <row r="4" spans="1:6" x14ac:dyDescent="0.25">
      <c r="A4" s="2" t="str">
        <f t="shared" si="0"/>
        <v>10380</v>
      </c>
      <c r="B4" s="2" t="str">
        <f>"00605"</f>
        <v>00605</v>
      </c>
      <c r="C4" s="1">
        <v>3.33544270421346E-2</v>
      </c>
      <c r="D4" s="1">
        <v>4.5932632139528598E-2</v>
      </c>
      <c r="E4" s="1">
        <v>1.9946808510638201E-3</v>
      </c>
      <c r="F4" s="1">
        <v>3.3739708289560397E-2</v>
      </c>
    </row>
    <row r="5" spans="1:6" x14ac:dyDescent="0.25">
      <c r="A5" s="2" t="str">
        <f t="shared" si="0"/>
        <v>10380</v>
      </c>
      <c r="B5" s="2" t="str">
        <f>"00602"</f>
        <v>00602</v>
      </c>
      <c r="C5" s="1">
        <v>9.9720508358382101E-2</v>
      </c>
      <c r="D5" s="1">
        <v>0.10850752230062501</v>
      </c>
      <c r="E5" s="1">
        <v>0.119015957446808</v>
      </c>
      <c r="F5" s="1">
        <v>0.100494327852564</v>
      </c>
    </row>
    <row r="6" spans="1:6" x14ac:dyDescent="0.25">
      <c r="A6" s="2" t="str">
        <f t="shared" si="0"/>
        <v>10380</v>
      </c>
      <c r="B6" s="2" t="str">
        <f>"00677"</f>
        <v>00677</v>
      </c>
      <c r="C6" s="1">
        <v>5.7278208440999102E-2</v>
      </c>
      <c r="D6" s="1">
        <v>6.1110371455199E-2</v>
      </c>
      <c r="E6" s="1">
        <v>8.5106382978723402E-2</v>
      </c>
      <c r="F6" s="1">
        <v>5.7853460702157203E-2</v>
      </c>
    </row>
    <row r="7" spans="1:6" x14ac:dyDescent="0.25">
      <c r="A7" s="2" t="str">
        <f t="shared" si="0"/>
        <v>10380</v>
      </c>
      <c r="B7" s="2" t="str">
        <f>"00610"</f>
        <v>00610</v>
      </c>
      <c r="C7" s="1">
        <v>8.4752764154757507E-2</v>
      </c>
      <c r="D7" s="1">
        <v>7.4690454000798795E-2</v>
      </c>
      <c r="E7" s="1">
        <v>5.0531914893616997E-2</v>
      </c>
      <c r="F7" s="1">
        <v>8.3718127254810898E-2</v>
      </c>
    </row>
    <row r="8" spans="1:6" x14ac:dyDescent="0.25">
      <c r="A8" s="2" t="str">
        <f t="shared" si="0"/>
        <v>10380</v>
      </c>
      <c r="B8" s="2" t="str">
        <f>"00604"</f>
        <v>00604</v>
      </c>
      <c r="C8" s="1">
        <v>6.2314331417321397E-3</v>
      </c>
      <c r="D8" s="1">
        <v>1.6775396085740898E-2</v>
      </c>
      <c r="E8" s="1">
        <v>1.3297872340425499E-3</v>
      </c>
      <c r="F8" s="1">
        <v>6.8163494661747804E-3</v>
      </c>
    </row>
    <row r="9" spans="1:6" x14ac:dyDescent="0.25">
      <c r="A9" s="2" t="str">
        <f t="shared" si="0"/>
        <v>10380</v>
      </c>
      <c r="B9" s="2" t="str">
        <f>"00676"</f>
        <v>00676</v>
      </c>
      <c r="C9" s="1">
        <v>8.1500817381216006E-2</v>
      </c>
      <c r="D9" s="1">
        <v>6.5903341765410697E-2</v>
      </c>
      <c r="E9" s="1">
        <v>3.3244680851063801E-2</v>
      </c>
      <c r="F9" s="1">
        <v>7.9955697800363199E-2</v>
      </c>
    </row>
    <row r="10" spans="1:6" x14ac:dyDescent="0.25">
      <c r="A10" s="2" t="str">
        <f t="shared" si="0"/>
        <v>10380</v>
      </c>
      <c r="B10" s="2" t="str">
        <f>"00603"</f>
        <v>00603</v>
      </c>
      <c r="C10" s="1">
        <v>0.156682311167361</v>
      </c>
      <c r="D10" s="1">
        <v>0.14365597124217799</v>
      </c>
      <c r="E10" s="1">
        <v>0.37367021276595702</v>
      </c>
      <c r="F10" s="1">
        <v>0.15854323943547199</v>
      </c>
    </row>
    <row r="11" spans="1:6" x14ac:dyDescent="0.25">
      <c r="A11" s="2" t="str">
        <f t="shared" si="0"/>
        <v>10380</v>
      </c>
      <c r="B11" s="2" t="str">
        <f>"00685"</f>
        <v>00685</v>
      </c>
      <c r="C11" s="1">
        <v>0.134692119741953</v>
      </c>
      <c r="D11" s="1">
        <v>0.13460258287844401</v>
      </c>
      <c r="E11" s="1">
        <v>6.3164893617021198E-2</v>
      </c>
      <c r="F11" s="1">
        <v>0.133810559233832</v>
      </c>
    </row>
    <row r="12" spans="1:6" x14ac:dyDescent="0.25">
      <c r="A12" s="2" t="str">
        <f t="shared" si="0"/>
        <v>10380</v>
      </c>
      <c r="B12" s="2" t="str">
        <f>"00641"</f>
        <v>00641</v>
      </c>
      <c r="C12" s="1">
        <v>8.2133628645256501E-2</v>
      </c>
      <c r="D12" s="1">
        <v>8.8270536546398604E-2</v>
      </c>
      <c r="E12" s="1">
        <v>6.5824468085106294E-2</v>
      </c>
      <c r="F12" s="1">
        <v>8.2309252156067506E-2</v>
      </c>
    </row>
    <row r="13" spans="1:6" x14ac:dyDescent="0.25">
      <c r="A13" s="2" t="str">
        <f t="shared" si="0"/>
        <v>10380</v>
      </c>
      <c r="B13" s="2" t="str">
        <f>"00631"</f>
        <v>00631</v>
      </c>
      <c r="C13" s="1">
        <v>0</v>
      </c>
      <c r="D13" s="1">
        <v>0</v>
      </c>
      <c r="E13" s="1">
        <v>1.3297872340425499E-3</v>
      </c>
      <c r="F13" s="1">
        <v>1.6287573395877601E-5</v>
      </c>
    </row>
    <row r="14" spans="1:6" x14ac:dyDescent="0.25">
      <c r="A14" s="2" t="str">
        <f t="shared" si="0"/>
        <v>10380</v>
      </c>
      <c r="B14" s="2" t="str">
        <f>"00662"</f>
        <v>00662</v>
      </c>
      <c r="C14" s="1">
        <v>0.164610030058535</v>
      </c>
      <c r="D14" s="1">
        <v>0.18186659565969901</v>
      </c>
      <c r="E14" s="1">
        <v>0.15159574468085099</v>
      </c>
      <c r="F14" s="1">
        <v>0.16550617706220999</v>
      </c>
    </row>
    <row r="15" spans="1:6" x14ac:dyDescent="0.25">
      <c r="A15" s="2" t="str">
        <f t="shared" si="0"/>
        <v>10380</v>
      </c>
      <c r="B15" s="2" t="str">
        <f>"00612"</f>
        <v>00612</v>
      </c>
      <c r="C15" s="1">
        <v>1.93358997345708E-4</v>
      </c>
      <c r="D15" s="1">
        <v>1.3313806417254601E-4</v>
      </c>
      <c r="E15" s="1">
        <v>1.3297872340425499E-3</v>
      </c>
      <c r="F15" s="1">
        <v>2.0359466744847E-4</v>
      </c>
    </row>
    <row r="16" spans="1:6" x14ac:dyDescent="0.25">
      <c r="A16" s="2" t="str">
        <f t="shared" si="0"/>
        <v>10380</v>
      </c>
      <c r="B16" s="2" t="str">
        <f>"00611"</f>
        <v>00611</v>
      </c>
      <c r="C16" s="1">
        <v>5.5986218776916397E-3</v>
      </c>
      <c r="D16" s="1">
        <v>3.06217547596857E-3</v>
      </c>
      <c r="E16" s="1">
        <v>1.3297872340425499E-3</v>
      </c>
      <c r="F16" s="1">
        <v>5.3911867940354902E-3</v>
      </c>
    </row>
    <row r="17" spans="1:6" x14ac:dyDescent="0.25">
      <c r="A17" s="2" t="str">
        <f t="shared" ref="A17:A48" si="1">"49340"</f>
        <v>49340</v>
      </c>
      <c r="B17" s="2" t="str">
        <f>"06280"</f>
        <v>06280</v>
      </c>
      <c r="C17" s="1">
        <v>2.9949463304649901E-3</v>
      </c>
      <c r="D17" s="1">
        <v>5.2548607461902204E-4</v>
      </c>
      <c r="E17" s="1">
        <v>4.3903295674061897E-4</v>
      </c>
      <c r="F17" s="1">
        <v>2.6381171606304002E-3</v>
      </c>
    </row>
    <row r="18" spans="1:6" x14ac:dyDescent="0.25">
      <c r="A18" s="2" t="str">
        <f t="shared" si="1"/>
        <v>49340</v>
      </c>
      <c r="B18" s="2" t="str">
        <f>"06332"</f>
        <v>06332</v>
      </c>
      <c r="C18" s="1">
        <v>9.0961213267757299E-4</v>
      </c>
      <c r="D18" s="1">
        <v>1.16774683248671E-4</v>
      </c>
      <c r="E18" s="1">
        <v>1.17075455130831E-4</v>
      </c>
      <c r="F18" s="1">
        <v>7.9703933098511099E-4</v>
      </c>
    </row>
    <row r="19" spans="1:6" x14ac:dyDescent="0.25">
      <c r="A19" s="2" t="str">
        <f t="shared" si="1"/>
        <v>49340</v>
      </c>
      <c r="B19" s="2" t="str">
        <f>"06278"</f>
        <v>06278</v>
      </c>
      <c r="C19" s="1">
        <v>4.7512718845179602E-3</v>
      </c>
      <c r="D19" s="1">
        <v>1.92678227360308E-3</v>
      </c>
      <c r="E19" s="1">
        <v>1.22929227887373E-3</v>
      </c>
      <c r="F19" s="1">
        <v>4.3006913901071598E-3</v>
      </c>
    </row>
    <row r="20" spans="1:6" x14ac:dyDescent="0.25">
      <c r="A20" s="2" t="str">
        <f t="shared" si="1"/>
        <v>49340</v>
      </c>
      <c r="B20" s="2" t="str">
        <f>"06244"</f>
        <v>06244</v>
      </c>
      <c r="C20" s="1">
        <v>0</v>
      </c>
      <c r="D20" s="1">
        <v>0</v>
      </c>
      <c r="E20" s="1">
        <v>3.8049522917520302E-4</v>
      </c>
      <c r="F20" s="1">
        <v>2.69831023510584E-5</v>
      </c>
    </row>
    <row r="21" spans="1:6" x14ac:dyDescent="0.25">
      <c r="A21" s="2" t="str">
        <f t="shared" si="1"/>
        <v>49340</v>
      </c>
      <c r="B21" s="2" t="str">
        <f>"06226"</f>
        <v>06226</v>
      </c>
      <c r="C21" s="1">
        <v>1.9295389282543401E-2</v>
      </c>
      <c r="D21" s="1">
        <v>2.1836865767501601E-2</v>
      </c>
      <c r="E21" s="1">
        <v>2.2097992155944501E-2</v>
      </c>
      <c r="F21" s="1">
        <v>1.96748328604371E-2</v>
      </c>
    </row>
    <row r="22" spans="1:6" x14ac:dyDescent="0.25">
      <c r="A22" s="2" t="str">
        <f t="shared" si="1"/>
        <v>49340</v>
      </c>
      <c r="B22" s="2" t="str">
        <f>"01757"</f>
        <v>01757</v>
      </c>
      <c r="C22" s="1">
        <v>3.0539743518408699E-2</v>
      </c>
      <c r="D22" s="1">
        <v>4.1980498627897399E-2</v>
      </c>
      <c r="E22" s="1">
        <v>1.8410115319323302E-2</v>
      </c>
      <c r="F22" s="1">
        <v>3.0492981279953799E-2</v>
      </c>
    </row>
    <row r="23" spans="1:6" x14ac:dyDescent="0.25">
      <c r="A23" s="2" t="str">
        <f t="shared" si="1"/>
        <v>49340</v>
      </c>
      <c r="B23" s="2" t="str">
        <f>"01606"</f>
        <v>01606</v>
      </c>
      <c r="C23" s="1">
        <v>2.2508061921362E-2</v>
      </c>
      <c r="D23" s="1">
        <v>2.33257429789221E-2</v>
      </c>
      <c r="E23" s="1">
        <v>1.3258795293566701E-2</v>
      </c>
      <c r="F23" s="1">
        <v>2.1910279109059402E-2</v>
      </c>
    </row>
    <row r="24" spans="1:6" x14ac:dyDescent="0.25">
      <c r="A24" s="2" t="str">
        <f t="shared" si="1"/>
        <v>49340</v>
      </c>
      <c r="B24" s="2" t="str">
        <f>"01610"</f>
        <v>01610</v>
      </c>
      <c r="C24" s="1">
        <v>1.9861477684262899E-2</v>
      </c>
      <c r="D24" s="1">
        <v>2.1866059438313701E-2</v>
      </c>
      <c r="E24" s="1">
        <v>7.8821050166832496E-2</v>
      </c>
      <c r="F24" s="1">
        <v>2.4185162199579401E-2</v>
      </c>
    </row>
    <row r="25" spans="1:6" x14ac:dyDescent="0.25">
      <c r="A25" s="2" t="str">
        <f t="shared" si="1"/>
        <v>49340</v>
      </c>
      <c r="B25" s="2" t="str">
        <f>"01583"</f>
        <v>01583</v>
      </c>
      <c r="C25" s="1">
        <v>7.2696395178087998E-3</v>
      </c>
      <c r="D25" s="1">
        <v>1.2173760728674E-2</v>
      </c>
      <c r="E25" s="1">
        <v>5.1805888895392997E-3</v>
      </c>
      <c r="F25" s="1">
        <v>7.4701681047276399E-3</v>
      </c>
    </row>
    <row r="26" spans="1:6" x14ac:dyDescent="0.25">
      <c r="A26" s="2" t="str">
        <f t="shared" si="1"/>
        <v>49340</v>
      </c>
      <c r="B26" s="2" t="str">
        <f>"01602"</f>
        <v>01602</v>
      </c>
      <c r="C26" s="1">
        <v>2.4796607340279601E-2</v>
      </c>
      <c r="D26" s="1">
        <v>1.56186138845098E-2</v>
      </c>
      <c r="E26" s="1">
        <v>1.89954925949774E-2</v>
      </c>
      <c r="F26" s="1">
        <v>2.3732676329384798E-2</v>
      </c>
    </row>
    <row r="27" spans="1:6" x14ac:dyDescent="0.25">
      <c r="A27" s="2" t="str">
        <f t="shared" si="1"/>
        <v>49340</v>
      </c>
      <c r="B27" s="2" t="str">
        <f>"01590"</f>
        <v>01590</v>
      </c>
      <c r="C27" s="1">
        <v>1.0160561056504799E-2</v>
      </c>
      <c r="D27" s="1">
        <v>9.7506860512640795E-3</v>
      </c>
      <c r="E27" s="1">
        <v>1.63905637183164E-3</v>
      </c>
      <c r="F27" s="1">
        <v>9.5271107531814097E-3</v>
      </c>
    </row>
    <row r="28" spans="1:6" x14ac:dyDescent="0.25">
      <c r="A28" s="2" t="str">
        <f t="shared" si="1"/>
        <v>49340</v>
      </c>
      <c r="B28" s="2" t="str">
        <f>"01603"</f>
        <v>01603</v>
      </c>
      <c r="C28" s="1">
        <v>2.0906563964360601E-2</v>
      </c>
      <c r="D28" s="1">
        <v>2.6215916389326702E-2</v>
      </c>
      <c r="E28" s="1">
        <v>4.3874026810279201E-2</v>
      </c>
      <c r="F28" s="1">
        <v>2.2912805142564101E-2</v>
      </c>
    </row>
    <row r="29" spans="1:6" x14ac:dyDescent="0.25">
      <c r="A29" s="2" t="str">
        <f t="shared" si="1"/>
        <v>49340</v>
      </c>
      <c r="B29" s="2" t="str">
        <f>"01569"</f>
        <v>01569</v>
      </c>
      <c r="C29" s="1">
        <v>1.54416336246833E-2</v>
      </c>
      <c r="D29" s="1">
        <v>1.29327961697903E-2</v>
      </c>
      <c r="E29" s="1">
        <v>7.9025932213311403E-3</v>
      </c>
      <c r="F29" s="1">
        <v>1.4728622637162301E-2</v>
      </c>
    </row>
    <row r="30" spans="1:6" x14ac:dyDescent="0.25">
      <c r="A30" s="2" t="str">
        <f t="shared" si="1"/>
        <v>49340</v>
      </c>
      <c r="B30" s="2" t="str">
        <f>"01550"</f>
        <v>01550</v>
      </c>
      <c r="C30" s="1">
        <v>2.09984928501099E-2</v>
      </c>
      <c r="D30" s="1">
        <v>2.32381619664856E-2</v>
      </c>
      <c r="E30" s="1">
        <v>4.0098343382309803E-2</v>
      </c>
      <c r="F30" s="1">
        <v>2.2512209853813799E-2</v>
      </c>
    </row>
    <row r="31" spans="1:6" x14ac:dyDescent="0.25">
      <c r="A31" s="2" t="str">
        <f t="shared" si="1"/>
        <v>49340</v>
      </c>
      <c r="B31" s="2" t="str">
        <f>"01536"</f>
        <v>01536</v>
      </c>
      <c r="C31" s="1">
        <v>7.3276998667031103E-3</v>
      </c>
      <c r="D31" s="1">
        <v>6.2474455538039297E-3</v>
      </c>
      <c r="E31" s="1">
        <v>5.6488907100626304E-3</v>
      </c>
      <c r="F31" s="1">
        <v>7.1318415137105202E-3</v>
      </c>
    </row>
    <row r="32" spans="1:6" x14ac:dyDescent="0.25">
      <c r="A32" s="2" t="str">
        <f t="shared" si="1"/>
        <v>49340</v>
      </c>
      <c r="B32" s="2" t="str">
        <f>"01522"</f>
        <v>01522</v>
      </c>
      <c r="C32" s="1">
        <v>3.19815755159508E-3</v>
      </c>
      <c r="D32" s="1">
        <v>4.9629240380685401E-4</v>
      </c>
      <c r="E32" s="1">
        <v>1.2585611426564401E-3</v>
      </c>
      <c r="F32" s="1">
        <v>2.8685113422432899E-3</v>
      </c>
    </row>
    <row r="33" spans="1:6" x14ac:dyDescent="0.25">
      <c r="A33" s="2" t="str">
        <f t="shared" si="1"/>
        <v>49340</v>
      </c>
      <c r="B33" s="2" t="str">
        <f>"01527"</f>
        <v>01527</v>
      </c>
      <c r="C33" s="1">
        <v>1.5823864254904198E-2</v>
      </c>
      <c r="D33" s="1">
        <v>1.5735388567758499E-2</v>
      </c>
      <c r="E33" s="1">
        <v>7.0245273078499001E-3</v>
      </c>
      <c r="F33" s="1">
        <v>1.5193562246903601E-2</v>
      </c>
    </row>
    <row r="34" spans="1:6" x14ac:dyDescent="0.25">
      <c r="A34" s="2" t="str">
        <f t="shared" si="1"/>
        <v>49340</v>
      </c>
      <c r="B34" s="2" t="str">
        <f>"01083"</f>
        <v>01083</v>
      </c>
      <c r="C34" s="1">
        <v>0</v>
      </c>
      <c r="D34" s="1">
        <v>0</v>
      </c>
      <c r="E34" s="1">
        <v>4.5191125680501001E-2</v>
      </c>
      <c r="F34" s="1">
        <v>3.2047623100026298E-3</v>
      </c>
    </row>
    <row r="35" spans="1:6" x14ac:dyDescent="0.25">
      <c r="A35" s="2" t="str">
        <f t="shared" si="1"/>
        <v>49340</v>
      </c>
      <c r="B35" s="2" t="str">
        <f>"01074"</f>
        <v>01074</v>
      </c>
      <c r="C35" s="1">
        <v>0</v>
      </c>
      <c r="D35" s="1">
        <v>2.9193670812167902E-5</v>
      </c>
      <c r="E35" s="1">
        <v>6.8196452613709501E-3</v>
      </c>
      <c r="F35" s="1">
        <v>4.8569584231905198E-4</v>
      </c>
    </row>
    <row r="36" spans="1:6" x14ac:dyDescent="0.25">
      <c r="A36" s="2" t="str">
        <f t="shared" si="1"/>
        <v>49340</v>
      </c>
      <c r="B36" s="2" t="str">
        <f>"06384"</f>
        <v>06384</v>
      </c>
      <c r="C36" s="1">
        <v>4.3545261670734902E-5</v>
      </c>
      <c r="D36" s="1">
        <v>0</v>
      </c>
      <c r="E36" s="1">
        <v>0</v>
      </c>
      <c r="F36" s="1">
        <v>3.7361218639927103E-5</v>
      </c>
    </row>
    <row r="37" spans="1:6" x14ac:dyDescent="0.25">
      <c r="A37" s="2" t="str">
        <f t="shared" si="1"/>
        <v>49340</v>
      </c>
      <c r="B37" s="2" t="str">
        <f>"06377"</f>
        <v>06377</v>
      </c>
      <c r="C37" s="1">
        <v>2.4191812039297102E-3</v>
      </c>
      <c r="D37" s="1">
        <v>7.8822911192853295E-4</v>
      </c>
      <c r="E37" s="1">
        <v>3.2488438798805798E-3</v>
      </c>
      <c r="F37" s="1">
        <v>2.3620592673465001E-3</v>
      </c>
    </row>
    <row r="38" spans="1:6" x14ac:dyDescent="0.25">
      <c r="A38" s="2" t="str">
        <f t="shared" si="1"/>
        <v>49340</v>
      </c>
      <c r="B38" s="2" t="str">
        <f>"06373"</f>
        <v>06373</v>
      </c>
      <c r="C38" s="1">
        <v>4.8383624078594299E-6</v>
      </c>
      <c r="D38" s="1">
        <v>5.8387341624335803E-5</v>
      </c>
      <c r="E38" s="1">
        <v>3.9805654744482803E-3</v>
      </c>
      <c r="F38" s="1">
        <v>2.9058725608832099E-4</v>
      </c>
    </row>
    <row r="39" spans="1:6" x14ac:dyDescent="0.25">
      <c r="A39" s="2" t="str">
        <f t="shared" si="1"/>
        <v>49340</v>
      </c>
      <c r="B39" s="2" t="str">
        <f>"06354"</f>
        <v>06354</v>
      </c>
      <c r="C39" s="1">
        <v>5.8955445939767202E-3</v>
      </c>
      <c r="D39" s="1">
        <v>3.1529164477141301E-3</v>
      </c>
      <c r="E39" s="1">
        <v>1.34636773400456E-3</v>
      </c>
      <c r="F39" s="1">
        <v>5.3779398608917199E-3</v>
      </c>
    </row>
    <row r="40" spans="1:6" x14ac:dyDescent="0.25">
      <c r="A40" s="2" t="str">
        <f t="shared" si="1"/>
        <v>49340</v>
      </c>
      <c r="B40" s="2" t="str">
        <f>"06263"</f>
        <v>06263</v>
      </c>
      <c r="C40" s="1">
        <v>0</v>
      </c>
      <c r="D40" s="1">
        <v>2.9193670812167902E-5</v>
      </c>
      <c r="E40" s="1">
        <v>3.6586079728384898E-3</v>
      </c>
      <c r="F40" s="1">
        <v>2.6152853047948902E-4</v>
      </c>
    </row>
    <row r="41" spans="1:6" x14ac:dyDescent="0.25">
      <c r="A41" s="2" t="str">
        <f t="shared" si="1"/>
        <v>49340</v>
      </c>
      <c r="B41" s="2" t="str">
        <f>"06262"</f>
        <v>06262</v>
      </c>
      <c r="C41" s="1">
        <v>4.3545261670734902E-5</v>
      </c>
      <c r="D41" s="1">
        <v>0</v>
      </c>
      <c r="E41" s="1">
        <v>7.4342914008078201E-3</v>
      </c>
      <c r="F41" s="1">
        <v>5.6456952611445399E-4</v>
      </c>
    </row>
    <row r="42" spans="1:6" x14ac:dyDescent="0.25">
      <c r="A42" s="2" t="str">
        <f t="shared" si="1"/>
        <v>49340</v>
      </c>
      <c r="B42" s="2" t="str">
        <f>"06258"</f>
        <v>06258</v>
      </c>
      <c r="C42" s="1">
        <v>0</v>
      </c>
      <c r="D42" s="1">
        <v>1.75162024873007E-4</v>
      </c>
      <c r="E42" s="1">
        <v>0</v>
      </c>
      <c r="F42" s="1">
        <v>1.24537395466423E-5</v>
      </c>
    </row>
    <row r="43" spans="1:6" x14ac:dyDescent="0.25">
      <c r="A43" s="2" t="str">
        <f t="shared" si="1"/>
        <v>49340</v>
      </c>
      <c r="B43" s="2" t="str">
        <f>"01756"</f>
        <v>01756</v>
      </c>
      <c r="C43" s="1">
        <v>6.6164605927477704E-3</v>
      </c>
      <c r="D43" s="1">
        <v>8.1742278274070101E-3</v>
      </c>
      <c r="E43" s="1">
        <v>1.08294795996019E-3</v>
      </c>
      <c r="F43" s="1">
        <v>6.3348021827254099E-3</v>
      </c>
    </row>
    <row r="44" spans="1:6" x14ac:dyDescent="0.25">
      <c r="A44" s="2" t="str">
        <f t="shared" si="1"/>
        <v>49340</v>
      </c>
      <c r="B44" s="2" t="str">
        <f>"01581"</f>
        <v>01581</v>
      </c>
      <c r="C44" s="1">
        <v>2.24838701093227E-2</v>
      </c>
      <c r="D44" s="1">
        <v>4.4870672038302001E-2</v>
      </c>
      <c r="E44" s="1">
        <v>1.45466253000058E-2</v>
      </c>
      <c r="F44" s="1">
        <v>2.3512660264060702E-2</v>
      </c>
    </row>
    <row r="45" spans="1:6" x14ac:dyDescent="0.25">
      <c r="A45" s="2" t="str">
        <f t="shared" si="1"/>
        <v>49340</v>
      </c>
      <c r="B45" s="2" t="str">
        <f>"01560"</f>
        <v>01560</v>
      </c>
      <c r="C45" s="1">
        <v>4.72708007247866E-3</v>
      </c>
      <c r="D45" s="1">
        <v>2.2187189817247598E-3</v>
      </c>
      <c r="E45" s="1">
        <v>5.4147397998009703E-3</v>
      </c>
      <c r="F45" s="1">
        <v>4.5975055159687998E-3</v>
      </c>
    </row>
    <row r="46" spans="1:6" x14ac:dyDescent="0.25">
      <c r="A46" s="2" t="str">
        <f t="shared" si="1"/>
        <v>49340</v>
      </c>
      <c r="B46" s="2" t="str">
        <f>"01543"</f>
        <v>01543</v>
      </c>
      <c r="C46" s="1">
        <v>7.8091169262851203E-3</v>
      </c>
      <c r="D46" s="1">
        <v>1.95597594441525E-3</v>
      </c>
      <c r="E46" s="1">
        <v>1.14148568752561E-3</v>
      </c>
      <c r="F46" s="1">
        <v>6.9201279414176E-3</v>
      </c>
    </row>
    <row r="47" spans="1:6" x14ac:dyDescent="0.25">
      <c r="A47" s="2" t="str">
        <f t="shared" si="1"/>
        <v>49340</v>
      </c>
      <c r="B47" s="2" t="str">
        <f>"01519"</f>
        <v>01519</v>
      </c>
      <c r="C47" s="1">
        <v>6.5584002438534598E-3</v>
      </c>
      <c r="D47" s="1">
        <v>1.7516202487300699E-3</v>
      </c>
      <c r="E47" s="1">
        <v>2.5171222853128802E-3</v>
      </c>
      <c r="F47" s="1">
        <v>5.93005564745954E-3</v>
      </c>
    </row>
    <row r="48" spans="1:6" x14ac:dyDescent="0.25">
      <c r="A48" s="2" t="str">
        <f t="shared" si="1"/>
        <v>49340</v>
      </c>
      <c r="B48" s="2" t="str">
        <f>"01525"</f>
        <v>01525</v>
      </c>
      <c r="C48" s="1">
        <v>1.5119882524560701E-3</v>
      </c>
      <c r="D48" s="1">
        <v>7.5903544111636503E-4</v>
      </c>
      <c r="E48" s="1">
        <v>5.8537727565415899E-5</v>
      </c>
      <c r="F48" s="1">
        <v>1.35538198732624E-3</v>
      </c>
    </row>
    <row r="49" spans="1:6" x14ac:dyDescent="0.25">
      <c r="A49" s="2" t="str">
        <f t="shared" ref="A49:A80" si="2">"49340"</f>
        <v>49340</v>
      </c>
      <c r="B49" s="2" t="str">
        <f>"01515"</f>
        <v>01515</v>
      </c>
      <c r="C49" s="1">
        <v>1.8264818089669299E-3</v>
      </c>
      <c r="D49" s="1">
        <v>9.0500379517720504E-4</v>
      </c>
      <c r="E49" s="1">
        <v>1.4634431891353899E-4</v>
      </c>
      <c r="F49" s="1">
        <v>1.64181799689901E-3</v>
      </c>
    </row>
    <row r="50" spans="1:6" x14ac:dyDescent="0.25">
      <c r="A50" s="2" t="str">
        <f t="shared" si="2"/>
        <v>49340</v>
      </c>
      <c r="B50" s="2" t="str">
        <f>"01460"</f>
        <v>01460</v>
      </c>
      <c r="C50" s="1">
        <v>3.8706899262875399E-5</v>
      </c>
      <c r="D50" s="1">
        <v>0</v>
      </c>
      <c r="E50" s="1">
        <v>0</v>
      </c>
      <c r="F50" s="1">
        <v>3.3209972124379598E-5</v>
      </c>
    </row>
    <row r="51" spans="1:6" x14ac:dyDescent="0.25">
      <c r="A51" s="2" t="str">
        <f t="shared" si="2"/>
        <v>49340</v>
      </c>
      <c r="B51" s="2" t="str">
        <f>"01473"</f>
        <v>01473</v>
      </c>
      <c r="C51" s="1">
        <v>9.2170803869722207E-3</v>
      </c>
      <c r="D51" s="1">
        <v>7.3859987154784798E-3</v>
      </c>
      <c r="E51" s="1">
        <v>1.75613182696247E-3</v>
      </c>
      <c r="F51" s="1">
        <v>8.5577946918010805E-3</v>
      </c>
    </row>
    <row r="52" spans="1:6" x14ac:dyDescent="0.25">
      <c r="A52" s="2" t="str">
        <f t="shared" si="2"/>
        <v>49340</v>
      </c>
      <c r="B52" s="2" t="str">
        <f>"01468"</f>
        <v>01468</v>
      </c>
      <c r="C52" s="1">
        <v>4.1488957647394598E-3</v>
      </c>
      <c r="D52" s="1">
        <v>1.1093594908623799E-3</v>
      </c>
      <c r="E52" s="1">
        <v>1.7561318269624699E-4</v>
      </c>
      <c r="F52" s="1">
        <v>3.6510213104239799E-3</v>
      </c>
    </row>
    <row r="53" spans="1:6" x14ac:dyDescent="0.25">
      <c r="A53" s="2" t="str">
        <f t="shared" si="2"/>
        <v>49340</v>
      </c>
      <c r="B53" s="2" t="str">
        <f>"01436"</f>
        <v>01436</v>
      </c>
      <c r="C53" s="1">
        <v>2.9296284379588802E-3</v>
      </c>
      <c r="D53" s="1">
        <v>1.4888772114205601E-3</v>
      </c>
      <c r="E53" s="1">
        <v>1.4927120529181E-3</v>
      </c>
      <c r="F53" s="1">
        <v>2.7252933374568998E-3</v>
      </c>
    </row>
    <row r="54" spans="1:6" x14ac:dyDescent="0.25">
      <c r="A54" s="2" t="str">
        <f t="shared" si="2"/>
        <v>49340</v>
      </c>
      <c r="B54" s="2" t="str">
        <f>"01368"</f>
        <v>01368</v>
      </c>
      <c r="C54" s="1">
        <v>1.2482975012277301E-3</v>
      </c>
      <c r="D54" s="1">
        <v>3.5032404974601498E-4</v>
      </c>
      <c r="E54" s="1">
        <v>1.7561318269624699E-4</v>
      </c>
      <c r="F54" s="1">
        <v>1.1083828196511701E-3</v>
      </c>
    </row>
    <row r="55" spans="1:6" x14ac:dyDescent="0.25">
      <c r="A55" s="2" t="str">
        <f t="shared" si="2"/>
        <v>49340</v>
      </c>
      <c r="B55" s="2" t="str">
        <f>"01082"</f>
        <v>01082</v>
      </c>
      <c r="C55" s="1">
        <v>5.6850758292348303E-4</v>
      </c>
      <c r="D55" s="1">
        <v>4.0871139137035E-4</v>
      </c>
      <c r="E55" s="1">
        <v>1.17075455130831E-4</v>
      </c>
      <c r="F55" s="1">
        <v>5.2513268421675301E-4</v>
      </c>
    </row>
    <row r="56" spans="1:6" x14ac:dyDescent="0.25">
      <c r="A56" s="2" t="str">
        <f t="shared" si="2"/>
        <v>49340</v>
      </c>
      <c r="B56" s="2" t="str">
        <f>"06279"</f>
        <v>06279</v>
      </c>
      <c r="C56" s="1">
        <v>2.4191812039297101E-5</v>
      </c>
      <c r="D56" s="1">
        <v>0</v>
      </c>
      <c r="E56" s="1">
        <v>0</v>
      </c>
      <c r="F56" s="1">
        <v>2.0756232577737199E-5</v>
      </c>
    </row>
    <row r="57" spans="1:6" x14ac:dyDescent="0.25">
      <c r="A57" s="2" t="str">
        <f t="shared" si="2"/>
        <v>49340</v>
      </c>
      <c r="B57" s="2" t="str">
        <f>"06235"</f>
        <v>06235</v>
      </c>
      <c r="C57" s="1">
        <v>2.1433945466817301E-3</v>
      </c>
      <c r="D57" s="1">
        <v>1.1093594908623799E-3</v>
      </c>
      <c r="E57" s="1">
        <v>7.9025932213311399E-4</v>
      </c>
      <c r="F57" s="1">
        <v>1.9739177181428099E-3</v>
      </c>
    </row>
    <row r="58" spans="1:6" x14ac:dyDescent="0.25">
      <c r="A58" s="2" t="str">
        <f t="shared" si="2"/>
        <v>49340</v>
      </c>
      <c r="B58" s="2" t="str">
        <f>"06246"</f>
        <v>06246</v>
      </c>
      <c r="C58" s="1">
        <v>0</v>
      </c>
      <c r="D58" s="1">
        <v>2.9193670812167902E-5</v>
      </c>
      <c r="E58" s="1">
        <v>1.96101387344143E-3</v>
      </c>
      <c r="F58" s="1">
        <v>1.4114238152861301E-4</v>
      </c>
    </row>
    <row r="59" spans="1:6" x14ac:dyDescent="0.25">
      <c r="A59" s="2" t="str">
        <f t="shared" si="2"/>
        <v>49340</v>
      </c>
      <c r="B59" s="2" t="str">
        <f>"06250"</f>
        <v>06250</v>
      </c>
      <c r="C59" s="1">
        <v>5.8060348894313203E-5</v>
      </c>
      <c r="D59" s="1">
        <v>0</v>
      </c>
      <c r="E59" s="1">
        <v>1.0536790961774799E-3</v>
      </c>
      <c r="F59" s="1">
        <v>1.2453739546642301E-4</v>
      </c>
    </row>
    <row r="60" spans="1:6" x14ac:dyDescent="0.25">
      <c r="A60" s="2" t="str">
        <f t="shared" si="2"/>
        <v>49340</v>
      </c>
      <c r="B60" s="2" t="str">
        <f>"06247"</f>
        <v>06247</v>
      </c>
      <c r="C60" s="1">
        <v>2.6490034183030398E-3</v>
      </c>
      <c r="D60" s="1">
        <v>6.4226075786769402E-4</v>
      </c>
      <c r="E60" s="1">
        <v>2.63419774044371E-4</v>
      </c>
      <c r="F60" s="1">
        <v>2.3371517882532101E-3</v>
      </c>
    </row>
    <row r="61" spans="1:6" x14ac:dyDescent="0.25">
      <c r="A61" s="2" t="str">
        <f t="shared" si="2"/>
        <v>49340</v>
      </c>
      <c r="B61" s="2" t="str">
        <f>"06230"</f>
        <v>06230</v>
      </c>
      <c r="C61" s="1">
        <v>2.2256467076153401E-4</v>
      </c>
      <c r="D61" s="1">
        <v>0</v>
      </c>
      <c r="E61" s="1">
        <v>2.9268863782707899E-5</v>
      </c>
      <c r="F61" s="1">
        <v>1.9303296297295601E-4</v>
      </c>
    </row>
    <row r="62" spans="1:6" x14ac:dyDescent="0.25">
      <c r="A62" s="2" t="str">
        <f t="shared" si="2"/>
        <v>49340</v>
      </c>
      <c r="B62" s="2" t="str">
        <f>"01749"</f>
        <v>01749</v>
      </c>
      <c r="C62" s="1">
        <v>1.6934268427507998E-5</v>
      </c>
      <c r="D62" s="1">
        <v>0</v>
      </c>
      <c r="E62" s="1">
        <v>0</v>
      </c>
      <c r="F62" s="1">
        <v>1.4529362804416E-5</v>
      </c>
    </row>
    <row r="63" spans="1:6" x14ac:dyDescent="0.25">
      <c r="A63" s="2" t="str">
        <f t="shared" si="2"/>
        <v>49340</v>
      </c>
      <c r="B63" s="2" t="str">
        <f>"01655"</f>
        <v>01655</v>
      </c>
      <c r="C63" s="1">
        <v>0</v>
      </c>
      <c r="D63" s="1">
        <v>2.9193670812167902E-5</v>
      </c>
      <c r="E63" s="1">
        <v>2.9268863782707899E-5</v>
      </c>
      <c r="F63" s="1">
        <v>4.1512465155474497E-6</v>
      </c>
    </row>
    <row r="64" spans="1:6" x14ac:dyDescent="0.25">
      <c r="A64" s="2" t="str">
        <f t="shared" si="2"/>
        <v>49340</v>
      </c>
      <c r="B64" s="2" t="str">
        <f>"01653"</f>
        <v>01653</v>
      </c>
      <c r="C64" s="1">
        <v>0</v>
      </c>
      <c r="D64" s="1">
        <v>2.9193670812167902E-5</v>
      </c>
      <c r="E64" s="1">
        <v>0</v>
      </c>
      <c r="F64" s="1">
        <v>2.0756232577737202E-6</v>
      </c>
    </row>
    <row r="65" spans="1:6" x14ac:dyDescent="0.25">
      <c r="A65" s="2" t="str">
        <f t="shared" si="2"/>
        <v>49340</v>
      </c>
      <c r="B65" s="2" t="str">
        <f>"01607"</f>
        <v>01607</v>
      </c>
      <c r="C65" s="1">
        <v>1.09806634846369E-2</v>
      </c>
      <c r="D65" s="1">
        <v>6.5685759327377803E-3</v>
      </c>
      <c r="E65" s="1">
        <v>1.62149505356202E-2</v>
      </c>
      <c r="F65" s="1">
        <v>1.10381644848406E-2</v>
      </c>
    </row>
    <row r="66" spans="1:6" x14ac:dyDescent="0.25">
      <c r="A66" s="2" t="str">
        <f t="shared" si="2"/>
        <v>49340</v>
      </c>
      <c r="B66" s="2" t="str">
        <f>"01586"</f>
        <v>01586</v>
      </c>
      <c r="C66" s="1">
        <v>1.9353449631437699E-5</v>
      </c>
      <c r="D66" s="1">
        <v>2.9193670812167902E-5</v>
      </c>
      <c r="E66" s="1">
        <v>5.8537727565415899E-5</v>
      </c>
      <c r="F66" s="1">
        <v>2.2831855835511E-5</v>
      </c>
    </row>
    <row r="67" spans="1:6" x14ac:dyDescent="0.25">
      <c r="A67" s="2" t="str">
        <f t="shared" si="2"/>
        <v>49340</v>
      </c>
      <c r="B67" s="2" t="str">
        <f>"01566"</f>
        <v>01566</v>
      </c>
      <c r="C67" s="1">
        <v>8.8759758372181294E-3</v>
      </c>
      <c r="D67" s="1">
        <v>1.2553278449232199E-2</v>
      </c>
      <c r="E67" s="1">
        <v>3.0732306971843299E-3</v>
      </c>
      <c r="F67" s="1">
        <v>8.7259201756807493E-3</v>
      </c>
    </row>
    <row r="68" spans="1:6" x14ac:dyDescent="0.25">
      <c r="A68" s="2" t="str">
        <f t="shared" si="2"/>
        <v>49340</v>
      </c>
      <c r="B68" s="2" t="str">
        <f>"01505"</f>
        <v>01505</v>
      </c>
      <c r="C68" s="1">
        <v>6.5874304183006199E-3</v>
      </c>
      <c r="D68" s="1">
        <v>5.6635721375605701E-3</v>
      </c>
      <c r="E68" s="1">
        <v>1.2000234150910201E-3</v>
      </c>
      <c r="F68" s="1">
        <v>6.1396935964946799E-3</v>
      </c>
    </row>
    <row r="69" spans="1:6" x14ac:dyDescent="0.25">
      <c r="A69" s="2" t="str">
        <f t="shared" si="2"/>
        <v>49340</v>
      </c>
      <c r="B69" s="2" t="str">
        <f>"01452"</f>
        <v>01452</v>
      </c>
      <c r="C69" s="1">
        <v>4.2771123685477397E-3</v>
      </c>
      <c r="D69" s="1">
        <v>2.1603316401004199E-3</v>
      </c>
      <c r="E69" s="1">
        <v>6.7318386700228197E-4</v>
      </c>
      <c r="F69" s="1">
        <v>3.8710373757479999E-3</v>
      </c>
    </row>
    <row r="70" spans="1:6" x14ac:dyDescent="0.25">
      <c r="A70" s="2" t="str">
        <f t="shared" si="2"/>
        <v>49340</v>
      </c>
      <c r="B70" s="2" t="str">
        <f>"01438"</f>
        <v>01438</v>
      </c>
      <c r="C70" s="1">
        <v>2.17726308353674E-5</v>
      </c>
      <c r="D70" s="1">
        <v>0</v>
      </c>
      <c r="E70" s="1">
        <v>2.9268863782707899E-5</v>
      </c>
      <c r="F70" s="1">
        <v>2.0756232577737199E-5</v>
      </c>
    </row>
    <row r="71" spans="1:6" x14ac:dyDescent="0.25">
      <c r="A71" s="2" t="str">
        <f t="shared" si="2"/>
        <v>49340</v>
      </c>
      <c r="B71" s="2" t="str">
        <f>"01440"</f>
        <v>01440</v>
      </c>
      <c r="C71" s="1">
        <v>2.3311230081066701E-2</v>
      </c>
      <c r="D71" s="1">
        <v>2.29462252583639E-2</v>
      </c>
      <c r="E71" s="1">
        <v>3.4566528127378003E-2</v>
      </c>
      <c r="F71" s="1">
        <v>2.4083456659948502E-2</v>
      </c>
    </row>
    <row r="72" spans="1:6" x14ac:dyDescent="0.25">
      <c r="A72" s="2" t="str">
        <f t="shared" si="2"/>
        <v>49340</v>
      </c>
      <c r="B72" s="2" t="str">
        <f>"01420"</f>
        <v>01420</v>
      </c>
      <c r="C72" s="1">
        <v>4.4936290862994499E-2</v>
      </c>
      <c r="D72" s="1">
        <v>5.1059730250481598E-2</v>
      </c>
      <c r="E72" s="1">
        <v>5.6723058010887999E-2</v>
      </c>
      <c r="F72" s="1">
        <v>4.6207524964558697E-2</v>
      </c>
    </row>
    <row r="73" spans="1:6" x14ac:dyDescent="0.25">
      <c r="A73" s="2" t="str">
        <f t="shared" si="2"/>
        <v>49340</v>
      </c>
      <c r="B73" s="2" t="str">
        <f>"01364"</f>
        <v>01364</v>
      </c>
      <c r="C73" s="1">
        <v>1.9353449631437699E-5</v>
      </c>
      <c r="D73" s="1">
        <v>5.8387341624335803E-5</v>
      </c>
      <c r="E73" s="1">
        <v>0</v>
      </c>
      <c r="F73" s="1">
        <v>2.0756232577737199E-5</v>
      </c>
    </row>
    <row r="74" spans="1:6" x14ac:dyDescent="0.25">
      <c r="A74" s="2" t="str">
        <f t="shared" si="2"/>
        <v>49340</v>
      </c>
      <c r="B74" s="2" t="str">
        <f>"01031"</f>
        <v>01031</v>
      </c>
      <c r="C74" s="1">
        <v>5.8544185135099103E-4</v>
      </c>
      <c r="D74" s="1">
        <v>2.9193670812167899E-4</v>
      </c>
      <c r="E74" s="1">
        <v>9.8343382309898694E-3</v>
      </c>
      <c r="F74" s="1">
        <v>1.2204664755709499E-3</v>
      </c>
    </row>
    <row r="75" spans="1:6" x14ac:dyDescent="0.25">
      <c r="A75" s="2" t="str">
        <f t="shared" si="2"/>
        <v>49340</v>
      </c>
      <c r="B75" s="2" t="str">
        <f>"06351"</f>
        <v>06351</v>
      </c>
      <c r="C75" s="1">
        <v>0</v>
      </c>
      <c r="D75" s="1">
        <v>2.9193670812167902E-5</v>
      </c>
      <c r="E75" s="1">
        <v>0</v>
      </c>
      <c r="F75" s="1">
        <v>2.0756232577737202E-6</v>
      </c>
    </row>
    <row r="76" spans="1:6" x14ac:dyDescent="0.25">
      <c r="A76" s="2" t="str">
        <f t="shared" si="2"/>
        <v>49340</v>
      </c>
      <c r="B76" s="2" t="str">
        <f>"06331"</f>
        <v>06331</v>
      </c>
      <c r="C76" s="1">
        <v>5.0391544477855999E-3</v>
      </c>
      <c r="D76" s="1">
        <v>2.1603316401004199E-3</v>
      </c>
      <c r="E76" s="1">
        <v>9.9514136861207007E-4</v>
      </c>
      <c r="F76" s="1">
        <v>4.5476905577822302E-3</v>
      </c>
    </row>
    <row r="77" spans="1:6" x14ac:dyDescent="0.25">
      <c r="A77" s="2" t="str">
        <f t="shared" si="2"/>
        <v>49340</v>
      </c>
      <c r="B77" s="2" t="str">
        <f>"06259"</f>
        <v>06259</v>
      </c>
      <c r="C77" s="1">
        <v>3.6819937923810299E-3</v>
      </c>
      <c r="D77" s="1">
        <v>1.8683949319787401E-3</v>
      </c>
      <c r="E77" s="1">
        <v>1.02441023239477E-3</v>
      </c>
      <c r="F77" s="1">
        <v>3.3645853008512101E-3</v>
      </c>
    </row>
    <row r="78" spans="1:6" x14ac:dyDescent="0.25">
      <c r="A78" s="2" t="str">
        <f t="shared" si="2"/>
        <v>49340</v>
      </c>
      <c r="B78" s="2" t="str">
        <f>"06233"</f>
        <v>06233</v>
      </c>
      <c r="C78" s="1">
        <v>0</v>
      </c>
      <c r="D78" s="1">
        <v>2.9193670812167902E-5</v>
      </c>
      <c r="E78" s="1">
        <v>0</v>
      </c>
      <c r="F78" s="1">
        <v>2.0756232577737202E-6</v>
      </c>
    </row>
    <row r="79" spans="1:6" x14ac:dyDescent="0.25">
      <c r="A79" s="2" t="str">
        <f t="shared" si="2"/>
        <v>49340</v>
      </c>
      <c r="B79" s="2" t="str">
        <f>"06234"</f>
        <v>06234</v>
      </c>
      <c r="C79" s="1">
        <v>8.0316815970466592E-3</v>
      </c>
      <c r="D79" s="1">
        <v>3.1237227769019601E-3</v>
      </c>
      <c r="E79" s="1">
        <v>3.6586079728384898E-3</v>
      </c>
      <c r="F79" s="1">
        <v>7.3726138116122801E-3</v>
      </c>
    </row>
    <row r="80" spans="1:6" x14ac:dyDescent="0.25">
      <c r="A80" s="2" t="str">
        <f t="shared" si="2"/>
        <v>49340</v>
      </c>
      <c r="B80" s="2" t="str">
        <f>"01772"</f>
        <v>01772</v>
      </c>
      <c r="C80" s="1">
        <v>9.6839823593306597E-3</v>
      </c>
      <c r="D80" s="1">
        <v>1.48595784433934E-2</v>
      </c>
      <c r="E80" s="1">
        <v>3.3073816074459901E-3</v>
      </c>
      <c r="F80" s="1">
        <v>9.5997575672034895E-3</v>
      </c>
    </row>
    <row r="81" spans="1:6" x14ac:dyDescent="0.25">
      <c r="A81" s="2" t="str">
        <f t="shared" ref="A81:A112" si="3">"49340"</f>
        <v>49340</v>
      </c>
      <c r="B81" s="2" t="str">
        <f>"01748"</f>
        <v>01748</v>
      </c>
      <c r="C81" s="1">
        <v>2.4191812039297099E-6</v>
      </c>
      <c r="D81" s="1">
        <v>0</v>
      </c>
      <c r="E81" s="1">
        <v>0</v>
      </c>
      <c r="F81" s="1">
        <v>2.0756232577737202E-6</v>
      </c>
    </row>
    <row r="82" spans="1:6" x14ac:dyDescent="0.25">
      <c r="A82" s="2" t="str">
        <f t="shared" si="3"/>
        <v>49340</v>
      </c>
      <c r="B82" s="2" t="str">
        <f>"01613"</f>
        <v>01613</v>
      </c>
      <c r="C82" s="1">
        <v>3.5513580073688201E-3</v>
      </c>
      <c r="D82" s="1">
        <v>1.3224732877912E-2</v>
      </c>
      <c r="E82" s="1">
        <v>5.8537727565415899E-5</v>
      </c>
      <c r="F82" s="1">
        <v>3.9914235246988703E-3</v>
      </c>
    </row>
    <row r="83" spans="1:6" x14ac:dyDescent="0.25">
      <c r="A83" s="2" t="str">
        <f t="shared" si="3"/>
        <v>49340</v>
      </c>
      <c r="B83" s="2" t="str">
        <f>"01588"</f>
        <v>01588</v>
      </c>
      <c r="C83" s="1">
        <v>1.0462958706996E-2</v>
      </c>
      <c r="D83" s="1">
        <v>9.9842354177614202E-3</v>
      </c>
      <c r="E83" s="1">
        <v>3.6878768366211999E-3</v>
      </c>
      <c r="F83" s="1">
        <v>9.9484622745094706E-3</v>
      </c>
    </row>
    <row r="84" spans="1:6" x14ac:dyDescent="0.25">
      <c r="A84" s="2" t="str">
        <f t="shared" si="3"/>
        <v>49340</v>
      </c>
      <c r="B84" s="2" t="str">
        <f>"01571"</f>
        <v>01571</v>
      </c>
      <c r="C84" s="1">
        <v>1.1108880088445201E-2</v>
      </c>
      <c r="D84" s="1">
        <v>6.3642202370526001E-3</v>
      </c>
      <c r="E84" s="1">
        <v>1.28783000643915E-2</v>
      </c>
      <c r="F84" s="1">
        <v>1.0897022103312001E-2</v>
      </c>
    </row>
    <row r="85" spans="1:6" x14ac:dyDescent="0.25">
      <c r="A85" s="2" t="str">
        <f t="shared" si="3"/>
        <v>49340</v>
      </c>
      <c r="B85" s="2" t="str">
        <f>"01561"</f>
        <v>01561</v>
      </c>
      <c r="C85" s="1">
        <v>0</v>
      </c>
      <c r="D85" s="1">
        <v>0</v>
      </c>
      <c r="E85" s="1">
        <v>2.9268863782707899E-5</v>
      </c>
      <c r="F85" s="1">
        <v>2.0756232577737202E-6</v>
      </c>
    </row>
    <row r="86" spans="1:6" x14ac:dyDescent="0.25">
      <c r="A86" s="2" t="str">
        <f t="shared" si="3"/>
        <v>49340</v>
      </c>
      <c r="B86" s="2" t="str">
        <f>"01537"</f>
        <v>01537</v>
      </c>
      <c r="C86" s="1">
        <v>3.87794746989933E-3</v>
      </c>
      <c r="D86" s="1">
        <v>4.4374379634495196E-3</v>
      </c>
      <c r="E86" s="1">
        <v>3.2781127436632899E-3</v>
      </c>
      <c r="F86" s="1">
        <v>3.87518862226355E-3</v>
      </c>
    </row>
    <row r="87" spans="1:6" x14ac:dyDescent="0.25">
      <c r="A87" s="2" t="str">
        <f t="shared" si="3"/>
        <v>49340</v>
      </c>
      <c r="B87" s="2" t="str">
        <f>"01524"</f>
        <v>01524</v>
      </c>
      <c r="C87" s="1">
        <v>6.3406739354997903E-3</v>
      </c>
      <c r="D87" s="1">
        <v>3.7075961931453201E-3</v>
      </c>
      <c r="E87" s="1">
        <v>2.1951647837030902E-3</v>
      </c>
      <c r="F87" s="1">
        <v>5.8594844566952301E-3</v>
      </c>
    </row>
    <row r="88" spans="1:6" x14ac:dyDescent="0.25">
      <c r="A88" s="2" t="str">
        <f t="shared" si="3"/>
        <v>49340</v>
      </c>
      <c r="B88" s="2" t="str">
        <f>"01510"</f>
        <v>01510</v>
      </c>
      <c r="C88" s="1">
        <v>1.6716542119154298E-2</v>
      </c>
      <c r="D88" s="1">
        <v>1.5239096163951599E-2</v>
      </c>
      <c r="E88" s="1">
        <v>1.9375987824152601E-2</v>
      </c>
      <c r="F88" s="1">
        <v>1.6800094648420499E-2</v>
      </c>
    </row>
    <row r="89" spans="1:6" x14ac:dyDescent="0.25">
      <c r="A89" s="2" t="str">
        <f t="shared" si="3"/>
        <v>49340</v>
      </c>
      <c r="B89" s="2" t="str">
        <f>"01506"</f>
        <v>01506</v>
      </c>
      <c r="C89" s="1">
        <v>3.4037879539291099E-3</v>
      </c>
      <c r="D89" s="1">
        <v>7.2984177030419799E-4</v>
      </c>
      <c r="E89" s="1">
        <v>7.0245273078499003E-4</v>
      </c>
      <c r="F89" s="1">
        <v>3.0221074633185398E-3</v>
      </c>
    </row>
    <row r="90" spans="1:6" x14ac:dyDescent="0.25">
      <c r="A90" s="2" t="str">
        <f t="shared" si="3"/>
        <v>49340</v>
      </c>
      <c r="B90" s="2" t="str">
        <f>"01475"</f>
        <v>01475</v>
      </c>
      <c r="C90" s="1">
        <v>1.08887345988876E-2</v>
      </c>
      <c r="D90" s="1">
        <v>6.8313189700472902E-3</v>
      </c>
      <c r="E90" s="1">
        <v>4.9757068430603497E-3</v>
      </c>
      <c r="F90" s="1">
        <v>1.01809320793801E-2</v>
      </c>
    </row>
    <row r="91" spans="1:6" x14ac:dyDescent="0.25">
      <c r="A91" s="2" t="str">
        <f t="shared" si="3"/>
        <v>49340</v>
      </c>
      <c r="B91" s="2" t="str">
        <f>"01068"</f>
        <v>01068</v>
      </c>
      <c r="C91" s="1">
        <v>1.77567900368441E-3</v>
      </c>
      <c r="D91" s="1">
        <v>8.46616453552869E-4</v>
      </c>
      <c r="E91" s="1">
        <v>1.7561318269624699E-4</v>
      </c>
      <c r="F91" s="1">
        <v>1.5961542852279899E-3</v>
      </c>
    </row>
    <row r="92" spans="1:6" x14ac:dyDescent="0.25">
      <c r="A92" s="2" t="str">
        <f t="shared" si="3"/>
        <v>49340</v>
      </c>
      <c r="B92" s="2" t="str">
        <f>"06387"</f>
        <v>06387</v>
      </c>
      <c r="C92" s="1">
        <v>2.4191812039297099E-6</v>
      </c>
      <c r="D92" s="1">
        <v>5.8387341624335803E-5</v>
      </c>
      <c r="E92" s="1">
        <v>0</v>
      </c>
      <c r="F92" s="1">
        <v>6.2268697733211796E-6</v>
      </c>
    </row>
    <row r="93" spans="1:6" x14ac:dyDescent="0.25">
      <c r="A93" s="2" t="str">
        <f t="shared" si="3"/>
        <v>49340</v>
      </c>
      <c r="B93" s="2" t="str">
        <f>"06374"</f>
        <v>06374</v>
      </c>
      <c r="C93" s="1">
        <v>7.9470102549091207E-3</v>
      </c>
      <c r="D93" s="1">
        <v>7.15244934898114E-3</v>
      </c>
      <c r="E93" s="1">
        <v>2.1366270561376799E-3</v>
      </c>
      <c r="F93" s="1">
        <v>7.4784705977587402E-3</v>
      </c>
    </row>
    <row r="94" spans="1:6" x14ac:dyDescent="0.25">
      <c r="A94" s="2" t="str">
        <f t="shared" si="3"/>
        <v>49340</v>
      </c>
      <c r="B94" s="2" t="str">
        <f>"06277"</f>
        <v>06277</v>
      </c>
      <c r="C94" s="1">
        <v>4.1972793888180602E-3</v>
      </c>
      <c r="D94" s="1">
        <v>8.46616453552869E-4</v>
      </c>
      <c r="E94" s="1">
        <v>9.0733477726394601E-4</v>
      </c>
      <c r="F94" s="1">
        <v>3.7257437477038399E-3</v>
      </c>
    </row>
    <row r="95" spans="1:6" x14ac:dyDescent="0.25">
      <c r="A95" s="2" t="str">
        <f t="shared" si="3"/>
        <v>49340</v>
      </c>
      <c r="B95" s="2" t="str">
        <f>"06260"</f>
        <v>06260</v>
      </c>
      <c r="C95" s="1">
        <v>1.1568524517191901E-2</v>
      </c>
      <c r="D95" s="1">
        <v>1.9676534127401099E-2</v>
      </c>
      <c r="E95" s="1">
        <v>1.01562957325996E-2</v>
      </c>
      <c r="F95" s="1">
        <v>1.2044841764860899E-2</v>
      </c>
    </row>
    <row r="96" spans="1:6" x14ac:dyDescent="0.25">
      <c r="A96" s="2" t="str">
        <f t="shared" si="3"/>
        <v>49340</v>
      </c>
      <c r="B96" s="2" t="str">
        <f>"06256"</f>
        <v>06256</v>
      </c>
      <c r="C96" s="1">
        <v>2.5885238882047898E-3</v>
      </c>
      <c r="D96" s="1">
        <v>3.5908215098966502E-3</v>
      </c>
      <c r="E96" s="1">
        <v>7.6684423110694802E-3</v>
      </c>
      <c r="F96" s="1">
        <v>3.0200318400607699E-3</v>
      </c>
    </row>
    <row r="97" spans="1:6" x14ac:dyDescent="0.25">
      <c r="A97" s="2" t="str">
        <f t="shared" si="3"/>
        <v>49340</v>
      </c>
      <c r="B97" s="2" t="str">
        <f>"06242"</f>
        <v>06242</v>
      </c>
      <c r="C97" s="1">
        <v>1.15153025307054E-3</v>
      </c>
      <c r="D97" s="1">
        <v>2.9193670812167899E-4</v>
      </c>
      <c r="E97" s="1">
        <v>2.9561552420534999E-3</v>
      </c>
      <c r="F97" s="1">
        <v>1.2183908523131701E-3</v>
      </c>
    </row>
    <row r="98" spans="1:6" x14ac:dyDescent="0.25">
      <c r="A98" s="2" t="str">
        <f t="shared" si="3"/>
        <v>49340</v>
      </c>
      <c r="B98" s="2" t="str">
        <f>"01745"</f>
        <v>01745</v>
      </c>
      <c r="C98" s="1">
        <v>4.3303343550341901E-4</v>
      </c>
      <c r="D98" s="1">
        <v>5.8387341624335798E-4</v>
      </c>
      <c r="E98" s="1">
        <v>4.0976409295791102E-4</v>
      </c>
      <c r="F98" s="1">
        <v>4.4210775390580401E-4</v>
      </c>
    </row>
    <row r="99" spans="1:6" x14ac:dyDescent="0.25">
      <c r="A99" s="2" t="str">
        <f t="shared" si="3"/>
        <v>49340</v>
      </c>
      <c r="B99" s="2" t="str">
        <f>"01612"</f>
        <v>01612</v>
      </c>
      <c r="C99" s="1">
        <v>4.1053505030687297E-3</v>
      </c>
      <c r="D99" s="1">
        <v>1.60565189466923E-3</v>
      </c>
      <c r="E99" s="1">
        <v>4.9757068430603504E-4</v>
      </c>
      <c r="F99" s="1">
        <v>3.6717775430017202E-3</v>
      </c>
    </row>
    <row r="100" spans="1:6" x14ac:dyDescent="0.25">
      <c r="A100" s="2" t="str">
        <f t="shared" si="3"/>
        <v>49340</v>
      </c>
      <c r="B100" s="2" t="str">
        <f>"01568"</f>
        <v>01568</v>
      </c>
      <c r="C100" s="1">
        <v>9.1033788703875195E-3</v>
      </c>
      <c r="D100" s="1">
        <v>6.6853506159864498E-3</v>
      </c>
      <c r="E100" s="1">
        <v>2.25370251126851E-3</v>
      </c>
      <c r="F100" s="1">
        <v>8.4457110358812908E-3</v>
      </c>
    </row>
    <row r="101" spans="1:6" x14ac:dyDescent="0.25">
      <c r="A101" s="2" t="str">
        <f t="shared" si="3"/>
        <v>49340</v>
      </c>
      <c r="B101" s="2" t="str">
        <f>"01546"</f>
        <v>01546</v>
      </c>
      <c r="C101" s="1">
        <v>0</v>
      </c>
      <c r="D101" s="1">
        <v>2.9193670812167902E-5</v>
      </c>
      <c r="E101" s="1">
        <v>2.9268863782707899E-5</v>
      </c>
      <c r="F101" s="1">
        <v>4.1512465155474497E-6</v>
      </c>
    </row>
    <row r="102" spans="1:6" x14ac:dyDescent="0.25">
      <c r="A102" s="2" t="str">
        <f t="shared" si="3"/>
        <v>49340</v>
      </c>
      <c r="B102" s="2" t="str">
        <f>"01545"</f>
        <v>01545</v>
      </c>
      <c r="C102" s="1">
        <v>4.0378553474790899E-2</v>
      </c>
      <c r="D102" s="1">
        <v>3.3981432825363402E-2</v>
      </c>
      <c r="E102" s="1">
        <v>1.6185681671837399E-2</v>
      </c>
      <c r="F102" s="1">
        <v>3.8208072929098703E-2</v>
      </c>
    </row>
    <row r="103" spans="1:6" x14ac:dyDescent="0.25">
      <c r="A103" s="2" t="str">
        <f t="shared" si="3"/>
        <v>49340</v>
      </c>
      <c r="B103" s="2" t="str">
        <f>"01535"</f>
        <v>01535</v>
      </c>
      <c r="C103" s="1">
        <v>5.0488311726013197E-3</v>
      </c>
      <c r="D103" s="1">
        <v>2.7442050563437799E-3</v>
      </c>
      <c r="E103" s="1">
        <v>2.7512731955745399E-3</v>
      </c>
      <c r="F103" s="1">
        <v>4.7220429114352303E-3</v>
      </c>
    </row>
    <row r="104" spans="1:6" x14ac:dyDescent="0.25">
      <c r="A104" s="2" t="str">
        <f t="shared" si="3"/>
        <v>49340</v>
      </c>
      <c r="B104" s="2" t="str">
        <f>"01540"</f>
        <v>01540</v>
      </c>
      <c r="C104" s="1">
        <v>1.22991172407786E-2</v>
      </c>
      <c r="D104" s="1">
        <v>1.3575056927657999E-2</v>
      </c>
      <c r="E104" s="1">
        <v>5.7074284376280498E-3</v>
      </c>
      <c r="F104" s="1">
        <v>1.19223799926522E-2</v>
      </c>
    </row>
    <row r="105" spans="1:6" x14ac:dyDescent="0.25">
      <c r="A105" s="2" t="str">
        <f t="shared" si="3"/>
        <v>49340</v>
      </c>
      <c r="B105" s="2" t="str">
        <f>"01523"</f>
        <v>01523</v>
      </c>
      <c r="C105" s="1">
        <v>6.6019455055242003E-3</v>
      </c>
      <c r="D105" s="1">
        <v>3.85356454720616E-3</v>
      </c>
      <c r="E105" s="1">
        <v>2.0780893285722601E-3</v>
      </c>
      <c r="F105" s="1">
        <v>6.0857273917925697E-3</v>
      </c>
    </row>
    <row r="106" spans="1:6" x14ac:dyDescent="0.25">
      <c r="A106" s="2" t="str">
        <f t="shared" si="3"/>
        <v>49340</v>
      </c>
      <c r="B106" s="2" t="str">
        <f>"01467"</f>
        <v>01467</v>
      </c>
      <c r="C106" s="1">
        <v>0</v>
      </c>
      <c r="D106" s="1">
        <v>0</v>
      </c>
      <c r="E106" s="1">
        <v>2.9268863782707899E-5</v>
      </c>
      <c r="F106" s="1">
        <v>2.0756232577737202E-6</v>
      </c>
    </row>
    <row r="107" spans="1:6" x14ac:dyDescent="0.25">
      <c r="A107" s="2" t="str">
        <f t="shared" si="3"/>
        <v>49340</v>
      </c>
      <c r="B107" s="2" t="str">
        <f>"01453"</f>
        <v>01453</v>
      </c>
      <c r="C107" s="1">
        <v>4.6910342725401101E-2</v>
      </c>
      <c r="D107" s="1">
        <v>6.6795118818240198E-2</v>
      </c>
      <c r="E107" s="1">
        <v>4.4722823859977702E-2</v>
      </c>
      <c r="F107" s="1">
        <v>4.8168988943154897E-2</v>
      </c>
    </row>
    <row r="108" spans="1:6" x14ac:dyDescent="0.25">
      <c r="A108" s="2" t="str">
        <f t="shared" si="3"/>
        <v>49340</v>
      </c>
      <c r="B108" s="2" t="str">
        <f>"01431"</f>
        <v>01431</v>
      </c>
      <c r="C108" s="1">
        <v>4.8383624078594299E-6</v>
      </c>
      <c r="D108" s="1">
        <v>0</v>
      </c>
      <c r="E108" s="1">
        <v>0</v>
      </c>
      <c r="F108" s="1">
        <v>4.1512465155474497E-6</v>
      </c>
    </row>
    <row r="109" spans="1:6" x14ac:dyDescent="0.25">
      <c r="A109" s="2" t="str">
        <f t="shared" si="3"/>
        <v>49340</v>
      </c>
      <c r="B109" s="2" t="str">
        <f>"01366"</f>
        <v>01366</v>
      </c>
      <c r="C109" s="1">
        <v>1.2966811253063201E-3</v>
      </c>
      <c r="D109" s="1">
        <v>5.8387341624335798E-4</v>
      </c>
      <c r="E109" s="1">
        <v>2.9268863782707899E-5</v>
      </c>
      <c r="F109" s="1">
        <v>1.15612215457996E-3</v>
      </c>
    </row>
    <row r="110" spans="1:6" x14ac:dyDescent="0.25">
      <c r="A110" s="2" t="str">
        <f t="shared" si="3"/>
        <v>49340</v>
      </c>
      <c r="B110" s="2" t="str">
        <f>"01010"</f>
        <v>01010</v>
      </c>
      <c r="C110" s="1">
        <v>8.9509704545399506E-5</v>
      </c>
      <c r="D110" s="1">
        <v>0</v>
      </c>
      <c r="E110" s="1">
        <v>0</v>
      </c>
      <c r="F110" s="1">
        <v>7.6798060537627895E-5</v>
      </c>
    </row>
    <row r="111" spans="1:6" x14ac:dyDescent="0.25">
      <c r="A111" s="2" t="str">
        <f t="shared" si="3"/>
        <v>49340</v>
      </c>
      <c r="B111" s="2" t="str">
        <f>"01005"</f>
        <v>01005</v>
      </c>
      <c r="C111" s="1">
        <v>4.43435914680317E-3</v>
      </c>
      <c r="D111" s="1">
        <v>1.7808139195422399E-3</v>
      </c>
      <c r="E111" s="1">
        <v>4.00983433823098E-3</v>
      </c>
      <c r="F111" s="1">
        <v>4.21559083653844E-3</v>
      </c>
    </row>
    <row r="112" spans="1:6" x14ac:dyDescent="0.25">
      <c r="A112" s="2" t="str">
        <f t="shared" si="3"/>
        <v>49340</v>
      </c>
      <c r="B112" s="2" t="str">
        <f>"06282"</f>
        <v>06282</v>
      </c>
      <c r="C112" s="1">
        <v>1.33054966216134E-3</v>
      </c>
      <c r="D112" s="1">
        <v>5.8387341624335803E-5</v>
      </c>
      <c r="E112" s="1">
        <v>2.9268863782707899E-5</v>
      </c>
      <c r="F112" s="1">
        <v>1.1478196615488699E-3</v>
      </c>
    </row>
    <row r="113" spans="1:6" x14ac:dyDescent="0.25">
      <c r="A113" s="2" t="str">
        <f t="shared" ref="A113:A144" si="4">"49340"</f>
        <v>49340</v>
      </c>
      <c r="B113" s="2" t="str">
        <f>"06281"</f>
        <v>06281</v>
      </c>
      <c r="C113" s="1">
        <v>8.9582279981517392E-3</v>
      </c>
      <c r="D113" s="1">
        <v>4.6417936591346904E-3</v>
      </c>
      <c r="E113" s="1">
        <v>3.2195750160978701E-3</v>
      </c>
      <c r="F113" s="1">
        <v>8.2443755798772399E-3</v>
      </c>
    </row>
    <row r="114" spans="1:6" x14ac:dyDescent="0.25">
      <c r="A114" s="2" t="str">
        <f t="shared" si="4"/>
        <v>49340</v>
      </c>
      <c r="B114" s="2" t="str">
        <f>"01611"</f>
        <v>01611</v>
      </c>
      <c r="C114" s="1">
        <v>2.19419735196425E-3</v>
      </c>
      <c r="D114" s="1">
        <v>1.22613417411105E-3</v>
      </c>
      <c r="E114" s="1">
        <v>1.5219809167008099E-3</v>
      </c>
      <c r="F114" s="1">
        <v>2.0776988810315001E-3</v>
      </c>
    </row>
    <row r="115" spans="1:6" x14ac:dyDescent="0.25">
      <c r="A115" s="2" t="str">
        <f t="shared" si="4"/>
        <v>49340</v>
      </c>
      <c r="B115" s="2" t="str">
        <f>"01605"</f>
        <v>01605</v>
      </c>
      <c r="C115" s="1">
        <v>2.77722002211131E-2</v>
      </c>
      <c r="D115" s="1">
        <v>2.8726572079173202E-2</v>
      </c>
      <c r="E115" s="1">
        <v>5.4908388456360098E-2</v>
      </c>
      <c r="F115" s="1">
        <v>2.9764437516475201E-2</v>
      </c>
    </row>
    <row r="116" spans="1:6" x14ac:dyDescent="0.25">
      <c r="A116" s="2" t="str">
        <f t="shared" si="4"/>
        <v>49340</v>
      </c>
      <c r="B116" s="2" t="str">
        <f>"01601"</f>
        <v>01601</v>
      </c>
      <c r="C116" s="1">
        <v>2.9562394312021099E-3</v>
      </c>
      <c r="D116" s="1">
        <v>2.9485607520289602E-3</v>
      </c>
      <c r="E116" s="1">
        <v>5.8537727565415899E-5</v>
      </c>
      <c r="F116" s="1">
        <v>2.7502008165501799E-3</v>
      </c>
    </row>
    <row r="117" spans="1:6" x14ac:dyDescent="0.25">
      <c r="A117" s="2" t="str">
        <f t="shared" si="4"/>
        <v>49340</v>
      </c>
      <c r="B117" s="2" t="str">
        <f>"01564"</f>
        <v>01564</v>
      </c>
      <c r="C117" s="1">
        <v>7.2454477057694996E-3</v>
      </c>
      <c r="D117" s="1">
        <v>4.8169556840076998E-3</v>
      </c>
      <c r="E117" s="1">
        <v>5.5610841187145104E-4</v>
      </c>
      <c r="F117" s="1">
        <v>6.59840633646268E-3</v>
      </c>
    </row>
    <row r="118" spans="1:6" x14ac:dyDescent="0.25">
      <c r="A118" s="2" t="str">
        <f t="shared" si="4"/>
        <v>49340</v>
      </c>
      <c r="B118" s="2" t="str">
        <f>"01541"</f>
        <v>01541</v>
      </c>
      <c r="C118" s="1">
        <v>3.2102534576147301E-3</v>
      </c>
      <c r="D118" s="1">
        <v>3.7951772055818197E-4</v>
      </c>
      <c r="E118" s="1">
        <v>3.2195750160978701E-4</v>
      </c>
      <c r="F118" s="1">
        <v>2.8041670212523E-3</v>
      </c>
    </row>
    <row r="119" spans="1:6" x14ac:dyDescent="0.25">
      <c r="A119" s="2" t="str">
        <f t="shared" si="4"/>
        <v>49340</v>
      </c>
      <c r="B119" s="2" t="str">
        <f>"01534"</f>
        <v>01534</v>
      </c>
      <c r="C119" s="1">
        <v>7.2914121486441601E-3</v>
      </c>
      <c r="D119" s="1">
        <v>3.1237227769019601E-3</v>
      </c>
      <c r="E119" s="1">
        <v>2.0780893285722601E-3</v>
      </c>
      <c r="F119" s="1">
        <v>6.6253894388137299E-3</v>
      </c>
    </row>
    <row r="120" spans="1:6" x14ac:dyDescent="0.25">
      <c r="A120" s="2" t="str">
        <f t="shared" si="4"/>
        <v>49340</v>
      </c>
      <c r="B120" s="2" t="str">
        <f>"01520"</f>
        <v>01520</v>
      </c>
      <c r="C120" s="1">
        <v>1.60899741873365E-2</v>
      </c>
      <c r="D120" s="1">
        <v>1.3925380977404001E-2</v>
      </c>
      <c r="E120" s="1">
        <v>5.1513200257566E-3</v>
      </c>
      <c r="F120" s="1">
        <v>1.51603522747793E-2</v>
      </c>
    </row>
    <row r="121" spans="1:6" x14ac:dyDescent="0.25">
      <c r="A121" s="2" t="str">
        <f t="shared" si="4"/>
        <v>49340</v>
      </c>
      <c r="B121" s="2" t="str">
        <f>"01531"</f>
        <v>01531</v>
      </c>
      <c r="C121" s="1">
        <v>9.0961213267757299E-4</v>
      </c>
      <c r="D121" s="1">
        <v>4.0871139137035E-4</v>
      </c>
      <c r="E121" s="1">
        <v>1.7561318269624699E-4</v>
      </c>
      <c r="F121" s="1">
        <v>8.2194681007839601E-4</v>
      </c>
    </row>
    <row r="122" spans="1:6" x14ac:dyDescent="0.25">
      <c r="A122" s="2" t="str">
        <f t="shared" si="4"/>
        <v>49340</v>
      </c>
      <c r="B122" s="2" t="str">
        <f>"01509"</f>
        <v>01509</v>
      </c>
      <c r="C122" s="1">
        <v>1.0644397297290701E-4</v>
      </c>
      <c r="D122" s="1">
        <v>0</v>
      </c>
      <c r="E122" s="1">
        <v>2.9268863782707899E-5</v>
      </c>
      <c r="F122" s="1">
        <v>9.34030465998177E-5</v>
      </c>
    </row>
    <row r="123" spans="1:6" x14ac:dyDescent="0.25">
      <c r="A123" s="2" t="str">
        <f t="shared" si="4"/>
        <v>49340</v>
      </c>
      <c r="B123" s="2" t="str">
        <f>"01503"</f>
        <v>01503</v>
      </c>
      <c r="C123" s="1">
        <v>4.4319399655992396E-3</v>
      </c>
      <c r="D123" s="1">
        <v>5.1380860629415496E-3</v>
      </c>
      <c r="E123" s="1">
        <v>8.4879704969853E-4</v>
      </c>
      <c r="F123" s="1">
        <v>4.2280445760850801E-3</v>
      </c>
    </row>
    <row r="124" spans="1:6" x14ac:dyDescent="0.25">
      <c r="A124" s="2" t="str">
        <f t="shared" si="4"/>
        <v>49340</v>
      </c>
      <c r="B124" s="2" t="str">
        <f>"01430"</f>
        <v>01430</v>
      </c>
      <c r="C124" s="1">
        <v>6.8003183642464304E-3</v>
      </c>
      <c r="D124" s="1">
        <v>2.3062999941612602E-3</v>
      </c>
      <c r="E124" s="1">
        <v>8.4879704969853E-4</v>
      </c>
      <c r="F124" s="1">
        <v>6.0587442894415103E-3</v>
      </c>
    </row>
    <row r="125" spans="1:6" x14ac:dyDescent="0.25">
      <c r="A125" s="2" t="str">
        <f t="shared" si="4"/>
        <v>49340</v>
      </c>
      <c r="B125" s="2" t="str">
        <f>"01441"</f>
        <v>01441</v>
      </c>
      <c r="C125" s="1">
        <v>0</v>
      </c>
      <c r="D125" s="1">
        <v>0</v>
      </c>
      <c r="E125" s="1">
        <v>2.9268863782707899E-5</v>
      </c>
      <c r="F125" s="1">
        <v>2.0756232577737202E-6</v>
      </c>
    </row>
    <row r="126" spans="1:6" x14ac:dyDescent="0.25">
      <c r="A126" s="2" t="str">
        <f t="shared" si="4"/>
        <v>49340</v>
      </c>
      <c r="B126" s="2" t="str">
        <f>"01092"</f>
        <v>01092</v>
      </c>
      <c r="C126" s="1">
        <v>0</v>
      </c>
      <c r="D126" s="1">
        <v>0</v>
      </c>
      <c r="E126" s="1">
        <v>1.4400280981092301E-2</v>
      </c>
      <c r="F126" s="1">
        <v>1.02120664282467E-3</v>
      </c>
    </row>
    <row r="127" spans="1:6" x14ac:dyDescent="0.25">
      <c r="A127" s="2" t="str">
        <f t="shared" si="4"/>
        <v>49340</v>
      </c>
      <c r="B127" s="2" t="str">
        <f>"01037"</f>
        <v>01037</v>
      </c>
      <c r="C127" s="1">
        <v>0</v>
      </c>
      <c r="D127" s="1">
        <v>2.9193670812167902E-5</v>
      </c>
      <c r="E127" s="1">
        <v>7.4928291283732299E-3</v>
      </c>
      <c r="F127" s="1">
        <v>5.3343517724784798E-4</v>
      </c>
    </row>
    <row r="128" spans="1:6" x14ac:dyDescent="0.25">
      <c r="A128" s="2" t="str">
        <f t="shared" si="4"/>
        <v>49340</v>
      </c>
      <c r="B128" s="2" t="str">
        <f>"06264"</f>
        <v>06264</v>
      </c>
      <c r="C128" s="1">
        <v>1.11282335380767E-4</v>
      </c>
      <c r="D128" s="1">
        <v>1.4596835406083901E-4</v>
      </c>
      <c r="E128" s="1">
        <v>2.9268863782707899E-5</v>
      </c>
      <c r="F128" s="1">
        <v>1.07932409404233E-4</v>
      </c>
    </row>
    <row r="129" spans="1:6" x14ac:dyDescent="0.25">
      <c r="A129" s="2" t="str">
        <f t="shared" si="4"/>
        <v>49340</v>
      </c>
      <c r="B129" s="2" t="str">
        <f>"06267"</f>
        <v>06267</v>
      </c>
      <c r="C129" s="1">
        <v>2.4191812039297099E-6</v>
      </c>
      <c r="D129" s="1">
        <v>5.8387341624335803E-5</v>
      </c>
      <c r="E129" s="1">
        <v>0</v>
      </c>
      <c r="F129" s="1">
        <v>6.2268697733211796E-6</v>
      </c>
    </row>
    <row r="130" spans="1:6" x14ac:dyDescent="0.25">
      <c r="A130" s="2" t="str">
        <f t="shared" si="4"/>
        <v>49340</v>
      </c>
      <c r="B130" s="2" t="str">
        <f>"06255"</f>
        <v>06255</v>
      </c>
      <c r="C130" s="1">
        <v>3.84891729545218E-3</v>
      </c>
      <c r="D130" s="1">
        <v>1.0801658200502099E-3</v>
      </c>
      <c r="E130" s="1">
        <v>1.25563425627817E-2</v>
      </c>
      <c r="F130" s="1">
        <v>4.2695570412405503E-3</v>
      </c>
    </row>
    <row r="131" spans="1:6" x14ac:dyDescent="0.25">
      <c r="A131" s="2" t="str">
        <f t="shared" si="4"/>
        <v>49340</v>
      </c>
      <c r="B131" s="2" t="str">
        <f>"06243"</f>
        <v>06243</v>
      </c>
      <c r="C131" s="1">
        <v>1.33054966216134E-4</v>
      </c>
      <c r="D131" s="1">
        <v>0</v>
      </c>
      <c r="E131" s="1">
        <v>2.9268863782707899E-5</v>
      </c>
      <c r="F131" s="1">
        <v>1.16234902435328E-4</v>
      </c>
    </row>
    <row r="132" spans="1:6" x14ac:dyDescent="0.25">
      <c r="A132" s="2" t="str">
        <f t="shared" si="4"/>
        <v>49340</v>
      </c>
      <c r="B132" s="2" t="str">
        <f>"06241"</f>
        <v>06241</v>
      </c>
      <c r="C132" s="1">
        <v>6.4543754520844801E-3</v>
      </c>
      <c r="D132" s="1">
        <v>5.3132480878145599E-3</v>
      </c>
      <c r="E132" s="1">
        <v>8.7806591348123795E-4</v>
      </c>
      <c r="F132" s="1">
        <v>5.9777949823883302E-3</v>
      </c>
    </row>
    <row r="133" spans="1:6" x14ac:dyDescent="0.25">
      <c r="A133" s="2" t="str">
        <f t="shared" si="4"/>
        <v>49340</v>
      </c>
      <c r="B133" s="2" t="str">
        <f>"01614"</f>
        <v>01614</v>
      </c>
      <c r="C133" s="1">
        <v>0</v>
      </c>
      <c r="D133" s="1">
        <v>2.6274303730951102E-4</v>
      </c>
      <c r="E133" s="1">
        <v>5.8537727565415899E-5</v>
      </c>
      <c r="F133" s="1">
        <v>2.2831855835511E-5</v>
      </c>
    </row>
    <row r="134" spans="1:6" x14ac:dyDescent="0.25">
      <c r="A134" s="2" t="str">
        <f t="shared" si="4"/>
        <v>49340</v>
      </c>
      <c r="B134" s="2" t="str">
        <f>"01604"</f>
        <v>01604</v>
      </c>
      <c r="C134" s="1">
        <v>3.9464102979705401E-2</v>
      </c>
      <c r="D134" s="1">
        <v>3.8214515093127802E-2</v>
      </c>
      <c r="E134" s="1">
        <v>8.8567581806474199E-2</v>
      </c>
      <c r="F134" s="1">
        <v>4.2857469026511899E-2</v>
      </c>
    </row>
    <row r="135" spans="1:6" x14ac:dyDescent="0.25">
      <c r="A135" s="2" t="str">
        <f t="shared" si="4"/>
        <v>49340</v>
      </c>
      <c r="B135" s="2" t="str">
        <f>"01585"</f>
        <v>01585</v>
      </c>
      <c r="C135" s="1">
        <v>4.3908138851324304E-3</v>
      </c>
      <c r="D135" s="1">
        <v>1.4012961989840599E-3</v>
      </c>
      <c r="E135" s="1">
        <v>7.3172159456769798E-4</v>
      </c>
      <c r="F135" s="1">
        <v>3.9187767106767897E-3</v>
      </c>
    </row>
    <row r="136" spans="1:6" x14ac:dyDescent="0.25">
      <c r="A136" s="2" t="str">
        <f t="shared" si="4"/>
        <v>49340</v>
      </c>
      <c r="B136" s="2" t="str">
        <f>"01570"</f>
        <v>01570</v>
      </c>
      <c r="C136" s="1">
        <v>1.9755033711290001E-2</v>
      </c>
      <c r="D136" s="1">
        <v>1.6231680971565299E-2</v>
      </c>
      <c r="E136" s="1">
        <v>3.5590938359772797E-2</v>
      </c>
      <c r="F136" s="1">
        <v>2.0627543935755301E-2</v>
      </c>
    </row>
    <row r="137" spans="1:6" x14ac:dyDescent="0.25">
      <c r="A137" s="2" t="str">
        <f t="shared" si="4"/>
        <v>49340</v>
      </c>
      <c r="B137" s="2" t="str">
        <f>"01562"</f>
        <v>01562</v>
      </c>
      <c r="C137" s="1">
        <v>1.30297099643654E-2</v>
      </c>
      <c r="D137" s="1">
        <v>9.5171366847667405E-3</v>
      </c>
      <c r="E137" s="1">
        <v>1.0419715506644001E-2</v>
      </c>
      <c r="F137" s="1">
        <v>1.25948819281709E-2</v>
      </c>
    </row>
    <row r="138" spans="1:6" x14ac:dyDescent="0.25">
      <c r="A138" s="2" t="str">
        <f t="shared" si="4"/>
        <v>49340</v>
      </c>
      <c r="B138" s="2" t="str">
        <f>"01542"</f>
        <v>01542</v>
      </c>
      <c r="C138" s="1">
        <v>2.8570530018409901E-3</v>
      </c>
      <c r="D138" s="1">
        <v>2.2771063233490898E-3</v>
      </c>
      <c r="E138" s="1">
        <v>4.3903295674061897E-4</v>
      </c>
      <c r="F138" s="1">
        <v>2.6443440304037202E-3</v>
      </c>
    </row>
    <row r="139" spans="1:6" x14ac:dyDescent="0.25">
      <c r="A139" s="2" t="str">
        <f t="shared" si="4"/>
        <v>49340</v>
      </c>
      <c r="B139" s="2" t="str">
        <f>"01518"</f>
        <v>01518</v>
      </c>
      <c r="C139" s="1">
        <v>4.8456199514712202E-3</v>
      </c>
      <c r="D139" s="1">
        <v>3.7659835347696601E-3</v>
      </c>
      <c r="E139" s="1">
        <v>1.43417432535268E-3</v>
      </c>
      <c r="F139" s="1">
        <v>4.5269343252045003E-3</v>
      </c>
    </row>
    <row r="140" spans="1:6" x14ac:dyDescent="0.25">
      <c r="A140" s="2" t="str">
        <f t="shared" si="4"/>
        <v>49340</v>
      </c>
      <c r="B140" s="2" t="str">
        <f>"01507"</f>
        <v>01507</v>
      </c>
      <c r="C140" s="1">
        <v>1.3486935211908101E-2</v>
      </c>
      <c r="D140" s="1">
        <v>9.1376189642085499E-3</v>
      </c>
      <c r="E140" s="1">
        <v>5.1220511619738899E-3</v>
      </c>
      <c r="F140" s="1">
        <v>1.25845038118821E-2</v>
      </c>
    </row>
    <row r="141" spans="1:6" x14ac:dyDescent="0.25">
      <c r="A141" s="2" t="str">
        <f t="shared" si="4"/>
        <v>49340</v>
      </c>
      <c r="B141" s="2" t="str">
        <f>"01501"</f>
        <v>01501</v>
      </c>
      <c r="C141" s="1">
        <v>1.83567469754186E-2</v>
      </c>
      <c r="D141" s="1">
        <v>2.89893151164827E-2</v>
      </c>
      <c r="E141" s="1">
        <v>7.6977111748521903E-3</v>
      </c>
      <c r="F141" s="1">
        <v>1.8356812091750802E-2</v>
      </c>
    </row>
    <row r="142" spans="1:6" x14ac:dyDescent="0.25">
      <c r="A142" s="2" t="str">
        <f t="shared" si="4"/>
        <v>49340</v>
      </c>
      <c r="B142" s="2" t="str">
        <f>"01451"</f>
        <v>01451</v>
      </c>
      <c r="C142" s="1">
        <v>6.8245101762857297E-3</v>
      </c>
      <c r="D142" s="1">
        <v>8.5245518771530308E-3</v>
      </c>
      <c r="E142" s="1">
        <v>1.34636773400456E-3</v>
      </c>
      <c r="F142" s="1">
        <v>6.5568938713072003E-3</v>
      </c>
    </row>
    <row r="143" spans="1:6" x14ac:dyDescent="0.25">
      <c r="A143" s="2" t="str">
        <f t="shared" si="4"/>
        <v>49340</v>
      </c>
      <c r="B143" s="2" t="str">
        <f>"01094"</f>
        <v>01094</v>
      </c>
      <c r="C143" s="1">
        <v>0</v>
      </c>
      <c r="D143" s="1">
        <v>2.9193670812167902E-5</v>
      </c>
      <c r="E143" s="1">
        <v>1.17075455130831E-4</v>
      </c>
      <c r="F143" s="1">
        <v>1.03781162888686E-5</v>
      </c>
    </row>
    <row r="144" spans="1:6" x14ac:dyDescent="0.25">
      <c r="A144" s="2" t="str">
        <f t="shared" si="4"/>
        <v>49340</v>
      </c>
      <c r="B144" s="2" t="str">
        <f>"06330"</f>
        <v>06330</v>
      </c>
      <c r="C144" s="1">
        <v>2.0804958353795499E-4</v>
      </c>
      <c r="D144" s="1">
        <v>0</v>
      </c>
      <c r="E144" s="1">
        <v>0</v>
      </c>
      <c r="F144" s="1">
        <v>1.7850360016854E-4</v>
      </c>
    </row>
    <row r="145" spans="1:6" x14ac:dyDescent="0.25">
      <c r="A145" s="2" t="str">
        <f t="shared" ref="A145:A160" si="5">"49340"</f>
        <v>49340</v>
      </c>
      <c r="B145" s="2" t="str">
        <f>"06266"</f>
        <v>06266</v>
      </c>
      <c r="C145" s="1">
        <v>3.9674571744447302E-4</v>
      </c>
      <c r="D145" s="1">
        <v>7.8822911192853295E-4</v>
      </c>
      <c r="E145" s="1">
        <v>2.34150910261663E-4</v>
      </c>
      <c r="F145" s="1">
        <v>4.1304902829697102E-4</v>
      </c>
    </row>
    <row r="146" spans="1:6" x14ac:dyDescent="0.25">
      <c r="A146" s="2" t="str">
        <f t="shared" si="5"/>
        <v>49340</v>
      </c>
      <c r="B146" s="2" t="str">
        <f>"06239"</f>
        <v>06239</v>
      </c>
      <c r="C146" s="1">
        <v>1.2057199120385701E-2</v>
      </c>
      <c r="D146" s="1">
        <v>1.0480527821568201E-2</v>
      </c>
      <c r="E146" s="1">
        <v>1.1268512556342499E-2</v>
      </c>
      <c r="F146" s="1">
        <v>1.18891700205279E-2</v>
      </c>
    </row>
    <row r="147" spans="1:6" x14ac:dyDescent="0.25">
      <c r="A147" s="2" t="str">
        <f t="shared" si="5"/>
        <v>49340</v>
      </c>
      <c r="B147" s="2" t="str">
        <f>"01747"</f>
        <v>01747</v>
      </c>
      <c r="C147" s="1">
        <v>5.8907062315688603E-3</v>
      </c>
      <c r="D147" s="1">
        <v>7.5903544111636497E-3</v>
      </c>
      <c r="E147" s="1">
        <v>2.16589591992038E-3</v>
      </c>
      <c r="F147" s="1">
        <v>5.74740080077545E-3</v>
      </c>
    </row>
    <row r="148" spans="1:6" x14ac:dyDescent="0.25">
      <c r="A148" s="2" t="str">
        <f t="shared" si="5"/>
        <v>49340</v>
      </c>
      <c r="B148" s="2" t="str">
        <f>"01740"</f>
        <v>01740</v>
      </c>
      <c r="C148" s="1">
        <v>4.6278936431175498E-3</v>
      </c>
      <c r="D148" s="1">
        <v>2.3646873357856001E-3</v>
      </c>
      <c r="E148" s="1">
        <v>8.4879704969853E-4</v>
      </c>
      <c r="F148" s="1">
        <v>4.1989858504762499E-3</v>
      </c>
    </row>
    <row r="149" spans="1:6" x14ac:dyDescent="0.25">
      <c r="A149" s="2" t="str">
        <f t="shared" si="5"/>
        <v>49340</v>
      </c>
      <c r="B149" s="2" t="str">
        <f>"01609"</f>
        <v>01609</v>
      </c>
      <c r="C149" s="1">
        <v>1.9941310663992601E-2</v>
      </c>
      <c r="D149" s="1">
        <v>2.4113972090850699E-2</v>
      </c>
      <c r="E149" s="1">
        <v>3.89568576947842E-2</v>
      </c>
      <c r="F149" s="1">
        <v>2.1586481880846699E-2</v>
      </c>
    </row>
    <row r="150" spans="1:6" x14ac:dyDescent="0.25">
      <c r="A150" s="2" t="str">
        <f t="shared" si="5"/>
        <v>49340</v>
      </c>
      <c r="B150" s="2" t="str">
        <f>"01608"</f>
        <v>01608</v>
      </c>
      <c r="C150" s="1">
        <v>6.5124358009788002E-3</v>
      </c>
      <c r="D150" s="1">
        <v>3.8156127751503399E-2</v>
      </c>
      <c r="E150" s="1">
        <v>1.1239243692559801E-2</v>
      </c>
      <c r="F150" s="1">
        <v>9.0974567388222398E-3</v>
      </c>
    </row>
    <row r="151" spans="1:6" x14ac:dyDescent="0.25">
      <c r="A151" s="2" t="str">
        <f t="shared" si="5"/>
        <v>49340</v>
      </c>
      <c r="B151" s="2" t="str">
        <f>"01538"</f>
        <v>01538</v>
      </c>
      <c r="C151" s="1">
        <v>1.07411645454479E-3</v>
      </c>
      <c r="D151" s="1">
        <v>1.3721025281718899E-3</v>
      </c>
      <c r="E151" s="1">
        <v>5.8537727565415899E-5</v>
      </c>
      <c r="F151" s="1">
        <v>1.0232822660824401E-3</v>
      </c>
    </row>
    <row r="152" spans="1:6" x14ac:dyDescent="0.25">
      <c r="A152" s="2" t="str">
        <f t="shared" si="5"/>
        <v>49340</v>
      </c>
      <c r="B152" s="2" t="str">
        <f>"01526"</f>
        <v>01526</v>
      </c>
      <c r="C152" s="1">
        <v>0</v>
      </c>
      <c r="D152" s="1">
        <v>0</v>
      </c>
      <c r="E152" s="1">
        <v>2.9268863782707899E-5</v>
      </c>
      <c r="F152" s="1">
        <v>2.0756232577737202E-6</v>
      </c>
    </row>
    <row r="153" spans="1:6" x14ac:dyDescent="0.25">
      <c r="A153" s="2" t="str">
        <f t="shared" si="5"/>
        <v>49340</v>
      </c>
      <c r="B153" s="2" t="str">
        <f>"01529"</f>
        <v>01529</v>
      </c>
      <c r="C153" s="1">
        <v>2.5861047070008599E-3</v>
      </c>
      <c r="D153" s="1">
        <v>3.7951772055818197E-4</v>
      </c>
      <c r="E153" s="1">
        <v>4.6830182052332698E-4</v>
      </c>
      <c r="F153" s="1">
        <v>2.2790343370355502E-3</v>
      </c>
    </row>
    <row r="154" spans="1:6" x14ac:dyDescent="0.25">
      <c r="A154" s="2" t="str">
        <f t="shared" si="5"/>
        <v>49340</v>
      </c>
      <c r="B154" s="2" t="str">
        <f>"01532"</f>
        <v>01532</v>
      </c>
      <c r="C154" s="1">
        <v>1.6010141207606798E-2</v>
      </c>
      <c r="D154" s="1">
        <v>2.6916564488818798E-2</v>
      </c>
      <c r="E154" s="1">
        <v>7.1123338991980296E-3</v>
      </c>
      <c r="F154" s="1">
        <v>1.6154575815252901E-2</v>
      </c>
    </row>
    <row r="155" spans="1:6" x14ac:dyDescent="0.25">
      <c r="A155" s="2" t="str">
        <f t="shared" si="5"/>
        <v>49340</v>
      </c>
      <c r="B155" s="2" t="str">
        <f>"01508"</f>
        <v>01508</v>
      </c>
      <c r="C155" s="1">
        <v>8.0558734090859603E-4</v>
      </c>
      <c r="D155" s="1">
        <v>0</v>
      </c>
      <c r="E155" s="1">
        <v>2.9268863782707899E-5</v>
      </c>
      <c r="F155" s="1">
        <v>6.93258168096425E-4</v>
      </c>
    </row>
    <row r="156" spans="1:6" x14ac:dyDescent="0.25">
      <c r="A156" s="2" t="str">
        <f t="shared" si="5"/>
        <v>49340</v>
      </c>
      <c r="B156" s="2" t="str">
        <f>"01516"</f>
        <v>01516</v>
      </c>
      <c r="C156" s="1">
        <v>7.3905985780052799E-3</v>
      </c>
      <c r="D156" s="1">
        <v>2.01436328603958E-3</v>
      </c>
      <c r="E156" s="1">
        <v>1.2000234150910201E-3</v>
      </c>
      <c r="F156" s="1">
        <v>6.5693476108538403E-3</v>
      </c>
    </row>
    <row r="157" spans="1:6" x14ac:dyDescent="0.25">
      <c r="A157" s="2" t="str">
        <f t="shared" si="5"/>
        <v>49340</v>
      </c>
      <c r="B157" s="2" t="str">
        <f>"01504"</f>
        <v>01504</v>
      </c>
      <c r="C157" s="1">
        <v>9.1227323200189607E-3</v>
      </c>
      <c r="D157" s="1">
        <v>4.3790506218251797E-3</v>
      </c>
      <c r="E157" s="1">
        <v>7.0245273078499001E-3</v>
      </c>
      <c r="F157" s="1">
        <v>8.6366683755964794E-3</v>
      </c>
    </row>
    <row r="158" spans="1:6" x14ac:dyDescent="0.25">
      <c r="A158" s="2" t="str">
        <f t="shared" si="5"/>
        <v>49340</v>
      </c>
      <c r="B158" s="2" t="str">
        <f>"01462"</f>
        <v>01462</v>
      </c>
      <c r="C158" s="1">
        <v>1.2804726112399901E-2</v>
      </c>
      <c r="D158" s="1">
        <v>9.2543936474572298E-3</v>
      </c>
      <c r="E158" s="1">
        <v>1.9902827372241401E-3</v>
      </c>
      <c r="F158" s="1">
        <v>1.17853888576392E-2</v>
      </c>
    </row>
    <row r="159" spans="1:6" x14ac:dyDescent="0.25">
      <c r="A159" s="2" t="str">
        <f t="shared" si="5"/>
        <v>49340</v>
      </c>
      <c r="B159" s="2" t="str">
        <f>"01434"</f>
        <v>01434</v>
      </c>
      <c r="C159" s="1">
        <v>3.65296361793387E-4</v>
      </c>
      <c r="D159" s="1">
        <v>7.6195480819758197E-3</v>
      </c>
      <c r="E159" s="1">
        <v>8.4879704969853E-4</v>
      </c>
      <c r="F159" s="1">
        <v>9.1534985667821402E-4</v>
      </c>
    </row>
    <row r="160" spans="1:6" x14ac:dyDescent="0.25">
      <c r="A160" s="2" t="str">
        <f t="shared" si="5"/>
        <v>49340</v>
      </c>
      <c r="B160" s="2" t="str">
        <f>"01331"</f>
        <v>01331</v>
      </c>
      <c r="C160" s="1">
        <v>1.50182769139956E-2</v>
      </c>
      <c r="D160" s="1">
        <v>1.1852630349740099E-2</v>
      </c>
      <c r="E160" s="1">
        <v>7.7855177662003103E-3</v>
      </c>
      <c r="F160" s="1">
        <v>1.4280288013483199E-2</v>
      </c>
    </row>
    <row r="161" spans="1:6" x14ac:dyDescent="0.25">
      <c r="A161" s="2" t="str">
        <f t="shared" ref="A161:A167" si="6">"47240"</f>
        <v>47240</v>
      </c>
      <c r="B161" s="2" t="str">
        <f>"02575"</f>
        <v>02575</v>
      </c>
      <c r="C161" s="1">
        <v>6.4450818289185002E-2</v>
      </c>
      <c r="D161" s="1">
        <v>0.11437648927720399</v>
      </c>
      <c r="E161" s="1">
        <v>5.4054054054054002E-2</v>
      </c>
      <c r="F161" s="1">
        <v>6.7699068745422197E-2</v>
      </c>
    </row>
    <row r="162" spans="1:6" x14ac:dyDescent="0.25">
      <c r="A162" s="2" t="str">
        <f t="shared" si="6"/>
        <v>47240</v>
      </c>
      <c r="B162" s="2" t="str">
        <f>"02713"</f>
        <v>02713</v>
      </c>
      <c r="C162" s="1">
        <v>0</v>
      </c>
      <c r="D162" s="1">
        <v>0</v>
      </c>
      <c r="E162" s="1">
        <v>1.35135135135135E-2</v>
      </c>
      <c r="F162" s="1">
        <v>5.23176729099089E-5</v>
      </c>
    </row>
    <row r="163" spans="1:6" x14ac:dyDescent="0.25">
      <c r="A163" s="2" t="str">
        <f t="shared" si="6"/>
        <v>47240</v>
      </c>
      <c r="B163" s="2" t="str">
        <f>"02552"</f>
        <v>02552</v>
      </c>
      <c r="C163" s="1">
        <v>0</v>
      </c>
      <c r="D163" s="1">
        <v>7.9428117553613899E-4</v>
      </c>
      <c r="E163" s="1">
        <v>0</v>
      </c>
      <c r="F163" s="1">
        <v>5.23176729099089E-5</v>
      </c>
    </row>
    <row r="164" spans="1:6" x14ac:dyDescent="0.25">
      <c r="A164" s="2" t="str">
        <f t="shared" si="6"/>
        <v>47240</v>
      </c>
      <c r="B164" s="2" t="str">
        <f>"02557"</f>
        <v>02557</v>
      </c>
      <c r="C164" s="1">
        <v>0.127889320060738</v>
      </c>
      <c r="D164" s="1">
        <v>0.18030182684670301</v>
      </c>
      <c r="E164" s="1">
        <v>2.7027027027027001E-2</v>
      </c>
      <c r="F164" s="1">
        <v>0.130951135293502</v>
      </c>
    </row>
    <row r="165" spans="1:6" x14ac:dyDescent="0.25">
      <c r="A165" s="2" t="str">
        <f t="shared" si="6"/>
        <v>47240</v>
      </c>
      <c r="B165" s="2" t="str">
        <f>"02539"</f>
        <v>02539</v>
      </c>
      <c r="C165" s="1">
        <v>0.27653112873291702</v>
      </c>
      <c r="D165" s="1">
        <v>0.29467831612390699</v>
      </c>
      <c r="E165" s="1">
        <v>0.20270270270270199</v>
      </c>
      <c r="F165" s="1">
        <v>0.27744061944124698</v>
      </c>
    </row>
    <row r="166" spans="1:6" x14ac:dyDescent="0.25">
      <c r="A166" s="2" t="str">
        <f t="shared" si="6"/>
        <v>47240</v>
      </c>
      <c r="B166" s="2" t="str">
        <f>"02535"</f>
        <v>02535</v>
      </c>
      <c r="C166" s="1">
        <v>6.5406895000281101E-2</v>
      </c>
      <c r="D166" s="1">
        <v>8.7370929308975293E-3</v>
      </c>
      <c r="E166" s="1">
        <v>2.7027027027027001E-2</v>
      </c>
      <c r="F166" s="1">
        <v>6.1525583342052902E-2</v>
      </c>
    </row>
    <row r="167" spans="1:6" x14ac:dyDescent="0.25">
      <c r="A167" s="2" t="str">
        <f t="shared" si="6"/>
        <v>47240</v>
      </c>
      <c r="B167" s="2" t="str">
        <f>"02568"</f>
        <v>02568</v>
      </c>
      <c r="C167" s="1">
        <v>0.46572183791687699</v>
      </c>
      <c r="D167" s="1">
        <v>0.40111199364575001</v>
      </c>
      <c r="E167" s="1">
        <v>0.67567567567567499</v>
      </c>
      <c r="F167" s="1">
        <v>0.462278957831955</v>
      </c>
    </row>
    <row r="168" spans="1:6" x14ac:dyDescent="0.25">
      <c r="A168" s="2" t="str">
        <f t="shared" ref="A168:A196" si="7">"28300"</f>
        <v>28300</v>
      </c>
      <c r="B168" s="2" t="str">
        <f>"03604"</f>
        <v>03604</v>
      </c>
      <c r="C168" s="1">
        <v>0</v>
      </c>
      <c r="D168" s="1">
        <v>0</v>
      </c>
      <c r="E168" s="1">
        <v>5.7175528873642004E-4</v>
      </c>
      <c r="F168" s="1">
        <v>2.5069568051342401E-5</v>
      </c>
    </row>
    <row r="169" spans="1:6" x14ac:dyDescent="0.25">
      <c r="A169" s="2" t="str">
        <f t="shared" si="7"/>
        <v>28300</v>
      </c>
      <c r="B169" s="2" t="str">
        <f>"03608"</f>
        <v>03608</v>
      </c>
      <c r="C169" s="1">
        <v>2.7358328070276099E-2</v>
      </c>
      <c r="D169" s="1">
        <v>9.9818511796733195E-3</v>
      </c>
      <c r="E169" s="1">
        <v>8.0045740423098904E-3</v>
      </c>
      <c r="F169" s="1">
        <v>2.5069568051342399E-2</v>
      </c>
    </row>
    <row r="170" spans="1:6" x14ac:dyDescent="0.25">
      <c r="A170" s="2" t="str">
        <f t="shared" si="7"/>
        <v>28300</v>
      </c>
      <c r="B170" s="2" t="str">
        <f>"03609"</f>
        <v>03609</v>
      </c>
      <c r="C170" s="1">
        <v>1.12820807257277E-2</v>
      </c>
      <c r="D170" s="1">
        <v>1.30066545674531E-2</v>
      </c>
      <c r="E170" s="1">
        <v>3.3161806746712402E-2</v>
      </c>
      <c r="F170" s="1">
        <v>1.2384366617363101E-2</v>
      </c>
    </row>
    <row r="171" spans="1:6" x14ac:dyDescent="0.25">
      <c r="A171" s="2" t="str">
        <f t="shared" si="7"/>
        <v>28300</v>
      </c>
      <c r="B171" s="2" t="str">
        <f>"03447"</f>
        <v>03447</v>
      </c>
      <c r="C171" s="1">
        <v>2.9281736234713199E-2</v>
      </c>
      <c r="D171" s="1">
        <v>8.4694494857834209E-3</v>
      </c>
      <c r="E171" s="1">
        <v>1.0291595197255501E-2</v>
      </c>
      <c r="F171" s="1">
        <v>2.6724159542731E-2</v>
      </c>
    </row>
    <row r="172" spans="1:6" x14ac:dyDescent="0.25">
      <c r="A172" s="2" t="str">
        <f t="shared" si="7"/>
        <v>28300</v>
      </c>
      <c r="B172" s="2" t="str">
        <f>"03452"</f>
        <v>03452</v>
      </c>
      <c r="C172" s="1">
        <v>7.3462708847677499E-2</v>
      </c>
      <c r="D172" s="1">
        <v>6.1101028433151801E-2</v>
      </c>
      <c r="E172" s="1">
        <v>0.12064036592338399</v>
      </c>
      <c r="F172" s="1">
        <v>7.4506756248589795E-2</v>
      </c>
    </row>
    <row r="173" spans="1:6" x14ac:dyDescent="0.25">
      <c r="A173" s="2" t="str">
        <f t="shared" si="7"/>
        <v>28300</v>
      </c>
      <c r="B173" s="2" t="str">
        <f>"03446"</f>
        <v>03446</v>
      </c>
      <c r="C173" s="1">
        <v>8.8275822472297094E-2</v>
      </c>
      <c r="D173" s="1">
        <v>0.33272837265577698</v>
      </c>
      <c r="E173" s="1">
        <v>5.54602630074328E-2</v>
      </c>
      <c r="F173" s="1">
        <v>0.10709719471533501</v>
      </c>
    </row>
    <row r="174" spans="1:6" x14ac:dyDescent="0.25">
      <c r="A174" s="2" t="str">
        <f t="shared" si="7"/>
        <v>28300</v>
      </c>
      <c r="B174" s="2" t="str">
        <f>"03450"</f>
        <v>03450</v>
      </c>
      <c r="C174" s="1">
        <v>1.32916116437962E-2</v>
      </c>
      <c r="D174" s="1">
        <v>2.11736237144585E-3</v>
      </c>
      <c r="E174" s="1">
        <v>2.8587764436821001E-3</v>
      </c>
      <c r="F174" s="1">
        <v>1.1908044824387599E-2</v>
      </c>
    </row>
    <row r="175" spans="1:6" x14ac:dyDescent="0.25">
      <c r="A175" s="2" t="str">
        <f t="shared" si="7"/>
        <v>28300</v>
      </c>
      <c r="B175" s="2" t="str">
        <f>"03441"</f>
        <v>03441</v>
      </c>
      <c r="C175" s="1">
        <v>3.9042314979617601E-3</v>
      </c>
      <c r="D175" s="1">
        <v>3.0248033877797902E-4</v>
      </c>
      <c r="E175" s="1">
        <v>4.00228702115494E-3</v>
      </c>
      <c r="F175" s="1">
        <v>3.6100177993933099E-3</v>
      </c>
    </row>
    <row r="176" spans="1:6" x14ac:dyDescent="0.25">
      <c r="A176" s="2" t="str">
        <f t="shared" si="7"/>
        <v>28300</v>
      </c>
      <c r="B176" s="2" t="str">
        <f>"03431"</f>
        <v>03431</v>
      </c>
      <c r="C176" s="1">
        <v>0.33688350462192101</v>
      </c>
      <c r="D176" s="1">
        <v>0.45644283121597001</v>
      </c>
      <c r="E176" s="1">
        <v>0.55231560891938203</v>
      </c>
      <c r="F176" s="1">
        <v>0.35623856200957599</v>
      </c>
    </row>
    <row r="177" spans="1:6" x14ac:dyDescent="0.25">
      <c r="A177" s="2" t="str">
        <f t="shared" si="7"/>
        <v>28300</v>
      </c>
      <c r="B177" s="2" t="str">
        <f>"03602"</f>
        <v>03602</v>
      </c>
      <c r="C177" s="1">
        <v>2.5090428891313001E-2</v>
      </c>
      <c r="D177" s="1">
        <v>6.3520871143375596E-3</v>
      </c>
      <c r="E177" s="1">
        <v>8.5763293310463107E-3</v>
      </c>
      <c r="F177" s="1">
        <v>2.2813306926721601E-2</v>
      </c>
    </row>
    <row r="178" spans="1:6" x14ac:dyDescent="0.25">
      <c r="A178" s="2" t="str">
        <f t="shared" si="7"/>
        <v>28300</v>
      </c>
      <c r="B178" s="2" t="str">
        <f>"03448"</f>
        <v>03448</v>
      </c>
      <c r="C178" s="1">
        <v>7.8658781650111902E-3</v>
      </c>
      <c r="D178" s="1">
        <v>1.81488203266787E-3</v>
      </c>
      <c r="E178" s="1">
        <v>1.1435105774728401E-3</v>
      </c>
      <c r="F178" s="1">
        <v>7.0696181904785702E-3</v>
      </c>
    </row>
    <row r="179" spans="1:6" x14ac:dyDescent="0.25">
      <c r="A179" s="2" t="str">
        <f t="shared" si="7"/>
        <v>28300</v>
      </c>
      <c r="B179" s="2" t="str">
        <f>"03466"</f>
        <v>03466</v>
      </c>
      <c r="C179" s="1">
        <v>1.3406441981971599E-2</v>
      </c>
      <c r="D179" s="1">
        <v>6.3520871143375596E-3</v>
      </c>
      <c r="E179" s="1">
        <v>1.71526586620926E-3</v>
      </c>
      <c r="F179" s="1">
        <v>1.23091579132091E-2</v>
      </c>
    </row>
    <row r="180" spans="1:6" x14ac:dyDescent="0.25">
      <c r="A180" s="2" t="str">
        <f t="shared" si="7"/>
        <v>28300</v>
      </c>
      <c r="B180" s="2" t="str">
        <f>"03465"</f>
        <v>03465</v>
      </c>
      <c r="C180" s="1">
        <v>2.00953091806855E-2</v>
      </c>
      <c r="D180" s="1">
        <v>3.62976406533575E-3</v>
      </c>
      <c r="E180" s="1">
        <v>1.6580903373356201E-2</v>
      </c>
      <c r="F180" s="1">
        <v>1.85765499260447E-2</v>
      </c>
    </row>
    <row r="181" spans="1:6" x14ac:dyDescent="0.25">
      <c r="A181" s="2" t="str">
        <f t="shared" si="7"/>
        <v>28300</v>
      </c>
      <c r="B181" s="2" t="str">
        <f>"03451"</f>
        <v>03451</v>
      </c>
      <c r="C181" s="1">
        <v>5.0353103289889102E-2</v>
      </c>
      <c r="D181" s="1">
        <v>1.2401693889897101E-2</v>
      </c>
      <c r="E181" s="1">
        <v>3.71640937678673E-2</v>
      </c>
      <c r="F181" s="1">
        <v>4.6629396575497001E-2</v>
      </c>
    </row>
    <row r="182" spans="1:6" x14ac:dyDescent="0.25">
      <c r="A182" s="2" t="str">
        <f t="shared" si="7"/>
        <v>28300</v>
      </c>
      <c r="B182" s="2" t="str">
        <f>"03458"</f>
        <v>03458</v>
      </c>
      <c r="C182" s="1">
        <v>1.14830338175345E-4</v>
      </c>
      <c r="D182" s="1">
        <v>0</v>
      </c>
      <c r="E182" s="1">
        <v>0</v>
      </c>
      <c r="F182" s="1">
        <v>1.0027827220536899E-4</v>
      </c>
    </row>
    <row r="183" spans="1:6" x14ac:dyDescent="0.25">
      <c r="A183" s="2" t="str">
        <f t="shared" si="7"/>
        <v>28300</v>
      </c>
      <c r="B183" s="2" t="str">
        <f>"03443"</f>
        <v>03443</v>
      </c>
      <c r="C183" s="1">
        <v>6.3730837687316902E-3</v>
      </c>
      <c r="D183" s="1">
        <v>6.0496067755595804E-4</v>
      </c>
      <c r="E183" s="1">
        <v>5.7175528873642002E-3</v>
      </c>
      <c r="F183" s="1">
        <v>5.8662789240141299E-3</v>
      </c>
    </row>
    <row r="184" spans="1:6" x14ac:dyDescent="0.25">
      <c r="A184" s="2" t="str">
        <f t="shared" si="7"/>
        <v>28300</v>
      </c>
      <c r="B184" s="2" t="str">
        <f>"03444"</f>
        <v>03444</v>
      </c>
      <c r="C184" s="1">
        <v>1.2889705460182499E-2</v>
      </c>
      <c r="D184" s="1">
        <v>7.2595281306715E-3</v>
      </c>
      <c r="E184" s="1">
        <v>1.4293882218410501E-2</v>
      </c>
      <c r="F184" s="1">
        <v>1.24846448895685E-2</v>
      </c>
    </row>
    <row r="185" spans="1:6" x14ac:dyDescent="0.25">
      <c r="A185" s="2" t="str">
        <f t="shared" si="7"/>
        <v>28300</v>
      </c>
      <c r="B185" s="2" t="str">
        <f>"03457"</f>
        <v>03457</v>
      </c>
      <c r="C185" s="1">
        <v>1.2631337199288E-2</v>
      </c>
      <c r="D185" s="1">
        <v>3.0248033877797902E-4</v>
      </c>
      <c r="E185" s="1">
        <v>0</v>
      </c>
      <c r="F185" s="1">
        <v>1.1055679510642E-2</v>
      </c>
    </row>
    <row r="186" spans="1:6" x14ac:dyDescent="0.25">
      <c r="A186" s="2" t="str">
        <f t="shared" si="7"/>
        <v>28300</v>
      </c>
      <c r="B186" s="2" t="str">
        <f>"03469"</f>
        <v>03469</v>
      </c>
      <c r="C186" s="1">
        <v>0</v>
      </c>
      <c r="D186" s="1">
        <v>0</v>
      </c>
      <c r="E186" s="1">
        <v>5.7175528873642004E-4</v>
      </c>
      <c r="F186" s="1">
        <v>2.5069568051342401E-5</v>
      </c>
    </row>
    <row r="187" spans="1:6" x14ac:dyDescent="0.25">
      <c r="A187" s="2" t="str">
        <f t="shared" si="7"/>
        <v>28300</v>
      </c>
      <c r="B187" s="2" t="str">
        <f>"03464"</f>
        <v>03464</v>
      </c>
      <c r="C187" s="1">
        <v>1.43537922719182E-2</v>
      </c>
      <c r="D187" s="1">
        <v>3.02480338777979E-3</v>
      </c>
      <c r="E187" s="1">
        <v>5.7175528873642004E-4</v>
      </c>
      <c r="F187" s="1">
        <v>1.2810549274235999E-2</v>
      </c>
    </row>
    <row r="188" spans="1:6" x14ac:dyDescent="0.25">
      <c r="A188" s="2" t="str">
        <f t="shared" si="7"/>
        <v>28300</v>
      </c>
      <c r="B188" s="2" t="str">
        <f>"03461"</f>
        <v>03461</v>
      </c>
      <c r="C188" s="1">
        <v>0.111040937015559</v>
      </c>
      <c r="D188" s="1">
        <v>2.5105868118572201E-2</v>
      </c>
      <c r="E188" s="1">
        <v>4.0022870211549398E-2</v>
      </c>
      <c r="F188" s="1">
        <v>0.100804733134448</v>
      </c>
    </row>
    <row r="189" spans="1:6" x14ac:dyDescent="0.25">
      <c r="A189" s="2" t="str">
        <f t="shared" si="7"/>
        <v>28300</v>
      </c>
      <c r="B189" s="2" t="str">
        <f>"03280"</f>
        <v>03280</v>
      </c>
      <c r="C189" s="1">
        <v>7.4639719813974798E-4</v>
      </c>
      <c r="D189" s="1">
        <v>0</v>
      </c>
      <c r="E189" s="1">
        <v>0</v>
      </c>
      <c r="F189" s="1">
        <v>6.5180876933490397E-4</v>
      </c>
    </row>
    <row r="190" spans="1:6" x14ac:dyDescent="0.25">
      <c r="A190" s="2" t="str">
        <f t="shared" si="7"/>
        <v>28300</v>
      </c>
      <c r="B190" s="2" t="str">
        <f>"03456"</f>
        <v>03456</v>
      </c>
      <c r="C190" s="1">
        <v>7.4926795659413202E-3</v>
      </c>
      <c r="D190" s="1">
        <v>1.20992135511191E-3</v>
      </c>
      <c r="E190" s="1">
        <v>5.7175528873642004E-4</v>
      </c>
      <c r="F190" s="1">
        <v>6.6685051016570898E-3</v>
      </c>
    </row>
    <row r="191" spans="1:6" x14ac:dyDescent="0.25">
      <c r="A191" s="2" t="str">
        <f t="shared" si="7"/>
        <v>28300</v>
      </c>
      <c r="B191" s="2" t="str">
        <f>"03455"</f>
        <v>03455</v>
      </c>
      <c r="C191" s="1">
        <v>2.3683757248665002E-2</v>
      </c>
      <c r="D191" s="1">
        <v>3.93224440411373E-3</v>
      </c>
      <c r="E191" s="1">
        <v>2.1154945683247502E-2</v>
      </c>
      <c r="F191" s="1">
        <v>2.1935872044924601E-2</v>
      </c>
    </row>
    <row r="192" spans="1:6" x14ac:dyDescent="0.25">
      <c r="A192" s="2" t="str">
        <f t="shared" si="7"/>
        <v>28300</v>
      </c>
      <c r="B192" s="2" t="str">
        <f>"03470"</f>
        <v>03470</v>
      </c>
      <c r="C192" s="1">
        <v>6.4706895561807407E-2</v>
      </c>
      <c r="D192" s="1">
        <v>3.1155474894131799E-2</v>
      </c>
      <c r="E192" s="1">
        <v>5.3744997141223501E-2</v>
      </c>
      <c r="F192" s="1">
        <v>6.1445511293840398E-2</v>
      </c>
    </row>
    <row r="193" spans="1:6" x14ac:dyDescent="0.25">
      <c r="A193" s="2" t="str">
        <f t="shared" si="7"/>
        <v>28300</v>
      </c>
      <c r="B193" s="2" t="str">
        <f>"03467"</f>
        <v>03467</v>
      </c>
      <c r="C193" s="1">
        <v>1.9090543721651199E-2</v>
      </c>
      <c r="D193" s="1">
        <v>1.08892921960072E-2</v>
      </c>
      <c r="E193" s="1">
        <v>1.71526586620926E-3</v>
      </c>
      <c r="F193" s="1">
        <v>1.7648975908145102E-2</v>
      </c>
    </row>
    <row r="194" spans="1:6" x14ac:dyDescent="0.25">
      <c r="A194" s="2" t="str">
        <f t="shared" si="7"/>
        <v>28300</v>
      </c>
      <c r="B194" s="2" t="str">
        <f>"03462"</f>
        <v>03462</v>
      </c>
      <c r="C194" s="1">
        <v>1.7999655508985399E-2</v>
      </c>
      <c r="D194" s="1">
        <v>6.0496067755595804E-4</v>
      </c>
      <c r="E194" s="1">
        <v>6.2893081761006197E-3</v>
      </c>
      <c r="F194" s="1">
        <v>1.60445235528591E-2</v>
      </c>
    </row>
    <row r="195" spans="1:6" x14ac:dyDescent="0.25">
      <c r="A195" s="2" t="str">
        <f t="shared" si="7"/>
        <v>28300</v>
      </c>
      <c r="B195" s="2" t="str">
        <f>"03435"</f>
        <v>03435</v>
      </c>
      <c r="C195" s="1">
        <v>0</v>
      </c>
      <c r="D195" s="1">
        <v>3.0248033877797902E-4</v>
      </c>
      <c r="E195" s="1">
        <v>0</v>
      </c>
      <c r="F195" s="1">
        <v>2.5069568051342401E-5</v>
      </c>
    </row>
    <row r="196" spans="1:6" x14ac:dyDescent="0.25">
      <c r="A196" s="2" t="str">
        <f t="shared" si="7"/>
        <v>28300</v>
      </c>
      <c r="B196" s="2" t="str">
        <f>"03445"</f>
        <v>03445</v>
      </c>
      <c r="C196" s="1">
        <v>8.3251995177125691E-3</v>
      </c>
      <c r="D196" s="1">
        <v>9.0744101633393804E-4</v>
      </c>
      <c r="E196" s="1">
        <v>2.8587764436821001E-3</v>
      </c>
      <c r="F196" s="1">
        <v>7.4707312793000497E-3</v>
      </c>
    </row>
    <row r="197" spans="1:6" x14ac:dyDescent="0.25">
      <c r="A197" s="2" t="str">
        <f t="shared" ref="A197:A213" si="8">"13620"</f>
        <v>13620</v>
      </c>
      <c r="B197" s="2" t="str">
        <f>"03581"</f>
        <v>03581</v>
      </c>
      <c r="C197" s="1">
        <v>0.100859632595383</v>
      </c>
      <c r="D197" s="1">
        <v>0.18724778046811899</v>
      </c>
      <c r="E197" s="1">
        <v>9.4903339191564101E-2</v>
      </c>
      <c r="F197" s="1">
        <v>0.10603791126491401</v>
      </c>
    </row>
    <row r="198" spans="1:6" x14ac:dyDescent="0.25">
      <c r="A198" s="2" t="str">
        <f t="shared" si="8"/>
        <v>13620</v>
      </c>
      <c r="B198" s="2" t="str">
        <f>"03584"</f>
        <v>03584</v>
      </c>
      <c r="C198" s="1">
        <v>0.105452190296749</v>
      </c>
      <c r="D198" s="1">
        <v>0.184826472962066</v>
      </c>
      <c r="E198" s="1">
        <v>0.11423550087873401</v>
      </c>
      <c r="F198" s="1">
        <v>0.111047983058726</v>
      </c>
    </row>
    <row r="199" spans="1:6" x14ac:dyDescent="0.25">
      <c r="A199" s="2" t="str">
        <f t="shared" si="8"/>
        <v>13620</v>
      </c>
      <c r="B199" s="2" t="str">
        <f>"03575"</f>
        <v>03575</v>
      </c>
      <c r="C199" s="1">
        <v>0</v>
      </c>
      <c r="D199" s="1">
        <v>8.07102502017756E-4</v>
      </c>
      <c r="E199" s="1">
        <v>1.7574692442882201E-3</v>
      </c>
      <c r="F199" s="1">
        <v>1.5495067403543199E-4</v>
      </c>
    </row>
    <row r="200" spans="1:6" x14ac:dyDescent="0.25">
      <c r="A200" s="2" t="str">
        <f t="shared" si="8"/>
        <v>13620</v>
      </c>
      <c r="B200" s="2" t="str">
        <f>"03570"</f>
        <v>03570</v>
      </c>
      <c r="C200" s="1">
        <v>0.29221620348563299</v>
      </c>
      <c r="D200" s="1">
        <v>0.28410008071025</v>
      </c>
      <c r="E200" s="1">
        <v>0.49297012302284698</v>
      </c>
      <c r="F200" s="1">
        <v>0.30349672021073199</v>
      </c>
    </row>
    <row r="201" spans="1:6" x14ac:dyDescent="0.25">
      <c r="A201" s="2" t="str">
        <f t="shared" si="8"/>
        <v>13620</v>
      </c>
      <c r="B201" s="2" t="str">
        <f>"03595"</f>
        <v>03595</v>
      </c>
      <c r="C201" s="1">
        <v>9.4206311822892105E-4</v>
      </c>
      <c r="D201" s="1">
        <v>0</v>
      </c>
      <c r="E201" s="1">
        <v>8.7873462214411199E-4</v>
      </c>
      <c r="F201" s="1">
        <v>8.7805381953411402E-4</v>
      </c>
    </row>
    <row r="202" spans="1:6" x14ac:dyDescent="0.25">
      <c r="A202" s="2" t="str">
        <f t="shared" si="8"/>
        <v>13620</v>
      </c>
      <c r="B202" s="2" t="str">
        <f>"03592"</f>
        <v>03592</v>
      </c>
      <c r="C202" s="1">
        <v>5.1106924163918897E-2</v>
      </c>
      <c r="D202" s="1">
        <v>3.7126715092816703E-2</v>
      </c>
      <c r="E202" s="1">
        <v>7.0298769771528899E-3</v>
      </c>
      <c r="F202" s="1">
        <v>4.7621507153556099E-2</v>
      </c>
    </row>
    <row r="203" spans="1:6" x14ac:dyDescent="0.25">
      <c r="A203" s="2" t="str">
        <f t="shared" si="8"/>
        <v>13620</v>
      </c>
      <c r="B203" s="2" t="str">
        <f>"03583"</f>
        <v>03583</v>
      </c>
      <c r="C203" s="1">
        <v>3.2560056523786997E-2</v>
      </c>
      <c r="D203" s="1">
        <v>9.6852300242130703E-3</v>
      </c>
      <c r="E203" s="1">
        <v>7.9086115992970107E-3</v>
      </c>
      <c r="F203" s="1">
        <v>2.9647228965445901E-2</v>
      </c>
    </row>
    <row r="204" spans="1:6" x14ac:dyDescent="0.25">
      <c r="A204" s="2" t="str">
        <f t="shared" si="8"/>
        <v>13620</v>
      </c>
      <c r="B204" s="2" t="str">
        <f>"03589"</f>
        <v>03589</v>
      </c>
      <c r="C204" s="1">
        <v>0</v>
      </c>
      <c r="D204" s="1">
        <v>8.07102502017756E-4</v>
      </c>
      <c r="E204" s="1">
        <v>1.7574692442882201E-3</v>
      </c>
      <c r="F204" s="1">
        <v>1.5495067403543199E-4</v>
      </c>
    </row>
    <row r="205" spans="1:6" x14ac:dyDescent="0.25">
      <c r="A205" s="2" t="str">
        <f t="shared" si="8"/>
        <v>13620</v>
      </c>
      <c r="B205" s="2" t="str">
        <f>"03588"</f>
        <v>03588</v>
      </c>
      <c r="C205" s="1">
        <v>4.89284032030146E-2</v>
      </c>
      <c r="D205" s="1">
        <v>1.53349475383373E-2</v>
      </c>
      <c r="E205" s="1">
        <v>2.6362038664323301E-3</v>
      </c>
      <c r="F205" s="1">
        <v>4.4057641650741101E-2</v>
      </c>
    </row>
    <row r="206" spans="1:6" x14ac:dyDescent="0.25">
      <c r="A206" s="2" t="str">
        <f t="shared" si="8"/>
        <v>13620</v>
      </c>
      <c r="B206" s="2" t="str">
        <f>"03582"</f>
        <v>03582</v>
      </c>
      <c r="C206" s="1">
        <v>7.8897786151672103E-2</v>
      </c>
      <c r="D206" s="1">
        <v>5.6497175141242903E-2</v>
      </c>
      <c r="E206" s="1">
        <v>6.9420035149384801E-2</v>
      </c>
      <c r="F206" s="1">
        <v>7.6907184546252699E-2</v>
      </c>
    </row>
    <row r="207" spans="1:6" x14ac:dyDescent="0.25">
      <c r="A207" s="2" t="str">
        <f t="shared" si="8"/>
        <v>13620</v>
      </c>
      <c r="B207" s="2" t="str">
        <f>"03590"</f>
        <v>03590</v>
      </c>
      <c r="C207" s="1">
        <v>3.0263777673103998E-2</v>
      </c>
      <c r="D207" s="1">
        <v>9.6852300242130703E-3</v>
      </c>
      <c r="E207" s="1">
        <v>1.05448154657293E-2</v>
      </c>
      <c r="F207" s="1">
        <v>2.7787820877020801E-2</v>
      </c>
    </row>
    <row r="208" spans="1:6" x14ac:dyDescent="0.25">
      <c r="A208" s="2" t="str">
        <f t="shared" si="8"/>
        <v>13620</v>
      </c>
      <c r="B208" s="2" t="str">
        <f>"03576"</f>
        <v>03576</v>
      </c>
      <c r="C208" s="1">
        <v>0.10739519547809701</v>
      </c>
      <c r="D208" s="1">
        <v>0.129943502824858</v>
      </c>
      <c r="E208" s="1">
        <v>0.119507908611599</v>
      </c>
      <c r="F208" s="1">
        <v>0.10955012654305001</v>
      </c>
    </row>
    <row r="209" spans="1:6" x14ac:dyDescent="0.25">
      <c r="A209" s="2" t="str">
        <f t="shared" si="8"/>
        <v>13620</v>
      </c>
      <c r="B209" s="2" t="str">
        <f>"03598"</f>
        <v>03598</v>
      </c>
      <c r="C209" s="1">
        <v>0.117816768723504</v>
      </c>
      <c r="D209" s="1">
        <v>7.6674737691686798E-2</v>
      </c>
      <c r="E209" s="1">
        <v>7.2934973637961295E-2</v>
      </c>
      <c r="F209" s="1">
        <v>0.11254583957440201</v>
      </c>
    </row>
    <row r="210" spans="1:6" x14ac:dyDescent="0.25">
      <c r="A210" s="2" t="str">
        <f t="shared" si="8"/>
        <v>13620</v>
      </c>
      <c r="B210" s="2" t="str">
        <f>"03574"</f>
        <v>03574</v>
      </c>
      <c r="C210" s="1">
        <v>1.5897315120112999E-3</v>
      </c>
      <c r="D210" s="1">
        <v>0</v>
      </c>
      <c r="E210" s="1">
        <v>0</v>
      </c>
      <c r="F210" s="1">
        <v>1.39455606631888E-3</v>
      </c>
    </row>
    <row r="211" spans="1:6" x14ac:dyDescent="0.25">
      <c r="A211" s="2" t="str">
        <f t="shared" si="8"/>
        <v>13620</v>
      </c>
      <c r="B211" s="2" t="str">
        <f>"03593"</f>
        <v>03593</v>
      </c>
      <c r="C211" s="1">
        <v>1.60739519547809E-2</v>
      </c>
      <c r="D211" s="1">
        <v>5.6497175141242903E-3</v>
      </c>
      <c r="E211" s="1">
        <v>8.7873462214411199E-4</v>
      </c>
      <c r="F211" s="1">
        <v>1.45137131346521E-2</v>
      </c>
    </row>
    <row r="212" spans="1:6" x14ac:dyDescent="0.25">
      <c r="A212" s="2" t="str">
        <f t="shared" si="8"/>
        <v>13620</v>
      </c>
      <c r="B212" s="2" t="str">
        <f>"03579"</f>
        <v>03579</v>
      </c>
      <c r="C212" s="1">
        <v>1.2011304757418699E-2</v>
      </c>
      <c r="D212" s="1">
        <v>1.6142050040355101E-3</v>
      </c>
      <c r="E212" s="1">
        <v>1.7574692442882201E-3</v>
      </c>
      <c r="F212" s="1">
        <v>1.0743246733123201E-2</v>
      </c>
    </row>
    <row r="213" spans="1:6" x14ac:dyDescent="0.25">
      <c r="A213" s="2" t="str">
        <f t="shared" si="8"/>
        <v>13620</v>
      </c>
      <c r="B213" s="2" t="str">
        <f>"03597"</f>
        <v>03597</v>
      </c>
      <c r="C213" s="1">
        <v>3.8860103626943E-3</v>
      </c>
      <c r="D213" s="1">
        <v>0</v>
      </c>
      <c r="E213" s="1">
        <v>8.7873462214411199E-4</v>
      </c>
      <c r="F213" s="1">
        <v>3.4605650534579799E-3</v>
      </c>
    </row>
    <row r="214" spans="1:6" x14ac:dyDescent="0.25">
      <c r="A214" s="2" t="str">
        <f t="shared" ref="A214:A224" si="9">"15660"</f>
        <v>15660</v>
      </c>
      <c r="B214" s="2" t="str">
        <f>"30175"</f>
        <v>30175</v>
      </c>
      <c r="C214" s="1">
        <v>7.94438927507447E-5</v>
      </c>
      <c r="D214" s="1">
        <v>0</v>
      </c>
      <c r="E214" s="1">
        <v>0</v>
      </c>
      <c r="F214" s="1">
        <v>7.0509430636347598E-5</v>
      </c>
    </row>
    <row r="215" spans="1:6" x14ac:dyDescent="0.25">
      <c r="A215" s="2" t="str">
        <f t="shared" si="9"/>
        <v>15660</v>
      </c>
      <c r="B215" s="2" t="str">
        <f>"30701"</f>
        <v>30701</v>
      </c>
      <c r="C215" s="1">
        <v>0.65735849056603701</v>
      </c>
      <c r="D215" s="1">
        <v>0.72666404096100801</v>
      </c>
      <c r="E215" s="1">
        <v>0.93241167434715799</v>
      </c>
      <c r="F215" s="1">
        <v>0.66987484576061995</v>
      </c>
    </row>
    <row r="216" spans="1:6" x14ac:dyDescent="0.25">
      <c r="A216" s="2" t="str">
        <f t="shared" si="9"/>
        <v>15660</v>
      </c>
      <c r="B216" s="2" t="str">
        <f>"30139"</f>
        <v>30139</v>
      </c>
      <c r="C216" s="1">
        <v>5.67626613704071E-2</v>
      </c>
      <c r="D216" s="1">
        <v>4.2142575817250803E-2</v>
      </c>
      <c r="E216" s="1">
        <v>2.4577572964669701E-2</v>
      </c>
      <c r="F216" s="1">
        <v>5.4715318173805698E-2</v>
      </c>
    </row>
    <row r="217" spans="1:6" x14ac:dyDescent="0.25">
      <c r="A217" s="2" t="str">
        <f t="shared" si="9"/>
        <v>15660</v>
      </c>
      <c r="B217" s="2" t="str">
        <f>"30746"</f>
        <v>30746</v>
      </c>
      <c r="C217" s="1">
        <v>2.2005958291956298E-2</v>
      </c>
      <c r="D217" s="1">
        <v>4.3324143363528897E-3</v>
      </c>
      <c r="E217" s="1">
        <v>0</v>
      </c>
      <c r="F217" s="1">
        <v>1.9918914154768201E-2</v>
      </c>
    </row>
    <row r="218" spans="1:6" x14ac:dyDescent="0.25">
      <c r="A218" s="2" t="str">
        <f t="shared" si="9"/>
        <v>15660</v>
      </c>
      <c r="B218" s="2" t="str">
        <f>"30734"</f>
        <v>30734</v>
      </c>
      <c r="C218" s="1">
        <v>5.3982125124131003E-2</v>
      </c>
      <c r="D218" s="1">
        <v>1.26033871602993E-2</v>
      </c>
      <c r="E218" s="1">
        <v>0</v>
      </c>
      <c r="F218" s="1">
        <v>4.9039309007579697E-2</v>
      </c>
    </row>
    <row r="219" spans="1:6" x14ac:dyDescent="0.25">
      <c r="A219" s="2" t="str">
        <f t="shared" si="9"/>
        <v>15660</v>
      </c>
      <c r="B219" s="2" t="str">
        <f>"30103"</f>
        <v>30103</v>
      </c>
      <c r="C219" s="1">
        <v>4.9175769612711001E-2</v>
      </c>
      <c r="D219" s="1">
        <v>1.0634107916502499E-2</v>
      </c>
      <c r="E219" s="1">
        <v>9.2165898617511503E-3</v>
      </c>
      <c r="F219" s="1">
        <v>4.4808743169398903E-2</v>
      </c>
    </row>
    <row r="220" spans="1:6" x14ac:dyDescent="0.25">
      <c r="A220" s="2" t="str">
        <f t="shared" si="9"/>
        <v>15660</v>
      </c>
      <c r="B220" s="2" t="str">
        <f>"30735"</f>
        <v>30735</v>
      </c>
      <c r="C220" s="1">
        <v>6.1569016881827199E-2</v>
      </c>
      <c r="D220" s="1">
        <v>2.7176053564395401E-2</v>
      </c>
      <c r="E220" s="1">
        <v>2.7649769585253399E-2</v>
      </c>
      <c r="F220" s="1">
        <v>5.77119689758505E-2</v>
      </c>
    </row>
    <row r="221" spans="1:6" x14ac:dyDescent="0.25">
      <c r="A221" s="2" t="str">
        <f t="shared" si="9"/>
        <v>15660</v>
      </c>
      <c r="B221" s="2" t="str">
        <f>"30733"</f>
        <v>30733</v>
      </c>
      <c r="C221" s="1">
        <v>3.5193644488579902E-2</v>
      </c>
      <c r="D221" s="1">
        <v>9.8463962189838505E-3</v>
      </c>
      <c r="E221" s="1">
        <v>3.07219662058371E-3</v>
      </c>
      <c r="F221" s="1">
        <v>3.2187555085492599E-2</v>
      </c>
    </row>
    <row r="222" spans="1:6" x14ac:dyDescent="0.25">
      <c r="A222" s="2" t="str">
        <f t="shared" si="9"/>
        <v>15660</v>
      </c>
      <c r="B222" s="2" t="str">
        <f>"30171"</f>
        <v>30171</v>
      </c>
      <c r="C222" s="1">
        <v>7.9841112214498501E-3</v>
      </c>
      <c r="D222" s="1">
        <v>3.9385584875935401E-4</v>
      </c>
      <c r="E222" s="1">
        <v>1.53609831029185E-3</v>
      </c>
      <c r="F222" s="1">
        <v>7.15670720958928E-3</v>
      </c>
    </row>
    <row r="223" spans="1:6" x14ac:dyDescent="0.25">
      <c r="A223" s="2" t="str">
        <f t="shared" si="9"/>
        <v>15660</v>
      </c>
      <c r="B223" s="2" t="str">
        <f>"30732"</f>
        <v>30732</v>
      </c>
      <c r="C223" s="1">
        <v>0</v>
      </c>
      <c r="D223" s="1">
        <v>3.9385584875935401E-4</v>
      </c>
      <c r="E223" s="1">
        <v>0</v>
      </c>
      <c r="F223" s="1">
        <v>3.5254715318173799E-5</v>
      </c>
    </row>
    <row r="224" spans="1:6" x14ac:dyDescent="0.25">
      <c r="A224" s="2" t="str">
        <f t="shared" si="9"/>
        <v>15660</v>
      </c>
      <c r="B224" s="2" t="str">
        <f>"30703"</f>
        <v>30703</v>
      </c>
      <c r="C224" s="1">
        <v>5.5888778550148899E-2</v>
      </c>
      <c r="D224" s="1">
        <v>0.16581331232768801</v>
      </c>
      <c r="E224" s="1">
        <v>1.53609831029185E-3</v>
      </c>
      <c r="F224" s="1">
        <v>6.4480874316939801E-2</v>
      </c>
    </row>
    <row r="225" spans="1:6" x14ac:dyDescent="0.25">
      <c r="A225" s="2" t="str">
        <f t="shared" ref="A225:A233" si="10">"47080"</f>
        <v>47080</v>
      </c>
      <c r="B225" s="2" t="str">
        <f>"30474"</f>
        <v>30474</v>
      </c>
      <c r="C225" s="1">
        <v>0.470679189096323</v>
      </c>
      <c r="D225" s="1">
        <v>0.65894614939200902</v>
      </c>
      <c r="E225" s="1">
        <v>0.50947867298578098</v>
      </c>
      <c r="F225" s="1">
        <v>0.48809341695986902</v>
      </c>
    </row>
    <row r="226" spans="1:6" x14ac:dyDescent="0.25">
      <c r="A226" s="2" t="str">
        <f t="shared" si="10"/>
        <v>47080</v>
      </c>
      <c r="B226" s="2" t="str">
        <f>"30473"</f>
        <v>30473</v>
      </c>
      <c r="C226" s="1">
        <v>7.8914213721223203E-2</v>
      </c>
      <c r="D226" s="1">
        <v>2.08453966415749E-2</v>
      </c>
      <c r="E226" s="1">
        <v>9.4786729857819895E-3</v>
      </c>
      <c r="F226" s="1">
        <v>7.2306358676253096E-2</v>
      </c>
    </row>
    <row r="227" spans="1:6" x14ac:dyDescent="0.25">
      <c r="A227" s="2" t="str">
        <f t="shared" si="10"/>
        <v>47080</v>
      </c>
      <c r="B227" s="2" t="str">
        <f>"30470"</f>
        <v>30470</v>
      </c>
      <c r="C227" s="1">
        <v>1.96426526171114E-2</v>
      </c>
      <c r="D227" s="1">
        <v>6.3694267515923501E-3</v>
      </c>
      <c r="E227" s="1">
        <v>0</v>
      </c>
      <c r="F227" s="1">
        <v>1.8051093773902401E-2</v>
      </c>
    </row>
    <row r="228" spans="1:6" x14ac:dyDescent="0.25">
      <c r="A228" s="2" t="str">
        <f t="shared" si="10"/>
        <v>47080</v>
      </c>
      <c r="B228" s="2" t="str">
        <f>"30412"</f>
        <v>30412</v>
      </c>
      <c r="C228" s="1">
        <v>0</v>
      </c>
      <c r="D228" s="1">
        <v>5.7903879559930501E-4</v>
      </c>
      <c r="E228" s="1">
        <v>0</v>
      </c>
      <c r="F228" s="1">
        <v>5.0991790321758097E-5</v>
      </c>
    </row>
    <row r="229" spans="1:6" x14ac:dyDescent="0.25">
      <c r="A229" s="2" t="str">
        <f t="shared" si="10"/>
        <v>47080</v>
      </c>
      <c r="B229" s="2" t="str">
        <f>"30410"</f>
        <v>30410</v>
      </c>
      <c r="C229" s="1">
        <v>4.2263200091627498E-2</v>
      </c>
      <c r="D229" s="1">
        <v>1.21598147075854E-2</v>
      </c>
      <c r="E229" s="1">
        <v>9.4786729857819895E-3</v>
      </c>
      <c r="F229" s="1">
        <v>3.89067360155015E-2</v>
      </c>
    </row>
    <row r="230" spans="1:6" x14ac:dyDescent="0.25">
      <c r="A230" s="2" t="str">
        <f t="shared" si="10"/>
        <v>47080</v>
      </c>
      <c r="B230" s="2" t="str">
        <f>"30436"</f>
        <v>30436</v>
      </c>
      <c r="C230" s="1">
        <v>0.31645859580803998</v>
      </c>
      <c r="D230" s="1">
        <v>0.27562246670526902</v>
      </c>
      <c r="E230" s="1">
        <v>0.428909952606635</v>
      </c>
      <c r="F230" s="1">
        <v>0.31528223955943002</v>
      </c>
    </row>
    <row r="231" spans="1:6" x14ac:dyDescent="0.25">
      <c r="A231" s="2" t="str">
        <f t="shared" si="10"/>
        <v>47080</v>
      </c>
      <c r="B231" s="2" t="str">
        <f>"30457"</f>
        <v>30457</v>
      </c>
      <c r="C231" s="1">
        <v>2.0043523078685098E-3</v>
      </c>
      <c r="D231" s="1">
        <v>0</v>
      </c>
      <c r="E231" s="1">
        <v>0</v>
      </c>
      <c r="F231" s="1">
        <v>1.7847126612615301E-3</v>
      </c>
    </row>
    <row r="232" spans="1:6" x14ac:dyDescent="0.25">
      <c r="A232" s="2" t="str">
        <f t="shared" si="10"/>
        <v>47080</v>
      </c>
      <c r="B232" s="2" t="str">
        <f>"30453"</f>
        <v>30453</v>
      </c>
      <c r="C232" s="1">
        <v>2.8633604398121601E-4</v>
      </c>
      <c r="D232" s="1">
        <v>0</v>
      </c>
      <c r="E232" s="1">
        <v>0</v>
      </c>
      <c r="F232" s="1">
        <v>2.5495895160878998E-4</v>
      </c>
    </row>
    <row r="233" spans="1:6" x14ac:dyDescent="0.25">
      <c r="A233" s="2" t="str">
        <f t="shared" si="10"/>
        <v>47080</v>
      </c>
      <c r="B233" s="2" t="str">
        <f>"30445"</f>
        <v>30445</v>
      </c>
      <c r="C233" s="1">
        <v>6.9751460313824301E-2</v>
      </c>
      <c r="D233" s="1">
        <v>2.54777070063694E-2</v>
      </c>
      <c r="E233" s="1">
        <v>4.2654028436018898E-2</v>
      </c>
      <c r="F233" s="1">
        <v>6.5269491611850403E-2</v>
      </c>
    </row>
    <row r="234" spans="1:6" x14ac:dyDescent="0.25">
      <c r="A234" s="2" t="str">
        <f t="shared" ref="A234:A265" si="11">"42340"</f>
        <v>42340</v>
      </c>
      <c r="B234" s="2" t="str">
        <f>"31409"</f>
        <v>31409</v>
      </c>
      <c r="C234" s="1">
        <v>4.18841588875567E-4</v>
      </c>
      <c r="D234" s="1">
        <v>2.6946254470628501E-2</v>
      </c>
      <c r="E234" s="1">
        <v>6.4090825856070299E-3</v>
      </c>
      <c r="F234" s="1">
        <v>3.0662824207492701E-3</v>
      </c>
    </row>
    <row r="235" spans="1:6" x14ac:dyDescent="0.25">
      <c r="A235" s="2" t="str">
        <f t="shared" si="11"/>
        <v>42340</v>
      </c>
      <c r="B235" s="2" t="str">
        <f>"31324"</f>
        <v>31324</v>
      </c>
      <c r="C235" s="1">
        <v>7.6585184525897396E-2</v>
      </c>
      <c r="D235" s="1">
        <v>6.3152221841163994E-2</v>
      </c>
      <c r="E235" s="1">
        <v>2.74674967954587E-2</v>
      </c>
      <c r="F235" s="1">
        <v>7.4084149855907694E-2</v>
      </c>
    </row>
    <row r="236" spans="1:6" x14ac:dyDescent="0.25">
      <c r="A236" s="2" t="str">
        <f t="shared" si="11"/>
        <v>42340</v>
      </c>
      <c r="B236" s="2" t="str">
        <f>"31415"</f>
        <v>31415</v>
      </c>
      <c r="C236" s="1">
        <v>3.0758679183049399E-2</v>
      </c>
      <c r="D236" s="1">
        <v>3.2482484934593998E-2</v>
      </c>
      <c r="E236" s="1">
        <v>3.2045412928035102E-2</v>
      </c>
      <c r="F236" s="1">
        <v>3.0953314121037401E-2</v>
      </c>
    </row>
    <row r="237" spans="1:6" x14ac:dyDescent="0.25">
      <c r="A237" s="2" t="str">
        <f t="shared" si="11"/>
        <v>42340</v>
      </c>
      <c r="B237" s="2" t="str">
        <f>"31406"</f>
        <v>31406</v>
      </c>
      <c r="C237" s="1">
        <v>8.0930666010481503E-2</v>
      </c>
      <c r="D237" s="1">
        <v>0.130958796727254</v>
      </c>
      <c r="E237" s="1">
        <v>0.12616736861380601</v>
      </c>
      <c r="F237" s="1">
        <v>8.6778097982708899E-2</v>
      </c>
    </row>
    <row r="238" spans="1:6" x14ac:dyDescent="0.25">
      <c r="A238" s="2" t="str">
        <f t="shared" si="11"/>
        <v>42340</v>
      </c>
      <c r="B238" s="2" t="str">
        <f>"31307"</f>
        <v>31307</v>
      </c>
      <c r="C238" s="1">
        <v>0</v>
      </c>
      <c r="D238" s="1">
        <v>9.7986379893194803E-5</v>
      </c>
      <c r="E238" s="1">
        <v>0</v>
      </c>
      <c r="F238" s="1">
        <v>9.2219020172910606E-6</v>
      </c>
    </row>
    <row r="239" spans="1:6" x14ac:dyDescent="0.25">
      <c r="A239" s="2" t="str">
        <f t="shared" si="11"/>
        <v>42340</v>
      </c>
      <c r="B239" s="2" t="str">
        <f>"31419"</f>
        <v>31419</v>
      </c>
      <c r="C239" s="1">
        <v>0.129537232399491</v>
      </c>
      <c r="D239" s="1">
        <v>5.5754250159227803E-2</v>
      </c>
      <c r="E239" s="1">
        <v>5.7132393334554103E-2</v>
      </c>
      <c r="F239" s="1">
        <v>0.120770028818443</v>
      </c>
    </row>
    <row r="240" spans="1:6" x14ac:dyDescent="0.25">
      <c r="A240" s="2" t="str">
        <f t="shared" si="11"/>
        <v>42340</v>
      </c>
      <c r="B240" s="2" t="str">
        <f>"31418"</f>
        <v>31418</v>
      </c>
      <c r="C240" s="1">
        <v>3.9214043758474901E-3</v>
      </c>
      <c r="D240" s="1">
        <v>1.0190583508892201E-2</v>
      </c>
      <c r="E240" s="1">
        <v>3.6623329060611598E-4</v>
      </c>
      <c r="F240" s="1">
        <v>4.4219020172910602E-3</v>
      </c>
    </row>
    <row r="241" spans="1:6" x14ac:dyDescent="0.25">
      <c r="A241" s="2" t="str">
        <f t="shared" si="11"/>
        <v>42340</v>
      </c>
      <c r="B241" s="2" t="str">
        <f>"31411"</f>
        <v>31411</v>
      </c>
      <c r="C241" s="1">
        <v>2.4392287032140799E-2</v>
      </c>
      <c r="D241" s="1">
        <v>5.19327813433932E-3</v>
      </c>
      <c r="E241" s="1">
        <v>6.0428492950009103E-3</v>
      </c>
      <c r="F241" s="1">
        <v>2.2123342939481198E-2</v>
      </c>
    </row>
    <row r="242" spans="1:6" x14ac:dyDescent="0.25">
      <c r="A242" s="2" t="str">
        <f t="shared" si="11"/>
        <v>42340</v>
      </c>
      <c r="B242" s="2" t="str">
        <f>"31321"</f>
        <v>31321</v>
      </c>
      <c r="C242" s="1">
        <v>8.6909629691680201E-3</v>
      </c>
      <c r="D242" s="1">
        <v>2.4986526872764602E-3</v>
      </c>
      <c r="E242" s="1">
        <v>2.0142830983336298E-3</v>
      </c>
      <c r="F242" s="1">
        <v>7.9400576368876003E-3</v>
      </c>
    </row>
    <row r="243" spans="1:6" x14ac:dyDescent="0.25">
      <c r="A243" s="2" t="str">
        <f t="shared" si="11"/>
        <v>42340</v>
      </c>
      <c r="B243" s="2" t="str">
        <f>"31403"</f>
        <v>31403</v>
      </c>
      <c r="C243" s="1">
        <v>5.7224232080124301E-3</v>
      </c>
      <c r="D243" s="1">
        <v>1.40120523247268E-2</v>
      </c>
      <c r="E243" s="1">
        <v>3.6623329060611598E-4</v>
      </c>
      <c r="F243" s="1">
        <v>6.3677233429394802E-3</v>
      </c>
    </row>
    <row r="244" spans="1:6" x14ac:dyDescent="0.25">
      <c r="A244" s="2" t="str">
        <f t="shared" si="11"/>
        <v>42340</v>
      </c>
      <c r="B244" s="2" t="str">
        <f>"31401"</f>
        <v>31401</v>
      </c>
      <c r="C244" s="1">
        <v>6.8030345073114007E-2</v>
      </c>
      <c r="D244" s="1">
        <v>0.135613149772181</v>
      </c>
      <c r="E244" s="1">
        <v>0.29536714887383198</v>
      </c>
      <c r="F244" s="1">
        <v>8.01152737752161E-2</v>
      </c>
    </row>
    <row r="245" spans="1:6" x14ac:dyDescent="0.25">
      <c r="A245" s="2" t="str">
        <f t="shared" si="11"/>
        <v>42340</v>
      </c>
      <c r="B245" s="2" t="str">
        <f>"31312"</f>
        <v>31312</v>
      </c>
      <c r="C245" s="1">
        <v>4.5533316230635099E-2</v>
      </c>
      <c r="D245" s="1">
        <v>5.38925089412571E-3</v>
      </c>
      <c r="E245" s="1">
        <v>1.64804980772752E-3</v>
      </c>
      <c r="F245" s="1">
        <v>4.0650144092219002E-2</v>
      </c>
    </row>
    <row r="246" spans="1:6" x14ac:dyDescent="0.25">
      <c r="A246" s="2" t="str">
        <f t="shared" si="11"/>
        <v>42340</v>
      </c>
      <c r="B246" s="2" t="str">
        <f>"31308"</f>
        <v>31308</v>
      </c>
      <c r="C246" s="1">
        <v>1.44447992963461E-2</v>
      </c>
      <c r="D246" s="1">
        <v>3.7724756258879998E-3</v>
      </c>
      <c r="E246" s="1">
        <v>1.09869987181834E-3</v>
      </c>
      <c r="F246" s="1">
        <v>1.31043227665706E-2</v>
      </c>
    </row>
    <row r="247" spans="1:6" x14ac:dyDescent="0.25">
      <c r="A247" s="2" t="str">
        <f t="shared" si="11"/>
        <v>42340</v>
      </c>
      <c r="B247" s="2" t="str">
        <f>"31416"</f>
        <v>31416</v>
      </c>
      <c r="C247" s="1">
        <v>9.2459280744281499E-3</v>
      </c>
      <c r="D247" s="1">
        <v>3.28254372642202E-2</v>
      </c>
      <c r="E247" s="1">
        <v>3.6623329060611598E-4</v>
      </c>
      <c r="F247" s="1">
        <v>1.12414985590778E-2</v>
      </c>
    </row>
    <row r="248" spans="1:6" x14ac:dyDescent="0.25">
      <c r="A248" s="2" t="str">
        <f t="shared" si="11"/>
        <v>42340</v>
      </c>
      <c r="B248" s="2" t="str">
        <f>"31412"</f>
        <v>31412</v>
      </c>
      <c r="C248" s="1">
        <v>8.0312874666889997E-3</v>
      </c>
      <c r="D248" s="1">
        <v>2.0871098917250499E-2</v>
      </c>
      <c r="E248" s="1">
        <v>3.6623329060611598E-4</v>
      </c>
      <c r="F248" s="1">
        <v>9.04668587896253E-3</v>
      </c>
    </row>
    <row r="249" spans="1:6" x14ac:dyDescent="0.25">
      <c r="A249" s="2" t="str">
        <f t="shared" si="11"/>
        <v>42340</v>
      </c>
      <c r="B249" s="2" t="str">
        <f>"31410"</f>
        <v>31410</v>
      </c>
      <c r="C249" s="1">
        <v>6.05226095925194E-2</v>
      </c>
      <c r="D249" s="1">
        <v>3.3707314683259E-2</v>
      </c>
      <c r="E249" s="1">
        <v>3.0031129829701499E-2</v>
      </c>
      <c r="F249" s="1">
        <v>5.7231123919308298E-2</v>
      </c>
    </row>
    <row r="250" spans="1:6" x14ac:dyDescent="0.25">
      <c r="A250" s="2" t="str">
        <f t="shared" si="11"/>
        <v>42340</v>
      </c>
      <c r="B250" s="2" t="str">
        <f>"31318"</f>
        <v>31318</v>
      </c>
      <c r="C250" s="1">
        <v>0</v>
      </c>
      <c r="D250" s="1">
        <v>4.8993189946597402E-5</v>
      </c>
      <c r="E250" s="1">
        <v>0</v>
      </c>
      <c r="F250" s="1">
        <v>4.6109510086455303E-6</v>
      </c>
    </row>
    <row r="251" spans="1:6" x14ac:dyDescent="0.25">
      <c r="A251" s="2" t="str">
        <f t="shared" si="11"/>
        <v>42340</v>
      </c>
      <c r="B251" s="2" t="str">
        <f>"31322"</f>
        <v>31322</v>
      </c>
      <c r="C251" s="1">
        <v>6.7590561404794594E-2</v>
      </c>
      <c r="D251" s="1">
        <v>7.5743471657439596E-2</v>
      </c>
      <c r="E251" s="1">
        <v>3.8271378868339097E-2</v>
      </c>
      <c r="F251" s="1">
        <v>6.7619596541786703E-2</v>
      </c>
    </row>
    <row r="252" spans="1:6" x14ac:dyDescent="0.25">
      <c r="A252" s="2" t="str">
        <f t="shared" si="11"/>
        <v>42340</v>
      </c>
      <c r="B252" s="2" t="str">
        <f>"31328"</f>
        <v>31328</v>
      </c>
      <c r="C252" s="1">
        <v>8.8742061643010805E-3</v>
      </c>
      <c r="D252" s="1">
        <v>1.7147616481309001E-3</v>
      </c>
      <c r="E252" s="1">
        <v>1.8128547885002701E-2</v>
      </c>
      <c r="F252" s="1">
        <v>8.43342939481268E-3</v>
      </c>
    </row>
    <row r="253" spans="1:6" x14ac:dyDescent="0.25">
      <c r="A253" s="2" t="str">
        <f t="shared" si="11"/>
        <v>42340</v>
      </c>
      <c r="B253" s="2" t="str">
        <f>"31326"</f>
        <v>31326</v>
      </c>
      <c r="C253" s="1">
        <v>4.9224357732600997E-2</v>
      </c>
      <c r="D253" s="1">
        <v>2.9493900347851602E-2</v>
      </c>
      <c r="E253" s="1">
        <v>3.3693462735762597E-2</v>
      </c>
      <c r="F253" s="1">
        <v>4.6976368876080601E-2</v>
      </c>
    </row>
    <row r="254" spans="1:6" x14ac:dyDescent="0.25">
      <c r="A254" s="2" t="str">
        <f t="shared" si="11"/>
        <v>42340</v>
      </c>
      <c r="B254" s="2" t="str">
        <f>"31302"</f>
        <v>31302</v>
      </c>
      <c r="C254" s="1">
        <v>2.19682413365235E-2</v>
      </c>
      <c r="D254" s="1">
        <v>1.26402430062221E-2</v>
      </c>
      <c r="E254" s="1">
        <v>7.8740157480314907E-3</v>
      </c>
      <c r="F254" s="1">
        <v>2.07354466858789E-2</v>
      </c>
    </row>
    <row r="255" spans="1:6" x14ac:dyDescent="0.25">
      <c r="A255" s="2" t="str">
        <f t="shared" si="11"/>
        <v>42340</v>
      </c>
      <c r="B255" s="2" t="str">
        <f>"31408"</f>
        <v>31408</v>
      </c>
      <c r="C255" s="1">
        <v>2.38006732878541E-2</v>
      </c>
      <c r="D255" s="1">
        <v>5.9281759835382801E-2</v>
      </c>
      <c r="E255" s="1">
        <v>3.18622962827321E-2</v>
      </c>
      <c r="F255" s="1">
        <v>2.7342939481268001E-2</v>
      </c>
    </row>
    <row r="256" spans="1:6" x14ac:dyDescent="0.25">
      <c r="A256" s="2" t="str">
        <f t="shared" si="11"/>
        <v>42340</v>
      </c>
      <c r="B256" s="2" t="str">
        <f>"31407"</f>
        <v>31407</v>
      </c>
      <c r="C256" s="1">
        <v>5.0491353538949603E-2</v>
      </c>
      <c r="D256" s="1">
        <v>2.4741560923031598E-2</v>
      </c>
      <c r="E256" s="1">
        <v>2.5453213697124999E-2</v>
      </c>
      <c r="F256" s="1">
        <v>4.7437463976945198E-2</v>
      </c>
    </row>
    <row r="257" spans="1:6" x14ac:dyDescent="0.25">
      <c r="A257" s="2" t="str">
        <f t="shared" si="11"/>
        <v>42340</v>
      </c>
      <c r="B257" s="2" t="str">
        <f>"31402"</f>
        <v>31402</v>
      </c>
      <c r="C257" s="1">
        <v>7.1255425307455902E-3</v>
      </c>
      <c r="D257" s="1">
        <v>1.86664053696536E-2</v>
      </c>
      <c r="E257" s="1">
        <v>3.6623329060611598E-4</v>
      </c>
      <c r="F257" s="1">
        <v>8.0414985590778008E-3</v>
      </c>
    </row>
    <row r="258" spans="1:6" x14ac:dyDescent="0.25">
      <c r="A258" s="2" t="str">
        <f t="shared" si="11"/>
        <v>42340</v>
      </c>
      <c r="B258" s="2" t="str">
        <f>"31404"</f>
        <v>31404</v>
      </c>
      <c r="C258" s="1">
        <v>7.4962173369004598E-2</v>
      </c>
      <c r="D258" s="1">
        <v>5.3892508941257099E-2</v>
      </c>
      <c r="E258" s="1">
        <v>9.5770005493499302E-2</v>
      </c>
      <c r="F258" s="1">
        <v>7.3503170028818399E-2</v>
      </c>
    </row>
    <row r="259" spans="1:6" x14ac:dyDescent="0.25">
      <c r="A259" s="2" t="str">
        <f t="shared" si="11"/>
        <v>42340</v>
      </c>
      <c r="B259" s="2" t="str">
        <f>"31329"</f>
        <v>31329</v>
      </c>
      <c r="C259" s="1">
        <v>1.8853107019261399E-2</v>
      </c>
      <c r="D259" s="1">
        <v>1.01415903189456E-2</v>
      </c>
      <c r="E259" s="1">
        <v>6.2259659403039701E-3</v>
      </c>
      <c r="F259" s="1">
        <v>1.77152737752161E-2</v>
      </c>
    </row>
    <row r="260" spans="1:6" x14ac:dyDescent="0.25">
      <c r="A260" s="2" t="str">
        <f t="shared" si="11"/>
        <v>42340</v>
      </c>
      <c r="B260" s="2" t="str">
        <f>"30446"</f>
        <v>30446</v>
      </c>
      <c r="C260" s="1">
        <v>6.6491102233996301E-4</v>
      </c>
      <c r="D260" s="1">
        <v>9.7986379893194803E-5</v>
      </c>
      <c r="E260" s="1">
        <v>0</v>
      </c>
      <c r="F260" s="1">
        <v>5.9481268011527303E-4</v>
      </c>
    </row>
    <row r="261" spans="1:6" x14ac:dyDescent="0.25">
      <c r="A261" s="2" t="str">
        <f t="shared" si="11"/>
        <v>42340</v>
      </c>
      <c r="B261" s="2" t="str">
        <f>"31420"</f>
        <v>31420</v>
      </c>
      <c r="C261" s="1">
        <v>4.062763412093E-3</v>
      </c>
      <c r="D261" s="1">
        <v>1.25422566263289E-2</v>
      </c>
      <c r="E261" s="1">
        <v>3.6623329060611598E-4</v>
      </c>
      <c r="F261" s="1">
        <v>4.7677233429394804E-3</v>
      </c>
    </row>
    <row r="262" spans="1:6" x14ac:dyDescent="0.25">
      <c r="A262" s="2" t="str">
        <f t="shared" si="11"/>
        <v>42340</v>
      </c>
      <c r="B262" s="2" t="str">
        <f>"31405"</f>
        <v>31405</v>
      </c>
      <c r="C262" s="1">
        <v>9.27943540153819E-2</v>
      </c>
      <c r="D262" s="1">
        <v>0.115868894223702</v>
      </c>
      <c r="E262" s="1">
        <v>0.15473356528108401</v>
      </c>
      <c r="F262" s="1">
        <v>9.6525648414985496E-2</v>
      </c>
    </row>
    <row r="263" spans="1:6" x14ac:dyDescent="0.25">
      <c r="A263" s="2" t="str">
        <f t="shared" si="11"/>
        <v>42340</v>
      </c>
      <c r="B263" s="2" t="str">
        <f>"31421"</f>
        <v>31421</v>
      </c>
      <c r="C263" s="1">
        <v>3.1413119165667499E-5</v>
      </c>
      <c r="D263" s="1">
        <v>3.42952329626181E-4</v>
      </c>
      <c r="E263" s="1">
        <v>1.8311664530305799E-4</v>
      </c>
      <c r="F263" s="1">
        <v>6.4553314121037399E-5</v>
      </c>
    </row>
    <row r="264" spans="1:6" x14ac:dyDescent="0.25">
      <c r="A264" s="2" t="str">
        <f t="shared" si="11"/>
        <v>42340</v>
      </c>
      <c r="B264" s="2" t="str">
        <f>"31414"</f>
        <v>31414</v>
      </c>
      <c r="C264" s="1">
        <v>6.8218823788108E-3</v>
      </c>
      <c r="D264" s="1">
        <v>1.0876488168144601E-2</v>
      </c>
      <c r="E264" s="1">
        <v>1.8311664530305799E-4</v>
      </c>
      <c r="F264" s="1">
        <v>7.0363112391930802E-3</v>
      </c>
    </row>
    <row r="265" spans="1:6" x14ac:dyDescent="0.25">
      <c r="A265" s="2" t="str">
        <f t="shared" si="11"/>
        <v>42340</v>
      </c>
      <c r="B265" s="2" t="str">
        <f>"31303"</f>
        <v>31303</v>
      </c>
      <c r="C265" s="1">
        <v>5.9684926414768297E-3</v>
      </c>
      <c r="D265" s="1">
        <v>4.4093870951937602E-4</v>
      </c>
      <c r="E265" s="1">
        <v>0</v>
      </c>
      <c r="F265" s="1">
        <v>5.29798270893371E-3</v>
      </c>
    </row>
    <row r="266" spans="1:6" x14ac:dyDescent="0.25">
      <c r="A266" s="2" t="str">
        <f t="shared" ref="A266:A297" si="12">"10500"</f>
        <v>10500</v>
      </c>
      <c r="B266" s="2" t="str">
        <f>"31789"</f>
        <v>31789</v>
      </c>
      <c r="C266" s="1">
        <v>1.0138492308079301E-2</v>
      </c>
      <c r="D266" s="1">
        <v>1.93631669535283E-3</v>
      </c>
      <c r="E266" s="1">
        <v>5.2130848429558102E-4</v>
      </c>
      <c r="F266" s="1">
        <v>8.5831571090931695E-3</v>
      </c>
    </row>
    <row r="267" spans="1:6" x14ac:dyDescent="0.25">
      <c r="A267" s="2" t="str">
        <f t="shared" si="12"/>
        <v>10500</v>
      </c>
      <c r="B267" s="2" t="str">
        <f>"31768"</f>
        <v>31768</v>
      </c>
      <c r="C267" s="1">
        <v>1.5094529490936899E-4</v>
      </c>
      <c r="D267" s="1">
        <v>0</v>
      </c>
      <c r="E267" s="1">
        <v>0</v>
      </c>
      <c r="F267" s="1">
        <v>1.2439358129120499E-4</v>
      </c>
    </row>
    <row r="268" spans="1:6" x14ac:dyDescent="0.25">
      <c r="A268" s="2" t="str">
        <f t="shared" si="12"/>
        <v>10500</v>
      </c>
      <c r="B268" s="2" t="str">
        <f>"31796"</f>
        <v>31796</v>
      </c>
      <c r="C268" s="1">
        <v>9.9246531402910707E-3</v>
      </c>
      <c r="D268" s="1">
        <v>3.44234079173838E-3</v>
      </c>
      <c r="E268" s="1">
        <v>6.51635605369477E-4</v>
      </c>
      <c r="F268" s="1">
        <v>8.5624248455446299E-3</v>
      </c>
    </row>
    <row r="269" spans="1:6" x14ac:dyDescent="0.25">
      <c r="A269" s="2" t="str">
        <f t="shared" si="12"/>
        <v>10500</v>
      </c>
      <c r="B269" s="2" t="str">
        <f>"31703"</f>
        <v>31703</v>
      </c>
      <c r="C269" s="1">
        <v>1.7899596221336099E-2</v>
      </c>
      <c r="D269" s="1">
        <v>1.53829604130808E-2</v>
      </c>
      <c r="E269" s="1">
        <v>2.6065424214779002E-4</v>
      </c>
      <c r="F269" s="1">
        <v>1.62540946220508E-2</v>
      </c>
    </row>
    <row r="270" spans="1:6" x14ac:dyDescent="0.25">
      <c r="A270" s="2" t="str">
        <f t="shared" si="12"/>
        <v>10500</v>
      </c>
      <c r="B270" s="2" t="str">
        <f>"31705"</f>
        <v>31705</v>
      </c>
      <c r="C270" s="1">
        <v>0.18728537465879999</v>
      </c>
      <c r="D270" s="1">
        <v>0.115533562822719</v>
      </c>
      <c r="E270" s="1">
        <v>0.16395151831096</v>
      </c>
      <c r="F270" s="1">
        <v>0.178515155284653</v>
      </c>
    </row>
    <row r="271" spans="1:6" x14ac:dyDescent="0.25">
      <c r="A271" s="2" t="str">
        <f t="shared" si="12"/>
        <v>10500</v>
      </c>
      <c r="B271" s="2" t="str">
        <f>"39885"</f>
        <v>39885</v>
      </c>
      <c r="C271" s="1">
        <v>0</v>
      </c>
      <c r="D271" s="1">
        <v>1.07573149741824E-4</v>
      </c>
      <c r="E271" s="1">
        <v>0</v>
      </c>
      <c r="F271" s="1">
        <v>1.03661317742671E-5</v>
      </c>
    </row>
    <row r="272" spans="1:6" x14ac:dyDescent="0.25">
      <c r="A272" s="2" t="str">
        <f t="shared" si="12"/>
        <v>10500</v>
      </c>
      <c r="B272" s="2" t="str">
        <f>"39842"</f>
        <v>39842</v>
      </c>
      <c r="C272" s="1">
        <v>5.2126441842035701E-2</v>
      </c>
      <c r="D272" s="1">
        <v>4.2814113597246101E-2</v>
      </c>
      <c r="E272" s="1">
        <v>1.4857291802424E-2</v>
      </c>
      <c r="F272" s="1">
        <v>4.8264709540987598E-2</v>
      </c>
    </row>
    <row r="273" spans="1:6" x14ac:dyDescent="0.25">
      <c r="A273" s="2" t="str">
        <f t="shared" si="12"/>
        <v>10500</v>
      </c>
      <c r="B273" s="2" t="str">
        <f>"31764"</f>
        <v>31764</v>
      </c>
      <c r="C273" s="1">
        <v>4.6541465930389001E-4</v>
      </c>
      <c r="D273" s="1">
        <v>0</v>
      </c>
      <c r="E273" s="1">
        <v>5.2130848429558102E-4</v>
      </c>
      <c r="F273" s="1">
        <v>4.2501140274495098E-4</v>
      </c>
    </row>
    <row r="274" spans="1:6" x14ac:dyDescent="0.25">
      <c r="A274" s="2" t="str">
        <f t="shared" si="12"/>
        <v>10500</v>
      </c>
      <c r="B274" s="2" t="str">
        <f>"31772"</f>
        <v>31772</v>
      </c>
      <c r="C274" s="1">
        <v>3.2830601642787902E-3</v>
      </c>
      <c r="D274" s="1">
        <v>1.5060240963855401E-3</v>
      </c>
      <c r="E274" s="1">
        <v>6.51635605369477E-4</v>
      </c>
      <c r="F274" s="1">
        <v>2.9025168967947899E-3</v>
      </c>
    </row>
    <row r="275" spans="1:6" x14ac:dyDescent="0.25">
      <c r="A275" s="2" t="str">
        <f t="shared" si="12"/>
        <v>10500</v>
      </c>
      <c r="B275" s="2" t="str">
        <f>"31743"</f>
        <v>31743</v>
      </c>
      <c r="C275" s="1">
        <v>8.80514220304657E-4</v>
      </c>
      <c r="D275" s="1">
        <v>0</v>
      </c>
      <c r="E275" s="1">
        <v>2.6065424214779002E-4</v>
      </c>
      <c r="F275" s="1">
        <v>7.46361487747232E-4</v>
      </c>
    </row>
    <row r="276" spans="1:6" x14ac:dyDescent="0.25">
      <c r="A276" s="2" t="str">
        <f t="shared" si="12"/>
        <v>10500</v>
      </c>
      <c r="B276" s="2" t="str">
        <f>"39862"</f>
        <v>39862</v>
      </c>
      <c r="C276" s="1">
        <v>6.2893872878904094E-5</v>
      </c>
      <c r="D276" s="1">
        <v>0</v>
      </c>
      <c r="E276" s="1">
        <v>0</v>
      </c>
      <c r="F276" s="1">
        <v>5.1830658871335498E-5</v>
      </c>
    </row>
    <row r="277" spans="1:6" x14ac:dyDescent="0.25">
      <c r="A277" s="2" t="str">
        <f t="shared" si="12"/>
        <v>10500</v>
      </c>
      <c r="B277" s="2" t="str">
        <f>"31787"</f>
        <v>31787</v>
      </c>
      <c r="C277" s="1">
        <v>8.3900426420458092E-3</v>
      </c>
      <c r="D277" s="1">
        <v>7.5301204819277102E-4</v>
      </c>
      <c r="E277" s="1">
        <v>2.8671966636257002E-3</v>
      </c>
      <c r="F277" s="1">
        <v>7.2148277148899103E-3</v>
      </c>
    </row>
    <row r="278" spans="1:6" x14ac:dyDescent="0.25">
      <c r="A278" s="2" t="str">
        <f t="shared" si="12"/>
        <v>10500</v>
      </c>
      <c r="B278" s="2" t="str">
        <f>"31721"</f>
        <v>31721</v>
      </c>
      <c r="C278" s="1">
        <v>0.11933483440043199</v>
      </c>
      <c r="D278" s="1">
        <v>2.2267641996557602E-2</v>
      </c>
      <c r="E278" s="1">
        <v>0.104131369738042</v>
      </c>
      <c r="F278" s="1">
        <v>0.108771820707384</v>
      </c>
    </row>
    <row r="279" spans="1:6" x14ac:dyDescent="0.25">
      <c r="A279" s="2" t="str">
        <f t="shared" si="12"/>
        <v>10500</v>
      </c>
      <c r="B279" s="2" t="str">
        <f>"31707"</f>
        <v>31707</v>
      </c>
      <c r="C279" s="1">
        <v>0.15398935835670799</v>
      </c>
      <c r="D279" s="1">
        <v>0.21127366609294301</v>
      </c>
      <c r="E279" s="1">
        <v>0.20956601068682301</v>
      </c>
      <c r="F279" s="1">
        <v>0.16393000787826001</v>
      </c>
    </row>
    <row r="280" spans="1:6" x14ac:dyDescent="0.25">
      <c r="A280" s="2" t="str">
        <f t="shared" si="12"/>
        <v>10500</v>
      </c>
      <c r="B280" s="2" t="str">
        <f>"31791"</f>
        <v>31791</v>
      </c>
      <c r="C280" s="1">
        <v>7.4000930829318606E-2</v>
      </c>
      <c r="D280" s="1">
        <v>6.0133390705679801E-2</v>
      </c>
      <c r="E280" s="1">
        <v>2.9714583604848101E-2</v>
      </c>
      <c r="F280" s="1">
        <v>6.9142098934361601E-2</v>
      </c>
    </row>
    <row r="281" spans="1:6" x14ac:dyDescent="0.25">
      <c r="A281" s="2" t="str">
        <f t="shared" si="12"/>
        <v>10500</v>
      </c>
      <c r="B281" s="2" t="str">
        <f>"31708"</f>
        <v>31708</v>
      </c>
      <c r="C281" s="1">
        <v>9.8240229436848195E-3</v>
      </c>
      <c r="D281" s="1">
        <v>6.4651462994836401E-2</v>
      </c>
      <c r="E281" s="1">
        <v>2.6065424214779002E-4</v>
      </c>
      <c r="F281" s="1">
        <v>1.43467263755856E-2</v>
      </c>
    </row>
    <row r="282" spans="1:6" x14ac:dyDescent="0.25">
      <c r="A282" s="2" t="str">
        <f t="shared" si="12"/>
        <v>10500</v>
      </c>
      <c r="B282" s="2" t="str">
        <f>"31782"</f>
        <v>31782</v>
      </c>
      <c r="C282" s="1">
        <v>0</v>
      </c>
      <c r="D282" s="1">
        <v>0</v>
      </c>
      <c r="E282" s="1">
        <v>1.3032712107389501E-4</v>
      </c>
      <c r="F282" s="1">
        <v>1.03661317742671E-5</v>
      </c>
    </row>
    <row r="283" spans="1:6" x14ac:dyDescent="0.25">
      <c r="A283" s="2" t="str">
        <f t="shared" si="12"/>
        <v>10500</v>
      </c>
      <c r="B283" s="2" t="str">
        <f>"31775"</f>
        <v>31775</v>
      </c>
      <c r="C283" s="1">
        <v>1.6352406948515E-3</v>
      </c>
      <c r="D283" s="1">
        <v>1.07573149741824E-4</v>
      </c>
      <c r="E283" s="1">
        <v>0</v>
      </c>
      <c r="F283" s="1">
        <v>1.35796326242899E-3</v>
      </c>
    </row>
    <row r="284" spans="1:6" x14ac:dyDescent="0.25">
      <c r="A284" s="2" t="str">
        <f t="shared" si="12"/>
        <v>10500</v>
      </c>
      <c r="B284" s="2" t="str">
        <f>"31771"</f>
        <v>31771</v>
      </c>
      <c r="C284" s="1">
        <v>4.1509956100076699E-4</v>
      </c>
      <c r="D284" s="1">
        <v>2.1514629948364799E-4</v>
      </c>
      <c r="E284" s="1">
        <v>0</v>
      </c>
      <c r="F284" s="1">
        <v>3.62814612099349E-4</v>
      </c>
    </row>
    <row r="285" spans="1:6" x14ac:dyDescent="0.25">
      <c r="A285" s="2" t="str">
        <f t="shared" si="12"/>
        <v>10500</v>
      </c>
      <c r="B285" s="2" t="str">
        <f>"31714"</f>
        <v>31714</v>
      </c>
      <c r="C285" s="1">
        <v>1.13208971182027E-3</v>
      </c>
      <c r="D285" s="1">
        <v>4.3029259896729702E-4</v>
      </c>
      <c r="E285" s="1">
        <v>0</v>
      </c>
      <c r="F285" s="1">
        <v>9.7441638678110799E-4</v>
      </c>
    </row>
    <row r="286" spans="1:6" x14ac:dyDescent="0.25">
      <c r="A286" s="2" t="str">
        <f t="shared" si="12"/>
        <v>10500</v>
      </c>
      <c r="B286" s="2" t="str">
        <f>"31712"</f>
        <v>31712</v>
      </c>
      <c r="C286" s="1">
        <v>2.0126039321249301E-4</v>
      </c>
      <c r="D286" s="1">
        <v>0</v>
      </c>
      <c r="E286" s="1">
        <v>0</v>
      </c>
      <c r="F286" s="1">
        <v>1.65858108388273E-4</v>
      </c>
    </row>
    <row r="287" spans="1:6" x14ac:dyDescent="0.25">
      <c r="A287" s="2" t="str">
        <f t="shared" si="12"/>
        <v>10500</v>
      </c>
      <c r="B287" s="2" t="str">
        <f>"31744"</f>
        <v>31744</v>
      </c>
      <c r="C287" s="1">
        <v>6.13844199298104E-3</v>
      </c>
      <c r="D287" s="1">
        <v>1.07573149741824E-3</v>
      </c>
      <c r="E287" s="1">
        <v>0</v>
      </c>
      <c r="F287" s="1">
        <v>5.1623336235850203E-3</v>
      </c>
    </row>
    <row r="288" spans="1:6" x14ac:dyDescent="0.25">
      <c r="A288" s="2" t="str">
        <f t="shared" si="12"/>
        <v>10500</v>
      </c>
      <c r="B288" s="2" t="str">
        <f>"31706"</f>
        <v>31706</v>
      </c>
      <c r="C288" s="1">
        <v>1.69813456773041E-2</v>
      </c>
      <c r="D288" s="1">
        <v>3.86187607573149E-2</v>
      </c>
      <c r="E288" s="1">
        <v>2.6065424214779002E-4</v>
      </c>
      <c r="F288" s="1">
        <v>1.7736451465770998E-2</v>
      </c>
    </row>
    <row r="289" spans="1:6" x14ac:dyDescent="0.25">
      <c r="A289" s="2" t="str">
        <f t="shared" si="12"/>
        <v>10500</v>
      </c>
      <c r="B289" s="2" t="str">
        <f>"31701"</f>
        <v>31701</v>
      </c>
      <c r="C289" s="1">
        <v>0.13247965383212301</v>
      </c>
      <c r="D289" s="1">
        <v>0.27893717728055001</v>
      </c>
      <c r="E289" s="1">
        <v>0.28658933924149599</v>
      </c>
      <c r="F289" s="1">
        <v>0.15885060330886899</v>
      </c>
    </row>
    <row r="290" spans="1:6" x14ac:dyDescent="0.25">
      <c r="A290" s="2" t="str">
        <f t="shared" si="12"/>
        <v>10500</v>
      </c>
      <c r="B290" s="2" t="str">
        <f>"39877"</f>
        <v>39877</v>
      </c>
      <c r="C290" s="1">
        <v>1.69813456773041E-3</v>
      </c>
      <c r="D290" s="1">
        <v>6.4543889845094604E-4</v>
      </c>
      <c r="E290" s="1">
        <v>0</v>
      </c>
      <c r="F290" s="1">
        <v>1.46162458017166E-3</v>
      </c>
    </row>
    <row r="291" spans="1:6" x14ac:dyDescent="0.25">
      <c r="A291" s="2" t="str">
        <f t="shared" si="12"/>
        <v>10500</v>
      </c>
      <c r="B291" s="2" t="str">
        <f>"39826"</f>
        <v>39826</v>
      </c>
      <c r="C291" s="1">
        <v>3.2956389388545701E-3</v>
      </c>
      <c r="D291" s="1">
        <v>4.3029259896729702E-4</v>
      </c>
      <c r="E291" s="1">
        <v>2.6065424214779002E-4</v>
      </c>
      <c r="F291" s="1">
        <v>2.7781233155035798E-3</v>
      </c>
    </row>
    <row r="292" spans="1:6" x14ac:dyDescent="0.25">
      <c r="A292" s="2" t="str">
        <f t="shared" si="12"/>
        <v>10500</v>
      </c>
      <c r="B292" s="2" t="str">
        <f>"31781"</f>
        <v>31781</v>
      </c>
      <c r="C292" s="1">
        <v>1.0868061233474601E-2</v>
      </c>
      <c r="D292" s="1">
        <v>4.3029259896729703E-3</v>
      </c>
      <c r="E292" s="1">
        <v>6.51635605369477E-4</v>
      </c>
      <c r="F292" s="1">
        <v>9.4228137828088008E-3</v>
      </c>
    </row>
    <row r="293" spans="1:6" x14ac:dyDescent="0.25">
      <c r="A293" s="2" t="str">
        <f t="shared" si="12"/>
        <v>10500</v>
      </c>
      <c r="B293" s="2" t="str">
        <f>"31795"</f>
        <v>31795</v>
      </c>
      <c r="C293" s="1">
        <v>4.5409376218568699E-3</v>
      </c>
      <c r="D293" s="1">
        <v>1.18330464716006E-3</v>
      </c>
      <c r="E293" s="1">
        <v>1.0426169685911601E-3</v>
      </c>
      <c r="F293" s="1">
        <v>3.9391300742215004E-3</v>
      </c>
    </row>
    <row r="294" spans="1:6" x14ac:dyDescent="0.25">
      <c r="A294" s="2" t="str">
        <f t="shared" si="12"/>
        <v>10500</v>
      </c>
      <c r="B294" s="2" t="str">
        <f>"31704"</f>
        <v>31704</v>
      </c>
      <c r="C294" s="1">
        <v>0</v>
      </c>
      <c r="D294" s="1">
        <v>2.1514629948364799E-4</v>
      </c>
      <c r="E294" s="1">
        <v>9.2532255962465698E-2</v>
      </c>
      <c r="F294" s="1">
        <v>7.3806858232781797E-3</v>
      </c>
    </row>
    <row r="295" spans="1:6" x14ac:dyDescent="0.25">
      <c r="A295" s="2" t="str">
        <f t="shared" si="12"/>
        <v>10500</v>
      </c>
      <c r="B295" s="2" t="str">
        <f>"39886"</f>
        <v>39886</v>
      </c>
      <c r="C295" s="1">
        <v>4.6541465930389001E-4</v>
      </c>
      <c r="D295" s="1">
        <v>1.07573149741824E-4</v>
      </c>
      <c r="E295" s="1">
        <v>0</v>
      </c>
      <c r="F295" s="1">
        <v>3.9391300742214999E-4</v>
      </c>
    </row>
    <row r="296" spans="1:6" x14ac:dyDescent="0.25">
      <c r="A296" s="2" t="str">
        <f t="shared" si="12"/>
        <v>10500</v>
      </c>
      <c r="B296" s="2" t="str">
        <f>"31763"</f>
        <v>31763</v>
      </c>
      <c r="C296" s="1">
        <v>0.157926514798928</v>
      </c>
      <c r="D296" s="1">
        <v>8.2831325301204795E-2</v>
      </c>
      <c r="E296" s="1">
        <v>9.0056040662061701E-2</v>
      </c>
      <c r="F296" s="1">
        <v>0.14529170294812699</v>
      </c>
    </row>
    <row r="297" spans="1:6" x14ac:dyDescent="0.25">
      <c r="A297" s="2" t="str">
        <f t="shared" si="12"/>
        <v>10500</v>
      </c>
      <c r="B297" s="2" t="str">
        <f>"31702"</f>
        <v>31702</v>
      </c>
      <c r="C297" s="1">
        <v>1.4465590762147901E-2</v>
      </c>
      <c r="D297" s="1">
        <v>5.1097246127366602E-2</v>
      </c>
      <c r="E297" s="1">
        <v>2.6065424214779002E-4</v>
      </c>
      <c r="F297" s="1">
        <v>1.68656963967325E-2</v>
      </c>
    </row>
    <row r="298" spans="1:6" x14ac:dyDescent="0.25">
      <c r="A298" s="2" t="str">
        <f t="shared" ref="A298:A342" si="13">"23540"</f>
        <v>23540</v>
      </c>
      <c r="B298" s="2" t="str">
        <f>"34498"</f>
        <v>34498</v>
      </c>
      <c r="C298" s="1">
        <v>3.1409548263816298E-3</v>
      </c>
      <c r="D298" s="1">
        <v>1.71583184847884E-3</v>
      </c>
      <c r="E298" s="1">
        <v>0</v>
      </c>
      <c r="F298" s="1">
        <v>2.9280557603662098E-3</v>
      </c>
    </row>
    <row r="299" spans="1:6" x14ac:dyDescent="0.25">
      <c r="A299" s="2" t="str">
        <f t="shared" si="13"/>
        <v>23540</v>
      </c>
      <c r="B299" s="2" t="str">
        <f>"32611"</f>
        <v>32611</v>
      </c>
      <c r="C299" s="1">
        <v>0</v>
      </c>
      <c r="D299" s="1">
        <v>6.59935326338018E-5</v>
      </c>
      <c r="E299" s="1">
        <v>1.6940538709130901E-4</v>
      </c>
      <c r="F299" s="1">
        <v>1.06088976824863E-5</v>
      </c>
    </row>
    <row r="300" spans="1:6" x14ac:dyDescent="0.25">
      <c r="A300" s="2" t="str">
        <f t="shared" si="13"/>
        <v>23540</v>
      </c>
      <c r="B300" s="2" t="str">
        <f>"32605"</f>
        <v>32605</v>
      </c>
      <c r="C300" s="1">
        <v>6.8581494640671106E-2</v>
      </c>
      <c r="D300" s="1">
        <v>6.2825843067379303E-2</v>
      </c>
      <c r="E300" s="1">
        <v>3.7607995934270701E-2</v>
      </c>
      <c r="F300" s="1">
        <v>6.7149017881296999E-2</v>
      </c>
    </row>
    <row r="301" spans="1:6" x14ac:dyDescent="0.25">
      <c r="A301" s="2" t="str">
        <f t="shared" si="13"/>
        <v>23540</v>
      </c>
      <c r="B301" s="2" t="str">
        <f>"32662"</f>
        <v>32662</v>
      </c>
      <c r="C301" s="1">
        <v>0</v>
      </c>
      <c r="D301" s="1">
        <v>0</v>
      </c>
      <c r="E301" s="1">
        <v>3.3881077418261899E-4</v>
      </c>
      <c r="F301" s="1">
        <v>1.06088976824863E-5</v>
      </c>
    </row>
    <row r="302" spans="1:6" x14ac:dyDescent="0.25">
      <c r="A302" s="2" t="str">
        <f t="shared" si="13"/>
        <v>23540</v>
      </c>
      <c r="B302" s="2" t="str">
        <f>"32667"</f>
        <v>32667</v>
      </c>
      <c r="C302" s="1">
        <v>6.8551637655629499E-3</v>
      </c>
      <c r="D302" s="1">
        <v>4.7515343496337299E-3</v>
      </c>
      <c r="E302" s="1">
        <v>1.3552430967304701E-3</v>
      </c>
      <c r="F302" s="1">
        <v>6.5138631770465796E-3</v>
      </c>
    </row>
    <row r="303" spans="1:6" x14ac:dyDescent="0.25">
      <c r="A303" s="2" t="str">
        <f t="shared" si="13"/>
        <v>23540</v>
      </c>
      <c r="B303" s="2" t="str">
        <f>"32627"</f>
        <v>32627</v>
      </c>
      <c r="C303" s="1">
        <v>3.6306093810647001E-3</v>
      </c>
      <c r="D303" s="1">
        <v>1.6894344354253198E-2</v>
      </c>
      <c r="E303" s="1">
        <v>3.3881077418261899E-4</v>
      </c>
      <c r="F303" s="1">
        <v>4.5936526965165599E-3</v>
      </c>
    </row>
    <row r="304" spans="1:6" x14ac:dyDescent="0.25">
      <c r="A304" s="2" t="str">
        <f t="shared" si="13"/>
        <v>23540</v>
      </c>
      <c r="B304" s="2" t="str">
        <f>"32609"</f>
        <v>32609</v>
      </c>
      <c r="C304" s="1">
        <v>4.9819365240498001E-2</v>
      </c>
      <c r="D304" s="1">
        <v>0.111529070151125</v>
      </c>
      <c r="E304" s="1">
        <v>7.0642046417075999E-2</v>
      </c>
      <c r="F304" s="1">
        <v>5.5431490390990899E-2</v>
      </c>
    </row>
    <row r="305" spans="1:6" x14ac:dyDescent="0.25">
      <c r="A305" s="2" t="str">
        <f t="shared" si="13"/>
        <v>23540</v>
      </c>
      <c r="B305" s="2" t="str">
        <f>"32644"</f>
        <v>32644</v>
      </c>
      <c r="C305" s="1">
        <v>1.47314364195503E-2</v>
      </c>
      <c r="D305" s="1">
        <v>1.0294991090873E-2</v>
      </c>
      <c r="E305" s="1">
        <v>3.3881077418261899E-4</v>
      </c>
      <c r="F305" s="1">
        <v>1.3924178208263201E-2</v>
      </c>
    </row>
    <row r="306" spans="1:6" x14ac:dyDescent="0.25">
      <c r="A306" s="2" t="str">
        <f t="shared" si="13"/>
        <v>23540</v>
      </c>
      <c r="B306" s="2" t="str">
        <f>"32654"</f>
        <v>32654</v>
      </c>
      <c r="C306" s="1">
        <v>0</v>
      </c>
      <c r="D306" s="1">
        <v>0</v>
      </c>
      <c r="E306" s="1">
        <v>3.3881077418261899E-4</v>
      </c>
      <c r="F306" s="1">
        <v>1.06088976824863E-5</v>
      </c>
    </row>
    <row r="307" spans="1:6" x14ac:dyDescent="0.25">
      <c r="A307" s="2" t="str">
        <f t="shared" si="13"/>
        <v>23540</v>
      </c>
      <c r="B307" s="2" t="str">
        <f>"32694"</f>
        <v>32694</v>
      </c>
      <c r="C307" s="1">
        <v>4.9323739288806602E-3</v>
      </c>
      <c r="D307" s="1">
        <v>2.9037154358872801E-3</v>
      </c>
      <c r="E307" s="1">
        <v>2.5410808063696401E-3</v>
      </c>
      <c r="F307" s="1">
        <v>4.6944372245001798E-3</v>
      </c>
    </row>
    <row r="308" spans="1:6" x14ac:dyDescent="0.25">
      <c r="A308" s="2" t="str">
        <f t="shared" si="13"/>
        <v>23540</v>
      </c>
      <c r="B308" s="2" t="str">
        <f>"32603"</f>
        <v>32603</v>
      </c>
      <c r="C308" s="1">
        <v>1.6827396769474201E-2</v>
      </c>
      <c r="D308" s="1">
        <v>1.28687388635913E-2</v>
      </c>
      <c r="E308" s="1">
        <v>5.9630696256140897E-2</v>
      </c>
      <c r="F308" s="1">
        <v>1.78494703507832E-2</v>
      </c>
    </row>
    <row r="309" spans="1:6" x14ac:dyDescent="0.25">
      <c r="A309" s="2" t="str">
        <f t="shared" si="13"/>
        <v>23540</v>
      </c>
      <c r="B309" s="2" t="str">
        <f>"32635"</f>
        <v>32635</v>
      </c>
      <c r="C309" s="1">
        <v>6.06693936046338E-3</v>
      </c>
      <c r="D309" s="1">
        <v>3.5042565828548797E-2</v>
      </c>
      <c r="E309" s="1">
        <v>3.3881077418261899E-4</v>
      </c>
      <c r="F309" s="1">
        <v>8.2165912550856406E-3</v>
      </c>
    </row>
    <row r="310" spans="1:6" x14ac:dyDescent="0.25">
      <c r="A310" s="2" t="str">
        <f t="shared" si="13"/>
        <v>23540</v>
      </c>
      <c r="B310" s="2" t="str">
        <f>"32601"</f>
        <v>32601</v>
      </c>
      <c r="C310" s="1">
        <v>5.65969008449526E-2</v>
      </c>
      <c r="D310" s="1">
        <v>0.13244901999604</v>
      </c>
      <c r="E310" s="1">
        <v>0.16821954938167</v>
      </c>
      <c r="F310" s="1">
        <v>6.6188912641031994E-2</v>
      </c>
    </row>
    <row r="311" spans="1:6" x14ac:dyDescent="0.25">
      <c r="A311" s="2" t="str">
        <f t="shared" si="13"/>
        <v>23540</v>
      </c>
      <c r="B311" s="2" t="str">
        <f>"32633"</f>
        <v>32633</v>
      </c>
      <c r="C311" s="1">
        <v>0</v>
      </c>
      <c r="D311" s="1">
        <v>0</v>
      </c>
      <c r="E311" s="1">
        <v>1.6940538709130901E-4</v>
      </c>
      <c r="F311" s="1">
        <v>5.3044488412431501E-6</v>
      </c>
    </row>
    <row r="312" spans="1:6" x14ac:dyDescent="0.25">
      <c r="A312" s="2" t="str">
        <f t="shared" si="13"/>
        <v>23540</v>
      </c>
      <c r="B312" s="2" t="str">
        <f>"32639"</f>
        <v>32639</v>
      </c>
      <c r="C312" s="1">
        <v>0</v>
      </c>
      <c r="D312" s="1">
        <v>0</v>
      </c>
      <c r="E312" s="1">
        <v>1.6940538709130901E-4</v>
      </c>
      <c r="F312" s="1">
        <v>5.3044488412431501E-6</v>
      </c>
    </row>
    <row r="313" spans="1:6" x14ac:dyDescent="0.25">
      <c r="A313" s="2" t="str">
        <f t="shared" si="13"/>
        <v>23540</v>
      </c>
      <c r="B313" s="2" t="str">
        <f>"34431"</f>
        <v>34431</v>
      </c>
      <c r="C313" s="1">
        <v>2.6990714477651999E-3</v>
      </c>
      <c r="D313" s="1">
        <v>5.2794826107041505E-4</v>
      </c>
      <c r="E313" s="1">
        <v>5.0821616127392805E-4</v>
      </c>
      <c r="F313" s="1">
        <v>2.4559598134955701E-3</v>
      </c>
    </row>
    <row r="314" spans="1:6" x14ac:dyDescent="0.25">
      <c r="A314" s="2" t="str">
        <f t="shared" si="13"/>
        <v>23540</v>
      </c>
      <c r="B314" s="2" t="str">
        <f>"32610"</f>
        <v>32610</v>
      </c>
      <c r="C314" s="1">
        <v>0</v>
      </c>
      <c r="D314" s="1">
        <v>1.9798059790140501E-4</v>
      </c>
      <c r="E314" s="1">
        <v>0</v>
      </c>
      <c r="F314" s="1">
        <v>1.59133465237294E-5</v>
      </c>
    </row>
    <row r="315" spans="1:6" x14ac:dyDescent="0.25">
      <c r="A315" s="2" t="str">
        <f t="shared" si="13"/>
        <v>23540</v>
      </c>
      <c r="B315" s="2" t="str">
        <f>"32626"</f>
        <v>32626</v>
      </c>
      <c r="C315" s="1">
        <v>2.82327650553847E-2</v>
      </c>
      <c r="D315" s="1">
        <v>3.7286345938098001E-2</v>
      </c>
      <c r="E315" s="1">
        <v>4.9127562256479698E-3</v>
      </c>
      <c r="F315" s="1">
        <v>2.8230276733095999E-2</v>
      </c>
    </row>
    <row r="316" spans="1:6" x14ac:dyDescent="0.25">
      <c r="A316" s="2" t="str">
        <f t="shared" si="13"/>
        <v>23540</v>
      </c>
      <c r="B316" s="2" t="str">
        <f>"32008"</f>
        <v>32008</v>
      </c>
      <c r="C316" s="1">
        <v>4.17997790583106E-3</v>
      </c>
      <c r="D316" s="1">
        <v>8.5791592423942404E-4</v>
      </c>
      <c r="E316" s="1">
        <v>0</v>
      </c>
      <c r="F316" s="1">
        <v>3.7820720238063601E-3</v>
      </c>
    </row>
    <row r="317" spans="1:6" x14ac:dyDescent="0.25">
      <c r="A317" s="2" t="str">
        <f t="shared" si="13"/>
        <v>23540</v>
      </c>
      <c r="B317" s="2" t="str">
        <f>"32614"</f>
        <v>32614</v>
      </c>
      <c r="C317" s="1">
        <v>1.0700743438927501E-2</v>
      </c>
      <c r="D317" s="1">
        <v>2.3295717019732001E-2</v>
      </c>
      <c r="E317" s="1">
        <v>3.3881077418261899E-4</v>
      </c>
      <c r="F317" s="1">
        <v>1.1388651662149E-2</v>
      </c>
    </row>
    <row r="318" spans="1:6" x14ac:dyDescent="0.25">
      <c r="A318" s="2" t="str">
        <f t="shared" si="13"/>
        <v>23540</v>
      </c>
      <c r="B318" s="2" t="str">
        <f>"32606"</f>
        <v>32606</v>
      </c>
      <c r="C318" s="1">
        <v>6.9489146985937306E-2</v>
      </c>
      <c r="D318" s="1">
        <v>7.9588200356365005E-2</v>
      </c>
      <c r="E318" s="1">
        <v>7.80958834490936E-2</v>
      </c>
      <c r="F318" s="1">
        <v>7.05703873838988E-2</v>
      </c>
    </row>
    <row r="319" spans="1:6" x14ac:dyDescent="0.25">
      <c r="A319" s="2" t="str">
        <f t="shared" si="13"/>
        <v>23540</v>
      </c>
      <c r="B319" s="2" t="str">
        <f>"32669"</f>
        <v>32669</v>
      </c>
      <c r="C319" s="1">
        <v>4.9622309139223102E-2</v>
      </c>
      <c r="D319" s="1">
        <v>3.7550320068633201E-2</v>
      </c>
      <c r="E319" s="1">
        <v>3.0492969676435701E-2</v>
      </c>
      <c r="F319" s="1">
        <v>4.8053002052821703E-2</v>
      </c>
    </row>
    <row r="320" spans="1:6" x14ac:dyDescent="0.25">
      <c r="A320" s="2" t="str">
        <f t="shared" si="13"/>
        <v>23540</v>
      </c>
      <c r="B320" s="2" t="str">
        <f>"32653"</f>
        <v>32653</v>
      </c>
      <c r="C320" s="1">
        <v>4.1304153106619203E-2</v>
      </c>
      <c r="D320" s="1">
        <v>3.8276248927604999E-2</v>
      </c>
      <c r="E320" s="1">
        <v>3.2356428934440101E-2</v>
      </c>
      <c r="F320" s="1">
        <v>4.0780602691477298E-2</v>
      </c>
    </row>
    <row r="321" spans="1:6" x14ac:dyDescent="0.25">
      <c r="A321" s="2" t="str">
        <f t="shared" si="13"/>
        <v>23540</v>
      </c>
      <c r="B321" s="2" t="str">
        <f>"32696"</f>
        <v>32696</v>
      </c>
      <c r="C321" s="1">
        <v>3.4305675812856401E-2</v>
      </c>
      <c r="D321" s="1">
        <v>2.8113244901999599E-2</v>
      </c>
      <c r="E321" s="1">
        <v>1.40606471285786E-2</v>
      </c>
      <c r="F321" s="1">
        <v>3.3174023053134598E-2</v>
      </c>
    </row>
    <row r="322" spans="1:6" x14ac:dyDescent="0.25">
      <c r="A322" s="2" t="str">
        <f t="shared" si="13"/>
        <v>23540</v>
      </c>
      <c r="B322" s="2" t="str">
        <f>"32619"</f>
        <v>32619</v>
      </c>
      <c r="C322" s="1">
        <v>1.5179291195175099E-2</v>
      </c>
      <c r="D322" s="1">
        <v>6.13739853494357E-3</v>
      </c>
      <c r="E322" s="1">
        <v>3.2187023547348799E-3</v>
      </c>
      <c r="F322" s="1">
        <v>1.40780072246593E-2</v>
      </c>
    </row>
    <row r="323" spans="1:6" x14ac:dyDescent="0.25">
      <c r="A323" s="2" t="str">
        <f t="shared" si="13"/>
        <v>23540</v>
      </c>
      <c r="B323" s="2" t="str">
        <f>"32625"</f>
        <v>32625</v>
      </c>
      <c r="C323" s="1">
        <v>4.2277490818976998E-3</v>
      </c>
      <c r="D323" s="1">
        <v>1.71583184847884E-3</v>
      </c>
      <c r="E323" s="1">
        <v>1.6940538709130901E-4</v>
      </c>
      <c r="F323" s="1">
        <v>3.8987698983137102E-3</v>
      </c>
    </row>
    <row r="324" spans="1:6" x14ac:dyDescent="0.25">
      <c r="A324" s="2" t="str">
        <f t="shared" si="13"/>
        <v>23540</v>
      </c>
      <c r="B324" s="2" t="str">
        <f>"32612"</f>
        <v>32612</v>
      </c>
      <c r="C324" s="1">
        <v>0</v>
      </c>
      <c r="D324" s="1">
        <v>6.59935326338018E-5</v>
      </c>
      <c r="E324" s="1">
        <v>1.6940538709130901E-4</v>
      </c>
      <c r="F324" s="1">
        <v>1.06088976824863E-5</v>
      </c>
    </row>
    <row r="325" spans="1:6" x14ac:dyDescent="0.25">
      <c r="A325" s="2" t="str">
        <f t="shared" si="13"/>
        <v>23540</v>
      </c>
      <c r="B325" s="2" t="str">
        <f>"32658"</f>
        <v>32658</v>
      </c>
      <c r="C325" s="1">
        <v>0</v>
      </c>
      <c r="D325" s="1">
        <v>0</v>
      </c>
      <c r="E325" s="1">
        <v>1.6940538709130901E-4</v>
      </c>
      <c r="F325" s="1">
        <v>5.3044488412431501E-6</v>
      </c>
    </row>
    <row r="326" spans="1:6" x14ac:dyDescent="0.25">
      <c r="A326" s="2" t="str">
        <f t="shared" si="13"/>
        <v>23540</v>
      </c>
      <c r="B326" s="2" t="str">
        <f>"32666"</f>
        <v>32666</v>
      </c>
      <c r="C326" s="1">
        <v>2.6990714477651999E-3</v>
      </c>
      <c r="D326" s="1">
        <v>3.2996766316900899E-4</v>
      </c>
      <c r="E326" s="1">
        <v>5.0821616127392805E-4</v>
      </c>
      <c r="F326" s="1">
        <v>2.4400464669718401E-3</v>
      </c>
    </row>
    <row r="327" spans="1:6" x14ac:dyDescent="0.25">
      <c r="A327" s="2" t="str">
        <f t="shared" si="13"/>
        <v>23540</v>
      </c>
      <c r="B327" s="2" t="str">
        <f>"32683"</f>
        <v>32683</v>
      </c>
      <c r="C327" s="1">
        <v>0</v>
      </c>
      <c r="D327" s="1">
        <v>0</v>
      </c>
      <c r="E327" s="1">
        <v>1.6940538709130901E-4</v>
      </c>
      <c r="F327" s="1">
        <v>5.3044488412431501E-6</v>
      </c>
    </row>
    <row r="328" spans="1:6" x14ac:dyDescent="0.25">
      <c r="A328" s="2" t="str">
        <f t="shared" si="13"/>
        <v>23540</v>
      </c>
      <c r="B328" s="2" t="str">
        <f>"32640"</f>
        <v>32640</v>
      </c>
      <c r="C328" s="1">
        <v>1.47314364195503E-2</v>
      </c>
      <c r="D328" s="1">
        <v>1.01630040256054E-2</v>
      </c>
      <c r="E328" s="1">
        <v>2.3716754192783301E-3</v>
      </c>
      <c r="F328" s="1">
        <v>1.3977222696675701E-2</v>
      </c>
    </row>
    <row r="329" spans="1:6" x14ac:dyDescent="0.25">
      <c r="A329" s="2" t="str">
        <f t="shared" si="13"/>
        <v>23540</v>
      </c>
      <c r="B329" s="2" t="str">
        <f>"34449"</f>
        <v>34449</v>
      </c>
      <c r="C329" s="1">
        <v>1.10649986564356E-2</v>
      </c>
      <c r="D329" s="1">
        <v>7.6552497855210096E-3</v>
      </c>
      <c r="E329" s="1">
        <v>1.16889717093003E-2</v>
      </c>
      <c r="F329" s="1">
        <v>1.0810466738453499E-2</v>
      </c>
    </row>
    <row r="330" spans="1:6" x14ac:dyDescent="0.25">
      <c r="A330" s="2" t="str">
        <f t="shared" si="13"/>
        <v>23540</v>
      </c>
      <c r="B330" s="2" t="str">
        <f>"32618"</f>
        <v>32618</v>
      </c>
      <c r="C330" s="1">
        <v>2.0547577105663802E-2</v>
      </c>
      <c r="D330" s="1">
        <v>6.9953144591829997E-3</v>
      </c>
      <c r="E330" s="1">
        <v>4.4045400643740401E-3</v>
      </c>
      <c r="F330" s="1">
        <v>1.8952795709761699E-2</v>
      </c>
    </row>
    <row r="331" spans="1:6" x14ac:dyDescent="0.25">
      <c r="A331" s="2" t="str">
        <f t="shared" si="13"/>
        <v>23540</v>
      </c>
      <c r="B331" s="2" t="str">
        <f>"32604"</f>
        <v>32604</v>
      </c>
      <c r="C331" s="1">
        <v>1.3770041501209199E-2</v>
      </c>
      <c r="D331" s="1">
        <v>2.47475747376757E-2</v>
      </c>
      <c r="E331" s="1">
        <v>3.3881077418261899E-4</v>
      </c>
      <c r="F331" s="1">
        <v>1.42318362410553E-2</v>
      </c>
    </row>
    <row r="332" spans="1:6" x14ac:dyDescent="0.25">
      <c r="A332" s="2" t="str">
        <f t="shared" si="13"/>
        <v>23540</v>
      </c>
      <c r="B332" s="2" t="str">
        <f>"32607"</f>
        <v>32607</v>
      </c>
      <c r="C332" s="1">
        <v>8.8340847341235401E-2</v>
      </c>
      <c r="D332" s="1">
        <v>5.4048703227083703E-2</v>
      </c>
      <c r="E332" s="1">
        <v>0.18617652041334901</v>
      </c>
      <c r="F332" s="1">
        <v>8.8647949034855497E-2</v>
      </c>
    </row>
    <row r="333" spans="1:6" x14ac:dyDescent="0.25">
      <c r="A333" s="2" t="str">
        <f t="shared" si="13"/>
        <v>23540</v>
      </c>
      <c r="B333" s="2" t="str">
        <f>"32608"</f>
        <v>32608</v>
      </c>
      <c r="C333" s="1">
        <v>0.16653629116531801</v>
      </c>
      <c r="D333" s="1">
        <v>9.5756615851646507E-2</v>
      </c>
      <c r="E333" s="1">
        <v>0.21226495002540999</v>
      </c>
      <c r="F333" s="1">
        <v>0.162279003400151</v>
      </c>
    </row>
    <row r="334" spans="1:6" x14ac:dyDescent="0.25">
      <c r="A334" s="2" t="str">
        <f t="shared" si="13"/>
        <v>23540</v>
      </c>
      <c r="B334" s="2" t="str">
        <f>"32693"</f>
        <v>32693</v>
      </c>
      <c r="C334" s="1">
        <v>4.3597169557817998E-2</v>
      </c>
      <c r="D334" s="1">
        <v>3.3392727512703703E-2</v>
      </c>
      <c r="E334" s="1">
        <v>7.62324241910892E-3</v>
      </c>
      <c r="F334" s="1">
        <v>4.1650532301441202E-2</v>
      </c>
    </row>
    <row r="335" spans="1:6" x14ac:dyDescent="0.25">
      <c r="A335" s="2" t="str">
        <f t="shared" si="13"/>
        <v>23540</v>
      </c>
      <c r="B335" s="2" t="str">
        <f>"32641"</f>
        <v>32641</v>
      </c>
      <c r="C335" s="1">
        <v>3.7040575642671603E-2</v>
      </c>
      <c r="D335" s="1">
        <v>3.4052662839041702E-2</v>
      </c>
      <c r="E335" s="1">
        <v>2.5241402676605101E-2</v>
      </c>
      <c r="F335" s="1">
        <v>3.6430954641657902E-2</v>
      </c>
    </row>
    <row r="336" spans="1:6" x14ac:dyDescent="0.25">
      <c r="A336" s="2" t="str">
        <f t="shared" si="13"/>
        <v>23540</v>
      </c>
      <c r="B336" s="2" t="str">
        <f>"32621"</f>
        <v>32621</v>
      </c>
      <c r="C336" s="1">
        <v>1.39611262054757E-2</v>
      </c>
      <c r="D336" s="1">
        <v>5.9394179370421598E-3</v>
      </c>
      <c r="E336" s="1">
        <v>1.01643232254785E-3</v>
      </c>
      <c r="F336" s="1">
        <v>1.29110284795858E-2</v>
      </c>
    </row>
    <row r="337" spans="1:6" x14ac:dyDescent="0.25">
      <c r="A337" s="2" t="str">
        <f t="shared" si="13"/>
        <v>23540</v>
      </c>
      <c r="B337" s="2" t="str">
        <f>"32643"</f>
        <v>32643</v>
      </c>
      <c r="C337" s="1">
        <v>3.4669931030364497E-2</v>
      </c>
      <c r="D337" s="1">
        <v>3.8936184253943101E-2</v>
      </c>
      <c r="E337" s="1">
        <v>1.5415890225309099E-2</v>
      </c>
      <c r="F337" s="1">
        <v>3.4409959633144298E-2</v>
      </c>
    </row>
    <row r="338" spans="1:6" x14ac:dyDescent="0.25">
      <c r="A338" s="2" t="str">
        <f t="shared" si="13"/>
        <v>23540</v>
      </c>
      <c r="B338" s="2" t="str">
        <f>"32615"</f>
        <v>32615</v>
      </c>
      <c r="C338" s="1">
        <v>4.6009613949183403E-2</v>
      </c>
      <c r="D338" s="1">
        <v>4.1509932026661298E-2</v>
      </c>
      <c r="E338" s="1">
        <v>2.5749618837879001E-2</v>
      </c>
      <c r="F338" s="1">
        <v>4.5013552866789298E-2</v>
      </c>
    </row>
    <row r="339" spans="1:6" x14ac:dyDescent="0.25">
      <c r="A339" s="2" t="str">
        <f t="shared" si="13"/>
        <v>23540</v>
      </c>
      <c r="B339" s="2" t="str">
        <f>"32668"</f>
        <v>32668</v>
      </c>
      <c r="C339" s="1">
        <v>1.40268115725674E-2</v>
      </c>
      <c r="D339" s="1">
        <v>1.0558965221408301E-3</v>
      </c>
      <c r="E339" s="1">
        <v>1.6940538709130901E-4</v>
      </c>
      <c r="F339" s="1">
        <v>1.25503259583812E-2</v>
      </c>
    </row>
    <row r="340" spans="1:6" x14ac:dyDescent="0.25">
      <c r="A340" s="2" t="str">
        <f t="shared" si="13"/>
        <v>23540</v>
      </c>
      <c r="B340" s="2" t="str">
        <f>"32631"</f>
        <v>32631</v>
      </c>
      <c r="C340" s="1">
        <v>6.8671065595796101E-4</v>
      </c>
      <c r="D340" s="1">
        <v>3.9596119580281099E-4</v>
      </c>
      <c r="E340" s="1">
        <v>1.6940538709130901E-4</v>
      </c>
      <c r="F340" s="1">
        <v>6.4714275863166396E-4</v>
      </c>
    </row>
    <row r="341" spans="1:6" x14ac:dyDescent="0.25">
      <c r="A341" s="2" t="str">
        <f t="shared" si="13"/>
        <v>23540</v>
      </c>
      <c r="B341" s="2" t="str">
        <f>"32622"</f>
        <v>32622</v>
      </c>
      <c r="C341" s="1">
        <v>1.04499447645776E-3</v>
      </c>
      <c r="D341" s="1">
        <v>6.59935326338018E-5</v>
      </c>
      <c r="E341" s="1">
        <v>0</v>
      </c>
      <c r="F341" s="1">
        <v>9.3358299605879401E-4</v>
      </c>
    </row>
    <row r="342" spans="1:6" x14ac:dyDescent="0.25">
      <c r="A342" s="2" t="str">
        <f t="shared" si="13"/>
        <v>23540</v>
      </c>
      <c r="B342" s="2" t="str">
        <f>"32044"</f>
        <v>32044</v>
      </c>
      <c r="C342" s="1">
        <v>1.4928492520825199E-4</v>
      </c>
      <c r="D342" s="1">
        <v>0</v>
      </c>
      <c r="E342" s="1">
        <v>0</v>
      </c>
      <c r="F342" s="1">
        <v>1.32611221031078E-4</v>
      </c>
    </row>
    <row r="343" spans="1:6" x14ac:dyDescent="0.25">
      <c r="A343" s="2" t="str">
        <f t="shared" ref="A343:A374" si="14">"19660"</f>
        <v>19660</v>
      </c>
      <c r="B343" s="2" t="str">
        <f>"32732"</f>
        <v>32732</v>
      </c>
      <c r="C343" s="1">
        <v>0</v>
      </c>
      <c r="D343" s="1">
        <v>3.1360742622385201E-5</v>
      </c>
      <c r="E343" s="1">
        <v>0</v>
      </c>
      <c r="F343" s="1">
        <v>2.4695992334363898E-6</v>
      </c>
    </row>
    <row r="344" spans="1:6" x14ac:dyDescent="0.25">
      <c r="A344" s="2" t="str">
        <f t="shared" si="14"/>
        <v>19660</v>
      </c>
      <c r="B344" s="2" t="str">
        <f>"32744"</f>
        <v>32744</v>
      </c>
      <c r="C344" s="1">
        <v>7.9964041152902707E-3</v>
      </c>
      <c r="D344" s="1">
        <v>5.9271803556308197E-3</v>
      </c>
      <c r="E344" s="1">
        <v>3.72277227722772E-3</v>
      </c>
      <c r="F344" s="1">
        <v>7.7002104098546796E-3</v>
      </c>
    </row>
    <row r="345" spans="1:6" x14ac:dyDescent="0.25">
      <c r="A345" s="2" t="str">
        <f t="shared" si="14"/>
        <v>19660</v>
      </c>
      <c r="B345" s="2" t="str">
        <f>"32198"</f>
        <v>32198</v>
      </c>
      <c r="C345" s="1">
        <v>0</v>
      </c>
      <c r="D345" s="1">
        <v>3.1360742622385201E-5</v>
      </c>
      <c r="E345" s="1">
        <v>0</v>
      </c>
      <c r="F345" s="1">
        <v>2.4695992334363898E-6</v>
      </c>
    </row>
    <row r="346" spans="1:6" x14ac:dyDescent="0.25">
      <c r="A346" s="2" t="str">
        <f t="shared" si="14"/>
        <v>19660</v>
      </c>
      <c r="B346" s="2" t="str">
        <f>"32180"</f>
        <v>32180</v>
      </c>
      <c r="C346" s="1">
        <v>4.42549082716446E-3</v>
      </c>
      <c r="D346" s="1">
        <v>4.0768965409100797E-3</v>
      </c>
      <c r="E346" s="1">
        <v>1.6633663366336601E-3</v>
      </c>
      <c r="F346" s="1">
        <v>4.3119202615799499E-3</v>
      </c>
    </row>
    <row r="347" spans="1:6" x14ac:dyDescent="0.25">
      <c r="A347" s="2" t="str">
        <f t="shared" si="14"/>
        <v>19660</v>
      </c>
      <c r="B347" s="2" t="str">
        <f>"32136"</f>
        <v>32136</v>
      </c>
      <c r="C347" s="1">
        <v>2.0740152936084201E-2</v>
      </c>
      <c r="D347" s="1">
        <v>1.7499294383290901E-2</v>
      </c>
      <c r="E347" s="1">
        <v>1.02970297029702E-2</v>
      </c>
      <c r="F347" s="1">
        <v>2.0159338542541299E-2</v>
      </c>
    </row>
    <row r="348" spans="1:6" x14ac:dyDescent="0.25">
      <c r="A348" s="2" t="str">
        <f t="shared" si="14"/>
        <v>19660</v>
      </c>
      <c r="B348" s="2" t="str">
        <f>"32137"</f>
        <v>32137</v>
      </c>
      <c r="C348" s="1">
        <v>6.7489428764857903E-2</v>
      </c>
      <c r="D348" s="1">
        <v>5.2246997208893899E-2</v>
      </c>
      <c r="E348" s="1">
        <v>5.2752475247524702E-2</v>
      </c>
      <c r="F348" s="1">
        <v>6.5829637166480603E-2</v>
      </c>
    </row>
    <row r="349" spans="1:6" x14ac:dyDescent="0.25">
      <c r="A349" s="2" t="str">
        <f t="shared" si="14"/>
        <v>19660</v>
      </c>
      <c r="B349" s="2" t="str">
        <f>"32117"</f>
        <v>32117</v>
      </c>
      <c r="C349" s="1">
        <v>3.7587538705703402E-2</v>
      </c>
      <c r="D349" s="1">
        <v>7.2317872487220394E-2</v>
      </c>
      <c r="E349" s="1">
        <v>5.4415841584158402E-2</v>
      </c>
      <c r="F349" s="1">
        <v>4.0847171321038003E-2</v>
      </c>
    </row>
    <row r="350" spans="1:6" x14ac:dyDescent="0.25">
      <c r="A350" s="2" t="str">
        <f t="shared" si="14"/>
        <v>19660</v>
      </c>
      <c r="B350" s="2" t="str">
        <f>"32127"</f>
        <v>32127</v>
      </c>
      <c r="C350" s="1">
        <v>4.63330854688523E-2</v>
      </c>
      <c r="D350" s="1">
        <v>3.7946498573086199E-2</v>
      </c>
      <c r="E350" s="1">
        <v>5.3940594059405898E-2</v>
      </c>
      <c r="F350" s="1">
        <v>4.59098497495826E-2</v>
      </c>
    </row>
    <row r="351" spans="1:6" x14ac:dyDescent="0.25">
      <c r="A351" s="2" t="str">
        <f t="shared" si="14"/>
        <v>19660</v>
      </c>
      <c r="B351" s="2" t="str">
        <f>"32110"</f>
        <v>32110</v>
      </c>
      <c r="C351" s="1">
        <v>1.8229137764558302E-2</v>
      </c>
      <c r="D351" s="1">
        <v>3.7005676294414598E-2</v>
      </c>
      <c r="E351" s="1">
        <v>1.48910891089108E-2</v>
      </c>
      <c r="F351" s="1">
        <v>1.96036787150181E-2</v>
      </c>
    </row>
    <row r="352" spans="1:6" x14ac:dyDescent="0.25">
      <c r="A352" s="2" t="str">
        <f t="shared" si="14"/>
        <v>19660</v>
      </c>
      <c r="B352" s="2" t="str">
        <f>"32763"</f>
        <v>32763</v>
      </c>
      <c r="C352" s="1">
        <v>2.9158296616094901E-2</v>
      </c>
      <c r="D352" s="1">
        <v>4.46263367516542E-2</v>
      </c>
      <c r="E352" s="1">
        <v>9.25148514851485E-2</v>
      </c>
      <c r="F352" s="1">
        <v>3.2351749958016797E-2</v>
      </c>
    </row>
    <row r="353" spans="1:6" x14ac:dyDescent="0.25">
      <c r="A353" s="2" t="str">
        <f t="shared" si="14"/>
        <v>19660</v>
      </c>
      <c r="B353" s="2" t="str">
        <f>"32739"</f>
        <v>32739</v>
      </c>
      <c r="C353" s="1">
        <v>3.13807531380753E-3</v>
      </c>
      <c r="D353" s="1">
        <v>5.86445887038605E-3</v>
      </c>
      <c r="E353" s="1">
        <v>1.5841584158415799E-4</v>
      </c>
      <c r="F353" s="1">
        <v>3.2598709881360398E-3</v>
      </c>
    </row>
    <row r="354" spans="1:6" x14ac:dyDescent="0.25">
      <c r="A354" s="2" t="str">
        <f t="shared" si="14"/>
        <v>19660</v>
      </c>
      <c r="B354" s="2" t="str">
        <f>"32723"</f>
        <v>32723</v>
      </c>
      <c r="C354" s="1">
        <v>8.1101628136687996E-3</v>
      </c>
      <c r="D354" s="1">
        <v>3.1360742622385201E-5</v>
      </c>
      <c r="E354" s="1">
        <v>1.5841584158415799E-4</v>
      </c>
      <c r="F354" s="1">
        <v>7.2260473570349001E-3</v>
      </c>
    </row>
    <row r="355" spans="1:6" x14ac:dyDescent="0.25">
      <c r="A355" s="2" t="str">
        <f t="shared" si="14"/>
        <v>19660</v>
      </c>
      <c r="B355" s="2" t="str">
        <f>"32720"</f>
        <v>32720</v>
      </c>
      <c r="C355" s="1">
        <v>3.6935507141826501E-2</v>
      </c>
      <c r="D355" s="1">
        <v>5.71079123153636E-2</v>
      </c>
      <c r="E355" s="1">
        <v>6.8118811881188096E-2</v>
      </c>
      <c r="F355" s="1">
        <v>3.9496300540348299E-2</v>
      </c>
    </row>
    <row r="356" spans="1:6" x14ac:dyDescent="0.25">
      <c r="A356" s="2" t="str">
        <f t="shared" si="14"/>
        <v>19660</v>
      </c>
      <c r="B356" s="2" t="str">
        <f>"32713"</f>
        <v>32713</v>
      </c>
      <c r="C356" s="1">
        <v>2.7565674838795601E-2</v>
      </c>
      <c r="D356" s="1">
        <v>2.7283846081475199E-2</v>
      </c>
      <c r="E356" s="1">
        <v>2.8752475247524702E-2</v>
      </c>
      <c r="F356" s="1">
        <v>2.75804842390176E-2</v>
      </c>
    </row>
    <row r="357" spans="1:6" x14ac:dyDescent="0.25">
      <c r="A357" s="2" t="str">
        <f t="shared" si="14"/>
        <v>19660</v>
      </c>
      <c r="B357" s="2" t="str">
        <f>"32164"</f>
        <v>32164</v>
      </c>
      <c r="C357" s="1">
        <v>5.7514733138741198E-2</v>
      </c>
      <c r="D357" s="1">
        <v>1.9757267852102699E-2</v>
      </c>
      <c r="E357" s="1">
        <v>2.1940594059405901E-2</v>
      </c>
      <c r="F357" s="1">
        <v>5.3432249014629903E-2</v>
      </c>
    </row>
    <row r="358" spans="1:6" x14ac:dyDescent="0.25">
      <c r="A358" s="2" t="str">
        <f t="shared" si="14"/>
        <v>19660</v>
      </c>
      <c r="B358" s="2" t="str">
        <f>"32143"</f>
        <v>32143</v>
      </c>
      <c r="C358" s="1">
        <v>0</v>
      </c>
      <c r="D358" s="1">
        <v>0</v>
      </c>
      <c r="E358" s="1">
        <v>7.9207920792079197E-5</v>
      </c>
      <c r="F358" s="1">
        <v>2.4695992334363898E-6</v>
      </c>
    </row>
    <row r="359" spans="1:6" x14ac:dyDescent="0.25">
      <c r="A359" s="2" t="str">
        <f t="shared" si="14"/>
        <v>19660</v>
      </c>
      <c r="B359" s="2" t="str">
        <f>"32145"</f>
        <v>32145</v>
      </c>
      <c r="C359" s="1">
        <v>5.5492047989523098E-6</v>
      </c>
      <c r="D359" s="1">
        <v>0</v>
      </c>
      <c r="E359" s="1">
        <v>0</v>
      </c>
      <c r="F359" s="1">
        <v>4.9391984668727898E-6</v>
      </c>
    </row>
    <row r="360" spans="1:6" x14ac:dyDescent="0.25">
      <c r="A360" s="2" t="str">
        <f t="shared" si="14"/>
        <v>19660</v>
      </c>
      <c r="B360" s="2" t="str">
        <f>"32122"</f>
        <v>32122</v>
      </c>
      <c r="C360" s="1">
        <v>1.2596694893621701E-3</v>
      </c>
      <c r="D360" s="1">
        <v>2.5715808950355899E-3</v>
      </c>
      <c r="E360" s="1">
        <v>1.5841584158415799E-4</v>
      </c>
      <c r="F360" s="1">
        <v>1.32864438758878E-3</v>
      </c>
    </row>
    <row r="361" spans="1:6" x14ac:dyDescent="0.25">
      <c r="A361" s="2" t="str">
        <f t="shared" si="14"/>
        <v>19660</v>
      </c>
      <c r="B361" s="2" t="str">
        <f>"32121"</f>
        <v>32121</v>
      </c>
      <c r="C361" s="1">
        <v>2.4388755091395401E-3</v>
      </c>
      <c r="D361" s="1">
        <v>6.0212625834979699E-3</v>
      </c>
      <c r="E361" s="1">
        <v>1.5841584158415799E-4</v>
      </c>
      <c r="F361" s="1">
        <v>2.6498799774772501E-3</v>
      </c>
    </row>
    <row r="362" spans="1:6" x14ac:dyDescent="0.25">
      <c r="A362" s="2" t="str">
        <f t="shared" si="14"/>
        <v>19660</v>
      </c>
      <c r="B362" s="2" t="str">
        <f>"32114"</f>
        <v>32114</v>
      </c>
      <c r="C362" s="1">
        <v>4.5914120506531403E-2</v>
      </c>
      <c r="D362" s="1">
        <v>9.4803524947470699E-2</v>
      </c>
      <c r="E362" s="1">
        <v>0.113188118811881</v>
      </c>
      <c r="F362" s="1">
        <v>5.1861583902164297E-2</v>
      </c>
    </row>
    <row r="363" spans="1:6" x14ac:dyDescent="0.25">
      <c r="A363" s="2" t="str">
        <f t="shared" si="14"/>
        <v>19660</v>
      </c>
      <c r="B363" s="2" t="str">
        <f>"32086"</f>
        <v>32086</v>
      </c>
      <c r="C363" s="1">
        <v>2.9133325194499602E-4</v>
      </c>
      <c r="D363" s="1">
        <v>0</v>
      </c>
      <c r="E363" s="1">
        <v>0</v>
      </c>
      <c r="F363" s="1">
        <v>2.5930791951082102E-4</v>
      </c>
    </row>
    <row r="364" spans="1:6" x14ac:dyDescent="0.25">
      <c r="A364" s="2" t="str">
        <f t="shared" si="14"/>
        <v>19660</v>
      </c>
      <c r="B364" s="2" t="str">
        <f>"32759"</f>
        <v>32759</v>
      </c>
      <c r="C364" s="1">
        <v>7.9575596816976093E-3</v>
      </c>
      <c r="D364" s="1">
        <v>3.70056762944146E-3</v>
      </c>
      <c r="E364" s="1">
        <v>3.3267326732673201E-3</v>
      </c>
      <c r="F364" s="1">
        <v>7.4779464788454096E-3</v>
      </c>
    </row>
    <row r="365" spans="1:6" x14ac:dyDescent="0.25">
      <c r="A365" s="2" t="str">
        <f t="shared" si="14"/>
        <v>19660</v>
      </c>
      <c r="B365" s="2" t="str">
        <f>"32774"</f>
        <v>32774</v>
      </c>
      <c r="C365" s="1">
        <v>2.8772626882567699E-3</v>
      </c>
      <c r="D365" s="1">
        <v>8.9691723900021895E-3</v>
      </c>
      <c r="E365" s="1">
        <v>1.5841584158415799E-4</v>
      </c>
      <c r="F365" s="1">
        <v>3.27221898430322E-3</v>
      </c>
    </row>
    <row r="366" spans="1:6" x14ac:dyDescent="0.25">
      <c r="A366" s="2" t="str">
        <f t="shared" si="14"/>
        <v>19660</v>
      </c>
      <c r="B366" s="2" t="str">
        <f>"32721"</f>
        <v>32721</v>
      </c>
      <c r="C366" s="1">
        <v>6.48147120517629E-3</v>
      </c>
      <c r="D366" s="1">
        <v>1.52726816571016E-2</v>
      </c>
      <c r="E366" s="1">
        <v>1.5841584158415799E-4</v>
      </c>
      <c r="F366" s="1">
        <v>6.9766178344578197E-3</v>
      </c>
    </row>
    <row r="367" spans="1:6" x14ac:dyDescent="0.25">
      <c r="A367" s="2" t="str">
        <f t="shared" si="14"/>
        <v>19660</v>
      </c>
      <c r="B367" s="2" t="str">
        <f>"32170"</f>
        <v>32170</v>
      </c>
      <c r="C367" s="1">
        <v>5.1579858606261696E-3</v>
      </c>
      <c r="D367" s="1">
        <v>1.4582745319409099E-2</v>
      </c>
      <c r="E367" s="1">
        <v>3.1683168316831597E-4</v>
      </c>
      <c r="F367" s="1">
        <v>5.7492270154399297E-3</v>
      </c>
    </row>
    <row r="368" spans="1:6" x14ac:dyDescent="0.25">
      <c r="A368" s="2" t="str">
        <f t="shared" si="14"/>
        <v>19660</v>
      </c>
      <c r="B368" s="2" t="str">
        <f>"32174"</f>
        <v>32174</v>
      </c>
      <c r="C368" s="1">
        <v>7.4922588593054604E-2</v>
      </c>
      <c r="D368" s="1">
        <v>8.0408944083795897E-2</v>
      </c>
      <c r="E368" s="1">
        <v>6.5663366336633597E-2</v>
      </c>
      <c r="F368" s="1">
        <v>7.5065938299532703E-2</v>
      </c>
    </row>
    <row r="369" spans="1:6" x14ac:dyDescent="0.25">
      <c r="A369" s="2" t="str">
        <f t="shared" si="14"/>
        <v>19660</v>
      </c>
      <c r="B369" s="2" t="str">
        <f>"32130"</f>
        <v>32130</v>
      </c>
      <c r="C369" s="1">
        <v>6.4398521691841496E-3</v>
      </c>
      <c r="D369" s="1">
        <v>3.0106312917489802E-3</v>
      </c>
      <c r="E369" s="1">
        <v>1.5049504950495E-3</v>
      </c>
      <c r="F369" s="1">
        <v>6.0159437326510598E-3</v>
      </c>
    </row>
    <row r="370" spans="1:6" x14ac:dyDescent="0.25">
      <c r="A370" s="2" t="str">
        <f t="shared" si="14"/>
        <v>19660</v>
      </c>
      <c r="B370" s="2" t="str">
        <f>"32128"</f>
        <v>32128</v>
      </c>
      <c r="C370" s="1">
        <v>2.7418620911623299E-2</v>
      </c>
      <c r="D370" s="1">
        <v>1.20738859096183E-2</v>
      </c>
      <c r="E370" s="1">
        <v>8.5544554455445499E-3</v>
      </c>
      <c r="F370" s="1">
        <v>2.5622092046902599E-2</v>
      </c>
    </row>
    <row r="371" spans="1:6" x14ac:dyDescent="0.25">
      <c r="A371" s="2" t="str">
        <f t="shared" si="14"/>
        <v>19660</v>
      </c>
      <c r="B371" s="2" t="str">
        <f>"32124"</f>
        <v>32124</v>
      </c>
      <c r="C371" s="1">
        <v>7.7300422849405602E-3</v>
      </c>
      <c r="D371" s="1">
        <v>5.9271803556308197E-3</v>
      </c>
      <c r="E371" s="1">
        <v>2.29702970297029E-3</v>
      </c>
      <c r="F371" s="1">
        <v>7.4186760972429298E-3</v>
      </c>
    </row>
    <row r="372" spans="1:6" x14ac:dyDescent="0.25">
      <c r="A372" s="2" t="str">
        <f t="shared" si="14"/>
        <v>19660</v>
      </c>
      <c r="B372" s="2" t="str">
        <f>"32112"</f>
        <v>32112</v>
      </c>
      <c r="C372" s="1">
        <v>2.7746023994761498E-6</v>
      </c>
      <c r="D372" s="1">
        <v>0</v>
      </c>
      <c r="E372" s="1">
        <v>0</v>
      </c>
      <c r="F372" s="1">
        <v>2.4695992334363898E-6</v>
      </c>
    </row>
    <row r="373" spans="1:6" x14ac:dyDescent="0.25">
      <c r="A373" s="2" t="str">
        <f t="shared" si="14"/>
        <v>19660</v>
      </c>
      <c r="B373" s="2" t="str">
        <f>"32754"</f>
        <v>32754</v>
      </c>
      <c r="C373" s="1">
        <v>7.9353628625017999E-4</v>
      </c>
      <c r="D373" s="1">
        <v>3.1360742622385201E-5</v>
      </c>
      <c r="E373" s="1">
        <v>3.1683168316831597E-4</v>
      </c>
      <c r="F373" s="1">
        <v>7.18653376929991E-4</v>
      </c>
    </row>
    <row r="374" spans="1:6" x14ac:dyDescent="0.25">
      <c r="A374" s="2" t="str">
        <f t="shared" si="14"/>
        <v>19660</v>
      </c>
      <c r="B374" s="2" t="str">
        <f>"32706"</f>
        <v>32706</v>
      </c>
      <c r="C374" s="1">
        <v>0</v>
      </c>
      <c r="D374" s="1">
        <v>3.1360742622385201E-5</v>
      </c>
      <c r="E374" s="1">
        <v>0</v>
      </c>
      <c r="F374" s="1">
        <v>2.4695992334363898E-6</v>
      </c>
    </row>
    <row r="375" spans="1:6" x14ac:dyDescent="0.25">
      <c r="A375" s="2" t="str">
        <f t="shared" ref="A375:A399" si="15">"19660"</f>
        <v>19660</v>
      </c>
      <c r="B375" s="2" t="str">
        <f>"32132"</f>
        <v>32132</v>
      </c>
      <c r="C375" s="1">
        <v>1.4483424525265499E-2</v>
      </c>
      <c r="D375" s="1">
        <v>2.5245397811020101E-2</v>
      </c>
      <c r="E375" s="1">
        <v>1.45742574257425E-2</v>
      </c>
      <c r="F375" s="1">
        <v>1.53337416404065E-2</v>
      </c>
    </row>
    <row r="376" spans="1:6" x14ac:dyDescent="0.25">
      <c r="A376" s="2" t="str">
        <f t="shared" si="15"/>
        <v>19660</v>
      </c>
      <c r="B376" s="2" t="str">
        <f>"32120"</f>
        <v>32120</v>
      </c>
      <c r="C376" s="1">
        <v>4.4143924175665599E-3</v>
      </c>
      <c r="D376" s="1">
        <v>1.26697400194436E-2</v>
      </c>
      <c r="E376" s="1">
        <v>1.5841584158415799E-4</v>
      </c>
      <c r="F376" s="1">
        <v>4.9317896691724802E-3</v>
      </c>
    </row>
    <row r="377" spans="1:6" x14ac:dyDescent="0.25">
      <c r="A377" s="2" t="str">
        <f t="shared" si="15"/>
        <v>19660</v>
      </c>
      <c r="B377" s="2" t="str">
        <f>"32728"</f>
        <v>32728</v>
      </c>
      <c r="C377" s="1">
        <v>3.4072117465567099E-3</v>
      </c>
      <c r="D377" s="1">
        <v>5.0177188195816404E-3</v>
      </c>
      <c r="E377" s="1">
        <v>1.5841584158415799E-4</v>
      </c>
      <c r="F377" s="1">
        <v>3.4327429344765902E-3</v>
      </c>
    </row>
    <row r="378" spans="1:6" x14ac:dyDescent="0.25">
      <c r="A378" s="2" t="str">
        <f t="shared" si="15"/>
        <v>19660</v>
      </c>
      <c r="B378" s="2" t="str">
        <f>"32725"</f>
        <v>32725</v>
      </c>
      <c r="C378" s="1">
        <v>5.44654451017169E-2</v>
      </c>
      <c r="D378" s="1">
        <v>2.2485652460250201E-2</v>
      </c>
      <c r="E378" s="1">
        <v>3.9049504950495001E-2</v>
      </c>
      <c r="F378" s="1">
        <v>5.1466448024814503E-2</v>
      </c>
    </row>
    <row r="379" spans="1:6" x14ac:dyDescent="0.25">
      <c r="A379" s="2" t="str">
        <f t="shared" si="15"/>
        <v>19660</v>
      </c>
      <c r="B379" s="2" t="str">
        <f>"32190"</f>
        <v>32190</v>
      </c>
      <c r="C379" s="1">
        <v>1.3845265973386001E-3</v>
      </c>
      <c r="D379" s="1">
        <v>8.4674005080440302E-4</v>
      </c>
      <c r="E379" s="1">
        <v>4.0396039603960302E-3</v>
      </c>
      <c r="F379" s="1">
        <v>1.4249587576928E-3</v>
      </c>
    </row>
    <row r="380" spans="1:6" x14ac:dyDescent="0.25">
      <c r="A380" s="2" t="str">
        <f t="shared" si="15"/>
        <v>19660</v>
      </c>
      <c r="B380" s="2" t="str">
        <f>"32173"</f>
        <v>32173</v>
      </c>
      <c r="C380" s="1">
        <v>2.5193389787243402E-3</v>
      </c>
      <c r="D380" s="1">
        <v>1.02236020948976E-2</v>
      </c>
      <c r="E380" s="1">
        <v>1.5841584158415799E-4</v>
      </c>
      <c r="F380" s="1">
        <v>3.05242465252738E-3</v>
      </c>
    </row>
    <row r="381" spans="1:6" x14ac:dyDescent="0.25">
      <c r="A381" s="2" t="str">
        <f t="shared" si="15"/>
        <v>19660</v>
      </c>
      <c r="B381" s="2" t="str">
        <f>"32135"</f>
        <v>32135</v>
      </c>
      <c r="C381" s="1">
        <v>9.0868228582843998E-3</v>
      </c>
      <c r="D381" s="1">
        <v>2.3269671025809801E-2</v>
      </c>
      <c r="E381" s="1">
        <v>1.5841584158415799E-4</v>
      </c>
      <c r="F381" s="1">
        <v>9.9253193191808798E-3</v>
      </c>
    </row>
    <row r="382" spans="1:6" x14ac:dyDescent="0.25">
      <c r="A382" s="2" t="str">
        <f t="shared" si="15"/>
        <v>19660</v>
      </c>
      <c r="B382" s="2" t="str">
        <f>"32724"</f>
        <v>32724</v>
      </c>
      <c r="C382" s="1">
        <v>4.9890125744980703E-2</v>
      </c>
      <c r="D382" s="1">
        <v>3.8416909712421898E-2</v>
      </c>
      <c r="E382" s="1">
        <v>5.2514851485148499E-2</v>
      </c>
      <c r="F382" s="1">
        <v>4.90684671691477E-2</v>
      </c>
    </row>
    <row r="383" spans="1:6" x14ac:dyDescent="0.25">
      <c r="A383" s="2" t="str">
        <f t="shared" si="15"/>
        <v>19660</v>
      </c>
      <c r="B383" s="2" t="str">
        <f>"32115"</f>
        <v>32115</v>
      </c>
      <c r="C383" s="1">
        <v>3.9510338168540398E-3</v>
      </c>
      <c r="D383" s="1">
        <v>1.15721140276601E-2</v>
      </c>
      <c r="E383" s="1">
        <v>1.5841584158415799E-4</v>
      </c>
      <c r="F383" s="1">
        <v>4.4329306240183299E-3</v>
      </c>
    </row>
    <row r="384" spans="1:6" x14ac:dyDescent="0.25">
      <c r="A384" s="2" t="str">
        <f t="shared" si="15"/>
        <v>19660</v>
      </c>
      <c r="B384" s="2" t="str">
        <f>"32080"</f>
        <v>32080</v>
      </c>
      <c r="C384" s="1">
        <v>2.7746023994761498E-6</v>
      </c>
      <c r="D384" s="1">
        <v>3.1360742622385201E-5</v>
      </c>
      <c r="E384" s="1">
        <v>0</v>
      </c>
      <c r="F384" s="1">
        <v>4.9391984668727898E-6</v>
      </c>
    </row>
    <row r="385" spans="1:6" x14ac:dyDescent="0.25">
      <c r="A385" s="2" t="str">
        <f t="shared" si="15"/>
        <v>19660</v>
      </c>
      <c r="B385" s="2" t="str">
        <f>"32176"</f>
        <v>32176</v>
      </c>
      <c r="C385" s="1">
        <v>2.8714360232178701E-2</v>
      </c>
      <c r="D385" s="1">
        <v>1.6997522501332799E-2</v>
      </c>
      <c r="E385" s="1">
        <v>2.45544554455445E-2</v>
      </c>
      <c r="F385" s="1">
        <v>2.7661981013720999E-2</v>
      </c>
    </row>
    <row r="386" spans="1:6" x14ac:dyDescent="0.25">
      <c r="A386" s="2" t="str">
        <f t="shared" si="15"/>
        <v>19660</v>
      </c>
      <c r="B386" s="2" t="str">
        <f>"32175"</f>
        <v>32175</v>
      </c>
      <c r="C386" s="1">
        <v>3.29622765057767E-3</v>
      </c>
      <c r="D386" s="1">
        <v>8.5301219932888001E-3</v>
      </c>
      <c r="E386" s="1">
        <v>1.5841584158415799E-4</v>
      </c>
      <c r="F386" s="1">
        <v>3.6105540792840101E-3</v>
      </c>
    </row>
    <row r="387" spans="1:6" x14ac:dyDescent="0.25">
      <c r="A387" s="2" t="str">
        <f t="shared" si="15"/>
        <v>19660</v>
      </c>
      <c r="B387" s="2" t="str">
        <f>"32169"</f>
        <v>32169</v>
      </c>
      <c r="C387" s="1">
        <v>3.08951977181669E-2</v>
      </c>
      <c r="D387" s="1">
        <v>1.51158779439897E-2</v>
      </c>
      <c r="E387" s="1">
        <v>3.6752475247524702E-2</v>
      </c>
      <c r="F387" s="1">
        <v>2.9835228339145099E-2</v>
      </c>
    </row>
    <row r="388" spans="1:6" x14ac:dyDescent="0.25">
      <c r="A388" s="2" t="str">
        <f t="shared" si="15"/>
        <v>19660</v>
      </c>
      <c r="B388" s="2" t="str">
        <f>"32168"</f>
        <v>32168</v>
      </c>
      <c r="C388" s="1">
        <v>4.3847041718921599E-2</v>
      </c>
      <c r="D388" s="1">
        <v>3.33364694075955E-2</v>
      </c>
      <c r="E388" s="1">
        <v>1.65544554455445E-2</v>
      </c>
      <c r="F388" s="1">
        <v>4.2168406910926402E-2</v>
      </c>
    </row>
    <row r="389" spans="1:6" x14ac:dyDescent="0.25">
      <c r="A389" s="2" t="str">
        <f t="shared" si="15"/>
        <v>19660</v>
      </c>
      <c r="B389" s="2" t="str">
        <f>"32141"</f>
        <v>32141</v>
      </c>
      <c r="C389" s="1">
        <v>2.4777199427322E-2</v>
      </c>
      <c r="D389" s="1">
        <v>1.29206259604227E-2</v>
      </c>
      <c r="E389" s="1">
        <v>8.4752475247524706E-3</v>
      </c>
      <c r="F389" s="1">
        <v>2.3335243156740501E-2</v>
      </c>
    </row>
    <row r="390" spans="1:6" x14ac:dyDescent="0.25">
      <c r="A390" s="2" t="str">
        <f t="shared" si="15"/>
        <v>19660</v>
      </c>
      <c r="B390" s="2" t="str">
        <f>"32129"</f>
        <v>32129</v>
      </c>
      <c r="C390" s="1">
        <v>3.3869571490405398E-2</v>
      </c>
      <c r="D390" s="1">
        <v>3.2176121930567299E-2</v>
      </c>
      <c r="E390" s="1">
        <v>2.9702970297029702E-2</v>
      </c>
      <c r="F390" s="1">
        <v>3.3606306368602498E-2</v>
      </c>
    </row>
    <row r="391" spans="1:6" x14ac:dyDescent="0.25">
      <c r="A391" s="2" t="str">
        <f t="shared" si="15"/>
        <v>19660</v>
      </c>
      <c r="B391" s="2" t="str">
        <f>"32125"</f>
        <v>32125</v>
      </c>
      <c r="C391" s="1">
        <v>3.1935673617970498E-3</v>
      </c>
      <c r="D391" s="1">
        <v>5.2372440179383403E-3</v>
      </c>
      <c r="E391" s="1">
        <v>1.5841584158415799E-4</v>
      </c>
      <c r="F391" s="1">
        <v>3.2598709881360398E-3</v>
      </c>
    </row>
    <row r="392" spans="1:6" x14ac:dyDescent="0.25">
      <c r="A392" s="2" t="str">
        <f t="shared" si="15"/>
        <v>19660</v>
      </c>
      <c r="B392" s="2" t="str">
        <f>"32119"</f>
        <v>32119</v>
      </c>
      <c r="C392" s="1">
        <v>3.4338479295916803E-2</v>
      </c>
      <c r="D392" s="1">
        <v>4.17097876877724E-2</v>
      </c>
      <c r="E392" s="1">
        <v>5.4415841584158402E-2</v>
      </c>
      <c r="F392" s="1">
        <v>3.5544941766849997E-2</v>
      </c>
    </row>
    <row r="393" spans="1:6" x14ac:dyDescent="0.25">
      <c r="A393" s="2" t="str">
        <f t="shared" si="15"/>
        <v>19660</v>
      </c>
      <c r="B393" s="2" t="str">
        <f>"32118"</f>
        <v>32118</v>
      </c>
      <c r="C393" s="1">
        <v>4.1854877196097699E-2</v>
      </c>
      <c r="D393" s="1">
        <v>3.7162480007526498E-2</v>
      </c>
      <c r="E393" s="1">
        <v>0.107722772277227</v>
      </c>
      <c r="F393" s="1">
        <v>4.3539034485483602E-2</v>
      </c>
    </row>
    <row r="394" spans="1:6" x14ac:dyDescent="0.25">
      <c r="A394" s="2" t="str">
        <f t="shared" si="15"/>
        <v>19660</v>
      </c>
      <c r="B394" s="2" t="str">
        <f>"32105"</f>
        <v>32105</v>
      </c>
      <c r="C394" s="1">
        <v>0</v>
      </c>
      <c r="D394" s="1">
        <v>3.1360742622385201E-5</v>
      </c>
      <c r="E394" s="1">
        <v>0</v>
      </c>
      <c r="F394" s="1">
        <v>2.4695992334363898E-6</v>
      </c>
    </row>
    <row r="395" spans="1:6" x14ac:dyDescent="0.25">
      <c r="A395" s="2" t="str">
        <f t="shared" si="15"/>
        <v>19660</v>
      </c>
      <c r="B395" s="2" t="str">
        <f>"32764"</f>
        <v>32764</v>
      </c>
      <c r="C395" s="1">
        <v>4.4948558871513696E-3</v>
      </c>
      <c r="D395" s="1">
        <v>1.59939787374165E-3</v>
      </c>
      <c r="E395" s="1">
        <v>7.1287128712871199E-4</v>
      </c>
      <c r="F395" s="1">
        <v>4.1489267121731397E-3</v>
      </c>
    </row>
    <row r="396" spans="1:6" x14ac:dyDescent="0.25">
      <c r="A396" s="2" t="str">
        <f t="shared" si="15"/>
        <v>19660</v>
      </c>
      <c r="B396" s="2" t="str">
        <f>"32753"</f>
        <v>32753</v>
      </c>
      <c r="C396" s="1">
        <v>2.0532057756123502E-3</v>
      </c>
      <c r="D396" s="1">
        <v>6.2721485244770503E-3</v>
      </c>
      <c r="E396" s="1">
        <v>1.5841584158415799E-4</v>
      </c>
      <c r="F396" s="1">
        <v>2.3263624778970802E-3</v>
      </c>
    </row>
    <row r="397" spans="1:6" x14ac:dyDescent="0.25">
      <c r="A397" s="2" t="str">
        <f t="shared" si="15"/>
        <v>19660</v>
      </c>
      <c r="B397" s="2" t="str">
        <f>"32738"</f>
        <v>32738</v>
      </c>
      <c r="C397" s="1">
        <v>4.64468441672308E-2</v>
      </c>
      <c r="D397" s="1">
        <v>5.5194907015398099E-3</v>
      </c>
      <c r="E397" s="1">
        <v>8.9504950495049498E-3</v>
      </c>
      <c r="F397" s="1">
        <v>4.2054805346188398E-2</v>
      </c>
    </row>
    <row r="398" spans="1:6" x14ac:dyDescent="0.25">
      <c r="A398" s="2" t="str">
        <f t="shared" si="15"/>
        <v>19660</v>
      </c>
      <c r="B398" s="2" t="str">
        <f>"32126"</f>
        <v>32126</v>
      </c>
      <c r="C398" s="1">
        <v>2.3195676059620599E-3</v>
      </c>
      <c r="D398" s="1">
        <v>3.8573713425533898E-3</v>
      </c>
      <c r="E398" s="1">
        <v>1.5841584158415799E-4</v>
      </c>
      <c r="F398" s="1">
        <v>2.3732848633323698E-3</v>
      </c>
    </row>
    <row r="399" spans="1:6" x14ac:dyDescent="0.25">
      <c r="A399" s="2" t="str">
        <f t="shared" si="15"/>
        <v>19660</v>
      </c>
      <c r="B399" s="2" t="str">
        <f>"32102"</f>
        <v>32102</v>
      </c>
      <c r="C399" s="1">
        <v>1.3789773925396401E-3</v>
      </c>
      <c r="D399" s="1">
        <v>5.9585410982532E-4</v>
      </c>
      <c r="E399" s="1">
        <v>1.3465346534653399E-3</v>
      </c>
      <c r="F399" s="1">
        <v>1.3162963914216E-3</v>
      </c>
    </row>
    <row r="400" spans="1:6" x14ac:dyDescent="0.25">
      <c r="A400" s="2" t="str">
        <f t="shared" ref="A400:A445" si="16">"37340"</f>
        <v>37340</v>
      </c>
      <c r="B400" s="2" t="str">
        <f>"32912"</f>
        <v>32912</v>
      </c>
      <c r="C400" s="1">
        <v>3.22857036420757E-3</v>
      </c>
      <c r="D400" s="1">
        <v>9.0995561192136892E-3</v>
      </c>
      <c r="E400" s="1">
        <v>1.39958012596221E-4</v>
      </c>
      <c r="F400" s="1">
        <v>3.6118645265440699E-3</v>
      </c>
    </row>
    <row r="401" spans="1:6" x14ac:dyDescent="0.25">
      <c r="A401" s="2" t="str">
        <f t="shared" si="16"/>
        <v>37340</v>
      </c>
      <c r="B401" s="2" t="str">
        <f>"32924"</f>
        <v>32924</v>
      </c>
      <c r="C401" s="1">
        <v>2.63252660466155E-3</v>
      </c>
      <c r="D401" s="1">
        <v>3.9949270767279596E-3</v>
      </c>
      <c r="E401" s="1">
        <v>1.39958012596221E-4</v>
      </c>
      <c r="F401" s="1">
        <v>2.6525054762280001E-3</v>
      </c>
    </row>
    <row r="402" spans="1:6" x14ac:dyDescent="0.25">
      <c r="A402" s="2" t="str">
        <f t="shared" si="16"/>
        <v>37340</v>
      </c>
      <c r="B402" s="2" t="str">
        <f>"32920"</f>
        <v>32920</v>
      </c>
      <c r="C402" s="1">
        <v>3.7069575691348597E-2</v>
      </c>
      <c r="D402" s="1">
        <v>5.16169942929613E-2</v>
      </c>
      <c r="E402" s="1">
        <v>5.9622113365990201E-2</v>
      </c>
      <c r="F402" s="1">
        <v>3.9192399049881199E-2</v>
      </c>
    </row>
    <row r="403" spans="1:6" x14ac:dyDescent="0.25">
      <c r="A403" s="2" t="str">
        <f t="shared" si="16"/>
        <v>37340</v>
      </c>
      <c r="B403" s="2" t="str">
        <f>"32902"</f>
        <v>32902</v>
      </c>
      <c r="C403" s="1">
        <v>5.3954377817237997E-3</v>
      </c>
      <c r="D403" s="1">
        <v>1.9372225745085601E-2</v>
      </c>
      <c r="E403" s="1">
        <v>1.39958012596221E-4</v>
      </c>
      <c r="F403" s="1">
        <v>6.3893856297254498E-3</v>
      </c>
    </row>
    <row r="404" spans="1:6" x14ac:dyDescent="0.25">
      <c r="A404" s="2" t="str">
        <f t="shared" si="16"/>
        <v>37340</v>
      </c>
      <c r="B404" s="2" t="str">
        <f>"32901"</f>
        <v>32901</v>
      </c>
      <c r="C404" s="1">
        <v>4.9862785759521099E-2</v>
      </c>
      <c r="D404" s="1">
        <v>7.5110970196575699E-2</v>
      </c>
      <c r="E404" s="1">
        <v>8.9643107067879604E-2</v>
      </c>
      <c r="F404" s="1">
        <v>5.3571913880539397E-2</v>
      </c>
    </row>
    <row r="405" spans="1:6" x14ac:dyDescent="0.25">
      <c r="A405" s="2" t="str">
        <f t="shared" si="16"/>
        <v>37340</v>
      </c>
      <c r="B405" s="2" t="str">
        <f>"32815"</f>
        <v>32815</v>
      </c>
      <c r="C405" s="1">
        <v>0</v>
      </c>
      <c r="D405" s="1">
        <v>3.17057704502219E-5</v>
      </c>
      <c r="E405" s="1">
        <v>0</v>
      </c>
      <c r="F405" s="1">
        <v>2.7177310207254102E-6</v>
      </c>
    </row>
    <row r="406" spans="1:6" x14ac:dyDescent="0.25">
      <c r="A406" s="2" t="str">
        <f t="shared" si="16"/>
        <v>37340</v>
      </c>
      <c r="B406" s="2" t="str">
        <f>"32976"</f>
        <v>32976</v>
      </c>
      <c r="C406" s="1">
        <v>2.1448262159913498E-2</v>
      </c>
      <c r="D406" s="1">
        <v>4.6607482561826204E-3</v>
      </c>
      <c r="E406" s="1">
        <v>3.7088873337998598E-3</v>
      </c>
      <c r="F406" s="1">
        <v>1.9320349826336899E-2</v>
      </c>
    </row>
    <row r="407" spans="1:6" x14ac:dyDescent="0.25">
      <c r="A407" s="2" t="str">
        <f t="shared" si="16"/>
        <v>37340</v>
      </c>
      <c r="B407" s="2" t="str">
        <f>"32949"</f>
        <v>32949</v>
      </c>
      <c r="C407" s="1">
        <v>6.4943934633867701E-3</v>
      </c>
      <c r="D407" s="1">
        <v>3.3925174381737402E-3</v>
      </c>
      <c r="E407" s="1">
        <v>4.8985304408677302E-4</v>
      </c>
      <c r="F407" s="1">
        <v>5.9953146317202602E-3</v>
      </c>
    </row>
    <row r="408" spans="1:6" x14ac:dyDescent="0.25">
      <c r="A408" s="2" t="str">
        <f t="shared" si="16"/>
        <v>37340</v>
      </c>
      <c r="B408" s="2" t="str">
        <f>"32926"</f>
        <v>32926</v>
      </c>
      <c r="C408" s="1">
        <v>3.2807241931678402E-2</v>
      </c>
      <c r="D408" s="1">
        <v>2.5871908687381099E-2</v>
      </c>
      <c r="E408" s="1">
        <v>2.2323303009097201E-2</v>
      </c>
      <c r="F408" s="1">
        <v>3.1805606135549502E-2</v>
      </c>
    </row>
    <row r="409" spans="1:6" x14ac:dyDescent="0.25">
      <c r="A409" s="2" t="str">
        <f t="shared" si="16"/>
        <v>37340</v>
      </c>
      <c r="B409" s="2" t="str">
        <f>"32905"</f>
        <v>32905</v>
      </c>
      <c r="C409" s="1">
        <v>4.2387403608548202E-2</v>
      </c>
      <c r="D409" s="1">
        <v>4.8826886493341701E-2</v>
      </c>
      <c r="E409" s="1">
        <v>9.6920923722883107E-2</v>
      </c>
      <c r="F409" s="1">
        <v>4.5057262592606603E-2</v>
      </c>
    </row>
    <row r="410" spans="1:6" x14ac:dyDescent="0.25">
      <c r="A410" s="2" t="str">
        <f t="shared" si="16"/>
        <v>37340</v>
      </c>
      <c r="B410" s="2" t="str">
        <f>"32775"</f>
        <v>32775</v>
      </c>
      <c r="C410" s="1">
        <v>0</v>
      </c>
      <c r="D410" s="1">
        <v>3.17057704502219E-5</v>
      </c>
      <c r="E410" s="1">
        <v>0</v>
      </c>
      <c r="F410" s="1">
        <v>2.7177310207254102E-6</v>
      </c>
    </row>
    <row r="411" spans="1:6" x14ac:dyDescent="0.25">
      <c r="A411" s="2" t="str">
        <f t="shared" si="16"/>
        <v>37340</v>
      </c>
      <c r="B411" s="2" t="str">
        <f>"32909"</f>
        <v>32909</v>
      </c>
      <c r="C411" s="1">
        <v>4.35111944468589E-2</v>
      </c>
      <c r="D411" s="1">
        <v>1.429930247305E-2</v>
      </c>
      <c r="E411" s="1">
        <v>2.3372988103568901E-2</v>
      </c>
      <c r="F411" s="1">
        <v>4.0225136837756803E-2</v>
      </c>
    </row>
    <row r="412" spans="1:6" x14ac:dyDescent="0.25">
      <c r="A412" s="2" t="str">
        <f t="shared" si="16"/>
        <v>37340</v>
      </c>
      <c r="B412" s="2" t="str">
        <f>"32899"</f>
        <v>32899</v>
      </c>
      <c r="C412" s="1">
        <v>0</v>
      </c>
      <c r="D412" s="1">
        <v>0</v>
      </c>
      <c r="E412" s="1">
        <v>6.99790062981105E-5</v>
      </c>
      <c r="F412" s="1">
        <v>2.7177310207254102E-6</v>
      </c>
    </row>
    <row r="413" spans="1:6" x14ac:dyDescent="0.25">
      <c r="A413" s="2" t="str">
        <f t="shared" si="16"/>
        <v>37340</v>
      </c>
      <c r="B413" s="2" t="str">
        <f>"32951"</f>
        <v>32951</v>
      </c>
      <c r="C413" s="1">
        <v>2.51021345817138E-2</v>
      </c>
      <c r="D413" s="1">
        <v>1.5757767913760299E-2</v>
      </c>
      <c r="E413" s="1">
        <v>1.6724982505248401E-2</v>
      </c>
      <c r="F413" s="1">
        <v>2.3975823064839599E-2</v>
      </c>
    </row>
    <row r="414" spans="1:6" x14ac:dyDescent="0.25">
      <c r="A414" s="2" t="str">
        <f t="shared" si="16"/>
        <v>37340</v>
      </c>
      <c r="B414" s="2" t="str">
        <f>"32955"</f>
        <v>32955</v>
      </c>
      <c r="C414" s="1">
        <v>5.6527920924861197E-2</v>
      </c>
      <c r="D414" s="1">
        <v>5.9099556119213602E-2</v>
      </c>
      <c r="E414" s="1">
        <v>6.8929321203638899E-2</v>
      </c>
      <c r="F414" s="1">
        <v>5.7229979834435799E-2</v>
      </c>
    </row>
    <row r="415" spans="1:6" x14ac:dyDescent="0.25">
      <c r="A415" s="2" t="str">
        <f t="shared" si="16"/>
        <v>37340</v>
      </c>
      <c r="B415" s="2" t="str">
        <f>"32923"</f>
        <v>32923</v>
      </c>
      <c r="C415" s="1">
        <v>2.3003563844978901E-3</v>
      </c>
      <c r="D415" s="1">
        <v>5.2314521242866202E-3</v>
      </c>
      <c r="E415" s="1">
        <v>1.39958012596221E-4</v>
      </c>
      <c r="F415" s="1">
        <v>2.46769976681867E-3</v>
      </c>
    </row>
    <row r="416" spans="1:6" x14ac:dyDescent="0.25">
      <c r="A416" s="2" t="str">
        <f t="shared" si="16"/>
        <v>37340</v>
      </c>
      <c r="B416" s="2" t="str">
        <f>"32925"</f>
        <v>32925</v>
      </c>
      <c r="C416" s="1">
        <v>7.1370031416473096E-3</v>
      </c>
      <c r="D416" s="1">
        <v>6.3728598604946103E-3</v>
      </c>
      <c r="E416" s="1">
        <v>5.8782365290412798E-3</v>
      </c>
      <c r="F416" s="1">
        <v>7.0226169575544704E-3</v>
      </c>
    </row>
    <row r="417" spans="1:6" x14ac:dyDescent="0.25">
      <c r="A417" s="2" t="str">
        <f t="shared" si="16"/>
        <v>37340</v>
      </c>
      <c r="B417" s="2" t="str">
        <f>"32922"</f>
        <v>32922</v>
      </c>
      <c r="C417" s="1">
        <v>2.5213892786628701E-2</v>
      </c>
      <c r="D417" s="1">
        <v>4.9968294229549702E-2</v>
      </c>
      <c r="E417" s="1">
        <v>4.86354093771868E-2</v>
      </c>
      <c r="F417" s="1">
        <v>2.8245378498399198E-2</v>
      </c>
    </row>
    <row r="418" spans="1:6" x14ac:dyDescent="0.25">
      <c r="A418" s="2" t="str">
        <f t="shared" si="16"/>
        <v>37340</v>
      </c>
      <c r="B418" s="2" t="str">
        <f>"32954"</f>
        <v>32954</v>
      </c>
      <c r="C418" s="1">
        <v>6.3826352584718899E-3</v>
      </c>
      <c r="D418" s="1">
        <v>1.3696892834495799E-2</v>
      </c>
      <c r="E418" s="1">
        <v>1.39958012596221E-4</v>
      </c>
      <c r="F418" s="1">
        <v>6.7671502416062797E-3</v>
      </c>
    </row>
    <row r="419" spans="1:6" x14ac:dyDescent="0.25">
      <c r="A419" s="2" t="str">
        <f t="shared" si="16"/>
        <v>37340</v>
      </c>
      <c r="B419" s="2" t="str">
        <f>"32953"</f>
        <v>32953</v>
      </c>
      <c r="C419" s="1">
        <v>3.5920949696390203E-2</v>
      </c>
      <c r="D419" s="1">
        <v>4.1566265060240901E-2</v>
      </c>
      <c r="E419" s="1">
        <v>2.9041287613715799E-2</v>
      </c>
      <c r="F419" s="1">
        <v>3.6137669382585801E-2</v>
      </c>
    </row>
    <row r="420" spans="1:6" x14ac:dyDescent="0.25">
      <c r="A420" s="2" t="str">
        <f t="shared" si="16"/>
        <v>37340</v>
      </c>
      <c r="B420" s="2" t="str">
        <f>"32935"</f>
        <v>32935</v>
      </c>
      <c r="C420" s="1">
        <v>6.4509319392532002E-2</v>
      </c>
      <c r="D420" s="1">
        <v>8.2213062777425405E-2</v>
      </c>
      <c r="E420" s="1">
        <v>0.10034989503149</v>
      </c>
      <c r="F420" s="1">
        <v>6.7418753431135403E-2</v>
      </c>
    </row>
    <row r="421" spans="1:6" x14ac:dyDescent="0.25">
      <c r="A421" s="2" t="str">
        <f t="shared" si="16"/>
        <v>37340</v>
      </c>
      <c r="B421" s="2" t="str">
        <f>"32932"</f>
        <v>32932</v>
      </c>
      <c r="C421" s="1">
        <v>2.2599992549453001E-3</v>
      </c>
      <c r="D421" s="1">
        <v>5.9923906150919403E-3</v>
      </c>
      <c r="E421" s="1">
        <v>1.39958012596221E-4</v>
      </c>
      <c r="F421" s="1">
        <v>2.4975948080466501E-3</v>
      </c>
    </row>
    <row r="422" spans="1:6" x14ac:dyDescent="0.25">
      <c r="A422" s="2" t="str">
        <f t="shared" si="16"/>
        <v>37340</v>
      </c>
      <c r="B422" s="2" t="str">
        <f>"32783"</f>
        <v>32783</v>
      </c>
      <c r="C422" s="1">
        <v>4.40824030497572E-4</v>
      </c>
      <c r="D422" s="1">
        <v>1.42675967025998E-3</v>
      </c>
      <c r="E422" s="1">
        <v>1.39958012596221E-4</v>
      </c>
      <c r="F422" s="1">
        <v>5.1365116291710305E-4</v>
      </c>
    </row>
    <row r="423" spans="1:6" x14ac:dyDescent="0.25">
      <c r="A423" s="2" t="str">
        <f t="shared" si="16"/>
        <v>37340</v>
      </c>
      <c r="B423" s="2" t="str">
        <f>"32952"</f>
        <v>32952</v>
      </c>
      <c r="C423" s="1">
        <v>3.1320236927394399E-2</v>
      </c>
      <c r="D423" s="1">
        <v>2.9549778059606801E-2</v>
      </c>
      <c r="E423" s="1">
        <v>2.0433869839048199E-2</v>
      </c>
      <c r="F423" s="1">
        <v>3.0745691037466601E-2</v>
      </c>
    </row>
    <row r="424" spans="1:6" x14ac:dyDescent="0.25">
      <c r="A424" s="2" t="str">
        <f t="shared" si="16"/>
        <v>37340</v>
      </c>
      <c r="B424" s="2" t="str">
        <f>"32940"</f>
        <v>32940</v>
      </c>
      <c r="C424" s="1">
        <v>6.3727011958127897E-2</v>
      </c>
      <c r="D424" s="1">
        <v>5.6309448319594099E-2</v>
      </c>
      <c r="E424" s="1">
        <v>3.88383484954513E-2</v>
      </c>
      <c r="F424" s="1">
        <v>6.2124613402762298E-2</v>
      </c>
    </row>
    <row r="425" spans="1:6" x14ac:dyDescent="0.25">
      <c r="A425" s="2" t="str">
        <f t="shared" si="16"/>
        <v>37340</v>
      </c>
      <c r="B425" s="2" t="str">
        <f>"32910"</f>
        <v>32910</v>
      </c>
      <c r="C425" s="1">
        <v>2.82189467410065E-3</v>
      </c>
      <c r="D425" s="1">
        <v>9.00443880786303E-3</v>
      </c>
      <c r="E425" s="1">
        <v>1.39958012596221E-4</v>
      </c>
      <c r="F425" s="1">
        <v>3.2476885697668698E-3</v>
      </c>
    </row>
    <row r="426" spans="1:6" x14ac:dyDescent="0.25">
      <c r="A426" s="2" t="str">
        <f t="shared" si="16"/>
        <v>37340</v>
      </c>
      <c r="B426" s="2" t="str">
        <f>"32911"</f>
        <v>32911</v>
      </c>
      <c r="C426" s="1">
        <v>3.6476636326383599E-3</v>
      </c>
      <c r="D426" s="1">
        <v>5.1680405833861697E-3</v>
      </c>
      <c r="E426" s="1">
        <v>1.39958012596221E-4</v>
      </c>
      <c r="F426" s="1">
        <v>3.6417595677720499E-3</v>
      </c>
    </row>
    <row r="427" spans="1:6" x14ac:dyDescent="0.25">
      <c r="A427" s="2" t="str">
        <f t="shared" si="16"/>
        <v>37340</v>
      </c>
      <c r="B427" s="2" t="str">
        <f>"32936"</f>
        <v>32936</v>
      </c>
      <c r="C427" s="1">
        <v>3.56074058437123E-3</v>
      </c>
      <c r="D427" s="1">
        <v>8.2117945466074795E-3</v>
      </c>
      <c r="E427" s="1">
        <v>1.39958012596221E-4</v>
      </c>
      <c r="F427" s="1">
        <v>3.8265652771813799E-3</v>
      </c>
    </row>
    <row r="428" spans="1:6" x14ac:dyDescent="0.25">
      <c r="A428" s="2" t="str">
        <f t="shared" si="16"/>
        <v>37340</v>
      </c>
      <c r="B428" s="2" t="str">
        <f>"32903"</f>
        <v>32903</v>
      </c>
      <c r="C428" s="1">
        <v>2.4689250102445E-2</v>
      </c>
      <c r="D428" s="1">
        <v>1.98161065313887E-2</v>
      </c>
      <c r="E428" s="1">
        <v>2.7921623512946098E-2</v>
      </c>
      <c r="F428" s="1">
        <v>2.4397071373051998E-2</v>
      </c>
    </row>
    <row r="429" spans="1:6" x14ac:dyDescent="0.25">
      <c r="A429" s="2" t="str">
        <f t="shared" si="16"/>
        <v>37340</v>
      </c>
      <c r="B429" s="2" t="str">
        <f>"32907"</f>
        <v>32907</v>
      </c>
      <c r="C429" s="1">
        <v>5.4497646868907602E-2</v>
      </c>
      <c r="D429" s="1">
        <v>1.6265060240963799E-2</v>
      </c>
      <c r="E429" s="1">
        <v>1.21763470958712E-2</v>
      </c>
      <c r="F429" s="1">
        <v>4.9576849280072999E-2</v>
      </c>
    </row>
    <row r="430" spans="1:6" x14ac:dyDescent="0.25">
      <c r="A430" s="2" t="str">
        <f t="shared" si="16"/>
        <v>37340</v>
      </c>
      <c r="B430" s="2" t="str">
        <f>"32796"</f>
        <v>32796</v>
      </c>
      <c r="C430" s="1">
        <v>3.1202269933317602E-2</v>
      </c>
      <c r="D430" s="1">
        <v>2.6220672162333501E-2</v>
      </c>
      <c r="E430" s="1">
        <v>2.2113365990202902E-2</v>
      </c>
      <c r="F430" s="1">
        <v>3.04222810460003E-2</v>
      </c>
    </row>
    <row r="431" spans="1:6" x14ac:dyDescent="0.25">
      <c r="A431" s="2" t="str">
        <f t="shared" si="16"/>
        <v>37340</v>
      </c>
      <c r="B431" s="2" t="str">
        <f>"32959"</f>
        <v>32959</v>
      </c>
      <c r="C431" s="1">
        <v>0</v>
      </c>
      <c r="D431" s="1">
        <v>6.3411540900443799E-5</v>
      </c>
      <c r="E431" s="1">
        <v>0</v>
      </c>
      <c r="F431" s="1">
        <v>5.4354620414508296E-6</v>
      </c>
    </row>
    <row r="432" spans="1:6" x14ac:dyDescent="0.25">
      <c r="A432" s="2" t="str">
        <f t="shared" si="16"/>
        <v>37340</v>
      </c>
      <c r="B432" s="2" t="str">
        <f>"32950"</f>
        <v>32950</v>
      </c>
      <c r="C432" s="1">
        <v>1.0210353776806401E-2</v>
      </c>
      <c r="D432" s="1">
        <v>7.6410906785034797E-3</v>
      </c>
      <c r="E432" s="1">
        <v>6.2981105668299497E-4</v>
      </c>
      <c r="F432" s="1">
        <v>9.6180500823472397E-3</v>
      </c>
    </row>
    <row r="433" spans="1:6" x14ac:dyDescent="0.25">
      <c r="A433" s="2" t="str">
        <f t="shared" si="16"/>
        <v>37340</v>
      </c>
      <c r="B433" s="2" t="str">
        <f>"32934"</f>
        <v>32934</v>
      </c>
      <c r="C433" s="1">
        <v>2.6542573667283399E-2</v>
      </c>
      <c r="D433" s="1">
        <v>2.7393785668991699E-2</v>
      </c>
      <c r="E433" s="1">
        <v>2.0363890832750101E-2</v>
      </c>
      <c r="F433" s="1">
        <v>2.6375579556140099E-2</v>
      </c>
    </row>
    <row r="434" spans="1:6" x14ac:dyDescent="0.25">
      <c r="A434" s="2" t="str">
        <f t="shared" si="16"/>
        <v>37340</v>
      </c>
      <c r="B434" s="2" t="str">
        <f>"32931"</f>
        <v>32931</v>
      </c>
      <c r="C434" s="1">
        <v>3.5843339831865897E-2</v>
      </c>
      <c r="D434" s="1">
        <v>3.2910589727330297E-2</v>
      </c>
      <c r="E434" s="1">
        <v>8.2575227431770398E-2</v>
      </c>
      <c r="F434" s="1">
        <v>3.7406849769264602E-2</v>
      </c>
    </row>
    <row r="435" spans="1:6" x14ac:dyDescent="0.25">
      <c r="A435" s="2" t="str">
        <f t="shared" si="16"/>
        <v>37340</v>
      </c>
      <c r="B435" s="2" t="str">
        <f>"32906"</f>
        <v>32906</v>
      </c>
      <c r="C435" s="1">
        <v>4.2281854192795301E-3</v>
      </c>
      <c r="D435" s="1">
        <v>7.1337983512999303E-3</v>
      </c>
      <c r="E435" s="1">
        <v>1.39958012596221E-4</v>
      </c>
      <c r="F435" s="1">
        <v>4.3184745919326801E-3</v>
      </c>
    </row>
    <row r="436" spans="1:6" x14ac:dyDescent="0.25">
      <c r="A436" s="2" t="str">
        <f t="shared" si="16"/>
        <v>37340</v>
      </c>
      <c r="B436" s="2" t="str">
        <f>"32904"</f>
        <v>32904</v>
      </c>
      <c r="C436" s="1">
        <v>4.87576212886962E-2</v>
      </c>
      <c r="D436" s="1">
        <v>6.94990488268864E-2</v>
      </c>
      <c r="E436" s="1">
        <v>6.5990202939118198E-2</v>
      </c>
      <c r="F436" s="1">
        <v>5.1204770161487501E-2</v>
      </c>
    </row>
    <row r="437" spans="1:6" x14ac:dyDescent="0.25">
      <c r="A437" s="2" t="str">
        <f t="shared" si="16"/>
        <v>37340</v>
      </c>
      <c r="B437" s="2" t="str">
        <f>"32754"</f>
        <v>32754</v>
      </c>
      <c r="C437" s="1">
        <v>1.7738510635655801E-2</v>
      </c>
      <c r="D437" s="1">
        <v>5.3899809765377204E-3</v>
      </c>
      <c r="E437" s="1">
        <v>4.5486354093771802E-3</v>
      </c>
      <c r="F437" s="1">
        <v>1.61677818422955E-2</v>
      </c>
    </row>
    <row r="438" spans="1:6" x14ac:dyDescent="0.25">
      <c r="A438" s="2" t="str">
        <f t="shared" si="16"/>
        <v>37340</v>
      </c>
      <c r="B438" s="2" t="str">
        <f>"32780"</f>
        <v>32780</v>
      </c>
      <c r="C438" s="1">
        <v>6.3531435099526801E-2</v>
      </c>
      <c r="D438" s="1">
        <v>5.2821813570069702E-2</v>
      </c>
      <c r="E438" s="1">
        <v>6.8089573128061506E-2</v>
      </c>
      <c r="F438" s="1">
        <v>6.279045750284E-2</v>
      </c>
    </row>
    <row r="439" spans="1:6" x14ac:dyDescent="0.25">
      <c r="A439" s="2" t="str">
        <f t="shared" si="16"/>
        <v>37340</v>
      </c>
      <c r="B439" s="2" t="str">
        <f>"32956"</f>
        <v>32956</v>
      </c>
      <c r="C439" s="1">
        <v>3.22236157504563E-3</v>
      </c>
      <c r="D439" s="1">
        <v>1.0431198478123E-2</v>
      </c>
      <c r="E439" s="1">
        <v>1.39958012596221E-4</v>
      </c>
      <c r="F439" s="1">
        <v>3.72057376737309E-3</v>
      </c>
    </row>
    <row r="440" spans="1:6" x14ac:dyDescent="0.25">
      <c r="A440" s="2" t="str">
        <f t="shared" si="16"/>
        <v>37340</v>
      </c>
      <c r="B440" s="2" t="str">
        <f>"32948"</f>
        <v>32948</v>
      </c>
      <c r="C440" s="1">
        <v>2.4835156647750501E-5</v>
      </c>
      <c r="D440" s="1">
        <v>1.58528852251109E-4</v>
      </c>
      <c r="E440" s="1">
        <v>0</v>
      </c>
      <c r="F440" s="1">
        <v>3.5330503269430398E-5</v>
      </c>
    </row>
    <row r="441" spans="1:6" x14ac:dyDescent="0.25">
      <c r="A441" s="2" t="str">
        <f t="shared" si="16"/>
        <v>37340</v>
      </c>
      <c r="B441" s="2" t="str">
        <f>"32941"</f>
        <v>32941</v>
      </c>
      <c r="C441" s="1">
        <v>3.7966745725248599E-3</v>
      </c>
      <c r="D441" s="1">
        <v>1.16994292961318E-2</v>
      </c>
      <c r="E441" s="1">
        <v>1.39958012596221E-4</v>
      </c>
      <c r="F441" s="1">
        <v>4.3320632470363104E-3</v>
      </c>
    </row>
    <row r="442" spans="1:6" x14ac:dyDescent="0.25">
      <c r="A442" s="2" t="str">
        <f t="shared" si="16"/>
        <v>37340</v>
      </c>
      <c r="B442" s="2" t="str">
        <f>"32908"</f>
        <v>32908</v>
      </c>
      <c r="C442" s="1">
        <v>1.5823099179198E-2</v>
      </c>
      <c r="D442" s="1">
        <v>6.0240963855421605E-4</v>
      </c>
      <c r="E442" s="1">
        <v>1.7494751574527599E-3</v>
      </c>
      <c r="F442" s="1">
        <v>1.39718551775493E-2</v>
      </c>
    </row>
    <row r="443" spans="1:6" x14ac:dyDescent="0.25">
      <c r="A443" s="2" t="str">
        <f t="shared" si="16"/>
        <v>37340</v>
      </c>
      <c r="B443" s="2" t="str">
        <f>"32927"</f>
        <v>32927</v>
      </c>
      <c r="C443" s="1">
        <v>3.4977213743775597E-2</v>
      </c>
      <c r="D443" s="1">
        <v>1.1509194673430499E-2</v>
      </c>
      <c r="E443" s="1">
        <v>1.46955913226032E-2</v>
      </c>
      <c r="F443" s="1">
        <v>3.2177935285388898E-2</v>
      </c>
    </row>
    <row r="444" spans="1:6" x14ac:dyDescent="0.25">
      <c r="A444" s="2" t="str">
        <f t="shared" si="16"/>
        <v>37340</v>
      </c>
      <c r="B444" s="2" t="str">
        <f>"32937"</f>
        <v>32937</v>
      </c>
      <c r="C444" s="1">
        <v>4.4517018291092801E-2</v>
      </c>
      <c r="D444" s="1">
        <v>4.6163601775523103E-2</v>
      </c>
      <c r="E444" s="1">
        <v>5.2204338698390397E-2</v>
      </c>
      <c r="F444" s="1">
        <v>4.4956706544839797E-2</v>
      </c>
    </row>
    <row r="445" spans="1:6" x14ac:dyDescent="0.25">
      <c r="A445" s="2" t="str">
        <f t="shared" si="16"/>
        <v>37340</v>
      </c>
      <c r="B445" s="2" t="str">
        <f>"32781"</f>
        <v>32781</v>
      </c>
      <c r="C445" s="1">
        <v>4.68763581726291E-3</v>
      </c>
      <c r="D445" s="1">
        <v>8.4020291693088101E-3</v>
      </c>
      <c r="E445" s="1">
        <v>1.39958012596221E-4</v>
      </c>
      <c r="F445" s="1">
        <v>4.8294080238290597E-3</v>
      </c>
    </row>
    <row r="446" spans="1:6" x14ac:dyDescent="0.25">
      <c r="A446" s="2" t="str">
        <f t="shared" ref="A446:A458" si="17">"42700"</f>
        <v>42700</v>
      </c>
      <c r="B446" s="2" t="str">
        <f>"33960"</f>
        <v>33960</v>
      </c>
      <c r="C446" s="1">
        <v>9.1499365624300305E-3</v>
      </c>
      <c r="D446" s="1">
        <v>7.5915733535775196E-3</v>
      </c>
      <c r="E446" s="1">
        <v>2.6857654431512901E-3</v>
      </c>
      <c r="F446" s="1">
        <v>8.9396437769994896E-3</v>
      </c>
    </row>
    <row r="447" spans="1:6" x14ac:dyDescent="0.25">
      <c r="A447" s="2" t="str">
        <f t="shared" si="17"/>
        <v>42700</v>
      </c>
      <c r="B447" s="2" t="str">
        <f>"34974"</f>
        <v>34974</v>
      </c>
      <c r="C447" s="1">
        <v>6.5228748414060704E-3</v>
      </c>
      <c r="D447" s="1">
        <v>1.5183146707155001E-3</v>
      </c>
      <c r="E447" s="1">
        <v>5.3715308863025897E-3</v>
      </c>
      <c r="F447" s="1">
        <v>6.14600509668715E-3</v>
      </c>
    </row>
    <row r="448" spans="1:6" x14ac:dyDescent="0.25">
      <c r="A448" s="2" t="str">
        <f t="shared" si="17"/>
        <v>42700</v>
      </c>
      <c r="B448" s="2" t="str">
        <f>"34266"</f>
        <v>34266</v>
      </c>
      <c r="C448" s="1">
        <v>1.49264870512724E-5</v>
      </c>
      <c r="D448" s="1">
        <v>0</v>
      </c>
      <c r="E448" s="1">
        <v>0</v>
      </c>
      <c r="F448" s="1">
        <v>1.36275057576211E-5</v>
      </c>
    </row>
    <row r="449" spans="1:6" x14ac:dyDescent="0.25">
      <c r="A449" s="2" t="str">
        <f t="shared" si="17"/>
        <v>42700</v>
      </c>
      <c r="B449" s="2" t="str">
        <f>"33857"</f>
        <v>33857</v>
      </c>
      <c r="C449" s="1">
        <v>1.62400179117844E-2</v>
      </c>
      <c r="D449" s="1">
        <v>5.31410134750427E-3</v>
      </c>
      <c r="E449" s="1">
        <v>2.6857654431512901E-3</v>
      </c>
      <c r="F449" s="1">
        <v>1.5249178942778101E-2</v>
      </c>
    </row>
    <row r="450" spans="1:6" x14ac:dyDescent="0.25">
      <c r="A450" s="2" t="str">
        <f t="shared" si="17"/>
        <v>42700</v>
      </c>
      <c r="B450" s="2" t="str">
        <f>"33852"</f>
        <v>33852</v>
      </c>
      <c r="C450" s="1">
        <v>0.211015747443839</v>
      </c>
      <c r="D450" s="1">
        <v>0.161510723097361</v>
      </c>
      <c r="E450" s="1">
        <v>5.8191584601611397E-2</v>
      </c>
      <c r="F450" s="1">
        <v>0.205134844169471</v>
      </c>
    </row>
    <row r="451" spans="1:6" x14ac:dyDescent="0.25">
      <c r="A451" s="2" t="str">
        <f t="shared" si="17"/>
        <v>42700</v>
      </c>
      <c r="B451" s="2" t="str">
        <f>"33862"</f>
        <v>33862</v>
      </c>
      <c r="C451" s="1">
        <v>3.5495186207925897E-2</v>
      </c>
      <c r="D451" s="1">
        <v>5.12431201366483E-2</v>
      </c>
      <c r="E451" s="1">
        <v>1.7905102954341901E-3</v>
      </c>
      <c r="F451" s="1">
        <v>3.6112890257696102E-2</v>
      </c>
    </row>
    <row r="452" spans="1:6" x14ac:dyDescent="0.25">
      <c r="A452" s="2" t="str">
        <f t="shared" si="17"/>
        <v>42700</v>
      </c>
      <c r="B452" s="2" t="str">
        <f>"33843"</f>
        <v>33843</v>
      </c>
      <c r="C452" s="1">
        <v>1.49264870512724E-5</v>
      </c>
      <c r="D452" s="1">
        <v>0</v>
      </c>
      <c r="E452" s="1">
        <v>0</v>
      </c>
      <c r="F452" s="1">
        <v>1.36275057576211E-5</v>
      </c>
    </row>
    <row r="453" spans="1:6" x14ac:dyDescent="0.25">
      <c r="A453" s="2" t="str">
        <f t="shared" si="17"/>
        <v>42700</v>
      </c>
      <c r="B453" s="2" t="str">
        <f>"33825"</f>
        <v>33825</v>
      </c>
      <c r="C453" s="1">
        <v>0.194507052765131</v>
      </c>
      <c r="D453" s="1">
        <v>0.17175934712469099</v>
      </c>
      <c r="E453" s="1">
        <v>0.61683079677708097</v>
      </c>
      <c r="F453" s="1">
        <v>0.19930227170520901</v>
      </c>
    </row>
    <row r="454" spans="1:6" x14ac:dyDescent="0.25">
      <c r="A454" s="2" t="str">
        <f t="shared" si="17"/>
        <v>42700</v>
      </c>
      <c r="B454" s="2" t="str">
        <f>"33872"</f>
        <v>33872</v>
      </c>
      <c r="C454" s="1">
        <v>0.14292111351593401</v>
      </c>
      <c r="D454" s="1">
        <v>5.5418485481115901E-2</v>
      </c>
      <c r="E454" s="1">
        <v>2.41718889883616E-2</v>
      </c>
      <c r="F454" s="1">
        <v>0.13483054196590299</v>
      </c>
    </row>
    <row r="455" spans="1:6" x14ac:dyDescent="0.25">
      <c r="A455" s="2" t="str">
        <f t="shared" si="17"/>
        <v>42700</v>
      </c>
      <c r="B455" s="2" t="str">
        <f>"33871"</f>
        <v>33871</v>
      </c>
      <c r="C455" s="1">
        <v>2.96738562579296E-2</v>
      </c>
      <c r="D455" s="1">
        <v>6.3389637502372295E-2</v>
      </c>
      <c r="E455" s="1">
        <v>1.7905102954341901E-3</v>
      </c>
      <c r="F455" s="1">
        <v>3.1670323380711601E-2</v>
      </c>
    </row>
    <row r="456" spans="1:6" x14ac:dyDescent="0.25">
      <c r="A456" s="2" t="str">
        <f t="shared" si="17"/>
        <v>42700</v>
      </c>
      <c r="B456" s="2" t="str">
        <f>"33876"</f>
        <v>33876</v>
      </c>
      <c r="C456" s="1">
        <v>4.57049033509963E-2</v>
      </c>
      <c r="D456" s="1">
        <v>4.8016701461377799E-2</v>
      </c>
      <c r="E456" s="1">
        <v>1.79051029543419E-2</v>
      </c>
      <c r="F456" s="1">
        <v>4.5447731701666598E-2</v>
      </c>
    </row>
    <row r="457" spans="1:6" x14ac:dyDescent="0.25">
      <c r="A457" s="2" t="str">
        <f t="shared" si="17"/>
        <v>42700</v>
      </c>
      <c r="B457" s="2" t="str">
        <f>"33870"</f>
        <v>33870</v>
      </c>
      <c r="C457" s="1">
        <v>0.22015075751921701</v>
      </c>
      <c r="D457" s="1">
        <v>0.41563864110836901</v>
      </c>
      <c r="E457" s="1">
        <v>0.26589077887197798</v>
      </c>
      <c r="F457" s="1">
        <v>0.23488368923835801</v>
      </c>
    </row>
    <row r="458" spans="1:6" x14ac:dyDescent="0.25">
      <c r="A458" s="2" t="str">
        <f t="shared" si="17"/>
        <v>42700</v>
      </c>
      <c r="B458" s="2" t="str">
        <f>"33875"</f>
        <v>33875</v>
      </c>
      <c r="C458" s="1">
        <v>8.8588700649302105E-2</v>
      </c>
      <c r="D458" s="1">
        <v>1.85993547162649E-2</v>
      </c>
      <c r="E458" s="1">
        <v>2.6857654431512901E-3</v>
      </c>
      <c r="F458" s="1">
        <v>8.2255624753001397E-2</v>
      </c>
    </row>
    <row r="459" spans="1:6" x14ac:dyDescent="0.25">
      <c r="A459" s="2" t="str">
        <f t="shared" ref="A459:A490" si="18">"15980"</f>
        <v>15980</v>
      </c>
      <c r="B459" s="2" t="str">
        <f>"33970"</f>
        <v>33970</v>
      </c>
      <c r="C459" s="1">
        <v>3.3712824044013802E-3</v>
      </c>
      <c r="D459" s="1">
        <v>4.4588918934468603E-3</v>
      </c>
      <c r="E459" s="1">
        <v>6.6032752245113498E-5</v>
      </c>
      <c r="F459" s="1">
        <v>3.24613366598168E-3</v>
      </c>
    </row>
    <row r="460" spans="1:6" x14ac:dyDescent="0.25">
      <c r="A460" s="2" t="str">
        <f t="shared" si="18"/>
        <v>15980</v>
      </c>
      <c r="B460" s="2" t="str">
        <f>"33972"</f>
        <v>33972</v>
      </c>
      <c r="C460" s="1">
        <v>1.2013226333435699E-2</v>
      </c>
      <c r="D460" s="1">
        <v>4.3150566710776101E-4</v>
      </c>
      <c r="E460" s="1">
        <v>8.2540940306391898E-4</v>
      </c>
      <c r="F460" s="1">
        <v>1.05238207153948E-2</v>
      </c>
    </row>
    <row r="461" spans="1:6" x14ac:dyDescent="0.25">
      <c r="A461" s="2" t="str">
        <f t="shared" si="18"/>
        <v>15980</v>
      </c>
      <c r="B461" s="2" t="str">
        <f>"33913"</f>
        <v>33913</v>
      </c>
      <c r="C461" s="1">
        <v>3.6723640338006201E-2</v>
      </c>
      <c r="D461" s="1">
        <v>3.5527299925205598E-2</v>
      </c>
      <c r="E461" s="1">
        <v>4.6982303222398297E-2</v>
      </c>
      <c r="F461" s="1">
        <v>3.7264248538135002E-2</v>
      </c>
    </row>
    <row r="462" spans="1:6" x14ac:dyDescent="0.25">
      <c r="A462" s="2" t="str">
        <f t="shared" si="18"/>
        <v>15980</v>
      </c>
      <c r="B462" s="2" t="str">
        <f>"33911"</f>
        <v>33911</v>
      </c>
      <c r="C462" s="1">
        <v>2.3268549562934799E-3</v>
      </c>
      <c r="D462" s="1">
        <v>2.87670444738507E-4</v>
      </c>
      <c r="E462" s="1">
        <v>6.6032752245113498E-5</v>
      </c>
      <c r="F462" s="1">
        <v>2.0469122559624601E-3</v>
      </c>
    </row>
    <row r="463" spans="1:6" x14ac:dyDescent="0.25">
      <c r="A463" s="2" t="str">
        <f t="shared" si="18"/>
        <v>15980</v>
      </c>
      <c r="B463" s="2" t="str">
        <f>"33916"</f>
        <v>33916</v>
      </c>
      <c r="C463" s="1">
        <v>2.9403405480471202E-2</v>
      </c>
      <c r="D463" s="1">
        <v>3.5843737414418E-2</v>
      </c>
      <c r="E463" s="1">
        <v>3.6020866349709399E-2</v>
      </c>
      <c r="F463" s="1">
        <v>3.0255733463499999E-2</v>
      </c>
    </row>
    <row r="464" spans="1:6" x14ac:dyDescent="0.25">
      <c r="A464" s="2" t="str">
        <f t="shared" si="18"/>
        <v>15980</v>
      </c>
      <c r="B464" s="2" t="str">
        <f>"33905"</f>
        <v>33905</v>
      </c>
      <c r="C464" s="1">
        <v>3.8895679721239501E-2</v>
      </c>
      <c r="D464" s="1">
        <v>3.41464817904608E-2</v>
      </c>
      <c r="E464" s="1">
        <v>2.3276545166402499E-2</v>
      </c>
      <c r="F464" s="1">
        <v>3.7613770356130498E-2</v>
      </c>
    </row>
    <row r="465" spans="1:6" x14ac:dyDescent="0.25">
      <c r="A465" s="2" t="str">
        <f t="shared" si="18"/>
        <v>15980</v>
      </c>
      <c r="B465" s="2" t="str">
        <f>"33909"</f>
        <v>33909</v>
      </c>
      <c r="C465" s="1">
        <v>3.1027813657506301E-2</v>
      </c>
      <c r="D465" s="1">
        <v>3.8461538461538401E-2</v>
      </c>
      <c r="E465" s="1">
        <v>2.3012414157422001E-2</v>
      </c>
      <c r="F465" s="1">
        <v>3.1059231895673702E-2</v>
      </c>
    </row>
    <row r="466" spans="1:6" x14ac:dyDescent="0.25">
      <c r="A466" s="2" t="str">
        <f t="shared" si="18"/>
        <v>15980</v>
      </c>
      <c r="B466" s="2" t="str">
        <f>"33901"</f>
        <v>33901</v>
      </c>
      <c r="C466" s="1">
        <v>2.7055754402423401E-2</v>
      </c>
      <c r="D466" s="1">
        <v>8.6128531154709101E-2</v>
      </c>
      <c r="E466" s="1">
        <v>3.9223454833597397E-2</v>
      </c>
      <c r="F466" s="1">
        <v>3.192098396418E-2</v>
      </c>
    </row>
    <row r="467" spans="1:6" x14ac:dyDescent="0.25">
      <c r="A467" s="2" t="str">
        <f t="shared" si="18"/>
        <v>15980</v>
      </c>
      <c r="B467" s="2" t="str">
        <f>"33957"</f>
        <v>33957</v>
      </c>
      <c r="C467" s="1">
        <v>1.6699285768751699E-2</v>
      </c>
      <c r="D467" s="1">
        <v>1.4642425637189999E-2</v>
      </c>
      <c r="E467" s="1">
        <v>1.15887480190174E-2</v>
      </c>
      <c r="F467" s="1">
        <v>1.6244729552471401E-2</v>
      </c>
    </row>
    <row r="468" spans="1:6" x14ac:dyDescent="0.25">
      <c r="A468" s="2" t="str">
        <f t="shared" si="18"/>
        <v>15980</v>
      </c>
      <c r="B468" s="2" t="str">
        <f>"33990"</f>
        <v>33990</v>
      </c>
      <c r="C468" s="1">
        <v>3.35556977907586E-2</v>
      </c>
      <c r="D468" s="1">
        <v>3.8576606639433797E-2</v>
      </c>
      <c r="E468" s="1">
        <v>3.7704701531959803E-2</v>
      </c>
      <c r="F468" s="1">
        <v>3.4158727097783698E-2</v>
      </c>
    </row>
    <row r="469" spans="1:6" x14ac:dyDescent="0.25">
      <c r="A469" s="2" t="str">
        <f t="shared" si="18"/>
        <v>15980</v>
      </c>
      <c r="B469" s="2" t="str">
        <f>"33919"</f>
        <v>33919</v>
      </c>
      <c r="C469" s="1">
        <v>4.5735293098229303E-2</v>
      </c>
      <c r="D469" s="1">
        <v>4.7034117714745902E-2</v>
      </c>
      <c r="E469" s="1">
        <v>7.7357369255150493E-2</v>
      </c>
      <c r="F469" s="1">
        <v>4.7749903078001601E-2</v>
      </c>
    </row>
    <row r="470" spans="1:6" x14ac:dyDescent="0.25">
      <c r="A470" s="2" t="str">
        <f t="shared" si="18"/>
        <v>15980</v>
      </c>
      <c r="B470" s="2" t="str">
        <f>"33971"</f>
        <v>33971</v>
      </c>
      <c r="C470" s="1">
        <v>1.9564529210463599E-2</v>
      </c>
      <c r="D470" s="1">
        <v>1.8353374374316701E-2</v>
      </c>
      <c r="E470" s="1">
        <v>5.0184891706286303E-3</v>
      </c>
      <c r="F470" s="1">
        <v>1.85949624665794E-2</v>
      </c>
    </row>
    <row r="471" spans="1:6" x14ac:dyDescent="0.25">
      <c r="A471" s="2" t="str">
        <f t="shared" si="18"/>
        <v>15980</v>
      </c>
      <c r="B471" s="2" t="str">
        <f>"33903"</f>
        <v>33903</v>
      </c>
      <c r="C471" s="1">
        <v>3.6030436279527601E-2</v>
      </c>
      <c r="D471" s="1">
        <v>3.6562913526264298E-2</v>
      </c>
      <c r="E471" s="1">
        <v>2.2451135763338601E-2</v>
      </c>
      <c r="F471" s="1">
        <v>3.5241441235137699E-2</v>
      </c>
    </row>
    <row r="472" spans="1:6" x14ac:dyDescent="0.25">
      <c r="A472" s="2" t="str">
        <f t="shared" si="18"/>
        <v>15980</v>
      </c>
      <c r="B472" s="2" t="str">
        <f>"33904"</f>
        <v>33904</v>
      </c>
      <c r="C472" s="1">
        <v>4.5691390174525601E-2</v>
      </c>
      <c r="D472" s="1">
        <v>4.5509464357631799E-2</v>
      </c>
      <c r="E472" s="1">
        <v>7.5145272054939205E-2</v>
      </c>
      <c r="F472" s="1">
        <v>4.7470687372821202E-2</v>
      </c>
    </row>
    <row r="473" spans="1:6" x14ac:dyDescent="0.25">
      <c r="A473" s="2" t="str">
        <f t="shared" si="18"/>
        <v>15980</v>
      </c>
      <c r="B473" s="2" t="str">
        <f>"34135"</f>
        <v>34135</v>
      </c>
      <c r="C473" s="1">
        <v>6.7085978099373098E-2</v>
      </c>
      <c r="D473" s="1">
        <v>5.7534088947701498E-2</v>
      </c>
      <c r="E473" s="1">
        <v>0.100303750660327</v>
      </c>
      <c r="F473" s="1">
        <v>6.8439987706473901E-2</v>
      </c>
    </row>
    <row r="474" spans="1:6" x14ac:dyDescent="0.25">
      <c r="A474" s="2" t="str">
        <f t="shared" si="18"/>
        <v>15980</v>
      </c>
      <c r="B474" s="2" t="str">
        <f>"33956"</f>
        <v>33956</v>
      </c>
      <c r="C474" s="1">
        <v>9.3536334290725102E-3</v>
      </c>
      <c r="D474" s="1">
        <v>5.58080662792704E-3</v>
      </c>
      <c r="E474" s="1">
        <v>1.6178024300052801E-3</v>
      </c>
      <c r="F474" s="1">
        <v>8.6195294311431896E-3</v>
      </c>
    </row>
    <row r="475" spans="1:6" x14ac:dyDescent="0.25">
      <c r="A475" s="2" t="str">
        <f t="shared" si="18"/>
        <v>15980</v>
      </c>
      <c r="B475" s="2" t="str">
        <f>"33945"</f>
        <v>33945</v>
      </c>
      <c r="C475" s="1">
        <v>0</v>
      </c>
      <c r="D475" s="1">
        <v>0</v>
      </c>
      <c r="E475" s="1">
        <v>3.3016376122556701E-5</v>
      </c>
      <c r="F475" s="1">
        <v>2.0087460804342101E-6</v>
      </c>
    </row>
    <row r="476" spans="1:6" x14ac:dyDescent="0.25">
      <c r="A476" s="2" t="str">
        <f t="shared" si="18"/>
        <v>15980</v>
      </c>
      <c r="B476" s="2" t="str">
        <f>"34110"</f>
        <v>34110</v>
      </c>
      <c r="C476" s="1">
        <v>7.85631266275853E-4</v>
      </c>
      <c r="D476" s="1">
        <v>0</v>
      </c>
      <c r="E476" s="1">
        <v>2.7403592181722098E-3</v>
      </c>
      <c r="F476" s="1">
        <v>8.4969959202367096E-4</v>
      </c>
    </row>
    <row r="477" spans="1:6" x14ac:dyDescent="0.25">
      <c r="A477" s="2" t="str">
        <f t="shared" si="18"/>
        <v>15980</v>
      </c>
      <c r="B477" s="2" t="str">
        <f>"33920"</f>
        <v>33920</v>
      </c>
      <c r="C477" s="1">
        <v>7.3849339029930204E-3</v>
      </c>
      <c r="D477" s="1">
        <v>1.78355675737874E-3</v>
      </c>
      <c r="E477" s="1">
        <v>8.5842577918647598E-4</v>
      </c>
      <c r="F477" s="1">
        <v>6.5967221281459402E-3</v>
      </c>
    </row>
    <row r="478" spans="1:6" x14ac:dyDescent="0.25">
      <c r="A478" s="2" t="str">
        <f t="shared" si="18"/>
        <v>15980</v>
      </c>
      <c r="B478" s="2" t="str">
        <f>"33910"</f>
        <v>33910</v>
      </c>
      <c r="C478" s="1">
        <v>2.2898840731746199E-3</v>
      </c>
      <c r="D478" s="1">
        <v>1.00396985213739E-2</v>
      </c>
      <c r="E478" s="1">
        <v>6.6032752245113498E-5</v>
      </c>
      <c r="F478" s="1">
        <v>2.6957372399427099E-3</v>
      </c>
    </row>
    <row r="479" spans="1:6" x14ac:dyDescent="0.25">
      <c r="A479" s="2" t="str">
        <f t="shared" si="18"/>
        <v>15980</v>
      </c>
      <c r="B479" s="2" t="str">
        <f>"33906"</f>
        <v>33906</v>
      </c>
      <c r="C479" s="1">
        <v>3.3343115212825102E-3</v>
      </c>
      <c r="D479" s="1">
        <v>1.9561590242218499E-2</v>
      </c>
      <c r="E479" s="1">
        <v>6.6032752245113498E-5</v>
      </c>
      <c r="F479" s="1">
        <v>4.26858542092269E-3</v>
      </c>
    </row>
    <row r="480" spans="1:6" x14ac:dyDescent="0.25">
      <c r="A480" s="2" t="str">
        <f t="shared" si="18"/>
        <v>15980</v>
      </c>
      <c r="B480" s="2" t="str">
        <f>"33994"</f>
        <v>33994</v>
      </c>
      <c r="C480" s="1">
        <v>2.9853988118482399E-3</v>
      </c>
      <c r="D480" s="1">
        <v>5.8684770726655502E-3</v>
      </c>
      <c r="E480" s="1">
        <v>6.6032752245113498E-5</v>
      </c>
      <c r="F480" s="1">
        <v>3.0091016284904399E-3</v>
      </c>
    </row>
    <row r="481" spans="1:6" x14ac:dyDescent="0.25">
      <c r="A481" s="2" t="str">
        <f t="shared" si="18"/>
        <v>15980</v>
      </c>
      <c r="B481" s="2" t="str">
        <f>"33993"</f>
        <v>33993</v>
      </c>
      <c r="C481" s="1">
        <v>2.65196765971999E-2</v>
      </c>
      <c r="D481" s="1">
        <v>2.7041021805419702E-3</v>
      </c>
      <c r="E481" s="1">
        <v>2.1790808240887399E-3</v>
      </c>
      <c r="F481" s="1">
        <v>2.33757781380129E-2</v>
      </c>
    </row>
    <row r="482" spans="1:6" x14ac:dyDescent="0.25">
      <c r="A482" s="2" t="str">
        <f t="shared" si="18"/>
        <v>15980</v>
      </c>
      <c r="B482" s="2" t="str">
        <f>"34136"</f>
        <v>34136</v>
      </c>
      <c r="C482" s="1">
        <v>3.2349522729005699E-3</v>
      </c>
      <c r="D482" s="1">
        <v>5.8972441171394E-3</v>
      </c>
      <c r="E482" s="1">
        <v>6.6032752245113498E-5</v>
      </c>
      <c r="F482" s="1">
        <v>3.2280549512577702E-3</v>
      </c>
    </row>
    <row r="483" spans="1:6" x14ac:dyDescent="0.25">
      <c r="A483" s="2" t="str">
        <f t="shared" si="18"/>
        <v>15980</v>
      </c>
      <c r="B483" s="2" t="str">
        <f>"34134"</f>
        <v>34134</v>
      </c>
      <c r="C483" s="1">
        <v>3.1711774995205298E-2</v>
      </c>
      <c r="D483" s="1">
        <v>3.9008112306541602E-2</v>
      </c>
      <c r="E483" s="1">
        <v>6.3589540412044301E-2</v>
      </c>
      <c r="F483" s="1">
        <v>3.4160735843864101E-2</v>
      </c>
    </row>
    <row r="484" spans="1:6" x14ac:dyDescent="0.25">
      <c r="A484" s="2" t="str">
        <f t="shared" si="18"/>
        <v>15980</v>
      </c>
      <c r="B484" s="2" t="str">
        <f>"34133"</f>
        <v>34133</v>
      </c>
      <c r="C484" s="1">
        <v>5.3677100928200203E-3</v>
      </c>
      <c r="D484" s="1">
        <v>8.0547724526782109E-3</v>
      </c>
      <c r="E484" s="1">
        <v>6.6032752245113498E-5</v>
      </c>
      <c r="F484" s="1">
        <v>5.2327835395311103E-3</v>
      </c>
    </row>
    <row r="485" spans="1:6" x14ac:dyDescent="0.25">
      <c r="A485" s="2" t="str">
        <f t="shared" si="18"/>
        <v>15980</v>
      </c>
      <c r="B485" s="2" t="str">
        <f>"33932"</f>
        <v>33932</v>
      </c>
      <c r="C485" s="1">
        <v>3.57924362194499E-3</v>
      </c>
      <c r="D485" s="1">
        <v>2.8767044473850699E-3</v>
      </c>
      <c r="E485" s="1">
        <v>6.6032752245113498E-5</v>
      </c>
      <c r="F485" s="1">
        <v>3.3164397787968799E-3</v>
      </c>
    </row>
    <row r="486" spans="1:6" x14ac:dyDescent="0.25">
      <c r="A486" s="2" t="str">
        <f t="shared" si="18"/>
        <v>15980</v>
      </c>
      <c r="B486" s="2" t="str">
        <f>"33924"</f>
        <v>33924</v>
      </c>
      <c r="C486" s="1">
        <v>1.24776730526164E-4</v>
      </c>
      <c r="D486" s="1">
        <v>0</v>
      </c>
      <c r="E486" s="1">
        <v>7.2636027469624904E-4</v>
      </c>
      <c r="F486" s="1">
        <v>1.5266470211300001E-4</v>
      </c>
    </row>
    <row r="487" spans="1:6" x14ac:dyDescent="0.25">
      <c r="A487" s="2" t="str">
        <f t="shared" si="18"/>
        <v>15980</v>
      </c>
      <c r="B487" s="2" t="str">
        <f>"33922"</f>
        <v>33922</v>
      </c>
      <c r="C487" s="1">
        <v>6.3982734597583402E-3</v>
      </c>
      <c r="D487" s="1">
        <v>3.5671135147574899E-3</v>
      </c>
      <c r="E487" s="1">
        <v>4.4572107765451603E-3</v>
      </c>
      <c r="F487" s="1">
        <v>6.0824831315547797E-3</v>
      </c>
    </row>
    <row r="488" spans="1:6" x14ac:dyDescent="0.25">
      <c r="A488" s="2" t="str">
        <f t="shared" si="18"/>
        <v>15980</v>
      </c>
      <c r="B488" s="2" t="str">
        <f>"33921"</f>
        <v>33921</v>
      </c>
      <c r="C488" s="1">
        <v>4.0667971430749999E-4</v>
      </c>
      <c r="D488" s="1">
        <v>8.6301133421552194E-5</v>
      </c>
      <c r="E488" s="1">
        <v>1.68383518225039E-3</v>
      </c>
      <c r="F488" s="1">
        <v>4.6201159849986801E-4</v>
      </c>
    </row>
    <row r="489" spans="1:6" x14ac:dyDescent="0.25">
      <c r="A489" s="2" t="str">
        <f t="shared" si="18"/>
        <v>15980</v>
      </c>
      <c r="B489" s="2" t="str">
        <f>"33918"</f>
        <v>33918</v>
      </c>
      <c r="C489" s="1">
        <v>2.81209779722857E-3</v>
      </c>
      <c r="D489" s="1">
        <v>7.1342270295149798E-3</v>
      </c>
      <c r="E489" s="1">
        <v>6.6032752245113498E-5</v>
      </c>
      <c r="F489" s="1">
        <v>2.9468304999969801E-3</v>
      </c>
    </row>
    <row r="490" spans="1:6" x14ac:dyDescent="0.25">
      <c r="A490" s="2" t="str">
        <f t="shared" si="18"/>
        <v>15980</v>
      </c>
      <c r="B490" s="2" t="str">
        <f>"33917"</f>
        <v>33917</v>
      </c>
      <c r="C490" s="1">
        <v>4.3267486650045102E-2</v>
      </c>
      <c r="D490" s="1">
        <v>1.01547666992693E-2</v>
      </c>
      <c r="E490" s="1">
        <v>1.9182514527205399E-2</v>
      </c>
      <c r="F490" s="1">
        <v>3.9489939195256098E-2</v>
      </c>
    </row>
    <row r="491" spans="1:6" x14ac:dyDescent="0.25">
      <c r="A491" s="2" t="str">
        <f t="shared" ref="A491:A509" si="19">"15980"</f>
        <v>15980</v>
      </c>
      <c r="B491" s="2" t="str">
        <f>"33912"</f>
        <v>33912</v>
      </c>
      <c r="C491" s="1">
        <v>2.8599288772636001E-2</v>
      </c>
      <c r="D491" s="1">
        <v>5.1090270985558899E-2</v>
      </c>
      <c r="E491" s="1">
        <v>4.7180401479133598E-2</v>
      </c>
      <c r="F491" s="1">
        <v>3.1300281425325802E-2</v>
      </c>
    </row>
    <row r="492" spans="1:6" x14ac:dyDescent="0.25">
      <c r="A492" s="2" t="str">
        <f t="shared" si="19"/>
        <v>15980</v>
      </c>
      <c r="B492" s="2" t="str">
        <f>"33902"</f>
        <v>33902</v>
      </c>
      <c r="C492" s="1">
        <v>4.32559332490705E-3</v>
      </c>
      <c r="D492" s="1">
        <v>1.63109142166733E-2</v>
      </c>
      <c r="E492" s="1">
        <v>6.6032752245113498E-5</v>
      </c>
      <c r="F492" s="1">
        <v>4.9033491823398997E-3</v>
      </c>
    </row>
    <row r="493" spans="1:6" x14ac:dyDescent="0.25">
      <c r="A493" s="2" t="str">
        <f t="shared" si="19"/>
        <v>15980</v>
      </c>
      <c r="B493" s="2" t="str">
        <f>"33966"</f>
        <v>33966</v>
      </c>
      <c r="C493" s="1">
        <v>1.5493110706998801E-2</v>
      </c>
      <c r="D493" s="1">
        <v>3.8749208906276901E-2</v>
      </c>
      <c r="E493" s="1">
        <v>2.8030903328050701E-2</v>
      </c>
      <c r="F493" s="1">
        <v>1.7879848861944901E-2</v>
      </c>
    </row>
    <row r="494" spans="1:6" x14ac:dyDescent="0.25">
      <c r="A494" s="2" t="str">
        <f t="shared" si="19"/>
        <v>15980</v>
      </c>
      <c r="B494" s="2" t="str">
        <f>"33931"</f>
        <v>33931</v>
      </c>
      <c r="C494" s="1">
        <v>2.9257832628190698E-2</v>
      </c>
      <c r="D494" s="1">
        <v>2.05684367988032E-2</v>
      </c>
      <c r="E494" s="1">
        <v>2.6809297411516098E-2</v>
      </c>
      <c r="F494" s="1">
        <v>2.8502098135281002E-2</v>
      </c>
    </row>
    <row r="495" spans="1:6" x14ac:dyDescent="0.25">
      <c r="A495" s="2" t="str">
        <f t="shared" si="19"/>
        <v>15980</v>
      </c>
      <c r="B495" s="2" t="str">
        <f>"33974"</f>
        <v>33974</v>
      </c>
      <c r="C495" s="1">
        <v>1.2882042086729001E-2</v>
      </c>
      <c r="D495" s="1">
        <v>3.4520453368620899E-4</v>
      </c>
      <c r="E495" s="1">
        <v>1.3536714210248199E-3</v>
      </c>
      <c r="F495" s="1">
        <v>1.13052229406837E-2</v>
      </c>
    </row>
    <row r="496" spans="1:6" x14ac:dyDescent="0.25">
      <c r="A496" s="2" t="str">
        <f t="shared" si="19"/>
        <v>15980</v>
      </c>
      <c r="B496" s="2" t="str">
        <f>"33967"</f>
        <v>33967</v>
      </c>
      <c r="C496" s="1">
        <v>2.6917113590727699E-2</v>
      </c>
      <c r="D496" s="1">
        <v>1.35492779471837E-2</v>
      </c>
      <c r="E496" s="1">
        <v>1.2876386687797101E-2</v>
      </c>
      <c r="F496" s="1">
        <v>2.51294134662319E-2</v>
      </c>
    </row>
    <row r="497" spans="1:6" x14ac:dyDescent="0.25">
      <c r="A497" s="2" t="str">
        <f t="shared" si="19"/>
        <v>15980</v>
      </c>
      <c r="B497" s="2" t="str">
        <f>"33908"</f>
        <v>33908</v>
      </c>
      <c r="C497" s="1">
        <v>6.8652619271534904E-2</v>
      </c>
      <c r="D497" s="1">
        <v>5.5980668546113499E-2</v>
      </c>
      <c r="E497" s="1">
        <v>0.10185552033808699</v>
      </c>
      <c r="F497" s="1">
        <v>6.9787856326445297E-2</v>
      </c>
    </row>
    <row r="498" spans="1:6" x14ac:dyDescent="0.25">
      <c r="A498" s="2" t="str">
        <f t="shared" si="19"/>
        <v>15980</v>
      </c>
      <c r="B498" s="2" t="str">
        <f>"33907"</f>
        <v>33907</v>
      </c>
      <c r="C498" s="1">
        <v>3.1831930365341599E-2</v>
      </c>
      <c r="D498" s="1">
        <v>8.1583338127840702E-2</v>
      </c>
      <c r="E498" s="1">
        <v>7.3263338615953494E-2</v>
      </c>
      <c r="F498" s="1">
        <v>3.7826697440656601E-2</v>
      </c>
    </row>
    <row r="499" spans="1:6" x14ac:dyDescent="0.25">
      <c r="A499" s="2" t="str">
        <f t="shared" si="19"/>
        <v>15980</v>
      </c>
      <c r="B499" s="2" t="str">
        <f>"33929"</f>
        <v>33929</v>
      </c>
      <c r="C499" s="1">
        <v>1.83468007477361E-3</v>
      </c>
      <c r="D499" s="1">
        <v>1.17369541453311E-2</v>
      </c>
      <c r="E499" s="1">
        <v>6.6032752245113498E-5</v>
      </c>
      <c r="F499" s="1">
        <v>2.4185302808427799E-3</v>
      </c>
    </row>
    <row r="500" spans="1:6" x14ac:dyDescent="0.25">
      <c r="A500" s="2" t="str">
        <f t="shared" si="19"/>
        <v>15980</v>
      </c>
      <c r="B500" s="2" t="str">
        <f>"33936"</f>
        <v>33936</v>
      </c>
      <c r="C500" s="1">
        <v>2.5301948134472299E-2</v>
      </c>
      <c r="D500" s="1">
        <v>1.5361601749036301E-2</v>
      </c>
      <c r="E500" s="1">
        <v>1.1093502377179E-2</v>
      </c>
      <c r="F500" s="1">
        <v>2.3743378670732299E-2</v>
      </c>
    </row>
    <row r="501" spans="1:6" x14ac:dyDescent="0.25">
      <c r="A501" s="2" t="str">
        <f t="shared" si="19"/>
        <v>15980</v>
      </c>
      <c r="B501" s="2" t="str">
        <f>"33928"</f>
        <v>33928</v>
      </c>
      <c r="C501" s="1">
        <v>4.5312438622557301E-2</v>
      </c>
      <c r="D501" s="1">
        <v>3.1701283010183497E-2</v>
      </c>
      <c r="E501" s="1">
        <v>4.95245641838351E-2</v>
      </c>
      <c r="F501" s="1">
        <v>4.46182679386046E-2</v>
      </c>
    </row>
    <row r="502" spans="1:6" x14ac:dyDescent="0.25">
      <c r="A502" s="2" t="str">
        <f t="shared" si="19"/>
        <v>15980</v>
      </c>
      <c r="B502" s="2" t="str">
        <f>"33973"</f>
        <v>33973</v>
      </c>
      <c r="C502" s="1">
        <v>9.6008762099299098E-3</v>
      </c>
      <c r="D502" s="1">
        <v>1.20821586790173E-3</v>
      </c>
      <c r="E502" s="1">
        <v>8.9144215530903299E-4</v>
      </c>
      <c r="F502" s="1">
        <v>8.4849434437540994E-3</v>
      </c>
    </row>
    <row r="503" spans="1:6" x14ac:dyDescent="0.25">
      <c r="A503" s="2" t="str">
        <f t="shared" si="19"/>
        <v>15980</v>
      </c>
      <c r="B503" s="2" t="str">
        <f>"33915"</f>
        <v>33915</v>
      </c>
      <c r="C503" s="1">
        <v>4.4573020960179998E-3</v>
      </c>
      <c r="D503" s="1">
        <v>9.5506587653184493E-3</v>
      </c>
      <c r="E503" s="1">
        <v>6.6032752245113498E-5</v>
      </c>
      <c r="F503" s="1">
        <v>4.5457923800226096E-3</v>
      </c>
    </row>
    <row r="504" spans="1:6" x14ac:dyDescent="0.25">
      <c r="A504" s="2" t="str">
        <f t="shared" si="19"/>
        <v>15980</v>
      </c>
      <c r="B504" s="2" t="str">
        <f>"33914"</f>
        <v>33914</v>
      </c>
      <c r="C504" s="1">
        <v>5.1957954863172999E-2</v>
      </c>
      <c r="D504" s="1">
        <v>1.40383177032391E-2</v>
      </c>
      <c r="E504" s="1">
        <v>3.2983359746434203E-2</v>
      </c>
      <c r="F504" s="1">
        <v>4.81556697862493E-2</v>
      </c>
    </row>
    <row r="505" spans="1:6" x14ac:dyDescent="0.25">
      <c r="A505" s="2" t="str">
        <f t="shared" si="19"/>
        <v>15980</v>
      </c>
      <c r="B505" s="2" t="str">
        <f>"34119"</f>
        <v>34119</v>
      </c>
      <c r="C505" s="1">
        <v>4.6906807957058298E-4</v>
      </c>
      <c r="D505" s="1">
        <v>0</v>
      </c>
      <c r="E505" s="1">
        <v>0</v>
      </c>
      <c r="F505" s="1">
        <v>4.0777545432814399E-4</v>
      </c>
    </row>
    <row r="506" spans="1:6" x14ac:dyDescent="0.25">
      <c r="A506" s="2" t="str">
        <f t="shared" si="19"/>
        <v>15980</v>
      </c>
      <c r="B506" s="2" t="str">
        <f>"33965"</f>
        <v>33965</v>
      </c>
      <c r="C506" s="1">
        <v>6.9158658234224398E-3</v>
      </c>
      <c r="D506" s="1">
        <v>2.87670444738507E-5</v>
      </c>
      <c r="E506" s="1">
        <v>0</v>
      </c>
      <c r="F506" s="1">
        <v>6.0141857648200198E-3</v>
      </c>
    </row>
    <row r="507" spans="1:6" x14ac:dyDescent="0.25">
      <c r="A507" s="2" t="str">
        <f t="shared" si="19"/>
        <v>15980</v>
      </c>
      <c r="B507" s="2" t="str">
        <f>"33955"</f>
        <v>33955</v>
      </c>
      <c r="C507" s="1">
        <v>4.3764282891954904E-3</v>
      </c>
      <c r="D507" s="1">
        <v>6.3287497842471599E-4</v>
      </c>
      <c r="E507" s="1">
        <v>3.73085050184891E-3</v>
      </c>
      <c r="F507" s="1">
        <v>4.0757457972010096E-3</v>
      </c>
    </row>
    <row r="508" spans="1:6" x14ac:dyDescent="0.25">
      <c r="A508" s="2" t="str">
        <f t="shared" si="19"/>
        <v>15980</v>
      </c>
      <c r="B508" s="2" t="str">
        <f>"33991"</f>
        <v>33991</v>
      </c>
      <c r="C508" s="1">
        <v>2.5449831666947701E-2</v>
      </c>
      <c r="D508" s="1">
        <v>2.16903515332834E-2</v>
      </c>
      <c r="E508" s="1">
        <v>1.3503697834125699E-2</v>
      </c>
      <c r="F508" s="1">
        <v>2.4460501021447301E-2</v>
      </c>
    </row>
    <row r="509" spans="1:6" x14ac:dyDescent="0.25">
      <c r="A509" s="2" t="str">
        <f t="shared" si="19"/>
        <v>15980</v>
      </c>
      <c r="B509" s="2" t="str">
        <f>"33976"</f>
        <v>33976</v>
      </c>
      <c r="C509" s="1">
        <v>1.1627342740882601E-2</v>
      </c>
      <c r="D509" s="1">
        <v>5.7534088947701501E-5</v>
      </c>
      <c r="E509" s="1">
        <v>1.32065504490227E-4</v>
      </c>
      <c r="F509" s="1">
        <v>1.01200627532275E-2</v>
      </c>
    </row>
    <row r="510" spans="1:6" x14ac:dyDescent="0.25">
      <c r="A510" s="2" t="str">
        <f t="shared" ref="A510:A522" si="20">"45180"</f>
        <v>45180</v>
      </c>
      <c r="B510" s="2" t="str">
        <f>"35151"</f>
        <v>35151</v>
      </c>
      <c r="C510" s="1">
        <v>7.3970352901541303E-2</v>
      </c>
      <c r="D510" s="1">
        <v>3.2973621103117502E-2</v>
      </c>
      <c r="E510" s="1">
        <v>3.90625E-2</v>
      </c>
      <c r="F510" s="1">
        <v>7.0878992772207897E-2</v>
      </c>
    </row>
    <row r="511" spans="1:6" x14ac:dyDescent="0.25">
      <c r="A511" s="2" t="str">
        <f t="shared" si="20"/>
        <v>45180</v>
      </c>
      <c r="B511" s="2" t="str">
        <f>"35150"</f>
        <v>35150</v>
      </c>
      <c r="C511" s="1">
        <v>0.24098795586625099</v>
      </c>
      <c r="D511" s="1">
        <v>0.37230215827338098</v>
      </c>
      <c r="E511" s="1">
        <v>0.18124999999999999</v>
      </c>
      <c r="F511" s="1">
        <v>0.24875650889873299</v>
      </c>
    </row>
    <row r="512" spans="1:6" x14ac:dyDescent="0.25">
      <c r="A512" s="2" t="str">
        <f t="shared" si="20"/>
        <v>45180</v>
      </c>
      <c r="B512" s="2" t="str">
        <f>"36203"</f>
        <v>36203</v>
      </c>
      <c r="C512" s="1">
        <v>5.2745725595889803E-2</v>
      </c>
      <c r="D512" s="1">
        <v>2.0083932853716999E-2</v>
      </c>
      <c r="E512" s="1">
        <v>1.8749999999999999E-2</v>
      </c>
      <c r="F512" s="1">
        <v>5.0205953213647299E-2</v>
      </c>
    </row>
    <row r="513" spans="1:6" x14ac:dyDescent="0.25">
      <c r="A513" s="2" t="str">
        <f t="shared" si="20"/>
        <v>45180</v>
      </c>
      <c r="B513" s="2" t="str">
        <f>"35072"</f>
        <v>35072</v>
      </c>
      <c r="C513" s="1">
        <v>3.57955024004042E-4</v>
      </c>
      <c r="D513" s="1">
        <v>0</v>
      </c>
      <c r="E513" s="1">
        <v>0</v>
      </c>
      <c r="F513" s="1">
        <v>3.3030232377399501E-4</v>
      </c>
    </row>
    <row r="514" spans="1:6" x14ac:dyDescent="0.25">
      <c r="A514" s="2" t="str">
        <f t="shared" si="20"/>
        <v>45180</v>
      </c>
      <c r="B514" s="2" t="str">
        <f>"35096"</f>
        <v>35096</v>
      </c>
      <c r="C514" s="1">
        <v>9.4605407226480198E-2</v>
      </c>
      <c r="D514" s="1">
        <v>7.0743405275779297E-2</v>
      </c>
      <c r="E514" s="1">
        <v>7.3437500000000003E-2</v>
      </c>
      <c r="F514" s="1">
        <v>9.2795523432035398E-2</v>
      </c>
    </row>
    <row r="515" spans="1:6" x14ac:dyDescent="0.25">
      <c r="A515" s="2" t="str">
        <f t="shared" si="20"/>
        <v>45180</v>
      </c>
      <c r="B515" s="2" t="str">
        <f>"35014"</f>
        <v>35014</v>
      </c>
      <c r="C515" s="1">
        <v>4.67026025435862E-2</v>
      </c>
      <c r="D515" s="1">
        <v>1.2290167865707399E-2</v>
      </c>
      <c r="E515" s="1">
        <v>1.7187500000000001E-2</v>
      </c>
      <c r="F515" s="1">
        <v>4.4105074998056999E-2</v>
      </c>
    </row>
    <row r="516" spans="1:6" x14ac:dyDescent="0.25">
      <c r="A516" s="2" t="str">
        <f t="shared" si="20"/>
        <v>45180</v>
      </c>
      <c r="B516" s="2" t="str">
        <f>"36260"</f>
        <v>36260</v>
      </c>
      <c r="C516" s="1">
        <v>1.4781436873578699E-2</v>
      </c>
      <c r="D516" s="1">
        <v>1.34892086330935E-2</v>
      </c>
      <c r="E516" s="1">
        <v>6.2500000000000003E-3</v>
      </c>
      <c r="F516" s="1">
        <v>1.45915908914276E-2</v>
      </c>
    </row>
    <row r="517" spans="1:6" x14ac:dyDescent="0.25">
      <c r="A517" s="2" t="str">
        <f t="shared" si="20"/>
        <v>45180</v>
      </c>
      <c r="B517" s="2" t="str">
        <f>"36268"</f>
        <v>36268</v>
      </c>
      <c r="C517" s="1">
        <v>6.16524888402257E-2</v>
      </c>
      <c r="D517" s="1">
        <v>1.52877697841726E-2</v>
      </c>
      <c r="E517" s="1">
        <v>1.7187500000000001E-2</v>
      </c>
      <c r="F517" s="1">
        <v>5.8094349887308598E-2</v>
      </c>
    </row>
    <row r="518" spans="1:6" x14ac:dyDescent="0.25">
      <c r="A518" s="2" t="str">
        <f t="shared" si="20"/>
        <v>45180</v>
      </c>
      <c r="B518" s="2" t="str">
        <f>"35082"</f>
        <v>35082</v>
      </c>
      <c r="C518" s="1">
        <v>4.1059546871051898E-3</v>
      </c>
      <c r="D518" s="1">
        <v>1.49880095923261E-3</v>
      </c>
      <c r="E518" s="1">
        <v>3.1250000000000002E-3</v>
      </c>
      <c r="F518" s="1">
        <v>3.9247687883733496E-3</v>
      </c>
    </row>
    <row r="519" spans="1:6" x14ac:dyDescent="0.25">
      <c r="A519" s="2" t="str">
        <f t="shared" si="20"/>
        <v>45180</v>
      </c>
      <c r="B519" s="2" t="str">
        <f>"35160"</f>
        <v>35160</v>
      </c>
      <c r="C519" s="1">
        <v>0.31300008422471098</v>
      </c>
      <c r="D519" s="1">
        <v>0.34442446043165398</v>
      </c>
      <c r="E519" s="1">
        <v>0.55937499999999996</v>
      </c>
      <c r="F519" s="1">
        <v>0.318100567342814</v>
      </c>
    </row>
    <row r="520" spans="1:6" x14ac:dyDescent="0.25">
      <c r="A520" s="2" t="str">
        <f t="shared" si="20"/>
        <v>45180</v>
      </c>
      <c r="B520" s="2" t="str">
        <f>"35149"</f>
        <v>35149</v>
      </c>
      <c r="C520" s="1">
        <v>1.0043796849995699E-2</v>
      </c>
      <c r="D520" s="1">
        <v>5.3956834532374104E-3</v>
      </c>
      <c r="E520" s="1">
        <v>1.5625000000000001E-3</v>
      </c>
      <c r="F520" s="1">
        <v>9.6370560348177509E-3</v>
      </c>
    </row>
    <row r="521" spans="1:6" x14ac:dyDescent="0.25">
      <c r="A521" s="2" t="str">
        <f t="shared" si="20"/>
        <v>45180</v>
      </c>
      <c r="B521" s="2" t="str">
        <f>"35032"</f>
        <v>35032</v>
      </c>
      <c r="C521" s="1">
        <v>0</v>
      </c>
      <c r="D521" s="1">
        <v>2.99760191846522E-4</v>
      </c>
      <c r="E521" s="1">
        <v>0</v>
      </c>
      <c r="F521" s="1">
        <v>1.9429548457293798E-5</v>
      </c>
    </row>
    <row r="522" spans="1:6" x14ac:dyDescent="0.25">
      <c r="A522" s="2" t="str">
        <f t="shared" si="20"/>
        <v>45180</v>
      </c>
      <c r="B522" s="2" t="str">
        <f>"35044"</f>
        <v>35044</v>
      </c>
      <c r="C522" s="1">
        <v>8.7046239366630099E-2</v>
      </c>
      <c r="D522" s="1">
        <v>0.111211031175059</v>
      </c>
      <c r="E522" s="1">
        <v>8.2812499999999997E-2</v>
      </c>
      <c r="F522" s="1">
        <v>8.8559881868345305E-2</v>
      </c>
    </row>
    <row r="523" spans="1:6" x14ac:dyDescent="0.25">
      <c r="A523" s="2" t="str">
        <f t="shared" ref="A523:A554" si="21">"26620"</f>
        <v>26620</v>
      </c>
      <c r="B523" s="2" t="str">
        <f>"35759"</f>
        <v>35759</v>
      </c>
      <c r="C523" s="1">
        <v>1.68212935570464E-2</v>
      </c>
      <c r="D523" s="1">
        <v>8.6570276027738702E-3</v>
      </c>
      <c r="E523" s="1">
        <v>2.7739251040221902E-3</v>
      </c>
      <c r="F523" s="1">
        <v>1.5715169197964798E-2</v>
      </c>
    </row>
    <row r="524" spans="1:6" x14ac:dyDescent="0.25">
      <c r="A524" s="2" t="str">
        <f t="shared" si="21"/>
        <v>26620</v>
      </c>
      <c r="B524" s="2" t="str">
        <f>"35815"</f>
        <v>35815</v>
      </c>
      <c r="C524" s="1">
        <v>5.1247361638545501E-3</v>
      </c>
      <c r="D524" s="1">
        <v>1.6951457190771801E-2</v>
      </c>
      <c r="E524" s="1">
        <v>2.5217500945656199E-4</v>
      </c>
      <c r="F524" s="1">
        <v>5.9681219576047002E-3</v>
      </c>
    </row>
    <row r="525" spans="1:6" x14ac:dyDescent="0.25">
      <c r="A525" s="2" t="str">
        <f t="shared" si="21"/>
        <v>26620</v>
      </c>
      <c r="B525" s="2" t="str">
        <f>"35610"</f>
        <v>35610</v>
      </c>
      <c r="C525" s="1">
        <v>1.0660478736840299E-3</v>
      </c>
      <c r="D525" s="1">
        <v>3.1727326292888501E-4</v>
      </c>
      <c r="E525" s="1">
        <v>0</v>
      </c>
      <c r="F525" s="1">
        <v>9.7129003251545103E-4</v>
      </c>
    </row>
    <row r="526" spans="1:6" x14ac:dyDescent="0.25">
      <c r="A526" s="2" t="str">
        <f t="shared" si="21"/>
        <v>26620</v>
      </c>
      <c r="B526" s="2" t="str">
        <f>"35762"</f>
        <v>35762</v>
      </c>
      <c r="C526" s="1">
        <v>5.2959888343258798E-3</v>
      </c>
      <c r="D526" s="1">
        <v>4.84974844762724E-3</v>
      </c>
      <c r="E526" s="1">
        <v>1.2608750472828099E-4</v>
      </c>
      <c r="F526" s="1">
        <v>5.1030667723956299E-3</v>
      </c>
    </row>
    <row r="527" spans="1:6" x14ac:dyDescent="0.25">
      <c r="A527" s="2" t="str">
        <f t="shared" si="21"/>
        <v>26620</v>
      </c>
      <c r="B527" s="2" t="str">
        <f>"35896"</f>
        <v>35896</v>
      </c>
      <c r="C527" s="1">
        <v>0</v>
      </c>
      <c r="D527" s="1">
        <v>4.5324751846983599E-5</v>
      </c>
      <c r="E527" s="1">
        <v>0</v>
      </c>
      <c r="F527" s="1">
        <v>3.7941016895134802E-6</v>
      </c>
    </row>
    <row r="528" spans="1:6" x14ac:dyDescent="0.25">
      <c r="A528" s="2" t="str">
        <f t="shared" si="21"/>
        <v>26620</v>
      </c>
      <c r="B528" s="2" t="str">
        <f>"35750"</f>
        <v>35750</v>
      </c>
      <c r="C528" s="1">
        <v>2.64799441716294E-2</v>
      </c>
      <c r="D528" s="1">
        <v>1.27362552690024E-2</v>
      </c>
      <c r="E528" s="1">
        <v>7.0609002647837498E-3</v>
      </c>
      <c r="F528" s="1">
        <v>2.4745131219006899E-2</v>
      </c>
    </row>
    <row r="529" spans="1:6" x14ac:dyDescent="0.25">
      <c r="A529" s="2" t="str">
        <f t="shared" si="21"/>
        <v>26620</v>
      </c>
      <c r="B529" s="2" t="str">
        <f>"35748"</f>
        <v>35748</v>
      </c>
      <c r="C529" s="1">
        <v>1.65986650854336E-2</v>
      </c>
      <c r="D529" s="1">
        <v>7.7052078139872096E-3</v>
      </c>
      <c r="E529" s="1">
        <v>1.0087000378262499E-3</v>
      </c>
      <c r="F529" s="1">
        <v>1.5385082350977099E-2</v>
      </c>
    </row>
    <row r="530" spans="1:6" x14ac:dyDescent="0.25">
      <c r="A530" s="2" t="str">
        <f t="shared" si="21"/>
        <v>26620</v>
      </c>
      <c r="B530" s="2" t="str">
        <f>"35814"</f>
        <v>35814</v>
      </c>
      <c r="C530" s="1">
        <v>5.0562350956660203E-3</v>
      </c>
      <c r="D530" s="1">
        <v>2.0668086842224501E-2</v>
      </c>
      <c r="E530" s="1">
        <v>2.5217500945656199E-4</v>
      </c>
      <c r="F530" s="1">
        <v>6.2185326691125897E-3</v>
      </c>
    </row>
    <row r="531" spans="1:6" x14ac:dyDescent="0.25">
      <c r="A531" s="2" t="str">
        <f t="shared" si="21"/>
        <v>26620</v>
      </c>
      <c r="B531" s="2" t="str">
        <f>"35807"</f>
        <v>35807</v>
      </c>
      <c r="C531" s="1">
        <v>3.2281128383845701E-3</v>
      </c>
      <c r="D531" s="1">
        <v>1.2011059239450599E-2</v>
      </c>
      <c r="E531" s="1">
        <v>2.5217500945656199E-4</v>
      </c>
      <c r="F531" s="1">
        <v>3.87377782499326E-3</v>
      </c>
    </row>
    <row r="532" spans="1:6" x14ac:dyDescent="0.25">
      <c r="A532" s="2" t="str">
        <f t="shared" si="21"/>
        <v>26620</v>
      </c>
      <c r="B532" s="2" t="str">
        <f>"35806"</f>
        <v>35806</v>
      </c>
      <c r="C532" s="1">
        <v>5.7784932333788501E-2</v>
      </c>
      <c r="D532" s="1">
        <v>8.3442868150296806E-2</v>
      </c>
      <c r="E532" s="1">
        <v>8.5235153196318206E-2</v>
      </c>
      <c r="F532" s="1">
        <v>6.0758744455868902E-2</v>
      </c>
    </row>
    <row r="533" spans="1:6" x14ac:dyDescent="0.25">
      <c r="A533" s="2" t="str">
        <f t="shared" si="21"/>
        <v>26620</v>
      </c>
      <c r="B533" s="2" t="str">
        <f>"35816"</f>
        <v>35816</v>
      </c>
      <c r="C533" s="1">
        <v>3.3330050990482599E-2</v>
      </c>
      <c r="D533" s="1">
        <v>5.7698409101210102E-2</v>
      </c>
      <c r="E533" s="1">
        <v>0.127726642289749</v>
      </c>
      <c r="F533" s="1">
        <v>3.8210398115090201E-2</v>
      </c>
    </row>
    <row r="534" spans="1:6" x14ac:dyDescent="0.25">
      <c r="A534" s="2" t="str">
        <f t="shared" si="21"/>
        <v>26620</v>
      </c>
      <c r="B534" s="2" t="str">
        <f>"35647"</f>
        <v>35647</v>
      </c>
      <c r="C534" s="1">
        <v>2.46603845478715E-3</v>
      </c>
      <c r="D534" s="1">
        <v>1.0424692924806201E-3</v>
      </c>
      <c r="E534" s="1">
        <v>5.0435001891312495E-4</v>
      </c>
      <c r="F534" s="1">
        <v>2.28784331877662E-3</v>
      </c>
    </row>
    <row r="535" spans="1:6" x14ac:dyDescent="0.25">
      <c r="A535" s="2" t="str">
        <f t="shared" si="21"/>
        <v>26620</v>
      </c>
      <c r="B535" s="2" t="str">
        <f>"35776"</f>
        <v>35776</v>
      </c>
      <c r="C535" s="1">
        <v>1.7125267047133001E-4</v>
      </c>
      <c r="D535" s="1">
        <v>4.5324751846983599E-5</v>
      </c>
      <c r="E535" s="1">
        <v>0</v>
      </c>
      <c r="F535" s="1">
        <v>1.55558169270052E-4</v>
      </c>
    </row>
    <row r="536" spans="1:6" x14ac:dyDescent="0.25">
      <c r="A536" s="2" t="str">
        <f t="shared" si="21"/>
        <v>26620</v>
      </c>
      <c r="B536" s="2" t="str">
        <f>"35763"</f>
        <v>35763</v>
      </c>
      <c r="C536" s="1">
        <v>3.7470084299127002E-2</v>
      </c>
      <c r="D536" s="1">
        <v>1.4277296831799799E-2</v>
      </c>
      <c r="E536" s="1">
        <v>6.3043752364140698E-3</v>
      </c>
      <c r="F536" s="1">
        <v>3.4590825103294399E-2</v>
      </c>
    </row>
    <row r="537" spans="1:6" x14ac:dyDescent="0.25">
      <c r="A537" s="2" t="str">
        <f t="shared" si="21"/>
        <v>26620</v>
      </c>
      <c r="B537" s="2" t="str">
        <f>"35761"</f>
        <v>35761</v>
      </c>
      <c r="C537" s="1">
        <v>2.3358864252289401E-2</v>
      </c>
      <c r="D537" s="1">
        <v>5.8468929882608796E-3</v>
      </c>
      <c r="E537" s="1">
        <v>1.0087000378262499E-3</v>
      </c>
      <c r="F537" s="1">
        <v>2.1220410749448901E-2</v>
      </c>
    </row>
    <row r="538" spans="1:6" x14ac:dyDescent="0.25">
      <c r="A538" s="2" t="str">
        <f t="shared" si="21"/>
        <v>26620</v>
      </c>
      <c r="B538" s="2" t="str">
        <f>"35758"</f>
        <v>35758</v>
      </c>
      <c r="C538" s="1">
        <v>9.1174921758936101E-2</v>
      </c>
      <c r="D538" s="1">
        <v>0.11607668948012501</v>
      </c>
      <c r="E538" s="1">
        <v>8.3343840625394003E-2</v>
      </c>
      <c r="F538" s="1">
        <v>9.3023785223491501E-2</v>
      </c>
    </row>
    <row r="539" spans="1:6" x14ac:dyDescent="0.25">
      <c r="A539" s="2" t="str">
        <f t="shared" si="21"/>
        <v>26620</v>
      </c>
      <c r="B539" s="2" t="str">
        <f>"35895"</f>
        <v>35895</v>
      </c>
      <c r="C539" s="1">
        <v>0</v>
      </c>
      <c r="D539" s="1">
        <v>4.5324751846983599E-5</v>
      </c>
      <c r="E539" s="1">
        <v>0</v>
      </c>
      <c r="F539" s="1">
        <v>3.7941016895134802E-6</v>
      </c>
    </row>
    <row r="540" spans="1:6" x14ac:dyDescent="0.25">
      <c r="A540" s="2" t="str">
        <f t="shared" si="21"/>
        <v>26620</v>
      </c>
      <c r="B540" s="2" t="str">
        <f>"35615"</f>
        <v>35615</v>
      </c>
      <c r="C540" s="1">
        <v>0</v>
      </c>
      <c r="D540" s="1">
        <v>4.5324751846983599E-5</v>
      </c>
      <c r="E540" s="1">
        <v>0</v>
      </c>
      <c r="F540" s="1">
        <v>3.7941016895134802E-6</v>
      </c>
    </row>
    <row r="541" spans="1:6" x14ac:dyDescent="0.25">
      <c r="A541" s="2" t="str">
        <f t="shared" si="21"/>
        <v>26620</v>
      </c>
      <c r="B541" s="2" t="str">
        <f>"35742"</f>
        <v>35742</v>
      </c>
      <c r="C541" s="1">
        <v>1.2929576620585399E-3</v>
      </c>
      <c r="D541" s="1">
        <v>3.9432534106875698E-3</v>
      </c>
      <c r="E541" s="1">
        <v>1.2608750472828099E-4</v>
      </c>
      <c r="F541" s="1">
        <v>1.47969965891025E-3</v>
      </c>
    </row>
    <row r="542" spans="1:6" x14ac:dyDescent="0.25">
      <c r="A542" s="2" t="str">
        <f t="shared" si="21"/>
        <v>26620</v>
      </c>
      <c r="B542" s="2" t="str">
        <f>"35756"</f>
        <v>35756</v>
      </c>
      <c r="C542" s="1">
        <v>3.7949591776446703E-2</v>
      </c>
      <c r="D542" s="1">
        <v>1.3098853283778199E-2</v>
      </c>
      <c r="E542" s="1">
        <v>2.3452275879460301E-2</v>
      </c>
      <c r="F542" s="1">
        <v>3.5433115678366399E-2</v>
      </c>
    </row>
    <row r="543" spans="1:6" x14ac:dyDescent="0.25">
      <c r="A543" s="2" t="str">
        <f t="shared" si="21"/>
        <v>26620</v>
      </c>
      <c r="B543" s="2" t="str">
        <f>"35757"</f>
        <v>35757</v>
      </c>
      <c r="C543" s="1">
        <v>2.9455459321068699E-2</v>
      </c>
      <c r="D543" s="1">
        <v>7.6145583102932499E-3</v>
      </c>
      <c r="E543" s="1">
        <v>4.9174126844029704E-3</v>
      </c>
      <c r="F543" s="1">
        <v>2.6888798673582001E-2</v>
      </c>
    </row>
    <row r="544" spans="1:6" x14ac:dyDescent="0.25">
      <c r="A544" s="2" t="str">
        <f t="shared" si="21"/>
        <v>26620</v>
      </c>
      <c r="B544" s="2" t="str">
        <f>"35811"</f>
        <v>35811</v>
      </c>
      <c r="C544" s="1">
        <v>5.4779447967016698E-2</v>
      </c>
      <c r="D544" s="1">
        <v>3.74835697774554E-2</v>
      </c>
      <c r="E544" s="1">
        <v>3.56827638381036E-2</v>
      </c>
      <c r="F544" s="1">
        <v>5.27569839926849E-2</v>
      </c>
    </row>
    <row r="545" spans="1:6" x14ac:dyDescent="0.25">
      <c r="A545" s="2" t="str">
        <f t="shared" si="21"/>
        <v>26620</v>
      </c>
      <c r="B545" s="2" t="str">
        <f>"35810"</f>
        <v>35810</v>
      </c>
      <c r="C545" s="1">
        <v>6.0841792501701797E-2</v>
      </c>
      <c r="D545" s="1">
        <v>4.4554231065584898E-2</v>
      </c>
      <c r="E545" s="1">
        <v>3.3917538771907702E-2</v>
      </c>
      <c r="F545" s="1">
        <v>5.8668194424946897E-2</v>
      </c>
    </row>
    <row r="546" spans="1:6" x14ac:dyDescent="0.25">
      <c r="A546" s="2" t="str">
        <f t="shared" si="21"/>
        <v>26620</v>
      </c>
      <c r="B546" s="2" t="str">
        <f>"35805"</f>
        <v>35805</v>
      </c>
      <c r="C546" s="1">
        <v>4.9851652374204199E-2</v>
      </c>
      <c r="D546" s="1">
        <v>7.9046367221139405E-2</v>
      </c>
      <c r="E546" s="1">
        <v>0.16870508132643999</v>
      </c>
      <c r="F546" s="1">
        <v>5.5871941479775498E-2</v>
      </c>
    </row>
    <row r="547" spans="1:6" x14ac:dyDescent="0.25">
      <c r="A547" s="2" t="str">
        <f t="shared" si="21"/>
        <v>26620</v>
      </c>
      <c r="B547" s="2" t="str">
        <f>"35803"</f>
        <v>35803</v>
      </c>
      <c r="C547" s="1">
        <v>5.62179703989759E-2</v>
      </c>
      <c r="D547" s="1">
        <v>2.5064587771381899E-2</v>
      </c>
      <c r="E547" s="1">
        <v>3.2404488715168302E-2</v>
      </c>
      <c r="F547" s="1">
        <v>5.2893571653507401E-2</v>
      </c>
    </row>
    <row r="548" spans="1:6" x14ac:dyDescent="0.25">
      <c r="A548" s="2" t="str">
        <f t="shared" si="21"/>
        <v>26620</v>
      </c>
      <c r="B548" s="2" t="str">
        <f>"35612"</f>
        <v>35612</v>
      </c>
      <c r="C548" s="1">
        <v>4.3326925629246496E-3</v>
      </c>
      <c r="D548" s="1">
        <v>1.5908987898291201E-2</v>
      </c>
      <c r="E548" s="1">
        <v>2.5217500945656199E-4</v>
      </c>
      <c r="F548" s="1">
        <v>5.1789488061859002E-3</v>
      </c>
    </row>
    <row r="549" spans="1:6" x14ac:dyDescent="0.25">
      <c r="A549" s="2" t="str">
        <f t="shared" si="21"/>
        <v>26620</v>
      </c>
      <c r="B549" s="2" t="str">
        <f>"35773"</f>
        <v>35773</v>
      </c>
      <c r="C549" s="1">
        <v>2.5246924944235801E-2</v>
      </c>
      <c r="D549" s="1">
        <v>9.4728731360195807E-3</v>
      </c>
      <c r="E549" s="1">
        <v>6.1782877316857799E-3</v>
      </c>
      <c r="F549" s="1">
        <v>2.3352695898955399E-2</v>
      </c>
    </row>
    <row r="550" spans="1:6" x14ac:dyDescent="0.25">
      <c r="A550" s="2" t="str">
        <f t="shared" si="21"/>
        <v>26620</v>
      </c>
      <c r="B550" s="2" t="str">
        <f>"35898"</f>
        <v>35898</v>
      </c>
      <c r="C550" s="1">
        <v>0</v>
      </c>
      <c r="D550" s="1">
        <v>4.5324751846983599E-5</v>
      </c>
      <c r="E550" s="1">
        <v>0</v>
      </c>
      <c r="F550" s="1">
        <v>3.7941016895134802E-6</v>
      </c>
    </row>
    <row r="551" spans="1:6" x14ac:dyDescent="0.25">
      <c r="A551" s="2" t="str">
        <f t="shared" si="21"/>
        <v>26620</v>
      </c>
      <c r="B551" s="2" t="str">
        <f>"35894"</f>
        <v>35894</v>
      </c>
      <c r="C551" s="1">
        <v>0</v>
      </c>
      <c r="D551" s="1">
        <v>4.5324751846983599E-5</v>
      </c>
      <c r="E551" s="1">
        <v>0</v>
      </c>
      <c r="F551" s="1">
        <v>3.7941016895134802E-6</v>
      </c>
    </row>
    <row r="552" spans="1:6" x14ac:dyDescent="0.25">
      <c r="A552" s="2" t="str">
        <f t="shared" si="21"/>
        <v>26620</v>
      </c>
      <c r="B552" s="2" t="str">
        <f>"35824"</f>
        <v>35824</v>
      </c>
      <c r="C552" s="1">
        <v>2.2087313174039801E-2</v>
      </c>
      <c r="D552" s="1">
        <v>1.30535285319312E-2</v>
      </c>
      <c r="E552" s="1">
        <v>3.02610011347875E-2</v>
      </c>
      <c r="F552" s="1">
        <v>2.15770563082631E-2</v>
      </c>
    </row>
    <row r="553" spans="1:6" x14ac:dyDescent="0.25">
      <c r="A553" s="2" t="str">
        <f t="shared" si="21"/>
        <v>26620</v>
      </c>
      <c r="B553" s="2" t="str">
        <f>"35813"</f>
        <v>35813</v>
      </c>
      <c r="C553" s="1">
        <v>2.6330098084967001E-3</v>
      </c>
      <c r="D553" s="1">
        <v>6.8440375288945201E-3</v>
      </c>
      <c r="E553" s="1">
        <v>2.5217500945656199E-4</v>
      </c>
      <c r="F553" s="1">
        <v>2.9138700975463502E-3</v>
      </c>
    </row>
    <row r="554" spans="1:6" x14ac:dyDescent="0.25">
      <c r="A554" s="2" t="str">
        <f t="shared" si="21"/>
        <v>26620</v>
      </c>
      <c r="B554" s="2" t="str">
        <f>"35671"</f>
        <v>35671</v>
      </c>
      <c r="C554" s="1">
        <v>6.88007603618568E-3</v>
      </c>
      <c r="D554" s="1">
        <v>6.8440375288945201E-3</v>
      </c>
      <c r="E554" s="1">
        <v>2.0174000756524998E-3</v>
      </c>
      <c r="F554" s="1">
        <v>6.7307363971969101E-3</v>
      </c>
    </row>
    <row r="555" spans="1:6" x14ac:dyDescent="0.25">
      <c r="A555" s="2" t="str">
        <f t="shared" ref="A555:A574" si="22">"26620"</f>
        <v>26620</v>
      </c>
      <c r="B555" s="2" t="str">
        <f>"35739"</f>
        <v>35739</v>
      </c>
      <c r="C555" s="1">
        <v>1.0865981941405801E-2</v>
      </c>
      <c r="D555" s="1">
        <v>8.5210533472329202E-3</v>
      </c>
      <c r="E555" s="1">
        <v>6.3043752364140698E-3</v>
      </c>
      <c r="F555" s="1">
        <v>1.05324262900894E-2</v>
      </c>
    </row>
    <row r="556" spans="1:6" x14ac:dyDescent="0.25">
      <c r="A556" s="2" t="str">
        <f t="shared" si="22"/>
        <v>26620</v>
      </c>
      <c r="B556" s="2" t="str">
        <f>"35652"</f>
        <v>35652</v>
      </c>
      <c r="C556" s="1">
        <v>2.2690978837451199E-4</v>
      </c>
      <c r="D556" s="1">
        <v>0</v>
      </c>
      <c r="E556" s="1">
        <v>0</v>
      </c>
      <c r="F556" s="1">
        <v>2.0108738954421399E-4</v>
      </c>
    </row>
    <row r="557" spans="1:6" x14ac:dyDescent="0.25">
      <c r="A557" s="2" t="str">
        <f t="shared" si="22"/>
        <v>26620</v>
      </c>
      <c r="B557" s="2" t="str">
        <f>"35760"</f>
        <v>35760</v>
      </c>
      <c r="C557" s="1">
        <v>1.0309410762374E-2</v>
      </c>
      <c r="D557" s="1">
        <v>3.98857816253456E-3</v>
      </c>
      <c r="E557" s="1">
        <v>3.7826251418484401E-3</v>
      </c>
      <c r="F557" s="1">
        <v>9.5839008677110499E-3</v>
      </c>
    </row>
    <row r="558" spans="1:6" x14ac:dyDescent="0.25">
      <c r="A558" s="2" t="str">
        <f t="shared" si="22"/>
        <v>26620</v>
      </c>
      <c r="B558" s="2" t="str">
        <f>"35893"</f>
        <v>35893</v>
      </c>
      <c r="C558" s="1">
        <v>0</v>
      </c>
      <c r="D558" s="1">
        <v>4.5324751846983599E-5</v>
      </c>
      <c r="E558" s="1">
        <v>0</v>
      </c>
      <c r="F558" s="1">
        <v>3.7941016895134802E-6</v>
      </c>
    </row>
    <row r="559" spans="1:6" x14ac:dyDescent="0.25">
      <c r="A559" s="2" t="str">
        <f t="shared" si="22"/>
        <v>26620</v>
      </c>
      <c r="B559" s="2" t="str">
        <f>"35809"</f>
        <v>35809</v>
      </c>
      <c r="C559" s="1">
        <v>0</v>
      </c>
      <c r="D559" s="1">
        <v>4.5324751846983599E-5</v>
      </c>
      <c r="E559" s="1">
        <v>1.2608750472828099E-4</v>
      </c>
      <c r="F559" s="1">
        <v>7.5882033790269603E-6</v>
      </c>
    </row>
    <row r="560" spans="1:6" x14ac:dyDescent="0.25">
      <c r="A560" s="2" t="str">
        <f t="shared" si="22"/>
        <v>26620</v>
      </c>
      <c r="B560" s="2" t="str">
        <f>"35812"</f>
        <v>35812</v>
      </c>
      <c r="C560" s="1">
        <v>2.5259768894521101E-4</v>
      </c>
      <c r="D560" s="1">
        <v>8.6117028509268901E-4</v>
      </c>
      <c r="E560" s="1">
        <v>3.7826251418484399E-4</v>
      </c>
      <c r="F560" s="1">
        <v>3.0732223685059199E-4</v>
      </c>
    </row>
    <row r="561" spans="1:6" x14ac:dyDescent="0.25">
      <c r="A561" s="2" t="str">
        <f t="shared" si="22"/>
        <v>26620</v>
      </c>
      <c r="B561" s="2" t="str">
        <f>"35649"</f>
        <v>35649</v>
      </c>
      <c r="C561" s="1">
        <v>0</v>
      </c>
      <c r="D561" s="1">
        <v>4.5324751846983599E-5</v>
      </c>
      <c r="E561" s="1">
        <v>0</v>
      </c>
      <c r="F561" s="1">
        <v>3.7941016895134802E-6</v>
      </c>
    </row>
    <row r="562" spans="1:6" x14ac:dyDescent="0.25">
      <c r="A562" s="2" t="str">
        <f t="shared" si="22"/>
        <v>26620</v>
      </c>
      <c r="B562" s="2" t="str">
        <f>"35611"</f>
        <v>35611</v>
      </c>
      <c r="C562" s="1">
        <v>5.8114593724445801E-2</v>
      </c>
      <c r="D562" s="1">
        <v>6.6400761455831001E-2</v>
      </c>
      <c r="E562" s="1">
        <v>5.0182826881855998E-2</v>
      </c>
      <c r="F562" s="1">
        <v>5.8569547781019603E-2</v>
      </c>
    </row>
    <row r="563" spans="1:6" x14ac:dyDescent="0.25">
      <c r="A563" s="2" t="str">
        <f t="shared" si="22"/>
        <v>26620</v>
      </c>
      <c r="B563" s="2" t="str">
        <f>"35801"</f>
        <v>35801</v>
      </c>
      <c r="C563" s="1">
        <v>5.1649805414153101E-2</v>
      </c>
      <c r="D563" s="1">
        <v>0.16054027104201599</v>
      </c>
      <c r="E563" s="1">
        <v>0.12091791703442099</v>
      </c>
      <c r="F563" s="1">
        <v>6.2849294486790802E-2</v>
      </c>
    </row>
    <row r="564" spans="1:6" x14ac:dyDescent="0.25">
      <c r="A564" s="2" t="str">
        <f t="shared" si="22"/>
        <v>26620</v>
      </c>
      <c r="B564" s="2" t="str">
        <f>"35741"</f>
        <v>35741</v>
      </c>
      <c r="C564" s="1">
        <v>6.5461333287665903E-3</v>
      </c>
      <c r="D564" s="1">
        <v>5.0763722068621602E-3</v>
      </c>
      <c r="E564" s="1">
        <v>4.79132517967469E-3</v>
      </c>
      <c r="F564" s="1">
        <v>6.3702967366931302E-3</v>
      </c>
    </row>
    <row r="565" spans="1:6" x14ac:dyDescent="0.25">
      <c r="A565" s="2" t="str">
        <f t="shared" si="22"/>
        <v>26620</v>
      </c>
      <c r="B565" s="2" t="str">
        <f>"35808"</f>
        <v>35808</v>
      </c>
      <c r="C565" s="1">
        <v>5.3816151695615499E-3</v>
      </c>
      <c r="D565" s="1">
        <v>3.8979286588405899E-3</v>
      </c>
      <c r="E565" s="1">
        <v>7.1869877695120397E-3</v>
      </c>
      <c r="F565" s="1">
        <v>5.3117423653188701E-3</v>
      </c>
    </row>
    <row r="566" spans="1:6" x14ac:dyDescent="0.25">
      <c r="A566" s="2" t="str">
        <f t="shared" si="22"/>
        <v>26620</v>
      </c>
      <c r="B566" s="2" t="str">
        <f>"35804"</f>
        <v>35804</v>
      </c>
      <c r="C566" s="1">
        <v>4.5895715686316398E-3</v>
      </c>
      <c r="D566" s="1">
        <v>3.6577074740515698E-2</v>
      </c>
      <c r="E566" s="1">
        <v>2.5217500945656199E-4</v>
      </c>
      <c r="F566" s="1">
        <v>7.1367052779748603E-3</v>
      </c>
    </row>
    <row r="567" spans="1:6" x14ac:dyDescent="0.25">
      <c r="A567" s="2" t="str">
        <f t="shared" si="22"/>
        <v>26620</v>
      </c>
      <c r="B567" s="2" t="str">
        <f>"35614"</f>
        <v>35614</v>
      </c>
      <c r="C567" s="1">
        <v>1.62047839433496E-2</v>
      </c>
      <c r="D567" s="1">
        <v>4.3511761773104198E-3</v>
      </c>
      <c r="E567" s="1">
        <v>8.1956878073382901E-3</v>
      </c>
      <c r="F567" s="1">
        <v>1.4971525266820201E-2</v>
      </c>
    </row>
    <row r="568" spans="1:6" x14ac:dyDescent="0.25">
      <c r="A568" s="2" t="str">
        <f t="shared" si="22"/>
        <v>26620</v>
      </c>
      <c r="B568" s="2" t="str">
        <f>"35802"</f>
        <v>35802</v>
      </c>
      <c r="C568" s="1">
        <v>5.26131016855544E-2</v>
      </c>
      <c r="D568" s="1">
        <v>4.6911118161627997E-2</v>
      </c>
      <c r="E568" s="1">
        <v>0.121548354558063</v>
      </c>
      <c r="F568" s="1">
        <v>5.4210124939768602E-2</v>
      </c>
    </row>
    <row r="569" spans="1:6" x14ac:dyDescent="0.25">
      <c r="A569" s="2" t="str">
        <f t="shared" si="22"/>
        <v>26620</v>
      </c>
      <c r="B569" s="2" t="str">
        <f>"35767"</f>
        <v>35767</v>
      </c>
      <c r="C569" s="1">
        <v>0</v>
      </c>
      <c r="D569" s="1">
        <v>4.5324751846983599E-5</v>
      </c>
      <c r="E569" s="1">
        <v>0</v>
      </c>
      <c r="F569" s="1">
        <v>3.7941016895134802E-6</v>
      </c>
    </row>
    <row r="570" spans="1:6" x14ac:dyDescent="0.25">
      <c r="A570" s="2" t="str">
        <f t="shared" si="22"/>
        <v>26620</v>
      </c>
      <c r="B570" s="2" t="str">
        <f>"35899"</f>
        <v>35899</v>
      </c>
      <c r="C570" s="1">
        <v>0</v>
      </c>
      <c r="D570" s="1">
        <v>4.5324751846983599E-5</v>
      </c>
      <c r="E570" s="1">
        <v>0</v>
      </c>
      <c r="F570" s="1">
        <v>3.7941016895134802E-6</v>
      </c>
    </row>
    <row r="571" spans="1:6" x14ac:dyDescent="0.25">
      <c r="A571" s="2" t="str">
        <f t="shared" si="22"/>
        <v>26620</v>
      </c>
      <c r="B571" s="2" t="str">
        <f>"35897"</f>
        <v>35897</v>
      </c>
      <c r="C571" s="1">
        <v>0</v>
      </c>
      <c r="D571" s="1">
        <v>4.5324751846983599E-5</v>
      </c>
      <c r="E571" s="1">
        <v>0</v>
      </c>
      <c r="F571" s="1">
        <v>3.7941016895134802E-6</v>
      </c>
    </row>
    <row r="572" spans="1:6" x14ac:dyDescent="0.25">
      <c r="A572" s="2" t="str">
        <f t="shared" si="22"/>
        <v>26620</v>
      </c>
      <c r="B572" s="2" t="str">
        <f>"35749"</f>
        <v>35749</v>
      </c>
      <c r="C572" s="1">
        <v>4.6263908927829799E-2</v>
      </c>
      <c r="D572" s="1">
        <v>1.52744413724334E-2</v>
      </c>
      <c r="E572" s="1">
        <v>6.1782877316857799E-3</v>
      </c>
      <c r="F572" s="1">
        <v>4.24635861090348E-2</v>
      </c>
    </row>
    <row r="573" spans="1:6" x14ac:dyDescent="0.25">
      <c r="A573" s="2" t="str">
        <f t="shared" si="22"/>
        <v>26620</v>
      </c>
      <c r="B573" s="2" t="str">
        <f>"35620"</f>
        <v>35620</v>
      </c>
      <c r="C573" s="1">
        <v>1.8850637702131599E-2</v>
      </c>
      <c r="D573" s="1">
        <v>6.43611476227167E-3</v>
      </c>
      <c r="E573" s="1">
        <v>5.4217627033160999E-3</v>
      </c>
      <c r="F573" s="1">
        <v>1.7407338551487801E-2</v>
      </c>
    </row>
    <row r="574" spans="1:6" x14ac:dyDescent="0.25">
      <c r="A574" s="2" t="str">
        <f t="shared" si="22"/>
        <v>26620</v>
      </c>
      <c r="B574" s="2" t="str">
        <f>"35613"</f>
        <v>35613</v>
      </c>
      <c r="C574" s="1">
        <v>4.1134891447213502E-2</v>
      </c>
      <c r="D574" s="1">
        <v>1.54104156279744E-2</v>
      </c>
      <c r="E574" s="1">
        <v>1.07174379019039E-2</v>
      </c>
      <c r="F574" s="1">
        <v>3.8066222250888702E-2</v>
      </c>
    </row>
    <row r="575" spans="1:6" x14ac:dyDescent="0.25">
      <c r="A575" s="2" t="str">
        <f t="shared" ref="A575:A598" si="23">"22840"</f>
        <v>22840</v>
      </c>
      <c r="B575" s="2" t="str">
        <f>"35978"</f>
        <v>35978</v>
      </c>
      <c r="C575" s="1">
        <v>7.1336354896305396E-2</v>
      </c>
      <c r="D575" s="1">
        <v>5.2952380952380897E-2</v>
      </c>
      <c r="E575" s="1">
        <v>3.2786885245901599E-2</v>
      </c>
      <c r="F575" s="1">
        <v>6.9525731584258302E-2</v>
      </c>
    </row>
    <row r="576" spans="1:6" x14ac:dyDescent="0.25">
      <c r="A576" s="2" t="str">
        <f t="shared" si="23"/>
        <v>22840</v>
      </c>
      <c r="B576" s="2" t="str">
        <f>"35975"</f>
        <v>35975</v>
      </c>
      <c r="C576" s="1">
        <v>1.43661584947122E-2</v>
      </c>
      <c r="D576" s="1">
        <v>1.5238095238095199E-3</v>
      </c>
      <c r="E576" s="1">
        <v>0</v>
      </c>
      <c r="F576" s="1">
        <v>1.32946518668012E-2</v>
      </c>
    </row>
    <row r="577" spans="1:6" x14ac:dyDescent="0.25">
      <c r="A577" s="2" t="str">
        <f t="shared" si="23"/>
        <v>22840</v>
      </c>
      <c r="B577" s="2" t="str">
        <f>"35967"</f>
        <v>35967</v>
      </c>
      <c r="C577" s="1">
        <v>0.21782722153550299</v>
      </c>
      <c r="D577" s="1">
        <v>0.43238095238095198</v>
      </c>
      <c r="E577" s="1">
        <v>0.47377049180327802</v>
      </c>
      <c r="F577" s="1">
        <v>0.23597376387487301</v>
      </c>
    </row>
    <row r="578" spans="1:6" x14ac:dyDescent="0.25">
      <c r="A578" s="2" t="str">
        <f t="shared" si="23"/>
        <v>22840</v>
      </c>
      <c r="B578" s="2" t="str">
        <f>"35961"</f>
        <v>35961</v>
      </c>
      <c r="C578" s="1">
        <v>5.5431946161241502E-2</v>
      </c>
      <c r="D578" s="1">
        <v>2.0190476190476099E-2</v>
      </c>
      <c r="E578" s="1">
        <v>3.6065573770491799E-2</v>
      </c>
      <c r="F578" s="1">
        <v>5.2800201816347099E-2</v>
      </c>
    </row>
    <row r="579" spans="1:6" x14ac:dyDescent="0.25">
      <c r="A579" s="2" t="str">
        <f t="shared" si="23"/>
        <v>22840</v>
      </c>
      <c r="B579" s="2" t="str">
        <f>"35951"</f>
        <v>35951</v>
      </c>
      <c r="C579" s="1">
        <v>2.8979535778052401E-2</v>
      </c>
      <c r="D579" s="1">
        <v>5.3333333333333297E-3</v>
      </c>
      <c r="E579" s="1">
        <v>4.9180327868852403E-3</v>
      </c>
      <c r="F579" s="1">
        <v>2.7043390514631602E-2</v>
      </c>
    </row>
    <row r="580" spans="1:6" x14ac:dyDescent="0.25">
      <c r="A580" s="2" t="str">
        <f t="shared" si="23"/>
        <v>22840</v>
      </c>
      <c r="B580" s="2" t="str">
        <f>"35989"</f>
        <v>35989</v>
      </c>
      <c r="C580" s="1">
        <v>4.5515725861832099E-2</v>
      </c>
      <c r="D580" s="1">
        <v>1.2190476190476101E-2</v>
      </c>
      <c r="E580" s="1">
        <v>9.8360655737704892E-3</v>
      </c>
      <c r="F580" s="1">
        <v>4.2759838546922301E-2</v>
      </c>
    </row>
    <row r="581" spans="1:6" x14ac:dyDescent="0.25">
      <c r="A581" s="2" t="str">
        <f t="shared" si="23"/>
        <v>22840</v>
      </c>
      <c r="B581" s="2" t="str">
        <f>"35963"</f>
        <v>35963</v>
      </c>
      <c r="C581" s="1">
        <v>2.3815409971157799E-2</v>
      </c>
      <c r="D581" s="1">
        <v>2.6666666666666601E-3</v>
      </c>
      <c r="E581" s="1">
        <v>1.31147540983606E-2</v>
      </c>
      <c r="F581" s="1">
        <v>2.2250252270433899E-2</v>
      </c>
    </row>
    <row r="582" spans="1:6" x14ac:dyDescent="0.25">
      <c r="A582" s="2" t="str">
        <f t="shared" si="23"/>
        <v>22840</v>
      </c>
      <c r="B582" s="2" t="str">
        <f>"35957"</f>
        <v>35957</v>
      </c>
      <c r="C582" s="1">
        <v>2.69743167147369E-2</v>
      </c>
      <c r="D582" s="1">
        <v>5.3333333333333297E-3</v>
      </c>
      <c r="E582" s="1">
        <v>6.5573770491803201E-3</v>
      </c>
      <c r="F582" s="1">
        <v>2.5227043390514601E-2</v>
      </c>
    </row>
    <row r="583" spans="1:6" x14ac:dyDescent="0.25">
      <c r="A583" s="2" t="str">
        <f t="shared" si="23"/>
        <v>22840</v>
      </c>
      <c r="B583" s="2" t="str">
        <f>"35979"</f>
        <v>35979</v>
      </c>
      <c r="C583" s="1">
        <v>1.2003845625600799E-2</v>
      </c>
      <c r="D583" s="1">
        <v>4.57142857142857E-3</v>
      </c>
      <c r="E583" s="1">
        <v>0</v>
      </c>
      <c r="F583" s="1">
        <v>1.1326942482341E-2</v>
      </c>
    </row>
    <row r="584" spans="1:6" x14ac:dyDescent="0.25">
      <c r="A584" s="2" t="str">
        <f t="shared" si="23"/>
        <v>22840</v>
      </c>
      <c r="B584" s="2" t="str">
        <f>"35968"</f>
        <v>35968</v>
      </c>
      <c r="C584" s="1">
        <v>0.102376047246257</v>
      </c>
      <c r="D584" s="1">
        <v>0.20342857142857099</v>
      </c>
      <c r="E584" s="1">
        <v>7.3770491803278604E-2</v>
      </c>
      <c r="F584" s="1">
        <v>0.108627648839556</v>
      </c>
    </row>
    <row r="585" spans="1:6" x14ac:dyDescent="0.25">
      <c r="A585" s="2" t="str">
        <f t="shared" si="23"/>
        <v>22840</v>
      </c>
      <c r="B585" s="2" t="str">
        <f>"35974"</f>
        <v>35974</v>
      </c>
      <c r="C585" s="1">
        <v>2.32660348853179E-2</v>
      </c>
      <c r="D585" s="1">
        <v>2.5904761904761899E-2</v>
      </c>
      <c r="E585" s="1">
        <v>9.8360655737704892E-3</v>
      </c>
      <c r="F585" s="1">
        <v>2.3234106962663901E-2</v>
      </c>
    </row>
    <row r="586" spans="1:6" x14ac:dyDescent="0.25">
      <c r="A586" s="2" t="str">
        <f t="shared" si="23"/>
        <v>22840</v>
      </c>
      <c r="B586" s="2" t="str">
        <f>"35966"</f>
        <v>35966</v>
      </c>
      <c r="C586" s="1">
        <v>1.9695096827358798E-2</v>
      </c>
      <c r="D586" s="1">
        <v>1.1809523809523799E-2</v>
      </c>
      <c r="E586" s="1">
        <v>1.14754098360655E-2</v>
      </c>
      <c r="F586" s="1">
        <v>1.9046417759838501E-2</v>
      </c>
    </row>
    <row r="587" spans="1:6" x14ac:dyDescent="0.25">
      <c r="A587" s="2" t="str">
        <f t="shared" si="23"/>
        <v>22840</v>
      </c>
      <c r="B587" s="2" t="str">
        <f>"35771"</f>
        <v>35771</v>
      </c>
      <c r="C587" s="1">
        <v>2.3073753605274E-3</v>
      </c>
      <c r="D587" s="1">
        <v>0</v>
      </c>
      <c r="E587" s="1">
        <v>3.27868852459016E-3</v>
      </c>
      <c r="F587" s="1">
        <v>2.1695257315842501E-3</v>
      </c>
    </row>
    <row r="588" spans="1:6" x14ac:dyDescent="0.25">
      <c r="A588" s="2" t="str">
        <f t="shared" si="23"/>
        <v>22840</v>
      </c>
      <c r="B588" s="2" t="str">
        <f>"35954"</f>
        <v>35954</v>
      </c>
      <c r="C588" s="1">
        <v>1.7580002746875401E-3</v>
      </c>
      <c r="D588" s="1">
        <v>3.8095238095237999E-4</v>
      </c>
      <c r="E588" s="1">
        <v>0</v>
      </c>
      <c r="F588" s="1">
        <v>1.6397578203834499E-3</v>
      </c>
    </row>
    <row r="589" spans="1:6" x14ac:dyDescent="0.25">
      <c r="A589" s="2" t="str">
        <f t="shared" si="23"/>
        <v>22840</v>
      </c>
      <c r="B589" s="2" t="str">
        <f>"35986"</f>
        <v>35986</v>
      </c>
      <c r="C589" s="1">
        <v>0.108446641944787</v>
      </c>
      <c r="D589" s="1">
        <v>9.9809523809523806E-2</v>
      </c>
      <c r="E589" s="1">
        <v>0.10327868852459</v>
      </c>
      <c r="F589" s="1">
        <v>0.107795156407669</v>
      </c>
    </row>
    <row r="590" spans="1:6" x14ac:dyDescent="0.25">
      <c r="A590" s="2" t="str">
        <f t="shared" si="23"/>
        <v>22840</v>
      </c>
      <c r="B590" s="2" t="str">
        <f>"35981"</f>
        <v>35981</v>
      </c>
      <c r="C590" s="1">
        <v>3.25504738360115E-2</v>
      </c>
      <c r="D590" s="1">
        <v>2.47619047619047E-2</v>
      </c>
      <c r="E590" s="1">
        <v>5.4098360655737698E-2</v>
      </c>
      <c r="F590" s="1">
        <v>3.2366296670030201E-2</v>
      </c>
    </row>
    <row r="591" spans="1:6" x14ac:dyDescent="0.25">
      <c r="A591" s="2" t="str">
        <f t="shared" si="23"/>
        <v>22840</v>
      </c>
      <c r="B591" s="2" t="str">
        <f>"35956"</f>
        <v>35956</v>
      </c>
      <c r="C591" s="1">
        <v>2.74687542919928E-5</v>
      </c>
      <c r="D591" s="1">
        <v>0</v>
      </c>
      <c r="E591" s="1">
        <v>0</v>
      </c>
      <c r="F591" s="1">
        <v>2.5227043390514601E-5</v>
      </c>
    </row>
    <row r="592" spans="1:6" x14ac:dyDescent="0.25">
      <c r="A592" s="2" t="str">
        <f t="shared" si="23"/>
        <v>22840</v>
      </c>
      <c r="B592" s="2" t="str">
        <f>"35962"</f>
        <v>35962</v>
      </c>
      <c r="C592" s="1">
        <v>8.8614201345968896E-2</v>
      </c>
      <c r="D592" s="1">
        <v>3.77142857142857E-2</v>
      </c>
      <c r="E592" s="1">
        <v>6.3934426229508096E-2</v>
      </c>
      <c r="F592" s="1">
        <v>8.4863773965691197E-2</v>
      </c>
    </row>
    <row r="593" spans="1:6" x14ac:dyDescent="0.25">
      <c r="A593" s="2" t="str">
        <f t="shared" si="23"/>
        <v>22840</v>
      </c>
      <c r="B593" s="2" t="str">
        <f>"35765"</f>
        <v>35765</v>
      </c>
      <c r="C593" s="1">
        <v>3.3786567779151202E-3</v>
      </c>
      <c r="D593" s="1">
        <v>0</v>
      </c>
      <c r="E593" s="1">
        <v>3.27868852459016E-3</v>
      </c>
      <c r="F593" s="1">
        <v>3.1533804238143199E-3</v>
      </c>
    </row>
    <row r="594" spans="1:6" x14ac:dyDescent="0.25">
      <c r="A594" s="2" t="str">
        <f t="shared" si="23"/>
        <v>22840</v>
      </c>
      <c r="B594" s="2" t="str">
        <f>"35959"</f>
        <v>35959</v>
      </c>
      <c r="C594" s="1">
        <v>7.9659387446779197E-4</v>
      </c>
      <c r="D594" s="1">
        <v>0</v>
      </c>
      <c r="E594" s="1">
        <v>0</v>
      </c>
      <c r="F594" s="1">
        <v>7.3158425832492403E-4</v>
      </c>
    </row>
    <row r="595" spans="1:6" x14ac:dyDescent="0.25">
      <c r="A595" s="2" t="str">
        <f t="shared" si="23"/>
        <v>22840</v>
      </c>
      <c r="B595" s="2" t="str">
        <f>"35983"</f>
        <v>35983</v>
      </c>
      <c r="C595" s="1">
        <v>5.7684384013185E-4</v>
      </c>
      <c r="D595" s="1">
        <v>0</v>
      </c>
      <c r="E595" s="1">
        <v>0</v>
      </c>
      <c r="F595" s="1">
        <v>5.2976791120080697E-4</v>
      </c>
    </row>
    <row r="596" spans="1:6" x14ac:dyDescent="0.25">
      <c r="A596" s="2" t="str">
        <f t="shared" si="23"/>
        <v>22840</v>
      </c>
      <c r="B596" s="2" t="str">
        <f>"35971"</f>
        <v>35971</v>
      </c>
      <c r="C596" s="1">
        <v>6.4359291306139196E-2</v>
      </c>
      <c r="D596" s="1">
        <v>3.3904761904761903E-2</v>
      </c>
      <c r="E596" s="1">
        <v>6.2295081967213103E-2</v>
      </c>
      <c r="F596" s="1">
        <v>6.2310797174571102E-2</v>
      </c>
    </row>
    <row r="597" spans="1:6" x14ac:dyDescent="0.25">
      <c r="A597" s="2" t="str">
        <f t="shared" si="23"/>
        <v>22840</v>
      </c>
      <c r="B597" s="2" t="str">
        <f>"35988"</f>
        <v>35988</v>
      </c>
      <c r="C597" s="1">
        <v>2.4969097651421499E-2</v>
      </c>
      <c r="D597" s="1">
        <v>1.02857142857142E-2</v>
      </c>
      <c r="E597" s="1">
        <v>2.78688524590163E-2</v>
      </c>
      <c r="F597" s="1">
        <v>2.4041372351160401E-2</v>
      </c>
    </row>
    <row r="598" spans="1:6" x14ac:dyDescent="0.25">
      <c r="A598" s="2" t="str">
        <f t="shared" si="23"/>
        <v>22840</v>
      </c>
      <c r="B598" s="2" t="str">
        <f>"35984"</f>
        <v>35984</v>
      </c>
      <c r="C598" s="1">
        <v>3.0627661035572001E-2</v>
      </c>
      <c r="D598" s="1">
        <v>1.48571428571428E-2</v>
      </c>
      <c r="E598" s="1">
        <v>9.8360655737704892E-3</v>
      </c>
      <c r="F598" s="1">
        <v>2.9263370332996901E-2</v>
      </c>
    </row>
    <row r="599" spans="1:6" x14ac:dyDescent="0.25">
      <c r="A599" s="2" t="str">
        <f t="shared" ref="A599:A639" si="24">"17300"</f>
        <v>17300</v>
      </c>
      <c r="B599" s="2" t="str">
        <f>"42464"</f>
        <v>42464</v>
      </c>
      <c r="C599" s="1">
        <v>3.5337402908753202E-4</v>
      </c>
      <c r="D599" s="1">
        <v>2.81743050338091E-4</v>
      </c>
      <c r="E599" s="1">
        <v>1.4654161781946001E-4</v>
      </c>
      <c r="F599" s="1">
        <v>3.3993633919465901E-4</v>
      </c>
    </row>
    <row r="600" spans="1:6" x14ac:dyDescent="0.25">
      <c r="A600" s="2" t="str">
        <f t="shared" si="24"/>
        <v>17300</v>
      </c>
      <c r="B600" s="2" t="str">
        <f>"42262"</f>
        <v>42262</v>
      </c>
      <c r="C600" s="1">
        <v>3.6501458533982803E-2</v>
      </c>
      <c r="D600" s="1">
        <v>2.9019534184823399E-2</v>
      </c>
      <c r="E600" s="1">
        <v>1.49472450175849E-2</v>
      </c>
      <c r="F600" s="1">
        <v>3.50999721870267E-2</v>
      </c>
    </row>
    <row r="601" spans="1:6" x14ac:dyDescent="0.25">
      <c r="A601" s="2" t="str">
        <f t="shared" si="24"/>
        <v>17300</v>
      </c>
      <c r="B601" s="2" t="str">
        <f>"42232"</f>
        <v>42232</v>
      </c>
      <c r="C601" s="1">
        <v>2.50826271626837E-3</v>
      </c>
      <c r="D601" s="1">
        <v>7.5131480090157704E-4</v>
      </c>
      <c r="E601" s="1">
        <v>4.3962485345838199E-4</v>
      </c>
      <c r="F601" s="1">
        <v>2.3053864458110499E-3</v>
      </c>
    </row>
    <row r="602" spans="1:6" x14ac:dyDescent="0.25">
      <c r="A602" s="2" t="str">
        <f t="shared" si="24"/>
        <v>17300</v>
      </c>
      <c r="B602" s="2" t="str">
        <f>"37175"</f>
        <v>37175</v>
      </c>
      <c r="C602" s="1">
        <v>1.91237709859135E-3</v>
      </c>
      <c r="D602" s="1">
        <v>0</v>
      </c>
      <c r="E602" s="1">
        <v>0</v>
      </c>
      <c r="F602" s="1">
        <v>1.70586235668592E-3</v>
      </c>
    </row>
    <row r="603" spans="1:6" x14ac:dyDescent="0.25">
      <c r="A603" s="2" t="str">
        <f t="shared" si="24"/>
        <v>17300</v>
      </c>
      <c r="B603" s="2" t="str">
        <f>"37058"</f>
        <v>37058</v>
      </c>
      <c r="C603" s="1">
        <v>2.8526291720654299E-2</v>
      </c>
      <c r="D603" s="1">
        <v>2.75169045830202E-2</v>
      </c>
      <c r="E603" s="1">
        <v>4.9824150058616597E-3</v>
      </c>
      <c r="F603" s="1">
        <v>2.74668562069285E-2</v>
      </c>
    </row>
    <row r="604" spans="1:6" x14ac:dyDescent="0.25">
      <c r="A604" s="2" t="str">
        <f t="shared" si="24"/>
        <v>17300</v>
      </c>
      <c r="B604" s="2" t="str">
        <f>"42445"</f>
        <v>42445</v>
      </c>
      <c r="C604" s="1">
        <v>2.0093817340271399E-4</v>
      </c>
      <c r="D604" s="1">
        <v>0</v>
      </c>
      <c r="E604" s="1">
        <v>7.3270808909730299E-4</v>
      </c>
      <c r="F604" s="1">
        <v>2.10142464229426E-4</v>
      </c>
    </row>
    <row r="605" spans="1:6" x14ac:dyDescent="0.25">
      <c r="A605" s="2" t="str">
        <f t="shared" si="24"/>
        <v>17300</v>
      </c>
      <c r="B605" s="2" t="str">
        <f>"42286"</f>
        <v>42286</v>
      </c>
      <c r="C605" s="1">
        <v>7.6217927842409003E-5</v>
      </c>
      <c r="D605" s="1">
        <v>0</v>
      </c>
      <c r="E605" s="1">
        <v>0</v>
      </c>
      <c r="F605" s="1">
        <v>6.7987267838931899E-5</v>
      </c>
    </row>
    <row r="606" spans="1:6" x14ac:dyDescent="0.25">
      <c r="A606" s="2" t="str">
        <f t="shared" si="24"/>
        <v>17300</v>
      </c>
      <c r="B606" s="2" t="str">
        <f>"42215"</f>
        <v>42215</v>
      </c>
      <c r="C606" s="1">
        <v>3.73467846427804E-3</v>
      </c>
      <c r="D606" s="1">
        <v>5.6348610067618297E-4</v>
      </c>
      <c r="E606" s="1">
        <v>1.4654161781946001E-4</v>
      </c>
      <c r="F606" s="1">
        <v>3.3746407490960698E-3</v>
      </c>
    </row>
    <row r="607" spans="1:6" x14ac:dyDescent="0.25">
      <c r="A607" s="2" t="str">
        <f t="shared" si="24"/>
        <v>17300</v>
      </c>
      <c r="B607" s="2" t="str">
        <f>"37028"</f>
        <v>37028</v>
      </c>
      <c r="C607" s="1">
        <v>2.91706796560492E-3</v>
      </c>
      <c r="D607" s="1">
        <v>1.50262960180315E-3</v>
      </c>
      <c r="E607" s="1">
        <v>2.93083235638921E-4</v>
      </c>
      <c r="F607" s="1">
        <v>2.7133100528446401E-3</v>
      </c>
    </row>
    <row r="608" spans="1:6" x14ac:dyDescent="0.25">
      <c r="A608" s="2" t="str">
        <f t="shared" si="24"/>
        <v>17300</v>
      </c>
      <c r="B608" s="2" t="str">
        <f>"37015"</f>
        <v>37015</v>
      </c>
      <c r="C608" s="1">
        <v>4.7809427464783798E-4</v>
      </c>
      <c r="D608" s="1">
        <v>9.3914350112697198E-5</v>
      </c>
      <c r="E608" s="1">
        <v>0</v>
      </c>
      <c r="F608" s="1">
        <v>4.3264624988411201E-4</v>
      </c>
    </row>
    <row r="609" spans="1:6" x14ac:dyDescent="0.25">
      <c r="A609" s="2" t="str">
        <f t="shared" si="24"/>
        <v>17300</v>
      </c>
      <c r="B609" s="2" t="str">
        <f>"37023"</f>
        <v>37023</v>
      </c>
      <c r="C609" s="1">
        <v>5.8064203210853402E-3</v>
      </c>
      <c r="D609" s="1">
        <v>1.7843726521412401E-3</v>
      </c>
      <c r="E609" s="1">
        <v>2.93083235638921E-4</v>
      </c>
      <c r="F609" s="1">
        <v>5.3091875521493201E-3</v>
      </c>
    </row>
    <row r="610" spans="1:6" x14ac:dyDescent="0.25">
      <c r="A610" s="2" t="str">
        <f t="shared" si="24"/>
        <v>17300</v>
      </c>
      <c r="B610" s="2" t="str">
        <f>"37061"</f>
        <v>37061</v>
      </c>
      <c r="C610" s="1">
        <v>2.9101390630737899E-4</v>
      </c>
      <c r="D610" s="1">
        <v>0</v>
      </c>
      <c r="E610" s="1">
        <v>0</v>
      </c>
      <c r="F610" s="1">
        <v>2.5958774993046699E-4</v>
      </c>
    </row>
    <row r="611" spans="1:6" x14ac:dyDescent="0.25">
      <c r="A611" s="2" t="str">
        <f t="shared" si="24"/>
        <v>17300</v>
      </c>
      <c r="B611" s="2" t="str">
        <f>"37010"</f>
        <v>37010</v>
      </c>
      <c r="C611" s="1">
        <v>9.1045779259023105E-3</v>
      </c>
      <c r="D611" s="1">
        <v>9.3914350112697198E-5</v>
      </c>
      <c r="E611" s="1">
        <v>0</v>
      </c>
      <c r="F611" s="1">
        <v>8.1275688371086792E-3</v>
      </c>
    </row>
    <row r="612" spans="1:6" x14ac:dyDescent="0.25">
      <c r="A612" s="2" t="str">
        <f t="shared" si="24"/>
        <v>17300</v>
      </c>
      <c r="B612" s="2" t="str">
        <f>"37040"</f>
        <v>37040</v>
      </c>
      <c r="C612" s="1">
        <v>0.18356048585464499</v>
      </c>
      <c r="D612" s="1">
        <v>0.291416228399699</v>
      </c>
      <c r="E612" s="1">
        <v>0.33514067995310598</v>
      </c>
      <c r="F612" s="1">
        <v>0.197051824840075</v>
      </c>
    </row>
    <row r="613" spans="1:6" x14ac:dyDescent="0.25">
      <c r="A613" s="2" t="str">
        <f t="shared" si="24"/>
        <v>17300</v>
      </c>
      <c r="B613" s="2" t="str">
        <f>"37051"</f>
        <v>37051</v>
      </c>
      <c r="C613" s="1">
        <v>3.78318078199593E-3</v>
      </c>
      <c r="D613" s="1">
        <v>2.81743050338091E-4</v>
      </c>
      <c r="E613" s="1">
        <v>0</v>
      </c>
      <c r="F613" s="1">
        <v>3.3931827312339599E-3</v>
      </c>
    </row>
    <row r="614" spans="1:6" x14ac:dyDescent="0.25">
      <c r="A614" s="2" t="str">
        <f t="shared" si="24"/>
        <v>17300</v>
      </c>
      <c r="B614" s="2" t="str">
        <f>"42453"</f>
        <v>42453</v>
      </c>
      <c r="C614" s="1">
        <v>4.8502317717896599E-5</v>
      </c>
      <c r="D614" s="1">
        <v>0</v>
      </c>
      <c r="E614" s="1">
        <v>0</v>
      </c>
      <c r="F614" s="1">
        <v>4.3264624988411201E-5</v>
      </c>
    </row>
    <row r="615" spans="1:6" x14ac:dyDescent="0.25">
      <c r="A615" s="2" t="str">
        <f t="shared" si="24"/>
        <v>17300</v>
      </c>
      <c r="B615" s="2" t="str">
        <f>"42442"</f>
        <v>42442</v>
      </c>
      <c r="C615" s="1">
        <v>2.2865378352722701E-4</v>
      </c>
      <c r="D615" s="1">
        <v>0</v>
      </c>
      <c r="E615" s="1">
        <v>2.93083235638921E-4</v>
      </c>
      <c r="F615" s="1">
        <v>2.16323124942056E-4</v>
      </c>
    </row>
    <row r="616" spans="1:6" x14ac:dyDescent="0.25">
      <c r="A616" s="2" t="str">
        <f t="shared" si="24"/>
        <v>17300</v>
      </c>
      <c r="B616" s="2" t="str">
        <f>"37171"</f>
        <v>37171</v>
      </c>
      <c r="C616" s="1">
        <v>3.90097212502511E-3</v>
      </c>
      <c r="D616" s="1">
        <v>8.4522915101427397E-4</v>
      </c>
      <c r="E616" s="1">
        <v>0</v>
      </c>
      <c r="F616" s="1">
        <v>3.5353379276244598E-3</v>
      </c>
    </row>
    <row r="617" spans="1:6" x14ac:dyDescent="0.25">
      <c r="A617" s="2" t="str">
        <f t="shared" si="24"/>
        <v>17300</v>
      </c>
      <c r="B617" s="2" t="str">
        <f>"42266"</f>
        <v>42266</v>
      </c>
      <c r="C617" s="1">
        <v>6.1320787400483603E-3</v>
      </c>
      <c r="D617" s="1">
        <v>2.5356874530428198E-3</v>
      </c>
      <c r="E617" s="1">
        <v>1.61195779601406E-3</v>
      </c>
      <c r="F617" s="1">
        <v>5.70474983775765E-3</v>
      </c>
    </row>
    <row r="618" spans="1:6" x14ac:dyDescent="0.25">
      <c r="A618" s="2" t="str">
        <f t="shared" si="24"/>
        <v>17300</v>
      </c>
      <c r="B618" s="2" t="str">
        <f>"37142"</f>
        <v>37142</v>
      </c>
      <c r="C618" s="1">
        <v>6.0697186172682096E-3</v>
      </c>
      <c r="D618" s="1">
        <v>1.7843726521412401E-3</v>
      </c>
      <c r="E618" s="1">
        <v>0</v>
      </c>
      <c r="F618" s="1">
        <v>5.5316913378040096E-3</v>
      </c>
    </row>
    <row r="619" spans="1:6" x14ac:dyDescent="0.25">
      <c r="A619" s="2" t="str">
        <f t="shared" si="24"/>
        <v>17300</v>
      </c>
      <c r="B619" s="2" t="str">
        <f>"37044"</f>
        <v>37044</v>
      </c>
      <c r="C619" s="1">
        <v>0</v>
      </c>
      <c r="D619" s="1">
        <v>9.3914350112697198E-5</v>
      </c>
      <c r="E619" s="1">
        <v>0</v>
      </c>
      <c r="F619" s="1">
        <v>6.1806607126301804E-6</v>
      </c>
    </row>
    <row r="620" spans="1:6" x14ac:dyDescent="0.25">
      <c r="A620" s="2" t="str">
        <f t="shared" si="24"/>
        <v>17300</v>
      </c>
      <c r="B620" s="2" t="str">
        <f>"42220"</f>
        <v>42220</v>
      </c>
      <c r="C620" s="1">
        <v>1.38578050622561E-5</v>
      </c>
      <c r="D620" s="1">
        <v>0</v>
      </c>
      <c r="E620" s="1">
        <v>0</v>
      </c>
      <c r="F620" s="1">
        <v>1.23613214252603E-5</v>
      </c>
    </row>
    <row r="621" spans="1:6" x14ac:dyDescent="0.25">
      <c r="A621" s="2" t="str">
        <f t="shared" si="24"/>
        <v>17300</v>
      </c>
      <c r="B621" s="2" t="str">
        <f>"37035"</f>
        <v>37035</v>
      </c>
      <c r="C621" s="1">
        <v>9.0075732904665201E-5</v>
      </c>
      <c r="D621" s="1">
        <v>0</v>
      </c>
      <c r="E621" s="1">
        <v>0</v>
      </c>
      <c r="F621" s="1">
        <v>8.0348589264192302E-5</v>
      </c>
    </row>
    <row r="622" spans="1:6" x14ac:dyDescent="0.25">
      <c r="A622" s="2" t="str">
        <f t="shared" si="24"/>
        <v>17300</v>
      </c>
      <c r="B622" s="2" t="str">
        <f>"37050"</f>
        <v>37050</v>
      </c>
      <c r="C622" s="1">
        <v>4.6423646958558204E-3</v>
      </c>
      <c r="D622" s="1">
        <v>2.9113448534936102E-3</v>
      </c>
      <c r="E622" s="1">
        <v>1.31887456037514E-3</v>
      </c>
      <c r="F622" s="1">
        <v>4.3882691059674199E-3</v>
      </c>
    </row>
    <row r="623" spans="1:6" x14ac:dyDescent="0.25">
      <c r="A623" s="2" t="str">
        <f t="shared" si="24"/>
        <v>17300</v>
      </c>
      <c r="B623" s="2" t="str">
        <f>"42241"</f>
        <v>42241</v>
      </c>
      <c r="C623" s="1">
        <v>7.26841875515337E-3</v>
      </c>
      <c r="D623" s="1">
        <v>4.1510142749812101E-2</v>
      </c>
      <c r="E623" s="1">
        <v>2.93083235638921E-4</v>
      </c>
      <c r="F623" s="1">
        <v>9.2277264439568508E-3</v>
      </c>
    </row>
    <row r="624" spans="1:6" x14ac:dyDescent="0.25">
      <c r="A624" s="2" t="str">
        <f t="shared" si="24"/>
        <v>17300</v>
      </c>
      <c r="B624" s="2" t="str">
        <f>"42236"</f>
        <v>42236</v>
      </c>
      <c r="C624" s="1">
        <v>3.1387928466010198E-3</v>
      </c>
      <c r="D624" s="1">
        <v>1.0330578512396599E-3</v>
      </c>
      <c r="E624" s="1">
        <v>4.3962485345838199E-4</v>
      </c>
      <c r="F624" s="1">
        <v>2.88636855279829E-3</v>
      </c>
    </row>
    <row r="625" spans="1:6" x14ac:dyDescent="0.25">
      <c r="A625" s="2" t="str">
        <f t="shared" si="24"/>
        <v>17300</v>
      </c>
      <c r="B625" s="2" t="str">
        <f>"42211"</f>
        <v>42211</v>
      </c>
      <c r="C625" s="1">
        <v>4.73174753850737E-2</v>
      </c>
      <c r="D625" s="1">
        <v>3.3527422990232897E-2</v>
      </c>
      <c r="E625" s="1">
        <v>1.49472450175849E-2</v>
      </c>
      <c r="F625" s="1">
        <v>4.5044655273648697E-2</v>
      </c>
    </row>
    <row r="626" spans="1:6" x14ac:dyDescent="0.25">
      <c r="A626" s="2" t="str">
        <f t="shared" si="24"/>
        <v>17300</v>
      </c>
      <c r="B626" s="2" t="str">
        <f>"37178"</f>
        <v>37178</v>
      </c>
      <c r="C626" s="1">
        <v>1.4065672138189999E-3</v>
      </c>
      <c r="D626" s="1">
        <v>6.5740045078888001E-4</v>
      </c>
      <c r="E626" s="1">
        <v>0</v>
      </c>
      <c r="F626" s="1">
        <v>1.29793874965233E-3</v>
      </c>
    </row>
    <row r="627" spans="1:6" x14ac:dyDescent="0.25">
      <c r="A627" s="2" t="str">
        <f t="shared" si="24"/>
        <v>17300</v>
      </c>
      <c r="B627" s="2" t="str">
        <f>"37191"</f>
        <v>37191</v>
      </c>
      <c r="C627" s="1">
        <v>1.22225840649099E-2</v>
      </c>
      <c r="D627" s="1">
        <v>3.5687453042824902E-3</v>
      </c>
      <c r="E627" s="1">
        <v>5.86166471277842E-4</v>
      </c>
      <c r="F627" s="1">
        <v>1.11622732470101E-2</v>
      </c>
    </row>
    <row r="628" spans="1:6" x14ac:dyDescent="0.25">
      <c r="A628" s="2" t="str">
        <f t="shared" si="24"/>
        <v>17300</v>
      </c>
      <c r="B628" s="2" t="str">
        <f>"37032"</f>
        <v>37032</v>
      </c>
      <c r="C628" s="1">
        <v>7.6217927842409003E-5</v>
      </c>
      <c r="D628" s="1">
        <v>0</v>
      </c>
      <c r="E628" s="1">
        <v>0</v>
      </c>
      <c r="F628" s="1">
        <v>6.7987267838931899E-5</v>
      </c>
    </row>
    <row r="629" spans="1:6" x14ac:dyDescent="0.25">
      <c r="A629" s="2" t="str">
        <f t="shared" si="24"/>
        <v>17300</v>
      </c>
      <c r="B629" s="2" t="str">
        <f>"37041"</f>
        <v>37041</v>
      </c>
      <c r="C629" s="1">
        <v>4.1573415186768499E-3</v>
      </c>
      <c r="D629" s="1">
        <v>2.4887302779864701E-2</v>
      </c>
      <c r="E629" s="1">
        <v>1.4654161781946001E-4</v>
      </c>
      <c r="F629" s="1">
        <v>5.3524521771377304E-3</v>
      </c>
    </row>
    <row r="630" spans="1:6" x14ac:dyDescent="0.25">
      <c r="A630" s="2" t="str">
        <f t="shared" si="24"/>
        <v>17300</v>
      </c>
      <c r="B630" s="2" t="str">
        <f>"37043"</f>
        <v>37043</v>
      </c>
      <c r="C630" s="1">
        <v>0.15860950784005301</v>
      </c>
      <c r="D630" s="1">
        <v>0.12978963185574699</v>
      </c>
      <c r="E630" s="1">
        <v>0.151230949589683</v>
      </c>
      <c r="F630" s="1">
        <v>0.15640161933310601</v>
      </c>
    </row>
    <row r="631" spans="1:6" x14ac:dyDescent="0.25">
      <c r="A631" s="2" t="str">
        <f t="shared" si="24"/>
        <v>17300</v>
      </c>
      <c r="B631" s="2" t="str">
        <f>"37042"</f>
        <v>37042</v>
      </c>
      <c r="C631" s="1">
        <v>0.25110342772808197</v>
      </c>
      <c r="D631" s="1">
        <v>0.15026296018031499</v>
      </c>
      <c r="E631" s="1">
        <v>0.27711019929660002</v>
      </c>
      <c r="F631" s="1">
        <v>0.24556383077350899</v>
      </c>
    </row>
    <row r="632" spans="1:6" x14ac:dyDescent="0.25">
      <c r="A632" s="2" t="str">
        <f t="shared" si="24"/>
        <v>17300</v>
      </c>
      <c r="B632" s="2" t="str">
        <f>"42408"</f>
        <v>42408</v>
      </c>
      <c r="C632" s="1">
        <v>9.21544036640036E-4</v>
      </c>
      <c r="D632" s="1">
        <v>1.8782870022539399E-4</v>
      </c>
      <c r="E632" s="1">
        <v>0</v>
      </c>
      <c r="F632" s="1">
        <v>8.3438919620507405E-4</v>
      </c>
    </row>
    <row r="633" spans="1:6" x14ac:dyDescent="0.25">
      <c r="A633" s="2" t="str">
        <f t="shared" si="24"/>
        <v>17300</v>
      </c>
      <c r="B633" s="2" t="str">
        <f>"42223"</f>
        <v>42223</v>
      </c>
      <c r="C633" s="1">
        <v>4.3173991671459098E-2</v>
      </c>
      <c r="D633" s="1">
        <v>6.10443275732531E-2</v>
      </c>
      <c r="E633" s="1">
        <v>6.0668229777256701E-2</v>
      </c>
      <c r="F633" s="1">
        <v>4.5087919898637099E-2</v>
      </c>
    </row>
    <row r="634" spans="1:6" x14ac:dyDescent="0.25">
      <c r="A634" s="2" t="str">
        <f t="shared" si="24"/>
        <v>17300</v>
      </c>
      <c r="B634" s="2" t="str">
        <f>"42217"</f>
        <v>42217</v>
      </c>
      <c r="C634" s="1">
        <v>1.3151057004081101E-2</v>
      </c>
      <c r="D634" s="1">
        <v>7.3253193087903798E-3</v>
      </c>
      <c r="E634" s="1">
        <v>1.31887456037514E-3</v>
      </c>
      <c r="F634" s="1">
        <v>1.22686115145709E-2</v>
      </c>
    </row>
    <row r="635" spans="1:6" x14ac:dyDescent="0.25">
      <c r="A635" s="2" t="str">
        <f t="shared" si="24"/>
        <v>17300</v>
      </c>
      <c r="B635" s="2" t="str">
        <f>"42038"</f>
        <v>42038</v>
      </c>
      <c r="C635" s="1">
        <v>1.38578050622561E-5</v>
      </c>
      <c r="D635" s="1">
        <v>9.3914350112697198E-5</v>
      </c>
      <c r="E635" s="1">
        <v>0</v>
      </c>
      <c r="F635" s="1">
        <v>1.85419821378905E-5</v>
      </c>
    </row>
    <row r="636" spans="1:6" x14ac:dyDescent="0.25">
      <c r="A636" s="2" t="str">
        <f t="shared" si="24"/>
        <v>17300</v>
      </c>
      <c r="B636" s="2" t="str">
        <f>"37052"</f>
        <v>37052</v>
      </c>
      <c r="C636" s="1">
        <v>7.8781621778926392E-3</v>
      </c>
      <c r="D636" s="1">
        <v>2.4417731029301201E-3</v>
      </c>
      <c r="E636" s="1">
        <v>0</v>
      </c>
      <c r="F636" s="1">
        <v>7.1881084087888902E-3</v>
      </c>
    </row>
    <row r="637" spans="1:6" x14ac:dyDescent="0.25">
      <c r="A637" s="2" t="str">
        <f t="shared" si="24"/>
        <v>17300</v>
      </c>
      <c r="B637" s="2" t="str">
        <f>"42254"</f>
        <v>42254</v>
      </c>
      <c r="C637" s="1">
        <v>9.7004635435793299E-4</v>
      </c>
      <c r="D637" s="1">
        <v>9.3914350112697198E-5</v>
      </c>
      <c r="E637" s="1">
        <v>2.93083235638921E-4</v>
      </c>
      <c r="F637" s="1">
        <v>8.8383448190611496E-4</v>
      </c>
    </row>
    <row r="638" spans="1:6" x14ac:dyDescent="0.25">
      <c r="A638" s="2" t="str">
        <f t="shared" si="24"/>
        <v>17300</v>
      </c>
      <c r="B638" s="2" t="str">
        <f>"42240"</f>
        <v>42240</v>
      </c>
      <c r="C638" s="1">
        <v>0.13834939683903399</v>
      </c>
      <c r="D638" s="1">
        <v>0.176465063861758</v>
      </c>
      <c r="E638" s="1">
        <v>0.132327080890973</v>
      </c>
      <c r="F638" s="1">
        <v>0.140603850551623</v>
      </c>
    </row>
    <row r="639" spans="1:6" x14ac:dyDescent="0.25">
      <c r="A639" s="2" t="str">
        <f t="shared" si="24"/>
        <v>17300</v>
      </c>
      <c r="B639" s="2" t="str">
        <f>"37079"</f>
        <v>37079</v>
      </c>
      <c r="C639" s="1">
        <v>9.3609473195540496E-3</v>
      </c>
      <c r="D639" s="1">
        <v>5.6348610067618304E-3</v>
      </c>
      <c r="E639" s="1">
        <v>2.93083235638921E-4</v>
      </c>
      <c r="F639" s="1">
        <v>8.7332735869464408E-3</v>
      </c>
    </row>
    <row r="640" spans="1:6" x14ac:dyDescent="0.25">
      <c r="A640" s="2" t="str">
        <f t="shared" ref="A640:A646" si="25">"19420"</f>
        <v>19420</v>
      </c>
      <c r="B640" s="2" t="str">
        <f>"37373"</f>
        <v>37373</v>
      </c>
      <c r="C640" s="1">
        <v>3.15227934044616E-3</v>
      </c>
      <c r="D640" s="1">
        <v>0</v>
      </c>
      <c r="E640" s="1">
        <v>2.38663484486873E-3</v>
      </c>
      <c r="F640" s="1">
        <v>2.9384556782935099E-3</v>
      </c>
    </row>
    <row r="641" spans="1:6" x14ac:dyDescent="0.25">
      <c r="A641" s="2" t="str">
        <f t="shared" si="25"/>
        <v>19420</v>
      </c>
      <c r="B641" s="2" t="str">
        <f>"37367"</f>
        <v>37367</v>
      </c>
      <c r="C641" s="1">
        <v>6.0620756547041701E-5</v>
      </c>
      <c r="D641" s="1">
        <v>0</v>
      </c>
      <c r="E641" s="1">
        <v>0</v>
      </c>
      <c r="F641" s="1">
        <v>5.4415845894324401E-5</v>
      </c>
    </row>
    <row r="642" spans="1:6" x14ac:dyDescent="0.25">
      <c r="A642" s="2" t="str">
        <f t="shared" si="25"/>
        <v>19420</v>
      </c>
      <c r="B642" s="2" t="str">
        <f>"37332"</f>
        <v>37332</v>
      </c>
      <c r="C642" s="1">
        <v>7.9170708050436397E-2</v>
      </c>
      <c r="D642" s="1">
        <v>4.0268456375838903E-2</v>
      </c>
      <c r="E642" s="1">
        <v>5.9665871121718297E-3</v>
      </c>
      <c r="F642" s="1">
        <v>7.3624639495020905E-2</v>
      </c>
    </row>
    <row r="643" spans="1:6" x14ac:dyDescent="0.25">
      <c r="A643" s="2" t="str">
        <f t="shared" si="25"/>
        <v>19420</v>
      </c>
      <c r="B643" s="2" t="str">
        <f>"37381"</f>
        <v>37381</v>
      </c>
      <c r="C643" s="1">
        <v>0.306741028128031</v>
      </c>
      <c r="D643" s="1">
        <v>0.16299137104506201</v>
      </c>
      <c r="E643" s="1">
        <v>0.15990453460620499</v>
      </c>
      <c r="F643" s="1">
        <v>0.291886597377156</v>
      </c>
    </row>
    <row r="644" spans="1:6" x14ac:dyDescent="0.25">
      <c r="A644" s="2" t="str">
        <f t="shared" si="25"/>
        <v>19420</v>
      </c>
      <c r="B644" s="2" t="str">
        <f>"37337"</f>
        <v>37337</v>
      </c>
      <c r="C644" s="1">
        <v>3.2007759456838002E-2</v>
      </c>
      <c r="D644" s="1">
        <v>1.4381591562799599E-2</v>
      </c>
      <c r="E644" s="1">
        <v>1.19331742243436E-3</v>
      </c>
      <c r="F644" s="1">
        <v>2.96022201665124E-2</v>
      </c>
    </row>
    <row r="645" spans="1:6" x14ac:dyDescent="0.25">
      <c r="A645" s="2" t="str">
        <f t="shared" si="25"/>
        <v>19420</v>
      </c>
      <c r="B645" s="2" t="str">
        <f>"37338"</f>
        <v>37338</v>
      </c>
      <c r="C645" s="1">
        <v>2.8188651794374301E-2</v>
      </c>
      <c r="D645" s="1">
        <v>8.6289549376797597E-3</v>
      </c>
      <c r="E645" s="1">
        <v>2.14797136038186E-2</v>
      </c>
      <c r="F645" s="1">
        <v>2.6772596180007598E-2</v>
      </c>
    </row>
    <row r="646" spans="1:6" x14ac:dyDescent="0.25">
      <c r="A646" s="2" t="str">
        <f t="shared" si="25"/>
        <v>19420</v>
      </c>
      <c r="B646" s="2" t="str">
        <f>"37321"</f>
        <v>37321</v>
      </c>
      <c r="C646" s="1">
        <v>0.55067895247332599</v>
      </c>
      <c r="D646" s="1">
        <v>0.77372962607861895</v>
      </c>
      <c r="E646" s="1">
        <v>0.809069212410501</v>
      </c>
      <c r="F646" s="1">
        <v>0.57512107525711398</v>
      </c>
    </row>
    <row r="647" spans="1:6" x14ac:dyDescent="0.25">
      <c r="A647" s="2" t="str">
        <f t="shared" ref="A647:A671" si="26">"27740"</f>
        <v>27740</v>
      </c>
      <c r="B647" s="2" t="str">
        <f>"37687"</f>
        <v>37687</v>
      </c>
      <c r="C647" s="1">
        <v>2.6040963920446799E-2</v>
      </c>
      <c r="D647" s="1">
        <v>1.6838166510757702E-2</v>
      </c>
      <c r="E647" s="1">
        <v>6.5424266455194197E-3</v>
      </c>
      <c r="F647" s="1">
        <v>2.45557710035284E-2</v>
      </c>
    </row>
    <row r="648" spans="1:6" x14ac:dyDescent="0.25">
      <c r="A648" s="2" t="str">
        <f t="shared" si="26"/>
        <v>27740</v>
      </c>
      <c r="B648" s="2" t="str">
        <f>"37684"</f>
        <v>37684</v>
      </c>
      <c r="C648" s="1">
        <v>9.5168704068506992E-3</v>
      </c>
      <c r="D648" s="1">
        <v>5.1969649724560802E-3</v>
      </c>
      <c r="E648" s="1">
        <v>1.9825535289452799E-4</v>
      </c>
      <c r="F648" s="1">
        <v>8.8130582663148802E-3</v>
      </c>
    </row>
    <row r="649" spans="1:6" x14ac:dyDescent="0.25">
      <c r="A649" s="2" t="str">
        <f t="shared" si="26"/>
        <v>27740</v>
      </c>
      <c r="B649" s="2" t="str">
        <f>"37641"</f>
        <v>37641</v>
      </c>
      <c r="C649" s="1">
        <v>8.2935297874445601E-3</v>
      </c>
      <c r="D649" s="1">
        <v>2.70242178567716E-3</v>
      </c>
      <c r="E649" s="1">
        <v>5.9476605868358397E-4</v>
      </c>
      <c r="F649" s="1">
        <v>7.5574557360373797E-3</v>
      </c>
    </row>
    <row r="650" spans="1:6" x14ac:dyDescent="0.25">
      <c r="A650" s="2" t="str">
        <f t="shared" si="26"/>
        <v>27740</v>
      </c>
      <c r="B650" s="2" t="str">
        <f>"37659"</f>
        <v>37659</v>
      </c>
      <c r="C650" s="1">
        <v>0.12804598321504701</v>
      </c>
      <c r="D650" s="1">
        <v>7.1510238020995695E-2</v>
      </c>
      <c r="E650" s="1">
        <v>4.50039651070578E-2</v>
      </c>
      <c r="F650" s="1">
        <v>0.120394799580406</v>
      </c>
    </row>
    <row r="651" spans="1:6" x14ac:dyDescent="0.25">
      <c r="A651" s="2" t="str">
        <f t="shared" si="26"/>
        <v>27740</v>
      </c>
      <c r="B651" s="2" t="str">
        <f>"37692"</f>
        <v>37692</v>
      </c>
      <c r="C651" s="1">
        <v>2.0553921436345799E-2</v>
      </c>
      <c r="D651" s="1">
        <v>1.1121505041055999E-2</v>
      </c>
      <c r="E651" s="1">
        <v>1.40761300555114E-2</v>
      </c>
      <c r="F651" s="1">
        <v>1.95730951397056E-2</v>
      </c>
    </row>
    <row r="652" spans="1:6" x14ac:dyDescent="0.25">
      <c r="A652" s="2" t="str">
        <f t="shared" si="26"/>
        <v>27740</v>
      </c>
      <c r="B652" s="2" t="str">
        <f>"37681"</f>
        <v>37681</v>
      </c>
      <c r="C652" s="1">
        <v>2.0203110523427801E-2</v>
      </c>
      <c r="D652" s="1">
        <v>6.8599937636420298E-3</v>
      </c>
      <c r="E652" s="1">
        <v>2.5773195876288599E-3</v>
      </c>
      <c r="F652" s="1">
        <v>1.84764296385771E-2</v>
      </c>
    </row>
    <row r="653" spans="1:6" x14ac:dyDescent="0.25">
      <c r="A653" s="2" t="str">
        <f t="shared" si="26"/>
        <v>27740</v>
      </c>
      <c r="B653" s="2" t="str">
        <f>"37656"</f>
        <v>37656</v>
      </c>
      <c r="C653" s="1">
        <v>1.1630731035971601E-2</v>
      </c>
      <c r="D653" s="1">
        <v>3.1181789834736498E-3</v>
      </c>
      <c r="E653" s="1">
        <v>1.1895321173671599E-3</v>
      </c>
      <c r="F653" s="1">
        <v>1.05613655869544E-2</v>
      </c>
    </row>
    <row r="654" spans="1:6" x14ac:dyDescent="0.25">
      <c r="A654" s="2" t="str">
        <f t="shared" si="26"/>
        <v>27740</v>
      </c>
      <c r="B654" s="2" t="str">
        <f>"37615"</f>
        <v>37615</v>
      </c>
      <c r="C654" s="1">
        <v>0.108445547849709</v>
      </c>
      <c r="D654" s="1">
        <v>0.10341960295187599</v>
      </c>
      <c r="E654" s="1">
        <v>8.9809674861221198E-2</v>
      </c>
      <c r="F654" s="1">
        <v>0.10731428208143901</v>
      </c>
    </row>
    <row r="655" spans="1:6" x14ac:dyDescent="0.25">
      <c r="A655" s="2" t="str">
        <f t="shared" si="26"/>
        <v>27740</v>
      </c>
      <c r="B655" s="2" t="str">
        <f>"37686"</f>
        <v>37686</v>
      </c>
      <c r="C655" s="1">
        <v>3.9578667098433902E-4</v>
      </c>
      <c r="D655" s="1">
        <v>0</v>
      </c>
      <c r="E655" s="1">
        <v>0</v>
      </c>
      <c r="F655" s="1">
        <v>3.4966146412791202E-4</v>
      </c>
    </row>
    <row r="656" spans="1:6" x14ac:dyDescent="0.25">
      <c r="A656" s="2" t="str">
        <f t="shared" si="26"/>
        <v>27740</v>
      </c>
      <c r="B656" s="2" t="str">
        <f>"37690"</f>
        <v>37690</v>
      </c>
      <c r="C656" s="1">
        <v>1.7738438981389E-2</v>
      </c>
      <c r="D656" s="1">
        <v>4.2615112774139902E-3</v>
      </c>
      <c r="E656" s="1">
        <v>1.9825535289452801E-3</v>
      </c>
      <c r="F656" s="1">
        <v>1.6076480498426499E-2</v>
      </c>
    </row>
    <row r="657" spans="1:6" x14ac:dyDescent="0.25">
      <c r="A657" s="2" t="str">
        <f t="shared" si="26"/>
        <v>27740</v>
      </c>
      <c r="B657" s="2" t="str">
        <f>"37657"</f>
        <v>37657</v>
      </c>
      <c r="C657" s="1">
        <v>7.7178400841946097E-3</v>
      </c>
      <c r="D657" s="1">
        <v>3.2221182829227698E-3</v>
      </c>
      <c r="E657" s="1">
        <v>1.1895321173671599E-3</v>
      </c>
      <c r="F657" s="1">
        <v>7.1124320544200302E-3</v>
      </c>
    </row>
    <row r="658" spans="1:6" x14ac:dyDescent="0.25">
      <c r="A658" s="2" t="str">
        <f t="shared" si="26"/>
        <v>27740</v>
      </c>
      <c r="B658" s="2" t="str">
        <f>"37688"</f>
        <v>37688</v>
      </c>
      <c r="C658" s="1">
        <v>8.9951516132804403E-6</v>
      </c>
      <c r="D658" s="1">
        <v>0</v>
      </c>
      <c r="E658" s="1">
        <v>0</v>
      </c>
      <c r="F658" s="1">
        <v>7.9468514574525499E-6</v>
      </c>
    </row>
    <row r="659" spans="1:6" x14ac:dyDescent="0.25">
      <c r="A659" s="2" t="str">
        <f t="shared" si="26"/>
        <v>27740</v>
      </c>
      <c r="B659" s="2" t="str">
        <f>"37663"</f>
        <v>37663</v>
      </c>
      <c r="C659" s="1">
        <v>3.6160509485387302E-3</v>
      </c>
      <c r="D659" s="1">
        <v>1.5590894917368199E-3</v>
      </c>
      <c r="E659" s="1">
        <v>1.38778747026169E-3</v>
      </c>
      <c r="F659" s="1">
        <v>3.36946501795988E-3</v>
      </c>
    </row>
    <row r="660" spans="1:6" x14ac:dyDescent="0.25">
      <c r="A660" s="2" t="str">
        <f t="shared" si="26"/>
        <v>27740</v>
      </c>
      <c r="B660" s="2" t="str">
        <f>"37602"</f>
        <v>37602</v>
      </c>
      <c r="C660" s="1">
        <v>1.36546401489597E-2</v>
      </c>
      <c r="D660" s="1">
        <v>5.8621764889304602E-2</v>
      </c>
      <c r="E660" s="1">
        <v>3.9651070578905598E-4</v>
      </c>
      <c r="F660" s="1">
        <v>1.6561238437331101E-2</v>
      </c>
    </row>
    <row r="661" spans="1:6" x14ac:dyDescent="0.25">
      <c r="A661" s="2" t="str">
        <f t="shared" si="26"/>
        <v>27740</v>
      </c>
      <c r="B661" s="2" t="str">
        <f>"37683"</f>
        <v>37683</v>
      </c>
      <c r="C661" s="1">
        <v>1.7990303226560799E-5</v>
      </c>
      <c r="D661" s="1">
        <v>0</v>
      </c>
      <c r="E661" s="1">
        <v>0</v>
      </c>
      <c r="F661" s="1">
        <v>1.58937029149051E-5</v>
      </c>
    </row>
    <row r="662" spans="1:6" x14ac:dyDescent="0.25">
      <c r="A662" s="2" t="str">
        <f t="shared" si="26"/>
        <v>27740</v>
      </c>
      <c r="B662" s="2" t="str">
        <f>"37643"</f>
        <v>37643</v>
      </c>
      <c r="C662" s="1">
        <v>0.15461766108067701</v>
      </c>
      <c r="D662" s="1">
        <v>0.14593077642656599</v>
      </c>
      <c r="E662" s="1">
        <v>0.15662172878667699</v>
      </c>
      <c r="F662" s="1">
        <v>0.15403382179980199</v>
      </c>
    </row>
    <row r="663" spans="1:6" x14ac:dyDescent="0.25">
      <c r="A663" s="2" t="str">
        <f t="shared" si="26"/>
        <v>27740</v>
      </c>
      <c r="B663" s="2" t="str">
        <f>"37601"</f>
        <v>37601</v>
      </c>
      <c r="C663" s="1">
        <v>0.17665578253321401</v>
      </c>
      <c r="D663" s="1">
        <v>0.21640162145307101</v>
      </c>
      <c r="E663" s="1">
        <v>0.31145915939730301</v>
      </c>
      <c r="F663" s="1">
        <v>0.18509806414698399</v>
      </c>
    </row>
    <row r="664" spans="1:6" x14ac:dyDescent="0.25">
      <c r="A664" s="2" t="str">
        <f t="shared" si="26"/>
        <v>27740</v>
      </c>
      <c r="B664" s="2" t="str">
        <f>"37682"</f>
        <v>37682</v>
      </c>
      <c r="C664" s="1">
        <v>1.2026517706955901E-2</v>
      </c>
      <c r="D664" s="1">
        <v>6.7560544641929099E-3</v>
      </c>
      <c r="E664" s="1">
        <v>3.9651070578905598E-4</v>
      </c>
      <c r="F664" s="1">
        <v>1.1157379446263299E-2</v>
      </c>
    </row>
    <row r="665" spans="1:6" x14ac:dyDescent="0.25">
      <c r="A665" s="2" t="str">
        <f t="shared" si="26"/>
        <v>27740</v>
      </c>
      <c r="B665" s="2" t="str">
        <f>"37650"</f>
        <v>37650</v>
      </c>
      <c r="C665" s="1">
        <v>5.7820834570166603E-2</v>
      </c>
      <c r="D665" s="1">
        <v>5.19696497245608E-2</v>
      </c>
      <c r="E665" s="1">
        <v>3.3108643933386202E-2</v>
      </c>
      <c r="F665" s="1">
        <v>5.6382911090625799E-2</v>
      </c>
    </row>
    <row r="666" spans="1:6" x14ac:dyDescent="0.25">
      <c r="A666" s="2" t="str">
        <f t="shared" si="26"/>
        <v>27740</v>
      </c>
      <c r="B666" s="2" t="str">
        <f>"37640"</f>
        <v>37640</v>
      </c>
      <c r="C666" s="1">
        <v>7.7628158422610198E-3</v>
      </c>
      <c r="D666" s="1">
        <v>1.6630287911859401E-3</v>
      </c>
      <c r="E666" s="1">
        <v>7.9302141157811196E-4</v>
      </c>
      <c r="F666" s="1">
        <v>7.0170698369306003E-3</v>
      </c>
    </row>
    <row r="667" spans="1:6" x14ac:dyDescent="0.25">
      <c r="A667" s="2" t="str">
        <f t="shared" si="26"/>
        <v>27740</v>
      </c>
      <c r="B667" s="2" t="str">
        <f>"37604"</f>
        <v>37604</v>
      </c>
      <c r="C667" s="1">
        <v>0.17622401525577699</v>
      </c>
      <c r="D667" s="1">
        <v>0.23511069535391299</v>
      </c>
      <c r="E667" s="1">
        <v>0.31760507533703403</v>
      </c>
      <c r="F667" s="1">
        <v>0.18639340093454901</v>
      </c>
    </row>
    <row r="668" spans="1:6" x14ac:dyDescent="0.25">
      <c r="A668" s="2" t="str">
        <f t="shared" si="26"/>
        <v>27740</v>
      </c>
      <c r="B668" s="2" t="str">
        <f>"37694"</f>
        <v>37694</v>
      </c>
      <c r="C668" s="1">
        <v>7.4030097777298002E-3</v>
      </c>
      <c r="D668" s="1">
        <v>2.0787859889824299E-3</v>
      </c>
      <c r="E668" s="1">
        <v>1.7842981760507501E-3</v>
      </c>
      <c r="F668" s="1">
        <v>6.77071744174957E-3</v>
      </c>
    </row>
    <row r="669" spans="1:6" x14ac:dyDescent="0.25">
      <c r="A669" s="2" t="str">
        <f t="shared" si="26"/>
        <v>27740</v>
      </c>
      <c r="B669" s="2" t="str">
        <f>"37658"</f>
        <v>37658</v>
      </c>
      <c r="C669" s="1">
        <v>2.18042475105917E-2</v>
      </c>
      <c r="D669" s="1">
        <v>1.23687766344454E-2</v>
      </c>
      <c r="E669" s="1">
        <v>1.28865979381443E-2</v>
      </c>
      <c r="F669" s="1">
        <v>2.0725388601036201E-2</v>
      </c>
    </row>
    <row r="670" spans="1:6" x14ac:dyDescent="0.25">
      <c r="A670" s="2" t="str">
        <f t="shared" si="26"/>
        <v>27740</v>
      </c>
      <c r="B670" s="2" t="str">
        <f>"37614"</f>
        <v>37614</v>
      </c>
      <c r="C670" s="1">
        <v>0</v>
      </c>
      <c r="D670" s="1">
        <v>6.2363579669473003E-4</v>
      </c>
      <c r="E670" s="1">
        <v>0</v>
      </c>
      <c r="F670" s="1">
        <v>4.7681108744715299E-5</v>
      </c>
    </row>
    <row r="671" spans="1:6" x14ac:dyDescent="0.25">
      <c r="A671" s="2" t="str">
        <f t="shared" si="26"/>
        <v>27740</v>
      </c>
      <c r="B671" s="2" t="str">
        <f>"37605"</f>
        <v>37605</v>
      </c>
      <c r="C671" s="1">
        <v>9.8047152584756804E-3</v>
      </c>
      <c r="D671" s="1">
        <v>3.8665419395073203E-2</v>
      </c>
      <c r="E671" s="1">
        <v>3.9651070578905598E-4</v>
      </c>
      <c r="F671" s="1">
        <v>1.16341905337105E-2</v>
      </c>
    </row>
    <row r="672" spans="1:6" x14ac:dyDescent="0.25">
      <c r="A672" s="2" t="str">
        <f t="shared" ref="A672:A703" si="27">"28700"</f>
        <v>28700</v>
      </c>
      <c r="B672" s="2" t="str">
        <f>"24201"</f>
        <v>24201</v>
      </c>
      <c r="C672" s="1">
        <v>5.1912082176831999E-2</v>
      </c>
      <c r="D672" s="1">
        <v>7.0951758309820298E-2</v>
      </c>
      <c r="E672" s="1">
        <v>7.9852805887764403E-2</v>
      </c>
      <c r="F672" s="1">
        <v>5.4184475389494002E-2</v>
      </c>
    </row>
    <row r="673" spans="1:6" x14ac:dyDescent="0.25">
      <c r="A673" s="2" t="str">
        <f t="shared" si="27"/>
        <v>28700</v>
      </c>
      <c r="B673" s="2" t="str">
        <f>"24340"</f>
        <v>24340</v>
      </c>
      <c r="C673" s="1">
        <v>1.9387706687542899E-2</v>
      </c>
      <c r="D673" s="1">
        <v>1.0735668570641999E-2</v>
      </c>
      <c r="E673" s="1">
        <v>6.8077276908923602E-3</v>
      </c>
      <c r="F673" s="1">
        <v>1.83584511448843E-2</v>
      </c>
    </row>
    <row r="674" spans="1:6" x14ac:dyDescent="0.25">
      <c r="A674" s="2" t="str">
        <f t="shared" si="27"/>
        <v>28700</v>
      </c>
      <c r="B674" s="2" t="str">
        <f>"37857"</f>
        <v>37857</v>
      </c>
      <c r="C674" s="1">
        <v>6.6750883685621404E-2</v>
      </c>
      <c r="D674" s="1">
        <v>5.5467620948317302E-2</v>
      </c>
      <c r="E674" s="1">
        <v>6.2741490340386299E-2</v>
      </c>
      <c r="F674" s="1">
        <v>6.5765889976561395E-2</v>
      </c>
    </row>
    <row r="675" spans="1:6" x14ac:dyDescent="0.25">
      <c r="A675" s="2" t="str">
        <f t="shared" si="27"/>
        <v>28700</v>
      </c>
      <c r="B675" s="2" t="str">
        <f>"24258"</f>
        <v>24258</v>
      </c>
      <c r="C675" s="1">
        <v>4.0329276682561097E-3</v>
      </c>
      <c r="D675" s="1">
        <v>8.2582065928015901E-4</v>
      </c>
      <c r="E675" s="1">
        <v>3.6798528058877599E-4</v>
      </c>
      <c r="F675" s="1">
        <v>3.6801747817879001E-3</v>
      </c>
    </row>
    <row r="676" spans="1:6" x14ac:dyDescent="0.25">
      <c r="A676" s="2" t="str">
        <f t="shared" si="27"/>
        <v>28700</v>
      </c>
      <c r="B676" s="2" t="str">
        <f>"37731"</f>
        <v>37731</v>
      </c>
      <c r="C676" s="1">
        <v>2.3723103930918298E-3</v>
      </c>
      <c r="D676" s="1">
        <v>9.6345743582685196E-4</v>
      </c>
      <c r="E676" s="1">
        <v>0</v>
      </c>
      <c r="F676" s="1">
        <v>2.19537803985618E-3</v>
      </c>
    </row>
    <row r="677" spans="1:6" x14ac:dyDescent="0.25">
      <c r="A677" s="2" t="str">
        <f t="shared" si="27"/>
        <v>28700</v>
      </c>
      <c r="B677" s="2" t="str">
        <f>"37645"</f>
        <v>37645</v>
      </c>
      <c r="C677" s="1">
        <v>1.42457239105164E-2</v>
      </c>
      <c r="D677" s="1">
        <v>4.4043768494941796E-3</v>
      </c>
      <c r="E677" s="1">
        <v>4.9678012879484802E-3</v>
      </c>
      <c r="F677" s="1">
        <v>1.3219993848699201E-2</v>
      </c>
    </row>
    <row r="678" spans="1:6" x14ac:dyDescent="0.25">
      <c r="A678" s="2" t="str">
        <f t="shared" si="27"/>
        <v>28700</v>
      </c>
      <c r="B678" s="2" t="str">
        <f>"37617"</f>
        <v>37617</v>
      </c>
      <c r="C678" s="1">
        <v>4.4166488743387099E-2</v>
      </c>
      <c r="D678" s="1">
        <v>4.8929874062349402E-2</v>
      </c>
      <c r="E678" s="1">
        <v>2.85188592456301E-2</v>
      </c>
      <c r="F678" s="1">
        <v>4.4082554698851403E-2</v>
      </c>
    </row>
    <row r="679" spans="1:6" x14ac:dyDescent="0.25">
      <c r="A679" s="2" t="str">
        <f t="shared" si="27"/>
        <v>28700</v>
      </c>
      <c r="B679" s="2" t="str">
        <f>"24210"</f>
        <v>24210</v>
      </c>
      <c r="C679" s="1">
        <v>4.7819846748748597E-2</v>
      </c>
      <c r="D679" s="1">
        <v>7.6044319042048003E-2</v>
      </c>
      <c r="E679" s="1">
        <v>8.5372585096596093E-2</v>
      </c>
      <c r="F679" s="1">
        <v>5.1077007922451102E-2</v>
      </c>
    </row>
    <row r="680" spans="1:6" x14ac:dyDescent="0.25">
      <c r="A680" s="2" t="str">
        <f t="shared" si="27"/>
        <v>28700</v>
      </c>
      <c r="B680" s="2" t="str">
        <f>"24245"</f>
        <v>24245</v>
      </c>
      <c r="C680" s="1">
        <v>2.9594572153820598E-3</v>
      </c>
      <c r="D680" s="1">
        <v>6.8818388273346595E-4</v>
      </c>
      <c r="E680" s="1">
        <v>1.8399264029438801E-3</v>
      </c>
      <c r="F680" s="1">
        <v>2.7521768180805801E-3</v>
      </c>
    </row>
    <row r="681" spans="1:6" x14ac:dyDescent="0.25">
      <c r="A681" s="2" t="str">
        <f t="shared" si="27"/>
        <v>28700</v>
      </c>
      <c r="B681" s="2" t="str">
        <f>"37711"</f>
        <v>37711</v>
      </c>
      <c r="C681" s="1">
        <v>9.9755652029511494E-3</v>
      </c>
      <c r="D681" s="1">
        <v>5.4366526735943801E-3</v>
      </c>
      <c r="E681" s="1">
        <v>3.4958601655933701E-3</v>
      </c>
      <c r="F681" s="1">
        <v>9.4390650022802194E-3</v>
      </c>
    </row>
    <row r="682" spans="1:6" x14ac:dyDescent="0.25">
      <c r="A682" s="2" t="str">
        <f t="shared" si="27"/>
        <v>28700</v>
      </c>
      <c r="B682" s="2" t="str">
        <f>"37665"</f>
        <v>37665</v>
      </c>
      <c r="C682" s="1">
        <v>1.6689203615401001E-2</v>
      </c>
      <c r="D682" s="1">
        <v>9.7033927465418699E-3</v>
      </c>
      <c r="E682" s="1">
        <v>2.4287028518859201E-2</v>
      </c>
      <c r="F682" s="1">
        <v>1.6369884079797201E-2</v>
      </c>
    </row>
    <row r="683" spans="1:6" x14ac:dyDescent="0.25">
      <c r="A683" s="2" t="str">
        <f t="shared" si="27"/>
        <v>28700</v>
      </c>
      <c r="B683" s="2" t="str">
        <f>"37745"</f>
        <v>37745</v>
      </c>
      <c r="C683" s="1">
        <v>5.3376983844566198E-4</v>
      </c>
      <c r="D683" s="1">
        <v>3.4409194136673297E-4</v>
      </c>
      <c r="E683" s="1">
        <v>0</v>
      </c>
      <c r="F683" s="1">
        <v>5.0377032315540495E-4</v>
      </c>
    </row>
    <row r="684" spans="1:6" x14ac:dyDescent="0.25">
      <c r="A684" s="2" t="str">
        <f t="shared" si="27"/>
        <v>28700</v>
      </c>
      <c r="B684" s="2" t="str">
        <f>"37642"</f>
        <v>37642</v>
      </c>
      <c r="C684" s="1">
        <v>4.47714278936256E-2</v>
      </c>
      <c r="D684" s="1">
        <v>1.2112036336109E-2</v>
      </c>
      <c r="E684" s="1">
        <v>3.4958601655933702E-2</v>
      </c>
      <c r="F684" s="1">
        <v>4.19720221871056E-2</v>
      </c>
    </row>
    <row r="685" spans="1:6" x14ac:dyDescent="0.25">
      <c r="A685" s="2" t="str">
        <f t="shared" si="27"/>
        <v>28700</v>
      </c>
      <c r="B685" s="2" t="str">
        <f>"24224"</f>
        <v>24224</v>
      </c>
      <c r="C685" s="1">
        <v>5.9307759827295803E-6</v>
      </c>
      <c r="D685" s="1">
        <v>0</v>
      </c>
      <c r="E685" s="1">
        <v>0</v>
      </c>
      <c r="F685" s="1">
        <v>5.3028455068990001E-6</v>
      </c>
    </row>
    <row r="686" spans="1:6" x14ac:dyDescent="0.25">
      <c r="A686" s="2" t="str">
        <f t="shared" si="27"/>
        <v>28700</v>
      </c>
      <c r="B686" s="2" t="str">
        <f>"24327"</f>
        <v>24327</v>
      </c>
      <c r="C686" s="1">
        <v>5.9307759827295803E-6</v>
      </c>
      <c r="D686" s="1">
        <v>0</v>
      </c>
      <c r="E686" s="1">
        <v>1.83992640294388E-4</v>
      </c>
      <c r="F686" s="1">
        <v>1.0605691013798E-5</v>
      </c>
    </row>
    <row r="687" spans="1:6" x14ac:dyDescent="0.25">
      <c r="A687" s="2" t="str">
        <f t="shared" si="27"/>
        <v>28700</v>
      </c>
      <c r="B687" s="2" t="str">
        <f>"37869"</f>
        <v>37869</v>
      </c>
      <c r="C687" s="1">
        <v>7.7100087775484503E-4</v>
      </c>
      <c r="D687" s="1">
        <v>2.0645516482003899E-4</v>
      </c>
      <c r="E687" s="1">
        <v>0</v>
      </c>
      <c r="F687" s="1">
        <v>7.05278452417567E-4</v>
      </c>
    </row>
    <row r="688" spans="1:6" x14ac:dyDescent="0.25">
      <c r="A688" s="2" t="str">
        <f t="shared" si="27"/>
        <v>28700</v>
      </c>
      <c r="B688" s="2" t="str">
        <f>"37694"</f>
        <v>37694</v>
      </c>
      <c r="C688" s="1">
        <v>5.3376983844566198E-4</v>
      </c>
      <c r="D688" s="1">
        <v>6.8818388273346598E-5</v>
      </c>
      <c r="E688" s="1">
        <v>3.6798528058877599E-4</v>
      </c>
      <c r="F688" s="1">
        <v>4.93164632141607E-4</v>
      </c>
    </row>
    <row r="689" spans="1:6" x14ac:dyDescent="0.25">
      <c r="A689" s="2" t="str">
        <f t="shared" si="27"/>
        <v>28700</v>
      </c>
      <c r="B689" s="2" t="str">
        <f>"37686"</f>
        <v>37686</v>
      </c>
      <c r="C689" s="1">
        <v>2.5371859654117101E-2</v>
      </c>
      <c r="D689" s="1">
        <v>1.5002408643589499E-2</v>
      </c>
      <c r="E689" s="1">
        <v>1.7847286108555599E-2</v>
      </c>
      <c r="F689" s="1">
        <v>2.4355969413187101E-2</v>
      </c>
    </row>
    <row r="690" spans="1:6" x14ac:dyDescent="0.25">
      <c r="A690" s="2" t="str">
        <f t="shared" si="27"/>
        <v>28700</v>
      </c>
      <c r="B690" s="2" t="str">
        <f>"37664"</f>
        <v>37664</v>
      </c>
      <c r="C690" s="1">
        <v>8.9625886651009401E-2</v>
      </c>
      <c r="D690" s="1">
        <v>7.7695960360608302E-2</v>
      </c>
      <c r="E690" s="1">
        <v>0.10432382704691801</v>
      </c>
      <c r="F690" s="1">
        <v>8.9130227279958396E-2</v>
      </c>
    </row>
    <row r="691" spans="1:6" x14ac:dyDescent="0.25">
      <c r="A691" s="2" t="str">
        <f t="shared" si="27"/>
        <v>28700</v>
      </c>
      <c r="B691" s="2" t="str">
        <f>"24211"</f>
        <v>24211</v>
      </c>
      <c r="C691" s="1">
        <v>2.7696723839347102E-2</v>
      </c>
      <c r="D691" s="1">
        <v>1.5002408643589499E-2</v>
      </c>
      <c r="E691" s="1">
        <v>1.7295308187672401E-2</v>
      </c>
      <c r="F691" s="1">
        <v>2.64187763153708E-2</v>
      </c>
    </row>
    <row r="692" spans="1:6" x14ac:dyDescent="0.25">
      <c r="A692" s="2" t="str">
        <f t="shared" si="27"/>
        <v>28700</v>
      </c>
      <c r="B692" s="2" t="str">
        <f>"24202"</f>
        <v>24202</v>
      </c>
      <c r="C692" s="1">
        <v>3.7209688515645302E-2</v>
      </c>
      <c r="D692" s="1">
        <v>3.33080999242997E-2</v>
      </c>
      <c r="E692" s="1">
        <v>1.39834406623735E-2</v>
      </c>
      <c r="F692" s="1">
        <v>3.6239646194147698E-2</v>
      </c>
    </row>
    <row r="693" spans="1:6" x14ac:dyDescent="0.25">
      <c r="A693" s="2" t="str">
        <f t="shared" si="27"/>
        <v>28700</v>
      </c>
      <c r="B693" s="2" t="str">
        <f>"24370"</f>
        <v>24370</v>
      </c>
      <c r="C693" s="1">
        <v>2.5502336725737101E-3</v>
      </c>
      <c r="D693" s="1">
        <v>7.5700227100681302E-4</v>
      </c>
      <c r="E693" s="1">
        <v>1.83992640294388E-4</v>
      </c>
      <c r="F693" s="1">
        <v>2.34385771404935E-3</v>
      </c>
    </row>
    <row r="694" spans="1:6" x14ac:dyDescent="0.25">
      <c r="A694" s="2" t="str">
        <f t="shared" si="27"/>
        <v>28700</v>
      </c>
      <c r="B694" s="2" t="str">
        <f>"24251"</f>
        <v>24251</v>
      </c>
      <c r="C694" s="1">
        <v>3.5068678385880001E-2</v>
      </c>
      <c r="D694" s="1">
        <v>2.5187530108044798E-2</v>
      </c>
      <c r="E694" s="1">
        <v>1.36154553817847E-2</v>
      </c>
      <c r="F694" s="1">
        <v>3.3688977505329301E-2</v>
      </c>
    </row>
    <row r="695" spans="1:6" x14ac:dyDescent="0.25">
      <c r="A695" s="2" t="str">
        <f t="shared" si="27"/>
        <v>28700</v>
      </c>
      <c r="B695" s="2" t="str">
        <f>"24244"</f>
        <v>24244</v>
      </c>
      <c r="C695" s="1">
        <v>1.2235190852371101E-2</v>
      </c>
      <c r="D695" s="1">
        <v>4.8172871791342603E-3</v>
      </c>
      <c r="E695" s="1">
        <v>5.5197792088316402E-3</v>
      </c>
      <c r="F695" s="1">
        <v>1.1470054831422501E-2</v>
      </c>
    </row>
    <row r="696" spans="1:6" x14ac:dyDescent="0.25">
      <c r="A696" s="2" t="str">
        <f t="shared" si="27"/>
        <v>28700</v>
      </c>
      <c r="B696" s="2" t="str">
        <f>"37873"</f>
        <v>37873</v>
      </c>
      <c r="C696" s="1">
        <v>1.2846060778592201E-2</v>
      </c>
      <c r="D696" s="1">
        <v>7.1571123804280504E-3</v>
      </c>
      <c r="E696" s="1">
        <v>8.0956761729530802E-3</v>
      </c>
      <c r="F696" s="1">
        <v>1.22707845029642E-2</v>
      </c>
    </row>
    <row r="697" spans="1:6" x14ac:dyDescent="0.25">
      <c r="A697" s="2" t="str">
        <f t="shared" si="27"/>
        <v>28700</v>
      </c>
      <c r="B697" s="2" t="str">
        <f>"37660"</f>
        <v>37660</v>
      </c>
      <c r="C697" s="1">
        <v>0.125690935401987</v>
      </c>
      <c r="D697" s="1">
        <v>0.20273897185327899</v>
      </c>
      <c r="E697" s="1">
        <v>0.23035878564857401</v>
      </c>
      <c r="F697" s="1">
        <v>0.13464455026567199</v>
      </c>
    </row>
    <row r="698" spans="1:6" x14ac:dyDescent="0.25">
      <c r="A698" s="2" t="str">
        <f t="shared" si="27"/>
        <v>28700</v>
      </c>
      <c r="B698" s="2" t="str">
        <f>"24221"</f>
        <v>24221</v>
      </c>
      <c r="C698" s="1">
        <v>1.3284938201314201E-3</v>
      </c>
      <c r="D698" s="1">
        <v>4.8172871791342598E-4</v>
      </c>
      <c r="E698" s="1">
        <v>0</v>
      </c>
      <c r="F698" s="1">
        <v>1.22495731209366E-3</v>
      </c>
    </row>
    <row r="699" spans="1:6" x14ac:dyDescent="0.25">
      <c r="A699" s="2" t="str">
        <f t="shared" si="27"/>
        <v>28700</v>
      </c>
      <c r="B699" s="2" t="str">
        <f>"24361"</f>
        <v>24361</v>
      </c>
      <c r="C699" s="1">
        <v>1.5153132635874001E-2</v>
      </c>
      <c r="D699" s="1">
        <v>6.2624733328745397E-3</v>
      </c>
      <c r="E699" s="1">
        <v>3.3118675252989801E-3</v>
      </c>
      <c r="F699" s="1">
        <v>1.4126780430378899E-2</v>
      </c>
    </row>
    <row r="700" spans="1:6" x14ac:dyDescent="0.25">
      <c r="A700" s="2" t="str">
        <f t="shared" si="27"/>
        <v>28700</v>
      </c>
      <c r="B700" s="2" t="str">
        <f>"24290"</f>
        <v>24290</v>
      </c>
      <c r="C700" s="1">
        <v>5.7943681351267902E-3</v>
      </c>
      <c r="D700" s="1">
        <v>9.2904824169017901E-3</v>
      </c>
      <c r="E700" s="1">
        <v>1.1407543698252001E-2</v>
      </c>
      <c r="F700" s="1">
        <v>6.22554062509942E-3</v>
      </c>
    </row>
    <row r="701" spans="1:6" x14ac:dyDescent="0.25">
      <c r="A701" s="2" t="str">
        <f t="shared" si="27"/>
        <v>28700</v>
      </c>
      <c r="B701" s="2" t="str">
        <f>"24230"</f>
        <v>24230</v>
      </c>
      <c r="C701" s="1">
        <v>4.86323630583825E-4</v>
      </c>
      <c r="D701" s="1">
        <v>1.3763677654669301E-4</v>
      </c>
      <c r="E701" s="1">
        <v>0</v>
      </c>
      <c r="F701" s="1">
        <v>4.45439022579516E-4</v>
      </c>
    </row>
    <row r="702" spans="1:6" x14ac:dyDescent="0.25">
      <c r="A702" s="2" t="str">
        <f t="shared" si="27"/>
        <v>28700</v>
      </c>
      <c r="B702" s="2" t="str">
        <f>"37881"</f>
        <v>37881</v>
      </c>
      <c r="C702" s="1">
        <v>5.2783906246293196E-4</v>
      </c>
      <c r="D702" s="1">
        <v>0</v>
      </c>
      <c r="E702" s="1">
        <v>0</v>
      </c>
      <c r="F702" s="1">
        <v>4.7195325011401099E-4</v>
      </c>
    </row>
    <row r="703" spans="1:6" x14ac:dyDescent="0.25">
      <c r="A703" s="2" t="str">
        <f t="shared" si="27"/>
        <v>28700</v>
      </c>
      <c r="B703" s="2" t="str">
        <f>"37699"</f>
        <v>37699</v>
      </c>
      <c r="C703" s="1">
        <v>0</v>
      </c>
      <c r="D703" s="1">
        <v>6.8818388273346598E-5</v>
      </c>
      <c r="E703" s="1">
        <v>0</v>
      </c>
      <c r="F703" s="1">
        <v>5.3028455068990001E-6</v>
      </c>
    </row>
    <row r="704" spans="1:6" x14ac:dyDescent="0.25">
      <c r="A704" s="2" t="str">
        <f t="shared" ref="A704:A724" si="28">"28700"</f>
        <v>28700</v>
      </c>
      <c r="B704" s="2" t="str">
        <f>"37669"</f>
        <v>37669</v>
      </c>
      <c r="C704" s="1">
        <v>0</v>
      </c>
      <c r="D704" s="1">
        <v>0</v>
      </c>
      <c r="E704" s="1">
        <v>1.83992640294388E-4</v>
      </c>
      <c r="F704" s="1">
        <v>5.3028455068990001E-6</v>
      </c>
    </row>
    <row r="705" spans="1:6" x14ac:dyDescent="0.25">
      <c r="A705" s="2" t="str">
        <f t="shared" si="28"/>
        <v>28700</v>
      </c>
      <c r="B705" s="2" t="str">
        <f>"37662"</f>
        <v>37662</v>
      </c>
      <c r="C705" s="1">
        <v>8.2378478400113794E-3</v>
      </c>
      <c r="D705" s="1">
        <v>2.0989608423370699E-2</v>
      </c>
      <c r="E705" s="1">
        <v>3.6798528058877599E-4</v>
      </c>
      <c r="F705" s="1">
        <v>8.9936259797007007E-3</v>
      </c>
    </row>
    <row r="706" spans="1:6" x14ac:dyDescent="0.25">
      <c r="A706" s="2" t="str">
        <f t="shared" si="28"/>
        <v>28700</v>
      </c>
      <c r="B706" s="2" t="str">
        <f>"37625"</f>
        <v>37625</v>
      </c>
      <c r="C706" s="1">
        <v>4.9640594975446503E-3</v>
      </c>
      <c r="D706" s="1">
        <v>1.0942123735462101E-2</v>
      </c>
      <c r="E706" s="1">
        <v>3.6798528058877599E-4</v>
      </c>
      <c r="F706" s="1">
        <v>5.2922398158852003E-3</v>
      </c>
    </row>
    <row r="707" spans="1:6" x14ac:dyDescent="0.25">
      <c r="A707" s="2" t="str">
        <f t="shared" si="28"/>
        <v>28700</v>
      </c>
      <c r="B707" s="2" t="str">
        <f>"37620"</f>
        <v>37620</v>
      </c>
      <c r="C707" s="1">
        <v>0.11713875643489099</v>
      </c>
      <c r="D707" s="1">
        <v>0.12607528731677101</v>
      </c>
      <c r="E707" s="1">
        <v>0.168353265869365</v>
      </c>
      <c r="F707" s="1">
        <v>0.119303418214213</v>
      </c>
    </row>
    <row r="708" spans="1:6" x14ac:dyDescent="0.25">
      <c r="A708" s="2" t="str">
        <f t="shared" si="28"/>
        <v>28700</v>
      </c>
      <c r="B708" s="2" t="str">
        <f>"37618"</f>
        <v>37618</v>
      </c>
      <c r="C708" s="1">
        <v>3.6919080492491603E-2</v>
      </c>
      <c r="D708" s="1">
        <v>1.52776821966829E-2</v>
      </c>
      <c r="E708" s="1">
        <v>2.0423183072677001E-2</v>
      </c>
      <c r="F708" s="1">
        <v>3.4776060834243602E-2</v>
      </c>
    </row>
    <row r="709" spans="1:6" x14ac:dyDescent="0.25">
      <c r="A709" s="2" t="str">
        <f t="shared" si="28"/>
        <v>28700</v>
      </c>
      <c r="B709" s="2" t="str">
        <f>"24209"</f>
        <v>24209</v>
      </c>
      <c r="C709" s="1">
        <v>6.0078760705050598E-3</v>
      </c>
      <c r="D709" s="1">
        <v>9.1528456403551003E-3</v>
      </c>
      <c r="E709" s="1">
        <v>1.83992640294388E-4</v>
      </c>
      <c r="F709" s="1">
        <v>6.0823637964131502E-3</v>
      </c>
    </row>
    <row r="710" spans="1:6" x14ac:dyDescent="0.25">
      <c r="A710" s="2" t="str">
        <f t="shared" si="28"/>
        <v>28700</v>
      </c>
      <c r="B710" s="2" t="str">
        <f>"24319"</f>
        <v>24319</v>
      </c>
      <c r="C710" s="1">
        <v>1.8800559865252699E-3</v>
      </c>
      <c r="D710" s="1">
        <v>1.3763677654669301E-4</v>
      </c>
      <c r="E710" s="1">
        <v>0</v>
      </c>
      <c r="F710" s="1">
        <v>1.69160771670078E-3</v>
      </c>
    </row>
    <row r="711" spans="1:6" x14ac:dyDescent="0.25">
      <c r="A711" s="2" t="str">
        <f t="shared" si="28"/>
        <v>28700</v>
      </c>
      <c r="B711" s="2" t="str">
        <f>"24250"</f>
        <v>24250</v>
      </c>
      <c r="C711" s="1">
        <v>5.2783906246293196E-3</v>
      </c>
      <c r="D711" s="1">
        <v>9.6345743582685196E-4</v>
      </c>
      <c r="E711" s="1">
        <v>3.6798528058877599E-4</v>
      </c>
      <c r="F711" s="1">
        <v>4.8043780292504898E-3</v>
      </c>
    </row>
    <row r="712" spans="1:6" x14ac:dyDescent="0.25">
      <c r="A712" s="2" t="str">
        <f t="shared" si="28"/>
        <v>28700</v>
      </c>
      <c r="B712" s="2" t="str">
        <f>"37656"</f>
        <v>37656</v>
      </c>
      <c r="C712" s="1">
        <v>8.7182406946124805E-4</v>
      </c>
      <c r="D712" s="1">
        <v>0</v>
      </c>
      <c r="E712" s="1">
        <v>0</v>
      </c>
      <c r="F712" s="1">
        <v>7.7951828951415298E-4</v>
      </c>
    </row>
    <row r="713" spans="1:6" x14ac:dyDescent="0.25">
      <c r="A713" s="2" t="str">
        <f t="shared" si="28"/>
        <v>28700</v>
      </c>
      <c r="B713" s="2" t="str">
        <f>"37659"</f>
        <v>37659</v>
      </c>
      <c r="C713" s="1">
        <v>3.0840035110193801E-4</v>
      </c>
      <c r="D713" s="1">
        <v>0</v>
      </c>
      <c r="E713" s="1">
        <v>0</v>
      </c>
      <c r="F713" s="1">
        <v>2.7574796635874797E-4</v>
      </c>
    </row>
    <row r="714" spans="1:6" x14ac:dyDescent="0.25">
      <c r="A714" s="2" t="str">
        <f t="shared" si="28"/>
        <v>28700</v>
      </c>
      <c r="B714" s="2" t="str">
        <f>"37615"</f>
        <v>37615</v>
      </c>
      <c r="C714" s="1">
        <v>7.11693117927549E-5</v>
      </c>
      <c r="D714" s="1">
        <v>0</v>
      </c>
      <c r="E714" s="1">
        <v>0</v>
      </c>
      <c r="F714" s="1">
        <v>6.3634146082788004E-5</v>
      </c>
    </row>
    <row r="715" spans="1:6" x14ac:dyDescent="0.25">
      <c r="A715" s="2" t="str">
        <f t="shared" si="28"/>
        <v>28700</v>
      </c>
      <c r="B715" s="2" t="str">
        <f>"37621"</f>
        <v>37621</v>
      </c>
      <c r="C715" s="1">
        <v>5.3970061442839097E-3</v>
      </c>
      <c r="D715" s="1">
        <v>1.9888514210997101E-2</v>
      </c>
      <c r="E715" s="1">
        <v>3.6798528058877599E-4</v>
      </c>
      <c r="F715" s="1">
        <v>6.3687174537857003E-3</v>
      </c>
    </row>
    <row r="716" spans="1:6" x14ac:dyDescent="0.25">
      <c r="A716" s="2" t="str">
        <f t="shared" si="28"/>
        <v>28700</v>
      </c>
      <c r="B716" s="2" t="str">
        <f>"24212"</f>
        <v>24212</v>
      </c>
      <c r="C716" s="1">
        <v>7.1525158351718699E-3</v>
      </c>
      <c r="D716" s="1">
        <v>3.00048172871791E-2</v>
      </c>
      <c r="E716" s="1">
        <v>3.6798528058877599E-4</v>
      </c>
      <c r="F716" s="1">
        <v>8.7178780133419492E-3</v>
      </c>
    </row>
    <row r="717" spans="1:6" x14ac:dyDescent="0.25">
      <c r="A717" s="2" t="str">
        <f t="shared" si="28"/>
        <v>28700</v>
      </c>
      <c r="B717" s="2" t="str">
        <f>"24203"</f>
        <v>24203</v>
      </c>
      <c r="C717" s="1">
        <v>6.7848077242426297E-3</v>
      </c>
      <c r="D717" s="1">
        <v>1.6654049962149801E-2</v>
      </c>
      <c r="E717" s="1">
        <v>1.83992640294388E-4</v>
      </c>
      <c r="F717" s="1">
        <v>7.3550467180689104E-3</v>
      </c>
    </row>
    <row r="718" spans="1:6" x14ac:dyDescent="0.25">
      <c r="A718" s="2" t="str">
        <f t="shared" si="28"/>
        <v>28700</v>
      </c>
      <c r="B718" s="2" t="str">
        <f>"24292"</f>
        <v>24292</v>
      </c>
      <c r="C718" s="1">
        <v>2.3723103930918301E-5</v>
      </c>
      <c r="D718" s="1">
        <v>0</v>
      </c>
      <c r="E718" s="1">
        <v>0</v>
      </c>
      <c r="F718" s="1">
        <v>2.1211382027596E-5</v>
      </c>
    </row>
    <row r="719" spans="1:6" x14ac:dyDescent="0.25">
      <c r="A719" s="2" t="str">
        <f t="shared" si="28"/>
        <v>28700</v>
      </c>
      <c r="B719" s="2" t="str">
        <f>"24270"</f>
        <v>24270</v>
      </c>
      <c r="C719" s="1">
        <v>1.37594002799326E-3</v>
      </c>
      <c r="D719" s="1">
        <v>5.50547106186773E-4</v>
      </c>
      <c r="E719" s="1">
        <v>0</v>
      </c>
      <c r="F719" s="1">
        <v>1.27268292165576E-3</v>
      </c>
    </row>
    <row r="720" spans="1:6" x14ac:dyDescent="0.25">
      <c r="A720" s="2" t="str">
        <f t="shared" si="28"/>
        <v>28700</v>
      </c>
      <c r="B720" s="2" t="str">
        <f>"24271"</f>
        <v>24271</v>
      </c>
      <c r="C720" s="1">
        <v>7.0339003155172799E-3</v>
      </c>
      <c r="D720" s="1">
        <v>1.9269148716537E-3</v>
      </c>
      <c r="E720" s="1">
        <v>7.3597056117755198E-4</v>
      </c>
      <c r="F720" s="1">
        <v>6.4588658274029797E-3</v>
      </c>
    </row>
    <row r="721" spans="1:6" x14ac:dyDescent="0.25">
      <c r="A721" s="2" t="str">
        <f t="shared" si="28"/>
        <v>28700</v>
      </c>
      <c r="B721" s="2" t="str">
        <f>"24236"</f>
        <v>24236</v>
      </c>
      <c r="C721" s="1">
        <v>1.38009157118117E-2</v>
      </c>
      <c r="D721" s="1">
        <v>8.3958433693482794E-3</v>
      </c>
      <c r="E721" s="1">
        <v>3.4958601655933701E-3</v>
      </c>
      <c r="F721" s="1">
        <v>1.3087422711026701E-2</v>
      </c>
    </row>
    <row r="722" spans="1:6" x14ac:dyDescent="0.25">
      <c r="A722" s="2" t="str">
        <f t="shared" si="28"/>
        <v>28700</v>
      </c>
      <c r="B722" s="2" t="str">
        <f>"37891"</f>
        <v>37891</v>
      </c>
      <c r="C722" s="1">
        <v>2.7874647118829002E-3</v>
      </c>
      <c r="D722" s="1">
        <v>1.3763677654669301E-4</v>
      </c>
      <c r="E722" s="1">
        <v>7.3597056117755198E-4</v>
      </c>
      <c r="F722" s="1">
        <v>2.5241544612839202E-3</v>
      </c>
    </row>
    <row r="723" spans="1:6" x14ac:dyDescent="0.25">
      <c r="A723" s="2" t="str">
        <f t="shared" si="28"/>
        <v>28700</v>
      </c>
      <c r="B723" s="2" t="str">
        <f>"37811"</f>
        <v>37811</v>
      </c>
      <c r="C723" s="1">
        <v>1.16065285982017E-2</v>
      </c>
      <c r="D723" s="1">
        <v>2.7527355309338599E-3</v>
      </c>
      <c r="E723" s="1">
        <v>6.4397424103035802E-3</v>
      </c>
      <c r="F723" s="1">
        <v>1.0775382070018699E-2</v>
      </c>
    </row>
    <row r="724" spans="1:6" x14ac:dyDescent="0.25">
      <c r="A724" s="2" t="str">
        <f t="shared" si="28"/>
        <v>28700</v>
      </c>
      <c r="B724" s="2" t="str">
        <f>"37663"</f>
        <v>37663</v>
      </c>
      <c r="C724" s="1">
        <v>4.3840296064337002E-2</v>
      </c>
      <c r="D724" s="1">
        <v>4.1359851352281297E-2</v>
      </c>
      <c r="E724" s="1">
        <v>3.7718491260349499E-2</v>
      </c>
      <c r="F724" s="1">
        <v>4.3472727465557998E-2</v>
      </c>
    </row>
    <row r="725" spans="1:6" x14ac:dyDescent="0.25">
      <c r="A725" s="2" t="str">
        <f t="shared" ref="A725:A771" si="29">"27180"</f>
        <v>27180</v>
      </c>
      <c r="B725" s="2" t="str">
        <f>"38359"</f>
        <v>38359</v>
      </c>
      <c r="C725" s="1">
        <v>1.06421471596109E-4</v>
      </c>
      <c r="D725" s="1">
        <v>9.7618117922686399E-5</v>
      </c>
      <c r="E725" s="1">
        <v>0</v>
      </c>
      <c r="F725" s="1">
        <v>1.0204081632653001E-4</v>
      </c>
    </row>
    <row r="726" spans="1:6" x14ac:dyDescent="0.25">
      <c r="A726" s="2" t="str">
        <f t="shared" si="29"/>
        <v>27180</v>
      </c>
      <c r="B726" s="2" t="str">
        <f>"38368"</f>
        <v>38368</v>
      </c>
      <c r="C726" s="1">
        <v>2.4157674052316699E-3</v>
      </c>
      <c r="D726" s="1">
        <v>9.7618117922686405E-4</v>
      </c>
      <c r="E726" s="1">
        <v>0</v>
      </c>
      <c r="F726" s="1">
        <v>2.1985157699443399E-3</v>
      </c>
    </row>
    <row r="727" spans="1:6" x14ac:dyDescent="0.25">
      <c r="A727" s="2" t="str">
        <f t="shared" si="29"/>
        <v>27180</v>
      </c>
      <c r="B727" s="2" t="str">
        <f>"38332"</f>
        <v>38332</v>
      </c>
      <c r="C727" s="1">
        <v>6.5555626503203202E-3</v>
      </c>
      <c r="D727" s="1">
        <v>2.9285435376805902E-3</v>
      </c>
      <c r="E727" s="1">
        <v>2.7855153203342598E-4</v>
      </c>
      <c r="F727" s="1">
        <v>6.0018552875695701E-3</v>
      </c>
    </row>
    <row r="728" spans="1:6" x14ac:dyDescent="0.25">
      <c r="A728" s="2" t="str">
        <f t="shared" si="29"/>
        <v>27180</v>
      </c>
      <c r="B728" s="2" t="str">
        <f>"38351"</f>
        <v>38351</v>
      </c>
      <c r="C728" s="1">
        <v>3.72475150586382E-4</v>
      </c>
      <c r="D728" s="1">
        <v>9.7618117922686399E-5</v>
      </c>
      <c r="E728" s="1">
        <v>0</v>
      </c>
      <c r="F728" s="1">
        <v>3.3395176252319099E-4</v>
      </c>
    </row>
    <row r="729" spans="1:6" x14ac:dyDescent="0.25">
      <c r="A729" s="2" t="str">
        <f t="shared" si="29"/>
        <v>27180</v>
      </c>
      <c r="B729" s="2" t="str">
        <f>"38369"</f>
        <v>38369</v>
      </c>
      <c r="C729" s="1">
        <v>9.4927952663729394E-3</v>
      </c>
      <c r="D729" s="1">
        <v>6.1499414291292399E-3</v>
      </c>
      <c r="E729" s="1">
        <v>2.2284122562674E-3</v>
      </c>
      <c r="F729" s="1">
        <v>8.9332096474953604E-3</v>
      </c>
    </row>
    <row r="730" spans="1:6" x14ac:dyDescent="0.25">
      <c r="A730" s="2" t="str">
        <f t="shared" si="29"/>
        <v>27180</v>
      </c>
      <c r="B730" s="2" t="str">
        <f>"38348"</f>
        <v>38348</v>
      </c>
      <c r="C730" s="1">
        <v>5.32107357980546E-5</v>
      </c>
      <c r="D730" s="1">
        <v>0</v>
      </c>
      <c r="E730" s="1">
        <v>0</v>
      </c>
      <c r="F730" s="1">
        <v>4.6382189239332E-5</v>
      </c>
    </row>
    <row r="731" spans="1:6" x14ac:dyDescent="0.25">
      <c r="A731" s="2" t="str">
        <f t="shared" si="29"/>
        <v>27180</v>
      </c>
      <c r="B731" s="2" t="str">
        <f>"38331"</f>
        <v>38331</v>
      </c>
      <c r="C731" s="1">
        <v>0</v>
      </c>
      <c r="D731" s="1">
        <v>9.7618117922686399E-5</v>
      </c>
      <c r="E731" s="1">
        <v>0</v>
      </c>
      <c r="F731" s="1">
        <v>9.2764378478664101E-6</v>
      </c>
    </row>
    <row r="732" spans="1:6" x14ac:dyDescent="0.25">
      <c r="A732" s="2" t="str">
        <f t="shared" si="29"/>
        <v>27180</v>
      </c>
      <c r="B732" s="2" t="str">
        <f>"38006"</f>
        <v>38006</v>
      </c>
      <c r="C732" s="1">
        <v>3.1649745652682797E-2</v>
      </c>
      <c r="D732" s="1">
        <v>1.28855915657946E-2</v>
      </c>
      <c r="E732" s="1">
        <v>1.2813370473537601E-2</v>
      </c>
      <c r="F732" s="1">
        <v>2.9239332096474901E-2</v>
      </c>
    </row>
    <row r="733" spans="1:6" x14ac:dyDescent="0.25">
      <c r="A733" s="2" t="str">
        <f t="shared" si="29"/>
        <v>27180</v>
      </c>
      <c r="B733" s="2" t="str">
        <f>"38378"</f>
        <v>38378</v>
      </c>
      <c r="C733" s="1">
        <v>0</v>
      </c>
      <c r="D733" s="1">
        <v>9.7618117922686399E-5</v>
      </c>
      <c r="E733" s="1">
        <v>0</v>
      </c>
      <c r="F733" s="1">
        <v>9.2764378478664101E-6</v>
      </c>
    </row>
    <row r="734" spans="1:6" x14ac:dyDescent="0.25">
      <c r="A734" s="2" t="str">
        <f t="shared" si="29"/>
        <v>27180</v>
      </c>
      <c r="B734" s="2" t="str">
        <f>"38362"</f>
        <v>38362</v>
      </c>
      <c r="C734" s="1">
        <v>5.7786859076687297E-3</v>
      </c>
      <c r="D734" s="1">
        <v>1.36665365091761E-3</v>
      </c>
      <c r="E734" s="1">
        <v>5.5710306406685196E-4</v>
      </c>
      <c r="F734" s="1">
        <v>5.1855287569573198E-3</v>
      </c>
    </row>
    <row r="735" spans="1:6" x14ac:dyDescent="0.25">
      <c r="A735" s="2" t="str">
        <f t="shared" si="29"/>
        <v>27180</v>
      </c>
      <c r="B735" s="2" t="str">
        <f>"38352"</f>
        <v>38352</v>
      </c>
      <c r="C735" s="1">
        <v>2.5328310239873899E-3</v>
      </c>
      <c r="D735" s="1">
        <v>3.90472471690745E-4</v>
      </c>
      <c r="E735" s="1">
        <v>0</v>
      </c>
      <c r="F735" s="1">
        <v>2.24489795918367E-3</v>
      </c>
    </row>
    <row r="736" spans="1:6" x14ac:dyDescent="0.25">
      <c r="A736" s="2" t="str">
        <f t="shared" si="29"/>
        <v>27180</v>
      </c>
      <c r="B736" s="2" t="str">
        <f>"38308"</f>
        <v>38308</v>
      </c>
      <c r="C736" s="1">
        <v>1.1301960283506799E-2</v>
      </c>
      <c r="D736" s="1">
        <v>3.2604451386177201E-2</v>
      </c>
      <c r="E736" s="1">
        <v>5.5710306406685196E-4</v>
      </c>
      <c r="F736" s="1">
        <v>1.29684601113172E-2</v>
      </c>
    </row>
    <row r="737" spans="1:6" x14ac:dyDescent="0.25">
      <c r="A737" s="2" t="str">
        <f t="shared" si="29"/>
        <v>27180</v>
      </c>
      <c r="B737" s="2" t="str">
        <f>"38220"</f>
        <v>38220</v>
      </c>
      <c r="C737" s="1">
        <v>8.6201391992848399E-4</v>
      </c>
      <c r="D737" s="1">
        <v>0</v>
      </c>
      <c r="E737" s="1">
        <v>5.5710306406685196E-4</v>
      </c>
      <c r="F737" s="1">
        <v>7.6994434137291198E-4</v>
      </c>
    </row>
    <row r="738" spans="1:6" x14ac:dyDescent="0.25">
      <c r="A738" s="2" t="str">
        <f t="shared" si="29"/>
        <v>27180</v>
      </c>
      <c r="B738" s="2" t="str">
        <f>"38021"</f>
        <v>38021</v>
      </c>
      <c r="C738" s="1">
        <v>0</v>
      </c>
      <c r="D738" s="1">
        <v>9.7618117922686399E-5</v>
      </c>
      <c r="E738" s="1">
        <v>0</v>
      </c>
      <c r="F738" s="1">
        <v>9.2764378478664101E-6</v>
      </c>
    </row>
    <row r="739" spans="1:6" x14ac:dyDescent="0.25">
      <c r="A739" s="2" t="str">
        <f t="shared" si="29"/>
        <v>27180</v>
      </c>
      <c r="B739" s="2" t="str">
        <f>"38389"</f>
        <v>38389</v>
      </c>
      <c r="C739" s="1">
        <v>0</v>
      </c>
      <c r="D739" s="1">
        <v>1.9523623584537201E-4</v>
      </c>
      <c r="E739" s="1">
        <v>0</v>
      </c>
      <c r="F739" s="1">
        <v>1.85528756957328E-5</v>
      </c>
    </row>
    <row r="740" spans="1:6" x14ac:dyDescent="0.25">
      <c r="A740" s="2" t="str">
        <f t="shared" si="29"/>
        <v>27180</v>
      </c>
      <c r="B740" s="2" t="str">
        <f>"38391"</f>
        <v>38391</v>
      </c>
      <c r="C740" s="1">
        <v>6.5342783560011003E-3</v>
      </c>
      <c r="D740" s="1">
        <v>3.12377977352596E-3</v>
      </c>
      <c r="E740" s="1">
        <v>0</v>
      </c>
      <c r="F740" s="1">
        <v>5.9925788497217003E-3</v>
      </c>
    </row>
    <row r="741" spans="1:6" x14ac:dyDescent="0.25">
      <c r="A741" s="2" t="str">
        <f t="shared" si="29"/>
        <v>27180</v>
      </c>
      <c r="B741" s="2" t="str">
        <f>"38366"</f>
        <v>38366</v>
      </c>
      <c r="C741" s="1">
        <v>1.2930208798927201E-2</v>
      </c>
      <c r="D741" s="1">
        <v>4.7832877782116303E-3</v>
      </c>
      <c r="E741" s="1">
        <v>8.3565459610027799E-4</v>
      </c>
      <c r="F741" s="1">
        <v>1.17532467532467E-2</v>
      </c>
    </row>
    <row r="742" spans="1:6" x14ac:dyDescent="0.25">
      <c r="A742" s="2" t="str">
        <f t="shared" si="29"/>
        <v>27180</v>
      </c>
      <c r="B742" s="2" t="str">
        <f>"38338"</f>
        <v>38338</v>
      </c>
      <c r="C742" s="1">
        <v>0</v>
      </c>
      <c r="D742" s="1">
        <v>9.7618117922686399E-5</v>
      </c>
      <c r="E742" s="1">
        <v>0</v>
      </c>
      <c r="F742" s="1">
        <v>9.2764378478664101E-6</v>
      </c>
    </row>
    <row r="743" spans="1:6" x14ac:dyDescent="0.25">
      <c r="A743" s="2" t="str">
        <f t="shared" si="29"/>
        <v>27180</v>
      </c>
      <c r="B743" s="2" t="str">
        <f>"38301"</f>
        <v>38301</v>
      </c>
      <c r="C743" s="1">
        <v>0.191101036545133</v>
      </c>
      <c r="D743" s="1">
        <v>0.228719250292854</v>
      </c>
      <c r="E743" s="1">
        <v>0.37576601671309101</v>
      </c>
      <c r="F743" s="1">
        <v>0.20082560296846</v>
      </c>
    </row>
    <row r="744" spans="1:6" x14ac:dyDescent="0.25">
      <c r="A744" s="2" t="str">
        <f t="shared" si="29"/>
        <v>27180</v>
      </c>
      <c r="B744" s="2" t="str">
        <f>"38050"</f>
        <v>38050</v>
      </c>
      <c r="C744" s="1">
        <v>0</v>
      </c>
      <c r="D744" s="1">
        <v>9.7618117922686399E-5</v>
      </c>
      <c r="E744" s="1">
        <v>0</v>
      </c>
      <c r="F744" s="1">
        <v>9.2764378478664101E-6</v>
      </c>
    </row>
    <row r="745" spans="1:6" x14ac:dyDescent="0.25">
      <c r="A745" s="2" t="str">
        <f t="shared" si="29"/>
        <v>27180</v>
      </c>
      <c r="B745" s="2" t="str">
        <f>"38356"</f>
        <v>38356</v>
      </c>
      <c r="C745" s="1">
        <v>9.4183002362556601E-3</v>
      </c>
      <c r="D745" s="1">
        <v>3.80710659898477E-3</v>
      </c>
      <c r="E745" s="1">
        <v>0</v>
      </c>
      <c r="F745" s="1">
        <v>8.5714285714285701E-3</v>
      </c>
    </row>
    <row r="746" spans="1:6" x14ac:dyDescent="0.25">
      <c r="A746" s="2" t="str">
        <f t="shared" si="29"/>
        <v>27180</v>
      </c>
      <c r="B746" s="2" t="str">
        <f>"38355"</f>
        <v>38355</v>
      </c>
      <c r="C746" s="1">
        <v>3.5704403720494597E-2</v>
      </c>
      <c r="D746" s="1">
        <v>1.7961733697774301E-2</v>
      </c>
      <c r="E746" s="1">
        <v>1.3927576601671301E-3</v>
      </c>
      <c r="F746" s="1">
        <v>3.2875695732838502E-2</v>
      </c>
    </row>
    <row r="747" spans="1:6" x14ac:dyDescent="0.25">
      <c r="A747" s="2" t="str">
        <f t="shared" si="29"/>
        <v>27180</v>
      </c>
      <c r="B747" s="2" t="str">
        <f>"38346"</f>
        <v>38346</v>
      </c>
      <c r="C747" s="1">
        <v>0</v>
      </c>
      <c r="D747" s="1">
        <v>9.7618117922686399E-5</v>
      </c>
      <c r="E747" s="1">
        <v>0</v>
      </c>
      <c r="F747" s="1">
        <v>9.2764378478664101E-6</v>
      </c>
    </row>
    <row r="748" spans="1:6" x14ac:dyDescent="0.25">
      <c r="A748" s="2" t="str">
        <f t="shared" si="29"/>
        <v>27180</v>
      </c>
      <c r="B748" s="2" t="str">
        <f>"38340"</f>
        <v>38340</v>
      </c>
      <c r="C748" s="1">
        <v>5.8138049932954398E-2</v>
      </c>
      <c r="D748" s="1">
        <v>5.4373291682936302E-2</v>
      </c>
      <c r="E748" s="1">
        <v>8.6350974930362104E-3</v>
      </c>
      <c r="F748" s="1">
        <v>5.6131725417439701E-2</v>
      </c>
    </row>
    <row r="749" spans="1:6" x14ac:dyDescent="0.25">
      <c r="A749" s="2" t="str">
        <f t="shared" si="29"/>
        <v>27180</v>
      </c>
      <c r="B749" s="2" t="str">
        <f>"38337"</f>
        <v>38337</v>
      </c>
      <c r="C749" s="1">
        <v>1.20788370261583E-2</v>
      </c>
      <c r="D749" s="1">
        <v>1.8547442405310399E-3</v>
      </c>
      <c r="E749" s="1">
        <v>0</v>
      </c>
      <c r="F749" s="1">
        <v>1.0705009276437799E-2</v>
      </c>
    </row>
    <row r="750" spans="1:6" x14ac:dyDescent="0.25">
      <c r="A750" s="2" t="str">
        <f t="shared" si="29"/>
        <v>27180</v>
      </c>
      <c r="B750" s="2" t="str">
        <f>"38305"</f>
        <v>38305</v>
      </c>
      <c r="C750" s="1">
        <v>0.243651959219292</v>
      </c>
      <c r="D750" s="1">
        <v>0.275575946895743</v>
      </c>
      <c r="E750" s="1">
        <v>0.45181058495821702</v>
      </c>
      <c r="F750" s="1">
        <v>0.25361781076066697</v>
      </c>
    </row>
    <row r="751" spans="1:6" x14ac:dyDescent="0.25">
      <c r="A751" s="2" t="str">
        <f t="shared" si="29"/>
        <v>27180</v>
      </c>
      <c r="B751" s="2" t="str">
        <f>"38392"</f>
        <v>38392</v>
      </c>
      <c r="C751" s="1">
        <v>3.7141093587042102E-3</v>
      </c>
      <c r="D751" s="1">
        <v>8.7856306130417805E-4</v>
      </c>
      <c r="E751" s="1">
        <v>8.3565459610027799E-4</v>
      </c>
      <c r="F751" s="1">
        <v>3.3487940630797701E-3</v>
      </c>
    </row>
    <row r="752" spans="1:6" x14ac:dyDescent="0.25">
      <c r="A752" s="2" t="str">
        <f t="shared" si="29"/>
        <v>27180</v>
      </c>
      <c r="B752" s="2" t="str">
        <f>"38358"</f>
        <v>38358</v>
      </c>
      <c r="C752" s="1">
        <v>7.0940552965966394E-2</v>
      </c>
      <c r="D752" s="1">
        <v>7.4873096446700496E-2</v>
      </c>
      <c r="E752" s="1">
        <v>4.3454038997214402E-2</v>
      </c>
      <c r="F752" s="1">
        <v>7.0398886827458207E-2</v>
      </c>
    </row>
    <row r="753" spans="1:6" x14ac:dyDescent="0.25">
      <c r="A753" s="2" t="str">
        <f t="shared" si="29"/>
        <v>27180</v>
      </c>
      <c r="B753" s="2" t="str">
        <f>"38336"</f>
        <v>38336</v>
      </c>
      <c r="C753" s="1">
        <v>0</v>
      </c>
      <c r="D753" s="1">
        <v>0</v>
      </c>
      <c r="E753" s="1">
        <v>2.7855153203342598E-4</v>
      </c>
      <c r="F753" s="1">
        <v>9.2764378478664101E-6</v>
      </c>
    </row>
    <row r="754" spans="1:6" x14ac:dyDescent="0.25">
      <c r="A754" s="2" t="str">
        <f t="shared" si="29"/>
        <v>27180</v>
      </c>
      <c r="B754" s="2" t="str">
        <f>"38303"</f>
        <v>38303</v>
      </c>
      <c r="C754" s="1">
        <v>5.1614413724112903E-3</v>
      </c>
      <c r="D754" s="1">
        <v>1.53260445138617E-2</v>
      </c>
      <c r="E754" s="1">
        <v>2.7855153203342598E-4</v>
      </c>
      <c r="F754" s="1">
        <v>5.9647495361781003E-3</v>
      </c>
    </row>
    <row r="755" spans="1:6" x14ac:dyDescent="0.25">
      <c r="A755" s="2" t="str">
        <f t="shared" si="29"/>
        <v>27180</v>
      </c>
      <c r="B755" s="2" t="str">
        <f>"38040"</f>
        <v>38040</v>
      </c>
      <c r="C755" s="1">
        <v>5.4274950514015697E-3</v>
      </c>
      <c r="D755" s="1">
        <v>2.2452167122217802E-3</v>
      </c>
      <c r="E755" s="1">
        <v>0</v>
      </c>
      <c r="F755" s="1">
        <v>4.9443413729128001E-3</v>
      </c>
    </row>
    <row r="756" spans="1:6" x14ac:dyDescent="0.25">
      <c r="A756" s="2" t="str">
        <f t="shared" si="29"/>
        <v>27180</v>
      </c>
      <c r="B756" s="2" t="str">
        <f>"38001"</f>
        <v>38001</v>
      </c>
      <c r="C756" s="1">
        <v>2.5828491156375699E-2</v>
      </c>
      <c r="D756" s="1">
        <v>2.5185474424053101E-2</v>
      </c>
      <c r="E756" s="1">
        <v>2.5069637883008301E-2</v>
      </c>
      <c r="F756" s="1">
        <v>2.5742115027829301E-2</v>
      </c>
    </row>
    <row r="757" spans="1:6" x14ac:dyDescent="0.25">
      <c r="A757" s="2" t="str">
        <f t="shared" si="29"/>
        <v>27180</v>
      </c>
      <c r="B757" s="2" t="str">
        <f>"38382"</f>
        <v>38382</v>
      </c>
      <c r="C757" s="1">
        <v>5.1795330225826303E-2</v>
      </c>
      <c r="D757" s="1">
        <v>4.7637641546270898E-2</v>
      </c>
      <c r="E757" s="1">
        <v>3.1476323119777098E-2</v>
      </c>
      <c r="F757" s="1">
        <v>5.07235621521335E-2</v>
      </c>
    </row>
    <row r="758" spans="1:6" x14ac:dyDescent="0.25">
      <c r="A758" s="2" t="str">
        <f t="shared" si="29"/>
        <v>27180</v>
      </c>
      <c r="B758" s="2" t="str">
        <f>"38315"</f>
        <v>38315</v>
      </c>
      <c r="C758" s="1">
        <v>1.5111848966647501E-3</v>
      </c>
      <c r="D758" s="1">
        <v>5.8570870753611802E-4</v>
      </c>
      <c r="E758" s="1">
        <v>0</v>
      </c>
      <c r="F758" s="1">
        <v>1.3729128014842299E-3</v>
      </c>
    </row>
    <row r="759" spans="1:6" x14ac:dyDescent="0.25">
      <c r="A759" s="2" t="str">
        <f t="shared" si="29"/>
        <v>27180</v>
      </c>
      <c r="B759" s="2" t="str">
        <f>"38313"</f>
        <v>38313</v>
      </c>
      <c r="C759" s="1">
        <v>1.3292041802354E-2</v>
      </c>
      <c r="D759" s="1">
        <v>1.36665365091761E-3</v>
      </c>
      <c r="E759" s="1">
        <v>0</v>
      </c>
      <c r="F759" s="1">
        <v>1.1716141001855199E-2</v>
      </c>
    </row>
    <row r="760" spans="1:6" x14ac:dyDescent="0.25">
      <c r="A760" s="2" t="str">
        <f t="shared" si="29"/>
        <v>27180</v>
      </c>
      <c r="B760" s="2" t="str">
        <f>"38233"</f>
        <v>38233</v>
      </c>
      <c r="C760" s="1">
        <v>7.7794095736755803E-3</v>
      </c>
      <c r="D760" s="1">
        <v>3.9047247169074501E-3</v>
      </c>
      <c r="E760" s="1">
        <v>3.6211699164345398E-3</v>
      </c>
      <c r="F760" s="1">
        <v>7.2727272727272701E-3</v>
      </c>
    </row>
    <row r="761" spans="1:6" x14ac:dyDescent="0.25">
      <c r="A761" s="2" t="str">
        <f t="shared" si="29"/>
        <v>27180</v>
      </c>
      <c r="B761" s="2" t="str">
        <f>"38034"</f>
        <v>38034</v>
      </c>
      <c r="C761" s="1">
        <v>1.93048549475342E-2</v>
      </c>
      <c r="D761" s="1">
        <v>7.7118313158922201E-3</v>
      </c>
      <c r="E761" s="1">
        <v>1.6713091922005499E-3</v>
      </c>
      <c r="F761" s="1">
        <v>1.7615955473098299E-2</v>
      </c>
    </row>
    <row r="762" spans="1:6" x14ac:dyDescent="0.25">
      <c r="A762" s="2" t="str">
        <f t="shared" si="29"/>
        <v>27180</v>
      </c>
      <c r="B762" s="2" t="str">
        <f>"38371"</f>
        <v>38371</v>
      </c>
      <c r="C762" s="1">
        <v>1.06421471596109E-5</v>
      </c>
      <c r="D762" s="1">
        <v>0</v>
      </c>
      <c r="E762" s="1">
        <v>0</v>
      </c>
      <c r="F762" s="1">
        <v>9.2764378478664101E-6</v>
      </c>
    </row>
    <row r="763" spans="1:6" x14ac:dyDescent="0.25">
      <c r="A763" s="2" t="str">
        <f t="shared" si="29"/>
        <v>27180</v>
      </c>
      <c r="B763" s="2" t="str">
        <f>"38347"</f>
        <v>38347</v>
      </c>
      <c r="C763" s="1">
        <v>2.0858608432837399E-3</v>
      </c>
      <c r="D763" s="1">
        <v>1.17141741507223E-3</v>
      </c>
      <c r="E763" s="1">
        <v>0</v>
      </c>
      <c r="F763" s="1">
        <v>1.9294990723562101E-3</v>
      </c>
    </row>
    <row r="764" spans="1:6" x14ac:dyDescent="0.25">
      <c r="A764" s="2" t="str">
        <f t="shared" si="29"/>
        <v>27180</v>
      </c>
      <c r="B764" s="2" t="str">
        <f>"38343"</f>
        <v>38343</v>
      </c>
      <c r="C764" s="1">
        <v>9.62050103228827E-2</v>
      </c>
      <c r="D764" s="1">
        <v>8.6880124951190907E-2</v>
      </c>
      <c r="E764" s="1">
        <v>3.2311977715877398E-2</v>
      </c>
      <c r="F764" s="1">
        <v>9.3191094619666001E-2</v>
      </c>
    </row>
    <row r="765" spans="1:6" x14ac:dyDescent="0.25">
      <c r="A765" s="2" t="str">
        <f t="shared" si="29"/>
        <v>27180</v>
      </c>
      <c r="B765" s="2" t="str">
        <f>"38334"</f>
        <v>38334</v>
      </c>
      <c r="C765" s="1">
        <v>3.9695208905348696E-3</v>
      </c>
      <c r="D765" s="1">
        <v>1.36665365091761E-3</v>
      </c>
      <c r="E765" s="1">
        <v>0</v>
      </c>
      <c r="F765" s="1">
        <v>3.5899814471243002E-3</v>
      </c>
    </row>
    <row r="766" spans="1:6" x14ac:dyDescent="0.25">
      <c r="A766" s="2" t="str">
        <f t="shared" si="29"/>
        <v>27180</v>
      </c>
      <c r="B766" s="2" t="str">
        <f>"38330"</f>
        <v>38330</v>
      </c>
      <c r="C766" s="1">
        <v>2.0730902666921999E-2</v>
      </c>
      <c r="D766" s="1">
        <v>1.48379539242483E-2</v>
      </c>
      <c r="E766" s="1">
        <v>5.0139275766016697E-3</v>
      </c>
      <c r="F766" s="1">
        <v>1.9647495361780998E-2</v>
      </c>
    </row>
    <row r="767" spans="1:6" x14ac:dyDescent="0.25">
      <c r="A767" s="2" t="str">
        <f t="shared" si="29"/>
        <v>27180</v>
      </c>
      <c r="B767" s="2" t="str">
        <f>"38316"</f>
        <v>38316</v>
      </c>
      <c r="C767" s="1">
        <v>1.37177276887384E-2</v>
      </c>
      <c r="D767" s="1">
        <v>7.8094494338149098E-3</v>
      </c>
      <c r="E767" s="1">
        <v>0</v>
      </c>
      <c r="F767" s="1">
        <v>1.2699443413729101E-2</v>
      </c>
    </row>
    <row r="768" spans="1:6" x14ac:dyDescent="0.25">
      <c r="A768" s="2" t="str">
        <f t="shared" si="29"/>
        <v>27180</v>
      </c>
      <c r="B768" s="2" t="str">
        <f>"38302"</f>
        <v>38302</v>
      </c>
      <c r="C768" s="1">
        <v>1.5665240618947199E-2</v>
      </c>
      <c r="D768" s="1">
        <v>5.9254197579070599E-2</v>
      </c>
      <c r="E768" s="1">
        <v>5.5710306406685196E-4</v>
      </c>
      <c r="F768" s="1">
        <v>1.930426716141E-2</v>
      </c>
    </row>
    <row r="769" spans="1:6" x14ac:dyDescent="0.25">
      <c r="A769" s="2" t="str">
        <f t="shared" si="29"/>
        <v>27180</v>
      </c>
      <c r="B769" s="2" t="str">
        <f>"38259"</f>
        <v>38259</v>
      </c>
      <c r="C769" s="1">
        <v>1.1706361875572E-4</v>
      </c>
      <c r="D769" s="1">
        <v>9.7618117922686399E-5</v>
      </c>
      <c r="E769" s="1">
        <v>0</v>
      </c>
      <c r="F769" s="1">
        <v>1.11317254174397E-4</v>
      </c>
    </row>
    <row r="770" spans="1:6" x14ac:dyDescent="0.25">
      <c r="A770" s="2" t="str">
        <f t="shared" si="29"/>
        <v>27180</v>
      </c>
      <c r="B770" s="2" t="str">
        <f>"38059"</f>
        <v>38059</v>
      </c>
      <c r="C770" s="1">
        <v>1.6814592512185199E-3</v>
      </c>
      <c r="D770" s="1">
        <v>2.9285435376805901E-4</v>
      </c>
      <c r="E770" s="1">
        <v>0</v>
      </c>
      <c r="F770" s="1">
        <v>1.4935064935064899E-3</v>
      </c>
    </row>
    <row r="771" spans="1:6" x14ac:dyDescent="0.25">
      <c r="A771" s="2" t="str">
        <f t="shared" si="29"/>
        <v>27180</v>
      </c>
      <c r="B771" s="2" t="str">
        <f>"38044"</f>
        <v>38044</v>
      </c>
      <c r="C771" s="1">
        <v>3.8311729774599299E-4</v>
      </c>
      <c r="D771" s="1">
        <v>9.7618117922686399E-5</v>
      </c>
      <c r="E771" s="1">
        <v>0</v>
      </c>
      <c r="F771" s="1">
        <v>3.4322820037105699E-4</v>
      </c>
    </row>
    <row r="772" spans="1:6" x14ac:dyDescent="0.25">
      <c r="A772" s="2" t="str">
        <f t="shared" ref="A772:A785" si="30">"37060"</f>
        <v>37060</v>
      </c>
      <c r="B772" s="2" t="str">
        <f>"38949"</f>
        <v>38949</v>
      </c>
      <c r="C772" s="1">
        <v>4.0059164304203096E-3</v>
      </c>
      <c r="D772" s="1">
        <v>0</v>
      </c>
      <c r="E772" s="1">
        <v>1.3966480446927301E-3</v>
      </c>
      <c r="F772" s="1">
        <v>3.62710081125231E-3</v>
      </c>
    </row>
    <row r="773" spans="1:6" x14ac:dyDescent="0.25">
      <c r="A773" s="2" t="str">
        <f t="shared" si="30"/>
        <v>37060</v>
      </c>
      <c r="B773" s="2" t="str">
        <f>"38965"</f>
        <v>38965</v>
      </c>
      <c r="C773" s="1">
        <v>2.3696536423024699E-2</v>
      </c>
      <c r="D773" s="1">
        <v>3.3909799932180401E-3</v>
      </c>
      <c r="E773" s="1">
        <v>0</v>
      </c>
      <c r="F773" s="1">
        <v>2.1568790320347701E-2</v>
      </c>
    </row>
    <row r="774" spans="1:6" x14ac:dyDescent="0.25">
      <c r="A774" s="2" t="str">
        <f t="shared" si="30"/>
        <v>37060</v>
      </c>
      <c r="B774" s="2" t="str">
        <f>"38655"</f>
        <v>38655</v>
      </c>
      <c r="C774" s="1">
        <v>0.88090102304942597</v>
      </c>
      <c r="D774" s="1">
        <v>0.97694133604611699</v>
      </c>
      <c r="E774" s="1">
        <v>0.99581005586592097</v>
      </c>
      <c r="F774" s="1">
        <v>0.89102084890771605</v>
      </c>
    </row>
    <row r="775" spans="1:6" x14ac:dyDescent="0.25">
      <c r="A775" s="2" t="str">
        <f t="shared" si="30"/>
        <v>37060</v>
      </c>
      <c r="B775" s="2" t="str">
        <f>"38606"</f>
        <v>38606</v>
      </c>
      <c r="C775" s="1">
        <v>1.9413287316652199E-3</v>
      </c>
      <c r="D775" s="1">
        <v>0</v>
      </c>
      <c r="E775" s="1">
        <v>0</v>
      </c>
      <c r="F775" s="1">
        <v>1.7443309244953801E-3</v>
      </c>
    </row>
    <row r="776" spans="1:6" x14ac:dyDescent="0.25">
      <c r="A776" s="2" t="str">
        <f t="shared" si="30"/>
        <v>37060</v>
      </c>
      <c r="B776" s="2" t="str">
        <f>"38601"</f>
        <v>38601</v>
      </c>
      <c r="C776" s="1">
        <v>3.6792801676321901E-2</v>
      </c>
      <c r="D776" s="1">
        <v>1.22075279755849E-2</v>
      </c>
      <c r="E776" s="1">
        <v>2.7932960893854702E-3</v>
      </c>
      <c r="F776" s="1">
        <v>3.41113603012431E-2</v>
      </c>
    </row>
    <row r="777" spans="1:6" x14ac:dyDescent="0.25">
      <c r="A777" s="2" t="str">
        <f t="shared" si="30"/>
        <v>37060</v>
      </c>
      <c r="B777" s="2" t="str">
        <f>"38685"</f>
        <v>38685</v>
      </c>
      <c r="C777" s="1">
        <v>1.2325896708985499E-3</v>
      </c>
      <c r="D777" s="1">
        <v>6.7819599864360795E-4</v>
      </c>
      <c r="E777" s="1">
        <v>0</v>
      </c>
      <c r="F777" s="1">
        <v>1.16288728299692E-3</v>
      </c>
    </row>
    <row r="778" spans="1:6" x14ac:dyDescent="0.25">
      <c r="A778" s="2" t="str">
        <f t="shared" si="30"/>
        <v>37060</v>
      </c>
      <c r="B778" s="2" t="str">
        <f>"38915"</f>
        <v>38915</v>
      </c>
      <c r="C778" s="1">
        <v>2.4651793417971099E-4</v>
      </c>
      <c r="D778" s="1">
        <v>3.3909799932180397E-4</v>
      </c>
      <c r="E778" s="1">
        <v>0</v>
      </c>
      <c r="F778" s="1">
        <v>2.4919013207076903E-4</v>
      </c>
    </row>
    <row r="779" spans="1:6" x14ac:dyDescent="0.25">
      <c r="A779" s="2" t="str">
        <f t="shared" si="30"/>
        <v>37060</v>
      </c>
      <c r="B779" s="2" t="str">
        <f>"38913"</f>
        <v>38913</v>
      </c>
      <c r="C779" s="1">
        <v>3.69776901269567E-4</v>
      </c>
      <c r="D779" s="1">
        <v>0</v>
      </c>
      <c r="E779" s="1">
        <v>0</v>
      </c>
      <c r="F779" s="1">
        <v>3.3225350942769297E-4</v>
      </c>
    </row>
    <row r="780" spans="1:6" x14ac:dyDescent="0.25">
      <c r="A780" s="2" t="str">
        <f t="shared" si="30"/>
        <v>37060</v>
      </c>
      <c r="B780" s="2" t="str">
        <f>"38619"</f>
        <v>38619</v>
      </c>
      <c r="C780" s="1">
        <v>2.4035498582521801E-2</v>
      </c>
      <c r="D780" s="1">
        <v>2.03458799593082E-3</v>
      </c>
      <c r="E780" s="1">
        <v>0</v>
      </c>
      <c r="F780" s="1">
        <v>2.1762604867513899E-2</v>
      </c>
    </row>
    <row r="781" spans="1:6" x14ac:dyDescent="0.25">
      <c r="A781" s="2" t="str">
        <f t="shared" si="30"/>
        <v>37060</v>
      </c>
      <c r="B781" s="2" t="str">
        <f>"38677"</f>
        <v>38677</v>
      </c>
      <c r="C781" s="1">
        <v>3.0814741772463901E-5</v>
      </c>
      <c r="D781" s="1">
        <v>2.03458799593082E-3</v>
      </c>
      <c r="E781" s="1">
        <v>0</v>
      </c>
      <c r="F781" s="1">
        <v>1.9381454716615399E-4</v>
      </c>
    </row>
    <row r="782" spans="1:6" x14ac:dyDescent="0.25">
      <c r="A782" s="2" t="str">
        <f t="shared" si="30"/>
        <v>37060</v>
      </c>
      <c r="B782" s="2" t="str">
        <f>"38871"</f>
        <v>38871</v>
      </c>
      <c r="C782" s="1">
        <v>2.4959940835695702E-3</v>
      </c>
      <c r="D782" s="1">
        <v>0</v>
      </c>
      <c r="E782" s="1">
        <v>0</v>
      </c>
      <c r="F782" s="1">
        <v>2.24271118863692E-3</v>
      </c>
    </row>
    <row r="783" spans="1:6" x14ac:dyDescent="0.25">
      <c r="A783" s="2" t="str">
        <f t="shared" si="30"/>
        <v>37060</v>
      </c>
      <c r="B783" s="2" t="str">
        <f>"38863"</f>
        <v>38863</v>
      </c>
      <c r="C783" s="1">
        <v>9.8607173671884591E-4</v>
      </c>
      <c r="D783" s="1">
        <v>3.3909799932180397E-4</v>
      </c>
      <c r="E783" s="1">
        <v>0</v>
      </c>
      <c r="F783" s="1">
        <v>9.13697150926156E-4</v>
      </c>
    </row>
    <row r="784" spans="1:6" x14ac:dyDescent="0.25">
      <c r="A784" s="2" t="str">
        <f t="shared" si="30"/>
        <v>37060</v>
      </c>
      <c r="B784" s="2" t="str">
        <f>"38673"</f>
        <v>38673</v>
      </c>
      <c r="C784" s="1">
        <v>1.6516701590040601E-2</v>
      </c>
      <c r="D784" s="1">
        <v>6.7819599864360795E-4</v>
      </c>
      <c r="E784" s="1">
        <v>0</v>
      </c>
      <c r="F784" s="1">
        <v>1.4896032339341499E-2</v>
      </c>
    </row>
    <row r="785" spans="1:6" x14ac:dyDescent="0.25">
      <c r="A785" s="2" t="str">
        <f t="shared" si="30"/>
        <v>37060</v>
      </c>
      <c r="B785" s="2" t="str">
        <f>"38627"</f>
        <v>38627</v>
      </c>
      <c r="C785" s="1">
        <v>6.7484284481696003E-3</v>
      </c>
      <c r="D785" s="1">
        <v>1.35639199728721E-3</v>
      </c>
      <c r="E785" s="1">
        <v>0</v>
      </c>
      <c r="F785" s="1">
        <v>6.1743777168646301E-3</v>
      </c>
    </row>
    <row r="786" spans="1:6" x14ac:dyDescent="0.25">
      <c r="A786" s="2" t="str">
        <f t="shared" ref="A786:A802" si="31">"26940"</f>
        <v>26940</v>
      </c>
      <c r="B786" s="2" t="str">
        <f>"39038"</f>
        <v>39038</v>
      </c>
      <c r="C786" s="1">
        <v>7.7361957257518596E-4</v>
      </c>
      <c r="D786" s="1">
        <v>9.5328884652049503E-4</v>
      </c>
      <c r="E786" s="1">
        <v>0</v>
      </c>
      <c r="F786" s="1">
        <v>7.7881619937694702E-4</v>
      </c>
    </row>
    <row r="787" spans="1:6" x14ac:dyDescent="0.25">
      <c r="A787" s="2" t="str">
        <f t="shared" si="31"/>
        <v>26940</v>
      </c>
      <c r="B787" s="2" t="str">
        <f>"38771"</f>
        <v>38771</v>
      </c>
      <c r="C787" s="1">
        <v>0.13257905425007199</v>
      </c>
      <c r="D787" s="1">
        <v>0.14489990467111499</v>
      </c>
      <c r="E787" s="1">
        <v>0.40361445783132499</v>
      </c>
      <c r="F787" s="1">
        <v>0.137590861889927</v>
      </c>
    </row>
    <row r="788" spans="1:6" x14ac:dyDescent="0.25">
      <c r="A788" s="2" t="str">
        <f t="shared" si="31"/>
        <v>26940</v>
      </c>
      <c r="B788" s="2" t="str">
        <f>"38738"</f>
        <v>38738</v>
      </c>
      <c r="C788" s="1">
        <v>8.3164104051832496E-3</v>
      </c>
      <c r="D788" s="1">
        <v>3.8131553860819801E-3</v>
      </c>
      <c r="E788" s="1">
        <v>1.20481927710843E-2</v>
      </c>
      <c r="F788" s="1">
        <v>7.9612322602976796E-3</v>
      </c>
    </row>
    <row r="789" spans="1:6" x14ac:dyDescent="0.25">
      <c r="A789" s="2" t="str">
        <f t="shared" si="31"/>
        <v>26940</v>
      </c>
      <c r="B789" s="2" t="str">
        <f>"38761"</f>
        <v>38761</v>
      </c>
      <c r="C789" s="1">
        <v>4.47732327627888E-2</v>
      </c>
      <c r="D789" s="1">
        <v>7.6263107721639602E-3</v>
      </c>
      <c r="E789" s="1">
        <v>6.0240963855421603E-3</v>
      </c>
      <c r="F789" s="1">
        <v>4.0844582900657601E-2</v>
      </c>
    </row>
    <row r="790" spans="1:6" x14ac:dyDescent="0.25">
      <c r="A790" s="2" t="str">
        <f t="shared" si="31"/>
        <v>26940</v>
      </c>
      <c r="B790" s="2" t="str">
        <f>"38737"</f>
        <v>38737</v>
      </c>
      <c r="C790" s="1">
        <v>0.13760758147181101</v>
      </c>
      <c r="D790" s="1">
        <v>0.181124880838894</v>
      </c>
      <c r="E790" s="1">
        <v>0.15060240963855401</v>
      </c>
      <c r="F790" s="1">
        <v>0.14174454828660399</v>
      </c>
    </row>
    <row r="791" spans="1:6" x14ac:dyDescent="0.25">
      <c r="A791" s="2" t="str">
        <f t="shared" si="31"/>
        <v>26940</v>
      </c>
      <c r="B791" s="2" t="str">
        <f>"38754"</f>
        <v>38754</v>
      </c>
      <c r="C791" s="1">
        <v>3.1911807368726398E-3</v>
      </c>
      <c r="D791" s="1">
        <v>0</v>
      </c>
      <c r="E791" s="1">
        <v>0</v>
      </c>
      <c r="F791" s="1">
        <v>2.8556593977154699E-3</v>
      </c>
    </row>
    <row r="792" spans="1:6" x14ac:dyDescent="0.25">
      <c r="A792" s="2" t="str">
        <f t="shared" si="31"/>
        <v>26940</v>
      </c>
      <c r="B792" s="2" t="str">
        <f>"38736"</f>
        <v>38736</v>
      </c>
      <c r="C792" s="1">
        <v>2.61096605744125E-2</v>
      </c>
      <c r="D792" s="1">
        <v>1.14394661582459E-2</v>
      </c>
      <c r="E792" s="1">
        <v>0</v>
      </c>
      <c r="F792" s="1">
        <v>2.4402907580477601E-2</v>
      </c>
    </row>
    <row r="793" spans="1:6" x14ac:dyDescent="0.25">
      <c r="A793" s="2" t="str">
        <f t="shared" si="31"/>
        <v>26940</v>
      </c>
      <c r="B793" s="2" t="str">
        <f>"38768"</f>
        <v>38768</v>
      </c>
      <c r="C793" s="1">
        <v>0</v>
      </c>
      <c r="D793" s="1">
        <v>9.5328884652049503E-4</v>
      </c>
      <c r="E793" s="1">
        <v>0</v>
      </c>
      <c r="F793" s="1">
        <v>8.6535133264105206E-5</v>
      </c>
    </row>
    <row r="794" spans="1:6" x14ac:dyDescent="0.25">
      <c r="A794" s="2" t="str">
        <f t="shared" si="31"/>
        <v>26940</v>
      </c>
      <c r="B794" s="2" t="str">
        <f>"38773"</f>
        <v>38773</v>
      </c>
      <c r="C794" s="1">
        <v>2.1951455371820899E-2</v>
      </c>
      <c r="D794" s="1">
        <v>9.5328884652049507E-3</v>
      </c>
      <c r="E794" s="1">
        <v>0</v>
      </c>
      <c r="F794" s="1">
        <v>2.0508826583592901E-2</v>
      </c>
    </row>
    <row r="795" spans="1:6" x14ac:dyDescent="0.25">
      <c r="A795" s="2" t="str">
        <f t="shared" si="31"/>
        <v>26940</v>
      </c>
      <c r="B795" s="2" t="str">
        <f>"38753"</f>
        <v>38753</v>
      </c>
      <c r="C795" s="1">
        <v>4.4869935209360702E-2</v>
      </c>
      <c r="D795" s="1">
        <v>1.33460438512869E-2</v>
      </c>
      <c r="E795" s="1">
        <v>2.40963855421686E-2</v>
      </c>
      <c r="F795" s="1">
        <v>4.1709934233298697E-2</v>
      </c>
    </row>
    <row r="796" spans="1:6" x14ac:dyDescent="0.25">
      <c r="A796" s="2" t="str">
        <f t="shared" si="31"/>
        <v>26940</v>
      </c>
      <c r="B796" s="2" t="str">
        <f>"38778"</f>
        <v>38778</v>
      </c>
      <c r="C796" s="1">
        <v>6.0922541340295899E-2</v>
      </c>
      <c r="D796" s="1">
        <v>3.9084842707340299E-2</v>
      </c>
      <c r="E796" s="1">
        <v>9.6385542168674607E-2</v>
      </c>
      <c r="F796" s="1">
        <v>5.9449636552440198E-2</v>
      </c>
    </row>
    <row r="797" spans="1:6" x14ac:dyDescent="0.25">
      <c r="A797" s="2" t="str">
        <f t="shared" si="31"/>
        <v>26940</v>
      </c>
      <c r="B797" s="2" t="str">
        <f>"38732"</f>
        <v>38732</v>
      </c>
      <c r="C797" s="1">
        <v>1.9147084421235801E-2</v>
      </c>
      <c r="D797" s="1">
        <v>2.8598665395614801E-3</v>
      </c>
      <c r="E797" s="1">
        <v>6.0240963855421603E-3</v>
      </c>
      <c r="F797" s="1">
        <v>1.7480096919349201E-2</v>
      </c>
    </row>
    <row r="798" spans="1:6" x14ac:dyDescent="0.25">
      <c r="A798" s="2" t="str">
        <f t="shared" si="31"/>
        <v>26940</v>
      </c>
      <c r="B798" s="2" t="str">
        <f>"38759"</f>
        <v>38759</v>
      </c>
      <c r="C798" s="1">
        <v>1.7406440382941601E-2</v>
      </c>
      <c r="D798" s="1">
        <v>1.9065776930409901E-3</v>
      </c>
      <c r="E798" s="1">
        <v>0</v>
      </c>
      <c r="F798" s="1">
        <v>1.5749394254067101E-2</v>
      </c>
    </row>
    <row r="799" spans="1:6" x14ac:dyDescent="0.25">
      <c r="A799" s="2" t="str">
        <f t="shared" si="31"/>
        <v>26940</v>
      </c>
      <c r="B799" s="2" t="str">
        <f>"38756"</f>
        <v>38756</v>
      </c>
      <c r="C799" s="1">
        <v>9.6702446571898205E-5</v>
      </c>
      <c r="D799" s="1">
        <v>0</v>
      </c>
      <c r="E799" s="1">
        <v>0</v>
      </c>
      <c r="F799" s="1">
        <v>8.6535133264105206E-5</v>
      </c>
    </row>
    <row r="800" spans="1:6" x14ac:dyDescent="0.25">
      <c r="A800" s="2" t="str">
        <f t="shared" si="31"/>
        <v>26940</v>
      </c>
      <c r="B800" s="2" t="str">
        <f>"38762"</f>
        <v>38762</v>
      </c>
      <c r="C800" s="1">
        <v>9.6702446571898205E-5</v>
      </c>
      <c r="D800" s="1">
        <v>0</v>
      </c>
      <c r="E800" s="1">
        <v>0</v>
      </c>
      <c r="F800" s="1">
        <v>8.6535133264105206E-5</v>
      </c>
    </row>
    <row r="801" spans="1:6" x14ac:dyDescent="0.25">
      <c r="A801" s="2" t="str">
        <f t="shared" si="31"/>
        <v>26940</v>
      </c>
      <c r="B801" s="2" t="str">
        <f>"38751"</f>
        <v>38751</v>
      </c>
      <c r="C801" s="1">
        <v>0.48003094478290298</v>
      </c>
      <c r="D801" s="1">
        <v>0.58245948522402202</v>
      </c>
      <c r="E801" s="1">
        <v>0.30120481927710802</v>
      </c>
      <c r="F801" s="1">
        <v>0.48676012461059098</v>
      </c>
    </row>
    <row r="802" spans="1:6" x14ac:dyDescent="0.25">
      <c r="A802" s="2" t="str">
        <f t="shared" si="31"/>
        <v>26940</v>
      </c>
      <c r="B802" s="2" t="str">
        <f>"38963"</f>
        <v>38963</v>
      </c>
      <c r="C802" s="1">
        <v>2.1274538245817601E-3</v>
      </c>
      <c r="D802" s="1">
        <v>0</v>
      </c>
      <c r="E802" s="1">
        <v>0</v>
      </c>
      <c r="F802" s="1">
        <v>1.9037729318103101E-3</v>
      </c>
    </row>
    <row r="803" spans="1:6" x14ac:dyDescent="0.25">
      <c r="A803" s="2" t="str">
        <f>"46980"</f>
        <v>46980</v>
      </c>
      <c r="B803" s="2" t="str">
        <f>"39183"</f>
        <v>39183</v>
      </c>
      <c r="C803" s="1">
        <v>0.30175802981974598</v>
      </c>
      <c r="D803" s="1">
        <v>0.28104823395366502</v>
      </c>
      <c r="E803" s="1">
        <v>0.37090432503276499</v>
      </c>
      <c r="F803" s="1">
        <v>0.30169971671388102</v>
      </c>
    </row>
    <row r="804" spans="1:6" x14ac:dyDescent="0.25">
      <c r="A804" s="2" t="str">
        <f>"46980"</f>
        <v>46980</v>
      </c>
      <c r="B804" s="2" t="str">
        <f>"39180"</f>
        <v>39180</v>
      </c>
      <c r="C804" s="1">
        <v>0.60188413322453804</v>
      </c>
      <c r="D804" s="1">
        <v>0.55374097987086901</v>
      </c>
      <c r="E804" s="1">
        <v>0.62385321100917401</v>
      </c>
      <c r="F804" s="1">
        <v>0.59826075499044695</v>
      </c>
    </row>
    <row r="805" spans="1:6" x14ac:dyDescent="0.25">
      <c r="A805" s="2" t="str">
        <f>"46980"</f>
        <v>46980</v>
      </c>
      <c r="B805" s="2" t="str">
        <f>"39156"</f>
        <v>39156</v>
      </c>
      <c r="C805" s="1">
        <v>1.0162450856761301E-2</v>
      </c>
      <c r="D805" s="1">
        <v>3.0383592859855599E-3</v>
      </c>
      <c r="E805" s="1">
        <v>2.6212319790301399E-3</v>
      </c>
      <c r="F805" s="1">
        <v>9.3550299756242107E-3</v>
      </c>
    </row>
    <row r="806" spans="1:6" x14ac:dyDescent="0.25">
      <c r="A806" s="2" t="str">
        <f>"46980"</f>
        <v>46980</v>
      </c>
      <c r="B806" s="2" t="str">
        <f>"39182"</f>
        <v>39182</v>
      </c>
      <c r="C806" s="1">
        <v>6.8281284771159398E-2</v>
      </c>
      <c r="D806" s="1">
        <v>0.100645651348271</v>
      </c>
      <c r="E806" s="1">
        <v>1.3106159895150699E-3</v>
      </c>
      <c r="F806" s="1">
        <v>6.9405099150141605E-2</v>
      </c>
    </row>
    <row r="807" spans="1:6" x14ac:dyDescent="0.25">
      <c r="A807" s="2" t="str">
        <f>"46980"</f>
        <v>46980</v>
      </c>
      <c r="B807" s="2" t="str">
        <f>"39181"</f>
        <v>39181</v>
      </c>
      <c r="C807" s="1">
        <v>1.7914101327794599E-2</v>
      </c>
      <c r="D807" s="1">
        <v>6.1526775541207702E-2</v>
      </c>
      <c r="E807" s="1">
        <v>1.3106159895150699E-3</v>
      </c>
      <c r="F807" s="1">
        <v>2.1279399169905702E-2</v>
      </c>
    </row>
    <row r="808" spans="1:6" x14ac:dyDescent="0.25">
      <c r="A808" s="2" t="str">
        <f t="shared" ref="A808:A824" si="32">"34460"</f>
        <v>34460</v>
      </c>
      <c r="B808" s="2" t="str">
        <f>"40316"</f>
        <v>40316</v>
      </c>
      <c r="C808" s="1">
        <v>6.8274051086177996E-3</v>
      </c>
      <c r="D808" s="1">
        <v>8.3612040133779198E-4</v>
      </c>
      <c r="E808" s="1">
        <v>3.85356454720616E-3</v>
      </c>
      <c r="F808" s="1">
        <v>6.4430714916151799E-3</v>
      </c>
    </row>
    <row r="809" spans="1:6" x14ac:dyDescent="0.25">
      <c r="A809" s="2" t="str">
        <f t="shared" si="32"/>
        <v>34460</v>
      </c>
      <c r="B809" s="2" t="str">
        <f>"40358"</f>
        <v>40358</v>
      </c>
      <c r="C809" s="1">
        <v>1.41799952255908E-2</v>
      </c>
      <c r="D809" s="1">
        <v>3.3444816053511701E-3</v>
      </c>
      <c r="E809" s="1">
        <v>1.9267822736030799E-2</v>
      </c>
      <c r="F809" s="1">
        <v>1.37246248896734E-2</v>
      </c>
    </row>
    <row r="810" spans="1:6" x14ac:dyDescent="0.25">
      <c r="A810" s="2" t="str">
        <f t="shared" si="32"/>
        <v>34460</v>
      </c>
      <c r="B810" s="2" t="str">
        <f>"40360"</f>
        <v>40360</v>
      </c>
      <c r="C810" s="1">
        <v>0.13330150393888701</v>
      </c>
      <c r="D810" s="1">
        <v>6.4381270903010004E-2</v>
      </c>
      <c r="E810" s="1">
        <v>0.13294797687861201</v>
      </c>
      <c r="F810" s="1">
        <v>0.129655781112091</v>
      </c>
    </row>
    <row r="811" spans="1:6" x14ac:dyDescent="0.25">
      <c r="A811" s="2" t="str">
        <f t="shared" si="32"/>
        <v>34460</v>
      </c>
      <c r="B811" s="2" t="str">
        <f>"40311"</f>
        <v>40311</v>
      </c>
      <c r="C811" s="1">
        <v>7.1616137502983996E-4</v>
      </c>
      <c r="D811" s="1">
        <v>8.3612040133779198E-4</v>
      </c>
      <c r="E811" s="1">
        <v>0</v>
      </c>
      <c r="F811" s="1">
        <v>7.0609002647837498E-4</v>
      </c>
    </row>
    <row r="812" spans="1:6" x14ac:dyDescent="0.25">
      <c r="A812" s="2" t="str">
        <f t="shared" si="32"/>
        <v>34460</v>
      </c>
      <c r="B812" s="2" t="str">
        <f>"40351"</f>
        <v>40351</v>
      </c>
      <c r="C812" s="1">
        <v>0</v>
      </c>
      <c r="D812" s="1">
        <v>8.3612040133779198E-4</v>
      </c>
      <c r="E812" s="1">
        <v>0</v>
      </c>
      <c r="F812" s="1">
        <v>4.4130626654898402E-5</v>
      </c>
    </row>
    <row r="813" spans="1:6" x14ac:dyDescent="0.25">
      <c r="A813" s="2" t="str">
        <f t="shared" si="32"/>
        <v>34460</v>
      </c>
      <c r="B813" s="2" t="str">
        <f>"40361"</f>
        <v>40361</v>
      </c>
      <c r="C813" s="1">
        <v>7.1616137502983996E-4</v>
      </c>
      <c r="D813" s="1">
        <v>0</v>
      </c>
      <c r="E813" s="1">
        <v>0</v>
      </c>
      <c r="F813" s="1">
        <v>6.61959399823477E-4</v>
      </c>
    </row>
    <row r="814" spans="1:6" x14ac:dyDescent="0.25">
      <c r="A814" s="2" t="str">
        <f t="shared" si="32"/>
        <v>34460</v>
      </c>
      <c r="B814" s="2" t="str">
        <f>"40380"</f>
        <v>40380</v>
      </c>
      <c r="C814" s="1">
        <v>9.5488183337311998E-5</v>
      </c>
      <c r="D814" s="1">
        <v>3.3444816053511701E-3</v>
      </c>
      <c r="E814" s="1">
        <v>3.85356454720616E-3</v>
      </c>
      <c r="F814" s="1">
        <v>3.53045013239187E-4</v>
      </c>
    </row>
    <row r="815" spans="1:6" x14ac:dyDescent="0.25">
      <c r="A815" s="2" t="str">
        <f t="shared" si="32"/>
        <v>34460</v>
      </c>
      <c r="B815" s="2" t="str">
        <f>"41472"</f>
        <v>41472</v>
      </c>
      <c r="C815" s="1">
        <v>2.3872045834327999E-4</v>
      </c>
      <c r="D815" s="1">
        <v>0</v>
      </c>
      <c r="E815" s="1">
        <v>0</v>
      </c>
      <c r="F815" s="1">
        <v>2.2065313327449199E-4</v>
      </c>
    </row>
    <row r="816" spans="1:6" x14ac:dyDescent="0.25">
      <c r="A816" s="2" t="str">
        <f t="shared" si="32"/>
        <v>34460</v>
      </c>
      <c r="B816" s="2" t="str">
        <f>"40391"</f>
        <v>40391</v>
      </c>
      <c r="C816" s="1">
        <v>9.5488183337311998E-5</v>
      </c>
      <c r="D816" s="1">
        <v>0</v>
      </c>
      <c r="E816" s="1">
        <v>0</v>
      </c>
      <c r="F816" s="1">
        <v>8.8261253309796899E-5</v>
      </c>
    </row>
    <row r="817" spans="1:6" x14ac:dyDescent="0.25">
      <c r="A817" s="2" t="str">
        <f t="shared" si="32"/>
        <v>34460</v>
      </c>
      <c r="B817" s="2" t="str">
        <f>"40374"</f>
        <v>40374</v>
      </c>
      <c r="C817" s="1">
        <v>3.7908808784912797E-2</v>
      </c>
      <c r="D817" s="1">
        <v>1.67224080267558E-2</v>
      </c>
      <c r="E817" s="1">
        <v>2.3121387283236899E-2</v>
      </c>
      <c r="F817" s="1">
        <v>3.6451897616946102E-2</v>
      </c>
    </row>
    <row r="818" spans="1:6" x14ac:dyDescent="0.25">
      <c r="A818" s="2" t="str">
        <f t="shared" si="32"/>
        <v>34460</v>
      </c>
      <c r="B818" s="2" t="str">
        <f>"40353"</f>
        <v>40353</v>
      </c>
      <c r="C818" s="1">
        <v>0.47777512532824001</v>
      </c>
      <c r="D818" s="1">
        <v>0.78929765886287595</v>
      </c>
      <c r="E818" s="1">
        <v>0.579961464354527</v>
      </c>
      <c r="F818" s="1">
        <v>0.49655781112091701</v>
      </c>
    </row>
    <row r="819" spans="1:6" x14ac:dyDescent="0.25">
      <c r="A819" s="2" t="str">
        <f t="shared" si="32"/>
        <v>34460</v>
      </c>
      <c r="B819" s="2" t="str">
        <f>"40322"</f>
        <v>40322</v>
      </c>
      <c r="C819" s="1">
        <v>7.5817617569825704E-2</v>
      </c>
      <c r="D819" s="1">
        <v>3.92976588628762E-2</v>
      </c>
      <c r="E819" s="1">
        <v>6.1657032755298602E-2</v>
      </c>
      <c r="F819" s="1">
        <v>7.3565754633715702E-2</v>
      </c>
    </row>
    <row r="820" spans="1:6" x14ac:dyDescent="0.25">
      <c r="A820" s="2" t="str">
        <f t="shared" si="32"/>
        <v>34460</v>
      </c>
      <c r="B820" s="2" t="str">
        <f>"40387"</f>
        <v>40387</v>
      </c>
      <c r="C820" s="1">
        <v>5.6910957269037901E-2</v>
      </c>
      <c r="D820" s="1">
        <v>3.3444816053511701E-3</v>
      </c>
      <c r="E820" s="1">
        <v>7.7071290944123296E-3</v>
      </c>
      <c r="F820" s="1">
        <v>5.2956751985878098E-2</v>
      </c>
    </row>
    <row r="821" spans="1:6" x14ac:dyDescent="0.25">
      <c r="A821" s="2" t="str">
        <f t="shared" si="32"/>
        <v>34460</v>
      </c>
      <c r="B821" s="2" t="str">
        <f>"40334"</f>
        <v>40334</v>
      </c>
      <c r="C821" s="1">
        <v>2.24397230842683E-3</v>
      </c>
      <c r="D821" s="1">
        <v>1.6722408026755801E-3</v>
      </c>
      <c r="E821" s="1">
        <v>1.92678227360308E-3</v>
      </c>
      <c r="F821" s="1">
        <v>2.20653133274492E-3</v>
      </c>
    </row>
    <row r="822" spans="1:6" x14ac:dyDescent="0.25">
      <c r="A822" s="2" t="str">
        <f t="shared" si="32"/>
        <v>34460</v>
      </c>
      <c r="B822" s="2" t="str">
        <f>"40371"</f>
        <v>40371</v>
      </c>
      <c r="C822" s="1">
        <v>5.8391024110766201E-2</v>
      </c>
      <c r="D822" s="1">
        <v>2.5919732441471499E-2</v>
      </c>
      <c r="E822" s="1">
        <v>0.1252408477842</v>
      </c>
      <c r="F822" s="1">
        <v>5.8208296557811103E-2</v>
      </c>
    </row>
    <row r="823" spans="1:6" x14ac:dyDescent="0.25">
      <c r="A823" s="2" t="str">
        <f t="shared" si="32"/>
        <v>34460</v>
      </c>
      <c r="B823" s="2" t="str">
        <f>"40346"</f>
        <v>40346</v>
      </c>
      <c r="C823" s="1">
        <v>1.7092384817378799E-2</v>
      </c>
      <c r="D823" s="1">
        <v>6.6889632107023402E-3</v>
      </c>
      <c r="E823" s="1">
        <v>3.85356454720616E-3</v>
      </c>
      <c r="F823" s="1">
        <v>1.6240070609002601E-2</v>
      </c>
    </row>
    <row r="824" spans="1:6" x14ac:dyDescent="0.25">
      <c r="A824" s="2" t="str">
        <f t="shared" si="32"/>
        <v>34460</v>
      </c>
      <c r="B824" s="2" t="str">
        <f>"40337"</f>
        <v>40337</v>
      </c>
      <c r="C824" s="1">
        <v>0.11768918596323701</v>
      </c>
      <c r="D824" s="1">
        <v>4.3478260869565202E-2</v>
      </c>
      <c r="E824" s="1">
        <v>3.6608863198458498E-2</v>
      </c>
      <c r="F824" s="1">
        <v>0.111915269196822</v>
      </c>
    </row>
    <row r="825" spans="1:6" x14ac:dyDescent="0.25">
      <c r="A825" s="2" t="str">
        <f t="shared" ref="A825:A849" si="33">"22300"</f>
        <v>22300</v>
      </c>
      <c r="B825" s="2" t="str">
        <f>"45890"</f>
        <v>45890</v>
      </c>
      <c r="C825" s="1">
        <v>3.2500215709396298E-3</v>
      </c>
      <c r="D825" s="1">
        <v>3.3613445378151202E-4</v>
      </c>
      <c r="E825" s="1">
        <v>7.0871722182849002E-4</v>
      </c>
      <c r="F825" s="1">
        <v>2.9370450772570498E-3</v>
      </c>
    </row>
    <row r="826" spans="1:6" x14ac:dyDescent="0.25">
      <c r="A826" s="2" t="str">
        <f t="shared" si="33"/>
        <v>22300</v>
      </c>
      <c r="B826" s="2" t="str">
        <f>"45889"</f>
        <v>45889</v>
      </c>
      <c r="C826" s="1">
        <v>1.48695677183698E-2</v>
      </c>
      <c r="D826" s="1">
        <v>5.0420168067226798E-3</v>
      </c>
      <c r="E826" s="1">
        <v>7.0871722182849002E-4</v>
      </c>
      <c r="F826" s="1">
        <v>1.3612565445026099E-2</v>
      </c>
    </row>
    <row r="827" spans="1:6" x14ac:dyDescent="0.25">
      <c r="A827" s="2" t="str">
        <f t="shared" si="33"/>
        <v>22300</v>
      </c>
      <c r="B827" s="2" t="str">
        <f>"45810"</f>
        <v>45810</v>
      </c>
      <c r="C827" s="1">
        <v>2.9336477896977102E-3</v>
      </c>
      <c r="D827" s="1">
        <v>6.7226890756302501E-4</v>
      </c>
      <c r="E827" s="1">
        <v>1.41743444365698E-3</v>
      </c>
      <c r="F827" s="1">
        <v>2.7071893755586701E-3</v>
      </c>
    </row>
    <row r="828" spans="1:6" x14ac:dyDescent="0.25">
      <c r="A828" s="2" t="str">
        <f t="shared" si="33"/>
        <v>22300</v>
      </c>
      <c r="B828" s="2" t="str">
        <f>"45814"</f>
        <v>45814</v>
      </c>
      <c r="C828" s="1">
        <v>2.7409473956685498E-2</v>
      </c>
      <c r="D828" s="1">
        <v>3.69747899159663E-3</v>
      </c>
      <c r="E828" s="1">
        <v>6.37845499645641E-3</v>
      </c>
      <c r="F828" s="1">
        <v>2.48499553058357E-2</v>
      </c>
    </row>
    <row r="829" spans="1:6" x14ac:dyDescent="0.25">
      <c r="A829" s="2" t="str">
        <f t="shared" si="33"/>
        <v>22300</v>
      </c>
      <c r="B829" s="2" t="str">
        <f>"45881"</f>
        <v>45881</v>
      </c>
      <c r="C829" s="1">
        <v>1.4380626420086799E-2</v>
      </c>
      <c r="D829" s="1">
        <v>2.3529411764705798E-3</v>
      </c>
      <c r="E829" s="1">
        <v>7.0871722182849002E-4</v>
      </c>
      <c r="F829" s="1">
        <v>1.29740773847529E-2</v>
      </c>
    </row>
    <row r="830" spans="1:6" x14ac:dyDescent="0.25">
      <c r="A830" s="2" t="str">
        <f t="shared" si="33"/>
        <v>22300</v>
      </c>
      <c r="B830" s="2" t="str">
        <f>"43316"</f>
        <v>43316</v>
      </c>
      <c r="C830" s="1">
        <v>7.7655382668469003E-4</v>
      </c>
      <c r="D830" s="1">
        <v>0</v>
      </c>
      <c r="E830" s="1">
        <v>0</v>
      </c>
      <c r="F830" s="1">
        <v>6.8956710509513396E-4</v>
      </c>
    </row>
    <row r="831" spans="1:6" x14ac:dyDescent="0.25">
      <c r="A831" s="2" t="str">
        <f t="shared" si="33"/>
        <v>22300</v>
      </c>
      <c r="B831" s="2" t="str">
        <f>"45877"</f>
        <v>45877</v>
      </c>
      <c r="C831" s="1">
        <v>1.15045011360694E-4</v>
      </c>
      <c r="D831" s="1">
        <v>0</v>
      </c>
      <c r="E831" s="1">
        <v>0</v>
      </c>
      <c r="F831" s="1">
        <v>1.0215808964372299E-4</v>
      </c>
    </row>
    <row r="832" spans="1:6" x14ac:dyDescent="0.25">
      <c r="A832" s="2" t="str">
        <f t="shared" si="33"/>
        <v>22300</v>
      </c>
      <c r="B832" s="2" t="str">
        <f>"45839"</f>
        <v>45839</v>
      </c>
      <c r="C832" s="1">
        <v>2.0621818286404501E-2</v>
      </c>
      <c r="D832" s="1">
        <v>0.111596638655462</v>
      </c>
      <c r="E832" s="1">
        <v>1.41743444365698E-3</v>
      </c>
      <c r="F832" s="1">
        <v>2.6842038053888299E-2</v>
      </c>
    </row>
    <row r="833" spans="1:6" x14ac:dyDescent="0.25">
      <c r="A833" s="2" t="str">
        <f t="shared" si="33"/>
        <v>22300</v>
      </c>
      <c r="B833" s="2" t="str">
        <f>"45817"</f>
        <v>45817</v>
      </c>
      <c r="C833" s="1">
        <v>1.4581955189968E-2</v>
      </c>
      <c r="D833" s="1">
        <v>1.41176470588235E-2</v>
      </c>
      <c r="E833" s="1">
        <v>9.9220411055988608E-3</v>
      </c>
      <c r="F833" s="1">
        <v>1.4378751117354101E-2</v>
      </c>
    </row>
    <row r="834" spans="1:6" x14ac:dyDescent="0.25">
      <c r="A834" s="2" t="str">
        <f t="shared" si="33"/>
        <v>22300</v>
      </c>
      <c r="B834" s="2" t="str">
        <f>"45840"</f>
        <v>45840</v>
      </c>
      <c r="C834" s="1">
        <v>0.75791653484425703</v>
      </c>
      <c r="D834" s="1">
        <v>0.81579831932773095</v>
      </c>
      <c r="E834" s="1">
        <v>0.94755492558469101</v>
      </c>
      <c r="F834" s="1">
        <v>0.76914825692759503</v>
      </c>
    </row>
    <row r="835" spans="1:6" x14ac:dyDescent="0.25">
      <c r="A835" s="2" t="str">
        <f t="shared" si="33"/>
        <v>22300</v>
      </c>
      <c r="B835" s="2" t="str">
        <f>"45897"</f>
        <v>45897</v>
      </c>
      <c r="C835" s="1">
        <v>1.6106301590497201E-3</v>
      </c>
      <c r="D835" s="1">
        <v>6.7226890756302501E-4</v>
      </c>
      <c r="E835" s="1">
        <v>7.0871722182849002E-4</v>
      </c>
      <c r="F835" s="1">
        <v>1.5068318222449201E-3</v>
      </c>
    </row>
    <row r="836" spans="1:6" x14ac:dyDescent="0.25">
      <c r="A836" s="2" t="str">
        <f t="shared" si="33"/>
        <v>22300</v>
      </c>
      <c r="B836" s="2" t="str">
        <f>"45872"</f>
        <v>45872</v>
      </c>
      <c r="C836" s="1">
        <v>6.3274756248382104E-4</v>
      </c>
      <c r="D836" s="1">
        <v>3.3613445378151202E-4</v>
      </c>
      <c r="E836" s="1">
        <v>0</v>
      </c>
      <c r="F836" s="1">
        <v>5.8740901545141098E-4</v>
      </c>
    </row>
    <row r="837" spans="1:6" x14ac:dyDescent="0.25">
      <c r="A837" s="2" t="str">
        <f t="shared" si="33"/>
        <v>22300</v>
      </c>
      <c r="B837" s="2" t="str">
        <f>"45856"</f>
        <v>45856</v>
      </c>
      <c r="C837" s="1">
        <v>5.7522505680347398E-5</v>
      </c>
      <c r="D837" s="1">
        <v>0</v>
      </c>
      <c r="E837" s="1">
        <v>0</v>
      </c>
      <c r="F837" s="1">
        <v>5.1079044821861802E-5</v>
      </c>
    </row>
    <row r="838" spans="1:6" x14ac:dyDescent="0.25">
      <c r="A838" s="2" t="str">
        <f t="shared" si="33"/>
        <v>22300</v>
      </c>
      <c r="B838" s="2" t="str">
        <f>"45841"</f>
        <v>45841</v>
      </c>
      <c r="C838" s="1">
        <v>1.16770686531105E-2</v>
      </c>
      <c r="D838" s="1">
        <v>1.00840336134453E-3</v>
      </c>
      <c r="E838" s="1">
        <v>0</v>
      </c>
      <c r="F838" s="1">
        <v>1.0445664666070701E-2</v>
      </c>
    </row>
    <row r="839" spans="1:6" x14ac:dyDescent="0.25">
      <c r="A839" s="2" t="str">
        <f t="shared" si="33"/>
        <v>22300</v>
      </c>
      <c r="B839" s="2" t="str">
        <f>"45867"</f>
        <v>45867</v>
      </c>
      <c r="C839" s="1">
        <v>1.03252897696223E-2</v>
      </c>
      <c r="D839" s="1">
        <v>6.7226890756302501E-4</v>
      </c>
      <c r="E839" s="1">
        <v>7.0871722182849002E-4</v>
      </c>
      <c r="F839" s="1">
        <v>9.2453071127569907E-3</v>
      </c>
    </row>
    <row r="840" spans="1:6" x14ac:dyDescent="0.25">
      <c r="A840" s="2" t="str">
        <f t="shared" si="33"/>
        <v>22300</v>
      </c>
      <c r="B840" s="2" t="str">
        <f>"44802"</f>
        <v>44802</v>
      </c>
      <c r="C840" s="1">
        <v>5.2920705225919596E-3</v>
      </c>
      <c r="D840" s="1">
        <v>1.34453781512605E-3</v>
      </c>
      <c r="E840" s="1">
        <v>0</v>
      </c>
      <c r="F840" s="1">
        <v>4.8014302132550098E-3</v>
      </c>
    </row>
    <row r="841" spans="1:6" x14ac:dyDescent="0.25">
      <c r="A841" s="2" t="str">
        <f t="shared" si="33"/>
        <v>22300</v>
      </c>
      <c r="B841" s="2" t="str">
        <f>"45843"</f>
        <v>45843</v>
      </c>
      <c r="C841" s="1">
        <v>8.1394345537691599E-3</v>
      </c>
      <c r="D841" s="1">
        <v>2.3529411764705798E-3</v>
      </c>
      <c r="E841" s="1">
        <v>1.41743444365698E-3</v>
      </c>
      <c r="F841" s="1">
        <v>7.4575405439918198E-3</v>
      </c>
    </row>
    <row r="842" spans="1:6" x14ac:dyDescent="0.25">
      <c r="A842" s="2" t="str">
        <f t="shared" si="33"/>
        <v>22300</v>
      </c>
      <c r="B842" s="2" t="str">
        <f>"45816"</f>
        <v>45816</v>
      </c>
      <c r="C842" s="1">
        <v>5.4646380396329998E-4</v>
      </c>
      <c r="D842" s="1">
        <v>0</v>
      </c>
      <c r="E842" s="1">
        <v>1.41743444365698E-3</v>
      </c>
      <c r="F842" s="1">
        <v>5.3632997062954895E-4</v>
      </c>
    </row>
    <row r="843" spans="1:6" x14ac:dyDescent="0.25">
      <c r="A843" s="2" t="str">
        <f t="shared" si="33"/>
        <v>22300</v>
      </c>
      <c r="B843" s="2" t="str">
        <f>"44830"</f>
        <v>44830</v>
      </c>
      <c r="C843" s="1">
        <v>5.1540165089591299E-2</v>
      </c>
      <c r="D843" s="1">
        <v>2.9243697478991498E-2</v>
      </c>
      <c r="E843" s="1">
        <v>1.5591778880226699E-2</v>
      </c>
      <c r="F843" s="1">
        <v>4.85506321031796E-2</v>
      </c>
    </row>
    <row r="844" spans="1:6" x14ac:dyDescent="0.25">
      <c r="A844" s="2" t="str">
        <f t="shared" si="33"/>
        <v>22300</v>
      </c>
      <c r="B844" s="2" t="str">
        <f>"45868"</f>
        <v>45868</v>
      </c>
      <c r="C844" s="1">
        <v>6.8739394288015098E-3</v>
      </c>
      <c r="D844" s="1">
        <v>1.00840336134453E-3</v>
      </c>
      <c r="E844" s="1">
        <v>2.1261516654854699E-3</v>
      </c>
      <c r="F844" s="1">
        <v>6.25718299067807E-3</v>
      </c>
    </row>
    <row r="845" spans="1:6" x14ac:dyDescent="0.25">
      <c r="A845" s="2" t="str">
        <f t="shared" si="33"/>
        <v>22300</v>
      </c>
      <c r="B845" s="2" t="str">
        <f>"45858"</f>
        <v>45858</v>
      </c>
      <c r="C845" s="1">
        <v>3.146481060715E-2</v>
      </c>
      <c r="D845" s="1">
        <v>3.69747899159663E-3</v>
      </c>
      <c r="E845" s="1">
        <v>8.5046066619418794E-3</v>
      </c>
      <c r="F845" s="1">
        <v>2.85276465330098E-2</v>
      </c>
    </row>
    <row r="846" spans="1:6" x14ac:dyDescent="0.25">
      <c r="A846" s="2" t="str">
        <f t="shared" si="33"/>
        <v>22300</v>
      </c>
      <c r="B846" s="2" t="str">
        <f>"45836"</f>
        <v>45836</v>
      </c>
      <c r="C846" s="1">
        <v>2.0132876988121601E-4</v>
      </c>
      <c r="D846" s="1">
        <v>0</v>
      </c>
      <c r="E846" s="1">
        <v>0</v>
      </c>
      <c r="F846" s="1">
        <v>1.78776656876516E-4</v>
      </c>
    </row>
    <row r="847" spans="1:6" x14ac:dyDescent="0.25">
      <c r="A847" s="2" t="str">
        <f t="shared" si="33"/>
        <v>22300</v>
      </c>
      <c r="B847" s="2" t="str">
        <f>"44817"</f>
        <v>44817</v>
      </c>
      <c r="C847" s="1">
        <v>7.4779257384451601E-4</v>
      </c>
      <c r="D847" s="1">
        <v>3.3613445378151202E-4</v>
      </c>
      <c r="E847" s="1">
        <v>0</v>
      </c>
      <c r="F847" s="1">
        <v>6.8956710509513396E-4</v>
      </c>
    </row>
    <row r="848" spans="1:6" x14ac:dyDescent="0.25">
      <c r="A848" s="2" t="str">
        <f t="shared" si="33"/>
        <v>22300</v>
      </c>
      <c r="B848" s="2" t="str">
        <f>"44804"</f>
        <v>44804</v>
      </c>
      <c r="C848" s="1">
        <v>1.35465500877218E-2</v>
      </c>
      <c r="D848" s="1">
        <v>5.7142857142857099E-3</v>
      </c>
      <c r="E848" s="1">
        <v>7.0871722182849002E-4</v>
      </c>
      <c r="F848" s="1">
        <v>1.2488826458945199E-2</v>
      </c>
    </row>
    <row r="849" spans="1:6" x14ac:dyDescent="0.25">
      <c r="A849" s="2" t="str">
        <f t="shared" si="33"/>
        <v>22300</v>
      </c>
      <c r="B849" s="2" t="str">
        <f>"43516"</f>
        <v>43516</v>
      </c>
      <c r="C849" s="1">
        <v>4.8894129828295303E-4</v>
      </c>
      <c r="D849" s="1">
        <v>0</v>
      </c>
      <c r="E849" s="1">
        <v>0</v>
      </c>
      <c r="F849" s="1">
        <v>4.34171880985825E-4</v>
      </c>
    </row>
    <row r="850" spans="1:6" x14ac:dyDescent="0.25">
      <c r="A850" s="2" t="str">
        <f t="shared" ref="A850:A870" si="34">"45660"</f>
        <v>45660</v>
      </c>
      <c r="B850" s="2" t="str">
        <f>"44854"</f>
        <v>44854</v>
      </c>
      <c r="C850" s="1">
        <v>5.8710056193910897E-4</v>
      </c>
      <c r="D850" s="1">
        <v>0</v>
      </c>
      <c r="E850" s="1">
        <v>0</v>
      </c>
      <c r="F850" s="1">
        <v>5.3643957391370897E-4</v>
      </c>
    </row>
    <row r="851" spans="1:6" x14ac:dyDescent="0.25">
      <c r="A851" s="2" t="str">
        <f t="shared" si="34"/>
        <v>45660</v>
      </c>
      <c r="B851" s="2" t="str">
        <f>"44828"</f>
        <v>44828</v>
      </c>
      <c r="C851" s="1">
        <v>4.1935754424222001E-4</v>
      </c>
      <c r="D851" s="1">
        <v>6.0790273556230996E-4</v>
      </c>
      <c r="E851" s="1">
        <v>0</v>
      </c>
      <c r="F851" s="1">
        <v>4.2148823664648602E-4</v>
      </c>
    </row>
    <row r="852" spans="1:6" x14ac:dyDescent="0.25">
      <c r="A852" s="2" t="str">
        <f t="shared" si="34"/>
        <v>45660</v>
      </c>
      <c r="B852" s="2" t="str">
        <f>"44867"</f>
        <v>44867</v>
      </c>
      <c r="C852" s="1">
        <v>3.3967961083619803E-2</v>
      </c>
      <c r="D852" s="1">
        <v>3.64741641337386E-3</v>
      </c>
      <c r="E852" s="1">
        <v>6.5897858319604596E-3</v>
      </c>
      <c r="F852" s="1">
        <v>3.1420032186374403E-2</v>
      </c>
    </row>
    <row r="853" spans="1:6" x14ac:dyDescent="0.25">
      <c r="A853" s="2" t="str">
        <f t="shared" si="34"/>
        <v>45660</v>
      </c>
      <c r="B853" s="2" t="str">
        <f>"44882"</f>
        <v>44882</v>
      </c>
      <c r="C853" s="1">
        <v>2.3484022477564298E-3</v>
      </c>
      <c r="D853" s="1">
        <v>0</v>
      </c>
      <c r="E853" s="1">
        <v>0</v>
      </c>
      <c r="F853" s="1">
        <v>2.1457582956548298E-3</v>
      </c>
    </row>
    <row r="854" spans="1:6" x14ac:dyDescent="0.25">
      <c r="A854" s="2" t="str">
        <f t="shared" si="34"/>
        <v>45660</v>
      </c>
      <c r="B854" s="2" t="str">
        <f>"43316"</f>
        <v>43316</v>
      </c>
      <c r="C854" s="1">
        <v>8.7645726746624093E-3</v>
      </c>
      <c r="D854" s="1">
        <v>1.82370820668693E-3</v>
      </c>
      <c r="E854" s="1">
        <v>0</v>
      </c>
      <c r="F854" s="1">
        <v>8.1232278335504598E-3</v>
      </c>
    </row>
    <row r="855" spans="1:6" x14ac:dyDescent="0.25">
      <c r="A855" s="2" t="str">
        <f t="shared" si="34"/>
        <v>45660</v>
      </c>
      <c r="B855" s="2" t="str">
        <f>"43457"</f>
        <v>43457</v>
      </c>
      <c r="C855" s="1">
        <v>7.96779334060219E-4</v>
      </c>
      <c r="D855" s="1">
        <v>0</v>
      </c>
      <c r="E855" s="1">
        <v>0</v>
      </c>
      <c r="F855" s="1">
        <v>7.2802513602574902E-4</v>
      </c>
    </row>
    <row r="856" spans="1:6" x14ac:dyDescent="0.25">
      <c r="A856" s="2" t="str">
        <f t="shared" si="34"/>
        <v>45660</v>
      </c>
      <c r="B856" s="2" t="str">
        <f>"44802"</f>
        <v>44802</v>
      </c>
      <c r="C856" s="1">
        <v>9.22586597332886E-3</v>
      </c>
      <c r="D856" s="1">
        <v>5.47112462006079E-3</v>
      </c>
      <c r="E856" s="1">
        <v>4.9423393739703404E-3</v>
      </c>
      <c r="F856" s="1">
        <v>8.8895700819986209E-3</v>
      </c>
    </row>
    <row r="857" spans="1:6" x14ac:dyDescent="0.25">
      <c r="A857" s="2" t="str">
        <f t="shared" si="34"/>
        <v>45660</v>
      </c>
      <c r="B857" s="2" t="str">
        <f>"44811"</f>
        <v>44811</v>
      </c>
      <c r="C857" s="1">
        <v>2.0464648159020299E-2</v>
      </c>
      <c r="D857" s="1">
        <v>8.5106382978723406E-3</v>
      </c>
      <c r="E857" s="1">
        <v>3.2948929159802298E-3</v>
      </c>
      <c r="F857" s="1">
        <v>1.9311824660893501E-2</v>
      </c>
    </row>
    <row r="858" spans="1:6" x14ac:dyDescent="0.25">
      <c r="A858" s="2" t="str">
        <f t="shared" si="34"/>
        <v>45660</v>
      </c>
      <c r="B858" s="2" t="str">
        <f>"44815"</f>
        <v>44815</v>
      </c>
      <c r="C858" s="1">
        <v>4.1935754424221998E-5</v>
      </c>
      <c r="D858" s="1">
        <v>0</v>
      </c>
      <c r="E858" s="1">
        <v>1.6474464579901099E-3</v>
      </c>
      <c r="F858" s="1">
        <v>7.6634224844815603E-5</v>
      </c>
    </row>
    <row r="859" spans="1:6" x14ac:dyDescent="0.25">
      <c r="A859" s="2" t="str">
        <f t="shared" si="34"/>
        <v>45660</v>
      </c>
      <c r="B859" s="2" t="str">
        <f>"44818"</f>
        <v>44818</v>
      </c>
      <c r="C859" s="1">
        <v>2.7090497358047399E-2</v>
      </c>
      <c r="D859" s="1">
        <v>6.6869300911854097E-3</v>
      </c>
      <c r="E859" s="1">
        <v>8.2372322899505693E-3</v>
      </c>
      <c r="F859" s="1">
        <v>2.5365928423633902E-2</v>
      </c>
    </row>
    <row r="860" spans="1:6" x14ac:dyDescent="0.25">
      <c r="A860" s="2" t="str">
        <f t="shared" si="34"/>
        <v>45660</v>
      </c>
      <c r="B860" s="2" t="str">
        <f>"44809"</f>
        <v>44809</v>
      </c>
      <c r="C860" s="1">
        <v>8.3871508848444104E-5</v>
      </c>
      <c r="D860" s="1">
        <v>0</v>
      </c>
      <c r="E860" s="1">
        <v>1.6474464579901099E-3</v>
      </c>
      <c r="F860" s="1">
        <v>1.14951337267223E-4</v>
      </c>
    </row>
    <row r="861" spans="1:6" x14ac:dyDescent="0.25">
      <c r="A861" s="2" t="str">
        <f t="shared" si="34"/>
        <v>45660</v>
      </c>
      <c r="B861" s="2" t="str">
        <f>"44807"</f>
        <v>44807</v>
      </c>
      <c r="C861" s="1">
        <v>3.8035729262769401E-2</v>
      </c>
      <c r="D861" s="1">
        <v>7.9027355623100294E-3</v>
      </c>
      <c r="E861" s="1">
        <v>3.4596375617792399E-2</v>
      </c>
      <c r="F861" s="1">
        <v>3.60564027894857E-2</v>
      </c>
    </row>
    <row r="862" spans="1:6" x14ac:dyDescent="0.25">
      <c r="A862" s="2" t="str">
        <f t="shared" si="34"/>
        <v>45660</v>
      </c>
      <c r="B862" s="2" t="str">
        <f>"44883"</f>
        <v>44883</v>
      </c>
      <c r="C862" s="1">
        <v>0.53908412312337395</v>
      </c>
      <c r="D862" s="1">
        <v>0.67659574468085104</v>
      </c>
      <c r="E862" s="1">
        <v>0.67215815485996699</v>
      </c>
      <c r="F862" s="1">
        <v>0.55084680818453502</v>
      </c>
    </row>
    <row r="863" spans="1:6" x14ac:dyDescent="0.25">
      <c r="A863" s="2" t="str">
        <f t="shared" si="34"/>
        <v>45660</v>
      </c>
      <c r="B863" s="2" t="str">
        <f>"44853"</f>
        <v>44853</v>
      </c>
      <c r="C863" s="1">
        <v>2.3106600687746299E-2</v>
      </c>
      <c r="D863" s="1">
        <v>6.0790273556231003E-3</v>
      </c>
      <c r="E863" s="1">
        <v>4.9423393739703404E-3</v>
      </c>
      <c r="F863" s="1">
        <v>2.1610851406237998E-2</v>
      </c>
    </row>
    <row r="864" spans="1:6" x14ac:dyDescent="0.25">
      <c r="A864" s="2" t="str">
        <f t="shared" si="34"/>
        <v>45660</v>
      </c>
      <c r="B864" s="2" t="str">
        <f>"44830"</f>
        <v>44830</v>
      </c>
      <c r="C864" s="1">
        <v>0.245575777908244</v>
      </c>
      <c r="D864" s="1">
        <v>0.26322188449848</v>
      </c>
      <c r="E864" s="1">
        <v>0.24382207578253701</v>
      </c>
      <c r="F864" s="1">
        <v>0.246647252663039</v>
      </c>
    </row>
    <row r="865" spans="1:6" x14ac:dyDescent="0.25">
      <c r="A865" s="2" t="str">
        <f t="shared" si="34"/>
        <v>45660</v>
      </c>
      <c r="B865" s="2" t="str">
        <f>"44861"</f>
        <v>44861</v>
      </c>
      <c r="C865" s="1">
        <v>3.7742178981799802E-4</v>
      </c>
      <c r="D865" s="1">
        <v>0</v>
      </c>
      <c r="E865" s="1">
        <v>1.6474464579901099E-3</v>
      </c>
      <c r="F865" s="1">
        <v>3.8317112422407799E-4</v>
      </c>
    </row>
    <row r="866" spans="1:6" x14ac:dyDescent="0.25">
      <c r="A866" s="2" t="str">
        <f t="shared" si="34"/>
        <v>45660</v>
      </c>
      <c r="B866" s="2" t="str">
        <f>"44844"</f>
        <v>44844</v>
      </c>
      <c r="C866" s="1">
        <v>5.6613268472699802E-3</v>
      </c>
      <c r="D866" s="1">
        <v>1.82370820668693E-3</v>
      </c>
      <c r="E866" s="1">
        <v>1.6474464579901099E-3</v>
      </c>
      <c r="F866" s="1">
        <v>5.3260786267146903E-3</v>
      </c>
    </row>
    <row r="867" spans="1:6" x14ac:dyDescent="0.25">
      <c r="A867" s="2" t="str">
        <f t="shared" si="34"/>
        <v>45660</v>
      </c>
      <c r="B867" s="2" t="str">
        <f>"44836"</f>
        <v>44836</v>
      </c>
      <c r="C867" s="1">
        <v>2.7593726411138102E-2</v>
      </c>
      <c r="D867" s="1">
        <v>1.09422492401215E-2</v>
      </c>
      <c r="E867" s="1">
        <v>1.4827018121910999E-2</v>
      </c>
      <c r="F867" s="1">
        <v>2.62472220093493E-2</v>
      </c>
    </row>
    <row r="868" spans="1:6" x14ac:dyDescent="0.25">
      <c r="A868" s="2" t="str">
        <f t="shared" si="34"/>
        <v>45660</v>
      </c>
      <c r="B868" s="2" t="str">
        <f>"44841"</f>
        <v>44841</v>
      </c>
      <c r="C868" s="1">
        <v>1.0567810114903899E-2</v>
      </c>
      <c r="D868" s="1">
        <v>4.8632218844984797E-3</v>
      </c>
      <c r="E868" s="1">
        <v>0</v>
      </c>
      <c r="F868" s="1">
        <v>9.9624492298260401E-3</v>
      </c>
    </row>
    <row r="869" spans="1:6" x14ac:dyDescent="0.25">
      <c r="A869" s="2" t="str">
        <f t="shared" si="34"/>
        <v>45660</v>
      </c>
      <c r="B869" s="2" t="str">
        <f>"44845"</f>
        <v>44845</v>
      </c>
      <c r="C869" s="1">
        <v>0</v>
      </c>
      <c r="D869" s="1">
        <v>6.0790273556230996E-4</v>
      </c>
      <c r="E869" s="1">
        <v>0</v>
      </c>
      <c r="F869" s="1">
        <v>3.8317112422407801E-5</v>
      </c>
    </row>
    <row r="870" spans="1:6" x14ac:dyDescent="0.25">
      <c r="A870" s="2" t="str">
        <f t="shared" si="34"/>
        <v>45660</v>
      </c>
      <c r="B870" s="2" t="str">
        <f>"43410"</f>
        <v>43410</v>
      </c>
      <c r="C870" s="1">
        <v>6.2064916547848598E-3</v>
      </c>
      <c r="D870" s="1">
        <v>1.2158054711246199E-3</v>
      </c>
      <c r="E870" s="1">
        <v>0</v>
      </c>
      <c r="F870" s="1">
        <v>5.7475668633611698E-3</v>
      </c>
    </row>
    <row r="871" spans="1:6" x14ac:dyDescent="0.25">
      <c r="A871" s="2" t="str">
        <f t="shared" ref="A871:A885" si="35">"32020"</f>
        <v>32020</v>
      </c>
      <c r="B871" s="2" t="str">
        <f>"43326"</f>
        <v>43326</v>
      </c>
      <c r="C871" s="1">
        <v>3.9159843360626499E-4</v>
      </c>
      <c r="D871" s="1">
        <v>4.9529470034670605E-4</v>
      </c>
      <c r="E871" s="1">
        <v>0</v>
      </c>
      <c r="F871" s="1">
        <v>3.8858845244648798E-4</v>
      </c>
    </row>
    <row r="872" spans="1:6" x14ac:dyDescent="0.25">
      <c r="A872" s="2" t="str">
        <f t="shared" si="35"/>
        <v>32020</v>
      </c>
      <c r="B872" s="2" t="str">
        <f>"43332"</f>
        <v>43332</v>
      </c>
      <c r="C872" s="1">
        <v>3.02242791028835E-2</v>
      </c>
      <c r="D872" s="1">
        <v>6.4388311045071797E-3</v>
      </c>
      <c r="E872" s="1">
        <v>2.5906735751295299E-3</v>
      </c>
      <c r="F872" s="1">
        <v>2.7978368576147099E-2</v>
      </c>
    </row>
    <row r="873" spans="1:6" x14ac:dyDescent="0.25">
      <c r="A873" s="2" t="str">
        <f t="shared" si="35"/>
        <v>32020</v>
      </c>
      <c r="B873" s="2" t="str">
        <f>"45843"</f>
        <v>45843</v>
      </c>
      <c r="C873" s="1">
        <v>7.1199715201139096E-5</v>
      </c>
      <c r="D873" s="1">
        <v>0</v>
      </c>
      <c r="E873" s="1">
        <v>0</v>
      </c>
      <c r="F873" s="1">
        <v>6.4764742074414604E-5</v>
      </c>
    </row>
    <row r="874" spans="1:6" x14ac:dyDescent="0.25">
      <c r="A874" s="2" t="str">
        <f t="shared" si="35"/>
        <v>32020</v>
      </c>
      <c r="B874" s="2" t="str">
        <f>"44849"</f>
        <v>44849</v>
      </c>
      <c r="C874" s="1">
        <v>3.9159843360626499E-4</v>
      </c>
      <c r="D874" s="1">
        <v>0</v>
      </c>
      <c r="E874" s="1">
        <v>0</v>
      </c>
      <c r="F874" s="1">
        <v>3.5620608140928E-4</v>
      </c>
    </row>
    <row r="875" spans="1:6" x14ac:dyDescent="0.25">
      <c r="A875" s="2" t="str">
        <f t="shared" si="35"/>
        <v>32020</v>
      </c>
      <c r="B875" s="2" t="str">
        <f>"43344"</f>
        <v>43344</v>
      </c>
      <c r="C875" s="1">
        <v>7.1199715201139102E-4</v>
      </c>
      <c r="D875" s="1">
        <v>0</v>
      </c>
      <c r="E875" s="1">
        <v>0</v>
      </c>
      <c r="F875" s="1">
        <v>6.4764742074414601E-4</v>
      </c>
    </row>
    <row r="876" spans="1:6" x14ac:dyDescent="0.25">
      <c r="A876" s="2" t="str">
        <f t="shared" si="35"/>
        <v>32020</v>
      </c>
      <c r="B876" s="2" t="str">
        <f>"43341"</f>
        <v>43341</v>
      </c>
      <c r="C876" s="1">
        <v>1.0857956568173699E-2</v>
      </c>
      <c r="D876" s="1">
        <v>2.9717682020802298E-3</v>
      </c>
      <c r="E876" s="1">
        <v>0</v>
      </c>
      <c r="F876" s="1">
        <v>1.0070917392571399E-2</v>
      </c>
    </row>
    <row r="877" spans="1:6" x14ac:dyDescent="0.25">
      <c r="A877" s="2" t="str">
        <f t="shared" si="35"/>
        <v>32020</v>
      </c>
      <c r="B877" s="2" t="str">
        <f>"43342"</f>
        <v>43342</v>
      </c>
      <c r="C877" s="1">
        <v>4.8700605197579197E-2</v>
      </c>
      <c r="D877" s="1">
        <v>8.4200099058939996E-3</v>
      </c>
      <c r="E877" s="1">
        <v>1.03626943005181E-2</v>
      </c>
      <c r="F877" s="1">
        <v>4.5108642854829802E-2</v>
      </c>
    </row>
    <row r="878" spans="1:6" x14ac:dyDescent="0.25">
      <c r="A878" s="2" t="str">
        <f t="shared" si="35"/>
        <v>32020</v>
      </c>
      <c r="B878" s="2" t="str">
        <f>"43302"</f>
        <v>43302</v>
      </c>
      <c r="C878" s="1">
        <v>0.83381986472054104</v>
      </c>
      <c r="D878" s="1">
        <v>0.95690936106983604</v>
      </c>
      <c r="E878" s="1">
        <v>0.98186528497409298</v>
      </c>
      <c r="F878" s="1">
        <v>0.84556847252355805</v>
      </c>
    </row>
    <row r="879" spans="1:6" x14ac:dyDescent="0.25">
      <c r="A879" s="2" t="str">
        <f t="shared" si="35"/>
        <v>32020</v>
      </c>
      <c r="B879" s="2" t="str">
        <f>"43356"</f>
        <v>43356</v>
      </c>
      <c r="C879" s="1">
        <v>1.1142755428978199E-2</v>
      </c>
      <c r="D879" s="1">
        <v>6.4388311045071797E-3</v>
      </c>
      <c r="E879" s="1">
        <v>0</v>
      </c>
      <c r="F879" s="1">
        <v>1.0556652958129501E-2</v>
      </c>
    </row>
    <row r="880" spans="1:6" x14ac:dyDescent="0.25">
      <c r="A880" s="2" t="str">
        <f t="shared" si="35"/>
        <v>32020</v>
      </c>
      <c r="B880" s="2" t="str">
        <f>"43322"</f>
        <v>43322</v>
      </c>
      <c r="C880" s="1">
        <v>7.1199715201139096E-5</v>
      </c>
      <c r="D880" s="1">
        <v>4.9529470034670605E-4</v>
      </c>
      <c r="E880" s="1">
        <v>0</v>
      </c>
      <c r="F880" s="1">
        <v>9.7147113111621994E-5</v>
      </c>
    </row>
    <row r="881" spans="1:6" x14ac:dyDescent="0.25">
      <c r="A881" s="2" t="str">
        <f t="shared" si="35"/>
        <v>32020</v>
      </c>
      <c r="B881" s="2" t="str">
        <f>"43337"</f>
        <v>43337</v>
      </c>
      <c r="C881" s="1">
        <v>1.1000355998576E-2</v>
      </c>
      <c r="D881" s="1">
        <v>2.9717682020802298E-3</v>
      </c>
      <c r="E881" s="1">
        <v>0</v>
      </c>
      <c r="F881" s="1">
        <v>1.0200446876720301E-2</v>
      </c>
    </row>
    <row r="882" spans="1:6" x14ac:dyDescent="0.25">
      <c r="A882" s="2" t="str">
        <f t="shared" si="35"/>
        <v>32020</v>
      </c>
      <c r="B882" s="2" t="str">
        <f>"44833"</f>
        <v>44833</v>
      </c>
      <c r="C882" s="1">
        <v>2.9547881808472702E-3</v>
      </c>
      <c r="D882" s="1">
        <v>9.905894006934121E-4</v>
      </c>
      <c r="E882" s="1">
        <v>0</v>
      </c>
      <c r="F882" s="1">
        <v>2.75250153816262E-3</v>
      </c>
    </row>
    <row r="883" spans="1:6" x14ac:dyDescent="0.25">
      <c r="A883" s="2" t="str">
        <f t="shared" si="35"/>
        <v>32020</v>
      </c>
      <c r="B883" s="2" t="str">
        <f>"43323"</f>
        <v>43323</v>
      </c>
      <c r="C883" s="1">
        <v>3.5599857600569502E-4</v>
      </c>
      <c r="D883" s="1">
        <v>0</v>
      </c>
      <c r="E883" s="1">
        <v>0</v>
      </c>
      <c r="F883" s="1">
        <v>3.2382371037207301E-4</v>
      </c>
    </row>
    <row r="884" spans="1:6" x14ac:dyDescent="0.25">
      <c r="A884" s="2" t="str">
        <f t="shared" si="35"/>
        <v>32020</v>
      </c>
      <c r="B884" s="2" t="str">
        <f>"43315"</f>
        <v>43315</v>
      </c>
      <c r="C884" s="1">
        <v>5.0907796368814496E-3</v>
      </c>
      <c r="D884" s="1">
        <v>0</v>
      </c>
      <c r="E884" s="1">
        <v>0</v>
      </c>
      <c r="F884" s="1">
        <v>4.6306790583206499E-3</v>
      </c>
    </row>
    <row r="885" spans="1:6" x14ac:dyDescent="0.25">
      <c r="A885" s="2" t="str">
        <f t="shared" si="35"/>
        <v>32020</v>
      </c>
      <c r="B885" s="2" t="str">
        <f>"43314"</f>
        <v>43314</v>
      </c>
      <c r="C885" s="1">
        <v>4.4215023139907397E-2</v>
      </c>
      <c r="D885" s="1">
        <v>1.3868251609707701E-2</v>
      </c>
      <c r="E885" s="1">
        <v>5.1813471502590597E-3</v>
      </c>
      <c r="F885" s="1">
        <v>4.1255140701402099E-2</v>
      </c>
    </row>
    <row r="886" spans="1:6" x14ac:dyDescent="0.25">
      <c r="A886" s="2" t="str">
        <f t="shared" ref="A886:A908" si="36">"30620"</f>
        <v>30620</v>
      </c>
      <c r="B886" s="2" t="str">
        <f>"45895"</f>
        <v>45895</v>
      </c>
      <c r="C886" s="1">
        <v>2.29587577224912E-4</v>
      </c>
      <c r="D886" s="1">
        <v>0</v>
      </c>
      <c r="E886" s="1">
        <v>0</v>
      </c>
      <c r="F886" s="1">
        <v>2.0451038354992799E-4</v>
      </c>
    </row>
    <row r="887" spans="1:6" x14ac:dyDescent="0.25">
      <c r="A887" s="2" t="str">
        <f t="shared" si="36"/>
        <v>30620</v>
      </c>
      <c r="B887" s="2" t="str">
        <f>"45812"</f>
        <v>45812</v>
      </c>
      <c r="C887" s="1">
        <v>3.54817164802137E-4</v>
      </c>
      <c r="D887" s="1">
        <v>0</v>
      </c>
      <c r="E887" s="1">
        <v>0</v>
      </c>
      <c r="F887" s="1">
        <v>3.1606150184988898E-4</v>
      </c>
    </row>
    <row r="888" spans="1:6" x14ac:dyDescent="0.25">
      <c r="A888" s="2" t="str">
        <f t="shared" si="36"/>
        <v>30620</v>
      </c>
      <c r="B888" s="2" t="str">
        <f>"45820"</f>
        <v>45820</v>
      </c>
      <c r="C888" s="1">
        <v>2.5880781432626402E-3</v>
      </c>
      <c r="D888" s="1">
        <v>0</v>
      </c>
      <c r="E888" s="1">
        <v>6.9541029207232199E-4</v>
      </c>
      <c r="F888" s="1">
        <v>2.3239816312491798E-3</v>
      </c>
    </row>
    <row r="889" spans="1:6" x14ac:dyDescent="0.25">
      <c r="A889" s="2" t="str">
        <f t="shared" si="36"/>
        <v>30620</v>
      </c>
      <c r="B889" s="2" t="str">
        <f>"45809"</f>
        <v>45809</v>
      </c>
      <c r="C889" s="1">
        <v>1.7114710302220701E-3</v>
      </c>
      <c r="D889" s="1">
        <v>2.02839756592292E-3</v>
      </c>
      <c r="E889" s="1">
        <v>6.9541029207232199E-4</v>
      </c>
      <c r="F889" s="1">
        <v>1.7104504805994E-3</v>
      </c>
    </row>
    <row r="890" spans="1:6" x14ac:dyDescent="0.25">
      <c r="A890" s="2" t="str">
        <f t="shared" si="36"/>
        <v>30620</v>
      </c>
      <c r="B890" s="2" t="str">
        <f>"45850"</f>
        <v>45850</v>
      </c>
      <c r="C890" s="1">
        <v>2.7842711638003E-2</v>
      </c>
      <c r="D890" s="1">
        <v>5.63443768311922E-3</v>
      </c>
      <c r="E890" s="1">
        <v>6.2586926286509002E-3</v>
      </c>
      <c r="F890" s="1">
        <v>2.5433654972391001E-2</v>
      </c>
    </row>
    <row r="891" spans="1:6" x14ac:dyDescent="0.25">
      <c r="A891" s="2" t="str">
        <f t="shared" si="36"/>
        <v>30620</v>
      </c>
      <c r="B891" s="2" t="str">
        <f>"45804"</f>
        <v>45804</v>
      </c>
      <c r="C891" s="1">
        <v>0.16761980297211501</v>
      </c>
      <c r="D891" s="1">
        <v>0.17601983322064399</v>
      </c>
      <c r="E891" s="1">
        <v>0.20862308762169601</v>
      </c>
      <c r="F891" s="1">
        <v>0.16940896499154001</v>
      </c>
    </row>
    <row r="892" spans="1:6" x14ac:dyDescent="0.25">
      <c r="A892" s="2" t="str">
        <f t="shared" si="36"/>
        <v>30620</v>
      </c>
      <c r="B892" s="2" t="str">
        <f>"45805"</f>
        <v>45805</v>
      </c>
      <c r="C892" s="1">
        <v>0.22833528134914</v>
      </c>
      <c r="D892" s="1">
        <v>0.201938246562993</v>
      </c>
      <c r="E892" s="1">
        <v>0.255215577190542</v>
      </c>
      <c r="F892" s="1">
        <v>0.22687638276906999</v>
      </c>
    </row>
    <row r="893" spans="1:6" x14ac:dyDescent="0.25">
      <c r="A893" s="2" t="str">
        <f t="shared" si="36"/>
        <v>30620</v>
      </c>
      <c r="B893" s="2" t="str">
        <f>"45877"</f>
        <v>45877</v>
      </c>
      <c r="C893" s="1">
        <v>7.5137752546334895E-4</v>
      </c>
      <c r="D893" s="1">
        <v>0</v>
      </c>
      <c r="E893" s="1">
        <v>0</v>
      </c>
      <c r="F893" s="1">
        <v>6.6930670979976502E-4</v>
      </c>
    </row>
    <row r="894" spans="1:6" x14ac:dyDescent="0.25">
      <c r="A894" s="2" t="str">
        <f t="shared" si="36"/>
        <v>30620</v>
      </c>
      <c r="B894" s="2" t="str">
        <f>"45854"</f>
        <v>45854</v>
      </c>
      <c r="C894" s="1">
        <v>3.1307396894306199E-4</v>
      </c>
      <c r="D894" s="1">
        <v>2.2537750732476799E-4</v>
      </c>
      <c r="E894" s="1">
        <v>0</v>
      </c>
      <c r="F894" s="1">
        <v>2.9746964879989501E-4</v>
      </c>
    </row>
    <row r="895" spans="1:6" x14ac:dyDescent="0.25">
      <c r="A895" s="2" t="str">
        <f t="shared" si="36"/>
        <v>30620</v>
      </c>
      <c r="B895" s="2" t="str">
        <f>"45833"</f>
        <v>45833</v>
      </c>
      <c r="C895" s="1">
        <v>5.5080146936049401E-2</v>
      </c>
      <c r="D895" s="1">
        <v>6.2204192021636198E-2</v>
      </c>
      <c r="E895" s="1">
        <v>6.3282336578581302E-2</v>
      </c>
      <c r="F895" s="1">
        <v>5.5887110268280402E-2</v>
      </c>
    </row>
    <row r="896" spans="1:6" x14ac:dyDescent="0.25">
      <c r="A896" s="2" t="str">
        <f t="shared" si="36"/>
        <v>30620</v>
      </c>
      <c r="B896" s="2" t="str">
        <f>"45808"</f>
        <v>45808</v>
      </c>
      <c r="C896" s="1">
        <v>3.2977124728669201E-3</v>
      </c>
      <c r="D896" s="1">
        <v>5.18368266846968E-3</v>
      </c>
      <c r="E896" s="1">
        <v>1.3908205841446401E-3</v>
      </c>
      <c r="F896" s="1">
        <v>3.4023091081487999E-3</v>
      </c>
    </row>
    <row r="897" spans="1:6" x14ac:dyDescent="0.25">
      <c r="A897" s="2" t="str">
        <f t="shared" si="36"/>
        <v>30620</v>
      </c>
      <c r="B897" s="2" t="str">
        <f>"43310"</f>
        <v>43310</v>
      </c>
      <c r="C897" s="1">
        <v>6.2614793788612404E-5</v>
      </c>
      <c r="D897" s="1">
        <v>0</v>
      </c>
      <c r="E897" s="1">
        <v>0</v>
      </c>
      <c r="F897" s="1">
        <v>5.57755591499804E-5</v>
      </c>
    </row>
    <row r="898" spans="1:6" x14ac:dyDescent="0.25">
      <c r="A898" s="2" t="str">
        <f t="shared" si="36"/>
        <v>30620</v>
      </c>
      <c r="B898" s="2" t="str">
        <f>"45896"</f>
        <v>45896</v>
      </c>
      <c r="C898" s="1">
        <v>1.41926865920854E-3</v>
      </c>
      <c r="D898" s="1">
        <v>4.5075501464953701E-4</v>
      </c>
      <c r="E898" s="1">
        <v>0</v>
      </c>
      <c r="F898" s="1">
        <v>1.30142971349954E-3</v>
      </c>
    </row>
    <row r="899" spans="1:6" x14ac:dyDescent="0.25">
      <c r="A899" s="2" t="str">
        <f t="shared" si="36"/>
        <v>30620</v>
      </c>
      <c r="B899" s="2" t="str">
        <f>"45801"</f>
        <v>45801</v>
      </c>
      <c r="C899" s="1">
        <v>0.20815244615127701</v>
      </c>
      <c r="D899" s="1">
        <v>0.28803245436105401</v>
      </c>
      <c r="E899" s="1">
        <v>0.316411682892906</v>
      </c>
      <c r="F899" s="1">
        <v>0.217636231803223</v>
      </c>
    </row>
    <row r="900" spans="1:6" x14ac:dyDescent="0.25">
      <c r="A900" s="2" t="str">
        <f t="shared" si="36"/>
        <v>30620</v>
      </c>
      <c r="B900" s="2" t="str">
        <f>"45810"</f>
        <v>45810</v>
      </c>
      <c r="C900" s="1">
        <v>2.0454165970946701E-3</v>
      </c>
      <c r="D900" s="1">
        <v>6.7613252197430598E-4</v>
      </c>
      <c r="E900" s="1">
        <v>0</v>
      </c>
      <c r="F900" s="1">
        <v>1.8777771580493401E-3</v>
      </c>
    </row>
    <row r="901" spans="1:6" x14ac:dyDescent="0.25">
      <c r="A901" s="2" t="str">
        <f t="shared" si="36"/>
        <v>30620</v>
      </c>
      <c r="B901" s="2" t="str">
        <f>"45817"</f>
        <v>45817</v>
      </c>
      <c r="C901" s="1">
        <v>4.1471865085990899E-2</v>
      </c>
      <c r="D901" s="1">
        <v>3.8539553752535399E-2</v>
      </c>
      <c r="E901" s="1">
        <v>4.3810848400556303E-2</v>
      </c>
      <c r="F901" s="1">
        <v>4.1292505624035497E-2</v>
      </c>
    </row>
    <row r="902" spans="1:6" x14ac:dyDescent="0.25">
      <c r="A902" s="2" t="str">
        <f t="shared" si="36"/>
        <v>30620</v>
      </c>
      <c r="B902" s="2" t="str">
        <f>"45806"</f>
        <v>45806</v>
      </c>
      <c r="C902" s="1">
        <v>7.8644180998497196E-2</v>
      </c>
      <c r="D902" s="1">
        <v>3.5609646157313497E-2</v>
      </c>
      <c r="E902" s="1">
        <v>3.3379694019471398E-2</v>
      </c>
      <c r="F902" s="1">
        <v>7.3884024020674094E-2</v>
      </c>
    </row>
    <row r="903" spans="1:6" x14ac:dyDescent="0.25">
      <c r="A903" s="2" t="str">
        <f t="shared" si="36"/>
        <v>30620</v>
      </c>
      <c r="B903" s="2" t="str">
        <f>"45894"</f>
        <v>45894</v>
      </c>
      <c r="C903" s="1">
        <v>6.2614793788612404E-5</v>
      </c>
      <c r="D903" s="1">
        <v>0</v>
      </c>
      <c r="E903" s="1">
        <v>0</v>
      </c>
      <c r="F903" s="1">
        <v>5.57755591499804E-5</v>
      </c>
    </row>
    <row r="904" spans="1:6" x14ac:dyDescent="0.25">
      <c r="A904" s="2" t="str">
        <f t="shared" si="36"/>
        <v>30620</v>
      </c>
      <c r="B904" s="2" t="str">
        <f>"45844"</f>
        <v>45844</v>
      </c>
      <c r="C904" s="1">
        <v>9.8096510268826098E-4</v>
      </c>
      <c r="D904" s="1">
        <v>0</v>
      </c>
      <c r="E904" s="1">
        <v>0</v>
      </c>
      <c r="F904" s="1">
        <v>8.7381709334969401E-4</v>
      </c>
    </row>
    <row r="905" spans="1:6" x14ac:dyDescent="0.25">
      <c r="A905" s="2" t="str">
        <f t="shared" si="36"/>
        <v>30620</v>
      </c>
      <c r="B905" s="2" t="str">
        <f>"45802"</f>
        <v>45802</v>
      </c>
      <c r="C905" s="1">
        <v>2.45867423609951E-2</v>
      </c>
      <c r="D905" s="1">
        <v>9.0151002929907506E-2</v>
      </c>
      <c r="E905" s="1">
        <v>1.3908205841446401E-3</v>
      </c>
      <c r="F905" s="1">
        <v>2.93751278189897E-2</v>
      </c>
    </row>
    <row r="906" spans="1:6" x14ac:dyDescent="0.25">
      <c r="A906" s="2" t="str">
        <f t="shared" si="36"/>
        <v>30620</v>
      </c>
      <c r="B906" s="2" t="str">
        <f>"45830"</f>
        <v>45830</v>
      </c>
      <c r="C906" s="1">
        <v>1.07488729337118E-2</v>
      </c>
      <c r="D906" s="1">
        <v>1.80302005859815E-3</v>
      </c>
      <c r="E906" s="1">
        <v>1.3908205841446401E-3</v>
      </c>
      <c r="F906" s="1">
        <v>9.7607228512465796E-3</v>
      </c>
    </row>
    <row r="907" spans="1:6" x14ac:dyDescent="0.25">
      <c r="A907" s="2" t="str">
        <f t="shared" si="36"/>
        <v>30620</v>
      </c>
      <c r="B907" s="2" t="str">
        <f>"45887"</f>
        <v>45887</v>
      </c>
      <c r="C907" s="1">
        <v>3.3248455501753198E-2</v>
      </c>
      <c r="D907" s="1">
        <v>2.5016903313049298E-2</v>
      </c>
      <c r="E907" s="1">
        <v>1.3212795549374099E-2</v>
      </c>
      <c r="F907" s="1">
        <v>3.2033762805138699E-2</v>
      </c>
    </row>
    <row r="908" spans="1:6" x14ac:dyDescent="0.25">
      <c r="A908" s="2" t="str">
        <f t="shared" si="36"/>
        <v>30620</v>
      </c>
      <c r="B908" s="2" t="str">
        <f>"45807"</f>
        <v>45807</v>
      </c>
      <c r="C908" s="1">
        <v>0.110452496243112</v>
      </c>
      <c r="D908" s="1">
        <v>6.6486364660806804E-2</v>
      </c>
      <c r="E908" s="1">
        <v>5.4242002781641097E-2</v>
      </c>
      <c r="F908" s="1">
        <v>0.105322847528213</v>
      </c>
    </row>
    <row r="909" spans="1:6" x14ac:dyDescent="0.25">
      <c r="A909" s="2" t="str">
        <f t="shared" ref="A909:A939" si="37">"38580"</f>
        <v>38580</v>
      </c>
      <c r="B909" s="2" t="str">
        <f>"25541"</f>
        <v>25541</v>
      </c>
      <c r="C909" s="1">
        <v>1.33885755936624E-2</v>
      </c>
      <c r="D909" s="1">
        <v>2.6755852842809298E-3</v>
      </c>
      <c r="E909" s="1">
        <v>0</v>
      </c>
      <c r="F909" s="1">
        <v>1.2645984094003001E-2</v>
      </c>
    </row>
    <row r="910" spans="1:6" x14ac:dyDescent="0.25">
      <c r="A910" s="2" t="str">
        <f t="shared" si="37"/>
        <v>38580</v>
      </c>
      <c r="B910" s="2" t="str">
        <f>"25241"</f>
        <v>25241</v>
      </c>
      <c r="C910" s="1">
        <v>3.5677293129243799E-3</v>
      </c>
      <c r="D910" s="1">
        <v>6.6889632107023397E-4</v>
      </c>
      <c r="E910" s="1">
        <v>0</v>
      </c>
      <c r="F910" s="1">
        <v>3.3674858493945598E-3</v>
      </c>
    </row>
    <row r="911" spans="1:6" x14ac:dyDescent="0.25">
      <c r="A911" s="2" t="str">
        <f t="shared" si="37"/>
        <v>38580</v>
      </c>
      <c r="B911" s="2" t="str">
        <f>"25106"</f>
        <v>25106</v>
      </c>
      <c r="C911" s="1">
        <v>6.17639160624544E-3</v>
      </c>
      <c r="D911" s="1">
        <v>4.6822742474916298E-3</v>
      </c>
      <c r="E911" s="1">
        <v>2.8409090909090901E-3</v>
      </c>
      <c r="F911" s="1">
        <v>6.0543096654008697E-3</v>
      </c>
    </row>
    <row r="912" spans="1:6" x14ac:dyDescent="0.25">
      <c r="A912" s="2" t="str">
        <f t="shared" si="37"/>
        <v>38580</v>
      </c>
      <c r="B912" s="2" t="str">
        <f>"25187"</f>
        <v>25187</v>
      </c>
      <c r="C912" s="1">
        <v>1.3235124870525901E-2</v>
      </c>
      <c r="D912" s="1">
        <v>9.36454849498327E-3</v>
      </c>
      <c r="E912" s="1">
        <v>2.8409090909090901E-3</v>
      </c>
      <c r="F912" s="1">
        <v>1.2896754316830201E-2</v>
      </c>
    </row>
    <row r="913" spans="1:6" x14ac:dyDescent="0.25">
      <c r="A913" s="2" t="str">
        <f t="shared" si="37"/>
        <v>38580</v>
      </c>
      <c r="B913" s="2" t="str">
        <f>"45685"</f>
        <v>45685</v>
      </c>
      <c r="C913" s="1">
        <v>1.3848927763072E-2</v>
      </c>
      <c r="D913" s="1">
        <v>1.00334448160535E-2</v>
      </c>
      <c r="E913" s="1">
        <v>1.13636363636363E-2</v>
      </c>
      <c r="F913" s="1">
        <v>1.3613240667765199E-2</v>
      </c>
    </row>
    <row r="914" spans="1:6" x14ac:dyDescent="0.25">
      <c r="A914" s="2" t="str">
        <f t="shared" si="37"/>
        <v>38580</v>
      </c>
      <c r="B914" s="2" t="str">
        <f>"45760"</f>
        <v>45760</v>
      </c>
      <c r="C914" s="1">
        <v>3.4526412705719801E-4</v>
      </c>
      <c r="D914" s="1">
        <v>0</v>
      </c>
      <c r="E914" s="1">
        <v>0</v>
      </c>
      <c r="F914" s="1">
        <v>3.2241885792075602E-4</v>
      </c>
    </row>
    <row r="915" spans="1:6" x14ac:dyDescent="0.25">
      <c r="A915" s="2" t="str">
        <f t="shared" si="37"/>
        <v>38580</v>
      </c>
      <c r="B915" s="2" t="str">
        <f>"25265"</f>
        <v>25265</v>
      </c>
      <c r="C915" s="1">
        <v>1.2659684658763899E-3</v>
      </c>
      <c r="D915" s="1">
        <v>0</v>
      </c>
      <c r="E915" s="1">
        <v>2.8409090909090901E-3</v>
      </c>
      <c r="F915" s="1">
        <v>1.2180267965895199E-3</v>
      </c>
    </row>
    <row r="916" spans="1:6" x14ac:dyDescent="0.25">
      <c r="A916" s="2" t="str">
        <f t="shared" si="37"/>
        <v>38580</v>
      </c>
      <c r="B916" s="2" t="str">
        <f>"25253"</f>
        <v>25253</v>
      </c>
      <c r="C916" s="1">
        <v>3.6444546744926497E-2</v>
      </c>
      <c r="D916" s="1">
        <v>7.35785953177257E-3</v>
      </c>
      <c r="E916" s="1">
        <v>2.8409090909090901E-3</v>
      </c>
      <c r="F916" s="1">
        <v>3.4462993479974197E-2</v>
      </c>
    </row>
    <row r="917" spans="1:6" x14ac:dyDescent="0.25">
      <c r="A917" s="2" t="str">
        <f t="shared" si="37"/>
        <v>38580</v>
      </c>
      <c r="B917" s="2" t="str">
        <f>"45688"</f>
        <v>45688</v>
      </c>
      <c r="C917" s="1">
        <v>4.2198948862546501E-4</v>
      </c>
      <c r="D917" s="1">
        <v>0</v>
      </c>
      <c r="E917" s="1">
        <v>0</v>
      </c>
      <c r="F917" s="1">
        <v>3.9406749301425801E-4</v>
      </c>
    </row>
    <row r="918" spans="1:6" x14ac:dyDescent="0.25">
      <c r="A918" s="2" t="str">
        <f t="shared" si="37"/>
        <v>38580</v>
      </c>
      <c r="B918" s="2" t="str">
        <f>"45656"</f>
        <v>45656</v>
      </c>
      <c r="C918" s="1">
        <v>5.7927647984041099E-3</v>
      </c>
      <c r="D918" s="1">
        <v>0</v>
      </c>
      <c r="E918" s="1">
        <v>0</v>
      </c>
      <c r="F918" s="1">
        <v>5.4094719495593599E-3</v>
      </c>
    </row>
    <row r="919" spans="1:6" x14ac:dyDescent="0.25">
      <c r="A919" s="2" t="str">
        <f t="shared" si="37"/>
        <v>38580</v>
      </c>
      <c r="B919" s="2" t="str">
        <f>"45620"</f>
        <v>45620</v>
      </c>
      <c r="C919" s="1">
        <v>1.6342502014040701E-2</v>
      </c>
      <c r="D919" s="1">
        <v>1.1371237458193901E-2</v>
      </c>
      <c r="E919" s="1">
        <v>0</v>
      </c>
      <c r="F919" s="1">
        <v>1.58701726732105E-2</v>
      </c>
    </row>
    <row r="920" spans="1:6" x14ac:dyDescent="0.25">
      <c r="A920" s="2" t="str">
        <f t="shared" si="37"/>
        <v>38580</v>
      </c>
      <c r="B920" s="2" t="str">
        <f>"45623"</f>
        <v>45623</v>
      </c>
      <c r="C920" s="1">
        <v>5.4244830628764298E-2</v>
      </c>
      <c r="D920" s="1">
        <v>2.0066889632107E-2</v>
      </c>
      <c r="E920" s="1">
        <v>0</v>
      </c>
      <c r="F920" s="1">
        <v>5.1730314537508003E-2</v>
      </c>
    </row>
    <row r="921" spans="1:6" x14ac:dyDescent="0.25">
      <c r="A921" s="2" t="str">
        <f t="shared" si="37"/>
        <v>38580</v>
      </c>
      <c r="B921" s="2" t="str">
        <f>"45614"</f>
        <v>45614</v>
      </c>
      <c r="C921" s="1">
        <v>8.5395327425480394E-2</v>
      </c>
      <c r="D921" s="1">
        <v>3.9464882943143799E-2</v>
      </c>
      <c r="E921" s="1">
        <v>8.5227272727272693E-2</v>
      </c>
      <c r="F921" s="1">
        <v>8.2933295120727904E-2</v>
      </c>
    </row>
    <row r="922" spans="1:6" x14ac:dyDescent="0.25">
      <c r="A922" s="2" t="str">
        <f t="shared" si="37"/>
        <v>38580</v>
      </c>
      <c r="B922" s="2" t="str">
        <f>"25260"</f>
        <v>25260</v>
      </c>
      <c r="C922" s="1">
        <v>1.64575900563931E-2</v>
      </c>
      <c r="D922" s="1">
        <v>1.67224080267558E-2</v>
      </c>
      <c r="E922" s="1">
        <v>1.7045454545454499E-2</v>
      </c>
      <c r="F922" s="1">
        <v>1.6479186071505302E-2</v>
      </c>
    </row>
    <row r="923" spans="1:6" x14ac:dyDescent="0.25">
      <c r="A923" s="2" t="str">
        <f t="shared" si="37"/>
        <v>38580</v>
      </c>
      <c r="B923" s="2" t="str">
        <f>"45686"</f>
        <v>45686</v>
      </c>
      <c r="C923" s="1">
        <v>5.2825411439751398E-2</v>
      </c>
      <c r="D923" s="1">
        <v>1.60535117056856E-2</v>
      </c>
      <c r="E923" s="1">
        <v>5.6818181818181802E-3</v>
      </c>
      <c r="F923" s="1">
        <v>5.02615175180912E-2</v>
      </c>
    </row>
    <row r="924" spans="1:6" x14ac:dyDescent="0.25">
      <c r="A924" s="2" t="str">
        <f t="shared" si="37"/>
        <v>38580</v>
      </c>
      <c r="B924" s="2" t="str">
        <f>"25520"</f>
        <v>25520</v>
      </c>
      <c r="C924" s="1">
        <v>2.0715847623431899E-2</v>
      </c>
      <c r="D924" s="1">
        <v>2.0066889632107E-3</v>
      </c>
      <c r="E924" s="1">
        <v>2.8409090909090901E-3</v>
      </c>
      <c r="F924" s="1">
        <v>1.9488428745432301E-2</v>
      </c>
    </row>
    <row r="925" spans="1:6" x14ac:dyDescent="0.25">
      <c r="A925" s="2" t="str">
        <f t="shared" si="37"/>
        <v>38580</v>
      </c>
      <c r="B925" s="2" t="str">
        <f>"25503"</f>
        <v>25503</v>
      </c>
      <c r="C925" s="1">
        <v>1.6611040779529601E-2</v>
      </c>
      <c r="D925" s="1">
        <v>5.35117056856187E-3</v>
      </c>
      <c r="E925" s="1">
        <v>2.8409090909090901E-3</v>
      </c>
      <c r="F925" s="1">
        <v>1.5834348355663799E-2</v>
      </c>
    </row>
    <row r="926" spans="1:6" x14ac:dyDescent="0.25">
      <c r="A926" s="2" t="str">
        <f t="shared" si="37"/>
        <v>38580</v>
      </c>
      <c r="B926" s="2" t="str">
        <f>"25239"</f>
        <v>25239</v>
      </c>
      <c r="C926" s="1">
        <v>9.9742970038746307E-4</v>
      </c>
      <c r="D926" s="1">
        <v>0</v>
      </c>
      <c r="E926" s="1">
        <v>0</v>
      </c>
      <c r="F926" s="1">
        <v>9.3143225621551901E-4</v>
      </c>
    </row>
    <row r="927" spans="1:6" x14ac:dyDescent="0.25">
      <c r="A927" s="2" t="str">
        <f t="shared" si="37"/>
        <v>38580</v>
      </c>
      <c r="B927" s="2" t="str">
        <f>"25247"</f>
        <v>25247</v>
      </c>
      <c r="C927" s="1">
        <v>3.72118003606091E-3</v>
      </c>
      <c r="D927" s="1">
        <v>6.6889632107023397E-4</v>
      </c>
      <c r="E927" s="1">
        <v>2.8409090909090901E-3</v>
      </c>
      <c r="F927" s="1">
        <v>3.5466074371283199E-3</v>
      </c>
    </row>
    <row r="928" spans="1:6" x14ac:dyDescent="0.25">
      <c r="A928" s="2" t="str">
        <f t="shared" si="37"/>
        <v>38580</v>
      </c>
      <c r="B928" s="2" t="str">
        <f>"25287"</f>
        <v>25287</v>
      </c>
      <c r="C928" s="1">
        <v>1.18924310430812E-2</v>
      </c>
      <c r="D928" s="1">
        <v>6.6889632107023402E-3</v>
      </c>
      <c r="E928" s="1">
        <v>0</v>
      </c>
      <c r="F928" s="1">
        <v>1.14637816149602E-2</v>
      </c>
    </row>
    <row r="929" spans="1:6" x14ac:dyDescent="0.25">
      <c r="A929" s="2" t="str">
        <f t="shared" si="37"/>
        <v>38580</v>
      </c>
      <c r="B929" s="2" t="str">
        <f>"25550"</f>
        <v>25550</v>
      </c>
      <c r="C929" s="1">
        <v>0.16998503855449401</v>
      </c>
      <c r="D929" s="1">
        <v>0.29163879598662201</v>
      </c>
      <c r="E929" s="1">
        <v>0.37784090909090901</v>
      </c>
      <c r="F929" s="1">
        <v>0.179121587733753</v>
      </c>
    </row>
    <row r="930" spans="1:6" x14ac:dyDescent="0.25">
      <c r="A930" s="2" t="str">
        <f t="shared" si="37"/>
        <v>38580</v>
      </c>
      <c r="B930" s="2" t="str">
        <f>"25123"</f>
        <v>25123</v>
      </c>
      <c r="C930" s="1">
        <v>5.3937929182491198E-2</v>
      </c>
      <c r="D930" s="1">
        <v>1.27090301003344E-2</v>
      </c>
      <c r="E930" s="1">
        <v>2.8409090909090901E-3</v>
      </c>
      <c r="F930" s="1">
        <v>5.1085476821666503E-2</v>
      </c>
    </row>
    <row r="931" spans="1:6" x14ac:dyDescent="0.25">
      <c r="A931" s="2" t="str">
        <f t="shared" si="37"/>
        <v>38580</v>
      </c>
      <c r="B931" s="2" t="str">
        <f>"25082"</f>
        <v>25082</v>
      </c>
      <c r="C931" s="1">
        <v>8.2479763685886307E-3</v>
      </c>
      <c r="D931" s="1">
        <v>1.3377926421404599E-3</v>
      </c>
      <c r="E931" s="1">
        <v>0</v>
      </c>
      <c r="F931" s="1">
        <v>7.7738769076449001E-3</v>
      </c>
    </row>
    <row r="932" spans="1:6" x14ac:dyDescent="0.25">
      <c r="A932" s="2" t="str">
        <f t="shared" si="37"/>
        <v>38580</v>
      </c>
      <c r="B932" s="2" t="str">
        <f>"45643"</f>
        <v>45643</v>
      </c>
      <c r="C932" s="1">
        <v>0</v>
      </c>
      <c r="D932" s="1">
        <v>6.6889632107023397E-4</v>
      </c>
      <c r="E932" s="1">
        <v>0</v>
      </c>
      <c r="F932" s="1">
        <v>3.5824317546750703E-5</v>
      </c>
    </row>
    <row r="933" spans="1:6" x14ac:dyDescent="0.25">
      <c r="A933" s="2" t="str">
        <f t="shared" si="37"/>
        <v>38580</v>
      </c>
      <c r="B933" s="2" t="str">
        <f>"45658"</f>
        <v>45658</v>
      </c>
      <c r="C933" s="1">
        <v>4.3810181455480102E-2</v>
      </c>
      <c r="D933" s="1">
        <v>1.20401337792642E-2</v>
      </c>
      <c r="E933" s="1">
        <v>0</v>
      </c>
      <c r="F933" s="1">
        <v>4.1556208354230802E-2</v>
      </c>
    </row>
    <row r="934" spans="1:6" x14ac:dyDescent="0.25">
      <c r="A934" s="2" t="str">
        <f t="shared" si="37"/>
        <v>38580</v>
      </c>
      <c r="B934" s="2" t="str">
        <f>"25515"</f>
        <v>25515</v>
      </c>
      <c r="C934" s="1">
        <v>3.6866536233552002E-2</v>
      </c>
      <c r="D934" s="1">
        <v>2.0066889632107E-2</v>
      </c>
      <c r="E934" s="1">
        <v>5.6818181818181802E-3</v>
      </c>
      <c r="F934" s="1">
        <v>3.5573547323923399E-2</v>
      </c>
    </row>
    <row r="935" spans="1:6" x14ac:dyDescent="0.25">
      <c r="A935" s="2" t="str">
        <f t="shared" si="37"/>
        <v>38580</v>
      </c>
      <c r="B935" s="2" t="str">
        <f>"25502"</f>
        <v>25502</v>
      </c>
      <c r="C935" s="1">
        <v>2.12145624736256E-2</v>
      </c>
      <c r="D935" s="1">
        <v>8.0267558528427999E-3</v>
      </c>
      <c r="E935" s="1">
        <v>0</v>
      </c>
      <c r="F935" s="1">
        <v>2.0240739413914102E-2</v>
      </c>
    </row>
    <row r="936" spans="1:6" x14ac:dyDescent="0.25">
      <c r="A936" s="2" t="str">
        <f t="shared" si="37"/>
        <v>38580</v>
      </c>
      <c r="B936" s="2" t="str">
        <f>"25264"</f>
        <v>25264</v>
      </c>
      <c r="C936" s="1">
        <v>3.7595427168450502E-3</v>
      </c>
      <c r="D936" s="1">
        <v>0</v>
      </c>
      <c r="E936" s="1">
        <v>0</v>
      </c>
      <c r="F936" s="1">
        <v>3.5107831195815699E-3</v>
      </c>
    </row>
    <row r="937" spans="1:6" x14ac:dyDescent="0.25">
      <c r="A937" s="2" t="str">
        <f t="shared" si="37"/>
        <v>38580</v>
      </c>
      <c r="B937" s="2" t="str">
        <f>"45674"</f>
        <v>45674</v>
      </c>
      <c r="C937" s="1">
        <v>0</v>
      </c>
      <c r="D937" s="1">
        <v>2.0066889632107E-3</v>
      </c>
      <c r="E937" s="1">
        <v>0</v>
      </c>
      <c r="F937" s="1">
        <v>1.0747295264025201E-4</v>
      </c>
    </row>
    <row r="938" spans="1:6" x14ac:dyDescent="0.25">
      <c r="A938" s="2" t="str">
        <f t="shared" si="37"/>
        <v>38580</v>
      </c>
      <c r="B938" s="2" t="str">
        <f>"45678"</f>
        <v>45678</v>
      </c>
      <c r="C938" s="1">
        <v>2.5702996125369199E-3</v>
      </c>
      <c r="D938" s="1">
        <v>0</v>
      </c>
      <c r="E938" s="1">
        <v>0</v>
      </c>
      <c r="F938" s="1">
        <v>2.4002292756322898E-3</v>
      </c>
    </row>
    <row r="939" spans="1:6" x14ac:dyDescent="0.25">
      <c r="A939" s="2" t="str">
        <f t="shared" si="37"/>
        <v>38580</v>
      </c>
      <c r="B939" s="2" t="str">
        <f>"45631"</f>
        <v>45631</v>
      </c>
      <c r="C939" s="1">
        <v>0.28591705988414401</v>
      </c>
      <c r="D939" s="1">
        <v>0.49832775919732403</v>
      </c>
      <c r="E939" s="1">
        <v>0.47443181818181801</v>
      </c>
      <c r="F939" s="1">
        <v>0.299670416278569</v>
      </c>
    </row>
    <row r="940" spans="1:6" x14ac:dyDescent="0.25">
      <c r="A940" s="2" t="str">
        <f t="shared" ref="A940:A953" si="38">"46780"</f>
        <v>46780</v>
      </c>
      <c r="B940" s="2" t="str">
        <f>"45891"</f>
        <v>45891</v>
      </c>
      <c r="C940" s="1">
        <v>0.57680602274547399</v>
      </c>
      <c r="D940" s="1">
        <v>0.83189655172413701</v>
      </c>
      <c r="E940" s="1">
        <v>0.76587301587301504</v>
      </c>
      <c r="F940" s="1">
        <v>0.59761451778135499</v>
      </c>
    </row>
    <row r="941" spans="1:6" x14ac:dyDescent="0.25">
      <c r="A941" s="2" t="str">
        <f t="shared" si="38"/>
        <v>46780</v>
      </c>
      <c r="B941" s="2" t="str">
        <f>"45844"</f>
        <v>45844</v>
      </c>
      <c r="C941" s="1">
        <v>2.4026910139355998E-3</v>
      </c>
      <c r="D941" s="1">
        <v>0</v>
      </c>
      <c r="E941" s="1">
        <v>0</v>
      </c>
      <c r="F941" s="1">
        <v>2.1952290355627098E-3</v>
      </c>
    </row>
    <row r="942" spans="1:6" x14ac:dyDescent="0.25">
      <c r="A942" s="2" t="str">
        <f t="shared" si="38"/>
        <v>46780</v>
      </c>
      <c r="B942" s="2" t="str">
        <f>"45849"</f>
        <v>45849</v>
      </c>
      <c r="C942" s="1">
        <v>5.4460996315873703E-3</v>
      </c>
      <c r="D942" s="1">
        <v>0</v>
      </c>
      <c r="E942" s="1">
        <v>0</v>
      </c>
      <c r="F942" s="1">
        <v>4.9758524806088099E-3</v>
      </c>
    </row>
    <row r="943" spans="1:6" x14ac:dyDescent="0.25">
      <c r="A943" s="2" t="str">
        <f t="shared" si="38"/>
        <v>46780</v>
      </c>
      <c r="B943" s="2" t="str">
        <f>"45832"</f>
        <v>45832</v>
      </c>
      <c r="C943" s="1">
        <v>9.2503604036520901E-2</v>
      </c>
      <c r="D943" s="1">
        <v>1.0775862068965501E-2</v>
      </c>
      <c r="E943" s="1">
        <v>2.3809523809523801E-2</v>
      </c>
      <c r="F943" s="1">
        <v>8.5687106688131107E-2</v>
      </c>
    </row>
    <row r="944" spans="1:6" x14ac:dyDescent="0.25">
      <c r="A944" s="2" t="str">
        <f t="shared" si="38"/>
        <v>46780</v>
      </c>
      <c r="B944" s="2" t="str">
        <f>"45899"</f>
        <v>45899</v>
      </c>
      <c r="C944" s="1">
        <v>5.3660099311228504E-3</v>
      </c>
      <c r="D944" s="1">
        <v>0</v>
      </c>
      <c r="E944" s="1">
        <v>3.9682539682539602E-3</v>
      </c>
      <c r="F944" s="1">
        <v>4.9758524806088099E-3</v>
      </c>
    </row>
    <row r="945" spans="1:6" x14ac:dyDescent="0.25">
      <c r="A945" s="2" t="str">
        <f t="shared" si="38"/>
        <v>46780</v>
      </c>
      <c r="B945" s="2" t="str">
        <f>"45863"</f>
        <v>45863</v>
      </c>
      <c r="C945" s="1">
        <v>2.50680762453948E-2</v>
      </c>
      <c r="D945" s="1">
        <v>5.3879310344827503E-3</v>
      </c>
      <c r="E945" s="1">
        <v>3.9682539682539602E-3</v>
      </c>
      <c r="F945" s="1">
        <v>2.3342602078150101E-2</v>
      </c>
    </row>
    <row r="946" spans="1:6" x14ac:dyDescent="0.25">
      <c r="A946" s="2" t="str">
        <f t="shared" si="38"/>
        <v>46780</v>
      </c>
      <c r="B946" s="2" t="str">
        <f>"45886"</f>
        <v>45886</v>
      </c>
      <c r="C946" s="1">
        <v>4.4850232260131304E-3</v>
      </c>
      <c r="D946" s="1">
        <v>2.1551724137930999E-3</v>
      </c>
      <c r="E946" s="1">
        <v>3.9682539682539602E-3</v>
      </c>
      <c r="F946" s="1">
        <v>4.3172837699399901E-3</v>
      </c>
    </row>
    <row r="947" spans="1:6" x14ac:dyDescent="0.25">
      <c r="A947" s="2" t="str">
        <f t="shared" si="38"/>
        <v>46780</v>
      </c>
      <c r="B947" s="2" t="str">
        <f>"45887"</f>
        <v>45887</v>
      </c>
      <c r="C947" s="1">
        <v>1.0892199263174701E-2</v>
      </c>
      <c r="D947" s="1">
        <v>2.1551724137930999E-3</v>
      </c>
      <c r="E947" s="1">
        <v>7.9365079365079309E-3</v>
      </c>
      <c r="F947" s="1">
        <v>1.02444021659593E-2</v>
      </c>
    </row>
    <row r="948" spans="1:6" x14ac:dyDescent="0.25">
      <c r="A948" s="2" t="str">
        <f t="shared" si="38"/>
        <v>46780</v>
      </c>
      <c r="B948" s="2" t="str">
        <f>"45898"</f>
        <v>45898</v>
      </c>
      <c r="C948" s="1">
        <v>2.1544129424955899E-2</v>
      </c>
      <c r="D948" s="1">
        <v>3.2327586206896499E-3</v>
      </c>
      <c r="E948" s="1">
        <v>3.9682539682539602E-3</v>
      </c>
      <c r="F948" s="1">
        <v>1.99765842236206E-2</v>
      </c>
    </row>
    <row r="949" spans="1:6" x14ac:dyDescent="0.25">
      <c r="A949" s="2" t="str">
        <f t="shared" si="38"/>
        <v>46780</v>
      </c>
      <c r="B949" s="2" t="str">
        <f>"45894"</f>
        <v>45894</v>
      </c>
      <c r="C949" s="1">
        <v>2.3226013134710798E-2</v>
      </c>
      <c r="D949" s="1">
        <v>8.6206896551724102E-3</v>
      </c>
      <c r="E949" s="1">
        <v>3.9682539682539602E-3</v>
      </c>
      <c r="F949" s="1">
        <v>2.1879116054441601E-2</v>
      </c>
    </row>
    <row r="950" spans="1:6" x14ac:dyDescent="0.25">
      <c r="A950" s="2" t="str">
        <f t="shared" si="38"/>
        <v>46780</v>
      </c>
      <c r="B950" s="2" t="str">
        <f>"45838"</f>
        <v>45838</v>
      </c>
      <c r="C950" s="1">
        <v>0</v>
      </c>
      <c r="D950" s="1">
        <v>1.07758620689655E-3</v>
      </c>
      <c r="E950" s="1">
        <v>0</v>
      </c>
      <c r="F950" s="1">
        <v>7.3174301185423594E-5</v>
      </c>
    </row>
    <row r="951" spans="1:6" x14ac:dyDescent="0.25">
      <c r="A951" s="2" t="str">
        <f t="shared" si="38"/>
        <v>46780</v>
      </c>
      <c r="B951" s="2" t="str">
        <f>"45882"</f>
        <v>45882</v>
      </c>
      <c r="C951" s="1">
        <v>4.4049335255486096E-3</v>
      </c>
      <c r="D951" s="1">
        <v>2.1551724137930999E-3</v>
      </c>
      <c r="E951" s="1">
        <v>0</v>
      </c>
      <c r="F951" s="1">
        <v>4.1709351675691397E-3</v>
      </c>
    </row>
    <row r="952" spans="1:6" x14ac:dyDescent="0.25">
      <c r="A952" s="2" t="str">
        <f t="shared" si="38"/>
        <v>46780</v>
      </c>
      <c r="B952" s="2" t="str">
        <f>"45874"</f>
        <v>45874</v>
      </c>
      <c r="C952" s="1">
        <v>7.2000640717603703E-2</v>
      </c>
      <c r="D952" s="1">
        <v>2.1551724137931001E-2</v>
      </c>
      <c r="E952" s="1">
        <v>1.1904761904761901E-2</v>
      </c>
      <c r="F952" s="1">
        <v>6.7466705692960593E-2</v>
      </c>
    </row>
    <row r="953" spans="1:6" x14ac:dyDescent="0.25">
      <c r="A953" s="2" t="str">
        <f t="shared" si="38"/>
        <v>46780</v>
      </c>
      <c r="B953" s="2" t="str">
        <f>"45833"</f>
        <v>45833</v>
      </c>
      <c r="C953" s="1">
        <v>0.15585455710395599</v>
      </c>
      <c r="D953" s="1">
        <v>0.110991379310344</v>
      </c>
      <c r="E953" s="1">
        <v>0.17063492063492</v>
      </c>
      <c r="F953" s="1">
        <v>0.15308063807990599</v>
      </c>
    </row>
    <row r="954" spans="1:6" x14ac:dyDescent="0.25">
      <c r="A954" s="2" t="str">
        <f t="shared" ref="A954:A977" si="39">"34620"</f>
        <v>34620</v>
      </c>
      <c r="B954" s="2" t="str">
        <f>"47304"</f>
        <v>47304</v>
      </c>
      <c r="C954" s="1">
        <v>0.26031229781950999</v>
      </c>
      <c r="D954" s="1">
        <v>0.19243421052631501</v>
      </c>
      <c r="E954" s="1">
        <v>0.267313019390581</v>
      </c>
      <c r="F954" s="1">
        <v>0.25540727821984099</v>
      </c>
    </row>
    <row r="955" spans="1:6" x14ac:dyDescent="0.25">
      <c r="A955" s="2" t="str">
        <f t="shared" si="39"/>
        <v>34620</v>
      </c>
      <c r="B955" s="2" t="str">
        <f>"47306"</f>
        <v>47306</v>
      </c>
      <c r="C955" s="1">
        <v>0</v>
      </c>
      <c r="D955" s="1">
        <v>1.41858552631578E-2</v>
      </c>
      <c r="E955" s="1">
        <v>4.6168051708217901E-4</v>
      </c>
      <c r="F955" s="1">
        <v>1.0900200875130399E-3</v>
      </c>
    </row>
    <row r="956" spans="1:6" x14ac:dyDescent="0.25">
      <c r="A956" s="2" t="str">
        <f t="shared" si="39"/>
        <v>34620</v>
      </c>
      <c r="B956" s="2" t="str">
        <f>"47342"</f>
        <v>47342</v>
      </c>
      <c r="C956" s="1">
        <v>2.0021332773785101E-2</v>
      </c>
      <c r="D956" s="1">
        <v>4.7286184210526298E-3</v>
      </c>
      <c r="E956" s="1">
        <v>7.3868882733148598E-3</v>
      </c>
      <c r="F956" s="1">
        <v>1.84369111945062E-2</v>
      </c>
    </row>
    <row r="957" spans="1:6" x14ac:dyDescent="0.25">
      <c r="A957" s="2" t="str">
        <f t="shared" si="39"/>
        <v>34620</v>
      </c>
      <c r="B957" s="2" t="str">
        <f>"47305"</f>
        <v>47305</v>
      </c>
      <c r="C957" s="1">
        <v>5.2352725174421598E-2</v>
      </c>
      <c r="D957" s="1">
        <v>0.120888157894736</v>
      </c>
      <c r="E957" s="1">
        <v>0.18513388734995301</v>
      </c>
      <c r="F957" s="1">
        <v>6.2022142979491997E-2</v>
      </c>
    </row>
    <row r="958" spans="1:6" x14ac:dyDescent="0.25">
      <c r="A958" s="2" t="str">
        <f t="shared" si="39"/>
        <v>34620</v>
      </c>
      <c r="B958" s="2" t="str">
        <f>"47367"</f>
        <v>47367</v>
      </c>
      <c r="C958" s="1">
        <v>0</v>
      </c>
      <c r="D958" s="1">
        <v>2.0559210526315699E-4</v>
      </c>
      <c r="E958" s="1">
        <v>0</v>
      </c>
      <c r="F958" s="1">
        <v>1.55717155359005E-5</v>
      </c>
    </row>
    <row r="959" spans="1:6" x14ac:dyDescent="0.25">
      <c r="A959" s="2" t="str">
        <f t="shared" si="39"/>
        <v>34620</v>
      </c>
      <c r="B959" s="2" t="str">
        <f>"46017"</f>
        <v>46017</v>
      </c>
      <c r="C959" s="1">
        <v>3.8468936333910302E-4</v>
      </c>
      <c r="D959" s="1">
        <v>2.0559210526315699E-4</v>
      </c>
      <c r="E959" s="1">
        <v>0</v>
      </c>
      <c r="F959" s="1">
        <v>3.5814945732571299E-4</v>
      </c>
    </row>
    <row r="960" spans="1:6" x14ac:dyDescent="0.25">
      <c r="A960" s="2" t="str">
        <f t="shared" si="39"/>
        <v>34620</v>
      </c>
      <c r="B960" s="2" t="str">
        <f>"46001"</f>
        <v>46001</v>
      </c>
      <c r="C960" s="1">
        <v>9.7920928849953609E-4</v>
      </c>
      <c r="D960" s="1">
        <v>1.2335526315789399E-3</v>
      </c>
      <c r="E960" s="1">
        <v>0</v>
      </c>
      <c r="F960" s="1">
        <v>9.6544636322583603E-4</v>
      </c>
    </row>
    <row r="961" spans="1:6" x14ac:dyDescent="0.25">
      <c r="A961" s="2" t="str">
        <f t="shared" si="39"/>
        <v>34620</v>
      </c>
      <c r="B961" s="2" t="str">
        <f>"47356"</f>
        <v>47356</v>
      </c>
      <c r="C961" s="1">
        <v>5.9451992516043205E-4</v>
      </c>
      <c r="D961" s="1">
        <v>2.0559210526315699E-4</v>
      </c>
      <c r="E961" s="1">
        <v>0</v>
      </c>
      <c r="F961" s="1">
        <v>5.4501004375651996E-4</v>
      </c>
    </row>
    <row r="962" spans="1:6" x14ac:dyDescent="0.25">
      <c r="A962" s="2" t="str">
        <f t="shared" si="39"/>
        <v>34620</v>
      </c>
      <c r="B962" s="2" t="str">
        <f>"47368"</f>
        <v>47368</v>
      </c>
      <c r="C962" s="1">
        <v>3.7244924723285901E-3</v>
      </c>
      <c r="D962" s="1">
        <v>6.16776315789473E-4</v>
      </c>
      <c r="E962" s="1">
        <v>2.3084025854108901E-3</v>
      </c>
      <c r="F962" s="1">
        <v>3.4413491334340301E-3</v>
      </c>
    </row>
    <row r="963" spans="1:6" x14ac:dyDescent="0.25">
      <c r="A963" s="2" t="str">
        <f t="shared" si="39"/>
        <v>34620</v>
      </c>
      <c r="B963" s="2" t="str">
        <f>"47383"</f>
        <v>47383</v>
      </c>
      <c r="C963" s="1">
        <v>1.9549214009687101E-2</v>
      </c>
      <c r="D963" s="1">
        <v>5.1398026315789399E-3</v>
      </c>
      <c r="E963" s="1">
        <v>5.5401662049861401E-3</v>
      </c>
      <c r="F963" s="1">
        <v>1.7985331443965101E-2</v>
      </c>
    </row>
    <row r="964" spans="1:6" x14ac:dyDescent="0.25">
      <c r="A964" s="2" t="str">
        <f t="shared" si="39"/>
        <v>34620</v>
      </c>
      <c r="B964" s="2" t="str">
        <f>"47302"</f>
        <v>47302</v>
      </c>
      <c r="C964" s="1">
        <v>0.24885904632009601</v>
      </c>
      <c r="D964" s="1">
        <v>0.19037828947368399</v>
      </c>
      <c r="E964" s="1">
        <v>0.117728531855955</v>
      </c>
      <c r="F964" s="1">
        <v>0.240006851554835</v>
      </c>
    </row>
    <row r="965" spans="1:6" x14ac:dyDescent="0.25">
      <c r="A965" s="2" t="str">
        <f t="shared" si="39"/>
        <v>34620</v>
      </c>
      <c r="B965" s="2" t="str">
        <f>"47348"</f>
        <v>47348</v>
      </c>
      <c r="C965" s="1">
        <v>5.2457640455332298E-5</v>
      </c>
      <c r="D965" s="1">
        <v>0</v>
      </c>
      <c r="E965" s="1">
        <v>0</v>
      </c>
      <c r="F965" s="1">
        <v>4.6715146607701703E-5</v>
      </c>
    </row>
    <row r="966" spans="1:6" x14ac:dyDescent="0.25">
      <c r="A966" s="2" t="str">
        <f t="shared" si="39"/>
        <v>34620</v>
      </c>
      <c r="B966" s="2" t="str">
        <f>"47354"</f>
        <v>47354</v>
      </c>
      <c r="C966" s="1">
        <v>5.4206228470510005E-4</v>
      </c>
      <c r="D966" s="1">
        <v>0</v>
      </c>
      <c r="E966" s="1">
        <v>0</v>
      </c>
      <c r="F966" s="1">
        <v>4.8272318161291802E-4</v>
      </c>
    </row>
    <row r="967" spans="1:6" x14ac:dyDescent="0.25">
      <c r="A967" s="2" t="str">
        <f t="shared" si="39"/>
        <v>34620</v>
      </c>
      <c r="B967" s="2" t="str">
        <f>"47320"</f>
        <v>47320</v>
      </c>
      <c r="C967" s="1">
        <v>3.2628652363216701E-2</v>
      </c>
      <c r="D967" s="1">
        <v>2.30263157894736E-2</v>
      </c>
      <c r="E967" s="1">
        <v>0.111265004616805</v>
      </c>
      <c r="F967" s="1">
        <v>3.4553636774163399E-2</v>
      </c>
    </row>
    <row r="968" spans="1:6" x14ac:dyDescent="0.25">
      <c r="A968" s="2" t="str">
        <f t="shared" si="39"/>
        <v>34620</v>
      </c>
      <c r="B968" s="2" t="str">
        <f>"46070"</f>
        <v>46070</v>
      </c>
      <c r="C968" s="1">
        <v>5.2457640455332298E-5</v>
      </c>
      <c r="D968" s="1">
        <v>0</v>
      </c>
      <c r="E968" s="1">
        <v>0</v>
      </c>
      <c r="F968" s="1">
        <v>4.6715146607701703E-5</v>
      </c>
    </row>
    <row r="969" spans="1:6" x14ac:dyDescent="0.25">
      <c r="A969" s="2" t="str">
        <f t="shared" si="39"/>
        <v>34620</v>
      </c>
      <c r="B969" s="2" t="str">
        <f>"47396"</f>
        <v>47396</v>
      </c>
      <c r="C969" s="1">
        <v>5.5412754200982697E-2</v>
      </c>
      <c r="D969" s="1">
        <v>3.6184210526315701E-2</v>
      </c>
      <c r="E969" s="1">
        <v>1.5235457063711899E-2</v>
      </c>
      <c r="F969" s="1">
        <v>5.2601255080272101E-2</v>
      </c>
    </row>
    <row r="970" spans="1:6" x14ac:dyDescent="0.25">
      <c r="A970" s="2" t="str">
        <f t="shared" si="39"/>
        <v>34620</v>
      </c>
      <c r="B970" s="2" t="str">
        <f>"47336"</f>
        <v>47336</v>
      </c>
      <c r="C970" s="1">
        <v>3.4971760303554801E-3</v>
      </c>
      <c r="D970" s="1">
        <v>4.1118421052631501E-4</v>
      </c>
      <c r="E970" s="1">
        <v>0</v>
      </c>
      <c r="F970" s="1">
        <v>3.1454865382519099E-3</v>
      </c>
    </row>
    <row r="971" spans="1:6" x14ac:dyDescent="0.25">
      <c r="A971" s="2" t="str">
        <f t="shared" si="39"/>
        <v>34620</v>
      </c>
      <c r="B971" s="2" t="str">
        <f>"47334"</f>
        <v>47334</v>
      </c>
      <c r="C971" s="1">
        <v>2.4095542849149301E-2</v>
      </c>
      <c r="D971" s="1">
        <v>3.8651315789473603E-2</v>
      </c>
      <c r="E971" s="1">
        <v>1.2927054478301E-2</v>
      </c>
      <c r="F971" s="1">
        <v>2.48213145642255E-2</v>
      </c>
    </row>
    <row r="972" spans="1:6" x14ac:dyDescent="0.25">
      <c r="A972" s="2" t="str">
        <f t="shared" si="39"/>
        <v>34620</v>
      </c>
      <c r="B972" s="2" t="str">
        <f>"46012"</f>
        <v>46012</v>
      </c>
      <c r="C972" s="1">
        <v>9.09265767892426E-4</v>
      </c>
      <c r="D972" s="1">
        <v>0</v>
      </c>
      <c r="E972" s="1">
        <v>0</v>
      </c>
      <c r="F972" s="1">
        <v>8.0972920786683E-4</v>
      </c>
    </row>
    <row r="973" spans="1:6" x14ac:dyDescent="0.25">
      <c r="A973" s="2" t="str">
        <f t="shared" si="39"/>
        <v>34620</v>
      </c>
      <c r="B973" s="2" t="str">
        <f>"47303"</f>
        <v>47303</v>
      </c>
      <c r="C973" s="1">
        <v>0.217944010211754</v>
      </c>
      <c r="D973" s="1">
        <v>0.257606907894736</v>
      </c>
      <c r="E973" s="1">
        <v>0.26638965835641698</v>
      </c>
      <c r="F973" s="1">
        <v>0.222582101870163</v>
      </c>
    </row>
    <row r="974" spans="1:6" x14ac:dyDescent="0.25">
      <c r="A974" s="2" t="str">
        <f t="shared" si="39"/>
        <v>34620</v>
      </c>
      <c r="B974" s="2" t="str">
        <f>"47386"</f>
        <v>47386</v>
      </c>
      <c r="C974" s="1">
        <v>8.7429400758887101E-5</v>
      </c>
      <c r="D974" s="1">
        <v>0</v>
      </c>
      <c r="E974" s="1">
        <v>0</v>
      </c>
      <c r="F974" s="1">
        <v>7.7858577679502906E-5</v>
      </c>
    </row>
    <row r="975" spans="1:6" x14ac:dyDescent="0.25">
      <c r="A975" s="2" t="str">
        <f t="shared" si="39"/>
        <v>34620</v>
      </c>
      <c r="B975" s="2" t="str">
        <f>"47308"</f>
        <v>47308</v>
      </c>
      <c r="C975" s="1">
        <v>1.6104495619786999E-2</v>
      </c>
      <c r="D975" s="1">
        <v>7.1546052631578899E-2</v>
      </c>
      <c r="E975" s="1">
        <v>4.6168051708217901E-4</v>
      </c>
      <c r="F975" s="1">
        <v>1.9776078730593699E-2</v>
      </c>
    </row>
    <row r="976" spans="1:6" x14ac:dyDescent="0.25">
      <c r="A976" s="2" t="str">
        <f t="shared" si="39"/>
        <v>34620</v>
      </c>
      <c r="B976" s="2" t="str">
        <f>"47338"</f>
        <v>47338</v>
      </c>
      <c r="C976" s="1">
        <v>2.00912762943922E-2</v>
      </c>
      <c r="D976" s="1">
        <v>4.7286184210526298E-3</v>
      </c>
      <c r="E976" s="1">
        <v>6.9252077562326798E-3</v>
      </c>
      <c r="F976" s="1">
        <v>1.8483626341114001E-2</v>
      </c>
    </row>
    <row r="977" spans="1:6" x14ac:dyDescent="0.25">
      <c r="A977" s="2" t="str">
        <f t="shared" si="39"/>
        <v>34620</v>
      </c>
      <c r="B977" s="2" t="str">
        <f>"47307"</f>
        <v>47307</v>
      </c>
      <c r="C977" s="1">
        <v>2.1804892549266399E-2</v>
      </c>
      <c r="D977" s="1">
        <v>3.7623355263157798E-2</v>
      </c>
      <c r="E977" s="1">
        <v>9.2336103416435801E-4</v>
      </c>
      <c r="F977" s="1">
        <v>2.2298696647409601E-2</v>
      </c>
    </row>
    <row r="978" spans="1:6" x14ac:dyDescent="0.25">
      <c r="A978" s="2" t="str">
        <f t="shared" ref="A978:A994" si="40">"31980"</f>
        <v>31980</v>
      </c>
      <c r="B978" s="2" t="str">
        <f>"47348"</f>
        <v>47348</v>
      </c>
      <c r="C978" s="1">
        <v>8.0654453278027397E-4</v>
      </c>
      <c r="D978" s="1">
        <v>0</v>
      </c>
      <c r="E978" s="1">
        <v>9.6711798839458404E-4</v>
      </c>
      <c r="F978" s="1">
        <v>7.5301204819277102E-4</v>
      </c>
    </row>
    <row r="979" spans="1:6" x14ac:dyDescent="0.25">
      <c r="A979" s="2" t="str">
        <f t="shared" si="40"/>
        <v>31980</v>
      </c>
      <c r="B979" s="2" t="str">
        <f>"46952"</f>
        <v>46952</v>
      </c>
      <c r="C979" s="1">
        <v>0.320687867265814</v>
      </c>
      <c r="D979" s="1">
        <v>0.44026068066618301</v>
      </c>
      <c r="E979" s="1">
        <v>0.55222437137330704</v>
      </c>
      <c r="F979" s="1">
        <v>0.33547985043622702</v>
      </c>
    </row>
    <row r="980" spans="1:6" x14ac:dyDescent="0.25">
      <c r="A980" s="2" t="str">
        <f t="shared" si="40"/>
        <v>31980</v>
      </c>
      <c r="B980" s="2" t="str">
        <f>"46919"</f>
        <v>46919</v>
      </c>
      <c r="C980" s="1">
        <v>1.25302454199792E-2</v>
      </c>
      <c r="D980" s="1">
        <v>3.2585083272990501E-3</v>
      </c>
      <c r="E980" s="1">
        <v>5.8027079303674999E-3</v>
      </c>
      <c r="F980" s="1">
        <v>1.16846697133361E-2</v>
      </c>
    </row>
    <row r="981" spans="1:6" x14ac:dyDescent="0.25">
      <c r="A981" s="2" t="str">
        <f t="shared" si="40"/>
        <v>31980</v>
      </c>
      <c r="B981" s="2" t="str">
        <f>"46036"</f>
        <v>46036</v>
      </c>
      <c r="C981" s="1">
        <v>8.3534969466528405E-4</v>
      </c>
      <c r="D981" s="1">
        <v>0</v>
      </c>
      <c r="E981" s="1">
        <v>0</v>
      </c>
      <c r="F981" s="1">
        <v>7.5301204819277102E-4</v>
      </c>
    </row>
    <row r="982" spans="1:6" x14ac:dyDescent="0.25">
      <c r="A982" s="2" t="str">
        <f t="shared" si="40"/>
        <v>31980</v>
      </c>
      <c r="B982" s="2" t="str">
        <f>"46070"</f>
        <v>46070</v>
      </c>
      <c r="C982" s="1">
        <v>8.6415485655029299E-5</v>
      </c>
      <c r="D982" s="1">
        <v>0</v>
      </c>
      <c r="E982" s="1">
        <v>0</v>
      </c>
      <c r="F982" s="1">
        <v>7.7897798088907302E-5</v>
      </c>
    </row>
    <row r="983" spans="1:6" x14ac:dyDescent="0.25">
      <c r="A983" s="2" t="str">
        <f t="shared" si="40"/>
        <v>31980</v>
      </c>
      <c r="B983" s="2" t="str">
        <f>"46991"</f>
        <v>46991</v>
      </c>
      <c r="C983" s="1">
        <v>1.95587049199216E-2</v>
      </c>
      <c r="D983" s="1">
        <v>3.6205648081100599E-3</v>
      </c>
      <c r="E983" s="1">
        <v>3.8684719535783301E-3</v>
      </c>
      <c r="F983" s="1">
        <v>1.79943913585375E-2</v>
      </c>
    </row>
    <row r="984" spans="1:6" x14ac:dyDescent="0.25">
      <c r="A984" s="2" t="str">
        <f t="shared" si="40"/>
        <v>31980</v>
      </c>
      <c r="B984" s="2" t="str">
        <f>"46986"</f>
        <v>46986</v>
      </c>
      <c r="C984" s="1">
        <v>2.5089296001843502E-2</v>
      </c>
      <c r="D984" s="1">
        <v>6.87907313540912E-3</v>
      </c>
      <c r="E984" s="1">
        <v>7.7369439071566697E-3</v>
      </c>
      <c r="F984" s="1">
        <v>2.3317407561279601E-2</v>
      </c>
    </row>
    <row r="985" spans="1:6" x14ac:dyDescent="0.25">
      <c r="A985" s="2" t="str">
        <f t="shared" si="40"/>
        <v>31980</v>
      </c>
      <c r="B985" s="2" t="str">
        <f>"46930"</f>
        <v>46930</v>
      </c>
      <c r="C985" s="1">
        <v>3.3990091024311501E-3</v>
      </c>
      <c r="D985" s="1">
        <v>1.4482259232440199E-3</v>
      </c>
      <c r="E985" s="1">
        <v>9.6711798839458404E-4</v>
      </c>
      <c r="F985" s="1">
        <v>3.1938097216451999E-3</v>
      </c>
    </row>
    <row r="986" spans="1:6" x14ac:dyDescent="0.25">
      <c r="A986" s="2" t="str">
        <f t="shared" si="40"/>
        <v>31980</v>
      </c>
      <c r="B986" s="2" t="str">
        <f>"47342"</f>
        <v>47342</v>
      </c>
      <c r="C986" s="1">
        <v>4.6088259016015601E-4</v>
      </c>
      <c r="D986" s="1">
        <v>0</v>
      </c>
      <c r="E986" s="1">
        <v>0</v>
      </c>
      <c r="F986" s="1">
        <v>4.15454923140839E-4</v>
      </c>
    </row>
    <row r="987" spans="1:6" x14ac:dyDescent="0.25">
      <c r="A987" s="2" t="str">
        <f t="shared" si="40"/>
        <v>31980</v>
      </c>
      <c r="B987" s="2" t="str">
        <f>"46957"</f>
        <v>46957</v>
      </c>
      <c r="C987" s="1">
        <v>5.44417559626685E-3</v>
      </c>
      <c r="D987" s="1">
        <v>0</v>
      </c>
      <c r="E987" s="1">
        <v>9.6711798839458404E-4</v>
      </c>
      <c r="F987" s="1">
        <v>4.93352721229746E-3</v>
      </c>
    </row>
    <row r="988" spans="1:6" x14ac:dyDescent="0.25">
      <c r="A988" s="2" t="str">
        <f t="shared" si="40"/>
        <v>31980</v>
      </c>
      <c r="B988" s="2" t="str">
        <f>"46933"</f>
        <v>46933</v>
      </c>
      <c r="C988" s="1">
        <v>8.8287821177555001E-2</v>
      </c>
      <c r="D988" s="1">
        <v>8.8341781317885504E-2</v>
      </c>
      <c r="E988" s="1">
        <v>5.60928433268858E-2</v>
      </c>
      <c r="F988" s="1">
        <v>8.7427295388450302E-2</v>
      </c>
    </row>
    <row r="989" spans="1:6" x14ac:dyDescent="0.25">
      <c r="A989" s="2" t="str">
        <f t="shared" si="40"/>
        <v>31980</v>
      </c>
      <c r="B989" s="2" t="str">
        <f>"46989"</f>
        <v>46989</v>
      </c>
      <c r="C989" s="1">
        <v>3.7533125936167699E-2</v>
      </c>
      <c r="D989" s="1">
        <v>1.2309920347574201E-2</v>
      </c>
      <c r="E989" s="1">
        <v>1.5473887814313299E-2</v>
      </c>
      <c r="F989" s="1">
        <v>3.5131906938097202E-2</v>
      </c>
    </row>
    <row r="990" spans="1:6" x14ac:dyDescent="0.25">
      <c r="A990" s="2" t="str">
        <f t="shared" si="40"/>
        <v>31980</v>
      </c>
      <c r="B990" s="2" t="str">
        <f>"46987"</f>
        <v>46987</v>
      </c>
      <c r="C990" s="1">
        <v>2.88051618850097E-5</v>
      </c>
      <c r="D990" s="1">
        <v>0</v>
      </c>
      <c r="E990" s="1">
        <v>9.6711798839458404E-4</v>
      </c>
      <c r="F990" s="1">
        <v>5.1931865392604902E-5</v>
      </c>
    </row>
    <row r="991" spans="1:6" x14ac:dyDescent="0.25">
      <c r="A991" s="2" t="str">
        <f t="shared" si="40"/>
        <v>31980</v>
      </c>
      <c r="B991" s="2" t="str">
        <f>"46938"</f>
        <v>46938</v>
      </c>
      <c r="C991" s="1">
        <v>4.0615278257863797E-2</v>
      </c>
      <c r="D991" s="1">
        <v>1.8464880521361301E-2</v>
      </c>
      <c r="E991" s="1">
        <v>2.321083172147E-2</v>
      </c>
      <c r="F991" s="1">
        <v>3.8559410054009098E-2</v>
      </c>
    </row>
    <row r="992" spans="1:6" x14ac:dyDescent="0.25">
      <c r="A992" s="2" t="str">
        <f t="shared" si="40"/>
        <v>31980</v>
      </c>
      <c r="B992" s="2" t="str">
        <f>"46953"</f>
        <v>46953</v>
      </c>
      <c r="C992" s="1">
        <v>0.37783730844567298</v>
      </c>
      <c r="D992" s="1">
        <v>0.37146994931209198</v>
      </c>
      <c r="E992" s="1">
        <v>0.29690522243713702</v>
      </c>
      <c r="F992" s="1">
        <v>0.37520772746157</v>
      </c>
    </row>
    <row r="993" spans="1:6" x14ac:dyDescent="0.25">
      <c r="A993" s="2" t="str">
        <f t="shared" si="40"/>
        <v>31980</v>
      </c>
      <c r="B993" s="2" t="str">
        <f>"46940"</f>
        <v>46940</v>
      </c>
      <c r="C993" s="1">
        <v>8.3534969466528405E-4</v>
      </c>
      <c r="D993" s="1">
        <v>0</v>
      </c>
      <c r="E993" s="1">
        <v>0</v>
      </c>
      <c r="F993" s="1">
        <v>7.5301204819277102E-4</v>
      </c>
    </row>
    <row r="994" spans="1:6" x14ac:dyDescent="0.25">
      <c r="A994" s="2" t="str">
        <f t="shared" si="40"/>
        <v>31980</v>
      </c>
      <c r="B994" s="2" t="str">
        <f>"46928"</f>
        <v>46928</v>
      </c>
      <c r="C994" s="1">
        <v>6.5963820716672394E-2</v>
      </c>
      <c r="D994" s="1">
        <v>5.39464156408399E-2</v>
      </c>
      <c r="E994" s="1">
        <v>3.4816247582205001E-2</v>
      </c>
      <c r="F994" s="1">
        <v>6.4265683423348499E-2</v>
      </c>
    </row>
    <row r="995" spans="1:6" x14ac:dyDescent="0.25">
      <c r="A995" s="2" t="str">
        <f t="shared" ref="A995:A1004" si="41">"18220"</f>
        <v>18220</v>
      </c>
      <c r="B995" s="2" t="str">
        <f>"47325"</f>
        <v>47325</v>
      </c>
      <c r="C995" s="1">
        <v>6.0986084865143403E-3</v>
      </c>
      <c r="D995" s="1">
        <v>2.0181634712411701E-3</v>
      </c>
      <c r="E995" s="1">
        <v>0</v>
      </c>
      <c r="F995" s="1">
        <v>5.6734281495298003E-3</v>
      </c>
    </row>
    <row r="996" spans="1:6" x14ac:dyDescent="0.25">
      <c r="A996" s="2" t="str">
        <f t="shared" si="41"/>
        <v>18220</v>
      </c>
      <c r="B996" s="2" t="str">
        <f>"47352"</f>
        <v>47352</v>
      </c>
      <c r="C996" s="1">
        <v>2.5768768252877502E-4</v>
      </c>
      <c r="D996" s="1">
        <v>0</v>
      </c>
      <c r="E996" s="1">
        <v>0</v>
      </c>
      <c r="F996" s="1">
        <v>2.33154581487526E-4</v>
      </c>
    </row>
    <row r="997" spans="1:6" x14ac:dyDescent="0.25">
      <c r="A997" s="2" t="str">
        <f t="shared" si="41"/>
        <v>18220</v>
      </c>
      <c r="B997" s="2" t="str">
        <f>"47327"</f>
        <v>47327</v>
      </c>
      <c r="C997" s="1">
        <v>3.4358357670503302E-4</v>
      </c>
      <c r="D997" s="1">
        <v>0</v>
      </c>
      <c r="E997" s="1">
        <v>0</v>
      </c>
      <c r="F997" s="1">
        <v>3.1087277531670099E-4</v>
      </c>
    </row>
    <row r="998" spans="1:6" x14ac:dyDescent="0.25">
      <c r="A998" s="2" t="str">
        <f t="shared" si="41"/>
        <v>18220</v>
      </c>
      <c r="B998" s="2" t="str">
        <f>"47322"</f>
        <v>47322</v>
      </c>
      <c r="C998" s="1">
        <v>0</v>
      </c>
      <c r="D998" s="1">
        <v>0</v>
      </c>
      <c r="E998" s="1">
        <v>4.2735042735042696E-3</v>
      </c>
      <c r="F998" s="1">
        <v>7.7718193829175397E-5</v>
      </c>
    </row>
    <row r="999" spans="1:6" x14ac:dyDescent="0.25">
      <c r="A999" s="2" t="str">
        <f t="shared" si="41"/>
        <v>18220</v>
      </c>
      <c r="B999" s="2" t="str">
        <f>"47331"</f>
        <v>47331</v>
      </c>
      <c r="C999" s="1">
        <v>0.95859817900704303</v>
      </c>
      <c r="D999" s="1">
        <v>0.985872855701311</v>
      </c>
      <c r="E999" s="1">
        <v>0.99145299145299104</v>
      </c>
      <c r="F999" s="1">
        <v>0.96129633947307003</v>
      </c>
    </row>
    <row r="1000" spans="1:6" x14ac:dyDescent="0.25">
      <c r="A1000" s="2" t="str">
        <f t="shared" si="41"/>
        <v>18220</v>
      </c>
      <c r="B1000" s="2" t="str">
        <f>"47024"</f>
        <v>47024</v>
      </c>
      <c r="C1000" s="1">
        <v>1.11664662429135E-3</v>
      </c>
      <c r="D1000" s="1">
        <v>0</v>
      </c>
      <c r="E1000" s="1">
        <v>0</v>
      </c>
      <c r="F1000" s="1">
        <v>1.0103365197792801E-3</v>
      </c>
    </row>
    <row r="1001" spans="1:6" x14ac:dyDescent="0.25">
      <c r="A1001" s="2" t="str">
        <f t="shared" si="41"/>
        <v>18220</v>
      </c>
      <c r="B1001" s="2" t="str">
        <f>"46127"</f>
        <v>46127</v>
      </c>
      <c r="C1001" s="1">
        <v>4.0371070262841396E-3</v>
      </c>
      <c r="D1001" s="1">
        <v>1.0090817356205801E-3</v>
      </c>
      <c r="E1001" s="1">
        <v>0</v>
      </c>
      <c r="F1001" s="1">
        <v>3.73047330380041E-3</v>
      </c>
    </row>
    <row r="1002" spans="1:6" x14ac:dyDescent="0.25">
      <c r="A1002" s="2" t="str">
        <f t="shared" si="41"/>
        <v>18220</v>
      </c>
      <c r="B1002" s="2" t="str">
        <f>"46173"</f>
        <v>46173</v>
      </c>
      <c r="C1002" s="1">
        <v>4.2947947088129102E-4</v>
      </c>
      <c r="D1002" s="1">
        <v>0</v>
      </c>
      <c r="E1002" s="1">
        <v>0</v>
      </c>
      <c r="F1002" s="1">
        <v>3.8859096914587701E-4</v>
      </c>
    </row>
    <row r="1003" spans="1:6" x14ac:dyDescent="0.25">
      <c r="A1003" s="2" t="str">
        <f t="shared" si="41"/>
        <v>18220</v>
      </c>
      <c r="B1003" s="2" t="str">
        <f>"46133"</f>
        <v>46133</v>
      </c>
      <c r="C1003" s="1">
        <v>2.1989348909122099E-2</v>
      </c>
      <c r="D1003" s="1">
        <v>1.0090817356205799E-2</v>
      </c>
      <c r="E1003" s="1">
        <v>4.2735042735042696E-3</v>
      </c>
      <c r="F1003" s="1">
        <v>2.0750757752389801E-2</v>
      </c>
    </row>
    <row r="1004" spans="1:6" x14ac:dyDescent="0.25">
      <c r="A1004" s="2" t="str">
        <f t="shared" si="41"/>
        <v>18220</v>
      </c>
      <c r="B1004" s="2" t="str">
        <f>"47357"</f>
        <v>47357</v>
      </c>
      <c r="C1004" s="1">
        <v>7.1293592166294401E-3</v>
      </c>
      <c r="D1004" s="1">
        <v>1.0090817356205801E-3</v>
      </c>
      <c r="E1004" s="1">
        <v>0</v>
      </c>
      <c r="F1004" s="1">
        <v>6.5283282816507304E-3</v>
      </c>
    </row>
    <row r="1005" spans="1:6" x14ac:dyDescent="0.25">
      <c r="A1005" s="2" t="str">
        <f t="shared" ref="A1005:A1036" si="42">"45460"</f>
        <v>45460</v>
      </c>
      <c r="B1005" s="2" t="str">
        <f>"47863"</f>
        <v>47863</v>
      </c>
      <c r="C1005" s="1">
        <v>4.5688700042261999E-5</v>
      </c>
      <c r="D1005" s="1">
        <v>0</v>
      </c>
      <c r="E1005" s="1">
        <v>3.9478878799842002E-4</v>
      </c>
      <c r="F1005" s="1">
        <v>5.1668905652578201E-5</v>
      </c>
    </row>
    <row r="1006" spans="1:6" x14ac:dyDescent="0.25">
      <c r="A1006" s="2" t="str">
        <f t="shared" si="42"/>
        <v>45460</v>
      </c>
      <c r="B1006" s="2" t="str">
        <f>"47868"</f>
        <v>47868</v>
      </c>
      <c r="C1006" s="1">
        <v>1.5305714514157701E-3</v>
      </c>
      <c r="D1006" s="1">
        <v>2.99043062200956E-4</v>
      </c>
      <c r="E1006" s="1">
        <v>3.9478878799842002E-4</v>
      </c>
      <c r="F1006" s="1">
        <v>1.4157280148806399E-3</v>
      </c>
    </row>
    <row r="1007" spans="1:6" x14ac:dyDescent="0.25">
      <c r="A1007" s="2" t="str">
        <f t="shared" si="42"/>
        <v>45460</v>
      </c>
      <c r="B1007" s="2" t="str">
        <f>"47881"</f>
        <v>47881</v>
      </c>
      <c r="C1007" s="1">
        <v>0</v>
      </c>
      <c r="D1007" s="1">
        <v>0</v>
      </c>
      <c r="E1007" s="1">
        <v>3.9478878799842002E-4</v>
      </c>
      <c r="F1007" s="1">
        <v>1.0333781130515601E-5</v>
      </c>
    </row>
    <row r="1008" spans="1:6" x14ac:dyDescent="0.25">
      <c r="A1008" s="2" t="str">
        <f t="shared" si="42"/>
        <v>45460</v>
      </c>
      <c r="B1008" s="2" t="str">
        <f>"47879"</f>
        <v>47879</v>
      </c>
      <c r="C1008" s="1">
        <v>1.7384550366080699E-2</v>
      </c>
      <c r="D1008" s="1">
        <v>1.12141148325358E-2</v>
      </c>
      <c r="E1008" s="1">
        <v>2.7635215159889401E-3</v>
      </c>
      <c r="F1008" s="1">
        <v>1.65753849333471E-2</v>
      </c>
    </row>
    <row r="1009" spans="1:6" x14ac:dyDescent="0.25">
      <c r="A1009" s="2" t="str">
        <f t="shared" si="42"/>
        <v>45460</v>
      </c>
      <c r="B1009" s="2" t="str">
        <f>"47854"</f>
        <v>47854</v>
      </c>
      <c r="C1009" s="1">
        <v>3.7921621035077401E-3</v>
      </c>
      <c r="D1009" s="1">
        <v>1.94377990430622E-3</v>
      </c>
      <c r="E1009" s="1">
        <v>3.9478878799842002E-4</v>
      </c>
      <c r="F1009" s="1">
        <v>3.5754882711584099E-3</v>
      </c>
    </row>
    <row r="1010" spans="1:6" x14ac:dyDescent="0.25">
      <c r="A1010" s="2" t="str">
        <f t="shared" si="42"/>
        <v>45460</v>
      </c>
      <c r="B1010" s="2" t="str">
        <f>"47803"</f>
        <v>47803</v>
      </c>
      <c r="C1010" s="1">
        <v>0.117694091308867</v>
      </c>
      <c r="D1010" s="1">
        <v>8.9712918660286994E-2</v>
      </c>
      <c r="E1010" s="1">
        <v>9.7907619423608303E-2</v>
      </c>
      <c r="F1010" s="1">
        <v>0.11524232716751</v>
      </c>
    </row>
    <row r="1011" spans="1:6" x14ac:dyDescent="0.25">
      <c r="A1011" s="2" t="str">
        <f t="shared" si="42"/>
        <v>45460</v>
      </c>
      <c r="B1011" s="2" t="str">
        <f>"46175"</f>
        <v>46175</v>
      </c>
      <c r="C1011" s="1">
        <v>1.5991045014791699E-4</v>
      </c>
      <c r="D1011" s="1">
        <v>0</v>
      </c>
      <c r="E1011" s="1">
        <v>0</v>
      </c>
      <c r="F1011" s="1">
        <v>1.4467293582721901E-4</v>
      </c>
    </row>
    <row r="1012" spans="1:6" x14ac:dyDescent="0.25">
      <c r="A1012" s="2" t="str">
        <f t="shared" si="42"/>
        <v>45460</v>
      </c>
      <c r="B1012" s="2" t="str">
        <f>"47853"</f>
        <v>47853</v>
      </c>
      <c r="C1012" s="1">
        <v>0</v>
      </c>
      <c r="D1012" s="1">
        <v>0</v>
      </c>
      <c r="E1012" s="1">
        <v>3.9478878799842002E-4</v>
      </c>
      <c r="F1012" s="1">
        <v>1.0333781130515601E-5</v>
      </c>
    </row>
    <row r="1013" spans="1:6" x14ac:dyDescent="0.25">
      <c r="A1013" s="2" t="str">
        <f t="shared" si="42"/>
        <v>45460</v>
      </c>
      <c r="B1013" s="2" t="str">
        <f>"47878"</f>
        <v>47878</v>
      </c>
      <c r="C1013" s="1">
        <v>0</v>
      </c>
      <c r="D1013" s="1">
        <v>0</v>
      </c>
      <c r="E1013" s="1">
        <v>3.9478878799842002E-4</v>
      </c>
      <c r="F1013" s="1">
        <v>1.0333781130515601E-5</v>
      </c>
    </row>
    <row r="1014" spans="1:6" x14ac:dyDescent="0.25">
      <c r="A1014" s="2" t="str">
        <f t="shared" si="42"/>
        <v>45460</v>
      </c>
      <c r="B1014" s="2" t="str">
        <f>"47845"</f>
        <v>47845</v>
      </c>
      <c r="C1014" s="1">
        <v>9.9372922591919898E-4</v>
      </c>
      <c r="D1014" s="1">
        <v>0</v>
      </c>
      <c r="E1014" s="1">
        <v>1.18436636399526E-3</v>
      </c>
      <c r="F1014" s="1">
        <v>9.3004030174640903E-4</v>
      </c>
    </row>
    <row r="1015" spans="1:6" x14ac:dyDescent="0.25">
      <c r="A1015" s="2" t="str">
        <f t="shared" si="42"/>
        <v>45460</v>
      </c>
      <c r="B1015" s="2" t="str">
        <f>"47876"</f>
        <v>47876</v>
      </c>
      <c r="C1015" s="1">
        <v>0</v>
      </c>
      <c r="D1015" s="1">
        <v>2.99043062200956E-4</v>
      </c>
      <c r="E1015" s="1">
        <v>1.18436636399526E-3</v>
      </c>
      <c r="F1015" s="1">
        <v>5.1668905652578201E-5</v>
      </c>
    </row>
    <row r="1016" spans="1:6" x14ac:dyDescent="0.25">
      <c r="A1016" s="2" t="str">
        <f t="shared" si="42"/>
        <v>45460</v>
      </c>
      <c r="B1016" s="2" t="str">
        <f>"47850"</f>
        <v>47850</v>
      </c>
      <c r="C1016" s="1">
        <v>1.15820854607134E-2</v>
      </c>
      <c r="D1016" s="1">
        <v>4.78468899521531E-3</v>
      </c>
      <c r="E1016" s="1">
        <v>6.3166206079747298E-3</v>
      </c>
      <c r="F1016" s="1">
        <v>1.0974475560607599E-2</v>
      </c>
    </row>
    <row r="1017" spans="1:6" x14ac:dyDescent="0.25">
      <c r="A1017" s="2" t="str">
        <f t="shared" si="42"/>
        <v>45460</v>
      </c>
      <c r="B1017" s="2" t="str">
        <f>"47804"</f>
        <v>47804</v>
      </c>
      <c r="C1017" s="1">
        <v>5.99549966304583E-2</v>
      </c>
      <c r="D1017" s="1">
        <v>7.5956937799043001E-2</v>
      </c>
      <c r="E1017" s="1">
        <v>5.4480852743781998E-2</v>
      </c>
      <c r="F1017" s="1">
        <v>6.09176397643897E-2</v>
      </c>
    </row>
    <row r="1018" spans="1:6" x14ac:dyDescent="0.25">
      <c r="A1018" s="2" t="str">
        <f t="shared" si="42"/>
        <v>45460</v>
      </c>
      <c r="B1018" s="2" t="str">
        <f>"47932"</f>
        <v>47932</v>
      </c>
      <c r="C1018" s="1">
        <v>2.3986567522187498E-3</v>
      </c>
      <c r="D1018" s="1">
        <v>1.7942583732057399E-3</v>
      </c>
      <c r="E1018" s="1">
        <v>1.18436636399526E-3</v>
      </c>
      <c r="F1018" s="1">
        <v>2.3251007543660198E-3</v>
      </c>
    </row>
    <row r="1019" spans="1:6" x14ac:dyDescent="0.25">
      <c r="A1019" s="2" t="str">
        <f t="shared" si="42"/>
        <v>45460</v>
      </c>
      <c r="B1019" s="2" t="str">
        <f>"47882"</f>
        <v>47882</v>
      </c>
      <c r="C1019" s="1">
        <v>5.1948051948051903E-2</v>
      </c>
      <c r="D1019" s="1">
        <v>5.8163875598086098E-2</v>
      </c>
      <c r="E1019" s="1">
        <v>4.2242400315831E-2</v>
      </c>
      <c r="F1019" s="1">
        <v>5.2123592022320898E-2</v>
      </c>
    </row>
    <row r="1020" spans="1:6" x14ac:dyDescent="0.25">
      <c r="A1020" s="2" t="str">
        <f t="shared" si="42"/>
        <v>45460</v>
      </c>
      <c r="B1020" s="2" t="str">
        <f>"47861"</f>
        <v>47861</v>
      </c>
      <c r="C1020" s="1">
        <v>3.3466972780956902E-3</v>
      </c>
      <c r="D1020" s="1">
        <v>1.4952153110047799E-3</v>
      </c>
      <c r="E1020" s="1">
        <v>1.5791551519936801E-3</v>
      </c>
      <c r="F1020" s="1">
        <v>3.1724708070682999E-3</v>
      </c>
    </row>
    <row r="1021" spans="1:6" x14ac:dyDescent="0.25">
      <c r="A1021" s="2" t="str">
        <f t="shared" si="42"/>
        <v>45460</v>
      </c>
      <c r="B1021" s="2" t="str">
        <f>"47842"</f>
        <v>47842</v>
      </c>
      <c r="C1021" s="1">
        <v>5.4232486950164999E-2</v>
      </c>
      <c r="D1021" s="1">
        <v>4.4407894736842098E-2</v>
      </c>
      <c r="E1021" s="1">
        <v>3.6715357283853098E-2</v>
      </c>
      <c r="F1021" s="1">
        <v>5.3094967448589402E-2</v>
      </c>
    </row>
    <row r="1022" spans="1:6" x14ac:dyDescent="0.25">
      <c r="A1022" s="2" t="str">
        <f t="shared" si="42"/>
        <v>45460</v>
      </c>
      <c r="B1022" s="2" t="str">
        <f>"47974"</f>
        <v>47974</v>
      </c>
      <c r="C1022" s="1">
        <v>6.2250853807582001E-3</v>
      </c>
      <c r="D1022" s="1">
        <v>1.3456937799043E-3</v>
      </c>
      <c r="E1022" s="1">
        <v>1.9739439399920999E-3</v>
      </c>
      <c r="F1022" s="1">
        <v>5.7765836519582496E-3</v>
      </c>
    </row>
    <row r="1023" spans="1:6" x14ac:dyDescent="0.25">
      <c r="A1023" s="2" t="str">
        <f t="shared" si="42"/>
        <v>45460</v>
      </c>
      <c r="B1023" s="2" t="str">
        <f>"47578"</f>
        <v>47578</v>
      </c>
      <c r="C1023" s="1">
        <v>1.14221750105655E-5</v>
      </c>
      <c r="D1023" s="1">
        <v>0</v>
      </c>
      <c r="E1023" s="1">
        <v>0</v>
      </c>
      <c r="F1023" s="1">
        <v>1.0333781130515601E-5</v>
      </c>
    </row>
    <row r="1024" spans="1:6" x14ac:dyDescent="0.25">
      <c r="A1024" s="2" t="str">
        <f t="shared" si="42"/>
        <v>45460</v>
      </c>
      <c r="B1024" s="2" t="str">
        <f>"47884"</f>
        <v>47884</v>
      </c>
      <c r="C1024" s="1">
        <v>1.14221750105655E-5</v>
      </c>
      <c r="D1024" s="1">
        <v>0</v>
      </c>
      <c r="E1024" s="1">
        <v>3.9478878799842002E-4</v>
      </c>
      <c r="F1024" s="1">
        <v>2.06675622610313E-5</v>
      </c>
    </row>
    <row r="1025" spans="1:6" x14ac:dyDescent="0.25">
      <c r="A1025" s="2" t="str">
        <f t="shared" si="42"/>
        <v>45460</v>
      </c>
      <c r="B1025" s="2" t="str">
        <f>"47855"</f>
        <v>47855</v>
      </c>
      <c r="C1025" s="1">
        <v>3.8492729785605702E-3</v>
      </c>
      <c r="D1025" s="1">
        <v>1.49521531100478E-4</v>
      </c>
      <c r="E1025" s="1">
        <v>1.18436636399526E-3</v>
      </c>
      <c r="F1025" s="1">
        <v>3.5238193655058301E-3</v>
      </c>
    </row>
    <row r="1026" spans="1:6" x14ac:dyDescent="0.25">
      <c r="A1026" s="2" t="str">
        <f t="shared" si="42"/>
        <v>45460</v>
      </c>
      <c r="B1026" s="2" t="str">
        <f>"47870"</f>
        <v>47870</v>
      </c>
      <c r="C1026" s="1">
        <v>0</v>
      </c>
      <c r="D1026" s="1">
        <v>0</v>
      </c>
      <c r="E1026" s="1">
        <v>3.9478878799842002E-4</v>
      </c>
      <c r="F1026" s="1">
        <v>1.0333781130515601E-5</v>
      </c>
    </row>
    <row r="1027" spans="1:6" x14ac:dyDescent="0.25">
      <c r="A1027" s="2" t="str">
        <f t="shared" si="42"/>
        <v>45460</v>
      </c>
      <c r="B1027" s="2" t="str">
        <f>"47869"</f>
        <v>47869</v>
      </c>
      <c r="C1027" s="1">
        <v>0</v>
      </c>
      <c r="D1027" s="1">
        <v>0</v>
      </c>
      <c r="E1027" s="1">
        <v>3.9478878799842002E-4</v>
      </c>
      <c r="F1027" s="1">
        <v>1.0333781130515601E-5</v>
      </c>
    </row>
    <row r="1028" spans="1:6" x14ac:dyDescent="0.25">
      <c r="A1028" s="2" t="str">
        <f t="shared" si="42"/>
        <v>45460</v>
      </c>
      <c r="B1028" s="2" t="str">
        <f>"47880"</f>
        <v>47880</v>
      </c>
      <c r="C1028" s="1">
        <v>0</v>
      </c>
      <c r="D1028" s="1">
        <v>0</v>
      </c>
      <c r="E1028" s="1">
        <v>3.9478878799842002E-4</v>
      </c>
      <c r="F1028" s="1">
        <v>1.0333781130515601E-5</v>
      </c>
    </row>
    <row r="1029" spans="1:6" x14ac:dyDescent="0.25">
      <c r="A1029" s="2" t="str">
        <f t="shared" si="42"/>
        <v>45460</v>
      </c>
      <c r="B1029" s="2" t="str">
        <f>"47849"</f>
        <v>47849</v>
      </c>
      <c r="C1029" s="1">
        <v>1.9874584518383902E-3</v>
      </c>
      <c r="D1029" s="1">
        <v>7.4760765550239202E-4</v>
      </c>
      <c r="E1029" s="1">
        <v>3.9478878799842002E-4</v>
      </c>
      <c r="F1029" s="1">
        <v>1.86008060349281E-3</v>
      </c>
    </row>
    <row r="1030" spans="1:6" x14ac:dyDescent="0.25">
      <c r="A1030" s="2" t="str">
        <f t="shared" si="42"/>
        <v>45460</v>
      </c>
      <c r="B1030" s="2" t="str">
        <f>"47846"</f>
        <v>47846</v>
      </c>
      <c r="C1030" s="1">
        <v>3.66651817839152E-3</v>
      </c>
      <c r="D1030" s="1">
        <v>0</v>
      </c>
      <c r="E1030" s="1">
        <v>1.18436636399526E-3</v>
      </c>
      <c r="F1030" s="1">
        <v>3.3481450862870698E-3</v>
      </c>
    </row>
    <row r="1031" spans="1:6" x14ac:dyDescent="0.25">
      <c r="A1031" s="2" t="str">
        <f t="shared" si="42"/>
        <v>45460</v>
      </c>
      <c r="B1031" s="2" t="str">
        <f>"47837"</f>
        <v>47837</v>
      </c>
      <c r="C1031" s="1">
        <v>6.1679745057053696E-3</v>
      </c>
      <c r="D1031" s="1">
        <v>1.04665071770334E-3</v>
      </c>
      <c r="E1031" s="1">
        <v>1.18436636399526E-3</v>
      </c>
      <c r="F1031" s="1">
        <v>5.6835796217836101E-3</v>
      </c>
    </row>
    <row r="1032" spans="1:6" x14ac:dyDescent="0.25">
      <c r="A1032" s="2" t="str">
        <f t="shared" si="42"/>
        <v>45460</v>
      </c>
      <c r="B1032" s="2" t="str">
        <f>"47966"</f>
        <v>47966</v>
      </c>
      <c r="C1032" s="1">
        <v>0</v>
      </c>
      <c r="D1032" s="1">
        <v>0</v>
      </c>
      <c r="E1032" s="1">
        <v>3.9478878799842002E-4</v>
      </c>
      <c r="F1032" s="1">
        <v>1.0333781130515601E-5</v>
      </c>
    </row>
    <row r="1033" spans="1:6" x14ac:dyDescent="0.25">
      <c r="A1033" s="2" t="str">
        <f t="shared" si="42"/>
        <v>45460</v>
      </c>
      <c r="B1033" s="2" t="str">
        <f>"47809"</f>
        <v>47809</v>
      </c>
      <c r="C1033" s="1">
        <v>0</v>
      </c>
      <c r="D1033" s="1">
        <v>2.99043062200956E-4</v>
      </c>
      <c r="E1033" s="1">
        <v>1.8160284247927299E-2</v>
      </c>
      <c r="F1033" s="1">
        <v>4.9602149426475101E-4</v>
      </c>
    </row>
    <row r="1034" spans="1:6" x14ac:dyDescent="0.25">
      <c r="A1034" s="2" t="str">
        <f t="shared" si="42"/>
        <v>45460</v>
      </c>
      <c r="B1034" s="2" t="str">
        <f>"47805"</f>
        <v>47805</v>
      </c>
      <c r="C1034" s="1">
        <v>6.7881986087790794E-2</v>
      </c>
      <c r="D1034" s="1">
        <v>3.3343301435406598E-2</v>
      </c>
      <c r="E1034" s="1">
        <v>5.3296486379786803E-2</v>
      </c>
      <c r="F1034" s="1">
        <v>6.51131549033791E-2</v>
      </c>
    </row>
    <row r="1035" spans="1:6" x14ac:dyDescent="0.25">
      <c r="A1035" s="2" t="str">
        <f t="shared" si="42"/>
        <v>45460</v>
      </c>
      <c r="B1035" s="2" t="str">
        <f>"47834"</f>
        <v>47834</v>
      </c>
      <c r="C1035" s="1">
        <v>0.10161166889399</v>
      </c>
      <c r="D1035" s="1">
        <v>9.1955741626794193E-2</v>
      </c>
      <c r="E1035" s="1">
        <v>5.7244374259770997E-2</v>
      </c>
      <c r="F1035" s="1">
        <v>9.97829905962591E-2</v>
      </c>
    </row>
    <row r="1036" spans="1:6" x14ac:dyDescent="0.25">
      <c r="A1036" s="2" t="str">
        <f t="shared" si="42"/>
        <v>45460</v>
      </c>
      <c r="B1036" s="2" t="str">
        <f>"47952"</f>
        <v>47952</v>
      </c>
      <c r="C1036" s="1">
        <v>3.8150064535288799E-3</v>
      </c>
      <c r="D1036" s="1">
        <v>7.4760765550239202E-4</v>
      </c>
      <c r="E1036" s="1">
        <v>7.8957757599684101E-4</v>
      </c>
      <c r="F1036" s="1">
        <v>3.5238193655058301E-3</v>
      </c>
    </row>
    <row r="1037" spans="1:6" x14ac:dyDescent="0.25">
      <c r="A1037" s="2" t="str">
        <f t="shared" ref="A1037:A1069" si="43">"45460"</f>
        <v>45460</v>
      </c>
      <c r="B1037" s="2" t="str">
        <f>"47928"</f>
        <v>47928</v>
      </c>
      <c r="C1037" s="1">
        <v>8.7036973580509203E-3</v>
      </c>
      <c r="D1037" s="1">
        <v>4.4856459330143497E-3</v>
      </c>
      <c r="E1037" s="1">
        <v>2.36873272799052E-3</v>
      </c>
      <c r="F1037" s="1">
        <v>8.2463573421514905E-3</v>
      </c>
    </row>
    <row r="1038" spans="1:6" x14ac:dyDescent="0.25">
      <c r="A1038" s="2" t="str">
        <f t="shared" si="43"/>
        <v>45460</v>
      </c>
      <c r="B1038" s="2" t="str">
        <f>"47875"</f>
        <v>47875</v>
      </c>
      <c r="C1038" s="1">
        <v>0</v>
      </c>
      <c r="D1038" s="1">
        <v>0</v>
      </c>
      <c r="E1038" s="1">
        <v>3.9478878799842002E-4</v>
      </c>
      <c r="F1038" s="1">
        <v>1.0333781130515601E-5</v>
      </c>
    </row>
    <row r="1039" spans="1:6" x14ac:dyDescent="0.25">
      <c r="A1039" s="2" t="str">
        <f t="shared" si="43"/>
        <v>45460</v>
      </c>
      <c r="B1039" s="2" t="str">
        <f>"47871"</f>
        <v>47871</v>
      </c>
      <c r="C1039" s="1">
        <v>9.8230705090863405E-4</v>
      </c>
      <c r="D1039" s="1">
        <v>0</v>
      </c>
      <c r="E1039" s="1">
        <v>3.9478878799842002E-4</v>
      </c>
      <c r="F1039" s="1">
        <v>8.9903895835486195E-4</v>
      </c>
    </row>
    <row r="1040" spans="1:6" x14ac:dyDescent="0.25">
      <c r="A1040" s="2" t="str">
        <f t="shared" si="43"/>
        <v>45460</v>
      </c>
      <c r="B1040" s="2" t="str">
        <f>"47847"</f>
        <v>47847</v>
      </c>
      <c r="C1040" s="1">
        <v>3.3352751030851198E-3</v>
      </c>
      <c r="D1040" s="1">
        <v>4.4856459330143498E-4</v>
      </c>
      <c r="E1040" s="1">
        <v>1.5791551519936801E-3</v>
      </c>
      <c r="F1040" s="1">
        <v>3.08980055802418E-3</v>
      </c>
    </row>
    <row r="1041" spans="1:6" x14ac:dyDescent="0.25">
      <c r="A1041" s="2" t="str">
        <f t="shared" si="43"/>
        <v>45460</v>
      </c>
      <c r="B1041" s="2" t="str">
        <f>"47858"</f>
        <v>47858</v>
      </c>
      <c r="C1041" s="1">
        <v>3.7122068784337901E-3</v>
      </c>
      <c r="D1041" s="1">
        <v>1.3456937799043E-3</v>
      </c>
      <c r="E1041" s="1">
        <v>7.8957757599684101E-4</v>
      </c>
      <c r="F1041" s="1">
        <v>3.4721504598532599E-3</v>
      </c>
    </row>
    <row r="1042" spans="1:6" x14ac:dyDescent="0.25">
      <c r="A1042" s="2" t="str">
        <f t="shared" si="43"/>
        <v>45460</v>
      </c>
      <c r="B1042" s="2" t="str">
        <f>"47874"</f>
        <v>47874</v>
      </c>
      <c r="C1042" s="1">
        <v>1.93834309929296E-2</v>
      </c>
      <c r="D1042" s="1">
        <v>6.2799043062200903E-3</v>
      </c>
      <c r="E1042" s="1">
        <v>9.8697196999605209E-3</v>
      </c>
      <c r="F1042" s="1">
        <v>1.82287899142296E-2</v>
      </c>
    </row>
    <row r="1043" spans="1:6" x14ac:dyDescent="0.25">
      <c r="A1043" s="2" t="str">
        <f t="shared" si="43"/>
        <v>45460</v>
      </c>
      <c r="B1043" s="2" t="str">
        <f>"47862"</f>
        <v>47862</v>
      </c>
      <c r="C1043" s="1">
        <v>3.9520725536556604E-3</v>
      </c>
      <c r="D1043" s="1">
        <v>4.1866028708133904E-3</v>
      </c>
      <c r="E1043" s="1">
        <v>3.9478878799842002E-4</v>
      </c>
      <c r="F1043" s="1">
        <v>3.8751679239433698E-3</v>
      </c>
    </row>
    <row r="1044" spans="1:6" x14ac:dyDescent="0.25">
      <c r="A1044" s="2" t="str">
        <f t="shared" si="43"/>
        <v>45460</v>
      </c>
      <c r="B1044" s="2" t="str">
        <f>"47848"</f>
        <v>47848</v>
      </c>
      <c r="C1044" s="1">
        <v>8.7151195330614807E-3</v>
      </c>
      <c r="D1044" s="1">
        <v>3.2894736842105201E-3</v>
      </c>
      <c r="E1044" s="1">
        <v>1.5791551519936801E-3</v>
      </c>
      <c r="F1044" s="1">
        <v>8.1533533119768492E-3</v>
      </c>
    </row>
    <row r="1045" spans="1:6" x14ac:dyDescent="0.25">
      <c r="A1045" s="2" t="str">
        <f t="shared" si="43"/>
        <v>45460</v>
      </c>
      <c r="B1045" s="2" t="str">
        <f>"47802"</f>
        <v>47802</v>
      </c>
      <c r="C1045" s="1">
        <v>0.18338301979462901</v>
      </c>
      <c r="D1045" s="1">
        <v>0.24312200956937699</v>
      </c>
      <c r="E1045" s="1">
        <v>0.15712593762337099</v>
      </c>
      <c r="F1045" s="1">
        <v>0.18682442905859201</v>
      </c>
    </row>
    <row r="1046" spans="1:6" x14ac:dyDescent="0.25">
      <c r="A1046" s="2" t="str">
        <f t="shared" si="43"/>
        <v>45460</v>
      </c>
      <c r="B1046" s="2" t="str">
        <f>"47561"</f>
        <v>47561</v>
      </c>
      <c r="C1046" s="1">
        <v>4.11198300380358E-4</v>
      </c>
      <c r="D1046" s="1">
        <v>4.4856459330143498E-4</v>
      </c>
      <c r="E1046" s="1">
        <v>0</v>
      </c>
      <c r="F1046" s="1">
        <v>4.0301746409011002E-4</v>
      </c>
    </row>
    <row r="1047" spans="1:6" x14ac:dyDescent="0.25">
      <c r="A1047" s="2" t="str">
        <f t="shared" si="43"/>
        <v>45460</v>
      </c>
      <c r="B1047" s="2" t="str">
        <f>"47851"</f>
        <v>47851</v>
      </c>
      <c r="C1047" s="1">
        <v>0</v>
      </c>
      <c r="D1047" s="1">
        <v>0</v>
      </c>
      <c r="E1047" s="1">
        <v>3.9478878799842002E-4</v>
      </c>
      <c r="F1047" s="1">
        <v>1.0333781130515601E-5</v>
      </c>
    </row>
    <row r="1048" spans="1:6" x14ac:dyDescent="0.25">
      <c r="A1048" s="2" t="str">
        <f t="shared" si="43"/>
        <v>45460</v>
      </c>
      <c r="B1048" s="2" t="str">
        <f>"47840"</f>
        <v>47840</v>
      </c>
      <c r="C1048" s="1">
        <v>7.8127677072268101E-3</v>
      </c>
      <c r="D1048" s="1">
        <v>2.9904306220095598E-3</v>
      </c>
      <c r="E1048" s="1">
        <v>3.1583103039873601E-3</v>
      </c>
      <c r="F1048" s="1">
        <v>7.3576521649271398E-3</v>
      </c>
    </row>
    <row r="1049" spans="1:6" x14ac:dyDescent="0.25">
      <c r="A1049" s="2" t="str">
        <f t="shared" si="43"/>
        <v>45460</v>
      </c>
      <c r="B1049" s="2" t="str">
        <f>"47831"</f>
        <v>47831</v>
      </c>
      <c r="C1049" s="1">
        <v>0</v>
      </c>
      <c r="D1049" s="1">
        <v>0</v>
      </c>
      <c r="E1049" s="1">
        <v>3.9478878799842002E-4</v>
      </c>
      <c r="F1049" s="1">
        <v>1.0333781130515601E-5</v>
      </c>
    </row>
    <row r="1050" spans="1:6" x14ac:dyDescent="0.25">
      <c r="A1050" s="2" t="str">
        <f t="shared" si="43"/>
        <v>45460</v>
      </c>
      <c r="B1050" s="2" t="str">
        <f>"47427"</f>
        <v>47427</v>
      </c>
      <c r="C1050" s="1">
        <v>6.6248615061279903E-4</v>
      </c>
      <c r="D1050" s="1">
        <v>0</v>
      </c>
      <c r="E1050" s="1">
        <v>0</v>
      </c>
      <c r="F1050" s="1">
        <v>5.9935930556990796E-4</v>
      </c>
    </row>
    <row r="1051" spans="1:6" x14ac:dyDescent="0.25">
      <c r="A1051" s="2" t="str">
        <f t="shared" si="43"/>
        <v>45460</v>
      </c>
      <c r="B1051" s="2" t="str">
        <f>"47885"</f>
        <v>47885</v>
      </c>
      <c r="C1051" s="1">
        <v>5.1376943197523603E-2</v>
      </c>
      <c r="D1051" s="1">
        <v>2.8558612440191301E-2</v>
      </c>
      <c r="E1051" s="1">
        <v>8.2905645479668302E-3</v>
      </c>
      <c r="F1051" s="1">
        <v>4.8672109124728698E-2</v>
      </c>
    </row>
    <row r="1052" spans="1:6" x14ac:dyDescent="0.25">
      <c r="A1052" s="2" t="str">
        <f t="shared" si="43"/>
        <v>45460</v>
      </c>
      <c r="B1052" s="2" t="str">
        <f>"47872"</f>
        <v>47872</v>
      </c>
      <c r="C1052" s="1">
        <v>4.6294075317822002E-2</v>
      </c>
      <c r="D1052" s="1">
        <v>5.0986842105263101E-2</v>
      </c>
      <c r="E1052" s="1">
        <v>4.7769443347808901E-2</v>
      </c>
      <c r="F1052" s="1">
        <v>4.6657021804278102E-2</v>
      </c>
    </row>
    <row r="1053" spans="1:6" x14ac:dyDescent="0.25">
      <c r="A1053" s="2" t="str">
        <f t="shared" si="43"/>
        <v>45460</v>
      </c>
      <c r="B1053" s="2" t="str">
        <f>"47866"</f>
        <v>47866</v>
      </c>
      <c r="C1053" s="1">
        <v>1.9646141018172599E-3</v>
      </c>
      <c r="D1053" s="1">
        <v>1.1961722488038199E-3</v>
      </c>
      <c r="E1053" s="1">
        <v>1.18436636399526E-3</v>
      </c>
      <c r="F1053" s="1">
        <v>1.89108194688436E-3</v>
      </c>
    </row>
    <row r="1054" spans="1:6" x14ac:dyDescent="0.25">
      <c r="A1054" s="2" t="str">
        <f t="shared" si="43"/>
        <v>45460</v>
      </c>
      <c r="B1054" s="2" t="str">
        <f>"47859"</f>
        <v>47859</v>
      </c>
      <c r="C1054" s="1">
        <v>3.4380746781802101E-3</v>
      </c>
      <c r="D1054" s="1">
        <v>2.09330143540669E-3</v>
      </c>
      <c r="E1054" s="1">
        <v>3.9478878799842002E-4</v>
      </c>
      <c r="F1054" s="1">
        <v>3.2654748372429399E-3</v>
      </c>
    </row>
    <row r="1055" spans="1:6" x14ac:dyDescent="0.25">
      <c r="A1055" s="2" t="str">
        <f t="shared" si="43"/>
        <v>45460</v>
      </c>
      <c r="B1055" s="2" t="str">
        <f>"47841"</f>
        <v>47841</v>
      </c>
      <c r="C1055" s="1">
        <v>1.24159042364847E-2</v>
      </c>
      <c r="D1055" s="1">
        <v>1.52511961722488E-2</v>
      </c>
      <c r="E1055" s="1">
        <v>5.1322542439794696E-3</v>
      </c>
      <c r="F1055" s="1">
        <v>1.24212049188798E-2</v>
      </c>
    </row>
    <row r="1056" spans="1:6" x14ac:dyDescent="0.25">
      <c r="A1056" s="2" t="str">
        <f t="shared" si="43"/>
        <v>45460</v>
      </c>
      <c r="B1056" s="2" t="str">
        <f>"47836"</f>
        <v>47836</v>
      </c>
      <c r="C1056" s="1">
        <v>0</v>
      </c>
      <c r="D1056" s="1">
        <v>0</v>
      </c>
      <c r="E1056" s="1">
        <v>3.9478878799842002E-4</v>
      </c>
      <c r="F1056" s="1">
        <v>1.0333781130515601E-5</v>
      </c>
    </row>
    <row r="1057" spans="1:6" x14ac:dyDescent="0.25">
      <c r="A1057" s="2" t="str">
        <f t="shared" si="43"/>
        <v>45460</v>
      </c>
      <c r="B1057" s="2" t="str">
        <f>"47832"</f>
        <v>47832</v>
      </c>
      <c r="C1057" s="1">
        <v>4.5688700042262002E-3</v>
      </c>
      <c r="D1057" s="1">
        <v>1.94377990430622E-3</v>
      </c>
      <c r="E1057" s="1">
        <v>3.9478878799842002E-4</v>
      </c>
      <c r="F1057" s="1">
        <v>4.2781853880334798E-3</v>
      </c>
    </row>
    <row r="1058" spans="1:6" x14ac:dyDescent="0.25">
      <c r="A1058" s="2" t="str">
        <f t="shared" si="43"/>
        <v>45460</v>
      </c>
      <c r="B1058" s="2" t="str">
        <f>"47807"</f>
        <v>47807</v>
      </c>
      <c r="C1058" s="1">
        <v>8.47639607534066E-2</v>
      </c>
      <c r="D1058" s="1">
        <v>0.17613636363636301</v>
      </c>
      <c r="E1058" s="1">
        <v>0.28701144887485103</v>
      </c>
      <c r="F1058" s="1">
        <v>9.6372842823189003E-2</v>
      </c>
    </row>
    <row r="1059" spans="1:6" x14ac:dyDescent="0.25">
      <c r="A1059" s="2" t="str">
        <f t="shared" si="43"/>
        <v>45460</v>
      </c>
      <c r="B1059" s="2" t="str">
        <f>"47801"</f>
        <v>47801</v>
      </c>
      <c r="C1059" s="1">
        <v>9.4118722087059795E-3</v>
      </c>
      <c r="D1059" s="1">
        <v>2.6166267942583699E-2</v>
      </c>
      <c r="E1059" s="1">
        <v>7.8957757599684101E-4</v>
      </c>
      <c r="F1059" s="1">
        <v>1.03441149116461E-2</v>
      </c>
    </row>
    <row r="1060" spans="1:6" x14ac:dyDescent="0.25">
      <c r="A1060" s="2" t="str">
        <f t="shared" si="43"/>
        <v>45460</v>
      </c>
      <c r="B1060" s="2" t="str">
        <f>"47528"</f>
        <v>47528</v>
      </c>
      <c r="C1060" s="1">
        <v>3.4266525031696498E-5</v>
      </c>
      <c r="D1060" s="1">
        <v>0</v>
      </c>
      <c r="E1060" s="1">
        <v>0</v>
      </c>
      <c r="F1060" s="1">
        <v>3.1001343391546897E-5</v>
      </c>
    </row>
    <row r="1061" spans="1:6" x14ac:dyDescent="0.25">
      <c r="A1061" s="2" t="str">
        <f t="shared" si="43"/>
        <v>45460</v>
      </c>
      <c r="B1061" s="2" t="str">
        <f>"47438"</f>
        <v>47438</v>
      </c>
      <c r="C1061" s="1">
        <v>6.3735736558955501E-3</v>
      </c>
      <c r="D1061" s="1">
        <v>1.64473684210526E-3</v>
      </c>
      <c r="E1061" s="1">
        <v>7.9352546387682493E-2</v>
      </c>
      <c r="F1061" s="1">
        <v>7.9570114704970493E-3</v>
      </c>
    </row>
    <row r="1062" spans="1:6" x14ac:dyDescent="0.25">
      <c r="A1062" s="2" t="str">
        <f t="shared" si="43"/>
        <v>45460</v>
      </c>
      <c r="B1062" s="2" t="str">
        <f>"46135"</f>
        <v>46135</v>
      </c>
      <c r="C1062" s="1">
        <v>7.6528572570788895E-4</v>
      </c>
      <c r="D1062" s="1">
        <v>0</v>
      </c>
      <c r="E1062" s="1">
        <v>0</v>
      </c>
      <c r="F1062" s="1">
        <v>6.9236333574454803E-4</v>
      </c>
    </row>
    <row r="1063" spans="1:6" x14ac:dyDescent="0.25">
      <c r="A1063" s="2" t="str">
        <f t="shared" si="43"/>
        <v>45460</v>
      </c>
      <c r="B1063" s="2" t="str">
        <f>"47852"</f>
        <v>47852</v>
      </c>
      <c r="C1063" s="1">
        <v>0</v>
      </c>
      <c r="D1063" s="1">
        <v>0</v>
      </c>
      <c r="E1063" s="1">
        <v>3.9478878799842002E-4</v>
      </c>
      <c r="F1063" s="1">
        <v>1.0333781130515601E-5</v>
      </c>
    </row>
    <row r="1064" spans="1:6" x14ac:dyDescent="0.25">
      <c r="A1064" s="2" t="str">
        <f t="shared" si="43"/>
        <v>45460</v>
      </c>
      <c r="B1064" s="2" t="str">
        <f>"47860"</f>
        <v>47860</v>
      </c>
      <c r="C1064" s="1">
        <v>1.37066100126786E-3</v>
      </c>
      <c r="D1064" s="1">
        <v>1.3456937799043E-3</v>
      </c>
      <c r="E1064" s="1">
        <v>1.5791551519936801E-3</v>
      </c>
      <c r="F1064" s="1">
        <v>1.3743928903585799E-3</v>
      </c>
    </row>
    <row r="1065" spans="1:6" x14ac:dyDescent="0.25">
      <c r="A1065" s="2" t="str">
        <f t="shared" si="43"/>
        <v>45460</v>
      </c>
      <c r="B1065" s="2" t="str">
        <f>"47857"</f>
        <v>47857</v>
      </c>
      <c r="C1065" s="1">
        <v>7.42441375686758E-4</v>
      </c>
      <c r="D1065" s="1">
        <v>1.49521531100478E-4</v>
      </c>
      <c r="E1065" s="1">
        <v>0</v>
      </c>
      <c r="F1065" s="1">
        <v>6.8202955461403299E-4</v>
      </c>
    </row>
    <row r="1066" spans="1:6" x14ac:dyDescent="0.25">
      <c r="A1066" s="2" t="str">
        <f t="shared" si="43"/>
        <v>45460</v>
      </c>
      <c r="B1066" s="2" t="str">
        <f>"47838"</f>
        <v>47838</v>
      </c>
      <c r="C1066" s="1">
        <v>1.05312453597414E-2</v>
      </c>
      <c r="D1066" s="1">
        <v>6.8779904306220004E-3</v>
      </c>
      <c r="E1066" s="1">
        <v>2.7635215159889401E-3</v>
      </c>
      <c r="F1066" s="1">
        <v>1.0075436602252699E-2</v>
      </c>
    </row>
    <row r="1067" spans="1:6" x14ac:dyDescent="0.25">
      <c r="A1067" s="2" t="str">
        <f t="shared" si="43"/>
        <v>45460</v>
      </c>
      <c r="B1067" s="2" t="str">
        <f>"47989"</f>
        <v>47989</v>
      </c>
      <c r="C1067" s="1">
        <v>1.5191492764052099E-3</v>
      </c>
      <c r="D1067" s="1">
        <v>2.99043062200956E-4</v>
      </c>
      <c r="E1067" s="1">
        <v>0</v>
      </c>
      <c r="F1067" s="1">
        <v>1.39506045261961E-3</v>
      </c>
    </row>
    <row r="1068" spans="1:6" x14ac:dyDescent="0.25">
      <c r="A1068" s="2" t="str">
        <f t="shared" si="43"/>
        <v>45460</v>
      </c>
      <c r="B1068" s="2" t="str">
        <f>"47833"</f>
        <v>47833</v>
      </c>
      <c r="C1068" s="1">
        <v>3.0268763777998599E-3</v>
      </c>
      <c r="D1068" s="1">
        <v>1.04665071770334E-3</v>
      </c>
      <c r="E1068" s="1">
        <v>7.8957757599684101E-4</v>
      </c>
      <c r="F1068" s="1">
        <v>2.8314560297612798E-3</v>
      </c>
    </row>
    <row r="1069" spans="1:6" x14ac:dyDescent="0.25">
      <c r="A1069" s="2" t="str">
        <f t="shared" si="43"/>
        <v>45460</v>
      </c>
      <c r="B1069" s="2" t="str">
        <f>"46171"</f>
        <v>46171</v>
      </c>
      <c r="C1069" s="1">
        <v>5.7110875052827501E-5</v>
      </c>
      <c r="D1069" s="1">
        <v>0</v>
      </c>
      <c r="E1069" s="1">
        <v>0</v>
      </c>
      <c r="F1069" s="1">
        <v>5.1668905652578201E-5</v>
      </c>
    </row>
    <row r="1070" spans="1:6" x14ac:dyDescent="0.25">
      <c r="A1070" s="2" t="str">
        <f t="shared" ref="A1070:A1133" si="44">"16980"</f>
        <v>16980</v>
      </c>
      <c r="B1070" s="2" t="str">
        <f>"61012"</f>
        <v>61012</v>
      </c>
      <c r="C1070" s="1">
        <v>2.4315535901037702E-7</v>
      </c>
      <c r="D1070" s="1">
        <v>0</v>
      </c>
      <c r="E1070" s="1">
        <v>0</v>
      </c>
      <c r="F1070" s="1">
        <v>2.0459537581715301E-7</v>
      </c>
    </row>
    <row r="1071" spans="1:6" x14ac:dyDescent="0.25">
      <c r="A1071" s="2" t="str">
        <f t="shared" si="44"/>
        <v>16980</v>
      </c>
      <c r="B1071" s="2" t="str">
        <f>"60668"</f>
        <v>60668</v>
      </c>
      <c r="C1071" s="1">
        <v>0</v>
      </c>
      <c r="D1071" s="1">
        <v>2.4509743848666999E-6</v>
      </c>
      <c r="E1071" s="1">
        <v>0</v>
      </c>
      <c r="F1071" s="1">
        <v>2.0459537581715301E-7</v>
      </c>
    </row>
    <row r="1072" spans="1:6" x14ac:dyDescent="0.25">
      <c r="A1072" s="2" t="str">
        <f t="shared" si="44"/>
        <v>16980</v>
      </c>
      <c r="B1072" s="2" t="str">
        <f>"60656"</f>
        <v>60656</v>
      </c>
      <c r="C1072" s="1">
        <v>3.0737268932501702E-3</v>
      </c>
      <c r="D1072" s="1">
        <v>1.2892125264398801E-3</v>
      </c>
      <c r="E1072" s="1">
        <v>2.74858484655323E-3</v>
      </c>
      <c r="F1072" s="1">
        <v>2.9003440475839702E-3</v>
      </c>
    </row>
    <row r="1073" spans="1:6" x14ac:dyDescent="0.25">
      <c r="A1073" s="2" t="str">
        <f t="shared" si="44"/>
        <v>16980</v>
      </c>
      <c r="B1073" s="2" t="str">
        <f>"60652"</f>
        <v>60652</v>
      </c>
      <c r="C1073" s="1">
        <v>3.3227179808768001E-3</v>
      </c>
      <c r="D1073" s="1">
        <v>2.2303866902287002E-3</v>
      </c>
      <c r="E1073" s="1">
        <v>1.36203411623054E-3</v>
      </c>
      <c r="F1073" s="1">
        <v>3.0842752904435898E-3</v>
      </c>
    </row>
    <row r="1074" spans="1:6" x14ac:dyDescent="0.25">
      <c r="A1074" s="2" t="str">
        <f t="shared" si="44"/>
        <v>16980</v>
      </c>
      <c r="B1074" s="2" t="str">
        <f>"60682"</f>
        <v>60682</v>
      </c>
      <c r="C1074" s="1">
        <v>0</v>
      </c>
      <c r="D1074" s="1">
        <v>2.6960718233533699E-5</v>
      </c>
      <c r="E1074" s="1">
        <v>4.3585091719377302E-5</v>
      </c>
      <c r="F1074" s="1">
        <v>5.5240751470631496E-6</v>
      </c>
    </row>
    <row r="1075" spans="1:6" x14ac:dyDescent="0.25">
      <c r="A1075" s="2" t="str">
        <f t="shared" si="44"/>
        <v>16980</v>
      </c>
      <c r="B1075" s="2" t="str">
        <f>"60701"</f>
        <v>60701</v>
      </c>
      <c r="C1075" s="1">
        <v>0</v>
      </c>
      <c r="D1075" s="1">
        <v>0</v>
      </c>
      <c r="E1075" s="1">
        <v>8.1722046973832594E-6</v>
      </c>
      <c r="F1075" s="1">
        <v>6.1378612745146096E-7</v>
      </c>
    </row>
    <row r="1076" spans="1:6" x14ac:dyDescent="0.25">
      <c r="A1076" s="2" t="str">
        <f t="shared" si="44"/>
        <v>16980</v>
      </c>
      <c r="B1076" s="2" t="str">
        <f>"60626"</f>
        <v>60626</v>
      </c>
      <c r="C1076" s="1">
        <v>6.3198509360387102E-3</v>
      </c>
      <c r="D1076" s="1">
        <v>2.8284244401361701E-3</v>
      </c>
      <c r="E1076" s="1">
        <v>1.3963573759595499E-2</v>
      </c>
      <c r="F1076" s="1">
        <v>6.6024973729953704E-3</v>
      </c>
    </row>
    <row r="1077" spans="1:6" x14ac:dyDescent="0.25">
      <c r="A1077" s="2" t="str">
        <f t="shared" si="44"/>
        <v>16980</v>
      </c>
      <c r="B1077" s="2" t="str">
        <f>"60632"</f>
        <v>60632</v>
      </c>
      <c r="C1077" s="1">
        <v>4.86821344274676E-3</v>
      </c>
      <c r="D1077" s="1">
        <v>4.6200867154737304E-3</v>
      </c>
      <c r="E1077" s="1">
        <v>2.52793531972388E-3</v>
      </c>
      <c r="F1077" s="1">
        <v>4.6717308114088904E-3</v>
      </c>
    </row>
    <row r="1078" spans="1:6" x14ac:dyDescent="0.25">
      <c r="A1078" s="2" t="str">
        <f t="shared" si="44"/>
        <v>16980</v>
      </c>
      <c r="B1078" s="2" t="str">
        <f>"60630"</f>
        <v>60630</v>
      </c>
      <c r="C1078" s="1">
        <v>5.1227971036306198E-3</v>
      </c>
      <c r="D1078" s="1">
        <v>4.0465587094149196E-3</v>
      </c>
      <c r="E1078" s="1">
        <v>8.1258955374314198E-3</v>
      </c>
      <c r="F1078" s="1">
        <v>5.2585103492524899E-3</v>
      </c>
    </row>
    <row r="1079" spans="1:6" x14ac:dyDescent="0.25">
      <c r="A1079" s="2" t="str">
        <f t="shared" si="44"/>
        <v>16980</v>
      </c>
      <c r="B1079" s="2" t="str">
        <f>"60608"</f>
        <v>60608</v>
      </c>
      <c r="C1079" s="1">
        <v>6.06891460554E-3</v>
      </c>
      <c r="D1079" s="1">
        <v>7.0735120747253003E-3</v>
      </c>
      <c r="E1079" s="1">
        <v>1.3571307934121099E-2</v>
      </c>
      <c r="F1079" s="1">
        <v>6.7162524019497103E-3</v>
      </c>
    </row>
    <row r="1080" spans="1:6" x14ac:dyDescent="0.25">
      <c r="A1080" s="2" t="str">
        <f t="shared" si="44"/>
        <v>16980</v>
      </c>
      <c r="B1080" s="2" t="str">
        <f>"60567"</f>
        <v>60567</v>
      </c>
      <c r="C1080" s="1">
        <v>4.5542998742643601E-4</v>
      </c>
      <c r="D1080" s="1">
        <v>2.1985240232254301E-3</v>
      </c>
      <c r="E1080" s="1">
        <v>1.08962729298443E-5</v>
      </c>
      <c r="F1080" s="1">
        <v>5.6754757251678502E-4</v>
      </c>
    </row>
    <row r="1081" spans="1:6" x14ac:dyDescent="0.25">
      <c r="A1081" s="2" t="str">
        <f t="shared" si="44"/>
        <v>16980</v>
      </c>
      <c r="B1081" s="2" t="str">
        <f>"60566"</f>
        <v>60566</v>
      </c>
      <c r="C1081" s="1">
        <v>7.6350782729258401E-5</v>
      </c>
      <c r="D1081" s="1">
        <v>4.7058708189440701E-4</v>
      </c>
      <c r="E1081" s="1">
        <v>5.4481364649221704E-6</v>
      </c>
      <c r="F1081" s="1">
        <v>1.03934450915114E-4</v>
      </c>
    </row>
    <row r="1082" spans="1:6" x14ac:dyDescent="0.25">
      <c r="A1082" s="2" t="str">
        <f t="shared" si="44"/>
        <v>16980</v>
      </c>
      <c r="B1082" s="2" t="str">
        <f>"60561"</f>
        <v>60561</v>
      </c>
      <c r="C1082" s="1">
        <v>2.42352946325642E-3</v>
      </c>
      <c r="D1082" s="1">
        <v>1.3529378604464201E-3</v>
      </c>
      <c r="E1082" s="1">
        <v>1.5581670289677399E-3</v>
      </c>
      <c r="F1082" s="1">
        <v>2.26916731318805E-3</v>
      </c>
    </row>
    <row r="1083" spans="1:6" x14ac:dyDescent="0.25">
      <c r="A1083" s="2" t="str">
        <f t="shared" si="44"/>
        <v>16980</v>
      </c>
      <c r="B1083" s="2" t="str">
        <f>"60514"</f>
        <v>60514</v>
      </c>
      <c r="C1083" s="1">
        <v>1.0633183849523701E-3</v>
      </c>
      <c r="D1083" s="1">
        <v>8.1372349577574503E-4</v>
      </c>
      <c r="E1083" s="1">
        <v>6.8918926281265401E-4</v>
      </c>
      <c r="F1083" s="1">
        <v>1.0143838733014401E-3</v>
      </c>
    </row>
    <row r="1084" spans="1:6" x14ac:dyDescent="0.25">
      <c r="A1084" s="2" t="str">
        <f t="shared" si="44"/>
        <v>16980</v>
      </c>
      <c r="B1084" s="2" t="str">
        <f>"60554"</f>
        <v>60554</v>
      </c>
      <c r="C1084" s="1">
        <v>1.4397228807004399E-3</v>
      </c>
      <c r="D1084" s="1">
        <v>1.6421528378606899E-3</v>
      </c>
      <c r="E1084" s="1">
        <v>7.13705876904804E-4</v>
      </c>
      <c r="F1084" s="1">
        <v>1.4020921104749499E-3</v>
      </c>
    </row>
    <row r="1085" spans="1:6" x14ac:dyDescent="0.25">
      <c r="A1085" s="2" t="str">
        <f t="shared" si="44"/>
        <v>16980</v>
      </c>
      <c r="B1085" s="2" t="str">
        <f>"60482"</f>
        <v>60482</v>
      </c>
      <c r="C1085" s="1">
        <v>1.4122463251322701E-3</v>
      </c>
      <c r="D1085" s="1">
        <v>1.20097744858468E-3</v>
      </c>
      <c r="E1085" s="1">
        <v>1.6916463723583299E-3</v>
      </c>
      <c r="F1085" s="1">
        <v>1.4155954052788801E-3</v>
      </c>
    </row>
    <row r="1086" spans="1:6" x14ac:dyDescent="0.25">
      <c r="A1086" s="2" t="str">
        <f t="shared" si="44"/>
        <v>16980</v>
      </c>
      <c r="B1086" s="2" t="str">
        <f>"60479"</f>
        <v>60479</v>
      </c>
      <c r="C1086" s="1">
        <v>7.0028743394988594E-5</v>
      </c>
      <c r="D1086" s="1">
        <v>1.4705846309200201E-5</v>
      </c>
      <c r="E1086" s="1">
        <v>0</v>
      </c>
      <c r="F1086" s="1">
        <v>6.0151040490243198E-5</v>
      </c>
    </row>
    <row r="1087" spans="1:6" x14ac:dyDescent="0.25">
      <c r="A1087" s="2" t="str">
        <f t="shared" si="44"/>
        <v>16980</v>
      </c>
      <c r="B1087" s="2" t="str">
        <f>"60443"</f>
        <v>60443</v>
      </c>
      <c r="C1087" s="1">
        <v>2.5066885960379698E-3</v>
      </c>
      <c r="D1087" s="1">
        <v>3.0490121347741699E-3</v>
      </c>
      <c r="E1087" s="1">
        <v>9.45251676663997E-4</v>
      </c>
      <c r="F1087" s="1">
        <v>2.4346849722241301E-3</v>
      </c>
    </row>
    <row r="1088" spans="1:6" x14ac:dyDescent="0.25">
      <c r="A1088" s="2" t="str">
        <f t="shared" si="44"/>
        <v>16980</v>
      </c>
      <c r="B1088" s="2" t="str">
        <f>"60440"</f>
        <v>60440</v>
      </c>
      <c r="C1088" s="1">
        <v>4.7617113955002099E-3</v>
      </c>
      <c r="D1088" s="1">
        <v>4.7965568711841296E-3</v>
      </c>
      <c r="E1088" s="1">
        <v>2.0321549014159701E-3</v>
      </c>
      <c r="F1088" s="1">
        <v>4.5596125454610897E-3</v>
      </c>
    </row>
    <row r="1089" spans="1:6" x14ac:dyDescent="0.25">
      <c r="A1089" s="2" t="str">
        <f t="shared" si="44"/>
        <v>16980</v>
      </c>
      <c r="B1089" s="2" t="str">
        <f>"60465"</f>
        <v>60465</v>
      </c>
      <c r="C1089" s="1">
        <v>1.8992865092300501E-3</v>
      </c>
      <c r="D1089" s="1">
        <v>1.2647027825912101E-3</v>
      </c>
      <c r="E1089" s="1">
        <v>3.7510419560989102E-3</v>
      </c>
      <c r="F1089" s="1">
        <v>1.9853935269296599E-3</v>
      </c>
    </row>
    <row r="1090" spans="1:6" x14ac:dyDescent="0.25">
      <c r="A1090" s="2" t="str">
        <f t="shared" si="44"/>
        <v>16980</v>
      </c>
      <c r="B1090" s="2" t="str">
        <f>"60437"</f>
        <v>60437</v>
      </c>
      <c r="C1090" s="1">
        <v>2.2613448387965001E-5</v>
      </c>
      <c r="D1090" s="1">
        <v>4.9019487697333999E-6</v>
      </c>
      <c r="E1090" s="1">
        <v>0</v>
      </c>
      <c r="F1090" s="1">
        <v>1.9436560702629602E-5</v>
      </c>
    </row>
    <row r="1091" spans="1:6" x14ac:dyDescent="0.25">
      <c r="A1091" s="2" t="str">
        <f t="shared" si="44"/>
        <v>16980</v>
      </c>
      <c r="B1091" s="2" t="str">
        <f>"60196"</f>
        <v>60196</v>
      </c>
      <c r="C1091" s="1">
        <v>0</v>
      </c>
      <c r="D1091" s="1">
        <v>3.9215590157867199E-5</v>
      </c>
      <c r="E1091" s="1">
        <v>2.7240682324610801E-6</v>
      </c>
      <c r="F1091" s="1">
        <v>3.47812138889161E-6</v>
      </c>
    </row>
    <row r="1092" spans="1:6" x14ac:dyDescent="0.25">
      <c r="A1092" s="2" t="str">
        <f t="shared" si="44"/>
        <v>16980</v>
      </c>
      <c r="B1092" s="2" t="str">
        <f>"60188"</f>
        <v>60188</v>
      </c>
      <c r="C1092" s="1">
        <v>4.1771659124392596E-3</v>
      </c>
      <c r="D1092" s="1">
        <v>3.9411668108656501E-3</v>
      </c>
      <c r="E1092" s="1">
        <v>2.8330309617595299E-3</v>
      </c>
      <c r="F1092" s="1">
        <v>4.0565125163267097E-3</v>
      </c>
    </row>
    <row r="1093" spans="1:6" x14ac:dyDescent="0.25">
      <c r="A1093" s="2" t="str">
        <f t="shared" si="44"/>
        <v>16980</v>
      </c>
      <c r="B1093" s="2" t="str">
        <f>"60187"</f>
        <v>60187</v>
      </c>
      <c r="C1093" s="1">
        <v>2.85683231301292E-3</v>
      </c>
      <c r="D1093" s="1">
        <v>4.7181256908683999E-3</v>
      </c>
      <c r="E1093" s="1">
        <v>2.4080763174956E-3</v>
      </c>
      <c r="F1093" s="1">
        <v>2.9784994811461198E-3</v>
      </c>
    </row>
    <row r="1094" spans="1:6" x14ac:dyDescent="0.25">
      <c r="A1094" s="2" t="str">
        <f t="shared" si="44"/>
        <v>16980</v>
      </c>
      <c r="B1094" s="2" t="str">
        <f>"60416"</f>
        <v>60416</v>
      </c>
      <c r="C1094" s="1">
        <v>1.0414344026414401E-3</v>
      </c>
      <c r="D1094" s="1">
        <v>7.2303744353567699E-4</v>
      </c>
      <c r="E1094" s="1">
        <v>4.3040278072885101E-4</v>
      </c>
      <c r="F1094" s="1">
        <v>9.6896369987004103E-4</v>
      </c>
    </row>
    <row r="1095" spans="1:6" x14ac:dyDescent="0.25">
      <c r="A1095" s="2" t="str">
        <f t="shared" si="44"/>
        <v>16980</v>
      </c>
      <c r="B1095" s="2" t="str">
        <f>"60423"</f>
        <v>60423</v>
      </c>
      <c r="C1095" s="1">
        <v>3.3309852630831502E-3</v>
      </c>
      <c r="D1095" s="1">
        <v>4.9975367707431996E-3</v>
      </c>
      <c r="E1095" s="1">
        <v>1.06238661065982E-3</v>
      </c>
      <c r="F1095" s="1">
        <v>3.2997142211790499E-3</v>
      </c>
    </row>
    <row r="1096" spans="1:6" x14ac:dyDescent="0.25">
      <c r="A1096" s="2" t="str">
        <f t="shared" si="44"/>
        <v>16980</v>
      </c>
      <c r="B1096" s="2" t="str">
        <f>"60404"</f>
        <v>60404</v>
      </c>
      <c r="C1096" s="1">
        <v>2.03764190850696E-3</v>
      </c>
      <c r="D1096" s="1">
        <v>1.46323170776542E-3</v>
      </c>
      <c r="E1096" s="1">
        <v>3.2144005143040799E-4</v>
      </c>
      <c r="F1096" s="1">
        <v>1.8607949430570099E-3</v>
      </c>
    </row>
    <row r="1097" spans="1:6" x14ac:dyDescent="0.25">
      <c r="A1097" s="2" t="str">
        <f t="shared" si="44"/>
        <v>16980</v>
      </c>
      <c r="B1097" s="2" t="str">
        <f>"60409"</f>
        <v>60409</v>
      </c>
      <c r="C1097" s="1">
        <v>4.2887742222250296E-3</v>
      </c>
      <c r="D1097" s="1">
        <v>3.3357761378035801E-3</v>
      </c>
      <c r="E1097" s="1">
        <v>5.8240578810017998E-3</v>
      </c>
      <c r="F1097" s="1">
        <v>4.32453245864718E-3</v>
      </c>
    </row>
    <row r="1098" spans="1:6" x14ac:dyDescent="0.25">
      <c r="A1098" s="2" t="str">
        <f t="shared" si="44"/>
        <v>16980</v>
      </c>
      <c r="B1098" s="2" t="str">
        <f>"60179"</f>
        <v>60179</v>
      </c>
      <c r="C1098" s="1">
        <v>0</v>
      </c>
      <c r="D1098" s="1">
        <v>2.4509743848666999E-6</v>
      </c>
      <c r="E1098" s="1">
        <v>0</v>
      </c>
      <c r="F1098" s="1">
        <v>2.0459537581715301E-7</v>
      </c>
    </row>
    <row r="1099" spans="1:6" x14ac:dyDescent="0.25">
      <c r="A1099" s="2" t="str">
        <f t="shared" si="44"/>
        <v>16980</v>
      </c>
      <c r="B1099" s="2" t="str">
        <f>"60208"</f>
        <v>60208</v>
      </c>
      <c r="C1099" s="1">
        <v>0</v>
      </c>
      <c r="D1099" s="1">
        <v>7.3529231546001104E-6</v>
      </c>
      <c r="E1099" s="1">
        <v>2.3699393622411401E-4</v>
      </c>
      <c r="F1099" s="1">
        <v>1.8413583823543802E-5</v>
      </c>
    </row>
    <row r="1100" spans="1:6" x14ac:dyDescent="0.25">
      <c r="A1100" s="2" t="str">
        <f t="shared" si="44"/>
        <v>16980</v>
      </c>
      <c r="B1100" s="2" t="str">
        <f>"60202"</f>
        <v>60202</v>
      </c>
      <c r="C1100" s="1">
        <v>3.6920709712135601E-3</v>
      </c>
      <c r="D1100" s="1">
        <v>2.4093078203239601E-3</v>
      </c>
      <c r="E1100" s="1">
        <v>9.4797574489645792E-3</v>
      </c>
      <c r="F1100" s="1">
        <v>4.0196853486796202E-3</v>
      </c>
    </row>
    <row r="1101" spans="1:6" x14ac:dyDescent="0.25">
      <c r="A1101" s="2" t="str">
        <f t="shared" si="44"/>
        <v>16980</v>
      </c>
      <c r="B1101" s="2" t="str">
        <f>"60121"</f>
        <v>60121</v>
      </c>
      <c r="C1101" s="1">
        <v>3.7567502967103203E-4</v>
      </c>
      <c r="D1101" s="1">
        <v>1.6225450427817499E-3</v>
      </c>
      <c r="E1101" s="1">
        <v>1.36203411623054E-5</v>
      </c>
      <c r="F1101" s="1">
        <v>4.5256497130754402E-4</v>
      </c>
    </row>
    <row r="1102" spans="1:6" x14ac:dyDescent="0.25">
      <c r="A1102" s="2" t="str">
        <f t="shared" si="44"/>
        <v>16980</v>
      </c>
      <c r="B1102" s="2" t="str">
        <f>"60109"</f>
        <v>60109</v>
      </c>
      <c r="C1102" s="1">
        <v>6.5408791573791399E-5</v>
      </c>
      <c r="D1102" s="1">
        <v>2.4509743848666999E-6</v>
      </c>
      <c r="E1102" s="1">
        <v>2.99647505570719E-5</v>
      </c>
      <c r="F1102" s="1">
        <v>5.7491300604620198E-5</v>
      </c>
    </row>
    <row r="1103" spans="1:6" x14ac:dyDescent="0.25">
      <c r="A1103" s="2" t="str">
        <f t="shared" si="44"/>
        <v>16980</v>
      </c>
      <c r="B1103" s="2" t="str">
        <f>"60169"</f>
        <v>60169</v>
      </c>
      <c r="C1103" s="1">
        <v>3.1714753475723398E-3</v>
      </c>
      <c r="D1103" s="1">
        <v>2.5024448469488998E-3</v>
      </c>
      <c r="E1103" s="1">
        <v>2.26642476940762E-3</v>
      </c>
      <c r="F1103" s="1">
        <v>3.0476527181723199E-3</v>
      </c>
    </row>
    <row r="1104" spans="1:6" x14ac:dyDescent="0.25">
      <c r="A1104" s="2" t="str">
        <f t="shared" si="44"/>
        <v>16980</v>
      </c>
      <c r="B1104" s="2" t="str">
        <f>"60141"</f>
        <v>60141</v>
      </c>
      <c r="C1104" s="1">
        <v>3.39688036537496E-4</v>
      </c>
      <c r="D1104" s="1">
        <v>1.4215651432226799E-4</v>
      </c>
      <c r="E1104" s="1">
        <v>8.1722046973832594E-6</v>
      </c>
      <c r="F1104" s="1">
        <v>2.9830005794141001E-4</v>
      </c>
    </row>
    <row r="1105" spans="1:6" x14ac:dyDescent="0.25">
      <c r="A1105" s="2" t="str">
        <f t="shared" si="44"/>
        <v>16980</v>
      </c>
      <c r="B1105" s="2" t="str">
        <f>"60140"</f>
        <v>60140</v>
      </c>
      <c r="C1105" s="1">
        <v>2.1259073038277202E-3</v>
      </c>
      <c r="D1105" s="1">
        <v>7.4264523861461104E-4</v>
      </c>
      <c r="E1105" s="1">
        <v>3.7319734784716798E-4</v>
      </c>
      <c r="F1105" s="1">
        <v>1.8787993361289201E-3</v>
      </c>
    </row>
    <row r="1106" spans="1:6" x14ac:dyDescent="0.25">
      <c r="A1106" s="2" t="str">
        <f t="shared" si="44"/>
        <v>16980</v>
      </c>
      <c r="B1106" s="2" t="str">
        <f>"60138"</f>
        <v>60138</v>
      </c>
      <c r="C1106" s="1">
        <v>3.13427257764376E-4</v>
      </c>
      <c r="D1106" s="1">
        <v>8.4803713716387905E-4</v>
      </c>
      <c r="E1106" s="1">
        <v>1.08962729298443E-5</v>
      </c>
      <c r="F1106" s="1">
        <v>3.3533182096431499E-4</v>
      </c>
    </row>
    <row r="1107" spans="1:6" x14ac:dyDescent="0.25">
      <c r="A1107" s="2" t="str">
        <f t="shared" si="44"/>
        <v>16980</v>
      </c>
      <c r="B1107" s="2" t="str">
        <f>"60135"</f>
        <v>60135</v>
      </c>
      <c r="C1107" s="1">
        <v>7.5621316652227204E-4</v>
      </c>
      <c r="D1107" s="1">
        <v>5.2695949274634104E-4</v>
      </c>
      <c r="E1107" s="1">
        <v>5.3936551002729501E-4</v>
      </c>
      <c r="F1107" s="1">
        <v>7.2078950900383301E-4</v>
      </c>
    </row>
    <row r="1108" spans="1:6" x14ac:dyDescent="0.25">
      <c r="A1108" s="2" t="str">
        <f t="shared" si="44"/>
        <v>16980</v>
      </c>
      <c r="B1108" s="2" t="str">
        <f>"60146"</f>
        <v>60146</v>
      </c>
      <c r="C1108" s="1">
        <v>2.2783657139272299E-4</v>
      </c>
      <c r="D1108" s="1">
        <v>7.8431180315734507E-5</v>
      </c>
      <c r="E1108" s="1">
        <v>7.6273910508910394E-5</v>
      </c>
      <c r="F1108" s="1">
        <v>2.0398158968970199E-4</v>
      </c>
    </row>
    <row r="1109" spans="1:6" x14ac:dyDescent="0.25">
      <c r="A1109" s="2" t="str">
        <f t="shared" si="44"/>
        <v>16980</v>
      </c>
      <c r="B1109" s="2" t="str">
        <f>"60103"</f>
        <v>60103</v>
      </c>
      <c r="C1109" s="1">
        <v>3.7543187431202199E-3</v>
      </c>
      <c r="D1109" s="1">
        <v>2.1078379709853598E-3</v>
      </c>
      <c r="E1109" s="1">
        <v>2.1547379718767101E-3</v>
      </c>
      <c r="F1109" s="1">
        <v>3.4967395680909701E-3</v>
      </c>
    </row>
    <row r="1110" spans="1:6" x14ac:dyDescent="0.25">
      <c r="A1110" s="2" t="str">
        <f t="shared" si="44"/>
        <v>16980</v>
      </c>
      <c r="B1110" s="2" t="str">
        <f>"60130"</f>
        <v>60130</v>
      </c>
      <c r="C1110" s="1">
        <v>2.15776065585808E-3</v>
      </c>
      <c r="D1110" s="1">
        <v>1.74999571079482E-3</v>
      </c>
      <c r="E1110" s="1">
        <v>7.7908351448387004E-3</v>
      </c>
      <c r="F1110" s="1">
        <v>2.5468032381719299E-3</v>
      </c>
    </row>
    <row r="1111" spans="1:6" x14ac:dyDescent="0.25">
      <c r="A1111" s="2" t="str">
        <f t="shared" si="44"/>
        <v>16980</v>
      </c>
      <c r="B1111" s="2" t="str">
        <f>"60126"</f>
        <v>60126</v>
      </c>
      <c r="C1111" s="1">
        <v>4.5946636638600803E-3</v>
      </c>
      <c r="D1111" s="1">
        <v>5.8480248822919498E-3</v>
      </c>
      <c r="E1111" s="1">
        <v>2.70499975483385E-3</v>
      </c>
      <c r="F1111" s="1">
        <v>4.5573619963271E-3</v>
      </c>
    </row>
    <row r="1112" spans="1:6" x14ac:dyDescent="0.25">
      <c r="A1112" s="2" t="str">
        <f t="shared" si="44"/>
        <v>16980</v>
      </c>
      <c r="B1112" s="2" t="str">
        <f>"60086"</f>
        <v>60086</v>
      </c>
      <c r="C1112" s="1">
        <v>0</v>
      </c>
      <c r="D1112" s="1">
        <v>2.4509743848666999E-6</v>
      </c>
      <c r="E1112" s="1">
        <v>0</v>
      </c>
      <c r="F1112" s="1">
        <v>2.0459537581715301E-7</v>
      </c>
    </row>
    <row r="1113" spans="1:6" x14ac:dyDescent="0.25">
      <c r="A1113" s="2" t="str">
        <f t="shared" si="44"/>
        <v>16980</v>
      </c>
      <c r="B1113" s="2" t="str">
        <f>"60090"</f>
        <v>60090</v>
      </c>
      <c r="C1113" s="1">
        <v>4.0380810470853302E-3</v>
      </c>
      <c r="D1113" s="1">
        <v>4.5808711253158604E-3</v>
      </c>
      <c r="E1113" s="1">
        <v>4.75894720210951E-3</v>
      </c>
      <c r="F1113" s="1">
        <v>4.1375322851503003E-3</v>
      </c>
    </row>
    <row r="1114" spans="1:6" x14ac:dyDescent="0.25">
      <c r="A1114" s="2" t="str">
        <f t="shared" si="44"/>
        <v>16980</v>
      </c>
      <c r="B1114" s="2" t="str">
        <f>"60072"</f>
        <v>60072</v>
      </c>
      <c r="C1114" s="1">
        <v>1.19389281274095E-4</v>
      </c>
      <c r="D1114" s="1">
        <v>2.42646464101803E-4</v>
      </c>
      <c r="E1114" s="1">
        <v>1.17134933995826E-4</v>
      </c>
      <c r="F1114" s="1">
        <v>1.2950887289225801E-4</v>
      </c>
    </row>
    <row r="1115" spans="1:6" x14ac:dyDescent="0.25">
      <c r="A1115" s="2" t="str">
        <f t="shared" si="44"/>
        <v>16980</v>
      </c>
      <c r="B1115" s="2" t="str">
        <f>"60069"</f>
        <v>60069</v>
      </c>
      <c r="C1115" s="1">
        <v>1.1202167389607999E-3</v>
      </c>
      <c r="D1115" s="1">
        <v>1.6593096585547501E-3</v>
      </c>
      <c r="E1115" s="1">
        <v>3.3778446082517402E-4</v>
      </c>
      <c r="F1115" s="1">
        <v>1.1064517924191601E-3</v>
      </c>
    </row>
    <row r="1116" spans="1:6" x14ac:dyDescent="0.25">
      <c r="A1116" s="2" t="str">
        <f t="shared" si="44"/>
        <v>16980</v>
      </c>
      <c r="B1116" s="2" t="str">
        <f>"60076"</f>
        <v>60076</v>
      </c>
      <c r="C1116" s="1">
        <v>3.3377936131354399E-3</v>
      </c>
      <c r="D1116" s="1">
        <v>4.2548915321285897E-3</v>
      </c>
      <c r="E1116" s="1">
        <v>3.6066663397784698E-3</v>
      </c>
      <c r="F1116" s="1">
        <v>3.4345425738425599E-3</v>
      </c>
    </row>
    <row r="1117" spans="1:6" x14ac:dyDescent="0.25">
      <c r="A1117" s="2" t="str">
        <f t="shared" si="44"/>
        <v>16980</v>
      </c>
      <c r="B1117" s="2" t="str">
        <f>"60038"</f>
        <v>60038</v>
      </c>
      <c r="C1117" s="1">
        <v>0</v>
      </c>
      <c r="D1117" s="1">
        <v>2.4509743848666999E-6</v>
      </c>
      <c r="E1117" s="1">
        <v>0</v>
      </c>
      <c r="F1117" s="1">
        <v>2.0459537581715301E-7</v>
      </c>
    </row>
    <row r="1118" spans="1:6" x14ac:dyDescent="0.25">
      <c r="A1118" s="2" t="str">
        <f t="shared" si="44"/>
        <v>16980</v>
      </c>
      <c r="B1118" s="2" t="str">
        <f>"60043"</f>
        <v>60043</v>
      </c>
      <c r="C1118" s="1">
        <v>2.0741152123585099E-4</v>
      </c>
      <c r="D1118" s="1">
        <v>1.64215283786069E-4</v>
      </c>
      <c r="E1118" s="1">
        <v>6.5377637579065994E-5</v>
      </c>
      <c r="F1118" s="1">
        <v>1.9313803477139299E-4</v>
      </c>
    </row>
    <row r="1119" spans="1:6" x14ac:dyDescent="0.25">
      <c r="A1119" s="2" t="str">
        <f t="shared" si="44"/>
        <v>16980</v>
      </c>
      <c r="B1119" s="2" t="str">
        <f>"60064"</f>
        <v>60064</v>
      </c>
      <c r="C1119" s="1">
        <v>1.54209128684381E-3</v>
      </c>
      <c r="D1119" s="1">
        <v>1.1274482170386801E-3</v>
      </c>
      <c r="E1119" s="1">
        <v>5.04769843475039E-3</v>
      </c>
      <c r="F1119" s="1">
        <v>1.77077297769746E-3</v>
      </c>
    </row>
    <row r="1120" spans="1:6" x14ac:dyDescent="0.25">
      <c r="A1120" s="2" t="str">
        <f t="shared" si="44"/>
        <v>16980</v>
      </c>
      <c r="B1120" s="2" t="str">
        <f>"60062"</f>
        <v>60062</v>
      </c>
      <c r="C1120" s="1">
        <v>4.3904131622913602E-3</v>
      </c>
      <c r="D1120" s="1">
        <v>7.6985105428663096E-3</v>
      </c>
      <c r="E1120" s="1">
        <v>1.8796070803981399E-3</v>
      </c>
      <c r="F1120" s="1">
        <v>4.47797899051004E-3</v>
      </c>
    </row>
    <row r="1121" spans="1:6" x14ac:dyDescent="0.25">
      <c r="A1121" s="2" t="str">
        <f t="shared" si="44"/>
        <v>16980</v>
      </c>
      <c r="B1121" s="2" t="str">
        <f>"60035"</f>
        <v>60035</v>
      </c>
      <c r="C1121" s="1">
        <v>3.27651846266483E-3</v>
      </c>
      <c r="D1121" s="1">
        <v>4.8210666150327996E-3</v>
      </c>
      <c r="E1121" s="1">
        <v>1.52820227841066E-3</v>
      </c>
      <c r="F1121" s="1">
        <v>3.2741397992019101E-3</v>
      </c>
    </row>
    <row r="1122" spans="1:6" x14ac:dyDescent="0.25">
      <c r="A1122" s="2" t="str">
        <f t="shared" si="44"/>
        <v>16980</v>
      </c>
      <c r="B1122" s="2" t="str">
        <f>"60016"</f>
        <v>60016</v>
      </c>
      <c r="C1122" s="1">
        <v>6.3896365240746896E-3</v>
      </c>
      <c r="D1122" s="1">
        <v>3.7181281418427799E-3</v>
      </c>
      <c r="E1122" s="1">
        <v>7.24602149834649E-3</v>
      </c>
      <c r="F1122" s="1">
        <v>6.2309521705114198E-3</v>
      </c>
    </row>
    <row r="1123" spans="1:6" x14ac:dyDescent="0.25">
      <c r="A1123" s="2" t="str">
        <f t="shared" si="44"/>
        <v>16980</v>
      </c>
      <c r="B1123" s="2" t="str">
        <f>"60011"</f>
        <v>60011</v>
      </c>
      <c r="C1123" s="1">
        <v>4.7950236796846302E-4</v>
      </c>
      <c r="D1123" s="1">
        <v>1.2524479106668801E-3</v>
      </c>
      <c r="E1123" s="1">
        <v>1.08962729298443E-5</v>
      </c>
      <c r="F1123" s="1">
        <v>5.0882869965726096E-4</v>
      </c>
    </row>
    <row r="1124" spans="1:6" x14ac:dyDescent="0.25">
      <c r="A1124" s="2" t="str">
        <f t="shared" si="44"/>
        <v>16980</v>
      </c>
      <c r="B1124" s="2" t="str">
        <f>"53139"</f>
        <v>53139</v>
      </c>
      <c r="C1124" s="1">
        <v>4.6199518211971601E-5</v>
      </c>
      <c r="D1124" s="1">
        <v>1.7156820694066901E-5</v>
      </c>
      <c r="E1124" s="1">
        <v>1.08962729298443E-5</v>
      </c>
      <c r="F1124" s="1">
        <v>4.1123670539247898E-5</v>
      </c>
    </row>
    <row r="1125" spans="1:6" x14ac:dyDescent="0.25">
      <c r="A1125" s="2" t="str">
        <f t="shared" si="44"/>
        <v>16980</v>
      </c>
      <c r="B1125" s="2" t="str">
        <f>"53105"</f>
        <v>53105</v>
      </c>
      <c r="C1125" s="1">
        <v>4.4302906411690699E-4</v>
      </c>
      <c r="D1125" s="1">
        <v>7.3529231546001103E-5</v>
      </c>
      <c r="E1125" s="1">
        <v>1.08962729298443E-5</v>
      </c>
      <c r="F1125" s="1">
        <v>3.7972901751663699E-4</v>
      </c>
    </row>
    <row r="1126" spans="1:6" x14ac:dyDescent="0.25">
      <c r="A1126" s="2" t="str">
        <f t="shared" si="44"/>
        <v>16980</v>
      </c>
      <c r="B1126" s="2" t="str">
        <f>"47995"</f>
        <v>47995</v>
      </c>
      <c r="C1126" s="1">
        <v>2.67470894911414E-6</v>
      </c>
      <c r="D1126" s="1">
        <v>0</v>
      </c>
      <c r="E1126" s="1">
        <v>0</v>
      </c>
      <c r="F1126" s="1">
        <v>2.25054913398869E-6</v>
      </c>
    </row>
    <row r="1127" spans="1:6" x14ac:dyDescent="0.25">
      <c r="A1127" s="2" t="str">
        <f t="shared" si="44"/>
        <v>16980</v>
      </c>
      <c r="B1127" s="2" t="str">
        <f>"47943"</f>
        <v>47943</v>
      </c>
      <c r="C1127" s="1">
        <v>8.9238016756808399E-5</v>
      </c>
      <c r="D1127" s="1">
        <v>6.3725334006534199E-5</v>
      </c>
      <c r="E1127" s="1">
        <v>2.7240682324610801E-6</v>
      </c>
      <c r="F1127" s="1">
        <v>8.0610578071958603E-5</v>
      </c>
    </row>
    <row r="1128" spans="1:6" x14ac:dyDescent="0.25">
      <c r="A1128" s="2" t="str">
        <f t="shared" si="44"/>
        <v>16980</v>
      </c>
      <c r="B1128" s="2" t="str">
        <f>"47957"</f>
        <v>47957</v>
      </c>
      <c r="C1128" s="1">
        <v>1.09419911554669E-5</v>
      </c>
      <c r="D1128" s="1">
        <v>0</v>
      </c>
      <c r="E1128" s="1">
        <v>0</v>
      </c>
      <c r="F1128" s="1">
        <v>9.2067919117719194E-6</v>
      </c>
    </row>
    <row r="1129" spans="1:6" x14ac:dyDescent="0.25">
      <c r="A1129" s="2" t="str">
        <f t="shared" si="44"/>
        <v>16980</v>
      </c>
      <c r="B1129" s="2" t="str">
        <f>"46380"</f>
        <v>46380</v>
      </c>
      <c r="C1129" s="1">
        <v>0</v>
      </c>
      <c r="D1129" s="1">
        <v>0</v>
      </c>
      <c r="E1129" s="1">
        <v>2.7240682324610801E-6</v>
      </c>
      <c r="F1129" s="1">
        <v>2.0459537581715301E-7</v>
      </c>
    </row>
    <row r="1130" spans="1:6" x14ac:dyDescent="0.25">
      <c r="A1130" s="2" t="str">
        <f t="shared" si="44"/>
        <v>16980</v>
      </c>
      <c r="B1130" s="2" t="str">
        <f>"46376"</f>
        <v>46376</v>
      </c>
      <c r="C1130" s="1">
        <v>4.5713207493950903E-5</v>
      </c>
      <c r="D1130" s="1">
        <v>2.4509743848666999E-6</v>
      </c>
      <c r="E1130" s="1">
        <v>2.7240682324610801E-6</v>
      </c>
      <c r="F1130" s="1">
        <v>3.8873121405259203E-5</v>
      </c>
    </row>
    <row r="1131" spans="1:6" x14ac:dyDescent="0.25">
      <c r="A1131" s="2" t="str">
        <f t="shared" si="44"/>
        <v>16980</v>
      </c>
      <c r="B1131" s="2" t="str">
        <f>"46381"</f>
        <v>46381</v>
      </c>
      <c r="C1131" s="1">
        <v>3.9148012800670699E-5</v>
      </c>
      <c r="D1131" s="1">
        <v>1.22548719243335E-5</v>
      </c>
      <c r="E1131" s="1">
        <v>8.1722046973832594E-6</v>
      </c>
      <c r="F1131" s="1">
        <v>3.4576618513099003E-5</v>
      </c>
    </row>
    <row r="1132" spans="1:6" x14ac:dyDescent="0.25">
      <c r="A1132" s="2" t="str">
        <f t="shared" si="44"/>
        <v>16980</v>
      </c>
      <c r="B1132" s="2" t="str">
        <f>"46373"</f>
        <v>46373</v>
      </c>
      <c r="C1132" s="1">
        <v>1.67485411286347E-3</v>
      </c>
      <c r="D1132" s="1">
        <v>1.4338200151470201E-3</v>
      </c>
      <c r="E1132" s="1">
        <v>1.66168162180126E-4</v>
      </c>
      <c r="F1132" s="1">
        <v>1.5414215614064301E-3</v>
      </c>
    </row>
    <row r="1133" spans="1:6" x14ac:dyDescent="0.25">
      <c r="A1133" s="2" t="str">
        <f t="shared" si="44"/>
        <v>16980</v>
      </c>
      <c r="B1133" s="2" t="str">
        <f>"46320"</f>
        <v>46320</v>
      </c>
      <c r="C1133" s="1">
        <v>1.5581395405384901E-3</v>
      </c>
      <c r="D1133" s="1">
        <v>2.21813181830436E-3</v>
      </c>
      <c r="E1133" s="1">
        <v>1.6153724618494199E-3</v>
      </c>
      <c r="F1133" s="1">
        <v>1.61753104121041E-3</v>
      </c>
    </row>
    <row r="1134" spans="1:6" x14ac:dyDescent="0.25">
      <c r="A1134" s="2" t="str">
        <f t="shared" ref="A1134:A1197" si="45">"16980"</f>
        <v>16980</v>
      </c>
      <c r="B1134" s="2" t="str">
        <f>"46302"</f>
        <v>46302</v>
      </c>
      <c r="C1134" s="1">
        <v>1.09419911554669E-5</v>
      </c>
      <c r="D1134" s="1">
        <v>9.8038975394668099E-6</v>
      </c>
      <c r="E1134" s="1">
        <v>2.7240682324610801E-6</v>
      </c>
      <c r="F1134" s="1">
        <v>1.0229768790857599E-5</v>
      </c>
    </row>
    <row r="1135" spans="1:6" x14ac:dyDescent="0.25">
      <c r="A1135" s="2" t="str">
        <f t="shared" si="45"/>
        <v>16980</v>
      </c>
      <c r="B1135" s="2" t="str">
        <f>"60673"</f>
        <v>60673</v>
      </c>
      <c r="C1135" s="1">
        <v>0</v>
      </c>
      <c r="D1135" s="1">
        <v>0</v>
      </c>
      <c r="E1135" s="1">
        <v>2.7158960277637E-2</v>
      </c>
      <c r="F1135" s="1">
        <v>2.0398158968970201E-3</v>
      </c>
    </row>
    <row r="1136" spans="1:6" x14ac:dyDescent="0.25">
      <c r="A1136" s="2" t="str">
        <f t="shared" si="45"/>
        <v>16980</v>
      </c>
      <c r="B1136" s="2" t="str">
        <f>"60670"</f>
        <v>60670</v>
      </c>
      <c r="C1136" s="1">
        <v>0</v>
      </c>
      <c r="D1136" s="1">
        <v>0</v>
      </c>
      <c r="E1136" s="1">
        <v>2.7240682324610801E-6</v>
      </c>
      <c r="F1136" s="1">
        <v>2.0459537581715301E-7</v>
      </c>
    </row>
    <row r="1137" spans="1:6" x14ac:dyDescent="0.25">
      <c r="A1137" s="2" t="str">
        <f t="shared" si="45"/>
        <v>16980</v>
      </c>
      <c r="B1137" s="2" t="str">
        <f>"60661"</f>
        <v>60661</v>
      </c>
      <c r="C1137" s="1">
        <v>2.5064454406789598E-3</v>
      </c>
      <c r="D1137" s="1">
        <v>4.0563626069543904E-3</v>
      </c>
      <c r="E1137" s="1">
        <v>1.41106734441484E-3</v>
      </c>
      <c r="F1137" s="1">
        <v>2.5535548855738898E-3</v>
      </c>
    </row>
    <row r="1138" spans="1:6" x14ac:dyDescent="0.25">
      <c r="A1138" s="2" t="str">
        <f t="shared" si="45"/>
        <v>16980</v>
      </c>
      <c r="B1138" s="2" t="str">
        <f>"60684"</f>
        <v>60684</v>
      </c>
      <c r="C1138" s="1">
        <v>0</v>
      </c>
      <c r="D1138" s="1">
        <v>2.4509743848666999E-6</v>
      </c>
      <c r="E1138" s="1">
        <v>0</v>
      </c>
      <c r="F1138" s="1">
        <v>2.0459537581715301E-7</v>
      </c>
    </row>
    <row r="1139" spans="1:6" x14ac:dyDescent="0.25">
      <c r="A1139" s="2" t="str">
        <f t="shared" si="45"/>
        <v>16980</v>
      </c>
      <c r="B1139" s="2" t="str">
        <f>"60693"</f>
        <v>60693</v>
      </c>
      <c r="C1139" s="1">
        <v>0</v>
      </c>
      <c r="D1139" s="1">
        <v>0</v>
      </c>
      <c r="E1139" s="1">
        <v>3.0809211709134799E-3</v>
      </c>
      <c r="F1139" s="1">
        <v>2.3139737004920099E-4</v>
      </c>
    </row>
    <row r="1140" spans="1:6" x14ac:dyDescent="0.25">
      <c r="A1140" s="2" t="str">
        <f t="shared" si="45"/>
        <v>16980</v>
      </c>
      <c r="B1140" s="2" t="str">
        <f>"60681"</f>
        <v>60681</v>
      </c>
      <c r="C1140" s="1">
        <v>7.7809714883320604E-5</v>
      </c>
      <c r="D1140" s="1">
        <v>1.9362697640446899E-4</v>
      </c>
      <c r="E1140" s="1">
        <v>2.7240682324610801E-6</v>
      </c>
      <c r="F1140" s="1">
        <v>8.1838150326861498E-5</v>
      </c>
    </row>
    <row r="1141" spans="1:6" x14ac:dyDescent="0.25">
      <c r="A1141" s="2" t="str">
        <f t="shared" si="45"/>
        <v>16980</v>
      </c>
      <c r="B1141" s="2" t="str">
        <f>"60699"</f>
        <v>60699</v>
      </c>
      <c r="C1141" s="1">
        <v>0</v>
      </c>
      <c r="D1141" s="1">
        <v>2.4509743848666999E-6</v>
      </c>
      <c r="E1141" s="1">
        <v>4.4674719012361802E-4</v>
      </c>
      <c r="F1141" s="1">
        <v>3.3758237009830298E-5</v>
      </c>
    </row>
    <row r="1142" spans="1:6" x14ac:dyDescent="0.25">
      <c r="A1142" s="2" t="str">
        <f t="shared" si="45"/>
        <v>16980</v>
      </c>
      <c r="B1142" s="2" t="str">
        <f>"60677"</f>
        <v>60677</v>
      </c>
      <c r="C1142" s="1">
        <v>0</v>
      </c>
      <c r="D1142" s="1">
        <v>6.9607672530214298E-3</v>
      </c>
      <c r="E1142" s="1">
        <v>0</v>
      </c>
      <c r="F1142" s="1">
        <v>5.8105086732071704E-4</v>
      </c>
    </row>
    <row r="1143" spans="1:6" x14ac:dyDescent="0.25">
      <c r="A1143" s="2" t="str">
        <f t="shared" si="45"/>
        <v>16980</v>
      </c>
      <c r="B1143" s="2" t="str">
        <f>"60649"</f>
        <v>60649</v>
      </c>
      <c r="C1143" s="1">
        <v>7.17089469257503E-3</v>
      </c>
      <c r="D1143" s="1">
        <v>3.1544040333234399E-3</v>
      </c>
      <c r="E1143" s="1">
        <v>9.9619175261101908E-3</v>
      </c>
      <c r="F1143" s="1">
        <v>7.0452417662636904E-3</v>
      </c>
    </row>
    <row r="1144" spans="1:6" x14ac:dyDescent="0.25">
      <c r="A1144" s="2" t="str">
        <f t="shared" si="45"/>
        <v>16980</v>
      </c>
      <c r="B1144" s="2" t="str">
        <f>"60622"</f>
        <v>60622</v>
      </c>
      <c r="C1144" s="1">
        <v>6.3013711287539199E-3</v>
      </c>
      <c r="D1144" s="1">
        <v>5.8259661128281497E-3</v>
      </c>
      <c r="E1144" s="1">
        <v>1.6328064985371701E-2</v>
      </c>
      <c r="F1144" s="1">
        <v>7.0147570552669299E-3</v>
      </c>
    </row>
    <row r="1145" spans="1:6" x14ac:dyDescent="0.25">
      <c r="A1145" s="2" t="str">
        <f t="shared" si="45"/>
        <v>16980</v>
      </c>
      <c r="B1145" s="2" t="str">
        <f>"60615"</f>
        <v>60615</v>
      </c>
      <c r="C1145" s="1">
        <v>6.4650146853679003E-3</v>
      </c>
      <c r="D1145" s="1">
        <v>2.7401893622809701E-3</v>
      </c>
      <c r="E1145" s="1">
        <v>1.16535638984685E-2</v>
      </c>
      <c r="F1145" s="1">
        <v>6.5437785001358504E-3</v>
      </c>
    </row>
    <row r="1146" spans="1:6" x14ac:dyDescent="0.25">
      <c r="A1146" s="2" t="str">
        <f t="shared" si="45"/>
        <v>16980</v>
      </c>
      <c r="B1146" s="2" t="str">
        <f>"60569"</f>
        <v>60569</v>
      </c>
      <c r="C1146" s="1">
        <v>0</v>
      </c>
      <c r="D1146" s="1">
        <v>2.4509743848666999E-6</v>
      </c>
      <c r="E1146" s="1">
        <v>0</v>
      </c>
      <c r="F1146" s="1">
        <v>2.0459537581715301E-7</v>
      </c>
    </row>
    <row r="1147" spans="1:6" x14ac:dyDescent="0.25">
      <c r="A1147" s="2" t="str">
        <f t="shared" si="45"/>
        <v>16980</v>
      </c>
      <c r="B1147" s="2" t="str">
        <f>"60610"</f>
        <v>60610</v>
      </c>
      <c r="C1147" s="1">
        <v>7.6688768678282804E-3</v>
      </c>
      <c r="D1147" s="1">
        <v>3.8602846561650501E-3</v>
      </c>
      <c r="E1147" s="1">
        <v>5.2492794839525099E-3</v>
      </c>
      <c r="F1147" s="1">
        <v>7.1692265640088898E-3</v>
      </c>
    </row>
    <row r="1148" spans="1:6" x14ac:dyDescent="0.25">
      <c r="A1148" s="2" t="str">
        <f t="shared" si="45"/>
        <v>16980</v>
      </c>
      <c r="B1148" s="2" t="str">
        <f>"60611"</f>
        <v>60611</v>
      </c>
      <c r="C1148" s="1">
        <v>7.6584211873908297E-3</v>
      </c>
      <c r="D1148" s="1">
        <v>1.0166641748427E-2</v>
      </c>
      <c r="E1148" s="1">
        <v>4.0969986216214697E-3</v>
      </c>
      <c r="F1148" s="1">
        <v>7.6003090208556301E-3</v>
      </c>
    </row>
    <row r="1149" spans="1:6" x14ac:dyDescent="0.25">
      <c r="A1149" s="2" t="str">
        <f t="shared" si="45"/>
        <v>16980</v>
      </c>
      <c r="B1149" s="2" t="str">
        <f>"60507"</f>
        <v>60507</v>
      </c>
      <c r="C1149" s="1">
        <v>7.6666884695971902E-4</v>
      </c>
      <c r="D1149" s="1">
        <v>1.0343111904137399E-3</v>
      </c>
      <c r="E1149" s="1">
        <v>5.4481364649221704E-6</v>
      </c>
      <c r="F1149" s="1">
        <v>7.3183765929795905E-4</v>
      </c>
    </row>
    <row r="1150" spans="1:6" x14ac:dyDescent="0.25">
      <c r="A1150" s="2" t="str">
        <f t="shared" si="45"/>
        <v>16980</v>
      </c>
      <c r="B1150" s="2" t="str">
        <f>"60513"</f>
        <v>60513</v>
      </c>
      <c r="C1150" s="1">
        <v>2.0186757905041501E-3</v>
      </c>
      <c r="D1150" s="1">
        <v>1.5147021698476201E-3</v>
      </c>
      <c r="E1150" s="1">
        <v>3.0128194651019599E-3</v>
      </c>
      <c r="F1150" s="1">
        <v>2.0512732379427798E-3</v>
      </c>
    </row>
    <row r="1151" spans="1:6" x14ac:dyDescent="0.25">
      <c r="A1151" s="2" t="str">
        <f t="shared" si="45"/>
        <v>16980</v>
      </c>
      <c r="B1151" s="2" t="str">
        <f>"60553"</f>
        <v>60553</v>
      </c>
      <c r="C1151" s="1">
        <v>2.4315535901037702E-7</v>
      </c>
      <c r="D1151" s="1">
        <v>0</v>
      </c>
      <c r="E1151" s="1">
        <v>0</v>
      </c>
      <c r="F1151" s="1">
        <v>2.0459537581715301E-7</v>
      </c>
    </row>
    <row r="1152" spans="1:6" x14ac:dyDescent="0.25">
      <c r="A1152" s="2" t="str">
        <f t="shared" si="45"/>
        <v>16980</v>
      </c>
      <c r="B1152" s="2" t="str">
        <f>"60558"</f>
        <v>60558</v>
      </c>
      <c r="C1152" s="1">
        <v>1.288966558114E-3</v>
      </c>
      <c r="D1152" s="1">
        <v>9.50978061328281E-4</v>
      </c>
      <c r="E1152" s="1">
        <v>4.3312684896131199E-4</v>
      </c>
      <c r="F1152" s="1">
        <v>1.19647375777871E-3</v>
      </c>
    </row>
    <row r="1153" spans="1:6" x14ac:dyDescent="0.25">
      <c r="A1153" s="2" t="str">
        <f t="shared" si="45"/>
        <v>16980</v>
      </c>
      <c r="B1153" s="2" t="str">
        <f>"60552"</f>
        <v>60552</v>
      </c>
      <c r="C1153" s="1">
        <v>2.3634700895808599E-4</v>
      </c>
      <c r="D1153" s="1">
        <v>6.8627282776267698E-5</v>
      </c>
      <c r="E1153" s="1">
        <v>8.4446115206293599E-5</v>
      </c>
      <c r="F1153" s="1">
        <v>2.1093783246748499E-4</v>
      </c>
    </row>
    <row r="1154" spans="1:6" x14ac:dyDescent="0.25">
      <c r="A1154" s="2" t="str">
        <f t="shared" si="45"/>
        <v>16980</v>
      </c>
      <c r="B1154" s="2" t="str">
        <f>"60550"</f>
        <v>60550</v>
      </c>
      <c r="C1154" s="1">
        <v>1.56348895843672E-4</v>
      </c>
      <c r="D1154" s="1">
        <v>5.8823385236800802E-5</v>
      </c>
      <c r="E1154" s="1">
        <v>2.99647505570719E-5</v>
      </c>
      <c r="F1154" s="1">
        <v>1.3871566480403E-4</v>
      </c>
    </row>
    <row r="1155" spans="1:6" x14ac:dyDescent="0.25">
      <c r="A1155" s="2" t="str">
        <f t="shared" si="45"/>
        <v>16980</v>
      </c>
      <c r="B1155" s="2" t="str">
        <f>"60541"</f>
        <v>60541</v>
      </c>
      <c r="C1155" s="1">
        <v>2.9008434329937902E-4</v>
      </c>
      <c r="D1155" s="1">
        <v>1.5686236063146901E-4</v>
      </c>
      <c r="E1155" s="1">
        <v>7.6273910508910394E-5</v>
      </c>
      <c r="F1155" s="1">
        <v>2.6290505792504201E-4</v>
      </c>
    </row>
    <row r="1156" spans="1:6" x14ac:dyDescent="0.25">
      <c r="A1156" s="2" t="str">
        <f t="shared" si="45"/>
        <v>16980</v>
      </c>
      <c r="B1156" s="2" t="str">
        <f>"60491"</f>
        <v>60491</v>
      </c>
      <c r="C1156" s="1">
        <v>2.0867592910270502E-3</v>
      </c>
      <c r="D1156" s="1">
        <v>1.35538883483128E-3</v>
      </c>
      <c r="E1156" s="1">
        <v>2.6423461854872501E-4</v>
      </c>
      <c r="F1156" s="1">
        <v>1.8888245095439601E-3</v>
      </c>
    </row>
    <row r="1157" spans="1:6" x14ac:dyDescent="0.25">
      <c r="A1157" s="2" t="str">
        <f t="shared" si="45"/>
        <v>16980</v>
      </c>
      <c r="B1157" s="2" t="str">
        <f>"60525"</f>
        <v>60525</v>
      </c>
      <c r="C1157" s="1">
        <v>3.5063002769296298E-3</v>
      </c>
      <c r="D1157" s="1">
        <v>5.4215553393251398E-3</v>
      </c>
      <c r="E1157" s="1">
        <v>4.1923410097576101E-3</v>
      </c>
      <c r="F1157" s="1">
        <v>3.7177025739735001E-3</v>
      </c>
    </row>
    <row r="1158" spans="1:6" x14ac:dyDescent="0.25">
      <c r="A1158" s="2" t="str">
        <f t="shared" si="45"/>
        <v>16980</v>
      </c>
      <c r="B1158" s="2" t="str">
        <f>"60522"</f>
        <v>60522</v>
      </c>
      <c r="C1158" s="1">
        <v>1.7726025671856399E-4</v>
      </c>
      <c r="D1158" s="1">
        <v>1.68136842801855E-3</v>
      </c>
      <c r="E1158" s="1">
        <v>1.08962729298443E-5</v>
      </c>
      <c r="F1158" s="1">
        <v>2.9032083828454101E-4</v>
      </c>
    </row>
    <row r="1159" spans="1:6" x14ac:dyDescent="0.25">
      <c r="A1159" s="2" t="str">
        <f t="shared" si="45"/>
        <v>16980</v>
      </c>
      <c r="B1159" s="2" t="str">
        <f>"60527"</f>
        <v>60527</v>
      </c>
      <c r="C1159" s="1">
        <v>3.4929267321840598E-3</v>
      </c>
      <c r="D1159" s="1">
        <v>4.4191068159146604E-3</v>
      </c>
      <c r="E1159" s="1">
        <v>3.8354880713052102E-3</v>
      </c>
      <c r="F1159" s="1">
        <v>3.5959683253622898E-3</v>
      </c>
    </row>
    <row r="1160" spans="1:6" x14ac:dyDescent="0.25">
      <c r="A1160" s="2" t="str">
        <f t="shared" si="45"/>
        <v>16980</v>
      </c>
      <c r="B1160" s="2" t="str">
        <f>"60447"</f>
        <v>60447</v>
      </c>
      <c r="C1160" s="1">
        <v>1.5364987135865699E-3</v>
      </c>
      <c r="D1160" s="1">
        <v>1.2843105776701501E-3</v>
      </c>
      <c r="E1160" s="1">
        <v>6.5105230755819902E-4</v>
      </c>
      <c r="F1160" s="1">
        <v>1.44894445153708E-3</v>
      </c>
    </row>
    <row r="1161" spans="1:6" x14ac:dyDescent="0.25">
      <c r="A1161" s="2" t="str">
        <f t="shared" si="45"/>
        <v>16980</v>
      </c>
      <c r="B1161" s="2" t="str">
        <f>"60442"</f>
        <v>60442</v>
      </c>
      <c r="C1161" s="1">
        <v>1.2026464056653201E-3</v>
      </c>
      <c r="D1161" s="1">
        <v>3.2352861880240402E-4</v>
      </c>
      <c r="E1161" s="1">
        <v>1.7434036687750899E-4</v>
      </c>
      <c r="F1161" s="1">
        <v>1.0520294224518E-3</v>
      </c>
    </row>
    <row r="1162" spans="1:6" x14ac:dyDescent="0.25">
      <c r="A1162" s="2" t="str">
        <f t="shared" si="45"/>
        <v>16980</v>
      </c>
      <c r="B1162" s="2" t="str">
        <f>"60476"</f>
        <v>60476</v>
      </c>
      <c r="C1162" s="1">
        <v>2.60419389500113E-4</v>
      </c>
      <c r="D1162" s="1">
        <v>2.9411692618400398E-4</v>
      </c>
      <c r="E1162" s="1">
        <v>1.17134933995826E-4</v>
      </c>
      <c r="F1162" s="1">
        <v>2.5247069375836702E-4</v>
      </c>
    </row>
    <row r="1163" spans="1:6" x14ac:dyDescent="0.25">
      <c r="A1163" s="2" t="str">
        <f t="shared" si="45"/>
        <v>16980</v>
      </c>
      <c r="B1163" s="2" t="str">
        <f>"60451"</f>
        <v>60451</v>
      </c>
      <c r="C1163" s="1">
        <v>3.5004645483133799E-3</v>
      </c>
      <c r="D1163" s="1">
        <v>4.2843032247469898E-3</v>
      </c>
      <c r="E1163" s="1">
        <v>1.41923954911222E-3</v>
      </c>
      <c r="F1163" s="1">
        <v>3.4095819379928701E-3</v>
      </c>
    </row>
    <row r="1164" spans="1:6" x14ac:dyDescent="0.25">
      <c r="A1164" s="2" t="str">
        <f t="shared" si="45"/>
        <v>16980</v>
      </c>
      <c r="B1164" s="2" t="str">
        <f>"60448"</f>
        <v>60448</v>
      </c>
      <c r="C1164" s="1">
        <v>2.4850477690860498E-3</v>
      </c>
      <c r="D1164" s="1">
        <v>4.2548915321285897E-3</v>
      </c>
      <c r="E1164" s="1">
        <v>1.17679747642318E-3</v>
      </c>
      <c r="F1164" s="1">
        <v>2.5345275156228998E-3</v>
      </c>
    </row>
    <row r="1165" spans="1:6" x14ac:dyDescent="0.25">
      <c r="A1165" s="2" t="str">
        <f t="shared" si="45"/>
        <v>16980</v>
      </c>
      <c r="B1165" s="2" t="str">
        <f>"60193"</f>
        <v>60193</v>
      </c>
      <c r="C1165" s="1">
        <v>4.0784448366810496E-3</v>
      </c>
      <c r="D1165" s="1">
        <v>3.0539140835439101E-3</v>
      </c>
      <c r="E1165" s="1">
        <v>5.4998937613389299E-3</v>
      </c>
      <c r="F1165" s="1">
        <v>4.0996821406241299E-3</v>
      </c>
    </row>
    <row r="1166" spans="1:6" x14ac:dyDescent="0.25">
      <c r="A1166" s="2" t="str">
        <f t="shared" si="45"/>
        <v>16980</v>
      </c>
      <c r="B1166" s="2" t="str">
        <f>"60420"</f>
        <v>60420</v>
      </c>
      <c r="C1166" s="1">
        <v>2.50450019780688E-5</v>
      </c>
      <c r="D1166" s="1">
        <v>4.4117538927600603E-5</v>
      </c>
      <c r="E1166" s="1">
        <v>0</v>
      </c>
      <c r="F1166" s="1">
        <v>2.4756040473875599E-5</v>
      </c>
    </row>
    <row r="1167" spans="1:6" x14ac:dyDescent="0.25">
      <c r="A1167" s="2" t="str">
        <f t="shared" si="45"/>
        <v>16980</v>
      </c>
      <c r="B1167" s="2" t="str">
        <f>"60176"</f>
        <v>60176</v>
      </c>
      <c r="C1167" s="1">
        <v>1.1576626642484E-3</v>
      </c>
      <c r="D1167" s="1">
        <v>1.48038852845948E-3</v>
      </c>
      <c r="E1167" s="1">
        <v>3.0128194651019599E-3</v>
      </c>
      <c r="F1167" s="1">
        <v>1.3239366769128001E-3</v>
      </c>
    </row>
    <row r="1168" spans="1:6" x14ac:dyDescent="0.25">
      <c r="A1168" s="2" t="str">
        <f t="shared" si="45"/>
        <v>16980</v>
      </c>
      <c r="B1168" s="2" t="str">
        <f>"60185"</f>
        <v>60185</v>
      </c>
      <c r="C1168" s="1">
        <v>2.7272305066603901E-3</v>
      </c>
      <c r="D1168" s="1">
        <v>3.6617557309908499E-3</v>
      </c>
      <c r="E1168" s="1">
        <v>1.37020632092792E-3</v>
      </c>
      <c r="F1168" s="1">
        <v>2.70331870067205E-3</v>
      </c>
    </row>
    <row r="1169" spans="1:6" x14ac:dyDescent="0.25">
      <c r="A1169" s="2" t="str">
        <f t="shared" si="45"/>
        <v>16980</v>
      </c>
      <c r="B1169" s="2" t="str">
        <f>"60304"</f>
        <v>60304</v>
      </c>
      <c r="C1169" s="1">
        <v>1.90682432535937E-3</v>
      </c>
      <c r="D1169" s="1">
        <v>1.47058463092002E-3</v>
      </c>
      <c r="E1169" s="1">
        <v>3.9471748688361102E-3</v>
      </c>
      <c r="F1169" s="1">
        <v>2.0236528622074599E-3</v>
      </c>
    </row>
    <row r="1170" spans="1:6" x14ac:dyDescent="0.25">
      <c r="A1170" s="2" t="str">
        <f t="shared" si="45"/>
        <v>16980</v>
      </c>
      <c r="B1170" s="2" t="str">
        <f>"60203"</f>
        <v>60203</v>
      </c>
      <c r="C1170" s="1">
        <v>4.2284716931904502E-4</v>
      </c>
      <c r="D1170" s="1">
        <v>1.00489949779534E-4</v>
      </c>
      <c r="E1170" s="1">
        <v>1.7161629864504799E-4</v>
      </c>
      <c r="F1170" s="1">
        <v>3.7706927763101399E-4</v>
      </c>
    </row>
    <row r="1171" spans="1:6" x14ac:dyDescent="0.25">
      <c r="A1171" s="2" t="str">
        <f t="shared" si="45"/>
        <v>16980</v>
      </c>
      <c r="B1171" s="2" t="str">
        <f>"60401"</f>
        <v>60401</v>
      </c>
      <c r="C1171" s="1">
        <v>9.4441541439630405E-4</v>
      </c>
      <c r="D1171" s="1">
        <v>4.2156759419707303E-4</v>
      </c>
      <c r="E1171" s="1">
        <v>2.2609766329426999E-4</v>
      </c>
      <c r="F1171" s="1">
        <v>8.4682026050719999E-4</v>
      </c>
    </row>
    <row r="1172" spans="1:6" x14ac:dyDescent="0.25">
      <c r="A1172" s="2" t="str">
        <f t="shared" si="45"/>
        <v>16980</v>
      </c>
      <c r="B1172" s="2" t="str">
        <f>"60101"</f>
        <v>60101</v>
      </c>
      <c r="C1172" s="1">
        <v>3.5311021235486899E-3</v>
      </c>
      <c r="D1172" s="1">
        <v>6.2426317582554899E-3</v>
      </c>
      <c r="E1172" s="1">
        <v>4.96052825131163E-3</v>
      </c>
      <c r="F1172" s="1">
        <v>3.8648066491860302E-3</v>
      </c>
    </row>
    <row r="1173" spans="1:6" x14ac:dyDescent="0.25">
      <c r="A1173" s="2" t="str">
        <f t="shared" si="45"/>
        <v>16980</v>
      </c>
      <c r="B1173" s="2" t="str">
        <f>"60131"</f>
        <v>60131</v>
      </c>
      <c r="C1173" s="1">
        <v>1.7815993154690301E-3</v>
      </c>
      <c r="D1173" s="1">
        <v>3.6593047566059801E-3</v>
      </c>
      <c r="E1173" s="1">
        <v>2.7594811194830799E-3</v>
      </c>
      <c r="F1173" s="1">
        <v>2.0117863304100702E-3</v>
      </c>
    </row>
    <row r="1174" spans="1:6" x14ac:dyDescent="0.25">
      <c r="A1174" s="2" t="str">
        <f t="shared" si="45"/>
        <v>16980</v>
      </c>
      <c r="B1174" s="2" t="str">
        <f>"60098"</f>
        <v>60098</v>
      </c>
      <c r="C1174" s="1">
        <v>3.60745290627795E-3</v>
      </c>
      <c r="D1174" s="1">
        <v>3.8970492719380499E-3</v>
      </c>
      <c r="E1174" s="1">
        <v>2.22011560945578E-3</v>
      </c>
      <c r="F1174" s="1">
        <v>3.5274288744635502E-3</v>
      </c>
    </row>
    <row r="1175" spans="1:6" x14ac:dyDescent="0.25">
      <c r="A1175" s="2" t="str">
        <f t="shared" si="45"/>
        <v>16980</v>
      </c>
      <c r="B1175" s="2" t="str">
        <f>"60060"</f>
        <v>60060</v>
      </c>
      <c r="C1175" s="1">
        <v>3.8527966635194199E-3</v>
      </c>
      <c r="D1175" s="1">
        <v>3.9044021950926499E-3</v>
      </c>
      <c r="E1175" s="1">
        <v>1.47099684552898E-3</v>
      </c>
      <c r="F1175" s="1">
        <v>3.67821566644079E-3</v>
      </c>
    </row>
    <row r="1176" spans="1:6" x14ac:dyDescent="0.25">
      <c r="A1176" s="2" t="str">
        <f t="shared" si="45"/>
        <v>16980</v>
      </c>
      <c r="B1176" s="2" t="str">
        <f>"60053"</f>
        <v>60053</v>
      </c>
      <c r="C1176" s="1">
        <v>2.4806709726238598E-3</v>
      </c>
      <c r="D1176" s="1">
        <v>2.3357785887779601E-3</v>
      </c>
      <c r="E1176" s="1">
        <v>6.0474314760636098E-4</v>
      </c>
      <c r="F1176" s="1">
        <v>2.32768159067176E-3</v>
      </c>
    </row>
    <row r="1177" spans="1:6" x14ac:dyDescent="0.25">
      <c r="A1177" s="2" t="str">
        <f t="shared" si="45"/>
        <v>16980</v>
      </c>
      <c r="B1177" s="2" t="str">
        <f>"60021"</f>
        <v>60021</v>
      </c>
      <c r="C1177" s="1">
        <v>5.2837659512954905E-4</v>
      </c>
      <c r="D1177" s="1">
        <v>4.6323415873980697E-4</v>
      </c>
      <c r="E1177" s="1">
        <v>2.9692343733825799E-4</v>
      </c>
      <c r="F1177" s="1">
        <v>5.0555517364418701E-4</v>
      </c>
    </row>
    <row r="1178" spans="1:6" x14ac:dyDescent="0.25">
      <c r="A1178" s="2" t="str">
        <f t="shared" si="45"/>
        <v>16980</v>
      </c>
      <c r="B1178" s="2" t="str">
        <f>"60018"</f>
        <v>60018</v>
      </c>
      <c r="C1178" s="1">
        <v>2.6985381742971599E-3</v>
      </c>
      <c r="D1178" s="1">
        <v>5.6960644704302102E-3</v>
      </c>
      <c r="E1178" s="1">
        <v>2.43804106805267E-3</v>
      </c>
      <c r="F1178" s="1">
        <v>2.9291919955741902E-3</v>
      </c>
    </row>
    <row r="1179" spans="1:6" x14ac:dyDescent="0.25">
      <c r="A1179" s="2" t="str">
        <f t="shared" si="45"/>
        <v>16980</v>
      </c>
      <c r="B1179" s="2" t="str">
        <f>"60025"</f>
        <v>60025</v>
      </c>
      <c r="C1179" s="1">
        <v>4.1698712516689499E-3</v>
      </c>
      <c r="D1179" s="1">
        <v>4.7156747164835301E-3</v>
      </c>
      <c r="E1179" s="1">
        <v>2.7676533241804599E-3</v>
      </c>
      <c r="F1179" s="1">
        <v>4.1101165047907999E-3</v>
      </c>
    </row>
    <row r="1180" spans="1:6" x14ac:dyDescent="0.25">
      <c r="A1180" s="2" t="str">
        <f t="shared" si="45"/>
        <v>16980</v>
      </c>
      <c r="B1180" s="2" t="str">
        <f>"53141"</f>
        <v>53141</v>
      </c>
      <c r="C1180" s="1">
        <v>3.07834684507137E-4</v>
      </c>
      <c r="D1180" s="1">
        <v>7.4999816176921097E-4</v>
      </c>
      <c r="E1180" s="1">
        <v>5.4481364649221704E-6</v>
      </c>
      <c r="F1180" s="1">
        <v>3.2203312153619999E-4</v>
      </c>
    </row>
    <row r="1181" spans="1:6" x14ac:dyDescent="0.25">
      <c r="A1181" s="2" t="str">
        <f t="shared" si="45"/>
        <v>16980</v>
      </c>
      <c r="B1181" s="2" t="str">
        <f>"53128"</f>
        <v>53128</v>
      </c>
      <c r="C1181" s="1">
        <v>1.5707836192070299E-4</v>
      </c>
      <c r="D1181" s="1">
        <v>7.3529231546001104E-6</v>
      </c>
      <c r="E1181" s="1">
        <v>5.4481364649221704E-6</v>
      </c>
      <c r="F1181" s="1">
        <v>1.33191589656967E-4</v>
      </c>
    </row>
    <row r="1182" spans="1:6" x14ac:dyDescent="0.25">
      <c r="A1182" s="2" t="str">
        <f t="shared" si="45"/>
        <v>16980</v>
      </c>
      <c r="B1182" s="2" t="str">
        <f>"53168"</f>
        <v>53168</v>
      </c>
      <c r="C1182" s="1">
        <v>9.3614813218995097E-4</v>
      </c>
      <c r="D1182" s="1">
        <v>4.1421467104247201E-4</v>
      </c>
      <c r="E1182" s="1">
        <v>1.90684776272276E-4</v>
      </c>
      <c r="F1182" s="1">
        <v>8.3659049171634203E-4</v>
      </c>
    </row>
    <row r="1183" spans="1:6" x14ac:dyDescent="0.25">
      <c r="A1183" s="2" t="str">
        <f t="shared" si="45"/>
        <v>16980</v>
      </c>
      <c r="B1183" s="2" t="str">
        <f>"47963"</f>
        <v>47963</v>
      </c>
      <c r="C1183" s="1">
        <v>2.42912203651366E-4</v>
      </c>
      <c r="D1183" s="1">
        <v>1.49509437476868E-4</v>
      </c>
      <c r="E1183" s="1">
        <v>4.3585091719377302E-5</v>
      </c>
      <c r="F1183" s="1">
        <v>2.2014462437925701E-4</v>
      </c>
    </row>
    <row r="1184" spans="1:6" x14ac:dyDescent="0.25">
      <c r="A1184" s="2" t="str">
        <f t="shared" si="45"/>
        <v>16980</v>
      </c>
      <c r="B1184" s="2" t="str">
        <f>"46408"</f>
        <v>46408</v>
      </c>
      <c r="C1184" s="1">
        <v>1.9413523863388499E-3</v>
      </c>
      <c r="D1184" s="1">
        <v>1.53676093931142E-3</v>
      </c>
      <c r="E1184" s="1">
        <v>6.3470789816343304E-4</v>
      </c>
      <c r="F1184" s="1">
        <v>1.8094415037269E-3</v>
      </c>
    </row>
    <row r="1185" spans="1:6" x14ac:dyDescent="0.25">
      <c r="A1185" s="2" t="str">
        <f t="shared" si="45"/>
        <v>16980</v>
      </c>
      <c r="B1185" s="2" t="str">
        <f>"46303"</f>
        <v>46303</v>
      </c>
      <c r="C1185" s="1">
        <v>1.96493845616285E-3</v>
      </c>
      <c r="D1185" s="1">
        <v>1.0710758061867401E-3</v>
      </c>
      <c r="E1185" s="1">
        <v>4.7671194068069002E-4</v>
      </c>
      <c r="F1185" s="1">
        <v>1.7785476019785099E-3</v>
      </c>
    </row>
    <row r="1186" spans="1:6" x14ac:dyDescent="0.25">
      <c r="A1186" s="2" t="str">
        <f t="shared" si="45"/>
        <v>16980</v>
      </c>
      <c r="B1186" s="2" t="str">
        <f>"60804"</f>
        <v>60804</v>
      </c>
      <c r="C1186" s="1">
        <v>5.0364769511819403E-3</v>
      </c>
      <c r="D1186" s="1">
        <v>4.15195060796419E-3</v>
      </c>
      <c r="E1186" s="1">
        <v>6.2680810028929602E-3</v>
      </c>
      <c r="F1186" s="1">
        <v>5.0551425456902303E-3</v>
      </c>
    </row>
    <row r="1187" spans="1:6" x14ac:dyDescent="0.25">
      <c r="A1187" s="2" t="str">
        <f t="shared" si="45"/>
        <v>16980</v>
      </c>
      <c r="B1187" s="2" t="str">
        <f>"60714"</f>
        <v>60714</v>
      </c>
      <c r="C1187" s="1">
        <v>3.22545583727265E-3</v>
      </c>
      <c r="D1187" s="1">
        <v>4.51469481692446E-3</v>
      </c>
      <c r="E1187" s="1">
        <v>2.68865534543909E-3</v>
      </c>
      <c r="F1187" s="1">
        <v>3.29275797840127E-3</v>
      </c>
    </row>
    <row r="1188" spans="1:6" x14ac:dyDescent="0.25">
      <c r="A1188" s="2" t="str">
        <f t="shared" si="45"/>
        <v>16980</v>
      </c>
      <c r="B1188" s="2" t="str">
        <f>"60712"</f>
        <v>60712</v>
      </c>
      <c r="C1188" s="1">
        <v>1.2233146111811999E-3</v>
      </c>
      <c r="D1188" s="1">
        <v>2.15195550991296E-3</v>
      </c>
      <c r="E1188" s="1">
        <v>4.68539735983306E-4</v>
      </c>
      <c r="F1188" s="1">
        <v>1.24414448034411E-3</v>
      </c>
    </row>
    <row r="1189" spans="1:6" x14ac:dyDescent="0.25">
      <c r="A1189" s="2" t="str">
        <f t="shared" si="45"/>
        <v>16980</v>
      </c>
      <c r="B1189" s="2" t="str">
        <f>"60674"</f>
        <v>60674</v>
      </c>
      <c r="C1189" s="1">
        <v>0</v>
      </c>
      <c r="D1189" s="1">
        <v>0</v>
      </c>
      <c r="E1189" s="1">
        <v>2.1977782499496001E-2</v>
      </c>
      <c r="F1189" s="1">
        <v>1.65067549209279E-3</v>
      </c>
    </row>
    <row r="1190" spans="1:6" x14ac:dyDescent="0.25">
      <c r="A1190" s="2" t="str">
        <f t="shared" si="45"/>
        <v>16980</v>
      </c>
      <c r="B1190" s="2" t="str">
        <f>"60678"</f>
        <v>60678</v>
      </c>
      <c r="C1190" s="1">
        <v>0</v>
      </c>
      <c r="D1190" s="1">
        <v>0</v>
      </c>
      <c r="E1190" s="1">
        <v>1.8332979204463101E-3</v>
      </c>
      <c r="F1190" s="1">
        <v>1.37692687924944E-4</v>
      </c>
    </row>
    <row r="1191" spans="1:6" x14ac:dyDescent="0.25">
      <c r="A1191" s="2" t="str">
        <f t="shared" si="45"/>
        <v>16980</v>
      </c>
      <c r="B1191" s="2" t="str">
        <f>"60690"</f>
        <v>60690</v>
      </c>
      <c r="C1191" s="1">
        <v>6.2588189409271003E-4</v>
      </c>
      <c r="D1191" s="1">
        <v>9.6813488202234703E-4</v>
      </c>
      <c r="E1191" s="1">
        <v>5.4481364649221704E-6</v>
      </c>
      <c r="F1191" s="1">
        <v>6.0785286155276401E-4</v>
      </c>
    </row>
    <row r="1192" spans="1:6" x14ac:dyDescent="0.25">
      <c r="A1192" s="2" t="str">
        <f t="shared" si="45"/>
        <v>16980</v>
      </c>
      <c r="B1192" s="2" t="str">
        <f>"60637"</f>
        <v>60637</v>
      </c>
      <c r="C1192" s="1">
        <v>6.3419780737086501E-3</v>
      </c>
      <c r="D1192" s="1">
        <v>2.87744392783351E-3</v>
      </c>
      <c r="E1192" s="1">
        <v>1.04413535350233E-2</v>
      </c>
      <c r="F1192" s="1">
        <v>6.36066563877949E-3</v>
      </c>
    </row>
    <row r="1193" spans="1:6" x14ac:dyDescent="0.25">
      <c r="A1193" s="2" t="str">
        <f t="shared" si="45"/>
        <v>16980</v>
      </c>
      <c r="B1193" s="2" t="str">
        <f>"60641"</f>
        <v>60641</v>
      </c>
      <c r="C1193" s="1">
        <v>6.2169962191773202E-3</v>
      </c>
      <c r="D1193" s="1">
        <v>5.2720459018482701E-3</v>
      </c>
      <c r="E1193" s="1">
        <v>6.0882924995505202E-3</v>
      </c>
      <c r="F1193" s="1">
        <v>6.1284498872270204E-3</v>
      </c>
    </row>
    <row r="1194" spans="1:6" x14ac:dyDescent="0.25">
      <c r="A1194" s="2" t="str">
        <f t="shared" si="45"/>
        <v>16980</v>
      </c>
      <c r="B1194" s="2" t="str">
        <f>"60621"</f>
        <v>60621</v>
      </c>
      <c r="C1194" s="1">
        <v>3.6947456801626798E-3</v>
      </c>
      <c r="D1194" s="1">
        <v>1.9975441236663601E-3</v>
      </c>
      <c r="E1194" s="1">
        <v>8.6543647745288693E-3</v>
      </c>
      <c r="F1194" s="1">
        <v>3.9255714758037298E-3</v>
      </c>
    </row>
    <row r="1195" spans="1:6" x14ac:dyDescent="0.25">
      <c r="A1195" s="2" t="str">
        <f t="shared" si="45"/>
        <v>16980</v>
      </c>
      <c r="B1195" s="2" t="str">
        <f>"60620"</f>
        <v>60620</v>
      </c>
      <c r="C1195" s="1">
        <v>7.3204352383664101E-3</v>
      </c>
      <c r="D1195" s="1">
        <v>5.4338102112494796E-3</v>
      </c>
      <c r="E1195" s="1">
        <v>4.80798043029381E-3</v>
      </c>
      <c r="F1195" s="1">
        <v>6.9742471708551402E-3</v>
      </c>
    </row>
    <row r="1196" spans="1:6" x14ac:dyDescent="0.25">
      <c r="A1196" s="2" t="str">
        <f t="shared" si="45"/>
        <v>16980</v>
      </c>
      <c r="B1196" s="2" t="str">
        <f>"60607"</f>
        <v>60607</v>
      </c>
      <c r="C1196" s="1">
        <v>4.0115771129532003E-3</v>
      </c>
      <c r="D1196" s="1">
        <v>7.8602748522675105E-3</v>
      </c>
      <c r="E1196" s="1">
        <v>6.2462884570332698E-3</v>
      </c>
      <c r="F1196" s="1">
        <v>4.5006890772257497E-3</v>
      </c>
    </row>
    <row r="1197" spans="1:6" x14ac:dyDescent="0.25">
      <c r="A1197" s="2" t="str">
        <f t="shared" si="45"/>
        <v>16980</v>
      </c>
      <c r="B1197" s="2" t="str">
        <f>"60606"</f>
        <v>60606</v>
      </c>
      <c r="C1197" s="1">
        <v>7.9706326683601605E-4</v>
      </c>
      <c r="D1197" s="1">
        <v>1.3257320447743999E-2</v>
      </c>
      <c r="E1197" s="1">
        <v>2.21739154122332E-3</v>
      </c>
      <c r="F1197" s="1">
        <v>1.94386066563877E-3</v>
      </c>
    </row>
    <row r="1198" spans="1:6" x14ac:dyDescent="0.25">
      <c r="A1198" s="2" t="str">
        <f t="shared" ref="A1198:A1261" si="46">"16980"</f>
        <v>16980</v>
      </c>
      <c r="B1198" s="2" t="str">
        <f>"60564"</f>
        <v>60564</v>
      </c>
      <c r="C1198" s="1">
        <v>3.8068403006664602E-3</v>
      </c>
      <c r="D1198" s="1">
        <v>2.9681299800735699E-3</v>
      </c>
      <c r="E1198" s="1">
        <v>1.32934529744101E-3</v>
      </c>
      <c r="F1198" s="1">
        <v>3.5507527473066999E-3</v>
      </c>
    </row>
    <row r="1199" spans="1:6" x14ac:dyDescent="0.25">
      <c r="A1199" s="2" t="str">
        <f t="shared" si="46"/>
        <v>16980</v>
      </c>
      <c r="B1199" s="2" t="str">
        <f>"60519"</f>
        <v>60519</v>
      </c>
      <c r="C1199" s="1">
        <v>6.5651946932801803E-6</v>
      </c>
      <c r="D1199" s="1">
        <v>2.4509743848666999E-6</v>
      </c>
      <c r="E1199" s="1">
        <v>0</v>
      </c>
      <c r="F1199" s="1">
        <v>5.7286705228803098E-6</v>
      </c>
    </row>
    <row r="1200" spans="1:6" x14ac:dyDescent="0.25">
      <c r="A1200" s="2" t="str">
        <f t="shared" si="46"/>
        <v>16980</v>
      </c>
      <c r="B1200" s="2" t="str">
        <f>"60506"</f>
        <v>60506</v>
      </c>
      <c r="C1200" s="1">
        <v>4.5868826923717498E-3</v>
      </c>
      <c r="D1200" s="1">
        <v>4.7622432297960001E-3</v>
      </c>
      <c r="E1200" s="1">
        <v>4.1950650779900697E-3</v>
      </c>
      <c r="F1200" s="1">
        <v>4.5720928633859303E-3</v>
      </c>
    </row>
    <row r="1201" spans="1:6" x14ac:dyDescent="0.25">
      <c r="A1201" s="2" t="str">
        <f t="shared" si="46"/>
        <v>16980</v>
      </c>
      <c r="B1201" s="2" t="str">
        <f>"60534"</f>
        <v>60534</v>
      </c>
      <c r="C1201" s="1">
        <v>1.1829508215854801E-3</v>
      </c>
      <c r="D1201" s="1">
        <v>1.28676155205501E-3</v>
      </c>
      <c r="E1201" s="1">
        <v>1.9613291273719801E-3</v>
      </c>
      <c r="F1201" s="1">
        <v>1.25007774624281E-3</v>
      </c>
    </row>
    <row r="1202" spans="1:6" x14ac:dyDescent="0.25">
      <c r="A1202" s="2" t="str">
        <f t="shared" si="46"/>
        <v>16980</v>
      </c>
      <c r="B1202" s="2" t="str">
        <f>"60532"</f>
        <v>60532</v>
      </c>
      <c r="C1202" s="1">
        <v>3.70544451595913E-3</v>
      </c>
      <c r="D1202" s="1">
        <v>4.5833220997007302E-3</v>
      </c>
      <c r="E1202" s="1">
        <v>3.0346120109616499E-3</v>
      </c>
      <c r="F1202" s="1">
        <v>3.7283415335159901E-3</v>
      </c>
    </row>
    <row r="1203" spans="1:6" x14ac:dyDescent="0.25">
      <c r="A1203" s="2" t="str">
        <f t="shared" si="46"/>
        <v>16980</v>
      </c>
      <c r="B1203" s="2" t="str">
        <f>"60501"</f>
        <v>60501</v>
      </c>
      <c r="C1203" s="1">
        <v>1.0927401833926301E-3</v>
      </c>
      <c r="D1203" s="1">
        <v>1.1789186791208799E-3</v>
      </c>
      <c r="E1203" s="1">
        <v>2.6178295713951E-3</v>
      </c>
      <c r="F1203" s="1">
        <v>1.2144781508506199E-3</v>
      </c>
    </row>
    <row r="1204" spans="1:6" x14ac:dyDescent="0.25">
      <c r="A1204" s="2" t="str">
        <f t="shared" si="46"/>
        <v>16980</v>
      </c>
      <c r="B1204" s="2" t="str">
        <f>"60499"</f>
        <v>60499</v>
      </c>
      <c r="C1204" s="1">
        <v>1.1622826160696E-4</v>
      </c>
      <c r="D1204" s="1">
        <v>6.3725334006534205E-4</v>
      </c>
      <c r="E1204" s="1">
        <v>5.4481364649221704E-6</v>
      </c>
      <c r="F1204" s="1">
        <v>1.5140057810469299E-4</v>
      </c>
    </row>
    <row r="1205" spans="1:6" x14ac:dyDescent="0.25">
      <c r="A1205" s="2" t="str">
        <f t="shared" si="46"/>
        <v>16980</v>
      </c>
      <c r="B1205" s="2" t="str">
        <f>"60464"</f>
        <v>60464</v>
      </c>
      <c r="C1205" s="1">
        <v>1.0883633869304399E-3</v>
      </c>
      <c r="D1205" s="1">
        <v>7.2058646915081005E-4</v>
      </c>
      <c r="E1205" s="1">
        <v>6.4560417109327695E-4</v>
      </c>
      <c r="F1205" s="1">
        <v>1.0244090467164801E-3</v>
      </c>
    </row>
    <row r="1206" spans="1:6" x14ac:dyDescent="0.25">
      <c r="A1206" s="2" t="str">
        <f t="shared" si="46"/>
        <v>16980</v>
      </c>
      <c r="B1206" s="2" t="str">
        <f>"60462"</f>
        <v>60462</v>
      </c>
      <c r="C1206" s="1">
        <v>4.4198349607316202E-3</v>
      </c>
      <c r="D1206" s="1">
        <v>5.67645667535128E-3</v>
      </c>
      <c r="E1206" s="1">
        <v>4.3803017177974201E-3</v>
      </c>
      <c r="F1206" s="1">
        <v>4.5217624009349098E-3</v>
      </c>
    </row>
    <row r="1207" spans="1:6" x14ac:dyDescent="0.25">
      <c r="A1207" s="2" t="str">
        <f t="shared" si="46"/>
        <v>16980</v>
      </c>
      <c r="B1207" s="2" t="str">
        <f>"60435"</f>
        <v>60435</v>
      </c>
      <c r="C1207" s="1">
        <v>4.7215907612634996E-3</v>
      </c>
      <c r="D1207" s="1">
        <v>4.4313616878390001E-3</v>
      </c>
      <c r="E1207" s="1">
        <v>6.1700145465243602E-3</v>
      </c>
      <c r="F1207" s="1">
        <v>4.8061499733207599E-3</v>
      </c>
    </row>
    <row r="1208" spans="1:6" x14ac:dyDescent="0.25">
      <c r="A1208" s="2" t="str">
        <f t="shared" si="46"/>
        <v>16980</v>
      </c>
      <c r="B1208" s="2" t="str">
        <f>"60449"</f>
        <v>60449</v>
      </c>
      <c r="C1208" s="1">
        <v>9.9936852553264999E-4</v>
      </c>
      <c r="D1208" s="1">
        <v>8.2597836770007904E-4</v>
      </c>
      <c r="E1208" s="1">
        <v>4.11334303101624E-4</v>
      </c>
      <c r="F1208" s="1">
        <v>9.4072953800727302E-4</v>
      </c>
    </row>
    <row r="1209" spans="1:6" x14ac:dyDescent="0.25">
      <c r="A1209" s="2" t="str">
        <f t="shared" si="46"/>
        <v>16980</v>
      </c>
      <c r="B1209" s="2" t="str">
        <f>"60428"</f>
        <v>60428</v>
      </c>
      <c r="C1209" s="1">
        <v>1.1780877144052699E-3</v>
      </c>
      <c r="D1209" s="1">
        <v>1.0955855500354101E-3</v>
      </c>
      <c r="E1209" s="1">
        <v>2.0158104920211999E-4</v>
      </c>
      <c r="F1209" s="1">
        <v>1.0978587866348399E-3</v>
      </c>
    </row>
    <row r="1210" spans="1:6" x14ac:dyDescent="0.25">
      <c r="A1210" s="2" t="str">
        <f t="shared" si="46"/>
        <v>16980</v>
      </c>
      <c r="B1210" s="2" t="str">
        <f>"60199"</f>
        <v>60199</v>
      </c>
      <c r="C1210" s="1">
        <v>0</v>
      </c>
      <c r="D1210" s="1">
        <v>0</v>
      </c>
      <c r="E1210" s="1">
        <v>2.7240682324610801E-6</v>
      </c>
      <c r="F1210" s="1">
        <v>2.0459537581715301E-7</v>
      </c>
    </row>
    <row r="1211" spans="1:6" x14ac:dyDescent="0.25">
      <c r="A1211" s="2" t="str">
        <f t="shared" si="46"/>
        <v>16980</v>
      </c>
      <c r="B1211" s="2" t="str">
        <f>"60419"</f>
        <v>60419</v>
      </c>
      <c r="C1211" s="1">
        <v>2.3938645094571599E-3</v>
      </c>
      <c r="D1211" s="1">
        <v>1.81862299357109E-3</v>
      </c>
      <c r="E1211" s="1">
        <v>1.6753019629635599E-3</v>
      </c>
      <c r="F1211" s="1">
        <v>2.2918773999037502E-3</v>
      </c>
    </row>
    <row r="1212" spans="1:6" x14ac:dyDescent="0.25">
      <c r="A1212" s="2" t="str">
        <f t="shared" si="46"/>
        <v>16980</v>
      </c>
      <c r="B1212" s="2" t="str">
        <f>"60417"</f>
        <v>60417</v>
      </c>
      <c r="C1212" s="1">
        <v>1.5279882760211999E-3</v>
      </c>
      <c r="D1212" s="1">
        <v>8.4313518839414605E-4</v>
      </c>
      <c r="E1212" s="1">
        <v>3.3778446082517402E-4</v>
      </c>
      <c r="F1212" s="1">
        <v>1.38142797751742E-3</v>
      </c>
    </row>
    <row r="1213" spans="1:6" x14ac:dyDescent="0.25">
      <c r="A1213" s="2" t="str">
        <f t="shared" si="46"/>
        <v>16980</v>
      </c>
      <c r="B1213" s="2" t="str">
        <f>"60412"</f>
        <v>60412</v>
      </c>
      <c r="C1213" s="1">
        <v>2.7379293424568399E-4</v>
      </c>
      <c r="D1213" s="1">
        <v>3.6029323457540503E-4</v>
      </c>
      <c r="E1213" s="1">
        <v>5.4481364649221704E-6</v>
      </c>
      <c r="F1213" s="1">
        <v>2.6085910416687099E-4</v>
      </c>
    </row>
    <row r="1214" spans="1:6" x14ac:dyDescent="0.25">
      <c r="A1214" s="2" t="str">
        <f t="shared" si="46"/>
        <v>16980</v>
      </c>
      <c r="B1214" s="2" t="str">
        <f>"60183"</f>
        <v>60183</v>
      </c>
      <c r="C1214" s="1">
        <v>0</v>
      </c>
      <c r="D1214" s="1">
        <v>1.22548719243335E-5</v>
      </c>
      <c r="E1214" s="1">
        <v>2.7240682324610801E-6</v>
      </c>
      <c r="F1214" s="1">
        <v>1.22757225490292E-6</v>
      </c>
    </row>
    <row r="1215" spans="1:6" x14ac:dyDescent="0.25">
      <c r="A1215" s="2" t="str">
        <f t="shared" si="46"/>
        <v>16980</v>
      </c>
      <c r="B1215" s="2" t="str">
        <f>"60184"</f>
        <v>60184</v>
      </c>
      <c r="C1215" s="1">
        <v>2.3075443570084699E-4</v>
      </c>
      <c r="D1215" s="1">
        <v>3.4313641388133802E-5</v>
      </c>
      <c r="E1215" s="1">
        <v>3.8136955254455197E-5</v>
      </c>
      <c r="F1215" s="1">
        <v>1.99889682173359E-4</v>
      </c>
    </row>
    <row r="1216" spans="1:6" x14ac:dyDescent="0.25">
      <c r="A1216" s="2" t="str">
        <f t="shared" si="46"/>
        <v>16980</v>
      </c>
      <c r="B1216" s="2" t="str">
        <f>"60178"</f>
        <v>60178</v>
      </c>
      <c r="C1216" s="1">
        <v>2.60759807002728E-3</v>
      </c>
      <c r="D1216" s="1">
        <v>2.7597971573598999E-3</v>
      </c>
      <c r="E1216" s="1">
        <v>1.51458193724836E-3</v>
      </c>
      <c r="F1216" s="1">
        <v>2.53821023238761E-3</v>
      </c>
    </row>
    <row r="1217" spans="1:6" x14ac:dyDescent="0.25">
      <c r="A1217" s="2" t="str">
        <f t="shared" si="46"/>
        <v>16980</v>
      </c>
      <c r="B1217" s="2" t="str">
        <f>"60177"</f>
        <v>60177</v>
      </c>
      <c r="C1217" s="1">
        <v>2.18718245429834E-3</v>
      </c>
      <c r="D1217" s="1">
        <v>2.0024460724360899E-3</v>
      </c>
      <c r="E1217" s="1">
        <v>1.8441941933761499E-3</v>
      </c>
      <c r="F1217" s="1">
        <v>2.1460008969461201E-3</v>
      </c>
    </row>
    <row r="1218" spans="1:6" x14ac:dyDescent="0.25">
      <c r="A1218" s="2" t="str">
        <f t="shared" si="46"/>
        <v>16980</v>
      </c>
      <c r="B1218" s="2" t="str">
        <f>"60204"</f>
        <v>60204</v>
      </c>
      <c r="C1218" s="1">
        <v>5.5998679180089802E-4</v>
      </c>
      <c r="D1218" s="1">
        <v>1.3774476042950801E-3</v>
      </c>
      <c r="E1218" s="1">
        <v>1.6344409394766498E-5</v>
      </c>
      <c r="F1218" s="1">
        <v>5.8739332397104798E-4</v>
      </c>
    </row>
    <row r="1219" spans="1:6" x14ac:dyDescent="0.25">
      <c r="A1219" s="2" t="str">
        <f t="shared" si="46"/>
        <v>16980</v>
      </c>
      <c r="B1219" s="2" t="str">
        <f>"60172"</f>
        <v>60172</v>
      </c>
      <c r="C1219" s="1">
        <v>2.6080843807453E-3</v>
      </c>
      <c r="D1219" s="1">
        <v>3.2352861880240399E-3</v>
      </c>
      <c r="E1219" s="1">
        <v>2.0593955837405801E-3</v>
      </c>
      <c r="F1219" s="1">
        <v>2.6192300012112001E-3</v>
      </c>
    </row>
    <row r="1220" spans="1:6" x14ac:dyDescent="0.25">
      <c r="A1220" s="2" t="str">
        <f t="shared" si="46"/>
        <v>16980</v>
      </c>
      <c r="B1220" s="2" t="str">
        <f>"60110"</f>
        <v>60110</v>
      </c>
      <c r="C1220" s="1">
        <v>3.06229859137668E-3</v>
      </c>
      <c r="D1220" s="1">
        <v>1.9166619689657599E-3</v>
      </c>
      <c r="E1220" s="1">
        <v>1.01335338247552E-3</v>
      </c>
      <c r="F1220" s="1">
        <v>2.8127772267342302E-3</v>
      </c>
    </row>
    <row r="1221" spans="1:6" x14ac:dyDescent="0.25">
      <c r="A1221" s="2" t="str">
        <f t="shared" si="46"/>
        <v>16980</v>
      </c>
      <c r="B1221" s="2" t="str">
        <f>"60108"</f>
        <v>60108</v>
      </c>
      <c r="C1221" s="1">
        <v>2.5759878733559302E-3</v>
      </c>
      <c r="D1221" s="1">
        <v>4.2892051735167304E-3</v>
      </c>
      <c r="E1221" s="1">
        <v>2.74313671008831E-3</v>
      </c>
      <c r="F1221" s="1">
        <v>2.73155286253482E-3</v>
      </c>
    </row>
    <row r="1222" spans="1:6" x14ac:dyDescent="0.25">
      <c r="A1222" s="2" t="str">
        <f t="shared" si="46"/>
        <v>16980</v>
      </c>
      <c r="B1222" s="2" t="str">
        <f>"60157"</f>
        <v>60157</v>
      </c>
      <c r="C1222" s="1">
        <v>3.3409546328025798E-4</v>
      </c>
      <c r="D1222" s="1">
        <v>2.8186205425967002E-4</v>
      </c>
      <c r="E1222" s="1">
        <v>1.08962729298443E-5</v>
      </c>
      <c r="F1222" s="1">
        <v>3.0546089609501001E-4</v>
      </c>
    </row>
    <row r="1223" spans="1:6" x14ac:dyDescent="0.25">
      <c r="A1223" s="2" t="str">
        <f t="shared" si="46"/>
        <v>16980</v>
      </c>
      <c r="B1223" s="2" t="str">
        <f>"60156"</f>
        <v>60156</v>
      </c>
      <c r="C1223" s="1">
        <v>2.5015823334987599E-3</v>
      </c>
      <c r="D1223" s="1">
        <v>1.6225450427817499E-3</v>
      </c>
      <c r="E1223" s="1">
        <v>7.2187808160218705E-4</v>
      </c>
      <c r="F1223" s="1">
        <v>2.2945371397893799E-3</v>
      </c>
    </row>
    <row r="1224" spans="1:6" x14ac:dyDescent="0.25">
      <c r="A1224" s="2" t="str">
        <f t="shared" si="46"/>
        <v>16980</v>
      </c>
      <c r="B1224" s="2" t="str">
        <f>"60148"</f>
        <v>60148</v>
      </c>
      <c r="C1224" s="1">
        <v>5.7829639033437899E-3</v>
      </c>
      <c r="D1224" s="1">
        <v>7.0073357663338999E-3</v>
      </c>
      <c r="E1224" s="1">
        <v>4.2223057603146801E-3</v>
      </c>
      <c r="F1224" s="1">
        <v>5.7679528350371998E-3</v>
      </c>
    </row>
    <row r="1225" spans="1:6" x14ac:dyDescent="0.25">
      <c r="A1225" s="2" t="str">
        <f t="shared" si="46"/>
        <v>16980</v>
      </c>
      <c r="B1225" s="2" t="str">
        <f>"60102"</f>
        <v>60102</v>
      </c>
      <c r="C1225" s="1">
        <v>3.22059273009244E-3</v>
      </c>
      <c r="D1225" s="1">
        <v>3.51469726789885E-3</v>
      </c>
      <c r="E1225" s="1">
        <v>5.7750246528175001E-4</v>
      </c>
      <c r="F1225" s="1">
        <v>3.0466297412932298E-3</v>
      </c>
    </row>
    <row r="1226" spans="1:6" x14ac:dyDescent="0.25">
      <c r="A1226" s="2" t="str">
        <f t="shared" si="46"/>
        <v>16980</v>
      </c>
      <c r="B1226" s="2" t="str">
        <f>"60124"</f>
        <v>60124</v>
      </c>
      <c r="C1226" s="1">
        <v>2.4179368899991901E-3</v>
      </c>
      <c r="D1226" s="1">
        <v>1.1960754998149501E-3</v>
      </c>
      <c r="E1226" s="1">
        <v>6.3743196639589402E-4</v>
      </c>
      <c r="F1226" s="1">
        <v>2.18221427846576E-3</v>
      </c>
    </row>
    <row r="1227" spans="1:6" x14ac:dyDescent="0.25">
      <c r="A1227" s="2" t="str">
        <f t="shared" si="46"/>
        <v>16980</v>
      </c>
      <c r="B1227" s="2" t="str">
        <f>"60134"</f>
        <v>60134</v>
      </c>
      <c r="C1227" s="1">
        <v>2.9030318312248901E-3</v>
      </c>
      <c r="D1227" s="1">
        <v>4.8210666150327996E-3</v>
      </c>
      <c r="E1227" s="1">
        <v>1.52275414194574E-3</v>
      </c>
      <c r="F1227" s="1">
        <v>2.9594721111951298E-3</v>
      </c>
    </row>
    <row r="1228" spans="1:6" x14ac:dyDescent="0.25">
      <c r="A1228" s="2" t="str">
        <f t="shared" si="46"/>
        <v>16980</v>
      </c>
      <c r="B1228" s="2" t="str">
        <f>"60071"</f>
        <v>60071</v>
      </c>
      <c r="C1228" s="1">
        <v>5.01386350279397E-4</v>
      </c>
      <c r="D1228" s="1">
        <v>5.6862605728907499E-4</v>
      </c>
      <c r="E1228" s="1">
        <v>4.1950650779900699E-4</v>
      </c>
      <c r="F1228" s="1">
        <v>5.0084948000039202E-4</v>
      </c>
    </row>
    <row r="1229" spans="1:6" x14ac:dyDescent="0.25">
      <c r="A1229" s="2" t="str">
        <f t="shared" si="46"/>
        <v>16980</v>
      </c>
      <c r="B1229" s="2" t="str">
        <f>"60082"</f>
        <v>60082</v>
      </c>
      <c r="C1229" s="1">
        <v>0</v>
      </c>
      <c r="D1229" s="1">
        <v>2.4509743848666999E-6</v>
      </c>
      <c r="E1229" s="1">
        <v>0</v>
      </c>
      <c r="F1229" s="1">
        <v>2.0459537581715301E-7</v>
      </c>
    </row>
    <row r="1230" spans="1:6" x14ac:dyDescent="0.25">
      <c r="A1230" s="2" t="str">
        <f t="shared" si="46"/>
        <v>16980</v>
      </c>
      <c r="B1230" s="2" t="str">
        <f>"60083"</f>
        <v>60083</v>
      </c>
      <c r="C1230" s="1">
        <v>1.00180007912275E-3</v>
      </c>
      <c r="D1230" s="1">
        <v>4.6568513312467299E-4</v>
      </c>
      <c r="E1230" s="1">
        <v>4.0861023486916297E-5</v>
      </c>
      <c r="F1230" s="1">
        <v>8.8487500040918996E-4</v>
      </c>
    </row>
    <row r="1231" spans="1:6" x14ac:dyDescent="0.25">
      <c r="A1231" s="2" t="str">
        <f t="shared" si="46"/>
        <v>16980</v>
      </c>
      <c r="B1231" s="2" t="str">
        <f>"60046"</f>
        <v>60046</v>
      </c>
      <c r="C1231" s="1">
        <v>3.5566334362447799E-3</v>
      </c>
      <c r="D1231" s="1">
        <v>2.58822895041923E-3</v>
      </c>
      <c r="E1231" s="1">
        <v>6.6739671695296597E-4</v>
      </c>
      <c r="F1231" s="1">
        <v>3.2587951460156198E-3</v>
      </c>
    </row>
    <row r="1232" spans="1:6" x14ac:dyDescent="0.25">
      <c r="A1232" s="2" t="str">
        <f t="shared" si="46"/>
        <v>16980</v>
      </c>
      <c r="B1232" s="2" t="str">
        <f>"53144"</f>
        <v>53144</v>
      </c>
      <c r="C1232" s="1">
        <v>2.6883256492187201E-3</v>
      </c>
      <c r="D1232" s="1">
        <v>1.8529366349592201E-3</v>
      </c>
      <c r="E1232" s="1">
        <v>2.66958686781186E-3</v>
      </c>
      <c r="F1232" s="1">
        <v>2.6171840474530301E-3</v>
      </c>
    </row>
    <row r="1233" spans="1:6" x14ac:dyDescent="0.25">
      <c r="A1233" s="2" t="str">
        <f t="shared" si="46"/>
        <v>16980</v>
      </c>
      <c r="B1233" s="2" t="str">
        <f>"53170"</f>
        <v>53170</v>
      </c>
      <c r="C1233" s="1">
        <v>2.22487153494495E-4</v>
      </c>
      <c r="D1233" s="1">
        <v>9.8038975394668096E-5</v>
      </c>
      <c r="E1233" s="1">
        <v>1.17134933995826E-4</v>
      </c>
      <c r="F1233" s="1">
        <v>2.0418618506551901E-4</v>
      </c>
    </row>
    <row r="1234" spans="1:6" x14ac:dyDescent="0.25">
      <c r="A1234" s="2" t="str">
        <f t="shared" si="46"/>
        <v>16980</v>
      </c>
      <c r="B1234" s="2" t="str">
        <f>"53158"</f>
        <v>53158</v>
      </c>
      <c r="C1234" s="1">
        <v>2.0048159350405498E-3</v>
      </c>
      <c r="D1234" s="1">
        <v>1.47058463092002E-3</v>
      </c>
      <c r="E1234" s="1">
        <v>6.8646519458019303E-4</v>
      </c>
      <c r="F1234" s="1">
        <v>1.8612041338086399E-3</v>
      </c>
    </row>
    <row r="1235" spans="1:6" x14ac:dyDescent="0.25">
      <c r="A1235" s="2" t="str">
        <f t="shared" si="46"/>
        <v>16980</v>
      </c>
      <c r="B1235" s="2" t="str">
        <f>"53101"</f>
        <v>53101</v>
      </c>
      <c r="C1235" s="1">
        <v>0</v>
      </c>
      <c r="D1235" s="1">
        <v>0</v>
      </c>
      <c r="E1235" s="1">
        <v>2.7240682324610801E-6</v>
      </c>
      <c r="F1235" s="1">
        <v>2.0459537581715301E-7</v>
      </c>
    </row>
    <row r="1236" spans="1:6" x14ac:dyDescent="0.25">
      <c r="A1236" s="2" t="str">
        <f t="shared" si="46"/>
        <v>16980</v>
      </c>
      <c r="B1236" s="2" t="str">
        <f>"47977"</f>
        <v>47977</v>
      </c>
      <c r="C1236" s="1">
        <v>2.3756278575313801E-4</v>
      </c>
      <c r="D1236" s="1">
        <v>2.0833282271366901E-4</v>
      </c>
      <c r="E1236" s="1">
        <v>5.1757296416760602E-5</v>
      </c>
      <c r="F1236" s="1">
        <v>2.2116760125834301E-4</v>
      </c>
    </row>
    <row r="1237" spans="1:6" x14ac:dyDescent="0.25">
      <c r="A1237" s="2" t="str">
        <f t="shared" si="46"/>
        <v>16980</v>
      </c>
      <c r="B1237" s="2" t="str">
        <f>"47959"</f>
        <v>47959</v>
      </c>
      <c r="C1237" s="1">
        <v>4.3767964621867803E-6</v>
      </c>
      <c r="D1237" s="1">
        <v>2.4509743848666999E-6</v>
      </c>
      <c r="E1237" s="1">
        <v>0</v>
      </c>
      <c r="F1237" s="1">
        <v>3.8873121405259198E-6</v>
      </c>
    </row>
    <row r="1238" spans="1:6" x14ac:dyDescent="0.25">
      <c r="A1238" s="2" t="str">
        <f t="shared" si="46"/>
        <v>16980</v>
      </c>
      <c r="B1238" s="2" t="str">
        <f>"47946"</f>
        <v>47946</v>
      </c>
      <c r="C1238" s="1">
        <v>1.50756322586433E-5</v>
      </c>
      <c r="D1238" s="1">
        <v>4.9019487697333999E-6</v>
      </c>
      <c r="E1238" s="1">
        <v>0</v>
      </c>
      <c r="F1238" s="1">
        <v>1.3094104052297799E-5</v>
      </c>
    </row>
    <row r="1239" spans="1:6" x14ac:dyDescent="0.25">
      <c r="A1239" s="2" t="str">
        <f t="shared" si="46"/>
        <v>16980</v>
      </c>
      <c r="B1239" s="2" t="str">
        <f>"47948"</f>
        <v>47948</v>
      </c>
      <c r="C1239" s="1">
        <v>1.4686583684226699E-4</v>
      </c>
      <c r="D1239" s="1">
        <v>1.02940924164401E-4</v>
      </c>
      <c r="E1239" s="1">
        <v>2.17925458596886E-5</v>
      </c>
      <c r="F1239" s="1">
        <v>1.3380537578441801E-4</v>
      </c>
    </row>
    <row r="1240" spans="1:6" x14ac:dyDescent="0.25">
      <c r="A1240" s="2" t="str">
        <f t="shared" si="46"/>
        <v>16980</v>
      </c>
      <c r="B1240" s="2" t="str">
        <f>"47922"</f>
        <v>47922</v>
      </c>
      <c r="C1240" s="1">
        <v>1.51728944022475E-4</v>
      </c>
      <c r="D1240" s="1">
        <v>8.0882154700601195E-5</v>
      </c>
      <c r="E1240" s="1">
        <v>2.99647505570719E-5</v>
      </c>
      <c r="F1240" s="1">
        <v>1.3666971104585801E-4</v>
      </c>
    </row>
    <row r="1241" spans="1:6" x14ac:dyDescent="0.25">
      <c r="A1241" s="2" t="str">
        <f t="shared" si="46"/>
        <v>16980</v>
      </c>
      <c r="B1241" s="2" t="str">
        <f>"46379"</f>
        <v>46379</v>
      </c>
      <c r="C1241" s="1">
        <v>0</v>
      </c>
      <c r="D1241" s="1">
        <v>0</v>
      </c>
      <c r="E1241" s="1">
        <v>2.7240682324610801E-6</v>
      </c>
      <c r="F1241" s="1">
        <v>2.0459537581715301E-7</v>
      </c>
    </row>
    <row r="1242" spans="1:6" x14ac:dyDescent="0.25">
      <c r="A1242" s="2" t="str">
        <f t="shared" si="46"/>
        <v>16980</v>
      </c>
      <c r="B1242" s="2" t="str">
        <f>"46407"</f>
        <v>46407</v>
      </c>
      <c r="C1242" s="1">
        <v>2.0743583677175202E-3</v>
      </c>
      <c r="D1242" s="1">
        <v>1.3798985786799499E-3</v>
      </c>
      <c r="E1242" s="1">
        <v>9.2618319903676897E-4</v>
      </c>
      <c r="F1242" s="1">
        <v>1.93015277545903E-3</v>
      </c>
    </row>
    <row r="1243" spans="1:6" x14ac:dyDescent="0.25">
      <c r="A1243" s="2" t="str">
        <f t="shared" si="46"/>
        <v>16980</v>
      </c>
      <c r="B1243" s="2" t="str">
        <f>"46411"</f>
        <v>46411</v>
      </c>
      <c r="C1243" s="1">
        <v>3.2996182217708101E-4</v>
      </c>
      <c r="D1243" s="1">
        <v>1.01960534410454E-3</v>
      </c>
      <c r="E1243" s="1">
        <v>2.7240682324610801E-6</v>
      </c>
      <c r="F1243" s="1">
        <v>3.6295219669963102E-4</v>
      </c>
    </row>
    <row r="1244" spans="1:6" x14ac:dyDescent="0.25">
      <c r="A1244" s="2" t="str">
        <f t="shared" si="46"/>
        <v>16980</v>
      </c>
      <c r="B1244" s="2" t="str">
        <f>"46410"</f>
        <v>46410</v>
      </c>
      <c r="C1244" s="1">
        <v>4.2960688829953401E-3</v>
      </c>
      <c r="D1244" s="1">
        <v>6.7475324815380296E-3</v>
      </c>
      <c r="E1244" s="1">
        <v>3.9417267323711902E-3</v>
      </c>
      <c r="F1244" s="1">
        <v>4.4740916783695198E-3</v>
      </c>
    </row>
    <row r="1245" spans="1:6" x14ac:dyDescent="0.25">
      <c r="A1245" s="2" t="str">
        <f t="shared" si="46"/>
        <v>16980</v>
      </c>
      <c r="B1245" s="2" t="str">
        <f>"46349"</f>
        <v>46349</v>
      </c>
      <c r="C1245" s="1">
        <v>3.4503745443572502E-4</v>
      </c>
      <c r="D1245" s="1">
        <v>1.05391898549268E-4</v>
      </c>
      <c r="E1245" s="1">
        <v>5.4481364649221702E-5</v>
      </c>
      <c r="F1245" s="1">
        <v>3.0321034696102203E-4</v>
      </c>
    </row>
    <row r="1246" spans="1:6" x14ac:dyDescent="0.25">
      <c r="A1246" s="2" t="str">
        <f t="shared" si="46"/>
        <v>16980</v>
      </c>
      <c r="B1246" s="2" t="str">
        <f>"46341"</f>
        <v>46341</v>
      </c>
      <c r="C1246" s="1">
        <v>1.0535921705919599E-3</v>
      </c>
      <c r="D1246" s="1">
        <v>4.77940005049007E-4</v>
      </c>
      <c r="E1246" s="1">
        <v>2.34269867991653E-4</v>
      </c>
      <c r="F1246" s="1">
        <v>9.4400306402034795E-4</v>
      </c>
    </row>
    <row r="1247" spans="1:6" x14ac:dyDescent="0.25">
      <c r="A1247" s="2" t="str">
        <f t="shared" si="46"/>
        <v>16980</v>
      </c>
      <c r="B1247" s="2" t="str">
        <f>"46392"</f>
        <v>46392</v>
      </c>
      <c r="C1247" s="1">
        <v>8.0435792760632705E-4</v>
      </c>
      <c r="D1247" s="1">
        <v>1.6666625817093501E-4</v>
      </c>
      <c r="E1247" s="1">
        <v>5.9929501114143902E-5</v>
      </c>
      <c r="F1247" s="1">
        <v>6.9521508702668903E-4</v>
      </c>
    </row>
    <row r="1248" spans="1:6" x14ac:dyDescent="0.25">
      <c r="A1248" s="2" t="str">
        <f t="shared" si="46"/>
        <v>16980</v>
      </c>
      <c r="B1248" s="2" t="str">
        <f>"46384"</f>
        <v>46384</v>
      </c>
      <c r="C1248" s="1">
        <v>1.7458554776944999E-4</v>
      </c>
      <c r="D1248" s="1">
        <v>1.37499662991022E-3</v>
      </c>
      <c r="E1248" s="1">
        <v>1.08962729298443E-5</v>
      </c>
      <c r="F1248" s="1">
        <v>2.6249586717340802E-4</v>
      </c>
    </row>
    <row r="1249" spans="1:6" x14ac:dyDescent="0.25">
      <c r="A1249" s="2" t="str">
        <f t="shared" si="46"/>
        <v>16980</v>
      </c>
      <c r="B1249" s="2" t="str">
        <f>"46322"</f>
        <v>46322</v>
      </c>
      <c r="C1249" s="1">
        <v>2.6844351634745601E-3</v>
      </c>
      <c r="D1249" s="1">
        <v>3.0735218786228399E-3</v>
      </c>
      <c r="E1249" s="1">
        <v>1.53909855134051E-3</v>
      </c>
      <c r="F1249" s="1">
        <v>2.6308919376327798E-3</v>
      </c>
    </row>
    <row r="1250" spans="1:6" x14ac:dyDescent="0.25">
      <c r="A1250" s="2" t="str">
        <f t="shared" si="46"/>
        <v>16980</v>
      </c>
      <c r="B1250" s="2" t="str">
        <f>"60827"</f>
        <v>60827</v>
      </c>
      <c r="C1250" s="1">
        <v>3.0391988322707002E-3</v>
      </c>
      <c r="D1250" s="1">
        <v>1.58823140139362E-3</v>
      </c>
      <c r="E1250" s="1">
        <v>3.8763490947921202E-3</v>
      </c>
      <c r="F1250" s="1">
        <v>2.9809546256559299E-3</v>
      </c>
    </row>
    <row r="1251" spans="1:6" x14ac:dyDescent="0.25">
      <c r="A1251" s="2" t="str">
        <f t="shared" si="46"/>
        <v>16980</v>
      </c>
      <c r="B1251" s="2" t="str">
        <f>"60654"</f>
        <v>60654</v>
      </c>
      <c r="C1251" s="1">
        <v>4.3578303441839704E-3</v>
      </c>
      <c r="D1251" s="1">
        <v>9.1396834811679293E-3</v>
      </c>
      <c r="E1251" s="1">
        <v>3.6802161820549198E-3</v>
      </c>
      <c r="F1251" s="1">
        <v>4.7061028345461702E-3</v>
      </c>
    </row>
    <row r="1252" spans="1:6" x14ac:dyDescent="0.25">
      <c r="A1252" s="2" t="str">
        <f t="shared" si="46"/>
        <v>16980</v>
      </c>
      <c r="B1252" s="2" t="str">
        <f>"60689"</f>
        <v>60689</v>
      </c>
      <c r="C1252" s="1">
        <v>0</v>
      </c>
      <c r="D1252" s="1">
        <v>2.4509743848666999E-6</v>
      </c>
      <c r="E1252" s="1">
        <v>3.2688818789532997E-5</v>
      </c>
      <c r="F1252" s="1">
        <v>2.6597398856229998E-6</v>
      </c>
    </row>
    <row r="1253" spans="1:6" x14ac:dyDescent="0.25">
      <c r="A1253" s="2" t="str">
        <f t="shared" si="46"/>
        <v>16980</v>
      </c>
      <c r="B1253" s="2" t="str">
        <f>"60688"</f>
        <v>60688</v>
      </c>
      <c r="C1253" s="1">
        <v>0</v>
      </c>
      <c r="D1253" s="1">
        <v>2.4509743848666999E-6</v>
      </c>
      <c r="E1253" s="1">
        <v>1.08962729298443E-5</v>
      </c>
      <c r="F1253" s="1">
        <v>1.02297687908576E-6</v>
      </c>
    </row>
    <row r="1254" spans="1:6" x14ac:dyDescent="0.25">
      <c r="A1254" s="2" t="str">
        <f t="shared" si="46"/>
        <v>16980</v>
      </c>
      <c r="B1254" s="2" t="str">
        <f>"60687"</f>
        <v>60687</v>
      </c>
      <c r="C1254" s="1">
        <v>0</v>
      </c>
      <c r="D1254" s="1">
        <v>0</v>
      </c>
      <c r="E1254" s="1">
        <v>2.7240682324610801E-6</v>
      </c>
      <c r="F1254" s="1">
        <v>2.0459537581715301E-7</v>
      </c>
    </row>
    <row r="1255" spans="1:6" x14ac:dyDescent="0.25">
      <c r="A1255" s="2" t="str">
        <f t="shared" si="46"/>
        <v>16980</v>
      </c>
      <c r="B1255" s="2" t="str">
        <f>"60686"</f>
        <v>60686</v>
      </c>
      <c r="C1255" s="1">
        <v>0</v>
      </c>
      <c r="D1255" s="1">
        <v>0</v>
      </c>
      <c r="E1255" s="1">
        <v>9.5342388136137999E-5</v>
      </c>
      <c r="F1255" s="1">
        <v>7.1608381536003803E-6</v>
      </c>
    </row>
    <row r="1256" spans="1:6" x14ac:dyDescent="0.25">
      <c r="A1256" s="2" t="str">
        <f t="shared" si="46"/>
        <v>16980</v>
      </c>
      <c r="B1256" s="2" t="str">
        <f>"60675"</f>
        <v>60675</v>
      </c>
      <c r="C1256" s="1">
        <v>0</v>
      </c>
      <c r="D1256" s="1">
        <v>2.4509743848666999E-6</v>
      </c>
      <c r="E1256" s="1">
        <v>6.3062179581474097E-3</v>
      </c>
      <c r="F1256" s="1">
        <v>4.7384289039252803E-4</v>
      </c>
    </row>
    <row r="1257" spans="1:6" x14ac:dyDescent="0.25">
      <c r="A1257" s="2" t="str">
        <f t="shared" si="46"/>
        <v>16980</v>
      </c>
      <c r="B1257" s="2" t="str">
        <f>"60624"</f>
        <v>60624</v>
      </c>
      <c r="C1257" s="1">
        <v>3.6339568404100799E-3</v>
      </c>
      <c r="D1257" s="1">
        <v>2.7867578755934402E-3</v>
      </c>
      <c r="E1257" s="1">
        <v>5.5952361494750703E-3</v>
      </c>
      <c r="F1257" s="1">
        <v>3.7105417358199002E-3</v>
      </c>
    </row>
    <row r="1258" spans="1:6" x14ac:dyDescent="0.25">
      <c r="A1258" s="2" t="str">
        <f t="shared" si="46"/>
        <v>16980</v>
      </c>
      <c r="B1258" s="2" t="str">
        <f>"60619"</f>
        <v>60619</v>
      </c>
      <c r="C1258" s="1">
        <v>7.8227942100818505E-3</v>
      </c>
      <c r="D1258" s="1">
        <v>5.15194815698981E-3</v>
      </c>
      <c r="E1258" s="1">
        <v>1.0751897313523899E-2</v>
      </c>
      <c r="F1258" s="1">
        <v>7.81983985910744E-3</v>
      </c>
    </row>
    <row r="1259" spans="1:6" x14ac:dyDescent="0.25">
      <c r="A1259" s="2" t="str">
        <f t="shared" si="46"/>
        <v>16980</v>
      </c>
      <c r="B1259" s="2" t="str">
        <f>"60612"</f>
        <v>60612</v>
      </c>
      <c r="C1259" s="1">
        <v>3.8763827333434301E-3</v>
      </c>
      <c r="D1259" s="1">
        <v>5.2793988250028701E-3</v>
      </c>
      <c r="E1259" s="1">
        <v>6.2135996382437298E-3</v>
      </c>
      <c r="F1259" s="1">
        <v>4.1690399730261399E-3</v>
      </c>
    </row>
    <row r="1260" spans="1:6" x14ac:dyDescent="0.25">
      <c r="A1260" s="2" t="str">
        <f t="shared" si="46"/>
        <v>16980</v>
      </c>
      <c r="B1260" s="2" t="str">
        <f>"60599"</f>
        <v>60599</v>
      </c>
      <c r="C1260" s="1">
        <v>0</v>
      </c>
      <c r="D1260" s="1">
        <v>2.4509743848666999E-6</v>
      </c>
      <c r="E1260" s="1">
        <v>5.4481364649221704E-6</v>
      </c>
      <c r="F1260" s="1">
        <v>6.1378612745146096E-7</v>
      </c>
    </row>
    <row r="1261" spans="1:6" x14ac:dyDescent="0.25">
      <c r="A1261" s="2" t="str">
        <f t="shared" si="46"/>
        <v>16980</v>
      </c>
      <c r="B1261" s="2" t="str">
        <f>"60586"</f>
        <v>60586</v>
      </c>
      <c r="C1261" s="1">
        <v>3.73608209119444E-3</v>
      </c>
      <c r="D1261" s="1">
        <v>1.0857816524959399E-3</v>
      </c>
      <c r="E1261" s="1">
        <v>2.5606241385134202E-4</v>
      </c>
      <c r="F1261" s="1">
        <v>3.25347566624438E-3</v>
      </c>
    </row>
    <row r="1262" spans="1:6" x14ac:dyDescent="0.25">
      <c r="A1262" s="2" t="str">
        <f t="shared" ref="A1262:A1325" si="47">"16980"</f>
        <v>16980</v>
      </c>
      <c r="B1262" s="2" t="str">
        <f>"60601"</f>
        <v>60601</v>
      </c>
      <c r="C1262" s="1">
        <v>2.8227905627514599E-3</v>
      </c>
      <c r="D1262" s="1">
        <v>9.4288984585821998E-3</v>
      </c>
      <c r="E1262" s="1">
        <v>1.7869887604944699E-3</v>
      </c>
      <c r="F1262" s="1">
        <v>3.2964406951659802E-3</v>
      </c>
    </row>
    <row r="1263" spans="1:6" x14ac:dyDescent="0.25">
      <c r="A1263" s="2" t="str">
        <f t="shared" si="47"/>
        <v>16980</v>
      </c>
      <c r="B1263" s="2" t="str">
        <f>"60609"</f>
        <v>60609</v>
      </c>
      <c r="C1263" s="1">
        <v>4.91052247521456E-3</v>
      </c>
      <c r="D1263" s="1">
        <v>5.1421442594503401E-3</v>
      </c>
      <c r="E1263" s="1">
        <v>8.9894251671215793E-3</v>
      </c>
      <c r="F1263" s="1">
        <v>5.2362094532884202E-3</v>
      </c>
    </row>
    <row r="1264" spans="1:6" x14ac:dyDescent="0.25">
      <c r="A1264" s="2" t="str">
        <f t="shared" si="47"/>
        <v>16980</v>
      </c>
      <c r="B1264" s="2" t="str">
        <f>"60516"</f>
        <v>60516</v>
      </c>
      <c r="C1264" s="1">
        <v>3.0484387359130901E-3</v>
      </c>
      <c r="D1264" s="1">
        <v>1.06862483180188E-3</v>
      </c>
      <c r="E1264" s="1">
        <v>2.28549324703485E-3</v>
      </c>
      <c r="F1264" s="1">
        <v>2.8258713307865299E-3</v>
      </c>
    </row>
    <row r="1265" spans="1:6" x14ac:dyDescent="0.25">
      <c r="A1265" s="2" t="str">
        <f t="shared" si="47"/>
        <v>16980</v>
      </c>
      <c r="B1265" s="2" t="str">
        <f>"60511"</f>
        <v>60511</v>
      </c>
      <c r="C1265" s="1">
        <v>1.7385608169241901E-4</v>
      </c>
      <c r="D1265" s="1">
        <v>3.6764615773000497E-5</v>
      </c>
      <c r="E1265" s="1">
        <v>3.5412887021994097E-5</v>
      </c>
      <c r="F1265" s="1">
        <v>1.52014364232145E-4</v>
      </c>
    </row>
    <row r="1266" spans="1:6" x14ac:dyDescent="0.25">
      <c r="A1266" s="2" t="str">
        <f t="shared" si="47"/>
        <v>16980</v>
      </c>
      <c r="B1266" s="2" t="str">
        <f>"60536"</f>
        <v>60536</v>
      </c>
      <c r="C1266" s="1">
        <v>9.4830590014046994E-6</v>
      </c>
      <c r="D1266" s="1">
        <v>2.4509743848666999E-6</v>
      </c>
      <c r="E1266" s="1">
        <v>5.4481364649221704E-6</v>
      </c>
      <c r="F1266" s="1">
        <v>8.59300578432046E-6</v>
      </c>
    </row>
    <row r="1267" spans="1:6" x14ac:dyDescent="0.25">
      <c r="A1267" s="2" t="str">
        <f t="shared" si="47"/>
        <v>16980</v>
      </c>
      <c r="B1267" s="2" t="str">
        <f>"60538"</f>
        <v>60538</v>
      </c>
      <c r="C1267" s="1">
        <v>2.6992676403741899E-3</v>
      </c>
      <c r="D1267" s="1">
        <v>1.4656826821502801E-3</v>
      </c>
      <c r="E1267" s="1">
        <v>6.7012078518542705E-4</v>
      </c>
      <c r="F1267" s="1">
        <v>2.4438917641359001E-3</v>
      </c>
    </row>
    <row r="1268" spans="1:6" x14ac:dyDescent="0.25">
      <c r="A1268" s="2" t="str">
        <f t="shared" si="47"/>
        <v>16980</v>
      </c>
      <c r="B1268" s="2" t="str">
        <f>"60540"</f>
        <v>60540</v>
      </c>
      <c r="C1268" s="1">
        <v>4.0903594492725601E-3</v>
      </c>
      <c r="D1268" s="1">
        <v>5.4411631344040796E-3</v>
      </c>
      <c r="E1268" s="1">
        <v>2.62872584432494E-3</v>
      </c>
      <c r="F1268" s="1">
        <v>4.0933396839737896E-3</v>
      </c>
    </row>
    <row r="1269" spans="1:6" x14ac:dyDescent="0.25">
      <c r="A1269" s="2" t="str">
        <f t="shared" si="47"/>
        <v>16980</v>
      </c>
      <c r="B1269" s="2" t="str">
        <f>"60503"</f>
        <v>60503</v>
      </c>
      <c r="C1269" s="1">
        <v>1.3283577262736899E-3</v>
      </c>
      <c r="D1269" s="1">
        <v>2.2794061779260301E-4</v>
      </c>
      <c r="E1269" s="1">
        <v>6.5377637579065994E-5</v>
      </c>
      <c r="F1269" s="1">
        <v>1.1416421970597099E-3</v>
      </c>
    </row>
    <row r="1270" spans="1:6" x14ac:dyDescent="0.25">
      <c r="A1270" s="2" t="str">
        <f t="shared" si="47"/>
        <v>16980</v>
      </c>
      <c r="B1270" s="2" t="str">
        <f>"60481"</f>
        <v>60481</v>
      </c>
      <c r="C1270" s="1">
        <v>1.3818519052559699E-3</v>
      </c>
      <c r="D1270" s="1">
        <v>9.73036830792081E-4</v>
      </c>
      <c r="E1270" s="1">
        <v>5.7477839704928903E-4</v>
      </c>
      <c r="F1270" s="1">
        <v>1.2871095092657099E-3</v>
      </c>
    </row>
    <row r="1271" spans="1:6" x14ac:dyDescent="0.25">
      <c r="A1271" s="2" t="str">
        <f t="shared" si="47"/>
        <v>16980</v>
      </c>
      <c r="B1271" s="2" t="str">
        <f>"60439"</f>
        <v>60439</v>
      </c>
      <c r="C1271" s="1">
        <v>2.4344714544118902E-3</v>
      </c>
      <c r="D1271" s="1">
        <v>2.4681312055607699E-3</v>
      </c>
      <c r="E1271" s="1">
        <v>1.25307138693209E-3</v>
      </c>
      <c r="F1271" s="1">
        <v>2.3485503190051001E-3</v>
      </c>
    </row>
    <row r="1272" spans="1:6" x14ac:dyDescent="0.25">
      <c r="A1272" s="2" t="str">
        <f t="shared" si="47"/>
        <v>16980</v>
      </c>
      <c r="B1272" s="2" t="str">
        <f>"60470"</f>
        <v>60470</v>
      </c>
      <c r="C1272" s="1">
        <v>7.2946607703113105E-7</v>
      </c>
      <c r="D1272" s="1">
        <v>0</v>
      </c>
      <c r="E1272" s="1">
        <v>0</v>
      </c>
      <c r="F1272" s="1">
        <v>6.1378612745146096E-7</v>
      </c>
    </row>
    <row r="1273" spans="1:6" x14ac:dyDescent="0.25">
      <c r="A1273" s="2" t="str">
        <f t="shared" si="47"/>
        <v>16980</v>
      </c>
      <c r="B1273" s="2" t="str">
        <f>"60469"</f>
        <v>60469</v>
      </c>
      <c r="C1273" s="1">
        <v>5.3396916838678804E-4</v>
      </c>
      <c r="D1273" s="1">
        <v>5.5146923659500798E-4</v>
      </c>
      <c r="E1273" s="1">
        <v>2.72406823246108E-4</v>
      </c>
      <c r="F1273" s="1">
        <v>5.1578494243504497E-4</v>
      </c>
    </row>
    <row r="1274" spans="1:6" x14ac:dyDescent="0.25">
      <c r="A1274" s="2" t="str">
        <f t="shared" si="47"/>
        <v>16980</v>
      </c>
      <c r="B1274" s="2" t="str">
        <f>"60477"</f>
        <v>60477</v>
      </c>
      <c r="C1274" s="1">
        <v>4.1110276547884402E-3</v>
      </c>
      <c r="D1274" s="1">
        <v>3.92646096455645E-3</v>
      </c>
      <c r="E1274" s="1">
        <v>5.2356591427901999E-3</v>
      </c>
      <c r="F1274" s="1">
        <v>4.18008812332027E-3</v>
      </c>
    </row>
    <row r="1275" spans="1:6" x14ac:dyDescent="0.25">
      <c r="A1275" s="2" t="str">
        <f t="shared" si="47"/>
        <v>16980</v>
      </c>
      <c r="B1275" s="2" t="str">
        <f>"60457"</f>
        <v>60457</v>
      </c>
      <c r="C1275" s="1">
        <v>1.3653173408432601E-3</v>
      </c>
      <c r="D1275" s="1">
        <v>1.0661738574170099E-3</v>
      </c>
      <c r="E1275" s="1">
        <v>1.56906330189758E-3</v>
      </c>
      <c r="F1275" s="1">
        <v>1.35564896016446E-3</v>
      </c>
    </row>
    <row r="1276" spans="1:6" x14ac:dyDescent="0.25">
      <c r="A1276" s="2" t="str">
        <f t="shared" si="47"/>
        <v>16980</v>
      </c>
      <c r="B1276" s="2" t="str">
        <f>"60461"</f>
        <v>60461</v>
      </c>
      <c r="C1276" s="1">
        <v>5.3396916838678804E-4</v>
      </c>
      <c r="D1276" s="1">
        <v>7.5490011053894396E-4</v>
      </c>
      <c r="E1276" s="1">
        <v>2.5606241385134202E-4</v>
      </c>
      <c r="F1276" s="1">
        <v>5.3153878637296503E-4</v>
      </c>
    </row>
    <row r="1277" spans="1:6" x14ac:dyDescent="0.25">
      <c r="A1277" s="2" t="str">
        <f t="shared" si="47"/>
        <v>16980</v>
      </c>
      <c r="B1277" s="2" t="str">
        <f>"60436"</f>
        <v>60436</v>
      </c>
      <c r="C1277" s="1">
        <v>1.7806266940329899E-3</v>
      </c>
      <c r="D1277" s="1">
        <v>1.96813243104796E-3</v>
      </c>
      <c r="E1277" s="1">
        <v>1.2176584999101E-3</v>
      </c>
      <c r="F1277" s="1">
        <v>1.7539961568804601E-3</v>
      </c>
    </row>
    <row r="1278" spans="1:6" x14ac:dyDescent="0.25">
      <c r="A1278" s="2" t="str">
        <f t="shared" si="47"/>
        <v>16980</v>
      </c>
      <c r="B1278" s="2" t="str">
        <f>"60453"</f>
        <v>60453</v>
      </c>
      <c r="C1278" s="1">
        <v>5.7666724942900998E-3</v>
      </c>
      <c r="D1278" s="1">
        <v>4.1789113261977203E-3</v>
      </c>
      <c r="E1278" s="1">
        <v>7.7145612343297899E-3</v>
      </c>
      <c r="F1278" s="1">
        <v>5.7804331529620499E-3</v>
      </c>
    </row>
    <row r="1279" spans="1:6" x14ac:dyDescent="0.25">
      <c r="A1279" s="2" t="str">
        <f t="shared" si="47"/>
        <v>16980</v>
      </c>
      <c r="B1279" s="2" t="str">
        <f>"60192"</f>
        <v>60192</v>
      </c>
      <c r="C1279" s="1">
        <v>1.40495166436195E-3</v>
      </c>
      <c r="D1279" s="1">
        <v>7.8676277754221105E-4</v>
      </c>
      <c r="E1279" s="1">
        <v>7.0825774043988194E-5</v>
      </c>
      <c r="F1279" s="1">
        <v>1.2531466768800599E-3</v>
      </c>
    </row>
    <row r="1280" spans="1:6" x14ac:dyDescent="0.25">
      <c r="A1280" s="2" t="str">
        <f t="shared" si="47"/>
        <v>16980</v>
      </c>
      <c r="B1280" s="2" t="str">
        <f>"60189"</f>
        <v>60189</v>
      </c>
      <c r="C1280" s="1">
        <v>3.2325073426839501E-3</v>
      </c>
      <c r="D1280" s="1">
        <v>1.6397018634758201E-3</v>
      </c>
      <c r="E1280" s="1">
        <v>3.2252967872339199E-3</v>
      </c>
      <c r="F1280" s="1">
        <v>3.09900615750243E-3</v>
      </c>
    </row>
    <row r="1281" spans="1:6" x14ac:dyDescent="0.25">
      <c r="A1281" s="2" t="str">
        <f t="shared" si="47"/>
        <v>16980</v>
      </c>
      <c r="B1281" s="2" t="str">
        <f>"60418"</f>
        <v>60418</v>
      </c>
      <c r="C1281" s="1">
        <v>1.30404219037265E-3</v>
      </c>
      <c r="D1281" s="1">
        <v>1.65685868416989E-3</v>
      </c>
      <c r="E1281" s="1">
        <v>1.9994660826264301E-3</v>
      </c>
      <c r="F1281" s="1">
        <v>1.38572448040958E-3</v>
      </c>
    </row>
    <row r="1282" spans="1:6" x14ac:dyDescent="0.25">
      <c r="A1282" s="2" t="str">
        <f t="shared" si="47"/>
        <v>16980</v>
      </c>
      <c r="B1282" s="2" t="str">
        <f>"60402"</f>
        <v>60402</v>
      </c>
      <c r="C1282" s="1">
        <v>5.3878364449519303E-3</v>
      </c>
      <c r="D1282" s="1">
        <v>3.6176381920632501E-3</v>
      </c>
      <c r="E1282" s="1">
        <v>9.5178944042190305E-3</v>
      </c>
      <c r="F1282" s="1">
        <v>5.55026335516775E-3</v>
      </c>
    </row>
    <row r="1283" spans="1:6" x14ac:dyDescent="0.25">
      <c r="A1283" s="2" t="str">
        <f t="shared" si="47"/>
        <v>16980</v>
      </c>
      <c r="B1283" s="2" t="str">
        <f>"60406"</f>
        <v>60406</v>
      </c>
      <c r="C1283" s="1">
        <v>2.5533744249679699E-3</v>
      </c>
      <c r="D1283" s="1">
        <v>2.2843081266957599E-3</v>
      </c>
      <c r="E1283" s="1">
        <v>5.0640428441451604E-3</v>
      </c>
      <c r="F1283" s="1">
        <v>2.7194817353616099E-3</v>
      </c>
    </row>
    <row r="1284" spans="1:6" x14ac:dyDescent="0.25">
      <c r="A1284" s="2" t="str">
        <f t="shared" si="47"/>
        <v>16980</v>
      </c>
      <c r="B1284" s="2" t="str">
        <f>"60181"</f>
        <v>60181</v>
      </c>
      <c r="C1284" s="1">
        <v>3.4299494942003701E-3</v>
      </c>
      <c r="D1284" s="1">
        <v>6.7916500204656298E-3</v>
      </c>
      <c r="E1284" s="1">
        <v>3.0318879427291799E-3</v>
      </c>
      <c r="F1284" s="1">
        <v>3.6806708109505901E-3</v>
      </c>
    </row>
    <row r="1285" spans="1:6" x14ac:dyDescent="0.25">
      <c r="A1285" s="2" t="str">
        <f t="shared" si="47"/>
        <v>16980</v>
      </c>
      <c r="B1285" s="2" t="str">
        <f>"60301"</f>
        <v>60301</v>
      </c>
      <c r="C1285" s="1">
        <v>5.0576314674158395E-4</v>
      </c>
      <c r="D1285" s="1">
        <v>2.0122499699755602E-3</v>
      </c>
      <c r="E1285" s="1">
        <v>1.36748225269546E-3</v>
      </c>
      <c r="F1285" s="1">
        <v>6.9623806390577397E-4</v>
      </c>
    </row>
    <row r="1286" spans="1:6" x14ac:dyDescent="0.25">
      <c r="A1286" s="2" t="str">
        <f t="shared" si="47"/>
        <v>16980</v>
      </c>
      <c r="B1286" s="2" t="str">
        <f>"60201"</f>
        <v>60201</v>
      </c>
      <c r="C1286" s="1">
        <v>4.6240854623003404E-3</v>
      </c>
      <c r="D1286" s="1">
        <v>5.5759667255717502E-3</v>
      </c>
      <c r="E1286" s="1">
        <v>5.6279249682645999E-3</v>
      </c>
      <c r="F1286" s="1">
        <v>4.7789387883370796E-3</v>
      </c>
    </row>
    <row r="1287" spans="1:6" x14ac:dyDescent="0.25">
      <c r="A1287" s="2" t="str">
        <f t="shared" si="47"/>
        <v>16980</v>
      </c>
      <c r="B1287" s="2" t="str">
        <f>"60161"</f>
        <v>60161</v>
      </c>
      <c r="C1287" s="1">
        <v>2.2078506598142199E-4</v>
      </c>
      <c r="D1287" s="1">
        <v>3.1372472126293803E-4</v>
      </c>
      <c r="E1287" s="1">
        <v>5.4481364649221704E-6</v>
      </c>
      <c r="F1287" s="1">
        <v>2.12370000098205E-4</v>
      </c>
    </row>
    <row r="1288" spans="1:6" x14ac:dyDescent="0.25">
      <c r="A1288" s="2" t="str">
        <f t="shared" si="47"/>
        <v>16980</v>
      </c>
      <c r="B1288" s="2" t="str">
        <f>"60139"</f>
        <v>60139</v>
      </c>
      <c r="C1288" s="1">
        <v>2.88625411145317E-3</v>
      </c>
      <c r="D1288" s="1">
        <v>1.8039171472618899E-3</v>
      </c>
      <c r="E1288" s="1">
        <v>3.4132574952737398E-3</v>
      </c>
      <c r="F1288" s="1">
        <v>2.8354873134499299E-3</v>
      </c>
    </row>
    <row r="1289" spans="1:6" x14ac:dyDescent="0.25">
      <c r="A1289" s="2" t="str">
        <f t="shared" si="47"/>
        <v>16980</v>
      </c>
      <c r="B1289" s="2" t="str">
        <f>"60152"</f>
        <v>60152</v>
      </c>
      <c r="C1289" s="1">
        <v>1.35510481576483E-3</v>
      </c>
      <c r="D1289" s="1">
        <v>8.28429342084945E-4</v>
      </c>
      <c r="E1289" s="1">
        <v>5.7750246528175001E-4</v>
      </c>
      <c r="F1289" s="1">
        <v>1.2527374861284299E-3</v>
      </c>
    </row>
    <row r="1290" spans="1:6" x14ac:dyDescent="0.25">
      <c r="A1290" s="2" t="str">
        <f t="shared" si="47"/>
        <v>16980</v>
      </c>
      <c r="B1290" s="2" t="str">
        <f>"60143"</f>
        <v>60143</v>
      </c>
      <c r="C1290" s="1">
        <v>1.3140115600920701E-3</v>
      </c>
      <c r="D1290" s="1">
        <v>2.6911698745836401E-3</v>
      </c>
      <c r="E1290" s="1">
        <v>8.8532217554985299E-4</v>
      </c>
      <c r="F1290" s="1">
        <v>1.3967726307037001E-3</v>
      </c>
    </row>
    <row r="1291" spans="1:6" x14ac:dyDescent="0.25">
      <c r="A1291" s="2" t="str">
        <f t="shared" si="47"/>
        <v>16980</v>
      </c>
      <c r="B1291" s="2" t="str">
        <f>"60047"</f>
        <v>60047</v>
      </c>
      <c r="C1291" s="1">
        <v>4.5472483688530603E-3</v>
      </c>
      <c r="D1291" s="1">
        <v>4.4289107134541303E-3</v>
      </c>
      <c r="E1291" s="1">
        <v>1.52003007371328E-3</v>
      </c>
      <c r="F1291" s="1">
        <v>4.3100061869641602E-3</v>
      </c>
    </row>
    <row r="1292" spans="1:6" x14ac:dyDescent="0.25">
      <c r="A1292" s="2" t="str">
        <f t="shared" si="47"/>
        <v>16980</v>
      </c>
      <c r="B1292" s="2" t="str">
        <f>"60084"</f>
        <v>60084</v>
      </c>
      <c r="C1292" s="1">
        <v>1.84457655345272E-3</v>
      </c>
      <c r="D1292" s="1">
        <v>2.2156808439195001E-3</v>
      </c>
      <c r="E1292" s="1">
        <v>1.50096159608605E-3</v>
      </c>
      <c r="F1292" s="1">
        <v>1.8497467927628801E-3</v>
      </c>
    </row>
    <row r="1293" spans="1:6" x14ac:dyDescent="0.25">
      <c r="A1293" s="2" t="str">
        <f t="shared" si="47"/>
        <v>16980</v>
      </c>
      <c r="B1293" s="2" t="str">
        <f>"60077"</f>
        <v>60077</v>
      </c>
      <c r="C1293" s="1">
        <v>2.9074086276870701E-3</v>
      </c>
      <c r="D1293" s="1">
        <v>4.5024399450001298E-3</v>
      </c>
      <c r="E1293" s="1">
        <v>5.3718625544132599E-3</v>
      </c>
      <c r="F1293" s="1">
        <v>3.2256506951332401E-3</v>
      </c>
    </row>
    <row r="1294" spans="1:6" x14ac:dyDescent="0.25">
      <c r="A1294" s="2" t="str">
        <f t="shared" si="47"/>
        <v>16980</v>
      </c>
      <c r="B1294" s="2" t="str">
        <f>"60085"</f>
        <v>60085</v>
      </c>
      <c r="C1294" s="1">
        <v>5.9261824098009097E-3</v>
      </c>
      <c r="D1294" s="1">
        <v>5.74753493251242E-3</v>
      </c>
      <c r="E1294" s="1">
        <v>4.95508011484671E-3</v>
      </c>
      <c r="F1294" s="1">
        <v>5.8383336443183003E-3</v>
      </c>
    </row>
    <row r="1295" spans="1:6" x14ac:dyDescent="0.25">
      <c r="A1295" s="2" t="str">
        <f t="shared" si="47"/>
        <v>16980</v>
      </c>
      <c r="B1295" s="2" t="str">
        <f>"60042"</f>
        <v>60042</v>
      </c>
      <c r="C1295" s="1">
        <v>9.9353279691639994E-4</v>
      </c>
      <c r="D1295" s="1">
        <v>6.8137087899294304E-4</v>
      </c>
      <c r="E1295" s="1">
        <v>1.9885698096965899E-4</v>
      </c>
      <c r="F1295" s="1">
        <v>9.0778968250071099E-4</v>
      </c>
    </row>
    <row r="1296" spans="1:6" x14ac:dyDescent="0.25">
      <c r="A1296" s="2" t="str">
        <f t="shared" si="47"/>
        <v>16980</v>
      </c>
      <c r="B1296" s="2" t="str">
        <f>"60041"</f>
        <v>60041</v>
      </c>
      <c r="C1296" s="1">
        <v>1.04654066518066E-3</v>
      </c>
      <c r="D1296" s="1">
        <v>5.2205754397660696E-4</v>
      </c>
      <c r="E1296" s="1">
        <v>2.0158104920211999E-4</v>
      </c>
      <c r="F1296" s="1">
        <v>9.3929737037655296E-4</v>
      </c>
    </row>
    <row r="1297" spans="1:6" x14ac:dyDescent="0.25">
      <c r="A1297" s="2" t="str">
        <f t="shared" si="47"/>
        <v>16980</v>
      </c>
      <c r="B1297" s="2" t="str">
        <f>"60067"</f>
        <v>60067</v>
      </c>
      <c r="C1297" s="1">
        <v>4.1533366872562498E-3</v>
      </c>
      <c r="D1297" s="1">
        <v>4.0735194276484603E-3</v>
      </c>
      <c r="E1297" s="1">
        <v>2.62327770786002E-3</v>
      </c>
      <c r="F1297" s="1">
        <v>4.0317564758528303E-3</v>
      </c>
    </row>
    <row r="1298" spans="1:6" x14ac:dyDescent="0.25">
      <c r="A1298" s="2" t="str">
        <f t="shared" si="47"/>
        <v>16980</v>
      </c>
      <c r="B1298" s="2" t="str">
        <f>"60029"</f>
        <v>60029</v>
      </c>
      <c r="C1298" s="1">
        <v>4.32816539038471E-5</v>
      </c>
      <c r="D1298" s="1">
        <v>0</v>
      </c>
      <c r="E1298" s="1">
        <v>5.4481364649221704E-6</v>
      </c>
      <c r="F1298" s="1">
        <v>3.6827167647087698E-5</v>
      </c>
    </row>
    <row r="1299" spans="1:6" x14ac:dyDescent="0.25">
      <c r="A1299" s="2" t="str">
        <f t="shared" si="47"/>
        <v>16980</v>
      </c>
      <c r="B1299" s="2" t="str">
        <f>"60007"</f>
        <v>60007</v>
      </c>
      <c r="C1299" s="1">
        <v>3.45231978722933E-3</v>
      </c>
      <c r="D1299" s="1">
        <v>8.8749782476023296E-3</v>
      </c>
      <c r="E1299" s="1">
        <v>2.54427972911865E-3</v>
      </c>
      <c r="F1299" s="1">
        <v>3.8367770826990802E-3</v>
      </c>
    </row>
    <row r="1300" spans="1:6" x14ac:dyDescent="0.25">
      <c r="A1300" s="2" t="str">
        <f t="shared" si="47"/>
        <v>16980</v>
      </c>
      <c r="B1300" s="2" t="str">
        <f>"53403"</f>
        <v>53403</v>
      </c>
      <c r="C1300" s="1">
        <v>5.6898354008428199E-5</v>
      </c>
      <c r="D1300" s="1">
        <v>2.6960718233533699E-5</v>
      </c>
      <c r="E1300" s="1">
        <v>1.36203411623054E-5</v>
      </c>
      <c r="F1300" s="1">
        <v>5.1148843954288398E-5</v>
      </c>
    </row>
    <row r="1301" spans="1:6" x14ac:dyDescent="0.25">
      <c r="A1301" s="2" t="str">
        <f t="shared" si="47"/>
        <v>16980</v>
      </c>
      <c r="B1301" s="2" t="str">
        <f>"53142"</f>
        <v>53142</v>
      </c>
      <c r="C1301" s="1">
        <v>3.2967003574626902E-3</v>
      </c>
      <c r="D1301" s="1">
        <v>2.1495045355280902E-3</v>
      </c>
      <c r="E1301" s="1">
        <v>1.44103209497191E-3</v>
      </c>
      <c r="F1301" s="1">
        <v>3.0615652037278901E-3</v>
      </c>
    </row>
    <row r="1302" spans="1:6" x14ac:dyDescent="0.25">
      <c r="A1302" s="2" t="str">
        <f t="shared" si="47"/>
        <v>16980</v>
      </c>
      <c r="B1302" s="2" t="str">
        <f>"53177"</f>
        <v>53177</v>
      </c>
      <c r="C1302" s="1">
        <v>5.0819470033168802E-5</v>
      </c>
      <c r="D1302" s="1">
        <v>4.9019487697333999E-6</v>
      </c>
      <c r="E1302" s="1">
        <v>5.4481364649221704E-6</v>
      </c>
      <c r="F1302" s="1">
        <v>4.3578815049053702E-5</v>
      </c>
    </row>
    <row r="1303" spans="1:6" x14ac:dyDescent="0.25">
      <c r="A1303" s="2" t="str">
        <f t="shared" si="47"/>
        <v>16980</v>
      </c>
      <c r="B1303" s="2" t="str">
        <f>"53182"</f>
        <v>53182</v>
      </c>
      <c r="C1303" s="1">
        <v>6.5408791573791399E-5</v>
      </c>
      <c r="D1303" s="1">
        <v>4.4117538927600603E-5</v>
      </c>
      <c r="E1303" s="1">
        <v>5.4481364649221704E-6</v>
      </c>
      <c r="F1303" s="1">
        <v>5.9128063611157398E-5</v>
      </c>
    </row>
    <row r="1304" spans="1:6" x14ac:dyDescent="0.25">
      <c r="A1304" s="2" t="str">
        <f t="shared" si="47"/>
        <v>16980</v>
      </c>
      <c r="B1304" s="2" t="str">
        <f>"53181"</f>
        <v>53181</v>
      </c>
      <c r="C1304" s="1">
        <v>9.6459730919416602E-4</v>
      </c>
      <c r="D1304" s="1">
        <v>2.3529354094720299E-4</v>
      </c>
      <c r="E1304" s="1">
        <v>2.34269867991653E-4</v>
      </c>
      <c r="F1304" s="1">
        <v>8.4886621426537095E-4</v>
      </c>
    </row>
    <row r="1305" spans="1:6" x14ac:dyDescent="0.25">
      <c r="A1305" s="2" t="str">
        <f t="shared" si="47"/>
        <v>16980</v>
      </c>
      <c r="B1305" s="2" t="str">
        <f>"53102"</f>
        <v>53102</v>
      </c>
      <c r="C1305" s="1">
        <v>0</v>
      </c>
      <c r="D1305" s="1">
        <v>4.9019487697333999E-6</v>
      </c>
      <c r="E1305" s="1">
        <v>0</v>
      </c>
      <c r="F1305" s="1">
        <v>4.0919075163430703E-7</v>
      </c>
    </row>
    <row r="1306" spans="1:6" x14ac:dyDescent="0.25">
      <c r="A1306" s="2" t="str">
        <f t="shared" si="47"/>
        <v>16980</v>
      </c>
      <c r="B1306" s="2" t="str">
        <f>"47964"</f>
        <v>47964</v>
      </c>
      <c r="C1306" s="1">
        <v>2.4315535901037702E-7</v>
      </c>
      <c r="D1306" s="1">
        <v>0</v>
      </c>
      <c r="E1306" s="1">
        <v>2.99647505570719E-5</v>
      </c>
      <c r="F1306" s="1">
        <v>2.45514450980584E-6</v>
      </c>
    </row>
    <row r="1307" spans="1:6" x14ac:dyDescent="0.25">
      <c r="A1307" s="2" t="str">
        <f t="shared" si="47"/>
        <v>16980</v>
      </c>
      <c r="B1307" s="2" t="str">
        <f>"47942"</f>
        <v>47942</v>
      </c>
      <c r="C1307" s="1">
        <v>1.45893215406226E-6</v>
      </c>
      <c r="D1307" s="1">
        <v>0</v>
      </c>
      <c r="E1307" s="1">
        <v>0</v>
      </c>
      <c r="F1307" s="1">
        <v>1.22757225490292E-6</v>
      </c>
    </row>
    <row r="1308" spans="1:6" x14ac:dyDescent="0.25">
      <c r="A1308" s="2" t="str">
        <f t="shared" si="47"/>
        <v>16980</v>
      </c>
      <c r="B1308" s="2" t="str">
        <f>"47951"</f>
        <v>47951</v>
      </c>
      <c r="C1308" s="1">
        <v>2.5263841801178102E-4</v>
      </c>
      <c r="D1308" s="1">
        <v>3.6274420896027201E-4</v>
      </c>
      <c r="E1308" s="1">
        <v>8.9894251671215799E-5</v>
      </c>
      <c r="F1308" s="1">
        <v>2.49606358496927E-4</v>
      </c>
    </row>
    <row r="1309" spans="1:6" x14ac:dyDescent="0.25">
      <c r="A1309" s="2" t="str">
        <f t="shared" si="47"/>
        <v>16980</v>
      </c>
      <c r="B1309" s="2" t="str">
        <f>"46372"</f>
        <v>46372</v>
      </c>
      <c r="C1309" s="1">
        <v>0</v>
      </c>
      <c r="D1309" s="1">
        <v>0</v>
      </c>
      <c r="E1309" s="1">
        <v>2.7240682324610801E-6</v>
      </c>
      <c r="F1309" s="1">
        <v>2.0459537581715301E-7</v>
      </c>
    </row>
    <row r="1310" spans="1:6" x14ac:dyDescent="0.25">
      <c r="A1310" s="2" t="str">
        <f t="shared" si="47"/>
        <v>16980</v>
      </c>
      <c r="B1310" s="2" t="str">
        <f>"46360"</f>
        <v>46360</v>
      </c>
      <c r="C1310" s="1">
        <v>1.9744215151642599E-4</v>
      </c>
      <c r="D1310" s="1">
        <v>2.00979899559069E-4</v>
      </c>
      <c r="E1310" s="1">
        <v>5.9929501114143902E-5</v>
      </c>
      <c r="F1310" s="1">
        <v>1.8740936424851301E-4</v>
      </c>
    </row>
    <row r="1311" spans="1:6" x14ac:dyDescent="0.25">
      <c r="A1311" s="2" t="str">
        <f t="shared" si="47"/>
        <v>16980</v>
      </c>
      <c r="B1311" s="2" t="str">
        <f>"46405"</f>
        <v>46405</v>
      </c>
      <c r="C1311" s="1">
        <v>1.2899391795500501E-3</v>
      </c>
      <c r="D1311" s="1">
        <v>1.00735047218021E-3</v>
      </c>
      <c r="E1311" s="1">
        <v>2.58786482083803E-4</v>
      </c>
      <c r="F1311" s="1">
        <v>1.1889037288734801E-3</v>
      </c>
    </row>
    <row r="1312" spans="1:6" x14ac:dyDescent="0.25">
      <c r="A1312" s="2" t="str">
        <f t="shared" si="47"/>
        <v>16980</v>
      </c>
      <c r="B1312" s="2" t="str">
        <f>"46347"</f>
        <v>46347</v>
      </c>
      <c r="C1312" s="1">
        <v>4.5932047317060202E-4</v>
      </c>
      <c r="D1312" s="1">
        <v>1.10293847319001E-4</v>
      </c>
      <c r="E1312" s="1">
        <v>5.9929501114143902E-5</v>
      </c>
      <c r="F1312" s="1">
        <v>4.0018855509835302E-4</v>
      </c>
    </row>
    <row r="1313" spans="1:6" x14ac:dyDescent="0.25">
      <c r="A1313" s="2" t="str">
        <f t="shared" si="47"/>
        <v>16980</v>
      </c>
      <c r="B1313" s="2" t="str">
        <f>"46393"</f>
        <v>46393</v>
      </c>
      <c r="C1313" s="1">
        <v>0</v>
      </c>
      <c r="D1313" s="1">
        <v>0</v>
      </c>
      <c r="E1313" s="1">
        <v>2.7240682324610801E-6</v>
      </c>
      <c r="F1313" s="1">
        <v>2.0459537581715301E-7</v>
      </c>
    </row>
    <row r="1314" spans="1:6" x14ac:dyDescent="0.25">
      <c r="A1314" s="2" t="str">
        <f t="shared" si="47"/>
        <v>16980</v>
      </c>
      <c r="B1314" s="2" t="str">
        <f>"46383"</f>
        <v>46383</v>
      </c>
      <c r="C1314" s="1">
        <v>5.2103330328743596E-3</v>
      </c>
      <c r="D1314" s="1">
        <v>5.1470462082200703E-3</v>
      </c>
      <c r="E1314" s="1">
        <v>3.9716914829282602E-3</v>
      </c>
      <c r="F1314" s="1">
        <v>5.1120200601673998E-3</v>
      </c>
    </row>
    <row r="1315" spans="1:6" x14ac:dyDescent="0.25">
      <c r="A1315" s="2" t="str">
        <f t="shared" si="47"/>
        <v>16980</v>
      </c>
      <c r="B1315" s="2" t="str">
        <f>"46319"</f>
        <v>46319</v>
      </c>
      <c r="C1315" s="1">
        <v>2.12712308062277E-3</v>
      </c>
      <c r="D1315" s="1">
        <v>1.9656814566630901E-3</v>
      </c>
      <c r="E1315" s="1">
        <v>1.36748225269546E-3</v>
      </c>
      <c r="F1315" s="1">
        <v>2.05659271771403E-3</v>
      </c>
    </row>
    <row r="1316" spans="1:6" x14ac:dyDescent="0.25">
      <c r="A1316" s="2" t="str">
        <f t="shared" si="47"/>
        <v>16980</v>
      </c>
      <c r="B1316" s="2" t="str">
        <f>"46308"</f>
        <v>46308</v>
      </c>
      <c r="C1316" s="1">
        <v>1.5537627440763001E-4</v>
      </c>
      <c r="D1316" s="1">
        <v>1.21323232050901E-3</v>
      </c>
      <c r="E1316" s="1">
        <v>5.4481364649221704E-6</v>
      </c>
      <c r="F1316" s="1">
        <v>2.3242034692828601E-4</v>
      </c>
    </row>
    <row r="1317" spans="1:6" x14ac:dyDescent="0.25">
      <c r="A1317" s="2" t="str">
        <f t="shared" si="47"/>
        <v>16980</v>
      </c>
      <c r="B1317" s="2" t="str">
        <f>"46310"</f>
        <v>46310</v>
      </c>
      <c r="C1317" s="1">
        <v>1.43923656998242E-3</v>
      </c>
      <c r="D1317" s="1">
        <v>7.9656667508167802E-4</v>
      </c>
      <c r="E1317" s="1">
        <v>2.1520139036442499E-4</v>
      </c>
      <c r="F1317" s="1">
        <v>1.29365656129186E-3</v>
      </c>
    </row>
    <row r="1318" spans="1:6" x14ac:dyDescent="0.25">
      <c r="A1318" s="2" t="str">
        <f t="shared" si="47"/>
        <v>16980</v>
      </c>
      <c r="B1318" s="2" t="str">
        <f>"61038"</f>
        <v>61038</v>
      </c>
      <c r="C1318" s="1">
        <v>9.9693697194254602E-6</v>
      </c>
      <c r="D1318" s="1">
        <v>0</v>
      </c>
      <c r="E1318" s="1">
        <v>0</v>
      </c>
      <c r="F1318" s="1">
        <v>8.3884104085033092E-6</v>
      </c>
    </row>
    <row r="1319" spans="1:6" x14ac:dyDescent="0.25">
      <c r="A1319" s="2" t="str">
        <f t="shared" si="47"/>
        <v>16980</v>
      </c>
      <c r="B1319" s="2" t="str">
        <f>"60660"</f>
        <v>60660</v>
      </c>
      <c r="C1319" s="1">
        <v>6.0925006753639998E-3</v>
      </c>
      <c r="D1319" s="1">
        <v>2.59558187357383E-3</v>
      </c>
      <c r="E1319" s="1">
        <v>6.9708906068679201E-3</v>
      </c>
      <c r="F1319" s="1">
        <v>5.8665678061810703E-3</v>
      </c>
    </row>
    <row r="1320" spans="1:6" x14ac:dyDescent="0.25">
      <c r="A1320" s="2" t="str">
        <f t="shared" si="47"/>
        <v>16980</v>
      </c>
      <c r="B1320" s="2" t="str">
        <f>"60950"</f>
        <v>60950</v>
      </c>
      <c r="C1320" s="1">
        <v>6.8083500522905496E-6</v>
      </c>
      <c r="D1320" s="1">
        <v>0</v>
      </c>
      <c r="E1320" s="1">
        <v>0</v>
      </c>
      <c r="F1320" s="1">
        <v>5.7286705228803098E-6</v>
      </c>
    </row>
    <row r="1321" spans="1:6" x14ac:dyDescent="0.25">
      <c r="A1321" s="2" t="str">
        <f t="shared" si="47"/>
        <v>16980</v>
      </c>
      <c r="B1321" s="2" t="str">
        <f>"60805"</f>
        <v>60805</v>
      </c>
      <c r="C1321" s="1">
        <v>1.8798340805092201E-3</v>
      </c>
      <c r="D1321" s="1">
        <v>1.7230349925612899E-3</v>
      </c>
      <c r="E1321" s="1">
        <v>9.0711472140954103E-4</v>
      </c>
      <c r="F1321" s="1">
        <v>1.7936876597889799E-3</v>
      </c>
    </row>
    <row r="1322" spans="1:6" x14ac:dyDescent="0.25">
      <c r="A1322" s="2" t="str">
        <f t="shared" si="47"/>
        <v>16980</v>
      </c>
      <c r="B1322" s="2" t="str">
        <f>"60653"</f>
        <v>60653</v>
      </c>
      <c r="C1322" s="1">
        <v>4.2685923274271703E-3</v>
      </c>
      <c r="D1322" s="1">
        <v>2.2524454596924998E-3</v>
      </c>
      <c r="E1322" s="1">
        <v>7.9896921258083599E-3</v>
      </c>
      <c r="F1322" s="1">
        <v>4.3797732101178103E-3</v>
      </c>
    </row>
    <row r="1323" spans="1:6" x14ac:dyDescent="0.25">
      <c r="A1323" s="2" t="str">
        <f t="shared" si="47"/>
        <v>16980</v>
      </c>
      <c r="B1323" s="2" t="str">
        <f>"60695"</f>
        <v>60695</v>
      </c>
      <c r="C1323" s="1">
        <v>0</v>
      </c>
      <c r="D1323" s="1">
        <v>0</v>
      </c>
      <c r="E1323" s="1">
        <v>5.4753771472467795E-4</v>
      </c>
      <c r="F1323" s="1">
        <v>4.1123670539247898E-5</v>
      </c>
    </row>
    <row r="1324" spans="1:6" x14ac:dyDescent="0.25">
      <c r="A1324" s="2" t="str">
        <f t="shared" si="47"/>
        <v>16980</v>
      </c>
      <c r="B1324" s="2" t="str">
        <f>"60644"</f>
        <v>60644</v>
      </c>
      <c r="C1324" s="1">
        <v>4.29801412586742E-3</v>
      </c>
      <c r="D1324" s="1">
        <v>2.58087602726463E-3</v>
      </c>
      <c r="E1324" s="1">
        <v>8.6707091839236302E-3</v>
      </c>
      <c r="F1324" s="1">
        <v>4.4830938749054697E-3</v>
      </c>
    </row>
    <row r="1325" spans="1:6" x14ac:dyDescent="0.25">
      <c r="A1325" s="2" t="str">
        <f t="shared" si="47"/>
        <v>16980</v>
      </c>
      <c r="B1325" s="2" t="str">
        <f>"60643"</f>
        <v>60643</v>
      </c>
      <c r="C1325" s="1">
        <v>5.2088741007202902E-3</v>
      </c>
      <c r="D1325" s="1">
        <v>4.2965580966713296E-3</v>
      </c>
      <c r="E1325" s="1">
        <v>2.0239826967185801E-3</v>
      </c>
      <c r="F1325" s="1">
        <v>4.8935121987946804E-3</v>
      </c>
    </row>
    <row r="1326" spans="1:6" x14ac:dyDescent="0.25">
      <c r="A1326" s="2" t="str">
        <f t="shared" ref="A1326:A1389" si="48">"16980"</f>
        <v>16980</v>
      </c>
      <c r="B1326" s="2" t="str">
        <f>"60645"</f>
        <v>60645</v>
      </c>
      <c r="C1326" s="1">
        <v>4.4283453982969798E-3</v>
      </c>
      <c r="D1326" s="1">
        <v>1.99999509805123E-3</v>
      </c>
      <c r="E1326" s="1">
        <v>1.1258574004761599E-2</v>
      </c>
      <c r="F1326" s="1">
        <v>4.7386334993011004E-3</v>
      </c>
    </row>
    <row r="1327" spans="1:6" x14ac:dyDescent="0.25">
      <c r="A1327" s="2" t="str">
        <f t="shared" si="48"/>
        <v>16980</v>
      </c>
      <c r="B1327" s="2" t="str">
        <f>"60639"</f>
        <v>60639</v>
      </c>
      <c r="C1327" s="1">
        <v>5.5646103909524798E-3</v>
      </c>
      <c r="D1327" s="1">
        <v>6.89213997024517E-3</v>
      </c>
      <c r="E1327" s="1">
        <v>7.1207143596532796E-3</v>
      </c>
      <c r="F1327" s="1">
        <v>5.79229968475944E-3</v>
      </c>
    </row>
    <row r="1328" spans="1:6" x14ac:dyDescent="0.25">
      <c r="A1328" s="2" t="str">
        <f t="shared" si="48"/>
        <v>16980</v>
      </c>
      <c r="B1328" s="2" t="str">
        <f>"60642"</f>
        <v>60642</v>
      </c>
      <c r="C1328" s="1">
        <v>2.8471060986525001E-3</v>
      </c>
      <c r="D1328" s="1">
        <v>4.6053808691645303E-3</v>
      </c>
      <c r="E1328" s="1">
        <v>7.4612228887109104E-3</v>
      </c>
      <c r="F1328" s="1">
        <v>3.34042870096667E-3</v>
      </c>
    </row>
    <row r="1329" spans="1:6" x14ac:dyDescent="0.25">
      <c r="A1329" s="2" t="str">
        <f t="shared" si="48"/>
        <v>16980</v>
      </c>
      <c r="B1329" s="2" t="str">
        <f>"60631"</f>
        <v>60631</v>
      </c>
      <c r="C1329" s="1">
        <v>3.1751226779574999E-3</v>
      </c>
      <c r="D1329" s="1">
        <v>3.7990102965433899E-3</v>
      </c>
      <c r="E1329" s="1">
        <v>4.8052563620613496E-3</v>
      </c>
      <c r="F1329" s="1">
        <v>3.34963549287844E-3</v>
      </c>
    </row>
    <row r="1330" spans="1:6" x14ac:dyDescent="0.25">
      <c r="A1330" s="2" t="str">
        <f t="shared" si="48"/>
        <v>16980</v>
      </c>
      <c r="B1330" s="2" t="str">
        <f>"60605"</f>
        <v>60605</v>
      </c>
      <c r="C1330" s="1">
        <v>5.0024352009204803E-3</v>
      </c>
      <c r="D1330" s="1">
        <v>4.4509694829179304E-3</v>
      </c>
      <c r="E1330" s="1">
        <v>3.2144005143040799E-3</v>
      </c>
      <c r="F1330" s="1">
        <v>4.8221084126344998E-3</v>
      </c>
    </row>
    <row r="1331" spans="1:6" x14ac:dyDescent="0.25">
      <c r="A1331" s="2" t="str">
        <f t="shared" si="48"/>
        <v>16980</v>
      </c>
      <c r="B1331" s="2" t="str">
        <f>"60603"</f>
        <v>60603</v>
      </c>
      <c r="C1331" s="1">
        <v>2.0327788013267499E-4</v>
      </c>
      <c r="D1331" s="1">
        <v>6.5490035563638303E-3</v>
      </c>
      <c r="E1331" s="1">
        <v>1.21221036344518E-3</v>
      </c>
      <c r="F1331" s="1">
        <v>8.0876552060520903E-4</v>
      </c>
    </row>
    <row r="1332" spans="1:6" x14ac:dyDescent="0.25">
      <c r="A1332" s="2" t="str">
        <f t="shared" si="48"/>
        <v>16980</v>
      </c>
      <c r="B1332" s="2" t="str">
        <f>"60618"</f>
        <v>60618</v>
      </c>
      <c r="C1332" s="1">
        <v>8.8163270069982497E-3</v>
      </c>
      <c r="D1332" s="1">
        <v>7.6249813113203101E-3</v>
      </c>
      <c r="E1332" s="1">
        <v>1.31082163346027E-2</v>
      </c>
      <c r="F1332" s="1">
        <v>9.0392282989776706E-3</v>
      </c>
    </row>
    <row r="1333" spans="1:6" x14ac:dyDescent="0.25">
      <c r="A1333" s="2" t="str">
        <f t="shared" si="48"/>
        <v>16980</v>
      </c>
      <c r="B1333" s="2" t="str">
        <f>"60537"</f>
        <v>60537</v>
      </c>
      <c r="C1333" s="1">
        <v>2.2370293028954601E-5</v>
      </c>
      <c r="D1333" s="1">
        <v>4.9019487697333999E-6</v>
      </c>
      <c r="E1333" s="1">
        <v>1.08962729298443E-5</v>
      </c>
      <c r="F1333" s="1">
        <v>2.0050346830080998E-5</v>
      </c>
    </row>
    <row r="1334" spans="1:6" x14ac:dyDescent="0.25">
      <c r="A1334" s="2" t="str">
        <f t="shared" si="48"/>
        <v>16980</v>
      </c>
      <c r="B1334" s="2" t="str">
        <f>"60544"</f>
        <v>60544</v>
      </c>
      <c r="C1334" s="1">
        <v>3.43165158171345E-3</v>
      </c>
      <c r="D1334" s="1">
        <v>4.1789113261977203E-3</v>
      </c>
      <c r="E1334" s="1">
        <v>1.8278497839813799E-3</v>
      </c>
      <c r="F1334" s="1">
        <v>3.3735731518490502E-3</v>
      </c>
    </row>
    <row r="1335" spans="1:6" x14ac:dyDescent="0.25">
      <c r="A1335" s="2" t="str">
        <f t="shared" si="48"/>
        <v>16980</v>
      </c>
      <c r="B1335" s="2" t="str">
        <f>"60504"</f>
        <v>60504</v>
      </c>
      <c r="C1335" s="1">
        <v>3.64538514228357E-3</v>
      </c>
      <c r="D1335" s="1">
        <v>3.51469726789885E-3</v>
      </c>
      <c r="E1335" s="1">
        <v>3.7810067066559802E-3</v>
      </c>
      <c r="F1335" s="1">
        <v>3.6446620248067798E-3</v>
      </c>
    </row>
    <row r="1336" spans="1:6" x14ac:dyDescent="0.25">
      <c r="A1336" s="2" t="str">
        <f t="shared" si="48"/>
        <v>16980</v>
      </c>
      <c r="B1336" s="2" t="str">
        <f>"60502"</f>
        <v>60502</v>
      </c>
      <c r="C1336" s="1">
        <v>2.0468818121493499E-3</v>
      </c>
      <c r="D1336" s="1">
        <v>2.3161707936990299E-3</v>
      </c>
      <c r="E1336" s="1">
        <v>1.09779949768181E-3</v>
      </c>
      <c r="F1336" s="1">
        <v>1.99807844023032E-3</v>
      </c>
    </row>
    <row r="1337" spans="1:6" x14ac:dyDescent="0.25">
      <c r="A1337" s="2" t="str">
        <f t="shared" si="48"/>
        <v>16980</v>
      </c>
      <c r="B1337" s="2" t="str">
        <f>"60520"</f>
        <v>60520</v>
      </c>
      <c r="C1337" s="1">
        <v>2.8935487722234801E-4</v>
      </c>
      <c r="D1337" s="1">
        <v>2.1323477148340301E-4</v>
      </c>
      <c r="E1337" s="1">
        <v>1.63444093947665E-4</v>
      </c>
      <c r="F1337" s="1">
        <v>2.7354401746753401E-4</v>
      </c>
    </row>
    <row r="1338" spans="1:6" x14ac:dyDescent="0.25">
      <c r="A1338" s="2" t="str">
        <f t="shared" si="48"/>
        <v>16980</v>
      </c>
      <c r="B1338" s="2" t="str">
        <f>"60526"</f>
        <v>60526</v>
      </c>
      <c r="C1338" s="1">
        <v>1.44069550213648E-3</v>
      </c>
      <c r="D1338" s="1">
        <v>4.77940005049007E-4</v>
      </c>
      <c r="E1338" s="1">
        <v>2.1955989953636301E-3</v>
      </c>
      <c r="F1338" s="1">
        <v>1.4170275729095999E-3</v>
      </c>
    </row>
    <row r="1339" spans="1:6" x14ac:dyDescent="0.25">
      <c r="A1339" s="2" t="str">
        <f t="shared" si="48"/>
        <v>16980</v>
      </c>
      <c r="B1339" s="2" t="str">
        <f>"60490"</f>
        <v>60490</v>
      </c>
      <c r="C1339" s="1">
        <v>1.64883648944936E-3</v>
      </c>
      <c r="D1339" s="1">
        <v>8.28429342084945E-4</v>
      </c>
      <c r="E1339" s="1">
        <v>1.49823752785359E-4</v>
      </c>
      <c r="F1339" s="1">
        <v>1.46776722611226E-3</v>
      </c>
    </row>
    <row r="1340" spans="1:6" x14ac:dyDescent="0.25">
      <c r="A1340" s="2" t="str">
        <f t="shared" si="48"/>
        <v>16980</v>
      </c>
      <c r="B1340" s="2" t="str">
        <f>"60454"</f>
        <v>60454</v>
      </c>
      <c r="C1340" s="1">
        <v>1.4662268148325701E-4</v>
      </c>
      <c r="D1340" s="1">
        <v>6.4950821198967595E-4</v>
      </c>
      <c r="E1340" s="1">
        <v>5.4481364649221704E-6</v>
      </c>
      <c r="F1340" s="1">
        <v>1.7799797696092299E-4</v>
      </c>
    </row>
    <row r="1341" spans="1:6" x14ac:dyDescent="0.25">
      <c r="A1341" s="2" t="str">
        <f t="shared" si="48"/>
        <v>16980</v>
      </c>
      <c r="B1341" s="2" t="str">
        <f>"60458"</f>
        <v>60458</v>
      </c>
      <c r="C1341" s="1">
        <v>1.5389302671766701E-3</v>
      </c>
      <c r="D1341" s="1">
        <v>5.3676339028580801E-4</v>
      </c>
      <c r="E1341" s="1">
        <v>1.8278497839813799E-3</v>
      </c>
      <c r="F1341" s="1">
        <v>1.47697401802403E-3</v>
      </c>
    </row>
    <row r="1342" spans="1:6" x14ac:dyDescent="0.25">
      <c r="A1342" s="2" t="str">
        <f t="shared" si="48"/>
        <v>16980</v>
      </c>
      <c r="B1342" s="2" t="str">
        <f>"60450"</f>
        <v>60450</v>
      </c>
      <c r="C1342" s="1">
        <v>2.3522849430663798E-3</v>
      </c>
      <c r="D1342" s="1">
        <v>2.8921497741427101E-3</v>
      </c>
      <c r="E1342" s="1">
        <v>1.4628246408316E-3</v>
      </c>
      <c r="F1342" s="1">
        <v>2.3305459259332002E-3</v>
      </c>
    </row>
    <row r="1343" spans="1:6" x14ac:dyDescent="0.25">
      <c r="A1343" s="2" t="str">
        <f t="shared" si="48"/>
        <v>16980</v>
      </c>
      <c r="B1343" s="2" t="str">
        <f>"60430"</f>
        <v>60430</v>
      </c>
      <c r="C1343" s="1">
        <v>2.19155925076052E-3</v>
      </c>
      <c r="D1343" s="1">
        <v>3.0857767505471801E-3</v>
      </c>
      <c r="E1343" s="1">
        <v>1.50096159608605E-3</v>
      </c>
      <c r="F1343" s="1">
        <v>2.2143357524690502E-3</v>
      </c>
    </row>
    <row r="1344" spans="1:6" x14ac:dyDescent="0.25">
      <c r="A1344" s="2" t="str">
        <f t="shared" si="48"/>
        <v>16980</v>
      </c>
      <c r="B1344" s="2" t="str">
        <f>"60426"</f>
        <v>60426</v>
      </c>
      <c r="C1344" s="1">
        <v>3.1294094704635502E-3</v>
      </c>
      <c r="D1344" s="1">
        <v>2.6323464893468298E-3</v>
      </c>
      <c r="E1344" s="1">
        <v>3.4731869963878798E-3</v>
      </c>
      <c r="F1344" s="1">
        <v>3.1137370245612598E-3</v>
      </c>
    </row>
    <row r="1345" spans="1:6" x14ac:dyDescent="0.25">
      <c r="A1345" s="2" t="str">
        <f t="shared" si="48"/>
        <v>16980</v>
      </c>
      <c r="B1345" s="2" t="str">
        <f>"60191"</f>
        <v>60191</v>
      </c>
      <c r="C1345" s="1">
        <v>1.5518175012042201E-3</v>
      </c>
      <c r="D1345" s="1">
        <v>2.7426403366658399E-3</v>
      </c>
      <c r="E1345" s="1">
        <v>1.17407340819072E-3</v>
      </c>
      <c r="F1345" s="1">
        <v>1.6228505209816601E-3</v>
      </c>
    </row>
    <row r="1346" spans="1:6" x14ac:dyDescent="0.25">
      <c r="A1346" s="2" t="str">
        <f t="shared" si="48"/>
        <v>16980</v>
      </c>
      <c r="B1346" s="2" t="str">
        <f>"60422"</f>
        <v>60422</v>
      </c>
      <c r="C1346" s="1">
        <v>1.02757454717785E-3</v>
      </c>
      <c r="D1346" s="1">
        <v>1.3235261678280199E-3</v>
      </c>
      <c r="E1346" s="1">
        <v>2.8330309617595299E-4</v>
      </c>
      <c r="F1346" s="1">
        <v>9.9637948022953901E-4</v>
      </c>
    </row>
    <row r="1347" spans="1:6" x14ac:dyDescent="0.25">
      <c r="A1347" s="2" t="str">
        <f t="shared" si="48"/>
        <v>16980</v>
      </c>
      <c r="B1347" s="2" t="str">
        <f>"60411"</f>
        <v>60411</v>
      </c>
      <c r="C1347" s="1">
        <v>5.55050738012987E-3</v>
      </c>
      <c r="D1347" s="1">
        <v>4.6715571775559298E-3</v>
      </c>
      <c r="E1347" s="1">
        <v>4.0534135299020897E-3</v>
      </c>
      <c r="F1347" s="1">
        <v>5.3646953493015903E-3</v>
      </c>
    </row>
    <row r="1348" spans="1:6" x14ac:dyDescent="0.25">
      <c r="A1348" s="2" t="str">
        <f t="shared" si="48"/>
        <v>16980</v>
      </c>
      <c r="B1348" s="2" t="str">
        <f>"60408"</f>
        <v>60408</v>
      </c>
      <c r="C1348" s="1">
        <v>6.1761461188635696E-4</v>
      </c>
      <c r="D1348" s="1">
        <v>2.9901887495373697E-4</v>
      </c>
      <c r="E1348" s="1">
        <v>1.66168162180126E-4</v>
      </c>
      <c r="F1348" s="1">
        <v>5.5711320835010998E-4</v>
      </c>
    </row>
    <row r="1349" spans="1:6" x14ac:dyDescent="0.25">
      <c r="A1349" s="2" t="str">
        <f t="shared" si="48"/>
        <v>16980</v>
      </c>
      <c r="B1349" s="2" t="str">
        <f>"60180"</f>
        <v>60180</v>
      </c>
      <c r="C1349" s="1">
        <v>1.7385608169241901E-4</v>
      </c>
      <c r="D1349" s="1">
        <v>1.64215283786069E-4</v>
      </c>
      <c r="E1349" s="1">
        <v>5.1757296416760602E-5</v>
      </c>
      <c r="F1349" s="1">
        <v>1.6388089602953999E-4</v>
      </c>
    </row>
    <row r="1350" spans="1:6" x14ac:dyDescent="0.25">
      <c r="A1350" s="2" t="str">
        <f t="shared" si="48"/>
        <v>16980</v>
      </c>
      <c r="B1350" s="2" t="str">
        <f>"60122"</f>
        <v>60122</v>
      </c>
      <c r="C1350" s="1">
        <v>0</v>
      </c>
      <c r="D1350" s="1">
        <v>4.6568513312467299E-5</v>
      </c>
      <c r="E1350" s="1">
        <v>8.1722046973832594E-6</v>
      </c>
      <c r="F1350" s="1">
        <v>4.50109826797738E-6</v>
      </c>
    </row>
    <row r="1351" spans="1:6" x14ac:dyDescent="0.25">
      <c r="A1351" s="2" t="str">
        <f t="shared" si="48"/>
        <v>16980</v>
      </c>
      <c r="B1351" s="2" t="str">
        <f>"60117"</f>
        <v>60117</v>
      </c>
      <c r="C1351" s="1">
        <v>0</v>
      </c>
      <c r="D1351" s="1">
        <v>2.6960718233533699E-5</v>
      </c>
      <c r="E1351" s="1">
        <v>5.4481364649221704E-6</v>
      </c>
      <c r="F1351" s="1">
        <v>2.6597398856229998E-6</v>
      </c>
    </row>
    <row r="1352" spans="1:6" x14ac:dyDescent="0.25">
      <c r="A1352" s="2" t="str">
        <f t="shared" si="48"/>
        <v>16980</v>
      </c>
      <c r="B1352" s="2" t="str">
        <f>"60111"</f>
        <v>60111</v>
      </c>
      <c r="C1352" s="1">
        <v>2.79628662861933E-5</v>
      </c>
      <c r="D1352" s="1">
        <v>9.8038975394668099E-6</v>
      </c>
      <c r="E1352" s="1">
        <v>2.7240682324610801E-6</v>
      </c>
      <c r="F1352" s="1">
        <v>2.4551445098058399E-5</v>
      </c>
    </row>
    <row r="1353" spans="1:6" x14ac:dyDescent="0.25">
      <c r="A1353" s="2" t="str">
        <f t="shared" si="48"/>
        <v>16980</v>
      </c>
      <c r="B1353" s="2" t="str">
        <f>"60107"</f>
        <v>60107</v>
      </c>
      <c r="C1353" s="1">
        <v>3.5529861058596298E-3</v>
      </c>
      <c r="D1353" s="1">
        <v>2.1593084330675601E-3</v>
      </c>
      <c r="E1353" s="1">
        <v>9.72492358988607E-4</v>
      </c>
      <c r="F1353" s="1">
        <v>3.24283670670188E-3</v>
      </c>
    </row>
    <row r="1354" spans="1:6" x14ac:dyDescent="0.25">
      <c r="A1354" s="2" t="str">
        <f t="shared" si="48"/>
        <v>16980</v>
      </c>
      <c r="B1354" s="2" t="str">
        <f>"60168"</f>
        <v>60168</v>
      </c>
      <c r="C1354" s="1">
        <v>1.6558879948606599E-4</v>
      </c>
      <c r="D1354" s="1">
        <v>7.0342964845674304E-4</v>
      </c>
      <c r="E1354" s="1">
        <v>5.4481364649221704E-6</v>
      </c>
      <c r="F1354" s="1">
        <v>1.9845751454263899E-4</v>
      </c>
    </row>
    <row r="1355" spans="1:6" x14ac:dyDescent="0.25">
      <c r="A1355" s="2" t="str">
        <f t="shared" si="48"/>
        <v>16980</v>
      </c>
      <c r="B1355" s="2" t="str">
        <f>"60163"</f>
        <v>60163</v>
      </c>
      <c r="C1355" s="1">
        <v>4.7366663935221399E-4</v>
      </c>
      <c r="D1355" s="1">
        <v>3.0146984933860401E-4</v>
      </c>
      <c r="E1355" s="1">
        <v>3.1326784673302402E-4</v>
      </c>
      <c r="F1355" s="1">
        <v>4.4724549153629802E-4</v>
      </c>
    </row>
    <row r="1356" spans="1:6" x14ac:dyDescent="0.25">
      <c r="A1356" s="2" t="str">
        <f t="shared" si="48"/>
        <v>16980</v>
      </c>
      <c r="B1356" s="2" t="str">
        <f>"60160"</f>
        <v>60160</v>
      </c>
      <c r="C1356" s="1">
        <v>2.0169737029910699E-3</v>
      </c>
      <c r="D1356" s="1">
        <v>3.12744331508991E-3</v>
      </c>
      <c r="E1356" s="1">
        <v>4.0506894616696302E-3</v>
      </c>
      <c r="F1356" s="1">
        <v>2.2624156657860802E-3</v>
      </c>
    </row>
    <row r="1357" spans="1:6" x14ac:dyDescent="0.25">
      <c r="A1357" s="2" t="str">
        <f t="shared" si="48"/>
        <v>16980</v>
      </c>
      <c r="B1357" s="2" t="str">
        <f>"60159"</f>
        <v>60159</v>
      </c>
      <c r="C1357" s="1">
        <v>1.21577679505188E-4</v>
      </c>
      <c r="D1357" s="1">
        <v>4.4117538927600599E-4</v>
      </c>
      <c r="E1357" s="1">
        <v>5.4481364649221704E-6</v>
      </c>
      <c r="F1357" s="1">
        <v>1.39534046307298E-4</v>
      </c>
    </row>
    <row r="1358" spans="1:6" x14ac:dyDescent="0.25">
      <c r="A1358" s="2" t="str">
        <f t="shared" si="48"/>
        <v>16980</v>
      </c>
      <c r="B1358" s="2" t="str">
        <f>"60154"</f>
        <v>60154</v>
      </c>
      <c r="C1358" s="1">
        <v>1.90196121817916E-3</v>
      </c>
      <c r="D1358" s="1">
        <v>2.3357785887779601E-3</v>
      </c>
      <c r="E1358" s="1">
        <v>8.1449640150586399E-4</v>
      </c>
      <c r="F1358" s="1">
        <v>1.8564984401648499E-3</v>
      </c>
    </row>
    <row r="1359" spans="1:6" x14ac:dyDescent="0.25">
      <c r="A1359" s="2" t="str">
        <f t="shared" si="48"/>
        <v>16980</v>
      </c>
      <c r="B1359" s="2" t="str">
        <f>"60147"</f>
        <v>60147</v>
      </c>
      <c r="C1359" s="1">
        <v>4.8631071802075403E-7</v>
      </c>
      <c r="D1359" s="1">
        <v>0</v>
      </c>
      <c r="E1359" s="1">
        <v>5.4481364649221704E-6</v>
      </c>
      <c r="F1359" s="1">
        <v>8.1838150326861501E-7</v>
      </c>
    </row>
    <row r="1360" spans="1:6" x14ac:dyDescent="0.25">
      <c r="A1360" s="2" t="str">
        <f t="shared" si="48"/>
        <v>16980</v>
      </c>
      <c r="B1360" s="2" t="str">
        <f>"60151"</f>
        <v>60151</v>
      </c>
      <c r="C1360" s="1">
        <v>4.1336411031764098E-4</v>
      </c>
      <c r="D1360" s="1">
        <v>1.9362697640446899E-4</v>
      </c>
      <c r="E1360" s="1">
        <v>3.5412887021994097E-5</v>
      </c>
      <c r="F1360" s="1">
        <v>3.6663491346433901E-4</v>
      </c>
    </row>
    <row r="1361" spans="1:6" x14ac:dyDescent="0.25">
      <c r="A1361" s="2" t="str">
        <f t="shared" si="48"/>
        <v>16980</v>
      </c>
      <c r="B1361" s="2" t="str">
        <f>"60145"</f>
        <v>60145</v>
      </c>
      <c r="C1361" s="1">
        <v>2.2807972675173299E-4</v>
      </c>
      <c r="D1361" s="1">
        <v>8.0882154700601195E-5</v>
      </c>
      <c r="E1361" s="1">
        <v>4.6309159951838402E-5</v>
      </c>
      <c r="F1361" s="1">
        <v>2.0214023130734799E-4</v>
      </c>
    </row>
    <row r="1362" spans="1:6" x14ac:dyDescent="0.25">
      <c r="A1362" s="2" t="str">
        <f t="shared" si="48"/>
        <v>16980</v>
      </c>
      <c r="B1362" s="2" t="str">
        <f>"60106"</f>
        <v>60106</v>
      </c>
      <c r="C1362" s="1">
        <v>1.94305447385192E-3</v>
      </c>
      <c r="D1362" s="1">
        <v>4.8431253844965997E-3</v>
      </c>
      <c r="E1362" s="1">
        <v>2.28276917880239E-3</v>
      </c>
      <c r="F1362" s="1">
        <v>2.21065303570434E-3</v>
      </c>
    </row>
    <row r="1363" spans="1:6" x14ac:dyDescent="0.25">
      <c r="A1363" s="2" t="str">
        <f t="shared" si="48"/>
        <v>16980</v>
      </c>
      <c r="B1363" s="2" t="str">
        <f>"60133"</f>
        <v>60133</v>
      </c>
      <c r="C1363" s="1">
        <v>2.89500770437755E-3</v>
      </c>
      <c r="D1363" s="1">
        <v>1.3921534506042799E-3</v>
      </c>
      <c r="E1363" s="1">
        <v>1.52003007371328E-3</v>
      </c>
      <c r="F1363" s="1">
        <v>2.6662869376491501E-3</v>
      </c>
    </row>
    <row r="1364" spans="1:6" x14ac:dyDescent="0.25">
      <c r="A1364" s="2" t="str">
        <f t="shared" si="48"/>
        <v>16980</v>
      </c>
      <c r="B1364" s="2" t="str">
        <f>"60095"</f>
        <v>60095</v>
      </c>
      <c r="C1364" s="1">
        <v>0</v>
      </c>
      <c r="D1364" s="1">
        <v>0</v>
      </c>
      <c r="E1364" s="1">
        <v>2.7240682324610801E-6</v>
      </c>
      <c r="F1364" s="1">
        <v>2.0459537581715301E-7</v>
      </c>
    </row>
    <row r="1365" spans="1:6" x14ac:dyDescent="0.25">
      <c r="A1365" s="2" t="str">
        <f t="shared" si="48"/>
        <v>16980</v>
      </c>
      <c r="B1365" s="2" t="str">
        <f>"60091"</f>
        <v>60091</v>
      </c>
      <c r="C1365" s="1">
        <v>2.7165316708639298E-3</v>
      </c>
      <c r="D1365" s="1">
        <v>2.5416604371067699E-3</v>
      </c>
      <c r="E1365" s="1">
        <v>1.1195920435415E-3</v>
      </c>
      <c r="F1365" s="1">
        <v>2.5819936428124802E-3</v>
      </c>
    </row>
    <row r="1366" spans="1:6" x14ac:dyDescent="0.25">
      <c r="A1366" s="2" t="str">
        <f t="shared" si="48"/>
        <v>16980</v>
      </c>
      <c r="B1366" s="2" t="str">
        <f>"60048"</f>
        <v>60048</v>
      </c>
      <c r="C1366" s="1">
        <v>3.1899551548571301E-3</v>
      </c>
      <c r="D1366" s="1">
        <v>5.0146935914372696E-3</v>
      </c>
      <c r="E1366" s="1">
        <v>1.9695013320693601E-3</v>
      </c>
      <c r="F1366" s="1">
        <v>3.2506113309829399E-3</v>
      </c>
    </row>
    <row r="1367" spans="1:6" x14ac:dyDescent="0.25">
      <c r="A1367" s="2" t="str">
        <f t="shared" si="48"/>
        <v>16980</v>
      </c>
      <c r="B1367" s="2" t="str">
        <f>"60087"</f>
        <v>60087</v>
      </c>
      <c r="C1367" s="1">
        <v>2.5448639874025999E-3</v>
      </c>
      <c r="D1367" s="1">
        <v>1.5784275038541499E-3</v>
      </c>
      <c r="E1367" s="1">
        <v>1.03514592833521E-3</v>
      </c>
      <c r="F1367" s="1">
        <v>2.3508008681390898E-3</v>
      </c>
    </row>
    <row r="1368" spans="1:6" x14ac:dyDescent="0.25">
      <c r="A1368" s="2" t="str">
        <f t="shared" si="48"/>
        <v>16980</v>
      </c>
      <c r="B1368" s="2" t="str">
        <f>"60079"</f>
        <v>60079</v>
      </c>
      <c r="C1368" s="1">
        <v>3.5743837774525398E-4</v>
      </c>
      <c r="D1368" s="1">
        <v>6.6666503268374296E-4</v>
      </c>
      <c r="E1368" s="1">
        <v>1.08962729298443E-5</v>
      </c>
      <c r="F1368" s="1">
        <v>3.5722352617675E-4</v>
      </c>
    </row>
    <row r="1369" spans="1:6" x14ac:dyDescent="0.25">
      <c r="A1369" s="2" t="str">
        <f t="shared" si="48"/>
        <v>16980</v>
      </c>
      <c r="B1369" s="2" t="str">
        <f>"60037"</f>
        <v>60037</v>
      </c>
      <c r="C1369" s="1">
        <v>0</v>
      </c>
      <c r="D1369" s="1">
        <v>4.9019487697333999E-6</v>
      </c>
      <c r="E1369" s="1">
        <v>2.7240682324610801E-6</v>
      </c>
      <c r="F1369" s="1">
        <v>6.1378612745146096E-7</v>
      </c>
    </row>
    <row r="1370" spans="1:6" x14ac:dyDescent="0.25">
      <c r="A1370" s="2" t="str">
        <f t="shared" si="48"/>
        <v>16980</v>
      </c>
      <c r="B1370" s="2" t="str">
        <f>"60045"</f>
        <v>60045</v>
      </c>
      <c r="C1370" s="1">
        <v>2.1604353648072001E-3</v>
      </c>
      <c r="D1370" s="1">
        <v>3.0048945958465701E-3</v>
      </c>
      <c r="E1370" s="1">
        <v>8.3084081090063105E-4</v>
      </c>
      <c r="F1370" s="1">
        <v>2.1310654345114699E-3</v>
      </c>
    </row>
    <row r="1371" spans="1:6" x14ac:dyDescent="0.25">
      <c r="A1371" s="2" t="str">
        <f t="shared" si="48"/>
        <v>16980</v>
      </c>
      <c r="B1371" s="2" t="str">
        <f>"60044"</f>
        <v>60044</v>
      </c>
      <c r="C1371" s="1">
        <v>1.1929201913049099E-3</v>
      </c>
      <c r="D1371" s="1">
        <v>2.3039159217747001E-3</v>
      </c>
      <c r="E1371" s="1">
        <v>9.0439065317707995E-4</v>
      </c>
      <c r="F1371" s="1">
        <v>1.26399023179837E-3</v>
      </c>
    </row>
    <row r="1372" spans="1:6" x14ac:dyDescent="0.25">
      <c r="A1372" s="2" t="str">
        <f t="shared" si="48"/>
        <v>16980</v>
      </c>
      <c r="B1372" s="2" t="str">
        <f>"60061"</f>
        <v>60061</v>
      </c>
      <c r="C1372" s="1">
        <v>3.0715384950190799E-3</v>
      </c>
      <c r="D1372" s="1">
        <v>3.0294043396952401E-3</v>
      </c>
      <c r="E1372" s="1">
        <v>1.7842646922620099E-3</v>
      </c>
      <c r="F1372" s="1">
        <v>2.9713386429925199E-3</v>
      </c>
    </row>
    <row r="1373" spans="1:6" x14ac:dyDescent="0.25">
      <c r="A1373" s="2" t="str">
        <f t="shared" si="48"/>
        <v>16980</v>
      </c>
      <c r="B1373" s="2" t="str">
        <f>"60034"</f>
        <v>60034</v>
      </c>
      <c r="C1373" s="1">
        <v>2.5190895193475001E-4</v>
      </c>
      <c r="D1373" s="1">
        <v>2.1813672025313601E-4</v>
      </c>
      <c r="E1373" s="1">
        <v>1.9885698096965899E-4</v>
      </c>
      <c r="F1373" s="1">
        <v>2.4510526022895001E-4</v>
      </c>
    </row>
    <row r="1374" spans="1:6" x14ac:dyDescent="0.25">
      <c r="A1374" s="2" t="str">
        <f t="shared" si="48"/>
        <v>16980</v>
      </c>
      <c r="B1374" s="2" t="str">
        <f>"60031"</f>
        <v>60031</v>
      </c>
      <c r="C1374" s="1">
        <v>3.9568671571758602E-3</v>
      </c>
      <c r="D1374" s="1">
        <v>5.1323403619108702E-3</v>
      </c>
      <c r="E1374" s="1">
        <v>2.0321549014159701E-3</v>
      </c>
      <c r="F1374" s="1">
        <v>3.9104314179932596E-3</v>
      </c>
    </row>
    <row r="1375" spans="1:6" x14ac:dyDescent="0.25">
      <c r="A1375" s="2" t="str">
        <f t="shared" si="48"/>
        <v>16980</v>
      </c>
      <c r="B1375" s="2" t="str">
        <f>"60030"</f>
        <v>60030</v>
      </c>
      <c r="C1375" s="1">
        <v>3.9704838572804397E-3</v>
      </c>
      <c r="D1375" s="1">
        <v>3.4240112156587801E-3</v>
      </c>
      <c r="E1375" s="1">
        <v>1.30755275158132E-3</v>
      </c>
      <c r="F1375" s="1">
        <v>3.7248634121270999E-3</v>
      </c>
    </row>
    <row r="1376" spans="1:6" x14ac:dyDescent="0.25">
      <c r="A1376" s="2" t="str">
        <f t="shared" si="48"/>
        <v>16980</v>
      </c>
      <c r="B1376" s="2" t="str">
        <f>"60017"</f>
        <v>60017</v>
      </c>
      <c r="C1376" s="1">
        <v>2.3902171790720001E-4</v>
      </c>
      <c r="D1376" s="1">
        <v>4.8529292820360698E-4</v>
      </c>
      <c r="E1376" s="1">
        <v>5.4481364649221704E-6</v>
      </c>
      <c r="F1376" s="1">
        <v>2.4203632959169299E-4</v>
      </c>
    </row>
    <row r="1377" spans="1:6" x14ac:dyDescent="0.25">
      <c r="A1377" s="2" t="str">
        <f t="shared" si="48"/>
        <v>16980</v>
      </c>
      <c r="B1377" s="2" t="str">
        <f>"60020"</f>
        <v>60020</v>
      </c>
      <c r="C1377" s="1">
        <v>1.42853773418596E-3</v>
      </c>
      <c r="D1377" s="1">
        <v>9.901936514861479E-4</v>
      </c>
      <c r="E1377" s="1">
        <v>1.13321238470381E-3</v>
      </c>
      <c r="F1377" s="1">
        <v>1.36976604109584E-3</v>
      </c>
    </row>
    <row r="1378" spans="1:6" x14ac:dyDescent="0.25">
      <c r="A1378" s="2" t="str">
        <f t="shared" si="48"/>
        <v>16980</v>
      </c>
      <c r="B1378" s="2" t="str">
        <f>"60014"</f>
        <v>60014</v>
      </c>
      <c r="C1378" s="1">
        <v>4.5411694848777997E-3</v>
      </c>
      <c r="D1378" s="1">
        <v>5.9215541138379502E-3</v>
      </c>
      <c r="E1378" s="1">
        <v>4.0180006428800997E-3</v>
      </c>
      <c r="F1378" s="1">
        <v>4.6171038460657097E-3</v>
      </c>
    </row>
    <row r="1379" spans="1:6" x14ac:dyDescent="0.25">
      <c r="A1379" s="2" t="str">
        <f t="shared" si="48"/>
        <v>16980</v>
      </c>
      <c r="B1379" s="2" t="str">
        <f>"60002"</f>
        <v>60002</v>
      </c>
      <c r="C1379" s="1">
        <v>2.8726374113485901E-3</v>
      </c>
      <c r="D1379" s="1">
        <v>2.6200916174225E-3</v>
      </c>
      <c r="E1379" s="1">
        <v>9.9428490484829591E-4</v>
      </c>
      <c r="F1379" s="1">
        <v>2.7104795388256499E-3</v>
      </c>
    </row>
    <row r="1380" spans="1:6" x14ac:dyDescent="0.25">
      <c r="A1380" s="2" t="str">
        <f t="shared" si="48"/>
        <v>16980</v>
      </c>
      <c r="B1380" s="2" t="str">
        <f>"53179"</f>
        <v>53179</v>
      </c>
      <c r="C1380" s="1">
        <v>6.4557747817255097E-4</v>
      </c>
      <c r="D1380" s="1">
        <v>1.5196041186173501E-4</v>
      </c>
      <c r="E1380" s="1">
        <v>6.8101705811527094E-5</v>
      </c>
      <c r="F1380" s="1">
        <v>5.6100052049063603E-4</v>
      </c>
    </row>
    <row r="1381" spans="1:6" x14ac:dyDescent="0.25">
      <c r="A1381" s="2" t="str">
        <f t="shared" si="48"/>
        <v>16980</v>
      </c>
      <c r="B1381" s="2" t="str">
        <f>"53194"</f>
        <v>53194</v>
      </c>
      <c r="C1381" s="1">
        <v>0</v>
      </c>
      <c r="D1381" s="1">
        <v>0</v>
      </c>
      <c r="E1381" s="1">
        <v>2.7240682324610801E-6</v>
      </c>
      <c r="F1381" s="1">
        <v>2.0459537581715301E-7</v>
      </c>
    </row>
    <row r="1382" spans="1:6" x14ac:dyDescent="0.25">
      <c r="A1382" s="2" t="str">
        <f t="shared" si="48"/>
        <v>16980</v>
      </c>
      <c r="B1382" s="2" t="str">
        <f>"53192"</f>
        <v>53192</v>
      </c>
      <c r="C1382" s="1">
        <v>1.5561942976664098E-5</v>
      </c>
      <c r="D1382" s="1">
        <v>2.4509743848666999E-6</v>
      </c>
      <c r="E1382" s="1">
        <v>2.7240682324610801E-6</v>
      </c>
      <c r="F1382" s="1">
        <v>1.3503294803932099E-5</v>
      </c>
    </row>
    <row r="1383" spans="1:6" x14ac:dyDescent="0.25">
      <c r="A1383" s="2" t="str">
        <f t="shared" si="48"/>
        <v>16980</v>
      </c>
      <c r="B1383" s="2" t="str">
        <f>"53109"</f>
        <v>53109</v>
      </c>
      <c r="C1383" s="1">
        <v>0</v>
      </c>
      <c r="D1383" s="1">
        <v>0</v>
      </c>
      <c r="E1383" s="1">
        <v>2.7240682324610801E-6</v>
      </c>
      <c r="F1383" s="1">
        <v>2.0459537581715301E-7</v>
      </c>
    </row>
    <row r="1384" spans="1:6" x14ac:dyDescent="0.25">
      <c r="A1384" s="2" t="str">
        <f t="shared" si="48"/>
        <v>16980</v>
      </c>
      <c r="B1384" s="2" t="str">
        <f>"46377"</f>
        <v>46377</v>
      </c>
      <c r="C1384" s="1">
        <v>0</v>
      </c>
      <c r="D1384" s="1">
        <v>0</v>
      </c>
      <c r="E1384" s="1">
        <v>2.7240682324610801E-6</v>
      </c>
      <c r="F1384" s="1">
        <v>2.0459537581715301E-7</v>
      </c>
    </row>
    <row r="1385" spans="1:6" x14ac:dyDescent="0.25">
      <c r="A1385" s="2" t="str">
        <f t="shared" si="48"/>
        <v>16980</v>
      </c>
      <c r="B1385" s="2" t="str">
        <f>"46348"</f>
        <v>46348</v>
      </c>
      <c r="C1385" s="1">
        <v>1.9452428720830102E-6</v>
      </c>
      <c r="D1385" s="1">
        <v>0</v>
      </c>
      <c r="E1385" s="1">
        <v>0</v>
      </c>
      <c r="F1385" s="1">
        <v>1.63676300653723E-6</v>
      </c>
    </row>
    <row r="1386" spans="1:6" x14ac:dyDescent="0.25">
      <c r="A1386" s="2" t="str">
        <f t="shared" si="48"/>
        <v>16980</v>
      </c>
      <c r="B1386" s="2" t="str">
        <f>"46342"</f>
        <v>46342</v>
      </c>
      <c r="C1386" s="1">
        <v>3.4554808068964602E-3</v>
      </c>
      <c r="D1386" s="1">
        <v>2.2671513060016999E-3</v>
      </c>
      <c r="E1386" s="1">
        <v>8.7714997085246897E-4</v>
      </c>
      <c r="F1386" s="1">
        <v>3.1626353193815598E-3</v>
      </c>
    </row>
    <row r="1387" spans="1:6" x14ac:dyDescent="0.25">
      <c r="A1387" s="2" t="str">
        <f t="shared" si="48"/>
        <v>16980</v>
      </c>
      <c r="B1387" s="2" t="str">
        <f>"46324"</f>
        <v>46324</v>
      </c>
      <c r="C1387" s="1">
        <v>2.2703415870798898E-3</v>
      </c>
      <c r="D1387" s="1">
        <v>1.30636934713395E-3</v>
      </c>
      <c r="E1387" s="1">
        <v>9.5069981312891896E-4</v>
      </c>
      <c r="F1387" s="1">
        <v>2.0907601454754898E-3</v>
      </c>
    </row>
    <row r="1388" spans="1:6" x14ac:dyDescent="0.25">
      <c r="A1388" s="2" t="str">
        <f t="shared" si="48"/>
        <v>16980</v>
      </c>
      <c r="B1388" s="2" t="str">
        <f>"46402"</f>
        <v>46402</v>
      </c>
      <c r="C1388" s="1">
        <v>9.6629939670723802E-4</v>
      </c>
      <c r="D1388" s="1">
        <v>1.4975453491535499E-3</v>
      </c>
      <c r="E1388" s="1">
        <v>6.5922451225558195E-4</v>
      </c>
      <c r="F1388" s="1">
        <v>9.8758187906940209E-4</v>
      </c>
    </row>
    <row r="1389" spans="1:6" x14ac:dyDescent="0.25">
      <c r="A1389" s="2" t="str">
        <f t="shared" si="48"/>
        <v>16980</v>
      </c>
      <c r="B1389" s="2" t="str">
        <f>"46401"</f>
        <v>46401</v>
      </c>
      <c r="C1389" s="1">
        <v>2.4461429116443901E-4</v>
      </c>
      <c r="D1389" s="1">
        <v>5.1470462082200703E-4</v>
      </c>
      <c r="E1389" s="1">
        <v>8.1722046973832594E-6</v>
      </c>
      <c r="F1389" s="1">
        <v>2.4940176312110998E-4</v>
      </c>
    </row>
    <row r="1390" spans="1:6" x14ac:dyDescent="0.25">
      <c r="A1390" s="2" t="str">
        <f t="shared" ref="A1390:A1453" si="49">"16980"</f>
        <v>16980</v>
      </c>
      <c r="B1390" s="2" t="str">
        <f>"46391"</f>
        <v>46391</v>
      </c>
      <c r="C1390" s="1">
        <v>1.8115074246273001E-4</v>
      </c>
      <c r="D1390" s="1">
        <v>9.8038975394668099E-6</v>
      </c>
      <c r="E1390" s="1">
        <v>5.4481364649221704E-6</v>
      </c>
      <c r="F1390" s="1">
        <v>1.53651127238682E-4</v>
      </c>
    </row>
    <row r="1391" spans="1:6" x14ac:dyDescent="0.25">
      <c r="A1391" s="2" t="str">
        <f t="shared" si="49"/>
        <v>16980</v>
      </c>
      <c r="B1391" s="2" t="str">
        <f>"61068"</f>
        <v>61068</v>
      </c>
      <c r="C1391" s="1">
        <v>4.1336411031764101E-6</v>
      </c>
      <c r="D1391" s="1">
        <v>2.4509743848666999E-6</v>
      </c>
      <c r="E1391" s="1">
        <v>0</v>
      </c>
      <c r="F1391" s="1">
        <v>3.6827167647087698E-6</v>
      </c>
    </row>
    <row r="1392" spans="1:6" x14ac:dyDescent="0.25">
      <c r="A1392" s="2" t="str">
        <f t="shared" si="49"/>
        <v>16980</v>
      </c>
      <c r="B1392" s="2" t="str">
        <f>"61052"</f>
        <v>61052</v>
      </c>
      <c r="C1392" s="1">
        <v>9.7262143604150806E-7</v>
      </c>
      <c r="D1392" s="1">
        <v>0</v>
      </c>
      <c r="E1392" s="1">
        <v>0</v>
      </c>
      <c r="F1392" s="1">
        <v>8.1838150326861501E-7</v>
      </c>
    </row>
    <row r="1393" spans="1:6" x14ac:dyDescent="0.25">
      <c r="A1393" s="2" t="str">
        <f t="shared" si="49"/>
        <v>16980</v>
      </c>
      <c r="B1393" s="2" t="str">
        <f>"60669"</f>
        <v>60669</v>
      </c>
      <c r="C1393" s="1">
        <v>0</v>
      </c>
      <c r="D1393" s="1">
        <v>2.4509743848666999E-6</v>
      </c>
      <c r="E1393" s="1">
        <v>2.7240682324610801E-6</v>
      </c>
      <c r="F1393" s="1">
        <v>4.0919075163430703E-7</v>
      </c>
    </row>
    <row r="1394" spans="1:6" x14ac:dyDescent="0.25">
      <c r="A1394" s="2" t="str">
        <f t="shared" si="49"/>
        <v>16980</v>
      </c>
      <c r="B1394" s="2" t="str">
        <f>"60666"</f>
        <v>60666</v>
      </c>
      <c r="C1394" s="1">
        <v>1.6291409053695199E-4</v>
      </c>
      <c r="D1394" s="1">
        <v>5.3186144151607404E-4</v>
      </c>
      <c r="E1394" s="1">
        <v>4.0861023486916297E-5</v>
      </c>
      <c r="F1394" s="1">
        <v>1.8454502898707201E-4</v>
      </c>
    </row>
    <row r="1395" spans="1:6" x14ac:dyDescent="0.25">
      <c r="A1395" s="2" t="str">
        <f t="shared" si="49"/>
        <v>16980</v>
      </c>
      <c r="B1395" s="2" t="str">
        <f>"60659"</f>
        <v>60659</v>
      </c>
      <c r="C1395" s="1">
        <v>3.8428272938E-3</v>
      </c>
      <c r="D1395" s="1">
        <v>5.4289082624797399E-3</v>
      </c>
      <c r="E1395" s="1">
        <v>8.2157897891026298E-3</v>
      </c>
      <c r="F1395" s="1">
        <v>4.3036637303138304E-3</v>
      </c>
    </row>
    <row r="1396" spans="1:6" x14ac:dyDescent="0.25">
      <c r="A1396" s="2" t="str">
        <f t="shared" si="49"/>
        <v>16980</v>
      </c>
      <c r="B1396" s="2" t="str">
        <f>"60935"</f>
        <v>60935</v>
      </c>
      <c r="C1396" s="1">
        <v>7.2946607703113105E-7</v>
      </c>
      <c r="D1396" s="1">
        <v>0</v>
      </c>
      <c r="E1396" s="1">
        <v>0</v>
      </c>
      <c r="F1396" s="1">
        <v>6.1378612745146096E-7</v>
      </c>
    </row>
    <row r="1397" spans="1:6" x14ac:dyDescent="0.25">
      <c r="A1397" s="2" t="str">
        <f t="shared" si="49"/>
        <v>16980</v>
      </c>
      <c r="B1397" s="2" t="str">
        <f>"60651"</f>
        <v>60651</v>
      </c>
      <c r="C1397" s="1">
        <v>4.5241486097470701E-3</v>
      </c>
      <c r="D1397" s="1">
        <v>3.7401869113065801E-3</v>
      </c>
      <c r="E1397" s="1">
        <v>4.6063993810916901E-3</v>
      </c>
      <c r="F1397" s="1">
        <v>4.4648848864577498E-3</v>
      </c>
    </row>
    <row r="1398" spans="1:6" x14ac:dyDescent="0.25">
      <c r="A1398" s="2" t="str">
        <f t="shared" si="49"/>
        <v>16980</v>
      </c>
      <c r="B1398" s="2" t="str">
        <f>"60707"</f>
        <v>60707</v>
      </c>
      <c r="C1398" s="1">
        <v>4.1312095495863004E-3</v>
      </c>
      <c r="D1398" s="1">
        <v>2.3333276143930998E-3</v>
      </c>
      <c r="E1398" s="1">
        <v>6.0338111349013002E-3</v>
      </c>
      <c r="F1398" s="1">
        <v>4.1240289903463701E-3</v>
      </c>
    </row>
    <row r="1399" spans="1:6" x14ac:dyDescent="0.25">
      <c r="A1399" s="2" t="str">
        <f t="shared" si="49"/>
        <v>16980</v>
      </c>
      <c r="B1399" s="2" t="str">
        <f>"60646"</f>
        <v>60646</v>
      </c>
      <c r="C1399" s="1">
        <v>2.76200172299887E-3</v>
      </c>
      <c r="D1399" s="1">
        <v>3.1985215722510401E-3</v>
      </c>
      <c r="E1399" s="1">
        <v>2.43804106805267E-3</v>
      </c>
      <c r="F1399" s="1">
        <v>2.7741087007047902E-3</v>
      </c>
    </row>
    <row r="1400" spans="1:6" x14ac:dyDescent="0.25">
      <c r="A1400" s="2" t="str">
        <f t="shared" si="49"/>
        <v>16980</v>
      </c>
      <c r="B1400" s="2" t="str">
        <f>"60629"</f>
        <v>60629</v>
      </c>
      <c r="C1400" s="1">
        <v>8.0085649043657794E-3</v>
      </c>
      <c r="D1400" s="1">
        <v>4.0367548118754601E-3</v>
      </c>
      <c r="E1400" s="1">
        <v>4.2795111931963597E-3</v>
      </c>
      <c r="F1400" s="1">
        <v>7.3969412172933801E-3</v>
      </c>
    </row>
    <row r="1401" spans="1:6" x14ac:dyDescent="0.25">
      <c r="A1401" s="2" t="str">
        <f t="shared" si="49"/>
        <v>16980</v>
      </c>
      <c r="B1401" s="2" t="str">
        <f>"60628"</f>
        <v>60628</v>
      </c>
      <c r="C1401" s="1">
        <v>7.0823861418952503E-3</v>
      </c>
      <c r="D1401" s="1">
        <v>4.0514606581846602E-3</v>
      </c>
      <c r="E1401" s="1">
        <v>3.0346120109616499E-3</v>
      </c>
      <c r="F1401" s="1">
        <v>6.5253649163123E-3</v>
      </c>
    </row>
    <row r="1402" spans="1:6" x14ac:dyDescent="0.25">
      <c r="A1402" s="2" t="str">
        <f t="shared" si="49"/>
        <v>16980</v>
      </c>
      <c r="B1402" s="2" t="str">
        <f>"60636"</f>
        <v>60636</v>
      </c>
      <c r="C1402" s="1">
        <v>3.36672910085768E-3</v>
      </c>
      <c r="D1402" s="1">
        <v>2.6323464893468298E-3</v>
      </c>
      <c r="E1402" s="1">
        <v>2.6178295713951E-3</v>
      </c>
      <c r="F1402" s="1">
        <v>3.2491791633522198E-3</v>
      </c>
    </row>
    <row r="1403" spans="1:6" x14ac:dyDescent="0.25">
      <c r="A1403" s="2" t="str">
        <f t="shared" si="49"/>
        <v>16980</v>
      </c>
      <c r="B1403" s="2" t="str">
        <f>"60623"</f>
        <v>60623</v>
      </c>
      <c r="C1403" s="1">
        <v>5.1959868666927398E-3</v>
      </c>
      <c r="D1403" s="1">
        <v>5.0146935914372696E-3</v>
      </c>
      <c r="E1403" s="1">
        <v>7.32501947708786E-3</v>
      </c>
      <c r="F1403" s="1">
        <v>5.3407576903309797E-3</v>
      </c>
    </row>
    <row r="1404" spans="1:6" x14ac:dyDescent="0.25">
      <c r="A1404" s="2" t="str">
        <f t="shared" si="49"/>
        <v>16980</v>
      </c>
      <c r="B1404" s="2" t="str">
        <f>"60634"</f>
        <v>60634</v>
      </c>
      <c r="C1404" s="1">
        <v>6.5219130393763302E-3</v>
      </c>
      <c r="D1404" s="1">
        <v>4.5833220997007302E-3</v>
      </c>
      <c r="E1404" s="1">
        <v>7.4830154345706E-3</v>
      </c>
      <c r="F1404" s="1">
        <v>6.4322740203155001E-3</v>
      </c>
    </row>
    <row r="1405" spans="1:6" x14ac:dyDescent="0.25">
      <c r="A1405" s="2" t="str">
        <f t="shared" si="49"/>
        <v>16980</v>
      </c>
      <c r="B1405" s="2" t="str">
        <f>"60604"</f>
        <v>60604</v>
      </c>
      <c r="C1405" s="1">
        <v>1.54646808330599E-4</v>
      </c>
      <c r="D1405" s="1">
        <v>6.0195930892326197E-3</v>
      </c>
      <c r="E1405" s="1">
        <v>6.7556892165034901E-4</v>
      </c>
      <c r="F1405" s="1">
        <v>6.8334855522929404E-4</v>
      </c>
    </row>
    <row r="1406" spans="1:6" x14ac:dyDescent="0.25">
      <c r="A1406" s="2" t="str">
        <f t="shared" si="49"/>
        <v>16980</v>
      </c>
      <c r="B1406" s="2" t="str">
        <f>"60551"</f>
        <v>60551</v>
      </c>
      <c r="C1406" s="1">
        <v>2.4315535901037702E-7</v>
      </c>
      <c r="D1406" s="1">
        <v>0</v>
      </c>
      <c r="E1406" s="1">
        <v>0</v>
      </c>
      <c r="F1406" s="1">
        <v>2.0459537581715301E-7</v>
      </c>
    </row>
    <row r="1407" spans="1:6" x14ac:dyDescent="0.25">
      <c r="A1407" s="2" t="str">
        <f t="shared" si="49"/>
        <v>16980</v>
      </c>
      <c r="B1407" s="2" t="str">
        <f>"60530"</f>
        <v>60530</v>
      </c>
      <c r="C1407" s="1">
        <v>2.30997591059858E-5</v>
      </c>
      <c r="D1407" s="1">
        <v>1.7156820694066901E-5</v>
      </c>
      <c r="E1407" s="1">
        <v>1.6344409394766498E-5</v>
      </c>
      <c r="F1407" s="1">
        <v>2.2096300588252598E-5</v>
      </c>
    </row>
    <row r="1408" spans="1:6" x14ac:dyDescent="0.25">
      <c r="A1408" s="2" t="str">
        <f t="shared" si="49"/>
        <v>16980</v>
      </c>
      <c r="B1408" s="2" t="str">
        <f>"60543"</f>
        <v>60543</v>
      </c>
      <c r="C1408" s="1">
        <v>3.7132254874474601E-3</v>
      </c>
      <c r="D1408" s="1">
        <v>3.2745017781819099E-3</v>
      </c>
      <c r="E1408" s="1">
        <v>5.6933026058436696E-4</v>
      </c>
      <c r="F1408" s="1">
        <v>3.4404758397412602E-3</v>
      </c>
    </row>
    <row r="1409" spans="1:6" x14ac:dyDescent="0.25">
      <c r="A1409" s="2" t="str">
        <f t="shared" si="49"/>
        <v>16980</v>
      </c>
      <c r="B1409" s="2" t="str">
        <f>"60546"</f>
        <v>60546</v>
      </c>
      <c r="C1409" s="1">
        <v>1.8195315514746499E-3</v>
      </c>
      <c r="D1409" s="1">
        <v>2.0980340734458899E-3</v>
      </c>
      <c r="E1409" s="1">
        <v>3.4922554740151098E-3</v>
      </c>
      <c r="F1409" s="1">
        <v>1.96841211073683E-3</v>
      </c>
    </row>
    <row r="1410" spans="1:6" x14ac:dyDescent="0.25">
      <c r="A1410" s="2" t="str">
        <f t="shared" si="49"/>
        <v>16980</v>
      </c>
      <c r="B1410" s="2" t="str">
        <f>"60521"</f>
        <v>60521</v>
      </c>
      <c r="C1410" s="1">
        <v>1.71157057207404E-3</v>
      </c>
      <c r="D1410" s="1">
        <v>2.8308754145210399E-3</v>
      </c>
      <c r="E1410" s="1">
        <v>1.0705588153572E-3</v>
      </c>
      <c r="F1410" s="1">
        <v>1.7568604921419E-3</v>
      </c>
    </row>
    <row r="1411" spans="1:6" x14ac:dyDescent="0.25">
      <c r="A1411" s="2" t="str">
        <f t="shared" si="49"/>
        <v>16980</v>
      </c>
      <c r="B1411" s="2" t="str">
        <f>"60484"</f>
        <v>60484</v>
      </c>
      <c r="C1411" s="1">
        <v>6.99314812513844E-4</v>
      </c>
      <c r="D1411" s="1">
        <v>4.3382246612140601E-4</v>
      </c>
      <c r="E1411" s="1">
        <v>1.33206936567347E-3</v>
      </c>
      <c r="F1411" s="1">
        <v>7.2467682114435905E-4</v>
      </c>
    </row>
    <row r="1412" spans="1:6" x14ac:dyDescent="0.25">
      <c r="A1412" s="2" t="str">
        <f t="shared" si="49"/>
        <v>16980</v>
      </c>
      <c r="B1412" s="2" t="str">
        <f>"60480"</f>
        <v>60480</v>
      </c>
      <c r="C1412" s="1">
        <v>5.9402854206235098E-4</v>
      </c>
      <c r="D1412" s="1">
        <v>4.0686174788787197E-4</v>
      </c>
      <c r="E1412" s="1">
        <v>3.8681768900947401E-4</v>
      </c>
      <c r="F1412" s="1">
        <v>5.6284187887299002E-4</v>
      </c>
    </row>
    <row r="1413" spans="1:6" x14ac:dyDescent="0.25">
      <c r="A1413" s="2" t="str">
        <f t="shared" si="49"/>
        <v>16980</v>
      </c>
      <c r="B1413" s="2" t="str">
        <f>"60478"</f>
        <v>60478</v>
      </c>
      <c r="C1413" s="1">
        <v>1.7336977097439799E-3</v>
      </c>
      <c r="D1413" s="1">
        <v>1.0784287293413399E-3</v>
      </c>
      <c r="E1413" s="1">
        <v>1.7161629864504799E-4</v>
      </c>
      <c r="F1413" s="1">
        <v>1.5616765036123299E-3</v>
      </c>
    </row>
    <row r="1414" spans="1:6" x14ac:dyDescent="0.25">
      <c r="A1414" s="2" t="str">
        <f t="shared" si="49"/>
        <v>16980</v>
      </c>
      <c r="B1414" s="2" t="str">
        <f>"60472"</f>
        <v>60472</v>
      </c>
      <c r="C1414" s="1">
        <v>7.2192826090180899E-4</v>
      </c>
      <c r="D1414" s="1">
        <v>3.5294031142080499E-4</v>
      </c>
      <c r="E1414" s="1">
        <v>1.7434036687750899E-4</v>
      </c>
      <c r="F1414" s="1">
        <v>6.4999950897109797E-4</v>
      </c>
    </row>
    <row r="1415" spans="1:6" x14ac:dyDescent="0.25">
      <c r="A1415" s="2" t="str">
        <f t="shared" si="49"/>
        <v>16980</v>
      </c>
      <c r="B1415" s="2" t="str">
        <f>"60468"</f>
        <v>60468</v>
      </c>
      <c r="C1415" s="1">
        <v>6.2563873873369995E-4</v>
      </c>
      <c r="D1415" s="1">
        <v>3.3823446511160502E-4</v>
      </c>
      <c r="E1415" s="1">
        <v>2.47890209153958E-4</v>
      </c>
      <c r="F1415" s="1">
        <v>5.7327624303966495E-4</v>
      </c>
    </row>
    <row r="1416" spans="1:6" x14ac:dyDescent="0.25">
      <c r="A1416" s="2" t="str">
        <f t="shared" si="49"/>
        <v>16980</v>
      </c>
      <c r="B1416" s="2" t="str">
        <f>"60459"</f>
        <v>60459</v>
      </c>
      <c r="C1416" s="1">
        <v>2.37222368250523E-3</v>
      </c>
      <c r="D1416" s="1">
        <v>1.29901642397935E-3</v>
      </c>
      <c r="E1416" s="1">
        <v>1.8196775792839999E-3</v>
      </c>
      <c r="F1416" s="1">
        <v>2.2411377467011001E-3</v>
      </c>
    </row>
    <row r="1417" spans="1:6" x14ac:dyDescent="0.25">
      <c r="A1417" s="2" t="str">
        <f t="shared" si="49"/>
        <v>16980</v>
      </c>
      <c r="B1417" s="2" t="str">
        <f>"60456"</f>
        <v>60456</v>
      </c>
      <c r="C1417" s="1">
        <v>4.7123508576211E-4</v>
      </c>
      <c r="D1417" s="1">
        <v>1.39705539937402E-4</v>
      </c>
      <c r="E1417" s="1">
        <v>1.23945104576979E-3</v>
      </c>
      <c r="F1417" s="1">
        <v>5.0125867075202703E-4</v>
      </c>
    </row>
    <row r="1418" spans="1:6" x14ac:dyDescent="0.25">
      <c r="A1418" s="2" t="str">
        <f t="shared" si="49"/>
        <v>16980</v>
      </c>
      <c r="B1418" s="2" t="str">
        <f>"60432"</f>
        <v>60432</v>
      </c>
      <c r="C1418" s="1">
        <v>1.69625178445639E-3</v>
      </c>
      <c r="D1418" s="1">
        <v>2.4387195129423698E-3</v>
      </c>
      <c r="E1418" s="1">
        <v>2.24190815531547E-3</v>
      </c>
      <c r="F1418" s="1">
        <v>1.7992117349360499E-3</v>
      </c>
    </row>
    <row r="1419" spans="1:6" x14ac:dyDescent="0.25">
      <c r="A1419" s="2" t="str">
        <f t="shared" si="49"/>
        <v>16980</v>
      </c>
      <c r="B1419" s="2" t="str">
        <f>"60424"</f>
        <v>60424</v>
      </c>
      <c r="C1419" s="1">
        <v>2.5920361270506198E-4</v>
      </c>
      <c r="D1419" s="1">
        <v>1.3235261678280199E-4</v>
      </c>
      <c r="E1419" s="1">
        <v>1.3347934339059299E-4</v>
      </c>
      <c r="F1419" s="1">
        <v>2.39171994330252E-4</v>
      </c>
    </row>
    <row r="1420" spans="1:6" x14ac:dyDescent="0.25">
      <c r="A1420" s="2" t="str">
        <f t="shared" si="49"/>
        <v>16980</v>
      </c>
      <c r="B1420" s="2" t="str">
        <f>"60195"</f>
        <v>60195</v>
      </c>
      <c r="C1420" s="1">
        <v>8.9481172115818701E-4</v>
      </c>
      <c r="D1420" s="1">
        <v>1.63725088909095E-3</v>
      </c>
      <c r="E1420" s="1">
        <v>5.9929501114143902E-4</v>
      </c>
      <c r="F1420" s="1">
        <v>9.3459167673275905E-4</v>
      </c>
    </row>
    <row r="1421" spans="1:6" x14ac:dyDescent="0.25">
      <c r="A1421" s="2" t="str">
        <f t="shared" si="49"/>
        <v>16980</v>
      </c>
      <c r="B1421" s="2" t="str">
        <f>"60194"</f>
        <v>60194</v>
      </c>
      <c r="C1421" s="1">
        <v>2.13636298426517E-3</v>
      </c>
      <c r="D1421" s="1">
        <v>1.28676155205501E-3</v>
      </c>
      <c r="E1421" s="1">
        <v>1.8224016475164599E-3</v>
      </c>
      <c r="F1421" s="1">
        <v>2.0418618506551898E-3</v>
      </c>
    </row>
    <row r="1422" spans="1:6" x14ac:dyDescent="0.25">
      <c r="A1422" s="2" t="str">
        <f t="shared" si="49"/>
        <v>16980</v>
      </c>
      <c r="B1422" s="2" t="str">
        <f>"60421"</f>
        <v>60421</v>
      </c>
      <c r="C1422" s="1">
        <v>3.8710333154452E-4</v>
      </c>
      <c r="D1422" s="1">
        <v>2.0343087394393599E-4</v>
      </c>
      <c r="E1422" s="1">
        <v>1.0623866106598201E-4</v>
      </c>
      <c r="F1422" s="1">
        <v>3.5067647415060101E-4</v>
      </c>
    </row>
    <row r="1423" spans="1:6" x14ac:dyDescent="0.25">
      <c r="A1423" s="2" t="str">
        <f t="shared" si="49"/>
        <v>16980</v>
      </c>
      <c r="B1423" s="2" t="str">
        <f>"60173"</f>
        <v>60173</v>
      </c>
      <c r="C1423" s="1">
        <v>1.6271956624974401E-3</v>
      </c>
      <c r="D1423" s="1">
        <v>7.95831382766218E-3</v>
      </c>
      <c r="E1423" s="1">
        <v>2.9120289405008999E-3</v>
      </c>
      <c r="F1423" s="1">
        <v>2.2521858969952301E-3</v>
      </c>
    </row>
    <row r="1424" spans="1:6" x14ac:dyDescent="0.25">
      <c r="A1424" s="2" t="str">
        <f t="shared" si="49"/>
        <v>16980</v>
      </c>
      <c r="B1424" s="2" t="str">
        <f>"60123"</f>
        <v>60123</v>
      </c>
      <c r="C1424" s="1">
        <v>4.3376484493861103E-3</v>
      </c>
      <c r="D1424" s="1">
        <v>5.3039085688515401E-3</v>
      </c>
      <c r="E1424" s="1">
        <v>6.9845109480302196E-3</v>
      </c>
      <c r="F1424" s="1">
        <v>4.6171038460657097E-3</v>
      </c>
    </row>
    <row r="1425" spans="1:6" x14ac:dyDescent="0.25">
      <c r="A1425" s="2" t="str">
        <f t="shared" si="49"/>
        <v>16980</v>
      </c>
      <c r="B1425" s="2" t="str">
        <f>"60120"</f>
        <v>60120</v>
      </c>
      <c r="C1425" s="1">
        <v>4.1292643067142197E-3</v>
      </c>
      <c r="D1425" s="1">
        <v>3.5857755250599801E-3</v>
      </c>
      <c r="E1425" s="1">
        <v>4.8597377267105696E-3</v>
      </c>
      <c r="F1425" s="1">
        <v>4.1387598574052003E-3</v>
      </c>
    </row>
    <row r="1426" spans="1:6" x14ac:dyDescent="0.25">
      <c r="A1426" s="2" t="str">
        <f t="shared" si="49"/>
        <v>16980</v>
      </c>
      <c r="B1426" s="2" t="str">
        <f>"60112"</f>
        <v>60112</v>
      </c>
      <c r="C1426" s="1">
        <v>8.8946230325995896E-4</v>
      </c>
      <c r="D1426" s="1">
        <v>3.92155901578672E-4</v>
      </c>
      <c r="E1426" s="1">
        <v>4.9850448654037796E-4</v>
      </c>
      <c r="F1426" s="1">
        <v>8.1858609864443198E-4</v>
      </c>
    </row>
    <row r="1427" spans="1:6" x14ac:dyDescent="0.25">
      <c r="A1427" s="2" t="str">
        <f t="shared" si="49"/>
        <v>16980</v>
      </c>
      <c r="B1427" s="2" t="str">
        <f>"60162"</f>
        <v>60162</v>
      </c>
      <c r="C1427" s="1">
        <v>7.7153195413992603E-4</v>
      </c>
      <c r="D1427" s="1">
        <v>1.25734985943661E-3</v>
      </c>
      <c r="E1427" s="1">
        <v>7.6546317332156497E-4</v>
      </c>
      <c r="F1427" s="1">
        <v>8.1162985586664895E-4</v>
      </c>
    </row>
    <row r="1428" spans="1:6" x14ac:dyDescent="0.25">
      <c r="A1428" s="2" t="str">
        <f t="shared" si="49"/>
        <v>16980</v>
      </c>
      <c r="B1428" s="2" t="str">
        <f>"60171"</f>
        <v>60171</v>
      </c>
      <c r="C1428" s="1">
        <v>1.1056274174201801E-3</v>
      </c>
      <c r="D1428" s="1">
        <v>8.0637057262114499E-4</v>
      </c>
      <c r="E1428" s="1">
        <v>2.2555284964777701E-3</v>
      </c>
      <c r="F1428" s="1">
        <v>1.16701202366104E-3</v>
      </c>
    </row>
    <row r="1429" spans="1:6" x14ac:dyDescent="0.25">
      <c r="A1429" s="2" t="str">
        <f t="shared" si="49"/>
        <v>16980</v>
      </c>
      <c r="B1429" s="2" t="str">
        <f>"60150"</f>
        <v>60150</v>
      </c>
      <c r="C1429" s="1">
        <v>2.7573817711776699E-4</v>
      </c>
      <c r="D1429" s="1">
        <v>1.4705846309200199E-4</v>
      </c>
      <c r="E1429" s="1">
        <v>5.7205432881682802E-5</v>
      </c>
      <c r="F1429" s="1">
        <v>2.4858338161784201E-4</v>
      </c>
    </row>
    <row r="1430" spans="1:6" x14ac:dyDescent="0.25">
      <c r="A1430" s="2" t="str">
        <f t="shared" si="49"/>
        <v>16980</v>
      </c>
      <c r="B1430" s="2" t="str">
        <f>"60153"</f>
        <v>60153</v>
      </c>
      <c r="C1430" s="1">
        <v>2.13222934316199E-3</v>
      </c>
      <c r="D1430" s="1">
        <v>1.90685807142629E-3</v>
      </c>
      <c r="E1430" s="1">
        <v>2.56607227497834E-3</v>
      </c>
      <c r="F1430" s="1">
        <v>2.1460008969461201E-3</v>
      </c>
    </row>
    <row r="1431" spans="1:6" x14ac:dyDescent="0.25">
      <c r="A1431" s="2" t="str">
        <f t="shared" si="49"/>
        <v>16980</v>
      </c>
      <c r="B1431" s="2" t="str">
        <f>"60104"</f>
        <v>60104</v>
      </c>
      <c r="C1431" s="1">
        <v>1.7709004796725701E-3</v>
      </c>
      <c r="D1431" s="1">
        <v>1.4289180663772799E-3</v>
      </c>
      <c r="E1431" s="1">
        <v>2.1111528801573401E-3</v>
      </c>
      <c r="F1431" s="1">
        <v>1.7679086424360201E-3</v>
      </c>
    </row>
    <row r="1432" spans="1:6" x14ac:dyDescent="0.25">
      <c r="A1432" s="2" t="str">
        <f t="shared" si="49"/>
        <v>16980</v>
      </c>
      <c r="B1432" s="2" t="str">
        <f>"60096"</f>
        <v>60096</v>
      </c>
      <c r="C1432" s="1">
        <v>6.7013616943259902E-4</v>
      </c>
      <c r="D1432" s="1">
        <v>2.6715620795047E-4</v>
      </c>
      <c r="E1432" s="1">
        <v>1.90684776272276E-4</v>
      </c>
      <c r="F1432" s="1">
        <v>6.0048742802334596E-4</v>
      </c>
    </row>
    <row r="1433" spans="1:6" x14ac:dyDescent="0.25">
      <c r="A1433" s="2" t="str">
        <f t="shared" si="49"/>
        <v>16980</v>
      </c>
      <c r="B1433" s="2" t="str">
        <f>"60056"</f>
        <v>60056</v>
      </c>
      <c r="C1433" s="1">
        <v>5.6409611736817303E-3</v>
      </c>
      <c r="D1433" s="1">
        <v>4.6887139982499998E-3</v>
      </c>
      <c r="E1433" s="1">
        <v>5.0858353900048404E-3</v>
      </c>
      <c r="F1433" s="1">
        <v>5.5197786441709903E-3</v>
      </c>
    </row>
    <row r="1434" spans="1:6" x14ac:dyDescent="0.25">
      <c r="A1434" s="2" t="str">
        <f t="shared" si="49"/>
        <v>16980</v>
      </c>
      <c r="B1434" s="2" t="str">
        <f>"60050"</f>
        <v>60050</v>
      </c>
      <c r="C1434" s="1">
        <v>3.3176117183375802E-3</v>
      </c>
      <c r="D1434" s="1">
        <v>3.14460013578398E-3</v>
      </c>
      <c r="E1434" s="1">
        <v>2.50886684209666E-3</v>
      </c>
      <c r="F1434" s="1">
        <v>3.24242751595025E-3</v>
      </c>
    </row>
    <row r="1435" spans="1:6" x14ac:dyDescent="0.25">
      <c r="A1435" s="2" t="str">
        <f t="shared" si="49"/>
        <v>16980</v>
      </c>
      <c r="B1435" s="2" t="str">
        <f>"60075"</f>
        <v>60075</v>
      </c>
      <c r="C1435" s="1">
        <v>1.9452428720830102E-6</v>
      </c>
      <c r="D1435" s="1">
        <v>0</v>
      </c>
      <c r="E1435" s="1">
        <v>2.7240682324610801E-6</v>
      </c>
      <c r="F1435" s="1">
        <v>1.84135838235438E-6</v>
      </c>
    </row>
    <row r="1436" spans="1:6" x14ac:dyDescent="0.25">
      <c r="A1436" s="2" t="str">
        <f t="shared" si="49"/>
        <v>16980</v>
      </c>
      <c r="B1436" s="2" t="str">
        <f>"60078"</f>
        <v>60078</v>
      </c>
      <c r="C1436" s="1">
        <v>3.73000320721918E-4</v>
      </c>
      <c r="D1436" s="1">
        <v>1.22548719243335E-3</v>
      </c>
      <c r="E1436" s="1">
        <v>5.4481364649221704E-6</v>
      </c>
      <c r="F1436" s="1">
        <v>4.1655618516372501E-4</v>
      </c>
    </row>
    <row r="1437" spans="1:6" x14ac:dyDescent="0.25">
      <c r="A1437" s="2" t="str">
        <f t="shared" si="49"/>
        <v>16980</v>
      </c>
      <c r="B1437" s="2" t="str">
        <f>"60039"</f>
        <v>60039</v>
      </c>
      <c r="C1437" s="1">
        <v>3.4941425089791099E-4</v>
      </c>
      <c r="D1437" s="1">
        <v>1.3088203215188101E-3</v>
      </c>
      <c r="E1437" s="1">
        <v>5.4481364649221704E-6</v>
      </c>
      <c r="F1437" s="1">
        <v>4.03666676487244E-4</v>
      </c>
    </row>
    <row r="1438" spans="1:6" x14ac:dyDescent="0.25">
      <c r="A1438" s="2" t="str">
        <f t="shared" si="49"/>
        <v>16980</v>
      </c>
      <c r="B1438" s="2" t="str">
        <f>"60065"</f>
        <v>60065</v>
      </c>
      <c r="C1438" s="1">
        <v>1.1379670801685601E-4</v>
      </c>
      <c r="D1438" s="1">
        <v>9.5588001009801399E-4</v>
      </c>
      <c r="E1438" s="1">
        <v>5.4481364649221704E-6</v>
      </c>
      <c r="F1438" s="1">
        <v>1.75952023202752E-4</v>
      </c>
    </row>
    <row r="1439" spans="1:6" x14ac:dyDescent="0.25">
      <c r="A1439" s="2" t="str">
        <f t="shared" si="49"/>
        <v>16980</v>
      </c>
      <c r="B1439" s="2" t="str">
        <f>"60022"</f>
        <v>60022</v>
      </c>
      <c r="C1439" s="1">
        <v>8.0508739368335795E-4</v>
      </c>
      <c r="D1439" s="1">
        <v>7.8186082877247805E-4</v>
      </c>
      <c r="E1439" s="1">
        <v>2.47890209153958E-4</v>
      </c>
      <c r="F1439" s="1">
        <v>7.6129939341562896E-4</v>
      </c>
    </row>
    <row r="1440" spans="1:6" x14ac:dyDescent="0.25">
      <c r="A1440" s="2" t="str">
        <f t="shared" si="49"/>
        <v>16980</v>
      </c>
      <c r="B1440" s="2" t="str">
        <f>"60009"</f>
        <v>60009</v>
      </c>
      <c r="C1440" s="1">
        <v>2.5190895193475001E-4</v>
      </c>
      <c r="D1440" s="1">
        <v>8.4803713716387905E-4</v>
      </c>
      <c r="E1440" s="1">
        <v>5.4481364649221704E-6</v>
      </c>
      <c r="F1440" s="1">
        <v>2.8316000013094101E-4</v>
      </c>
    </row>
    <row r="1441" spans="1:6" x14ac:dyDescent="0.25">
      <c r="A1441" s="2" t="str">
        <f t="shared" si="49"/>
        <v>16980</v>
      </c>
      <c r="B1441" s="2" t="str">
        <f>"53140"</f>
        <v>53140</v>
      </c>
      <c r="C1441" s="1">
        <v>3.2288600122987901E-3</v>
      </c>
      <c r="D1441" s="1">
        <v>2.2818571523109E-3</v>
      </c>
      <c r="E1441" s="1">
        <v>2.7158960277637E-3</v>
      </c>
      <c r="F1441" s="1">
        <v>3.1112818800514501E-3</v>
      </c>
    </row>
    <row r="1442" spans="1:6" x14ac:dyDescent="0.25">
      <c r="A1442" s="2" t="str">
        <f t="shared" si="49"/>
        <v>16980</v>
      </c>
      <c r="B1442" s="2" t="str">
        <f>"53104"</f>
        <v>53104</v>
      </c>
      <c r="C1442" s="1">
        <v>6.2928606911885599E-4</v>
      </c>
      <c r="D1442" s="1">
        <v>1.8137210448013601E-4</v>
      </c>
      <c r="E1442" s="1">
        <v>1.7434036687750899E-4</v>
      </c>
      <c r="F1442" s="1">
        <v>5.5772699447756099E-4</v>
      </c>
    </row>
    <row r="1443" spans="1:6" x14ac:dyDescent="0.25">
      <c r="A1443" s="2" t="str">
        <f t="shared" si="49"/>
        <v>16980</v>
      </c>
      <c r="B1443" s="2" t="str">
        <f>"47978"</f>
        <v>47978</v>
      </c>
      <c r="C1443" s="1">
        <v>1.19462227881798E-3</v>
      </c>
      <c r="D1443" s="1">
        <v>1.2843105776701501E-3</v>
      </c>
      <c r="E1443" s="1">
        <v>4.5764346305346198E-4</v>
      </c>
      <c r="F1443" s="1">
        <v>1.1467570814551399E-3</v>
      </c>
    </row>
    <row r="1444" spans="1:6" x14ac:dyDescent="0.25">
      <c r="A1444" s="2" t="str">
        <f t="shared" si="49"/>
        <v>16980</v>
      </c>
      <c r="B1444" s="2" t="str">
        <f>"46374"</f>
        <v>46374</v>
      </c>
      <c r="C1444" s="1">
        <v>1.4832476899633E-5</v>
      </c>
      <c r="D1444" s="1">
        <v>0</v>
      </c>
      <c r="E1444" s="1">
        <v>0</v>
      </c>
      <c r="F1444" s="1">
        <v>1.2480317924846299E-5</v>
      </c>
    </row>
    <row r="1445" spans="1:6" x14ac:dyDescent="0.25">
      <c r="A1445" s="2" t="str">
        <f t="shared" si="49"/>
        <v>16980</v>
      </c>
      <c r="B1445" s="2" t="str">
        <f>"46409"</f>
        <v>46409</v>
      </c>
      <c r="C1445" s="1">
        <v>1.2704867508292199E-3</v>
      </c>
      <c r="D1445" s="1">
        <v>8.0391959823627795E-4</v>
      </c>
      <c r="E1445" s="1">
        <v>2.8330309617595299E-4</v>
      </c>
      <c r="F1445" s="1">
        <v>1.15739604099763E-3</v>
      </c>
    </row>
    <row r="1446" spans="1:6" x14ac:dyDescent="0.25">
      <c r="A1446" s="2" t="str">
        <f t="shared" si="49"/>
        <v>16980</v>
      </c>
      <c r="B1446" s="2" t="str">
        <f>"46385"</f>
        <v>46385</v>
      </c>
      <c r="C1446" s="1">
        <v>4.1851900392866096E-3</v>
      </c>
      <c r="D1446" s="1">
        <v>1.80146617287702E-3</v>
      </c>
      <c r="E1446" s="1">
        <v>9.9428490484829591E-4</v>
      </c>
      <c r="F1446" s="1">
        <v>3.74655052196372E-3</v>
      </c>
    </row>
    <row r="1447" spans="1:6" x14ac:dyDescent="0.25">
      <c r="A1447" s="2" t="str">
        <f t="shared" si="49"/>
        <v>16980</v>
      </c>
      <c r="B1447" s="2" t="str">
        <f>"46321"</f>
        <v>46321</v>
      </c>
      <c r="C1447" s="1">
        <v>2.4223136864613701E-3</v>
      </c>
      <c r="D1447" s="1">
        <v>2.6102877198830301E-3</v>
      </c>
      <c r="E1447" s="1">
        <v>1.49278939138867E-3</v>
      </c>
      <c r="F1447" s="1">
        <v>2.3681914750835502E-3</v>
      </c>
    </row>
    <row r="1448" spans="1:6" x14ac:dyDescent="0.25">
      <c r="A1448" s="2" t="str">
        <f t="shared" si="49"/>
        <v>16980</v>
      </c>
      <c r="B1448" s="2" t="str">
        <f>"46304"</f>
        <v>46304</v>
      </c>
      <c r="C1448" s="1">
        <v>3.0267979089611701E-3</v>
      </c>
      <c r="D1448" s="1">
        <v>2.7524442342052998E-3</v>
      </c>
      <c r="E1448" s="1">
        <v>1.1195920435415E-3</v>
      </c>
      <c r="F1448" s="1">
        <v>2.8606525446754402E-3</v>
      </c>
    </row>
    <row r="1449" spans="1:6" x14ac:dyDescent="0.25">
      <c r="A1449" s="2" t="str">
        <f t="shared" si="49"/>
        <v>16980</v>
      </c>
      <c r="B1449" s="2" t="str">
        <f>"61353"</f>
        <v>61353</v>
      </c>
      <c r="C1449" s="1">
        <v>9.7262143604150806E-7</v>
      </c>
      <c r="D1449" s="1">
        <v>0</v>
      </c>
      <c r="E1449" s="1">
        <v>0</v>
      </c>
      <c r="F1449" s="1">
        <v>8.1838150326861501E-7</v>
      </c>
    </row>
    <row r="1450" spans="1:6" x14ac:dyDescent="0.25">
      <c r="A1450" s="2" t="str">
        <f t="shared" si="49"/>
        <v>16980</v>
      </c>
      <c r="B1450" s="2" t="str">
        <f>"60940"</f>
        <v>60940</v>
      </c>
      <c r="C1450" s="1">
        <v>6.8083500522905496E-6</v>
      </c>
      <c r="D1450" s="1">
        <v>2.4509743848666999E-6</v>
      </c>
      <c r="E1450" s="1">
        <v>0</v>
      </c>
      <c r="F1450" s="1">
        <v>5.9332658986974598E-6</v>
      </c>
    </row>
    <row r="1451" spans="1:6" x14ac:dyDescent="0.25">
      <c r="A1451" s="2" t="str">
        <f t="shared" si="49"/>
        <v>16980</v>
      </c>
      <c r="B1451" s="2" t="str">
        <f>"60685"</f>
        <v>60685</v>
      </c>
      <c r="C1451" s="1">
        <v>0</v>
      </c>
      <c r="D1451" s="1">
        <v>0</v>
      </c>
      <c r="E1451" s="1">
        <v>5.4481364649221704E-6</v>
      </c>
      <c r="F1451" s="1">
        <v>4.0919075163430703E-7</v>
      </c>
    </row>
    <row r="1452" spans="1:6" x14ac:dyDescent="0.25">
      <c r="A1452" s="2" t="str">
        <f t="shared" si="49"/>
        <v>16980</v>
      </c>
      <c r="B1452" s="2" t="str">
        <f>"60694"</f>
        <v>60694</v>
      </c>
      <c r="C1452" s="1">
        <v>2.4315535901037702E-7</v>
      </c>
      <c r="D1452" s="1">
        <v>0</v>
      </c>
      <c r="E1452" s="1">
        <v>2.8085143476673799E-3</v>
      </c>
      <c r="F1452" s="1">
        <v>2.1114242784330201E-4</v>
      </c>
    </row>
    <row r="1453" spans="1:6" x14ac:dyDescent="0.25">
      <c r="A1453" s="2" t="str">
        <f t="shared" si="49"/>
        <v>16980</v>
      </c>
      <c r="B1453" s="2" t="str">
        <f>"60633"</f>
        <v>60633</v>
      </c>
      <c r="C1453" s="1">
        <v>1.2663531097260399E-3</v>
      </c>
      <c r="D1453" s="1">
        <v>7.6715498246327798E-4</v>
      </c>
      <c r="E1453" s="1">
        <v>8.4718522029539702E-4</v>
      </c>
      <c r="F1453" s="1">
        <v>1.19320023176564E-3</v>
      </c>
    </row>
    <row r="1454" spans="1:6" x14ac:dyDescent="0.25">
      <c r="A1454" s="2" t="str">
        <f t="shared" ref="A1454:A1517" si="50">"16980"</f>
        <v>16980</v>
      </c>
      <c r="B1454" s="2" t="str">
        <f>"60602"</f>
        <v>60602</v>
      </c>
      <c r="C1454" s="1">
        <v>2.2345977493053599E-4</v>
      </c>
      <c r="D1454" s="1">
        <v>8.9288996840694006E-3</v>
      </c>
      <c r="E1454" s="1">
        <v>1.8006091016567699E-3</v>
      </c>
      <c r="F1454" s="1">
        <v>1.0686016478929901E-3</v>
      </c>
    </row>
    <row r="1455" spans="1:6" x14ac:dyDescent="0.25">
      <c r="A1455" s="2" t="str">
        <f t="shared" si="50"/>
        <v>16980</v>
      </c>
      <c r="B1455" s="2" t="str">
        <f>"60616"</f>
        <v>60616</v>
      </c>
      <c r="C1455" s="1">
        <v>6.5112142035798704E-3</v>
      </c>
      <c r="D1455" s="1">
        <v>5.4754767757922099E-3</v>
      </c>
      <c r="E1455" s="1">
        <v>6.9191333104511596E-3</v>
      </c>
      <c r="F1455" s="1">
        <v>6.4553932977828403E-3</v>
      </c>
    </row>
    <row r="1456" spans="1:6" x14ac:dyDescent="0.25">
      <c r="A1456" s="2" t="str">
        <f t="shared" si="50"/>
        <v>16980</v>
      </c>
      <c r="B1456" s="2" t="str">
        <f>"60614"</f>
        <v>60614</v>
      </c>
      <c r="C1456" s="1">
        <v>1.03445584383784E-2</v>
      </c>
      <c r="D1456" s="1">
        <v>6.4852782223572903E-3</v>
      </c>
      <c r="E1456" s="1">
        <v>1.3974470032525299E-2</v>
      </c>
      <c r="F1456" s="1">
        <v>1.0295034715743299E-2</v>
      </c>
    </row>
    <row r="1457" spans="1:6" x14ac:dyDescent="0.25">
      <c r="A1457" s="2" t="str">
        <f t="shared" si="50"/>
        <v>16980</v>
      </c>
      <c r="B1457" s="2" t="str">
        <f>"60613"</f>
        <v>60613</v>
      </c>
      <c r="C1457" s="1">
        <v>7.7143469199632197E-3</v>
      </c>
      <c r="D1457" s="1">
        <v>4.8823409746544697E-3</v>
      </c>
      <c r="E1457" s="1">
        <v>1.28902908760058E-2</v>
      </c>
      <c r="F1457" s="1">
        <v>7.8666922001695595E-3</v>
      </c>
    </row>
    <row r="1458" spans="1:6" x14ac:dyDescent="0.25">
      <c r="A1458" s="2" t="str">
        <f t="shared" si="50"/>
        <v>16980</v>
      </c>
      <c r="B1458" s="2" t="str">
        <f>"60598"</f>
        <v>60598</v>
      </c>
      <c r="C1458" s="1">
        <v>1.2303661165925E-4</v>
      </c>
      <c r="D1458" s="1">
        <v>4.9754780012794002E-4</v>
      </c>
      <c r="E1458" s="1">
        <v>2.7240682324610801E-6</v>
      </c>
      <c r="F1458" s="1">
        <v>1.4526271683017899E-4</v>
      </c>
    </row>
    <row r="1459" spans="1:6" x14ac:dyDescent="0.25">
      <c r="A1459" s="2" t="str">
        <f t="shared" si="50"/>
        <v>16980</v>
      </c>
      <c r="B1459" s="2" t="str">
        <f>"60585"</f>
        <v>60585</v>
      </c>
      <c r="C1459" s="1">
        <v>2.0152716154780001E-3</v>
      </c>
      <c r="D1459" s="1">
        <v>2.34558248631743E-3</v>
      </c>
      <c r="E1459" s="1">
        <v>6.9463739927757705E-4</v>
      </c>
      <c r="F1459" s="1">
        <v>1.9436560702629599E-3</v>
      </c>
    </row>
    <row r="1460" spans="1:6" x14ac:dyDescent="0.25">
      <c r="A1460" s="2" t="str">
        <f t="shared" si="50"/>
        <v>16980</v>
      </c>
      <c r="B1460" s="2" t="str">
        <f>"60565"</f>
        <v>60565</v>
      </c>
      <c r="C1460" s="1">
        <v>3.5245369288554101E-3</v>
      </c>
      <c r="D1460" s="1">
        <v>6.7646893022321004E-4</v>
      </c>
      <c r="E1460" s="1">
        <v>1.7542999417049299E-3</v>
      </c>
      <c r="F1460" s="1">
        <v>3.1538377182214199E-3</v>
      </c>
    </row>
    <row r="1461" spans="1:6" x14ac:dyDescent="0.25">
      <c r="A1461" s="2" t="str">
        <f t="shared" si="50"/>
        <v>16980</v>
      </c>
      <c r="B1461" s="2" t="str">
        <f>"60517"</f>
        <v>60517</v>
      </c>
      <c r="C1461" s="1">
        <v>3.5751132435295702E-3</v>
      </c>
      <c r="D1461" s="1">
        <v>2.75734618297504E-3</v>
      </c>
      <c r="E1461" s="1">
        <v>3.9553470735334897E-3</v>
      </c>
      <c r="F1461" s="1">
        <v>3.5354080941204101E-3</v>
      </c>
    </row>
    <row r="1462" spans="1:6" x14ac:dyDescent="0.25">
      <c r="A1462" s="2" t="str">
        <f t="shared" si="50"/>
        <v>16980</v>
      </c>
      <c r="B1462" s="2" t="str">
        <f>"60515"</f>
        <v>60515</v>
      </c>
      <c r="C1462" s="1">
        <v>3.3008339985658602E-3</v>
      </c>
      <c r="D1462" s="1">
        <v>6.9950808944095697E-3</v>
      </c>
      <c r="E1462" s="1">
        <v>2.63689804902233E-3</v>
      </c>
      <c r="F1462" s="1">
        <v>3.5593457530910199E-3</v>
      </c>
    </row>
    <row r="1463" spans="1:6" x14ac:dyDescent="0.25">
      <c r="A1463" s="2" t="str">
        <f t="shared" si="50"/>
        <v>16980</v>
      </c>
      <c r="B1463" s="2" t="str">
        <f>"60510"</f>
        <v>60510</v>
      </c>
      <c r="C1463" s="1">
        <v>3.0178011606777902E-3</v>
      </c>
      <c r="D1463" s="1">
        <v>3.90195122070779E-3</v>
      </c>
      <c r="E1463" s="1">
        <v>1.04331813303259E-3</v>
      </c>
      <c r="F1463" s="1">
        <v>2.94330907650557E-3</v>
      </c>
    </row>
    <row r="1464" spans="1:6" x14ac:dyDescent="0.25">
      <c r="A1464" s="2" t="str">
        <f t="shared" si="50"/>
        <v>16980</v>
      </c>
      <c r="B1464" s="2" t="str">
        <f>"60559"</f>
        <v>60559</v>
      </c>
      <c r="C1464" s="1">
        <v>2.9173779974064999E-3</v>
      </c>
      <c r="D1464" s="1">
        <v>4.2548915321285897E-3</v>
      </c>
      <c r="E1464" s="1">
        <v>3.6175626127083198E-3</v>
      </c>
      <c r="F1464" s="1">
        <v>3.0816155505579701E-3</v>
      </c>
    </row>
    <row r="1465" spans="1:6" x14ac:dyDescent="0.25">
      <c r="A1465" s="2" t="str">
        <f t="shared" si="50"/>
        <v>16980</v>
      </c>
      <c r="B1465" s="2" t="str">
        <f>"60545"</f>
        <v>60545</v>
      </c>
      <c r="C1465" s="1">
        <v>1.26489417757198E-3</v>
      </c>
      <c r="D1465" s="1">
        <v>9.1666441994014698E-4</v>
      </c>
      <c r="E1465" s="1">
        <v>3.0509564203564098E-4</v>
      </c>
      <c r="F1465" s="1">
        <v>1.16373849764797E-3</v>
      </c>
    </row>
    <row r="1466" spans="1:6" x14ac:dyDescent="0.25">
      <c r="A1466" s="2" t="str">
        <f t="shared" si="50"/>
        <v>16980</v>
      </c>
      <c r="B1466" s="2" t="str">
        <f>"60523"</f>
        <v>60523</v>
      </c>
      <c r="C1466" s="1">
        <v>1.44142496821351E-3</v>
      </c>
      <c r="D1466" s="1">
        <v>5.0146935914372696E-3</v>
      </c>
      <c r="E1466" s="1">
        <v>7.9270385564617605E-4</v>
      </c>
      <c r="F1466" s="1">
        <v>1.6909807811287701E-3</v>
      </c>
    </row>
    <row r="1467" spans="1:6" x14ac:dyDescent="0.25">
      <c r="A1467" s="2" t="str">
        <f t="shared" si="50"/>
        <v>16980</v>
      </c>
      <c r="B1467" s="2" t="str">
        <f>"60446"</f>
        <v>60446</v>
      </c>
      <c r="C1467" s="1">
        <v>3.59407936153238E-3</v>
      </c>
      <c r="D1467" s="1">
        <v>3.2156783929451101E-3</v>
      </c>
      <c r="E1467" s="1">
        <v>1.09235136121689E-3</v>
      </c>
      <c r="F1467" s="1">
        <v>3.3745961287281298E-3</v>
      </c>
    </row>
    <row r="1468" spans="1:6" x14ac:dyDescent="0.25">
      <c r="A1468" s="2" t="str">
        <f t="shared" si="50"/>
        <v>16980</v>
      </c>
      <c r="B1468" s="2" t="str">
        <f>"60441"</f>
        <v>60441</v>
      </c>
      <c r="C1468" s="1">
        <v>3.4858752267727601E-3</v>
      </c>
      <c r="D1468" s="1">
        <v>2.6568562331955002E-3</v>
      </c>
      <c r="E1468" s="1">
        <v>1.41923954911222E-3</v>
      </c>
      <c r="F1468" s="1">
        <v>3.2614548859012499E-3</v>
      </c>
    </row>
    <row r="1469" spans="1:6" x14ac:dyDescent="0.25">
      <c r="A1469" s="2" t="str">
        <f t="shared" si="50"/>
        <v>16980</v>
      </c>
      <c r="B1469" s="2" t="str">
        <f>"60474"</f>
        <v>60474</v>
      </c>
      <c r="C1469" s="1">
        <v>8.3402288140559303E-5</v>
      </c>
      <c r="D1469" s="1">
        <v>2.4509743848666999E-6</v>
      </c>
      <c r="E1469" s="1">
        <v>1.36203411623054E-5</v>
      </c>
      <c r="F1469" s="1">
        <v>7.1403786160186694E-5</v>
      </c>
    </row>
    <row r="1470" spans="1:6" x14ac:dyDescent="0.25">
      <c r="A1470" s="2" t="str">
        <f t="shared" si="50"/>
        <v>16980</v>
      </c>
      <c r="B1470" s="2" t="str">
        <f>"60473"</f>
        <v>60473</v>
      </c>
      <c r="C1470" s="1">
        <v>2.13636298426517E-3</v>
      </c>
      <c r="D1470" s="1">
        <v>3.3725407535765799E-3</v>
      </c>
      <c r="E1470" s="1">
        <v>7.1098180867234303E-4</v>
      </c>
      <c r="F1470" s="1">
        <v>2.13249760214219E-3</v>
      </c>
    </row>
    <row r="1471" spans="1:6" x14ac:dyDescent="0.25">
      <c r="A1471" s="2" t="str">
        <f t="shared" si="50"/>
        <v>16980</v>
      </c>
      <c r="B1471" s="2" t="str">
        <f>"60471"</f>
        <v>60471</v>
      </c>
      <c r="C1471" s="1">
        <v>1.51583050807069E-3</v>
      </c>
      <c r="D1471" s="1">
        <v>8.2597836770007904E-4</v>
      </c>
      <c r="E1471" s="1">
        <v>1.5990280524546499E-3</v>
      </c>
      <c r="F1471" s="1">
        <v>1.4644937000991801E-3</v>
      </c>
    </row>
    <row r="1472" spans="1:6" x14ac:dyDescent="0.25">
      <c r="A1472" s="2" t="str">
        <f t="shared" si="50"/>
        <v>16980</v>
      </c>
      <c r="B1472" s="2" t="str">
        <f>"60455"</f>
        <v>60455</v>
      </c>
      <c r="C1472" s="1">
        <v>1.7144884363821599E-3</v>
      </c>
      <c r="D1472" s="1">
        <v>3.2058744954056402E-3</v>
      </c>
      <c r="E1472" s="1">
        <v>1.6807500994284899E-3</v>
      </c>
      <c r="F1472" s="1">
        <v>1.8364480933347701E-3</v>
      </c>
    </row>
    <row r="1473" spans="1:6" x14ac:dyDescent="0.25">
      <c r="A1473" s="2" t="str">
        <f t="shared" si="50"/>
        <v>16980</v>
      </c>
      <c r="B1473" s="2" t="str">
        <f>"60463"</f>
        <v>60463</v>
      </c>
      <c r="C1473" s="1">
        <v>1.5537627440762999E-3</v>
      </c>
      <c r="D1473" s="1">
        <v>2.2769552035411598E-3</v>
      </c>
      <c r="E1473" s="1">
        <v>1.28031206925671E-3</v>
      </c>
      <c r="F1473" s="1">
        <v>1.59359338223981E-3</v>
      </c>
    </row>
    <row r="1474" spans="1:6" x14ac:dyDescent="0.25">
      <c r="A1474" s="2" t="str">
        <f t="shared" si="50"/>
        <v>16980</v>
      </c>
      <c r="B1474" s="2" t="str">
        <f>"60466"</f>
        <v>60466</v>
      </c>
      <c r="C1474" s="1">
        <v>2.58182360197218E-3</v>
      </c>
      <c r="D1474" s="1">
        <v>1.43627098953188E-3</v>
      </c>
      <c r="E1474" s="1">
        <v>1.7706443510997E-4</v>
      </c>
      <c r="F1474" s="1">
        <v>2.3055852900834999E-3</v>
      </c>
    </row>
    <row r="1475" spans="1:6" x14ac:dyDescent="0.25">
      <c r="A1475" s="2" t="str">
        <f t="shared" si="50"/>
        <v>16980</v>
      </c>
      <c r="B1475" s="2" t="str">
        <f>"60434"</f>
        <v>60434</v>
      </c>
      <c r="C1475" s="1">
        <v>5.6217519003199095E-4</v>
      </c>
      <c r="D1475" s="1">
        <v>1.12009529388408E-3</v>
      </c>
      <c r="E1475" s="1">
        <v>1.08962729298443E-5</v>
      </c>
      <c r="F1475" s="1">
        <v>5.6734297714096697E-4</v>
      </c>
    </row>
    <row r="1476" spans="1:6" x14ac:dyDescent="0.25">
      <c r="A1476" s="2" t="str">
        <f t="shared" si="50"/>
        <v>16980</v>
      </c>
      <c r="B1476" s="2" t="str">
        <f>"60438"</f>
        <v>60438</v>
      </c>
      <c r="C1476" s="1">
        <v>3.2176748657843199E-3</v>
      </c>
      <c r="D1476" s="1">
        <v>3.1813647515569802E-3</v>
      </c>
      <c r="E1476" s="1">
        <v>3.2361930601637699E-3</v>
      </c>
      <c r="F1476" s="1">
        <v>3.2160347124698401E-3</v>
      </c>
    </row>
    <row r="1477" spans="1:6" x14ac:dyDescent="0.25">
      <c r="A1477" s="2" t="str">
        <f t="shared" si="50"/>
        <v>16980</v>
      </c>
      <c r="B1477" s="2" t="str">
        <f>"60452"</f>
        <v>60452</v>
      </c>
      <c r="C1477" s="1">
        <v>2.77051216056423E-3</v>
      </c>
      <c r="D1477" s="1">
        <v>2.0857792015215601E-3</v>
      </c>
      <c r="E1477" s="1">
        <v>2.60693329846525E-3</v>
      </c>
      <c r="F1477" s="1">
        <v>2.7010681515380599E-3</v>
      </c>
    </row>
    <row r="1478" spans="1:6" x14ac:dyDescent="0.25">
      <c r="A1478" s="2" t="str">
        <f t="shared" si="50"/>
        <v>16980</v>
      </c>
      <c r="B1478" s="2" t="str">
        <f>"60429"</f>
        <v>60429</v>
      </c>
      <c r="C1478" s="1">
        <v>1.6075000784176001E-3</v>
      </c>
      <c r="D1478" s="1">
        <v>1.67646647924882E-3</v>
      </c>
      <c r="E1478" s="1">
        <v>8.3084081090063105E-4</v>
      </c>
      <c r="F1478" s="1">
        <v>1.5549248562103601E-3</v>
      </c>
    </row>
    <row r="1479" spans="1:6" x14ac:dyDescent="0.25">
      <c r="A1479" s="2" t="str">
        <f t="shared" si="50"/>
        <v>16980</v>
      </c>
      <c r="B1479" s="2" t="str">
        <f>"60431"</f>
        <v>60431</v>
      </c>
      <c r="C1479" s="1">
        <v>2.5677205911495801E-3</v>
      </c>
      <c r="D1479" s="1">
        <v>1.41176124568322E-3</v>
      </c>
      <c r="E1479" s="1">
        <v>3.1871598319794701E-4</v>
      </c>
      <c r="F1479" s="1">
        <v>2.3023117640704298E-3</v>
      </c>
    </row>
    <row r="1480" spans="1:6" x14ac:dyDescent="0.25">
      <c r="A1480" s="2" t="str">
        <f t="shared" si="50"/>
        <v>16980</v>
      </c>
      <c r="B1480" s="2" t="str">
        <f>"60303"</f>
        <v>60303</v>
      </c>
      <c r="C1480" s="1">
        <v>2.9713584871067999E-4</v>
      </c>
      <c r="D1480" s="1">
        <v>8.7744882978227899E-4</v>
      </c>
      <c r="E1480" s="1">
        <v>5.4481364649221704E-6</v>
      </c>
      <c r="F1480" s="1">
        <v>3.2366988454273702E-4</v>
      </c>
    </row>
    <row r="1481" spans="1:6" x14ac:dyDescent="0.25">
      <c r="A1481" s="2" t="str">
        <f t="shared" si="50"/>
        <v>16980</v>
      </c>
      <c r="B1481" s="2" t="str">
        <f>"60175"</f>
        <v>60175</v>
      </c>
      <c r="C1481" s="1">
        <v>2.1421987128814198E-3</v>
      </c>
      <c r="D1481" s="1">
        <v>9.50978061328281E-4</v>
      </c>
      <c r="E1481" s="1">
        <v>2.58786482083803E-4</v>
      </c>
      <c r="F1481" s="1">
        <v>1.90130482746881E-3</v>
      </c>
    </row>
    <row r="1482" spans="1:6" x14ac:dyDescent="0.25">
      <c r="A1482" s="2" t="str">
        <f t="shared" si="50"/>
        <v>16980</v>
      </c>
      <c r="B1482" s="2" t="str">
        <f>"60119"</f>
        <v>60119</v>
      </c>
      <c r="C1482" s="1">
        <v>1.0416775580004501E-3</v>
      </c>
      <c r="D1482" s="1">
        <v>8.2597836770007904E-4</v>
      </c>
      <c r="E1482" s="1">
        <v>4.2767871249638998E-4</v>
      </c>
      <c r="F1482" s="1">
        <v>9.7755670565436098E-4</v>
      </c>
    </row>
    <row r="1483" spans="1:6" x14ac:dyDescent="0.25">
      <c r="A1483" s="2" t="str">
        <f t="shared" si="50"/>
        <v>16980</v>
      </c>
      <c r="B1483" s="2" t="str">
        <f>"60115"</f>
        <v>60115</v>
      </c>
      <c r="C1483" s="1">
        <v>4.7070014397228802E-3</v>
      </c>
      <c r="D1483" s="1">
        <v>4.1715584030431203E-3</v>
      </c>
      <c r="E1483" s="1">
        <v>5.4699290107818599E-3</v>
      </c>
      <c r="F1483" s="1">
        <v>4.7196061293501004E-3</v>
      </c>
    </row>
    <row r="1484" spans="1:6" x14ac:dyDescent="0.25">
      <c r="A1484" s="2" t="str">
        <f t="shared" si="50"/>
        <v>16980</v>
      </c>
      <c r="B1484" s="2" t="str">
        <f>"60164"</f>
        <v>60164</v>
      </c>
      <c r="C1484" s="1">
        <v>2.0814098731288199E-3</v>
      </c>
      <c r="D1484" s="1">
        <v>1.2794086289004099E-3</v>
      </c>
      <c r="E1484" s="1">
        <v>1.11414390707658E-3</v>
      </c>
      <c r="F1484" s="1">
        <v>1.9418147118806001E-3</v>
      </c>
    </row>
    <row r="1485" spans="1:6" x14ac:dyDescent="0.25">
      <c r="A1485" s="2" t="str">
        <f t="shared" si="50"/>
        <v>16980</v>
      </c>
      <c r="B1485" s="2" t="str">
        <f>"60155"</f>
        <v>60155</v>
      </c>
      <c r="C1485" s="1">
        <v>9.4709012334541801E-4</v>
      </c>
      <c r="D1485" s="1">
        <v>1.4019573481437501E-3</v>
      </c>
      <c r="E1485" s="1">
        <v>1.41106734441484E-3</v>
      </c>
      <c r="F1485" s="1">
        <v>1.0199079484485101E-3</v>
      </c>
    </row>
    <row r="1486" spans="1:6" x14ac:dyDescent="0.25">
      <c r="A1486" s="2" t="str">
        <f t="shared" si="50"/>
        <v>16980</v>
      </c>
      <c r="B1486" s="2" t="str">
        <f>"60137"</f>
        <v>60137</v>
      </c>
      <c r="C1486" s="1">
        <v>3.8221590882841099E-3</v>
      </c>
      <c r="D1486" s="1">
        <v>3.3039134708003101E-3</v>
      </c>
      <c r="E1486" s="1">
        <v>2.60148516200033E-3</v>
      </c>
      <c r="F1486" s="1">
        <v>3.68721786297674E-3</v>
      </c>
    </row>
    <row r="1487" spans="1:6" x14ac:dyDescent="0.25">
      <c r="A1487" s="2" t="str">
        <f t="shared" si="50"/>
        <v>16980</v>
      </c>
      <c r="B1487" s="2" t="str">
        <f>"60144"</f>
        <v>60144</v>
      </c>
      <c r="C1487" s="1">
        <v>0</v>
      </c>
      <c r="D1487" s="1">
        <v>0</v>
      </c>
      <c r="E1487" s="1">
        <v>2.7240682324610801E-6</v>
      </c>
      <c r="F1487" s="1">
        <v>2.0459537581715301E-7</v>
      </c>
    </row>
    <row r="1488" spans="1:6" x14ac:dyDescent="0.25">
      <c r="A1488" s="2" t="str">
        <f t="shared" si="50"/>
        <v>16980</v>
      </c>
      <c r="B1488" s="2" t="str">
        <f>"60097"</f>
        <v>60097</v>
      </c>
      <c r="C1488" s="1">
        <v>1.42416093772377E-3</v>
      </c>
      <c r="D1488" s="1">
        <v>4.3382246612140601E-4</v>
      </c>
      <c r="E1488" s="1">
        <v>9.2618319903676899E-5</v>
      </c>
      <c r="F1488" s="1">
        <v>1.24148474045849E-3</v>
      </c>
    </row>
    <row r="1489" spans="1:6" x14ac:dyDescent="0.25">
      <c r="A1489" s="2" t="str">
        <f t="shared" si="50"/>
        <v>16980</v>
      </c>
      <c r="B1489" s="2" t="str">
        <f>"60093"</f>
        <v>60093</v>
      </c>
      <c r="C1489" s="1">
        <v>1.9710173401381102E-3</v>
      </c>
      <c r="D1489" s="1">
        <v>3.5343050629777798E-3</v>
      </c>
      <c r="E1489" s="1">
        <v>1.14955679409857E-3</v>
      </c>
      <c r="F1489" s="1">
        <v>2.0398158968970201E-3</v>
      </c>
    </row>
    <row r="1490" spans="1:6" x14ac:dyDescent="0.25">
      <c r="A1490" s="2" t="str">
        <f t="shared" si="50"/>
        <v>16980</v>
      </c>
      <c r="B1490" s="2" t="str">
        <f>"60051"</f>
        <v>60051</v>
      </c>
      <c r="C1490" s="1">
        <v>3.0761584468402799E-3</v>
      </c>
      <c r="D1490" s="1">
        <v>2.9460712106097698E-3</v>
      </c>
      <c r="E1490" s="1">
        <v>7.6546317332156497E-4</v>
      </c>
      <c r="F1490" s="1">
        <v>2.8917510417996498E-3</v>
      </c>
    </row>
    <row r="1491" spans="1:6" x14ac:dyDescent="0.25">
      <c r="A1491" s="2" t="str">
        <f t="shared" si="50"/>
        <v>16980</v>
      </c>
      <c r="B1491" s="2" t="str">
        <f>"60089"</f>
        <v>60089</v>
      </c>
      <c r="C1491" s="1">
        <v>4.3695018014164701E-3</v>
      </c>
      <c r="D1491" s="1">
        <v>4.2646954296680596E-3</v>
      </c>
      <c r="E1491" s="1">
        <v>1.9368125132798301E-3</v>
      </c>
      <c r="F1491" s="1">
        <v>4.1780421695621003E-3</v>
      </c>
    </row>
    <row r="1492" spans="1:6" x14ac:dyDescent="0.25">
      <c r="A1492" s="2" t="str">
        <f t="shared" si="50"/>
        <v>16980</v>
      </c>
      <c r="B1492" s="2" t="str">
        <f>"60088"</f>
        <v>60088</v>
      </c>
      <c r="C1492" s="1">
        <v>6.4582063353156105E-4</v>
      </c>
      <c r="D1492" s="1">
        <v>8.4803713716387905E-4</v>
      </c>
      <c r="E1492" s="1">
        <v>2.0484993108107301E-3</v>
      </c>
      <c r="F1492" s="1">
        <v>7.6805104081759503E-4</v>
      </c>
    </row>
    <row r="1493" spans="1:6" x14ac:dyDescent="0.25">
      <c r="A1493" s="2" t="str">
        <f t="shared" si="50"/>
        <v>16980</v>
      </c>
      <c r="B1493" s="2" t="str">
        <f>"60073"</f>
        <v>60073</v>
      </c>
      <c r="C1493" s="1">
        <v>5.30151629250325E-3</v>
      </c>
      <c r="D1493" s="1">
        <v>2.5735231041100299E-3</v>
      </c>
      <c r="E1493" s="1">
        <v>1.3783785256253E-3</v>
      </c>
      <c r="F1493" s="1">
        <v>4.77914338371289E-3</v>
      </c>
    </row>
    <row r="1494" spans="1:6" x14ac:dyDescent="0.25">
      <c r="A1494" s="2" t="str">
        <f t="shared" si="50"/>
        <v>16980</v>
      </c>
      <c r="B1494" s="2" t="str">
        <f>"60068"</f>
        <v>60068</v>
      </c>
      <c r="C1494" s="1">
        <v>3.9041024442706099E-3</v>
      </c>
      <c r="D1494" s="1">
        <v>4.4828321499212004E-3</v>
      </c>
      <c r="E1494" s="1">
        <v>3.3042947659752899E-3</v>
      </c>
      <c r="F1494" s="1">
        <v>3.9073624873560003E-3</v>
      </c>
    </row>
    <row r="1495" spans="1:6" x14ac:dyDescent="0.25">
      <c r="A1495" s="2" t="str">
        <f t="shared" si="50"/>
        <v>16980</v>
      </c>
      <c r="B1495" s="2" t="str">
        <f>"60008"</f>
        <v>60008</v>
      </c>
      <c r="C1495" s="1">
        <v>2.2209810492007801E-3</v>
      </c>
      <c r="D1495" s="1">
        <v>3.3014624964154398E-3</v>
      </c>
      <c r="E1495" s="1">
        <v>1.5799595748274299E-3</v>
      </c>
      <c r="F1495" s="1">
        <v>2.2630294519135302E-3</v>
      </c>
    </row>
    <row r="1496" spans="1:6" x14ac:dyDescent="0.25">
      <c r="A1496" s="2" t="str">
        <f t="shared" si="50"/>
        <v>16980</v>
      </c>
      <c r="B1496" s="2" t="str">
        <f>"60013"</f>
        <v>60013</v>
      </c>
      <c r="C1496" s="1">
        <v>2.5426755891715101E-3</v>
      </c>
      <c r="D1496" s="1">
        <v>2.1323477148340298E-3</v>
      </c>
      <c r="E1496" s="1">
        <v>6.0474314760636098E-4</v>
      </c>
      <c r="F1496" s="1">
        <v>2.3628719953123099E-3</v>
      </c>
    </row>
    <row r="1497" spans="1:6" x14ac:dyDescent="0.25">
      <c r="A1497" s="2" t="str">
        <f t="shared" si="50"/>
        <v>16980</v>
      </c>
      <c r="B1497" s="2" t="str">
        <f>"60012"</f>
        <v>60012</v>
      </c>
      <c r="C1497" s="1">
        <v>9.8550867006905792E-4</v>
      </c>
      <c r="D1497" s="1">
        <v>6.5931210952914303E-4</v>
      </c>
      <c r="E1497" s="1">
        <v>2.20649526829348E-4</v>
      </c>
      <c r="F1497" s="1">
        <v>9.0083343972292796E-4</v>
      </c>
    </row>
    <row r="1498" spans="1:6" x14ac:dyDescent="0.25">
      <c r="A1498" s="2" t="str">
        <f t="shared" si="50"/>
        <v>16980</v>
      </c>
      <c r="B1498" s="2" t="str">
        <f>"53159"</f>
        <v>53159</v>
      </c>
      <c r="C1498" s="1">
        <v>0</v>
      </c>
      <c r="D1498" s="1">
        <v>0</v>
      </c>
      <c r="E1498" s="1">
        <v>5.4481364649221704E-6</v>
      </c>
      <c r="F1498" s="1">
        <v>4.0919075163430703E-7</v>
      </c>
    </row>
    <row r="1499" spans="1:6" x14ac:dyDescent="0.25">
      <c r="A1499" s="2" t="str">
        <f t="shared" si="50"/>
        <v>16980</v>
      </c>
      <c r="B1499" s="2" t="str">
        <f>"53152"</f>
        <v>53152</v>
      </c>
      <c r="C1499" s="1">
        <v>0</v>
      </c>
      <c r="D1499" s="1">
        <v>0</v>
      </c>
      <c r="E1499" s="1">
        <v>2.7240682324610801E-6</v>
      </c>
      <c r="F1499" s="1">
        <v>2.0459537581715301E-7</v>
      </c>
    </row>
    <row r="1500" spans="1:6" x14ac:dyDescent="0.25">
      <c r="A1500" s="2" t="str">
        <f t="shared" si="50"/>
        <v>16980</v>
      </c>
      <c r="B1500" s="2" t="str">
        <f>"46375"</f>
        <v>46375</v>
      </c>
      <c r="C1500" s="1">
        <v>2.7036444368363798E-3</v>
      </c>
      <c r="D1500" s="1">
        <v>3.1642079308629098E-3</v>
      </c>
      <c r="E1500" s="1">
        <v>1.364758184463E-3</v>
      </c>
      <c r="F1500" s="1">
        <v>2.6415308971752698E-3</v>
      </c>
    </row>
    <row r="1501" spans="1:6" x14ac:dyDescent="0.25">
      <c r="A1501" s="2" t="str">
        <f t="shared" si="50"/>
        <v>16980</v>
      </c>
      <c r="B1501" s="2" t="str">
        <f>"46327"</f>
        <v>46327</v>
      </c>
      <c r="C1501" s="1">
        <v>1.08544552262232E-3</v>
      </c>
      <c r="D1501" s="1">
        <v>7.6960595684814404E-4</v>
      </c>
      <c r="E1501" s="1">
        <v>7.13705876904804E-4</v>
      </c>
      <c r="F1501" s="1">
        <v>1.0311606941184499E-3</v>
      </c>
    </row>
    <row r="1502" spans="1:6" x14ac:dyDescent="0.25">
      <c r="A1502" s="2" t="str">
        <f t="shared" si="50"/>
        <v>16980</v>
      </c>
      <c r="B1502" s="2" t="str">
        <f>"46403"</f>
        <v>46403</v>
      </c>
      <c r="C1502" s="1">
        <v>1.76044479923513E-3</v>
      </c>
      <c r="D1502" s="1">
        <v>9.5342903571314695E-4</v>
      </c>
      <c r="E1502" s="1">
        <v>9.2618319903676897E-4</v>
      </c>
      <c r="F1502" s="1">
        <v>1.63042054988689E-3</v>
      </c>
    </row>
    <row r="1503" spans="1:6" x14ac:dyDescent="0.25">
      <c r="A1503" s="2" t="str">
        <f t="shared" si="50"/>
        <v>16980</v>
      </c>
      <c r="B1503" s="2" t="str">
        <f>"46394"</f>
        <v>46394</v>
      </c>
      <c r="C1503" s="1">
        <v>1.30015170462848E-3</v>
      </c>
      <c r="D1503" s="1">
        <v>8.0146862385141199E-4</v>
      </c>
      <c r="E1503" s="1">
        <v>1.32662122920854E-3</v>
      </c>
      <c r="F1503" s="1">
        <v>1.26051211040948E-3</v>
      </c>
    </row>
    <row r="1504" spans="1:6" x14ac:dyDescent="0.25">
      <c r="A1504" s="2" t="str">
        <f t="shared" si="50"/>
        <v>16980</v>
      </c>
      <c r="B1504" s="2" t="str">
        <f>"46311"</f>
        <v>46311</v>
      </c>
      <c r="C1504" s="1">
        <v>2.26912581028483E-3</v>
      </c>
      <c r="D1504" s="1">
        <v>1.5294080161568199E-3</v>
      </c>
      <c r="E1504" s="1">
        <v>3.0237157380318E-4</v>
      </c>
      <c r="F1504" s="1">
        <v>2.0596616483512802E-3</v>
      </c>
    </row>
    <row r="1505" spans="1:6" x14ac:dyDescent="0.25">
      <c r="A1505" s="2" t="str">
        <f t="shared" si="50"/>
        <v>16980</v>
      </c>
      <c r="B1505" s="2" t="str">
        <f>"46301"</f>
        <v>46301</v>
      </c>
      <c r="C1505" s="1">
        <v>8.7535929243735705E-5</v>
      </c>
      <c r="D1505" s="1">
        <v>0</v>
      </c>
      <c r="E1505" s="1">
        <v>2.7240682324610801E-6</v>
      </c>
      <c r="F1505" s="1">
        <v>7.3858930669992498E-5</v>
      </c>
    </row>
    <row r="1506" spans="1:6" x14ac:dyDescent="0.25">
      <c r="A1506" s="2" t="str">
        <f t="shared" si="50"/>
        <v>16980</v>
      </c>
      <c r="B1506" s="2" t="str">
        <f>"46307"</f>
        <v>46307</v>
      </c>
      <c r="C1506" s="1">
        <v>6.6680494101415697E-3</v>
      </c>
      <c r="D1506" s="1">
        <v>4.37008732821733E-3</v>
      </c>
      <c r="E1506" s="1">
        <v>2.65596652664955E-3</v>
      </c>
      <c r="F1506" s="1">
        <v>6.1748930375375198E-3</v>
      </c>
    </row>
    <row r="1507" spans="1:6" x14ac:dyDescent="0.25">
      <c r="A1507" s="2" t="str">
        <f t="shared" si="50"/>
        <v>16980</v>
      </c>
      <c r="B1507" s="2" t="str">
        <f>"61360"</f>
        <v>61360</v>
      </c>
      <c r="C1507" s="1">
        <v>1.5805098335674498E-5</v>
      </c>
      <c r="D1507" s="1">
        <v>0</v>
      </c>
      <c r="E1507" s="1">
        <v>0</v>
      </c>
      <c r="F1507" s="1">
        <v>1.3298699428114999E-5</v>
      </c>
    </row>
    <row r="1508" spans="1:6" x14ac:dyDescent="0.25">
      <c r="A1508" s="2" t="str">
        <f t="shared" si="50"/>
        <v>16980</v>
      </c>
      <c r="B1508" s="2" t="str">
        <f>"60655"</f>
        <v>60655</v>
      </c>
      <c r="C1508" s="1">
        <v>2.7240694869932499E-3</v>
      </c>
      <c r="D1508" s="1">
        <v>1.00489949779534E-3</v>
      </c>
      <c r="E1508" s="1">
        <v>7.7635944625140899E-4</v>
      </c>
      <c r="F1508" s="1">
        <v>2.4342757814724901E-3</v>
      </c>
    </row>
    <row r="1509" spans="1:6" x14ac:dyDescent="0.25">
      <c r="A1509" s="2" t="str">
        <f t="shared" si="50"/>
        <v>16980</v>
      </c>
      <c r="B1509" s="2" t="str">
        <f>"60657"</f>
        <v>60657</v>
      </c>
      <c r="C1509" s="1">
        <v>1.10105609667078E-2</v>
      </c>
      <c r="D1509" s="1">
        <v>7.0048847919490301E-3</v>
      </c>
      <c r="E1509" s="1">
        <v>1.6273583620722499E-2</v>
      </c>
      <c r="F1509" s="1">
        <v>1.10714741669694E-2</v>
      </c>
    </row>
    <row r="1510" spans="1:6" x14ac:dyDescent="0.25">
      <c r="A1510" s="2" t="str">
        <f t="shared" si="50"/>
        <v>16980</v>
      </c>
      <c r="B1510" s="2" t="str">
        <f>"60961"</f>
        <v>60961</v>
      </c>
      <c r="C1510" s="1">
        <v>2.67470894911414E-6</v>
      </c>
      <c r="D1510" s="1">
        <v>0</v>
      </c>
      <c r="E1510" s="1">
        <v>0</v>
      </c>
      <c r="F1510" s="1">
        <v>2.25054913398869E-6</v>
      </c>
    </row>
    <row r="1511" spans="1:6" x14ac:dyDescent="0.25">
      <c r="A1511" s="2" t="str">
        <f t="shared" si="50"/>
        <v>16980</v>
      </c>
      <c r="B1511" s="2" t="str">
        <f>"60803"</f>
        <v>60803</v>
      </c>
      <c r="C1511" s="1">
        <v>2.3267536303702898E-3</v>
      </c>
      <c r="D1511" s="1">
        <v>2.6936208489685E-3</v>
      </c>
      <c r="E1511" s="1">
        <v>3.3124669706726798E-3</v>
      </c>
      <c r="F1511" s="1">
        <v>2.43141144621105E-3</v>
      </c>
    </row>
    <row r="1512" spans="1:6" x14ac:dyDescent="0.25">
      <c r="A1512" s="2" t="str">
        <f t="shared" si="50"/>
        <v>16980</v>
      </c>
      <c r="B1512" s="2" t="str">
        <f>"60706"</f>
        <v>60706</v>
      </c>
      <c r="C1512" s="1">
        <v>2.38438145045575E-3</v>
      </c>
      <c r="D1512" s="1">
        <v>1.89460319950196E-3</v>
      </c>
      <c r="E1512" s="1">
        <v>2.52793531972388E-3</v>
      </c>
      <c r="F1512" s="1">
        <v>2.3542789895279899E-3</v>
      </c>
    </row>
    <row r="1513" spans="1:6" x14ac:dyDescent="0.25">
      <c r="A1513" s="2" t="str">
        <f t="shared" si="50"/>
        <v>16980</v>
      </c>
      <c r="B1513" s="2" t="str">
        <f>"60697"</f>
        <v>60697</v>
      </c>
      <c r="C1513" s="1">
        <v>0</v>
      </c>
      <c r="D1513" s="1">
        <v>0</v>
      </c>
      <c r="E1513" s="1">
        <v>2.7240682324610801E-6</v>
      </c>
      <c r="F1513" s="1">
        <v>2.0459537581715301E-7</v>
      </c>
    </row>
    <row r="1514" spans="1:6" x14ac:dyDescent="0.25">
      <c r="A1514" s="2" t="str">
        <f t="shared" si="50"/>
        <v>16980</v>
      </c>
      <c r="B1514" s="2" t="str">
        <f>"60647"</f>
        <v>60647</v>
      </c>
      <c r="C1514" s="1">
        <v>9.0373552283386799E-3</v>
      </c>
      <c r="D1514" s="1">
        <v>7.1004727929588401E-3</v>
      </c>
      <c r="E1514" s="1">
        <v>2.2081297092329501E-2</v>
      </c>
      <c r="F1514" s="1">
        <v>9.8553592531122995E-3</v>
      </c>
    </row>
    <row r="1515" spans="1:6" x14ac:dyDescent="0.25">
      <c r="A1515" s="2" t="str">
        <f t="shared" si="50"/>
        <v>16980</v>
      </c>
      <c r="B1515" s="2" t="str">
        <f>"60625"</f>
        <v>60625</v>
      </c>
      <c r="C1515" s="1">
        <v>8.0034586418265604E-3</v>
      </c>
      <c r="D1515" s="1">
        <v>5.3921436467067397E-3</v>
      </c>
      <c r="E1515" s="1">
        <v>1.7019978316416801E-2</v>
      </c>
      <c r="F1515" s="1">
        <v>8.4626785299249298E-3</v>
      </c>
    </row>
    <row r="1516" spans="1:6" x14ac:dyDescent="0.25">
      <c r="A1516" s="2" t="str">
        <f t="shared" si="50"/>
        <v>16980</v>
      </c>
      <c r="B1516" s="2" t="str">
        <f>"60638"</f>
        <v>60638</v>
      </c>
      <c r="C1516" s="1">
        <v>5.2066857024891996E-3</v>
      </c>
      <c r="D1516" s="1">
        <v>4.5539104070823301E-3</v>
      </c>
      <c r="E1516" s="1">
        <v>2.8248587570621399E-3</v>
      </c>
      <c r="F1516" s="1">
        <v>4.9733043953633701E-3</v>
      </c>
    </row>
    <row r="1517" spans="1:6" x14ac:dyDescent="0.25">
      <c r="A1517" s="2" t="str">
        <f t="shared" si="50"/>
        <v>16980</v>
      </c>
      <c r="B1517" s="2" t="str">
        <f>"60640"</f>
        <v>60640</v>
      </c>
      <c r="C1517" s="1">
        <v>9.4706580780951708E-3</v>
      </c>
      <c r="D1517" s="1">
        <v>6.1200830390121504E-3</v>
      </c>
      <c r="E1517" s="1">
        <v>1.57178737013004E-2</v>
      </c>
      <c r="F1517" s="1">
        <v>9.6601752645827394E-3</v>
      </c>
    </row>
    <row r="1518" spans="1:6" x14ac:dyDescent="0.25">
      <c r="A1518" s="2" t="str">
        <f t="shared" ref="A1518:A1572" si="51">"16980"</f>
        <v>16980</v>
      </c>
      <c r="B1518" s="2" t="str">
        <f>"60617"</f>
        <v>60617</v>
      </c>
      <c r="C1518" s="1">
        <v>7.6146532227689698E-3</v>
      </c>
      <c r="D1518" s="1">
        <v>4.8014588199538702E-3</v>
      </c>
      <c r="E1518" s="1">
        <v>5.7341636293305803E-3</v>
      </c>
      <c r="F1518" s="1">
        <v>7.2385843964108999E-3</v>
      </c>
    </row>
    <row r="1519" spans="1:6" x14ac:dyDescent="0.25">
      <c r="A1519" s="2" t="str">
        <f t="shared" si="51"/>
        <v>16980</v>
      </c>
      <c r="B1519" s="2" t="str">
        <f>"60563"</f>
        <v>60563</v>
      </c>
      <c r="C1519" s="1">
        <v>4.2090192644696203E-3</v>
      </c>
      <c r="D1519" s="1">
        <v>7.38478582160337E-3</v>
      </c>
      <c r="E1519" s="1">
        <v>5.0885594582373E-3</v>
      </c>
      <c r="F1519" s="1">
        <v>4.5401759847584601E-3</v>
      </c>
    </row>
    <row r="1520" spans="1:6" x14ac:dyDescent="0.25">
      <c r="A1520" s="2" t="str">
        <f t="shared" si="51"/>
        <v>16980</v>
      </c>
      <c r="B1520" s="2" t="str">
        <f>"60560"</f>
        <v>60560</v>
      </c>
      <c r="C1520" s="1">
        <v>2.9438819315386298E-3</v>
      </c>
      <c r="D1520" s="1">
        <v>2.8014637219026398E-3</v>
      </c>
      <c r="E1520" s="1">
        <v>1.7461277370075499E-3</v>
      </c>
      <c r="F1520" s="1">
        <v>2.8420343654760802E-3</v>
      </c>
    </row>
    <row r="1521" spans="1:6" x14ac:dyDescent="0.25">
      <c r="A1521" s="2" t="str">
        <f t="shared" si="51"/>
        <v>16980</v>
      </c>
      <c r="B1521" s="2" t="str">
        <f>"60518"</f>
        <v>60518</v>
      </c>
      <c r="C1521" s="1">
        <v>3.1123885953328197E-5</v>
      </c>
      <c r="D1521" s="1">
        <v>7.3529231546001104E-6</v>
      </c>
      <c r="E1521" s="1">
        <v>0</v>
      </c>
      <c r="F1521" s="1">
        <v>2.6801994232047101E-5</v>
      </c>
    </row>
    <row r="1522" spans="1:6" x14ac:dyDescent="0.25">
      <c r="A1522" s="2" t="str">
        <f t="shared" si="51"/>
        <v>16980</v>
      </c>
      <c r="B1522" s="2" t="str">
        <f>"60512"</f>
        <v>60512</v>
      </c>
      <c r="C1522" s="1">
        <v>1.07717824041597E-4</v>
      </c>
      <c r="D1522" s="1">
        <v>2.4509743848667E-5</v>
      </c>
      <c r="E1522" s="1">
        <v>0</v>
      </c>
      <c r="F1522" s="1">
        <v>9.2681705245170696E-5</v>
      </c>
    </row>
    <row r="1523" spans="1:6" x14ac:dyDescent="0.25">
      <c r="A1523" s="2" t="str">
        <f t="shared" si="51"/>
        <v>16980</v>
      </c>
      <c r="B1523" s="2" t="str">
        <f>"60556"</f>
        <v>60556</v>
      </c>
      <c r="C1523" s="1">
        <v>2.5652890375594699E-4</v>
      </c>
      <c r="D1523" s="1">
        <v>7.5980205930867805E-5</v>
      </c>
      <c r="E1523" s="1">
        <v>1.08962729298443E-4</v>
      </c>
      <c r="F1523" s="1">
        <v>2.30374393170115E-4</v>
      </c>
    </row>
    <row r="1524" spans="1:6" x14ac:dyDescent="0.25">
      <c r="A1524" s="2" t="str">
        <f t="shared" si="51"/>
        <v>16980</v>
      </c>
      <c r="B1524" s="2" t="str">
        <f>"60555"</f>
        <v>60555</v>
      </c>
      <c r="C1524" s="1">
        <v>1.79545917093262E-3</v>
      </c>
      <c r="D1524" s="1">
        <v>2.4975428981791701E-3</v>
      </c>
      <c r="E1524" s="1">
        <v>1.6126483936169599E-3</v>
      </c>
      <c r="F1524" s="1">
        <v>1.8403354054752901E-3</v>
      </c>
    </row>
    <row r="1525" spans="1:6" x14ac:dyDescent="0.25">
      <c r="A1525" s="2" t="str">
        <f t="shared" si="51"/>
        <v>16980</v>
      </c>
      <c r="B1525" s="2" t="str">
        <f>"60548"</f>
        <v>60548</v>
      </c>
      <c r="C1525" s="1">
        <v>8.40831231457884E-4</v>
      </c>
      <c r="D1525" s="1">
        <v>1.0784287293413399E-3</v>
      </c>
      <c r="E1525" s="1">
        <v>7.1915401336972596E-4</v>
      </c>
      <c r="F1525" s="1">
        <v>8.51525954150994E-4</v>
      </c>
    </row>
    <row r="1526" spans="1:6" x14ac:dyDescent="0.25">
      <c r="A1526" s="2" t="str">
        <f t="shared" si="51"/>
        <v>16980</v>
      </c>
      <c r="B1526" s="2" t="str">
        <f>"60531"</f>
        <v>60531</v>
      </c>
      <c r="C1526" s="1">
        <v>2.1397671592913099E-5</v>
      </c>
      <c r="D1526" s="1">
        <v>7.3529231546001104E-6</v>
      </c>
      <c r="E1526" s="1">
        <v>0</v>
      </c>
      <c r="F1526" s="1">
        <v>1.8618179199361002E-5</v>
      </c>
    </row>
    <row r="1527" spans="1:6" x14ac:dyDescent="0.25">
      <c r="A1527" s="2" t="str">
        <f t="shared" si="51"/>
        <v>16980</v>
      </c>
      <c r="B1527" s="2" t="str">
        <f>"60539"</f>
        <v>60539</v>
      </c>
      <c r="C1527" s="1">
        <v>3.2825973466400898E-5</v>
      </c>
      <c r="D1527" s="1">
        <v>2.5490133602613701E-4</v>
      </c>
      <c r="E1527" s="1">
        <v>3.2688818789532997E-5</v>
      </c>
      <c r="F1527" s="1">
        <v>5.1353439330105601E-5</v>
      </c>
    </row>
    <row r="1528" spans="1:6" x14ac:dyDescent="0.25">
      <c r="A1528" s="2" t="str">
        <f t="shared" si="51"/>
        <v>16980</v>
      </c>
      <c r="B1528" s="2" t="str">
        <f>"60542"</f>
        <v>60542</v>
      </c>
      <c r="C1528" s="1">
        <v>1.9532669989303498E-3</v>
      </c>
      <c r="D1528" s="1">
        <v>1.95097561035389E-3</v>
      </c>
      <c r="E1528" s="1">
        <v>9.2073506257184701E-4</v>
      </c>
      <c r="F1528" s="1">
        <v>1.8755258101158499E-3</v>
      </c>
    </row>
    <row r="1529" spans="1:6" x14ac:dyDescent="0.25">
      <c r="A1529" s="2" t="str">
        <f t="shared" si="51"/>
        <v>16980</v>
      </c>
      <c r="B1529" s="2" t="str">
        <f>"60505"</f>
        <v>60505</v>
      </c>
      <c r="C1529" s="1">
        <v>4.34956306197762E-3</v>
      </c>
      <c r="D1529" s="1">
        <v>3.6470498846816498E-3</v>
      </c>
      <c r="E1529" s="1">
        <v>4.3748535813325001E-3</v>
      </c>
      <c r="F1529" s="1">
        <v>4.2928201753955203E-3</v>
      </c>
    </row>
    <row r="1530" spans="1:6" x14ac:dyDescent="0.25">
      <c r="A1530" s="2" t="str">
        <f t="shared" si="51"/>
        <v>16980</v>
      </c>
      <c r="B1530" s="2" t="str">
        <f>"60487"</f>
        <v>60487</v>
      </c>
      <c r="C1530" s="1">
        <v>2.2798246460812902E-3</v>
      </c>
      <c r="D1530" s="1">
        <v>1.27450668013068E-3</v>
      </c>
      <c r="E1530" s="1">
        <v>9.2073506257184701E-4</v>
      </c>
      <c r="F1530" s="1">
        <v>2.09382907611275E-3</v>
      </c>
    </row>
    <row r="1531" spans="1:6" x14ac:dyDescent="0.25">
      <c r="A1531" s="2" t="str">
        <f t="shared" si="51"/>
        <v>16980</v>
      </c>
      <c r="B1531" s="2" t="str">
        <f>"60445"</f>
        <v>60445</v>
      </c>
      <c r="C1531" s="1">
        <v>1.51437157591662E-3</v>
      </c>
      <c r="D1531" s="1">
        <v>1.0661738574170099E-3</v>
      </c>
      <c r="E1531" s="1">
        <v>1.16590120349334E-3</v>
      </c>
      <c r="F1531" s="1">
        <v>1.4507858099194299E-3</v>
      </c>
    </row>
    <row r="1532" spans="1:6" x14ac:dyDescent="0.25">
      <c r="A1532" s="2" t="str">
        <f t="shared" si="51"/>
        <v>16980</v>
      </c>
      <c r="B1532" s="2" t="str">
        <f>"60444"</f>
        <v>60444</v>
      </c>
      <c r="C1532" s="1">
        <v>1.9428113184929101E-4</v>
      </c>
      <c r="D1532" s="1">
        <v>6.3725334006534199E-5</v>
      </c>
      <c r="E1532" s="1">
        <v>9.8066456368599099E-5</v>
      </c>
      <c r="F1532" s="1">
        <v>1.7615661857856899E-4</v>
      </c>
    </row>
    <row r="1533" spans="1:6" x14ac:dyDescent="0.25">
      <c r="A1533" s="2" t="str">
        <f t="shared" si="51"/>
        <v>16980</v>
      </c>
      <c r="B1533" s="2" t="str">
        <f>"60475"</f>
        <v>60475</v>
      </c>
      <c r="C1533" s="1">
        <v>1.0944422709056999E-3</v>
      </c>
      <c r="D1533" s="1">
        <v>6.3725334006534205E-4</v>
      </c>
      <c r="E1533" s="1">
        <v>6.4288010286081597E-4</v>
      </c>
      <c r="F1533" s="1">
        <v>1.02236309295831E-3</v>
      </c>
    </row>
    <row r="1534" spans="1:6" x14ac:dyDescent="0.25">
      <c r="A1534" s="2" t="str">
        <f t="shared" si="51"/>
        <v>16980</v>
      </c>
      <c r="B1534" s="2" t="str">
        <f>"60467"</f>
        <v>60467</v>
      </c>
      <c r="C1534" s="1">
        <v>2.4775099529567302E-3</v>
      </c>
      <c r="D1534" s="1">
        <v>1.90685807142629E-3</v>
      </c>
      <c r="E1534" s="1">
        <v>7.7908351448386997E-4</v>
      </c>
      <c r="F1534" s="1">
        <v>2.3023117640704298E-3</v>
      </c>
    </row>
    <row r="1535" spans="1:6" x14ac:dyDescent="0.25">
      <c r="A1535" s="2" t="str">
        <f t="shared" si="51"/>
        <v>16980</v>
      </c>
      <c r="B1535" s="2" t="str">
        <f>"60433"</f>
        <v>60433</v>
      </c>
      <c r="C1535" s="1">
        <v>1.5211799259689099E-3</v>
      </c>
      <c r="D1535" s="1">
        <v>1.16911478158141E-3</v>
      </c>
      <c r="E1535" s="1">
        <v>9.5069981312891896E-4</v>
      </c>
      <c r="F1535" s="1">
        <v>1.44894445153708E-3</v>
      </c>
    </row>
    <row r="1536" spans="1:6" x14ac:dyDescent="0.25">
      <c r="A1536" s="2" t="str">
        <f t="shared" si="51"/>
        <v>16980</v>
      </c>
      <c r="B1536" s="2" t="str">
        <f>"60425"</f>
        <v>60425</v>
      </c>
      <c r="C1536" s="1">
        <v>9.5705949306484396E-4</v>
      </c>
      <c r="D1536" s="1">
        <v>8.8725272732174596E-4</v>
      </c>
      <c r="E1536" s="1">
        <v>5.4481364649221697E-4</v>
      </c>
      <c r="F1536" s="1">
        <v>9.2027000042555797E-4</v>
      </c>
    </row>
    <row r="1537" spans="1:6" x14ac:dyDescent="0.25">
      <c r="A1537" s="2" t="str">
        <f t="shared" si="51"/>
        <v>16980</v>
      </c>
      <c r="B1537" s="2" t="str">
        <f>"60186"</f>
        <v>60186</v>
      </c>
      <c r="C1537" s="1">
        <v>3.66921436746659E-4</v>
      </c>
      <c r="D1537" s="1">
        <v>4.2156759419707303E-4</v>
      </c>
      <c r="E1537" s="1">
        <v>5.4481364649221704E-6</v>
      </c>
      <c r="F1537" s="1">
        <v>3.4433401750027002E-4</v>
      </c>
    </row>
    <row r="1538" spans="1:6" x14ac:dyDescent="0.25">
      <c r="A1538" s="2" t="str">
        <f t="shared" si="51"/>
        <v>16980</v>
      </c>
      <c r="B1538" s="2" t="str">
        <f>"60190"</f>
        <v>60190</v>
      </c>
      <c r="C1538" s="1">
        <v>1.1929201913049099E-3</v>
      </c>
      <c r="D1538" s="1">
        <v>8.1617447016061196E-4</v>
      </c>
      <c r="E1538" s="1">
        <v>4.4674719012361802E-4</v>
      </c>
      <c r="F1538" s="1">
        <v>1.10542881554008E-3</v>
      </c>
    </row>
    <row r="1539" spans="1:6" x14ac:dyDescent="0.25">
      <c r="A1539" s="2" t="str">
        <f t="shared" si="51"/>
        <v>16980</v>
      </c>
      <c r="B1539" s="2" t="str">
        <f>"60403"</f>
        <v>60403</v>
      </c>
      <c r="C1539" s="1">
        <v>1.8968549556399501E-3</v>
      </c>
      <c r="D1539" s="1">
        <v>1.54901581123575E-3</v>
      </c>
      <c r="E1539" s="1">
        <v>2.25008036001285E-3</v>
      </c>
      <c r="F1539" s="1">
        <v>1.8943485846910199E-3</v>
      </c>
    </row>
    <row r="1540" spans="1:6" x14ac:dyDescent="0.25">
      <c r="A1540" s="2" t="str">
        <f t="shared" si="51"/>
        <v>16980</v>
      </c>
      <c r="B1540" s="2" t="str">
        <f>"60410"</f>
        <v>60410</v>
      </c>
      <c r="C1540" s="1">
        <v>1.4572300665491901E-3</v>
      </c>
      <c r="D1540" s="1">
        <v>1.35048688606155E-3</v>
      </c>
      <c r="E1540" s="1">
        <v>4.38574985426234E-4</v>
      </c>
      <c r="F1540" s="1">
        <v>1.3718119948540101E-3</v>
      </c>
    </row>
    <row r="1541" spans="1:6" x14ac:dyDescent="0.25">
      <c r="A1541" s="2" t="str">
        <f t="shared" si="51"/>
        <v>16980</v>
      </c>
      <c r="B1541" s="2" t="str">
        <f>"60407"</f>
        <v>60407</v>
      </c>
      <c r="C1541" s="1">
        <v>1.74828703128461E-4</v>
      </c>
      <c r="D1541" s="1">
        <v>6.3725334006534199E-5</v>
      </c>
      <c r="E1541" s="1">
        <v>3.2688818789532997E-5</v>
      </c>
      <c r="F1541" s="1">
        <v>1.5487869949358499E-4</v>
      </c>
    </row>
    <row r="1542" spans="1:6" x14ac:dyDescent="0.25">
      <c r="A1542" s="2" t="str">
        <f t="shared" si="51"/>
        <v>16980</v>
      </c>
      <c r="B1542" s="2" t="str">
        <f>"60415"</f>
        <v>60415</v>
      </c>
      <c r="C1542" s="1">
        <v>1.58075298892646E-3</v>
      </c>
      <c r="D1542" s="1">
        <v>1.67401550486395E-3</v>
      </c>
      <c r="E1542" s="1">
        <v>3.0673008297511799E-3</v>
      </c>
      <c r="F1542" s="1">
        <v>1.7001875730405401E-3</v>
      </c>
    </row>
    <row r="1543" spans="1:6" x14ac:dyDescent="0.25">
      <c r="A1543" s="2" t="str">
        <f t="shared" si="51"/>
        <v>16980</v>
      </c>
      <c r="B1543" s="2" t="str">
        <f>"60305"</f>
        <v>60305</v>
      </c>
      <c r="C1543" s="1">
        <v>1.3286008816327001E-3</v>
      </c>
      <c r="D1543" s="1">
        <v>1.3014673983642101E-3</v>
      </c>
      <c r="E1543" s="1">
        <v>1.57178737013004E-3</v>
      </c>
      <c r="F1543" s="1">
        <v>1.3446008098703299E-3</v>
      </c>
    </row>
    <row r="1544" spans="1:6" x14ac:dyDescent="0.25">
      <c r="A1544" s="2" t="str">
        <f t="shared" si="51"/>
        <v>16980</v>
      </c>
      <c r="B1544" s="2" t="str">
        <f>"60302"</f>
        <v>60302</v>
      </c>
      <c r="C1544" s="1">
        <v>3.9994193450026798E-3</v>
      </c>
      <c r="D1544" s="1">
        <v>2.6127386942679E-3</v>
      </c>
      <c r="E1544" s="1">
        <v>1.0950754294493501E-2</v>
      </c>
      <c r="F1544" s="1">
        <v>4.4057568228465897E-3</v>
      </c>
    </row>
    <row r="1545" spans="1:6" x14ac:dyDescent="0.25">
      <c r="A1545" s="2" t="str">
        <f t="shared" si="51"/>
        <v>16980</v>
      </c>
      <c r="B1545" s="2" t="str">
        <f>"60174"</f>
        <v>60174</v>
      </c>
      <c r="C1545" s="1">
        <v>3.73583893583543E-3</v>
      </c>
      <c r="D1545" s="1">
        <v>7.0955708441891004E-3</v>
      </c>
      <c r="E1545" s="1">
        <v>2.56607227497834E-3</v>
      </c>
      <c r="F1545" s="1">
        <v>3.92843581106517E-3</v>
      </c>
    </row>
    <row r="1546" spans="1:6" x14ac:dyDescent="0.25">
      <c r="A1546" s="2" t="str">
        <f t="shared" si="51"/>
        <v>16980</v>
      </c>
      <c r="B1546" s="2" t="str">
        <f>"60118"</f>
        <v>60118</v>
      </c>
      <c r="C1546" s="1">
        <v>1.90220437353818E-3</v>
      </c>
      <c r="D1546" s="1">
        <v>3.6029323457540501E-3</v>
      </c>
      <c r="E1546" s="1">
        <v>1.8605386027709201E-3</v>
      </c>
      <c r="F1546" s="1">
        <v>2.0410434691519202E-3</v>
      </c>
    </row>
    <row r="1547" spans="1:6" x14ac:dyDescent="0.25">
      <c r="A1547" s="2" t="str">
        <f t="shared" si="51"/>
        <v>16980</v>
      </c>
      <c r="B1547" s="2" t="str">
        <f>"60165"</f>
        <v>60165</v>
      </c>
      <c r="C1547" s="1">
        <v>3.1901983102161402E-4</v>
      </c>
      <c r="D1547" s="1">
        <v>4.5588123558520601E-4</v>
      </c>
      <c r="E1547" s="1">
        <v>4.1678243956654601E-4</v>
      </c>
      <c r="F1547" s="1">
        <v>3.3778696547412097E-4</v>
      </c>
    </row>
    <row r="1548" spans="1:6" x14ac:dyDescent="0.25">
      <c r="A1548" s="2" t="str">
        <f t="shared" si="51"/>
        <v>16980</v>
      </c>
      <c r="B1548" s="2" t="str">
        <f>"60136"</f>
        <v>60136</v>
      </c>
      <c r="C1548" s="1">
        <v>6.86427578486294E-4</v>
      </c>
      <c r="D1548" s="1">
        <v>4.2401856858193898E-4</v>
      </c>
      <c r="E1548" s="1">
        <v>8.4446115206293599E-5</v>
      </c>
      <c r="F1548" s="1">
        <v>6.1931020259852398E-4</v>
      </c>
    </row>
    <row r="1549" spans="1:6" x14ac:dyDescent="0.25">
      <c r="A1549" s="2" t="str">
        <f t="shared" si="51"/>
        <v>16980</v>
      </c>
      <c r="B1549" s="2" t="str">
        <f>"60142"</f>
        <v>60142</v>
      </c>
      <c r="C1549" s="1">
        <v>3.3168822522605499E-3</v>
      </c>
      <c r="D1549" s="1">
        <v>2.30636689615956E-3</v>
      </c>
      <c r="E1549" s="1">
        <v>6.8374112634773205E-4</v>
      </c>
      <c r="F1549" s="1">
        <v>3.0347632094958402E-3</v>
      </c>
    </row>
    <row r="1550" spans="1:6" x14ac:dyDescent="0.25">
      <c r="A1550" s="2" t="str">
        <f t="shared" si="51"/>
        <v>16980</v>
      </c>
      <c r="B1550" s="2" t="str">
        <f>"60129"</f>
        <v>60129</v>
      </c>
      <c r="C1550" s="1">
        <v>1.5561942976664098E-5</v>
      </c>
      <c r="D1550" s="1">
        <v>9.8038975394668099E-6</v>
      </c>
      <c r="E1550" s="1">
        <v>2.7240682324610801E-6</v>
      </c>
      <c r="F1550" s="1">
        <v>1.4117080931383599E-5</v>
      </c>
    </row>
    <row r="1551" spans="1:6" x14ac:dyDescent="0.25">
      <c r="A1551" s="2" t="str">
        <f t="shared" si="51"/>
        <v>16980</v>
      </c>
      <c r="B1551" s="2" t="str">
        <f>"60099"</f>
        <v>60099</v>
      </c>
      <c r="C1551" s="1">
        <v>3.0987718952282398E-3</v>
      </c>
      <c r="D1551" s="1">
        <v>1.6470547866304201E-3</v>
      </c>
      <c r="E1551" s="1">
        <v>2.49797056916681E-3</v>
      </c>
      <c r="F1551" s="1">
        <v>2.9324655215872599E-3</v>
      </c>
    </row>
    <row r="1552" spans="1:6" x14ac:dyDescent="0.25">
      <c r="A1552" s="2" t="str">
        <f t="shared" si="51"/>
        <v>16980</v>
      </c>
      <c r="B1552" s="2" t="str">
        <f>"60055"</f>
        <v>60055</v>
      </c>
      <c r="C1552" s="1">
        <v>0</v>
      </c>
      <c r="D1552" s="1">
        <v>0</v>
      </c>
      <c r="E1552" s="1">
        <v>2.7240682324610801E-6</v>
      </c>
      <c r="F1552" s="1">
        <v>2.0459537581715301E-7</v>
      </c>
    </row>
    <row r="1553" spans="1:6" x14ac:dyDescent="0.25">
      <c r="A1553" s="2" t="str">
        <f t="shared" si="51"/>
        <v>16980</v>
      </c>
      <c r="B1553" s="2" t="str">
        <f>"60070"</f>
        <v>60070</v>
      </c>
      <c r="C1553" s="1">
        <v>1.8217199497057399E-3</v>
      </c>
      <c r="D1553" s="1">
        <v>1.3333300653674801E-3</v>
      </c>
      <c r="E1553" s="1">
        <v>1.7760924875646199E-3</v>
      </c>
      <c r="F1553" s="1">
        <v>1.7775246250994301E-3</v>
      </c>
    </row>
    <row r="1554" spans="1:6" x14ac:dyDescent="0.25">
      <c r="A1554" s="2" t="str">
        <f t="shared" si="51"/>
        <v>16980</v>
      </c>
      <c r="B1554" s="2" t="str">
        <f>"60081"</f>
        <v>60081</v>
      </c>
      <c r="C1554" s="1">
        <v>9.962075058655151E-4</v>
      </c>
      <c r="D1554" s="1">
        <v>6.3480236568047598E-4</v>
      </c>
      <c r="E1554" s="1">
        <v>2.8057902794349098E-4</v>
      </c>
      <c r="F1554" s="1">
        <v>9.1229078076868902E-4</v>
      </c>
    </row>
    <row r="1555" spans="1:6" x14ac:dyDescent="0.25">
      <c r="A1555" s="2" t="str">
        <f t="shared" si="51"/>
        <v>16980</v>
      </c>
      <c r="B1555" s="2" t="str">
        <f>"60074"</f>
        <v>60074</v>
      </c>
      <c r="C1555" s="1">
        <v>3.7978435523830802E-3</v>
      </c>
      <c r="D1555" s="1">
        <v>2.3333276143930998E-3</v>
      </c>
      <c r="E1555" s="1">
        <v>5.8867114503484003E-3</v>
      </c>
      <c r="F1555" s="1">
        <v>3.83248057980692E-3</v>
      </c>
    </row>
    <row r="1556" spans="1:6" x14ac:dyDescent="0.25">
      <c r="A1556" s="2" t="str">
        <f t="shared" si="51"/>
        <v>16980</v>
      </c>
      <c r="B1556" s="2" t="str">
        <f>"60040"</f>
        <v>60040</v>
      </c>
      <c r="C1556" s="1">
        <v>5.8746334736907099E-4</v>
      </c>
      <c r="D1556" s="1">
        <v>6.5686113514427599E-4</v>
      </c>
      <c r="E1556" s="1">
        <v>6.4560417109327695E-4</v>
      </c>
      <c r="F1556" s="1">
        <v>5.9762309276190605E-4</v>
      </c>
    </row>
    <row r="1557" spans="1:6" x14ac:dyDescent="0.25">
      <c r="A1557" s="2" t="str">
        <f t="shared" si="51"/>
        <v>16980</v>
      </c>
      <c r="B1557" s="2" t="str">
        <f>"60033"</f>
        <v>60033</v>
      </c>
      <c r="C1557" s="1">
        <v>1.3604542336630599E-3</v>
      </c>
      <c r="D1557" s="1">
        <v>1.1911735510452099E-3</v>
      </c>
      <c r="E1557" s="1">
        <v>1.24762325046717E-3</v>
      </c>
      <c r="F1557" s="1">
        <v>1.3378491624683601E-3</v>
      </c>
    </row>
    <row r="1558" spans="1:6" x14ac:dyDescent="0.25">
      <c r="A1558" s="2" t="str">
        <f t="shared" si="51"/>
        <v>16980</v>
      </c>
      <c r="B1558" s="2" t="str">
        <f>"60026"</f>
        <v>60026</v>
      </c>
      <c r="C1558" s="1">
        <v>1.4129757912093E-3</v>
      </c>
      <c r="D1558" s="1">
        <v>1.50734924669302E-3</v>
      </c>
      <c r="E1558" s="1">
        <v>8.0087606034355899E-4</v>
      </c>
      <c r="F1558" s="1">
        <v>1.37488092549127E-3</v>
      </c>
    </row>
    <row r="1559" spans="1:6" x14ac:dyDescent="0.25">
      <c r="A1559" s="2" t="str">
        <f t="shared" si="51"/>
        <v>16980</v>
      </c>
      <c r="B1559" s="2" t="str">
        <f>"60006"</f>
        <v>60006</v>
      </c>
      <c r="C1559" s="1">
        <v>2.4023749470225201E-4</v>
      </c>
      <c r="D1559" s="1">
        <v>8.5539006031847898E-4</v>
      </c>
      <c r="E1559" s="1">
        <v>5.4481364649221704E-6</v>
      </c>
      <c r="F1559" s="1">
        <v>2.7395320821916902E-4</v>
      </c>
    </row>
    <row r="1560" spans="1:6" x14ac:dyDescent="0.25">
      <c r="A1560" s="2" t="str">
        <f t="shared" si="51"/>
        <v>16980</v>
      </c>
      <c r="B1560" s="2" t="str">
        <f>"60010"</f>
        <v>60010</v>
      </c>
      <c r="C1560" s="1">
        <v>4.5071277346163501E-3</v>
      </c>
      <c r="D1560" s="1">
        <v>5.32841831270021E-3</v>
      </c>
      <c r="E1560" s="1">
        <v>1.9858457414641301E-3</v>
      </c>
      <c r="F1560" s="1">
        <v>4.3863202621439602E-3</v>
      </c>
    </row>
    <row r="1561" spans="1:6" x14ac:dyDescent="0.25">
      <c r="A1561" s="2" t="str">
        <f t="shared" si="51"/>
        <v>16980</v>
      </c>
      <c r="B1561" s="2" t="str">
        <f>"60015"</f>
        <v>60015</v>
      </c>
      <c r="C1561" s="1">
        <v>2.7247989530702799E-3</v>
      </c>
      <c r="D1561" s="1">
        <v>4.2034210700463903E-3</v>
      </c>
      <c r="E1561" s="1">
        <v>1.33751750213839E-3</v>
      </c>
      <c r="F1561" s="1">
        <v>2.7440331804596601E-3</v>
      </c>
    </row>
    <row r="1562" spans="1:6" x14ac:dyDescent="0.25">
      <c r="A1562" s="2" t="str">
        <f t="shared" si="51"/>
        <v>16980</v>
      </c>
      <c r="B1562" s="2" t="str">
        <f>"60004"</f>
        <v>60004</v>
      </c>
      <c r="C1562" s="1">
        <v>5.3199960997880403E-3</v>
      </c>
      <c r="D1562" s="1">
        <v>4.1323428128852598E-3</v>
      </c>
      <c r="E1562" s="1">
        <v>4.1705484638979197E-3</v>
      </c>
      <c r="F1562" s="1">
        <v>5.1345255515072904E-3</v>
      </c>
    </row>
    <row r="1563" spans="1:6" x14ac:dyDescent="0.25">
      <c r="A1563" s="2" t="str">
        <f t="shared" si="51"/>
        <v>16980</v>
      </c>
      <c r="B1563" s="2" t="str">
        <f>"60005"</f>
        <v>60005</v>
      </c>
      <c r="C1563" s="1">
        <v>3.36697225621669E-3</v>
      </c>
      <c r="D1563" s="1">
        <v>5.2205754397660698E-3</v>
      </c>
      <c r="E1563" s="1">
        <v>2.80306621120245E-3</v>
      </c>
      <c r="F1563" s="1">
        <v>3.4793489611465102E-3</v>
      </c>
    </row>
    <row r="1564" spans="1:6" x14ac:dyDescent="0.25">
      <c r="A1564" s="2" t="str">
        <f t="shared" si="51"/>
        <v>16980</v>
      </c>
      <c r="B1564" s="2" t="str">
        <f>"53143"</f>
        <v>53143</v>
      </c>
      <c r="C1564" s="1">
        <v>2.2810404228763401E-3</v>
      </c>
      <c r="D1564" s="1">
        <v>1.34313396290695E-3</v>
      </c>
      <c r="E1564" s="1">
        <v>1.34296563860331E-3</v>
      </c>
      <c r="F1564" s="1">
        <v>2.13229300676637E-3</v>
      </c>
    </row>
    <row r="1565" spans="1:6" x14ac:dyDescent="0.25">
      <c r="A1565" s="2" t="str">
        <f t="shared" si="51"/>
        <v>16980</v>
      </c>
      <c r="B1565" s="2" t="str">
        <f>"53171"</f>
        <v>53171</v>
      </c>
      <c r="C1565" s="1">
        <v>1.40057486789977E-4</v>
      </c>
      <c r="D1565" s="1">
        <v>2.05881848328803E-4</v>
      </c>
      <c r="E1565" s="1">
        <v>5.4481364649221704E-6</v>
      </c>
      <c r="F1565" s="1">
        <v>1.3544213879095499E-4</v>
      </c>
    </row>
    <row r="1566" spans="1:6" x14ac:dyDescent="0.25">
      <c r="A1566" s="2" t="str">
        <f t="shared" si="51"/>
        <v>16980</v>
      </c>
      <c r="B1566" s="2" t="str">
        <f>"46355"</f>
        <v>46355</v>
      </c>
      <c r="C1566" s="1">
        <v>0</v>
      </c>
      <c r="D1566" s="1">
        <v>0</v>
      </c>
      <c r="E1566" s="1">
        <v>2.7240682324610801E-6</v>
      </c>
      <c r="F1566" s="1">
        <v>2.0459537581715301E-7</v>
      </c>
    </row>
    <row r="1567" spans="1:6" x14ac:dyDescent="0.25">
      <c r="A1567" s="2" t="str">
        <f t="shared" si="51"/>
        <v>16980</v>
      </c>
      <c r="B1567" s="2" t="str">
        <f>"46356"</f>
        <v>46356</v>
      </c>
      <c r="C1567" s="1">
        <v>1.89393709133182E-3</v>
      </c>
      <c r="D1567" s="1">
        <v>9.50978061328281E-4</v>
      </c>
      <c r="E1567" s="1">
        <v>3.5957700668486298E-4</v>
      </c>
      <c r="F1567" s="1">
        <v>1.69998297766473E-3</v>
      </c>
    </row>
    <row r="1568" spans="1:6" x14ac:dyDescent="0.25">
      <c r="A1568" s="2" t="str">
        <f t="shared" si="51"/>
        <v>16980</v>
      </c>
      <c r="B1568" s="2" t="str">
        <f>"46368"</f>
        <v>46368</v>
      </c>
      <c r="C1568" s="1">
        <v>4.5205012793619196E-3</v>
      </c>
      <c r="D1568" s="1">
        <v>3.4142073181193098E-3</v>
      </c>
      <c r="E1568" s="1">
        <v>1.8087813063541599E-3</v>
      </c>
      <c r="F1568" s="1">
        <v>4.2244853198725903E-3</v>
      </c>
    </row>
    <row r="1569" spans="1:6" x14ac:dyDescent="0.25">
      <c r="A1569" s="2" t="str">
        <f t="shared" si="51"/>
        <v>16980</v>
      </c>
      <c r="B1569" s="2" t="str">
        <f>"46406"</f>
        <v>46406</v>
      </c>
      <c r="C1569" s="1">
        <v>1.2109136878716701E-3</v>
      </c>
      <c r="D1569" s="1">
        <v>1.0661738574170099E-3</v>
      </c>
      <c r="E1569" s="1">
        <v>3.2416411966286902E-4</v>
      </c>
      <c r="F1569" s="1">
        <v>1.1322308097721199E-3</v>
      </c>
    </row>
    <row r="1570" spans="1:6" x14ac:dyDescent="0.25">
      <c r="A1570" s="2" t="str">
        <f t="shared" si="51"/>
        <v>16980</v>
      </c>
      <c r="B1570" s="2" t="str">
        <f>"46323"</f>
        <v>46323</v>
      </c>
      <c r="C1570" s="1">
        <v>2.2805541121583201E-3</v>
      </c>
      <c r="D1570" s="1">
        <v>1.36274175798588E-3</v>
      </c>
      <c r="E1570" s="1">
        <v>1.09779949768181E-3</v>
      </c>
      <c r="F1570" s="1">
        <v>2.1151069951977301E-3</v>
      </c>
    </row>
    <row r="1571" spans="1:6" x14ac:dyDescent="0.25">
      <c r="A1571" s="2" t="str">
        <f t="shared" si="51"/>
        <v>16980</v>
      </c>
      <c r="B1571" s="2" t="str">
        <f>"46404"</f>
        <v>46404</v>
      </c>
      <c r="C1571" s="1">
        <v>2.1670005595004799E-3</v>
      </c>
      <c r="D1571" s="1">
        <v>1.1519579608873501E-3</v>
      </c>
      <c r="E1571" s="1">
        <v>8.5263335676031996E-4</v>
      </c>
      <c r="F1571" s="1">
        <v>1.9835521685472998E-3</v>
      </c>
    </row>
    <row r="1572" spans="1:6" x14ac:dyDescent="0.25">
      <c r="A1572" s="2" t="str">
        <f t="shared" si="51"/>
        <v>16980</v>
      </c>
      <c r="B1572" s="2" t="str">
        <f>"46312"</f>
        <v>46312</v>
      </c>
      <c r="C1572" s="1">
        <v>2.7561659943826202E-3</v>
      </c>
      <c r="D1572" s="1">
        <v>2.1789162281464899E-3</v>
      </c>
      <c r="E1572" s="1">
        <v>4.0670338710643997E-3</v>
      </c>
      <c r="F1572" s="1">
        <v>2.8064347700838999E-3</v>
      </c>
    </row>
    <row r="1573" spans="1:6" x14ac:dyDescent="0.25">
      <c r="A1573" s="2" t="str">
        <f t="shared" ref="A1573:A1582" si="52">"11420"</f>
        <v>11420</v>
      </c>
      <c r="B1573" s="2" t="str">
        <f>"46761"</f>
        <v>46761</v>
      </c>
      <c r="C1573" s="1">
        <v>9.7794529618499392E-3</v>
      </c>
      <c r="D1573" s="1">
        <v>0</v>
      </c>
      <c r="E1573" s="1">
        <v>0</v>
      </c>
      <c r="F1573" s="1">
        <v>8.8732784915426504E-3</v>
      </c>
    </row>
    <row r="1574" spans="1:6" x14ac:dyDescent="0.25">
      <c r="A1574" s="2" t="str">
        <f t="shared" si="52"/>
        <v>11420</v>
      </c>
      <c r="B1574" s="2" t="str">
        <f>"46703"</f>
        <v>46703</v>
      </c>
      <c r="C1574" s="1">
        <v>0.53573065756634197</v>
      </c>
      <c r="D1574" s="1">
        <v>0.80440251572327004</v>
      </c>
      <c r="E1574" s="1">
        <v>0.72530120481927696</v>
      </c>
      <c r="F1574" s="1">
        <v>0.55910897495147405</v>
      </c>
    </row>
    <row r="1575" spans="1:6" x14ac:dyDescent="0.25">
      <c r="A1575" s="2" t="str">
        <f t="shared" si="52"/>
        <v>11420</v>
      </c>
      <c r="B1575" s="2" t="str">
        <f>"46793"</f>
        <v>46793</v>
      </c>
      <c r="C1575" s="1">
        <v>5.0934650842968403E-4</v>
      </c>
      <c r="D1575" s="1">
        <v>0</v>
      </c>
      <c r="E1575" s="1">
        <v>0</v>
      </c>
      <c r="F1575" s="1">
        <v>4.6214992143451302E-4</v>
      </c>
    </row>
    <row r="1576" spans="1:6" x14ac:dyDescent="0.25">
      <c r="A1576" s="2" t="str">
        <f t="shared" si="52"/>
        <v>11420</v>
      </c>
      <c r="B1576" s="2" t="str">
        <f>"46705"</f>
        <v>46705</v>
      </c>
      <c r="C1576" s="1">
        <v>1.22243162023124E-2</v>
      </c>
      <c r="D1576" s="1">
        <v>5.0314465408805003E-3</v>
      </c>
      <c r="E1576" s="1">
        <v>7.2289156626506E-3</v>
      </c>
      <c r="F1576" s="1">
        <v>1.1599963028006199E-2</v>
      </c>
    </row>
    <row r="1577" spans="1:6" x14ac:dyDescent="0.25">
      <c r="A1577" s="2" t="str">
        <f t="shared" si="52"/>
        <v>11420</v>
      </c>
      <c r="B1577" s="2" t="str">
        <f>"46776"</f>
        <v>46776</v>
      </c>
      <c r="C1577" s="1">
        <v>3.3209392349615403E-2</v>
      </c>
      <c r="D1577" s="1">
        <v>8.8050314465408803E-3</v>
      </c>
      <c r="E1577" s="1">
        <v>1.20481927710843E-2</v>
      </c>
      <c r="F1577" s="1">
        <v>3.1010259728255801E-2</v>
      </c>
    </row>
    <row r="1578" spans="1:6" x14ac:dyDescent="0.25">
      <c r="A1578" s="2" t="str">
        <f t="shared" si="52"/>
        <v>11420</v>
      </c>
      <c r="B1578" s="2" t="str">
        <f>"46742"</f>
        <v>46742</v>
      </c>
      <c r="C1578" s="1">
        <v>7.8795904854072202E-2</v>
      </c>
      <c r="D1578" s="1">
        <v>1.63522012578616E-2</v>
      </c>
      <c r="E1578" s="1">
        <v>0.103614457831325</v>
      </c>
      <c r="F1578" s="1">
        <v>7.4683427303817301E-2</v>
      </c>
    </row>
    <row r="1579" spans="1:6" x14ac:dyDescent="0.25">
      <c r="A1579" s="2" t="str">
        <f t="shared" si="52"/>
        <v>11420</v>
      </c>
      <c r="B1579" s="2" t="str">
        <f>"46795"</f>
        <v>46795</v>
      </c>
      <c r="C1579" s="1">
        <v>2.0373860337187299E-4</v>
      </c>
      <c r="D1579" s="1">
        <v>0</v>
      </c>
      <c r="E1579" s="1">
        <v>0</v>
      </c>
      <c r="F1579" s="1">
        <v>1.8485996857380501E-4</v>
      </c>
    </row>
    <row r="1580" spans="1:6" x14ac:dyDescent="0.25">
      <c r="A1580" s="2" t="str">
        <f t="shared" si="52"/>
        <v>11420</v>
      </c>
      <c r="B1580" s="2" t="str">
        <f>"46747"</f>
        <v>46747</v>
      </c>
      <c r="C1580" s="1">
        <v>5.3328579432587897E-2</v>
      </c>
      <c r="D1580" s="1">
        <v>2.57861635220125E-2</v>
      </c>
      <c r="E1580" s="1">
        <v>2.16867469879518E-2</v>
      </c>
      <c r="F1580" s="1">
        <v>5.0697846381366103E-2</v>
      </c>
    </row>
    <row r="1581" spans="1:6" x14ac:dyDescent="0.25">
      <c r="A1581" s="2" t="str">
        <f t="shared" si="52"/>
        <v>11420</v>
      </c>
      <c r="B1581" s="2" t="str">
        <f>"46737"</f>
        <v>46737</v>
      </c>
      <c r="C1581" s="1">
        <v>0.22961340600010099</v>
      </c>
      <c r="D1581" s="1">
        <v>0.131446540880503</v>
      </c>
      <c r="E1581" s="1">
        <v>0.12530120481927701</v>
      </c>
      <c r="F1581" s="1">
        <v>0.22039929753211901</v>
      </c>
    </row>
    <row r="1582" spans="1:6" x14ac:dyDescent="0.25">
      <c r="A1582" s="2" t="str">
        <f t="shared" si="52"/>
        <v>11420</v>
      </c>
      <c r="B1582" s="2" t="str">
        <f>"46779"</f>
        <v>46779</v>
      </c>
      <c r="C1582" s="1">
        <v>4.6605205521316098E-2</v>
      </c>
      <c r="D1582" s="1">
        <v>8.1761006289308106E-3</v>
      </c>
      <c r="E1582" s="1">
        <v>4.8192771084337302E-3</v>
      </c>
      <c r="F1582" s="1">
        <v>4.2979942693409698E-2</v>
      </c>
    </row>
    <row r="1583" spans="1:6" x14ac:dyDescent="0.25">
      <c r="A1583" s="2" t="str">
        <f t="shared" ref="A1583:A1598" si="53">"30900"</f>
        <v>30900</v>
      </c>
      <c r="B1583" s="2" t="str">
        <f>"47926"</f>
        <v>47926</v>
      </c>
      <c r="C1583" s="1">
        <v>2.3191094619666E-4</v>
      </c>
      <c r="D1583" s="1">
        <v>0</v>
      </c>
      <c r="E1583" s="1">
        <v>0</v>
      </c>
      <c r="F1583" s="1">
        <v>2.1175224986765399E-4</v>
      </c>
    </row>
    <row r="1584" spans="1:6" x14ac:dyDescent="0.25">
      <c r="A1584" s="2" t="str">
        <f t="shared" si="53"/>
        <v>30900</v>
      </c>
      <c r="B1584" s="2" t="str">
        <f>"46967"</f>
        <v>46967</v>
      </c>
      <c r="C1584" s="1">
        <v>2.4350649350649298E-3</v>
      </c>
      <c r="D1584" s="1">
        <v>1.47492625368731E-3</v>
      </c>
      <c r="E1584" s="1">
        <v>3.49650349650349E-3</v>
      </c>
      <c r="F1584" s="1">
        <v>2.3822128110111101E-3</v>
      </c>
    </row>
    <row r="1585" spans="1:6" x14ac:dyDescent="0.25">
      <c r="A1585" s="2" t="str">
        <f t="shared" si="53"/>
        <v>30900</v>
      </c>
      <c r="B1585" s="2" t="str">
        <f>"46947"</f>
        <v>46947</v>
      </c>
      <c r="C1585" s="1">
        <v>0.73695500927643698</v>
      </c>
      <c r="D1585" s="1">
        <v>0.91224188790560401</v>
      </c>
      <c r="E1585" s="1">
        <v>0.78321678321678301</v>
      </c>
      <c r="F1585" s="1">
        <v>0.75023822128110096</v>
      </c>
    </row>
    <row r="1586" spans="1:6" x14ac:dyDescent="0.25">
      <c r="A1586" s="2" t="str">
        <f t="shared" si="53"/>
        <v>30900</v>
      </c>
      <c r="B1586" s="2" t="str">
        <f>"46950"</f>
        <v>46950</v>
      </c>
      <c r="C1586" s="1">
        <v>1.7567254174397001E-2</v>
      </c>
      <c r="D1586" s="1">
        <v>4.4247787610619399E-3</v>
      </c>
      <c r="E1586" s="1">
        <v>3.49650349650349E-3</v>
      </c>
      <c r="F1586" s="1">
        <v>1.6410799364743201E-2</v>
      </c>
    </row>
    <row r="1587" spans="1:6" x14ac:dyDescent="0.25">
      <c r="A1587" s="2" t="str">
        <f t="shared" si="53"/>
        <v>30900</v>
      </c>
      <c r="B1587" s="2" t="str">
        <f>"46961"</f>
        <v>46961</v>
      </c>
      <c r="C1587" s="1">
        <v>2.9568645640074202E-3</v>
      </c>
      <c r="D1587" s="1">
        <v>2.9498525073746299E-3</v>
      </c>
      <c r="E1587" s="1">
        <v>0</v>
      </c>
      <c r="F1587" s="1">
        <v>2.9115934356802502E-3</v>
      </c>
    </row>
    <row r="1588" spans="1:6" x14ac:dyDescent="0.25">
      <c r="A1588" s="2" t="str">
        <f t="shared" si="53"/>
        <v>30900</v>
      </c>
      <c r="B1588" s="2" t="str">
        <f>"46978"</f>
        <v>46978</v>
      </c>
      <c r="C1588" s="1">
        <v>5.1484230055658602E-2</v>
      </c>
      <c r="D1588" s="1">
        <v>3.0235988200589901E-2</v>
      </c>
      <c r="E1588" s="1">
        <v>4.1958041958041897E-2</v>
      </c>
      <c r="F1588" s="1">
        <v>4.98147167813658E-2</v>
      </c>
    </row>
    <row r="1589" spans="1:6" x14ac:dyDescent="0.25">
      <c r="A1589" s="2" t="str">
        <f t="shared" si="53"/>
        <v>30900</v>
      </c>
      <c r="B1589" s="2" t="str">
        <f>"46951"</f>
        <v>46951</v>
      </c>
      <c r="C1589" s="1">
        <v>1.1595547309833E-4</v>
      </c>
      <c r="D1589" s="1">
        <v>0</v>
      </c>
      <c r="E1589" s="1">
        <v>0</v>
      </c>
      <c r="F1589" s="1">
        <v>1.05876124933827E-4</v>
      </c>
    </row>
    <row r="1590" spans="1:6" x14ac:dyDescent="0.25">
      <c r="A1590" s="2" t="str">
        <f t="shared" si="53"/>
        <v>30900</v>
      </c>
      <c r="B1590" s="2" t="str">
        <f>"46917"</f>
        <v>46917</v>
      </c>
      <c r="C1590" s="1">
        <v>5.7977736549165101E-5</v>
      </c>
      <c r="D1590" s="1">
        <v>0</v>
      </c>
      <c r="E1590" s="1">
        <v>0</v>
      </c>
      <c r="F1590" s="1">
        <v>5.2938062466913702E-5</v>
      </c>
    </row>
    <row r="1591" spans="1:6" x14ac:dyDescent="0.25">
      <c r="A1591" s="2" t="str">
        <f t="shared" si="53"/>
        <v>30900</v>
      </c>
      <c r="B1591" s="2" t="str">
        <f>"46926"</f>
        <v>46926</v>
      </c>
      <c r="C1591" s="1">
        <v>7.5371057513914604E-4</v>
      </c>
      <c r="D1591" s="1">
        <v>1.47492625368731E-3</v>
      </c>
      <c r="E1591" s="1">
        <v>0</v>
      </c>
      <c r="F1591" s="1">
        <v>7.9407093700370501E-4</v>
      </c>
    </row>
    <row r="1592" spans="1:6" x14ac:dyDescent="0.25">
      <c r="A1592" s="2" t="str">
        <f t="shared" si="53"/>
        <v>30900</v>
      </c>
      <c r="B1592" s="2" t="str">
        <f>"46932"</f>
        <v>46932</v>
      </c>
      <c r="C1592" s="1">
        <v>8.6212894248608493E-2</v>
      </c>
      <c r="D1592" s="1">
        <v>2.50737463126843E-2</v>
      </c>
      <c r="E1592" s="1">
        <v>0.101398601398601</v>
      </c>
      <c r="F1592" s="1">
        <v>8.2053996823716197E-2</v>
      </c>
    </row>
    <row r="1593" spans="1:6" x14ac:dyDescent="0.25">
      <c r="A1593" s="2" t="str">
        <f t="shared" si="53"/>
        <v>30900</v>
      </c>
      <c r="B1593" s="2" t="str">
        <f>"46998"</f>
        <v>46998</v>
      </c>
      <c r="C1593" s="1">
        <v>6.3775510204081595E-4</v>
      </c>
      <c r="D1593" s="1">
        <v>7.3746312684365705E-4</v>
      </c>
      <c r="E1593" s="1">
        <v>3.49650349650349E-3</v>
      </c>
      <c r="F1593" s="1">
        <v>6.8819481206987797E-4</v>
      </c>
    </row>
    <row r="1594" spans="1:6" x14ac:dyDescent="0.25">
      <c r="A1594" s="2" t="str">
        <f t="shared" si="53"/>
        <v>30900</v>
      </c>
      <c r="B1594" s="2" t="str">
        <f>"46994"</f>
        <v>46994</v>
      </c>
      <c r="C1594" s="1">
        <v>6.64424860853432E-2</v>
      </c>
      <c r="D1594" s="1">
        <v>1.4011799410029399E-2</v>
      </c>
      <c r="E1594" s="1">
        <v>3.4965034965034898E-2</v>
      </c>
      <c r="F1594" s="1">
        <v>6.22022233986236E-2</v>
      </c>
    </row>
    <row r="1595" spans="1:6" x14ac:dyDescent="0.25">
      <c r="A1595" s="2" t="str">
        <f t="shared" si="53"/>
        <v>30900</v>
      </c>
      <c r="B1595" s="2" t="str">
        <f>"46988"</f>
        <v>46988</v>
      </c>
      <c r="C1595" s="1">
        <v>1.8958719851576902E-2</v>
      </c>
      <c r="D1595" s="1">
        <v>4.4247787610619399E-3</v>
      </c>
      <c r="E1595" s="1">
        <v>1.7482517482517401E-2</v>
      </c>
      <c r="F1595" s="1">
        <v>1.7893065113816799E-2</v>
      </c>
    </row>
    <row r="1596" spans="1:6" x14ac:dyDescent="0.25">
      <c r="A1596" s="2" t="str">
        <f t="shared" si="53"/>
        <v>30900</v>
      </c>
      <c r="B1596" s="2" t="str">
        <f>"46970"</f>
        <v>46970</v>
      </c>
      <c r="C1596" s="1">
        <v>1.4900278293135401E-2</v>
      </c>
      <c r="D1596" s="1">
        <v>2.9498525073746299E-3</v>
      </c>
      <c r="E1596" s="1">
        <v>6.9930069930069904E-3</v>
      </c>
      <c r="F1596" s="1">
        <v>1.39227104287983E-2</v>
      </c>
    </row>
    <row r="1597" spans="1:6" x14ac:dyDescent="0.25">
      <c r="A1597" s="2" t="str">
        <f t="shared" si="53"/>
        <v>30900</v>
      </c>
      <c r="B1597" s="2" t="str">
        <f>"46901"</f>
        <v>46901</v>
      </c>
      <c r="C1597" s="1">
        <v>2.8988868274582502E-4</v>
      </c>
      <c r="D1597" s="1">
        <v>0</v>
      </c>
      <c r="E1597" s="1">
        <v>0</v>
      </c>
      <c r="F1597" s="1">
        <v>2.6469031233456797E-4</v>
      </c>
    </row>
    <row r="1598" spans="1:6" x14ac:dyDescent="0.25">
      <c r="A1598" s="2" t="str">
        <f t="shared" si="53"/>
        <v>30900</v>
      </c>
      <c r="B1598" s="2" t="str">
        <f>"46942"</f>
        <v>46942</v>
      </c>
      <c r="C1598" s="1">
        <v>0</v>
      </c>
      <c r="D1598" s="1">
        <v>0</v>
      </c>
      <c r="E1598" s="1">
        <v>3.49650349650349E-3</v>
      </c>
      <c r="F1598" s="1">
        <v>5.2938062466913702E-5</v>
      </c>
    </row>
    <row r="1599" spans="1:6" x14ac:dyDescent="0.25">
      <c r="A1599" s="2" t="str">
        <f t="shared" ref="A1599:A1611" si="54">"13260"</f>
        <v>13260</v>
      </c>
      <c r="B1599" s="2" t="str">
        <f>"47451"</f>
        <v>47451</v>
      </c>
      <c r="C1599" s="1">
        <v>2.8322349211645899E-2</v>
      </c>
      <c r="D1599" s="1">
        <v>1.13519091847265E-2</v>
      </c>
      <c r="E1599" s="1">
        <v>8.3989501312335901E-2</v>
      </c>
      <c r="F1599" s="1">
        <v>2.78781424713802E-2</v>
      </c>
    </row>
    <row r="1600" spans="1:6" x14ac:dyDescent="0.25">
      <c r="A1600" s="2" t="str">
        <f t="shared" si="54"/>
        <v>13260</v>
      </c>
      <c r="B1600" s="2" t="str">
        <f>"47446"</f>
        <v>47446</v>
      </c>
      <c r="C1600" s="1">
        <v>0.20847584883623901</v>
      </c>
      <c r="D1600" s="1">
        <v>0.14963880288957601</v>
      </c>
      <c r="E1600" s="1">
        <v>9.9737532808398893E-2</v>
      </c>
      <c r="F1600" s="1">
        <v>0.202563419921652</v>
      </c>
    </row>
    <row r="1601" spans="1:6" x14ac:dyDescent="0.25">
      <c r="A1601" s="2" t="str">
        <f t="shared" si="54"/>
        <v>13260</v>
      </c>
      <c r="B1601" s="2" t="str">
        <f>"47436"</f>
        <v>47436</v>
      </c>
      <c r="C1601" s="1">
        <v>2.6695586885792901E-2</v>
      </c>
      <c r="D1601" s="1">
        <v>9.8039215686274508E-3</v>
      </c>
      <c r="E1601" s="1">
        <v>0</v>
      </c>
      <c r="F1601" s="1">
        <v>2.5063705168675999E-2</v>
      </c>
    </row>
    <row r="1602" spans="1:6" x14ac:dyDescent="0.25">
      <c r="A1602" s="2" t="str">
        <f t="shared" si="54"/>
        <v>13260</v>
      </c>
      <c r="B1602" s="2" t="str">
        <f>"47467"</f>
        <v>47467</v>
      </c>
      <c r="C1602" s="1">
        <v>0</v>
      </c>
      <c r="D1602" s="1">
        <v>0</v>
      </c>
      <c r="E1602" s="1">
        <v>2.62467191601049E-3</v>
      </c>
      <c r="F1602" s="1">
        <v>3.8032936523028898E-5</v>
      </c>
    </row>
    <row r="1603" spans="1:6" x14ac:dyDescent="0.25">
      <c r="A1603" s="2" t="str">
        <f t="shared" si="54"/>
        <v>13260</v>
      </c>
      <c r="B1603" s="2" t="str">
        <f>"47470"</f>
        <v>47470</v>
      </c>
      <c r="C1603" s="1">
        <v>3.12421790272795E-2</v>
      </c>
      <c r="D1603" s="1">
        <v>8.2559339525283704E-3</v>
      </c>
      <c r="E1603" s="1">
        <v>1.0498687664041899E-2</v>
      </c>
      <c r="F1603" s="1">
        <v>2.92473281862092E-2</v>
      </c>
    </row>
    <row r="1604" spans="1:6" x14ac:dyDescent="0.25">
      <c r="A1604" s="2" t="str">
        <f t="shared" si="54"/>
        <v>13260</v>
      </c>
      <c r="B1604" s="2" t="str">
        <f>"47452"</f>
        <v>47452</v>
      </c>
      <c r="C1604" s="1">
        <v>7.8001167931926203E-3</v>
      </c>
      <c r="D1604" s="1">
        <v>5.1599587203302304E-4</v>
      </c>
      <c r="E1604" s="1">
        <v>0</v>
      </c>
      <c r="F1604" s="1">
        <v>7.1501920663294399E-3</v>
      </c>
    </row>
    <row r="1605" spans="1:6" x14ac:dyDescent="0.25">
      <c r="A1605" s="2" t="str">
        <f t="shared" si="54"/>
        <v>13260</v>
      </c>
      <c r="B1605" s="2" t="str">
        <f>"47108"</f>
        <v>47108</v>
      </c>
      <c r="C1605" s="1">
        <v>2.5027112705430798E-4</v>
      </c>
      <c r="D1605" s="1">
        <v>0</v>
      </c>
      <c r="E1605" s="1">
        <v>5.2493438320209904E-3</v>
      </c>
      <c r="F1605" s="1">
        <v>3.0426349218423102E-4</v>
      </c>
    </row>
    <row r="1606" spans="1:6" x14ac:dyDescent="0.25">
      <c r="A1606" s="2" t="str">
        <f t="shared" si="54"/>
        <v>13260</v>
      </c>
      <c r="B1606" s="2" t="str">
        <f>"47260"</f>
        <v>47260</v>
      </c>
      <c r="C1606" s="1">
        <v>1.6684741803620499E-4</v>
      </c>
      <c r="D1606" s="1">
        <v>0</v>
      </c>
      <c r="E1606" s="1">
        <v>0</v>
      </c>
      <c r="F1606" s="1">
        <v>1.5213174609211499E-4</v>
      </c>
    </row>
    <row r="1607" spans="1:6" x14ac:dyDescent="0.25">
      <c r="A1607" s="2" t="str">
        <f t="shared" si="54"/>
        <v>13260</v>
      </c>
      <c r="B1607" s="2" t="str">
        <f>"47420"</f>
        <v>47420</v>
      </c>
      <c r="C1607" s="1">
        <v>0</v>
      </c>
      <c r="D1607" s="1">
        <v>0</v>
      </c>
      <c r="E1607" s="1">
        <v>2.62467191601049E-3</v>
      </c>
      <c r="F1607" s="1">
        <v>3.8032936523028898E-5</v>
      </c>
    </row>
    <row r="1608" spans="1:6" x14ac:dyDescent="0.25">
      <c r="A1608" s="2" t="str">
        <f t="shared" si="54"/>
        <v>13260</v>
      </c>
      <c r="B1608" s="2" t="str">
        <f>"47462"</f>
        <v>47462</v>
      </c>
      <c r="C1608" s="1">
        <v>6.5571035288228899E-2</v>
      </c>
      <c r="D1608" s="1">
        <v>8.7719298245613996E-3</v>
      </c>
      <c r="E1608" s="1">
        <v>5.2493438320209904E-3</v>
      </c>
      <c r="F1608" s="1">
        <v>6.0510402008139001E-2</v>
      </c>
    </row>
    <row r="1609" spans="1:6" x14ac:dyDescent="0.25">
      <c r="A1609" s="2" t="str">
        <f t="shared" si="54"/>
        <v>13260</v>
      </c>
      <c r="B1609" s="2" t="str">
        <f>"47437"</f>
        <v>47437</v>
      </c>
      <c r="C1609" s="1">
        <v>4.1711854509051403E-5</v>
      </c>
      <c r="D1609" s="1">
        <v>5.1599587203302304E-4</v>
      </c>
      <c r="E1609" s="1">
        <v>2.62467191601049E-3</v>
      </c>
      <c r="F1609" s="1">
        <v>1.1409880956908599E-4</v>
      </c>
    </row>
    <row r="1610" spans="1:6" x14ac:dyDescent="0.25">
      <c r="A1610" s="2" t="str">
        <f t="shared" si="54"/>
        <v>13260</v>
      </c>
      <c r="B1610" s="2" t="str">
        <f>"47264"</f>
        <v>47264</v>
      </c>
      <c r="C1610" s="1">
        <v>5.4225410861766903E-3</v>
      </c>
      <c r="D1610" s="1">
        <v>1.54798761609907E-3</v>
      </c>
      <c r="E1610" s="1">
        <v>0</v>
      </c>
      <c r="F1610" s="1">
        <v>5.05838055756284E-3</v>
      </c>
    </row>
    <row r="1611" spans="1:6" x14ac:dyDescent="0.25">
      <c r="A1611" s="2" t="str">
        <f t="shared" si="54"/>
        <v>13260</v>
      </c>
      <c r="B1611" s="2" t="str">
        <f>"47421"</f>
        <v>47421</v>
      </c>
      <c r="C1611" s="1">
        <v>0.62601151247184394</v>
      </c>
      <c r="D1611" s="1">
        <v>0.80959752321981404</v>
      </c>
      <c r="E1611" s="1">
        <v>0.78740157480314898</v>
      </c>
      <c r="F1611" s="1">
        <v>0.64188186969915895</v>
      </c>
    </row>
    <row r="1612" spans="1:6" x14ac:dyDescent="0.25">
      <c r="A1612" s="2" t="str">
        <f t="shared" ref="A1612:A1629" si="55">"13020"</f>
        <v>13020</v>
      </c>
      <c r="B1612" s="2" t="str">
        <f>"48710"</f>
        <v>48710</v>
      </c>
      <c r="C1612" s="1">
        <v>0</v>
      </c>
      <c r="D1612" s="1">
        <v>4.9788399302962399E-4</v>
      </c>
      <c r="E1612" s="1">
        <v>0</v>
      </c>
      <c r="F1612" s="1">
        <v>3.4966257561453099E-5</v>
      </c>
    </row>
    <row r="1613" spans="1:6" x14ac:dyDescent="0.25">
      <c r="A1613" s="2" t="str">
        <f t="shared" si="55"/>
        <v>13020</v>
      </c>
      <c r="B1613" s="2" t="str">
        <f>"48659"</f>
        <v>48659</v>
      </c>
      <c r="C1613" s="1">
        <v>8.9017900338655E-4</v>
      </c>
      <c r="D1613" s="1">
        <v>9.9576798605924798E-4</v>
      </c>
      <c r="E1613" s="1">
        <v>0</v>
      </c>
      <c r="F1613" s="1">
        <v>8.7415643903632895E-4</v>
      </c>
    </row>
    <row r="1614" spans="1:6" x14ac:dyDescent="0.25">
      <c r="A1614" s="2" t="str">
        <f t="shared" si="55"/>
        <v>13020</v>
      </c>
      <c r="B1614" s="2" t="str">
        <f>"48611"</f>
        <v>48611</v>
      </c>
      <c r="C1614" s="1">
        <v>5.4029995162070597E-2</v>
      </c>
      <c r="D1614" s="1">
        <v>4.2818023400547599E-2</v>
      </c>
      <c r="E1614" s="1">
        <v>5.1792828685258897E-2</v>
      </c>
      <c r="F1614" s="1">
        <v>5.3183677750970298E-2</v>
      </c>
    </row>
    <row r="1615" spans="1:6" x14ac:dyDescent="0.25">
      <c r="A1615" s="2" t="str">
        <f t="shared" si="55"/>
        <v>13020</v>
      </c>
      <c r="B1615" s="2" t="str">
        <f>"48706"</f>
        <v>48706</v>
      </c>
      <c r="C1615" s="1">
        <v>0.37648766328011601</v>
      </c>
      <c r="D1615" s="1">
        <v>0.40428180234005401</v>
      </c>
      <c r="E1615" s="1">
        <v>0.36653386454183201</v>
      </c>
      <c r="F1615" s="1">
        <v>0.37817755865589697</v>
      </c>
    </row>
    <row r="1616" spans="1:6" x14ac:dyDescent="0.25">
      <c r="A1616" s="2" t="str">
        <f t="shared" si="55"/>
        <v>13020</v>
      </c>
      <c r="B1616" s="2" t="str">
        <f>"48708"</f>
        <v>48708</v>
      </c>
      <c r="C1616" s="1">
        <v>0.25081761006289299</v>
      </c>
      <c r="D1616" s="1">
        <v>0.32213094349016602</v>
      </c>
      <c r="E1616" s="1">
        <v>0.40571049136786103</v>
      </c>
      <c r="F1616" s="1">
        <v>0.25990419245428098</v>
      </c>
    </row>
    <row r="1617" spans="1:6" x14ac:dyDescent="0.25">
      <c r="A1617" s="2" t="str">
        <f t="shared" si="55"/>
        <v>13020</v>
      </c>
      <c r="B1617" s="2" t="str">
        <f>"48650"</f>
        <v>48650</v>
      </c>
      <c r="C1617" s="1">
        <v>6.2080309627479402E-2</v>
      </c>
      <c r="D1617" s="1">
        <v>3.0619865571321798E-2</v>
      </c>
      <c r="E1617" s="1">
        <v>2.78884462151394E-2</v>
      </c>
      <c r="F1617" s="1">
        <v>5.8970593377390801E-2</v>
      </c>
    </row>
    <row r="1618" spans="1:6" x14ac:dyDescent="0.25">
      <c r="A1618" s="2" t="str">
        <f t="shared" si="55"/>
        <v>13020</v>
      </c>
      <c r="B1618" s="2" t="str">
        <f>"48707"</f>
        <v>48707</v>
      </c>
      <c r="C1618" s="1">
        <v>1.42815674891146E-2</v>
      </c>
      <c r="D1618" s="1">
        <v>5.2775703261140103E-2</v>
      </c>
      <c r="E1618" s="1">
        <v>1.3280212483399701E-3</v>
      </c>
      <c r="F1618" s="1">
        <v>1.6643938599251701E-2</v>
      </c>
    </row>
    <row r="1619" spans="1:6" x14ac:dyDescent="0.25">
      <c r="A1619" s="2" t="str">
        <f t="shared" si="55"/>
        <v>13020</v>
      </c>
      <c r="B1619" s="2" t="str">
        <f>"48658"</f>
        <v>48658</v>
      </c>
      <c r="C1619" s="1">
        <v>1.6061925495887701E-3</v>
      </c>
      <c r="D1619" s="1">
        <v>4.9788399302962399E-4</v>
      </c>
      <c r="E1619" s="1">
        <v>0</v>
      </c>
      <c r="F1619" s="1">
        <v>1.48606594636176E-3</v>
      </c>
    </row>
    <row r="1620" spans="1:6" x14ac:dyDescent="0.25">
      <c r="A1620" s="2" t="str">
        <f t="shared" si="55"/>
        <v>13020</v>
      </c>
      <c r="B1620" s="2" t="str">
        <f>"48652"</f>
        <v>48652</v>
      </c>
      <c r="C1620" s="1">
        <v>4.6250604741170697E-3</v>
      </c>
      <c r="D1620" s="1">
        <v>0</v>
      </c>
      <c r="E1620" s="1">
        <v>0</v>
      </c>
      <c r="F1620" s="1">
        <v>4.1784677785936496E-3</v>
      </c>
    </row>
    <row r="1621" spans="1:6" x14ac:dyDescent="0.25">
      <c r="A1621" s="2" t="str">
        <f t="shared" si="55"/>
        <v>13020</v>
      </c>
      <c r="B1621" s="2" t="str">
        <f>"48732"</f>
        <v>48732</v>
      </c>
      <c r="C1621" s="1">
        <v>0.10900822447992201</v>
      </c>
      <c r="D1621" s="1">
        <v>7.5927308937017601E-2</v>
      </c>
      <c r="E1621" s="1">
        <v>0.127490039840637</v>
      </c>
      <c r="F1621" s="1">
        <v>0.10717157942585399</v>
      </c>
    </row>
    <row r="1622" spans="1:6" x14ac:dyDescent="0.25">
      <c r="A1622" s="2" t="str">
        <f t="shared" si="55"/>
        <v>13020</v>
      </c>
      <c r="B1622" s="2" t="str">
        <f>"48604"</f>
        <v>48604</v>
      </c>
      <c r="C1622" s="1">
        <v>1.99322689888727E-3</v>
      </c>
      <c r="D1622" s="1">
        <v>0</v>
      </c>
      <c r="E1622" s="1">
        <v>1.9920318725099601E-3</v>
      </c>
      <c r="F1622" s="1">
        <v>1.8532116507570099E-3</v>
      </c>
    </row>
    <row r="1623" spans="1:6" x14ac:dyDescent="0.25">
      <c r="A1623" s="2" t="str">
        <f t="shared" si="55"/>
        <v>13020</v>
      </c>
      <c r="B1623" s="2" t="str">
        <f>"48634"</f>
        <v>48634</v>
      </c>
      <c r="C1623" s="1">
        <v>3.7290759554910402E-2</v>
      </c>
      <c r="D1623" s="1">
        <v>2.7881503609658902E-2</v>
      </c>
      <c r="E1623" s="1">
        <v>6.6401062416998604E-3</v>
      </c>
      <c r="F1623" s="1">
        <v>3.5822930871708798E-2</v>
      </c>
    </row>
    <row r="1624" spans="1:6" x14ac:dyDescent="0.25">
      <c r="A1624" s="2" t="str">
        <f t="shared" si="55"/>
        <v>13020</v>
      </c>
      <c r="B1624" s="2" t="str">
        <f>"48747"</f>
        <v>48747</v>
      </c>
      <c r="C1624" s="1">
        <v>1.20367682631833E-2</v>
      </c>
      <c r="D1624" s="1">
        <v>5.97460791635548E-3</v>
      </c>
      <c r="E1624" s="1">
        <v>0</v>
      </c>
      <c r="F1624" s="1">
        <v>1.1294101192349301E-2</v>
      </c>
    </row>
    <row r="1625" spans="1:6" x14ac:dyDescent="0.25">
      <c r="A1625" s="2" t="str">
        <f t="shared" si="55"/>
        <v>13020</v>
      </c>
      <c r="B1625" s="2" t="str">
        <f>"48631"</f>
        <v>48631</v>
      </c>
      <c r="C1625" s="1">
        <v>3.96323173681664E-2</v>
      </c>
      <c r="D1625" s="1">
        <v>2.9375155588747801E-2</v>
      </c>
      <c r="E1625" s="1">
        <v>5.9760956175298804E-3</v>
      </c>
      <c r="F1625" s="1">
        <v>3.8025805098080297E-2</v>
      </c>
    </row>
    <row r="1626" spans="1:6" x14ac:dyDescent="0.25">
      <c r="A1626" s="2" t="str">
        <f t="shared" si="55"/>
        <v>13020</v>
      </c>
      <c r="B1626" s="2" t="str">
        <f>"48623"</f>
        <v>48623</v>
      </c>
      <c r="C1626" s="1">
        <v>5.1669085631349696E-3</v>
      </c>
      <c r="D1626" s="1">
        <v>1.9915359721184899E-3</v>
      </c>
      <c r="E1626" s="1">
        <v>1.3280212483399701E-3</v>
      </c>
      <c r="F1626" s="1">
        <v>4.8428266722612603E-3</v>
      </c>
    </row>
    <row r="1627" spans="1:6" x14ac:dyDescent="0.25">
      <c r="A1627" s="2" t="str">
        <f t="shared" si="55"/>
        <v>13020</v>
      </c>
      <c r="B1627" s="2" t="str">
        <f>"48757"</f>
        <v>48757</v>
      </c>
      <c r="C1627" s="1">
        <v>4.644412191582E-4</v>
      </c>
      <c r="D1627" s="1">
        <v>0</v>
      </c>
      <c r="E1627" s="1">
        <v>0</v>
      </c>
      <c r="F1627" s="1">
        <v>4.19595090737438E-4</v>
      </c>
    </row>
    <row r="1628" spans="1:6" x14ac:dyDescent="0.25">
      <c r="A1628" s="2" t="str">
        <f t="shared" si="55"/>
        <v>13020</v>
      </c>
      <c r="B1628" s="2" t="str">
        <f>"48642"</f>
        <v>48642</v>
      </c>
      <c r="C1628" s="1">
        <v>2.0570875665215201E-2</v>
      </c>
      <c r="D1628" s="1">
        <v>3.4851879512073601E-3</v>
      </c>
      <c r="E1628" s="1">
        <v>3.3200531208499302E-3</v>
      </c>
      <c r="F1628" s="1">
        <v>1.89167453407461E-2</v>
      </c>
    </row>
    <row r="1629" spans="1:6" x14ac:dyDescent="0.25">
      <c r="A1629" s="2" t="str">
        <f t="shared" si="55"/>
        <v>13020</v>
      </c>
      <c r="B1629" s="2" t="str">
        <f>"48613"</f>
        <v>48613</v>
      </c>
      <c r="C1629" s="1">
        <v>9.0179003386550508E-3</v>
      </c>
      <c r="D1629" s="1">
        <v>7.4682598954443598E-4</v>
      </c>
      <c r="E1629" s="1">
        <v>0</v>
      </c>
      <c r="F1629" s="1">
        <v>8.1995873981607695E-3</v>
      </c>
    </row>
    <row r="1630" spans="1:6" x14ac:dyDescent="0.25">
      <c r="A1630" s="2" t="str">
        <f t="shared" ref="A1630:A1650" si="56">"26340"</f>
        <v>26340</v>
      </c>
      <c r="B1630" s="2" t="str">
        <f>"49961"</f>
        <v>49961</v>
      </c>
      <c r="C1630" s="1">
        <v>2.9477891581314E-3</v>
      </c>
      <c r="D1630" s="1">
        <v>0</v>
      </c>
      <c r="E1630" s="1">
        <v>1.1806375442739E-3</v>
      </c>
      <c r="F1630" s="1">
        <v>2.6492405510420299E-3</v>
      </c>
    </row>
    <row r="1631" spans="1:6" x14ac:dyDescent="0.25">
      <c r="A1631" s="2" t="str">
        <f t="shared" si="56"/>
        <v>26340</v>
      </c>
      <c r="B1631" s="2" t="str">
        <f>"49952"</f>
        <v>49952</v>
      </c>
      <c r="C1631" s="1">
        <v>2.64801398950786E-3</v>
      </c>
      <c r="D1631" s="1">
        <v>5.5991041433370596E-4</v>
      </c>
      <c r="E1631" s="1">
        <v>1.1806375442739E-3</v>
      </c>
      <c r="F1631" s="1">
        <v>2.42847050512186E-3</v>
      </c>
    </row>
    <row r="1632" spans="1:6" x14ac:dyDescent="0.25">
      <c r="A1632" s="2" t="str">
        <f t="shared" si="56"/>
        <v>26340</v>
      </c>
      <c r="B1632" s="2" t="str">
        <f>"49965"</f>
        <v>49965</v>
      </c>
      <c r="C1632" s="1">
        <v>1.26405196102922E-2</v>
      </c>
      <c r="D1632" s="1">
        <v>7.2788353863381802E-3</v>
      </c>
      <c r="E1632" s="1">
        <v>1.1806375442739E-3</v>
      </c>
      <c r="F1632" s="1">
        <v>1.1789120452137E-2</v>
      </c>
    </row>
    <row r="1633" spans="1:6" x14ac:dyDescent="0.25">
      <c r="A1633" s="2" t="str">
        <f t="shared" si="56"/>
        <v>26340</v>
      </c>
      <c r="B1633" s="2" t="str">
        <f>"49930"</f>
        <v>49930</v>
      </c>
      <c r="C1633" s="1">
        <v>0.17421933549837601</v>
      </c>
      <c r="D1633" s="1">
        <v>0.217245240761478</v>
      </c>
      <c r="E1633" s="1">
        <v>0.27863046044864198</v>
      </c>
      <c r="F1633" s="1">
        <v>0.181517131755563</v>
      </c>
    </row>
    <row r="1634" spans="1:6" x14ac:dyDescent="0.25">
      <c r="A1634" s="2" t="str">
        <f t="shared" si="56"/>
        <v>26340</v>
      </c>
      <c r="B1634" s="2" t="str">
        <f>"49945"</f>
        <v>49945</v>
      </c>
      <c r="C1634" s="1">
        <v>9.0032475643267496E-2</v>
      </c>
      <c r="D1634" s="1">
        <v>4.1433370660694198E-2</v>
      </c>
      <c r="E1634" s="1">
        <v>3.8961038961038898E-2</v>
      </c>
      <c r="F1634" s="1">
        <v>8.4290003532320704E-2</v>
      </c>
    </row>
    <row r="1635" spans="1:6" x14ac:dyDescent="0.25">
      <c r="A1635" s="2" t="str">
        <f t="shared" si="56"/>
        <v>26340</v>
      </c>
      <c r="B1635" s="2" t="str">
        <f>"49931"</f>
        <v>49931</v>
      </c>
      <c r="C1635" s="1">
        <v>0.213240069947539</v>
      </c>
      <c r="D1635" s="1">
        <v>0.38633818589025698</v>
      </c>
      <c r="E1635" s="1">
        <v>0.46044864226682403</v>
      </c>
      <c r="F1635" s="1">
        <v>0.23613564111621299</v>
      </c>
    </row>
    <row r="1636" spans="1:6" x14ac:dyDescent="0.25">
      <c r="A1636" s="2" t="str">
        <f t="shared" si="56"/>
        <v>26340</v>
      </c>
      <c r="B1636" s="2" t="str">
        <f>"49913"</f>
        <v>49913</v>
      </c>
      <c r="C1636" s="1">
        <v>0.215388458656007</v>
      </c>
      <c r="D1636" s="1">
        <v>0.24524076147816301</v>
      </c>
      <c r="E1636" s="1">
        <v>0.15702479338842901</v>
      </c>
      <c r="F1636" s="1">
        <v>0.215559872836453</v>
      </c>
    </row>
    <row r="1637" spans="1:6" x14ac:dyDescent="0.25">
      <c r="A1637" s="2" t="str">
        <f t="shared" si="56"/>
        <v>26340</v>
      </c>
      <c r="B1637" s="2" t="str">
        <f>"49955"</f>
        <v>49955</v>
      </c>
      <c r="C1637" s="1">
        <v>0</v>
      </c>
      <c r="D1637" s="1">
        <v>0</v>
      </c>
      <c r="E1637" s="1">
        <v>1.1806375442739E-3</v>
      </c>
      <c r="F1637" s="1">
        <v>4.4154009184033902E-5</v>
      </c>
    </row>
    <row r="1638" spans="1:6" x14ac:dyDescent="0.25">
      <c r="A1638" s="2" t="str">
        <f t="shared" si="56"/>
        <v>26340</v>
      </c>
      <c r="B1638" s="2" t="str">
        <f>"49967"</f>
        <v>49967</v>
      </c>
      <c r="C1638" s="1">
        <v>7.5443417436922297E-3</v>
      </c>
      <c r="D1638" s="1">
        <v>1.67973124300111E-3</v>
      </c>
      <c r="E1638" s="1">
        <v>0</v>
      </c>
      <c r="F1638" s="1">
        <v>6.7997174143412196E-3</v>
      </c>
    </row>
    <row r="1639" spans="1:6" x14ac:dyDescent="0.25">
      <c r="A1639" s="2" t="str">
        <f t="shared" si="56"/>
        <v>26340</v>
      </c>
      <c r="B1639" s="2" t="str">
        <f>"49905"</f>
        <v>49905</v>
      </c>
      <c r="C1639" s="1">
        <v>4.11191606295278E-2</v>
      </c>
      <c r="D1639" s="1">
        <v>1.1198208286674101E-2</v>
      </c>
      <c r="E1639" s="1">
        <v>3.5419126328217199E-3</v>
      </c>
      <c r="F1639" s="1">
        <v>3.7354291769692599E-2</v>
      </c>
    </row>
    <row r="1640" spans="1:6" x14ac:dyDescent="0.25">
      <c r="A1640" s="2" t="str">
        <f t="shared" si="56"/>
        <v>26340</v>
      </c>
      <c r="B1640" s="2" t="str">
        <f>"49950"</f>
        <v>49950</v>
      </c>
      <c r="C1640" s="1">
        <v>5.1711216587559297E-2</v>
      </c>
      <c r="D1640" s="1">
        <v>1.23180291153415E-2</v>
      </c>
      <c r="E1640" s="1">
        <v>1.1806375442739E-3</v>
      </c>
      <c r="F1640" s="1">
        <v>4.67149417167078E-2</v>
      </c>
    </row>
    <row r="1641" spans="1:6" x14ac:dyDescent="0.25">
      <c r="A1641" s="2" t="str">
        <f t="shared" si="56"/>
        <v>26340</v>
      </c>
      <c r="B1641" s="2" t="str">
        <f>"49805"</f>
        <v>49805</v>
      </c>
      <c r="C1641" s="1">
        <v>1.20409692730452E-2</v>
      </c>
      <c r="D1641" s="1">
        <v>5.5991041433370598E-3</v>
      </c>
      <c r="E1641" s="1">
        <v>2.3612750885478101E-3</v>
      </c>
      <c r="F1641" s="1">
        <v>1.11709643235605E-2</v>
      </c>
    </row>
    <row r="1642" spans="1:6" x14ac:dyDescent="0.25">
      <c r="A1642" s="2" t="str">
        <f t="shared" si="56"/>
        <v>26340</v>
      </c>
      <c r="B1642" s="2" t="str">
        <f>"49934"</f>
        <v>49934</v>
      </c>
      <c r="C1642" s="1">
        <v>2.0334748938296201E-2</v>
      </c>
      <c r="D1642" s="1">
        <v>1.39977603583426E-2</v>
      </c>
      <c r="E1642" s="1">
        <v>1.1806375442739E-3</v>
      </c>
      <c r="F1642" s="1">
        <v>1.9118685976686599E-2</v>
      </c>
    </row>
    <row r="1643" spans="1:6" x14ac:dyDescent="0.25">
      <c r="A1643" s="2" t="str">
        <f t="shared" si="56"/>
        <v>26340</v>
      </c>
      <c r="B1643" s="2" t="str">
        <f>"49958"</f>
        <v>49958</v>
      </c>
      <c r="C1643" s="1">
        <v>2.0384711466400099E-2</v>
      </c>
      <c r="D1643" s="1">
        <v>4.4792833146696503E-3</v>
      </c>
      <c r="E1643" s="1">
        <v>0</v>
      </c>
      <c r="F1643" s="1">
        <v>1.8368067820558099E-2</v>
      </c>
    </row>
    <row r="1644" spans="1:6" x14ac:dyDescent="0.25">
      <c r="A1644" s="2" t="str">
        <f t="shared" si="56"/>
        <v>26340</v>
      </c>
      <c r="B1644" s="2" t="str">
        <f>"49901"</f>
        <v>49901</v>
      </c>
      <c r="C1644" s="1">
        <v>9.0432175868098898E-3</v>
      </c>
      <c r="D1644" s="1">
        <v>3.9193729003359403E-3</v>
      </c>
      <c r="E1644" s="1">
        <v>1.1806375442739E-3</v>
      </c>
      <c r="F1644" s="1">
        <v>8.3451077357823995E-3</v>
      </c>
    </row>
    <row r="1645" spans="1:6" x14ac:dyDescent="0.25">
      <c r="A1645" s="2" t="str">
        <f t="shared" si="56"/>
        <v>26340</v>
      </c>
      <c r="B1645" s="2" t="str">
        <f>"49916"</f>
        <v>49916</v>
      </c>
      <c r="C1645" s="1">
        <v>7.0197351986010403E-2</v>
      </c>
      <c r="D1645" s="1">
        <v>1.7917133258678601E-2</v>
      </c>
      <c r="E1645" s="1">
        <v>1.2987012987012899E-2</v>
      </c>
      <c r="F1645" s="1">
        <v>6.3935005298481104E-2</v>
      </c>
    </row>
    <row r="1646" spans="1:6" x14ac:dyDescent="0.25">
      <c r="A1646" s="2" t="str">
        <f t="shared" si="56"/>
        <v>26340</v>
      </c>
      <c r="B1646" s="2" t="str">
        <f>"49963"</f>
        <v>49963</v>
      </c>
      <c r="C1646" s="1">
        <v>1.4688983262552999E-2</v>
      </c>
      <c r="D1646" s="1">
        <v>2.2396416573348199E-3</v>
      </c>
      <c r="E1646" s="1">
        <v>8.2644628099173504E-3</v>
      </c>
      <c r="F1646" s="1">
        <v>1.34669728011303E-2</v>
      </c>
    </row>
    <row r="1647" spans="1:6" x14ac:dyDescent="0.25">
      <c r="A1647" s="2" t="str">
        <f t="shared" si="56"/>
        <v>26340</v>
      </c>
      <c r="B1647" s="2" t="str">
        <f>"49917"</f>
        <v>49917</v>
      </c>
      <c r="C1647" s="1">
        <v>5.4459155633275001E-3</v>
      </c>
      <c r="D1647" s="1">
        <v>5.5991041433370596E-4</v>
      </c>
      <c r="E1647" s="1">
        <v>1.1806375442739E-3</v>
      </c>
      <c r="F1647" s="1">
        <v>4.90109501942776E-3</v>
      </c>
    </row>
    <row r="1648" spans="1:6" x14ac:dyDescent="0.25">
      <c r="A1648" s="2" t="str">
        <f t="shared" si="56"/>
        <v>26340</v>
      </c>
      <c r="B1648" s="2" t="str">
        <f>"49922"</f>
        <v>49922</v>
      </c>
      <c r="C1648" s="1">
        <v>1.72370721958531E-2</v>
      </c>
      <c r="D1648" s="1">
        <v>1.00783874580067E-2</v>
      </c>
      <c r="E1648" s="1">
        <v>5.9031877213695299E-3</v>
      </c>
      <c r="F1648" s="1">
        <v>1.6248675379724398E-2</v>
      </c>
    </row>
    <row r="1649" spans="1:6" x14ac:dyDescent="0.25">
      <c r="A1649" s="2" t="str">
        <f t="shared" si="56"/>
        <v>26340</v>
      </c>
      <c r="B1649" s="2" t="str">
        <f>"49921"</f>
        <v>49921</v>
      </c>
      <c r="C1649" s="1">
        <v>1.41893579815138E-2</v>
      </c>
      <c r="D1649" s="1">
        <v>2.2396416573348199E-3</v>
      </c>
      <c r="E1649" s="1">
        <v>1.5348288075560801E-2</v>
      </c>
      <c r="F1649" s="1">
        <v>1.32903567643942E-2</v>
      </c>
    </row>
    <row r="1650" spans="1:6" x14ac:dyDescent="0.25">
      <c r="A1650" s="2" t="str">
        <f t="shared" si="56"/>
        <v>26340</v>
      </c>
      <c r="B1650" s="2" t="str">
        <f>"49918"</f>
        <v>49918</v>
      </c>
      <c r="C1650" s="1">
        <v>4.9462902822882803E-3</v>
      </c>
      <c r="D1650" s="1">
        <v>1.5677491601343699E-2</v>
      </c>
      <c r="E1650" s="1">
        <v>7.0838252656434397E-3</v>
      </c>
      <c r="F1650" s="1">
        <v>5.8724832214765103E-3</v>
      </c>
    </row>
    <row r="1651" spans="1:6" x14ac:dyDescent="0.25">
      <c r="A1651" s="2" t="str">
        <f t="shared" ref="A1651:A1666" si="57">"32100"</f>
        <v>32100</v>
      </c>
      <c r="B1651" s="2" t="str">
        <f>"49880"</f>
        <v>49880</v>
      </c>
      <c r="C1651" s="1">
        <v>5.4907137927930599E-3</v>
      </c>
      <c r="D1651" s="1">
        <v>6.8989306657468003E-4</v>
      </c>
      <c r="E1651" s="1">
        <v>0</v>
      </c>
      <c r="F1651" s="1">
        <v>4.9173356015097501E-3</v>
      </c>
    </row>
    <row r="1652" spans="1:6" x14ac:dyDescent="0.25">
      <c r="A1652" s="2" t="str">
        <f t="shared" si="57"/>
        <v>32100</v>
      </c>
      <c r="B1652" s="2" t="str">
        <f>"49808"</f>
        <v>49808</v>
      </c>
      <c r="C1652" s="1">
        <v>0</v>
      </c>
      <c r="D1652" s="1">
        <v>0</v>
      </c>
      <c r="E1652" s="1">
        <v>7.1736011477761797E-4</v>
      </c>
      <c r="F1652" s="1">
        <v>2.6580192440593201E-5</v>
      </c>
    </row>
    <row r="1653" spans="1:6" x14ac:dyDescent="0.25">
      <c r="A1653" s="2" t="str">
        <f t="shared" si="57"/>
        <v>32100</v>
      </c>
      <c r="B1653" s="2" t="str">
        <f>"49814"</f>
        <v>49814</v>
      </c>
      <c r="C1653" s="1">
        <v>2.0042605538720001E-2</v>
      </c>
      <c r="D1653" s="1">
        <v>7.24387719903414E-3</v>
      </c>
      <c r="E1653" s="1">
        <v>7.1736011477761797E-4</v>
      </c>
      <c r="F1653" s="1">
        <v>1.8340332784009299E-2</v>
      </c>
    </row>
    <row r="1654" spans="1:6" x14ac:dyDescent="0.25">
      <c r="A1654" s="2" t="str">
        <f t="shared" si="57"/>
        <v>32100</v>
      </c>
      <c r="B1654" s="2" t="str">
        <f>"49855"</f>
        <v>49855</v>
      </c>
      <c r="C1654" s="1">
        <v>0.48636322721953801</v>
      </c>
      <c r="D1654" s="1">
        <v>0.64746464298033801</v>
      </c>
      <c r="E1654" s="1">
        <v>0.72740315638450503</v>
      </c>
      <c r="F1654" s="1">
        <v>0.50770825580777201</v>
      </c>
    </row>
    <row r="1655" spans="1:6" x14ac:dyDescent="0.25">
      <c r="A1655" s="2" t="str">
        <f t="shared" si="57"/>
        <v>32100</v>
      </c>
      <c r="B1655" s="2" t="str">
        <f>"49818"</f>
        <v>49818</v>
      </c>
      <c r="C1655" s="1">
        <v>3.9905187674397604E-3</v>
      </c>
      <c r="D1655" s="1">
        <v>0</v>
      </c>
      <c r="E1655" s="1">
        <v>0</v>
      </c>
      <c r="F1655" s="1">
        <v>3.5351655945988999E-3</v>
      </c>
    </row>
    <row r="1656" spans="1:6" x14ac:dyDescent="0.25">
      <c r="A1656" s="2" t="str">
        <f t="shared" si="57"/>
        <v>32100</v>
      </c>
      <c r="B1656" s="2" t="str">
        <f>"49819"</f>
        <v>49819</v>
      </c>
      <c r="C1656" s="1">
        <v>0</v>
      </c>
      <c r="D1656" s="1">
        <v>0</v>
      </c>
      <c r="E1656" s="1">
        <v>1.4347202295552301E-3</v>
      </c>
      <c r="F1656" s="1">
        <v>5.3160384881186498E-5</v>
      </c>
    </row>
    <row r="1657" spans="1:6" x14ac:dyDescent="0.25">
      <c r="A1657" s="2" t="str">
        <f t="shared" si="57"/>
        <v>32100</v>
      </c>
      <c r="B1657" s="2" t="str">
        <f>"49885"</f>
        <v>49885</v>
      </c>
      <c r="C1657" s="1">
        <v>2.56833388340484E-2</v>
      </c>
      <c r="D1657" s="1">
        <v>4.4843049327354199E-3</v>
      </c>
      <c r="E1657" s="1">
        <v>7.1736011477761797E-4</v>
      </c>
      <c r="F1657" s="1">
        <v>2.3124767423316098E-2</v>
      </c>
    </row>
    <row r="1658" spans="1:6" x14ac:dyDescent="0.25">
      <c r="A1658" s="2" t="str">
        <f t="shared" si="57"/>
        <v>32100</v>
      </c>
      <c r="B1658" s="2" t="str">
        <f>"49879"</f>
        <v>49879</v>
      </c>
      <c r="C1658" s="1">
        <v>2.0852710852410802E-2</v>
      </c>
      <c r="D1658" s="1">
        <v>7.5888237323214897E-3</v>
      </c>
      <c r="E1658" s="1">
        <v>2.1520803443328498E-3</v>
      </c>
      <c r="F1658" s="1">
        <v>1.9137738557227099E-2</v>
      </c>
    </row>
    <row r="1659" spans="1:6" x14ac:dyDescent="0.25">
      <c r="A1659" s="2" t="str">
        <f t="shared" si="57"/>
        <v>32100</v>
      </c>
      <c r="B1659" s="2" t="str">
        <f>"49866"</f>
        <v>49866</v>
      </c>
      <c r="C1659" s="1">
        <v>0.114944942842569</v>
      </c>
      <c r="D1659" s="1">
        <v>9.6585029320455304E-2</v>
      </c>
      <c r="E1659" s="1">
        <v>8.9670014347202204E-2</v>
      </c>
      <c r="F1659" s="1">
        <v>0.11259369517835301</v>
      </c>
    </row>
    <row r="1660" spans="1:6" x14ac:dyDescent="0.25">
      <c r="A1660" s="2" t="str">
        <f t="shared" si="57"/>
        <v>32100</v>
      </c>
      <c r="B1660" s="2" t="str">
        <f>"49861"</f>
        <v>49861</v>
      </c>
      <c r="C1660" s="1">
        <v>1.4701911248462299E-2</v>
      </c>
      <c r="D1660" s="1">
        <v>1.06933425319075E-2</v>
      </c>
      <c r="E1660" s="1">
        <v>7.1736011477761797E-4</v>
      </c>
      <c r="F1660" s="1">
        <v>1.38748604539896E-2</v>
      </c>
    </row>
    <row r="1661" spans="1:6" x14ac:dyDescent="0.25">
      <c r="A1661" s="2" t="str">
        <f t="shared" si="57"/>
        <v>32100</v>
      </c>
      <c r="B1661" s="2" t="str">
        <f>"49841"</f>
        <v>49841</v>
      </c>
      <c r="C1661" s="1">
        <v>0.114704911638513</v>
      </c>
      <c r="D1661" s="1">
        <v>5.8295964125560498E-2</v>
      </c>
      <c r="E1661" s="1">
        <v>3.0846484935437499E-2</v>
      </c>
      <c r="F1661" s="1">
        <v>0.107251076497793</v>
      </c>
    </row>
    <row r="1662" spans="1:6" x14ac:dyDescent="0.25">
      <c r="A1662" s="2" t="str">
        <f t="shared" si="57"/>
        <v>32100</v>
      </c>
      <c r="B1662" s="2" t="str">
        <f>"49871"</f>
        <v>49871</v>
      </c>
      <c r="C1662" s="1">
        <v>5.1006630862011999E-3</v>
      </c>
      <c r="D1662" s="1">
        <v>0</v>
      </c>
      <c r="E1662" s="1">
        <v>7.1736011477761797E-4</v>
      </c>
      <c r="F1662" s="1">
        <v>4.5452129073414397E-3</v>
      </c>
    </row>
    <row r="1663" spans="1:6" x14ac:dyDescent="0.25">
      <c r="A1663" s="2" t="str">
        <f t="shared" si="57"/>
        <v>32100</v>
      </c>
      <c r="B1663" s="2" t="str">
        <f>"49833"</f>
        <v>49833</v>
      </c>
      <c r="C1663" s="1">
        <v>3.0003900507065899E-5</v>
      </c>
      <c r="D1663" s="1">
        <v>0</v>
      </c>
      <c r="E1663" s="1">
        <v>7.1736011477761797E-4</v>
      </c>
      <c r="F1663" s="1">
        <v>5.3160384881186498E-5</v>
      </c>
    </row>
    <row r="1664" spans="1:6" x14ac:dyDescent="0.25">
      <c r="A1664" s="2" t="str">
        <f t="shared" si="57"/>
        <v>32100</v>
      </c>
      <c r="B1664" s="2" t="str">
        <f>"49822"</f>
        <v>49822</v>
      </c>
      <c r="C1664" s="1">
        <v>1.20015602028263E-4</v>
      </c>
      <c r="D1664" s="1">
        <v>0</v>
      </c>
      <c r="E1664" s="1">
        <v>0</v>
      </c>
      <c r="F1664" s="1">
        <v>1.06320769762373E-4</v>
      </c>
    </row>
    <row r="1665" spans="1:6" x14ac:dyDescent="0.25">
      <c r="A1665" s="2" t="str">
        <f t="shared" si="57"/>
        <v>32100</v>
      </c>
      <c r="B1665" s="2" t="str">
        <f>"49865"</f>
        <v>49865</v>
      </c>
      <c r="C1665" s="1">
        <v>0</v>
      </c>
      <c r="D1665" s="1">
        <v>0</v>
      </c>
      <c r="E1665" s="1">
        <v>7.1736011477761797E-4</v>
      </c>
      <c r="F1665" s="1">
        <v>2.6580192440593201E-5</v>
      </c>
    </row>
    <row r="1666" spans="1:6" x14ac:dyDescent="0.25">
      <c r="A1666" s="2" t="str">
        <f t="shared" si="57"/>
        <v>32100</v>
      </c>
      <c r="B1666" s="2" t="str">
        <f>"49849"</f>
        <v>49849</v>
      </c>
      <c r="C1666" s="1">
        <v>0.187974436676767</v>
      </c>
      <c r="D1666" s="1">
        <v>0.166954122111072</v>
      </c>
      <c r="E1666" s="1">
        <v>0.143472022955523</v>
      </c>
      <c r="F1666" s="1">
        <v>0.184705757269682</v>
      </c>
    </row>
    <row r="1667" spans="1:6" x14ac:dyDescent="0.25">
      <c r="A1667" s="2" t="str">
        <f t="shared" ref="A1667:A1698" si="58">"16820"</f>
        <v>16820</v>
      </c>
      <c r="B1667" s="2" t="str">
        <f>"22968"</f>
        <v>22968</v>
      </c>
      <c r="C1667" s="1">
        <v>4.2302408645480301E-2</v>
      </c>
      <c r="D1667" s="1">
        <v>4.1054538136445898E-2</v>
      </c>
      <c r="E1667" s="1">
        <v>1.09122653862941E-2</v>
      </c>
      <c r="F1667" s="1">
        <v>4.1039527928219202E-2</v>
      </c>
    </row>
    <row r="1668" spans="1:6" x14ac:dyDescent="0.25">
      <c r="A1668" s="2" t="str">
        <f t="shared" si="58"/>
        <v>16820</v>
      </c>
      <c r="B1668" s="2" t="str">
        <f>"22967"</f>
        <v>22967</v>
      </c>
      <c r="C1668" s="1">
        <v>1.17135268797508E-2</v>
      </c>
      <c r="D1668" s="1">
        <v>2.91809217146307E-3</v>
      </c>
      <c r="E1668" s="1">
        <v>1.5277171540811799E-3</v>
      </c>
      <c r="F1668" s="1">
        <v>1.06296984884002E-2</v>
      </c>
    </row>
    <row r="1669" spans="1:6" x14ac:dyDescent="0.25">
      <c r="A1669" s="2" t="str">
        <f t="shared" si="58"/>
        <v>16820</v>
      </c>
      <c r="B1669" s="2" t="str">
        <f>"22931"</f>
        <v>22931</v>
      </c>
      <c r="C1669" s="1">
        <v>1.8041945233079901E-3</v>
      </c>
      <c r="D1669" s="1">
        <v>4.0249547192594001E-4</v>
      </c>
      <c r="E1669" s="1">
        <v>2.1824530772588299E-4</v>
      </c>
      <c r="F1669" s="1">
        <v>1.6328510225527401E-3</v>
      </c>
    </row>
    <row r="1670" spans="1:6" x14ac:dyDescent="0.25">
      <c r="A1670" s="2" t="str">
        <f t="shared" si="58"/>
        <v>16820</v>
      </c>
      <c r="B1670" s="2" t="str">
        <f>"22935"</f>
        <v>22935</v>
      </c>
      <c r="C1670" s="1">
        <v>3.7549226119608001E-3</v>
      </c>
      <c r="D1670" s="1">
        <v>7.0436707587039603E-4</v>
      </c>
      <c r="E1670" s="1">
        <v>2.1824530772588299E-4</v>
      </c>
      <c r="F1670" s="1">
        <v>3.3788699377576498E-3</v>
      </c>
    </row>
    <row r="1671" spans="1:6" x14ac:dyDescent="0.25">
      <c r="A1671" s="2" t="str">
        <f t="shared" si="58"/>
        <v>16820</v>
      </c>
      <c r="B1671" s="2" t="str">
        <f>"22920"</f>
        <v>22920</v>
      </c>
      <c r="C1671" s="1">
        <v>1.8014470189577799E-2</v>
      </c>
      <c r="D1671" s="1">
        <v>4.7293217951298004E-3</v>
      </c>
      <c r="E1671" s="1">
        <v>1.09122653862941E-3</v>
      </c>
      <c r="F1671" s="1">
        <v>1.63204268046237E-2</v>
      </c>
    </row>
    <row r="1672" spans="1:6" x14ac:dyDescent="0.25">
      <c r="A1672" s="2" t="str">
        <f t="shared" si="58"/>
        <v>16820</v>
      </c>
      <c r="B1672" s="2" t="str">
        <f>"22906"</f>
        <v>22906</v>
      </c>
      <c r="C1672" s="1">
        <v>8.6454803553438903E-3</v>
      </c>
      <c r="D1672" s="1">
        <v>5.5041255785872399E-2</v>
      </c>
      <c r="E1672" s="1">
        <v>4.3649061545176701E-4</v>
      </c>
      <c r="F1672" s="1">
        <v>1.2068547409263599E-2</v>
      </c>
    </row>
    <row r="1673" spans="1:6" x14ac:dyDescent="0.25">
      <c r="A1673" s="2" t="str">
        <f t="shared" si="58"/>
        <v>16820</v>
      </c>
      <c r="B1673" s="2" t="str">
        <f>"24553"</f>
        <v>24553</v>
      </c>
      <c r="C1673" s="1">
        <v>2.2163201758402698E-3</v>
      </c>
      <c r="D1673" s="1">
        <v>6.0374320788891096E-4</v>
      </c>
      <c r="E1673" s="1">
        <v>2.1824530772588299E-4</v>
      </c>
      <c r="F1673" s="1">
        <v>2.0127718050278799E-3</v>
      </c>
    </row>
    <row r="1674" spans="1:6" x14ac:dyDescent="0.25">
      <c r="A1674" s="2" t="str">
        <f t="shared" si="58"/>
        <v>16820</v>
      </c>
      <c r="B1674" s="2" t="str">
        <f>"22965"</f>
        <v>22965</v>
      </c>
      <c r="C1674" s="1">
        <v>0</v>
      </c>
      <c r="D1674" s="1">
        <v>0</v>
      </c>
      <c r="E1674" s="1">
        <v>2.1824530772588299E-4</v>
      </c>
      <c r="F1674" s="1">
        <v>8.0834209037264507E-6</v>
      </c>
    </row>
    <row r="1675" spans="1:6" x14ac:dyDescent="0.25">
      <c r="A1675" s="2" t="str">
        <f t="shared" si="58"/>
        <v>16820</v>
      </c>
      <c r="B1675" s="2" t="str">
        <f>"22976"</f>
        <v>22976</v>
      </c>
      <c r="C1675" s="1">
        <v>1.4744940012821599E-3</v>
      </c>
      <c r="D1675" s="1">
        <v>4.0249547192594001E-4</v>
      </c>
      <c r="E1675" s="1">
        <v>2.1824530772588299E-4</v>
      </c>
      <c r="F1675" s="1">
        <v>1.3418478700185899E-3</v>
      </c>
    </row>
    <row r="1676" spans="1:6" x14ac:dyDescent="0.25">
      <c r="A1676" s="2" t="str">
        <f t="shared" si="58"/>
        <v>16820</v>
      </c>
      <c r="B1676" s="2" t="str">
        <f>"23022"</f>
        <v>23022</v>
      </c>
      <c r="C1676" s="1">
        <v>3.8007143511310502E-3</v>
      </c>
      <c r="D1676" s="1">
        <v>1.7106057556852401E-3</v>
      </c>
      <c r="E1676" s="1">
        <v>6.5473592317765101E-4</v>
      </c>
      <c r="F1676" s="1">
        <v>3.5162880931209999E-3</v>
      </c>
    </row>
    <row r="1677" spans="1:6" x14ac:dyDescent="0.25">
      <c r="A1677" s="2" t="str">
        <f t="shared" si="58"/>
        <v>16820</v>
      </c>
      <c r="B1677" s="2" t="str">
        <f>"22952"</f>
        <v>22952</v>
      </c>
      <c r="C1677" s="1">
        <v>9.1583478340507294E-6</v>
      </c>
      <c r="D1677" s="1">
        <v>2.0124773596297E-4</v>
      </c>
      <c r="E1677" s="1">
        <v>0</v>
      </c>
      <c r="F1677" s="1">
        <v>2.4250262711179301E-5</v>
      </c>
    </row>
    <row r="1678" spans="1:6" x14ac:dyDescent="0.25">
      <c r="A1678" s="2" t="str">
        <f t="shared" si="58"/>
        <v>16820</v>
      </c>
      <c r="B1678" s="2" t="str">
        <f>"22909"</f>
        <v>22909</v>
      </c>
      <c r="C1678" s="1">
        <v>0</v>
      </c>
      <c r="D1678" s="1">
        <v>1.00623867981485E-4</v>
      </c>
      <c r="E1678" s="1">
        <v>0</v>
      </c>
      <c r="F1678" s="1">
        <v>8.0834209037264507E-6</v>
      </c>
    </row>
    <row r="1679" spans="1:6" x14ac:dyDescent="0.25">
      <c r="A1679" s="2" t="str">
        <f t="shared" si="58"/>
        <v>16820</v>
      </c>
      <c r="B1679" s="2" t="str">
        <f>"22940"</f>
        <v>22940</v>
      </c>
      <c r="C1679" s="1">
        <v>4.6432823518637199E-3</v>
      </c>
      <c r="D1679" s="1">
        <v>1.00623867981485E-3</v>
      </c>
      <c r="E1679" s="1">
        <v>2.1824530772588299E-4</v>
      </c>
      <c r="F1679" s="1">
        <v>4.1872120281303002E-3</v>
      </c>
    </row>
    <row r="1680" spans="1:6" x14ac:dyDescent="0.25">
      <c r="A1680" s="2" t="str">
        <f t="shared" si="58"/>
        <v>16820</v>
      </c>
      <c r="B1680" s="2" t="str">
        <f>"22938"</f>
        <v>22938</v>
      </c>
      <c r="C1680" s="1">
        <v>6.81381078853374E-3</v>
      </c>
      <c r="D1680" s="1">
        <v>1.1068625477963299E-3</v>
      </c>
      <c r="E1680" s="1">
        <v>6.5473592317765101E-4</v>
      </c>
      <c r="F1680" s="1">
        <v>6.12723304502465E-3</v>
      </c>
    </row>
    <row r="1681" spans="1:6" x14ac:dyDescent="0.25">
      <c r="A1681" s="2" t="str">
        <f t="shared" si="58"/>
        <v>16820</v>
      </c>
      <c r="B1681" s="2" t="str">
        <f>"22901"</f>
        <v>22901</v>
      </c>
      <c r="C1681" s="1">
        <v>0.16183716457551001</v>
      </c>
      <c r="D1681" s="1">
        <v>0.18474542161400601</v>
      </c>
      <c r="E1681" s="1">
        <v>0.26036665211697901</v>
      </c>
      <c r="F1681" s="1">
        <v>0.16732681270713701</v>
      </c>
    </row>
    <row r="1682" spans="1:6" x14ac:dyDescent="0.25">
      <c r="A1682" s="2" t="str">
        <f t="shared" si="58"/>
        <v>16820</v>
      </c>
      <c r="B1682" s="2" t="str">
        <f>"22924"</f>
        <v>22924</v>
      </c>
      <c r="C1682" s="1">
        <v>0</v>
      </c>
      <c r="D1682" s="1">
        <v>0</v>
      </c>
      <c r="E1682" s="1">
        <v>2.1824530772588299E-4</v>
      </c>
      <c r="F1682" s="1">
        <v>8.0834209037264507E-6</v>
      </c>
    </row>
    <row r="1683" spans="1:6" x14ac:dyDescent="0.25">
      <c r="A1683" s="2" t="str">
        <f t="shared" si="58"/>
        <v>16820</v>
      </c>
      <c r="B1683" s="2" t="str">
        <f>"22908"</f>
        <v>22908</v>
      </c>
      <c r="C1683" s="1">
        <v>0</v>
      </c>
      <c r="D1683" s="1">
        <v>4.0249547192594001E-4</v>
      </c>
      <c r="E1683" s="1">
        <v>0</v>
      </c>
      <c r="F1683" s="1">
        <v>3.2333683614905803E-5</v>
      </c>
    </row>
    <row r="1684" spans="1:6" x14ac:dyDescent="0.25">
      <c r="A1684" s="2" t="str">
        <f t="shared" si="58"/>
        <v>16820</v>
      </c>
      <c r="B1684" s="2" t="str">
        <f>"22947"</f>
        <v>22947</v>
      </c>
      <c r="C1684" s="1">
        <v>1.9608022712702601E-2</v>
      </c>
      <c r="D1684" s="1">
        <v>4.2262024552223703E-3</v>
      </c>
      <c r="E1684" s="1">
        <v>2.0951549541684801E-2</v>
      </c>
      <c r="F1684" s="1">
        <v>1.8422116239592501E-2</v>
      </c>
    </row>
    <row r="1685" spans="1:6" x14ac:dyDescent="0.25">
      <c r="A1685" s="2" t="str">
        <f t="shared" si="58"/>
        <v>16820</v>
      </c>
      <c r="B1685" s="2" t="str">
        <f>"22932"</f>
        <v>22932</v>
      </c>
      <c r="C1685" s="1">
        <v>4.2659584211008302E-2</v>
      </c>
      <c r="D1685" s="1">
        <v>1.3081102837592999E-2</v>
      </c>
      <c r="E1685" s="1">
        <v>1.5713662156263599E-2</v>
      </c>
      <c r="F1685" s="1">
        <v>3.9285425592110498E-2</v>
      </c>
    </row>
    <row r="1686" spans="1:6" x14ac:dyDescent="0.25">
      <c r="A1686" s="2" t="str">
        <f t="shared" si="58"/>
        <v>16820</v>
      </c>
      <c r="B1686" s="2" t="str">
        <f>"24581"</f>
        <v>24581</v>
      </c>
      <c r="C1686" s="1">
        <v>1.5569191317886199E-4</v>
      </c>
      <c r="D1686" s="1">
        <v>1.00623867981485E-4</v>
      </c>
      <c r="E1686" s="1">
        <v>0</v>
      </c>
      <c r="F1686" s="1">
        <v>1.45501576267076E-4</v>
      </c>
    </row>
    <row r="1687" spans="1:6" x14ac:dyDescent="0.25">
      <c r="A1687" s="2" t="str">
        <f t="shared" si="58"/>
        <v>16820</v>
      </c>
      <c r="B1687" s="2" t="str">
        <f>"22959"</f>
        <v>22959</v>
      </c>
      <c r="C1687" s="1">
        <v>8.4989467899990803E-3</v>
      </c>
      <c r="D1687" s="1">
        <v>7.0436707587039603E-4</v>
      </c>
      <c r="E1687" s="1">
        <v>2.1824530772588299E-4</v>
      </c>
      <c r="F1687" s="1">
        <v>7.5660819658879596E-3</v>
      </c>
    </row>
    <row r="1688" spans="1:6" x14ac:dyDescent="0.25">
      <c r="A1688" s="2" t="str">
        <f t="shared" si="58"/>
        <v>16820</v>
      </c>
      <c r="B1688" s="2" t="str">
        <f>"22922"</f>
        <v>22922</v>
      </c>
      <c r="C1688" s="1">
        <v>8.1051378331348997E-3</v>
      </c>
      <c r="D1688" s="1">
        <v>4.12557858724089E-3</v>
      </c>
      <c r="E1688" s="1">
        <v>2.1824530772588299E-4</v>
      </c>
      <c r="F1688" s="1">
        <v>7.4933311777544203E-3</v>
      </c>
    </row>
    <row r="1689" spans="1:6" x14ac:dyDescent="0.25">
      <c r="A1689" s="2" t="str">
        <f t="shared" si="58"/>
        <v>16820</v>
      </c>
      <c r="B1689" s="2" t="str">
        <f>"22963"</f>
        <v>22963</v>
      </c>
      <c r="C1689" s="1">
        <v>6.6773514058063893E-2</v>
      </c>
      <c r="D1689" s="1">
        <v>2.24391225598712E-2</v>
      </c>
      <c r="E1689" s="1">
        <v>5.0196420776953202E-3</v>
      </c>
      <c r="F1689" s="1">
        <v>6.0924743351386298E-2</v>
      </c>
    </row>
    <row r="1690" spans="1:6" x14ac:dyDescent="0.25">
      <c r="A1690" s="2" t="str">
        <f t="shared" si="58"/>
        <v>16820</v>
      </c>
      <c r="B1690" s="2" t="str">
        <f>"23055"</f>
        <v>23055</v>
      </c>
      <c r="C1690" s="1">
        <v>2.6742375675428099E-3</v>
      </c>
      <c r="D1690" s="1">
        <v>2.91809217146307E-3</v>
      </c>
      <c r="E1690" s="1">
        <v>1.5277171540811799E-3</v>
      </c>
      <c r="F1690" s="1">
        <v>2.6513620564222701E-3</v>
      </c>
    </row>
    <row r="1691" spans="1:6" x14ac:dyDescent="0.25">
      <c r="A1691" s="2" t="str">
        <f t="shared" si="58"/>
        <v>16820</v>
      </c>
      <c r="B1691" s="2" t="str">
        <f>"22949"</f>
        <v>22949</v>
      </c>
      <c r="C1691" s="1">
        <v>5.3942668742558804E-3</v>
      </c>
      <c r="D1691" s="1">
        <v>4.0249547192594002E-3</v>
      </c>
      <c r="E1691" s="1">
        <v>6.3291139240506302E-3</v>
      </c>
      <c r="F1691" s="1">
        <v>5.3188909546520004E-3</v>
      </c>
    </row>
    <row r="1692" spans="1:6" x14ac:dyDescent="0.25">
      <c r="A1692" s="2" t="str">
        <f t="shared" si="58"/>
        <v>16820</v>
      </c>
      <c r="B1692" s="2" t="str">
        <f>"22942"</f>
        <v>22942</v>
      </c>
      <c r="C1692" s="1">
        <v>1.8683029581463501E-3</v>
      </c>
      <c r="D1692" s="1">
        <v>1.00623867981485E-4</v>
      </c>
      <c r="E1692" s="1">
        <v>0</v>
      </c>
      <c r="F1692" s="1">
        <v>1.6571012852639199E-3</v>
      </c>
    </row>
    <row r="1693" spans="1:6" x14ac:dyDescent="0.25">
      <c r="A1693" s="2" t="str">
        <f t="shared" si="58"/>
        <v>16820</v>
      </c>
      <c r="B1693" s="2" t="str">
        <f>"24464"</f>
        <v>24464</v>
      </c>
      <c r="C1693" s="1">
        <v>7.6930121806026105E-4</v>
      </c>
      <c r="D1693" s="1">
        <v>2.0124773596297E-4</v>
      </c>
      <c r="E1693" s="1">
        <v>7.2020951549541601E-3</v>
      </c>
      <c r="F1693" s="1">
        <v>9.6192708754344798E-4</v>
      </c>
    </row>
    <row r="1694" spans="1:6" x14ac:dyDescent="0.25">
      <c r="A1694" s="2" t="str">
        <f t="shared" si="58"/>
        <v>16820</v>
      </c>
      <c r="B1694" s="2" t="str">
        <f>"23093"</f>
        <v>23093</v>
      </c>
      <c r="C1694" s="1">
        <v>3.5717556552797801E-4</v>
      </c>
      <c r="D1694" s="1">
        <v>2.0124773596297E-4</v>
      </c>
      <c r="E1694" s="1">
        <v>0</v>
      </c>
      <c r="F1694" s="1">
        <v>3.3142025705278397E-4</v>
      </c>
    </row>
    <row r="1695" spans="1:6" x14ac:dyDescent="0.25">
      <c r="A1695" s="2" t="str">
        <f t="shared" si="58"/>
        <v>16820</v>
      </c>
      <c r="B1695" s="2" t="str">
        <f>"23084"</f>
        <v>23084</v>
      </c>
      <c r="C1695" s="1">
        <v>4.8813993955490404E-3</v>
      </c>
      <c r="D1695" s="1">
        <v>8.0499094385188099E-4</v>
      </c>
      <c r="E1695" s="1">
        <v>2.1824530772588299E-4</v>
      </c>
      <c r="F1695" s="1">
        <v>4.3812141298197301E-3</v>
      </c>
    </row>
    <row r="1696" spans="1:6" x14ac:dyDescent="0.25">
      <c r="A1696" s="2" t="str">
        <f t="shared" si="58"/>
        <v>16820</v>
      </c>
      <c r="B1696" s="2" t="str">
        <f>"22974"</f>
        <v>22974</v>
      </c>
      <c r="C1696" s="1">
        <v>1.31605458375309E-2</v>
      </c>
      <c r="D1696" s="1">
        <v>8.25115717448178E-3</v>
      </c>
      <c r="E1696" s="1">
        <v>1.3094718463553001E-3</v>
      </c>
      <c r="F1696" s="1">
        <v>1.2327216878182799E-2</v>
      </c>
    </row>
    <row r="1697" spans="1:6" x14ac:dyDescent="0.25">
      <c r="A1697" s="2" t="str">
        <f t="shared" si="58"/>
        <v>16820</v>
      </c>
      <c r="B1697" s="2" t="str">
        <f>"22971"</f>
        <v>22971</v>
      </c>
      <c r="C1697" s="1">
        <v>7.5922703544280597E-3</v>
      </c>
      <c r="D1697" s="1">
        <v>2.1131012276111799E-3</v>
      </c>
      <c r="E1697" s="1">
        <v>3.0554343081623699E-3</v>
      </c>
      <c r="F1697" s="1">
        <v>6.98407566081965E-3</v>
      </c>
    </row>
    <row r="1698" spans="1:6" x14ac:dyDescent="0.25">
      <c r="A1698" s="2" t="str">
        <f t="shared" si="58"/>
        <v>16820</v>
      </c>
      <c r="B1698" s="2" t="str">
        <f>"23038"</f>
        <v>23038</v>
      </c>
      <c r="C1698" s="1">
        <v>1.5386024361205199E-3</v>
      </c>
      <c r="D1698" s="1">
        <v>2.0124773596297E-4</v>
      </c>
      <c r="E1698" s="1">
        <v>2.1824530772588299E-4</v>
      </c>
      <c r="F1698" s="1">
        <v>1.38226497453722E-3</v>
      </c>
    </row>
    <row r="1699" spans="1:6" x14ac:dyDescent="0.25">
      <c r="A1699" s="2" t="str">
        <f t="shared" ref="A1699:A1719" si="59">"16820"</f>
        <v>16820</v>
      </c>
      <c r="B1699" s="2" t="str">
        <f>"22943"</f>
        <v>22943</v>
      </c>
      <c r="C1699" s="1">
        <v>1.7950361754739399E-3</v>
      </c>
      <c r="D1699" s="1">
        <v>9.0561481183336595E-4</v>
      </c>
      <c r="E1699" s="1">
        <v>8.72981230903535E-4</v>
      </c>
      <c r="F1699" s="1">
        <v>1.6894349688788199E-3</v>
      </c>
    </row>
    <row r="1700" spans="1:6" x14ac:dyDescent="0.25">
      <c r="A1700" s="2" t="str">
        <f t="shared" si="59"/>
        <v>16820</v>
      </c>
      <c r="B1700" s="2" t="str">
        <f>"22958"</f>
        <v>22958</v>
      </c>
      <c r="C1700" s="1">
        <v>8.8652807033611104E-3</v>
      </c>
      <c r="D1700" s="1">
        <v>4.0249547192594002E-3</v>
      </c>
      <c r="E1700" s="1">
        <v>1.3094718463553001E-3</v>
      </c>
      <c r="F1700" s="1">
        <v>8.1965887963786205E-3</v>
      </c>
    </row>
    <row r="1701" spans="1:6" x14ac:dyDescent="0.25">
      <c r="A1701" s="2" t="str">
        <f t="shared" si="59"/>
        <v>16820</v>
      </c>
      <c r="B1701" s="2" t="str">
        <f>"22904"</f>
        <v>22904</v>
      </c>
      <c r="C1701" s="1">
        <v>3.5250480813261202E-2</v>
      </c>
      <c r="D1701" s="1">
        <v>5.03119339907426E-4</v>
      </c>
      <c r="E1701" s="1">
        <v>0</v>
      </c>
      <c r="F1701" s="1">
        <v>3.1153504162961702E-2</v>
      </c>
    </row>
    <row r="1702" spans="1:6" x14ac:dyDescent="0.25">
      <c r="A1702" s="2" t="str">
        <f t="shared" si="59"/>
        <v>16820</v>
      </c>
      <c r="B1702" s="2" t="str">
        <f>"24562"</f>
        <v>24562</v>
      </c>
      <c r="C1702" s="1">
        <v>6.319260005495E-4</v>
      </c>
      <c r="D1702" s="1">
        <v>2.0124773596297E-4</v>
      </c>
      <c r="E1702" s="1">
        <v>0</v>
      </c>
      <c r="F1702" s="1">
        <v>5.7392288416457796E-4</v>
      </c>
    </row>
    <row r="1703" spans="1:6" x14ac:dyDescent="0.25">
      <c r="A1703" s="2" t="str">
        <f t="shared" si="59"/>
        <v>16820</v>
      </c>
      <c r="B1703" s="2" t="str">
        <f>"22902"</f>
        <v>22902</v>
      </c>
      <c r="C1703" s="1">
        <v>0.11265683670665801</v>
      </c>
      <c r="D1703" s="1">
        <v>0.26484202052726902</v>
      </c>
      <c r="E1703" s="1">
        <v>0.18900043649061499</v>
      </c>
      <c r="F1703" s="1">
        <v>0.12770996685797401</v>
      </c>
    </row>
    <row r="1704" spans="1:6" x14ac:dyDescent="0.25">
      <c r="A1704" s="2" t="str">
        <f t="shared" si="59"/>
        <v>16820</v>
      </c>
      <c r="B1704" s="2" t="str">
        <f>"22987"</f>
        <v>22987</v>
      </c>
      <c r="C1704" s="1">
        <v>0</v>
      </c>
      <c r="D1704" s="1">
        <v>1.00623867981485E-4</v>
      </c>
      <c r="E1704" s="1">
        <v>0</v>
      </c>
      <c r="F1704" s="1">
        <v>8.0834209037264507E-6</v>
      </c>
    </row>
    <row r="1705" spans="1:6" x14ac:dyDescent="0.25">
      <c r="A1705" s="2" t="str">
        <f t="shared" si="59"/>
        <v>16820</v>
      </c>
      <c r="B1705" s="2" t="str">
        <f>"22964"</f>
        <v>22964</v>
      </c>
      <c r="C1705" s="1">
        <v>7.6930121806026105E-4</v>
      </c>
      <c r="D1705" s="1">
        <v>5.03119339907426E-4</v>
      </c>
      <c r="E1705" s="1">
        <v>2.1824530772588299E-4</v>
      </c>
      <c r="F1705" s="1">
        <v>7.2750788133538104E-4</v>
      </c>
    </row>
    <row r="1706" spans="1:6" x14ac:dyDescent="0.25">
      <c r="A1706" s="2" t="str">
        <f t="shared" si="59"/>
        <v>16820</v>
      </c>
      <c r="B1706" s="2" t="str">
        <f>"22973"</f>
        <v>22973</v>
      </c>
      <c r="C1706" s="1">
        <v>3.2768568550233503E-2</v>
      </c>
      <c r="D1706" s="1">
        <v>1.78104246327228E-2</v>
      </c>
      <c r="E1706" s="1">
        <v>6.3291139240506302E-3</v>
      </c>
      <c r="F1706" s="1">
        <v>3.0587664699700898E-2</v>
      </c>
    </row>
    <row r="1707" spans="1:6" x14ac:dyDescent="0.25">
      <c r="A1707" s="2" t="str">
        <f t="shared" si="59"/>
        <v>16820</v>
      </c>
      <c r="B1707" s="2" t="str">
        <f>"22945"</f>
        <v>22945</v>
      </c>
      <c r="C1707" s="1">
        <v>0</v>
      </c>
      <c r="D1707" s="1">
        <v>0</v>
      </c>
      <c r="E1707" s="1">
        <v>2.1824530772588299E-4</v>
      </c>
      <c r="F1707" s="1">
        <v>8.0834209037264507E-6</v>
      </c>
    </row>
    <row r="1708" spans="1:6" x14ac:dyDescent="0.25">
      <c r="A1708" s="2" t="str">
        <f t="shared" si="59"/>
        <v>16820</v>
      </c>
      <c r="B1708" s="2" t="str">
        <f>"22905"</f>
        <v>22905</v>
      </c>
      <c r="C1708" s="1">
        <v>6.0445095704734801E-3</v>
      </c>
      <c r="D1708" s="1">
        <v>3.5822097001408697E-2</v>
      </c>
      <c r="E1708" s="1">
        <v>4.3649061545176701E-4</v>
      </c>
      <c r="F1708" s="1">
        <v>8.2289224799935307E-3</v>
      </c>
    </row>
    <row r="1709" spans="1:6" x14ac:dyDescent="0.25">
      <c r="A1709" s="2" t="str">
        <f t="shared" si="59"/>
        <v>16820</v>
      </c>
      <c r="B1709" s="2" t="str">
        <f>"22903"</f>
        <v>22903</v>
      </c>
      <c r="C1709" s="1">
        <v>0.19155600329700501</v>
      </c>
      <c r="D1709" s="1">
        <v>0.19118534916482099</v>
      </c>
      <c r="E1709" s="1">
        <v>0.37232649498035703</v>
      </c>
      <c r="F1709" s="1">
        <v>0.19822164740118001</v>
      </c>
    </row>
    <row r="1710" spans="1:6" x14ac:dyDescent="0.25">
      <c r="A1710" s="2" t="str">
        <f t="shared" si="59"/>
        <v>16820</v>
      </c>
      <c r="B1710" s="2" t="str">
        <f>"22937"</f>
        <v>22937</v>
      </c>
      <c r="C1710" s="1">
        <v>5.6140672222730996E-3</v>
      </c>
      <c r="D1710" s="1">
        <v>9.0561481183336595E-4</v>
      </c>
      <c r="E1710" s="1">
        <v>2.1824530772588299E-4</v>
      </c>
      <c r="F1710" s="1">
        <v>5.0359712230215797E-3</v>
      </c>
    </row>
    <row r="1711" spans="1:6" x14ac:dyDescent="0.25">
      <c r="A1711" s="2" t="str">
        <f t="shared" si="59"/>
        <v>16820</v>
      </c>
      <c r="B1711" s="2" t="str">
        <f>"22923"</f>
        <v>22923</v>
      </c>
      <c r="C1711" s="1">
        <v>1.6814726623317101E-2</v>
      </c>
      <c r="D1711" s="1">
        <v>5.8361843429261401E-3</v>
      </c>
      <c r="E1711" s="1">
        <v>1.0475774770842401E-2</v>
      </c>
      <c r="F1711" s="1">
        <v>1.56980033950367E-2</v>
      </c>
    </row>
    <row r="1712" spans="1:6" x14ac:dyDescent="0.25">
      <c r="A1712" s="2" t="str">
        <f t="shared" si="59"/>
        <v>16820</v>
      </c>
      <c r="B1712" s="2" t="str">
        <f>"24521"</f>
        <v>24521</v>
      </c>
      <c r="C1712" s="1">
        <v>9.3415147907317505E-4</v>
      </c>
      <c r="D1712" s="1">
        <v>3.0187160394445499E-4</v>
      </c>
      <c r="E1712" s="1">
        <v>0</v>
      </c>
      <c r="F1712" s="1">
        <v>8.4875919489127698E-4</v>
      </c>
    </row>
    <row r="1713" spans="1:6" x14ac:dyDescent="0.25">
      <c r="A1713" s="2" t="str">
        <f t="shared" si="59"/>
        <v>16820</v>
      </c>
      <c r="B1713" s="2" t="str">
        <f>"24590"</f>
        <v>24590</v>
      </c>
      <c r="C1713" s="1">
        <v>2.4452788716915402E-2</v>
      </c>
      <c r="D1713" s="1">
        <v>8.4524049104447493E-3</v>
      </c>
      <c r="E1713" s="1">
        <v>6.3291139240506302E-3</v>
      </c>
      <c r="F1713" s="1">
        <v>2.2496160375070701E-2</v>
      </c>
    </row>
    <row r="1714" spans="1:6" x14ac:dyDescent="0.25">
      <c r="A1714" s="2" t="str">
        <f t="shared" si="59"/>
        <v>16820</v>
      </c>
      <c r="B1714" s="2" t="str">
        <f>"24599"</f>
        <v>24599</v>
      </c>
      <c r="C1714" s="1">
        <v>1.4744940012821599E-3</v>
      </c>
      <c r="D1714" s="1">
        <v>6.0374320788891096E-4</v>
      </c>
      <c r="E1714" s="1">
        <v>2.1824530772588299E-4</v>
      </c>
      <c r="F1714" s="1">
        <v>1.35801471182604E-3</v>
      </c>
    </row>
    <row r="1715" spans="1:6" x14ac:dyDescent="0.25">
      <c r="A1715" s="2" t="str">
        <f t="shared" si="59"/>
        <v>16820</v>
      </c>
      <c r="B1715" s="2" t="str">
        <f>"24483"</f>
        <v>24483</v>
      </c>
      <c r="C1715" s="1">
        <v>3.6633391336202901E-4</v>
      </c>
      <c r="D1715" s="1">
        <v>3.0187160394445499E-4</v>
      </c>
      <c r="E1715" s="1">
        <v>0</v>
      </c>
      <c r="F1715" s="1">
        <v>3.47587098860237E-4</v>
      </c>
    </row>
    <row r="1716" spans="1:6" x14ac:dyDescent="0.25">
      <c r="A1716" s="2" t="str">
        <f t="shared" si="59"/>
        <v>16820</v>
      </c>
      <c r="B1716" s="2" t="str">
        <f>"22969"</f>
        <v>22969</v>
      </c>
      <c r="C1716" s="1">
        <v>6.3833684403333604E-3</v>
      </c>
      <c r="D1716" s="1">
        <v>9.0561481183336595E-4</v>
      </c>
      <c r="E1716" s="1">
        <v>4.3649061545176701E-4</v>
      </c>
      <c r="F1716" s="1">
        <v>5.72306199983833E-3</v>
      </c>
    </row>
    <row r="1717" spans="1:6" x14ac:dyDescent="0.25">
      <c r="A1717" s="2" t="str">
        <f t="shared" si="59"/>
        <v>16820</v>
      </c>
      <c r="B1717" s="2" t="str">
        <f>"22946"</f>
        <v>22946</v>
      </c>
      <c r="C1717" s="1">
        <v>6.7771773971975397E-4</v>
      </c>
      <c r="D1717" s="1">
        <v>0</v>
      </c>
      <c r="E1717" s="1">
        <v>2.1824530772588299E-4</v>
      </c>
      <c r="F1717" s="1">
        <v>6.0625656777948402E-4</v>
      </c>
    </row>
    <row r="1718" spans="1:6" x14ac:dyDescent="0.25">
      <c r="A1718" s="2" t="str">
        <f t="shared" si="59"/>
        <v>16820</v>
      </c>
      <c r="B1718" s="2" t="str">
        <f>"22936"</f>
        <v>22936</v>
      </c>
      <c r="C1718" s="1">
        <v>2.4791647586775298E-2</v>
      </c>
      <c r="D1718" s="1">
        <v>1.55966995371302E-2</v>
      </c>
      <c r="E1718" s="1">
        <v>4.8013967699694401E-3</v>
      </c>
      <c r="F1718" s="1">
        <v>2.33125858863471E-2</v>
      </c>
    </row>
    <row r="1719" spans="1:6" x14ac:dyDescent="0.25">
      <c r="A1719" s="2" t="str">
        <f t="shared" si="59"/>
        <v>16820</v>
      </c>
      <c r="B1719" s="2" t="str">
        <f>"22911"</f>
        <v>22911</v>
      </c>
      <c r="C1719" s="1">
        <v>7.7085813719205004E-2</v>
      </c>
      <c r="D1719" s="1">
        <v>9.2573958542966295E-2</v>
      </c>
      <c r="E1719" s="1">
        <v>6.7437800087298105E-2</v>
      </c>
      <c r="F1719" s="1">
        <v>7.7972678037345394E-2</v>
      </c>
    </row>
    <row r="1720" spans="1:6" x14ac:dyDescent="0.25">
      <c r="A1720" s="2" t="str">
        <f t="shared" ref="A1720:A1742" si="60">"35900"</f>
        <v>35900</v>
      </c>
      <c r="B1720" s="2" t="str">
        <f>"28651"</f>
        <v>28651</v>
      </c>
      <c r="C1720" s="1">
        <v>0.11221284879948</v>
      </c>
      <c r="D1720" s="1">
        <v>4.35453983940704E-2</v>
      </c>
      <c r="E1720" s="1">
        <v>4.2881646655231503E-2</v>
      </c>
      <c r="F1720" s="1">
        <v>0.106007651253955</v>
      </c>
    </row>
    <row r="1721" spans="1:6" x14ac:dyDescent="0.25">
      <c r="A1721" s="2" t="str">
        <f t="shared" si="60"/>
        <v>35900</v>
      </c>
      <c r="B1721" s="2" t="str">
        <f>"28689"</f>
        <v>28689</v>
      </c>
      <c r="C1721" s="1">
        <v>3.6599610642439901E-3</v>
      </c>
      <c r="D1721" s="1">
        <v>6.1766522544780701E-4</v>
      </c>
      <c r="E1721" s="1">
        <v>0</v>
      </c>
      <c r="F1721" s="1">
        <v>3.3769423322155502E-3</v>
      </c>
    </row>
    <row r="1722" spans="1:6" x14ac:dyDescent="0.25">
      <c r="A1722" s="2" t="str">
        <f t="shared" si="60"/>
        <v>35900</v>
      </c>
      <c r="B1722" s="2" t="str">
        <f>"28654"</f>
        <v>28654</v>
      </c>
      <c r="C1722" s="1">
        <v>6.2323166774821498E-2</v>
      </c>
      <c r="D1722" s="1">
        <v>2.7177269919703501E-2</v>
      </c>
      <c r="E1722" s="1">
        <v>1.0291595197255501E-2</v>
      </c>
      <c r="F1722" s="1">
        <v>5.8919378453691003E-2</v>
      </c>
    </row>
    <row r="1723" spans="1:6" x14ac:dyDescent="0.25">
      <c r="A1723" s="2" t="str">
        <f t="shared" si="60"/>
        <v>35900</v>
      </c>
      <c r="B1723" s="2" t="str">
        <f>"28642"</f>
        <v>28642</v>
      </c>
      <c r="C1723" s="1">
        <v>3.5301752109020098E-3</v>
      </c>
      <c r="D1723" s="1">
        <v>6.1766522544780701E-4</v>
      </c>
      <c r="E1723" s="1">
        <v>0</v>
      </c>
      <c r="F1723" s="1">
        <v>3.2588674254947301E-3</v>
      </c>
    </row>
    <row r="1724" spans="1:6" x14ac:dyDescent="0.25">
      <c r="A1724" s="2" t="str">
        <f t="shared" si="60"/>
        <v>35900</v>
      </c>
      <c r="B1724" s="2" t="str">
        <f>"27020"</f>
        <v>27020</v>
      </c>
      <c r="C1724" s="1">
        <v>6.0739779364049297E-3</v>
      </c>
      <c r="D1724" s="1">
        <v>1.5441630636195099E-3</v>
      </c>
      <c r="E1724" s="1">
        <v>0</v>
      </c>
      <c r="F1724" s="1">
        <v>5.6439805412553702E-3</v>
      </c>
    </row>
    <row r="1725" spans="1:6" x14ac:dyDescent="0.25">
      <c r="A1725" s="2" t="str">
        <f t="shared" si="60"/>
        <v>35900</v>
      </c>
      <c r="B1725" s="2" t="str">
        <f>"28624"</f>
        <v>28624</v>
      </c>
      <c r="C1725" s="1">
        <v>2.2712524334847502E-2</v>
      </c>
      <c r="D1725" s="1">
        <v>5.5589870290302596E-3</v>
      </c>
      <c r="E1725" s="1">
        <v>0</v>
      </c>
      <c r="F1725" s="1">
        <v>2.10881783403391E-2</v>
      </c>
    </row>
    <row r="1726" spans="1:6" x14ac:dyDescent="0.25">
      <c r="A1726" s="2" t="str">
        <f t="shared" si="60"/>
        <v>35900</v>
      </c>
      <c r="B1726" s="2" t="str">
        <f>"28694"</f>
        <v>28694</v>
      </c>
      <c r="C1726" s="1">
        <v>4.4127190136275101E-4</v>
      </c>
      <c r="D1726" s="1">
        <v>3.0883261272390301E-4</v>
      </c>
      <c r="E1726" s="1">
        <v>0</v>
      </c>
      <c r="F1726" s="1">
        <v>4.2506966419496501E-4</v>
      </c>
    </row>
    <row r="1727" spans="1:6" x14ac:dyDescent="0.25">
      <c r="A1727" s="2" t="str">
        <f t="shared" si="60"/>
        <v>35900</v>
      </c>
      <c r="B1727" s="2" t="str">
        <f>"28659"</f>
        <v>28659</v>
      </c>
      <c r="C1727" s="1">
        <v>0.31426346528228399</v>
      </c>
      <c r="D1727" s="1">
        <v>0.47652872143298303</v>
      </c>
      <c r="E1727" s="1">
        <v>0.57289879931389298</v>
      </c>
      <c r="F1727" s="1">
        <v>0.33023189911679901</v>
      </c>
    </row>
    <row r="1728" spans="1:6" x14ac:dyDescent="0.25">
      <c r="A1728" s="2" t="str">
        <f t="shared" si="60"/>
        <v>35900</v>
      </c>
      <c r="B1728" s="2" t="str">
        <f>"28669"</f>
        <v>28669</v>
      </c>
      <c r="C1728" s="1">
        <v>3.6495781959766299E-2</v>
      </c>
      <c r="D1728" s="1">
        <v>6.1766522544780701E-3</v>
      </c>
      <c r="E1728" s="1">
        <v>1.71526586620926E-3</v>
      </c>
      <c r="F1728" s="1">
        <v>3.3698578378122998E-2</v>
      </c>
    </row>
    <row r="1729" spans="1:6" x14ac:dyDescent="0.25">
      <c r="A1729" s="2" t="str">
        <f t="shared" si="60"/>
        <v>35900</v>
      </c>
      <c r="B1729" s="2" t="str">
        <f>"28645"</f>
        <v>28645</v>
      </c>
      <c r="C1729" s="1">
        <v>6.4892926670992804E-4</v>
      </c>
      <c r="D1729" s="1">
        <v>0</v>
      </c>
      <c r="E1729" s="1">
        <v>0</v>
      </c>
      <c r="F1729" s="1">
        <v>5.9037453360411799E-4</v>
      </c>
    </row>
    <row r="1730" spans="1:6" x14ac:dyDescent="0.25">
      <c r="A1730" s="2" t="str">
        <f t="shared" si="60"/>
        <v>35900</v>
      </c>
      <c r="B1730" s="2" t="str">
        <f>"28697"</f>
        <v>28697</v>
      </c>
      <c r="C1730" s="1">
        <v>0.18829331602855201</v>
      </c>
      <c r="D1730" s="1">
        <v>0.35886349598517597</v>
      </c>
      <c r="E1730" s="1">
        <v>0.307032590051457</v>
      </c>
      <c r="F1730" s="1">
        <v>0.20297076465309499</v>
      </c>
    </row>
    <row r="1731" spans="1:6" x14ac:dyDescent="0.25">
      <c r="A1731" s="2" t="str">
        <f t="shared" si="60"/>
        <v>35900</v>
      </c>
      <c r="B1731" s="2" t="str">
        <f>"28685"</f>
        <v>28685</v>
      </c>
      <c r="C1731" s="1">
        <v>2.7255029201817001E-2</v>
      </c>
      <c r="D1731" s="1">
        <v>7.7208153180975897E-3</v>
      </c>
      <c r="E1731" s="1">
        <v>3.43053173241852E-3</v>
      </c>
      <c r="F1731" s="1">
        <v>2.54333349076654E-2</v>
      </c>
    </row>
    <row r="1732" spans="1:6" x14ac:dyDescent="0.25">
      <c r="A1732" s="2" t="str">
        <f t="shared" si="60"/>
        <v>35900</v>
      </c>
      <c r="B1732" s="2" t="str">
        <f>"28649"</f>
        <v>28649</v>
      </c>
      <c r="C1732" s="1">
        <v>1.21479558728098E-2</v>
      </c>
      <c r="D1732" s="1">
        <v>6.1766522544780701E-4</v>
      </c>
      <c r="E1732" s="1">
        <v>5.1457975986277799E-3</v>
      </c>
      <c r="F1732" s="1">
        <v>1.11698861757899E-2</v>
      </c>
    </row>
    <row r="1733" spans="1:6" x14ac:dyDescent="0.25">
      <c r="A1733" s="2" t="str">
        <f t="shared" si="60"/>
        <v>35900</v>
      </c>
      <c r="B1733" s="2" t="str">
        <f>"28676"</f>
        <v>28676</v>
      </c>
      <c r="C1733" s="1">
        <v>1.21998702141466E-2</v>
      </c>
      <c r="D1733" s="1">
        <v>3.0883261272390298E-3</v>
      </c>
      <c r="E1733" s="1">
        <v>0</v>
      </c>
      <c r="F1733" s="1">
        <v>1.1335191045199E-2</v>
      </c>
    </row>
    <row r="1734" spans="1:6" x14ac:dyDescent="0.25">
      <c r="A1734" s="2" t="str">
        <f t="shared" si="60"/>
        <v>35900</v>
      </c>
      <c r="B1734" s="2" t="str">
        <f>"28670"</f>
        <v>28670</v>
      </c>
      <c r="C1734" s="1">
        <v>3.5561323815704003E-2</v>
      </c>
      <c r="D1734" s="1">
        <v>1.9147621988882001E-2</v>
      </c>
      <c r="E1734" s="1">
        <v>1.0291595197255501E-2</v>
      </c>
      <c r="F1734" s="1">
        <v>3.39583431729088E-2</v>
      </c>
    </row>
    <row r="1735" spans="1:6" x14ac:dyDescent="0.25">
      <c r="A1735" s="2" t="str">
        <f t="shared" si="60"/>
        <v>35900</v>
      </c>
      <c r="B1735" s="2" t="str">
        <f>"28644"</f>
        <v>28644</v>
      </c>
      <c r="C1735" s="1">
        <v>4.6722907203114802E-4</v>
      </c>
      <c r="D1735" s="1">
        <v>0</v>
      </c>
      <c r="E1735" s="1">
        <v>0</v>
      </c>
      <c r="F1735" s="1">
        <v>4.2506966419496501E-4</v>
      </c>
    </row>
    <row r="1736" spans="1:6" x14ac:dyDescent="0.25">
      <c r="A1736" s="2" t="str">
        <f t="shared" si="60"/>
        <v>35900</v>
      </c>
      <c r="B1736" s="2" t="str">
        <f>"28635"</f>
        <v>28635</v>
      </c>
      <c r="C1736" s="1">
        <v>4.7994808565866298E-2</v>
      </c>
      <c r="D1736" s="1">
        <v>8.6473131562692998E-3</v>
      </c>
      <c r="E1736" s="1">
        <v>3.08747855917667E-2</v>
      </c>
      <c r="F1736" s="1">
        <v>4.47503896471921E-2</v>
      </c>
    </row>
    <row r="1737" spans="1:6" x14ac:dyDescent="0.25">
      <c r="A1737" s="2" t="str">
        <f t="shared" si="60"/>
        <v>35900</v>
      </c>
      <c r="B1737" s="2" t="str">
        <f>"28606"</f>
        <v>28606</v>
      </c>
      <c r="C1737" s="1">
        <v>2.3569110966904599E-2</v>
      </c>
      <c r="D1737" s="1">
        <v>6.4854848672019696E-3</v>
      </c>
      <c r="E1737" s="1">
        <v>1.71526586620926E-3</v>
      </c>
      <c r="F1737" s="1">
        <v>2.19619326500732E-2</v>
      </c>
    </row>
    <row r="1738" spans="1:6" x14ac:dyDescent="0.25">
      <c r="A1738" s="2" t="str">
        <f t="shared" si="60"/>
        <v>35900</v>
      </c>
      <c r="B1738" s="2" t="str">
        <f>"28683"</f>
        <v>28683</v>
      </c>
      <c r="C1738" s="1">
        <v>1.28228423101881E-2</v>
      </c>
      <c r="D1738" s="1">
        <v>7.1031500926497801E-3</v>
      </c>
      <c r="E1738" s="1">
        <v>0</v>
      </c>
      <c r="F1738" s="1">
        <v>1.2208945354933101E-2</v>
      </c>
    </row>
    <row r="1739" spans="1:6" x14ac:dyDescent="0.25">
      <c r="A1739" s="2" t="str">
        <f t="shared" si="60"/>
        <v>35900</v>
      </c>
      <c r="B1739" s="2" t="str">
        <f>"28665"</f>
        <v>28665</v>
      </c>
      <c r="C1739" s="1">
        <v>3.7092796885139501E-2</v>
      </c>
      <c r="D1739" s="1">
        <v>6.7943174799258797E-3</v>
      </c>
      <c r="E1739" s="1">
        <v>1.71526586620926E-3</v>
      </c>
      <c r="F1739" s="1">
        <v>3.4288952911727101E-2</v>
      </c>
    </row>
    <row r="1740" spans="1:6" x14ac:dyDescent="0.25">
      <c r="A1740" s="2" t="str">
        <f t="shared" si="60"/>
        <v>35900</v>
      </c>
      <c r="B1740" s="2" t="str">
        <f>"28621"</f>
        <v>28621</v>
      </c>
      <c r="C1740" s="1">
        <v>3.9221284879947999E-2</v>
      </c>
      <c r="D1740" s="1">
        <v>1.9147621988882001E-2</v>
      </c>
      <c r="E1740" s="1">
        <v>1.0291595197255501E-2</v>
      </c>
      <c r="F1740" s="1">
        <v>3.7288055542436097E-2</v>
      </c>
    </row>
    <row r="1741" spans="1:6" x14ac:dyDescent="0.25">
      <c r="A1741" s="2" t="str">
        <f t="shared" si="60"/>
        <v>35900</v>
      </c>
      <c r="B1741" s="2" t="str">
        <f>"28618"</f>
        <v>28618</v>
      </c>
      <c r="C1741" s="1">
        <v>1.01232965606748E-3</v>
      </c>
      <c r="D1741" s="1">
        <v>3.0883261272390301E-4</v>
      </c>
      <c r="E1741" s="1">
        <v>0</v>
      </c>
      <c r="F1741" s="1">
        <v>9.4459925376658897E-4</v>
      </c>
    </row>
    <row r="1742" spans="1:6" x14ac:dyDescent="0.25">
      <c r="A1742" s="2" t="str">
        <f t="shared" si="60"/>
        <v>35900</v>
      </c>
      <c r="B1742" s="2" t="str">
        <f>"28656"</f>
        <v>28656</v>
      </c>
      <c r="C1742" s="1">
        <v>0</v>
      </c>
      <c r="D1742" s="1">
        <v>0</v>
      </c>
      <c r="E1742" s="1">
        <v>1.71526586620926E-3</v>
      </c>
      <c r="F1742" s="1">
        <v>2.3614981344164701E-5</v>
      </c>
    </row>
    <row r="1743" spans="1:6" x14ac:dyDescent="0.25">
      <c r="A1743" s="2" t="str">
        <f t="shared" ref="A1743:A1774" si="61">"22180"</f>
        <v>22180</v>
      </c>
      <c r="B1743" s="2" t="str">
        <f>"28318"</f>
        <v>28318</v>
      </c>
      <c r="C1743" s="1">
        <v>1.39343221011846E-3</v>
      </c>
      <c r="D1743" s="1">
        <v>2.8618854101081697E-4</v>
      </c>
      <c r="E1743" s="1">
        <v>0</v>
      </c>
      <c r="F1743" s="1">
        <v>1.28110088309594E-3</v>
      </c>
    </row>
    <row r="1744" spans="1:6" x14ac:dyDescent="0.25">
      <c r="A1744" s="2" t="str">
        <f t="shared" si="61"/>
        <v>22180</v>
      </c>
      <c r="B1744" s="2" t="str">
        <f>"28386"</f>
        <v>28386</v>
      </c>
      <c r="C1744" s="1">
        <v>1.92142789087559E-3</v>
      </c>
      <c r="D1744" s="1">
        <v>5.7237708202163503E-4</v>
      </c>
      <c r="E1744" s="1">
        <v>0</v>
      </c>
      <c r="F1744" s="1">
        <v>1.77770740519493E-3</v>
      </c>
    </row>
    <row r="1745" spans="1:6" x14ac:dyDescent="0.25">
      <c r="A1745" s="2" t="str">
        <f t="shared" si="61"/>
        <v>22180</v>
      </c>
      <c r="B1745" s="2" t="str">
        <f>"28376"</f>
        <v>28376</v>
      </c>
      <c r="C1745" s="1">
        <v>7.2394956648775599E-2</v>
      </c>
      <c r="D1745" s="1">
        <v>4.40730353156659E-2</v>
      </c>
      <c r="E1745" s="1">
        <v>5.9866181476699101E-3</v>
      </c>
      <c r="F1745" s="1">
        <v>6.8578481823481502E-2</v>
      </c>
    </row>
    <row r="1746" spans="1:6" x14ac:dyDescent="0.25">
      <c r="A1746" s="2" t="str">
        <f t="shared" si="61"/>
        <v>22180</v>
      </c>
      <c r="B1746" s="2" t="str">
        <f>"28348"</f>
        <v>28348</v>
      </c>
      <c r="C1746" s="1">
        <v>6.3145107504684397E-2</v>
      </c>
      <c r="D1746" s="1">
        <v>2.94774197241142E-2</v>
      </c>
      <c r="E1746" s="1">
        <v>4.7188637163986302E-2</v>
      </c>
      <c r="F1746" s="1">
        <v>6.0539213922255801E-2</v>
      </c>
    </row>
    <row r="1747" spans="1:6" x14ac:dyDescent="0.25">
      <c r="A1747" s="2" t="str">
        <f t="shared" si="61"/>
        <v>22180</v>
      </c>
      <c r="B1747" s="2" t="str">
        <f>"28301"</f>
        <v>28301</v>
      </c>
      <c r="C1747" s="1">
        <v>3.7277289039921203E-2</v>
      </c>
      <c r="D1747" s="1">
        <v>0.117394539522637</v>
      </c>
      <c r="E1747" s="1">
        <v>6.8200493015612096E-2</v>
      </c>
      <c r="F1747" s="1">
        <v>4.32623449903917E-2</v>
      </c>
    </row>
    <row r="1748" spans="1:6" x14ac:dyDescent="0.25">
      <c r="A1748" s="2" t="str">
        <f t="shared" si="61"/>
        <v>22180</v>
      </c>
      <c r="B1748" s="2" t="str">
        <f>"27546"</f>
        <v>27546</v>
      </c>
      <c r="C1748" s="1">
        <v>3.4553942897068597E-2</v>
      </c>
      <c r="D1748" s="1">
        <v>2.5814206399175699E-2</v>
      </c>
      <c r="E1748" s="1">
        <v>1.34992369996478E-2</v>
      </c>
      <c r="F1748" s="1">
        <v>3.3359003332301698E-2</v>
      </c>
    </row>
    <row r="1749" spans="1:6" x14ac:dyDescent="0.25">
      <c r="A1749" s="2" t="str">
        <f t="shared" si="61"/>
        <v>22180</v>
      </c>
      <c r="B1749" s="2" t="str">
        <f>"28441"</f>
        <v>28441</v>
      </c>
      <c r="C1749" s="1">
        <v>3.9698923365198301E-6</v>
      </c>
      <c r="D1749" s="1">
        <v>0</v>
      </c>
      <c r="E1749" s="1">
        <v>0</v>
      </c>
      <c r="F1749" s="1">
        <v>3.5985979862245601E-6</v>
      </c>
    </row>
    <row r="1750" spans="1:6" x14ac:dyDescent="0.25">
      <c r="A1750" s="2" t="str">
        <f t="shared" si="61"/>
        <v>22180</v>
      </c>
      <c r="B1750" s="2" t="str">
        <f>"28399"</f>
        <v>28399</v>
      </c>
      <c r="C1750" s="1">
        <v>5.5578492711277603E-5</v>
      </c>
      <c r="D1750" s="1">
        <v>0</v>
      </c>
      <c r="E1750" s="1">
        <v>0</v>
      </c>
      <c r="F1750" s="1">
        <v>5.0380371807143899E-5</v>
      </c>
    </row>
    <row r="1751" spans="1:6" x14ac:dyDescent="0.25">
      <c r="A1751" s="2" t="str">
        <f t="shared" si="61"/>
        <v>22180</v>
      </c>
      <c r="B1751" s="2" t="str">
        <f>"28357"</f>
        <v>28357</v>
      </c>
      <c r="C1751" s="1">
        <v>2.0643440149903098E-3</v>
      </c>
      <c r="D1751" s="1">
        <v>2.8618854101081697E-4</v>
      </c>
      <c r="E1751" s="1">
        <v>0</v>
      </c>
      <c r="F1751" s="1">
        <v>1.88926394276789E-3</v>
      </c>
    </row>
    <row r="1752" spans="1:6" x14ac:dyDescent="0.25">
      <c r="A1752" s="2" t="str">
        <f t="shared" si="61"/>
        <v>22180</v>
      </c>
      <c r="B1752" s="2" t="str">
        <f>"28307"</f>
        <v>28307</v>
      </c>
      <c r="C1752" s="1">
        <v>2.21003906374059E-2</v>
      </c>
      <c r="D1752" s="1">
        <v>9.1580333123461696E-4</v>
      </c>
      <c r="E1752" s="1">
        <v>1.5729545721328699E-2</v>
      </c>
      <c r="F1752" s="1">
        <v>2.05731846872458E-2</v>
      </c>
    </row>
    <row r="1753" spans="1:6" x14ac:dyDescent="0.25">
      <c r="A1753" s="2" t="str">
        <f t="shared" si="61"/>
        <v>22180</v>
      </c>
      <c r="B1753" s="2" t="str">
        <f>"28344"</f>
        <v>28344</v>
      </c>
      <c r="C1753" s="1">
        <v>2.06831390732683E-3</v>
      </c>
      <c r="D1753" s="1">
        <v>4.0066395741514499E-4</v>
      </c>
      <c r="E1753" s="1">
        <v>1.17384669562155E-4</v>
      </c>
      <c r="F1753" s="1">
        <v>1.9036583347127899E-3</v>
      </c>
    </row>
    <row r="1754" spans="1:6" x14ac:dyDescent="0.25">
      <c r="A1754" s="2" t="str">
        <f t="shared" si="61"/>
        <v>22180</v>
      </c>
      <c r="B1754" s="2" t="str">
        <f>"28302"</f>
        <v>28302</v>
      </c>
      <c r="C1754" s="1">
        <v>6.2287610759996096E-3</v>
      </c>
      <c r="D1754" s="1">
        <v>3.08511247209661E-2</v>
      </c>
      <c r="E1754" s="1">
        <v>1.17384669562155E-4</v>
      </c>
      <c r="F1754" s="1">
        <v>7.5894431529476098E-3</v>
      </c>
    </row>
    <row r="1755" spans="1:6" x14ac:dyDescent="0.25">
      <c r="A1755" s="2" t="str">
        <f t="shared" si="61"/>
        <v>22180</v>
      </c>
      <c r="B1755" s="2" t="str">
        <f>"28306"</f>
        <v>28306</v>
      </c>
      <c r="C1755" s="1">
        <v>8.6825515292025202E-2</v>
      </c>
      <c r="D1755" s="1">
        <v>8.3166390017743605E-2</v>
      </c>
      <c r="E1755" s="1">
        <v>5.9161873459326199E-2</v>
      </c>
      <c r="F1755" s="1">
        <v>8.5747392815758897E-2</v>
      </c>
    </row>
    <row r="1756" spans="1:6" x14ac:dyDescent="0.25">
      <c r="A1756" s="2" t="str">
        <f t="shared" si="61"/>
        <v>22180</v>
      </c>
      <c r="B1756" s="2" t="str">
        <f>"27526"</f>
        <v>27526</v>
      </c>
      <c r="C1756" s="1">
        <v>1.6125702670943501E-2</v>
      </c>
      <c r="D1756" s="1">
        <v>5.0369183217903899E-3</v>
      </c>
      <c r="E1756" s="1">
        <v>5.8692334781077502E-4</v>
      </c>
      <c r="F1756" s="1">
        <v>1.4952174632763E-2</v>
      </c>
    </row>
    <row r="1757" spans="1:6" x14ac:dyDescent="0.25">
      <c r="A1757" s="2" t="str">
        <f t="shared" si="61"/>
        <v>22180</v>
      </c>
      <c r="B1757" s="2" t="str">
        <f>"27504"</f>
        <v>27504</v>
      </c>
      <c r="C1757" s="1">
        <v>8.6543652936132303E-4</v>
      </c>
      <c r="D1757" s="1">
        <v>4.5790166561730799E-4</v>
      </c>
      <c r="E1757" s="1">
        <v>3.5215400868646499E-4</v>
      </c>
      <c r="F1757" s="1">
        <v>8.2407893884542502E-4</v>
      </c>
    </row>
    <row r="1758" spans="1:6" x14ac:dyDescent="0.25">
      <c r="A1758" s="2" t="str">
        <f t="shared" si="61"/>
        <v>22180</v>
      </c>
      <c r="B1758" s="2" t="str">
        <f>"28334"</f>
        <v>28334</v>
      </c>
      <c r="C1758" s="1">
        <v>3.1540794613650003E-2</v>
      </c>
      <c r="D1758" s="1">
        <v>6.0099593612271698E-2</v>
      </c>
      <c r="E1758" s="1">
        <v>1.69033924169503E-2</v>
      </c>
      <c r="F1758" s="1">
        <v>3.2887586996106298E-2</v>
      </c>
    </row>
    <row r="1759" spans="1:6" x14ac:dyDescent="0.25">
      <c r="A1759" s="2" t="str">
        <f t="shared" si="61"/>
        <v>22180</v>
      </c>
      <c r="B1759" s="2" t="str">
        <f>"28323"</f>
        <v>28323</v>
      </c>
      <c r="C1759" s="1">
        <v>7.5705846857433198E-3</v>
      </c>
      <c r="D1759" s="1">
        <v>1.03027874763894E-3</v>
      </c>
      <c r="E1759" s="1">
        <v>0</v>
      </c>
      <c r="F1759" s="1">
        <v>6.9273011234822898E-3</v>
      </c>
    </row>
    <row r="1760" spans="1:6" x14ac:dyDescent="0.25">
      <c r="A1760" s="2" t="str">
        <f t="shared" si="61"/>
        <v>22180</v>
      </c>
      <c r="B1760" s="2" t="str">
        <f>"28315"</f>
        <v>28315</v>
      </c>
      <c r="C1760" s="1">
        <v>2.8503826976212401E-3</v>
      </c>
      <c r="D1760" s="1">
        <v>1.88884437067139E-3</v>
      </c>
      <c r="E1760" s="1">
        <v>0</v>
      </c>
      <c r="F1760" s="1">
        <v>2.7025470876546401E-3</v>
      </c>
    </row>
    <row r="1761" spans="1:6" x14ac:dyDescent="0.25">
      <c r="A1761" s="2" t="str">
        <f t="shared" si="61"/>
        <v>22180</v>
      </c>
      <c r="B1761" s="2" t="str">
        <f>"28356"</f>
        <v>28356</v>
      </c>
      <c r="C1761" s="1">
        <v>1.0992631879823399E-2</v>
      </c>
      <c r="D1761" s="1">
        <v>2.1750329116822101E-3</v>
      </c>
      <c r="E1761" s="1">
        <v>1.17384669562155E-4</v>
      </c>
      <c r="F1761" s="1">
        <v>1.0104863145318501E-2</v>
      </c>
    </row>
    <row r="1762" spans="1:6" x14ac:dyDescent="0.25">
      <c r="A1762" s="2" t="str">
        <f t="shared" si="61"/>
        <v>22180</v>
      </c>
      <c r="B1762" s="2" t="str">
        <f>"28312"</f>
        <v>28312</v>
      </c>
      <c r="C1762" s="1">
        <v>4.1139994283354998E-2</v>
      </c>
      <c r="D1762" s="1">
        <v>2.7359624520634101E-2</v>
      </c>
      <c r="E1762" s="1">
        <v>1.23253903040262E-2</v>
      </c>
      <c r="F1762" s="1">
        <v>3.9390253557214101E-2</v>
      </c>
    </row>
    <row r="1763" spans="1:6" x14ac:dyDescent="0.25">
      <c r="A1763" s="2" t="str">
        <f t="shared" si="61"/>
        <v>22180</v>
      </c>
      <c r="B1763" s="2" t="str">
        <f>"28310"</f>
        <v>28310</v>
      </c>
      <c r="C1763" s="1">
        <v>0</v>
      </c>
      <c r="D1763" s="1">
        <v>5.7237708202163499E-5</v>
      </c>
      <c r="E1763" s="1">
        <v>7.1135109754665998E-2</v>
      </c>
      <c r="F1763" s="1">
        <v>2.1843489776383102E-3</v>
      </c>
    </row>
    <row r="1764" spans="1:6" x14ac:dyDescent="0.25">
      <c r="A1764" s="2" t="str">
        <f t="shared" si="61"/>
        <v>22180</v>
      </c>
      <c r="B1764" s="2" t="str">
        <f>"27540"</f>
        <v>27540</v>
      </c>
      <c r="C1764" s="1">
        <v>2.17153110807634E-3</v>
      </c>
      <c r="D1764" s="1">
        <v>4.0066395741514499E-4</v>
      </c>
      <c r="E1764" s="1">
        <v>0</v>
      </c>
      <c r="F1764" s="1">
        <v>1.9936232843684098E-3</v>
      </c>
    </row>
    <row r="1765" spans="1:6" x14ac:dyDescent="0.25">
      <c r="A1765" s="2" t="str">
        <f t="shared" si="61"/>
        <v>22180</v>
      </c>
      <c r="B1765" s="2" t="str">
        <f>"27330"</f>
        <v>27330</v>
      </c>
      <c r="C1765" s="1">
        <v>1.19096770095595E-5</v>
      </c>
      <c r="D1765" s="1">
        <v>5.7237708202163499E-5</v>
      </c>
      <c r="E1765" s="1">
        <v>0</v>
      </c>
      <c r="F1765" s="1">
        <v>1.43943919448982E-5</v>
      </c>
    </row>
    <row r="1766" spans="1:6" x14ac:dyDescent="0.25">
      <c r="A1766" s="2" t="str">
        <f t="shared" si="61"/>
        <v>22180</v>
      </c>
      <c r="B1766" s="2" t="str">
        <f>"28364"</f>
        <v>28364</v>
      </c>
      <c r="C1766" s="1">
        <v>4.7638708038237998E-5</v>
      </c>
      <c r="D1766" s="1">
        <v>0</v>
      </c>
      <c r="E1766" s="1">
        <v>0</v>
      </c>
      <c r="F1766" s="1">
        <v>4.3183175834694803E-5</v>
      </c>
    </row>
    <row r="1767" spans="1:6" x14ac:dyDescent="0.25">
      <c r="A1767" s="2" t="str">
        <f t="shared" si="61"/>
        <v>22180</v>
      </c>
      <c r="B1767" s="2" t="str">
        <f>"28368"</f>
        <v>28368</v>
      </c>
      <c r="C1767" s="1">
        <v>0</v>
      </c>
      <c r="D1767" s="1">
        <v>0</v>
      </c>
      <c r="E1767" s="1">
        <v>1.17384669562155E-4</v>
      </c>
      <c r="F1767" s="1">
        <v>3.5985979862245601E-6</v>
      </c>
    </row>
    <row r="1768" spans="1:6" x14ac:dyDescent="0.25">
      <c r="A1768" s="2" t="str">
        <f t="shared" si="61"/>
        <v>22180</v>
      </c>
      <c r="B1768" s="2" t="str">
        <f>"28314"</f>
        <v>28314</v>
      </c>
      <c r="C1768" s="1">
        <v>0.114547273477943</v>
      </c>
      <c r="D1768" s="1">
        <v>7.0287905672256804E-2</v>
      </c>
      <c r="E1768" s="1">
        <v>0.20049301561216101</v>
      </c>
      <c r="F1768" s="1">
        <v>0.114399429982078</v>
      </c>
    </row>
    <row r="1769" spans="1:6" x14ac:dyDescent="0.25">
      <c r="A1769" s="2" t="str">
        <f t="shared" si="61"/>
        <v>22180</v>
      </c>
      <c r="B1769" s="2" t="str">
        <f>"28303"</f>
        <v>28303</v>
      </c>
      <c r="C1769" s="1">
        <v>6.9977292215835096E-2</v>
      </c>
      <c r="D1769" s="1">
        <v>0.15339705798179801</v>
      </c>
      <c r="E1769" s="1">
        <v>0.15788238056109799</v>
      </c>
      <c r="F1769" s="1">
        <v>7.7916843597734306E-2</v>
      </c>
    </row>
    <row r="1770" spans="1:6" x14ac:dyDescent="0.25">
      <c r="A1770" s="2" t="str">
        <f t="shared" si="61"/>
        <v>22180</v>
      </c>
      <c r="B1770" s="2" t="str">
        <f>"27506"</f>
        <v>27506</v>
      </c>
      <c r="C1770" s="1">
        <v>0</v>
      </c>
      <c r="D1770" s="1">
        <v>5.7237708202163499E-5</v>
      </c>
      <c r="E1770" s="1">
        <v>1.17384669562155E-4</v>
      </c>
      <c r="F1770" s="1">
        <v>7.1971959724491296E-6</v>
      </c>
    </row>
    <row r="1771" spans="1:6" x14ac:dyDescent="0.25">
      <c r="A1771" s="2" t="str">
        <f t="shared" si="61"/>
        <v>22180</v>
      </c>
      <c r="B1771" s="2" t="str">
        <f>"27332"</f>
        <v>27332</v>
      </c>
      <c r="C1771" s="1">
        <v>2.14135992631879E-2</v>
      </c>
      <c r="D1771" s="1">
        <v>4.2355904069601002E-3</v>
      </c>
      <c r="E1771" s="1">
        <v>2.3476933912431E-4</v>
      </c>
      <c r="F1771" s="1">
        <v>1.96843309846483E-2</v>
      </c>
    </row>
    <row r="1772" spans="1:6" x14ac:dyDescent="0.25">
      <c r="A1772" s="2" t="str">
        <f t="shared" si="61"/>
        <v>22180</v>
      </c>
      <c r="B1772" s="2" t="str">
        <f>"28395"</f>
        <v>28395</v>
      </c>
      <c r="C1772" s="1">
        <v>6.0302664591736204E-3</v>
      </c>
      <c r="D1772" s="1">
        <v>2.2322706198843701E-3</v>
      </c>
      <c r="E1772" s="1">
        <v>1.17384669562155E-4</v>
      </c>
      <c r="F1772" s="1">
        <v>5.6102142605240898E-3</v>
      </c>
    </row>
    <row r="1773" spans="1:6" x14ac:dyDescent="0.25">
      <c r="A1773" s="2" t="str">
        <f t="shared" si="61"/>
        <v>22180</v>
      </c>
      <c r="B1773" s="2" t="str">
        <f>"28326"</f>
        <v>28326</v>
      </c>
      <c r="C1773" s="1">
        <v>2.77654270016197E-2</v>
      </c>
      <c r="D1773" s="1">
        <v>8.9863201877396805E-3</v>
      </c>
      <c r="E1773" s="1">
        <v>1.17384669562155E-4</v>
      </c>
      <c r="F1773" s="1">
        <v>2.57371727974781E-2</v>
      </c>
    </row>
    <row r="1774" spans="1:6" x14ac:dyDescent="0.25">
      <c r="A1774" s="2" t="str">
        <f t="shared" si="61"/>
        <v>22180</v>
      </c>
      <c r="B1774" s="2" t="str">
        <f>"28382"</f>
        <v>28382</v>
      </c>
      <c r="C1774" s="1">
        <v>1.8976085368564799E-3</v>
      </c>
      <c r="D1774" s="1">
        <v>5.1513937381947197E-4</v>
      </c>
      <c r="E1774" s="1">
        <v>0</v>
      </c>
      <c r="F1774" s="1">
        <v>1.7525172192913599E-3</v>
      </c>
    </row>
    <row r="1775" spans="1:6" x14ac:dyDescent="0.25">
      <c r="A1775" s="2" t="str">
        <f t="shared" ref="A1775:A1793" si="62">"22180"</f>
        <v>22180</v>
      </c>
      <c r="B1775" s="2" t="str">
        <f>"28371"</f>
        <v>28371</v>
      </c>
      <c r="C1775" s="1">
        <v>5.96277828945279E-3</v>
      </c>
      <c r="D1775" s="1">
        <v>7.4409020662812605E-4</v>
      </c>
      <c r="E1775" s="1">
        <v>9.3907735649724098E-4</v>
      </c>
      <c r="F1775" s="1">
        <v>5.4806647330200098E-3</v>
      </c>
    </row>
    <row r="1776" spans="1:6" x14ac:dyDescent="0.25">
      <c r="A1776" s="2" t="str">
        <f t="shared" si="62"/>
        <v>22180</v>
      </c>
      <c r="B1776" s="2" t="str">
        <f>"28311"</f>
        <v>28311</v>
      </c>
      <c r="C1776" s="1">
        <v>7.4141709276844395E-2</v>
      </c>
      <c r="D1776" s="1">
        <v>5.0540896342510397E-2</v>
      </c>
      <c r="E1776" s="1">
        <v>9.2733888954102506E-2</v>
      </c>
      <c r="F1776" s="1">
        <v>7.3227870421683702E-2</v>
      </c>
    </row>
    <row r="1777" spans="1:6" x14ac:dyDescent="0.25">
      <c r="A1777" s="2" t="str">
        <f t="shared" si="62"/>
        <v>22180</v>
      </c>
      <c r="B1777" s="2" t="str">
        <f>"28339"</f>
        <v>28339</v>
      </c>
      <c r="C1777" s="1">
        <v>1.2417823228634E-2</v>
      </c>
      <c r="D1777" s="1">
        <v>1.82588289164901E-2</v>
      </c>
      <c r="E1777" s="1">
        <v>2.3476933912431001E-3</v>
      </c>
      <c r="F1777" s="1">
        <v>1.24763392182405E-2</v>
      </c>
    </row>
    <row r="1778" spans="1:6" x14ac:dyDescent="0.25">
      <c r="A1778" s="2" t="str">
        <f t="shared" si="62"/>
        <v>22180</v>
      </c>
      <c r="B1778" s="2" t="str">
        <f>"28384"</f>
        <v>28384</v>
      </c>
      <c r="C1778" s="1">
        <v>1.04011179216819E-3</v>
      </c>
      <c r="D1778" s="1">
        <v>1.7171312460648999E-4</v>
      </c>
      <c r="E1778" s="1">
        <v>0</v>
      </c>
      <c r="F1778" s="1">
        <v>9.5362846634950999E-4</v>
      </c>
    </row>
    <row r="1779" spans="1:6" x14ac:dyDescent="0.25">
      <c r="A1779" s="2" t="str">
        <f t="shared" si="62"/>
        <v>22180</v>
      </c>
      <c r="B1779" s="2" t="str">
        <f>"28308"</f>
        <v>28308</v>
      </c>
      <c r="C1779" s="1">
        <v>6.75278686442023E-3</v>
      </c>
      <c r="D1779" s="1">
        <v>2.28950832808654E-4</v>
      </c>
      <c r="E1779" s="1">
        <v>0</v>
      </c>
      <c r="F1779" s="1">
        <v>6.1356095665128802E-3</v>
      </c>
    </row>
    <row r="1780" spans="1:6" x14ac:dyDescent="0.25">
      <c r="A1780" s="2" t="str">
        <f t="shared" si="62"/>
        <v>22180</v>
      </c>
      <c r="B1780" s="2" t="str">
        <f>"28309"</f>
        <v>28309</v>
      </c>
      <c r="C1780" s="1">
        <v>3.8388858894146702E-3</v>
      </c>
      <c r="D1780" s="1">
        <v>1.7343025585255498E-2</v>
      </c>
      <c r="E1780" s="1">
        <v>1.17384669562155E-4</v>
      </c>
      <c r="F1780" s="1">
        <v>4.5738180404914196E-3</v>
      </c>
    </row>
    <row r="1781" spans="1:6" x14ac:dyDescent="0.25">
      <c r="A1781" s="2" t="str">
        <f t="shared" si="62"/>
        <v>22180</v>
      </c>
      <c r="B1781" s="2" t="str">
        <f>"28342"</f>
        <v>28342</v>
      </c>
      <c r="C1781" s="1">
        <v>0</v>
      </c>
      <c r="D1781" s="1">
        <v>0</v>
      </c>
      <c r="E1781" s="1">
        <v>1.17384669562155E-4</v>
      </c>
      <c r="F1781" s="1">
        <v>3.5985979862245601E-6</v>
      </c>
    </row>
    <row r="1782" spans="1:6" x14ac:dyDescent="0.25">
      <c r="A1782" s="2" t="str">
        <f t="shared" si="62"/>
        <v>22180</v>
      </c>
      <c r="B1782" s="2" t="str">
        <f>"27521"</f>
        <v>27521</v>
      </c>
      <c r="C1782" s="1">
        <v>9.9009114872804609E-3</v>
      </c>
      <c r="D1782" s="1">
        <v>2.5184591608951902E-3</v>
      </c>
      <c r="E1782" s="1">
        <v>2.9346167390538699E-3</v>
      </c>
      <c r="F1782" s="1">
        <v>9.2232066386935593E-3</v>
      </c>
    </row>
    <row r="1783" spans="1:6" x14ac:dyDescent="0.25">
      <c r="A1783" s="2" t="str">
        <f t="shared" si="62"/>
        <v>22180</v>
      </c>
      <c r="B1783" s="2" t="str">
        <f>"27543"</f>
        <v>27543</v>
      </c>
      <c r="C1783" s="1">
        <v>0</v>
      </c>
      <c r="D1783" s="1">
        <v>5.7237708202163499E-5</v>
      </c>
      <c r="E1783" s="1">
        <v>0</v>
      </c>
      <c r="F1783" s="1">
        <v>3.5985979862245601E-6</v>
      </c>
    </row>
    <row r="1784" spans="1:6" x14ac:dyDescent="0.25">
      <c r="A1784" s="2" t="str">
        <f t="shared" si="62"/>
        <v>22180</v>
      </c>
      <c r="B1784" s="2" t="str">
        <f>"27505"</f>
        <v>27505</v>
      </c>
      <c r="C1784" s="1">
        <v>9.5475910693301903E-3</v>
      </c>
      <c r="D1784" s="1">
        <v>1.0875164558411001E-3</v>
      </c>
      <c r="E1784" s="1">
        <v>1.17384669562155E-4</v>
      </c>
      <c r="F1784" s="1">
        <v>8.7266001165945701E-3</v>
      </c>
    </row>
    <row r="1785" spans="1:6" x14ac:dyDescent="0.25">
      <c r="A1785" s="2" t="str">
        <f t="shared" si="62"/>
        <v>22180</v>
      </c>
      <c r="B1785" s="2" t="str">
        <f>"28390"</f>
        <v>28390</v>
      </c>
      <c r="C1785" s="1">
        <v>5.52728110013656E-2</v>
      </c>
      <c r="D1785" s="1">
        <v>4.9167191345658501E-2</v>
      </c>
      <c r="E1785" s="1">
        <v>5.8340180772391101E-2</v>
      </c>
      <c r="F1785" s="1">
        <v>5.4982978631525098E-2</v>
      </c>
    </row>
    <row r="1786" spans="1:6" x14ac:dyDescent="0.25">
      <c r="A1786" s="2" t="str">
        <f t="shared" si="62"/>
        <v>22180</v>
      </c>
      <c r="B1786" s="2" t="str">
        <f>"27501"</f>
        <v>27501</v>
      </c>
      <c r="C1786" s="1">
        <v>2.81425667735891E-2</v>
      </c>
      <c r="D1786" s="1">
        <v>3.09083624291683E-2</v>
      </c>
      <c r="E1786" s="1">
        <v>2.3711703251555302E-2</v>
      </c>
      <c r="F1786" s="1">
        <v>2.81806208301245E-2</v>
      </c>
    </row>
    <row r="1787" spans="1:6" x14ac:dyDescent="0.25">
      <c r="A1787" s="2" t="str">
        <f t="shared" si="62"/>
        <v>22180</v>
      </c>
      <c r="B1787" s="2" t="str">
        <f>"28391"</f>
        <v>28391</v>
      </c>
      <c r="C1787" s="1">
        <v>9.7937243941944203E-3</v>
      </c>
      <c r="D1787" s="1">
        <v>5.7237708202163501E-3</v>
      </c>
      <c r="E1787" s="1">
        <v>1.40861603474586E-3</v>
      </c>
      <c r="F1787" s="1">
        <v>9.2807842064731496E-3</v>
      </c>
    </row>
    <row r="1788" spans="1:6" x14ac:dyDescent="0.25">
      <c r="A1788" s="2" t="str">
        <f t="shared" si="62"/>
        <v>22180</v>
      </c>
      <c r="B1788" s="2" t="str">
        <f>"28331"</f>
        <v>28331</v>
      </c>
      <c r="C1788" s="1">
        <v>2.4772128179883701E-3</v>
      </c>
      <c r="D1788" s="1">
        <v>7.09747581706828E-3</v>
      </c>
      <c r="E1788" s="1">
        <v>2.3476933912431E-4</v>
      </c>
      <c r="F1788" s="1">
        <v>2.69894848966842E-3</v>
      </c>
    </row>
    <row r="1789" spans="1:6" x14ac:dyDescent="0.25">
      <c r="A1789" s="2" t="str">
        <f t="shared" si="62"/>
        <v>22180</v>
      </c>
      <c r="B1789" s="2" t="str">
        <f>"28377"</f>
        <v>28377</v>
      </c>
      <c r="C1789" s="1">
        <v>6.3637374154412903E-3</v>
      </c>
      <c r="D1789" s="1">
        <v>2.2322706198843701E-3</v>
      </c>
      <c r="E1789" s="1">
        <v>0</v>
      </c>
      <c r="F1789" s="1">
        <v>5.9088978933807303E-3</v>
      </c>
    </row>
    <row r="1790" spans="1:6" x14ac:dyDescent="0.25">
      <c r="A1790" s="2" t="str">
        <f t="shared" si="62"/>
        <v>22180</v>
      </c>
      <c r="B1790" s="2" t="str">
        <f>"28305"</f>
        <v>28305</v>
      </c>
      <c r="C1790" s="1">
        <v>1.6983199415631801E-2</v>
      </c>
      <c r="D1790" s="1">
        <v>5.529162612329E-2</v>
      </c>
      <c r="E1790" s="1">
        <v>3.9206479633759797E-2</v>
      </c>
      <c r="F1790" s="1">
        <v>2.0072979567160601E-2</v>
      </c>
    </row>
    <row r="1791" spans="1:6" x14ac:dyDescent="0.25">
      <c r="A1791" s="2" t="str">
        <f t="shared" si="62"/>
        <v>22180</v>
      </c>
      <c r="B1791" s="2" t="str">
        <f>"28304"</f>
        <v>28304</v>
      </c>
      <c r="C1791" s="1">
        <v>7.2228221170641801E-2</v>
      </c>
      <c r="D1791" s="1">
        <v>8.7001316467288606E-2</v>
      </c>
      <c r="E1791" s="1">
        <v>0.107289587979809</v>
      </c>
      <c r="F1791" s="1">
        <v>7.4231879259840303E-2</v>
      </c>
    </row>
    <row r="1792" spans="1:6" x14ac:dyDescent="0.25">
      <c r="A1792" s="2" t="str">
        <f t="shared" si="62"/>
        <v>22180</v>
      </c>
      <c r="B1792" s="2" t="str">
        <f>"27592"</f>
        <v>27592</v>
      </c>
      <c r="C1792" s="1">
        <v>1.5482580112427299E-4</v>
      </c>
      <c r="D1792" s="1">
        <v>5.7237708202163499E-5</v>
      </c>
      <c r="E1792" s="1">
        <v>0</v>
      </c>
      <c r="F1792" s="1">
        <v>1.4394391944898201E-4</v>
      </c>
    </row>
    <row r="1793" spans="1:6" x14ac:dyDescent="0.25">
      <c r="A1793" s="2" t="str">
        <f t="shared" si="62"/>
        <v>22180</v>
      </c>
      <c r="B1793" s="2" t="str">
        <f>"27552"</f>
        <v>27552</v>
      </c>
      <c r="C1793" s="1">
        <v>0</v>
      </c>
      <c r="D1793" s="1">
        <v>5.7237708202163499E-5</v>
      </c>
      <c r="E1793" s="1">
        <v>0</v>
      </c>
      <c r="F1793" s="1">
        <v>3.5985979862245601E-6</v>
      </c>
    </row>
    <row r="1794" spans="1:6" x14ac:dyDescent="0.25">
      <c r="A1794" s="2" t="str">
        <f t="shared" ref="A1794:A1802" si="63">"25780"</f>
        <v>25780</v>
      </c>
      <c r="B1794" s="2" t="str">
        <f>"27565"</f>
        <v>27565</v>
      </c>
      <c r="C1794" s="1">
        <v>1.52484858897813E-2</v>
      </c>
      <c r="D1794" s="1">
        <v>8.87705281846426E-4</v>
      </c>
      <c r="E1794" s="1">
        <v>0</v>
      </c>
      <c r="F1794" s="1">
        <v>1.3738695401192901E-2</v>
      </c>
    </row>
    <row r="1795" spans="1:6" x14ac:dyDescent="0.25">
      <c r="A1795" s="2" t="str">
        <f t="shared" si="63"/>
        <v>25780</v>
      </c>
      <c r="B1795" s="2" t="str">
        <f>"27584"</f>
        <v>27584</v>
      </c>
      <c r="C1795" s="1">
        <v>0</v>
      </c>
      <c r="D1795" s="1">
        <v>4.43852640923213E-4</v>
      </c>
      <c r="E1795" s="1">
        <v>0</v>
      </c>
      <c r="F1795" s="1">
        <v>3.8483740619588197E-5</v>
      </c>
    </row>
    <row r="1796" spans="1:6" x14ac:dyDescent="0.25">
      <c r="A1796" s="2" t="str">
        <f t="shared" si="63"/>
        <v>25780</v>
      </c>
      <c r="B1796" s="2" t="str">
        <f>"27507"</f>
        <v>27507</v>
      </c>
      <c r="C1796" s="1">
        <v>4.29534813796658E-3</v>
      </c>
      <c r="D1796" s="1">
        <v>8.87705281846426E-4</v>
      </c>
      <c r="E1796" s="1">
        <v>0</v>
      </c>
      <c r="F1796" s="1">
        <v>3.9253415431979898E-3</v>
      </c>
    </row>
    <row r="1797" spans="1:6" x14ac:dyDescent="0.25">
      <c r="A1797" s="2" t="str">
        <f t="shared" si="63"/>
        <v>25780</v>
      </c>
      <c r="B1797" s="2" t="str">
        <f>"27556"</f>
        <v>27556</v>
      </c>
      <c r="C1797" s="1">
        <v>0</v>
      </c>
      <c r="D1797" s="1">
        <v>0</v>
      </c>
      <c r="E1797" s="1">
        <v>4.4345898004434503E-3</v>
      </c>
      <c r="F1797" s="1">
        <v>7.6967481239176394E-5</v>
      </c>
    </row>
    <row r="1798" spans="1:6" x14ac:dyDescent="0.25">
      <c r="A1798" s="2" t="str">
        <f t="shared" si="63"/>
        <v>25780</v>
      </c>
      <c r="B1798" s="2" t="str">
        <f>"27563"</f>
        <v>27563</v>
      </c>
      <c r="C1798" s="1">
        <v>1.7181392551866299E-3</v>
      </c>
      <c r="D1798" s="1">
        <v>0</v>
      </c>
      <c r="E1798" s="1">
        <v>0</v>
      </c>
      <c r="F1798" s="1">
        <v>1.53934962478352E-3</v>
      </c>
    </row>
    <row r="1799" spans="1:6" x14ac:dyDescent="0.25">
      <c r="A1799" s="2" t="str">
        <f t="shared" si="63"/>
        <v>25780</v>
      </c>
      <c r="B1799" s="2" t="str">
        <f>"27553"</f>
        <v>27553</v>
      </c>
      <c r="C1799" s="1">
        <v>2.1176066320175199E-2</v>
      </c>
      <c r="D1799" s="1">
        <v>4.4385264092321299E-3</v>
      </c>
      <c r="E1799" s="1">
        <v>6.6518847006651798E-3</v>
      </c>
      <c r="F1799" s="1">
        <v>1.94727727535116E-2</v>
      </c>
    </row>
    <row r="1800" spans="1:6" x14ac:dyDescent="0.25">
      <c r="A1800" s="2" t="str">
        <f t="shared" si="63"/>
        <v>25780</v>
      </c>
      <c r="B1800" s="2" t="str">
        <f>"27544"</f>
        <v>27544</v>
      </c>
      <c r="C1800" s="1">
        <v>6.7136291396417594E-2</v>
      </c>
      <c r="D1800" s="1">
        <v>2.8850421660008799E-2</v>
      </c>
      <c r="E1800" s="1">
        <v>5.3215077605321501E-2</v>
      </c>
      <c r="F1800" s="1">
        <v>6.3575139503559697E-2</v>
      </c>
    </row>
    <row r="1801" spans="1:6" x14ac:dyDescent="0.25">
      <c r="A1801" s="2" t="str">
        <f t="shared" si="63"/>
        <v>25780</v>
      </c>
      <c r="B1801" s="2" t="str">
        <f>"27537"</f>
        <v>27537</v>
      </c>
      <c r="C1801" s="1">
        <v>0.45053906619131401</v>
      </c>
      <c r="D1801" s="1">
        <v>0.15579227696404699</v>
      </c>
      <c r="E1801" s="1">
        <v>0.35476718403547602</v>
      </c>
      <c r="F1801" s="1">
        <v>0.42332114681547001</v>
      </c>
    </row>
    <row r="1802" spans="1:6" x14ac:dyDescent="0.25">
      <c r="A1802" s="2" t="str">
        <f t="shared" si="63"/>
        <v>25780</v>
      </c>
      <c r="B1802" s="2" t="str">
        <f>"27536"</f>
        <v>27536</v>
      </c>
      <c r="C1802" s="1">
        <v>0.43988660280915698</v>
      </c>
      <c r="D1802" s="1">
        <v>0.80869951176209398</v>
      </c>
      <c r="E1802" s="1">
        <v>0.58093126385809302</v>
      </c>
      <c r="F1802" s="1">
        <v>0.47431210313642402</v>
      </c>
    </row>
    <row r="1803" spans="1:6" x14ac:dyDescent="0.25">
      <c r="A1803" s="2" t="str">
        <f t="shared" ref="A1803:A1812" si="64">"32000"</f>
        <v>32000</v>
      </c>
      <c r="B1803" s="2" t="str">
        <f>"28777"</f>
        <v>28777</v>
      </c>
      <c r="C1803" s="1">
        <v>1.28192954135409E-3</v>
      </c>
      <c r="D1803" s="1">
        <v>1.50262960180315E-3</v>
      </c>
      <c r="E1803" s="1">
        <v>0</v>
      </c>
      <c r="F1803" s="1">
        <v>1.2768018315502099E-3</v>
      </c>
    </row>
    <row r="1804" spans="1:6" x14ac:dyDescent="0.25">
      <c r="A1804" s="2" t="str">
        <f t="shared" si="64"/>
        <v>32000</v>
      </c>
      <c r="B1804" s="2" t="str">
        <f>"28762"</f>
        <v>28762</v>
      </c>
      <c r="C1804" s="1">
        <v>0.14509543253252299</v>
      </c>
      <c r="D1804" s="1">
        <v>8.7903831705484506E-2</v>
      </c>
      <c r="E1804" s="1">
        <v>0.109375</v>
      </c>
      <c r="F1804" s="1">
        <v>0.141240699159071</v>
      </c>
    </row>
    <row r="1805" spans="1:6" x14ac:dyDescent="0.25">
      <c r="A1805" s="2" t="str">
        <f t="shared" si="64"/>
        <v>32000</v>
      </c>
      <c r="B1805" s="2" t="str">
        <f>"28714"</f>
        <v>28714</v>
      </c>
      <c r="C1805" s="1">
        <v>2.3739435951001801E-4</v>
      </c>
      <c r="D1805" s="1">
        <v>0</v>
      </c>
      <c r="E1805" s="1">
        <v>0</v>
      </c>
      <c r="F1805" s="1">
        <v>2.2013824681900199E-4</v>
      </c>
    </row>
    <row r="1806" spans="1:6" x14ac:dyDescent="0.25">
      <c r="A1806" s="2" t="str">
        <f t="shared" si="64"/>
        <v>32000</v>
      </c>
      <c r="B1806" s="2" t="str">
        <f>"28752"</f>
        <v>28752</v>
      </c>
      <c r="C1806" s="1">
        <v>0.67272813597948899</v>
      </c>
      <c r="D1806" s="1">
        <v>0.85800150262960095</v>
      </c>
      <c r="E1806" s="1">
        <v>0.87187499999999996</v>
      </c>
      <c r="F1806" s="1">
        <v>0.68639105358164898</v>
      </c>
    </row>
    <row r="1807" spans="1:6" x14ac:dyDescent="0.25">
      <c r="A1807" s="2" t="str">
        <f t="shared" si="64"/>
        <v>32000</v>
      </c>
      <c r="B1807" s="2" t="str">
        <f>"28655"</f>
        <v>28655</v>
      </c>
      <c r="C1807" s="1">
        <v>9.0209856613806801E-4</v>
      </c>
      <c r="D1807" s="1">
        <v>0</v>
      </c>
      <c r="E1807" s="1">
        <v>0</v>
      </c>
      <c r="F1807" s="1">
        <v>8.3652533791220805E-4</v>
      </c>
    </row>
    <row r="1808" spans="1:6" x14ac:dyDescent="0.25">
      <c r="A1808" s="2" t="str">
        <f t="shared" si="64"/>
        <v>32000</v>
      </c>
      <c r="B1808" s="2" t="str">
        <f>"28167"</f>
        <v>28167</v>
      </c>
      <c r="C1808" s="1">
        <v>1.7092393884721199E-3</v>
      </c>
      <c r="D1808" s="1">
        <v>0</v>
      </c>
      <c r="E1808" s="1">
        <v>0</v>
      </c>
      <c r="F1808" s="1">
        <v>1.58499537709681E-3</v>
      </c>
    </row>
    <row r="1809" spans="1:6" x14ac:dyDescent="0.25">
      <c r="A1809" s="2" t="str">
        <f t="shared" si="64"/>
        <v>32000</v>
      </c>
      <c r="B1809" s="2" t="str">
        <f>"28711"</f>
        <v>28711</v>
      </c>
      <c r="C1809" s="1">
        <v>1.09201405374608E-2</v>
      </c>
      <c r="D1809" s="1">
        <v>2.2539444027047302E-3</v>
      </c>
      <c r="E1809" s="1">
        <v>0</v>
      </c>
      <c r="F1809" s="1">
        <v>1.0258442301765499E-2</v>
      </c>
    </row>
    <row r="1810" spans="1:6" x14ac:dyDescent="0.25">
      <c r="A1810" s="2" t="str">
        <f t="shared" si="64"/>
        <v>32000</v>
      </c>
      <c r="B1810" s="2" t="str">
        <f>"28761"</f>
        <v>28761</v>
      </c>
      <c r="C1810" s="1">
        <v>0.16703067135124799</v>
      </c>
      <c r="D1810" s="1">
        <v>5.0338091660405697E-2</v>
      </c>
      <c r="E1810" s="1">
        <v>1.5625E-2</v>
      </c>
      <c r="F1810" s="1">
        <v>0.158059261216043</v>
      </c>
    </row>
    <row r="1811" spans="1:6" x14ac:dyDescent="0.25">
      <c r="A1811" s="2" t="str">
        <f t="shared" si="64"/>
        <v>32000</v>
      </c>
      <c r="B1811" s="2" t="str">
        <f>"28657"</f>
        <v>28657</v>
      </c>
      <c r="C1811" s="1">
        <v>9.4957743804007202E-5</v>
      </c>
      <c r="D1811" s="1">
        <v>0</v>
      </c>
      <c r="E1811" s="1">
        <v>0</v>
      </c>
      <c r="F1811" s="1">
        <v>8.8055298727600893E-5</v>
      </c>
    </row>
    <row r="1812" spans="1:6" x14ac:dyDescent="0.25">
      <c r="A1812" s="2" t="str">
        <f t="shared" si="64"/>
        <v>32000</v>
      </c>
      <c r="B1812" s="2" t="str">
        <f>"28749"</f>
        <v>28749</v>
      </c>
      <c r="C1812" s="1">
        <v>0</v>
      </c>
      <c r="D1812" s="1">
        <v>0</v>
      </c>
      <c r="E1812" s="1">
        <v>3.1250000000000002E-3</v>
      </c>
      <c r="F1812" s="1">
        <v>4.4027649363800399E-5</v>
      </c>
    </row>
    <row r="1813" spans="1:6" x14ac:dyDescent="0.25">
      <c r="A1813" s="2" t="str">
        <f t="shared" ref="A1813:A1849" si="65">"34820"</f>
        <v>34820</v>
      </c>
      <c r="B1813" s="2" t="str">
        <f>"29527"</f>
        <v>29527</v>
      </c>
      <c r="C1813" s="1">
        <v>3.9650460756275797E-2</v>
      </c>
      <c r="D1813" s="1">
        <v>1.2520578805996E-2</v>
      </c>
      <c r="E1813" s="1">
        <v>1.9176490121202001E-2</v>
      </c>
      <c r="F1813" s="1">
        <v>3.7155402083309502E-2</v>
      </c>
    </row>
    <row r="1814" spans="1:6" x14ac:dyDescent="0.25">
      <c r="A1814" s="2" t="str">
        <f t="shared" si="65"/>
        <v>34820</v>
      </c>
      <c r="B1814" s="2" t="str">
        <f>"29597"</f>
        <v>29597</v>
      </c>
      <c r="C1814" s="1">
        <v>5.6720686367969404E-3</v>
      </c>
      <c r="D1814" s="1">
        <v>1.3776969066805299E-2</v>
      </c>
      <c r="E1814" s="1">
        <v>8.3015108749792405E-5</v>
      </c>
      <c r="F1814" s="1">
        <v>6.0143842116697297E-3</v>
      </c>
    </row>
    <row r="1815" spans="1:6" x14ac:dyDescent="0.25">
      <c r="A1815" s="2" t="str">
        <f t="shared" si="65"/>
        <v>34820</v>
      </c>
      <c r="B1815" s="2" t="str">
        <f>"29588"</f>
        <v>29588</v>
      </c>
      <c r="C1815" s="1">
        <v>7.8242770892913802E-2</v>
      </c>
      <c r="D1815" s="1">
        <v>6.0003465904167698E-2</v>
      </c>
      <c r="E1815" s="1">
        <v>9.0237423211024403E-2</v>
      </c>
      <c r="F1815" s="1">
        <v>7.7452348011022507E-2</v>
      </c>
    </row>
    <row r="1816" spans="1:6" x14ac:dyDescent="0.25">
      <c r="A1816" s="2" t="str">
        <f t="shared" si="65"/>
        <v>34820</v>
      </c>
      <c r="B1816" s="2" t="str">
        <f>"29578"</f>
        <v>29578</v>
      </c>
      <c r="C1816" s="1">
        <v>1.1461709564664699E-2</v>
      </c>
      <c r="D1816" s="1">
        <v>3.4269127458625703E-2</v>
      </c>
      <c r="E1816" s="1">
        <v>8.3015108749792405E-5</v>
      </c>
      <c r="F1816" s="1">
        <v>1.25747510205015E-2</v>
      </c>
    </row>
    <row r="1817" spans="1:6" x14ac:dyDescent="0.25">
      <c r="A1817" s="2" t="str">
        <f t="shared" si="65"/>
        <v>34820</v>
      </c>
      <c r="B1817" s="2" t="str">
        <f>"29576"</f>
        <v>29576</v>
      </c>
      <c r="C1817" s="1">
        <v>4.7022561169367601E-2</v>
      </c>
      <c r="D1817" s="1">
        <v>3.2666146781041502E-2</v>
      </c>
      <c r="E1817" s="1">
        <v>6.3340527976091604E-2</v>
      </c>
      <c r="F1817" s="1">
        <v>4.6637204569102503E-2</v>
      </c>
    </row>
    <row r="1818" spans="1:6" x14ac:dyDescent="0.25">
      <c r="A1818" s="2" t="str">
        <f t="shared" si="65"/>
        <v>34820</v>
      </c>
      <c r="B1818" s="2" t="str">
        <f>"29511"</f>
        <v>29511</v>
      </c>
      <c r="C1818" s="1">
        <v>8.0203368287257697E-3</v>
      </c>
      <c r="D1818" s="1">
        <v>3.3792565635560102E-3</v>
      </c>
      <c r="E1818" s="1">
        <v>4.98090652498754E-4</v>
      </c>
      <c r="F1818" s="1">
        <v>7.4550922167465096E-3</v>
      </c>
    </row>
    <row r="1819" spans="1:6" x14ac:dyDescent="0.25">
      <c r="A1819" s="2" t="str">
        <f t="shared" si="65"/>
        <v>34820</v>
      </c>
      <c r="B1819" s="2" t="str">
        <f>"29526"</f>
        <v>29526</v>
      </c>
      <c r="C1819" s="1">
        <v>7.4029234191293203E-2</v>
      </c>
      <c r="D1819" s="1">
        <v>8.8553851486006405E-2</v>
      </c>
      <c r="E1819" s="1">
        <v>6.6827162543582896E-2</v>
      </c>
      <c r="F1819" s="1">
        <v>7.4739586310987094E-2</v>
      </c>
    </row>
    <row r="1820" spans="1:6" x14ac:dyDescent="0.25">
      <c r="A1820" s="2" t="str">
        <f t="shared" si="65"/>
        <v>34820</v>
      </c>
      <c r="B1820" s="2" t="str">
        <f>"28451"</f>
        <v>28451</v>
      </c>
      <c r="C1820" s="1">
        <v>6.72163965681601E-2</v>
      </c>
      <c r="D1820" s="1">
        <v>4.3323802096871998E-2</v>
      </c>
      <c r="E1820" s="1">
        <v>2.8806242736177899E-2</v>
      </c>
      <c r="F1820" s="1">
        <v>6.4317321655213394E-2</v>
      </c>
    </row>
    <row r="1821" spans="1:6" x14ac:dyDescent="0.25">
      <c r="A1821" s="2" t="str">
        <f t="shared" si="65"/>
        <v>34820</v>
      </c>
      <c r="B1821" s="2" t="str">
        <f>"28420"</f>
        <v>28420</v>
      </c>
      <c r="C1821" s="1">
        <v>5.5417858277724804E-3</v>
      </c>
      <c r="D1821" s="1">
        <v>1.81959968806862E-3</v>
      </c>
      <c r="E1821" s="1">
        <v>0</v>
      </c>
      <c r="F1821" s="1">
        <v>5.10536606560938E-3</v>
      </c>
    </row>
    <row r="1822" spans="1:6" x14ac:dyDescent="0.25">
      <c r="A1822" s="2" t="str">
        <f t="shared" si="65"/>
        <v>34820</v>
      </c>
      <c r="B1822" s="2" t="str">
        <f>"29581"</f>
        <v>29581</v>
      </c>
      <c r="C1822" s="1">
        <v>5.1000953288846502E-3</v>
      </c>
      <c r="D1822" s="1">
        <v>1.16974265661554E-3</v>
      </c>
      <c r="E1822" s="1">
        <v>0</v>
      </c>
      <c r="F1822" s="1">
        <v>4.66514973072481E-3</v>
      </c>
    </row>
    <row r="1823" spans="1:6" x14ac:dyDescent="0.25">
      <c r="A1823" s="2" t="str">
        <f t="shared" si="65"/>
        <v>34820</v>
      </c>
      <c r="B1823" s="2" t="str">
        <f>"29568"</f>
        <v>29568</v>
      </c>
      <c r="C1823" s="1">
        <v>3.0645058786145499E-2</v>
      </c>
      <c r="D1823" s="1">
        <v>1.9279091933107999E-2</v>
      </c>
      <c r="E1823" s="1">
        <v>1.31163871824672E-2</v>
      </c>
      <c r="F1823" s="1">
        <v>2.9291537555598698E-2</v>
      </c>
    </row>
    <row r="1824" spans="1:6" x14ac:dyDescent="0.25">
      <c r="A1824" s="2" t="str">
        <f t="shared" si="65"/>
        <v>34820</v>
      </c>
      <c r="B1824" s="2" t="str">
        <f>"28436"</f>
        <v>28436</v>
      </c>
      <c r="C1824" s="1">
        <v>3.17762948840165E-6</v>
      </c>
      <c r="D1824" s="1">
        <v>0</v>
      </c>
      <c r="E1824" s="1">
        <v>0</v>
      </c>
      <c r="F1824" s="1">
        <v>2.8585476291205901E-6</v>
      </c>
    </row>
    <row r="1825" spans="1:6" x14ac:dyDescent="0.25">
      <c r="A1825" s="2" t="str">
        <f t="shared" si="65"/>
        <v>34820</v>
      </c>
      <c r="B1825" s="2" t="str">
        <f>"28479"</f>
        <v>28479</v>
      </c>
      <c r="C1825" s="1">
        <v>1.0235144582141699E-2</v>
      </c>
      <c r="D1825" s="1">
        <v>4.2890564075903298E-3</v>
      </c>
      <c r="E1825" s="1">
        <v>2.2414079362443901E-3</v>
      </c>
      <c r="F1825" s="1">
        <v>9.5675589146666292E-3</v>
      </c>
    </row>
    <row r="1826" spans="1:6" x14ac:dyDescent="0.25">
      <c r="A1826" s="2" t="str">
        <f t="shared" si="65"/>
        <v>34820</v>
      </c>
      <c r="B1826" s="2" t="str">
        <f>"28467"</f>
        <v>28467</v>
      </c>
      <c r="C1826" s="1">
        <v>2.59993644741023E-2</v>
      </c>
      <c r="D1826" s="1">
        <v>1.7936054068105001E-2</v>
      </c>
      <c r="E1826" s="1">
        <v>1.0791964137472999E-2</v>
      </c>
      <c r="F1826" s="1">
        <v>2.49436866117063E-2</v>
      </c>
    </row>
    <row r="1827" spans="1:6" x14ac:dyDescent="0.25">
      <c r="A1827" s="2" t="str">
        <f t="shared" si="65"/>
        <v>34820</v>
      </c>
      <c r="B1827" s="2" t="str">
        <f>"28461"</f>
        <v>28461</v>
      </c>
      <c r="C1827" s="1">
        <v>4.6428344455036498E-2</v>
      </c>
      <c r="D1827" s="1">
        <v>4.9345810588337202E-2</v>
      </c>
      <c r="E1827" s="1">
        <v>3.1462726216171299E-2</v>
      </c>
      <c r="F1827" s="1">
        <v>4.6105514710085997E-2</v>
      </c>
    </row>
    <row r="1828" spans="1:6" x14ac:dyDescent="0.25">
      <c r="A1828" s="2" t="str">
        <f t="shared" si="65"/>
        <v>34820</v>
      </c>
      <c r="B1828" s="2" t="str">
        <f>"29582"</f>
        <v>29582</v>
      </c>
      <c r="C1828" s="1">
        <v>7.170956466476E-2</v>
      </c>
      <c r="D1828" s="1">
        <v>7.3043930335326204E-2</v>
      </c>
      <c r="E1828" s="1">
        <v>8.8162045492279503E-2</v>
      </c>
      <c r="F1828" s="1">
        <v>7.2364133231187802E-2</v>
      </c>
    </row>
    <row r="1829" spans="1:6" x14ac:dyDescent="0.25">
      <c r="A1829" s="2" t="str">
        <f t="shared" si="65"/>
        <v>34820</v>
      </c>
      <c r="B1829" s="2" t="str">
        <f>"29575"</f>
        <v>29575</v>
      </c>
      <c r="C1829" s="1">
        <v>4.3711471242453101E-2</v>
      </c>
      <c r="D1829" s="1">
        <v>3.9771250324928502E-2</v>
      </c>
      <c r="E1829" s="1">
        <v>7.4132492113564596E-2</v>
      </c>
      <c r="F1829" s="1">
        <v>4.4499010942520303E-2</v>
      </c>
    </row>
    <row r="1830" spans="1:6" x14ac:dyDescent="0.25">
      <c r="A1830" s="2" t="str">
        <f t="shared" si="65"/>
        <v>34820</v>
      </c>
      <c r="B1830" s="2" t="str">
        <f>"28422"</f>
        <v>28422</v>
      </c>
      <c r="C1830" s="1">
        <v>1.4852240228789299E-2</v>
      </c>
      <c r="D1830" s="1">
        <v>7.9282557837275693E-3</v>
      </c>
      <c r="E1830" s="1">
        <v>7.3883446787315196E-3</v>
      </c>
      <c r="F1830" s="1">
        <v>1.4138376573630399E-2</v>
      </c>
    </row>
    <row r="1831" spans="1:6" x14ac:dyDescent="0.25">
      <c r="A1831" s="2" t="str">
        <f t="shared" si="65"/>
        <v>34820</v>
      </c>
      <c r="B1831" s="2" t="str">
        <f>"28456"</f>
        <v>28456</v>
      </c>
      <c r="C1831" s="1">
        <v>4.2580235144582099E-4</v>
      </c>
      <c r="D1831" s="1">
        <v>1.29971406290616E-4</v>
      </c>
      <c r="E1831" s="1">
        <v>0</v>
      </c>
      <c r="F1831" s="1">
        <v>3.9162102518952102E-4</v>
      </c>
    </row>
    <row r="1832" spans="1:6" x14ac:dyDescent="0.25">
      <c r="A1832" s="2" t="str">
        <f t="shared" si="65"/>
        <v>34820</v>
      </c>
      <c r="B1832" s="2" t="str">
        <f>"28465"</f>
        <v>28465</v>
      </c>
      <c r="C1832" s="1">
        <v>2.95297108357165E-2</v>
      </c>
      <c r="D1832" s="1">
        <v>9.7045316696993296E-3</v>
      </c>
      <c r="E1832" s="1">
        <v>5.3959820687365101E-3</v>
      </c>
      <c r="F1832" s="1">
        <v>2.7390603382233501E-2</v>
      </c>
    </row>
    <row r="1833" spans="1:6" x14ac:dyDescent="0.25">
      <c r="A1833" s="2" t="str">
        <f t="shared" si="65"/>
        <v>34820</v>
      </c>
      <c r="B1833" s="2" t="str">
        <f>"28401"</f>
        <v>28401</v>
      </c>
      <c r="C1833" s="1">
        <v>0</v>
      </c>
      <c r="D1833" s="1">
        <v>2.59942812581232E-4</v>
      </c>
      <c r="E1833" s="1">
        <v>0</v>
      </c>
      <c r="F1833" s="1">
        <v>1.7151285774723502E-5</v>
      </c>
    </row>
    <row r="1834" spans="1:6" x14ac:dyDescent="0.25">
      <c r="A1834" s="2" t="str">
        <f t="shared" si="65"/>
        <v>34820</v>
      </c>
      <c r="B1834" s="2" t="str">
        <f>"29587"</f>
        <v>29587</v>
      </c>
      <c r="C1834" s="1">
        <v>6.5014299332697796E-3</v>
      </c>
      <c r="D1834" s="1">
        <v>1.52499783380989E-2</v>
      </c>
      <c r="E1834" s="1">
        <v>8.3015108749792405E-5</v>
      </c>
      <c r="F1834" s="1">
        <v>6.8576557622603103E-3</v>
      </c>
    </row>
    <row r="1835" spans="1:6" x14ac:dyDescent="0.25">
      <c r="A1835" s="2" t="str">
        <f t="shared" si="65"/>
        <v>34820</v>
      </c>
      <c r="B1835" s="2" t="str">
        <f>"29545"</f>
        <v>29545</v>
      </c>
      <c r="C1835" s="1">
        <v>2.9837940896091501E-3</v>
      </c>
      <c r="D1835" s="1">
        <v>1.03977125032492E-3</v>
      </c>
      <c r="E1835" s="1">
        <v>0</v>
      </c>
      <c r="F1835" s="1">
        <v>2.7527813668431298E-3</v>
      </c>
    </row>
    <row r="1836" spans="1:6" x14ac:dyDescent="0.25">
      <c r="A1836" s="2" t="str">
        <f t="shared" si="65"/>
        <v>34820</v>
      </c>
      <c r="B1836" s="2" t="str">
        <f>"29528"</f>
        <v>29528</v>
      </c>
      <c r="C1836" s="1">
        <v>5.4496345726088302E-3</v>
      </c>
      <c r="D1836" s="1">
        <v>2.1055367819079799E-2</v>
      </c>
      <c r="E1836" s="1">
        <v>1.66030217499584E-4</v>
      </c>
      <c r="F1836" s="1">
        <v>6.2973804269526703E-3</v>
      </c>
    </row>
    <row r="1837" spans="1:6" x14ac:dyDescent="0.25">
      <c r="A1837" s="2" t="str">
        <f t="shared" si="65"/>
        <v>34820</v>
      </c>
      <c r="B1837" s="2" t="str">
        <f>"29544"</f>
        <v>29544</v>
      </c>
      <c r="C1837" s="1">
        <v>9.6854146806482303E-3</v>
      </c>
      <c r="D1837" s="1">
        <v>1.9928948964561101E-3</v>
      </c>
      <c r="E1837" s="1">
        <v>1.57728706624605E-3</v>
      </c>
      <c r="F1837" s="1">
        <v>8.89865876945241E-3</v>
      </c>
    </row>
    <row r="1838" spans="1:6" x14ac:dyDescent="0.25">
      <c r="A1838" s="2" t="str">
        <f t="shared" si="65"/>
        <v>34820</v>
      </c>
      <c r="B1838" s="2" t="str">
        <f>"28452"</f>
        <v>28452</v>
      </c>
      <c r="C1838" s="1">
        <v>5.49729901493485E-4</v>
      </c>
      <c r="D1838" s="1">
        <v>1.73295208387488E-4</v>
      </c>
      <c r="E1838" s="1">
        <v>0</v>
      </c>
      <c r="F1838" s="1">
        <v>5.0596293035434499E-4</v>
      </c>
    </row>
    <row r="1839" spans="1:6" x14ac:dyDescent="0.25">
      <c r="A1839" s="2" t="str">
        <f t="shared" si="65"/>
        <v>34820</v>
      </c>
      <c r="B1839" s="2" t="str">
        <f>"29598"</f>
        <v>29598</v>
      </c>
      <c r="C1839" s="1">
        <v>3.4826819192882098E-3</v>
      </c>
      <c r="D1839" s="1">
        <v>4.7656182306559198E-3</v>
      </c>
      <c r="E1839" s="1">
        <v>1.66030217499584E-4</v>
      </c>
      <c r="F1839" s="1">
        <v>3.4531255359776798E-3</v>
      </c>
    </row>
    <row r="1840" spans="1:6" x14ac:dyDescent="0.25">
      <c r="A1840" s="2" t="str">
        <f t="shared" si="65"/>
        <v>34820</v>
      </c>
      <c r="B1840" s="2" t="str">
        <f>"29579"</f>
        <v>29579</v>
      </c>
      <c r="C1840" s="1">
        <v>8.4864950746742898E-2</v>
      </c>
      <c r="D1840" s="1">
        <v>5.5714409496577397E-2</v>
      </c>
      <c r="E1840" s="1">
        <v>0.13199402291216999</v>
      </c>
      <c r="F1840" s="1">
        <v>8.4564414512274602E-2</v>
      </c>
    </row>
    <row r="1841" spans="1:6" x14ac:dyDescent="0.25">
      <c r="A1841" s="2" t="str">
        <f t="shared" si="65"/>
        <v>34820</v>
      </c>
      <c r="B1841" s="2" t="str">
        <f>"29569"</f>
        <v>29569</v>
      </c>
      <c r="C1841" s="1">
        <v>2.7114712424531201E-2</v>
      </c>
      <c r="D1841" s="1">
        <v>2.3698119746988901E-2</v>
      </c>
      <c r="E1841" s="1">
        <v>3.8186950024904501E-3</v>
      </c>
      <c r="F1841" s="1">
        <v>2.6087105663354499E-2</v>
      </c>
    </row>
    <row r="1842" spans="1:6" x14ac:dyDescent="0.25">
      <c r="A1842" s="2" t="str">
        <f t="shared" si="65"/>
        <v>34820</v>
      </c>
      <c r="B1842" s="2" t="str">
        <f>"28470"</f>
        <v>28470</v>
      </c>
      <c r="C1842" s="1">
        <v>1.8214172227518199E-2</v>
      </c>
      <c r="D1842" s="1">
        <v>2.2658348496664E-2</v>
      </c>
      <c r="E1842" s="1">
        <v>2.0255686534949299E-2</v>
      </c>
      <c r="F1842" s="1">
        <v>1.8577701041654699E-2</v>
      </c>
    </row>
    <row r="1843" spans="1:6" x14ac:dyDescent="0.25">
      <c r="A1843" s="2" t="str">
        <f t="shared" si="65"/>
        <v>34820</v>
      </c>
      <c r="B1843" s="2" t="str">
        <f>"28469"</f>
        <v>28469</v>
      </c>
      <c r="C1843" s="1">
        <v>2.30568795678423E-2</v>
      </c>
      <c r="D1843" s="1">
        <v>2.88969759986136E-2</v>
      </c>
      <c r="E1843" s="1">
        <v>9.3807072887265395E-3</v>
      </c>
      <c r="F1843" s="1">
        <v>2.2971288747613099E-2</v>
      </c>
    </row>
    <row r="1844" spans="1:6" x14ac:dyDescent="0.25">
      <c r="A1844" s="2" t="str">
        <f t="shared" si="65"/>
        <v>34820</v>
      </c>
      <c r="B1844" s="2" t="str">
        <f>"28462"</f>
        <v>28462</v>
      </c>
      <c r="C1844" s="1">
        <v>3.0120749920559201E-2</v>
      </c>
      <c r="D1844" s="1">
        <v>1.8325968286976801E-2</v>
      </c>
      <c r="E1844" s="1">
        <v>4.7318611987381704E-3</v>
      </c>
      <c r="F1844" s="1">
        <v>2.8468275838412001E-2</v>
      </c>
    </row>
    <row r="1845" spans="1:6" x14ac:dyDescent="0.25">
      <c r="A1845" s="2" t="str">
        <f t="shared" si="65"/>
        <v>34820</v>
      </c>
      <c r="B1845" s="2" t="str">
        <f>"28459"</f>
        <v>28459</v>
      </c>
      <c r="C1845" s="1">
        <v>7.0066730219256398E-3</v>
      </c>
      <c r="D1845" s="1">
        <v>1.54665973485833E-2</v>
      </c>
      <c r="E1845" s="1">
        <v>8.3015108749792405E-5</v>
      </c>
      <c r="F1845" s="1">
        <v>7.3264575734360796E-3</v>
      </c>
    </row>
    <row r="1846" spans="1:6" x14ac:dyDescent="0.25">
      <c r="A1846" s="2" t="str">
        <f t="shared" si="65"/>
        <v>34820</v>
      </c>
      <c r="B1846" s="2" t="str">
        <f>"29577"</f>
        <v>29577</v>
      </c>
      <c r="C1846" s="1">
        <v>6.7343501747696197E-2</v>
      </c>
      <c r="D1846" s="1">
        <v>0.17814747422233701</v>
      </c>
      <c r="E1846" s="1">
        <v>0.157728706624605</v>
      </c>
      <c r="F1846" s="1">
        <v>7.7766788250225802E-2</v>
      </c>
    </row>
    <row r="1847" spans="1:6" x14ac:dyDescent="0.25">
      <c r="A1847" s="2" t="str">
        <f t="shared" si="65"/>
        <v>34820</v>
      </c>
      <c r="B1847" s="2" t="str">
        <f>"29572"</f>
        <v>29572</v>
      </c>
      <c r="C1847" s="1">
        <v>3.8185573562122599E-2</v>
      </c>
      <c r="D1847" s="1">
        <v>5.48046096525431E-2</v>
      </c>
      <c r="E1847" s="1">
        <v>7.9528474182301107E-2</v>
      </c>
      <c r="F1847" s="1">
        <v>4.0705718238677198E-2</v>
      </c>
    </row>
    <row r="1848" spans="1:6" x14ac:dyDescent="0.25">
      <c r="A1848" s="2" t="str">
        <f t="shared" si="65"/>
        <v>34820</v>
      </c>
      <c r="B1848" s="2" t="str">
        <f>"29566"</f>
        <v>29566</v>
      </c>
      <c r="C1848" s="1">
        <v>4.5843660629170599E-2</v>
      </c>
      <c r="D1848" s="1">
        <v>3.9381336106056597E-2</v>
      </c>
      <c r="E1848" s="1">
        <v>6.1348165366096601E-2</v>
      </c>
      <c r="F1848" s="1">
        <v>4.5951153138113501E-2</v>
      </c>
    </row>
    <row r="1849" spans="1:6" x14ac:dyDescent="0.25">
      <c r="A1849" s="2" t="str">
        <f t="shared" si="65"/>
        <v>34820</v>
      </c>
      <c r="B1849" s="2" t="str">
        <f>"28468"</f>
        <v>28468</v>
      </c>
      <c r="C1849" s="1">
        <v>1.40991420400381E-2</v>
      </c>
      <c r="D1849" s="1">
        <v>5.4587990642058701E-3</v>
      </c>
      <c r="E1849" s="1">
        <v>2.73949858874315E-2</v>
      </c>
      <c r="F1849" s="1">
        <v>1.3986873549287E-2</v>
      </c>
    </row>
    <row r="1850" spans="1:6" x14ac:dyDescent="0.25">
      <c r="A1850" s="2" t="str">
        <f t="shared" ref="A1850:A1872" si="66">"22500"</f>
        <v>22500</v>
      </c>
      <c r="B1850" s="2" t="str">
        <f>"29551"</f>
        <v>29551</v>
      </c>
      <c r="C1850" s="1">
        <v>1.7392029502515598E-2</v>
      </c>
      <c r="D1850" s="1">
        <v>3.1892809964144099E-2</v>
      </c>
      <c r="E1850" s="1">
        <v>6.54664484451718E-4</v>
      </c>
      <c r="F1850" s="1">
        <v>1.8235507007962001E-2</v>
      </c>
    </row>
    <row r="1851" spans="1:6" x14ac:dyDescent="0.25">
      <c r="A1851" s="2" t="str">
        <f t="shared" si="66"/>
        <v>22500</v>
      </c>
      <c r="B1851" s="2" t="str">
        <f>"29532"</f>
        <v>29532</v>
      </c>
      <c r="C1851" s="1">
        <v>9.7013611556387394E-2</v>
      </c>
      <c r="D1851" s="1">
        <v>8.4732968484619697E-2</v>
      </c>
      <c r="E1851" s="1">
        <v>2.9132569558101399E-2</v>
      </c>
      <c r="F1851" s="1">
        <v>9.4237349476870402E-2</v>
      </c>
    </row>
    <row r="1852" spans="1:6" x14ac:dyDescent="0.25">
      <c r="A1852" s="2" t="str">
        <f t="shared" si="66"/>
        <v>22500</v>
      </c>
      <c r="B1852" s="2" t="str">
        <f>"29079"</f>
        <v>29079</v>
      </c>
      <c r="C1852" s="1">
        <v>0</v>
      </c>
      <c r="D1852" s="1">
        <v>9.4357425929420604E-5</v>
      </c>
      <c r="E1852" s="1">
        <v>0</v>
      </c>
      <c r="F1852" s="1">
        <v>8.2253076265052308E-6</v>
      </c>
    </row>
    <row r="1853" spans="1:6" x14ac:dyDescent="0.25">
      <c r="A1853" s="2" t="str">
        <f t="shared" si="66"/>
        <v>22500</v>
      </c>
      <c r="B1853" s="2" t="str">
        <f>"29593"</f>
        <v>29593</v>
      </c>
      <c r="C1853" s="1">
        <v>6.0876736191543901E-3</v>
      </c>
      <c r="D1853" s="1">
        <v>3.96301188903566E-3</v>
      </c>
      <c r="E1853" s="1">
        <v>6.54664484451718E-4</v>
      </c>
      <c r="F1853" s="1">
        <v>5.7659406461801604E-3</v>
      </c>
    </row>
    <row r="1854" spans="1:6" x14ac:dyDescent="0.25">
      <c r="A1854" s="2" t="str">
        <f t="shared" si="66"/>
        <v>22500</v>
      </c>
      <c r="B1854" s="2" t="str">
        <f>"29591"</f>
        <v>29591</v>
      </c>
      <c r="C1854" s="1">
        <v>2.26735728250697E-2</v>
      </c>
      <c r="D1854" s="1">
        <v>7.1711643706359601E-3</v>
      </c>
      <c r="E1854" s="1">
        <v>6.54664484451718E-3</v>
      </c>
      <c r="F1854" s="1">
        <v>2.0916957294202801E-2</v>
      </c>
    </row>
    <row r="1855" spans="1:6" x14ac:dyDescent="0.25">
      <c r="A1855" s="2" t="str">
        <f t="shared" si="66"/>
        <v>22500</v>
      </c>
      <c r="B1855" s="2" t="str">
        <f>"29554"</f>
        <v>29554</v>
      </c>
      <c r="C1855" s="1">
        <v>9.1732068233833298E-4</v>
      </c>
      <c r="D1855" s="1">
        <v>1.8871485185884099E-4</v>
      </c>
      <c r="E1855" s="1">
        <v>6.54664484451718E-4</v>
      </c>
      <c r="F1855" s="1">
        <v>8.4720668553003799E-4</v>
      </c>
    </row>
    <row r="1856" spans="1:6" x14ac:dyDescent="0.25">
      <c r="A1856" s="2" t="str">
        <f t="shared" si="66"/>
        <v>22500</v>
      </c>
      <c r="B1856" s="2" t="str">
        <f>"29504"</f>
        <v>29504</v>
      </c>
      <c r="C1856" s="1">
        <v>0</v>
      </c>
      <c r="D1856" s="1">
        <v>0</v>
      </c>
      <c r="E1856" s="1">
        <v>6.54664484451718E-4</v>
      </c>
      <c r="F1856" s="1">
        <v>1.6450615253010401E-5</v>
      </c>
    </row>
    <row r="1857" spans="1:6" x14ac:dyDescent="0.25">
      <c r="A1857" s="2" t="str">
        <f t="shared" si="66"/>
        <v>22500</v>
      </c>
      <c r="B1857" s="2" t="str">
        <f>"29505"</f>
        <v>29505</v>
      </c>
      <c r="C1857" s="1">
        <v>0.106798365501329</v>
      </c>
      <c r="D1857" s="1">
        <v>7.8694093225136805E-2</v>
      </c>
      <c r="E1857" s="1">
        <v>0.13747954173485999</v>
      </c>
      <c r="F1857" s="1">
        <v>0.105119431466736</v>
      </c>
    </row>
    <row r="1858" spans="1:6" x14ac:dyDescent="0.25">
      <c r="A1858" s="2" t="str">
        <f t="shared" si="66"/>
        <v>22500</v>
      </c>
      <c r="B1858" s="2" t="str">
        <f>"29503"</f>
        <v>29503</v>
      </c>
      <c r="C1858" s="1">
        <v>1.1119038573797899E-2</v>
      </c>
      <c r="D1858" s="1">
        <v>3.4629175316097299E-2</v>
      </c>
      <c r="E1858" s="1">
        <v>3.27332242225859E-4</v>
      </c>
      <c r="F1858" s="1">
        <v>1.28972823583602E-2</v>
      </c>
    </row>
    <row r="1859" spans="1:6" x14ac:dyDescent="0.25">
      <c r="A1859" s="2" t="str">
        <f t="shared" si="66"/>
        <v>22500</v>
      </c>
      <c r="B1859" s="2" t="str">
        <f>"29069"</f>
        <v>29069</v>
      </c>
      <c r="C1859" s="1">
        <v>1.9662166544666099E-2</v>
      </c>
      <c r="D1859" s="1">
        <v>6.1332326854123403E-3</v>
      </c>
      <c r="E1859" s="1">
        <v>6.8739770867430397E-3</v>
      </c>
      <c r="F1859" s="1">
        <v>1.81614792393235E-2</v>
      </c>
    </row>
    <row r="1860" spans="1:6" x14ac:dyDescent="0.25">
      <c r="A1860" s="2" t="str">
        <f t="shared" si="66"/>
        <v>22500</v>
      </c>
      <c r="B1860" s="2" t="str">
        <f>"29583"</f>
        <v>29583</v>
      </c>
      <c r="C1860" s="1">
        <v>2.1784049739165801E-2</v>
      </c>
      <c r="D1860" s="1">
        <v>5.3783732779769701E-3</v>
      </c>
      <c r="E1860" s="1">
        <v>9.8199672667757701E-4</v>
      </c>
      <c r="F1860" s="1">
        <v>1.9831216687504101E-2</v>
      </c>
    </row>
    <row r="1861" spans="1:6" x14ac:dyDescent="0.25">
      <c r="A1861" s="2" t="str">
        <f t="shared" si="66"/>
        <v>22500</v>
      </c>
      <c r="B1861" s="2" t="str">
        <f>"29541"</f>
        <v>29541</v>
      </c>
      <c r="C1861" s="1">
        <v>4.2771235047209498E-2</v>
      </c>
      <c r="D1861" s="1">
        <v>1.1228533685601E-2</v>
      </c>
      <c r="E1861" s="1">
        <v>9.1653027823240495E-3</v>
      </c>
      <c r="F1861" s="1">
        <v>3.9177140225044399E-2</v>
      </c>
    </row>
    <row r="1862" spans="1:6" x14ac:dyDescent="0.25">
      <c r="A1862" s="2" t="str">
        <f t="shared" si="66"/>
        <v>22500</v>
      </c>
      <c r="B1862" s="2" t="str">
        <f>"29506"</f>
        <v>29506</v>
      </c>
      <c r="C1862" s="1">
        <v>9.2843972091213103E-2</v>
      </c>
      <c r="D1862" s="1">
        <v>9.7282506133232596E-2</v>
      </c>
      <c r="E1862" s="1">
        <v>0.230114566284779</v>
      </c>
      <c r="F1862" s="1">
        <v>9.6680265841942406E-2</v>
      </c>
    </row>
    <row r="1863" spans="1:6" x14ac:dyDescent="0.25">
      <c r="A1863" s="2" t="str">
        <f t="shared" si="66"/>
        <v>22500</v>
      </c>
      <c r="B1863" s="2" t="str">
        <f>"29114"</f>
        <v>29114</v>
      </c>
      <c r="C1863" s="1">
        <v>5.3278726499448601E-3</v>
      </c>
      <c r="D1863" s="1">
        <v>2.2645782223060899E-3</v>
      </c>
      <c r="E1863" s="1">
        <v>1.3093289689034299E-3</v>
      </c>
      <c r="F1863" s="1">
        <v>4.9598604987826497E-3</v>
      </c>
    </row>
    <row r="1864" spans="1:6" x14ac:dyDescent="0.25">
      <c r="A1864" s="2" t="str">
        <f t="shared" si="66"/>
        <v>22500</v>
      </c>
      <c r="B1864" s="2" t="str">
        <f>"29555"</f>
        <v>29555</v>
      </c>
      <c r="C1864" s="1">
        <v>2.53792055446939E-2</v>
      </c>
      <c r="D1864" s="1">
        <v>7.9260237780713304E-3</v>
      </c>
      <c r="E1864" s="1">
        <v>8.8379705400981907E-3</v>
      </c>
      <c r="F1864" s="1">
        <v>2.34421267355399E-2</v>
      </c>
    </row>
    <row r="1865" spans="1:6" x14ac:dyDescent="0.25">
      <c r="A1865" s="2" t="str">
        <f t="shared" si="66"/>
        <v>22500</v>
      </c>
      <c r="B1865" s="2" t="str">
        <f>"29501"</f>
        <v>29501</v>
      </c>
      <c r="C1865" s="1">
        <v>0.20505360303179099</v>
      </c>
      <c r="D1865" s="1">
        <v>0.29128137384412101</v>
      </c>
      <c r="E1865" s="1">
        <v>0.42193126022913202</v>
      </c>
      <c r="F1865" s="1">
        <v>0.218020003948147</v>
      </c>
    </row>
    <row r="1866" spans="1:6" x14ac:dyDescent="0.25">
      <c r="A1866" s="2" t="str">
        <f t="shared" si="66"/>
        <v>22500</v>
      </c>
      <c r="B1866" s="2" t="str">
        <f>"29560"</f>
        <v>29560</v>
      </c>
      <c r="C1866" s="1">
        <v>5.2843230821974903E-2</v>
      </c>
      <c r="D1866" s="1">
        <v>7.0107567465559503E-2</v>
      </c>
      <c r="E1866" s="1">
        <v>5.9574468085106302E-2</v>
      </c>
      <c r="F1866" s="1">
        <v>5.4517338948476601E-2</v>
      </c>
    </row>
    <row r="1867" spans="1:6" x14ac:dyDescent="0.25">
      <c r="A1867" s="2" t="str">
        <f t="shared" si="66"/>
        <v>22500</v>
      </c>
      <c r="B1867" s="2" t="str">
        <f>"29540"</f>
        <v>29540</v>
      </c>
      <c r="C1867" s="1">
        <v>4.0408439350277499E-2</v>
      </c>
      <c r="D1867" s="1">
        <v>4.1611624834874503E-2</v>
      </c>
      <c r="E1867" s="1">
        <v>1.3093289689034299E-3</v>
      </c>
      <c r="F1867" s="1">
        <v>3.9530828452984099E-2</v>
      </c>
    </row>
    <row r="1868" spans="1:6" x14ac:dyDescent="0.25">
      <c r="A1868" s="2" t="str">
        <f t="shared" si="66"/>
        <v>22500</v>
      </c>
      <c r="B1868" s="2" t="str">
        <f>"29530"</f>
        <v>29530</v>
      </c>
      <c r="C1868" s="1">
        <v>1.28702871491711E-2</v>
      </c>
      <c r="D1868" s="1">
        <v>1.5097188148707301E-3</v>
      </c>
      <c r="E1868" s="1">
        <v>3.6006546644844501E-3</v>
      </c>
      <c r="F1868" s="1">
        <v>1.1647035599131401E-2</v>
      </c>
    </row>
    <row r="1869" spans="1:6" x14ac:dyDescent="0.25">
      <c r="A1869" s="2" t="str">
        <f t="shared" si="66"/>
        <v>22500</v>
      </c>
      <c r="B1869" s="2" t="str">
        <f>"29550"</f>
        <v>29550</v>
      </c>
      <c r="C1869" s="1">
        <v>0.13871927207360801</v>
      </c>
      <c r="D1869" s="1">
        <v>0.122570296282317</v>
      </c>
      <c r="E1869" s="1">
        <v>5.1391162029459897E-2</v>
      </c>
      <c r="F1869" s="1">
        <v>0.135117128380601</v>
      </c>
    </row>
    <row r="1870" spans="1:6" x14ac:dyDescent="0.25">
      <c r="A1870" s="2" t="str">
        <f t="shared" si="66"/>
        <v>22500</v>
      </c>
      <c r="B1870" s="2" t="str">
        <f>"29502"</f>
        <v>29502</v>
      </c>
      <c r="C1870" s="1">
        <v>1.93007977910176E-2</v>
      </c>
      <c r="D1870" s="1">
        <v>5.8124174372523103E-2</v>
      </c>
      <c r="E1870" s="1">
        <v>6.54664484451718E-4</v>
      </c>
      <c r="F1870" s="1">
        <v>2.2216555899190599E-2</v>
      </c>
    </row>
    <row r="1871" spans="1:6" x14ac:dyDescent="0.25">
      <c r="A1871" s="2" t="str">
        <f t="shared" si="66"/>
        <v>22500</v>
      </c>
      <c r="B1871" s="2" t="str">
        <f>"29161"</f>
        <v>29161</v>
      </c>
      <c r="C1871" s="1">
        <v>5.8903106844694797E-2</v>
      </c>
      <c r="D1871" s="1">
        <v>4.2932628797886299E-2</v>
      </c>
      <c r="E1871" s="1">
        <v>2.81505728314238E-2</v>
      </c>
      <c r="F1871" s="1">
        <v>5.6738172007633002E-2</v>
      </c>
    </row>
    <row r="1872" spans="1:6" x14ac:dyDescent="0.25">
      <c r="A1872" s="2" t="str">
        <f t="shared" si="66"/>
        <v>22500</v>
      </c>
      <c r="B1872" s="2" t="str">
        <f>"29101"</f>
        <v>29101</v>
      </c>
      <c r="C1872" s="1">
        <v>2.1311490599779399E-3</v>
      </c>
      <c r="D1872" s="1">
        <v>2.8307227778826102E-4</v>
      </c>
      <c r="E1872" s="1">
        <v>0</v>
      </c>
      <c r="F1872" s="1">
        <v>1.91649667697571E-3</v>
      </c>
    </row>
    <row r="1873" spans="1:6" x14ac:dyDescent="0.25">
      <c r="A1873" s="2" t="str">
        <f t="shared" ref="A1873:A1895" si="67">"44940"</f>
        <v>44940</v>
      </c>
      <c r="B1873" s="2" t="str">
        <f>"29168"</f>
        <v>29168</v>
      </c>
      <c r="C1873" s="1">
        <v>2.07573902636972E-2</v>
      </c>
      <c r="D1873" s="1">
        <v>4.1613895422471497E-3</v>
      </c>
      <c r="E1873" s="1">
        <v>7.2411296162201303E-3</v>
      </c>
      <c r="F1873" s="1">
        <v>1.9370642547578601E-2</v>
      </c>
    </row>
    <row r="1874" spans="1:6" x14ac:dyDescent="0.25">
      <c r="A1874" s="2" t="str">
        <f t="shared" si="67"/>
        <v>44940</v>
      </c>
      <c r="B1874" s="2" t="str">
        <f>"29154"</f>
        <v>29154</v>
      </c>
      <c r="C1874" s="1">
        <v>0.19292405463774201</v>
      </c>
      <c r="D1874" s="1">
        <v>7.3638501899764702E-2</v>
      </c>
      <c r="E1874" s="1">
        <v>0.15351194786386599</v>
      </c>
      <c r="F1874" s="1">
        <v>0.18395829407700501</v>
      </c>
    </row>
    <row r="1875" spans="1:6" x14ac:dyDescent="0.25">
      <c r="A1875" s="2" t="str">
        <f t="shared" si="67"/>
        <v>44940</v>
      </c>
      <c r="B1875" s="2" t="str">
        <f>"29051"</f>
        <v>29051</v>
      </c>
      <c r="C1875" s="1">
        <v>5.4610231508865504E-3</v>
      </c>
      <c r="D1875" s="1">
        <v>3.4376696218563398E-3</v>
      </c>
      <c r="E1875" s="1">
        <v>0</v>
      </c>
      <c r="F1875" s="1">
        <v>5.2258023993467699E-3</v>
      </c>
    </row>
    <row r="1876" spans="1:6" x14ac:dyDescent="0.25">
      <c r="A1876" s="2" t="str">
        <f t="shared" si="67"/>
        <v>44940</v>
      </c>
      <c r="B1876" s="2" t="str">
        <f>"29162"</f>
        <v>29162</v>
      </c>
      <c r="C1876" s="1">
        <v>1.9051680261908999E-2</v>
      </c>
      <c r="D1876" s="1">
        <v>5.9706893432241699E-3</v>
      </c>
      <c r="E1876" s="1">
        <v>0</v>
      </c>
      <c r="F1876" s="1">
        <v>1.7812951447773302E-2</v>
      </c>
    </row>
    <row r="1877" spans="1:6" x14ac:dyDescent="0.25">
      <c r="A1877" s="2" t="str">
        <f t="shared" si="67"/>
        <v>44940</v>
      </c>
      <c r="B1877" s="2" t="str">
        <f>"29153"</f>
        <v>29153</v>
      </c>
      <c r="C1877" s="1">
        <v>0.10287907341430801</v>
      </c>
      <c r="D1877" s="1">
        <v>7.4181291840057798E-2</v>
      </c>
      <c r="E1877" s="1">
        <v>8.3997103548153498E-2</v>
      </c>
      <c r="F1877" s="1">
        <v>0.10055901011243</v>
      </c>
    </row>
    <row r="1878" spans="1:6" x14ac:dyDescent="0.25">
      <c r="A1878" s="2" t="str">
        <f t="shared" si="67"/>
        <v>44940</v>
      </c>
      <c r="B1878" s="2" t="str">
        <f>"29114"</f>
        <v>29114</v>
      </c>
      <c r="C1878" s="1">
        <v>3.2463512937260098E-3</v>
      </c>
      <c r="D1878" s="1">
        <v>1.2665098606839101E-3</v>
      </c>
      <c r="E1878" s="1">
        <v>0</v>
      </c>
      <c r="F1878" s="1">
        <v>3.0525720746184199E-3</v>
      </c>
    </row>
    <row r="1879" spans="1:6" x14ac:dyDescent="0.25">
      <c r="A1879" s="2" t="str">
        <f t="shared" si="67"/>
        <v>44940</v>
      </c>
      <c r="B1879" s="2" t="str">
        <f>"29152"</f>
        <v>29152</v>
      </c>
      <c r="C1879" s="1">
        <v>2.5750718736674099E-2</v>
      </c>
      <c r="D1879" s="1">
        <v>1.4836258368011499E-2</v>
      </c>
      <c r="E1879" s="1">
        <v>0.24475018102824</v>
      </c>
      <c r="F1879" s="1">
        <v>2.87921612964009E-2</v>
      </c>
    </row>
    <row r="1880" spans="1:6" x14ac:dyDescent="0.25">
      <c r="A1880" s="2" t="str">
        <f t="shared" si="67"/>
        <v>44940</v>
      </c>
      <c r="B1880" s="2" t="str">
        <f>"29102"</f>
        <v>29102</v>
      </c>
      <c r="C1880" s="1">
        <v>0.13294909005873601</v>
      </c>
      <c r="D1880" s="1">
        <v>0.15541885290392601</v>
      </c>
      <c r="E1880" s="1">
        <v>2.96886314265025E-2</v>
      </c>
      <c r="F1880" s="1">
        <v>0.13271779410841</v>
      </c>
    </row>
    <row r="1881" spans="1:6" x14ac:dyDescent="0.25">
      <c r="A1881" s="2" t="str">
        <f t="shared" si="67"/>
        <v>44940</v>
      </c>
      <c r="B1881" s="2" t="str">
        <f>"29001"</f>
        <v>29001</v>
      </c>
      <c r="C1881" s="1">
        <v>1.3879527353260699E-2</v>
      </c>
      <c r="D1881" s="1">
        <v>4.5232495024425503E-3</v>
      </c>
      <c r="E1881" s="1">
        <v>1.4482259232440199E-3</v>
      </c>
      <c r="F1881" s="1">
        <v>1.30142578983732E-2</v>
      </c>
    </row>
    <row r="1882" spans="1:6" x14ac:dyDescent="0.25">
      <c r="A1882" s="2" t="str">
        <f t="shared" si="67"/>
        <v>44940</v>
      </c>
      <c r="B1882" s="2" t="str">
        <f>"29151"</f>
        <v>29151</v>
      </c>
      <c r="C1882" s="1">
        <v>2.8116703577864201E-2</v>
      </c>
      <c r="D1882" s="1">
        <v>0.12339424642663201</v>
      </c>
      <c r="E1882" s="1">
        <v>7.2411296162201298E-4</v>
      </c>
      <c r="F1882" s="1">
        <v>3.4256642170717902E-2</v>
      </c>
    </row>
    <row r="1883" spans="1:6" x14ac:dyDescent="0.25">
      <c r="A1883" s="2" t="str">
        <f t="shared" si="67"/>
        <v>44940</v>
      </c>
      <c r="B1883" s="2" t="str">
        <f>"29111"</f>
        <v>29111</v>
      </c>
      <c r="C1883" s="1">
        <v>8.6661072671499507E-3</v>
      </c>
      <c r="D1883" s="1">
        <v>1.9902297810747201E-3</v>
      </c>
      <c r="E1883" s="1">
        <v>0</v>
      </c>
      <c r="F1883" s="1">
        <v>8.0522580239934596E-3</v>
      </c>
    </row>
    <row r="1884" spans="1:6" x14ac:dyDescent="0.25">
      <c r="A1884" s="2" t="str">
        <f t="shared" si="67"/>
        <v>44940</v>
      </c>
      <c r="B1884" s="2" t="str">
        <f>"29125"</f>
        <v>29125</v>
      </c>
      <c r="C1884" s="1">
        <v>2.1362642199815599E-2</v>
      </c>
      <c r="D1884" s="1">
        <v>8.1418491043965899E-3</v>
      </c>
      <c r="E1884" s="1">
        <v>0</v>
      </c>
      <c r="F1884" s="1">
        <v>2.00741159474907E-2</v>
      </c>
    </row>
    <row r="1885" spans="1:6" x14ac:dyDescent="0.25">
      <c r="A1885" s="2" t="str">
        <f t="shared" si="67"/>
        <v>44940</v>
      </c>
      <c r="B1885" s="2" t="str">
        <f>"29560"</f>
        <v>29560</v>
      </c>
      <c r="C1885" s="1">
        <v>4.3605650852167202E-3</v>
      </c>
      <c r="D1885" s="1">
        <v>2.8948796815632298E-3</v>
      </c>
      <c r="E1885" s="1">
        <v>0</v>
      </c>
      <c r="F1885" s="1">
        <v>4.1831543244771003E-3</v>
      </c>
    </row>
    <row r="1886" spans="1:6" x14ac:dyDescent="0.25">
      <c r="A1886" s="2" t="str">
        <f t="shared" si="67"/>
        <v>44940</v>
      </c>
      <c r="B1886" s="2" t="str">
        <f>"29062"</f>
        <v>29062</v>
      </c>
      <c r="C1886" s="1">
        <v>0</v>
      </c>
      <c r="D1886" s="1">
        <v>0</v>
      </c>
      <c r="E1886" s="1">
        <v>7.2411296162201298E-4</v>
      </c>
      <c r="F1886" s="1">
        <v>1.25620249984297E-5</v>
      </c>
    </row>
    <row r="1887" spans="1:6" x14ac:dyDescent="0.25">
      <c r="A1887" s="2" t="str">
        <f t="shared" si="67"/>
        <v>44940</v>
      </c>
      <c r="B1887" s="2" t="str">
        <f>"29056"</f>
        <v>29056</v>
      </c>
      <c r="C1887" s="1">
        <v>1.1417252431324501E-3</v>
      </c>
      <c r="D1887" s="1">
        <v>9.0464990048851003E-4</v>
      </c>
      <c r="E1887" s="1">
        <v>0</v>
      </c>
      <c r="F1887" s="1">
        <v>1.10545819986181E-3</v>
      </c>
    </row>
    <row r="1888" spans="1:6" x14ac:dyDescent="0.25">
      <c r="A1888" s="2" t="str">
        <f t="shared" si="67"/>
        <v>44940</v>
      </c>
      <c r="B1888" s="2" t="str">
        <f>"29104"</f>
        <v>29104</v>
      </c>
      <c r="C1888" s="1">
        <v>4.6219238758133004E-3</v>
      </c>
      <c r="D1888" s="1">
        <v>1.62836982087931E-3</v>
      </c>
      <c r="E1888" s="1">
        <v>5.7929036929761004E-3</v>
      </c>
      <c r="F1888" s="1">
        <v>4.4343948244457004E-3</v>
      </c>
    </row>
    <row r="1889" spans="1:6" x14ac:dyDescent="0.25">
      <c r="A1889" s="2" t="str">
        <f t="shared" si="67"/>
        <v>44940</v>
      </c>
      <c r="B1889" s="2" t="str">
        <f>"29040"</f>
        <v>29040</v>
      </c>
      <c r="C1889" s="1">
        <v>5.2147956586929299E-2</v>
      </c>
      <c r="D1889" s="1">
        <v>1.2665098606839099E-2</v>
      </c>
      <c r="E1889" s="1">
        <v>3.04127443881245E-2</v>
      </c>
      <c r="F1889" s="1">
        <v>4.9029583568871299E-2</v>
      </c>
    </row>
    <row r="1890" spans="1:6" x14ac:dyDescent="0.25">
      <c r="A1890" s="2" t="str">
        <f t="shared" si="67"/>
        <v>44940</v>
      </c>
      <c r="B1890" s="2" t="str">
        <f>"29150"</f>
        <v>29150</v>
      </c>
      <c r="C1890" s="1">
        <v>0.27406908125507201</v>
      </c>
      <c r="D1890" s="1">
        <v>0.47910258729871502</v>
      </c>
      <c r="E1890" s="1">
        <v>0.42360608254887699</v>
      </c>
      <c r="F1890" s="1">
        <v>0.290898812888637</v>
      </c>
    </row>
    <row r="1891" spans="1:6" x14ac:dyDescent="0.25">
      <c r="A1891" s="2" t="str">
        <f t="shared" si="67"/>
        <v>44940</v>
      </c>
      <c r="B1891" s="2" t="str">
        <f>"29148"</f>
        <v>29148</v>
      </c>
      <c r="C1891" s="1">
        <v>5.3207147475136503E-2</v>
      </c>
      <c r="D1891" s="1">
        <v>1.9902297810747201E-2</v>
      </c>
      <c r="E1891" s="1">
        <v>1.30340333091962E-2</v>
      </c>
      <c r="F1891" s="1">
        <v>5.01978518937252E-2</v>
      </c>
    </row>
    <row r="1892" spans="1:6" x14ac:dyDescent="0.25">
      <c r="A1892" s="2" t="str">
        <f t="shared" si="67"/>
        <v>44940</v>
      </c>
      <c r="B1892" s="2" t="str">
        <f>"29128"</f>
        <v>29128</v>
      </c>
      <c r="C1892" s="1">
        <v>2.46227492193625E-2</v>
      </c>
      <c r="D1892" s="1">
        <v>5.0660394427356602E-3</v>
      </c>
      <c r="E1892" s="1">
        <v>4.3446777697320697E-3</v>
      </c>
      <c r="F1892" s="1">
        <v>2.2913133597135801E-2</v>
      </c>
    </row>
    <row r="1893" spans="1:6" x14ac:dyDescent="0.25">
      <c r="A1893" s="2" t="str">
        <f t="shared" si="67"/>
        <v>44940</v>
      </c>
      <c r="B1893" s="2" t="str">
        <f>"29518"</f>
        <v>29518</v>
      </c>
      <c r="C1893" s="1">
        <v>1.5131298402960199E-4</v>
      </c>
      <c r="D1893" s="1">
        <v>3.61859960195404E-4</v>
      </c>
      <c r="E1893" s="1">
        <v>0</v>
      </c>
      <c r="F1893" s="1">
        <v>1.6330632497958599E-4</v>
      </c>
    </row>
    <row r="1894" spans="1:6" x14ac:dyDescent="0.25">
      <c r="A1894" s="2" t="str">
        <f t="shared" si="67"/>
        <v>44940</v>
      </c>
      <c r="B1894" s="2" t="str">
        <f>"29041"</f>
        <v>29041</v>
      </c>
      <c r="C1894" s="1">
        <v>0</v>
      </c>
      <c r="D1894" s="1">
        <v>0</v>
      </c>
      <c r="E1894" s="1">
        <v>7.2411296162201298E-4</v>
      </c>
      <c r="F1894" s="1">
        <v>1.25620249984297E-5</v>
      </c>
    </row>
    <row r="1895" spans="1:6" x14ac:dyDescent="0.25">
      <c r="A1895" s="2" t="str">
        <f t="shared" si="67"/>
        <v>44940</v>
      </c>
      <c r="B1895" s="2" t="str">
        <f>"29080"</f>
        <v>29080</v>
      </c>
      <c r="C1895" s="1">
        <v>1.0633176059534699E-2</v>
      </c>
      <c r="D1895" s="1">
        <v>6.5134792835172704E-3</v>
      </c>
      <c r="E1895" s="1">
        <v>0</v>
      </c>
      <c r="F1895" s="1">
        <v>1.01626782237296E-2</v>
      </c>
    </row>
    <row r="1896" spans="1:6" x14ac:dyDescent="0.25">
      <c r="A1896" s="2" t="str">
        <f t="shared" ref="A1896:A1927" si="68">"16700"</f>
        <v>16700</v>
      </c>
      <c r="B1896" s="2" t="str">
        <f>"29482"</f>
        <v>29482</v>
      </c>
      <c r="C1896" s="1">
        <v>3.9848445257381704E-3</v>
      </c>
      <c r="D1896" s="1">
        <v>5.1814848275495498E-3</v>
      </c>
      <c r="E1896" s="1">
        <v>1.7878807228146299E-3</v>
      </c>
      <c r="F1896" s="1">
        <v>4.0083934740074798E-3</v>
      </c>
    </row>
    <row r="1897" spans="1:6" x14ac:dyDescent="0.25">
      <c r="A1897" s="2" t="str">
        <f t="shared" si="68"/>
        <v>16700</v>
      </c>
      <c r="B1897" s="2" t="str">
        <f>"29479"</f>
        <v>29479</v>
      </c>
      <c r="C1897" s="1">
        <v>7.0852847178951104E-3</v>
      </c>
      <c r="D1897" s="1">
        <v>3.1620343306584401E-3</v>
      </c>
      <c r="E1897" s="1">
        <v>8.3008747844965204E-4</v>
      </c>
      <c r="F1897" s="1">
        <v>6.5410599973853402E-3</v>
      </c>
    </row>
    <row r="1898" spans="1:6" x14ac:dyDescent="0.25">
      <c r="A1898" s="2" t="str">
        <f t="shared" si="68"/>
        <v>16700</v>
      </c>
      <c r="B1898" s="2" t="str">
        <f>"29470"</f>
        <v>29470</v>
      </c>
      <c r="C1898" s="1">
        <v>5.6305400896464299E-3</v>
      </c>
      <c r="D1898" s="1">
        <v>4.7031939203911301E-3</v>
      </c>
      <c r="E1898" s="1">
        <v>2.4264095523912899E-3</v>
      </c>
      <c r="F1898" s="1">
        <v>5.4420201062257501E-3</v>
      </c>
    </row>
    <row r="1899" spans="1:6" x14ac:dyDescent="0.25">
      <c r="A1899" s="2" t="str">
        <f t="shared" si="68"/>
        <v>16700</v>
      </c>
      <c r="B1899" s="2" t="str">
        <f>"29464"</f>
        <v>29464</v>
      </c>
      <c r="C1899" s="1">
        <v>6.4538903740628303E-2</v>
      </c>
      <c r="D1899" s="1">
        <v>9.1672423872030603E-2</v>
      </c>
      <c r="E1899" s="1">
        <v>8.7350743886086393E-2</v>
      </c>
      <c r="F1899" s="1">
        <v>6.7593169112547397E-2</v>
      </c>
    </row>
    <row r="1900" spans="1:6" x14ac:dyDescent="0.25">
      <c r="A1900" s="2" t="str">
        <f t="shared" si="68"/>
        <v>16700</v>
      </c>
      <c r="B1900" s="2" t="str">
        <f>"29457"</f>
        <v>29457</v>
      </c>
      <c r="C1900" s="1">
        <v>2.7713010793752801E-3</v>
      </c>
      <c r="D1900" s="1">
        <v>7.7855130998565102E-3</v>
      </c>
      <c r="E1900" s="1">
        <v>1.2770576591533101E-4</v>
      </c>
      <c r="F1900" s="1">
        <v>3.09769711258289E-3</v>
      </c>
    </row>
    <row r="1901" spans="1:6" x14ac:dyDescent="0.25">
      <c r="A1901" s="2" t="str">
        <f t="shared" si="68"/>
        <v>16700</v>
      </c>
      <c r="B1901" s="2" t="str">
        <f>"29424"</f>
        <v>29424</v>
      </c>
      <c r="C1901" s="1">
        <v>1.27283873690981E-2</v>
      </c>
      <c r="D1901" s="1">
        <v>1.62087474092575E-3</v>
      </c>
      <c r="E1901" s="1">
        <v>3.1926441478832699E-4</v>
      </c>
      <c r="F1901" s="1">
        <v>1.13715175835303E-2</v>
      </c>
    </row>
    <row r="1902" spans="1:6" x14ac:dyDescent="0.25">
      <c r="A1902" s="2" t="str">
        <f t="shared" si="68"/>
        <v>16700</v>
      </c>
      <c r="B1902" s="2" t="str">
        <f>"29415"</f>
        <v>29415</v>
      </c>
      <c r="C1902" s="1">
        <v>5.2009004844123701E-3</v>
      </c>
      <c r="D1902" s="1">
        <v>8.4763777435297796E-3</v>
      </c>
      <c r="E1902" s="1">
        <v>1.2770576591533101E-4</v>
      </c>
      <c r="F1902" s="1">
        <v>5.2979927011342701E-3</v>
      </c>
    </row>
    <row r="1903" spans="1:6" x14ac:dyDescent="0.25">
      <c r="A1903" s="2" t="str">
        <f t="shared" si="68"/>
        <v>16700</v>
      </c>
      <c r="B1903" s="2" t="str">
        <f>"29413"</f>
        <v>29413</v>
      </c>
      <c r="C1903" s="1">
        <v>3.07029004442121E-3</v>
      </c>
      <c r="D1903" s="1">
        <v>1.7032470638252601E-2</v>
      </c>
      <c r="E1903" s="1">
        <v>1.2770576591533101E-4</v>
      </c>
      <c r="F1903" s="1">
        <v>4.13247862300937E-3</v>
      </c>
    </row>
    <row r="1904" spans="1:6" x14ac:dyDescent="0.25">
      <c r="A1904" s="2" t="str">
        <f t="shared" si="68"/>
        <v>16700</v>
      </c>
      <c r="B1904" s="2" t="str">
        <f>"29410"</f>
        <v>29410</v>
      </c>
      <c r="C1904" s="1">
        <v>2.0914152479347099E-2</v>
      </c>
      <c r="D1904" s="1">
        <v>8.37009087527236E-3</v>
      </c>
      <c r="E1904" s="1">
        <v>1.2387459293787101E-2</v>
      </c>
      <c r="F1904" s="1">
        <v>1.9572216448815901E-2</v>
      </c>
    </row>
    <row r="1905" spans="1:6" x14ac:dyDescent="0.25">
      <c r="A1905" s="2" t="str">
        <f t="shared" si="68"/>
        <v>16700</v>
      </c>
      <c r="B1905" s="2" t="str">
        <f>"29412"</f>
        <v>29412</v>
      </c>
      <c r="C1905" s="1">
        <v>5.0054270265924301E-2</v>
      </c>
      <c r="D1905" s="1">
        <v>3.1354626135940901E-2</v>
      </c>
      <c r="E1905" s="1">
        <v>4.5143988251069501E-2</v>
      </c>
      <c r="F1905" s="1">
        <v>4.83245181175396E-2</v>
      </c>
    </row>
    <row r="1906" spans="1:6" x14ac:dyDescent="0.25">
      <c r="A1906" s="2" t="str">
        <f t="shared" si="68"/>
        <v>16700</v>
      </c>
      <c r="B1906" s="2" t="str">
        <f>"29401"</f>
        <v>29401</v>
      </c>
      <c r="C1906" s="1">
        <v>1.6218266969508101E-2</v>
      </c>
      <c r="D1906" s="1">
        <v>5.2904288675134102E-2</v>
      </c>
      <c r="E1906" s="1">
        <v>7.9688397931166499E-2</v>
      </c>
      <c r="F1906" s="1">
        <v>2.148002561472E-2</v>
      </c>
    </row>
    <row r="1907" spans="1:6" x14ac:dyDescent="0.25">
      <c r="A1907" s="2" t="str">
        <f t="shared" si="68"/>
        <v>16700</v>
      </c>
      <c r="B1907" s="2" t="str">
        <f>"29468"</f>
        <v>29468</v>
      </c>
      <c r="C1907" s="1">
        <v>2.63813792687584E-3</v>
      </c>
      <c r="D1907" s="1">
        <v>5.8457777541584695E-4</v>
      </c>
      <c r="E1907" s="1">
        <v>2.5541153183066201E-4</v>
      </c>
      <c r="F1907" s="1">
        <v>2.3842075058220298E-3</v>
      </c>
    </row>
    <row r="1908" spans="1:6" x14ac:dyDescent="0.25">
      <c r="A1908" s="2" t="str">
        <f t="shared" si="68"/>
        <v>16700</v>
      </c>
      <c r="B1908" s="2" t="str">
        <f>"29445"</f>
        <v>29445</v>
      </c>
      <c r="C1908" s="1">
        <v>6.5001206005909404E-2</v>
      </c>
      <c r="D1908" s="1">
        <v>3.6881543285327001E-2</v>
      </c>
      <c r="E1908" s="1">
        <v>1.3983781367728701E-2</v>
      </c>
      <c r="F1908" s="1">
        <v>6.0885923647748801E-2</v>
      </c>
    </row>
    <row r="1909" spans="1:6" x14ac:dyDescent="0.25">
      <c r="A1909" s="2" t="str">
        <f t="shared" si="68"/>
        <v>16700</v>
      </c>
      <c r="B1909" s="2" t="str">
        <f>"29439"</f>
        <v>29439</v>
      </c>
      <c r="C1909" s="1">
        <v>1.5075073867861899E-5</v>
      </c>
      <c r="D1909" s="1">
        <v>2.6571717064356599E-5</v>
      </c>
      <c r="E1909" s="1">
        <v>0</v>
      </c>
      <c r="F1909" s="1">
        <v>1.5510643625236199E-5</v>
      </c>
    </row>
    <row r="1910" spans="1:6" x14ac:dyDescent="0.25">
      <c r="A1910" s="2" t="str">
        <f t="shared" si="68"/>
        <v>16700</v>
      </c>
      <c r="B1910" s="2" t="str">
        <f>"29406"</f>
        <v>29406</v>
      </c>
      <c r="C1910" s="1">
        <v>3.7692709694277501E-2</v>
      </c>
      <c r="D1910" s="1">
        <v>6.3320401764362003E-2</v>
      </c>
      <c r="E1910" s="1">
        <v>6.5449205031607102E-2</v>
      </c>
      <c r="F1910" s="1">
        <v>4.07929927343713E-2</v>
      </c>
    </row>
    <row r="1911" spans="1:6" x14ac:dyDescent="0.25">
      <c r="A1911" s="2" t="str">
        <f t="shared" si="68"/>
        <v>16700</v>
      </c>
      <c r="B1911" s="2" t="str">
        <f>"29018"</f>
        <v>29018</v>
      </c>
      <c r="C1911" s="1">
        <v>3.1657655122510099E-4</v>
      </c>
      <c r="D1911" s="1">
        <v>2.6571717064356599E-5</v>
      </c>
      <c r="E1911" s="1">
        <v>0</v>
      </c>
      <c r="F1911" s="1">
        <v>2.8140739148642901E-4</v>
      </c>
    </row>
    <row r="1912" spans="1:6" x14ac:dyDescent="0.25">
      <c r="A1912" s="2" t="str">
        <f t="shared" si="68"/>
        <v>16700</v>
      </c>
      <c r="B1912" s="2" t="str">
        <f>"29484"</f>
        <v>29484</v>
      </c>
      <c r="C1912" s="1">
        <v>4.6179976281883698E-3</v>
      </c>
      <c r="D1912" s="1">
        <v>1.6261890843386199E-2</v>
      </c>
      <c r="E1912" s="1">
        <v>1.2770576591533101E-4</v>
      </c>
      <c r="F1912" s="1">
        <v>5.4331568812970403E-3</v>
      </c>
    </row>
    <row r="1913" spans="1:6" x14ac:dyDescent="0.25">
      <c r="A1913" s="2" t="str">
        <f t="shared" si="68"/>
        <v>16700</v>
      </c>
      <c r="B1913" s="2" t="str">
        <f>"29483"</f>
        <v>29483</v>
      </c>
      <c r="C1913" s="1">
        <v>5.9875680890836301E-2</v>
      </c>
      <c r="D1913" s="1">
        <v>4.75368018281341E-2</v>
      </c>
      <c r="E1913" s="1">
        <v>3.0521678053764101E-2</v>
      </c>
      <c r="F1913" s="1">
        <v>5.7828111047345102E-2</v>
      </c>
    </row>
    <row r="1914" spans="1:6" x14ac:dyDescent="0.25">
      <c r="A1914" s="2" t="str">
        <f t="shared" si="68"/>
        <v>16700</v>
      </c>
      <c r="B1914" s="2" t="str">
        <f>"29472"</f>
        <v>29472</v>
      </c>
      <c r="C1914" s="1">
        <v>8.9621314144439305E-3</v>
      </c>
      <c r="D1914" s="1">
        <v>3.6137535207525101E-3</v>
      </c>
      <c r="E1914" s="1">
        <v>1.9155864887299601E-4</v>
      </c>
      <c r="F1914" s="1">
        <v>8.2117778964465107E-3</v>
      </c>
    </row>
    <row r="1915" spans="1:6" x14ac:dyDescent="0.25">
      <c r="A1915" s="2" t="str">
        <f t="shared" si="68"/>
        <v>16700</v>
      </c>
      <c r="B1915" s="2" t="str">
        <f>"29471"</f>
        <v>29471</v>
      </c>
      <c r="C1915" s="1">
        <v>1.8768466965488101E-3</v>
      </c>
      <c r="D1915" s="1">
        <v>8.50294946059414E-4</v>
      </c>
      <c r="E1915" s="1">
        <v>0</v>
      </c>
      <c r="F1915" s="1">
        <v>1.72611305486557E-3</v>
      </c>
    </row>
    <row r="1916" spans="1:6" x14ac:dyDescent="0.25">
      <c r="A1916" s="2" t="str">
        <f t="shared" si="68"/>
        <v>16700</v>
      </c>
      <c r="B1916" s="2" t="str">
        <f>"29450"</f>
        <v>29450</v>
      </c>
      <c r="C1916" s="1">
        <v>4.0501698458322404E-3</v>
      </c>
      <c r="D1916" s="1">
        <v>2.1257373651485298E-3</v>
      </c>
      <c r="E1916" s="1">
        <v>3.8311729774599299E-4</v>
      </c>
      <c r="F1916" s="1">
        <v>3.7624389822358802E-3</v>
      </c>
    </row>
    <row r="1917" spans="1:6" x14ac:dyDescent="0.25">
      <c r="A1917" s="2" t="str">
        <f t="shared" si="68"/>
        <v>16700</v>
      </c>
      <c r="B1917" s="2" t="str">
        <f>"29416"</f>
        <v>29416</v>
      </c>
      <c r="C1917" s="1">
        <v>1.1808807863158499E-3</v>
      </c>
      <c r="D1917" s="1">
        <v>7.8917999681139307E-3</v>
      </c>
      <c r="E1917" s="1">
        <v>1.2770576591533101E-4</v>
      </c>
      <c r="F1917" s="1">
        <v>1.7039549925438101E-3</v>
      </c>
    </row>
    <row r="1918" spans="1:6" x14ac:dyDescent="0.25">
      <c r="A1918" s="2" t="str">
        <f t="shared" si="68"/>
        <v>16700</v>
      </c>
      <c r="B1918" s="2" t="str">
        <f>"29420"</f>
        <v>29420</v>
      </c>
      <c r="C1918" s="1">
        <v>2.3657815923297999E-2</v>
      </c>
      <c r="D1918" s="1">
        <v>9.7252484455545504E-3</v>
      </c>
      <c r="E1918" s="1">
        <v>1.9347423536172598E-2</v>
      </c>
      <c r="F1918" s="1">
        <v>2.2346405851501001E-2</v>
      </c>
    </row>
    <row r="1919" spans="1:6" x14ac:dyDescent="0.25">
      <c r="A1919" s="2" t="str">
        <f t="shared" si="68"/>
        <v>16700</v>
      </c>
      <c r="B1919" s="2" t="str">
        <f>"29469"</f>
        <v>29469</v>
      </c>
      <c r="C1919" s="1">
        <v>8.7686679664730305E-4</v>
      </c>
      <c r="D1919" s="1">
        <v>2.3914545357920999E-4</v>
      </c>
      <c r="E1919" s="1">
        <v>5.1082306366132403E-4</v>
      </c>
      <c r="F1919" s="1">
        <v>8.1098508097663801E-4</v>
      </c>
    </row>
    <row r="1920" spans="1:6" x14ac:dyDescent="0.25">
      <c r="A1920" s="2" t="str">
        <f t="shared" si="68"/>
        <v>16700</v>
      </c>
      <c r="B1920" s="2" t="str">
        <f>"29451"</f>
        <v>29451</v>
      </c>
      <c r="C1920" s="1">
        <v>1.27183373198528E-2</v>
      </c>
      <c r="D1920" s="1">
        <v>8.1043737046287909E-3</v>
      </c>
      <c r="E1920" s="1">
        <v>7.2792286571738696E-3</v>
      </c>
      <c r="F1920" s="1">
        <v>1.2144833958559901E-2</v>
      </c>
    </row>
    <row r="1921" spans="1:6" x14ac:dyDescent="0.25">
      <c r="A1921" s="2" t="str">
        <f t="shared" si="68"/>
        <v>16700</v>
      </c>
      <c r="B1921" s="2" t="str">
        <f>"29448"</f>
        <v>29448</v>
      </c>
      <c r="C1921" s="1">
        <v>2.9798396012140401E-3</v>
      </c>
      <c r="D1921" s="1">
        <v>1.43487272147526E-3</v>
      </c>
      <c r="E1921" s="1">
        <v>6.3852882957665495E-4</v>
      </c>
      <c r="F1921" s="1">
        <v>2.7697577902207602E-3</v>
      </c>
    </row>
    <row r="1922" spans="1:6" x14ac:dyDescent="0.25">
      <c r="A1922" s="2" t="str">
        <f t="shared" si="68"/>
        <v>16700</v>
      </c>
      <c r="B1922" s="2" t="str">
        <f>"29492"</f>
        <v>29492</v>
      </c>
      <c r="C1922" s="1">
        <v>2.4195493557918401E-2</v>
      </c>
      <c r="D1922" s="1">
        <v>2.1948238295158601E-2</v>
      </c>
      <c r="E1922" s="1">
        <v>2.2667773449971201E-2</v>
      </c>
      <c r="F1922" s="1">
        <v>2.3955081176061301E-2</v>
      </c>
    </row>
    <row r="1923" spans="1:6" x14ac:dyDescent="0.25">
      <c r="A1923" s="2" t="str">
        <f t="shared" si="68"/>
        <v>16700</v>
      </c>
      <c r="B1923" s="2" t="str">
        <f>"29409"</f>
        <v>29409</v>
      </c>
      <c r="C1923" s="1">
        <v>0</v>
      </c>
      <c r="D1923" s="1">
        <v>1.8334484774406099E-3</v>
      </c>
      <c r="E1923" s="1">
        <v>0</v>
      </c>
      <c r="F1923" s="1">
        <v>1.5289063002018501E-4</v>
      </c>
    </row>
    <row r="1924" spans="1:6" x14ac:dyDescent="0.25">
      <c r="A1924" s="2" t="str">
        <f t="shared" si="68"/>
        <v>16700</v>
      </c>
      <c r="B1924" s="2" t="str">
        <f>"29466"</f>
        <v>29466</v>
      </c>
      <c r="C1924" s="1">
        <v>4.3016723281944003E-2</v>
      </c>
      <c r="D1924" s="1">
        <v>1.6740181750544699E-2</v>
      </c>
      <c r="E1924" s="1">
        <v>9.0671093799884993E-3</v>
      </c>
      <c r="F1924" s="1">
        <v>3.9647420912336001E-2</v>
      </c>
    </row>
    <row r="1925" spans="1:6" x14ac:dyDescent="0.25">
      <c r="A1925" s="2" t="str">
        <f t="shared" si="68"/>
        <v>16700</v>
      </c>
      <c r="B1925" s="2" t="str">
        <f>"29465"</f>
        <v>29465</v>
      </c>
      <c r="C1925" s="1">
        <v>2.69843822234728E-3</v>
      </c>
      <c r="D1925" s="1">
        <v>2.6438858479034901E-2</v>
      </c>
      <c r="E1925" s="1">
        <v>1.2770576591533101E-4</v>
      </c>
      <c r="F1925" s="1">
        <v>4.58893470683775E-3</v>
      </c>
    </row>
    <row r="1926" spans="1:6" x14ac:dyDescent="0.25">
      <c r="A1926" s="2" t="str">
        <f t="shared" si="68"/>
        <v>16700</v>
      </c>
      <c r="B1926" s="2" t="str">
        <f>"29456"</f>
        <v>29456</v>
      </c>
      <c r="C1926" s="1">
        <v>4.0840887620349299E-2</v>
      </c>
      <c r="D1926" s="1">
        <v>2.23202423340596E-2</v>
      </c>
      <c r="E1926" s="1">
        <v>2.0943745610114198E-2</v>
      </c>
      <c r="F1926" s="1">
        <v>3.8605991983213003E-2</v>
      </c>
    </row>
    <row r="1927" spans="1:6" x14ac:dyDescent="0.25">
      <c r="A1927" s="2" t="str">
        <f t="shared" si="68"/>
        <v>16700</v>
      </c>
      <c r="B1927" s="2" t="str">
        <f>"29432"</f>
        <v>29432</v>
      </c>
      <c r="C1927" s="1">
        <v>2.01000984904826E-4</v>
      </c>
      <c r="D1927" s="1">
        <v>5.31434341287133E-5</v>
      </c>
      <c r="E1927" s="1">
        <v>0</v>
      </c>
      <c r="F1927" s="1">
        <v>1.81696111038481E-4</v>
      </c>
    </row>
    <row r="1928" spans="1:6" x14ac:dyDescent="0.25">
      <c r="A1928" s="2" t="str">
        <f t="shared" ref="A1928:A1958" si="69">"16700"</f>
        <v>16700</v>
      </c>
      <c r="B1928" s="2" t="str">
        <f>"29429"</f>
        <v>29429</v>
      </c>
      <c r="C1928" s="1">
        <v>4.85919881007416E-3</v>
      </c>
      <c r="D1928" s="1">
        <v>1.56773130679704E-3</v>
      </c>
      <c r="E1928" s="1">
        <v>3.8311729774599299E-4</v>
      </c>
      <c r="F1928" s="1">
        <v>4.4293966581210398E-3</v>
      </c>
    </row>
    <row r="1929" spans="1:6" x14ac:dyDescent="0.25">
      <c r="A1929" s="2" t="str">
        <f t="shared" si="69"/>
        <v>16700</v>
      </c>
      <c r="B1929" s="2" t="str">
        <f>"29425"</f>
        <v>29425</v>
      </c>
      <c r="C1929" s="1">
        <v>0</v>
      </c>
      <c r="D1929" s="1">
        <v>2.7714300898124E-2</v>
      </c>
      <c r="E1929" s="1">
        <v>6.3852882957665503E-5</v>
      </c>
      <c r="F1929" s="1">
        <v>2.3133017063923702E-3</v>
      </c>
    </row>
    <row r="1930" spans="1:6" x14ac:dyDescent="0.25">
      <c r="A1930" s="2" t="str">
        <f t="shared" si="69"/>
        <v>16700</v>
      </c>
      <c r="B1930" s="2" t="str">
        <f>"29419"</f>
        <v>29419</v>
      </c>
      <c r="C1930" s="1">
        <v>5.0174870856867096E-3</v>
      </c>
      <c r="D1930" s="1">
        <v>1.1850985810702999E-2</v>
      </c>
      <c r="E1930" s="1">
        <v>1.2770576591533101E-4</v>
      </c>
      <c r="F1930" s="1">
        <v>5.4176462376717997E-3</v>
      </c>
    </row>
    <row r="1931" spans="1:6" x14ac:dyDescent="0.25">
      <c r="A1931" s="2" t="str">
        <f t="shared" si="69"/>
        <v>16700</v>
      </c>
      <c r="B1931" s="2" t="str">
        <f>"29417"</f>
        <v>29417</v>
      </c>
      <c r="C1931" s="1">
        <v>2.86677654720508E-3</v>
      </c>
      <c r="D1931" s="1">
        <v>1.27012807567625E-2</v>
      </c>
      <c r="E1931" s="1">
        <v>1.2770576591533101E-4</v>
      </c>
      <c r="F1931" s="1">
        <v>3.5918219023582799E-3</v>
      </c>
    </row>
    <row r="1932" spans="1:6" x14ac:dyDescent="0.25">
      <c r="A1932" s="2" t="str">
        <f t="shared" si="69"/>
        <v>16700</v>
      </c>
      <c r="B1932" s="2" t="str">
        <f>"29438"</f>
        <v>29438</v>
      </c>
      <c r="C1932" s="1">
        <v>4.2637333922936199E-3</v>
      </c>
      <c r="D1932" s="1">
        <v>3.77318382313865E-3</v>
      </c>
      <c r="E1932" s="1">
        <v>1.2770576591533101E-4</v>
      </c>
      <c r="F1932" s="1">
        <v>4.0792992734371303E-3</v>
      </c>
    </row>
    <row r="1933" spans="1:6" x14ac:dyDescent="0.25">
      <c r="A1933" s="2" t="str">
        <f t="shared" si="69"/>
        <v>16700</v>
      </c>
      <c r="B1933" s="2" t="str">
        <f>"29486"</f>
        <v>29486</v>
      </c>
      <c r="C1933" s="1">
        <v>4.0966513235914798E-2</v>
      </c>
      <c r="D1933" s="1">
        <v>1.58633150874209E-2</v>
      </c>
      <c r="E1933" s="1">
        <v>7.4707873060468602E-3</v>
      </c>
      <c r="F1933" s="1">
        <v>3.7710806265413697E-2</v>
      </c>
    </row>
    <row r="1934" spans="1:6" x14ac:dyDescent="0.25">
      <c r="A1934" s="2" t="str">
        <f t="shared" si="69"/>
        <v>16700</v>
      </c>
      <c r="B1934" s="2" t="str">
        <f>"29458"</f>
        <v>29458</v>
      </c>
      <c r="C1934" s="1">
        <v>3.4069666941368001E-3</v>
      </c>
      <c r="D1934" s="1">
        <v>1.4083010044109001E-3</v>
      </c>
      <c r="E1934" s="1">
        <v>6.3852882957665503E-5</v>
      </c>
      <c r="F1934" s="1">
        <v>3.1242867873690098E-3</v>
      </c>
    </row>
    <row r="1935" spans="1:6" x14ac:dyDescent="0.25">
      <c r="A1935" s="2" t="str">
        <f t="shared" si="69"/>
        <v>16700</v>
      </c>
      <c r="B1935" s="2" t="str">
        <f>"29447"</f>
        <v>29447</v>
      </c>
      <c r="C1935" s="1">
        <v>0</v>
      </c>
      <c r="D1935" s="1">
        <v>2.6571717064356599E-5</v>
      </c>
      <c r="E1935" s="1">
        <v>0</v>
      </c>
      <c r="F1935" s="1">
        <v>2.2158062321766002E-6</v>
      </c>
    </row>
    <row r="1936" spans="1:6" x14ac:dyDescent="0.25">
      <c r="A1936" s="2" t="str">
        <f t="shared" si="69"/>
        <v>16700</v>
      </c>
      <c r="B1936" s="2" t="str">
        <f>"29434"</f>
        <v>29434</v>
      </c>
      <c r="C1936" s="1">
        <v>7.9646640268537302E-4</v>
      </c>
      <c r="D1936" s="1">
        <v>7.9715151193070005E-5</v>
      </c>
      <c r="E1936" s="1">
        <v>0</v>
      </c>
      <c r="F1936" s="1">
        <v>7.0905799429651396E-4</v>
      </c>
    </row>
    <row r="1937" spans="1:6" x14ac:dyDescent="0.25">
      <c r="A1937" s="2" t="str">
        <f t="shared" si="69"/>
        <v>16700</v>
      </c>
      <c r="B1937" s="2" t="str">
        <f>"29426"</f>
        <v>29426</v>
      </c>
      <c r="C1937" s="1">
        <v>2.0627726075857699E-3</v>
      </c>
      <c r="D1937" s="1">
        <v>4.25147473029707E-4</v>
      </c>
      <c r="E1937" s="1">
        <v>1.2770576591533101E-4</v>
      </c>
      <c r="F1937" s="1">
        <v>1.85906142879617E-3</v>
      </c>
    </row>
    <row r="1938" spans="1:6" x14ac:dyDescent="0.25">
      <c r="A1938" s="2" t="str">
        <f t="shared" si="69"/>
        <v>16700</v>
      </c>
      <c r="B1938" s="2" t="str">
        <f>"29437"</f>
        <v>29437</v>
      </c>
      <c r="C1938" s="1">
        <v>3.2059657092319699E-3</v>
      </c>
      <c r="D1938" s="1">
        <v>1.03629696550991E-3</v>
      </c>
      <c r="E1938" s="1">
        <v>0</v>
      </c>
      <c r="F1938" s="1">
        <v>2.9137851953122398E-3</v>
      </c>
    </row>
    <row r="1939" spans="1:6" x14ac:dyDescent="0.25">
      <c r="A1939" s="2" t="str">
        <f t="shared" si="69"/>
        <v>16700</v>
      </c>
      <c r="B1939" s="2" t="str">
        <f>"29436"</f>
        <v>29436</v>
      </c>
      <c r="C1939" s="1">
        <v>5.5878273803541597E-3</v>
      </c>
      <c r="D1939" s="1">
        <v>1.7271616091831801E-3</v>
      </c>
      <c r="E1939" s="1">
        <v>8.9394036140731702E-4</v>
      </c>
      <c r="F1939" s="1">
        <v>5.1030017527027198E-3</v>
      </c>
    </row>
    <row r="1940" spans="1:6" x14ac:dyDescent="0.25">
      <c r="A1940" s="2" t="str">
        <f t="shared" si="69"/>
        <v>16700</v>
      </c>
      <c r="B1940" s="2" t="str">
        <f>"29418"</f>
        <v>29418</v>
      </c>
      <c r="C1940" s="1">
        <v>2.8891379067757399E-2</v>
      </c>
      <c r="D1940" s="1">
        <v>5.5588032098634201E-2</v>
      </c>
      <c r="E1940" s="1">
        <v>8.6712215056509806E-2</v>
      </c>
      <c r="F1940" s="1">
        <v>3.3124087364808097E-2</v>
      </c>
    </row>
    <row r="1941" spans="1:6" x14ac:dyDescent="0.25">
      <c r="A1941" s="2" t="str">
        <f t="shared" si="69"/>
        <v>16700</v>
      </c>
      <c r="B1941" s="2" t="str">
        <f>"29402"</f>
        <v>29402</v>
      </c>
      <c r="C1941" s="1">
        <v>2.02759743522743E-3</v>
      </c>
      <c r="D1941" s="1">
        <v>9.1672423872030603E-3</v>
      </c>
      <c r="E1941" s="1">
        <v>1.2770576591533101E-4</v>
      </c>
      <c r="F1941" s="1">
        <v>2.5570403919318E-3</v>
      </c>
    </row>
    <row r="1942" spans="1:6" x14ac:dyDescent="0.25">
      <c r="A1942" s="2" t="str">
        <f t="shared" si="69"/>
        <v>16700</v>
      </c>
      <c r="B1942" s="2" t="str">
        <f>"29476"</f>
        <v>29476</v>
      </c>
      <c r="C1942" s="1">
        <v>0</v>
      </c>
      <c r="D1942" s="1">
        <v>2.6571717064356599E-5</v>
      </c>
      <c r="E1942" s="1">
        <v>0</v>
      </c>
      <c r="F1942" s="1">
        <v>2.2158062321766002E-6</v>
      </c>
    </row>
    <row r="1943" spans="1:6" x14ac:dyDescent="0.25">
      <c r="A1943" s="2" t="str">
        <f t="shared" si="69"/>
        <v>16700</v>
      </c>
      <c r="B1943" s="2" t="str">
        <f>"29423"</f>
        <v>29423</v>
      </c>
      <c r="C1943" s="1">
        <v>3.7938935900785902E-3</v>
      </c>
      <c r="D1943" s="1">
        <v>1.01503959185842E-2</v>
      </c>
      <c r="E1943" s="1">
        <v>1.2770576591533101E-4</v>
      </c>
      <c r="F1943" s="1">
        <v>4.1967370037424897E-3</v>
      </c>
    </row>
    <row r="1944" spans="1:6" x14ac:dyDescent="0.25">
      <c r="A1944" s="2" t="str">
        <f t="shared" si="69"/>
        <v>16700</v>
      </c>
      <c r="B1944" s="2" t="str">
        <f>"29404"</f>
        <v>29404</v>
      </c>
      <c r="C1944" s="1">
        <v>3.6883680730035498E-3</v>
      </c>
      <c r="D1944" s="1">
        <v>2.9494605941435899E-3</v>
      </c>
      <c r="E1944" s="1">
        <v>3.4735968328970003E-2</v>
      </c>
      <c r="F1944" s="1">
        <v>4.7041566309109399E-3</v>
      </c>
    </row>
    <row r="1945" spans="1:6" x14ac:dyDescent="0.25">
      <c r="A1945" s="2" t="str">
        <f t="shared" si="69"/>
        <v>16700</v>
      </c>
      <c r="B1945" s="2" t="str">
        <f>"29403"</f>
        <v>29403</v>
      </c>
      <c r="C1945" s="1">
        <v>3.2411408815903098E-2</v>
      </c>
      <c r="D1945" s="1">
        <v>4.0867300844980602E-2</v>
      </c>
      <c r="E1945" s="1">
        <v>0.21333248196155999</v>
      </c>
      <c r="F1945" s="1">
        <v>3.9394819001867899E-2</v>
      </c>
    </row>
    <row r="1946" spans="1:6" x14ac:dyDescent="0.25">
      <c r="A1946" s="2" t="str">
        <f t="shared" si="69"/>
        <v>16700</v>
      </c>
      <c r="B1946" s="2" t="str">
        <f>"29487"</f>
        <v>29487</v>
      </c>
      <c r="C1946" s="1">
        <v>3.7059556591827201E-3</v>
      </c>
      <c r="D1946" s="1">
        <v>7.9715151193070005E-4</v>
      </c>
      <c r="E1946" s="1">
        <v>0</v>
      </c>
      <c r="F1946" s="1">
        <v>3.3347883794257898E-3</v>
      </c>
    </row>
    <row r="1947" spans="1:6" x14ac:dyDescent="0.25">
      <c r="A1947" s="2" t="str">
        <f t="shared" si="69"/>
        <v>16700</v>
      </c>
      <c r="B1947" s="2" t="str">
        <f>"29485"</f>
        <v>29485</v>
      </c>
      <c r="C1947" s="1">
        <v>6.2810295270446806E-2</v>
      </c>
      <c r="D1947" s="1">
        <v>3.7226975607163697E-2</v>
      </c>
      <c r="E1947" s="1">
        <v>2.8286827150245799E-2</v>
      </c>
      <c r="F1947" s="1">
        <v>5.9478886690316701E-2</v>
      </c>
    </row>
    <row r="1948" spans="1:6" x14ac:dyDescent="0.25">
      <c r="A1948" s="2" t="str">
        <f t="shared" si="69"/>
        <v>16700</v>
      </c>
      <c r="B1948" s="2" t="str">
        <f>"29477"</f>
        <v>29477</v>
      </c>
      <c r="C1948" s="1">
        <v>8.9143936805290303E-3</v>
      </c>
      <c r="D1948" s="1">
        <v>1.09209757134506E-2</v>
      </c>
      <c r="E1948" s="1">
        <v>2.3625566694336201E-3</v>
      </c>
      <c r="F1948" s="1">
        <v>8.85436170377772E-3</v>
      </c>
    </row>
    <row r="1949" spans="1:6" x14ac:dyDescent="0.25">
      <c r="A1949" s="2" t="str">
        <f t="shared" si="69"/>
        <v>16700</v>
      </c>
      <c r="B1949" s="2" t="str">
        <f>"29461"</f>
        <v>29461</v>
      </c>
      <c r="C1949" s="1">
        <v>4.8343249381921902E-2</v>
      </c>
      <c r="D1949" s="1">
        <v>4.26741776053568E-2</v>
      </c>
      <c r="E1949" s="1">
        <v>2.5605006066023801E-2</v>
      </c>
      <c r="F1949" s="1">
        <v>4.7081450821288499E-2</v>
      </c>
    </row>
    <row r="1950" spans="1:6" x14ac:dyDescent="0.25">
      <c r="A1950" s="2" t="str">
        <f t="shared" si="69"/>
        <v>16700</v>
      </c>
      <c r="B1950" s="2" t="str">
        <f>"29455"</f>
        <v>29455</v>
      </c>
      <c r="C1950" s="1">
        <v>4.4089566038873498E-2</v>
      </c>
      <c r="D1950" s="1">
        <v>2.2745389807089299E-2</v>
      </c>
      <c r="E1950" s="1">
        <v>1.12381074005491E-2</v>
      </c>
      <c r="F1950" s="1">
        <v>4.1169679793841299E-2</v>
      </c>
    </row>
    <row r="1951" spans="1:6" x14ac:dyDescent="0.25">
      <c r="A1951" s="2" t="str">
        <f t="shared" si="69"/>
        <v>16700</v>
      </c>
      <c r="B1951" s="2" t="str">
        <f>"29453"</f>
        <v>29453</v>
      </c>
      <c r="C1951" s="1">
        <v>1.34419408655102E-3</v>
      </c>
      <c r="D1951" s="1">
        <v>3.1886060477228002E-4</v>
      </c>
      <c r="E1951" s="1">
        <v>0</v>
      </c>
      <c r="F1951" s="1">
        <v>1.2120460090006E-3</v>
      </c>
    </row>
    <row r="1952" spans="1:6" x14ac:dyDescent="0.25">
      <c r="A1952" s="2" t="str">
        <f t="shared" si="69"/>
        <v>16700</v>
      </c>
      <c r="B1952" s="2" t="str">
        <f>"29449"</f>
        <v>29449</v>
      </c>
      <c r="C1952" s="1">
        <v>9.8967859942513704E-3</v>
      </c>
      <c r="D1952" s="1">
        <v>4.41090503268321E-3</v>
      </c>
      <c r="E1952" s="1">
        <v>1.02164612732264E-3</v>
      </c>
      <c r="F1952" s="1">
        <v>9.1313374827997999E-3</v>
      </c>
    </row>
    <row r="1953" spans="1:6" x14ac:dyDescent="0.25">
      <c r="A1953" s="2" t="str">
        <f t="shared" si="69"/>
        <v>16700</v>
      </c>
      <c r="B1953" s="2" t="str">
        <f>"29431"</f>
        <v>29431</v>
      </c>
      <c r="C1953" s="1">
        <v>7.29884826435649E-3</v>
      </c>
      <c r="D1953" s="1">
        <v>1.7271616091831801E-3</v>
      </c>
      <c r="E1953" s="1">
        <v>8.3008747844965204E-4</v>
      </c>
      <c r="F1953" s="1">
        <v>6.6097499905828196E-3</v>
      </c>
    </row>
    <row r="1954" spans="1:6" x14ac:dyDescent="0.25">
      <c r="A1954" s="2" t="str">
        <f t="shared" si="69"/>
        <v>16700</v>
      </c>
      <c r="B1954" s="2" t="str">
        <f>"29422"</f>
        <v>29422</v>
      </c>
      <c r="C1954" s="1">
        <v>3.7888685654559702E-3</v>
      </c>
      <c r="D1954" s="1">
        <v>9.9112504650050396E-3</v>
      </c>
      <c r="E1954" s="1">
        <v>1.2770576591533101E-4</v>
      </c>
      <c r="F1954" s="1">
        <v>4.1723631351885497E-3</v>
      </c>
    </row>
    <row r="1955" spans="1:6" x14ac:dyDescent="0.25">
      <c r="A1955" s="2" t="str">
        <f t="shared" si="69"/>
        <v>16700</v>
      </c>
      <c r="B1955" s="2" t="str">
        <f>"29414"</f>
        <v>29414</v>
      </c>
      <c r="C1955" s="1">
        <v>5.4810456071234699E-2</v>
      </c>
      <c r="D1955" s="1">
        <v>1.6155603975128802E-2</v>
      </c>
      <c r="E1955" s="1">
        <v>3.1926441478832703E-2</v>
      </c>
      <c r="F1955" s="1">
        <v>5.07929262601843E-2</v>
      </c>
    </row>
    <row r="1956" spans="1:6" x14ac:dyDescent="0.25">
      <c r="A1956" s="2" t="str">
        <f t="shared" si="69"/>
        <v>16700</v>
      </c>
      <c r="B1956" s="2" t="str">
        <f>"29407"</f>
        <v>29407</v>
      </c>
      <c r="C1956" s="1">
        <v>4.7282969186549E-2</v>
      </c>
      <c r="D1956" s="1">
        <v>7.3045650209916504E-2</v>
      </c>
      <c r="E1956" s="1">
        <v>6.5513057914564798E-2</v>
      </c>
      <c r="F1956" s="1">
        <v>5.0063926009798199E-2</v>
      </c>
    </row>
    <row r="1957" spans="1:6" x14ac:dyDescent="0.25">
      <c r="A1957" s="2" t="str">
        <f t="shared" si="69"/>
        <v>16700</v>
      </c>
      <c r="B1957" s="2" t="str">
        <f>"29405"</f>
        <v>29405</v>
      </c>
      <c r="C1957" s="1">
        <v>3.3984241522783398E-2</v>
      </c>
      <c r="D1957" s="1">
        <v>6.2868682574267906E-2</v>
      </c>
      <c r="E1957" s="1">
        <v>6.6726262690760402E-2</v>
      </c>
      <c r="F1957" s="1">
        <v>3.7529110154375198E-2</v>
      </c>
    </row>
    <row r="1958" spans="1:6" x14ac:dyDescent="0.25">
      <c r="A1958" s="2" t="str">
        <f t="shared" si="69"/>
        <v>16700</v>
      </c>
      <c r="B1958" s="2" t="str">
        <f>"29059"</f>
        <v>29059</v>
      </c>
      <c r="C1958" s="1">
        <v>2.73863841932825E-4</v>
      </c>
      <c r="D1958" s="1">
        <v>5.31434341287133E-5</v>
      </c>
      <c r="E1958" s="1">
        <v>0</v>
      </c>
      <c r="F1958" s="1">
        <v>2.4595449177160298E-4</v>
      </c>
    </row>
    <row r="1959" spans="1:6" x14ac:dyDescent="0.25">
      <c r="A1959" s="2" t="str">
        <f t="shared" ref="A1959:A1986" si="70">"25940"</f>
        <v>25940</v>
      </c>
      <c r="B1959" s="2" t="str">
        <f>"29928"</f>
        <v>29928</v>
      </c>
      <c r="C1959" s="1">
        <v>0.152552146959959</v>
      </c>
      <c r="D1959" s="1">
        <v>0.13433103324670601</v>
      </c>
      <c r="E1959" s="1">
        <v>0.27010519172039299</v>
      </c>
      <c r="F1959" s="1">
        <v>0.153532971891128</v>
      </c>
    </row>
    <row r="1960" spans="1:6" x14ac:dyDescent="0.25">
      <c r="A1960" s="2" t="str">
        <f t="shared" si="70"/>
        <v>25940</v>
      </c>
      <c r="B1960" s="2" t="str">
        <f>"29935"</f>
        <v>29935</v>
      </c>
      <c r="C1960" s="1">
        <v>2.26419102973647E-2</v>
      </c>
      <c r="D1960" s="1">
        <v>3.10063625772918E-2</v>
      </c>
      <c r="E1960" s="1">
        <v>5.2595860196810298E-2</v>
      </c>
      <c r="F1960" s="1">
        <v>2.3886714600026001E-2</v>
      </c>
    </row>
    <row r="1961" spans="1:6" x14ac:dyDescent="0.25">
      <c r="A1961" s="2" t="str">
        <f t="shared" si="70"/>
        <v>25940</v>
      </c>
      <c r="B1961" s="2" t="str">
        <f>"29901"</f>
        <v>29901</v>
      </c>
      <c r="C1961" s="1">
        <v>1.09567421144084E-2</v>
      </c>
      <c r="D1961" s="1">
        <v>4.1849628102876603E-2</v>
      </c>
      <c r="E1961" s="1">
        <v>6.7865626060400401E-4</v>
      </c>
      <c r="F1961" s="1">
        <v>1.31119899655236E-2</v>
      </c>
    </row>
    <row r="1962" spans="1:6" x14ac:dyDescent="0.25">
      <c r="A1962" s="2" t="str">
        <f t="shared" si="70"/>
        <v>25940</v>
      </c>
      <c r="B1962" s="2" t="str">
        <f>"29909"</f>
        <v>29909</v>
      </c>
      <c r="C1962" s="1">
        <v>0.103337860703689</v>
      </c>
      <c r="D1962" s="1">
        <v>2.3478806344654501E-2</v>
      </c>
      <c r="E1962" s="1">
        <v>1.4251781472683999E-2</v>
      </c>
      <c r="F1962" s="1">
        <v>9.5430337841079599E-2</v>
      </c>
    </row>
    <row r="1963" spans="1:6" x14ac:dyDescent="0.25">
      <c r="A1963" s="2" t="str">
        <f t="shared" si="70"/>
        <v>25940</v>
      </c>
      <c r="B1963" s="2" t="str">
        <f>"29931"</f>
        <v>29931</v>
      </c>
      <c r="C1963" s="1">
        <v>0</v>
      </c>
      <c r="D1963" s="1">
        <v>8.96137646742539E-5</v>
      </c>
      <c r="E1963" s="1">
        <v>0</v>
      </c>
      <c r="F1963" s="1">
        <v>6.8541505308539501E-6</v>
      </c>
    </row>
    <row r="1964" spans="1:6" x14ac:dyDescent="0.25">
      <c r="A1964" s="2" t="str">
        <f t="shared" si="70"/>
        <v>25940</v>
      </c>
      <c r="B1964" s="2" t="str">
        <f>"29944"</f>
        <v>29944</v>
      </c>
      <c r="C1964" s="1">
        <v>4.9320515057932595E-4</v>
      </c>
      <c r="D1964" s="1">
        <v>8.96137646742539E-5</v>
      </c>
      <c r="E1964" s="1">
        <v>0</v>
      </c>
      <c r="F1964" s="1">
        <v>4.52373935036361E-4</v>
      </c>
    </row>
    <row r="1965" spans="1:6" x14ac:dyDescent="0.25">
      <c r="A1965" s="2" t="str">
        <f t="shared" si="70"/>
        <v>25940</v>
      </c>
      <c r="B1965" s="2" t="str">
        <f>"29945"</f>
        <v>29945</v>
      </c>
      <c r="C1965" s="1">
        <v>6.7379411340683301E-3</v>
      </c>
      <c r="D1965" s="1">
        <v>3.6741643516444099E-3</v>
      </c>
      <c r="E1965" s="1">
        <v>1.0179843909060001E-3</v>
      </c>
      <c r="F1965" s="1">
        <v>6.3880682947558796E-3</v>
      </c>
    </row>
    <row r="1966" spans="1:6" x14ac:dyDescent="0.25">
      <c r="A1966" s="2" t="str">
        <f t="shared" si="70"/>
        <v>25940</v>
      </c>
      <c r="B1966" s="2" t="str">
        <f>"29940"</f>
        <v>29940</v>
      </c>
      <c r="C1966" s="1">
        <v>1.24667086523358E-2</v>
      </c>
      <c r="D1966" s="1">
        <v>2.7780267049018698E-3</v>
      </c>
      <c r="E1966" s="1">
        <v>2.37529691211401E-3</v>
      </c>
      <c r="F1966" s="1">
        <v>1.15218270423655E-2</v>
      </c>
    </row>
    <row r="1967" spans="1:6" x14ac:dyDescent="0.25">
      <c r="A1967" s="2" t="str">
        <f t="shared" si="70"/>
        <v>25940</v>
      </c>
      <c r="B1967" s="2" t="str">
        <f>"29925"</f>
        <v>29925</v>
      </c>
      <c r="C1967" s="1">
        <v>1.12906040624928E-2</v>
      </c>
      <c r="D1967" s="1">
        <v>5.0631777040953403E-2</v>
      </c>
      <c r="E1967" s="1">
        <v>6.7865626060400401E-4</v>
      </c>
      <c r="F1967" s="1">
        <v>1.40852793409048E-2</v>
      </c>
    </row>
    <row r="1968" spans="1:6" x14ac:dyDescent="0.25">
      <c r="A1968" s="2" t="str">
        <f t="shared" si="70"/>
        <v>25940</v>
      </c>
      <c r="B1968" s="2" t="str">
        <f>"29938"</f>
        <v>29938</v>
      </c>
      <c r="C1968" s="1">
        <v>1.50313754353483E-2</v>
      </c>
      <c r="D1968" s="1">
        <v>4.9914866923559398E-2</v>
      </c>
      <c r="E1968" s="1">
        <v>6.7865626060400401E-4</v>
      </c>
      <c r="F1968" s="1">
        <v>1.7409542348369E-2</v>
      </c>
    </row>
    <row r="1969" spans="1:6" x14ac:dyDescent="0.25">
      <c r="A1969" s="2" t="str">
        <f t="shared" si="70"/>
        <v>25940</v>
      </c>
      <c r="B1969" s="2" t="str">
        <f>"29936"</f>
        <v>29936</v>
      </c>
      <c r="C1969" s="1">
        <v>5.2363211448429703E-2</v>
      </c>
      <c r="D1969" s="1">
        <v>6.2908862801326196E-2</v>
      </c>
      <c r="E1969" s="1">
        <v>6.0400407193756299E-2</v>
      </c>
      <c r="F1969" s="1">
        <v>5.3332145280574603E-2</v>
      </c>
    </row>
    <row r="1970" spans="1:6" x14ac:dyDescent="0.25">
      <c r="A1970" s="2" t="str">
        <f t="shared" si="70"/>
        <v>25940</v>
      </c>
      <c r="B1970" s="2" t="str">
        <f>"29915"</f>
        <v>29915</v>
      </c>
      <c r="C1970" s="1">
        <v>6.7379411340683301E-3</v>
      </c>
      <c r="D1970" s="1">
        <v>1.7922752934850699E-4</v>
      </c>
      <c r="E1970" s="1">
        <v>0</v>
      </c>
      <c r="F1970" s="1">
        <v>6.1001939724600199E-3</v>
      </c>
    </row>
    <row r="1971" spans="1:6" x14ac:dyDescent="0.25">
      <c r="A1971" s="2" t="str">
        <f t="shared" si="70"/>
        <v>25940</v>
      </c>
      <c r="B1971" s="2" t="str">
        <f>"29926"</f>
        <v>29926</v>
      </c>
      <c r="C1971" s="1">
        <v>0.103474440591542</v>
      </c>
      <c r="D1971" s="1">
        <v>0.1200824446635</v>
      </c>
      <c r="E1971" s="1">
        <v>0.16593145571767801</v>
      </c>
      <c r="F1971" s="1">
        <v>0.106006292110187</v>
      </c>
    </row>
    <row r="1972" spans="1:6" x14ac:dyDescent="0.25">
      <c r="A1972" s="2" t="str">
        <f t="shared" si="70"/>
        <v>25940</v>
      </c>
      <c r="B1972" s="2" t="str">
        <f>"29912"</f>
        <v>29912</v>
      </c>
      <c r="C1972" s="1">
        <v>2.1245760332647899E-4</v>
      </c>
      <c r="D1972" s="1">
        <v>8.9613764674253895E-4</v>
      </c>
      <c r="E1972" s="1">
        <v>3.39328130302002E-4</v>
      </c>
      <c r="F1972" s="1">
        <v>2.67311870703304E-4</v>
      </c>
    </row>
    <row r="1973" spans="1:6" x14ac:dyDescent="0.25">
      <c r="A1973" s="2" t="str">
        <f t="shared" si="70"/>
        <v>25940</v>
      </c>
      <c r="B1973" s="2" t="str">
        <f>"29904"</f>
        <v>29904</v>
      </c>
      <c r="C1973" s="1">
        <v>1.5175543094748501E-5</v>
      </c>
      <c r="D1973" s="1">
        <v>1.7922752934850699E-4</v>
      </c>
      <c r="E1973" s="1">
        <v>3.39328130302002E-4</v>
      </c>
      <c r="F1973" s="1">
        <v>3.4270752654269701E-5</v>
      </c>
    </row>
    <row r="1974" spans="1:6" x14ac:dyDescent="0.25">
      <c r="A1974" s="2" t="str">
        <f t="shared" si="70"/>
        <v>25940</v>
      </c>
      <c r="B1974" s="2" t="str">
        <f>"29902"</f>
        <v>29902</v>
      </c>
      <c r="C1974" s="1">
        <v>5.80388645658656E-2</v>
      </c>
      <c r="D1974" s="1">
        <v>8.55811452639125E-2</v>
      </c>
      <c r="E1974" s="1">
        <v>8.8564642008822497E-2</v>
      </c>
      <c r="F1974" s="1">
        <v>6.0762044456020299E-2</v>
      </c>
    </row>
    <row r="1975" spans="1:6" x14ac:dyDescent="0.25">
      <c r="A1975" s="2" t="str">
        <f t="shared" si="70"/>
        <v>25940</v>
      </c>
      <c r="B1975" s="2" t="str">
        <f>"29927"</f>
        <v>29927</v>
      </c>
      <c r="C1975" s="1">
        <v>3.52831376952902E-2</v>
      </c>
      <c r="D1975" s="1">
        <v>2.6167219284882099E-2</v>
      </c>
      <c r="E1975" s="1">
        <v>3.1557516118086097E-2</v>
      </c>
      <c r="F1975" s="1">
        <v>3.4510647922849601E-2</v>
      </c>
    </row>
    <row r="1976" spans="1:6" x14ac:dyDescent="0.25">
      <c r="A1976" s="2" t="str">
        <f t="shared" si="70"/>
        <v>25940</v>
      </c>
      <c r="B1976" s="2" t="str">
        <f>"29903"</f>
        <v>29903</v>
      </c>
      <c r="C1976" s="1">
        <v>9.71234758063904E-3</v>
      </c>
      <c r="D1976" s="1">
        <v>2.2403441168563399E-2</v>
      </c>
      <c r="E1976" s="1">
        <v>6.7865626060400401E-4</v>
      </c>
      <c r="F1976" s="1">
        <v>1.05005586132682E-2</v>
      </c>
    </row>
    <row r="1977" spans="1:6" x14ac:dyDescent="0.25">
      <c r="A1977" s="2" t="str">
        <f t="shared" si="70"/>
        <v>25940</v>
      </c>
      <c r="B1977" s="2" t="str">
        <f>"29943"</f>
        <v>29943</v>
      </c>
      <c r="C1977" s="1">
        <v>1.4872032232853499E-3</v>
      </c>
      <c r="D1977" s="1">
        <v>8.96137646742539E-5</v>
      </c>
      <c r="E1977" s="1">
        <v>0</v>
      </c>
      <c r="F1977" s="1">
        <v>1.35026765457822E-3</v>
      </c>
    </row>
    <row r="1978" spans="1:6" x14ac:dyDescent="0.25">
      <c r="A1978" s="2" t="str">
        <f t="shared" si="70"/>
        <v>25940</v>
      </c>
      <c r="B1978" s="2" t="str">
        <f>"29941"</f>
        <v>29941</v>
      </c>
      <c r="C1978" s="1">
        <v>2.5570790114651199E-3</v>
      </c>
      <c r="D1978" s="1">
        <v>1.7922752934850699E-4</v>
      </c>
      <c r="E1978" s="1">
        <v>0</v>
      </c>
      <c r="F1978" s="1">
        <v>2.3235570299594901E-3</v>
      </c>
    </row>
    <row r="1979" spans="1:6" x14ac:dyDescent="0.25">
      <c r="A1979" s="2" t="str">
        <f t="shared" si="70"/>
        <v>25940</v>
      </c>
      <c r="B1979" s="2" t="str">
        <f>"29922"</f>
        <v>29922</v>
      </c>
      <c r="C1979" s="1">
        <v>1.46443990864323E-3</v>
      </c>
      <c r="D1979" s="1">
        <v>8.96137646742539E-5</v>
      </c>
      <c r="E1979" s="1">
        <v>2.37529691211401E-3</v>
      </c>
      <c r="F1979" s="1">
        <v>1.3776842567016401E-3</v>
      </c>
    </row>
    <row r="1980" spans="1:6" x14ac:dyDescent="0.25">
      <c r="A1980" s="2" t="str">
        <f t="shared" si="70"/>
        <v>25940</v>
      </c>
      <c r="B1980" s="2" t="str">
        <f>"29916"</f>
        <v>29916</v>
      </c>
      <c r="C1980" s="1">
        <v>2.7012466708652302E-3</v>
      </c>
      <c r="D1980" s="1">
        <v>4.4806882337126899E-4</v>
      </c>
      <c r="E1980" s="1">
        <v>0</v>
      </c>
      <c r="F1980" s="1">
        <v>2.4743483416382701E-3</v>
      </c>
    </row>
    <row r="1981" spans="1:6" x14ac:dyDescent="0.25">
      <c r="A1981" s="2" t="str">
        <f t="shared" si="70"/>
        <v>25940</v>
      </c>
      <c r="B1981" s="2" t="str">
        <f>"29905"</f>
        <v>29905</v>
      </c>
      <c r="C1981" s="1">
        <v>0</v>
      </c>
      <c r="D1981" s="1">
        <v>8.96137646742539E-5</v>
      </c>
      <c r="E1981" s="1">
        <v>0</v>
      </c>
      <c r="F1981" s="1">
        <v>6.8541505308539501E-6</v>
      </c>
    </row>
    <row r="1982" spans="1:6" x14ac:dyDescent="0.25">
      <c r="A1982" s="2" t="str">
        <f t="shared" si="70"/>
        <v>25940</v>
      </c>
      <c r="B1982" s="2" t="str">
        <f>"29907"</f>
        <v>29907</v>
      </c>
      <c r="C1982" s="1">
        <v>4.9168759626985102E-2</v>
      </c>
      <c r="D1982" s="1">
        <v>3.7189712339815301E-2</v>
      </c>
      <c r="E1982" s="1">
        <v>3.0200203596878101E-2</v>
      </c>
      <c r="F1982" s="1">
        <v>4.7869387307484003E-2</v>
      </c>
    </row>
    <row r="1983" spans="1:6" x14ac:dyDescent="0.25">
      <c r="A1983" s="2" t="str">
        <f t="shared" si="70"/>
        <v>25940</v>
      </c>
      <c r="B1983" s="2" t="str">
        <f>"29934"</f>
        <v>29934</v>
      </c>
      <c r="C1983" s="1">
        <v>3.7559469159502501E-3</v>
      </c>
      <c r="D1983" s="1">
        <v>3.58455058697015E-4</v>
      </c>
      <c r="E1983" s="1">
        <v>0</v>
      </c>
      <c r="F1983" s="1">
        <v>3.4202211148961202E-3</v>
      </c>
    </row>
    <row r="1984" spans="1:6" x14ac:dyDescent="0.25">
      <c r="A1984" s="2" t="str">
        <f t="shared" si="70"/>
        <v>25940</v>
      </c>
      <c r="B1984" s="2" t="str">
        <f>"29920"</f>
        <v>29920</v>
      </c>
      <c r="C1984" s="1">
        <v>6.0550416948046498E-2</v>
      </c>
      <c r="D1984" s="1">
        <v>2.30307375212832E-2</v>
      </c>
      <c r="E1984" s="1">
        <v>1.1537156430268E-2</v>
      </c>
      <c r="F1984" s="1">
        <v>5.6690679040692998E-2</v>
      </c>
    </row>
    <row r="1985" spans="1:6" x14ac:dyDescent="0.25">
      <c r="A1985" s="2" t="str">
        <f t="shared" si="70"/>
        <v>25940</v>
      </c>
      <c r="B1985" s="2" t="str">
        <f>"29906"</f>
        <v>29906</v>
      </c>
      <c r="C1985" s="1">
        <v>9.3223361231039997E-2</v>
      </c>
      <c r="D1985" s="1">
        <v>6.7927233623084504E-2</v>
      </c>
      <c r="E1985" s="1">
        <v>7.0580251102816405E-2</v>
      </c>
      <c r="F1985" s="1">
        <v>9.0831202834876598E-2</v>
      </c>
    </row>
    <row r="1986" spans="1:6" x14ac:dyDescent="0.25">
      <c r="A1986" s="2" t="str">
        <f t="shared" si="70"/>
        <v>25940</v>
      </c>
      <c r="B1986" s="2" t="str">
        <f>"29910"</f>
        <v>29910</v>
      </c>
      <c r="C1986" s="1">
        <v>0.183745475791214</v>
      </c>
      <c r="D1986" s="1">
        <v>0.214356125100815</v>
      </c>
      <c r="E1986" s="1">
        <v>0.195113674923651</v>
      </c>
      <c r="F1986" s="1">
        <v>0.186316373880203</v>
      </c>
    </row>
    <row r="1987" spans="1:6" x14ac:dyDescent="0.25">
      <c r="A1987" s="2" t="str">
        <f t="shared" ref="A1987:A2018" si="71">"19780"</f>
        <v>19780</v>
      </c>
      <c r="B1987" s="2" t="str">
        <f>"50360"</f>
        <v>50360</v>
      </c>
      <c r="C1987" s="1">
        <v>0</v>
      </c>
      <c r="D1987" s="1">
        <v>3.2366649404453601E-5</v>
      </c>
      <c r="E1987" s="1">
        <v>5.0903537795876798E-5</v>
      </c>
      <c r="F1987" s="1">
        <v>5.2896478945878896E-6</v>
      </c>
    </row>
    <row r="1988" spans="1:6" x14ac:dyDescent="0.25">
      <c r="A1988" s="2" t="str">
        <f t="shared" si="71"/>
        <v>19780</v>
      </c>
      <c r="B1988" s="2" t="str">
        <f>"50359"</f>
        <v>50359</v>
      </c>
      <c r="C1988" s="1">
        <v>0</v>
      </c>
      <c r="D1988" s="1">
        <v>3.2366649404453601E-5</v>
      </c>
      <c r="E1988" s="1">
        <v>0</v>
      </c>
      <c r="F1988" s="1">
        <v>2.6448239472939401E-6</v>
      </c>
    </row>
    <row r="1989" spans="1:6" x14ac:dyDescent="0.25">
      <c r="A1989" s="2" t="str">
        <f t="shared" si="71"/>
        <v>19780</v>
      </c>
      <c r="B1989" s="2" t="str">
        <f>"50395"</f>
        <v>50395</v>
      </c>
      <c r="C1989" s="1">
        <v>0</v>
      </c>
      <c r="D1989" s="1">
        <v>1.6183324702226799E-4</v>
      </c>
      <c r="E1989" s="1">
        <v>1.01807075591753E-4</v>
      </c>
      <c r="F1989" s="1">
        <v>1.85137676310576E-5</v>
      </c>
    </row>
    <row r="1990" spans="1:6" x14ac:dyDescent="0.25">
      <c r="A1990" s="2" t="str">
        <f t="shared" si="71"/>
        <v>19780</v>
      </c>
      <c r="B1990" s="2" t="str">
        <f>"50316"</f>
        <v>50316</v>
      </c>
      <c r="C1990" s="1">
        <v>2.0668221617066999E-2</v>
      </c>
      <c r="D1990" s="1">
        <v>1.6442257897462401E-2</v>
      </c>
      <c r="E1990" s="1">
        <v>1.50165436497836E-2</v>
      </c>
      <c r="F1990" s="1">
        <v>2.0029251752857E-2</v>
      </c>
    </row>
    <row r="1991" spans="1:6" x14ac:dyDescent="0.25">
      <c r="A1991" s="2" t="str">
        <f t="shared" si="71"/>
        <v>19780</v>
      </c>
      <c r="B1991" s="2" t="str">
        <f>"50312"</f>
        <v>50312</v>
      </c>
      <c r="C1991" s="1">
        <v>2.4966723247322499E-2</v>
      </c>
      <c r="D1991" s="1">
        <v>1.6312791299844601E-2</v>
      </c>
      <c r="E1991" s="1">
        <v>2.33647238483074E-2</v>
      </c>
      <c r="F1991" s="1">
        <v>2.4176335702213898E-2</v>
      </c>
    </row>
    <row r="1992" spans="1:6" x14ac:dyDescent="0.25">
      <c r="A1992" s="2" t="str">
        <f t="shared" si="71"/>
        <v>19780</v>
      </c>
      <c r="B1992" s="2" t="str">
        <f>"50302"</f>
        <v>50302</v>
      </c>
      <c r="C1992" s="1">
        <v>6.0447679175469203E-4</v>
      </c>
      <c r="D1992" s="1">
        <v>2.1361988606939399E-3</v>
      </c>
      <c r="E1992" s="1">
        <v>1.01807075591753E-4</v>
      </c>
      <c r="F1992" s="1">
        <v>7.0352316998019003E-4</v>
      </c>
    </row>
    <row r="1993" spans="1:6" x14ac:dyDescent="0.25">
      <c r="A1993" s="2" t="str">
        <f t="shared" si="71"/>
        <v>19780</v>
      </c>
      <c r="B1993" s="2" t="str">
        <f>"50301"</f>
        <v>50301</v>
      </c>
      <c r="C1993" s="1">
        <v>1.4012871081586001E-3</v>
      </c>
      <c r="D1993" s="1">
        <v>6.7969963749352604E-3</v>
      </c>
      <c r="E1993" s="1">
        <v>5.0903537795876798E-5</v>
      </c>
      <c r="F1993" s="1">
        <v>1.7720320446869399E-3</v>
      </c>
    </row>
    <row r="1994" spans="1:6" x14ac:dyDescent="0.25">
      <c r="A1994" s="2" t="str">
        <f t="shared" si="71"/>
        <v>19780</v>
      </c>
      <c r="B1994" s="2" t="str">
        <f>"50305"</f>
        <v>50305</v>
      </c>
      <c r="C1994" s="1">
        <v>1.69436676476694E-3</v>
      </c>
      <c r="D1994" s="1">
        <v>7.8650958052822306E-3</v>
      </c>
      <c r="E1994" s="1">
        <v>1.01807075591753E-4</v>
      </c>
      <c r="F1994" s="1">
        <v>2.1158591578351502E-3</v>
      </c>
    </row>
    <row r="1995" spans="1:6" x14ac:dyDescent="0.25">
      <c r="A1995" s="2" t="str">
        <f t="shared" si="71"/>
        <v>19780</v>
      </c>
      <c r="B1995" s="2" t="str">
        <f>"50244"</f>
        <v>50244</v>
      </c>
      <c r="C1995" s="1">
        <v>1.9233352464922E-4</v>
      </c>
      <c r="D1995" s="1">
        <v>3.2366649404453601E-5</v>
      </c>
      <c r="E1995" s="1">
        <v>0</v>
      </c>
      <c r="F1995" s="1">
        <v>1.6926873262681201E-4</v>
      </c>
    </row>
    <row r="1996" spans="1:6" x14ac:dyDescent="0.25">
      <c r="A1996" s="2" t="str">
        <f t="shared" si="71"/>
        <v>19780</v>
      </c>
      <c r="B1996" s="2" t="str">
        <f>"50216"</f>
        <v>50216</v>
      </c>
      <c r="C1996" s="1">
        <v>5.40976199489552E-3</v>
      </c>
      <c r="D1996" s="1">
        <v>1.8772656654583099E-3</v>
      </c>
      <c r="E1996" s="1">
        <v>1.2216849071010399E-3</v>
      </c>
      <c r="F1996" s="1">
        <v>4.9035035982829796E-3</v>
      </c>
    </row>
    <row r="1997" spans="1:6" x14ac:dyDescent="0.25">
      <c r="A1997" s="2" t="str">
        <f t="shared" si="71"/>
        <v>19780</v>
      </c>
      <c r="B1997" s="2" t="str">
        <f>"50129"</f>
        <v>50129</v>
      </c>
      <c r="C1997" s="1">
        <v>9.1587392690104805E-6</v>
      </c>
      <c r="D1997" s="1">
        <v>0</v>
      </c>
      <c r="E1997" s="1">
        <v>0</v>
      </c>
      <c r="F1997" s="1">
        <v>7.9344718418818407E-6</v>
      </c>
    </row>
    <row r="1998" spans="1:6" x14ac:dyDescent="0.25">
      <c r="A1998" s="2" t="str">
        <f t="shared" si="71"/>
        <v>19780</v>
      </c>
      <c r="B1998" s="2" t="str">
        <f>"50127"</f>
        <v>50127</v>
      </c>
      <c r="C1998" s="1">
        <v>9.1587392690104801E-5</v>
      </c>
      <c r="D1998" s="1">
        <v>1.6183324702226799E-4</v>
      </c>
      <c r="E1998" s="1">
        <v>1.01807075591753E-4</v>
      </c>
      <c r="F1998" s="1">
        <v>9.7858486049876004E-5</v>
      </c>
    </row>
    <row r="1999" spans="1:6" x14ac:dyDescent="0.25">
      <c r="A1999" s="2" t="str">
        <f t="shared" si="71"/>
        <v>19780</v>
      </c>
      <c r="B1999" s="2" t="str">
        <f>"50137"</f>
        <v>50137</v>
      </c>
      <c r="C1999" s="1">
        <v>1.0685195813845499E-4</v>
      </c>
      <c r="D1999" s="1">
        <v>9.7099948213360897E-5</v>
      </c>
      <c r="E1999" s="1">
        <v>5.0903537795876798E-5</v>
      </c>
      <c r="F1999" s="1">
        <v>1.0314813394446301E-4</v>
      </c>
    </row>
    <row r="2000" spans="1:6" x14ac:dyDescent="0.25">
      <c r="A2000" s="2" t="str">
        <f t="shared" si="71"/>
        <v>19780</v>
      </c>
      <c r="B2000" s="2" t="str">
        <f>"50156"</f>
        <v>50156</v>
      </c>
      <c r="C2000" s="1">
        <v>7.6017535932786995E-4</v>
      </c>
      <c r="D2000" s="1">
        <v>6.4733298808907297E-5</v>
      </c>
      <c r="E2000" s="1">
        <v>0</v>
      </c>
      <c r="F2000" s="1">
        <v>6.6385081077078103E-4</v>
      </c>
    </row>
    <row r="2001" spans="1:6" x14ac:dyDescent="0.25">
      <c r="A2001" s="2" t="str">
        <f t="shared" si="71"/>
        <v>19780</v>
      </c>
      <c r="B2001" s="2" t="str">
        <f>"50153"</f>
        <v>50153</v>
      </c>
      <c r="C2001" s="1">
        <v>9.6472053633577101E-4</v>
      </c>
      <c r="D2001" s="1">
        <v>3.8839979285344299E-4</v>
      </c>
      <c r="E2001" s="1">
        <v>5.5993891575464405E-4</v>
      </c>
      <c r="F2001" s="1">
        <v>8.9659531813264797E-4</v>
      </c>
    </row>
    <row r="2002" spans="1:6" x14ac:dyDescent="0.25">
      <c r="A2002" s="2" t="str">
        <f t="shared" si="71"/>
        <v>19780</v>
      </c>
      <c r="B2002" s="2" t="str">
        <f>"50135"</f>
        <v>50135</v>
      </c>
      <c r="C2002" s="1">
        <v>2.3568489052253599E-3</v>
      </c>
      <c r="D2002" s="1">
        <v>4.5313309166235098E-4</v>
      </c>
      <c r="E2002" s="1">
        <v>5.5993891575464405E-4</v>
      </c>
      <c r="F2002" s="1">
        <v>2.1079246859932702E-3</v>
      </c>
    </row>
    <row r="2003" spans="1:6" x14ac:dyDescent="0.25">
      <c r="A2003" s="2" t="str">
        <f t="shared" si="71"/>
        <v>19780</v>
      </c>
      <c r="B2003" s="2" t="str">
        <f>"50170"</f>
        <v>50170</v>
      </c>
      <c r="C2003" s="1">
        <v>3.8161413620877E-3</v>
      </c>
      <c r="D2003" s="1">
        <v>4.2076644225789701E-4</v>
      </c>
      <c r="E2003" s="1">
        <v>1.4762025960804201E-3</v>
      </c>
      <c r="F2003" s="1">
        <v>3.41711253990378E-3</v>
      </c>
    </row>
    <row r="2004" spans="1:6" x14ac:dyDescent="0.25">
      <c r="A2004" s="2" t="str">
        <f t="shared" si="71"/>
        <v>19780</v>
      </c>
      <c r="B2004" s="2" t="str">
        <f>"50063"</f>
        <v>50063</v>
      </c>
      <c r="C2004" s="1">
        <v>3.74897727411496E-3</v>
      </c>
      <c r="D2004" s="1">
        <v>2.4598653547384698E-3</v>
      </c>
      <c r="E2004" s="1">
        <v>1.37439552048867E-3</v>
      </c>
      <c r="F2004" s="1">
        <v>3.5202606738482401E-3</v>
      </c>
    </row>
    <row r="2005" spans="1:6" x14ac:dyDescent="0.25">
      <c r="A2005" s="2" t="str">
        <f t="shared" si="71"/>
        <v>19780</v>
      </c>
      <c r="B2005" s="2" t="str">
        <f>"50363"</f>
        <v>50363</v>
      </c>
      <c r="C2005" s="1">
        <v>0</v>
      </c>
      <c r="D2005" s="1">
        <v>0</v>
      </c>
      <c r="E2005" s="1">
        <v>5.0903537795876798E-5</v>
      </c>
      <c r="F2005" s="1">
        <v>2.6448239472939401E-6</v>
      </c>
    </row>
    <row r="2006" spans="1:6" x14ac:dyDescent="0.25">
      <c r="A2006" s="2" t="str">
        <f t="shared" si="71"/>
        <v>19780</v>
      </c>
      <c r="B2006" s="2" t="str">
        <f>"50328"</f>
        <v>50328</v>
      </c>
      <c r="C2006" s="1">
        <v>0</v>
      </c>
      <c r="D2006" s="1">
        <v>6.4733298808907297E-5</v>
      </c>
      <c r="E2006" s="1">
        <v>0</v>
      </c>
      <c r="F2006" s="1">
        <v>5.2896478945878896E-6</v>
      </c>
    </row>
    <row r="2007" spans="1:6" x14ac:dyDescent="0.25">
      <c r="A2007" s="2" t="str">
        <f t="shared" si="71"/>
        <v>19780</v>
      </c>
      <c r="B2007" s="2" t="str">
        <f>"50380"</f>
        <v>50380</v>
      </c>
      <c r="C2007" s="1">
        <v>0</v>
      </c>
      <c r="D2007" s="1">
        <v>0</v>
      </c>
      <c r="E2007" s="1">
        <v>1.01807075591753E-4</v>
      </c>
      <c r="F2007" s="1">
        <v>5.2896478945878896E-6</v>
      </c>
    </row>
    <row r="2008" spans="1:6" x14ac:dyDescent="0.25">
      <c r="A2008" s="2" t="str">
        <f t="shared" si="71"/>
        <v>19780</v>
      </c>
      <c r="B2008" s="2" t="str">
        <f>"50368"</f>
        <v>50368</v>
      </c>
      <c r="C2008" s="1">
        <v>0</v>
      </c>
      <c r="D2008" s="1">
        <v>0</v>
      </c>
      <c r="E2008" s="1">
        <v>5.0903537795876798E-5</v>
      </c>
      <c r="F2008" s="1">
        <v>2.6448239472939401E-6</v>
      </c>
    </row>
    <row r="2009" spans="1:6" x14ac:dyDescent="0.25">
      <c r="A2009" s="2" t="str">
        <f t="shared" si="71"/>
        <v>19780</v>
      </c>
      <c r="B2009" s="2" t="str">
        <f>"50321"</f>
        <v>50321</v>
      </c>
      <c r="C2009" s="1">
        <v>1.2813076237345599E-2</v>
      </c>
      <c r="D2009" s="1">
        <v>1.3302692905230401E-2</v>
      </c>
      <c r="E2009" s="1">
        <v>5.9557139221175798E-3</v>
      </c>
      <c r="F2009" s="1">
        <v>1.24967931509639E-2</v>
      </c>
    </row>
    <row r="2010" spans="1:6" x14ac:dyDescent="0.25">
      <c r="A2010" s="2" t="str">
        <f t="shared" si="71"/>
        <v>19780</v>
      </c>
      <c r="B2010" s="2" t="str">
        <f>"50317"</f>
        <v>50317</v>
      </c>
      <c r="C2010" s="1">
        <v>4.97289013176372E-2</v>
      </c>
      <c r="D2010" s="1">
        <v>2.9906784049715099E-2</v>
      </c>
      <c r="E2010" s="1">
        <v>1.21659455332145E-2</v>
      </c>
      <c r="F2010" s="1">
        <v>4.6157467528173901E-2</v>
      </c>
    </row>
    <row r="2011" spans="1:6" x14ac:dyDescent="0.25">
      <c r="A2011" s="2" t="str">
        <f t="shared" si="71"/>
        <v>19780</v>
      </c>
      <c r="B2011" s="2" t="str">
        <f>"50324"</f>
        <v>50324</v>
      </c>
      <c r="C2011" s="1">
        <v>7.2384569356079504E-3</v>
      </c>
      <c r="D2011" s="1">
        <v>8.1887622993267704E-3</v>
      </c>
      <c r="E2011" s="1">
        <v>3.41053703232374E-3</v>
      </c>
      <c r="F2011" s="1">
        <v>7.1172212421680096E-3</v>
      </c>
    </row>
    <row r="2012" spans="1:6" x14ac:dyDescent="0.25">
      <c r="A2012" s="2" t="str">
        <f t="shared" si="71"/>
        <v>19780</v>
      </c>
      <c r="B2012" s="2" t="str">
        <f>"50314"</f>
        <v>50314</v>
      </c>
      <c r="C2012" s="1">
        <v>1.6311714638107599E-2</v>
      </c>
      <c r="D2012" s="1">
        <v>1.6442257897462401E-2</v>
      </c>
      <c r="E2012" s="1">
        <v>2.6011707813693E-2</v>
      </c>
      <c r="F2012" s="1">
        <v>1.6826369952683998E-2</v>
      </c>
    </row>
    <row r="2013" spans="1:6" x14ac:dyDescent="0.25">
      <c r="A2013" s="2" t="str">
        <f t="shared" si="71"/>
        <v>19780</v>
      </c>
      <c r="B2013" s="2" t="str">
        <f>"50304"</f>
        <v>50304</v>
      </c>
      <c r="C2013" s="1">
        <v>2.3507430790460201E-4</v>
      </c>
      <c r="D2013" s="1">
        <v>1.45649922320041E-3</v>
      </c>
      <c r="E2013" s="1">
        <v>1.01807075591753E-4</v>
      </c>
      <c r="F2013" s="1">
        <v>3.2795816946444898E-4</v>
      </c>
    </row>
    <row r="2014" spans="1:6" x14ac:dyDescent="0.25">
      <c r="A2014" s="2" t="str">
        <f t="shared" si="71"/>
        <v>19780</v>
      </c>
      <c r="B2014" s="2" t="str">
        <f>"50276"</f>
        <v>50276</v>
      </c>
      <c r="C2014" s="1">
        <v>2.21030907692119E-3</v>
      </c>
      <c r="D2014" s="1">
        <v>2.26566545831175E-4</v>
      </c>
      <c r="E2014" s="1">
        <v>2.03614151183507E-4</v>
      </c>
      <c r="F2014" s="1">
        <v>1.9439456012610499E-3</v>
      </c>
    </row>
    <row r="2015" spans="1:6" x14ac:dyDescent="0.25">
      <c r="A2015" s="2" t="str">
        <f t="shared" si="71"/>
        <v>19780</v>
      </c>
      <c r="B2015" s="2" t="str">
        <f>"50266"</f>
        <v>50266</v>
      </c>
      <c r="C2015" s="1">
        <v>5.7058945645935298E-2</v>
      </c>
      <c r="D2015" s="1">
        <v>8.2373122734334503E-2</v>
      </c>
      <c r="E2015" s="1">
        <v>6.4291168236192395E-2</v>
      </c>
      <c r="F2015" s="1">
        <v>5.9503249166219199E-2</v>
      </c>
    </row>
    <row r="2016" spans="1:6" x14ac:dyDescent="0.25">
      <c r="A2016" s="2" t="str">
        <f t="shared" si="71"/>
        <v>19780</v>
      </c>
      <c r="B2016" s="2" t="str">
        <f>"50035"</f>
        <v>50035</v>
      </c>
      <c r="C2016" s="1">
        <v>1.0135671457704901E-2</v>
      </c>
      <c r="D2016" s="1">
        <v>3.7221646815121601E-3</v>
      </c>
      <c r="E2016" s="1">
        <v>2.74879104097734E-3</v>
      </c>
      <c r="F2016" s="1">
        <v>9.2277907521085799E-3</v>
      </c>
    </row>
    <row r="2017" spans="1:6" x14ac:dyDescent="0.25">
      <c r="A2017" s="2" t="str">
        <f t="shared" si="71"/>
        <v>19780</v>
      </c>
      <c r="B2017" s="2" t="str">
        <f>"50252"</f>
        <v>50252</v>
      </c>
      <c r="C2017" s="1">
        <v>1.6180439375251799E-4</v>
      </c>
      <c r="D2017" s="1">
        <v>0</v>
      </c>
      <c r="E2017" s="1">
        <v>0</v>
      </c>
      <c r="F2017" s="1">
        <v>1.4017566920657899E-4</v>
      </c>
    </row>
    <row r="2018" spans="1:6" x14ac:dyDescent="0.25">
      <c r="A2018" s="2" t="str">
        <f t="shared" si="71"/>
        <v>19780</v>
      </c>
      <c r="B2018" s="2" t="str">
        <f>"50235"</f>
        <v>50235</v>
      </c>
      <c r="C2018" s="1">
        <v>9.1587392690104805E-6</v>
      </c>
      <c r="D2018" s="1">
        <v>0</v>
      </c>
      <c r="E2018" s="1">
        <v>0</v>
      </c>
      <c r="F2018" s="1">
        <v>7.9344718418818407E-6</v>
      </c>
    </row>
    <row r="2019" spans="1:6" x14ac:dyDescent="0.25">
      <c r="A2019" s="2" t="str">
        <f t="shared" ref="A2019:A2050" si="72">"19780"</f>
        <v>19780</v>
      </c>
      <c r="B2019" s="2" t="str">
        <f>"50261"</f>
        <v>50261</v>
      </c>
      <c r="C2019" s="1">
        <v>3.4345272258789299E-3</v>
      </c>
      <c r="D2019" s="1">
        <v>1.29466597617814E-4</v>
      </c>
      <c r="E2019" s="1">
        <v>5.5993891575464405E-4</v>
      </c>
      <c r="F2019" s="1">
        <v>3.0150992999151E-3</v>
      </c>
    </row>
    <row r="2020" spans="1:6" x14ac:dyDescent="0.25">
      <c r="A2020" s="2" t="str">
        <f t="shared" si="72"/>
        <v>19780</v>
      </c>
      <c r="B2020" s="2" t="str">
        <f>"50233"</f>
        <v>50233</v>
      </c>
      <c r="C2020" s="1">
        <v>2.3812722099427201E-3</v>
      </c>
      <c r="D2020" s="1">
        <v>7.7679958570688696E-4</v>
      </c>
      <c r="E2020" s="1">
        <v>6.6174599134639803E-4</v>
      </c>
      <c r="F2020" s="1">
        <v>2.1608211649391498E-3</v>
      </c>
    </row>
    <row r="2021" spans="1:6" x14ac:dyDescent="0.25">
      <c r="A2021" s="2" t="str">
        <f t="shared" si="72"/>
        <v>19780</v>
      </c>
      <c r="B2021" s="2" t="str">
        <f>"50155"</f>
        <v>50155</v>
      </c>
      <c r="C2021" s="1">
        <v>3.6940248385008902E-4</v>
      </c>
      <c r="D2021" s="1">
        <v>3.8839979285344299E-4</v>
      </c>
      <c r="E2021" s="1">
        <v>1.01807075591753E-4</v>
      </c>
      <c r="F2021" s="1">
        <v>3.5705123288468299E-4</v>
      </c>
    </row>
    <row r="2022" spans="1:6" x14ac:dyDescent="0.25">
      <c r="A2022" s="2" t="str">
        <f t="shared" si="72"/>
        <v>19780</v>
      </c>
      <c r="B2022" s="2" t="str">
        <f>"50141"</f>
        <v>50141</v>
      </c>
      <c r="C2022" s="1">
        <v>1.3127526285581701E-4</v>
      </c>
      <c r="D2022" s="1">
        <v>3.2366649404453601E-5</v>
      </c>
      <c r="E2022" s="1">
        <v>0</v>
      </c>
      <c r="F2022" s="1">
        <v>1.1637225368093299E-4</v>
      </c>
    </row>
    <row r="2023" spans="1:6" x14ac:dyDescent="0.25">
      <c r="A2023" s="2" t="str">
        <f t="shared" si="72"/>
        <v>19780</v>
      </c>
      <c r="B2023" s="2" t="str">
        <f>"50139"</f>
        <v>50139</v>
      </c>
      <c r="C2023" s="1">
        <v>1.26085310603377E-3</v>
      </c>
      <c r="D2023" s="1">
        <v>1.29466597617814E-4</v>
      </c>
      <c r="E2023" s="1">
        <v>3.0542122677525998E-4</v>
      </c>
      <c r="F2023" s="1">
        <v>1.11876052970534E-3</v>
      </c>
    </row>
    <row r="2024" spans="1:6" x14ac:dyDescent="0.25">
      <c r="A2024" s="2" t="str">
        <f t="shared" si="72"/>
        <v>19780</v>
      </c>
      <c r="B2024" s="2" t="str">
        <f>"50131"</f>
        <v>50131</v>
      </c>
      <c r="C2024" s="1">
        <v>3.3426345418798603E-2</v>
      </c>
      <c r="D2024" s="1">
        <v>3.4341015018125302E-2</v>
      </c>
      <c r="E2024" s="1">
        <v>2.65716467294476E-2</v>
      </c>
      <c r="F2024" s="1">
        <v>3.3144933707487702E-2</v>
      </c>
    </row>
    <row r="2025" spans="1:6" x14ac:dyDescent="0.25">
      <c r="A2025" s="2" t="str">
        <f t="shared" si="72"/>
        <v>19780</v>
      </c>
      <c r="B2025" s="2" t="str">
        <f>"50009"</f>
        <v>50009</v>
      </c>
      <c r="C2025" s="1">
        <v>2.8166176165296899E-2</v>
      </c>
      <c r="D2025" s="1">
        <v>2.0811755567063599E-2</v>
      </c>
      <c r="E2025" s="1">
        <v>1.1860524306439199E-2</v>
      </c>
      <c r="F2025" s="1">
        <v>2.6718011515563401E-2</v>
      </c>
    </row>
    <row r="2026" spans="1:6" x14ac:dyDescent="0.25">
      <c r="A2026" s="2" t="str">
        <f t="shared" si="72"/>
        <v>19780</v>
      </c>
      <c r="B2026" s="2" t="str">
        <f>"50124"</f>
        <v>50124</v>
      </c>
      <c r="C2026" s="1">
        <v>7.6322827241753999E-5</v>
      </c>
      <c r="D2026" s="1">
        <v>0</v>
      </c>
      <c r="E2026" s="1">
        <v>0</v>
      </c>
      <c r="F2026" s="1">
        <v>6.6120598682348702E-5</v>
      </c>
    </row>
    <row r="2027" spans="1:6" x14ac:dyDescent="0.25">
      <c r="A2027" s="2" t="str">
        <f t="shared" si="72"/>
        <v>19780</v>
      </c>
      <c r="B2027" s="2" t="str">
        <f>"50118"</f>
        <v>50118</v>
      </c>
      <c r="C2027" s="1">
        <v>1.1356836693573E-3</v>
      </c>
      <c r="D2027" s="1">
        <v>2.26566545831175E-4</v>
      </c>
      <c r="E2027" s="1">
        <v>5.0903537795876798E-5</v>
      </c>
      <c r="F2027" s="1">
        <v>1.0050330999717E-3</v>
      </c>
    </row>
    <row r="2028" spans="1:6" x14ac:dyDescent="0.25">
      <c r="A2028" s="2" t="str">
        <f t="shared" si="72"/>
        <v>19780</v>
      </c>
      <c r="B2028" s="2" t="str">
        <f>"50115"</f>
        <v>50115</v>
      </c>
      <c r="C2028" s="1">
        <v>4.09395645324768E-3</v>
      </c>
      <c r="D2028" s="1">
        <v>4.9844640082858599E-3</v>
      </c>
      <c r="E2028" s="1">
        <v>2.5451768897938399E-3</v>
      </c>
      <c r="F2028" s="1">
        <v>4.0862529985691504E-3</v>
      </c>
    </row>
    <row r="2029" spans="1:6" x14ac:dyDescent="0.25">
      <c r="A2029" s="2" t="str">
        <f t="shared" si="72"/>
        <v>19780</v>
      </c>
      <c r="B2029" s="2" t="str">
        <f>"50112"</f>
        <v>50112</v>
      </c>
      <c r="C2029" s="1">
        <v>1.166212800254E-3</v>
      </c>
      <c r="D2029" s="1">
        <v>1.6183324702226799E-4</v>
      </c>
      <c r="E2029" s="1">
        <v>5.0903537795876804E-4</v>
      </c>
      <c r="F2029" s="1">
        <v>1.0499951070756901E-3</v>
      </c>
    </row>
    <row r="2030" spans="1:6" x14ac:dyDescent="0.25">
      <c r="A2030" s="2" t="str">
        <f t="shared" si="72"/>
        <v>19780</v>
      </c>
      <c r="B2030" s="2" t="str">
        <f>"50111"</f>
        <v>50111</v>
      </c>
      <c r="C2030" s="1">
        <v>2.3244880264748601E-2</v>
      </c>
      <c r="D2030" s="1">
        <v>2.32716209218021E-2</v>
      </c>
      <c r="E2030" s="1">
        <v>1.78671417663527E-2</v>
      </c>
      <c r="F2030" s="1">
        <v>2.29676511583006E-2</v>
      </c>
    </row>
    <row r="2031" spans="1:6" x14ac:dyDescent="0.25">
      <c r="A2031" s="2" t="str">
        <f t="shared" si="72"/>
        <v>19780</v>
      </c>
      <c r="B2031" s="2" t="str">
        <f>"50072"</f>
        <v>50072</v>
      </c>
      <c r="C2031" s="1">
        <v>3.7611889264736399E-3</v>
      </c>
      <c r="D2031" s="1">
        <v>7.1206628689798001E-4</v>
      </c>
      <c r="E2031" s="1">
        <v>1.1198778315092801E-3</v>
      </c>
      <c r="F2031" s="1">
        <v>3.3747953567470701E-3</v>
      </c>
    </row>
    <row r="2032" spans="1:6" x14ac:dyDescent="0.25">
      <c r="A2032" s="2" t="str">
        <f t="shared" si="72"/>
        <v>19780</v>
      </c>
      <c r="B2032" s="2" t="str">
        <f>"50318"</f>
        <v>50318</v>
      </c>
      <c r="C2032" s="1">
        <v>2.0149226391822999E-4</v>
      </c>
      <c r="D2032" s="1">
        <v>9.7099948213360897E-5</v>
      </c>
      <c r="E2032" s="1">
        <v>1.01807075591753E-4</v>
      </c>
      <c r="F2032" s="1">
        <v>1.8778250025787001E-4</v>
      </c>
    </row>
    <row r="2033" spans="1:6" x14ac:dyDescent="0.25">
      <c r="A2033" s="2" t="str">
        <f t="shared" si="72"/>
        <v>19780</v>
      </c>
      <c r="B2033" s="2" t="str">
        <f>"50315"</f>
        <v>50315</v>
      </c>
      <c r="C2033" s="1">
        <v>5.3132899412619498E-2</v>
      </c>
      <c r="D2033" s="1">
        <v>2.8094251683065698E-2</v>
      </c>
      <c r="E2033" s="1">
        <v>2.1888521252227001E-2</v>
      </c>
      <c r="F2033" s="1">
        <v>4.9463497462291402E-2</v>
      </c>
    </row>
    <row r="2034" spans="1:6" x14ac:dyDescent="0.25">
      <c r="A2034" s="2" t="str">
        <f t="shared" si="72"/>
        <v>19780</v>
      </c>
      <c r="B2034" s="2" t="str">
        <f>"50303"</f>
        <v>50303</v>
      </c>
      <c r="C2034" s="1">
        <v>1.3127526285581701E-4</v>
      </c>
      <c r="D2034" s="1">
        <v>2.5245986535473801E-3</v>
      </c>
      <c r="E2034" s="1">
        <v>1.01807075591753E-4</v>
      </c>
      <c r="F2034" s="1">
        <v>3.2531334551715501E-4</v>
      </c>
    </row>
    <row r="2035" spans="1:6" x14ac:dyDescent="0.25">
      <c r="A2035" s="2" t="str">
        <f t="shared" si="72"/>
        <v>19780</v>
      </c>
      <c r="B2035" s="2" t="str">
        <f>"50265"</f>
        <v>50265</v>
      </c>
      <c r="C2035" s="1">
        <v>4.7503327675267701E-2</v>
      </c>
      <c r="D2035" s="1">
        <v>4.9909373381667503E-2</v>
      </c>
      <c r="E2035" s="1">
        <v>3.9653855942988002E-2</v>
      </c>
      <c r="F2035" s="1">
        <v>4.7292097001562998E-2</v>
      </c>
    </row>
    <row r="2036" spans="1:6" x14ac:dyDescent="0.25">
      <c r="A2036" s="2" t="str">
        <f t="shared" si="72"/>
        <v>19780</v>
      </c>
      <c r="B2036" s="2" t="str">
        <f>"50033"</f>
        <v>50033</v>
      </c>
      <c r="C2036" s="1">
        <v>1.03799045048785E-4</v>
      </c>
      <c r="D2036" s="1">
        <v>1.6183324702226799E-4</v>
      </c>
      <c r="E2036" s="1">
        <v>1.01807075591753E-4</v>
      </c>
      <c r="F2036" s="1">
        <v>1.08437781839051E-4</v>
      </c>
    </row>
    <row r="2037" spans="1:6" x14ac:dyDescent="0.25">
      <c r="A2037" s="2" t="str">
        <f t="shared" si="72"/>
        <v>19780</v>
      </c>
      <c r="B2037" s="2" t="str">
        <f>"50061"</f>
        <v>50061</v>
      </c>
      <c r="C2037" s="1">
        <v>2.5125474727985399E-3</v>
      </c>
      <c r="D2037" s="1">
        <v>7.1206628689798001E-4</v>
      </c>
      <c r="E2037" s="1">
        <v>5.0903537795876798E-5</v>
      </c>
      <c r="F2037" s="1">
        <v>2.2375210594106801E-3</v>
      </c>
    </row>
    <row r="2038" spans="1:6" x14ac:dyDescent="0.25">
      <c r="A2038" s="2" t="str">
        <f t="shared" si="72"/>
        <v>19780</v>
      </c>
      <c r="B2038" s="2" t="str">
        <f>"50026"</f>
        <v>50026</v>
      </c>
      <c r="C2038" s="1">
        <v>6.9301127135512695E-4</v>
      </c>
      <c r="D2038" s="1">
        <v>2.26566545831175E-4</v>
      </c>
      <c r="E2038" s="1">
        <v>1.5271061338762999E-4</v>
      </c>
      <c r="F2038" s="1">
        <v>6.2682327550866502E-4</v>
      </c>
    </row>
    <row r="2039" spans="1:6" x14ac:dyDescent="0.25">
      <c r="A2039" s="2" t="str">
        <f t="shared" si="72"/>
        <v>19780</v>
      </c>
      <c r="B2039" s="2" t="str">
        <f>"50213"</f>
        <v>50213</v>
      </c>
      <c r="C2039" s="1">
        <v>9.1587392690104805E-6</v>
      </c>
      <c r="D2039" s="1">
        <v>0</v>
      </c>
      <c r="E2039" s="1">
        <v>0</v>
      </c>
      <c r="F2039" s="1">
        <v>7.9344718418818407E-6</v>
      </c>
    </row>
    <row r="2040" spans="1:6" x14ac:dyDescent="0.25">
      <c r="A2040" s="2" t="str">
        <f t="shared" si="72"/>
        <v>19780</v>
      </c>
      <c r="B2040" s="2" t="str">
        <f>"50237"</f>
        <v>50237</v>
      </c>
      <c r="C2040" s="1">
        <v>3.6360194897971602E-3</v>
      </c>
      <c r="D2040" s="1">
        <v>4.2076644225789701E-4</v>
      </c>
      <c r="E2040" s="1">
        <v>3.5632476457113702E-4</v>
      </c>
      <c r="F2040" s="1">
        <v>3.2028818001729699E-3</v>
      </c>
    </row>
    <row r="2041" spans="1:6" x14ac:dyDescent="0.25">
      <c r="A2041" s="2" t="str">
        <f t="shared" si="72"/>
        <v>19780</v>
      </c>
      <c r="B2041" s="2" t="str">
        <f>"50222"</f>
        <v>50222</v>
      </c>
      <c r="C2041" s="1">
        <v>7.41857880789849E-4</v>
      </c>
      <c r="D2041" s="1">
        <v>3.2366649404453601E-5</v>
      </c>
      <c r="E2041" s="1">
        <v>1.5271061338762999E-4</v>
      </c>
      <c r="F2041" s="1">
        <v>6.5327151498160497E-4</v>
      </c>
    </row>
    <row r="2042" spans="1:6" x14ac:dyDescent="0.25">
      <c r="A2042" s="2" t="str">
        <f t="shared" si="72"/>
        <v>19780</v>
      </c>
      <c r="B2042" s="2" t="str">
        <f>"50146"</f>
        <v>50146</v>
      </c>
      <c r="C2042" s="1">
        <v>6.6858796663776495E-4</v>
      </c>
      <c r="D2042" s="1">
        <v>1.6183324702226799E-4</v>
      </c>
      <c r="E2042" s="1">
        <v>1.01807075591753E-4</v>
      </c>
      <c r="F2042" s="1">
        <v>5.9773021208843198E-4</v>
      </c>
    </row>
    <row r="2043" spans="1:6" x14ac:dyDescent="0.25">
      <c r="A2043" s="2" t="str">
        <f t="shared" si="72"/>
        <v>19780</v>
      </c>
      <c r="B2043" s="2" t="str">
        <f>"50128"</f>
        <v>50128</v>
      </c>
      <c r="C2043" s="1">
        <v>4.9151900743689598E-4</v>
      </c>
      <c r="D2043" s="1">
        <v>1.6183324702226799E-4</v>
      </c>
      <c r="E2043" s="1">
        <v>2.5451768897938402E-4</v>
      </c>
      <c r="F2043" s="1">
        <v>4.5226489498726498E-4</v>
      </c>
    </row>
    <row r="2044" spans="1:6" x14ac:dyDescent="0.25">
      <c r="A2044" s="2" t="str">
        <f t="shared" si="72"/>
        <v>19780</v>
      </c>
      <c r="B2044" s="2" t="str">
        <f>"50160"</f>
        <v>50160</v>
      </c>
      <c r="C2044" s="1">
        <v>5.8921222630634105E-4</v>
      </c>
      <c r="D2044" s="1">
        <v>3.2366649404453601E-5</v>
      </c>
      <c r="E2044" s="1">
        <v>6.6174599134639803E-4</v>
      </c>
      <c r="F2044" s="1">
        <v>5.4747855708984702E-4</v>
      </c>
    </row>
    <row r="2045" spans="1:6" x14ac:dyDescent="0.25">
      <c r="A2045" s="2" t="str">
        <f t="shared" si="72"/>
        <v>19780</v>
      </c>
      <c r="B2045" s="2" t="str">
        <f>"50166"</f>
        <v>50166</v>
      </c>
      <c r="C2045" s="1">
        <v>2.08819255333439E-3</v>
      </c>
      <c r="D2045" s="1">
        <v>3.2366649404453601E-5</v>
      </c>
      <c r="E2045" s="1">
        <v>3.5632476457113702E-4</v>
      </c>
      <c r="F2045" s="1">
        <v>1.8302181715274101E-3</v>
      </c>
    </row>
    <row r="2046" spans="1:6" x14ac:dyDescent="0.25">
      <c r="A2046" s="2" t="str">
        <f t="shared" si="72"/>
        <v>19780</v>
      </c>
      <c r="B2046" s="2" t="str">
        <f>"50003"</f>
        <v>50003</v>
      </c>
      <c r="C2046" s="1">
        <v>1.21170120529008E-2</v>
      </c>
      <c r="D2046" s="1">
        <v>9.3863283272915508E-3</v>
      </c>
      <c r="E2046" s="1">
        <v>5.2430643929753098E-3</v>
      </c>
      <c r="F2046" s="1">
        <v>1.1536722058096201E-2</v>
      </c>
    </row>
    <row r="2047" spans="1:6" x14ac:dyDescent="0.25">
      <c r="A2047" s="2" t="str">
        <f t="shared" si="72"/>
        <v>19780</v>
      </c>
      <c r="B2047" s="2" t="str">
        <f>"50109"</f>
        <v>50109</v>
      </c>
      <c r="C2047" s="1">
        <v>4.3534540658696497E-3</v>
      </c>
      <c r="D2047" s="1">
        <v>1.0033661315380601E-3</v>
      </c>
      <c r="E2047" s="1">
        <v>1.32349198269279E-3</v>
      </c>
      <c r="F2047" s="1">
        <v>3.9222739138369198E-3</v>
      </c>
    </row>
    <row r="2048" spans="1:6" x14ac:dyDescent="0.25">
      <c r="A2048" s="2" t="str">
        <f t="shared" si="72"/>
        <v>19780</v>
      </c>
      <c r="B2048" s="2" t="str">
        <f>"50858"</f>
        <v>50858</v>
      </c>
      <c r="C2048" s="1">
        <v>6.1058261793403203E-6</v>
      </c>
      <c r="D2048" s="1">
        <v>0</v>
      </c>
      <c r="E2048" s="1">
        <v>0</v>
      </c>
      <c r="F2048" s="1">
        <v>5.2896478945878896E-6</v>
      </c>
    </row>
    <row r="2049" spans="1:6" x14ac:dyDescent="0.25">
      <c r="A2049" s="2" t="str">
        <f t="shared" si="72"/>
        <v>19780</v>
      </c>
      <c r="B2049" s="2" t="str">
        <f>"50392"</f>
        <v>50392</v>
      </c>
      <c r="C2049" s="1">
        <v>0</v>
      </c>
      <c r="D2049" s="1">
        <v>1.9419989642672101E-4</v>
      </c>
      <c r="E2049" s="1">
        <v>0</v>
      </c>
      <c r="F2049" s="1">
        <v>1.58689436837636E-5</v>
      </c>
    </row>
    <row r="2050" spans="1:6" x14ac:dyDescent="0.25">
      <c r="A2050" s="2" t="str">
        <f t="shared" si="72"/>
        <v>19780</v>
      </c>
      <c r="B2050" s="2" t="str">
        <f>"50319"</f>
        <v>50319</v>
      </c>
      <c r="C2050" s="1">
        <v>0</v>
      </c>
      <c r="D2050" s="1">
        <v>4.7902641118591398E-3</v>
      </c>
      <c r="E2050" s="1">
        <v>1.2725884448969199E-3</v>
      </c>
      <c r="F2050" s="1">
        <v>4.5755454288185301E-4</v>
      </c>
    </row>
    <row r="2051" spans="1:6" x14ac:dyDescent="0.25">
      <c r="A2051" s="2" t="str">
        <f t="shared" ref="A2051:A2082" si="73">"19780"</f>
        <v>19780</v>
      </c>
      <c r="B2051" s="2" t="str">
        <f>"50311"</f>
        <v>50311</v>
      </c>
      <c r="C2051" s="1">
        <v>2.1077311971082799E-2</v>
      </c>
      <c r="D2051" s="1">
        <v>1.24287933713102E-2</v>
      </c>
      <c r="E2051" s="1">
        <v>3.7312293204377699E-2</v>
      </c>
      <c r="F2051" s="1">
        <v>2.1214132881244699E-2</v>
      </c>
    </row>
    <row r="2052" spans="1:6" x14ac:dyDescent="0.25">
      <c r="A2052" s="2" t="str">
        <f t="shared" si="73"/>
        <v>19780</v>
      </c>
      <c r="B2052" s="2" t="str">
        <f>"50310"</f>
        <v>50310</v>
      </c>
      <c r="C2052" s="1">
        <v>4.4899192809778998E-2</v>
      </c>
      <c r="D2052" s="1">
        <v>3.3887881926462901E-2</v>
      </c>
      <c r="E2052" s="1">
        <v>1.8783405446678499E-2</v>
      </c>
      <c r="F2052" s="1">
        <v>4.2642496502220302E-2</v>
      </c>
    </row>
    <row r="2053" spans="1:6" x14ac:dyDescent="0.25">
      <c r="A2053" s="2" t="str">
        <f t="shared" si="73"/>
        <v>19780</v>
      </c>
      <c r="B2053" s="2" t="str">
        <f>"50032"</f>
        <v>50032</v>
      </c>
      <c r="C2053" s="1">
        <v>6.2584718338238297E-4</v>
      </c>
      <c r="D2053" s="1">
        <v>0</v>
      </c>
      <c r="E2053" s="1">
        <v>1.5271061338762999E-4</v>
      </c>
      <c r="F2053" s="1">
        <v>5.5012338103714099E-4</v>
      </c>
    </row>
    <row r="2054" spans="1:6" x14ac:dyDescent="0.25">
      <c r="A2054" s="2" t="str">
        <f t="shared" si="73"/>
        <v>19780</v>
      </c>
      <c r="B2054" s="2" t="str">
        <f>"50234"</f>
        <v>50234</v>
      </c>
      <c r="C2054" s="1">
        <v>7.0217001062413702E-5</v>
      </c>
      <c r="D2054" s="1">
        <v>0</v>
      </c>
      <c r="E2054" s="1">
        <v>0</v>
      </c>
      <c r="F2054" s="1">
        <v>6.0830950787760798E-5</v>
      </c>
    </row>
    <row r="2055" spans="1:6" x14ac:dyDescent="0.25">
      <c r="A2055" s="2" t="str">
        <f t="shared" si="73"/>
        <v>19780</v>
      </c>
      <c r="B2055" s="2" t="str">
        <f>"50228"</f>
        <v>50228</v>
      </c>
      <c r="C2055" s="1">
        <v>3.2482995274090501E-3</v>
      </c>
      <c r="D2055" s="1">
        <v>6.1496633868461897E-4</v>
      </c>
      <c r="E2055" s="1">
        <v>2.5451768897938399E-3</v>
      </c>
      <c r="F2055" s="1">
        <v>2.9965855322840402E-3</v>
      </c>
    </row>
    <row r="2056" spans="1:6" x14ac:dyDescent="0.25">
      <c r="A2056" s="2" t="str">
        <f t="shared" si="73"/>
        <v>19780</v>
      </c>
      <c r="B2056" s="2" t="str">
        <f>"50169"</f>
        <v>50169</v>
      </c>
      <c r="C2056" s="1">
        <v>3.53832627092771E-3</v>
      </c>
      <c r="D2056" s="1">
        <v>5.1786639047125805E-4</v>
      </c>
      <c r="E2056" s="1">
        <v>2.08704504963094E-3</v>
      </c>
      <c r="F2056" s="1">
        <v>3.2161059199094402E-3</v>
      </c>
    </row>
    <row r="2057" spans="1:6" x14ac:dyDescent="0.25">
      <c r="A2057" s="2" t="str">
        <f t="shared" si="73"/>
        <v>19780</v>
      </c>
      <c r="B2057" s="2" t="str">
        <f>"50168"</f>
        <v>50168</v>
      </c>
      <c r="C2057" s="1">
        <v>1.2516943667647601E-3</v>
      </c>
      <c r="D2057" s="1">
        <v>6.4733298808907297E-5</v>
      </c>
      <c r="E2057" s="1">
        <v>3.5632476457113702E-4</v>
      </c>
      <c r="F2057" s="1">
        <v>1.1081812339161601E-3</v>
      </c>
    </row>
    <row r="2058" spans="1:6" x14ac:dyDescent="0.25">
      <c r="A2058" s="2" t="str">
        <f t="shared" si="73"/>
        <v>19780</v>
      </c>
      <c r="B2058" s="2" t="str">
        <f>"50323"</f>
        <v>50323</v>
      </c>
      <c r="C2058" s="1">
        <v>2.08056027061021E-2</v>
      </c>
      <c r="D2058" s="1">
        <v>2.0649922320041401E-2</v>
      </c>
      <c r="E2058" s="1">
        <v>2.08704504963094E-3</v>
      </c>
      <c r="F2058" s="1">
        <v>1.9820310661020801E-2</v>
      </c>
    </row>
    <row r="2059" spans="1:6" x14ac:dyDescent="0.25">
      <c r="A2059" s="2" t="str">
        <f t="shared" si="73"/>
        <v>19780</v>
      </c>
      <c r="B2059" s="2" t="str">
        <f>"50048"</f>
        <v>50048</v>
      </c>
      <c r="C2059" s="1">
        <v>1.0898899730122399E-3</v>
      </c>
      <c r="D2059" s="1">
        <v>1.6183324702226799E-4</v>
      </c>
      <c r="E2059" s="1">
        <v>2.5451768897938402E-4</v>
      </c>
      <c r="F2059" s="1">
        <v>9.7065038865687902E-4</v>
      </c>
    </row>
    <row r="2060" spans="1:6" x14ac:dyDescent="0.25">
      <c r="A2060" s="2" t="str">
        <f t="shared" si="73"/>
        <v>19780</v>
      </c>
      <c r="B2060" s="2" t="str">
        <f>"50029"</f>
        <v>50029</v>
      </c>
      <c r="C2060" s="1">
        <v>1.11736619081927E-3</v>
      </c>
      <c r="D2060" s="1">
        <v>5.8259968928016501E-4</v>
      </c>
      <c r="E2060" s="1">
        <v>6.1084245355052104E-4</v>
      </c>
      <c r="F2060" s="1">
        <v>1.0473502831283999E-3</v>
      </c>
    </row>
    <row r="2061" spans="1:6" x14ac:dyDescent="0.25">
      <c r="A2061" s="2" t="str">
        <f t="shared" si="73"/>
        <v>19780</v>
      </c>
      <c r="B2061" s="2" t="str">
        <f>"50250"</f>
        <v>50250</v>
      </c>
      <c r="C2061" s="1">
        <v>2.2591556863559201E-3</v>
      </c>
      <c r="D2061" s="1">
        <v>7.44432936302433E-4</v>
      </c>
      <c r="E2061" s="1">
        <v>1.73072028505981E-3</v>
      </c>
      <c r="F2061" s="1">
        <v>2.1079246859932702E-3</v>
      </c>
    </row>
    <row r="2062" spans="1:6" x14ac:dyDescent="0.25">
      <c r="A2062" s="2" t="str">
        <f t="shared" si="73"/>
        <v>19780</v>
      </c>
      <c r="B2062" s="2" t="str">
        <f>"50240"</f>
        <v>50240</v>
      </c>
      <c r="C2062" s="1">
        <v>3.1597650478086101E-3</v>
      </c>
      <c r="D2062" s="1">
        <v>9.7099948213360903E-4</v>
      </c>
      <c r="E2062" s="1">
        <v>4.5813184016289099E-4</v>
      </c>
      <c r="F2062" s="1">
        <v>2.8405409193937E-3</v>
      </c>
    </row>
    <row r="2063" spans="1:6" x14ac:dyDescent="0.25">
      <c r="A2063" s="2" t="str">
        <f t="shared" si="73"/>
        <v>19780</v>
      </c>
      <c r="B2063" s="2" t="str">
        <f>"50145"</f>
        <v>50145</v>
      </c>
      <c r="C2063" s="1">
        <v>1.6485730684218799E-4</v>
      </c>
      <c r="D2063" s="1">
        <v>3.2366649404453601E-5</v>
      </c>
      <c r="E2063" s="1">
        <v>0</v>
      </c>
      <c r="F2063" s="1">
        <v>1.45465317101167E-4</v>
      </c>
    </row>
    <row r="2064" spans="1:6" x14ac:dyDescent="0.25">
      <c r="A2064" s="2" t="str">
        <f t="shared" si="73"/>
        <v>19780</v>
      </c>
      <c r="B2064" s="2" t="str">
        <f>"50208"</f>
        <v>50208</v>
      </c>
      <c r="C2064" s="1">
        <v>2.9481981706944702E-2</v>
      </c>
      <c r="D2064" s="1">
        <v>2.40160538581046E-2</v>
      </c>
      <c r="E2064" s="1">
        <v>2.34156273861033E-2</v>
      </c>
      <c r="F2064" s="1">
        <v>2.8720143243664901E-2</v>
      </c>
    </row>
    <row r="2065" spans="1:6" x14ac:dyDescent="0.25">
      <c r="A2065" s="2" t="str">
        <f t="shared" si="73"/>
        <v>19780</v>
      </c>
      <c r="B2065" s="2" t="str">
        <f>"50167"</f>
        <v>50167</v>
      </c>
      <c r="C2065" s="1">
        <v>1.07767832065356E-3</v>
      </c>
      <c r="D2065" s="1">
        <v>9.7099948213360897E-5</v>
      </c>
      <c r="E2065" s="1">
        <v>1.5271061338762999E-4</v>
      </c>
      <c r="F2065" s="1">
        <v>9.49491797078527E-4</v>
      </c>
    </row>
    <row r="2066" spans="1:6" x14ac:dyDescent="0.25">
      <c r="A2066" s="2" t="str">
        <f t="shared" si="73"/>
        <v>19780</v>
      </c>
      <c r="B2066" s="2" t="str">
        <f>"50076"</f>
        <v>50076</v>
      </c>
      <c r="C2066" s="1">
        <v>6.1058261793403203E-6</v>
      </c>
      <c r="D2066" s="1">
        <v>0</v>
      </c>
      <c r="E2066" s="1">
        <v>0</v>
      </c>
      <c r="F2066" s="1">
        <v>5.2896478945878896E-6</v>
      </c>
    </row>
    <row r="2067" spans="1:6" x14ac:dyDescent="0.25">
      <c r="A2067" s="2" t="str">
        <f t="shared" si="73"/>
        <v>19780</v>
      </c>
      <c r="B2067" s="2" t="str">
        <f>"50106"</f>
        <v>50106</v>
      </c>
      <c r="C2067" s="1">
        <v>1.2516943667647599E-4</v>
      </c>
      <c r="D2067" s="1">
        <v>0</v>
      </c>
      <c r="E2067" s="1">
        <v>0</v>
      </c>
      <c r="F2067" s="1">
        <v>1.08437781839051E-4</v>
      </c>
    </row>
    <row r="2068" spans="1:6" x14ac:dyDescent="0.25">
      <c r="A2068" s="2" t="str">
        <f t="shared" si="73"/>
        <v>19780</v>
      </c>
      <c r="B2068" s="2" t="str">
        <f>"50073"</f>
        <v>50073</v>
      </c>
      <c r="C2068" s="1">
        <v>2.7689921723308298E-3</v>
      </c>
      <c r="D2068" s="1">
        <v>3.5603314344899E-4</v>
      </c>
      <c r="E2068" s="1">
        <v>1.01807075591753E-3</v>
      </c>
      <c r="F2068" s="1">
        <v>2.4808448625617198E-3</v>
      </c>
    </row>
    <row r="2069" spans="1:6" x14ac:dyDescent="0.25">
      <c r="A2069" s="2" t="str">
        <f t="shared" si="73"/>
        <v>19780</v>
      </c>
      <c r="B2069" s="2" t="str">
        <f>"50362"</f>
        <v>50362</v>
      </c>
      <c r="C2069" s="1">
        <v>0</v>
      </c>
      <c r="D2069" s="1">
        <v>0</v>
      </c>
      <c r="E2069" s="1">
        <v>1.01807075591753E-4</v>
      </c>
      <c r="F2069" s="1">
        <v>5.2896478945878896E-6</v>
      </c>
    </row>
    <row r="2070" spans="1:6" x14ac:dyDescent="0.25">
      <c r="A2070" s="2" t="str">
        <f t="shared" si="73"/>
        <v>19780</v>
      </c>
      <c r="B2070" s="2" t="str">
        <f>"50361"</f>
        <v>50361</v>
      </c>
      <c r="C2070" s="1">
        <v>0</v>
      </c>
      <c r="D2070" s="1">
        <v>3.2366649404453601E-5</v>
      </c>
      <c r="E2070" s="1">
        <v>0</v>
      </c>
      <c r="F2070" s="1">
        <v>2.6448239472939401E-6</v>
      </c>
    </row>
    <row r="2071" spans="1:6" x14ac:dyDescent="0.25">
      <c r="A2071" s="2" t="str">
        <f t="shared" si="73"/>
        <v>19780</v>
      </c>
      <c r="B2071" s="2" t="str">
        <f>"50398"</f>
        <v>50398</v>
      </c>
      <c r="C2071" s="1">
        <v>0</v>
      </c>
      <c r="D2071" s="1">
        <v>6.4733298808907297E-5</v>
      </c>
      <c r="E2071" s="1">
        <v>0</v>
      </c>
      <c r="F2071" s="1">
        <v>5.2896478945878896E-6</v>
      </c>
    </row>
    <row r="2072" spans="1:6" x14ac:dyDescent="0.25">
      <c r="A2072" s="2" t="str">
        <f t="shared" si="73"/>
        <v>19780</v>
      </c>
      <c r="B2072" s="2" t="str">
        <f>"50364"</f>
        <v>50364</v>
      </c>
      <c r="C2072" s="1">
        <v>0</v>
      </c>
      <c r="D2072" s="1">
        <v>0</v>
      </c>
      <c r="E2072" s="1">
        <v>1.01807075591753E-4</v>
      </c>
      <c r="F2072" s="1">
        <v>5.2896478945878896E-6</v>
      </c>
    </row>
    <row r="2073" spans="1:6" x14ac:dyDescent="0.25">
      <c r="A2073" s="2" t="str">
        <f t="shared" si="73"/>
        <v>19780</v>
      </c>
      <c r="B2073" s="2" t="str">
        <f>"50320"</f>
        <v>50320</v>
      </c>
      <c r="C2073" s="1">
        <v>2.7406000805969E-2</v>
      </c>
      <c r="D2073" s="1">
        <v>1.05191610564474E-2</v>
      </c>
      <c r="E2073" s="1">
        <v>9.9261898701959693E-3</v>
      </c>
      <c r="F2073" s="1">
        <v>2.51178930274506E-2</v>
      </c>
    </row>
    <row r="2074" spans="1:6" x14ac:dyDescent="0.25">
      <c r="A2074" s="2" t="str">
        <f t="shared" si="73"/>
        <v>19780</v>
      </c>
      <c r="B2074" s="2" t="str">
        <f>"50277"</f>
        <v>50277</v>
      </c>
      <c r="C2074" s="1">
        <v>6.9911709753446702E-4</v>
      </c>
      <c r="D2074" s="1">
        <v>2.26566545831175E-4</v>
      </c>
      <c r="E2074" s="1">
        <v>3.5632476457113702E-4</v>
      </c>
      <c r="F2074" s="1">
        <v>6.4269221919242901E-4</v>
      </c>
    </row>
    <row r="2075" spans="1:6" x14ac:dyDescent="0.25">
      <c r="A2075" s="2" t="str">
        <f t="shared" si="73"/>
        <v>19780</v>
      </c>
      <c r="B2075" s="2" t="str">
        <f>"50039"</f>
        <v>50039</v>
      </c>
      <c r="C2075" s="1">
        <v>5.3120687760260799E-4</v>
      </c>
      <c r="D2075" s="1">
        <v>2.26566545831175E-4</v>
      </c>
      <c r="E2075" s="1">
        <v>5.0903537795876798E-5</v>
      </c>
      <c r="F2075" s="1">
        <v>4.8135795840749802E-4</v>
      </c>
    </row>
    <row r="2076" spans="1:6" x14ac:dyDescent="0.25">
      <c r="A2076" s="2" t="str">
        <f t="shared" si="73"/>
        <v>19780</v>
      </c>
      <c r="B2076" s="2" t="str">
        <f>"50047"</f>
        <v>50047</v>
      </c>
      <c r="C2076" s="1">
        <v>7.7513463346725398E-3</v>
      </c>
      <c r="D2076" s="1">
        <v>2.84826514759192E-3</v>
      </c>
      <c r="E2076" s="1">
        <v>3.6141511835072501E-3</v>
      </c>
      <c r="F2076" s="1">
        <v>7.1357350097990702E-3</v>
      </c>
    </row>
    <row r="2077" spans="1:6" x14ac:dyDescent="0.25">
      <c r="A2077" s="2" t="str">
        <f t="shared" si="73"/>
        <v>19780</v>
      </c>
      <c r="B2077" s="2" t="str">
        <f>"50020"</f>
        <v>50020</v>
      </c>
      <c r="C2077" s="1">
        <v>9.1587392690104805E-6</v>
      </c>
      <c r="D2077" s="1">
        <v>0</v>
      </c>
      <c r="E2077" s="1">
        <v>0</v>
      </c>
      <c r="F2077" s="1">
        <v>7.9344718418818407E-6</v>
      </c>
    </row>
    <row r="2078" spans="1:6" x14ac:dyDescent="0.25">
      <c r="A2078" s="2" t="str">
        <f t="shared" si="73"/>
        <v>19780</v>
      </c>
      <c r="B2078" s="2" t="str">
        <f>"50241"</f>
        <v>50241</v>
      </c>
      <c r="C2078" s="1">
        <v>1.5875148066284801E-4</v>
      </c>
      <c r="D2078" s="1">
        <v>3.2366649404453598E-4</v>
      </c>
      <c r="E2078" s="1">
        <v>0</v>
      </c>
      <c r="F2078" s="1">
        <v>1.63979084732224E-4</v>
      </c>
    </row>
    <row r="2079" spans="1:6" x14ac:dyDescent="0.25">
      <c r="A2079" s="2" t="str">
        <f t="shared" si="73"/>
        <v>19780</v>
      </c>
      <c r="B2079" s="2" t="str">
        <f>"50232"</f>
        <v>50232</v>
      </c>
      <c r="C2079" s="1">
        <v>7.0217001062413699E-4</v>
      </c>
      <c r="D2079" s="1">
        <v>1.6183324702226799E-4</v>
      </c>
      <c r="E2079" s="1">
        <v>0</v>
      </c>
      <c r="F2079" s="1">
        <v>6.2153362761407699E-4</v>
      </c>
    </row>
    <row r="2080" spans="1:6" x14ac:dyDescent="0.25">
      <c r="A2080" s="2" t="str">
        <f t="shared" si="73"/>
        <v>19780</v>
      </c>
      <c r="B2080" s="2" t="str">
        <f>"50263"</f>
        <v>50263</v>
      </c>
      <c r="C2080" s="1">
        <v>3.6149543894784399E-2</v>
      </c>
      <c r="D2080" s="1">
        <v>2.3983687208700099E-2</v>
      </c>
      <c r="E2080" s="1">
        <v>1.36930516670908E-2</v>
      </c>
      <c r="F2080" s="1">
        <v>3.3988632546674502E-2</v>
      </c>
    </row>
    <row r="2081" spans="1:6" x14ac:dyDescent="0.25">
      <c r="A2081" s="2" t="str">
        <f t="shared" si="73"/>
        <v>19780</v>
      </c>
      <c r="B2081" s="2" t="str">
        <f>"50162"</f>
        <v>50162</v>
      </c>
      <c r="C2081" s="1">
        <v>1.83174785380209E-5</v>
      </c>
      <c r="D2081" s="1">
        <v>3.2366649404453601E-5</v>
      </c>
      <c r="E2081" s="1">
        <v>0</v>
      </c>
      <c r="F2081" s="1">
        <v>1.85137676310576E-5</v>
      </c>
    </row>
    <row r="2082" spans="1:6" x14ac:dyDescent="0.25">
      <c r="A2082" s="2" t="str">
        <f t="shared" si="73"/>
        <v>19780</v>
      </c>
      <c r="B2082" s="2" t="str">
        <f>"50007"</f>
        <v>50007</v>
      </c>
      <c r="C2082" s="1">
        <v>6.1058261793403199E-4</v>
      </c>
      <c r="D2082" s="1">
        <v>1.6183324702226799E-4</v>
      </c>
      <c r="E2082" s="1">
        <v>0</v>
      </c>
      <c r="F2082" s="1">
        <v>5.4218890919525899E-4</v>
      </c>
    </row>
    <row r="2083" spans="1:6" x14ac:dyDescent="0.25">
      <c r="A2083" s="2" t="str">
        <f t="shared" ref="A2083:A2114" si="74">"19780"</f>
        <v>19780</v>
      </c>
      <c r="B2083" s="2" t="str">
        <f>"50069"</f>
        <v>50069</v>
      </c>
      <c r="C2083" s="1">
        <v>1.3615992379928899E-3</v>
      </c>
      <c r="D2083" s="1">
        <v>7.44432936302433E-4</v>
      </c>
      <c r="E2083" s="1">
        <v>4.5813184016289099E-4</v>
      </c>
      <c r="F2083" s="1">
        <v>1.2642258468065E-3</v>
      </c>
    </row>
    <row r="2084" spans="1:6" x14ac:dyDescent="0.25">
      <c r="A2084" s="2" t="str">
        <f t="shared" si="74"/>
        <v>19780</v>
      </c>
      <c r="B2084" s="2" t="str">
        <f>"50066"</f>
        <v>50066</v>
      </c>
      <c r="C2084" s="1">
        <v>3.9993161474679098E-4</v>
      </c>
      <c r="D2084" s="1">
        <v>3.2366649404453601E-5</v>
      </c>
      <c r="E2084" s="1">
        <v>5.0903537795876798E-5</v>
      </c>
      <c r="F2084" s="1">
        <v>3.5176158499009502E-4</v>
      </c>
    </row>
    <row r="2085" spans="1:6" x14ac:dyDescent="0.25">
      <c r="A2085" s="2" t="str">
        <f t="shared" si="74"/>
        <v>19780</v>
      </c>
      <c r="B2085" s="2" t="str">
        <f>"50322"</f>
        <v>50322</v>
      </c>
      <c r="C2085" s="1">
        <v>4.23194812490078E-2</v>
      </c>
      <c r="D2085" s="1">
        <v>6.4733298808907297E-2</v>
      </c>
      <c r="E2085" s="1">
        <v>3.2069228811402298E-2</v>
      </c>
      <c r="F2085" s="1">
        <v>4.3618436538771697E-2</v>
      </c>
    </row>
    <row r="2086" spans="1:6" x14ac:dyDescent="0.25">
      <c r="A2086" s="2" t="str">
        <f t="shared" si="74"/>
        <v>19780</v>
      </c>
      <c r="B2086" s="2" t="str">
        <f>"50313"</f>
        <v>50313</v>
      </c>
      <c r="C2086" s="1">
        <v>2.27167263002356E-2</v>
      </c>
      <c r="D2086" s="1">
        <v>4.3921543241843601E-2</v>
      </c>
      <c r="E2086" s="1">
        <v>1.4405701196233099E-2</v>
      </c>
      <c r="F2086" s="1">
        <v>2.4017646265376301E-2</v>
      </c>
    </row>
    <row r="2087" spans="1:6" x14ac:dyDescent="0.25">
      <c r="A2087" s="2" t="str">
        <f t="shared" si="74"/>
        <v>19780</v>
      </c>
      <c r="B2087" s="2" t="str">
        <f>"50273"</f>
        <v>50273</v>
      </c>
      <c r="C2087" s="1">
        <v>1.21566999230665E-2</v>
      </c>
      <c r="D2087" s="1">
        <v>1.1198860693940899E-2</v>
      </c>
      <c r="E2087" s="1">
        <v>7.4828200559938903E-3</v>
      </c>
      <c r="F2087" s="1">
        <v>1.1835587164140401E-2</v>
      </c>
    </row>
    <row r="2088" spans="1:6" x14ac:dyDescent="0.25">
      <c r="A2088" s="2" t="str">
        <f t="shared" si="74"/>
        <v>19780</v>
      </c>
      <c r="B2088" s="2" t="str">
        <f>"50309"</f>
        <v>50309</v>
      </c>
      <c r="C2088" s="1">
        <v>2.35349070082672E-2</v>
      </c>
      <c r="D2088" s="1">
        <v>7.8133091662351106E-2</v>
      </c>
      <c r="E2088" s="1">
        <v>2.74879104097734E-2</v>
      </c>
      <c r="F2088" s="1">
        <v>2.8201757749995299E-2</v>
      </c>
    </row>
    <row r="2089" spans="1:6" x14ac:dyDescent="0.25">
      <c r="A2089" s="2" t="str">
        <f t="shared" si="74"/>
        <v>19780</v>
      </c>
      <c r="B2089" s="2" t="str">
        <f>"50058"</f>
        <v>50058</v>
      </c>
      <c r="C2089" s="1">
        <v>3.9077287547778001E-4</v>
      </c>
      <c r="D2089" s="1">
        <v>9.7099948213360897E-5</v>
      </c>
      <c r="E2089" s="1">
        <v>0</v>
      </c>
      <c r="F2089" s="1">
        <v>3.4647193709550698E-4</v>
      </c>
    </row>
    <row r="2090" spans="1:6" x14ac:dyDescent="0.25">
      <c r="A2090" s="2" t="str">
        <f t="shared" si="74"/>
        <v>19780</v>
      </c>
      <c r="B2090" s="2" t="str">
        <f>"50054"</f>
        <v>50054</v>
      </c>
      <c r="C2090" s="1">
        <v>4.5427346774292001E-3</v>
      </c>
      <c r="D2090" s="1">
        <v>3.9810978767477901E-3</v>
      </c>
      <c r="E2090" s="1">
        <v>2.4433698142020798E-3</v>
      </c>
      <c r="F2090" s="1">
        <v>4.3877629285606597E-3</v>
      </c>
    </row>
    <row r="2091" spans="1:6" x14ac:dyDescent="0.25">
      <c r="A2091" s="2" t="str">
        <f t="shared" si="74"/>
        <v>19780</v>
      </c>
      <c r="B2091" s="2" t="str">
        <f>"50046"</f>
        <v>50046</v>
      </c>
      <c r="C2091" s="1">
        <v>3.3582043986371698E-4</v>
      </c>
      <c r="D2091" s="1">
        <v>3.2366649404453601E-5</v>
      </c>
      <c r="E2091" s="1">
        <v>0</v>
      </c>
      <c r="F2091" s="1">
        <v>2.9357545814962801E-4</v>
      </c>
    </row>
    <row r="2092" spans="1:6" x14ac:dyDescent="0.25">
      <c r="A2092" s="2" t="str">
        <f t="shared" si="74"/>
        <v>19780</v>
      </c>
      <c r="B2092" s="2" t="str">
        <f>"50021"</f>
        <v>50021</v>
      </c>
      <c r="C2092" s="1">
        <v>4.13975014959274E-2</v>
      </c>
      <c r="D2092" s="1">
        <v>3.7674779906784001E-2</v>
      </c>
      <c r="E2092" s="1">
        <v>2.4433698142020802E-2</v>
      </c>
      <c r="F2092" s="1">
        <v>4.0211903294657098E-2</v>
      </c>
    </row>
    <row r="2093" spans="1:6" x14ac:dyDescent="0.25">
      <c r="A2093" s="2" t="str">
        <f t="shared" si="74"/>
        <v>19780</v>
      </c>
      <c r="B2093" s="2" t="str">
        <f>"50257"</f>
        <v>50257</v>
      </c>
      <c r="C2093" s="1">
        <v>1.1906361049713601E-3</v>
      </c>
      <c r="D2093" s="1">
        <v>2.5893319523562902E-4</v>
      </c>
      <c r="E2093" s="1">
        <v>1.5271061338762999E-4</v>
      </c>
      <c r="F2093" s="1">
        <v>1.06057440286487E-3</v>
      </c>
    </row>
    <row r="2094" spans="1:6" x14ac:dyDescent="0.25">
      <c r="A2094" s="2" t="str">
        <f t="shared" si="74"/>
        <v>19780</v>
      </c>
      <c r="B2094" s="2" t="str">
        <f>"50251"</f>
        <v>50251</v>
      </c>
      <c r="C2094" s="1">
        <v>1.7310017218429799E-3</v>
      </c>
      <c r="D2094" s="1">
        <v>5.5023303987571201E-4</v>
      </c>
      <c r="E2094" s="1">
        <v>8.1445660473402899E-4</v>
      </c>
      <c r="F2094" s="1">
        <v>1.5868943683763599E-3</v>
      </c>
    </row>
    <row r="2095" spans="1:6" x14ac:dyDescent="0.25">
      <c r="A2095" s="2" t="str">
        <f t="shared" si="74"/>
        <v>19780</v>
      </c>
      <c r="B2095" s="2" t="str">
        <f>"50242"</f>
        <v>50242</v>
      </c>
      <c r="C2095" s="1">
        <v>1.22116523586806E-5</v>
      </c>
      <c r="D2095" s="1">
        <v>0</v>
      </c>
      <c r="E2095" s="1">
        <v>0</v>
      </c>
      <c r="F2095" s="1">
        <v>1.05792957891757E-5</v>
      </c>
    </row>
    <row r="2096" spans="1:6" x14ac:dyDescent="0.25">
      <c r="A2096" s="2" t="str">
        <f t="shared" si="74"/>
        <v>19780</v>
      </c>
      <c r="B2096" s="2" t="str">
        <f>"50229"</f>
        <v>50229</v>
      </c>
      <c r="C2096" s="1">
        <v>1.4043400212482701E-3</v>
      </c>
      <c r="D2096" s="1">
        <v>2.26566545831175E-4</v>
      </c>
      <c r="E2096" s="1">
        <v>3.5632476457113702E-4</v>
      </c>
      <c r="F2096" s="1">
        <v>1.25364655101733E-3</v>
      </c>
    </row>
    <row r="2097" spans="1:6" x14ac:dyDescent="0.25">
      <c r="A2097" s="2" t="str">
        <f t="shared" si="74"/>
        <v>19780</v>
      </c>
      <c r="B2097" s="2" t="str">
        <f>"50226"</f>
        <v>50226</v>
      </c>
      <c r="C2097" s="1">
        <v>9.4640305779774992E-3</v>
      </c>
      <c r="D2097" s="1">
        <v>5.6317969963749302E-3</v>
      </c>
      <c r="E2097" s="1">
        <v>1.73072028505981E-3</v>
      </c>
      <c r="F2097" s="1">
        <v>8.7490776176483796E-3</v>
      </c>
    </row>
    <row r="2098" spans="1:6" x14ac:dyDescent="0.25">
      <c r="A2098" s="2" t="str">
        <f t="shared" si="74"/>
        <v>19780</v>
      </c>
      <c r="B2098" s="2" t="str">
        <f>"50220"</f>
        <v>50220</v>
      </c>
      <c r="C2098" s="1">
        <v>1.1442318260083699E-2</v>
      </c>
      <c r="D2098" s="1">
        <v>1.11017607457276E-2</v>
      </c>
      <c r="E2098" s="1">
        <v>8.3481801985237896E-3</v>
      </c>
      <c r="F2098" s="1">
        <v>1.12537258957357E-2</v>
      </c>
    </row>
    <row r="2099" spans="1:6" x14ac:dyDescent="0.25">
      <c r="A2099" s="2" t="str">
        <f t="shared" si="74"/>
        <v>19780</v>
      </c>
      <c r="B2099" s="2" t="str">
        <f>"50218"</f>
        <v>50218</v>
      </c>
      <c r="C2099" s="1">
        <v>2.7476217807031398E-4</v>
      </c>
      <c r="D2099" s="1">
        <v>0</v>
      </c>
      <c r="E2099" s="1">
        <v>2.03614151183507E-4</v>
      </c>
      <c r="F2099" s="1">
        <v>2.4861345104563098E-4</v>
      </c>
    </row>
    <row r="2100" spans="1:6" x14ac:dyDescent="0.25">
      <c r="A2100" s="2" t="str">
        <f t="shared" si="74"/>
        <v>19780</v>
      </c>
      <c r="B2100" s="2" t="str">
        <f>"50149"</f>
        <v>50149</v>
      </c>
      <c r="C2100" s="1">
        <v>4.5183113727118398E-4</v>
      </c>
      <c r="D2100" s="1">
        <v>0</v>
      </c>
      <c r="E2100" s="1">
        <v>0</v>
      </c>
      <c r="F2100" s="1">
        <v>3.9143394419950401E-4</v>
      </c>
    </row>
    <row r="2101" spans="1:6" x14ac:dyDescent="0.25">
      <c r="A2101" s="2" t="str">
        <f t="shared" si="74"/>
        <v>19780</v>
      </c>
      <c r="B2101" s="2" t="str">
        <f>"50174"</f>
        <v>50174</v>
      </c>
      <c r="C2101" s="1">
        <v>6.1058261793403203E-6</v>
      </c>
      <c r="D2101" s="1">
        <v>0</v>
      </c>
      <c r="E2101" s="1">
        <v>0</v>
      </c>
      <c r="F2101" s="1">
        <v>5.2896478945878896E-6</v>
      </c>
    </row>
    <row r="2102" spans="1:6" x14ac:dyDescent="0.25">
      <c r="A2102" s="2" t="str">
        <f t="shared" si="74"/>
        <v>19780</v>
      </c>
      <c r="B2102" s="2" t="str">
        <f>"50164"</f>
        <v>50164</v>
      </c>
      <c r="C2102" s="1">
        <v>7.7238701168655095E-4</v>
      </c>
      <c r="D2102" s="1">
        <v>2.26566545831175E-4</v>
      </c>
      <c r="E2102" s="1">
        <v>3.0542122677525998E-4</v>
      </c>
      <c r="F2102" s="1">
        <v>7.0352316998019003E-4</v>
      </c>
    </row>
    <row r="2103" spans="1:6" x14ac:dyDescent="0.25">
      <c r="A2103" s="2" t="str">
        <f t="shared" si="74"/>
        <v>19780</v>
      </c>
      <c r="B2103" s="2" t="str">
        <f>"50161"</f>
        <v>50161</v>
      </c>
      <c r="C2103" s="1">
        <v>6.9301127135512695E-4</v>
      </c>
      <c r="D2103" s="1">
        <v>3.2366649404453601E-5</v>
      </c>
      <c r="E2103" s="1">
        <v>0</v>
      </c>
      <c r="F2103" s="1">
        <v>6.0301985998302001E-4</v>
      </c>
    </row>
    <row r="2104" spans="1:6" x14ac:dyDescent="0.25">
      <c r="A2104" s="2" t="str">
        <f t="shared" si="74"/>
        <v>19780</v>
      </c>
      <c r="B2104" s="2" t="str">
        <f>"50211"</f>
        <v>50211</v>
      </c>
      <c r="C2104" s="1">
        <v>1.9587490383323702E-2</v>
      </c>
      <c r="D2104" s="1">
        <v>6.0201967892283704E-3</v>
      </c>
      <c r="E2104" s="1">
        <v>5.8539068465258302E-3</v>
      </c>
      <c r="F2104" s="1">
        <v>1.7765282453973401E-2</v>
      </c>
    </row>
    <row r="2105" spans="1:6" x14ac:dyDescent="0.25">
      <c r="A2105" s="2" t="str">
        <f t="shared" si="74"/>
        <v>19780</v>
      </c>
      <c r="B2105" s="2" t="str">
        <f>"50210"</f>
        <v>50210</v>
      </c>
      <c r="C2105" s="1">
        <v>1.9813405951959301E-3</v>
      </c>
      <c r="D2105" s="1">
        <v>2.26566545831175E-4</v>
      </c>
      <c r="E2105" s="1">
        <v>3.0542122677525998E-4</v>
      </c>
      <c r="F2105" s="1">
        <v>1.7508734531085899E-3</v>
      </c>
    </row>
    <row r="2106" spans="1:6" x14ac:dyDescent="0.25">
      <c r="A2106" s="2" t="str">
        <f t="shared" si="74"/>
        <v>19780</v>
      </c>
      <c r="B2106" s="2" t="str">
        <f>"50002"</f>
        <v>50002</v>
      </c>
      <c r="C2106" s="1">
        <v>4.5793696345052399E-4</v>
      </c>
      <c r="D2106" s="1">
        <v>6.4733298808907297E-5</v>
      </c>
      <c r="E2106" s="1">
        <v>0</v>
      </c>
      <c r="F2106" s="1">
        <v>4.0201323998868003E-4</v>
      </c>
    </row>
    <row r="2107" spans="1:6" x14ac:dyDescent="0.25">
      <c r="A2107" s="2" t="str">
        <f t="shared" si="74"/>
        <v>19780</v>
      </c>
      <c r="B2107" s="2" t="str">
        <f>"50001"</f>
        <v>50001</v>
      </c>
      <c r="C2107" s="1">
        <v>8.5176275201797496E-4</v>
      </c>
      <c r="D2107" s="1">
        <v>3.2366649404453601E-5</v>
      </c>
      <c r="E2107" s="1">
        <v>2.03614151183507E-4</v>
      </c>
      <c r="F2107" s="1">
        <v>7.5113000103148103E-4</v>
      </c>
    </row>
    <row r="2108" spans="1:6" x14ac:dyDescent="0.25">
      <c r="A2108" s="2" t="str">
        <f t="shared" si="74"/>
        <v>19780</v>
      </c>
      <c r="B2108" s="2" t="str">
        <f>"50947"</f>
        <v>50947</v>
      </c>
      <c r="C2108" s="1">
        <v>0</v>
      </c>
      <c r="D2108" s="1">
        <v>0</v>
      </c>
      <c r="E2108" s="1">
        <v>5.0903537795876798E-5</v>
      </c>
      <c r="F2108" s="1">
        <v>2.6448239472939401E-6</v>
      </c>
    </row>
    <row r="2109" spans="1:6" x14ac:dyDescent="0.25">
      <c r="A2109" s="2" t="str">
        <f t="shared" si="74"/>
        <v>19780</v>
      </c>
      <c r="B2109" s="2" t="str">
        <f>"50391"</f>
        <v>50391</v>
      </c>
      <c r="C2109" s="1">
        <v>0</v>
      </c>
      <c r="D2109" s="1">
        <v>0.10053081305023299</v>
      </c>
      <c r="E2109" s="1">
        <v>0.35067447187579498</v>
      </c>
      <c r="F2109" s="1">
        <v>2.6435015353203001E-2</v>
      </c>
    </row>
    <row r="2110" spans="1:6" x14ac:dyDescent="0.25">
      <c r="A2110" s="2" t="str">
        <f t="shared" si="74"/>
        <v>19780</v>
      </c>
      <c r="B2110" s="2" t="str">
        <f>"50327"</f>
        <v>50327</v>
      </c>
      <c r="C2110" s="1">
        <v>1.52035071865574E-2</v>
      </c>
      <c r="D2110" s="1">
        <v>9.1921284308648307E-3</v>
      </c>
      <c r="E2110" s="1">
        <v>5.5993891575464401E-3</v>
      </c>
      <c r="F2110" s="1">
        <v>1.4213283892757601E-2</v>
      </c>
    </row>
    <row r="2111" spans="1:6" x14ac:dyDescent="0.25">
      <c r="A2111" s="2" t="str">
        <f t="shared" si="74"/>
        <v>19780</v>
      </c>
      <c r="B2111" s="2" t="str">
        <f>"50325"</f>
        <v>50325</v>
      </c>
      <c r="C2111" s="1">
        <v>2.37974575339789E-2</v>
      </c>
      <c r="D2111" s="1">
        <v>4.1429311237700599E-2</v>
      </c>
      <c r="E2111" s="1">
        <v>4.6983965385594198E-2</v>
      </c>
      <c r="F2111" s="1">
        <v>2.64429498250448E-2</v>
      </c>
    </row>
    <row r="2112" spans="1:6" x14ac:dyDescent="0.25">
      <c r="A2112" s="2" t="str">
        <f t="shared" si="74"/>
        <v>19780</v>
      </c>
      <c r="B2112" s="2" t="str">
        <f>"50055"</f>
        <v>50055</v>
      </c>
      <c r="C2112" s="1">
        <v>2.83920917339325E-4</v>
      </c>
      <c r="D2112" s="1">
        <v>0</v>
      </c>
      <c r="E2112" s="1">
        <v>0</v>
      </c>
      <c r="F2112" s="1">
        <v>2.4596862709833702E-4</v>
      </c>
    </row>
    <row r="2113" spans="1:6" x14ac:dyDescent="0.25">
      <c r="A2113" s="2" t="str">
        <f t="shared" si="74"/>
        <v>19780</v>
      </c>
      <c r="B2113" s="2" t="str">
        <f>"50038"</f>
        <v>50038</v>
      </c>
      <c r="C2113" s="1">
        <v>5.0067774670590603E-4</v>
      </c>
      <c r="D2113" s="1">
        <v>1.9419989642672101E-4</v>
      </c>
      <c r="E2113" s="1">
        <v>2.03614151183507E-4</v>
      </c>
      <c r="F2113" s="1">
        <v>4.6019936682914698E-4</v>
      </c>
    </row>
    <row r="2114" spans="1:6" x14ac:dyDescent="0.25">
      <c r="A2114" s="2" t="str">
        <f t="shared" si="74"/>
        <v>19780</v>
      </c>
      <c r="B2114" s="2" t="str">
        <f>"50028"</f>
        <v>50028</v>
      </c>
      <c r="C2114" s="1">
        <v>2.3232668612389899E-3</v>
      </c>
      <c r="D2114" s="1">
        <v>5.8259968928016501E-4</v>
      </c>
      <c r="E2114" s="1">
        <v>1.37439552048867E-3</v>
      </c>
      <c r="F2114" s="1">
        <v>2.1317281015189198E-3</v>
      </c>
    </row>
    <row r="2115" spans="1:6" x14ac:dyDescent="0.25">
      <c r="A2115" s="2" t="str">
        <f t="shared" ref="A2115:A2121" si="75">"19780"</f>
        <v>19780</v>
      </c>
      <c r="B2115" s="2" t="str">
        <f>"50023"</f>
        <v>50023</v>
      </c>
      <c r="C2115" s="1">
        <v>5.8841846890302703E-2</v>
      </c>
      <c r="D2115" s="1">
        <v>3.4761781460383202E-2</v>
      </c>
      <c r="E2115" s="1">
        <v>3.8839399338253998E-2</v>
      </c>
      <c r="F2115" s="1">
        <v>5.5834878351322503E-2</v>
      </c>
    </row>
    <row r="2116" spans="1:6" x14ac:dyDescent="0.25">
      <c r="A2116" s="2" t="str">
        <f t="shared" si="75"/>
        <v>19780</v>
      </c>
      <c r="B2116" s="2" t="str">
        <f>"50243"</f>
        <v>50243</v>
      </c>
      <c r="C2116" s="1">
        <v>2.16756829366581E-4</v>
      </c>
      <c r="D2116" s="1">
        <v>3.2366649404453601E-5</v>
      </c>
      <c r="E2116" s="1">
        <v>0</v>
      </c>
      <c r="F2116" s="1">
        <v>1.90427324205164E-4</v>
      </c>
    </row>
    <row r="2117" spans="1:6" x14ac:dyDescent="0.25">
      <c r="A2117" s="2" t="str">
        <f t="shared" si="75"/>
        <v>19780</v>
      </c>
      <c r="B2117" s="2" t="str">
        <f>"50225"</f>
        <v>50225</v>
      </c>
      <c r="C2117" s="1">
        <v>4.9762483361623605E-4</v>
      </c>
      <c r="D2117" s="1">
        <v>0</v>
      </c>
      <c r="E2117" s="1">
        <v>0</v>
      </c>
      <c r="F2117" s="1">
        <v>4.3110630340891301E-4</v>
      </c>
    </row>
    <row r="2118" spans="1:6" x14ac:dyDescent="0.25">
      <c r="A2118" s="2" t="str">
        <f t="shared" si="75"/>
        <v>19780</v>
      </c>
      <c r="B2118" s="2" t="str">
        <f>"50214"</f>
        <v>50214</v>
      </c>
      <c r="C2118" s="1">
        <v>6.1058261793403203E-6</v>
      </c>
      <c r="D2118" s="1">
        <v>0</v>
      </c>
      <c r="E2118" s="1">
        <v>0</v>
      </c>
      <c r="F2118" s="1">
        <v>5.2896478945878896E-6</v>
      </c>
    </row>
    <row r="2119" spans="1:6" x14ac:dyDescent="0.25">
      <c r="A2119" s="2" t="str">
        <f t="shared" si="75"/>
        <v>19780</v>
      </c>
      <c r="B2119" s="2" t="str">
        <f>"50151"</f>
        <v>50151</v>
      </c>
      <c r="C2119" s="1">
        <v>1.09904871228125E-4</v>
      </c>
      <c r="D2119" s="1">
        <v>0</v>
      </c>
      <c r="E2119" s="1">
        <v>0</v>
      </c>
      <c r="F2119" s="1">
        <v>9.5213662102582096E-5</v>
      </c>
    </row>
    <row r="2120" spans="1:6" x14ac:dyDescent="0.25">
      <c r="A2120" s="2" t="str">
        <f t="shared" si="75"/>
        <v>19780</v>
      </c>
      <c r="B2120" s="2" t="str">
        <f>"50125"</f>
        <v>50125</v>
      </c>
      <c r="C2120" s="1">
        <v>3.1460269389050999E-2</v>
      </c>
      <c r="D2120" s="1">
        <v>1.8902123252200899E-2</v>
      </c>
      <c r="E2120" s="1">
        <v>1.7205395775006301E-2</v>
      </c>
      <c r="F2120" s="1">
        <v>2.9693438456269101E-2</v>
      </c>
    </row>
    <row r="2121" spans="1:6" x14ac:dyDescent="0.25">
      <c r="A2121" s="2" t="str">
        <f t="shared" si="75"/>
        <v>19780</v>
      </c>
      <c r="B2121" s="2" t="str">
        <f>"50070"</f>
        <v>50070</v>
      </c>
      <c r="C2121" s="1">
        <v>2.15535664130713E-3</v>
      </c>
      <c r="D2121" s="1">
        <v>4.2076644225789701E-4</v>
      </c>
      <c r="E2121" s="1">
        <v>0</v>
      </c>
      <c r="F2121" s="1">
        <v>1.90162841810434E-3</v>
      </c>
    </row>
    <row r="2122" spans="1:6" x14ac:dyDescent="0.25">
      <c r="A2122" s="2" t="str">
        <f t="shared" ref="A2122:A2153" si="76">"36540"</f>
        <v>36540</v>
      </c>
      <c r="B2122" s="2" t="str">
        <f>"68403"</f>
        <v>68403</v>
      </c>
      <c r="C2122" s="1">
        <v>1.8116368256358299E-4</v>
      </c>
      <c r="D2122" s="1">
        <v>0</v>
      </c>
      <c r="E2122" s="1">
        <v>4.2791732637254402E-5</v>
      </c>
      <c r="F2122" s="1">
        <v>1.6044100707585899E-4</v>
      </c>
    </row>
    <row r="2123" spans="1:6" x14ac:dyDescent="0.25">
      <c r="A2123" s="2" t="str">
        <f t="shared" si="76"/>
        <v>36540</v>
      </c>
      <c r="B2123" s="2" t="str">
        <f>"68179"</f>
        <v>68179</v>
      </c>
      <c r="C2123" s="1">
        <v>0</v>
      </c>
      <c r="D2123" s="1">
        <v>1.05929398056195E-4</v>
      </c>
      <c r="E2123" s="1">
        <v>4.2791732637254402E-5</v>
      </c>
      <c r="F2123" s="1">
        <v>1.02846799407602E-5</v>
      </c>
    </row>
    <row r="2124" spans="1:6" x14ac:dyDescent="0.25">
      <c r="A2124" s="2" t="str">
        <f t="shared" si="76"/>
        <v>36540</v>
      </c>
      <c r="B2124" s="2" t="str">
        <f>"68307"</f>
        <v>68307</v>
      </c>
      <c r="C2124" s="1">
        <v>4.6114391925275802E-4</v>
      </c>
      <c r="D2124" s="1">
        <v>1.3241174757024399E-4</v>
      </c>
      <c r="E2124" s="1">
        <v>8.55834652745089E-5</v>
      </c>
      <c r="F2124" s="1">
        <v>4.1755800559486501E-4</v>
      </c>
    </row>
    <row r="2125" spans="1:6" x14ac:dyDescent="0.25">
      <c r="A2125" s="2" t="str">
        <f t="shared" si="76"/>
        <v>36540</v>
      </c>
      <c r="B2125" s="2" t="str">
        <f>"68145"</f>
        <v>68145</v>
      </c>
      <c r="C2125" s="1">
        <v>1.3857845328565E-3</v>
      </c>
      <c r="D2125" s="1">
        <v>8.3154577474113499E-3</v>
      </c>
      <c r="E2125" s="1">
        <v>4.2791732637254402E-5</v>
      </c>
      <c r="F2125" s="1">
        <v>1.85947013328945E-3</v>
      </c>
    </row>
    <row r="2126" spans="1:6" x14ac:dyDescent="0.25">
      <c r="A2126" s="2" t="str">
        <f t="shared" si="76"/>
        <v>36540</v>
      </c>
      <c r="B2126" s="2" t="str">
        <f>"68142"</f>
        <v>68142</v>
      </c>
      <c r="C2126" s="1">
        <v>5.7807684163470796E-3</v>
      </c>
      <c r="D2126" s="1">
        <v>7.9447048542146596E-4</v>
      </c>
      <c r="E2126" s="1">
        <v>2.13958663186272E-4</v>
      </c>
      <c r="F2126" s="1">
        <v>5.1258844824749001E-3</v>
      </c>
    </row>
    <row r="2127" spans="1:6" x14ac:dyDescent="0.25">
      <c r="A2127" s="2" t="str">
        <f t="shared" si="76"/>
        <v>36540</v>
      </c>
      <c r="B2127" s="2" t="str">
        <f>"68137"</f>
        <v>68137</v>
      </c>
      <c r="C2127" s="1">
        <v>2.7249841187680798E-2</v>
      </c>
      <c r="D2127" s="1">
        <v>4.9627922989327597E-2</v>
      </c>
      <c r="E2127" s="1">
        <v>3.1280756557833002E-2</v>
      </c>
      <c r="F2127" s="1">
        <v>2.91817508639131E-2</v>
      </c>
    </row>
    <row r="2128" spans="1:6" x14ac:dyDescent="0.25">
      <c r="A2128" s="2" t="str">
        <f t="shared" si="76"/>
        <v>36540</v>
      </c>
      <c r="B2128" s="2" t="str">
        <f>"68036"</f>
        <v>68036</v>
      </c>
      <c r="C2128" s="1">
        <v>5.8819377455709003E-5</v>
      </c>
      <c r="D2128" s="1">
        <v>2.6482349514048801E-5</v>
      </c>
      <c r="E2128" s="1">
        <v>8.55834652745089E-5</v>
      </c>
      <c r="F2128" s="1">
        <v>5.7594207668257297E-5</v>
      </c>
    </row>
    <row r="2129" spans="1:6" x14ac:dyDescent="0.25">
      <c r="A2129" s="2" t="str">
        <f t="shared" si="76"/>
        <v>36540</v>
      </c>
      <c r="B2129" s="2" t="str">
        <f>"68016"</f>
        <v>68016</v>
      </c>
      <c r="C2129" s="1">
        <v>5.2702162200315202E-4</v>
      </c>
      <c r="D2129" s="1">
        <v>1.05929398056195E-4</v>
      </c>
      <c r="E2129" s="1">
        <v>0</v>
      </c>
      <c r="F2129" s="1">
        <v>4.6898140529866701E-4</v>
      </c>
    </row>
    <row r="2130" spans="1:6" x14ac:dyDescent="0.25">
      <c r="A2130" s="2" t="str">
        <f t="shared" si="76"/>
        <v>36540</v>
      </c>
      <c r="B2130" s="2" t="str">
        <f>"68010"</f>
        <v>68010</v>
      </c>
      <c r="C2130" s="1">
        <v>1.0893348704797299E-3</v>
      </c>
      <c r="D2130" s="1">
        <v>8.4743518444956398E-3</v>
      </c>
      <c r="E2130" s="1">
        <v>5.5629252428430803E-4</v>
      </c>
      <c r="F2130" s="1">
        <v>1.6373210465690301E-3</v>
      </c>
    </row>
    <row r="2131" spans="1:6" x14ac:dyDescent="0.25">
      <c r="A2131" s="2" t="str">
        <f t="shared" si="76"/>
        <v>36540</v>
      </c>
      <c r="B2131" s="2" t="str">
        <f>"68003"</f>
        <v>68003</v>
      </c>
      <c r="C2131" s="1">
        <v>6.6395313272004297E-3</v>
      </c>
      <c r="D2131" s="1">
        <v>4.3431053203040098E-3</v>
      </c>
      <c r="E2131" s="1">
        <v>3.2949634130685899E-3</v>
      </c>
      <c r="F2131" s="1">
        <v>6.3003949317097198E-3</v>
      </c>
    </row>
    <row r="2132" spans="1:6" x14ac:dyDescent="0.25">
      <c r="A2132" s="2" t="str">
        <f t="shared" si="76"/>
        <v>36540</v>
      </c>
      <c r="B2132" s="2" t="str">
        <f>"68134"</f>
        <v>68134</v>
      </c>
      <c r="C2132" s="1">
        <v>3.2595346210855698E-2</v>
      </c>
      <c r="D2132" s="1">
        <v>3.8505336193426998E-2</v>
      </c>
      <c r="E2132" s="1">
        <v>4.1593564123411302E-2</v>
      </c>
      <c r="F2132" s="1">
        <v>3.3486917887115303E-2</v>
      </c>
    </row>
    <row r="2133" spans="1:6" x14ac:dyDescent="0.25">
      <c r="A2133" s="2" t="str">
        <f t="shared" si="76"/>
        <v>36540</v>
      </c>
      <c r="B2133" s="2" t="str">
        <f>"68133"</f>
        <v>68133</v>
      </c>
      <c r="C2133" s="1">
        <v>1.16415311860339E-2</v>
      </c>
      <c r="D2133" s="1">
        <v>3.2573289902280101E-3</v>
      </c>
      <c r="E2133" s="1">
        <v>3.89404766999015E-3</v>
      </c>
      <c r="F2133" s="1">
        <v>1.06179035708408E-2</v>
      </c>
    </row>
    <row r="2134" spans="1:6" x14ac:dyDescent="0.25">
      <c r="A2134" s="2" t="str">
        <f t="shared" si="76"/>
        <v>36540</v>
      </c>
      <c r="B2134" s="2" t="str">
        <f>"68132"</f>
        <v>68132</v>
      </c>
      <c r="C2134" s="1">
        <v>1.6302378655624301E-2</v>
      </c>
      <c r="D2134" s="1">
        <v>8.5537988930377892E-3</v>
      </c>
      <c r="E2134" s="1">
        <v>3.28212589327741E-2</v>
      </c>
      <c r="F2134" s="1">
        <v>1.6494569688991201E-2</v>
      </c>
    </row>
    <row r="2135" spans="1:6" x14ac:dyDescent="0.25">
      <c r="A2135" s="2" t="str">
        <f t="shared" si="76"/>
        <v>36540</v>
      </c>
      <c r="B2135" s="2" t="str">
        <f>"68130"</f>
        <v>68130</v>
      </c>
      <c r="C2135" s="1">
        <v>1.9742135849234101E-2</v>
      </c>
      <c r="D2135" s="1">
        <v>2.03384444267895E-2</v>
      </c>
      <c r="E2135" s="1">
        <v>1.5747357610509601E-2</v>
      </c>
      <c r="F2135" s="1">
        <v>1.95964291591245E-2</v>
      </c>
    </row>
    <row r="2136" spans="1:6" x14ac:dyDescent="0.25">
      <c r="A2136" s="2" t="str">
        <f t="shared" si="76"/>
        <v>36540</v>
      </c>
      <c r="B2136" s="2" t="str">
        <f>"68108"</f>
        <v>68108</v>
      </c>
      <c r="C2136" s="1">
        <v>1.52953909135825E-2</v>
      </c>
      <c r="D2136" s="1">
        <v>1.8140409417123401E-2</v>
      </c>
      <c r="E2136" s="1">
        <v>1.77585690444606E-2</v>
      </c>
      <c r="F2136" s="1">
        <v>1.5634770445943701E-2</v>
      </c>
    </row>
    <row r="2137" spans="1:6" x14ac:dyDescent="0.25">
      <c r="A2137" s="2" t="str">
        <f t="shared" si="76"/>
        <v>36540</v>
      </c>
      <c r="B2137" s="2" t="str">
        <f>"68068"</f>
        <v>68068</v>
      </c>
      <c r="C2137" s="1">
        <v>1.3881373079547299E-4</v>
      </c>
      <c r="D2137" s="1">
        <v>7.9447048542146594E-5</v>
      </c>
      <c r="E2137" s="1">
        <v>0</v>
      </c>
      <c r="F2137" s="1">
        <v>1.2753003126542701E-4</v>
      </c>
    </row>
    <row r="2138" spans="1:6" x14ac:dyDescent="0.25">
      <c r="A2138" s="2" t="str">
        <f t="shared" si="76"/>
        <v>36540</v>
      </c>
      <c r="B2138" s="2" t="str">
        <f>"68103"</f>
        <v>68103</v>
      </c>
      <c r="C2138" s="1">
        <v>6.7289367809331103E-4</v>
      </c>
      <c r="D2138" s="1">
        <v>6.4881756309419702E-3</v>
      </c>
      <c r="E2138" s="1">
        <v>4.2791732637254402E-5</v>
      </c>
      <c r="F2138" s="1">
        <v>1.09428994569688E-3</v>
      </c>
    </row>
    <row r="2139" spans="1:6" x14ac:dyDescent="0.25">
      <c r="A2139" s="2" t="str">
        <f t="shared" si="76"/>
        <v>36540</v>
      </c>
      <c r="B2139" s="2" t="str">
        <f>"68056"</f>
        <v>68056</v>
      </c>
      <c r="C2139" s="1">
        <v>0</v>
      </c>
      <c r="D2139" s="1">
        <v>0</v>
      </c>
      <c r="E2139" s="1">
        <v>8.55834652745089E-5</v>
      </c>
      <c r="F2139" s="1">
        <v>4.1138719763040896E-6</v>
      </c>
    </row>
    <row r="2140" spans="1:6" x14ac:dyDescent="0.25">
      <c r="A2140" s="2" t="str">
        <f t="shared" si="76"/>
        <v>36540</v>
      </c>
      <c r="B2140" s="2" t="str">
        <f>"68066"</f>
        <v>68066</v>
      </c>
      <c r="C2140" s="1">
        <v>5.8325294685080999E-3</v>
      </c>
      <c r="D2140" s="1">
        <v>8.2624930483832498E-3</v>
      </c>
      <c r="E2140" s="1">
        <v>5.0922161838332803E-3</v>
      </c>
      <c r="F2140" s="1">
        <v>5.9856837255224601E-3</v>
      </c>
    </row>
    <row r="2141" spans="1:6" x14ac:dyDescent="0.25">
      <c r="A2141" s="2" t="str">
        <f t="shared" si="76"/>
        <v>36540</v>
      </c>
      <c r="B2141" s="2" t="str">
        <f>"68064"</f>
        <v>68064</v>
      </c>
      <c r="C2141" s="1">
        <v>5.3878549749429398E-3</v>
      </c>
      <c r="D2141" s="1">
        <v>2.3569291067503501E-3</v>
      </c>
      <c r="E2141" s="1">
        <v>2.0540031665882098E-3</v>
      </c>
      <c r="F2141" s="1">
        <v>4.9921836432450196E-3</v>
      </c>
    </row>
    <row r="2142" spans="1:6" x14ac:dyDescent="0.25">
      <c r="A2142" s="2" t="str">
        <f t="shared" si="76"/>
        <v>36540</v>
      </c>
      <c r="B2142" s="2" t="str">
        <f>"51544"</f>
        <v>51544</v>
      </c>
      <c r="C2142" s="1">
        <v>5.6466602357480597E-5</v>
      </c>
      <c r="D2142" s="1">
        <v>2.6482349514048801E-5</v>
      </c>
      <c r="E2142" s="1">
        <v>0</v>
      </c>
      <c r="F2142" s="1">
        <v>5.1423399703801197E-5</v>
      </c>
    </row>
    <row r="2143" spans="1:6" x14ac:dyDescent="0.25">
      <c r="A2143" s="2" t="str">
        <f t="shared" si="76"/>
        <v>36540</v>
      </c>
      <c r="B2143" s="2" t="str">
        <f>"68455"</f>
        <v>68455</v>
      </c>
      <c r="C2143" s="1">
        <v>7.2465473025433403E-4</v>
      </c>
      <c r="D2143" s="1">
        <v>1.3241174757024399E-4</v>
      </c>
      <c r="E2143" s="1">
        <v>5.5629252428430803E-4</v>
      </c>
      <c r="F2143" s="1">
        <v>6.7056113213756702E-4</v>
      </c>
    </row>
    <row r="2144" spans="1:6" x14ac:dyDescent="0.25">
      <c r="A2144" s="2" t="str">
        <f t="shared" si="76"/>
        <v>36540</v>
      </c>
      <c r="B2144" s="2" t="str">
        <f>"68164"</f>
        <v>68164</v>
      </c>
      <c r="C2144" s="1">
        <v>3.1306025457026501E-2</v>
      </c>
      <c r="D2144" s="1">
        <v>1.9623420989910201E-2</v>
      </c>
      <c r="E2144" s="1">
        <v>2.8413710471136899E-2</v>
      </c>
      <c r="F2144" s="1">
        <v>3.02595853217047E-2</v>
      </c>
    </row>
    <row r="2145" spans="1:6" x14ac:dyDescent="0.25">
      <c r="A2145" s="2" t="str">
        <f t="shared" si="76"/>
        <v>36540</v>
      </c>
      <c r="B2145" s="2" t="str">
        <f>"68139"</f>
        <v>68139</v>
      </c>
      <c r="C2145" s="1">
        <v>1.5316565889466601E-3</v>
      </c>
      <c r="D2145" s="1">
        <v>5.7466698445485997E-3</v>
      </c>
      <c r="E2145" s="1">
        <v>8.55834652745089E-5</v>
      </c>
      <c r="F2145" s="1">
        <v>1.78953430969228E-3</v>
      </c>
    </row>
    <row r="2146" spans="1:6" x14ac:dyDescent="0.25">
      <c r="A2146" s="2" t="str">
        <f t="shared" si="76"/>
        <v>36540</v>
      </c>
      <c r="B2146" s="2" t="str">
        <f>"68136"</f>
        <v>68136</v>
      </c>
      <c r="C2146" s="1">
        <v>1.9022186669176201E-2</v>
      </c>
      <c r="D2146" s="1">
        <v>5.5612933979502597E-3</v>
      </c>
      <c r="E2146" s="1">
        <v>4.3219649963627E-3</v>
      </c>
      <c r="F2146" s="1">
        <v>1.7270034556524601E-2</v>
      </c>
    </row>
    <row r="2147" spans="1:6" x14ac:dyDescent="0.25">
      <c r="A2147" s="2" t="str">
        <f t="shared" si="76"/>
        <v>36540</v>
      </c>
      <c r="B2147" s="2" t="str">
        <f>"68059"</f>
        <v>68059</v>
      </c>
      <c r="C2147" s="1">
        <v>3.4185822177257999E-3</v>
      </c>
      <c r="D2147" s="1">
        <v>2.2774820582081999E-3</v>
      </c>
      <c r="E2147" s="1">
        <v>1.6688775728529201E-3</v>
      </c>
      <c r="F2147" s="1">
        <v>3.2458449893039299E-3</v>
      </c>
    </row>
    <row r="2148" spans="1:6" x14ac:dyDescent="0.25">
      <c r="A2148" s="2" t="str">
        <f t="shared" si="76"/>
        <v>36540</v>
      </c>
      <c r="B2148" s="2" t="str">
        <f>"51556"</f>
        <v>51556</v>
      </c>
      <c r="C2148" s="1">
        <v>4.9878832082441197E-4</v>
      </c>
      <c r="D2148" s="1">
        <v>1.85376446598342E-4</v>
      </c>
      <c r="E2148" s="1">
        <v>1.28375197911763E-4</v>
      </c>
      <c r="F2148" s="1">
        <v>4.5663978936975403E-4</v>
      </c>
    </row>
    <row r="2149" spans="1:6" x14ac:dyDescent="0.25">
      <c r="A2149" s="2" t="str">
        <f t="shared" si="76"/>
        <v>36540</v>
      </c>
      <c r="B2149" s="2" t="str">
        <f>"51575"</f>
        <v>51575</v>
      </c>
      <c r="C2149" s="1">
        <v>1.83516457661812E-3</v>
      </c>
      <c r="D2149" s="1">
        <v>3.9723524271073298E-4</v>
      </c>
      <c r="E2149" s="1">
        <v>1.4121271770293901E-3</v>
      </c>
      <c r="F2149" s="1">
        <v>1.7031429981898901E-3</v>
      </c>
    </row>
    <row r="2150" spans="1:6" x14ac:dyDescent="0.25">
      <c r="A2150" s="2" t="str">
        <f t="shared" si="76"/>
        <v>36540</v>
      </c>
      <c r="B2150" s="2" t="str">
        <f>"51532"</f>
        <v>51532</v>
      </c>
      <c r="C2150" s="1">
        <v>4.7055501964567198E-5</v>
      </c>
      <c r="D2150" s="1">
        <v>0</v>
      </c>
      <c r="E2150" s="1">
        <v>0</v>
      </c>
      <c r="F2150" s="1">
        <v>4.1138719763040901E-5</v>
      </c>
    </row>
    <row r="2151" spans="1:6" x14ac:dyDescent="0.25">
      <c r="A2151" s="2" t="str">
        <f t="shared" si="76"/>
        <v>36540</v>
      </c>
      <c r="B2151" s="2" t="str">
        <f>"51523"</f>
        <v>51523</v>
      </c>
      <c r="C2151" s="1">
        <v>1.17638754911418E-5</v>
      </c>
      <c r="D2151" s="1">
        <v>0</v>
      </c>
      <c r="E2151" s="1">
        <v>0</v>
      </c>
      <c r="F2151" s="1">
        <v>1.02846799407602E-5</v>
      </c>
    </row>
    <row r="2152" spans="1:6" x14ac:dyDescent="0.25">
      <c r="A2152" s="2" t="str">
        <f t="shared" si="76"/>
        <v>36540</v>
      </c>
      <c r="B2152" s="2" t="str">
        <f>"51536"</f>
        <v>51536</v>
      </c>
      <c r="C2152" s="1">
        <v>5.0349387102086897E-4</v>
      </c>
      <c r="D2152" s="1">
        <v>1.58894097084293E-4</v>
      </c>
      <c r="E2152" s="1">
        <v>8.55834652745089E-5</v>
      </c>
      <c r="F2152" s="1">
        <v>4.5663978936975403E-4</v>
      </c>
    </row>
    <row r="2153" spans="1:6" x14ac:dyDescent="0.25">
      <c r="A2153" s="2" t="str">
        <f t="shared" si="76"/>
        <v>36540</v>
      </c>
      <c r="B2153" s="2" t="str">
        <f>"51525"</f>
        <v>51525</v>
      </c>
      <c r="C2153" s="1">
        <v>1.3057901795167301E-3</v>
      </c>
      <c r="D2153" s="1">
        <v>1.85376446598342E-4</v>
      </c>
      <c r="E2153" s="1">
        <v>5.5629252428430803E-4</v>
      </c>
      <c r="F2153" s="1">
        <v>1.1827381931874201E-3</v>
      </c>
    </row>
    <row r="2154" spans="1:6" x14ac:dyDescent="0.25">
      <c r="A2154" s="2" t="str">
        <f t="shared" ref="A2154:A2185" si="77">"36540"</f>
        <v>36540</v>
      </c>
      <c r="B2154" s="2" t="str">
        <f>"51521"</f>
        <v>51521</v>
      </c>
      <c r="C2154" s="1">
        <v>2.5033527045149702E-3</v>
      </c>
      <c r="D2154" s="1">
        <v>5.5612933979502603E-4</v>
      </c>
      <c r="E2154" s="1">
        <v>1.79725277076468E-3</v>
      </c>
      <c r="F2154" s="1">
        <v>2.3181668586473498E-3</v>
      </c>
    </row>
    <row r="2155" spans="1:6" x14ac:dyDescent="0.25">
      <c r="A2155" s="2" t="str">
        <f t="shared" si="77"/>
        <v>36540</v>
      </c>
      <c r="B2155" s="2" t="str">
        <f>"51503"</f>
        <v>51503</v>
      </c>
      <c r="C2155" s="1">
        <v>3.8232595346210797E-2</v>
      </c>
      <c r="D2155" s="1">
        <v>3.0004501999417298E-2</v>
      </c>
      <c r="E2155" s="1">
        <v>3.67153066027643E-2</v>
      </c>
      <c r="F2155" s="1">
        <v>3.7520569359881503E-2</v>
      </c>
    </row>
    <row r="2156" spans="1:6" x14ac:dyDescent="0.25">
      <c r="A2156" s="2" t="str">
        <f t="shared" si="77"/>
        <v>36540</v>
      </c>
      <c r="B2156" s="2" t="str">
        <f>"51555"</f>
        <v>51555</v>
      </c>
      <c r="C2156" s="1">
        <v>5.7007740630073099E-3</v>
      </c>
      <c r="D2156" s="1">
        <v>5.3494346018378696E-3</v>
      </c>
      <c r="E2156" s="1">
        <v>5.6057169754803304E-3</v>
      </c>
      <c r="F2156" s="1">
        <v>5.66891558334704E-3</v>
      </c>
    </row>
    <row r="2157" spans="1:6" x14ac:dyDescent="0.25">
      <c r="A2157" s="2" t="str">
        <f t="shared" si="77"/>
        <v>36540</v>
      </c>
      <c r="B2157" s="2" t="str">
        <f>"68413"</f>
        <v>68413</v>
      </c>
      <c r="C2157" s="1">
        <v>5.5290214808366401E-4</v>
      </c>
      <c r="D2157" s="1">
        <v>1.58894097084293E-4</v>
      </c>
      <c r="E2157" s="1">
        <v>5.5629252428430803E-4</v>
      </c>
      <c r="F2157" s="1">
        <v>5.2246174099061999E-4</v>
      </c>
    </row>
    <row r="2158" spans="1:6" x14ac:dyDescent="0.25">
      <c r="A2158" s="2" t="str">
        <f t="shared" si="77"/>
        <v>36540</v>
      </c>
      <c r="B2158" s="2" t="str">
        <f>"68349"</f>
        <v>68349</v>
      </c>
      <c r="C2158" s="1">
        <v>1.17168199891772E-3</v>
      </c>
      <c r="D2158" s="1">
        <v>4.7668229125287899E-4</v>
      </c>
      <c r="E2158" s="1">
        <v>2.9954212846078099E-4</v>
      </c>
      <c r="F2158" s="1">
        <v>1.0757775218035201E-3</v>
      </c>
    </row>
    <row r="2159" spans="1:6" x14ac:dyDescent="0.25">
      <c r="A2159" s="2" t="str">
        <f t="shared" si="77"/>
        <v>36540</v>
      </c>
      <c r="B2159" s="2" t="str">
        <f>"68648"</f>
        <v>68648</v>
      </c>
      <c r="C2159" s="1">
        <v>5.8584099945886096E-4</v>
      </c>
      <c r="D2159" s="1">
        <v>5.2964699028097698E-5</v>
      </c>
      <c r="E2159" s="1">
        <v>3.8512559373528999E-4</v>
      </c>
      <c r="F2159" s="1">
        <v>5.3480335691953205E-4</v>
      </c>
    </row>
    <row r="2160" spans="1:6" x14ac:dyDescent="0.25">
      <c r="A2160" s="2" t="str">
        <f t="shared" si="77"/>
        <v>36540</v>
      </c>
      <c r="B2160" s="2" t="str">
        <f>"68124"</f>
        <v>68124</v>
      </c>
      <c r="C2160" s="1">
        <v>1.84951650471731E-2</v>
      </c>
      <c r="D2160" s="1">
        <v>2.6296973067450501E-2</v>
      </c>
      <c r="E2160" s="1">
        <v>2.8713252599597699E-2</v>
      </c>
      <c r="F2160" s="1">
        <v>1.95923152871482E-2</v>
      </c>
    </row>
    <row r="2161" spans="1:6" x14ac:dyDescent="0.25">
      <c r="A2161" s="2" t="str">
        <f t="shared" si="77"/>
        <v>36540</v>
      </c>
      <c r="B2161" s="2" t="str">
        <f>"68116"</f>
        <v>68116</v>
      </c>
      <c r="C2161" s="1">
        <v>3.17412888501988E-2</v>
      </c>
      <c r="D2161" s="1">
        <v>1.1943539630835999E-2</v>
      </c>
      <c r="E2161" s="1">
        <v>1.80581111729213E-2</v>
      </c>
      <c r="F2161" s="1">
        <v>2.9545828533816001E-2</v>
      </c>
    </row>
    <row r="2162" spans="1:6" x14ac:dyDescent="0.25">
      <c r="A2162" s="2" t="str">
        <f t="shared" si="77"/>
        <v>36540</v>
      </c>
      <c r="B2162" s="2" t="str">
        <f>"68058"</f>
        <v>68058</v>
      </c>
      <c r="C2162" s="1">
        <v>3.9997176669882102E-4</v>
      </c>
      <c r="D2162" s="1">
        <v>2.6482349514048801E-5</v>
      </c>
      <c r="E2162" s="1">
        <v>0</v>
      </c>
      <c r="F2162" s="1">
        <v>3.5173605397399997E-4</v>
      </c>
    </row>
    <row r="2163" spans="1:6" x14ac:dyDescent="0.25">
      <c r="A2163" s="2" t="str">
        <f t="shared" si="77"/>
        <v>36540</v>
      </c>
      <c r="B2163" s="2" t="str">
        <f>"68069"</f>
        <v>68069</v>
      </c>
      <c r="C2163" s="1">
        <v>3.3479989647789499E-3</v>
      </c>
      <c r="D2163" s="1">
        <v>2.83361139800323E-3</v>
      </c>
      <c r="E2163" s="1">
        <v>1.58329410757841E-3</v>
      </c>
      <c r="F2163" s="1">
        <v>3.22321869343426E-3</v>
      </c>
    </row>
    <row r="2164" spans="1:6" x14ac:dyDescent="0.25">
      <c r="A2164" s="2" t="str">
        <f t="shared" si="77"/>
        <v>36540</v>
      </c>
      <c r="B2164" s="2" t="str">
        <f>"68105"</f>
        <v>68105</v>
      </c>
      <c r="C2164" s="1">
        <v>2.5847587229136701E-2</v>
      </c>
      <c r="D2164" s="1">
        <v>1.34530335531368E-2</v>
      </c>
      <c r="E2164" s="1">
        <v>5.7982797723479799E-2</v>
      </c>
      <c r="F2164" s="1">
        <v>2.6429570511765602E-2</v>
      </c>
    </row>
    <row r="2165" spans="1:6" x14ac:dyDescent="0.25">
      <c r="A2165" s="2" t="str">
        <f t="shared" si="77"/>
        <v>36540</v>
      </c>
      <c r="B2165" s="2" t="str">
        <f>"51645"</f>
        <v>51645</v>
      </c>
      <c r="C2165" s="1">
        <v>7.9994353339764206E-5</v>
      </c>
      <c r="D2165" s="1">
        <v>0</v>
      </c>
      <c r="E2165" s="1">
        <v>0</v>
      </c>
      <c r="F2165" s="1">
        <v>6.9935823597169604E-5</v>
      </c>
    </row>
    <row r="2166" spans="1:6" x14ac:dyDescent="0.25">
      <c r="A2166" s="2" t="str">
        <f t="shared" si="77"/>
        <v>36540</v>
      </c>
      <c r="B2166" s="2" t="str">
        <f>"51579"</f>
        <v>51579</v>
      </c>
      <c r="C2166" s="1">
        <v>2.64922476060513E-3</v>
      </c>
      <c r="D2166" s="1">
        <v>2.9925054950875199E-3</v>
      </c>
      <c r="E2166" s="1">
        <v>3.2093799477940798E-3</v>
      </c>
      <c r="F2166" s="1">
        <v>2.70281388843179E-3</v>
      </c>
    </row>
    <row r="2167" spans="1:6" x14ac:dyDescent="0.25">
      <c r="A2167" s="2" t="str">
        <f t="shared" si="77"/>
        <v>36540</v>
      </c>
      <c r="B2167" s="2" t="str">
        <f>"51577"</f>
        <v>51577</v>
      </c>
      <c r="C2167" s="1">
        <v>1.1505070230336601E-3</v>
      </c>
      <c r="D2167" s="1">
        <v>1.61542332035698E-3</v>
      </c>
      <c r="E2167" s="1">
        <v>2.9954212846078099E-4</v>
      </c>
      <c r="F2167" s="1">
        <v>1.1457133454006901E-3</v>
      </c>
    </row>
    <row r="2168" spans="1:6" x14ac:dyDescent="0.25">
      <c r="A2168" s="2" t="str">
        <f t="shared" si="77"/>
        <v>36540</v>
      </c>
      <c r="B2168" s="2" t="str">
        <f>"51541"</f>
        <v>51541</v>
      </c>
      <c r="C2168" s="1">
        <v>4.0232454179704898E-4</v>
      </c>
      <c r="D2168" s="1">
        <v>1.58894097084293E-4</v>
      </c>
      <c r="E2168" s="1">
        <v>1.28375197911763E-4</v>
      </c>
      <c r="F2168" s="1">
        <v>3.7024847786736801E-4</v>
      </c>
    </row>
    <row r="2169" spans="1:6" x14ac:dyDescent="0.25">
      <c r="A2169" s="2" t="str">
        <f t="shared" si="77"/>
        <v>36540</v>
      </c>
      <c r="B2169" s="2" t="str">
        <f>"51533"</f>
        <v>51533</v>
      </c>
      <c r="C2169" s="1">
        <v>7.0347975437027904E-4</v>
      </c>
      <c r="D2169" s="1">
        <v>4.5019994173883099E-4</v>
      </c>
      <c r="E2169" s="1">
        <v>2.13958663186272E-4</v>
      </c>
      <c r="F2169" s="1">
        <v>6.6027645219680702E-4</v>
      </c>
    </row>
    <row r="2170" spans="1:6" x14ac:dyDescent="0.25">
      <c r="A2170" s="2" t="str">
        <f t="shared" si="77"/>
        <v>36540</v>
      </c>
      <c r="B2170" s="2" t="str">
        <f>"68454"</f>
        <v>68454</v>
      </c>
      <c r="C2170" s="1">
        <v>2.3527750982283599E-6</v>
      </c>
      <c r="D2170" s="1">
        <v>0</v>
      </c>
      <c r="E2170" s="1">
        <v>0</v>
      </c>
      <c r="F2170" s="1">
        <v>2.0569359881520401E-6</v>
      </c>
    </row>
    <row r="2171" spans="1:6" x14ac:dyDescent="0.25">
      <c r="A2171" s="2" t="str">
        <f t="shared" si="77"/>
        <v>36540</v>
      </c>
      <c r="B2171" s="2" t="str">
        <f>"68182"</f>
        <v>68182</v>
      </c>
      <c r="C2171" s="1">
        <v>0</v>
      </c>
      <c r="D2171" s="1">
        <v>3.3102936892561101E-2</v>
      </c>
      <c r="E2171" s="1">
        <v>1.7116693054901701E-4</v>
      </c>
      <c r="F2171" s="1">
        <v>2.5793977291426601E-3</v>
      </c>
    </row>
    <row r="2172" spans="1:6" x14ac:dyDescent="0.25">
      <c r="A2172" s="2" t="str">
        <f t="shared" si="77"/>
        <v>36540</v>
      </c>
      <c r="B2172" s="2" t="str">
        <f>"68198"</f>
        <v>68198</v>
      </c>
      <c r="C2172" s="1">
        <v>0</v>
      </c>
      <c r="D2172" s="1">
        <v>2.7541643494610798E-3</v>
      </c>
      <c r="E2172" s="1">
        <v>3.7528349522872102E-2</v>
      </c>
      <c r="F2172" s="1">
        <v>2.0178542043771501E-3</v>
      </c>
    </row>
    <row r="2173" spans="1:6" x14ac:dyDescent="0.25">
      <c r="A2173" s="2" t="str">
        <f t="shared" si="77"/>
        <v>36540</v>
      </c>
      <c r="B2173" s="2" t="str">
        <f>"68462"</f>
        <v>68462</v>
      </c>
      <c r="C2173" s="1">
        <v>2.3527750982283599E-5</v>
      </c>
      <c r="D2173" s="1">
        <v>0</v>
      </c>
      <c r="E2173" s="1">
        <v>0</v>
      </c>
      <c r="F2173" s="1">
        <v>2.05693598815204E-5</v>
      </c>
    </row>
    <row r="2174" spans="1:6" x14ac:dyDescent="0.25">
      <c r="A2174" s="2" t="str">
        <f t="shared" si="77"/>
        <v>36540</v>
      </c>
      <c r="B2174" s="2" t="str">
        <f>"68152"</f>
        <v>68152</v>
      </c>
      <c r="C2174" s="1">
        <v>6.6230619015128301E-3</v>
      </c>
      <c r="D2174" s="1">
        <v>3.54863483488255E-3</v>
      </c>
      <c r="E2174" s="1">
        <v>1.4977106423038999E-3</v>
      </c>
      <c r="F2174" s="1">
        <v>6.1378969886457099E-3</v>
      </c>
    </row>
    <row r="2175" spans="1:6" x14ac:dyDescent="0.25">
      <c r="A2175" s="2" t="str">
        <f t="shared" si="77"/>
        <v>36540</v>
      </c>
      <c r="B2175" s="2" t="str">
        <f>"68147"</f>
        <v>68147</v>
      </c>
      <c r="C2175" s="1">
        <v>1.01781050749358E-2</v>
      </c>
      <c r="D2175" s="1">
        <v>3.20436429119991E-3</v>
      </c>
      <c r="E2175" s="1">
        <v>2.95262955197055E-3</v>
      </c>
      <c r="F2175" s="1">
        <v>9.2891229224946505E-3</v>
      </c>
    </row>
    <row r="2176" spans="1:6" x14ac:dyDescent="0.25">
      <c r="A2176" s="2" t="str">
        <f t="shared" si="77"/>
        <v>36540</v>
      </c>
      <c r="B2176" s="2" t="str">
        <f>"68154"</f>
        <v>68154</v>
      </c>
      <c r="C2176" s="1">
        <v>2.5562901442251099E-2</v>
      </c>
      <c r="D2176" s="1">
        <v>4.12859828924022E-2</v>
      </c>
      <c r="E2176" s="1">
        <v>4.5573195258676001E-2</v>
      </c>
      <c r="F2176" s="1">
        <v>2.7746009544182899E-2</v>
      </c>
    </row>
    <row r="2177" spans="1:6" x14ac:dyDescent="0.25">
      <c r="A2177" s="2" t="str">
        <f t="shared" si="77"/>
        <v>36540</v>
      </c>
      <c r="B2177" s="2" t="str">
        <f>"68033"</f>
        <v>68033</v>
      </c>
      <c r="C2177" s="1">
        <v>4.2585229277933301E-4</v>
      </c>
      <c r="D2177" s="1">
        <v>2.1185879611239101E-4</v>
      </c>
      <c r="E2177" s="1">
        <v>1.28375197911763E-4</v>
      </c>
      <c r="F2177" s="1">
        <v>3.9493170972519301E-4</v>
      </c>
    </row>
    <row r="2178" spans="1:6" x14ac:dyDescent="0.25">
      <c r="A2178" s="2" t="str">
        <f t="shared" si="77"/>
        <v>36540</v>
      </c>
      <c r="B2178" s="2" t="str">
        <f>"68044"</f>
        <v>68044</v>
      </c>
      <c r="C2178" s="1">
        <v>2.6115803590334702E-4</v>
      </c>
      <c r="D2178" s="1">
        <v>7.9447048542146594E-5</v>
      </c>
      <c r="E2178" s="1">
        <v>0</v>
      </c>
      <c r="F2178" s="1">
        <v>2.3449070264933299E-4</v>
      </c>
    </row>
    <row r="2179" spans="1:6" x14ac:dyDescent="0.25">
      <c r="A2179" s="2" t="str">
        <f t="shared" si="77"/>
        <v>36540</v>
      </c>
      <c r="B2179" s="2" t="str">
        <f>"68041"</f>
        <v>68041</v>
      </c>
      <c r="C2179" s="1">
        <v>9.5052113968425696E-4</v>
      </c>
      <c r="D2179" s="1">
        <v>6.8854108736527103E-4</v>
      </c>
      <c r="E2179" s="1">
        <v>2.13958663186272E-4</v>
      </c>
      <c r="F2179" s="1">
        <v>8.9476715484614099E-4</v>
      </c>
    </row>
    <row r="2180" spans="1:6" x14ac:dyDescent="0.25">
      <c r="A2180" s="2" t="str">
        <f t="shared" si="77"/>
        <v>36540</v>
      </c>
      <c r="B2180" s="2" t="str">
        <f>"68040"</f>
        <v>68040</v>
      </c>
      <c r="C2180" s="1">
        <v>3.92913441404136E-4</v>
      </c>
      <c r="D2180" s="1">
        <v>2.6482349514048801E-5</v>
      </c>
      <c r="E2180" s="1">
        <v>4.2791732637254402E-5</v>
      </c>
      <c r="F2180" s="1">
        <v>3.4762218199769601E-4</v>
      </c>
    </row>
    <row r="2181" spans="1:6" x14ac:dyDescent="0.25">
      <c r="A2181" s="2" t="str">
        <f t="shared" si="77"/>
        <v>36540</v>
      </c>
      <c r="B2181" s="2" t="str">
        <f>"68037"</f>
        <v>68037</v>
      </c>
      <c r="C2181" s="1">
        <v>2.7127496882572901E-3</v>
      </c>
      <c r="D2181" s="1">
        <v>1.43004687375863E-3</v>
      </c>
      <c r="E2181" s="1">
        <v>7.7025118747057998E-4</v>
      </c>
      <c r="F2181" s="1">
        <v>2.51974658548625E-3</v>
      </c>
    </row>
    <row r="2182" spans="1:6" x14ac:dyDescent="0.25">
      <c r="A2182" s="2" t="str">
        <f t="shared" si="77"/>
        <v>36540</v>
      </c>
      <c r="B2182" s="2" t="str">
        <f>"68002"</f>
        <v>68002</v>
      </c>
      <c r="C2182" s="1">
        <v>2.21160859233465E-3</v>
      </c>
      <c r="D2182" s="1">
        <v>6.0909403882312399E-4</v>
      </c>
      <c r="E2182" s="1">
        <v>9.4141811801959796E-4</v>
      </c>
      <c r="F2182" s="1">
        <v>2.0260819483297601E-3</v>
      </c>
    </row>
    <row r="2183" spans="1:6" x14ac:dyDescent="0.25">
      <c r="A2183" s="2" t="str">
        <f t="shared" si="77"/>
        <v>36540</v>
      </c>
      <c r="B2183" s="2" t="str">
        <f>"68107"</f>
        <v>68107</v>
      </c>
      <c r="C2183" s="1">
        <v>2.4953532691809902E-2</v>
      </c>
      <c r="D2183" s="1">
        <v>2.46285850480654E-2</v>
      </c>
      <c r="E2183" s="1">
        <v>1.9042321023578199E-2</v>
      </c>
      <c r="F2183" s="1">
        <v>2.46441500740496E-2</v>
      </c>
    </row>
    <row r="2184" spans="1:6" x14ac:dyDescent="0.25">
      <c r="A2184" s="2" t="str">
        <f t="shared" si="77"/>
        <v>36540</v>
      </c>
      <c r="B2184" s="2" t="str">
        <f>"68106"</f>
        <v>68106</v>
      </c>
      <c r="C2184" s="1">
        <v>2.5859351104627899E-2</v>
      </c>
      <c r="D2184" s="1">
        <v>2.5025820290776098E-2</v>
      </c>
      <c r="E2184" s="1">
        <v>2.3321494287303599E-2</v>
      </c>
      <c r="F2184" s="1">
        <v>2.5672618068125701E-2</v>
      </c>
    </row>
    <row r="2185" spans="1:6" x14ac:dyDescent="0.25">
      <c r="A2185" s="2" t="str">
        <f t="shared" si="77"/>
        <v>36540</v>
      </c>
      <c r="B2185" s="2" t="str">
        <f>"68123"</f>
        <v>68123</v>
      </c>
      <c r="C2185" s="1">
        <v>3.1538950191751097E-2</v>
      </c>
      <c r="D2185" s="1">
        <v>1.2685045417229399E-2</v>
      </c>
      <c r="E2185" s="1">
        <v>2.9697462450254598E-2</v>
      </c>
      <c r="F2185" s="1">
        <v>2.99860128352805E-2</v>
      </c>
    </row>
    <row r="2186" spans="1:6" x14ac:dyDescent="0.25">
      <c r="A2186" s="2" t="str">
        <f t="shared" ref="A2186:A2217" si="78">"36540"</f>
        <v>36540</v>
      </c>
      <c r="B2186" s="2" t="str">
        <f>"68050"</f>
        <v>68050</v>
      </c>
      <c r="C2186" s="1">
        <v>7.4112415594193299E-4</v>
      </c>
      <c r="D2186" s="1">
        <v>2.3834114562643901E-4</v>
      </c>
      <c r="E2186" s="1">
        <v>1.28375197911763E-4</v>
      </c>
      <c r="F2186" s="1">
        <v>6.7261806812571898E-4</v>
      </c>
    </row>
    <row r="2187" spans="1:6" x14ac:dyDescent="0.25">
      <c r="A2187" s="2" t="str">
        <f t="shared" si="78"/>
        <v>36540</v>
      </c>
      <c r="B2187" s="2" t="str">
        <f>"68104"</f>
        <v>68104</v>
      </c>
      <c r="C2187" s="1">
        <v>3.7387949085946802E-2</v>
      </c>
      <c r="D2187" s="1">
        <v>2.0311962077275401E-2</v>
      </c>
      <c r="E2187" s="1">
        <v>3.02109632419016E-2</v>
      </c>
      <c r="F2187" s="1">
        <v>3.57166364982721E-2</v>
      </c>
    </row>
    <row r="2188" spans="1:6" x14ac:dyDescent="0.25">
      <c r="A2188" s="2" t="str">
        <f t="shared" si="78"/>
        <v>36540</v>
      </c>
      <c r="B2188" s="2" t="str">
        <f>"68102"</f>
        <v>68102</v>
      </c>
      <c r="C2188" s="1">
        <v>1.47166082394183E-2</v>
      </c>
      <c r="D2188" s="1">
        <v>3.8876089086623697E-2</v>
      </c>
      <c r="E2188" s="1">
        <v>2.0283281270058601E-2</v>
      </c>
      <c r="F2188" s="1">
        <v>1.68607042948823E-2</v>
      </c>
    </row>
    <row r="2189" spans="1:6" x14ac:dyDescent="0.25">
      <c r="A2189" s="2" t="str">
        <f t="shared" si="78"/>
        <v>36540</v>
      </c>
      <c r="B2189" s="2" t="str">
        <f>"51576"</f>
        <v>51576</v>
      </c>
      <c r="C2189" s="1">
        <v>2.0139754840834698E-3</v>
      </c>
      <c r="D2189" s="1">
        <v>7.1502343687931903E-4</v>
      </c>
      <c r="E2189" s="1">
        <v>6.4187598955881703E-4</v>
      </c>
      <c r="F2189" s="1">
        <v>1.84712851736053E-3</v>
      </c>
    </row>
    <row r="2190" spans="1:6" x14ac:dyDescent="0.25">
      <c r="A2190" s="2" t="str">
        <f t="shared" si="78"/>
        <v>36540</v>
      </c>
      <c r="B2190" s="2" t="str">
        <f>"51502"</f>
        <v>51502</v>
      </c>
      <c r="C2190" s="1">
        <v>0</v>
      </c>
      <c r="D2190" s="1">
        <v>0</v>
      </c>
      <c r="E2190" s="1">
        <v>8.55834652745089E-5</v>
      </c>
      <c r="F2190" s="1">
        <v>4.1138719763040896E-6</v>
      </c>
    </row>
    <row r="2191" spans="1:6" x14ac:dyDescent="0.25">
      <c r="A2191" s="2" t="str">
        <f t="shared" si="78"/>
        <v>36540</v>
      </c>
      <c r="B2191" s="2" t="str">
        <f>"51549"</f>
        <v>51549</v>
      </c>
      <c r="C2191" s="1">
        <v>5.5290214808366401E-4</v>
      </c>
      <c r="D2191" s="1">
        <v>2.1185879611239101E-4</v>
      </c>
      <c r="E2191" s="1">
        <v>1.28375197911763E-4</v>
      </c>
      <c r="F2191" s="1">
        <v>5.0600625308540304E-4</v>
      </c>
    </row>
    <row r="2192" spans="1:6" x14ac:dyDescent="0.25">
      <c r="A2192" s="2" t="str">
        <f t="shared" si="78"/>
        <v>36540</v>
      </c>
      <c r="B2192" s="2" t="str">
        <f>"51550"</f>
        <v>51550</v>
      </c>
      <c r="C2192" s="1">
        <v>2.32924734724607E-4</v>
      </c>
      <c r="D2192" s="1">
        <v>7.9447048542146594E-5</v>
      </c>
      <c r="E2192" s="1">
        <v>4.2791732637254402E-5</v>
      </c>
      <c r="F2192" s="1">
        <v>2.1186440677966101E-4</v>
      </c>
    </row>
    <row r="2193" spans="1:6" x14ac:dyDescent="0.25">
      <c r="A2193" s="2" t="str">
        <f t="shared" si="78"/>
        <v>36540</v>
      </c>
      <c r="B2193" s="2" t="str">
        <f>"68366"</f>
        <v>68366</v>
      </c>
      <c r="C2193" s="1">
        <v>9.8581276615768198E-4</v>
      </c>
      <c r="D2193" s="1">
        <v>4.5019994173883099E-4</v>
      </c>
      <c r="E2193" s="1">
        <v>0</v>
      </c>
      <c r="F2193" s="1">
        <v>8.9682409083429305E-4</v>
      </c>
    </row>
    <row r="2194" spans="1:6" x14ac:dyDescent="0.25">
      <c r="A2194" s="2" t="str">
        <f t="shared" si="78"/>
        <v>36540</v>
      </c>
      <c r="B2194" s="2" t="str">
        <f>"68626"</f>
        <v>68626</v>
      </c>
      <c r="C2194" s="1">
        <v>4.7055501964567198E-6</v>
      </c>
      <c r="D2194" s="1">
        <v>0</v>
      </c>
      <c r="E2194" s="1">
        <v>0</v>
      </c>
      <c r="F2194" s="1">
        <v>4.1138719763040896E-6</v>
      </c>
    </row>
    <row r="2195" spans="1:6" x14ac:dyDescent="0.25">
      <c r="A2195" s="2" t="str">
        <f t="shared" si="78"/>
        <v>36540</v>
      </c>
      <c r="B2195" s="2" t="str">
        <f>"68197"</f>
        <v>68197</v>
      </c>
      <c r="C2195" s="1">
        <v>0</v>
      </c>
      <c r="D2195" s="1">
        <v>6.5941050289981696E-3</v>
      </c>
      <c r="E2195" s="1">
        <v>4.2791732637254402E-5</v>
      </c>
      <c r="F2195" s="1">
        <v>5.1423399703801195E-4</v>
      </c>
    </row>
    <row r="2196" spans="1:6" x14ac:dyDescent="0.25">
      <c r="A2196" s="2" t="str">
        <f t="shared" si="78"/>
        <v>36540</v>
      </c>
      <c r="B2196" s="2" t="str">
        <f>"68157"</f>
        <v>68157</v>
      </c>
      <c r="C2196" s="1">
        <v>5.0937580876644004E-3</v>
      </c>
      <c r="D2196" s="1">
        <v>5.5612933979502603E-4</v>
      </c>
      <c r="E2196" s="1">
        <v>2.4391287603234999E-3</v>
      </c>
      <c r="F2196" s="1">
        <v>4.6137074214250397E-3</v>
      </c>
    </row>
    <row r="2197" spans="1:6" x14ac:dyDescent="0.25">
      <c r="A2197" s="2" t="str">
        <f t="shared" si="78"/>
        <v>36540</v>
      </c>
      <c r="B2197" s="2" t="str">
        <f>"68144"</f>
        <v>68144</v>
      </c>
      <c r="C2197" s="1">
        <v>2.52523351292849E-2</v>
      </c>
      <c r="D2197" s="1">
        <v>5.64074044649241E-2</v>
      </c>
      <c r="E2197" s="1">
        <v>2.8756044332235001E-2</v>
      </c>
      <c r="F2197" s="1">
        <v>2.7840628599637901E-2</v>
      </c>
    </row>
    <row r="2198" spans="1:6" x14ac:dyDescent="0.25">
      <c r="A2198" s="2" t="str">
        <f t="shared" si="78"/>
        <v>36540</v>
      </c>
      <c r="B2198" s="2" t="str">
        <f>"68113"</f>
        <v>68113</v>
      </c>
      <c r="C2198" s="1">
        <v>5.9525209985177496E-4</v>
      </c>
      <c r="D2198" s="1">
        <v>1.1096104446386401E-2</v>
      </c>
      <c r="E2198" s="1">
        <v>1.58329410757841E-3</v>
      </c>
      <c r="F2198" s="1">
        <v>1.4583676155998E-3</v>
      </c>
    </row>
    <row r="2199" spans="1:6" x14ac:dyDescent="0.25">
      <c r="A2199" s="2" t="str">
        <f t="shared" si="78"/>
        <v>36540</v>
      </c>
      <c r="B2199" s="2" t="str">
        <f>"68110"</f>
        <v>68110</v>
      </c>
      <c r="C2199" s="1">
        <v>8.7029150883467001E-3</v>
      </c>
      <c r="D2199" s="1">
        <v>1.5227350970578099E-2</v>
      </c>
      <c r="E2199" s="1">
        <v>9.4997646454704904E-3</v>
      </c>
      <c r="F2199" s="1">
        <v>9.24798420273161E-3</v>
      </c>
    </row>
    <row r="2200" spans="1:6" x14ac:dyDescent="0.25">
      <c r="A2200" s="2" t="str">
        <f t="shared" si="78"/>
        <v>36540</v>
      </c>
      <c r="B2200" s="2" t="str">
        <f>"68114"</f>
        <v>68114</v>
      </c>
      <c r="C2200" s="1">
        <v>2.23631273086605E-2</v>
      </c>
      <c r="D2200" s="1">
        <v>4.5417229416593798E-2</v>
      </c>
      <c r="E2200" s="1">
        <v>4.5230861397577898E-2</v>
      </c>
      <c r="F2200" s="1">
        <v>2.5253003126542699E-2</v>
      </c>
    </row>
    <row r="2201" spans="1:6" x14ac:dyDescent="0.25">
      <c r="A2201" s="2" t="str">
        <f t="shared" si="78"/>
        <v>36540</v>
      </c>
      <c r="B2201" s="2" t="str">
        <f>"68127"</f>
        <v>68127</v>
      </c>
      <c r="C2201" s="1">
        <v>2.71933745853233E-2</v>
      </c>
      <c r="D2201" s="1">
        <v>5.5559969280474499E-2</v>
      </c>
      <c r="E2201" s="1">
        <v>5.60571697548033E-2</v>
      </c>
      <c r="F2201" s="1">
        <v>3.0784103998683501E-2</v>
      </c>
    </row>
    <row r="2202" spans="1:6" x14ac:dyDescent="0.25">
      <c r="A2202" s="2" t="str">
        <f t="shared" si="78"/>
        <v>36540</v>
      </c>
      <c r="B2202" s="2" t="str">
        <f>"68070"</f>
        <v>68070</v>
      </c>
      <c r="C2202" s="1">
        <v>8.2582405947815402E-4</v>
      </c>
      <c r="D2202" s="1">
        <v>2.1185879611239101E-4</v>
      </c>
      <c r="E2202" s="1">
        <v>0</v>
      </c>
      <c r="F2202" s="1">
        <v>7.3844001974658505E-4</v>
      </c>
    </row>
    <row r="2203" spans="1:6" x14ac:dyDescent="0.25">
      <c r="A2203" s="2" t="str">
        <f t="shared" si="78"/>
        <v>36540</v>
      </c>
      <c r="B2203" s="2" t="str">
        <f>"68048"</f>
        <v>68048</v>
      </c>
      <c r="C2203" s="1">
        <v>1.3542573465402399E-2</v>
      </c>
      <c r="D2203" s="1">
        <v>9.2953046794311493E-3</v>
      </c>
      <c r="E2203" s="1">
        <v>6.8038854893234602E-3</v>
      </c>
      <c r="F2203" s="1">
        <v>1.28887609017607E-2</v>
      </c>
    </row>
    <row r="2204" spans="1:6" x14ac:dyDescent="0.25">
      <c r="A2204" s="2" t="str">
        <f t="shared" si="78"/>
        <v>36540</v>
      </c>
      <c r="B2204" s="2" t="str">
        <f>"51649"</f>
        <v>51649</v>
      </c>
      <c r="C2204" s="1">
        <v>4.7055501964567198E-6</v>
      </c>
      <c r="D2204" s="1">
        <v>0</v>
      </c>
      <c r="E2204" s="1">
        <v>0</v>
      </c>
      <c r="F2204" s="1">
        <v>4.1138719763040896E-6</v>
      </c>
    </row>
    <row r="2205" spans="1:6" x14ac:dyDescent="0.25">
      <c r="A2205" s="2" t="str">
        <f t="shared" si="78"/>
        <v>36540</v>
      </c>
      <c r="B2205" s="2" t="str">
        <f>"51565"</f>
        <v>51565</v>
      </c>
      <c r="C2205" s="1">
        <v>6.11721525539373E-5</v>
      </c>
      <c r="D2205" s="1">
        <v>0</v>
      </c>
      <c r="E2205" s="1">
        <v>0</v>
      </c>
      <c r="F2205" s="1">
        <v>5.3480335691953201E-5</v>
      </c>
    </row>
    <row r="2206" spans="1:6" x14ac:dyDescent="0.25">
      <c r="A2206" s="2" t="str">
        <f t="shared" si="78"/>
        <v>36540</v>
      </c>
      <c r="B2206" s="2" t="str">
        <f>"51562"</f>
        <v>51562</v>
      </c>
      <c r="C2206" s="1">
        <v>2.3527750982283599E-6</v>
      </c>
      <c r="D2206" s="1">
        <v>0</v>
      </c>
      <c r="E2206" s="1">
        <v>0</v>
      </c>
      <c r="F2206" s="1">
        <v>2.0569359881520401E-6</v>
      </c>
    </row>
    <row r="2207" spans="1:6" x14ac:dyDescent="0.25">
      <c r="A2207" s="2" t="str">
        <f t="shared" si="78"/>
        <v>36540</v>
      </c>
      <c r="B2207" s="2" t="str">
        <f>"51559"</f>
        <v>51559</v>
      </c>
      <c r="C2207" s="1">
        <v>1.9669199821188998E-3</v>
      </c>
      <c r="D2207" s="1">
        <v>2.9130584465453702E-4</v>
      </c>
      <c r="E2207" s="1">
        <v>8.9862638538234401E-4</v>
      </c>
      <c r="F2207" s="1">
        <v>1.78542043771597E-3</v>
      </c>
    </row>
    <row r="2208" spans="1:6" x14ac:dyDescent="0.25">
      <c r="A2208" s="2" t="str">
        <f t="shared" si="78"/>
        <v>36540</v>
      </c>
      <c r="B2208" s="2" t="str">
        <f>"51540"</f>
        <v>51540</v>
      </c>
      <c r="C2208" s="1">
        <v>5.2466884690492396E-4</v>
      </c>
      <c r="D2208" s="1">
        <v>1.3241174757024399E-4</v>
      </c>
      <c r="E2208" s="1">
        <v>4.2791732637254402E-5</v>
      </c>
      <c r="F2208" s="1">
        <v>4.7103834128681902E-4</v>
      </c>
    </row>
    <row r="2209" spans="1:6" x14ac:dyDescent="0.25">
      <c r="A2209" s="2" t="str">
        <f t="shared" si="78"/>
        <v>36540</v>
      </c>
      <c r="B2209" s="2" t="str">
        <f>"51553"</f>
        <v>51553</v>
      </c>
      <c r="C2209" s="1">
        <v>1.00934051713996E-3</v>
      </c>
      <c r="D2209" s="1">
        <v>1.3241174757024399E-4</v>
      </c>
      <c r="E2209" s="1">
        <v>2.5675039582352601E-4</v>
      </c>
      <c r="F2209" s="1">
        <v>9.0505183478690099E-4</v>
      </c>
    </row>
    <row r="2210" spans="1:6" x14ac:dyDescent="0.25">
      <c r="A2210" s="2" t="str">
        <f t="shared" si="78"/>
        <v>36540</v>
      </c>
      <c r="B2210" s="2" t="str">
        <f>"51548"</f>
        <v>51548</v>
      </c>
      <c r="C2210" s="1">
        <v>4.5643836905630102E-4</v>
      </c>
      <c r="D2210" s="1">
        <v>1.85376446598342E-4</v>
      </c>
      <c r="E2210" s="1">
        <v>8.55834652745089E-5</v>
      </c>
      <c r="F2210" s="1">
        <v>4.1755800559486501E-4</v>
      </c>
    </row>
    <row r="2211" spans="1:6" x14ac:dyDescent="0.25">
      <c r="A2211" s="2" t="str">
        <f t="shared" si="78"/>
        <v>36540</v>
      </c>
      <c r="B2211" s="2" t="str">
        <f>"51546"</f>
        <v>51546</v>
      </c>
      <c r="C2211" s="1">
        <v>3.0562548525986401E-3</v>
      </c>
      <c r="D2211" s="1">
        <v>3.3367760387701499E-3</v>
      </c>
      <c r="E2211" s="1">
        <v>2.1395866318627199E-3</v>
      </c>
      <c r="F2211" s="1">
        <v>3.0339805825242701E-3</v>
      </c>
    </row>
    <row r="2212" spans="1:6" x14ac:dyDescent="0.25">
      <c r="A2212" s="2" t="str">
        <f t="shared" si="78"/>
        <v>36540</v>
      </c>
      <c r="B2212" s="2" t="str">
        <f>"51545"</f>
        <v>51545</v>
      </c>
      <c r="C2212" s="1">
        <v>5.0114109592264003E-4</v>
      </c>
      <c r="D2212" s="1">
        <v>2.9130584465453702E-4</v>
      </c>
      <c r="E2212" s="1">
        <v>1.7116693054901701E-4</v>
      </c>
      <c r="F2212" s="1">
        <v>4.6898140529866701E-4</v>
      </c>
    </row>
    <row r="2213" spans="1:6" x14ac:dyDescent="0.25">
      <c r="A2213" s="2" t="str">
        <f t="shared" si="78"/>
        <v>36540</v>
      </c>
      <c r="B2213" s="2" t="str">
        <f>"51510"</f>
        <v>51510</v>
      </c>
      <c r="C2213" s="1">
        <v>3.67738747853092E-3</v>
      </c>
      <c r="D2213" s="1">
        <v>2.5158232038346401E-3</v>
      </c>
      <c r="E2213" s="1">
        <v>8.1304292010783501E-4</v>
      </c>
      <c r="F2213" s="1">
        <v>3.4494816521309802E-3</v>
      </c>
    </row>
    <row r="2214" spans="1:6" x14ac:dyDescent="0.25">
      <c r="A2214" s="2" t="str">
        <f t="shared" si="78"/>
        <v>36540</v>
      </c>
      <c r="B2214" s="2" t="str">
        <f>"68409"</f>
        <v>68409</v>
      </c>
      <c r="C2214" s="1">
        <v>8.2817683457638198E-4</v>
      </c>
      <c r="D2214" s="1">
        <v>1.58894097084293E-4</v>
      </c>
      <c r="E2214" s="1">
        <v>1.28375197911763E-4</v>
      </c>
      <c r="F2214" s="1">
        <v>7.4255389172288896E-4</v>
      </c>
    </row>
    <row r="2215" spans="1:6" x14ac:dyDescent="0.25">
      <c r="A2215" s="2" t="str">
        <f t="shared" si="78"/>
        <v>36540</v>
      </c>
      <c r="B2215" s="2" t="str">
        <f>"68180"</f>
        <v>68180</v>
      </c>
      <c r="C2215" s="1">
        <v>0</v>
      </c>
      <c r="D2215" s="1">
        <v>7.9447048542146594E-5</v>
      </c>
      <c r="E2215" s="1">
        <v>0</v>
      </c>
      <c r="F2215" s="1">
        <v>6.1708079644561399E-6</v>
      </c>
    </row>
    <row r="2216" spans="1:6" x14ac:dyDescent="0.25">
      <c r="A2216" s="2" t="str">
        <f t="shared" si="78"/>
        <v>36540</v>
      </c>
      <c r="B2216" s="2" t="str">
        <f>"68304"</f>
        <v>68304</v>
      </c>
      <c r="C2216" s="1">
        <v>3.6703291532362402E-4</v>
      </c>
      <c r="D2216" s="1">
        <v>2.6482349514048801E-5</v>
      </c>
      <c r="E2216" s="1">
        <v>0</v>
      </c>
      <c r="F2216" s="1">
        <v>3.2293895013987101E-4</v>
      </c>
    </row>
    <row r="2217" spans="1:6" x14ac:dyDescent="0.25">
      <c r="A2217" s="2" t="str">
        <f t="shared" si="78"/>
        <v>36540</v>
      </c>
      <c r="B2217" s="2" t="str">
        <f>"68046"</f>
        <v>68046</v>
      </c>
      <c r="C2217" s="1">
        <v>2.9372044326282799E-2</v>
      </c>
      <c r="D2217" s="1">
        <v>2.90511374169116E-2</v>
      </c>
      <c r="E2217" s="1">
        <v>1.66459839958919E-2</v>
      </c>
      <c r="F2217" s="1">
        <v>2.8735395754484101E-2</v>
      </c>
    </row>
    <row r="2218" spans="1:6" x14ac:dyDescent="0.25">
      <c r="A2218" s="2" t="str">
        <f t="shared" ref="A2218:A2249" si="79">"36540"</f>
        <v>36540</v>
      </c>
      <c r="B2218" s="2" t="str">
        <f>"68028"</f>
        <v>68028</v>
      </c>
      <c r="C2218" s="1">
        <v>1.34296402606874E-2</v>
      </c>
      <c r="D2218" s="1">
        <v>1.29498689123699E-2</v>
      </c>
      <c r="E2218" s="1">
        <v>7.1462193504214901E-3</v>
      </c>
      <c r="F2218" s="1">
        <v>1.30903406285996E-2</v>
      </c>
    </row>
    <row r="2219" spans="1:6" x14ac:dyDescent="0.25">
      <c r="A2219" s="2" t="str">
        <f t="shared" si="79"/>
        <v>36540</v>
      </c>
      <c r="B2219" s="2" t="str">
        <f>"68022"</f>
        <v>68022</v>
      </c>
      <c r="C2219" s="1">
        <v>3.4185822177257998E-2</v>
      </c>
      <c r="D2219" s="1">
        <v>2.06827149704721E-2</v>
      </c>
      <c r="E2219" s="1">
        <v>2.4690829731695799E-2</v>
      </c>
      <c r="F2219" s="1">
        <v>3.2680598979759702E-2</v>
      </c>
    </row>
    <row r="2220" spans="1:6" x14ac:dyDescent="0.25">
      <c r="A2220" s="2" t="str">
        <f t="shared" si="79"/>
        <v>36540</v>
      </c>
      <c r="B2220" s="2" t="str">
        <f>"68007"</f>
        <v>68007</v>
      </c>
      <c r="C2220" s="1">
        <v>1.45354445568548E-2</v>
      </c>
      <c r="D2220" s="1">
        <v>1.7213527184131701E-3</v>
      </c>
      <c r="E2220" s="1">
        <v>9.842098506568529E-4</v>
      </c>
      <c r="F2220" s="1">
        <v>1.28887609017607E-2</v>
      </c>
    </row>
    <row r="2221" spans="1:6" x14ac:dyDescent="0.25">
      <c r="A2221" s="2" t="str">
        <f t="shared" si="79"/>
        <v>36540</v>
      </c>
      <c r="B2221" s="2" t="str">
        <f>"68005"</f>
        <v>68005</v>
      </c>
      <c r="C2221" s="1">
        <v>2.6329906124273501E-2</v>
      </c>
      <c r="D2221" s="1">
        <v>2.7223855300442201E-2</v>
      </c>
      <c r="E2221" s="1">
        <v>3.5089220762548598E-2</v>
      </c>
      <c r="F2221" s="1">
        <v>2.6820388349514501E-2</v>
      </c>
    </row>
    <row r="2222" spans="1:6" x14ac:dyDescent="0.25">
      <c r="A2222" s="2" t="str">
        <f t="shared" si="79"/>
        <v>36540</v>
      </c>
      <c r="B2222" s="2" t="str">
        <f>"68023"</f>
        <v>68023</v>
      </c>
      <c r="C2222" s="1">
        <v>2.6633414111944999E-3</v>
      </c>
      <c r="D2222" s="1">
        <v>8.4743518444956403E-4</v>
      </c>
      <c r="E2222" s="1">
        <v>1.11258504856861E-3</v>
      </c>
      <c r="F2222" s="1">
        <v>2.4477538259009301E-3</v>
      </c>
    </row>
    <row r="2223" spans="1:6" x14ac:dyDescent="0.25">
      <c r="A2223" s="2" t="str">
        <f t="shared" si="79"/>
        <v>36540</v>
      </c>
      <c r="B2223" s="2" t="str">
        <f>"68131"</f>
        <v>68131</v>
      </c>
      <c r="C2223" s="1">
        <v>1.89092534644613E-2</v>
      </c>
      <c r="D2223" s="1">
        <v>2.3542808717989399E-2</v>
      </c>
      <c r="E2223" s="1">
        <v>5.1136120501519097E-2</v>
      </c>
      <c r="F2223" s="1">
        <v>2.0818249136086799E-2</v>
      </c>
    </row>
    <row r="2224" spans="1:6" x14ac:dyDescent="0.25">
      <c r="A2224" s="2" t="str">
        <f t="shared" si="79"/>
        <v>36540</v>
      </c>
      <c r="B2224" s="2" t="str">
        <f>"51653"</f>
        <v>51653</v>
      </c>
      <c r="C2224" s="1">
        <v>2.56452485706891E-4</v>
      </c>
      <c r="D2224" s="1">
        <v>5.2964699028097698E-5</v>
      </c>
      <c r="E2224" s="1">
        <v>8.55834652745089E-5</v>
      </c>
      <c r="F2224" s="1">
        <v>2.3243376666118101E-4</v>
      </c>
    </row>
    <row r="2225" spans="1:6" x14ac:dyDescent="0.25">
      <c r="A2225" s="2" t="str">
        <f t="shared" si="79"/>
        <v>36540</v>
      </c>
      <c r="B2225" s="2" t="str">
        <f>"51571"</f>
        <v>51571</v>
      </c>
      <c r="C2225" s="1">
        <v>6.9642142907559398E-4</v>
      </c>
      <c r="D2225" s="1">
        <v>2.1185879611239101E-4</v>
      </c>
      <c r="E2225" s="1">
        <v>4.2791732637254402E-5</v>
      </c>
      <c r="F2225" s="1">
        <v>6.2736547638637399E-4</v>
      </c>
    </row>
    <row r="2226" spans="1:6" x14ac:dyDescent="0.25">
      <c r="A2226" s="2" t="str">
        <f t="shared" si="79"/>
        <v>36540</v>
      </c>
      <c r="B2226" s="2" t="str">
        <f>"51564"</f>
        <v>51564</v>
      </c>
      <c r="C2226" s="1">
        <v>6.0466320024468799E-4</v>
      </c>
      <c r="D2226" s="1">
        <v>2.1185879611239101E-4</v>
      </c>
      <c r="E2226" s="1">
        <v>2.5675039582352601E-4</v>
      </c>
      <c r="F2226" s="1">
        <v>5.5742965278920498E-4</v>
      </c>
    </row>
    <row r="2227" spans="1:6" x14ac:dyDescent="0.25">
      <c r="A2227" s="2" t="str">
        <f t="shared" si="79"/>
        <v>36540</v>
      </c>
      <c r="B2227" s="2" t="str">
        <f>"51501"</f>
        <v>51501</v>
      </c>
      <c r="C2227" s="1">
        <v>3.6755052584523398E-2</v>
      </c>
      <c r="D2227" s="1">
        <v>3.2176054659569298E-2</v>
      </c>
      <c r="E2227" s="1">
        <v>3.55171380889212E-2</v>
      </c>
      <c r="F2227" s="1">
        <v>3.6339888102682197E-2</v>
      </c>
    </row>
    <row r="2228" spans="1:6" x14ac:dyDescent="0.25">
      <c r="A2228" s="2" t="str">
        <f t="shared" si="79"/>
        <v>36540</v>
      </c>
      <c r="B2228" s="2" t="str">
        <f>"51535"</f>
        <v>51535</v>
      </c>
      <c r="C2228" s="1">
        <v>3.4821071453779699E-4</v>
      </c>
      <c r="D2228" s="1">
        <v>7.9447048542146594E-5</v>
      </c>
      <c r="E2228" s="1">
        <v>8.55834652745089E-5</v>
      </c>
      <c r="F2228" s="1">
        <v>3.1471120618726303E-4</v>
      </c>
    </row>
    <row r="2229" spans="1:6" x14ac:dyDescent="0.25">
      <c r="A2229" s="2" t="str">
        <f t="shared" si="79"/>
        <v>36540</v>
      </c>
      <c r="B2229" s="2" t="str">
        <f>"51526"</f>
        <v>51526</v>
      </c>
      <c r="C2229" s="1">
        <v>1.7786979742606399E-3</v>
      </c>
      <c r="D2229" s="1">
        <v>3.4427054368263497E-4</v>
      </c>
      <c r="E2229" s="1">
        <v>4.2791732637254402E-5</v>
      </c>
      <c r="F2229" s="1">
        <v>1.5838407108770701E-3</v>
      </c>
    </row>
    <row r="2230" spans="1:6" x14ac:dyDescent="0.25">
      <c r="A2230" s="2" t="str">
        <f t="shared" si="79"/>
        <v>36540</v>
      </c>
      <c r="B2230" s="2" t="str">
        <f>"68407"</f>
        <v>68407</v>
      </c>
      <c r="C2230" s="1">
        <v>8.4699903536220901E-4</v>
      </c>
      <c r="D2230" s="1">
        <v>1.58894097084293E-4</v>
      </c>
      <c r="E2230" s="1">
        <v>8.55834652745089E-5</v>
      </c>
      <c r="F2230" s="1">
        <v>7.5695244363995298E-4</v>
      </c>
    </row>
    <row r="2231" spans="1:6" x14ac:dyDescent="0.25">
      <c r="A2231" s="2" t="str">
        <f t="shared" si="79"/>
        <v>36540</v>
      </c>
      <c r="B2231" s="2" t="str">
        <f>"68347"</f>
        <v>68347</v>
      </c>
      <c r="C2231" s="1">
        <v>1.9669199821188998E-3</v>
      </c>
      <c r="D2231" s="1">
        <v>6.0909403882312399E-4</v>
      </c>
      <c r="E2231" s="1">
        <v>3.42333861098035E-4</v>
      </c>
      <c r="F2231" s="1">
        <v>1.7833635017278199E-3</v>
      </c>
    </row>
    <row r="2232" spans="1:6" x14ac:dyDescent="0.25">
      <c r="A2232" s="2" t="str">
        <f t="shared" si="79"/>
        <v>36540</v>
      </c>
      <c r="B2232" s="2" t="str">
        <f>"68527"</f>
        <v>68527</v>
      </c>
      <c r="C2232" s="1">
        <v>2.11749758840552E-5</v>
      </c>
      <c r="D2232" s="1">
        <v>0</v>
      </c>
      <c r="E2232" s="1">
        <v>0</v>
      </c>
      <c r="F2232" s="1">
        <v>1.8512423893368399E-5</v>
      </c>
    </row>
    <row r="2233" spans="1:6" x14ac:dyDescent="0.25">
      <c r="A2233" s="2" t="str">
        <f t="shared" si="79"/>
        <v>36540</v>
      </c>
      <c r="B2233" s="2" t="str">
        <f>"68178"</f>
        <v>68178</v>
      </c>
      <c r="C2233" s="1">
        <v>0</v>
      </c>
      <c r="D2233" s="1">
        <v>5.2964699028097698E-5</v>
      </c>
      <c r="E2233" s="1">
        <v>3.7228807394411299E-3</v>
      </c>
      <c r="F2233" s="1">
        <v>1.83067302945532E-4</v>
      </c>
    </row>
    <row r="2234" spans="1:6" x14ac:dyDescent="0.25">
      <c r="A2234" s="2" t="str">
        <f t="shared" si="79"/>
        <v>36540</v>
      </c>
      <c r="B2234" s="2" t="str">
        <f>"68463"</f>
        <v>68463</v>
      </c>
      <c r="C2234" s="1">
        <v>1.6610592193492201E-3</v>
      </c>
      <c r="D2234" s="1">
        <v>8.2095283493551505E-4</v>
      </c>
      <c r="E2234" s="1">
        <v>8.1304292010783501E-4</v>
      </c>
      <c r="F2234" s="1">
        <v>1.5550436070429401E-3</v>
      </c>
    </row>
    <row r="2235" spans="1:6" x14ac:dyDescent="0.25">
      <c r="A2235" s="2" t="str">
        <f t="shared" si="79"/>
        <v>36540</v>
      </c>
      <c r="B2235" s="2" t="str">
        <f>"68138"</f>
        <v>68138</v>
      </c>
      <c r="C2235" s="1">
        <v>1.2820271510246299E-2</v>
      </c>
      <c r="D2235" s="1">
        <v>1.5200868621064E-2</v>
      </c>
      <c r="E2235" s="1">
        <v>1.5233856818862501E-2</v>
      </c>
      <c r="F2235" s="1">
        <v>1.31211946684219E-2</v>
      </c>
    </row>
    <row r="2236" spans="1:6" x14ac:dyDescent="0.25">
      <c r="A2236" s="2" t="str">
        <f t="shared" si="79"/>
        <v>36540</v>
      </c>
      <c r="B2236" s="2" t="str">
        <f>"68034"</f>
        <v>68034</v>
      </c>
      <c r="C2236" s="1">
        <v>8.11707408888784E-4</v>
      </c>
      <c r="D2236" s="1">
        <v>1.3241174757024399E-4</v>
      </c>
      <c r="E2236" s="1">
        <v>8.55834652745089E-5</v>
      </c>
      <c r="F2236" s="1">
        <v>7.2404146782952103E-4</v>
      </c>
    </row>
    <row r="2237" spans="1:6" x14ac:dyDescent="0.25">
      <c r="A2237" s="2" t="str">
        <f t="shared" si="79"/>
        <v>36540</v>
      </c>
      <c r="B2237" s="2" t="str">
        <f>"68008"</f>
        <v>68008</v>
      </c>
      <c r="C2237" s="1">
        <v>1.2926146389666601E-2</v>
      </c>
      <c r="D2237" s="1">
        <v>1.3135245358968199E-2</v>
      </c>
      <c r="E2237" s="1">
        <v>1.01416406350293E-2</v>
      </c>
      <c r="F2237" s="1">
        <v>1.28085403982228E-2</v>
      </c>
    </row>
    <row r="2238" spans="1:6" x14ac:dyDescent="0.25">
      <c r="A2238" s="2" t="str">
        <f t="shared" si="79"/>
        <v>36540</v>
      </c>
      <c r="B2238" s="2" t="str">
        <f>"68112"</f>
        <v>68112</v>
      </c>
      <c r="C2238" s="1">
        <v>1.15168341058278E-2</v>
      </c>
      <c r="D2238" s="1">
        <v>6.3027991843436302E-3</v>
      </c>
      <c r="E2238" s="1">
        <v>4.8782575206470103E-3</v>
      </c>
      <c r="F2238" s="1">
        <v>1.07927431298337E-2</v>
      </c>
    </row>
    <row r="2239" spans="1:6" x14ac:dyDescent="0.25">
      <c r="A2239" s="2" t="str">
        <f t="shared" si="79"/>
        <v>36540</v>
      </c>
      <c r="B2239" s="2" t="str">
        <f>"68111"</f>
        <v>68111</v>
      </c>
      <c r="C2239" s="1">
        <v>2.64734254052655E-2</v>
      </c>
      <c r="D2239" s="1">
        <v>1.36119276502211E-2</v>
      </c>
      <c r="E2239" s="1">
        <v>7.6169284094312903E-3</v>
      </c>
      <c r="F2239" s="1">
        <v>2.4568043442487999E-2</v>
      </c>
    </row>
    <row r="2240" spans="1:6" x14ac:dyDescent="0.25">
      <c r="A2240" s="2" t="str">
        <f t="shared" si="79"/>
        <v>36540</v>
      </c>
      <c r="B2240" s="2" t="str">
        <f>"68109"</f>
        <v>68109</v>
      </c>
      <c r="C2240" s="1">
        <v>2.11749758840552E-5</v>
      </c>
      <c r="D2240" s="1">
        <v>7.9447048542146594E-5</v>
      </c>
      <c r="E2240" s="1">
        <v>4.2791732637254402E-5</v>
      </c>
      <c r="F2240" s="1">
        <v>2.6740167845976601E-5</v>
      </c>
    </row>
    <row r="2241" spans="1:6" x14ac:dyDescent="0.25">
      <c r="A2241" s="2" t="str">
        <f t="shared" si="79"/>
        <v>36540</v>
      </c>
      <c r="B2241" s="2" t="str">
        <f>"68118"</f>
        <v>68118</v>
      </c>
      <c r="C2241" s="1">
        <v>8.7734983412935501E-3</v>
      </c>
      <c r="D2241" s="1">
        <v>9.2953046794311493E-3</v>
      </c>
      <c r="E2241" s="1">
        <v>6.9750524198724803E-3</v>
      </c>
      <c r="F2241" s="1">
        <v>8.7275793977291405E-3</v>
      </c>
    </row>
    <row r="2242" spans="1:6" x14ac:dyDescent="0.25">
      <c r="A2242" s="2" t="str">
        <f t="shared" si="79"/>
        <v>36540</v>
      </c>
      <c r="B2242" s="2" t="str">
        <f>"51566"</f>
        <v>51566</v>
      </c>
      <c r="C2242" s="1">
        <v>1.6469425687598501E-5</v>
      </c>
      <c r="D2242" s="1">
        <v>0</v>
      </c>
      <c r="E2242" s="1">
        <v>0</v>
      </c>
      <c r="F2242" s="1">
        <v>1.43985519170643E-5</v>
      </c>
    </row>
    <row r="2243" spans="1:6" x14ac:dyDescent="0.25">
      <c r="A2243" s="2" t="str">
        <f t="shared" si="79"/>
        <v>36540</v>
      </c>
      <c r="B2243" s="2" t="str">
        <f>"51558"</f>
        <v>51558</v>
      </c>
      <c r="C2243" s="1">
        <v>7.0583252946850801E-5</v>
      </c>
      <c r="D2243" s="1">
        <v>5.2964699028097698E-5</v>
      </c>
      <c r="E2243" s="1">
        <v>0</v>
      </c>
      <c r="F2243" s="1">
        <v>6.5821951620865501E-5</v>
      </c>
    </row>
    <row r="2244" spans="1:6" x14ac:dyDescent="0.25">
      <c r="A2244" s="2" t="str">
        <f t="shared" si="79"/>
        <v>36540</v>
      </c>
      <c r="B2244" s="2" t="str">
        <f>"51570"</f>
        <v>51570</v>
      </c>
      <c r="C2244" s="1">
        <v>2.0704420864409501E-4</v>
      </c>
      <c r="D2244" s="1">
        <v>5.2964699028097698E-5</v>
      </c>
      <c r="E2244" s="1">
        <v>0</v>
      </c>
      <c r="F2244" s="1">
        <v>1.8512423893368401E-4</v>
      </c>
    </row>
    <row r="2245" spans="1:6" x14ac:dyDescent="0.25">
      <c r="A2245" s="2" t="str">
        <f t="shared" si="79"/>
        <v>36540</v>
      </c>
      <c r="B2245" s="2" t="str">
        <f>"51557"</f>
        <v>51557</v>
      </c>
      <c r="C2245" s="1">
        <v>1.1434486977389799E-3</v>
      </c>
      <c r="D2245" s="1">
        <v>2.1185879611239101E-4</v>
      </c>
      <c r="E2245" s="1">
        <v>2.13958663186272E-4</v>
      </c>
      <c r="F2245" s="1">
        <v>1.0264110580878701E-3</v>
      </c>
    </row>
    <row r="2246" spans="1:6" x14ac:dyDescent="0.25">
      <c r="A2246" s="2" t="str">
        <f t="shared" si="79"/>
        <v>36540</v>
      </c>
      <c r="B2246" s="2" t="str">
        <f>"51542"</f>
        <v>51542</v>
      </c>
      <c r="C2246" s="1">
        <v>9.9051831635413898E-4</v>
      </c>
      <c r="D2246" s="1">
        <v>1.05929398056195E-4</v>
      </c>
      <c r="E2246" s="1">
        <v>8.55834652745089E-5</v>
      </c>
      <c r="F2246" s="1">
        <v>8.7831166694092404E-4</v>
      </c>
    </row>
    <row r="2247" spans="1:6" x14ac:dyDescent="0.25">
      <c r="A2247" s="2" t="str">
        <f t="shared" si="79"/>
        <v>36540</v>
      </c>
      <c r="B2247" s="2" t="str">
        <f>"68418"</f>
        <v>68418</v>
      </c>
      <c r="C2247" s="1">
        <v>4.7055501964567198E-6</v>
      </c>
      <c r="D2247" s="1">
        <v>0</v>
      </c>
      <c r="E2247" s="1">
        <v>0</v>
      </c>
      <c r="F2247" s="1">
        <v>4.1138719763040896E-6</v>
      </c>
    </row>
    <row r="2248" spans="1:6" x14ac:dyDescent="0.25">
      <c r="A2248" s="2" t="str">
        <f t="shared" si="79"/>
        <v>36540</v>
      </c>
      <c r="B2248" s="2" t="str">
        <f>"68183"</f>
        <v>68183</v>
      </c>
      <c r="C2248" s="1">
        <v>0</v>
      </c>
      <c r="D2248" s="1">
        <v>2.6482349514048801E-5</v>
      </c>
      <c r="E2248" s="1">
        <v>4.2791732637254402E-5</v>
      </c>
      <c r="F2248" s="1">
        <v>4.1138719763040896E-6</v>
      </c>
    </row>
    <row r="2249" spans="1:6" x14ac:dyDescent="0.25">
      <c r="A2249" s="2" t="str">
        <f t="shared" si="79"/>
        <v>36540</v>
      </c>
      <c r="B2249" s="2" t="str">
        <f>"68175"</f>
        <v>68175</v>
      </c>
      <c r="C2249" s="1">
        <v>0</v>
      </c>
      <c r="D2249" s="1">
        <v>1.05929398056195E-4</v>
      </c>
      <c r="E2249" s="1">
        <v>4.2791732637254402E-5</v>
      </c>
      <c r="F2249" s="1">
        <v>1.02846799407602E-5</v>
      </c>
    </row>
    <row r="2250" spans="1:6" x14ac:dyDescent="0.25">
      <c r="A2250" s="2" t="str">
        <f t="shared" ref="A2250:A2271" si="80">"36540"</f>
        <v>36540</v>
      </c>
      <c r="B2250" s="2" t="str">
        <f>"68042"</f>
        <v>68042</v>
      </c>
      <c r="C2250" s="1">
        <v>1.3175540550078801E-4</v>
      </c>
      <c r="D2250" s="1">
        <v>1.05929398056195E-4</v>
      </c>
      <c r="E2250" s="1">
        <v>4.2791732637254402E-5</v>
      </c>
      <c r="F2250" s="1">
        <v>1.25473095277274E-4</v>
      </c>
    </row>
    <row r="2251" spans="1:6" x14ac:dyDescent="0.25">
      <c r="A2251" s="2" t="str">
        <f t="shared" si="80"/>
        <v>36540</v>
      </c>
      <c r="B2251" s="2" t="str">
        <f>"68025"</f>
        <v>68025</v>
      </c>
      <c r="C2251" s="1">
        <v>1.80693127543938E-3</v>
      </c>
      <c r="D2251" s="1">
        <v>4.5019994173883099E-4</v>
      </c>
      <c r="E2251" s="1">
        <v>7.2745945483332602E-4</v>
      </c>
      <c r="F2251" s="1">
        <v>1.6496626624979401E-3</v>
      </c>
    </row>
    <row r="2252" spans="1:6" x14ac:dyDescent="0.25">
      <c r="A2252" s="2" t="str">
        <f t="shared" si="80"/>
        <v>36540</v>
      </c>
      <c r="B2252" s="2" t="str">
        <f>"68031"</f>
        <v>68031</v>
      </c>
      <c r="C2252" s="1">
        <v>9.8816554125591099E-5</v>
      </c>
      <c r="D2252" s="1">
        <v>5.2964699028097698E-5</v>
      </c>
      <c r="E2252" s="1">
        <v>0</v>
      </c>
      <c r="F2252" s="1">
        <v>9.0505183478690101E-5</v>
      </c>
    </row>
    <row r="2253" spans="1:6" x14ac:dyDescent="0.25">
      <c r="A2253" s="2" t="str">
        <f t="shared" si="80"/>
        <v>36540</v>
      </c>
      <c r="B2253" s="2" t="str">
        <f>"68029"</f>
        <v>68029</v>
      </c>
      <c r="C2253" s="1">
        <v>9.1052396301437495E-4</v>
      </c>
      <c r="D2253" s="1">
        <v>7.9447048542146594E-5</v>
      </c>
      <c r="E2253" s="1">
        <v>1.28375197911763E-4</v>
      </c>
      <c r="F2253" s="1">
        <v>8.0837584334375503E-4</v>
      </c>
    </row>
    <row r="2254" spans="1:6" x14ac:dyDescent="0.25">
      <c r="A2254" s="2" t="str">
        <f t="shared" si="80"/>
        <v>36540</v>
      </c>
      <c r="B2254" s="2" t="str">
        <f>"68001"</f>
        <v>68001</v>
      </c>
      <c r="C2254" s="1">
        <v>4.7055501964567198E-6</v>
      </c>
      <c r="D2254" s="1">
        <v>0</v>
      </c>
      <c r="E2254" s="1">
        <v>0</v>
      </c>
      <c r="F2254" s="1">
        <v>4.1138719763040896E-6</v>
      </c>
    </row>
    <row r="2255" spans="1:6" x14ac:dyDescent="0.25">
      <c r="A2255" s="2" t="str">
        <f t="shared" si="80"/>
        <v>36540</v>
      </c>
      <c r="B2255" s="2" t="str">
        <f>"68018"</f>
        <v>68018</v>
      </c>
      <c r="C2255" s="1">
        <v>5.17610521610239E-4</v>
      </c>
      <c r="D2255" s="1">
        <v>3.4427054368263497E-4</v>
      </c>
      <c r="E2255" s="1">
        <v>4.2791732637254402E-5</v>
      </c>
      <c r="F2255" s="1">
        <v>4.8132302122757902E-4</v>
      </c>
    </row>
    <row r="2256" spans="1:6" x14ac:dyDescent="0.25">
      <c r="A2256" s="2" t="str">
        <f t="shared" si="80"/>
        <v>36540</v>
      </c>
      <c r="B2256" s="2" t="str">
        <f>"68017"</f>
        <v>68017</v>
      </c>
      <c r="C2256" s="1">
        <v>1.34814013128485E-3</v>
      </c>
      <c r="D2256" s="1">
        <v>1.05929398056195E-4</v>
      </c>
      <c r="E2256" s="1">
        <v>3.42333861098035E-4</v>
      </c>
      <c r="F2256" s="1">
        <v>1.2033075530689401E-3</v>
      </c>
    </row>
    <row r="2257" spans="1:6" x14ac:dyDescent="0.25">
      <c r="A2257" s="2" t="str">
        <f t="shared" si="80"/>
        <v>36540</v>
      </c>
      <c r="B2257" s="2" t="str">
        <f>"68015"</f>
        <v>68015</v>
      </c>
      <c r="C2257" s="1">
        <v>1.2140319506858299E-3</v>
      </c>
      <c r="D2257" s="1">
        <v>0</v>
      </c>
      <c r="E2257" s="1">
        <v>1.7116693054901701E-4</v>
      </c>
      <c r="F2257" s="1">
        <v>1.06960671383906E-3</v>
      </c>
    </row>
    <row r="2258" spans="1:6" x14ac:dyDescent="0.25">
      <c r="A2258" s="2" t="str">
        <f t="shared" si="80"/>
        <v>36540</v>
      </c>
      <c r="B2258" s="2" t="str">
        <f>"68128"</f>
        <v>68128</v>
      </c>
      <c r="C2258" s="1">
        <v>1.8796320259746299E-2</v>
      </c>
      <c r="D2258" s="1">
        <v>2.2006832446174601E-2</v>
      </c>
      <c r="E2258" s="1">
        <v>3.02109632419016E-2</v>
      </c>
      <c r="F2258" s="1">
        <v>1.9594372223136401E-2</v>
      </c>
    </row>
    <row r="2259" spans="1:6" x14ac:dyDescent="0.25">
      <c r="A2259" s="2" t="str">
        <f t="shared" si="80"/>
        <v>36540</v>
      </c>
      <c r="B2259" s="2" t="str">
        <f>"68135"</f>
        <v>68135</v>
      </c>
      <c r="C2259" s="1">
        <v>2.50382325953462E-2</v>
      </c>
      <c r="D2259" s="1">
        <v>5.3494346018378696E-3</v>
      </c>
      <c r="E2259" s="1">
        <v>4.96384098592151E-3</v>
      </c>
      <c r="F2259" s="1">
        <v>2.25440184301464E-2</v>
      </c>
    </row>
    <row r="2260" spans="1:6" x14ac:dyDescent="0.25">
      <c r="A2260" s="2" t="str">
        <f t="shared" si="80"/>
        <v>36540</v>
      </c>
      <c r="B2260" s="2" t="str">
        <f>"68122"</f>
        <v>68122</v>
      </c>
      <c r="C2260" s="1">
        <v>1.1686233912900201E-2</v>
      </c>
      <c r="D2260" s="1">
        <v>9.1364105823468593E-3</v>
      </c>
      <c r="E2260" s="1">
        <v>8.1304292010783499E-3</v>
      </c>
      <c r="F2260" s="1">
        <v>1.1317261806812501E-2</v>
      </c>
    </row>
    <row r="2261" spans="1:6" x14ac:dyDescent="0.25">
      <c r="A2261" s="2" t="str">
        <f t="shared" si="80"/>
        <v>36540</v>
      </c>
      <c r="B2261" s="2" t="str">
        <f>"68117"</f>
        <v>68117</v>
      </c>
      <c r="C2261" s="1">
        <v>7.7712161494482698E-3</v>
      </c>
      <c r="D2261" s="1">
        <v>1.48565980773814E-2</v>
      </c>
      <c r="E2261" s="1">
        <v>3.16658821515683E-3</v>
      </c>
      <c r="F2261" s="1">
        <v>8.1002139213427592E-3</v>
      </c>
    </row>
    <row r="2262" spans="1:6" x14ac:dyDescent="0.25">
      <c r="A2262" s="2" t="str">
        <f t="shared" si="80"/>
        <v>36540</v>
      </c>
      <c r="B2262" s="2" t="str">
        <f>"68073"</f>
        <v>68073</v>
      </c>
      <c r="C2262" s="1">
        <v>2.05632543585158E-3</v>
      </c>
      <c r="D2262" s="1">
        <v>5.0316464076692797E-4</v>
      </c>
      <c r="E2262" s="1">
        <v>5.5629252428430803E-4</v>
      </c>
      <c r="F2262" s="1">
        <v>1.86358400526575E-3</v>
      </c>
    </row>
    <row r="2263" spans="1:6" x14ac:dyDescent="0.25">
      <c r="A2263" s="2" t="str">
        <f t="shared" si="80"/>
        <v>36540</v>
      </c>
      <c r="B2263" s="2" t="str">
        <f>"68065"</f>
        <v>68065</v>
      </c>
      <c r="C2263" s="1">
        <v>1.3293179304990201E-3</v>
      </c>
      <c r="D2263" s="1">
        <v>1.85376446598342E-4</v>
      </c>
      <c r="E2263" s="1">
        <v>7.7025118747057998E-4</v>
      </c>
      <c r="F2263" s="1">
        <v>1.2135922330097E-3</v>
      </c>
    </row>
    <row r="2264" spans="1:6" x14ac:dyDescent="0.25">
      <c r="A2264" s="2" t="str">
        <f t="shared" si="80"/>
        <v>36540</v>
      </c>
      <c r="B2264" s="2" t="str">
        <f>"51563"</f>
        <v>51563</v>
      </c>
      <c r="C2264" s="1">
        <v>8.0935463379055495E-4</v>
      </c>
      <c r="D2264" s="1">
        <v>2.6482349514048801E-5</v>
      </c>
      <c r="E2264" s="1">
        <v>0</v>
      </c>
      <c r="F2264" s="1">
        <v>7.0964291591245603E-4</v>
      </c>
    </row>
    <row r="2265" spans="1:6" x14ac:dyDescent="0.25">
      <c r="A2265" s="2" t="str">
        <f t="shared" si="80"/>
        <v>36540</v>
      </c>
      <c r="B2265" s="2" t="str">
        <f>"51561"</f>
        <v>51561</v>
      </c>
      <c r="C2265" s="1">
        <v>1.61635649248288E-3</v>
      </c>
      <c r="D2265" s="1">
        <v>6.3557638833717297E-4</v>
      </c>
      <c r="E2265" s="1">
        <v>8.55834652745089E-5</v>
      </c>
      <c r="F2265" s="1">
        <v>1.46659535955241E-3</v>
      </c>
    </row>
    <row r="2266" spans="1:6" x14ac:dyDescent="0.25">
      <c r="A2266" s="2" t="str">
        <f t="shared" si="80"/>
        <v>36540</v>
      </c>
      <c r="B2266" s="2" t="str">
        <f>"51560"</f>
        <v>51560</v>
      </c>
      <c r="C2266" s="1">
        <v>2.4163000258805201E-3</v>
      </c>
      <c r="D2266" s="1">
        <v>9.7984693201980805E-4</v>
      </c>
      <c r="E2266" s="1">
        <v>1.4121271770293901E-3</v>
      </c>
      <c r="F2266" s="1">
        <v>2.25645877900279E-3</v>
      </c>
    </row>
    <row r="2267" spans="1:6" x14ac:dyDescent="0.25">
      <c r="A2267" s="2" t="str">
        <f t="shared" si="80"/>
        <v>36540</v>
      </c>
      <c r="B2267" s="2" t="str">
        <f>"51552"</f>
        <v>51552</v>
      </c>
      <c r="C2267" s="1">
        <v>2.3527750982283599E-6</v>
      </c>
      <c r="D2267" s="1">
        <v>0</v>
      </c>
      <c r="E2267" s="1">
        <v>0</v>
      </c>
      <c r="F2267" s="1">
        <v>2.0569359881520401E-6</v>
      </c>
    </row>
    <row r="2268" spans="1:6" x14ac:dyDescent="0.25">
      <c r="A2268" s="2" t="str">
        <f t="shared" si="80"/>
        <v>36540</v>
      </c>
      <c r="B2268" s="2" t="str">
        <f>"51554"</f>
        <v>51554</v>
      </c>
      <c r="C2268" s="1">
        <v>1.9528033315295299E-4</v>
      </c>
      <c r="D2268" s="1">
        <v>1.3241174757024399E-4</v>
      </c>
      <c r="E2268" s="1">
        <v>4.2791732637254402E-5</v>
      </c>
      <c r="F2268" s="1">
        <v>1.83067302945532E-4</v>
      </c>
    </row>
    <row r="2269" spans="1:6" x14ac:dyDescent="0.25">
      <c r="A2269" s="2" t="str">
        <f t="shared" si="80"/>
        <v>36540</v>
      </c>
      <c r="B2269" s="2" t="str">
        <f>"51551"</f>
        <v>51551</v>
      </c>
      <c r="C2269" s="1">
        <v>2.0304449097710698E-3</v>
      </c>
      <c r="D2269" s="1">
        <v>1.05929398056195E-3</v>
      </c>
      <c r="E2269" s="1">
        <v>7.7025118747057998E-4</v>
      </c>
      <c r="F2269" s="1">
        <v>1.8944380450880299E-3</v>
      </c>
    </row>
    <row r="2270" spans="1:6" x14ac:dyDescent="0.25">
      <c r="A2270" s="2" t="str">
        <f t="shared" si="80"/>
        <v>36540</v>
      </c>
      <c r="B2270" s="2" t="str">
        <f>"51534"</f>
        <v>51534</v>
      </c>
      <c r="C2270" s="1">
        <v>9.2087617344658E-3</v>
      </c>
      <c r="D2270" s="1">
        <v>6.6735520775403102E-3</v>
      </c>
      <c r="E2270" s="1">
        <v>8.1732209337155998E-3</v>
      </c>
      <c r="F2270" s="1">
        <v>8.9620701003784702E-3</v>
      </c>
    </row>
    <row r="2271" spans="1:6" x14ac:dyDescent="0.25">
      <c r="A2271" s="2" t="str">
        <f t="shared" si="80"/>
        <v>36540</v>
      </c>
      <c r="B2271" s="2" t="str">
        <f>"51529"</f>
        <v>51529</v>
      </c>
      <c r="C2271" s="1">
        <v>1.7081147213137799E-3</v>
      </c>
      <c r="D2271" s="1">
        <v>2.0126585630677101E-3</v>
      </c>
      <c r="E2271" s="1">
        <v>1.2409602464803699E-3</v>
      </c>
      <c r="F2271" s="1">
        <v>1.7093138061543499E-3</v>
      </c>
    </row>
    <row r="2272" spans="1:6" x14ac:dyDescent="0.25">
      <c r="A2272" s="2" t="str">
        <f t="shared" ref="A2272:A2316" si="81">"22800"</f>
        <v>22800</v>
      </c>
      <c r="B2272" s="2" t="str">
        <f>"63472"</f>
        <v>63472</v>
      </c>
      <c r="C2272" s="1">
        <v>9.2889872510208502E-3</v>
      </c>
      <c r="D2272" s="1">
        <v>5.0900548159749396E-3</v>
      </c>
      <c r="E2272" s="1">
        <v>6.8649885583523997E-3</v>
      </c>
      <c r="F2272" s="1">
        <v>8.9273142020332794E-3</v>
      </c>
    </row>
    <row r="2273" spans="1:6" x14ac:dyDescent="0.25">
      <c r="A2273" s="2" t="str">
        <f t="shared" si="81"/>
        <v>22800</v>
      </c>
      <c r="B2273" s="2" t="str">
        <f>"62380"</f>
        <v>62380</v>
      </c>
      <c r="C2273" s="1">
        <v>5.7354820610330103E-3</v>
      </c>
      <c r="D2273" s="1">
        <v>1.1746280344557499E-3</v>
      </c>
      <c r="E2273" s="1">
        <v>1.1441647597254E-3</v>
      </c>
      <c r="F2273" s="1">
        <v>5.29443239742037E-3</v>
      </c>
    </row>
    <row r="2274" spans="1:6" x14ac:dyDescent="0.25">
      <c r="A2274" s="2" t="str">
        <f t="shared" si="81"/>
        <v>22800</v>
      </c>
      <c r="B2274" s="2" t="str">
        <f>"62316"</f>
        <v>62316</v>
      </c>
      <c r="C2274" s="1">
        <v>9.7253826252298795E-3</v>
      </c>
      <c r="D2274" s="1">
        <v>3.9154267815191797E-3</v>
      </c>
      <c r="E2274" s="1">
        <v>8.0091533180778E-3</v>
      </c>
      <c r="F2274" s="1">
        <v>9.2652566954856495E-3</v>
      </c>
    </row>
    <row r="2275" spans="1:6" x14ac:dyDescent="0.25">
      <c r="A2275" s="2" t="str">
        <f t="shared" si="81"/>
        <v>22800</v>
      </c>
      <c r="B2275" s="2" t="str">
        <f>"62313"</f>
        <v>62313</v>
      </c>
      <c r="C2275" s="1">
        <v>5.8913375518219501E-3</v>
      </c>
      <c r="D2275" s="1">
        <v>2.3492560689115098E-3</v>
      </c>
      <c r="E2275" s="1">
        <v>1.1441647597254E-3</v>
      </c>
      <c r="F2275" s="1">
        <v>5.5197273930552796E-3</v>
      </c>
    </row>
    <row r="2276" spans="1:6" x14ac:dyDescent="0.25">
      <c r="A2276" s="2" t="str">
        <f t="shared" si="81"/>
        <v>22800</v>
      </c>
      <c r="B2276" s="2" t="str">
        <f>"52649"</f>
        <v>52649</v>
      </c>
      <c r="C2276" s="1">
        <v>1.3715283189426699E-3</v>
      </c>
      <c r="D2276" s="1">
        <v>3.9154267815191802E-4</v>
      </c>
      <c r="E2276" s="1">
        <v>0</v>
      </c>
      <c r="F2276" s="1">
        <v>1.2672843504463599E-3</v>
      </c>
    </row>
    <row r="2277" spans="1:6" x14ac:dyDescent="0.25">
      <c r="A2277" s="2" t="str">
        <f t="shared" si="81"/>
        <v>22800</v>
      </c>
      <c r="B2277" s="2" t="str">
        <f>"63474"</f>
        <v>63474</v>
      </c>
      <c r="C2277" s="1">
        <v>1.57725756678407E-2</v>
      </c>
      <c r="D2277" s="1">
        <v>5.87314017227877E-3</v>
      </c>
      <c r="E2277" s="1">
        <v>1.2585812356979399E-2</v>
      </c>
      <c r="F2277" s="1">
        <v>1.49821172097214E-2</v>
      </c>
    </row>
    <row r="2278" spans="1:6" x14ac:dyDescent="0.25">
      <c r="A2278" s="2" t="str">
        <f t="shared" si="81"/>
        <v>22800</v>
      </c>
      <c r="B2278" s="2" t="str">
        <f>"63435"</f>
        <v>63435</v>
      </c>
      <c r="C2278" s="1">
        <v>1.77675259499392E-3</v>
      </c>
      <c r="D2278" s="1">
        <v>3.9154267815191802E-4</v>
      </c>
      <c r="E2278" s="1">
        <v>0</v>
      </c>
      <c r="F2278" s="1">
        <v>1.6333887183530901E-3</v>
      </c>
    </row>
    <row r="2279" spans="1:6" x14ac:dyDescent="0.25">
      <c r="A2279" s="2" t="str">
        <f t="shared" si="81"/>
        <v>22800</v>
      </c>
      <c r="B2279" s="2" t="str">
        <f>"52658"</f>
        <v>52658</v>
      </c>
      <c r="C2279" s="1">
        <v>1.50244693120538E-2</v>
      </c>
      <c r="D2279" s="1">
        <v>7.4393108848864499E-3</v>
      </c>
      <c r="E2279" s="1">
        <v>2.2883295194508001E-3</v>
      </c>
      <c r="F2279" s="1">
        <v>1.4165422850544901E-2</v>
      </c>
    </row>
    <row r="2280" spans="1:6" x14ac:dyDescent="0.25">
      <c r="A2280" s="2" t="str">
        <f t="shared" si="81"/>
        <v>22800</v>
      </c>
      <c r="B2280" s="2" t="str">
        <f>"62373"</f>
        <v>62373</v>
      </c>
      <c r="C2280" s="1">
        <v>4.5198092328792702E-3</v>
      </c>
      <c r="D2280" s="1">
        <v>7.8308535630383701E-4</v>
      </c>
      <c r="E2280" s="1">
        <v>1.1441647597254E-3</v>
      </c>
      <c r="F2280" s="1">
        <v>4.1679574192458203E-3</v>
      </c>
    </row>
    <row r="2281" spans="1:6" x14ac:dyDescent="0.25">
      <c r="A2281" s="2" t="str">
        <f t="shared" si="81"/>
        <v>22800</v>
      </c>
      <c r="B2281" s="2" t="str">
        <f>"62330"</f>
        <v>62330</v>
      </c>
      <c r="C2281" s="1">
        <v>2.6775973317539899E-2</v>
      </c>
      <c r="D2281" s="1">
        <v>1.1354737666405599E-2</v>
      </c>
      <c r="E2281" s="1">
        <v>6.8649885583523997E-3</v>
      </c>
      <c r="F2281" s="1">
        <v>2.51767157622011E-2</v>
      </c>
    </row>
    <row r="2282" spans="1:6" x14ac:dyDescent="0.25">
      <c r="A2282" s="2" t="str">
        <f t="shared" si="81"/>
        <v>22800</v>
      </c>
      <c r="B2282" s="2" t="str">
        <f>"61420"</f>
        <v>61420</v>
      </c>
      <c r="C2282" s="1">
        <v>1.5585549078893999E-3</v>
      </c>
      <c r="D2282" s="1">
        <v>0</v>
      </c>
      <c r="E2282" s="1">
        <v>0</v>
      </c>
      <c r="F2282" s="1">
        <v>1.40809372271818E-3</v>
      </c>
    </row>
    <row r="2283" spans="1:6" x14ac:dyDescent="0.25">
      <c r="A2283" s="2" t="str">
        <f t="shared" si="81"/>
        <v>22800</v>
      </c>
      <c r="B2283" s="2" t="str">
        <f>"52656"</f>
        <v>52656</v>
      </c>
      <c r="C2283" s="1">
        <v>3.43505501698824E-2</v>
      </c>
      <c r="D2283" s="1">
        <v>1.25293657008613E-2</v>
      </c>
      <c r="E2283" s="1">
        <v>2.4027459954233402E-2</v>
      </c>
      <c r="F2283" s="1">
        <v>3.2526964994789999E-2</v>
      </c>
    </row>
    <row r="2284" spans="1:6" x14ac:dyDescent="0.25">
      <c r="A2284" s="2" t="str">
        <f t="shared" si="81"/>
        <v>22800</v>
      </c>
      <c r="B2284" s="2" t="str">
        <f>"52625"</f>
        <v>52625</v>
      </c>
      <c r="C2284" s="1">
        <v>3.9026214893550598E-2</v>
      </c>
      <c r="D2284" s="1">
        <v>1.7227877838684399E-2</v>
      </c>
      <c r="E2284" s="1">
        <v>3.4324942791762E-2</v>
      </c>
      <c r="F2284" s="1">
        <v>3.7342645526486203E-2</v>
      </c>
    </row>
    <row r="2285" spans="1:6" x14ac:dyDescent="0.25">
      <c r="A2285" s="2" t="str">
        <f t="shared" si="81"/>
        <v>22800</v>
      </c>
      <c r="B2285" s="2" t="str">
        <f>"63430"</f>
        <v>63430</v>
      </c>
      <c r="C2285" s="1">
        <v>1.38399675820579E-2</v>
      </c>
      <c r="D2285" s="1">
        <v>1.44870790916209E-2</v>
      </c>
      <c r="E2285" s="1">
        <v>1.1441647597254E-3</v>
      </c>
      <c r="F2285" s="1">
        <v>1.3574023487003199E-2</v>
      </c>
    </row>
    <row r="2286" spans="1:6" x14ac:dyDescent="0.25">
      <c r="A2286" s="2" t="str">
        <f t="shared" si="81"/>
        <v>22800</v>
      </c>
      <c r="B2286" s="2" t="str">
        <f>"62367"</f>
        <v>62367</v>
      </c>
      <c r="C2286" s="1">
        <v>1.07851999625946E-2</v>
      </c>
      <c r="D2286" s="1">
        <v>9.7885669537979593E-3</v>
      </c>
      <c r="E2286" s="1">
        <v>6.8649885583523997E-3</v>
      </c>
      <c r="F2286" s="1">
        <v>1.06170266692951E-2</v>
      </c>
    </row>
    <row r="2287" spans="1:6" x14ac:dyDescent="0.25">
      <c r="A2287" s="2" t="str">
        <f t="shared" si="81"/>
        <v>22800</v>
      </c>
      <c r="B2287" s="2" t="str">
        <f>"62334"</f>
        <v>62334</v>
      </c>
      <c r="C2287" s="1">
        <v>2.6495433434119801E-3</v>
      </c>
      <c r="D2287" s="1">
        <v>0</v>
      </c>
      <c r="E2287" s="1">
        <v>1.1441647597254E-3</v>
      </c>
      <c r="F2287" s="1">
        <v>2.4219212030752702E-3</v>
      </c>
    </row>
    <row r="2288" spans="1:6" x14ac:dyDescent="0.25">
      <c r="A2288" s="2" t="str">
        <f t="shared" si="81"/>
        <v>22800</v>
      </c>
      <c r="B2288" s="2" t="str">
        <f>"62354"</f>
        <v>62354</v>
      </c>
      <c r="C2288" s="1">
        <v>2.6464262335962E-2</v>
      </c>
      <c r="D2288" s="1">
        <v>1.9577133907595901E-2</v>
      </c>
      <c r="E2288" s="1">
        <v>7.5514874141876395E-2</v>
      </c>
      <c r="F2288" s="1">
        <v>2.7176208848460899E-2</v>
      </c>
    </row>
    <row r="2289" spans="1:6" x14ac:dyDescent="0.25">
      <c r="A2289" s="2" t="str">
        <f t="shared" si="81"/>
        <v>22800</v>
      </c>
      <c r="B2289" s="2" t="str">
        <f>"61450"</f>
        <v>61450</v>
      </c>
      <c r="C2289" s="1">
        <v>2.9207318973847401E-2</v>
      </c>
      <c r="D2289" s="1">
        <v>1.09631949882537E-2</v>
      </c>
      <c r="E2289" s="1">
        <v>3.3180778032036597E-2</v>
      </c>
      <c r="F2289" s="1">
        <v>2.79929032076375E-2</v>
      </c>
    </row>
    <row r="2290" spans="1:6" x14ac:dyDescent="0.25">
      <c r="A2290" s="2" t="str">
        <f t="shared" si="81"/>
        <v>22800</v>
      </c>
      <c r="B2290" s="2" t="str">
        <f>"63445"</f>
        <v>63445</v>
      </c>
      <c r="C2290" s="1">
        <v>8.3507371964714305E-2</v>
      </c>
      <c r="D2290" s="1">
        <v>0.10219263899765001</v>
      </c>
      <c r="E2290" s="1">
        <v>4.2334096109839799E-2</v>
      </c>
      <c r="F2290" s="1">
        <v>8.3837900250640598E-2</v>
      </c>
    </row>
    <row r="2291" spans="1:6" x14ac:dyDescent="0.25">
      <c r="A2291" s="2" t="str">
        <f t="shared" si="81"/>
        <v>22800</v>
      </c>
      <c r="B2291" s="2" t="str">
        <f>"63432"</f>
        <v>63432</v>
      </c>
      <c r="C2291" s="1">
        <v>7.9486300302359595E-3</v>
      </c>
      <c r="D2291" s="1">
        <v>1.9577133907595899E-3</v>
      </c>
      <c r="E2291" s="1">
        <v>1.1441647597254E-3</v>
      </c>
      <c r="F2291" s="1">
        <v>7.35024923258892E-3</v>
      </c>
    </row>
    <row r="2292" spans="1:6" x14ac:dyDescent="0.25">
      <c r="A2292" s="2" t="str">
        <f t="shared" si="81"/>
        <v>22800</v>
      </c>
      <c r="B2292" s="2" t="str">
        <f>"62349"</f>
        <v>62349</v>
      </c>
      <c r="C2292" s="1">
        <v>9.3513294473364202E-5</v>
      </c>
      <c r="D2292" s="1">
        <v>0</v>
      </c>
      <c r="E2292" s="1">
        <v>0</v>
      </c>
      <c r="F2292" s="1">
        <v>8.4485623363091006E-5</v>
      </c>
    </row>
    <row r="2293" spans="1:6" x14ac:dyDescent="0.25">
      <c r="A2293" s="2" t="str">
        <f t="shared" si="81"/>
        <v>22800</v>
      </c>
      <c r="B2293" s="2" t="str">
        <f>"62336"</f>
        <v>62336</v>
      </c>
      <c r="C2293" s="1">
        <v>0</v>
      </c>
      <c r="D2293" s="1">
        <v>0</v>
      </c>
      <c r="E2293" s="1">
        <v>1.1441647597254E-3</v>
      </c>
      <c r="F2293" s="1">
        <v>2.8161874454363599E-5</v>
      </c>
    </row>
    <row r="2294" spans="1:6" x14ac:dyDescent="0.25">
      <c r="A2294" s="2" t="str">
        <f t="shared" si="81"/>
        <v>22800</v>
      </c>
      <c r="B2294" s="2" t="str">
        <f>"52657"</f>
        <v>52657</v>
      </c>
      <c r="C2294" s="1">
        <v>2.21314796920295E-3</v>
      </c>
      <c r="D2294" s="1">
        <v>2.3492560689115098E-3</v>
      </c>
      <c r="E2294" s="1">
        <v>3.4324942791761999E-3</v>
      </c>
      <c r="F2294" s="1">
        <v>2.2529499563490899E-3</v>
      </c>
    </row>
    <row r="2295" spans="1:6" x14ac:dyDescent="0.25">
      <c r="A2295" s="2" t="str">
        <f t="shared" si="81"/>
        <v>22800</v>
      </c>
      <c r="B2295" s="2" t="str">
        <f>"52639"</f>
        <v>52639</v>
      </c>
      <c r="C2295" s="1">
        <v>3.1545151335681497E-2</v>
      </c>
      <c r="D2295" s="1">
        <v>9.0054815974941194E-3</v>
      </c>
      <c r="E2295" s="1">
        <v>2.9748283752860399E-2</v>
      </c>
      <c r="F2295" s="1">
        <v>2.98797487960798E-2</v>
      </c>
    </row>
    <row r="2296" spans="1:6" x14ac:dyDescent="0.25">
      <c r="A2296" s="2" t="str">
        <f t="shared" si="81"/>
        <v>22800</v>
      </c>
      <c r="B2296" s="2" t="str">
        <f>"52632"</f>
        <v>52632</v>
      </c>
      <c r="C2296" s="1">
        <v>0.19718836694616701</v>
      </c>
      <c r="D2296" s="1">
        <v>0.27368833202819098</v>
      </c>
      <c r="E2296" s="1">
        <v>0.25858123569794</v>
      </c>
      <c r="F2296" s="1">
        <v>0.204201751668591</v>
      </c>
    </row>
    <row r="2297" spans="1:6" x14ac:dyDescent="0.25">
      <c r="A2297" s="2" t="str">
        <f t="shared" si="81"/>
        <v>22800</v>
      </c>
      <c r="B2297" s="2" t="str">
        <f>"52627"</f>
        <v>52627</v>
      </c>
      <c r="C2297" s="1">
        <v>0.19846638197063601</v>
      </c>
      <c r="D2297" s="1">
        <v>0.23884103367267001</v>
      </c>
      <c r="E2297" s="1">
        <v>0.24027459954233399</v>
      </c>
      <c r="F2297" s="1">
        <v>0.20239939170351101</v>
      </c>
    </row>
    <row r="2298" spans="1:6" x14ac:dyDescent="0.25">
      <c r="A2298" s="2" t="str">
        <f t="shared" si="81"/>
        <v>22800</v>
      </c>
      <c r="B2298" s="2" t="str">
        <f>"62379"</f>
        <v>62379</v>
      </c>
      <c r="C2298" s="1">
        <v>3.3820641501199997E-2</v>
      </c>
      <c r="D2298" s="1">
        <v>3.6021926389976498E-2</v>
      </c>
      <c r="E2298" s="1">
        <v>3.3180778032036597E-2</v>
      </c>
      <c r="F2298" s="1">
        <v>3.3963220591962599E-2</v>
      </c>
    </row>
    <row r="2299" spans="1:6" x14ac:dyDescent="0.25">
      <c r="A2299" s="2" t="str">
        <f t="shared" si="81"/>
        <v>22800</v>
      </c>
      <c r="B2299" s="2" t="str">
        <f>"62329"</f>
        <v>62329</v>
      </c>
      <c r="C2299" s="1">
        <v>0</v>
      </c>
      <c r="D2299" s="1">
        <v>0</v>
      </c>
      <c r="E2299" s="1">
        <v>1.1441647597254E-3</v>
      </c>
      <c r="F2299" s="1">
        <v>2.8161874454363599E-5</v>
      </c>
    </row>
    <row r="2300" spans="1:6" x14ac:dyDescent="0.25">
      <c r="A2300" s="2" t="str">
        <f t="shared" si="81"/>
        <v>22800</v>
      </c>
      <c r="B2300" s="2" t="str">
        <f>"63466"</f>
        <v>63466</v>
      </c>
      <c r="C2300" s="1">
        <v>0</v>
      </c>
      <c r="D2300" s="1">
        <v>0</v>
      </c>
      <c r="E2300" s="1">
        <v>1.1441647597254E-3</v>
      </c>
      <c r="F2300" s="1">
        <v>2.8161874454363599E-5</v>
      </c>
    </row>
    <row r="2301" spans="1:6" x14ac:dyDescent="0.25">
      <c r="A2301" s="2" t="str">
        <f t="shared" si="81"/>
        <v>22800</v>
      </c>
      <c r="B2301" s="2" t="str">
        <f>"63465"</f>
        <v>63465</v>
      </c>
      <c r="C2301" s="1">
        <v>1.62089710420498E-2</v>
      </c>
      <c r="D2301" s="1">
        <v>2.3492560689115098E-3</v>
      </c>
      <c r="E2301" s="1">
        <v>2.2883295194508001E-3</v>
      </c>
      <c r="F2301" s="1">
        <v>1.4869469711904001E-2</v>
      </c>
    </row>
    <row r="2302" spans="1:6" x14ac:dyDescent="0.25">
      <c r="A2302" s="2" t="str">
        <f t="shared" si="81"/>
        <v>22800</v>
      </c>
      <c r="B2302" s="2" t="str">
        <f>"63453"</f>
        <v>63453</v>
      </c>
      <c r="C2302" s="1">
        <v>7.5434057541847099E-3</v>
      </c>
      <c r="D2302" s="1">
        <v>3.1323414252153398E-3</v>
      </c>
      <c r="E2302" s="1">
        <v>2.2883295194508001E-3</v>
      </c>
      <c r="F2302" s="1">
        <v>7.0967923624996399E-3</v>
      </c>
    </row>
    <row r="2303" spans="1:6" x14ac:dyDescent="0.25">
      <c r="A2303" s="2" t="str">
        <f t="shared" si="81"/>
        <v>22800</v>
      </c>
      <c r="B2303" s="2" t="str">
        <f>"62358"</f>
        <v>62358</v>
      </c>
      <c r="C2303" s="1">
        <v>1.27801502446931E-2</v>
      </c>
      <c r="D2303" s="1">
        <v>7.8308535630383699E-3</v>
      </c>
      <c r="E2303" s="1">
        <v>2.2883295194508001E-3</v>
      </c>
      <c r="F2303" s="1">
        <v>1.2165929764285099E-2</v>
      </c>
    </row>
    <row r="2304" spans="1:6" x14ac:dyDescent="0.25">
      <c r="A2304" s="2" t="str">
        <f t="shared" si="81"/>
        <v>22800</v>
      </c>
      <c r="B2304" s="2" t="str">
        <f>"52624"</f>
        <v>52624</v>
      </c>
      <c r="C2304" s="1">
        <v>0</v>
      </c>
      <c r="D2304" s="1">
        <v>0</v>
      </c>
      <c r="E2304" s="1">
        <v>1.1441647597254E-3</v>
      </c>
      <c r="F2304" s="1">
        <v>2.8161874454363599E-5</v>
      </c>
    </row>
    <row r="2305" spans="1:6" x14ac:dyDescent="0.25">
      <c r="A2305" s="2" t="str">
        <f t="shared" si="81"/>
        <v>22800</v>
      </c>
      <c r="B2305" s="2" t="str">
        <f>"52630"</f>
        <v>52630</v>
      </c>
      <c r="C2305" s="1">
        <v>1.5273838097316101E-3</v>
      </c>
      <c r="D2305" s="1">
        <v>7.8308535630383701E-4</v>
      </c>
      <c r="E2305" s="1">
        <v>0</v>
      </c>
      <c r="F2305" s="1">
        <v>1.4362555971725399E-3</v>
      </c>
    </row>
    <row r="2306" spans="1:6" x14ac:dyDescent="0.25">
      <c r="A2306" s="2" t="str">
        <f t="shared" si="81"/>
        <v>22800</v>
      </c>
      <c r="B2306" s="2" t="str">
        <f>"52626"</f>
        <v>52626</v>
      </c>
      <c r="C2306" s="1">
        <v>5.4549421776129096E-3</v>
      </c>
      <c r="D2306" s="1">
        <v>0</v>
      </c>
      <c r="E2306" s="1">
        <v>0</v>
      </c>
      <c r="F2306" s="1">
        <v>4.9283280295136398E-3</v>
      </c>
    </row>
    <row r="2307" spans="1:6" x14ac:dyDescent="0.25">
      <c r="A2307" s="2" t="str">
        <f t="shared" si="81"/>
        <v>22800</v>
      </c>
      <c r="B2307" s="2" t="str">
        <f>"52648"</f>
        <v>52648</v>
      </c>
      <c r="C2307" s="1">
        <v>2.8053988342009202E-4</v>
      </c>
      <c r="D2307" s="1">
        <v>1.5661707126076699E-3</v>
      </c>
      <c r="E2307" s="1">
        <v>2.2883295194508001E-3</v>
      </c>
      <c r="F2307" s="1">
        <v>4.2242811681545502E-4</v>
      </c>
    </row>
    <row r="2308" spans="1:6" x14ac:dyDescent="0.25">
      <c r="A2308" s="2" t="str">
        <f t="shared" si="81"/>
        <v>22800</v>
      </c>
      <c r="B2308" s="2" t="str">
        <f>"52619"</f>
        <v>52619</v>
      </c>
      <c r="C2308" s="1">
        <v>8.2915121099716299E-3</v>
      </c>
      <c r="D2308" s="1">
        <v>2.7407987470634198E-3</v>
      </c>
      <c r="E2308" s="1">
        <v>2.2883295194508001E-3</v>
      </c>
      <c r="F2308" s="1">
        <v>7.7445154749500103E-3</v>
      </c>
    </row>
    <row r="2309" spans="1:6" x14ac:dyDescent="0.25">
      <c r="A2309" s="2" t="str">
        <f t="shared" si="81"/>
        <v>22800</v>
      </c>
      <c r="B2309" s="2" t="str">
        <f>"62374"</f>
        <v>62374</v>
      </c>
      <c r="C2309" s="1">
        <v>1.5273838097316101E-3</v>
      </c>
      <c r="D2309" s="1">
        <v>1.1746280344557499E-3</v>
      </c>
      <c r="E2309" s="1">
        <v>0</v>
      </c>
      <c r="F2309" s="1">
        <v>1.46441747162691E-3</v>
      </c>
    </row>
    <row r="2310" spans="1:6" x14ac:dyDescent="0.25">
      <c r="A2310" s="2" t="str">
        <f t="shared" si="81"/>
        <v>22800</v>
      </c>
      <c r="B2310" s="2" t="str">
        <f>"62326"</f>
        <v>62326</v>
      </c>
      <c r="C2310" s="1">
        <v>7.1693525762912597E-4</v>
      </c>
      <c r="D2310" s="1">
        <v>3.9154267815191802E-4</v>
      </c>
      <c r="E2310" s="1">
        <v>0</v>
      </c>
      <c r="F2310" s="1">
        <v>6.7588498690472805E-4</v>
      </c>
    </row>
    <row r="2311" spans="1:6" x14ac:dyDescent="0.25">
      <c r="A2311" s="2" t="str">
        <f t="shared" si="81"/>
        <v>22800</v>
      </c>
      <c r="B2311" s="2" t="str">
        <f>"62351"</f>
        <v>62351</v>
      </c>
      <c r="C2311" s="1">
        <v>1.6832393005205501E-3</v>
      </c>
      <c r="D2311" s="1">
        <v>7.8308535630383701E-4</v>
      </c>
      <c r="E2311" s="1">
        <v>0</v>
      </c>
      <c r="F2311" s="1">
        <v>1.5770649694443601E-3</v>
      </c>
    </row>
    <row r="2312" spans="1:6" x14ac:dyDescent="0.25">
      <c r="A2312" s="2" t="str">
        <f t="shared" si="81"/>
        <v>22800</v>
      </c>
      <c r="B2312" s="2" t="str">
        <f>"62346"</f>
        <v>62346</v>
      </c>
      <c r="C2312" s="1">
        <v>9.3513294473364202E-5</v>
      </c>
      <c r="D2312" s="1">
        <v>0</v>
      </c>
      <c r="E2312" s="1">
        <v>0</v>
      </c>
      <c r="F2312" s="1">
        <v>8.4485623363091006E-5</v>
      </c>
    </row>
    <row r="2313" spans="1:6" x14ac:dyDescent="0.25">
      <c r="A2313" s="2" t="str">
        <f t="shared" si="81"/>
        <v>22800</v>
      </c>
      <c r="B2313" s="2" t="str">
        <f>"62341"</f>
        <v>62341</v>
      </c>
      <c r="C2313" s="1">
        <v>5.3146722359028703E-2</v>
      </c>
      <c r="D2313" s="1">
        <v>6.0689115113547298E-2</v>
      </c>
      <c r="E2313" s="1">
        <v>4.3478260869565202E-2</v>
      </c>
      <c r="F2313" s="1">
        <v>5.3451237714382198E-2</v>
      </c>
    </row>
    <row r="2314" spans="1:6" x14ac:dyDescent="0.25">
      <c r="A2314" s="2" t="str">
        <f t="shared" si="81"/>
        <v>22800</v>
      </c>
      <c r="B2314" s="2" t="str">
        <f>"62321"</f>
        <v>62321</v>
      </c>
      <c r="C2314" s="1">
        <v>6.9293351204762904E-2</v>
      </c>
      <c r="D2314" s="1">
        <v>0.11433046202036</v>
      </c>
      <c r="E2314" s="1">
        <v>0.108695652173913</v>
      </c>
      <c r="F2314" s="1">
        <v>7.3502492325889193E-2</v>
      </c>
    </row>
    <row r="2315" spans="1:6" x14ac:dyDescent="0.25">
      <c r="A2315" s="2" t="str">
        <f t="shared" si="81"/>
        <v>22800</v>
      </c>
      <c r="B2315" s="2" t="str">
        <f>"62311"</f>
        <v>62311</v>
      </c>
      <c r="C2315" s="1">
        <v>1.2904834637324201E-2</v>
      </c>
      <c r="D2315" s="1">
        <v>1.6836335160532401E-2</v>
      </c>
      <c r="E2315" s="1">
        <v>5.7208237986270003E-3</v>
      </c>
      <c r="F2315" s="1">
        <v>1.3010785997916E-2</v>
      </c>
    </row>
    <row r="2316" spans="1:6" x14ac:dyDescent="0.25">
      <c r="A2316" s="2" t="str">
        <f t="shared" si="81"/>
        <v>22800</v>
      </c>
      <c r="B2316" s="2" t="str">
        <f>"52631"</f>
        <v>52631</v>
      </c>
      <c r="C2316" s="1">
        <v>0</v>
      </c>
      <c r="D2316" s="1">
        <v>0</v>
      </c>
      <c r="E2316" s="1">
        <v>1.1441647597254E-3</v>
      </c>
      <c r="F2316" s="1">
        <v>2.8161874454363599E-5</v>
      </c>
    </row>
    <row r="2317" spans="1:6" x14ac:dyDescent="0.25">
      <c r="A2317" s="2" t="str">
        <f t="shared" ref="A2317:A2331" si="82">"34700"</f>
        <v>34700</v>
      </c>
      <c r="B2317" s="2" t="str">
        <f>"52778"</f>
        <v>52778</v>
      </c>
      <c r="C2317" s="1">
        <v>0.115442138717517</v>
      </c>
      <c r="D2317" s="1">
        <v>0.10473372781065</v>
      </c>
      <c r="E2317" s="1">
        <v>6.6666666666666596E-2</v>
      </c>
      <c r="F2317" s="1">
        <v>0.113324349364103</v>
      </c>
    </row>
    <row r="2318" spans="1:6" x14ac:dyDescent="0.25">
      <c r="A2318" s="2" t="str">
        <f t="shared" si="82"/>
        <v>34700</v>
      </c>
      <c r="B2318" s="2" t="str">
        <f>"52754"</f>
        <v>52754</v>
      </c>
      <c r="C2318" s="1">
        <v>1.09833613759581E-2</v>
      </c>
      <c r="D2318" s="1">
        <v>0</v>
      </c>
      <c r="E2318" s="1">
        <v>1.5151515151515099E-3</v>
      </c>
      <c r="F2318" s="1">
        <v>9.9385159605828305E-3</v>
      </c>
    </row>
    <row r="2319" spans="1:6" x14ac:dyDescent="0.25">
      <c r="A2319" s="2" t="str">
        <f t="shared" si="82"/>
        <v>34700</v>
      </c>
      <c r="B2319" s="2" t="str">
        <f>"52726"</f>
        <v>52726</v>
      </c>
      <c r="C2319" s="1">
        <v>1.1871377827631299E-2</v>
      </c>
      <c r="D2319" s="1">
        <v>5.9171597633135998E-4</v>
      </c>
      <c r="E2319" s="1">
        <v>0</v>
      </c>
      <c r="F2319" s="1">
        <v>1.0738650720121199E-2</v>
      </c>
    </row>
    <row r="2320" spans="1:6" x14ac:dyDescent="0.25">
      <c r="A2320" s="2" t="str">
        <f t="shared" si="82"/>
        <v>34700</v>
      </c>
      <c r="B2320" s="2" t="str">
        <f>"52776"</f>
        <v>52776</v>
      </c>
      <c r="C2320" s="1">
        <v>8.5576743316507706E-2</v>
      </c>
      <c r="D2320" s="1">
        <v>8.8757396449704096E-2</v>
      </c>
      <c r="E2320" s="1">
        <v>0.15151515151515099</v>
      </c>
      <c r="F2320" s="1">
        <v>8.7635812347342704E-2</v>
      </c>
    </row>
    <row r="2321" spans="1:6" x14ac:dyDescent="0.25">
      <c r="A2321" s="2" t="str">
        <f t="shared" si="82"/>
        <v>34700</v>
      </c>
      <c r="B2321" s="2" t="str">
        <f>"52739"</f>
        <v>52739</v>
      </c>
      <c r="C2321" s="1">
        <v>6.7769676575060696E-3</v>
      </c>
      <c r="D2321" s="1">
        <v>2.3668639053254399E-3</v>
      </c>
      <c r="E2321" s="1">
        <v>0</v>
      </c>
      <c r="F2321" s="1">
        <v>6.2747410090120397E-3</v>
      </c>
    </row>
    <row r="2322" spans="1:6" x14ac:dyDescent="0.25">
      <c r="A2322" s="2" t="str">
        <f t="shared" si="82"/>
        <v>34700</v>
      </c>
      <c r="B2322" s="2" t="str">
        <f>"52720"</f>
        <v>52720</v>
      </c>
      <c r="C2322" s="1">
        <v>1.7012525705739301E-2</v>
      </c>
      <c r="D2322" s="1">
        <v>4.7337278106508798E-3</v>
      </c>
      <c r="E2322" s="1">
        <v>0</v>
      </c>
      <c r="F2322" s="1">
        <v>1.5665796344647501E-2</v>
      </c>
    </row>
    <row r="2323" spans="1:6" x14ac:dyDescent="0.25">
      <c r="A2323" s="2" t="str">
        <f t="shared" si="82"/>
        <v>34700</v>
      </c>
      <c r="B2323" s="2" t="str">
        <f>"52761"</f>
        <v>52761</v>
      </c>
      <c r="C2323" s="1">
        <v>0.69475602916432899</v>
      </c>
      <c r="D2323" s="1">
        <v>0.788757396449704</v>
      </c>
      <c r="E2323" s="1">
        <v>0.77424242424242395</v>
      </c>
      <c r="F2323" s="1">
        <v>0.703655352480417</v>
      </c>
    </row>
    <row r="2324" spans="1:6" x14ac:dyDescent="0.25">
      <c r="A2324" s="2" t="str">
        <f t="shared" si="82"/>
        <v>34700</v>
      </c>
      <c r="B2324" s="2" t="str">
        <f>"52769"</f>
        <v>52769</v>
      </c>
      <c r="C2324" s="1">
        <v>5.5617872499532598E-3</v>
      </c>
      <c r="D2324" s="1">
        <v>5.9171597633135998E-4</v>
      </c>
      <c r="E2324" s="1">
        <v>0</v>
      </c>
      <c r="F2324" s="1">
        <v>5.0534826918217802E-3</v>
      </c>
    </row>
    <row r="2325" spans="1:6" x14ac:dyDescent="0.25">
      <c r="A2325" s="2" t="str">
        <f t="shared" si="82"/>
        <v>34700</v>
      </c>
      <c r="B2325" s="2" t="str">
        <f>"52747"</f>
        <v>52747</v>
      </c>
      <c r="C2325" s="1">
        <v>5.2813610020564497E-3</v>
      </c>
      <c r="D2325" s="1">
        <v>5.9171597633135998E-4</v>
      </c>
      <c r="E2325" s="1">
        <v>0</v>
      </c>
      <c r="F2325" s="1">
        <v>4.8008085572306897E-3</v>
      </c>
    </row>
    <row r="2326" spans="1:6" x14ac:dyDescent="0.25">
      <c r="A2326" s="2" t="str">
        <f t="shared" si="82"/>
        <v>34700</v>
      </c>
      <c r="B2326" s="2" t="str">
        <f>"52760"</f>
        <v>52760</v>
      </c>
      <c r="C2326" s="1">
        <v>8.4127874369040907E-3</v>
      </c>
      <c r="D2326" s="1">
        <v>5.9171597633135998E-4</v>
      </c>
      <c r="E2326" s="1">
        <v>0</v>
      </c>
      <c r="F2326" s="1">
        <v>7.6223363934978501E-3</v>
      </c>
    </row>
    <row r="2327" spans="1:6" x14ac:dyDescent="0.25">
      <c r="A2327" s="2" t="str">
        <f t="shared" si="82"/>
        <v>34700</v>
      </c>
      <c r="B2327" s="2" t="str">
        <f>"52749"</f>
        <v>52749</v>
      </c>
      <c r="C2327" s="1">
        <v>1.6825574873808102E-2</v>
      </c>
      <c r="D2327" s="1">
        <v>3.5502958579881599E-3</v>
      </c>
      <c r="E2327" s="1">
        <v>3.0303030303030299E-3</v>
      </c>
      <c r="F2327" s="1">
        <v>1.54973469215867E-2</v>
      </c>
    </row>
    <row r="2328" spans="1:6" x14ac:dyDescent="0.25">
      <c r="A2328" s="2" t="str">
        <f t="shared" si="82"/>
        <v>34700</v>
      </c>
      <c r="B2328" s="2" t="str">
        <f>"52773"</f>
        <v>52773</v>
      </c>
      <c r="C2328" s="1">
        <v>3.2716395587960301E-4</v>
      </c>
      <c r="D2328" s="1">
        <v>0</v>
      </c>
      <c r="E2328" s="1">
        <v>0</v>
      </c>
      <c r="F2328" s="1">
        <v>2.9478649035627003E-4</v>
      </c>
    </row>
    <row r="2329" spans="1:6" x14ac:dyDescent="0.25">
      <c r="A2329" s="2" t="str">
        <f t="shared" si="82"/>
        <v>34700</v>
      </c>
      <c r="B2329" s="2" t="str">
        <f>"52755"</f>
        <v>52755</v>
      </c>
      <c r="C2329" s="1">
        <v>9.3475415965601003E-5</v>
      </c>
      <c r="D2329" s="1">
        <v>0</v>
      </c>
      <c r="E2329" s="1">
        <v>0</v>
      </c>
      <c r="F2329" s="1">
        <v>8.4224711530363002E-5</v>
      </c>
    </row>
    <row r="2330" spans="1:6" x14ac:dyDescent="0.25">
      <c r="A2330" s="2" t="str">
        <f t="shared" si="82"/>
        <v>34700</v>
      </c>
      <c r="B2330" s="2" t="str">
        <f>"52759"</f>
        <v>52759</v>
      </c>
      <c r="C2330" s="1">
        <v>3.4118526827444299E-3</v>
      </c>
      <c r="D2330" s="1">
        <v>2.3668639053254399E-3</v>
      </c>
      <c r="E2330" s="1">
        <v>0</v>
      </c>
      <c r="F2330" s="1">
        <v>3.24265139391897E-3</v>
      </c>
    </row>
    <row r="2331" spans="1:6" x14ac:dyDescent="0.25">
      <c r="A2331" s="2" t="str">
        <f t="shared" si="82"/>
        <v>34700</v>
      </c>
      <c r="B2331" s="2" t="str">
        <f>"52766"</f>
        <v>52766</v>
      </c>
      <c r="C2331" s="1">
        <v>1.76668536174985E-2</v>
      </c>
      <c r="D2331" s="1">
        <v>2.3668639053254399E-3</v>
      </c>
      <c r="E2331" s="1">
        <v>3.0303030303030299E-3</v>
      </c>
      <c r="F2331" s="1">
        <v>1.61711446138296E-2</v>
      </c>
    </row>
    <row r="2332" spans="1:6" x14ac:dyDescent="0.25">
      <c r="A2332" s="2" t="str">
        <f t="shared" ref="A2332:A2356" si="83">"38420"</f>
        <v>38420</v>
      </c>
      <c r="B2332" s="2" t="str">
        <f>"53802"</f>
        <v>53802</v>
      </c>
      <c r="C2332" s="1">
        <v>0</v>
      </c>
      <c r="D2332" s="1">
        <v>0</v>
      </c>
      <c r="E2332" s="1">
        <v>1.2804097311139499E-3</v>
      </c>
      <c r="F2332" s="1">
        <v>4.0256028340243898E-5</v>
      </c>
    </row>
    <row r="2333" spans="1:6" x14ac:dyDescent="0.25">
      <c r="A2333" s="2" t="str">
        <f t="shared" si="83"/>
        <v>38420</v>
      </c>
      <c r="B2333" s="2" t="str">
        <f>"53821"</f>
        <v>53821</v>
      </c>
      <c r="C2333" s="1">
        <v>5.7256990679094497E-3</v>
      </c>
      <c r="D2333" s="1">
        <v>1.30718954248366E-3</v>
      </c>
      <c r="E2333" s="1">
        <v>0</v>
      </c>
      <c r="F2333" s="1">
        <v>5.2735397125719501E-3</v>
      </c>
    </row>
    <row r="2334" spans="1:6" x14ac:dyDescent="0.25">
      <c r="A2334" s="2" t="str">
        <f t="shared" si="83"/>
        <v>38420</v>
      </c>
      <c r="B2334" s="2" t="str">
        <f>"53827"</f>
        <v>53827</v>
      </c>
      <c r="C2334" s="1">
        <v>8.0337328007101597E-3</v>
      </c>
      <c r="D2334" s="1">
        <v>1.30718954248366E-3</v>
      </c>
      <c r="E2334" s="1">
        <v>0</v>
      </c>
      <c r="F2334" s="1">
        <v>7.3668531862646396E-3</v>
      </c>
    </row>
    <row r="2335" spans="1:6" x14ac:dyDescent="0.25">
      <c r="A2335" s="2" t="str">
        <f t="shared" si="83"/>
        <v>38420</v>
      </c>
      <c r="B2335" s="2" t="str">
        <f>"53820"</f>
        <v>53820</v>
      </c>
      <c r="C2335" s="1">
        <v>5.2241455836662197E-2</v>
      </c>
      <c r="D2335" s="1">
        <v>2.8758169934640501E-2</v>
      </c>
      <c r="E2335" s="1">
        <v>2.94494238156209E-2</v>
      </c>
      <c r="F2335" s="1">
        <v>5.0078499255263399E-2</v>
      </c>
    </row>
    <row r="2336" spans="1:6" x14ac:dyDescent="0.25">
      <c r="A2336" s="2" t="str">
        <f t="shared" si="83"/>
        <v>38420</v>
      </c>
      <c r="B2336" s="2" t="str">
        <f>"53818"</f>
        <v>53818</v>
      </c>
      <c r="C2336" s="1">
        <v>0.25117620949844599</v>
      </c>
      <c r="D2336" s="1">
        <v>0.34836601307189502</v>
      </c>
      <c r="E2336" s="1">
        <v>0.40204865556978198</v>
      </c>
      <c r="F2336" s="1">
        <v>0.26190572038162702</v>
      </c>
    </row>
    <row r="2337" spans="1:6" x14ac:dyDescent="0.25">
      <c r="A2337" s="2" t="str">
        <f t="shared" si="83"/>
        <v>38420</v>
      </c>
      <c r="B2337" s="2" t="str">
        <f>"53807"</f>
        <v>53807</v>
      </c>
      <c r="C2337" s="1">
        <v>6.8397691966267105E-2</v>
      </c>
      <c r="D2337" s="1">
        <v>7.1895424836601302E-2</v>
      </c>
      <c r="E2337" s="1">
        <v>6.4020486555697795E-2</v>
      </c>
      <c r="F2337" s="1">
        <v>6.8475504206754897E-2</v>
      </c>
    </row>
    <row r="2338" spans="1:6" x14ac:dyDescent="0.25">
      <c r="A2338" s="2" t="str">
        <f t="shared" si="83"/>
        <v>38420</v>
      </c>
      <c r="B2338" s="2" t="str">
        <f>"53804"</f>
        <v>53804</v>
      </c>
      <c r="C2338" s="1">
        <v>2.8140257434531701E-2</v>
      </c>
      <c r="D2338" s="1">
        <v>7.8431372549019607E-3</v>
      </c>
      <c r="E2338" s="1">
        <v>1.5364916773367401E-2</v>
      </c>
      <c r="F2338" s="1">
        <v>2.6488466647880501E-2</v>
      </c>
    </row>
    <row r="2339" spans="1:6" x14ac:dyDescent="0.25">
      <c r="A2339" s="2" t="str">
        <f t="shared" si="83"/>
        <v>38420</v>
      </c>
      <c r="B2339" s="2" t="str">
        <f>"53812"</f>
        <v>53812</v>
      </c>
      <c r="C2339" s="1">
        <v>9.1433644030181893E-3</v>
      </c>
      <c r="D2339" s="1">
        <v>3.26797385620915E-3</v>
      </c>
      <c r="E2339" s="1">
        <v>1.2804097311139499E-3</v>
      </c>
      <c r="F2339" s="1">
        <v>8.5342780081317099E-3</v>
      </c>
    </row>
    <row r="2340" spans="1:6" x14ac:dyDescent="0.25">
      <c r="A2340" s="2" t="str">
        <f t="shared" si="83"/>
        <v>38420</v>
      </c>
      <c r="B2340" s="2" t="str">
        <f>"53805"</f>
        <v>53805</v>
      </c>
      <c r="C2340" s="1">
        <v>9.0634709276520106E-2</v>
      </c>
      <c r="D2340" s="1">
        <v>0.13398692810457499</v>
      </c>
      <c r="E2340" s="1">
        <v>8.5787451984634999E-2</v>
      </c>
      <c r="F2340" s="1">
        <v>9.3152449579324503E-2</v>
      </c>
    </row>
    <row r="2341" spans="1:6" x14ac:dyDescent="0.25">
      <c r="A2341" s="2" t="str">
        <f t="shared" si="83"/>
        <v>38420</v>
      </c>
      <c r="B2341" s="2" t="str">
        <f>"53809"</f>
        <v>53809</v>
      </c>
      <c r="C2341" s="1">
        <v>8.1180648024855695E-2</v>
      </c>
      <c r="D2341" s="1">
        <v>0.11111111111111099</v>
      </c>
      <c r="E2341" s="1">
        <v>8.5787451984634999E-2</v>
      </c>
      <c r="F2341" s="1">
        <v>8.3168954550944002E-2</v>
      </c>
    </row>
    <row r="2342" spans="1:6" x14ac:dyDescent="0.25">
      <c r="A2342" s="2" t="str">
        <f t="shared" si="83"/>
        <v>38420</v>
      </c>
      <c r="B2342" s="2" t="str">
        <f>"53808"</f>
        <v>53808</v>
      </c>
      <c r="C2342" s="1">
        <v>2.4056813138038102E-2</v>
      </c>
      <c r="D2342" s="1">
        <v>6.5359477124183002E-4</v>
      </c>
      <c r="E2342" s="1">
        <v>2.8169014084507001E-2</v>
      </c>
      <c r="F2342" s="1">
        <v>2.27446560122378E-2</v>
      </c>
    </row>
    <row r="2343" spans="1:6" x14ac:dyDescent="0.25">
      <c r="A2343" s="2" t="str">
        <f t="shared" si="83"/>
        <v>38420</v>
      </c>
      <c r="B2343" s="2" t="str">
        <f>"53811"</f>
        <v>53811</v>
      </c>
      <c r="C2343" s="1">
        <v>5.7700843320017701E-2</v>
      </c>
      <c r="D2343" s="1">
        <v>3.3333333333333298E-2</v>
      </c>
      <c r="E2343" s="1">
        <v>5.5057618437900101E-2</v>
      </c>
      <c r="F2343" s="1">
        <v>5.6116903506299998E-2</v>
      </c>
    </row>
    <row r="2344" spans="1:6" x14ac:dyDescent="0.25">
      <c r="A2344" s="2" t="str">
        <f t="shared" si="83"/>
        <v>38420</v>
      </c>
      <c r="B2344" s="2" t="str">
        <f>"53817"</f>
        <v>53817</v>
      </c>
      <c r="C2344" s="1">
        <v>2.6631158455392798E-3</v>
      </c>
      <c r="D2344" s="1">
        <v>0</v>
      </c>
      <c r="E2344" s="1">
        <v>1.2804097311139499E-3</v>
      </c>
      <c r="F2344" s="1">
        <v>2.45561772875488E-3</v>
      </c>
    </row>
    <row r="2345" spans="1:6" x14ac:dyDescent="0.25">
      <c r="A2345" s="2" t="str">
        <f t="shared" si="83"/>
        <v>38420</v>
      </c>
      <c r="B2345" s="2" t="str">
        <f>"53810"</f>
        <v>53810</v>
      </c>
      <c r="C2345" s="1">
        <v>9.5872170439414098E-3</v>
      </c>
      <c r="D2345" s="1">
        <v>7.1895424836601303E-3</v>
      </c>
      <c r="E2345" s="1">
        <v>0</v>
      </c>
      <c r="F2345" s="1">
        <v>9.1381184332353701E-3</v>
      </c>
    </row>
    <row r="2346" spans="1:6" x14ac:dyDescent="0.25">
      <c r="A2346" s="2" t="str">
        <f t="shared" si="83"/>
        <v>38420</v>
      </c>
      <c r="B2346" s="2" t="str">
        <f>"53554"</f>
        <v>53554</v>
      </c>
      <c r="C2346" s="1">
        <v>1.8508655126497998E-2</v>
      </c>
      <c r="D2346" s="1">
        <v>3.26797385620915E-3</v>
      </c>
      <c r="E2346" s="1">
        <v>5.1216389244558196E-3</v>
      </c>
      <c r="F2346" s="1">
        <v>1.7149068072943901E-2</v>
      </c>
    </row>
    <row r="2347" spans="1:6" x14ac:dyDescent="0.25">
      <c r="A2347" s="2" t="str">
        <f t="shared" si="83"/>
        <v>38420</v>
      </c>
      <c r="B2347" s="2" t="str">
        <f>"53543"</f>
        <v>53543</v>
      </c>
      <c r="C2347" s="1">
        <v>7.9893475366178397E-4</v>
      </c>
      <c r="D2347" s="1">
        <v>6.5359477124183002E-4</v>
      </c>
      <c r="E2347" s="1">
        <v>1.2804097311139499E-3</v>
      </c>
      <c r="F2347" s="1">
        <v>8.0512056680487895E-4</v>
      </c>
    </row>
    <row r="2348" spans="1:6" x14ac:dyDescent="0.25">
      <c r="A2348" s="2" t="str">
        <f t="shared" si="83"/>
        <v>38420</v>
      </c>
      <c r="B2348" s="2" t="str">
        <f>"53824"</f>
        <v>53824</v>
      </c>
      <c r="C2348" s="1">
        <v>4.4385264092321297E-5</v>
      </c>
      <c r="D2348" s="1">
        <v>0</v>
      </c>
      <c r="E2348" s="1">
        <v>1.2804097311139499E-3</v>
      </c>
      <c r="F2348" s="1">
        <v>8.0512056680487904E-5</v>
      </c>
    </row>
    <row r="2349" spans="1:6" x14ac:dyDescent="0.25">
      <c r="A2349" s="2" t="str">
        <f t="shared" si="83"/>
        <v>38420</v>
      </c>
      <c r="B2349" s="2" t="str">
        <f>"53825"</f>
        <v>53825</v>
      </c>
      <c r="C2349" s="1">
        <v>9.3209054593874803E-3</v>
      </c>
      <c r="D2349" s="1">
        <v>2.6143790849673201E-3</v>
      </c>
      <c r="E2349" s="1">
        <v>2.5608194622279098E-3</v>
      </c>
      <c r="F2349" s="1">
        <v>8.6953021214926894E-3</v>
      </c>
    </row>
    <row r="2350" spans="1:6" x14ac:dyDescent="0.25">
      <c r="A2350" s="2" t="str">
        <f t="shared" si="83"/>
        <v>38420</v>
      </c>
      <c r="B2350" s="2" t="str">
        <f>"53801"</f>
        <v>53801</v>
      </c>
      <c r="C2350" s="1">
        <v>2.2991566799822401E-2</v>
      </c>
      <c r="D2350" s="1">
        <v>5.2287581699346402E-3</v>
      </c>
      <c r="E2350" s="1">
        <v>2.5608194622279098E-3</v>
      </c>
      <c r="F2350" s="1">
        <v>2.1255182963648801E-2</v>
      </c>
    </row>
    <row r="2351" spans="1:6" x14ac:dyDescent="0.25">
      <c r="A2351" s="2" t="str">
        <f t="shared" si="83"/>
        <v>38420</v>
      </c>
      <c r="B2351" s="2" t="str">
        <f>"53573"</f>
        <v>53573</v>
      </c>
      <c r="C2351" s="1">
        <v>4.3586329338659503E-2</v>
      </c>
      <c r="D2351" s="1">
        <v>1.1111111111111099E-2</v>
      </c>
      <c r="E2351" s="1">
        <v>3.2010243277848897E-2</v>
      </c>
      <c r="F2351" s="1">
        <v>4.12221730204098E-2</v>
      </c>
    </row>
    <row r="2352" spans="1:6" x14ac:dyDescent="0.25">
      <c r="A2352" s="2" t="str">
        <f t="shared" si="83"/>
        <v>38420</v>
      </c>
      <c r="B2352" s="2" t="str">
        <f>"53569"</f>
        <v>53569</v>
      </c>
      <c r="C2352" s="1">
        <v>1.8774966711051898E-2</v>
      </c>
      <c r="D2352" s="1">
        <v>7.8431372549019607E-3</v>
      </c>
      <c r="E2352" s="1">
        <v>7.6824583866837298E-3</v>
      </c>
      <c r="F2352" s="1">
        <v>1.77529084980475E-2</v>
      </c>
    </row>
    <row r="2353" spans="1:6" x14ac:dyDescent="0.25">
      <c r="A2353" s="2" t="str">
        <f t="shared" si="83"/>
        <v>38420</v>
      </c>
      <c r="B2353" s="2" t="str">
        <f>"53518"</f>
        <v>53518</v>
      </c>
      <c r="C2353" s="1">
        <v>1.20727918331114E-2</v>
      </c>
      <c r="D2353" s="1">
        <v>5.8823529411764696E-3</v>
      </c>
      <c r="E2353" s="1">
        <v>6.4020486555697803E-3</v>
      </c>
      <c r="F2353" s="1">
        <v>1.1513224105309699E-2</v>
      </c>
    </row>
    <row r="2354" spans="1:6" x14ac:dyDescent="0.25">
      <c r="A2354" s="2" t="str">
        <f t="shared" si="83"/>
        <v>38420</v>
      </c>
      <c r="B2354" s="2" t="str">
        <f>"53816"</f>
        <v>53816</v>
      </c>
      <c r="C2354" s="1">
        <v>1.5801154016866398E-2</v>
      </c>
      <c r="D2354" s="1">
        <v>1.9607843137254902E-3</v>
      </c>
      <c r="E2354" s="1">
        <v>6.4020486555697803E-3</v>
      </c>
      <c r="F2354" s="1">
        <v>1.4653194315848699E-2</v>
      </c>
    </row>
    <row r="2355" spans="1:6" x14ac:dyDescent="0.25">
      <c r="A2355" s="2" t="str">
        <f t="shared" si="83"/>
        <v>38420</v>
      </c>
      <c r="B2355" s="2" t="str">
        <f>"53813"</f>
        <v>53813</v>
      </c>
      <c r="C2355" s="1">
        <v>0.127518863737239</v>
      </c>
      <c r="D2355" s="1">
        <v>0.19869281045751599</v>
      </c>
      <c r="E2355" s="1">
        <v>0.13956466069142101</v>
      </c>
      <c r="F2355" s="1">
        <v>0.132281309126041</v>
      </c>
    </row>
    <row r="2356" spans="1:6" x14ac:dyDescent="0.25">
      <c r="A2356" s="2" t="str">
        <f t="shared" si="83"/>
        <v>38420</v>
      </c>
      <c r="B2356" s="2" t="str">
        <f>"53806"</f>
        <v>53806</v>
      </c>
      <c r="C2356" s="1">
        <v>4.18996893031513E-2</v>
      </c>
      <c r="D2356" s="1">
        <v>1.37254901960784E-2</v>
      </c>
      <c r="E2356" s="1">
        <v>2.5608194622279101E-2</v>
      </c>
      <c r="F2356" s="1">
        <v>3.9652187915140198E-2</v>
      </c>
    </row>
    <row r="2357" spans="1:6" x14ac:dyDescent="0.25">
      <c r="A2357" s="2" t="str">
        <f t="shared" ref="A2357:A2377" si="84">"12660"</f>
        <v>12660</v>
      </c>
      <c r="B2357" s="2" t="str">
        <f>"53942"</f>
        <v>53942</v>
      </c>
      <c r="C2357" s="1">
        <v>1.46198830409356E-3</v>
      </c>
      <c r="D2357" s="1">
        <v>0</v>
      </c>
      <c r="E2357" s="1">
        <v>8.05152979066022E-4</v>
      </c>
      <c r="F2357" s="1">
        <v>1.3292231115133301E-3</v>
      </c>
    </row>
    <row r="2358" spans="1:6" x14ac:dyDescent="0.25">
      <c r="A2358" s="2" t="str">
        <f t="shared" si="84"/>
        <v>12660</v>
      </c>
      <c r="B2358" s="2" t="str">
        <f>"53941"</f>
        <v>53941</v>
      </c>
      <c r="C2358" s="1">
        <v>5.5237732011187299E-2</v>
      </c>
      <c r="D2358" s="1">
        <v>9.4232943837165399E-3</v>
      </c>
      <c r="E2358" s="1">
        <v>6.4412238325281803E-3</v>
      </c>
      <c r="F2358" s="1">
        <v>5.0086258095534297E-2</v>
      </c>
    </row>
    <row r="2359" spans="1:6" x14ac:dyDescent="0.25">
      <c r="A2359" s="2" t="str">
        <f t="shared" si="84"/>
        <v>12660</v>
      </c>
      <c r="B2359" s="2" t="str">
        <f>"53961"</f>
        <v>53961</v>
      </c>
      <c r="C2359" s="1">
        <v>1.2045512331553499E-2</v>
      </c>
      <c r="D2359" s="1">
        <v>9.0463626083678791E-3</v>
      </c>
      <c r="E2359" s="1">
        <v>3.2206119162640902E-3</v>
      </c>
      <c r="F2359" s="1">
        <v>1.15105065188495E-2</v>
      </c>
    </row>
    <row r="2360" spans="1:6" x14ac:dyDescent="0.25">
      <c r="A2360" s="2" t="str">
        <f t="shared" si="84"/>
        <v>12660</v>
      </c>
      <c r="B2360" s="2" t="str">
        <f>"53901"</f>
        <v>53901</v>
      </c>
      <c r="C2360" s="1">
        <v>3.1782354436816602E-5</v>
      </c>
      <c r="D2360" s="1">
        <v>0</v>
      </c>
      <c r="E2360" s="1">
        <v>0</v>
      </c>
      <c r="F2360" s="1">
        <v>2.8281342798156E-5</v>
      </c>
    </row>
    <row r="2361" spans="1:6" x14ac:dyDescent="0.25">
      <c r="A2361" s="2" t="str">
        <f t="shared" si="84"/>
        <v>12660</v>
      </c>
      <c r="B2361" s="2" t="str">
        <f>"53944"</f>
        <v>53944</v>
      </c>
      <c r="C2361" s="1">
        <v>3.0193236714975802E-3</v>
      </c>
      <c r="D2361" s="1">
        <v>7.5386355069732305E-4</v>
      </c>
      <c r="E2361" s="1">
        <v>0</v>
      </c>
      <c r="F2361" s="1">
        <v>2.7432902514211298E-3</v>
      </c>
    </row>
    <row r="2362" spans="1:6" x14ac:dyDescent="0.25">
      <c r="A2362" s="2" t="str">
        <f t="shared" si="84"/>
        <v>12660</v>
      </c>
      <c r="B2362" s="2" t="str">
        <f>"53924"</f>
        <v>53924</v>
      </c>
      <c r="C2362" s="1">
        <v>6.9921179760996596E-4</v>
      </c>
      <c r="D2362" s="1">
        <v>7.5386355069732305E-4</v>
      </c>
      <c r="E2362" s="1">
        <v>0</v>
      </c>
      <c r="F2362" s="1">
        <v>6.7875222715574497E-4</v>
      </c>
    </row>
    <row r="2363" spans="1:6" x14ac:dyDescent="0.25">
      <c r="A2363" s="2" t="str">
        <f t="shared" si="84"/>
        <v>12660</v>
      </c>
      <c r="B2363" s="2" t="str">
        <f>"53940"</f>
        <v>53940</v>
      </c>
      <c r="C2363" s="1">
        <v>6.3564708873633299E-5</v>
      </c>
      <c r="D2363" s="1">
        <v>0</v>
      </c>
      <c r="E2363" s="1">
        <v>8.05152979066022E-4</v>
      </c>
      <c r="F2363" s="1">
        <v>8.4844028394468095E-5</v>
      </c>
    </row>
    <row r="2364" spans="1:6" x14ac:dyDescent="0.25">
      <c r="A2364" s="2" t="str">
        <f t="shared" si="84"/>
        <v>12660</v>
      </c>
      <c r="B2364" s="2" t="str">
        <f>"53951"</f>
        <v>53951</v>
      </c>
      <c r="C2364" s="1">
        <v>3.4897025171624699E-2</v>
      </c>
      <c r="D2364" s="1">
        <v>1.09310214851111E-2</v>
      </c>
      <c r="E2364" s="1">
        <v>8.0515297906602196E-3</v>
      </c>
      <c r="F2364" s="1">
        <v>3.2155886761503397E-2</v>
      </c>
    </row>
    <row r="2365" spans="1:6" x14ac:dyDescent="0.25">
      <c r="A2365" s="2" t="str">
        <f t="shared" si="84"/>
        <v>12660</v>
      </c>
      <c r="B2365" s="2" t="str">
        <f>"53583"</f>
        <v>53583</v>
      </c>
      <c r="C2365" s="1">
        <v>6.1753114670734799E-2</v>
      </c>
      <c r="D2365" s="1">
        <v>8.9709762532981505E-2</v>
      </c>
      <c r="E2365" s="1">
        <v>7.6489533011272107E-2</v>
      </c>
      <c r="F2365" s="1">
        <v>6.4368336208603105E-2</v>
      </c>
    </row>
    <row r="2366" spans="1:6" x14ac:dyDescent="0.25">
      <c r="A2366" s="2" t="str">
        <f t="shared" si="84"/>
        <v>12660</v>
      </c>
      <c r="B2366" s="2" t="str">
        <f>"53943"</f>
        <v>53943</v>
      </c>
      <c r="C2366" s="1">
        <v>1.50330536486142E-2</v>
      </c>
      <c r="D2366" s="1">
        <v>7.9155672823218899E-3</v>
      </c>
      <c r="E2366" s="1">
        <v>8.8566827697262405E-3</v>
      </c>
      <c r="F2366" s="1">
        <v>1.4282078113068799E-2</v>
      </c>
    </row>
    <row r="2367" spans="1:6" x14ac:dyDescent="0.25">
      <c r="A2367" s="2" t="str">
        <f t="shared" si="84"/>
        <v>12660</v>
      </c>
      <c r="B2367" s="2" t="str">
        <f>"53965"</f>
        <v>53965</v>
      </c>
      <c r="C2367" s="1">
        <v>6.9603356216628498E-2</v>
      </c>
      <c r="D2367" s="1">
        <v>9.2725216735770805E-2</v>
      </c>
      <c r="E2367" s="1">
        <v>0.115942028985507</v>
      </c>
      <c r="F2367" s="1">
        <v>7.2965864419242604E-2</v>
      </c>
    </row>
    <row r="2368" spans="1:6" x14ac:dyDescent="0.25">
      <c r="A2368" s="2" t="str">
        <f t="shared" si="84"/>
        <v>12660</v>
      </c>
      <c r="B2368" s="2" t="str">
        <f>"53968"</f>
        <v>53968</v>
      </c>
      <c r="C2368" s="1">
        <v>8.2634121535723297E-3</v>
      </c>
      <c r="D2368" s="1">
        <v>3.7693177534866098E-3</v>
      </c>
      <c r="E2368" s="1">
        <v>0</v>
      </c>
      <c r="F2368" s="1">
        <v>7.63596255550213E-3</v>
      </c>
    </row>
    <row r="2369" spans="1:6" x14ac:dyDescent="0.25">
      <c r="A2369" s="2" t="str">
        <f t="shared" si="84"/>
        <v>12660</v>
      </c>
      <c r="B2369" s="2" t="str">
        <f>"53577"</f>
        <v>53577</v>
      </c>
      <c r="C2369" s="1">
        <v>2.0753877447241199E-2</v>
      </c>
      <c r="D2369" s="1">
        <v>6.0309084055785904E-3</v>
      </c>
      <c r="E2369" s="1">
        <v>1.20772946859903E-2</v>
      </c>
      <c r="F2369" s="1">
        <v>1.9344438473938699E-2</v>
      </c>
    </row>
    <row r="2370" spans="1:6" x14ac:dyDescent="0.25">
      <c r="A2370" s="2" t="str">
        <f t="shared" si="84"/>
        <v>12660</v>
      </c>
      <c r="B2370" s="2" t="str">
        <f>"53588"</f>
        <v>53588</v>
      </c>
      <c r="C2370" s="1">
        <v>5.39346554792779E-2</v>
      </c>
      <c r="D2370" s="1">
        <v>6.4455333584621105E-2</v>
      </c>
      <c r="E2370" s="1">
        <v>4.4283413848631201E-2</v>
      </c>
      <c r="F2370" s="1">
        <v>5.4385022200853998E-2</v>
      </c>
    </row>
    <row r="2371" spans="1:6" x14ac:dyDescent="0.25">
      <c r="A2371" s="2" t="str">
        <f t="shared" si="84"/>
        <v>12660</v>
      </c>
      <c r="B2371" s="2" t="str">
        <f>"53959"</f>
        <v>53959</v>
      </c>
      <c r="C2371" s="1">
        <v>0.20426519196542001</v>
      </c>
      <c r="D2371" s="1">
        <v>0.18658122879758701</v>
      </c>
      <c r="E2371" s="1">
        <v>0.203703703703703</v>
      </c>
      <c r="F2371" s="1">
        <v>0.20291863457676901</v>
      </c>
    </row>
    <row r="2372" spans="1:6" x14ac:dyDescent="0.25">
      <c r="A2372" s="2" t="str">
        <f t="shared" si="84"/>
        <v>12660</v>
      </c>
      <c r="B2372" s="2" t="str">
        <f>"53556"</f>
        <v>53556</v>
      </c>
      <c r="C2372" s="1">
        <v>6.6742944317315003E-3</v>
      </c>
      <c r="D2372" s="1">
        <v>0</v>
      </c>
      <c r="E2372" s="1">
        <v>0</v>
      </c>
      <c r="F2372" s="1">
        <v>5.9390819876127699E-3</v>
      </c>
    </row>
    <row r="2373" spans="1:6" x14ac:dyDescent="0.25">
      <c r="A2373" s="2" t="str">
        <f t="shared" si="84"/>
        <v>12660</v>
      </c>
      <c r="B2373" s="2" t="str">
        <f>"53561"</f>
        <v>53561</v>
      </c>
      <c r="C2373" s="1">
        <v>3.3879989829646497E-2</v>
      </c>
      <c r="D2373" s="1">
        <v>7.53863550697323E-3</v>
      </c>
      <c r="E2373" s="1">
        <v>2.41545893719806E-2</v>
      </c>
      <c r="F2373" s="1">
        <v>3.15619785627421E-2</v>
      </c>
    </row>
    <row r="2374" spans="1:6" x14ac:dyDescent="0.25">
      <c r="A2374" s="2" t="str">
        <f t="shared" si="84"/>
        <v>12660</v>
      </c>
      <c r="B2374" s="2" t="str">
        <f>"53958"</f>
        <v>53958</v>
      </c>
      <c r="C2374" s="1">
        <v>0</v>
      </c>
      <c r="D2374" s="1">
        <v>3.7693177534866098E-4</v>
      </c>
      <c r="E2374" s="1">
        <v>0</v>
      </c>
      <c r="F2374" s="1">
        <v>2.8281342798156E-5</v>
      </c>
    </row>
    <row r="2375" spans="1:6" x14ac:dyDescent="0.25">
      <c r="A2375" s="2" t="str">
        <f t="shared" si="84"/>
        <v>12660</v>
      </c>
      <c r="B2375" s="2" t="str">
        <f>"53937"</f>
        <v>53937</v>
      </c>
      <c r="C2375" s="1">
        <v>1.16323417238749E-2</v>
      </c>
      <c r="D2375" s="1">
        <v>5.2770448548812602E-3</v>
      </c>
      <c r="E2375" s="1">
        <v>0</v>
      </c>
      <c r="F2375" s="1">
        <v>1.0746910263299299E-2</v>
      </c>
    </row>
    <row r="2376" spans="1:6" x14ac:dyDescent="0.25">
      <c r="A2376" s="2" t="str">
        <f t="shared" si="84"/>
        <v>12660</v>
      </c>
      <c r="B2376" s="2" t="str">
        <f>"53913"</f>
        <v>53913</v>
      </c>
      <c r="C2376" s="1">
        <v>0.325133485888634</v>
      </c>
      <c r="D2376" s="1">
        <v>0.417640407086317</v>
      </c>
      <c r="E2376" s="1">
        <v>0.41304347826086901</v>
      </c>
      <c r="F2376" s="1">
        <v>0.335162193500947</v>
      </c>
    </row>
    <row r="2377" spans="1:6" x14ac:dyDescent="0.25">
      <c r="A2377" s="2" t="str">
        <f t="shared" si="84"/>
        <v>12660</v>
      </c>
      <c r="B2377" s="2" t="str">
        <f>"53578"</f>
        <v>53578</v>
      </c>
      <c r="C2377" s="1">
        <v>8.1617086193745206E-2</v>
      </c>
      <c r="D2377" s="1">
        <v>8.7071240105540806E-2</v>
      </c>
      <c r="E2377" s="1">
        <v>8.2125603864734206E-2</v>
      </c>
      <c r="F2377" s="1">
        <v>8.2044175457450699E-2</v>
      </c>
    </row>
    <row r="2378" spans="1:6" x14ac:dyDescent="0.25">
      <c r="A2378" s="2" t="str">
        <f t="shared" ref="A2378:A2441" si="85">"33460"</f>
        <v>33460</v>
      </c>
      <c r="B2378" s="2" t="str">
        <f>"56353"</f>
        <v>56353</v>
      </c>
      <c r="C2378" s="1">
        <v>2.65900695481732E-3</v>
      </c>
      <c r="D2378" s="1">
        <v>1.9881180708237801E-3</v>
      </c>
      <c r="E2378" s="1">
        <v>1.6363580227855101E-3</v>
      </c>
      <c r="F2378" s="1">
        <v>2.57239152219832E-3</v>
      </c>
    </row>
    <row r="2379" spans="1:6" x14ac:dyDescent="0.25">
      <c r="A2379" s="2" t="str">
        <f t="shared" si="85"/>
        <v>33460</v>
      </c>
      <c r="B2379" s="2" t="str">
        <f>"56057"</f>
        <v>56057</v>
      </c>
      <c r="C2379" s="1">
        <v>1.04520311823189E-3</v>
      </c>
      <c r="D2379" s="1">
        <v>1.1928708424942601E-3</v>
      </c>
      <c r="E2379" s="1">
        <v>8.0274167155515701E-4</v>
      </c>
      <c r="F2379" s="1">
        <v>1.04704240379551E-3</v>
      </c>
    </row>
    <row r="2380" spans="1:6" x14ac:dyDescent="0.25">
      <c r="A2380" s="2" t="str">
        <f t="shared" si="85"/>
        <v>33460</v>
      </c>
      <c r="B2380" s="2" t="str">
        <f>"55479"</f>
        <v>55479</v>
      </c>
      <c r="C2380" s="1">
        <v>0</v>
      </c>
      <c r="D2380" s="1">
        <v>7.7965414542109108E-6</v>
      </c>
      <c r="E2380" s="1">
        <v>2.4545370341782701E-3</v>
      </c>
      <c r="F2380" s="1">
        <v>9.0997710270115302E-5</v>
      </c>
    </row>
    <row r="2381" spans="1:6" x14ac:dyDescent="0.25">
      <c r="A2381" s="2" t="str">
        <f t="shared" si="85"/>
        <v>33460</v>
      </c>
      <c r="B2381" s="2" t="str">
        <f>"55430"</f>
        <v>55430</v>
      </c>
      <c r="C2381" s="1">
        <v>5.5192602312991003E-3</v>
      </c>
      <c r="D2381" s="1">
        <v>5.75384759320765E-3</v>
      </c>
      <c r="E2381" s="1">
        <v>5.5420050016981E-3</v>
      </c>
      <c r="F2381" s="1">
        <v>5.5372106699365098E-3</v>
      </c>
    </row>
    <row r="2382" spans="1:6" x14ac:dyDescent="0.25">
      <c r="A2382" s="2" t="str">
        <f t="shared" si="85"/>
        <v>33460</v>
      </c>
      <c r="B2382" s="2" t="str">
        <f>"55403"</f>
        <v>55403</v>
      </c>
      <c r="C2382" s="1">
        <v>8.0076869706103698E-3</v>
      </c>
      <c r="D2382" s="1">
        <v>7.3443420498666701E-3</v>
      </c>
      <c r="E2382" s="1">
        <v>2.2708326901108401E-2</v>
      </c>
      <c r="F2382" s="1">
        <v>8.5008923462963296E-3</v>
      </c>
    </row>
    <row r="2383" spans="1:6" x14ac:dyDescent="0.25">
      <c r="A2383" s="2" t="str">
        <f t="shared" si="85"/>
        <v>33460</v>
      </c>
      <c r="B2383" s="2" t="str">
        <f>"55382"</f>
        <v>55382</v>
      </c>
      <c r="C2383" s="1">
        <v>5.0471299719021803E-4</v>
      </c>
      <c r="D2383" s="1">
        <v>7.7965414542109098E-5</v>
      </c>
      <c r="E2383" s="1">
        <v>9.2624039025595106E-5</v>
      </c>
      <c r="F2383" s="1">
        <v>4.5840096548570498E-4</v>
      </c>
    </row>
    <row r="2384" spans="1:6" x14ac:dyDescent="0.25">
      <c r="A2384" s="2" t="str">
        <f t="shared" si="85"/>
        <v>33460</v>
      </c>
      <c r="B2384" s="2" t="str">
        <f>"55378"</f>
        <v>55378</v>
      </c>
      <c r="C2384" s="1">
        <v>7.2832002126183302E-3</v>
      </c>
      <c r="D2384" s="1">
        <v>6.9857011429729698E-3</v>
      </c>
      <c r="E2384" s="1">
        <v>2.4854117138534602E-3</v>
      </c>
      <c r="F2384" s="1">
        <v>7.0847404802176599E-3</v>
      </c>
    </row>
    <row r="2385" spans="1:6" x14ac:dyDescent="0.25">
      <c r="A2385" s="2" t="str">
        <f t="shared" si="85"/>
        <v>33460</v>
      </c>
      <c r="B2385" s="2" t="str">
        <f>"55415"</f>
        <v>55415</v>
      </c>
      <c r="C2385" s="1">
        <v>1.8035503684404801E-3</v>
      </c>
      <c r="D2385" s="1">
        <v>5.0755484866913001E-3</v>
      </c>
      <c r="E2385" s="1">
        <v>2.0686035382382899E-3</v>
      </c>
      <c r="F2385" s="1">
        <v>2.0519983665911001E-3</v>
      </c>
    </row>
    <row r="2386" spans="1:6" x14ac:dyDescent="0.25">
      <c r="A2386" s="2" t="str">
        <f t="shared" si="85"/>
        <v>33460</v>
      </c>
      <c r="B2386" s="2" t="str">
        <f>"55414"</f>
        <v>55414</v>
      </c>
      <c r="C2386" s="1">
        <v>1.05408351147359E-2</v>
      </c>
      <c r="D2386" s="1">
        <v>1.205345308821E-2</v>
      </c>
      <c r="E2386" s="1">
        <v>1.85865571644694E-2</v>
      </c>
      <c r="F2386" s="1">
        <v>1.0947593281184E-2</v>
      </c>
    </row>
    <row r="2387" spans="1:6" x14ac:dyDescent="0.25">
      <c r="A2387" s="2" t="str">
        <f t="shared" si="85"/>
        <v>33460</v>
      </c>
      <c r="B2387" s="2" t="str">
        <f>"55418"</f>
        <v>55418</v>
      </c>
      <c r="C2387" s="1">
        <v>9.6598234398937895E-3</v>
      </c>
      <c r="D2387" s="1">
        <v>9.5819494472252093E-3</v>
      </c>
      <c r="E2387" s="1">
        <v>8.5831609497051403E-3</v>
      </c>
      <c r="F2387" s="1">
        <v>9.6144768257268708E-3</v>
      </c>
    </row>
    <row r="2388" spans="1:6" x14ac:dyDescent="0.25">
      <c r="A2388" s="2" t="str">
        <f t="shared" si="85"/>
        <v>33460</v>
      </c>
      <c r="B2388" s="2" t="str">
        <f>"55416"</f>
        <v>55416</v>
      </c>
      <c r="C2388" s="1">
        <v>1.23852736247209E-2</v>
      </c>
      <c r="D2388" s="1">
        <v>1.6591040214560801E-2</v>
      </c>
      <c r="E2388" s="1">
        <v>1.51285930408472E-2</v>
      </c>
      <c r="F2388" s="1">
        <v>1.2793140592599801E-2</v>
      </c>
    </row>
    <row r="2389" spans="1:6" x14ac:dyDescent="0.25">
      <c r="A2389" s="2" t="str">
        <f t="shared" si="85"/>
        <v>33460</v>
      </c>
      <c r="B2389" s="2" t="str">
        <f>"55422"</f>
        <v>55422</v>
      </c>
      <c r="C2389" s="1">
        <v>8.6810635516717406E-3</v>
      </c>
      <c r="D2389" s="1">
        <v>8.1084031123793403E-3</v>
      </c>
      <c r="E2389" s="1">
        <v>5.2486955447837201E-3</v>
      </c>
      <c r="F2389" s="1">
        <v>8.5128357957692802E-3</v>
      </c>
    </row>
    <row r="2390" spans="1:6" x14ac:dyDescent="0.25">
      <c r="A2390" s="2" t="str">
        <f t="shared" si="85"/>
        <v>33460</v>
      </c>
      <c r="B2390" s="2" t="str">
        <f>"55375"</f>
        <v>55375</v>
      </c>
      <c r="C2390" s="1">
        <v>9.5639918581488098E-4</v>
      </c>
      <c r="D2390" s="1">
        <v>5.1457173597792001E-4</v>
      </c>
      <c r="E2390" s="1">
        <v>2.0068541788878901E-4</v>
      </c>
      <c r="F2390" s="1">
        <v>8.9632744616063495E-4</v>
      </c>
    </row>
    <row r="2391" spans="1:6" x14ac:dyDescent="0.25">
      <c r="A2391" s="2" t="str">
        <f t="shared" si="85"/>
        <v>33460</v>
      </c>
      <c r="B2391" s="2" t="str">
        <f>"55362"</f>
        <v>55362</v>
      </c>
      <c r="C2391" s="1">
        <v>5.1742665370171801E-3</v>
      </c>
      <c r="D2391" s="1">
        <v>3.7969156882007101E-3</v>
      </c>
      <c r="E2391" s="1">
        <v>6.1286239155268702E-3</v>
      </c>
      <c r="F2391" s="1">
        <v>5.1089526959777797E-3</v>
      </c>
    </row>
    <row r="2392" spans="1:6" x14ac:dyDescent="0.25">
      <c r="A2392" s="2" t="str">
        <f t="shared" si="85"/>
        <v>33460</v>
      </c>
      <c r="B2392" s="2" t="str">
        <f>"55130"</f>
        <v>55130</v>
      </c>
      <c r="C2392" s="1">
        <v>3.9156784300998001E-3</v>
      </c>
      <c r="D2392" s="1">
        <v>2.6664171773401299E-3</v>
      </c>
      <c r="E2392" s="1">
        <v>6.3293093334156596E-3</v>
      </c>
      <c r="F2392" s="1">
        <v>3.9134702773041402E-3</v>
      </c>
    </row>
    <row r="2393" spans="1:6" x14ac:dyDescent="0.25">
      <c r="A2393" s="2" t="str">
        <f t="shared" si="85"/>
        <v>33460</v>
      </c>
      <c r="B2393" s="2" t="str">
        <f>"55344"</f>
        <v>55344</v>
      </c>
      <c r="C2393" s="1">
        <v>5.53139889832013E-3</v>
      </c>
      <c r="D2393" s="1">
        <v>1.8329668958849799E-2</v>
      </c>
      <c r="E2393" s="1">
        <v>9.3859026212602999E-3</v>
      </c>
      <c r="F2393" s="1">
        <v>6.6070025012995599E-3</v>
      </c>
    </row>
    <row r="2394" spans="1:6" x14ac:dyDescent="0.25">
      <c r="A2394" s="2" t="str">
        <f t="shared" si="85"/>
        <v>33460</v>
      </c>
      <c r="B2394" s="2" t="str">
        <f>"55347"</f>
        <v>55347</v>
      </c>
      <c r="C2394" s="1">
        <v>7.4563359369709198E-3</v>
      </c>
      <c r="D2394" s="1">
        <v>1.9179491977358799E-3</v>
      </c>
      <c r="E2394" s="1">
        <v>3.1029053073574299E-3</v>
      </c>
      <c r="F2394" s="1">
        <v>6.8919390815828504E-3</v>
      </c>
    </row>
    <row r="2395" spans="1:6" x14ac:dyDescent="0.25">
      <c r="A2395" s="2" t="str">
        <f t="shared" si="85"/>
        <v>33460</v>
      </c>
      <c r="B2395" s="2" t="str">
        <f>"55313"</f>
        <v>55313</v>
      </c>
      <c r="C2395" s="1">
        <v>6.3306342900732501E-3</v>
      </c>
      <c r="D2395" s="1">
        <v>7.5470521276761598E-3</v>
      </c>
      <c r="E2395" s="1">
        <v>4.9708234277069299E-3</v>
      </c>
      <c r="F2395" s="1">
        <v>6.3692709832188802E-3</v>
      </c>
    </row>
    <row r="2396" spans="1:6" x14ac:dyDescent="0.25">
      <c r="A2396" s="2" t="str">
        <f t="shared" si="85"/>
        <v>33460</v>
      </c>
      <c r="B2396" s="2" t="str">
        <f>"55328"</f>
        <v>55328</v>
      </c>
      <c r="C2396" s="1">
        <v>2.3695955779474902E-3</v>
      </c>
      <c r="D2396" s="1">
        <v>1.6372737053842899E-3</v>
      </c>
      <c r="E2396" s="1">
        <v>1.7752940813239E-3</v>
      </c>
      <c r="F2396" s="1">
        <v>2.2942797701852799E-3</v>
      </c>
    </row>
    <row r="2397" spans="1:6" x14ac:dyDescent="0.25">
      <c r="A2397" s="2" t="str">
        <f t="shared" si="85"/>
        <v>33460</v>
      </c>
      <c r="B2397" s="2" t="str">
        <f>"55121"</f>
        <v>55121</v>
      </c>
      <c r="C2397" s="1">
        <v>3.2480517439431198E-3</v>
      </c>
      <c r="D2397" s="1">
        <v>1.21392150442063E-2</v>
      </c>
      <c r="E2397" s="1">
        <v>5.4802556423477096E-3</v>
      </c>
      <c r="F2397" s="1">
        <v>3.9788748815607899E-3</v>
      </c>
    </row>
    <row r="2398" spans="1:6" x14ac:dyDescent="0.25">
      <c r="A2398" s="2" t="str">
        <f t="shared" si="85"/>
        <v>33460</v>
      </c>
      <c r="B2398" s="2" t="str">
        <f>"55116"</f>
        <v>55116</v>
      </c>
      <c r="C2398" s="1">
        <v>8.3859022798972102E-3</v>
      </c>
      <c r="D2398" s="1">
        <v>4.6857214139807502E-3</v>
      </c>
      <c r="E2398" s="1">
        <v>9.3395906017475008E-3</v>
      </c>
      <c r="F2398" s="1">
        <v>8.1511198974455797E-3</v>
      </c>
    </row>
    <row r="2399" spans="1:6" x14ac:dyDescent="0.25">
      <c r="A2399" s="2" t="str">
        <f t="shared" si="85"/>
        <v>33460</v>
      </c>
      <c r="B2399" s="2" t="str">
        <f>"55306"</f>
        <v>55306</v>
      </c>
      <c r="C2399" s="1">
        <v>4.4370022347924804E-3</v>
      </c>
      <c r="D2399" s="1">
        <v>4.5453836678049598E-3</v>
      </c>
      <c r="E2399" s="1">
        <v>4.7855753496557404E-3</v>
      </c>
      <c r="F2399" s="1">
        <v>4.4577503318572699E-3</v>
      </c>
    </row>
    <row r="2400" spans="1:6" x14ac:dyDescent="0.25">
      <c r="A2400" s="2" t="str">
        <f t="shared" si="85"/>
        <v>33460</v>
      </c>
      <c r="B2400" s="2" t="str">
        <f>"55311"</f>
        <v>55311</v>
      </c>
      <c r="C2400" s="1">
        <v>9.1461661617407101E-3</v>
      </c>
      <c r="D2400" s="1">
        <v>4.5375871263507502E-3</v>
      </c>
      <c r="E2400" s="1">
        <v>9.5711506993114901E-4</v>
      </c>
      <c r="F2400" s="1">
        <v>8.5082859102557796E-3</v>
      </c>
    </row>
    <row r="2401" spans="1:6" x14ac:dyDescent="0.25">
      <c r="A2401" s="2" t="str">
        <f t="shared" si="85"/>
        <v>33460</v>
      </c>
      <c r="B2401" s="2" t="str">
        <f>"55110"</f>
        <v>55110</v>
      </c>
      <c r="C2401" s="1">
        <v>1.07082209441838E-2</v>
      </c>
      <c r="D2401" s="1">
        <v>1.2154808127114799E-2</v>
      </c>
      <c r="E2401" s="1">
        <v>6.8696162277316298E-3</v>
      </c>
      <c r="F2401" s="1">
        <v>1.0672325207616899E-2</v>
      </c>
    </row>
    <row r="2402" spans="1:6" x14ac:dyDescent="0.25">
      <c r="A2402" s="2" t="str">
        <f t="shared" si="85"/>
        <v>33460</v>
      </c>
      <c r="B2402" s="2" t="str">
        <f>"55040"</f>
        <v>55040</v>
      </c>
      <c r="C2402" s="1">
        <v>3.57962901678074E-3</v>
      </c>
      <c r="D2402" s="1">
        <v>1.76981491010587E-3</v>
      </c>
      <c r="E2402" s="1">
        <v>9.5711506993114901E-4</v>
      </c>
      <c r="F2402" s="1">
        <v>3.35099068069699E-3</v>
      </c>
    </row>
    <row r="2403" spans="1:6" x14ac:dyDescent="0.25">
      <c r="A2403" s="2" t="str">
        <f t="shared" si="85"/>
        <v>33460</v>
      </c>
      <c r="B2403" s="2" t="str">
        <f>"55031"</f>
        <v>55031</v>
      </c>
      <c r="C2403" s="1">
        <v>5.0279636555531802E-4</v>
      </c>
      <c r="D2403" s="1">
        <v>1.4813428763000701E-4</v>
      </c>
      <c r="E2403" s="1">
        <v>3.0874679675198301E-4</v>
      </c>
      <c r="F2403" s="1">
        <v>4.6977567926947001E-4</v>
      </c>
    </row>
    <row r="2404" spans="1:6" x14ac:dyDescent="0.25">
      <c r="A2404" s="2" t="str">
        <f t="shared" si="85"/>
        <v>33460</v>
      </c>
      <c r="B2404" s="2" t="str">
        <f>"55106"</f>
        <v>55106</v>
      </c>
      <c r="C2404" s="1">
        <v>1.3110399259924599E-2</v>
      </c>
      <c r="D2404" s="1">
        <v>7.0714630989692903E-3</v>
      </c>
      <c r="E2404" s="1">
        <v>2.31405724165611E-2</v>
      </c>
      <c r="F2404" s="1">
        <v>1.30394031460183E-2</v>
      </c>
    </row>
    <row r="2405" spans="1:6" x14ac:dyDescent="0.25">
      <c r="A2405" s="2" t="str">
        <f t="shared" si="85"/>
        <v>33460</v>
      </c>
      <c r="B2405" s="2" t="str">
        <f>"55105"</f>
        <v>55105</v>
      </c>
      <c r="C2405" s="1">
        <v>7.5981666779534902E-3</v>
      </c>
      <c r="D2405" s="1">
        <v>4.8728384088818199E-3</v>
      </c>
      <c r="E2405" s="1">
        <v>1.1516255518848899E-2</v>
      </c>
      <c r="F2405" s="1">
        <v>7.5437101813925602E-3</v>
      </c>
    </row>
    <row r="2406" spans="1:6" x14ac:dyDescent="0.25">
      <c r="A2406" s="2" t="str">
        <f t="shared" si="85"/>
        <v>33460</v>
      </c>
      <c r="B2406" s="2" t="str">
        <f>"55079"</f>
        <v>55079</v>
      </c>
      <c r="C2406" s="1">
        <v>2.4264556497828401E-3</v>
      </c>
      <c r="D2406" s="1">
        <v>4.6779248725265399E-4</v>
      </c>
      <c r="E2406" s="1">
        <v>4.0137083577757802E-4</v>
      </c>
      <c r="F2406" s="1">
        <v>2.2089694168070401E-3</v>
      </c>
    </row>
    <row r="2407" spans="1:6" x14ac:dyDescent="0.25">
      <c r="A2407" s="2" t="str">
        <f t="shared" si="85"/>
        <v>33460</v>
      </c>
      <c r="B2407" s="2" t="str">
        <f>"55069"</f>
        <v>55069</v>
      </c>
      <c r="C2407" s="1">
        <v>1.35761407472052E-3</v>
      </c>
      <c r="D2407" s="1">
        <v>5.9253715052002903E-4</v>
      </c>
      <c r="E2407" s="1">
        <v>1.45110994473432E-3</v>
      </c>
      <c r="F2407" s="1">
        <v>1.3052484066869601E-3</v>
      </c>
    </row>
    <row r="2408" spans="1:6" x14ac:dyDescent="0.25">
      <c r="A2408" s="2" t="str">
        <f t="shared" si="85"/>
        <v>33460</v>
      </c>
      <c r="B2408" s="2" t="str">
        <f>"55084"</f>
        <v>55084</v>
      </c>
      <c r="C2408" s="1">
        <v>5.0151861113205203E-4</v>
      </c>
      <c r="D2408" s="1">
        <v>2.6508240944317103E-4</v>
      </c>
      <c r="E2408" s="1">
        <v>1.6981073821359101E-4</v>
      </c>
      <c r="F2408" s="1">
        <v>4.7205062202622302E-4</v>
      </c>
    </row>
    <row r="2409" spans="1:6" x14ac:dyDescent="0.25">
      <c r="A2409" s="2" t="str">
        <f t="shared" si="85"/>
        <v>33460</v>
      </c>
      <c r="B2409" s="2" t="str">
        <f>"55010"</f>
        <v>55010</v>
      </c>
      <c r="C2409" s="1">
        <v>0</v>
      </c>
      <c r="D2409" s="1">
        <v>0</v>
      </c>
      <c r="E2409" s="1">
        <v>1.54373398375991E-5</v>
      </c>
      <c r="F2409" s="1">
        <v>5.6873568918821996E-7</v>
      </c>
    </row>
    <row r="2410" spans="1:6" x14ac:dyDescent="0.25">
      <c r="A2410" s="2" t="str">
        <f t="shared" si="85"/>
        <v>33460</v>
      </c>
      <c r="B2410" s="2" t="str">
        <f>"55012"</f>
        <v>55012</v>
      </c>
      <c r="C2410" s="1">
        <v>5.68600718353536E-4</v>
      </c>
      <c r="D2410" s="1">
        <v>3.4304782398527999E-4</v>
      </c>
      <c r="E2410" s="1">
        <v>1.2349871870079299E-4</v>
      </c>
      <c r="F2410" s="1">
        <v>5.3574901921530304E-4</v>
      </c>
    </row>
    <row r="2411" spans="1:6" x14ac:dyDescent="0.25">
      <c r="A2411" s="2" t="str">
        <f t="shared" si="85"/>
        <v>33460</v>
      </c>
      <c r="B2411" s="2" t="str">
        <f>"54750"</f>
        <v>54750</v>
      </c>
      <c r="C2411" s="1">
        <v>3.7438204601704698E-4</v>
      </c>
      <c r="D2411" s="1">
        <v>3.1186165816843603E-5</v>
      </c>
      <c r="E2411" s="1">
        <v>4.6312019512797499E-5</v>
      </c>
      <c r="F2411" s="1">
        <v>3.37260263688614E-4</v>
      </c>
    </row>
    <row r="2412" spans="1:6" x14ac:dyDescent="0.25">
      <c r="A2412" s="2" t="str">
        <f t="shared" si="85"/>
        <v>33460</v>
      </c>
      <c r="B2412" s="2" t="str">
        <f>"54028"</f>
        <v>54028</v>
      </c>
      <c r="C2412" s="1">
        <v>7.0595931885467198E-4</v>
      </c>
      <c r="D2412" s="1">
        <v>3.8203053125633401E-4</v>
      </c>
      <c r="E2412" s="1">
        <v>4.1680817561517698E-4</v>
      </c>
      <c r="F2412" s="1">
        <v>6.7167684893128796E-4</v>
      </c>
    </row>
    <row r="2413" spans="1:6" x14ac:dyDescent="0.25">
      <c r="A2413" s="2" t="str">
        <f t="shared" si="85"/>
        <v>33460</v>
      </c>
      <c r="B2413" s="2" t="str">
        <f>"54025"</f>
        <v>54025</v>
      </c>
      <c r="C2413" s="1">
        <v>1.8476328960431701E-3</v>
      </c>
      <c r="D2413" s="1">
        <v>7.7965414542109104E-4</v>
      </c>
      <c r="E2413" s="1">
        <v>1.1269258081447399E-3</v>
      </c>
      <c r="F2413" s="1">
        <v>1.74317488736189E-3</v>
      </c>
    </row>
    <row r="2414" spans="1:6" x14ac:dyDescent="0.25">
      <c r="A2414" s="2" t="str">
        <f t="shared" si="85"/>
        <v>33460</v>
      </c>
      <c r="B2414" s="2" t="str">
        <f>"54014"</f>
        <v>54014</v>
      </c>
      <c r="C2414" s="1">
        <v>6.9382065183364104E-4</v>
      </c>
      <c r="D2414" s="1">
        <v>3.1965819962264698E-4</v>
      </c>
      <c r="E2414" s="1">
        <v>2.16122757726388E-4</v>
      </c>
      <c r="F2414" s="1">
        <v>6.4892742136375898E-4</v>
      </c>
    </row>
    <row r="2415" spans="1:6" x14ac:dyDescent="0.25">
      <c r="A2415" s="2" t="str">
        <f t="shared" si="85"/>
        <v>33460</v>
      </c>
      <c r="B2415" s="2" t="str">
        <f>"56379"</f>
        <v>56379</v>
      </c>
      <c r="C2415" s="1">
        <v>6.3887721163318698E-6</v>
      </c>
      <c r="D2415" s="1">
        <v>0</v>
      </c>
      <c r="E2415" s="1">
        <v>0</v>
      </c>
      <c r="F2415" s="1">
        <v>5.6873568918821996E-6</v>
      </c>
    </row>
    <row r="2416" spans="1:6" x14ac:dyDescent="0.25">
      <c r="A2416" s="2" t="str">
        <f t="shared" si="85"/>
        <v>33460</v>
      </c>
      <c r="B2416" s="2" t="str">
        <f>"55450"</f>
        <v>55450</v>
      </c>
      <c r="C2416" s="1">
        <v>6.3887721163318705E-7</v>
      </c>
      <c r="D2416" s="1">
        <v>8.4202647705477801E-4</v>
      </c>
      <c r="E2416" s="1">
        <v>7.7186699187995898E-4</v>
      </c>
      <c r="F2416" s="1">
        <v>9.0428974580927105E-5</v>
      </c>
    </row>
    <row r="2417" spans="1:6" x14ac:dyDescent="0.25">
      <c r="A2417" s="2" t="str">
        <f t="shared" si="85"/>
        <v>33460</v>
      </c>
      <c r="B2417" s="2" t="str">
        <f>"55442"</f>
        <v>55442</v>
      </c>
      <c r="C2417" s="1">
        <v>3.7304040387261799E-3</v>
      </c>
      <c r="D2417" s="1">
        <v>1.73083220283482E-3</v>
      </c>
      <c r="E2417" s="1">
        <v>4.70838865046775E-3</v>
      </c>
      <c r="F2417" s="1">
        <v>3.6205713973722102E-3</v>
      </c>
    </row>
    <row r="2418" spans="1:6" x14ac:dyDescent="0.25">
      <c r="A2418" s="2" t="str">
        <f t="shared" si="85"/>
        <v>33460</v>
      </c>
      <c r="B2418" s="2" t="str">
        <f>"55401"</f>
        <v>55401</v>
      </c>
      <c r="C2418" s="1">
        <v>5.8240046612481298E-3</v>
      </c>
      <c r="D2418" s="1">
        <v>1.52656281673449E-2</v>
      </c>
      <c r="E2418" s="1">
        <v>6.3910586927660596E-3</v>
      </c>
      <c r="F2418" s="1">
        <v>6.5336355973942802E-3</v>
      </c>
    </row>
    <row r="2419" spans="1:6" x14ac:dyDescent="0.25">
      <c r="A2419" s="2" t="str">
        <f t="shared" si="85"/>
        <v>33460</v>
      </c>
      <c r="B2419" s="2" t="str">
        <f>"55387"</f>
        <v>55387</v>
      </c>
      <c r="C2419" s="1">
        <v>3.58985105216687E-3</v>
      </c>
      <c r="D2419" s="1">
        <v>3.30573357658542E-3</v>
      </c>
      <c r="E2419" s="1">
        <v>2.1921022569390798E-3</v>
      </c>
      <c r="F2419" s="1">
        <v>3.5176302376291402E-3</v>
      </c>
    </row>
    <row r="2420" spans="1:6" x14ac:dyDescent="0.25">
      <c r="A2420" s="2" t="str">
        <f t="shared" si="85"/>
        <v>33460</v>
      </c>
      <c r="B2420" s="2" t="str">
        <f>"55384"</f>
        <v>55384</v>
      </c>
      <c r="C2420" s="1">
        <v>7.5131960088062799E-4</v>
      </c>
      <c r="D2420" s="1">
        <v>7.8745068687530195E-4</v>
      </c>
      <c r="E2420" s="1">
        <v>8.1817901139275603E-4</v>
      </c>
      <c r="F2420" s="1">
        <v>7.56418466620333E-4</v>
      </c>
    </row>
    <row r="2421" spans="1:6" x14ac:dyDescent="0.25">
      <c r="A2421" s="2" t="str">
        <f t="shared" si="85"/>
        <v>33460</v>
      </c>
      <c r="B2421" s="2" t="str">
        <f>"55391"</f>
        <v>55391</v>
      </c>
      <c r="C2421" s="1">
        <v>4.9857977595853904E-3</v>
      </c>
      <c r="D2421" s="1">
        <v>1.12504093184263E-2</v>
      </c>
      <c r="E2421" s="1">
        <v>4.0445830374509798E-3</v>
      </c>
      <c r="F2421" s="1">
        <v>5.4081076684907902E-3</v>
      </c>
    </row>
    <row r="2422" spans="1:6" x14ac:dyDescent="0.25">
      <c r="A2422" s="2" t="str">
        <f t="shared" si="85"/>
        <v>33460</v>
      </c>
      <c r="B2422" s="2" t="str">
        <f>"55410"</f>
        <v>55410</v>
      </c>
      <c r="C2422" s="1">
        <v>5.8834202419300197E-3</v>
      </c>
      <c r="D2422" s="1">
        <v>2.60404484570644E-3</v>
      </c>
      <c r="E2422" s="1">
        <v>3.9519589984253903E-3</v>
      </c>
      <c r="F2422" s="1">
        <v>5.5730410183553701E-3</v>
      </c>
    </row>
    <row r="2423" spans="1:6" x14ac:dyDescent="0.25">
      <c r="A2423" s="2" t="str">
        <f t="shared" si="85"/>
        <v>33460</v>
      </c>
      <c r="B2423" s="2" t="str">
        <f>"55421"</f>
        <v>55421</v>
      </c>
      <c r="C2423" s="1">
        <v>8.5730933029057408E-3</v>
      </c>
      <c r="D2423" s="1">
        <v>7.578238293493E-3</v>
      </c>
      <c r="E2423" s="1">
        <v>1.0096020253789801E-2</v>
      </c>
      <c r="F2423" s="1">
        <v>8.55662844383678E-3</v>
      </c>
    </row>
    <row r="2424" spans="1:6" x14ac:dyDescent="0.25">
      <c r="A2424" s="2" t="str">
        <f t="shared" si="85"/>
        <v>33460</v>
      </c>
      <c r="B2424" s="2" t="str">
        <f>"55420"</f>
        <v>55420</v>
      </c>
      <c r="C2424" s="1">
        <v>6.6615726856992397E-3</v>
      </c>
      <c r="D2424" s="1">
        <v>1.10087165333458E-2</v>
      </c>
      <c r="E2424" s="1">
        <v>5.9742505171508798E-3</v>
      </c>
      <c r="F2424" s="1">
        <v>6.9533625360151804E-3</v>
      </c>
    </row>
    <row r="2425" spans="1:6" x14ac:dyDescent="0.25">
      <c r="A2425" s="2" t="str">
        <f t="shared" si="85"/>
        <v>33460</v>
      </c>
      <c r="B2425" s="2" t="str">
        <f>"55343"</f>
        <v>55343</v>
      </c>
      <c r="C2425" s="1">
        <v>8.96344727921361E-3</v>
      </c>
      <c r="D2425" s="1">
        <v>1.69340880385461E-2</v>
      </c>
      <c r="E2425" s="1">
        <v>1.21954984717033E-2</v>
      </c>
      <c r="F2425" s="1">
        <v>9.6639568306862399E-3</v>
      </c>
    </row>
    <row r="2426" spans="1:6" x14ac:dyDescent="0.25">
      <c r="A2426" s="2" t="str">
        <f t="shared" si="85"/>
        <v>33460</v>
      </c>
      <c r="B2426" s="2" t="str">
        <f>"55321"</f>
        <v>55321</v>
      </c>
      <c r="C2426" s="1">
        <v>1.3346144951017201E-3</v>
      </c>
      <c r="D2426" s="1">
        <v>1.26303971558216E-3</v>
      </c>
      <c r="E2426" s="1">
        <v>1.2658618666831301E-3</v>
      </c>
      <c r="F2426" s="1">
        <v>1.32686036287611E-3</v>
      </c>
    </row>
    <row r="2427" spans="1:6" x14ac:dyDescent="0.25">
      <c r="A2427" s="2" t="str">
        <f t="shared" si="85"/>
        <v>33460</v>
      </c>
      <c r="B2427" s="2" t="str">
        <f>"55051"</f>
        <v>55051</v>
      </c>
      <c r="C2427" s="1">
        <v>7.0276493279650604E-6</v>
      </c>
      <c r="D2427" s="1">
        <v>0</v>
      </c>
      <c r="E2427" s="1">
        <v>0</v>
      </c>
      <c r="F2427" s="1">
        <v>6.25609258107042E-6</v>
      </c>
    </row>
    <row r="2428" spans="1:6" x14ac:dyDescent="0.25">
      <c r="A2428" s="2" t="str">
        <f t="shared" si="85"/>
        <v>33460</v>
      </c>
      <c r="B2428" s="2" t="str">
        <f>"55054"</f>
        <v>55054</v>
      </c>
      <c r="C2428" s="1">
        <v>5.2196268190431399E-4</v>
      </c>
      <c r="D2428" s="1">
        <v>1.63727370538429E-4</v>
      </c>
      <c r="E2428" s="1">
        <v>4.6312019512797499E-5</v>
      </c>
      <c r="F2428" s="1">
        <v>4.78306714607293E-4</v>
      </c>
    </row>
    <row r="2429" spans="1:6" x14ac:dyDescent="0.25">
      <c r="A2429" s="2" t="str">
        <f t="shared" si="85"/>
        <v>33460</v>
      </c>
      <c r="B2429" s="2" t="str">
        <f>"55025"</f>
        <v>55025</v>
      </c>
      <c r="C2429" s="1">
        <v>7.0410657494093497E-3</v>
      </c>
      <c r="D2429" s="1">
        <v>7.8433207029361702E-3</v>
      </c>
      <c r="E2429" s="1">
        <v>3.6740868813486E-3</v>
      </c>
      <c r="F2429" s="1">
        <v>6.9755432278935199E-3</v>
      </c>
    </row>
    <row r="2430" spans="1:6" x14ac:dyDescent="0.25">
      <c r="A2430" s="2" t="str">
        <f t="shared" si="85"/>
        <v>33460</v>
      </c>
      <c r="B2430" s="2" t="str">
        <f>"55077"</f>
        <v>55077</v>
      </c>
      <c r="C2430" s="1">
        <v>3.5553516827386798E-3</v>
      </c>
      <c r="D2430" s="1">
        <v>1.73083220283482E-3</v>
      </c>
      <c r="E2430" s="1">
        <v>2.3619129951526702E-3</v>
      </c>
      <c r="F2430" s="1">
        <v>3.37828999377803E-3</v>
      </c>
    </row>
    <row r="2431" spans="1:6" x14ac:dyDescent="0.25">
      <c r="A2431" s="2" t="str">
        <f t="shared" si="85"/>
        <v>33460</v>
      </c>
      <c r="B2431" s="2" t="str">
        <f>"55073"</f>
        <v>55073</v>
      </c>
      <c r="C2431" s="1">
        <v>9.0784451773075897E-4</v>
      </c>
      <c r="D2431" s="1">
        <v>2.26099702172116E-4</v>
      </c>
      <c r="E2431" s="1">
        <v>6.1749359350396697E-5</v>
      </c>
      <c r="F2431" s="1">
        <v>8.2694169207967296E-4</v>
      </c>
    </row>
    <row r="2432" spans="1:6" x14ac:dyDescent="0.25">
      <c r="A2432" s="2" t="str">
        <f t="shared" si="85"/>
        <v>33460</v>
      </c>
      <c r="B2432" s="2" t="str">
        <f>"55071"</f>
        <v>55071</v>
      </c>
      <c r="C2432" s="1">
        <v>1.43939035780957E-3</v>
      </c>
      <c r="D2432" s="1">
        <v>9.9795730613899594E-4</v>
      </c>
      <c r="E2432" s="1">
        <v>1.35848590570872E-3</v>
      </c>
      <c r="F2432" s="1">
        <v>1.4042084166057101E-3</v>
      </c>
    </row>
    <row r="2433" spans="1:6" x14ac:dyDescent="0.25">
      <c r="A2433" s="2" t="str">
        <f t="shared" si="85"/>
        <v>33460</v>
      </c>
      <c r="B2433" s="2" t="str">
        <f>"55083"</f>
        <v>55083</v>
      </c>
      <c r="C2433" s="1">
        <v>0</v>
      </c>
      <c r="D2433" s="1">
        <v>3.97623614164756E-4</v>
      </c>
      <c r="E2433" s="1">
        <v>1.54373398375991E-5</v>
      </c>
      <c r="F2433" s="1">
        <v>2.9574255837787399E-5</v>
      </c>
    </row>
    <row r="2434" spans="1:6" x14ac:dyDescent="0.25">
      <c r="A2434" s="2" t="str">
        <f t="shared" si="85"/>
        <v>33460</v>
      </c>
      <c r="B2434" s="2" t="str">
        <f>"55088"</f>
        <v>55088</v>
      </c>
      <c r="C2434" s="1">
        <v>1.5013614473379899E-4</v>
      </c>
      <c r="D2434" s="1">
        <v>0</v>
      </c>
      <c r="E2434" s="1">
        <v>0</v>
      </c>
      <c r="F2434" s="1">
        <v>1.33652886959231E-4</v>
      </c>
    </row>
    <row r="2435" spans="1:6" x14ac:dyDescent="0.25">
      <c r="A2435" s="2" t="str">
        <f t="shared" si="85"/>
        <v>33460</v>
      </c>
      <c r="B2435" s="2" t="str">
        <f>"55011"</f>
        <v>55011</v>
      </c>
      <c r="C2435" s="1">
        <v>2.4647882824808298E-3</v>
      </c>
      <c r="D2435" s="1">
        <v>1.1227019694063701E-3</v>
      </c>
      <c r="E2435" s="1">
        <v>3.2418413658958202E-4</v>
      </c>
      <c r="F2435" s="1">
        <v>2.2880236776042099E-3</v>
      </c>
    </row>
    <row r="2436" spans="1:6" x14ac:dyDescent="0.25">
      <c r="A2436" s="2" t="str">
        <f t="shared" si="85"/>
        <v>33460</v>
      </c>
      <c r="B2436" s="2" t="str">
        <f>"54734"</f>
        <v>54734</v>
      </c>
      <c r="C2436" s="1">
        <v>1.9166316348995599E-5</v>
      </c>
      <c r="D2436" s="1">
        <v>0</v>
      </c>
      <c r="E2436" s="1">
        <v>0</v>
      </c>
      <c r="F2436" s="1">
        <v>1.70620706756466E-5</v>
      </c>
    </row>
    <row r="2437" spans="1:6" x14ac:dyDescent="0.25">
      <c r="A2437" s="2" t="str">
        <f t="shared" si="85"/>
        <v>33460</v>
      </c>
      <c r="B2437" s="2" t="str">
        <f>"54023"</f>
        <v>54023</v>
      </c>
      <c r="C2437" s="1">
        <v>1.1531733669978999E-3</v>
      </c>
      <c r="D2437" s="1">
        <v>4.8338557016107598E-4</v>
      </c>
      <c r="E2437" s="1">
        <v>4.7855753496557402E-4</v>
      </c>
      <c r="F2437" s="1">
        <v>1.0794603380792399E-3</v>
      </c>
    </row>
    <row r="2438" spans="1:6" x14ac:dyDescent="0.25">
      <c r="A2438" s="2" t="str">
        <f t="shared" si="85"/>
        <v>33460</v>
      </c>
      <c r="B2438" s="2" t="str">
        <f>"56338"</f>
        <v>56338</v>
      </c>
      <c r="C2438" s="1">
        <v>1.9166316348995602E-6</v>
      </c>
      <c r="D2438" s="1">
        <v>0</v>
      </c>
      <c r="E2438" s="1">
        <v>0</v>
      </c>
      <c r="F2438" s="1">
        <v>1.7062070675646601E-6</v>
      </c>
    </row>
    <row r="2439" spans="1:6" x14ac:dyDescent="0.25">
      <c r="A2439" s="2" t="str">
        <f t="shared" si="85"/>
        <v>33460</v>
      </c>
      <c r="B2439" s="2" t="str">
        <f>"56358"</f>
        <v>56358</v>
      </c>
      <c r="C2439" s="1">
        <v>5.1749054142288101E-5</v>
      </c>
      <c r="D2439" s="1">
        <v>0</v>
      </c>
      <c r="E2439" s="1">
        <v>0</v>
      </c>
      <c r="F2439" s="1">
        <v>4.6067590824245801E-5</v>
      </c>
    </row>
    <row r="2440" spans="1:6" x14ac:dyDescent="0.25">
      <c r="A2440" s="2" t="str">
        <f t="shared" si="85"/>
        <v>33460</v>
      </c>
      <c r="B2440" s="2" t="str">
        <f>"56357"</f>
        <v>56357</v>
      </c>
      <c r="C2440" s="1">
        <v>8.9442809628646205E-5</v>
      </c>
      <c r="D2440" s="1">
        <v>7.7965414542109108E-6</v>
      </c>
      <c r="E2440" s="1">
        <v>1.54373398375991E-5</v>
      </c>
      <c r="F2440" s="1">
        <v>8.07604678647273E-5</v>
      </c>
    </row>
    <row r="2441" spans="1:6" x14ac:dyDescent="0.25">
      <c r="A2441" s="2" t="str">
        <f t="shared" si="85"/>
        <v>33460</v>
      </c>
      <c r="B2441" s="2" t="str">
        <f>"56071"</f>
        <v>56071</v>
      </c>
      <c r="C2441" s="1">
        <v>3.2506072527896499E-3</v>
      </c>
      <c r="D2441" s="1">
        <v>2.7989583820617098E-3</v>
      </c>
      <c r="E2441" s="1">
        <v>1.4974219642471199E-3</v>
      </c>
      <c r="F2441" s="1">
        <v>3.15307066085949E-3</v>
      </c>
    </row>
    <row r="2442" spans="1:6" x14ac:dyDescent="0.25">
      <c r="A2442" s="2" t="str">
        <f t="shared" ref="A2442:A2505" si="86">"33460"</f>
        <v>33460</v>
      </c>
      <c r="B2442" s="2" t="str">
        <f>"56052"</f>
        <v>56052</v>
      </c>
      <c r="C2442" s="1">
        <v>1.9677418118302099E-4</v>
      </c>
      <c r="D2442" s="1">
        <v>1.5593082908421801E-5</v>
      </c>
      <c r="E2442" s="1">
        <v>1.54373398375991E-5</v>
      </c>
      <c r="F2442" s="1">
        <v>1.7687679933753601E-4</v>
      </c>
    </row>
    <row r="2443" spans="1:6" x14ac:dyDescent="0.25">
      <c r="A2443" s="2" t="str">
        <f t="shared" si="86"/>
        <v>33460</v>
      </c>
      <c r="B2443" s="2" t="str">
        <f>"56050"</f>
        <v>56050</v>
      </c>
      <c r="C2443" s="1">
        <v>4.5168618862466301E-4</v>
      </c>
      <c r="D2443" s="1">
        <v>2.1050661926369399E-4</v>
      </c>
      <c r="E2443" s="1">
        <v>1.5437339837599099E-4</v>
      </c>
      <c r="F2443" s="1">
        <v>4.2313935275603603E-4</v>
      </c>
    </row>
    <row r="2444" spans="1:6" x14ac:dyDescent="0.25">
      <c r="A2444" s="2" t="str">
        <f t="shared" si="86"/>
        <v>33460</v>
      </c>
      <c r="B2444" s="2" t="str">
        <f>"56044"</f>
        <v>56044</v>
      </c>
      <c r="C2444" s="1">
        <v>5.43045629888209E-5</v>
      </c>
      <c r="D2444" s="1">
        <v>7.7965414542109108E-6</v>
      </c>
      <c r="E2444" s="1">
        <v>1.54373398375991E-5</v>
      </c>
      <c r="F2444" s="1">
        <v>4.9480004959375203E-5</v>
      </c>
    </row>
    <row r="2445" spans="1:6" x14ac:dyDescent="0.25">
      <c r="A2445" s="2" t="str">
        <f t="shared" si="86"/>
        <v>33460</v>
      </c>
      <c r="B2445" s="2" t="str">
        <f>"55487"</f>
        <v>55487</v>
      </c>
      <c r="C2445" s="1">
        <v>0</v>
      </c>
      <c r="D2445" s="1">
        <v>4.6779248725265401E-5</v>
      </c>
      <c r="E2445" s="1">
        <v>0</v>
      </c>
      <c r="F2445" s="1">
        <v>3.4124141351293202E-6</v>
      </c>
    </row>
    <row r="2446" spans="1:6" x14ac:dyDescent="0.25">
      <c r="A2446" s="2" t="str">
        <f t="shared" si="86"/>
        <v>33460</v>
      </c>
      <c r="B2446" s="2" t="str">
        <f>"55445"</f>
        <v>55445</v>
      </c>
      <c r="C2446" s="1">
        <v>3.0531941943950001E-3</v>
      </c>
      <c r="D2446" s="1">
        <v>4.0464050147354597E-3</v>
      </c>
      <c r="E2446" s="1">
        <v>1.46654728457192E-3</v>
      </c>
      <c r="F2446" s="1">
        <v>3.0671915717920698E-3</v>
      </c>
    </row>
    <row r="2447" spans="1:6" x14ac:dyDescent="0.25">
      <c r="A2447" s="2" t="str">
        <f t="shared" si="86"/>
        <v>33460</v>
      </c>
      <c r="B2447" s="2" t="str">
        <f>"55437"</f>
        <v>55437</v>
      </c>
      <c r="C2447" s="1">
        <v>5.7697000982593104E-3</v>
      </c>
      <c r="D2447" s="1">
        <v>4.7013144968891703E-3</v>
      </c>
      <c r="E2447" s="1">
        <v>2.5625984130414601E-3</v>
      </c>
      <c r="F2447" s="1">
        <v>5.5736097540445596E-3</v>
      </c>
    </row>
    <row r="2448" spans="1:6" x14ac:dyDescent="0.25">
      <c r="A2448" s="2" t="str">
        <f t="shared" si="86"/>
        <v>33460</v>
      </c>
      <c r="B2448" s="2" t="str">
        <f>"55433"</f>
        <v>55433</v>
      </c>
      <c r="C2448" s="1">
        <v>9.1614992148198997E-3</v>
      </c>
      <c r="D2448" s="1">
        <v>6.8063806895261201E-3</v>
      </c>
      <c r="E2448" s="1">
        <v>6.7615548488684403E-3</v>
      </c>
      <c r="F2448" s="1">
        <v>8.9012822714848398E-3</v>
      </c>
    </row>
    <row r="2449" spans="1:6" x14ac:dyDescent="0.25">
      <c r="A2449" s="2" t="str">
        <f t="shared" si="86"/>
        <v>33460</v>
      </c>
      <c r="B2449" s="2" t="str">
        <f>"55404"</f>
        <v>55404</v>
      </c>
      <c r="C2449" s="1">
        <v>9.4809378206364998E-3</v>
      </c>
      <c r="D2449" s="1">
        <v>8.1707754440130294E-3</v>
      </c>
      <c r="E2449" s="1">
        <v>2.2939886998672301E-2</v>
      </c>
      <c r="F2449" s="1">
        <v>9.8812138639561408E-3</v>
      </c>
    </row>
    <row r="2450" spans="1:6" x14ac:dyDescent="0.25">
      <c r="A2450" s="2" t="str">
        <f t="shared" si="86"/>
        <v>33460</v>
      </c>
      <c r="B2450" s="2" t="str">
        <f>"55388"</f>
        <v>55388</v>
      </c>
      <c r="C2450" s="1">
        <v>1.63935892505075E-3</v>
      </c>
      <c r="D2450" s="1">
        <v>5.6914752615739596E-4</v>
      </c>
      <c r="E2450" s="1">
        <v>1.2349871870079301E-3</v>
      </c>
      <c r="F2450" s="1">
        <v>1.5463923389027699E-3</v>
      </c>
    </row>
    <row r="2451" spans="1:6" x14ac:dyDescent="0.25">
      <c r="A2451" s="2" t="str">
        <f t="shared" si="86"/>
        <v>33460</v>
      </c>
      <c r="B2451" s="2" t="str">
        <f>"55376"</f>
        <v>55376</v>
      </c>
      <c r="C2451" s="1">
        <v>4.0210931700192798E-3</v>
      </c>
      <c r="D2451" s="1">
        <v>2.12065927554536E-3</v>
      </c>
      <c r="E2451" s="1">
        <v>1.2658618666831301E-3</v>
      </c>
      <c r="F2451" s="1">
        <v>3.7809548617232899E-3</v>
      </c>
    </row>
    <row r="2452" spans="1:6" x14ac:dyDescent="0.25">
      <c r="A2452" s="2" t="str">
        <f t="shared" si="86"/>
        <v>33460</v>
      </c>
      <c r="B2452" s="2" t="str">
        <f>"55424"</f>
        <v>55424</v>
      </c>
      <c r="C2452" s="1">
        <v>2.5644531274956099E-3</v>
      </c>
      <c r="D2452" s="1">
        <v>3.2589543278601601E-3</v>
      </c>
      <c r="E2452" s="1">
        <v>1.1578004878199299E-3</v>
      </c>
      <c r="F2452" s="1">
        <v>2.5632917511713101E-3</v>
      </c>
    </row>
    <row r="2453" spans="1:6" x14ac:dyDescent="0.25">
      <c r="A2453" s="2" t="str">
        <f t="shared" si="86"/>
        <v>33460</v>
      </c>
      <c r="B2453" s="2" t="str">
        <f>"55423"</f>
        <v>55423</v>
      </c>
      <c r="C2453" s="1">
        <v>1.055808479945E-2</v>
      </c>
      <c r="D2453" s="1">
        <v>7.0870561818777104E-3</v>
      </c>
      <c r="E2453" s="1">
        <v>9.9416468554138701E-3</v>
      </c>
      <c r="F2453" s="1">
        <v>1.0282172524833801E-2</v>
      </c>
    </row>
    <row r="2454" spans="1:6" x14ac:dyDescent="0.25">
      <c r="A2454" s="2" t="str">
        <f t="shared" si="86"/>
        <v>33460</v>
      </c>
      <c r="B2454" s="2" t="str">
        <f>"55369"</f>
        <v>55369</v>
      </c>
      <c r="C2454" s="1">
        <v>1.0704387680914E-2</v>
      </c>
      <c r="D2454" s="1">
        <v>1.5717827571689099E-2</v>
      </c>
      <c r="E2454" s="1">
        <v>6.8850535675692298E-3</v>
      </c>
      <c r="F2454" s="1">
        <v>1.0929393739129999E-2</v>
      </c>
    </row>
    <row r="2455" spans="1:6" x14ac:dyDescent="0.25">
      <c r="A2455" s="2" t="str">
        <f t="shared" si="86"/>
        <v>33460</v>
      </c>
      <c r="B2455" s="2" t="str">
        <f>"55405"</f>
        <v>55405</v>
      </c>
      <c r="C2455" s="1">
        <v>5.4349284393635199E-3</v>
      </c>
      <c r="D2455" s="1">
        <v>5.28605510595499E-3</v>
      </c>
      <c r="E2455" s="1">
        <v>1.6132020130291101E-2</v>
      </c>
      <c r="F2455" s="1">
        <v>5.8181661003954901E-3</v>
      </c>
    </row>
    <row r="2456" spans="1:6" x14ac:dyDescent="0.25">
      <c r="A2456" s="2" t="str">
        <f t="shared" si="86"/>
        <v>33460</v>
      </c>
      <c r="B2456" s="2" t="str">
        <f>"55150"</f>
        <v>55150</v>
      </c>
      <c r="C2456" s="1">
        <v>7.4109756549449706E-5</v>
      </c>
      <c r="D2456" s="1">
        <v>1.5593082908421801E-5</v>
      </c>
      <c r="E2456" s="1">
        <v>1.2349871870079299E-4</v>
      </c>
      <c r="F2456" s="1">
        <v>7.1660696837715801E-5</v>
      </c>
    </row>
    <row r="2457" spans="1:6" x14ac:dyDescent="0.25">
      <c r="A2457" s="2" t="str">
        <f t="shared" si="86"/>
        <v>33460</v>
      </c>
      <c r="B2457" s="2" t="str">
        <f>"55318"</f>
        <v>55318</v>
      </c>
      <c r="C2457" s="1">
        <v>7.4435583927382597E-3</v>
      </c>
      <c r="D2457" s="1">
        <v>5.9565576710171302E-3</v>
      </c>
      <c r="E2457" s="1">
        <v>4.7547006699805404E-3</v>
      </c>
      <c r="F2457" s="1">
        <v>7.2360241735417302E-3</v>
      </c>
    </row>
    <row r="2458" spans="1:6" x14ac:dyDescent="0.25">
      <c r="A2458" s="2" t="str">
        <f t="shared" si="86"/>
        <v>33460</v>
      </c>
      <c r="B2458" s="2" t="str">
        <f>"55119"</f>
        <v>55119</v>
      </c>
      <c r="C2458" s="1">
        <v>1.03574773549972E-2</v>
      </c>
      <c r="D2458" s="1">
        <v>2.68201026024855E-3</v>
      </c>
      <c r="E2458" s="1">
        <v>5.8044397789372903E-3</v>
      </c>
      <c r="F2458" s="1">
        <v>9.6298326893349499E-3</v>
      </c>
    </row>
    <row r="2459" spans="1:6" x14ac:dyDescent="0.25">
      <c r="A2459" s="2" t="str">
        <f t="shared" si="86"/>
        <v>33460</v>
      </c>
      <c r="B2459" s="2" t="str">
        <f>"55055"</f>
        <v>55055</v>
      </c>
      <c r="C2459" s="1">
        <v>9.8450978312674092E-4</v>
      </c>
      <c r="D2459" s="1">
        <v>1.1304985108605799E-3</v>
      </c>
      <c r="E2459" s="1">
        <v>1.1114884683071399E-3</v>
      </c>
      <c r="F2459" s="1">
        <v>9.9983734159289194E-4</v>
      </c>
    </row>
    <row r="2460" spans="1:6" x14ac:dyDescent="0.25">
      <c r="A2460" s="2" t="str">
        <f t="shared" si="86"/>
        <v>33460</v>
      </c>
      <c r="B2460" s="2" t="str">
        <f>"55044"</f>
        <v>55044</v>
      </c>
      <c r="C2460" s="1">
        <v>1.40521042698719E-2</v>
      </c>
      <c r="D2460" s="1">
        <v>1.0899564952986799E-2</v>
      </c>
      <c r="E2460" s="1">
        <v>6.9159282472444298E-3</v>
      </c>
      <c r="F2460" s="1">
        <v>1.35592275659363E-2</v>
      </c>
    </row>
    <row r="2461" spans="1:6" x14ac:dyDescent="0.25">
      <c r="A2461" s="2" t="str">
        <f t="shared" si="86"/>
        <v>33460</v>
      </c>
      <c r="B2461" s="2" t="str">
        <f>"55033"</f>
        <v>55033</v>
      </c>
      <c r="C2461" s="1">
        <v>8.2146831871795205E-3</v>
      </c>
      <c r="D2461" s="1">
        <v>6.8531599382513899E-3</v>
      </c>
      <c r="E2461" s="1">
        <v>7.2709870635092096E-3</v>
      </c>
      <c r="F2461" s="1">
        <v>8.0805966719862399E-3</v>
      </c>
    </row>
    <row r="2462" spans="1:6" x14ac:dyDescent="0.25">
      <c r="A2462" s="2" t="str">
        <f t="shared" si="86"/>
        <v>33460</v>
      </c>
      <c r="B2462" s="2" t="str">
        <f>"55107"</f>
        <v>55107</v>
      </c>
      <c r="C2462" s="1">
        <v>3.8364576558572901E-3</v>
      </c>
      <c r="D2462" s="1">
        <v>4.8416522430649702E-3</v>
      </c>
      <c r="E2462" s="1">
        <v>6.9622402667572298E-3</v>
      </c>
      <c r="F2462" s="1">
        <v>4.0249424723850296E-3</v>
      </c>
    </row>
    <row r="2463" spans="1:6" x14ac:dyDescent="0.25">
      <c r="A2463" s="2" t="str">
        <f t="shared" si="86"/>
        <v>33460</v>
      </c>
      <c r="B2463" s="2" t="str">
        <f>"55090"</f>
        <v>55090</v>
      </c>
      <c r="C2463" s="1">
        <v>1.35441968866235E-4</v>
      </c>
      <c r="D2463" s="1">
        <v>0</v>
      </c>
      <c r="E2463" s="1">
        <v>4.6312019512797499E-5</v>
      </c>
      <c r="F2463" s="1">
        <v>1.2227817317546699E-4</v>
      </c>
    </row>
    <row r="2464" spans="1:6" x14ac:dyDescent="0.25">
      <c r="A2464" s="2" t="str">
        <f t="shared" si="86"/>
        <v>33460</v>
      </c>
      <c r="B2464" s="2" t="str">
        <f>"55085"</f>
        <v>55085</v>
      </c>
      <c r="C2464" s="1">
        <v>1.00942599438043E-4</v>
      </c>
      <c r="D2464" s="1">
        <v>0</v>
      </c>
      <c r="E2464" s="1">
        <v>1.54373398375991E-5</v>
      </c>
      <c r="F2464" s="1">
        <v>9.0428974580927105E-5</v>
      </c>
    </row>
    <row r="2465" spans="1:6" x14ac:dyDescent="0.25">
      <c r="A2465" s="2" t="str">
        <f t="shared" si="86"/>
        <v>33460</v>
      </c>
      <c r="B2465" s="2" t="str">
        <f>"55103"</f>
        <v>55103</v>
      </c>
      <c r="C2465" s="1">
        <v>3.5304354714849901E-3</v>
      </c>
      <c r="D2465" s="1">
        <v>4.5297905848965302E-3</v>
      </c>
      <c r="E2465" s="1">
        <v>6.57630677081725E-3</v>
      </c>
      <c r="F2465" s="1">
        <v>3.7155502574666402E-3</v>
      </c>
    </row>
    <row r="2466" spans="1:6" x14ac:dyDescent="0.25">
      <c r="A2466" s="2" t="str">
        <f t="shared" si="86"/>
        <v>33460</v>
      </c>
      <c r="B2466" s="2" t="str">
        <f>"55013"</f>
        <v>55013</v>
      </c>
      <c r="C2466" s="1">
        <v>1.94857549548122E-3</v>
      </c>
      <c r="D2466" s="1">
        <v>1.01355038904741E-3</v>
      </c>
      <c r="E2466" s="1">
        <v>7.87304331717558E-4</v>
      </c>
      <c r="F2466" s="1">
        <v>1.8375850117671401E-3</v>
      </c>
    </row>
    <row r="2467" spans="1:6" x14ac:dyDescent="0.25">
      <c r="A2467" s="2" t="str">
        <f t="shared" si="86"/>
        <v>33460</v>
      </c>
      <c r="B2467" s="2" t="str">
        <f>"55009"</f>
        <v>55009</v>
      </c>
      <c r="C2467" s="1">
        <v>2.3638456830427901E-4</v>
      </c>
      <c r="D2467" s="1">
        <v>5.45757901794763E-5</v>
      </c>
      <c r="E2467" s="1">
        <v>0</v>
      </c>
      <c r="F2467" s="1">
        <v>2.14413354823959E-4</v>
      </c>
    </row>
    <row r="2468" spans="1:6" x14ac:dyDescent="0.25">
      <c r="A2468" s="2" t="str">
        <f t="shared" si="86"/>
        <v>33460</v>
      </c>
      <c r="B2468" s="2" t="str">
        <f>"55057"</f>
        <v>55057</v>
      </c>
      <c r="C2468" s="1">
        <v>7.6856928559472396E-4</v>
      </c>
      <c r="D2468" s="1">
        <v>3.1186165816843601E-4</v>
      </c>
      <c r="E2468" s="1">
        <v>0</v>
      </c>
      <c r="F2468" s="1">
        <v>7.06938461660958E-4</v>
      </c>
    </row>
    <row r="2469" spans="1:6" x14ac:dyDescent="0.25">
      <c r="A2469" s="2" t="str">
        <f t="shared" si="86"/>
        <v>33460</v>
      </c>
      <c r="B2469" s="2" t="str">
        <f>"55001"</f>
        <v>55001</v>
      </c>
      <c r="C2469" s="1">
        <v>7.7879132098085499E-4</v>
      </c>
      <c r="D2469" s="1">
        <v>2.26099702172116E-4</v>
      </c>
      <c r="E2469" s="1">
        <v>1.54373398375991E-5</v>
      </c>
      <c r="F2469" s="1">
        <v>7.1035087579608702E-4</v>
      </c>
    </row>
    <row r="2470" spans="1:6" x14ac:dyDescent="0.25">
      <c r="A2470" s="2" t="str">
        <f t="shared" si="86"/>
        <v>33460</v>
      </c>
      <c r="B2470" s="2" t="str">
        <f>"54751"</f>
        <v>54751</v>
      </c>
      <c r="C2470" s="1">
        <v>1.9166316348995602E-6</v>
      </c>
      <c r="D2470" s="1">
        <v>0</v>
      </c>
      <c r="E2470" s="1">
        <v>0</v>
      </c>
      <c r="F2470" s="1">
        <v>1.7062070675646601E-6</v>
      </c>
    </row>
    <row r="2471" spans="1:6" x14ac:dyDescent="0.25">
      <c r="A2471" s="2" t="str">
        <f t="shared" si="86"/>
        <v>33460</v>
      </c>
      <c r="B2471" s="2" t="str">
        <f>"54015"</f>
        <v>54015</v>
      </c>
      <c r="C2471" s="1">
        <v>9.3659399225425196E-4</v>
      </c>
      <c r="D2471" s="1">
        <v>1.94913536355272E-4</v>
      </c>
      <c r="E2471" s="1">
        <v>3.0874679675198301E-4</v>
      </c>
      <c r="F2471" s="1">
        <v>8.59359626363401E-4</v>
      </c>
    </row>
    <row r="2472" spans="1:6" x14ac:dyDescent="0.25">
      <c r="A2472" s="2" t="str">
        <f t="shared" si="86"/>
        <v>33460</v>
      </c>
      <c r="B2472" s="2" t="str">
        <f>"54007"</f>
        <v>54007</v>
      </c>
      <c r="C2472" s="1">
        <v>2.3510681388101199E-4</v>
      </c>
      <c r="D2472" s="1">
        <v>5.45757901794763E-5</v>
      </c>
      <c r="E2472" s="1">
        <v>4.6312019512797499E-5</v>
      </c>
      <c r="F2472" s="1">
        <v>2.1498209051314701E-4</v>
      </c>
    </row>
    <row r="2473" spans="1:6" x14ac:dyDescent="0.25">
      <c r="A2473" s="2" t="str">
        <f t="shared" si="86"/>
        <v>33460</v>
      </c>
      <c r="B2473" s="2" t="str">
        <f>"56363"</f>
        <v>56363</v>
      </c>
      <c r="C2473" s="1">
        <v>5.1749054142288101E-5</v>
      </c>
      <c r="D2473" s="1">
        <v>8.5761955996319997E-5</v>
      </c>
      <c r="E2473" s="1">
        <v>0</v>
      </c>
      <c r="F2473" s="1">
        <v>5.2323683405316299E-5</v>
      </c>
    </row>
    <row r="2474" spans="1:6" x14ac:dyDescent="0.25">
      <c r="A2474" s="2" t="str">
        <f t="shared" si="86"/>
        <v>33460</v>
      </c>
      <c r="B2474" s="2" t="str">
        <f>"56329"</f>
        <v>56329</v>
      </c>
      <c r="C2474" s="1">
        <v>1.9166316348995602E-6</v>
      </c>
      <c r="D2474" s="1">
        <v>0</v>
      </c>
      <c r="E2474" s="1">
        <v>0</v>
      </c>
      <c r="F2474" s="1">
        <v>1.7062070675646601E-6</v>
      </c>
    </row>
    <row r="2475" spans="1:6" x14ac:dyDescent="0.25">
      <c r="A2475" s="2" t="str">
        <f t="shared" si="86"/>
        <v>33460</v>
      </c>
      <c r="B2475" s="2" t="str">
        <f>"56313"</f>
        <v>56313</v>
      </c>
      <c r="C2475" s="1">
        <v>0</v>
      </c>
      <c r="D2475" s="1">
        <v>0</v>
      </c>
      <c r="E2475" s="1">
        <v>1.54373398375991E-5</v>
      </c>
      <c r="F2475" s="1">
        <v>5.6873568918821996E-7</v>
      </c>
    </row>
    <row r="2476" spans="1:6" x14ac:dyDescent="0.25">
      <c r="A2476" s="2" t="str">
        <f t="shared" si="86"/>
        <v>33460</v>
      </c>
      <c r="B2476" s="2" t="str">
        <f>"56450"</f>
        <v>56450</v>
      </c>
      <c r="C2476" s="1">
        <v>2.0827397099241899E-4</v>
      </c>
      <c r="D2476" s="1">
        <v>5.45757901794763E-5</v>
      </c>
      <c r="E2476" s="1">
        <v>1.54373398375991E-5</v>
      </c>
      <c r="F2476" s="1">
        <v>1.8995772018886499E-4</v>
      </c>
    </row>
    <row r="2477" spans="1:6" x14ac:dyDescent="0.25">
      <c r="A2477" s="2" t="str">
        <f t="shared" si="86"/>
        <v>33460</v>
      </c>
      <c r="B2477" s="2" t="str">
        <f>"56011"</f>
        <v>56011</v>
      </c>
      <c r="C2477" s="1">
        <v>2.26865297850944E-3</v>
      </c>
      <c r="D2477" s="1">
        <v>1.4423601690290099E-3</v>
      </c>
      <c r="E2477" s="1">
        <v>1.8370434406743E-3</v>
      </c>
      <c r="F2477" s="1">
        <v>2.1924760818205899E-3</v>
      </c>
    </row>
    <row r="2478" spans="1:6" x14ac:dyDescent="0.25">
      <c r="A2478" s="2" t="str">
        <f t="shared" si="86"/>
        <v>33460</v>
      </c>
      <c r="B2478" s="2" t="str">
        <f>"56082"</f>
        <v>56082</v>
      </c>
      <c r="C2478" s="1">
        <v>2.0763509378078499E-4</v>
      </c>
      <c r="D2478" s="1">
        <v>8.5761955996319997E-5</v>
      </c>
      <c r="E2478" s="1">
        <v>3.0874679675198301E-5</v>
      </c>
      <c r="F2478" s="1">
        <v>1.92232662945618E-4</v>
      </c>
    </row>
    <row r="2479" spans="1:6" x14ac:dyDescent="0.25">
      <c r="A2479" s="2" t="str">
        <f t="shared" si="86"/>
        <v>33460</v>
      </c>
      <c r="B2479" s="2" t="str">
        <f>"56058"</f>
        <v>56058</v>
      </c>
      <c r="C2479" s="1">
        <v>1.5793044671572299E-3</v>
      </c>
      <c r="D2479" s="1">
        <v>1.7932045344684999E-3</v>
      </c>
      <c r="E2479" s="1">
        <v>1.03430176911914E-3</v>
      </c>
      <c r="F2479" s="1">
        <v>1.5748291233621801E-3</v>
      </c>
    </row>
    <row r="2480" spans="1:6" x14ac:dyDescent="0.25">
      <c r="A2480" s="2" t="str">
        <f t="shared" si="86"/>
        <v>33460</v>
      </c>
      <c r="B2480" s="2" t="str">
        <f>"55474"</f>
        <v>55474</v>
      </c>
      <c r="C2480" s="1">
        <v>0</v>
      </c>
      <c r="D2480" s="1">
        <v>3.4304782398527999E-4</v>
      </c>
      <c r="E2480" s="1">
        <v>0</v>
      </c>
      <c r="F2480" s="1">
        <v>2.50243703242817E-5</v>
      </c>
    </row>
    <row r="2481" spans="1:6" x14ac:dyDescent="0.25">
      <c r="A2481" s="2" t="str">
        <f t="shared" si="86"/>
        <v>33460</v>
      </c>
      <c r="B2481" s="2" t="str">
        <f>"55467"</f>
        <v>55467</v>
      </c>
      <c r="C2481" s="1">
        <v>0</v>
      </c>
      <c r="D2481" s="1">
        <v>4.6779248725265401E-5</v>
      </c>
      <c r="E2481" s="1">
        <v>0</v>
      </c>
      <c r="F2481" s="1">
        <v>3.4124141351293202E-6</v>
      </c>
    </row>
    <row r="2482" spans="1:6" x14ac:dyDescent="0.25">
      <c r="A2482" s="2" t="str">
        <f t="shared" si="86"/>
        <v>33460</v>
      </c>
      <c r="B2482" s="2" t="str">
        <f>"55449"</f>
        <v>55449</v>
      </c>
      <c r="C2482" s="1">
        <v>7.7061369267195003E-3</v>
      </c>
      <c r="D2482" s="1">
        <v>1.01433004319283E-2</v>
      </c>
      <c r="E2482" s="1">
        <v>1.42023526505912E-2</v>
      </c>
      <c r="F2482" s="1">
        <v>8.1232518486753502E-3</v>
      </c>
    </row>
    <row r="2483" spans="1:6" x14ac:dyDescent="0.25">
      <c r="A2483" s="2" t="str">
        <f t="shared" si="86"/>
        <v>33460</v>
      </c>
      <c r="B2483" s="2" t="str">
        <f>"55436"</f>
        <v>55436</v>
      </c>
      <c r="C2483" s="1">
        <v>4.2351170359163897E-3</v>
      </c>
      <c r="D2483" s="1">
        <v>1.9101526562816701E-3</v>
      </c>
      <c r="E2483" s="1">
        <v>1.91423013986229E-3</v>
      </c>
      <c r="F2483" s="1">
        <v>3.9800123529391603E-3</v>
      </c>
    </row>
    <row r="2484" spans="1:6" x14ac:dyDescent="0.25">
      <c r="A2484" s="2" t="str">
        <f t="shared" si="86"/>
        <v>33460</v>
      </c>
      <c r="B2484" s="2" t="str">
        <f>"55435"</f>
        <v>55435</v>
      </c>
      <c r="C2484" s="1">
        <v>5.54673195139933E-3</v>
      </c>
      <c r="D2484" s="1">
        <v>1.3441237467059599E-2</v>
      </c>
      <c r="E2484" s="1">
        <v>6.4219333724412596E-3</v>
      </c>
      <c r="F2484" s="1">
        <v>6.15485762839492E-3</v>
      </c>
    </row>
    <row r="2485" spans="1:6" x14ac:dyDescent="0.25">
      <c r="A2485" s="2" t="str">
        <f t="shared" si="86"/>
        <v>33460</v>
      </c>
      <c r="B2485" s="2" t="str">
        <f>"55402"</f>
        <v>55402</v>
      </c>
      <c r="C2485" s="1">
        <v>7.2576451241530002E-4</v>
      </c>
      <c r="D2485" s="1">
        <v>2.23370912663142E-2</v>
      </c>
      <c r="E2485" s="1">
        <v>3.6895242211862E-3</v>
      </c>
      <c r="F2485" s="1">
        <v>2.4114393221580498E-3</v>
      </c>
    </row>
    <row r="2486" spans="1:6" x14ac:dyDescent="0.25">
      <c r="A2486" s="2" t="str">
        <f t="shared" si="86"/>
        <v>33460</v>
      </c>
      <c r="B2486" s="2" t="str">
        <f>"55386"</f>
        <v>55386</v>
      </c>
      <c r="C2486" s="1">
        <v>2.18623781820876E-3</v>
      </c>
      <c r="D2486" s="1">
        <v>4.4440286289002098E-4</v>
      </c>
      <c r="E2486" s="1">
        <v>7.1011763252956195E-4</v>
      </c>
      <c r="F2486" s="1">
        <v>2.0047933043884701E-3</v>
      </c>
    </row>
    <row r="2487" spans="1:6" x14ac:dyDescent="0.25">
      <c r="A2487" s="2" t="str">
        <f t="shared" si="86"/>
        <v>33460</v>
      </c>
      <c r="B2487" s="2" t="str">
        <f>"55425"</f>
        <v>55425</v>
      </c>
      <c r="C2487" s="1">
        <v>3.19246942653103E-3</v>
      </c>
      <c r="D2487" s="1">
        <v>1.11178681137047E-2</v>
      </c>
      <c r="E2487" s="1">
        <v>3.5505881626478101E-3</v>
      </c>
      <c r="F2487" s="1">
        <v>3.7837985401692302E-3</v>
      </c>
    </row>
    <row r="2488" spans="1:6" x14ac:dyDescent="0.25">
      <c r="A2488" s="2" t="str">
        <f t="shared" si="86"/>
        <v>33460</v>
      </c>
      <c r="B2488" s="2" t="str">
        <f>"55411"</f>
        <v>55411</v>
      </c>
      <c r="C2488" s="1">
        <v>7.4263087080241701E-3</v>
      </c>
      <c r="D2488" s="1">
        <v>6.8063806895261201E-3</v>
      </c>
      <c r="E2488" s="1">
        <v>8.7375343480811298E-3</v>
      </c>
      <c r="F2488" s="1">
        <v>7.4293943078657197E-3</v>
      </c>
    </row>
    <row r="2489" spans="1:6" x14ac:dyDescent="0.25">
      <c r="A2489" s="2" t="str">
        <f t="shared" si="86"/>
        <v>33460</v>
      </c>
      <c r="B2489" s="2" t="str">
        <f>"55368"</f>
        <v>55368</v>
      </c>
      <c r="C2489" s="1">
        <v>6.9765391510343997E-4</v>
      </c>
      <c r="D2489" s="1">
        <v>6.3931639924529396E-4</v>
      </c>
      <c r="E2489" s="1">
        <v>7.5642965204235997E-4</v>
      </c>
      <c r="F2489" s="1">
        <v>6.9556374787719405E-4</v>
      </c>
    </row>
    <row r="2490" spans="1:6" x14ac:dyDescent="0.25">
      <c r="A2490" s="2" t="str">
        <f t="shared" si="86"/>
        <v>33460</v>
      </c>
      <c r="B2490" s="2" t="str">
        <f>"55367"</f>
        <v>55367</v>
      </c>
      <c r="C2490" s="1">
        <v>2.6257853398124E-4</v>
      </c>
      <c r="D2490" s="1">
        <v>1.5593082908421801E-4</v>
      </c>
      <c r="E2490" s="1">
        <v>1.5437339837599099E-4</v>
      </c>
      <c r="F2490" s="1">
        <v>2.50812438932005E-4</v>
      </c>
    </row>
    <row r="2491" spans="1:6" x14ac:dyDescent="0.25">
      <c r="A2491" s="2" t="str">
        <f t="shared" si="86"/>
        <v>33460</v>
      </c>
      <c r="B2491" s="2" t="str">
        <f>"55409"</f>
        <v>55409</v>
      </c>
      <c r="C2491" s="1">
        <v>3.35666086992076E-3</v>
      </c>
      <c r="D2491" s="1">
        <v>2.0738800268201001E-3</v>
      </c>
      <c r="E2491" s="1">
        <v>5.5883170212109E-3</v>
      </c>
      <c r="F2491" s="1">
        <v>3.3453033238051099E-3</v>
      </c>
    </row>
    <row r="2492" spans="1:6" x14ac:dyDescent="0.25">
      <c r="A2492" s="2" t="str">
        <f t="shared" si="86"/>
        <v>33460</v>
      </c>
      <c r="B2492" s="2" t="str">
        <f>"55360"</f>
        <v>55360</v>
      </c>
      <c r="C2492" s="1">
        <v>8.88678201381763E-4</v>
      </c>
      <c r="D2492" s="1">
        <v>3.5084436543949101E-4</v>
      </c>
      <c r="E2492" s="1">
        <v>1.8524807805118999E-4</v>
      </c>
      <c r="F2492" s="1">
        <v>8.2352927794454296E-4</v>
      </c>
    </row>
    <row r="2493" spans="1:6" x14ac:dyDescent="0.25">
      <c r="A2493" s="2" t="str">
        <f t="shared" si="86"/>
        <v>33460</v>
      </c>
      <c r="B2493" s="2" t="str">
        <f>"55358"</f>
        <v>55358</v>
      </c>
      <c r="C2493" s="1">
        <v>1.4968893068565501E-3</v>
      </c>
      <c r="D2493" s="1">
        <v>8.1084031123793403E-4</v>
      </c>
      <c r="E2493" s="1">
        <v>4.4768285529037599E-4</v>
      </c>
      <c r="F2493" s="1">
        <v>1.4081895664300301E-3</v>
      </c>
    </row>
    <row r="2494" spans="1:6" x14ac:dyDescent="0.25">
      <c r="A2494" s="2" t="str">
        <f t="shared" si="86"/>
        <v>33460</v>
      </c>
      <c r="B2494" s="2" t="str">
        <f>"55356"</f>
        <v>55356</v>
      </c>
      <c r="C2494" s="1">
        <v>1.78502292930312E-3</v>
      </c>
      <c r="D2494" s="1">
        <v>3.1731923718638401E-3</v>
      </c>
      <c r="E2494" s="1">
        <v>1.2195498471703301E-3</v>
      </c>
      <c r="F2494" s="1">
        <v>1.8654530605373601E-3</v>
      </c>
    </row>
    <row r="2495" spans="1:6" x14ac:dyDescent="0.25">
      <c r="A2495" s="2" t="str">
        <f t="shared" si="86"/>
        <v>33460</v>
      </c>
      <c r="B2495" s="2" t="str">
        <f>"55364"</f>
        <v>55364</v>
      </c>
      <c r="C2495" s="1">
        <v>4.3846143034385601E-3</v>
      </c>
      <c r="D2495" s="1">
        <v>1.5515117493879701E-3</v>
      </c>
      <c r="E2495" s="1">
        <v>5.1406341659205202E-3</v>
      </c>
      <c r="F2495" s="1">
        <v>4.2058004215468903E-3</v>
      </c>
    </row>
    <row r="2496" spans="1:6" x14ac:dyDescent="0.25">
      <c r="A2496" s="2" t="str">
        <f t="shared" si="86"/>
        <v>33460</v>
      </c>
      <c r="B2496" s="2" t="str">
        <f>"55303"</f>
        <v>55303</v>
      </c>
      <c r="C2496" s="1">
        <v>1.2973679536635099E-2</v>
      </c>
      <c r="D2496" s="1">
        <v>1.34646270914222E-2</v>
      </c>
      <c r="E2496" s="1">
        <v>1.1794127635925701E-2</v>
      </c>
      <c r="F2496" s="1">
        <v>1.2966036242113E-2</v>
      </c>
    </row>
    <row r="2497" spans="1:6" x14ac:dyDescent="0.25">
      <c r="A2497" s="2" t="str">
        <f t="shared" si="86"/>
        <v>33460</v>
      </c>
      <c r="B2497" s="2" t="str">
        <f>"55126"</f>
        <v>55126</v>
      </c>
      <c r="C2497" s="1">
        <v>7.5943334146836902E-3</v>
      </c>
      <c r="D2497" s="1">
        <v>5.4653755594018397E-3</v>
      </c>
      <c r="E2497" s="1">
        <v>3.5505881626478101E-3</v>
      </c>
      <c r="F2497" s="1">
        <v>7.2900540640146103E-3</v>
      </c>
    </row>
    <row r="2498" spans="1:6" x14ac:dyDescent="0.25">
      <c r="A2498" s="2" t="str">
        <f t="shared" si="86"/>
        <v>33460</v>
      </c>
      <c r="B2498" s="2" t="str">
        <f>"55123"</f>
        <v>55123</v>
      </c>
      <c r="C2498" s="1">
        <v>6.5702132444356897E-3</v>
      </c>
      <c r="D2498" s="1">
        <v>2.292183187538E-3</v>
      </c>
      <c r="E2498" s="1">
        <v>4.9553860878693299E-3</v>
      </c>
      <c r="F2498" s="1">
        <v>6.1986502764624102E-3</v>
      </c>
    </row>
    <row r="2499" spans="1:6" x14ac:dyDescent="0.25">
      <c r="A2499" s="2" t="str">
        <f t="shared" si="86"/>
        <v>33460</v>
      </c>
      <c r="B2499" s="2" t="str">
        <f>"55128"</f>
        <v>55128</v>
      </c>
      <c r="C2499" s="1">
        <v>8.1546287292860002E-3</v>
      </c>
      <c r="D2499" s="1">
        <v>8.1629789025588206E-3</v>
      </c>
      <c r="E2499" s="1">
        <v>4.2298311155021702E-3</v>
      </c>
      <c r="F2499" s="1">
        <v>8.0106421822160791E-3</v>
      </c>
    </row>
    <row r="2500" spans="1:6" x14ac:dyDescent="0.25">
      <c r="A2500" s="2" t="str">
        <f t="shared" si="86"/>
        <v>33460</v>
      </c>
      <c r="B2500" s="2" t="str">
        <f>"55316"</f>
        <v>55316</v>
      </c>
      <c r="C2500" s="1">
        <v>6.0016125260821604E-3</v>
      </c>
      <c r="D2500" s="1">
        <v>3.54742636166596E-3</v>
      </c>
      <c r="E2500" s="1">
        <v>1.48198462440952E-3</v>
      </c>
      <c r="F2500" s="1">
        <v>5.65607642897685E-3</v>
      </c>
    </row>
    <row r="2501" spans="1:6" x14ac:dyDescent="0.25">
      <c r="A2501" s="2" t="str">
        <f t="shared" si="86"/>
        <v>33460</v>
      </c>
      <c r="B2501" s="2" t="str">
        <f>"55331"</f>
        <v>55331</v>
      </c>
      <c r="C2501" s="1">
        <v>5.5524818463040301E-3</v>
      </c>
      <c r="D2501" s="1">
        <v>6.4399432411782103E-3</v>
      </c>
      <c r="E2501" s="1">
        <v>3.6432122016734E-3</v>
      </c>
      <c r="F2501" s="1">
        <v>5.54687917665271E-3</v>
      </c>
    </row>
    <row r="2502" spans="1:6" x14ac:dyDescent="0.25">
      <c r="A2502" s="2" t="str">
        <f t="shared" si="86"/>
        <v>33460</v>
      </c>
      <c r="B2502" s="2" t="str">
        <f>"55327"</f>
        <v>55327</v>
      </c>
      <c r="C2502" s="1">
        <v>1.2253664919124501E-3</v>
      </c>
      <c r="D2502" s="1">
        <v>3.1965819962264698E-4</v>
      </c>
      <c r="E2502" s="1">
        <v>3.7049615610237999E-4</v>
      </c>
      <c r="F2502" s="1">
        <v>1.1278028716602401E-3</v>
      </c>
    </row>
    <row r="2503" spans="1:6" x14ac:dyDescent="0.25">
      <c r="A2503" s="2" t="str">
        <f t="shared" si="86"/>
        <v>33460</v>
      </c>
      <c r="B2503" s="2" t="str">
        <f>"55122"</f>
        <v>55122</v>
      </c>
      <c r="C2503" s="1">
        <v>9.2573307965648794E-3</v>
      </c>
      <c r="D2503" s="1">
        <v>7.5860348349472096E-3</v>
      </c>
      <c r="E2503" s="1">
        <v>7.5179845009107999E-3</v>
      </c>
      <c r="F2503" s="1">
        <v>9.0713342425521194E-3</v>
      </c>
    </row>
    <row r="2504" spans="1:6" x14ac:dyDescent="0.25">
      <c r="A2504" s="2" t="str">
        <f t="shared" si="86"/>
        <v>33460</v>
      </c>
      <c r="B2504" s="2" t="str">
        <f>"55111"</f>
        <v>55111</v>
      </c>
      <c r="C2504" s="1">
        <v>4.4593629371996401E-4</v>
      </c>
      <c r="D2504" s="1">
        <v>2.5806552213438099E-3</v>
      </c>
      <c r="E2504" s="1">
        <v>2.4699743740158597E-4</v>
      </c>
      <c r="F2504" s="1">
        <v>5.9432879520168996E-4</v>
      </c>
    </row>
    <row r="2505" spans="1:6" x14ac:dyDescent="0.25">
      <c r="A2505" s="2" t="str">
        <f t="shared" si="86"/>
        <v>33460</v>
      </c>
      <c r="B2505" s="2" t="str">
        <f>"55045"</f>
        <v>55045</v>
      </c>
      <c r="C2505" s="1">
        <v>2.18623781820876E-3</v>
      </c>
      <c r="D2505" s="1">
        <v>5.7694406761160698E-4</v>
      </c>
      <c r="E2505" s="1">
        <v>1.0651764487943399E-3</v>
      </c>
      <c r="F2505" s="1">
        <v>2.027542731956E-3</v>
      </c>
    </row>
    <row r="2506" spans="1:6" x14ac:dyDescent="0.25">
      <c r="A2506" s="2" t="str">
        <f t="shared" ref="A2506:A2569" si="87">"33460"</f>
        <v>33460</v>
      </c>
      <c r="B2506" s="2" t="str">
        <f>"55074"</f>
        <v>55074</v>
      </c>
      <c r="C2506" s="1">
        <v>6.1396100037949299E-4</v>
      </c>
      <c r="D2506" s="1">
        <v>1.7152391199263999E-4</v>
      </c>
      <c r="E2506" s="1">
        <v>2.0068541788878901E-4</v>
      </c>
      <c r="F2506" s="1">
        <v>5.6646074643146695E-4</v>
      </c>
    </row>
    <row r="2507" spans="1:6" x14ac:dyDescent="0.25">
      <c r="A2507" s="2" t="str">
        <f t="shared" si="87"/>
        <v>33460</v>
      </c>
      <c r="B2507" s="2" t="str">
        <f>"55104"</f>
        <v>55104</v>
      </c>
      <c r="C2507" s="1">
        <v>1.2886792235853E-2</v>
      </c>
      <c r="D2507" s="1">
        <v>1.98967737911462E-2</v>
      </c>
      <c r="E2507" s="1">
        <v>4.6312019512797502E-2</v>
      </c>
      <c r="F2507" s="1">
        <v>1.46295881329886E-2</v>
      </c>
    </row>
    <row r="2508" spans="1:6" x14ac:dyDescent="0.25">
      <c r="A2508" s="2" t="str">
        <f t="shared" si="87"/>
        <v>33460</v>
      </c>
      <c r="B2508" s="2" t="str">
        <f>"55016"</f>
        <v>55016</v>
      </c>
      <c r="C2508" s="1">
        <v>8.5948151281012592E-3</v>
      </c>
      <c r="D2508" s="1">
        <v>3.23556470349752E-3</v>
      </c>
      <c r="E2508" s="1">
        <v>3.1029053073574299E-3</v>
      </c>
      <c r="F2508" s="1">
        <v>8.0015424111890693E-3</v>
      </c>
    </row>
    <row r="2509" spans="1:6" x14ac:dyDescent="0.25">
      <c r="A2509" s="2" t="str">
        <f t="shared" si="87"/>
        <v>33460</v>
      </c>
      <c r="B2509" s="2" t="str">
        <f>"55014"</f>
        <v>55014</v>
      </c>
      <c r="C2509" s="1">
        <v>6.8270418835122398E-3</v>
      </c>
      <c r="D2509" s="1">
        <v>5.5121548081271104E-3</v>
      </c>
      <c r="E2509" s="1">
        <v>2.1612275772638799E-3</v>
      </c>
      <c r="F2509" s="1">
        <v>6.5592287034077499E-3</v>
      </c>
    </row>
    <row r="2510" spans="1:6" x14ac:dyDescent="0.25">
      <c r="A2510" s="2" t="str">
        <f t="shared" si="87"/>
        <v>33460</v>
      </c>
      <c r="B2510" s="2" t="str">
        <f>"55003"</f>
        <v>55003</v>
      </c>
      <c r="C2510" s="1">
        <v>7.0659819606630502E-4</v>
      </c>
      <c r="D2510" s="1">
        <v>4.9118211161528695E-4</v>
      </c>
      <c r="E2510" s="1">
        <v>6.1749359350396699E-4</v>
      </c>
      <c r="F2510" s="1">
        <v>6.8760144822855803E-4</v>
      </c>
    </row>
    <row r="2511" spans="1:6" x14ac:dyDescent="0.25">
      <c r="A2511" s="2" t="str">
        <f t="shared" si="87"/>
        <v>33460</v>
      </c>
      <c r="B2511" s="2" t="str">
        <f>"54767"</f>
        <v>54767</v>
      </c>
      <c r="C2511" s="1">
        <v>8.9442809628646205E-4</v>
      </c>
      <c r="D2511" s="1">
        <v>2.4169278508053799E-4</v>
      </c>
      <c r="E2511" s="1">
        <v>2.0068541788878901E-4</v>
      </c>
      <c r="F2511" s="1">
        <v>8.2125433518778995E-4</v>
      </c>
    </row>
    <row r="2512" spans="1:6" x14ac:dyDescent="0.25">
      <c r="A2512" s="2" t="str">
        <f t="shared" si="87"/>
        <v>33460</v>
      </c>
      <c r="B2512" s="2" t="str">
        <f>"54020"</f>
        <v>54020</v>
      </c>
      <c r="C2512" s="1">
        <v>1.9166316348995599E-5</v>
      </c>
      <c r="D2512" s="1">
        <v>0</v>
      </c>
      <c r="E2512" s="1">
        <v>0</v>
      </c>
      <c r="F2512" s="1">
        <v>1.70620706756466E-5</v>
      </c>
    </row>
    <row r="2513" spans="1:6" x14ac:dyDescent="0.25">
      <c r="A2513" s="2" t="str">
        <f t="shared" si="87"/>
        <v>33460</v>
      </c>
      <c r="B2513" s="2" t="str">
        <f>"54016"</f>
        <v>54016</v>
      </c>
      <c r="C2513" s="1">
        <v>9.1353052491429405E-3</v>
      </c>
      <c r="D2513" s="1">
        <v>1.29968346041695E-2</v>
      </c>
      <c r="E2513" s="1">
        <v>8.3361635123035491E-3</v>
      </c>
      <c r="F2513" s="1">
        <v>9.3875512857407705E-3</v>
      </c>
    </row>
    <row r="2514" spans="1:6" x14ac:dyDescent="0.25">
      <c r="A2514" s="2" t="str">
        <f t="shared" si="87"/>
        <v>33460</v>
      </c>
      <c r="B2514" s="2" t="str">
        <f>"56386"</f>
        <v>56386</v>
      </c>
      <c r="C2514" s="1">
        <v>2.5299537580674201E-4</v>
      </c>
      <c r="D2514" s="1">
        <v>1.63727370538429E-4</v>
      </c>
      <c r="E2514" s="1">
        <v>2.7787211707678498E-4</v>
      </c>
      <c r="F2514" s="1">
        <v>2.4740002479687597E-4</v>
      </c>
    </row>
    <row r="2515" spans="1:6" x14ac:dyDescent="0.25">
      <c r="A2515" s="2" t="str">
        <f t="shared" si="87"/>
        <v>33460</v>
      </c>
      <c r="B2515" s="2" t="str">
        <f>"55488"</f>
        <v>55488</v>
      </c>
      <c r="C2515" s="1">
        <v>0</v>
      </c>
      <c r="D2515" s="1">
        <v>1.5593082908421801E-5</v>
      </c>
      <c r="E2515" s="1">
        <v>0</v>
      </c>
      <c r="F2515" s="1">
        <v>1.1374713783764399E-6</v>
      </c>
    </row>
    <row r="2516" spans="1:6" x14ac:dyDescent="0.25">
      <c r="A2516" s="2" t="str">
        <f t="shared" si="87"/>
        <v>33460</v>
      </c>
      <c r="B2516" s="2" t="str">
        <f>"55480"</f>
        <v>55480</v>
      </c>
      <c r="C2516" s="1">
        <v>0</v>
      </c>
      <c r="D2516" s="1">
        <v>0</v>
      </c>
      <c r="E2516" s="1">
        <v>3.0874679675198301E-5</v>
      </c>
      <c r="F2516" s="1">
        <v>1.1374713783764399E-6</v>
      </c>
    </row>
    <row r="2517" spans="1:6" x14ac:dyDescent="0.25">
      <c r="A2517" s="2" t="str">
        <f t="shared" si="87"/>
        <v>33460</v>
      </c>
      <c r="B2517" s="2" t="str">
        <f>"55455"</f>
        <v>55455</v>
      </c>
      <c r="C2517" s="1">
        <v>1.9166316348995602E-6</v>
      </c>
      <c r="D2517" s="1">
        <v>2.5494690555269602E-3</v>
      </c>
      <c r="E2517" s="1">
        <v>1.8833554601871E-3</v>
      </c>
      <c r="F2517" s="1">
        <v>2.5706853151307498E-4</v>
      </c>
    </row>
    <row r="2518" spans="1:6" x14ac:dyDescent="0.25">
      <c r="A2518" s="2" t="str">
        <f t="shared" si="87"/>
        <v>33460</v>
      </c>
      <c r="B2518" s="2" t="str">
        <f>"55438"</f>
        <v>55438</v>
      </c>
      <c r="C2518" s="1">
        <v>5.4432338431147503E-3</v>
      </c>
      <c r="D2518" s="1">
        <v>3.2823439522227898E-3</v>
      </c>
      <c r="E2518" s="1">
        <v>1.7289820618111001E-3</v>
      </c>
      <c r="F2518" s="1">
        <v>5.1487641942209597E-3</v>
      </c>
    </row>
    <row r="2519" spans="1:6" x14ac:dyDescent="0.25">
      <c r="A2519" s="2" t="str">
        <f t="shared" si="87"/>
        <v>33460</v>
      </c>
      <c r="B2519" s="2" t="str">
        <f>"55431"</f>
        <v>55431</v>
      </c>
      <c r="C2519" s="1">
        <v>5.6035920232346799E-3</v>
      </c>
      <c r="D2519" s="1">
        <v>9.0205984625220201E-3</v>
      </c>
      <c r="E2519" s="1">
        <v>1.3862731174164001E-2</v>
      </c>
      <c r="F2519" s="1">
        <v>6.1571325711516703E-3</v>
      </c>
    </row>
    <row r="2520" spans="1:6" x14ac:dyDescent="0.25">
      <c r="A2520" s="2" t="str">
        <f t="shared" si="87"/>
        <v>33460</v>
      </c>
      <c r="B2520" s="2" t="str">
        <f>"55395"</f>
        <v>55395</v>
      </c>
      <c r="C2520" s="1">
        <v>2.42773340420611E-5</v>
      </c>
      <c r="D2520" s="1">
        <v>0</v>
      </c>
      <c r="E2520" s="1">
        <v>0</v>
      </c>
      <c r="F2520" s="1">
        <v>2.1611956189152298E-5</v>
      </c>
    </row>
    <row r="2521" spans="1:6" x14ac:dyDescent="0.25">
      <c r="A2521" s="2" t="str">
        <f t="shared" si="87"/>
        <v>33460</v>
      </c>
      <c r="B2521" s="2" t="str">
        <f>"55397"</f>
        <v>55397</v>
      </c>
      <c r="C2521" s="1">
        <v>8.0690191829271504E-4</v>
      </c>
      <c r="D2521" s="1">
        <v>2.1830316071790501E-4</v>
      </c>
      <c r="E2521" s="1">
        <v>6.9468029269196304E-4</v>
      </c>
      <c r="F2521" s="1">
        <v>7.5983088075546202E-4</v>
      </c>
    </row>
    <row r="2522" spans="1:6" x14ac:dyDescent="0.25">
      <c r="A2522" s="2" t="str">
        <f t="shared" si="87"/>
        <v>33460</v>
      </c>
      <c r="B2522" s="2" t="str">
        <f>"55377"</f>
        <v>55377</v>
      </c>
      <c r="C2522" s="1">
        <v>0</v>
      </c>
      <c r="D2522" s="1">
        <v>7.7965414542109108E-6</v>
      </c>
      <c r="E2522" s="1">
        <v>0</v>
      </c>
      <c r="F2522" s="1">
        <v>5.6873568918821996E-7</v>
      </c>
    </row>
    <row r="2523" spans="1:6" x14ac:dyDescent="0.25">
      <c r="A2523" s="2" t="str">
        <f t="shared" si="87"/>
        <v>33460</v>
      </c>
      <c r="B2523" s="2" t="str">
        <f>"55390"</f>
        <v>55390</v>
      </c>
      <c r="C2523" s="1">
        <v>7.3918093385959695E-4</v>
      </c>
      <c r="D2523" s="1">
        <v>1.4033774617579599E-4</v>
      </c>
      <c r="E2523" s="1">
        <v>1.38936058538392E-4</v>
      </c>
      <c r="F2523" s="1">
        <v>6.7338305599885296E-4</v>
      </c>
    </row>
    <row r="2524" spans="1:6" x14ac:dyDescent="0.25">
      <c r="A2524" s="2" t="str">
        <f t="shared" si="87"/>
        <v>33460</v>
      </c>
      <c r="B2524" s="2" t="str">
        <f>"55426"</f>
        <v>55426</v>
      </c>
      <c r="C2524" s="1">
        <v>8.0805189727365494E-3</v>
      </c>
      <c r="D2524" s="1">
        <v>1.02524520122873E-2</v>
      </c>
      <c r="E2524" s="1">
        <v>9.2778412423971095E-3</v>
      </c>
      <c r="F2524" s="1">
        <v>8.2830665773372392E-3</v>
      </c>
    </row>
    <row r="2525" spans="1:6" x14ac:dyDescent="0.25">
      <c r="A2525" s="2" t="str">
        <f t="shared" si="87"/>
        <v>33460</v>
      </c>
      <c r="B2525" s="2" t="str">
        <f>"55413"</f>
        <v>55413</v>
      </c>
      <c r="C2525" s="1">
        <v>4.9014659676498099E-3</v>
      </c>
      <c r="D2525" s="1">
        <v>1.33242893452464E-2</v>
      </c>
      <c r="E2525" s="1">
        <v>9.0925931643459097E-3</v>
      </c>
      <c r="F2525" s="1">
        <v>5.6702948212065604E-3</v>
      </c>
    </row>
    <row r="2526" spans="1:6" x14ac:dyDescent="0.25">
      <c r="A2526" s="2" t="str">
        <f t="shared" si="87"/>
        <v>33460</v>
      </c>
      <c r="B2526" s="2" t="str">
        <f>"55406"</f>
        <v>55406</v>
      </c>
      <c r="C2526" s="1">
        <v>1.09120227746948E-2</v>
      </c>
      <c r="D2526" s="1">
        <v>9.7066941104925804E-3</v>
      </c>
      <c r="E2526" s="1">
        <v>2.14424650344252E-2</v>
      </c>
      <c r="F2526" s="1">
        <v>1.12120553766565E-2</v>
      </c>
    </row>
    <row r="2527" spans="1:6" x14ac:dyDescent="0.25">
      <c r="A2527" s="2" t="str">
        <f t="shared" si="87"/>
        <v>33460</v>
      </c>
      <c r="B2527" s="2" t="str">
        <f>"55363"</f>
        <v>55363</v>
      </c>
      <c r="C2527" s="1">
        <v>1.2988373712502601E-3</v>
      </c>
      <c r="D2527" s="1">
        <v>1.5593082908421801E-4</v>
      </c>
      <c r="E2527" s="1">
        <v>4.7855753496557402E-4</v>
      </c>
      <c r="F2527" s="1">
        <v>1.1852451762682499E-3</v>
      </c>
    </row>
    <row r="2528" spans="1:6" x14ac:dyDescent="0.25">
      <c r="A2528" s="2" t="str">
        <f t="shared" si="87"/>
        <v>33460</v>
      </c>
      <c r="B2528" s="2" t="str">
        <f>"55357"</f>
        <v>55357</v>
      </c>
      <c r="C2528" s="1">
        <v>8.2990149791150995E-4</v>
      </c>
      <c r="D2528" s="1">
        <v>8.9660226723425396E-4</v>
      </c>
      <c r="E2528" s="1">
        <v>7.2555497236716096E-4</v>
      </c>
      <c r="F2528" s="1">
        <v>8.3092284190398999E-4</v>
      </c>
    </row>
    <row r="2529" spans="1:6" x14ac:dyDescent="0.25">
      <c r="A2529" s="2" t="str">
        <f t="shared" si="87"/>
        <v>33460</v>
      </c>
      <c r="B2529" s="2" t="str">
        <f>"55125"</f>
        <v>55125</v>
      </c>
      <c r="C2529" s="1">
        <v>1.12678773815745E-2</v>
      </c>
      <c r="D2529" s="1">
        <v>1.3636151003414801E-2</v>
      </c>
      <c r="E2529" s="1">
        <v>1.16243168977121E-2</v>
      </c>
      <c r="F2529" s="1">
        <v>1.14537680445615E-2</v>
      </c>
    </row>
    <row r="2530" spans="1:6" x14ac:dyDescent="0.25">
      <c r="A2530" s="2" t="str">
        <f t="shared" si="87"/>
        <v>33460</v>
      </c>
      <c r="B2530" s="2" t="str">
        <f>"55346"</f>
        <v>55346</v>
      </c>
      <c r="C2530" s="1">
        <v>4.2140340879325E-3</v>
      </c>
      <c r="D2530" s="1">
        <v>1.5203255835711199E-3</v>
      </c>
      <c r="E2530" s="1">
        <v>6.7924295285436403E-4</v>
      </c>
      <c r="F2530" s="1">
        <v>3.8873084356014801E-3</v>
      </c>
    </row>
    <row r="2531" spans="1:6" x14ac:dyDescent="0.25">
      <c r="A2531" s="2" t="str">
        <f t="shared" si="87"/>
        <v>33460</v>
      </c>
      <c r="B2531" s="2" t="str">
        <f>"55323"</f>
        <v>55323</v>
      </c>
      <c r="C2531" s="1">
        <v>0</v>
      </c>
      <c r="D2531" s="1">
        <v>7.7965414542109108E-6</v>
      </c>
      <c r="E2531" s="1">
        <v>1.54373398375991E-5</v>
      </c>
      <c r="F2531" s="1">
        <v>1.1374713783764399E-6</v>
      </c>
    </row>
    <row r="2532" spans="1:6" x14ac:dyDescent="0.25">
      <c r="A2532" s="2" t="str">
        <f t="shared" si="87"/>
        <v>33460</v>
      </c>
      <c r="B2532" s="2" t="str">
        <f>"55320"</f>
        <v>55320</v>
      </c>
      <c r="C2532" s="1">
        <v>8.6056760406990295E-4</v>
      </c>
      <c r="D2532" s="1">
        <v>2.7287895089738102E-4</v>
      </c>
      <c r="E2532" s="1">
        <v>5.0943221464077302E-4</v>
      </c>
      <c r="F2532" s="1">
        <v>8.0476100020133198E-4</v>
      </c>
    </row>
    <row r="2533" spans="1:6" x14ac:dyDescent="0.25">
      <c r="A2533" s="2" t="str">
        <f t="shared" si="87"/>
        <v>33460</v>
      </c>
      <c r="B2533" s="2" t="str">
        <f>"55319"</f>
        <v>55319</v>
      </c>
      <c r="C2533" s="1">
        <v>1.59144313417826E-3</v>
      </c>
      <c r="D2533" s="1">
        <v>1.5593082908421801E-4</v>
      </c>
      <c r="E2533" s="1">
        <v>2.16122757726388E-4</v>
      </c>
      <c r="F2533" s="1">
        <v>1.43605761520025E-3</v>
      </c>
    </row>
    <row r="2534" spans="1:6" x14ac:dyDescent="0.25">
      <c r="A2534" s="2" t="str">
        <f t="shared" si="87"/>
        <v>33460</v>
      </c>
      <c r="B2534" s="2" t="str">
        <f>"55330"</f>
        <v>55330</v>
      </c>
      <c r="C2534" s="1">
        <v>1.09631329516254E-2</v>
      </c>
      <c r="D2534" s="1">
        <v>1.0782616831173601E-2</v>
      </c>
      <c r="E2534" s="1">
        <v>6.0205625366636798E-3</v>
      </c>
      <c r="F2534" s="1">
        <v>1.07678728034005E-2</v>
      </c>
    </row>
    <row r="2535" spans="1:6" x14ac:dyDescent="0.25">
      <c r="A2535" s="2" t="str">
        <f t="shared" si="87"/>
        <v>33460</v>
      </c>
      <c r="B2535" s="2" t="str">
        <f>"55115"</f>
        <v>55115</v>
      </c>
      <c r="C2535" s="1">
        <v>2.2897359264933402E-3</v>
      </c>
      <c r="D2535" s="1">
        <v>8.5761955996320005E-4</v>
      </c>
      <c r="E2535" s="1">
        <v>8.4905369106795503E-4</v>
      </c>
      <c r="F2535" s="1">
        <v>2.1321900987666298E-3</v>
      </c>
    </row>
    <row r="2536" spans="1:6" x14ac:dyDescent="0.25">
      <c r="A2536" s="2" t="str">
        <f t="shared" si="87"/>
        <v>33460</v>
      </c>
      <c r="B2536" s="2" t="str">
        <f>"55070"</f>
        <v>55070</v>
      </c>
      <c r="C2536" s="1">
        <v>1.9926580230839098E-3</v>
      </c>
      <c r="D2536" s="1">
        <v>9.5897459886794202E-4</v>
      </c>
      <c r="E2536" s="1">
        <v>7.7186699187995898E-4</v>
      </c>
      <c r="F2536" s="1">
        <v>1.8722778888076201E-3</v>
      </c>
    </row>
    <row r="2537" spans="1:6" x14ac:dyDescent="0.25">
      <c r="A2537" s="2" t="str">
        <f t="shared" si="87"/>
        <v>33460</v>
      </c>
      <c r="B2537" s="2" t="str">
        <f>"55092"</f>
        <v>55092</v>
      </c>
      <c r="C2537" s="1">
        <v>2.7810325022392599E-3</v>
      </c>
      <c r="D2537" s="1">
        <v>1.2786327984905799E-3</v>
      </c>
      <c r="E2537" s="1">
        <v>3.1492173268702298E-3</v>
      </c>
      <c r="F2537" s="1">
        <v>2.6850011886575902E-3</v>
      </c>
    </row>
    <row r="2538" spans="1:6" x14ac:dyDescent="0.25">
      <c r="A2538" s="2" t="str">
        <f t="shared" si="87"/>
        <v>33460</v>
      </c>
      <c r="B2538" s="2" t="str">
        <f>"55020"</f>
        <v>55020</v>
      </c>
      <c r="C2538" s="1">
        <v>8.6503974455133504E-4</v>
      </c>
      <c r="D2538" s="1">
        <v>4.0542015561896702E-4</v>
      </c>
      <c r="E2538" s="1">
        <v>1.08061378863194E-4</v>
      </c>
      <c r="F2538" s="1">
        <v>8.0362352882295499E-4</v>
      </c>
    </row>
    <row r="2539" spans="1:6" x14ac:dyDescent="0.25">
      <c r="A2539" s="2" t="str">
        <f t="shared" si="87"/>
        <v>33460</v>
      </c>
      <c r="B2539" s="2" t="str">
        <f>"55005"</f>
        <v>55005</v>
      </c>
      <c r="C2539" s="1">
        <v>1.1416735771885001E-3</v>
      </c>
      <c r="D2539" s="1">
        <v>2.88472033805803E-4</v>
      </c>
      <c r="E2539" s="1">
        <v>1.5437339837599099E-4</v>
      </c>
      <c r="F2539" s="1">
        <v>1.0430612539711901E-3</v>
      </c>
    </row>
    <row r="2540" spans="1:6" x14ac:dyDescent="0.25">
      <c r="A2540" s="2" t="str">
        <f t="shared" si="87"/>
        <v>33460</v>
      </c>
      <c r="B2540" s="2" t="str">
        <f>"54749"</f>
        <v>54749</v>
      </c>
      <c r="C2540" s="1">
        <v>3.8971509909624402E-5</v>
      </c>
      <c r="D2540" s="1">
        <v>7.7965414542109108E-6</v>
      </c>
      <c r="E2540" s="1">
        <v>0</v>
      </c>
      <c r="F2540" s="1">
        <v>3.5261612729669601E-5</v>
      </c>
    </row>
    <row r="2541" spans="1:6" x14ac:dyDescent="0.25">
      <c r="A2541" s="2" t="str">
        <f t="shared" si="87"/>
        <v>33460</v>
      </c>
      <c r="B2541" s="2" t="str">
        <f>"54026"</f>
        <v>54026</v>
      </c>
      <c r="C2541" s="1">
        <v>2.3063467339958001E-4</v>
      </c>
      <c r="D2541" s="1">
        <v>6.2372331633687205E-5</v>
      </c>
      <c r="E2541" s="1">
        <v>9.2624039025595106E-5</v>
      </c>
      <c r="F2541" s="1">
        <v>2.1327588344558201E-4</v>
      </c>
    </row>
    <row r="2542" spans="1:6" x14ac:dyDescent="0.25">
      <c r="A2542" s="2" t="str">
        <f t="shared" si="87"/>
        <v>33460</v>
      </c>
      <c r="B2542" s="2" t="str">
        <f>"54005"</f>
        <v>54005</v>
      </c>
      <c r="C2542" s="1">
        <v>6.3887721163318698E-5</v>
      </c>
      <c r="D2542" s="1">
        <v>1.5593082908421801E-5</v>
      </c>
      <c r="E2542" s="1">
        <v>0</v>
      </c>
      <c r="F2542" s="1">
        <v>5.8011040297198498E-5</v>
      </c>
    </row>
    <row r="2543" spans="1:6" x14ac:dyDescent="0.25">
      <c r="A2543" s="2" t="str">
        <f t="shared" si="87"/>
        <v>33460</v>
      </c>
      <c r="B2543" s="2" t="str">
        <f>"54013"</f>
        <v>54013</v>
      </c>
      <c r="C2543" s="1">
        <v>9.2381644802158797E-4</v>
      </c>
      <c r="D2543" s="1">
        <v>3.1965819962264698E-4</v>
      </c>
      <c r="E2543" s="1">
        <v>3.2418413658958202E-4</v>
      </c>
      <c r="F2543" s="1">
        <v>8.57653419295836E-4</v>
      </c>
    </row>
    <row r="2544" spans="1:6" x14ac:dyDescent="0.25">
      <c r="A2544" s="2" t="str">
        <f t="shared" si="87"/>
        <v>33460</v>
      </c>
      <c r="B2544" s="2" t="str">
        <f>"54002"</f>
        <v>54002</v>
      </c>
      <c r="C2544" s="1">
        <v>1.7230518397747E-3</v>
      </c>
      <c r="D2544" s="1">
        <v>1.52812212502533E-3</v>
      </c>
      <c r="E2544" s="1">
        <v>1.0651764487943399E-3</v>
      </c>
      <c r="F2544" s="1">
        <v>1.68459511137551E-3</v>
      </c>
    </row>
    <row r="2545" spans="1:6" x14ac:dyDescent="0.25">
      <c r="A2545" s="2" t="str">
        <f t="shared" si="87"/>
        <v>33460</v>
      </c>
      <c r="B2545" s="2" t="str">
        <f>"56304"</f>
        <v>56304</v>
      </c>
      <c r="C2545" s="1">
        <v>2.5388980390302798E-3</v>
      </c>
      <c r="D2545" s="1">
        <v>8.9660226723425396E-4</v>
      </c>
      <c r="E2545" s="1">
        <v>2.4699743740158602E-3</v>
      </c>
      <c r="F2545" s="1">
        <v>2.4165579433607499E-3</v>
      </c>
    </row>
    <row r="2546" spans="1:6" x14ac:dyDescent="0.25">
      <c r="A2546" s="2" t="str">
        <f t="shared" si="87"/>
        <v>33460</v>
      </c>
      <c r="B2546" s="2" t="str">
        <f>"56017"</f>
        <v>56017</v>
      </c>
      <c r="C2546" s="1">
        <v>5.8073938537456704E-4</v>
      </c>
      <c r="D2546" s="1">
        <v>1.01355038904741E-4</v>
      </c>
      <c r="E2546" s="1">
        <v>1.5437339837599099E-4</v>
      </c>
      <c r="F2546" s="1">
        <v>5.3006166232342101E-4</v>
      </c>
    </row>
    <row r="2547" spans="1:6" x14ac:dyDescent="0.25">
      <c r="A2547" s="2" t="str">
        <f t="shared" si="87"/>
        <v>33460</v>
      </c>
      <c r="B2547" s="2" t="str">
        <f>"56096"</f>
        <v>56096</v>
      </c>
      <c r="C2547" s="1">
        <v>9.1934430754015599E-4</v>
      </c>
      <c r="D2547" s="1">
        <v>9.1999189159688703E-4</v>
      </c>
      <c r="E2547" s="1">
        <v>4.9399487480317303E-4</v>
      </c>
      <c r="F2547" s="1">
        <v>9.0372101012008198E-4</v>
      </c>
    </row>
    <row r="2548" spans="1:6" x14ac:dyDescent="0.25">
      <c r="A2548" s="2" t="str">
        <f t="shared" si="87"/>
        <v>33460</v>
      </c>
      <c r="B2548" s="2" t="str">
        <f>"56063"</f>
        <v>56063</v>
      </c>
      <c r="C2548" s="1">
        <v>2.9388351735126599E-4</v>
      </c>
      <c r="D2548" s="1">
        <v>3.8982707271054502E-5</v>
      </c>
      <c r="E2548" s="1">
        <v>3.0874679675198301E-5</v>
      </c>
      <c r="F2548" s="1">
        <v>2.65599566850899E-4</v>
      </c>
    </row>
    <row r="2549" spans="1:6" x14ac:dyDescent="0.25">
      <c r="A2549" s="2" t="str">
        <f t="shared" si="87"/>
        <v>33460</v>
      </c>
      <c r="B2549" s="2" t="str">
        <f>"55447"</f>
        <v>55447</v>
      </c>
      <c r="C2549" s="1">
        <v>5.9364470504955696E-3</v>
      </c>
      <c r="D2549" s="1">
        <v>8.4982301850898903E-3</v>
      </c>
      <c r="E2549" s="1">
        <v>1.35385470375744E-2</v>
      </c>
      <c r="F2549" s="1">
        <v>6.4033951245701702E-3</v>
      </c>
    </row>
    <row r="2550" spans="1:6" x14ac:dyDescent="0.25">
      <c r="A2550" s="2" t="str">
        <f t="shared" si="87"/>
        <v>33460</v>
      </c>
      <c r="B2550" s="2" t="str">
        <f>"55443"</f>
        <v>55443</v>
      </c>
      <c r="C2550" s="1">
        <v>8.2894318209406001E-3</v>
      </c>
      <c r="D2550" s="1">
        <v>5.92537150520029E-3</v>
      </c>
      <c r="E2550" s="1">
        <v>2.1921022569390798E-3</v>
      </c>
      <c r="F2550" s="1">
        <v>7.8923451588649406E-3</v>
      </c>
    </row>
    <row r="2551" spans="1:6" x14ac:dyDescent="0.25">
      <c r="A2551" s="2" t="str">
        <f t="shared" si="87"/>
        <v>33460</v>
      </c>
      <c r="B2551" s="2" t="str">
        <f>"55432"</f>
        <v>55432</v>
      </c>
      <c r="C2551" s="1">
        <v>8.9378921907482898E-3</v>
      </c>
      <c r="D2551" s="1">
        <v>1.11256646551589E-2</v>
      </c>
      <c r="E2551" s="1">
        <v>9.8335854765506797E-3</v>
      </c>
      <c r="F2551" s="1">
        <v>9.1304827542276895E-3</v>
      </c>
    </row>
    <row r="2552" spans="1:6" x14ac:dyDescent="0.25">
      <c r="A2552" s="2" t="str">
        <f t="shared" si="87"/>
        <v>33460</v>
      </c>
      <c r="B2552" s="2" t="str">
        <f>"55429"</f>
        <v>55429</v>
      </c>
      <c r="C2552" s="1">
        <v>7.4441972699498902E-3</v>
      </c>
      <c r="D2552" s="1">
        <v>5.92537150520029E-3</v>
      </c>
      <c r="E2552" s="1">
        <v>8.4596622310043508E-3</v>
      </c>
      <c r="F2552" s="1">
        <v>7.3708145318793399E-3</v>
      </c>
    </row>
    <row r="2553" spans="1:6" x14ac:dyDescent="0.25">
      <c r="A2553" s="2" t="str">
        <f t="shared" si="87"/>
        <v>33460</v>
      </c>
      <c r="B2553" s="2" t="str">
        <f>"55428"</f>
        <v>55428</v>
      </c>
      <c r="C2553" s="1">
        <v>8.3660970863365797E-3</v>
      </c>
      <c r="D2553" s="1">
        <v>9.2155119988772908E-3</v>
      </c>
      <c r="E2553" s="1">
        <v>9.4476519806106999E-3</v>
      </c>
      <c r="F2553" s="1">
        <v>8.46790567632341E-3</v>
      </c>
    </row>
    <row r="2554" spans="1:6" x14ac:dyDescent="0.25">
      <c r="A2554" s="2" t="str">
        <f t="shared" si="87"/>
        <v>33460</v>
      </c>
      <c r="B2554" s="2" t="str">
        <f>"55412"</f>
        <v>55412</v>
      </c>
      <c r="C2554" s="1">
        <v>5.8993921722208503E-3</v>
      </c>
      <c r="D2554" s="1">
        <v>2.21421777299589E-3</v>
      </c>
      <c r="E2554" s="1">
        <v>3.59690018216061E-3</v>
      </c>
      <c r="F2554" s="1">
        <v>5.5457417052743397E-3</v>
      </c>
    </row>
    <row r="2555" spans="1:6" x14ac:dyDescent="0.25">
      <c r="A2555" s="2" t="str">
        <f t="shared" si="87"/>
        <v>33460</v>
      </c>
      <c r="B2555" s="2" t="str">
        <f>"55373"</f>
        <v>55373</v>
      </c>
      <c r="C2555" s="1">
        <v>1.63680341620422E-3</v>
      </c>
      <c r="D2555" s="1">
        <v>1.45015671048322E-3</v>
      </c>
      <c r="E2555" s="1">
        <v>1.2041125073327301E-3</v>
      </c>
      <c r="F2555" s="1">
        <v>1.60724705764591E-3</v>
      </c>
    </row>
    <row r="2556" spans="1:6" x14ac:dyDescent="0.25">
      <c r="A2556" s="2" t="str">
        <f t="shared" si="87"/>
        <v>33460</v>
      </c>
      <c r="B2556" s="2" t="str">
        <f>"55359"</f>
        <v>55359</v>
      </c>
      <c r="C2556" s="1">
        <v>1.6131649593737901E-3</v>
      </c>
      <c r="D2556" s="1">
        <v>1.5671048322963899E-3</v>
      </c>
      <c r="E2556" s="1">
        <v>1.00342708944394E-3</v>
      </c>
      <c r="F2556" s="1">
        <v>1.5873413085243199E-3</v>
      </c>
    </row>
    <row r="2557" spans="1:6" x14ac:dyDescent="0.25">
      <c r="A2557" s="2" t="str">
        <f t="shared" si="87"/>
        <v>33460</v>
      </c>
      <c r="B2557" s="2" t="str">
        <f>"55352"</f>
        <v>55352</v>
      </c>
      <c r="C2557" s="1">
        <v>2.4302889130526401E-3</v>
      </c>
      <c r="D2557" s="1">
        <v>2.3857416849885301E-3</v>
      </c>
      <c r="E2557" s="1">
        <v>2.0840408780758799E-3</v>
      </c>
      <c r="F2557" s="1">
        <v>2.4142830006039901E-3</v>
      </c>
    </row>
    <row r="2558" spans="1:6" x14ac:dyDescent="0.25">
      <c r="A2558" s="2" t="str">
        <f t="shared" si="87"/>
        <v>33460</v>
      </c>
      <c r="B2558" s="2" t="str">
        <f>"55146"</f>
        <v>55146</v>
      </c>
      <c r="C2558" s="1">
        <v>0</v>
      </c>
      <c r="D2558" s="1">
        <v>7.7965414542109108E-6</v>
      </c>
      <c r="E2558" s="1">
        <v>0</v>
      </c>
      <c r="F2558" s="1">
        <v>5.6873568918821996E-7</v>
      </c>
    </row>
    <row r="2559" spans="1:6" x14ac:dyDescent="0.25">
      <c r="A2559" s="2" t="str">
        <f t="shared" si="87"/>
        <v>33460</v>
      </c>
      <c r="B2559" s="2" t="str">
        <f>"55124"</f>
        <v>55124</v>
      </c>
      <c r="C2559" s="1">
        <v>1.5099862896950301E-2</v>
      </c>
      <c r="D2559" s="1">
        <v>9.6365252374046792E-3</v>
      </c>
      <c r="E2559" s="1">
        <v>6.0205625366636798E-3</v>
      </c>
      <c r="F2559" s="1">
        <v>1.4366832244583599E-2</v>
      </c>
    </row>
    <row r="2560" spans="1:6" x14ac:dyDescent="0.25">
      <c r="A2560" s="2" t="str">
        <f t="shared" si="87"/>
        <v>33460</v>
      </c>
      <c r="B2560" s="2" t="str">
        <f>"55339"</f>
        <v>55339</v>
      </c>
      <c r="C2560" s="1">
        <v>2.2680141012978099E-4</v>
      </c>
      <c r="D2560" s="1">
        <v>6.2372331633687205E-5</v>
      </c>
      <c r="E2560" s="1">
        <v>1.6981073821359101E-4</v>
      </c>
      <c r="F2560" s="1">
        <v>2.12707147756394E-4</v>
      </c>
    </row>
    <row r="2561" spans="1:6" x14ac:dyDescent="0.25">
      <c r="A2561" s="2" t="str">
        <f t="shared" si="87"/>
        <v>33460</v>
      </c>
      <c r="B2561" s="2" t="str">
        <f>"55337"</f>
        <v>55337</v>
      </c>
      <c r="C2561" s="1">
        <v>1.3458587340264699E-2</v>
      </c>
      <c r="D2561" s="1">
        <v>2.0637445229296201E-2</v>
      </c>
      <c r="E2561" s="1">
        <v>1.28129920652073E-2</v>
      </c>
      <c r="F2561" s="1">
        <v>1.39584800197465E-2</v>
      </c>
    </row>
    <row r="2562" spans="1:6" x14ac:dyDescent="0.25">
      <c r="A2562" s="2" t="str">
        <f t="shared" si="87"/>
        <v>33460</v>
      </c>
      <c r="B2562" s="2" t="str">
        <f>"55118"</f>
        <v>55118</v>
      </c>
      <c r="C2562" s="1">
        <v>8.7328126058140304E-3</v>
      </c>
      <c r="D2562" s="1">
        <v>8.6619575556283208E-3</v>
      </c>
      <c r="E2562" s="1">
        <v>8.0891660749019701E-3</v>
      </c>
      <c r="F2562" s="1">
        <v>8.7039309873365306E-3</v>
      </c>
    </row>
    <row r="2563" spans="1:6" x14ac:dyDescent="0.25">
      <c r="A2563" s="2" t="str">
        <f t="shared" si="87"/>
        <v>33460</v>
      </c>
      <c r="B2563" s="2" t="str">
        <f>"55117"</f>
        <v>55117</v>
      </c>
      <c r="C2563" s="1">
        <v>1.100402109317E-2</v>
      </c>
      <c r="D2563" s="1">
        <v>8.6073817654488405E-3</v>
      </c>
      <c r="E2563" s="1">
        <v>1.3862731174164001E-2</v>
      </c>
      <c r="F2563" s="1">
        <v>1.09345123603327E-2</v>
      </c>
    </row>
    <row r="2564" spans="1:6" x14ac:dyDescent="0.25">
      <c r="A2564" s="2" t="str">
        <f t="shared" si="87"/>
        <v>33460</v>
      </c>
      <c r="B2564" s="2" t="str">
        <f>"55308"</f>
        <v>55308</v>
      </c>
      <c r="C2564" s="1">
        <v>2.3747065956405502E-3</v>
      </c>
      <c r="D2564" s="1">
        <v>1.37219129594112E-3</v>
      </c>
      <c r="E2564" s="1">
        <v>9.5711506993114901E-4</v>
      </c>
      <c r="F2564" s="1">
        <v>2.2493496507394102E-3</v>
      </c>
    </row>
    <row r="2565" spans="1:6" x14ac:dyDescent="0.25">
      <c r="A2565" s="2" t="str">
        <f t="shared" si="87"/>
        <v>33460</v>
      </c>
      <c r="B2565" s="2" t="str">
        <f>"55304"</f>
        <v>55304</v>
      </c>
      <c r="C2565" s="1">
        <v>1.09235225645042E-2</v>
      </c>
      <c r="D2565" s="1">
        <v>6.1670642902808296E-3</v>
      </c>
      <c r="E2565" s="1">
        <v>4.1217697366389798E-3</v>
      </c>
      <c r="F2565" s="1">
        <v>1.03259651729013E-2</v>
      </c>
    </row>
    <row r="2566" spans="1:6" x14ac:dyDescent="0.25">
      <c r="A2566" s="2" t="str">
        <f t="shared" si="87"/>
        <v>33460</v>
      </c>
      <c r="B2566" s="2" t="str">
        <f>"55108"</f>
        <v>55108</v>
      </c>
      <c r="C2566" s="1">
        <v>4.2734496686143899E-3</v>
      </c>
      <c r="D2566" s="1">
        <v>3.71115373220439E-3</v>
      </c>
      <c r="E2566" s="1">
        <v>8.7992837074315298E-3</v>
      </c>
      <c r="F2566" s="1">
        <v>4.3991705558708797E-3</v>
      </c>
    </row>
    <row r="2567" spans="1:6" x14ac:dyDescent="0.25">
      <c r="A2567" s="2" t="str">
        <f t="shared" si="87"/>
        <v>33460</v>
      </c>
      <c r="B2567" s="2" t="str">
        <f>"55065"</f>
        <v>55065</v>
      </c>
      <c r="C2567" s="1">
        <v>2.8749474523493399E-4</v>
      </c>
      <c r="D2567" s="1">
        <v>1.01355038904741E-4</v>
      </c>
      <c r="E2567" s="1">
        <v>1.38936058538392E-4</v>
      </c>
      <c r="F2567" s="1">
        <v>2.6844324529684001E-4</v>
      </c>
    </row>
    <row r="2568" spans="1:6" x14ac:dyDescent="0.25">
      <c r="A2568" s="2" t="str">
        <f t="shared" si="87"/>
        <v>33460</v>
      </c>
      <c r="B2568" s="2" t="str">
        <f>"55056"</f>
        <v>55056</v>
      </c>
      <c r="C2568" s="1">
        <v>3.8377354102805501E-3</v>
      </c>
      <c r="D2568" s="1">
        <v>3.6487814005707001E-3</v>
      </c>
      <c r="E2568" s="1">
        <v>1.1114884683071399E-3</v>
      </c>
      <c r="F2568" s="1">
        <v>3.7235125571152801E-3</v>
      </c>
    </row>
    <row r="2569" spans="1:6" x14ac:dyDescent="0.25">
      <c r="A2569" s="2" t="str">
        <f t="shared" si="87"/>
        <v>33460</v>
      </c>
      <c r="B2569" s="2" t="str">
        <f>"54017"</f>
        <v>54017</v>
      </c>
      <c r="C2569" s="1">
        <v>5.0100750936274497E-3</v>
      </c>
      <c r="D2569" s="1">
        <v>4.5297905848965302E-3</v>
      </c>
      <c r="E2569" s="1">
        <v>5.1715088455957202E-3</v>
      </c>
      <c r="F2569" s="1">
        <v>4.9809871659104296E-3</v>
      </c>
    </row>
    <row r="2570" spans="1:6" x14ac:dyDescent="0.25">
      <c r="A2570" s="2" t="str">
        <f t="shared" ref="A2570:A2633" si="88">"33460"</f>
        <v>33460</v>
      </c>
      <c r="B2570" s="2" t="str">
        <f>"56359"</f>
        <v>56359</v>
      </c>
      <c r="C2570" s="1">
        <v>1.2279220007589799E-3</v>
      </c>
      <c r="D2570" s="1">
        <v>7.0168873087898202E-4</v>
      </c>
      <c r="E2570" s="1">
        <v>8.4905369106795503E-4</v>
      </c>
      <c r="F2570" s="1">
        <v>1.1755766695520501E-3</v>
      </c>
    </row>
    <row r="2571" spans="1:6" x14ac:dyDescent="0.25">
      <c r="A2571" s="2" t="str">
        <f t="shared" si="88"/>
        <v>33460</v>
      </c>
      <c r="B2571" s="2" t="str">
        <f>"56028"</f>
        <v>56028</v>
      </c>
      <c r="C2571" s="1">
        <v>4.1271467871503898E-4</v>
      </c>
      <c r="D2571" s="1">
        <v>1.4813428763000701E-4</v>
      </c>
      <c r="E2571" s="1">
        <v>6.1749359350396697E-5</v>
      </c>
      <c r="F2571" s="1">
        <v>3.8048417606691902E-4</v>
      </c>
    </row>
    <row r="2572" spans="1:6" x14ac:dyDescent="0.25">
      <c r="A2572" s="2" t="str">
        <f t="shared" si="88"/>
        <v>33460</v>
      </c>
      <c r="B2572" s="2" t="str">
        <f>"55458"</f>
        <v>55458</v>
      </c>
      <c r="C2572" s="1">
        <v>1.3480309165460199E-3</v>
      </c>
      <c r="D2572" s="1">
        <v>2.6586206358859199E-3</v>
      </c>
      <c r="E2572" s="1">
        <v>3.0874679675198301E-5</v>
      </c>
      <c r="F2572" s="1">
        <v>1.3951086455787E-3</v>
      </c>
    </row>
    <row r="2573" spans="1:6" x14ac:dyDescent="0.25">
      <c r="A2573" s="2" t="str">
        <f t="shared" si="88"/>
        <v>33460</v>
      </c>
      <c r="B2573" s="2" t="str">
        <f>"55454"</f>
        <v>55454</v>
      </c>
      <c r="C2573" s="1">
        <v>3.0806659144952198E-3</v>
      </c>
      <c r="D2573" s="1">
        <v>2.51828288971012E-3</v>
      </c>
      <c r="E2573" s="1">
        <v>2.70153447157985E-3</v>
      </c>
      <c r="F2573" s="1">
        <v>3.0256738664813298E-3</v>
      </c>
    </row>
    <row r="2574" spans="1:6" x14ac:dyDescent="0.25">
      <c r="A2574" s="2" t="str">
        <f t="shared" si="88"/>
        <v>33460</v>
      </c>
      <c r="B2574" s="2" t="str">
        <f>"55448"</f>
        <v>55448</v>
      </c>
      <c r="C2574" s="1">
        <v>7.3981981107123004E-3</v>
      </c>
      <c r="D2574" s="1">
        <v>5.0833450281455098E-3</v>
      </c>
      <c r="E2574" s="1">
        <v>4.0137083577757799E-3</v>
      </c>
      <c r="F2574" s="1">
        <v>7.1046462293392499E-3</v>
      </c>
    </row>
    <row r="2575" spans="1:6" x14ac:dyDescent="0.25">
      <c r="A2575" s="2" t="str">
        <f t="shared" si="88"/>
        <v>33460</v>
      </c>
      <c r="B2575" s="2" t="str">
        <f>"55434"</f>
        <v>55434</v>
      </c>
      <c r="C2575" s="1">
        <v>7.8767171422255595E-3</v>
      </c>
      <c r="D2575" s="1">
        <v>5.4185963106765803E-3</v>
      </c>
      <c r="E2575" s="1">
        <v>3.3807774244342201E-3</v>
      </c>
      <c r="F2575" s="1">
        <v>7.5317667319196001E-3</v>
      </c>
    </row>
    <row r="2576" spans="1:6" x14ac:dyDescent="0.25">
      <c r="A2576" s="2" t="str">
        <f t="shared" si="88"/>
        <v>33460</v>
      </c>
      <c r="B2576" s="2" t="str">
        <f>"55398"</f>
        <v>55398</v>
      </c>
      <c r="C2576" s="1">
        <v>4.0849808911826001E-3</v>
      </c>
      <c r="D2576" s="1">
        <v>1.46574979339165E-3</v>
      </c>
      <c r="E2576" s="1">
        <v>1.7907314211615E-3</v>
      </c>
      <c r="F2576" s="1">
        <v>3.8093916461826999E-3</v>
      </c>
    </row>
    <row r="2577" spans="1:6" x14ac:dyDescent="0.25">
      <c r="A2577" s="2" t="str">
        <f t="shared" si="88"/>
        <v>33460</v>
      </c>
      <c r="B2577" s="2" t="str">
        <f>"55379"</f>
        <v>55379</v>
      </c>
      <c r="C2577" s="1">
        <v>1.1296626856098E-2</v>
      </c>
      <c r="D2577" s="1">
        <v>1.0587703294818399E-2</v>
      </c>
      <c r="E2577" s="1">
        <v>6.3910586927660596E-3</v>
      </c>
      <c r="F2577" s="1">
        <v>1.1064184097467599E-2</v>
      </c>
    </row>
    <row r="2578" spans="1:6" x14ac:dyDescent="0.25">
      <c r="A2578" s="2" t="str">
        <f t="shared" si="88"/>
        <v>33460</v>
      </c>
      <c r="B2578" s="2" t="str">
        <f>"55427"</f>
        <v>55427</v>
      </c>
      <c r="C2578" s="1">
        <v>7.3988369879239404E-3</v>
      </c>
      <c r="D2578" s="1">
        <v>8.5761955996320003E-3</v>
      </c>
      <c r="E2578" s="1">
        <v>6.7306801691932403E-3</v>
      </c>
      <c r="F2578" s="1">
        <v>7.4601060350818899E-3</v>
      </c>
    </row>
    <row r="2579" spans="1:6" x14ac:dyDescent="0.25">
      <c r="A2579" s="2" t="str">
        <f t="shared" si="88"/>
        <v>33460</v>
      </c>
      <c r="B2579" s="2" t="str">
        <f>"55419"</f>
        <v>55419</v>
      </c>
      <c r="C2579" s="1">
        <v>7.48316877985952E-3</v>
      </c>
      <c r="D2579" s="1">
        <v>4.7247041212518104E-3</v>
      </c>
      <c r="E2579" s="1">
        <v>4.7547006699805404E-3</v>
      </c>
      <c r="F2579" s="1">
        <v>7.1814255473796598E-3</v>
      </c>
    </row>
    <row r="2580" spans="1:6" x14ac:dyDescent="0.25">
      <c r="A2580" s="2" t="str">
        <f t="shared" si="88"/>
        <v>33460</v>
      </c>
      <c r="B2580" s="2" t="str">
        <f>"55417"</f>
        <v>55417</v>
      </c>
      <c r="C2580" s="1">
        <v>7.49850183293872E-3</v>
      </c>
      <c r="D2580" s="1">
        <v>2.83794108933277E-3</v>
      </c>
      <c r="E2580" s="1">
        <v>3.3653400845966202E-3</v>
      </c>
      <c r="F2580" s="1">
        <v>7.0062549551096901E-3</v>
      </c>
    </row>
    <row r="2581" spans="1:6" x14ac:dyDescent="0.25">
      <c r="A2581" s="2" t="str">
        <f t="shared" si="88"/>
        <v>33460</v>
      </c>
      <c r="B2581" s="2" t="str">
        <f>"55374"</f>
        <v>55374</v>
      </c>
      <c r="C2581" s="1">
        <v>3.8390131647038201E-3</v>
      </c>
      <c r="D2581" s="1">
        <v>6.0189300026508201E-3</v>
      </c>
      <c r="E2581" s="1">
        <v>2.6397851122294601E-3</v>
      </c>
      <c r="F2581" s="1">
        <v>3.9538505112365098E-3</v>
      </c>
    </row>
    <row r="2582" spans="1:6" x14ac:dyDescent="0.25">
      <c r="A2582" s="2" t="str">
        <f t="shared" si="88"/>
        <v>33460</v>
      </c>
      <c r="B2582" s="2" t="str">
        <f>"55372"</f>
        <v>55372</v>
      </c>
      <c r="C2582" s="1">
        <v>9.0695008963447201E-3</v>
      </c>
      <c r="D2582" s="1">
        <v>5.9877438368339799E-3</v>
      </c>
      <c r="E2582" s="1">
        <v>2.87134520979344E-3</v>
      </c>
      <c r="F2582" s="1">
        <v>8.6163456912015397E-3</v>
      </c>
    </row>
    <row r="2583" spans="1:6" x14ac:dyDescent="0.25">
      <c r="A2583" s="2" t="str">
        <f t="shared" si="88"/>
        <v>33460</v>
      </c>
      <c r="B2583" s="2" t="str">
        <f>"55371"</f>
        <v>55371</v>
      </c>
      <c r="C2583" s="1">
        <v>4.5143063774000999E-3</v>
      </c>
      <c r="D2583" s="1">
        <v>3.6565779420249102E-3</v>
      </c>
      <c r="E2583" s="1">
        <v>4.3224551545277701E-3</v>
      </c>
      <c r="F2583" s="1">
        <v>4.4446694110059403E-3</v>
      </c>
    </row>
    <row r="2584" spans="1:6" x14ac:dyDescent="0.25">
      <c r="A2584" s="2" t="str">
        <f t="shared" si="88"/>
        <v>33460</v>
      </c>
      <c r="B2584" s="2" t="str">
        <f>"55407"</f>
        <v>55407</v>
      </c>
      <c r="C2584" s="1">
        <v>1.0418170690102301E-2</v>
      </c>
      <c r="D2584" s="1">
        <v>8.8490745505293792E-3</v>
      </c>
      <c r="E2584" s="1">
        <v>4.70838865046775E-2</v>
      </c>
      <c r="F2584" s="1">
        <v>1.1654531742845E-2</v>
      </c>
    </row>
    <row r="2585" spans="1:6" x14ac:dyDescent="0.25">
      <c r="A2585" s="2" t="str">
        <f t="shared" si="88"/>
        <v>33460</v>
      </c>
      <c r="B2585" s="2" t="str">
        <f>"55361"</f>
        <v>55361</v>
      </c>
      <c r="C2585" s="1">
        <v>1.59719302908296E-5</v>
      </c>
      <c r="D2585" s="1">
        <v>7.7965414542109108E-6</v>
      </c>
      <c r="E2585" s="1">
        <v>1.54373398375991E-5</v>
      </c>
      <c r="F2585" s="1">
        <v>1.5355863608081899E-5</v>
      </c>
    </row>
    <row r="2586" spans="1:6" x14ac:dyDescent="0.25">
      <c r="A2586" s="2" t="str">
        <f t="shared" si="88"/>
        <v>33460</v>
      </c>
      <c r="B2586" s="2" t="str">
        <f>"55144"</f>
        <v>55144</v>
      </c>
      <c r="C2586" s="1">
        <v>0</v>
      </c>
      <c r="D2586" s="1">
        <v>7.0168873087898199E-5</v>
      </c>
      <c r="E2586" s="1">
        <v>0</v>
      </c>
      <c r="F2586" s="1">
        <v>5.1186212026939801E-6</v>
      </c>
    </row>
    <row r="2587" spans="1:6" x14ac:dyDescent="0.25">
      <c r="A2587" s="2" t="str">
        <f t="shared" si="88"/>
        <v>33460</v>
      </c>
      <c r="B2587" s="2" t="str">
        <f>"55302"</f>
        <v>55302</v>
      </c>
      <c r="C2587" s="1">
        <v>2.4596772647877698E-3</v>
      </c>
      <c r="D2587" s="1">
        <v>8.0304376978372301E-4</v>
      </c>
      <c r="E2587" s="1">
        <v>1.1578004878199299E-3</v>
      </c>
      <c r="F2587" s="1">
        <v>2.2908673560501501E-3</v>
      </c>
    </row>
    <row r="2588" spans="1:6" x14ac:dyDescent="0.25">
      <c r="A2588" s="2" t="str">
        <f t="shared" si="88"/>
        <v>33460</v>
      </c>
      <c r="B2588" s="2" t="str">
        <f>"55155"</f>
        <v>55155</v>
      </c>
      <c r="C2588" s="1">
        <v>0</v>
      </c>
      <c r="D2588" s="1">
        <v>1.24744663267374E-4</v>
      </c>
      <c r="E2588" s="1">
        <v>1.35848590570872E-3</v>
      </c>
      <c r="F2588" s="1">
        <v>5.91485116755749E-5</v>
      </c>
    </row>
    <row r="2589" spans="1:6" x14ac:dyDescent="0.25">
      <c r="A2589" s="2" t="str">
        <f t="shared" si="88"/>
        <v>33460</v>
      </c>
      <c r="B2589" s="2" t="str">
        <f>"55129"</f>
        <v>55129</v>
      </c>
      <c r="C2589" s="1">
        <v>7.32728274022102E-3</v>
      </c>
      <c r="D2589" s="1">
        <v>1.4033774617579599E-3</v>
      </c>
      <c r="E2589" s="1">
        <v>3.3344654049214202E-3</v>
      </c>
      <c r="F2589" s="1">
        <v>6.74804895221823E-3</v>
      </c>
    </row>
    <row r="2590" spans="1:6" x14ac:dyDescent="0.25">
      <c r="A2590" s="2" t="str">
        <f t="shared" si="88"/>
        <v>33460</v>
      </c>
      <c r="B2590" s="2" t="str">
        <f>"55127"</f>
        <v>55127</v>
      </c>
      <c r="C2590" s="1">
        <v>5.3467633841581402E-3</v>
      </c>
      <c r="D2590" s="1">
        <v>4.5219940434423197E-3</v>
      </c>
      <c r="E2590" s="1">
        <v>1.52829664392231E-3</v>
      </c>
      <c r="F2590" s="1">
        <v>5.1459205157750199E-3</v>
      </c>
    </row>
    <row r="2591" spans="1:6" x14ac:dyDescent="0.25">
      <c r="A2591" s="2" t="str">
        <f t="shared" si="88"/>
        <v>33460</v>
      </c>
      <c r="B2591" s="2" t="str">
        <f>"55345"</f>
        <v>55345</v>
      </c>
      <c r="C2591" s="1">
        <v>6.0373896499336197E-3</v>
      </c>
      <c r="D2591" s="1">
        <v>5.20808969141288E-3</v>
      </c>
      <c r="E2591" s="1">
        <v>2.0686035382382899E-3</v>
      </c>
      <c r="F2591" s="1">
        <v>5.8306782855576302E-3</v>
      </c>
    </row>
    <row r="2592" spans="1:6" x14ac:dyDescent="0.25">
      <c r="A2592" s="2" t="str">
        <f t="shared" si="88"/>
        <v>33460</v>
      </c>
      <c r="B2592" s="2" t="str">
        <f>"55322"</f>
        <v>55322</v>
      </c>
      <c r="C2592" s="1">
        <v>8.8484493811196395E-4</v>
      </c>
      <c r="D2592" s="1">
        <v>3.0406511671422499E-4</v>
      </c>
      <c r="E2592" s="1">
        <v>3.5505881626478097E-4</v>
      </c>
      <c r="F2592" s="1">
        <v>8.2296054225535495E-4</v>
      </c>
    </row>
    <row r="2593" spans="1:6" x14ac:dyDescent="0.25">
      <c r="A2593" s="2" t="str">
        <f t="shared" si="88"/>
        <v>33460</v>
      </c>
      <c r="B2593" s="2" t="str">
        <f>"55120"</f>
        <v>55120</v>
      </c>
      <c r="C2593" s="1">
        <v>1.2994762484619001E-3</v>
      </c>
      <c r="D2593" s="1">
        <v>3.5318332787575399E-3</v>
      </c>
      <c r="E2593" s="1">
        <v>1.40479792522152E-3</v>
      </c>
      <c r="F2593" s="1">
        <v>1.4662006067272301E-3</v>
      </c>
    </row>
    <row r="2594" spans="1:6" x14ac:dyDescent="0.25">
      <c r="A2594" s="2" t="str">
        <f t="shared" si="88"/>
        <v>33460</v>
      </c>
      <c r="B2594" s="2" t="str">
        <f>"55114"</f>
        <v>55114</v>
      </c>
      <c r="C2594" s="1">
        <v>1.63041464408789E-3</v>
      </c>
      <c r="D2594" s="1">
        <v>9.6521183203131002E-3</v>
      </c>
      <c r="E2594" s="1">
        <v>3.4734014634598101E-3</v>
      </c>
      <c r="F2594" s="1">
        <v>2.2834737920907002E-3</v>
      </c>
    </row>
    <row r="2595" spans="1:6" x14ac:dyDescent="0.25">
      <c r="A2595" s="2" t="str">
        <f t="shared" si="88"/>
        <v>33460</v>
      </c>
      <c r="B2595" s="2" t="str">
        <f>"55113"</f>
        <v>55113</v>
      </c>
      <c r="C2595" s="1">
        <v>1.28433485854619E-2</v>
      </c>
      <c r="D2595" s="1">
        <v>2.0076094244593001E-2</v>
      </c>
      <c r="E2595" s="1">
        <v>1.3044552162771301E-2</v>
      </c>
      <c r="F2595" s="1">
        <v>1.3378369616774501E-2</v>
      </c>
    </row>
    <row r="2596" spans="1:6" x14ac:dyDescent="0.25">
      <c r="A2596" s="2" t="str">
        <f t="shared" si="88"/>
        <v>33460</v>
      </c>
      <c r="B2596" s="2" t="str">
        <f>"55112"</f>
        <v>55112</v>
      </c>
      <c r="C2596" s="1">
        <v>1.2340552219906599E-2</v>
      </c>
      <c r="D2596" s="1">
        <v>1.131278165006E-2</v>
      </c>
      <c r="E2596" s="1">
        <v>1.07752632066442E-2</v>
      </c>
      <c r="F2596" s="1">
        <v>1.2207911568425101E-2</v>
      </c>
    </row>
    <row r="2597" spans="1:6" x14ac:dyDescent="0.25">
      <c r="A2597" s="2" t="str">
        <f t="shared" si="88"/>
        <v>33460</v>
      </c>
      <c r="B2597" s="2" t="str">
        <f>"55029"</f>
        <v>55029</v>
      </c>
      <c r="C2597" s="1">
        <v>0</v>
      </c>
      <c r="D2597" s="1">
        <v>0</v>
      </c>
      <c r="E2597" s="1">
        <v>1.54373398375991E-5</v>
      </c>
      <c r="F2597" s="1">
        <v>5.6873568918821996E-7</v>
      </c>
    </row>
    <row r="2598" spans="1:6" x14ac:dyDescent="0.25">
      <c r="A2598" s="2" t="str">
        <f t="shared" si="88"/>
        <v>33460</v>
      </c>
      <c r="B2598" s="2" t="str">
        <f>"55024"</f>
        <v>55024</v>
      </c>
      <c r="C2598" s="1">
        <v>8.0166312515732308E-3</v>
      </c>
      <c r="D2598" s="1">
        <v>3.2511577864059501E-3</v>
      </c>
      <c r="E2598" s="1">
        <v>1.8216061008367E-3</v>
      </c>
      <c r="F2598" s="1">
        <v>7.4407690216494902E-3</v>
      </c>
    </row>
    <row r="2599" spans="1:6" x14ac:dyDescent="0.25">
      <c r="A2599" s="2" t="str">
        <f t="shared" si="88"/>
        <v>33460</v>
      </c>
      <c r="B2599" s="2" t="str">
        <f>"55101"</f>
        <v>55101</v>
      </c>
      <c r="C2599" s="1">
        <v>4.2146729651441296E-3</v>
      </c>
      <c r="D2599" s="1">
        <v>1.55229140353339E-2</v>
      </c>
      <c r="E2599" s="1">
        <v>3.6432122016734E-3</v>
      </c>
      <c r="F2599" s="1">
        <v>5.0185237213968602E-3</v>
      </c>
    </row>
    <row r="2600" spans="1:6" x14ac:dyDescent="0.25">
      <c r="A2600" s="2" t="str">
        <f t="shared" si="88"/>
        <v>33460</v>
      </c>
      <c r="B2600" s="2" t="str">
        <f>"55089"</f>
        <v>55089</v>
      </c>
      <c r="C2600" s="1">
        <v>7.8581897030882E-5</v>
      </c>
      <c r="D2600" s="1">
        <v>1.5593082908421801E-5</v>
      </c>
      <c r="E2600" s="1">
        <v>0</v>
      </c>
      <c r="F2600" s="1">
        <v>7.1091961148527603E-5</v>
      </c>
    </row>
    <row r="2601" spans="1:6" x14ac:dyDescent="0.25">
      <c r="A2601" s="2" t="str">
        <f t="shared" si="88"/>
        <v>33460</v>
      </c>
      <c r="B2601" s="2" t="str">
        <f>"55082"</f>
        <v>55082</v>
      </c>
      <c r="C2601" s="1">
        <v>1.0193285911607499E-2</v>
      </c>
      <c r="D2601" s="1">
        <v>1.16012536838658E-2</v>
      </c>
      <c r="E2601" s="1">
        <v>8.9999691253203201E-3</v>
      </c>
      <c r="F2601" s="1">
        <v>1.0252029533306801E-2</v>
      </c>
    </row>
    <row r="2602" spans="1:6" x14ac:dyDescent="0.25">
      <c r="A2602" s="2" t="str">
        <f t="shared" si="88"/>
        <v>33460</v>
      </c>
      <c r="B2602" s="2" t="str">
        <f>"55018"</f>
        <v>55018</v>
      </c>
      <c r="C2602" s="1">
        <v>1.9166316348995602E-6</v>
      </c>
      <c r="D2602" s="1">
        <v>0</v>
      </c>
      <c r="E2602" s="1">
        <v>0</v>
      </c>
      <c r="F2602" s="1">
        <v>1.7062070675646601E-6</v>
      </c>
    </row>
    <row r="2603" spans="1:6" x14ac:dyDescent="0.25">
      <c r="A2603" s="2" t="str">
        <f t="shared" si="88"/>
        <v>33460</v>
      </c>
      <c r="B2603" s="2" t="str">
        <f>"55017"</f>
        <v>55017</v>
      </c>
      <c r="C2603" s="1">
        <v>1.9996856724118701E-4</v>
      </c>
      <c r="D2603" s="1">
        <v>7.7965414542109098E-5</v>
      </c>
      <c r="E2603" s="1">
        <v>3.0874679675198301E-5</v>
      </c>
      <c r="F2603" s="1">
        <v>1.84839098986171E-4</v>
      </c>
    </row>
    <row r="2604" spans="1:6" x14ac:dyDescent="0.25">
      <c r="A2604" s="2" t="str">
        <f t="shared" si="88"/>
        <v>33460</v>
      </c>
      <c r="B2604" s="2" t="str">
        <f>"55068"</f>
        <v>55068</v>
      </c>
      <c r="C2604" s="1">
        <v>7.5483342554461003E-3</v>
      </c>
      <c r="D2604" s="1">
        <v>4.4674182532628498E-3</v>
      </c>
      <c r="E2604" s="1">
        <v>2.4236623545030702E-3</v>
      </c>
      <c r="F2604" s="1">
        <v>7.1347892208662202E-3</v>
      </c>
    </row>
    <row r="2605" spans="1:6" x14ac:dyDescent="0.25">
      <c r="A2605" s="2" t="str">
        <f t="shared" si="88"/>
        <v>33460</v>
      </c>
      <c r="B2605" s="2" t="str">
        <f>"55006"</f>
        <v>55006</v>
      </c>
      <c r="C2605" s="1">
        <v>7.2704226683856699E-4</v>
      </c>
      <c r="D2605" s="1">
        <v>2.1050661926369399E-4</v>
      </c>
      <c r="E2605" s="1">
        <v>3.5505881626478097E-4</v>
      </c>
      <c r="F2605" s="1">
        <v>6.7565799875560597E-4</v>
      </c>
    </row>
    <row r="2606" spans="1:6" x14ac:dyDescent="0.25">
      <c r="A2606" s="2" t="str">
        <f t="shared" si="88"/>
        <v>33460</v>
      </c>
      <c r="B2606" s="2" t="str">
        <f>"55008"</f>
        <v>55008</v>
      </c>
      <c r="C2606" s="1">
        <v>4.44339100690881E-3</v>
      </c>
      <c r="D2606" s="1">
        <v>4.9586003648781404E-3</v>
      </c>
      <c r="E2606" s="1">
        <v>2.5625984130414601E-3</v>
      </c>
      <c r="F2606" s="1">
        <v>4.4116827410330198E-3</v>
      </c>
    </row>
    <row r="2607" spans="1:6" x14ac:dyDescent="0.25">
      <c r="A2607" s="2" t="str">
        <f t="shared" si="88"/>
        <v>33460</v>
      </c>
      <c r="B2607" s="2" t="str">
        <f>"54761"</f>
        <v>54761</v>
      </c>
      <c r="C2607" s="1">
        <v>3.5329909803315202E-4</v>
      </c>
      <c r="D2607" s="1">
        <v>1.4033774617579599E-4</v>
      </c>
      <c r="E2607" s="1">
        <v>3.0874679675198301E-4</v>
      </c>
      <c r="F2607" s="1">
        <v>3.3612279231023799E-4</v>
      </c>
    </row>
    <row r="2608" spans="1:6" x14ac:dyDescent="0.25">
      <c r="A2608" s="2" t="str">
        <f t="shared" si="88"/>
        <v>33460</v>
      </c>
      <c r="B2608" s="2" t="str">
        <f>"54721"</f>
        <v>54721</v>
      </c>
      <c r="C2608" s="1">
        <v>1.02220353861309E-5</v>
      </c>
      <c r="D2608" s="1">
        <v>0</v>
      </c>
      <c r="E2608" s="1">
        <v>0</v>
      </c>
      <c r="F2608" s="1">
        <v>9.0997710270115295E-6</v>
      </c>
    </row>
    <row r="2609" spans="1:6" x14ac:dyDescent="0.25">
      <c r="A2609" s="2" t="str">
        <f t="shared" si="88"/>
        <v>33460</v>
      </c>
      <c r="B2609" s="2" t="str">
        <f>"54723"</f>
        <v>54723</v>
      </c>
      <c r="C2609" s="1">
        <v>4.15909064773204E-4</v>
      </c>
      <c r="D2609" s="1">
        <v>1.5593082908421801E-4</v>
      </c>
      <c r="E2609" s="1">
        <v>2.3156009756398701E-4</v>
      </c>
      <c r="F2609" s="1">
        <v>3.90152682783119E-4</v>
      </c>
    </row>
    <row r="2610" spans="1:6" x14ac:dyDescent="0.25">
      <c r="A2610" s="2" t="str">
        <f t="shared" si="88"/>
        <v>33460</v>
      </c>
      <c r="B2610" s="2" t="str">
        <f>"54082"</f>
        <v>54082</v>
      </c>
      <c r="C2610" s="1">
        <v>4.7276913660855802E-4</v>
      </c>
      <c r="D2610" s="1">
        <v>2.1830316071790501E-4</v>
      </c>
      <c r="E2610" s="1">
        <v>1.38936058538392E-4</v>
      </c>
      <c r="F2610" s="1">
        <v>4.4190763049924701E-4</v>
      </c>
    </row>
    <row r="2611" spans="1:6" x14ac:dyDescent="0.25">
      <c r="A2611" s="2" t="str">
        <f t="shared" si="88"/>
        <v>33460</v>
      </c>
      <c r="B2611" s="2" t="str">
        <f>"54027"</f>
        <v>54027</v>
      </c>
      <c r="C2611" s="1">
        <v>2.8621699081166698E-4</v>
      </c>
      <c r="D2611" s="1">
        <v>1.24744663267374E-4</v>
      </c>
      <c r="E2611" s="1">
        <v>7.7186699187995901E-5</v>
      </c>
      <c r="F2611" s="1">
        <v>2.6673703822927502E-4</v>
      </c>
    </row>
    <row r="2612" spans="1:6" x14ac:dyDescent="0.25">
      <c r="A2612" s="2" t="str">
        <f t="shared" si="88"/>
        <v>33460</v>
      </c>
      <c r="B2612" s="2" t="str">
        <f>"54021"</f>
        <v>54021</v>
      </c>
      <c r="C2612" s="1">
        <v>1.7824674204565899E-3</v>
      </c>
      <c r="D2612" s="1">
        <v>1.65286678829271E-3</v>
      </c>
      <c r="E2612" s="1">
        <v>2.0531661984006899E-3</v>
      </c>
      <c r="F2612" s="1">
        <v>1.7829863856050701E-3</v>
      </c>
    </row>
    <row r="2613" spans="1:6" x14ac:dyDescent="0.25">
      <c r="A2613" s="2" t="str">
        <f t="shared" si="88"/>
        <v>33460</v>
      </c>
      <c r="B2613" s="2" t="str">
        <f>"54011"</f>
        <v>54011</v>
      </c>
      <c r="C2613" s="1">
        <v>1.8425218783501101E-3</v>
      </c>
      <c r="D2613" s="1">
        <v>1.0447365548642599E-3</v>
      </c>
      <c r="E2613" s="1">
        <v>1.52829664392231E-3</v>
      </c>
      <c r="F2613" s="1">
        <v>1.7727491431996801E-3</v>
      </c>
    </row>
    <row r="2614" spans="1:6" x14ac:dyDescent="0.25">
      <c r="A2614" s="2" t="str">
        <f t="shared" si="88"/>
        <v>33460</v>
      </c>
      <c r="B2614" s="2" t="str">
        <f>"54003"</f>
        <v>54003</v>
      </c>
      <c r="C2614" s="1">
        <v>2.9707790340943198E-4</v>
      </c>
      <c r="D2614" s="1">
        <v>7.7965414542109108E-6</v>
      </c>
      <c r="E2614" s="1">
        <v>4.6312019512797499E-5</v>
      </c>
      <c r="F2614" s="1">
        <v>2.6673703822927502E-4</v>
      </c>
    </row>
    <row r="2615" spans="1:6" x14ac:dyDescent="0.25">
      <c r="A2615" s="2" t="str">
        <f t="shared" si="88"/>
        <v>33460</v>
      </c>
      <c r="B2615" s="2" t="str">
        <f>"54022"</f>
        <v>54022</v>
      </c>
      <c r="C2615" s="1">
        <v>5.7895052918199401E-3</v>
      </c>
      <c r="D2615" s="1">
        <v>4.2880977998160002E-3</v>
      </c>
      <c r="E2615" s="1">
        <v>6.7924295285436403E-3</v>
      </c>
      <c r="F2615" s="1">
        <v>5.7169311477199896E-3</v>
      </c>
    </row>
    <row r="2616" spans="1:6" x14ac:dyDescent="0.25">
      <c r="A2616" s="2" t="str">
        <f t="shared" si="88"/>
        <v>33460</v>
      </c>
      <c r="B2616" s="2" t="str">
        <f>"56342"</f>
        <v>56342</v>
      </c>
      <c r="C2616" s="1">
        <v>7.6218051347839196E-4</v>
      </c>
      <c r="D2616" s="1">
        <v>3.0406511671422499E-4</v>
      </c>
      <c r="E2616" s="1">
        <v>4.0137083577757802E-4</v>
      </c>
      <c r="F2616" s="1">
        <v>7.1546949699878104E-4</v>
      </c>
    </row>
    <row r="2617" spans="1:6" x14ac:dyDescent="0.25">
      <c r="A2617" s="2" t="str">
        <f t="shared" si="88"/>
        <v>33460</v>
      </c>
      <c r="B2617" s="2" t="str">
        <f>"56330"</f>
        <v>56330</v>
      </c>
      <c r="C2617" s="1">
        <v>4.0504815217543998E-4</v>
      </c>
      <c r="D2617" s="1">
        <v>9.3558497450530896E-5</v>
      </c>
      <c r="E2617" s="1">
        <v>1.6981073821359101E-4</v>
      </c>
      <c r="F2617" s="1">
        <v>3.7365934779666103E-4</v>
      </c>
    </row>
    <row r="2618" spans="1:6" x14ac:dyDescent="0.25">
      <c r="A2618" s="2" t="str">
        <f t="shared" si="88"/>
        <v>33460</v>
      </c>
      <c r="B2618" s="2" t="str">
        <f>"56069"</f>
        <v>56069</v>
      </c>
      <c r="C2618" s="1">
        <v>1.3109760382712999E-3</v>
      </c>
      <c r="D2618" s="1">
        <v>1.0759227206811001E-3</v>
      </c>
      <c r="E2618" s="1">
        <v>6.0205625366636798E-4</v>
      </c>
      <c r="F2618" s="1">
        <v>1.2677118512005401E-3</v>
      </c>
    </row>
    <row r="2619" spans="1:6" x14ac:dyDescent="0.25">
      <c r="A2619" s="2" t="str">
        <f t="shared" si="88"/>
        <v>33460</v>
      </c>
      <c r="B2619" s="2" t="str">
        <f>"55446"</f>
        <v>55446</v>
      </c>
      <c r="C2619" s="1">
        <v>7.0755651188375498E-3</v>
      </c>
      <c r="D2619" s="1">
        <v>2.44811401662222E-3</v>
      </c>
      <c r="E2619" s="1">
        <v>6.1903732748772701E-3</v>
      </c>
      <c r="F2619" s="1">
        <v>6.7053937755291197E-3</v>
      </c>
    </row>
    <row r="2620" spans="1:6" x14ac:dyDescent="0.25">
      <c r="A2620" s="2" t="str">
        <f t="shared" si="88"/>
        <v>33460</v>
      </c>
      <c r="B2620" s="2" t="str">
        <f>"55444"</f>
        <v>55444</v>
      </c>
      <c r="C2620" s="1">
        <v>3.50296375138476E-3</v>
      </c>
      <c r="D2620" s="1">
        <v>9.0439880868846498E-4</v>
      </c>
      <c r="E2620" s="1">
        <v>5.8661891382876896E-4</v>
      </c>
      <c r="F2620" s="1">
        <v>3.2059630799540001E-3</v>
      </c>
    </row>
    <row r="2621" spans="1:6" x14ac:dyDescent="0.25">
      <c r="A2621" s="2" t="str">
        <f t="shared" si="88"/>
        <v>33460</v>
      </c>
      <c r="B2621" s="2" t="str">
        <f>"55441"</f>
        <v>55441</v>
      </c>
      <c r="C2621" s="1">
        <v>5.6751462709376003E-3</v>
      </c>
      <c r="D2621" s="1">
        <v>9.8626249395768004E-3</v>
      </c>
      <c r="E2621" s="1">
        <v>1.20874370928401E-2</v>
      </c>
      <c r="F2621" s="1">
        <v>6.2168498185164404E-3</v>
      </c>
    </row>
    <row r="2622" spans="1:6" x14ac:dyDescent="0.25">
      <c r="A2622" s="2" t="str">
        <f t="shared" si="88"/>
        <v>33460</v>
      </c>
      <c r="B2622" s="2" t="str">
        <f>"55440"</f>
        <v>55440</v>
      </c>
      <c r="C2622" s="1">
        <v>0</v>
      </c>
      <c r="D2622" s="1">
        <v>7.7965414542109108E-6</v>
      </c>
      <c r="E2622" s="1">
        <v>2.3156009756398701E-4</v>
      </c>
      <c r="F2622" s="1">
        <v>9.0997710270115295E-6</v>
      </c>
    </row>
    <row r="2623" spans="1:6" x14ac:dyDescent="0.25">
      <c r="A2623" s="2" t="str">
        <f t="shared" si="88"/>
        <v>33460</v>
      </c>
      <c r="B2623" s="2" t="str">
        <f>"55439"</f>
        <v>55439</v>
      </c>
      <c r="C2623" s="1">
        <v>2.58042505778644E-3</v>
      </c>
      <c r="D2623" s="1">
        <v>1.1499898644960999E-2</v>
      </c>
      <c r="E2623" s="1">
        <v>5.8970638179628799E-3</v>
      </c>
      <c r="F2623" s="1">
        <v>3.3532656234537398E-3</v>
      </c>
    </row>
    <row r="2624" spans="1:6" x14ac:dyDescent="0.25">
      <c r="A2624" s="2" t="str">
        <f t="shared" si="88"/>
        <v>33460</v>
      </c>
      <c r="B2624" s="2" t="str">
        <f>"55381"</f>
        <v>55381</v>
      </c>
      <c r="C2624" s="1">
        <v>1.9166316348995602E-6</v>
      </c>
      <c r="D2624" s="1">
        <v>0</v>
      </c>
      <c r="E2624" s="1">
        <v>0</v>
      </c>
      <c r="F2624" s="1">
        <v>1.7062070675646601E-6</v>
      </c>
    </row>
    <row r="2625" spans="1:6" x14ac:dyDescent="0.25">
      <c r="A2625" s="2" t="str">
        <f t="shared" si="88"/>
        <v>33460</v>
      </c>
      <c r="B2625" s="2" t="str">
        <f>"55408"</f>
        <v>55408</v>
      </c>
      <c r="C2625" s="1">
        <v>1.21437780387236E-2</v>
      </c>
      <c r="D2625" s="1">
        <v>1.4610718685191201E-2</v>
      </c>
      <c r="E2625" s="1">
        <v>3.5691129704529298E-2</v>
      </c>
      <c r="F2625" s="1">
        <v>1.3191255575031501E-2</v>
      </c>
    </row>
    <row r="2626" spans="1:6" x14ac:dyDescent="0.25">
      <c r="A2626" s="2" t="str">
        <f t="shared" si="88"/>
        <v>33460</v>
      </c>
      <c r="B2626" s="2" t="str">
        <f>"55349"</f>
        <v>55349</v>
      </c>
      <c r="C2626" s="1">
        <v>1.1301737873791E-3</v>
      </c>
      <c r="D2626" s="1">
        <v>5.5355444324897403E-4</v>
      </c>
      <c r="E2626" s="1">
        <v>4.7855753496557402E-4</v>
      </c>
      <c r="F2626" s="1">
        <v>1.06410447447116E-3</v>
      </c>
    </row>
    <row r="2627" spans="1:6" x14ac:dyDescent="0.25">
      <c r="A2627" s="2" t="str">
        <f t="shared" si="88"/>
        <v>33460</v>
      </c>
      <c r="B2627" s="2" t="str">
        <f>"55301"</f>
        <v>55301</v>
      </c>
      <c r="C2627" s="1">
        <v>2.9496960861104199E-3</v>
      </c>
      <c r="D2627" s="1">
        <v>2.2609970217211599E-3</v>
      </c>
      <c r="E2627" s="1">
        <v>1.1732378276575299E-3</v>
      </c>
      <c r="F2627" s="1">
        <v>2.8340099392248999E-3</v>
      </c>
    </row>
    <row r="2628" spans="1:6" x14ac:dyDescent="0.25">
      <c r="A2628" s="2" t="str">
        <f t="shared" si="88"/>
        <v>33460</v>
      </c>
      <c r="B2628" s="2" t="str">
        <f>"55338"</f>
        <v>55338</v>
      </c>
      <c r="C2628" s="1">
        <v>1.9166316348995602E-6</v>
      </c>
      <c r="D2628" s="1">
        <v>0</v>
      </c>
      <c r="E2628" s="1">
        <v>0</v>
      </c>
      <c r="F2628" s="1">
        <v>1.7062070675646601E-6</v>
      </c>
    </row>
    <row r="2629" spans="1:6" x14ac:dyDescent="0.25">
      <c r="A2629" s="2" t="str">
        <f t="shared" si="88"/>
        <v>33460</v>
      </c>
      <c r="B2629" s="2" t="str">
        <f>"55325"</f>
        <v>55325</v>
      </c>
      <c r="C2629" s="1">
        <v>6.3887721163318705E-7</v>
      </c>
      <c r="D2629" s="1">
        <v>0</v>
      </c>
      <c r="E2629" s="1">
        <v>0</v>
      </c>
      <c r="F2629" s="1">
        <v>5.6873568918821996E-7</v>
      </c>
    </row>
    <row r="2630" spans="1:6" x14ac:dyDescent="0.25">
      <c r="A2630" s="2" t="str">
        <f t="shared" si="88"/>
        <v>33460</v>
      </c>
      <c r="B2630" s="2" t="str">
        <f>"55341"</f>
        <v>55341</v>
      </c>
      <c r="C2630" s="1">
        <v>7.5451398693879399E-4</v>
      </c>
      <c r="D2630" s="1">
        <v>2.9626857526001403E-4</v>
      </c>
      <c r="E2630" s="1">
        <v>1.6981073821359101E-4</v>
      </c>
      <c r="F2630" s="1">
        <v>6.9954489770151097E-4</v>
      </c>
    </row>
    <row r="2631" spans="1:6" x14ac:dyDescent="0.25">
      <c r="A2631" s="2" t="str">
        <f t="shared" si="88"/>
        <v>33460</v>
      </c>
      <c r="B2631" s="2" t="str">
        <f>"55340"</f>
        <v>55340</v>
      </c>
      <c r="C2631" s="1">
        <v>2.2066818889810201E-3</v>
      </c>
      <c r="D2631" s="1">
        <v>2.19862469008747E-3</v>
      </c>
      <c r="E2631" s="1">
        <v>7.7186699187995898E-4</v>
      </c>
      <c r="F2631" s="1">
        <v>2.1532333192666002E-3</v>
      </c>
    </row>
    <row r="2632" spans="1:6" x14ac:dyDescent="0.25">
      <c r="A2632" s="2" t="str">
        <f t="shared" si="88"/>
        <v>33460</v>
      </c>
      <c r="B2632" s="2" t="str">
        <f>"55317"</f>
        <v>55317</v>
      </c>
      <c r="C2632" s="1">
        <v>5.7792832564338096E-3</v>
      </c>
      <c r="D2632" s="1">
        <v>7.6250175422182698E-3</v>
      </c>
      <c r="E2632" s="1">
        <v>4.2607057951773702E-3</v>
      </c>
      <c r="F2632" s="1">
        <v>5.8579775986386702E-3</v>
      </c>
    </row>
    <row r="2633" spans="1:6" x14ac:dyDescent="0.25">
      <c r="A2633" s="2" t="str">
        <f t="shared" si="88"/>
        <v>33460</v>
      </c>
      <c r="B2633" s="2" t="str">
        <f>"55315"</f>
        <v>55315</v>
      </c>
      <c r="C2633" s="1">
        <v>1.52755541301495E-3</v>
      </c>
      <c r="D2633" s="1">
        <v>2.7287895089738102E-4</v>
      </c>
      <c r="E2633" s="1">
        <v>5.7118157399116897E-4</v>
      </c>
      <c r="F2633" s="1">
        <v>1.4007960024705801E-3</v>
      </c>
    </row>
    <row r="2634" spans="1:6" x14ac:dyDescent="0.25">
      <c r="A2634" s="2" t="str">
        <f t="shared" ref="A2634:A2647" si="89">"33460"</f>
        <v>33460</v>
      </c>
      <c r="B2634" s="2" t="str">
        <f>"55309"</f>
        <v>55309</v>
      </c>
      <c r="C2634" s="1">
        <v>5.14232267643552E-3</v>
      </c>
      <c r="D2634" s="1">
        <v>2.04269386100325E-3</v>
      </c>
      <c r="E2634" s="1">
        <v>3.3035907252462202E-3</v>
      </c>
      <c r="F2634" s="1">
        <v>4.8484717503295797E-3</v>
      </c>
    </row>
    <row r="2635" spans="1:6" x14ac:dyDescent="0.25">
      <c r="A2635" s="2" t="str">
        <f t="shared" si="89"/>
        <v>33460</v>
      </c>
      <c r="B2635" s="2" t="str">
        <f>"55305"</f>
        <v>55305</v>
      </c>
      <c r="C2635" s="1">
        <v>7.1004813300912404E-3</v>
      </c>
      <c r="D2635" s="1">
        <v>8.5450094338151497E-3</v>
      </c>
      <c r="E2635" s="1">
        <v>5.2950075642965201E-3</v>
      </c>
      <c r="F2635" s="1">
        <v>7.1393391063797303E-3</v>
      </c>
    </row>
    <row r="2636" spans="1:6" x14ac:dyDescent="0.25">
      <c r="A2636" s="2" t="str">
        <f t="shared" si="89"/>
        <v>33460</v>
      </c>
      <c r="B2636" s="2" t="str">
        <f>"55047"</f>
        <v>55047</v>
      </c>
      <c r="C2636" s="1">
        <v>7.0851482770120395E-4</v>
      </c>
      <c r="D2636" s="1">
        <v>1.7932045344685001E-4</v>
      </c>
      <c r="E2636" s="1">
        <v>7.7186699187995901E-5</v>
      </c>
      <c r="F2636" s="1">
        <v>6.4665247860700695E-4</v>
      </c>
    </row>
    <row r="2637" spans="1:6" x14ac:dyDescent="0.25">
      <c r="A2637" s="2" t="str">
        <f t="shared" si="89"/>
        <v>33460</v>
      </c>
      <c r="B2637" s="2" t="str">
        <f>"55043"</f>
        <v>55043</v>
      </c>
      <c r="C2637" s="1">
        <v>9.6214908071958003E-4</v>
      </c>
      <c r="D2637" s="1">
        <v>5.4575790179476301E-4</v>
      </c>
      <c r="E2637" s="1">
        <v>4.1680817561517698E-4</v>
      </c>
      <c r="F2637" s="1">
        <v>9.1168330976871702E-4</v>
      </c>
    </row>
    <row r="2638" spans="1:6" x14ac:dyDescent="0.25">
      <c r="A2638" s="2" t="str">
        <f t="shared" si="89"/>
        <v>33460</v>
      </c>
      <c r="B2638" s="2" t="str">
        <f>"55042"</f>
        <v>55042</v>
      </c>
      <c r="C2638" s="1">
        <v>3.2180245149963601E-3</v>
      </c>
      <c r="D2638" s="1">
        <v>3.8514914783801899E-3</v>
      </c>
      <c r="E2638" s="1">
        <v>1.0960511284695399E-3</v>
      </c>
      <c r="F2638" s="1">
        <v>3.18605733083241E-3</v>
      </c>
    </row>
    <row r="2639" spans="1:6" x14ac:dyDescent="0.25">
      <c r="A2639" s="2" t="str">
        <f t="shared" si="89"/>
        <v>33460</v>
      </c>
      <c r="B2639" s="2" t="str">
        <f>"55032"</f>
        <v>55032</v>
      </c>
      <c r="C2639" s="1">
        <v>9.0912227215402496E-4</v>
      </c>
      <c r="D2639" s="1">
        <v>2.4948932653474898E-4</v>
      </c>
      <c r="E2639" s="1">
        <v>2.16122757726388E-4</v>
      </c>
      <c r="F2639" s="1">
        <v>8.35472727417496E-4</v>
      </c>
    </row>
    <row r="2640" spans="1:6" x14ac:dyDescent="0.25">
      <c r="A2640" s="2" t="str">
        <f t="shared" si="89"/>
        <v>33460</v>
      </c>
      <c r="B2640" s="2" t="str">
        <f>"55038"</f>
        <v>55038</v>
      </c>
      <c r="C2640" s="1">
        <v>6.0789166686897704E-3</v>
      </c>
      <c r="D2640" s="1">
        <v>3.4226816983985902E-3</v>
      </c>
      <c r="E2640" s="1">
        <v>7.2555497236716096E-3</v>
      </c>
      <c r="F2640" s="1">
        <v>5.9285008240980101E-3</v>
      </c>
    </row>
    <row r="2641" spans="1:6" x14ac:dyDescent="0.25">
      <c r="A2641" s="2" t="str">
        <f t="shared" si="89"/>
        <v>33460</v>
      </c>
      <c r="B2641" s="2" t="str">
        <f>"55109"</f>
        <v>55109</v>
      </c>
      <c r="C2641" s="1">
        <v>9.2701083407975404E-3</v>
      </c>
      <c r="D2641" s="1">
        <v>1.1476509020598401E-2</v>
      </c>
      <c r="E2641" s="1">
        <v>1.14390688196609E-2</v>
      </c>
      <c r="F2641" s="1">
        <v>9.5109669302946096E-3</v>
      </c>
    </row>
    <row r="2642" spans="1:6" x14ac:dyDescent="0.25">
      <c r="A2642" s="2" t="str">
        <f t="shared" si="89"/>
        <v>33460</v>
      </c>
      <c r="B2642" s="2" t="str">
        <f>"55080"</f>
        <v>55080</v>
      </c>
      <c r="C2642" s="1">
        <v>8.9187258743992899E-4</v>
      </c>
      <c r="D2642" s="1">
        <v>1.24744663267374E-4</v>
      </c>
      <c r="E2642" s="1">
        <v>3.5505881626478097E-4</v>
      </c>
      <c r="F2642" s="1">
        <v>8.1613571398509604E-4</v>
      </c>
    </row>
    <row r="2643" spans="1:6" x14ac:dyDescent="0.25">
      <c r="A2643" s="2" t="str">
        <f t="shared" si="89"/>
        <v>33460</v>
      </c>
      <c r="B2643" s="2" t="str">
        <f>"55076"</f>
        <v>55076</v>
      </c>
      <c r="C2643" s="1">
        <v>6.0469728081081102E-3</v>
      </c>
      <c r="D2643" s="1">
        <v>3.2433612449517301E-3</v>
      </c>
      <c r="E2643" s="1">
        <v>2.82503319028065E-3</v>
      </c>
      <c r="F2643" s="1">
        <v>5.7237559759902501E-3</v>
      </c>
    </row>
    <row r="2644" spans="1:6" x14ac:dyDescent="0.25">
      <c r="A2644" s="2" t="str">
        <f t="shared" si="89"/>
        <v>33460</v>
      </c>
      <c r="B2644" s="2" t="str">
        <f>"55075"</f>
        <v>55075</v>
      </c>
      <c r="C2644" s="1">
        <v>5.8329489422110003E-3</v>
      </c>
      <c r="D2644" s="1">
        <v>5.3562239790428904E-3</v>
      </c>
      <c r="E2644" s="1">
        <v>6.2212479545524701E-3</v>
      </c>
      <c r="F2644" s="1">
        <v>5.8124787435036096E-3</v>
      </c>
    </row>
    <row r="2645" spans="1:6" x14ac:dyDescent="0.25">
      <c r="A2645" s="2" t="str">
        <f t="shared" si="89"/>
        <v>33460</v>
      </c>
      <c r="B2645" s="2" t="str">
        <f>"55102"</f>
        <v>55102</v>
      </c>
      <c r="C2645" s="1">
        <v>7.2218680003015498E-3</v>
      </c>
      <c r="D2645" s="1">
        <v>1.03226208853752E-2</v>
      </c>
      <c r="E2645" s="1">
        <v>1.6934761801846301E-2</v>
      </c>
      <c r="F2645" s="1">
        <v>7.8058973341083304E-3</v>
      </c>
    </row>
    <row r="2646" spans="1:6" x14ac:dyDescent="0.25">
      <c r="A2646" s="2" t="str">
        <f t="shared" si="89"/>
        <v>33460</v>
      </c>
      <c r="B2646" s="2" t="str">
        <f>"54769"</f>
        <v>54769</v>
      </c>
      <c r="C2646" s="1">
        <v>2.5555088465327401E-5</v>
      </c>
      <c r="D2646" s="1">
        <v>7.7965414542109108E-6</v>
      </c>
      <c r="E2646" s="1">
        <v>0</v>
      </c>
      <c r="F2646" s="1">
        <v>2.3318163256716999E-5</v>
      </c>
    </row>
    <row r="2647" spans="1:6" x14ac:dyDescent="0.25">
      <c r="A2647" s="2" t="str">
        <f t="shared" si="89"/>
        <v>33460</v>
      </c>
      <c r="B2647" s="2" t="str">
        <f>"54740"</f>
        <v>54740</v>
      </c>
      <c r="C2647" s="1">
        <v>4.6893587333875903E-4</v>
      </c>
      <c r="D2647" s="1">
        <v>1.7152391199263999E-4</v>
      </c>
      <c r="E2647" s="1">
        <v>2.6243477723918602E-4</v>
      </c>
      <c r="F2647" s="1">
        <v>4.39632687742494E-4</v>
      </c>
    </row>
    <row r="2648" spans="1:6" x14ac:dyDescent="0.25">
      <c r="A2648" s="2" t="str">
        <f t="shared" ref="A2648:A2669" si="90">"44620"</f>
        <v>44620</v>
      </c>
      <c r="B2648" s="2" t="str">
        <f>"54475"</f>
        <v>54475</v>
      </c>
      <c r="C2648" s="1">
        <v>1.42821659215101E-3</v>
      </c>
      <c r="D2648" s="1">
        <v>4.2194092827004199E-4</v>
      </c>
      <c r="E2648" s="1">
        <v>0</v>
      </c>
      <c r="F2648" s="1">
        <v>1.3117865416282801E-3</v>
      </c>
    </row>
    <row r="2649" spans="1:6" x14ac:dyDescent="0.25">
      <c r="A2649" s="2" t="str">
        <f t="shared" si="90"/>
        <v>44620</v>
      </c>
      <c r="B2649" s="2" t="str">
        <f>"54966"</f>
        <v>54966</v>
      </c>
      <c r="C2649" s="1">
        <v>3.7257824143070001E-3</v>
      </c>
      <c r="D2649" s="1">
        <v>2.5316455696202502E-3</v>
      </c>
      <c r="E2649" s="1">
        <v>7.9936051159072697E-4</v>
      </c>
      <c r="F2649" s="1">
        <v>3.5446146975913299E-3</v>
      </c>
    </row>
    <row r="2650" spans="1:6" x14ac:dyDescent="0.25">
      <c r="A2650" s="2" t="str">
        <f t="shared" si="90"/>
        <v>44620</v>
      </c>
      <c r="B2650" s="2" t="str">
        <f>"54909"</f>
        <v>54909</v>
      </c>
      <c r="C2650" s="1">
        <v>2.7850223546944799E-2</v>
      </c>
      <c r="D2650" s="1">
        <v>8.8607594936708795E-3</v>
      </c>
      <c r="E2650" s="1">
        <v>3.9968025579536302E-3</v>
      </c>
      <c r="F2650" s="1">
        <v>2.5761254849423602E-2</v>
      </c>
    </row>
    <row r="2651" spans="1:6" x14ac:dyDescent="0.25">
      <c r="A2651" s="2" t="str">
        <f t="shared" si="90"/>
        <v>44620</v>
      </c>
      <c r="B2651" s="2" t="str">
        <f>"54494"</f>
        <v>54494</v>
      </c>
      <c r="C2651" s="1">
        <v>2.71361152508693E-2</v>
      </c>
      <c r="D2651" s="1">
        <v>9.7046413502109696E-3</v>
      </c>
      <c r="E2651" s="1">
        <v>1.59872102318145E-3</v>
      </c>
      <c r="F2651" s="1">
        <v>2.50914064026347E-2</v>
      </c>
    </row>
    <row r="2652" spans="1:6" x14ac:dyDescent="0.25">
      <c r="A2652" s="2" t="str">
        <f t="shared" si="90"/>
        <v>44620</v>
      </c>
      <c r="B2652" s="2" t="str">
        <f>"54482"</f>
        <v>54482</v>
      </c>
      <c r="C2652" s="1">
        <v>0.123540735221063</v>
      </c>
      <c r="D2652" s="1">
        <v>0.117299578059071</v>
      </c>
      <c r="E2652" s="1">
        <v>4.7162270183852897E-2</v>
      </c>
      <c r="F2652" s="1">
        <v>0.120461079014206</v>
      </c>
    </row>
    <row r="2653" spans="1:6" x14ac:dyDescent="0.25">
      <c r="A2653" s="2" t="str">
        <f t="shared" si="90"/>
        <v>44620</v>
      </c>
      <c r="B2653" s="2" t="str">
        <f>"54481"</f>
        <v>54481</v>
      </c>
      <c r="C2653" s="1">
        <v>0.404744162940884</v>
      </c>
      <c r="D2653" s="1">
        <v>0.60042194092826995</v>
      </c>
      <c r="E2653" s="1">
        <v>0.52198241406874502</v>
      </c>
      <c r="F2653" s="1">
        <v>0.42178123866141898</v>
      </c>
    </row>
    <row r="2654" spans="1:6" x14ac:dyDescent="0.25">
      <c r="A2654" s="2" t="str">
        <f t="shared" si="90"/>
        <v>44620</v>
      </c>
      <c r="B2654" s="2" t="str">
        <f>"54984"</f>
        <v>54984</v>
      </c>
      <c r="C2654" s="1">
        <v>4.0362642821659199E-4</v>
      </c>
      <c r="D2654" s="1">
        <v>0</v>
      </c>
      <c r="E2654" s="1">
        <v>0</v>
      </c>
      <c r="F2654" s="1">
        <v>3.6283457534399502E-4</v>
      </c>
    </row>
    <row r="2655" spans="1:6" x14ac:dyDescent="0.25">
      <c r="A2655" s="2" t="str">
        <f t="shared" si="90"/>
        <v>44620</v>
      </c>
      <c r="B2655" s="2" t="str">
        <f>"54921"</f>
        <v>54921</v>
      </c>
      <c r="C2655" s="1">
        <v>1.8256333830104301E-2</v>
      </c>
      <c r="D2655" s="1">
        <v>7.5949367088607497E-3</v>
      </c>
      <c r="E2655" s="1">
        <v>7.9936051159072697E-4</v>
      </c>
      <c r="F2655" s="1">
        <v>1.6941583633369599E-2</v>
      </c>
    </row>
    <row r="2656" spans="1:6" x14ac:dyDescent="0.25">
      <c r="A2656" s="2" t="str">
        <f t="shared" si="90"/>
        <v>44620</v>
      </c>
      <c r="B2656" s="2" t="str">
        <f>"54458"</f>
        <v>54458</v>
      </c>
      <c r="C2656" s="1">
        <v>1.1177347242921E-3</v>
      </c>
      <c r="D2656" s="1">
        <v>0</v>
      </c>
      <c r="E2656" s="1">
        <v>7.9936051159072697E-4</v>
      </c>
      <c r="F2656" s="1">
        <v>1.0326830221329001E-3</v>
      </c>
    </row>
    <row r="2657" spans="1:6" x14ac:dyDescent="0.25">
      <c r="A2657" s="2" t="str">
        <f t="shared" si="90"/>
        <v>44620</v>
      </c>
      <c r="B2657" s="2" t="str">
        <f>"54423"</f>
        <v>54423</v>
      </c>
      <c r="C2657" s="1">
        <v>3.0365126676601999E-2</v>
      </c>
      <c r="D2657" s="1">
        <v>8.0168776371307999E-3</v>
      </c>
      <c r="E2657" s="1">
        <v>7.9936051159072697E-4</v>
      </c>
      <c r="F2657" s="1">
        <v>2.7854531245639001E-2</v>
      </c>
    </row>
    <row r="2658" spans="1:6" x14ac:dyDescent="0.25">
      <c r="A2658" s="2" t="str">
        <f t="shared" si="90"/>
        <v>44620</v>
      </c>
      <c r="B2658" s="2" t="str">
        <f>"54406"</f>
        <v>54406</v>
      </c>
      <c r="C2658" s="1">
        <v>4.9056135121708797E-2</v>
      </c>
      <c r="D2658" s="1">
        <v>1.4345991561181401E-2</v>
      </c>
      <c r="E2658" s="1">
        <v>2.07833733013589E-2</v>
      </c>
      <c r="F2658" s="1">
        <v>4.5772977197242402E-2</v>
      </c>
    </row>
    <row r="2659" spans="1:6" x14ac:dyDescent="0.25">
      <c r="A2659" s="2" t="str">
        <f t="shared" si="90"/>
        <v>44620</v>
      </c>
      <c r="B2659" s="2" t="str">
        <f>"54473"</f>
        <v>54473</v>
      </c>
      <c r="C2659" s="1">
        <v>3.4525583705911501E-2</v>
      </c>
      <c r="D2659" s="1">
        <v>9.7046413502109696E-3</v>
      </c>
      <c r="E2659" s="1">
        <v>5.5955235811350904E-3</v>
      </c>
      <c r="F2659" s="1">
        <v>3.18736219263724E-2</v>
      </c>
    </row>
    <row r="2660" spans="1:6" x14ac:dyDescent="0.25">
      <c r="A2660" s="2" t="str">
        <f t="shared" si="90"/>
        <v>44620</v>
      </c>
      <c r="B2660" s="2" t="str">
        <f>"54467"</f>
        <v>54467</v>
      </c>
      <c r="C2660" s="1">
        <v>0.20485593641331301</v>
      </c>
      <c r="D2660" s="1">
        <v>0.20759493670886001</v>
      </c>
      <c r="E2660" s="1">
        <v>0.38289368505195798</v>
      </c>
      <c r="F2660" s="1">
        <v>0.21125345390605299</v>
      </c>
    </row>
    <row r="2661" spans="1:6" x14ac:dyDescent="0.25">
      <c r="A2661" s="2" t="str">
        <f t="shared" si="90"/>
        <v>44620</v>
      </c>
      <c r="B2661" s="2" t="str">
        <f>"54407"</f>
        <v>54407</v>
      </c>
      <c r="C2661" s="1">
        <v>2.3068802781917499E-2</v>
      </c>
      <c r="D2661" s="1">
        <v>2.5316455696202502E-3</v>
      </c>
      <c r="E2661" s="1">
        <v>3.9968025579536302E-3</v>
      </c>
      <c r="F2661" s="1">
        <v>2.10444053699517E-2</v>
      </c>
    </row>
    <row r="2662" spans="1:6" x14ac:dyDescent="0.25">
      <c r="A2662" s="2" t="str">
        <f t="shared" si="90"/>
        <v>44620</v>
      </c>
      <c r="B2662" s="2" t="str">
        <f>"54443"</f>
        <v>54443</v>
      </c>
      <c r="C2662" s="1">
        <v>3.42771982116244E-2</v>
      </c>
      <c r="D2662" s="1">
        <v>5.9071729957805904E-3</v>
      </c>
      <c r="E2662" s="1">
        <v>3.9968025579536302E-3</v>
      </c>
      <c r="F2662" s="1">
        <v>3.1343325239331199E-2</v>
      </c>
    </row>
    <row r="2663" spans="1:6" x14ac:dyDescent="0.25">
      <c r="A2663" s="2" t="str">
        <f t="shared" si="90"/>
        <v>44620</v>
      </c>
      <c r="B2663" s="2" t="str">
        <f>"54499"</f>
        <v>54499</v>
      </c>
      <c r="C2663" s="1">
        <v>6.2096373571783397E-4</v>
      </c>
      <c r="D2663" s="1">
        <v>0</v>
      </c>
      <c r="E2663" s="1">
        <v>0</v>
      </c>
      <c r="F2663" s="1">
        <v>5.5820703899076105E-4</v>
      </c>
    </row>
    <row r="2664" spans="1:6" x14ac:dyDescent="0.25">
      <c r="A2664" s="2" t="str">
        <f t="shared" si="90"/>
        <v>44620</v>
      </c>
      <c r="B2664" s="2" t="str">
        <f>"54454"</f>
        <v>54454</v>
      </c>
      <c r="C2664" s="1">
        <v>5.5886736214605002E-4</v>
      </c>
      <c r="D2664" s="1">
        <v>0</v>
      </c>
      <c r="E2664" s="1">
        <v>1.59872102318145E-3</v>
      </c>
      <c r="F2664" s="1">
        <v>5.5820703899076105E-4</v>
      </c>
    </row>
    <row r="2665" spans="1:6" x14ac:dyDescent="0.25">
      <c r="A2665" s="2" t="str">
        <f t="shared" si="90"/>
        <v>44620</v>
      </c>
      <c r="B2665" s="2" t="str">
        <f>"54455"</f>
        <v>54455</v>
      </c>
      <c r="C2665" s="1">
        <v>6.1785891703924397E-3</v>
      </c>
      <c r="D2665" s="1">
        <v>3.3755274261603298E-3</v>
      </c>
      <c r="E2665" s="1">
        <v>3.1974420463629001E-3</v>
      </c>
      <c r="F2665" s="1">
        <v>5.8890842613525301E-3</v>
      </c>
    </row>
    <row r="2666" spans="1:6" x14ac:dyDescent="0.25">
      <c r="A2666" s="2" t="str">
        <f t="shared" si="90"/>
        <v>44620</v>
      </c>
      <c r="B2666" s="2" t="str">
        <f>"54977"</f>
        <v>54977</v>
      </c>
      <c r="C2666" s="1">
        <v>9.3144560357675101E-4</v>
      </c>
      <c r="D2666" s="1">
        <v>0</v>
      </c>
      <c r="E2666" s="1">
        <v>0</v>
      </c>
      <c r="F2666" s="1">
        <v>8.3731055848614195E-4</v>
      </c>
    </row>
    <row r="2667" spans="1:6" x14ac:dyDescent="0.25">
      <c r="A2667" s="2" t="str">
        <f t="shared" si="90"/>
        <v>44620</v>
      </c>
      <c r="B2667" s="2" t="str">
        <f>"54981"</f>
        <v>54981</v>
      </c>
      <c r="C2667" s="1">
        <v>6.7685047193243898E-3</v>
      </c>
      <c r="D2667" s="1">
        <v>1.2658227848101201E-3</v>
      </c>
      <c r="E2667" s="1">
        <v>0</v>
      </c>
      <c r="F2667" s="1">
        <v>6.1681877808479101E-3</v>
      </c>
    </row>
    <row r="2668" spans="1:6" x14ac:dyDescent="0.25">
      <c r="A2668" s="2" t="str">
        <f t="shared" si="90"/>
        <v>44620</v>
      </c>
      <c r="B2668" s="2" t="str">
        <f>"54945"</f>
        <v>54945</v>
      </c>
      <c r="C2668" s="1">
        <v>5.8991554893194199E-4</v>
      </c>
      <c r="D2668" s="1">
        <v>0</v>
      </c>
      <c r="E2668" s="1">
        <v>0</v>
      </c>
      <c r="F2668" s="1">
        <v>5.3029668704122305E-4</v>
      </c>
    </row>
    <row r="2669" spans="1:6" x14ac:dyDescent="0.25">
      <c r="A2669" s="2" t="str">
        <f t="shared" si="90"/>
        <v>44620</v>
      </c>
      <c r="B2669" s="2" t="str">
        <f>"54492"</f>
        <v>54492</v>
      </c>
      <c r="C2669" s="1">
        <v>0</v>
      </c>
      <c r="D2669" s="1">
        <v>4.2194092827004199E-4</v>
      </c>
      <c r="E2669" s="1">
        <v>0</v>
      </c>
      <c r="F2669" s="1">
        <v>2.7910351949538E-5</v>
      </c>
    </row>
    <row r="2670" spans="1:6" x14ac:dyDescent="0.25">
      <c r="A2670" s="2" t="str">
        <f t="shared" ref="A2670:A2702" si="91">"24330"</f>
        <v>24330</v>
      </c>
      <c r="B2670" s="2" t="str">
        <f>"56637"</f>
        <v>56637</v>
      </c>
      <c r="C2670" s="1">
        <v>5.1174386563443098E-3</v>
      </c>
      <c r="D2670" s="1">
        <v>3.6179450072358899E-3</v>
      </c>
      <c r="E2670" s="1">
        <v>0</v>
      </c>
      <c r="F2670" s="1">
        <v>4.7244704333346196E-3</v>
      </c>
    </row>
    <row r="2671" spans="1:6" x14ac:dyDescent="0.25">
      <c r="A2671" s="2" t="str">
        <f t="shared" si="91"/>
        <v>24330</v>
      </c>
      <c r="B2671" s="2" t="str">
        <f>"56636"</f>
        <v>56636</v>
      </c>
      <c r="C2671" s="1">
        <v>0.11442067970082601</v>
      </c>
      <c r="D2671" s="1">
        <v>8.9001447178002804E-2</v>
      </c>
      <c r="E2671" s="1">
        <v>2.9784537389100099E-2</v>
      </c>
      <c r="F2671" s="1">
        <v>0.107888316616969</v>
      </c>
    </row>
    <row r="2672" spans="1:6" x14ac:dyDescent="0.25">
      <c r="A2672" s="2" t="str">
        <f t="shared" si="91"/>
        <v>24330</v>
      </c>
      <c r="B2672" s="2" t="str">
        <f>"55781"</f>
        <v>55781</v>
      </c>
      <c r="C2672" s="1">
        <v>1.13720859029873E-3</v>
      </c>
      <c r="D2672" s="1">
        <v>0</v>
      </c>
      <c r="E2672" s="1">
        <v>0</v>
      </c>
      <c r="F2672" s="1">
        <v>1.00685435464508E-3</v>
      </c>
    </row>
    <row r="2673" spans="1:6" x14ac:dyDescent="0.25">
      <c r="A2673" s="2" t="str">
        <f t="shared" si="91"/>
        <v>24330</v>
      </c>
      <c r="B2673" s="2" t="str">
        <f>"56681"</f>
        <v>56681</v>
      </c>
      <c r="C2673" s="1">
        <v>6.1234308708393399E-3</v>
      </c>
      <c r="D2673" s="1">
        <v>7.2358900144717795E-4</v>
      </c>
      <c r="E2673" s="1">
        <v>1.26742712294043E-3</v>
      </c>
      <c r="F2673" s="1">
        <v>5.5376989505479604E-3</v>
      </c>
    </row>
    <row r="2674" spans="1:6" x14ac:dyDescent="0.25">
      <c r="A2674" s="2" t="str">
        <f t="shared" si="91"/>
        <v>24330</v>
      </c>
      <c r="B2674" s="2" t="str">
        <f>"56631"</f>
        <v>56631</v>
      </c>
      <c r="C2674" s="1">
        <v>0</v>
      </c>
      <c r="D2674" s="1">
        <v>0</v>
      </c>
      <c r="E2674" s="1">
        <v>6.3371356147021499E-4</v>
      </c>
      <c r="F2674" s="1">
        <v>3.8725167486349299E-5</v>
      </c>
    </row>
    <row r="2675" spans="1:6" x14ac:dyDescent="0.25">
      <c r="A2675" s="2" t="str">
        <f t="shared" si="91"/>
        <v>24330</v>
      </c>
      <c r="B2675" s="2" t="str">
        <f>"55716"</f>
        <v>55716</v>
      </c>
      <c r="C2675" s="1">
        <v>0</v>
      </c>
      <c r="D2675" s="1">
        <v>0</v>
      </c>
      <c r="E2675" s="1">
        <v>6.3371356147021499E-4</v>
      </c>
      <c r="F2675" s="1">
        <v>3.8725167486349299E-5</v>
      </c>
    </row>
    <row r="2676" spans="1:6" x14ac:dyDescent="0.25">
      <c r="A2676" s="2" t="str">
        <f t="shared" si="91"/>
        <v>24330</v>
      </c>
      <c r="B2676" s="2" t="str">
        <f>"55771"</f>
        <v>55771</v>
      </c>
      <c r="C2676" s="1">
        <v>4.3738791934566698E-5</v>
      </c>
      <c r="D2676" s="1">
        <v>0</v>
      </c>
      <c r="E2676" s="1">
        <v>0</v>
      </c>
      <c r="F2676" s="1">
        <v>3.8725167486349299E-5</v>
      </c>
    </row>
    <row r="2677" spans="1:6" x14ac:dyDescent="0.25">
      <c r="A2677" s="2" t="str">
        <f t="shared" si="91"/>
        <v>24330</v>
      </c>
      <c r="B2677" s="2" t="str">
        <f>"55793"</f>
        <v>55793</v>
      </c>
      <c r="C2677" s="1">
        <v>1.22468617416786E-2</v>
      </c>
      <c r="D2677" s="1">
        <v>2.8943560057887101E-3</v>
      </c>
      <c r="E2677" s="1">
        <v>6.3371356147021499E-4</v>
      </c>
      <c r="F2677" s="1">
        <v>1.10366727336095E-2</v>
      </c>
    </row>
    <row r="2678" spans="1:6" x14ac:dyDescent="0.25">
      <c r="A2678" s="2" t="str">
        <f t="shared" si="91"/>
        <v>24330</v>
      </c>
      <c r="B2678" s="2" t="str">
        <f>"56628"</f>
        <v>56628</v>
      </c>
      <c r="C2678" s="1">
        <v>4.3870008310370398E-2</v>
      </c>
      <c r="D2678" s="1">
        <v>5.7887120115774201E-3</v>
      </c>
      <c r="E2678" s="1">
        <v>5.7034220532319298E-3</v>
      </c>
      <c r="F2678" s="1">
        <v>3.9499670836076299E-2</v>
      </c>
    </row>
    <row r="2679" spans="1:6" x14ac:dyDescent="0.25">
      <c r="A2679" s="2" t="str">
        <f t="shared" si="91"/>
        <v>24330</v>
      </c>
      <c r="B2679" s="2" t="str">
        <f>"55709"</f>
        <v>55709</v>
      </c>
      <c r="C2679" s="1">
        <v>0.111533919433145</v>
      </c>
      <c r="D2679" s="1">
        <v>2.3154848046309601E-2</v>
      </c>
      <c r="E2679" s="1">
        <v>3.8022813688212902E-3</v>
      </c>
      <c r="F2679" s="1">
        <v>0.100220733454672</v>
      </c>
    </row>
    <row r="2680" spans="1:6" x14ac:dyDescent="0.25">
      <c r="A2680" s="2" t="str">
        <f t="shared" si="91"/>
        <v>24330</v>
      </c>
      <c r="B2680" s="2" t="str">
        <f>"55746"</f>
        <v>55746</v>
      </c>
      <c r="C2680" s="1">
        <v>1.5745965096444E-3</v>
      </c>
      <c r="D2680" s="1">
        <v>0</v>
      </c>
      <c r="E2680" s="1">
        <v>0</v>
      </c>
      <c r="F2680" s="1">
        <v>1.3941060295085701E-3</v>
      </c>
    </row>
    <row r="2681" spans="1:6" x14ac:dyDescent="0.25">
      <c r="A2681" s="2" t="str">
        <f t="shared" si="91"/>
        <v>24330</v>
      </c>
      <c r="B2681" s="2" t="str">
        <f>"55744"</f>
        <v>55744</v>
      </c>
      <c r="C2681" s="1">
        <v>0.45002843021475702</v>
      </c>
      <c r="D2681" s="1">
        <v>0.75397973950795905</v>
      </c>
      <c r="E2681" s="1">
        <v>0.90747782002534805</v>
      </c>
      <c r="F2681" s="1">
        <v>0.49424931262827698</v>
      </c>
    </row>
    <row r="2682" spans="1:6" x14ac:dyDescent="0.25">
      <c r="A2682" s="2" t="str">
        <f t="shared" si="91"/>
        <v>24330</v>
      </c>
      <c r="B2682" s="2" t="str">
        <f>"56659"</f>
        <v>56659</v>
      </c>
      <c r="C2682" s="1">
        <v>3.1491930192887999E-3</v>
      </c>
      <c r="D2682" s="1">
        <v>7.2358900144717795E-4</v>
      </c>
      <c r="E2682" s="1">
        <v>1.26742712294043E-3</v>
      </c>
      <c r="F2682" s="1">
        <v>2.9043875614762002E-3</v>
      </c>
    </row>
    <row r="2683" spans="1:6" x14ac:dyDescent="0.25">
      <c r="A2683" s="2" t="str">
        <f t="shared" si="91"/>
        <v>24330</v>
      </c>
      <c r="B2683" s="2" t="str">
        <f>"56661"</f>
        <v>56661</v>
      </c>
      <c r="C2683" s="1">
        <v>1.13720859029873E-2</v>
      </c>
      <c r="D2683" s="1">
        <v>1.44717800289435E-3</v>
      </c>
      <c r="E2683" s="1">
        <v>0</v>
      </c>
      <c r="F2683" s="1">
        <v>1.0145993881423499E-2</v>
      </c>
    </row>
    <row r="2684" spans="1:6" x14ac:dyDescent="0.25">
      <c r="A2684" s="2" t="str">
        <f t="shared" si="91"/>
        <v>24330</v>
      </c>
      <c r="B2684" s="2" t="str">
        <f>"55722"</f>
        <v>55722</v>
      </c>
      <c r="C2684" s="1">
        <v>4.3738791934566698E-5</v>
      </c>
      <c r="D2684" s="1">
        <v>0</v>
      </c>
      <c r="E2684" s="1">
        <v>6.3371356147021499E-4</v>
      </c>
      <c r="F2684" s="1">
        <v>7.7450334972698693E-5</v>
      </c>
    </row>
    <row r="2685" spans="1:6" x14ac:dyDescent="0.25">
      <c r="A2685" s="2" t="str">
        <f t="shared" si="91"/>
        <v>24330</v>
      </c>
      <c r="B2685" s="2" t="str">
        <f>"55764"</f>
        <v>55764</v>
      </c>
      <c r="C2685" s="1">
        <v>4.3738791934566698E-5</v>
      </c>
      <c r="D2685" s="1">
        <v>0</v>
      </c>
      <c r="E2685" s="1">
        <v>6.3371356147021499E-4</v>
      </c>
      <c r="F2685" s="1">
        <v>7.7450334972698693E-5</v>
      </c>
    </row>
    <row r="2686" spans="1:6" x14ac:dyDescent="0.25">
      <c r="A2686" s="2" t="str">
        <f t="shared" si="91"/>
        <v>24330</v>
      </c>
      <c r="B2686" s="2" t="str">
        <f>"55786"</f>
        <v>55786</v>
      </c>
      <c r="C2686" s="1">
        <v>0</v>
      </c>
      <c r="D2686" s="1">
        <v>7.2358900144717795E-4</v>
      </c>
      <c r="E2686" s="1">
        <v>0</v>
      </c>
      <c r="F2686" s="1">
        <v>3.8725167486349299E-5</v>
      </c>
    </row>
    <row r="2687" spans="1:6" x14ac:dyDescent="0.25">
      <c r="A2687" s="2" t="str">
        <f t="shared" si="91"/>
        <v>24330</v>
      </c>
      <c r="B2687" s="2" t="str">
        <f>"56680"</f>
        <v>56680</v>
      </c>
      <c r="C2687" s="1">
        <v>4.7237895289332097E-3</v>
      </c>
      <c r="D2687" s="1">
        <v>1.44717800289435E-3</v>
      </c>
      <c r="E2687" s="1">
        <v>6.3371356147021499E-4</v>
      </c>
      <c r="F2687" s="1">
        <v>4.2984935909847798E-3</v>
      </c>
    </row>
    <row r="2688" spans="1:6" x14ac:dyDescent="0.25">
      <c r="A2688" s="2" t="str">
        <f t="shared" si="91"/>
        <v>24330</v>
      </c>
      <c r="B2688" s="2" t="str">
        <f>"56630"</f>
        <v>56630</v>
      </c>
      <c r="C2688" s="1">
        <v>5.59856536762454E-3</v>
      </c>
      <c r="D2688" s="1">
        <v>0</v>
      </c>
      <c r="E2688" s="1">
        <v>0</v>
      </c>
      <c r="F2688" s="1">
        <v>4.9568214382527198E-3</v>
      </c>
    </row>
    <row r="2689" spans="1:6" x14ac:dyDescent="0.25">
      <c r="A2689" s="2" t="str">
        <f t="shared" si="91"/>
        <v>24330</v>
      </c>
      <c r="B2689" s="2" t="str">
        <f>"55723"</f>
        <v>55723</v>
      </c>
      <c r="C2689" s="1">
        <v>5.4236101998862696E-3</v>
      </c>
      <c r="D2689" s="1">
        <v>5.0651230101302399E-3</v>
      </c>
      <c r="E2689" s="1">
        <v>3.1685678073510699E-3</v>
      </c>
      <c r="F2689" s="1">
        <v>5.26662277814351E-3</v>
      </c>
    </row>
    <row r="2690" spans="1:6" x14ac:dyDescent="0.25">
      <c r="A2690" s="2" t="str">
        <f t="shared" si="91"/>
        <v>24330</v>
      </c>
      <c r="B2690" s="2" t="str">
        <f>"55753"</f>
        <v>55753</v>
      </c>
      <c r="C2690" s="1">
        <v>2.2219306302759902E-2</v>
      </c>
      <c r="D2690" s="1">
        <v>7.2358900144717795E-4</v>
      </c>
      <c r="E2690" s="1">
        <v>5.7034220532319298E-3</v>
      </c>
      <c r="F2690" s="1">
        <v>2.0059636757928899E-2</v>
      </c>
    </row>
    <row r="2691" spans="1:6" x14ac:dyDescent="0.25">
      <c r="A2691" s="2" t="str">
        <f t="shared" si="91"/>
        <v>24330</v>
      </c>
      <c r="B2691" s="2" t="str">
        <f>"55748"</f>
        <v>55748</v>
      </c>
      <c r="C2691" s="1">
        <v>5.8609981192319404E-3</v>
      </c>
      <c r="D2691" s="1">
        <v>0</v>
      </c>
      <c r="E2691" s="1">
        <v>0</v>
      </c>
      <c r="F2691" s="1">
        <v>5.1891724431708097E-3</v>
      </c>
    </row>
    <row r="2692" spans="1:6" x14ac:dyDescent="0.25">
      <c r="A2692" s="2" t="str">
        <f t="shared" si="91"/>
        <v>24330</v>
      </c>
      <c r="B2692" s="2" t="str">
        <f>"55736"</f>
        <v>55736</v>
      </c>
      <c r="C2692" s="1">
        <v>1.8370292612517999E-3</v>
      </c>
      <c r="D2692" s="1">
        <v>1.44717800289435E-3</v>
      </c>
      <c r="E2692" s="1">
        <v>6.3371356147021499E-4</v>
      </c>
      <c r="F2692" s="1">
        <v>1.7426325368857199E-3</v>
      </c>
    </row>
    <row r="2693" spans="1:6" x14ac:dyDescent="0.25">
      <c r="A2693" s="2" t="str">
        <f t="shared" si="91"/>
        <v>24330</v>
      </c>
      <c r="B2693" s="2" t="str">
        <f>"56657"</f>
        <v>56657</v>
      </c>
      <c r="C2693" s="1">
        <v>1.1240869527183599E-2</v>
      </c>
      <c r="D2693" s="1">
        <v>2.1707670043415298E-3</v>
      </c>
      <c r="E2693" s="1">
        <v>6.3371356147021499E-4</v>
      </c>
      <c r="F2693" s="1">
        <v>1.01072687139371E-2</v>
      </c>
    </row>
    <row r="2694" spans="1:6" x14ac:dyDescent="0.25">
      <c r="A2694" s="2" t="str">
        <f t="shared" si="91"/>
        <v>24330</v>
      </c>
      <c r="B2694" s="2" t="str">
        <f>"56639"</f>
        <v>56639</v>
      </c>
      <c r="C2694" s="1">
        <v>1.15470410707256E-2</v>
      </c>
      <c r="D2694" s="1">
        <v>2.8943560057887101E-3</v>
      </c>
      <c r="E2694" s="1">
        <v>1.26742712294043E-3</v>
      </c>
      <c r="F2694" s="1">
        <v>1.0455795221314301E-2</v>
      </c>
    </row>
    <row r="2695" spans="1:6" x14ac:dyDescent="0.25">
      <c r="A2695" s="2" t="str">
        <f t="shared" si="91"/>
        <v>24330</v>
      </c>
      <c r="B2695" s="2" t="str">
        <f>"55769"</f>
        <v>55769</v>
      </c>
      <c r="C2695" s="1">
        <v>5.5417049381095998E-2</v>
      </c>
      <c r="D2695" s="1">
        <v>5.6439942112879803E-2</v>
      </c>
      <c r="E2695" s="1">
        <v>7.6045627376425803E-3</v>
      </c>
      <c r="F2695" s="1">
        <v>5.2550052278976099E-2</v>
      </c>
    </row>
    <row r="2696" spans="1:6" x14ac:dyDescent="0.25">
      <c r="A2696" s="2" t="str">
        <f t="shared" si="91"/>
        <v>24330</v>
      </c>
      <c r="B2696" s="2" t="str">
        <f>"55752"</f>
        <v>55752</v>
      </c>
      <c r="C2696" s="1">
        <v>4.81126711280234E-4</v>
      </c>
      <c r="D2696" s="1">
        <v>0</v>
      </c>
      <c r="E2696" s="1">
        <v>0</v>
      </c>
      <c r="F2696" s="1">
        <v>4.2597684234984298E-4</v>
      </c>
    </row>
    <row r="2697" spans="1:6" x14ac:dyDescent="0.25">
      <c r="A2697" s="2" t="str">
        <f t="shared" si="91"/>
        <v>24330</v>
      </c>
      <c r="B2697" s="2" t="str">
        <f>"56688"</f>
        <v>56688</v>
      </c>
      <c r="C2697" s="1">
        <v>4.1114464418492702E-3</v>
      </c>
      <c r="D2697" s="1">
        <v>0</v>
      </c>
      <c r="E2697" s="1">
        <v>6.3371356147021499E-4</v>
      </c>
      <c r="F2697" s="1">
        <v>3.6788909112031899E-3</v>
      </c>
    </row>
    <row r="2698" spans="1:6" x14ac:dyDescent="0.25">
      <c r="A2698" s="2" t="str">
        <f t="shared" si="91"/>
        <v>24330</v>
      </c>
      <c r="B2698" s="2" t="str">
        <f>"55775"</f>
        <v>55775</v>
      </c>
      <c r="C2698" s="1">
        <v>2.53247605301141E-2</v>
      </c>
      <c r="D2698" s="1">
        <v>4.3415340086830597E-3</v>
      </c>
      <c r="E2698" s="1">
        <v>6.3371356147021499E-4</v>
      </c>
      <c r="F2698" s="1">
        <v>2.2692948147000701E-2</v>
      </c>
    </row>
    <row r="2699" spans="1:6" x14ac:dyDescent="0.25">
      <c r="A2699" s="2" t="str">
        <f t="shared" si="91"/>
        <v>24330</v>
      </c>
      <c r="B2699" s="2" t="str">
        <f>"55745"</f>
        <v>55745</v>
      </c>
      <c r="C2699" s="1">
        <v>0</v>
      </c>
      <c r="D2699" s="1">
        <v>0</v>
      </c>
      <c r="E2699" s="1">
        <v>6.3371356147021499E-4</v>
      </c>
      <c r="F2699" s="1">
        <v>3.8725167486349299E-5</v>
      </c>
    </row>
    <row r="2700" spans="1:6" x14ac:dyDescent="0.25">
      <c r="A2700" s="2" t="str">
        <f t="shared" si="91"/>
        <v>24330</v>
      </c>
      <c r="B2700" s="2" t="str">
        <f>"55742"</f>
        <v>55742</v>
      </c>
      <c r="C2700" s="1">
        <v>7.6542885885491803E-3</v>
      </c>
      <c r="D2700" s="1">
        <v>3.6179450072358899E-3</v>
      </c>
      <c r="E2700" s="1">
        <v>5.0697084917617199E-3</v>
      </c>
      <c r="F2700" s="1">
        <v>7.2803314874336804E-3</v>
      </c>
    </row>
    <row r="2701" spans="1:6" x14ac:dyDescent="0.25">
      <c r="A2701" s="2" t="str">
        <f t="shared" si="91"/>
        <v>24330</v>
      </c>
      <c r="B2701" s="2" t="str">
        <f>"55721"</f>
        <v>55721</v>
      </c>
      <c r="C2701" s="1">
        <v>7.4880811791978294E-2</v>
      </c>
      <c r="D2701" s="1">
        <v>3.7626628075253202E-2</v>
      </c>
      <c r="E2701" s="1">
        <v>2.02788339670468E-2</v>
      </c>
      <c r="F2701" s="1">
        <v>6.9550400805483401E-2</v>
      </c>
    </row>
    <row r="2702" spans="1:6" x14ac:dyDescent="0.25">
      <c r="A2702" s="2" t="str">
        <f t="shared" si="91"/>
        <v>24330</v>
      </c>
      <c r="B2702" s="2" t="str">
        <f>"55784"</f>
        <v>55784</v>
      </c>
      <c r="C2702" s="1">
        <v>2.97423785155054E-3</v>
      </c>
      <c r="D2702" s="1">
        <v>2.1707670043415298E-3</v>
      </c>
      <c r="E2702" s="1">
        <v>6.3371356147021499E-4</v>
      </c>
      <c r="F2702" s="1">
        <v>2.7882120590171501E-3</v>
      </c>
    </row>
    <row r="2703" spans="1:6" x14ac:dyDescent="0.25">
      <c r="A2703" s="2" t="str">
        <f t="shared" ref="A2703:A2720" si="92">"49380"</f>
        <v>49380</v>
      </c>
      <c r="B2703" s="2" t="str">
        <f>"56158"</f>
        <v>56158</v>
      </c>
      <c r="C2703" s="1">
        <v>3.0626134301270399E-3</v>
      </c>
      <c r="D2703" s="1">
        <v>0</v>
      </c>
      <c r="E2703" s="1">
        <v>0</v>
      </c>
      <c r="F2703" s="1">
        <v>2.7469732424458201E-3</v>
      </c>
    </row>
    <row r="2704" spans="1:6" x14ac:dyDescent="0.25">
      <c r="A2704" s="2" t="str">
        <f t="shared" si="92"/>
        <v>49380</v>
      </c>
      <c r="B2704" s="2" t="str">
        <f>"56147"</f>
        <v>56147</v>
      </c>
      <c r="C2704" s="1">
        <v>2.1551724137930999E-3</v>
      </c>
      <c r="D2704" s="1">
        <v>2.7662517289073298E-3</v>
      </c>
      <c r="E2704" s="1">
        <v>0</v>
      </c>
      <c r="F2704" s="1">
        <v>2.1365347441245201E-3</v>
      </c>
    </row>
    <row r="2705" spans="1:6" x14ac:dyDescent="0.25">
      <c r="A2705" s="2" t="str">
        <f t="shared" si="92"/>
        <v>49380</v>
      </c>
      <c r="B2705" s="2" t="str">
        <f>"56168"</f>
        <v>56168</v>
      </c>
      <c r="C2705" s="1">
        <v>5.0249546279491797E-2</v>
      </c>
      <c r="D2705" s="1">
        <v>2.9045643153526899E-2</v>
      </c>
      <c r="E2705" s="1">
        <v>1.3793103448275799E-2</v>
      </c>
      <c r="F2705" s="1">
        <v>4.7614202869060901E-2</v>
      </c>
    </row>
    <row r="2706" spans="1:6" x14ac:dyDescent="0.25">
      <c r="A2706" s="2" t="str">
        <f t="shared" si="92"/>
        <v>49380</v>
      </c>
      <c r="B2706" s="2" t="str">
        <f>"56129"</f>
        <v>56129</v>
      </c>
      <c r="C2706" s="1">
        <v>3.82259528130671E-2</v>
      </c>
      <c r="D2706" s="1">
        <v>1.52143845089903E-2</v>
      </c>
      <c r="E2706" s="1">
        <v>2.4137931034482699E-2</v>
      </c>
      <c r="F2706" s="1">
        <v>3.61176111506765E-2</v>
      </c>
    </row>
    <row r="2707" spans="1:6" x14ac:dyDescent="0.25">
      <c r="A2707" s="2" t="str">
        <f t="shared" si="92"/>
        <v>49380</v>
      </c>
      <c r="B2707" s="2" t="str">
        <f>"56131"</f>
        <v>56131</v>
      </c>
      <c r="C2707" s="1">
        <v>2.38203266787658E-2</v>
      </c>
      <c r="D2707" s="1">
        <v>1.7980636237897599E-2</v>
      </c>
      <c r="E2707" s="1">
        <v>1.0344827586206799E-2</v>
      </c>
      <c r="F2707" s="1">
        <v>2.2993183436768701E-2</v>
      </c>
    </row>
    <row r="2708" spans="1:6" x14ac:dyDescent="0.25">
      <c r="A2708" s="2" t="str">
        <f t="shared" si="92"/>
        <v>49380</v>
      </c>
      <c r="B2708" s="2" t="str">
        <f>"56117"</f>
        <v>56117</v>
      </c>
      <c r="C2708" s="1">
        <v>1.7354809437386501E-2</v>
      </c>
      <c r="D2708" s="1">
        <v>2.7662517289073298E-3</v>
      </c>
      <c r="E2708" s="1">
        <v>3.4482758620689598E-3</v>
      </c>
      <c r="F2708" s="1">
        <v>1.5871400956353601E-2</v>
      </c>
    </row>
    <row r="2709" spans="1:6" x14ac:dyDescent="0.25">
      <c r="A2709" s="2" t="str">
        <f t="shared" si="92"/>
        <v>49380</v>
      </c>
      <c r="B2709" s="2" t="str">
        <f>"56185"</f>
        <v>56185</v>
      </c>
      <c r="C2709" s="1">
        <v>3.1193284936479101E-2</v>
      </c>
      <c r="D2709" s="1">
        <v>4.1493775933609898E-3</v>
      </c>
      <c r="E2709" s="1">
        <v>1.0344827586206799E-2</v>
      </c>
      <c r="F2709" s="1">
        <v>2.85888696713806E-2</v>
      </c>
    </row>
    <row r="2710" spans="1:6" x14ac:dyDescent="0.25">
      <c r="A2710" s="2" t="str">
        <f t="shared" si="92"/>
        <v>49380</v>
      </c>
      <c r="B2710" s="2" t="str">
        <f>"56187"</f>
        <v>56187</v>
      </c>
      <c r="C2710" s="1">
        <v>0.62420598911070702</v>
      </c>
      <c r="D2710" s="1">
        <v>0.83817427385892096</v>
      </c>
      <c r="E2710" s="1">
        <v>0.84827586206896499</v>
      </c>
      <c r="F2710" s="1">
        <v>0.64655610947196995</v>
      </c>
    </row>
    <row r="2711" spans="1:6" x14ac:dyDescent="0.25">
      <c r="A2711" s="2" t="str">
        <f t="shared" si="92"/>
        <v>49380</v>
      </c>
      <c r="B2711" s="2" t="str">
        <f>"56141"</f>
        <v>56141</v>
      </c>
      <c r="C2711" s="1">
        <v>7.9401088929219603E-4</v>
      </c>
      <c r="D2711" s="1">
        <v>0</v>
      </c>
      <c r="E2711" s="1">
        <v>0</v>
      </c>
      <c r="F2711" s="1">
        <v>7.1217824804150904E-4</v>
      </c>
    </row>
    <row r="2712" spans="1:6" x14ac:dyDescent="0.25">
      <c r="A2712" s="2" t="str">
        <f t="shared" si="92"/>
        <v>49380</v>
      </c>
      <c r="B2712" s="2" t="str">
        <f>"56155"</f>
        <v>56155</v>
      </c>
      <c r="C2712" s="1">
        <v>2.0984573502722301E-2</v>
      </c>
      <c r="D2712" s="1">
        <v>1.9363762102351301E-2</v>
      </c>
      <c r="E2712" s="1">
        <v>3.4482758620689598E-3</v>
      </c>
      <c r="F2712" s="1">
        <v>2.0347949944043101E-2</v>
      </c>
    </row>
    <row r="2713" spans="1:6" x14ac:dyDescent="0.25">
      <c r="A2713" s="2" t="str">
        <f t="shared" si="92"/>
        <v>49380</v>
      </c>
      <c r="B2713" s="2" t="str">
        <f>"56128"</f>
        <v>56128</v>
      </c>
      <c r="C2713" s="1">
        <v>4.9909255898366598E-3</v>
      </c>
      <c r="D2713" s="1">
        <v>0</v>
      </c>
      <c r="E2713" s="1">
        <v>0</v>
      </c>
      <c r="F2713" s="1">
        <v>4.4765489876894904E-3</v>
      </c>
    </row>
    <row r="2714" spans="1:6" x14ac:dyDescent="0.25">
      <c r="A2714" s="2" t="str">
        <f t="shared" si="92"/>
        <v>49380</v>
      </c>
      <c r="B2714" s="2" t="str">
        <f>"56122"</f>
        <v>56122</v>
      </c>
      <c r="C2714" s="1">
        <v>1.3611615245009E-3</v>
      </c>
      <c r="D2714" s="1">
        <v>0</v>
      </c>
      <c r="E2714" s="1">
        <v>0</v>
      </c>
      <c r="F2714" s="1">
        <v>1.22087699664258E-3</v>
      </c>
    </row>
    <row r="2715" spans="1:6" x14ac:dyDescent="0.25">
      <c r="A2715" s="2" t="str">
        <f t="shared" si="92"/>
        <v>49380</v>
      </c>
      <c r="B2715" s="2" t="str">
        <f>"56119"</f>
        <v>56119</v>
      </c>
      <c r="C2715" s="1">
        <v>4.2082577132486303E-2</v>
      </c>
      <c r="D2715" s="1">
        <v>1.10650069156293E-2</v>
      </c>
      <c r="E2715" s="1">
        <v>1.0344827586206799E-2</v>
      </c>
      <c r="F2715" s="1">
        <v>3.8864584393122299E-2</v>
      </c>
    </row>
    <row r="2716" spans="1:6" x14ac:dyDescent="0.25">
      <c r="A2716" s="2" t="str">
        <f t="shared" si="92"/>
        <v>49380</v>
      </c>
      <c r="B2716" s="2" t="str">
        <f>"56165"</f>
        <v>56165</v>
      </c>
      <c r="C2716" s="1">
        <v>1.8035390199637E-2</v>
      </c>
      <c r="D2716" s="1">
        <v>9.6818810511756503E-3</v>
      </c>
      <c r="E2716" s="1">
        <v>3.4482758620689598E-3</v>
      </c>
      <c r="F2716" s="1">
        <v>1.6990538203276E-2</v>
      </c>
    </row>
    <row r="2717" spans="1:6" x14ac:dyDescent="0.25">
      <c r="A2717" s="2" t="str">
        <f t="shared" si="92"/>
        <v>49380</v>
      </c>
      <c r="B2717" s="2" t="str">
        <f>"56167"</f>
        <v>56167</v>
      </c>
      <c r="C2717" s="1">
        <v>2.80172413793103E-2</v>
      </c>
      <c r="D2717" s="1">
        <v>9.6818810511756503E-3</v>
      </c>
      <c r="E2717" s="1">
        <v>2.4137931034482699E-2</v>
      </c>
      <c r="F2717" s="1">
        <v>2.6554074676976201E-2</v>
      </c>
    </row>
    <row r="2718" spans="1:6" x14ac:dyDescent="0.25">
      <c r="A2718" s="2" t="str">
        <f t="shared" si="92"/>
        <v>49380</v>
      </c>
      <c r="B2718" s="2" t="str">
        <f>"56110"</f>
        <v>56110</v>
      </c>
      <c r="C2718" s="1">
        <v>9.3352994555353896E-2</v>
      </c>
      <c r="D2718" s="1">
        <v>4.0110650069156199E-2</v>
      </c>
      <c r="E2718" s="1">
        <v>4.4827586206896503E-2</v>
      </c>
      <c r="F2718" s="1">
        <v>8.8004883507986506E-2</v>
      </c>
    </row>
    <row r="2719" spans="1:6" x14ac:dyDescent="0.25">
      <c r="A2719" s="2" t="str">
        <f t="shared" si="92"/>
        <v>49380</v>
      </c>
      <c r="B2719" s="2" t="str">
        <f>"56137"</f>
        <v>56137</v>
      </c>
      <c r="C2719" s="1">
        <v>1.13430127041742E-4</v>
      </c>
      <c r="D2719" s="1">
        <v>0</v>
      </c>
      <c r="E2719" s="1">
        <v>0</v>
      </c>
      <c r="F2719" s="1">
        <v>1.01739749720215E-4</v>
      </c>
    </row>
    <row r="2720" spans="1:6" x14ac:dyDescent="0.25">
      <c r="A2720" s="2" t="str">
        <f t="shared" si="92"/>
        <v>49380</v>
      </c>
      <c r="B2720" s="2" t="str">
        <f>"56153"</f>
        <v>56153</v>
      </c>
      <c r="C2720" s="1">
        <v>0</v>
      </c>
      <c r="D2720" s="1">
        <v>0</v>
      </c>
      <c r="E2720" s="1">
        <v>3.4482758620689598E-3</v>
      </c>
      <c r="F2720" s="1">
        <v>1.01739749720215E-4</v>
      </c>
    </row>
    <row r="2721" spans="1:6" x14ac:dyDescent="0.25">
      <c r="A2721" s="2" t="str">
        <f t="shared" ref="A2721:A2767" si="93">"24220"</f>
        <v>24220</v>
      </c>
      <c r="B2721" s="2" t="str">
        <f>"58240"</f>
        <v>58240</v>
      </c>
      <c r="C2721" s="1">
        <v>8.9066582218351605E-4</v>
      </c>
      <c r="D2721" s="1">
        <v>0</v>
      </c>
      <c r="E2721" s="1">
        <v>0</v>
      </c>
      <c r="F2721" s="1">
        <v>7.4141197792239799E-4</v>
      </c>
    </row>
    <row r="2722" spans="1:6" x14ac:dyDescent="0.25">
      <c r="A2722" s="2" t="str">
        <f t="shared" si="93"/>
        <v>24220</v>
      </c>
      <c r="B2722" s="2" t="str">
        <f>"58207"</f>
        <v>58207</v>
      </c>
      <c r="C2722" s="1">
        <v>1.5834059061040201E-4</v>
      </c>
      <c r="D2722" s="1">
        <v>1.46198830409356E-4</v>
      </c>
      <c r="E2722" s="1">
        <v>0</v>
      </c>
      <c r="F2722" s="1">
        <v>1.4828239558447901E-4</v>
      </c>
    </row>
    <row r="2723" spans="1:6" x14ac:dyDescent="0.25">
      <c r="A2723" s="2" t="str">
        <f t="shared" si="93"/>
        <v>24220</v>
      </c>
      <c r="B2723" s="2" t="str">
        <f>"58278"</f>
        <v>58278</v>
      </c>
      <c r="C2723" s="1">
        <v>1.7278916950360199E-2</v>
      </c>
      <c r="D2723" s="1">
        <v>2.92397660818713E-3</v>
      </c>
      <c r="E2723" s="1">
        <v>2.7018913239267401E-3</v>
      </c>
      <c r="F2723" s="1">
        <v>1.48611912019111E-2</v>
      </c>
    </row>
    <row r="2724" spans="1:6" x14ac:dyDescent="0.25">
      <c r="A2724" s="2" t="str">
        <f t="shared" si="93"/>
        <v>24220</v>
      </c>
      <c r="B2724" s="2" t="str">
        <f>"58228"</f>
        <v>58228</v>
      </c>
      <c r="C2724" s="1">
        <v>1.21526403293484E-2</v>
      </c>
      <c r="D2724" s="1">
        <v>2.6315789473684201E-3</v>
      </c>
      <c r="E2724" s="1">
        <v>4.2029420594416004E-3</v>
      </c>
      <c r="F2724" s="1">
        <v>1.06433808386193E-2</v>
      </c>
    </row>
    <row r="2725" spans="1:6" x14ac:dyDescent="0.25">
      <c r="A2725" s="2" t="str">
        <f t="shared" si="93"/>
        <v>24220</v>
      </c>
      <c r="B2725" s="2" t="str">
        <f>"56542"</f>
        <v>56542</v>
      </c>
      <c r="C2725" s="1">
        <v>2.57501385480167E-2</v>
      </c>
      <c r="D2725" s="1">
        <v>1.6666666666666601E-2</v>
      </c>
      <c r="E2725" s="1">
        <v>1.44100870609426E-2</v>
      </c>
      <c r="F2725" s="1">
        <v>2.4104127193343702E-2</v>
      </c>
    </row>
    <row r="2726" spans="1:6" x14ac:dyDescent="0.25">
      <c r="A2726" s="2" t="str">
        <f t="shared" si="93"/>
        <v>24220</v>
      </c>
      <c r="B2726" s="2" t="str">
        <f>"56517"</f>
        <v>56517</v>
      </c>
      <c r="C2726" s="1">
        <v>2.27614599002454E-3</v>
      </c>
      <c r="D2726" s="1">
        <v>1.1695906432748499E-3</v>
      </c>
      <c r="E2726" s="1">
        <v>1.2008405884118801E-3</v>
      </c>
      <c r="F2726" s="1">
        <v>2.09242935991432E-3</v>
      </c>
    </row>
    <row r="2727" spans="1:6" x14ac:dyDescent="0.25">
      <c r="A2727" s="2" t="str">
        <f t="shared" si="93"/>
        <v>24220</v>
      </c>
      <c r="B2727" s="2" t="str">
        <f>"58275"</f>
        <v>58275</v>
      </c>
      <c r="C2727" s="1">
        <v>4.1366479296967703E-3</v>
      </c>
      <c r="D2727" s="1">
        <v>8.7719298245614004E-4</v>
      </c>
      <c r="E2727" s="1">
        <v>3.0021014710297198E-4</v>
      </c>
      <c r="F2727" s="1">
        <v>3.5587774940275098E-3</v>
      </c>
    </row>
    <row r="2728" spans="1:6" x14ac:dyDescent="0.25">
      <c r="A2728" s="2" t="str">
        <f t="shared" si="93"/>
        <v>24220</v>
      </c>
      <c r="B2728" s="2" t="str">
        <f>"58214"</f>
        <v>58214</v>
      </c>
      <c r="C2728" s="1">
        <v>3.87934446995487E-3</v>
      </c>
      <c r="D2728" s="1">
        <v>4.3859649122807002E-4</v>
      </c>
      <c r="E2728" s="1">
        <v>2.1014710297208002E-3</v>
      </c>
      <c r="F2728" s="1">
        <v>3.3940192767114201E-3</v>
      </c>
    </row>
    <row r="2729" spans="1:6" x14ac:dyDescent="0.25">
      <c r="A2729" s="2" t="str">
        <f t="shared" si="93"/>
        <v>24220</v>
      </c>
      <c r="B2729" s="2" t="str">
        <f>"58202"</f>
        <v>58202</v>
      </c>
      <c r="C2729" s="1">
        <v>0</v>
      </c>
      <c r="D2729" s="1">
        <v>0.39444444444444399</v>
      </c>
      <c r="E2729" s="1">
        <v>3.8426898829180399E-2</v>
      </c>
      <c r="F2729" s="1">
        <v>4.6560672213526597E-2</v>
      </c>
    </row>
    <row r="2730" spans="1:6" x14ac:dyDescent="0.25">
      <c r="A2730" s="2" t="str">
        <f t="shared" si="93"/>
        <v>24220</v>
      </c>
      <c r="B2730" s="2" t="str">
        <f>"56556"</f>
        <v>56556</v>
      </c>
      <c r="C2730" s="1">
        <v>1.0707782440028501E-2</v>
      </c>
      <c r="D2730" s="1">
        <v>1.02339181286549E-3</v>
      </c>
      <c r="E2730" s="1">
        <v>6.3044130891624101E-3</v>
      </c>
      <c r="F2730" s="1">
        <v>9.3747425652854401E-3</v>
      </c>
    </row>
    <row r="2731" spans="1:6" x14ac:dyDescent="0.25">
      <c r="A2731" s="2" t="str">
        <f t="shared" si="93"/>
        <v>24220</v>
      </c>
      <c r="B2731" s="2" t="str">
        <f>"58261"</f>
        <v>58261</v>
      </c>
      <c r="C2731" s="1">
        <v>8.3128810070461502E-4</v>
      </c>
      <c r="D2731" s="1">
        <v>0</v>
      </c>
      <c r="E2731" s="1">
        <v>0</v>
      </c>
      <c r="F2731" s="1">
        <v>6.9198451272757197E-4</v>
      </c>
    </row>
    <row r="2732" spans="1:6" x14ac:dyDescent="0.25">
      <c r="A2732" s="2" t="str">
        <f t="shared" si="93"/>
        <v>24220</v>
      </c>
      <c r="B2732" s="2" t="str">
        <f>"56750"</f>
        <v>56750</v>
      </c>
      <c r="C2732" s="1">
        <v>3.9585147652600698E-4</v>
      </c>
      <c r="D2732" s="1">
        <v>0</v>
      </c>
      <c r="E2732" s="1">
        <v>0</v>
      </c>
      <c r="F2732" s="1">
        <v>3.29516434632177E-4</v>
      </c>
    </row>
    <row r="2733" spans="1:6" x14ac:dyDescent="0.25">
      <c r="A2733" s="2" t="str">
        <f t="shared" si="93"/>
        <v>24220</v>
      </c>
      <c r="B2733" s="2" t="str">
        <f>"56646"</f>
        <v>56646</v>
      </c>
      <c r="C2733" s="1">
        <v>3.68141873169186E-3</v>
      </c>
      <c r="D2733" s="1">
        <v>0</v>
      </c>
      <c r="E2733" s="1">
        <v>6.0042029420594395E-4</v>
      </c>
      <c r="F2733" s="1">
        <v>3.0974544855424599E-3</v>
      </c>
    </row>
    <row r="2734" spans="1:6" x14ac:dyDescent="0.25">
      <c r="A2734" s="2" t="str">
        <f t="shared" si="93"/>
        <v>24220</v>
      </c>
      <c r="B2734" s="2" t="str">
        <f>"56651"</f>
        <v>56651</v>
      </c>
      <c r="C2734" s="1">
        <v>2.2365608423719398E-3</v>
      </c>
      <c r="D2734" s="1">
        <v>0</v>
      </c>
      <c r="E2734" s="1">
        <v>3.0021014710297198E-4</v>
      </c>
      <c r="F2734" s="1">
        <v>1.87824367740341E-3</v>
      </c>
    </row>
    <row r="2735" spans="1:6" x14ac:dyDescent="0.25">
      <c r="A2735" s="2" t="str">
        <f t="shared" si="93"/>
        <v>24220</v>
      </c>
      <c r="B2735" s="2" t="str">
        <f>"56568"</f>
        <v>56568</v>
      </c>
      <c r="C2735" s="1">
        <v>1.6427836275829299E-3</v>
      </c>
      <c r="D2735" s="1">
        <v>0</v>
      </c>
      <c r="E2735" s="1">
        <v>3.0021014710297198E-4</v>
      </c>
      <c r="F2735" s="1">
        <v>1.38396902545514E-3</v>
      </c>
    </row>
    <row r="2736" spans="1:6" x14ac:dyDescent="0.25">
      <c r="A2736" s="2" t="str">
        <f t="shared" si="93"/>
        <v>24220</v>
      </c>
      <c r="B2736" s="2" t="str">
        <f>"56540"</f>
        <v>56540</v>
      </c>
      <c r="C2736" s="1">
        <v>1.7278916950360199E-2</v>
      </c>
      <c r="D2736" s="1">
        <v>2.4853801169590602E-3</v>
      </c>
      <c r="E2736" s="1">
        <v>6.6046232362653801E-3</v>
      </c>
      <c r="F2736" s="1">
        <v>1.50259494192272E-2</v>
      </c>
    </row>
    <row r="2737" spans="1:6" x14ac:dyDescent="0.25">
      <c r="A2737" s="2" t="str">
        <f t="shared" si="93"/>
        <v>24220</v>
      </c>
      <c r="B2737" s="2" t="str">
        <f>"58233"</f>
        <v>58233</v>
      </c>
      <c r="C2737" s="1">
        <v>1.2469321510569201E-3</v>
      </c>
      <c r="D2737" s="1">
        <v>2.9239766081871302E-4</v>
      </c>
      <c r="E2737" s="1">
        <v>0</v>
      </c>
      <c r="F2737" s="1">
        <v>1.07092841255457E-3</v>
      </c>
    </row>
    <row r="2738" spans="1:6" x14ac:dyDescent="0.25">
      <c r="A2738" s="2" t="str">
        <f t="shared" si="93"/>
        <v>24220</v>
      </c>
      <c r="B2738" s="2" t="str">
        <f>"58266"</f>
        <v>58266</v>
      </c>
      <c r="C2738" s="1">
        <v>1.70216134906183E-3</v>
      </c>
      <c r="D2738" s="1">
        <v>2.9239766081871302E-4</v>
      </c>
      <c r="E2738" s="1">
        <v>3.0021014710297198E-4</v>
      </c>
      <c r="F2738" s="1">
        <v>1.4663481341131799E-3</v>
      </c>
    </row>
    <row r="2739" spans="1:6" x14ac:dyDescent="0.25">
      <c r="A2739" s="2" t="str">
        <f t="shared" si="93"/>
        <v>24220</v>
      </c>
      <c r="B2739" s="2" t="str">
        <f>"58267"</f>
        <v>58267</v>
      </c>
      <c r="C2739" s="1">
        <v>1.1578655688385699E-2</v>
      </c>
      <c r="D2739" s="1">
        <v>1.6081871345029199E-3</v>
      </c>
      <c r="E2739" s="1">
        <v>3.60252176523566E-3</v>
      </c>
      <c r="F2739" s="1">
        <v>1.00172996128181E-2</v>
      </c>
    </row>
    <row r="2740" spans="1:6" x14ac:dyDescent="0.25">
      <c r="A2740" s="2" t="str">
        <f t="shared" si="93"/>
        <v>24220</v>
      </c>
      <c r="B2740" s="2" t="str">
        <f>"58251"</f>
        <v>58251</v>
      </c>
      <c r="C2740" s="1">
        <v>1.1083841342728201E-2</v>
      </c>
      <c r="D2740" s="1">
        <v>2.4853801169590602E-3</v>
      </c>
      <c r="E2740" s="1">
        <v>4.8033623536475499E-3</v>
      </c>
      <c r="F2740" s="1">
        <v>9.7701622868440492E-3</v>
      </c>
    </row>
    <row r="2741" spans="1:6" x14ac:dyDescent="0.25">
      <c r="A2741" s="2" t="str">
        <f t="shared" si="93"/>
        <v>24220</v>
      </c>
      <c r="B2741" s="2" t="str">
        <f>"58204"</f>
        <v>58204</v>
      </c>
      <c r="C2741" s="1">
        <v>1.0846330456812599E-2</v>
      </c>
      <c r="D2741" s="1">
        <v>7.3099415204678304E-4</v>
      </c>
      <c r="E2741" s="1">
        <v>0.141098769138396</v>
      </c>
      <c r="F2741" s="1">
        <v>1.68547656314358E-2</v>
      </c>
    </row>
    <row r="2742" spans="1:6" x14ac:dyDescent="0.25">
      <c r="A2742" s="2" t="str">
        <f t="shared" si="93"/>
        <v>24220</v>
      </c>
      <c r="B2742" s="2" t="str">
        <f>"58201"</f>
        <v>58201</v>
      </c>
      <c r="C2742" s="1">
        <v>0.40434249069749001</v>
      </c>
      <c r="D2742" s="1">
        <v>0.23523391812865399</v>
      </c>
      <c r="E2742" s="1">
        <v>0.37256079255478802</v>
      </c>
      <c r="F2742" s="1">
        <v>0.383540654090122</v>
      </c>
    </row>
    <row r="2743" spans="1:6" x14ac:dyDescent="0.25">
      <c r="A2743" s="2" t="str">
        <f t="shared" si="93"/>
        <v>24220</v>
      </c>
      <c r="B2743" s="2" t="str">
        <f>"56762"</f>
        <v>56762</v>
      </c>
      <c r="C2743" s="1">
        <v>3.9189296176074702E-3</v>
      </c>
      <c r="D2743" s="1">
        <v>2.1929824561403499E-3</v>
      </c>
      <c r="E2743" s="1">
        <v>0</v>
      </c>
      <c r="F2743" s="1">
        <v>3.5093500288326798E-3</v>
      </c>
    </row>
    <row r="2744" spans="1:6" x14ac:dyDescent="0.25">
      <c r="A2744" s="2" t="str">
        <f t="shared" si="93"/>
        <v>24220</v>
      </c>
      <c r="B2744" s="2" t="str">
        <f>"56721"</f>
        <v>56721</v>
      </c>
      <c r="C2744" s="1">
        <v>9.7161744913308506E-2</v>
      </c>
      <c r="D2744" s="1">
        <v>5.9795321637426901E-2</v>
      </c>
      <c r="E2744" s="1">
        <v>5.3737616331432002E-2</v>
      </c>
      <c r="F2744" s="1">
        <v>9.0567592058653903E-2</v>
      </c>
    </row>
    <row r="2745" spans="1:6" x14ac:dyDescent="0.25">
      <c r="A2745" s="2" t="str">
        <f t="shared" si="93"/>
        <v>24220</v>
      </c>
      <c r="B2745" s="2" t="str">
        <f>"56684"</f>
        <v>56684</v>
      </c>
      <c r="C2745" s="1">
        <v>4.0376850605652699E-3</v>
      </c>
      <c r="D2745" s="1">
        <v>1.46198830409356E-4</v>
      </c>
      <c r="E2745" s="1">
        <v>6.0042029420594395E-4</v>
      </c>
      <c r="F2745" s="1">
        <v>3.4104950984430301E-3</v>
      </c>
    </row>
    <row r="2746" spans="1:6" x14ac:dyDescent="0.25">
      <c r="A2746" s="2" t="str">
        <f t="shared" si="93"/>
        <v>24220</v>
      </c>
      <c r="B2746" s="2" t="str">
        <f>"56523"</f>
        <v>56523</v>
      </c>
      <c r="C2746" s="1">
        <v>4.2949885203071797E-3</v>
      </c>
      <c r="D2746" s="1">
        <v>2.9239766081871302E-4</v>
      </c>
      <c r="E2746" s="1">
        <v>2.1014710297208002E-3</v>
      </c>
      <c r="F2746" s="1">
        <v>3.7235357113435999E-3</v>
      </c>
    </row>
    <row r="2747" spans="1:6" x14ac:dyDescent="0.25">
      <c r="A2747" s="2" t="str">
        <f t="shared" si="93"/>
        <v>24220</v>
      </c>
      <c r="B2747" s="2" t="str">
        <f>"58205"</f>
        <v>58205</v>
      </c>
      <c r="C2747" s="1">
        <v>1.9792573826300298E-5</v>
      </c>
      <c r="D2747" s="1">
        <v>1.46198830409356E-4</v>
      </c>
      <c r="E2747" s="1">
        <v>5.1035725007505202E-2</v>
      </c>
      <c r="F2747" s="1">
        <v>2.8338413378367201E-3</v>
      </c>
    </row>
    <row r="2748" spans="1:6" x14ac:dyDescent="0.25">
      <c r="A2748" s="2" t="str">
        <f t="shared" si="93"/>
        <v>24220</v>
      </c>
      <c r="B2748" s="2" t="str">
        <f>"58235"</f>
        <v>58235</v>
      </c>
      <c r="C2748" s="1">
        <v>2.0188425302826302E-3</v>
      </c>
      <c r="D2748" s="1">
        <v>1.02339181286549E-3</v>
      </c>
      <c r="E2748" s="1">
        <v>1.2008405884118801E-3</v>
      </c>
      <c r="F2748" s="1">
        <v>1.8617678556718E-3</v>
      </c>
    </row>
    <row r="2749" spans="1:6" x14ac:dyDescent="0.25">
      <c r="A2749" s="2" t="str">
        <f t="shared" si="93"/>
        <v>24220</v>
      </c>
      <c r="B2749" s="2" t="str">
        <f>"56742"</f>
        <v>56742</v>
      </c>
      <c r="C2749" s="1">
        <v>1.18755442957802E-4</v>
      </c>
      <c r="D2749" s="1">
        <v>0</v>
      </c>
      <c r="E2749" s="1">
        <v>0</v>
      </c>
      <c r="F2749" s="1">
        <v>9.8854930389653096E-5</v>
      </c>
    </row>
    <row r="2750" spans="1:6" x14ac:dyDescent="0.25">
      <c r="A2750" s="2" t="str">
        <f t="shared" si="93"/>
        <v>24220</v>
      </c>
      <c r="B2750" s="2" t="str">
        <f>"56716"</f>
        <v>56716</v>
      </c>
      <c r="C2750" s="1">
        <v>8.5286200617528299E-2</v>
      </c>
      <c r="D2750" s="1">
        <v>5.3508771929824499E-2</v>
      </c>
      <c r="E2750" s="1">
        <v>7.8655058540978595E-2</v>
      </c>
      <c r="F2750" s="1">
        <v>8.1341131888952894E-2</v>
      </c>
    </row>
    <row r="2751" spans="1:6" x14ac:dyDescent="0.25">
      <c r="A2751" s="2" t="str">
        <f t="shared" si="93"/>
        <v>24220</v>
      </c>
      <c r="B2751" s="2" t="str">
        <f>"56535"</f>
        <v>56535</v>
      </c>
      <c r="C2751" s="1">
        <v>1.4507956614678101E-2</v>
      </c>
      <c r="D2751" s="1">
        <v>4.0935672514619799E-3</v>
      </c>
      <c r="E2751" s="1">
        <v>5.4037826478534898E-3</v>
      </c>
      <c r="F2751" s="1">
        <v>1.2834665128923299E-2</v>
      </c>
    </row>
    <row r="2752" spans="1:6" x14ac:dyDescent="0.25">
      <c r="A2752" s="2" t="str">
        <f t="shared" si="93"/>
        <v>24220</v>
      </c>
      <c r="B2752" s="2" t="str">
        <f>"58212"</f>
        <v>58212</v>
      </c>
      <c r="C2752" s="1">
        <v>3.36473755047106E-4</v>
      </c>
      <c r="D2752" s="1">
        <v>0</v>
      </c>
      <c r="E2752" s="1">
        <v>0</v>
      </c>
      <c r="F2752" s="1">
        <v>2.8008896943735001E-4</v>
      </c>
    </row>
    <row r="2753" spans="1:6" x14ac:dyDescent="0.25">
      <c r="A2753" s="2" t="str">
        <f t="shared" si="93"/>
        <v>24220</v>
      </c>
      <c r="B2753" s="2" t="str">
        <f>"58231"</f>
        <v>58231</v>
      </c>
      <c r="C2753" s="1">
        <v>5.9377721478901099E-4</v>
      </c>
      <c r="D2753" s="1">
        <v>1.46198830409356E-4</v>
      </c>
      <c r="E2753" s="1">
        <v>0</v>
      </c>
      <c r="F2753" s="1">
        <v>5.10750473679874E-4</v>
      </c>
    </row>
    <row r="2754" spans="1:6" x14ac:dyDescent="0.25">
      <c r="A2754" s="2" t="str">
        <f t="shared" si="93"/>
        <v>24220</v>
      </c>
      <c r="B2754" s="2" t="str">
        <f>"58256"</f>
        <v>58256</v>
      </c>
      <c r="C2754" s="1">
        <v>7.5805557754730401E-3</v>
      </c>
      <c r="D2754" s="1">
        <v>5.8479532163742604E-4</v>
      </c>
      <c r="E2754" s="1">
        <v>9.0063044130891598E-4</v>
      </c>
      <c r="F2754" s="1">
        <v>6.4255704753274504E-3</v>
      </c>
    </row>
    <row r="2755" spans="1:6" x14ac:dyDescent="0.25">
      <c r="A2755" s="2" t="str">
        <f t="shared" si="93"/>
        <v>24220</v>
      </c>
      <c r="B2755" s="2" t="str">
        <f>"58203"</f>
        <v>58203</v>
      </c>
      <c r="C2755" s="1">
        <v>0.16400126672472401</v>
      </c>
      <c r="D2755" s="1">
        <v>0.124707602339181</v>
      </c>
      <c r="E2755" s="1">
        <v>0.19873911738216701</v>
      </c>
      <c r="F2755" s="1">
        <v>0.16147952879149799</v>
      </c>
    </row>
    <row r="2756" spans="1:6" x14ac:dyDescent="0.25">
      <c r="A2756" s="2" t="str">
        <f t="shared" si="93"/>
        <v>24220</v>
      </c>
      <c r="B2756" s="2" t="str">
        <f>"56722"</f>
        <v>56722</v>
      </c>
      <c r="C2756" s="1">
        <v>3.2459821075132601E-3</v>
      </c>
      <c r="D2756" s="1">
        <v>7.3099415204678304E-4</v>
      </c>
      <c r="E2756" s="1">
        <v>3.0021014710297198E-4</v>
      </c>
      <c r="F2756" s="1">
        <v>2.8008896943735001E-3</v>
      </c>
    </row>
    <row r="2757" spans="1:6" x14ac:dyDescent="0.25">
      <c r="A2757" s="2" t="str">
        <f t="shared" si="93"/>
        <v>24220</v>
      </c>
      <c r="B2757" s="2" t="str">
        <f>"56644"</f>
        <v>56644</v>
      </c>
      <c r="C2757" s="1">
        <v>3.36473755047106E-4</v>
      </c>
      <c r="D2757" s="1">
        <v>0</v>
      </c>
      <c r="E2757" s="1">
        <v>0</v>
      </c>
      <c r="F2757" s="1">
        <v>2.8008896943735001E-4</v>
      </c>
    </row>
    <row r="2758" spans="1:6" x14ac:dyDescent="0.25">
      <c r="A2758" s="2" t="str">
        <f t="shared" si="93"/>
        <v>24220</v>
      </c>
      <c r="B2758" s="2" t="str">
        <f>"56710"</f>
        <v>56710</v>
      </c>
      <c r="C2758" s="1">
        <v>2.37510885915604E-4</v>
      </c>
      <c r="D2758" s="1">
        <v>0</v>
      </c>
      <c r="E2758" s="1">
        <v>0</v>
      </c>
      <c r="F2758" s="1">
        <v>1.97709860779306E-4</v>
      </c>
    </row>
    <row r="2759" spans="1:6" x14ac:dyDescent="0.25">
      <c r="A2759" s="2" t="str">
        <f t="shared" si="93"/>
        <v>24220</v>
      </c>
      <c r="B2759" s="2" t="str">
        <f>"58258"</f>
        <v>58258</v>
      </c>
      <c r="C2759" s="1">
        <v>2.17718312089304E-3</v>
      </c>
      <c r="D2759" s="1">
        <v>1.46198830409356E-4</v>
      </c>
      <c r="E2759" s="1">
        <v>3.0021014710297198E-4</v>
      </c>
      <c r="F2759" s="1">
        <v>1.84529203394019E-3</v>
      </c>
    </row>
    <row r="2760" spans="1:6" x14ac:dyDescent="0.25">
      <c r="A2760" s="2" t="str">
        <f t="shared" si="93"/>
        <v>24220</v>
      </c>
      <c r="B2760" s="2" t="str">
        <f>"58244"</f>
        <v>58244</v>
      </c>
      <c r="C2760" s="1">
        <v>1.4844430369725201E-3</v>
      </c>
      <c r="D2760" s="1">
        <v>0</v>
      </c>
      <c r="E2760" s="1">
        <v>3.0021014710297198E-4</v>
      </c>
      <c r="F2760" s="1">
        <v>1.2521624516022699E-3</v>
      </c>
    </row>
    <row r="2761" spans="1:6" x14ac:dyDescent="0.25">
      <c r="A2761" s="2" t="str">
        <f t="shared" si="93"/>
        <v>24220</v>
      </c>
      <c r="B2761" s="2" t="str">
        <f>"58208"</f>
        <v>58208</v>
      </c>
      <c r="C2761" s="1">
        <v>2.9985749346845E-2</v>
      </c>
      <c r="D2761" s="1">
        <v>5.61403508771929E-2</v>
      </c>
      <c r="E2761" s="1">
        <v>6.0042029420594395E-4</v>
      </c>
      <c r="F2761" s="1">
        <v>3.13205371117884E-2</v>
      </c>
    </row>
    <row r="2762" spans="1:6" x14ac:dyDescent="0.25">
      <c r="A2762" s="2" t="str">
        <f t="shared" si="93"/>
        <v>24220</v>
      </c>
      <c r="B2762" s="2" t="str">
        <f>"56744"</f>
        <v>56744</v>
      </c>
      <c r="C2762" s="1">
        <v>8.1149552687831503E-4</v>
      </c>
      <c r="D2762" s="1">
        <v>0</v>
      </c>
      <c r="E2762" s="1">
        <v>0</v>
      </c>
      <c r="F2762" s="1">
        <v>6.7550869099596304E-4</v>
      </c>
    </row>
    <row r="2763" spans="1:6" x14ac:dyDescent="0.25">
      <c r="A2763" s="2" t="str">
        <f t="shared" si="93"/>
        <v>24220</v>
      </c>
      <c r="B2763" s="2" t="str">
        <f>"56736"</f>
        <v>56736</v>
      </c>
      <c r="C2763" s="1">
        <v>1.2330773493785099E-2</v>
      </c>
      <c r="D2763" s="1">
        <v>2.92397660818713E-3</v>
      </c>
      <c r="E2763" s="1">
        <v>2.1014710297208002E-3</v>
      </c>
      <c r="F2763" s="1">
        <v>1.07092841255457E-2</v>
      </c>
    </row>
    <row r="2764" spans="1:6" x14ac:dyDescent="0.25">
      <c r="A2764" s="2" t="str">
        <f t="shared" si="93"/>
        <v>24220</v>
      </c>
      <c r="B2764" s="2" t="str">
        <f>"56723"</f>
        <v>56723</v>
      </c>
      <c r="C2764" s="1">
        <v>7.1451191512944302E-3</v>
      </c>
      <c r="D2764" s="1">
        <v>2.9239766081871302E-4</v>
      </c>
      <c r="E2764" s="1">
        <v>1.50105073551486E-3</v>
      </c>
      <c r="F2764" s="1">
        <v>6.0631023972320596E-3</v>
      </c>
    </row>
    <row r="2765" spans="1:6" x14ac:dyDescent="0.25">
      <c r="A2765" s="2" t="str">
        <f t="shared" si="93"/>
        <v>24220</v>
      </c>
      <c r="B2765" s="2" t="str">
        <f>"56621"</f>
        <v>56621</v>
      </c>
      <c r="C2765" s="1">
        <v>5.5419206713641005E-4</v>
      </c>
      <c r="D2765" s="1">
        <v>0</v>
      </c>
      <c r="E2765" s="1">
        <v>0</v>
      </c>
      <c r="F2765" s="1">
        <v>4.6132300848504798E-4</v>
      </c>
    </row>
    <row r="2766" spans="1:6" x14ac:dyDescent="0.25">
      <c r="A2766" s="2" t="str">
        <f t="shared" si="93"/>
        <v>24220</v>
      </c>
      <c r="B2766" s="2" t="str">
        <f>"58206"</f>
        <v>58206</v>
      </c>
      <c r="C2766" s="1">
        <v>9.65877602723458E-3</v>
      </c>
      <c r="D2766" s="1">
        <v>2.8654970760233898E-2</v>
      </c>
      <c r="E2766" s="1">
        <v>6.0042029420594395E-4</v>
      </c>
      <c r="F2766" s="1">
        <v>1.13024137078836E-2</v>
      </c>
    </row>
    <row r="2767" spans="1:6" x14ac:dyDescent="0.25">
      <c r="A2767" s="2" t="str">
        <f t="shared" si="93"/>
        <v>24220</v>
      </c>
      <c r="B2767" s="2" t="str">
        <f>"56592"</f>
        <v>56592</v>
      </c>
      <c r="C2767" s="1">
        <v>4.05747763439157E-3</v>
      </c>
      <c r="D2767" s="1">
        <v>1.02339181286549E-3</v>
      </c>
      <c r="E2767" s="1">
        <v>2.1014710297208002E-3</v>
      </c>
      <c r="F2767" s="1">
        <v>3.6082049592223399E-3</v>
      </c>
    </row>
    <row r="2768" spans="1:6" x14ac:dyDescent="0.25">
      <c r="A2768" s="2" t="str">
        <f t="shared" ref="A2768:A2782" si="94">"26700"</f>
        <v>26700</v>
      </c>
      <c r="B2768" s="2" t="str">
        <f>"57399"</f>
        <v>57399</v>
      </c>
      <c r="C2768" s="1">
        <v>0</v>
      </c>
      <c r="D2768" s="1">
        <v>8.6206896551724104E-4</v>
      </c>
      <c r="E2768" s="1">
        <v>0</v>
      </c>
      <c r="F2768" s="1">
        <v>8.5763293310463102E-5</v>
      </c>
    </row>
    <row r="2769" spans="1:6" x14ac:dyDescent="0.25">
      <c r="A2769" s="2" t="str">
        <f t="shared" si="94"/>
        <v>26700</v>
      </c>
      <c r="B2769" s="2" t="str">
        <f>"57379"</f>
        <v>57379</v>
      </c>
      <c r="C2769" s="1">
        <v>5.2412974683544297E-3</v>
      </c>
      <c r="D2769" s="1">
        <v>0</v>
      </c>
      <c r="E2769" s="1">
        <v>2.5773195876288599E-3</v>
      </c>
      <c r="F2769" s="1">
        <v>4.6312178387650001E-3</v>
      </c>
    </row>
    <row r="2770" spans="1:6" x14ac:dyDescent="0.25">
      <c r="A2770" s="2" t="str">
        <f t="shared" si="94"/>
        <v>26700</v>
      </c>
      <c r="B2770" s="2" t="str">
        <f>"57382"</f>
        <v>57382</v>
      </c>
      <c r="C2770" s="1">
        <v>6.3884493670886E-2</v>
      </c>
      <c r="D2770" s="1">
        <v>4.1379310344827502E-2</v>
      </c>
      <c r="E2770" s="1">
        <v>5.6701030927835003E-2</v>
      </c>
      <c r="F2770" s="1">
        <v>6.1406518010291497E-2</v>
      </c>
    </row>
    <row r="2771" spans="1:6" x14ac:dyDescent="0.25">
      <c r="A2771" s="2" t="str">
        <f t="shared" si="94"/>
        <v>26700</v>
      </c>
      <c r="B2771" s="2" t="str">
        <f>"57385"</f>
        <v>57385</v>
      </c>
      <c r="C2771" s="1">
        <v>6.6257911392405E-3</v>
      </c>
      <c r="D2771" s="1">
        <v>1.7241379310344799E-3</v>
      </c>
      <c r="E2771" s="1">
        <v>0</v>
      </c>
      <c r="F2771" s="1">
        <v>5.9176672384219503E-3</v>
      </c>
    </row>
    <row r="2772" spans="1:6" x14ac:dyDescent="0.25">
      <c r="A2772" s="2" t="str">
        <f t="shared" si="94"/>
        <v>26700</v>
      </c>
      <c r="B2772" s="2" t="str">
        <f>"57384"</f>
        <v>57384</v>
      </c>
      <c r="C2772" s="1">
        <v>4.0545886075949299E-2</v>
      </c>
      <c r="D2772" s="1">
        <v>8.6206896551724102E-3</v>
      </c>
      <c r="E2772" s="1">
        <v>2.06185567010309E-2</v>
      </c>
      <c r="F2772" s="1">
        <v>3.6706689536878202E-2</v>
      </c>
    </row>
    <row r="2773" spans="1:6" x14ac:dyDescent="0.25">
      <c r="A2773" s="2" t="str">
        <f t="shared" si="94"/>
        <v>26700</v>
      </c>
      <c r="B2773" s="2" t="str">
        <f>"57322"</f>
        <v>57322</v>
      </c>
      <c r="C2773" s="1">
        <v>5.3401898734177196E-3</v>
      </c>
      <c r="D2773" s="1">
        <v>1.7241379310344799E-3</v>
      </c>
      <c r="E2773" s="1">
        <v>2.5773195876288599E-3</v>
      </c>
      <c r="F2773" s="1">
        <v>4.88850771869639E-3</v>
      </c>
    </row>
    <row r="2774" spans="1:6" x14ac:dyDescent="0.25">
      <c r="A2774" s="2" t="str">
        <f t="shared" si="94"/>
        <v>26700</v>
      </c>
      <c r="B2774" s="2" t="str">
        <f>"57348"</f>
        <v>57348</v>
      </c>
      <c r="C2774" s="1">
        <v>1.4833860759493601E-2</v>
      </c>
      <c r="D2774" s="1">
        <v>3.4482758620689598E-3</v>
      </c>
      <c r="E2774" s="1">
        <v>7.7319587628865904E-3</v>
      </c>
      <c r="F2774" s="1">
        <v>1.34648370497427E-2</v>
      </c>
    </row>
    <row r="2775" spans="1:6" x14ac:dyDescent="0.25">
      <c r="A2775" s="2" t="str">
        <f t="shared" si="94"/>
        <v>26700</v>
      </c>
      <c r="B2775" s="2" t="str">
        <f>"57312"</f>
        <v>57312</v>
      </c>
      <c r="C2775" s="1">
        <v>2.1064082278481E-2</v>
      </c>
      <c r="D2775" s="1">
        <v>6.03448275862068E-3</v>
      </c>
      <c r="E2775" s="1">
        <v>2.5773195876288599E-3</v>
      </c>
      <c r="F2775" s="1">
        <v>1.8953687821612299E-2</v>
      </c>
    </row>
    <row r="2776" spans="1:6" x14ac:dyDescent="0.25">
      <c r="A2776" s="2" t="str">
        <f t="shared" si="94"/>
        <v>26700</v>
      </c>
      <c r="B2776" s="2" t="str">
        <f>"57355"</f>
        <v>57355</v>
      </c>
      <c r="C2776" s="1">
        <v>1.28560126582278E-3</v>
      </c>
      <c r="D2776" s="1">
        <v>0</v>
      </c>
      <c r="E2776" s="1">
        <v>2.5773195876288599E-3</v>
      </c>
      <c r="F2776" s="1">
        <v>1.2006861063464801E-3</v>
      </c>
    </row>
    <row r="2777" spans="1:6" x14ac:dyDescent="0.25">
      <c r="A2777" s="2" t="str">
        <f t="shared" si="94"/>
        <v>26700</v>
      </c>
      <c r="B2777" s="2" t="str">
        <f>"57381"</f>
        <v>57381</v>
      </c>
      <c r="C2777" s="1">
        <v>1.6218354430379701E-2</v>
      </c>
      <c r="D2777" s="1">
        <v>6.8965517241379301E-3</v>
      </c>
      <c r="E2777" s="1">
        <v>1.8041237113402001E-2</v>
      </c>
      <c r="F2777" s="1">
        <v>1.53516295025728E-2</v>
      </c>
    </row>
    <row r="2778" spans="1:6" x14ac:dyDescent="0.25">
      <c r="A2778" s="2" t="str">
        <f t="shared" si="94"/>
        <v>26700</v>
      </c>
      <c r="B2778" s="2" t="str">
        <f>"57314"</f>
        <v>57314</v>
      </c>
      <c r="C2778" s="1">
        <v>9.8892405063291097E-5</v>
      </c>
      <c r="D2778" s="1">
        <v>0</v>
      </c>
      <c r="E2778" s="1">
        <v>0</v>
      </c>
      <c r="F2778" s="1">
        <v>8.5763293310463102E-5</v>
      </c>
    </row>
    <row r="2779" spans="1:6" x14ac:dyDescent="0.25">
      <c r="A2779" s="2" t="str">
        <f t="shared" si="94"/>
        <v>26700</v>
      </c>
      <c r="B2779" s="2" t="str">
        <f>"57386"</f>
        <v>57386</v>
      </c>
      <c r="C2779" s="1">
        <v>1.1273734177215101E-2</v>
      </c>
      <c r="D2779" s="1">
        <v>9.4827586206896498E-3</v>
      </c>
      <c r="E2779" s="1">
        <v>7.7319587628865904E-3</v>
      </c>
      <c r="F2779" s="1">
        <v>1.0977701543739201E-2</v>
      </c>
    </row>
    <row r="2780" spans="1:6" x14ac:dyDescent="0.25">
      <c r="A2780" s="2" t="str">
        <f t="shared" si="94"/>
        <v>26700</v>
      </c>
      <c r="B2780" s="2" t="str">
        <f>"57353"</f>
        <v>57353</v>
      </c>
      <c r="C2780" s="1">
        <v>1.11748417721518E-2</v>
      </c>
      <c r="D2780" s="1">
        <v>3.4482758620689598E-3</v>
      </c>
      <c r="E2780" s="1">
        <v>5.1546391752577301E-3</v>
      </c>
      <c r="F2780" s="1">
        <v>1.02058319039451E-2</v>
      </c>
    </row>
    <row r="2781" spans="1:6" x14ac:dyDescent="0.25">
      <c r="A2781" s="2" t="str">
        <f t="shared" si="94"/>
        <v>26700</v>
      </c>
      <c r="B2781" s="2" t="str">
        <f>"57324"</f>
        <v>57324</v>
      </c>
      <c r="C2781" s="1">
        <v>1.51305379746835E-2</v>
      </c>
      <c r="D2781" s="1">
        <v>3.4482758620689598E-3</v>
      </c>
      <c r="E2781" s="1">
        <v>1.8041237113402001E-2</v>
      </c>
      <c r="F2781" s="1">
        <v>1.40651801029159E-2</v>
      </c>
    </row>
    <row r="2782" spans="1:6" x14ac:dyDescent="0.25">
      <c r="A2782" s="2" t="str">
        <f t="shared" si="94"/>
        <v>26700</v>
      </c>
      <c r="B2782" s="2" t="str">
        <f>"57350"</f>
        <v>57350</v>
      </c>
      <c r="C2782" s="1">
        <v>0.78728243670886</v>
      </c>
      <c r="D2782" s="1">
        <v>0.91293103448275803</v>
      </c>
      <c r="E2782" s="1">
        <v>0.85567010309278302</v>
      </c>
      <c r="F2782" s="1">
        <v>0.80205831903945102</v>
      </c>
    </row>
    <row r="2783" spans="1:6" x14ac:dyDescent="0.25">
      <c r="A2783" s="2" t="str">
        <f t="shared" ref="A2783:A2808" si="95">"10100"</f>
        <v>10100</v>
      </c>
      <c r="B2783" s="2" t="str">
        <f>"57456"</f>
        <v>57456</v>
      </c>
      <c r="C2783" s="1">
        <v>4.7118691985110399E-5</v>
      </c>
      <c r="D2783" s="1">
        <v>0</v>
      </c>
      <c r="E2783" s="1">
        <v>0</v>
      </c>
      <c r="F2783" s="1">
        <v>3.9793076004775102E-5</v>
      </c>
    </row>
    <row r="2784" spans="1:6" x14ac:dyDescent="0.25">
      <c r="A2784" s="2" t="str">
        <f t="shared" si="95"/>
        <v>10100</v>
      </c>
      <c r="B2784" s="2" t="str">
        <f>"57461"</f>
        <v>57461</v>
      </c>
      <c r="C2784" s="1">
        <v>1.4135607595533101E-4</v>
      </c>
      <c r="D2784" s="1">
        <v>0</v>
      </c>
      <c r="E2784" s="1">
        <v>0</v>
      </c>
      <c r="F2784" s="1">
        <v>1.19379228014325E-4</v>
      </c>
    </row>
    <row r="2785" spans="1:6" x14ac:dyDescent="0.25">
      <c r="A2785" s="2" t="str">
        <f t="shared" si="95"/>
        <v>10100</v>
      </c>
      <c r="B2785" s="2" t="str">
        <f>"57428"</f>
        <v>57428</v>
      </c>
      <c r="C2785" s="1">
        <v>6.3610234179899104E-3</v>
      </c>
      <c r="D2785" s="1">
        <v>2.13583938487825E-3</v>
      </c>
      <c r="E2785" s="1">
        <v>4.4699872286079103E-3</v>
      </c>
      <c r="F2785" s="1">
        <v>5.8495821727019403E-3</v>
      </c>
    </row>
    <row r="2786" spans="1:6" x14ac:dyDescent="0.25">
      <c r="A2786" s="2" t="str">
        <f t="shared" si="95"/>
        <v>10100</v>
      </c>
      <c r="B2786" s="2" t="str">
        <f>"57433"</f>
        <v>57433</v>
      </c>
      <c r="C2786" s="1">
        <v>9.8478066248880898E-3</v>
      </c>
      <c r="D2786" s="1">
        <v>4.2716787697565101E-4</v>
      </c>
      <c r="E2786" s="1">
        <v>3.1928480204342202E-3</v>
      </c>
      <c r="F2786" s="1">
        <v>8.5555113410266601E-3</v>
      </c>
    </row>
    <row r="2787" spans="1:6" x14ac:dyDescent="0.25">
      <c r="A2787" s="2" t="str">
        <f t="shared" si="95"/>
        <v>10100</v>
      </c>
      <c r="B2787" s="2" t="str">
        <f>"57460"</f>
        <v>57460</v>
      </c>
      <c r="C2787" s="1">
        <v>6.3139047260048001E-3</v>
      </c>
      <c r="D2787" s="1">
        <v>0</v>
      </c>
      <c r="E2787" s="1">
        <v>0</v>
      </c>
      <c r="F2787" s="1">
        <v>5.3322721846398701E-3</v>
      </c>
    </row>
    <row r="2788" spans="1:6" x14ac:dyDescent="0.25">
      <c r="A2788" s="2" t="str">
        <f t="shared" si="95"/>
        <v>10100</v>
      </c>
      <c r="B2788" s="2" t="str">
        <f>"57434"</f>
        <v>57434</v>
      </c>
      <c r="C2788" s="1">
        <v>1.7433916034490799E-3</v>
      </c>
      <c r="D2788" s="1">
        <v>8.5433575395130201E-4</v>
      </c>
      <c r="E2788" s="1">
        <v>0</v>
      </c>
      <c r="F2788" s="1">
        <v>1.5519299641862301E-3</v>
      </c>
    </row>
    <row r="2789" spans="1:6" x14ac:dyDescent="0.25">
      <c r="A2789" s="2" t="str">
        <f t="shared" si="95"/>
        <v>10100</v>
      </c>
      <c r="B2789" s="2" t="str">
        <f>"57479"</f>
        <v>57479</v>
      </c>
      <c r="C2789" s="1">
        <v>1.05545870046647E-2</v>
      </c>
      <c r="D2789" s="1">
        <v>1.28150363092695E-3</v>
      </c>
      <c r="E2789" s="1">
        <v>1.2771392081736899E-3</v>
      </c>
      <c r="F2789" s="1">
        <v>9.1126144050935106E-3</v>
      </c>
    </row>
    <row r="2790" spans="1:6" x14ac:dyDescent="0.25">
      <c r="A2790" s="2" t="str">
        <f t="shared" si="95"/>
        <v>10100</v>
      </c>
      <c r="B2790" s="2" t="str">
        <f>"57451"</f>
        <v>57451</v>
      </c>
      <c r="C2790" s="1">
        <v>3.45380012250859E-2</v>
      </c>
      <c r="D2790" s="1">
        <v>1.32422041862451E-2</v>
      </c>
      <c r="E2790" s="1">
        <v>6.3856960408684499E-3</v>
      </c>
      <c r="F2790" s="1">
        <v>3.07998408276959E-2</v>
      </c>
    </row>
    <row r="2791" spans="1:6" x14ac:dyDescent="0.25">
      <c r="A2791" s="2" t="str">
        <f t="shared" si="95"/>
        <v>10100</v>
      </c>
      <c r="B2791" s="2" t="str">
        <f>"57466"</f>
        <v>57466</v>
      </c>
      <c r="C2791" s="1">
        <v>9.8949253168732006E-4</v>
      </c>
      <c r="D2791" s="1">
        <v>0</v>
      </c>
      <c r="E2791" s="1">
        <v>0</v>
      </c>
      <c r="F2791" s="1">
        <v>8.3565459610027799E-4</v>
      </c>
    </row>
    <row r="2792" spans="1:6" x14ac:dyDescent="0.25">
      <c r="A2792" s="2" t="str">
        <f t="shared" si="95"/>
        <v>10100</v>
      </c>
      <c r="B2792" s="2" t="str">
        <f>"57422"</f>
        <v>57422</v>
      </c>
      <c r="C2792" s="1">
        <v>2.8271215191066201E-4</v>
      </c>
      <c r="D2792" s="1">
        <v>0</v>
      </c>
      <c r="E2792" s="1">
        <v>0</v>
      </c>
      <c r="F2792" s="1">
        <v>2.3875845602865101E-4</v>
      </c>
    </row>
    <row r="2793" spans="1:6" x14ac:dyDescent="0.25">
      <c r="A2793" s="2" t="str">
        <f t="shared" si="95"/>
        <v>10100</v>
      </c>
      <c r="B2793" s="2" t="str">
        <f>"57481"</f>
        <v>57481</v>
      </c>
      <c r="C2793" s="1">
        <v>5.6071243462281397E-3</v>
      </c>
      <c r="D2793" s="1">
        <v>8.5433575395130201E-4</v>
      </c>
      <c r="E2793" s="1">
        <v>6.3856960408684496E-4</v>
      </c>
      <c r="F2793" s="1">
        <v>4.8547552725825699E-3</v>
      </c>
    </row>
    <row r="2794" spans="1:6" x14ac:dyDescent="0.25">
      <c r="A2794" s="2" t="str">
        <f t="shared" si="95"/>
        <v>10100</v>
      </c>
      <c r="B2794" s="2" t="str">
        <f>"57471"</f>
        <v>57471</v>
      </c>
      <c r="C2794" s="1">
        <v>1.22037412241436E-2</v>
      </c>
      <c r="D2794" s="1">
        <v>1.7086715079025999E-3</v>
      </c>
      <c r="E2794" s="1">
        <v>1.91570881226053E-3</v>
      </c>
      <c r="F2794" s="1">
        <v>1.05849582172701E-2</v>
      </c>
    </row>
    <row r="2795" spans="1:6" x14ac:dyDescent="0.25">
      <c r="A2795" s="2" t="str">
        <f t="shared" si="95"/>
        <v>10100</v>
      </c>
      <c r="B2795" s="2" t="str">
        <f>"57446"</f>
        <v>57446</v>
      </c>
      <c r="C2795" s="1">
        <v>1.37115393676671E-2</v>
      </c>
      <c r="D2795" s="1">
        <v>1.28150363092695E-3</v>
      </c>
      <c r="E2795" s="1">
        <v>6.3856960408684496E-4</v>
      </c>
      <c r="F2795" s="1">
        <v>1.17389574214086E-2</v>
      </c>
    </row>
    <row r="2796" spans="1:6" x14ac:dyDescent="0.25">
      <c r="A2796" s="2" t="str">
        <f t="shared" si="95"/>
        <v>10100</v>
      </c>
      <c r="B2796" s="2" t="str">
        <f>"57427"</f>
        <v>57427</v>
      </c>
      <c r="C2796" s="1">
        <v>1.26278094520096E-2</v>
      </c>
      <c r="D2796" s="1">
        <v>3.4173430158052102E-3</v>
      </c>
      <c r="E2796" s="1">
        <v>3.1928480204342202E-3</v>
      </c>
      <c r="F2796" s="1">
        <v>1.11818543573418E-2</v>
      </c>
    </row>
    <row r="2797" spans="1:6" x14ac:dyDescent="0.25">
      <c r="A2797" s="2" t="str">
        <f t="shared" si="95"/>
        <v>10100</v>
      </c>
      <c r="B2797" s="2" t="str">
        <f>"57432"</f>
        <v>57432</v>
      </c>
      <c r="C2797" s="1">
        <v>6.5966168779154604E-3</v>
      </c>
      <c r="D2797" s="1">
        <v>6.4075181546347703E-3</v>
      </c>
      <c r="E2797" s="1">
        <v>6.3856960408684496E-4</v>
      </c>
      <c r="F2797" s="1">
        <v>6.2077198567449202E-3</v>
      </c>
    </row>
    <row r="2798" spans="1:6" x14ac:dyDescent="0.25">
      <c r="A2798" s="2" t="str">
        <f t="shared" si="95"/>
        <v>10100</v>
      </c>
      <c r="B2798" s="2" t="str">
        <f>"57402"</f>
        <v>57402</v>
      </c>
      <c r="C2798" s="1">
        <v>3.99566508033736E-2</v>
      </c>
      <c r="D2798" s="1">
        <v>0.15976078598889301</v>
      </c>
      <c r="E2798" s="1">
        <v>1.2771392081736899E-3</v>
      </c>
      <c r="F2798" s="1">
        <v>4.87067250298448E-2</v>
      </c>
    </row>
    <row r="2799" spans="1:6" x14ac:dyDescent="0.25">
      <c r="A2799" s="2" t="str">
        <f t="shared" si="95"/>
        <v>10100</v>
      </c>
      <c r="B2799" s="2" t="str">
        <f>"57435"</f>
        <v>57435</v>
      </c>
      <c r="C2799" s="1">
        <v>7.0678037977665701E-4</v>
      </c>
      <c r="D2799" s="1">
        <v>0</v>
      </c>
      <c r="E2799" s="1">
        <v>0</v>
      </c>
      <c r="F2799" s="1">
        <v>5.9689614007162701E-4</v>
      </c>
    </row>
    <row r="2800" spans="1:6" x14ac:dyDescent="0.25">
      <c r="A2800" s="2" t="str">
        <f t="shared" si="95"/>
        <v>10100</v>
      </c>
      <c r="B2800" s="2" t="str">
        <f>"57475"</f>
        <v>57475</v>
      </c>
      <c r="C2800" s="1">
        <v>1.69627291146397E-3</v>
      </c>
      <c r="D2800" s="1">
        <v>0</v>
      </c>
      <c r="E2800" s="1">
        <v>6.3856960408684496E-4</v>
      </c>
      <c r="F2800" s="1">
        <v>1.4723438121766799E-3</v>
      </c>
    </row>
    <row r="2801" spans="1:6" x14ac:dyDescent="0.25">
      <c r="A2801" s="2" t="str">
        <f t="shared" si="95"/>
        <v>10100</v>
      </c>
      <c r="B2801" s="2" t="str">
        <f>"57449"</f>
        <v>57449</v>
      </c>
      <c r="C2801" s="1">
        <v>4.8061065824812699E-3</v>
      </c>
      <c r="D2801" s="1">
        <v>8.5433575395130201E-4</v>
      </c>
      <c r="E2801" s="1">
        <v>0</v>
      </c>
      <c r="F2801" s="1">
        <v>4.13847990449661E-3</v>
      </c>
    </row>
    <row r="2802" spans="1:6" x14ac:dyDescent="0.25">
      <c r="A2802" s="2" t="str">
        <f t="shared" si="95"/>
        <v>10100</v>
      </c>
      <c r="B2802" s="2" t="str">
        <f>"57448"</f>
        <v>57448</v>
      </c>
      <c r="C2802" s="1">
        <v>4.3820383546152699E-3</v>
      </c>
      <c r="D2802" s="1">
        <v>4.2716787697565101E-4</v>
      </c>
      <c r="E2802" s="1">
        <v>6.3856960408684496E-4</v>
      </c>
      <c r="F2802" s="1">
        <v>3.7803422204536401E-3</v>
      </c>
    </row>
    <row r="2803" spans="1:6" x14ac:dyDescent="0.25">
      <c r="A2803" s="2" t="str">
        <f t="shared" si="95"/>
        <v>10100</v>
      </c>
      <c r="B2803" s="2" t="str">
        <f>"57439"</f>
        <v>57439</v>
      </c>
      <c r="C2803" s="1">
        <v>8.9525514771709904E-4</v>
      </c>
      <c r="D2803" s="1">
        <v>0</v>
      </c>
      <c r="E2803" s="1">
        <v>6.3856960408684496E-4</v>
      </c>
      <c r="F2803" s="1">
        <v>7.9586152009550304E-4</v>
      </c>
    </row>
    <row r="2804" spans="1:6" x14ac:dyDescent="0.25">
      <c r="A2804" s="2" t="str">
        <f t="shared" si="95"/>
        <v>10100</v>
      </c>
      <c r="B2804" s="2" t="str">
        <f>"57426"</f>
        <v>57426</v>
      </c>
      <c r="C2804" s="1">
        <v>1.13084860764265E-3</v>
      </c>
      <c r="D2804" s="1">
        <v>0</v>
      </c>
      <c r="E2804" s="1">
        <v>6.3856960408684496E-4</v>
      </c>
      <c r="F2804" s="1">
        <v>9.9482690011937908E-4</v>
      </c>
    </row>
    <row r="2805" spans="1:6" x14ac:dyDescent="0.25">
      <c r="A2805" s="2" t="str">
        <f t="shared" si="95"/>
        <v>10100</v>
      </c>
      <c r="B2805" s="2" t="str">
        <f>"57401"</f>
        <v>57401</v>
      </c>
      <c r="C2805" s="1">
        <v>0.75969467087593601</v>
      </c>
      <c r="D2805" s="1">
        <v>0.78513455788124697</v>
      </c>
      <c r="E2805" s="1">
        <v>0.93550446998722803</v>
      </c>
      <c r="F2805" s="1">
        <v>0.77302029446876197</v>
      </c>
    </row>
    <row r="2806" spans="1:6" x14ac:dyDescent="0.25">
      <c r="A2806" s="2" t="str">
        <f t="shared" si="95"/>
        <v>10100</v>
      </c>
      <c r="B2806" s="2" t="str">
        <f>"57474"</f>
        <v>57474</v>
      </c>
      <c r="C2806" s="1">
        <v>5.8427178061537001E-3</v>
      </c>
      <c r="D2806" s="1">
        <v>2.9901751388295601E-3</v>
      </c>
      <c r="E2806" s="1">
        <v>1.2771392081736899E-3</v>
      </c>
      <c r="F2806" s="1">
        <v>5.2924791086350897E-3</v>
      </c>
    </row>
    <row r="2807" spans="1:6" x14ac:dyDescent="0.25">
      <c r="A2807" s="2" t="str">
        <f t="shared" si="95"/>
        <v>10100</v>
      </c>
      <c r="B2807" s="2" t="str">
        <f>"57445"</f>
        <v>57445</v>
      </c>
      <c r="C2807" s="1">
        <v>4.4574282617914497E-2</v>
      </c>
      <c r="D2807" s="1">
        <v>1.6232379325074701E-2</v>
      </c>
      <c r="E2807" s="1">
        <v>3.5759897828863303E-2</v>
      </c>
      <c r="F2807" s="1">
        <v>4.13847990449661E-2</v>
      </c>
    </row>
    <row r="2808" spans="1:6" x14ac:dyDescent="0.25">
      <c r="A2808" s="2" t="str">
        <f t="shared" si="95"/>
        <v>10100</v>
      </c>
      <c r="B2808" s="2" t="str">
        <f>"57441"</f>
        <v>57441</v>
      </c>
      <c r="C2808" s="1">
        <v>1.47481505913395E-2</v>
      </c>
      <c r="D2808" s="1">
        <v>2.9901751388295601E-3</v>
      </c>
      <c r="E2808" s="1">
        <v>1.2771392081736899E-3</v>
      </c>
      <c r="F2808" s="1">
        <v>1.2813370473537601E-2</v>
      </c>
    </row>
    <row r="2809" spans="1:6" x14ac:dyDescent="0.25">
      <c r="A2809" s="2" t="str">
        <f t="shared" ref="A2809:A2822" si="96">"14580"</f>
        <v>14580</v>
      </c>
      <c r="B2809" s="2" t="str">
        <f>"59771"</f>
        <v>59771</v>
      </c>
      <c r="C2809" s="1">
        <v>2.7055815935236399E-2</v>
      </c>
      <c r="D2809" s="1">
        <v>0.101149150107732</v>
      </c>
      <c r="E2809" s="1">
        <v>3.5285815102328801E-4</v>
      </c>
      <c r="F2809" s="1">
        <v>3.3702914001421398E-2</v>
      </c>
    </row>
    <row r="2810" spans="1:6" x14ac:dyDescent="0.25">
      <c r="A2810" s="2" t="str">
        <f t="shared" si="96"/>
        <v>14580</v>
      </c>
      <c r="B2810" s="2" t="str">
        <f>"59741"</f>
        <v>59741</v>
      </c>
      <c r="C2810" s="1">
        <v>3.5701604885669598E-2</v>
      </c>
      <c r="D2810" s="1">
        <v>4.90782858510892E-3</v>
      </c>
      <c r="E2810" s="1">
        <v>2.2230063514467099E-2</v>
      </c>
      <c r="F2810" s="1">
        <v>3.0959488272921099E-2</v>
      </c>
    </row>
    <row r="2811" spans="1:6" x14ac:dyDescent="0.25">
      <c r="A2811" s="2" t="str">
        <f t="shared" si="96"/>
        <v>14580</v>
      </c>
      <c r="B2811" s="2" t="str">
        <f>"59760"</f>
        <v>59760</v>
      </c>
      <c r="C2811" s="1">
        <v>3.5506320124982202E-5</v>
      </c>
      <c r="D2811" s="1">
        <v>0</v>
      </c>
      <c r="E2811" s="1">
        <v>1.76429075511644E-4</v>
      </c>
      <c r="F2811" s="1">
        <v>4.2643923240938098E-5</v>
      </c>
    </row>
    <row r="2812" spans="1:6" x14ac:dyDescent="0.25">
      <c r="A2812" s="2" t="str">
        <f t="shared" si="96"/>
        <v>14580</v>
      </c>
      <c r="B2812" s="2" t="str">
        <f>"59772"</f>
        <v>59772</v>
      </c>
      <c r="C2812" s="1">
        <v>1.0367845476494801E-2</v>
      </c>
      <c r="D2812" s="1">
        <v>3.7107972228872299E-2</v>
      </c>
      <c r="E2812" s="1">
        <v>3.5285815102328801E-4</v>
      </c>
      <c r="F2812" s="1">
        <v>1.27363184079601E-2</v>
      </c>
    </row>
    <row r="2813" spans="1:6" x14ac:dyDescent="0.25">
      <c r="A2813" s="2" t="str">
        <f t="shared" si="96"/>
        <v>14580</v>
      </c>
      <c r="B2813" s="2" t="str">
        <f>"59719"</f>
        <v>59719</v>
      </c>
      <c r="C2813" s="1">
        <v>1.482388865218E-2</v>
      </c>
      <c r="D2813" s="1">
        <v>6.0569786928417503E-2</v>
      </c>
      <c r="E2813" s="1">
        <v>3.5285815102328801E-4</v>
      </c>
      <c r="F2813" s="1">
        <v>1.90902629708599E-2</v>
      </c>
    </row>
    <row r="2814" spans="1:6" x14ac:dyDescent="0.25">
      <c r="A2814" s="2" t="str">
        <f t="shared" si="96"/>
        <v>14580</v>
      </c>
      <c r="B2814" s="2" t="str">
        <f>"59718"</f>
        <v>59718</v>
      </c>
      <c r="C2814" s="1">
        <v>0.35220494247976097</v>
      </c>
      <c r="D2814" s="1">
        <v>0.24144122576011401</v>
      </c>
      <c r="E2814" s="1">
        <v>0.447776993648553</v>
      </c>
      <c r="F2814" s="1">
        <v>0.346751954513148</v>
      </c>
    </row>
    <row r="2815" spans="1:6" x14ac:dyDescent="0.25">
      <c r="A2815" s="2" t="str">
        <f t="shared" si="96"/>
        <v>14580</v>
      </c>
      <c r="B2815" s="2" t="str">
        <f>"59714"</f>
        <v>59714</v>
      </c>
      <c r="C2815" s="1">
        <v>0.172294418406476</v>
      </c>
      <c r="D2815" s="1">
        <v>0.16650706248503699</v>
      </c>
      <c r="E2815" s="1">
        <v>0.203069865913902</v>
      </c>
      <c r="F2815" s="1">
        <v>0.17408670931058901</v>
      </c>
    </row>
    <row r="2816" spans="1:6" x14ac:dyDescent="0.25">
      <c r="A2816" s="2" t="str">
        <f t="shared" si="96"/>
        <v>14580</v>
      </c>
      <c r="B2816" s="2" t="str">
        <f>"59715"</f>
        <v>59715</v>
      </c>
      <c r="C2816" s="1">
        <v>0.28337594091748303</v>
      </c>
      <c r="D2816" s="1">
        <v>0.3245152022983</v>
      </c>
      <c r="E2816" s="1">
        <v>0.297635850388143</v>
      </c>
      <c r="F2816" s="1">
        <v>0.28941009239516702</v>
      </c>
    </row>
    <row r="2817" spans="1:6" x14ac:dyDescent="0.25">
      <c r="A2817" s="2" t="str">
        <f t="shared" si="96"/>
        <v>14580</v>
      </c>
      <c r="B2817" s="2" t="str">
        <f>"59086"</f>
        <v>59086</v>
      </c>
      <c r="C2817" s="1">
        <v>6.03607442124698E-4</v>
      </c>
      <c r="D2817" s="1">
        <v>0</v>
      </c>
      <c r="E2817" s="1">
        <v>0</v>
      </c>
      <c r="F2817" s="1">
        <v>4.8329779673063198E-4</v>
      </c>
    </row>
    <row r="2818" spans="1:6" x14ac:dyDescent="0.25">
      <c r="A2818" s="2" t="str">
        <f t="shared" si="96"/>
        <v>14580</v>
      </c>
      <c r="B2818" s="2" t="str">
        <f>"59758"</f>
        <v>59758</v>
      </c>
      <c r="C2818" s="1">
        <v>2.1250532594801801E-2</v>
      </c>
      <c r="D2818" s="1">
        <v>6.3442662197749503E-3</v>
      </c>
      <c r="E2818" s="1">
        <v>1.6231474947071198E-2</v>
      </c>
      <c r="F2818" s="1">
        <v>1.9076048329779601E-2</v>
      </c>
    </row>
    <row r="2819" spans="1:6" x14ac:dyDescent="0.25">
      <c r="A2819" s="2" t="str">
        <f t="shared" si="96"/>
        <v>14580</v>
      </c>
      <c r="B2819" s="2" t="str">
        <f>"59716"</f>
        <v>59716</v>
      </c>
      <c r="C2819" s="1">
        <v>2.8706859821048099E-2</v>
      </c>
      <c r="D2819" s="1">
        <v>3.2080440507541198E-2</v>
      </c>
      <c r="E2819" s="1">
        <v>3.1757233592095901E-3</v>
      </c>
      <c r="F2819" s="1">
        <v>2.7050461975835102E-2</v>
      </c>
    </row>
    <row r="2820" spans="1:6" x14ac:dyDescent="0.25">
      <c r="A2820" s="2" t="str">
        <f t="shared" si="96"/>
        <v>14580</v>
      </c>
      <c r="B2820" s="2" t="str">
        <f>"59730"</f>
        <v>59730</v>
      </c>
      <c r="C2820" s="1">
        <v>2.5600056810112098E-2</v>
      </c>
      <c r="D2820" s="1">
        <v>2.2384486473545601E-2</v>
      </c>
      <c r="E2820" s="1">
        <v>3.5285815102328801E-3</v>
      </c>
      <c r="F2820" s="1">
        <v>2.3439943141435601E-2</v>
      </c>
    </row>
    <row r="2821" spans="1:6" x14ac:dyDescent="0.25">
      <c r="A2821" s="2" t="str">
        <f t="shared" si="96"/>
        <v>14580</v>
      </c>
      <c r="B2821" s="2" t="str">
        <f>"59752"</f>
        <v>59752</v>
      </c>
      <c r="C2821" s="1">
        <v>2.7978980258486E-2</v>
      </c>
      <c r="D2821" s="1">
        <v>2.8728752693320501E-3</v>
      </c>
      <c r="E2821" s="1">
        <v>5.1164431898376803E-3</v>
      </c>
      <c r="F2821" s="1">
        <v>2.3155650319829399E-2</v>
      </c>
    </row>
    <row r="2822" spans="1:6" x14ac:dyDescent="0.25">
      <c r="A2822" s="2" t="str">
        <f t="shared" si="96"/>
        <v>14580</v>
      </c>
      <c r="B2822" s="2" t="str">
        <f>"59717"</f>
        <v>59717</v>
      </c>
      <c r="C2822" s="1">
        <v>0</v>
      </c>
      <c r="D2822" s="1">
        <v>1.19703136222169E-4</v>
      </c>
      <c r="E2822" s="1">
        <v>0</v>
      </c>
      <c r="F2822" s="1">
        <v>1.4214641080312699E-5</v>
      </c>
    </row>
    <row r="2823" spans="1:6" x14ac:dyDescent="0.25">
      <c r="A2823" s="2" t="str">
        <f t="shared" ref="A2823:A2842" si="97">"28060"</f>
        <v>28060</v>
      </c>
      <c r="B2823" s="2" t="str">
        <f>"59925"</f>
        <v>59925</v>
      </c>
      <c r="C2823" s="1">
        <v>1.25869330982466E-2</v>
      </c>
      <c r="D2823" s="1">
        <v>2.17045290117204E-3</v>
      </c>
      <c r="E2823" s="1">
        <v>4.2016806722688996E-3</v>
      </c>
      <c r="F2823" s="1">
        <v>1.13075511684469E-2</v>
      </c>
    </row>
    <row r="2824" spans="1:6" x14ac:dyDescent="0.25">
      <c r="A2824" s="2" t="str">
        <f t="shared" si="97"/>
        <v>28060</v>
      </c>
      <c r="B2824" s="2" t="str">
        <f>"59937"</f>
        <v>59937</v>
      </c>
      <c r="C2824" s="1">
        <v>0.18119633003558899</v>
      </c>
      <c r="D2824" s="1">
        <v>0.17971350021704499</v>
      </c>
      <c r="E2824" s="1">
        <v>0.198879551820728</v>
      </c>
      <c r="F2824" s="1">
        <v>0.18158931543089499</v>
      </c>
    </row>
    <row r="2825" spans="1:6" x14ac:dyDescent="0.25">
      <c r="A2825" s="2" t="str">
        <f t="shared" si="97"/>
        <v>28060</v>
      </c>
      <c r="B2825" s="2" t="str">
        <f>"59913"</f>
        <v>59913</v>
      </c>
      <c r="C2825" s="1">
        <v>3.26509289189277E-5</v>
      </c>
      <c r="D2825" s="1">
        <v>0</v>
      </c>
      <c r="E2825" s="1">
        <v>4.6685340802987799E-4</v>
      </c>
      <c r="F2825" s="1">
        <v>4.2670004409233703E-5</v>
      </c>
    </row>
    <row r="2826" spans="1:6" x14ac:dyDescent="0.25">
      <c r="A2826" s="2" t="str">
        <f t="shared" si="97"/>
        <v>28060</v>
      </c>
      <c r="B2826" s="2" t="str">
        <f>"59922"</f>
        <v>59922</v>
      </c>
      <c r="C2826" s="1">
        <v>1.8904887844059099E-2</v>
      </c>
      <c r="D2826" s="1">
        <v>6.3666618434379896E-3</v>
      </c>
      <c r="E2826" s="1">
        <v>1.07376283846872E-2</v>
      </c>
      <c r="F2826" s="1">
        <v>1.7423585133770399E-2</v>
      </c>
    </row>
    <row r="2827" spans="1:6" x14ac:dyDescent="0.25">
      <c r="A2827" s="2" t="str">
        <f t="shared" si="97"/>
        <v>28060</v>
      </c>
      <c r="B2827" s="2" t="str">
        <f>"59901"</f>
        <v>59901</v>
      </c>
      <c r="C2827" s="1">
        <v>0.42550690567146598</v>
      </c>
      <c r="D2827" s="1">
        <v>0.43466936767472097</v>
      </c>
      <c r="E2827" s="1">
        <v>0.58169934640522802</v>
      </c>
      <c r="F2827" s="1">
        <v>0.43116617122050399</v>
      </c>
    </row>
    <row r="2828" spans="1:6" x14ac:dyDescent="0.25">
      <c r="A2828" s="2" t="str">
        <f t="shared" si="97"/>
        <v>28060</v>
      </c>
      <c r="B2828" s="2" t="str">
        <f>"59903"</f>
        <v>59903</v>
      </c>
      <c r="C2828" s="1">
        <v>4.2266627485551898E-2</v>
      </c>
      <c r="D2828" s="1">
        <v>9.9985530313992099E-2</v>
      </c>
      <c r="E2828" s="1">
        <v>1.86741363211951E-3</v>
      </c>
      <c r="F2828" s="1">
        <v>4.6709431493307897E-2</v>
      </c>
    </row>
    <row r="2829" spans="1:6" x14ac:dyDescent="0.25">
      <c r="A2829" s="2" t="str">
        <f t="shared" si="97"/>
        <v>28060</v>
      </c>
      <c r="B2829" s="2" t="str">
        <f>"59917"</f>
        <v>59917</v>
      </c>
      <c r="C2829" s="1">
        <v>1.6325464459463799E-5</v>
      </c>
      <c r="D2829" s="1">
        <v>0</v>
      </c>
      <c r="E2829" s="1">
        <v>0</v>
      </c>
      <c r="F2829" s="1">
        <v>1.42233348030779E-5</v>
      </c>
    </row>
    <row r="2830" spans="1:6" x14ac:dyDescent="0.25">
      <c r="A2830" s="2" t="str">
        <f t="shared" si="97"/>
        <v>28060</v>
      </c>
      <c r="B2830" s="2" t="str">
        <f>"59921"</f>
        <v>59921</v>
      </c>
      <c r="C2830" s="1">
        <v>0</v>
      </c>
      <c r="D2830" s="1">
        <v>0</v>
      </c>
      <c r="E2830" s="1">
        <v>4.6685340802987799E-4</v>
      </c>
      <c r="F2830" s="1">
        <v>1.42233348030779E-5</v>
      </c>
    </row>
    <row r="2831" spans="1:6" x14ac:dyDescent="0.25">
      <c r="A2831" s="2" t="str">
        <f t="shared" si="97"/>
        <v>28060</v>
      </c>
      <c r="B2831" s="2" t="str">
        <f>"59932"</f>
        <v>59932</v>
      </c>
      <c r="C2831" s="1">
        <v>1.2978744245273699E-2</v>
      </c>
      <c r="D2831" s="1">
        <v>5.7878744031254498E-4</v>
      </c>
      <c r="E2831" s="1">
        <v>7.00280112044817E-3</v>
      </c>
      <c r="F2831" s="1">
        <v>1.15777945297054E-2</v>
      </c>
    </row>
    <row r="2832" spans="1:6" x14ac:dyDescent="0.25">
      <c r="A2832" s="2" t="str">
        <f t="shared" si="97"/>
        <v>28060</v>
      </c>
      <c r="B2832" s="2" t="str">
        <f>"59916"</f>
        <v>59916</v>
      </c>
      <c r="C2832" s="1">
        <v>2.6937016358115299E-3</v>
      </c>
      <c r="D2832" s="1">
        <v>1.4469686007813601E-3</v>
      </c>
      <c r="E2832" s="1">
        <v>0</v>
      </c>
      <c r="F2832" s="1">
        <v>2.4890835905386302E-3</v>
      </c>
    </row>
    <row r="2833" spans="1:6" x14ac:dyDescent="0.25">
      <c r="A2833" s="2" t="str">
        <f t="shared" si="97"/>
        <v>28060</v>
      </c>
      <c r="B2833" s="2" t="str">
        <f>"59936"</f>
        <v>59936</v>
      </c>
      <c r="C2833" s="1">
        <v>1.55091912364906E-3</v>
      </c>
      <c r="D2833" s="1">
        <v>1.44696860078136E-4</v>
      </c>
      <c r="E2833" s="1">
        <v>4.6685340802987799E-4</v>
      </c>
      <c r="F2833" s="1">
        <v>1.3796634758985501E-3</v>
      </c>
    </row>
    <row r="2834" spans="1:6" x14ac:dyDescent="0.25">
      <c r="A2834" s="2" t="str">
        <f t="shared" si="97"/>
        <v>28060</v>
      </c>
      <c r="B2834" s="2" t="str">
        <f>"59904"</f>
        <v>59904</v>
      </c>
      <c r="C2834" s="1">
        <v>3.6552714924739597E-2</v>
      </c>
      <c r="D2834" s="1">
        <v>8.1609029084068793E-2</v>
      </c>
      <c r="E2834" s="1">
        <v>9.3370681605975695E-4</v>
      </c>
      <c r="F2834" s="1">
        <v>3.9896454122633498E-2</v>
      </c>
    </row>
    <row r="2835" spans="1:6" x14ac:dyDescent="0.25">
      <c r="A2835" s="2" t="str">
        <f t="shared" si="97"/>
        <v>28060</v>
      </c>
      <c r="B2835" s="2" t="str">
        <f>"59928"</f>
        <v>59928</v>
      </c>
      <c r="C2835" s="1">
        <v>3.5263003232441901E-3</v>
      </c>
      <c r="D2835" s="1">
        <v>4.3409058023440798E-4</v>
      </c>
      <c r="E2835" s="1">
        <v>9.3370681605975695E-4</v>
      </c>
      <c r="F2835" s="1">
        <v>3.1433569914802199E-3</v>
      </c>
    </row>
    <row r="2836" spans="1:6" x14ac:dyDescent="0.25">
      <c r="A2836" s="2" t="str">
        <f t="shared" si="97"/>
        <v>28060</v>
      </c>
      <c r="B2836" s="2" t="str">
        <f>"59920"</f>
        <v>59920</v>
      </c>
      <c r="C2836" s="1">
        <v>1.68152283932477E-2</v>
      </c>
      <c r="D2836" s="1">
        <v>1.59166546085949E-3</v>
      </c>
      <c r="E2836" s="1">
        <v>3.73482726423902E-3</v>
      </c>
      <c r="F2836" s="1">
        <v>1.49202782084287E-2</v>
      </c>
    </row>
    <row r="2837" spans="1:6" x14ac:dyDescent="0.25">
      <c r="A2837" s="2" t="str">
        <f t="shared" si="97"/>
        <v>28060</v>
      </c>
      <c r="B2837" s="2" t="str">
        <f>"59911"</f>
        <v>59911</v>
      </c>
      <c r="C2837" s="1">
        <v>8.9186012342051105E-2</v>
      </c>
      <c r="D2837" s="1">
        <v>9.3763565330632306E-2</v>
      </c>
      <c r="E2837" s="1">
        <v>7.0494864612511601E-2</v>
      </c>
      <c r="F2837" s="1">
        <v>8.9066522536873902E-2</v>
      </c>
    </row>
    <row r="2838" spans="1:6" x14ac:dyDescent="0.25">
      <c r="A2838" s="2" t="str">
        <f t="shared" si="97"/>
        <v>28060</v>
      </c>
      <c r="B2838" s="2" t="str">
        <f>"59845"</f>
        <v>59845</v>
      </c>
      <c r="C2838" s="1">
        <v>1.95905573513566E-4</v>
      </c>
      <c r="D2838" s="1">
        <v>0</v>
      </c>
      <c r="E2838" s="1">
        <v>0</v>
      </c>
      <c r="F2838" s="1">
        <v>1.70680017636935E-4</v>
      </c>
    </row>
    <row r="2839" spans="1:6" x14ac:dyDescent="0.25">
      <c r="A2839" s="2" t="str">
        <f t="shared" si="97"/>
        <v>28060</v>
      </c>
      <c r="B2839" s="2" t="str">
        <f>"59927"</f>
        <v>59927</v>
      </c>
      <c r="C2839" s="1">
        <v>1.6325464459463799E-5</v>
      </c>
      <c r="D2839" s="1">
        <v>0</v>
      </c>
      <c r="E2839" s="1">
        <v>4.6685340802987799E-4</v>
      </c>
      <c r="F2839" s="1">
        <v>2.84466696061558E-5</v>
      </c>
    </row>
    <row r="2840" spans="1:6" x14ac:dyDescent="0.25">
      <c r="A2840" s="2" t="str">
        <f t="shared" si="97"/>
        <v>28060</v>
      </c>
      <c r="B2840" s="2" t="str">
        <f>"59926"</f>
        <v>59926</v>
      </c>
      <c r="C2840" s="1">
        <v>1.15910797662193E-3</v>
      </c>
      <c r="D2840" s="1">
        <v>1.3022717407032199E-3</v>
      </c>
      <c r="E2840" s="1">
        <v>4.6685340802987799E-4</v>
      </c>
      <c r="F2840" s="1">
        <v>1.1520901190493101E-3</v>
      </c>
    </row>
    <row r="2841" spans="1:6" x14ac:dyDescent="0.25">
      <c r="A2841" s="2" t="str">
        <f t="shared" si="97"/>
        <v>28060</v>
      </c>
      <c r="B2841" s="2" t="str">
        <f>"59919"</f>
        <v>59919</v>
      </c>
      <c r="C2841" s="1">
        <v>3.4936493943252601E-3</v>
      </c>
      <c r="D2841" s="1">
        <v>0</v>
      </c>
      <c r="E2841" s="1">
        <v>3.73482726423902E-3</v>
      </c>
      <c r="F2841" s="1">
        <v>3.1575803262833E-3</v>
      </c>
    </row>
    <row r="2842" spans="1:6" x14ac:dyDescent="0.25">
      <c r="A2842" s="2" t="str">
        <f t="shared" si="97"/>
        <v>28060</v>
      </c>
      <c r="B2842" s="2" t="str">
        <f>"59912"</f>
        <v>59912</v>
      </c>
      <c r="C2842" s="1">
        <v>0.15132073007477001</v>
      </c>
      <c r="D2842" s="1">
        <v>9.6223411951960602E-2</v>
      </c>
      <c r="E2842" s="1">
        <v>0.11344537815126</v>
      </c>
      <c r="F2842" s="1">
        <v>0.14475087829092401</v>
      </c>
    </row>
    <row r="2843" spans="1:6" x14ac:dyDescent="0.25">
      <c r="A2843" s="2" t="str">
        <f t="shared" ref="A2843:A2851" si="98">"19760"</f>
        <v>19760</v>
      </c>
      <c r="B2843" s="2" t="str">
        <f>"70637"</f>
        <v>70637</v>
      </c>
      <c r="C2843" s="1">
        <v>5.0690118480517798E-3</v>
      </c>
      <c r="D2843" s="1">
        <v>4.2283298097251501E-3</v>
      </c>
      <c r="E2843" s="1">
        <v>0</v>
      </c>
      <c r="F2843" s="1">
        <v>4.9454297407912602E-3</v>
      </c>
    </row>
    <row r="2844" spans="1:6" x14ac:dyDescent="0.25">
      <c r="A2844" s="2" t="str">
        <f t="shared" si="98"/>
        <v>19760</v>
      </c>
      <c r="B2844" s="2" t="str">
        <f>"70634"</f>
        <v>70634</v>
      </c>
      <c r="C2844" s="1">
        <v>0.63839013069500405</v>
      </c>
      <c r="D2844" s="1">
        <v>0.88266384778012597</v>
      </c>
      <c r="E2844" s="1">
        <v>0.95220588235294101</v>
      </c>
      <c r="F2844" s="1">
        <v>0.65637789904501997</v>
      </c>
    </row>
    <row r="2845" spans="1:6" x14ac:dyDescent="0.25">
      <c r="A2845" s="2" t="str">
        <f t="shared" si="98"/>
        <v>19760</v>
      </c>
      <c r="B2845" s="2" t="str">
        <f>"70657"</f>
        <v>70657</v>
      </c>
      <c r="C2845" s="1">
        <v>0.107670697447172</v>
      </c>
      <c r="D2845" s="1">
        <v>1.4799154334038001E-2</v>
      </c>
      <c r="E2845" s="1">
        <v>0</v>
      </c>
      <c r="F2845" s="1">
        <v>0.10101182355616101</v>
      </c>
    </row>
    <row r="2846" spans="1:6" x14ac:dyDescent="0.25">
      <c r="A2846" s="2" t="str">
        <f t="shared" si="98"/>
        <v>19760</v>
      </c>
      <c r="B2846" s="2" t="str">
        <f>"70652"</f>
        <v>70652</v>
      </c>
      <c r="C2846" s="1">
        <v>6.5347502137535096E-2</v>
      </c>
      <c r="D2846" s="1">
        <v>1.69133192389006E-2</v>
      </c>
      <c r="E2846" s="1">
        <v>2.94117647058823E-2</v>
      </c>
      <c r="F2846" s="1">
        <v>6.2187357889949897E-2</v>
      </c>
    </row>
    <row r="2847" spans="1:6" x14ac:dyDescent="0.25">
      <c r="A2847" s="2" t="str">
        <f t="shared" si="98"/>
        <v>19760</v>
      </c>
      <c r="B2847" s="2" t="str">
        <f>"70633"</f>
        <v>70633</v>
      </c>
      <c r="C2847" s="1">
        <v>2.8398680835470799E-2</v>
      </c>
      <c r="D2847" s="1">
        <v>7.3995771670190202E-3</v>
      </c>
      <c r="E2847" s="1">
        <v>3.6764705882352902E-3</v>
      </c>
      <c r="F2847" s="1">
        <v>2.6887221464301898E-2</v>
      </c>
    </row>
    <row r="2848" spans="1:6" x14ac:dyDescent="0.25">
      <c r="A2848" s="2" t="str">
        <f t="shared" si="98"/>
        <v>19760</v>
      </c>
      <c r="B2848" s="2" t="str">
        <f>"70661"</f>
        <v>70661</v>
      </c>
      <c r="C2848" s="1">
        <v>9.7715891046781401E-3</v>
      </c>
      <c r="D2848" s="1">
        <v>1.0570824524312799E-3</v>
      </c>
      <c r="E2848" s="1">
        <v>0</v>
      </c>
      <c r="F2848" s="1">
        <v>9.1518872214642992E-3</v>
      </c>
    </row>
    <row r="2849" spans="1:6" x14ac:dyDescent="0.25">
      <c r="A2849" s="2" t="str">
        <f t="shared" si="98"/>
        <v>19760</v>
      </c>
      <c r="B2849" s="2" t="str">
        <f>"70662"</f>
        <v>70662</v>
      </c>
      <c r="C2849" s="1">
        <v>1.22144863808476E-2</v>
      </c>
      <c r="D2849" s="1">
        <v>4.2283298097251501E-3</v>
      </c>
      <c r="E2849" s="1">
        <v>0</v>
      </c>
      <c r="F2849" s="1">
        <v>1.15961800818553E-2</v>
      </c>
    </row>
    <row r="2850" spans="1:6" x14ac:dyDescent="0.25">
      <c r="A2850" s="2" t="str">
        <f t="shared" si="98"/>
        <v>19760</v>
      </c>
      <c r="B2850" s="2" t="str">
        <f>"70660"</f>
        <v>70660</v>
      </c>
      <c r="C2850" s="1">
        <v>4.1346036399169402E-2</v>
      </c>
      <c r="D2850" s="1">
        <v>1.2684989429175401E-2</v>
      </c>
      <c r="E2850" s="1">
        <v>7.3529411764705803E-3</v>
      </c>
      <c r="F2850" s="1">
        <v>3.9279217826284601E-2</v>
      </c>
    </row>
    <row r="2851" spans="1:6" x14ac:dyDescent="0.25">
      <c r="A2851" s="2" t="str">
        <f t="shared" si="98"/>
        <v>19760</v>
      </c>
      <c r="B2851" s="2" t="str">
        <f>"70653"</f>
        <v>70653</v>
      </c>
      <c r="C2851" s="1">
        <v>9.1791865152070301E-2</v>
      </c>
      <c r="D2851" s="1">
        <v>5.6025369978858298E-2</v>
      </c>
      <c r="E2851" s="1">
        <v>7.3529411764705803E-3</v>
      </c>
      <c r="F2851" s="1">
        <v>8.8562983174169996E-2</v>
      </c>
    </row>
    <row r="2852" spans="1:6" x14ac:dyDescent="0.25">
      <c r="A2852" s="2" t="str">
        <f t="shared" ref="A2852:A2864" si="99">"33380"</f>
        <v>33380</v>
      </c>
      <c r="B2852" s="2" t="str">
        <f>"71037"</f>
        <v>71037</v>
      </c>
      <c r="C2852" s="1">
        <v>6.1865236892302898E-4</v>
      </c>
      <c r="D2852" s="1">
        <v>0</v>
      </c>
      <c r="E2852" s="1">
        <v>0</v>
      </c>
      <c r="F2852" s="1">
        <v>5.7007125890736301E-4</v>
      </c>
    </row>
    <row r="2853" spans="1:6" x14ac:dyDescent="0.25">
      <c r="A2853" s="2" t="str">
        <f t="shared" si="99"/>
        <v>33380</v>
      </c>
      <c r="B2853" s="2" t="str">
        <f>"71024"</f>
        <v>71024</v>
      </c>
      <c r="C2853" s="1">
        <v>2.91797700675362E-2</v>
      </c>
      <c r="D2853" s="1">
        <v>9.7150259067357494E-3</v>
      </c>
      <c r="E2853" s="1">
        <v>9.1743119266054999E-3</v>
      </c>
      <c r="F2853" s="1">
        <v>2.7648456057007099E-2</v>
      </c>
    </row>
    <row r="2854" spans="1:6" x14ac:dyDescent="0.25">
      <c r="A2854" s="2" t="str">
        <f t="shared" si="99"/>
        <v>33380</v>
      </c>
      <c r="B2854" s="2" t="str">
        <f>"71055"</f>
        <v>71055</v>
      </c>
      <c r="C2854" s="1">
        <v>0.47290818167757898</v>
      </c>
      <c r="D2854" s="1">
        <v>0.61528497409326399</v>
      </c>
      <c r="E2854" s="1">
        <v>0.51376146788990795</v>
      </c>
      <c r="F2854" s="1">
        <v>0.48356294536817102</v>
      </c>
    </row>
    <row r="2855" spans="1:6" x14ac:dyDescent="0.25">
      <c r="A2855" s="2" t="str">
        <f t="shared" si="99"/>
        <v>33380</v>
      </c>
      <c r="B2855" s="2" t="str">
        <f>"71018"</f>
        <v>71018</v>
      </c>
      <c r="C2855" s="1">
        <v>3.1138835902459101E-2</v>
      </c>
      <c r="D2855" s="1">
        <v>1.03626943005181E-2</v>
      </c>
      <c r="E2855" s="1">
        <v>4.5871559633027498E-2</v>
      </c>
      <c r="F2855" s="1">
        <v>2.96912114014251E-2</v>
      </c>
    </row>
    <row r="2856" spans="1:6" x14ac:dyDescent="0.25">
      <c r="A2856" s="2" t="str">
        <f t="shared" si="99"/>
        <v>33380</v>
      </c>
      <c r="B2856" s="2" t="str">
        <f>"71039"</f>
        <v>71039</v>
      </c>
      <c r="C2856" s="1">
        <v>4.2429241635304399E-2</v>
      </c>
      <c r="D2856" s="1">
        <v>1.29533678756476E-2</v>
      </c>
      <c r="E2856" s="1">
        <v>9.1743119266054999E-3</v>
      </c>
      <c r="F2856" s="1">
        <v>4.0095011876484503E-2</v>
      </c>
    </row>
    <row r="2857" spans="1:6" x14ac:dyDescent="0.25">
      <c r="A2857" s="2" t="str">
        <f t="shared" si="99"/>
        <v>33380</v>
      </c>
      <c r="B2857" s="2" t="str">
        <f>"71067"</f>
        <v>71067</v>
      </c>
      <c r="C2857" s="1">
        <v>2.3715007475382699E-3</v>
      </c>
      <c r="D2857" s="1">
        <v>6.4766839378238301E-4</v>
      </c>
      <c r="E2857" s="1">
        <v>0</v>
      </c>
      <c r="F2857" s="1">
        <v>2.2327790973871702E-3</v>
      </c>
    </row>
    <row r="2858" spans="1:6" x14ac:dyDescent="0.25">
      <c r="A2858" s="2" t="str">
        <f t="shared" si="99"/>
        <v>33380</v>
      </c>
      <c r="B2858" s="2" t="str">
        <f>"71071"</f>
        <v>71071</v>
      </c>
      <c r="C2858" s="1">
        <v>6.4546063824302696E-2</v>
      </c>
      <c r="D2858" s="1">
        <v>3.8212435233160598E-2</v>
      </c>
      <c r="E2858" s="1">
        <v>2.7522935779816501E-2</v>
      </c>
      <c r="F2858" s="1">
        <v>6.2422802850356202E-2</v>
      </c>
    </row>
    <row r="2859" spans="1:6" x14ac:dyDescent="0.25">
      <c r="A2859" s="2" t="str">
        <f t="shared" si="99"/>
        <v>33380</v>
      </c>
      <c r="B2859" s="2" t="str">
        <f>"71021"</f>
        <v>71021</v>
      </c>
      <c r="C2859" s="1">
        <v>0</v>
      </c>
      <c r="D2859" s="1">
        <v>0</v>
      </c>
      <c r="E2859" s="1">
        <v>9.1743119266054999E-3</v>
      </c>
      <c r="F2859" s="1">
        <v>4.7505938242280201E-5</v>
      </c>
    </row>
    <row r="2860" spans="1:6" x14ac:dyDescent="0.25">
      <c r="A2860" s="2" t="str">
        <f t="shared" si="99"/>
        <v>33380</v>
      </c>
      <c r="B2860" s="2" t="str">
        <f>"71073"</f>
        <v>71073</v>
      </c>
      <c r="C2860" s="1">
        <v>5.78955508583801E-2</v>
      </c>
      <c r="D2860" s="1">
        <v>4.2098445595854898E-2</v>
      </c>
      <c r="E2860" s="1">
        <v>4.5871559633027498E-2</v>
      </c>
      <c r="F2860" s="1">
        <v>5.6674584323040303E-2</v>
      </c>
    </row>
    <row r="2861" spans="1:6" x14ac:dyDescent="0.25">
      <c r="A2861" s="2" t="str">
        <f t="shared" si="99"/>
        <v>33380</v>
      </c>
      <c r="B2861" s="2" t="str">
        <f>"71075"</f>
        <v>71075</v>
      </c>
      <c r="C2861" s="1">
        <v>0.159406093725833</v>
      </c>
      <c r="D2861" s="1">
        <v>0.23639896373056901</v>
      </c>
      <c r="E2861" s="1">
        <v>0.302752293577981</v>
      </c>
      <c r="F2861" s="1">
        <v>0.16579572446555799</v>
      </c>
    </row>
    <row r="2862" spans="1:6" x14ac:dyDescent="0.25">
      <c r="A2862" s="2" t="str">
        <f t="shared" si="99"/>
        <v>33380</v>
      </c>
      <c r="B2862" s="2" t="str">
        <f>"71023"</f>
        <v>71023</v>
      </c>
      <c r="C2862" s="1">
        <v>9.96030313966077E-2</v>
      </c>
      <c r="D2862" s="1">
        <v>2.3963730569948102E-2</v>
      </c>
      <c r="E2862" s="1">
        <v>9.1743119266054999E-3</v>
      </c>
      <c r="F2862" s="1">
        <v>9.3586698337292107E-2</v>
      </c>
    </row>
    <row r="2863" spans="1:6" x14ac:dyDescent="0.25">
      <c r="A2863" s="2" t="str">
        <f t="shared" si="99"/>
        <v>33380</v>
      </c>
      <c r="B2863" s="2" t="str">
        <f>"71038"</f>
        <v>71038</v>
      </c>
      <c r="C2863" s="1">
        <v>7.2176109707686696E-4</v>
      </c>
      <c r="D2863" s="1">
        <v>0</v>
      </c>
      <c r="E2863" s="1">
        <v>0</v>
      </c>
      <c r="F2863" s="1">
        <v>6.6508313539192295E-4</v>
      </c>
    </row>
    <row r="2864" spans="1:6" x14ac:dyDescent="0.25">
      <c r="A2864" s="2" t="str">
        <f t="shared" si="99"/>
        <v>33380</v>
      </c>
      <c r="B2864" s="2" t="str">
        <f>"71072"</f>
        <v>71072</v>
      </c>
      <c r="C2864" s="1">
        <v>3.91813166984585E-2</v>
      </c>
      <c r="D2864" s="1">
        <v>1.03626943005181E-2</v>
      </c>
      <c r="E2864" s="1">
        <v>2.7522935779816501E-2</v>
      </c>
      <c r="F2864" s="1">
        <v>3.7007125890736299E-2</v>
      </c>
    </row>
    <row r="2865" spans="1:6" x14ac:dyDescent="0.25">
      <c r="A2865" s="2" t="str">
        <f t="shared" ref="A2865:A2888" si="100">"35060"</f>
        <v>35060</v>
      </c>
      <c r="B2865" s="2" t="str">
        <f>"71468"</f>
        <v>71468</v>
      </c>
      <c r="C2865" s="1">
        <v>1.06891286143539E-2</v>
      </c>
      <c r="D2865" s="1">
        <v>4.8596112311015101E-3</v>
      </c>
      <c r="E2865" s="1">
        <v>2.32018561484918E-3</v>
      </c>
      <c r="F2865" s="1">
        <v>1.00513637973786E-2</v>
      </c>
    </row>
    <row r="2866" spans="1:6" x14ac:dyDescent="0.25">
      <c r="A2866" s="2" t="str">
        <f t="shared" si="100"/>
        <v>35060</v>
      </c>
      <c r="B2866" s="2" t="str">
        <f>"71016"</f>
        <v>71016</v>
      </c>
      <c r="C2866" s="1">
        <v>4.4332791488103999E-4</v>
      </c>
      <c r="D2866" s="1">
        <v>0</v>
      </c>
      <c r="E2866" s="1">
        <v>0</v>
      </c>
      <c r="F2866" s="1">
        <v>3.9851222104144498E-4</v>
      </c>
    </row>
    <row r="2867" spans="1:6" x14ac:dyDescent="0.25">
      <c r="A2867" s="2" t="str">
        <f t="shared" si="100"/>
        <v>35060</v>
      </c>
      <c r="B2867" s="2" t="str">
        <f>"71002"</f>
        <v>71002</v>
      </c>
      <c r="C2867" s="1">
        <v>7.04398798088764E-3</v>
      </c>
      <c r="D2867" s="1">
        <v>0</v>
      </c>
      <c r="E2867" s="1">
        <v>2.32018561484918E-3</v>
      </c>
      <c r="F2867" s="1">
        <v>6.3761955366631196E-3</v>
      </c>
    </row>
    <row r="2868" spans="1:6" x14ac:dyDescent="0.25">
      <c r="A2868" s="2" t="str">
        <f t="shared" si="100"/>
        <v>35060</v>
      </c>
      <c r="B2868" s="2" t="str">
        <f>"71447"</f>
        <v>71447</v>
      </c>
      <c r="C2868" s="1">
        <v>1.3398354760849201E-2</v>
      </c>
      <c r="D2868" s="1">
        <v>2.15982721382289E-3</v>
      </c>
      <c r="E2868" s="1">
        <v>0</v>
      </c>
      <c r="F2868" s="1">
        <v>1.22210414452709E-2</v>
      </c>
    </row>
    <row r="2869" spans="1:6" x14ac:dyDescent="0.25">
      <c r="A2869" s="2" t="str">
        <f t="shared" si="100"/>
        <v>35060</v>
      </c>
      <c r="B2869" s="2" t="str">
        <f>"71019"</f>
        <v>71019</v>
      </c>
      <c r="C2869" s="1">
        <v>1.0738387271562899E-2</v>
      </c>
      <c r="D2869" s="1">
        <v>3.7796976241900601E-3</v>
      </c>
      <c r="E2869" s="1">
        <v>4.6403712296983696E-3</v>
      </c>
      <c r="F2869" s="1">
        <v>1.00513637973786E-2</v>
      </c>
    </row>
    <row r="2870" spans="1:6" x14ac:dyDescent="0.25">
      <c r="A2870" s="2" t="str">
        <f t="shared" si="100"/>
        <v>35060</v>
      </c>
      <c r="B2870" s="2" t="str">
        <f>"71456"</f>
        <v>71456</v>
      </c>
      <c r="C2870" s="1">
        <v>2.75848480370425E-2</v>
      </c>
      <c r="D2870" s="1">
        <v>3.2397408207343399E-3</v>
      </c>
      <c r="E2870" s="1">
        <v>2.08816705336426E-2</v>
      </c>
      <c r="F2870" s="1">
        <v>2.5460503010981201E-2</v>
      </c>
    </row>
    <row r="2871" spans="1:6" x14ac:dyDescent="0.25">
      <c r="A2871" s="2" t="str">
        <f t="shared" si="100"/>
        <v>35060</v>
      </c>
      <c r="B2871" s="2" t="str">
        <f>"71031"</f>
        <v>71031</v>
      </c>
      <c r="C2871" s="1">
        <v>1.7782375252450602E-2</v>
      </c>
      <c r="D2871" s="1">
        <v>3.7796976241900601E-3</v>
      </c>
      <c r="E2871" s="1">
        <v>2.32018561484918E-3</v>
      </c>
      <c r="F2871" s="1">
        <v>1.6339001062699199E-2</v>
      </c>
    </row>
    <row r="2872" spans="1:6" x14ac:dyDescent="0.25">
      <c r="A2872" s="2" t="str">
        <f t="shared" si="100"/>
        <v>35060</v>
      </c>
      <c r="B2872" s="2" t="str">
        <f>"71066"</f>
        <v>71066</v>
      </c>
      <c r="C2872" s="1">
        <v>0</v>
      </c>
      <c r="D2872" s="1">
        <v>0</v>
      </c>
      <c r="E2872" s="1">
        <v>2.32018561484918E-3</v>
      </c>
      <c r="F2872" s="1">
        <v>4.4279135671271602E-5</v>
      </c>
    </row>
    <row r="2873" spans="1:6" x14ac:dyDescent="0.25">
      <c r="A2873" s="2" t="str">
        <f t="shared" si="100"/>
        <v>35060</v>
      </c>
      <c r="B2873" s="2" t="str">
        <f>"71455"</f>
        <v>71455</v>
      </c>
      <c r="C2873" s="1">
        <v>1.28072508743411E-3</v>
      </c>
      <c r="D2873" s="1">
        <v>0</v>
      </c>
      <c r="E2873" s="1">
        <v>2.32018561484918E-3</v>
      </c>
      <c r="F2873" s="1">
        <v>1.1955366631243301E-3</v>
      </c>
    </row>
    <row r="2874" spans="1:6" x14ac:dyDescent="0.25">
      <c r="A2874" s="2" t="str">
        <f t="shared" si="100"/>
        <v>35060</v>
      </c>
      <c r="B2874" s="2" t="str">
        <f>"71450"</f>
        <v>71450</v>
      </c>
      <c r="C2874" s="1">
        <v>1.6895719422688499E-2</v>
      </c>
      <c r="D2874" s="1">
        <v>2.6997840172786102E-3</v>
      </c>
      <c r="E2874" s="1">
        <v>0</v>
      </c>
      <c r="F2874" s="1">
        <v>1.5409139213602501E-2</v>
      </c>
    </row>
    <row r="2875" spans="1:6" x14ac:dyDescent="0.25">
      <c r="A2875" s="2" t="str">
        <f t="shared" si="100"/>
        <v>35060</v>
      </c>
      <c r="B2875" s="2" t="str">
        <f>"71427"</f>
        <v>71427</v>
      </c>
      <c r="C2875" s="1">
        <v>1.7240530023151499E-3</v>
      </c>
      <c r="D2875" s="1">
        <v>0</v>
      </c>
      <c r="E2875" s="1">
        <v>0</v>
      </c>
      <c r="F2875" s="1">
        <v>1.5497697484945E-3</v>
      </c>
    </row>
    <row r="2876" spans="1:6" x14ac:dyDescent="0.25">
      <c r="A2876" s="2" t="str">
        <f t="shared" si="100"/>
        <v>35060</v>
      </c>
      <c r="B2876" s="2" t="str">
        <f>"71416"</f>
        <v>71416</v>
      </c>
      <c r="C2876" s="1">
        <v>2.2412689030097001E-2</v>
      </c>
      <c r="D2876" s="1">
        <v>7.0194384449243996E-3</v>
      </c>
      <c r="E2876" s="1">
        <v>2.08816705336426E-2</v>
      </c>
      <c r="F2876" s="1">
        <v>2.1121147715196499E-2</v>
      </c>
    </row>
    <row r="2877" spans="1:6" x14ac:dyDescent="0.25">
      <c r="A2877" s="2" t="str">
        <f t="shared" si="100"/>
        <v>35060</v>
      </c>
      <c r="B2877" s="2" t="str">
        <f>"71469"</f>
        <v>71469</v>
      </c>
      <c r="C2877" s="1">
        <v>5.8814836707551298E-2</v>
      </c>
      <c r="D2877" s="1">
        <v>1.02591792656587E-2</v>
      </c>
      <c r="E2877" s="1">
        <v>1.3921113689095099E-2</v>
      </c>
      <c r="F2877" s="1">
        <v>5.3976266383280097E-2</v>
      </c>
    </row>
    <row r="2878" spans="1:6" x14ac:dyDescent="0.25">
      <c r="A2878" s="2" t="str">
        <f t="shared" si="100"/>
        <v>35060</v>
      </c>
      <c r="B2878" s="2" t="str">
        <f>"71452"</f>
        <v>71452</v>
      </c>
      <c r="C2878" s="1">
        <v>1.9210876311511701E-3</v>
      </c>
      <c r="D2878" s="1">
        <v>1.07991360691144E-3</v>
      </c>
      <c r="E2878" s="1">
        <v>0</v>
      </c>
      <c r="F2878" s="1">
        <v>1.81544456252213E-3</v>
      </c>
    </row>
    <row r="2879" spans="1:6" x14ac:dyDescent="0.25">
      <c r="A2879" s="2" t="str">
        <f t="shared" si="100"/>
        <v>35060</v>
      </c>
      <c r="B2879" s="2" t="str">
        <f>"71428"</f>
        <v>71428</v>
      </c>
      <c r="C2879" s="1">
        <v>0</v>
      </c>
      <c r="D2879" s="1">
        <v>0</v>
      </c>
      <c r="E2879" s="1">
        <v>2.32018561484918E-3</v>
      </c>
      <c r="F2879" s="1">
        <v>4.4279135671271602E-5</v>
      </c>
    </row>
    <row r="2880" spans="1:6" x14ac:dyDescent="0.25">
      <c r="A2880" s="2" t="str">
        <f t="shared" si="100"/>
        <v>35060</v>
      </c>
      <c r="B2880" s="2" t="str">
        <f>"71414"</f>
        <v>71414</v>
      </c>
      <c r="C2880" s="1">
        <v>0</v>
      </c>
      <c r="D2880" s="1">
        <v>0</v>
      </c>
      <c r="E2880" s="1">
        <v>2.32018561484918E-3</v>
      </c>
      <c r="F2880" s="1">
        <v>4.4279135671271602E-5</v>
      </c>
    </row>
    <row r="2881" spans="1:6" x14ac:dyDescent="0.25">
      <c r="A2881" s="2" t="str">
        <f t="shared" si="100"/>
        <v>35060</v>
      </c>
      <c r="B2881" s="2" t="str">
        <f>"71070"</f>
        <v>71070</v>
      </c>
      <c r="C2881" s="1">
        <v>1.9161617654302701E-2</v>
      </c>
      <c r="D2881" s="1">
        <v>1.2958963282937301E-2</v>
      </c>
      <c r="E2881" s="1">
        <v>1.3921113689095099E-2</v>
      </c>
      <c r="F2881" s="1">
        <v>1.8552957846262801E-2</v>
      </c>
    </row>
    <row r="2882" spans="1:6" x14ac:dyDescent="0.25">
      <c r="A2882" s="2" t="str">
        <f t="shared" si="100"/>
        <v>35060</v>
      </c>
      <c r="B2882" s="2" t="str">
        <f>"71497"</f>
        <v>71497</v>
      </c>
      <c r="C2882" s="1">
        <v>0</v>
      </c>
      <c r="D2882" s="1">
        <v>5.3995680345572303E-4</v>
      </c>
      <c r="E2882" s="1">
        <v>0</v>
      </c>
      <c r="F2882" s="1">
        <v>4.4279135671271602E-5</v>
      </c>
    </row>
    <row r="2883" spans="1:6" x14ac:dyDescent="0.25">
      <c r="A2883" s="2" t="str">
        <f t="shared" si="100"/>
        <v>35060</v>
      </c>
      <c r="B2883" s="2" t="str">
        <f>"71458"</f>
        <v>71458</v>
      </c>
      <c r="C2883" s="1">
        <v>3.7633614107679403E-2</v>
      </c>
      <c r="D2883" s="1">
        <v>0.111231101511879</v>
      </c>
      <c r="E2883" s="1">
        <v>4.6403712296983696E-3</v>
      </c>
      <c r="F2883" s="1">
        <v>4.3039319872476001E-2</v>
      </c>
    </row>
    <row r="2884" spans="1:6" x14ac:dyDescent="0.25">
      <c r="A2884" s="2" t="str">
        <f t="shared" si="100"/>
        <v>35060</v>
      </c>
      <c r="B2884" s="2" t="str">
        <f>"71411"</f>
        <v>71411</v>
      </c>
      <c r="C2884" s="1">
        <v>7.2705778040490596E-2</v>
      </c>
      <c r="D2884" s="1">
        <v>3.2937365010799101E-2</v>
      </c>
      <c r="E2884" s="1">
        <v>4.1763341067285298E-2</v>
      </c>
      <c r="F2884" s="1">
        <v>6.8854055968827405E-2</v>
      </c>
    </row>
    <row r="2885" spans="1:6" x14ac:dyDescent="0.25">
      <c r="A2885" s="2" t="str">
        <f t="shared" si="100"/>
        <v>35060</v>
      </c>
      <c r="B2885" s="2" t="str">
        <f>"71065"</f>
        <v>71065</v>
      </c>
      <c r="C2885" s="1">
        <v>8.3739717255307603E-4</v>
      </c>
      <c r="D2885" s="1">
        <v>0</v>
      </c>
      <c r="E2885" s="1">
        <v>0</v>
      </c>
      <c r="F2885" s="1">
        <v>7.5274530641161795E-4</v>
      </c>
    </row>
    <row r="2886" spans="1:6" x14ac:dyDescent="0.25">
      <c r="A2886" s="2" t="str">
        <f t="shared" si="100"/>
        <v>35060</v>
      </c>
      <c r="B2886" s="2" t="str">
        <f>"71457"</f>
        <v>71457</v>
      </c>
      <c r="C2886" s="1">
        <v>0.67883355499729003</v>
      </c>
      <c r="D2886" s="1">
        <v>0.80345572354211603</v>
      </c>
      <c r="E2886" s="1">
        <v>0.86078886310904801</v>
      </c>
      <c r="F2886" s="1">
        <v>0.69252568189868902</v>
      </c>
    </row>
    <row r="2887" spans="1:6" x14ac:dyDescent="0.25">
      <c r="A2887" s="2" t="str">
        <f t="shared" si="100"/>
        <v>35060</v>
      </c>
      <c r="B2887" s="2" t="str">
        <f>"71434"</f>
        <v>71434</v>
      </c>
      <c r="C2887" s="1">
        <v>0</v>
      </c>
      <c r="D2887" s="1">
        <v>0</v>
      </c>
      <c r="E2887" s="1">
        <v>2.32018561484918E-3</v>
      </c>
      <c r="F2887" s="1">
        <v>4.4279135671271602E-5</v>
      </c>
    </row>
    <row r="2888" spans="1:6" x14ac:dyDescent="0.25">
      <c r="A2888" s="2" t="str">
        <f t="shared" si="100"/>
        <v>35060</v>
      </c>
      <c r="B2888" s="2" t="str">
        <f>"71063"</f>
        <v>71063</v>
      </c>
      <c r="C2888" s="1">
        <v>9.8517314418008901E-5</v>
      </c>
      <c r="D2888" s="1">
        <v>0</v>
      </c>
      <c r="E2888" s="1">
        <v>0</v>
      </c>
      <c r="F2888" s="1">
        <v>8.8558271342543298E-5</v>
      </c>
    </row>
    <row r="2889" spans="1:6" x14ac:dyDescent="0.25">
      <c r="A2889" s="2" t="str">
        <f t="shared" ref="A2889:A2917" si="101">"38220"</f>
        <v>38220</v>
      </c>
      <c r="B2889" s="2" t="str">
        <f>"72168"</f>
        <v>72168</v>
      </c>
      <c r="C2889" s="1">
        <v>2.7659039476992699E-3</v>
      </c>
      <c r="D2889" s="1">
        <v>2.5188916876574298E-3</v>
      </c>
      <c r="E2889" s="1">
        <v>0</v>
      </c>
      <c r="F2889" s="1">
        <v>2.7098719490086E-3</v>
      </c>
    </row>
    <row r="2890" spans="1:6" x14ac:dyDescent="0.25">
      <c r="A2890" s="2" t="str">
        <f t="shared" si="101"/>
        <v>38220</v>
      </c>
      <c r="B2890" s="2" t="str">
        <f>"72079"</f>
        <v>72079</v>
      </c>
      <c r="C2890" s="1">
        <v>5.0289162685441197E-3</v>
      </c>
      <c r="D2890" s="1">
        <v>2.5188916876574298E-3</v>
      </c>
      <c r="E2890" s="1">
        <v>1.4144271570014099E-3</v>
      </c>
      <c r="F2890" s="1">
        <v>4.7899849239518297E-3</v>
      </c>
    </row>
    <row r="2891" spans="1:6" x14ac:dyDescent="0.25">
      <c r="A2891" s="2" t="str">
        <f t="shared" si="101"/>
        <v>38220</v>
      </c>
      <c r="B2891" s="2" t="str">
        <f>"72057"</f>
        <v>72057</v>
      </c>
      <c r="C2891" s="1">
        <v>6.2861453356801596E-5</v>
      </c>
      <c r="D2891" s="1">
        <v>0</v>
      </c>
      <c r="E2891" s="1">
        <v>0</v>
      </c>
      <c r="F2891" s="1">
        <v>5.72508158241254E-5</v>
      </c>
    </row>
    <row r="2892" spans="1:6" x14ac:dyDescent="0.25">
      <c r="A2892" s="2" t="str">
        <f t="shared" si="101"/>
        <v>38220</v>
      </c>
      <c r="B2892" s="2" t="str">
        <f>"72073"</f>
        <v>72073</v>
      </c>
      <c r="C2892" s="1">
        <v>2.1372894141312498E-3</v>
      </c>
      <c r="D2892" s="1">
        <v>5.0377833753148602E-4</v>
      </c>
      <c r="E2892" s="1">
        <v>8.4865629420084795E-3</v>
      </c>
      <c r="F2892" s="1">
        <v>2.0991965802179299E-3</v>
      </c>
    </row>
    <row r="2893" spans="1:6" x14ac:dyDescent="0.25">
      <c r="A2893" s="2" t="str">
        <f t="shared" si="101"/>
        <v>38220</v>
      </c>
      <c r="B2893" s="2" t="str">
        <f>"72175"</f>
        <v>72175</v>
      </c>
      <c r="C2893" s="1">
        <v>1.7391668762048399E-3</v>
      </c>
      <c r="D2893" s="1">
        <v>7.5566750629722898E-4</v>
      </c>
      <c r="E2893" s="1">
        <v>2.8288543140028198E-3</v>
      </c>
      <c r="F2893" s="1">
        <v>1.67935726417434E-3</v>
      </c>
    </row>
    <row r="2894" spans="1:6" x14ac:dyDescent="0.25">
      <c r="A2894" s="2" t="str">
        <f t="shared" si="101"/>
        <v>38220</v>
      </c>
      <c r="B2894" s="2" t="str">
        <f>"71675"</f>
        <v>71675</v>
      </c>
      <c r="C2894" s="1">
        <v>5.6575308021121398E-4</v>
      </c>
      <c r="D2894" s="1">
        <v>2.5188916876574301E-4</v>
      </c>
      <c r="E2894" s="1">
        <v>0</v>
      </c>
      <c r="F2894" s="1">
        <v>5.3434094769183702E-4</v>
      </c>
    </row>
    <row r="2895" spans="1:6" x14ac:dyDescent="0.25">
      <c r="A2895" s="2" t="str">
        <f t="shared" si="101"/>
        <v>38220</v>
      </c>
      <c r="B2895" s="2" t="str">
        <f>"71644"</f>
        <v>71644</v>
      </c>
      <c r="C2895" s="1">
        <v>5.3222697175425299E-3</v>
      </c>
      <c r="D2895" s="1">
        <v>1.5113350125944499E-3</v>
      </c>
      <c r="E2895" s="1">
        <v>2.8288543140028198E-3</v>
      </c>
      <c r="F2895" s="1">
        <v>4.9999045819736198E-3</v>
      </c>
    </row>
    <row r="2896" spans="1:6" x14ac:dyDescent="0.25">
      <c r="A2896" s="2" t="str">
        <f t="shared" si="101"/>
        <v>38220</v>
      </c>
      <c r="B2896" s="2" t="str">
        <f>"71667"</f>
        <v>71667</v>
      </c>
      <c r="C2896" s="1">
        <v>0.13029083899086399</v>
      </c>
      <c r="D2896" s="1">
        <v>7.1788413098236706E-2</v>
      </c>
      <c r="E2896" s="1">
        <v>5.3748231966053703E-2</v>
      </c>
      <c r="F2896" s="1">
        <v>0.124825862101868</v>
      </c>
    </row>
    <row r="2897" spans="1:6" x14ac:dyDescent="0.25">
      <c r="A2897" s="2" t="str">
        <f t="shared" si="101"/>
        <v>38220</v>
      </c>
      <c r="B2897" s="2" t="str">
        <f>"72072"</f>
        <v>72072</v>
      </c>
      <c r="C2897" s="1">
        <v>1.67630542284804E-4</v>
      </c>
      <c r="D2897" s="1">
        <v>0</v>
      </c>
      <c r="E2897" s="1">
        <v>0</v>
      </c>
      <c r="F2897" s="1">
        <v>1.52668842197667E-4</v>
      </c>
    </row>
    <row r="2898" spans="1:6" x14ac:dyDescent="0.25">
      <c r="A2898" s="2" t="str">
        <f t="shared" si="101"/>
        <v>38220</v>
      </c>
      <c r="B2898" s="2" t="str">
        <f>"72150"</f>
        <v>72150</v>
      </c>
      <c r="C2898" s="1">
        <v>1.6763054228480399E-3</v>
      </c>
      <c r="D2898" s="1">
        <v>0</v>
      </c>
      <c r="E2898" s="1">
        <v>0</v>
      </c>
      <c r="F2898" s="1">
        <v>1.52668842197667E-3</v>
      </c>
    </row>
    <row r="2899" spans="1:6" x14ac:dyDescent="0.25">
      <c r="A2899" s="2" t="str">
        <f t="shared" si="101"/>
        <v>38220</v>
      </c>
      <c r="B2899" s="2" t="str">
        <f>"71659"</f>
        <v>71659</v>
      </c>
      <c r="C2899" s="1">
        <v>0</v>
      </c>
      <c r="D2899" s="1">
        <v>0</v>
      </c>
      <c r="E2899" s="1">
        <v>1.4144271570014099E-3</v>
      </c>
      <c r="F2899" s="1">
        <v>1.9083605274708399E-5</v>
      </c>
    </row>
    <row r="2900" spans="1:6" x14ac:dyDescent="0.25">
      <c r="A2900" s="2" t="str">
        <f t="shared" si="101"/>
        <v>38220</v>
      </c>
      <c r="B2900" s="2" t="str">
        <f>"72046"</f>
        <v>72046</v>
      </c>
      <c r="C2900" s="1">
        <v>4.1279021037633002E-3</v>
      </c>
      <c r="D2900" s="1">
        <v>7.5566750629722898E-4</v>
      </c>
      <c r="E2900" s="1">
        <v>0</v>
      </c>
      <c r="F2900" s="1">
        <v>3.81672105494169E-3</v>
      </c>
    </row>
    <row r="2901" spans="1:6" x14ac:dyDescent="0.25">
      <c r="A2901" s="2" t="str">
        <f t="shared" si="101"/>
        <v>38220</v>
      </c>
      <c r="B2901" s="2" t="str">
        <f>"72132"</f>
        <v>72132</v>
      </c>
      <c r="C2901" s="1">
        <v>2.9062945268627901E-2</v>
      </c>
      <c r="D2901" s="1">
        <v>4.28211586901763E-3</v>
      </c>
      <c r="E2901" s="1">
        <v>3.2531824611032503E-2</v>
      </c>
      <c r="F2901" s="1">
        <v>2.7232304727009E-2</v>
      </c>
    </row>
    <row r="2902" spans="1:6" x14ac:dyDescent="0.25">
      <c r="A2902" s="2" t="str">
        <f t="shared" si="101"/>
        <v>38220</v>
      </c>
      <c r="B2902" s="2" t="str">
        <f>"71678"</f>
        <v>71678</v>
      </c>
      <c r="C2902" s="1">
        <v>0</v>
      </c>
      <c r="D2902" s="1">
        <v>0</v>
      </c>
      <c r="E2902" s="1">
        <v>1.4144271570014099E-3</v>
      </c>
      <c r="F2902" s="1">
        <v>1.9083605274708399E-5</v>
      </c>
    </row>
    <row r="2903" spans="1:6" x14ac:dyDescent="0.25">
      <c r="A2903" s="2" t="str">
        <f t="shared" si="101"/>
        <v>38220</v>
      </c>
      <c r="B2903" s="2" t="str">
        <f>"71643"</f>
        <v>71643</v>
      </c>
      <c r="C2903" s="1">
        <v>1.2844690302573099E-2</v>
      </c>
      <c r="D2903" s="1">
        <v>6.0453400503778301E-3</v>
      </c>
      <c r="E2903" s="1">
        <v>3.1117397454031099E-2</v>
      </c>
      <c r="F2903" s="1">
        <v>1.25760958760329E-2</v>
      </c>
    </row>
    <row r="2904" spans="1:6" x14ac:dyDescent="0.25">
      <c r="A2904" s="2" t="str">
        <f t="shared" si="101"/>
        <v>38220</v>
      </c>
      <c r="B2904" s="2" t="str">
        <f>"71639"</f>
        <v>71639</v>
      </c>
      <c r="C2904" s="1">
        <v>1.2823736484787501E-2</v>
      </c>
      <c r="D2904" s="1">
        <v>4.0302267002518804E-3</v>
      </c>
      <c r="E2904" s="1">
        <v>0</v>
      </c>
      <c r="F2904" s="1">
        <v>1.19845041125169E-2</v>
      </c>
    </row>
    <row r="2905" spans="1:6" x14ac:dyDescent="0.25">
      <c r="A2905" s="2" t="str">
        <f t="shared" si="101"/>
        <v>38220</v>
      </c>
      <c r="B2905" s="2" t="str">
        <f>"71602"</f>
        <v>71602</v>
      </c>
      <c r="C2905" s="1">
        <v>0.17735311373732199</v>
      </c>
      <c r="D2905" s="1">
        <v>0.16977329974811001</v>
      </c>
      <c r="E2905" s="1">
        <v>0.24045261669024001</v>
      </c>
      <c r="F2905" s="1">
        <v>0.177630197896986</v>
      </c>
    </row>
    <row r="2906" spans="1:6" x14ac:dyDescent="0.25">
      <c r="A2906" s="2" t="str">
        <f t="shared" si="101"/>
        <v>38220</v>
      </c>
      <c r="B2906" s="2" t="str">
        <f>"72152"</f>
        <v>72152</v>
      </c>
      <c r="C2906" s="1">
        <v>5.4689464420417397E-3</v>
      </c>
      <c r="D2906" s="1">
        <v>6.5491183879093102E-3</v>
      </c>
      <c r="E2906" s="1">
        <v>1.4144271570014099E-3</v>
      </c>
      <c r="F2906" s="1">
        <v>5.4960783191160397E-3</v>
      </c>
    </row>
    <row r="2907" spans="1:6" x14ac:dyDescent="0.25">
      <c r="A2907" s="2" t="str">
        <f t="shared" si="101"/>
        <v>38220</v>
      </c>
      <c r="B2907" s="2" t="str">
        <f>"71665"</f>
        <v>71665</v>
      </c>
      <c r="C2907" s="1">
        <v>5.2552175006286103E-2</v>
      </c>
      <c r="D2907" s="1">
        <v>1.10831234256926E-2</v>
      </c>
      <c r="E2907" s="1">
        <v>8.4865629420084795E-3</v>
      </c>
      <c r="F2907" s="1">
        <v>4.88158622927043E-2</v>
      </c>
    </row>
    <row r="2908" spans="1:6" x14ac:dyDescent="0.25">
      <c r="A2908" s="2" t="str">
        <f t="shared" si="101"/>
        <v>38220</v>
      </c>
      <c r="B2908" s="2" t="str">
        <f>"71652"</f>
        <v>71652</v>
      </c>
      <c r="C2908" s="1">
        <v>1.1524599782080199E-2</v>
      </c>
      <c r="D2908" s="1">
        <v>5.0377833753148596E-3</v>
      </c>
      <c r="E2908" s="1">
        <v>5.6577086280056501E-3</v>
      </c>
      <c r="F2908" s="1">
        <v>1.09539894276826E-2</v>
      </c>
    </row>
    <row r="2909" spans="1:6" x14ac:dyDescent="0.25">
      <c r="A2909" s="2" t="str">
        <f t="shared" si="101"/>
        <v>38220</v>
      </c>
      <c r="B2909" s="2" t="str">
        <f>"71603"</f>
        <v>71603</v>
      </c>
      <c r="C2909" s="1">
        <v>0.34110719973179099</v>
      </c>
      <c r="D2909" s="1">
        <v>0.28614609571788402</v>
      </c>
      <c r="E2909" s="1">
        <v>0.33946251768033903</v>
      </c>
      <c r="F2909" s="1">
        <v>0.336921051124978</v>
      </c>
    </row>
    <row r="2910" spans="1:6" x14ac:dyDescent="0.25">
      <c r="A2910" s="2" t="str">
        <f t="shared" si="101"/>
        <v>38220</v>
      </c>
      <c r="B2910" s="2" t="str">
        <f>"72133"</f>
        <v>72133</v>
      </c>
      <c r="C2910" s="1">
        <v>0</v>
      </c>
      <c r="D2910" s="1">
        <v>0</v>
      </c>
      <c r="E2910" s="1">
        <v>1.4144271570014099E-3</v>
      </c>
      <c r="F2910" s="1">
        <v>1.9083605274708399E-5</v>
      </c>
    </row>
    <row r="2911" spans="1:6" x14ac:dyDescent="0.25">
      <c r="A2911" s="2" t="str">
        <f t="shared" si="101"/>
        <v>38220</v>
      </c>
      <c r="B2911" s="2" t="str">
        <f>"71655"</f>
        <v>71655</v>
      </c>
      <c r="C2911" s="1">
        <v>1.8858436007040399E-4</v>
      </c>
      <c r="D2911" s="1">
        <v>0</v>
      </c>
      <c r="E2911" s="1">
        <v>0</v>
      </c>
      <c r="F2911" s="1">
        <v>1.71752447472376E-4</v>
      </c>
    </row>
    <row r="2912" spans="1:6" x14ac:dyDescent="0.25">
      <c r="A2912" s="2" t="str">
        <f t="shared" si="101"/>
        <v>38220</v>
      </c>
      <c r="B2912" s="2" t="str">
        <f>"72004"</f>
        <v>72004</v>
      </c>
      <c r="C2912" s="1">
        <v>7.7110049451009901E-3</v>
      </c>
      <c r="D2912" s="1">
        <v>8.3123425692695208E-3</v>
      </c>
      <c r="E2912" s="1">
        <v>5.6577086280056501E-3</v>
      </c>
      <c r="F2912" s="1">
        <v>7.7288601362569403E-3</v>
      </c>
    </row>
    <row r="2913" spans="1:6" x14ac:dyDescent="0.25">
      <c r="A2913" s="2" t="str">
        <f t="shared" si="101"/>
        <v>38220</v>
      </c>
      <c r="B2913" s="2" t="str">
        <f>"72160"</f>
        <v>72160</v>
      </c>
      <c r="C2913" s="1">
        <v>4.4003017349761103E-4</v>
      </c>
      <c r="D2913" s="1">
        <v>2.5188916876574301E-4</v>
      </c>
      <c r="E2913" s="1">
        <v>0</v>
      </c>
      <c r="F2913" s="1">
        <v>4.1983931604358603E-4</v>
      </c>
    </row>
    <row r="2914" spans="1:6" x14ac:dyDescent="0.25">
      <c r="A2914" s="2" t="str">
        <f t="shared" si="101"/>
        <v>38220</v>
      </c>
      <c r="B2914" s="2" t="str">
        <f>"72182"</f>
        <v>72182</v>
      </c>
      <c r="C2914" s="1">
        <v>0</v>
      </c>
      <c r="D2914" s="1">
        <v>0</v>
      </c>
      <c r="E2914" s="1">
        <v>1.4144271570014099E-3</v>
      </c>
      <c r="F2914" s="1">
        <v>1.9083605274708399E-5</v>
      </c>
    </row>
    <row r="2915" spans="1:6" x14ac:dyDescent="0.25">
      <c r="A2915" s="2" t="str">
        <f t="shared" si="101"/>
        <v>38220</v>
      </c>
      <c r="B2915" s="2" t="str">
        <f>"71671"</f>
        <v>71671</v>
      </c>
      <c r="C2915" s="1">
        <v>4.5050708239041098E-3</v>
      </c>
      <c r="D2915" s="1">
        <v>7.5566750629722898E-4</v>
      </c>
      <c r="E2915" s="1">
        <v>2.8288543140028198E-3</v>
      </c>
      <c r="F2915" s="1">
        <v>4.1983931604358598E-3</v>
      </c>
    </row>
    <row r="2916" spans="1:6" x14ac:dyDescent="0.25">
      <c r="A2916" s="2" t="str">
        <f t="shared" si="101"/>
        <v>38220</v>
      </c>
      <c r="B2916" s="2" t="str">
        <f>"71660"</f>
        <v>71660</v>
      </c>
      <c r="C2916" s="1">
        <v>1.0539770346156999E-2</v>
      </c>
      <c r="D2916" s="1">
        <v>1.2594458438287099E-3</v>
      </c>
      <c r="E2916" s="1">
        <v>1.4144271570014099E-3</v>
      </c>
      <c r="F2916" s="1">
        <v>9.7135550848266201E-3</v>
      </c>
    </row>
    <row r="2917" spans="1:6" x14ac:dyDescent="0.25">
      <c r="A2917" s="2" t="str">
        <f t="shared" si="101"/>
        <v>38220</v>
      </c>
      <c r="B2917" s="2" t="str">
        <f>"71601"</f>
        <v>71601</v>
      </c>
      <c r="C2917" s="1">
        <v>0.179993294778308</v>
      </c>
      <c r="D2917" s="1">
        <v>0.41586901763224099</v>
      </c>
      <c r="E2917" s="1">
        <v>0.25601131541725602</v>
      </c>
      <c r="F2917" s="1">
        <v>0.198889334173011</v>
      </c>
    </row>
    <row r="2918" spans="1:6" x14ac:dyDescent="0.25">
      <c r="A2918" s="2" t="str">
        <f t="shared" ref="A2918:A2949" si="102">"30780"</f>
        <v>30780</v>
      </c>
      <c r="B2918" s="2" t="str">
        <f>"72227"</f>
        <v>72227</v>
      </c>
      <c r="C2918" s="1">
        <v>1.5173488715362801E-2</v>
      </c>
      <c r="D2918" s="1">
        <v>1.19386317104948E-2</v>
      </c>
      <c r="E2918" s="1">
        <v>2.5709095989939899E-2</v>
      </c>
      <c r="F2918" s="1">
        <v>1.50664840706572E-2</v>
      </c>
    </row>
    <row r="2919" spans="1:6" x14ac:dyDescent="0.25">
      <c r="A2919" s="2" t="str">
        <f t="shared" si="102"/>
        <v>30780</v>
      </c>
      <c r="B2919" s="2" t="str">
        <f>"72219"</f>
        <v>72219</v>
      </c>
      <c r="C2919" s="1">
        <v>4.7378444356133099E-3</v>
      </c>
      <c r="D2919" s="1">
        <v>7.7906883990534097E-3</v>
      </c>
      <c r="E2919" s="1">
        <v>1.39723347771412E-4</v>
      </c>
      <c r="F2919" s="1">
        <v>4.9273163013204202E-3</v>
      </c>
    </row>
    <row r="2920" spans="1:6" x14ac:dyDescent="0.25">
      <c r="A2920" s="2" t="str">
        <f t="shared" si="102"/>
        <v>30780</v>
      </c>
      <c r="B2920" s="2" t="str">
        <f>"72210"</f>
        <v>72210</v>
      </c>
      <c r="C2920" s="1">
        <v>2.0667427061452599E-2</v>
      </c>
      <c r="D2920" s="1">
        <v>1.1406844106463801E-2</v>
      </c>
      <c r="E2920" s="1">
        <v>2.9481626379767999E-2</v>
      </c>
      <c r="F2920" s="1">
        <v>2.0007680136206699E-2</v>
      </c>
    </row>
    <row r="2921" spans="1:6" x14ac:dyDescent="0.25">
      <c r="A2921" s="2" t="str">
        <f t="shared" si="102"/>
        <v>30780</v>
      </c>
      <c r="B2921" s="2" t="str">
        <f>"72039"</f>
        <v>72039</v>
      </c>
      <c r="C2921" s="1">
        <v>1.81152875479332E-3</v>
      </c>
      <c r="D2921" s="1">
        <v>1.24970086947273E-3</v>
      </c>
      <c r="E2921" s="1">
        <v>1.39723347771412E-4</v>
      </c>
      <c r="F2921" s="1">
        <v>1.7349705286339499E-3</v>
      </c>
    </row>
    <row r="2922" spans="1:6" x14ac:dyDescent="0.25">
      <c r="A2922" s="2" t="str">
        <f t="shared" si="102"/>
        <v>30780</v>
      </c>
      <c r="B2922" s="2" t="str">
        <f>"72206"</f>
        <v>72206</v>
      </c>
      <c r="C2922" s="1">
        <v>3.3059109512332298E-2</v>
      </c>
      <c r="D2922" s="1">
        <v>2.6669148342152098E-2</v>
      </c>
      <c r="E2922" s="1">
        <v>2.01201620790834E-2</v>
      </c>
      <c r="F2922" s="1">
        <v>3.2288958184896903E-2</v>
      </c>
    </row>
    <row r="2923" spans="1:6" x14ac:dyDescent="0.25">
      <c r="A2923" s="2" t="str">
        <f t="shared" si="102"/>
        <v>30780</v>
      </c>
      <c r="B2923" s="2" t="str">
        <f>"72190"</f>
        <v>72190</v>
      </c>
      <c r="C2923" s="1">
        <v>2.4979484823930702E-3</v>
      </c>
      <c r="D2923" s="1">
        <v>6.3282724879682997E-3</v>
      </c>
      <c r="E2923" s="1">
        <v>2.7944669554282498E-4</v>
      </c>
      <c r="F2923" s="1">
        <v>2.7944591981197502E-3</v>
      </c>
    </row>
    <row r="2924" spans="1:6" x14ac:dyDescent="0.25">
      <c r="A2924" s="2" t="str">
        <f t="shared" si="102"/>
        <v>30780</v>
      </c>
      <c r="B2924" s="2" t="str">
        <f>"72160"</f>
        <v>72160</v>
      </c>
      <c r="C2924" s="1">
        <v>1.80636770420986E-5</v>
      </c>
      <c r="D2924" s="1">
        <v>0</v>
      </c>
      <c r="E2924" s="1">
        <v>0</v>
      </c>
      <c r="F2924" s="1">
        <v>1.6193058267250199E-5</v>
      </c>
    </row>
    <row r="2925" spans="1:6" x14ac:dyDescent="0.25">
      <c r="A2925" s="2" t="str">
        <f t="shared" si="102"/>
        <v>30780</v>
      </c>
      <c r="B2925" s="2" t="str">
        <f>"72173"</f>
        <v>72173</v>
      </c>
      <c r="C2925" s="1">
        <v>1.0902719357552401E-2</v>
      </c>
      <c r="D2925" s="1">
        <v>3.4034406657980801E-3</v>
      </c>
      <c r="E2925" s="1">
        <v>8.3834008662847504E-4</v>
      </c>
      <c r="F2925" s="1">
        <v>1.00836487124205E-2</v>
      </c>
    </row>
    <row r="2926" spans="1:6" x14ac:dyDescent="0.25">
      <c r="A2926" s="2" t="str">
        <f t="shared" si="102"/>
        <v>30780</v>
      </c>
      <c r="B2926" s="2" t="str">
        <f>"72032"</f>
        <v>72032</v>
      </c>
      <c r="C2926" s="1">
        <v>4.0947775329146001E-2</v>
      </c>
      <c r="D2926" s="1">
        <v>5.6236539126272897E-2</v>
      </c>
      <c r="E2926" s="1">
        <v>3.98211541148525E-2</v>
      </c>
      <c r="F2926" s="1">
        <v>4.2259255489446701E-2</v>
      </c>
    </row>
    <row r="2927" spans="1:6" x14ac:dyDescent="0.25">
      <c r="A2927" s="2" t="str">
        <f t="shared" si="102"/>
        <v>30780</v>
      </c>
      <c r="B2927" s="2" t="str">
        <f>"72023"</f>
        <v>72023</v>
      </c>
      <c r="C2927" s="1">
        <v>4.4320521885434901E-2</v>
      </c>
      <c r="D2927" s="1">
        <v>3.7623972985189699E-2</v>
      </c>
      <c r="E2927" s="1">
        <v>3.8843090680452698E-2</v>
      </c>
      <c r="F2927" s="1">
        <v>4.3647231912353902E-2</v>
      </c>
    </row>
    <row r="2928" spans="1:6" x14ac:dyDescent="0.25">
      <c r="A2928" s="2" t="str">
        <f t="shared" si="102"/>
        <v>30780</v>
      </c>
      <c r="B2928" s="2" t="str">
        <f>"72034"</f>
        <v>72034</v>
      </c>
      <c r="C2928" s="1">
        <v>6.0572670172740303E-2</v>
      </c>
      <c r="D2928" s="1">
        <v>3.6826291579143203E-2</v>
      </c>
      <c r="E2928" s="1">
        <v>7.8524521447533802E-2</v>
      </c>
      <c r="F2928" s="1">
        <v>5.8803934450500098E-2</v>
      </c>
    </row>
    <row r="2929" spans="1:6" x14ac:dyDescent="0.25">
      <c r="A2929" s="2" t="str">
        <f t="shared" si="102"/>
        <v>30780</v>
      </c>
      <c r="B2929" s="2" t="str">
        <f>"72117"</f>
        <v>72117</v>
      </c>
      <c r="C2929" s="1">
        <v>2.0530659220991E-2</v>
      </c>
      <c r="D2929" s="1">
        <v>3.0152357148554802E-2</v>
      </c>
      <c r="E2929" s="1">
        <v>1.56490149503982E-2</v>
      </c>
      <c r="F2929" s="1">
        <v>2.12869317393195E-2</v>
      </c>
    </row>
    <row r="2930" spans="1:6" x14ac:dyDescent="0.25">
      <c r="A2930" s="2" t="str">
        <f t="shared" si="102"/>
        <v>30780</v>
      </c>
      <c r="B2930" s="2" t="str">
        <f>"72215"</f>
        <v>72215</v>
      </c>
      <c r="C2930" s="1">
        <v>2.5005290076847999E-3</v>
      </c>
      <c r="D2930" s="1">
        <v>1.0529394559812799E-2</v>
      </c>
      <c r="E2930" s="1">
        <v>2.7944669554282498E-4</v>
      </c>
      <c r="F2930" s="1">
        <v>3.1622729501901499E-3</v>
      </c>
    </row>
    <row r="2931" spans="1:6" x14ac:dyDescent="0.25">
      <c r="A2931" s="2" t="str">
        <f t="shared" si="102"/>
        <v>30780</v>
      </c>
      <c r="B2931" s="2" t="str">
        <f>"72078"</f>
        <v>72078</v>
      </c>
      <c r="C2931" s="1">
        <v>3.60241330725282E-3</v>
      </c>
      <c r="D2931" s="1">
        <v>6.2485043473636597E-3</v>
      </c>
      <c r="E2931" s="1">
        <v>1.39723347771412E-4</v>
      </c>
      <c r="F2931" s="1">
        <v>3.7752958703074799E-3</v>
      </c>
    </row>
    <row r="2932" spans="1:6" x14ac:dyDescent="0.25">
      <c r="A2932" s="2" t="str">
        <f t="shared" si="102"/>
        <v>30780</v>
      </c>
      <c r="B2932" s="2" t="str">
        <f>"72087"</f>
        <v>72087</v>
      </c>
      <c r="C2932" s="1">
        <v>1.073498521359E-3</v>
      </c>
      <c r="D2932" s="1">
        <v>9.3062830705416201E-4</v>
      </c>
      <c r="E2932" s="1">
        <v>2.7944669554282498E-4</v>
      </c>
      <c r="F2932" s="1">
        <v>1.0479221992949E-3</v>
      </c>
    </row>
    <row r="2933" spans="1:6" x14ac:dyDescent="0.25">
      <c r="A2933" s="2" t="str">
        <f t="shared" si="102"/>
        <v>30780</v>
      </c>
      <c r="B2933" s="2" t="str">
        <f>"72086"</f>
        <v>72086</v>
      </c>
      <c r="C2933" s="1">
        <v>1.28123080734314E-2</v>
      </c>
      <c r="D2933" s="1">
        <v>1.04762157994097E-2</v>
      </c>
      <c r="E2933" s="1">
        <v>5.4492105630850902E-3</v>
      </c>
      <c r="F2933" s="1">
        <v>1.24871612180881E-2</v>
      </c>
    </row>
    <row r="2934" spans="1:6" x14ac:dyDescent="0.25">
      <c r="A2934" s="2" t="str">
        <f t="shared" si="102"/>
        <v>30780</v>
      </c>
      <c r="B2934" s="2" t="str">
        <f>"72072"</f>
        <v>72072</v>
      </c>
      <c r="C2934" s="1">
        <v>4.9546085601184905E-4</v>
      </c>
      <c r="D2934" s="1">
        <v>2.1271504161238E-4</v>
      </c>
      <c r="E2934" s="1">
        <v>1.39723347771412E-4</v>
      </c>
      <c r="F2934" s="1">
        <v>4.6497210167389897E-4</v>
      </c>
    </row>
    <row r="2935" spans="1:6" x14ac:dyDescent="0.25">
      <c r="A2935" s="2" t="str">
        <f t="shared" si="102"/>
        <v>30780</v>
      </c>
      <c r="B2935" s="2" t="str">
        <f>"72205"</f>
        <v>72205</v>
      </c>
      <c r="C2935" s="1">
        <v>3.2930083247745899E-2</v>
      </c>
      <c r="D2935" s="1">
        <v>4.8844691430242698E-2</v>
      </c>
      <c r="E2935" s="1">
        <v>8.2297051837361995E-2</v>
      </c>
      <c r="F2935" s="1">
        <v>3.5131996557818401E-2</v>
      </c>
    </row>
    <row r="2936" spans="1:6" x14ac:dyDescent="0.25">
      <c r="A2936" s="2" t="str">
        <f t="shared" si="102"/>
        <v>30780</v>
      </c>
      <c r="B2936" s="2" t="str">
        <f>"72204"</f>
        <v>72204</v>
      </c>
      <c r="C2936" s="1">
        <v>4.2578667313518302E-2</v>
      </c>
      <c r="D2936" s="1">
        <v>3.9192746417081002E-2</v>
      </c>
      <c r="E2936" s="1">
        <v>4.5410088025708999E-2</v>
      </c>
      <c r="F2936" s="1">
        <v>4.2330967604630197E-2</v>
      </c>
    </row>
    <row r="2937" spans="1:6" x14ac:dyDescent="0.25">
      <c r="A2937" s="2" t="str">
        <f t="shared" si="102"/>
        <v>30780</v>
      </c>
      <c r="B2937" s="2" t="str">
        <f>"72132"</f>
        <v>72132</v>
      </c>
      <c r="C2937" s="1">
        <v>7.8964073926888502E-4</v>
      </c>
      <c r="D2937" s="1">
        <v>1.8612566141083201E-4</v>
      </c>
      <c r="E2937" s="1">
        <v>0</v>
      </c>
      <c r="F2937" s="1">
        <v>7.2406103394990302E-4</v>
      </c>
    </row>
    <row r="2938" spans="1:6" x14ac:dyDescent="0.25">
      <c r="A2938" s="2" t="str">
        <f t="shared" si="102"/>
        <v>30780</v>
      </c>
      <c r="B2938" s="2" t="str">
        <f>"72201"</f>
        <v>72201</v>
      </c>
      <c r="C2938" s="1">
        <v>2.16764124505184E-3</v>
      </c>
      <c r="D2938" s="1">
        <v>6.31763673588768E-2</v>
      </c>
      <c r="E2938" s="1">
        <v>3.9262260723766901E-2</v>
      </c>
      <c r="F2938" s="1">
        <v>8.0895892515105792E-3</v>
      </c>
    </row>
    <row r="2939" spans="1:6" x14ac:dyDescent="0.25">
      <c r="A2939" s="2" t="str">
        <f t="shared" si="102"/>
        <v>30780</v>
      </c>
      <c r="B2939" s="2" t="str">
        <f>"72024"</f>
        <v>72024</v>
      </c>
      <c r="C2939" s="1">
        <v>3.4011323344980099E-3</v>
      </c>
      <c r="D2939" s="1">
        <v>1.27629024967428E-3</v>
      </c>
      <c r="E2939" s="1">
        <v>4.3314237809137903E-3</v>
      </c>
      <c r="F2939" s="1">
        <v>3.23167177133551E-3</v>
      </c>
    </row>
    <row r="2940" spans="1:6" x14ac:dyDescent="0.25">
      <c r="A2940" s="2" t="str">
        <f t="shared" si="102"/>
        <v>30780</v>
      </c>
      <c r="B2940" s="2" t="str">
        <f>"72015"</f>
        <v>72015</v>
      </c>
      <c r="C2940" s="1">
        <v>3.2973952177705199E-2</v>
      </c>
      <c r="D2940" s="1">
        <v>3.23858650854848E-2</v>
      </c>
      <c r="E2940" s="1">
        <v>2.2495458991197401E-2</v>
      </c>
      <c r="F2940" s="1">
        <v>3.2749303698494499E-2</v>
      </c>
    </row>
    <row r="2941" spans="1:6" x14ac:dyDescent="0.25">
      <c r="A2941" s="2" t="str">
        <f t="shared" si="102"/>
        <v>30780</v>
      </c>
      <c r="B2941" s="2" t="str">
        <f>"72011"</f>
        <v>72011</v>
      </c>
      <c r="C2941" s="1">
        <v>5.2126610892913299E-3</v>
      </c>
      <c r="D2941" s="1">
        <v>8.24270786247972E-4</v>
      </c>
      <c r="E2941" s="1">
        <v>4.1917004331423698E-4</v>
      </c>
      <c r="F2941" s="1">
        <v>4.75150595441885E-3</v>
      </c>
    </row>
    <row r="2942" spans="1:6" x14ac:dyDescent="0.25">
      <c r="A2942" s="2" t="str">
        <f t="shared" si="102"/>
        <v>30780</v>
      </c>
      <c r="B2942" s="2" t="str">
        <f>"71603"</f>
        <v>71603</v>
      </c>
      <c r="C2942" s="1">
        <v>1.54831517503703E-4</v>
      </c>
      <c r="D2942" s="1">
        <v>2.65893802015475E-5</v>
      </c>
      <c r="E2942" s="1">
        <v>0</v>
      </c>
      <c r="F2942" s="1">
        <v>1.4111093632889401E-4</v>
      </c>
    </row>
    <row r="2943" spans="1:6" x14ac:dyDescent="0.25">
      <c r="A2943" s="2" t="str">
        <f t="shared" si="102"/>
        <v>30780</v>
      </c>
      <c r="B2943" s="2" t="str">
        <f>"72260"</f>
        <v>72260</v>
      </c>
      <c r="C2943" s="1">
        <v>2.1005475874669001E-3</v>
      </c>
      <c r="D2943" s="1">
        <v>3.0577787231779599E-3</v>
      </c>
      <c r="E2943" s="1">
        <v>2.7944669554282498E-4</v>
      </c>
      <c r="F2943" s="1">
        <v>2.1536767495442801E-3</v>
      </c>
    </row>
    <row r="2944" spans="1:6" x14ac:dyDescent="0.25">
      <c r="A2944" s="2" t="str">
        <f t="shared" si="102"/>
        <v>30780</v>
      </c>
      <c r="B2944" s="2" t="str">
        <f>"72217"</f>
        <v>72217</v>
      </c>
      <c r="C2944" s="1">
        <v>7.1222498051703401E-4</v>
      </c>
      <c r="D2944" s="1">
        <v>5.6369486027280698E-3</v>
      </c>
      <c r="E2944" s="1">
        <v>2.7944669554282498E-4</v>
      </c>
      <c r="F2944" s="1">
        <v>1.1335140787075101E-3</v>
      </c>
    </row>
    <row r="2945" spans="1:6" x14ac:dyDescent="0.25">
      <c r="A2945" s="2" t="str">
        <f t="shared" si="102"/>
        <v>30780</v>
      </c>
      <c r="B2945" s="2" t="str">
        <f>"72221"</f>
        <v>72221</v>
      </c>
      <c r="C2945" s="1">
        <v>4.3714098441878799E-3</v>
      </c>
      <c r="D2945" s="1">
        <v>1.5049589194075799E-2</v>
      </c>
      <c r="E2945" s="1">
        <v>2.7944669554282498E-4</v>
      </c>
      <c r="F2945" s="1">
        <v>5.2326711143600001E-3</v>
      </c>
    </row>
    <row r="2946" spans="1:6" x14ac:dyDescent="0.25">
      <c r="A2946" s="2" t="str">
        <f t="shared" si="102"/>
        <v>30780</v>
      </c>
      <c r="B2946" s="2" t="str">
        <f>"72223"</f>
        <v>72223</v>
      </c>
      <c r="C2946" s="1">
        <v>3.2821701185493303E-2</v>
      </c>
      <c r="D2946" s="1">
        <v>3.1455236778430602E-2</v>
      </c>
      <c r="E2946" s="1">
        <v>2.6966606119882601E-2</v>
      </c>
      <c r="F2946" s="1">
        <v>3.2605879468127402E-2</v>
      </c>
    </row>
    <row r="2947" spans="1:6" x14ac:dyDescent="0.25">
      <c r="A2947" s="2" t="str">
        <f t="shared" si="102"/>
        <v>30780</v>
      </c>
      <c r="B2947" s="2" t="str">
        <f>"72099"</f>
        <v>72099</v>
      </c>
      <c r="C2947" s="1">
        <v>0</v>
      </c>
      <c r="D2947" s="1">
        <v>0</v>
      </c>
      <c r="E2947" s="1">
        <v>2.7944669554282498E-4</v>
      </c>
      <c r="F2947" s="1">
        <v>4.6265880763572E-6</v>
      </c>
    </row>
    <row r="2948" spans="1:6" x14ac:dyDescent="0.25">
      <c r="A2948" s="2" t="str">
        <f t="shared" si="102"/>
        <v>30780</v>
      </c>
      <c r="B2948" s="2" t="str">
        <f>"72035"</f>
        <v>72035</v>
      </c>
      <c r="C2948" s="1">
        <v>0</v>
      </c>
      <c r="D2948" s="1">
        <v>2.65893802015475E-5</v>
      </c>
      <c r="E2948" s="1">
        <v>0</v>
      </c>
      <c r="F2948" s="1">
        <v>2.3132940381786E-6</v>
      </c>
    </row>
    <row r="2949" spans="1:6" x14ac:dyDescent="0.25">
      <c r="A2949" s="2" t="str">
        <f t="shared" si="102"/>
        <v>30780</v>
      </c>
      <c r="B2949" s="2" t="str">
        <f>"72064"</f>
        <v>72064</v>
      </c>
      <c r="C2949" s="1">
        <v>2.5805252917283802E-6</v>
      </c>
      <c r="D2949" s="1">
        <v>0</v>
      </c>
      <c r="E2949" s="1">
        <v>0</v>
      </c>
      <c r="F2949" s="1">
        <v>2.3132940381786E-6</v>
      </c>
    </row>
    <row r="2950" spans="1:6" x14ac:dyDescent="0.25">
      <c r="A2950" s="2" t="str">
        <f t="shared" ref="A2950:A2981" si="103">"30780"</f>
        <v>30780</v>
      </c>
      <c r="B2950" s="2" t="str">
        <f>"72053"</f>
        <v>72053</v>
      </c>
      <c r="C2950" s="1">
        <v>0</v>
      </c>
      <c r="D2950" s="1">
        <v>0</v>
      </c>
      <c r="E2950" s="1">
        <v>1.39723347771412E-4</v>
      </c>
      <c r="F2950" s="1">
        <v>2.3132940381786E-6</v>
      </c>
    </row>
    <row r="2951" spans="1:6" x14ac:dyDescent="0.25">
      <c r="A2951" s="2" t="str">
        <f t="shared" si="103"/>
        <v>30780</v>
      </c>
      <c r="B2951" s="2" t="str">
        <f>"72135"</f>
        <v>72135</v>
      </c>
      <c r="C2951" s="1">
        <v>3.4191960115400998E-3</v>
      </c>
      <c r="D2951" s="1">
        <v>6.9132388524023505E-4</v>
      </c>
      <c r="E2951" s="1">
        <v>1.39723347771412E-4</v>
      </c>
      <c r="F2951" s="1">
        <v>3.1275735396174699E-3</v>
      </c>
    </row>
    <row r="2952" spans="1:6" x14ac:dyDescent="0.25">
      <c r="A2952" s="2" t="str">
        <f t="shared" si="103"/>
        <v>30780</v>
      </c>
      <c r="B2952" s="2" t="str">
        <f>"72176"</f>
        <v>72176</v>
      </c>
      <c r="C2952" s="1">
        <v>1.0285973812829301E-2</v>
      </c>
      <c r="D2952" s="1">
        <v>1.1433433486665401E-3</v>
      </c>
      <c r="E2952" s="1">
        <v>1.3972334777141199E-3</v>
      </c>
      <c r="F2952" s="1">
        <v>9.3433946202033796E-3</v>
      </c>
    </row>
    <row r="2953" spans="1:6" x14ac:dyDescent="0.25">
      <c r="A2953" s="2" t="str">
        <f t="shared" si="103"/>
        <v>30780</v>
      </c>
      <c r="B2953" s="2" t="str">
        <f>"72033"</f>
        <v>72033</v>
      </c>
      <c r="C2953" s="1">
        <v>3.5895106807941799E-3</v>
      </c>
      <c r="D2953" s="1">
        <v>1.6458826344757899E-2</v>
      </c>
      <c r="E2953" s="1">
        <v>2.7944669554282498E-4</v>
      </c>
      <c r="F2953" s="1">
        <v>4.6543476048153502E-3</v>
      </c>
    </row>
    <row r="2954" spans="1:6" x14ac:dyDescent="0.25">
      <c r="A2954" s="2" t="str">
        <f t="shared" si="103"/>
        <v>30780</v>
      </c>
      <c r="B2954" s="2" t="str">
        <f>"72115"</f>
        <v>72115</v>
      </c>
      <c r="C2954" s="1">
        <v>3.2721060699115899E-3</v>
      </c>
      <c r="D2954" s="1">
        <v>6.1155574463559199E-3</v>
      </c>
      <c r="E2954" s="1">
        <v>2.7944669554282498E-4</v>
      </c>
      <c r="F2954" s="1">
        <v>3.4699410572678999E-3</v>
      </c>
    </row>
    <row r="2955" spans="1:6" x14ac:dyDescent="0.25">
      <c r="A2955" s="2" t="str">
        <f t="shared" si="103"/>
        <v>30780</v>
      </c>
      <c r="B2955" s="2" t="str">
        <f>"72104"</f>
        <v>72104</v>
      </c>
      <c r="C2955" s="1">
        <v>2.73535680923208E-4</v>
      </c>
      <c r="D2955" s="1">
        <v>7.9768140604642498E-5</v>
      </c>
      <c r="E2955" s="1">
        <v>2.7944669554282498E-4</v>
      </c>
      <c r="F2955" s="1">
        <v>2.56775638237825E-4</v>
      </c>
    </row>
    <row r="2956" spans="1:6" x14ac:dyDescent="0.25">
      <c r="A2956" s="2" t="str">
        <f t="shared" si="103"/>
        <v>30780</v>
      </c>
      <c r="B2956" s="2" t="str">
        <f>"72016"</f>
        <v>72016</v>
      </c>
      <c r="C2956" s="1">
        <v>3.9094958169684996E-3</v>
      </c>
      <c r="D2956" s="1">
        <v>9.0403892685261497E-4</v>
      </c>
      <c r="E2956" s="1">
        <v>5.5889339108564995E-4</v>
      </c>
      <c r="F2956" s="1">
        <v>3.5925456412913702E-3</v>
      </c>
    </row>
    <row r="2957" spans="1:6" x14ac:dyDescent="0.25">
      <c r="A2957" s="2" t="str">
        <f t="shared" si="103"/>
        <v>30780</v>
      </c>
      <c r="B2957" s="2" t="str">
        <f>"72001"</f>
        <v>72001</v>
      </c>
      <c r="C2957" s="1">
        <v>4.28367198426911E-4</v>
      </c>
      <c r="D2957" s="1">
        <v>2.65893802015475E-5</v>
      </c>
      <c r="E2957" s="1">
        <v>1.39723347771412E-4</v>
      </c>
      <c r="F2957" s="1">
        <v>3.8863339841400501E-4</v>
      </c>
    </row>
    <row r="2958" spans="1:6" x14ac:dyDescent="0.25">
      <c r="A2958" s="2" t="str">
        <f t="shared" si="103"/>
        <v>30780</v>
      </c>
      <c r="B2958" s="2" t="str">
        <f>"72853"</f>
        <v>72853</v>
      </c>
      <c r="C2958" s="1">
        <v>1.5999256808715899E-4</v>
      </c>
      <c r="D2958" s="1">
        <v>0</v>
      </c>
      <c r="E2958" s="1">
        <v>0</v>
      </c>
      <c r="F2958" s="1">
        <v>1.4342423036707301E-4</v>
      </c>
    </row>
    <row r="2959" spans="1:6" x14ac:dyDescent="0.25">
      <c r="A2959" s="2" t="str">
        <f t="shared" si="103"/>
        <v>30780</v>
      </c>
      <c r="B2959" s="2" t="str">
        <f>"72222"</f>
        <v>72222</v>
      </c>
      <c r="C2959" s="1">
        <v>3.9998142021789899E-4</v>
      </c>
      <c r="D2959" s="1">
        <v>1.6485415724959401E-3</v>
      </c>
      <c r="E2959" s="1">
        <v>1.39723347771412E-4</v>
      </c>
      <c r="F2959" s="1">
        <v>5.0429810032293499E-4</v>
      </c>
    </row>
    <row r="2960" spans="1:6" x14ac:dyDescent="0.25">
      <c r="A2960" s="2" t="str">
        <f t="shared" si="103"/>
        <v>30780</v>
      </c>
      <c r="B2960" s="2" t="str">
        <f>"72209"</f>
        <v>72209</v>
      </c>
      <c r="C2960" s="1">
        <v>3.7696313461568202E-2</v>
      </c>
      <c r="D2960" s="1">
        <v>3.9724534021111903E-2</v>
      </c>
      <c r="E2960" s="1">
        <v>4.7785384937823097E-2</v>
      </c>
      <c r="F2960" s="1">
        <v>3.8039807163808899E-2</v>
      </c>
    </row>
    <row r="2961" spans="1:6" x14ac:dyDescent="0.25">
      <c r="A2961" s="2" t="str">
        <f t="shared" si="103"/>
        <v>30780</v>
      </c>
      <c r="B2961" s="2" t="str">
        <f>"72046"</f>
        <v>72046</v>
      </c>
      <c r="C2961" s="1">
        <v>5.4242641632130601E-3</v>
      </c>
      <c r="D2961" s="1">
        <v>6.3016831077667501E-3</v>
      </c>
      <c r="E2961" s="1">
        <v>9.7806343439988796E-4</v>
      </c>
      <c r="F2961" s="1">
        <v>5.4269878135669997E-3</v>
      </c>
    </row>
    <row r="2962" spans="1:6" x14ac:dyDescent="0.25">
      <c r="A2962" s="2" t="str">
        <f t="shared" si="103"/>
        <v>30780</v>
      </c>
      <c r="B2962" s="2" t="str">
        <f>"72142"</f>
        <v>72142</v>
      </c>
      <c r="C2962" s="1">
        <v>3.3882297080393602E-3</v>
      </c>
      <c r="D2962" s="1">
        <v>2.1271504161237999E-3</v>
      </c>
      <c r="E2962" s="1">
        <v>2.7944669554282498E-4</v>
      </c>
      <c r="F2962" s="1">
        <v>3.22704518325915E-3</v>
      </c>
    </row>
    <row r="2963" spans="1:6" x14ac:dyDescent="0.25">
      <c r="A2963" s="2" t="str">
        <f t="shared" si="103"/>
        <v>30780</v>
      </c>
      <c r="B2963" s="2" t="str">
        <f>"72120"</f>
        <v>72120</v>
      </c>
      <c r="C2963" s="1">
        <v>4.1592906652078002E-2</v>
      </c>
      <c r="D2963" s="1">
        <v>2.4674944827035999E-2</v>
      </c>
      <c r="E2963" s="1">
        <v>4.7645661590051597E-2</v>
      </c>
      <c r="F2963" s="1">
        <v>4.0221243441811397E-2</v>
      </c>
    </row>
    <row r="2964" spans="1:6" x14ac:dyDescent="0.25">
      <c r="A2964" s="2" t="str">
        <f t="shared" si="103"/>
        <v>30780</v>
      </c>
      <c r="B2964" s="2" t="str">
        <f>"72119"</f>
        <v>72119</v>
      </c>
      <c r="C2964" s="1">
        <v>4.8255822955320702E-4</v>
      </c>
      <c r="D2964" s="1">
        <v>1.6751309526974901E-3</v>
      </c>
      <c r="E2964" s="1">
        <v>2.7944669554282498E-4</v>
      </c>
      <c r="F2964" s="1">
        <v>5.82950097621008E-4</v>
      </c>
    </row>
    <row r="2965" spans="1:6" x14ac:dyDescent="0.25">
      <c r="A2965" s="2" t="str">
        <f t="shared" si="103"/>
        <v>30780</v>
      </c>
      <c r="B2965" s="2" t="str">
        <f>"72118"</f>
        <v>72118</v>
      </c>
      <c r="C2965" s="1">
        <v>2.8548351302391101E-2</v>
      </c>
      <c r="D2965" s="1">
        <v>2.1324682921641001E-2</v>
      </c>
      <c r="E2965" s="1">
        <v>2.8922732988682399E-2</v>
      </c>
      <c r="F2965" s="1">
        <v>2.7926085628892101E-2</v>
      </c>
    </row>
    <row r="2966" spans="1:6" x14ac:dyDescent="0.25">
      <c r="A2966" s="2" t="str">
        <f t="shared" si="103"/>
        <v>30780</v>
      </c>
      <c r="B2966" s="2" t="str">
        <f>"72199"</f>
        <v>72199</v>
      </c>
      <c r="C2966" s="1">
        <v>0</v>
      </c>
      <c r="D2966" s="1">
        <v>0</v>
      </c>
      <c r="E2966" s="1">
        <v>5.5889339108564995E-4</v>
      </c>
      <c r="F2966" s="1">
        <v>9.2531761527144101E-6</v>
      </c>
    </row>
    <row r="2967" spans="1:6" x14ac:dyDescent="0.25">
      <c r="A2967" s="2" t="str">
        <f t="shared" si="103"/>
        <v>30780</v>
      </c>
      <c r="B2967" s="2" t="str">
        <f>"72025"</f>
        <v>72025</v>
      </c>
      <c r="C2967" s="1">
        <v>1.04253221785826E-3</v>
      </c>
      <c r="D2967" s="1">
        <v>1.8612566141083201E-4</v>
      </c>
      <c r="E2967" s="1">
        <v>4.1917004331423698E-4</v>
      </c>
      <c r="F2967" s="1">
        <v>9.5770373180594198E-4</v>
      </c>
    </row>
    <row r="2968" spans="1:6" x14ac:dyDescent="0.25">
      <c r="A2968" s="2" t="str">
        <f t="shared" si="103"/>
        <v>30780</v>
      </c>
      <c r="B2968" s="2" t="str">
        <f>"72113"</f>
        <v>72113</v>
      </c>
      <c r="C2968" s="1">
        <v>3.3652630329429799E-2</v>
      </c>
      <c r="D2968" s="1">
        <v>3.1109574835810502E-2</v>
      </c>
      <c r="E2968" s="1">
        <v>6.9442503842392006E-2</v>
      </c>
      <c r="F2968" s="1">
        <v>3.4023928713530903E-2</v>
      </c>
    </row>
    <row r="2969" spans="1:6" x14ac:dyDescent="0.25">
      <c r="A2969" s="2" t="str">
        <f t="shared" si="103"/>
        <v>30780</v>
      </c>
      <c r="B2969" s="2" t="str">
        <f>"72089"</f>
        <v>72089</v>
      </c>
      <c r="C2969" s="1">
        <v>0</v>
      </c>
      <c r="D2969" s="1">
        <v>0</v>
      </c>
      <c r="E2969" s="1">
        <v>1.39723347771412E-4</v>
      </c>
      <c r="F2969" s="1">
        <v>2.3132940381786E-6</v>
      </c>
    </row>
    <row r="2970" spans="1:6" x14ac:dyDescent="0.25">
      <c r="A2970" s="2" t="str">
        <f t="shared" si="103"/>
        <v>30780</v>
      </c>
      <c r="B2970" s="2" t="str">
        <f>"72083"</f>
        <v>72083</v>
      </c>
      <c r="C2970" s="1">
        <v>0</v>
      </c>
      <c r="D2970" s="1">
        <v>0</v>
      </c>
      <c r="E2970" s="1">
        <v>1.39723347771412E-4</v>
      </c>
      <c r="F2970" s="1">
        <v>2.3132940381786E-6</v>
      </c>
    </row>
    <row r="2971" spans="1:6" x14ac:dyDescent="0.25">
      <c r="A2971" s="2" t="str">
        <f t="shared" si="103"/>
        <v>30780</v>
      </c>
      <c r="B2971" s="2" t="str">
        <f>"72037"</f>
        <v>72037</v>
      </c>
      <c r="C2971" s="1">
        <v>0</v>
      </c>
      <c r="D2971" s="1">
        <v>0</v>
      </c>
      <c r="E2971" s="1">
        <v>1.39723347771412E-4</v>
      </c>
      <c r="F2971" s="1">
        <v>2.3132940381786E-6</v>
      </c>
    </row>
    <row r="2972" spans="1:6" x14ac:dyDescent="0.25">
      <c r="A2972" s="2" t="str">
        <f t="shared" si="103"/>
        <v>30780</v>
      </c>
      <c r="B2972" s="2" t="str">
        <f>"72061"</f>
        <v>72061</v>
      </c>
      <c r="C2972" s="1">
        <v>1.2902626458641901E-4</v>
      </c>
      <c r="D2972" s="1">
        <v>7.9768140604642498E-5</v>
      </c>
      <c r="E2972" s="1">
        <v>1.39723347771412E-4</v>
      </c>
      <c r="F2972" s="1">
        <v>1.2491787806164401E-4</v>
      </c>
    </row>
    <row r="2973" spans="1:6" x14ac:dyDescent="0.25">
      <c r="A2973" s="2" t="str">
        <f t="shared" si="103"/>
        <v>30780</v>
      </c>
      <c r="B2973" s="2" t="str">
        <f>"72057"</f>
        <v>72057</v>
      </c>
      <c r="C2973" s="1">
        <v>1.4915436186189999E-3</v>
      </c>
      <c r="D2973" s="1">
        <v>2.9248318221702197E-4</v>
      </c>
      <c r="E2973" s="1">
        <v>1.39723347771412E-4</v>
      </c>
      <c r="F2973" s="1">
        <v>1.3648434825253701E-3</v>
      </c>
    </row>
    <row r="2974" spans="1:6" x14ac:dyDescent="0.25">
      <c r="A2974" s="2" t="str">
        <f t="shared" si="103"/>
        <v>30780</v>
      </c>
      <c r="B2974" s="2" t="str">
        <f>"72047"</f>
        <v>72047</v>
      </c>
      <c r="C2974" s="1">
        <v>1.31090684819801E-3</v>
      </c>
      <c r="D2974" s="1">
        <v>1.32946901007737E-4</v>
      </c>
      <c r="E2974" s="1">
        <v>1.39723347771412E-4</v>
      </c>
      <c r="F2974" s="1">
        <v>1.1890331356238001E-3</v>
      </c>
    </row>
    <row r="2975" spans="1:6" x14ac:dyDescent="0.25">
      <c r="A2975" s="2" t="str">
        <f t="shared" si="103"/>
        <v>30780</v>
      </c>
      <c r="B2975" s="2" t="str">
        <f>"72125"</f>
        <v>72125</v>
      </c>
      <c r="C2975" s="1">
        <v>7.6899653693505803E-4</v>
      </c>
      <c r="D2975" s="1">
        <v>2.9248318221702197E-4</v>
      </c>
      <c r="E2975" s="1">
        <v>4.1917004331423698E-4</v>
      </c>
      <c r="F2975" s="1">
        <v>7.2174773991172403E-4</v>
      </c>
    </row>
    <row r="2976" spans="1:6" x14ac:dyDescent="0.25">
      <c r="A2976" s="2" t="str">
        <f t="shared" si="103"/>
        <v>30780</v>
      </c>
      <c r="B2976" s="2" t="str">
        <f>"72164"</f>
        <v>72164</v>
      </c>
      <c r="C2976" s="1">
        <v>0</v>
      </c>
      <c r="D2976" s="1">
        <v>0</v>
      </c>
      <c r="E2976" s="1">
        <v>1.39723347771412E-4</v>
      </c>
      <c r="F2976" s="1">
        <v>2.3132940381786E-6</v>
      </c>
    </row>
    <row r="2977" spans="1:6" x14ac:dyDescent="0.25">
      <c r="A2977" s="2" t="str">
        <f t="shared" si="103"/>
        <v>30780</v>
      </c>
      <c r="B2977" s="2" t="str">
        <f>"72150"</f>
        <v>72150</v>
      </c>
      <c r="C2977" s="1">
        <v>1.5121878209528299E-2</v>
      </c>
      <c r="D2977" s="1">
        <v>1.28958493977505E-2</v>
      </c>
      <c r="E2977" s="1">
        <v>8.3834008662847497E-3</v>
      </c>
      <c r="F2977" s="1">
        <v>1.4816648314533901E-2</v>
      </c>
    </row>
    <row r="2978" spans="1:6" x14ac:dyDescent="0.25">
      <c r="A2978" s="2" t="str">
        <f t="shared" si="103"/>
        <v>30780</v>
      </c>
      <c r="B2978" s="2" t="str">
        <f>"72202"</f>
        <v>72202</v>
      </c>
      <c r="C2978" s="1">
        <v>1.86701004856548E-2</v>
      </c>
      <c r="D2978" s="1">
        <v>2.7839081071020198E-2</v>
      </c>
      <c r="E2978" s="1">
        <v>5.6308509151879203E-2</v>
      </c>
      <c r="F2978" s="1">
        <v>2.0090958721581099E-2</v>
      </c>
    </row>
    <row r="2979" spans="1:6" x14ac:dyDescent="0.25">
      <c r="A2979" s="2" t="str">
        <f t="shared" si="103"/>
        <v>30780</v>
      </c>
      <c r="B2979" s="2" t="str">
        <f>"72114"</f>
        <v>72114</v>
      </c>
      <c r="C2979" s="1">
        <v>1.9710052178221301E-2</v>
      </c>
      <c r="D2979" s="1">
        <v>3.48852668244303E-2</v>
      </c>
      <c r="E2979" s="1">
        <v>4.02403241581668E-2</v>
      </c>
      <c r="F2979" s="1">
        <v>2.1370210324693901E-2</v>
      </c>
    </row>
    <row r="2980" spans="1:6" x14ac:dyDescent="0.25">
      <c r="A2980" s="2" t="str">
        <f t="shared" si="103"/>
        <v>30780</v>
      </c>
      <c r="B2980" s="2" t="str">
        <f>"72111"</f>
        <v>72111</v>
      </c>
      <c r="C2980" s="1">
        <v>1.1844611089033201E-3</v>
      </c>
      <c r="D2980" s="1">
        <v>2.1271504161238E-4</v>
      </c>
      <c r="E2980" s="1">
        <v>1.39723347771412E-4</v>
      </c>
      <c r="F2980" s="1">
        <v>1.08262160986758E-3</v>
      </c>
    </row>
    <row r="2981" spans="1:6" x14ac:dyDescent="0.25">
      <c r="A2981" s="2" t="str">
        <f t="shared" si="103"/>
        <v>30780</v>
      </c>
      <c r="B2981" s="2" t="str">
        <f>"72106"</f>
        <v>72106</v>
      </c>
      <c r="C2981" s="1">
        <v>7.0783808752109502E-3</v>
      </c>
      <c r="D2981" s="1">
        <v>3.48320880640272E-3</v>
      </c>
      <c r="E2981" s="1">
        <v>1.6766801732569501E-3</v>
      </c>
      <c r="F2981" s="1">
        <v>6.6761665941834497E-3</v>
      </c>
    </row>
    <row r="2982" spans="1:6" x14ac:dyDescent="0.25">
      <c r="A2982" s="2" t="str">
        <f t="shared" ref="A2982:A3016" si="104">"30780"</f>
        <v>30780</v>
      </c>
      <c r="B2982" s="2" t="str">
        <f>"72002"</f>
        <v>72002</v>
      </c>
      <c r="C2982" s="1">
        <v>2.45975670807549E-2</v>
      </c>
      <c r="D2982" s="1">
        <v>8.3756547634874605E-3</v>
      </c>
      <c r="E2982" s="1">
        <v>2.65474360765683E-3</v>
      </c>
      <c r="F2982" s="1">
        <v>2.2822958980670102E-2</v>
      </c>
    </row>
    <row r="2983" spans="1:6" x14ac:dyDescent="0.25">
      <c r="A2983" s="2" t="str">
        <f t="shared" si="104"/>
        <v>30780</v>
      </c>
      <c r="B2983" s="2" t="str">
        <f>"71602"</f>
        <v>71602</v>
      </c>
      <c r="C2983" s="1">
        <v>2.8385778209012198E-4</v>
      </c>
      <c r="D2983" s="1">
        <v>7.9768140604642498E-5</v>
      </c>
      <c r="E2983" s="1">
        <v>2.7944669554282498E-4</v>
      </c>
      <c r="F2983" s="1">
        <v>2.6602881439053902E-4</v>
      </c>
    </row>
    <row r="2984" spans="1:6" x14ac:dyDescent="0.25">
      <c r="A2984" s="2" t="str">
        <f t="shared" si="104"/>
        <v>30780</v>
      </c>
      <c r="B2984" s="2" t="str">
        <f>"72225"</f>
        <v>72225</v>
      </c>
      <c r="C2984" s="1">
        <v>1.71088826841591E-3</v>
      </c>
      <c r="D2984" s="1">
        <v>6.4612193889760404E-3</v>
      </c>
      <c r="E2984" s="1">
        <v>2.7944669554282498E-4</v>
      </c>
      <c r="F2984" s="1">
        <v>2.1004709866661699E-3</v>
      </c>
    </row>
    <row r="2985" spans="1:6" x14ac:dyDescent="0.25">
      <c r="A2985" s="2" t="str">
        <f t="shared" si="104"/>
        <v>30780</v>
      </c>
      <c r="B2985" s="2" t="str">
        <f>"72084"</f>
        <v>72084</v>
      </c>
      <c r="C2985" s="1">
        <v>8.9286175093801999E-4</v>
      </c>
      <c r="D2985" s="1">
        <v>1.59536281209285E-4</v>
      </c>
      <c r="E2985" s="1">
        <v>1.39723347771412E-4</v>
      </c>
      <c r="F2985" s="1">
        <v>8.1659279547704696E-4</v>
      </c>
    </row>
    <row r="2986" spans="1:6" x14ac:dyDescent="0.25">
      <c r="A2986" s="2" t="str">
        <f t="shared" si="104"/>
        <v>30780</v>
      </c>
      <c r="B2986" s="2" t="str">
        <f>"72203"</f>
        <v>72203</v>
      </c>
      <c r="C2986" s="1">
        <v>6.2397101553992298E-3</v>
      </c>
      <c r="D2986" s="1">
        <v>1.8905049323300199E-2</v>
      </c>
      <c r="E2986" s="1">
        <v>2.7944669554282498E-4</v>
      </c>
      <c r="F2986" s="1">
        <v>7.2429236335372097E-3</v>
      </c>
    </row>
    <row r="2987" spans="1:6" x14ac:dyDescent="0.25">
      <c r="A2987" s="2" t="str">
        <f t="shared" si="104"/>
        <v>30780</v>
      </c>
      <c r="B2987" s="2" t="str">
        <f>"72131"</f>
        <v>72131</v>
      </c>
      <c r="C2987" s="1">
        <v>1.4373525874927099E-3</v>
      </c>
      <c r="D2987" s="1">
        <v>1.32946901007737E-4</v>
      </c>
      <c r="E2987" s="1">
        <v>0</v>
      </c>
      <c r="F2987" s="1">
        <v>1.3000712494563699E-3</v>
      </c>
    </row>
    <row r="2988" spans="1:6" x14ac:dyDescent="0.25">
      <c r="A2988" s="2" t="str">
        <f t="shared" si="104"/>
        <v>30780</v>
      </c>
      <c r="B2988" s="2" t="str">
        <f>"72126"</f>
        <v>72126</v>
      </c>
      <c r="C2988" s="1">
        <v>4.9055785795756503E-3</v>
      </c>
      <c r="D2988" s="1">
        <v>2.5791698795500999E-3</v>
      </c>
      <c r="E2988" s="1">
        <v>2.5150202598854198E-3</v>
      </c>
      <c r="F2988" s="1">
        <v>4.6636007809680597E-3</v>
      </c>
    </row>
    <row r="2989" spans="1:6" x14ac:dyDescent="0.25">
      <c r="A2989" s="2" t="str">
        <f t="shared" si="104"/>
        <v>30780</v>
      </c>
      <c r="B2989" s="2" t="str">
        <f>"72167"</f>
        <v>72167</v>
      </c>
      <c r="C2989" s="1">
        <v>1.56895937737085E-3</v>
      </c>
      <c r="D2989" s="1">
        <v>1.8612566141083201E-4</v>
      </c>
      <c r="E2989" s="1">
        <v>1.39723347771412E-4</v>
      </c>
      <c r="F2989" s="1">
        <v>1.42498912751802E-3</v>
      </c>
    </row>
    <row r="2990" spans="1:6" x14ac:dyDescent="0.25">
      <c r="A2990" s="2" t="str">
        <f t="shared" si="104"/>
        <v>30780</v>
      </c>
      <c r="B2990" s="2" t="str">
        <f>"72019"</f>
        <v>72019</v>
      </c>
      <c r="C2990" s="1">
        <v>3.1737880562967301E-2</v>
      </c>
      <c r="D2990" s="1">
        <v>1.24172405541226E-2</v>
      </c>
      <c r="E2990" s="1">
        <v>7.40533743188486E-3</v>
      </c>
      <c r="F2990" s="1">
        <v>2.96541162754115E-2</v>
      </c>
    </row>
    <row r="2991" spans="1:6" x14ac:dyDescent="0.25">
      <c r="A2991" s="2" t="str">
        <f t="shared" si="104"/>
        <v>30780</v>
      </c>
      <c r="B2991" s="2" t="str">
        <f>"71909"</f>
        <v>71909</v>
      </c>
      <c r="C2991" s="1">
        <v>1.05362847661269E-2</v>
      </c>
      <c r="D2991" s="1">
        <v>1.9144353745114201E-3</v>
      </c>
      <c r="E2991" s="1">
        <v>1.1177867821712999E-3</v>
      </c>
      <c r="F2991" s="1">
        <v>9.6302430809375294E-3</v>
      </c>
    </row>
    <row r="2992" spans="1:6" x14ac:dyDescent="0.25">
      <c r="A2992" s="2" t="str">
        <f t="shared" si="104"/>
        <v>30780</v>
      </c>
      <c r="B2992" s="2" t="str">
        <f>"72857"</f>
        <v>72857</v>
      </c>
      <c r="C2992" s="1">
        <v>5.5997398830505895E-4</v>
      </c>
      <c r="D2992" s="1">
        <v>5.3178760403095001E-5</v>
      </c>
      <c r="E2992" s="1">
        <v>0</v>
      </c>
      <c r="F2992" s="1">
        <v>5.0661139436111399E-4</v>
      </c>
    </row>
    <row r="2993" spans="1:6" x14ac:dyDescent="0.25">
      <c r="A2993" s="2" t="str">
        <f t="shared" si="104"/>
        <v>30780</v>
      </c>
      <c r="B2993" s="2" t="str">
        <f>"72255"</f>
        <v>72255</v>
      </c>
      <c r="C2993" s="1">
        <v>0</v>
      </c>
      <c r="D2993" s="1">
        <v>0</v>
      </c>
      <c r="E2993" s="1">
        <v>1.39723347771412E-4</v>
      </c>
      <c r="F2993" s="1">
        <v>2.3132940381786E-6</v>
      </c>
    </row>
    <row r="2994" spans="1:6" x14ac:dyDescent="0.25">
      <c r="A2994" s="2" t="str">
        <f t="shared" si="104"/>
        <v>30780</v>
      </c>
      <c r="B2994" s="2" t="str">
        <f>"72231"</f>
        <v>72231</v>
      </c>
      <c r="C2994" s="1">
        <v>1.16639743186122E-3</v>
      </c>
      <c r="D2994" s="1">
        <v>5.0785716184955703E-3</v>
      </c>
      <c r="E2994" s="1">
        <v>2.7944669554282498E-4</v>
      </c>
      <c r="F2994" s="1">
        <v>1.4920746546252001E-3</v>
      </c>
    </row>
    <row r="2995" spans="1:6" x14ac:dyDescent="0.25">
      <c r="A2995" s="2" t="str">
        <f t="shared" si="104"/>
        <v>30780</v>
      </c>
      <c r="B2995" s="2" t="str">
        <f>"72214"</f>
        <v>72214</v>
      </c>
      <c r="C2995" s="1">
        <v>3.4011323344980099E-3</v>
      </c>
      <c r="D2995" s="1">
        <v>7.3386689356271101E-3</v>
      </c>
      <c r="E2995" s="1">
        <v>2.7944669554282498E-4</v>
      </c>
      <c r="F2995" s="1">
        <v>3.6920172849330499E-3</v>
      </c>
    </row>
    <row r="2996" spans="1:6" x14ac:dyDescent="0.25">
      <c r="A2996" s="2" t="str">
        <f t="shared" si="104"/>
        <v>30780</v>
      </c>
      <c r="B2996" s="2" t="str">
        <f>"72212"</f>
        <v>72212</v>
      </c>
      <c r="C2996" s="1">
        <v>1.40870875675452E-2</v>
      </c>
      <c r="D2996" s="1">
        <v>1.64056475843548E-2</v>
      </c>
      <c r="E2996" s="1">
        <v>1.2714824647198499E-2</v>
      </c>
      <c r="F2996" s="1">
        <v>1.42660843334474E-2</v>
      </c>
    </row>
    <row r="2997" spans="1:6" x14ac:dyDescent="0.25">
      <c r="A2997" s="2" t="str">
        <f t="shared" si="104"/>
        <v>30780</v>
      </c>
      <c r="B2997" s="2" t="str">
        <f>"72211"</f>
        <v>72211</v>
      </c>
      <c r="C2997" s="1">
        <v>3.3270712586253998E-2</v>
      </c>
      <c r="D2997" s="1">
        <v>3.6959238480151001E-2</v>
      </c>
      <c r="E2997" s="1">
        <v>3.9401984071538297E-2</v>
      </c>
      <c r="F2997" s="1">
        <v>3.3693127666071299E-2</v>
      </c>
    </row>
    <row r="2998" spans="1:6" x14ac:dyDescent="0.25">
      <c r="A2998" s="2" t="str">
        <f t="shared" si="104"/>
        <v>30780</v>
      </c>
      <c r="B2998" s="2" t="str">
        <f>"72207"</f>
        <v>72207</v>
      </c>
      <c r="C2998" s="1">
        <v>1.5276709727032E-2</v>
      </c>
      <c r="D2998" s="1">
        <v>2.0340875854183801E-2</v>
      </c>
      <c r="E2998" s="1">
        <v>1.3413441386055601E-2</v>
      </c>
      <c r="F2998" s="1">
        <v>1.5686446872889101E-2</v>
      </c>
    </row>
    <row r="2999" spans="1:6" x14ac:dyDescent="0.25">
      <c r="A2999" s="2" t="str">
        <f t="shared" si="104"/>
        <v>30780</v>
      </c>
      <c r="B2999" s="2" t="str">
        <f>"72079"</f>
        <v>72079</v>
      </c>
      <c r="C2999" s="1">
        <v>8.2576809335308194E-5</v>
      </c>
      <c r="D2999" s="1">
        <v>0</v>
      </c>
      <c r="E2999" s="1">
        <v>0</v>
      </c>
      <c r="F2999" s="1">
        <v>7.4025409221715294E-5</v>
      </c>
    </row>
    <row r="3000" spans="1:6" x14ac:dyDescent="0.25">
      <c r="A3000" s="2" t="str">
        <f t="shared" si="104"/>
        <v>30780</v>
      </c>
      <c r="B3000" s="2" t="str">
        <f>"72103"</f>
        <v>72103</v>
      </c>
      <c r="C3000" s="1">
        <v>1.82752801160204E-2</v>
      </c>
      <c r="D3000" s="1">
        <v>8.6149591853013907E-3</v>
      </c>
      <c r="E3000" s="1">
        <v>5.3094872153136704E-3</v>
      </c>
      <c r="F3000" s="1">
        <v>1.7220160820201499E-2</v>
      </c>
    </row>
    <row r="3001" spans="1:6" x14ac:dyDescent="0.25">
      <c r="A3001" s="2" t="str">
        <f t="shared" si="104"/>
        <v>30780</v>
      </c>
      <c r="B3001" s="2" t="str">
        <f>"72058"</f>
        <v>72058</v>
      </c>
      <c r="C3001" s="1">
        <v>1.98158537151822E-2</v>
      </c>
      <c r="D3001" s="1">
        <v>9.0403892685261503E-3</v>
      </c>
      <c r="E3001" s="1">
        <v>8.9422942573703992E-3</v>
      </c>
      <c r="F3001" s="1">
        <v>1.8698355710597601E-2</v>
      </c>
    </row>
    <row r="3002" spans="1:6" x14ac:dyDescent="0.25">
      <c r="A3002" s="2" t="str">
        <f t="shared" si="104"/>
        <v>30780</v>
      </c>
      <c r="B3002" s="2" t="str">
        <f>"72124"</f>
        <v>72124</v>
      </c>
      <c r="C3002" s="1">
        <v>1.79088455245949E-3</v>
      </c>
      <c r="D3002" s="1">
        <v>7.5247945970379404E-3</v>
      </c>
      <c r="E3002" s="1">
        <v>2.7944669554282498E-4</v>
      </c>
      <c r="F3002" s="1">
        <v>2.2647148633768502E-3</v>
      </c>
    </row>
    <row r="3003" spans="1:6" x14ac:dyDescent="0.25">
      <c r="A3003" s="2" t="str">
        <f t="shared" si="104"/>
        <v>30780</v>
      </c>
      <c r="B3003" s="2" t="str">
        <f>"72129"</f>
        <v>72129</v>
      </c>
      <c r="C3003" s="1">
        <v>1.7083077431241901E-3</v>
      </c>
      <c r="D3003" s="1">
        <v>2.9248318221702197E-4</v>
      </c>
      <c r="E3003" s="1">
        <v>2.7944669554282498E-4</v>
      </c>
      <c r="F3003" s="1">
        <v>1.56147347577055E-3</v>
      </c>
    </row>
    <row r="3004" spans="1:6" x14ac:dyDescent="0.25">
      <c r="A3004" s="2" t="str">
        <f t="shared" si="104"/>
        <v>30780</v>
      </c>
      <c r="B3004" s="2" t="str">
        <f>"72128"</f>
        <v>72128</v>
      </c>
      <c r="C3004" s="1">
        <v>8.51573346270366E-4</v>
      </c>
      <c r="D3004" s="1">
        <v>2.1271504161238E-4</v>
      </c>
      <c r="E3004" s="1">
        <v>4.1917004331423698E-4</v>
      </c>
      <c r="F3004" s="1">
        <v>7.8883326701890402E-4</v>
      </c>
    </row>
    <row r="3005" spans="1:6" x14ac:dyDescent="0.25">
      <c r="A3005" s="2" t="str">
        <f t="shared" si="104"/>
        <v>30780</v>
      </c>
      <c r="B3005" s="2" t="str">
        <f>"72122"</f>
        <v>72122</v>
      </c>
      <c r="C3005" s="1">
        <v>1.7547571983752999E-3</v>
      </c>
      <c r="D3005" s="1">
        <v>4.52019463426307E-4</v>
      </c>
      <c r="E3005" s="1">
        <v>1.39723347771412E-4</v>
      </c>
      <c r="F3005" s="1">
        <v>1.61467923864866E-3</v>
      </c>
    </row>
    <row r="3006" spans="1:6" x14ac:dyDescent="0.25">
      <c r="A3006" s="2" t="str">
        <f t="shared" si="104"/>
        <v>30780</v>
      </c>
      <c r="B3006" s="2" t="str">
        <f>"72183"</f>
        <v>72183</v>
      </c>
      <c r="C3006" s="1">
        <v>0</v>
      </c>
      <c r="D3006" s="1">
        <v>0</v>
      </c>
      <c r="E3006" s="1">
        <v>1.39723347771412E-4</v>
      </c>
      <c r="F3006" s="1">
        <v>2.3132940381786E-6</v>
      </c>
    </row>
    <row r="3007" spans="1:6" x14ac:dyDescent="0.25">
      <c r="A3007" s="2" t="str">
        <f t="shared" si="104"/>
        <v>30780</v>
      </c>
      <c r="B3007" s="2" t="str">
        <f>"72116"</f>
        <v>72116</v>
      </c>
      <c r="C3007" s="1">
        <v>2.8161272508631801E-2</v>
      </c>
      <c r="D3007" s="1">
        <v>2.94876226435161E-2</v>
      </c>
      <c r="E3007" s="1">
        <v>4.2895067765823601E-2</v>
      </c>
      <c r="F3007" s="1">
        <v>2.8520602196703999E-2</v>
      </c>
    </row>
    <row r="3008" spans="1:6" x14ac:dyDescent="0.25">
      <c r="A3008" s="2" t="str">
        <f t="shared" si="104"/>
        <v>30780</v>
      </c>
      <c r="B3008" s="2" t="str">
        <f>"72018"</f>
        <v>72018</v>
      </c>
      <c r="C3008" s="1">
        <v>4.53140241227504E-3</v>
      </c>
      <c r="D3008" s="1">
        <v>1.24970086947273E-2</v>
      </c>
      <c r="E3008" s="1">
        <v>2.7944669554282498E-4</v>
      </c>
      <c r="F3008" s="1">
        <v>5.1540191170619297E-3</v>
      </c>
    </row>
    <row r="3009" spans="1:6" x14ac:dyDescent="0.25">
      <c r="A3009" s="2" t="str">
        <f t="shared" si="104"/>
        <v>30780</v>
      </c>
      <c r="B3009" s="2" t="str">
        <f>"72022"</f>
        <v>72022</v>
      </c>
      <c r="C3009" s="1">
        <v>2.14957756800974E-2</v>
      </c>
      <c r="D3009" s="1">
        <v>2.0659948416602399E-2</v>
      </c>
      <c r="E3009" s="1">
        <v>2.2216012295654598E-2</v>
      </c>
      <c r="F3009" s="1">
        <v>2.14349825577629E-2</v>
      </c>
    </row>
    <row r="3010" spans="1:6" x14ac:dyDescent="0.25">
      <c r="A3010" s="2" t="str">
        <f t="shared" si="104"/>
        <v>30780</v>
      </c>
      <c r="B3010" s="2" t="str">
        <f>"72216"</f>
        <v>72216</v>
      </c>
      <c r="C3010" s="1">
        <v>2.9185741049448E-3</v>
      </c>
      <c r="D3010" s="1">
        <v>5.8230742641389001E-3</v>
      </c>
      <c r="E3010" s="1">
        <v>2.7944669554282498E-4</v>
      </c>
      <c r="F3010" s="1">
        <v>3.1275735396174699E-3</v>
      </c>
    </row>
    <row r="3011" spans="1:6" x14ac:dyDescent="0.25">
      <c r="A3011" s="2" t="str">
        <f t="shared" si="104"/>
        <v>30780</v>
      </c>
      <c r="B3011" s="2" t="str">
        <f>"72070"</f>
        <v>72070</v>
      </c>
      <c r="C3011" s="1">
        <v>2.66052157577196E-3</v>
      </c>
      <c r="D3011" s="1">
        <v>5.0519822382940195E-4</v>
      </c>
      <c r="E3011" s="1">
        <v>1.39723347771412E-4</v>
      </c>
      <c r="F3011" s="1">
        <v>2.43127203412571E-3</v>
      </c>
    </row>
    <row r="3012" spans="1:6" x14ac:dyDescent="0.25">
      <c r="A3012" s="2" t="str">
        <f t="shared" si="104"/>
        <v>30780</v>
      </c>
      <c r="B3012" s="2" t="str">
        <f>"72065"</f>
        <v>72065</v>
      </c>
      <c r="C3012" s="1">
        <v>5.8681145133903396E-3</v>
      </c>
      <c r="D3012" s="1">
        <v>1.8612566141083199E-3</v>
      </c>
      <c r="E3012" s="1">
        <v>2.0958502165711801E-3</v>
      </c>
      <c r="F3012" s="1">
        <v>5.4570606360633198E-3</v>
      </c>
    </row>
    <row r="3013" spans="1:6" x14ac:dyDescent="0.25">
      <c r="A3013" s="2" t="str">
        <f t="shared" si="104"/>
        <v>30780</v>
      </c>
      <c r="B3013" s="2" t="str">
        <f>"72076"</f>
        <v>72076</v>
      </c>
      <c r="C3013" s="1">
        <v>4.8648062799663397E-2</v>
      </c>
      <c r="D3013" s="1">
        <v>3.0178946528756401E-2</v>
      </c>
      <c r="E3013" s="1">
        <v>4.9182618415537199E-2</v>
      </c>
      <c r="F3013" s="1">
        <v>4.7050087442514599E-2</v>
      </c>
    </row>
    <row r="3014" spans="1:6" x14ac:dyDescent="0.25">
      <c r="A3014" s="2" t="str">
        <f t="shared" si="104"/>
        <v>30780</v>
      </c>
      <c r="B3014" s="2" t="str">
        <f>"72181"</f>
        <v>72181</v>
      </c>
      <c r="C3014" s="1">
        <v>1.21284688711234E-4</v>
      </c>
      <c r="D3014" s="1">
        <v>1.8612566141083201E-4</v>
      </c>
      <c r="E3014" s="1">
        <v>1.39723347771412E-4</v>
      </c>
      <c r="F3014" s="1">
        <v>1.27231172099823E-4</v>
      </c>
    </row>
    <row r="3015" spans="1:6" x14ac:dyDescent="0.25">
      <c r="A3015" s="2" t="str">
        <f t="shared" si="104"/>
        <v>30780</v>
      </c>
      <c r="B3015" s="2" t="str">
        <f>"72180"</f>
        <v>72180</v>
      </c>
      <c r="C3015" s="1">
        <v>0</v>
      </c>
      <c r="D3015" s="1">
        <v>0</v>
      </c>
      <c r="E3015" s="1">
        <v>1.39723347771412E-4</v>
      </c>
      <c r="F3015" s="1">
        <v>2.3132940381786E-6</v>
      </c>
    </row>
    <row r="3016" spans="1:6" x14ac:dyDescent="0.25">
      <c r="A3016" s="2" t="str">
        <f t="shared" si="104"/>
        <v>30780</v>
      </c>
      <c r="B3016" s="2" t="str">
        <f>"72007"</f>
        <v>72007</v>
      </c>
      <c r="C3016" s="1">
        <v>1.0670472081296799E-2</v>
      </c>
      <c r="D3016" s="1">
        <v>1.8080778537052299E-3</v>
      </c>
      <c r="E3016" s="1">
        <v>1.39723347771412E-4</v>
      </c>
      <c r="F3016" s="1">
        <v>9.7250881365028505E-3</v>
      </c>
    </row>
    <row r="3017" spans="1:6" x14ac:dyDescent="0.25">
      <c r="A3017" s="2" t="str">
        <f t="shared" ref="A3017:A3043" si="105">"27860"</f>
        <v>27860</v>
      </c>
      <c r="B3017" s="2" t="str">
        <f>"72411"</f>
        <v>72411</v>
      </c>
      <c r="C3017" s="1">
        <v>1.4107795694846799E-2</v>
      </c>
      <c r="D3017" s="1">
        <v>3.57142857142857E-3</v>
      </c>
      <c r="E3017" s="1">
        <v>7.5376884422110497E-3</v>
      </c>
      <c r="F3017" s="1">
        <v>1.2948699122959199E-2</v>
      </c>
    </row>
    <row r="3018" spans="1:6" x14ac:dyDescent="0.25">
      <c r="A3018" s="2" t="str">
        <f t="shared" si="105"/>
        <v>27860</v>
      </c>
      <c r="B3018" s="2" t="str">
        <f>"72386"</f>
        <v>72386</v>
      </c>
      <c r="C3018" s="1">
        <v>8.1461142883148003E-3</v>
      </c>
      <c r="D3018" s="1">
        <v>1.85714285714285E-3</v>
      </c>
      <c r="E3018" s="1">
        <v>3.0150753768844198E-3</v>
      </c>
      <c r="F3018" s="1">
        <v>7.4221409405828198E-3</v>
      </c>
    </row>
    <row r="3019" spans="1:6" x14ac:dyDescent="0.25">
      <c r="A3019" s="2" t="str">
        <f t="shared" si="105"/>
        <v>27860</v>
      </c>
      <c r="B3019" s="2" t="str">
        <f>"72476"</f>
        <v>72476</v>
      </c>
      <c r="C3019" s="1">
        <v>6.5229592997679002E-4</v>
      </c>
      <c r="D3019" s="1">
        <v>1.42857142857142E-4</v>
      </c>
      <c r="E3019" s="1">
        <v>0</v>
      </c>
      <c r="F3019" s="1">
        <v>5.8736367155691395E-4</v>
      </c>
    </row>
    <row r="3020" spans="1:6" x14ac:dyDescent="0.25">
      <c r="A3020" s="2" t="str">
        <f t="shared" si="105"/>
        <v>27860</v>
      </c>
      <c r="B3020" s="2" t="str">
        <f>"72447"</f>
        <v>72447</v>
      </c>
      <c r="C3020" s="1">
        <v>8.6163741448096898E-3</v>
      </c>
      <c r="D3020" s="1">
        <v>3.1428571428571399E-3</v>
      </c>
      <c r="E3020" s="1">
        <v>4.0201005025125598E-3</v>
      </c>
      <c r="F3020" s="1">
        <v>7.9828062634326007E-3</v>
      </c>
    </row>
    <row r="3021" spans="1:6" x14ac:dyDescent="0.25">
      <c r="A3021" s="2" t="str">
        <f t="shared" si="105"/>
        <v>27860</v>
      </c>
      <c r="B3021" s="2" t="str">
        <f>"72437"</f>
        <v>72437</v>
      </c>
      <c r="C3021" s="1">
        <v>2.2693830494076202E-2</v>
      </c>
      <c r="D3021" s="1">
        <v>1.0714285714285701E-2</v>
      </c>
      <c r="E3021" s="1">
        <v>9.5477386934673305E-3</v>
      </c>
      <c r="F3021" s="1">
        <v>2.1225187222170299E-2</v>
      </c>
    </row>
    <row r="3022" spans="1:6" x14ac:dyDescent="0.25">
      <c r="A3022" s="2" t="str">
        <f t="shared" si="105"/>
        <v>27860</v>
      </c>
      <c r="B3022" s="2" t="str">
        <f>"72432"</f>
        <v>72432</v>
      </c>
      <c r="C3022" s="1">
        <v>4.7117003686230403E-2</v>
      </c>
      <c r="D3022" s="1">
        <v>3.5000000000000003E-2</v>
      </c>
      <c r="E3022" s="1">
        <v>1.4572864321608E-2</v>
      </c>
      <c r="F3022" s="1">
        <v>4.5120209315053797E-2</v>
      </c>
    </row>
    <row r="3023" spans="1:6" x14ac:dyDescent="0.25">
      <c r="A3023" s="2" t="str">
        <f t="shared" si="105"/>
        <v>27860</v>
      </c>
      <c r="B3023" s="2" t="str">
        <f>"72403"</f>
        <v>72403</v>
      </c>
      <c r="C3023" s="1">
        <v>3.6831965534503401E-2</v>
      </c>
      <c r="D3023" s="1">
        <v>0.14171428571428499</v>
      </c>
      <c r="E3023" s="1">
        <v>1.5075376884422099E-3</v>
      </c>
      <c r="F3023" s="1">
        <v>4.5694223812257198E-2</v>
      </c>
    </row>
    <row r="3024" spans="1:6" x14ac:dyDescent="0.25">
      <c r="A3024" s="2" t="str">
        <f t="shared" si="105"/>
        <v>27860</v>
      </c>
      <c r="B3024" s="2" t="str">
        <f>"72365"</f>
        <v>72365</v>
      </c>
      <c r="C3024" s="1">
        <v>2.3801216607757698E-2</v>
      </c>
      <c r="D3024" s="1">
        <v>2.5428571428571401E-2</v>
      </c>
      <c r="E3024" s="1">
        <v>1.8592964824120602E-2</v>
      </c>
      <c r="F3024" s="1">
        <v>2.3814927046762101E-2</v>
      </c>
    </row>
    <row r="3025" spans="1:6" x14ac:dyDescent="0.25">
      <c r="A3025" s="2" t="str">
        <f t="shared" si="105"/>
        <v>27860</v>
      </c>
      <c r="B3025" s="2" t="str">
        <f>"72479"</f>
        <v>72479</v>
      </c>
      <c r="C3025" s="1">
        <v>1.07401283354318E-2</v>
      </c>
      <c r="D3025" s="1">
        <v>1.2714285714285701E-2</v>
      </c>
      <c r="E3025" s="1">
        <v>0</v>
      </c>
      <c r="F3025" s="1">
        <v>1.0639291959792199E-2</v>
      </c>
    </row>
    <row r="3026" spans="1:6" x14ac:dyDescent="0.25">
      <c r="A3026" s="2" t="str">
        <f t="shared" si="105"/>
        <v>27860</v>
      </c>
      <c r="B3026" s="2" t="str">
        <f>"72472"</f>
        <v>72472</v>
      </c>
      <c r="C3026" s="1">
        <v>6.9477101378923198E-2</v>
      </c>
      <c r="D3026" s="1">
        <v>6.1428571428571402E-2</v>
      </c>
      <c r="E3026" s="1">
        <v>2.4623115577889401E-2</v>
      </c>
      <c r="F3026" s="1">
        <v>6.7533473054691498E-2</v>
      </c>
    </row>
    <row r="3027" spans="1:6" x14ac:dyDescent="0.25">
      <c r="A3027" s="2" t="str">
        <f t="shared" si="105"/>
        <v>27860</v>
      </c>
      <c r="B3027" s="2" t="str">
        <f>"72467"</f>
        <v>72467</v>
      </c>
      <c r="C3027" s="1">
        <v>3.3524976866248897E-2</v>
      </c>
      <c r="D3027" s="1">
        <v>2.0142857142857101E-2</v>
      </c>
      <c r="E3027" s="1">
        <v>1.0050251256281399E-3</v>
      </c>
      <c r="F3027" s="1">
        <v>3.1410607253941299E-2</v>
      </c>
    </row>
    <row r="3028" spans="1:6" x14ac:dyDescent="0.25">
      <c r="A3028" s="2" t="str">
        <f t="shared" si="105"/>
        <v>27860</v>
      </c>
      <c r="B3028" s="2" t="str">
        <f>"72429"</f>
        <v>72429</v>
      </c>
      <c r="C3028" s="1">
        <v>2.32095993689416E-3</v>
      </c>
      <c r="D3028" s="1">
        <v>2.8571428571428498E-4</v>
      </c>
      <c r="E3028" s="1">
        <v>1.5075376884422099E-3</v>
      </c>
      <c r="F3028" s="1">
        <v>2.10916954786346E-3</v>
      </c>
    </row>
    <row r="3029" spans="1:6" x14ac:dyDescent="0.25">
      <c r="A3029" s="2" t="str">
        <f t="shared" si="105"/>
        <v>27860</v>
      </c>
      <c r="B3029" s="2" t="str">
        <f>"72354"</f>
        <v>72354</v>
      </c>
      <c r="C3029" s="1">
        <v>1.0861485717753E-2</v>
      </c>
      <c r="D3029" s="1">
        <v>3.8571428571428498E-3</v>
      </c>
      <c r="E3029" s="1">
        <v>1.0050251256281399E-3</v>
      </c>
      <c r="F3029" s="1">
        <v>9.9451348934068394E-3</v>
      </c>
    </row>
    <row r="3030" spans="1:6" x14ac:dyDescent="0.25">
      <c r="A3030" s="2" t="str">
        <f t="shared" si="105"/>
        <v>27860</v>
      </c>
      <c r="B3030" s="2" t="str">
        <f>"72324"</f>
        <v>72324</v>
      </c>
      <c r="C3030" s="1">
        <v>6.5229592997679002E-4</v>
      </c>
      <c r="D3030" s="1">
        <v>4.2857142857142801E-4</v>
      </c>
      <c r="E3030" s="1">
        <v>0</v>
      </c>
      <c r="F3030" s="1">
        <v>6.1406202026404605E-4</v>
      </c>
    </row>
    <row r="3031" spans="1:6" x14ac:dyDescent="0.25">
      <c r="A3031" s="2" t="str">
        <f t="shared" si="105"/>
        <v>27860</v>
      </c>
      <c r="B3031" s="2" t="str">
        <f>"72414"</f>
        <v>72414</v>
      </c>
      <c r="C3031" s="1">
        <v>1.7596820436583101E-3</v>
      </c>
      <c r="D3031" s="1">
        <v>1.42857142857142E-4</v>
      </c>
      <c r="E3031" s="1">
        <v>5.0251256281406997E-4</v>
      </c>
      <c r="F3031" s="1">
        <v>1.5752025737208099E-3</v>
      </c>
    </row>
    <row r="3032" spans="1:6" x14ac:dyDescent="0.25">
      <c r="A3032" s="2" t="str">
        <f t="shared" si="105"/>
        <v>27860</v>
      </c>
      <c r="B3032" s="2" t="str">
        <f>"72419"</f>
        <v>72419</v>
      </c>
      <c r="C3032" s="1">
        <v>8.3584897073770096E-3</v>
      </c>
      <c r="D3032" s="1">
        <v>2.7142857142857099E-3</v>
      </c>
      <c r="E3032" s="1">
        <v>1.5075376884422099E-3</v>
      </c>
      <c r="F3032" s="1">
        <v>7.6490769045934499E-3</v>
      </c>
    </row>
    <row r="3033" spans="1:6" x14ac:dyDescent="0.25">
      <c r="A3033" s="2" t="str">
        <f t="shared" si="105"/>
        <v>27860</v>
      </c>
      <c r="B3033" s="2" t="str">
        <f>"72377"</f>
        <v>72377</v>
      </c>
      <c r="C3033" s="1">
        <v>3.03393455803158E-5</v>
      </c>
      <c r="D3033" s="1">
        <v>0</v>
      </c>
      <c r="E3033" s="1">
        <v>5.0251256281406997E-4</v>
      </c>
      <c r="F3033" s="1">
        <v>4.00475230606986E-5</v>
      </c>
    </row>
    <row r="3034" spans="1:6" x14ac:dyDescent="0.25">
      <c r="A3034" s="2" t="str">
        <f t="shared" si="105"/>
        <v>27860</v>
      </c>
      <c r="B3034" s="2" t="str">
        <f>"72450"</f>
        <v>72450</v>
      </c>
      <c r="C3034" s="1">
        <v>8.7984102182915905E-4</v>
      </c>
      <c r="D3034" s="1">
        <v>4.2857142857142801E-4</v>
      </c>
      <c r="E3034" s="1">
        <v>0</v>
      </c>
      <c r="F3034" s="1">
        <v>8.1429963556753999E-4</v>
      </c>
    </row>
    <row r="3035" spans="1:6" x14ac:dyDescent="0.25">
      <c r="A3035" s="2" t="str">
        <f t="shared" si="105"/>
        <v>27860</v>
      </c>
      <c r="B3035" s="2" t="str">
        <f>"72416"</f>
        <v>72416</v>
      </c>
      <c r="C3035" s="1">
        <v>3.6619590115441199E-2</v>
      </c>
      <c r="D3035" s="1">
        <v>1.1857142857142801E-2</v>
      </c>
      <c r="E3035" s="1">
        <v>2.6130653266331599E-2</v>
      </c>
      <c r="F3035" s="1">
        <v>3.4027045427240298E-2</v>
      </c>
    </row>
    <row r="3036" spans="1:6" x14ac:dyDescent="0.25">
      <c r="A3036" s="2" t="str">
        <f t="shared" si="105"/>
        <v>27860</v>
      </c>
      <c r="B3036" s="2" t="str">
        <f>"72404"</f>
        <v>72404</v>
      </c>
      <c r="C3036" s="1">
        <v>0.19585564539372799</v>
      </c>
      <c r="D3036" s="1">
        <v>0.105285714285714</v>
      </c>
      <c r="E3036" s="1">
        <v>0.24070351758793901</v>
      </c>
      <c r="F3036" s="1">
        <v>0.18858378609283</v>
      </c>
    </row>
    <row r="3037" spans="1:6" x14ac:dyDescent="0.25">
      <c r="A3037" s="2" t="str">
        <f t="shared" si="105"/>
        <v>27860</v>
      </c>
      <c r="B3037" s="2" t="str">
        <f>"72401"</f>
        <v>72401</v>
      </c>
      <c r="C3037" s="1">
        <v>0.41030930962819101</v>
      </c>
      <c r="D3037" s="1">
        <v>0.51957142857142802</v>
      </c>
      <c r="E3037" s="1">
        <v>0.595477386934673</v>
      </c>
      <c r="F3037" s="1">
        <v>0.42543818664815503</v>
      </c>
    </row>
    <row r="3038" spans="1:6" x14ac:dyDescent="0.25">
      <c r="A3038" s="2" t="str">
        <f t="shared" si="105"/>
        <v>27860</v>
      </c>
      <c r="B3038" s="2" t="str">
        <f>"72475"</f>
        <v>72475</v>
      </c>
      <c r="C3038" s="1">
        <v>0</v>
      </c>
      <c r="D3038" s="1">
        <v>0</v>
      </c>
      <c r="E3038" s="1">
        <v>5.0251256281406997E-4</v>
      </c>
      <c r="F3038" s="1">
        <v>1.3349174353566201E-5</v>
      </c>
    </row>
    <row r="3039" spans="1:6" x14ac:dyDescent="0.25">
      <c r="A3039" s="2" t="str">
        <f t="shared" si="105"/>
        <v>27860</v>
      </c>
      <c r="B3039" s="2" t="str">
        <f>"72402"</f>
        <v>72402</v>
      </c>
      <c r="C3039" s="1">
        <v>1.3197615327437301E-2</v>
      </c>
      <c r="D3039" s="1">
        <v>2.0571428571428501E-2</v>
      </c>
      <c r="E3039" s="1">
        <v>5.0251256281406997E-4</v>
      </c>
      <c r="F3039" s="1">
        <v>1.3549411968869701E-2</v>
      </c>
    </row>
    <row r="3040" spans="1:6" x14ac:dyDescent="0.25">
      <c r="A3040" s="2" t="str">
        <f t="shared" si="105"/>
        <v>27860</v>
      </c>
      <c r="B3040" s="2" t="str">
        <f>"72417"</f>
        <v>72417</v>
      </c>
      <c r="C3040" s="1">
        <v>3.81517270672471E-2</v>
      </c>
      <c r="D3040" s="1">
        <v>1.77142857142857E-2</v>
      </c>
      <c r="E3040" s="1">
        <v>4.6231155778894403E-2</v>
      </c>
      <c r="F3040" s="1">
        <v>3.6456595159589301E-2</v>
      </c>
    </row>
    <row r="3041" spans="1:6" x14ac:dyDescent="0.25">
      <c r="A3041" s="2" t="str">
        <f t="shared" si="105"/>
        <v>27860</v>
      </c>
      <c r="B3041" s="2" t="str">
        <f>"72427"</f>
        <v>72427</v>
      </c>
      <c r="C3041" s="1">
        <v>0</v>
      </c>
      <c r="D3041" s="1">
        <v>0</v>
      </c>
      <c r="E3041" s="1">
        <v>5.0251256281406997E-4</v>
      </c>
      <c r="F3041" s="1">
        <v>1.3349174353566201E-5</v>
      </c>
    </row>
    <row r="3042" spans="1:6" x14ac:dyDescent="0.25">
      <c r="A3042" s="2" t="str">
        <f t="shared" si="105"/>
        <v>27860</v>
      </c>
      <c r="B3042" s="2" t="str">
        <f>"72438"</f>
        <v>72438</v>
      </c>
      <c r="C3042" s="1">
        <v>6.2195658439647404E-4</v>
      </c>
      <c r="D3042" s="1">
        <v>2.8571428571428498E-4</v>
      </c>
      <c r="E3042" s="1">
        <v>0</v>
      </c>
      <c r="F3042" s="1">
        <v>5.7401449720334704E-4</v>
      </c>
    </row>
    <row r="3043" spans="1:6" x14ac:dyDescent="0.25">
      <c r="A3043" s="2" t="str">
        <f t="shared" si="105"/>
        <v>27860</v>
      </c>
      <c r="B3043" s="2" t="str">
        <f>"72421"</f>
        <v>72421</v>
      </c>
      <c r="C3043" s="1">
        <v>4.6722592193686298E-3</v>
      </c>
      <c r="D3043" s="1">
        <v>1E-3</v>
      </c>
      <c r="E3043" s="1">
        <v>5.0251256281406997E-4</v>
      </c>
      <c r="F3043" s="1">
        <v>4.2183390957269201E-3</v>
      </c>
    </row>
    <row r="3044" spans="1:6" x14ac:dyDescent="0.25">
      <c r="A3044" s="2" t="str">
        <f t="shared" ref="A3044:A3060" si="106">"44660"</f>
        <v>44660</v>
      </c>
      <c r="B3044" s="2" t="str">
        <f>"74062"</f>
        <v>74062</v>
      </c>
      <c r="C3044" s="1">
        <v>9.4191912915972797E-3</v>
      </c>
      <c r="D3044" s="1">
        <v>2.0376974019358099E-3</v>
      </c>
      <c r="E3044" s="1">
        <v>2.6109660574412498E-3</v>
      </c>
      <c r="F3044" s="1">
        <v>8.6069915254237198E-3</v>
      </c>
    </row>
    <row r="3045" spans="1:6" x14ac:dyDescent="0.25">
      <c r="A3045" s="2" t="str">
        <f t="shared" si="106"/>
        <v>44660</v>
      </c>
      <c r="B3045" s="2" t="str">
        <f>"74077"</f>
        <v>74077</v>
      </c>
      <c r="C3045" s="1">
        <v>0</v>
      </c>
      <c r="D3045" s="1">
        <v>4.5848191543555704E-3</v>
      </c>
      <c r="E3045" s="1">
        <v>2.6109660574412498E-3</v>
      </c>
      <c r="F3045" s="1">
        <v>4.63453389830508E-4</v>
      </c>
    </row>
    <row r="3046" spans="1:6" x14ac:dyDescent="0.25">
      <c r="A3046" s="2" t="str">
        <f t="shared" si="106"/>
        <v>44660</v>
      </c>
      <c r="B3046" s="2" t="str">
        <f>"74085"</f>
        <v>74085</v>
      </c>
      <c r="C3046" s="1">
        <v>3.2830479409498702E-2</v>
      </c>
      <c r="D3046" s="1">
        <v>3.56597045338767E-2</v>
      </c>
      <c r="E3046" s="1">
        <v>2.4369016536118299E-2</v>
      </c>
      <c r="F3046" s="1">
        <v>3.2861052259887003E-2</v>
      </c>
    </row>
    <row r="3047" spans="1:6" x14ac:dyDescent="0.25">
      <c r="A3047" s="2" t="str">
        <f t="shared" si="106"/>
        <v>44660</v>
      </c>
      <c r="B3047" s="2" t="str">
        <f>"74078"</f>
        <v>74078</v>
      </c>
      <c r="C3047" s="1">
        <v>0</v>
      </c>
      <c r="D3047" s="1">
        <v>7.6158940397350897E-2</v>
      </c>
      <c r="E3047" s="1">
        <v>1.7406440382941599E-3</v>
      </c>
      <c r="F3047" s="1">
        <v>6.6428319209039504E-3</v>
      </c>
    </row>
    <row r="3048" spans="1:6" x14ac:dyDescent="0.25">
      <c r="A3048" s="2" t="str">
        <f t="shared" si="106"/>
        <v>44660</v>
      </c>
      <c r="B3048" s="2" t="str">
        <f>"73063"</f>
        <v>73063</v>
      </c>
      <c r="C3048" s="1">
        <v>1.68998682804384E-3</v>
      </c>
      <c r="D3048" s="1">
        <v>2.5471217524197602E-4</v>
      </c>
      <c r="E3048" s="1">
        <v>0</v>
      </c>
      <c r="F3048" s="1">
        <v>1.5227754237288099E-3</v>
      </c>
    </row>
    <row r="3049" spans="1:6" x14ac:dyDescent="0.25">
      <c r="A3049" s="2" t="str">
        <f t="shared" si="106"/>
        <v>44660</v>
      </c>
      <c r="B3049" s="2" t="str">
        <f>"74032"</f>
        <v>74032</v>
      </c>
      <c r="C3049" s="1">
        <v>2.3659815592613698E-2</v>
      </c>
      <c r="D3049" s="1">
        <v>8.4055017829852193E-3</v>
      </c>
      <c r="E3049" s="1">
        <v>1.2184508268059099E-2</v>
      </c>
      <c r="F3049" s="1">
        <v>2.2047139830508398E-2</v>
      </c>
    </row>
    <row r="3050" spans="1:6" x14ac:dyDescent="0.25">
      <c r="A3050" s="2" t="str">
        <f t="shared" si="106"/>
        <v>44660</v>
      </c>
      <c r="B3050" s="2" t="str">
        <f>"74059"</f>
        <v>74059</v>
      </c>
      <c r="C3050" s="1">
        <v>6.3523622536471397E-2</v>
      </c>
      <c r="D3050" s="1">
        <v>3.03107488537952E-2</v>
      </c>
      <c r="E3050" s="1">
        <v>4.5256744995648301E-2</v>
      </c>
      <c r="F3050" s="1">
        <v>6.0182733050847398E-2</v>
      </c>
    </row>
    <row r="3051" spans="1:6" x14ac:dyDescent="0.25">
      <c r="A3051" s="2" t="str">
        <f t="shared" si="106"/>
        <v>44660</v>
      </c>
      <c r="B3051" s="2" t="str">
        <f>"74023"</f>
        <v>74023</v>
      </c>
      <c r="C3051" s="1">
        <v>0.124686234063175</v>
      </c>
      <c r="D3051" s="1">
        <v>0.15257259296994299</v>
      </c>
      <c r="E3051" s="1">
        <v>9.8346388163620499E-2</v>
      </c>
      <c r="F3051" s="1">
        <v>0.12643449858757</v>
      </c>
    </row>
    <row r="3052" spans="1:6" x14ac:dyDescent="0.25">
      <c r="A3052" s="2" t="str">
        <f t="shared" si="106"/>
        <v>44660</v>
      </c>
      <c r="B3052" s="2" t="str">
        <f>"73073"</f>
        <v>73073</v>
      </c>
      <c r="C3052" s="1">
        <v>1.5160175957452001E-3</v>
      </c>
      <c r="D3052" s="1">
        <v>1.27356087620988E-3</v>
      </c>
      <c r="E3052" s="1">
        <v>0</v>
      </c>
      <c r="F3052" s="1">
        <v>1.45656779661016E-3</v>
      </c>
    </row>
    <row r="3053" spans="1:6" x14ac:dyDescent="0.25">
      <c r="A3053" s="2" t="str">
        <f t="shared" si="106"/>
        <v>44660</v>
      </c>
      <c r="B3053" s="2" t="str">
        <f>"74824"</f>
        <v>74824</v>
      </c>
      <c r="C3053" s="1">
        <v>1.3917538583890401E-3</v>
      </c>
      <c r="D3053" s="1">
        <v>2.5471217524197602E-4</v>
      </c>
      <c r="E3053" s="1">
        <v>0</v>
      </c>
      <c r="F3053" s="1">
        <v>1.25794491525423E-3</v>
      </c>
    </row>
    <row r="3054" spans="1:6" x14ac:dyDescent="0.25">
      <c r="A3054" s="2" t="str">
        <f t="shared" si="106"/>
        <v>44660</v>
      </c>
      <c r="B3054" s="2" t="str">
        <f>"74074"</f>
        <v>74074</v>
      </c>
      <c r="C3054" s="1">
        <v>0.386609339662499</v>
      </c>
      <c r="D3054" s="1">
        <v>0.35506877228731498</v>
      </c>
      <c r="E3054" s="1">
        <v>0.45430809399477801</v>
      </c>
      <c r="F3054" s="1">
        <v>0.38559322033898302</v>
      </c>
    </row>
    <row r="3055" spans="1:6" x14ac:dyDescent="0.25">
      <c r="A3055" s="2" t="str">
        <f t="shared" si="106"/>
        <v>44660</v>
      </c>
      <c r="B3055" s="2" t="str">
        <f>"74075"</f>
        <v>74075</v>
      </c>
      <c r="C3055" s="1">
        <v>0.31727017421775899</v>
      </c>
      <c r="D3055" s="1">
        <v>0.17880794701986699</v>
      </c>
      <c r="E3055" s="1">
        <v>0.35683202785030399</v>
      </c>
      <c r="F3055" s="1">
        <v>0.30627648305084698</v>
      </c>
    </row>
    <row r="3056" spans="1:6" x14ac:dyDescent="0.25">
      <c r="A3056" s="2" t="str">
        <f t="shared" si="106"/>
        <v>44660</v>
      </c>
      <c r="B3056" s="2" t="str">
        <f>"74045"</f>
        <v>74045</v>
      </c>
      <c r="C3056" s="1">
        <v>4.9705494942465795E-4</v>
      </c>
      <c r="D3056" s="1">
        <v>0</v>
      </c>
      <c r="E3056" s="1">
        <v>0</v>
      </c>
      <c r="F3056" s="1">
        <v>4.4138418079096002E-4</v>
      </c>
    </row>
    <row r="3057" spans="1:6" x14ac:dyDescent="0.25">
      <c r="A3057" s="2" t="str">
        <f t="shared" si="106"/>
        <v>44660</v>
      </c>
      <c r="B3057" s="2" t="str">
        <f>"73027"</f>
        <v>73027</v>
      </c>
      <c r="C3057" s="1">
        <v>7.1327385242438502E-3</v>
      </c>
      <c r="D3057" s="1">
        <v>2.54712175241976E-3</v>
      </c>
      <c r="E3057" s="1">
        <v>0</v>
      </c>
      <c r="F3057" s="1">
        <v>6.55455508474576E-3</v>
      </c>
    </row>
    <row r="3058" spans="1:6" x14ac:dyDescent="0.25">
      <c r="A3058" s="2" t="str">
        <f t="shared" si="106"/>
        <v>44660</v>
      </c>
      <c r="B3058" s="2" t="str">
        <f>"74076"</f>
        <v>74076</v>
      </c>
      <c r="C3058" s="1">
        <v>2.6393617814449301E-2</v>
      </c>
      <c r="D3058" s="1">
        <v>0.15129903209373399</v>
      </c>
      <c r="E3058" s="1">
        <v>1.7406440382941599E-3</v>
      </c>
      <c r="F3058" s="1">
        <v>3.6590748587570603E-2</v>
      </c>
    </row>
    <row r="3059" spans="1:6" x14ac:dyDescent="0.25">
      <c r="A3059" s="2" t="str">
        <f t="shared" si="106"/>
        <v>44660</v>
      </c>
      <c r="B3059" s="2" t="str">
        <f>"74030"</f>
        <v>74030</v>
      </c>
      <c r="C3059" s="1">
        <v>3.35512090861644E-3</v>
      </c>
      <c r="D3059" s="1">
        <v>7.6413652572592905E-4</v>
      </c>
      <c r="E3059" s="1">
        <v>0</v>
      </c>
      <c r="F3059" s="1">
        <v>3.0455508474576199E-3</v>
      </c>
    </row>
    <row r="3060" spans="1:6" x14ac:dyDescent="0.25">
      <c r="A3060" s="2" t="str">
        <f t="shared" si="106"/>
        <v>44660</v>
      </c>
      <c r="B3060" s="2" t="str">
        <f>"73077"</f>
        <v>73077</v>
      </c>
      <c r="C3060" s="1">
        <v>2.4852747471232901E-5</v>
      </c>
      <c r="D3060" s="1">
        <v>0</v>
      </c>
      <c r="E3060" s="1">
        <v>0</v>
      </c>
      <c r="F3060" s="1">
        <v>2.2069209039547999E-5</v>
      </c>
    </row>
    <row r="3061" spans="1:6" x14ac:dyDescent="0.25">
      <c r="A3061" s="2" t="str">
        <f t="shared" ref="A3061:A3077" si="107">"37300"</f>
        <v>37300</v>
      </c>
      <c r="B3061" s="2" t="str">
        <f>"75802"</f>
        <v>75802</v>
      </c>
      <c r="C3061" s="1">
        <v>0.10865554616035</v>
      </c>
      <c r="D3061" s="1">
        <v>0.232271325796505</v>
      </c>
      <c r="E3061" s="1">
        <v>5.3763440860214997E-3</v>
      </c>
      <c r="F3061" s="1">
        <v>0.115789102202145</v>
      </c>
    </row>
    <row r="3062" spans="1:6" x14ac:dyDescent="0.25">
      <c r="A3062" s="2" t="str">
        <f t="shared" si="107"/>
        <v>37300</v>
      </c>
      <c r="B3062" s="2" t="str">
        <f>"75886"</f>
        <v>75886</v>
      </c>
      <c r="C3062" s="1">
        <v>0</v>
      </c>
      <c r="D3062" s="1">
        <v>5.1387461459403896E-4</v>
      </c>
      <c r="E3062" s="1">
        <v>0</v>
      </c>
      <c r="F3062" s="1">
        <v>3.5290796160361301E-5</v>
      </c>
    </row>
    <row r="3063" spans="1:6" x14ac:dyDescent="0.25">
      <c r="A3063" s="2" t="str">
        <f t="shared" si="107"/>
        <v>37300</v>
      </c>
      <c r="B3063" s="2" t="str">
        <f>"75884"</f>
        <v>75884</v>
      </c>
      <c r="C3063" s="1">
        <v>0</v>
      </c>
      <c r="D3063" s="1">
        <v>1.0277492291880701E-3</v>
      </c>
      <c r="E3063" s="1">
        <v>0</v>
      </c>
      <c r="F3063" s="1">
        <v>7.0581592320722697E-5</v>
      </c>
    </row>
    <row r="3064" spans="1:6" x14ac:dyDescent="0.25">
      <c r="A3064" s="2" t="str">
        <f t="shared" si="107"/>
        <v>37300</v>
      </c>
      <c r="B3064" s="2" t="str">
        <f>"75844"</f>
        <v>75844</v>
      </c>
      <c r="C3064" s="1">
        <v>1.6719194403874201E-2</v>
      </c>
      <c r="D3064" s="1">
        <v>0</v>
      </c>
      <c r="E3064" s="1">
        <v>5.3763440860214997E-3</v>
      </c>
      <c r="F3064" s="1">
        <v>1.5422077922077899E-2</v>
      </c>
    </row>
    <row r="3065" spans="1:6" x14ac:dyDescent="0.25">
      <c r="A3065" s="2" t="str">
        <f t="shared" si="107"/>
        <v>37300</v>
      </c>
      <c r="B3065" s="2" t="str">
        <f>"75752"</f>
        <v>75752</v>
      </c>
      <c r="C3065" s="1">
        <v>7.3026366361749503E-4</v>
      </c>
      <c r="D3065" s="1">
        <v>0</v>
      </c>
      <c r="E3065" s="1">
        <v>0</v>
      </c>
      <c r="F3065" s="1">
        <v>6.7052512704686602E-4</v>
      </c>
    </row>
    <row r="3066" spans="1:6" x14ac:dyDescent="0.25">
      <c r="A3066" s="2" t="str">
        <f t="shared" si="107"/>
        <v>37300</v>
      </c>
      <c r="B3066" s="2" t="str">
        <f>"75770"</f>
        <v>75770</v>
      </c>
      <c r="C3066" s="1">
        <v>7.6869859328157399E-4</v>
      </c>
      <c r="D3066" s="1">
        <v>0</v>
      </c>
      <c r="E3066" s="1">
        <v>0</v>
      </c>
      <c r="F3066" s="1">
        <v>7.0581592320722697E-4</v>
      </c>
    </row>
    <row r="3067" spans="1:6" x14ac:dyDescent="0.25">
      <c r="A3067" s="2" t="str">
        <f t="shared" si="107"/>
        <v>37300</v>
      </c>
      <c r="B3067" s="2" t="str">
        <f>"75839"</f>
        <v>75839</v>
      </c>
      <c r="C3067" s="1">
        <v>0.10988546390960099</v>
      </c>
      <c r="D3067" s="1">
        <v>4.41932168550873E-2</v>
      </c>
      <c r="E3067" s="1">
        <v>3.2258064516128997E-2</v>
      </c>
      <c r="F3067" s="1">
        <v>0.104354884246188</v>
      </c>
    </row>
    <row r="3068" spans="1:6" x14ac:dyDescent="0.25">
      <c r="A3068" s="2" t="str">
        <f t="shared" si="107"/>
        <v>37300</v>
      </c>
      <c r="B3068" s="2" t="str">
        <f>"75763"</f>
        <v>75763</v>
      </c>
      <c r="C3068" s="1">
        <v>5.5423168575601499E-2</v>
      </c>
      <c r="D3068" s="1">
        <v>1.13052415210688E-2</v>
      </c>
      <c r="E3068" s="1">
        <v>3.7634408602150497E-2</v>
      </c>
      <c r="F3068" s="1">
        <v>5.2159796725014099E-2</v>
      </c>
    </row>
    <row r="3069" spans="1:6" x14ac:dyDescent="0.25">
      <c r="A3069" s="2" t="str">
        <f t="shared" si="107"/>
        <v>37300</v>
      </c>
      <c r="B3069" s="2" t="str">
        <f>"75882"</f>
        <v>75882</v>
      </c>
      <c r="C3069" s="1">
        <v>0</v>
      </c>
      <c r="D3069" s="1">
        <v>1.0277492291880701E-3</v>
      </c>
      <c r="E3069" s="1">
        <v>2.6881720430107499E-3</v>
      </c>
      <c r="F3069" s="1">
        <v>1.05872388481084E-4</v>
      </c>
    </row>
    <row r="3070" spans="1:6" x14ac:dyDescent="0.25">
      <c r="A3070" s="2" t="str">
        <f t="shared" si="107"/>
        <v>37300</v>
      </c>
      <c r="B3070" s="2" t="str">
        <f>"75832"</f>
        <v>75832</v>
      </c>
      <c r="C3070" s="1">
        <v>3.8434929664078702E-5</v>
      </c>
      <c r="D3070" s="1">
        <v>0</v>
      </c>
      <c r="E3070" s="1">
        <v>2.6881720430107499E-3</v>
      </c>
      <c r="F3070" s="1">
        <v>7.0581592320722697E-5</v>
      </c>
    </row>
    <row r="3071" spans="1:6" x14ac:dyDescent="0.25">
      <c r="A3071" s="2" t="str">
        <f t="shared" si="107"/>
        <v>37300</v>
      </c>
      <c r="B3071" s="2" t="str">
        <f>"75861"</f>
        <v>75861</v>
      </c>
      <c r="C3071" s="1">
        <v>4.0356676147282597E-2</v>
      </c>
      <c r="D3071" s="1">
        <v>8.2219938335046198E-3</v>
      </c>
      <c r="E3071" s="1">
        <v>6.4516129032257993E-2</v>
      </c>
      <c r="F3071" s="1">
        <v>3.8466967814793897E-2</v>
      </c>
    </row>
    <row r="3072" spans="1:6" x14ac:dyDescent="0.25">
      <c r="A3072" s="2" t="str">
        <f t="shared" si="107"/>
        <v>37300</v>
      </c>
      <c r="B3072" s="2" t="str">
        <f>"75751"</f>
        <v>75751</v>
      </c>
      <c r="C3072" s="1">
        <v>5.6883695902836401E-3</v>
      </c>
      <c r="D3072" s="1">
        <v>1.5416238437821099E-3</v>
      </c>
      <c r="E3072" s="1">
        <v>0</v>
      </c>
      <c r="F3072" s="1">
        <v>5.3289102202145602E-3</v>
      </c>
    </row>
    <row r="3073" spans="1:6" x14ac:dyDescent="0.25">
      <c r="A3073" s="2" t="str">
        <f t="shared" si="107"/>
        <v>37300</v>
      </c>
      <c r="B3073" s="2" t="str">
        <f>"75779"</f>
        <v>75779</v>
      </c>
      <c r="C3073" s="1">
        <v>3.8434929664078702E-5</v>
      </c>
      <c r="D3073" s="1">
        <v>0</v>
      </c>
      <c r="E3073" s="1">
        <v>2.6881720430107499E-3</v>
      </c>
      <c r="F3073" s="1">
        <v>7.0581592320722697E-5</v>
      </c>
    </row>
    <row r="3074" spans="1:6" x14ac:dyDescent="0.25">
      <c r="A3074" s="2" t="str">
        <f t="shared" si="107"/>
        <v>37300</v>
      </c>
      <c r="B3074" s="2" t="str">
        <f>"75801"</f>
        <v>75801</v>
      </c>
      <c r="C3074" s="1">
        <v>0.31947113536782201</v>
      </c>
      <c r="D3074" s="1">
        <v>0.62692702980472703</v>
      </c>
      <c r="E3074" s="1">
        <v>0.63978494623655902</v>
      </c>
      <c r="F3074" s="1">
        <v>0.34479107848673002</v>
      </c>
    </row>
    <row r="3075" spans="1:6" x14ac:dyDescent="0.25">
      <c r="A3075" s="2" t="str">
        <f t="shared" si="107"/>
        <v>37300</v>
      </c>
      <c r="B3075" s="2" t="str">
        <f>"75803"</f>
        <v>75803</v>
      </c>
      <c r="C3075" s="1">
        <v>0.32123914213236898</v>
      </c>
      <c r="D3075" s="1">
        <v>6.3720452209660799E-2</v>
      </c>
      <c r="E3075" s="1">
        <v>0.204301075268817</v>
      </c>
      <c r="F3075" s="1">
        <v>0.30201863354037201</v>
      </c>
    </row>
    <row r="3076" spans="1:6" x14ac:dyDescent="0.25">
      <c r="A3076" s="2" t="str">
        <f t="shared" si="107"/>
        <v>37300</v>
      </c>
      <c r="B3076" s="2" t="str">
        <f>"75880"</f>
        <v>75880</v>
      </c>
      <c r="C3076" s="1">
        <v>0</v>
      </c>
      <c r="D3076" s="1">
        <v>1.0277492291880701E-3</v>
      </c>
      <c r="E3076" s="1">
        <v>0</v>
      </c>
      <c r="F3076" s="1">
        <v>7.0581592320722697E-5</v>
      </c>
    </row>
    <row r="3077" spans="1:6" x14ac:dyDescent="0.25">
      <c r="A3077" s="2" t="str">
        <f t="shared" si="107"/>
        <v>37300</v>
      </c>
      <c r="B3077" s="2" t="str">
        <f>"75853"</f>
        <v>75853</v>
      </c>
      <c r="C3077" s="1">
        <v>2.09854715965869E-2</v>
      </c>
      <c r="D3077" s="1">
        <v>8.2219938335046198E-3</v>
      </c>
      <c r="E3077" s="1">
        <v>2.6881720430107499E-3</v>
      </c>
      <c r="F3077" s="1">
        <v>1.98687182382834E-2</v>
      </c>
    </row>
    <row r="3078" spans="1:6" x14ac:dyDescent="0.25">
      <c r="A3078" s="2" t="str">
        <f t="shared" ref="A3078:A3085" si="108">"14780"</f>
        <v>14780</v>
      </c>
      <c r="B3078" s="2" t="str">
        <f>"77834"</f>
        <v>77834</v>
      </c>
      <c r="C3078" s="1">
        <v>6.8636291306423305E-2</v>
      </c>
      <c r="D3078" s="1">
        <v>0.21898543445504701</v>
      </c>
      <c r="E3078" s="1">
        <v>1.7699115044247701E-3</v>
      </c>
      <c r="F3078" s="1">
        <v>8.08538465131486E-2</v>
      </c>
    </row>
    <row r="3079" spans="1:6" x14ac:dyDescent="0.25">
      <c r="A3079" s="2" t="str">
        <f t="shared" si="108"/>
        <v>14780</v>
      </c>
      <c r="B3079" s="2" t="str">
        <f>"77880"</f>
        <v>77880</v>
      </c>
      <c r="C3079" s="1">
        <v>5.4049753354903703E-2</v>
      </c>
      <c r="D3079" s="1">
        <v>7.5339025615268696E-3</v>
      </c>
      <c r="E3079" s="1">
        <v>3.5398230088495501E-3</v>
      </c>
      <c r="F3079" s="1">
        <v>4.8390863655471898E-2</v>
      </c>
    </row>
    <row r="3080" spans="1:6" x14ac:dyDescent="0.25">
      <c r="A3080" s="2" t="str">
        <f t="shared" si="108"/>
        <v>14780</v>
      </c>
      <c r="B3080" s="2" t="str">
        <f>"78932"</f>
        <v>78932</v>
      </c>
      <c r="C3080" s="1">
        <v>1.0873601018405499E-2</v>
      </c>
      <c r="D3080" s="1">
        <v>0</v>
      </c>
      <c r="E3080" s="1">
        <v>3.5398230088495501E-3</v>
      </c>
      <c r="F3080" s="1">
        <v>9.6688308655238399E-3</v>
      </c>
    </row>
    <row r="3081" spans="1:6" x14ac:dyDescent="0.25">
      <c r="A3081" s="2" t="str">
        <f t="shared" si="108"/>
        <v>14780</v>
      </c>
      <c r="B3081" s="2" t="str">
        <f>"78946"</f>
        <v>78946</v>
      </c>
      <c r="C3081" s="1">
        <v>5.4102795311090999E-3</v>
      </c>
      <c r="D3081" s="1">
        <v>5.02260170768458E-4</v>
      </c>
      <c r="E3081" s="1">
        <v>1.2389380530973401E-2</v>
      </c>
      <c r="F3081" s="1">
        <v>5.13802606380494E-3</v>
      </c>
    </row>
    <row r="3082" spans="1:6" x14ac:dyDescent="0.25">
      <c r="A3082" s="2" t="str">
        <f t="shared" si="108"/>
        <v>14780</v>
      </c>
      <c r="B3082" s="2" t="str">
        <f>"77868"</f>
        <v>77868</v>
      </c>
      <c r="C3082" s="1">
        <v>5.3041956187344097E-4</v>
      </c>
      <c r="D3082" s="1">
        <v>0</v>
      </c>
      <c r="E3082" s="1">
        <v>0</v>
      </c>
      <c r="F3082" s="1">
        <v>4.6709327852772098E-4</v>
      </c>
    </row>
    <row r="3083" spans="1:6" x14ac:dyDescent="0.25">
      <c r="A3083" s="2" t="str">
        <f t="shared" si="108"/>
        <v>14780</v>
      </c>
      <c r="B3083" s="2" t="str">
        <f>"77426"</f>
        <v>77426</v>
      </c>
      <c r="C3083" s="1">
        <v>4.8639473823794598E-2</v>
      </c>
      <c r="D3083" s="1">
        <v>2.1597187343043601E-2</v>
      </c>
      <c r="E3083" s="1">
        <v>3.5398230088495501E-3</v>
      </c>
      <c r="F3083" s="1">
        <v>4.4934373394366803E-2</v>
      </c>
    </row>
    <row r="3084" spans="1:6" x14ac:dyDescent="0.25">
      <c r="A3084" s="2" t="str">
        <f t="shared" si="108"/>
        <v>14780</v>
      </c>
      <c r="B3084" s="2" t="str">
        <f>"77833"</f>
        <v>77833</v>
      </c>
      <c r="C3084" s="1">
        <v>0.74157958945525904</v>
      </c>
      <c r="D3084" s="1">
        <v>0.72275238573581102</v>
      </c>
      <c r="E3084" s="1">
        <v>0.966371681415929</v>
      </c>
      <c r="F3084" s="1">
        <v>0.74576112849735998</v>
      </c>
    </row>
    <row r="3085" spans="1:6" x14ac:dyDescent="0.25">
      <c r="A3085" s="2" t="str">
        <f t="shared" si="108"/>
        <v>14780</v>
      </c>
      <c r="B3085" s="2" t="str">
        <f>"77835"</f>
        <v>77835</v>
      </c>
      <c r="C3085" s="1">
        <v>7.0280591948230997E-2</v>
      </c>
      <c r="D3085" s="1">
        <v>2.86288297338021E-2</v>
      </c>
      <c r="E3085" s="1">
        <v>8.8495575221238902E-3</v>
      </c>
      <c r="F3085" s="1">
        <v>6.4785837731794998E-2</v>
      </c>
    </row>
    <row r="3086" spans="1:6" x14ac:dyDescent="0.25">
      <c r="A3086" s="2" t="str">
        <f>"40530"</f>
        <v>40530</v>
      </c>
      <c r="B3086" s="2" t="str">
        <f>"78336"</f>
        <v>78336</v>
      </c>
      <c r="C3086" s="1">
        <v>0.109569614009125</v>
      </c>
      <c r="D3086" s="1">
        <v>6.0480530240265097E-2</v>
      </c>
      <c r="E3086" s="1">
        <v>5.8823529411764698E-2</v>
      </c>
      <c r="F3086" s="1">
        <v>0.10539686123969701</v>
      </c>
    </row>
    <row r="3087" spans="1:6" x14ac:dyDescent="0.25">
      <c r="A3087" s="2" t="str">
        <f>"40530"</f>
        <v>40530</v>
      </c>
      <c r="B3087" s="2" t="str">
        <f>"78381"</f>
        <v>78381</v>
      </c>
      <c r="C3087" s="1">
        <v>0.13004069552349201</v>
      </c>
      <c r="D3087" s="1">
        <v>0.19469759734879799</v>
      </c>
      <c r="E3087" s="1">
        <v>3.4602076124567401E-3</v>
      </c>
      <c r="F3087" s="1">
        <v>0.13238116743818401</v>
      </c>
    </row>
    <row r="3088" spans="1:6" x14ac:dyDescent="0.25">
      <c r="A3088" s="2" t="str">
        <f>"40530"</f>
        <v>40530</v>
      </c>
      <c r="B3088" s="2" t="str">
        <f>"78358"</f>
        <v>78358</v>
      </c>
      <c r="C3088" s="1">
        <v>0</v>
      </c>
      <c r="D3088" s="1">
        <v>8.2850041425020697E-4</v>
      </c>
      <c r="E3088" s="1">
        <v>0</v>
      </c>
      <c r="F3088" s="1">
        <v>5.64525234277972E-5</v>
      </c>
    </row>
    <row r="3089" spans="1:6" x14ac:dyDescent="0.25">
      <c r="A3089" s="2" t="str">
        <f>"40530"</f>
        <v>40530</v>
      </c>
      <c r="B3089" s="2" t="str">
        <f>"78390"</f>
        <v>78390</v>
      </c>
      <c r="C3089" s="1">
        <v>2.6513750154149702E-3</v>
      </c>
      <c r="D3089" s="1">
        <v>0</v>
      </c>
      <c r="E3089" s="1">
        <v>0</v>
      </c>
      <c r="F3089" s="1">
        <v>2.4274585073952798E-3</v>
      </c>
    </row>
    <row r="3090" spans="1:6" x14ac:dyDescent="0.25">
      <c r="A3090" s="2" t="str">
        <f>"40530"</f>
        <v>40530</v>
      </c>
      <c r="B3090" s="2" t="str">
        <f>"78382"</f>
        <v>78382</v>
      </c>
      <c r="C3090" s="1">
        <v>0.75773831545196602</v>
      </c>
      <c r="D3090" s="1">
        <v>0.74399337199668503</v>
      </c>
      <c r="E3090" s="1">
        <v>0.93771626297577804</v>
      </c>
      <c r="F3090" s="1">
        <v>0.75973806029129498</v>
      </c>
    </row>
    <row r="3091" spans="1:6" x14ac:dyDescent="0.25">
      <c r="A3091" s="2" t="str">
        <f t="shared" ref="A3091:A3128" si="109">"11100"</f>
        <v>11100</v>
      </c>
      <c r="B3091" s="2" t="str">
        <f>"79111"</f>
        <v>79111</v>
      </c>
      <c r="C3091" s="1">
        <v>4.1105678524691498E-3</v>
      </c>
      <c r="D3091" s="1">
        <v>6.5387049145749802E-3</v>
      </c>
      <c r="E3091" s="1">
        <v>2.2184300341296899E-3</v>
      </c>
      <c r="F3091" s="1">
        <v>4.2726769911504399E-3</v>
      </c>
    </row>
    <row r="3092" spans="1:6" x14ac:dyDescent="0.25">
      <c r="A3092" s="2" t="str">
        <f t="shared" si="109"/>
        <v>11100</v>
      </c>
      <c r="B3092" s="2" t="str">
        <f>"79105"</f>
        <v>79105</v>
      </c>
      <c r="C3092" s="1">
        <v>1.3471743860240601E-2</v>
      </c>
      <c r="D3092" s="1">
        <v>6.1871616395978303E-2</v>
      </c>
      <c r="E3092" s="1">
        <v>3.41296928327645E-4</v>
      </c>
      <c r="F3092" s="1">
        <v>1.7699115044247701E-2</v>
      </c>
    </row>
    <row r="3093" spans="1:6" x14ac:dyDescent="0.25">
      <c r="A3093" s="2" t="str">
        <f t="shared" si="109"/>
        <v>11100</v>
      </c>
      <c r="B3093" s="2" t="str">
        <f>"79010"</f>
        <v>79010</v>
      </c>
      <c r="C3093" s="1">
        <v>8.0284528368537998E-6</v>
      </c>
      <c r="D3093" s="1">
        <v>2.10925964986289E-4</v>
      </c>
      <c r="E3093" s="1">
        <v>0</v>
      </c>
      <c r="F3093" s="1">
        <v>2.76548672566371E-5</v>
      </c>
    </row>
    <row r="3094" spans="1:6" x14ac:dyDescent="0.25">
      <c r="A3094" s="2" t="str">
        <f t="shared" si="109"/>
        <v>11100</v>
      </c>
      <c r="B3094" s="2" t="str">
        <f>"79058"</f>
        <v>79058</v>
      </c>
      <c r="C3094" s="1">
        <v>1.5254060390022201E-4</v>
      </c>
      <c r="D3094" s="1">
        <v>0</v>
      </c>
      <c r="E3094" s="1">
        <v>5.1194539249146704E-4</v>
      </c>
      <c r="F3094" s="1">
        <v>1.5210176991150399E-4</v>
      </c>
    </row>
    <row r="3095" spans="1:6" x14ac:dyDescent="0.25">
      <c r="A3095" s="2" t="str">
        <f t="shared" si="109"/>
        <v>11100</v>
      </c>
      <c r="B3095" s="2" t="str">
        <f>"79114"</f>
        <v>79114</v>
      </c>
      <c r="C3095" s="1">
        <v>1.55832269563332E-2</v>
      </c>
      <c r="D3095" s="1">
        <v>5.9621739436124498E-2</v>
      </c>
      <c r="E3095" s="1">
        <v>3.41296928327645E-4</v>
      </c>
      <c r="F3095" s="1">
        <v>1.9296183628318499E-2</v>
      </c>
    </row>
    <row r="3096" spans="1:6" x14ac:dyDescent="0.25">
      <c r="A3096" s="2" t="str">
        <f t="shared" si="109"/>
        <v>11100</v>
      </c>
      <c r="B3096" s="2" t="str">
        <f>"79116"</f>
        <v>79116</v>
      </c>
      <c r="C3096" s="1">
        <v>6.3665630996250699E-3</v>
      </c>
      <c r="D3096" s="1">
        <v>1.6241299303944301E-2</v>
      </c>
      <c r="E3096" s="1">
        <v>3.41296928327645E-4</v>
      </c>
      <c r="F3096" s="1">
        <v>7.0934734513274297E-3</v>
      </c>
    </row>
    <row r="3097" spans="1:6" x14ac:dyDescent="0.25">
      <c r="A3097" s="2" t="str">
        <f t="shared" si="109"/>
        <v>11100</v>
      </c>
      <c r="B3097" s="2" t="str">
        <f>"79109"</f>
        <v>79109</v>
      </c>
      <c r="C3097" s="1">
        <v>0.17199354512391901</v>
      </c>
      <c r="D3097" s="1">
        <v>0.16206144976446599</v>
      </c>
      <c r="E3097" s="1">
        <v>0.20921501706484599</v>
      </c>
      <c r="F3097" s="1">
        <v>0.17252488938053001</v>
      </c>
    </row>
    <row r="3098" spans="1:6" x14ac:dyDescent="0.25">
      <c r="A3098" s="2" t="str">
        <f t="shared" si="109"/>
        <v>11100</v>
      </c>
      <c r="B3098" s="2" t="str">
        <f>"79118"</f>
        <v>79118</v>
      </c>
      <c r="C3098" s="1">
        <v>8.7815217129506906E-2</v>
      </c>
      <c r="D3098" s="1">
        <v>3.1568586092947999E-2</v>
      </c>
      <c r="E3098" s="1">
        <v>3.9761092150170603E-2</v>
      </c>
      <c r="F3098" s="1">
        <v>8.0337389380530894E-2</v>
      </c>
    </row>
    <row r="3099" spans="1:6" x14ac:dyDescent="0.25">
      <c r="A3099" s="2" t="str">
        <f t="shared" si="109"/>
        <v>11100</v>
      </c>
      <c r="B3099" s="2" t="str">
        <f>"79080"</f>
        <v>79080</v>
      </c>
      <c r="C3099" s="1">
        <v>1.60569056737076E-4</v>
      </c>
      <c r="D3099" s="1">
        <v>1.4061730999085899E-4</v>
      </c>
      <c r="E3099" s="1">
        <v>0</v>
      </c>
      <c r="F3099" s="1">
        <v>1.5210176991150399E-4</v>
      </c>
    </row>
    <row r="3100" spans="1:6" x14ac:dyDescent="0.25">
      <c r="A3100" s="2" t="str">
        <f t="shared" si="109"/>
        <v>11100</v>
      </c>
      <c r="B3100" s="2" t="str">
        <f>"79106"</f>
        <v>79106</v>
      </c>
      <c r="C3100" s="1">
        <v>0.109861348619507</v>
      </c>
      <c r="D3100" s="1">
        <v>0.11748576249736301</v>
      </c>
      <c r="E3100" s="1">
        <v>0.17508532423208101</v>
      </c>
      <c r="F3100" s="1">
        <v>0.113253595132743</v>
      </c>
    </row>
    <row r="3101" spans="1:6" x14ac:dyDescent="0.25">
      <c r="A3101" s="2" t="str">
        <f t="shared" si="109"/>
        <v>11100</v>
      </c>
      <c r="B3101" s="2" t="str">
        <f>"79001"</f>
        <v>79001</v>
      </c>
      <c r="C3101" s="1">
        <v>4.8973562304808203E-4</v>
      </c>
      <c r="D3101" s="1">
        <v>0</v>
      </c>
      <c r="E3101" s="1">
        <v>1.7064846416382201E-4</v>
      </c>
      <c r="F3101" s="1">
        <v>4.2865044247787599E-4</v>
      </c>
    </row>
    <row r="3102" spans="1:6" x14ac:dyDescent="0.25">
      <c r="A3102" s="2" t="str">
        <f t="shared" si="109"/>
        <v>11100</v>
      </c>
      <c r="B3102" s="2" t="str">
        <f>"79039"</f>
        <v>79039</v>
      </c>
      <c r="C3102" s="1">
        <v>1.3407516237545799E-3</v>
      </c>
      <c r="D3102" s="1">
        <v>1.6874077198903101E-3</v>
      </c>
      <c r="E3102" s="1">
        <v>1.7064846416382201E-4</v>
      </c>
      <c r="F3102" s="1">
        <v>1.3274336283185799E-3</v>
      </c>
    </row>
    <row r="3103" spans="1:6" x14ac:dyDescent="0.25">
      <c r="A3103" s="2" t="str">
        <f t="shared" si="109"/>
        <v>11100</v>
      </c>
      <c r="B3103" s="2" t="str">
        <f>"79015"</f>
        <v>79015</v>
      </c>
      <c r="C3103" s="1">
        <v>8.8706375394397699E-2</v>
      </c>
      <c r="D3103" s="1">
        <v>5.8356183646206802E-2</v>
      </c>
      <c r="E3103" s="1">
        <v>0.112627986348122</v>
      </c>
      <c r="F3103" s="1">
        <v>8.6691095132743298E-2</v>
      </c>
    </row>
    <row r="3104" spans="1:6" x14ac:dyDescent="0.25">
      <c r="A3104" s="2" t="str">
        <f t="shared" si="109"/>
        <v>11100</v>
      </c>
      <c r="B3104" s="2" t="str">
        <f>"79042"</f>
        <v>79042</v>
      </c>
      <c r="C3104" s="1">
        <v>1.35680852942829E-3</v>
      </c>
      <c r="D3104" s="1">
        <v>7.0308654995429902E-5</v>
      </c>
      <c r="E3104" s="1">
        <v>6.8259385665529E-4</v>
      </c>
      <c r="F3104" s="1">
        <v>1.20298672566371E-3</v>
      </c>
    </row>
    <row r="3105" spans="1:6" x14ac:dyDescent="0.25">
      <c r="A3105" s="2" t="str">
        <f t="shared" si="109"/>
        <v>11100</v>
      </c>
      <c r="B3105" s="2" t="str">
        <f>"79110"</f>
        <v>79110</v>
      </c>
      <c r="C3105" s="1">
        <v>6.1827115296611099E-2</v>
      </c>
      <c r="D3105" s="1">
        <v>4.84426632918512E-2</v>
      </c>
      <c r="E3105" s="1">
        <v>3.2935153583617698E-2</v>
      </c>
      <c r="F3105" s="1">
        <v>5.93404314159292E-2</v>
      </c>
    </row>
    <row r="3106" spans="1:6" x14ac:dyDescent="0.25">
      <c r="A3106" s="2" t="str">
        <f t="shared" si="109"/>
        <v>11100</v>
      </c>
      <c r="B3106" s="2" t="str">
        <f>"79094"</f>
        <v>79094</v>
      </c>
      <c r="C3106" s="1">
        <v>2.4888203794246798E-4</v>
      </c>
      <c r="D3106" s="1">
        <v>0</v>
      </c>
      <c r="E3106" s="1">
        <v>1.7064846416382201E-4</v>
      </c>
      <c r="F3106" s="1">
        <v>2.2123893805309699E-4</v>
      </c>
    </row>
    <row r="3107" spans="1:6" x14ac:dyDescent="0.25">
      <c r="A3107" s="2" t="str">
        <f t="shared" si="109"/>
        <v>11100</v>
      </c>
      <c r="B3107" s="2" t="str">
        <f>"79092"</f>
        <v>79092</v>
      </c>
      <c r="C3107" s="1">
        <v>7.5467456666425804E-4</v>
      </c>
      <c r="D3107" s="1">
        <v>0</v>
      </c>
      <c r="E3107" s="1">
        <v>0</v>
      </c>
      <c r="F3107" s="1">
        <v>6.4988938053097301E-4</v>
      </c>
    </row>
    <row r="3108" spans="1:6" x14ac:dyDescent="0.25">
      <c r="A3108" s="2" t="str">
        <f t="shared" si="109"/>
        <v>11100</v>
      </c>
      <c r="B3108" s="2" t="str">
        <f>"79226"</f>
        <v>79226</v>
      </c>
      <c r="C3108" s="1">
        <v>4.0945109467954401E-4</v>
      </c>
      <c r="D3108" s="1">
        <v>2.10925964986289E-4</v>
      </c>
      <c r="E3108" s="1">
        <v>1.7064846416382201E-4</v>
      </c>
      <c r="F3108" s="1">
        <v>3.80254424778761E-4</v>
      </c>
    </row>
    <row r="3109" spans="1:6" x14ac:dyDescent="0.25">
      <c r="A3109" s="2" t="str">
        <f t="shared" si="109"/>
        <v>11100</v>
      </c>
      <c r="B3109" s="2" t="str">
        <f>"79124"</f>
        <v>79124</v>
      </c>
      <c r="C3109" s="1">
        <v>4.0848768033912103E-2</v>
      </c>
      <c r="D3109" s="1">
        <v>2.60845110033045E-2</v>
      </c>
      <c r="E3109" s="1">
        <v>1.7235494880546001E-2</v>
      </c>
      <c r="F3109" s="1">
        <v>3.8440265486725599E-2</v>
      </c>
    </row>
    <row r="3110" spans="1:6" x14ac:dyDescent="0.25">
      <c r="A3110" s="2" t="str">
        <f t="shared" si="109"/>
        <v>11100</v>
      </c>
      <c r="B3110" s="2" t="str">
        <f>"79108"</f>
        <v>79108</v>
      </c>
      <c r="C3110" s="1">
        <v>4.5095819584607802E-2</v>
      </c>
      <c r="D3110" s="1">
        <v>1.8631793573788899E-2</v>
      </c>
      <c r="E3110" s="1">
        <v>5.7337883959044302E-2</v>
      </c>
      <c r="F3110" s="1">
        <v>4.2989491150442399E-2</v>
      </c>
    </row>
    <row r="3111" spans="1:6" x14ac:dyDescent="0.25">
      <c r="A3111" s="2" t="str">
        <f t="shared" si="109"/>
        <v>11100</v>
      </c>
      <c r="B3111" s="2" t="str">
        <f>"79097"</f>
        <v>79097</v>
      </c>
      <c r="C3111" s="1">
        <v>7.2256075531684197E-4</v>
      </c>
      <c r="D3111" s="1">
        <v>2.10925964986289E-4</v>
      </c>
      <c r="E3111" s="1">
        <v>0</v>
      </c>
      <c r="F3111" s="1">
        <v>6.4297566371681399E-4</v>
      </c>
    </row>
    <row r="3112" spans="1:6" x14ac:dyDescent="0.25">
      <c r="A3112" s="2" t="str">
        <f t="shared" si="109"/>
        <v>11100</v>
      </c>
      <c r="B3112" s="2" t="str">
        <f>"79016"</f>
        <v>79016</v>
      </c>
      <c r="C3112" s="1">
        <v>0</v>
      </c>
      <c r="D3112" s="1">
        <v>2.8123461998171901E-4</v>
      </c>
      <c r="E3112" s="1">
        <v>0</v>
      </c>
      <c r="F3112" s="1">
        <v>2.76548672566371E-5</v>
      </c>
    </row>
    <row r="3113" spans="1:6" x14ac:dyDescent="0.25">
      <c r="A3113" s="2" t="str">
        <f t="shared" si="109"/>
        <v>11100</v>
      </c>
      <c r="B3113" s="2" t="str">
        <f>"79036"</f>
        <v>79036</v>
      </c>
      <c r="C3113" s="1">
        <v>2.7939015872251202E-3</v>
      </c>
      <c r="D3113" s="1">
        <v>0</v>
      </c>
      <c r="E3113" s="1">
        <v>1.7064846416382201E-4</v>
      </c>
      <c r="F3113" s="1">
        <v>2.4128871681415899E-3</v>
      </c>
    </row>
    <row r="3114" spans="1:6" x14ac:dyDescent="0.25">
      <c r="A3114" s="2" t="str">
        <f t="shared" si="109"/>
        <v>11100</v>
      </c>
      <c r="B3114" s="2" t="str">
        <f>"79120"</f>
        <v>79120</v>
      </c>
      <c r="C3114" s="1">
        <v>1.4162190804210099E-2</v>
      </c>
      <c r="D3114" s="1">
        <v>2.7771918723194799E-2</v>
      </c>
      <c r="E3114" s="1">
        <v>3.41296928327645E-4</v>
      </c>
      <c r="F3114" s="1">
        <v>1.4940542035398199E-2</v>
      </c>
    </row>
    <row r="3115" spans="1:6" x14ac:dyDescent="0.25">
      <c r="A3115" s="2" t="str">
        <f t="shared" si="109"/>
        <v>11100</v>
      </c>
      <c r="B3115" s="2" t="str">
        <f>"79103"</f>
        <v>79103</v>
      </c>
      <c r="C3115" s="1">
        <v>3.1327022969403498E-2</v>
      </c>
      <c r="D3115" s="1">
        <v>1.9967658018702102E-2</v>
      </c>
      <c r="E3115" s="1">
        <v>8.8737201365187701E-3</v>
      </c>
      <c r="F3115" s="1">
        <v>2.9300331858407001E-2</v>
      </c>
    </row>
    <row r="3116" spans="1:6" x14ac:dyDescent="0.25">
      <c r="A3116" s="2" t="str">
        <f t="shared" si="109"/>
        <v>11100</v>
      </c>
      <c r="B3116" s="2" t="str">
        <f>"79012"</f>
        <v>79012</v>
      </c>
      <c r="C3116" s="1">
        <v>8.0284528368537998E-6</v>
      </c>
      <c r="D3116" s="1">
        <v>0</v>
      </c>
      <c r="E3116" s="1">
        <v>0</v>
      </c>
      <c r="F3116" s="1">
        <v>6.9137168141592902E-6</v>
      </c>
    </row>
    <row r="3117" spans="1:6" x14ac:dyDescent="0.25">
      <c r="A3117" s="2" t="str">
        <f t="shared" si="109"/>
        <v>11100</v>
      </c>
      <c r="B3117" s="2" t="str">
        <f>"79068"</f>
        <v>79068</v>
      </c>
      <c r="C3117" s="1">
        <v>3.1953242290678101E-3</v>
      </c>
      <c r="D3117" s="1">
        <v>1.26555578991773E-3</v>
      </c>
      <c r="E3117" s="1">
        <v>1.5358361774744E-3</v>
      </c>
      <c r="F3117" s="1">
        <v>2.9383296460176898E-3</v>
      </c>
    </row>
    <row r="3118" spans="1:6" x14ac:dyDescent="0.25">
      <c r="A3118" s="2" t="str">
        <f t="shared" si="109"/>
        <v>11100</v>
      </c>
      <c r="B3118" s="2" t="str">
        <f>"79121"</f>
        <v>79121</v>
      </c>
      <c r="C3118" s="1">
        <v>2.3338712396734001E-2</v>
      </c>
      <c r="D3118" s="1">
        <v>2.0389509948674601E-2</v>
      </c>
      <c r="E3118" s="1">
        <v>1.31399317406143E-2</v>
      </c>
      <c r="F3118" s="1">
        <v>2.2635508849557499E-2</v>
      </c>
    </row>
    <row r="3119" spans="1:6" x14ac:dyDescent="0.25">
      <c r="A3119" s="2" t="str">
        <f t="shared" si="109"/>
        <v>11100</v>
      </c>
      <c r="B3119" s="2" t="str">
        <f>"79117"</f>
        <v>79117</v>
      </c>
      <c r="C3119" s="1">
        <v>7.2898351758632499E-3</v>
      </c>
      <c r="D3119" s="1">
        <v>5.6950010546298196E-3</v>
      </c>
      <c r="E3119" s="1">
        <v>3.41296928327645E-4</v>
      </c>
      <c r="F3119" s="1">
        <v>6.8514933628318498E-3</v>
      </c>
    </row>
    <row r="3120" spans="1:6" x14ac:dyDescent="0.25">
      <c r="A3120" s="2" t="str">
        <f t="shared" si="109"/>
        <v>11100</v>
      </c>
      <c r="B3120" s="2" t="str">
        <f>"79091"</f>
        <v>79091</v>
      </c>
      <c r="C3120" s="1">
        <v>8.0284528368537998E-6</v>
      </c>
      <c r="D3120" s="1">
        <v>0</v>
      </c>
      <c r="E3120" s="1">
        <v>3.41296928327645E-4</v>
      </c>
      <c r="F3120" s="1">
        <v>2.0741150442477801E-5</v>
      </c>
    </row>
    <row r="3121" spans="1:6" x14ac:dyDescent="0.25">
      <c r="A3121" s="2" t="str">
        <f t="shared" si="109"/>
        <v>11100</v>
      </c>
      <c r="B3121" s="2" t="str">
        <f>"79104"</f>
        <v>79104</v>
      </c>
      <c r="C3121" s="1">
        <v>2.3306598585386602E-2</v>
      </c>
      <c r="D3121" s="1">
        <v>1.6241299303944301E-2</v>
      </c>
      <c r="E3121" s="1">
        <v>3.48122866894197E-2</v>
      </c>
      <c r="F3121" s="1">
        <v>2.3077986725663701E-2</v>
      </c>
    </row>
    <row r="3122" spans="1:6" x14ac:dyDescent="0.25">
      <c r="A3122" s="2" t="str">
        <f t="shared" si="109"/>
        <v>11100</v>
      </c>
      <c r="B3122" s="2" t="str">
        <f>"79102"</f>
        <v>79102</v>
      </c>
      <c r="C3122" s="1">
        <v>3.5654359048467699E-2</v>
      </c>
      <c r="D3122" s="1">
        <v>4.5981860367011101E-2</v>
      </c>
      <c r="E3122" s="1">
        <v>8.2764505119453893E-2</v>
      </c>
      <c r="F3122" s="1">
        <v>3.8578539823008802E-2</v>
      </c>
    </row>
    <row r="3123" spans="1:6" x14ac:dyDescent="0.25">
      <c r="A3123" s="2" t="str">
        <f t="shared" si="109"/>
        <v>11100</v>
      </c>
      <c r="B3123" s="2" t="str">
        <f>"79101"</f>
        <v>79101</v>
      </c>
      <c r="C3123" s="1">
        <v>1.29820082371926E-2</v>
      </c>
      <c r="D3123" s="1">
        <v>0.111861070097729</v>
      </c>
      <c r="E3123" s="1">
        <v>8.0887372013651801E-2</v>
      </c>
      <c r="F3123" s="1">
        <v>2.54563053097345E-2</v>
      </c>
    </row>
    <row r="3124" spans="1:6" x14ac:dyDescent="0.25">
      <c r="A3124" s="2" t="str">
        <f t="shared" si="109"/>
        <v>11100</v>
      </c>
      <c r="B3124" s="2" t="str">
        <f>"79019"</f>
        <v>79019</v>
      </c>
      <c r="C3124" s="1">
        <v>4.23099464502195E-3</v>
      </c>
      <c r="D3124" s="1">
        <v>9.8432116993601906E-4</v>
      </c>
      <c r="E3124" s="1">
        <v>8.5324232081911199E-4</v>
      </c>
      <c r="F3124" s="1">
        <v>3.77488938053097E-3</v>
      </c>
    </row>
    <row r="3125" spans="1:6" x14ac:dyDescent="0.25">
      <c r="A3125" s="2" t="str">
        <f t="shared" si="109"/>
        <v>11100</v>
      </c>
      <c r="B3125" s="2" t="str">
        <f>"79159"</f>
        <v>79159</v>
      </c>
      <c r="C3125" s="1">
        <v>1.2845524538966001E-2</v>
      </c>
      <c r="D3125" s="1">
        <v>3.3115376502847502E-2</v>
      </c>
      <c r="E3125" s="1">
        <v>3.41296928327645E-4</v>
      </c>
      <c r="F3125" s="1">
        <v>1.4332134955752199E-2</v>
      </c>
    </row>
    <row r="3126" spans="1:6" x14ac:dyDescent="0.25">
      <c r="A3126" s="2" t="str">
        <f t="shared" si="109"/>
        <v>11100</v>
      </c>
      <c r="B3126" s="2" t="str">
        <f>"79119"</f>
        <v>79119</v>
      </c>
      <c r="C3126" s="1">
        <v>7.5925078478126407E-2</v>
      </c>
      <c r="D3126" s="1">
        <v>3.7685439077550398E-2</v>
      </c>
      <c r="E3126" s="1">
        <v>2.44027303754266E-2</v>
      </c>
      <c r="F3126" s="1">
        <v>7.0077433628318503E-2</v>
      </c>
    </row>
    <row r="3127" spans="1:6" x14ac:dyDescent="0.25">
      <c r="A3127" s="2" t="str">
        <f t="shared" si="109"/>
        <v>11100</v>
      </c>
      <c r="B3127" s="2" t="str">
        <f>"79107"</f>
        <v>79107</v>
      </c>
      <c r="C3127" s="1">
        <v>0.10037171736634599</v>
      </c>
      <c r="D3127" s="1">
        <v>6.8621247275539601E-2</v>
      </c>
      <c r="E3127" s="1">
        <v>0.101535836177474</v>
      </c>
      <c r="F3127" s="1">
        <v>9.7296736725663704E-2</v>
      </c>
    </row>
    <row r="3128" spans="1:6" x14ac:dyDescent="0.25">
      <c r="A3128" s="2" t="str">
        <f t="shared" si="109"/>
        <v>11100</v>
      </c>
      <c r="B3128" s="2" t="str">
        <f>"79098"</f>
        <v>79098</v>
      </c>
      <c r="C3128" s="1">
        <v>1.2363817368754801E-3</v>
      </c>
      <c r="D3128" s="1">
        <v>7.0308654995429902E-4</v>
      </c>
      <c r="E3128" s="1">
        <v>3.41296928327645E-4</v>
      </c>
      <c r="F3128" s="1">
        <v>1.14767699115044E-3</v>
      </c>
    </row>
    <row r="3129" spans="1:6" x14ac:dyDescent="0.25">
      <c r="A3129" s="2" t="str">
        <f t="shared" ref="A3129:A3139" si="110">"37420"</f>
        <v>37420</v>
      </c>
      <c r="B3129" s="2" t="str">
        <f>"79002"</f>
        <v>79002</v>
      </c>
      <c r="C3129" s="1">
        <v>0</v>
      </c>
      <c r="D3129" s="1">
        <v>0</v>
      </c>
      <c r="E3129" s="1">
        <v>4.3290043290043203E-3</v>
      </c>
      <c r="F3129" s="1">
        <v>6.87899841783036E-5</v>
      </c>
    </row>
    <row r="3130" spans="1:6" x14ac:dyDescent="0.25">
      <c r="A3130" s="2" t="str">
        <f t="shared" si="110"/>
        <v>37420</v>
      </c>
      <c r="B3130" s="2" t="str">
        <f>"79057"</f>
        <v>79057</v>
      </c>
      <c r="C3130" s="1">
        <v>1.9737365698368401E-2</v>
      </c>
      <c r="D3130" s="1">
        <v>2.8719126938540999E-3</v>
      </c>
      <c r="E3130" s="1">
        <v>2.1645021645021599E-2</v>
      </c>
      <c r="F3130" s="1">
        <v>1.7747815918002299E-2</v>
      </c>
    </row>
    <row r="3131" spans="1:6" x14ac:dyDescent="0.25">
      <c r="A3131" s="2" t="str">
        <f t="shared" si="110"/>
        <v>37420</v>
      </c>
      <c r="B3131" s="2" t="str">
        <f>"79039"</f>
        <v>79039</v>
      </c>
      <c r="C3131" s="1">
        <v>3.50179068842021E-3</v>
      </c>
      <c r="D3131" s="1">
        <v>4.5950603101665701E-3</v>
      </c>
      <c r="E3131" s="1">
        <v>2.1645021645021599E-2</v>
      </c>
      <c r="F3131" s="1">
        <v>3.9210290981632999E-3</v>
      </c>
    </row>
    <row r="3132" spans="1:6" x14ac:dyDescent="0.25">
      <c r="A3132" s="2" t="str">
        <f t="shared" si="110"/>
        <v>37420</v>
      </c>
      <c r="B3132" s="2" t="str">
        <f>"79061"</f>
        <v>79061</v>
      </c>
      <c r="C3132" s="1">
        <v>2.3875845602865101E-4</v>
      </c>
      <c r="D3132" s="1">
        <v>0</v>
      </c>
      <c r="E3132" s="1">
        <v>0</v>
      </c>
      <c r="F3132" s="1">
        <v>2.0636995253491E-4</v>
      </c>
    </row>
    <row r="3133" spans="1:6" x14ac:dyDescent="0.25">
      <c r="A3133" s="2" t="str">
        <f t="shared" si="110"/>
        <v>37420</v>
      </c>
      <c r="B3133" s="2" t="str">
        <f>"79065"</f>
        <v>79065</v>
      </c>
      <c r="C3133" s="1">
        <v>0.83310783923597198</v>
      </c>
      <c r="D3133" s="1">
        <v>0.74497415278575496</v>
      </c>
      <c r="E3133" s="1">
        <v>0.90476190476190399</v>
      </c>
      <c r="F3133" s="1">
        <v>0.82369127055100699</v>
      </c>
    </row>
    <row r="3134" spans="1:6" x14ac:dyDescent="0.25">
      <c r="A3134" s="2" t="str">
        <f t="shared" si="110"/>
        <v>37420</v>
      </c>
      <c r="B3134" s="2" t="str">
        <f>"79097"</f>
        <v>79097</v>
      </c>
      <c r="C3134" s="1">
        <v>3.1834460803820098E-4</v>
      </c>
      <c r="D3134" s="1">
        <v>0</v>
      </c>
      <c r="E3134" s="1">
        <v>0</v>
      </c>
      <c r="F3134" s="1">
        <v>2.7515993671321402E-4</v>
      </c>
    </row>
    <row r="3135" spans="1:6" x14ac:dyDescent="0.25">
      <c r="A3135" s="2" t="str">
        <f t="shared" si="110"/>
        <v>37420</v>
      </c>
      <c r="B3135" s="2" t="str">
        <f>"79066"</f>
        <v>79066</v>
      </c>
      <c r="C3135" s="1">
        <v>0.112216474333465</v>
      </c>
      <c r="D3135" s="1">
        <v>0.23951751866743201</v>
      </c>
      <c r="E3135" s="1">
        <v>4.3290043290043203E-3</v>
      </c>
      <c r="F3135" s="1">
        <v>0.12574809107793899</v>
      </c>
    </row>
    <row r="3136" spans="1:6" x14ac:dyDescent="0.25">
      <c r="A3136" s="2" t="str">
        <f t="shared" si="110"/>
        <v>37420</v>
      </c>
      <c r="B3136" s="2" t="str">
        <f>"79059"</f>
        <v>79059</v>
      </c>
      <c r="C3136" s="1">
        <v>3.0322323915638601E-2</v>
      </c>
      <c r="D3136" s="1">
        <v>8.0413555427914906E-3</v>
      </c>
      <c r="E3136" s="1">
        <v>3.8961038961038898E-2</v>
      </c>
      <c r="F3136" s="1">
        <v>2.7791153608034601E-2</v>
      </c>
    </row>
    <row r="3137" spans="1:6" x14ac:dyDescent="0.25">
      <c r="A3137" s="2" t="str">
        <f t="shared" si="110"/>
        <v>37420</v>
      </c>
      <c r="B3137" s="2" t="str">
        <f>"79070"</f>
        <v>79070</v>
      </c>
      <c r="C3137" s="1">
        <v>3.1834460803820098E-4</v>
      </c>
      <c r="D3137" s="1">
        <v>0</v>
      </c>
      <c r="E3137" s="1">
        <v>0</v>
      </c>
      <c r="F3137" s="1">
        <v>2.7515993671321402E-4</v>
      </c>
    </row>
    <row r="3138" spans="1:6" x14ac:dyDescent="0.25">
      <c r="A3138" s="2" t="str">
        <f t="shared" si="110"/>
        <v>37420</v>
      </c>
      <c r="B3138" s="2" t="str">
        <f>"79081"</f>
        <v>79081</v>
      </c>
      <c r="C3138" s="1">
        <v>2.3875845602865101E-4</v>
      </c>
      <c r="D3138" s="1">
        <v>0</v>
      </c>
      <c r="E3138" s="1">
        <v>0</v>
      </c>
      <c r="F3138" s="1">
        <v>2.0636995253491E-4</v>
      </c>
    </row>
    <row r="3139" spans="1:6" x14ac:dyDescent="0.25">
      <c r="A3139" s="2" t="str">
        <f t="shared" si="110"/>
        <v>37420</v>
      </c>
      <c r="B3139" s="2" t="str">
        <f>"79054"</f>
        <v>79054</v>
      </c>
      <c r="C3139" s="1">
        <v>0</v>
      </c>
      <c r="D3139" s="1">
        <v>0</v>
      </c>
      <c r="E3139" s="1">
        <v>4.3290043290043203E-3</v>
      </c>
      <c r="F3139" s="1">
        <v>6.87899841783036E-5</v>
      </c>
    </row>
    <row r="3140" spans="1:6" x14ac:dyDescent="0.25">
      <c r="A3140" s="2" t="str">
        <f t="shared" ref="A3140:A3171" si="111">"14500"</f>
        <v>14500</v>
      </c>
      <c r="B3140" s="2" t="str">
        <f>"80307"</f>
        <v>80307</v>
      </c>
      <c r="C3140" s="1">
        <v>2.27940498306915E-3</v>
      </c>
      <c r="D3140" s="1">
        <v>1.53937240970988E-2</v>
      </c>
      <c r="E3140" s="1">
        <v>1.8781106207155601E-4</v>
      </c>
      <c r="F3140" s="1">
        <v>3.3903408742395401E-3</v>
      </c>
    </row>
    <row r="3141" spans="1:6" x14ac:dyDescent="0.25">
      <c r="A3141" s="2" t="str">
        <f t="shared" si="111"/>
        <v>14500</v>
      </c>
      <c r="B3141" s="2" t="str">
        <f>"80301"</f>
        <v>80301</v>
      </c>
      <c r="C3141" s="1">
        <v>8.3494736287336696E-2</v>
      </c>
      <c r="D3141" s="1">
        <v>0.18300769686204801</v>
      </c>
      <c r="E3141" s="1">
        <v>0.14095220208470199</v>
      </c>
      <c r="F3141" s="1">
        <v>9.6278989366151202E-2</v>
      </c>
    </row>
    <row r="3142" spans="1:6" x14ac:dyDescent="0.25">
      <c r="A3142" s="2" t="str">
        <f t="shared" si="111"/>
        <v>14500</v>
      </c>
      <c r="B3142" s="2" t="str">
        <f>"80466"</f>
        <v>80466</v>
      </c>
      <c r="C3142" s="1">
        <v>2.03038328260669E-2</v>
      </c>
      <c r="D3142" s="1">
        <v>9.1178211959739401E-3</v>
      </c>
      <c r="E3142" s="1">
        <v>9.3905531035778E-4</v>
      </c>
      <c r="F3142" s="1">
        <v>1.8100405391087999E-2</v>
      </c>
    </row>
    <row r="3143" spans="1:6" x14ac:dyDescent="0.25">
      <c r="A3143" s="2" t="str">
        <f t="shared" si="111"/>
        <v>14500</v>
      </c>
      <c r="B3143" s="2" t="str">
        <f>"80540"</f>
        <v>80540</v>
      </c>
      <c r="C3143" s="1">
        <v>5.2703005388882304E-3</v>
      </c>
      <c r="D3143" s="1">
        <v>5.3285968028419096E-4</v>
      </c>
      <c r="E3143" s="1">
        <v>1.50248849657244E-3</v>
      </c>
      <c r="F3143" s="1">
        <v>4.6003802981046402E-3</v>
      </c>
    </row>
    <row r="3144" spans="1:6" x14ac:dyDescent="0.25">
      <c r="A3144" s="2" t="str">
        <f t="shared" si="111"/>
        <v>14500</v>
      </c>
      <c r="B3144" s="2" t="str">
        <f>"80422"</f>
        <v>80422</v>
      </c>
      <c r="C3144" s="1">
        <v>5.9290881062492498E-5</v>
      </c>
      <c r="D3144" s="1">
        <v>0</v>
      </c>
      <c r="E3144" s="1">
        <v>0</v>
      </c>
      <c r="F3144" s="1">
        <v>5.0185966888414197E-5</v>
      </c>
    </row>
    <row r="3145" spans="1:6" x14ac:dyDescent="0.25">
      <c r="A3145" s="2" t="str">
        <f t="shared" si="111"/>
        <v>14500</v>
      </c>
      <c r="B3145" s="2" t="str">
        <f>"80309"</f>
        <v>80309</v>
      </c>
      <c r="C3145" s="1">
        <v>0</v>
      </c>
      <c r="D3145" s="1">
        <v>5.9206631142687899E-5</v>
      </c>
      <c r="E3145" s="1">
        <v>6.5358249600901405E-2</v>
      </c>
      <c r="F3145" s="1">
        <v>3.88662432458052E-3</v>
      </c>
    </row>
    <row r="3146" spans="1:6" x14ac:dyDescent="0.25">
      <c r="A3146" s="2" t="str">
        <f t="shared" si="111"/>
        <v>14500</v>
      </c>
      <c r="B3146" s="2" t="str">
        <f>"80533"</f>
        <v>80533</v>
      </c>
      <c r="C3146" s="1">
        <v>2.1278838425761201E-3</v>
      </c>
      <c r="D3146" s="1">
        <v>7.40082889283599E-3</v>
      </c>
      <c r="E3146" s="1">
        <v>1.8781106207155601E-4</v>
      </c>
      <c r="F3146" s="1">
        <v>2.5092983444207099E-3</v>
      </c>
    </row>
    <row r="3147" spans="1:6" x14ac:dyDescent="0.25">
      <c r="A3147" s="2" t="str">
        <f t="shared" si="111"/>
        <v>14500</v>
      </c>
      <c r="B3147" s="2" t="str">
        <f>"80504"</f>
        <v>80504</v>
      </c>
      <c r="C3147" s="1">
        <v>8.4548796395114395E-2</v>
      </c>
      <c r="D3147" s="1">
        <v>1.1190053285967999E-2</v>
      </c>
      <c r="E3147" s="1">
        <v>4.6764954455817402E-2</v>
      </c>
      <c r="F3147" s="1">
        <v>7.5396050922027696E-2</v>
      </c>
    </row>
    <row r="3148" spans="1:6" x14ac:dyDescent="0.25">
      <c r="A3148" s="2" t="str">
        <f t="shared" si="111"/>
        <v>14500</v>
      </c>
      <c r="B3148" s="2" t="str">
        <f>"80502"</f>
        <v>80502</v>
      </c>
      <c r="C3148" s="1">
        <v>7.9318023110267807E-3</v>
      </c>
      <c r="D3148" s="1">
        <v>3.7004144464179899E-2</v>
      </c>
      <c r="E3148" s="1">
        <v>1.8781106207155601E-4</v>
      </c>
      <c r="F3148" s="1">
        <v>1.02100561525207E-2</v>
      </c>
    </row>
    <row r="3149" spans="1:6" x14ac:dyDescent="0.25">
      <c r="A3149" s="2" t="str">
        <f t="shared" si="111"/>
        <v>14500</v>
      </c>
      <c r="B3149" s="2" t="str">
        <f>"80501"</f>
        <v>80501</v>
      </c>
      <c r="C3149" s="1">
        <v>0.12735681252223399</v>
      </c>
      <c r="D3149" s="1">
        <v>0.16903493191237401</v>
      </c>
      <c r="E3149" s="1">
        <v>0.15926378063667901</v>
      </c>
      <c r="F3149" s="1">
        <v>0.133176827466222</v>
      </c>
    </row>
    <row r="3150" spans="1:6" x14ac:dyDescent="0.25">
      <c r="A3150" s="2" t="str">
        <f t="shared" si="111"/>
        <v>14500</v>
      </c>
      <c r="B3150" s="2" t="str">
        <f>"80021"</f>
        <v>80021</v>
      </c>
      <c r="C3150" s="1">
        <v>0</v>
      </c>
      <c r="D3150" s="1">
        <v>0</v>
      </c>
      <c r="E3150" s="1">
        <v>9.3905531035778003E-5</v>
      </c>
      <c r="F3150" s="1">
        <v>5.57621854315714E-6</v>
      </c>
    </row>
    <row r="3151" spans="1:6" x14ac:dyDescent="0.25">
      <c r="A3151" s="2" t="str">
        <f t="shared" si="111"/>
        <v>14500</v>
      </c>
      <c r="B3151" s="2" t="str">
        <f>"80025"</f>
        <v>80025</v>
      </c>
      <c r="C3151" s="1">
        <v>0</v>
      </c>
      <c r="D3151" s="1">
        <v>0</v>
      </c>
      <c r="E3151" s="1">
        <v>9.3905531035778003E-5</v>
      </c>
      <c r="F3151" s="1">
        <v>5.57621854315714E-6</v>
      </c>
    </row>
    <row r="3152" spans="1:6" x14ac:dyDescent="0.25">
      <c r="A3152" s="2" t="str">
        <f t="shared" si="111"/>
        <v>14500</v>
      </c>
      <c r="B3152" s="2" t="str">
        <f>"80027"</f>
        <v>80027</v>
      </c>
      <c r="C3152" s="1">
        <v>0.10146646112494501</v>
      </c>
      <c r="D3152" s="1">
        <v>0.105150976909413</v>
      </c>
      <c r="E3152" s="1">
        <v>5.7376279462860301E-2</v>
      </c>
      <c r="F3152" s="1">
        <v>9.91953516642224E-2</v>
      </c>
    </row>
    <row r="3153" spans="1:6" x14ac:dyDescent="0.25">
      <c r="A3153" s="2" t="str">
        <f t="shared" si="111"/>
        <v>14500</v>
      </c>
      <c r="B3153" s="2" t="str">
        <f>"80303"</f>
        <v>80303</v>
      </c>
      <c r="C3153" s="1">
        <v>8.6788674124141901E-2</v>
      </c>
      <c r="D3153" s="1">
        <v>5.8792184724689098E-2</v>
      </c>
      <c r="E3153" s="1">
        <v>8.6299183021879902E-2</v>
      </c>
      <c r="F3153" s="1">
        <v>8.4122832942068598E-2</v>
      </c>
    </row>
    <row r="3154" spans="1:6" x14ac:dyDescent="0.25">
      <c r="A3154" s="2" t="str">
        <f t="shared" si="111"/>
        <v>14500</v>
      </c>
      <c r="B3154" s="2" t="str">
        <f>"80302"</f>
        <v>80302</v>
      </c>
      <c r="C3154" s="1">
        <v>8.5253699092190702E-2</v>
      </c>
      <c r="D3154" s="1">
        <v>0.116222616933096</v>
      </c>
      <c r="E3154" s="1">
        <v>0.18931355056812799</v>
      </c>
      <c r="F3154" s="1">
        <v>9.43496177502188E-2</v>
      </c>
    </row>
    <row r="3155" spans="1:6" x14ac:dyDescent="0.25">
      <c r="A3155" s="2" t="str">
        <f t="shared" si="111"/>
        <v>14500</v>
      </c>
      <c r="B3155" s="2" t="str">
        <f>"80305"</f>
        <v>80305</v>
      </c>
      <c r="C3155" s="1">
        <v>4.8690989103653597E-2</v>
      </c>
      <c r="D3155" s="1">
        <v>1.48016577856719E-2</v>
      </c>
      <c r="E3155" s="1">
        <v>2.31007606348013E-2</v>
      </c>
      <c r="F3155" s="1">
        <v>4.3979635649880298E-2</v>
      </c>
    </row>
    <row r="3156" spans="1:6" x14ac:dyDescent="0.25">
      <c r="A3156" s="2" t="str">
        <f t="shared" si="111"/>
        <v>14500</v>
      </c>
      <c r="B3156" s="2" t="str">
        <f>"80026"</f>
        <v>80026</v>
      </c>
      <c r="C3156" s="1">
        <v>9.3725707208453496E-2</v>
      </c>
      <c r="D3156" s="1">
        <v>8.6027235050325598E-2</v>
      </c>
      <c r="E3156" s="1">
        <v>0.106207155601464</v>
      </c>
      <c r="F3156" s="1">
        <v>9.3741809929014694E-2</v>
      </c>
    </row>
    <row r="3157" spans="1:6" x14ac:dyDescent="0.25">
      <c r="A3157" s="2" t="str">
        <f t="shared" si="111"/>
        <v>14500</v>
      </c>
      <c r="B3157" s="2" t="str">
        <f>"80314"</f>
        <v>80314</v>
      </c>
      <c r="C3157" s="1">
        <v>0</v>
      </c>
      <c r="D3157" s="1">
        <v>5.9206631142687899E-5</v>
      </c>
      <c r="E3157" s="1">
        <v>0</v>
      </c>
      <c r="F3157" s="1">
        <v>5.57621854315714E-6</v>
      </c>
    </row>
    <row r="3158" spans="1:6" x14ac:dyDescent="0.25">
      <c r="A3158" s="2" t="str">
        <f t="shared" si="111"/>
        <v>14500</v>
      </c>
      <c r="B3158" s="2" t="str">
        <f>"80308"</f>
        <v>80308</v>
      </c>
      <c r="C3158" s="1">
        <v>1.3024230206727499E-2</v>
      </c>
      <c r="D3158" s="1">
        <v>4.9496743635287097E-2</v>
      </c>
      <c r="E3158" s="1">
        <v>1.8781106207155601E-4</v>
      </c>
      <c r="F3158" s="1">
        <v>1.56970551989873E-2</v>
      </c>
    </row>
    <row r="3159" spans="1:6" x14ac:dyDescent="0.25">
      <c r="A3159" s="2" t="str">
        <f t="shared" si="111"/>
        <v>14500</v>
      </c>
      <c r="B3159" s="2" t="str">
        <f>"80306"</f>
        <v>80306</v>
      </c>
      <c r="C3159" s="1">
        <v>1.5692319854539699E-2</v>
      </c>
      <c r="D3159" s="1">
        <v>4.7838957963291802E-2</v>
      </c>
      <c r="E3159" s="1">
        <v>1.8781106207155601E-4</v>
      </c>
      <c r="F3159" s="1">
        <v>1.77992895897576E-2</v>
      </c>
    </row>
    <row r="3160" spans="1:6" x14ac:dyDescent="0.25">
      <c r="A3160" s="2" t="str">
        <f t="shared" si="111"/>
        <v>14500</v>
      </c>
      <c r="B3160" s="2" t="str">
        <f>"80503"</f>
        <v>80503</v>
      </c>
      <c r="C3160" s="1">
        <v>0.10084061293595201</v>
      </c>
      <c r="D3160" s="1">
        <v>2.5695677915926501E-2</v>
      </c>
      <c r="E3160" s="1">
        <v>2.73265095314114E-2</v>
      </c>
      <c r="F3160" s="1">
        <v>8.9397935683895299E-2</v>
      </c>
    </row>
    <row r="3161" spans="1:6" x14ac:dyDescent="0.25">
      <c r="A3161" s="2" t="str">
        <f t="shared" si="111"/>
        <v>14500</v>
      </c>
      <c r="B3161" s="2" t="str">
        <f>"80310"</f>
        <v>80310</v>
      </c>
      <c r="C3161" s="1">
        <v>1.5152114049303599E-4</v>
      </c>
      <c r="D3161" s="1">
        <v>2.36826524570751E-4</v>
      </c>
      <c r="E3161" s="1">
        <v>0</v>
      </c>
      <c r="F3161" s="1">
        <v>1.5055790066524199E-4</v>
      </c>
    </row>
    <row r="3162" spans="1:6" x14ac:dyDescent="0.25">
      <c r="A3162" s="2" t="str">
        <f t="shared" si="111"/>
        <v>14500</v>
      </c>
      <c r="B3162" s="2" t="str">
        <f>"80403"</f>
        <v>80403</v>
      </c>
      <c r="C3162" s="1">
        <v>2.9250167990829599E-3</v>
      </c>
      <c r="D3162" s="1">
        <v>2.9603315571343901E-4</v>
      </c>
      <c r="E3162" s="1">
        <v>2.8171659310733402E-4</v>
      </c>
      <c r="F3162" s="1">
        <v>2.5204507815070202E-3</v>
      </c>
    </row>
    <row r="3163" spans="1:6" x14ac:dyDescent="0.25">
      <c r="A3163" s="2" t="str">
        <f t="shared" si="111"/>
        <v>14500</v>
      </c>
      <c r="B3163" s="2" t="str">
        <f>"80304"</f>
        <v>80304</v>
      </c>
      <c r="C3163" s="1">
        <v>8.1076985915121802E-2</v>
      </c>
      <c r="D3163" s="1">
        <v>4.4108940201302502E-2</v>
      </c>
      <c r="E3163" s="1">
        <v>8.8928537890881704E-2</v>
      </c>
      <c r="F3163" s="1">
        <v>7.8061483385656799E-2</v>
      </c>
    </row>
    <row r="3164" spans="1:6" x14ac:dyDescent="0.25">
      <c r="A3164" s="2" t="str">
        <f t="shared" si="111"/>
        <v>14500</v>
      </c>
      <c r="B3164" s="2" t="str">
        <f>"80513"</f>
        <v>80513</v>
      </c>
      <c r="C3164" s="1">
        <v>4.6115129715272E-5</v>
      </c>
      <c r="D3164" s="1">
        <v>0</v>
      </c>
      <c r="E3164" s="1">
        <v>0</v>
      </c>
      <c r="F3164" s="1">
        <v>3.9033529802100002E-5</v>
      </c>
    </row>
    <row r="3165" spans="1:6" x14ac:dyDescent="0.25">
      <c r="A3165" s="2" t="str">
        <f t="shared" si="111"/>
        <v>14500</v>
      </c>
      <c r="B3165" s="2" t="str">
        <f>"80481"</f>
        <v>80481</v>
      </c>
      <c r="C3165" s="1">
        <v>1.75237492918033E-3</v>
      </c>
      <c r="D3165" s="1">
        <v>4.1444641799881499E-4</v>
      </c>
      <c r="E3165" s="1">
        <v>1.8781106207155601E-4</v>
      </c>
      <c r="F3165" s="1">
        <v>1.53346009936821E-3</v>
      </c>
    </row>
    <row r="3166" spans="1:6" x14ac:dyDescent="0.25">
      <c r="A3166" s="2" t="str">
        <f t="shared" si="111"/>
        <v>14500</v>
      </c>
      <c r="B3166" s="2" t="str">
        <f>"80455"</f>
        <v>80455</v>
      </c>
      <c r="C3166" s="1">
        <v>1.6337931670553499E-3</v>
      </c>
      <c r="D3166" s="1">
        <v>0</v>
      </c>
      <c r="E3166" s="1">
        <v>8.4514977932200201E-4</v>
      </c>
      <c r="F3166" s="1">
        <v>1.4330881655913799E-3</v>
      </c>
    </row>
    <row r="3167" spans="1:6" x14ac:dyDescent="0.25">
      <c r="A3167" s="2" t="str">
        <f t="shared" si="111"/>
        <v>14500</v>
      </c>
      <c r="B3167" s="2" t="str">
        <f>"80510"</f>
        <v>80510</v>
      </c>
      <c r="C3167" s="1">
        <v>2.1212959669025099E-3</v>
      </c>
      <c r="D3167" s="1">
        <v>3.55239786856127E-4</v>
      </c>
      <c r="E3167" s="1">
        <v>9.3905531035778003E-5</v>
      </c>
      <c r="F3167" s="1">
        <v>1.8345759006987E-3</v>
      </c>
    </row>
    <row r="3168" spans="1:6" x14ac:dyDescent="0.25">
      <c r="A3168" s="2" t="str">
        <f t="shared" si="111"/>
        <v>14500</v>
      </c>
      <c r="B3168" s="2" t="str">
        <f>"80516"</f>
        <v>80516</v>
      </c>
      <c r="C3168" s="1">
        <v>2.55873091163023E-2</v>
      </c>
      <c r="D3168" s="1">
        <v>3.0195381882770801E-3</v>
      </c>
      <c r="E3168" s="1">
        <v>1.78420508967978E-3</v>
      </c>
      <c r="F3168" s="1">
        <v>2.2048368119643301E-2</v>
      </c>
    </row>
    <row r="3169" spans="1:6" x14ac:dyDescent="0.25">
      <c r="A3169" s="2" t="str">
        <f t="shared" si="111"/>
        <v>14500</v>
      </c>
      <c r="B3169" s="2" t="str">
        <f>"80471"</f>
        <v>80471</v>
      </c>
      <c r="C3169" s="1">
        <v>0</v>
      </c>
      <c r="D3169" s="1">
        <v>0</v>
      </c>
      <c r="E3169" s="1">
        <v>9.3905531035778003E-5</v>
      </c>
      <c r="F3169" s="1">
        <v>5.57621854315714E-6</v>
      </c>
    </row>
    <row r="3170" spans="1:6" x14ac:dyDescent="0.25">
      <c r="A3170" s="2" t="str">
        <f t="shared" si="111"/>
        <v>14500</v>
      </c>
      <c r="B3170" s="2" t="str">
        <f>"80020"</f>
        <v>80020</v>
      </c>
      <c r="C3170" s="1">
        <v>6.1267243764575598E-4</v>
      </c>
      <c r="D3170" s="1">
        <v>7.6968620485494302E-4</v>
      </c>
      <c r="E3170" s="1">
        <v>2.8171659310733402E-4</v>
      </c>
      <c r="F3170" s="1">
        <v>6.0780782120412795E-4</v>
      </c>
    </row>
    <row r="3171" spans="1:6" x14ac:dyDescent="0.25">
      <c r="A3171" s="2" t="str">
        <f t="shared" si="111"/>
        <v>14500</v>
      </c>
      <c r="B3171" s="2" t="str">
        <f>"80544"</f>
        <v>80544</v>
      </c>
      <c r="C3171" s="1">
        <v>5.2373611605201703E-3</v>
      </c>
      <c r="D3171" s="1">
        <v>1.39727649496743E-2</v>
      </c>
      <c r="E3171" s="1">
        <v>1.9720161517513299E-3</v>
      </c>
      <c r="F3171" s="1">
        <v>5.8661819074013102E-3</v>
      </c>
    </row>
    <row r="3172" spans="1:6" x14ac:dyDescent="0.25">
      <c r="A3172" s="2" t="str">
        <f t="shared" ref="A3172:A3190" si="112">"36620"</f>
        <v>36620</v>
      </c>
      <c r="B3172" s="2" t="str">
        <f>"97918"</f>
        <v>97918</v>
      </c>
      <c r="C3172" s="1">
        <v>8.3681678365801704E-2</v>
      </c>
      <c r="D3172" s="1">
        <v>5.9487951807228899E-2</v>
      </c>
      <c r="E3172" s="1">
        <v>6.4856711915535395E-2</v>
      </c>
      <c r="F3172" s="1">
        <v>8.1005683997628697E-2</v>
      </c>
    </row>
    <row r="3173" spans="1:6" x14ac:dyDescent="0.25">
      <c r="A3173" s="2" t="str">
        <f t="shared" si="112"/>
        <v>36620</v>
      </c>
      <c r="B3173" s="2" t="str">
        <f>"97901"</f>
        <v>97901</v>
      </c>
      <c r="C3173" s="1">
        <v>9.50390409338275E-3</v>
      </c>
      <c r="D3173" s="1">
        <v>7.5301204819277102E-4</v>
      </c>
      <c r="E3173" s="1">
        <v>1.5082956259426801E-3</v>
      </c>
      <c r="F3173" s="1">
        <v>8.5085608675942292E-3</v>
      </c>
    </row>
    <row r="3174" spans="1:6" x14ac:dyDescent="0.25">
      <c r="A3174" s="2" t="str">
        <f t="shared" si="112"/>
        <v>36620</v>
      </c>
      <c r="B3174" s="2" t="str">
        <f>"97917"</f>
        <v>97917</v>
      </c>
      <c r="C3174" s="1">
        <v>3.5491758025080802E-4</v>
      </c>
      <c r="D3174" s="1">
        <v>3.7650602409638502E-4</v>
      </c>
      <c r="E3174" s="1">
        <v>1.5082956259426801E-3</v>
      </c>
      <c r="F3174" s="1">
        <v>3.83582662063674E-4</v>
      </c>
    </row>
    <row r="3175" spans="1:6" x14ac:dyDescent="0.25">
      <c r="A3175" s="2" t="str">
        <f t="shared" si="112"/>
        <v>36620</v>
      </c>
      <c r="B3175" s="2" t="str">
        <f>"97907"</f>
        <v>97907</v>
      </c>
      <c r="C3175" s="1">
        <v>8.6757630727975297E-4</v>
      </c>
      <c r="D3175" s="1">
        <v>1.8825301204819199E-3</v>
      </c>
      <c r="E3175" s="1">
        <v>0</v>
      </c>
      <c r="F3175" s="1">
        <v>9.4152107961083698E-4</v>
      </c>
    </row>
    <row r="3176" spans="1:6" x14ac:dyDescent="0.25">
      <c r="A3176" s="2" t="str">
        <f t="shared" si="112"/>
        <v>36620</v>
      </c>
      <c r="B3176" s="2" t="str">
        <f>"97902"</f>
        <v>97902</v>
      </c>
      <c r="C3176" s="1">
        <v>0</v>
      </c>
      <c r="D3176" s="1">
        <v>0</v>
      </c>
      <c r="E3176" s="1">
        <v>1.5082956259426801E-3</v>
      </c>
      <c r="F3176" s="1">
        <v>3.48711510966977E-5</v>
      </c>
    </row>
    <row r="3177" spans="1:6" x14ac:dyDescent="0.25">
      <c r="A3177" s="2" t="str">
        <f t="shared" si="112"/>
        <v>36620</v>
      </c>
      <c r="B3177" s="2" t="str">
        <f>"97911"</f>
        <v>97911</v>
      </c>
      <c r="C3177" s="1">
        <v>2.01119962142124E-3</v>
      </c>
      <c r="D3177" s="1">
        <v>3.7650602409638502E-4</v>
      </c>
      <c r="E3177" s="1">
        <v>0</v>
      </c>
      <c r="F3177" s="1">
        <v>1.8132998570282799E-3</v>
      </c>
    </row>
    <row r="3178" spans="1:6" x14ac:dyDescent="0.25">
      <c r="A3178" s="2" t="str">
        <f t="shared" si="112"/>
        <v>36620</v>
      </c>
      <c r="B3178" s="2" t="str">
        <f>"97914"</f>
        <v>97914</v>
      </c>
      <c r="C3178" s="1">
        <v>0.33196624339458902</v>
      </c>
      <c r="D3178" s="1">
        <v>0.48908132530120402</v>
      </c>
      <c r="E3178" s="1">
        <v>0.48265460030165902</v>
      </c>
      <c r="F3178" s="1">
        <v>0.35000174355755398</v>
      </c>
    </row>
    <row r="3179" spans="1:6" x14ac:dyDescent="0.25">
      <c r="A3179" s="2" t="str">
        <f t="shared" si="112"/>
        <v>36620</v>
      </c>
      <c r="B3179" s="2" t="str">
        <f>"83607"</f>
        <v>83607</v>
      </c>
      <c r="C3179" s="1">
        <v>8.0842337723795194E-3</v>
      </c>
      <c r="D3179" s="1">
        <v>3.38855421686746E-3</v>
      </c>
      <c r="E3179" s="1">
        <v>0</v>
      </c>
      <c r="F3179" s="1">
        <v>7.4624263346933003E-3</v>
      </c>
    </row>
    <row r="3180" spans="1:6" x14ac:dyDescent="0.25">
      <c r="A3180" s="2" t="str">
        <f t="shared" si="112"/>
        <v>36620</v>
      </c>
      <c r="B3180" s="2" t="str">
        <f>"97906"</f>
        <v>97906</v>
      </c>
      <c r="C3180" s="1">
        <v>5.7181165707074601E-3</v>
      </c>
      <c r="D3180" s="1">
        <v>1.1295180722891501E-3</v>
      </c>
      <c r="E3180" s="1">
        <v>0</v>
      </c>
      <c r="F3180" s="1">
        <v>5.1609303623112498E-3</v>
      </c>
    </row>
    <row r="3181" spans="1:6" x14ac:dyDescent="0.25">
      <c r="A3181" s="2" t="str">
        <f t="shared" si="112"/>
        <v>36620</v>
      </c>
      <c r="B3181" s="2" t="str">
        <f>"97910"</f>
        <v>97910</v>
      </c>
      <c r="C3181" s="1">
        <v>1.8928937613376402E-2</v>
      </c>
      <c r="D3181" s="1">
        <v>3.0120481927710802E-3</v>
      </c>
      <c r="E3181" s="1">
        <v>3.0165912518853601E-3</v>
      </c>
      <c r="F3181" s="1">
        <v>1.7086864037381799E-2</v>
      </c>
    </row>
    <row r="3182" spans="1:6" x14ac:dyDescent="0.25">
      <c r="A3182" s="2" t="str">
        <f t="shared" si="112"/>
        <v>36620</v>
      </c>
      <c r="B3182" s="2" t="str">
        <f>"83661"</f>
        <v>83661</v>
      </c>
      <c r="C3182" s="1">
        <v>0.19473144569761</v>
      </c>
      <c r="D3182" s="1">
        <v>0.19766566265060201</v>
      </c>
      <c r="E3182" s="1">
        <v>0.206636500754147</v>
      </c>
      <c r="F3182" s="1">
        <v>0.19527844614150699</v>
      </c>
    </row>
    <row r="3183" spans="1:6" x14ac:dyDescent="0.25">
      <c r="A3183" s="2" t="str">
        <f t="shared" si="112"/>
        <v>36620</v>
      </c>
      <c r="B3183" s="2" t="str">
        <f>"97909"</f>
        <v>97909</v>
      </c>
      <c r="C3183" s="1">
        <v>1.81402318794857E-3</v>
      </c>
      <c r="D3183" s="1">
        <v>3.7650602409638502E-4</v>
      </c>
      <c r="E3183" s="1">
        <v>1.5082956259426801E-3</v>
      </c>
      <c r="F3183" s="1">
        <v>1.6738152526414799E-3</v>
      </c>
    </row>
    <row r="3184" spans="1:6" x14ac:dyDescent="0.25">
      <c r="A3184" s="2" t="str">
        <f t="shared" si="112"/>
        <v>36620</v>
      </c>
      <c r="B3184" s="2" t="str">
        <f>"97913"</f>
        <v>97913</v>
      </c>
      <c r="C3184" s="1">
        <v>8.6875936588058894E-2</v>
      </c>
      <c r="D3184" s="1">
        <v>6.7394578313253004E-2</v>
      </c>
      <c r="E3184" s="1">
        <v>7.2398190045248806E-2</v>
      </c>
      <c r="F3184" s="1">
        <v>8.47368971649754E-2</v>
      </c>
    </row>
    <row r="3185" spans="1:6" x14ac:dyDescent="0.25">
      <c r="A3185" s="2" t="str">
        <f t="shared" si="112"/>
        <v>36620</v>
      </c>
      <c r="B3185" s="2" t="str">
        <f>"97903"</f>
        <v>97903</v>
      </c>
      <c r="C3185" s="1">
        <v>2.8393406420064598E-3</v>
      </c>
      <c r="D3185" s="1">
        <v>1.5060240963855401E-3</v>
      </c>
      <c r="E3185" s="1">
        <v>3.0165912518853601E-3</v>
      </c>
      <c r="F3185" s="1">
        <v>2.7199497855424199E-3</v>
      </c>
    </row>
    <row r="3186" spans="1:6" x14ac:dyDescent="0.25">
      <c r="A3186" s="2" t="str">
        <f t="shared" si="112"/>
        <v>36620</v>
      </c>
      <c r="B3186" s="2" t="str">
        <f>"97908"</f>
        <v>97908</v>
      </c>
      <c r="C3186" s="1">
        <v>3.2336935089518101E-3</v>
      </c>
      <c r="D3186" s="1">
        <v>7.5301204819277102E-4</v>
      </c>
      <c r="E3186" s="1">
        <v>1.5082956259426801E-3</v>
      </c>
      <c r="F3186" s="1">
        <v>2.9640478432193E-3</v>
      </c>
    </row>
    <row r="3187" spans="1:6" x14ac:dyDescent="0.25">
      <c r="A3187" s="2" t="str">
        <f t="shared" si="112"/>
        <v>36620</v>
      </c>
      <c r="B3187" s="2" t="str">
        <f>"97920"</f>
        <v>97920</v>
      </c>
      <c r="C3187" s="1">
        <v>1.0647527407524201E-3</v>
      </c>
      <c r="D3187" s="1">
        <v>0</v>
      </c>
      <c r="E3187" s="1">
        <v>1.5082956259426801E-3</v>
      </c>
      <c r="F3187" s="1">
        <v>9.7639223070753497E-4</v>
      </c>
    </row>
    <row r="3188" spans="1:6" x14ac:dyDescent="0.25">
      <c r="A3188" s="2" t="str">
        <f t="shared" si="112"/>
        <v>36620</v>
      </c>
      <c r="B3188" s="2" t="str">
        <f>"83660"</f>
        <v>83660</v>
      </c>
      <c r="C3188" s="1">
        <v>1.0647527407524201E-2</v>
      </c>
      <c r="D3188" s="1">
        <v>2.6355421686746899E-3</v>
      </c>
      <c r="E3188" s="1">
        <v>0</v>
      </c>
      <c r="F3188" s="1">
        <v>9.6593088537852596E-3</v>
      </c>
    </row>
    <row r="3189" spans="1:6" x14ac:dyDescent="0.25">
      <c r="A3189" s="2" t="str">
        <f t="shared" si="112"/>
        <v>36620</v>
      </c>
      <c r="B3189" s="2" t="str">
        <f>"83655"</f>
        <v>83655</v>
      </c>
      <c r="C3189" s="1">
        <v>7.16144806372742E-2</v>
      </c>
      <c r="D3189" s="1">
        <v>1.20481927710843E-2</v>
      </c>
      <c r="E3189" s="1">
        <v>3.6199095022624403E-2</v>
      </c>
      <c r="F3189" s="1">
        <v>6.5278794853018005E-2</v>
      </c>
    </row>
    <row r="3190" spans="1:6" x14ac:dyDescent="0.25">
      <c r="A3190" s="2" t="str">
        <f t="shared" si="112"/>
        <v>36620</v>
      </c>
      <c r="B3190" s="2" t="str">
        <f>"83619"</f>
        <v>83619</v>
      </c>
      <c r="C3190" s="1">
        <v>0.166061992270683</v>
      </c>
      <c r="D3190" s="1">
        <v>0.15813253012048101</v>
      </c>
      <c r="E3190" s="1">
        <v>0.122171945701357</v>
      </c>
      <c r="F3190" s="1">
        <v>0.164312863967639</v>
      </c>
    </row>
    <row r="3191" spans="1:6" x14ac:dyDescent="0.25">
      <c r="A3191" s="2" t="str">
        <f t="shared" ref="A3191:A3200" si="113">"46860"</f>
        <v>46860</v>
      </c>
      <c r="B3191" s="2" t="str">
        <f>"84078"</f>
        <v>84078</v>
      </c>
      <c r="C3191" s="1">
        <v>0.80673229596697305</v>
      </c>
      <c r="D3191" s="1">
        <v>0.90258568851473198</v>
      </c>
      <c r="E3191" s="1">
        <v>0.96326530612244798</v>
      </c>
      <c r="F3191" s="1">
        <v>0.81992401385629599</v>
      </c>
    </row>
    <row r="3192" spans="1:6" x14ac:dyDescent="0.25">
      <c r="A3192" s="2" t="str">
        <f t="shared" si="113"/>
        <v>46860</v>
      </c>
      <c r="B3192" s="2" t="str">
        <f>"84026"</f>
        <v>84026</v>
      </c>
      <c r="C3192" s="1">
        <v>5.91298825023817E-2</v>
      </c>
      <c r="D3192" s="1">
        <v>2.70595309681298E-2</v>
      </c>
      <c r="E3192" s="1">
        <v>4.0816326530612197E-3</v>
      </c>
      <c r="F3192" s="1">
        <v>5.4642976868923901E-2</v>
      </c>
    </row>
    <row r="3193" spans="1:6" x14ac:dyDescent="0.25">
      <c r="A3193" s="2" t="str">
        <f t="shared" si="113"/>
        <v>46860</v>
      </c>
      <c r="B3193" s="2" t="str">
        <f>"84076"</f>
        <v>84076</v>
      </c>
      <c r="C3193" s="1">
        <v>2.6040012702445198E-3</v>
      </c>
      <c r="D3193" s="1">
        <v>0</v>
      </c>
      <c r="E3193" s="1">
        <v>2.0408163265306098E-3</v>
      </c>
      <c r="F3193" s="1">
        <v>2.3466309084813901E-3</v>
      </c>
    </row>
    <row r="3194" spans="1:6" x14ac:dyDescent="0.25">
      <c r="A3194" s="2" t="str">
        <f t="shared" si="113"/>
        <v>46860</v>
      </c>
      <c r="B3194" s="2" t="str">
        <f>"84079"</f>
        <v>84079</v>
      </c>
      <c r="C3194" s="1">
        <v>5.8304223563035801E-2</v>
      </c>
      <c r="D3194" s="1">
        <v>3.2471437161755802E-2</v>
      </c>
      <c r="E3194" s="1">
        <v>4.0816326530612197E-3</v>
      </c>
      <c r="F3194" s="1">
        <v>5.4419488210973199E-2</v>
      </c>
    </row>
    <row r="3195" spans="1:6" x14ac:dyDescent="0.25">
      <c r="A3195" s="2" t="str">
        <f t="shared" si="113"/>
        <v>46860</v>
      </c>
      <c r="B3195" s="2" t="str">
        <f>"84035"</f>
        <v>84035</v>
      </c>
      <c r="C3195" s="1">
        <v>5.5255636710066598E-3</v>
      </c>
      <c r="D3195" s="1">
        <v>3.0066145520144302E-3</v>
      </c>
      <c r="E3195" s="1">
        <v>0</v>
      </c>
      <c r="F3195" s="1">
        <v>5.1402391328639998E-3</v>
      </c>
    </row>
    <row r="3196" spans="1:6" x14ac:dyDescent="0.25">
      <c r="A3196" s="2" t="str">
        <f t="shared" si="113"/>
        <v>46860</v>
      </c>
      <c r="B3196" s="2" t="str">
        <f>"84039"</f>
        <v>84039</v>
      </c>
      <c r="C3196" s="1">
        <v>6.92283264528421E-3</v>
      </c>
      <c r="D3196" s="1">
        <v>0</v>
      </c>
      <c r="E3196" s="1">
        <v>2.0408163265306098E-3</v>
      </c>
      <c r="F3196" s="1">
        <v>6.1459380936417403E-3</v>
      </c>
    </row>
    <row r="3197" spans="1:6" x14ac:dyDescent="0.25">
      <c r="A3197" s="2" t="str">
        <f t="shared" si="113"/>
        <v>46860</v>
      </c>
      <c r="B3197" s="2" t="str">
        <f>"84063"</f>
        <v>84063</v>
      </c>
      <c r="C3197" s="1">
        <v>9.4633216894252099E-3</v>
      </c>
      <c r="D3197" s="1">
        <v>0</v>
      </c>
      <c r="E3197" s="1">
        <v>2.0408163265306098E-3</v>
      </c>
      <c r="F3197" s="1">
        <v>8.3808246731478294E-3</v>
      </c>
    </row>
    <row r="3198" spans="1:6" x14ac:dyDescent="0.25">
      <c r="A3198" s="2" t="str">
        <f t="shared" si="113"/>
        <v>46860</v>
      </c>
      <c r="B3198" s="2" t="str">
        <f>"84066"</f>
        <v>84066</v>
      </c>
      <c r="C3198" s="1">
        <v>4.6490949507780203E-2</v>
      </c>
      <c r="D3198" s="1">
        <v>3.3674082982561603E-2</v>
      </c>
      <c r="E3198" s="1">
        <v>1.8367346938775501E-2</v>
      </c>
      <c r="F3198" s="1">
        <v>4.4530115096658801E-2</v>
      </c>
    </row>
    <row r="3199" spans="1:6" x14ac:dyDescent="0.25">
      <c r="A3199" s="2" t="str">
        <f t="shared" si="113"/>
        <v>46860</v>
      </c>
      <c r="B3199" s="2" t="str">
        <f>"84085"</f>
        <v>84085</v>
      </c>
      <c r="C3199" s="1">
        <v>3.1120990790727198E-3</v>
      </c>
      <c r="D3199" s="1">
        <v>6.0132291040288605E-4</v>
      </c>
      <c r="E3199" s="1">
        <v>2.0408163265306098E-3</v>
      </c>
      <c r="F3199" s="1">
        <v>2.8494803888702599E-3</v>
      </c>
    </row>
    <row r="3200" spans="1:6" x14ac:dyDescent="0.25">
      <c r="A3200" s="2" t="str">
        <f t="shared" si="113"/>
        <v>46860</v>
      </c>
      <c r="B3200" s="2" t="str">
        <f>"84008"</f>
        <v>84008</v>
      </c>
      <c r="C3200" s="1">
        <v>1.71483010479517E-3</v>
      </c>
      <c r="D3200" s="1">
        <v>6.0132291040288605E-4</v>
      </c>
      <c r="E3200" s="1">
        <v>2.0408163265306098E-3</v>
      </c>
      <c r="F3200" s="1">
        <v>1.6202927701419101E-3</v>
      </c>
    </row>
    <row r="3201" spans="1:6" x14ac:dyDescent="0.25">
      <c r="A3201" s="2" t="str">
        <f t="shared" ref="A3201:A3232" si="114">"46060"</f>
        <v>46060</v>
      </c>
      <c r="B3201" s="2" t="str">
        <f>"85757"</f>
        <v>85757</v>
      </c>
      <c r="C3201" s="1">
        <v>1.38834693064868E-2</v>
      </c>
      <c r="D3201" s="1">
        <v>8.1732733959950896E-4</v>
      </c>
      <c r="E3201" s="1">
        <v>9.0917115367640505E-3</v>
      </c>
      <c r="F3201" s="1">
        <v>1.28314737772181E-2</v>
      </c>
    </row>
    <row r="3202" spans="1:6" x14ac:dyDescent="0.25">
      <c r="A3202" s="2" t="str">
        <f t="shared" si="114"/>
        <v>46060</v>
      </c>
      <c r="B3202" s="2" t="str">
        <f>"85652"</f>
        <v>85652</v>
      </c>
      <c r="C3202" s="1">
        <v>3.3458000404217401E-3</v>
      </c>
      <c r="D3202" s="1">
        <v>5.7757798665031999E-3</v>
      </c>
      <c r="E3202" s="1">
        <v>8.8269044046252897E-5</v>
      </c>
      <c r="F3202" s="1">
        <v>3.3733146841139401E-3</v>
      </c>
    </row>
    <row r="3203" spans="1:6" x14ac:dyDescent="0.25">
      <c r="A3203" s="2" t="str">
        <f t="shared" si="114"/>
        <v>46060</v>
      </c>
      <c r="B3203" s="2" t="str">
        <f>"85645"</f>
        <v>85645</v>
      </c>
      <c r="C3203" s="1">
        <v>1.26468039805415E-3</v>
      </c>
      <c r="D3203" s="1">
        <v>1.9070971257321799E-4</v>
      </c>
      <c r="E3203" s="1">
        <v>1.3240356606937899E-4</v>
      </c>
      <c r="F3203" s="1">
        <v>1.14828633467717E-3</v>
      </c>
    </row>
    <row r="3204" spans="1:6" x14ac:dyDescent="0.25">
      <c r="A3204" s="2" t="str">
        <f t="shared" si="114"/>
        <v>46060</v>
      </c>
      <c r="B3204" s="2" t="str">
        <f>"85724"</f>
        <v>85724</v>
      </c>
      <c r="C3204" s="1">
        <v>0</v>
      </c>
      <c r="D3204" s="1">
        <v>5.4488489306633898E-5</v>
      </c>
      <c r="E3204" s="1">
        <v>0</v>
      </c>
      <c r="F3204" s="1">
        <v>3.5772159958790401E-6</v>
      </c>
    </row>
    <row r="3205" spans="1:6" x14ac:dyDescent="0.25">
      <c r="A3205" s="2" t="str">
        <f t="shared" si="114"/>
        <v>46060</v>
      </c>
      <c r="B3205" s="2" t="str">
        <f>"85732"</f>
        <v>85732</v>
      </c>
      <c r="C3205" s="1">
        <v>4.5224330689911099E-3</v>
      </c>
      <c r="D3205" s="1">
        <v>1.84171093856422E-2</v>
      </c>
      <c r="E3205" s="1">
        <v>8.8269044046252897E-5</v>
      </c>
      <c r="F3205" s="1">
        <v>5.2549302979463201E-3</v>
      </c>
    </row>
    <row r="3206" spans="1:6" x14ac:dyDescent="0.25">
      <c r="A3206" s="2" t="str">
        <f t="shared" si="114"/>
        <v>46060</v>
      </c>
      <c r="B3206" s="2" t="str">
        <f>"85711"</f>
        <v>85711</v>
      </c>
      <c r="C3206" s="1">
        <v>3.9819422849492997E-2</v>
      </c>
      <c r="D3206" s="1">
        <v>6.24438087454025E-2</v>
      </c>
      <c r="E3206" s="1">
        <v>3.8838379380351298E-2</v>
      </c>
      <c r="F3206" s="1">
        <v>4.1264975120462698E-2</v>
      </c>
    </row>
    <row r="3207" spans="1:6" x14ac:dyDescent="0.25">
      <c r="A3207" s="2" t="str">
        <f t="shared" si="114"/>
        <v>46060</v>
      </c>
      <c r="B3207" s="2" t="str">
        <f>"85715"</f>
        <v>85715</v>
      </c>
      <c r="C3207" s="1">
        <v>1.86420294118235E-2</v>
      </c>
      <c r="D3207" s="1">
        <v>2.36752486037324E-2</v>
      </c>
      <c r="E3207" s="1">
        <v>2.3038220496072001E-2</v>
      </c>
      <c r="F3207" s="1">
        <v>1.9150625833938398E-2</v>
      </c>
    </row>
    <row r="3208" spans="1:6" x14ac:dyDescent="0.25">
      <c r="A3208" s="2" t="str">
        <f t="shared" si="114"/>
        <v>46060</v>
      </c>
      <c r="B3208" s="2" t="str">
        <f>"85719"</f>
        <v>85719</v>
      </c>
      <c r="C3208" s="1">
        <v>4.4299833310320898E-2</v>
      </c>
      <c r="D3208" s="1">
        <v>6.5604141125187296E-2</v>
      </c>
      <c r="E3208" s="1">
        <v>7.2159943507811797E-2</v>
      </c>
      <c r="F3208" s="1">
        <v>4.6827545994054601E-2</v>
      </c>
    </row>
    <row r="3209" spans="1:6" x14ac:dyDescent="0.25">
      <c r="A3209" s="2" t="str">
        <f t="shared" si="114"/>
        <v>46060</v>
      </c>
      <c r="B3209" s="2" t="str">
        <f>"85747"</f>
        <v>85747</v>
      </c>
      <c r="C3209" s="1">
        <v>1.9704601075378501E-2</v>
      </c>
      <c r="D3209" s="1">
        <v>1.07342323934068E-2</v>
      </c>
      <c r="E3209" s="1">
        <v>8.9151734486715498E-3</v>
      </c>
      <c r="F3209" s="1">
        <v>1.86784333224824E-2</v>
      </c>
    </row>
    <row r="3210" spans="1:6" x14ac:dyDescent="0.25">
      <c r="A3210" s="2" t="str">
        <f t="shared" si="114"/>
        <v>46060</v>
      </c>
      <c r="B3210" s="2" t="str">
        <f>"85741"</f>
        <v>85741</v>
      </c>
      <c r="C3210" s="1">
        <v>2.8933566258647101E-2</v>
      </c>
      <c r="D3210" s="1">
        <v>3.1085683149434599E-2</v>
      </c>
      <c r="E3210" s="1">
        <v>3.1776855856651E-2</v>
      </c>
      <c r="F3210" s="1">
        <v>2.9190082526373E-2</v>
      </c>
    </row>
    <row r="3211" spans="1:6" x14ac:dyDescent="0.25">
      <c r="A3211" s="2" t="str">
        <f t="shared" si="114"/>
        <v>46060</v>
      </c>
      <c r="B3211" s="2" t="str">
        <f>"85738"</f>
        <v>85738</v>
      </c>
      <c r="C3211" s="1">
        <v>1.8950195205020301E-3</v>
      </c>
      <c r="D3211" s="1">
        <v>2.8061571992916401E-3</v>
      </c>
      <c r="E3211" s="1">
        <v>8.8269044046252897E-5</v>
      </c>
      <c r="F3211" s="1">
        <v>1.88161561383237E-3</v>
      </c>
    </row>
    <row r="3212" spans="1:6" x14ac:dyDescent="0.25">
      <c r="A3212" s="2" t="str">
        <f t="shared" si="114"/>
        <v>46060</v>
      </c>
      <c r="B3212" s="2" t="str">
        <f>"85725"</f>
        <v>85725</v>
      </c>
      <c r="C3212" s="1">
        <v>1.5108128172956999E-3</v>
      </c>
      <c r="D3212" s="1">
        <v>1.52567770058575E-3</v>
      </c>
      <c r="E3212" s="1">
        <v>8.8269044046252897E-5</v>
      </c>
      <c r="F3212" s="1">
        <v>1.4541383023248301E-3</v>
      </c>
    </row>
    <row r="3213" spans="1:6" x14ac:dyDescent="0.25">
      <c r="A3213" s="2" t="str">
        <f t="shared" si="114"/>
        <v>46060</v>
      </c>
      <c r="B3213" s="2" t="str">
        <f>"85629"</f>
        <v>85629</v>
      </c>
      <c r="C3213" s="1">
        <v>2.5307615497137399E-2</v>
      </c>
      <c r="D3213" s="1">
        <v>7.9825636834218693E-3</v>
      </c>
      <c r="E3213" s="1">
        <v>9.0475770147409301E-3</v>
      </c>
      <c r="F3213" s="1">
        <v>2.3511252132914998E-2</v>
      </c>
    </row>
    <row r="3214" spans="1:6" x14ac:dyDescent="0.25">
      <c r="A3214" s="2" t="str">
        <f t="shared" si="114"/>
        <v>46060</v>
      </c>
      <c r="B3214" s="2" t="str">
        <f>"85707"</f>
        <v>85707</v>
      </c>
      <c r="C3214" s="1">
        <v>1.6789032499484699E-3</v>
      </c>
      <c r="D3214" s="1">
        <v>1.1170140307859899E-2</v>
      </c>
      <c r="E3214" s="1">
        <v>1.8580633771736198E-2</v>
      </c>
      <c r="F3214" s="1">
        <v>2.986975356559E-3</v>
      </c>
    </row>
    <row r="3215" spans="1:6" x14ac:dyDescent="0.25">
      <c r="A3215" s="2" t="str">
        <f t="shared" si="114"/>
        <v>46060</v>
      </c>
      <c r="B3215" s="2" t="str">
        <f>"85710"</f>
        <v>85710</v>
      </c>
      <c r="C3215" s="1">
        <v>5.8631543770548501E-2</v>
      </c>
      <c r="D3215" s="1">
        <v>4.6696635335785303E-2</v>
      </c>
      <c r="E3215" s="1">
        <v>4.7532880218907198E-2</v>
      </c>
      <c r="F3215" s="1">
        <v>5.7398219261877201E-2</v>
      </c>
    </row>
    <row r="3216" spans="1:6" x14ac:dyDescent="0.25">
      <c r="A3216" s="2" t="str">
        <f t="shared" si="114"/>
        <v>46060</v>
      </c>
      <c r="B3216" s="2" t="str">
        <f>"85341"</f>
        <v>85341</v>
      </c>
      <c r="C3216" s="1">
        <v>0</v>
      </c>
      <c r="D3216" s="1">
        <v>2.7244244653316901E-5</v>
      </c>
      <c r="E3216" s="1">
        <v>0</v>
      </c>
      <c r="F3216" s="1">
        <v>1.7886079979395201E-6</v>
      </c>
    </row>
    <row r="3217" spans="1:6" x14ac:dyDescent="0.25">
      <c r="A3217" s="2" t="str">
        <f t="shared" si="114"/>
        <v>46060</v>
      </c>
      <c r="B3217" s="2" t="str">
        <f>"85752"</f>
        <v>85752</v>
      </c>
      <c r="C3217" s="1">
        <v>3.3578064998969399E-3</v>
      </c>
      <c r="D3217" s="1">
        <v>1.3322435635472E-2</v>
      </c>
      <c r="E3217" s="1">
        <v>8.8269044046252897E-5</v>
      </c>
      <c r="F3217" s="1">
        <v>3.87949074753082E-3</v>
      </c>
    </row>
    <row r="3218" spans="1:6" x14ac:dyDescent="0.25">
      <c r="A3218" s="2" t="str">
        <f t="shared" si="114"/>
        <v>46060</v>
      </c>
      <c r="B3218" s="2" t="str">
        <f>"85744"</f>
        <v>85744</v>
      </c>
      <c r="C3218" s="1">
        <v>0</v>
      </c>
      <c r="D3218" s="1">
        <v>2.7244244653316901E-5</v>
      </c>
      <c r="E3218" s="1">
        <v>0</v>
      </c>
      <c r="F3218" s="1">
        <v>1.7886079979395201E-6</v>
      </c>
    </row>
    <row r="3219" spans="1:6" x14ac:dyDescent="0.25">
      <c r="A3219" s="2" t="str">
        <f t="shared" si="114"/>
        <v>46060</v>
      </c>
      <c r="B3219" s="2" t="str">
        <f>"85740"</f>
        <v>85740</v>
      </c>
      <c r="C3219" s="1">
        <v>1.8409904528636401E-3</v>
      </c>
      <c r="D3219" s="1">
        <v>1.08704536166734E-2</v>
      </c>
      <c r="E3219" s="1">
        <v>8.8269044046252897E-5</v>
      </c>
      <c r="F3219" s="1">
        <v>2.3627511652781099E-3</v>
      </c>
    </row>
    <row r="3220" spans="1:6" x14ac:dyDescent="0.25">
      <c r="A3220" s="2" t="str">
        <f t="shared" si="114"/>
        <v>46060</v>
      </c>
      <c r="B3220" s="2" t="str">
        <f>"85634"</f>
        <v>85634</v>
      </c>
      <c r="C3220" s="1">
        <v>1.5848526507260901E-3</v>
      </c>
      <c r="D3220" s="1">
        <v>3.5417518049311999E-4</v>
      </c>
      <c r="E3220" s="1">
        <v>8.8269044046252897E-5</v>
      </c>
      <c r="F3220" s="1">
        <v>1.4434066543371901E-3</v>
      </c>
    </row>
    <row r="3221" spans="1:6" x14ac:dyDescent="0.25">
      <c r="A3221" s="2" t="str">
        <f t="shared" si="114"/>
        <v>46060</v>
      </c>
      <c r="B3221" s="2" t="str">
        <f>"85733"</f>
        <v>85733</v>
      </c>
      <c r="C3221" s="1">
        <v>2.17116808843157E-3</v>
      </c>
      <c r="D3221" s="1">
        <v>9.2085546928211397E-3</v>
      </c>
      <c r="E3221" s="1">
        <v>8.8269044046252897E-5</v>
      </c>
      <c r="F3221" s="1">
        <v>2.5487663970638198E-3</v>
      </c>
    </row>
    <row r="3222" spans="1:6" x14ac:dyDescent="0.25">
      <c r="A3222" s="2" t="str">
        <f t="shared" si="114"/>
        <v>46060</v>
      </c>
      <c r="B3222" s="2" t="str">
        <f>"85737"</f>
        <v>85737</v>
      </c>
      <c r="C3222" s="1">
        <v>2.3598696098500901E-2</v>
      </c>
      <c r="D3222" s="1">
        <v>2.0787358670480802E-2</v>
      </c>
      <c r="E3222" s="1">
        <v>5.6933533409833101E-3</v>
      </c>
      <c r="F3222" s="1">
        <v>2.2688492453862799E-2</v>
      </c>
    </row>
    <row r="3223" spans="1:6" x14ac:dyDescent="0.25">
      <c r="A3223" s="2" t="str">
        <f t="shared" si="114"/>
        <v>46060</v>
      </c>
      <c r="B3223" s="2" t="str">
        <f>"85735"</f>
        <v>85735</v>
      </c>
      <c r="C3223" s="1">
        <v>9.5931611206829196E-3</v>
      </c>
      <c r="D3223" s="1">
        <v>2.2067838169186698E-3</v>
      </c>
      <c r="E3223" s="1">
        <v>1.1077765027804699E-2</v>
      </c>
      <c r="F3223" s="1">
        <v>9.1684045974379895E-3</v>
      </c>
    </row>
    <row r="3224" spans="1:6" x14ac:dyDescent="0.25">
      <c r="A3224" s="2" t="str">
        <f t="shared" si="114"/>
        <v>46060</v>
      </c>
      <c r="B3224" s="2" t="str">
        <f>"85619"</f>
        <v>85619</v>
      </c>
      <c r="C3224" s="1">
        <v>0</v>
      </c>
      <c r="D3224" s="1">
        <v>2.7244244653316901E-5</v>
      </c>
      <c r="E3224" s="1">
        <v>0</v>
      </c>
      <c r="F3224" s="1">
        <v>1.7886079979395201E-6</v>
      </c>
    </row>
    <row r="3225" spans="1:6" x14ac:dyDescent="0.25">
      <c r="A3225" s="2" t="str">
        <f t="shared" si="114"/>
        <v>46060</v>
      </c>
      <c r="B3225" s="2" t="str">
        <f>"85611"</f>
        <v>85611</v>
      </c>
      <c r="C3225" s="1">
        <v>1.84099045286364E-4</v>
      </c>
      <c r="D3225" s="1">
        <v>0</v>
      </c>
      <c r="E3225" s="1">
        <v>0</v>
      </c>
      <c r="F3225" s="1">
        <v>1.6455193581043601E-4</v>
      </c>
    </row>
    <row r="3226" spans="1:6" x14ac:dyDescent="0.25">
      <c r="A3226" s="2" t="str">
        <f t="shared" si="114"/>
        <v>46060</v>
      </c>
      <c r="B3226" s="2" t="str">
        <f>"85706"</f>
        <v>85706</v>
      </c>
      <c r="C3226" s="1">
        <v>3.9605307655518597E-2</v>
      </c>
      <c r="D3226" s="1">
        <v>2.7789129546383299E-2</v>
      </c>
      <c r="E3226" s="1">
        <v>4.2987024450525199E-2</v>
      </c>
      <c r="F3226" s="1">
        <v>3.8966613843110398E-2</v>
      </c>
    </row>
    <row r="3227" spans="1:6" x14ac:dyDescent="0.25">
      <c r="A3227" s="2" t="str">
        <f t="shared" si="114"/>
        <v>46060</v>
      </c>
      <c r="B3227" s="2" t="str">
        <f>"85601"</f>
        <v>85601</v>
      </c>
      <c r="C3227" s="1">
        <v>0</v>
      </c>
      <c r="D3227" s="1">
        <v>2.7244244653316901E-5</v>
      </c>
      <c r="E3227" s="1">
        <v>0</v>
      </c>
      <c r="F3227" s="1">
        <v>1.7886079979395201E-6</v>
      </c>
    </row>
    <row r="3228" spans="1:6" x14ac:dyDescent="0.25">
      <c r="A3228" s="2" t="str">
        <f t="shared" si="114"/>
        <v>46060</v>
      </c>
      <c r="B3228" s="2" t="str">
        <f>"85751"</f>
        <v>85751</v>
      </c>
      <c r="C3228" s="1">
        <v>2.7454770666618601E-3</v>
      </c>
      <c r="D3228" s="1">
        <v>1.64827680152567E-2</v>
      </c>
      <c r="E3228" s="1">
        <v>8.8269044046252897E-5</v>
      </c>
      <c r="F3228" s="1">
        <v>3.53965522792231E-3</v>
      </c>
    </row>
    <row r="3229" spans="1:6" x14ac:dyDescent="0.25">
      <c r="A3229" s="2" t="str">
        <f t="shared" si="114"/>
        <v>46060</v>
      </c>
      <c r="B3229" s="2" t="str">
        <f>"85743"</f>
        <v>85743</v>
      </c>
      <c r="C3229" s="1">
        <v>2.59559643087981E-2</v>
      </c>
      <c r="D3229" s="1">
        <v>1.2886527721018899E-2</v>
      </c>
      <c r="E3229" s="1">
        <v>2.5421484685320801E-2</v>
      </c>
      <c r="F3229" s="1">
        <v>2.5076284131112101E-2</v>
      </c>
    </row>
    <row r="3230" spans="1:6" x14ac:dyDescent="0.25">
      <c r="A3230" s="2" t="str">
        <f t="shared" si="114"/>
        <v>46060</v>
      </c>
      <c r="B3230" s="2" t="str">
        <f>"85746"</f>
        <v>85746</v>
      </c>
      <c r="C3230" s="1">
        <v>3.0078182061949298E-2</v>
      </c>
      <c r="D3230" s="1">
        <v>8.0370521727285097E-3</v>
      </c>
      <c r="E3230" s="1">
        <v>3.0364551151911001E-2</v>
      </c>
      <c r="F3230" s="1">
        <v>2.8642768479003499E-2</v>
      </c>
    </row>
    <row r="3231" spans="1:6" x14ac:dyDescent="0.25">
      <c r="A3231" s="2" t="str">
        <f t="shared" si="114"/>
        <v>46060</v>
      </c>
      <c r="B3231" s="2" t="str">
        <f>"85704"</f>
        <v>85704</v>
      </c>
      <c r="C3231" s="1">
        <v>3.4638635585945203E-2</v>
      </c>
      <c r="D3231" s="1">
        <v>3.90954910775098E-2</v>
      </c>
      <c r="E3231" s="1">
        <v>3.05852237620266E-2</v>
      </c>
      <c r="F3231" s="1">
        <v>3.4766962263948403E-2</v>
      </c>
    </row>
    <row r="3232" spans="1:6" x14ac:dyDescent="0.25">
      <c r="A3232" s="2" t="str">
        <f t="shared" si="114"/>
        <v>46060</v>
      </c>
      <c r="B3232" s="2" t="str">
        <f>"85639"</f>
        <v>85639</v>
      </c>
      <c r="C3232" s="1">
        <v>0</v>
      </c>
      <c r="D3232" s="1">
        <v>0</v>
      </c>
      <c r="E3232" s="1">
        <v>4.4134522023126401E-5</v>
      </c>
      <c r="F3232" s="1">
        <v>1.7886079979395201E-6</v>
      </c>
    </row>
    <row r="3233" spans="1:6" x14ac:dyDescent="0.25">
      <c r="A3233" s="2" t="str">
        <f t="shared" ref="A3233:A3264" si="115">"46060"</f>
        <v>46060</v>
      </c>
      <c r="B3233" s="2" t="str">
        <f>"85717"</f>
        <v>85717</v>
      </c>
      <c r="C3233" s="1">
        <v>1.62087202915168E-3</v>
      </c>
      <c r="D3233" s="1">
        <v>8.3367388639149897E-3</v>
      </c>
      <c r="E3233" s="1">
        <v>8.8269044046252897E-5</v>
      </c>
      <c r="F3233" s="1">
        <v>1.9996637416963801E-3</v>
      </c>
    </row>
    <row r="3234" spans="1:6" x14ac:dyDescent="0.25">
      <c r="A3234" s="2" t="str">
        <f t="shared" si="115"/>
        <v>46060</v>
      </c>
      <c r="B3234" s="2" t="str">
        <f>"85718"</f>
        <v>85718</v>
      </c>
      <c r="C3234" s="1">
        <v>3.17670906947937E-2</v>
      </c>
      <c r="D3234" s="1">
        <v>2.38932025609589E-2</v>
      </c>
      <c r="E3234" s="1">
        <v>3.0408685673934101E-2</v>
      </c>
      <c r="F3234" s="1">
        <v>3.1195112092063201E-2</v>
      </c>
    </row>
    <row r="3235" spans="1:6" x14ac:dyDescent="0.25">
      <c r="A3235" s="2" t="str">
        <f t="shared" si="115"/>
        <v>46060</v>
      </c>
      <c r="B3235" s="2" t="str">
        <f>"85716"</f>
        <v>85716</v>
      </c>
      <c r="C3235" s="1">
        <v>3.6909857503336703E-2</v>
      </c>
      <c r="D3235" s="1">
        <v>3.8714071652363402E-2</v>
      </c>
      <c r="E3235" s="1">
        <v>6.3641980757348296E-2</v>
      </c>
      <c r="F3235" s="1">
        <v>3.8111659220095302E-2</v>
      </c>
    </row>
    <row r="3236" spans="1:6" x14ac:dyDescent="0.25">
      <c r="A3236" s="2" t="str">
        <f t="shared" si="115"/>
        <v>46060</v>
      </c>
      <c r="B3236" s="2" t="str">
        <f>"85750"</f>
        <v>85750</v>
      </c>
      <c r="C3236" s="1">
        <v>2.7176621022109802E-2</v>
      </c>
      <c r="D3236" s="1">
        <v>4.87671979294374E-3</v>
      </c>
      <c r="E3236" s="1">
        <v>7.3263306558389897E-3</v>
      </c>
      <c r="F3236" s="1">
        <v>2.4908154979305801E-2</v>
      </c>
    </row>
    <row r="3237" spans="1:6" x14ac:dyDescent="0.25">
      <c r="A3237" s="2" t="str">
        <f t="shared" si="115"/>
        <v>46060</v>
      </c>
      <c r="B3237" s="2" t="str">
        <f>"85748"</f>
        <v>85748</v>
      </c>
      <c r="C3237" s="1">
        <v>1.6961125085295799E-2</v>
      </c>
      <c r="D3237" s="1">
        <v>4.9039640375970498E-3</v>
      </c>
      <c r="E3237" s="1">
        <v>2.6480713213875798E-3</v>
      </c>
      <c r="F3237" s="1">
        <v>1.5589507310040799E-2</v>
      </c>
    </row>
    <row r="3238" spans="1:6" x14ac:dyDescent="0.25">
      <c r="A3238" s="2" t="str">
        <f t="shared" si="115"/>
        <v>46060</v>
      </c>
      <c r="B3238" s="2" t="str">
        <f>"85703"</f>
        <v>85703</v>
      </c>
      <c r="C3238" s="1">
        <v>1.77295384917085E-3</v>
      </c>
      <c r="D3238" s="1">
        <v>5.12191799482359E-3</v>
      </c>
      <c r="E3238" s="1">
        <v>8.8269044046252897E-5</v>
      </c>
      <c r="F3238" s="1">
        <v>1.92454220578292E-3</v>
      </c>
    </row>
    <row r="3239" spans="1:6" x14ac:dyDescent="0.25">
      <c r="A3239" s="2" t="str">
        <f t="shared" si="115"/>
        <v>46060</v>
      </c>
      <c r="B3239" s="2" t="str">
        <f>"85702"</f>
        <v>85702</v>
      </c>
      <c r="C3239" s="1">
        <v>3.32178712147135E-3</v>
      </c>
      <c r="D3239" s="1">
        <v>8.9906007355946005E-3</v>
      </c>
      <c r="E3239" s="1">
        <v>8.8269044046252897E-5</v>
      </c>
      <c r="F3239" s="1">
        <v>3.5629071318955298E-3</v>
      </c>
    </row>
    <row r="3240" spans="1:6" x14ac:dyDescent="0.25">
      <c r="A3240" s="2" t="str">
        <f t="shared" si="115"/>
        <v>46060</v>
      </c>
      <c r="B3240" s="2" t="str">
        <f>"85723"</f>
        <v>85723</v>
      </c>
      <c r="C3240" s="1">
        <v>0</v>
      </c>
      <c r="D3240" s="1">
        <v>2.7244244653316901E-5</v>
      </c>
      <c r="E3240" s="1">
        <v>0</v>
      </c>
      <c r="F3240" s="1">
        <v>1.7886079979395201E-6</v>
      </c>
    </row>
    <row r="3241" spans="1:6" x14ac:dyDescent="0.25">
      <c r="A3241" s="2" t="str">
        <f t="shared" si="115"/>
        <v>46060</v>
      </c>
      <c r="B3241" s="2" t="str">
        <f>"85736"</f>
        <v>85736</v>
      </c>
      <c r="C3241" s="1">
        <v>3.5379033920249002E-3</v>
      </c>
      <c r="D3241" s="1">
        <v>2.7244244653316902E-4</v>
      </c>
      <c r="E3241" s="1">
        <v>9.7095948450878202E-4</v>
      </c>
      <c r="F3241" s="1">
        <v>3.2194943962911399E-3</v>
      </c>
    </row>
    <row r="3242" spans="1:6" x14ac:dyDescent="0.25">
      <c r="A3242" s="2" t="str">
        <f t="shared" si="115"/>
        <v>46060</v>
      </c>
      <c r="B3242" s="2" t="str">
        <f>"85739"</f>
        <v>85739</v>
      </c>
      <c r="C3242" s="1">
        <v>7.9542794023184406E-3</v>
      </c>
      <c r="D3242" s="1">
        <v>5.7485356218498797E-3</v>
      </c>
      <c r="E3242" s="1">
        <v>2.2817547885956298E-2</v>
      </c>
      <c r="F3242" s="1">
        <v>8.4118234143095699E-3</v>
      </c>
    </row>
    <row r="3243" spans="1:6" x14ac:dyDescent="0.25">
      <c r="A3243" s="2" t="str">
        <f t="shared" si="115"/>
        <v>46060</v>
      </c>
      <c r="B3243" s="2" t="str">
        <f>"85321"</f>
        <v>85321</v>
      </c>
      <c r="C3243" s="1">
        <v>4.9446602272022301E-3</v>
      </c>
      <c r="D3243" s="1">
        <v>5.0129410162103203E-3</v>
      </c>
      <c r="E3243" s="1">
        <v>2.9570129755494699E-3</v>
      </c>
      <c r="F3243" s="1">
        <v>4.86859097039138E-3</v>
      </c>
    </row>
    <row r="3244" spans="1:6" x14ac:dyDescent="0.25">
      <c r="A3244" s="2" t="str">
        <f t="shared" si="115"/>
        <v>46060</v>
      </c>
      <c r="B3244" s="2" t="str">
        <f>"85745"</f>
        <v>85745</v>
      </c>
      <c r="C3244" s="1">
        <v>4.0137594025585699E-2</v>
      </c>
      <c r="D3244" s="1">
        <v>2.41384007628388E-2</v>
      </c>
      <c r="E3244" s="1">
        <v>4.0559625739253202E-2</v>
      </c>
      <c r="F3244" s="1">
        <v>3.9104336658951799E-2</v>
      </c>
    </row>
    <row r="3245" spans="1:6" x14ac:dyDescent="0.25">
      <c r="A3245" s="2" t="str">
        <f t="shared" si="115"/>
        <v>46060</v>
      </c>
      <c r="B3245" s="2" t="str">
        <f>"85701"</f>
        <v>85701</v>
      </c>
      <c r="C3245" s="1">
        <v>6.7776463737490699E-3</v>
      </c>
      <c r="D3245" s="1">
        <v>2.6753848249557202E-2</v>
      </c>
      <c r="E3245" s="1">
        <v>2.4671197810927699E-2</v>
      </c>
      <c r="F3245" s="1">
        <v>8.8142602138459696E-3</v>
      </c>
    </row>
    <row r="3246" spans="1:6" x14ac:dyDescent="0.25">
      <c r="A3246" s="2" t="str">
        <f t="shared" si="115"/>
        <v>46060</v>
      </c>
      <c r="B3246" s="2" t="str">
        <f>"85658"</f>
        <v>85658</v>
      </c>
      <c r="C3246" s="1">
        <v>1.4353722302598701E-2</v>
      </c>
      <c r="D3246" s="1">
        <v>2.3157607955319398E-3</v>
      </c>
      <c r="E3246" s="1">
        <v>1.63297731485568E-3</v>
      </c>
      <c r="F3246" s="1">
        <v>1.30478953449688E-2</v>
      </c>
    </row>
    <row r="3247" spans="1:6" x14ac:dyDescent="0.25">
      <c r="A3247" s="2" t="str">
        <f t="shared" si="115"/>
        <v>46060</v>
      </c>
      <c r="B3247" s="2" t="str">
        <f>"85633"</f>
        <v>85633</v>
      </c>
      <c r="C3247" s="1">
        <v>0</v>
      </c>
      <c r="D3247" s="1">
        <v>0</v>
      </c>
      <c r="E3247" s="1">
        <v>4.4134522023126401E-5</v>
      </c>
      <c r="F3247" s="1">
        <v>1.7886079979395201E-6</v>
      </c>
    </row>
    <row r="3248" spans="1:6" x14ac:dyDescent="0.25">
      <c r="A3248" s="2" t="str">
        <f t="shared" si="115"/>
        <v>46060</v>
      </c>
      <c r="B3248" s="2" t="str">
        <f>"85731"</f>
        <v>85731</v>
      </c>
      <c r="C3248" s="1">
        <v>2.1411519397435798E-3</v>
      </c>
      <c r="D3248" s="1">
        <v>1.2205421604686E-2</v>
      </c>
      <c r="E3248" s="1">
        <v>8.8269044046252897E-5</v>
      </c>
      <c r="F3248" s="1">
        <v>2.71868415686807E-3</v>
      </c>
    </row>
    <row r="3249" spans="1:6" x14ac:dyDescent="0.25">
      <c r="A3249" s="2" t="str">
        <f t="shared" si="115"/>
        <v>46060</v>
      </c>
      <c r="B3249" s="2" t="str">
        <f>"85721"</f>
        <v>85721</v>
      </c>
      <c r="C3249" s="1">
        <v>0</v>
      </c>
      <c r="D3249" s="1">
        <v>5.9937338237297296E-4</v>
      </c>
      <c r="E3249" s="1">
        <v>1.3240356606937899E-4</v>
      </c>
      <c r="F3249" s="1">
        <v>4.4715199948487998E-5</v>
      </c>
    </row>
    <row r="3250" spans="1:6" x14ac:dyDescent="0.25">
      <c r="A3250" s="2" t="str">
        <f t="shared" si="115"/>
        <v>46060</v>
      </c>
      <c r="B3250" s="2" t="str">
        <f>"85730"</f>
        <v>85730</v>
      </c>
      <c r="C3250" s="1">
        <v>3.3464003633954999E-2</v>
      </c>
      <c r="D3250" s="1">
        <v>8.2005176406484102E-3</v>
      </c>
      <c r="E3250" s="1">
        <v>9.3565186689028093E-3</v>
      </c>
      <c r="F3250" s="1">
        <v>3.0828447452485599E-2</v>
      </c>
    </row>
    <row r="3251" spans="1:6" x14ac:dyDescent="0.25">
      <c r="A3251" s="2" t="str">
        <f t="shared" si="115"/>
        <v>46060</v>
      </c>
      <c r="B3251" s="2" t="str">
        <f>"85712"</f>
        <v>85712</v>
      </c>
      <c r="C3251" s="1">
        <v>3.6639712165144799E-2</v>
      </c>
      <c r="D3251" s="1">
        <v>6.3560822776188505E-2</v>
      </c>
      <c r="E3251" s="1">
        <v>5.4329596610468697E-2</v>
      </c>
      <c r="F3251" s="1">
        <v>3.9124011346929097E-2</v>
      </c>
    </row>
    <row r="3252" spans="1:6" x14ac:dyDescent="0.25">
      <c r="A3252" s="2" t="str">
        <f t="shared" si="115"/>
        <v>46060</v>
      </c>
      <c r="B3252" s="2" t="str">
        <f>"85713"</f>
        <v>85713</v>
      </c>
      <c r="C3252" s="1">
        <v>3.9051009443080299E-2</v>
      </c>
      <c r="D3252" s="1">
        <v>5.5823457294646502E-2</v>
      </c>
      <c r="E3252" s="1">
        <v>5.5168152528908103E-2</v>
      </c>
      <c r="F3252" s="1">
        <v>4.0805302864992198E-2</v>
      </c>
    </row>
    <row r="3253" spans="1:6" x14ac:dyDescent="0.25">
      <c r="A3253" s="2" t="str">
        <f t="shared" si="115"/>
        <v>46060</v>
      </c>
      <c r="B3253" s="2" t="str">
        <f>"85754"</f>
        <v>85754</v>
      </c>
      <c r="C3253" s="1">
        <v>3.1617009951353798E-3</v>
      </c>
      <c r="D3253" s="1">
        <v>9.8079280751941101E-3</v>
      </c>
      <c r="E3253" s="1">
        <v>8.8269044046252897E-5</v>
      </c>
      <c r="F3253" s="1">
        <v>3.47347673199855E-3</v>
      </c>
    </row>
    <row r="3254" spans="1:6" x14ac:dyDescent="0.25">
      <c r="A3254" s="2" t="str">
        <f t="shared" si="115"/>
        <v>46060</v>
      </c>
      <c r="B3254" s="2" t="str">
        <f>"85749"</f>
        <v>85749</v>
      </c>
      <c r="C3254" s="1">
        <v>1.7165234896374199E-2</v>
      </c>
      <c r="D3254" s="1">
        <v>3.6234845388911502E-3</v>
      </c>
      <c r="E3254" s="1">
        <v>4.0603760261276297E-3</v>
      </c>
      <c r="F3254" s="1">
        <v>1.5745116205861599E-2</v>
      </c>
    </row>
    <row r="3255" spans="1:6" x14ac:dyDescent="0.25">
      <c r="A3255" s="2" t="str">
        <f t="shared" si="115"/>
        <v>46060</v>
      </c>
      <c r="B3255" s="2" t="str">
        <f>"85742"</f>
        <v>85742</v>
      </c>
      <c r="C3255" s="1">
        <v>2.5241579970023801E-2</v>
      </c>
      <c r="D3255" s="1">
        <v>6.1571992916496301E-3</v>
      </c>
      <c r="E3255" s="1">
        <v>4.7223938564745303E-3</v>
      </c>
      <c r="F3255" s="1">
        <v>2.3157107749322999E-2</v>
      </c>
    </row>
    <row r="3256" spans="1:6" x14ac:dyDescent="0.25">
      <c r="A3256" s="2" t="str">
        <f t="shared" si="115"/>
        <v>46060</v>
      </c>
      <c r="B3256" s="2" t="str">
        <f>"85637"</f>
        <v>85637</v>
      </c>
      <c r="C3256" s="1">
        <v>2.82151797667144E-4</v>
      </c>
      <c r="D3256" s="1">
        <v>0</v>
      </c>
      <c r="E3256" s="1">
        <v>0</v>
      </c>
      <c r="F3256" s="1">
        <v>2.52193727709472E-4</v>
      </c>
    </row>
    <row r="3257" spans="1:6" x14ac:dyDescent="0.25">
      <c r="A3257" s="2" t="str">
        <f t="shared" si="115"/>
        <v>46060</v>
      </c>
      <c r="B3257" s="2" t="str">
        <f>"85641"</f>
        <v>85641</v>
      </c>
      <c r="C3257" s="1">
        <v>2.2295995245441999E-2</v>
      </c>
      <c r="D3257" s="1">
        <v>2.7789129546383299E-3</v>
      </c>
      <c r="E3257" s="1">
        <v>5.6933533409833101E-3</v>
      </c>
      <c r="F3257" s="1">
        <v>2.0341838760566201E-2</v>
      </c>
    </row>
    <row r="3258" spans="1:6" x14ac:dyDescent="0.25">
      <c r="A3258" s="2" t="str">
        <f t="shared" si="115"/>
        <v>46060</v>
      </c>
      <c r="B3258" s="2" t="str">
        <f>"85728"</f>
        <v>85728</v>
      </c>
      <c r="C3258" s="1">
        <v>2.0390970342043999E-3</v>
      </c>
      <c r="D3258" s="1">
        <v>1.42214957090314E-2</v>
      </c>
      <c r="E3258" s="1">
        <v>8.8269044046252897E-5</v>
      </c>
      <c r="F3258" s="1">
        <v>2.7598221408206801E-3</v>
      </c>
    </row>
    <row r="3259" spans="1:6" x14ac:dyDescent="0.25">
      <c r="A3259" s="2" t="str">
        <f t="shared" si="115"/>
        <v>46060</v>
      </c>
      <c r="B3259" s="2" t="str">
        <f>"85714"</f>
        <v>85714</v>
      </c>
      <c r="C3259" s="1">
        <v>1.08258242934698E-2</v>
      </c>
      <c r="D3259" s="1">
        <v>3.8196431003950398E-2</v>
      </c>
      <c r="E3259" s="1">
        <v>3.2527142731044199E-2</v>
      </c>
      <c r="F3259" s="1">
        <v>1.3502201776445399E-2</v>
      </c>
    </row>
    <row r="3260" spans="1:6" x14ac:dyDescent="0.25">
      <c r="A3260" s="2" t="str">
        <f t="shared" si="115"/>
        <v>46060</v>
      </c>
      <c r="B3260" s="2" t="str">
        <f>"85614"</f>
        <v>85614</v>
      </c>
      <c r="C3260" s="1">
        <v>3.4862756162815499E-2</v>
      </c>
      <c r="D3260" s="1">
        <v>1.7518049312082801E-2</v>
      </c>
      <c r="E3260" s="1">
        <v>5.13284491128961E-2</v>
      </c>
      <c r="F3260" s="1">
        <v>3.4391354584381098E-2</v>
      </c>
    </row>
    <row r="3261" spans="1:6" x14ac:dyDescent="0.25">
      <c r="A3261" s="2" t="str">
        <f t="shared" si="115"/>
        <v>46060</v>
      </c>
      <c r="B3261" s="2" t="str">
        <f>"85708"</f>
        <v>85708</v>
      </c>
      <c r="C3261" s="1">
        <v>2.37127574635153E-3</v>
      </c>
      <c r="D3261" s="1">
        <v>1.08976978613267E-4</v>
      </c>
      <c r="E3261" s="1">
        <v>1.3152087562891599E-2</v>
      </c>
      <c r="F3261" s="1">
        <v>2.6596600929360702E-3</v>
      </c>
    </row>
    <row r="3262" spans="1:6" x14ac:dyDescent="0.25">
      <c r="A3262" s="2" t="str">
        <f t="shared" si="115"/>
        <v>46060</v>
      </c>
      <c r="B3262" s="2" t="str">
        <f>"85705"</f>
        <v>85705</v>
      </c>
      <c r="C3262" s="1">
        <v>5.9524023924871501E-2</v>
      </c>
      <c r="D3262" s="1">
        <v>0.108840757390001</v>
      </c>
      <c r="E3262" s="1">
        <v>0.121502339129667</v>
      </c>
      <c r="F3262" s="1">
        <v>6.5273460276804904E-2</v>
      </c>
    </row>
    <row r="3263" spans="1:6" x14ac:dyDescent="0.25">
      <c r="A3263" s="2" t="str">
        <f t="shared" si="115"/>
        <v>46060</v>
      </c>
      <c r="B3263" s="2" t="str">
        <f>"85602"</f>
        <v>85602</v>
      </c>
      <c r="C3263" s="1">
        <v>9.3050060932781803E-4</v>
      </c>
      <c r="D3263" s="1">
        <v>2.7244244653316901E-5</v>
      </c>
      <c r="E3263" s="1">
        <v>7.9442139641627601E-4</v>
      </c>
      <c r="F3263" s="1">
        <v>8.65686271002729E-4</v>
      </c>
    </row>
    <row r="3264" spans="1:6" x14ac:dyDescent="0.25">
      <c r="A3264" s="2" t="str">
        <f t="shared" si="115"/>
        <v>46060</v>
      </c>
      <c r="B3264" s="2" t="str">
        <f>"85755"</f>
        <v>85755</v>
      </c>
      <c r="C3264" s="1">
        <v>1.8904170443698701E-2</v>
      </c>
      <c r="D3264" s="1">
        <v>5.6395586432366101E-3</v>
      </c>
      <c r="E3264" s="1">
        <v>3.8397034160119999E-3</v>
      </c>
      <c r="F3264" s="1">
        <v>1.74228305079288E-2</v>
      </c>
    </row>
    <row r="3265" spans="1:6" x14ac:dyDescent="0.25">
      <c r="A3265" s="2" t="str">
        <f t="shared" ref="A3265:A3271" si="116">"46060"</f>
        <v>46060</v>
      </c>
      <c r="B3265" s="2" t="str">
        <f>"85756"</f>
        <v>85756</v>
      </c>
      <c r="C3265" s="1">
        <v>2.2660191182856299E-2</v>
      </c>
      <c r="D3265" s="1">
        <v>1.2396131317259199E-2</v>
      </c>
      <c r="E3265" s="1">
        <v>1.89337099479212E-2</v>
      </c>
      <c r="F3265" s="1">
        <v>2.1835326438845701E-2</v>
      </c>
    </row>
    <row r="3266" spans="1:6" x14ac:dyDescent="0.25">
      <c r="A3266" s="2" t="str">
        <f t="shared" si="116"/>
        <v>46060</v>
      </c>
      <c r="B3266" s="2" t="str">
        <f>"85654"</f>
        <v>85654</v>
      </c>
      <c r="C3266" s="1">
        <v>0</v>
      </c>
      <c r="D3266" s="1">
        <v>2.7244244653316901E-5</v>
      </c>
      <c r="E3266" s="1">
        <v>0</v>
      </c>
      <c r="F3266" s="1">
        <v>1.7886079979395201E-6</v>
      </c>
    </row>
    <row r="3267" spans="1:6" x14ac:dyDescent="0.25">
      <c r="A3267" s="2" t="str">
        <f t="shared" si="116"/>
        <v>46060</v>
      </c>
      <c r="B3267" s="2" t="str">
        <f>"85653"</f>
        <v>85653</v>
      </c>
      <c r="C3267" s="1">
        <v>1.46198654876323E-2</v>
      </c>
      <c r="D3267" s="1">
        <v>3.0785996458248099E-3</v>
      </c>
      <c r="E3267" s="1">
        <v>1.83158266395974E-2</v>
      </c>
      <c r="F3267" s="1">
        <v>1.40119550558582E-2</v>
      </c>
    </row>
    <row r="3268" spans="1:6" x14ac:dyDescent="0.25">
      <c r="A3268" s="2" t="str">
        <f t="shared" si="116"/>
        <v>46060</v>
      </c>
      <c r="B3268" s="2" t="str">
        <f>"85734"</f>
        <v>85734</v>
      </c>
      <c r="C3268" s="1">
        <v>3.95012516734002E-3</v>
      </c>
      <c r="D3268" s="1">
        <v>6.75657267402261E-3</v>
      </c>
      <c r="E3268" s="1">
        <v>8.8269044046252897E-5</v>
      </c>
      <c r="F3268" s="1">
        <v>3.9778641874175001E-3</v>
      </c>
    </row>
    <row r="3269" spans="1:6" x14ac:dyDescent="0.25">
      <c r="A3269" s="2" t="str">
        <f t="shared" si="116"/>
        <v>46060</v>
      </c>
      <c r="B3269" s="2" t="str">
        <f>"85726"</f>
        <v>85726</v>
      </c>
      <c r="C3269" s="1">
        <v>1.7269290878492601E-3</v>
      </c>
      <c r="D3269" s="1">
        <v>9.2630431821277698E-3</v>
      </c>
      <c r="E3269" s="1">
        <v>2.20672610115632E-4</v>
      </c>
      <c r="F3269" s="1">
        <v>2.16063846151094E-3</v>
      </c>
    </row>
    <row r="3270" spans="1:6" x14ac:dyDescent="0.25">
      <c r="A3270" s="2" t="str">
        <f t="shared" si="116"/>
        <v>46060</v>
      </c>
      <c r="B3270" s="2" t="str">
        <f>"85622"</f>
        <v>85622</v>
      </c>
      <c r="C3270" s="1">
        <v>1.2112516533895199E-2</v>
      </c>
      <c r="D3270" s="1">
        <v>1.14425827543931E-2</v>
      </c>
      <c r="E3270" s="1">
        <v>1.45643922676317E-3</v>
      </c>
      <c r="F3270" s="1">
        <v>1.16366836345945E-2</v>
      </c>
    </row>
    <row r="3271" spans="1:6" x14ac:dyDescent="0.25">
      <c r="A3271" s="2" t="str">
        <f t="shared" si="116"/>
        <v>46060</v>
      </c>
      <c r="B3271" s="2" t="str">
        <f>"85709"</f>
        <v>85709</v>
      </c>
      <c r="C3271" s="1">
        <v>0</v>
      </c>
      <c r="D3271" s="1">
        <v>4.9039640375970496E-4</v>
      </c>
      <c r="E3271" s="1">
        <v>8.8269044046252897E-5</v>
      </c>
      <c r="F3271" s="1">
        <v>3.5772159958790397E-5</v>
      </c>
    </row>
    <row r="3272" spans="1:6" x14ac:dyDescent="0.25">
      <c r="A3272" s="2" t="str">
        <f t="shared" ref="A3272:A3292" si="117">"42140"</f>
        <v>42140</v>
      </c>
      <c r="B3272" s="2" t="str">
        <f>"87504"</f>
        <v>87504</v>
      </c>
      <c r="C3272" s="1">
        <v>3.1821761610719798E-2</v>
      </c>
      <c r="D3272" s="1">
        <v>5.6820393072582201E-2</v>
      </c>
      <c r="E3272" s="1">
        <v>2.3164234422052299E-4</v>
      </c>
      <c r="F3272" s="1">
        <v>3.3001330619912297E-2</v>
      </c>
    </row>
    <row r="3273" spans="1:6" x14ac:dyDescent="0.25">
      <c r="A3273" s="2" t="str">
        <f t="shared" si="117"/>
        <v>42140</v>
      </c>
      <c r="B3273" s="2" t="str">
        <f>"87532"</f>
        <v>87532</v>
      </c>
      <c r="C3273" s="1">
        <v>2.5235980961729399E-2</v>
      </c>
      <c r="D3273" s="1">
        <v>1.77077252383732E-2</v>
      </c>
      <c r="E3273" s="1">
        <v>2.66388695853602E-2</v>
      </c>
      <c r="F3273" s="1">
        <v>2.4538196618659899E-2</v>
      </c>
    </row>
    <row r="3274" spans="1:6" x14ac:dyDescent="0.25">
      <c r="A3274" s="2" t="str">
        <f t="shared" si="117"/>
        <v>42140</v>
      </c>
      <c r="B3274" s="2" t="str">
        <f>"87535"</f>
        <v>87535</v>
      </c>
      <c r="C3274" s="1">
        <v>5.7411571342152398E-3</v>
      </c>
      <c r="D3274" s="1">
        <v>9.7295193617435205E-5</v>
      </c>
      <c r="E3274" s="1">
        <v>9.2656937688209403E-4</v>
      </c>
      <c r="F3274" s="1">
        <v>4.9702567313713204E-3</v>
      </c>
    </row>
    <row r="3275" spans="1:6" x14ac:dyDescent="0.25">
      <c r="A3275" s="2" t="str">
        <f t="shared" si="117"/>
        <v>42140</v>
      </c>
      <c r="B3275" s="2" t="str">
        <f>"87506"</f>
        <v>87506</v>
      </c>
      <c r="C3275" s="1">
        <v>9.5921838083389402E-2</v>
      </c>
      <c r="D3275" s="1">
        <v>2.2961665693714699E-2</v>
      </c>
      <c r="E3275" s="1">
        <v>4.2622191336576298E-2</v>
      </c>
      <c r="F3275" s="1">
        <v>8.6333750782717503E-2</v>
      </c>
    </row>
    <row r="3276" spans="1:6" x14ac:dyDescent="0.25">
      <c r="A3276" s="2" t="str">
        <f t="shared" si="117"/>
        <v>42140</v>
      </c>
      <c r="B3276" s="2" t="str">
        <f>"87508"</f>
        <v>87508</v>
      </c>
      <c r="C3276" s="1">
        <v>0.102941344321048</v>
      </c>
      <c r="D3276" s="1">
        <v>3.9988324576765898E-2</v>
      </c>
      <c r="E3276" s="1">
        <v>2.5480657864257499E-2</v>
      </c>
      <c r="F3276" s="1">
        <v>9.3339073262366901E-2</v>
      </c>
    </row>
    <row r="3277" spans="1:6" x14ac:dyDescent="0.25">
      <c r="A3277" s="2" t="str">
        <f t="shared" si="117"/>
        <v>42140</v>
      </c>
      <c r="B3277" s="2" t="str">
        <f>"87501"</f>
        <v>87501</v>
      </c>
      <c r="C3277" s="1">
        <v>0.12362320660176</v>
      </c>
      <c r="D3277" s="1">
        <v>0.23370305506907901</v>
      </c>
      <c r="E3277" s="1">
        <v>0.297197127634931</v>
      </c>
      <c r="F3277" s="1">
        <v>0.14202410770194099</v>
      </c>
    </row>
    <row r="3278" spans="1:6" x14ac:dyDescent="0.25">
      <c r="A3278" s="2" t="str">
        <f t="shared" si="117"/>
        <v>42140</v>
      </c>
      <c r="B3278" s="2" t="str">
        <f>"87056"</f>
        <v>87056</v>
      </c>
      <c r="C3278" s="1">
        <v>4.7709814753518296E-3</v>
      </c>
      <c r="D3278" s="1">
        <v>9.7295193617435205E-5</v>
      </c>
      <c r="E3278" s="1">
        <v>6.9492703266156998E-4</v>
      </c>
      <c r="F3278" s="1">
        <v>4.1288353162178999E-3</v>
      </c>
    </row>
    <row r="3279" spans="1:6" x14ac:dyDescent="0.25">
      <c r="A3279" s="2" t="str">
        <f t="shared" si="117"/>
        <v>42140</v>
      </c>
      <c r="B3279" s="2" t="str">
        <f>"87567"</f>
        <v>87567</v>
      </c>
      <c r="C3279" s="1">
        <v>2.78497483250202E-3</v>
      </c>
      <c r="D3279" s="1">
        <v>5.8377116170461104E-4</v>
      </c>
      <c r="E3279" s="1">
        <v>2.3164234422052299E-4</v>
      </c>
      <c r="F3279" s="1">
        <v>2.4557764558547201E-3</v>
      </c>
    </row>
    <row r="3280" spans="1:6" x14ac:dyDescent="0.25">
      <c r="A3280" s="2" t="str">
        <f t="shared" si="117"/>
        <v>42140</v>
      </c>
      <c r="B3280" s="2" t="str">
        <f>"87015"</f>
        <v>87015</v>
      </c>
      <c r="C3280" s="1">
        <v>4.02223414333489E-2</v>
      </c>
      <c r="D3280" s="1">
        <v>1.2453784783031699E-2</v>
      </c>
      <c r="E3280" s="1">
        <v>8.8024090803798909E-3</v>
      </c>
      <c r="F3280" s="1">
        <v>3.6102849092047501E-2</v>
      </c>
    </row>
    <row r="3281" spans="1:6" x14ac:dyDescent="0.25">
      <c r="A3281" s="2" t="str">
        <f t="shared" si="117"/>
        <v>42140</v>
      </c>
      <c r="B3281" s="2" t="str">
        <f>"87552"</f>
        <v>87552</v>
      </c>
      <c r="C3281" s="1">
        <v>1.1413831280746E-5</v>
      </c>
      <c r="D3281" s="1">
        <v>0</v>
      </c>
      <c r="E3281" s="1">
        <v>0</v>
      </c>
      <c r="F3281" s="1">
        <v>9.7839699436443292E-6</v>
      </c>
    </row>
    <row r="3282" spans="1:6" x14ac:dyDescent="0.25">
      <c r="A3282" s="2" t="str">
        <f t="shared" si="117"/>
        <v>42140</v>
      </c>
      <c r="B3282" s="2" t="str">
        <f>"87592"</f>
        <v>87592</v>
      </c>
      <c r="C3282" s="1">
        <v>1.9198064214214699E-2</v>
      </c>
      <c r="D3282" s="1">
        <v>2.2961665693714699E-2</v>
      </c>
      <c r="E3282" s="1">
        <v>2.3164234422052299E-4</v>
      </c>
      <c r="F3282" s="1">
        <v>1.87754383218534E-2</v>
      </c>
    </row>
    <row r="3283" spans="1:6" x14ac:dyDescent="0.25">
      <c r="A3283" s="2" t="str">
        <f t="shared" si="117"/>
        <v>42140</v>
      </c>
      <c r="B3283" s="2" t="str">
        <f>"87540"</f>
        <v>87540</v>
      </c>
      <c r="C3283" s="1">
        <v>7.36192117608117E-3</v>
      </c>
      <c r="D3283" s="1">
        <v>3.11344619575792E-3</v>
      </c>
      <c r="E3283" s="1">
        <v>2.3164234422052299E-4</v>
      </c>
      <c r="F3283" s="1">
        <v>6.6335316217908504E-3</v>
      </c>
    </row>
    <row r="3284" spans="1:6" x14ac:dyDescent="0.25">
      <c r="A3284" s="2" t="str">
        <f t="shared" si="117"/>
        <v>42140</v>
      </c>
      <c r="B3284" s="2" t="str">
        <f>"87522"</f>
        <v>87522</v>
      </c>
      <c r="C3284" s="1">
        <v>3.1159759396436602E-3</v>
      </c>
      <c r="D3284" s="1">
        <v>1.9459038723487E-4</v>
      </c>
      <c r="E3284" s="1">
        <v>2.0847810979847101E-3</v>
      </c>
      <c r="F3284" s="1">
        <v>2.77864746399499E-3</v>
      </c>
    </row>
    <row r="3285" spans="1:6" x14ac:dyDescent="0.25">
      <c r="A3285" s="2" t="str">
        <f t="shared" si="117"/>
        <v>42140</v>
      </c>
      <c r="B3285" s="2" t="str">
        <f>"87505"</f>
        <v>87505</v>
      </c>
      <c r="C3285" s="1">
        <v>0.21749055505461501</v>
      </c>
      <c r="D3285" s="1">
        <v>0.27670753064798498</v>
      </c>
      <c r="E3285" s="1">
        <v>0.364836692147324</v>
      </c>
      <c r="F3285" s="1">
        <v>0.229668910457107</v>
      </c>
    </row>
    <row r="3286" spans="1:6" x14ac:dyDescent="0.25">
      <c r="A3286" s="2" t="str">
        <f t="shared" si="117"/>
        <v>42140</v>
      </c>
      <c r="B3286" s="2" t="str">
        <f>"87047"</f>
        <v>87047</v>
      </c>
      <c r="C3286" s="1">
        <v>1.30117676600504E-3</v>
      </c>
      <c r="D3286" s="1">
        <v>7.7836154893948196E-4</v>
      </c>
      <c r="E3286" s="1">
        <v>2.3164234422052299E-4</v>
      </c>
      <c r="F3286" s="1">
        <v>1.2034283030682501E-3</v>
      </c>
    </row>
    <row r="3287" spans="1:6" x14ac:dyDescent="0.25">
      <c r="A3287" s="2" t="str">
        <f t="shared" si="117"/>
        <v>42140</v>
      </c>
      <c r="B3287" s="2" t="str">
        <f>"87010"</f>
        <v>87010</v>
      </c>
      <c r="C3287" s="1">
        <v>5.8324677844612104E-3</v>
      </c>
      <c r="D3287" s="1">
        <v>1.4594279042615199E-3</v>
      </c>
      <c r="E3287" s="1">
        <v>2.3164234422052299E-4</v>
      </c>
      <c r="F3287" s="1">
        <v>5.1561521603005599E-3</v>
      </c>
    </row>
    <row r="3288" spans="1:6" x14ac:dyDescent="0.25">
      <c r="A3288" s="2" t="str">
        <f t="shared" si="117"/>
        <v>42140</v>
      </c>
      <c r="B3288" s="2" t="str">
        <f>"87574"</f>
        <v>87574</v>
      </c>
      <c r="C3288" s="1">
        <v>8.2179585221371192E-3</v>
      </c>
      <c r="D3288" s="1">
        <v>4.7674644872543201E-3</v>
      </c>
      <c r="E3288" s="1">
        <v>4.6328468844104701E-4</v>
      </c>
      <c r="F3288" s="1">
        <v>7.5434408265497802E-3</v>
      </c>
    </row>
    <row r="3289" spans="1:6" x14ac:dyDescent="0.25">
      <c r="A3289" s="2" t="str">
        <f t="shared" si="117"/>
        <v>42140</v>
      </c>
      <c r="B3289" s="2" t="str">
        <f>"87594"</f>
        <v>87594</v>
      </c>
      <c r="C3289" s="1">
        <v>2.08987250750459E-2</v>
      </c>
      <c r="D3289" s="1">
        <v>2.21833041447752E-2</v>
      </c>
      <c r="E3289" s="1">
        <v>2.3164234422052299E-4</v>
      </c>
      <c r="F3289" s="1">
        <v>2.0154978083907302E-2</v>
      </c>
    </row>
    <row r="3290" spans="1:6" x14ac:dyDescent="0.25">
      <c r="A3290" s="2" t="str">
        <f t="shared" si="117"/>
        <v>42140</v>
      </c>
      <c r="B3290" s="2" t="str">
        <f>"87502"</f>
        <v>87502</v>
      </c>
      <c r="C3290" s="1">
        <v>3.4218666179676498E-2</v>
      </c>
      <c r="D3290" s="1">
        <v>7.3263280793928701E-2</v>
      </c>
      <c r="E3290" s="1">
        <v>2.3164234422052299E-4</v>
      </c>
      <c r="F3290" s="1">
        <v>3.6709455228553498E-2</v>
      </c>
    </row>
    <row r="3291" spans="1:6" x14ac:dyDescent="0.25">
      <c r="A3291" s="2" t="str">
        <f t="shared" si="117"/>
        <v>42140</v>
      </c>
      <c r="B3291" s="2" t="str">
        <f>"87035"</f>
        <v>87035</v>
      </c>
      <c r="C3291" s="1">
        <v>7.3048520196774397E-4</v>
      </c>
      <c r="D3291" s="1">
        <v>0</v>
      </c>
      <c r="E3291" s="1">
        <v>2.3164234422052299E-4</v>
      </c>
      <c r="F3291" s="1">
        <v>6.35958046336881E-4</v>
      </c>
    </row>
    <row r="3292" spans="1:6" x14ac:dyDescent="0.25">
      <c r="A3292" s="2" t="str">
        <f t="shared" si="117"/>
        <v>42140</v>
      </c>
      <c r="B3292" s="2" t="str">
        <f>"87507"</f>
        <v>87507</v>
      </c>
      <c r="C3292" s="1">
        <v>0.24855900380080501</v>
      </c>
      <c r="D3292" s="1">
        <v>0.21015761821366</v>
      </c>
      <c r="E3292" s="1">
        <v>0.22816770905721501</v>
      </c>
      <c r="F3292" s="1">
        <v>0.24383609893550401</v>
      </c>
    </row>
    <row r="3293" spans="1:6" x14ac:dyDescent="0.25">
      <c r="A3293" s="2" t="str">
        <f t="shared" ref="A3293:A3299" si="118">"49080"</f>
        <v>49080</v>
      </c>
      <c r="B3293" s="2" t="str">
        <f>"89404"</f>
        <v>89404</v>
      </c>
      <c r="C3293" s="1">
        <v>0</v>
      </c>
      <c r="D3293" s="1">
        <v>0</v>
      </c>
      <c r="E3293" s="1">
        <v>3.0030030030029999E-3</v>
      </c>
      <c r="F3293" s="1">
        <v>1.11482720178372E-4</v>
      </c>
    </row>
    <row r="3294" spans="1:6" x14ac:dyDescent="0.25">
      <c r="A3294" s="2" t="str">
        <f t="shared" si="118"/>
        <v>49080</v>
      </c>
      <c r="B3294" s="2" t="str">
        <f>"89421"</f>
        <v>89421</v>
      </c>
      <c r="C3294" s="1">
        <v>0</v>
      </c>
      <c r="D3294" s="1">
        <v>1.30378096479791E-3</v>
      </c>
      <c r="E3294" s="1">
        <v>3.0030030030029999E-3</v>
      </c>
      <c r="F3294" s="1">
        <v>2.2296544035674401E-4</v>
      </c>
    </row>
    <row r="3295" spans="1:6" x14ac:dyDescent="0.25">
      <c r="A3295" s="2" t="str">
        <f t="shared" si="118"/>
        <v>49080</v>
      </c>
      <c r="B3295" s="2" t="str">
        <f>"89425"</f>
        <v>89425</v>
      </c>
      <c r="C3295" s="1">
        <v>1.37229987293519E-2</v>
      </c>
      <c r="D3295" s="1">
        <v>1.30378096479791E-3</v>
      </c>
      <c r="E3295" s="1">
        <v>1.8018018018018001E-2</v>
      </c>
      <c r="F3295" s="1">
        <v>1.2820512820512799E-2</v>
      </c>
    </row>
    <row r="3296" spans="1:6" x14ac:dyDescent="0.25">
      <c r="A3296" s="2" t="str">
        <f t="shared" si="118"/>
        <v>49080</v>
      </c>
      <c r="B3296" s="2" t="str">
        <f>"89426"</f>
        <v>89426</v>
      </c>
      <c r="C3296" s="1">
        <v>0</v>
      </c>
      <c r="D3296" s="1">
        <v>1.30378096479791E-3</v>
      </c>
      <c r="E3296" s="1">
        <v>6.0060060060059999E-3</v>
      </c>
      <c r="F3296" s="1">
        <v>3.3444816053511699E-4</v>
      </c>
    </row>
    <row r="3297" spans="1:6" x14ac:dyDescent="0.25">
      <c r="A3297" s="2" t="str">
        <f t="shared" si="118"/>
        <v>49080</v>
      </c>
      <c r="B3297" s="2" t="str">
        <f>"89438"</f>
        <v>89438</v>
      </c>
      <c r="C3297" s="1">
        <v>0</v>
      </c>
      <c r="D3297" s="1">
        <v>1.30378096479791E-3</v>
      </c>
      <c r="E3297" s="1">
        <v>1.2012012012012E-2</v>
      </c>
      <c r="F3297" s="1">
        <v>5.5741360089186099E-4</v>
      </c>
    </row>
    <row r="3298" spans="1:6" x14ac:dyDescent="0.25">
      <c r="A3298" s="2" t="str">
        <f t="shared" si="118"/>
        <v>49080</v>
      </c>
      <c r="B3298" s="2" t="str">
        <f>"89445"</f>
        <v>89445</v>
      </c>
      <c r="C3298" s="1">
        <v>0.97750952986022799</v>
      </c>
      <c r="D3298" s="1">
        <v>0.97653194263363696</v>
      </c>
      <c r="E3298" s="1">
        <v>0.94294294294294201</v>
      </c>
      <c r="F3298" s="1">
        <v>0.97614269788182795</v>
      </c>
    </row>
    <row r="3299" spans="1:6" x14ac:dyDescent="0.25">
      <c r="A3299" s="2" t="str">
        <f t="shared" si="118"/>
        <v>49080</v>
      </c>
      <c r="B3299" s="2" t="str">
        <f>"89414"</f>
        <v>89414</v>
      </c>
      <c r="C3299" s="1">
        <v>8.7674714104193103E-3</v>
      </c>
      <c r="D3299" s="1">
        <v>1.82529335071707E-2</v>
      </c>
      <c r="E3299" s="1">
        <v>1.5015015015014999E-2</v>
      </c>
      <c r="F3299" s="1">
        <v>9.8104793756967606E-3</v>
      </c>
    </row>
    <row r="3300" spans="1:6" x14ac:dyDescent="0.25">
      <c r="A3300" s="2" t="str">
        <f t="shared" ref="A3300:A3331" si="119">"10580"</f>
        <v>10580</v>
      </c>
      <c r="B3300" s="2" t="str">
        <f>"12884"</f>
        <v>12884</v>
      </c>
      <c r="C3300" s="1">
        <v>3.53594368716967E-4</v>
      </c>
      <c r="D3300" s="1">
        <v>9.0735867888576304E-5</v>
      </c>
      <c r="E3300" s="1">
        <v>5.2419143471195598E-5</v>
      </c>
      <c r="F3300" s="1">
        <v>3.23467234855994E-4</v>
      </c>
    </row>
    <row r="3301" spans="1:6" x14ac:dyDescent="0.25">
      <c r="A3301" s="2" t="str">
        <f t="shared" si="119"/>
        <v>10580</v>
      </c>
      <c r="B3301" s="2" t="str">
        <f>"12850"</f>
        <v>12850</v>
      </c>
      <c r="C3301" s="1">
        <v>2.8170465269305401E-3</v>
      </c>
      <c r="D3301" s="1">
        <v>4.8392462873907301E-4</v>
      </c>
      <c r="E3301" s="1">
        <v>2.6209571735597801E-4</v>
      </c>
      <c r="F3301" s="1">
        <v>2.5543477126692702E-3</v>
      </c>
    </row>
    <row r="3302" spans="1:6" x14ac:dyDescent="0.25">
      <c r="A3302" s="2" t="str">
        <f t="shared" si="119"/>
        <v>10580</v>
      </c>
      <c r="B3302" s="2" t="str">
        <f>"12835"</f>
        <v>12835</v>
      </c>
      <c r="C3302" s="1">
        <v>4.1752235723334597E-3</v>
      </c>
      <c r="D3302" s="1">
        <v>9.6784925747814699E-4</v>
      </c>
      <c r="E3302" s="1">
        <v>1.9395083084342399E-3</v>
      </c>
      <c r="F3302" s="1">
        <v>3.8649117351825901E-3</v>
      </c>
    </row>
    <row r="3303" spans="1:6" x14ac:dyDescent="0.25">
      <c r="A3303" s="2" t="str">
        <f t="shared" si="119"/>
        <v>10580</v>
      </c>
      <c r="B3303" s="2" t="str">
        <f>"12833"</f>
        <v>12833</v>
      </c>
      <c r="C3303" s="1">
        <v>4.5826766859543401E-3</v>
      </c>
      <c r="D3303" s="1">
        <v>7.2588694310861E-4</v>
      </c>
      <c r="E3303" s="1">
        <v>1.1532211563663E-3</v>
      </c>
      <c r="F3303" s="1">
        <v>4.1800314284939103E-3</v>
      </c>
    </row>
    <row r="3304" spans="1:6" x14ac:dyDescent="0.25">
      <c r="A3304" s="2" t="str">
        <f t="shared" si="119"/>
        <v>10580</v>
      </c>
      <c r="B3304" s="2" t="str">
        <f>"12121"</f>
        <v>12121</v>
      </c>
      <c r="C3304" s="1">
        <v>1.718796467803E-3</v>
      </c>
      <c r="D3304" s="1">
        <v>5.7466049662764998E-4</v>
      </c>
      <c r="E3304" s="1">
        <v>1.0483828694239101E-4</v>
      </c>
      <c r="F3304" s="1">
        <v>1.5755984665566101E-3</v>
      </c>
    </row>
    <row r="3305" spans="1:6" x14ac:dyDescent="0.25">
      <c r="A3305" s="2" t="str">
        <f t="shared" si="119"/>
        <v>10580</v>
      </c>
      <c r="B3305" s="2" t="str">
        <f>"12084"</f>
        <v>12084</v>
      </c>
      <c r="C3305" s="1">
        <v>7.1608713876588504E-3</v>
      </c>
      <c r="D3305" s="1">
        <v>1.17956628255149E-2</v>
      </c>
      <c r="E3305" s="1">
        <v>1.75604130628505E-2</v>
      </c>
      <c r="F3305" s="1">
        <v>7.8946874158724294E-3</v>
      </c>
    </row>
    <row r="3306" spans="1:6" x14ac:dyDescent="0.25">
      <c r="A3306" s="2" t="str">
        <f t="shared" si="119"/>
        <v>10580</v>
      </c>
      <c r="B3306" s="2" t="str">
        <f>"12307"</f>
        <v>12307</v>
      </c>
      <c r="C3306" s="1">
        <v>8.2919050306409399E-3</v>
      </c>
      <c r="D3306" s="1">
        <v>5.8373408341650702E-3</v>
      </c>
      <c r="E3306" s="1">
        <v>1.08507626985375E-2</v>
      </c>
      <c r="F3306" s="1">
        <v>8.2244153068869296E-3</v>
      </c>
    </row>
    <row r="3307" spans="1:6" x14ac:dyDescent="0.25">
      <c r="A3307" s="2" t="str">
        <f t="shared" si="119"/>
        <v>10580</v>
      </c>
      <c r="B3307" s="2" t="str">
        <f>"12204"</f>
        <v>12204</v>
      </c>
      <c r="C3307" s="1">
        <v>9.2777542308385801E-3</v>
      </c>
      <c r="D3307" s="1">
        <v>1.43665124156912E-2</v>
      </c>
      <c r="E3307" s="1">
        <v>2.5003931435760299E-2</v>
      </c>
      <c r="F3307" s="1">
        <v>1.02549547876281E-2</v>
      </c>
    </row>
    <row r="3308" spans="1:6" x14ac:dyDescent="0.25">
      <c r="A3308" s="2" t="str">
        <f t="shared" si="119"/>
        <v>10580</v>
      </c>
      <c r="B3308" s="2" t="str">
        <f>"12202"</f>
        <v>12202</v>
      </c>
      <c r="C3308" s="1">
        <v>1.17622815501015E-2</v>
      </c>
      <c r="D3308" s="1">
        <v>1.09790400145177E-2</v>
      </c>
      <c r="E3308" s="1">
        <v>2.03386276668239E-2</v>
      </c>
      <c r="F3308" s="1">
        <v>1.2049676219732301E-2</v>
      </c>
    </row>
    <row r="3309" spans="1:6" x14ac:dyDescent="0.25">
      <c r="A3309" s="2" t="str">
        <f t="shared" si="119"/>
        <v>10580</v>
      </c>
      <c r="B3309" s="2" t="str">
        <f>"12193"</f>
        <v>12193</v>
      </c>
      <c r="C3309" s="1">
        <v>2.17308327264467E-3</v>
      </c>
      <c r="D3309" s="1">
        <v>1.8147173577715201E-4</v>
      </c>
      <c r="E3309" s="1">
        <v>2.6209571735597801E-4</v>
      </c>
      <c r="F3309" s="1">
        <v>1.9595853776114701E-3</v>
      </c>
    </row>
    <row r="3310" spans="1:6" x14ac:dyDescent="0.25">
      <c r="A3310" s="2" t="str">
        <f t="shared" si="119"/>
        <v>10580</v>
      </c>
      <c r="B3310" s="2" t="str">
        <f>"12220"</f>
        <v>12220</v>
      </c>
      <c r="C3310" s="1">
        <v>9.64774039148282E-4</v>
      </c>
      <c r="D3310" s="1">
        <v>2.78256661524967E-3</v>
      </c>
      <c r="E3310" s="1">
        <v>1.0483828694239101E-4</v>
      </c>
      <c r="F3310" s="1">
        <v>1.0559640054008501E-3</v>
      </c>
    </row>
    <row r="3311" spans="1:6" x14ac:dyDescent="0.25">
      <c r="A3311" s="2" t="str">
        <f t="shared" si="119"/>
        <v>10580</v>
      </c>
      <c r="B3311" s="2" t="str">
        <f>"12255"</f>
        <v>12255</v>
      </c>
      <c r="C3311" s="1">
        <v>0</v>
      </c>
      <c r="D3311" s="1">
        <v>3.02452892961921E-5</v>
      </c>
      <c r="E3311" s="1">
        <v>0</v>
      </c>
      <c r="F3311" s="1">
        <v>2.0868853861676998E-6</v>
      </c>
    </row>
    <row r="3312" spans="1:6" x14ac:dyDescent="0.25">
      <c r="A3312" s="2" t="str">
        <f t="shared" si="119"/>
        <v>10580</v>
      </c>
      <c r="B3312" s="2" t="str">
        <f>"12247"</f>
        <v>12247</v>
      </c>
      <c r="C3312" s="1">
        <v>0</v>
      </c>
      <c r="D3312" s="1">
        <v>3.02452892961921E-5</v>
      </c>
      <c r="E3312" s="1">
        <v>5.2419143471195598E-5</v>
      </c>
      <c r="F3312" s="1">
        <v>4.1737707723354098E-6</v>
      </c>
    </row>
    <row r="3313" spans="1:6" x14ac:dyDescent="0.25">
      <c r="A3313" s="2" t="str">
        <f t="shared" si="119"/>
        <v>10580</v>
      </c>
      <c r="B3313" s="2" t="str">
        <f>"12208"</f>
        <v>12208</v>
      </c>
      <c r="C3313" s="1">
        <v>2.5770238594239901E-2</v>
      </c>
      <c r="D3313" s="1">
        <v>1.67861355593866E-2</v>
      </c>
      <c r="E3313" s="1">
        <v>4.30361167898516E-2</v>
      </c>
      <c r="F3313" s="1">
        <v>2.5837727966142299E-2</v>
      </c>
    </row>
    <row r="3314" spans="1:6" x14ac:dyDescent="0.25">
      <c r="A3314" s="2" t="str">
        <f t="shared" si="119"/>
        <v>10580</v>
      </c>
      <c r="B3314" s="2" t="str">
        <f>"12045"</f>
        <v>12045</v>
      </c>
      <c r="C3314" s="1">
        <v>8.0553948899759499E-4</v>
      </c>
      <c r="D3314" s="1">
        <v>3.3269818225811299E-4</v>
      </c>
      <c r="E3314" s="1">
        <v>1.4153168737222801E-3</v>
      </c>
      <c r="F3314" s="1">
        <v>7.9719021751606303E-4</v>
      </c>
    </row>
    <row r="3315" spans="1:6" x14ac:dyDescent="0.25">
      <c r="A3315" s="2" t="str">
        <f t="shared" si="119"/>
        <v>10580</v>
      </c>
      <c r="B3315" s="2" t="str">
        <f>"12053"</f>
        <v>12053</v>
      </c>
      <c r="C3315" s="1">
        <v>4.2454741091646504E-3</v>
      </c>
      <c r="D3315" s="1">
        <v>9.3760396818195503E-4</v>
      </c>
      <c r="E3315" s="1">
        <v>5.2419143471195602E-4</v>
      </c>
      <c r="F3315" s="1">
        <v>3.8690855059549199E-3</v>
      </c>
    </row>
    <row r="3316" spans="1:6" x14ac:dyDescent="0.25">
      <c r="A3316" s="2" t="str">
        <f t="shared" si="119"/>
        <v>10580</v>
      </c>
      <c r="B3316" s="2" t="str">
        <f>"12054"</f>
        <v>12054</v>
      </c>
      <c r="C3316" s="1">
        <v>1.8349440220305602E-2</v>
      </c>
      <c r="D3316" s="1">
        <v>1.7663248948976099E-2</v>
      </c>
      <c r="E3316" s="1">
        <v>2.3221680557739599E-2</v>
      </c>
      <c r="F3316" s="1">
        <v>1.8496065177604298E-2</v>
      </c>
    </row>
    <row r="3317" spans="1:6" x14ac:dyDescent="0.25">
      <c r="A3317" s="2" t="str">
        <f t="shared" si="119"/>
        <v>10580</v>
      </c>
      <c r="B3317" s="2" t="str">
        <f>"12158"</f>
        <v>12158</v>
      </c>
      <c r="C3317" s="1">
        <v>6.8002519652587603E-3</v>
      </c>
      <c r="D3317" s="1">
        <v>2.0566796721410599E-3</v>
      </c>
      <c r="E3317" s="1">
        <v>1.7298317345494499E-3</v>
      </c>
      <c r="F3317" s="1">
        <v>6.2710905854339496E-3</v>
      </c>
    </row>
    <row r="3318" spans="1:6" x14ac:dyDescent="0.25">
      <c r="A3318" s="2" t="str">
        <f t="shared" si="119"/>
        <v>10580</v>
      </c>
      <c r="B3318" s="2" t="str">
        <f>"12183"</f>
        <v>12183</v>
      </c>
      <c r="C3318" s="1">
        <v>2.96457265427603E-3</v>
      </c>
      <c r="D3318" s="1">
        <v>3.4782082690620899E-3</v>
      </c>
      <c r="E3318" s="1">
        <v>2.62095717355978E-3</v>
      </c>
      <c r="F3318" s="1">
        <v>2.98633298760598E-3</v>
      </c>
    </row>
    <row r="3319" spans="1:6" x14ac:dyDescent="0.25">
      <c r="A3319" s="2" t="str">
        <f t="shared" si="119"/>
        <v>10580</v>
      </c>
      <c r="B3319" s="2" t="str">
        <f>"12008"</f>
        <v>12008</v>
      </c>
      <c r="C3319" s="1">
        <v>4.4492006659750801E-4</v>
      </c>
      <c r="D3319" s="1">
        <v>1.2098115718476799E-4</v>
      </c>
      <c r="E3319" s="1">
        <v>5.2419143471195598E-5</v>
      </c>
      <c r="F3319" s="1">
        <v>4.0694265030270202E-4</v>
      </c>
    </row>
    <row r="3320" spans="1:6" x14ac:dyDescent="0.25">
      <c r="A3320" s="2" t="str">
        <f t="shared" si="119"/>
        <v>10580</v>
      </c>
      <c r="B3320" s="2" t="str">
        <f>"13459"</f>
        <v>13459</v>
      </c>
      <c r="C3320" s="1">
        <v>2.1285912659849198E-3</v>
      </c>
      <c r="D3320" s="1">
        <v>9.3760396818195503E-4</v>
      </c>
      <c r="E3320" s="1">
        <v>1.2580594433086901E-3</v>
      </c>
      <c r="F3320" s="1">
        <v>2.0117575122656599E-3</v>
      </c>
    </row>
    <row r="3321" spans="1:6" x14ac:dyDescent="0.25">
      <c r="A3321" s="2" t="str">
        <f t="shared" si="119"/>
        <v>10580</v>
      </c>
      <c r="B3321" s="2" t="str">
        <f>"12133"</f>
        <v>12133</v>
      </c>
      <c r="C3321" s="1">
        <v>0</v>
      </c>
      <c r="D3321" s="1">
        <v>0</v>
      </c>
      <c r="E3321" s="1">
        <v>5.2419143471195598E-5</v>
      </c>
      <c r="F3321" s="1">
        <v>2.0868853861676998E-6</v>
      </c>
    </row>
    <row r="3322" spans="1:6" x14ac:dyDescent="0.25">
      <c r="A3322" s="2" t="str">
        <f t="shared" si="119"/>
        <v>10580</v>
      </c>
      <c r="B3322" s="2" t="str">
        <f>"12138"</f>
        <v>12138</v>
      </c>
      <c r="C3322" s="1">
        <v>3.2572832244059701E-3</v>
      </c>
      <c r="D3322" s="1">
        <v>5.1416991803526595E-4</v>
      </c>
      <c r="E3322" s="1">
        <v>4.7177229124076102E-4</v>
      </c>
      <c r="F3322" s="1">
        <v>2.9571165921996301E-3</v>
      </c>
    </row>
    <row r="3323" spans="1:6" x14ac:dyDescent="0.25">
      <c r="A3323" s="2" t="str">
        <f t="shared" si="119"/>
        <v>10580</v>
      </c>
      <c r="B3323" s="2" t="str">
        <f>"12118"</f>
        <v>12118</v>
      </c>
      <c r="C3323" s="1">
        <v>1.8403298965209501E-2</v>
      </c>
      <c r="D3323" s="1">
        <v>8.6501527387109391E-3</v>
      </c>
      <c r="E3323" s="1">
        <v>1.6197515332599399E-2</v>
      </c>
      <c r="F3323" s="1">
        <v>1.7642529054661699E-2</v>
      </c>
    </row>
    <row r="3324" spans="1:6" x14ac:dyDescent="0.25">
      <c r="A3324" s="2" t="str">
        <f t="shared" si="119"/>
        <v>10580</v>
      </c>
      <c r="B3324" s="2" t="str">
        <f>"12064"</f>
        <v>12064</v>
      </c>
      <c r="C3324" s="1">
        <v>1.2410928173509401E-4</v>
      </c>
      <c r="D3324" s="1">
        <v>0</v>
      </c>
      <c r="E3324" s="1">
        <v>0</v>
      </c>
      <c r="F3324" s="1">
        <v>1.1060492546688801E-4</v>
      </c>
    </row>
    <row r="3325" spans="1:6" x14ac:dyDescent="0.25">
      <c r="A3325" s="2" t="str">
        <f t="shared" si="119"/>
        <v>10580</v>
      </c>
      <c r="B3325" s="2" t="str">
        <f>"12082"</f>
        <v>12082</v>
      </c>
      <c r="C3325" s="1">
        <v>6.7908852270146005E-5</v>
      </c>
      <c r="D3325" s="1">
        <v>0</v>
      </c>
      <c r="E3325" s="1">
        <v>5.2419143471195598E-5</v>
      </c>
      <c r="F3325" s="1">
        <v>6.2606561585031099E-5</v>
      </c>
    </row>
    <row r="3326" spans="1:6" x14ac:dyDescent="0.25">
      <c r="A3326" s="2" t="str">
        <f t="shared" si="119"/>
        <v>10580</v>
      </c>
      <c r="B3326" s="2" t="str">
        <f>"12308"</f>
        <v>12308</v>
      </c>
      <c r="C3326" s="1">
        <v>1.6836711993874098E-2</v>
      </c>
      <c r="D3326" s="1">
        <v>9.2853038139309799E-3</v>
      </c>
      <c r="E3326" s="1">
        <v>2.411280599675E-2</v>
      </c>
      <c r="F3326" s="1">
        <v>1.6605347017736399E-2</v>
      </c>
    </row>
    <row r="3327" spans="1:6" x14ac:dyDescent="0.25">
      <c r="A3327" s="2" t="str">
        <f t="shared" si="119"/>
        <v>10580</v>
      </c>
      <c r="B3327" s="2" t="str">
        <f>"12187"</f>
        <v>12187</v>
      </c>
      <c r="C3327" s="1">
        <v>6.2288809323651198E-4</v>
      </c>
      <c r="D3327" s="1">
        <v>0</v>
      </c>
      <c r="E3327" s="1">
        <v>2.6209571735597801E-4</v>
      </c>
      <c r="F3327" s="1">
        <v>5.6554593965144799E-4</v>
      </c>
    </row>
    <row r="3328" spans="1:6" x14ac:dyDescent="0.25">
      <c r="A3328" s="2" t="str">
        <f t="shared" si="119"/>
        <v>10580</v>
      </c>
      <c r="B3328" s="2" t="str">
        <f>"12222"</f>
        <v>12222</v>
      </c>
      <c r="C3328" s="1">
        <v>0</v>
      </c>
      <c r="D3328" s="1">
        <v>6.0490578592384201E-5</v>
      </c>
      <c r="E3328" s="1">
        <v>3.1451486082717398E-4</v>
      </c>
      <c r="F3328" s="1">
        <v>1.6695083089341599E-5</v>
      </c>
    </row>
    <row r="3329" spans="1:6" x14ac:dyDescent="0.25">
      <c r="A3329" s="2" t="str">
        <f t="shared" si="119"/>
        <v>10580</v>
      </c>
      <c r="B3329" s="2" t="str">
        <f>"12047"</f>
        <v>12047</v>
      </c>
      <c r="C3329" s="1">
        <v>2.77630121556845E-2</v>
      </c>
      <c r="D3329" s="1">
        <v>1.75422677917914E-2</v>
      </c>
      <c r="E3329" s="1">
        <v>4.4975625098285801E-2</v>
      </c>
      <c r="F3329" s="1">
        <v>2.7743054323713399E-2</v>
      </c>
    </row>
    <row r="3330" spans="1:6" x14ac:dyDescent="0.25">
      <c r="A3330" s="2" t="str">
        <f t="shared" si="119"/>
        <v>10580</v>
      </c>
      <c r="B3330" s="2" t="str">
        <f>"12035"</f>
        <v>12035</v>
      </c>
      <c r="C3330" s="1">
        <v>7.6573085145992302E-4</v>
      </c>
      <c r="D3330" s="1">
        <v>1.8147173577715201E-4</v>
      </c>
      <c r="E3330" s="1">
        <v>8.3870629553913E-4</v>
      </c>
      <c r="F3330" s="1">
        <v>7.2832299977252898E-4</v>
      </c>
    </row>
    <row r="3331" spans="1:6" x14ac:dyDescent="0.25">
      <c r="A3331" s="2" t="str">
        <f t="shared" si="119"/>
        <v>10580</v>
      </c>
      <c r="B3331" s="2" t="str">
        <f>"12024"</f>
        <v>12024</v>
      </c>
      <c r="C3331" s="1">
        <v>1.4050107366237101E-5</v>
      </c>
      <c r="D3331" s="1">
        <v>0</v>
      </c>
      <c r="E3331" s="1">
        <v>5.2419143471195598E-5</v>
      </c>
      <c r="F3331" s="1">
        <v>1.46081977031739E-5</v>
      </c>
    </row>
    <row r="3332" spans="1:6" x14ac:dyDescent="0.25">
      <c r="A3332" s="2" t="str">
        <f t="shared" ref="A3332:A3363" si="120">"10580"</f>
        <v>10580</v>
      </c>
      <c r="B3332" s="2" t="str">
        <f>"12022"</f>
        <v>12022</v>
      </c>
      <c r="C3332" s="1">
        <v>5.5263755640532603E-4</v>
      </c>
      <c r="D3332" s="1">
        <v>9.0735867888576304E-5</v>
      </c>
      <c r="E3332" s="1">
        <v>3.1451486082717398E-4</v>
      </c>
      <c r="F3332" s="1">
        <v>5.1128691961108803E-4</v>
      </c>
    </row>
    <row r="3333" spans="1:6" x14ac:dyDescent="0.25">
      <c r="A3333" s="2" t="str">
        <f t="shared" si="120"/>
        <v>10580</v>
      </c>
      <c r="B3333" s="2" t="str">
        <f>"12170"</f>
        <v>12170</v>
      </c>
      <c r="C3333" s="1">
        <v>5.5053004030039101E-3</v>
      </c>
      <c r="D3333" s="1">
        <v>2.7220760366572901E-4</v>
      </c>
      <c r="E3333" s="1">
        <v>2.0967657388478202E-3</v>
      </c>
      <c r="F3333" s="1">
        <v>5.0085249268024901E-3</v>
      </c>
    </row>
    <row r="3334" spans="1:6" x14ac:dyDescent="0.25">
      <c r="A3334" s="2" t="str">
        <f t="shared" si="120"/>
        <v>10580</v>
      </c>
      <c r="B3334" s="2" t="str">
        <f>"12160"</f>
        <v>12160</v>
      </c>
      <c r="C3334" s="1">
        <v>8.7344834126774104E-4</v>
      </c>
      <c r="D3334" s="1">
        <v>2.11717025073344E-4</v>
      </c>
      <c r="E3334" s="1">
        <v>4.7177229124076102E-4</v>
      </c>
      <c r="F3334" s="1">
        <v>8.11798415219237E-4</v>
      </c>
    </row>
    <row r="3335" spans="1:6" x14ac:dyDescent="0.25">
      <c r="A3335" s="2" t="str">
        <f t="shared" si="120"/>
        <v>10580</v>
      </c>
      <c r="B3335" s="2" t="str">
        <f>"12159"</f>
        <v>12159</v>
      </c>
      <c r="C3335" s="1">
        <v>1.00083598138829E-2</v>
      </c>
      <c r="D3335" s="1">
        <v>8.7711338958957105E-3</v>
      </c>
      <c r="E3335" s="1">
        <v>6.3951355034858699E-3</v>
      </c>
      <c r="F3335" s="1">
        <v>9.7791449195818708E-3</v>
      </c>
    </row>
    <row r="3336" spans="1:6" x14ac:dyDescent="0.25">
      <c r="A3336" s="2" t="str">
        <f t="shared" si="120"/>
        <v>10580</v>
      </c>
      <c r="B3336" s="2" t="str">
        <f>"12156"</f>
        <v>12156</v>
      </c>
      <c r="C3336" s="1">
        <v>6.7674683814042099E-4</v>
      </c>
      <c r="D3336" s="1">
        <v>3.0245289296192102E-4</v>
      </c>
      <c r="E3336" s="1">
        <v>3.6693400429836897E-4</v>
      </c>
      <c r="F3336" s="1">
        <v>6.3858692816731798E-4</v>
      </c>
    </row>
    <row r="3337" spans="1:6" x14ac:dyDescent="0.25">
      <c r="A3337" s="2" t="str">
        <f t="shared" si="120"/>
        <v>10580</v>
      </c>
      <c r="B3337" s="2" t="str">
        <f>"12151"</f>
        <v>12151</v>
      </c>
      <c r="C3337" s="1">
        <v>1.15679217315352E-3</v>
      </c>
      <c r="D3337" s="1">
        <v>1.42152859692102E-3</v>
      </c>
      <c r="E3337" s="1">
        <v>4.19353147769565E-4</v>
      </c>
      <c r="F3337" s="1">
        <v>1.1457000770060701E-3</v>
      </c>
    </row>
    <row r="3338" spans="1:6" x14ac:dyDescent="0.25">
      <c r="A3338" s="2" t="str">
        <f t="shared" si="120"/>
        <v>10580</v>
      </c>
      <c r="B3338" s="2" t="str">
        <f>"12147"</f>
        <v>12147</v>
      </c>
      <c r="C3338" s="1">
        <v>5.7371271745468202E-4</v>
      </c>
      <c r="D3338" s="1">
        <v>1.5122644648096E-4</v>
      </c>
      <c r="E3338" s="1">
        <v>5.2419143471195598E-5</v>
      </c>
      <c r="F3338" s="1">
        <v>5.2380823192809398E-4</v>
      </c>
    </row>
    <row r="3339" spans="1:6" x14ac:dyDescent="0.25">
      <c r="A3339" s="2" t="str">
        <f t="shared" si="120"/>
        <v>10580</v>
      </c>
      <c r="B3339" s="2" t="str">
        <f>"12144"</f>
        <v>12144</v>
      </c>
      <c r="C3339" s="1">
        <v>2.4789072763164301E-2</v>
      </c>
      <c r="D3339" s="1">
        <v>2.1746363003962099E-2</v>
      </c>
      <c r="E3339" s="1">
        <v>3.2604707239083701E-2</v>
      </c>
      <c r="F3339" s="1">
        <v>2.48902820008222E-2</v>
      </c>
    </row>
    <row r="3340" spans="1:6" x14ac:dyDescent="0.25">
      <c r="A3340" s="2" t="str">
        <f t="shared" si="120"/>
        <v>10580</v>
      </c>
      <c r="B3340" s="2" t="str">
        <f>"12085"</f>
        <v>12085</v>
      </c>
      <c r="C3340" s="1">
        <v>4.0042805993775803E-4</v>
      </c>
      <c r="D3340" s="1">
        <v>2.7220760366572901E-4</v>
      </c>
      <c r="E3340" s="1">
        <v>2.0967657388478201E-4</v>
      </c>
      <c r="F3340" s="1">
        <v>3.83986911054857E-4</v>
      </c>
    </row>
    <row r="3341" spans="1:6" x14ac:dyDescent="0.25">
      <c r="A3341" s="2" t="str">
        <f t="shared" si="120"/>
        <v>10580</v>
      </c>
      <c r="B3341" s="2" t="str">
        <f>"12122"</f>
        <v>12122</v>
      </c>
      <c r="C3341" s="1">
        <v>4.4515423505361203E-3</v>
      </c>
      <c r="D3341" s="1">
        <v>1.08883041466291E-3</v>
      </c>
      <c r="E3341" s="1">
        <v>1.88708916496304E-3</v>
      </c>
      <c r="F3341" s="1">
        <v>4.1174248669088804E-3</v>
      </c>
    </row>
    <row r="3342" spans="1:6" x14ac:dyDescent="0.25">
      <c r="A3342" s="2" t="str">
        <f t="shared" si="120"/>
        <v>10580</v>
      </c>
      <c r="B3342" s="2" t="str">
        <f>"12110"</f>
        <v>12110</v>
      </c>
      <c r="C3342" s="1">
        <v>2.1957976128867501E-2</v>
      </c>
      <c r="D3342" s="1">
        <v>5.6588936273175398E-2</v>
      </c>
      <c r="E3342" s="1">
        <v>2.2540231692614099E-2</v>
      </c>
      <c r="F3342" s="1">
        <v>2.4370647539666401E-2</v>
      </c>
    </row>
    <row r="3343" spans="1:6" x14ac:dyDescent="0.25">
      <c r="A3343" s="2" t="str">
        <f t="shared" si="120"/>
        <v>10580</v>
      </c>
      <c r="B3343" s="2" t="str">
        <f>"12090"</f>
        <v>12090</v>
      </c>
      <c r="C3343" s="1">
        <v>6.3553318986612501E-3</v>
      </c>
      <c r="D3343" s="1">
        <v>5.0207180231678899E-3</v>
      </c>
      <c r="E3343" s="1">
        <v>9.3306075378728308E-3</v>
      </c>
      <c r="F3343" s="1">
        <v>6.3816955109008396E-3</v>
      </c>
    </row>
    <row r="3344" spans="1:6" x14ac:dyDescent="0.25">
      <c r="A3344" s="2" t="str">
        <f t="shared" si="120"/>
        <v>10580</v>
      </c>
      <c r="B3344" s="2" t="str">
        <f>"12073"</f>
        <v>12073</v>
      </c>
      <c r="C3344" s="1">
        <v>0</v>
      </c>
      <c r="D3344" s="1">
        <v>0</v>
      </c>
      <c r="E3344" s="1">
        <v>5.2419143471195598E-5</v>
      </c>
      <c r="F3344" s="1">
        <v>2.0868853861676998E-6</v>
      </c>
    </row>
    <row r="3345" spans="1:6" x14ac:dyDescent="0.25">
      <c r="A3345" s="2" t="str">
        <f t="shared" si="120"/>
        <v>10580</v>
      </c>
      <c r="B3345" s="2" t="str">
        <f>"12057"</f>
        <v>12057</v>
      </c>
      <c r="C3345" s="1">
        <v>4.0979479818191602E-4</v>
      </c>
      <c r="D3345" s="1">
        <v>9.0735867888576304E-5</v>
      </c>
      <c r="E3345" s="1">
        <v>1.5725743041358699E-4</v>
      </c>
      <c r="F3345" s="1">
        <v>3.7772625489635402E-4</v>
      </c>
    </row>
    <row r="3346" spans="1:6" x14ac:dyDescent="0.25">
      <c r="A3346" s="2" t="str">
        <f t="shared" si="120"/>
        <v>10580</v>
      </c>
      <c r="B3346" s="2" t="str">
        <f>"12071"</f>
        <v>12071</v>
      </c>
      <c r="C3346" s="1">
        <v>2.20118348737714E-4</v>
      </c>
      <c r="D3346" s="1">
        <v>3.02452892961921E-5</v>
      </c>
      <c r="E3346" s="1">
        <v>5.2419143471195598E-5</v>
      </c>
      <c r="F3346" s="1">
        <v>2.0034099707209901E-4</v>
      </c>
    </row>
    <row r="3347" spans="1:6" x14ac:dyDescent="0.25">
      <c r="A3347" s="2" t="str">
        <f t="shared" si="120"/>
        <v>10580</v>
      </c>
      <c r="B3347" s="2" t="str">
        <f>"12074"</f>
        <v>12074</v>
      </c>
      <c r="C3347" s="1">
        <v>2.8240715806136601E-3</v>
      </c>
      <c r="D3347" s="1">
        <v>6.9564165381241804E-4</v>
      </c>
      <c r="E3347" s="1">
        <v>5.2419143471195602E-4</v>
      </c>
      <c r="F3347" s="1">
        <v>2.58565099346178E-3</v>
      </c>
    </row>
    <row r="3348" spans="1:6" x14ac:dyDescent="0.25">
      <c r="A3348" s="2" t="str">
        <f t="shared" si="120"/>
        <v>10580</v>
      </c>
      <c r="B3348" s="2" t="str">
        <f>"12067"</f>
        <v>12067</v>
      </c>
      <c r="C3348" s="1">
        <v>1.40266905206267E-3</v>
      </c>
      <c r="D3348" s="1">
        <v>4.2343405014668898E-4</v>
      </c>
      <c r="E3348" s="1">
        <v>5.7661057818315204E-4</v>
      </c>
      <c r="F3348" s="1">
        <v>1.3022164809686401E-3</v>
      </c>
    </row>
    <row r="3349" spans="1:6" x14ac:dyDescent="0.25">
      <c r="A3349" s="2" t="str">
        <f t="shared" si="120"/>
        <v>10580</v>
      </c>
      <c r="B3349" s="2" t="str">
        <f>"12062"</f>
        <v>12062</v>
      </c>
      <c r="C3349" s="1">
        <v>1.61576234711726E-3</v>
      </c>
      <c r="D3349" s="1">
        <v>1.5122644648096E-4</v>
      </c>
      <c r="E3349" s="1">
        <v>4.19353147769565E-4</v>
      </c>
      <c r="F3349" s="1">
        <v>1.4670804264758899E-3</v>
      </c>
    </row>
    <row r="3350" spans="1:6" x14ac:dyDescent="0.25">
      <c r="A3350" s="2" t="str">
        <f t="shared" si="120"/>
        <v>10580</v>
      </c>
      <c r="B3350" s="2" t="str">
        <f>"12061"</f>
        <v>12061</v>
      </c>
      <c r="C3350" s="1">
        <v>1.0729598658683E-2</v>
      </c>
      <c r="D3350" s="1">
        <v>1.14024740646644E-2</v>
      </c>
      <c r="E3350" s="1">
        <v>6.4999737904282602E-3</v>
      </c>
      <c r="F3350" s="1">
        <v>1.06076384178904E-2</v>
      </c>
    </row>
    <row r="3351" spans="1:6" x14ac:dyDescent="0.25">
      <c r="A3351" s="2" t="str">
        <f t="shared" si="120"/>
        <v>10580</v>
      </c>
      <c r="B3351" s="2" t="str">
        <f>"12059"</f>
        <v>12059</v>
      </c>
      <c r="C3351" s="1">
        <v>1.76563015902379E-3</v>
      </c>
      <c r="D3351" s="1">
        <v>4.2343405014668898E-4</v>
      </c>
      <c r="E3351" s="1">
        <v>5.7661057818315204E-4</v>
      </c>
      <c r="F3351" s="1">
        <v>1.62568371582464E-3</v>
      </c>
    </row>
    <row r="3352" spans="1:6" x14ac:dyDescent="0.25">
      <c r="A3352" s="2" t="str">
        <f t="shared" si="120"/>
        <v>10580</v>
      </c>
      <c r="B3352" s="2" t="str">
        <f>"12345"</f>
        <v>12345</v>
      </c>
      <c r="C3352" s="1">
        <v>0</v>
      </c>
      <c r="D3352" s="1">
        <v>0</v>
      </c>
      <c r="E3352" s="1">
        <v>5.2419143471195598E-5</v>
      </c>
      <c r="F3352" s="1">
        <v>2.0868853861676998E-6</v>
      </c>
    </row>
    <row r="3353" spans="1:6" x14ac:dyDescent="0.25">
      <c r="A3353" s="2" t="str">
        <f t="shared" si="120"/>
        <v>10580</v>
      </c>
      <c r="B3353" s="2" t="str">
        <f>"12203"</f>
        <v>12203</v>
      </c>
      <c r="C3353" s="1">
        <v>3.3771774739311901E-2</v>
      </c>
      <c r="D3353" s="1">
        <v>4.3583461875812801E-2</v>
      </c>
      <c r="E3353" s="1">
        <v>5.5354615505582599E-2</v>
      </c>
      <c r="F3353" s="1">
        <v>3.53080138485714E-2</v>
      </c>
    </row>
    <row r="3354" spans="1:6" x14ac:dyDescent="0.25">
      <c r="A3354" s="2" t="str">
        <f t="shared" si="120"/>
        <v>10580</v>
      </c>
      <c r="B3354" s="2" t="str">
        <f>"12260"</f>
        <v>12260</v>
      </c>
      <c r="C3354" s="1">
        <v>0</v>
      </c>
      <c r="D3354" s="1">
        <v>3.02452892961921E-5</v>
      </c>
      <c r="E3354" s="1">
        <v>5.2419143471195598E-5</v>
      </c>
      <c r="F3354" s="1">
        <v>4.1737707723354098E-6</v>
      </c>
    </row>
    <row r="3355" spans="1:6" x14ac:dyDescent="0.25">
      <c r="A3355" s="2" t="str">
        <f t="shared" si="120"/>
        <v>10580</v>
      </c>
      <c r="B3355" s="2" t="str">
        <f>"12249"</f>
        <v>12249</v>
      </c>
      <c r="C3355" s="1">
        <v>0</v>
      </c>
      <c r="D3355" s="1">
        <v>3.02452892961921E-5</v>
      </c>
      <c r="E3355" s="1">
        <v>0</v>
      </c>
      <c r="F3355" s="1">
        <v>2.0868853861676998E-6</v>
      </c>
    </row>
    <row r="3356" spans="1:6" x14ac:dyDescent="0.25">
      <c r="A3356" s="2" t="str">
        <f t="shared" si="120"/>
        <v>10580</v>
      </c>
      <c r="B3356" s="2" t="str">
        <f>"12248"</f>
        <v>12248</v>
      </c>
      <c r="C3356" s="1">
        <v>0</v>
      </c>
      <c r="D3356" s="1">
        <v>3.02452892961921E-5</v>
      </c>
      <c r="E3356" s="1">
        <v>0</v>
      </c>
      <c r="F3356" s="1">
        <v>2.0868853861676998E-6</v>
      </c>
    </row>
    <row r="3357" spans="1:6" x14ac:dyDescent="0.25">
      <c r="A3357" s="2" t="str">
        <f t="shared" si="120"/>
        <v>10580</v>
      </c>
      <c r="B3357" s="2" t="str">
        <f>"12237"</f>
        <v>12237</v>
      </c>
      <c r="C3357" s="1">
        <v>0</v>
      </c>
      <c r="D3357" s="1">
        <v>3.02452892961921E-5</v>
      </c>
      <c r="E3357" s="1">
        <v>5.2419143471195598E-5</v>
      </c>
      <c r="F3357" s="1">
        <v>4.1737707723354098E-6</v>
      </c>
    </row>
    <row r="3358" spans="1:6" x14ac:dyDescent="0.25">
      <c r="A3358" s="2" t="str">
        <f t="shared" si="120"/>
        <v>10580</v>
      </c>
      <c r="B3358" s="2" t="str">
        <f>"12224"</f>
        <v>12224</v>
      </c>
      <c r="C3358" s="1">
        <v>0</v>
      </c>
      <c r="D3358" s="1">
        <v>3.02452892961921E-5</v>
      </c>
      <c r="E3358" s="1">
        <v>0</v>
      </c>
      <c r="F3358" s="1">
        <v>2.0868853861676998E-6</v>
      </c>
    </row>
    <row r="3359" spans="1:6" x14ac:dyDescent="0.25">
      <c r="A3359" s="2" t="str">
        <f t="shared" si="120"/>
        <v>10580</v>
      </c>
      <c r="B3359" s="2" t="str">
        <f>"12223"</f>
        <v>12223</v>
      </c>
      <c r="C3359" s="1">
        <v>0</v>
      </c>
      <c r="D3359" s="1">
        <v>8.4686810029337904E-4</v>
      </c>
      <c r="E3359" s="1">
        <v>6.2902972165434796E-4</v>
      </c>
      <c r="F3359" s="1">
        <v>8.34754154467082E-5</v>
      </c>
    </row>
    <row r="3360" spans="1:6" x14ac:dyDescent="0.25">
      <c r="A3360" s="2" t="str">
        <f t="shared" si="120"/>
        <v>10580</v>
      </c>
      <c r="B3360" s="2" t="str">
        <f>"12211"</f>
        <v>12211</v>
      </c>
      <c r="C3360" s="1">
        <v>1.16826642750261E-2</v>
      </c>
      <c r="D3360" s="1">
        <v>1.4971418201614999E-2</v>
      </c>
      <c r="E3360" s="1">
        <v>2.5161188866173901E-3</v>
      </c>
      <c r="F3360" s="1">
        <v>1.15446499562797E-2</v>
      </c>
    </row>
    <row r="3361" spans="1:6" x14ac:dyDescent="0.25">
      <c r="A3361" s="2" t="str">
        <f t="shared" si="120"/>
        <v>10580</v>
      </c>
      <c r="B3361" s="2" t="str">
        <f>"12036"</f>
        <v>12036</v>
      </c>
      <c r="C3361" s="1">
        <v>2.0138487224939799E-4</v>
      </c>
      <c r="D3361" s="1">
        <v>6.0490578592384201E-5</v>
      </c>
      <c r="E3361" s="1">
        <v>5.2419143471195598E-5</v>
      </c>
      <c r="F3361" s="1">
        <v>1.8573279936892501E-4</v>
      </c>
    </row>
    <row r="3362" spans="1:6" x14ac:dyDescent="0.25">
      <c r="A3362" s="2" t="str">
        <f t="shared" si="120"/>
        <v>10580</v>
      </c>
      <c r="B3362" s="2" t="str">
        <f>"12025"</f>
        <v>12025</v>
      </c>
      <c r="C3362" s="1">
        <v>6.5098830796898595E-4</v>
      </c>
      <c r="D3362" s="1">
        <v>6.0490578592384201E-5</v>
      </c>
      <c r="E3362" s="1">
        <v>1.0483828694239101E-4</v>
      </c>
      <c r="F3362" s="1">
        <v>5.8850167889929297E-4</v>
      </c>
    </row>
    <row r="3363" spans="1:6" x14ac:dyDescent="0.25">
      <c r="A3363" s="2" t="str">
        <f t="shared" si="120"/>
        <v>10580</v>
      </c>
      <c r="B3363" s="2" t="str">
        <f>"12181"</f>
        <v>12181</v>
      </c>
      <c r="C3363" s="1">
        <v>2.29016750069665E-3</v>
      </c>
      <c r="D3363" s="1">
        <v>7.1378882739013298E-3</v>
      </c>
      <c r="E3363" s="1">
        <v>1.0483828694239101E-4</v>
      </c>
      <c r="F3363" s="1">
        <v>2.5376526295799299E-3</v>
      </c>
    </row>
    <row r="3364" spans="1:6" x14ac:dyDescent="0.25">
      <c r="A3364" s="2" t="str">
        <f t="shared" ref="A3364:A3395" si="121">"10580"</f>
        <v>10580</v>
      </c>
      <c r="B3364" s="2" t="str">
        <f>"12168"</f>
        <v>12168</v>
      </c>
      <c r="C3364" s="1">
        <v>1.8967644944420099E-3</v>
      </c>
      <c r="D3364" s="1">
        <v>7.2588694310861E-4</v>
      </c>
      <c r="E3364" s="1">
        <v>8.3870629553913E-4</v>
      </c>
      <c r="F3364" s="1">
        <v>1.77385257824255E-3</v>
      </c>
    </row>
    <row r="3365" spans="1:6" x14ac:dyDescent="0.25">
      <c r="A3365" s="2" t="str">
        <f t="shared" si="121"/>
        <v>10580</v>
      </c>
      <c r="B3365" s="2" t="str">
        <f>"12154"</f>
        <v>12154</v>
      </c>
      <c r="C3365" s="1">
        <v>2.0138487224939799E-3</v>
      </c>
      <c r="D3365" s="1">
        <v>1.17956628255149E-3</v>
      </c>
      <c r="E3365" s="1">
        <v>2.6209571735597801E-4</v>
      </c>
      <c r="F3365" s="1">
        <v>1.8865443890955999E-3</v>
      </c>
    </row>
    <row r="3366" spans="1:6" x14ac:dyDescent="0.25">
      <c r="A3366" s="2" t="str">
        <f t="shared" si="121"/>
        <v>10580</v>
      </c>
      <c r="B3366" s="2" t="str">
        <f>"12010"</f>
        <v>12010</v>
      </c>
      <c r="C3366" s="1">
        <v>1.2223593408626199E-3</v>
      </c>
      <c r="D3366" s="1">
        <v>1.8147173577715201E-4</v>
      </c>
      <c r="E3366" s="1">
        <v>0</v>
      </c>
      <c r="F3366" s="1">
        <v>1.10187548389654E-3</v>
      </c>
    </row>
    <row r="3367" spans="1:6" x14ac:dyDescent="0.25">
      <c r="A3367" s="2" t="str">
        <f t="shared" si="121"/>
        <v>10580</v>
      </c>
      <c r="B3367" s="2" t="str">
        <f>"12007"</f>
        <v>12007</v>
      </c>
      <c r="C3367" s="1">
        <v>2.0138487224939799E-4</v>
      </c>
      <c r="D3367" s="1">
        <v>0</v>
      </c>
      <c r="E3367" s="1">
        <v>5.2419143471195598E-5</v>
      </c>
      <c r="F3367" s="1">
        <v>1.8155902859658999E-4</v>
      </c>
    </row>
    <row r="3368" spans="1:6" x14ac:dyDescent="0.25">
      <c r="A3368" s="2" t="str">
        <f t="shared" si="121"/>
        <v>10580</v>
      </c>
      <c r="B3368" s="2" t="str">
        <f>"12018"</f>
        <v>12018</v>
      </c>
      <c r="C3368" s="1">
        <v>7.5472493402303697E-3</v>
      </c>
      <c r="D3368" s="1">
        <v>1.33079272903245E-3</v>
      </c>
      <c r="E3368" s="1">
        <v>3.0403103213293399E-3</v>
      </c>
      <c r="F3368" s="1">
        <v>6.9388939090076198E-3</v>
      </c>
    </row>
    <row r="3369" spans="1:6" x14ac:dyDescent="0.25">
      <c r="A3369" s="2" t="str">
        <f t="shared" si="121"/>
        <v>10580</v>
      </c>
      <c r="B3369" s="2" t="str">
        <f>"12866"</f>
        <v>12866</v>
      </c>
      <c r="C3369" s="1">
        <v>5.0641270317040597E-2</v>
      </c>
      <c r="D3369" s="1">
        <v>7.7700148201917493E-2</v>
      </c>
      <c r="E3369" s="1">
        <v>6.3584421030560306E-2</v>
      </c>
      <c r="F3369" s="1">
        <v>5.3023583891749E-2</v>
      </c>
    </row>
    <row r="3370" spans="1:6" x14ac:dyDescent="0.25">
      <c r="A3370" s="2" t="str">
        <f t="shared" si="121"/>
        <v>10580</v>
      </c>
      <c r="B3370" s="2" t="str">
        <f>"12828"</f>
        <v>12828</v>
      </c>
      <c r="C3370" s="1">
        <v>4.3250913842399902E-3</v>
      </c>
      <c r="D3370" s="1">
        <v>1.72398148988295E-3</v>
      </c>
      <c r="E3370" s="1">
        <v>7.3386800859673903E-4</v>
      </c>
      <c r="F3370" s="1">
        <v>4.0026461706696602E-3</v>
      </c>
    </row>
    <row r="3371" spans="1:6" x14ac:dyDescent="0.25">
      <c r="A3371" s="2" t="str">
        <f t="shared" si="121"/>
        <v>10580</v>
      </c>
      <c r="B3371" s="2" t="str">
        <f>"12131"</f>
        <v>12131</v>
      </c>
      <c r="C3371" s="1">
        <v>2.4353519434811E-4</v>
      </c>
      <c r="D3371" s="1">
        <v>1.2098115718476799E-4</v>
      </c>
      <c r="E3371" s="1">
        <v>5.2419143471195598E-5</v>
      </c>
      <c r="F3371" s="1">
        <v>2.2747050709227899E-4</v>
      </c>
    </row>
    <row r="3372" spans="1:6" x14ac:dyDescent="0.25">
      <c r="A3372" s="2" t="str">
        <f t="shared" si="121"/>
        <v>10580</v>
      </c>
      <c r="B3372" s="2" t="str">
        <f>"12107"</f>
        <v>12107</v>
      </c>
      <c r="C3372" s="1">
        <v>0</v>
      </c>
      <c r="D3372" s="1">
        <v>0</v>
      </c>
      <c r="E3372" s="1">
        <v>5.2419143471195598E-5</v>
      </c>
      <c r="F3372" s="1">
        <v>2.0868853861676998E-6</v>
      </c>
    </row>
    <row r="3373" spans="1:6" x14ac:dyDescent="0.25">
      <c r="A3373" s="2" t="str">
        <f t="shared" si="121"/>
        <v>10580</v>
      </c>
      <c r="B3373" s="2" t="str">
        <f>"12140"</f>
        <v>12140</v>
      </c>
      <c r="C3373" s="1">
        <v>1.4799446425769699E-3</v>
      </c>
      <c r="D3373" s="1">
        <v>1.5122644648096E-4</v>
      </c>
      <c r="E3373" s="1">
        <v>9.9596372595271709E-4</v>
      </c>
      <c r="F3373" s="1">
        <v>1.36899681332601E-3</v>
      </c>
    </row>
    <row r="3374" spans="1:6" x14ac:dyDescent="0.25">
      <c r="A3374" s="2" t="str">
        <f t="shared" si="121"/>
        <v>10580</v>
      </c>
      <c r="B3374" s="2" t="str">
        <f>"12137"</f>
        <v>12137</v>
      </c>
      <c r="C3374" s="1">
        <v>1.4003273675016301E-3</v>
      </c>
      <c r="D3374" s="1">
        <v>1.8147173577715201E-4</v>
      </c>
      <c r="E3374" s="1">
        <v>4.7177229124076102E-4</v>
      </c>
      <c r="F3374" s="1">
        <v>1.2792607417208E-3</v>
      </c>
    </row>
    <row r="3375" spans="1:6" x14ac:dyDescent="0.25">
      <c r="A3375" s="2" t="str">
        <f t="shared" si="121"/>
        <v>10580</v>
      </c>
      <c r="B3375" s="2" t="str">
        <f>"12094"</f>
        <v>12094</v>
      </c>
      <c r="C3375" s="1">
        <v>2.0419489372264601E-3</v>
      </c>
      <c r="D3375" s="1">
        <v>3.9318876085049702E-4</v>
      </c>
      <c r="E3375" s="1">
        <v>6.8144886512554301E-4</v>
      </c>
      <c r="F3375" s="1">
        <v>1.8740230767786E-3</v>
      </c>
    </row>
    <row r="3376" spans="1:6" x14ac:dyDescent="0.25">
      <c r="A3376" s="2" t="str">
        <f t="shared" si="121"/>
        <v>10580</v>
      </c>
      <c r="B3376" s="2" t="str">
        <f>"12055"</f>
        <v>12055</v>
      </c>
      <c r="C3376" s="1">
        <v>0</v>
      </c>
      <c r="D3376" s="1">
        <v>0</v>
      </c>
      <c r="E3376" s="1">
        <v>5.2419143471195598E-5</v>
      </c>
      <c r="F3376" s="1">
        <v>2.0868853861676998E-6</v>
      </c>
    </row>
    <row r="3377" spans="1:6" x14ac:dyDescent="0.25">
      <c r="A3377" s="2" t="str">
        <f t="shared" si="121"/>
        <v>10580</v>
      </c>
      <c r="B3377" s="2" t="str">
        <f>"12077"</f>
        <v>12077</v>
      </c>
      <c r="C3377" s="1">
        <v>7.8797685478979793E-3</v>
      </c>
      <c r="D3377" s="1">
        <v>8.1359828206756697E-3</v>
      </c>
      <c r="E3377" s="1">
        <v>5.3991717775331502E-3</v>
      </c>
      <c r="F3377" s="1">
        <v>7.7986906881087103E-3</v>
      </c>
    </row>
    <row r="3378" spans="1:6" x14ac:dyDescent="0.25">
      <c r="A3378" s="2" t="str">
        <f t="shared" si="121"/>
        <v>10580</v>
      </c>
      <c r="B3378" s="2" t="str">
        <f>"12066"</f>
        <v>12066</v>
      </c>
      <c r="C3378" s="1">
        <v>1.4003273675016301E-3</v>
      </c>
      <c r="D3378" s="1">
        <v>4.5367933944288099E-4</v>
      </c>
      <c r="E3378" s="1">
        <v>1.5725743041358699E-4</v>
      </c>
      <c r="F3378" s="1">
        <v>1.2855213978793E-3</v>
      </c>
    </row>
    <row r="3379" spans="1:6" x14ac:dyDescent="0.25">
      <c r="A3379" s="2" t="str">
        <f t="shared" si="121"/>
        <v>10580</v>
      </c>
      <c r="B3379" s="2" t="str">
        <f>"12201"</f>
        <v>12201</v>
      </c>
      <c r="C3379" s="1">
        <v>3.1682992110864702E-3</v>
      </c>
      <c r="D3379" s="1">
        <v>1.28542479508816E-2</v>
      </c>
      <c r="E3379" s="1">
        <v>1.0483828694239101E-4</v>
      </c>
      <c r="F3379" s="1">
        <v>3.71465598737851E-3</v>
      </c>
    </row>
    <row r="3380" spans="1:6" x14ac:dyDescent="0.25">
      <c r="A3380" s="2" t="str">
        <f t="shared" si="121"/>
        <v>10580</v>
      </c>
      <c r="B3380" s="2" t="str">
        <f>"12236"</f>
        <v>12236</v>
      </c>
      <c r="C3380" s="1">
        <v>0</v>
      </c>
      <c r="D3380" s="1">
        <v>3.02452892961921E-5</v>
      </c>
      <c r="E3380" s="1">
        <v>5.2419143471195598E-5</v>
      </c>
      <c r="F3380" s="1">
        <v>4.1737707723354098E-6</v>
      </c>
    </row>
    <row r="3381" spans="1:6" x14ac:dyDescent="0.25">
      <c r="A3381" s="2" t="str">
        <f t="shared" si="121"/>
        <v>10580</v>
      </c>
      <c r="B3381" s="2" t="str">
        <f>"12210"</f>
        <v>12210</v>
      </c>
      <c r="C3381" s="1">
        <v>1.42351004465592E-2</v>
      </c>
      <c r="D3381" s="1">
        <v>2.08692496143725E-2</v>
      </c>
      <c r="E3381" s="1">
        <v>3.9786129894637499E-2</v>
      </c>
      <c r="F3381" s="1">
        <v>1.5710073187070399E-2</v>
      </c>
    </row>
    <row r="3382" spans="1:6" x14ac:dyDescent="0.25">
      <c r="A3382" s="2" t="str">
        <f t="shared" si="121"/>
        <v>10580</v>
      </c>
      <c r="B3382" s="2" t="str">
        <f>"12206"</f>
        <v>12206</v>
      </c>
      <c r="C3382" s="1">
        <v>2.0707516573272401E-2</v>
      </c>
      <c r="D3382" s="1">
        <v>3.3058101200737898E-2</v>
      </c>
      <c r="E3382" s="1">
        <v>2.8096660900560799E-2</v>
      </c>
      <c r="F3382" s="1">
        <v>2.1853863763948201E-2</v>
      </c>
    </row>
    <row r="3383" spans="1:6" x14ac:dyDescent="0.25">
      <c r="A3383" s="2" t="str">
        <f t="shared" si="121"/>
        <v>10580</v>
      </c>
      <c r="B3383" s="2" t="str">
        <f>"12040"</f>
        <v>12040</v>
      </c>
      <c r="C3383" s="1">
        <v>2.3416845610395202E-6</v>
      </c>
      <c r="D3383" s="1">
        <v>0</v>
      </c>
      <c r="E3383" s="1">
        <v>5.2419143471195598E-5</v>
      </c>
      <c r="F3383" s="1">
        <v>4.1737707723354098E-6</v>
      </c>
    </row>
    <row r="3384" spans="1:6" x14ac:dyDescent="0.25">
      <c r="A3384" s="2" t="str">
        <f t="shared" si="121"/>
        <v>10580</v>
      </c>
      <c r="B3384" s="2" t="str">
        <f>"12033"</f>
        <v>12033</v>
      </c>
      <c r="C3384" s="1">
        <v>8.46050631903578E-3</v>
      </c>
      <c r="D3384" s="1">
        <v>8.4384357136375997E-3</v>
      </c>
      <c r="E3384" s="1">
        <v>1.0326571263825499E-2</v>
      </c>
      <c r="F3384" s="1">
        <v>8.5332743440397502E-3</v>
      </c>
    </row>
    <row r="3385" spans="1:6" x14ac:dyDescent="0.25">
      <c r="A3385" s="2" t="str">
        <f t="shared" si="121"/>
        <v>10580</v>
      </c>
      <c r="B3385" s="2" t="str">
        <f>"12161"</f>
        <v>12161</v>
      </c>
      <c r="C3385" s="1">
        <v>1.28792650857173E-4</v>
      </c>
      <c r="D3385" s="1">
        <v>0</v>
      </c>
      <c r="E3385" s="1">
        <v>5.2419143471195598E-5</v>
      </c>
      <c r="F3385" s="1">
        <v>1.16865581625391E-4</v>
      </c>
    </row>
    <row r="3386" spans="1:6" x14ac:dyDescent="0.25">
      <c r="A3386" s="2" t="str">
        <f t="shared" si="121"/>
        <v>10580</v>
      </c>
      <c r="B3386" s="2" t="str">
        <f>"12153"</f>
        <v>12153</v>
      </c>
      <c r="C3386" s="1">
        <v>7.6807253602096195E-4</v>
      </c>
      <c r="D3386" s="1">
        <v>0</v>
      </c>
      <c r="E3386" s="1">
        <v>5.2419143471195598E-5</v>
      </c>
      <c r="F3386" s="1">
        <v>6.8658529204917496E-4</v>
      </c>
    </row>
    <row r="3387" spans="1:6" x14ac:dyDescent="0.25">
      <c r="A3387" s="2" t="str">
        <f t="shared" si="121"/>
        <v>10580</v>
      </c>
      <c r="B3387" s="2" t="str">
        <f>"12180"</f>
        <v>12180</v>
      </c>
      <c r="C3387" s="1">
        <v>5.9518596487941403E-2</v>
      </c>
      <c r="D3387" s="1">
        <v>5.9038804706167E-2</v>
      </c>
      <c r="E3387" s="1">
        <v>8.5967395292760901E-2</v>
      </c>
      <c r="F3387" s="1">
        <v>6.0538458167338903E-2</v>
      </c>
    </row>
    <row r="3388" spans="1:6" x14ac:dyDescent="0.25">
      <c r="A3388" s="2" t="str">
        <f t="shared" si="121"/>
        <v>10580</v>
      </c>
      <c r="B3388" s="2" t="str">
        <f>"12871"</f>
        <v>12871</v>
      </c>
      <c r="C3388" s="1">
        <v>4.22205726355425E-3</v>
      </c>
      <c r="D3388" s="1">
        <v>2.8128119045458598E-3</v>
      </c>
      <c r="E3388" s="1">
        <v>4.7177229124076101E-3</v>
      </c>
      <c r="F3388" s="1">
        <v>4.14455437692906E-3</v>
      </c>
    </row>
    <row r="3389" spans="1:6" x14ac:dyDescent="0.25">
      <c r="A3389" s="2" t="str">
        <f t="shared" si="121"/>
        <v>10580</v>
      </c>
      <c r="B3389" s="2" t="str">
        <f>"12089"</f>
        <v>12089</v>
      </c>
      <c r="C3389" s="1">
        <v>0</v>
      </c>
      <c r="D3389" s="1">
        <v>0</v>
      </c>
      <c r="E3389" s="1">
        <v>5.2419143471195598E-5</v>
      </c>
      <c r="F3389" s="1">
        <v>2.0868853861676998E-6</v>
      </c>
    </row>
    <row r="3390" spans="1:6" x14ac:dyDescent="0.25">
      <c r="A3390" s="2" t="str">
        <f t="shared" si="121"/>
        <v>10580</v>
      </c>
      <c r="B3390" s="2" t="str">
        <f>"12134"</f>
        <v>12134</v>
      </c>
      <c r="C3390" s="1">
        <v>1.6555709846549399E-3</v>
      </c>
      <c r="D3390" s="1">
        <v>6.0490578592384205E-4</v>
      </c>
      <c r="E3390" s="1">
        <v>1.0483828694239101E-4</v>
      </c>
      <c r="F3390" s="1">
        <v>1.52133944651625E-3</v>
      </c>
    </row>
    <row r="3391" spans="1:6" x14ac:dyDescent="0.25">
      <c r="A3391" s="2" t="str">
        <f t="shared" si="121"/>
        <v>10580</v>
      </c>
      <c r="B3391" s="2" t="str">
        <f>"12065"</f>
        <v>12065</v>
      </c>
      <c r="C3391" s="1">
        <v>5.0592094941258797E-2</v>
      </c>
      <c r="D3391" s="1">
        <v>7.1681335631975304E-2</v>
      </c>
      <c r="E3391" s="1">
        <v>2.5632961157414601E-2</v>
      </c>
      <c r="F3391" s="1">
        <v>5.1053564087206703E-2</v>
      </c>
    </row>
    <row r="3392" spans="1:6" x14ac:dyDescent="0.25">
      <c r="A3392" s="2" t="str">
        <f t="shared" si="121"/>
        <v>10580</v>
      </c>
      <c r="B3392" s="2" t="str">
        <f>"12205"</f>
        <v>12205</v>
      </c>
      <c r="C3392" s="1">
        <v>3.0186655676360401E-2</v>
      </c>
      <c r="D3392" s="1">
        <v>8.0996884735202404E-2</v>
      </c>
      <c r="E3392" s="1">
        <v>3.7007915290664099E-2</v>
      </c>
      <c r="F3392" s="1">
        <v>3.3964059659879399E-2</v>
      </c>
    </row>
    <row r="3393" spans="1:6" x14ac:dyDescent="0.25">
      <c r="A3393" s="2" t="str">
        <f t="shared" si="121"/>
        <v>10580</v>
      </c>
      <c r="B3393" s="2" t="str">
        <f>"12198"</f>
        <v>12198</v>
      </c>
      <c r="C3393" s="1">
        <v>8.7532168891657196E-3</v>
      </c>
      <c r="D3393" s="1">
        <v>6.1700390164231896E-3</v>
      </c>
      <c r="E3393" s="1">
        <v>4.5604654819940199E-3</v>
      </c>
      <c r="F3393" s="1">
        <v>8.4080612208696798E-3</v>
      </c>
    </row>
    <row r="3394" spans="1:6" x14ac:dyDescent="0.25">
      <c r="A3394" s="2" t="str">
        <f t="shared" si="121"/>
        <v>10580</v>
      </c>
      <c r="B3394" s="2" t="str">
        <f>"12185"</f>
        <v>12185</v>
      </c>
      <c r="C3394" s="1">
        <v>1.6251290853614201E-3</v>
      </c>
      <c r="D3394" s="1">
        <v>4.5367933944288099E-4</v>
      </c>
      <c r="E3394" s="1">
        <v>5.7661057818315204E-4</v>
      </c>
      <c r="F3394" s="1">
        <v>1.5025574780407401E-3</v>
      </c>
    </row>
    <row r="3395" spans="1:6" x14ac:dyDescent="0.25">
      <c r="A3395" s="2" t="str">
        <f t="shared" si="121"/>
        <v>10580</v>
      </c>
      <c r="B3395" s="2" t="str">
        <f>"12212"</f>
        <v>12212</v>
      </c>
      <c r="C3395" s="1">
        <v>2.5922448090707402E-3</v>
      </c>
      <c r="D3395" s="1">
        <v>1.4245531258506401E-2</v>
      </c>
      <c r="E3395" s="1">
        <v>1.0483828694239101E-4</v>
      </c>
      <c r="F3395" s="1">
        <v>3.2972789101449701E-3</v>
      </c>
    </row>
    <row r="3396" spans="1:6" x14ac:dyDescent="0.25">
      <c r="A3396" s="2" t="str">
        <f t="shared" ref="A3396:A3427" si="122">"10580"</f>
        <v>10580</v>
      </c>
      <c r="B3396" s="2" t="str">
        <f>"12207"</f>
        <v>12207</v>
      </c>
      <c r="C3396" s="1">
        <v>3.8239708881775301E-3</v>
      </c>
      <c r="D3396" s="1">
        <v>3.3421044672292198E-2</v>
      </c>
      <c r="E3396" s="1">
        <v>1.2266079572259701E-2</v>
      </c>
      <c r="F3396" s="1">
        <v>6.2022233676904204E-3</v>
      </c>
    </row>
    <row r="3397" spans="1:6" x14ac:dyDescent="0.25">
      <c r="A3397" s="2" t="str">
        <f t="shared" si="122"/>
        <v>10580</v>
      </c>
      <c r="B3397" s="2" t="str">
        <f>"12306"</f>
        <v>12306</v>
      </c>
      <c r="C3397" s="1">
        <v>2.94654168315602E-2</v>
      </c>
      <c r="D3397" s="1">
        <v>1.6060248616278E-2</v>
      </c>
      <c r="E3397" s="1">
        <v>1.8870891649630399E-2</v>
      </c>
      <c r="F3397" s="1">
        <v>2.81186936932236E-2</v>
      </c>
    </row>
    <row r="3398" spans="1:6" x14ac:dyDescent="0.25">
      <c r="A3398" s="2" t="str">
        <f t="shared" si="122"/>
        <v>10580</v>
      </c>
      <c r="B3398" s="2" t="str">
        <f>"12028"</f>
        <v>12028</v>
      </c>
      <c r="C3398" s="1">
        <v>7.09530421994974E-4</v>
      </c>
      <c r="D3398" s="1">
        <v>1.5122644648096E-4</v>
      </c>
      <c r="E3398" s="1">
        <v>5.2419143471195598E-5</v>
      </c>
      <c r="F3398" s="1">
        <v>6.4484758432582095E-4</v>
      </c>
    </row>
    <row r="3399" spans="1:6" x14ac:dyDescent="0.25">
      <c r="A3399" s="2" t="str">
        <f t="shared" si="122"/>
        <v>10580</v>
      </c>
      <c r="B3399" s="2" t="str">
        <f>"12020"</f>
        <v>12020</v>
      </c>
      <c r="C3399" s="1">
        <v>3.7841622506398602E-2</v>
      </c>
      <c r="D3399" s="1">
        <v>2.9821855246045401E-2</v>
      </c>
      <c r="E3399" s="1">
        <v>2.8778109765686399E-2</v>
      </c>
      <c r="F3399" s="1">
        <v>3.69274369082375E-2</v>
      </c>
    </row>
    <row r="3400" spans="1:6" x14ac:dyDescent="0.25">
      <c r="A3400" s="2" t="str">
        <f t="shared" si="122"/>
        <v>10580</v>
      </c>
      <c r="B3400" s="2" t="str">
        <f>"12182"</f>
        <v>12182</v>
      </c>
      <c r="C3400" s="1">
        <v>1.6539318054622099E-2</v>
      </c>
      <c r="D3400" s="1">
        <v>1.09487947252215E-2</v>
      </c>
      <c r="E3400" s="1">
        <v>1.35765581590396E-2</v>
      </c>
      <c r="F3400" s="1">
        <v>1.6035627307312599E-2</v>
      </c>
    </row>
    <row r="3401" spans="1:6" x14ac:dyDescent="0.25">
      <c r="A3401" s="2" t="str">
        <f t="shared" si="122"/>
        <v>10580</v>
      </c>
      <c r="B3401" s="2" t="str">
        <f>"12167"</f>
        <v>12167</v>
      </c>
      <c r="C3401" s="1">
        <v>9.7179909283140096E-4</v>
      </c>
      <c r="D3401" s="1">
        <v>2.7220760366572901E-4</v>
      </c>
      <c r="E3401" s="1">
        <v>0</v>
      </c>
      <c r="F3401" s="1">
        <v>8.8483940373510698E-4</v>
      </c>
    </row>
    <row r="3402" spans="1:6" x14ac:dyDescent="0.25">
      <c r="A3402" s="2" t="str">
        <f t="shared" si="122"/>
        <v>10580</v>
      </c>
      <c r="B3402" s="2" t="str">
        <f>"12157"</f>
        <v>12157</v>
      </c>
      <c r="C3402" s="1">
        <v>3.83099594186065E-3</v>
      </c>
      <c r="D3402" s="1">
        <v>1.72398148988295E-3</v>
      </c>
      <c r="E3402" s="1">
        <v>1.83467002149184E-3</v>
      </c>
      <c r="F3402" s="1">
        <v>3.6061379472977898E-3</v>
      </c>
    </row>
    <row r="3403" spans="1:6" x14ac:dyDescent="0.25">
      <c r="A3403" s="2" t="str">
        <f t="shared" si="122"/>
        <v>10580</v>
      </c>
      <c r="B3403" s="2" t="str">
        <f>"12863"</f>
        <v>12863</v>
      </c>
      <c r="C3403" s="1">
        <v>7.2123884480017201E-4</v>
      </c>
      <c r="D3403" s="1">
        <v>3.02452892961921E-5</v>
      </c>
      <c r="E3403" s="1">
        <v>3.6693400429836897E-4</v>
      </c>
      <c r="F3403" s="1">
        <v>6.5945578202899504E-4</v>
      </c>
    </row>
    <row r="3404" spans="1:6" x14ac:dyDescent="0.25">
      <c r="A3404" s="2" t="str">
        <f t="shared" si="122"/>
        <v>10580</v>
      </c>
      <c r="B3404" s="2" t="str">
        <f>"12803"</f>
        <v>12803</v>
      </c>
      <c r="C3404" s="1">
        <v>9.6219818613113902E-3</v>
      </c>
      <c r="D3404" s="1">
        <v>7.5310770347518296E-3</v>
      </c>
      <c r="E3404" s="1">
        <v>1.23709178592021E-2</v>
      </c>
      <c r="F3404" s="1">
        <v>9.5871514640544393E-3</v>
      </c>
    </row>
    <row r="3405" spans="1:6" x14ac:dyDescent="0.25">
      <c r="A3405" s="2" t="str">
        <f t="shared" si="122"/>
        <v>10580</v>
      </c>
      <c r="B3405" s="2" t="str">
        <f>"12822"</f>
        <v>12822</v>
      </c>
      <c r="C3405" s="1">
        <v>6.8447439719185096E-3</v>
      </c>
      <c r="D3405" s="1">
        <v>3.2060006653963601E-3</v>
      </c>
      <c r="E3405" s="1">
        <v>6.3951355034858699E-3</v>
      </c>
      <c r="F3405" s="1">
        <v>6.57577585181444E-3</v>
      </c>
    </row>
    <row r="3406" spans="1:6" x14ac:dyDescent="0.25">
      <c r="A3406" s="2" t="str">
        <f t="shared" si="122"/>
        <v>10580</v>
      </c>
      <c r="B3406" s="2" t="str">
        <f>"12087"</f>
        <v>12087</v>
      </c>
      <c r="C3406" s="1">
        <v>1.56892865589647E-4</v>
      </c>
      <c r="D3406" s="1">
        <v>3.02452892961921E-5</v>
      </c>
      <c r="E3406" s="1">
        <v>1.0483828694239101E-4</v>
      </c>
      <c r="F3406" s="1">
        <v>1.4608197703173899E-4</v>
      </c>
    </row>
    <row r="3407" spans="1:6" x14ac:dyDescent="0.25">
      <c r="A3407" s="2" t="str">
        <f t="shared" si="122"/>
        <v>10580</v>
      </c>
      <c r="B3407" s="2" t="str">
        <f>"12086"</f>
        <v>12086</v>
      </c>
      <c r="C3407" s="1">
        <v>2.903688855689E-4</v>
      </c>
      <c r="D3407" s="1">
        <v>1.5122644648096E-4</v>
      </c>
      <c r="E3407" s="1">
        <v>1.0483828694239101E-4</v>
      </c>
      <c r="F3407" s="1">
        <v>2.7338198558796899E-4</v>
      </c>
    </row>
    <row r="3408" spans="1:6" x14ac:dyDescent="0.25">
      <c r="A3408" s="2" t="str">
        <f t="shared" si="122"/>
        <v>10580</v>
      </c>
      <c r="B3408" s="2" t="str">
        <f>"12083"</f>
        <v>12083</v>
      </c>
      <c r="C3408" s="1">
        <v>1.3253934615483601E-3</v>
      </c>
      <c r="D3408" s="1">
        <v>2.11717025073344E-4</v>
      </c>
      <c r="E3408" s="1">
        <v>1.1532211563663E-3</v>
      </c>
      <c r="F3408" s="1">
        <v>1.2416968047697799E-3</v>
      </c>
    </row>
    <row r="3409" spans="1:6" x14ac:dyDescent="0.25">
      <c r="A3409" s="2" t="str">
        <f t="shared" si="122"/>
        <v>10580</v>
      </c>
      <c r="B3409" s="2" t="str">
        <f>"12056"</f>
        <v>12056</v>
      </c>
      <c r="C3409" s="1">
        <v>2.1918167491329901E-3</v>
      </c>
      <c r="D3409" s="1">
        <v>1.63324562199437E-3</v>
      </c>
      <c r="E3409" s="1">
        <v>1.4153168737222801E-3</v>
      </c>
      <c r="F3409" s="1">
        <v>2.1223624377325499E-3</v>
      </c>
    </row>
    <row r="3410" spans="1:6" x14ac:dyDescent="0.25">
      <c r="A3410" s="2" t="str">
        <f t="shared" si="122"/>
        <v>10580</v>
      </c>
      <c r="B3410" s="2" t="str">
        <f>"12184"</f>
        <v>12184</v>
      </c>
      <c r="C3410" s="1">
        <v>4.68336912207904E-5</v>
      </c>
      <c r="D3410" s="1">
        <v>0</v>
      </c>
      <c r="E3410" s="1">
        <v>0</v>
      </c>
      <c r="F3410" s="1">
        <v>4.17377077233541E-5</v>
      </c>
    </row>
    <row r="3411" spans="1:6" x14ac:dyDescent="0.25">
      <c r="A3411" s="2" t="str">
        <f t="shared" si="122"/>
        <v>10580</v>
      </c>
      <c r="B3411" s="2" t="str">
        <f>"12194"</f>
        <v>12194</v>
      </c>
      <c r="C3411" s="1">
        <v>2.5524361715330702E-4</v>
      </c>
      <c r="D3411" s="1">
        <v>3.02452892961921E-5</v>
      </c>
      <c r="E3411" s="1">
        <v>5.2419143471195598E-5</v>
      </c>
      <c r="F3411" s="1">
        <v>2.31644277864615E-4</v>
      </c>
    </row>
    <row r="3412" spans="1:6" x14ac:dyDescent="0.25">
      <c r="A3412" s="2" t="str">
        <f t="shared" si="122"/>
        <v>10580</v>
      </c>
      <c r="B3412" s="2" t="str">
        <f>"12188"</f>
        <v>12188</v>
      </c>
      <c r="C3412" s="1">
        <v>1.1827848717810599E-2</v>
      </c>
      <c r="D3412" s="1">
        <v>5.0509633124640801E-3</v>
      </c>
      <c r="E3412" s="1">
        <v>8.5967395292760908E-3</v>
      </c>
      <c r="F3412" s="1">
        <v>1.12316171483545E-2</v>
      </c>
    </row>
    <row r="3413" spans="1:6" x14ac:dyDescent="0.25">
      <c r="A3413" s="2" t="str">
        <f t="shared" si="122"/>
        <v>10580</v>
      </c>
      <c r="B3413" s="2" t="str">
        <f>"12245"</f>
        <v>12245</v>
      </c>
      <c r="C3413" s="1">
        <v>0</v>
      </c>
      <c r="D3413" s="1">
        <v>3.02452892961921E-5</v>
      </c>
      <c r="E3413" s="1">
        <v>0</v>
      </c>
      <c r="F3413" s="1">
        <v>2.0868853861676998E-6</v>
      </c>
    </row>
    <row r="3414" spans="1:6" x14ac:dyDescent="0.25">
      <c r="A3414" s="2" t="str">
        <f t="shared" si="122"/>
        <v>10580</v>
      </c>
      <c r="B3414" s="2" t="str">
        <f>"12235"</f>
        <v>12235</v>
      </c>
      <c r="C3414" s="1">
        <v>0</v>
      </c>
      <c r="D3414" s="1">
        <v>3.02452892961921E-5</v>
      </c>
      <c r="E3414" s="1">
        <v>0</v>
      </c>
      <c r="F3414" s="1">
        <v>2.0868853861676998E-6</v>
      </c>
    </row>
    <row r="3415" spans="1:6" x14ac:dyDescent="0.25">
      <c r="A3415" s="2" t="str">
        <f t="shared" si="122"/>
        <v>10580</v>
      </c>
      <c r="B3415" s="2" t="str">
        <f>"12234"</f>
        <v>12234</v>
      </c>
      <c r="C3415" s="1">
        <v>0</v>
      </c>
      <c r="D3415" s="1">
        <v>3.02452892961921E-5</v>
      </c>
      <c r="E3415" s="1">
        <v>0</v>
      </c>
      <c r="F3415" s="1">
        <v>2.0868853861676998E-6</v>
      </c>
    </row>
    <row r="3416" spans="1:6" x14ac:dyDescent="0.25">
      <c r="A3416" s="2" t="str">
        <f t="shared" si="122"/>
        <v>10580</v>
      </c>
      <c r="B3416" s="2" t="str">
        <f>"12226"</f>
        <v>12226</v>
      </c>
      <c r="C3416" s="1">
        <v>0</v>
      </c>
      <c r="D3416" s="1">
        <v>6.3515107522003401E-4</v>
      </c>
      <c r="E3416" s="1">
        <v>1.5725743041358699E-4</v>
      </c>
      <c r="F3416" s="1">
        <v>5.0085249268024901E-5</v>
      </c>
    </row>
    <row r="3417" spans="1:6" x14ac:dyDescent="0.25">
      <c r="A3417" s="2" t="str">
        <f t="shared" si="122"/>
        <v>10580</v>
      </c>
      <c r="B3417" s="2" t="str">
        <f>"12046"</f>
        <v>12046</v>
      </c>
      <c r="C3417" s="1">
        <v>6.3693820060274902E-4</v>
      </c>
      <c r="D3417" s="1">
        <v>2.11717025073344E-4</v>
      </c>
      <c r="E3417" s="1">
        <v>7.8628715206793495E-4</v>
      </c>
      <c r="F3417" s="1">
        <v>6.1354430353330498E-4</v>
      </c>
    </row>
    <row r="3418" spans="1:6" x14ac:dyDescent="0.25">
      <c r="A3418" s="2" t="str">
        <f t="shared" si="122"/>
        <v>10580</v>
      </c>
      <c r="B3418" s="2" t="str">
        <f>"12041"</f>
        <v>12041</v>
      </c>
      <c r="C3418" s="1">
        <v>2.6461035539746501E-4</v>
      </c>
      <c r="D3418" s="1">
        <v>3.02452892961921E-5</v>
      </c>
      <c r="E3418" s="1">
        <v>1.5725743041358699E-4</v>
      </c>
      <c r="F3418" s="1">
        <v>2.4416559018162099E-4</v>
      </c>
    </row>
    <row r="3419" spans="1:6" x14ac:dyDescent="0.25">
      <c r="A3419" s="2" t="str">
        <f t="shared" si="122"/>
        <v>10580</v>
      </c>
      <c r="B3419" s="2" t="str">
        <f>"12019"</f>
        <v>12019</v>
      </c>
      <c r="C3419" s="1">
        <v>1.6061614404170001E-2</v>
      </c>
      <c r="D3419" s="1">
        <v>6.6539636451622601E-3</v>
      </c>
      <c r="E3419" s="1">
        <v>3.3024060386853201E-3</v>
      </c>
      <c r="F3419" s="1">
        <v>1.4904535428009701E-2</v>
      </c>
    </row>
    <row r="3420" spans="1:6" x14ac:dyDescent="0.25">
      <c r="A3420" s="2" t="str">
        <f t="shared" si="122"/>
        <v>10580</v>
      </c>
      <c r="B3420" s="2" t="str">
        <f>"12166"</f>
        <v>12166</v>
      </c>
      <c r="C3420" s="1">
        <v>1.63917919272766E-5</v>
      </c>
      <c r="D3420" s="1">
        <v>0</v>
      </c>
      <c r="E3420" s="1">
        <v>0</v>
      </c>
      <c r="F3420" s="1">
        <v>1.46081977031739E-5</v>
      </c>
    </row>
    <row r="3421" spans="1:6" x14ac:dyDescent="0.25">
      <c r="A3421" s="2" t="str">
        <f t="shared" si="122"/>
        <v>10580</v>
      </c>
      <c r="B3421" s="2" t="str">
        <f>"12148"</f>
        <v>12148</v>
      </c>
      <c r="C3421" s="1">
        <v>4.7606447125933399E-3</v>
      </c>
      <c r="D3421" s="1">
        <v>7.5613223240480196E-4</v>
      </c>
      <c r="E3421" s="1">
        <v>2.6209571735597801E-4</v>
      </c>
      <c r="F3421" s="1">
        <v>4.3052445516639703E-3</v>
      </c>
    </row>
    <row r="3422" spans="1:6" x14ac:dyDescent="0.25">
      <c r="A3422" s="2" t="str">
        <f t="shared" si="122"/>
        <v>10580</v>
      </c>
      <c r="B3422" s="2" t="str">
        <f>"12009"</f>
        <v>12009</v>
      </c>
      <c r="C3422" s="1">
        <v>7.7439508433576904E-3</v>
      </c>
      <c r="D3422" s="1">
        <v>3.96213289780116E-3</v>
      </c>
      <c r="E3422" s="1">
        <v>3.0403103213293399E-3</v>
      </c>
      <c r="F3422" s="1">
        <v>7.2957513100422996E-3</v>
      </c>
    </row>
    <row r="3423" spans="1:6" x14ac:dyDescent="0.25">
      <c r="A3423" s="2" t="str">
        <f t="shared" si="122"/>
        <v>10580</v>
      </c>
      <c r="B3423" s="2" t="str">
        <f>"13320"</f>
        <v>13320</v>
      </c>
      <c r="C3423" s="1">
        <v>9.3667382441580808E-6</v>
      </c>
      <c r="D3423" s="1">
        <v>0</v>
      </c>
      <c r="E3423" s="1">
        <v>0</v>
      </c>
      <c r="F3423" s="1">
        <v>8.3475415446708197E-6</v>
      </c>
    </row>
    <row r="3424" spans="1:6" x14ac:dyDescent="0.25">
      <c r="A3424" s="2" t="str">
        <f t="shared" si="122"/>
        <v>10580</v>
      </c>
      <c r="B3424" s="2" t="str">
        <f>"12141"</f>
        <v>12141</v>
      </c>
      <c r="C3424" s="1">
        <v>0</v>
      </c>
      <c r="D3424" s="1">
        <v>0</v>
      </c>
      <c r="E3424" s="1">
        <v>5.2419143471195598E-5</v>
      </c>
      <c r="F3424" s="1">
        <v>2.0868853861676998E-6</v>
      </c>
    </row>
    <row r="3425" spans="1:6" x14ac:dyDescent="0.25">
      <c r="A3425" s="2" t="str">
        <f t="shared" si="122"/>
        <v>10580</v>
      </c>
      <c r="B3425" s="2" t="str">
        <f>"12128"</f>
        <v>12128</v>
      </c>
      <c r="C3425" s="1">
        <v>0</v>
      </c>
      <c r="D3425" s="1">
        <v>3.02452892961921E-5</v>
      </c>
      <c r="E3425" s="1">
        <v>5.2419143471195598E-5</v>
      </c>
      <c r="F3425" s="1">
        <v>4.1737707723354098E-6</v>
      </c>
    </row>
    <row r="3426" spans="1:6" x14ac:dyDescent="0.25">
      <c r="A3426" s="2" t="str">
        <f t="shared" si="122"/>
        <v>10580</v>
      </c>
      <c r="B3426" s="2" t="str">
        <f>"12076"</f>
        <v>12076</v>
      </c>
      <c r="C3426" s="1">
        <v>2.18245001088883E-3</v>
      </c>
      <c r="D3426" s="1">
        <v>4.5367933944288099E-4</v>
      </c>
      <c r="E3426" s="1">
        <v>5.2419143471195598E-5</v>
      </c>
      <c r="F3426" s="1">
        <v>1.9783673460869798E-3</v>
      </c>
    </row>
    <row r="3427" spans="1:6" x14ac:dyDescent="0.25">
      <c r="A3427" s="2" t="str">
        <f t="shared" si="122"/>
        <v>10580</v>
      </c>
      <c r="B3427" s="2" t="str">
        <f>"12309"</f>
        <v>12309</v>
      </c>
      <c r="C3427" s="1">
        <v>3.0957069896942399E-2</v>
      </c>
      <c r="D3427" s="1">
        <v>1.64231920878323E-2</v>
      </c>
      <c r="E3427" s="1">
        <v>1.8032185354091301E-2</v>
      </c>
      <c r="F3427" s="1">
        <v>2.9439692142667801E-2</v>
      </c>
    </row>
    <row r="3428" spans="1:6" x14ac:dyDescent="0.25">
      <c r="A3428" s="2" t="str">
        <f t="shared" ref="A3428:A3461" si="123">"10580"</f>
        <v>10580</v>
      </c>
      <c r="B3428" s="2" t="str">
        <f>"12196"</f>
        <v>12196</v>
      </c>
      <c r="C3428" s="1">
        <v>3.8871963713255999E-3</v>
      </c>
      <c r="D3428" s="1">
        <v>3.14551008680398E-3</v>
      </c>
      <c r="E3428" s="1">
        <v>1.46773601719347E-3</v>
      </c>
      <c r="F3428" s="1">
        <v>3.7396986120125202E-3</v>
      </c>
    </row>
    <row r="3429" spans="1:6" x14ac:dyDescent="0.25">
      <c r="A3429" s="2" t="str">
        <f t="shared" si="123"/>
        <v>10580</v>
      </c>
      <c r="B3429" s="2" t="str">
        <f>"12257"</f>
        <v>12257</v>
      </c>
      <c r="C3429" s="1">
        <v>0</v>
      </c>
      <c r="D3429" s="1">
        <v>3.02452892961921E-5</v>
      </c>
      <c r="E3429" s="1">
        <v>0</v>
      </c>
      <c r="F3429" s="1">
        <v>2.0868853861676998E-6</v>
      </c>
    </row>
    <row r="3430" spans="1:6" x14ac:dyDescent="0.25">
      <c r="A3430" s="2" t="str">
        <f t="shared" si="123"/>
        <v>10580</v>
      </c>
      <c r="B3430" s="2" t="str">
        <f>"12246"</f>
        <v>12246</v>
      </c>
      <c r="C3430" s="1">
        <v>0</v>
      </c>
      <c r="D3430" s="1">
        <v>9.0735867888576304E-5</v>
      </c>
      <c r="E3430" s="1">
        <v>0</v>
      </c>
      <c r="F3430" s="1">
        <v>6.2606561585031101E-6</v>
      </c>
    </row>
    <row r="3431" spans="1:6" x14ac:dyDescent="0.25">
      <c r="A3431" s="2" t="str">
        <f t="shared" si="123"/>
        <v>10580</v>
      </c>
      <c r="B3431" s="2" t="str">
        <f>"12240"</f>
        <v>12240</v>
      </c>
      <c r="C3431" s="1">
        <v>0</v>
      </c>
      <c r="D3431" s="1">
        <v>3.02452892961921E-5</v>
      </c>
      <c r="E3431" s="1">
        <v>0</v>
      </c>
      <c r="F3431" s="1">
        <v>2.0868853861676998E-6</v>
      </c>
    </row>
    <row r="3432" spans="1:6" x14ac:dyDescent="0.25">
      <c r="A3432" s="2" t="str">
        <f t="shared" si="123"/>
        <v>10580</v>
      </c>
      <c r="B3432" s="2" t="str">
        <f>"12232"</f>
        <v>12232</v>
      </c>
      <c r="C3432" s="1">
        <v>0</v>
      </c>
      <c r="D3432" s="1">
        <v>3.02452892961921E-5</v>
      </c>
      <c r="E3432" s="1">
        <v>0</v>
      </c>
      <c r="F3432" s="1">
        <v>2.0868853861676998E-6</v>
      </c>
    </row>
    <row r="3433" spans="1:6" x14ac:dyDescent="0.25">
      <c r="A3433" s="2" t="str">
        <f t="shared" si="123"/>
        <v>10580</v>
      </c>
      <c r="B3433" s="2" t="str">
        <f>"12227"</f>
        <v>12227</v>
      </c>
      <c r="C3433" s="1">
        <v>0</v>
      </c>
      <c r="D3433" s="1">
        <v>0</v>
      </c>
      <c r="E3433" s="1">
        <v>5.2419143471195598E-5</v>
      </c>
      <c r="F3433" s="1">
        <v>2.0868853861676998E-6</v>
      </c>
    </row>
    <row r="3434" spans="1:6" x14ac:dyDescent="0.25">
      <c r="A3434" s="2" t="str">
        <f t="shared" si="123"/>
        <v>10580</v>
      </c>
      <c r="B3434" s="2" t="str">
        <f>"12303"</f>
        <v>12303</v>
      </c>
      <c r="C3434" s="1">
        <v>3.1601033151228301E-2</v>
      </c>
      <c r="D3434" s="1">
        <v>2.09297401929649E-2</v>
      </c>
      <c r="E3434" s="1">
        <v>1.61450961891282E-2</v>
      </c>
      <c r="F3434" s="1">
        <v>3.02494036725009E-2</v>
      </c>
    </row>
    <row r="3435" spans="1:6" x14ac:dyDescent="0.25">
      <c r="A3435" s="2" t="str">
        <f t="shared" si="123"/>
        <v>10580</v>
      </c>
      <c r="B3435" s="2" t="str">
        <f>"12302"</f>
        <v>12302</v>
      </c>
      <c r="C3435" s="1">
        <v>2.92687153284329E-2</v>
      </c>
      <c r="D3435" s="1">
        <v>1.9568702174636299E-2</v>
      </c>
      <c r="E3435" s="1">
        <v>1.4362845311107601E-2</v>
      </c>
      <c r="F3435" s="1">
        <v>2.8006001882370599E-2</v>
      </c>
    </row>
    <row r="3436" spans="1:6" x14ac:dyDescent="0.25">
      <c r="A3436" s="2" t="str">
        <f t="shared" si="123"/>
        <v>10580</v>
      </c>
      <c r="B3436" s="2" t="str">
        <f>"12209"</f>
        <v>12209</v>
      </c>
      <c r="C3436" s="1">
        <v>1.0708523497633699E-2</v>
      </c>
      <c r="D3436" s="1">
        <v>5.0207180231678899E-3</v>
      </c>
      <c r="E3436" s="1">
        <v>1.27378518635005E-2</v>
      </c>
      <c r="F3436" s="1">
        <v>1.03968629938875E-2</v>
      </c>
    </row>
    <row r="3437" spans="1:6" x14ac:dyDescent="0.25">
      <c r="A3437" s="2" t="str">
        <f t="shared" si="123"/>
        <v>10580</v>
      </c>
      <c r="B3437" s="2" t="str">
        <f>"12052"</f>
        <v>12052</v>
      </c>
      <c r="C3437" s="1">
        <v>1.47291958889385E-3</v>
      </c>
      <c r="D3437" s="1">
        <v>0</v>
      </c>
      <c r="E3437" s="1">
        <v>5.7661057818315204E-4</v>
      </c>
      <c r="F3437" s="1">
        <v>1.3356066471473299E-3</v>
      </c>
    </row>
    <row r="3438" spans="1:6" x14ac:dyDescent="0.25">
      <c r="A3438" s="2" t="str">
        <f t="shared" si="123"/>
        <v>10580</v>
      </c>
      <c r="B3438" s="2" t="str">
        <f>"12027"</f>
        <v>12027</v>
      </c>
      <c r="C3438" s="1">
        <v>4.4819842498296401E-3</v>
      </c>
      <c r="D3438" s="1">
        <v>8.0754922420832893E-3</v>
      </c>
      <c r="E3438" s="1">
        <v>1.83467002149184E-3</v>
      </c>
      <c r="F3438" s="1">
        <v>4.6245380157476298E-3</v>
      </c>
    </row>
    <row r="3439" spans="1:6" x14ac:dyDescent="0.25">
      <c r="A3439" s="2" t="str">
        <f t="shared" si="123"/>
        <v>10580</v>
      </c>
      <c r="B3439" s="2" t="str">
        <f>"12023"</f>
        <v>12023</v>
      </c>
      <c r="C3439" s="1">
        <v>2.2222586484265E-3</v>
      </c>
      <c r="D3439" s="1">
        <v>6.0490578592384205E-4</v>
      </c>
      <c r="E3439" s="1">
        <v>3.6693400429836897E-4</v>
      </c>
      <c r="F3439" s="1">
        <v>2.03680013689968E-3</v>
      </c>
    </row>
    <row r="3440" spans="1:6" x14ac:dyDescent="0.25">
      <c r="A3440" s="2" t="str">
        <f t="shared" si="123"/>
        <v>10580</v>
      </c>
      <c r="B3440" s="2" t="str">
        <f>"12169"</f>
        <v>12169</v>
      </c>
      <c r="C3440" s="1">
        <v>5.1985397255077301E-4</v>
      </c>
      <c r="D3440" s="1">
        <v>0</v>
      </c>
      <c r="E3440" s="1">
        <v>2.0967657388478201E-4</v>
      </c>
      <c r="F3440" s="1">
        <v>4.7163609727390101E-4</v>
      </c>
    </row>
    <row r="3441" spans="1:6" x14ac:dyDescent="0.25">
      <c r="A3441" s="2" t="str">
        <f t="shared" si="123"/>
        <v>10580</v>
      </c>
      <c r="B3441" s="2" t="str">
        <f>"12859"</f>
        <v>12859</v>
      </c>
      <c r="C3441" s="1">
        <v>2.1754249572057101E-3</v>
      </c>
      <c r="D3441" s="1">
        <v>1.5122644648096E-4</v>
      </c>
      <c r="E3441" s="1">
        <v>7.8628715206793495E-4</v>
      </c>
      <c r="F3441" s="1">
        <v>1.9804542314731501E-3</v>
      </c>
    </row>
    <row r="3442" spans="1:6" x14ac:dyDescent="0.25">
      <c r="A3442" s="2" t="str">
        <f t="shared" si="123"/>
        <v>10580</v>
      </c>
      <c r="B3442" s="2" t="str">
        <f>"12831"</f>
        <v>12831</v>
      </c>
      <c r="C3442" s="1">
        <v>1.79677456368562E-2</v>
      </c>
      <c r="D3442" s="1">
        <v>5.7768502555726898E-3</v>
      </c>
      <c r="E3442" s="1">
        <v>7.2862609424961897E-3</v>
      </c>
      <c r="F3442" s="1">
        <v>1.67013437455001E-2</v>
      </c>
    </row>
    <row r="3443" spans="1:6" x14ac:dyDescent="0.25">
      <c r="A3443" s="2" t="str">
        <f t="shared" si="123"/>
        <v>10580</v>
      </c>
      <c r="B3443" s="2" t="str">
        <f>"12460"</f>
        <v>12460</v>
      </c>
      <c r="C3443" s="1">
        <v>1.1474254349093601E-4</v>
      </c>
      <c r="D3443" s="1">
        <v>0</v>
      </c>
      <c r="E3443" s="1">
        <v>0</v>
      </c>
      <c r="F3443" s="1">
        <v>1.02257383922217E-4</v>
      </c>
    </row>
    <row r="3444" spans="1:6" x14ac:dyDescent="0.25">
      <c r="A3444" s="2" t="str">
        <f t="shared" si="123"/>
        <v>10580</v>
      </c>
      <c r="B3444" s="2" t="str">
        <f>"12469"</f>
        <v>12469</v>
      </c>
      <c r="C3444" s="1">
        <v>1.1474254349093599E-3</v>
      </c>
      <c r="D3444" s="1">
        <v>2.11717025073344E-4</v>
      </c>
      <c r="E3444" s="1">
        <v>1.5725743041358699E-4</v>
      </c>
      <c r="F3444" s="1">
        <v>1.04344269308385E-3</v>
      </c>
    </row>
    <row r="3445" spans="1:6" x14ac:dyDescent="0.25">
      <c r="A3445" s="2" t="str">
        <f t="shared" si="123"/>
        <v>10580</v>
      </c>
      <c r="B3445" s="2" t="str">
        <f>"12143"</f>
        <v>12143</v>
      </c>
      <c r="C3445" s="1">
        <v>5.1072140276271901E-3</v>
      </c>
      <c r="D3445" s="1">
        <v>4.5367933944288098E-3</v>
      </c>
      <c r="E3445" s="1">
        <v>8.2822246684489103E-3</v>
      </c>
      <c r="F3445" s="1">
        <v>5.1942577261714197E-3</v>
      </c>
    </row>
    <row r="3446" spans="1:6" x14ac:dyDescent="0.25">
      <c r="A3446" s="2" t="str">
        <f t="shared" si="123"/>
        <v>10580</v>
      </c>
      <c r="B3446" s="2" t="str">
        <f>"12123"</f>
        <v>12123</v>
      </c>
      <c r="C3446" s="1">
        <v>4.9854464304531299E-3</v>
      </c>
      <c r="D3446" s="1">
        <v>1.08883041466291E-3</v>
      </c>
      <c r="E3446" s="1">
        <v>3.0927294648005399E-3</v>
      </c>
      <c r="F3446" s="1">
        <v>4.6412330988369697E-3</v>
      </c>
    </row>
    <row r="3447" spans="1:6" x14ac:dyDescent="0.25">
      <c r="A3447" s="2" t="str">
        <f t="shared" si="123"/>
        <v>10580</v>
      </c>
      <c r="B3447" s="2" t="str">
        <f>"12120"</f>
        <v>12120</v>
      </c>
      <c r="C3447" s="1">
        <v>6.1352135499235399E-4</v>
      </c>
      <c r="D3447" s="1">
        <v>2.11717025073344E-4</v>
      </c>
      <c r="E3447" s="1">
        <v>2.6209571735597801E-4</v>
      </c>
      <c r="F3447" s="1">
        <v>5.7180659580995097E-4</v>
      </c>
    </row>
    <row r="3448" spans="1:6" x14ac:dyDescent="0.25">
      <c r="A3448" s="2" t="str">
        <f t="shared" si="123"/>
        <v>10580</v>
      </c>
      <c r="B3448" s="2" t="str">
        <f>"12093"</f>
        <v>12093</v>
      </c>
      <c r="C3448" s="1">
        <v>1.3745688373301901E-3</v>
      </c>
      <c r="D3448" s="1">
        <v>2.11717025073344E-4</v>
      </c>
      <c r="E3448" s="1">
        <v>5.2419143471195598E-5</v>
      </c>
      <c r="F3448" s="1">
        <v>1.2416968047697799E-3</v>
      </c>
    </row>
    <row r="3449" spans="1:6" x14ac:dyDescent="0.25">
      <c r="A3449" s="2" t="str">
        <f t="shared" si="123"/>
        <v>10580</v>
      </c>
      <c r="B3449" s="2" t="str">
        <f>"12092"</f>
        <v>12092</v>
      </c>
      <c r="C3449" s="1">
        <v>1.2293843945457401E-3</v>
      </c>
      <c r="D3449" s="1">
        <v>4.2343405014668898E-4</v>
      </c>
      <c r="E3449" s="1">
        <v>8.9112543901032602E-4</v>
      </c>
      <c r="F3449" s="1">
        <v>1.16030827470924E-3</v>
      </c>
    </row>
    <row r="3450" spans="1:6" x14ac:dyDescent="0.25">
      <c r="A3450" s="2" t="str">
        <f t="shared" si="123"/>
        <v>10580</v>
      </c>
      <c r="B3450" s="2" t="str">
        <f>"12063"</f>
        <v>12063</v>
      </c>
      <c r="C3450" s="1">
        <v>3.5827773783904599E-4</v>
      </c>
      <c r="D3450" s="1">
        <v>9.0735867888576304E-5</v>
      </c>
      <c r="E3450" s="1">
        <v>5.2419143471195598E-5</v>
      </c>
      <c r="F3450" s="1">
        <v>3.2764100562832901E-4</v>
      </c>
    </row>
    <row r="3451" spans="1:6" x14ac:dyDescent="0.25">
      <c r="A3451" s="2" t="str">
        <f t="shared" si="123"/>
        <v>10580</v>
      </c>
      <c r="B3451" s="2" t="str">
        <f>"12189"</f>
        <v>12189</v>
      </c>
      <c r="C3451" s="1">
        <v>2.2409921249148201E-2</v>
      </c>
      <c r="D3451" s="1">
        <v>1.35801348939902E-2</v>
      </c>
      <c r="E3451" s="1">
        <v>2.2749908266498899E-2</v>
      </c>
      <c r="F3451" s="1">
        <v>2.1814212941611E-2</v>
      </c>
    </row>
    <row r="3452" spans="1:6" x14ac:dyDescent="0.25">
      <c r="A3452" s="2" t="str">
        <f t="shared" si="123"/>
        <v>10580</v>
      </c>
      <c r="B3452" s="2" t="str">
        <f>"12186"</f>
        <v>12186</v>
      </c>
      <c r="C3452" s="1">
        <v>7.2990307767601802E-3</v>
      </c>
      <c r="D3452" s="1">
        <v>5.0207180231678899E-3</v>
      </c>
      <c r="E3452" s="1">
        <v>8.2298055249777208E-3</v>
      </c>
      <c r="F3452" s="1">
        <v>7.1788857284169E-3</v>
      </c>
    </row>
    <row r="3453" spans="1:6" x14ac:dyDescent="0.25">
      <c r="A3453" s="2" t="str">
        <f t="shared" si="123"/>
        <v>10580</v>
      </c>
      <c r="B3453" s="2" t="str">
        <f>"12301"</f>
        <v>12301</v>
      </c>
      <c r="C3453" s="1">
        <v>2.9271057012993998E-3</v>
      </c>
      <c r="D3453" s="1">
        <v>6.5934730665698797E-3</v>
      </c>
      <c r="E3453" s="1">
        <v>1.0483828694239101E-4</v>
      </c>
      <c r="F3453" s="1">
        <v>3.0677215176665201E-3</v>
      </c>
    </row>
    <row r="3454" spans="1:6" x14ac:dyDescent="0.25">
      <c r="A3454" s="2" t="str">
        <f t="shared" si="123"/>
        <v>10580</v>
      </c>
      <c r="B3454" s="2" t="str">
        <f>"12288"</f>
        <v>12288</v>
      </c>
      <c r="C3454" s="1">
        <v>0</v>
      </c>
      <c r="D3454" s="1">
        <v>3.02452892961921E-5</v>
      </c>
      <c r="E3454" s="1">
        <v>5.2419143471195598E-5</v>
      </c>
      <c r="F3454" s="1">
        <v>4.1737707723354098E-6</v>
      </c>
    </row>
    <row r="3455" spans="1:6" x14ac:dyDescent="0.25">
      <c r="A3455" s="2" t="str">
        <f t="shared" si="123"/>
        <v>10580</v>
      </c>
      <c r="B3455" s="2" t="str">
        <f>"12305"</f>
        <v>12305</v>
      </c>
      <c r="C3455" s="1">
        <v>7.9757776149006008E-3</v>
      </c>
      <c r="D3455" s="1">
        <v>2.3198136890179299E-2</v>
      </c>
      <c r="E3455" s="1">
        <v>2.5632961157414601E-2</v>
      </c>
      <c r="F3455" s="1">
        <v>9.7290596703138409E-3</v>
      </c>
    </row>
    <row r="3456" spans="1:6" x14ac:dyDescent="0.25">
      <c r="A3456" s="2" t="str">
        <f t="shared" si="123"/>
        <v>10580</v>
      </c>
      <c r="B3456" s="2" t="str">
        <f>"12304"</f>
        <v>12304</v>
      </c>
      <c r="C3456" s="1">
        <v>2.29695838592366E-2</v>
      </c>
      <c r="D3456" s="1">
        <v>2.0355079696337201E-2</v>
      </c>
      <c r="E3456" s="1">
        <v>2.34837762750956E-2</v>
      </c>
      <c r="F3456" s="1">
        <v>2.2809657270813001E-2</v>
      </c>
    </row>
    <row r="3457" spans="1:6" x14ac:dyDescent="0.25">
      <c r="A3457" s="2" t="str">
        <f t="shared" si="123"/>
        <v>10580</v>
      </c>
      <c r="B3457" s="2" t="str">
        <f>"12031"</f>
        <v>12031</v>
      </c>
      <c r="C3457" s="1">
        <v>1.2410928173509401E-4</v>
      </c>
      <c r="D3457" s="1">
        <v>3.02452892961921E-5</v>
      </c>
      <c r="E3457" s="1">
        <v>5.2419143471195598E-5</v>
      </c>
      <c r="F3457" s="1">
        <v>1.14778696239223E-4</v>
      </c>
    </row>
    <row r="3458" spans="1:6" x14ac:dyDescent="0.25">
      <c r="A3458" s="2" t="str">
        <f t="shared" si="123"/>
        <v>10580</v>
      </c>
      <c r="B3458" s="2" t="str">
        <f>"12043"</f>
        <v>12043</v>
      </c>
      <c r="C3458" s="1">
        <v>8.0038778296330805E-3</v>
      </c>
      <c r="D3458" s="1">
        <v>1.3701116051174999E-2</v>
      </c>
      <c r="E3458" s="1">
        <v>2.0653142527650999E-2</v>
      </c>
      <c r="F3458" s="1">
        <v>8.9005661720052594E-3</v>
      </c>
    </row>
    <row r="3459" spans="1:6" x14ac:dyDescent="0.25">
      <c r="A3459" s="2" t="str">
        <f t="shared" si="123"/>
        <v>10580</v>
      </c>
      <c r="B3459" s="2" t="str">
        <f>"12150"</f>
        <v>12150</v>
      </c>
      <c r="C3459" s="1">
        <v>8.1022285811967404E-4</v>
      </c>
      <c r="D3459" s="1">
        <v>1.2098115718476799E-4</v>
      </c>
      <c r="E3459" s="1">
        <v>4.19353147769565E-4</v>
      </c>
      <c r="F3459" s="1">
        <v>7.4710496824803802E-4</v>
      </c>
    </row>
    <row r="3460" spans="1:6" x14ac:dyDescent="0.25">
      <c r="A3460" s="2" t="str">
        <f t="shared" si="123"/>
        <v>10580</v>
      </c>
      <c r="B3460" s="2" t="str">
        <f>"12175"</f>
        <v>12175</v>
      </c>
      <c r="C3460" s="1">
        <v>6.2991314691963104E-4</v>
      </c>
      <c r="D3460" s="1">
        <v>6.0490578592384201E-5</v>
      </c>
      <c r="E3460" s="1">
        <v>5.2419143471195598E-5</v>
      </c>
      <c r="F3460" s="1">
        <v>5.6763282503761601E-4</v>
      </c>
    </row>
    <row r="3461" spans="1:6" x14ac:dyDescent="0.25">
      <c r="A3461" s="2" t="str">
        <f t="shared" si="123"/>
        <v>10580</v>
      </c>
      <c r="B3461" s="2" t="str">
        <f>"12149"</f>
        <v>12149</v>
      </c>
      <c r="C3461" s="1">
        <v>2.09814936669141E-3</v>
      </c>
      <c r="D3461" s="1">
        <v>6.6539636451622597E-4</v>
      </c>
      <c r="E3461" s="1">
        <v>1.1532211563663E-3</v>
      </c>
      <c r="F3461" s="1">
        <v>1.96167226299764E-3</v>
      </c>
    </row>
    <row r="3462" spans="1:6" x14ac:dyDescent="0.25">
      <c r="A3462" s="2" t="str">
        <f t="shared" ref="A3462:A3493" si="124">"13780"</f>
        <v>13780</v>
      </c>
      <c r="B3462" s="2" t="str">
        <f>"13902"</f>
        <v>13902</v>
      </c>
      <c r="C3462" s="1">
        <v>1.4311209023917399E-2</v>
      </c>
      <c r="D3462" s="1">
        <v>4.9222480715072799E-2</v>
      </c>
      <c r="E3462" s="1">
        <v>6.2160062160062095E-4</v>
      </c>
      <c r="F3462" s="1">
        <v>1.5807095730869299E-2</v>
      </c>
    </row>
    <row r="3463" spans="1:6" x14ac:dyDescent="0.25">
      <c r="A3463" s="2" t="str">
        <f t="shared" si="124"/>
        <v>13780</v>
      </c>
      <c r="B3463" s="2" t="str">
        <f>"13862"</f>
        <v>13862</v>
      </c>
      <c r="C3463" s="1">
        <v>1.46356875101399E-2</v>
      </c>
      <c r="D3463" s="1">
        <v>3.79576343822701E-3</v>
      </c>
      <c r="E3463" s="1">
        <v>5.7498057498057403E-3</v>
      </c>
      <c r="F3463" s="1">
        <v>1.35294162307441E-2</v>
      </c>
    </row>
    <row r="3464" spans="1:6" x14ac:dyDescent="0.25">
      <c r="A3464" s="2" t="str">
        <f t="shared" si="124"/>
        <v>13780</v>
      </c>
      <c r="B3464" s="2" t="str">
        <f>"13778"</f>
        <v>13778</v>
      </c>
      <c r="C3464" s="1">
        <v>5.2087335946239001E-4</v>
      </c>
      <c r="D3464" s="1">
        <v>1.2244398187829001E-4</v>
      </c>
      <c r="E3464" s="1">
        <v>0</v>
      </c>
      <c r="F3464" s="1">
        <v>4.7072043002588902E-4</v>
      </c>
    </row>
    <row r="3465" spans="1:6" x14ac:dyDescent="0.25">
      <c r="A3465" s="2" t="str">
        <f t="shared" si="124"/>
        <v>13780</v>
      </c>
      <c r="B3465" s="2" t="str">
        <f>"13848"</f>
        <v>13848</v>
      </c>
      <c r="C3465" s="1">
        <v>0</v>
      </c>
      <c r="D3465" s="1">
        <v>0</v>
      </c>
      <c r="E3465" s="1">
        <v>1.5540015540015499E-4</v>
      </c>
      <c r="F3465" s="1">
        <v>7.5922650004175697E-6</v>
      </c>
    </row>
    <row r="3466" spans="1:6" x14ac:dyDescent="0.25">
      <c r="A3466" s="2" t="str">
        <f t="shared" si="124"/>
        <v>13780</v>
      </c>
      <c r="B3466" s="2" t="str">
        <f>"14817"</f>
        <v>14817</v>
      </c>
      <c r="C3466" s="1">
        <v>3.9278974647983497E-4</v>
      </c>
      <c r="D3466" s="1">
        <v>0</v>
      </c>
      <c r="E3466" s="1">
        <v>0</v>
      </c>
      <c r="F3466" s="1">
        <v>3.4924419001920802E-4</v>
      </c>
    </row>
    <row r="3467" spans="1:6" x14ac:dyDescent="0.25">
      <c r="A3467" s="2" t="str">
        <f t="shared" si="124"/>
        <v>13780</v>
      </c>
      <c r="B3467" s="2" t="str">
        <f>"13904"</f>
        <v>13904</v>
      </c>
      <c r="C3467" s="1">
        <v>3.5453544073571201E-2</v>
      </c>
      <c r="D3467" s="1">
        <v>4.6406269131872097E-2</v>
      </c>
      <c r="E3467" s="1">
        <v>5.3768453768453697E-2</v>
      </c>
      <c r="F3467" s="1">
        <v>3.7027476407036498E-2</v>
      </c>
    </row>
    <row r="3468" spans="1:6" x14ac:dyDescent="0.25">
      <c r="A3468" s="2" t="str">
        <f t="shared" si="124"/>
        <v>13780</v>
      </c>
      <c r="B3468" s="2" t="str">
        <f>"13761"</f>
        <v>13761</v>
      </c>
      <c r="C3468" s="1">
        <v>6.3273304813382097E-3</v>
      </c>
      <c r="D3468" s="1">
        <v>1.6529937553569199E-2</v>
      </c>
      <c r="E3468" s="1">
        <v>3.1080031080030999E-4</v>
      </c>
      <c r="F3468" s="1">
        <v>6.6660086703666296E-3</v>
      </c>
    </row>
    <row r="3469" spans="1:6" x14ac:dyDescent="0.25">
      <c r="A3469" s="2" t="str">
        <f t="shared" si="124"/>
        <v>13780</v>
      </c>
      <c r="B3469" s="2" t="str">
        <f>"13760"</f>
        <v>13760</v>
      </c>
      <c r="C3469" s="1">
        <v>0.176166201296206</v>
      </c>
      <c r="D3469" s="1">
        <v>0.139586139341251</v>
      </c>
      <c r="E3469" s="1">
        <v>0.19425019425019399</v>
      </c>
      <c r="F3469" s="1">
        <v>0.17478153257461199</v>
      </c>
    </row>
    <row r="3470" spans="1:6" x14ac:dyDescent="0.25">
      <c r="A3470" s="2" t="str">
        <f t="shared" si="124"/>
        <v>13780</v>
      </c>
      <c r="B3470" s="2" t="str">
        <f>"13790"</f>
        <v>13790</v>
      </c>
      <c r="C3470" s="1">
        <v>8.2477307853233206E-2</v>
      </c>
      <c r="D3470" s="1">
        <v>0.123668421697073</v>
      </c>
      <c r="E3470" s="1">
        <v>9.3240093240093205E-2</v>
      </c>
      <c r="F3470" s="1">
        <v>8.5557234289705603E-2</v>
      </c>
    </row>
    <row r="3471" spans="1:6" x14ac:dyDescent="0.25">
      <c r="A3471" s="2" t="str">
        <f t="shared" si="124"/>
        <v>13780</v>
      </c>
      <c r="B3471" s="2" t="str">
        <f>"13736"</f>
        <v>13736</v>
      </c>
      <c r="C3471" s="1">
        <v>8.0265730802401101E-3</v>
      </c>
      <c r="D3471" s="1">
        <v>1.34688380066119E-3</v>
      </c>
      <c r="E3471" s="1">
        <v>7.77000777000777E-4</v>
      </c>
      <c r="F3471" s="1">
        <v>7.2582053403992004E-3</v>
      </c>
    </row>
    <row r="3472" spans="1:6" x14ac:dyDescent="0.25">
      <c r="A3472" s="2" t="str">
        <f t="shared" si="124"/>
        <v>13780</v>
      </c>
      <c r="B3472" s="2" t="str">
        <f>"13850"</f>
        <v>13850</v>
      </c>
      <c r="C3472" s="1">
        <v>8.0846376514588703E-2</v>
      </c>
      <c r="D3472" s="1">
        <v>0.104199828578425</v>
      </c>
      <c r="E3472" s="1">
        <v>5.8430458430458403E-2</v>
      </c>
      <c r="F3472" s="1">
        <v>8.1199274179465902E-2</v>
      </c>
    </row>
    <row r="3473" spans="1:6" x14ac:dyDescent="0.25">
      <c r="A3473" s="2" t="str">
        <f t="shared" si="124"/>
        <v>13780</v>
      </c>
      <c r="B3473" s="2" t="str">
        <f>"13777"</f>
        <v>13777</v>
      </c>
      <c r="C3473" s="1">
        <v>1.9468709173348299E-3</v>
      </c>
      <c r="D3473" s="1">
        <v>6.1221990939145298E-4</v>
      </c>
      <c r="E3473" s="1">
        <v>7.77000777000777E-4</v>
      </c>
      <c r="F3473" s="1">
        <v>1.80695907009938E-3</v>
      </c>
    </row>
    <row r="3474" spans="1:6" x14ac:dyDescent="0.25">
      <c r="A3474" s="2" t="str">
        <f t="shared" si="124"/>
        <v>13780</v>
      </c>
      <c r="B3474" s="2" t="str">
        <f>"13743"</f>
        <v>13743</v>
      </c>
      <c r="C3474" s="1">
        <v>1.38159523870516E-2</v>
      </c>
      <c r="D3474" s="1">
        <v>4.5304273294967503E-3</v>
      </c>
      <c r="E3474" s="1">
        <v>5.2836052836052801E-3</v>
      </c>
      <c r="F3474" s="1">
        <v>1.28233355857052E-2</v>
      </c>
    </row>
    <row r="3475" spans="1:6" x14ac:dyDescent="0.25">
      <c r="A3475" s="2" t="str">
        <f t="shared" si="124"/>
        <v>13780</v>
      </c>
      <c r="B3475" s="2" t="str">
        <f>"13826"</f>
        <v>13826</v>
      </c>
      <c r="C3475" s="1">
        <v>4.7817882180153801E-4</v>
      </c>
      <c r="D3475" s="1">
        <v>0</v>
      </c>
      <c r="E3475" s="1">
        <v>1.5540015540015499E-4</v>
      </c>
      <c r="F3475" s="1">
        <v>4.3275910502380102E-4</v>
      </c>
    </row>
    <row r="3476" spans="1:6" x14ac:dyDescent="0.25">
      <c r="A3476" s="2" t="str">
        <f t="shared" si="124"/>
        <v>13780</v>
      </c>
      <c r="B3476" s="2" t="str">
        <f>"13845"</f>
        <v>13845</v>
      </c>
      <c r="C3476" s="1">
        <v>1.7077815064340601E-5</v>
      </c>
      <c r="D3476" s="1">
        <v>0</v>
      </c>
      <c r="E3476" s="1">
        <v>1.5540015540015499E-4</v>
      </c>
      <c r="F3476" s="1">
        <v>2.2776795001252699E-5</v>
      </c>
    </row>
    <row r="3477" spans="1:6" x14ac:dyDescent="0.25">
      <c r="A3477" s="2" t="str">
        <f t="shared" si="124"/>
        <v>13780</v>
      </c>
      <c r="B3477" s="2" t="str">
        <f>"13835"</f>
        <v>13835</v>
      </c>
      <c r="C3477" s="1">
        <v>4.5170820845181004E-3</v>
      </c>
      <c r="D3477" s="1">
        <v>3.6733194563487199E-4</v>
      </c>
      <c r="E3477" s="1">
        <v>4.6620046620046598E-4</v>
      </c>
      <c r="F3477" s="1">
        <v>4.0618617752234002E-3</v>
      </c>
    </row>
    <row r="3478" spans="1:6" x14ac:dyDescent="0.25">
      <c r="A3478" s="2" t="str">
        <f t="shared" si="124"/>
        <v>13780</v>
      </c>
      <c r="B3478" s="2" t="str">
        <f>"13812"</f>
        <v>13812</v>
      </c>
      <c r="C3478" s="1">
        <v>7.9241061898540702E-3</v>
      </c>
      <c r="D3478" s="1">
        <v>4.4079833476184599E-3</v>
      </c>
      <c r="E3478" s="1">
        <v>3.2634032634032599E-3</v>
      </c>
      <c r="F3478" s="1">
        <v>7.4783810254113103E-3</v>
      </c>
    </row>
    <row r="3479" spans="1:6" x14ac:dyDescent="0.25">
      <c r="A3479" s="2" t="str">
        <f t="shared" si="124"/>
        <v>13780</v>
      </c>
      <c r="B3479" s="2" t="str">
        <f>"13803"</f>
        <v>13803</v>
      </c>
      <c r="C3479" s="1">
        <v>1.2722972222933701E-3</v>
      </c>
      <c r="D3479" s="1">
        <v>4.89775927513162E-4</v>
      </c>
      <c r="E3479" s="1">
        <v>4.6620046620046598E-4</v>
      </c>
      <c r="F3479" s="1">
        <v>1.1843933400651401E-3</v>
      </c>
    </row>
    <row r="3480" spans="1:6" x14ac:dyDescent="0.25">
      <c r="A3480" s="2" t="str">
        <f t="shared" si="124"/>
        <v>13780</v>
      </c>
      <c r="B3480" s="2" t="str">
        <f>"13802"</f>
        <v>13802</v>
      </c>
      <c r="C3480" s="1">
        <v>2.6812169651014798E-3</v>
      </c>
      <c r="D3480" s="1">
        <v>8.5710787314803398E-4</v>
      </c>
      <c r="E3480" s="1">
        <v>4.6620046620046598E-4</v>
      </c>
      <c r="F3480" s="1">
        <v>2.4598938601352901E-3</v>
      </c>
    </row>
    <row r="3481" spans="1:6" x14ac:dyDescent="0.25">
      <c r="A3481" s="2" t="str">
        <f t="shared" si="124"/>
        <v>13780</v>
      </c>
      <c r="B3481" s="2" t="str">
        <f>"14883"</f>
        <v>14883</v>
      </c>
      <c r="C3481" s="1">
        <v>1.2261871216196501E-2</v>
      </c>
      <c r="D3481" s="1">
        <v>7.4690828945757296E-3</v>
      </c>
      <c r="E3481" s="1">
        <v>4.6620046620046603E-3</v>
      </c>
      <c r="F3481" s="1">
        <v>1.1593388655637599E-2</v>
      </c>
    </row>
    <row r="3482" spans="1:6" x14ac:dyDescent="0.25">
      <c r="A3482" s="2" t="str">
        <f t="shared" si="124"/>
        <v>13780</v>
      </c>
      <c r="B3482" s="2" t="str">
        <f>"13863"</f>
        <v>13863</v>
      </c>
      <c r="C3482" s="1">
        <v>4.2694537660851599E-5</v>
      </c>
      <c r="D3482" s="1">
        <v>0</v>
      </c>
      <c r="E3482" s="1">
        <v>0</v>
      </c>
      <c r="F3482" s="1">
        <v>3.7961325002087801E-5</v>
      </c>
    </row>
    <row r="3483" spans="1:6" x14ac:dyDescent="0.25">
      <c r="A3483" s="2" t="str">
        <f t="shared" si="124"/>
        <v>13780</v>
      </c>
      <c r="B3483" s="2" t="str">
        <f>"13901"</f>
        <v>13901</v>
      </c>
      <c r="C3483" s="1">
        <v>8.6977312122687001E-2</v>
      </c>
      <c r="D3483" s="1">
        <v>0.15134076160156701</v>
      </c>
      <c r="E3483" s="1">
        <v>0.13022533022533</v>
      </c>
      <c r="F3483" s="1">
        <v>9.3081168905119402E-2</v>
      </c>
    </row>
    <row r="3484" spans="1:6" x14ac:dyDescent="0.25">
      <c r="A3484" s="2" t="str">
        <f t="shared" si="124"/>
        <v>13780</v>
      </c>
      <c r="B3484" s="2" t="str">
        <f>"13865"</f>
        <v>13865</v>
      </c>
      <c r="C3484" s="1">
        <v>2.2773266388298199E-2</v>
      </c>
      <c r="D3484" s="1">
        <v>8.9384106771152102E-3</v>
      </c>
      <c r="E3484" s="1">
        <v>8.3916083916083899E-3</v>
      </c>
      <c r="F3484" s="1">
        <v>2.1212788411166701E-2</v>
      </c>
    </row>
    <row r="3485" spans="1:6" x14ac:dyDescent="0.25">
      <c r="A3485" s="2" t="str">
        <f t="shared" si="124"/>
        <v>13780</v>
      </c>
      <c r="B3485" s="2" t="str">
        <f>"13905"</f>
        <v>13905</v>
      </c>
      <c r="C3485" s="1">
        <v>0.115719274875972</v>
      </c>
      <c r="D3485" s="1">
        <v>0.10677115219786899</v>
      </c>
      <c r="E3485" s="1">
        <v>0.205749805749805</v>
      </c>
      <c r="F3485" s="1">
        <v>0.119562989226575</v>
      </c>
    </row>
    <row r="3486" spans="1:6" x14ac:dyDescent="0.25">
      <c r="A3486" s="2" t="str">
        <f t="shared" si="124"/>
        <v>13780</v>
      </c>
      <c r="B3486" s="2" t="str">
        <f>"13827"</f>
        <v>13827</v>
      </c>
      <c r="C3486" s="1">
        <v>4.7561714954188698E-2</v>
      </c>
      <c r="D3486" s="1">
        <v>6.2446430757928197E-2</v>
      </c>
      <c r="E3486" s="1">
        <v>5.3923853923853897E-2</v>
      </c>
      <c r="F3486" s="1">
        <v>4.8795487157683698E-2</v>
      </c>
    </row>
    <row r="3487" spans="1:6" x14ac:dyDescent="0.25">
      <c r="A3487" s="2" t="str">
        <f t="shared" si="124"/>
        <v>13780</v>
      </c>
      <c r="B3487" s="2" t="str">
        <f>"13811"</f>
        <v>13811</v>
      </c>
      <c r="C3487" s="1">
        <v>1.5711589859193398E-2</v>
      </c>
      <c r="D3487" s="1">
        <v>5.7548671482796597E-3</v>
      </c>
      <c r="E3487" s="1">
        <v>2.95260295260295E-3</v>
      </c>
      <c r="F3487" s="1">
        <v>1.44708570907958E-2</v>
      </c>
    </row>
    <row r="3488" spans="1:6" x14ac:dyDescent="0.25">
      <c r="A3488" s="2" t="str">
        <f t="shared" si="124"/>
        <v>13780</v>
      </c>
      <c r="B3488" s="2" t="str">
        <f>"13730"</f>
        <v>13730</v>
      </c>
      <c r="C3488" s="1">
        <v>6.2334024984843405E-4</v>
      </c>
      <c r="D3488" s="1">
        <v>0</v>
      </c>
      <c r="E3488" s="1">
        <v>0</v>
      </c>
      <c r="F3488" s="1">
        <v>5.5423534503048198E-4</v>
      </c>
    </row>
    <row r="3489" spans="1:6" x14ac:dyDescent="0.25">
      <c r="A3489" s="2" t="str">
        <f t="shared" si="124"/>
        <v>13780</v>
      </c>
      <c r="B3489" s="2" t="str">
        <f>"13732"</f>
        <v>13732</v>
      </c>
      <c r="C3489" s="1">
        <v>2.7555054606313599E-2</v>
      </c>
      <c r="D3489" s="1">
        <v>1.39586139341251E-2</v>
      </c>
      <c r="E3489" s="1">
        <v>7.77000777000777E-3</v>
      </c>
      <c r="F3489" s="1">
        <v>2.5745370616415901E-2</v>
      </c>
    </row>
    <row r="3490" spans="1:6" x14ac:dyDescent="0.25">
      <c r="A3490" s="2" t="str">
        <f t="shared" si="124"/>
        <v>13780</v>
      </c>
      <c r="B3490" s="2" t="str">
        <f>"14889"</f>
        <v>14889</v>
      </c>
      <c r="C3490" s="1">
        <v>2.5616722596511002E-5</v>
      </c>
      <c r="D3490" s="1">
        <v>1.2244398187829001E-4</v>
      </c>
      <c r="E3490" s="1">
        <v>0</v>
      </c>
      <c r="F3490" s="1">
        <v>3.0369060001670201E-5</v>
      </c>
    </row>
    <row r="3491" spans="1:6" x14ac:dyDescent="0.25">
      <c r="A3491" s="2" t="str">
        <f t="shared" si="124"/>
        <v>13780</v>
      </c>
      <c r="B3491" s="2" t="str">
        <f>"13762"</f>
        <v>13762</v>
      </c>
      <c r="C3491" s="1">
        <v>2.2201159583642801E-4</v>
      </c>
      <c r="D3491" s="1">
        <v>1.83665972817436E-3</v>
      </c>
      <c r="E3491" s="1">
        <v>3.1080031080030999E-4</v>
      </c>
      <c r="F3491" s="1">
        <v>3.2646739501795502E-4</v>
      </c>
    </row>
    <row r="3492" spans="1:6" x14ac:dyDescent="0.25">
      <c r="A3492" s="2" t="str">
        <f t="shared" si="124"/>
        <v>13780</v>
      </c>
      <c r="B3492" s="2" t="str">
        <f>"13795"</f>
        <v>13795</v>
      </c>
      <c r="C3492" s="1">
        <v>1.4174586503402699E-2</v>
      </c>
      <c r="D3492" s="1">
        <v>9.4281866046283802E-3</v>
      </c>
      <c r="E3492" s="1">
        <v>8.3916083916083899E-3</v>
      </c>
      <c r="F3492" s="1">
        <v>1.3597746615747801E-2</v>
      </c>
    </row>
    <row r="3493" spans="1:6" x14ac:dyDescent="0.25">
      <c r="A3493" s="2" t="str">
        <f t="shared" si="124"/>
        <v>13780</v>
      </c>
      <c r="B3493" s="2" t="str">
        <f>"13745"</f>
        <v>13745</v>
      </c>
      <c r="C3493" s="1">
        <v>3.8766640196053301E-3</v>
      </c>
      <c r="D3493" s="1">
        <v>1.0040406514019801E-2</v>
      </c>
      <c r="E3493" s="1">
        <v>3.1080031080030999E-4</v>
      </c>
      <c r="F3493" s="1">
        <v>4.0846385702246503E-3</v>
      </c>
    </row>
    <row r="3494" spans="1:6" x14ac:dyDescent="0.25">
      <c r="A3494" s="2" t="str">
        <f t="shared" ref="A3494:A3512" si="125">"13780"</f>
        <v>13780</v>
      </c>
      <c r="B3494" s="2" t="str">
        <f>"13783"</f>
        <v>13783</v>
      </c>
      <c r="C3494" s="1">
        <v>4.2694537660851599E-5</v>
      </c>
      <c r="D3494" s="1">
        <v>1.2244398187829001E-4</v>
      </c>
      <c r="E3494" s="1">
        <v>0</v>
      </c>
      <c r="F3494" s="1">
        <v>4.5553590002505398E-5</v>
      </c>
    </row>
    <row r="3495" spans="1:6" x14ac:dyDescent="0.25">
      <c r="A3495" s="2" t="str">
        <f t="shared" si="125"/>
        <v>13780</v>
      </c>
      <c r="B3495" s="2" t="str">
        <f>"13734"</f>
        <v>13734</v>
      </c>
      <c r="C3495" s="1">
        <v>8.1461177856904897E-3</v>
      </c>
      <c r="D3495" s="1">
        <v>1.7142157462960599E-3</v>
      </c>
      <c r="E3495" s="1">
        <v>4.0404040404040404E-3</v>
      </c>
      <c r="F3495" s="1">
        <v>7.5467114104150598E-3</v>
      </c>
    </row>
    <row r="3496" spans="1:6" x14ac:dyDescent="0.25">
      <c r="A3496" s="2" t="str">
        <f t="shared" si="125"/>
        <v>13780</v>
      </c>
      <c r="B3496" s="2" t="str">
        <f>"13903"</f>
        <v>13903</v>
      </c>
      <c r="C3496" s="1">
        <v>7.4843524519472904E-2</v>
      </c>
      <c r="D3496" s="1">
        <v>3.5753642708460799E-2</v>
      </c>
      <c r="E3496" s="1">
        <v>8.4537684537684496E-2</v>
      </c>
      <c r="F3496" s="1">
        <v>7.2893336269009096E-2</v>
      </c>
    </row>
    <row r="3497" spans="1:6" x14ac:dyDescent="0.25">
      <c r="A3497" s="2" t="str">
        <f t="shared" si="125"/>
        <v>13780</v>
      </c>
      <c r="B3497" s="2" t="str">
        <f>"13737"</f>
        <v>13737</v>
      </c>
      <c r="C3497" s="1">
        <v>0</v>
      </c>
      <c r="D3497" s="1">
        <v>0</v>
      </c>
      <c r="E3497" s="1">
        <v>1.5540015540015499E-4</v>
      </c>
      <c r="F3497" s="1">
        <v>7.5922650004175697E-6</v>
      </c>
    </row>
    <row r="3498" spans="1:6" x14ac:dyDescent="0.25">
      <c r="A3498" s="2" t="str">
        <f t="shared" si="125"/>
        <v>13780</v>
      </c>
      <c r="B3498" s="2" t="str">
        <f>"13749"</f>
        <v>13749</v>
      </c>
      <c r="C3498" s="1">
        <v>0</v>
      </c>
      <c r="D3498" s="1">
        <v>0</v>
      </c>
      <c r="E3498" s="1">
        <v>1.5540015540015499E-4</v>
      </c>
      <c r="F3498" s="1">
        <v>7.5922650004175697E-6</v>
      </c>
    </row>
    <row r="3499" spans="1:6" x14ac:dyDescent="0.25">
      <c r="A3499" s="2" t="str">
        <f t="shared" si="125"/>
        <v>13780</v>
      </c>
      <c r="B3499" s="2" t="str">
        <f>"13754"</f>
        <v>13754</v>
      </c>
      <c r="C3499" s="1">
        <v>9.0427030765683793E-3</v>
      </c>
      <c r="D3499" s="1">
        <v>7.8364148402106006E-3</v>
      </c>
      <c r="E3499" s="1">
        <v>3.8850038850038798E-3</v>
      </c>
      <c r="F3499" s="1">
        <v>8.7159202204793694E-3</v>
      </c>
    </row>
    <row r="3500" spans="1:6" x14ac:dyDescent="0.25">
      <c r="A3500" s="2" t="str">
        <f t="shared" si="125"/>
        <v>13780</v>
      </c>
      <c r="B3500" s="2" t="str">
        <f>"13840"</f>
        <v>13840</v>
      </c>
      <c r="C3500" s="1">
        <v>0</v>
      </c>
      <c r="D3500" s="1">
        <v>0</v>
      </c>
      <c r="E3500" s="1">
        <v>1.5540015540015499E-4</v>
      </c>
      <c r="F3500" s="1">
        <v>7.5922650004175697E-6</v>
      </c>
    </row>
    <row r="3501" spans="1:6" x14ac:dyDescent="0.25">
      <c r="A3501" s="2" t="str">
        <f t="shared" si="125"/>
        <v>13780</v>
      </c>
      <c r="B3501" s="2" t="str">
        <f>"13794"</f>
        <v>13794</v>
      </c>
      <c r="C3501" s="1">
        <v>0</v>
      </c>
      <c r="D3501" s="1">
        <v>0</v>
      </c>
      <c r="E3501" s="1">
        <v>1.5540015540015499E-4</v>
      </c>
      <c r="F3501" s="1">
        <v>7.5922650004175697E-6</v>
      </c>
    </row>
    <row r="3502" spans="1:6" x14ac:dyDescent="0.25">
      <c r="A3502" s="2" t="str">
        <f t="shared" si="125"/>
        <v>13780</v>
      </c>
      <c r="B3502" s="2" t="str">
        <f>"13797"</f>
        <v>13797</v>
      </c>
      <c r="C3502" s="1">
        <v>7.0872932517013704E-3</v>
      </c>
      <c r="D3502" s="1">
        <v>1.9591037100526502E-3</v>
      </c>
      <c r="E3502" s="1">
        <v>1.5540015540015501E-3</v>
      </c>
      <c r="F3502" s="1">
        <v>6.4989788403574398E-3</v>
      </c>
    </row>
    <row r="3503" spans="1:6" x14ac:dyDescent="0.25">
      <c r="A3503" s="2" t="str">
        <f t="shared" si="125"/>
        <v>13780</v>
      </c>
      <c r="B3503" s="2" t="str">
        <f>"14892"</f>
        <v>14892</v>
      </c>
      <c r="C3503" s="1">
        <v>3.0099649050900401E-2</v>
      </c>
      <c r="D3503" s="1">
        <v>3.4039426962164797E-2</v>
      </c>
      <c r="E3503" s="1">
        <v>4.8484848484848402E-2</v>
      </c>
      <c r="F3503" s="1">
        <v>3.12421704767183E-2</v>
      </c>
    </row>
    <row r="3504" spans="1:6" x14ac:dyDescent="0.25">
      <c r="A3504" s="2" t="str">
        <f t="shared" si="125"/>
        <v>13780</v>
      </c>
      <c r="B3504" s="2" t="str">
        <f>"14859"</f>
        <v>14859</v>
      </c>
      <c r="C3504" s="1">
        <v>3.0996234341778301E-3</v>
      </c>
      <c r="D3504" s="1">
        <v>3.6733194563487199E-4</v>
      </c>
      <c r="E3504" s="1">
        <v>2.17560217560217E-3</v>
      </c>
      <c r="F3504" s="1">
        <v>2.8850607001586698E-3</v>
      </c>
    </row>
    <row r="3505" spans="1:6" x14ac:dyDescent="0.25">
      <c r="A3505" s="2" t="str">
        <f t="shared" si="125"/>
        <v>13780</v>
      </c>
      <c r="B3505" s="2" t="str">
        <f>"13864"</f>
        <v>13864</v>
      </c>
      <c r="C3505" s="1">
        <v>3.1508568793708501E-3</v>
      </c>
      <c r="D3505" s="1">
        <v>3.6733194563487199E-4</v>
      </c>
      <c r="E3505" s="1">
        <v>7.77000777000777E-4</v>
      </c>
      <c r="F3505" s="1">
        <v>2.8622839051574201E-3</v>
      </c>
    </row>
    <row r="3506" spans="1:6" x14ac:dyDescent="0.25">
      <c r="A3506" s="2" t="str">
        <f t="shared" si="125"/>
        <v>13780</v>
      </c>
      <c r="B3506" s="2" t="str">
        <f>"13851"</f>
        <v>13851</v>
      </c>
      <c r="C3506" s="1">
        <v>6.0797021629052702E-3</v>
      </c>
      <c r="D3506" s="1">
        <v>2.4978572303171201E-2</v>
      </c>
      <c r="E3506" s="1">
        <v>3.1080031080030999E-4</v>
      </c>
      <c r="F3506" s="1">
        <v>6.9696992703833296E-3</v>
      </c>
    </row>
    <row r="3507" spans="1:6" x14ac:dyDescent="0.25">
      <c r="A3507" s="2" t="str">
        <f t="shared" si="125"/>
        <v>13780</v>
      </c>
      <c r="B3507" s="2" t="str">
        <f>"13744"</f>
        <v>13744</v>
      </c>
      <c r="C3507" s="1">
        <v>3.9108196497340099E-3</v>
      </c>
      <c r="D3507" s="1">
        <v>1.2244398187829001E-4</v>
      </c>
      <c r="E3507" s="1">
        <v>1.08780108780108E-3</v>
      </c>
      <c r="F3507" s="1">
        <v>3.5379954901945802E-3</v>
      </c>
    </row>
    <row r="3508" spans="1:6" x14ac:dyDescent="0.25">
      <c r="A3508" s="2" t="str">
        <f t="shared" si="125"/>
        <v>13780</v>
      </c>
      <c r="B3508" s="2" t="str">
        <f>"13787"</f>
        <v>13787</v>
      </c>
      <c r="C3508" s="1">
        <v>1.0716328952873701E-2</v>
      </c>
      <c r="D3508" s="1">
        <v>3.79576343822701E-3</v>
      </c>
      <c r="E3508" s="1">
        <v>2.95260295260295E-3</v>
      </c>
      <c r="F3508" s="1">
        <v>9.9079058255449309E-3</v>
      </c>
    </row>
    <row r="3509" spans="1:6" x14ac:dyDescent="0.25">
      <c r="A3509" s="2" t="str">
        <f t="shared" si="125"/>
        <v>13780</v>
      </c>
      <c r="B3509" s="2" t="str">
        <f>"13748"</f>
        <v>13748</v>
      </c>
      <c r="C3509" s="1">
        <v>1.4490526082092999E-2</v>
      </c>
      <c r="D3509" s="1">
        <v>6.8568629851842701E-3</v>
      </c>
      <c r="E3509" s="1">
        <v>3.8850038850038798E-3</v>
      </c>
      <c r="F3509" s="1">
        <v>1.34990471707424E-2</v>
      </c>
    </row>
    <row r="3510" spans="1:6" x14ac:dyDescent="0.25">
      <c r="A3510" s="2" t="str">
        <f t="shared" si="125"/>
        <v>13780</v>
      </c>
      <c r="B3510" s="2" t="str">
        <f>"13746"</f>
        <v>13746</v>
      </c>
      <c r="C3510" s="1">
        <v>7.8301782070001897E-3</v>
      </c>
      <c r="D3510" s="1">
        <v>8.5710787314803398E-4</v>
      </c>
      <c r="E3510" s="1">
        <v>7.77000777000777E-4</v>
      </c>
      <c r="F3510" s="1">
        <v>7.0532141853879198E-3</v>
      </c>
    </row>
    <row r="3511" spans="1:6" x14ac:dyDescent="0.25">
      <c r="A3511" s="2" t="str">
        <f t="shared" si="125"/>
        <v>13780</v>
      </c>
      <c r="B3511" s="2" t="str">
        <f>"13833"</f>
        <v>13833</v>
      </c>
      <c r="C3511" s="1">
        <v>1.9110075056997199E-2</v>
      </c>
      <c r="D3511" s="1">
        <v>6.9793069670625596E-3</v>
      </c>
      <c r="E3511" s="1">
        <v>3.7296037296037201E-3</v>
      </c>
      <c r="F3511" s="1">
        <v>1.7606462535968301E-2</v>
      </c>
    </row>
    <row r="3512" spans="1:6" x14ac:dyDescent="0.25">
      <c r="A3512" s="2" t="str">
        <f t="shared" si="125"/>
        <v>13780</v>
      </c>
      <c r="B3512" s="2" t="str">
        <f>"13813"</f>
        <v>13813</v>
      </c>
      <c r="C3512" s="1">
        <v>3.0142343588561199E-3</v>
      </c>
      <c r="D3512" s="1">
        <v>0</v>
      </c>
      <c r="E3512" s="1">
        <v>1.5540015540015499E-4</v>
      </c>
      <c r="F3512" s="1">
        <v>2.68766181014782E-3</v>
      </c>
    </row>
    <row r="3513" spans="1:6" x14ac:dyDescent="0.25">
      <c r="A3513" s="2" t="str">
        <f t="shared" ref="A3513:A3535" si="126">"47620"</f>
        <v>47620</v>
      </c>
      <c r="B3513" s="2" t="str">
        <f>"16312"</f>
        <v>16312</v>
      </c>
      <c r="C3513" s="1">
        <v>0</v>
      </c>
      <c r="D3513" s="1">
        <v>0</v>
      </c>
      <c r="E3513" s="1">
        <v>1.2820512820512801E-3</v>
      </c>
      <c r="F3513" s="1">
        <v>4.8790007806401202E-5</v>
      </c>
    </row>
    <row r="3514" spans="1:6" x14ac:dyDescent="0.25">
      <c r="A3514" s="2" t="str">
        <f t="shared" si="126"/>
        <v>47620</v>
      </c>
      <c r="B3514" s="2" t="str">
        <f>"16434"</f>
        <v>16434</v>
      </c>
      <c r="C3514" s="1">
        <v>6.8519223448800896E-3</v>
      </c>
      <c r="D3514" s="1">
        <v>7.5357950263752805E-4</v>
      </c>
      <c r="E3514" s="1">
        <v>0</v>
      </c>
      <c r="F3514" s="1">
        <v>6.1963309914129499E-3</v>
      </c>
    </row>
    <row r="3515" spans="1:6" x14ac:dyDescent="0.25">
      <c r="A3515" s="2" t="str">
        <f t="shared" si="126"/>
        <v>47620</v>
      </c>
      <c r="B3515" s="2" t="str">
        <f>"16366"</f>
        <v>16366</v>
      </c>
      <c r="C3515" s="1">
        <v>0</v>
      </c>
      <c r="D3515" s="1">
        <v>1.50715900527505E-3</v>
      </c>
      <c r="E3515" s="1">
        <v>0</v>
      </c>
      <c r="F3515" s="1">
        <v>9.7580015612802403E-5</v>
      </c>
    </row>
    <row r="3516" spans="1:6" x14ac:dyDescent="0.25">
      <c r="A3516" s="2" t="str">
        <f t="shared" si="126"/>
        <v>47620</v>
      </c>
      <c r="B3516" s="2" t="str">
        <f>"16354"</f>
        <v>16354</v>
      </c>
      <c r="C3516" s="1">
        <v>6.3081189841753199E-3</v>
      </c>
      <c r="D3516" s="1">
        <v>7.5357950263752805E-4</v>
      </c>
      <c r="E3516" s="1">
        <v>0</v>
      </c>
      <c r="F3516" s="1">
        <v>5.7084309133489403E-3</v>
      </c>
    </row>
    <row r="3517" spans="1:6" x14ac:dyDescent="0.25">
      <c r="A3517" s="2" t="str">
        <f t="shared" si="126"/>
        <v>47620</v>
      </c>
      <c r="B3517" s="2" t="str">
        <f>"16407"</f>
        <v>16407</v>
      </c>
      <c r="C3517" s="1">
        <v>2.87128174452118E-2</v>
      </c>
      <c r="D3517" s="1">
        <v>1.13036925395629E-2</v>
      </c>
      <c r="E3517" s="1">
        <v>0</v>
      </c>
      <c r="F3517" s="1">
        <v>2.64929742388758E-2</v>
      </c>
    </row>
    <row r="3518" spans="1:6" x14ac:dyDescent="0.25">
      <c r="A3518" s="2" t="str">
        <f t="shared" si="126"/>
        <v>47620</v>
      </c>
      <c r="B3518" s="2" t="str">
        <f>"16402"</f>
        <v>16402</v>
      </c>
      <c r="C3518" s="1">
        <v>1.8815596280385E-2</v>
      </c>
      <c r="D3518" s="1">
        <v>9.7965335342878601E-3</v>
      </c>
      <c r="E3518" s="1">
        <v>1.2820512820512801E-3</v>
      </c>
      <c r="F3518" s="1">
        <v>1.75644028103044E-2</v>
      </c>
    </row>
    <row r="3519" spans="1:6" x14ac:dyDescent="0.25">
      <c r="A3519" s="2" t="str">
        <f t="shared" si="126"/>
        <v>47620</v>
      </c>
      <c r="B3519" s="2" t="str">
        <f>"16365"</f>
        <v>16365</v>
      </c>
      <c r="C3519" s="1">
        <v>0.49225080210995698</v>
      </c>
      <c r="D3519" s="1">
        <v>0.74076865109268997</v>
      </c>
      <c r="E3519" s="1">
        <v>0.85897435897435803</v>
      </c>
      <c r="F3519" s="1">
        <v>0.52229703356752499</v>
      </c>
    </row>
    <row r="3520" spans="1:6" x14ac:dyDescent="0.25">
      <c r="A3520" s="2" t="str">
        <f t="shared" si="126"/>
        <v>47620</v>
      </c>
      <c r="B3520" s="2" t="str">
        <f>"16340"</f>
        <v>16340</v>
      </c>
      <c r="C3520" s="1">
        <v>4.3993691881015803E-2</v>
      </c>
      <c r="D3520" s="1">
        <v>1.3564431047475499E-2</v>
      </c>
      <c r="E3520" s="1">
        <v>1.2820512820512801E-3</v>
      </c>
      <c r="F3520" s="1">
        <v>4.0398126463700203E-2</v>
      </c>
    </row>
    <row r="3521" spans="1:6" x14ac:dyDescent="0.25">
      <c r="A3521" s="2" t="str">
        <f t="shared" si="126"/>
        <v>47620</v>
      </c>
      <c r="B3521" s="2" t="str">
        <f>"16313"</f>
        <v>16313</v>
      </c>
      <c r="C3521" s="1">
        <v>4.4863777258143403E-2</v>
      </c>
      <c r="D3521" s="1">
        <v>1.8085908063300599E-2</v>
      </c>
      <c r="E3521" s="1">
        <v>3.8461538461538399E-3</v>
      </c>
      <c r="F3521" s="1">
        <v>4.1569086651053799E-2</v>
      </c>
    </row>
    <row r="3522" spans="1:6" x14ac:dyDescent="0.25">
      <c r="A3522" s="2" t="str">
        <f t="shared" si="126"/>
        <v>47620</v>
      </c>
      <c r="B3522" s="2" t="str">
        <f>"16368"</f>
        <v>16368</v>
      </c>
      <c r="C3522" s="1">
        <v>0</v>
      </c>
      <c r="D3522" s="1">
        <v>7.5357950263752805E-4</v>
      </c>
      <c r="E3522" s="1">
        <v>0</v>
      </c>
      <c r="F3522" s="1">
        <v>4.8790007806401202E-5</v>
      </c>
    </row>
    <row r="3523" spans="1:6" x14ac:dyDescent="0.25">
      <c r="A3523" s="2" t="str">
        <f t="shared" si="126"/>
        <v>47620</v>
      </c>
      <c r="B3523" s="2" t="str">
        <f>"16367"</f>
        <v>16367</v>
      </c>
      <c r="C3523" s="1">
        <v>0</v>
      </c>
      <c r="D3523" s="1">
        <v>0</v>
      </c>
      <c r="E3523" s="1">
        <v>1.2820512820512801E-3</v>
      </c>
      <c r="F3523" s="1">
        <v>4.8790007806401202E-5</v>
      </c>
    </row>
    <row r="3524" spans="1:6" x14ac:dyDescent="0.25">
      <c r="A3524" s="2" t="str">
        <f t="shared" si="126"/>
        <v>47620</v>
      </c>
      <c r="B3524" s="2" t="str">
        <f>"16371"</f>
        <v>16371</v>
      </c>
      <c r="C3524" s="1">
        <v>8.5268366958507799E-2</v>
      </c>
      <c r="D3524" s="1">
        <v>8.2140165787490504E-2</v>
      </c>
      <c r="E3524" s="1">
        <v>4.8717948717948698E-2</v>
      </c>
      <c r="F3524" s="1">
        <v>8.3674863387978096E-2</v>
      </c>
    </row>
    <row r="3525" spans="1:6" x14ac:dyDescent="0.25">
      <c r="A3525" s="2" t="str">
        <f t="shared" si="126"/>
        <v>47620</v>
      </c>
      <c r="B3525" s="2" t="str">
        <f>"16350"</f>
        <v>16350</v>
      </c>
      <c r="C3525" s="1">
        <v>5.68274511936483E-2</v>
      </c>
      <c r="D3525" s="1">
        <v>9.0429540316503305E-3</v>
      </c>
      <c r="E3525" s="1">
        <v>3.8461538461538399E-3</v>
      </c>
      <c r="F3525" s="1">
        <v>5.1717408274785298E-2</v>
      </c>
    </row>
    <row r="3526" spans="1:6" x14ac:dyDescent="0.25">
      <c r="A3526" s="2" t="str">
        <f t="shared" si="126"/>
        <v>47620</v>
      </c>
      <c r="B3526" s="2" t="str">
        <f>"16436"</f>
        <v>16436</v>
      </c>
      <c r="C3526" s="1">
        <v>1.7129805862200202E-2</v>
      </c>
      <c r="D3526" s="1">
        <v>5.2750565184626896E-3</v>
      </c>
      <c r="E3526" s="1">
        <v>1.2820512820512801E-3</v>
      </c>
      <c r="F3526" s="1">
        <v>1.57591725214676E-2</v>
      </c>
    </row>
    <row r="3527" spans="1:6" x14ac:dyDescent="0.25">
      <c r="A3527" s="2" t="str">
        <f t="shared" si="126"/>
        <v>47620</v>
      </c>
      <c r="B3527" s="2" t="str">
        <f>"16416"</f>
        <v>16416</v>
      </c>
      <c r="C3527" s="1">
        <v>0</v>
      </c>
      <c r="D3527" s="1">
        <v>0</v>
      </c>
      <c r="E3527" s="1">
        <v>1.2820512820512801E-3</v>
      </c>
      <c r="F3527" s="1">
        <v>4.8790007806401202E-5</v>
      </c>
    </row>
    <row r="3528" spans="1:6" x14ac:dyDescent="0.25">
      <c r="A3528" s="2" t="str">
        <f t="shared" si="126"/>
        <v>47620</v>
      </c>
      <c r="B3528" s="2" t="str">
        <f>"16329"</f>
        <v>16329</v>
      </c>
      <c r="C3528" s="1">
        <v>9.7884604926858406E-3</v>
      </c>
      <c r="D3528" s="1">
        <v>1.50715900527505E-3</v>
      </c>
      <c r="E3528" s="1">
        <v>1.2820512820512801E-3</v>
      </c>
      <c r="F3528" s="1">
        <v>8.9285714285714194E-3</v>
      </c>
    </row>
    <row r="3529" spans="1:6" x14ac:dyDescent="0.25">
      <c r="A3529" s="2" t="str">
        <f t="shared" si="126"/>
        <v>47620</v>
      </c>
      <c r="B3529" s="2" t="str">
        <f>"16345"</f>
        <v>16345</v>
      </c>
      <c r="C3529" s="1">
        <v>8.6954157376692501E-2</v>
      </c>
      <c r="D3529" s="1">
        <v>3.5418236623963803E-2</v>
      </c>
      <c r="E3529" s="1">
        <v>6.41025641025641E-3</v>
      </c>
      <c r="F3529" s="1">
        <v>8.0552302888368399E-2</v>
      </c>
    </row>
    <row r="3530" spans="1:6" x14ac:dyDescent="0.25">
      <c r="A3530" s="2" t="str">
        <f t="shared" si="126"/>
        <v>47620</v>
      </c>
      <c r="B3530" s="2" t="str">
        <f>"16420"</f>
        <v>16420</v>
      </c>
      <c r="C3530" s="1">
        <v>1.8217412583609701E-2</v>
      </c>
      <c r="D3530" s="1">
        <v>6.7822155237377496E-3</v>
      </c>
      <c r="E3530" s="1">
        <v>1.2820512820512801E-3</v>
      </c>
      <c r="F3530" s="1">
        <v>1.6832552693208401E-2</v>
      </c>
    </row>
    <row r="3531" spans="1:6" x14ac:dyDescent="0.25">
      <c r="A3531" s="2" t="str">
        <f t="shared" si="126"/>
        <v>47620</v>
      </c>
      <c r="B3531" s="2" t="str">
        <f>"16405"</f>
        <v>16405</v>
      </c>
      <c r="C3531" s="1">
        <v>1.2888139648702999E-2</v>
      </c>
      <c r="D3531" s="1">
        <v>3.01431801055011E-3</v>
      </c>
      <c r="E3531" s="1">
        <v>3.8461538461538399E-3</v>
      </c>
      <c r="F3531" s="1">
        <v>1.1904761904761901E-2</v>
      </c>
    </row>
    <row r="3532" spans="1:6" x14ac:dyDescent="0.25">
      <c r="A3532" s="2" t="str">
        <f t="shared" si="126"/>
        <v>47620</v>
      </c>
      <c r="B3532" s="2" t="str">
        <f>"16347"</f>
        <v>16347</v>
      </c>
      <c r="C3532" s="1">
        <v>1.72929468704116E-2</v>
      </c>
      <c r="D3532" s="1">
        <v>1.13036925395629E-2</v>
      </c>
      <c r="E3532" s="1">
        <v>1.9230769230769201E-2</v>
      </c>
      <c r="F3532" s="1">
        <v>1.6978922716627601E-2</v>
      </c>
    </row>
    <row r="3533" spans="1:6" x14ac:dyDescent="0.25">
      <c r="A3533" s="2" t="str">
        <f t="shared" si="126"/>
        <v>47620</v>
      </c>
      <c r="B3533" s="2" t="str">
        <f>"16369"</f>
        <v>16369</v>
      </c>
      <c r="C3533" s="1">
        <v>0</v>
      </c>
      <c r="D3533" s="1">
        <v>0</v>
      </c>
      <c r="E3533" s="1">
        <v>1.2820512820512801E-3</v>
      </c>
      <c r="F3533" s="1">
        <v>4.8790007806401202E-5</v>
      </c>
    </row>
    <row r="3534" spans="1:6" x14ac:dyDescent="0.25">
      <c r="A3534" s="2" t="str">
        <f t="shared" si="126"/>
        <v>47620</v>
      </c>
      <c r="B3534" s="2" t="str">
        <f>"16352"</f>
        <v>16352</v>
      </c>
      <c r="C3534" s="1">
        <v>0</v>
      </c>
      <c r="D3534" s="1">
        <v>0</v>
      </c>
      <c r="E3534" s="1">
        <v>1.2820512820512801E-3</v>
      </c>
      <c r="F3534" s="1">
        <v>4.8790007806401202E-5</v>
      </c>
    </row>
    <row r="3535" spans="1:6" x14ac:dyDescent="0.25">
      <c r="A3535" s="2" t="str">
        <f t="shared" si="126"/>
        <v>47620</v>
      </c>
      <c r="B3535" s="2" t="str">
        <f>"16351"</f>
        <v>16351</v>
      </c>
      <c r="C3535" s="1">
        <v>5.3836532709772102E-2</v>
      </c>
      <c r="D3535" s="1">
        <v>4.8229088168801802E-2</v>
      </c>
      <c r="E3535" s="1">
        <v>4.2307692307692303E-2</v>
      </c>
      <c r="F3535" s="1">
        <v>5.3034738485558099E-2</v>
      </c>
    </row>
    <row r="3536" spans="1:6" x14ac:dyDescent="0.25">
      <c r="A3536" s="2" t="str">
        <f t="shared" ref="A3536:A3567" si="127">"25420"</f>
        <v>25420</v>
      </c>
      <c r="B3536" s="2" t="str">
        <f>"17106"</f>
        <v>17106</v>
      </c>
      <c r="C3536" s="1">
        <v>3.9690776994381E-3</v>
      </c>
      <c r="D3536" s="1">
        <v>1.61382274262158E-2</v>
      </c>
      <c r="E3536" s="1">
        <v>8.2596844800528598E-5</v>
      </c>
      <c r="F3536" s="1">
        <v>4.7022143038941196E-3</v>
      </c>
    </row>
    <row r="3537" spans="1:6" x14ac:dyDescent="0.25">
      <c r="A3537" s="2" t="str">
        <f t="shared" si="127"/>
        <v>25420</v>
      </c>
      <c r="B3537" s="2" t="str">
        <f>"17108"</f>
        <v>17108</v>
      </c>
      <c r="C3537" s="1">
        <v>4.1659210479223999E-3</v>
      </c>
      <c r="D3537" s="1">
        <v>1.5831250274086699E-2</v>
      </c>
      <c r="E3537" s="1">
        <v>8.2596844800528598E-5</v>
      </c>
      <c r="F3537" s="1">
        <v>4.8549249172817497E-3</v>
      </c>
    </row>
    <row r="3538" spans="1:6" x14ac:dyDescent="0.25">
      <c r="A3538" s="2" t="str">
        <f t="shared" si="127"/>
        <v>25420</v>
      </c>
      <c r="B3538" s="2" t="str">
        <f>"17102"</f>
        <v>17102</v>
      </c>
      <c r="C3538" s="1">
        <v>1.8975698793887101E-2</v>
      </c>
      <c r="D3538" s="1">
        <v>1.9514976099636001E-2</v>
      </c>
      <c r="E3538" s="1">
        <v>6.14520525315932E-2</v>
      </c>
      <c r="F3538" s="1">
        <v>2.06509289895647E-2</v>
      </c>
    </row>
    <row r="3539" spans="1:6" x14ac:dyDescent="0.25">
      <c r="A3539" s="2" t="str">
        <f t="shared" si="127"/>
        <v>25420</v>
      </c>
      <c r="B3539" s="2" t="str">
        <f>"17090"</f>
        <v>17090</v>
      </c>
      <c r="C3539" s="1">
        <v>8.1600515371676001E-3</v>
      </c>
      <c r="D3539" s="1">
        <v>2.4996710959084298E-3</v>
      </c>
      <c r="E3539" s="1">
        <v>3.1386801024200798E-3</v>
      </c>
      <c r="F3539" s="1">
        <v>7.5559938915754597E-3</v>
      </c>
    </row>
    <row r="3540" spans="1:6" x14ac:dyDescent="0.25">
      <c r="A3540" s="2" t="str">
        <f t="shared" si="127"/>
        <v>25420</v>
      </c>
      <c r="B3540" s="2" t="str">
        <f>"17062"</f>
        <v>17062</v>
      </c>
      <c r="C3540" s="1">
        <v>4.8996098922730004E-3</v>
      </c>
      <c r="D3540" s="1">
        <v>2.2804017015305E-3</v>
      </c>
      <c r="E3540" s="1">
        <v>7.4337160320475703E-4</v>
      </c>
      <c r="F3540" s="1">
        <v>4.5495036905064904E-3</v>
      </c>
    </row>
    <row r="3541" spans="1:6" x14ac:dyDescent="0.25">
      <c r="A3541" s="2" t="str">
        <f t="shared" si="127"/>
        <v>25420</v>
      </c>
      <c r="B3541" s="2" t="str">
        <f>"17324"</f>
        <v>17324</v>
      </c>
      <c r="C3541" s="1">
        <v>4.0263412189971703E-3</v>
      </c>
      <c r="D3541" s="1">
        <v>5.7010042538262499E-4</v>
      </c>
      <c r="E3541" s="1">
        <v>1.6519368960105701E-4</v>
      </c>
      <c r="F3541" s="1">
        <v>3.6268770679562198E-3</v>
      </c>
    </row>
    <row r="3542" spans="1:6" x14ac:dyDescent="0.25">
      <c r="A3542" s="2" t="str">
        <f t="shared" si="127"/>
        <v>25420</v>
      </c>
      <c r="B3542" s="2" t="str">
        <f>"17050"</f>
        <v>17050</v>
      </c>
      <c r="C3542" s="1">
        <v>6.5938942772270095E-2</v>
      </c>
      <c r="D3542" s="1">
        <v>5.7360873569267203E-2</v>
      </c>
      <c r="E3542" s="1">
        <v>3.4277690592219301E-2</v>
      </c>
      <c r="F3542" s="1">
        <v>6.4097098498345606E-2</v>
      </c>
    </row>
    <row r="3543" spans="1:6" x14ac:dyDescent="0.25">
      <c r="A3543" s="2" t="str">
        <f t="shared" si="127"/>
        <v>25420</v>
      </c>
      <c r="B3543" s="2" t="str">
        <f>"17130"</f>
        <v>17130</v>
      </c>
      <c r="C3543" s="1">
        <v>0</v>
      </c>
      <c r="D3543" s="1">
        <v>4.3853878875586499E-5</v>
      </c>
      <c r="E3543" s="1">
        <v>0</v>
      </c>
      <c r="F3543" s="1">
        <v>3.1814711122422999E-6</v>
      </c>
    </row>
    <row r="3544" spans="1:6" x14ac:dyDescent="0.25">
      <c r="A3544" s="2" t="str">
        <f t="shared" si="127"/>
        <v>25420</v>
      </c>
      <c r="B3544" s="2" t="str">
        <f>"17113"</f>
        <v>17113</v>
      </c>
      <c r="C3544" s="1">
        <v>1.85641172470562E-2</v>
      </c>
      <c r="D3544" s="1">
        <v>1.1007323597772199E-2</v>
      </c>
      <c r="E3544" s="1">
        <v>2.44486660609564E-2</v>
      </c>
      <c r="F3544" s="1">
        <v>1.82425553575973E-2</v>
      </c>
    </row>
    <row r="3545" spans="1:6" x14ac:dyDescent="0.25">
      <c r="A3545" s="2" t="str">
        <f t="shared" si="127"/>
        <v>25420</v>
      </c>
      <c r="B3545" s="2" t="str">
        <f>"17035"</f>
        <v>17035</v>
      </c>
      <c r="C3545" s="1">
        <v>2.14738198346515E-5</v>
      </c>
      <c r="D3545" s="1">
        <v>0</v>
      </c>
      <c r="E3545" s="1">
        <v>0</v>
      </c>
      <c r="F3545" s="1">
        <v>1.9088826673453799E-5</v>
      </c>
    </row>
    <row r="3546" spans="1:6" x14ac:dyDescent="0.25">
      <c r="A3546" s="2" t="str">
        <f t="shared" si="127"/>
        <v>25420</v>
      </c>
      <c r="B3546" s="2" t="str">
        <f>"17036"</f>
        <v>17036</v>
      </c>
      <c r="C3546" s="1">
        <v>3.9254142657743102E-2</v>
      </c>
      <c r="D3546" s="1">
        <v>2.6838573871858899E-2</v>
      </c>
      <c r="E3546" s="1">
        <v>2.3209713388948498E-2</v>
      </c>
      <c r="F3546" s="1">
        <v>3.7735428862305902E-2</v>
      </c>
    </row>
    <row r="3547" spans="1:6" x14ac:dyDescent="0.25">
      <c r="A3547" s="2" t="str">
        <f t="shared" si="127"/>
        <v>25420</v>
      </c>
      <c r="B3547" s="2" t="str">
        <f>"17015"</f>
        <v>17015</v>
      </c>
      <c r="C3547" s="1">
        <v>3.7697290719730797E-2</v>
      </c>
      <c r="D3547" s="1">
        <v>2.2409332105424701E-2</v>
      </c>
      <c r="E3547" s="1">
        <v>9.99421822086396E-3</v>
      </c>
      <c r="F3547" s="1">
        <v>3.55211249681852E-2</v>
      </c>
    </row>
    <row r="3548" spans="1:6" x14ac:dyDescent="0.25">
      <c r="A3548" s="2" t="str">
        <f t="shared" si="127"/>
        <v>25420</v>
      </c>
      <c r="B3548" s="2" t="str">
        <f>"17978"</f>
        <v>17978</v>
      </c>
      <c r="C3548" s="1">
        <v>3.22107297519773E-4</v>
      </c>
      <c r="D3548" s="1">
        <v>1.75415515502346E-4</v>
      </c>
      <c r="E3548" s="1">
        <v>0</v>
      </c>
      <c r="F3548" s="1">
        <v>2.99058284550776E-4</v>
      </c>
    </row>
    <row r="3549" spans="1:6" x14ac:dyDescent="0.25">
      <c r="A3549" s="2" t="str">
        <f t="shared" si="127"/>
        <v>25420</v>
      </c>
      <c r="B3549" s="2" t="str">
        <f>"17110"</f>
        <v>17110</v>
      </c>
      <c r="C3549" s="1">
        <v>4.8967467162950501E-2</v>
      </c>
      <c r="D3549" s="1">
        <v>6.1965530851203703E-2</v>
      </c>
      <c r="E3549" s="1">
        <v>5.0797059552325101E-2</v>
      </c>
      <c r="F3549" s="1">
        <v>4.9980911173326502E-2</v>
      </c>
    </row>
    <row r="3550" spans="1:6" x14ac:dyDescent="0.25">
      <c r="A3550" s="2" t="str">
        <f t="shared" si="127"/>
        <v>25420</v>
      </c>
      <c r="B3550" s="2" t="str">
        <f>"17101"</f>
        <v>17101</v>
      </c>
      <c r="C3550" s="1">
        <v>7.3082566837264201E-3</v>
      </c>
      <c r="D3550" s="1">
        <v>4.6879796518001997E-2</v>
      </c>
      <c r="E3550" s="1">
        <v>3.2047575782605101E-2</v>
      </c>
      <c r="F3550" s="1">
        <v>1.11319674217358E-2</v>
      </c>
    </row>
    <row r="3551" spans="1:6" x14ac:dyDescent="0.25">
      <c r="A3551" s="2" t="str">
        <f t="shared" si="127"/>
        <v>25420</v>
      </c>
      <c r="B3551" s="2" t="str">
        <f>"17098"</f>
        <v>17098</v>
      </c>
      <c r="C3551" s="1">
        <v>4.5238180451666003E-3</v>
      </c>
      <c r="D3551" s="1">
        <v>2.41196333815726E-3</v>
      </c>
      <c r="E3551" s="1">
        <v>4.3776327744280098E-3</v>
      </c>
      <c r="F3551" s="1">
        <v>4.3649783659964296E-3</v>
      </c>
    </row>
    <row r="3552" spans="1:6" x14ac:dyDescent="0.25">
      <c r="A3552" s="2" t="str">
        <f t="shared" si="127"/>
        <v>25420</v>
      </c>
      <c r="B3552" s="2" t="str">
        <f>"17071"</f>
        <v>17071</v>
      </c>
      <c r="C3552" s="1">
        <v>0</v>
      </c>
      <c r="D3552" s="1">
        <v>4.3853878875586499E-5</v>
      </c>
      <c r="E3552" s="1">
        <v>0</v>
      </c>
      <c r="F3552" s="1">
        <v>3.1814711122422999E-6</v>
      </c>
    </row>
    <row r="3553" spans="1:6" x14ac:dyDescent="0.25">
      <c r="A3553" s="2" t="str">
        <f t="shared" si="127"/>
        <v>25420</v>
      </c>
      <c r="B3553" s="2" t="str">
        <f>"17257"</f>
        <v>17257</v>
      </c>
      <c r="C3553" s="1">
        <v>4.4751440535413897E-2</v>
      </c>
      <c r="D3553" s="1">
        <v>1.7366136034732201E-2</v>
      </c>
      <c r="E3553" s="1">
        <v>2.5109440819360701E-2</v>
      </c>
      <c r="F3553" s="1">
        <v>4.2008144566047297E-2</v>
      </c>
    </row>
    <row r="3554" spans="1:6" x14ac:dyDescent="0.25">
      <c r="A3554" s="2" t="str">
        <f t="shared" si="127"/>
        <v>25420</v>
      </c>
      <c r="B3554" s="2" t="str">
        <f>"17126"</f>
        <v>17126</v>
      </c>
      <c r="C3554" s="1">
        <v>0</v>
      </c>
      <c r="D3554" s="1">
        <v>0</v>
      </c>
      <c r="E3554" s="1">
        <v>8.2596844800528598E-5</v>
      </c>
      <c r="F3554" s="1">
        <v>3.1814711122422999E-6</v>
      </c>
    </row>
    <row r="3555" spans="1:6" x14ac:dyDescent="0.25">
      <c r="A3555" s="2" t="str">
        <f t="shared" si="127"/>
        <v>25420</v>
      </c>
      <c r="B3555" s="2" t="str">
        <f>"17045"</f>
        <v>17045</v>
      </c>
      <c r="C3555" s="1">
        <v>3.37496868401274E-3</v>
      </c>
      <c r="D3555" s="1">
        <v>1.5787396395211099E-3</v>
      </c>
      <c r="E3555" s="1">
        <v>1.6519368960105699E-3</v>
      </c>
      <c r="F3555" s="1">
        <v>3.17828964113005E-3</v>
      </c>
    </row>
    <row r="3556" spans="1:6" x14ac:dyDescent="0.25">
      <c r="A3556" s="2" t="str">
        <f t="shared" si="127"/>
        <v>25420</v>
      </c>
      <c r="B3556" s="2" t="str">
        <f>"17030"</f>
        <v>17030</v>
      </c>
      <c r="C3556" s="1">
        <v>3.9368669696861203E-4</v>
      </c>
      <c r="D3556" s="1">
        <v>2.1926939437793199E-4</v>
      </c>
      <c r="E3556" s="1">
        <v>2.4779053440158501E-4</v>
      </c>
      <c r="F3556" s="1">
        <v>3.75413591244591E-4</v>
      </c>
    </row>
    <row r="3557" spans="1:6" x14ac:dyDescent="0.25">
      <c r="A3557" s="2" t="str">
        <f t="shared" si="127"/>
        <v>25420</v>
      </c>
      <c r="B3557" s="2" t="str">
        <f>"17027"</f>
        <v>17027</v>
      </c>
      <c r="C3557" s="1">
        <v>9.3053219283490202E-5</v>
      </c>
      <c r="D3557" s="1">
        <v>4.3853878875586499E-5</v>
      </c>
      <c r="E3557" s="1">
        <v>8.2596844800528598E-5</v>
      </c>
      <c r="F3557" s="1">
        <v>8.9081191142784404E-5</v>
      </c>
    </row>
    <row r="3558" spans="1:6" x14ac:dyDescent="0.25">
      <c r="A3558" s="2" t="str">
        <f t="shared" si="127"/>
        <v>25420</v>
      </c>
      <c r="B3558" s="2" t="str">
        <f>"17022"</f>
        <v>17022</v>
      </c>
      <c r="C3558" s="1">
        <v>5.1143480906195096E-3</v>
      </c>
      <c r="D3558" s="1">
        <v>2.0172784282769798E-3</v>
      </c>
      <c r="E3558" s="1">
        <v>5.7817791360369999E-4</v>
      </c>
      <c r="F3558" s="1">
        <v>4.7149401883430798E-3</v>
      </c>
    </row>
    <row r="3559" spans="1:6" x14ac:dyDescent="0.25">
      <c r="A3559" s="2" t="str">
        <f t="shared" si="127"/>
        <v>25420</v>
      </c>
      <c r="B3559" s="2" t="str">
        <f>"17001"</f>
        <v>17001</v>
      </c>
      <c r="C3559" s="1">
        <v>3.1781253355284301E-3</v>
      </c>
      <c r="D3559" s="1">
        <v>1.4603341665570301E-2</v>
      </c>
      <c r="E3559" s="1">
        <v>8.2596844800528598E-5</v>
      </c>
      <c r="F3559" s="1">
        <v>3.88775769916009E-3</v>
      </c>
    </row>
    <row r="3560" spans="1:6" x14ac:dyDescent="0.25">
      <c r="A3560" s="2" t="str">
        <f t="shared" si="127"/>
        <v>25420</v>
      </c>
      <c r="B3560" s="2" t="str">
        <f>"17105"</f>
        <v>17105</v>
      </c>
      <c r="C3560" s="1">
        <v>7.5158369421280498E-4</v>
      </c>
      <c r="D3560" s="1">
        <v>6.0956891637065202E-3</v>
      </c>
      <c r="E3560" s="1">
        <v>8.2596844800528598E-5</v>
      </c>
      <c r="F3560" s="1">
        <v>1.1135148892848E-3</v>
      </c>
    </row>
    <row r="3561" spans="1:6" x14ac:dyDescent="0.25">
      <c r="A3561" s="2" t="str">
        <f t="shared" si="127"/>
        <v>25420</v>
      </c>
      <c r="B3561" s="2" t="str">
        <f>"17081"</f>
        <v>17081</v>
      </c>
      <c r="C3561" s="1">
        <v>0</v>
      </c>
      <c r="D3561" s="1">
        <v>4.3853878875586499E-5</v>
      </c>
      <c r="E3561" s="1">
        <v>0</v>
      </c>
      <c r="F3561" s="1">
        <v>3.1814711122422999E-6</v>
      </c>
    </row>
    <row r="3562" spans="1:6" x14ac:dyDescent="0.25">
      <c r="A3562" s="2" t="str">
        <f t="shared" si="127"/>
        <v>25420</v>
      </c>
      <c r="B3562" s="2" t="str">
        <f>"17069"</f>
        <v>17069</v>
      </c>
      <c r="C3562" s="1">
        <v>2.11159228374073E-4</v>
      </c>
      <c r="D3562" s="1">
        <v>0</v>
      </c>
      <c r="E3562" s="1">
        <v>2.4779053440158501E-4</v>
      </c>
      <c r="F3562" s="1">
        <v>1.97251208959022E-4</v>
      </c>
    </row>
    <row r="3563" spans="1:6" x14ac:dyDescent="0.25">
      <c r="A3563" s="2" t="str">
        <f t="shared" si="127"/>
        <v>25420</v>
      </c>
      <c r="B3563" s="2" t="str">
        <f>"17089"</f>
        <v>17089</v>
      </c>
      <c r="C3563" s="1">
        <v>0</v>
      </c>
      <c r="D3563" s="1">
        <v>0</v>
      </c>
      <c r="E3563" s="1">
        <v>8.2596844800528598E-5</v>
      </c>
      <c r="F3563" s="1">
        <v>3.1814711122422999E-6</v>
      </c>
    </row>
    <row r="3564" spans="1:6" x14ac:dyDescent="0.25">
      <c r="A3564" s="2" t="str">
        <f t="shared" si="127"/>
        <v>25420</v>
      </c>
      <c r="B3564" s="2" t="str">
        <f>"17080"</f>
        <v>17080</v>
      </c>
      <c r="C3564" s="1">
        <v>1.0736909917325699E-5</v>
      </c>
      <c r="D3564" s="1">
        <v>0</v>
      </c>
      <c r="E3564" s="1">
        <v>8.2596844800528598E-5</v>
      </c>
      <c r="F3564" s="1">
        <v>1.27258844489692E-5</v>
      </c>
    </row>
    <row r="3565" spans="1:6" x14ac:dyDescent="0.25">
      <c r="A3565" s="2" t="str">
        <f t="shared" si="127"/>
        <v>25420</v>
      </c>
      <c r="B3565" s="2" t="str">
        <f>"17053"</f>
        <v>17053</v>
      </c>
      <c r="C3565" s="1">
        <v>8.6467914534197002E-3</v>
      </c>
      <c r="D3565" s="1">
        <v>3.1136254001666399E-3</v>
      </c>
      <c r="E3565" s="1">
        <v>6.1947633600396403E-3</v>
      </c>
      <c r="F3565" s="1">
        <v>8.1509289895647704E-3</v>
      </c>
    </row>
    <row r="3566" spans="1:6" x14ac:dyDescent="0.25">
      <c r="A3566" s="2" t="str">
        <f t="shared" si="127"/>
        <v>25420</v>
      </c>
      <c r="B3566" s="2" t="str">
        <f>"17129"</f>
        <v>17129</v>
      </c>
      <c r="C3566" s="1">
        <v>0</v>
      </c>
      <c r="D3566" s="1">
        <v>0</v>
      </c>
      <c r="E3566" s="1">
        <v>3.3038737920211401E-4</v>
      </c>
      <c r="F3566" s="1">
        <v>1.27258844489692E-5</v>
      </c>
    </row>
    <row r="3567" spans="1:6" x14ac:dyDescent="0.25">
      <c r="A3567" s="2" t="str">
        <f t="shared" si="127"/>
        <v>25420</v>
      </c>
      <c r="B3567" s="2" t="str">
        <f>"17124"</f>
        <v>17124</v>
      </c>
      <c r="C3567" s="1">
        <v>0</v>
      </c>
      <c r="D3567" s="1">
        <v>0</v>
      </c>
      <c r="E3567" s="1">
        <v>8.2596844800528598E-5</v>
      </c>
      <c r="F3567" s="1">
        <v>3.1814711122422999E-6</v>
      </c>
    </row>
    <row r="3568" spans="1:6" x14ac:dyDescent="0.25">
      <c r="A3568" s="2" t="str">
        <f t="shared" ref="A3568:A3599" si="128">"25420"</f>
        <v>25420</v>
      </c>
      <c r="B3568" s="2" t="str">
        <f>"17048"</f>
        <v>17048</v>
      </c>
      <c r="C3568" s="1">
        <v>6.6855159085215197E-3</v>
      </c>
      <c r="D3568" s="1">
        <v>4.9993421918168596E-3</v>
      </c>
      <c r="E3568" s="1">
        <v>4.5428264640290702E-3</v>
      </c>
      <c r="F3568" s="1">
        <v>6.4806566556375603E-3</v>
      </c>
    </row>
    <row r="3569" spans="1:6" x14ac:dyDescent="0.25">
      <c r="A3569" s="2" t="str">
        <f t="shared" si="128"/>
        <v>25420</v>
      </c>
      <c r="B3569" s="2" t="str">
        <f>"17034"</f>
        <v>17034</v>
      </c>
      <c r="C3569" s="1">
        <v>5.0463476611431199E-3</v>
      </c>
      <c r="D3569" s="1">
        <v>3.3328947945445702E-3</v>
      </c>
      <c r="E3569" s="1">
        <v>9.1682497728586693E-3</v>
      </c>
      <c r="F3569" s="1">
        <v>5.0808093662509501E-3</v>
      </c>
    </row>
    <row r="3570" spans="1:6" x14ac:dyDescent="0.25">
      <c r="A3570" s="2" t="str">
        <f t="shared" si="128"/>
        <v>25420</v>
      </c>
      <c r="B3570" s="2" t="str">
        <f>"17018"</f>
        <v>17018</v>
      </c>
      <c r="C3570" s="1">
        <v>6.9897283561790903E-3</v>
      </c>
      <c r="D3570" s="1">
        <v>2.4996710959084298E-3</v>
      </c>
      <c r="E3570" s="1">
        <v>2.8908895680185001E-3</v>
      </c>
      <c r="F3570" s="1">
        <v>6.5061084245354997E-3</v>
      </c>
    </row>
    <row r="3571" spans="1:6" x14ac:dyDescent="0.25">
      <c r="A3571" s="2" t="str">
        <f t="shared" si="128"/>
        <v>25420</v>
      </c>
      <c r="B3571" s="2" t="str">
        <f>"17007"</f>
        <v>17007</v>
      </c>
      <c r="C3571" s="1">
        <v>8.5322644143015595E-3</v>
      </c>
      <c r="D3571" s="1">
        <v>1.4910318817699399E-3</v>
      </c>
      <c r="E3571" s="1">
        <v>1.6519368960105699E-3</v>
      </c>
      <c r="F3571" s="1">
        <v>7.7564265716467198E-3</v>
      </c>
    </row>
    <row r="3572" spans="1:6" x14ac:dyDescent="0.25">
      <c r="A3572" s="2" t="str">
        <f t="shared" si="128"/>
        <v>25420</v>
      </c>
      <c r="B3572" s="2" t="str">
        <f>"17107"</f>
        <v>17107</v>
      </c>
      <c r="C3572" s="1">
        <v>5.4758240578361495E-4</v>
      </c>
      <c r="D3572" s="1">
        <v>0</v>
      </c>
      <c r="E3572" s="1">
        <v>0</v>
      </c>
      <c r="F3572" s="1">
        <v>4.8676508017307202E-4</v>
      </c>
    </row>
    <row r="3573" spans="1:6" x14ac:dyDescent="0.25">
      <c r="A3573" s="2" t="str">
        <f t="shared" si="128"/>
        <v>25420</v>
      </c>
      <c r="B3573" s="2" t="str">
        <f>"17103"</f>
        <v>17103</v>
      </c>
      <c r="C3573" s="1">
        <v>2.0686446440714299E-2</v>
      </c>
      <c r="D3573" s="1">
        <v>1.94711222207604E-2</v>
      </c>
      <c r="E3573" s="1">
        <v>3.59296274882299E-2</v>
      </c>
      <c r="F3573" s="1">
        <v>2.1185416136421401E-2</v>
      </c>
    </row>
    <row r="3574" spans="1:6" x14ac:dyDescent="0.25">
      <c r="A3574" s="2" t="str">
        <f t="shared" si="128"/>
        <v>25420</v>
      </c>
      <c r="B3574" s="2" t="str">
        <f>"17078"</f>
        <v>17078</v>
      </c>
      <c r="C3574" s="1">
        <v>2.5625425002684201E-3</v>
      </c>
      <c r="D3574" s="1">
        <v>3.9468490988027802E-4</v>
      </c>
      <c r="E3574" s="1">
        <v>0</v>
      </c>
      <c r="F3574" s="1">
        <v>2.3065665563756599E-3</v>
      </c>
    </row>
    <row r="3575" spans="1:6" x14ac:dyDescent="0.25">
      <c r="A3575" s="2" t="str">
        <f t="shared" si="128"/>
        <v>25420</v>
      </c>
      <c r="B3575" s="2" t="str">
        <f>"17074"</f>
        <v>17074</v>
      </c>
      <c r="C3575" s="1">
        <v>1.21577609963852E-2</v>
      </c>
      <c r="D3575" s="1">
        <v>9.8671227470069692E-3</v>
      </c>
      <c r="E3575" s="1">
        <v>6.1947633600396403E-3</v>
      </c>
      <c r="F3575" s="1">
        <v>1.17618987019597E-2</v>
      </c>
    </row>
    <row r="3576" spans="1:6" x14ac:dyDescent="0.25">
      <c r="A3576" s="2" t="str">
        <f t="shared" si="128"/>
        <v>25420</v>
      </c>
      <c r="B3576" s="2" t="str">
        <f>"17266"</f>
        <v>17266</v>
      </c>
      <c r="C3576" s="1">
        <v>7.8021545399234102E-4</v>
      </c>
      <c r="D3576" s="1">
        <v>2.6312327325351902E-4</v>
      </c>
      <c r="E3576" s="1">
        <v>2.4779053440158501E-4</v>
      </c>
      <c r="F3576" s="1">
        <v>7.2219394247900195E-4</v>
      </c>
    </row>
    <row r="3577" spans="1:6" x14ac:dyDescent="0.25">
      <c r="A3577" s="2" t="str">
        <f t="shared" si="128"/>
        <v>25420</v>
      </c>
      <c r="B3577" s="2" t="str">
        <f>"17055"</f>
        <v>17055</v>
      </c>
      <c r="C3577" s="1">
        <v>7.4464049246626807E-2</v>
      </c>
      <c r="D3577" s="1">
        <v>7.402534754199E-2</v>
      </c>
      <c r="E3577" s="1">
        <v>6.6738250598827098E-2</v>
      </c>
      <c r="F3577" s="1">
        <v>7.413463985747E-2</v>
      </c>
    </row>
    <row r="3578" spans="1:6" x14ac:dyDescent="0.25">
      <c r="A3578" s="2" t="str">
        <f t="shared" si="128"/>
        <v>25420</v>
      </c>
      <c r="B3578" s="2" t="str">
        <f>"17125"</f>
        <v>17125</v>
      </c>
      <c r="C3578" s="1">
        <v>0</v>
      </c>
      <c r="D3578" s="1">
        <v>0</v>
      </c>
      <c r="E3578" s="1">
        <v>8.2596844800528598E-5</v>
      </c>
      <c r="F3578" s="1">
        <v>3.1814711122422999E-6</v>
      </c>
    </row>
    <row r="3579" spans="1:6" x14ac:dyDescent="0.25">
      <c r="A3579" s="2" t="str">
        <f t="shared" si="128"/>
        <v>25420</v>
      </c>
      <c r="B3579" s="2" t="str">
        <f>"17120"</f>
        <v>17120</v>
      </c>
      <c r="C3579" s="1">
        <v>0</v>
      </c>
      <c r="D3579" s="1">
        <v>7.8936981976055701E-4</v>
      </c>
      <c r="E3579" s="1">
        <v>7.5163128768481E-3</v>
      </c>
      <c r="F3579" s="1">
        <v>3.4678035123440998E-4</v>
      </c>
    </row>
    <row r="3580" spans="1:6" x14ac:dyDescent="0.25">
      <c r="A3580" s="2" t="str">
        <f t="shared" si="128"/>
        <v>25420</v>
      </c>
      <c r="B3580" s="2" t="str">
        <f>"17043"</f>
        <v>17043</v>
      </c>
      <c r="C3580" s="1">
        <v>1.13167030528613E-2</v>
      </c>
      <c r="D3580" s="1">
        <v>3.0741569091786099E-2</v>
      </c>
      <c r="E3580" s="1">
        <v>3.4360287437019903E-2</v>
      </c>
      <c r="F3580" s="1">
        <v>1.36135148892848E-2</v>
      </c>
    </row>
    <row r="3581" spans="1:6" x14ac:dyDescent="0.25">
      <c r="A3581" s="2" t="str">
        <f t="shared" si="128"/>
        <v>25420</v>
      </c>
      <c r="B3581" s="2" t="str">
        <f>"17019"</f>
        <v>17019</v>
      </c>
      <c r="C3581" s="1">
        <v>1.5747467878744401E-4</v>
      </c>
      <c r="D3581" s="1">
        <v>4.3853878875586499E-5</v>
      </c>
      <c r="E3581" s="1">
        <v>0</v>
      </c>
      <c r="F3581" s="1">
        <v>1.43166200050903E-4</v>
      </c>
    </row>
    <row r="3582" spans="1:6" x14ac:dyDescent="0.25">
      <c r="A3582" s="2" t="str">
        <f t="shared" si="128"/>
        <v>25420</v>
      </c>
      <c r="B3582" s="2" t="str">
        <f>"17033"</f>
        <v>17033</v>
      </c>
      <c r="C3582" s="1">
        <v>2.6130059768798501E-2</v>
      </c>
      <c r="D3582" s="1">
        <v>3.1618646669297798E-2</v>
      </c>
      <c r="E3582" s="1">
        <v>2.8495911456182299E-2</v>
      </c>
      <c r="F3582" s="1">
        <v>2.6619368796131301E-2</v>
      </c>
    </row>
    <row r="3583" spans="1:6" x14ac:dyDescent="0.25">
      <c r="A3583" s="2" t="str">
        <f t="shared" si="128"/>
        <v>25420</v>
      </c>
      <c r="B3583" s="2" t="str">
        <f>"17025"</f>
        <v>17025</v>
      </c>
      <c r="C3583" s="1">
        <v>3.1963780823878803E-2</v>
      </c>
      <c r="D3583" s="1">
        <v>1.92079989475069E-2</v>
      </c>
      <c r="E3583" s="1">
        <v>1.6932353184108299E-2</v>
      </c>
      <c r="F3583" s="1">
        <v>3.04594044286077E-2</v>
      </c>
    </row>
    <row r="3584" spans="1:6" x14ac:dyDescent="0.25">
      <c r="A3584" s="2" t="str">
        <f t="shared" si="128"/>
        <v>25420</v>
      </c>
      <c r="B3584" s="2" t="str">
        <f>"17024"</f>
        <v>17024</v>
      </c>
      <c r="C3584" s="1">
        <v>2.8417021581188901E-3</v>
      </c>
      <c r="D3584" s="1">
        <v>1.22790860851642E-3</v>
      </c>
      <c r="E3584" s="1">
        <v>0</v>
      </c>
      <c r="F3584" s="1">
        <v>2.6151692542631701E-3</v>
      </c>
    </row>
    <row r="3585" spans="1:6" x14ac:dyDescent="0.25">
      <c r="A3585" s="2" t="str">
        <f t="shared" si="128"/>
        <v>25420</v>
      </c>
      <c r="B3585" s="2" t="str">
        <f>"17011"</f>
        <v>17011</v>
      </c>
      <c r="C3585" s="1">
        <v>5.1744747861565403E-2</v>
      </c>
      <c r="D3585" s="1">
        <v>7.5998772091391401E-2</v>
      </c>
      <c r="E3585" s="1">
        <v>7.7228049888494202E-2</v>
      </c>
      <c r="F3585" s="1">
        <v>5.4485874268261597E-2</v>
      </c>
    </row>
    <row r="3586" spans="1:6" x14ac:dyDescent="0.25">
      <c r="A3586" s="2" t="str">
        <f t="shared" si="128"/>
        <v>25420</v>
      </c>
      <c r="B3586" s="2" t="str">
        <f>"17097"</f>
        <v>17097</v>
      </c>
      <c r="C3586" s="1">
        <v>2.5052789807093499E-5</v>
      </c>
      <c r="D3586" s="1">
        <v>0</v>
      </c>
      <c r="E3586" s="1">
        <v>8.2596844800528598E-5</v>
      </c>
      <c r="F3586" s="1">
        <v>2.5451768897938399E-5</v>
      </c>
    </row>
    <row r="3587" spans="1:6" x14ac:dyDescent="0.25">
      <c r="A3587" s="2" t="str">
        <f t="shared" si="128"/>
        <v>25420</v>
      </c>
      <c r="B3587" s="2" t="str">
        <f>"17241"</f>
        <v>17241</v>
      </c>
      <c r="C3587" s="1">
        <v>1.8514011667442098E-2</v>
      </c>
      <c r="D3587" s="1">
        <v>9.8671227470069692E-3</v>
      </c>
      <c r="E3587" s="1">
        <v>8.5074750144544398E-3</v>
      </c>
      <c r="F3587" s="1">
        <v>1.7501272588444802E-2</v>
      </c>
    </row>
    <row r="3588" spans="1:6" x14ac:dyDescent="0.25">
      <c r="A3588" s="2" t="str">
        <f t="shared" si="128"/>
        <v>25420</v>
      </c>
      <c r="B3588" s="2" t="str">
        <f>"17057"</f>
        <v>17057</v>
      </c>
      <c r="C3588" s="1">
        <v>3.9966357682259E-2</v>
      </c>
      <c r="D3588" s="1">
        <v>3.6881112134368198E-2</v>
      </c>
      <c r="E3588" s="1">
        <v>3.5186255885025101E-2</v>
      </c>
      <c r="F3588" s="1">
        <v>3.9558411809620699E-2</v>
      </c>
    </row>
    <row r="3589" spans="1:6" x14ac:dyDescent="0.25">
      <c r="A3589" s="2" t="str">
        <f t="shared" si="128"/>
        <v>25420</v>
      </c>
      <c r="B3589" s="2" t="str">
        <f>"17128"</f>
        <v>17128</v>
      </c>
      <c r="C3589" s="1">
        <v>0</v>
      </c>
      <c r="D3589" s="1">
        <v>2.1926939437793199E-4</v>
      </c>
      <c r="E3589" s="1">
        <v>1.6519368960105701E-4</v>
      </c>
      <c r="F3589" s="1">
        <v>2.2270297785696101E-5</v>
      </c>
    </row>
    <row r="3590" spans="1:6" x14ac:dyDescent="0.25">
      <c r="A3590" s="2" t="str">
        <f t="shared" si="128"/>
        <v>25420</v>
      </c>
      <c r="B3590" s="2" t="str">
        <f>"17127"</f>
        <v>17127</v>
      </c>
      <c r="C3590" s="1">
        <v>0</v>
      </c>
      <c r="D3590" s="1">
        <v>0</v>
      </c>
      <c r="E3590" s="1">
        <v>8.2596844800528598E-5</v>
      </c>
      <c r="F3590" s="1">
        <v>3.1814711122422999E-6</v>
      </c>
    </row>
    <row r="3591" spans="1:6" x14ac:dyDescent="0.25">
      <c r="A3591" s="2" t="str">
        <f t="shared" si="128"/>
        <v>25420</v>
      </c>
      <c r="B3591" s="2" t="str">
        <f>"17040"</f>
        <v>17040</v>
      </c>
      <c r="C3591" s="1">
        <v>3.7507605311191401E-3</v>
      </c>
      <c r="D3591" s="1">
        <v>7.8936981976055701E-4</v>
      </c>
      <c r="E3591" s="1">
        <v>3.3038737920211401E-4</v>
      </c>
      <c r="F3591" s="1">
        <v>3.4041740900992599E-3</v>
      </c>
    </row>
    <row r="3592" spans="1:6" x14ac:dyDescent="0.25">
      <c r="A3592" s="2" t="str">
        <f t="shared" si="128"/>
        <v>25420</v>
      </c>
      <c r="B3592" s="2" t="str">
        <f>"17017"</f>
        <v>17017</v>
      </c>
      <c r="C3592" s="1">
        <v>4.5810815647256698E-4</v>
      </c>
      <c r="D3592" s="1">
        <v>1.31561636626759E-4</v>
      </c>
      <c r="E3592" s="1">
        <v>1.6519368960105701E-4</v>
      </c>
      <c r="F3592" s="1">
        <v>4.23135657928226E-4</v>
      </c>
    </row>
    <row r="3593" spans="1:6" x14ac:dyDescent="0.25">
      <c r="A3593" s="2" t="str">
        <f t="shared" si="128"/>
        <v>25420</v>
      </c>
      <c r="B3593" s="2" t="str">
        <f>"17020"</f>
        <v>17020</v>
      </c>
      <c r="C3593" s="1">
        <v>1.4197773880677099E-2</v>
      </c>
      <c r="D3593" s="1">
        <v>8.9461912906196508E-3</v>
      </c>
      <c r="E3593" s="1">
        <v>7.4337160320475703E-3</v>
      </c>
      <c r="F3593" s="1">
        <v>1.35562484092644E-2</v>
      </c>
    </row>
    <row r="3594" spans="1:6" x14ac:dyDescent="0.25">
      <c r="A3594" s="2" t="str">
        <f t="shared" si="128"/>
        <v>25420</v>
      </c>
      <c r="B3594" s="2" t="str">
        <f>"17013"</f>
        <v>17013</v>
      </c>
      <c r="C3594" s="1">
        <v>6.0674277942807997E-2</v>
      </c>
      <c r="D3594" s="1">
        <v>8.0734991009954807E-2</v>
      </c>
      <c r="E3594" s="1">
        <v>7.9127777318906398E-2</v>
      </c>
      <c r="F3594" s="1">
        <v>6.2840417409009905E-2</v>
      </c>
    </row>
    <row r="3595" spans="1:6" x14ac:dyDescent="0.25">
      <c r="A3595" s="2" t="str">
        <f t="shared" si="128"/>
        <v>25420</v>
      </c>
      <c r="B3595" s="2" t="str">
        <f>"17109"</f>
        <v>17109</v>
      </c>
      <c r="C3595" s="1">
        <v>4.0768046956085997E-2</v>
      </c>
      <c r="D3595" s="1">
        <v>4.0477130202166298E-2</v>
      </c>
      <c r="E3595" s="1">
        <v>0.103824233914264</v>
      </c>
      <c r="F3595" s="1">
        <v>4.3175744464240197E-2</v>
      </c>
    </row>
    <row r="3596" spans="1:6" x14ac:dyDescent="0.25">
      <c r="A3596" s="2" t="str">
        <f t="shared" si="128"/>
        <v>25420</v>
      </c>
      <c r="B3596" s="2" t="str">
        <f>"17104"</f>
        <v>17104</v>
      </c>
      <c r="C3596" s="1">
        <v>3.1813464085036297E-2</v>
      </c>
      <c r="D3596" s="1">
        <v>2.841731351138E-2</v>
      </c>
      <c r="E3596" s="1">
        <v>4.2950359296274797E-2</v>
      </c>
      <c r="F3596" s="1">
        <v>3.1996054975820802E-2</v>
      </c>
    </row>
    <row r="3597" spans="1:6" x14ac:dyDescent="0.25">
      <c r="A3597" s="2" t="str">
        <f t="shared" si="128"/>
        <v>25420</v>
      </c>
      <c r="B3597" s="2" t="str">
        <f>"17061"</f>
        <v>17061</v>
      </c>
      <c r="C3597" s="1">
        <v>1.1914391038259101E-2</v>
      </c>
      <c r="D3597" s="1">
        <v>9.8671227470069692E-3</v>
      </c>
      <c r="E3597" s="1">
        <v>6.6077475840422796E-3</v>
      </c>
      <c r="F3597" s="1">
        <v>1.1561466021888501E-2</v>
      </c>
    </row>
    <row r="3598" spans="1:6" x14ac:dyDescent="0.25">
      <c r="A3598" s="2" t="str">
        <f t="shared" si="128"/>
        <v>25420</v>
      </c>
      <c r="B3598" s="2" t="str">
        <f>"17122"</f>
        <v>17122</v>
      </c>
      <c r="C3598" s="1">
        <v>0</v>
      </c>
      <c r="D3598" s="1">
        <v>0</v>
      </c>
      <c r="E3598" s="1">
        <v>8.2596844800528598E-5</v>
      </c>
      <c r="F3598" s="1">
        <v>3.1814711122422999E-6</v>
      </c>
    </row>
    <row r="3599" spans="1:6" x14ac:dyDescent="0.25">
      <c r="A3599" s="2" t="str">
        <f t="shared" si="128"/>
        <v>25420</v>
      </c>
      <c r="B3599" s="2" t="str">
        <f>"17028"</f>
        <v>17028</v>
      </c>
      <c r="C3599" s="1">
        <v>4.0370781289144897E-3</v>
      </c>
      <c r="D3599" s="1">
        <v>3.55216418892251E-3</v>
      </c>
      <c r="E3599" s="1">
        <v>4.1298422400264302E-4</v>
      </c>
      <c r="F3599" s="1">
        <v>3.8623059302621502E-3</v>
      </c>
    </row>
    <row r="3600" spans="1:6" x14ac:dyDescent="0.25">
      <c r="A3600" s="2" t="str">
        <f t="shared" ref="A3600:A3620" si="129">"25420"</f>
        <v>25420</v>
      </c>
      <c r="B3600" s="2" t="str">
        <f>"17006"</f>
        <v>17006</v>
      </c>
      <c r="C3600" s="1">
        <v>2.1044343437958499E-3</v>
      </c>
      <c r="D3600" s="1">
        <v>1.1840547296408301E-3</v>
      </c>
      <c r="E3600" s="1">
        <v>0</v>
      </c>
      <c r="F3600" s="1">
        <v>1.9566047340290101E-3</v>
      </c>
    </row>
    <row r="3601" spans="1:6" x14ac:dyDescent="0.25">
      <c r="A3601" s="2" t="str">
        <f t="shared" si="129"/>
        <v>25420</v>
      </c>
      <c r="B3601" s="2" t="str">
        <f>"19405"</f>
        <v>19405</v>
      </c>
      <c r="C3601" s="1">
        <v>8.58952793386063E-5</v>
      </c>
      <c r="D3601" s="1">
        <v>4.3853878875586499E-5</v>
      </c>
      <c r="E3601" s="1">
        <v>0</v>
      </c>
      <c r="F3601" s="1">
        <v>7.9536777806057496E-5</v>
      </c>
    </row>
    <row r="3602" spans="1:6" x14ac:dyDescent="0.25">
      <c r="A3602" s="2" t="str">
        <f t="shared" si="129"/>
        <v>25420</v>
      </c>
      <c r="B3602" s="2" t="str">
        <f>"17980"</f>
        <v>17980</v>
      </c>
      <c r="C3602" s="1">
        <v>4.0442360688593799E-4</v>
      </c>
      <c r="D3602" s="1">
        <v>4.3853878875586499E-5</v>
      </c>
      <c r="E3602" s="1">
        <v>0</v>
      </c>
      <c r="F3602" s="1">
        <v>3.6268770679562202E-4</v>
      </c>
    </row>
    <row r="3603" spans="1:6" x14ac:dyDescent="0.25">
      <c r="A3603" s="2" t="str">
        <f t="shared" si="129"/>
        <v>25420</v>
      </c>
      <c r="B3603" s="2" t="str">
        <f>"17111"</f>
        <v>17111</v>
      </c>
      <c r="C3603" s="1">
        <v>5.52664543144483E-2</v>
      </c>
      <c r="D3603" s="1">
        <v>6.1833969214576998E-2</v>
      </c>
      <c r="E3603" s="1">
        <v>6.8885768563640801E-2</v>
      </c>
      <c r="F3603" s="1">
        <v>5.62674980911173E-2</v>
      </c>
    </row>
    <row r="3604" spans="1:6" x14ac:dyDescent="0.25">
      <c r="A3604" s="2" t="str">
        <f t="shared" si="129"/>
        <v>25420</v>
      </c>
      <c r="B3604" s="2" t="str">
        <f>"17093"</f>
        <v>17093</v>
      </c>
      <c r="C3604" s="1">
        <v>2.3513832718943398E-3</v>
      </c>
      <c r="D3604" s="1">
        <v>1.05249309301407E-3</v>
      </c>
      <c r="E3604" s="1">
        <v>8.2596844800528598E-5</v>
      </c>
      <c r="F3604" s="1">
        <v>2.1697632985492399E-3</v>
      </c>
    </row>
    <row r="3605" spans="1:6" x14ac:dyDescent="0.25">
      <c r="A3605" s="2" t="str">
        <f t="shared" si="129"/>
        <v>25420</v>
      </c>
      <c r="B3605" s="2" t="str">
        <f>"17070"</f>
        <v>17070</v>
      </c>
      <c r="C3605" s="1">
        <v>1.6545578182599E-2</v>
      </c>
      <c r="D3605" s="1">
        <v>2.0304345919396501E-2</v>
      </c>
      <c r="E3605" s="1">
        <v>2.5439828198562799E-2</v>
      </c>
      <c r="F3605" s="1">
        <v>1.71608551794349E-2</v>
      </c>
    </row>
    <row r="3606" spans="1:6" x14ac:dyDescent="0.25">
      <c r="A3606" s="2" t="str">
        <f t="shared" si="129"/>
        <v>25420</v>
      </c>
      <c r="B3606" s="2" t="str">
        <f>"17068"</f>
        <v>17068</v>
      </c>
      <c r="C3606" s="1">
        <v>6.5709888694033798E-3</v>
      </c>
      <c r="D3606" s="1">
        <v>3.7714335833004399E-3</v>
      </c>
      <c r="E3606" s="1">
        <v>1.40414636160898E-3</v>
      </c>
      <c r="F3606" s="1">
        <v>6.16887248663782E-3</v>
      </c>
    </row>
    <row r="3607" spans="1:6" x14ac:dyDescent="0.25">
      <c r="A3607" s="2" t="str">
        <f t="shared" si="129"/>
        <v>25420</v>
      </c>
      <c r="B3607" s="2" t="str">
        <f>"17240"</f>
        <v>17240</v>
      </c>
      <c r="C3607" s="1">
        <v>3.2747575247843602E-3</v>
      </c>
      <c r="D3607" s="1">
        <v>6.1395430425821096E-4</v>
      </c>
      <c r="E3607" s="1">
        <v>3.3038737920211401E-4</v>
      </c>
      <c r="F3607" s="1">
        <v>2.9683125477220598E-3</v>
      </c>
    </row>
    <row r="3608" spans="1:6" x14ac:dyDescent="0.25">
      <c r="A3608" s="2" t="str">
        <f t="shared" si="129"/>
        <v>25420</v>
      </c>
      <c r="B3608" s="2" t="str">
        <f>"17177"</f>
        <v>17177</v>
      </c>
      <c r="C3608" s="1">
        <v>0</v>
      </c>
      <c r="D3608" s="1">
        <v>4.3853878875586499E-5</v>
      </c>
      <c r="E3608" s="1">
        <v>0</v>
      </c>
      <c r="F3608" s="1">
        <v>3.1814711122422999E-6</v>
      </c>
    </row>
    <row r="3609" spans="1:6" x14ac:dyDescent="0.25">
      <c r="A3609" s="2" t="str">
        <f t="shared" si="129"/>
        <v>25420</v>
      </c>
      <c r="B3609" s="2" t="str">
        <f>"17123"</f>
        <v>17123</v>
      </c>
      <c r="C3609" s="1">
        <v>0</v>
      </c>
      <c r="D3609" s="1">
        <v>0</v>
      </c>
      <c r="E3609" s="1">
        <v>8.2596844800528598E-5</v>
      </c>
      <c r="F3609" s="1">
        <v>3.1814711122422999E-6</v>
      </c>
    </row>
    <row r="3610" spans="1:6" x14ac:dyDescent="0.25">
      <c r="A3610" s="2" t="str">
        <f t="shared" si="129"/>
        <v>25420</v>
      </c>
      <c r="B3610" s="2" t="str">
        <f>"17037"</f>
        <v>17037</v>
      </c>
      <c r="C3610" s="1">
        <v>1.2383236104648999E-3</v>
      </c>
      <c r="D3610" s="1">
        <v>4.3853878875586502E-4</v>
      </c>
      <c r="E3610" s="1">
        <v>0</v>
      </c>
      <c r="F3610" s="1">
        <v>1.13260371595825E-3</v>
      </c>
    </row>
    <row r="3611" spans="1:6" x14ac:dyDescent="0.25">
      <c r="A3611" s="2" t="str">
        <f t="shared" si="129"/>
        <v>25420</v>
      </c>
      <c r="B3611" s="2" t="str">
        <f>"17032"</f>
        <v>17032</v>
      </c>
      <c r="C3611" s="1">
        <v>1.2723238252031E-2</v>
      </c>
      <c r="D3611" s="1">
        <v>7.1481822567206E-3</v>
      </c>
      <c r="E3611" s="1">
        <v>3.3038737920211398E-3</v>
      </c>
      <c r="F3611" s="1">
        <v>1.1955968439806499E-2</v>
      </c>
    </row>
    <row r="3612" spans="1:6" x14ac:dyDescent="0.25">
      <c r="A3612" s="2" t="str">
        <f t="shared" si="129"/>
        <v>25420</v>
      </c>
      <c r="B3612" s="2" t="str">
        <f>"17023"</f>
        <v>17023</v>
      </c>
      <c r="C3612" s="1">
        <v>4.83518843276904E-3</v>
      </c>
      <c r="D3612" s="1">
        <v>4.2538262509318903E-3</v>
      </c>
      <c r="E3612" s="1">
        <v>2.8082927232179699E-3</v>
      </c>
      <c r="F3612" s="1">
        <v>4.7149401883430798E-3</v>
      </c>
    </row>
    <row r="3613" spans="1:6" x14ac:dyDescent="0.25">
      <c r="A3613" s="2" t="str">
        <f t="shared" si="129"/>
        <v>25420</v>
      </c>
      <c r="B3613" s="2" t="str">
        <f>"17021"</f>
        <v>17021</v>
      </c>
      <c r="C3613" s="1">
        <v>1.6821158870477E-4</v>
      </c>
      <c r="D3613" s="1">
        <v>0</v>
      </c>
      <c r="E3613" s="1">
        <v>0</v>
      </c>
      <c r="F3613" s="1">
        <v>1.49529142275388E-4</v>
      </c>
    </row>
    <row r="3614" spans="1:6" x14ac:dyDescent="0.25">
      <c r="A3614" s="2" t="str">
        <f t="shared" si="129"/>
        <v>25420</v>
      </c>
      <c r="B3614" s="2" t="str">
        <f>"17072"</f>
        <v>17072</v>
      </c>
      <c r="C3614" s="1">
        <v>2.6090691099101599E-3</v>
      </c>
      <c r="D3614" s="1">
        <v>4.1661184931807201E-3</v>
      </c>
      <c r="E3614" s="1">
        <v>8.2596844800528598E-5</v>
      </c>
      <c r="F3614" s="1">
        <v>2.6247136675998902E-3</v>
      </c>
    </row>
    <row r="3615" spans="1:6" x14ac:dyDescent="0.25">
      <c r="A3615" s="2" t="str">
        <f t="shared" si="129"/>
        <v>25420</v>
      </c>
      <c r="B3615" s="2" t="str">
        <f>"17065"</f>
        <v>17065</v>
      </c>
      <c r="C3615" s="1">
        <v>6.7821480977774502E-3</v>
      </c>
      <c r="D3615" s="1">
        <v>4.6923650396877596E-3</v>
      </c>
      <c r="E3615" s="1">
        <v>7.8467002560502104E-3</v>
      </c>
      <c r="F3615" s="1">
        <v>6.6715449223721003E-3</v>
      </c>
    </row>
    <row r="3616" spans="1:6" x14ac:dyDescent="0.25">
      <c r="A3616" s="2" t="str">
        <f t="shared" si="129"/>
        <v>25420</v>
      </c>
      <c r="B3616" s="2" t="str">
        <f>"17307"</f>
        <v>17307</v>
      </c>
      <c r="C3616" s="1">
        <v>7.8737339393722397E-5</v>
      </c>
      <c r="D3616" s="1">
        <v>0</v>
      </c>
      <c r="E3616" s="1">
        <v>0</v>
      </c>
      <c r="F3616" s="1">
        <v>6.9992364469330601E-5</v>
      </c>
    </row>
    <row r="3617" spans="1:6" x14ac:dyDescent="0.25">
      <c r="A3617" s="2" t="str">
        <f t="shared" si="129"/>
        <v>25420</v>
      </c>
      <c r="B3617" s="2" t="str">
        <f>"17121"</f>
        <v>17121</v>
      </c>
      <c r="C3617" s="1">
        <v>0</v>
      </c>
      <c r="D3617" s="1">
        <v>4.3853878875586502E-4</v>
      </c>
      <c r="E3617" s="1">
        <v>2.4779053440158501E-4</v>
      </c>
      <c r="F3617" s="1">
        <v>4.1359124459149897E-5</v>
      </c>
    </row>
    <row r="3618" spans="1:6" x14ac:dyDescent="0.25">
      <c r="A3618" s="2" t="str">
        <f t="shared" si="129"/>
        <v>25420</v>
      </c>
      <c r="B3618" s="2" t="str">
        <f>"17112"</f>
        <v>17112</v>
      </c>
      <c r="C3618" s="1">
        <v>5.9346480083032102E-2</v>
      </c>
      <c r="D3618" s="1">
        <v>6.0386791211682597E-2</v>
      </c>
      <c r="E3618" s="1">
        <v>3.1882382093004001E-2</v>
      </c>
      <c r="F3618" s="1">
        <v>5.8364087554085002E-2</v>
      </c>
    </row>
    <row r="3619" spans="1:6" x14ac:dyDescent="0.25">
      <c r="A3619" s="2" t="str">
        <f t="shared" si="129"/>
        <v>25420</v>
      </c>
      <c r="B3619" s="2" t="str">
        <f>"17047"</f>
        <v>17047</v>
      </c>
      <c r="C3619" s="1">
        <v>3.5539171826348302E-3</v>
      </c>
      <c r="D3619" s="1">
        <v>2.6750866114107698E-3</v>
      </c>
      <c r="E3619" s="1">
        <v>8.2596844800528603E-4</v>
      </c>
      <c r="F3619" s="1">
        <v>3.3850852634258002E-3</v>
      </c>
    </row>
    <row r="3620" spans="1:6" x14ac:dyDescent="0.25">
      <c r="A3620" s="2" t="str">
        <f t="shared" si="129"/>
        <v>25420</v>
      </c>
      <c r="B3620" s="2" t="str">
        <f>"17005"</f>
        <v>17005</v>
      </c>
      <c r="C3620" s="1">
        <v>1.43158798897677E-5</v>
      </c>
      <c r="D3620" s="1">
        <v>0</v>
      </c>
      <c r="E3620" s="1">
        <v>8.2596844800528598E-5</v>
      </c>
      <c r="F3620" s="1">
        <v>1.5907355561211501E-5</v>
      </c>
    </row>
    <row r="3621" spans="1:6" x14ac:dyDescent="0.25">
      <c r="A3621" s="2" t="str">
        <f t="shared" ref="A3621:A3650" si="130">"44980"</f>
        <v>44980</v>
      </c>
      <c r="B3621" s="2" t="str">
        <f>"17749"</f>
        <v>17749</v>
      </c>
      <c r="C3621" s="1">
        <v>2.35838943441533E-4</v>
      </c>
      <c r="D3621" s="1">
        <v>3.1456432840515803E-4</v>
      </c>
      <c r="E3621" s="1">
        <v>0</v>
      </c>
      <c r="F3621" s="1">
        <v>2.3470505398216201E-4</v>
      </c>
    </row>
    <row r="3622" spans="1:6" x14ac:dyDescent="0.25">
      <c r="A3622" s="2" t="str">
        <f t="shared" si="130"/>
        <v>44980</v>
      </c>
      <c r="B3622" s="2" t="str">
        <f>"17777"</f>
        <v>17777</v>
      </c>
      <c r="C3622" s="1">
        <v>6.7878735903263099E-2</v>
      </c>
      <c r="D3622" s="1">
        <v>4.9386599559609903E-2</v>
      </c>
      <c r="E3622" s="1">
        <v>7.34506503442999E-2</v>
      </c>
      <c r="F3622" s="1">
        <v>6.6871381630417698E-2</v>
      </c>
    </row>
    <row r="3623" spans="1:6" x14ac:dyDescent="0.25">
      <c r="A3623" s="2" t="str">
        <f t="shared" si="130"/>
        <v>44980</v>
      </c>
      <c r="B3623" s="2" t="str">
        <f>"17730"</f>
        <v>17730</v>
      </c>
      <c r="C3623" s="1">
        <v>2.1439903949230301E-5</v>
      </c>
      <c r="D3623" s="1">
        <v>3.1456432840515803E-4</v>
      </c>
      <c r="E3623" s="1">
        <v>0</v>
      </c>
      <c r="F3623" s="1">
        <v>3.9117508997027E-5</v>
      </c>
    </row>
    <row r="3624" spans="1:6" x14ac:dyDescent="0.25">
      <c r="A3624" s="2" t="str">
        <f t="shared" si="130"/>
        <v>44980</v>
      </c>
      <c r="B3624" s="2" t="str">
        <f>"17877"</f>
        <v>17877</v>
      </c>
      <c r="C3624" s="1">
        <v>0</v>
      </c>
      <c r="D3624" s="1">
        <v>3.1456432840515803E-4</v>
      </c>
      <c r="E3624" s="1">
        <v>0</v>
      </c>
      <c r="F3624" s="1">
        <v>1.95587544985135E-5</v>
      </c>
    </row>
    <row r="3625" spans="1:6" x14ac:dyDescent="0.25">
      <c r="A3625" s="2" t="str">
        <f t="shared" si="130"/>
        <v>44980</v>
      </c>
      <c r="B3625" s="2" t="str">
        <f>"17857"</f>
        <v>17857</v>
      </c>
      <c r="C3625" s="1">
        <v>8.0978517216242801E-2</v>
      </c>
      <c r="D3625" s="1">
        <v>8.5246932997797994E-2</v>
      </c>
      <c r="E3625" s="1">
        <v>6.3504208110175903E-2</v>
      </c>
      <c r="F3625" s="1">
        <v>8.0797214833359401E-2</v>
      </c>
    </row>
    <row r="3626" spans="1:6" x14ac:dyDescent="0.25">
      <c r="A3626" s="2" t="str">
        <f t="shared" si="130"/>
        <v>44980</v>
      </c>
      <c r="B3626" s="2" t="str">
        <f>"17850"</f>
        <v>17850</v>
      </c>
      <c r="C3626" s="1">
        <v>6.3890913768706297E-3</v>
      </c>
      <c r="D3626" s="1">
        <v>3.1456432840515803E-4</v>
      </c>
      <c r="E3626" s="1">
        <v>0</v>
      </c>
      <c r="F3626" s="1">
        <v>5.8480675950555398E-3</v>
      </c>
    </row>
    <row r="3627" spans="1:6" x14ac:dyDescent="0.25">
      <c r="A3627" s="2" t="str">
        <f t="shared" si="130"/>
        <v>44980</v>
      </c>
      <c r="B3627" s="2" t="str">
        <f>"17840"</f>
        <v>17840</v>
      </c>
      <c r="C3627" s="1">
        <v>3.5161442476737701E-3</v>
      </c>
      <c r="D3627" s="1">
        <v>1.2582573136206299E-3</v>
      </c>
      <c r="E3627" s="1">
        <v>0</v>
      </c>
      <c r="F3627" s="1">
        <v>3.2858707557502699E-3</v>
      </c>
    </row>
    <row r="3628" spans="1:6" x14ac:dyDescent="0.25">
      <c r="A3628" s="2" t="str">
        <f t="shared" si="130"/>
        <v>44980</v>
      </c>
      <c r="B3628" s="2" t="str">
        <f>"17941"</f>
        <v>17941</v>
      </c>
      <c r="C3628" s="1">
        <v>1.6937524119891899E-3</v>
      </c>
      <c r="D3628" s="1">
        <v>6.2912865681031703E-4</v>
      </c>
      <c r="E3628" s="1">
        <v>0</v>
      </c>
      <c r="F3628" s="1">
        <v>1.58425911437959E-3</v>
      </c>
    </row>
    <row r="3629" spans="1:6" x14ac:dyDescent="0.25">
      <c r="A3629" s="2" t="str">
        <f t="shared" si="130"/>
        <v>44980</v>
      </c>
      <c r="B3629" s="2" t="str">
        <f>"17868"</f>
        <v>17868</v>
      </c>
      <c r="C3629" s="1">
        <v>2.6799879936537799E-3</v>
      </c>
      <c r="D3629" s="1">
        <v>3.1456432840515803E-4</v>
      </c>
      <c r="E3629" s="1">
        <v>1.53022188217291E-3</v>
      </c>
      <c r="F3629" s="1">
        <v>2.5035205758097302E-3</v>
      </c>
    </row>
    <row r="3630" spans="1:6" x14ac:dyDescent="0.25">
      <c r="A3630" s="2" t="str">
        <f t="shared" si="130"/>
        <v>44980</v>
      </c>
      <c r="B3630" s="2" t="str">
        <f>"17834"</f>
        <v>17834</v>
      </c>
      <c r="C3630" s="1">
        <v>3.92564641310406E-2</v>
      </c>
      <c r="D3630" s="1">
        <v>3.39729474677571E-2</v>
      </c>
      <c r="E3630" s="1">
        <v>4.2081101759755102E-2</v>
      </c>
      <c r="F3630" s="1">
        <v>3.90001564700359E-2</v>
      </c>
    </row>
    <row r="3631" spans="1:6" x14ac:dyDescent="0.25">
      <c r="A3631" s="2" t="str">
        <f t="shared" si="130"/>
        <v>44980</v>
      </c>
      <c r="B3631" s="2" t="str">
        <f>"17964"</f>
        <v>17964</v>
      </c>
      <c r="C3631" s="1">
        <v>2.5727884739076303E-4</v>
      </c>
      <c r="D3631" s="1">
        <v>0</v>
      </c>
      <c r="E3631" s="1">
        <v>0</v>
      </c>
      <c r="F3631" s="1">
        <v>2.3470505398216201E-4</v>
      </c>
    </row>
    <row r="3632" spans="1:6" x14ac:dyDescent="0.25">
      <c r="A3632" s="2" t="str">
        <f t="shared" si="130"/>
        <v>44980</v>
      </c>
      <c r="B3632" s="2" t="str">
        <f>"17865"</f>
        <v>17865</v>
      </c>
      <c r="C3632" s="1">
        <v>2.1439903949230301E-5</v>
      </c>
      <c r="D3632" s="1">
        <v>3.1456432840515803E-4</v>
      </c>
      <c r="E3632" s="1">
        <v>0</v>
      </c>
      <c r="F3632" s="1">
        <v>3.9117508997027E-5</v>
      </c>
    </row>
    <row r="3633" spans="1:6" x14ac:dyDescent="0.25">
      <c r="A3633" s="2" t="str">
        <f t="shared" si="130"/>
        <v>44980</v>
      </c>
      <c r="B3633" s="2" t="str">
        <f>"17820"</f>
        <v>17820</v>
      </c>
      <c r="C3633" s="1">
        <v>1.50079327644612E-4</v>
      </c>
      <c r="D3633" s="1">
        <v>0</v>
      </c>
      <c r="E3633" s="1">
        <v>0</v>
      </c>
      <c r="F3633" s="1">
        <v>1.3691128148959401E-4</v>
      </c>
    </row>
    <row r="3634" spans="1:6" x14ac:dyDescent="0.25">
      <c r="A3634" s="2" t="str">
        <f t="shared" si="130"/>
        <v>44980</v>
      </c>
      <c r="B3634" s="2" t="str">
        <f>"17872"</f>
        <v>17872</v>
      </c>
      <c r="C3634" s="1">
        <v>0.124758801080571</v>
      </c>
      <c r="D3634" s="1">
        <v>0.16388801509908699</v>
      </c>
      <c r="E3634" s="1">
        <v>0.268553940321346</v>
      </c>
      <c r="F3634" s="1">
        <v>0.13086762634955401</v>
      </c>
    </row>
    <row r="3635" spans="1:6" x14ac:dyDescent="0.25">
      <c r="A3635" s="2" t="str">
        <f t="shared" si="130"/>
        <v>44980</v>
      </c>
      <c r="B3635" s="2" t="str">
        <f>"17860"</f>
        <v>17860</v>
      </c>
      <c r="C3635" s="1">
        <v>1.9767591441190301E-2</v>
      </c>
      <c r="D3635" s="1">
        <v>1.66719094054734E-2</v>
      </c>
      <c r="E3635" s="1">
        <v>1.53022188217291E-3</v>
      </c>
      <c r="F3635" s="1">
        <v>1.91089031450477E-2</v>
      </c>
    </row>
    <row r="3636" spans="1:6" x14ac:dyDescent="0.25">
      <c r="A3636" s="2" t="str">
        <f t="shared" si="130"/>
        <v>44980</v>
      </c>
      <c r="B3636" s="2" t="str">
        <f>"17881"</f>
        <v>17881</v>
      </c>
      <c r="C3636" s="1">
        <v>1.6723125080399599E-2</v>
      </c>
      <c r="D3636" s="1">
        <v>1.5099087763447599E-2</v>
      </c>
      <c r="E3636" s="1">
        <v>1.8362662586074899E-2</v>
      </c>
      <c r="F3636" s="1">
        <v>1.6664058832733499E-2</v>
      </c>
    </row>
    <row r="3637" spans="1:6" x14ac:dyDescent="0.25">
      <c r="A3637" s="2" t="str">
        <f t="shared" si="130"/>
        <v>44980</v>
      </c>
      <c r="B3637" s="2" t="str">
        <f>"17836"</f>
        <v>17836</v>
      </c>
      <c r="C3637" s="1">
        <v>1.5865528922430401E-3</v>
      </c>
      <c r="D3637" s="1">
        <v>1.8873859704309499E-3</v>
      </c>
      <c r="E3637" s="1">
        <v>7.6511094108645697E-4</v>
      </c>
      <c r="F3637" s="1">
        <v>1.58425911437959E-3</v>
      </c>
    </row>
    <row r="3638" spans="1:6" x14ac:dyDescent="0.25">
      <c r="A3638" s="2" t="str">
        <f t="shared" si="130"/>
        <v>44980</v>
      </c>
      <c r="B3638" s="2" t="str">
        <f>"17824"</f>
        <v>17824</v>
      </c>
      <c r="C3638" s="1">
        <v>3.3832168431885398E-2</v>
      </c>
      <c r="D3638" s="1">
        <v>3.4916640452972603E-2</v>
      </c>
      <c r="E3638" s="1">
        <v>1.6832440703902E-2</v>
      </c>
      <c r="F3638" s="1">
        <v>3.3465028946956597E-2</v>
      </c>
    </row>
    <row r="3639" spans="1:6" x14ac:dyDescent="0.25">
      <c r="A3639" s="2" t="str">
        <f t="shared" si="130"/>
        <v>44980</v>
      </c>
      <c r="B3639" s="2" t="str">
        <f>"17756"</f>
        <v>17756</v>
      </c>
      <c r="C3639" s="1">
        <v>8.0185240770121301E-3</v>
      </c>
      <c r="D3639" s="1">
        <v>2.5165146272412699E-3</v>
      </c>
      <c r="E3639" s="1">
        <v>0</v>
      </c>
      <c r="F3639" s="1">
        <v>7.4714442184321697E-3</v>
      </c>
    </row>
    <row r="3640" spans="1:6" x14ac:dyDescent="0.25">
      <c r="A3640" s="2" t="str">
        <f t="shared" si="130"/>
        <v>44980</v>
      </c>
      <c r="B3640" s="2" t="str">
        <f>"17017"</f>
        <v>17017</v>
      </c>
      <c r="C3640" s="1">
        <v>1.4386175549933501E-2</v>
      </c>
      <c r="D3640" s="1">
        <v>8.8078011953444408E-3</v>
      </c>
      <c r="E3640" s="1">
        <v>1.37719969395562E-2</v>
      </c>
      <c r="F3640" s="1">
        <v>1.40236269754342E-2</v>
      </c>
    </row>
    <row r="3641" spans="1:6" x14ac:dyDescent="0.25">
      <c r="A3641" s="2" t="str">
        <f t="shared" si="130"/>
        <v>44980</v>
      </c>
      <c r="B3641" s="2" t="str">
        <f>"17867"</f>
        <v>17867</v>
      </c>
      <c r="C3641" s="1">
        <v>1.43647356459843E-3</v>
      </c>
      <c r="D3641" s="1">
        <v>3.1456432840515803E-4</v>
      </c>
      <c r="E3641" s="1">
        <v>0</v>
      </c>
      <c r="F3641" s="1">
        <v>1.32999530589892E-3</v>
      </c>
    </row>
    <row r="3642" spans="1:6" x14ac:dyDescent="0.25">
      <c r="A3642" s="2" t="str">
        <f t="shared" si="130"/>
        <v>44980</v>
      </c>
      <c r="B3642" s="2" t="str">
        <f>"17832"</f>
        <v>17832</v>
      </c>
      <c r="C3642" s="1">
        <v>4.2879807898460602E-5</v>
      </c>
      <c r="D3642" s="1">
        <v>3.1456432840515803E-4</v>
      </c>
      <c r="E3642" s="1">
        <v>0</v>
      </c>
      <c r="F3642" s="1">
        <v>5.8676263495540598E-5</v>
      </c>
    </row>
    <row r="3643" spans="1:6" x14ac:dyDescent="0.25">
      <c r="A3643" s="2" t="str">
        <f t="shared" si="130"/>
        <v>44980</v>
      </c>
      <c r="B3643" s="2" t="str">
        <f>"17830"</f>
        <v>17830</v>
      </c>
      <c r="C3643" s="1">
        <v>1.8524077012134901E-2</v>
      </c>
      <c r="D3643" s="1">
        <v>1.5099087763447599E-2</v>
      </c>
      <c r="E3643" s="1">
        <v>4.5906656465187403E-3</v>
      </c>
      <c r="F3643" s="1">
        <v>1.7954936629635401E-2</v>
      </c>
    </row>
    <row r="3644" spans="1:6" x14ac:dyDescent="0.25">
      <c r="A3644" s="2" t="str">
        <f t="shared" si="130"/>
        <v>44980</v>
      </c>
      <c r="B3644" s="2" t="str">
        <f>"17823"</f>
        <v>17823</v>
      </c>
      <c r="C3644" s="1">
        <v>1.15132284207366E-2</v>
      </c>
      <c r="D3644" s="1">
        <v>6.6058508965083302E-3</v>
      </c>
      <c r="E3644" s="1">
        <v>1.53022188217291E-3</v>
      </c>
      <c r="F3644" s="1">
        <v>1.0952902519167499E-2</v>
      </c>
    </row>
    <row r="3645" spans="1:6" x14ac:dyDescent="0.25">
      <c r="A3645" s="2" t="str">
        <f t="shared" si="130"/>
        <v>44980</v>
      </c>
      <c r="B3645" s="2" t="str">
        <f>"17866"</f>
        <v>17866</v>
      </c>
      <c r="C3645" s="1">
        <v>9.9995712019210106E-2</v>
      </c>
      <c r="D3645" s="1">
        <v>7.8326517772884505E-2</v>
      </c>
      <c r="E3645" s="1">
        <v>4.59066564651874E-2</v>
      </c>
      <c r="F3645" s="1">
        <v>9.7265686121107794E-2</v>
      </c>
    </row>
    <row r="3646" spans="1:6" x14ac:dyDescent="0.25">
      <c r="A3646" s="2" t="str">
        <f t="shared" si="130"/>
        <v>44980</v>
      </c>
      <c r="B3646" s="2" t="str">
        <f>"17851"</f>
        <v>17851</v>
      </c>
      <c r="C3646" s="1">
        <v>0.10053170961794</v>
      </c>
      <c r="D3646" s="1">
        <v>0.115759672853098</v>
      </c>
      <c r="E3646" s="1">
        <v>0.123182861514919</v>
      </c>
      <c r="F3646" s="1">
        <v>0.102057580973243</v>
      </c>
    </row>
    <row r="3647" spans="1:6" x14ac:dyDescent="0.25">
      <c r="A3647" s="2" t="str">
        <f t="shared" si="130"/>
        <v>44980</v>
      </c>
      <c r="B3647" s="2" t="str">
        <f>"17847"</f>
        <v>17847</v>
      </c>
      <c r="C3647" s="1">
        <v>0.122743450109343</v>
      </c>
      <c r="D3647" s="1">
        <v>0.13180245360176099</v>
      </c>
      <c r="E3647" s="1">
        <v>0.130068859984697</v>
      </c>
      <c r="F3647" s="1">
        <v>0.123493975903614</v>
      </c>
    </row>
    <row r="3648" spans="1:6" x14ac:dyDescent="0.25">
      <c r="A3648" s="2" t="str">
        <f t="shared" si="130"/>
        <v>44980</v>
      </c>
      <c r="B3648" s="2" t="str">
        <f>"17821"</f>
        <v>17821</v>
      </c>
      <c r="C3648" s="1">
        <v>3.9192144419192998E-2</v>
      </c>
      <c r="D3648" s="1">
        <v>1.1324315822585701E-2</v>
      </c>
      <c r="E3648" s="1">
        <v>1.07115531752104E-2</v>
      </c>
      <c r="F3648" s="1">
        <v>3.6731340948208402E-2</v>
      </c>
    </row>
    <row r="3649" spans="1:6" x14ac:dyDescent="0.25">
      <c r="A3649" s="2" t="str">
        <f t="shared" si="130"/>
        <v>44980</v>
      </c>
      <c r="B3649" s="2" t="str">
        <f>"17801"</f>
        <v>17801</v>
      </c>
      <c r="C3649" s="1">
        <v>0.17012563783714199</v>
      </c>
      <c r="D3649" s="1">
        <v>0.208241585404215</v>
      </c>
      <c r="E3649" s="1">
        <v>0.17444529456771199</v>
      </c>
      <c r="F3649" s="1">
        <v>0.17260600844938101</v>
      </c>
    </row>
    <row r="3650" spans="1:6" x14ac:dyDescent="0.25">
      <c r="A3650" s="2" t="str">
        <f t="shared" si="130"/>
        <v>44980</v>
      </c>
      <c r="B3650" s="2" t="str">
        <f>"17772"</f>
        <v>17772</v>
      </c>
      <c r="C3650" s="1">
        <v>1.3742978431456601E-2</v>
      </c>
      <c r="D3650" s="1">
        <v>1.60427807486631E-2</v>
      </c>
      <c r="E3650" s="1">
        <v>9.1813312930374893E-3</v>
      </c>
      <c r="F3650" s="1">
        <v>1.3769363166953499E-2</v>
      </c>
    </row>
    <row r="3651" spans="1:6" x14ac:dyDescent="0.25">
      <c r="A3651" s="2" t="str">
        <f t="shared" ref="A3651:A3685" si="131">"16540"</f>
        <v>16540</v>
      </c>
      <c r="B3651" s="2" t="str">
        <f>"17261"</f>
        <v>17261</v>
      </c>
      <c r="C3651" s="1">
        <v>0</v>
      </c>
      <c r="D3651" s="1">
        <v>6.2827225130890005E-4</v>
      </c>
      <c r="E3651" s="1">
        <v>0</v>
      </c>
      <c r="F3651" s="1">
        <v>3.8942831922737399E-5</v>
      </c>
    </row>
    <row r="3652" spans="1:6" x14ac:dyDescent="0.25">
      <c r="A3652" s="2" t="str">
        <f t="shared" si="131"/>
        <v>16540</v>
      </c>
      <c r="B3652" s="2" t="str">
        <f>"17257"</f>
        <v>17257</v>
      </c>
      <c r="C3652" s="1">
        <v>6.1836228287841098E-2</v>
      </c>
      <c r="D3652" s="1">
        <v>3.5183246073298403E-2</v>
      </c>
      <c r="E3652" s="1">
        <v>3.6290322580645101E-2</v>
      </c>
      <c r="F3652" s="1">
        <v>5.96084947297367E-2</v>
      </c>
    </row>
    <row r="3653" spans="1:6" x14ac:dyDescent="0.25">
      <c r="A3653" s="2" t="str">
        <f t="shared" si="131"/>
        <v>16540</v>
      </c>
      <c r="B3653" s="2" t="str">
        <f>"17236"</f>
        <v>17236</v>
      </c>
      <c r="C3653" s="1">
        <v>5.3399503722084303E-2</v>
      </c>
      <c r="D3653" s="1">
        <v>4.1675392670156998E-2</v>
      </c>
      <c r="E3653" s="1">
        <v>3.28341013824884E-2</v>
      </c>
      <c r="F3653" s="1">
        <v>5.2209356664416597E-2</v>
      </c>
    </row>
    <row r="3654" spans="1:6" x14ac:dyDescent="0.25">
      <c r="A3654" s="2" t="str">
        <f t="shared" si="131"/>
        <v>16540</v>
      </c>
      <c r="B3654" s="2" t="str">
        <f>"17214"</f>
        <v>17214</v>
      </c>
      <c r="C3654" s="1">
        <v>1.5923431407302301E-2</v>
      </c>
      <c r="D3654" s="1">
        <v>1.6753926701570599E-2</v>
      </c>
      <c r="E3654" s="1">
        <v>2.1313364055299499E-2</v>
      </c>
      <c r="F3654" s="1">
        <v>1.6096370528064799E-2</v>
      </c>
    </row>
    <row r="3655" spans="1:6" x14ac:dyDescent="0.25">
      <c r="A3655" s="2" t="str">
        <f t="shared" si="131"/>
        <v>16540</v>
      </c>
      <c r="B3655" s="2" t="str">
        <f>"17202"</f>
        <v>17202</v>
      </c>
      <c r="C3655" s="1">
        <v>0.189067706487061</v>
      </c>
      <c r="D3655" s="1">
        <v>0.16607329842931901</v>
      </c>
      <c r="E3655" s="1">
        <v>8.9861751152073704E-2</v>
      </c>
      <c r="F3655" s="1">
        <v>0.18540682278415199</v>
      </c>
    </row>
    <row r="3656" spans="1:6" x14ac:dyDescent="0.25">
      <c r="A3656" s="2" t="str">
        <f t="shared" si="131"/>
        <v>16540</v>
      </c>
      <c r="B3656" s="2" t="str">
        <f>"17263"</f>
        <v>17263</v>
      </c>
      <c r="C3656" s="1">
        <v>7.9404466501240597E-4</v>
      </c>
      <c r="D3656" s="1">
        <v>2.0942408376963299E-4</v>
      </c>
      <c r="E3656" s="1">
        <v>0</v>
      </c>
      <c r="F3656" s="1">
        <v>7.3991380653201102E-4</v>
      </c>
    </row>
    <row r="3657" spans="1:6" x14ac:dyDescent="0.25">
      <c r="A3657" s="2" t="str">
        <f t="shared" si="131"/>
        <v>16540</v>
      </c>
      <c r="B3657" s="2" t="str">
        <f>"17256"</f>
        <v>17256</v>
      </c>
      <c r="C3657" s="1">
        <v>0</v>
      </c>
      <c r="D3657" s="1">
        <v>2.0942408376963299E-4</v>
      </c>
      <c r="E3657" s="1">
        <v>0</v>
      </c>
      <c r="F3657" s="1">
        <v>1.2980943974245801E-5</v>
      </c>
    </row>
    <row r="3658" spans="1:6" x14ac:dyDescent="0.25">
      <c r="A3658" s="2" t="str">
        <f t="shared" si="131"/>
        <v>16540</v>
      </c>
      <c r="B3658" s="2" t="str">
        <f>"17271"</f>
        <v>17271</v>
      </c>
      <c r="C3658" s="1">
        <v>2.22616093583835E-3</v>
      </c>
      <c r="D3658" s="1">
        <v>8.3769633507853401E-4</v>
      </c>
      <c r="E3658" s="1">
        <v>0</v>
      </c>
      <c r="F3658" s="1">
        <v>2.08993197985357E-3</v>
      </c>
    </row>
    <row r="3659" spans="1:6" x14ac:dyDescent="0.25">
      <c r="A3659" s="2" t="str">
        <f t="shared" si="131"/>
        <v>16540</v>
      </c>
      <c r="B3659" s="2" t="str">
        <f>"17268"</f>
        <v>17268</v>
      </c>
      <c r="C3659" s="1">
        <v>0.20816731655441301</v>
      </c>
      <c r="D3659" s="1">
        <v>0.20041884816753899</v>
      </c>
      <c r="E3659" s="1">
        <v>0.28859447004608202</v>
      </c>
      <c r="F3659" s="1">
        <v>0.20949945480035301</v>
      </c>
    </row>
    <row r="3660" spans="1:6" x14ac:dyDescent="0.25">
      <c r="A3660" s="2" t="str">
        <f t="shared" si="131"/>
        <v>16540</v>
      </c>
      <c r="B3660" s="2" t="str">
        <f>"17252"</f>
        <v>17252</v>
      </c>
      <c r="C3660" s="1">
        <v>2.3268344558667099E-2</v>
      </c>
      <c r="D3660" s="1">
        <v>9.8429319371727692E-3</v>
      </c>
      <c r="E3660" s="1">
        <v>4.60829493087557E-3</v>
      </c>
      <c r="F3660" s="1">
        <v>2.20156809803208E-2</v>
      </c>
    </row>
    <row r="3661" spans="1:6" x14ac:dyDescent="0.25">
      <c r="A3661" s="2" t="str">
        <f t="shared" si="131"/>
        <v>16540</v>
      </c>
      <c r="B3661" s="2" t="str">
        <f>"17231"</f>
        <v>17231</v>
      </c>
      <c r="C3661" s="1">
        <v>0</v>
      </c>
      <c r="D3661" s="1">
        <v>2.0942408376963299E-4</v>
      </c>
      <c r="E3661" s="1">
        <v>0</v>
      </c>
      <c r="F3661" s="1">
        <v>1.2980943974245801E-5</v>
      </c>
    </row>
    <row r="3662" spans="1:6" x14ac:dyDescent="0.25">
      <c r="A3662" s="2" t="str">
        <f t="shared" si="131"/>
        <v>16540</v>
      </c>
      <c r="B3662" s="2" t="str">
        <f>"17210"</f>
        <v>17210</v>
      </c>
      <c r="C3662" s="1">
        <v>5.6717476072314701E-5</v>
      </c>
      <c r="D3662" s="1">
        <v>0</v>
      </c>
      <c r="E3662" s="1">
        <v>5.76036866359447E-4</v>
      </c>
      <c r="F3662" s="1">
        <v>6.4904719871229007E-5</v>
      </c>
    </row>
    <row r="3663" spans="1:6" x14ac:dyDescent="0.25">
      <c r="A3663" s="2" t="str">
        <f t="shared" si="131"/>
        <v>16540</v>
      </c>
      <c r="B3663" s="2" t="str">
        <f>"17217"</f>
        <v>17217</v>
      </c>
      <c r="C3663" s="1">
        <v>6.9478908188585597E-4</v>
      </c>
      <c r="D3663" s="1">
        <v>0</v>
      </c>
      <c r="E3663" s="1">
        <v>5.76036866359447E-4</v>
      </c>
      <c r="F3663" s="1">
        <v>6.4904719871229004E-4</v>
      </c>
    </row>
    <row r="3664" spans="1:6" x14ac:dyDescent="0.25">
      <c r="A3664" s="2" t="str">
        <f t="shared" si="131"/>
        <v>16540</v>
      </c>
      <c r="B3664" s="2" t="str">
        <f>"17240"</f>
        <v>17240</v>
      </c>
      <c r="C3664" s="1">
        <v>5.0903934774902499E-3</v>
      </c>
      <c r="D3664" s="1">
        <v>3.7696335078534001E-3</v>
      </c>
      <c r="E3664" s="1">
        <v>0</v>
      </c>
      <c r="F3664" s="1">
        <v>4.89381587829066E-3</v>
      </c>
    </row>
    <row r="3665" spans="1:6" x14ac:dyDescent="0.25">
      <c r="A3665" s="2" t="str">
        <f t="shared" si="131"/>
        <v>16540</v>
      </c>
      <c r="B3665" s="2" t="str">
        <f>"17232"</f>
        <v>17232</v>
      </c>
      <c r="C3665" s="1">
        <v>2.5522864232541598E-4</v>
      </c>
      <c r="D3665" s="1">
        <v>6.2827225130890005E-4</v>
      </c>
      <c r="E3665" s="1">
        <v>0</v>
      </c>
      <c r="F3665" s="1">
        <v>2.7259982345916099E-4</v>
      </c>
    </row>
    <row r="3666" spans="1:6" x14ac:dyDescent="0.25">
      <c r="A3666" s="2" t="str">
        <f t="shared" si="131"/>
        <v>16540</v>
      </c>
      <c r="B3666" s="2" t="str">
        <f>"17265"</f>
        <v>17265</v>
      </c>
      <c r="C3666" s="1">
        <v>2.18362282878411E-3</v>
      </c>
      <c r="D3666" s="1">
        <v>0</v>
      </c>
      <c r="E3666" s="1">
        <v>1.72811059907834E-3</v>
      </c>
      <c r="F3666" s="1">
        <v>2.0380082039565899E-3</v>
      </c>
    </row>
    <row r="3667" spans="1:6" x14ac:dyDescent="0.25">
      <c r="A3667" s="2" t="str">
        <f t="shared" si="131"/>
        <v>16540</v>
      </c>
      <c r="B3667" s="2" t="str">
        <f>"17222"</f>
        <v>17222</v>
      </c>
      <c r="C3667" s="1">
        <v>7.0584898971995699E-2</v>
      </c>
      <c r="D3667" s="1">
        <v>2.34554973821989E-2</v>
      </c>
      <c r="E3667" s="1">
        <v>3.7442396313363997E-2</v>
      </c>
      <c r="F3667" s="1">
        <v>6.6916766187237103E-2</v>
      </c>
    </row>
    <row r="3668" spans="1:6" x14ac:dyDescent="0.25">
      <c r="A3668" s="2" t="str">
        <f t="shared" si="131"/>
        <v>16540</v>
      </c>
      <c r="B3668" s="2" t="str">
        <f>"17254"</f>
        <v>17254</v>
      </c>
      <c r="C3668" s="1">
        <v>0</v>
      </c>
      <c r="D3668" s="1">
        <v>4.18848167539267E-4</v>
      </c>
      <c r="E3668" s="1">
        <v>0</v>
      </c>
      <c r="F3668" s="1">
        <v>2.5961887948491601E-5</v>
      </c>
    </row>
    <row r="3669" spans="1:6" x14ac:dyDescent="0.25">
      <c r="A3669" s="2" t="str">
        <f t="shared" si="131"/>
        <v>16540</v>
      </c>
      <c r="B3669" s="2" t="str">
        <f>"17201"</f>
        <v>17201</v>
      </c>
      <c r="C3669" s="1">
        <v>0.19597305919886501</v>
      </c>
      <c r="D3669" s="1">
        <v>0.38722513089005201</v>
      </c>
      <c r="E3669" s="1">
        <v>0.37154377880184303</v>
      </c>
      <c r="F3669" s="1">
        <v>0.21178410093982</v>
      </c>
    </row>
    <row r="3670" spans="1:6" x14ac:dyDescent="0.25">
      <c r="A3670" s="2" t="str">
        <f t="shared" si="131"/>
        <v>16540</v>
      </c>
      <c r="B3670" s="2" t="str">
        <f>"17250"</f>
        <v>17250</v>
      </c>
      <c r="C3670" s="1">
        <v>2.2686990428925899E-4</v>
      </c>
      <c r="D3670" s="1">
        <v>2.0942408376963299E-4</v>
      </c>
      <c r="E3670" s="1">
        <v>1.1520737327188901E-3</v>
      </c>
      <c r="F3670" s="1">
        <v>2.4663793551066998E-4</v>
      </c>
    </row>
    <row r="3671" spans="1:6" x14ac:dyDescent="0.25">
      <c r="A3671" s="2" t="str">
        <f t="shared" si="131"/>
        <v>16540</v>
      </c>
      <c r="B3671" s="2" t="str">
        <f>"17272"</f>
        <v>17272</v>
      </c>
      <c r="C3671" s="1">
        <v>0</v>
      </c>
      <c r="D3671" s="1">
        <v>2.0942408376963299E-4</v>
      </c>
      <c r="E3671" s="1">
        <v>0</v>
      </c>
      <c r="F3671" s="1">
        <v>1.2980943974245801E-5</v>
      </c>
    </row>
    <row r="3672" spans="1:6" x14ac:dyDescent="0.25">
      <c r="A3672" s="2" t="str">
        <f t="shared" si="131"/>
        <v>16540</v>
      </c>
      <c r="B3672" s="2" t="str">
        <f>"17247"</f>
        <v>17247</v>
      </c>
      <c r="C3672" s="1">
        <v>0</v>
      </c>
      <c r="D3672" s="1">
        <v>2.0942408376963299E-4</v>
      </c>
      <c r="E3672" s="1">
        <v>0</v>
      </c>
      <c r="F3672" s="1">
        <v>1.2980943974245801E-5</v>
      </c>
    </row>
    <row r="3673" spans="1:6" x14ac:dyDescent="0.25">
      <c r="A3673" s="2" t="str">
        <f t="shared" si="131"/>
        <v>16540</v>
      </c>
      <c r="B3673" s="2" t="str">
        <f>"17237"</f>
        <v>17237</v>
      </c>
      <c r="C3673" s="1">
        <v>8.3091102445941104E-3</v>
      </c>
      <c r="D3673" s="1">
        <v>8.3769633507853401E-4</v>
      </c>
      <c r="E3673" s="1">
        <v>8.0645161290322492E-3</v>
      </c>
      <c r="F3673" s="1">
        <v>7.8404901604444601E-3</v>
      </c>
    </row>
    <row r="3674" spans="1:6" x14ac:dyDescent="0.25">
      <c r="A3674" s="2" t="str">
        <f t="shared" si="131"/>
        <v>16540</v>
      </c>
      <c r="B3674" s="2" t="str">
        <f>"17221"</f>
        <v>17221</v>
      </c>
      <c r="C3674" s="1">
        <v>2.38213399503722E-3</v>
      </c>
      <c r="D3674" s="1">
        <v>1.4659685863874299E-3</v>
      </c>
      <c r="E3674" s="1">
        <v>5.76036866359447E-4</v>
      </c>
      <c r="F3674" s="1">
        <v>2.2846461394672602E-3</v>
      </c>
    </row>
    <row r="3675" spans="1:6" x14ac:dyDescent="0.25">
      <c r="A3675" s="2" t="str">
        <f t="shared" si="131"/>
        <v>16540</v>
      </c>
      <c r="B3675" s="2" t="str">
        <f>"17220"</f>
        <v>17220</v>
      </c>
      <c r="C3675" s="1">
        <v>2.21198156682027E-3</v>
      </c>
      <c r="D3675" s="1">
        <v>1.0471204188481601E-3</v>
      </c>
      <c r="E3675" s="1">
        <v>5.76036866359447E-4</v>
      </c>
      <c r="F3675" s="1">
        <v>2.10291292382782E-3</v>
      </c>
    </row>
    <row r="3676" spans="1:6" x14ac:dyDescent="0.25">
      <c r="A3676" s="2" t="str">
        <f t="shared" si="131"/>
        <v>16540</v>
      </c>
      <c r="B3676" s="2" t="str">
        <f>"17251"</f>
        <v>17251</v>
      </c>
      <c r="C3676" s="1">
        <v>1.4179369018078601E-5</v>
      </c>
      <c r="D3676" s="1">
        <v>4.18848167539267E-4</v>
      </c>
      <c r="E3676" s="1">
        <v>0</v>
      </c>
      <c r="F3676" s="1">
        <v>3.8942831922737399E-5</v>
      </c>
    </row>
    <row r="3677" spans="1:6" x14ac:dyDescent="0.25">
      <c r="A3677" s="2" t="str">
        <f t="shared" si="131"/>
        <v>16540</v>
      </c>
      <c r="B3677" s="2" t="str">
        <f>"17262"</f>
        <v>17262</v>
      </c>
      <c r="C3677" s="1">
        <v>5.65756823821339E-3</v>
      </c>
      <c r="D3677" s="1">
        <v>2.3036649214659599E-3</v>
      </c>
      <c r="E3677" s="1">
        <v>0</v>
      </c>
      <c r="F3677" s="1">
        <v>5.3221870294407796E-3</v>
      </c>
    </row>
    <row r="3678" spans="1:6" x14ac:dyDescent="0.25">
      <c r="A3678" s="2" t="str">
        <f t="shared" si="131"/>
        <v>16540</v>
      </c>
      <c r="B3678" s="2" t="str">
        <f>"17244"</f>
        <v>17244</v>
      </c>
      <c r="C3678" s="1">
        <v>1.35696561503013E-2</v>
      </c>
      <c r="D3678" s="1">
        <v>6.9109947643979002E-3</v>
      </c>
      <c r="E3678" s="1">
        <v>3.4562211981566801E-3</v>
      </c>
      <c r="F3678" s="1">
        <v>1.29290201983488E-2</v>
      </c>
    </row>
    <row r="3679" spans="1:6" x14ac:dyDescent="0.25">
      <c r="A3679" s="2" t="str">
        <f t="shared" si="131"/>
        <v>16540</v>
      </c>
      <c r="B3679" s="2" t="str">
        <f>"17225"</f>
        <v>17225</v>
      </c>
      <c r="C3679" s="1">
        <v>0.118255937610776</v>
      </c>
      <c r="D3679" s="1">
        <v>8.7958115183246005E-2</v>
      </c>
      <c r="E3679" s="1">
        <v>9.3317972350230399E-2</v>
      </c>
      <c r="F3679" s="1">
        <v>0.115815982138221</v>
      </c>
    </row>
    <row r="3680" spans="1:6" x14ac:dyDescent="0.25">
      <c r="A3680" s="2" t="str">
        <f t="shared" si="131"/>
        <v>16540</v>
      </c>
      <c r="B3680" s="2" t="str">
        <f>"17224"</f>
        <v>17224</v>
      </c>
      <c r="C3680" s="1">
        <v>9.5427153491669595E-3</v>
      </c>
      <c r="D3680" s="1">
        <v>5.6544502617801003E-3</v>
      </c>
      <c r="E3680" s="1">
        <v>5.7603686635944703E-3</v>
      </c>
      <c r="F3680" s="1">
        <v>9.2164702217145192E-3</v>
      </c>
    </row>
    <row r="3681" spans="1:6" x14ac:dyDescent="0.25">
      <c r="A3681" s="2" t="str">
        <f t="shared" si="131"/>
        <v>16540</v>
      </c>
      <c r="B3681" s="2" t="str">
        <f>"17021"</f>
        <v>17021</v>
      </c>
      <c r="C3681" s="1">
        <v>2.8358738036157299E-5</v>
      </c>
      <c r="D3681" s="1">
        <v>0</v>
      </c>
      <c r="E3681" s="1">
        <v>0</v>
      </c>
      <c r="F3681" s="1">
        <v>2.5961887948491601E-5</v>
      </c>
    </row>
    <row r="3682" spans="1:6" x14ac:dyDescent="0.25">
      <c r="A3682" s="2" t="str">
        <f t="shared" si="131"/>
        <v>16540</v>
      </c>
      <c r="B3682" s="2" t="str">
        <f>"17235"</f>
        <v>17235</v>
      </c>
      <c r="C3682" s="1">
        <v>6.5934065934065899E-3</v>
      </c>
      <c r="D3682" s="1">
        <v>2.72251308900523E-3</v>
      </c>
      <c r="E3682" s="1">
        <v>5.76036866359447E-4</v>
      </c>
      <c r="F3682" s="1">
        <v>6.2178721636637398E-3</v>
      </c>
    </row>
    <row r="3683" spans="1:6" x14ac:dyDescent="0.25">
      <c r="A3683" s="2" t="str">
        <f t="shared" si="131"/>
        <v>16540</v>
      </c>
      <c r="B3683" s="2" t="str">
        <f>"17233"</f>
        <v>17233</v>
      </c>
      <c r="C3683" s="1">
        <v>2.2686990428925899E-4</v>
      </c>
      <c r="D3683" s="1">
        <v>0</v>
      </c>
      <c r="E3683" s="1">
        <v>0</v>
      </c>
      <c r="F3683" s="1">
        <v>2.07695103587932E-4</v>
      </c>
    </row>
    <row r="3684" spans="1:6" x14ac:dyDescent="0.25">
      <c r="A3684" s="2" t="str">
        <f t="shared" si="131"/>
        <v>16540</v>
      </c>
      <c r="B3684" s="2" t="str">
        <f>"17246"</f>
        <v>17246</v>
      </c>
      <c r="C3684" s="1">
        <v>8.5076214108472097E-4</v>
      </c>
      <c r="D3684" s="1">
        <v>4.18848167539267E-4</v>
      </c>
      <c r="E3684" s="1">
        <v>1.1520737327188901E-3</v>
      </c>
      <c r="F3684" s="1">
        <v>8.3078041435173102E-4</v>
      </c>
    </row>
    <row r="3685" spans="1:6" x14ac:dyDescent="0.25">
      <c r="A3685" s="2" t="str">
        <f t="shared" si="131"/>
        <v>16540</v>
      </c>
      <c r="B3685" s="2" t="str">
        <f>"17219"</f>
        <v>17219</v>
      </c>
      <c r="C3685" s="1">
        <v>2.60900389932647E-3</v>
      </c>
      <c r="D3685" s="1">
        <v>2.0942408376963301E-3</v>
      </c>
      <c r="E3685" s="1">
        <v>0</v>
      </c>
      <c r="F3685" s="1">
        <v>2.5183031310036801E-3</v>
      </c>
    </row>
    <row r="3686" spans="1:6" x14ac:dyDescent="0.25">
      <c r="A3686" s="2" t="str">
        <f t="shared" ref="A3686:A3711" si="132">"14100"</f>
        <v>14100</v>
      </c>
      <c r="B3686" s="2" t="str">
        <f>"18631"</f>
        <v>18631</v>
      </c>
      <c r="C3686" s="1">
        <v>1.05963633281057E-4</v>
      </c>
      <c r="D3686" s="1">
        <v>3.1055900621117997E-4</v>
      </c>
      <c r="E3686" s="1">
        <v>6.8212824010913998E-4</v>
      </c>
      <c r="F3686" s="1">
        <v>1.34947563232572E-4</v>
      </c>
    </row>
    <row r="3687" spans="1:6" x14ac:dyDescent="0.25">
      <c r="A3687" s="2" t="str">
        <f t="shared" si="132"/>
        <v>14100</v>
      </c>
      <c r="B3687" s="2" t="str">
        <f>"17772"</f>
        <v>17772</v>
      </c>
      <c r="C3687" s="1">
        <v>6.9088288899249702E-3</v>
      </c>
      <c r="D3687" s="1">
        <v>2.79503105590062E-3</v>
      </c>
      <c r="E3687" s="1">
        <v>0</v>
      </c>
      <c r="F3687" s="1">
        <v>6.4582048118445399E-3</v>
      </c>
    </row>
    <row r="3688" spans="1:6" x14ac:dyDescent="0.25">
      <c r="A3688" s="2" t="str">
        <f t="shared" si="132"/>
        <v>14100</v>
      </c>
      <c r="B3688" s="2" t="str">
        <f>"18635"</f>
        <v>18635</v>
      </c>
      <c r="C3688" s="1">
        <v>1.41779341330055E-2</v>
      </c>
      <c r="D3688" s="1">
        <v>5.5900621118012399E-3</v>
      </c>
      <c r="E3688" s="1">
        <v>1.22783083219645E-2</v>
      </c>
      <c r="F3688" s="1">
        <v>1.3591147439851899E-2</v>
      </c>
    </row>
    <row r="3689" spans="1:6" x14ac:dyDescent="0.25">
      <c r="A3689" s="2" t="str">
        <f t="shared" si="132"/>
        <v>14100</v>
      </c>
      <c r="B3689" s="2" t="str">
        <f>"17967"</f>
        <v>17967</v>
      </c>
      <c r="C3689" s="1">
        <v>5.0862543974907804E-4</v>
      </c>
      <c r="D3689" s="1">
        <v>0</v>
      </c>
      <c r="E3689" s="1">
        <v>0</v>
      </c>
      <c r="F3689" s="1">
        <v>4.6267735965453401E-4</v>
      </c>
    </row>
    <row r="3690" spans="1:6" x14ac:dyDescent="0.25">
      <c r="A3690" s="2" t="str">
        <f t="shared" si="132"/>
        <v>14100</v>
      </c>
      <c r="B3690" s="2" t="str">
        <f>"17756"</f>
        <v>17756</v>
      </c>
      <c r="C3690" s="1">
        <v>2.9881744585258298E-3</v>
      </c>
      <c r="D3690" s="1">
        <v>3.1055900621117997E-4</v>
      </c>
      <c r="E3690" s="1">
        <v>0</v>
      </c>
      <c r="F3690" s="1">
        <v>2.7375077112893201E-3</v>
      </c>
    </row>
    <row r="3691" spans="1:6" x14ac:dyDescent="0.25">
      <c r="A3691" s="2" t="str">
        <f t="shared" si="132"/>
        <v>14100</v>
      </c>
      <c r="B3691" s="2" t="str">
        <f>"18249"</f>
        <v>18249</v>
      </c>
      <c r="C3691" s="1">
        <v>2.11927266562115E-5</v>
      </c>
      <c r="D3691" s="1">
        <v>0</v>
      </c>
      <c r="E3691" s="1">
        <v>0</v>
      </c>
      <c r="F3691" s="1">
        <v>1.92782233189389E-5</v>
      </c>
    </row>
    <row r="3692" spans="1:6" x14ac:dyDescent="0.25">
      <c r="A3692" s="2" t="str">
        <f t="shared" si="132"/>
        <v>14100</v>
      </c>
      <c r="B3692" s="2" t="str">
        <f>"17921"</f>
        <v>17921</v>
      </c>
      <c r="C3692" s="1">
        <v>6.7816725299876997E-4</v>
      </c>
      <c r="D3692" s="1">
        <v>6.2111801242235995E-4</v>
      </c>
      <c r="E3692" s="1">
        <v>0</v>
      </c>
      <c r="F3692" s="1">
        <v>6.5545959284392299E-4</v>
      </c>
    </row>
    <row r="3693" spans="1:6" x14ac:dyDescent="0.25">
      <c r="A3693" s="2" t="str">
        <f t="shared" si="132"/>
        <v>14100</v>
      </c>
      <c r="B3693" s="2" t="str">
        <f>"17859"</f>
        <v>17859</v>
      </c>
      <c r="C3693" s="1">
        <v>2.9351926418853001E-2</v>
      </c>
      <c r="D3693" s="1">
        <v>1.2422360248447201E-2</v>
      </c>
      <c r="E3693" s="1">
        <v>1.5688949522510199E-2</v>
      </c>
      <c r="F3693" s="1">
        <v>2.7914867365823499E-2</v>
      </c>
    </row>
    <row r="3694" spans="1:6" x14ac:dyDescent="0.25">
      <c r="A3694" s="2" t="str">
        <f t="shared" si="132"/>
        <v>14100</v>
      </c>
      <c r="B3694" s="2" t="str">
        <f>"17822"</f>
        <v>17822</v>
      </c>
      <c r="C3694" s="1">
        <v>0</v>
      </c>
      <c r="D3694" s="1">
        <v>2.17391304347826E-3</v>
      </c>
      <c r="E3694" s="1">
        <v>0</v>
      </c>
      <c r="F3694" s="1">
        <v>1.34947563232572E-4</v>
      </c>
    </row>
    <row r="3695" spans="1:6" x14ac:dyDescent="0.25">
      <c r="A3695" s="2" t="str">
        <f t="shared" si="132"/>
        <v>14100</v>
      </c>
      <c r="B3695" s="2" t="str">
        <f>"17777"</f>
        <v>17777</v>
      </c>
      <c r="C3695" s="1">
        <v>7.6293815962361696E-4</v>
      </c>
      <c r="D3695" s="1">
        <v>0</v>
      </c>
      <c r="E3695" s="1">
        <v>0</v>
      </c>
      <c r="F3695" s="1">
        <v>6.9401603948180096E-4</v>
      </c>
    </row>
    <row r="3696" spans="1:6" x14ac:dyDescent="0.25">
      <c r="A3696" s="2" t="str">
        <f t="shared" si="132"/>
        <v>14100</v>
      </c>
      <c r="B3696" s="2" t="str">
        <f>"17821"</f>
        <v>17821</v>
      </c>
      <c r="C3696" s="1">
        <v>0.28057050820158502</v>
      </c>
      <c r="D3696" s="1">
        <v>0.272049689440993</v>
      </c>
      <c r="E3696" s="1">
        <v>0.31923601637107701</v>
      </c>
      <c r="F3696" s="1">
        <v>0.28113433066008597</v>
      </c>
    </row>
    <row r="3697" spans="1:6" x14ac:dyDescent="0.25">
      <c r="A3697" s="2" t="str">
        <f t="shared" si="132"/>
        <v>14100</v>
      </c>
      <c r="B3697" s="2" t="str">
        <f>"18603"</f>
        <v>18603</v>
      </c>
      <c r="C3697" s="1">
        <v>0.16002627898105301</v>
      </c>
      <c r="D3697" s="1">
        <v>0.19440993788819799</v>
      </c>
      <c r="E3697" s="1">
        <v>0.165075034106412</v>
      </c>
      <c r="F3697" s="1">
        <v>0.16230336212214599</v>
      </c>
    </row>
    <row r="3698" spans="1:6" x14ac:dyDescent="0.25">
      <c r="A3698" s="2" t="str">
        <f t="shared" si="132"/>
        <v>14100</v>
      </c>
      <c r="B3698" s="2" t="str">
        <f>"17920"</f>
        <v>17920</v>
      </c>
      <c r="C3698" s="1">
        <v>1.05963633281057E-4</v>
      </c>
      <c r="D3698" s="1">
        <v>0</v>
      </c>
      <c r="E3698" s="1">
        <v>6.8212824010913998E-4</v>
      </c>
      <c r="F3698" s="1">
        <v>1.15669339913633E-4</v>
      </c>
    </row>
    <row r="3699" spans="1:6" x14ac:dyDescent="0.25">
      <c r="A3699" s="2" t="str">
        <f t="shared" si="132"/>
        <v>14100</v>
      </c>
      <c r="B3699" s="2" t="str">
        <f>"17820"</f>
        <v>17820</v>
      </c>
      <c r="C3699" s="1">
        <v>6.09714745899207E-2</v>
      </c>
      <c r="D3699" s="1">
        <v>3.2919254658385001E-2</v>
      </c>
      <c r="E3699" s="1">
        <v>3.8881309686220999E-2</v>
      </c>
      <c r="F3699" s="1">
        <v>5.8605798889574297E-2</v>
      </c>
    </row>
    <row r="3700" spans="1:6" x14ac:dyDescent="0.25">
      <c r="A3700" s="2" t="str">
        <f t="shared" si="132"/>
        <v>14100</v>
      </c>
      <c r="B3700" s="2" t="str">
        <f>"17814"</f>
        <v>17814</v>
      </c>
      <c r="C3700" s="1">
        <v>4.0181409740177101E-2</v>
      </c>
      <c r="D3700" s="1">
        <v>1.7391304347826E-2</v>
      </c>
      <c r="E3700" s="1">
        <v>1.09140518417462E-2</v>
      </c>
      <c r="F3700" s="1">
        <v>3.79395434916718E-2</v>
      </c>
    </row>
    <row r="3701" spans="1:6" x14ac:dyDescent="0.25">
      <c r="A3701" s="2" t="str">
        <f t="shared" si="132"/>
        <v>14100</v>
      </c>
      <c r="B3701" s="2" t="str">
        <f>"18655"</f>
        <v>18655</v>
      </c>
      <c r="C3701" s="1">
        <v>4.3657016911795802E-3</v>
      </c>
      <c r="D3701" s="1">
        <v>6.2111801242235995E-4</v>
      </c>
      <c r="E3701" s="1">
        <v>0</v>
      </c>
      <c r="F3701" s="1">
        <v>4.0098704503392897E-3</v>
      </c>
    </row>
    <row r="3702" spans="1:6" x14ac:dyDescent="0.25">
      <c r="A3702" s="2" t="str">
        <f t="shared" si="132"/>
        <v>14100</v>
      </c>
      <c r="B3702" s="2" t="str">
        <f>"17847"</f>
        <v>17847</v>
      </c>
      <c r="C3702" s="1">
        <v>3.6875344381808099E-3</v>
      </c>
      <c r="D3702" s="1">
        <v>9.3167701863354003E-4</v>
      </c>
      <c r="E3702" s="1">
        <v>0</v>
      </c>
      <c r="F3702" s="1">
        <v>3.4122455274521899E-3</v>
      </c>
    </row>
    <row r="3703" spans="1:6" x14ac:dyDescent="0.25">
      <c r="A3703" s="2" t="str">
        <f t="shared" si="132"/>
        <v>14100</v>
      </c>
      <c r="B3703" s="2" t="str">
        <f>"17846"</f>
        <v>17846</v>
      </c>
      <c r="C3703" s="1">
        <v>2.9288348238884401E-2</v>
      </c>
      <c r="D3703" s="1">
        <v>1.45962732919254E-2</v>
      </c>
      <c r="E3703" s="1">
        <v>1.09140518417462E-2</v>
      </c>
      <c r="F3703" s="1">
        <v>2.7857032695866701E-2</v>
      </c>
    </row>
    <row r="3704" spans="1:6" x14ac:dyDescent="0.25">
      <c r="A3704" s="2" t="str">
        <f t="shared" si="132"/>
        <v>14100</v>
      </c>
      <c r="B3704" s="2" t="str">
        <f>"17985"</f>
        <v>17985</v>
      </c>
      <c r="C3704" s="1">
        <v>1.31394905268511E-3</v>
      </c>
      <c r="D3704" s="1">
        <v>3.1055900621117997E-4</v>
      </c>
      <c r="E3704" s="1">
        <v>0</v>
      </c>
      <c r="F3704" s="1">
        <v>1.2145280690931499E-3</v>
      </c>
    </row>
    <row r="3705" spans="1:6" x14ac:dyDescent="0.25">
      <c r="A3705" s="2" t="str">
        <f t="shared" si="132"/>
        <v>14100</v>
      </c>
      <c r="B3705" s="2" t="str">
        <f>"17888"</f>
        <v>17888</v>
      </c>
      <c r="C3705" s="1">
        <v>4.5988216843979102E-3</v>
      </c>
      <c r="D3705" s="1">
        <v>3.1055900621117997E-4</v>
      </c>
      <c r="E3705" s="1">
        <v>0</v>
      </c>
      <c r="F3705" s="1">
        <v>4.2026526835286801E-3</v>
      </c>
    </row>
    <row r="3706" spans="1:6" x14ac:dyDescent="0.25">
      <c r="A3706" s="2" t="str">
        <f t="shared" si="132"/>
        <v>14100</v>
      </c>
      <c r="B3706" s="2" t="str">
        <f>"17878"</f>
        <v>17878</v>
      </c>
      <c r="C3706" s="1">
        <v>1.0659941508074399E-2</v>
      </c>
      <c r="D3706" s="1">
        <v>5.9006211180124201E-3</v>
      </c>
      <c r="E3706" s="1">
        <v>2.0463847203274202E-3</v>
      </c>
      <c r="F3706" s="1">
        <v>1.01210672424429E-2</v>
      </c>
    </row>
    <row r="3707" spans="1:6" x14ac:dyDescent="0.25">
      <c r="A3707" s="2" t="str">
        <f t="shared" si="132"/>
        <v>14100</v>
      </c>
      <c r="B3707" s="2" t="str">
        <f>"17824"</f>
        <v>17824</v>
      </c>
      <c r="C3707" s="1">
        <v>6.8876361632687604E-3</v>
      </c>
      <c r="D3707" s="1">
        <v>2.17391304347826E-3</v>
      </c>
      <c r="E3707" s="1">
        <v>0</v>
      </c>
      <c r="F3707" s="1">
        <v>6.4003701418877202E-3</v>
      </c>
    </row>
    <row r="3708" spans="1:6" x14ac:dyDescent="0.25">
      <c r="A3708" s="2" t="str">
        <f t="shared" si="132"/>
        <v>14100</v>
      </c>
      <c r="B3708" s="2" t="str">
        <f>"17774"</f>
        <v>17774</v>
      </c>
      <c r="C3708" s="1">
        <v>2.9669817318696197E-4</v>
      </c>
      <c r="D3708" s="1">
        <v>0</v>
      </c>
      <c r="E3708" s="1">
        <v>0</v>
      </c>
      <c r="F3708" s="1">
        <v>2.69895126465144E-4</v>
      </c>
    </row>
    <row r="3709" spans="1:6" x14ac:dyDescent="0.25">
      <c r="A3709" s="2" t="str">
        <f t="shared" si="132"/>
        <v>14100</v>
      </c>
      <c r="B3709" s="2" t="str">
        <f>"17815"</f>
        <v>17815</v>
      </c>
      <c r="C3709" s="1">
        <v>0.34149959733819302</v>
      </c>
      <c r="D3709" s="1">
        <v>0.43322981366459601</v>
      </c>
      <c r="E3709" s="1">
        <v>0.42360163710777599</v>
      </c>
      <c r="F3709" s="1">
        <v>0.34951418877236201</v>
      </c>
    </row>
    <row r="3710" spans="1:6" x14ac:dyDescent="0.25">
      <c r="A3710" s="2" t="str">
        <f t="shared" si="132"/>
        <v>14100</v>
      </c>
      <c r="B3710" s="2" t="str">
        <f>"17858"</f>
        <v>17858</v>
      </c>
      <c r="C3710" s="1">
        <v>0</v>
      </c>
      <c r="D3710" s="1">
        <v>3.1055900621117997E-4</v>
      </c>
      <c r="E3710" s="1">
        <v>0</v>
      </c>
      <c r="F3710" s="1">
        <v>1.92782233189389E-5</v>
      </c>
    </row>
    <row r="3711" spans="1:6" x14ac:dyDescent="0.25">
      <c r="A3711" s="2" t="str">
        <f t="shared" si="132"/>
        <v>14100</v>
      </c>
      <c r="B3711" s="2" t="str">
        <f>"17884"</f>
        <v>17884</v>
      </c>
      <c r="C3711" s="1">
        <v>4.2385453312423102E-5</v>
      </c>
      <c r="D3711" s="1">
        <v>6.2111801242235995E-4</v>
      </c>
      <c r="E3711" s="1">
        <v>0</v>
      </c>
      <c r="F3711" s="1">
        <v>7.7112893275755695E-5</v>
      </c>
    </row>
    <row r="3712" spans="1:6" x14ac:dyDescent="0.25">
      <c r="A3712" s="2" t="str">
        <f t="shared" ref="A3712:A3757" si="133">"16060"</f>
        <v>16060</v>
      </c>
      <c r="B3712" s="2" t="str">
        <f>"62959"</f>
        <v>62959</v>
      </c>
      <c r="C3712" s="1">
        <v>0.195052227987698</v>
      </c>
      <c r="D3712" s="1">
        <v>0.30812854442344001</v>
      </c>
      <c r="E3712" s="1">
        <v>0.34418989787468901</v>
      </c>
      <c r="F3712" s="1">
        <v>0.210068988565563</v>
      </c>
    </row>
    <row r="3713" spans="1:6" x14ac:dyDescent="0.25">
      <c r="A3713" s="2" t="str">
        <f t="shared" si="133"/>
        <v>16060</v>
      </c>
      <c r="B3713" s="2" t="str">
        <f>"62909"</f>
        <v>62909</v>
      </c>
      <c r="C3713" s="1">
        <v>1.4902927747896601E-4</v>
      </c>
      <c r="D3713" s="1">
        <v>3.1505986137365997E-4</v>
      </c>
      <c r="E3713" s="1">
        <v>2.76014352746342E-4</v>
      </c>
      <c r="F3713" s="1">
        <v>1.67100331813516E-4</v>
      </c>
    </row>
    <row r="3714" spans="1:6" x14ac:dyDescent="0.25">
      <c r="A3714" s="2" t="str">
        <f t="shared" si="133"/>
        <v>16060</v>
      </c>
      <c r="B3714" s="2" t="str">
        <f>"62922"</f>
        <v>62922</v>
      </c>
      <c r="C3714" s="1">
        <v>2.2896316267223001E-2</v>
      </c>
      <c r="D3714" s="1">
        <v>3.9382482671707596E-3</v>
      </c>
      <c r="E3714" s="1">
        <v>2.76014352746342E-4</v>
      </c>
      <c r="F3714" s="1">
        <v>2.0481726385142299E-2</v>
      </c>
    </row>
    <row r="3715" spans="1:6" x14ac:dyDescent="0.25">
      <c r="A3715" s="2" t="str">
        <f t="shared" si="133"/>
        <v>16060</v>
      </c>
      <c r="B3715" s="2" t="str">
        <f>"62912"</f>
        <v>62912</v>
      </c>
      <c r="C3715" s="1">
        <v>4.1728197694110604E-3</v>
      </c>
      <c r="D3715" s="1">
        <v>1.89035916824196E-3</v>
      </c>
      <c r="E3715" s="1">
        <v>2.76014352746342E-4</v>
      </c>
      <c r="F3715" s="1">
        <v>3.8313718937241798E-3</v>
      </c>
    </row>
    <row r="3716" spans="1:6" x14ac:dyDescent="0.25">
      <c r="A3716" s="2" t="str">
        <f t="shared" si="133"/>
        <v>16060</v>
      </c>
      <c r="B3716" s="2" t="str">
        <f>"62995"</f>
        <v>62995</v>
      </c>
      <c r="C3716" s="1">
        <v>2.91555459213396E-2</v>
      </c>
      <c r="D3716" s="1">
        <v>2.0793950850661599E-2</v>
      </c>
      <c r="E3716" s="1">
        <v>6.9003588186585703E-3</v>
      </c>
      <c r="F3716" s="1">
        <v>2.7559619011243399E-2</v>
      </c>
    </row>
    <row r="3717" spans="1:6" x14ac:dyDescent="0.25">
      <c r="A3717" s="2" t="str">
        <f t="shared" si="133"/>
        <v>16060</v>
      </c>
      <c r="B3717" s="2" t="str">
        <f>"62987"</f>
        <v>62987</v>
      </c>
      <c r="C3717" s="1">
        <v>3.1838072915961E-3</v>
      </c>
      <c r="D3717" s="1">
        <v>3.1505986137365997E-4</v>
      </c>
      <c r="E3717" s="1">
        <v>0</v>
      </c>
      <c r="F3717" s="1">
        <v>2.8287699028430899E-3</v>
      </c>
    </row>
    <row r="3718" spans="1:6" x14ac:dyDescent="0.25">
      <c r="A3718" s="2" t="str">
        <f t="shared" si="133"/>
        <v>16060</v>
      </c>
      <c r="B3718" s="2" t="str">
        <f>"62967"</f>
        <v>62967</v>
      </c>
      <c r="C3718" s="1">
        <v>1.9780249556299099E-3</v>
      </c>
      <c r="D3718" s="1">
        <v>7.8764965343415202E-4</v>
      </c>
      <c r="E3718" s="1">
        <v>2.76014352746342E-4</v>
      </c>
      <c r="F3718" s="1">
        <v>1.8142321739753099E-3</v>
      </c>
    </row>
    <row r="3719" spans="1:6" x14ac:dyDescent="0.25">
      <c r="A3719" s="2" t="str">
        <f t="shared" si="133"/>
        <v>16060</v>
      </c>
      <c r="B3719" s="2" t="str">
        <f>"62832"</f>
        <v>62832</v>
      </c>
      <c r="C3719" s="1">
        <v>8.1288696806709E-4</v>
      </c>
      <c r="D3719" s="1">
        <v>0</v>
      </c>
      <c r="E3719" s="1">
        <v>0</v>
      </c>
      <c r="F3719" s="1">
        <v>7.1614427920078201E-4</v>
      </c>
    </row>
    <row r="3720" spans="1:6" x14ac:dyDescent="0.25">
      <c r="A3720" s="2" t="str">
        <f t="shared" si="133"/>
        <v>16060</v>
      </c>
      <c r="B3720" s="2" t="str">
        <f>"62940"</f>
        <v>62940</v>
      </c>
      <c r="C3720" s="1">
        <v>3.2244516399994498E-3</v>
      </c>
      <c r="D3720" s="1">
        <v>1.10270951480781E-3</v>
      </c>
      <c r="E3720" s="1">
        <v>2.76014352746342E-4</v>
      </c>
      <c r="F3720" s="1">
        <v>2.93619154472321E-3</v>
      </c>
    </row>
    <row r="3721" spans="1:6" x14ac:dyDescent="0.25">
      <c r="A3721" s="2" t="str">
        <f t="shared" si="133"/>
        <v>16060</v>
      </c>
      <c r="B3721" s="2" t="str">
        <f>"62896"</f>
        <v>62896</v>
      </c>
      <c r="C3721" s="1">
        <v>3.84766498218422E-3</v>
      </c>
      <c r="D3721" s="1">
        <v>1.41776937618147E-3</v>
      </c>
      <c r="E3721" s="1">
        <v>0</v>
      </c>
      <c r="F3721" s="1">
        <v>3.49717123009715E-3</v>
      </c>
    </row>
    <row r="3722" spans="1:6" x14ac:dyDescent="0.25">
      <c r="A3722" s="2" t="str">
        <f t="shared" si="133"/>
        <v>16060</v>
      </c>
      <c r="B3722" s="2" t="str">
        <f>"62921"</f>
        <v>62921</v>
      </c>
      <c r="C3722" s="1">
        <v>5.4192464537806001E-5</v>
      </c>
      <c r="D3722" s="1">
        <v>0</v>
      </c>
      <c r="E3722" s="1">
        <v>2.76014352746342E-4</v>
      </c>
      <c r="F3722" s="1">
        <v>5.9678689933398498E-5</v>
      </c>
    </row>
    <row r="3723" spans="1:6" x14ac:dyDescent="0.25">
      <c r="A3723" s="2" t="str">
        <f t="shared" si="133"/>
        <v>16060</v>
      </c>
      <c r="B3723" s="2" t="str">
        <f>"62916"</f>
        <v>62916</v>
      </c>
      <c r="C3723" s="1">
        <v>3.3734809174784199E-3</v>
      </c>
      <c r="D3723" s="1">
        <v>2.6780088216761099E-3</v>
      </c>
      <c r="E3723" s="1">
        <v>2.76014352746342E-4</v>
      </c>
      <c r="F3723" s="1">
        <v>3.1868420424434802E-3</v>
      </c>
    </row>
    <row r="3724" spans="1:6" x14ac:dyDescent="0.25">
      <c r="A3724" s="2" t="str">
        <f t="shared" si="133"/>
        <v>16060</v>
      </c>
      <c r="B3724" s="2" t="str">
        <f>"62907"</f>
        <v>62907</v>
      </c>
      <c r="C3724" s="1">
        <v>1.37784341087371E-2</v>
      </c>
      <c r="D3724" s="1">
        <v>5.6710775047258896E-3</v>
      </c>
      <c r="E3724" s="1">
        <v>1.93210046922439E-3</v>
      </c>
      <c r="F3724" s="1">
        <v>1.2651882265880401E-2</v>
      </c>
    </row>
    <row r="3725" spans="1:6" x14ac:dyDescent="0.25">
      <c r="A3725" s="2" t="str">
        <f t="shared" si="133"/>
        <v>16060</v>
      </c>
      <c r="B3725" s="2" t="str">
        <f>"62975"</f>
        <v>62975</v>
      </c>
      <c r="C3725" s="1">
        <v>2.72317134302475E-3</v>
      </c>
      <c r="D3725" s="1">
        <v>9.4517958412098204E-4</v>
      </c>
      <c r="E3725" s="1">
        <v>2.76014352746342E-4</v>
      </c>
      <c r="F3725" s="1">
        <v>2.4826335012293802E-3</v>
      </c>
    </row>
    <row r="3726" spans="1:6" x14ac:dyDescent="0.25">
      <c r="A3726" s="2" t="str">
        <f t="shared" si="133"/>
        <v>16060</v>
      </c>
      <c r="B3726" s="2" t="str">
        <f>"62972"</f>
        <v>62972</v>
      </c>
      <c r="C3726" s="1">
        <v>9.1991708552925707E-3</v>
      </c>
      <c r="D3726" s="1">
        <v>2.0478890989287899E-3</v>
      </c>
      <c r="E3726" s="1">
        <v>5.5202870549268498E-4</v>
      </c>
      <c r="F3726" s="1">
        <v>8.2834021627557208E-3</v>
      </c>
    </row>
    <row r="3727" spans="1:6" x14ac:dyDescent="0.25">
      <c r="A3727" s="2" t="str">
        <f t="shared" si="133"/>
        <v>16060</v>
      </c>
      <c r="B3727" s="2" t="str">
        <f>"62942"</f>
        <v>62942</v>
      </c>
      <c r="C3727" s="1">
        <v>3.9018574467220299E-3</v>
      </c>
      <c r="D3727" s="1">
        <v>7.8764965343415202E-4</v>
      </c>
      <c r="E3727" s="1">
        <v>2.76014352746342E-4</v>
      </c>
      <c r="F3727" s="1">
        <v>3.5091069680838298E-3</v>
      </c>
    </row>
    <row r="3728" spans="1:6" x14ac:dyDescent="0.25">
      <c r="A3728" s="2" t="str">
        <f t="shared" si="133"/>
        <v>16060</v>
      </c>
      <c r="B3728" s="2" t="str">
        <f>"62958"</f>
        <v>62958</v>
      </c>
      <c r="C3728" s="1">
        <v>1.46590616574765E-2</v>
      </c>
      <c r="D3728" s="1">
        <v>4.0957781978575901E-3</v>
      </c>
      <c r="E3728" s="1">
        <v>2.56693348054098E-2</v>
      </c>
      <c r="F3728" s="1">
        <v>1.4334821322002299E-2</v>
      </c>
    </row>
    <row r="3729" spans="1:6" x14ac:dyDescent="0.25">
      <c r="A3729" s="2" t="str">
        <f t="shared" si="133"/>
        <v>16060</v>
      </c>
      <c r="B3729" s="2" t="str">
        <f>"62927"</f>
        <v>62927</v>
      </c>
      <c r="C3729" s="1">
        <v>1.85609191041985E-3</v>
      </c>
      <c r="D3729" s="1">
        <v>0</v>
      </c>
      <c r="E3729" s="1">
        <v>2.76014352746342E-4</v>
      </c>
      <c r="F3729" s="1">
        <v>1.6471318421618E-3</v>
      </c>
    </row>
    <row r="3730" spans="1:6" x14ac:dyDescent="0.25">
      <c r="A3730" s="2" t="str">
        <f t="shared" si="133"/>
        <v>16060</v>
      </c>
      <c r="B3730" s="2" t="str">
        <f>"62920"</f>
        <v>62920</v>
      </c>
      <c r="C3730" s="1">
        <v>9.4836812941160499E-5</v>
      </c>
      <c r="D3730" s="1">
        <v>0</v>
      </c>
      <c r="E3730" s="1">
        <v>0</v>
      </c>
      <c r="F3730" s="1">
        <v>8.3550165906758002E-5</v>
      </c>
    </row>
    <row r="3731" spans="1:6" x14ac:dyDescent="0.25">
      <c r="A3731" s="2" t="str">
        <f t="shared" si="133"/>
        <v>16060</v>
      </c>
      <c r="B3731" s="2" t="str">
        <f>"62974"</f>
        <v>62974</v>
      </c>
      <c r="C3731" s="1">
        <v>9.3482001327715308E-3</v>
      </c>
      <c r="D3731" s="1">
        <v>3.6231884057971002E-3</v>
      </c>
      <c r="E3731" s="1">
        <v>2.76014352746342E-4</v>
      </c>
      <c r="F3731" s="1">
        <v>8.5221169224893104E-3</v>
      </c>
    </row>
    <row r="3732" spans="1:6" x14ac:dyDescent="0.25">
      <c r="A3732" s="2" t="str">
        <f t="shared" si="133"/>
        <v>16060</v>
      </c>
      <c r="B3732" s="2" t="str">
        <f>"62949"</f>
        <v>62949</v>
      </c>
      <c r="C3732" s="1">
        <v>4.30830093075557E-3</v>
      </c>
      <c r="D3732" s="1">
        <v>0</v>
      </c>
      <c r="E3732" s="1">
        <v>2.76014352746342E-4</v>
      </c>
      <c r="F3732" s="1">
        <v>3.8075004177508202E-3</v>
      </c>
    </row>
    <row r="3733" spans="1:6" x14ac:dyDescent="0.25">
      <c r="A3733" s="2" t="str">
        <f t="shared" si="133"/>
        <v>16060</v>
      </c>
      <c r="B3733" s="2" t="str">
        <f>"62272"</f>
        <v>62272</v>
      </c>
      <c r="C3733" s="1">
        <v>4.0644348403354499E-5</v>
      </c>
      <c r="D3733" s="1">
        <v>0</v>
      </c>
      <c r="E3733" s="1">
        <v>0</v>
      </c>
      <c r="F3733" s="1">
        <v>3.5807213960039103E-5</v>
      </c>
    </row>
    <row r="3734" spans="1:6" x14ac:dyDescent="0.25">
      <c r="A3734" s="2" t="str">
        <f t="shared" si="133"/>
        <v>16060</v>
      </c>
      <c r="B3734" s="2" t="str">
        <f>"62966"</f>
        <v>62966</v>
      </c>
      <c r="C3734" s="1">
        <v>0.11087778244435099</v>
      </c>
      <c r="D3734" s="1">
        <v>0.100189035916824</v>
      </c>
      <c r="E3734" s="1">
        <v>7.7284018768975907E-2</v>
      </c>
      <c r="F3734" s="1">
        <v>0.108615215678785</v>
      </c>
    </row>
    <row r="3735" spans="1:6" x14ac:dyDescent="0.25">
      <c r="A3735" s="2" t="str">
        <f t="shared" si="133"/>
        <v>16060</v>
      </c>
      <c r="B3735" s="2" t="str">
        <f>"62938"</f>
        <v>62938</v>
      </c>
      <c r="C3735" s="1">
        <v>4.0644348403354499E-5</v>
      </c>
      <c r="D3735" s="1">
        <v>0</v>
      </c>
      <c r="E3735" s="1">
        <v>0</v>
      </c>
      <c r="F3735" s="1">
        <v>3.5807213960039103E-5</v>
      </c>
    </row>
    <row r="3736" spans="1:6" x14ac:dyDescent="0.25">
      <c r="A3736" s="2" t="str">
        <f t="shared" si="133"/>
        <v>16060</v>
      </c>
      <c r="B3736" s="2" t="str">
        <f>"62951"</f>
        <v>62951</v>
      </c>
      <c r="C3736" s="1">
        <v>3.6254758775792199E-2</v>
      </c>
      <c r="D3736" s="1">
        <v>3.0245746691871401E-2</v>
      </c>
      <c r="E3736" s="1">
        <v>8.5564449351366208E-3</v>
      </c>
      <c r="F3736" s="1">
        <v>3.4601704423384401E-2</v>
      </c>
    </row>
    <row r="3737" spans="1:6" x14ac:dyDescent="0.25">
      <c r="A3737" s="2" t="str">
        <f t="shared" si="133"/>
        <v>16060</v>
      </c>
      <c r="B3737" s="2" t="str">
        <f>"62948"</f>
        <v>62948</v>
      </c>
      <c r="C3737" s="1">
        <v>8.8089851106203598E-2</v>
      </c>
      <c r="D3737" s="1">
        <v>8.1285444234404494E-2</v>
      </c>
      <c r="E3737" s="1">
        <v>5.1062655258073401E-2</v>
      </c>
      <c r="F3737" s="1">
        <v>8.5973120718053894E-2</v>
      </c>
    </row>
    <row r="3738" spans="1:6" x14ac:dyDescent="0.25">
      <c r="A3738" s="2" t="str">
        <f t="shared" si="133"/>
        <v>16060</v>
      </c>
      <c r="B3738" s="2" t="str">
        <f>"62933"</f>
        <v>62933</v>
      </c>
      <c r="C3738" s="1">
        <v>1.6162902548400599E-2</v>
      </c>
      <c r="D3738" s="1">
        <v>1.5752993068683E-2</v>
      </c>
      <c r="E3738" s="1">
        <v>7.4523875241512497E-3</v>
      </c>
      <c r="F3738" s="1">
        <v>1.57551741424172E-2</v>
      </c>
    </row>
    <row r="3739" spans="1:6" x14ac:dyDescent="0.25">
      <c r="A3739" s="2" t="str">
        <f t="shared" si="133"/>
        <v>16060</v>
      </c>
      <c r="B3739" s="2" t="str">
        <f>"62932"</f>
        <v>62932</v>
      </c>
      <c r="C3739" s="1">
        <v>1.01204427524352E-2</v>
      </c>
      <c r="D3739" s="1">
        <v>4.4108380592312504E-3</v>
      </c>
      <c r="E3739" s="1">
        <v>1.3800717637317099E-3</v>
      </c>
      <c r="F3739" s="1">
        <v>9.30987562961017E-3</v>
      </c>
    </row>
    <row r="3740" spans="1:6" x14ac:dyDescent="0.25">
      <c r="A3740" s="2" t="str">
        <f t="shared" si="133"/>
        <v>16060</v>
      </c>
      <c r="B3740" s="2" t="str">
        <f>"62901"</f>
        <v>62901</v>
      </c>
      <c r="C3740" s="1">
        <v>0.182953760279633</v>
      </c>
      <c r="D3740" s="1">
        <v>0.219911783238815</v>
      </c>
      <c r="E3740" s="1">
        <v>0.27353022357162499</v>
      </c>
      <c r="F3740" s="1">
        <v>0.18967081234632699</v>
      </c>
    </row>
    <row r="3741" spans="1:6" x14ac:dyDescent="0.25">
      <c r="A3741" s="2" t="str">
        <f t="shared" si="133"/>
        <v>16060</v>
      </c>
      <c r="B3741" s="2" t="str">
        <f>"62280"</f>
        <v>62280</v>
      </c>
      <c r="C3741" s="1">
        <v>1.0703011746216601E-3</v>
      </c>
      <c r="D3741" s="1">
        <v>6.3011972274732103E-4</v>
      </c>
      <c r="E3741" s="1">
        <v>0</v>
      </c>
      <c r="F3741" s="1">
        <v>9.9066625289441598E-4</v>
      </c>
    </row>
    <row r="3742" spans="1:6" x14ac:dyDescent="0.25">
      <c r="A3742" s="2" t="str">
        <f t="shared" si="133"/>
        <v>16060</v>
      </c>
      <c r="B3742" s="2" t="str">
        <f>"62994"</f>
        <v>62994</v>
      </c>
      <c r="C3742" s="1">
        <v>4.7147444147891196E-3</v>
      </c>
      <c r="D3742" s="1">
        <v>1.5752993068682999E-3</v>
      </c>
      <c r="E3742" s="1">
        <v>2.76014352746342E-4</v>
      </c>
      <c r="F3742" s="1">
        <v>4.2849299372180096E-3</v>
      </c>
    </row>
    <row r="3743" spans="1:6" x14ac:dyDescent="0.25">
      <c r="A3743" s="2" t="str">
        <f t="shared" si="133"/>
        <v>16060</v>
      </c>
      <c r="B3743" s="2" t="str">
        <f>"62943"</f>
        <v>62943</v>
      </c>
      <c r="C3743" s="1">
        <v>3.50896207882293E-3</v>
      </c>
      <c r="D3743" s="1">
        <v>1.41776937618147E-3</v>
      </c>
      <c r="E3743" s="1">
        <v>2.76014352746342E-4</v>
      </c>
      <c r="F3743" s="1">
        <v>3.2107135184168399E-3</v>
      </c>
    </row>
    <row r="3744" spans="1:6" x14ac:dyDescent="0.25">
      <c r="A3744" s="2" t="str">
        <f t="shared" si="133"/>
        <v>16060</v>
      </c>
      <c r="B3744" s="2" t="str">
        <f>"62890"</f>
        <v>62890</v>
      </c>
      <c r="C3744" s="1">
        <v>3.9289536789909301E-3</v>
      </c>
      <c r="D3744" s="1">
        <v>9.4517958412098204E-4</v>
      </c>
      <c r="E3744" s="1">
        <v>0</v>
      </c>
      <c r="F3744" s="1">
        <v>3.5329784440571899E-3</v>
      </c>
    </row>
    <row r="3745" spans="1:6" x14ac:dyDescent="0.25">
      <c r="A3745" s="2" t="str">
        <f t="shared" si="133"/>
        <v>16060</v>
      </c>
      <c r="B3745" s="2" t="str">
        <f>"62917"</f>
        <v>62917</v>
      </c>
      <c r="C3745" s="1">
        <v>8.5353131647044396E-4</v>
      </c>
      <c r="D3745" s="1">
        <v>0</v>
      </c>
      <c r="E3745" s="1">
        <v>0</v>
      </c>
      <c r="F3745" s="1">
        <v>7.5195149316082202E-4</v>
      </c>
    </row>
    <row r="3746" spans="1:6" x14ac:dyDescent="0.25">
      <c r="A3746" s="2" t="str">
        <f t="shared" si="133"/>
        <v>16060</v>
      </c>
      <c r="B3746" s="2" t="str">
        <f>"62924"</f>
        <v>62924</v>
      </c>
      <c r="C3746" s="1">
        <v>2.0267981737139399E-2</v>
      </c>
      <c r="D3746" s="1">
        <v>8.5066162570888396E-3</v>
      </c>
      <c r="E3746" s="1">
        <v>3.5605851504278203E-2</v>
      </c>
      <c r="F3746" s="1">
        <v>2.0040104079635201E-2</v>
      </c>
    </row>
    <row r="3747" spans="1:6" x14ac:dyDescent="0.25">
      <c r="A3747" s="2" t="str">
        <f t="shared" si="133"/>
        <v>16060</v>
      </c>
      <c r="B3747" s="2" t="str">
        <f>"62923"</f>
        <v>62923</v>
      </c>
      <c r="C3747" s="1">
        <v>2.8857487366381702E-3</v>
      </c>
      <c r="D3747" s="1">
        <v>1.2602394454946399E-3</v>
      </c>
      <c r="E3747" s="1">
        <v>1.3800717637317099E-3</v>
      </c>
      <c r="F3747" s="1">
        <v>2.6974767849896101E-3</v>
      </c>
    </row>
    <row r="3748" spans="1:6" x14ac:dyDescent="0.25">
      <c r="A3748" s="2" t="str">
        <f t="shared" si="133"/>
        <v>16060</v>
      </c>
      <c r="B3748" s="2" t="str">
        <f>"62903"</f>
        <v>62903</v>
      </c>
      <c r="C3748" s="1">
        <v>3.5604449201338498E-2</v>
      </c>
      <c r="D3748" s="1">
        <v>5.1827347195967197E-2</v>
      </c>
      <c r="E3748" s="1">
        <v>1.6284846812034199E-2</v>
      </c>
      <c r="F3748" s="1">
        <v>3.5998185767825999E-2</v>
      </c>
    </row>
    <row r="3749" spans="1:6" x14ac:dyDescent="0.25">
      <c r="A3749" s="2" t="str">
        <f t="shared" si="133"/>
        <v>16060</v>
      </c>
      <c r="B3749" s="2" t="str">
        <f>"62985"</f>
        <v>62985</v>
      </c>
      <c r="C3749" s="1">
        <v>3.0754223625204902E-3</v>
      </c>
      <c r="D3749" s="1">
        <v>0</v>
      </c>
      <c r="E3749" s="1">
        <v>2.76014352746342E-4</v>
      </c>
      <c r="F3749" s="1">
        <v>2.7213482609629702E-3</v>
      </c>
    </row>
    <row r="3750" spans="1:6" x14ac:dyDescent="0.25">
      <c r="A3750" s="2" t="str">
        <f t="shared" si="133"/>
        <v>16060</v>
      </c>
      <c r="B3750" s="2" t="str">
        <f>"62841"</f>
        <v>62841</v>
      </c>
      <c r="C3750" s="1">
        <v>6.7740580672257498E-4</v>
      </c>
      <c r="D3750" s="1">
        <v>0</v>
      </c>
      <c r="E3750" s="1">
        <v>2.76014352746342E-4</v>
      </c>
      <c r="F3750" s="1">
        <v>6.0872263732066501E-4</v>
      </c>
    </row>
    <row r="3751" spans="1:6" x14ac:dyDescent="0.25">
      <c r="A3751" s="2" t="str">
        <f t="shared" si="133"/>
        <v>16060</v>
      </c>
      <c r="B3751" s="2" t="str">
        <f>"62950"</f>
        <v>62950</v>
      </c>
      <c r="C3751" s="1">
        <v>1.5038408909241101E-3</v>
      </c>
      <c r="D3751" s="1">
        <v>1.10270951480781E-3</v>
      </c>
      <c r="E3751" s="1">
        <v>8.2804305823902795E-4</v>
      </c>
      <c r="F3751" s="1">
        <v>1.4442242963882399E-3</v>
      </c>
    </row>
    <row r="3752" spans="1:6" x14ac:dyDescent="0.25">
      <c r="A3752" s="2" t="str">
        <f t="shared" si="133"/>
        <v>16060</v>
      </c>
      <c r="B3752" s="2" t="str">
        <f>"62939"</f>
        <v>62939</v>
      </c>
      <c r="C3752" s="1">
        <v>2.5023370500331901E-2</v>
      </c>
      <c r="D3752" s="1">
        <v>4.0957781978575901E-3</v>
      </c>
      <c r="E3752" s="1">
        <v>1.10405741098537E-3</v>
      </c>
      <c r="F3752" s="1">
        <v>2.2403380200997799E-2</v>
      </c>
    </row>
    <row r="3753" spans="1:6" x14ac:dyDescent="0.25">
      <c r="A3753" s="2" t="str">
        <f t="shared" si="133"/>
        <v>16060</v>
      </c>
      <c r="B3753" s="2" t="str">
        <f>"62905"</f>
        <v>62905</v>
      </c>
      <c r="C3753" s="1">
        <v>6.6385769058812305E-4</v>
      </c>
      <c r="D3753" s="1">
        <v>4.7258979206049102E-4</v>
      </c>
      <c r="E3753" s="1">
        <v>0</v>
      </c>
      <c r="F3753" s="1">
        <v>6.2065837530734505E-4</v>
      </c>
    </row>
    <row r="3754" spans="1:6" x14ac:dyDescent="0.25">
      <c r="A3754" s="2" t="str">
        <f t="shared" si="133"/>
        <v>16060</v>
      </c>
      <c r="B3754" s="2" t="str">
        <f>"62915"</f>
        <v>62915</v>
      </c>
      <c r="C3754" s="1">
        <v>3.9289536789909301E-4</v>
      </c>
      <c r="D3754" s="1">
        <v>0</v>
      </c>
      <c r="E3754" s="1">
        <v>2.76014352746342E-4</v>
      </c>
      <c r="F3754" s="1">
        <v>3.58072139600391E-4</v>
      </c>
    </row>
    <row r="3755" spans="1:6" x14ac:dyDescent="0.25">
      <c r="A3755" s="2" t="str">
        <f t="shared" si="133"/>
        <v>16060</v>
      </c>
      <c r="B3755" s="2" t="str">
        <f>"62918"</f>
        <v>62918</v>
      </c>
      <c r="C3755" s="1">
        <v>6.9569576350408405E-2</v>
      </c>
      <c r="D3755" s="1">
        <v>5.4977945809703797E-2</v>
      </c>
      <c r="E3755" s="1">
        <v>5.4926856196522197E-2</v>
      </c>
      <c r="F3755" s="1">
        <v>6.7830798978300799E-2</v>
      </c>
    </row>
    <row r="3756" spans="1:6" x14ac:dyDescent="0.25">
      <c r="A3756" s="2" t="str">
        <f t="shared" si="133"/>
        <v>16060</v>
      </c>
      <c r="B3756" s="2" t="str">
        <f>"62908"</f>
        <v>62908</v>
      </c>
      <c r="C3756" s="1">
        <v>1.32771538117624E-3</v>
      </c>
      <c r="D3756" s="1">
        <v>7.8764965343415202E-4</v>
      </c>
      <c r="E3756" s="1">
        <v>2.76014352746342E-4</v>
      </c>
      <c r="F3756" s="1">
        <v>1.2413167506146901E-3</v>
      </c>
    </row>
    <row r="3757" spans="1:6" x14ac:dyDescent="0.25">
      <c r="A3757" s="2" t="str">
        <f t="shared" si="133"/>
        <v>16060</v>
      </c>
      <c r="B3757" s="2" t="str">
        <f>"62902"</f>
        <v>62902</v>
      </c>
      <c r="C3757" s="1">
        <v>5.2620883066209601E-2</v>
      </c>
      <c r="D3757" s="1">
        <v>6.2066792690611203E-2</v>
      </c>
      <c r="E3757" s="1">
        <v>8.6392492409605198E-2</v>
      </c>
      <c r="F3757" s="1">
        <v>5.4796973096846502E-2</v>
      </c>
    </row>
    <row r="3758" spans="1:6" x14ac:dyDescent="0.25">
      <c r="A3758" s="2" t="str">
        <f t="shared" ref="A3758:A3774" si="134">"22100"</f>
        <v>22100</v>
      </c>
      <c r="B3758" s="2" t="str">
        <f>"63650"</f>
        <v>63650</v>
      </c>
      <c r="C3758" s="1">
        <v>1.30390846562571E-2</v>
      </c>
      <c r="D3758" s="1">
        <v>3.1847133757961698E-3</v>
      </c>
      <c r="E3758" s="1">
        <v>2.9197080291970801E-3</v>
      </c>
      <c r="F3758" s="1">
        <v>1.21036783373678E-2</v>
      </c>
    </row>
    <row r="3759" spans="1:6" x14ac:dyDescent="0.25">
      <c r="A3759" s="2" t="str">
        <f t="shared" si="134"/>
        <v>22100</v>
      </c>
      <c r="B3759" s="2" t="str">
        <f>"63626"</f>
        <v>63626</v>
      </c>
      <c r="C3759" s="1">
        <v>1.7928741402353501E-3</v>
      </c>
      <c r="D3759" s="1">
        <v>7.9617834394904398E-4</v>
      </c>
      <c r="E3759" s="1">
        <v>0</v>
      </c>
      <c r="F3759" s="1">
        <v>1.6827065005609E-3</v>
      </c>
    </row>
    <row r="3760" spans="1:6" x14ac:dyDescent="0.25">
      <c r="A3760" s="2" t="str">
        <f t="shared" si="134"/>
        <v>22100</v>
      </c>
      <c r="B3760" s="2" t="str">
        <f>"63628"</f>
        <v>63628</v>
      </c>
      <c r="C3760" s="1">
        <v>0.206506503243472</v>
      </c>
      <c r="D3760" s="1">
        <v>0.122213375796178</v>
      </c>
      <c r="E3760" s="1">
        <v>0.156204379562043</v>
      </c>
      <c r="F3760" s="1">
        <v>0.19923835389974601</v>
      </c>
    </row>
    <row r="3761" spans="1:6" x14ac:dyDescent="0.25">
      <c r="A3761" s="2" t="str">
        <f t="shared" si="134"/>
        <v>22100</v>
      </c>
      <c r="B3761" s="2" t="str">
        <f>"63653"</f>
        <v>63653</v>
      </c>
      <c r="C3761" s="1">
        <v>1.6005476415555601E-2</v>
      </c>
      <c r="D3761" s="1">
        <v>9.9522292993630499E-3</v>
      </c>
      <c r="E3761" s="1">
        <v>7.2992700729926996E-3</v>
      </c>
      <c r="F3761" s="1">
        <v>1.53805278384601E-2</v>
      </c>
    </row>
    <row r="3762" spans="1:6" x14ac:dyDescent="0.25">
      <c r="A3762" s="2" t="str">
        <f t="shared" si="134"/>
        <v>22100</v>
      </c>
      <c r="B3762" s="2" t="str">
        <f>"63640"</f>
        <v>63640</v>
      </c>
      <c r="C3762" s="1">
        <v>0.39518205821951202</v>
      </c>
      <c r="D3762" s="1">
        <v>0.57882165605095504</v>
      </c>
      <c r="E3762" s="1">
        <v>0.35036496350364899</v>
      </c>
      <c r="F3762" s="1">
        <v>0.407893959969297</v>
      </c>
    </row>
    <row r="3763" spans="1:6" x14ac:dyDescent="0.25">
      <c r="A3763" s="2" t="str">
        <f t="shared" si="134"/>
        <v>22100</v>
      </c>
      <c r="B3763" s="2" t="str">
        <f>"63020"</f>
        <v>63020</v>
      </c>
      <c r="C3763" s="1">
        <v>7.4974736773478505E-4</v>
      </c>
      <c r="D3763" s="1">
        <v>0</v>
      </c>
      <c r="E3763" s="1">
        <v>0</v>
      </c>
      <c r="F3763" s="1">
        <v>6.7898683355966196E-4</v>
      </c>
    </row>
    <row r="3764" spans="1:6" x14ac:dyDescent="0.25">
      <c r="A3764" s="2" t="str">
        <f t="shared" si="134"/>
        <v>22100</v>
      </c>
      <c r="B3764" s="2" t="str">
        <f>"63654"</f>
        <v>63654</v>
      </c>
      <c r="C3764" s="1">
        <v>3.2597711640642797E-5</v>
      </c>
      <c r="D3764" s="1">
        <v>0</v>
      </c>
      <c r="E3764" s="1">
        <v>0</v>
      </c>
      <c r="F3764" s="1">
        <v>2.9521166676506999E-5</v>
      </c>
    </row>
    <row r="3765" spans="1:6" x14ac:dyDescent="0.25">
      <c r="A3765" s="2" t="str">
        <f t="shared" si="134"/>
        <v>22100</v>
      </c>
      <c r="B3765" s="2" t="str">
        <f>"63645"</f>
        <v>63645</v>
      </c>
      <c r="C3765" s="1">
        <v>6.8129217328943498E-3</v>
      </c>
      <c r="D3765" s="1">
        <v>3.9808917197452199E-4</v>
      </c>
      <c r="E3765" s="1">
        <v>0</v>
      </c>
      <c r="F3765" s="1">
        <v>6.1994450020664803E-3</v>
      </c>
    </row>
    <row r="3766" spans="1:6" x14ac:dyDescent="0.25">
      <c r="A3766" s="2" t="str">
        <f t="shared" si="134"/>
        <v>22100</v>
      </c>
      <c r="B3766" s="2" t="str">
        <f>"63637"</f>
        <v>63637</v>
      </c>
      <c r="C3766" s="1">
        <v>1.7570166574306399E-2</v>
      </c>
      <c r="D3766" s="1">
        <v>1.0350318471337499E-2</v>
      </c>
      <c r="E3766" s="1">
        <v>1.60583941605839E-2</v>
      </c>
      <c r="F3766" s="1">
        <v>1.7004192005667999E-2</v>
      </c>
    </row>
    <row r="3767" spans="1:6" x14ac:dyDescent="0.25">
      <c r="A3767" s="2" t="str">
        <f t="shared" si="134"/>
        <v>22100</v>
      </c>
      <c r="B3767" s="2" t="str">
        <f>"63624"</f>
        <v>63624</v>
      </c>
      <c r="C3767" s="1">
        <v>4.7168888744010103E-2</v>
      </c>
      <c r="D3767" s="1">
        <v>1.23407643312101E-2</v>
      </c>
      <c r="E3767" s="1">
        <v>4.8175182481751802E-2</v>
      </c>
      <c r="F3767" s="1">
        <v>4.4606482848202102E-2</v>
      </c>
    </row>
    <row r="3768" spans="1:6" x14ac:dyDescent="0.25">
      <c r="A3768" s="2" t="str">
        <f t="shared" si="134"/>
        <v>22100</v>
      </c>
      <c r="B3768" s="2" t="str">
        <f>"63028"</f>
        <v>63028</v>
      </c>
      <c r="C3768" s="1">
        <v>3.2597711640642797E-5</v>
      </c>
      <c r="D3768" s="1">
        <v>0</v>
      </c>
      <c r="E3768" s="1">
        <v>0</v>
      </c>
      <c r="F3768" s="1">
        <v>2.9521166676506999E-5</v>
      </c>
    </row>
    <row r="3769" spans="1:6" x14ac:dyDescent="0.25">
      <c r="A3769" s="2" t="str">
        <f t="shared" si="134"/>
        <v>22100</v>
      </c>
      <c r="B3769" s="2" t="str">
        <f>"63651"</f>
        <v>63651</v>
      </c>
      <c r="C3769" s="1">
        <v>0</v>
      </c>
      <c r="D3769" s="1">
        <v>0</v>
      </c>
      <c r="E3769" s="1">
        <v>1.4598540145985401E-3</v>
      </c>
      <c r="F3769" s="1">
        <v>2.9521166676506999E-5</v>
      </c>
    </row>
    <row r="3770" spans="1:6" x14ac:dyDescent="0.25">
      <c r="A3770" s="2" t="str">
        <f t="shared" si="134"/>
        <v>22100</v>
      </c>
      <c r="B3770" s="2" t="str">
        <f>"63087"</f>
        <v>63087</v>
      </c>
      <c r="C3770" s="1">
        <v>1.45711771033673E-2</v>
      </c>
      <c r="D3770" s="1">
        <v>1.1942675159235599E-3</v>
      </c>
      <c r="E3770" s="1">
        <v>5.8394160583941602E-3</v>
      </c>
      <c r="F3770" s="1">
        <v>1.34026096711342E-2</v>
      </c>
    </row>
    <row r="3771" spans="1:6" x14ac:dyDescent="0.25">
      <c r="A3771" s="2" t="str">
        <f t="shared" si="134"/>
        <v>22100</v>
      </c>
      <c r="B3771" s="2" t="str">
        <f>"63648"</f>
        <v>63648</v>
      </c>
      <c r="C3771" s="1">
        <v>2.4774260846888501E-3</v>
      </c>
      <c r="D3771" s="1">
        <v>0</v>
      </c>
      <c r="E3771" s="1">
        <v>0</v>
      </c>
      <c r="F3771" s="1">
        <v>2.2436086674145301E-3</v>
      </c>
    </row>
    <row r="3772" spans="1:6" x14ac:dyDescent="0.25">
      <c r="A3772" s="2" t="str">
        <f t="shared" si="134"/>
        <v>22100</v>
      </c>
      <c r="B3772" s="2" t="str">
        <f>"63630"</f>
        <v>63630</v>
      </c>
      <c r="C3772" s="1">
        <v>3.5857482804707097E-4</v>
      </c>
      <c r="D3772" s="1">
        <v>0</v>
      </c>
      <c r="E3772" s="1">
        <v>0</v>
      </c>
      <c r="F3772" s="1">
        <v>3.2473283344157698E-4</v>
      </c>
    </row>
    <row r="3773" spans="1:6" x14ac:dyDescent="0.25">
      <c r="A3773" s="2" t="str">
        <f t="shared" si="134"/>
        <v>22100</v>
      </c>
      <c r="B3773" s="2" t="str">
        <f>"63601"</f>
        <v>63601</v>
      </c>
      <c r="C3773" s="1">
        <v>0.256152818072171</v>
      </c>
      <c r="D3773" s="1">
        <v>0.259156050955414</v>
      </c>
      <c r="E3773" s="1">
        <v>0.41021897810218899</v>
      </c>
      <c r="F3773" s="1">
        <v>0.259491055086497</v>
      </c>
    </row>
    <row r="3774" spans="1:6" x14ac:dyDescent="0.25">
      <c r="A3774" s="2" t="str">
        <f t="shared" si="134"/>
        <v>22100</v>
      </c>
      <c r="B3774" s="2" t="str">
        <f>"63036"</f>
        <v>63036</v>
      </c>
      <c r="C3774" s="1">
        <v>2.1547087394464901E-2</v>
      </c>
      <c r="D3774" s="1">
        <v>1.5923566878980799E-3</v>
      </c>
      <c r="E3774" s="1">
        <v>1.4598540145985401E-3</v>
      </c>
      <c r="F3774" s="1">
        <v>1.96610970065536E-2</v>
      </c>
    </row>
    <row r="3775" spans="1:6" x14ac:dyDescent="0.25">
      <c r="A3775" s="2" t="str">
        <f t="shared" ref="A3775:A3788" si="135">"43460"</f>
        <v>43460</v>
      </c>
      <c r="B3775" s="2" t="str">
        <f>"63824"</f>
        <v>63824</v>
      </c>
      <c r="C3775" s="1">
        <v>5.3801043740248499E-5</v>
      </c>
      <c r="D3775" s="1">
        <v>0</v>
      </c>
      <c r="E3775" s="1">
        <v>3.1948881789137301E-3</v>
      </c>
      <c r="F3775" s="1">
        <v>9.6334473291267197E-5</v>
      </c>
    </row>
    <row r="3776" spans="1:6" x14ac:dyDescent="0.25">
      <c r="A3776" s="2" t="str">
        <f t="shared" si="135"/>
        <v>43460</v>
      </c>
      <c r="B3776" s="2" t="str">
        <f>"63758"</f>
        <v>63758</v>
      </c>
      <c r="C3776" s="1">
        <v>0</v>
      </c>
      <c r="D3776" s="1">
        <v>0</v>
      </c>
      <c r="E3776" s="1">
        <v>3.1948881789137301E-3</v>
      </c>
      <c r="F3776" s="1">
        <v>4.8167236645633598E-5</v>
      </c>
    </row>
    <row r="3777" spans="1:6" x14ac:dyDescent="0.25">
      <c r="A3777" s="2" t="str">
        <f t="shared" si="135"/>
        <v>43460</v>
      </c>
      <c r="B3777" s="2" t="str">
        <f>"63801"</f>
        <v>63801</v>
      </c>
      <c r="C3777" s="1">
        <v>0.58632377468122798</v>
      </c>
      <c r="D3777" s="1">
        <v>0.76518001074691</v>
      </c>
      <c r="E3777" s="1">
        <v>0.54952076677316197</v>
      </c>
      <c r="F3777" s="1">
        <v>0.60180145465054602</v>
      </c>
    </row>
    <row r="3778" spans="1:6" x14ac:dyDescent="0.25">
      <c r="A3778" s="2" t="str">
        <f t="shared" si="135"/>
        <v>43460</v>
      </c>
      <c r="B3778" s="2" t="str">
        <f>"63784"</f>
        <v>63784</v>
      </c>
      <c r="C3778" s="1">
        <v>3.0666594931941602E-3</v>
      </c>
      <c r="D3778" s="1">
        <v>0</v>
      </c>
      <c r="E3778" s="1">
        <v>6.3897763578274697E-3</v>
      </c>
      <c r="F3778" s="1">
        <v>2.8418669620923799E-3</v>
      </c>
    </row>
    <row r="3779" spans="1:6" x14ac:dyDescent="0.25">
      <c r="A3779" s="2" t="str">
        <f t="shared" si="135"/>
        <v>43460</v>
      </c>
      <c r="B3779" s="2" t="str">
        <f>"63771"</f>
        <v>63771</v>
      </c>
      <c r="C3779" s="1">
        <v>6.0579975251519799E-2</v>
      </c>
      <c r="D3779" s="1">
        <v>2.0419129500268599E-2</v>
      </c>
      <c r="E3779" s="1">
        <v>0.11182108626197999</v>
      </c>
      <c r="F3779" s="1">
        <v>5.7752516738114698E-2</v>
      </c>
    </row>
    <row r="3780" spans="1:6" x14ac:dyDescent="0.25">
      <c r="A3780" s="2" t="str">
        <f t="shared" si="135"/>
        <v>43460</v>
      </c>
      <c r="B3780" s="2" t="str">
        <f>"63740"</f>
        <v>63740</v>
      </c>
      <c r="C3780" s="1">
        <v>0.108032495830419</v>
      </c>
      <c r="D3780" s="1">
        <v>7.2004298764105301E-2</v>
      </c>
      <c r="E3780" s="1">
        <v>0.11182108626197999</v>
      </c>
      <c r="F3780" s="1">
        <v>0.104860074177544</v>
      </c>
    </row>
    <row r="3781" spans="1:6" x14ac:dyDescent="0.25">
      <c r="A3781" s="2" t="str">
        <f t="shared" si="135"/>
        <v>43460</v>
      </c>
      <c r="B3781" s="2" t="str">
        <f>"63774"</f>
        <v>63774</v>
      </c>
      <c r="C3781" s="1">
        <v>5.3801043740248499E-5</v>
      </c>
      <c r="D3781" s="1">
        <v>0</v>
      </c>
      <c r="E3781" s="1">
        <v>3.1948881789137301E-3</v>
      </c>
      <c r="F3781" s="1">
        <v>9.6334473291267197E-5</v>
      </c>
    </row>
    <row r="3782" spans="1:6" x14ac:dyDescent="0.25">
      <c r="A3782" s="2" t="str">
        <f t="shared" si="135"/>
        <v>43460</v>
      </c>
      <c r="B3782" s="2" t="str">
        <f>"63742"</f>
        <v>63742</v>
      </c>
      <c r="C3782" s="1">
        <v>0</v>
      </c>
      <c r="D3782" s="1">
        <v>0</v>
      </c>
      <c r="E3782" s="1">
        <v>3.1948881789137301E-3</v>
      </c>
      <c r="F3782" s="1">
        <v>4.8167236645633598E-5</v>
      </c>
    </row>
    <row r="3783" spans="1:6" x14ac:dyDescent="0.25">
      <c r="A3783" s="2" t="str">
        <f t="shared" si="135"/>
        <v>43460</v>
      </c>
      <c r="B3783" s="2" t="str">
        <f>"63834"</f>
        <v>63834</v>
      </c>
      <c r="C3783" s="1">
        <v>7.6935492548555404E-3</v>
      </c>
      <c r="D3783" s="1">
        <v>2.14938205265986E-3</v>
      </c>
      <c r="E3783" s="1">
        <v>0</v>
      </c>
      <c r="F3783" s="1">
        <v>7.0805837869081399E-3</v>
      </c>
    </row>
    <row r="3784" spans="1:6" x14ac:dyDescent="0.25">
      <c r="A3784" s="2" t="str">
        <f t="shared" si="135"/>
        <v>43460</v>
      </c>
      <c r="B3784" s="2" t="str">
        <f>"63780"</f>
        <v>63780</v>
      </c>
      <c r="C3784" s="1">
        <v>0.15930489051487501</v>
      </c>
      <c r="D3784" s="1">
        <v>0.10800644814615699</v>
      </c>
      <c r="E3784" s="1">
        <v>0.17891373801916899</v>
      </c>
      <c r="F3784" s="1">
        <v>0.15500216752564899</v>
      </c>
    </row>
    <row r="3785" spans="1:6" x14ac:dyDescent="0.25">
      <c r="A3785" s="2" t="str">
        <f t="shared" si="135"/>
        <v>43460</v>
      </c>
      <c r="B3785" s="2" t="str">
        <f>"63823"</f>
        <v>63823</v>
      </c>
      <c r="C3785" s="1">
        <v>2.2058427933501902E-3</v>
      </c>
      <c r="D3785" s="1">
        <v>5.37345513164965E-4</v>
      </c>
      <c r="E3785" s="1">
        <v>3.1948881789137301E-3</v>
      </c>
      <c r="F3785" s="1">
        <v>2.0711911757622398E-3</v>
      </c>
    </row>
    <row r="3786" spans="1:6" x14ac:dyDescent="0.25">
      <c r="A3786" s="2" t="str">
        <f t="shared" si="135"/>
        <v>43460</v>
      </c>
      <c r="B3786" s="2" t="str">
        <f>"63735"</f>
        <v>63735</v>
      </c>
      <c r="C3786" s="1">
        <v>6.9941356862323104E-4</v>
      </c>
      <c r="D3786" s="1">
        <v>0</v>
      </c>
      <c r="E3786" s="1">
        <v>0</v>
      </c>
      <c r="F3786" s="1">
        <v>6.2617407639323696E-4</v>
      </c>
    </row>
    <row r="3787" spans="1:6" x14ac:dyDescent="0.25">
      <c r="A3787" s="2" t="str">
        <f t="shared" si="135"/>
        <v>43460</v>
      </c>
      <c r="B3787" s="2" t="str">
        <f>"63767"</f>
        <v>63767</v>
      </c>
      <c r="C3787" s="1">
        <v>5.3801043740248499E-5</v>
      </c>
      <c r="D3787" s="1">
        <v>0</v>
      </c>
      <c r="E3787" s="1">
        <v>3.1948881789137301E-3</v>
      </c>
      <c r="F3787" s="1">
        <v>9.6334473291267197E-5</v>
      </c>
    </row>
    <row r="3788" spans="1:6" x14ac:dyDescent="0.25">
      <c r="A3788" s="2" t="str">
        <f t="shared" si="135"/>
        <v>43460</v>
      </c>
      <c r="B3788" s="2" t="str">
        <f>"63736"</f>
        <v>63736</v>
      </c>
      <c r="C3788" s="1">
        <v>7.1931995480712302E-2</v>
      </c>
      <c r="D3788" s="1">
        <v>3.1703385276732901E-2</v>
      </c>
      <c r="E3788" s="1">
        <v>2.2364217252396099E-2</v>
      </c>
      <c r="F3788" s="1">
        <v>6.7578633013823899E-2</v>
      </c>
    </row>
    <row r="3789" spans="1:6" x14ac:dyDescent="0.25">
      <c r="A3789" s="2" t="str">
        <f t="shared" ref="A3789:A3852" si="136">"28140"</f>
        <v>28140</v>
      </c>
      <c r="B3789" s="2" t="str">
        <f>"66251"</f>
        <v>66251</v>
      </c>
      <c r="C3789" s="1">
        <v>0</v>
      </c>
      <c r="D3789" s="1">
        <v>1.7286283909926899E-4</v>
      </c>
      <c r="E3789" s="1">
        <v>0</v>
      </c>
      <c r="F3789" s="1">
        <v>1.33701279253839E-5</v>
      </c>
    </row>
    <row r="3790" spans="1:6" x14ac:dyDescent="0.25">
      <c r="A3790" s="2" t="str">
        <f t="shared" si="136"/>
        <v>28140</v>
      </c>
      <c r="B3790" s="2" t="str">
        <f>"66285"</f>
        <v>66285</v>
      </c>
      <c r="C3790" s="1">
        <v>8.7081971423469103E-4</v>
      </c>
      <c r="D3790" s="1">
        <v>5.6814253117293103E-3</v>
      </c>
      <c r="E3790" s="1">
        <v>5.2126772310258499E-5</v>
      </c>
      <c r="F3790" s="1">
        <v>1.21489895748655E-3</v>
      </c>
    </row>
    <row r="3791" spans="1:6" x14ac:dyDescent="0.25">
      <c r="A3791" s="2" t="str">
        <f t="shared" si="136"/>
        <v>28140</v>
      </c>
      <c r="B3791" s="2" t="str">
        <f>"66226"</f>
        <v>66226</v>
      </c>
      <c r="C3791" s="1">
        <v>5.1195771909442701E-3</v>
      </c>
      <c r="D3791" s="1">
        <v>2.7773296148615899E-3</v>
      </c>
      <c r="E3791" s="1">
        <v>2.0590075062552099E-3</v>
      </c>
      <c r="F3791" s="1">
        <v>4.8337469159571503E-3</v>
      </c>
    </row>
    <row r="3792" spans="1:6" x14ac:dyDescent="0.25">
      <c r="A3792" s="2" t="str">
        <f t="shared" si="136"/>
        <v>28140</v>
      </c>
      <c r="B3792" s="2" t="str">
        <f>"66216"</f>
        <v>66216</v>
      </c>
      <c r="C3792" s="1">
        <v>9.7866892999532405E-3</v>
      </c>
      <c r="D3792" s="1">
        <v>5.7620946366423098E-3</v>
      </c>
      <c r="E3792" s="1">
        <v>8.2620934111759699E-3</v>
      </c>
      <c r="F3792" s="1">
        <v>9.4232661618106305E-3</v>
      </c>
    </row>
    <row r="3793" spans="1:6" x14ac:dyDescent="0.25">
      <c r="A3793" s="2" t="str">
        <f t="shared" si="136"/>
        <v>28140</v>
      </c>
      <c r="B3793" s="2" t="str">
        <f>"66160"</f>
        <v>66160</v>
      </c>
      <c r="C3793" s="1">
        <v>0</v>
      </c>
      <c r="D3793" s="1">
        <v>9.2193514186276907E-5</v>
      </c>
      <c r="E3793" s="1">
        <v>2.6063386155129199E-5</v>
      </c>
      <c r="F3793" s="1">
        <v>8.0220767552303899E-6</v>
      </c>
    </row>
    <row r="3794" spans="1:6" x14ac:dyDescent="0.25">
      <c r="A3794" s="2" t="str">
        <f t="shared" si="136"/>
        <v>28140</v>
      </c>
      <c r="B3794" s="2" t="str">
        <f>"66119"</f>
        <v>66119</v>
      </c>
      <c r="C3794" s="1">
        <v>5.01624259351781E-6</v>
      </c>
      <c r="D3794" s="1">
        <v>1.7286283909926899E-4</v>
      </c>
      <c r="E3794" s="1">
        <v>5.2126772310258499E-5</v>
      </c>
      <c r="F3794" s="1">
        <v>1.96095209572298E-5</v>
      </c>
    </row>
    <row r="3795" spans="1:6" x14ac:dyDescent="0.25">
      <c r="A3795" s="2" t="str">
        <f t="shared" si="136"/>
        <v>28140</v>
      </c>
      <c r="B3795" s="2" t="str">
        <f>"66203"</f>
        <v>66203</v>
      </c>
      <c r="C3795" s="1">
        <v>9.4546140402623595E-3</v>
      </c>
      <c r="D3795" s="1">
        <v>1.22617373867748E-2</v>
      </c>
      <c r="E3795" s="1">
        <v>1.1103002502084999E-2</v>
      </c>
      <c r="F3795" s="1">
        <v>9.7281050785093907E-3</v>
      </c>
    </row>
    <row r="3796" spans="1:6" x14ac:dyDescent="0.25">
      <c r="A3796" s="2" t="str">
        <f t="shared" si="136"/>
        <v>28140</v>
      </c>
      <c r="B3796" s="2" t="str">
        <f>"66033"</f>
        <v>66033</v>
      </c>
      <c r="C3796" s="1">
        <v>3.0097455561106799E-6</v>
      </c>
      <c r="D3796" s="1">
        <v>0</v>
      </c>
      <c r="E3796" s="1">
        <v>0</v>
      </c>
      <c r="F3796" s="1">
        <v>2.67402558507679E-6</v>
      </c>
    </row>
    <row r="3797" spans="1:6" x14ac:dyDescent="0.25">
      <c r="A3797" s="2" t="str">
        <f t="shared" si="136"/>
        <v>28140</v>
      </c>
      <c r="B3797" s="2" t="str">
        <f>"66030"</f>
        <v>66030</v>
      </c>
      <c r="C3797" s="1">
        <v>9.5790168565816104E-3</v>
      </c>
      <c r="D3797" s="1">
        <v>5.7620946366423098E-3</v>
      </c>
      <c r="E3797" s="1">
        <v>3.5967472894078301E-3</v>
      </c>
      <c r="F3797" s="1">
        <v>9.0792082031974208E-3</v>
      </c>
    </row>
    <row r="3798" spans="1:6" x14ac:dyDescent="0.25">
      <c r="A3798" s="2" t="str">
        <f t="shared" si="136"/>
        <v>28140</v>
      </c>
      <c r="B3798" s="2" t="str">
        <f>"66025"</f>
        <v>66025</v>
      </c>
      <c r="C3798" s="1">
        <v>7.7250135940174205E-5</v>
      </c>
      <c r="D3798" s="1">
        <v>2.30483785465692E-5</v>
      </c>
      <c r="E3798" s="1">
        <v>0</v>
      </c>
      <c r="F3798" s="1">
        <v>7.0416007073689004E-5</v>
      </c>
    </row>
    <row r="3799" spans="1:6" x14ac:dyDescent="0.25">
      <c r="A3799" s="2" t="str">
        <f t="shared" si="136"/>
        <v>28140</v>
      </c>
      <c r="B3799" s="2" t="str">
        <f>"66012"</f>
        <v>66012</v>
      </c>
      <c r="C3799" s="1">
        <v>4.9199307357222603E-3</v>
      </c>
      <c r="D3799" s="1">
        <v>5.1743609837047897E-3</v>
      </c>
      <c r="E3799" s="1">
        <v>2.5542118432026598E-3</v>
      </c>
      <c r="F3799" s="1">
        <v>4.8587044880845399E-3</v>
      </c>
    </row>
    <row r="3800" spans="1:6" x14ac:dyDescent="0.25">
      <c r="A3800" s="2" t="str">
        <f t="shared" si="136"/>
        <v>28140</v>
      </c>
      <c r="B3800" s="2" t="str">
        <f>"66007"</f>
        <v>66007</v>
      </c>
      <c r="C3800" s="1">
        <v>3.9387536844301798E-3</v>
      </c>
      <c r="D3800" s="1">
        <v>1.75167676953926E-3</v>
      </c>
      <c r="E3800" s="1">
        <v>7.0371142618848997E-4</v>
      </c>
      <c r="F3800" s="1">
        <v>3.65895834224675E-3</v>
      </c>
    </row>
    <row r="3801" spans="1:6" x14ac:dyDescent="0.25">
      <c r="A3801" s="2" t="str">
        <f t="shared" si="136"/>
        <v>28140</v>
      </c>
      <c r="B3801" s="2" t="str">
        <f>"66079"</f>
        <v>66079</v>
      </c>
      <c r="C3801" s="1">
        <v>9.02923666833205E-6</v>
      </c>
      <c r="D3801" s="1">
        <v>0</v>
      </c>
      <c r="E3801" s="1">
        <v>0</v>
      </c>
      <c r="F3801" s="1">
        <v>8.0220767552303899E-6</v>
      </c>
    </row>
    <row r="3802" spans="1:6" x14ac:dyDescent="0.25">
      <c r="A3802" s="2" t="str">
        <f t="shared" si="136"/>
        <v>28140</v>
      </c>
      <c r="B3802" s="2" t="str">
        <f>"66102"</f>
        <v>66102</v>
      </c>
      <c r="C3802" s="1">
        <v>1.2048011461110999E-2</v>
      </c>
      <c r="D3802" s="1">
        <v>1.16970521123838E-2</v>
      </c>
      <c r="E3802" s="1">
        <v>1.32923269391159E-2</v>
      </c>
      <c r="F3802" s="1">
        <v>1.20634207561431E-2</v>
      </c>
    </row>
    <row r="3803" spans="1:6" x14ac:dyDescent="0.25">
      <c r="A3803" s="2" t="str">
        <f t="shared" si="136"/>
        <v>28140</v>
      </c>
      <c r="B3803" s="2" t="str">
        <f>"66056"</f>
        <v>66056</v>
      </c>
      <c r="C3803" s="1">
        <v>1.21092096207519E-3</v>
      </c>
      <c r="D3803" s="1">
        <v>4.2639500311153098E-4</v>
      </c>
      <c r="E3803" s="1">
        <v>2.34570475396163E-4</v>
      </c>
      <c r="F3803" s="1">
        <v>1.1168513527004E-3</v>
      </c>
    </row>
    <row r="3804" spans="1:6" x14ac:dyDescent="0.25">
      <c r="A3804" s="2" t="str">
        <f t="shared" si="136"/>
        <v>28140</v>
      </c>
      <c r="B3804" s="2" t="str">
        <f>"64780"</f>
        <v>64780</v>
      </c>
      <c r="C3804" s="1">
        <v>2.16701680039969E-4</v>
      </c>
      <c r="D3804" s="1">
        <v>1.03717703459561E-4</v>
      </c>
      <c r="E3804" s="1">
        <v>5.2126772310258499E-5</v>
      </c>
      <c r="F3804" s="1">
        <v>2.02334602604144E-4</v>
      </c>
    </row>
    <row r="3805" spans="1:6" x14ac:dyDescent="0.25">
      <c r="A3805" s="2" t="str">
        <f t="shared" si="136"/>
        <v>28140</v>
      </c>
      <c r="B3805" s="2" t="str">
        <f>"64746"</f>
        <v>64746</v>
      </c>
      <c r="C3805" s="1">
        <v>6.7317975605009003E-4</v>
      </c>
      <c r="D3805" s="1">
        <v>3.5724986747182302E-4</v>
      </c>
      <c r="E3805" s="1">
        <v>1.8244370308590399E-4</v>
      </c>
      <c r="F3805" s="1">
        <v>6.3196137993981605E-4</v>
      </c>
    </row>
    <row r="3806" spans="1:6" x14ac:dyDescent="0.25">
      <c r="A3806" s="2" t="str">
        <f t="shared" si="136"/>
        <v>28140</v>
      </c>
      <c r="B3806" s="2" t="str">
        <f>"64671"</f>
        <v>64671</v>
      </c>
      <c r="C3806" s="1">
        <v>1.0684596724192901E-3</v>
      </c>
      <c r="D3806" s="1">
        <v>2.4200797473897701E-4</v>
      </c>
      <c r="E3806" s="1">
        <v>1.04253544620517E-4</v>
      </c>
      <c r="F3806" s="1">
        <v>9.7156262924456903E-4</v>
      </c>
    </row>
    <row r="3807" spans="1:6" x14ac:dyDescent="0.25">
      <c r="A3807" s="2" t="str">
        <f t="shared" si="136"/>
        <v>28140</v>
      </c>
      <c r="B3807" s="2" t="str">
        <f>"64624"</f>
        <v>64624</v>
      </c>
      <c r="C3807" s="1">
        <v>7.11303199760825E-4</v>
      </c>
      <c r="D3807" s="1">
        <v>2.65056353285546E-4</v>
      </c>
      <c r="E3807" s="1">
        <v>1.04253544620517E-4</v>
      </c>
      <c r="F3807" s="1">
        <v>6.56027610205507E-4</v>
      </c>
    </row>
    <row r="3808" spans="1:6" x14ac:dyDescent="0.25">
      <c r="A3808" s="2" t="str">
        <f t="shared" si="136"/>
        <v>28140</v>
      </c>
      <c r="B3808" s="2" t="str">
        <f>"64477"</f>
        <v>64477</v>
      </c>
      <c r="C3808" s="1">
        <v>1.5861359080703301E-3</v>
      </c>
      <c r="D3808" s="1">
        <v>1.7401525802659701E-3</v>
      </c>
      <c r="E3808" s="1">
        <v>1.0164720600500401E-3</v>
      </c>
      <c r="F3808" s="1">
        <v>1.578566437057E-3</v>
      </c>
    </row>
    <row r="3809" spans="1:6" x14ac:dyDescent="0.25">
      <c r="A3809" s="2" t="str">
        <f t="shared" si="136"/>
        <v>28140</v>
      </c>
      <c r="B3809" s="2" t="str">
        <f>"64454"</f>
        <v>64454</v>
      </c>
      <c r="C3809" s="1">
        <v>9.2900812831949798E-4</v>
      </c>
      <c r="D3809" s="1">
        <v>3.3420148892525402E-4</v>
      </c>
      <c r="E3809" s="1">
        <v>1.3031693077564599E-4</v>
      </c>
      <c r="F3809" s="1">
        <v>8.5568818722457499E-4</v>
      </c>
    </row>
    <row r="3810" spans="1:6" x14ac:dyDescent="0.25">
      <c r="A3810" s="2" t="str">
        <f t="shared" si="136"/>
        <v>28140</v>
      </c>
      <c r="B3810" s="2" t="str">
        <f>"64129"</f>
        <v>64129</v>
      </c>
      <c r="C3810" s="1">
        <v>4.6430341445600799E-3</v>
      </c>
      <c r="D3810" s="1">
        <v>4.0565146241961798E-3</v>
      </c>
      <c r="E3810" s="1">
        <v>3.17973311092577E-3</v>
      </c>
      <c r="F3810" s="1">
        <v>4.54762617835394E-3</v>
      </c>
    </row>
    <row r="3811" spans="1:6" x14ac:dyDescent="0.25">
      <c r="A3811" s="2" t="str">
        <f t="shared" si="136"/>
        <v>28140</v>
      </c>
      <c r="B3811" s="2" t="str">
        <f>"64123"</f>
        <v>64123</v>
      </c>
      <c r="C3811" s="1">
        <v>4.1765235833629202E-3</v>
      </c>
      <c r="D3811" s="1">
        <v>2.0974024477377999E-3</v>
      </c>
      <c r="E3811" s="1">
        <v>7.2716847372810596E-3</v>
      </c>
      <c r="F3811" s="1">
        <v>4.1215647684650298E-3</v>
      </c>
    </row>
    <row r="3812" spans="1:6" x14ac:dyDescent="0.25">
      <c r="A3812" s="2" t="str">
        <f t="shared" si="136"/>
        <v>28140</v>
      </c>
      <c r="B3812" s="2" t="str">
        <f>"64197"</f>
        <v>64197</v>
      </c>
      <c r="C3812" s="1">
        <v>0</v>
      </c>
      <c r="D3812" s="1">
        <v>0</v>
      </c>
      <c r="E3812" s="1">
        <v>5.2126772310258499E-5</v>
      </c>
      <c r="F3812" s="1">
        <v>1.7826837233845299E-6</v>
      </c>
    </row>
    <row r="3813" spans="1:6" x14ac:dyDescent="0.25">
      <c r="A3813" s="2" t="str">
        <f t="shared" si="136"/>
        <v>28140</v>
      </c>
      <c r="B3813" s="2" t="str">
        <f>"64170"</f>
        <v>64170</v>
      </c>
      <c r="C3813" s="1">
        <v>0</v>
      </c>
      <c r="D3813" s="1">
        <v>0</v>
      </c>
      <c r="E3813" s="1">
        <v>5.2126772310258499E-5</v>
      </c>
      <c r="F3813" s="1">
        <v>1.7826837233845299E-6</v>
      </c>
    </row>
    <row r="3814" spans="1:6" x14ac:dyDescent="0.25">
      <c r="A3814" s="2" t="str">
        <f t="shared" si="136"/>
        <v>28140</v>
      </c>
      <c r="B3814" s="2" t="str">
        <f>"64429"</f>
        <v>64429</v>
      </c>
      <c r="C3814" s="1">
        <v>3.1451841061356598E-3</v>
      </c>
      <c r="D3814" s="1">
        <v>2.67361191140203E-3</v>
      </c>
      <c r="E3814" s="1">
        <v>9.3828190158465297E-4</v>
      </c>
      <c r="F3814" s="1">
        <v>3.03323635533878E-3</v>
      </c>
    </row>
    <row r="3815" spans="1:6" x14ac:dyDescent="0.25">
      <c r="A3815" s="2" t="str">
        <f t="shared" si="136"/>
        <v>28140</v>
      </c>
      <c r="B3815" s="2" t="str">
        <f>"64117"</f>
        <v>64117</v>
      </c>
      <c r="C3815" s="1">
        <v>6.6906643712340503E-3</v>
      </c>
      <c r="D3815" s="1">
        <v>2.90409569686772E-3</v>
      </c>
      <c r="E3815" s="1">
        <v>6.0467055879899903E-3</v>
      </c>
      <c r="F3815" s="1">
        <v>6.3757683366847699E-3</v>
      </c>
    </row>
    <row r="3816" spans="1:6" x14ac:dyDescent="0.25">
      <c r="A3816" s="2" t="str">
        <f t="shared" si="136"/>
        <v>28140</v>
      </c>
      <c r="B3816" s="2" t="str">
        <f>"64053"</f>
        <v>64053</v>
      </c>
      <c r="C3816" s="1">
        <v>2.7539171838412702E-3</v>
      </c>
      <c r="D3816" s="1">
        <v>1.3944269020674299E-3</v>
      </c>
      <c r="E3816" s="1">
        <v>2.3978315262718898E-3</v>
      </c>
      <c r="F3816" s="1">
        <v>2.6365892268857198E-3</v>
      </c>
    </row>
    <row r="3817" spans="1:6" x14ac:dyDescent="0.25">
      <c r="A3817" s="2" t="str">
        <f t="shared" si="136"/>
        <v>28140</v>
      </c>
      <c r="B3817" s="2" t="str">
        <f>"64052"</f>
        <v>64052</v>
      </c>
      <c r="C3817" s="1">
        <v>1.1044762942407501E-2</v>
      </c>
      <c r="D3817" s="1">
        <v>5.4048447691704797E-3</v>
      </c>
      <c r="E3817" s="1">
        <v>5.6036280233527896E-3</v>
      </c>
      <c r="F3817" s="1">
        <v>1.0422460388767599E-2</v>
      </c>
    </row>
    <row r="3818" spans="1:6" x14ac:dyDescent="0.25">
      <c r="A3818" s="2" t="str">
        <f t="shared" si="136"/>
        <v>28140</v>
      </c>
      <c r="B3818" s="2" t="str">
        <f>"64035"</f>
        <v>64035</v>
      </c>
      <c r="C3818" s="1">
        <v>4.4544234230438102E-4</v>
      </c>
      <c r="D3818" s="1">
        <v>8.06693249129923E-5</v>
      </c>
      <c r="E3818" s="1">
        <v>2.6063386155129199E-5</v>
      </c>
      <c r="F3818" s="1">
        <v>4.0288652148490401E-4</v>
      </c>
    </row>
    <row r="3819" spans="1:6" x14ac:dyDescent="0.25">
      <c r="A3819" s="2" t="str">
        <f t="shared" si="136"/>
        <v>28140</v>
      </c>
      <c r="B3819" s="2" t="str">
        <f>"64016"</f>
        <v>64016</v>
      </c>
      <c r="C3819" s="1">
        <v>1.8851039666439901E-3</v>
      </c>
      <c r="D3819" s="1">
        <v>5.3011270657109201E-4</v>
      </c>
      <c r="E3819" s="1">
        <v>1.1207256046705499E-3</v>
      </c>
      <c r="F3819" s="1">
        <v>1.75416078381037E-3</v>
      </c>
    </row>
    <row r="3820" spans="1:6" x14ac:dyDescent="0.25">
      <c r="A3820" s="2" t="str">
        <f t="shared" si="136"/>
        <v>28140</v>
      </c>
      <c r="B3820" s="2" t="str">
        <f>"64102"</f>
        <v>64102</v>
      </c>
      <c r="C3820" s="1">
        <v>6.01949111222137E-6</v>
      </c>
      <c r="D3820" s="1">
        <v>3.20372461797312E-3</v>
      </c>
      <c r="E3820" s="1">
        <v>3.1276063386155101E-4</v>
      </c>
      <c r="F3820" s="1">
        <v>2.6383719106090999E-4</v>
      </c>
    </row>
    <row r="3821" spans="1:6" x14ac:dyDescent="0.25">
      <c r="A3821" s="2" t="str">
        <f t="shared" si="136"/>
        <v>28140</v>
      </c>
      <c r="B3821" s="2" t="str">
        <f>"64080"</f>
        <v>64080</v>
      </c>
      <c r="C3821" s="1">
        <v>5.6543086514132699E-3</v>
      </c>
      <c r="D3821" s="1">
        <v>3.3074423214326798E-3</v>
      </c>
      <c r="E3821" s="1">
        <v>1.3292326939115899E-3</v>
      </c>
      <c r="F3821" s="1">
        <v>5.3248762817495899E-3</v>
      </c>
    </row>
    <row r="3822" spans="1:6" x14ac:dyDescent="0.25">
      <c r="A3822" s="2" t="str">
        <f t="shared" si="136"/>
        <v>28140</v>
      </c>
      <c r="B3822" s="2" t="str">
        <f>"64075"</f>
        <v>64075</v>
      </c>
      <c r="C3822" s="1">
        <v>4.8777942979367104E-3</v>
      </c>
      <c r="D3822" s="1">
        <v>2.8003779934081601E-3</v>
      </c>
      <c r="E3822" s="1">
        <v>8.2360300250208501E-3</v>
      </c>
      <c r="F3822" s="1">
        <v>4.8319642322337698E-3</v>
      </c>
    </row>
    <row r="3823" spans="1:6" x14ac:dyDescent="0.25">
      <c r="A3823" s="2" t="str">
        <f t="shared" si="136"/>
        <v>28140</v>
      </c>
      <c r="B3823" s="2" t="str">
        <f>"64070"</f>
        <v>64070</v>
      </c>
      <c r="C3823" s="1">
        <v>1.4657460858259E-3</v>
      </c>
      <c r="D3823" s="1">
        <v>7.2602392421693097E-4</v>
      </c>
      <c r="E3823" s="1">
        <v>2.8669724770642198E-4</v>
      </c>
      <c r="F3823" s="1">
        <v>1.3682097576976199E-3</v>
      </c>
    </row>
    <row r="3824" spans="1:6" x14ac:dyDescent="0.25">
      <c r="A3824" s="2" t="str">
        <f t="shared" si="136"/>
        <v>28140</v>
      </c>
      <c r="B3824" s="2" t="str">
        <f>"64081"</f>
        <v>64081</v>
      </c>
      <c r="C3824" s="1">
        <v>1.0863174960522101E-2</v>
      </c>
      <c r="D3824" s="1">
        <v>7.2948118099891599E-3</v>
      </c>
      <c r="E3824" s="1">
        <v>8.5227272727272704E-3</v>
      </c>
      <c r="F3824" s="1">
        <v>1.05071378656284E-2</v>
      </c>
    </row>
    <row r="3825" spans="1:6" x14ac:dyDescent="0.25">
      <c r="A3825" s="2" t="str">
        <f t="shared" si="136"/>
        <v>28140</v>
      </c>
      <c r="B3825" s="2" t="str">
        <f>"64066"</f>
        <v>64066</v>
      </c>
      <c r="C3825" s="1">
        <v>4.3139686304253101E-5</v>
      </c>
      <c r="D3825" s="1">
        <v>0</v>
      </c>
      <c r="E3825" s="1">
        <v>2.6063386155129199E-5</v>
      </c>
      <c r="F3825" s="1">
        <v>3.9219041914459701E-5</v>
      </c>
    </row>
    <row r="3826" spans="1:6" x14ac:dyDescent="0.25">
      <c r="A3826" s="2" t="str">
        <f t="shared" si="136"/>
        <v>28140</v>
      </c>
      <c r="B3826" s="2" t="str">
        <f>"64063"</f>
        <v>64063</v>
      </c>
      <c r="C3826" s="1">
        <v>9.5348739217586496E-3</v>
      </c>
      <c r="D3826" s="1">
        <v>1.7539816073939101E-2</v>
      </c>
      <c r="E3826" s="1">
        <v>1.57683486238532E-2</v>
      </c>
      <c r="F3826" s="1">
        <v>1.0367197193342699E-2</v>
      </c>
    </row>
    <row r="3827" spans="1:6" x14ac:dyDescent="0.25">
      <c r="A3827" s="2" t="str">
        <f t="shared" si="136"/>
        <v>28140</v>
      </c>
      <c r="B3827" s="2" t="str">
        <f>"64062"</f>
        <v>64062</v>
      </c>
      <c r="C3827" s="1">
        <v>2.5482512375070402E-3</v>
      </c>
      <c r="D3827" s="1">
        <v>6.9145135639707704E-4</v>
      </c>
      <c r="E3827" s="1">
        <v>9.6434528773978298E-4</v>
      </c>
      <c r="F3827" s="1">
        <v>2.3504684892825E-3</v>
      </c>
    </row>
    <row r="3828" spans="1:6" x14ac:dyDescent="0.25">
      <c r="A3828" s="2" t="str">
        <f t="shared" si="136"/>
        <v>28140</v>
      </c>
      <c r="B3828" s="2" t="str">
        <f>"64061"</f>
        <v>64061</v>
      </c>
      <c r="C3828" s="1">
        <v>8.1263130014988505E-5</v>
      </c>
      <c r="D3828" s="1">
        <v>0</v>
      </c>
      <c r="E3828" s="1">
        <v>0</v>
      </c>
      <c r="F3828" s="1">
        <v>7.2198690797073504E-5</v>
      </c>
    </row>
    <row r="3829" spans="1:6" x14ac:dyDescent="0.25">
      <c r="A3829" s="2" t="str">
        <f t="shared" si="136"/>
        <v>28140</v>
      </c>
      <c r="B3829" s="2" t="str">
        <f>"66219"</f>
        <v>66219</v>
      </c>
      <c r="C3829" s="1">
        <v>6.6033817501068397E-3</v>
      </c>
      <c r="D3829" s="1">
        <v>7.1910941065295997E-3</v>
      </c>
      <c r="E3829" s="1">
        <v>1.0216847372810599E-2</v>
      </c>
      <c r="F3829" s="1">
        <v>6.7724154651378297E-3</v>
      </c>
    </row>
    <row r="3830" spans="1:6" x14ac:dyDescent="0.25">
      <c r="A3830" s="2" t="str">
        <f t="shared" si="136"/>
        <v>28140</v>
      </c>
      <c r="B3830" s="2" t="str">
        <f>"66217"</f>
        <v>66217</v>
      </c>
      <c r="C3830" s="1">
        <v>2.6856962845694301E-3</v>
      </c>
      <c r="D3830" s="1">
        <v>1.8323460944522499E-3</v>
      </c>
      <c r="E3830" s="1">
        <v>2.16326105087572E-3</v>
      </c>
      <c r="F3830" s="1">
        <v>2.6018268942797199E-3</v>
      </c>
    </row>
    <row r="3831" spans="1:6" x14ac:dyDescent="0.25">
      <c r="A3831" s="2" t="str">
        <f t="shared" si="136"/>
        <v>28140</v>
      </c>
      <c r="B3831" s="2" t="str">
        <f>"66117"</f>
        <v>66117</v>
      </c>
      <c r="C3831" s="1">
        <v>8.1965403978081E-4</v>
      </c>
      <c r="D3831" s="1">
        <v>1.90149123009196E-3</v>
      </c>
      <c r="E3831" s="1">
        <v>5.2126772310258499E-5</v>
      </c>
      <c r="F3831" s="1">
        <v>8.7708039190518899E-4</v>
      </c>
    </row>
    <row r="3832" spans="1:6" x14ac:dyDescent="0.25">
      <c r="A3832" s="2" t="str">
        <f t="shared" si="136"/>
        <v>28140</v>
      </c>
      <c r="B3832" s="2" t="str">
        <f>"66042"</f>
        <v>66042</v>
      </c>
      <c r="C3832" s="1">
        <v>1.2540606483794499E-4</v>
      </c>
      <c r="D3832" s="1">
        <v>1.15241892732846E-5</v>
      </c>
      <c r="E3832" s="1">
        <v>0</v>
      </c>
      <c r="F3832" s="1">
        <v>1.1230907457322499E-4</v>
      </c>
    </row>
    <row r="3833" spans="1:6" x14ac:dyDescent="0.25">
      <c r="A3833" s="2" t="str">
        <f t="shared" si="136"/>
        <v>28140</v>
      </c>
      <c r="B3833" s="2" t="str">
        <f>"66018"</f>
        <v>66018</v>
      </c>
      <c r="C3833" s="1">
        <v>2.6064396515918498E-3</v>
      </c>
      <c r="D3833" s="1">
        <v>9.4498352040933904E-4</v>
      </c>
      <c r="E3833" s="1">
        <v>1.0685988323603001E-3</v>
      </c>
      <c r="F3833" s="1">
        <v>2.4253412056646499E-3</v>
      </c>
    </row>
    <row r="3834" spans="1:6" x14ac:dyDescent="0.25">
      <c r="A3834" s="2" t="str">
        <f t="shared" si="136"/>
        <v>28140</v>
      </c>
      <c r="B3834" s="2" t="str">
        <f>"66111"</f>
        <v>66111</v>
      </c>
      <c r="C3834" s="1">
        <v>4.0671694948242404E-3</v>
      </c>
      <c r="D3834" s="1">
        <v>6.6379330214119403E-3</v>
      </c>
      <c r="E3834" s="1">
        <v>1.9808173477898201E-3</v>
      </c>
      <c r="F3834" s="1">
        <v>4.1946548011238E-3</v>
      </c>
    </row>
    <row r="3835" spans="1:6" x14ac:dyDescent="0.25">
      <c r="A3835" s="2" t="str">
        <f t="shared" si="136"/>
        <v>28140</v>
      </c>
      <c r="B3835" s="2" t="str">
        <f>"66112"</f>
        <v>66112</v>
      </c>
      <c r="C3835" s="1">
        <v>6.3214689163511402E-3</v>
      </c>
      <c r="D3835" s="1">
        <v>7.20261829580289E-3</v>
      </c>
      <c r="E3835" s="1">
        <v>4.5871559633027499E-3</v>
      </c>
      <c r="F3835" s="1">
        <v>6.3303099017384696E-3</v>
      </c>
    </row>
    <row r="3836" spans="1:6" x14ac:dyDescent="0.25">
      <c r="A3836" s="2" t="str">
        <f t="shared" si="136"/>
        <v>28140</v>
      </c>
      <c r="B3836" s="2" t="str">
        <f>"65351"</f>
        <v>65351</v>
      </c>
      <c r="C3836" s="1">
        <v>4.0129940748142399E-6</v>
      </c>
      <c r="D3836" s="1">
        <v>0</v>
      </c>
      <c r="E3836" s="1">
        <v>0</v>
      </c>
      <c r="F3836" s="1">
        <v>3.5653674467690598E-6</v>
      </c>
    </row>
    <row r="3837" spans="1:6" x14ac:dyDescent="0.25">
      <c r="A3837" s="2" t="str">
        <f t="shared" si="136"/>
        <v>28140</v>
      </c>
      <c r="B3837" s="2" t="str">
        <f>"64788"</f>
        <v>64788</v>
      </c>
      <c r="C3837" s="1">
        <v>8.5276124089802698E-5</v>
      </c>
      <c r="D3837" s="1">
        <v>0</v>
      </c>
      <c r="E3837" s="1">
        <v>0</v>
      </c>
      <c r="F3837" s="1">
        <v>7.5764058243842598E-5</v>
      </c>
    </row>
    <row r="3838" spans="1:6" x14ac:dyDescent="0.25">
      <c r="A3838" s="2" t="str">
        <f t="shared" si="136"/>
        <v>28140</v>
      </c>
      <c r="B3838" s="2" t="str">
        <f>"64734"</f>
        <v>64734</v>
      </c>
      <c r="C3838" s="1">
        <v>8.3369951904266001E-4</v>
      </c>
      <c r="D3838" s="1">
        <v>5.1858851729780805E-4</v>
      </c>
      <c r="E3838" s="1">
        <v>1.3031693077564599E-4</v>
      </c>
      <c r="F3838" s="1">
        <v>7.8527218015088602E-4</v>
      </c>
    </row>
    <row r="3839" spans="1:6" x14ac:dyDescent="0.25">
      <c r="A3839" s="2" t="str">
        <f t="shared" si="136"/>
        <v>28140</v>
      </c>
      <c r="B3839" s="2" t="str">
        <f>"64723"</f>
        <v>64723</v>
      </c>
      <c r="C3839" s="1">
        <v>5.7486140121714097E-4</v>
      </c>
      <c r="D3839" s="1">
        <v>1.61338649825984E-4</v>
      </c>
      <c r="E3839" s="1">
        <v>2.6063386155129199E-5</v>
      </c>
      <c r="F3839" s="1">
        <v>5.2410901467505201E-4</v>
      </c>
    </row>
    <row r="3840" spans="1:6" x14ac:dyDescent="0.25">
      <c r="A3840" s="2" t="str">
        <f t="shared" si="136"/>
        <v>28140</v>
      </c>
      <c r="B3840" s="2" t="str">
        <f>"64153"</f>
        <v>64153</v>
      </c>
      <c r="C3840" s="1">
        <v>2.7920406275520099E-3</v>
      </c>
      <c r="D3840" s="1">
        <v>8.7353354691497402E-3</v>
      </c>
      <c r="E3840" s="1">
        <v>5.4733110925771402E-3</v>
      </c>
      <c r="F3840" s="1">
        <v>3.3434233232076801E-3</v>
      </c>
    </row>
    <row r="3841" spans="1:6" x14ac:dyDescent="0.25">
      <c r="A3841" s="2" t="str">
        <f t="shared" si="136"/>
        <v>28140</v>
      </c>
      <c r="B3841" s="2" t="str">
        <f>"64136"</f>
        <v>64136</v>
      </c>
      <c r="C3841" s="1">
        <v>1.0644466783444699E-3</v>
      </c>
      <c r="D3841" s="1">
        <v>7.2602392421693097E-4</v>
      </c>
      <c r="E3841" s="1">
        <v>1.64199332777314E-3</v>
      </c>
      <c r="F3841" s="1">
        <v>1.0580227898287101E-3</v>
      </c>
    </row>
    <row r="3842" spans="1:6" x14ac:dyDescent="0.25">
      <c r="A3842" s="2" t="str">
        <f t="shared" si="136"/>
        <v>28140</v>
      </c>
      <c r="B3842" s="2" t="str">
        <f>"64133"</f>
        <v>64133</v>
      </c>
      <c r="C3842" s="1">
        <v>1.6879656327187399E-2</v>
      </c>
      <c r="D3842" s="1">
        <v>1.61453891718717E-2</v>
      </c>
      <c r="E3842" s="1">
        <v>1.6237489574645499E-2</v>
      </c>
      <c r="F3842" s="1">
        <v>1.6800902751037499E-2</v>
      </c>
    </row>
    <row r="3843" spans="1:6" x14ac:dyDescent="0.25">
      <c r="A3843" s="2" t="str">
        <f t="shared" si="136"/>
        <v>28140</v>
      </c>
      <c r="B3843" s="2" t="str">
        <f>"64131"</f>
        <v>64131</v>
      </c>
      <c r="C3843" s="1">
        <v>1.1340721255425E-2</v>
      </c>
      <c r="D3843" s="1">
        <v>9.8531818286583493E-3</v>
      </c>
      <c r="E3843" s="1">
        <v>3.0311718098415302E-2</v>
      </c>
      <c r="F3843" s="1">
        <v>1.18744562814643E-2</v>
      </c>
    </row>
    <row r="3844" spans="1:6" x14ac:dyDescent="0.25">
      <c r="A3844" s="2" t="str">
        <f t="shared" si="136"/>
        <v>28140</v>
      </c>
      <c r="B3844" s="2" t="str">
        <f>"64465"</f>
        <v>64465</v>
      </c>
      <c r="C3844" s="1">
        <v>2.2292182085593098E-3</v>
      </c>
      <c r="D3844" s="1">
        <v>7.3754811349021504E-4</v>
      </c>
      <c r="E3844" s="1">
        <v>8.3402835696413599E-4</v>
      </c>
      <c r="F3844" s="1">
        <v>2.0661304354026699E-3</v>
      </c>
    </row>
    <row r="3845" spans="1:6" x14ac:dyDescent="0.25">
      <c r="A3845" s="2" t="str">
        <f t="shared" si="136"/>
        <v>28140</v>
      </c>
      <c r="B3845" s="2" t="str">
        <f>"64120"</f>
        <v>64120</v>
      </c>
      <c r="C3845" s="1">
        <v>7.28358424578786E-4</v>
      </c>
      <c r="D3845" s="1">
        <v>7.1104247816166097E-3</v>
      </c>
      <c r="E3845" s="1">
        <v>4.4307756463719702E-4</v>
      </c>
      <c r="F3845" s="1">
        <v>1.2122249319014801E-3</v>
      </c>
    </row>
    <row r="3846" spans="1:6" x14ac:dyDescent="0.25">
      <c r="A3846" s="2" t="str">
        <f t="shared" si="136"/>
        <v>28140</v>
      </c>
      <c r="B3846" s="2" t="str">
        <f>"64130"</f>
        <v>64130</v>
      </c>
      <c r="C3846" s="1">
        <v>1.1657747787335301E-2</v>
      </c>
      <c r="D3846" s="1">
        <v>8.1360776269389402E-3</v>
      </c>
      <c r="E3846" s="1">
        <v>5.2387406171809803E-3</v>
      </c>
      <c r="F3846" s="1">
        <v>1.1165839501419E-2</v>
      </c>
    </row>
    <row r="3847" spans="1:6" x14ac:dyDescent="0.25">
      <c r="A3847" s="2" t="str">
        <f t="shared" si="136"/>
        <v>28140</v>
      </c>
      <c r="B3847" s="2" t="str">
        <f>"64164"</f>
        <v>64164</v>
      </c>
      <c r="C3847" s="1">
        <v>1.08350840019984E-4</v>
      </c>
      <c r="D3847" s="1">
        <v>3.4572567819853799E-5</v>
      </c>
      <c r="E3847" s="1">
        <v>2.6063386155129199E-5</v>
      </c>
      <c r="F3847" s="1">
        <v>9.9830288509533699E-5</v>
      </c>
    </row>
    <row r="3848" spans="1:6" x14ac:dyDescent="0.25">
      <c r="A3848" s="2" t="str">
        <f t="shared" si="136"/>
        <v>28140</v>
      </c>
      <c r="B3848" s="2" t="str">
        <f>"64163"</f>
        <v>64163</v>
      </c>
      <c r="C3848" s="1">
        <v>8.0460531200025605E-4</v>
      </c>
      <c r="D3848" s="1">
        <v>3.3420148892525402E-4</v>
      </c>
      <c r="E3848" s="1">
        <v>7.29774812343619E-4</v>
      </c>
      <c r="F3848" s="1">
        <v>7.65662659193656E-4</v>
      </c>
    </row>
    <row r="3849" spans="1:6" x14ac:dyDescent="0.25">
      <c r="A3849" s="2" t="str">
        <f t="shared" si="136"/>
        <v>28140</v>
      </c>
      <c r="B3849" s="2" t="str">
        <f>"64114"</f>
        <v>64114</v>
      </c>
      <c r="C3849" s="1">
        <v>1.35930141799145E-2</v>
      </c>
      <c r="D3849" s="1">
        <v>1.5246502408555501E-2</v>
      </c>
      <c r="E3849" s="1">
        <v>1.45433694745621E-2</v>
      </c>
      <c r="F3849" s="1">
        <v>1.3753404925911599E-2</v>
      </c>
    </row>
    <row r="3850" spans="1:6" x14ac:dyDescent="0.25">
      <c r="A3850" s="2" t="str">
        <f t="shared" si="136"/>
        <v>28140</v>
      </c>
      <c r="B3850" s="2" t="str">
        <f>"64118"</f>
        <v>64118</v>
      </c>
      <c r="C3850" s="1">
        <v>1.9858301179218298E-2</v>
      </c>
      <c r="D3850" s="1">
        <v>1.16394311660174E-2</v>
      </c>
      <c r="E3850" s="1">
        <v>2.45256463719766E-2</v>
      </c>
      <c r="F3850" s="1">
        <v>1.93822287824983E-2</v>
      </c>
    </row>
    <row r="3851" spans="1:6" x14ac:dyDescent="0.25">
      <c r="A3851" s="2" t="str">
        <f t="shared" si="136"/>
        <v>28140</v>
      </c>
      <c r="B3851" s="2" t="str">
        <f>"64090"</f>
        <v>64090</v>
      </c>
      <c r="C3851" s="1">
        <v>7.22338933466564E-5</v>
      </c>
      <c r="D3851" s="1">
        <v>1.03717703459561E-4</v>
      </c>
      <c r="E3851" s="1">
        <v>2.6063386155129199E-5</v>
      </c>
      <c r="F3851" s="1">
        <v>7.3090032658765794E-5</v>
      </c>
    </row>
    <row r="3852" spans="1:6" x14ac:dyDescent="0.25">
      <c r="A3852" s="2" t="str">
        <f t="shared" si="136"/>
        <v>28140</v>
      </c>
      <c r="B3852" s="2" t="str">
        <f>"64089"</f>
        <v>64089</v>
      </c>
      <c r="C3852" s="1">
        <v>6.3575858630244703E-3</v>
      </c>
      <c r="D3852" s="1">
        <v>5.34722382280406E-3</v>
      </c>
      <c r="E3852" s="1">
        <v>1.66805671392827E-3</v>
      </c>
      <c r="F3852" s="1">
        <v>6.1190618805173997E-3</v>
      </c>
    </row>
    <row r="3853" spans="1:6" x14ac:dyDescent="0.25">
      <c r="A3853" s="2" t="str">
        <f t="shared" ref="A3853:A3916" si="137">"28140"</f>
        <v>28140</v>
      </c>
      <c r="B3853" s="2" t="str">
        <f>"64002"</f>
        <v>64002</v>
      </c>
      <c r="C3853" s="1">
        <v>0</v>
      </c>
      <c r="D3853" s="1">
        <v>1.15241892732846E-5</v>
      </c>
      <c r="E3853" s="1">
        <v>0</v>
      </c>
      <c r="F3853" s="1">
        <v>8.9134186169226601E-7</v>
      </c>
    </row>
    <row r="3854" spans="1:6" x14ac:dyDescent="0.25">
      <c r="A3854" s="2" t="str">
        <f t="shared" si="137"/>
        <v>28140</v>
      </c>
      <c r="B3854" s="2" t="str">
        <f>"64065"</f>
        <v>64065</v>
      </c>
      <c r="C3854" s="1">
        <v>0</v>
      </c>
      <c r="D3854" s="1">
        <v>0</v>
      </c>
      <c r="E3854" s="1">
        <v>5.2126772310258499E-5</v>
      </c>
      <c r="F3854" s="1">
        <v>1.7826837233845299E-6</v>
      </c>
    </row>
    <row r="3855" spans="1:6" x14ac:dyDescent="0.25">
      <c r="A3855" s="2" t="str">
        <f t="shared" si="137"/>
        <v>28140</v>
      </c>
      <c r="B3855" s="2" t="str">
        <f>"64055"</f>
        <v>64055</v>
      </c>
      <c r="C3855" s="1">
        <v>1.74484982372923E-2</v>
      </c>
      <c r="D3855" s="1">
        <v>2.1204508262843699E-2</v>
      </c>
      <c r="E3855" s="1">
        <v>2.3483110925771399E-2</v>
      </c>
      <c r="F3855" s="1">
        <v>1.7945385701450298E-2</v>
      </c>
    </row>
    <row r="3856" spans="1:6" x14ac:dyDescent="0.25">
      <c r="A3856" s="2" t="str">
        <f t="shared" si="137"/>
        <v>28140</v>
      </c>
      <c r="B3856" s="2" t="str">
        <f>"66754"</f>
        <v>66754</v>
      </c>
      <c r="C3856" s="1">
        <v>1.2038982224442699E-5</v>
      </c>
      <c r="D3856" s="1">
        <v>0</v>
      </c>
      <c r="E3856" s="1">
        <v>0</v>
      </c>
      <c r="F3856" s="1">
        <v>1.0696102340307101E-5</v>
      </c>
    </row>
    <row r="3857" spans="1:6" x14ac:dyDescent="0.25">
      <c r="A3857" s="2" t="str">
        <f t="shared" si="137"/>
        <v>28140</v>
      </c>
      <c r="B3857" s="2" t="str">
        <f>"66211"</f>
        <v>66211</v>
      </c>
      <c r="C3857" s="1">
        <v>2.63252411307814E-3</v>
      </c>
      <c r="D3857" s="1">
        <v>1.48546799732638E-2</v>
      </c>
      <c r="E3857" s="1">
        <v>8.02752293577981E-3</v>
      </c>
      <c r="F3857" s="1">
        <v>3.7623539982030501E-3</v>
      </c>
    </row>
    <row r="3858" spans="1:6" x14ac:dyDescent="0.25">
      <c r="A3858" s="2" t="str">
        <f t="shared" si="137"/>
        <v>28140</v>
      </c>
      <c r="B3858" s="2" t="str">
        <f>"66202"</f>
        <v>66202</v>
      </c>
      <c r="C3858" s="1">
        <v>9.1656784668757395E-3</v>
      </c>
      <c r="D3858" s="1">
        <v>1.3563970774656001E-2</v>
      </c>
      <c r="E3858" s="1">
        <v>1.5846538782318498E-2</v>
      </c>
      <c r="F3858" s="1">
        <v>9.7343444715412304E-3</v>
      </c>
    </row>
    <row r="3859" spans="1:6" x14ac:dyDescent="0.25">
      <c r="A3859" s="2" t="str">
        <f t="shared" si="137"/>
        <v>28140</v>
      </c>
      <c r="B3859" s="2" t="str">
        <f>"66026"</f>
        <v>66026</v>
      </c>
      <c r="C3859" s="1">
        <v>3.0298105264847501E-4</v>
      </c>
      <c r="D3859" s="1">
        <v>5.76209463664231E-5</v>
      </c>
      <c r="E3859" s="1">
        <v>2.6063386155129199E-5</v>
      </c>
      <c r="F3859" s="1">
        <v>2.7453329340121699E-4</v>
      </c>
    </row>
    <row r="3860" spans="1:6" x14ac:dyDescent="0.25">
      <c r="A3860" s="2" t="str">
        <f t="shared" si="137"/>
        <v>28140</v>
      </c>
      <c r="B3860" s="2" t="str">
        <f>"66020"</f>
        <v>66020</v>
      </c>
      <c r="C3860" s="1">
        <v>6.8321224123712499E-4</v>
      </c>
      <c r="D3860" s="1">
        <v>2.88104731832115E-4</v>
      </c>
      <c r="E3860" s="1">
        <v>1.04253544620517E-4</v>
      </c>
      <c r="F3860" s="1">
        <v>6.3285272180150804E-4</v>
      </c>
    </row>
    <row r="3861" spans="1:6" x14ac:dyDescent="0.25">
      <c r="A3861" s="2" t="str">
        <f t="shared" si="137"/>
        <v>28140</v>
      </c>
      <c r="B3861" s="2" t="str">
        <f>"66014"</f>
        <v>66014</v>
      </c>
      <c r="C3861" s="1">
        <v>3.0599079820458599E-4</v>
      </c>
      <c r="D3861" s="1">
        <v>6.9145135639707693E-5</v>
      </c>
      <c r="E3861" s="1">
        <v>5.2126772310258499E-5</v>
      </c>
      <c r="F3861" s="1">
        <v>2.7899000270967901E-4</v>
      </c>
    </row>
    <row r="3862" spans="1:6" x14ac:dyDescent="0.25">
      <c r="A3862" s="2" t="str">
        <f t="shared" si="137"/>
        <v>28140</v>
      </c>
      <c r="B3862" s="2" t="str">
        <f>"66013"</f>
        <v>66013</v>
      </c>
      <c r="C3862" s="1">
        <v>1.0022452701848501E-3</v>
      </c>
      <c r="D3862" s="1">
        <v>8.7583838476963096E-4</v>
      </c>
      <c r="E3862" s="1">
        <v>1.3031693077564599E-4</v>
      </c>
      <c r="F3862" s="1">
        <v>9.6264921062764704E-4</v>
      </c>
    </row>
    <row r="3863" spans="1:6" x14ac:dyDescent="0.25">
      <c r="A3863" s="2" t="str">
        <f t="shared" si="137"/>
        <v>28140</v>
      </c>
      <c r="B3863" s="2" t="str">
        <f>"66109"</f>
        <v>66109</v>
      </c>
      <c r="C3863" s="1">
        <v>1.0626408310108099E-2</v>
      </c>
      <c r="D3863" s="1">
        <v>2.8579989397745798E-3</v>
      </c>
      <c r="E3863" s="1">
        <v>2.3457047539616302E-3</v>
      </c>
      <c r="F3863" s="1">
        <v>9.7423665482964591E-3</v>
      </c>
    </row>
    <row r="3864" spans="1:6" x14ac:dyDescent="0.25">
      <c r="A3864" s="2" t="str">
        <f t="shared" si="137"/>
        <v>28140</v>
      </c>
      <c r="B3864" s="2" t="str">
        <f>"66083"</f>
        <v>66083</v>
      </c>
      <c r="C3864" s="1">
        <v>4.6360114049291603E-3</v>
      </c>
      <c r="D3864" s="1">
        <v>2.2011201511973602E-3</v>
      </c>
      <c r="E3864" s="1">
        <v>1.48561301084236E-3</v>
      </c>
      <c r="F3864" s="1">
        <v>4.3399435245796399E-3</v>
      </c>
    </row>
    <row r="3865" spans="1:6" x14ac:dyDescent="0.25">
      <c r="A3865" s="2" t="str">
        <f t="shared" si="137"/>
        <v>28140</v>
      </c>
      <c r="B3865" s="2" t="str">
        <f>"66075"</f>
        <v>66075</v>
      </c>
      <c r="C3865" s="1">
        <v>1.21593720466871E-3</v>
      </c>
      <c r="D3865" s="1">
        <v>8.87362574042916E-4</v>
      </c>
      <c r="E3865" s="1">
        <v>1.8244370308590399E-4</v>
      </c>
      <c r="F3865" s="1">
        <v>1.15517905275317E-3</v>
      </c>
    </row>
    <row r="3866" spans="1:6" x14ac:dyDescent="0.25">
      <c r="A3866" s="2" t="str">
        <f t="shared" si="137"/>
        <v>28140</v>
      </c>
      <c r="B3866" s="2" t="str">
        <f>"66054"</f>
        <v>66054</v>
      </c>
      <c r="C3866" s="1">
        <v>2.82916082274404E-4</v>
      </c>
      <c r="D3866" s="1">
        <v>2.30483785465692E-5</v>
      </c>
      <c r="E3866" s="1">
        <v>2.6063386155129199E-5</v>
      </c>
      <c r="F3866" s="1">
        <v>2.5403243058229498E-4</v>
      </c>
    </row>
    <row r="3867" spans="1:6" x14ac:dyDescent="0.25">
      <c r="A3867" s="2" t="str">
        <f t="shared" si="137"/>
        <v>28140</v>
      </c>
      <c r="B3867" s="2" t="str">
        <f>"66051"</f>
        <v>66051</v>
      </c>
      <c r="C3867" s="1">
        <v>5.1065349602011302E-4</v>
      </c>
      <c r="D3867" s="1">
        <v>3.5379261068983702E-3</v>
      </c>
      <c r="E3867" s="1">
        <v>2.6063386155129199E-5</v>
      </c>
      <c r="F3867" s="1">
        <v>7.2822630100258105E-4</v>
      </c>
    </row>
    <row r="3868" spans="1:6" x14ac:dyDescent="0.25">
      <c r="A3868" s="2" t="str">
        <f t="shared" si="137"/>
        <v>28140</v>
      </c>
      <c r="B3868" s="2" t="str">
        <f>"66061"</f>
        <v>66061</v>
      </c>
      <c r="C3868" s="1">
        <v>2.5290891907997999E-2</v>
      </c>
      <c r="D3868" s="1">
        <v>2.00405651462419E-2</v>
      </c>
      <c r="E3868" s="1">
        <v>1.51428273561301E-2</v>
      </c>
      <c r="F3868" s="1">
        <v>2.45377501105263E-2</v>
      </c>
    </row>
    <row r="3869" spans="1:6" x14ac:dyDescent="0.25">
      <c r="A3869" s="2" t="str">
        <f t="shared" si="137"/>
        <v>28140</v>
      </c>
      <c r="B3869" s="2" t="str">
        <f>"64747"</f>
        <v>64747</v>
      </c>
      <c r="C3869" s="1">
        <v>1.5510222099157E-3</v>
      </c>
      <c r="D3869" s="1">
        <v>6.1078203148408501E-4</v>
      </c>
      <c r="E3869" s="1">
        <v>5.2126772310258503E-4</v>
      </c>
      <c r="F3869" s="1">
        <v>1.4430824740797701E-3</v>
      </c>
    </row>
    <row r="3870" spans="1:6" x14ac:dyDescent="0.25">
      <c r="A3870" s="2" t="str">
        <f t="shared" si="137"/>
        <v>28140</v>
      </c>
      <c r="B3870" s="2" t="str">
        <f>"64730"</f>
        <v>64730</v>
      </c>
      <c r="C3870" s="1">
        <v>4.5065923460163998E-3</v>
      </c>
      <c r="D3870" s="1">
        <v>4.5751031414939898E-3</v>
      </c>
      <c r="E3870" s="1">
        <v>1.61592994161801E-3</v>
      </c>
      <c r="F3870" s="1">
        <v>4.4130335572383998E-3</v>
      </c>
    </row>
    <row r="3871" spans="1:6" x14ac:dyDescent="0.25">
      <c r="A3871" s="2" t="str">
        <f t="shared" si="137"/>
        <v>28140</v>
      </c>
      <c r="B3871" s="2" t="str">
        <f>"64147"</f>
        <v>64147</v>
      </c>
      <c r="C3871" s="1">
        <v>3.2906551413476798E-4</v>
      </c>
      <c r="D3871" s="1">
        <v>9.5650770968262299E-4</v>
      </c>
      <c r="E3871" s="1">
        <v>1.0946622185154201E-3</v>
      </c>
      <c r="F3871" s="1">
        <v>4.03777863346596E-4</v>
      </c>
    </row>
    <row r="3872" spans="1:6" x14ac:dyDescent="0.25">
      <c r="A3872" s="2" t="str">
        <f t="shared" si="137"/>
        <v>28140</v>
      </c>
      <c r="B3872" s="2" t="str">
        <f>"64139"</f>
        <v>64139</v>
      </c>
      <c r="C3872" s="1">
        <v>9.0693666090802005E-4</v>
      </c>
      <c r="D3872" s="1">
        <v>2.65056353285546E-4</v>
      </c>
      <c r="E3872" s="1">
        <v>6.7764804003336105E-4</v>
      </c>
      <c r="F3872" s="1">
        <v>8.4944879419272899E-4</v>
      </c>
    </row>
    <row r="3873" spans="1:6" x14ac:dyDescent="0.25">
      <c r="A3873" s="2" t="str">
        <f t="shared" si="137"/>
        <v>28140</v>
      </c>
      <c r="B3873" s="2" t="str">
        <f>"64137"</f>
        <v>64137</v>
      </c>
      <c r="C3873" s="1">
        <v>4.7664337123606198E-3</v>
      </c>
      <c r="D3873" s="1">
        <v>2.2587410975637798E-3</v>
      </c>
      <c r="E3873" s="1">
        <v>1.5507714762301899E-2</v>
      </c>
      <c r="F3873" s="1">
        <v>4.9398165974985303E-3</v>
      </c>
    </row>
    <row r="3874" spans="1:6" x14ac:dyDescent="0.25">
      <c r="A3874" s="2" t="str">
        <f t="shared" si="137"/>
        <v>28140</v>
      </c>
      <c r="B3874" s="2" t="str">
        <f>"64132"</f>
        <v>64132</v>
      </c>
      <c r="C3874" s="1">
        <v>7.0859442876032496E-3</v>
      </c>
      <c r="D3874" s="1">
        <v>5.7620946366423098E-3</v>
      </c>
      <c r="E3874" s="1">
        <v>1.14678899082568E-2</v>
      </c>
      <c r="F3874" s="1">
        <v>7.1334089191232002E-3</v>
      </c>
    </row>
    <row r="3875" spans="1:6" x14ac:dyDescent="0.25">
      <c r="A3875" s="2" t="str">
        <f t="shared" si="137"/>
        <v>28140</v>
      </c>
      <c r="B3875" s="2" t="str">
        <f>"64484"</f>
        <v>64484</v>
      </c>
      <c r="C3875" s="1">
        <v>1.13367082613502E-4</v>
      </c>
      <c r="D3875" s="1">
        <v>4.6096757093138399E-5</v>
      </c>
      <c r="E3875" s="1">
        <v>0</v>
      </c>
      <c r="F3875" s="1">
        <v>1.04286997817995E-4</v>
      </c>
    </row>
    <row r="3876" spans="1:6" x14ac:dyDescent="0.25">
      <c r="A3876" s="2" t="str">
        <f t="shared" si="137"/>
        <v>28140</v>
      </c>
      <c r="B3876" s="2" t="str">
        <f>"64127"</f>
        <v>64127</v>
      </c>
      <c r="C3876" s="1">
        <v>9.2118278987361E-3</v>
      </c>
      <c r="D3876" s="1">
        <v>1.0002996289211001E-2</v>
      </c>
      <c r="E3876" s="1">
        <v>1.04774812343619E-2</v>
      </c>
      <c r="F3876" s="1">
        <v>9.3163051384075601E-3</v>
      </c>
    </row>
    <row r="3877" spans="1:6" x14ac:dyDescent="0.25">
      <c r="A3877" s="2" t="str">
        <f t="shared" si="137"/>
        <v>28140</v>
      </c>
      <c r="B3877" s="2" t="str">
        <f>"64126"</f>
        <v>64126</v>
      </c>
      <c r="C3877" s="1">
        <v>2.9044044616468099E-3</v>
      </c>
      <c r="D3877" s="1">
        <v>3.04238596814714E-3</v>
      </c>
      <c r="E3877" s="1">
        <v>1.43348623853211E-3</v>
      </c>
      <c r="F3877" s="1">
        <v>2.8647727434789401E-3</v>
      </c>
    </row>
    <row r="3878" spans="1:6" x14ac:dyDescent="0.25">
      <c r="A3878" s="2" t="str">
        <f t="shared" si="137"/>
        <v>28140</v>
      </c>
      <c r="B3878" s="2" t="str">
        <f>"64168"</f>
        <v>64168</v>
      </c>
      <c r="C3878" s="1">
        <v>8.3470276756136298E-4</v>
      </c>
      <c r="D3878" s="1">
        <v>1.30223338788116E-3</v>
      </c>
      <c r="E3878" s="1">
        <v>5.2126772310258499E-5</v>
      </c>
      <c r="F3878" s="1">
        <v>8.4410074302257497E-4</v>
      </c>
    </row>
    <row r="3879" spans="1:6" x14ac:dyDescent="0.25">
      <c r="A3879" s="2" t="str">
        <f t="shared" si="137"/>
        <v>28140</v>
      </c>
      <c r="B3879" s="2" t="str">
        <f>"64156"</f>
        <v>64156</v>
      </c>
      <c r="C3879" s="1">
        <v>2.8743070060857001E-3</v>
      </c>
      <c r="D3879" s="1">
        <v>2.5353216401226102E-4</v>
      </c>
      <c r="E3879" s="1">
        <v>3.17973311092577E-3</v>
      </c>
      <c r="F3879" s="1">
        <v>2.6820476618320201E-3</v>
      </c>
    </row>
    <row r="3880" spans="1:6" x14ac:dyDescent="0.25">
      <c r="A3880" s="2" t="str">
        <f t="shared" si="137"/>
        <v>28140</v>
      </c>
      <c r="B3880" s="2" t="str">
        <f>"64040"</f>
        <v>64040</v>
      </c>
      <c r="C3880" s="1">
        <v>7.02273963092493E-6</v>
      </c>
      <c r="D3880" s="1">
        <v>0</v>
      </c>
      <c r="E3880" s="1">
        <v>0</v>
      </c>
      <c r="F3880" s="1">
        <v>6.2393930318458604E-6</v>
      </c>
    </row>
    <row r="3881" spans="1:6" x14ac:dyDescent="0.25">
      <c r="A3881" s="2" t="str">
        <f t="shared" si="137"/>
        <v>28140</v>
      </c>
      <c r="B3881" s="2" t="str">
        <f>"64036"</f>
        <v>64036</v>
      </c>
      <c r="C3881" s="1">
        <v>1.6553600558608699E-4</v>
      </c>
      <c r="D3881" s="1">
        <v>2.5353216401226102E-4</v>
      </c>
      <c r="E3881" s="1">
        <v>1.3031693077564599E-4</v>
      </c>
      <c r="F3881" s="1">
        <v>1.7113763744491499E-4</v>
      </c>
    </row>
    <row r="3882" spans="1:6" x14ac:dyDescent="0.25">
      <c r="A3882" s="2" t="str">
        <f t="shared" si="137"/>
        <v>28140</v>
      </c>
      <c r="B3882" s="2" t="str">
        <f>"64034"</f>
        <v>64034</v>
      </c>
      <c r="C3882" s="1">
        <v>3.1682588220658401E-3</v>
      </c>
      <c r="D3882" s="1">
        <v>8.29741627676492E-4</v>
      </c>
      <c r="E3882" s="1">
        <v>8.3402835696413599E-4</v>
      </c>
      <c r="F3882" s="1">
        <v>2.9075571528401701E-3</v>
      </c>
    </row>
    <row r="3883" spans="1:6" x14ac:dyDescent="0.25">
      <c r="A3883" s="2" t="str">
        <f t="shared" si="137"/>
        <v>28140</v>
      </c>
      <c r="B3883" s="2" t="str">
        <f>"64024"</f>
        <v>64024</v>
      </c>
      <c r="C3883" s="1">
        <v>7.2083406068850896E-3</v>
      </c>
      <c r="D3883" s="1">
        <v>5.9925784221079997E-3</v>
      </c>
      <c r="E3883" s="1">
        <v>2.0094870725604601E-2</v>
      </c>
      <c r="F3883" s="1">
        <v>7.5550136197036401E-3</v>
      </c>
    </row>
    <row r="3884" spans="1:6" x14ac:dyDescent="0.25">
      <c r="A3884" s="2" t="str">
        <f t="shared" si="137"/>
        <v>28140</v>
      </c>
      <c r="B3884" s="2" t="str">
        <f>"64020"</f>
        <v>64020</v>
      </c>
      <c r="C3884" s="1">
        <v>1.58212291399551E-3</v>
      </c>
      <c r="D3884" s="1">
        <v>8.9888676331619996E-4</v>
      </c>
      <c r="E3884" s="1">
        <v>1.48561301084236E-3</v>
      </c>
      <c r="F3884" s="1">
        <v>1.5259772672171501E-3</v>
      </c>
    </row>
    <row r="3885" spans="1:6" x14ac:dyDescent="0.25">
      <c r="A3885" s="2" t="str">
        <f t="shared" si="137"/>
        <v>28140</v>
      </c>
      <c r="B3885" s="2" t="str">
        <f>"64015"</f>
        <v>64015</v>
      </c>
      <c r="C3885" s="1">
        <v>1.32870233817099E-2</v>
      </c>
      <c r="D3885" s="1">
        <v>1.24576486044206E-2</v>
      </c>
      <c r="E3885" s="1">
        <v>8.6791075896580396E-3</v>
      </c>
      <c r="F3885" s="1">
        <v>1.3065289008685199E-2</v>
      </c>
    </row>
    <row r="3886" spans="1:6" x14ac:dyDescent="0.25">
      <c r="A3886" s="2" t="str">
        <f t="shared" si="137"/>
        <v>28140</v>
      </c>
      <c r="B3886" s="2" t="str">
        <f>"64101"</f>
        <v>64101</v>
      </c>
      <c r="C3886" s="1">
        <v>3.8123443710735303E-5</v>
      </c>
      <c r="D3886" s="1">
        <v>2.22416852974393E-3</v>
      </c>
      <c r="E3886" s="1">
        <v>2.34570475396163E-4</v>
      </c>
      <c r="F3886" s="1">
        <v>2.1392204680614299E-4</v>
      </c>
    </row>
    <row r="3887" spans="1:6" x14ac:dyDescent="0.25">
      <c r="A3887" s="2" t="str">
        <f t="shared" si="137"/>
        <v>28140</v>
      </c>
      <c r="B3887" s="2" t="str">
        <f>"64110"</f>
        <v>64110</v>
      </c>
      <c r="C3887" s="1">
        <v>8.0691278359327507E-3</v>
      </c>
      <c r="D3887" s="1">
        <v>7.2717634314425897E-3</v>
      </c>
      <c r="E3887" s="1">
        <v>1.9886363636363601E-2</v>
      </c>
      <c r="F3887" s="1">
        <v>8.4115931487899094E-3</v>
      </c>
    </row>
    <row r="3888" spans="1:6" x14ac:dyDescent="0.25">
      <c r="A3888" s="2" t="str">
        <f t="shared" si="137"/>
        <v>28140</v>
      </c>
      <c r="B3888" s="2" t="str">
        <f>"64078"</f>
        <v>64078</v>
      </c>
      <c r="C3888" s="1">
        <v>4.0641597492681297E-3</v>
      </c>
      <c r="D3888" s="1">
        <v>1.9936847442782401E-3</v>
      </c>
      <c r="E3888" s="1">
        <v>2.97122602168473E-3</v>
      </c>
      <c r="F3888" s="1">
        <v>3.8666409960210401E-3</v>
      </c>
    </row>
    <row r="3889" spans="1:6" x14ac:dyDescent="0.25">
      <c r="A3889" s="2" t="str">
        <f t="shared" si="137"/>
        <v>28140</v>
      </c>
      <c r="B3889" s="2" t="str">
        <f>"64074"</f>
        <v>64074</v>
      </c>
      <c r="C3889" s="1">
        <v>2.8492257931181099E-4</v>
      </c>
      <c r="D3889" s="1">
        <v>1.15241892732846E-5</v>
      </c>
      <c r="E3889" s="1">
        <v>5.2126772310258499E-5</v>
      </c>
      <c r="F3889" s="1">
        <v>2.5581511430568E-4</v>
      </c>
    </row>
    <row r="3890" spans="1:6" x14ac:dyDescent="0.25">
      <c r="A3890" s="2" t="str">
        <f t="shared" si="137"/>
        <v>28140</v>
      </c>
      <c r="B3890" s="2" t="str">
        <f>"64085"</f>
        <v>64085</v>
      </c>
      <c r="C3890" s="1">
        <v>4.1394033881708902E-3</v>
      </c>
      <c r="D3890" s="1">
        <v>4.0795630027427501E-3</v>
      </c>
      <c r="E3890" s="1">
        <v>4.2483319432860701E-3</v>
      </c>
      <c r="F3890" s="1">
        <v>4.1385002638371898E-3</v>
      </c>
    </row>
    <row r="3891" spans="1:6" x14ac:dyDescent="0.25">
      <c r="A3891" s="2" t="str">
        <f t="shared" si="137"/>
        <v>28140</v>
      </c>
      <c r="B3891" s="2" t="str">
        <f>"64096"</f>
        <v>64096</v>
      </c>
      <c r="C3891" s="1">
        <v>5.2068598120714798E-4</v>
      </c>
      <c r="D3891" s="1">
        <v>3.3420148892525402E-4</v>
      </c>
      <c r="E3891" s="1">
        <v>1.5638031693077499E-4</v>
      </c>
      <c r="F3891" s="1">
        <v>4.9380339137751505E-4</v>
      </c>
    </row>
    <row r="3892" spans="1:6" x14ac:dyDescent="0.25">
      <c r="A3892" s="2" t="str">
        <f t="shared" si="137"/>
        <v>28140</v>
      </c>
      <c r="B3892" s="2" t="str">
        <f>"64057"</f>
        <v>64057</v>
      </c>
      <c r="C3892" s="1">
        <v>6.7297910634634903E-3</v>
      </c>
      <c r="D3892" s="1">
        <v>9.0810611473482808E-3</v>
      </c>
      <c r="E3892" s="1">
        <v>9.8258965804837294E-3</v>
      </c>
      <c r="F3892" s="1">
        <v>7.01753447710321E-3</v>
      </c>
    </row>
    <row r="3893" spans="1:6" x14ac:dyDescent="0.25">
      <c r="A3893" s="2" t="str">
        <f t="shared" si="137"/>
        <v>28140</v>
      </c>
      <c r="B3893" s="2" t="str">
        <f>"66283"</f>
        <v>66283</v>
      </c>
      <c r="C3893" s="1">
        <v>3.3408175672828601E-4</v>
      </c>
      <c r="D3893" s="1">
        <v>4.8632078733261098E-3</v>
      </c>
      <c r="E3893" s="1">
        <v>5.2126772310258499E-5</v>
      </c>
      <c r="F3893" s="1">
        <v>6.7474578930104502E-4</v>
      </c>
    </row>
    <row r="3894" spans="1:6" x14ac:dyDescent="0.25">
      <c r="A3894" s="2" t="str">
        <f t="shared" si="137"/>
        <v>28140</v>
      </c>
      <c r="B3894" s="2" t="str">
        <f>"66286"</f>
        <v>66286</v>
      </c>
      <c r="C3894" s="1">
        <v>4.5246508193530602E-4</v>
      </c>
      <c r="D3894" s="1">
        <v>3.2959181321593999E-3</v>
      </c>
      <c r="E3894" s="1">
        <v>5.2126772310258499E-5</v>
      </c>
      <c r="F3894" s="1">
        <v>6.5870163579058395E-4</v>
      </c>
    </row>
    <row r="3895" spans="1:6" x14ac:dyDescent="0.25">
      <c r="A3895" s="2" t="str">
        <f t="shared" si="137"/>
        <v>28140</v>
      </c>
      <c r="B3895" s="2" t="str">
        <f>"66118"</f>
        <v>66118</v>
      </c>
      <c r="C3895" s="1">
        <v>0</v>
      </c>
      <c r="D3895" s="1">
        <v>8.06693249129923E-4</v>
      </c>
      <c r="E3895" s="1">
        <v>5.2126772310258499E-5</v>
      </c>
      <c r="F3895" s="1">
        <v>6.4176614041843105E-5</v>
      </c>
    </row>
    <row r="3896" spans="1:6" x14ac:dyDescent="0.25">
      <c r="A3896" s="2" t="str">
        <f t="shared" si="137"/>
        <v>28140</v>
      </c>
      <c r="B3896" s="2" t="str">
        <f>"66027"</f>
        <v>66027</v>
      </c>
      <c r="C3896" s="1">
        <v>2.1258836111328399E-3</v>
      </c>
      <c r="D3896" s="1">
        <v>2.0513056906446602E-3</v>
      </c>
      <c r="E3896" s="1">
        <v>1.8505004170141701E-3</v>
      </c>
      <c r="F3896" s="1">
        <v>2.1106975284872799E-3</v>
      </c>
    </row>
    <row r="3897" spans="1:6" x14ac:dyDescent="0.25">
      <c r="A3897" s="2" t="str">
        <f t="shared" si="137"/>
        <v>28140</v>
      </c>
      <c r="B3897" s="2" t="str">
        <f>"66063"</f>
        <v>66063</v>
      </c>
      <c r="C3897" s="1">
        <v>9.5007634721227304E-4</v>
      </c>
      <c r="D3897" s="1">
        <v>5.6238043653628897E-3</v>
      </c>
      <c r="E3897" s="1">
        <v>2.6063386155129199E-5</v>
      </c>
      <c r="F3897" s="1">
        <v>1.2799669133900899E-3</v>
      </c>
    </row>
    <row r="3898" spans="1:6" x14ac:dyDescent="0.25">
      <c r="A3898" s="2" t="str">
        <f t="shared" si="137"/>
        <v>28140</v>
      </c>
      <c r="B3898" s="2" t="str">
        <f>"66062"</f>
        <v>66062</v>
      </c>
      <c r="C3898" s="1">
        <v>2.9270778781695098E-2</v>
      </c>
      <c r="D3898" s="1">
        <v>2.680526424966E-2</v>
      </c>
      <c r="E3898" s="1">
        <v>2.3300667222685499E-2</v>
      </c>
      <c r="F3898" s="1">
        <v>2.8875910951382599E-2</v>
      </c>
    </row>
    <row r="3899" spans="1:6" x14ac:dyDescent="0.25">
      <c r="A3899" s="2" t="str">
        <f t="shared" si="137"/>
        <v>28140</v>
      </c>
      <c r="B3899" s="2" t="str">
        <f>"66071"</f>
        <v>66071</v>
      </c>
      <c r="C3899" s="1">
        <v>5.8389063788547302E-3</v>
      </c>
      <c r="D3899" s="1">
        <v>6.7992716712379202E-3</v>
      </c>
      <c r="E3899" s="1">
        <v>2.6324020016680501E-3</v>
      </c>
      <c r="F3899" s="1">
        <v>5.8035268614783399E-3</v>
      </c>
    </row>
    <row r="3900" spans="1:6" x14ac:dyDescent="0.25">
      <c r="A3900" s="2" t="str">
        <f t="shared" si="137"/>
        <v>28140</v>
      </c>
      <c r="B3900" s="2" t="str">
        <f>"66052"</f>
        <v>66052</v>
      </c>
      <c r="C3900" s="1">
        <v>8.7382945979080202E-4</v>
      </c>
      <c r="D3900" s="1">
        <v>1.3829027127941501E-4</v>
      </c>
      <c r="E3900" s="1">
        <v>7.8190158465387807E-5</v>
      </c>
      <c r="F3900" s="1">
        <v>7.8972888945934695E-4</v>
      </c>
    </row>
    <row r="3901" spans="1:6" x14ac:dyDescent="0.25">
      <c r="A3901" s="2" t="str">
        <f t="shared" si="137"/>
        <v>28140</v>
      </c>
      <c r="B3901" s="2" t="str">
        <f>"64722"</f>
        <v>64722</v>
      </c>
      <c r="C3901" s="1">
        <v>4.03305904518831E-4</v>
      </c>
      <c r="D3901" s="1">
        <v>5.76209463664231E-5</v>
      </c>
      <c r="E3901" s="1">
        <v>2.6063386155129199E-5</v>
      </c>
      <c r="F3901" s="1">
        <v>3.6366747957044398E-4</v>
      </c>
    </row>
    <row r="3902" spans="1:6" x14ac:dyDescent="0.25">
      <c r="A3902" s="2" t="str">
        <f t="shared" si="137"/>
        <v>28140</v>
      </c>
      <c r="B3902" s="2" t="str">
        <f>"64720"</f>
        <v>64720</v>
      </c>
      <c r="C3902" s="1">
        <v>1.71756146402049E-3</v>
      </c>
      <c r="D3902" s="1">
        <v>5.8773365293751504E-4</v>
      </c>
      <c r="E3902" s="1">
        <v>3.9095079232693902E-4</v>
      </c>
      <c r="F3902" s="1">
        <v>1.58480583008884E-3</v>
      </c>
    </row>
    <row r="3903" spans="1:6" x14ac:dyDescent="0.25">
      <c r="A3903" s="2" t="str">
        <f t="shared" si="137"/>
        <v>28140</v>
      </c>
      <c r="B3903" s="2" t="str">
        <f>"64149"</f>
        <v>64149</v>
      </c>
      <c r="C3903" s="1">
        <v>1.6152301151127301E-4</v>
      </c>
      <c r="D3903" s="1">
        <v>1.03717703459561E-4</v>
      </c>
      <c r="E3903" s="1">
        <v>2.8669724770642198E-4</v>
      </c>
      <c r="F3903" s="1">
        <v>1.6133287696629999E-4</v>
      </c>
    </row>
    <row r="3904" spans="1:6" x14ac:dyDescent="0.25">
      <c r="A3904" s="2" t="str">
        <f t="shared" si="137"/>
        <v>28140</v>
      </c>
      <c r="B3904" s="2" t="str">
        <f>"64134"</f>
        <v>64134</v>
      </c>
      <c r="C3904" s="1">
        <v>1.00505436603722E-2</v>
      </c>
      <c r="D3904" s="1">
        <v>6.6725055892317897E-3</v>
      </c>
      <c r="E3904" s="1">
        <v>1.66545037531276E-2</v>
      </c>
      <c r="F3904" s="1">
        <v>1.0015117157974301E-2</v>
      </c>
    </row>
    <row r="3905" spans="1:6" x14ac:dyDescent="0.25">
      <c r="A3905" s="2" t="str">
        <f t="shared" si="137"/>
        <v>28140</v>
      </c>
      <c r="B3905" s="2" t="str">
        <f>"64138"</f>
        <v>64138</v>
      </c>
      <c r="C3905" s="1">
        <v>1.1738007668831599E-2</v>
      </c>
      <c r="D3905" s="1">
        <v>6.84536842833106E-3</v>
      </c>
      <c r="E3905" s="1">
        <v>1.4465179316096701E-2</v>
      </c>
      <c r="F3905" s="1">
        <v>1.14528515808839E-2</v>
      </c>
    </row>
    <row r="3906" spans="1:6" x14ac:dyDescent="0.25">
      <c r="A3906" s="2" t="str">
        <f t="shared" si="137"/>
        <v>28140</v>
      </c>
      <c r="B3906" s="2" t="str">
        <f>"64644"</f>
        <v>64644</v>
      </c>
      <c r="C3906" s="1">
        <v>1.3303075358009201E-3</v>
      </c>
      <c r="D3906" s="1">
        <v>1.45204784843386E-3</v>
      </c>
      <c r="E3906" s="1">
        <v>9.1221851542952405E-4</v>
      </c>
      <c r="F3906" s="1">
        <v>1.32542534833639E-3</v>
      </c>
    </row>
    <row r="3907" spans="1:6" x14ac:dyDescent="0.25">
      <c r="A3907" s="2" t="str">
        <f t="shared" si="137"/>
        <v>28140</v>
      </c>
      <c r="B3907" s="2" t="str">
        <f>"64128"</f>
        <v>64128</v>
      </c>
      <c r="C3907" s="1">
        <v>6.82208992718422E-3</v>
      </c>
      <c r="D3907" s="1">
        <v>3.3650632677991099E-3</v>
      </c>
      <c r="E3907" s="1">
        <v>9.5131359466221806E-3</v>
      </c>
      <c r="F3907" s="1">
        <v>6.6467362626392197E-3</v>
      </c>
    </row>
    <row r="3908" spans="1:6" x14ac:dyDescent="0.25">
      <c r="A3908" s="2" t="str">
        <f t="shared" si="137"/>
        <v>28140</v>
      </c>
      <c r="B3908" s="2" t="str">
        <f>"64125"</f>
        <v>64125</v>
      </c>
      <c r="C3908" s="1">
        <v>9.1596589757635203E-4</v>
      </c>
      <c r="D3908" s="1">
        <v>1.15241892732846E-3</v>
      </c>
      <c r="E3908" s="1">
        <v>6.2552126772310202E-4</v>
      </c>
      <c r="F3908" s="1">
        <v>9.2432151057487901E-4</v>
      </c>
    </row>
    <row r="3909" spans="1:6" x14ac:dyDescent="0.25">
      <c r="A3909" s="2" t="str">
        <f t="shared" si="137"/>
        <v>28140</v>
      </c>
      <c r="B3909" s="2" t="str">
        <f>"64124"</f>
        <v>64124</v>
      </c>
      <c r="C3909" s="1">
        <v>5.6422696691888303E-3</v>
      </c>
      <c r="D3909" s="1">
        <v>3.86060340655034E-3</v>
      </c>
      <c r="E3909" s="1">
        <v>1.7697039199332701E-2</v>
      </c>
      <c r="F3909" s="1">
        <v>5.9167272779132602E-3</v>
      </c>
    </row>
    <row r="3910" spans="1:6" x14ac:dyDescent="0.25">
      <c r="A3910" s="2" t="str">
        <f t="shared" si="137"/>
        <v>28140</v>
      </c>
      <c r="B3910" s="2" t="str">
        <f>"64119"</f>
        <v>64119</v>
      </c>
      <c r="C3910" s="1">
        <v>1.4015381806288699E-2</v>
      </c>
      <c r="D3910" s="1">
        <v>8.6546661442367494E-3</v>
      </c>
      <c r="E3910" s="1">
        <v>9.64345287739783E-3</v>
      </c>
      <c r="F3910" s="1">
        <v>1.34512400347979E-2</v>
      </c>
    </row>
    <row r="3911" spans="1:6" x14ac:dyDescent="0.25">
      <c r="A3911" s="2" t="str">
        <f t="shared" si="137"/>
        <v>28140</v>
      </c>
      <c r="B3911" s="2" t="str">
        <f>"64112"</f>
        <v>64112</v>
      </c>
      <c r="C3911" s="1">
        <v>6.7398235486505302E-3</v>
      </c>
      <c r="D3911" s="1">
        <v>9.8186092608385008E-3</v>
      </c>
      <c r="E3911" s="1">
        <v>1.66805671392827E-2</v>
      </c>
      <c r="F3911" s="1">
        <v>7.3179166844934999E-3</v>
      </c>
    </row>
    <row r="3912" spans="1:6" x14ac:dyDescent="0.25">
      <c r="A3912" s="2" t="str">
        <f t="shared" si="137"/>
        <v>28140</v>
      </c>
      <c r="B3912" s="2" t="str">
        <f>"64054"</f>
        <v>64054</v>
      </c>
      <c r="C3912" s="1">
        <v>1.9121916766489801E-3</v>
      </c>
      <c r="D3912" s="1">
        <v>1.2561366307880201E-3</v>
      </c>
      <c r="E3912" s="1">
        <v>8.3402835696413599E-4</v>
      </c>
      <c r="F3912" s="1">
        <v>1.8245767908840599E-3</v>
      </c>
    </row>
    <row r="3913" spans="1:6" x14ac:dyDescent="0.25">
      <c r="A3913" s="2" t="str">
        <f t="shared" si="137"/>
        <v>28140</v>
      </c>
      <c r="B3913" s="2" t="str">
        <f>"64030"</f>
        <v>64030</v>
      </c>
      <c r="C3913" s="1">
        <v>1.22566871530014E-2</v>
      </c>
      <c r="D3913" s="1">
        <v>1.47279138912577E-2</v>
      </c>
      <c r="E3913" s="1">
        <v>2.0407631359466199E-2</v>
      </c>
      <c r="F3913" s="1">
        <v>1.27265791012421E-2</v>
      </c>
    </row>
    <row r="3914" spans="1:6" x14ac:dyDescent="0.25">
      <c r="A3914" s="2" t="str">
        <f t="shared" si="137"/>
        <v>28140</v>
      </c>
      <c r="B3914" s="2" t="str">
        <f>"64111"</f>
        <v>64111</v>
      </c>
      <c r="C3914" s="1">
        <v>1.2454327111186001E-2</v>
      </c>
      <c r="D3914" s="1">
        <v>2.10662179915642E-2</v>
      </c>
      <c r="E3914" s="1">
        <v>5.6870308590491997E-2</v>
      </c>
      <c r="F3914" s="1">
        <v>1.46393987364337E-2</v>
      </c>
    </row>
    <row r="3915" spans="1:6" x14ac:dyDescent="0.25">
      <c r="A3915" s="2" t="str">
        <f t="shared" si="137"/>
        <v>28140</v>
      </c>
      <c r="B3915" s="2" t="str">
        <f>"64069"</f>
        <v>64069</v>
      </c>
      <c r="C3915" s="1">
        <v>7.8052734755137097E-4</v>
      </c>
      <c r="D3915" s="1">
        <v>4.0680388134694701E-3</v>
      </c>
      <c r="E3915" s="1">
        <v>5.2126772310258499E-5</v>
      </c>
      <c r="F3915" s="1">
        <v>1.0098903292973299E-3</v>
      </c>
    </row>
    <row r="3916" spans="1:6" x14ac:dyDescent="0.25">
      <c r="A3916" s="2" t="str">
        <f t="shared" si="137"/>
        <v>28140</v>
      </c>
      <c r="B3916" s="2" t="str">
        <f>"64082"</f>
        <v>64082</v>
      </c>
      <c r="C3916" s="1">
        <v>6.4860016734185197E-3</v>
      </c>
      <c r="D3916" s="1">
        <v>2.3509346117500602E-3</v>
      </c>
      <c r="E3916" s="1">
        <v>8.0796497080900696E-4</v>
      </c>
      <c r="F3916" s="1">
        <v>5.9719904733381802E-3</v>
      </c>
    </row>
    <row r="3917" spans="1:6" x14ac:dyDescent="0.25">
      <c r="A3917" s="2" t="str">
        <f t="shared" ref="A3917:A3980" si="138">"28140"</f>
        <v>28140</v>
      </c>
      <c r="B3917" s="2" t="str">
        <f>"64064"</f>
        <v>64064</v>
      </c>
      <c r="C3917" s="1">
        <v>8.1052447826060695E-3</v>
      </c>
      <c r="D3917" s="1">
        <v>8.8044806047894494E-3</v>
      </c>
      <c r="E3917" s="1">
        <v>4.14407839866555E-3</v>
      </c>
      <c r="F3917" s="1">
        <v>8.0238594389537704E-3</v>
      </c>
    </row>
    <row r="3918" spans="1:6" x14ac:dyDescent="0.25">
      <c r="A3918" s="2" t="str">
        <f t="shared" si="138"/>
        <v>28140</v>
      </c>
      <c r="B3918" s="2" t="str">
        <f>"64058"</f>
        <v>64058</v>
      </c>
      <c r="C3918" s="1">
        <v>2.5362122552826001E-3</v>
      </c>
      <c r="D3918" s="1">
        <v>1.00260446677576E-3</v>
      </c>
      <c r="E3918" s="1">
        <v>3.1276063386155101E-4</v>
      </c>
      <c r="F3918" s="1">
        <v>2.3415550706655801E-3</v>
      </c>
    </row>
    <row r="3919" spans="1:6" x14ac:dyDescent="0.25">
      <c r="A3919" s="2" t="str">
        <f t="shared" si="138"/>
        <v>28140</v>
      </c>
      <c r="B3919" s="2" t="str">
        <f>"66767"</f>
        <v>66767</v>
      </c>
      <c r="C3919" s="1">
        <v>2.42786141526262E-4</v>
      </c>
      <c r="D3919" s="1">
        <v>1.15241892732846E-4</v>
      </c>
      <c r="E3919" s="1">
        <v>7.8190158465387807E-5</v>
      </c>
      <c r="F3919" s="1">
        <v>2.27292174731527E-4</v>
      </c>
    </row>
    <row r="3920" spans="1:6" x14ac:dyDescent="0.25">
      <c r="A3920" s="2" t="str">
        <f t="shared" si="138"/>
        <v>28140</v>
      </c>
      <c r="B3920" s="2" t="str">
        <f>"66276"</f>
        <v>66276</v>
      </c>
      <c r="C3920" s="1">
        <v>0</v>
      </c>
      <c r="D3920" s="1">
        <v>0</v>
      </c>
      <c r="E3920" s="1">
        <v>2.6063386155129199E-5</v>
      </c>
      <c r="F3920" s="1">
        <v>8.9134186169226601E-7</v>
      </c>
    </row>
    <row r="3921" spans="1:6" x14ac:dyDescent="0.25">
      <c r="A3921" s="2" t="str">
        <f t="shared" si="138"/>
        <v>28140</v>
      </c>
      <c r="B3921" s="2" t="str">
        <f>"66282"</f>
        <v>66282</v>
      </c>
      <c r="C3921" s="1">
        <v>7.7250135940174196E-4</v>
      </c>
      <c r="D3921" s="1">
        <v>3.12305529306013E-3</v>
      </c>
      <c r="E3921" s="1">
        <v>5.2126772310258499E-5</v>
      </c>
      <c r="F3921" s="1">
        <v>9.2966956174503302E-4</v>
      </c>
    </row>
    <row r="3922" spans="1:6" x14ac:dyDescent="0.25">
      <c r="A3922" s="2" t="str">
        <f t="shared" si="138"/>
        <v>28140</v>
      </c>
      <c r="B3922" s="2" t="str">
        <f>"66215"</f>
        <v>66215</v>
      </c>
      <c r="C3922" s="1">
        <v>1.20349692303679E-2</v>
      </c>
      <c r="D3922" s="1">
        <v>2.0916403531011499E-2</v>
      </c>
      <c r="E3922" s="1">
        <v>1.3813594662218501E-2</v>
      </c>
      <c r="F3922" s="1">
        <v>1.27827336385287E-2</v>
      </c>
    </row>
    <row r="3923" spans="1:6" x14ac:dyDescent="0.25">
      <c r="A3923" s="2" t="str">
        <f t="shared" si="138"/>
        <v>28140</v>
      </c>
      <c r="B3923" s="2" t="str">
        <f>"66115"</f>
        <v>66115</v>
      </c>
      <c r="C3923" s="1">
        <v>1.00324851870356E-6</v>
      </c>
      <c r="D3923" s="1">
        <v>1.9821605550049502E-3</v>
      </c>
      <c r="E3923" s="1">
        <v>2.34570475396163E-4</v>
      </c>
      <c r="F3923" s="1">
        <v>1.6222421882799201E-4</v>
      </c>
    </row>
    <row r="3924" spans="1:6" x14ac:dyDescent="0.25">
      <c r="A3924" s="2" t="str">
        <f t="shared" si="138"/>
        <v>28140</v>
      </c>
      <c r="B3924" s="2" t="str">
        <f>"66036"</f>
        <v>66036</v>
      </c>
      <c r="C3924" s="1">
        <v>0</v>
      </c>
      <c r="D3924" s="1">
        <v>0</v>
      </c>
      <c r="E3924" s="1">
        <v>2.6063386155129199E-5</v>
      </c>
      <c r="F3924" s="1">
        <v>8.9134186169226601E-7</v>
      </c>
    </row>
    <row r="3925" spans="1:6" x14ac:dyDescent="0.25">
      <c r="A3925" s="2" t="str">
        <f t="shared" si="138"/>
        <v>28140</v>
      </c>
      <c r="B3925" s="2" t="str">
        <f>"66106"</f>
        <v>66106</v>
      </c>
      <c r="C3925" s="1">
        <v>9.9893455007313593E-3</v>
      </c>
      <c r="D3925" s="1">
        <v>8.8044806047894494E-3</v>
      </c>
      <c r="E3925" s="1">
        <v>3.2057964970808998E-3</v>
      </c>
      <c r="F3925" s="1">
        <v>9.6657111481909305E-3</v>
      </c>
    </row>
    <row r="3926" spans="1:6" x14ac:dyDescent="0.25">
      <c r="A3926" s="2" t="str">
        <f t="shared" si="138"/>
        <v>28140</v>
      </c>
      <c r="B3926" s="2" t="str">
        <f>"66105"</f>
        <v>66105</v>
      </c>
      <c r="C3926" s="1">
        <v>1.0483947020452199E-3</v>
      </c>
      <c r="D3926" s="1">
        <v>5.7851430151888801E-3</v>
      </c>
      <c r="E3926" s="1">
        <v>7.29774812343619E-4</v>
      </c>
      <c r="F3926" s="1">
        <v>1.40386343216531E-3</v>
      </c>
    </row>
    <row r="3927" spans="1:6" x14ac:dyDescent="0.25">
      <c r="A3927" s="2" t="str">
        <f t="shared" si="138"/>
        <v>28140</v>
      </c>
      <c r="B3927" s="2" t="str">
        <f>"64779"</f>
        <v>64779</v>
      </c>
      <c r="C3927" s="1">
        <v>1.44367461841442E-3</v>
      </c>
      <c r="D3927" s="1">
        <v>1.2676608200613E-3</v>
      </c>
      <c r="E3927" s="1">
        <v>3.1276063386155101E-4</v>
      </c>
      <c r="F3927" s="1">
        <v>1.39138464610162E-3</v>
      </c>
    </row>
    <row r="3928" spans="1:6" x14ac:dyDescent="0.25">
      <c r="A3928" s="2" t="str">
        <f t="shared" si="138"/>
        <v>28140</v>
      </c>
      <c r="B3928" s="2" t="str">
        <f>"64739"</f>
        <v>64739</v>
      </c>
      <c r="C3928" s="1">
        <v>4.04309153037535E-4</v>
      </c>
      <c r="D3928" s="1">
        <v>1.4981446055269999E-4</v>
      </c>
      <c r="E3928" s="1">
        <v>1.3031693077564599E-4</v>
      </c>
      <c r="F3928" s="1">
        <v>3.7525492377244298E-4</v>
      </c>
    </row>
    <row r="3929" spans="1:6" x14ac:dyDescent="0.25">
      <c r="A3929" s="2" t="str">
        <f t="shared" si="138"/>
        <v>28140</v>
      </c>
      <c r="B3929" s="2" t="str">
        <f>"64725"</f>
        <v>64725</v>
      </c>
      <c r="C3929" s="1">
        <v>1.22095344726223E-3</v>
      </c>
      <c r="D3929" s="1">
        <v>6.9145135639707704E-4</v>
      </c>
      <c r="E3929" s="1">
        <v>3.3882402001667998E-4</v>
      </c>
      <c r="F3929" s="1">
        <v>1.14983100158302E-3</v>
      </c>
    </row>
    <row r="3930" spans="1:6" x14ac:dyDescent="0.25">
      <c r="A3930" s="2" t="str">
        <f t="shared" si="138"/>
        <v>28140</v>
      </c>
      <c r="B3930" s="2" t="str">
        <f>"64701"</f>
        <v>64701</v>
      </c>
      <c r="C3930" s="1">
        <v>6.3094299341266997E-3</v>
      </c>
      <c r="D3930" s="1">
        <v>8.7929564155161608E-3</v>
      </c>
      <c r="E3930" s="1">
        <v>6.4115929941617996E-3</v>
      </c>
      <c r="F3930" s="1">
        <v>6.5050129066301504E-3</v>
      </c>
    </row>
    <row r="3931" spans="1:6" x14ac:dyDescent="0.25">
      <c r="A3931" s="2" t="str">
        <f t="shared" si="138"/>
        <v>28140</v>
      </c>
      <c r="B3931" s="2" t="str">
        <f>"64151"</f>
        <v>64151</v>
      </c>
      <c r="C3931" s="1">
        <v>1.2986048826098899E-2</v>
      </c>
      <c r="D3931" s="1">
        <v>5.49703828335676E-3</v>
      </c>
      <c r="E3931" s="1">
        <v>1.34487072560467E-2</v>
      </c>
      <c r="F3931" s="1">
        <v>1.24226315264051E-2</v>
      </c>
    </row>
    <row r="3932" spans="1:6" x14ac:dyDescent="0.25">
      <c r="A3932" s="2" t="str">
        <f t="shared" si="138"/>
        <v>28140</v>
      </c>
      <c r="B3932" s="2" t="str">
        <f>"64647"</f>
        <v>64647</v>
      </c>
      <c r="C3932" s="1">
        <v>2.00649703740712E-6</v>
      </c>
      <c r="D3932" s="1">
        <v>0</v>
      </c>
      <c r="E3932" s="1">
        <v>0</v>
      </c>
      <c r="F3932" s="1">
        <v>1.7826837233845299E-6</v>
      </c>
    </row>
    <row r="3933" spans="1:6" x14ac:dyDescent="0.25">
      <c r="A3933" s="2" t="str">
        <f t="shared" si="138"/>
        <v>28140</v>
      </c>
      <c r="B3933" s="2" t="str">
        <f>"64474"</f>
        <v>64474</v>
      </c>
      <c r="C3933" s="1">
        <v>5.1165674453881601E-5</v>
      </c>
      <c r="D3933" s="1">
        <v>1.15241892732846E-5</v>
      </c>
      <c r="E3933" s="1">
        <v>0</v>
      </c>
      <c r="F3933" s="1">
        <v>4.6349776807997802E-5</v>
      </c>
    </row>
    <row r="3934" spans="1:6" x14ac:dyDescent="0.25">
      <c r="A3934" s="2" t="str">
        <f t="shared" si="138"/>
        <v>28140</v>
      </c>
      <c r="B3934" s="2" t="str">
        <f>"64492"</f>
        <v>64492</v>
      </c>
      <c r="C3934" s="1">
        <v>7.3538116420971105E-4</v>
      </c>
      <c r="D3934" s="1">
        <v>1.2676608200612999E-4</v>
      </c>
      <c r="E3934" s="1">
        <v>2.8669724770642198E-4</v>
      </c>
      <c r="F3934" s="1">
        <v>6.7296310557765995E-4</v>
      </c>
    </row>
    <row r="3935" spans="1:6" x14ac:dyDescent="0.25">
      <c r="A3935" s="2" t="str">
        <f t="shared" si="138"/>
        <v>28140</v>
      </c>
      <c r="B3935" s="2" t="str">
        <f>"64198"</f>
        <v>64198</v>
      </c>
      <c r="C3935" s="1">
        <v>0</v>
      </c>
      <c r="D3935" s="1">
        <v>0</v>
      </c>
      <c r="E3935" s="1">
        <v>5.2126772310258499E-5</v>
      </c>
      <c r="F3935" s="1">
        <v>1.7826837233845299E-6</v>
      </c>
    </row>
    <row r="3936" spans="1:6" x14ac:dyDescent="0.25">
      <c r="A3936" s="2" t="str">
        <f t="shared" si="138"/>
        <v>28140</v>
      </c>
      <c r="B3936" s="2" t="str">
        <f>"64166"</f>
        <v>64166</v>
      </c>
      <c r="C3936" s="1">
        <v>1.09354088538688E-4</v>
      </c>
      <c r="D3936" s="1">
        <v>0</v>
      </c>
      <c r="E3936" s="1">
        <v>2.6063386155129199E-5</v>
      </c>
      <c r="F3936" s="1">
        <v>9.8047604786149199E-5</v>
      </c>
    </row>
    <row r="3937" spans="1:6" x14ac:dyDescent="0.25">
      <c r="A3937" s="2" t="str">
        <f t="shared" si="138"/>
        <v>28140</v>
      </c>
      <c r="B3937" s="2" t="str">
        <f>"64048"</f>
        <v>64048</v>
      </c>
      <c r="C3937" s="1">
        <v>1.7075289788334601E-3</v>
      </c>
      <c r="D3937" s="1">
        <v>3.8029824601839202E-4</v>
      </c>
      <c r="E3937" s="1">
        <v>3.3882402001667998E-4</v>
      </c>
      <c r="F3937" s="1">
        <v>1.55806557423808E-3</v>
      </c>
    </row>
    <row r="3938" spans="1:6" x14ac:dyDescent="0.25">
      <c r="A3938" s="2" t="str">
        <f t="shared" si="138"/>
        <v>28140</v>
      </c>
      <c r="B3938" s="2" t="str">
        <f>"64029"</f>
        <v>64029</v>
      </c>
      <c r="C3938" s="1">
        <v>8.3169302200525302E-3</v>
      </c>
      <c r="D3938" s="1">
        <v>7.0873764030700403E-3</v>
      </c>
      <c r="E3938" s="1">
        <v>1.66805671392827E-3</v>
      </c>
      <c r="F3938" s="1">
        <v>7.9944451575179303E-3</v>
      </c>
    </row>
    <row r="3939" spans="1:6" x14ac:dyDescent="0.25">
      <c r="A3939" s="2" t="str">
        <f t="shared" si="138"/>
        <v>28140</v>
      </c>
      <c r="B3939" s="2" t="str">
        <f>"64106"</f>
        <v>64106</v>
      </c>
      <c r="C3939" s="1">
        <v>6.0445723251889598E-3</v>
      </c>
      <c r="D3939" s="1">
        <v>1.4889252541083701E-2</v>
      </c>
      <c r="E3939" s="1">
        <v>1.29013761467889E-2</v>
      </c>
      <c r="F3939" s="1">
        <v>6.9631626235399802E-3</v>
      </c>
    </row>
    <row r="3940" spans="1:6" x14ac:dyDescent="0.25">
      <c r="A3940" s="2" t="str">
        <f t="shared" si="138"/>
        <v>28140</v>
      </c>
      <c r="B3940" s="2" t="str">
        <f>"64105"</f>
        <v>64105</v>
      </c>
      <c r="C3940" s="1">
        <v>5.13462591872483E-3</v>
      </c>
      <c r="D3940" s="1">
        <v>1.03371977781363E-2</v>
      </c>
      <c r="E3940" s="1">
        <v>8.02752293577981E-3</v>
      </c>
      <c r="F3940" s="1">
        <v>5.6359545914801898E-3</v>
      </c>
    </row>
    <row r="3941" spans="1:6" x14ac:dyDescent="0.25">
      <c r="A3941" s="2" t="str">
        <f t="shared" si="138"/>
        <v>28140</v>
      </c>
      <c r="B3941" s="2" t="str">
        <f>"64098"</f>
        <v>64098</v>
      </c>
      <c r="C3941" s="1">
        <v>1.4185934054468301E-3</v>
      </c>
      <c r="D3941" s="1">
        <v>1.5096687948002801E-3</v>
      </c>
      <c r="E3941" s="1">
        <v>8.0796497080900696E-4</v>
      </c>
      <c r="F3941" s="1">
        <v>1.40475477402701E-3</v>
      </c>
    </row>
    <row r="3942" spans="1:6" x14ac:dyDescent="0.25">
      <c r="A3942" s="2" t="str">
        <f t="shared" si="138"/>
        <v>28140</v>
      </c>
      <c r="B3942" s="2" t="str">
        <f>"64077"</f>
        <v>64077</v>
      </c>
      <c r="C3942" s="1">
        <v>7.8253384458877801E-4</v>
      </c>
      <c r="D3942" s="1">
        <v>4.9554013875123797E-4</v>
      </c>
      <c r="E3942" s="1">
        <v>1.3031693077564599E-4</v>
      </c>
      <c r="F3942" s="1">
        <v>7.38031061481196E-4</v>
      </c>
    </row>
    <row r="3943" spans="1:6" x14ac:dyDescent="0.25">
      <c r="A3943" s="2" t="str">
        <f t="shared" si="138"/>
        <v>28140</v>
      </c>
      <c r="B3943" s="2" t="str">
        <f>"64068"</f>
        <v>64068</v>
      </c>
      <c r="C3943" s="1">
        <v>1.51159454313065E-2</v>
      </c>
      <c r="D3943" s="1">
        <v>1.6087768225505301E-2</v>
      </c>
      <c r="E3943" s="1">
        <v>1.21194745621351E-2</v>
      </c>
      <c r="F3943" s="1">
        <v>1.50886350347266E-2</v>
      </c>
    </row>
    <row r="3944" spans="1:6" x14ac:dyDescent="0.25">
      <c r="A3944" s="2" t="str">
        <f t="shared" si="138"/>
        <v>28140</v>
      </c>
      <c r="B3944" s="2" t="str">
        <f>"64067"</f>
        <v>64067</v>
      </c>
      <c r="C3944" s="1">
        <v>2.6796767934572099E-3</v>
      </c>
      <c r="D3944" s="1">
        <v>3.3650632677991099E-3</v>
      </c>
      <c r="E3944" s="1">
        <v>1.1728523769808099E-3</v>
      </c>
      <c r="F3944" s="1">
        <v>2.6811563199703298E-3</v>
      </c>
    </row>
    <row r="3945" spans="1:6" x14ac:dyDescent="0.25">
      <c r="A3945" s="2" t="str">
        <f t="shared" si="138"/>
        <v>28140</v>
      </c>
      <c r="B3945" s="2" t="str">
        <f>"66250"</f>
        <v>66250</v>
      </c>
      <c r="C3945" s="1">
        <v>0</v>
      </c>
      <c r="D3945" s="1">
        <v>1.15241892732846E-5</v>
      </c>
      <c r="E3945" s="1">
        <v>5.2126772310258499E-5</v>
      </c>
      <c r="F3945" s="1">
        <v>2.67402558507679E-6</v>
      </c>
    </row>
    <row r="3946" spans="1:6" x14ac:dyDescent="0.25">
      <c r="A3946" s="2" t="str">
        <f t="shared" si="138"/>
        <v>28140</v>
      </c>
      <c r="B3946" s="2" t="str">
        <f>"66220"</f>
        <v>66220</v>
      </c>
      <c r="C3946" s="1">
        <v>3.0468657513027099E-3</v>
      </c>
      <c r="D3946" s="1">
        <v>7.1449973494364604E-4</v>
      </c>
      <c r="E3946" s="1">
        <v>5.4733110925771395E-4</v>
      </c>
      <c r="F3946" s="1">
        <v>2.7809866084798599E-3</v>
      </c>
    </row>
    <row r="3947" spans="1:6" x14ac:dyDescent="0.25">
      <c r="A3947" s="2" t="str">
        <f t="shared" si="138"/>
        <v>28140</v>
      </c>
      <c r="B3947" s="2" t="str">
        <f>"66224"</f>
        <v>66224</v>
      </c>
      <c r="C3947" s="1">
        <v>5.0503530431537302E-3</v>
      </c>
      <c r="D3947" s="1">
        <v>3.20372461797312E-3</v>
      </c>
      <c r="E3947" s="1">
        <v>2.5802752293577901E-3</v>
      </c>
      <c r="F3947" s="1">
        <v>4.8230508136168498E-3</v>
      </c>
    </row>
    <row r="3948" spans="1:6" x14ac:dyDescent="0.25">
      <c r="A3948" s="2" t="str">
        <f t="shared" si="138"/>
        <v>28140</v>
      </c>
      <c r="B3948" s="2" t="str">
        <f>"66206"</f>
        <v>66206</v>
      </c>
      <c r="C3948" s="1">
        <v>4.7393460023556202E-3</v>
      </c>
      <c r="D3948" s="1">
        <v>4.45986124876114E-3</v>
      </c>
      <c r="E3948" s="1">
        <v>1.0946622185154201E-3</v>
      </c>
      <c r="F3948" s="1">
        <v>4.5930846133002403E-3</v>
      </c>
    </row>
    <row r="3949" spans="1:6" x14ac:dyDescent="0.25">
      <c r="A3949" s="2" t="str">
        <f t="shared" si="138"/>
        <v>28140</v>
      </c>
      <c r="B3949" s="2" t="str">
        <f>"66205"</f>
        <v>66205</v>
      </c>
      <c r="C3949" s="1">
        <v>6.4097547859970497E-3</v>
      </c>
      <c r="D3949" s="1">
        <v>5.5316108511766103E-3</v>
      </c>
      <c r="E3949" s="1">
        <v>1.8505004170141701E-3</v>
      </c>
      <c r="F3949" s="1">
        <v>6.18591252014432E-3</v>
      </c>
    </row>
    <row r="3950" spans="1:6" x14ac:dyDescent="0.25">
      <c r="A3950" s="2" t="str">
        <f t="shared" si="138"/>
        <v>28140</v>
      </c>
      <c r="B3950" s="2" t="str">
        <f>"66204"</f>
        <v>66204</v>
      </c>
      <c r="C3950" s="1">
        <v>1.0118764559644101E-2</v>
      </c>
      <c r="D3950" s="1">
        <v>1.1685527923110599E-2</v>
      </c>
      <c r="E3950" s="1">
        <v>1.41524186822351E-2</v>
      </c>
      <c r="F3950" s="1">
        <v>1.0377893295683E-2</v>
      </c>
    </row>
    <row r="3951" spans="1:6" x14ac:dyDescent="0.25">
      <c r="A3951" s="2" t="str">
        <f t="shared" si="138"/>
        <v>28140</v>
      </c>
      <c r="B3951" s="2" t="str">
        <f>"66043"</f>
        <v>66043</v>
      </c>
      <c r="C3951" s="1">
        <v>3.5183925550933901E-3</v>
      </c>
      <c r="D3951" s="1">
        <v>2.5468458293958999E-3</v>
      </c>
      <c r="E3951" s="1">
        <v>2.2935779816513702E-3</v>
      </c>
      <c r="F3951" s="1">
        <v>3.40136054421768E-3</v>
      </c>
    </row>
    <row r="3952" spans="1:6" x14ac:dyDescent="0.25">
      <c r="A3952" s="2" t="str">
        <f t="shared" si="138"/>
        <v>28140</v>
      </c>
      <c r="B3952" s="2" t="str">
        <f>"66103"</f>
        <v>66103</v>
      </c>
      <c r="C3952" s="1">
        <v>7.7390590732792702E-3</v>
      </c>
      <c r="D3952" s="1">
        <v>7.20261829580289E-3</v>
      </c>
      <c r="E3952" s="1">
        <v>1.13636363636363E-2</v>
      </c>
      <c r="F3952" s="1">
        <v>7.82152483634963E-3</v>
      </c>
    </row>
    <row r="3953" spans="1:6" x14ac:dyDescent="0.25">
      <c r="A3953" s="2" t="str">
        <f t="shared" si="138"/>
        <v>28140</v>
      </c>
      <c r="B3953" s="2" t="str">
        <f>"66086"</f>
        <v>66086</v>
      </c>
      <c r="C3953" s="1">
        <v>4.2367184944851399E-3</v>
      </c>
      <c r="D3953" s="1">
        <v>2.0397815013713698E-3</v>
      </c>
      <c r="E3953" s="1">
        <v>1.3031693077564599E-3</v>
      </c>
      <c r="F3953" s="1">
        <v>3.9664712845305797E-3</v>
      </c>
    </row>
    <row r="3954" spans="1:6" x14ac:dyDescent="0.25">
      <c r="A3954" s="2" t="str">
        <f t="shared" si="138"/>
        <v>28140</v>
      </c>
      <c r="B3954" s="2" t="str">
        <f>"66048"</f>
        <v>66048</v>
      </c>
      <c r="C3954" s="1">
        <v>1.5367760809501099E-2</v>
      </c>
      <c r="D3954" s="1">
        <v>1.2134971304768699E-2</v>
      </c>
      <c r="E3954" s="1">
        <v>1.25625521267723E-2</v>
      </c>
      <c r="F3954" s="1">
        <v>1.5021784395099699E-2</v>
      </c>
    </row>
    <row r="3955" spans="1:6" x14ac:dyDescent="0.25">
      <c r="A3955" s="2" t="str">
        <f t="shared" si="138"/>
        <v>28140</v>
      </c>
      <c r="B3955" s="2" t="str">
        <f>"64999"</f>
        <v>64999</v>
      </c>
      <c r="C3955" s="1">
        <v>0</v>
      </c>
      <c r="D3955" s="1">
        <v>0</v>
      </c>
      <c r="E3955" s="1">
        <v>5.2126772310258499E-5</v>
      </c>
      <c r="F3955" s="1">
        <v>1.7826837233845299E-6</v>
      </c>
    </row>
    <row r="3956" spans="1:6" x14ac:dyDescent="0.25">
      <c r="A3956" s="2" t="str">
        <f t="shared" si="138"/>
        <v>28140</v>
      </c>
      <c r="B3956" s="2" t="str">
        <f>"64752"</f>
        <v>64752</v>
      </c>
      <c r="C3956" s="1">
        <v>2.7789983968088598E-4</v>
      </c>
      <c r="D3956" s="1">
        <v>2.30483785465692E-5</v>
      </c>
      <c r="E3956" s="1">
        <v>2.6063386155129199E-5</v>
      </c>
      <c r="F3956" s="1">
        <v>2.4957572127383399E-4</v>
      </c>
    </row>
    <row r="3957" spans="1:6" x14ac:dyDescent="0.25">
      <c r="A3957" s="2" t="str">
        <f t="shared" si="138"/>
        <v>28140</v>
      </c>
      <c r="B3957" s="2" t="str">
        <f>"64743"</f>
        <v>64743</v>
      </c>
      <c r="C3957" s="1">
        <v>0</v>
      </c>
      <c r="D3957" s="1">
        <v>0</v>
      </c>
      <c r="E3957" s="1">
        <v>2.6063386155129199E-5</v>
      </c>
      <c r="F3957" s="1">
        <v>8.9134186169226601E-7</v>
      </c>
    </row>
    <row r="3958" spans="1:6" x14ac:dyDescent="0.25">
      <c r="A3958" s="2" t="str">
        <f t="shared" si="138"/>
        <v>28140</v>
      </c>
      <c r="B3958" s="2" t="str">
        <f>"64724"</f>
        <v>64724</v>
      </c>
      <c r="C3958" s="1">
        <v>9.6311857795541893E-5</v>
      </c>
      <c r="D3958" s="1">
        <v>5.76209463664231E-5</v>
      </c>
      <c r="E3958" s="1">
        <v>0</v>
      </c>
      <c r="F3958" s="1">
        <v>9.00255280309188E-5</v>
      </c>
    </row>
    <row r="3959" spans="1:6" x14ac:dyDescent="0.25">
      <c r="A3959" s="2" t="str">
        <f t="shared" si="138"/>
        <v>28140</v>
      </c>
      <c r="B3959" s="2" t="str">
        <f>"64668"</f>
        <v>64668</v>
      </c>
      <c r="C3959" s="1">
        <v>1.11360585576095E-4</v>
      </c>
      <c r="D3959" s="1">
        <v>2.30483785465692E-5</v>
      </c>
      <c r="E3959" s="1">
        <v>0</v>
      </c>
      <c r="F3959" s="1">
        <v>1.00721630371226E-4</v>
      </c>
    </row>
    <row r="3960" spans="1:6" x14ac:dyDescent="0.25">
      <c r="A3960" s="2" t="str">
        <f t="shared" si="138"/>
        <v>28140</v>
      </c>
      <c r="B3960" s="2" t="str">
        <f>"64145"</f>
        <v>64145</v>
      </c>
      <c r="C3960" s="1">
        <v>2.5422317463948199E-3</v>
      </c>
      <c r="D3960" s="1">
        <v>3.1115311037868401E-3</v>
      </c>
      <c r="E3960" s="1">
        <v>7.5583819849874803E-4</v>
      </c>
      <c r="F3960" s="1">
        <v>2.52517149417418E-3</v>
      </c>
    </row>
    <row r="3961" spans="1:6" x14ac:dyDescent="0.25">
      <c r="A3961" s="2" t="str">
        <f t="shared" si="138"/>
        <v>28140</v>
      </c>
      <c r="B3961" s="2" t="str">
        <f>"64650"</f>
        <v>64650</v>
      </c>
      <c r="C3961" s="1">
        <v>3.20036277466436E-4</v>
      </c>
      <c r="D3961" s="1">
        <v>1.9591121764583801E-4</v>
      </c>
      <c r="E3961" s="1">
        <v>5.2126772310258499E-5</v>
      </c>
      <c r="F3961" s="1">
        <v>3.01273549251985E-4</v>
      </c>
    </row>
    <row r="3962" spans="1:6" x14ac:dyDescent="0.25">
      <c r="A3962" s="2" t="str">
        <f t="shared" si="138"/>
        <v>28140</v>
      </c>
      <c r="B3962" s="2" t="str">
        <f>"64637"</f>
        <v>64637</v>
      </c>
      <c r="C3962" s="1">
        <v>3.3006876265347101E-4</v>
      </c>
      <c r="D3962" s="1">
        <v>2.30483785465692E-4</v>
      </c>
      <c r="E3962" s="1">
        <v>5.2126772310258499E-5</v>
      </c>
      <c r="F3962" s="1">
        <v>3.1286099345398502E-4</v>
      </c>
    </row>
    <row r="3963" spans="1:6" x14ac:dyDescent="0.25">
      <c r="A3963" s="2" t="str">
        <f t="shared" si="138"/>
        <v>28140</v>
      </c>
      <c r="B3963" s="2" t="str">
        <f>"64490"</f>
        <v>64490</v>
      </c>
      <c r="C3963" s="1">
        <v>2.7489009412477603E-4</v>
      </c>
      <c r="D3963" s="1">
        <v>2.30483785465692E-5</v>
      </c>
      <c r="E3963" s="1">
        <v>0</v>
      </c>
      <c r="F3963" s="1">
        <v>2.4601035382706499E-4</v>
      </c>
    </row>
    <row r="3964" spans="1:6" x14ac:dyDescent="0.25">
      <c r="A3964" s="2" t="str">
        <f t="shared" si="138"/>
        <v>28140</v>
      </c>
      <c r="B3964" s="2" t="str">
        <f>"64165"</f>
        <v>64165</v>
      </c>
      <c r="C3964" s="1">
        <v>9.1295615202024102E-5</v>
      </c>
      <c r="D3964" s="1">
        <v>1.03717703459561E-4</v>
      </c>
      <c r="E3964" s="1">
        <v>7.8190158465387807E-5</v>
      </c>
      <c r="F3964" s="1">
        <v>9.18082117543033E-5</v>
      </c>
    </row>
    <row r="3965" spans="1:6" x14ac:dyDescent="0.25">
      <c r="A3965" s="2" t="str">
        <f t="shared" si="138"/>
        <v>28140</v>
      </c>
      <c r="B3965" s="2" t="str">
        <f>"64162"</f>
        <v>64162</v>
      </c>
      <c r="C3965" s="1">
        <v>0</v>
      </c>
      <c r="D3965" s="1">
        <v>1.15241892732846E-5</v>
      </c>
      <c r="E3965" s="1">
        <v>0</v>
      </c>
      <c r="F3965" s="1">
        <v>8.9134186169226601E-7</v>
      </c>
    </row>
    <row r="3966" spans="1:6" x14ac:dyDescent="0.25">
      <c r="A3966" s="2" t="str">
        <f t="shared" si="138"/>
        <v>28140</v>
      </c>
      <c r="B3966" s="2" t="str">
        <f>"64158"</f>
        <v>64158</v>
      </c>
      <c r="C3966" s="1">
        <v>2.9645993727690201E-3</v>
      </c>
      <c r="D3966" s="1">
        <v>1.4981446055269999E-3</v>
      </c>
      <c r="E3966" s="1">
        <v>5.0562969140950697E-3</v>
      </c>
      <c r="F3966" s="1">
        <v>2.92270996448894E-3</v>
      </c>
    </row>
    <row r="3967" spans="1:6" x14ac:dyDescent="0.25">
      <c r="A3967" s="2" t="str">
        <f t="shared" si="138"/>
        <v>28140</v>
      </c>
      <c r="B3967" s="2" t="str">
        <f>"64050"</f>
        <v>64050</v>
      </c>
      <c r="C3967" s="1">
        <v>1.0637444043813799E-2</v>
      </c>
      <c r="D3967" s="1">
        <v>1.0325673588863001E-2</v>
      </c>
      <c r="E3967" s="1">
        <v>1.5559841534612101E-2</v>
      </c>
      <c r="F3967" s="1">
        <v>1.07816711590296E-2</v>
      </c>
    </row>
    <row r="3968" spans="1:6" x14ac:dyDescent="0.25">
      <c r="A3968" s="2" t="str">
        <f t="shared" si="138"/>
        <v>28140</v>
      </c>
      <c r="B3968" s="2" t="str">
        <f>"64028"</f>
        <v>64028</v>
      </c>
      <c r="C3968" s="1">
        <v>1.13367082613502E-4</v>
      </c>
      <c r="D3968" s="1">
        <v>0</v>
      </c>
      <c r="E3968" s="1">
        <v>2.6063386155129199E-5</v>
      </c>
      <c r="F3968" s="1">
        <v>1.01612972232918E-4</v>
      </c>
    </row>
    <row r="3969" spans="1:6" x14ac:dyDescent="0.25">
      <c r="A3969" s="2" t="str">
        <f t="shared" si="138"/>
        <v>28140</v>
      </c>
      <c r="B3969" s="2" t="str">
        <f>"64021"</f>
        <v>64021</v>
      </c>
      <c r="C3969" s="1">
        <v>3.2204277450384298E-4</v>
      </c>
      <c r="D3969" s="1">
        <v>4.6096757093138399E-5</v>
      </c>
      <c r="E3969" s="1">
        <v>5.2126772310258499E-5</v>
      </c>
      <c r="F3969" s="1">
        <v>2.9146878877336999E-4</v>
      </c>
    </row>
    <row r="3970" spans="1:6" x14ac:dyDescent="0.25">
      <c r="A3970" s="2" t="str">
        <f t="shared" si="138"/>
        <v>28140</v>
      </c>
      <c r="B3970" s="2" t="str">
        <f>"64018"</f>
        <v>64018</v>
      </c>
      <c r="C3970" s="1">
        <v>3.7421169747642801E-4</v>
      </c>
      <c r="D3970" s="1">
        <v>1.61338649825984E-4</v>
      </c>
      <c r="E3970" s="1">
        <v>2.6063386155129199E-5</v>
      </c>
      <c r="F3970" s="1">
        <v>3.4584064233659899E-4</v>
      </c>
    </row>
    <row r="3971" spans="1:6" x14ac:dyDescent="0.25">
      <c r="A3971" s="2" t="str">
        <f t="shared" si="138"/>
        <v>28140</v>
      </c>
      <c r="B3971" s="2" t="str">
        <f>"64017"</f>
        <v>64017</v>
      </c>
      <c r="C3971" s="1">
        <v>2.1469518300256199E-4</v>
      </c>
      <c r="D3971" s="1">
        <v>3.4572567819853799E-5</v>
      </c>
      <c r="E3971" s="1">
        <v>2.6063386155129199E-5</v>
      </c>
      <c r="F3971" s="1">
        <v>1.94312525848913E-4</v>
      </c>
    </row>
    <row r="3972" spans="1:6" x14ac:dyDescent="0.25">
      <c r="A3972" s="2" t="str">
        <f t="shared" si="138"/>
        <v>28140</v>
      </c>
      <c r="B3972" s="2" t="str">
        <f>"64097"</f>
        <v>64097</v>
      </c>
      <c r="C3972" s="1">
        <v>3.20036277466436E-4</v>
      </c>
      <c r="D3972" s="1">
        <v>4.6096757093138399E-5</v>
      </c>
      <c r="E3972" s="1">
        <v>7.8190158465387807E-5</v>
      </c>
      <c r="F3972" s="1">
        <v>2.90577446911678E-4</v>
      </c>
    </row>
    <row r="3973" spans="1:6" x14ac:dyDescent="0.25">
      <c r="A3973" s="2" t="str">
        <f t="shared" si="138"/>
        <v>28140</v>
      </c>
      <c r="B3973" s="2" t="str">
        <f>"64076"</f>
        <v>64076</v>
      </c>
      <c r="C3973" s="1">
        <v>4.1404066366895996E-3</v>
      </c>
      <c r="D3973" s="1">
        <v>3.86060340655034E-3</v>
      </c>
      <c r="E3973" s="1">
        <v>4.8217264386989098E-3</v>
      </c>
      <c r="F3973" s="1">
        <v>4.1420656312839603E-3</v>
      </c>
    </row>
    <row r="3974" spans="1:6" x14ac:dyDescent="0.25">
      <c r="A3974" s="2" t="str">
        <f t="shared" si="138"/>
        <v>28140</v>
      </c>
      <c r="B3974" s="2" t="str">
        <f>"64083"</f>
        <v>64083</v>
      </c>
      <c r="C3974" s="1">
        <v>1.04538495648911E-2</v>
      </c>
      <c r="D3974" s="1">
        <v>4.3446193560282998E-3</v>
      </c>
      <c r="E3974" s="1">
        <v>2.97122602168473E-3</v>
      </c>
      <c r="F3974" s="1">
        <v>9.7254310529243104E-3</v>
      </c>
    </row>
    <row r="3975" spans="1:6" x14ac:dyDescent="0.25">
      <c r="A3975" s="2" t="str">
        <f t="shared" si="138"/>
        <v>28140</v>
      </c>
      <c r="B3975" s="2" t="str">
        <f>"64012"</f>
        <v>64012</v>
      </c>
      <c r="C3975" s="1">
        <v>1.33863449850616E-2</v>
      </c>
      <c r="D3975" s="1">
        <v>1.2376979279507601E-2</v>
      </c>
      <c r="E3975" s="1">
        <v>6.2812760633861502E-3</v>
      </c>
      <c r="F3975" s="1">
        <v>1.3065289008685199E-2</v>
      </c>
    </row>
    <row r="3976" spans="1:6" x14ac:dyDescent="0.25">
      <c r="A3976" s="2" t="str">
        <f t="shared" si="138"/>
        <v>28140</v>
      </c>
      <c r="B3976" s="2" t="str">
        <f>"64001"</f>
        <v>64001</v>
      </c>
      <c r="C3976" s="1">
        <v>2.4479263856366898E-4</v>
      </c>
      <c r="D3976" s="1">
        <v>4.6096757093138399E-5</v>
      </c>
      <c r="E3976" s="1">
        <v>5.2126772310258499E-5</v>
      </c>
      <c r="F3976" s="1">
        <v>2.22835465423066E-4</v>
      </c>
    </row>
    <row r="3977" spans="1:6" x14ac:dyDescent="0.25">
      <c r="A3977" s="2" t="str">
        <f t="shared" si="138"/>
        <v>28140</v>
      </c>
      <c r="B3977" s="2" t="str">
        <f>"64060"</f>
        <v>64060</v>
      </c>
      <c r="C3977" s="1">
        <v>7.16219117502473E-3</v>
      </c>
      <c r="D3977" s="1">
        <v>7.7788277594671197E-3</v>
      </c>
      <c r="E3977" s="1">
        <v>2.1371976647206001E-3</v>
      </c>
      <c r="F3977" s="1">
        <v>7.0380353399221302E-3</v>
      </c>
    </row>
    <row r="3978" spans="1:6" x14ac:dyDescent="0.25">
      <c r="A3978" s="2" t="str">
        <f t="shared" si="138"/>
        <v>28140</v>
      </c>
      <c r="B3978" s="2" t="str">
        <f>"66227"</f>
        <v>66227</v>
      </c>
      <c r="C3978" s="1">
        <v>3.6748993240111401E-3</v>
      </c>
      <c r="D3978" s="1">
        <v>2.68513610067531E-3</v>
      </c>
      <c r="E3978" s="1">
        <v>1.4074228523769799E-3</v>
      </c>
      <c r="F3978" s="1">
        <v>3.5208003536844499E-3</v>
      </c>
    </row>
    <row r="3979" spans="1:6" x14ac:dyDescent="0.25">
      <c r="A3979" s="2" t="str">
        <f t="shared" si="138"/>
        <v>28140</v>
      </c>
      <c r="B3979" s="2" t="str">
        <f>"66213"</f>
        <v>66213</v>
      </c>
      <c r="C3979" s="1">
        <v>1.3138542600941799E-2</v>
      </c>
      <c r="D3979" s="1">
        <v>1.00606172355774E-2</v>
      </c>
      <c r="E3979" s="1">
        <v>1.5403461217681399E-2</v>
      </c>
      <c r="F3979" s="1">
        <v>1.2977937506239301E-2</v>
      </c>
    </row>
    <row r="3980" spans="1:6" x14ac:dyDescent="0.25">
      <c r="A3980" s="2" t="str">
        <f t="shared" si="138"/>
        <v>28140</v>
      </c>
      <c r="B3980" s="2" t="str">
        <f>"66212"</f>
        <v>66212</v>
      </c>
      <c r="C3980" s="1">
        <v>1.5298536661710599E-2</v>
      </c>
      <c r="D3980" s="1">
        <v>1.4820107405444E-2</v>
      </c>
      <c r="E3980" s="1">
        <v>2.15283569641367E-2</v>
      </c>
      <c r="F3980" s="1">
        <v>1.54745860608394E-2</v>
      </c>
    </row>
    <row r="3981" spans="1:6" x14ac:dyDescent="0.25">
      <c r="A3981" s="2" t="str">
        <f t="shared" ref="A3981:A4049" si="139">"28140"</f>
        <v>28140</v>
      </c>
      <c r="B3981" s="2" t="str">
        <f>"66201"</f>
        <v>66201</v>
      </c>
      <c r="C3981" s="1">
        <v>1.18784624614501E-3</v>
      </c>
      <c r="D3981" s="1">
        <v>4.5866273307672801E-3</v>
      </c>
      <c r="E3981" s="1">
        <v>5.2126772310258499E-5</v>
      </c>
      <c r="F3981" s="1">
        <v>1.4118855089205399E-3</v>
      </c>
    </row>
    <row r="3982" spans="1:6" x14ac:dyDescent="0.25">
      <c r="A3982" s="2" t="str">
        <f t="shared" si="139"/>
        <v>28140</v>
      </c>
      <c r="B3982" s="2" t="str">
        <f>"66031"</f>
        <v>66031</v>
      </c>
      <c r="C3982" s="1">
        <v>0</v>
      </c>
      <c r="D3982" s="1">
        <v>8.5279000622306197E-4</v>
      </c>
      <c r="E3982" s="1">
        <v>1.8244370308590399E-4</v>
      </c>
      <c r="F3982" s="1">
        <v>7.2198690797073504E-5</v>
      </c>
    </row>
    <row r="3983" spans="1:6" x14ac:dyDescent="0.25">
      <c r="A3983" s="2" t="str">
        <f t="shared" si="139"/>
        <v>28140</v>
      </c>
      <c r="B3983" s="2" t="str">
        <f>"66040"</f>
        <v>66040</v>
      </c>
      <c r="C3983" s="1">
        <v>2.6636248171579501E-3</v>
      </c>
      <c r="D3983" s="1">
        <v>9.33459331136054E-4</v>
      </c>
      <c r="E3983" s="1">
        <v>8.3402835696413599E-4</v>
      </c>
      <c r="F3983" s="1">
        <v>2.4672342731641901E-3</v>
      </c>
    </row>
    <row r="3984" spans="1:6" x14ac:dyDescent="0.25">
      <c r="A3984" s="2" t="str">
        <f t="shared" si="139"/>
        <v>28140</v>
      </c>
      <c r="B3984" s="2" t="str">
        <f>"66010"</f>
        <v>66010</v>
      </c>
      <c r="C3984" s="1">
        <v>2.4780238411977899E-4</v>
      </c>
      <c r="D3984" s="1">
        <v>5.76209463664231E-5</v>
      </c>
      <c r="E3984" s="1">
        <v>5.2126772310258499E-5</v>
      </c>
      <c r="F3984" s="1">
        <v>2.26400832869835E-4</v>
      </c>
    </row>
    <row r="3985" spans="1:6" x14ac:dyDescent="0.25">
      <c r="A3985" s="2" t="str">
        <f t="shared" si="139"/>
        <v>28140</v>
      </c>
      <c r="B3985" s="2" t="str">
        <f>"66002"</f>
        <v>66002</v>
      </c>
      <c r="C3985" s="1">
        <v>2.5081212967589001E-5</v>
      </c>
      <c r="D3985" s="1">
        <v>0</v>
      </c>
      <c r="E3985" s="1">
        <v>0</v>
      </c>
      <c r="F3985" s="1">
        <v>2.22835465423066E-5</v>
      </c>
    </row>
    <row r="3986" spans="1:6" x14ac:dyDescent="0.25">
      <c r="A3986" s="2" t="str">
        <f t="shared" si="139"/>
        <v>28140</v>
      </c>
      <c r="B3986" s="2" t="str">
        <f>"66101"</f>
        <v>66101</v>
      </c>
      <c r="C3986" s="1">
        <v>5.9412377277624903E-3</v>
      </c>
      <c r="D3986" s="1">
        <v>9.1386820937146996E-3</v>
      </c>
      <c r="E3986" s="1">
        <v>5.2648040033361097E-3</v>
      </c>
      <c r="F3986" s="1">
        <v>6.1654116573253998E-3</v>
      </c>
    </row>
    <row r="3987" spans="1:6" x14ac:dyDescent="0.25">
      <c r="A3987" s="2" t="str">
        <f t="shared" si="139"/>
        <v>28140</v>
      </c>
      <c r="B3987" s="2" t="str">
        <f>"66092"</f>
        <v>66092</v>
      </c>
      <c r="C3987" s="1">
        <v>1.73561993735716E-4</v>
      </c>
      <c r="D3987" s="1">
        <v>1.15241892732846E-5</v>
      </c>
      <c r="E3987" s="1">
        <v>0</v>
      </c>
      <c r="F3987" s="1">
        <v>1.5509348393445401E-4</v>
      </c>
    </row>
    <row r="3988" spans="1:6" x14ac:dyDescent="0.25">
      <c r="A3988" s="2" t="str">
        <f t="shared" si="139"/>
        <v>28140</v>
      </c>
      <c r="B3988" s="2" t="str">
        <f>"65321"</f>
        <v>65321</v>
      </c>
      <c r="C3988" s="1">
        <v>2.4077964448885399E-5</v>
      </c>
      <c r="D3988" s="1">
        <v>0</v>
      </c>
      <c r="E3988" s="1">
        <v>0</v>
      </c>
      <c r="F3988" s="1">
        <v>2.13922046806143E-5</v>
      </c>
    </row>
    <row r="3989" spans="1:6" x14ac:dyDescent="0.25">
      <c r="A3989" s="2" t="str">
        <f t="shared" si="139"/>
        <v>28140</v>
      </c>
      <c r="B3989" s="2" t="str">
        <f>"64154"</f>
        <v>64154</v>
      </c>
      <c r="C3989" s="1">
        <v>6.0194911122213703E-3</v>
      </c>
      <c r="D3989" s="1">
        <v>3.4572567819853798E-3</v>
      </c>
      <c r="E3989" s="1">
        <v>2.4629899916597101E-2</v>
      </c>
      <c r="F3989" s="1">
        <v>6.4577717879604601E-3</v>
      </c>
    </row>
    <row r="3990" spans="1:6" x14ac:dyDescent="0.25">
      <c r="A3990" s="2" t="str">
        <f t="shared" si="139"/>
        <v>28140</v>
      </c>
      <c r="B3990" s="2" t="str">
        <f>"64148"</f>
        <v>64148</v>
      </c>
      <c r="C3990" s="1">
        <v>2.2783773859757798E-3</v>
      </c>
      <c r="D3990" s="1">
        <v>3.0193375896005702E-3</v>
      </c>
      <c r="E3990" s="1">
        <v>5.2126772310258499E-5</v>
      </c>
      <c r="F3990" s="1">
        <v>2.2595516193898899E-3</v>
      </c>
    </row>
    <row r="3991" spans="1:6" x14ac:dyDescent="0.25">
      <c r="A3991" s="2" t="str">
        <f t="shared" si="139"/>
        <v>28140</v>
      </c>
      <c r="B3991" s="2" t="str">
        <f>"64146"</f>
        <v>64146</v>
      </c>
      <c r="C3991" s="1">
        <v>7.4340715235933898E-4</v>
      </c>
      <c r="D3991" s="1">
        <v>3.4572567819853799E-5</v>
      </c>
      <c r="E3991" s="1">
        <v>1.8244370308590399E-4</v>
      </c>
      <c r="F3991" s="1">
        <v>6.6939773813089101E-4</v>
      </c>
    </row>
    <row r="3992" spans="1:6" x14ac:dyDescent="0.25">
      <c r="A3992" s="2" t="str">
        <f t="shared" si="139"/>
        <v>28140</v>
      </c>
      <c r="B3992" s="2" t="str">
        <f>"64141"</f>
        <v>64141</v>
      </c>
      <c r="C3992" s="1">
        <v>1.9172079192425E-3</v>
      </c>
      <c r="D3992" s="1">
        <v>7.3063359992624503E-3</v>
      </c>
      <c r="E3992" s="1">
        <v>5.2126772310258499E-5</v>
      </c>
      <c r="F3992" s="1">
        <v>2.2702477217301999E-3</v>
      </c>
    </row>
    <row r="3993" spans="1:6" x14ac:dyDescent="0.25">
      <c r="A3993" s="2" t="str">
        <f t="shared" si="139"/>
        <v>28140</v>
      </c>
      <c r="B3993" s="2" t="str">
        <f>"64649"</f>
        <v>64649</v>
      </c>
      <c r="C3993" s="1">
        <v>2.8793232486792203E-4</v>
      </c>
      <c r="D3993" s="1">
        <v>1.2676608200612999E-4</v>
      </c>
      <c r="E3993" s="1">
        <v>2.08507089241034E-4</v>
      </c>
      <c r="F3993" s="1">
        <v>2.72750609677833E-4</v>
      </c>
    </row>
    <row r="3994" spans="1:6" x14ac:dyDescent="0.25">
      <c r="A3994" s="2" t="str">
        <f t="shared" si="139"/>
        <v>28140</v>
      </c>
      <c r="B3994" s="2" t="str">
        <f>"64625"</f>
        <v>64625</v>
      </c>
      <c r="C3994" s="1">
        <v>3.1000379227940001E-4</v>
      </c>
      <c r="D3994" s="1">
        <v>2.4200797473897701E-4</v>
      </c>
      <c r="E3994" s="1">
        <v>2.34570475396163E-4</v>
      </c>
      <c r="F3994" s="1">
        <v>3.0216489111367802E-4</v>
      </c>
    </row>
    <row r="3995" spans="1:6" x14ac:dyDescent="0.25">
      <c r="A3995" s="2" t="str">
        <f t="shared" si="139"/>
        <v>28140</v>
      </c>
      <c r="B3995" s="2" t="str">
        <f>"64493"</f>
        <v>64493</v>
      </c>
      <c r="C3995" s="1">
        <v>2.4579588708237201E-4</v>
      </c>
      <c r="D3995" s="1">
        <v>1.15241892732846E-5</v>
      </c>
      <c r="E3995" s="1">
        <v>2.6063386155129199E-5</v>
      </c>
      <c r="F3995" s="1">
        <v>2.20161439837989E-4</v>
      </c>
    </row>
    <row r="3996" spans="1:6" x14ac:dyDescent="0.25">
      <c r="A3996" s="2" t="str">
        <f t="shared" si="139"/>
        <v>28140</v>
      </c>
      <c r="B3996" s="2" t="str">
        <f>"64121"</f>
        <v>64121</v>
      </c>
      <c r="C3996" s="1">
        <v>0</v>
      </c>
      <c r="D3996" s="1">
        <v>1.15241892732846E-5</v>
      </c>
      <c r="E3996" s="1">
        <v>5.2126772310258499E-5</v>
      </c>
      <c r="F3996" s="1">
        <v>2.67402558507679E-6</v>
      </c>
    </row>
    <row r="3997" spans="1:6" x14ac:dyDescent="0.25">
      <c r="A3997" s="2" t="str">
        <f t="shared" si="139"/>
        <v>28140</v>
      </c>
      <c r="B3997" s="2" t="str">
        <f>"64199"</f>
        <v>64199</v>
      </c>
      <c r="C3997" s="1">
        <v>0</v>
      </c>
      <c r="D3997" s="1">
        <v>1.15241892732846E-5</v>
      </c>
      <c r="E3997" s="1">
        <v>0</v>
      </c>
      <c r="F3997" s="1">
        <v>8.9134186169226601E-7</v>
      </c>
    </row>
    <row r="3998" spans="1:6" x14ac:dyDescent="0.25">
      <c r="A3998" s="2" t="str">
        <f t="shared" si="139"/>
        <v>28140</v>
      </c>
      <c r="B3998" s="2" t="str">
        <f>"64440"</f>
        <v>64440</v>
      </c>
      <c r="C3998" s="1">
        <v>1.4045479261849801E-5</v>
      </c>
      <c r="D3998" s="1">
        <v>0</v>
      </c>
      <c r="E3998" s="1">
        <v>0</v>
      </c>
      <c r="F3998" s="1">
        <v>1.24787860636917E-5</v>
      </c>
    </row>
    <row r="3999" spans="1:6" x14ac:dyDescent="0.25">
      <c r="A3999" s="2" t="str">
        <f t="shared" si="139"/>
        <v>28140</v>
      </c>
      <c r="B3999" s="2" t="str">
        <f>"64171"</f>
        <v>64171</v>
      </c>
      <c r="C3999" s="1">
        <v>1.22697293837445E-3</v>
      </c>
      <c r="D3999" s="1">
        <v>3.1000069145135601E-3</v>
      </c>
      <c r="E3999" s="1">
        <v>5.2126772310258499E-5</v>
      </c>
      <c r="F3999" s="1">
        <v>1.33166474136824E-3</v>
      </c>
    </row>
    <row r="4000" spans="1:6" x14ac:dyDescent="0.25">
      <c r="A4000" s="2" t="str">
        <f t="shared" si="139"/>
        <v>28140</v>
      </c>
      <c r="B4000" s="2" t="str">
        <f>"64161"</f>
        <v>64161</v>
      </c>
      <c r="C4000" s="1">
        <v>1.84597727441455E-4</v>
      </c>
      <c r="D4000" s="1">
        <v>2.5583700186691798E-3</v>
      </c>
      <c r="E4000" s="1">
        <v>8.6009174311926599E-4</v>
      </c>
      <c r="F4000" s="1">
        <v>3.9129907728290399E-4</v>
      </c>
    </row>
    <row r="4001" spans="1:6" x14ac:dyDescent="0.25">
      <c r="A4001" s="2" t="str">
        <f t="shared" si="139"/>
        <v>28140</v>
      </c>
      <c r="B4001" s="2" t="str">
        <f>"64051"</f>
        <v>64051</v>
      </c>
      <c r="C4001" s="1">
        <v>5.2469897528196205E-4</v>
      </c>
      <c r="D4001" s="1">
        <v>2.5007490723027602E-3</v>
      </c>
      <c r="E4001" s="1">
        <v>2.6063386155129199E-5</v>
      </c>
      <c r="F4001" s="1">
        <v>6.6048431951396902E-4</v>
      </c>
    </row>
    <row r="4002" spans="1:6" x14ac:dyDescent="0.25">
      <c r="A4002" s="2" t="str">
        <f t="shared" si="139"/>
        <v>28140</v>
      </c>
      <c r="B4002" s="2" t="str">
        <f>"64037"</f>
        <v>64037</v>
      </c>
      <c r="C4002" s="1">
        <v>2.9174466923899498E-3</v>
      </c>
      <c r="D4002" s="1">
        <v>3.42268421416553E-3</v>
      </c>
      <c r="E4002" s="1">
        <v>2.3978315262718898E-3</v>
      </c>
      <c r="F4002" s="1">
        <v>2.9387541179994002E-3</v>
      </c>
    </row>
    <row r="4003" spans="1:6" x14ac:dyDescent="0.25">
      <c r="A4003" s="2" t="str">
        <f t="shared" si="139"/>
        <v>28140</v>
      </c>
      <c r="B4003" s="2" t="str">
        <f>"64073"</f>
        <v>64073</v>
      </c>
      <c r="C4003" s="1">
        <v>0</v>
      </c>
      <c r="D4003" s="1">
        <v>0</v>
      </c>
      <c r="E4003" s="1">
        <v>2.6063386155129199E-5</v>
      </c>
      <c r="F4003" s="1">
        <v>8.9134186169226601E-7</v>
      </c>
    </row>
    <row r="4004" spans="1:6" x14ac:dyDescent="0.25">
      <c r="A4004" s="2" t="str">
        <f t="shared" si="139"/>
        <v>28140</v>
      </c>
      <c r="B4004" s="2" t="str">
        <f>"64072"</f>
        <v>64072</v>
      </c>
      <c r="C4004" s="1">
        <v>1.1738007668831599E-4</v>
      </c>
      <c r="D4004" s="1">
        <v>1.4981446055269999E-4</v>
      </c>
      <c r="E4004" s="1">
        <v>2.6063386155129199E-5</v>
      </c>
      <c r="F4004" s="1">
        <v>1.16765783881686E-4</v>
      </c>
    </row>
    <row r="4005" spans="1:6" x14ac:dyDescent="0.25">
      <c r="A4005" s="2" t="str">
        <f t="shared" si="139"/>
        <v>28140</v>
      </c>
      <c r="B4005" s="2" t="str">
        <f>"64071"</f>
        <v>64071</v>
      </c>
      <c r="C4005" s="1">
        <v>3.57156472658468E-4</v>
      </c>
      <c r="D4005" s="1">
        <v>1.61338649825984E-4</v>
      </c>
      <c r="E4005" s="1">
        <v>2.6063386155129199E-5</v>
      </c>
      <c r="F4005" s="1">
        <v>3.3068783068783002E-4</v>
      </c>
    </row>
    <row r="4006" spans="1:6" x14ac:dyDescent="0.25">
      <c r="A4006" s="2" t="str">
        <f t="shared" si="139"/>
        <v>28140</v>
      </c>
      <c r="B4006" s="2" t="str">
        <f>"64088"</f>
        <v>64088</v>
      </c>
      <c r="C4006" s="1">
        <v>5.31721714912887E-4</v>
      </c>
      <c r="D4006" s="1">
        <v>1.7286283909926899E-4</v>
      </c>
      <c r="E4006" s="1">
        <v>2.6063386155129199E-5</v>
      </c>
      <c r="F4006" s="1">
        <v>4.8667265648397699E-4</v>
      </c>
    </row>
    <row r="4007" spans="1:6" x14ac:dyDescent="0.25">
      <c r="A4007" s="2" t="str">
        <f t="shared" si="139"/>
        <v>28140</v>
      </c>
      <c r="B4007" s="2" t="str">
        <f>"64011"</f>
        <v>64011</v>
      </c>
      <c r="C4007" s="1">
        <v>1.3864894528483199E-3</v>
      </c>
      <c r="D4007" s="1">
        <v>6.4535459930393797E-4</v>
      </c>
      <c r="E4007" s="1">
        <v>3.9095079232693902E-4</v>
      </c>
      <c r="F4007" s="1">
        <v>1.2951197250388601E-3</v>
      </c>
    </row>
    <row r="4008" spans="1:6" x14ac:dyDescent="0.25">
      <c r="A4008" s="2" t="str">
        <f t="shared" si="139"/>
        <v>28140</v>
      </c>
      <c r="B4008" s="2" t="str">
        <f>"64014"</f>
        <v>64014</v>
      </c>
      <c r="C4008" s="1">
        <v>1.0843109990148E-2</v>
      </c>
      <c r="D4008" s="1">
        <v>9.6572706110125105E-3</v>
      </c>
      <c r="E4008" s="1">
        <v>7.2977481234361898E-3</v>
      </c>
      <c r="F4008" s="1">
        <v>1.06301430425419E-2</v>
      </c>
    </row>
    <row r="4009" spans="1:6" x14ac:dyDescent="0.25">
      <c r="A4009" s="2" t="str">
        <f t="shared" si="139"/>
        <v>28140</v>
      </c>
      <c r="B4009" s="2" t="str">
        <f>"66738"</f>
        <v>66738</v>
      </c>
      <c r="C4009" s="1">
        <v>1.2038982224442699E-5</v>
      </c>
      <c r="D4009" s="1">
        <v>0</v>
      </c>
      <c r="E4009" s="1">
        <v>0</v>
      </c>
      <c r="F4009" s="1">
        <v>1.0696102340307101E-5</v>
      </c>
    </row>
    <row r="4010" spans="1:6" x14ac:dyDescent="0.25">
      <c r="A4010" s="2" t="str">
        <f t="shared" si="139"/>
        <v>28140</v>
      </c>
      <c r="B4010" s="2" t="str">
        <f>"66225"</f>
        <v>66225</v>
      </c>
      <c r="C4010" s="1">
        <v>7.7852085051396405E-4</v>
      </c>
      <c r="D4010" s="1">
        <v>6.1539170719339797E-3</v>
      </c>
      <c r="E4010" s="1">
        <v>5.2126772310258499E-5</v>
      </c>
      <c r="F4010" s="1">
        <v>1.1694405225402501E-3</v>
      </c>
    </row>
    <row r="4011" spans="1:6" x14ac:dyDescent="0.25">
      <c r="A4011" s="2" t="str">
        <f t="shared" si="139"/>
        <v>28140</v>
      </c>
      <c r="B4011" s="2" t="str">
        <f>"66223"</f>
        <v>66223</v>
      </c>
      <c r="C4011" s="1">
        <v>1.031540126931E-2</v>
      </c>
      <c r="D4011" s="1">
        <v>8.85057736188259E-3</v>
      </c>
      <c r="E4011" s="1">
        <v>1.7201834862385301E-2</v>
      </c>
      <c r="F4011" s="1">
        <v>1.0437613200416401E-2</v>
      </c>
    </row>
    <row r="4012" spans="1:6" x14ac:dyDescent="0.25">
      <c r="A4012" s="2" t="str">
        <f t="shared" si="139"/>
        <v>28140</v>
      </c>
      <c r="B4012" s="2" t="str">
        <f>"66221"</f>
        <v>66221</v>
      </c>
      <c r="C4012" s="1">
        <v>8.3289692022769698E-3</v>
      </c>
      <c r="D4012" s="1">
        <v>2.6390393435821698E-3</v>
      </c>
      <c r="E4012" s="1">
        <v>4.7956630525437796E-3</v>
      </c>
      <c r="F4012" s="1">
        <v>7.7680443246480897E-3</v>
      </c>
    </row>
    <row r="4013" spans="1:6" x14ac:dyDescent="0.25">
      <c r="A4013" s="2" t="str">
        <f t="shared" si="139"/>
        <v>28140</v>
      </c>
      <c r="B4013" s="2" t="str">
        <f>"66218"</f>
        <v>66218</v>
      </c>
      <c r="C4013" s="1">
        <v>3.2685836739362001E-3</v>
      </c>
      <c r="D4013" s="1">
        <v>1.53271717334685E-3</v>
      </c>
      <c r="E4013" s="1">
        <v>1.8244370308590399E-4</v>
      </c>
      <c r="F4013" s="1">
        <v>3.0287796460303101E-3</v>
      </c>
    </row>
    <row r="4014" spans="1:6" x14ac:dyDescent="0.25">
      <c r="A4014" s="2" t="str">
        <f t="shared" si="139"/>
        <v>28140</v>
      </c>
      <c r="B4014" s="2" t="str">
        <f>"66210"</f>
        <v>66210</v>
      </c>
      <c r="C4014" s="1">
        <v>9.1426037509455601E-3</v>
      </c>
      <c r="D4014" s="1">
        <v>1.7055800124461201E-2</v>
      </c>
      <c r="E4014" s="1">
        <v>1.27971226021684E-2</v>
      </c>
      <c r="F4014" s="1">
        <v>9.8796331949970694E-3</v>
      </c>
    </row>
    <row r="4015" spans="1:6" x14ac:dyDescent="0.25">
      <c r="A4015" s="2" t="str">
        <f t="shared" si="139"/>
        <v>28140</v>
      </c>
      <c r="B4015" s="2" t="str">
        <f>"66209"</f>
        <v>66209</v>
      </c>
      <c r="C4015" s="1">
        <v>8.6289405093693296E-3</v>
      </c>
      <c r="D4015" s="1">
        <v>5.1743609837047897E-3</v>
      </c>
      <c r="E4015" s="1">
        <v>8.7312343619683E-3</v>
      </c>
      <c r="F4015" s="1">
        <v>8.3652433719819102E-3</v>
      </c>
    </row>
    <row r="4016" spans="1:6" x14ac:dyDescent="0.25">
      <c r="A4016" s="2" t="str">
        <f t="shared" si="139"/>
        <v>28140</v>
      </c>
      <c r="B4016" s="2" t="str">
        <f>"66214"</f>
        <v>66214</v>
      </c>
      <c r="C4016" s="1">
        <v>5.7255392962412199E-3</v>
      </c>
      <c r="D4016" s="1">
        <v>1.40364625348606E-2</v>
      </c>
      <c r="E4016" s="1">
        <v>8.0535863219349402E-3</v>
      </c>
      <c r="F4016" s="1">
        <v>6.4479670274818499E-3</v>
      </c>
    </row>
    <row r="4017" spans="1:6" x14ac:dyDescent="0.25">
      <c r="A4017" s="2" t="str">
        <f t="shared" si="139"/>
        <v>28140</v>
      </c>
      <c r="B4017" s="2" t="str">
        <f>"66207"</f>
        <v>66207</v>
      </c>
      <c r="C4017" s="1">
        <v>6.9976584179573401E-3</v>
      </c>
      <c r="D4017" s="1">
        <v>9.3461175006338305E-3</v>
      </c>
      <c r="E4017" s="1">
        <v>4.5610925771476197E-3</v>
      </c>
      <c r="F4017" s="1">
        <v>7.0959725609321201E-3</v>
      </c>
    </row>
    <row r="4018" spans="1:6" x14ac:dyDescent="0.25">
      <c r="A4018" s="2" t="str">
        <f t="shared" si="139"/>
        <v>28140</v>
      </c>
      <c r="B4018" s="2" t="str">
        <f>"66208"</f>
        <v>66208</v>
      </c>
      <c r="C4018" s="1">
        <v>1.0164913991504401E-2</v>
      </c>
      <c r="D4018" s="1">
        <v>8.5279000622306197E-3</v>
      </c>
      <c r="E4018" s="1">
        <v>2.8409090909090901E-3</v>
      </c>
      <c r="F4018" s="1">
        <v>9.7878249832427707E-3</v>
      </c>
    </row>
    <row r="4019" spans="1:6" x14ac:dyDescent="0.25">
      <c r="A4019" s="2" t="str">
        <f t="shared" si="139"/>
        <v>28140</v>
      </c>
      <c r="B4019" s="2" t="str">
        <f>"66044"</f>
        <v>66044</v>
      </c>
      <c r="C4019" s="1">
        <v>3.0097455561106803E-4</v>
      </c>
      <c r="D4019" s="1">
        <v>4.6096757093138399E-5</v>
      </c>
      <c r="E4019" s="1">
        <v>0</v>
      </c>
      <c r="F4019" s="1">
        <v>2.7096792595444799E-4</v>
      </c>
    </row>
    <row r="4020" spans="1:6" x14ac:dyDescent="0.25">
      <c r="A4020" s="2" t="str">
        <f t="shared" si="139"/>
        <v>28140</v>
      </c>
      <c r="B4020" s="2" t="str">
        <f>"66021"</f>
        <v>66021</v>
      </c>
      <c r="C4020" s="1">
        <v>9.8117705129208295E-4</v>
      </c>
      <c r="D4020" s="1">
        <v>6.4535459930393797E-4</v>
      </c>
      <c r="E4020" s="1">
        <v>2.34570475396163E-4</v>
      </c>
      <c r="F4020" s="1">
        <v>9.2966956174503302E-4</v>
      </c>
    </row>
    <row r="4021" spans="1:6" x14ac:dyDescent="0.25">
      <c r="A4021" s="2" t="str">
        <f t="shared" si="139"/>
        <v>28140</v>
      </c>
      <c r="B4021" s="2" t="str">
        <f>"66104"</f>
        <v>66104</v>
      </c>
      <c r="C4021" s="1">
        <v>1.1516289746198101E-2</v>
      </c>
      <c r="D4021" s="1">
        <v>4.4022403023947203E-3</v>
      </c>
      <c r="E4021" s="1">
        <v>3.1536697247706402E-3</v>
      </c>
      <c r="F4021" s="1">
        <v>1.0680058186796701E-2</v>
      </c>
    </row>
    <row r="4022" spans="1:6" x14ac:dyDescent="0.25">
      <c r="A4022" s="2" t="str">
        <f t="shared" si="139"/>
        <v>28140</v>
      </c>
      <c r="B4022" s="2" t="str">
        <f>"66064"</f>
        <v>66064</v>
      </c>
      <c r="C4022" s="1">
        <v>2.56630971084371E-3</v>
      </c>
      <c r="D4022" s="1">
        <v>1.7977735266323999E-3</v>
      </c>
      <c r="E4022" s="1">
        <v>7.8190158465387804E-4</v>
      </c>
      <c r="F4022" s="1">
        <v>2.4458420684835701E-3</v>
      </c>
    </row>
    <row r="4023" spans="1:6" x14ac:dyDescent="0.25">
      <c r="A4023" s="2" t="str">
        <f t="shared" si="139"/>
        <v>28140</v>
      </c>
      <c r="B4023" s="2" t="str">
        <f>"66097"</f>
        <v>66097</v>
      </c>
      <c r="C4023" s="1">
        <v>1.80584733366641E-5</v>
      </c>
      <c r="D4023" s="1">
        <v>0</v>
      </c>
      <c r="E4023" s="1">
        <v>0</v>
      </c>
      <c r="F4023" s="1">
        <v>1.6044153510460698E-5</v>
      </c>
    </row>
    <row r="4024" spans="1:6" x14ac:dyDescent="0.25">
      <c r="A4024" s="2" t="str">
        <f t="shared" si="139"/>
        <v>28140</v>
      </c>
      <c r="B4024" s="2" t="str">
        <f>"66085"</f>
        <v>66085</v>
      </c>
      <c r="C4024" s="1">
        <v>4.3791797841410398E-3</v>
      </c>
      <c r="D4024" s="1">
        <v>4.7133934127734098E-3</v>
      </c>
      <c r="E4024" s="1">
        <v>2.1111342785654699E-3</v>
      </c>
      <c r="F4024" s="1">
        <v>4.3274647385159503E-3</v>
      </c>
    </row>
    <row r="4025" spans="1:6" x14ac:dyDescent="0.25">
      <c r="A4025" s="2" t="str">
        <f t="shared" si="139"/>
        <v>28140</v>
      </c>
      <c r="B4025" s="2" t="str">
        <f>"66072"</f>
        <v>66072</v>
      </c>
      <c r="C4025" s="1">
        <v>5.31721714912887E-4</v>
      </c>
      <c r="D4025" s="1">
        <v>1.2676608200612999E-4</v>
      </c>
      <c r="E4025" s="1">
        <v>5.2126772310258499E-5</v>
      </c>
      <c r="F4025" s="1">
        <v>4.8399863089889999E-4</v>
      </c>
    </row>
    <row r="4026" spans="1:6" x14ac:dyDescent="0.25">
      <c r="A4026" s="2" t="str">
        <f t="shared" si="139"/>
        <v>28140</v>
      </c>
      <c r="B4026" s="2" t="str">
        <f>"66053"</f>
        <v>66053</v>
      </c>
      <c r="C4026" s="1">
        <v>3.45518789841506E-3</v>
      </c>
      <c r="D4026" s="1">
        <v>3.0884827252402702E-3</v>
      </c>
      <c r="E4026" s="1">
        <v>8.6009174311926599E-4</v>
      </c>
      <c r="F4026" s="1">
        <v>3.3380752720375299E-3</v>
      </c>
    </row>
    <row r="4027" spans="1:6" x14ac:dyDescent="0.25">
      <c r="A4027" s="2" t="str">
        <f t="shared" si="139"/>
        <v>28140</v>
      </c>
      <c r="B4027" s="2" t="str">
        <f>"64745"</f>
        <v>64745</v>
      </c>
      <c r="C4027" s="1">
        <v>4.7152680379067402E-5</v>
      </c>
      <c r="D4027" s="1">
        <v>1.15241892732846E-5</v>
      </c>
      <c r="E4027" s="1">
        <v>5.2126772310258499E-5</v>
      </c>
      <c r="F4027" s="1">
        <v>4.4567093084613302E-5</v>
      </c>
    </row>
    <row r="4028" spans="1:6" x14ac:dyDescent="0.25">
      <c r="A4028" s="2" t="str">
        <f t="shared" si="139"/>
        <v>28140</v>
      </c>
      <c r="B4028" s="2" t="str">
        <f>"64742"</f>
        <v>64742</v>
      </c>
      <c r="C4028" s="1">
        <v>1.2480411572672299E-3</v>
      </c>
      <c r="D4028" s="1">
        <v>3.5724986747182302E-4</v>
      </c>
      <c r="E4028" s="1">
        <v>1.5638031693077499E-4</v>
      </c>
      <c r="F4028" s="1">
        <v>1.1418089248277901E-3</v>
      </c>
    </row>
    <row r="4029" spans="1:6" x14ac:dyDescent="0.25">
      <c r="A4029" s="2" t="str">
        <f t="shared" si="139"/>
        <v>28140</v>
      </c>
      <c r="B4029" s="2" t="str">
        <f>"64144"</f>
        <v>64144</v>
      </c>
      <c r="C4029" s="1">
        <v>0</v>
      </c>
      <c r="D4029" s="1">
        <v>0</v>
      </c>
      <c r="E4029" s="1">
        <v>5.2126772310258499E-5</v>
      </c>
      <c r="F4029" s="1">
        <v>1.7826837233845299E-6</v>
      </c>
    </row>
    <row r="4030" spans="1:6" x14ac:dyDescent="0.25">
      <c r="A4030" s="2" t="str">
        <f t="shared" si="139"/>
        <v>28140</v>
      </c>
      <c r="B4030" s="2" t="str">
        <f>"64152"</f>
        <v>64152</v>
      </c>
      <c r="C4030" s="1">
        <v>1.2169404531874199E-2</v>
      </c>
      <c r="D4030" s="1">
        <v>8.5855210085970402E-3</v>
      </c>
      <c r="E4030" s="1">
        <v>7.2456213511259302E-3</v>
      </c>
      <c r="F4030" s="1">
        <v>1.17238195068383E-2</v>
      </c>
    </row>
    <row r="4031" spans="1:6" x14ac:dyDescent="0.25">
      <c r="A4031" s="2" t="str">
        <f t="shared" si="139"/>
        <v>28140</v>
      </c>
      <c r="B4031" s="2" t="str">
        <f>"64150"</f>
        <v>64150</v>
      </c>
      <c r="C4031" s="1">
        <v>1.92122091331732E-3</v>
      </c>
      <c r="D4031" s="1">
        <v>4.9554013875123797E-3</v>
      </c>
      <c r="E4031" s="1">
        <v>5.3690575479566297E-3</v>
      </c>
      <c r="F4031" s="1">
        <v>2.27381308917697E-3</v>
      </c>
    </row>
    <row r="4032" spans="1:6" x14ac:dyDescent="0.25">
      <c r="A4032" s="2" t="str">
        <f t="shared" si="139"/>
        <v>28140</v>
      </c>
      <c r="B4032" s="2" t="str">
        <f>"64444"</f>
        <v>64444</v>
      </c>
      <c r="C4032" s="1">
        <v>5.4576719417473701E-4</v>
      </c>
      <c r="D4032" s="1">
        <v>1.15241892732846E-4</v>
      </c>
      <c r="E4032" s="1">
        <v>7.8190158465387807E-5</v>
      </c>
      <c r="F4032" s="1">
        <v>4.96477416962592E-4</v>
      </c>
    </row>
    <row r="4033" spans="1:6" x14ac:dyDescent="0.25">
      <c r="A4033" s="2" t="str">
        <f t="shared" si="139"/>
        <v>28140</v>
      </c>
      <c r="B4033" s="2" t="str">
        <f>"64190"</f>
        <v>64190</v>
      </c>
      <c r="C4033" s="1">
        <v>5.4777369121214404E-4</v>
      </c>
      <c r="D4033" s="1">
        <v>3.2498213750662601E-3</v>
      </c>
      <c r="E4033" s="1">
        <v>5.2126772310258499E-5</v>
      </c>
      <c r="F4033" s="1">
        <v>7.3981374520457998E-4</v>
      </c>
    </row>
    <row r="4034" spans="1:6" x14ac:dyDescent="0.25">
      <c r="A4034" s="2" t="str">
        <f t="shared" si="139"/>
        <v>28140</v>
      </c>
      <c r="B4034" s="2" t="str">
        <f>"64439"</f>
        <v>64439</v>
      </c>
      <c r="C4034" s="1">
        <v>5.42757448618627E-4</v>
      </c>
      <c r="D4034" s="1">
        <v>2.4200797473897701E-4</v>
      </c>
      <c r="E4034" s="1">
        <v>3.3882402001667998E-4</v>
      </c>
      <c r="F4034" s="1">
        <v>5.1252157047305198E-4</v>
      </c>
    </row>
    <row r="4035" spans="1:6" x14ac:dyDescent="0.25">
      <c r="A4035" s="2" t="str">
        <f t="shared" si="139"/>
        <v>28140</v>
      </c>
      <c r="B4035" s="2" t="str">
        <f>"64188"</f>
        <v>64188</v>
      </c>
      <c r="C4035" s="1">
        <v>1.3132523109829601E-3</v>
      </c>
      <c r="D4035" s="1">
        <v>3.05391015742042E-3</v>
      </c>
      <c r="E4035" s="1">
        <v>5.2126772310258499E-5</v>
      </c>
      <c r="F4035" s="1">
        <v>1.40475477402701E-3</v>
      </c>
    </row>
    <row r="4036" spans="1:6" x14ac:dyDescent="0.25">
      <c r="A4036" s="2" t="str">
        <f t="shared" si="139"/>
        <v>28140</v>
      </c>
      <c r="B4036" s="2" t="str">
        <f>"64167"</f>
        <v>64167</v>
      </c>
      <c r="C4036" s="1">
        <v>1.15373579650909E-4</v>
      </c>
      <c r="D4036" s="1">
        <v>2.30483785465692E-5</v>
      </c>
      <c r="E4036" s="1">
        <v>2.6063386155129199E-5</v>
      </c>
      <c r="F4036" s="1">
        <v>1.0517833967968699E-4</v>
      </c>
    </row>
    <row r="4037" spans="1:6" x14ac:dyDescent="0.25">
      <c r="A4037" s="2" t="str">
        <f t="shared" si="139"/>
        <v>28140</v>
      </c>
      <c r="B4037" s="2" t="str">
        <f>"64157"</f>
        <v>64157</v>
      </c>
      <c r="C4037" s="1">
        <v>7.8654683866359199E-3</v>
      </c>
      <c r="D4037" s="1">
        <v>1.6133864982598399E-3</v>
      </c>
      <c r="E4037" s="1">
        <v>1.43348623853211E-3</v>
      </c>
      <c r="F4037" s="1">
        <v>7.1619318586973501E-3</v>
      </c>
    </row>
    <row r="4038" spans="1:6" x14ac:dyDescent="0.25">
      <c r="A4038" s="2" t="str">
        <f t="shared" si="139"/>
        <v>28140</v>
      </c>
      <c r="B4038" s="2" t="str">
        <f>"64155"</f>
        <v>64155</v>
      </c>
      <c r="C4038" s="1">
        <v>1.09996167590658E-2</v>
      </c>
      <c r="D4038" s="1">
        <v>4.0449904349228998E-3</v>
      </c>
      <c r="E4038" s="1">
        <v>5.9424520433694703E-3</v>
      </c>
      <c r="F4038" s="1">
        <v>1.0288759109513801E-2</v>
      </c>
    </row>
    <row r="4039" spans="1:6" x14ac:dyDescent="0.25">
      <c r="A4039" s="2" t="str">
        <f t="shared" si="139"/>
        <v>28140</v>
      </c>
      <c r="B4039" s="2" t="str">
        <f>"64116"</f>
        <v>64116</v>
      </c>
      <c r="C4039" s="1">
        <v>9.7224813947562206E-3</v>
      </c>
      <c r="D4039" s="1">
        <v>2.0824210016825301E-2</v>
      </c>
      <c r="E4039" s="1">
        <v>1.44912427022518E-2</v>
      </c>
      <c r="F4039" s="1">
        <v>1.07442348008385E-2</v>
      </c>
    </row>
    <row r="4040" spans="1:6" x14ac:dyDescent="0.25">
      <c r="A4040" s="2" t="str">
        <f t="shared" si="139"/>
        <v>28140</v>
      </c>
      <c r="B4040" s="2" t="str">
        <f>"64113"</f>
        <v>64113</v>
      </c>
      <c r="C4040" s="1">
        <v>5.51184736175737E-3</v>
      </c>
      <c r="D4040" s="1">
        <v>5.1052158480650797E-3</v>
      </c>
      <c r="E4040" s="1">
        <v>1.3552960800667199E-3</v>
      </c>
      <c r="F4040" s="1">
        <v>5.3382464096749802E-3</v>
      </c>
    </row>
    <row r="4041" spans="1:6" x14ac:dyDescent="0.25">
      <c r="A4041" s="2" t="str">
        <f t="shared" si="139"/>
        <v>28140</v>
      </c>
      <c r="B4041" s="2" t="str">
        <f>"64022"</f>
        <v>64022</v>
      </c>
      <c r="C4041" s="1">
        <v>8.5276124089802698E-5</v>
      </c>
      <c r="D4041" s="1">
        <v>5.76209463664231E-5</v>
      </c>
      <c r="E4041" s="1">
        <v>2.6063386155129199E-5</v>
      </c>
      <c r="F4041" s="1">
        <v>8.1112109413996206E-5</v>
      </c>
    </row>
    <row r="4042" spans="1:6" x14ac:dyDescent="0.25">
      <c r="A4042" s="2" t="str">
        <f t="shared" si="139"/>
        <v>28140</v>
      </c>
      <c r="B4042" s="2" t="str">
        <f>"64109"</f>
        <v>64109</v>
      </c>
      <c r="C4042" s="1">
        <v>6.2783292300468904E-3</v>
      </c>
      <c r="D4042" s="1">
        <v>4.8747320625993898E-3</v>
      </c>
      <c r="E4042" s="1">
        <v>1.66545037531276E-2</v>
      </c>
      <c r="F4042" s="1">
        <v>6.5246224275873803E-3</v>
      </c>
    </row>
    <row r="4043" spans="1:6" x14ac:dyDescent="0.25">
      <c r="A4043" s="2" t="str">
        <f t="shared" si="139"/>
        <v>28140</v>
      </c>
      <c r="B4043" s="2" t="str">
        <f>"64108"</f>
        <v>64108</v>
      </c>
      <c r="C4043" s="1">
        <v>6.1699783900269001E-3</v>
      </c>
      <c r="D4043" s="1">
        <v>2.4972918155207701E-2</v>
      </c>
      <c r="E4043" s="1">
        <v>1.51949541284403E-2</v>
      </c>
      <c r="F4043" s="1">
        <v>7.9329425690611594E-3</v>
      </c>
    </row>
    <row r="4044" spans="1:6" x14ac:dyDescent="0.25">
      <c r="A4044" s="2" t="str">
        <f t="shared" si="139"/>
        <v>28140</v>
      </c>
      <c r="B4044" s="2" t="str">
        <f>"64079"</f>
        <v>64079</v>
      </c>
      <c r="C4044" s="1">
        <v>7.1531619383563899E-3</v>
      </c>
      <c r="D4044" s="1">
        <v>6.76469910341807E-3</v>
      </c>
      <c r="E4044" s="1">
        <v>2.9190992493744699E-3</v>
      </c>
      <c r="F4044" s="1">
        <v>6.9783154351887502E-3</v>
      </c>
    </row>
    <row r="4045" spans="1:6" x14ac:dyDescent="0.25">
      <c r="A4045" s="2" t="str">
        <f t="shared" si="139"/>
        <v>28140</v>
      </c>
      <c r="B4045" s="2" t="str">
        <f>"64092"</f>
        <v>64092</v>
      </c>
      <c r="C4045" s="1">
        <v>3.3107201117217498E-5</v>
      </c>
      <c r="D4045" s="1">
        <v>0</v>
      </c>
      <c r="E4045" s="1">
        <v>2.6063386155129199E-5</v>
      </c>
      <c r="F4045" s="1">
        <v>3.0305623297536999E-5</v>
      </c>
    </row>
    <row r="4046" spans="1:6" x14ac:dyDescent="0.25">
      <c r="A4046" s="2" t="str">
        <f t="shared" si="139"/>
        <v>28140</v>
      </c>
      <c r="B4046" s="2" t="str">
        <f>"64086"</f>
        <v>64086</v>
      </c>
      <c r="C4046" s="1">
        <v>1.009869958927E-2</v>
      </c>
      <c r="D4046" s="1">
        <v>8.8390531726092996E-3</v>
      </c>
      <c r="E4046" s="1">
        <v>9.5652627189324393E-3</v>
      </c>
      <c r="F4046" s="1">
        <v>9.98302885095337E-3</v>
      </c>
    </row>
    <row r="4047" spans="1:6" x14ac:dyDescent="0.25">
      <c r="A4047" s="2" t="str">
        <f t="shared" si="139"/>
        <v>28140</v>
      </c>
      <c r="B4047" s="2" t="str">
        <f>"64084"</f>
        <v>64084</v>
      </c>
      <c r="C4047" s="1">
        <v>6.9023498086805005E-4</v>
      </c>
      <c r="D4047" s="1">
        <v>8.06693249129923E-5</v>
      </c>
      <c r="E4047" s="1">
        <v>5.2126772310258499E-5</v>
      </c>
      <c r="F4047" s="1">
        <v>6.2126527759950899E-4</v>
      </c>
    </row>
    <row r="4048" spans="1:6" x14ac:dyDescent="0.25">
      <c r="A4048" s="2" t="str">
        <f t="shared" si="139"/>
        <v>28140</v>
      </c>
      <c r="B4048" s="2" t="str">
        <f>"64013"</f>
        <v>64013</v>
      </c>
      <c r="C4048" s="1">
        <v>7.8554359014488899E-4</v>
      </c>
      <c r="D4048" s="1">
        <v>4.7825385484131103E-3</v>
      </c>
      <c r="E4048" s="1">
        <v>5.2126772310258499E-5</v>
      </c>
      <c r="F4048" s="1">
        <v>1.0696102340307101E-3</v>
      </c>
    </row>
    <row r="4049" spans="1:6" x14ac:dyDescent="0.25">
      <c r="A4049" s="2" t="str">
        <f t="shared" si="139"/>
        <v>28140</v>
      </c>
      <c r="B4049" s="2" t="str">
        <f>"64056"</f>
        <v>64056</v>
      </c>
      <c r="C4049" s="1">
        <v>6.9464927435034596E-3</v>
      </c>
      <c r="D4049" s="1">
        <v>3.0654343466937099E-3</v>
      </c>
      <c r="E4049" s="1">
        <v>1.3813594662218499E-3</v>
      </c>
      <c r="F4049" s="1">
        <v>6.4559891042370804E-3</v>
      </c>
    </row>
    <row r="4050" spans="1:6" x14ac:dyDescent="0.25">
      <c r="A4050" s="2" t="str">
        <f t="shared" ref="A4050:A4070" si="140">"47660"</f>
        <v>47660</v>
      </c>
      <c r="B4050" s="2" t="str">
        <f>"65360"</f>
        <v>65360</v>
      </c>
      <c r="C4050" s="1">
        <v>5.2727272727272701E-3</v>
      </c>
      <c r="D4050" s="1">
        <v>1.0706638115631599E-3</v>
      </c>
      <c r="E4050" s="1">
        <v>0</v>
      </c>
      <c r="F4050" s="1">
        <v>4.8277447535222803E-3</v>
      </c>
    </row>
    <row r="4051" spans="1:6" x14ac:dyDescent="0.25">
      <c r="A4051" s="2" t="str">
        <f t="shared" si="140"/>
        <v>47660</v>
      </c>
      <c r="B4051" s="2" t="str">
        <f>"64040"</f>
        <v>64040</v>
      </c>
      <c r="C4051" s="1">
        <v>0.115636363636363</v>
      </c>
      <c r="D4051" s="1">
        <v>0.114025695931477</v>
      </c>
      <c r="E4051" s="1">
        <v>4.2553191489361701E-2</v>
      </c>
      <c r="F4051" s="1">
        <v>0.112942953791585</v>
      </c>
    </row>
    <row r="4052" spans="1:6" x14ac:dyDescent="0.25">
      <c r="A4052" s="2" t="str">
        <f t="shared" si="140"/>
        <v>47660</v>
      </c>
      <c r="B4052" s="2" t="str">
        <f>"64020"</f>
        <v>64020</v>
      </c>
      <c r="C4052" s="1">
        <v>3.9272727272727202E-3</v>
      </c>
      <c r="D4052" s="1">
        <v>5.3533190578158396E-4</v>
      </c>
      <c r="E4052" s="1">
        <v>0</v>
      </c>
      <c r="F4052" s="1">
        <v>3.5797563138362499E-3</v>
      </c>
    </row>
    <row r="4053" spans="1:6" x14ac:dyDescent="0.25">
      <c r="A4053" s="2" t="str">
        <f t="shared" si="140"/>
        <v>47660</v>
      </c>
      <c r="B4053" s="2" t="str">
        <f>"64080"</f>
        <v>64080</v>
      </c>
      <c r="C4053" s="1">
        <v>6.1818181818181796E-4</v>
      </c>
      <c r="D4053" s="1">
        <v>0</v>
      </c>
      <c r="E4053" s="1">
        <v>0</v>
      </c>
      <c r="F4053" s="1">
        <v>5.58310617754277E-4</v>
      </c>
    </row>
    <row r="4054" spans="1:6" x14ac:dyDescent="0.25">
      <c r="A4054" s="2" t="str">
        <f t="shared" si="140"/>
        <v>47660</v>
      </c>
      <c r="B4054" s="2" t="str">
        <f>"65305"</f>
        <v>65305</v>
      </c>
      <c r="C4054" s="1">
        <v>3.2654545454545401E-2</v>
      </c>
      <c r="D4054" s="1">
        <v>7.2805139186295498E-2</v>
      </c>
      <c r="E4054" s="1">
        <v>1.2950971322849201E-2</v>
      </c>
      <c r="F4054" s="1">
        <v>3.4418207494498899E-2</v>
      </c>
    </row>
    <row r="4055" spans="1:6" x14ac:dyDescent="0.25">
      <c r="A4055" s="2" t="str">
        <f t="shared" si="140"/>
        <v>47660</v>
      </c>
      <c r="B4055" s="2" t="str">
        <f>"64071"</f>
        <v>64071</v>
      </c>
      <c r="C4055" s="1">
        <v>1.09090909090909E-4</v>
      </c>
      <c r="D4055" s="1">
        <v>5.3533190578158396E-4</v>
      </c>
      <c r="E4055" s="1">
        <v>0</v>
      </c>
      <c r="F4055" s="1">
        <v>1.31367204177477E-4</v>
      </c>
    </row>
    <row r="4056" spans="1:6" x14ac:dyDescent="0.25">
      <c r="A4056" s="2" t="str">
        <f t="shared" si="140"/>
        <v>47660</v>
      </c>
      <c r="B4056" s="2" t="str">
        <f>"64076"</f>
        <v>64076</v>
      </c>
      <c r="C4056" s="1">
        <v>6.58181818181818E-3</v>
      </c>
      <c r="D4056" s="1">
        <v>1.0706638115631599E-3</v>
      </c>
      <c r="E4056" s="1">
        <v>1.85013876040703E-3</v>
      </c>
      <c r="F4056" s="1">
        <v>6.0757331932083103E-3</v>
      </c>
    </row>
    <row r="4057" spans="1:6" x14ac:dyDescent="0.25">
      <c r="A4057" s="2" t="str">
        <f t="shared" si="140"/>
        <v>47660</v>
      </c>
      <c r="B4057" s="2" t="str">
        <f>"65337"</f>
        <v>65337</v>
      </c>
      <c r="C4057" s="1">
        <v>4.3636363636363599E-4</v>
      </c>
      <c r="D4057" s="1">
        <v>0</v>
      </c>
      <c r="E4057" s="1">
        <v>0</v>
      </c>
      <c r="F4057" s="1">
        <v>3.9410161253243103E-4</v>
      </c>
    </row>
    <row r="4058" spans="1:6" x14ac:dyDescent="0.25">
      <c r="A4058" s="2" t="str">
        <f t="shared" si="140"/>
        <v>47660</v>
      </c>
      <c r="B4058" s="2" t="str">
        <f>"65332"</f>
        <v>65332</v>
      </c>
      <c r="C4058" s="1">
        <v>3.6363636363636302E-4</v>
      </c>
      <c r="D4058" s="1">
        <v>0</v>
      </c>
      <c r="E4058" s="1">
        <v>0</v>
      </c>
      <c r="F4058" s="1">
        <v>3.28418010443692E-4</v>
      </c>
    </row>
    <row r="4059" spans="1:6" x14ac:dyDescent="0.25">
      <c r="A4059" s="2" t="str">
        <f t="shared" si="140"/>
        <v>47660</v>
      </c>
      <c r="B4059" s="2" t="str">
        <f>"64070"</f>
        <v>64070</v>
      </c>
      <c r="C4059" s="1">
        <v>3.81818181818181E-3</v>
      </c>
      <c r="D4059" s="1">
        <v>4.28265524625267E-3</v>
      </c>
      <c r="E4059" s="1">
        <v>0</v>
      </c>
      <c r="F4059" s="1">
        <v>3.7111235180137198E-3</v>
      </c>
    </row>
    <row r="4060" spans="1:6" x14ac:dyDescent="0.25">
      <c r="A4060" s="2" t="str">
        <f t="shared" si="140"/>
        <v>47660</v>
      </c>
      <c r="B4060" s="2" t="str">
        <f>"64093"</f>
        <v>64093</v>
      </c>
      <c r="C4060" s="1">
        <v>0.56629090909090896</v>
      </c>
      <c r="D4060" s="1">
        <v>0.65524625267665904</v>
      </c>
      <c r="E4060" s="1">
        <v>0.73265494912118401</v>
      </c>
      <c r="F4060" s="1">
        <v>0.57765443856941101</v>
      </c>
    </row>
    <row r="4061" spans="1:6" x14ac:dyDescent="0.25">
      <c r="A4061" s="2" t="str">
        <f t="shared" si="140"/>
        <v>47660</v>
      </c>
      <c r="B4061" s="2" t="str">
        <f>"64061"</f>
        <v>64061</v>
      </c>
      <c r="C4061" s="1">
        <v>5.8909090909090897E-2</v>
      </c>
      <c r="D4061" s="1">
        <v>1.9271948608137E-2</v>
      </c>
      <c r="E4061" s="1">
        <v>5.5504162812210897E-3</v>
      </c>
      <c r="F4061" s="1">
        <v>5.4583073335741701E-2</v>
      </c>
    </row>
    <row r="4062" spans="1:6" x14ac:dyDescent="0.25">
      <c r="A4062" s="2" t="str">
        <f t="shared" si="140"/>
        <v>47660</v>
      </c>
      <c r="B4062" s="2" t="str">
        <f>"65336"</f>
        <v>65336</v>
      </c>
      <c r="C4062" s="1">
        <v>0.11025454545454499</v>
      </c>
      <c r="D4062" s="1">
        <v>9.3683083511777301E-2</v>
      </c>
      <c r="E4062" s="1">
        <v>0.18223866790009199</v>
      </c>
      <c r="F4062" s="1">
        <v>0.111793490755033</v>
      </c>
    </row>
    <row r="4063" spans="1:6" x14ac:dyDescent="0.25">
      <c r="A4063" s="2" t="str">
        <f t="shared" si="140"/>
        <v>47660</v>
      </c>
      <c r="B4063" s="2" t="str">
        <f>"65351"</f>
        <v>65351</v>
      </c>
      <c r="C4063" s="1">
        <v>3.6363636363636302E-4</v>
      </c>
      <c r="D4063" s="1">
        <v>0</v>
      </c>
      <c r="E4063" s="1">
        <v>0</v>
      </c>
      <c r="F4063" s="1">
        <v>3.28418010443692E-4</v>
      </c>
    </row>
    <row r="4064" spans="1:6" x14ac:dyDescent="0.25">
      <c r="A4064" s="2" t="str">
        <f t="shared" si="140"/>
        <v>47660</v>
      </c>
      <c r="B4064" s="2" t="str">
        <f>"64733"</f>
        <v>64733</v>
      </c>
      <c r="C4064" s="1">
        <v>1.47272727272727E-2</v>
      </c>
      <c r="D4064" s="1">
        <v>5.3533190578158403E-3</v>
      </c>
      <c r="E4064" s="1">
        <v>2.7752081406105401E-3</v>
      </c>
      <c r="F4064" s="1">
        <v>1.37278728365463E-2</v>
      </c>
    </row>
    <row r="4065" spans="1:6" x14ac:dyDescent="0.25">
      <c r="A4065" s="2" t="str">
        <f t="shared" si="140"/>
        <v>47660</v>
      </c>
      <c r="B4065" s="2" t="str">
        <f>"64726"</f>
        <v>64726</v>
      </c>
      <c r="C4065" s="1">
        <v>4.0000000000000002E-4</v>
      </c>
      <c r="D4065" s="1">
        <v>0</v>
      </c>
      <c r="E4065" s="1">
        <v>0</v>
      </c>
      <c r="F4065" s="1">
        <v>3.6125981148806197E-4</v>
      </c>
    </row>
    <row r="4066" spans="1:6" x14ac:dyDescent="0.25">
      <c r="A4066" s="2" t="str">
        <f t="shared" si="140"/>
        <v>47660</v>
      </c>
      <c r="B4066" s="2" t="str">
        <f>"64019"</f>
        <v>64019</v>
      </c>
      <c r="C4066" s="1">
        <v>3.9272727272727202E-2</v>
      </c>
      <c r="D4066" s="1">
        <v>2.3019271948608099E-2</v>
      </c>
      <c r="E4066" s="1">
        <v>1.2025901942645601E-2</v>
      </c>
      <c r="F4066" s="1">
        <v>3.73082859864034E-2</v>
      </c>
    </row>
    <row r="4067" spans="1:6" x14ac:dyDescent="0.25">
      <c r="A4067" s="2" t="str">
        <f t="shared" si="140"/>
        <v>47660</v>
      </c>
      <c r="B4067" s="2" t="str">
        <f>"64037"</f>
        <v>64037</v>
      </c>
      <c r="C4067" s="1">
        <v>5.0909090909090902E-4</v>
      </c>
      <c r="D4067" s="1">
        <v>0</v>
      </c>
      <c r="E4067" s="1">
        <v>0</v>
      </c>
      <c r="F4067" s="1">
        <v>4.5978521462116903E-4</v>
      </c>
    </row>
    <row r="4068" spans="1:6" x14ac:dyDescent="0.25">
      <c r="A4068" s="2" t="str">
        <f t="shared" si="140"/>
        <v>47660</v>
      </c>
      <c r="B4068" s="2" t="str">
        <f>"64011"</f>
        <v>64011</v>
      </c>
      <c r="C4068" s="1">
        <v>1.1163636363636299E-2</v>
      </c>
      <c r="D4068" s="1">
        <v>1.60599571734475E-3</v>
      </c>
      <c r="E4068" s="1">
        <v>0</v>
      </c>
      <c r="F4068" s="1">
        <v>1.01809583237544E-2</v>
      </c>
    </row>
    <row r="4069" spans="1:6" x14ac:dyDescent="0.25">
      <c r="A4069" s="2" t="str">
        <f t="shared" si="140"/>
        <v>47660</v>
      </c>
      <c r="B4069" s="2" t="str">
        <f>"64747"</f>
        <v>64747</v>
      </c>
      <c r="C4069" s="1">
        <v>4.6181818181818103E-3</v>
      </c>
      <c r="D4069" s="1">
        <v>1.0706638115631599E-3</v>
      </c>
      <c r="E4069" s="1">
        <v>9.2506938020351498E-4</v>
      </c>
      <c r="F4069" s="1">
        <v>4.269434135768E-3</v>
      </c>
    </row>
    <row r="4070" spans="1:6" x14ac:dyDescent="0.25">
      <c r="A4070" s="2" t="str">
        <f t="shared" si="140"/>
        <v>47660</v>
      </c>
      <c r="B4070" s="2" t="str">
        <f>"64761"</f>
        <v>64761</v>
      </c>
      <c r="C4070" s="1">
        <v>2.4072727272727201E-2</v>
      </c>
      <c r="D4070" s="1">
        <v>6.4239828693790097E-3</v>
      </c>
      <c r="E4070" s="1">
        <v>6.4754856614246004E-3</v>
      </c>
      <c r="F4070" s="1">
        <v>2.2365266511215402E-2</v>
      </c>
    </row>
    <row r="4071" spans="1:6" x14ac:dyDescent="0.25">
      <c r="A4071" s="2" t="str">
        <f t="shared" ref="A4071:A4084" si="141">"32180"</f>
        <v>32180</v>
      </c>
      <c r="B4071" s="2" t="str">
        <f>"65327"</f>
        <v>65327</v>
      </c>
      <c r="C4071" s="1">
        <v>0</v>
      </c>
      <c r="D4071" s="1">
        <v>0</v>
      </c>
      <c r="E4071" s="1">
        <v>3.3557046979865702E-3</v>
      </c>
      <c r="F4071" s="1">
        <v>8.3326389467544296E-5</v>
      </c>
    </row>
    <row r="4072" spans="1:6" x14ac:dyDescent="0.25">
      <c r="A4072" s="2" t="str">
        <f t="shared" si="141"/>
        <v>32180</v>
      </c>
      <c r="B4072" s="2" t="str">
        <f>"65322"</f>
        <v>65322</v>
      </c>
      <c r="C4072" s="1">
        <v>2.8219358479917201E-4</v>
      </c>
      <c r="D4072" s="1">
        <v>0</v>
      </c>
      <c r="E4072" s="1">
        <v>0</v>
      </c>
      <c r="F4072" s="1">
        <v>2.4997916840263298E-4</v>
      </c>
    </row>
    <row r="4073" spans="1:6" x14ac:dyDescent="0.25">
      <c r="A4073" s="2" t="str">
        <f t="shared" si="141"/>
        <v>32180</v>
      </c>
      <c r="B4073" s="2" t="str">
        <f>"64020"</f>
        <v>64020</v>
      </c>
      <c r="C4073" s="1">
        <v>2.53974226319255E-3</v>
      </c>
      <c r="D4073" s="1">
        <v>9.3283582089552204E-4</v>
      </c>
      <c r="E4073" s="1">
        <v>0</v>
      </c>
      <c r="F4073" s="1">
        <v>2.33313890509124E-3</v>
      </c>
    </row>
    <row r="4074" spans="1:6" x14ac:dyDescent="0.25">
      <c r="A4074" s="2" t="str">
        <f t="shared" si="141"/>
        <v>32180</v>
      </c>
      <c r="B4074" s="2" t="str">
        <f>"65330"</f>
        <v>65330</v>
      </c>
      <c r="C4074" s="1">
        <v>2.0788260746872299E-2</v>
      </c>
      <c r="D4074" s="1">
        <v>2.7985074626865601E-3</v>
      </c>
      <c r="E4074" s="1">
        <v>1.00671140939597E-2</v>
      </c>
      <c r="F4074" s="1">
        <v>1.8915090409132501E-2</v>
      </c>
    </row>
    <row r="4075" spans="1:6" x14ac:dyDescent="0.25">
      <c r="A4075" s="2" t="str">
        <f t="shared" si="141"/>
        <v>32180</v>
      </c>
      <c r="B4075" s="2" t="str">
        <f>"65321"</f>
        <v>65321</v>
      </c>
      <c r="C4075" s="1">
        <v>1.6743486031417499E-2</v>
      </c>
      <c r="D4075" s="1">
        <v>3.7313432835820799E-3</v>
      </c>
      <c r="E4075" s="1">
        <v>1.6778523489932799E-2</v>
      </c>
      <c r="F4075" s="1">
        <v>1.55820348304307E-2</v>
      </c>
    </row>
    <row r="4076" spans="1:6" x14ac:dyDescent="0.25">
      <c r="A4076" s="2" t="str">
        <f t="shared" si="141"/>
        <v>32180</v>
      </c>
      <c r="B4076" s="2" t="str">
        <f>"65347"</f>
        <v>65347</v>
      </c>
      <c r="C4076" s="1">
        <v>2.6714326027654899E-2</v>
      </c>
      <c r="D4076" s="1">
        <v>1.02611940298507E-2</v>
      </c>
      <c r="E4076" s="1">
        <v>0</v>
      </c>
      <c r="F4076" s="1">
        <v>2.4581284892925499E-2</v>
      </c>
    </row>
    <row r="4077" spans="1:6" x14ac:dyDescent="0.25">
      <c r="A4077" s="2" t="str">
        <f t="shared" si="141"/>
        <v>32180</v>
      </c>
      <c r="B4077" s="2" t="str">
        <f>"65339"</f>
        <v>65339</v>
      </c>
      <c r="C4077" s="1">
        <v>2.7466842253786001E-2</v>
      </c>
      <c r="D4077" s="1">
        <v>8.3955223880596997E-3</v>
      </c>
      <c r="E4077" s="1">
        <v>3.3557046979865702E-3</v>
      </c>
      <c r="F4077" s="1">
        <v>2.5164569619198399E-2</v>
      </c>
    </row>
    <row r="4078" spans="1:6" x14ac:dyDescent="0.25">
      <c r="A4078" s="2" t="str">
        <f t="shared" si="141"/>
        <v>32180</v>
      </c>
      <c r="B4078" s="2" t="str">
        <f>"65320"</f>
        <v>65320</v>
      </c>
      <c r="C4078" s="1">
        <v>8.6539366005079395E-3</v>
      </c>
      <c r="D4078" s="1">
        <v>0</v>
      </c>
      <c r="E4078" s="1">
        <v>3.3557046979865702E-3</v>
      </c>
      <c r="F4078" s="1">
        <v>7.7493542204816199E-3</v>
      </c>
    </row>
    <row r="4079" spans="1:6" x14ac:dyDescent="0.25">
      <c r="A4079" s="2" t="str">
        <f t="shared" si="141"/>
        <v>32180</v>
      </c>
      <c r="B4079" s="2" t="str">
        <f>"65333"</f>
        <v>65333</v>
      </c>
      <c r="C4079" s="1">
        <v>3.7625811306556201E-3</v>
      </c>
      <c r="D4079" s="1">
        <v>9.3283582089552204E-4</v>
      </c>
      <c r="E4079" s="1">
        <v>0</v>
      </c>
      <c r="F4079" s="1">
        <v>3.4163819681693099E-3</v>
      </c>
    </row>
    <row r="4080" spans="1:6" x14ac:dyDescent="0.25">
      <c r="A4080" s="2" t="str">
        <f t="shared" si="141"/>
        <v>32180</v>
      </c>
      <c r="B4080" s="2" t="str">
        <f>"65344"</f>
        <v>65344</v>
      </c>
      <c r="C4080" s="1">
        <v>1.5802840748753599E-2</v>
      </c>
      <c r="D4080" s="1">
        <v>1.2126865671641699E-2</v>
      </c>
      <c r="E4080" s="1">
        <v>3.3557046979865702E-3</v>
      </c>
      <c r="F4080" s="1">
        <v>1.5165402883092999E-2</v>
      </c>
    </row>
    <row r="4081" spans="1:6" x14ac:dyDescent="0.25">
      <c r="A4081" s="2" t="str">
        <f t="shared" si="141"/>
        <v>32180</v>
      </c>
      <c r="B4081" s="2" t="str">
        <f>"65349"</f>
        <v>65349</v>
      </c>
      <c r="C4081" s="1">
        <v>0.12990311353588499</v>
      </c>
      <c r="D4081" s="1">
        <v>0.10820895522387999</v>
      </c>
      <c r="E4081" s="1">
        <v>7.0469798657718102E-2</v>
      </c>
      <c r="F4081" s="1">
        <v>0.12648945921173199</v>
      </c>
    </row>
    <row r="4082" spans="1:6" x14ac:dyDescent="0.25">
      <c r="A4082" s="2" t="str">
        <f t="shared" si="141"/>
        <v>32180</v>
      </c>
      <c r="B4082" s="2" t="str">
        <f>"65351"</f>
        <v>65351</v>
      </c>
      <c r="C4082" s="1">
        <v>0.10431756184742701</v>
      </c>
      <c r="D4082" s="1">
        <v>0.13059701492537301</v>
      </c>
      <c r="E4082" s="1">
        <v>0.10402684563758299</v>
      </c>
      <c r="F4082" s="1">
        <v>0.106657778518456</v>
      </c>
    </row>
    <row r="4083" spans="1:6" x14ac:dyDescent="0.25">
      <c r="A4083" s="2" t="str">
        <f t="shared" si="141"/>
        <v>32180</v>
      </c>
      <c r="B4083" s="2" t="str">
        <f>"64096"</f>
        <v>64096</v>
      </c>
      <c r="C4083" s="1">
        <v>7.5251622613112495E-4</v>
      </c>
      <c r="D4083" s="1">
        <v>0</v>
      </c>
      <c r="E4083" s="1">
        <v>0</v>
      </c>
      <c r="F4083" s="1">
        <v>6.6661111574035405E-4</v>
      </c>
    </row>
    <row r="4084" spans="1:6" x14ac:dyDescent="0.25">
      <c r="A4084" s="2" t="str">
        <f t="shared" si="141"/>
        <v>32180</v>
      </c>
      <c r="B4084" s="2" t="str">
        <f>"65340"</f>
        <v>65340</v>
      </c>
      <c r="C4084" s="1">
        <v>0.642272599002916</v>
      </c>
      <c r="D4084" s="1">
        <v>0.72201492537313405</v>
      </c>
      <c r="E4084" s="1">
        <v>0.78523489932885904</v>
      </c>
      <c r="F4084" s="1">
        <v>0.65294558786767698</v>
      </c>
    </row>
    <row r="4085" spans="1:6" x14ac:dyDescent="0.25">
      <c r="A4085" s="2" t="str">
        <f t="shared" ref="A4085:A4097" si="142">"25700"</f>
        <v>25700</v>
      </c>
      <c r="B4085" s="2" t="str">
        <f>"67520"</f>
        <v>67520</v>
      </c>
      <c r="C4085" s="1">
        <v>7.1382682561210598E-5</v>
      </c>
      <c r="D4085" s="1">
        <v>0</v>
      </c>
      <c r="E4085" s="1">
        <v>0</v>
      </c>
      <c r="F4085" s="1">
        <v>5.8830450641251899E-5</v>
      </c>
    </row>
    <row r="4086" spans="1:6" x14ac:dyDescent="0.25">
      <c r="A4086" s="2" t="str">
        <f t="shared" si="142"/>
        <v>25700</v>
      </c>
      <c r="B4086" s="2" t="str">
        <f>"67659"</f>
        <v>67659</v>
      </c>
      <c r="C4086" s="1">
        <v>2.1414804768363099E-4</v>
      </c>
      <c r="D4086" s="1">
        <v>0</v>
      </c>
      <c r="E4086" s="1">
        <v>0</v>
      </c>
      <c r="F4086" s="1">
        <v>1.76491351923755E-4</v>
      </c>
    </row>
    <row r="4087" spans="1:6" x14ac:dyDescent="0.25">
      <c r="A4087" s="2" t="str">
        <f t="shared" si="142"/>
        <v>25700</v>
      </c>
      <c r="B4087" s="2" t="str">
        <f>"67556"</f>
        <v>67556</v>
      </c>
      <c r="C4087" s="1">
        <v>7.8520950817331705E-4</v>
      </c>
      <c r="D4087" s="1">
        <v>0</v>
      </c>
      <c r="E4087" s="1">
        <v>0</v>
      </c>
      <c r="F4087" s="1">
        <v>6.4713495705377103E-4</v>
      </c>
    </row>
    <row r="4088" spans="1:6" x14ac:dyDescent="0.25">
      <c r="A4088" s="2" t="str">
        <f t="shared" si="142"/>
        <v>25700</v>
      </c>
      <c r="B4088" s="2" t="str">
        <f>"67674"</f>
        <v>67674</v>
      </c>
      <c r="C4088" s="1">
        <v>2.28424584195874E-3</v>
      </c>
      <c r="D4088" s="1">
        <v>7.0771408351026101E-4</v>
      </c>
      <c r="E4088" s="1">
        <v>0</v>
      </c>
      <c r="F4088" s="1">
        <v>1.9414048711613101E-3</v>
      </c>
    </row>
    <row r="4089" spans="1:6" x14ac:dyDescent="0.25">
      <c r="A4089" s="2" t="str">
        <f t="shared" si="142"/>
        <v>25700</v>
      </c>
      <c r="B4089" s="2" t="str">
        <f>"67667"</f>
        <v>67667</v>
      </c>
      <c r="C4089" s="1">
        <v>6.0675280177028999E-3</v>
      </c>
      <c r="D4089" s="1">
        <v>7.0771408351026101E-4</v>
      </c>
      <c r="E4089" s="1">
        <v>0</v>
      </c>
      <c r="F4089" s="1">
        <v>5.0594187551476601E-3</v>
      </c>
    </row>
    <row r="4090" spans="1:6" x14ac:dyDescent="0.25">
      <c r="A4090" s="2" t="str">
        <f t="shared" si="142"/>
        <v>25700</v>
      </c>
      <c r="B4090" s="2" t="str">
        <f>"67640"</f>
        <v>67640</v>
      </c>
      <c r="C4090" s="1">
        <v>2.0700977942751E-3</v>
      </c>
      <c r="D4090" s="1">
        <v>0</v>
      </c>
      <c r="E4090" s="1">
        <v>0</v>
      </c>
      <c r="F4090" s="1">
        <v>1.7060830685963E-3</v>
      </c>
    </row>
    <row r="4091" spans="1:6" x14ac:dyDescent="0.25">
      <c r="A4091" s="2" t="str">
        <f t="shared" si="142"/>
        <v>25700</v>
      </c>
      <c r="B4091" s="2" t="str">
        <f>"67660"</f>
        <v>67660</v>
      </c>
      <c r="C4091" s="1">
        <v>2.1414804768363099E-3</v>
      </c>
      <c r="D4091" s="1">
        <v>7.0771408351026101E-4</v>
      </c>
      <c r="E4091" s="1">
        <v>0</v>
      </c>
      <c r="F4091" s="1">
        <v>1.8237439698788E-3</v>
      </c>
    </row>
    <row r="4092" spans="1:6" x14ac:dyDescent="0.25">
      <c r="A4092" s="2" t="str">
        <f t="shared" si="142"/>
        <v>25700</v>
      </c>
      <c r="B4092" s="2" t="str">
        <f>"67651"</f>
        <v>67651</v>
      </c>
      <c r="C4092" s="1">
        <v>8.5659219073452701E-4</v>
      </c>
      <c r="D4092" s="1">
        <v>7.0771408351026101E-4</v>
      </c>
      <c r="E4092" s="1">
        <v>0</v>
      </c>
      <c r="F4092" s="1">
        <v>7.6479585833627399E-4</v>
      </c>
    </row>
    <row r="4093" spans="1:6" x14ac:dyDescent="0.25">
      <c r="A4093" s="2" t="str">
        <f t="shared" si="142"/>
        <v>25700</v>
      </c>
      <c r="B4093" s="2" t="str">
        <f>"67601"</f>
        <v>67601</v>
      </c>
      <c r="C4093" s="1">
        <v>0.83853237204654096</v>
      </c>
      <c r="D4093" s="1">
        <v>0.91648973814578905</v>
      </c>
      <c r="E4093" s="1">
        <v>0.968274111675126</v>
      </c>
      <c r="F4093" s="1">
        <v>0.85704200494175697</v>
      </c>
    </row>
    <row r="4094" spans="1:6" x14ac:dyDescent="0.25">
      <c r="A4094" s="2" t="str">
        <f t="shared" si="142"/>
        <v>25700</v>
      </c>
      <c r="B4094" s="2" t="str">
        <f>"67663"</f>
        <v>67663</v>
      </c>
      <c r="C4094" s="1">
        <v>2.0700977942751E-3</v>
      </c>
      <c r="D4094" s="1">
        <v>0</v>
      </c>
      <c r="E4094" s="1">
        <v>0</v>
      </c>
      <c r="F4094" s="1">
        <v>1.7060830685963E-3</v>
      </c>
    </row>
    <row r="4095" spans="1:6" x14ac:dyDescent="0.25">
      <c r="A4095" s="2" t="str">
        <f t="shared" si="142"/>
        <v>25700</v>
      </c>
      <c r="B4095" s="2" t="str">
        <f>"67637"</f>
        <v>67637</v>
      </c>
      <c r="C4095" s="1">
        <v>8.7657934185166597E-2</v>
      </c>
      <c r="D4095" s="1">
        <v>7.2894550601556904E-2</v>
      </c>
      <c r="E4095" s="1">
        <v>1.7131979695431399E-2</v>
      </c>
      <c r="F4095" s="1">
        <v>7.9891751970820005E-2</v>
      </c>
    </row>
    <row r="4096" spans="1:6" x14ac:dyDescent="0.25">
      <c r="A4096" s="2" t="str">
        <f t="shared" si="142"/>
        <v>25700</v>
      </c>
      <c r="B4096" s="2" t="str">
        <f>"67671"</f>
        <v>67671</v>
      </c>
      <c r="C4096" s="1">
        <v>5.33942465557855E-2</v>
      </c>
      <c r="D4096" s="1">
        <v>7.7848549186128801E-3</v>
      </c>
      <c r="E4096" s="1">
        <v>1.3324873096446701E-2</v>
      </c>
      <c r="F4096" s="1">
        <v>4.5887751500176398E-2</v>
      </c>
    </row>
    <row r="4097" spans="1:6" x14ac:dyDescent="0.25">
      <c r="A4097" s="2" t="str">
        <f t="shared" si="142"/>
        <v>25700</v>
      </c>
      <c r="B4097" s="2" t="str">
        <f>"67627"</f>
        <v>67627</v>
      </c>
      <c r="C4097" s="1">
        <v>3.8546648583053702E-3</v>
      </c>
      <c r="D4097" s="1">
        <v>0</v>
      </c>
      <c r="E4097" s="1">
        <v>1.2690355329949201E-3</v>
      </c>
      <c r="F4097" s="1">
        <v>3.2945052359101001E-3</v>
      </c>
    </row>
    <row r="4098" spans="1:6" x14ac:dyDescent="0.25">
      <c r="A4098" s="2" t="str">
        <f t="shared" ref="A4098:A4129" si="143">"23420"</f>
        <v>23420</v>
      </c>
      <c r="B4098" s="2" t="str">
        <f>"93764"</f>
        <v>93764</v>
      </c>
      <c r="C4098" s="1">
        <v>0</v>
      </c>
      <c r="D4098" s="1">
        <v>2.9046125246891999E-5</v>
      </c>
      <c r="E4098" s="1">
        <v>0</v>
      </c>
      <c r="F4098" s="1">
        <v>2.4978019342978101E-6</v>
      </c>
    </row>
    <row r="4099" spans="1:6" x14ac:dyDescent="0.25">
      <c r="A4099" s="2" t="str">
        <f t="shared" si="143"/>
        <v>23420</v>
      </c>
      <c r="B4099" s="2" t="str">
        <f>"93761"</f>
        <v>93761</v>
      </c>
      <c r="C4099" s="1">
        <v>0</v>
      </c>
      <c r="D4099" s="1">
        <v>2.9046125246891999E-5</v>
      </c>
      <c r="E4099" s="1">
        <v>0</v>
      </c>
      <c r="F4099" s="1">
        <v>2.4978019342978101E-6</v>
      </c>
    </row>
    <row r="4100" spans="1:6" x14ac:dyDescent="0.25">
      <c r="A4100" s="2" t="str">
        <f t="shared" si="143"/>
        <v>23420</v>
      </c>
      <c r="B4100" s="2" t="str">
        <f>"93791"</f>
        <v>93791</v>
      </c>
      <c r="C4100" s="1">
        <v>1.72481695380077E-4</v>
      </c>
      <c r="D4100" s="1">
        <v>9.2947600790054604E-4</v>
      </c>
      <c r="E4100" s="1">
        <v>1.10735839654504E-4</v>
      </c>
      <c r="F4100" s="1">
        <v>2.3479338182399401E-4</v>
      </c>
    </row>
    <row r="4101" spans="1:6" x14ac:dyDescent="0.25">
      <c r="A4101" s="2" t="str">
        <f t="shared" si="143"/>
        <v>23420</v>
      </c>
      <c r="B4101" s="2" t="str">
        <f>"93740"</f>
        <v>93740</v>
      </c>
      <c r="C4101" s="1">
        <v>0</v>
      </c>
      <c r="D4101" s="1">
        <v>2.9046125246891999E-5</v>
      </c>
      <c r="E4101" s="1">
        <v>0</v>
      </c>
      <c r="F4101" s="1">
        <v>2.4978019342978101E-6</v>
      </c>
    </row>
    <row r="4102" spans="1:6" x14ac:dyDescent="0.25">
      <c r="A4102" s="2" t="str">
        <f t="shared" si="143"/>
        <v>23420</v>
      </c>
      <c r="B4102" s="2" t="str">
        <f>"93750"</f>
        <v>93750</v>
      </c>
      <c r="C4102" s="1">
        <v>0</v>
      </c>
      <c r="D4102" s="1">
        <v>2.9046125246891999E-5</v>
      </c>
      <c r="E4102" s="1">
        <v>0</v>
      </c>
      <c r="F4102" s="1">
        <v>2.4978019342978101E-6</v>
      </c>
    </row>
    <row r="4103" spans="1:6" x14ac:dyDescent="0.25">
      <c r="A4103" s="2" t="str">
        <f t="shared" si="143"/>
        <v>23420</v>
      </c>
      <c r="B4103" s="2" t="str">
        <f>"93723"</f>
        <v>93723</v>
      </c>
      <c r="C4103" s="1">
        <v>1.0734110842486801E-2</v>
      </c>
      <c r="D4103" s="1">
        <v>1.2199372603694601E-3</v>
      </c>
      <c r="E4103" s="1">
        <v>5.5367919827251998E-5</v>
      </c>
      <c r="F4103" s="1">
        <v>9.4341979058428505E-3</v>
      </c>
    </row>
    <row r="4104" spans="1:6" x14ac:dyDescent="0.25">
      <c r="A4104" s="2" t="str">
        <f t="shared" si="143"/>
        <v>23420</v>
      </c>
      <c r="B4104" s="2" t="str">
        <f>"93627"</f>
        <v>93627</v>
      </c>
      <c r="C4104" s="1">
        <v>0</v>
      </c>
      <c r="D4104" s="1">
        <v>0</v>
      </c>
      <c r="E4104" s="1">
        <v>5.5367919827251998E-5</v>
      </c>
      <c r="F4104" s="1">
        <v>2.4978019342978101E-6</v>
      </c>
    </row>
    <row r="4105" spans="1:6" x14ac:dyDescent="0.25">
      <c r="A4105" s="2" t="str">
        <f t="shared" si="143"/>
        <v>23420</v>
      </c>
      <c r="B4105" s="2" t="str">
        <f>"93608"</f>
        <v>93608</v>
      </c>
      <c r="C4105" s="1">
        <v>4.4557771306519999E-4</v>
      </c>
      <c r="D4105" s="1">
        <v>1.4523062623446E-4</v>
      </c>
      <c r="E4105" s="1">
        <v>5.5367919827251998E-5</v>
      </c>
      <c r="F4105" s="1">
        <v>4.0214611142194798E-4</v>
      </c>
    </row>
    <row r="4106" spans="1:6" x14ac:dyDescent="0.25">
      <c r="A4106" s="2" t="str">
        <f t="shared" si="143"/>
        <v>23420</v>
      </c>
      <c r="B4106" s="2" t="str">
        <f>"93715"</f>
        <v>93715</v>
      </c>
      <c r="C4106" s="1">
        <v>3.6508625522116401E-4</v>
      </c>
      <c r="D4106" s="1">
        <v>4.3569187870338001E-4</v>
      </c>
      <c r="E4106" s="1">
        <v>1.10735839654504E-4</v>
      </c>
      <c r="F4106" s="1">
        <v>3.5968347853888502E-4</v>
      </c>
    </row>
    <row r="4107" spans="1:6" x14ac:dyDescent="0.25">
      <c r="A4107" s="2" t="str">
        <f t="shared" si="143"/>
        <v>23420</v>
      </c>
      <c r="B4107" s="2" t="str">
        <f>"93714"</f>
        <v>93714</v>
      </c>
      <c r="C4107" s="1">
        <v>3.4783808568315599E-4</v>
      </c>
      <c r="D4107" s="1">
        <v>5.2283025444405703E-4</v>
      </c>
      <c r="E4107" s="1">
        <v>1.10735839654504E-4</v>
      </c>
      <c r="F4107" s="1">
        <v>3.5219007273599198E-4</v>
      </c>
    </row>
    <row r="4108" spans="1:6" x14ac:dyDescent="0.25">
      <c r="A4108" s="2" t="str">
        <f t="shared" si="143"/>
        <v>23420</v>
      </c>
      <c r="B4108" s="2" t="str">
        <f>"93721"</f>
        <v>93721</v>
      </c>
      <c r="C4108" s="1">
        <v>6.8446486116660798E-3</v>
      </c>
      <c r="D4108" s="1">
        <v>5.7685604740327599E-2</v>
      </c>
      <c r="E4108" s="1">
        <v>1.69979513869663E-2</v>
      </c>
      <c r="F4108" s="1">
        <v>1.1674726240908E-2</v>
      </c>
    </row>
    <row r="4109" spans="1:6" x14ac:dyDescent="0.25">
      <c r="A4109" s="2" t="str">
        <f t="shared" si="143"/>
        <v>23420</v>
      </c>
      <c r="B4109" s="2" t="str">
        <f>"93660"</f>
        <v>93660</v>
      </c>
      <c r="C4109" s="1">
        <v>3.1621644153014201E-4</v>
      </c>
      <c r="D4109" s="1">
        <v>3.4855350296270402E-4</v>
      </c>
      <c r="E4109" s="1">
        <v>2.2147167930900799E-4</v>
      </c>
      <c r="F4109" s="1">
        <v>3.1472304372152498E-4</v>
      </c>
    </row>
    <row r="4110" spans="1:6" x14ac:dyDescent="0.25">
      <c r="A4110" s="2" t="str">
        <f t="shared" si="143"/>
        <v>23420</v>
      </c>
      <c r="B4110" s="2" t="str">
        <f>"93651"</f>
        <v>93651</v>
      </c>
      <c r="C4110" s="1">
        <v>1.5264630041136799E-3</v>
      </c>
      <c r="D4110" s="1">
        <v>3.77599628209596E-4</v>
      </c>
      <c r="E4110" s="1">
        <v>1.6610375948175599E-4</v>
      </c>
      <c r="F4110" s="1">
        <v>1.3662976580609001E-3</v>
      </c>
    </row>
    <row r="4111" spans="1:6" x14ac:dyDescent="0.25">
      <c r="A4111" s="2" t="str">
        <f t="shared" si="143"/>
        <v>23420</v>
      </c>
      <c r="B4111" s="2" t="str">
        <f>"93656"</f>
        <v>93656</v>
      </c>
      <c r="C4111" s="1">
        <v>4.6828780295691099E-3</v>
      </c>
      <c r="D4111" s="1">
        <v>1.10375275938189E-3</v>
      </c>
      <c r="E4111" s="1">
        <v>1.3841979956813E-3</v>
      </c>
      <c r="F4111" s="1">
        <v>4.2262808728319003E-3</v>
      </c>
    </row>
    <row r="4112" spans="1:6" x14ac:dyDescent="0.25">
      <c r="A4112" s="2" t="str">
        <f t="shared" si="143"/>
        <v>23420</v>
      </c>
      <c r="B4112" s="2" t="str">
        <f>"93631"</f>
        <v>93631</v>
      </c>
      <c r="C4112" s="1">
        <v>1.6003426636348201E-2</v>
      </c>
      <c r="D4112" s="1">
        <v>1.5655861508074801E-2</v>
      </c>
      <c r="E4112" s="1">
        <v>1.12950556447594E-2</v>
      </c>
      <c r="F4112" s="1">
        <v>1.5761130205419201E-2</v>
      </c>
    </row>
    <row r="4113" spans="1:6" x14ac:dyDescent="0.25">
      <c r="A4113" s="2" t="str">
        <f t="shared" si="143"/>
        <v>23420</v>
      </c>
      <c r="B4113" s="2" t="str">
        <f>"93745"</f>
        <v>93745</v>
      </c>
      <c r="C4113" s="1">
        <v>2.2480114297870101E-3</v>
      </c>
      <c r="D4113" s="1">
        <v>4.0664575345648801E-3</v>
      </c>
      <c r="E4113" s="1">
        <v>1.10735839654504E-4</v>
      </c>
      <c r="F4113" s="1">
        <v>2.3079689872911799E-3</v>
      </c>
    </row>
    <row r="4114" spans="1:6" x14ac:dyDescent="0.25">
      <c r="A4114" s="2" t="str">
        <f t="shared" si="143"/>
        <v>23420</v>
      </c>
      <c r="B4114" s="2" t="str">
        <f>"93844"</f>
        <v>93844</v>
      </c>
      <c r="C4114" s="1">
        <v>0</v>
      </c>
      <c r="D4114" s="1">
        <v>2.9046125246891999E-5</v>
      </c>
      <c r="E4114" s="1">
        <v>0</v>
      </c>
      <c r="F4114" s="1">
        <v>2.4978019342978101E-6</v>
      </c>
    </row>
    <row r="4115" spans="1:6" x14ac:dyDescent="0.25">
      <c r="A4115" s="2" t="str">
        <f t="shared" si="143"/>
        <v>23420</v>
      </c>
      <c r="B4115" s="2" t="str">
        <f>"93794"</f>
        <v>93794</v>
      </c>
      <c r="C4115" s="1">
        <v>5.3469325567824099E-4</v>
      </c>
      <c r="D4115" s="1">
        <v>2.5851051469733899E-3</v>
      </c>
      <c r="E4115" s="1">
        <v>1.10735839654504E-4</v>
      </c>
      <c r="F4115" s="1">
        <v>6.9189113580049501E-4</v>
      </c>
    </row>
    <row r="4116" spans="1:6" x14ac:dyDescent="0.25">
      <c r="A4116" s="2" t="str">
        <f t="shared" si="143"/>
        <v>23420</v>
      </c>
      <c r="B4116" s="2" t="str">
        <f>"93744"</f>
        <v>93744</v>
      </c>
      <c r="C4116" s="1">
        <v>1.93754437810287E-3</v>
      </c>
      <c r="D4116" s="1">
        <v>4.7054722899965099E-3</v>
      </c>
      <c r="E4116" s="1">
        <v>1.10735839654504E-4</v>
      </c>
      <c r="F4116" s="1">
        <v>2.09315802094157E-3</v>
      </c>
    </row>
    <row r="4117" spans="1:6" x14ac:dyDescent="0.25">
      <c r="A4117" s="2" t="str">
        <f t="shared" si="143"/>
        <v>23420</v>
      </c>
      <c r="B4117" s="2" t="str">
        <f>"93741"</f>
        <v>93741</v>
      </c>
      <c r="C4117" s="1">
        <v>0</v>
      </c>
      <c r="D4117" s="1">
        <v>2.9046125246891999E-5</v>
      </c>
      <c r="E4117" s="1">
        <v>0</v>
      </c>
      <c r="F4117" s="1">
        <v>2.4978019342978101E-6</v>
      </c>
    </row>
    <row r="4118" spans="1:6" x14ac:dyDescent="0.25">
      <c r="A4118" s="2" t="str">
        <f t="shared" si="143"/>
        <v>23420</v>
      </c>
      <c r="B4118" s="2" t="str">
        <f>"93729"</f>
        <v>93729</v>
      </c>
      <c r="C4118" s="1">
        <v>4.2085533672738904E-3</v>
      </c>
      <c r="D4118" s="1">
        <v>2.3062623446032202E-2</v>
      </c>
      <c r="E4118" s="1">
        <v>1.10735839654504E-4</v>
      </c>
      <c r="F4118" s="1">
        <v>5.6450323715130602E-3</v>
      </c>
    </row>
    <row r="4119" spans="1:6" x14ac:dyDescent="0.25">
      <c r="A4119" s="2" t="str">
        <f t="shared" si="143"/>
        <v>23420</v>
      </c>
      <c r="B4119" s="2" t="str">
        <f>"93725"</f>
        <v>93725</v>
      </c>
      <c r="C4119" s="1">
        <v>2.1060015005907401E-2</v>
      </c>
      <c r="D4119" s="1">
        <v>2.80876031137446E-2</v>
      </c>
      <c r="E4119" s="1">
        <v>1.43402912352582E-2</v>
      </c>
      <c r="F4119" s="1">
        <v>2.1361202142114899E-2</v>
      </c>
    </row>
    <row r="4120" spans="1:6" x14ac:dyDescent="0.25">
      <c r="A4120" s="2" t="str">
        <f t="shared" si="143"/>
        <v>23420</v>
      </c>
      <c r="B4120" s="2" t="str">
        <f>"93630"</f>
        <v>93630</v>
      </c>
      <c r="C4120" s="1">
        <v>1.9312200492722701E-2</v>
      </c>
      <c r="D4120" s="1">
        <v>1.42035552457302E-2</v>
      </c>
      <c r="E4120" s="1">
        <v>7.1978295775427699E-3</v>
      </c>
      <c r="F4120" s="1">
        <v>1.8326372791943001E-2</v>
      </c>
    </row>
    <row r="4121" spans="1:6" x14ac:dyDescent="0.25">
      <c r="A4121" s="2" t="str">
        <f t="shared" si="143"/>
        <v>23420</v>
      </c>
      <c r="B4121" s="2" t="str">
        <f>"93613"</f>
        <v>93613</v>
      </c>
      <c r="C4121" s="1">
        <v>5.8241319140006197E-3</v>
      </c>
      <c r="D4121" s="1">
        <v>1.9896595794121001E-2</v>
      </c>
      <c r="E4121" s="1">
        <v>1.10735839654504E-4</v>
      </c>
      <c r="F4121" s="1">
        <v>6.7765366477499801E-3</v>
      </c>
    </row>
    <row r="4122" spans="1:6" x14ac:dyDescent="0.25">
      <c r="A4122" s="2" t="str">
        <f t="shared" si="143"/>
        <v>23420</v>
      </c>
      <c r="B4122" s="2" t="str">
        <f>"93606"</f>
        <v>93606</v>
      </c>
      <c r="C4122" s="1">
        <v>0</v>
      </c>
      <c r="D4122" s="1">
        <v>0</v>
      </c>
      <c r="E4122" s="1">
        <v>5.5367919827251998E-5</v>
      </c>
      <c r="F4122" s="1">
        <v>2.4978019342978101E-6</v>
      </c>
    </row>
    <row r="4123" spans="1:6" x14ac:dyDescent="0.25">
      <c r="A4123" s="2" t="str">
        <f t="shared" si="143"/>
        <v>23420</v>
      </c>
      <c r="B4123" s="2" t="str">
        <f>"93611"</f>
        <v>93611</v>
      </c>
      <c r="C4123" s="1">
        <v>4.7538829941672398E-2</v>
      </c>
      <c r="D4123" s="1">
        <v>3.2386429650284598E-2</v>
      </c>
      <c r="E4123" s="1">
        <v>2.5247771441226901E-2</v>
      </c>
      <c r="F4123" s="1">
        <v>4.5230197426264801E-2</v>
      </c>
    </row>
    <row r="4124" spans="1:6" x14ac:dyDescent="0.25">
      <c r="A4124" s="2" t="str">
        <f t="shared" si="143"/>
        <v>23420</v>
      </c>
      <c r="B4124" s="2" t="str">
        <f>"93712"</f>
        <v>93712</v>
      </c>
      <c r="C4124" s="1">
        <v>2.81720102454127E-4</v>
      </c>
      <c r="D4124" s="1">
        <v>6.6806088067851703E-4</v>
      </c>
      <c r="E4124" s="1">
        <v>1.10735839654504E-4</v>
      </c>
      <c r="F4124" s="1">
        <v>3.0722963791863101E-4</v>
      </c>
    </row>
    <row r="4125" spans="1:6" x14ac:dyDescent="0.25">
      <c r="A4125" s="2" t="str">
        <f t="shared" si="143"/>
        <v>23420</v>
      </c>
      <c r="B4125" s="2" t="str">
        <f>"93720"</f>
        <v>93720</v>
      </c>
      <c r="C4125" s="1">
        <v>5.5884069303145198E-2</v>
      </c>
      <c r="D4125" s="1">
        <v>5.65237597304519E-2</v>
      </c>
      <c r="E4125" s="1">
        <v>5.57001273462156E-2</v>
      </c>
      <c r="F4125" s="1">
        <v>5.5930780912796699E-2</v>
      </c>
    </row>
    <row r="4126" spans="1:6" x14ac:dyDescent="0.25">
      <c r="A4126" s="2" t="str">
        <f t="shared" si="143"/>
        <v>23420</v>
      </c>
      <c r="B4126" s="2" t="str">
        <f>"93722"</f>
        <v>93722</v>
      </c>
      <c r="C4126" s="1">
        <v>7.9192095738839702E-2</v>
      </c>
      <c r="D4126" s="1">
        <v>7.0117346345997394E-2</v>
      </c>
      <c r="E4126" s="1">
        <v>5.82470516582691E-2</v>
      </c>
      <c r="F4126" s="1">
        <v>7.7466829190312503E-2</v>
      </c>
    </row>
    <row r="4127" spans="1:6" x14ac:dyDescent="0.25">
      <c r="A4127" s="2" t="str">
        <f t="shared" si="143"/>
        <v>23420</v>
      </c>
      <c r="B4127" s="2" t="str">
        <f>"93652"</f>
        <v>93652</v>
      </c>
      <c r="C4127" s="1">
        <v>1.4948413599606699E-4</v>
      </c>
      <c r="D4127" s="1">
        <v>2.9046125246891999E-5</v>
      </c>
      <c r="E4127" s="1">
        <v>0</v>
      </c>
      <c r="F4127" s="1">
        <v>1.32383502517784E-4</v>
      </c>
    </row>
    <row r="4128" spans="1:6" x14ac:dyDescent="0.25">
      <c r="A4128" s="2" t="str">
        <f t="shared" si="143"/>
        <v>23420</v>
      </c>
      <c r="B4128" s="2" t="str">
        <f>"93668"</f>
        <v>93668</v>
      </c>
      <c r="C4128" s="1">
        <v>3.42088695837154E-4</v>
      </c>
      <c r="D4128" s="1">
        <v>1.7427675148135201E-4</v>
      </c>
      <c r="E4128" s="1">
        <v>2.2147167930900799E-4</v>
      </c>
      <c r="F4128" s="1">
        <v>3.2221644952441802E-4</v>
      </c>
    </row>
    <row r="4129" spans="1:6" x14ac:dyDescent="0.25">
      <c r="A4129" s="2" t="str">
        <f t="shared" si="143"/>
        <v>23420</v>
      </c>
      <c r="B4129" s="2" t="str">
        <f>"93646"</f>
        <v>93646</v>
      </c>
      <c r="C4129" s="1">
        <v>7.6064427662614299E-3</v>
      </c>
      <c r="D4129" s="1">
        <v>4.8507029162309697E-3</v>
      </c>
      <c r="E4129" s="1">
        <v>5.7028957422069603E-3</v>
      </c>
      <c r="F4129" s="1">
        <v>7.28359044041243E-3</v>
      </c>
    </row>
    <row r="4130" spans="1:6" x14ac:dyDescent="0.25">
      <c r="A4130" s="2" t="str">
        <f t="shared" ref="A4130:A4161" si="144">"23420"</f>
        <v>23420</v>
      </c>
      <c r="B4130" s="2" t="str">
        <f>"93703"</f>
        <v>93703</v>
      </c>
      <c r="C4130" s="1">
        <v>3.1431914288096101E-2</v>
      </c>
      <c r="D4130" s="1">
        <v>3.74404554432438E-2</v>
      </c>
      <c r="E4130" s="1">
        <v>5.0993854160899098E-2</v>
      </c>
      <c r="F4130" s="1">
        <v>3.28311086244105E-2</v>
      </c>
    </row>
    <row r="4131" spans="1:6" x14ac:dyDescent="0.25">
      <c r="A4131" s="2" t="str">
        <f t="shared" si="144"/>
        <v>23420</v>
      </c>
      <c r="B4131" s="2" t="str">
        <f>"93778"</f>
        <v>93778</v>
      </c>
      <c r="C4131" s="1">
        <v>1.58108220765071E-4</v>
      </c>
      <c r="D4131" s="1">
        <v>1.5103985128383801E-3</v>
      </c>
      <c r="E4131" s="1">
        <v>1.10735839654504E-4</v>
      </c>
      <c r="F4131" s="1">
        <v>2.7226041083846202E-4</v>
      </c>
    </row>
    <row r="4132" spans="1:6" x14ac:dyDescent="0.25">
      <c r="A4132" s="2" t="str">
        <f t="shared" si="144"/>
        <v>23420</v>
      </c>
      <c r="B4132" s="2" t="str">
        <f>"93776"</f>
        <v>93776</v>
      </c>
      <c r="C4132" s="1">
        <v>1.95479254764088E-4</v>
      </c>
      <c r="D4132" s="1">
        <v>1.24898338561635E-3</v>
      </c>
      <c r="E4132" s="1">
        <v>1.10735839654504E-4</v>
      </c>
      <c r="F4132" s="1">
        <v>2.8225161857565301E-4</v>
      </c>
    </row>
    <row r="4133" spans="1:6" x14ac:dyDescent="0.25">
      <c r="A4133" s="2" t="str">
        <f t="shared" si="144"/>
        <v>23420</v>
      </c>
      <c r="B4133" s="2" t="str">
        <f>"93772"</f>
        <v>93772</v>
      </c>
      <c r="C4133" s="1">
        <v>2.2422620399410099E-4</v>
      </c>
      <c r="D4133" s="1">
        <v>8.71383757406761E-4</v>
      </c>
      <c r="E4133" s="1">
        <v>1.10735839654504E-4</v>
      </c>
      <c r="F4133" s="1">
        <v>2.7475821277275899E-4</v>
      </c>
    </row>
    <row r="4134" spans="1:6" x14ac:dyDescent="0.25">
      <c r="A4134" s="2" t="str">
        <f t="shared" si="144"/>
        <v>23420</v>
      </c>
      <c r="B4134" s="2" t="str">
        <f>"93765"</f>
        <v>93765</v>
      </c>
      <c r="C4134" s="1">
        <v>0</v>
      </c>
      <c r="D4134" s="1">
        <v>2.9046125246891999E-5</v>
      </c>
      <c r="E4134" s="1">
        <v>0</v>
      </c>
      <c r="F4134" s="1">
        <v>2.4978019342978101E-6</v>
      </c>
    </row>
    <row r="4135" spans="1:6" x14ac:dyDescent="0.25">
      <c r="A4135" s="2" t="str">
        <f t="shared" si="144"/>
        <v>23420</v>
      </c>
      <c r="B4135" s="2" t="str">
        <f>"93786"</f>
        <v>93786</v>
      </c>
      <c r="C4135" s="1">
        <v>0</v>
      </c>
      <c r="D4135" s="1">
        <v>2.9046125246891999E-5</v>
      </c>
      <c r="E4135" s="1">
        <v>0</v>
      </c>
      <c r="F4135" s="1">
        <v>2.4978019342978101E-6</v>
      </c>
    </row>
    <row r="4136" spans="1:6" x14ac:dyDescent="0.25">
      <c r="A4136" s="2" t="str">
        <f t="shared" si="144"/>
        <v>23420</v>
      </c>
      <c r="B4136" s="2" t="str">
        <f>"93779"</f>
        <v>93779</v>
      </c>
      <c r="C4136" s="1">
        <v>2.8459479737712802E-4</v>
      </c>
      <c r="D4136" s="1">
        <v>1.16184500987568E-3</v>
      </c>
      <c r="E4136" s="1">
        <v>1.10735839654504E-4</v>
      </c>
      <c r="F4136" s="1">
        <v>3.5219007273599198E-4</v>
      </c>
    </row>
    <row r="4137" spans="1:6" x14ac:dyDescent="0.25">
      <c r="A4137" s="2" t="str">
        <f t="shared" si="144"/>
        <v>23420</v>
      </c>
      <c r="B4137" s="2" t="str">
        <f>"93747"</f>
        <v>93747</v>
      </c>
      <c r="C4137" s="1">
        <v>2.4693629388581099E-3</v>
      </c>
      <c r="D4137" s="1">
        <v>7.7843615661670699E-3</v>
      </c>
      <c r="E4137" s="1">
        <v>1.10735839654504E-4</v>
      </c>
      <c r="F4137" s="1">
        <v>2.8200183838222302E-3</v>
      </c>
    </row>
    <row r="4138" spans="1:6" x14ac:dyDescent="0.25">
      <c r="A4138" s="2" t="str">
        <f t="shared" si="144"/>
        <v>23420</v>
      </c>
      <c r="B4138" s="2" t="str">
        <f>"93727"</f>
        <v>93727</v>
      </c>
      <c r="C4138" s="1">
        <v>7.3436956502991105E-2</v>
      </c>
      <c r="D4138" s="1">
        <v>6.6660857441617205E-2</v>
      </c>
      <c r="E4138" s="1">
        <v>7.5300370965062799E-2</v>
      </c>
      <c r="F4138" s="1">
        <v>7.2938314283430505E-2</v>
      </c>
    </row>
    <row r="4139" spans="1:6" x14ac:dyDescent="0.25">
      <c r="A4139" s="2" t="str">
        <f t="shared" si="144"/>
        <v>23420</v>
      </c>
      <c r="B4139" s="2" t="str">
        <f>"93621"</f>
        <v>93621</v>
      </c>
      <c r="C4139" s="1">
        <v>6.8992678152031103E-4</v>
      </c>
      <c r="D4139" s="1">
        <v>1.4523062623446E-4</v>
      </c>
      <c r="E4139" s="1">
        <v>1.6610375948175599E-4</v>
      </c>
      <c r="F4139" s="1">
        <v>6.1945487970585804E-4</v>
      </c>
    </row>
    <row r="4140" spans="1:6" x14ac:dyDescent="0.25">
      <c r="A4140" s="2" t="str">
        <f t="shared" si="144"/>
        <v>23420</v>
      </c>
      <c r="B4140" s="2" t="str">
        <f>"93624"</f>
        <v>93624</v>
      </c>
      <c r="C4140" s="1">
        <v>0</v>
      </c>
      <c r="D4140" s="1">
        <v>0</v>
      </c>
      <c r="E4140" s="1">
        <v>5.5367919827251998E-5</v>
      </c>
      <c r="F4140" s="1">
        <v>2.4978019342978101E-6</v>
      </c>
    </row>
    <row r="4141" spans="1:6" x14ac:dyDescent="0.25">
      <c r="A4141" s="2" t="str">
        <f t="shared" si="144"/>
        <v>23420</v>
      </c>
      <c r="B4141" s="2" t="str">
        <f>"93620"</f>
        <v>93620</v>
      </c>
      <c r="C4141" s="1">
        <v>6.2668349321428197E-4</v>
      </c>
      <c r="D4141" s="1">
        <v>8.71383757406761E-5</v>
      </c>
      <c r="E4141" s="1">
        <v>1.10735839654504E-4</v>
      </c>
      <c r="F4141" s="1">
        <v>5.5700983134841298E-4</v>
      </c>
    </row>
    <row r="4142" spans="1:6" x14ac:dyDescent="0.25">
      <c r="A4142" s="2" t="str">
        <f t="shared" si="144"/>
        <v>23420</v>
      </c>
      <c r="B4142" s="2" t="str">
        <f>"93616"</f>
        <v>93616</v>
      </c>
      <c r="C4142" s="1">
        <v>1.28211393565857E-3</v>
      </c>
      <c r="D4142" s="1">
        <v>4.0664575345648798E-4</v>
      </c>
      <c r="E4142" s="1">
        <v>1.3841979956813E-3</v>
      </c>
      <c r="F4142" s="1">
        <v>1.21143393813444E-3</v>
      </c>
    </row>
    <row r="4143" spans="1:6" x14ac:dyDescent="0.25">
      <c r="A4143" s="2" t="str">
        <f t="shared" si="144"/>
        <v>23420</v>
      </c>
      <c r="B4143" s="2" t="str">
        <f>"93667"</f>
        <v>93667</v>
      </c>
      <c r="C4143" s="1">
        <v>2.6763409733142002E-3</v>
      </c>
      <c r="D4143" s="1">
        <v>3.4855350296270402E-4</v>
      </c>
      <c r="E4143" s="1">
        <v>5.5367919827251998E-5</v>
      </c>
      <c r="F4143" s="1">
        <v>2.35792502597714E-3</v>
      </c>
    </row>
    <row r="4144" spans="1:6" x14ac:dyDescent="0.25">
      <c r="A4144" s="2" t="str">
        <f t="shared" si="144"/>
        <v>23420</v>
      </c>
      <c r="B4144" s="2" t="str">
        <f>"93657"</f>
        <v>93657</v>
      </c>
      <c r="C4144" s="1">
        <v>3.7497520575628898E-2</v>
      </c>
      <c r="D4144" s="1">
        <v>2.4573021958870601E-2</v>
      </c>
      <c r="E4144" s="1">
        <v>3.4549581972205298E-2</v>
      </c>
      <c r="F4144" s="1">
        <v>3.6253097274398502E-2</v>
      </c>
    </row>
    <row r="4145" spans="1:6" x14ac:dyDescent="0.25">
      <c r="A4145" s="2" t="str">
        <f t="shared" si="144"/>
        <v>23420</v>
      </c>
      <c r="B4145" s="2" t="str">
        <f>"93654"</f>
        <v>93654</v>
      </c>
      <c r="C4145" s="1">
        <v>2.9988817436749499E-2</v>
      </c>
      <c r="D4145" s="1">
        <v>2.8261879865225902E-2</v>
      </c>
      <c r="E4145" s="1">
        <v>2.7407120314489698E-2</v>
      </c>
      <c r="F4145" s="1">
        <v>2.9723843018144E-2</v>
      </c>
    </row>
    <row r="4146" spans="1:6" x14ac:dyDescent="0.25">
      <c r="A4146" s="2" t="str">
        <f t="shared" si="144"/>
        <v>23420</v>
      </c>
      <c r="B4146" s="2" t="str">
        <f>"93650"</f>
        <v>93650</v>
      </c>
      <c r="C4146" s="1">
        <v>6.0368593383027204E-3</v>
      </c>
      <c r="D4146" s="1">
        <v>1.1560357848263E-2</v>
      </c>
      <c r="E4146" s="1">
        <v>6.0351032611704698E-3</v>
      </c>
      <c r="F4146" s="1">
        <v>6.5117696427144101E-3</v>
      </c>
    </row>
    <row r="4147" spans="1:6" x14ac:dyDescent="0.25">
      <c r="A4147" s="2" t="str">
        <f t="shared" si="144"/>
        <v>23420</v>
      </c>
      <c r="B4147" s="2" t="str">
        <f>"93706"</f>
        <v>93706</v>
      </c>
      <c r="C4147" s="1">
        <v>3.4484840296323503E-2</v>
      </c>
      <c r="D4147" s="1">
        <v>3.8718484954107103E-2</v>
      </c>
      <c r="E4147" s="1">
        <v>2.5967554398981199E-2</v>
      </c>
      <c r="F4147" s="1">
        <v>3.44646710894412E-2</v>
      </c>
    </row>
    <row r="4148" spans="1:6" x14ac:dyDescent="0.25">
      <c r="A4148" s="2" t="str">
        <f t="shared" si="144"/>
        <v>23420</v>
      </c>
      <c r="B4148" s="2" t="str">
        <f>"93774"</f>
        <v>93774</v>
      </c>
      <c r="C4148" s="1">
        <v>2.93218882146132E-4</v>
      </c>
      <c r="D4148" s="1">
        <v>1.2199372603694601E-3</v>
      </c>
      <c r="E4148" s="1">
        <v>1.10735839654504E-4</v>
      </c>
      <c r="F4148" s="1">
        <v>3.6467908240748098E-4</v>
      </c>
    </row>
    <row r="4149" spans="1:6" x14ac:dyDescent="0.25">
      <c r="A4149" s="2" t="str">
        <f t="shared" si="144"/>
        <v>23420</v>
      </c>
      <c r="B4149" s="2" t="str">
        <f>"93760"</f>
        <v>93760</v>
      </c>
      <c r="C4149" s="1">
        <v>0</v>
      </c>
      <c r="D4149" s="1">
        <v>2.9046125246891999E-5</v>
      </c>
      <c r="E4149" s="1">
        <v>0</v>
      </c>
      <c r="F4149" s="1">
        <v>2.4978019342978101E-6</v>
      </c>
    </row>
    <row r="4150" spans="1:6" x14ac:dyDescent="0.25">
      <c r="A4150" s="2" t="str">
        <f t="shared" si="144"/>
        <v>23420</v>
      </c>
      <c r="B4150" s="2" t="str">
        <f>"93625"</f>
        <v>93625</v>
      </c>
      <c r="C4150" s="1">
        <v>7.6553125799524498E-3</v>
      </c>
      <c r="D4150" s="1">
        <v>6.1868246775880001E-3</v>
      </c>
      <c r="E4150" s="1">
        <v>6.9763578982337598E-3</v>
      </c>
      <c r="F4150" s="1">
        <v>7.4984014067620399E-3</v>
      </c>
    </row>
    <row r="4151" spans="1:6" x14ac:dyDescent="0.25">
      <c r="A4151" s="2" t="str">
        <f t="shared" si="144"/>
        <v>23420</v>
      </c>
      <c r="B4151" s="2" t="str">
        <f>"93619"</f>
        <v>93619</v>
      </c>
      <c r="C4151" s="1">
        <v>4.9306767319318198E-2</v>
      </c>
      <c r="D4151" s="1">
        <v>3.8921807830835302E-3</v>
      </c>
      <c r="E4151" s="1">
        <v>2.1593488732628298E-3</v>
      </c>
      <c r="F4151" s="1">
        <v>4.32744185117096E-2</v>
      </c>
    </row>
    <row r="4152" spans="1:6" x14ac:dyDescent="0.25">
      <c r="A4152" s="2" t="str">
        <f t="shared" si="144"/>
        <v>23420</v>
      </c>
      <c r="B4152" s="2" t="str">
        <f>"93618"</f>
        <v>93618</v>
      </c>
      <c r="C4152" s="1">
        <v>3.0759235676113803E-4</v>
      </c>
      <c r="D4152" s="1">
        <v>1.16184500987568E-4</v>
      </c>
      <c r="E4152" s="1">
        <v>0</v>
      </c>
      <c r="F4152" s="1">
        <v>2.77256014707057E-4</v>
      </c>
    </row>
    <row r="4153" spans="1:6" x14ac:dyDescent="0.25">
      <c r="A4153" s="2" t="str">
        <f t="shared" si="144"/>
        <v>23420</v>
      </c>
      <c r="B4153" s="2" t="str">
        <f>"93710"</f>
        <v>93710</v>
      </c>
      <c r="C4153" s="1">
        <v>3.5672089299523001E-2</v>
      </c>
      <c r="D4153" s="1">
        <v>6.3088184036249495E-2</v>
      </c>
      <c r="E4153" s="1">
        <v>5.9741985493605002E-2</v>
      </c>
      <c r="F4153" s="1">
        <v>3.9115578291103799E-2</v>
      </c>
    </row>
    <row r="4154" spans="1:6" x14ac:dyDescent="0.25">
      <c r="A4154" s="2" t="str">
        <f t="shared" si="144"/>
        <v>23420</v>
      </c>
      <c r="B4154" s="2" t="str">
        <f>"93664"</f>
        <v>93664</v>
      </c>
      <c r="C4154" s="1">
        <v>7.5891945967234201E-4</v>
      </c>
      <c r="D4154" s="1">
        <v>5.2283025444405703E-4</v>
      </c>
      <c r="E4154" s="1">
        <v>5.5367919827251998E-5</v>
      </c>
      <c r="F4154" s="1">
        <v>7.0687794740628197E-4</v>
      </c>
    </row>
    <row r="4155" spans="1:6" x14ac:dyDescent="0.25">
      <c r="A4155" s="2" t="str">
        <f t="shared" si="144"/>
        <v>23420</v>
      </c>
      <c r="B4155" s="2" t="str">
        <f>"93649"</f>
        <v>93649</v>
      </c>
      <c r="C4155" s="1">
        <v>0</v>
      </c>
      <c r="D4155" s="1">
        <v>0</v>
      </c>
      <c r="E4155" s="1">
        <v>5.5367919827251998E-5</v>
      </c>
      <c r="F4155" s="1">
        <v>2.4978019342978101E-6</v>
      </c>
    </row>
    <row r="4156" spans="1:6" x14ac:dyDescent="0.25">
      <c r="A4156" s="2" t="str">
        <f t="shared" si="144"/>
        <v>23420</v>
      </c>
      <c r="B4156" s="2" t="str">
        <f>"93662"</f>
        <v>93662</v>
      </c>
      <c r="C4156" s="1">
        <v>2.7137120073132199E-2</v>
      </c>
      <c r="D4156" s="1">
        <v>2.0128964796096199E-2</v>
      </c>
      <c r="E4156" s="1">
        <v>1.84375173024749E-2</v>
      </c>
      <c r="F4156" s="1">
        <v>2.6141995044360902E-2</v>
      </c>
    </row>
    <row r="4157" spans="1:6" x14ac:dyDescent="0.25">
      <c r="A4157" s="2" t="str">
        <f t="shared" si="144"/>
        <v>23420</v>
      </c>
      <c r="B4157" s="2" t="str">
        <f>"93792"</f>
        <v>93792</v>
      </c>
      <c r="C4157" s="1">
        <v>1.23611881689055E-4</v>
      </c>
      <c r="D4157" s="1">
        <v>9.5852213314743802E-4</v>
      </c>
      <c r="E4157" s="1">
        <v>1.10735839654504E-4</v>
      </c>
      <c r="F4157" s="1">
        <v>1.94828550875229E-4</v>
      </c>
    </row>
    <row r="4158" spans="1:6" x14ac:dyDescent="0.25">
      <c r="A4158" s="2" t="str">
        <f t="shared" si="144"/>
        <v>23420</v>
      </c>
      <c r="B4158" s="2" t="str">
        <f>"93737"</f>
        <v>93737</v>
      </c>
      <c r="C4158" s="1">
        <v>6.2409626778358101E-3</v>
      </c>
      <c r="D4158" s="1">
        <v>4.0664575345648798E-4</v>
      </c>
      <c r="E4158" s="1">
        <v>2.7683959913626E-4</v>
      </c>
      <c r="F4158" s="1">
        <v>5.4701862361122202E-3</v>
      </c>
    </row>
    <row r="4159" spans="1:6" x14ac:dyDescent="0.25">
      <c r="A4159" s="2" t="str">
        <f t="shared" si="144"/>
        <v>23420</v>
      </c>
      <c r="B4159" s="2" t="str">
        <f>"93726"</f>
        <v>93726</v>
      </c>
      <c r="C4159" s="1">
        <v>4.4442783509600001E-2</v>
      </c>
      <c r="D4159" s="1">
        <v>4.0112698965957899E-2</v>
      </c>
      <c r="E4159" s="1">
        <v>5.7305797021205897E-2</v>
      </c>
      <c r="F4159" s="1">
        <v>4.4650707377507703E-2</v>
      </c>
    </row>
    <row r="4160" spans="1:6" x14ac:dyDescent="0.25">
      <c r="A4160" s="2" t="str">
        <f t="shared" si="144"/>
        <v>23420</v>
      </c>
      <c r="B4160" s="2" t="str">
        <f>"93628"</f>
        <v>93628</v>
      </c>
      <c r="C4160" s="1">
        <v>4.7719935721821501E-4</v>
      </c>
      <c r="D4160" s="1">
        <v>2.9046125246891999E-5</v>
      </c>
      <c r="E4160" s="1">
        <v>1.10735839654504E-4</v>
      </c>
      <c r="F4160" s="1">
        <v>4.22128526896331E-4</v>
      </c>
    </row>
    <row r="4161" spans="1:6" x14ac:dyDescent="0.25">
      <c r="A4161" s="2" t="str">
        <f t="shared" si="144"/>
        <v>23420</v>
      </c>
      <c r="B4161" s="2" t="str">
        <f>"93717"</f>
        <v>93717</v>
      </c>
      <c r="C4161" s="1">
        <v>3.0184296691513599E-4</v>
      </c>
      <c r="D4161" s="1">
        <v>4.0664575345648798E-4</v>
      </c>
      <c r="E4161" s="1">
        <v>1.10735839654504E-4</v>
      </c>
      <c r="F4161" s="1">
        <v>3.02234034050035E-4</v>
      </c>
    </row>
    <row r="4162" spans="1:6" x14ac:dyDescent="0.25">
      <c r="A4162" s="2" t="str">
        <f t="shared" ref="A4162:A4193" si="145">"23420"</f>
        <v>23420</v>
      </c>
      <c r="B4162" s="2" t="str">
        <f>"93711"</f>
        <v>93711</v>
      </c>
      <c r="C4162" s="1">
        <v>4.8823818572253999E-2</v>
      </c>
      <c r="D4162" s="1">
        <v>6.82293482049494E-2</v>
      </c>
      <c r="E4162" s="1">
        <v>7.4193012568517805E-2</v>
      </c>
      <c r="F4162" s="1">
        <v>5.1637059387738701E-2</v>
      </c>
    </row>
    <row r="4163" spans="1:6" x14ac:dyDescent="0.25">
      <c r="A4163" s="2" t="str">
        <f t="shared" si="145"/>
        <v>23420</v>
      </c>
      <c r="B4163" s="2" t="str">
        <f>"93647"</f>
        <v>93647</v>
      </c>
      <c r="C4163" s="1">
        <v>1.7248169538007698E-5</v>
      </c>
      <c r="D4163" s="1">
        <v>0</v>
      </c>
      <c r="E4163" s="1">
        <v>0</v>
      </c>
      <c r="F4163" s="1">
        <v>1.49868116057869E-5</v>
      </c>
    </row>
    <row r="4164" spans="1:6" x14ac:dyDescent="0.25">
      <c r="A4164" s="2" t="str">
        <f t="shared" si="145"/>
        <v>23420</v>
      </c>
      <c r="B4164" s="2" t="str">
        <f>"93648"</f>
        <v>93648</v>
      </c>
      <c r="C4164" s="1">
        <v>1.46408212428456E-2</v>
      </c>
      <c r="D4164" s="1">
        <v>7.1453468107354401E-3</v>
      </c>
      <c r="E4164" s="1">
        <v>5.4814240628979502E-3</v>
      </c>
      <c r="F4164" s="1">
        <v>1.3583046918711501E-2</v>
      </c>
    </row>
    <row r="4165" spans="1:6" x14ac:dyDescent="0.25">
      <c r="A4165" s="2" t="str">
        <f t="shared" si="145"/>
        <v>23420</v>
      </c>
      <c r="B4165" s="2" t="str">
        <f>"93705"</f>
        <v>93705</v>
      </c>
      <c r="C4165" s="1">
        <v>3.75808867283959E-2</v>
      </c>
      <c r="D4165" s="1">
        <v>1.2402695480422899E-2</v>
      </c>
      <c r="E4165" s="1">
        <v>5.2267316316925903E-2</v>
      </c>
      <c r="F4165" s="1">
        <v>3.6078251138997597E-2</v>
      </c>
    </row>
    <row r="4166" spans="1:6" x14ac:dyDescent="0.25">
      <c r="A4166" s="2" t="str">
        <f t="shared" si="145"/>
        <v>23420</v>
      </c>
      <c r="B4166" s="2" t="str">
        <f>"93640"</f>
        <v>93640</v>
      </c>
      <c r="C4166" s="1">
        <v>8.7218243963859306E-3</v>
      </c>
      <c r="D4166" s="1">
        <v>5.5768560474032704E-3</v>
      </c>
      <c r="E4166" s="1">
        <v>8.1944521344332992E-3</v>
      </c>
      <c r="F4166" s="1">
        <v>8.4275837263208305E-3</v>
      </c>
    </row>
    <row r="4167" spans="1:6" x14ac:dyDescent="0.25">
      <c r="A4167" s="2" t="str">
        <f t="shared" si="145"/>
        <v>23420</v>
      </c>
      <c r="B4167" s="2" t="str">
        <f>"93234"</f>
        <v>93234</v>
      </c>
      <c r="C4167" s="1">
        <v>2.8746949230012901E-6</v>
      </c>
      <c r="D4167" s="1">
        <v>1.16184500987568E-4</v>
      </c>
      <c r="E4167" s="1">
        <v>0</v>
      </c>
      <c r="F4167" s="1">
        <v>1.2489009671489001E-5</v>
      </c>
    </row>
    <row r="4168" spans="1:6" x14ac:dyDescent="0.25">
      <c r="A4168" s="2" t="str">
        <f t="shared" si="145"/>
        <v>23420</v>
      </c>
      <c r="B4168" s="2" t="str">
        <f>"93775"</f>
        <v>93775</v>
      </c>
      <c r="C4168" s="1">
        <v>2.21351509071099E-4</v>
      </c>
      <c r="D4168" s="1">
        <v>1.53944463808527E-3</v>
      </c>
      <c r="E4168" s="1">
        <v>1.10735839654504E-4</v>
      </c>
      <c r="F4168" s="1">
        <v>3.2970985532731101E-4</v>
      </c>
    </row>
    <row r="4169" spans="1:6" x14ac:dyDescent="0.25">
      <c r="A4169" s="2" t="str">
        <f t="shared" si="145"/>
        <v>23420</v>
      </c>
      <c r="B4169" s="2" t="str">
        <f>"93730"</f>
        <v>93730</v>
      </c>
      <c r="C4169" s="1">
        <v>1.5057652006680701E-2</v>
      </c>
      <c r="D4169" s="1">
        <v>3.0498431509236599E-3</v>
      </c>
      <c r="E4169" s="1">
        <v>1.9932451137810699E-3</v>
      </c>
      <c r="F4169" s="1">
        <v>1.3435676604587899E-2</v>
      </c>
    </row>
    <row r="4170" spans="1:6" x14ac:dyDescent="0.25">
      <c r="A4170" s="2" t="str">
        <f t="shared" si="145"/>
        <v>23420</v>
      </c>
      <c r="B4170" s="2" t="str">
        <f>"93626"</f>
        <v>93626</v>
      </c>
      <c r="C4170" s="1">
        <v>1.52358830919068E-3</v>
      </c>
      <c r="D4170" s="1">
        <v>2.9046125246892001E-4</v>
      </c>
      <c r="E4170" s="1">
        <v>5.5367919827251998E-5</v>
      </c>
      <c r="F4170" s="1">
        <v>1.3513108464551101E-3</v>
      </c>
    </row>
    <row r="4171" spans="1:6" x14ac:dyDescent="0.25">
      <c r="A4171" s="2" t="str">
        <f t="shared" si="145"/>
        <v>23420</v>
      </c>
      <c r="B4171" s="2" t="str">
        <f>"93622"</f>
        <v>93622</v>
      </c>
      <c r="C4171" s="1">
        <v>1.02712849598836E-2</v>
      </c>
      <c r="D4171" s="1">
        <v>9.2947600790054593E-3</v>
      </c>
      <c r="E4171" s="1">
        <v>4.4294335861801599E-3</v>
      </c>
      <c r="F4171" s="1">
        <v>9.9237670849652293E-3</v>
      </c>
    </row>
    <row r="4172" spans="1:6" x14ac:dyDescent="0.25">
      <c r="A4172" s="2" t="str">
        <f t="shared" si="145"/>
        <v>23420</v>
      </c>
      <c r="B4172" s="2" t="str">
        <f>"93605"</f>
        <v>93605</v>
      </c>
      <c r="C4172" s="1">
        <v>0</v>
      </c>
      <c r="D4172" s="1">
        <v>0</v>
      </c>
      <c r="E4172" s="1">
        <v>5.5367919827251998E-5</v>
      </c>
      <c r="F4172" s="1">
        <v>2.4978019342978101E-6</v>
      </c>
    </row>
    <row r="4173" spans="1:6" x14ac:dyDescent="0.25">
      <c r="A4173" s="2" t="str">
        <f t="shared" si="145"/>
        <v>23420</v>
      </c>
      <c r="B4173" s="2" t="str">
        <f>"93708"</f>
        <v>93708</v>
      </c>
      <c r="C4173" s="1">
        <v>3.1621644153014201E-4</v>
      </c>
      <c r="D4173" s="1">
        <v>8.4233763215986902E-4</v>
      </c>
      <c r="E4173" s="1">
        <v>1.10735839654504E-4</v>
      </c>
      <c r="F4173" s="1">
        <v>3.5219007273599198E-4</v>
      </c>
    </row>
    <row r="4174" spans="1:6" x14ac:dyDescent="0.25">
      <c r="A4174" s="2" t="str">
        <f t="shared" si="145"/>
        <v>23420</v>
      </c>
      <c r="B4174" s="2" t="str">
        <f>"93716"</f>
        <v>93716</v>
      </c>
      <c r="C4174" s="1">
        <v>2.9034418722313001E-4</v>
      </c>
      <c r="D4174" s="1">
        <v>6.9710700592540901E-4</v>
      </c>
      <c r="E4174" s="1">
        <v>1.10735839654504E-4</v>
      </c>
      <c r="F4174" s="1">
        <v>3.1722084565582201E-4</v>
      </c>
    </row>
    <row r="4175" spans="1:6" x14ac:dyDescent="0.25">
      <c r="A4175" s="2" t="str">
        <f t="shared" si="145"/>
        <v>23420</v>
      </c>
      <c r="B4175" s="2" t="str">
        <f>"93675"</f>
        <v>93675</v>
      </c>
      <c r="C4175" s="1">
        <v>5.0220920304832597E-3</v>
      </c>
      <c r="D4175" s="1">
        <v>4.9378412919716505E-4</v>
      </c>
      <c r="E4175" s="1">
        <v>5.5367919827251998E-5</v>
      </c>
      <c r="F4175" s="1">
        <v>4.4086204140356402E-3</v>
      </c>
    </row>
    <row r="4176" spans="1:6" x14ac:dyDescent="0.25">
      <c r="A4176" s="2" t="str">
        <f t="shared" si="145"/>
        <v>23420</v>
      </c>
      <c r="B4176" s="2" t="str">
        <f>"93702"</f>
        <v>93702</v>
      </c>
      <c r="C4176" s="1">
        <v>3.7672876965931898E-2</v>
      </c>
      <c r="D4176" s="1">
        <v>2.7826187986522501E-2</v>
      </c>
      <c r="E4176" s="1">
        <v>6.3617739881512606E-2</v>
      </c>
      <c r="F4176" s="1">
        <v>3.7996563024538403E-2</v>
      </c>
    </row>
    <row r="4177" spans="1:6" x14ac:dyDescent="0.25">
      <c r="A4177" s="2" t="str">
        <f t="shared" si="145"/>
        <v>23420</v>
      </c>
      <c r="B4177" s="2" t="str">
        <f>"93634"</f>
        <v>93634</v>
      </c>
      <c r="C4177" s="1">
        <v>0</v>
      </c>
      <c r="D4177" s="1">
        <v>0</v>
      </c>
      <c r="E4177" s="1">
        <v>5.5367919827251998E-5</v>
      </c>
      <c r="F4177" s="1">
        <v>2.4978019342978101E-6</v>
      </c>
    </row>
    <row r="4178" spans="1:6" x14ac:dyDescent="0.25">
      <c r="A4178" s="2" t="str">
        <f t="shared" si="145"/>
        <v>23420</v>
      </c>
      <c r="B4178" s="2" t="str">
        <f>"93242"</f>
        <v>93242</v>
      </c>
      <c r="C4178" s="1">
        <v>1.9432937679488701E-3</v>
      </c>
      <c r="D4178" s="1">
        <v>3.1950737771581199E-4</v>
      </c>
      <c r="E4178" s="1">
        <v>5.5367919827251998E-5</v>
      </c>
      <c r="F4178" s="1">
        <v>1.7184877307968899E-3</v>
      </c>
    </row>
    <row r="4179" spans="1:6" x14ac:dyDescent="0.25">
      <c r="A4179" s="2" t="str">
        <f t="shared" si="145"/>
        <v>23420</v>
      </c>
      <c r="B4179" s="2" t="str">
        <f>"93603"</f>
        <v>93603</v>
      </c>
      <c r="C4179" s="1">
        <v>2.2997559384010301E-5</v>
      </c>
      <c r="D4179" s="1">
        <v>0</v>
      </c>
      <c r="E4179" s="1">
        <v>0</v>
      </c>
      <c r="F4179" s="1">
        <v>1.9982415474382501E-5</v>
      </c>
    </row>
    <row r="4180" spans="1:6" x14ac:dyDescent="0.25">
      <c r="A4180" s="2" t="str">
        <f t="shared" si="145"/>
        <v>23420</v>
      </c>
      <c r="B4180" s="2" t="str">
        <f>"93609"</f>
        <v>93609</v>
      </c>
      <c r="C4180" s="1">
        <v>3.6968576709796599E-3</v>
      </c>
      <c r="D4180" s="1">
        <v>1.16184500987568E-3</v>
      </c>
      <c r="E4180" s="1">
        <v>1.55030175516305E-3</v>
      </c>
      <c r="F4180" s="1">
        <v>3.3820238190392401E-3</v>
      </c>
    </row>
    <row r="4181" spans="1:6" x14ac:dyDescent="0.25">
      <c r="A4181" s="2" t="str">
        <f t="shared" si="145"/>
        <v>23420</v>
      </c>
      <c r="B4181" s="2" t="str">
        <f>"93718"</f>
        <v>93718</v>
      </c>
      <c r="C4181" s="1">
        <v>2.8459479737712802E-4</v>
      </c>
      <c r="D4181" s="1">
        <v>5.5187637969094901E-4</v>
      </c>
      <c r="E4181" s="1">
        <v>1.10735839654504E-4</v>
      </c>
      <c r="F4181" s="1">
        <v>2.9973623211573803E-4</v>
      </c>
    </row>
    <row r="4182" spans="1:6" x14ac:dyDescent="0.25">
      <c r="A4182" s="2" t="str">
        <f t="shared" si="145"/>
        <v>23420</v>
      </c>
      <c r="B4182" s="2" t="str">
        <f>"93707"</f>
        <v>93707</v>
      </c>
      <c r="C4182" s="1">
        <v>3.1046705168414002E-4</v>
      </c>
      <c r="D4182" s="1">
        <v>8.4233763215986902E-4</v>
      </c>
      <c r="E4182" s="1">
        <v>1.10735839654504E-4</v>
      </c>
      <c r="F4182" s="1">
        <v>3.4719446886739602E-4</v>
      </c>
    </row>
    <row r="4183" spans="1:6" x14ac:dyDescent="0.25">
      <c r="A4183" s="2" t="str">
        <f t="shared" si="145"/>
        <v>23420</v>
      </c>
      <c r="B4183" s="2" t="str">
        <f>"93642"</f>
        <v>93642</v>
      </c>
      <c r="C4183" s="1">
        <v>0</v>
      </c>
      <c r="D4183" s="1">
        <v>0</v>
      </c>
      <c r="E4183" s="1">
        <v>5.5367919827251998E-5</v>
      </c>
      <c r="F4183" s="1">
        <v>2.4978019342978101E-6</v>
      </c>
    </row>
    <row r="4184" spans="1:6" x14ac:dyDescent="0.25">
      <c r="A4184" s="2" t="str">
        <f t="shared" si="145"/>
        <v>23420</v>
      </c>
      <c r="B4184" s="2" t="str">
        <f>"93210"</f>
        <v>93210</v>
      </c>
      <c r="C4184" s="1">
        <v>1.4393597479467401E-2</v>
      </c>
      <c r="D4184" s="1">
        <v>1.24317416056698E-2</v>
      </c>
      <c r="E4184" s="1">
        <v>8.3051879740878107E-3</v>
      </c>
      <c r="F4184" s="1">
        <v>1.39502238030533E-2</v>
      </c>
    </row>
    <row r="4185" spans="1:6" x14ac:dyDescent="0.25">
      <c r="A4185" s="2" t="str">
        <f t="shared" si="145"/>
        <v>23420</v>
      </c>
      <c r="B4185" s="2" t="str">
        <f>"93777"</f>
        <v>93777</v>
      </c>
      <c r="C4185" s="1">
        <v>1.6673230553407501E-4</v>
      </c>
      <c r="D4185" s="1">
        <v>1.24898338561635E-3</v>
      </c>
      <c r="E4185" s="1">
        <v>1.10735839654504E-4</v>
      </c>
      <c r="F4185" s="1">
        <v>2.5727359923267501E-4</v>
      </c>
    </row>
    <row r="4186" spans="1:6" x14ac:dyDescent="0.25">
      <c r="A4186" s="2" t="str">
        <f t="shared" si="145"/>
        <v>23420</v>
      </c>
      <c r="B4186" s="2" t="str">
        <f>"93773"</f>
        <v>93773</v>
      </c>
      <c r="C4186" s="1">
        <v>2.7884540753112501E-4</v>
      </c>
      <c r="D4186" s="1">
        <v>6.6806088067851703E-4</v>
      </c>
      <c r="E4186" s="1">
        <v>1.10735839654504E-4</v>
      </c>
      <c r="F4186" s="1">
        <v>3.0473183598433301E-4</v>
      </c>
    </row>
    <row r="4187" spans="1:6" x14ac:dyDescent="0.25">
      <c r="A4187" s="2" t="str">
        <f t="shared" si="145"/>
        <v>23420</v>
      </c>
      <c r="B4187" s="2" t="str">
        <f>"93888"</f>
        <v>93888</v>
      </c>
      <c r="C4187" s="1">
        <v>0</v>
      </c>
      <c r="D4187" s="1">
        <v>0</v>
      </c>
      <c r="E4187" s="1">
        <v>5.5367919827251998E-5</v>
      </c>
      <c r="F4187" s="1">
        <v>2.4978019342978101E-6</v>
      </c>
    </row>
    <row r="4188" spans="1:6" x14ac:dyDescent="0.25">
      <c r="A4188" s="2" t="str">
        <f t="shared" si="145"/>
        <v>23420</v>
      </c>
      <c r="B4188" s="2" t="str">
        <f>"93771"</f>
        <v>93771</v>
      </c>
      <c r="C4188" s="1">
        <v>2.4434906845511E-4</v>
      </c>
      <c r="D4188" s="1">
        <v>6.6806088067851703E-4</v>
      </c>
      <c r="E4188" s="1">
        <v>1.10735839654504E-4</v>
      </c>
      <c r="F4188" s="1">
        <v>2.7475821277275899E-4</v>
      </c>
    </row>
    <row r="4189" spans="1:6" x14ac:dyDescent="0.25">
      <c r="A4189" s="2" t="str">
        <f t="shared" si="145"/>
        <v>23420</v>
      </c>
      <c r="B4189" s="2" t="str">
        <f>"93793"</f>
        <v>93793</v>
      </c>
      <c r="C4189" s="1">
        <v>1.23611881689055E-4</v>
      </c>
      <c r="D4189" s="1">
        <v>1.10375275938189E-3</v>
      </c>
      <c r="E4189" s="1">
        <v>1.10735839654504E-4</v>
      </c>
      <c r="F4189" s="1">
        <v>2.07317560546718E-4</v>
      </c>
    </row>
    <row r="4190" spans="1:6" x14ac:dyDescent="0.25">
      <c r="A4190" s="2" t="str">
        <f t="shared" si="145"/>
        <v>23420</v>
      </c>
      <c r="B4190" s="2" t="str">
        <f>"93790"</f>
        <v>93790</v>
      </c>
      <c r="C4190" s="1">
        <v>5.4044264552424303E-4</v>
      </c>
      <c r="D4190" s="1">
        <v>1.4523062623446E-3</v>
      </c>
      <c r="E4190" s="1">
        <v>1.10735839654504E-4</v>
      </c>
      <c r="F4190" s="1">
        <v>5.9947246423147605E-4</v>
      </c>
    </row>
    <row r="4191" spans="1:6" x14ac:dyDescent="0.25">
      <c r="A4191" s="2" t="str">
        <f t="shared" si="145"/>
        <v>23420</v>
      </c>
      <c r="B4191" s="2" t="str">
        <f>"93755"</f>
        <v>93755</v>
      </c>
      <c r="C4191" s="1">
        <v>2.1617705820969699E-3</v>
      </c>
      <c r="D4191" s="1">
        <v>9.0914372022772097E-3</v>
      </c>
      <c r="E4191" s="1">
        <v>1.10735839654504E-4</v>
      </c>
      <c r="F4191" s="1">
        <v>2.6651546638957698E-3</v>
      </c>
    </row>
    <row r="4192" spans="1:6" x14ac:dyDescent="0.25">
      <c r="A4192" s="2" t="str">
        <f t="shared" si="145"/>
        <v>23420</v>
      </c>
      <c r="B4192" s="2" t="str">
        <f>"93728"</f>
        <v>93728</v>
      </c>
      <c r="C4192" s="1">
        <v>1.8538907558435298E-2</v>
      </c>
      <c r="D4192" s="1">
        <v>2.37597304519577E-2</v>
      </c>
      <c r="E4192" s="1">
        <v>1.8216045623165901E-2</v>
      </c>
      <c r="F4192" s="1">
        <v>1.89733034929262E-2</v>
      </c>
    </row>
    <row r="4193" spans="1:6" x14ac:dyDescent="0.25">
      <c r="A4193" s="2" t="str">
        <f t="shared" si="145"/>
        <v>23420</v>
      </c>
      <c r="B4193" s="2" t="str">
        <f>"93724"</f>
        <v>93724</v>
      </c>
      <c r="C4193" s="1">
        <v>0</v>
      </c>
      <c r="D4193" s="1">
        <v>8.71383757406761E-5</v>
      </c>
      <c r="E4193" s="1">
        <v>2.2147167930900799E-4</v>
      </c>
      <c r="F4193" s="1">
        <v>1.7484613540084701E-5</v>
      </c>
    </row>
    <row r="4194" spans="1:6" x14ac:dyDescent="0.25">
      <c r="A4194" s="2" t="str">
        <f t="shared" ref="A4194:A4199" si="146">"23420"</f>
        <v>23420</v>
      </c>
      <c r="B4194" s="2" t="str">
        <f>"93602"</f>
        <v>93602</v>
      </c>
      <c r="C4194" s="1">
        <v>4.1798064180438802E-3</v>
      </c>
      <c r="D4194" s="1">
        <v>1.24898338561635E-3</v>
      </c>
      <c r="E4194" s="1">
        <v>6.0904711809977197E-4</v>
      </c>
      <c r="F4194" s="1">
        <v>3.7666853169211001E-3</v>
      </c>
    </row>
    <row r="4195" spans="1:6" x14ac:dyDescent="0.25">
      <c r="A4195" s="2" t="str">
        <f t="shared" si="146"/>
        <v>23420</v>
      </c>
      <c r="B4195" s="2" t="str">
        <f>"93612"</f>
        <v>93612</v>
      </c>
      <c r="C4195" s="1">
        <v>4.4767624035899102E-2</v>
      </c>
      <c r="D4195" s="1">
        <v>6.1693970024398699E-2</v>
      </c>
      <c r="E4195" s="1">
        <v>9.2741265710647197E-2</v>
      </c>
      <c r="F4195" s="1">
        <v>4.8387419071217297E-2</v>
      </c>
    </row>
    <row r="4196" spans="1:6" x14ac:dyDescent="0.25">
      <c r="A4196" s="2" t="str">
        <f t="shared" si="146"/>
        <v>23420</v>
      </c>
      <c r="B4196" s="2" t="str">
        <f>"93709"</f>
        <v>93709</v>
      </c>
      <c r="C4196" s="1">
        <v>3.5933686537516202E-4</v>
      </c>
      <c r="D4196" s="1">
        <v>6.6806088067851703E-4</v>
      </c>
      <c r="E4196" s="1">
        <v>1.10735839654504E-4</v>
      </c>
      <c r="F4196" s="1">
        <v>3.7467029014467198E-4</v>
      </c>
    </row>
    <row r="4197" spans="1:6" x14ac:dyDescent="0.25">
      <c r="A4197" s="2" t="str">
        <f t="shared" si="146"/>
        <v>23420</v>
      </c>
      <c r="B4197" s="2" t="str">
        <f>"93701"</f>
        <v>93701</v>
      </c>
      <c r="C4197" s="1">
        <v>1.1418288234161101E-2</v>
      </c>
      <c r="D4197" s="1">
        <v>1.9896595794121001E-2</v>
      </c>
      <c r="E4197" s="1">
        <v>3.7650185482531399E-2</v>
      </c>
      <c r="F4197" s="1">
        <v>1.33307689233474E-2</v>
      </c>
    </row>
    <row r="4198" spans="1:6" x14ac:dyDescent="0.25">
      <c r="A4198" s="2" t="str">
        <f t="shared" si="146"/>
        <v>23420</v>
      </c>
      <c r="B4198" s="2" t="str">
        <f>"93704"</f>
        <v>93704</v>
      </c>
      <c r="C4198" s="1">
        <v>3.3927149481261298E-2</v>
      </c>
      <c r="D4198" s="1">
        <v>2.7477634483559801E-2</v>
      </c>
      <c r="E4198" s="1">
        <v>6.2510381484967598E-2</v>
      </c>
      <c r="F4198" s="1">
        <v>3.4661997442250798E-2</v>
      </c>
    </row>
    <row r="4199" spans="1:6" x14ac:dyDescent="0.25">
      <c r="A4199" s="2" t="str">
        <f t="shared" si="146"/>
        <v>23420</v>
      </c>
      <c r="B4199" s="2" t="str">
        <f>"93641"</f>
        <v>93641</v>
      </c>
      <c r="C4199" s="1">
        <v>7.1867373075032404E-4</v>
      </c>
      <c r="D4199" s="1">
        <v>2.3236900197513599E-4</v>
      </c>
      <c r="E4199" s="1">
        <v>3.3220751896351197E-4</v>
      </c>
      <c r="F4199" s="1">
        <v>6.5941971065462299E-4</v>
      </c>
    </row>
    <row r="4200" spans="1:6" x14ac:dyDescent="0.25">
      <c r="A4200" s="2" t="str">
        <f t="shared" ref="A4200:A4239" si="147">"42020"</f>
        <v>42020</v>
      </c>
      <c r="B4200" s="2" t="str">
        <f>"93447"</f>
        <v>93447</v>
      </c>
      <c r="C4200" s="1">
        <v>2.2571679859278802E-2</v>
      </c>
      <c r="D4200" s="1">
        <v>4.0809628008752701E-2</v>
      </c>
      <c r="E4200" s="1">
        <v>1.5849116411759999E-4</v>
      </c>
      <c r="F4200" s="1">
        <v>2.2863880155354101E-2</v>
      </c>
    </row>
    <row r="4201" spans="1:6" x14ac:dyDescent="0.25">
      <c r="A4201" s="2" t="str">
        <f t="shared" si="147"/>
        <v>42020</v>
      </c>
      <c r="B4201" s="2" t="str">
        <f>"93442"</f>
        <v>93442</v>
      </c>
      <c r="C4201" s="1">
        <v>4.5931398416886503E-2</v>
      </c>
      <c r="D4201" s="1">
        <v>3.7253829321662997E-2</v>
      </c>
      <c r="E4201" s="1">
        <v>2.0920833663523201E-2</v>
      </c>
      <c r="F4201" s="1">
        <v>4.3190540040687897E-2</v>
      </c>
    </row>
    <row r="4202" spans="1:6" x14ac:dyDescent="0.25">
      <c r="A4202" s="2" t="str">
        <f t="shared" si="147"/>
        <v>42020</v>
      </c>
      <c r="B4202" s="2" t="str">
        <f>"93432"</f>
        <v>93432</v>
      </c>
      <c r="C4202" s="1">
        <v>3.1943711521547902E-3</v>
      </c>
      <c r="D4202" s="1">
        <v>1.0393873085339099E-3</v>
      </c>
      <c r="E4202" s="1">
        <v>0</v>
      </c>
      <c r="F4202" s="1">
        <v>2.7337248011836501E-3</v>
      </c>
    </row>
    <row r="4203" spans="1:6" x14ac:dyDescent="0.25">
      <c r="A4203" s="2" t="str">
        <f t="shared" si="147"/>
        <v>42020</v>
      </c>
      <c r="B4203" s="2" t="str">
        <f>"93424"</f>
        <v>93424</v>
      </c>
      <c r="C4203" s="1">
        <v>2.6666666666666601E-3</v>
      </c>
      <c r="D4203" s="1">
        <v>2.57111597374179E-3</v>
      </c>
      <c r="E4203" s="1">
        <v>3.1698232823519997E-4</v>
      </c>
      <c r="F4203" s="1">
        <v>2.4852043647124E-3</v>
      </c>
    </row>
    <row r="4204" spans="1:6" x14ac:dyDescent="0.25">
      <c r="A4204" s="2" t="str">
        <f t="shared" si="147"/>
        <v>42020</v>
      </c>
      <c r="B4204" s="2" t="str">
        <f>"93409"</f>
        <v>93409</v>
      </c>
      <c r="C4204" s="1">
        <v>0</v>
      </c>
      <c r="D4204" s="1">
        <v>5.4704595185995599E-5</v>
      </c>
      <c r="E4204" s="1">
        <v>0</v>
      </c>
      <c r="F4204" s="1">
        <v>5.7795450342148999E-6</v>
      </c>
    </row>
    <row r="4205" spans="1:6" x14ac:dyDescent="0.25">
      <c r="A4205" s="2" t="str">
        <f t="shared" si="147"/>
        <v>42020</v>
      </c>
      <c r="B4205" s="2" t="str">
        <f>"93407"</f>
        <v>93407</v>
      </c>
      <c r="C4205" s="1">
        <v>0</v>
      </c>
      <c r="D4205" s="1">
        <v>5.4704595185995599E-5</v>
      </c>
      <c r="E4205" s="1">
        <v>7.9245582058800197E-5</v>
      </c>
      <c r="F4205" s="1">
        <v>1.15590900684298E-5</v>
      </c>
    </row>
    <row r="4206" spans="1:6" x14ac:dyDescent="0.25">
      <c r="A4206" s="2" t="str">
        <f t="shared" si="147"/>
        <v>42020</v>
      </c>
      <c r="B4206" s="2" t="str">
        <f>"93449"</f>
        <v>93449</v>
      </c>
      <c r="C4206" s="1">
        <v>4.2089709762532901E-2</v>
      </c>
      <c r="D4206" s="1">
        <v>3.5667396061269098E-2</v>
      </c>
      <c r="E4206" s="1">
        <v>2.3377446707346001E-2</v>
      </c>
      <c r="F4206" s="1">
        <v>4.0046467542074998E-2</v>
      </c>
    </row>
    <row r="4207" spans="1:6" x14ac:dyDescent="0.25">
      <c r="A4207" s="2" t="str">
        <f t="shared" si="147"/>
        <v>42020</v>
      </c>
      <c r="B4207" s="2" t="str">
        <f>"93448"</f>
        <v>93448</v>
      </c>
      <c r="C4207" s="1">
        <v>1.28267370272647E-2</v>
      </c>
      <c r="D4207" s="1">
        <v>2.3304157549234102E-2</v>
      </c>
      <c r="E4207" s="1">
        <v>3.1698232823519997E-4</v>
      </c>
      <c r="F4207" s="1">
        <v>1.3021314962086099E-2</v>
      </c>
    </row>
    <row r="4208" spans="1:6" x14ac:dyDescent="0.25">
      <c r="A4208" s="2" t="str">
        <f t="shared" si="147"/>
        <v>42020</v>
      </c>
      <c r="B4208" s="2" t="str">
        <f>"93422"</f>
        <v>93422</v>
      </c>
      <c r="C4208" s="1">
        <v>9.4142480211081694E-2</v>
      </c>
      <c r="D4208" s="1">
        <v>7.7625820568927695E-2</v>
      </c>
      <c r="E4208" s="1">
        <v>5.5551153023218898E-2</v>
      </c>
      <c r="F4208" s="1">
        <v>8.9582948030330997E-2</v>
      </c>
    </row>
    <row r="4209" spans="1:6" x14ac:dyDescent="0.25">
      <c r="A4209" s="2" t="str">
        <f t="shared" si="147"/>
        <v>42020</v>
      </c>
      <c r="B4209" s="2" t="str">
        <f>"93420"</f>
        <v>93420</v>
      </c>
      <c r="C4209" s="1">
        <v>9.0645558487247105E-2</v>
      </c>
      <c r="D4209" s="1">
        <v>6.0065645514223102E-2</v>
      </c>
      <c r="E4209" s="1">
        <v>2.9875584436167599E-2</v>
      </c>
      <c r="F4209" s="1">
        <v>8.2982707601257602E-2</v>
      </c>
    </row>
    <row r="4210" spans="1:6" x14ac:dyDescent="0.25">
      <c r="A4210" s="2" t="str">
        <f t="shared" si="147"/>
        <v>42020</v>
      </c>
      <c r="B4210" s="2" t="str">
        <f>"93452"</f>
        <v>93452</v>
      </c>
      <c r="C4210" s="1">
        <v>2.1459982409850402E-3</v>
      </c>
      <c r="D4210" s="1">
        <v>2.24288840262582E-3</v>
      </c>
      <c r="E4210" s="1">
        <v>2.0603851335288001E-3</v>
      </c>
      <c r="F4210" s="1">
        <v>2.1499907527279399E-3</v>
      </c>
    </row>
    <row r="4211" spans="1:6" x14ac:dyDescent="0.25">
      <c r="A4211" s="2" t="str">
        <f t="shared" si="147"/>
        <v>42020</v>
      </c>
      <c r="B4211" s="2" t="str">
        <f>"93458"</f>
        <v>93458</v>
      </c>
      <c r="C4211" s="1">
        <v>4.7845206684256803E-4</v>
      </c>
      <c r="D4211" s="1">
        <v>0</v>
      </c>
      <c r="E4211" s="1">
        <v>1.5849116411759999E-4</v>
      </c>
      <c r="F4211" s="1">
        <v>4.0456815239504299E-4</v>
      </c>
    </row>
    <row r="4212" spans="1:6" x14ac:dyDescent="0.25">
      <c r="A4212" s="2" t="str">
        <f t="shared" si="147"/>
        <v>42020</v>
      </c>
      <c r="B4212" s="2" t="str">
        <f>"93475"</f>
        <v>93475</v>
      </c>
      <c r="C4212" s="1">
        <v>6.0228671943711497E-3</v>
      </c>
      <c r="D4212" s="1">
        <v>4.1028446389496697E-3</v>
      </c>
      <c r="E4212" s="1">
        <v>1.5849116411759999E-4</v>
      </c>
      <c r="F4212" s="1">
        <v>5.3923155169225004E-3</v>
      </c>
    </row>
    <row r="4213" spans="1:6" x14ac:dyDescent="0.25">
      <c r="A4213" s="2" t="str">
        <f t="shared" si="147"/>
        <v>42020</v>
      </c>
      <c r="B4213" s="2" t="str">
        <f>"93461"</f>
        <v>93461</v>
      </c>
      <c r="C4213" s="1">
        <v>2.2867194371152099E-3</v>
      </c>
      <c r="D4213" s="1">
        <v>9.8468271334792106E-4</v>
      </c>
      <c r="E4213" s="1">
        <v>7.9245582058800197E-5</v>
      </c>
      <c r="F4213" s="1">
        <v>1.9881634917699202E-3</v>
      </c>
    </row>
    <row r="4214" spans="1:6" x14ac:dyDescent="0.25">
      <c r="A4214" s="2" t="str">
        <f t="shared" si="147"/>
        <v>42020</v>
      </c>
      <c r="B4214" s="2" t="str">
        <f>"93435"</f>
        <v>93435</v>
      </c>
      <c r="C4214" s="1">
        <v>1.82937554969217E-4</v>
      </c>
      <c r="D4214" s="1">
        <v>2.73522975929978E-4</v>
      </c>
      <c r="E4214" s="1">
        <v>0</v>
      </c>
      <c r="F4214" s="1">
        <v>1.7916589606066199E-4</v>
      </c>
    </row>
    <row r="4215" spans="1:6" x14ac:dyDescent="0.25">
      <c r="A4215" s="2" t="str">
        <f t="shared" si="147"/>
        <v>42020</v>
      </c>
      <c r="B4215" s="2" t="str">
        <f>"93433"</f>
        <v>93433</v>
      </c>
      <c r="C4215" s="1">
        <v>4.0872471416007E-2</v>
      </c>
      <c r="D4215" s="1">
        <v>4.5185995623632298E-2</v>
      </c>
      <c r="E4215" s="1">
        <v>4.6596402250574501E-2</v>
      </c>
      <c r="F4215" s="1">
        <v>4.1745653782134198E-2</v>
      </c>
    </row>
    <row r="4216" spans="1:6" x14ac:dyDescent="0.25">
      <c r="A4216" s="2" t="str">
        <f t="shared" si="147"/>
        <v>42020</v>
      </c>
      <c r="B4216" s="2" t="str">
        <f>"93426"</f>
        <v>93426</v>
      </c>
      <c r="C4216" s="1">
        <v>4.47493403693931E-3</v>
      </c>
      <c r="D4216" s="1">
        <v>4.3763676148796398E-4</v>
      </c>
      <c r="E4216" s="1">
        <v>3.9622791029400101E-4</v>
      </c>
      <c r="F4216" s="1">
        <v>3.75092472720547E-3</v>
      </c>
    </row>
    <row r="4217" spans="1:6" x14ac:dyDescent="0.25">
      <c r="A4217" s="2" t="str">
        <f t="shared" si="147"/>
        <v>42020</v>
      </c>
      <c r="B4217" s="2" t="str">
        <f>"93405"</f>
        <v>93405</v>
      </c>
      <c r="C4217" s="1">
        <v>7.4406332453825802E-2</v>
      </c>
      <c r="D4217" s="1">
        <v>3.4956236323851198E-2</v>
      </c>
      <c r="E4217" s="1">
        <v>5.8483239559394502E-2</v>
      </c>
      <c r="F4217" s="1">
        <v>6.9077122248936501E-2</v>
      </c>
    </row>
    <row r="4218" spans="1:6" x14ac:dyDescent="0.25">
      <c r="A4218" s="2" t="str">
        <f t="shared" si="147"/>
        <v>42020</v>
      </c>
      <c r="B4218" s="2" t="str">
        <f>"93454"</f>
        <v>93454</v>
      </c>
      <c r="C4218" s="1">
        <v>9.9912049252418597E-4</v>
      </c>
      <c r="D4218" s="1">
        <v>5.4704595185995599E-5</v>
      </c>
      <c r="E4218" s="1">
        <v>0</v>
      </c>
      <c r="F4218" s="1">
        <v>8.2647493989273103E-4</v>
      </c>
    </row>
    <row r="4219" spans="1:6" x14ac:dyDescent="0.25">
      <c r="A4219" s="2" t="str">
        <f t="shared" si="147"/>
        <v>42020</v>
      </c>
      <c r="B4219" s="2" t="str">
        <f>"93451"</f>
        <v>93451</v>
      </c>
      <c r="C4219" s="1">
        <v>7.6693051890941001E-3</v>
      </c>
      <c r="D4219" s="1">
        <v>4.3763676148796398E-4</v>
      </c>
      <c r="E4219" s="1">
        <v>7.1321023852920099E-4</v>
      </c>
      <c r="F4219" s="1">
        <v>6.3979563528759002E-3</v>
      </c>
    </row>
    <row r="4220" spans="1:6" x14ac:dyDescent="0.25">
      <c r="A4220" s="2" t="str">
        <f t="shared" si="147"/>
        <v>42020</v>
      </c>
      <c r="B4220" s="2" t="str">
        <f>"93446"</f>
        <v>93446</v>
      </c>
      <c r="C4220" s="1">
        <v>0.13624626209322699</v>
      </c>
      <c r="D4220" s="1">
        <v>0.121115973741794</v>
      </c>
      <c r="E4220" s="1">
        <v>8.3921071400269401E-2</v>
      </c>
      <c r="F4220" s="1">
        <v>0.130831560939522</v>
      </c>
    </row>
    <row r="4221" spans="1:6" x14ac:dyDescent="0.25">
      <c r="A4221" s="2" t="str">
        <f t="shared" si="147"/>
        <v>42020</v>
      </c>
      <c r="B4221" s="2" t="str">
        <f>"93465"</f>
        <v>93465</v>
      </c>
      <c r="C4221" s="1">
        <v>3.6341248900615603E-2</v>
      </c>
      <c r="D4221" s="1">
        <v>3.5120350109409101E-2</v>
      </c>
      <c r="E4221" s="1">
        <v>1.4264204770584E-2</v>
      </c>
      <c r="F4221" s="1">
        <v>3.4602136119844598E-2</v>
      </c>
    </row>
    <row r="4222" spans="1:6" x14ac:dyDescent="0.25">
      <c r="A4222" s="2" t="str">
        <f t="shared" si="147"/>
        <v>42020</v>
      </c>
      <c r="B4222" s="2" t="str">
        <f>"93444"</f>
        <v>93444</v>
      </c>
      <c r="C4222" s="1">
        <v>6.8883025505716705E-2</v>
      </c>
      <c r="D4222" s="1">
        <v>3.18927789934354E-2</v>
      </c>
      <c r="E4222" s="1">
        <v>1.6086853157936402E-2</v>
      </c>
      <c r="F4222" s="1">
        <v>6.1124468281856803E-2</v>
      </c>
    </row>
    <row r="4223" spans="1:6" x14ac:dyDescent="0.25">
      <c r="A4223" s="2" t="str">
        <f t="shared" si="147"/>
        <v>42020</v>
      </c>
      <c r="B4223" s="2" t="str">
        <f>"93254"</f>
        <v>93254</v>
      </c>
      <c r="C4223" s="1">
        <v>0</v>
      </c>
      <c r="D4223" s="1">
        <v>5.4704595185995599E-5</v>
      </c>
      <c r="E4223" s="1">
        <v>0</v>
      </c>
      <c r="F4223" s="1">
        <v>5.7795450342148999E-6</v>
      </c>
    </row>
    <row r="4224" spans="1:6" x14ac:dyDescent="0.25">
      <c r="A4224" s="2" t="str">
        <f t="shared" si="147"/>
        <v>42020</v>
      </c>
      <c r="B4224" s="2" t="str">
        <f>"93421"</f>
        <v>93421</v>
      </c>
      <c r="C4224" s="1">
        <v>7.16974494283201E-3</v>
      </c>
      <c r="D4224" s="1">
        <v>2.4015317286651999E-2</v>
      </c>
      <c r="E4224" s="1">
        <v>3.1698232823519997E-4</v>
      </c>
      <c r="F4224" s="1">
        <v>8.4496948400221896E-3</v>
      </c>
    </row>
    <row r="4225" spans="1:6" x14ac:dyDescent="0.25">
      <c r="A4225" s="2" t="str">
        <f t="shared" si="147"/>
        <v>42020</v>
      </c>
      <c r="B4225" s="2" t="str">
        <f>"93406"</f>
        <v>93406</v>
      </c>
      <c r="C4225" s="1">
        <v>1.9370272647317499E-2</v>
      </c>
      <c r="D4225" s="1">
        <v>4.0426695842450698E-2</v>
      </c>
      <c r="E4225" s="1">
        <v>1.5849116411759999E-4</v>
      </c>
      <c r="F4225" s="1">
        <v>2.0193730349546801E-2</v>
      </c>
    </row>
    <row r="4226" spans="1:6" x14ac:dyDescent="0.25">
      <c r="A4226" s="2" t="str">
        <f t="shared" si="147"/>
        <v>42020</v>
      </c>
      <c r="B4226" s="2" t="str">
        <f>"93402"</f>
        <v>93402</v>
      </c>
      <c r="C4226" s="1">
        <v>4.5164467897977102E-2</v>
      </c>
      <c r="D4226" s="1">
        <v>2.0404814004376302E-2</v>
      </c>
      <c r="E4226" s="1">
        <v>1.9890641096758799E-2</v>
      </c>
      <c r="F4226" s="1">
        <v>4.07053356759755E-2</v>
      </c>
    </row>
    <row r="4227" spans="1:6" x14ac:dyDescent="0.25">
      <c r="A4227" s="2" t="str">
        <f t="shared" si="147"/>
        <v>42020</v>
      </c>
      <c r="B4227" s="2" t="str">
        <f>"93401"</f>
        <v>93401</v>
      </c>
      <c r="C4227" s="1">
        <v>0.10316270888302501</v>
      </c>
      <c r="D4227" s="1">
        <v>0.21761487964988999</v>
      </c>
      <c r="E4227" s="1">
        <v>0.13741183928995901</v>
      </c>
      <c r="F4227" s="1">
        <v>0.117752450527094</v>
      </c>
    </row>
    <row r="4228" spans="1:6" x14ac:dyDescent="0.25">
      <c r="A4228" s="2" t="str">
        <f t="shared" si="147"/>
        <v>42020</v>
      </c>
      <c r="B4228" s="2" t="str">
        <f>"93428"</f>
        <v>93428</v>
      </c>
      <c r="C4228" s="1">
        <v>3.6376429199648098E-2</v>
      </c>
      <c r="D4228" s="1">
        <v>3.7363238512034998E-2</v>
      </c>
      <c r="E4228" s="1">
        <v>9.4302242649972196E-3</v>
      </c>
      <c r="F4228" s="1">
        <v>3.4515442944331398E-2</v>
      </c>
    </row>
    <row r="4229" spans="1:6" x14ac:dyDescent="0.25">
      <c r="A4229" s="2" t="str">
        <f t="shared" si="147"/>
        <v>42020</v>
      </c>
      <c r="B4229" s="2" t="str">
        <f>"93252"</f>
        <v>93252</v>
      </c>
      <c r="C4229" s="1">
        <v>2.1108179419524998E-5</v>
      </c>
      <c r="D4229" s="1">
        <v>5.4704595185995599E-5</v>
      </c>
      <c r="E4229" s="1">
        <v>0</v>
      </c>
      <c r="F4229" s="1">
        <v>2.3118180136859599E-5</v>
      </c>
    </row>
    <row r="4230" spans="1:6" x14ac:dyDescent="0.25">
      <c r="A4230" s="2" t="str">
        <f t="shared" si="147"/>
        <v>42020</v>
      </c>
      <c r="B4230" s="2" t="str">
        <f>"93410"</f>
        <v>93410</v>
      </c>
      <c r="C4230" s="1">
        <v>0</v>
      </c>
      <c r="D4230" s="1">
        <v>1.1487964989059E-3</v>
      </c>
      <c r="E4230" s="1">
        <v>0.45796021871780601</v>
      </c>
      <c r="F4230" s="1">
        <v>3.3521361198446398E-2</v>
      </c>
    </row>
    <row r="4231" spans="1:6" x14ac:dyDescent="0.25">
      <c r="A4231" s="2" t="str">
        <f t="shared" si="147"/>
        <v>42020</v>
      </c>
      <c r="B4231" s="2" t="str">
        <f>"93408"</f>
        <v>93408</v>
      </c>
      <c r="C4231" s="1">
        <v>0</v>
      </c>
      <c r="D4231" s="1">
        <v>6.5645514223194705E-4</v>
      </c>
      <c r="E4231" s="1">
        <v>5.5471907441160097E-4</v>
      </c>
      <c r="F4231" s="1">
        <v>1.09811355650083E-4</v>
      </c>
    </row>
    <row r="4232" spans="1:6" x14ac:dyDescent="0.25">
      <c r="A4232" s="2" t="str">
        <f t="shared" si="147"/>
        <v>42020</v>
      </c>
      <c r="B4232" s="2" t="str">
        <f>"93453"</f>
        <v>93453</v>
      </c>
      <c r="C4232" s="1">
        <v>8.2251539138082606E-3</v>
      </c>
      <c r="D4232" s="1">
        <v>1.6958424507658601E-3</v>
      </c>
      <c r="E4232" s="1">
        <v>1.5056660591172E-3</v>
      </c>
      <c r="F4232" s="1">
        <v>7.0452653967079696E-3</v>
      </c>
    </row>
    <row r="4233" spans="1:6" x14ac:dyDescent="0.25">
      <c r="A4233" s="2" t="str">
        <f t="shared" si="147"/>
        <v>42020</v>
      </c>
      <c r="B4233" s="2" t="str">
        <f>"93445"</f>
        <v>93445</v>
      </c>
      <c r="C4233" s="1">
        <v>1.9912049252418601E-2</v>
      </c>
      <c r="D4233" s="1">
        <v>7.6039387308533902E-3</v>
      </c>
      <c r="E4233" s="1">
        <v>1.47396782629368E-2</v>
      </c>
      <c r="F4233" s="1">
        <v>1.8234464582948001E-2</v>
      </c>
    </row>
    <row r="4234" spans="1:6" x14ac:dyDescent="0.25">
      <c r="A4234" s="2" t="str">
        <f t="shared" si="147"/>
        <v>42020</v>
      </c>
      <c r="B4234" s="2" t="str">
        <f>"93483"</f>
        <v>93483</v>
      </c>
      <c r="C4234" s="1">
        <v>6.9797713280562801E-3</v>
      </c>
      <c r="D4234" s="1">
        <v>1.04485776805251E-2</v>
      </c>
      <c r="E4234" s="1">
        <v>1.5849116411759999E-4</v>
      </c>
      <c r="F4234" s="1">
        <v>6.84876086554466E-3</v>
      </c>
    </row>
    <row r="4235" spans="1:6" x14ac:dyDescent="0.25">
      <c r="A4235" s="2" t="str">
        <f t="shared" si="147"/>
        <v>42020</v>
      </c>
      <c r="B4235" s="2" t="str">
        <f>"93443"</f>
        <v>93443</v>
      </c>
      <c r="C4235" s="1">
        <v>9.8293755496921698E-3</v>
      </c>
      <c r="D4235" s="1">
        <v>1.2636761487964899E-2</v>
      </c>
      <c r="E4235" s="1">
        <v>1.5849116411759999E-4</v>
      </c>
      <c r="F4235" s="1">
        <v>9.4206584057702908E-3</v>
      </c>
    </row>
    <row r="4236" spans="1:6" x14ac:dyDescent="0.25">
      <c r="A4236" s="2" t="str">
        <f t="shared" si="147"/>
        <v>42020</v>
      </c>
      <c r="B4236" s="2" t="str">
        <f>"93412"</f>
        <v>93412</v>
      </c>
      <c r="C4236" s="1">
        <v>5.8469656992084403E-3</v>
      </c>
      <c r="D4236" s="1">
        <v>1.2308533916848999E-2</v>
      </c>
      <c r="E4236" s="1">
        <v>1.5849116411759999E-4</v>
      </c>
      <c r="F4236" s="1">
        <v>6.1147586461993697E-3</v>
      </c>
    </row>
    <row r="4237" spans="1:6" x14ac:dyDescent="0.25">
      <c r="A4237" s="2" t="str">
        <f t="shared" si="147"/>
        <v>42020</v>
      </c>
      <c r="B4237" s="2" t="str">
        <f>"93403"</f>
        <v>93403</v>
      </c>
      <c r="C4237" s="1">
        <v>5.4881266490765098E-3</v>
      </c>
      <c r="D4237" s="1">
        <v>1.9693654266958401E-2</v>
      </c>
      <c r="E4237" s="1">
        <v>1.5849116411759999E-4</v>
      </c>
      <c r="F4237" s="1">
        <v>6.6002404290734203E-3</v>
      </c>
    </row>
    <row r="4238" spans="1:6" x14ac:dyDescent="0.25">
      <c r="A4238" s="2" t="str">
        <f t="shared" si="147"/>
        <v>42020</v>
      </c>
      <c r="B4238" s="2" t="str">
        <f>"93430"</f>
        <v>93430</v>
      </c>
      <c r="C4238" s="1">
        <v>2.0840809146877699E-2</v>
      </c>
      <c r="D4238" s="1">
        <v>1.1870897155361E-2</v>
      </c>
      <c r="E4238" s="1">
        <v>3.7245423567636099E-3</v>
      </c>
      <c r="F4238" s="1">
        <v>1.8644812280377201E-2</v>
      </c>
    </row>
    <row r="4239" spans="1:6" x14ac:dyDescent="0.25">
      <c r="A4239" s="2" t="str">
        <f t="shared" si="147"/>
        <v>42020</v>
      </c>
      <c r="B4239" s="2" t="str">
        <f>"93423"</f>
        <v>93423</v>
      </c>
      <c r="C4239" s="1">
        <v>1.65347405452946E-2</v>
      </c>
      <c r="D4239" s="1">
        <v>2.6750547045951801E-2</v>
      </c>
      <c r="E4239" s="1">
        <v>1.5849116411759999E-4</v>
      </c>
      <c r="F4239" s="1">
        <v>1.6419687442204501E-2</v>
      </c>
    </row>
    <row r="4240" spans="1:6" x14ac:dyDescent="0.25">
      <c r="A4240" s="2" t="str">
        <f t="shared" ref="A4240:A4271" si="148">"41940"</f>
        <v>41940</v>
      </c>
      <c r="B4240" s="2" t="str">
        <f>"95172"</f>
        <v>95172</v>
      </c>
      <c r="C4240" s="1">
        <v>9.3541420114439798E-4</v>
      </c>
      <c r="D4240" s="1">
        <v>7.4646956606867505E-4</v>
      </c>
      <c r="E4240" s="1">
        <v>4.2454732641321102E-5</v>
      </c>
      <c r="F4240" s="1">
        <v>8.7056541645052804E-4</v>
      </c>
    </row>
    <row r="4241" spans="1:6" x14ac:dyDescent="0.25">
      <c r="A4241" s="2" t="str">
        <f t="shared" si="148"/>
        <v>41940</v>
      </c>
      <c r="B4241" s="2" t="str">
        <f>"95151"</f>
        <v>95151</v>
      </c>
      <c r="C4241" s="1">
        <v>2.5951477202412199E-3</v>
      </c>
      <c r="D4241" s="1">
        <v>2.01913899018576E-3</v>
      </c>
      <c r="E4241" s="1">
        <v>4.2454732641321102E-5</v>
      </c>
      <c r="F4241" s="1">
        <v>2.40645932474796E-3</v>
      </c>
    </row>
    <row r="4242" spans="1:6" x14ac:dyDescent="0.25">
      <c r="A4242" s="2" t="str">
        <f t="shared" si="148"/>
        <v>41940</v>
      </c>
      <c r="B4242" s="2" t="str">
        <f>"95153"</f>
        <v>95153</v>
      </c>
      <c r="C4242" s="1">
        <v>1.38794885698717E-3</v>
      </c>
      <c r="D4242" s="1">
        <v>4.5767150444210496E-3</v>
      </c>
      <c r="E4242" s="1">
        <v>4.2454732641321102E-5</v>
      </c>
      <c r="F4242" s="1">
        <v>1.6103204853514901E-3</v>
      </c>
    </row>
    <row r="4243" spans="1:6" x14ac:dyDescent="0.25">
      <c r="A4243" s="2" t="str">
        <f t="shared" si="148"/>
        <v>41940</v>
      </c>
      <c r="B4243" s="2" t="str">
        <f>"95135"</f>
        <v>95135</v>
      </c>
      <c r="C4243" s="1">
        <v>9.8541730160049499E-3</v>
      </c>
      <c r="D4243" s="1">
        <v>1.7009716341564801E-3</v>
      </c>
      <c r="E4243" s="1">
        <v>5.7313889065783595E-4</v>
      </c>
      <c r="F4243" s="1">
        <v>8.6098017546629296E-3</v>
      </c>
    </row>
    <row r="4244" spans="1:6" x14ac:dyDescent="0.25">
      <c r="A4244" s="2" t="str">
        <f t="shared" si="148"/>
        <v>41940</v>
      </c>
      <c r="B4244" s="2" t="str">
        <f>"95113"</f>
        <v>95113</v>
      </c>
      <c r="C4244" s="1">
        <v>1.88929920456809E-3</v>
      </c>
      <c r="D4244" s="1">
        <v>2.0717589759906001E-2</v>
      </c>
      <c r="E4244" s="1">
        <v>3.8633806703602201E-3</v>
      </c>
      <c r="F4244" s="1">
        <v>3.7292225805724E-3</v>
      </c>
    </row>
    <row r="4245" spans="1:6" x14ac:dyDescent="0.25">
      <c r="A4245" s="2" t="str">
        <f t="shared" si="148"/>
        <v>41940</v>
      </c>
      <c r="B4245" s="2" t="str">
        <f>"95030"</f>
        <v>95030</v>
      </c>
      <c r="C4245" s="1">
        <v>7.3949176268185398E-3</v>
      </c>
      <c r="D4245" s="1">
        <v>1.18456154090897E-2</v>
      </c>
      <c r="E4245" s="1">
        <v>6.0497994013882601E-3</v>
      </c>
      <c r="F4245" s="1">
        <v>7.7335979611628499E-3</v>
      </c>
    </row>
    <row r="4246" spans="1:6" x14ac:dyDescent="0.25">
      <c r="A4246" s="2" t="str">
        <f t="shared" si="148"/>
        <v>41940</v>
      </c>
      <c r="B4246" s="2" t="str">
        <f>"95020"</f>
        <v>95020</v>
      </c>
      <c r="C4246" s="1">
        <v>2.6963413298713702E-2</v>
      </c>
      <c r="D4246" s="1">
        <v>2.7974252918573601E-2</v>
      </c>
      <c r="E4246" s="1">
        <v>2.51332017236621E-2</v>
      </c>
      <c r="F4246" s="1">
        <v>2.6959336024718599E-2</v>
      </c>
    </row>
    <row r="4247" spans="1:6" x14ac:dyDescent="0.25">
      <c r="A4247" s="2" t="str">
        <f t="shared" si="148"/>
        <v>41940</v>
      </c>
      <c r="B4247" s="2" t="str">
        <f>"94088"</f>
        <v>94088</v>
      </c>
      <c r="C4247" s="1">
        <v>2.5265418832038302E-3</v>
      </c>
      <c r="D4247" s="1">
        <v>3.73234783034337E-3</v>
      </c>
      <c r="E4247" s="1">
        <v>4.2454732641321102E-5</v>
      </c>
      <c r="F4247" s="1">
        <v>2.5056947608200399E-3</v>
      </c>
    </row>
    <row r="4248" spans="1:6" x14ac:dyDescent="0.25">
      <c r="A4248" s="2" t="str">
        <f t="shared" si="148"/>
        <v>41940</v>
      </c>
      <c r="B4248" s="2" t="str">
        <f>"93925"</f>
        <v>93925</v>
      </c>
      <c r="C4248" s="1">
        <v>1.3193430199497801E-6</v>
      </c>
      <c r="D4248" s="1">
        <v>0</v>
      </c>
      <c r="E4248" s="1">
        <v>0</v>
      </c>
      <c r="F4248" s="1">
        <v>1.1276754099100099E-6</v>
      </c>
    </row>
    <row r="4249" spans="1:6" x14ac:dyDescent="0.25">
      <c r="A4249" s="2" t="str">
        <f t="shared" si="148"/>
        <v>41940</v>
      </c>
      <c r="B4249" s="2" t="str">
        <f>"95152"</f>
        <v>95152</v>
      </c>
      <c r="C4249" s="1">
        <v>8.1139595726911805E-4</v>
      </c>
      <c r="D4249" s="1">
        <v>1.8478181061699901E-3</v>
      </c>
      <c r="E4249" s="1">
        <v>4.2454732641321102E-5</v>
      </c>
      <c r="F4249" s="1">
        <v>8.66054714810888E-4</v>
      </c>
    </row>
    <row r="4250" spans="1:6" x14ac:dyDescent="0.25">
      <c r="A4250" s="2" t="str">
        <f t="shared" si="148"/>
        <v>41940</v>
      </c>
      <c r="B4250" s="2" t="str">
        <f>"95055"</f>
        <v>95055</v>
      </c>
      <c r="C4250" s="1">
        <v>1.5990437401791401E-3</v>
      </c>
      <c r="D4250" s="1">
        <v>3.1571991482904601E-3</v>
      </c>
      <c r="E4250" s="1">
        <v>4.2454732641321102E-5</v>
      </c>
      <c r="F4250" s="1">
        <v>1.65993820338753E-3</v>
      </c>
    </row>
    <row r="4251" spans="1:6" x14ac:dyDescent="0.25">
      <c r="A4251" s="2" t="str">
        <f t="shared" si="148"/>
        <v>41940</v>
      </c>
      <c r="B4251" s="2" t="str">
        <f>"95054"</f>
        <v>95054</v>
      </c>
      <c r="C4251" s="1">
        <v>1.33820962513506E-2</v>
      </c>
      <c r="D4251" s="1">
        <v>3.8131133899508E-2</v>
      </c>
      <c r="E4251" s="1">
        <v>1.6387526799549901E-2</v>
      </c>
      <c r="F4251" s="1">
        <v>1.5822413676447301E-2</v>
      </c>
    </row>
    <row r="4252" spans="1:6" x14ac:dyDescent="0.25">
      <c r="A4252" s="2" t="str">
        <f t="shared" si="148"/>
        <v>41940</v>
      </c>
      <c r="B4252" s="2" t="str">
        <f>"95138"</f>
        <v>95138</v>
      </c>
      <c r="C4252" s="1">
        <v>7.9714705265366004E-3</v>
      </c>
      <c r="D4252" s="1">
        <v>3.48760371032085E-3</v>
      </c>
      <c r="E4252" s="1">
        <v>3.9270627693222104E-3</v>
      </c>
      <c r="F4252" s="1">
        <v>7.3434222693339896E-3</v>
      </c>
    </row>
    <row r="4253" spans="1:6" x14ac:dyDescent="0.25">
      <c r="A4253" s="2" t="str">
        <f t="shared" si="148"/>
        <v>41940</v>
      </c>
      <c r="B4253" s="2" t="str">
        <f>"95122"</f>
        <v>95122</v>
      </c>
      <c r="C4253" s="1">
        <v>1.7200274951085299E-2</v>
      </c>
      <c r="D4253" s="1">
        <v>1.9591766807802401E-2</v>
      </c>
      <c r="E4253" s="1">
        <v>2.34562397843299E-2</v>
      </c>
      <c r="F4253" s="1">
        <v>1.77529939782133E-2</v>
      </c>
    </row>
    <row r="4254" spans="1:6" x14ac:dyDescent="0.25">
      <c r="A4254" s="2" t="str">
        <f t="shared" si="148"/>
        <v>41940</v>
      </c>
      <c r="B4254" s="2" t="str">
        <f>"95121"</f>
        <v>95121</v>
      </c>
      <c r="C4254" s="1">
        <v>1.2930880938527799E-2</v>
      </c>
      <c r="D4254" s="1">
        <v>4.8826451944492004E-3</v>
      </c>
      <c r="E4254" s="1">
        <v>2.0378271667834099E-3</v>
      </c>
      <c r="F4254" s="1">
        <v>1.1610546020433401E-2</v>
      </c>
    </row>
    <row r="4255" spans="1:6" x14ac:dyDescent="0.25">
      <c r="A4255" s="2" t="str">
        <f t="shared" si="148"/>
        <v>41940</v>
      </c>
      <c r="B4255" s="2" t="str">
        <f>"95128"</f>
        <v>95128</v>
      </c>
      <c r="C4255" s="1">
        <v>1.9088254812633501E-2</v>
      </c>
      <c r="D4255" s="1">
        <v>2.2467510218067002E-2</v>
      </c>
      <c r="E4255" s="1">
        <v>3.1671230550425603E-2</v>
      </c>
      <c r="F4255" s="1">
        <v>2.0068111594758499E-2</v>
      </c>
    </row>
    <row r="4256" spans="1:6" x14ac:dyDescent="0.25">
      <c r="A4256" s="2" t="str">
        <f t="shared" si="148"/>
        <v>41940</v>
      </c>
      <c r="B4256" s="2" t="str">
        <f>"95124"</f>
        <v>95124</v>
      </c>
      <c r="C4256" s="1">
        <v>2.2997468180744701E-2</v>
      </c>
      <c r="D4256" s="1">
        <v>1.2702219829168601E-2</v>
      </c>
      <c r="E4256" s="1">
        <v>1.51987942855929E-2</v>
      </c>
      <c r="F4256" s="1">
        <v>2.16344527391235E-2</v>
      </c>
    </row>
    <row r="4257" spans="1:6" x14ac:dyDescent="0.25">
      <c r="A4257" s="2" t="str">
        <f t="shared" si="148"/>
        <v>41940</v>
      </c>
      <c r="B4257" s="2" t="str">
        <f>"95111"</f>
        <v>95111</v>
      </c>
      <c r="C4257" s="1">
        <v>2.1387869696405899E-2</v>
      </c>
      <c r="D4257" s="1">
        <v>9.8998996549107907E-3</v>
      </c>
      <c r="E4257" s="1">
        <v>1.29699208219236E-2</v>
      </c>
      <c r="F4257" s="1">
        <v>1.9882045152123402E-2</v>
      </c>
    </row>
    <row r="4258" spans="1:6" x14ac:dyDescent="0.25">
      <c r="A4258" s="2" t="str">
        <f t="shared" si="148"/>
        <v>41940</v>
      </c>
      <c r="B4258" s="2" t="str">
        <f>"95026"</f>
        <v>95026</v>
      </c>
      <c r="C4258" s="1">
        <v>1.3193430199497799E-5</v>
      </c>
      <c r="D4258" s="1">
        <v>0</v>
      </c>
      <c r="E4258" s="1">
        <v>4.2454732641321102E-5</v>
      </c>
      <c r="F4258" s="1">
        <v>1.35321049189201E-5</v>
      </c>
    </row>
    <row r="4259" spans="1:6" x14ac:dyDescent="0.25">
      <c r="A4259" s="2" t="str">
        <f t="shared" si="148"/>
        <v>41940</v>
      </c>
      <c r="B4259" s="2" t="str">
        <f>"95015"</f>
        <v>95015</v>
      </c>
      <c r="C4259" s="1">
        <v>2.33259845927122E-3</v>
      </c>
      <c r="D4259" s="1">
        <v>6.5346680046011801E-3</v>
      </c>
      <c r="E4259" s="1">
        <v>4.2454732641321102E-5</v>
      </c>
      <c r="F4259" s="1">
        <v>2.5981641444326599E-3</v>
      </c>
    </row>
    <row r="4260" spans="1:6" x14ac:dyDescent="0.25">
      <c r="A4260" s="2" t="str">
        <f t="shared" si="148"/>
        <v>41940</v>
      </c>
      <c r="B4260" s="2" t="str">
        <f>"95011"</f>
        <v>95011</v>
      </c>
      <c r="C4260" s="1">
        <v>2.0054013903236701E-3</v>
      </c>
      <c r="D4260" s="1">
        <v>3.35299444430847E-3</v>
      </c>
      <c r="E4260" s="1">
        <v>4.2454732641321102E-5</v>
      </c>
      <c r="F4260" s="1">
        <v>2.02530503619838E-3</v>
      </c>
    </row>
    <row r="4261" spans="1:6" x14ac:dyDescent="0.25">
      <c r="A4261" s="2" t="str">
        <f t="shared" si="148"/>
        <v>41940</v>
      </c>
      <c r="B4261" s="2" t="str">
        <f>"95004"</f>
        <v>95004</v>
      </c>
      <c r="C4261" s="1">
        <v>6.1085581823675005E-4</v>
      </c>
      <c r="D4261" s="1">
        <v>9.7897648009006495E-5</v>
      </c>
      <c r="E4261" s="1">
        <v>0</v>
      </c>
      <c r="F4261" s="1">
        <v>5.31135118067615E-4</v>
      </c>
    </row>
    <row r="4262" spans="1:6" x14ac:dyDescent="0.25">
      <c r="A4262" s="2" t="str">
        <f t="shared" si="148"/>
        <v>41940</v>
      </c>
      <c r="B4262" s="2" t="str">
        <f>"94305"</f>
        <v>94305</v>
      </c>
      <c r="C4262" s="1">
        <v>7.8962679743994606E-3</v>
      </c>
      <c r="D4262" s="1">
        <v>5.5801659365133701E-3</v>
      </c>
      <c r="E4262" s="1">
        <v>2.9293765522511599E-2</v>
      </c>
      <c r="F4262" s="1">
        <v>8.8195493809061897E-3</v>
      </c>
    </row>
    <row r="4263" spans="1:6" x14ac:dyDescent="0.25">
      <c r="A4263" s="2" t="str">
        <f t="shared" si="148"/>
        <v>41940</v>
      </c>
      <c r="B4263" s="2" t="str">
        <f>"94085"</f>
        <v>94085</v>
      </c>
      <c r="C4263" s="1">
        <v>1.30417057522036E-2</v>
      </c>
      <c r="D4263" s="1">
        <v>1.6924055899556999E-2</v>
      </c>
      <c r="E4263" s="1">
        <v>2.1758050478677099E-2</v>
      </c>
      <c r="F4263" s="1">
        <v>1.3862513814023701E-2</v>
      </c>
    </row>
    <row r="4264" spans="1:6" x14ac:dyDescent="0.25">
      <c r="A4264" s="2" t="str">
        <f t="shared" si="148"/>
        <v>41940</v>
      </c>
      <c r="B4264" s="2" t="str">
        <f>"94028"</f>
        <v>94028</v>
      </c>
      <c r="C4264" s="1">
        <v>7.5202552137137703E-5</v>
      </c>
      <c r="D4264" s="1">
        <v>3.6711618003377397E-5</v>
      </c>
      <c r="E4264" s="1">
        <v>2.12273663206605E-5</v>
      </c>
      <c r="F4264" s="1">
        <v>6.8788200004510694E-5</v>
      </c>
    </row>
    <row r="4265" spans="1:6" x14ac:dyDescent="0.25">
      <c r="A4265" s="2" t="str">
        <f t="shared" si="148"/>
        <v>41940</v>
      </c>
      <c r="B4265" s="2" t="str">
        <f>"94040"</f>
        <v>94040</v>
      </c>
      <c r="C4265" s="1">
        <v>2.3932882381889099E-2</v>
      </c>
      <c r="D4265" s="1">
        <v>1.6948530311559198E-2</v>
      </c>
      <c r="E4265" s="1">
        <v>3.9949903415483198E-2</v>
      </c>
      <c r="F4265" s="1">
        <v>2.4140147499943601E-2</v>
      </c>
    </row>
    <row r="4266" spans="1:6" x14ac:dyDescent="0.25">
      <c r="A4266" s="2" t="str">
        <f t="shared" si="148"/>
        <v>41940</v>
      </c>
      <c r="B4266" s="2" t="str">
        <f>"95159"</f>
        <v>95159</v>
      </c>
      <c r="C4266" s="1">
        <v>2.4262718136876501E-3</v>
      </c>
      <c r="D4266" s="1">
        <v>4.2952593063951602E-3</v>
      </c>
      <c r="E4266" s="1">
        <v>4.2454732641321102E-5</v>
      </c>
      <c r="F4266" s="1">
        <v>2.4718644985227398E-3</v>
      </c>
    </row>
    <row r="4267" spans="1:6" x14ac:dyDescent="0.25">
      <c r="A4267" s="2" t="str">
        <f t="shared" si="148"/>
        <v>41940</v>
      </c>
      <c r="B4267" s="2" t="str">
        <f>"95141"</f>
        <v>95141</v>
      </c>
      <c r="C4267" s="1">
        <v>2.5067517379045899E-5</v>
      </c>
      <c r="D4267" s="1">
        <v>6.1186030005629105E-5</v>
      </c>
      <c r="E4267" s="1">
        <v>0</v>
      </c>
      <c r="F4267" s="1">
        <v>2.7064209837840199E-5</v>
      </c>
    </row>
    <row r="4268" spans="1:6" x14ac:dyDescent="0.25">
      <c r="A4268" s="2" t="str">
        <f t="shared" si="148"/>
        <v>41940</v>
      </c>
      <c r="B4268" s="2" t="str">
        <f>"95154"</f>
        <v>95154</v>
      </c>
      <c r="C4268" s="1">
        <v>1.00270069516183E-3</v>
      </c>
      <c r="D4268" s="1">
        <v>3.3040456203039699E-3</v>
      </c>
      <c r="E4268" s="1">
        <v>4.2454732641321102E-5</v>
      </c>
      <c r="F4268" s="1">
        <v>1.16376102302713E-3</v>
      </c>
    </row>
    <row r="4269" spans="1:6" x14ac:dyDescent="0.25">
      <c r="A4269" s="2" t="str">
        <f t="shared" si="148"/>
        <v>41940</v>
      </c>
      <c r="B4269" s="2" t="str">
        <f>"95192"</f>
        <v>95192</v>
      </c>
      <c r="C4269" s="1">
        <v>0</v>
      </c>
      <c r="D4269" s="1">
        <v>1.22372060011258E-5</v>
      </c>
      <c r="E4269" s="1">
        <v>0</v>
      </c>
      <c r="F4269" s="1">
        <v>1.1276754099100099E-6</v>
      </c>
    </row>
    <row r="4270" spans="1:6" x14ac:dyDescent="0.25">
      <c r="A4270" s="2" t="str">
        <f t="shared" si="148"/>
        <v>41940</v>
      </c>
      <c r="B4270" s="2" t="str">
        <f>"95075"</f>
        <v>95075</v>
      </c>
      <c r="C4270" s="1">
        <v>1.1214415669573101E-4</v>
      </c>
      <c r="D4270" s="1">
        <v>9.7897648009006495E-5</v>
      </c>
      <c r="E4270" s="1">
        <v>6.3682098961981694E-5</v>
      </c>
      <c r="F4270" s="1">
        <v>1.08256839351361E-4</v>
      </c>
    </row>
    <row r="4271" spans="1:6" x14ac:dyDescent="0.25">
      <c r="A4271" s="2" t="str">
        <f t="shared" si="148"/>
        <v>41940</v>
      </c>
      <c r="B4271" s="2" t="str">
        <f>"95136"</f>
        <v>95136</v>
      </c>
      <c r="C4271" s="1">
        <v>2.2754709065073899E-2</v>
      </c>
      <c r="D4271" s="1">
        <v>4.1606500403827702E-3</v>
      </c>
      <c r="E4271" s="1">
        <v>9.8707253391071698E-3</v>
      </c>
      <c r="F4271" s="1">
        <v>2.03567964996955E-2</v>
      </c>
    </row>
    <row r="4272" spans="1:6" x14ac:dyDescent="0.25">
      <c r="A4272" s="2" t="str">
        <f t="shared" ref="A4272:A4303" si="149">"41940"</f>
        <v>41940</v>
      </c>
      <c r="B4272" s="2" t="str">
        <f>"95127"</f>
        <v>95127</v>
      </c>
      <c r="C4272" s="1">
        <v>2.1238783935151599E-2</v>
      </c>
      <c r="D4272" s="1">
        <v>6.5713796226045604E-3</v>
      </c>
      <c r="E4272" s="1">
        <v>6.6017109257254401E-3</v>
      </c>
      <c r="F4272" s="1">
        <v>1.9109587496335002E-2</v>
      </c>
    </row>
    <row r="4273" spans="1:6" x14ac:dyDescent="0.25">
      <c r="A4273" s="2" t="str">
        <f t="shared" si="149"/>
        <v>41940</v>
      </c>
      <c r="B4273" s="2" t="str">
        <f>"95125"</f>
        <v>95125</v>
      </c>
      <c r="C4273" s="1">
        <v>2.8472741713536299E-2</v>
      </c>
      <c r="D4273" s="1">
        <v>2.5147458332313501E-2</v>
      </c>
      <c r="E4273" s="1">
        <v>1.5729478443609501E-2</v>
      </c>
      <c r="F4273" s="1">
        <v>2.74893434673763E-2</v>
      </c>
    </row>
    <row r="4274" spans="1:6" x14ac:dyDescent="0.25">
      <c r="A4274" s="2" t="str">
        <f t="shared" si="149"/>
        <v>41940</v>
      </c>
      <c r="B4274" s="2" t="str">
        <f>"95129"</f>
        <v>95129</v>
      </c>
      <c r="C4274" s="1">
        <v>2.0298092361927401E-2</v>
      </c>
      <c r="D4274" s="1">
        <v>1.58349445654568E-2</v>
      </c>
      <c r="E4274" s="1">
        <v>2.1630686280753101E-2</v>
      </c>
      <c r="F4274" s="1">
        <v>1.9957599404587301E-2</v>
      </c>
    </row>
    <row r="4275" spans="1:6" x14ac:dyDescent="0.25">
      <c r="A4275" s="2" t="str">
        <f t="shared" si="149"/>
        <v>41940</v>
      </c>
      <c r="B4275" s="2" t="str">
        <f>"95035"</f>
        <v>95035</v>
      </c>
      <c r="C4275" s="1">
        <v>3.4066756118123397E-2</v>
      </c>
      <c r="D4275" s="1">
        <v>3.7653882865464103E-2</v>
      </c>
      <c r="E4275" s="1">
        <v>1.6429981532191301E-2</v>
      </c>
      <c r="F4275" s="1">
        <v>3.34603847628498E-2</v>
      </c>
    </row>
    <row r="4276" spans="1:6" x14ac:dyDescent="0.25">
      <c r="A4276" s="2" t="str">
        <f t="shared" si="149"/>
        <v>41940</v>
      </c>
      <c r="B4276" s="2" t="str">
        <f>"95108"</f>
        <v>95108</v>
      </c>
      <c r="C4276" s="1">
        <v>3.1664232478794801E-4</v>
      </c>
      <c r="D4276" s="1">
        <v>5.5067427005066197E-4</v>
      </c>
      <c r="E4276" s="1">
        <v>4.2454732641321102E-5</v>
      </c>
      <c r="F4276" s="1">
        <v>3.2364284264417299E-4</v>
      </c>
    </row>
    <row r="4277" spans="1:6" x14ac:dyDescent="0.25">
      <c r="A4277" s="2" t="str">
        <f t="shared" si="149"/>
        <v>41940</v>
      </c>
      <c r="B4277" s="2" t="str">
        <f>"95112"</f>
        <v>95112</v>
      </c>
      <c r="C4277" s="1">
        <v>2.9945128523800199E-2</v>
      </c>
      <c r="D4277" s="1">
        <v>4.9475023862551697E-2</v>
      </c>
      <c r="E4277" s="1">
        <v>4.8589441507992097E-2</v>
      </c>
      <c r="F4277" s="1">
        <v>3.2735289474277701E-2</v>
      </c>
    </row>
    <row r="4278" spans="1:6" x14ac:dyDescent="0.25">
      <c r="A4278" s="2" t="str">
        <f t="shared" si="149"/>
        <v>41940</v>
      </c>
      <c r="B4278" s="2" t="str">
        <f>"95117"</f>
        <v>95117</v>
      </c>
      <c r="C4278" s="1">
        <v>1.46803297829812E-2</v>
      </c>
      <c r="D4278" s="1">
        <v>5.8738588805403898E-3</v>
      </c>
      <c r="E4278" s="1">
        <v>3.07584537986372E-2</v>
      </c>
      <c r="F4278" s="1">
        <v>1.4722930151785101E-2</v>
      </c>
    </row>
    <row r="4279" spans="1:6" x14ac:dyDescent="0.25">
      <c r="A4279" s="2" t="str">
        <f t="shared" si="149"/>
        <v>41940</v>
      </c>
      <c r="B4279" s="2" t="str">
        <f>"95002"</f>
        <v>95002</v>
      </c>
      <c r="C4279" s="1">
        <v>1.497454327643E-3</v>
      </c>
      <c r="D4279" s="1">
        <v>2.6677109082454201E-3</v>
      </c>
      <c r="E4279" s="1">
        <v>1.91046296885945E-4</v>
      </c>
      <c r="F4279" s="1">
        <v>1.5358939082974301E-3</v>
      </c>
    </row>
    <row r="4280" spans="1:6" x14ac:dyDescent="0.25">
      <c r="A4280" s="2" t="str">
        <f t="shared" si="149"/>
        <v>41940</v>
      </c>
      <c r="B4280" s="2" t="str">
        <f>"94022"</f>
        <v>94022</v>
      </c>
      <c r="C4280" s="1">
        <v>1.08159740775483E-2</v>
      </c>
      <c r="D4280" s="1">
        <v>1.62754839814973E-2</v>
      </c>
      <c r="E4280" s="1">
        <v>1.7512577214544901E-2</v>
      </c>
      <c r="F4280" s="1">
        <v>1.16748235187983E-2</v>
      </c>
    </row>
    <row r="4281" spans="1:6" x14ac:dyDescent="0.25">
      <c r="A4281" s="2" t="str">
        <f t="shared" si="149"/>
        <v>41940</v>
      </c>
      <c r="B4281" s="2" t="str">
        <f>"95173"</f>
        <v>95173</v>
      </c>
      <c r="C4281" s="1">
        <v>1.2283083515732499E-3</v>
      </c>
      <c r="D4281" s="1">
        <v>2.88798061626569E-3</v>
      </c>
      <c r="E4281" s="1">
        <v>4.2454732641321102E-5</v>
      </c>
      <c r="F4281" s="1">
        <v>1.3182525541848001E-3</v>
      </c>
    </row>
    <row r="4282" spans="1:6" x14ac:dyDescent="0.25">
      <c r="A4282" s="2" t="str">
        <f t="shared" si="149"/>
        <v>41940</v>
      </c>
      <c r="B4282" s="2" t="str">
        <f>"95148"</f>
        <v>95148</v>
      </c>
      <c r="C4282" s="1">
        <v>1.54574228217316E-2</v>
      </c>
      <c r="D4282" s="1">
        <v>3.8302454783523802E-3</v>
      </c>
      <c r="E4282" s="1">
        <v>9.1277675178840498E-4</v>
      </c>
      <c r="F4282" s="1">
        <v>1.3613297548433601E-2</v>
      </c>
    </row>
    <row r="4283" spans="1:6" x14ac:dyDescent="0.25">
      <c r="A4283" s="2" t="str">
        <f t="shared" si="149"/>
        <v>41940</v>
      </c>
      <c r="B4283" s="2" t="str">
        <f>"95056"</f>
        <v>95056</v>
      </c>
      <c r="C4283" s="1">
        <v>1.7666003037127599E-3</v>
      </c>
      <c r="D4283" s="1">
        <v>2.3005947282116498E-3</v>
      </c>
      <c r="E4283" s="1">
        <v>4.2454732641321102E-5</v>
      </c>
      <c r="F4283" s="1">
        <v>1.7242157017524E-3</v>
      </c>
    </row>
    <row r="4284" spans="1:6" x14ac:dyDescent="0.25">
      <c r="A4284" s="2" t="str">
        <f t="shared" si="149"/>
        <v>41940</v>
      </c>
      <c r="B4284" s="2" t="str">
        <f>"95133"</f>
        <v>95133</v>
      </c>
      <c r="C4284" s="1">
        <v>1.1958525132824799E-2</v>
      </c>
      <c r="D4284" s="1">
        <v>7.3545608066766096E-3</v>
      </c>
      <c r="E4284" s="1">
        <v>1.22694177333418E-2</v>
      </c>
      <c r="F4284" s="1">
        <v>1.15507792237082E-2</v>
      </c>
    </row>
    <row r="4285" spans="1:6" x14ac:dyDescent="0.25">
      <c r="A4285" s="2" t="str">
        <f t="shared" si="149"/>
        <v>41940</v>
      </c>
      <c r="B4285" s="2" t="str">
        <f>"95139"</f>
        <v>95139</v>
      </c>
      <c r="C4285" s="1">
        <v>2.9355382193882698E-3</v>
      </c>
      <c r="D4285" s="1">
        <v>7.3423236006754905E-4</v>
      </c>
      <c r="E4285" s="1">
        <v>1.91046296885945E-4</v>
      </c>
      <c r="F4285" s="1">
        <v>2.5868873903335601E-3</v>
      </c>
    </row>
    <row r="4286" spans="1:6" x14ac:dyDescent="0.25">
      <c r="A4286" s="2" t="str">
        <f t="shared" si="149"/>
        <v>41940</v>
      </c>
      <c r="B4286" s="2" t="str">
        <f>"95046"</f>
        <v>95046</v>
      </c>
      <c r="C4286" s="1">
        <v>3.4791075436075799E-3</v>
      </c>
      <c r="D4286" s="1">
        <v>3.8791943023568799E-3</v>
      </c>
      <c r="E4286" s="1">
        <v>8.4909465282642302E-4</v>
      </c>
      <c r="F4286" s="1">
        <v>3.37626017727057E-3</v>
      </c>
    </row>
    <row r="4287" spans="1:6" x14ac:dyDescent="0.25">
      <c r="A4287" s="2" t="str">
        <f t="shared" si="149"/>
        <v>41940</v>
      </c>
      <c r="B4287" s="2" t="str">
        <f>"95037"</f>
        <v>95037</v>
      </c>
      <c r="C4287" s="1">
        <v>2.3564785679323099E-2</v>
      </c>
      <c r="D4287" s="1">
        <v>2.19168359480163E-2</v>
      </c>
      <c r="E4287" s="1">
        <v>1.9253221252839101E-2</v>
      </c>
      <c r="F4287" s="1">
        <v>2.31838787523399E-2</v>
      </c>
    </row>
    <row r="4288" spans="1:6" x14ac:dyDescent="0.25">
      <c r="A4288" s="2" t="str">
        <f t="shared" si="149"/>
        <v>41940</v>
      </c>
      <c r="B4288" s="2" t="str">
        <f>"95116"</f>
        <v>95116</v>
      </c>
      <c r="C4288" s="1">
        <v>1.79984774781549E-2</v>
      </c>
      <c r="D4288" s="1">
        <v>1.31182848332068E-2</v>
      </c>
      <c r="E4288" s="1">
        <v>2.1842959943959701E-2</v>
      </c>
      <c r="F4288" s="1">
        <v>1.77529939782133E-2</v>
      </c>
    </row>
    <row r="4289" spans="1:6" x14ac:dyDescent="0.25">
      <c r="A4289" s="2" t="str">
        <f t="shared" si="149"/>
        <v>41940</v>
      </c>
      <c r="B4289" s="2" t="str">
        <f>"94086"</f>
        <v>94086</v>
      </c>
      <c r="C4289" s="1">
        <v>2.8584885870231998E-2</v>
      </c>
      <c r="D4289" s="1">
        <v>2.0742064171908201E-2</v>
      </c>
      <c r="E4289" s="1">
        <v>7.22579549555286E-2</v>
      </c>
      <c r="F4289" s="1">
        <v>3.01822323462414E-2</v>
      </c>
    </row>
    <row r="4290" spans="1:6" x14ac:dyDescent="0.25">
      <c r="A4290" s="2" t="str">
        <f t="shared" si="149"/>
        <v>41940</v>
      </c>
      <c r="B4290" s="2" t="str">
        <f>"94042"</f>
        <v>94042</v>
      </c>
      <c r="C4290" s="1">
        <v>1.5607827926005899E-3</v>
      </c>
      <c r="D4290" s="1">
        <v>3.9770919503658896E-3</v>
      </c>
      <c r="E4290" s="1">
        <v>4.2454732641321102E-5</v>
      </c>
      <c r="F4290" s="1">
        <v>1.70278986896411E-3</v>
      </c>
    </row>
    <row r="4291" spans="1:6" x14ac:dyDescent="0.25">
      <c r="A4291" s="2" t="str">
        <f t="shared" si="149"/>
        <v>41940</v>
      </c>
      <c r="B4291" s="2" t="str">
        <f>"94020"</f>
        <v>94020</v>
      </c>
      <c r="C4291" s="1">
        <v>9.2354011396485E-6</v>
      </c>
      <c r="D4291" s="1">
        <v>0</v>
      </c>
      <c r="E4291" s="1">
        <v>0</v>
      </c>
      <c r="F4291" s="1">
        <v>7.8937278693700794E-6</v>
      </c>
    </row>
    <row r="4292" spans="1:6" x14ac:dyDescent="0.25">
      <c r="A4292" s="2" t="str">
        <f t="shared" si="149"/>
        <v>41940</v>
      </c>
      <c r="B4292" s="2" t="str">
        <f>"95170"</f>
        <v>95170</v>
      </c>
      <c r="C4292" s="1">
        <v>1.28504010143109E-3</v>
      </c>
      <c r="D4292" s="1">
        <v>1.19924618811033E-3</v>
      </c>
      <c r="E4292" s="1">
        <v>4.2454732641321102E-5</v>
      </c>
      <c r="F4292" s="1">
        <v>1.2111233902433499E-3</v>
      </c>
    </row>
    <row r="4293" spans="1:6" x14ac:dyDescent="0.25">
      <c r="A4293" s="2" t="str">
        <f t="shared" si="149"/>
        <v>41940</v>
      </c>
      <c r="B4293" s="2" t="str">
        <f>"95157"</f>
        <v>95157</v>
      </c>
      <c r="C4293" s="1">
        <v>1.1174835378974599E-3</v>
      </c>
      <c r="D4293" s="1">
        <v>3.0960131182848302E-3</v>
      </c>
      <c r="E4293" s="1">
        <v>4.2454732641321102E-5</v>
      </c>
      <c r="F4293" s="1">
        <v>1.2426983017208299E-3</v>
      </c>
    </row>
    <row r="4294" spans="1:6" x14ac:dyDescent="0.25">
      <c r="A4294" s="2" t="str">
        <f t="shared" si="149"/>
        <v>41940</v>
      </c>
      <c r="B4294" s="2" t="str">
        <f>"95070"</f>
        <v>95070</v>
      </c>
      <c r="C4294" s="1">
        <v>1.68651618240181E-2</v>
      </c>
      <c r="D4294" s="1">
        <v>1.3326317335226E-2</v>
      </c>
      <c r="E4294" s="1">
        <v>4.8398395211106098E-3</v>
      </c>
      <c r="F4294" s="1">
        <v>1.5900223279731101E-2</v>
      </c>
    </row>
    <row r="4295" spans="1:6" x14ac:dyDescent="0.25">
      <c r="A4295" s="2" t="str">
        <f t="shared" si="149"/>
        <v>41940</v>
      </c>
      <c r="B4295" s="2" t="str">
        <f>"95131"</f>
        <v>95131</v>
      </c>
      <c r="C4295" s="1">
        <v>1.31248243624604E-2</v>
      </c>
      <c r="D4295" s="1">
        <v>2.8549401600626498E-2</v>
      </c>
      <c r="E4295" s="1">
        <v>7.3022140143072399E-3</v>
      </c>
      <c r="F4295" s="1">
        <v>1.4236902050113799E-2</v>
      </c>
    </row>
    <row r="4296" spans="1:6" x14ac:dyDescent="0.25">
      <c r="A4296" s="2" t="str">
        <f t="shared" si="149"/>
        <v>41940</v>
      </c>
      <c r="B4296" s="2" t="str">
        <f>"95130"</f>
        <v>95130</v>
      </c>
      <c r="C4296" s="1">
        <v>6.7114979424845603E-3</v>
      </c>
      <c r="D4296" s="1">
        <v>1.34609266012384E-3</v>
      </c>
      <c r="E4296" s="1">
        <v>7.0687129847799698E-3</v>
      </c>
      <c r="F4296" s="1">
        <v>6.2360450168023598E-3</v>
      </c>
    </row>
    <row r="4297" spans="1:6" x14ac:dyDescent="0.25">
      <c r="A4297" s="2" t="str">
        <f t="shared" si="149"/>
        <v>41940</v>
      </c>
      <c r="B4297" s="2" t="str">
        <f>"95118"</f>
        <v>95118</v>
      </c>
      <c r="C4297" s="1">
        <v>1.53492366940958E-2</v>
      </c>
      <c r="D4297" s="1">
        <v>8.14997919674979E-3</v>
      </c>
      <c r="E4297" s="1">
        <v>1.58143879088921E-2</v>
      </c>
      <c r="F4297" s="1">
        <v>1.47105257222761E-2</v>
      </c>
    </row>
    <row r="4298" spans="1:6" x14ac:dyDescent="0.25">
      <c r="A4298" s="2" t="str">
        <f t="shared" si="149"/>
        <v>41940</v>
      </c>
      <c r="B4298" s="2" t="str">
        <f>"95038"</f>
        <v>95038</v>
      </c>
      <c r="C4298" s="1">
        <v>1.78770979203195E-3</v>
      </c>
      <c r="D4298" s="1">
        <v>6.0818913825595299E-3</v>
      </c>
      <c r="E4298" s="1">
        <v>4.2454732641321102E-5</v>
      </c>
      <c r="F4298" s="1">
        <v>2.0907102099731599E-3</v>
      </c>
    </row>
    <row r="4299" spans="1:6" x14ac:dyDescent="0.25">
      <c r="A4299" s="2" t="str">
        <f t="shared" si="149"/>
        <v>41940</v>
      </c>
      <c r="B4299" s="2" t="str">
        <f>"95045"</f>
        <v>95045</v>
      </c>
      <c r="C4299" s="1">
        <v>2.95268967864762E-3</v>
      </c>
      <c r="D4299" s="1">
        <v>2.4719156122274101E-3</v>
      </c>
      <c r="E4299" s="1">
        <v>5.9436625697849603E-4</v>
      </c>
      <c r="F4299" s="1">
        <v>2.7831029116579002E-3</v>
      </c>
    </row>
    <row r="4300" spans="1:6" x14ac:dyDescent="0.25">
      <c r="A4300" s="2" t="str">
        <f t="shared" si="149"/>
        <v>41940</v>
      </c>
      <c r="B4300" s="2" t="str">
        <f>"95036"</f>
        <v>95036</v>
      </c>
      <c r="C4300" s="1">
        <v>2.0172754775032199E-3</v>
      </c>
      <c r="D4300" s="1">
        <v>3.2306223842972102E-3</v>
      </c>
      <c r="E4300" s="1">
        <v>4.2454732641321102E-5</v>
      </c>
      <c r="F4300" s="1">
        <v>2.0241773607884701E-3</v>
      </c>
    </row>
    <row r="4301" spans="1:6" x14ac:dyDescent="0.25">
      <c r="A4301" s="2" t="str">
        <f t="shared" si="149"/>
        <v>41940</v>
      </c>
      <c r="B4301" s="2" t="str">
        <f>"95032"</f>
        <v>95032</v>
      </c>
      <c r="C4301" s="1">
        <v>1.69627932074943E-2</v>
      </c>
      <c r="D4301" s="1">
        <v>1.7841846349641401E-2</v>
      </c>
      <c r="E4301" s="1">
        <v>1.1314186248912001E-2</v>
      </c>
      <c r="F4301" s="1">
        <v>1.67437244863438E-2</v>
      </c>
    </row>
    <row r="4302" spans="1:6" x14ac:dyDescent="0.25">
      <c r="A4302" s="2" t="str">
        <f t="shared" si="149"/>
        <v>41940</v>
      </c>
      <c r="B4302" s="2" t="str">
        <f>"95101"</f>
        <v>95101</v>
      </c>
      <c r="C4302" s="1">
        <v>0</v>
      </c>
      <c r="D4302" s="1">
        <v>1.22372060011258E-5</v>
      </c>
      <c r="E4302" s="1">
        <v>4.2454732641321102E-5</v>
      </c>
      <c r="F4302" s="1">
        <v>3.38302622973003E-6</v>
      </c>
    </row>
    <row r="4303" spans="1:6" x14ac:dyDescent="0.25">
      <c r="A4303" s="2" t="str">
        <f t="shared" si="149"/>
        <v>41940</v>
      </c>
      <c r="B4303" s="2" t="str">
        <f>"95024"</f>
        <v>95024</v>
      </c>
      <c r="C4303" s="1">
        <v>1.9526276695256801E-3</v>
      </c>
      <c r="D4303" s="1">
        <v>6.0696541765583997E-3</v>
      </c>
      <c r="E4303" s="1">
        <v>4.2454732641321102E-5</v>
      </c>
      <c r="F4303" s="1">
        <v>2.230541960802E-3</v>
      </c>
    </row>
    <row r="4304" spans="1:6" x14ac:dyDescent="0.25">
      <c r="A4304" s="2" t="str">
        <f t="shared" ref="A4304:A4335" si="150">"41940"</f>
        <v>41940</v>
      </c>
      <c r="B4304" s="2" t="str">
        <f>"95023"</f>
        <v>95023</v>
      </c>
      <c r="C4304" s="1">
        <v>2.2699296658236001E-2</v>
      </c>
      <c r="D4304" s="1">
        <v>1.8465943855698799E-2</v>
      </c>
      <c r="E4304" s="1">
        <v>1.7385213016621E-2</v>
      </c>
      <c r="F4304" s="1">
        <v>2.20268837817722E-2</v>
      </c>
    </row>
    <row r="4305" spans="1:6" x14ac:dyDescent="0.25">
      <c r="A4305" s="2" t="str">
        <f t="shared" si="150"/>
        <v>41940</v>
      </c>
      <c r="B4305" s="2" t="str">
        <f>"95031"</f>
        <v>95031</v>
      </c>
      <c r="C4305" s="1">
        <v>2.0568557681017101E-3</v>
      </c>
      <c r="D4305" s="1">
        <v>6.6937516826158202E-3</v>
      </c>
      <c r="E4305" s="1">
        <v>4.2454732641321102E-5</v>
      </c>
      <c r="F4305" s="1">
        <v>2.3771397640903E-3</v>
      </c>
    </row>
    <row r="4306" spans="1:6" x14ac:dyDescent="0.25">
      <c r="A4306" s="2" t="str">
        <f t="shared" si="150"/>
        <v>41940</v>
      </c>
      <c r="B4306" s="2" t="str">
        <f>"95013"</f>
        <v>95013</v>
      </c>
      <c r="C4306" s="1">
        <v>0</v>
      </c>
      <c r="D4306" s="1">
        <v>1.22372060011258E-5</v>
      </c>
      <c r="E4306" s="1">
        <v>0</v>
      </c>
      <c r="F4306" s="1">
        <v>1.1276754099100099E-6</v>
      </c>
    </row>
    <row r="4307" spans="1:6" x14ac:dyDescent="0.25">
      <c r="A4307" s="2" t="str">
        <f t="shared" si="150"/>
        <v>41940</v>
      </c>
      <c r="B4307" s="2" t="str">
        <f>"94306"</f>
        <v>94306</v>
      </c>
      <c r="C4307" s="1">
        <v>1.6545880813190202E-2</v>
      </c>
      <c r="D4307" s="1">
        <v>1.9763087691818199E-2</v>
      </c>
      <c r="E4307" s="1">
        <v>2.79988961769513E-2</v>
      </c>
      <c r="F4307" s="1">
        <v>1.7450776968357399E-2</v>
      </c>
    </row>
    <row r="4308" spans="1:6" x14ac:dyDescent="0.25">
      <c r="A4308" s="2" t="str">
        <f t="shared" si="150"/>
        <v>41940</v>
      </c>
      <c r="B4308" s="2" t="str">
        <f>"94303"</f>
        <v>94303</v>
      </c>
      <c r="C4308" s="1">
        <v>1.0070545271276699E-2</v>
      </c>
      <c r="D4308" s="1">
        <v>1.55167772094275E-2</v>
      </c>
      <c r="E4308" s="1">
        <v>1.44346090980492E-2</v>
      </c>
      <c r="F4308" s="1">
        <v>1.0804258102347799E-2</v>
      </c>
    </row>
    <row r="4309" spans="1:6" x14ac:dyDescent="0.25">
      <c r="A4309" s="2" t="str">
        <f t="shared" si="150"/>
        <v>41940</v>
      </c>
      <c r="B4309" s="2" t="str">
        <f>"94089"</f>
        <v>94089</v>
      </c>
      <c r="C4309" s="1">
        <v>1.2147191184677599E-2</v>
      </c>
      <c r="D4309" s="1">
        <v>1.4941628527374601E-2</v>
      </c>
      <c r="E4309" s="1">
        <v>1.1101912585705399E-2</v>
      </c>
      <c r="F4309" s="1">
        <v>1.23491734139245E-2</v>
      </c>
    </row>
    <row r="4310" spans="1:6" x14ac:dyDescent="0.25">
      <c r="A4310" s="2" t="str">
        <f t="shared" si="150"/>
        <v>41940</v>
      </c>
      <c r="B4310" s="2" t="str">
        <f>"95156"</f>
        <v>95156</v>
      </c>
      <c r="C4310" s="1">
        <v>1.2876787874709901E-3</v>
      </c>
      <c r="D4310" s="1">
        <v>2.0558506081891298E-3</v>
      </c>
      <c r="E4310" s="1">
        <v>2.12273663206605E-5</v>
      </c>
      <c r="F4310" s="1">
        <v>1.29118834434696E-3</v>
      </c>
    </row>
    <row r="4311" spans="1:6" x14ac:dyDescent="0.25">
      <c r="A4311" s="2" t="str">
        <f t="shared" si="150"/>
        <v>41940</v>
      </c>
      <c r="B4311" s="2" t="str">
        <f>"95191"</f>
        <v>95191</v>
      </c>
      <c r="C4311" s="1">
        <v>0</v>
      </c>
      <c r="D4311" s="1">
        <v>1.22372060011258E-5</v>
      </c>
      <c r="E4311" s="1">
        <v>0</v>
      </c>
      <c r="F4311" s="1">
        <v>1.1276754099100099E-6</v>
      </c>
    </row>
    <row r="4312" spans="1:6" x14ac:dyDescent="0.25">
      <c r="A4312" s="2" t="str">
        <f t="shared" si="150"/>
        <v>41940</v>
      </c>
      <c r="B4312" s="2" t="str">
        <f>"95164"</f>
        <v>95164</v>
      </c>
      <c r="C4312" s="1">
        <v>1.3523265954485299E-3</v>
      </c>
      <c r="D4312" s="1">
        <v>2.01913899018576E-3</v>
      </c>
      <c r="E4312" s="1">
        <v>4.2454732641321102E-5</v>
      </c>
      <c r="F4312" s="1">
        <v>1.34418908861273E-3</v>
      </c>
    </row>
    <row r="4313" spans="1:6" x14ac:dyDescent="0.25">
      <c r="A4313" s="2" t="str">
        <f t="shared" si="150"/>
        <v>41940</v>
      </c>
      <c r="B4313" s="2" t="str">
        <f>"95071"</f>
        <v>95071</v>
      </c>
      <c r="C4313" s="1">
        <v>5.0003100456096799E-4</v>
      </c>
      <c r="D4313" s="1">
        <v>8.9331603808218499E-4</v>
      </c>
      <c r="E4313" s="1">
        <v>4.2454732641321102E-5</v>
      </c>
      <c r="F4313" s="1">
        <v>5.1196463609914499E-4</v>
      </c>
    </row>
    <row r="4314" spans="1:6" x14ac:dyDescent="0.25">
      <c r="A4314" s="2" t="str">
        <f t="shared" si="150"/>
        <v>41940</v>
      </c>
      <c r="B4314" s="2" t="str">
        <f>"95052"</f>
        <v>95052</v>
      </c>
      <c r="C4314" s="1">
        <v>9.3805288718429704E-4</v>
      </c>
      <c r="D4314" s="1">
        <v>2.7411341442521802E-3</v>
      </c>
      <c r="E4314" s="1">
        <v>4.2454732641321102E-5</v>
      </c>
      <c r="F4314" s="1">
        <v>1.0566318590856799E-3</v>
      </c>
    </row>
    <row r="4315" spans="1:6" x14ac:dyDescent="0.25">
      <c r="A4315" s="2" t="str">
        <f t="shared" si="150"/>
        <v>41940</v>
      </c>
      <c r="B4315" s="2" t="str">
        <f>"95044"</f>
        <v>95044</v>
      </c>
      <c r="C4315" s="1">
        <v>5.9370435897740305E-4</v>
      </c>
      <c r="D4315" s="1">
        <v>6.7304633006192002E-4</v>
      </c>
      <c r="E4315" s="1">
        <v>4.2454732641321102E-5</v>
      </c>
      <c r="F4315" s="1">
        <v>5.7173143282437499E-4</v>
      </c>
    </row>
    <row r="4316" spans="1:6" x14ac:dyDescent="0.25">
      <c r="A4316" s="2" t="str">
        <f t="shared" si="150"/>
        <v>41940</v>
      </c>
      <c r="B4316" s="2" t="str">
        <f>"95109"</f>
        <v>95109</v>
      </c>
      <c r="C4316" s="1">
        <v>1.7151459259347199E-3</v>
      </c>
      <c r="D4316" s="1">
        <v>2.3617807582172801E-3</v>
      </c>
      <c r="E4316" s="1">
        <v>4.2454732641321102E-5</v>
      </c>
      <c r="F4316" s="1">
        <v>1.68587473781546E-3</v>
      </c>
    </row>
    <row r="4317" spans="1:6" x14ac:dyDescent="0.25">
      <c r="A4317" s="2" t="str">
        <f t="shared" si="150"/>
        <v>41940</v>
      </c>
      <c r="B4317" s="2" t="str">
        <f>"95076"</f>
        <v>95076</v>
      </c>
      <c r="C4317" s="1">
        <v>5.27737207979914E-5</v>
      </c>
      <c r="D4317" s="1">
        <v>1.22372060011258E-5</v>
      </c>
      <c r="E4317" s="1">
        <v>0</v>
      </c>
      <c r="F4317" s="1">
        <v>4.6234691806310397E-5</v>
      </c>
    </row>
    <row r="4318" spans="1:6" x14ac:dyDescent="0.25">
      <c r="A4318" s="2" t="str">
        <f t="shared" si="150"/>
        <v>41940</v>
      </c>
      <c r="B4318" s="2" t="str">
        <f>"94043"</f>
        <v>94043</v>
      </c>
      <c r="C4318" s="1">
        <v>1.9982769380159401E-2</v>
      </c>
      <c r="D4318" s="1">
        <v>2.61876208424092E-2</v>
      </c>
      <c r="E4318" s="1">
        <v>3.9525356089069999E-2</v>
      </c>
      <c r="F4318" s="1">
        <v>2.1592728748956899E-2</v>
      </c>
    </row>
    <row r="4319" spans="1:6" x14ac:dyDescent="0.25">
      <c r="A4319" s="2" t="str">
        <f t="shared" si="150"/>
        <v>41940</v>
      </c>
      <c r="B4319" s="2" t="str">
        <f>"95155"</f>
        <v>95155</v>
      </c>
      <c r="C4319" s="1">
        <v>5.4620801025921097E-4</v>
      </c>
      <c r="D4319" s="1">
        <v>2.4474412002251601E-3</v>
      </c>
      <c r="E4319" s="1">
        <v>4.2454732641321102E-5</v>
      </c>
      <c r="F4319" s="1">
        <v>6.9464805250456696E-4</v>
      </c>
    </row>
    <row r="4320" spans="1:6" x14ac:dyDescent="0.25">
      <c r="A4320" s="2" t="str">
        <f t="shared" si="150"/>
        <v>41940</v>
      </c>
      <c r="B4320" s="2" t="str">
        <f>"95158"</f>
        <v>95158</v>
      </c>
      <c r="C4320" s="1">
        <v>8.14034643309017E-4</v>
      </c>
      <c r="D4320" s="1">
        <v>3.2918084143028401E-3</v>
      </c>
      <c r="E4320" s="1">
        <v>4.2454732641321102E-5</v>
      </c>
      <c r="F4320" s="1">
        <v>1.0013757640000901E-3</v>
      </c>
    </row>
    <row r="4321" spans="1:6" x14ac:dyDescent="0.25">
      <c r="A4321" s="2" t="str">
        <f t="shared" si="150"/>
        <v>41940</v>
      </c>
      <c r="B4321" s="2" t="str">
        <f>"95051"</f>
        <v>95051</v>
      </c>
      <c r="C4321" s="1">
        <v>3.2352929535208602E-2</v>
      </c>
      <c r="D4321" s="1">
        <v>1.74992045816099E-2</v>
      </c>
      <c r="E4321" s="1">
        <v>2.8105033008554599E-2</v>
      </c>
      <c r="F4321" s="1">
        <v>3.07584744807054E-2</v>
      </c>
    </row>
    <row r="4322" spans="1:6" x14ac:dyDescent="0.25">
      <c r="A4322" s="2" t="str">
        <f t="shared" si="150"/>
        <v>41940</v>
      </c>
      <c r="B4322" s="2" t="str">
        <f>"95132"</f>
        <v>95132</v>
      </c>
      <c r="C4322" s="1">
        <v>1.5985160029711599E-2</v>
      </c>
      <c r="D4322" s="1">
        <v>3.3652316503095998E-3</v>
      </c>
      <c r="E4322" s="1">
        <v>5.8162983718609996E-3</v>
      </c>
      <c r="F4322" s="1">
        <v>1.42820090665102E-2</v>
      </c>
    </row>
    <row r="4323" spans="1:6" x14ac:dyDescent="0.25">
      <c r="A4323" s="2" t="str">
        <f t="shared" si="150"/>
        <v>41940</v>
      </c>
      <c r="B4323" s="2" t="str">
        <f>"95123"</f>
        <v>95123</v>
      </c>
      <c r="C4323" s="1">
        <v>3.2918927690767097E-2</v>
      </c>
      <c r="D4323" s="1">
        <v>1.3668959103257499E-2</v>
      </c>
      <c r="E4323" s="1">
        <v>2.94211297204355E-2</v>
      </c>
      <c r="F4323" s="1">
        <v>3.09592007036694E-2</v>
      </c>
    </row>
    <row r="4324" spans="1:6" x14ac:dyDescent="0.25">
      <c r="A4324" s="2" t="str">
        <f t="shared" si="150"/>
        <v>41940</v>
      </c>
      <c r="B4324" s="2" t="str">
        <f>"95119"</f>
        <v>95119</v>
      </c>
      <c r="C4324" s="1">
        <v>4.1572498558617704E-3</v>
      </c>
      <c r="D4324" s="1">
        <v>6.6570400646124399E-3</v>
      </c>
      <c r="E4324" s="1">
        <v>3.5449701755503101E-3</v>
      </c>
      <c r="F4324" s="1">
        <v>4.3550824330724604E-3</v>
      </c>
    </row>
    <row r="4325" spans="1:6" x14ac:dyDescent="0.25">
      <c r="A4325" s="2" t="str">
        <f t="shared" si="150"/>
        <v>41940</v>
      </c>
      <c r="B4325" s="2" t="str">
        <f>"95043"</f>
        <v>95043</v>
      </c>
      <c r="C4325" s="1">
        <v>3.0608758062835E-4</v>
      </c>
      <c r="D4325" s="1">
        <v>1.1013485401013199E-4</v>
      </c>
      <c r="E4325" s="1">
        <v>0</v>
      </c>
      <c r="F4325" s="1">
        <v>2.7176977378831201E-4</v>
      </c>
    </row>
    <row r="4326" spans="1:6" x14ac:dyDescent="0.25">
      <c r="A4326" s="2" t="str">
        <f t="shared" si="150"/>
        <v>41940</v>
      </c>
      <c r="B4326" s="2" t="str">
        <f>"95033"</f>
        <v>95033</v>
      </c>
      <c r="C4326" s="1">
        <v>2.15316780855805E-3</v>
      </c>
      <c r="D4326" s="1">
        <v>1.4684647201350899E-4</v>
      </c>
      <c r="E4326" s="1">
        <v>1.4859156424462401E-4</v>
      </c>
      <c r="F4326" s="1">
        <v>1.86179210176142E-3</v>
      </c>
    </row>
    <row r="4327" spans="1:6" x14ac:dyDescent="0.25">
      <c r="A4327" s="2" t="str">
        <f t="shared" si="150"/>
        <v>41940</v>
      </c>
      <c r="B4327" s="2" t="str">
        <f>"95050"</f>
        <v>95050</v>
      </c>
      <c r="C4327" s="1">
        <v>2.06635503784535E-2</v>
      </c>
      <c r="D4327" s="1">
        <v>3.4545632541178102E-2</v>
      </c>
      <c r="E4327" s="1">
        <v>3.5003927062769301E-2</v>
      </c>
      <c r="F4327" s="1">
        <v>2.2704616703128101E-2</v>
      </c>
    </row>
    <row r="4328" spans="1:6" x14ac:dyDescent="0.25">
      <c r="A4328" s="2" t="str">
        <f t="shared" si="150"/>
        <v>41940</v>
      </c>
      <c r="B4328" s="2" t="str">
        <f>"95103"</f>
        <v>95103</v>
      </c>
      <c r="C4328" s="1">
        <v>3.1400363874804901E-4</v>
      </c>
      <c r="D4328" s="1">
        <v>7.4646956606867505E-4</v>
      </c>
      <c r="E4328" s="1">
        <v>4.2454732641321102E-5</v>
      </c>
      <c r="F4328" s="1">
        <v>3.3943029838291299E-4</v>
      </c>
    </row>
    <row r="4329" spans="1:6" x14ac:dyDescent="0.25">
      <c r="A4329" s="2" t="str">
        <f t="shared" si="150"/>
        <v>41940</v>
      </c>
      <c r="B4329" s="2" t="str">
        <f>"95110"</f>
        <v>95110</v>
      </c>
      <c r="C4329" s="1">
        <v>9.1799887328106004E-3</v>
      </c>
      <c r="D4329" s="1">
        <v>2.18801243300129E-2</v>
      </c>
      <c r="E4329" s="1">
        <v>1.2757647158717E-2</v>
      </c>
      <c r="F4329" s="1">
        <v>1.05403820564288E-2</v>
      </c>
    </row>
    <row r="4330" spans="1:6" x14ac:dyDescent="0.25">
      <c r="A4330" s="2" t="str">
        <f t="shared" si="150"/>
        <v>41940</v>
      </c>
      <c r="B4330" s="2" t="str">
        <f>"95009"</f>
        <v>95009</v>
      </c>
      <c r="C4330" s="1">
        <v>1.4882189265033501E-3</v>
      </c>
      <c r="D4330" s="1">
        <v>2.88798061626569E-3</v>
      </c>
      <c r="E4330" s="1">
        <v>4.2454732641321102E-5</v>
      </c>
      <c r="F4330" s="1">
        <v>1.54040460993707E-3</v>
      </c>
    </row>
    <row r="4331" spans="1:6" x14ac:dyDescent="0.25">
      <c r="A4331" s="2" t="str">
        <f t="shared" si="150"/>
        <v>41940</v>
      </c>
      <c r="B4331" s="2" t="str">
        <f>"94550"</f>
        <v>94550</v>
      </c>
      <c r="C4331" s="1">
        <v>9.7631383476284094E-5</v>
      </c>
      <c r="D4331" s="1">
        <v>1.22372060011258E-5</v>
      </c>
      <c r="E4331" s="1">
        <v>0</v>
      </c>
      <c r="F4331" s="1">
        <v>8.4575655743250806E-5</v>
      </c>
    </row>
    <row r="4332" spans="1:6" x14ac:dyDescent="0.25">
      <c r="A4332" s="2" t="str">
        <f t="shared" si="150"/>
        <v>41940</v>
      </c>
      <c r="B4332" s="2" t="str">
        <f>"94304"</f>
        <v>94304</v>
      </c>
      <c r="C4332" s="1">
        <v>3.01733748662516E-3</v>
      </c>
      <c r="D4332" s="1">
        <v>8.0153699307374104E-3</v>
      </c>
      <c r="E4332" s="1">
        <v>9.8282706064658498E-3</v>
      </c>
      <c r="F4332" s="1">
        <v>3.8397347707435801E-3</v>
      </c>
    </row>
    <row r="4333" spans="1:6" x14ac:dyDescent="0.25">
      <c r="A4333" s="2" t="str">
        <f t="shared" si="150"/>
        <v>41940</v>
      </c>
      <c r="B4333" s="2" t="str">
        <f>"94301"</f>
        <v>94301</v>
      </c>
      <c r="C4333" s="1">
        <v>1.0937353635383701E-2</v>
      </c>
      <c r="D4333" s="1">
        <v>1.9897696957830498E-2</v>
      </c>
      <c r="E4333" s="1">
        <v>2.4899700694134799E-2</v>
      </c>
      <c r="F4333" s="1">
        <v>1.2504792620492099E-2</v>
      </c>
    </row>
    <row r="4334" spans="1:6" x14ac:dyDescent="0.25">
      <c r="A4334" s="2" t="str">
        <f t="shared" si="150"/>
        <v>41940</v>
      </c>
      <c r="B4334" s="2" t="str">
        <f>"94041"</f>
        <v>94041</v>
      </c>
      <c r="C4334" s="1">
        <v>9.8145927254064506E-3</v>
      </c>
      <c r="D4334" s="1">
        <v>9.3614625908612498E-3</v>
      </c>
      <c r="E4334" s="1">
        <v>2.5663885881678599E-2</v>
      </c>
      <c r="F4334" s="1">
        <v>1.06148086334829E-2</v>
      </c>
    </row>
    <row r="4335" spans="1:6" x14ac:dyDescent="0.25">
      <c r="A4335" s="2" t="str">
        <f t="shared" si="150"/>
        <v>41940</v>
      </c>
      <c r="B4335" s="2" t="str">
        <f>"94023"</f>
        <v>94023</v>
      </c>
      <c r="C4335" s="1">
        <v>1.59508571111929E-3</v>
      </c>
      <c r="D4335" s="1">
        <v>5.2375241684818503E-3</v>
      </c>
      <c r="E4335" s="1">
        <v>4.2454732641321102E-5</v>
      </c>
      <c r="F4335" s="1">
        <v>1.8482599968424999E-3</v>
      </c>
    </row>
    <row r="4336" spans="1:6" x14ac:dyDescent="0.25">
      <c r="A4336" s="2" t="str">
        <f t="shared" ref="A4336:A4351" si="151">"41940"</f>
        <v>41940</v>
      </c>
      <c r="B4336" s="2" t="str">
        <f>"95161"</f>
        <v>95161</v>
      </c>
      <c r="C4336" s="1">
        <v>2.1769159829171398E-3</v>
      </c>
      <c r="D4336" s="1">
        <v>5.8004356445336396E-3</v>
      </c>
      <c r="E4336" s="1">
        <v>4.2454732641321102E-5</v>
      </c>
      <c r="F4336" s="1">
        <v>2.3974379214686801E-3</v>
      </c>
    </row>
    <row r="4337" spans="1:6" x14ac:dyDescent="0.25">
      <c r="A4337" s="2" t="str">
        <f t="shared" si="151"/>
        <v>41940</v>
      </c>
      <c r="B4337" s="2" t="str">
        <f>"95140"</f>
        <v>95140</v>
      </c>
      <c r="C4337" s="1">
        <v>1.92624080912668E-4</v>
      </c>
      <c r="D4337" s="1">
        <v>2.44744120022516E-5</v>
      </c>
      <c r="E4337" s="1">
        <v>2.12273663206605E-5</v>
      </c>
      <c r="F4337" s="1">
        <v>1.68023636076591E-4</v>
      </c>
    </row>
    <row r="4338" spans="1:6" x14ac:dyDescent="0.25">
      <c r="A4338" s="2" t="str">
        <f t="shared" si="151"/>
        <v>41940</v>
      </c>
      <c r="B4338" s="2" t="str">
        <f>"95160"</f>
        <v>95160</v>
      </c>
      <c r="C4338" s="1">
        <v>7.4015143419182896E-4</v>
      </c>
      <c r="D4338" s="1">
        <v>4.6379010744266799E-3</v>
      </c>
      <c r="E4338" s="1">
        <v>4.2454732641321102E-5</v>
      </c>
      <c r="F4338" s="1">
        <v>1.06227023613523E-3</v>
      </c>
    </row>
    <row r="4339" spans="1:6" x14ac:dyDescent="0.25">
      <c r="A4339" s="2" t="str">
        <f t="shared" si="151"/>
        <v>41940</v>
      </c>
      <c r="B4339" s="2" t="str">
        <f>"95150"</f>
        <v>95150</v>
      </c>
      <c r="C4339" s="1">
        <v>1.9090893498673401E-3</v>
      </c>
      <c r="D4339" s="1">
        <v>5.8616216745392604E-3</v>
      </c>
      <c r="E4339" s="1">
        <v>4.2454732641321102E-5</v>
      </c>
      <c r="F4339" s="1">
        <v>2.1741581903065E-3</v>
      </c>
    </row>
    <row r="4340" spans="1:6" x14ac:dyDescent="0.25">
      <c r="A4340" s="2" t="str">
        <f t="shared" si="151"/>
        <v>41940</v>
      </c>
      <c r="B4340" s="2" t="str">
        <f>"95134"</f>
        <v>95134</v>
      </c>
      <c r="C4340" s="1">
        <v>1.8556559575593701E-2</v>
      </c>
      <c r="D4340" s="1">
        <v>8.6761790547981998E-3</v>
      </c>
      <c r="E4340" s="1">
        <v>6.66539302468742E-3</v>
      </c>
      <c r="F4340" s="1">
        <v>1.7014366584722201E-2</v>
      </c>
    </row>
    <row r="4341" spans="1:6" x14ac:dyDescent="0.25">
      <c r="A4341" s="2" t="str">
        <f t="shared" si="151"/>
        <v>41940</v>
      </c>
      <c r="B4341" s="2" t="str">
        <f>"95120"</f>
        <v>95120</v>
      </c>
      <c r="C4341" s="1">
        <v>1.7243813270743698E-2</v>
      </c>
      <c r="D4341" s="1">
        <v>4.2463104823906601E-3</v>
      </c>
      <c r="E4341" s="1">
        <v>9.1277675178840498E-4</v>
      </c>
      <c r="F4341" s="1">
        <v>1.51785110173887E-2</v>
      </c>
    </row>
    <row r="4342" spans="1:6" x14ac:dyDescent="0.25">
      <c r="A4342" s="2" t="str">
        <f t="shared" si="151"/>
        <v>41940</v>
      </c>
      <c r="B4342" s="2" t="str">
        <f>"95126"</f>
        <v>95126</v>
      </c>
      <c r="C4342" s="1">
        <v>2.1678125160794901E-2</v>
      </c>
      <c r="D4342" s="1">
        <v>1.9371497099782101E-2</v>
      </c>
      <c r="E4342" s="1">
        <v>2.5982296376488499E-2</v>
      </c>
      <c r="F4342" s="1">
        <v>2.16942195358488E-2</v>
      </c>
    </row>
    <row r="4343" spans="1:6" x14ac:dyDescent="0.25">
      <c r="A4343" s="2" t="str">
        <f t="shared" si="151"/>
        <v>41940</v>
      </c>
      <c r="B4343" s="2" t="str">
        <f>"95106"</f>
        <v>95106</v>
      </c>
      <c r="C4343" s="1">
        <v>3.1664232478794801E-4</v>
      </c>
      <c r="D4343" s="1">
        <v>5.62911476051787E-4</v>
      </c>
      <c r="E4343" s="1">
        <v>4.2454732641321102E-5</v>
      </c>
      <c r="F4343" s="1">
        <v>3.2477051805408303E-4</v>
      </c>
    </row>
    <row r="4344" spans="1:6" x14ac:dyDescent="0.25">
      <c r="A4344" s="2" t="str">
        <f t="shared" si="151"/>
        <v>41940</v>
      </c>
      <c r="B4344" s="2" t="str">
        <f>"95021"</f>
        <v>95021</v>
      </c>
      <c r="C4344" s="1">
        <v>2.4460619589869001E-3</v>
      </c>
      <c r="D4344" s="1">
        <v>4.82145916444357E-3</v>
      </c>
      <c r="E4344" s="1">
        <v>4.2454732641321102E-5</v>
      </c>
      <c r="F4344" s="1">
        <v>2.5372696722975202E-3</v>
      </c>
    </row>
    <row r="4345" spans="1:6" x14ac:dyDescent="0.25">
      <c r="A4345" s="2" t="str">
        <f t="shared" si="151"/>
        <v>41940</v>
      </c>
      <c r="B4345" s="2" t="str">
        <f>"95008"</f>
        <v>95008</v>
      </c>
      <c r="C4345" s="1">
        <v>2.7332829344299699E-2</v>
      </c>
      <c r="D4345" s="1">
        <v>4.3172862771971902E-2</v>
      </c>
      <c r="E4345" s="1">
        <v>4.6169521747436701E-2</v>
      </c>
      <c r="F4345" s="1">
        <v>2.97931843298225E-2</v>
      </c>
    </row>
    <row r="4346" spans="1:6" x14ac:dyDescent="0.25">
      <c r="A4346" s="2" t="str">
        <f t="shared" si="151"/>
        <v>41940</v>
      </c>
      <c r="B4346" s="2" t="str">
        <f>"95014"</f>
        <v>95014</v>
      </c>
      <c r="C4346" s="1">
        <v>2.9979431442318901E-2</v>
      </c>
      <c r="D4346" s="1">
        <v>2.2871338016104099E-2</v>
      </c>
      <c r="E4346" s="1">
        <v>2.6895073128276901E-2</v>
      </c>
      <c r="F4346" s="1">
        <v>2.9160558424862901E-2</v>
      </c>
    </row>
    <row r="4347" spans="1:6" x14ac:dyDescent="0.25">
      <c r="A4347" s="2" t="str">
        <f t="shared" si="151"/>
        <v>41940</v>
      </c>
      <c r="B4347" s="2" t="str">
        <f>"94302"</f>
        <v>94302</v>
      </c>
      <c r="C4347" s="1">
        <v>1.15046711339621E-3</v>
      </c>
      <c r="D4347" s="1">
        <v>5.0784404904672103E-3</v>
      </c>
      <c r="E4347" s="1">
        <v>4.2454732641321102E-5</v>
      </c>
      <c r="F4347" s="1">
        <v>1.453573603374E-3</v>
      </c>
    </row>
    <row r="4348" spans="1:6" x14ac:dyDescent="0.25">
      <c r="A4348" s="2" t="str">
        <f t="shared" si="151"/>
        <v>41940</v>
      </c>
      <c r="B4348" s="2" t="str">
        <f>"94087"</f>
        <v>94087</v>
      </c>
      <c r="C4348" s="1">
        <v>2.9516342042316599E-2</v>
      </c>
      <c r="D4348" s="1">
        <v>1.8355809001688699E-2</v>
      </c>
      <c r="E4348" s="1">
        <v>2.84446708696851E-2</v>
      </c>
      <c r="F4348" s="1">
        <v>2.8430952434651199E-2</v>
      </c>
    </row>
    <row r="4349" spans="1:6" x14ac:dyDescent="0.25">
      <c r="A4349" s="2" t="str">
        <f t="shared" si="151"/>
        <v>41940</v>
      </c>
      <c r="B4349" s="2" t="str">
        <f>"94039"</f>
        <v>94039</v>
      </c>
      <c r="C4349" s="1">
        <v>1.35892331054827E-3</v>
      </c>
      <c r="D4349" s="1">
        <v>3.81800827235125E-3</v>
      </c>
      <c r="E4349" s="1">
        <v>4.2454732641321102E-5</v>
      </c>
      <c r="F4349" s="1">
        <v>1.51559575091905E-3</v>
      </c>
    </row>
    <row r="4350" spans="1:6" x14ac:dyDescent="0.25">
      <c r="A4350" s="2" t="str">
        <f t="shared" si="151"/>
        <v>41940</v>
      </c>
      <c r="B4350" s="2" t="str">
        <f>"94035"</f>
        <v>94035</v>
      </c>
      <c r="C4350" s="1">
        <v>4.6440874302232398E-4</v>
      </c>
      <c r="D4350" s="1">
        <v>8.8107883208105899E-4</v>
      </c>
      <c r="E4350" s="1">
        <v>6.3682098961981694E-5</v>
      </c>
      <c r="F4350" s="1">
        <v>4.8151740003157399E-4</v>
      </c>
    </row>
    <row r="4351" spans="1:6" x14ac:dyDescent="0.25">
      <c r="A4351" s="2" t="str">
        <f t="shared" si="151"/>
        <v>41940</v>
      </c>
      <c r="B4351" s="2" t="str">
        <f>"94024"</f>
        <v>94024</v>
      </c>
      <c r="C4351" s="1">
        <v>1.1505990476982E-2</v>
      </c>
      <c r="D4351" s="1">
        <v>6.6448028586113201E-3</v>
      </c>
      <c r="E4351" s="1">
        <v>3.35392387866437E-3</v>
      </c>
      <c r="F4351" s="1">
        <v>1.06249577121721E-2</v>
      </c>
    </row>
    <row r="4352" spans="1:6" x14ac:dyDescent="0.25">
      <c r="A4352" s="2" t="str">
        <f t="shared" ref="A4352:A4373" si="152">"46700"</f>
        <v>46700</v>
      </c>
      <c r="B4352" s="2" t="str">
        <f>"95694"</f>
        <v>95694</v>
      </c>
      <c r="C4352" s="1">
        <v>2.6787257330491299E-3</v>
      </c>
      <c r="D4352" s="1">
        <v>1.4514791263477999E-3</v>
      </c>
      <c r="E4352" s="1">
        <v>0</v>
      </c>
      <c r="F4352" s="1">
        <v>2.50824469320451E-3</v>
      </c>
    </row>
    <row r="4353" spans="1:6" x14ac:dyDescent="0.25">
      <c r="A4353" s="2" t="str">
        <f t="shared" si="152"/>
        <v>46700</v>
      </c>
      <c r="B4353" s="2" t="str">
        <f>"95690"</f>
        <v>95690</v>
      </c>
      <c r="C4353" s="1">
        <v>6.56719857134627E-4</v>
      </c>
      <c r="D4353" s="1">
        <v>5.5294442908487601E-4</v>
      </c>
      <c r="E4353" s="1">
        <v>0</v>
      </c>
      <c r="F4353" s="1">
        <v>6.29641671956688E-4</v>
      </c>
    </row>
    <row r="4354" spans="1:6" x14ac:dyDescent="0.25">
      <c r="A4354" s="2" t="str">
        <f t="shared" si="152"/>
        <v>46700</v>
      </c>
      <c r="B4354" s="2" t="str">
        <f>"95625"</f>
        <v>95625</v>
      </c>
      <c r="C4354" s="1">
        <v>0</v>
      </c>
      <c r="D4354" s="1">
        <v>0</v>
      </c>
      <c r="E4354" s="1">
        <v>1.7534630896019599E-4</v>
      </c>
      <c r="F4354" s="1">
        <v>5.1609973111204001E-6</v>
      </c>
    </row>
    <row r="4355" spans="1:6" x14ac:dyDescent="0.25">
      <c r="A4355" s="2" t="str">
        <f t="shared" si="152"/>
        <v>46700</v>
      </c>
      <c r="B4355" s="2" t="str">
        <f>"94534"</f>
        <v>94534</v>
      </c>
      <c r="C4355" s="1">
        <v>8.5385102828503895E-2</v>
      </c>
      <c r="D4355" s="1">
        <v>7.2573956317390095E-2</v>
      </c>
      <c r="E4355" s="1">
        <v>3.7348763808521798E-2</v>
      </c>
      <c r="F4355" s="1">
        <v>8.3014641749371607E-2</v>
      </c>
    </row>
    <row r="4356" spans="1:6" x14ac:dyDescent="0.25">
      <c r="A4356" s="2" t="str">
        <f t="shared" si="152"/>
        <v>46700</v>
      </c>
      <c r="B4356" s="2" t="str">
        <f>"95688"</f>
        <v>95688</v>
      </c>
      <c r="C4356" s="1">
        <v>8.3662653378650795E-2</v>
      </c>
      <c r="D4356" s="1">
        <v>9.7387337572573895E-2</v>
      </c>
      <c r="E4356" s="1">
        <v>0.147992284762405</v>
      </c>
      <c r="F4356" s="1">
        <v>8.6580890891355802E-2</v>
      </c>
    </row>
    <row r="4357" spans="1:6" x14ac:dyDescent="0.25">
      <c r="A4357" s="2" t="str">
        <f t="shared" si="152"/>
        <v>46700</v>
      </c>
      <c r="B4357" s="2" t="str">
        <f>"95620"</f>
        <v>95620</v>
      </c>
      <c r="C4357" s="1">
        <v>4.9012039864047403E-2</v>
      </c>
      <c r="D4357" s="1">
        <v>5.7367984517555898E-2</v>
      </c>
      <c r="E4357" s="1">
        <v>5.7513589338944397E-2</v>
      </c>
      <c r="F4357" s="1">
        <v>4.98862000092897E-2</v>
      </c>
    </row>
    <row r="4358" spans="1:6" x14ac:dyDescent="0.25">
      <c r="A4358" s="2" t="str">
        <f t="shared" si="152"/>
        <v>46700</v>
      </c>
      <c r="B4358" s="2" t="str">
        <f>"94590"</f>
        <v>94590</v>
      </c>
      <c r="C4358" s="1">
        <v>0.10537473356760101</v>
      </c>
      <c r="D4358" s="1">
        <v>0.148396461155653</v>
      </c>
      <c r="E4358" s="1">
        <v>0.144836051201122</v>
      </c>
      <c r="F4358" s="1">
        <v>0.10974860782097499</v>
      </c>
    </row>
    <row r="4359" spans="1:6" x14ac:dyDescent="0.25">
      <c r="A4359" s="2" t="str">
        <f t="shared" si="152"/>
        <v>46700</v>
      </c>
      <c r="B4359" s="2" t="str">
        <f>"94503"</f>
        <v>94503</v>
      </c>
      <c r="C4359" s="1">
        <v>1.78581715536609E-4</v>
      </c>
      <c r="D4359" s="1">
        <v>6.9118053635609596E-5</v>
      </c>
      <c r="E4359" s="1">
        <v>0</v>
      </c>
      <c r="F4359" s="1">
        <v>1.6515191395585199E-4</v>
      </c>
    </row>
    <row r="4360" spans="1:6" x14ac:dyDescent="0.25">
      <c r="A4360" s="2" t="str">
        <f t="shared" si="152"/>
        <v>46700</v>
      </c>
      <c r="B4360" s="2" t="str">
        <f>"94592"</f>
        <v>94592</v>
      </c>
      <c r="C4360" s="1">
        <v>2.6441615300420501E-3</v>
      </c>
      <c r="D4360" s="1">
        <v>1.6450096765275E-2</v>
      </c>
      <c r="E4360" s="1">
        <v>2.98088725232333E-3</v>
      </c>
      <c r="F4360" s="1">
        <v>3.6849520801399598E-3</v>
      </c>
    </row>
    <row r="4361" spans="1:6" x14ac:dyDescent="0.25">
      <c r="A4361" s="2" t="str">
        <f t="shared" si="152"/>
        <v>46700</v>
      </c>
      <c r="B4361" s="2" t="str">
        <f>"94591"</f>
        <v>94591</v>
      </c>
      <c r="C4361" s="1">
        <v>0.12312345181174</v>
      </c>
      <c r="D4361" s="1">
        <v>5.6815040088471103E-2</v>
      </c>
      <c r="E4361" s="1">
        <v>6.3826056461511405E-2</v>
      </c>
      <c r="F4361" s="1">
        <v>0.11642693834156501</v>
      </c>
    </row>
    <row r="4362" spans="1:6" x14ac:dyDescent="0.25">
      <c r="A4362" s="2" t="str">
        <f t="shared" si="152"/>
        <v>46700</v>
      </c>
      <c r="B4362" s="2" t="str">
        <f>"94589"</f>
        <v>94589</v>
      </c>
      <c r="C4362" s="1">
        <v>5.7704936920329498E-2</v>
      </c>
      <c r="D4362" s="1">
        <v>3.0411943599668201E-2</v>
      </c>
      <c r="E4362" s="1">
        <v>3.3841837629317903E-2</v>
      </c>
      <c r="F4362" s="1">
        <v>5.4964621363432199E-2</v>
      </c>
    </row>
    <row r="4363" spans="1:6" x14ac:dyDescent="0.25">
      <c r="A4363" s="2" t="str">
        <f t="shared" si="152"/>
        <v>46700</v>
      </c>
      <c r="B4363" s="2" t="str">
        <f>"94558"</f>
        <v>94558</v>
      </c>
      <c r="C4363" s="1">
        <v>8.0649807016533196E-5</v>
      </c>
      <c r="D4363" s="1">
        <v>0</v>
      </c>
      <c r="E4363" s="1">
        <v>7.0138523584078495E-4</v>
      </c>
      <c r="F4363" s="1">
        <v>9.2897951600167197E-5</v>
      </c>
    </row>
    <row r="4364" spans="1:6" x14ac:dyDescent="0.25">
      <c r="A4364" s="2" t="str">
        <f t="shared" si="152"/>
        <v>46700</v>
      </c>
      <c r="B4364" s="2" t="str">
        <f>"94512"</f>
        <v>94512</v>
      </c>
      <c r="C4364" s="1">
        <v>2.6499222305432298E-4</v>
      </c>
      <c r="D4364" s="1">
        <v>2.0735416090682799E-4</v>
      </c>
      <c r="E4364" s="1">
        <v>3.5069261792039199E-4</v>
      </c>
      <c r="F4364" s="1">
        <v>2.6321086286713999E-4</v>
      </c>
    </row>
    <row r="4365" spans="1:6" x14ac:dyDescent="0.25">
      <c r="A4365" s="2" t="str">
        <f t="shared" si="152"/>
        <v>46700</v>
      </c>
      <c r="B4365" s="2" t="str">
        <f>"94535"</f>
        <v>94535</v>
      </c>
      <c r="C4365" s="1">
        <v>8.6928970562820396E-3</v>
      </c>
      <c r="D4365" s="1">
        <v>1.0367708045341401E-3</v>
      </c>
      <c r="E4365" s="1">
        <v>8.0483955812730101E-2</v>
      </c>
      <c r="F4365" s="1">
        <v>1.0234257667951699E-2</v>
      </c>
    </row>
    <row r="4366" spans="1:6" x14ac:dyDescent="0.25">
      <c r="A4366" s="2" t="str">
        <f t="shared" si="152"/>
        <v>46700</v>
      </c>
      <c r="B4366" s="2" t="str">
        <f>"95687"</f>
        <v>95687</v>
      </c>
      <c r="C4366" s="1">
        <v>0.137162278933118</v>
      </c>
      <c r="D4366" s="1">
        <v>7.2850428531932507E-2</v>
      </c>
      <c r="E4366" s="1">
        <v>9.1706119586182702E-2</v>
      </c>
      <c r="F4366" s="1">
        <v>0.131022238737413</v>
      </c>
    </row>
    <row r="4367" spans="1:6" x14ac:dyDescent="0.25">
      <c r="A4367" s="2" t="str">
        <f t="shared" si="152"/>
        <v>46700</v>
      </c>
      <c r="B4367" s="2" t="str">
        <f>"94571"</f>
        <v>94571</v>
      </c>
      <c r="C4367" s="1">
        <v>3.0249438331701101E-2</v>
      </c>
      <c r="D4367" s="1">
        <v>1.96295272325131E-2</v>
      </c>
      <c r="E4367" s="1">
        <v>1.73592845870594E-2</v>
      </c>
      <c r="F4367" s="1">
        <v>2.9077058850852301E-2</v>
      </c>
    </row>
    <row r="4368" spans="1:6" x14ac:dyDescent="0.25">
      <c r="A4368" s="2" t="str">
        <f t="shared" si="152"/>
        <v>46700</v>
      </c>
      <c r="B4368" s="2" t="str">
        <f>"95696"</f>
        <v>95696</v>
      </c>
      <c r="C4368" s="1">
        <v>1.50527104095858E-2</v>
      </c>
      <c r="D4368" s="1">
        <v>3.9120818357755001E-2</v>
      </c>
      <c r="E4368" s="1">
        <v>7.0138523584078495E-4</v>
      </c>
      <c r="F4368" s="1">
        <v>1.6427454441296199E-2</v>
      </c>
    </row>
    <row r="4369" spans="1:6" x14ac:dyDescent="0.25">
      <c r="A4369" s="2" t="str">
        <f t="shared" si="152"/>
        <v>46700</v>
      </c>
      <c r="B4369" s="2" t="str">
        <f>"95616"</f>
        <v>95616</v>
      </c>
      <c r="C4369" s="1">
        <v>2.3042802004723701E-5</v>
      </c>
      <c r="D4369" s="1">
        <v>1.38236107271219E-4</v>
      </c>
      <c r="E4369" s="1">
        <v>0</v>
      </c>
      <c r="F4369" s="1">
        <v>3.0965983866722399E-5</v>
      </c>
    </row>
    <row r="4370" spans="1:6" x14ac:dyDescent="0.25">
      <c r="A4370" s="2" t="str">
        <f t="shared" si="152"/>
        <v>46700</v>
      </c>
      <c r="B4370" s="2" t="str">
        <f>"94585"</f>
        <v>94585</v>
      </c>
      <c r="C4370" s="1">
        <v>6.7976265913935102E-2</v>
      </c>
      <c r="D4370" s="1">
        <v>5.35664915675974E-2</v>
      </c>
      <c r="E4370" s="1">
        <v>5.4182009468700602E-2</v>
      </c>
      <c r="F4370" s="1">
        <v>6.6494289356475195E-2</v>
      </c>
    </row>
    <row r="4371" spans="1:6" x14ac:dyDescent="0.25">
      <c r="A4371" s="2" t="str">
        <f t="shared" si="152"/>
        <v>46700</v>
      </c>
      <c r="B4371" s="2" t="str">
        <f>"94533"</f>
        <v>94533</v>
      </c>
      <c r="C4371" s="1">
        <v>0.159306411659657</v>
      </c>
      <c r="D4371" s="1">
        <v>0.19297760575062201</v>
      </c>
      <c r="E4371" s="1">
        <v>0.209889531825355</v>
      </c>
      <c r="F4371" s="1">
        <v>0.16330943791578201</v>
      </c>
    </row>
    <row r="4372" spans="1:6" x14ac:dyDescent="0.25">
      <c r="A4372" s="2" t="str">
        <f t="shared" si="152"/>
        <v>46700</v>
      </c>
      <c r="B4372" s="2" t="str">
        <f>"95618"</f>
        <v>95618</v>
      </c>
      <c r="C4372" s="1">
        <v>2.1314591854369399E-4</v>
      </c>
      <c r="D4372" s="1">
        <v>4.1470832181365701E-4</v>
      </c>
      <c r="E4372" s="1">
        <v>0</v>
      </c>
      <c r="F4372" s="1">
        <v>2.2192288437817699E-4</v>
      </c>
    </row>
    <row r="4373" spans="1:6" x14ac:dyDescent="0.25">
      <c r="A4373" s="2" t="str">
        <f t="shared" si="152"/>
        <v>46700</v>
      </c>
      <c r="B4373" s="2" t="str">
        <f>"94510"</f>
        <v>94510</v>
      </c>
      <c r="C4373" s="1">
        <v>7.0557059738464101E-2</v>
      </c>
      <c r="D4373" s="1">
        <v>0.138581697539397</v>
      </c>
      <c r="E4373" s="1">
        <v>5.6110818867262803E-2</v>
      </c>
      <c r="F4373" s="1">
        <v>7.52112138149576E-2</v>
      </c>
    </row>
    <row r="4374" spans="1:6" x14ac:dyDescent="0.25">
      <c r="A4374" s="2" t="str">
        <f t="shared" ref="A4374:A4418" si="153">"44700"</f>
        <v>44700</v>
      </c>
      <c r="B4374" s="2" t="str">
        <f>"95377"</f>
        <v>95377</v>
      </c>
      <c r="C4374" s="1">
        <v>3.6263592296606799E-2</v>
      </c>
      <c r="D4374" s="1">
        <v>1.5733244303480502E-2</v>
      </c>
      <c r="E4374" s="1">
        <v>1.07390137063727E-2</v>
      </c>
      <c r="F4374" s="1">
        <v>3.4008061865765202E-2</v>
      </c>
    </row>
    <row r="4375" spans="1:6" x14ac:dyDescent="0.25">
      <c r="A4375" s="2" t="str">
        <f t="shared" si="153"/>
        <v>44700</v>
      </c>
      <c r="B4375" s="2" t="str">
        <f>"95320"</f>
        <v>95320</v>
      </c>
      <c r="C4375" s="1">
        <v>1.89852332915348E-2</v>
      </c>
      <c r="D4375" s="1">
        <v>1.73190885568817E-2</v>
      </c>
      <c r="E4375" s="1">
        <v>7.2064434082238201E-3</v>
      </c>
      <c r="F4375" s="1">
        <v>1.8571802249542201E-2</v>
      </c>
    </row>
    <row r="4376" spans="1:6" x14ac:dyDescent="0.25">
      <c r="A4376" s="2" t="str">
        <f t="shared" si="153"/>
        <v>44700</v>
      </c>
      <c r="B4376" s="2" t="str">
        <f>"95376"</f>
        <v>95376</v>
      </c>
      <c r="C4376" s="1">
        <v>6.4359641406673995E-2</v>
      </c>
      <c r="D4376" s="1">
        <v>5.4586428511810302E-2</v>
      </c>
      <c r="E4376" s="1">
        <v>0.10117281333898499</v>
      </c>
      <c r="F4376" s="1">
        <v>6.4447976820459094E-2</v>
      </c>
    </row>
    <row r="4377" spans="1:6" x14ac:dyDescent="0.25">
      <c r="A4377" s="2" t="str">
        <f t="shared" si="153"/>
        <v>44700</v>
      </c>
      <c r="B4377" s="2" t="str">
        <f>"95211"</f>
        <v>95211</v>
      </c>
      <c r="C4377" s="1">
        <v>0</v>
      </c>
      <c r="D4377" s="1">
        <v>4.1732743510558303E-5</v>
      </c>
      <c r="E4377" s="1">
        <v>4.23908435777871E-4</v>
      </c>
      <c r="F4377" s="1">
        <v>1.3414086131847E-5</v>
      </c>
    </row>
    <row r="4378" spans="1:6" x14ac:dyDescent="0.25">
      <c r="A4378" s="2" t="str">
        <f t="shared" si="153"/>
        <v>44700</v>
      </c>
      <c r="B4378" s="2" t="str">
        <f>"95213"</f>
        <v>95213</v>
      </c>
      <c r="C4378" s="1">
        <v>5.0307873706275296E-3</v>
      </c>
      <c r="D4378" s="1">
        <v>7.9292212670060893E-3</v>
      </c>
      <c r="E4378" s="1">
        <v>2.8260562385191398E-4</v>
      </c>
      <c r="F4378" s="1">
        <v>5.15100907462926E-3</v>
      </c>
    </row>
    <row r="4379" spans="1:6" x14ac:dyDescent="0.25">
      <c r="A4379" s="2" t="str">
        <f t="shared" si="153"/>
        <v>44700</v>
      </c>
      <c r="B4379" s="2" t="str">
        <f>"95210"</f>
        <v>95210</v>
      </c>
      <c r="C4379" s="1">
        <v>4.5958338792086897E-2</v>
      </c>
      <c r="D4379" s="1">
        <v>2.9296385944411901E-2</v>
      </c>
      <c r="E4379" s="1">
        <v>4.7195139183269702E-2</v>
      </c>
      <c r="F4379" s="1">
        <v>4.46487856898529E-2</v>
      </c>
    </row>
    <row r="4380" spans="1:6" x14ac:dyDescent="0.25">
      <c r="A4380" s="2" t="str">
        <f t="shared" si="153"/>
        <v>44700</v>
      </c>
      <c r="B4380" s="2" t="str">
        <f>"95209"</f>
        <v>95209</v>
      </c>
      <c r="C4380" s="1">
        <v>5.1707810072804103E-2</v>
      </c>
      <c r="D4380" s="1">
        <v>1.18938319005091E-2</v>
      </c>
      <c r="E4380" s="1">
        <v>2.3738872403560801E-2</v>
      </c>
      <c r="F4380" s="1">
        <v>4.78446917107654E-2</v>
      </c>
    </row>
    <row r="4381" spans="1:6" x14ac:dyDescent="0.25">
      <c r="A4381" s="2" t="str">
        <f t="shared" si="153"/>
        <v>44700</v>
      </c>
      <c r="B4381" s="2" t="str">
        <f>"95385"</f>
        <v>95385</v>
      </c>
      <c r="C4381" s="1">
        <v>4.8660889745653197E-5</v>
      </c>
      <c r="D4381" s="1">
        <v>8.3465487021116701E-5</v>
      </c>
      <c r="E4381" s="1">
        <v>1.4130281192595699E-4</v>
      </c>
      <c r="F4381" s="1">
        <v>5.3656344527388202E-5</v>
      </c>
    </row>
    <row r="4382" spans="1:6" x14ac:dyDescent="0.25">
      <c r="A4382" s="2" t="str">
        <f t="shared" si="153"/>
        <v>44700</v>
      </c>
      <c r="B4382" s="2" t="str">
        <f>"95269"</f>
        <v>95269</v>
      </c>
      <c r="C4382" s="1">
        <v>8.0589919709531908E-3</v>
      </c>
      <c r="D4382" s="1">
        <v>1.7277355813371101E-2</v>
      </c>
      <c r="E4382" s="1">
        <v>2.8260562385191398E-4</v>
      </c>
      <c r="F4382" s="1">
        <v>8.6151968181787594E-3</v>
      </c>
    </row>
    <row r="4383" spans="1:6" x14ac:dyDescent="0.25">
      <c r="A4383" s="2" t="str">
        <f t="shared" si="153"/>
        <v>44700</v>
      </c>
      <c r="B4383" s="2" t="str">
        <f>"95241"</f>
        <v>95241</v>
      </c>
      <c r="C4383" s="1">
        <v>5.4125881978626597E-3</v>
      </c>
      <c r="D4383" s="1">
        <v>2.2368750521659202E-2</v>
      </c>
      <c r="E4383" s="1">
        <v>2.8260562385191398E-4</v>
      </c>
      <c r="F4383" s="1">
        <v>6.6533867213961302E-3</v>
      </c>
    </row>
    <row r="4384" spans="1:6" x14ac:dyDescent="0.25">
      <c r="A4384" s="2" t="str">
        <f t="shared" si="153"/>
        <v>44700</v>
      </c>
      <c r="B4384" s="2" t="str">
        <f>"95230"</f>
        <v>95230</v>
      </c>
      <c r="C4384" s="1">
        <v>6.5505043888379401E-4</v>
      </c>
      <c r="D4384" s="1">
        <v>3.7559469159502499E-4</v>
      </c>
      <c r="E4384" s="1">
        <v>1.4130281192595699E-4</v>
      </c>
      <c r="F4384" s="1">
        <v>6.2040148359792605E-4</v>
      </c>
    </row>
    <row r="4385" spans="1:6" x14ac:dyDescent="0.25">
      <c r="A4385" s="2" t="str">
        <f t="shared" si="153"/>
        <v>44700</v>
      </c>
      <c r="B4385" s="2" t="str">
        <f>"95361"</f>
        <v>95361</v>
      </c>
      <c r="C4385" s="1">
        <v>6.7002302034399499E-4</v>
      </c>
      <c r="D4385" s="1">
        <v>4.1732743510558303E-5</v>
      </c>
      <c r="E4385" s="1">
        <v>0</v>
      </c>
      <c r="F4385" s="1">
        <v>6.0363387593311696E-4</v>
      </c>
    </row>
    <row r="4386" spans="1:6" x14ac:dyDescent="0.25">
      <c r="A4386" s="2" t="str">
        <f t="shared" si="153"/>
        <v>44700</v>
      </c>
      <c r="B4386" s="2" t="str">
        <f>"95219"</f>
        <v>95219</v>
      </c>
      <c r="C4386" s="1">
        <v>4.2162789391925998E-2</v>
      </c>
      <c r="D4386" s="1">
        <v>2.57073700025039E-2</v>
      </c>
      <c r="E4386" s="1">
        <v>3.9706090151194001E-2</v>
      </c>
      <c r="F4386" s="1">
        <v>4.0782175362348003E-2</v>
      </c>
    </row>
    <row r="4387" spans="1:6" x14ac:dyDescent="0.25">
      <c r="A4387" s="2" t="str">
        <f t="shared" si="153"/>
        <v>44700</v>
      </c>
      <c r="B4387" s="2" t="str">
        <f>"95203"</f>
        <v>95203</v>
      </c>
      <c r="C4387" s="1">
        <v>2.2174393142557602E-2</v>
      </c>
      <c r="D4387" s="1">
        <v>2.97137133795175E-2</v>
      </c>
      <c r="E4387" s="1">
        <v>5.7510244453864601E-2</v>
      </c>
      <c r="F4387" s="1">
        <v>2.3618852156649599E-2</v>
      </c>
    </row>
    <row r="4388" spans="1:6" x14ac:dyDescent="0.25">
      <c r="A4388" s="2" t="str">
        <f t="shared" si="153"/>
        <v>44700</v>
      </c>
      <c r="B4388" s="2" t="str">
        <f>"95690"</f>
        <v>95690</v>
      </c>
      <c r="C4388" s="1">
        <v>4.1923228088562798E-4</v>
      </c>
      <c r="D4388" s="1">
        <v>8.3465487021116701E-5</v>
      </c>
      <c r="E4388" s="1">
        <v>5.6521124770382905E-4</v>
      </c>
      <c r="F4388" s="1">
        <v>3.9571554088948803E-4</v>
      </c>
    </row>
    <row r="4389" spans="1:6" x14ac:dyDescent="0.25">
      <c r="A4389" s="2" t="str">
        <f t="shared" si="153"/>
        <v>44700</v>
      </c>
      <c r="B4389" s="2" t="str">
        <f>"95253"</f>
        <v>95253</v>
      </c>
      <c r="C4389" s="1">
        <v>1.47105612846474E-3</v>
      </c>
      <c r="D4389" s="1">
        <v>2.4622318671229399E-3</v>
      </c>
      <c r="E4389" s="1">
        <v>2.8260562385191398E-4</v>
      </c>
      <c r="F4389" s="1">
        <v>1.5224987759646399E-3</v>
      </c>
    </row>
    <row r="4390" spans="1:6" x14ac:dyDescent="0.25">
      <c r="A4390" s="2" t="str">
        <f t="shared" si="153"/>
        <v>44700</v>
      </c>
      <c r="B4390" s="2" t="str">
        <f>"95212"</f>
        <v>95212</v>
      </c>
      <c r="C4390" s="1">
        <v>3.0791113772903299E-2</v>
      </c>
      <c r="D4390" s="1">
        <v>8.6804106501961395E-3</v>
      </c>
      <c r="E4390" s="1">
        <v>9.6085912109650905E-3</v>
      </c>
      <c r="F4390" s="1">
        <v>2.8511640073240901E-2</v>
      </c>
    </row>
    <row r="4391" spans="1:6" x14ac:dyDescent="0.25">
      <c r="A4391" s="2" t="str">
        <f t="shared" si="153"/>
        <v>44700</v>
      </c>
      <c r="B4391" s="2" t="str">
        <f>"95208"</f>
        <v>95208</v>
      </c>
      <c r="C4391" s="1">
        <v>2.9982594374052501E-3</v>
      </c>
      <c r="D4391" s="1">
        <v>8.6804106501961395E-3</v>
      </c>
      <c r="E4391" s="1">
        <v>2.8260562385191398E-4</v>
      </c>
      <c r="F4391" s="1">
        <v>3.3904102698243399E-3</v>
      </c>
    </row>
    <row r="4392" spans="1:6" x14ac:dyDescent="0.25">
      <c r="A4392" s="2" t="str">
        <f t="shared" si="153"/>
        <v>44700</v>
      </c>
      <c r="B4392" s="2" t="str">
        <f>"95204"</f>
        <v>95204</v>
      </c>
      <c r="C4392" s="1">
        <v>4.7174861035728301E-2</v>
      </c>
      <c r="D4392" s="1">
        <v>4.1106752357899998E-2</v>
      </c>
      <c r="E4392" s="1">
        <v>3.5749611417267201E-2</v>
      </c>
      <c r="F4392" s="1">
        <v>4.6416091537723699E-2</v>
      </c>
    </row>
    <row r="4393" spans="1:6" x14ac:dyDescent="0.25">
      <c r="A4393" s="2" t="str">
        <f t="shared" si="153"/>
        <v>44700</v>
      </c>
      <c r="B4393" s="2" t="str">
        <f>"95234"</f>
        <v>95234</v>
      </c>
      <c r="C4393" s="1">
        <v>0</v>
      </c>
      <c r="D4393" s="1">
        <v>0</v>
      </c>
      <c r="E4393" s="1">
        <v>1.4130281192595699E-4</v>
      </c>
      <c r="F4393" s="1">
        <v>3.3535215329617601E-6</v>
      </c>
    </row>
    <row r="4394" spans="1:6" x14ac:dyDescent="0.25">
      <c r="A4394" s="2" t="str">
        <f t="shared" si="153"/>
        <v>44700</v>
      </c>
      <c r="B4394" s="2" t="str">
        <f>"95227"</f>
        <v>95227</v>
      </c>
      <c r="C4394" s="1">
        <v>0</v>
      </c>
      <c r="D4394" s="1">
        <v>0</v>
      </c>
      <c r="E4394" s="1">
        <v>1.4130281192595699E-4</v>
      </c>
      <c r="F4394" s="1">
        <v>3.3535215329617601E-6</v>
      </c>
    </row>
    <row r="4395" spans="1:6" x14ac:dyDescent="0.25">
      <c r="A4395" s="2" t="str">
        <f t="shared" si="153"/>
        <v>44700</v>
      </c>
      <c r="B4395" s="2" t="str">
        <f>"95202"</f>
        <v>95202</v>
      </c>
      <c r="C4395" s="1">
        <v>1.42688701315715E-2</v>
      </c>
      <c r="D4395" s="1">
        <v>5.9552624989566802E-2</v>
      </c>
      <c r="E4395" s="1">
        <v>7.1499222834534401E-2</v>
      </c>
      <c r="F4395" s="1">
        <v>1.9265981206865301E-2</v>
      </c>
    </row>
    <row r="4396" spans="1:6" x14ac:dyDescent="0.25">
      <c r="A4396" s="2" t="str">
        <f t="shared" si="153"/>
        <v>44700</v>
      </c>
      <c r="B4396" s="2" t="str">
        <f>"95391"</f>
        <v>95391</v>
      </c>
      <c r="C4396" s="1">
        <v>2.45625198854597E-2</v>
      </c>
      <c r="D4396" s="1">
        <v>1.1685168182956299E-3</v>
      </c>
      <c r="E4396" s="1">
        <v>4.23908435777871E-4</v>
      </c>
      <c r="F4396" s="1">
        <v>2.21097674668169E-2</v>
      </c>
    </row>
    <row r="4397" spans="1:6" x14ac:dyDescent="0.25">
      <c r="A4397" s="2" t="str">
        <f t="shared" si="153"/>
        <v>44700</v>
      </c>
      <c r="B4397" s="2" t="str">
        <f>"95304"</f>
        <v>95304</v>
      </c>
      <c r="C4397" s="1">
        <v>1.7993299769796502E-2</v>
      </c>
      <c r="D4397" s="1">
        <v>3.7726400133544703E-2</v>
      </c>
      <c r="E4397" s="1">
        <v>1.70976402430408E-2</v>
      </c>
      <c r="F4397" s="1">
        <v>1.9557737580232999E-2</v>
      </c>
    </row>
    <row r="4398" spans="1:6" x14ac:dyDescent="0.25">
      <c r="A4398" s="2" t="str">
        <f t="shared" si="153"/>
        <v>44700</v>
      </c>
      <c r="B4398" s="2" t="str">
        <f>"95367"</f>
        <v>95367</v>
      </c>
      <c r="C4398" s="1">
        <v>4.4917744380602998E-5</v>
      </c>
      <c r="D4398" s="1">
        <v>8.3465487021116701E-5</v>
      </c>
      <c r="E4398" s="1">
        <v>0</v>
      </c>
      <c r="F4398" s="1">
        <v>4.6949301461464597E-5</v>
      </c>
    </row>
    <row r="4399" spans="1:6" x14ac:dyDescent="0.25">
      <c r="A4399" s="2" t="str">
        <f t="shared" si="153"/>
        <v>44700</v>
      </c>
      <c r="B4399" s="2" t="str">
        <f>"95336"</f>
        <v>95336</v>
      </c>
      <c r="C4399" s="1">
        <v>6.9970616308884306E-2</v>
      </c>
      <c r="D4399" s="1">
        <v>6.9985810867206399E-2</v>
      </c>
      <c r="E4399" s="1">
        <v>5.7934152889642501E-2</v>
      </c>
      <c r="F4399" s="1">
        <v>6.9686177454945403E-2</v>
      </c>
    </row>
    <row r="4400" spans="1:6" x14ac:dyDescent="0.25">
      <c r="A4400" s="2" t="str">
        <f t="shared" si="153"/>
        <v>44700</v>
      </c>
      <c r="B4400" s="2" t="str">
        <f>"95330"</f>
        <v>95330</v>
      </c>
      <c r="C4400" s="1">
        <v>3.1726900114165901E-2</v>
      </c>
      <c r="D4400" s="1">
        <v>2.5999499207077802E-2</v>
      </c>
      <c r="E4400" s="1">
        <v>7.34774622014978E-3</v>
      </c>
      <c r="F4400" s="1">
        <v>3.0688075548132999E-2</v>
      </c>
    </row>
    <row r="4401" spans="1:6" x14ac:dyDescent="0.25">
      <c r="A4401" s="2" t="str">
        <f t="shared" si="153"/>
        <v>44700</v>
      </c>
      <c r="B4401" s="2" t="str">
        <f>"95206"</f>
        <v>95206</v>
      </c>
      <c r="C4401" s="1">
        <v>7.1973199079186201E-2</v>
      </c>
      <c r="D4401" s="1">
        <v>4.7950922293631501E-2</v>
      </c>
      <c r="E4401" s="1">
        <v>3.6314822664970998E-2</v>
      </c>
      <c r="F4401" s="1">
        <v>6.9196563311132997E-2</v>
      </c>
    </row>
    <row r="4402" spans="1:6" x14ac:dyDescent="0.25">
      <c r="A4402" s="2" t="str">
        <f t="shared" si="153"/>
        <v>44700</v>
      </c>
      <c r="B4402" s="2" t="str">
        <f>"95632"</f>
        <v>95632</v>
      </c>
      <c r="C4402" s="1">
        <v>1.5496621811308001E-3</v>
      </c>
      <c r="D4402" s="1">
        <v>2.0866371755279099E-4</v>
      </c>
      <c r="E4402" s="1">
        <v>0</v>
      </c>
      <c r="F4402" s="1">
        <v>1.40512552231097E-3</v>
      </c>
    </row>
    <row r="4403" spans="1:6" x14ac:dyDescent="0.25">
      <c r="A4403" s="2" t="str">
        <f t="shared" si="153"/>
        <v>44700</v>
      </c>
      <c r="B4403" s="2" t="str">
        <f>"95378"</f>
        <v>95378</v>
      </c>
      <c r="C4403" s="1">
        <v>3.3014542119743201E-3</v>
      </c>
      <c r="D4403" s="1">
        <v>1.6442700943159999E-2</v>
      </c>
      <c r="E4403" s="1">
        <v>2.8260562385191398E-4</v>
      </c>
      <c r="F4403" s="1">
        <v>4.2858005191251302E-3</v>
      </c>
    </row>
    <row r="4404" spans="1:6" x14ac:dyDescent="0.25">
      <c r="A4404" s="2" t="str">
        <f t="shared" si="153"/>
        <v>44700</v>
      </c>
      <c r="B4404" s="2" t="str">
        <f>"95242"</f>
        <v>95242</v>
      </c>
      <c r="C4404" s="1">
        <v>4.1455334917931498E-2</v>
      </c>
      <c r="D4404" s="1">
        <v>2.7543610716968502E-2</v>
      </c>
      <c r="E4404" s="1">
        <v>3.3630069238377802E-2</v>
      </c>
      <c r="F4404" s="1">
        <v>4.01517133141511E-2</v>
      </c>
    </row>
    <row r="4405" spans="1:6" x14ac:dyDescent="0.25">
      <c r="A4405" s="2" t="str">
        <f t="shared" si="153"/>
        <v>44700</v>
      </c>
      <c r="B4405" s="2" t="str">
        <f>"95236"</f>
        <v>95236</v>
      </c>
      <c r="C4405" s="1">
        <v>5.64092006513072E-3</v>
      </c>
      <c r="D4405" s="1">
        <v>2.0031716885068E-3</v>
      </c>
      <c r="E4405" s="1">
        <v>7.0651405962978602E-4</v>
      </c>
      <c r="F4405" s="1">
        <v>5.2314935914203496E-3</v>
      </c>
    </row>
    <row r="4406" spans="1:6" x14ac:dyDescent="0.25">
      <c r="A4406" s="2" t="str">
        <f t="shared" si="153"/>
        <v>44700</v>
      </c>
      <c r="B4406" s="2" t="str">
        <f>"95215"</f>
        <v>95215</v>
      </c>
      <c r="C4406" s="1">
        <v>2.7508375287754201E-2</v>
      </c>
      <c r="D4406" s="1">
        <v>2.7585343460479E-2</v>
      </c>
      <c r="E4406" s="1">
        <v>1.78041543026706E-2</v>
      </c>
      <c r="F4406" s="1">
        <v>2.7284251192176898E-2</v>
      </c>
    </row>
    <row r="4407" spans="1:6" x14ac:dyDescent="0.25">
      <c r="A4407" s="2" t="str">
        <f t="shared" si="153"/>
        <v>44700</v>
      </c>
      <c r="B4407" s="2" t="str">
        <f>"95337"</f>
        <v>95337</v>
      </c>
      <c r="C4407" s="1">
        <v>5.2841983118414398E-2</v>
      </c>
      <c r="D4407" s="1">
        <v>3.6349219597696297E-2</v>
      </c>
      <c r="E4407" s="1">
        <v>3.9564787339268E-2</v>
      </c>
      <c r="F4407" s="1">
        <v>5.1201566765260102E-2</v>
      </c>
    </row>
    <row r="4408" spans="1:6" x14ac:dyDescent="0.25">
      <c r="A4408" s="2" t="str">
        <f t="shared" si="153"/>
        <v>44700</v>
      </c>
      <c r="B4408" s="2" t="str">
        <f>"95258"</f>
        <v>95258</v>
      </c>
      <c r="C4408" s="1">
        <v>1.02599614456027E-2</v>
      </c>
      <c r="D4408" s="1">
        <v>1.55245805859277E-2</v>
      </c>
      <c r="E4408" s="1">
        <v>1.9782393669633999E-3</v>
      </c>
      <c r="F4408" s="1">
        <v>1.04864618335714E-2</v>
      </c>
    </row>
    <row r="4409" spans="1:6" x14ac:dyDescent="0.25">
      <c r="A4409" s="2" t="str">
        <f t="shared" si="153"/>
        <v>44700</v>
      </c>
      <c r="B4409" s="2" t="str">
        <f>"95237"</f>
        <v>95237</v>
      </c>
      <c r="C4409" s="1">
        <v>3.8030356908910498E-3</v>
      </c>
      <c r="D4409" s="1">
        <v>4.4654035556297399E-3</v>
      </c>
      <c r="E4409" s="1">
        <v>3.10866186237106E-3</v>
      </c>
      <c r="F4409" s="1">
        <v>3.83978215524121E-3</v>
      </c>
    </row>
    <row r="4410" spans="1:6" x14ac:dyDescent="0.25">
      <c r="A4410" s="2" t="str">
        <f t="shared" si="153"/>
        <v>44700</v>
      </c>
      <c r="B4410" s="2" t="str">
        <f>"95231"</f>
        <v>95231</v>
      </c>
      <c r="C4410" s="1">
        <v>7.3814826598790897E-3</v>
      </c>
      <c r="D4410" s="1">
        <v>1.5649778816459299E-2</v>
      </c>
      <c r="E4410" s="1">
        <v>1.4130281192595701E-3</v>
      </c>
      <c r="F4410" s="1">
        <v>7.9042502531908709E-3</v>
      </c>
    </row>
    <row r="4411" spans="1:6" x14ac:dyDescent="0.25">
      <c r="A4411" s="2" t="str">
        <f t="shared" si="153"/>
        <v>44700</v>
      </c>
      <c r="B4411" s="2" t="str">
        <f>"95220"</f>
        <v>95220</v>
      </c>
      <c r="C4411" s="1">
        <v>1.15962643409256E-2</v>
      </c>
      <c r="D4411" s="1">
        <v>5.6756531174359396E-3</v>
      </c>
      <c r="E4411" s="1">
        <v>4.0977815458527597E-3</v>
      </c>
      <c r="F4411" s="1">
        <v>1.09425407620542E-2</v>
      </c>
    </row>
    <row r="4412" spans="1:6" x14ac:dyDescent="0.25">
      <c r="A4412" s="2" t="str">
        <f t="shared" si="153"/>
        <v>44700</v>
      </c>
      <c r="B4412" s="2" t="str">
        <f>"95686"</f>
        <v>95686</v>
      </c>
      <c r="C4412" s="1">
        <v>0</v>
      </c>
      <c r="D4412" s="1">
        <v>0</v>
      </c>
      <c r="E4412" s="1">
        <v>1.4130281192595699E-4</v>
      </c>
      <c r="F4412" s="1">
        <v>3.3535215329617601E-6</v>
      </c>
    </row>
    <row r="4413" spans="1:6" x14ac:dyDescent="0.25">
      <c r="A4413" s="2" t="str">
        <f t="shared" si="153"/>
        <v>44700</v>
      </c>
      <c r="B4413" s="2" t="str">
        <f>"95267"</f>
        <v>95267</v>
      </c>
      <c r="C4413" s="1">
        <v>2.8447904774381899E-3</v>
      </c>
      <c r="D4413" s="1">
        <v>9.5985310074284194E-3</v>
      </c>
      <c r="E4413" s="1">
        <v>2.8260562385191398E-4</v>
      </c>
      <c r="F4413" s="1">
        <v>3.3266933606980599E-3</v>
      </c>
    </row>
    <row r="4414" spans="1:6" x14ac:dyDescent="0.25">
      <c r="A4414" s="2" t="str">
        <f t="shared" si="153"/>
        <v>44700</v>
      </c>
      <c r="B4414" s="2" t="str">
        <f>"95240"</f>
        <v>95240</v>
      </c>
      <c r="C4414" s="1">
        <v>6.4344668825213794E-2</v>
      </c>
      <c r="D4414" s="1">
        <v>9.9991653451297804E-2</v>
      </c>
      <c r="E4414" s="1">
        <v>0.16913946587536999</v>
      </c>
      <c r="F4414" s="1">
        <v>6.9696238019544304E-2</v>
      </c>
    </row>
    <row r="4415" spans="1:6" x14ac:dyDescent="0.25">
      <c r="A4415" s="2" t="str">
        <f t="shared" si="153"/>
        <v>44700</v>
      </c>
      <c r="B4415" s="2" t="str">
        <f>"95366"</f>
        <v>95366</v>
      </c>
      <c r="C4415" s="1">
        <v>2.74447418165484E-2</v>
      </c>
      <c r="D4415" s="1">
        <v>2.8712127535264101E-2</v>
      </c>
      <c r="E4415" s="1">
        <v>1.6815034619188901E-2</v>
      </c>
      <c r="F4415" s="1">
        <v>2.7294311756775699E-2</v>
      </c>
    </row>
    <row r="4416" spans="1:6" x14ac:dyDescent="0.25">
      <c r="A4416" s="2" t="str">
        <f t="shared" si="153"/>
        <v>44700</v>
      </c>
      <c r="B4416" s="2" t="str">
        <f>"95207"</f>
        <v>95207</v>
      </c>
      <c r="C4416" s="1">
        <v>7.27742321873069E-2</v>
      </c>
      <c r="D4416" s="1">
        <v>8.9015941908021007E-2</v>
      </c>
      <c r="E4416" s="1">
        <v>0.12844425604069501</v>
      </c>
      <c r="F4416" s="1">
        <v>7.5400578147112193E-2</v>
      </c>
    </row>
    <row r="4417" spans="1:6" x14ac:dyDescent="0.25">
      <c r="A4417" s="2" t="str">
        <f t="shared" si="153"/>
        <v>44700</v>
      </c>
      <c r="B4417" s="2" t="str">
        <f>"95205"</f>
        <v>95205</v>
      </c>
      <c r="C4417" s="1">
        <v>4.5947109355991798E-2</v>
      </c>
      <c r="D4417" s="1">
        <v>7.31992321175194E-2</v>
      </c>
      <c r="E4417" s="1">
        <v>5.6097216334605002E-2</v>
      </c>
      <c r="F4417" s="1">
        <v>4.8377901634506303E-2</v>
      </c>
    </row>
    <row r="4418" spans="1:6" x14ac:dyDescent="0.25">
      <c r="A4418" s="2" t="str">
        <f t="shared" si="153"/>
        <v>44700</v>
      </c>
      <c r="B4418" s="2" t="str">
        <f>"95201"</f>
        <v>95201</v>
      </c>
      <c r="C4418" s="1">
        <v>6.4232374464262302E-3</v>
      </c>
      <c r="D4418" s="1">
        <v>1.2185961105083E-2</v>
      </c>
      <c r="E4418" s="1">
        <v>2.8260562385191398E-4</v>
      </c>
      <c r="F4418" s="1">
        <v>6.7405782812531402E-3</v>
      </c>
    </row>
    <row r="4419" spans="1:6" x14ac:dyDescent="0.25">
      <c r="A4419" s="2" t="str">
        <f t="shared" ref="A4419:A4448" si="154">"46380"</f>
        <v>46380</v>
      </c>
      <c r="B4419" s="2" t="str">
        <f>"95454"</f>
        <v>95454</v>
      </c>
      <c r="C4419" s="1">
        <v>4.1348600508905797E-3</v>
      </c>
      <c r="D4419" s="1">
        <v>2.58757961783439E-3</v>
      </c>
      <c r="E4419" s="1">
        <v>2.5482344375682502E-3</v>
      </c>
      <c r="F4419" s="1">
        <v>3.8854511440495E-3</v>
      </c>
    </row>
    <row r="4420" spans="1:6" x14ac:dyDescent="0.25">
      <c r="A4420" s="2" t="str">
        <f t="shared" si="154"/>
        <v>46380</v>
      </c>
      <c r="B4420" s="2" t="str">
        <f>"95469"</f>
        <v>95469</v>
      </c>
      <c r="C4420" s="1">
        <v>1.49980426697983E-2</v>
      </c>
      <c r="D4420" s="1">
        <v>2.98566878980891E-3</v>
      </c>
      <c r="E4420" s="1">
        <v>2.91226792864943E-3</v>
      </c>
      <c r="F4420" s="1">
        <v>1.30748514688649E-2</v>
      </c>
    </row>
    <row r="4421" spans="1:6" x14ac:dyDescent="0.25">
      <c r="A4421" s="2" t="str">
        <f t="shared" si="154"/>
        <v>46380</v>
      </c>
      <c r="B4421" s="2" t="str">
        <f>"95466"</f>
        <v>95466</v>
      </c>
      <c r="C4421" s="1">
        <v>6.3123899001761496E-3</v>
      </c>
      <c r="D4421" s="1">
        <v>1.0151273885350301E-2</v>
      </c>
      <c r="E4421" s="1">
        <v>2.18420094648707E-3</v>
      </c>
      <c r="F4421" s="1">
        <v>6.4757519067491697E-3</v>
      </c>
    </row>
    <row r="4422" spans="1:6" x14ac:dyDescent="0.25">
      <c r="A4422" s="2" t="str">
        <f t="shared" si="154"/>
        <v>46380</v>
      </c>
      <c r="B4422" s="2" t="str">
        <f>"95417"</f>
        <v>95417</v>
      </c>
      <c r="C4422" s="1">
        <v>1.66373067136425E-3</v>
      </c>
      <c r="D4422" s="1">
        <v>0</v>
      </c>
      <c r="E4422" s="1">
        <v>3.64033491081179E-3</v>
      </c>
      <c r="F4422" s="1">
        <v>1.60351951976646E-3</v>
      </c>
    </row>
    <row r="4423" spans="1:6" x14ac:dyDescent="0.25">
      <c r="A4423" s="2" t="str">
        <f t="shared" si="154"/>
        <v>46380</v>
      </c>
      <c r="B4423" s="2" t="str">
        <f>"95490"</f>
        <v>95490</v>
      </c>
      <c r="C4423" s="1">
        <v>0.19531708749266</v>
      </c>
      <c r="D4423" s="1">
        <v>0.164808917197452</v>
      </c>
      <c r="E4423" s="1">
        <v>0.10738987986894701</v>
      </c>
      <c r="F4423" s="1">
        <v>0.18720062496145301</v>
      </c>
    </row>
    <row r="4424" spans="1:6" x14ac:dyDescent="0.25">
      <c r="A4424" s="2" t="str">
        <f t="shared" si="154"/>
        <v>46380</v>
      </c>
      <c r="B4424" s="2" t="str">
        <f>"95470"</f>
        <v>95470</v>
      </c>
      <c r="C4424" s="1">
        <v>5.6199843413583798E-2</v>
      </c>
      <c r="D4424" s="1">
        <v>2.0302547770700601E-2</v>
      </c>
      <c r="E4424" s="1">
        <v>1.82016745540589E-2</v>
      </c>
      <c r="F4424" s="1">
        <v>5.0346401332154601E-2</v>
      </c>
    </row>
    <row r="4425" spans="1:6" x14ac:dyDescent="0.25">
      <c r="A4425" s="2" t="str">
        <f t="shared" si="154"/>
        <v>46380</v>
      </c>
      <c r="B4425" s="2" t="str">
        <f>"95460"</f>
        <v>95460</v>
      </c>
      <c r="C4425" s="1">
        <v>2.03562340966921E-2</v>
      </c>
      <c r="D4425" s="1">
        <v>3.1847133757961698E-3</v>
      </c>
      <c r="E4425" s="1">
        <v>9.4648707681106604E-3</v>
      </c>
      <c r="F4425" s="1">
        <v>1.79676417984088E-2</v>
      </c>
    </row>
    <row r="4426" spans="1:6" x14ac:dyDescent="0.25">
      <c r="A4426" s="2" t="str">
        <f t="shared" si="154"/>
        <v>46380</v>
      </c>
      <c r="B4426" s="2" t="str">
        <f>"95429"</f>
        <v>95429</v>
      </c>
      <c r="C4426" s="1">
        <v>1.5413975337639401E-3</v>
      </c>
      <c r="D4426" s="1">
        <v>0</v>
      </c>
      <c r="E4426" s="1">
        <v>1.45613396432471E-3</v>
      </c>
      <c r="F4426" s="1">
        <v>1.3773821515942601E-3</v>
      </c>
    </row>
    <row r="4427" spans="1:6" x14ac:dyDescent="0.25">
      <c r="A4427" s="2" t="str">
        <f t="shared" si="154"/>
        <v>46380</v>
      </c>
      <c r="B4427" s="2" t="str">
        <f>"95437"</f>
        <v>95437</v>
      </c>
      <c r="C4427" s="1">
        <v>0.222279311019769</v>
      </c>
      <c r="D4427" s="1">
        <v>0.23666401273885301</v>
      </c>
      <c r="E4427" s="1">
        <v>0.134692391700036</v>
      </c>
      <c r="F4427" s="1">
        <v>0.21881874062043799</v>
      </c>
    </row>
    <row r="4428" spans="1:6" x14ac:dyDescent="0.25">
      <c r="A4428" s="2" t="str">
        <f t="shared" si="154"/>
        <v>46380</v>
      </c>
      <c r="B4428" s="2" t="str">
        <f>"95420"</f>
        <v>95420</v>
      </c>
      <c r="C4428" s="1">
        <v>5.8964572323350903E-3</v>
      </c>
      <c r="D4428" s="1">
        <v>1.7914012738853499E-3</v>
      </c>
      <c r="E4428" s="1">
        <v>5.09646887513651E-3</v>
      </c>
      <c r="F4428" s="1">
        <v>5.42729683613263E-3</v>
      </c>
    </row>
    <row r="4429" spans="1:6" x14ac:dyDescent="0.25">
      <c r="A4429" s="2" t="str">
        <f t="shared" si="154"/>
        <v>46380</v>
      </c>
      <c r="B4429" s="2" t="str">
        <f>"95494"</f>
        <v>95494</v>
      </c>
      <c r="C4429" s="1">
        <v>1.1254648659228799E-3</v>
      </c>
      <c r="D4429" s="1">
        <v>0</v>
      </c>
      <c r="E4429" s="1">
        <v>7.2806698216235804E-4</v>
      </c>
      <c r="F4429" s="1">
        <v>9.8678124293320691E-4</v>
      </c>
    </row>
    <row r="4430" spans="1:6" x14ac:dyDescent="0.25">
      <c r="A4430" s="2" t="str">
        <f t="shared" si="154"/>
        <v>46380</v>
      </c>
      <c r="B4430" s="2" t="str">
        <f>"95589"</f>
        <v>95589</v>
      </c>
      <c r="C4430" s="1">
        <v>1.05206498336269E-3</v>
      </c>
      <c r="D4430" s="1">
        <v>3.9808917197452199E-4</v>
      </c>
      <c r="E4430" s="1">
        <v>0</v>
      </c>
      <c r="F4430" s="1">
        <v>9.2510741524988102E-4</v>
      </c>
    </row>
    <row r="4431" spans="1:6" x14ac:dyDescent="0.25">
      <c r="A4431" s="2" t="str">
        <f t="shared" si="154"/>
        <v>46380</v>
      </c>
      <c r="B4431" s="2" t="str">
        <f>"95488"</f>
        <v>95488</v>
      </c>
      <c r="C4431" s="1">
        <v>2.0796633392053199E-3</v>
      </c>
      <c r="D4431" s="1">
        <v>1.9904458598726099E-4</v>
      </c>
      <c r="E4431" s="1">
        <v>7.2806698216235804E-4</v>
      </c>
      <c r="F4431" s="1">
        <v>1.80909894537754E-3</v>
      </c>
    </row>
    <row r="4432" spans="1:6" x14ac:dyDescent="0.25">
      <c r="A4432" s="2" t="str">
        <f t="shared" si="154"/>
        <v>46380</v>
      </c>
      <c r="B4432" s="2" t="str">
        <f>"95463"</f>
        <v>95463</v>
      </c>
      <c r="C4432" s="1">
        <v>4.8933255040125202E-5</v>
      </c>
      <c r="D4432" s="1">
        <v>1.9904458598726099E-4</v>
      </c>
      <c r="E4432" s="1">
        <v>0</v>
      </c>
      <c r="F4432" s="1">
        <v>6.1673827683325405E-5</v>
      </c>
    </row>
    <row r="4433" spans="1:6" x14ac:dyDescent="0.25">
      <c r="A4433" s="2" t="str">
        <f t="shared" si="154"/>
        <v>46380</v>
      </c>
      <c r="B4433" s="2" t="str">
        <f>"95459"</f>
        <v>95459</v>
      </c>
      <c r="C4433" s="1">
        <v>3.3029947152084498E-3</v>
      </c>
      <c r="D4433" s="1">
        <v>7.9617834394904398E-4</v>
      </c>
      <c r="E4433" s="1">
        <v>7.2806698216235804E-4</v>
      </c>
      <c r="F4433" s="1">
        <v>2.8986699011162901E-3</v>
      </c>
    </row>
    <row r="4434" spans="1:6" x14ac:dyDescent="0.25">
      <c r="A4434" s="2" t="str">
        <f t="shared" si="154"/>
        <v>46380</v>
      </c>
      <c r="B4434" s="2" t="str">
        <f>"95456"</f>
        <v>95456</v>
      </c>
      <c r="C4434" s="1">
        <v>9.0281855549031106E-3</v>
      </c>
      <c r="D4434" s="1">
        <v>3.1847133757961698E-3</v>
      </c>
      <c r="E4434" s="1">
        <v>1.45613396432471E-3</v>
      </c>
      <c r="F4434" s="1">
        <v>7.9970396562711998E-3</v>
      </c>
    </row>
    <row r="4435" spans="1:6" x14ac:dyDescent="0.25">
      <c r="A4435" s="2" t="str">
        <f t="shared" si="154"/>
        <v>46380</v>
      </c>
      <c r="B4435" s="2" t="str">
        <f>"95418"</f>
        <v>95418</v>
      </c>
      <c r="C4435" s="1">
        <v>0</v>
      </c>
      <c r="D4435" s="1">
        <v>1.9904458598726099E-4</v>
      </c>
      <c r="E4435" s="1">
        <v>0</v>
      </c>
      <c r="F4435" s="1">
        <v>2.0557942561108401E-5</v>
      </c>
    </row>
    <row r="4436" spans="1:6" x14ac:dyDescent="0.25">
      <c r="A4436" s="2" t="str">
        <f t="shared" si="154"/>
        <v>46380</v>
      </c>
      <c r="B4436" s="2" t="str">
        <f>"95542"</f>
        <v>95542</v>
      </c>
      <c r="C4436" s="1">
        <v>5.3826580544137702E-4</v>
      </c>
      <c r="D4436" s="1">
        <v>0</v>
      </c>
      <c r="E4436" s="1">
        <v>0</v>
      </c>
      <c r="F4436" s="1">
        <v>4.5227473634438598E-4</v>
      </c>
    </row>
    <row r="4437" spans="1:6" x14ac:dyDescent="0.25">
      <c r="A4437" s="2" t="str">
        <f t="shared" si="154"/>
        <v>46380</v>
      </c>
      <c r="B4437" s="2" t="str">
        <f>"95432"</f>
        <v>95432</v>
      </c>
      <c r="C4437" s="1">
        <v>2.96046192992757E-3</v>
      </c>
      <c r="D4437" s="1">
        <v>1.9904458598726099E-4</v>
      </c>
      <c r="E4437" s="1">
        <v>1.45613396432471E-3</v>
      </c>
      <c r="F4437" s="1">
        <v>2.5903007626996602E-3</v>
      </c>
    </row>
    <row r="4438" spans="1:6" x14ac:dyDescent="0.25">
      <c r="A4438" s="2" t="str">
        <f t="shared" si="154"/>
        <v>46380</v>
      </c>
      <c r="B4438" s="2" t="str">
        <f>"95410"</f>
        <v>95410</v>
      </c>
      <c r="C4438" s="1">
        <v>4.3550596985711398E-3</v>
      </c>
      <c r="D4438" s="1">
        <v>3.9808917197452199E-4</v>
      </c>
      <c r="E4438" s="1">
        <v>1.45613396432471E-3</v>
      </c>
      <c r="F4438" s="1">
        <v>3.7826614312439599E-3</v>
      </c>
    </row>
    <row r="4439" spans="1:6" x14ac:dyDescent="0.25">
      <c r="A4439" s="2" t="str">
        <f t="shared" si="154"/>
        <v>46380</v>
      </c>
      <c r="B4439" s="2" t="str">
        <f>"95449"</f>
        <v>95449</v>
      </c>
      <c r="C4439" s="1">
        <v>1.2110980622430999E-2</v>
      </c>
      <c r="D4439" s="1">
        <v>8.1608280254777E-3</v>
      </c>
      <c r="E4439" s="1">
        <v>5.4605023662176897E-3</v>
      </c>
      <c r="F4439" s="1">
        <v>1.13274263511707E-2</v>
      </c>
    </row>
    <row r="4440" spans="1:6" x14ac:dyDescent="0.25">
      <c r="A4440" s="2" t="str">
        <f t="shared" si="154"/>
        <v>46380</v>
      </c>
      <c r="B4440" s="2" t="str">
        <f>"95427"</f>
        <v>95427</v>
      </c>
      <c r="C4440" s="1">
        <v>2.4466627520062601E-5</v>
      </c>
      <c r="D4440" s="1">
        <v>1.9904458598726099E-4</v>
      </c>
      <c r="E4440" s="1">
        <v>7.2806698216235804E-4</v>
      </c>
      <c r="F4440" s="1">
        <v>8.22317702444339E-5</v>
      </c>
    </row>
    <row r="4441" spans="1:6" x14ac:dyDescent="0.25">
      <c r="A4441" s="2" t="str">
        <f t="shared" si="154"/>
        <v>46380</v>
      </c>
      <c r="B4441" s="2" t="str">
        <f>"95428"</f>
        <v>95428</v>
      </c>
      <c r="C4441" s="1">
        <v>1.7738304952045401E-2</v>
      </c>
      <c r="D4441" s="1">
        <v>3.7818471337579601E-3</v>
      </c>
      <c r="E4441" s="1">
        <v>8.3727702948671202E-3</v>
      </c>
      <c r="F4441" s="1">
        <v>1.5767941944370201E-2</v>
      </c>
    </row>
    <row r="4442" spans="1:6" x14ac:dyDescent="0.25">
      <c r="A4442" s="2" t="str">
        <f t="shared" si="154"/>
        <v>46380</v>
      </c>
      <c r="B4442" s="2" t="str">
        <f>"95445"</f>
        <v>95445</v>
      </c>
      <c r="C4442" s="1">
        <v>4.24251321197886E-2</v>
      </c>
      <c r="D4442" s="1">
        <v>3.3837579617834301E-3</v>
      </c>
      <c r="E4442" s="1">
        <v>1.56534401164907E-2</v>
      </c>
      <c r="F4442" s="1">
        <v>3.6880948954628602E-2</v>
      </c>
    </row>
    <row r="4443" spans="1:6" x14ac:dyDescent="0.25">
      <c r="A4443" s="2" t="str">
        <f t="shared" si="154"/>
        <v>46380</v>
      </c>
      <c r="B4443" s="2" t="str">
        <f>"95482"</f>
        <v>95482</v>
      </c>
      <c r="C4443" s="1">
        <v>0.35366510080250502</v>
      </c>
      <c r="D4443" s="1">
        <v>0.52348726114649602</v>
      </c>
      <c r="E4443" s="1">
        <v>0.67018565708045097</v>
      </c>
      <c r="F4443" s="1">
        <v>0.38907962091153903</v>
      </c>
    </row>
    <row r="4444" spans="1:6" x14ac:dyDescent="0.25">
      <c r="A4444" s="2" t="str">
        <f t="shared" si="154"/>
        <v>46380</v>
      </c>
      <c r="B4444" s="2" t="str">
        <f>"95468"</f>
        <v>95468</v>
      </c>
      <c r="C4444" s="1">
        <v>3.52319436288901E-3</v>
      </c>
      <c r="D4444" s="1">
        <v>3.3837579617834301E-3</v>
      </c>
      <c r="E4444" s="1">
        <v>1.82016745540589E-3</v>
      </c>
      <c r="F4444" s="1">
        <v>3.4126184651440002E-3</v>
      </c>
    </row>
    <row r="4445" spans="1:6" x14ac:dyDescent="0.25">
      <c r="A4445" s="2" t="str">
        <f t="shared" si="154"/>
        <v>46380</v>
      </c>
      <c r="B4445" s="2" t="str">
        <f>"95415"</f>
        <v>95415</v>
      </c>
      <c r="C4445" s="1">
        <v>2.20199647680563E-3</v>
      </c>
      <c r="D4445" s="1">
        <v>0</v>
      </c>
      <c r="E4445" s="1">
        <v>1.09210047324353E-3</v>
      </c>
      <c r="F4445" s="1">
        <v>1.9118886581830799E-3</v>
      </c>
    </row>
    <row r="4446" spans="1:6" x14ac:dyDescent="0.25">
      <c r="A4446" s="2" t="str">
        <f t="shared" si="154"/>
        <v>46380</v>
      </c>
      <c r="B4446" s="2" t="str">
        <f>"95587"</f>
        <v>95587</v>
      </c>
      <c r="C4446" s="1">
        <v>7.3399882560187902E-5</v>
      </c>
      <c r="D4446" s="1">
        <v>9.9522292993630508E-4</v>
      </c>
      <c r="E4446" s="1">
        <v>0</v>
      </c>
      <c r="F4446" s="1">
        <v>1.6446354048886699E-4</v>
      </c>
    </row>
    <row r="4447" spans="1:6" x14ac:dyDescent="0.25">
      <c r="A4447" s="2" t="str">
        <f t="shared" si="154"/>
        <v>46380</v>
      </c>
      <c r="B4447" s="2" t="str">
        <f>"95585"</f>
        <v>95585</v>
      </c>
      <c r="C4447" s="1">
        <v>1.0275983558426299E-3</v>
      </c>
      <c r="D4447" s="1">
        <v>5.9713375796178298E-4</v>
      </c>
      <c r="E4447" s="1">
        <v>2.18420094648707E-3</v>
      </c>
      <c r="F4447" s="1">
        <v>1.04845507061653E-3</v>
      </c>
    </row>
    <row r="4448" spans="1:6" x14ac:dyDescent="0.25">
      <c r="A4448" s="2" t="str">
        <f t="shared" si="154"/>
        <v>46380</v>
      </c>
      <c r="B4448" s="2" t="str">
        <f>"95481"</f>
        <v>95481</v>
      </c>
      <c r="C4448" s="1">
        <v>1.40193775689958E-2</v>
      </c>
      <c r="D4448" s="1">
        <v>7.9617834394904406E-3</v>
      </c>
      <c r="E4448" s="1">
        <v>3.6403349108117902E-4</v>
      </c>
      <c r="F4448" s="1">
        <v>1.26225767325206E-2</v>
      </c>
    </row>
    <row r="4449" spans="1:6" x14ac:dyDescent="0.25">
      <c r="A4449" s="2" t="str">
        <f t="shared" ref="A4449:A4464" si="155">"17340"</f>
        <v>17340</v>
      </c>
      <c r="B4449" s="2" t="str">
        <f>"95435"</f>
        <v>95435</v>
      </c>
      <c r="C4449" s="1">
        <v>2.4198427102238299E-5</v>
      </c>
      <c r="D4449" s="1">
        <v>3.4806822137138801E-4</v>
      </c>
      <c r="E4449" s="1">
        <v>0</v>
      </c>
      <c r="F4449" s="1">
        <v>4.3719669479298699E-5</v>
      </c>
    </row>
    <row r="4450" spans="1:6" x14ac:dyDescent="0.25">
      <c r="A4450" s="2" t="str">
        <f t="shared" si="155"/>
        <v>17340</v>
      </c>
      <c r="B4450" s="2" t="str">
        <f>"95423"</f>
        <v>95423</v>
      </c>
      <c r="C4450" s="1">
        <v>7.7967332123411906E-2</v>
      </c>
      <c r="D4450" s="1">
        <v>3.3762617473024698E-2</v>
      </c>
      <c r="E4450" s="1">
        <v>4.0697674418604599E-2</v>
      </c>
      <c r="F4450" s="1">
        <v>7.3929961089494095E-2</v>
      </c>
    </row>
    <row r="4451" spans="1:6" x14ac:dyDescent="0.25">
      <c r="A4451" s="2" t="str">
        <f t="shared" si="155"/>
        <v>17340</v>
      </c>
      <c r="B4451" s="2" t="str">
        <f>"95464"</f>
        <v>95464</v>
      </c>
      <c r="C4451" s="1">
        <v>1.0332728372655701E-2</v>
      </c>
      <c r="D4451" s="1">
        <v>3.1326139923424901E-3</v>
      </c>
      <c r="E4451" s="1">
        <v>1.1627906976744099E-2</v>
      </c>
      <c r="F4451" s="1">
        <v>9.9243649718008097E-3</v>
      </c>
    </row>
    <row r="4452" spans="1:6" x14ac:dyDescent="0.25">
      <c r="A4452" s="2" t="str">
        <f t="shared" si="155"/>
        <v>17340</v>
      </c>
      <c r="B4452" s="2" t="str">
        <f>"95461"</f>
        <v>95461</v>
      </c>
      <c r="C4452" s="1">
        <v>6.2746521476104003E-2</v>
      </c>
      <c r="D4452" s="1">
        <v>0.10163592064044499</v>
      </c>
      <c r="E4452" s="1">
        <v>2.6485788113695001E-2</v>
      </c>
      <c r="F4452" s="1">
        <v>6.3961876448213995E-2</v>
      </c>
    </row>
    <row r="4453" spans="1:6" x14ac:dyDescent="0.25">
      <c r="A4453" s="2" t="str">
        <f t="shared" si="155"/>
        <v>17340</v>
      </c>
      <c r="B4453" s="2" t="str">
        <f>"95453"</f>
        <v>95453</v>
      </c>
      <c r="C4453" s="1">
        <v>0.17512401693889801</v>
      </c>
      <c r="D4453" s="1">
        <v>0.41315697876783802</v>
      </c>
      <c r="E4453" s="1">
        <v>0.177002583979328</v>
      </c>
      <c r="F4453" s="1">
        <v>0.19013684256547</v>
      </c>
    </row>
    <row r="4454" spans="1:6" x14ac:dyDescent="0.25">
      <c r="A4454" s="2" t="str">
        <f t="shared" si="155"/>
        <v>17340</v>
      </c>
      <c r="B4454" s="2" t="str">
        <f>"95422"</f>
        <v>95422</v>
      </c>
      <c r="C4454" s="1">
        <v>0.28781609195402202</v>
      </c>
      <c r="D4454" s="1">
        <v>0.19665854507483399</v>
      </c>
      <c r="E4454" s="1">
        <v>0.234496124031007</v>
      </c>
      <c r="F4454" s="1">
        <v>0.28028680103178399</v>
      </c>
    </row>
    <row r="4455" spans="1:6" x14ac:dyDescent="0.25">
      <c r="A4455" s="2" t="str">
        <f t="shared" si="155"/>
        <v>17340</v>
      </c>
      <c r="B4455" s="2" t="str">
        <f>"95493"</f>
        <v>95493</v>
      </c>
      <c r="C4455" s="1">
        <v>2.7102238354506899E-3</v>
      </c>
      <c r="D4455" s="1">
        <v>3.4806822137138801E-4</v>
      </c>
      <c r="E4455" s="1">
        <v>0</v>
      </c>
      <c r="F4455" s="1">
        <v>2.4701613255803702E-3</v>
      </c>
    </row>
    <row r="4456" spans="1:6" x14ac:dyDescent="0.25">
      <c r="A4456" s="2" t="str">
        <f t="shared" si="155"/>
        <v>17340</v>
      </c>
      <c r="B4456" s="2" t="str">
        <f>"95457"</f>
        <v>95457</v>
      </c>
      <c r="C4456" s="1">
        <v>6.5650332728372604E-2</v>
      </c>
      <c r="D4456" s="1">
        <v>6.0215802297250202E-2</v>
      </c>
      <c r="E4456" s="1">
        <v>1.42118863049095E-2</v>
      </c>
      <c r="F4456" s="1">
        <v>6.3568399422900296E-2</v>
      </c>
    </row>
    <row r="4457" spans="1:6" x14ac:dyDescent="0.25">
      <c r="A4457" s="2" t="str">
        <f t="shared" si="155"/>
        <v>17340</v>
      </c>
      <c r="B4457" s="2" t="str">
        <f>"95467"</f>
        <v>95467</v>
      </c>
      <c r="C4457" s="1">
        <v>6.6400483968542007E-2</v>
      </c>
      <c r="D4457" s="1">
        <v>3.1326139923424902E-2</v>
      </c>
      <c r="E4457" s="1">
        <v>0.36498708010335901</v>
      </c>
      <c r="F4457" s="1">
        <v>7.4301578280068198E-2</v>
      </c>
    </row>
    <row r="4458" spans="1:6" x14ac:dyDescent="0.25">
      <c r="A4458" s="2" t="str">
        <f t="shared" si="155"/>
        <v>17340</v>
      </c>
      <c r="B4458" s="2" t="str">
        <f>"95451"</f>
        <v>95451</v>
      </c>
      <c r="C4458" s="1">
        <v>0.17207501512401599</v>
      </c>
      <c r="D4458" s="1">
        <v>0.124260355029585</v>
      </c>
      <c r="E4458" s="1">
        <v>8.2041343669250602E-2</v>
      </c>
      <c r="F4458" s="1">
        <v>0.16602544484763601</v>
      </c>
    </row>
    <row r="4459" spans="1:6" x14ac:dyDescent="0.25">
      <c r="A4459" s="2" t="str">
        <f t="shared" si="155"/>
        <v>17340</v>
      </c>
      <c r="B4459" s="2" t="str">
        <f>"95424"</f>
        <v>95424</v>
      </c>
      <c r="C4459" s="1">
        <v>2.4851784633998699E-2</v>
      </c>
      <c r="D4459" s="1">
        <v>8.7017055342847108E-3</v>
      </c>
      <c r="E4459" s="1">
        <v>1.9379844961240299E-3</v>
      </c>
      <c r="F4459" s="1">
        <v>2.3062125650330001E-2</v>
      </c>
    </row>
    <row r="4460" spans="1:6" x14ac:dyDescent="0.25">
      <c r="A4460" s="2" t="str">
        <f t="shared" si="155"/>
        <v>17340</v>
      </c>
      <c r="B4460" s="2" t="str">
        <f>"95469"</f>
        <v>95469</v>
      </c>
      <c r="C4460" s="1">
        <v>4.57350272232304E-3</v>
      </c>
      <c r="D4460" s="1">
        <v>3.4806822137138801E-3</v>
      </c>
      <c r="E4460" s="1">
        <v>6.4599483204134305E-4</v>
      </c>
      <c r="F4460" s="1">
        <v>4.3719669479298697E-3</v>
      </c>
    </row>
    <row r="4461" spans="1:6" x14ac:dyDescent="0.25">
      <c r="A4461" s="2" t="str">
        <f t="shared" si="155"/>
        <v>17340</v>
      </c>
      <c r="B4461" s="2" t="str">
        <f>"95426"</f>
        <v>95426</v>
      </c>
      <c r="C4461" s="1">
        <v>9.6793708408953399E-5</v>
      </c>
      <c r="D4461" s="1">
        <v>0</v>
      </c>
      <c r="E4461" s="1">
        <v>1.29198966408268E-3</v>
      </c>
      <c r="F4461" s="1">
        <v>1.3115900843789599E-4</v>
      </c>
    </row>
    <row r="4462" spans="1:6" x14ac:dyDescent="0.25">
      <c r="A4462" s="2" t="str">
        <f t="shared" si="155"/>
        <v>17340</v>
      </c>
      <c r="B4462" s="2" t="str">
        <f>"95443"</f>
        <v>95443</v>
      </c>
      <c r="C4462" s="1">
        <v>4.8396854204476702E-4</v>
      </c>
      <c r="D4462" s="1">
        <v>0</v>
      </c>
      <c r="E4462" s="1">
        <v>6.4599483204134305E-4</v>
      </c>
      <c r="F4462" s="1">
        <v>4.5905652953263601E-4</v>
      </c>
    </row>
    <row r="4463" spans="1:6" x14ac:dyDescent="0.25">
      <c r="A4463" s="2" t="str">
        <f t="shared" si="155"/>
        <v>17340</v>
      </c>
      <c r="B4463" s="2" t="str">
        <f>"95458"</f>
        <v>95458</v>
      </c>
      <c r="C4463" s="1">
        <v>1.9697519661222001E-2</v>
      </c>
      <c r="D4463" s="1">
        <v>3.4806822137138801E-3</v>
      </c>
      <c r="E4463" s="1">
        <v>1.5503875968992199E-2</v>
      </c>
      <c r="F4463" s="1">
        <v>1.85371398592226E-2</v>
      </c>
    </row>
    <row r="4464" spans="1:6" x14ac:dyDescent="0.25">
      <c r="A4464" s="2" t="str">
        <f t="shared" si="155"/>
        <v>17340</v>
      </c>
      <c r="B4464" s="2" t="str">
        <f>"95485"</f>
        <v>95485</v>
      </c>
      <c r="C4464" s="1">
        <v>2.9449485783424E-2</v>
      </c>
      <c r="D4464" s="1">
        <v>1.9491820396797699E-2</v>
      </c>
      <c r="E4464" s="1">
        <v>2.8423772609819101E-2</v>
      </c>
      <c r="F4464" s="1">
        <v>2.8789402352118201E-2</v>
      </c>
    </row>
    <row r="4465" spans="1:6" x14ac:dyDescent="0.25">
      <c r="A4465" s="2" t="str">
        <f t="shared" ref="A4465:A4480" si="156">"45000"</f>
        <v>45000</v>
      </c>
      <c r="B4465" s="2" t="str">
        <f>"96137"</f>
        <v>96137</v>
      </c>
      <c r="C4465" s="1">
        <v>1.18437631247375E-2</v>
      </c>
      <c r="D4465" s="1">
        <v>4.5829514207149404E-3</v>
      </c>
      <c r="E4465" s="1">
        <v>3.51288056206088E-2</v>
      </c>
      <c r="F4465" s="1">
        <v>1.2707581227436799E-2</v>
      </c>
    </row>
    <row r="4466" spans="1:6" x14ac:dyDescent="0.25">
      <c r="A4466" s="2" t="str">
        <f t="shared" si="156"/>
        <v>45000</v>
      </c>
      <c r="B4466" s="2" t="str">
        <f>"96130"</f>
        <v>96130</v>
      </c>
      <c r="C4466" s="1">
        <v>0.76228475430491305</v>
      </c>
      <c r="D4466" s="1">
        <v>0.93858845096241905</v>
      </c>
      <c r="E4466" s="1">
        <v>0.53161592505854804</v>
      </c>
      <c r="F4466" s="1">
        <v>0.76194945848375395</v>
      </c>
    </row>
    <row r="4467" spans="1:6" x14ac:dyDescent="0.25">
      <c r="A4467" s="2" t="str">
        <f t="shared" si="156"/>
        <v>45000</v>
      </c>
      <c r="B4467" s="2" t="str">
        <f>"96109"</f>
        <v>96109</v>
      </c>
      <c r="C4467" s="1">
        <v>8.8198236035279196E-3</v>
      </c>
      <c r="D4467" s="1">
        <v>2.7497708524289598E-3</v>
      </c>
      <c r="E4467" s="1">
        <v>5.8548009367681399E-3</v>
      </c>
      <c r="F4467" s="1">
        <v>8.1588447653429593E-3</v>
      </c>
    </row>
    <row r="4468" spans="1:6" x14ac:dyDescent="0.25">
      <c r="A4468" s="2" t="str">
        <f t="shared" si="156"/>
        <v>45000</v>
      </c>
      <c r="B4468" s="2" t="str">
        <f>"96119"</f>
        <v>96119</v>
      </c>
      <c r="C4468" s="1">
        <v>0</v>
      </c>
      <c r="D4468" s="1">
        <v>0</v>
      </c>
      <c r="E4468" s="1">
        <v>2.34192037470725E-3</v>
      </c>
      <c r="F4468" s="1">
        <v>1.4440433212996301E-4</v>
      </c>
    </row>
    <row r="4469" spans="1:6" x14ac:dyDescent="0.25">
      <c r="A4469" s="2" t="str">
        <f t="shared" si="156"/>
        <v>45000</v>
      </c>
      <c r="B4469" s="2" t="str">
        <f>"96128"</f>
        <v>96128</v>
      </c>
      <c r="C4469" s="1">
        <v>6.2998740025199404E-3</v>
      </c>
      <c r="D4469" s="1">
        <v>1.8331805682859699E-3</v>
      </c>
      <c r="E4469" s="1">
        <v>1.05386416861826E-2</v>
      </c>
      <c r="F4469" s="1">
        <v>6.20938628158844E-3</v>
      </c>
    </row>
    <row r="4470" spans="1:6" x14ac:dyDescent="0.25">
      <c r="A4470" s="2" t="str">
        <f t="shared" si="156"/>
        <v>45000</v>
      </c>
      <c r="B4470" s="2" t="str">
        <f>"96056"</f>
        <v>96056</v>
      </c>
      <c r="C4470" s="1">
        <v>1.9235615287694199E-2</v>
      </c>
      <c r="D4470" s="1">
        <v>1.8331805682859699E-3</v>
      </c>
      <c r="E4470" s="1">
        <v>0</v>
      </c>
      <c r="F4470" s="1">
        <v>1.6678700361010799E-2</v>
      </c>
    </row>
    <row r="4471" spans="1:6" x14ac:dyDescent="0.25">
      <c r="A4471" s="2" t="str">
        <f t="shared" si="156"/>
        <v>45000</v>
      </c>
      <c r="B4471" s="2" t="str">
        <f>"96127"</f>
        <v>96127</v>
      </c>
      <c r="C4471" s="1">
        <v>6.2662746745065001E-2</v>
      </c>
      <c r="D4471" s="1">
        <v>4.21631530705774E-2</v>
      </c>
      <c r="E4471" s="1">
        <v>1.17096018735362E-3</v>
      </c>
      <c r="F4471" s="1">
        <v>5.72563176895306E-2</v>
      </c>
    </row>
    <row r="4472" spans="1:6" x14ac:dyDescent="0.25">
      <c r="A4472" s="2" t="str">
        <f t="shared" si="156"/>
        <v>45000</v>
      </c>
      <c r="B4472" s="2" t="str">
        <f>"96068"</f>
        <v>96068</v>
      </c>
      <c r="C4472" s="1">
        <v>0</v>
      </c>
      <c r="D4472" s="1">
        <v>0</v>
      </c>
      <c r="E4472" s="1">
        <v>1.17096018735362E-3</v>
      </c>
      <c r="F4472" s="1">
        <v>7.2202166064981899E-5</v>
      </c>
    </row>
    <row r="4473" spans="1:6" x14ac:dyDescent="0.25">
      <c r="A4473" s="2" t="str">
        <f t="shared" si="156"/>
        <v>45000</v>
      </c>
      <c r="B4473" s="2" t="str">
        <f>"96136"</f>
        <v>96136</v>
      </c>
      <c r="C4473" s="1">
        <v>8.1478370432591304E-3</v>
      </c>
      <c r="D4473" s="1">
        <v>2.7497708524289598E-3</v>
      </c>
      <c r="E4473" s="1">
        <v>1.17096018735362E-3</v>
      </c>
      <c r="F4473" s="1">
        <v>7.2924187725631699E-3</v>
      </c>
    </row>
    <row r="4474" spans="1:6" x14ac:dyDescent="0.25">
      <c r="A4474" s="2" t="str">
        <f t="shared" si="156"/>
        <v>45000</v>
      </c>
      <c r="B4474" s="2" t="str">
        <f>"96121"</f>
        <v>96121</v>
      </c>
      <c r="C4474" s="1">
        <v>1.2347753044939101E-2</v>
      </c>
      <c r="D4474" s="1">
        <v>9.1659028414298801E-4</v>
      </c>
      <c r="E4474" s="1">
        <v>2.34192037470725E-3</v>
      </c>
      <c r="F4474" s="1">
        <v>1.08303249097472E-2</v>
      </c>
    </row>
    <row r="4475" spans="1:6" x14ac:dyDescent="0.25">
      <c r="A4475" s="2" t="str">
        <f t="shared" si="156"/>
        <v>45000</v>
      </c>
      <c r="B4475" s="2" t="str">
        <f>"96113"</f>
        <v>96113</v>
      </c>
      <c r="C4475" s="1">
        <v>0</v>
      </c>
      <c r="D4475" s="1">
        <v>0</v>
      </c>
      <c r="E4475" s="1">
        <v>0.36182669789227101</v>
      </c>
      <c r="F4475" s="1">
        <v>2.2310469314079401E-2</v>
      </c>
    </row>
    <row r="4476" spans="1:6" x14ac:dyDescent="0.25">
      <c r="A4476" s="2" t="str">
        <f t="shared" si="156"/>
        <v>45000</v>
      </c>
      <c r="B4476" s="2" t="str">
        <f>"96132"</f>
        <v>96132</v>
      </c>
      <c r="C4476" s="1">
        <v>7.7278454430911303E-3</v>
      </c>
      <c r="D4476" s="1">
        <v>9.1659028414298801E-4</v>
      </c>
      <c r="E4476" s="1">
        <v>1.17096018735362E-3</v>
      </c>
      <c r="F4476" s="1">
        <v>6.7870036101082996E-3</v>
      </c>
    </row>
    <row r="4477" spans="1:6" x14ac:dyDescent="0.25">
      <c r="A4477" s="2" t="str">
        <f t="shared" si="156"/>
        <v>45000</v>
      </c>
      <c r="B4477" s="2" t="str">
        <f>"96123"</f>
        <v>96123</v>
      </c>
      <c r="C4477" s="1">
        <v>3.5279294414111702E-3</v>
      </c>
      <c r="D4477" s="1">
        <v>0</v>
      </c>
      <c r="E4477" s="1">
        <v>1.63934426229508E-2</v>
      </c>
      <c r="F4477" s="1">
        <v>4.0433212996389802E-3</v>
      </c>
    </row>
    <row r="4478" spans="1:6" x14ac:dyDescent="0.25">
      <c r="A4478" s="2" t="str">
        <f t="shared" si="156"/>
        <v>45000</v>
      </c>
      <c r="B4478" s="2" t="str">
        <f>"96117"</f>
        <v>96117</v>
      </c>
      <c r="C4478" s="1">
        <v>5.1238975220495499E-3</v>
      </c>
      <c r="D4478" s="1">
        <v>9.1659028414298801E-4</v>
      </c>
      <c r="E4478" s="1">
        <v>2.34192037470725E-3</v>
      </c>
      <c r="F4478" s="1">
        <v>4.6209386281588398E-3</v>
      </c>
    </row>
    <row r="4479" spans="1:6" x14ac:dyDescent="0.25">
      <c r="A4479" s="2" t="str">
        <f t="shared" si="156"/>
        <v>45000</v>
      </c>
      <c r="B4479" s="2" t="str">
        <f>"96114"</f>
        <v>96114</v>
      </c>
      <c r="C4479" s="1">
        <v>9.1978160436791204E-2</v>
      </c>
      <c r="D4479" s="1">
        <v>2.7497708524289598E-3</v>
      </c>
      <c r="E4479" s="1">
        <v>2.5761124121779801E-2</v>
      </c>
      <c r="F4479" s="1">
        <v>8.0866425992779697E-2</v>
      </c>
    </row>
    <row r="4480" spans="1:6" x14ac:dyDescent="0.25">
      <c r="A4480" s="2" t="str">
        <f t="shared" si="156"/>
        <v>45000</v>
      </c>
      <c r="B4480" s="2" t="str">
        <f>"96009"</f>
        <v>96009</v>
      </c>
      <c r="C4480" s="1">
        <v>0</v>
      </c>
      <c r="D4480" s="1">
        <v>0</v>
      </c>
      <c r="E4480" s="1">
        <v>1.17096018735362E-3</v>
      </c>
      <c r="F4480" s="1">
        <v>7.2202166064981899E-5</v>
      </c>
    </row>
    <row r="4481" spans="1:6" x14ac:dyDescent="0.25">
      <c r="A4481" s="2" t="str">
        <f t="shared" ref="A4481:A4491" si="157">"18700"</f>
        <v>18700</v>
      </c>
      <c r="B4481" s="2" t="str">
        <f>"97326"</f>
        <v>97326</v>
      </c>
      <c r="C4481" s="1">
        <v>4.9452255288951899E-3</v>
      </c>
      <c r="D4481" s="1">
        <v>5.0774308200050703E-4</v>
      </c>
      <c r="E4481" s="1">
        <v>0</v>
      </c>
      <c r="F4481" s="1">
        <v>4.3730928456201003E-3</v>
      </c>
    </row>
    <row r="4482" spans="1:6" x14ac:dyDescent="0.25">
      <c r="A4482" s="2" t="str">
        <f t="shared" si="157"/>
        <v>18700</v>
      </c>
      <c r="B4482" s="2" t="str">
        <f>"97456"</f>
        <v>97456</v>
      </c>
      <c r="C4482" s="1">
        <v>2.9604825475672999E-2</v>
      </c>
      <c r="D4482" s="1">
        <v>4.8235592790048199E-3</v>
      </c>
      <c r="E4482" s="1">
        <v>4.96277915632754E-3</v>
      </c>
      <c r="F4482" s="1">
        <v>2.6549532564964701E-2</v>
      </c>
    </row>
    <row r="4483" spans="1:6" x14ac:dyDescent="0.25">
      <c r="A4483" s="2" t="str">
        <f t="shared" si="157"/>
        <v>18700</v>
      </c>
      <c r="B4483" s="2" t="str">
        <f>"97321"</f>
        <v>97321</v>
      </c>
      <c r="C4483" s="1">
        <v>9.3515767064354396E-2</v>
      </c>
      <c r="D4483" s="1">
        <v>2.33561817720233E-2</v>
      </c>
      <c r="E4483" s="1">
        <v>1.1166253101736899E-2</v>
      </c>
      <c r="F4483" s="1">
        <v>8.4274358127150104E-2</v>
      </c>
    </row>
    <row r="4484" spans="1:6" x14ac:dyDescent="0.25">
      <c r="A4484" s="2" t="str">
        <f t="shared" si="157"/>
        <v>18700</v>
      </c>
      <c r="B4484" s="2" t="str">
        <f>"97370"</f>
        <v>97370</v>
      </c>
      <c r="C4484" s="1">
        <v>0.11498203752162101</v>
      </c>
      <c r="D4484" s="1">
        <v>0.101294744859101</v>
      </c>
      <c r="E4484" s="1">
        <v>7.2373862696443303E-2</v>
      </c>
      <c r="F4484" s="1">
        <v>0.111931740879671</v>
      </c>
    </row>
    <row r="4485" spans="1:6" x14ac:dyDescent="0.25">
      <c r="A4485" s="2" t="str">
        <f t="shared" si="157"/>
        <v>18700</v>
      </c>
      <c r="B4485" s="2" t="str">
        <f>"97361"</f>
        <v>97361</v>
      </c>
      <c r="C4485" s="1">
        <v>1.86277553554796E-3</v>
      </c>
      <c r="D4485" s="1">
        <v>7.6161462300076098E-4</v>
      </c>
      <c r="E4485" s="1">
        <v>0</v>
      </c>
      <c r="F4485" s="1">
        <v>1.6909292336397699E-3</v>
      </c>
    </row>
    <row r="4486" spans="1:6" x14ac:dyDescent="0.25">
      <c r="A4486" s="2" t="str">
        <f t="shared" si="157"/>
        <v>18700</v>
      </c>
      <c r="B4486" s="2" t="str">
        <f>"97330"</f>
        <v>97330</v>
      </c>
      <c r="C4486" s="1">
        <v>0.4391271566062</v>
      </c>
      <c r="D4486" s="1">
        <v>0.34348819497334299</v>
      </c>
      <c r="E4486" s="1">
        <v>0.58395368072787401</v>
      </c>
      <c r="F4486" s="1">
        <v>0.43861149443159497</v>
      </c>
    </row>
    <row r="4487" spans="1:6" x14ac:dyDescent="0.25">
      <c r="A4487" s="2" t="str">
        <f t="shared" si="157"/>
        <v>18700</v>
      </c>
      <c r="B4487" s="2" t="str">
        <f>"97339"</f>
        <v>97339</v>
      </c>
      <c r="C4487" s="1">
        <v>3.4239588415310197E-2</v>
      </c>
      <c r="D4487" s="1">
        <v>0.186087839553186</v>
      </c>
      <c r="E4487" s="1">
        <v>8.2712985938792304E-4</v>
      </c>
      <c r="F4487" s="1">
        <v>4.4294571534080902E-2</v>
      </c>
    </row>
    <row r="4488" spans="1:6" x14ac:dyDescent="0.25">
      <c r="A4488" s="2" t="str">
        <f t="shared" si="157"/>
        <v>18700</v>
      </c>
      <c r="B4488" s="2" t="str">
        <f>"97333"</f>
        <v>97333</v>
      </c>
      <c r="C4488" s="1">
        <v>0.22082760455936401</v>
      </c>
      <c r="D4488" s="1">
        <v>0.22721502919522699</v>
      </c>
      <c r="E4488" s="1">
        <v>0.32464846980975998</v>
      </c>
      <c r="F4488" s="1">
        <v>0.226195797943674</v>
      </c>
    </row>
    <row r="4489" spans="1:6" x14ac:dyDescent="0.25">
      <c r="A4489" s="2" t="str">
        <f t="shared" si="157"/>
        <v>18700</v>
      </c>
      <c r="B4489" s="2" t="str">
        <f>"97331"</f>
        <v>97331</v>
      </c>
      <c r="C4489" s="1">
        <v>4.6702443784095403E-2</v>
      </c>
      <c r="D4489" s="1">
        <v>0.11043412033511001</v>
      </c>
      <c r="E4489" s="1">
        <v>4.1356492969396098E-4</v>
      </c>
      <c r="F4489" s="1">
        <v>4.9406231171405801E-2</v>
      </c>
    </row>
    <row r="4490" spans="1:6" x14ac:dyDescent="0.25">
      <c r="A4490" s="2" t="str">
        <f t="shared" si="157"/>
        <v>18700</v>
      </c>
      <c r="B4490" s="2" t="str">
        <f>"97324"</f>
        <v>97324</v>
      </c>
      <c r="C4490" s="1">
        <v>1.2773317958043101E-2</v>
      </c>
      <c r="D4490" s="1">
        <v>1.7771007870017699E-3</v>
      </c>
      <c r="E4490" s="1">
        <v>8.2712985938792304E-4</v>
      </c>
      <c r="F4490" s="1">
        <v>1.13700413986122E-2</v>
      </c>
    </row>
    <row r="4491" spans="1:6" x14ac:dyDescent="0.25">
      <c r="A4491" s="2" t="str">
        <f t="shared" si="157"/>
        <v>18700</v>
      </c>
      <c r="B4491" s="2" t="str">
        <f>"97448"</f>
        <v>97448</v>
      </c>
      <c r="C4491" s="1">
        <v>1.41925755089368E-3</v>
      </c>
      <c r="D4491" s="1">
        <v>2.5387154100025297E-4</v>
      </c>
      <c r="E4491" s="1">
        <v>8.2712985938792304E-4</v>
      </c>
      <c r="F4491" s="1">
        <v>1.3022098695846501E-3</v>
      </c>
    </row>
    <row r="4492" spans="1:6" x14ac:dyDescent="0.25">
      <c r="A4492" s="2" t="str">
        <f t="shared" ref="A4492:A4504" si="158">"24420"</f>
        <v>24420</v>
      </c>
      <c r="B4492" s="2" t="str">
        <f>"97538"</f>
        <v>97538</v>
      </c>
      <c r="C4492" s="1">
        <v>1.9051679644548101E-2</v>
      </c>
      <c r="D4492" s="1">
        <v>6.1145080600333501E-3</v>
      </c>
      <c r="E4492" s="1">
        <v>3.3333333333333301E-3</v>
      </c>
      <c r="F4492" s="1">
        <v>1.7639596464025999E-2</v>
      </c>
    </row>
    <row r="4493" spans="1:6" x14ac:dyDescent="0.25">
      <c r="A4493" s="2" t="str">
        <f t="shared" si="158"/>
        <v>24420</v>
      </c>
      <c r="B4493" s="2" t="str">
        <f>"97530"</f>
        <v>97530</v>
      </c>
      <c r="C4493" s="1">
        <v>8.9760563696339999E-4</v>
      </c>
      <c r="D4493" s="1">
        <v>0</v>
      </c>
      <c r="E4493" s="1">
        <v>0</v>
      </c>
      <c r="F4493" s="1">
        <v>8.0546102575461604E-4</v>
      </c>
    </row>
    <row r="4494" spans="1:6" x14ac:dyDescent="0.25">
      <c r="A4494" s="2" t="str">
        <f t="shared" si="158"/>
        <v>24420</v>
      </c>
      <c r="B4494" s="2" t="str">
        <f>"97527"</f>
        <v>97527</v>
      </c>
      <c r="C4494" s="1">
        <v>0.37297758229921602</v>
      </c>
      <c r="D4494" s="1">
        <v>0.22901612006670299</v>
      </c>
      <c r="E4494" s="1">
        <v>0.268666666666666</v>
      </c>
      <c r="F4494" s="1">
        <v>0.359396709691709</v>
      </c>
    </row>
    <row r="4495" spans="1:6" x14ac:dyDescent="0.25">
      <c r="A4495" s="2" t="str">
        <f t="shared" si="158"/>
        <v>24420</v>
      </c>
      <c r="B4495" s="2" t="str">
        <f>"97531"</f>
        <v>97531</v>
      </c>
      <c r="C4495" s="1">
        <v>5.4753943854767397E-3</v>
      </c>
      <c r="D4495" s="1">
        <v>1.9455252918287899E-3</v>
      </c>
      <c r="E4495" s="1">
        <v>2E-3</v>
      </c>
      <c r="F4495" s="1">
        <v>5.1146775135418104E-3</v>
      </c>
    </row>
    <row r="4496" spans="1:6" x14ac:dyDescent="0.25">
      <c r="A4496" s="2" t="str">
        <f t="shared" si="158"/>
        <v>24420</v>
      </c>
      <c r="B4496" s="2" t="str">
        <f>"97523"</f>
        <v>97523</v>
      </c>
      <c r="C4496" s="1">
        <v>0.100621591903597</v>
      </c>
      <c r="D4496" s="1">
        <v>2.3902167871039399E-2</v>
      </c>
      <c r="E4496" s="1">
        <v>2.73333333333333E-2</v>
      </c>
      <c r="F4496" s="1">
        <v>9.2849519743863296E-2</v>
      </c>
    </row>
    <row r="4497" spans="1:6" x14ac:dyDescent="0.25">
      <c r="A4497" s="2" t="str">
        <f t="shared" si="158"/>
        <v>24420</v>
      </c>
      <c r="B4497" s="2" t="str">
        <f>"97543"</f>
        <v>97543</v>
      </c>
      <c r="C4497" s="1">
        <v>7.8091690415815797E-3</v>
      </c>
      <c r="D4497" s="1">
        <v>1.9455252918287899E-3</v>
      </c>
      <c r="E4497" s="1">
        <v>2.6666666666666601E-3</v>
      </c>
      <c r="F4497" s="1">
        <v>7.2290127061476802E-3</v>
      </c>
    </row>
    <row r="4498" spans="1:6" x14ac:dyDescent="0.25">
      <c r="A4498" s="2" t="str">
        <f t="shared" si="158"/>
        <v>24420</v>
      </c>
      <c r="B4498" s="2" t="str">
        <f>"97532"</f>
        <v>97532</v>
      </c>
      <c r="C4498" s="1">
        <v>2.7444292350155899E-2</v>
      </c>
      <c r="D4498" s="1">
        <v>1.9177320733740899E-2</v>
      </c>
      <c r="E4498" s="1">
        <v>1.7999999999999999E-2</v>
      </c>
      <c r="F4498" s="1">
        <v>2.6560077324258399E-2</v>
      </c>
    </row>
    <row r="4499" spans="1:6" x14ac:dyDescent="0.25">
      <c r="A4499" s="2" t="str">
        <f t="shared" si="158"/>
        <v>24420</v>
      </c>
      <c r="B4499" s="2" t="str">
        <f>"97544"</f>
        <v>97544</v>
      </c>
      <c r="C4499" s="1">
        <v>2.5312478962367799E-2</v>
      </c>
      <c r="D4499" s="1">
        <v>1.1117287381878799E-2</v>
      </c>
      <c r="E4499" s="1">
        <v>7.3333333333333297E-3</v>
      </c>
      <c r="F4499" s="1">
        <v>2.3740963734117299E-2</v>
      </c>
    </row>
    <row r="4500" spans="1:6" x14ac:dyDescent="0.25">
      <c r="A4500" s="2" t="str">
        <f t="shared" si="158"/>
        <v>24420</v>
      </c>
      <c r="B4500" s="2" t="str">
        <f>"97497"</f>
        <v>97497</v>
      </c>
      <c r="C4500" s="1">
        <v>1.7032066961380501E-2</v>
      </c>
      <c r="D4500" s="1">
        <v>8.0600333518621396E-3</v>
      </c>
      <c r="E4500" s="1">
        <v>4.0000000000000001E-3</v>
      </c>
      <c r="F4500" s="1">
        <v>1.5988401361229101E-2</v>
      </c>
    </row>
    <row r="4501" spans="1:6" x14ac:dyDescent="0.25">
      <c r="A4501" s="2" t="str">
        <f t="shared" si="158"/>
        <v>24420</v>
      </c>
      <c r="B4501" s="2" t="str">
        <f>"97528"</f>
        <v>97528</v>
      </c>
      <c r="C4501" s="1">
        <v>3.4176334627381399E-2</v>
      </c>
      <c r="D4501" s="1">
        <v>0.14396887159533001</v>
      </c>
      <c r="E4501" s="1">
        <v>6.6666666666666599E-4</v>
      </c>
      <c r="F4501" s="1">
        <v>4.1118785364773099E-2</v>
      </c>
    </row>
    <row r="4502" spans="1:6" x14ac:dyDescent="0.25">
      <c r="A4502" s="2" t="str">
        <f t="shared" si="158"/>
        <v>24420</v>
      </c>
      <c r="B4502" s="2" t="str">
        <f>"97534"</f>
        <v>97534</v>
      </c>
      <c r="C4502" s="1">
        <v>5.4529542445526501E-3</v>
      </c>
      <c r="D4502" s="1">
        <v>8.3379655364091104E-4</v>
      </c>
      <c r="E4502" s="1">
        <v>6.6666666666666599E-4</v>
      </c>
      <c r="F4502" s="1">
        <v>4.9737218340347496E-3</v>
      </c>
    </row>
    <row r="4503" spans="1:6" x14ac:dyDescent="0.25">
      <c r="A4503" s="2" t="str">
        <f t="shared" si="158"/>
        <v>24420</v>
      </c>
      <c r="B4503" s="2" t="str">
        <f>"97526"</f>
        <v>97526</v>
      </c>
      <c r="C4503" s="1">
        <v>0.37836321612099699</v>
      </c>
      <c r="D4503" s="1">
        <v>0.55391884380211198</v>
      </c>
      <c r="E4503" s="1">
        <v>0.663333333333333</v>
      </c>
      <c r="F4503" s="1">
        <v>0.39968989750508399</v>
      </c>
    </row>
    <row r="4504" spans="1:6" x14ac:dyDescent="0.25">
      <c r="A4504" s="2" t="str">
        <f t="shared" si="158"/>
        <v>24420</v>
      </c>
      <c r="B4504" s="2" t="str">
        <f>"97533"</f>
        <v>97533</v>
      </c>
      <c r="C4504" s="1">
        <v>5.3856338217803997E-3</v>
      </c>
      <c r="D4504" s="1">
        <v>0</v>
      </c>
      <c r="E4504" s="1">
        <v>2E-3</v>
      </c>
      <c r="F4504" s="1">
        <v>4.8931757314592903E-3</v>
      </c>
    </row>
    <row r="4505" spans="1:6" x14ac:dyDescent="0.25">
      <c r="A4505" s="2" t="str">
        <f t="shared" ref="A4505:A4523" si="159">"28900"</f>
        <v>28900</v>
      </c>
      <c r="B4505" s="2" t="str">
        <f>"97603"</f>
        <v>97603</v>
      </c>
      <c r="C4505" s="1">
        <v>0.39233916989115603</v>
      </c>
      <c r="D4505" s="1">
        <v>0.39926861702127597</v>
      </c>
      <c r="E4505" s="1">
        <v>0.47470398277717901</v>
      </c>
      <c r="F4505" s="1">
        <v>0.39478173607626599</v>
      </c>
    </row>
    <row r="4506" spans="1:6" x14ac:dyDescent="0.25">
      <c r="A4506" s="2" t="str">
        <f t="shared" si="159"/>
        <v>28900</v>
      </c>
      <c r="B4506" s="2" t="str">
        <f>"97622"</f>
        <v>97622</v>
      </c>
      <c r="C4506" s="1">
        <v>1.8651003535339399E-3</v>
      </c>
      <c r="D4506" s="1">
        <v>0</v>
      </c>
      <c r="E4506" s="1">
        <v>3.2292787944025801E-3</v>
      </c>
      <c r="F4506" s="1">
        <v>1.75614651279478E-3</v>
      </c>
    </row>
    <row r="4507" spans="1:6" x14ac:dyDescent="0.25">
      <c r="A4507" s="2" t="str">
        <f t="shared" si="159"/>
        <v>28900</v>
      </c>
      <c r="B4507" s="2" t="str">
        <f>"97739"</f>
        <v>97739</v>
      </c>
      <c r="C4507" s="1">
        <v>2.5164936113353499E-2</v>
      </c>
      <c r="D4507" s="1">
        <v>1.66223404255319E-3</v>
      </c>
      <c r="E4507" s="1">
        <v>2.1528525296017199E-3</v>
      </c>
      <c r="F4507" s="1">
        <v>2.2854992473657802E-2</v>
      </c>
    </row>
    <row r="4508" spans="1:6" x14ac:dyDescent="0.25">
      <c r="A4508" s="2" t="str">
        <f t="shared" si="159"/>
        <v>28900</v>
      </c>
      <c r="B4508" s="2" t="str">
        <f>"97733"</f>
        <v>97733</v>
      </c>
      <c r="C4508" s="1">
        <v>2.9841605656543101E-2</v>
      </c>
      <c r="D4508" s="1">
        <v>2.6595744680850998E-3</v>
      </c>
      <c r="E4508" s="1">
        <v>2.1528525296017199E-3</v>
      </c>
      <c r="F4508" s="1">
        <v>2.7145007526342101E-2</v>
      </c>
    </row>
    <row r="4509" spans="1:6" x14ac:dyDescent="0.25">
      <c r="A4509" s="2" t="str">
        <f t="shared" si="159"/>
        <v>28900</v>
      </c>
      <c r="B4509" s="2" t="str">
        <f>"97604"</f>
        <v>97604</v>
      </c>
      <c r="C4509" s="1">
        <v>0</v>
      </c>
      <c r="D4509" s="1">
        <v>0</v>
      </c>
      <c r="E4509" s="1">
        <v>1.07642626480086E-3</v>
      </c>
      <c r="F4509" s="1">
        <v>2.5087807325639699E-5</v>
      </c>
    </row>
    <row r="4510" spans="1:6" x14ac:dyDescent="0.25">
      <c r="A4510" s="2" t="str">
        <f t="shared" si="159"/>
        <v>28900</v>
      </c>
      <c r="B4510" s="2" t="str">
        <f>"97602"</f>
        <v>97602</v>
      </c>
      <c r="C4510" s="1">
        <v>2.4441165826907502E-2</v>
      </c>
      <c r="D4510" s="1">
        <v>2.2606382978723399E-2</v>
      </c>
      <c r="E4510" s="1">
        <v>2.1528525296017199E-3</v>
      </c>
      <c r="F4510" s="1">
        <v>2.3783241344706399E-2</v>
      </c>
    </row>
    <row r="4511" spans="1:6" x14ac:dyDescent="0.25">
      <c r="A4511" s="2" t="str">
        <f t="shared" si="159"/>
        <v>28900</v>
      </c>
      <c r="B4511" s="2" t="str">
        <f>"97626"</f>
        <v>97626</v>
      </c>
      <c r="C4511" s="1">
        <v>3.6466887509395002E-3</v>
      </c>
      <c r="D4511" s="1">
        <v>0</v>
      </c>
      <c r="E4511" s="1">
        <v>1.07642626480086E-3</v>
      </c>
      <c r="F4511" s="1">
        <v>3.31159056698444E-3</v>
      </c>
    </row>
    <row r="4512" spans="1:6" x14ac:dyDescent="0.25">
      <c r="A4512" s="2" t="str">
        <f t="shared" si="159"/>
        <v>28900</v>
      </c>
      <c r="B4512" s="2" t="str">
        <f>"97625"</f>
        <v>97625</v>
      </c>
      <c r="C4512" s="1">
        <v>3.7580380257773499E-3</v>
      </c>
      <c r="D4512" s="1">
        <v>2.9920212765957399E-3</v>
      </c>
      <c r="E4512" s="1">
        <v>2.1528525296017199E-3</v>
      </c>
      <c r="F4512" s="1">
        <v>3.6628198695433998E-3</v>
      </c>
    </row>
    <row r="4513" spans="1:6" x14ac:dyDescent="0.25">
      <c r="A4513" s="2" t="str">
        <f t="shared" si="159"/>
        <v>28900</v>
      </c>
      <c r="B4513" s="2" t="str">
        <f>"97633"</f>
        <v>97633</v>
      </c>
      <c r="C4513" s="1">
        <v>1.17751858141023E-2</v>
      </c>
      <c r="D4513" s="1">
        <v>3.3244680851063802E-4</v>
      </c>
      <c r="E4513" s="1">
        <v>7.5349838536060204E-3</v>
      </c>
      <c r="F4513" s="1">
        <v>1.0812844957350701E-2</v>
      </c>
    </row>
    <row r="4514" spans="1:6" x14ac:dyDescent="0.25">
      <c r="A4514" s="2" t="str">
        <f t="shared" si="159"/>
        <v>28900</v>
      </c>
      <c r="B4514" s="2" t="str">
        <f>"97601"</f>
        <v>97601</v>
      </c>
      <c r="C4514" s="1">
        <v>0.36244188959719298</v>
      </c>
      <c r="D4514" s="1">
        <v>0.54853723404255295</v>
      </c>
      <c r="E4514" s="1">
        <v>0.48116254036598399</v>
      </c>
      <c r="F4514" s="1">
        <v>0.37925238334169498</v>
      </c>
    </row>
    <row r="4515" spans="1:6" x14ac:dyDescent="0.25">
      <c r="A4515" s="2" t="str">
        <f t="shared" si="159"/>
        <v>28900</v>
      </c>
      <c r="B4515" s="2" t="str">
        <f>"97731"</f>
        <v>97731</v>
      </c>
      <c r="C4515" s="1">
        <v>1.2805166606352401E-3</v>
      </c>
      <c r="D4515" s="1">
        <v>1.9946808510638201E-3</v>
      </c>
      <c r="E4515" s="1">
        <v>2.1528525296017199E-3</v>
      </c>
      <c r="F4515" s="1">
        <v>1.35474159558454E-3</v>
      </c>
    </row>
    <row r="4516" spans="1:6" x14ac:dyDescent="0.25">
      <c r="A4516" s="2" t="str">
        <f t="shared" si="159"/>
        <v>28900</v>
      </c>
      <c r="B4516" s="2" t="str">
        <f>"97621"</f>
        <v>97621</v>
      </c>
      <c r="C4516" s="1">
        <v>2.9785931019124202E-3</v>
      </c>
      <c r="D4516" s="1">
        <v>0</v>
      </c>
      <c r="E4516" s="1">
        <v>1.07642626480086E-3</v>
      </c>
      <c r="F4516" s="1">
        <v>2.7094831911690901E-3</v>
      </c>
    </row>
    <row r="4517" spans="1:6" x14ac:dyDescent="0.25">
      <c r="A4517" s="2" t="str">
        <f t="shared" si="159"/>
        <v>28900</v>
      </c>
      <c r="B4517" s="2" t="str">
        <f>"97639"</f>
        <v>97639</v>
      </c>
      <c r="C4517" s="1">
        <v>4.2312724438382E-3</v>
      </c>
      <c r="D4517" s="1">
        <v>3.3244680851063802E-4</v>
      </c>
      <c r="E4517" s="1">
        <v>0</v>
      </c>
      <c r="F4517" s="1">
        <v>3.83843452082288E-3</v>
      </c>
    </row>
    <row r="4518" spans="1:6" x14ac:dyDescent="0.25">
      <c r="A4518" s="2" t="str">
        <f t="shared" si="159"/>
        <v>28900</v>
      </c>
      <c r="B4518" s="2" t="str">
        <f>"97627"</f>
        <v>97627</v>
      </c>
      <c r="C4518" s="1">
        <v>1.0912228934109E-2</v>
      </c>
      <c r="D4518" s="1">
        <v>1.9946808510638201E-3</v>
      </c>
      <c r="E4518" s="1">
        <v>0</v>
      </c>
      <c r="F4518" s="1">
        <v>9.9849473156046094E-3</v>
      </c>
    </row>
    <row r="4519" spans="1:6" x14ac:dyDescent="0.25">
      <c r="A4519" s="2" t="str">
        <f t="shared" si="159"/>
        <v>28900</v>
      </c>
      <c r="B4519" s="2" t="str">
        <f>"97624"</f>
        <v>97624</v>
      </c>
      <c r="C4519" s="1">
        <v>6.1353450435654003E-2</v>
      </c>
      <c r="D4519" s="1">
        <v>1.5957446808510599E-2</v>
      </c>
      <c r="E4519" s="1">
        <v>1.5069967707212001E-2</v>
      </c>
      <c r="F4519" s="1">
        <v>5.6848971399899598E-2</v>
      </c>
    </row>
    <row r="4520" spans="1:6" x14ac:dyDescent="0.25">
      <c r="A4520" s="2" t="str">
        <f t="shared" si="159"/>
        <v>28900</v>
      </c>
      <c r="B4520" s="2" t="str">
        <f>"97634"</f>
        <v>97634</v>
      </c>
      <c r="C4520" s="1">
        <v>3.0899423767502699E-3</v>
      </c>
      <c r="D4520" s="1">
        <v>0</v>
      </c>
      <c r="E4520" s="1">
        <v>1.07642626480086E-3</v>
      </c>
      <c r="F4520" s="1">
        <v>2.8098344204716499E-3</v>
      </c>
    </row>
    <row r="4521" spans="1:6" x14ac:dyDescent="0.25">
      <c r="A4521" s="2" t="str">
        <f t="shared" si="159"/>
        <v>28900</v>
      </c>
      <c r="B4521" s="2" t="str">
        <f>"97632"</f>
        <v>97632</v>
      </c>
      <c r="C4521" s="1">
        <v>1.5533223839879699E-2</v>
      </c>
      <c r="D4521" s="1">
        <v>6.6489361702127604E-4</v>
      </c>
      <c r="E4521" s="1">
        <v>1.07642626480086E-3</v>
      </c>
      <c r="F4521" s="1">
        <v>1.4074259909683799E-2</v>
      </c>
    </row>
    <row r="4522" spans="1:6" x14ac:dyDescent="0.25">
      <c r="A4522" s="2" t="str">
        <f t="shared" si="159"/>
        <v>28900</v>
      </c>
      <c r="B4522" s="2" t="str">
        <f>"97623"</f>
        <v>97623</v>
      </c>
      <c r="C4522" s="1">
        <v>3.5993653091334198E-2</v>
      </c>
      <c r="D4522" s="1">
        <v>6.6489361702127604E-4</v>
      </c>
      <c r="E4522" s="1">
        <v>1.07642626480086E-3</v>
      </c>
      <c r="F4522" s="1">
        <v>3.2513798294029103E-2</v>
      </c>
    </row>
    <row r="4523" spans="1:6" x14ac:dyDescent="0.25">
      <c r="A4523" s="2" t="str">
        <f t="shared" si="159"/>
        <v>28900</v>
      </c>
      <c r="B4523" s="2" t="str">
        <f>"97737"</f>
        <v>97737</v>
      </c>
      <c r="C4523" s="1">
        <v>9.3533390863791907E-3</v>
      </c>
      <c r="D4523" s="1">
        <v>3.3244680851063802E-4</v>
      </c>
      <c r="E4523" s="1">
        <v>1.07642626480086E-3</v>
      </c>
      <c r="F4523" s="1">
        <v>8.4796788760662292E-3</v>
      </c>
    </row>
    <row r="4524" spans="1:6" x14ac:dyDescent="0.25">
      <c r="A4524" s="2" t="str">
        <f t="shared" ref="A4524:A4538" si="160">"43220"</f>
        <v>43220</v>
      </c>
      <c r="B4524" s="2" t="str">
        <f>"98524"</f>
        <v>98524</v>
      </c>
      <c r="C4524" s="1">
        <v>8.5314833448074903E-2</v>
      </c>
      <c r="D4524" s="1">
        <v>5.7105492589363503E-2</v>
      </c>
      <c r="E4524" s="1">
        <v>3.7109375E-2</v>
      </c>
      <c r="F4524" s="1">
        <v>8.3111505471753902E-2</v>
      </c>
    </row>
    <row r="4525" spans="1:6" x14ac:dyDescent="0.25">
      <c r="A4525" s="2" t="str">
        <f t="shared" si="160"/>
        <v>43220</v>
      </c>
      <c r="B4525" s="2" t="str">
        <f>"98588"</f>
        <v>98588</v>
      </c>
      <c r="C4525" s="1">
        <v>3.0847852565799899E-2</v>
      </c>
      <c r="D4525" s="1">
        <v>7.8465562336530008E-3</v>
      </c>
      <c r="E4525" s="1">
        <v>7.8125E-3</v>
      </c>
      <c r="F4525" s="1">
        <v>2.9256630188307198E-2</v>
      </c>
    </row>
    <row r="4526" spans="1:6" x14ac:dyDescent="0.25">
      <c r="A4526" s="2" t="str">
        <f t="shared" si="160"/>
        <v>43220</v>
      </c>
      <c r="B4526" s="2" t="str">
        <f>"98380"</f>
        <v>98380</v>
      </c>
      <c r="C4526" s="1">
        <v>1.8535190382884E-4</v>
      </c>
      <c r="D4526" s="1">
        <v>0</v>
      </c>
      <c r="E4526" s="1">
        <v>0</v>
      </c>
      <c r="F4526" s="1">
        <v>1.72532781228433E-4</v>
      </c>
    </row>
    <row r="4527" spans="1:6" x14ac:dyDescent="0.25">
      <c r="A4527" s="2" t="str">
        <f t="shared" si="160"/>
        <v>43220</v>
      </c>
      <c r="B4527" s="2" t="str">
        <f>"98563"</f>
        <v>98563</v>
      </c>
      <c r="C4527" s="1">
        <v>1.0591537361648E-4</v>
      </c>
      <c r="D4527" s="1">
        <v>0</v>
      </c>
      <c r="E4527" s="1">
        <v>0</v>
      </c>
      <c r="F4527" s="1">
        <v>9.85901607019619E-5</v>
      </c>
    </row>
    <row r="4528" spans="1:6" x14ac:dyDescent="0.25">
      <c r="A4528" s="2" t="str">
        <f t="shared" si="160"/>
        <v>43220</v>
      </c>
      <c r="B4528" s="2" t="str">
        <f>"98528"</f>
        <v>98528</v>
      </c>
      <c r="C4528" s="1">
        <v>0.18805274585606099</v>
      </c>
      <c r="D4528" s="1">
        <v>0.24280732345248399</v>
      </c>
      <c r="E4528" s="1">
        <v>0.12109375</v>
      </c>
      <c r="F4528" s="1">
        <v>0.19030365769496199</v>
      </c>
    </row>
    <row r="4529" spans="1:6" x14ac:dyDescent="0.25">
      <c r="A4529" s="2" t="str">
        <f t="shared" si="160"/>
        <v>43220</v>
      </c>
      <c r="B4529" s="2" t="str">
        <f>"98584"</f>
        <v>98584</v>
      </c>
      <c r="C4529" s="1">
        <v>0.51315998517184702</v>
      </c>
      <c r="D4529" s="1">
        <v>0.63121185701830795</v>
      </c>
      <c r="E4529" s="1">
        <v>0.79296875</v>
      </c>
      <c r="F4529" s="1">
        <v>0.52336586808636398</v>
      </c>
    </row>
    <row r="4530" spans="1:6" x14ac:dyDescent="0.25">
      <c r="A4530" s="2" t="str">
        <f t="shared" si="160"/>
        <v>43220</v>
      </c>
      <c r="B4530" s="2" t="str">
        <f>"98312"</f>
        <v>98312</v>
      </c>
      <c r="C4530" s="1">
        <v>3.9718265106180098E-4</v>
      </c>
      <c r="D4530" s="1">
        <v>0</v>
      </c>
      <c r="E4530" s="1">
        <v>0</v>
      </c>
      <c r="F4530" s="1">
        <v>3.6971310263235702E-4</v>
      </c>
    </row>
    <row r="4531" spans="1:6" x14ac:dyDescent="0.25">
      <c r="A4531" s="2" t="str">
        <f t="shared" si="160"/>
        <v>43220</v>
      </c>
      <c r="B4531" s="2" t="str">
        <f>"98560"</f>
        <v>98560</v>
      </c>
      <c r="C4531" s="1">
        <v>2.0653497855213599E-3</v>
      </c>
      <c r="D4531" s="1">
        <v>4.3591979075850002E-4</v>
      </c>
      <c r="E4531" s="1">
        <v>1.953125E-3</v>
      </c>
      <c r="F4531" s="1">
        <v>1.9718032140392302E-3</v>
      </c>
    </row>
    <row r="4532" spans="1:6" x14ac:dyDescent="0.25">
      <c r="A4532" s="2" t="str">
        <f t="shared" si="160"/>
        <v>43220</v>
      </c>
      <c r="B4532" s="2" t="str">
        <f>"98557"</f>
        <v>98557</v>
      </c>
      <c r="C4532" s="1">
        <v>7.1492877191124205E-4</v>
      </c>
      <c r="D4532" s="1">
        <v>0</v>
      </c>
      <c r="E4532" s="1">
        <v>0</v>
      </c>
      <c r="F4532" s="1">
        <v>6.6548358473824299E-4</v>
      </c>
    </row>
    <row r="4533" spans="1:6" x14ac:dyDescent="0.25">
      <c r="A4533" s="2" t="str">
        <f t="shared" si="160"/>
        <v>43220</v>
      </c>
      <c r="B4533" s="2" t="str">
        <f>"98541"</f>
        <v>98541</v>
      </c>
      <c r="C4533" s="1">
        <v>2.12360324101043E-2</v>
      </c>
      <c r="D4533" s="1">
        <v>3.9232781168265004E-3</v>
      </c>
      <c r="E4533" s="1">
        <v>1.171875E-2</v>
      </c>
      <c r="F4533" s="1">
        <v>2.01370403233757E-2</v>
      </c>
    </row>
    <row r="4534" spans="1:6" x14ac:dyDescent="0.25">
      <c r="A4534" s="2" t="str">
        <f t="shared" si="160"/>
        <v>43220</v>
      </c>
      <c r="B4534" s="2" t="str">
        <f>"98548"</f>
        <v>98548</v>
      </c>
      <c r="C4534" s="1">
        <v>5.12630408303765E-2</v>
      </c>
      <c r="D4534" s="1">
        <v>1.00261551874455E-2</v>
      </c>
      <c r="E4534" s="1">
        <v>3.90625E-3</v>
      </c>
      <c r="F4534" s="1">
        <v>4.8333826284136801E-2</v>
      </c>
    </row>
    <row r="4535" spans="1:6" x14ac:dyDescent="0.25">
      <c r="A4535" s="2" t="str">
        <f t="shared" si="160"/>
        <v>43220</v>
      </c>
      <c r="B4535" s="2" t="str">
        <f>"98555"</f>
        <v>98555</v>
      </c>
      <c r="C4535" s="1">
        <v>1.55695599216226E-2</v>
      </c>
      <c r="D4535" s="1">
        <v>6.9747166521360003E-3</v>
      </c>
      <c r="E4535" s="1">
        <v>1.171875E-2</v>
      </c>
      <c r="F4535" s="1">
        <v>1.5034999507049099E-2</v>
      </c>
    </row>
    <row r="4536" spans="1:6" x14ac:dyDescent="0.25">
      <c r="A4536" s="2" t="str">
        <f t="shared" si="160"/>
        <v>43220</v>
      </c>
      <c r="B4536" s="2" t="str">
        <f>"98502"</f>
        <v>98502</v>
      </c>
      <c r="C4536" s="1">
        <v>6.0901339829476202E-4</v>
      </c>
      <c r="D4536" s="1">
        <v>0</v>
      </c>
      <c r="E4536" s="1">
        <v>0</v>
      </c>
      <c r="F4536" s="1">
        <v>5.6689342403628098E-4</v>
      </c>
    </row>
    <row r="4537" spans="1:6" x14ac:dyDescent="0.25">
      <c r="A4537" s="2" t="str">
        <f t="shared" si="160"/>
        <v>43220</v>
      </c>
      <c r="B4537" s="2" t="str">
        <f>"98592"</f>
        <v>98592</v>
      </c>
      <c r="C4537" s="1">
        <v>4.4908118413387703E-2</v>
      </c>
      <c r="D4537" s="1">
        <v>3.5309503051438498E-2</v>
      </c>
      <c r="E4537" s="1">
        <v>1.171875E-2</v>
      </c>
      <c r="F4537" s="1">
        <v>4.3946564132899497E-2</v>
      </c>
    </row>
    <row r="4538" spans="1:6" x14ac:dyDescent="0.25">
      <c r="A4538" s="2" t="str">
        <f t="shared" si="160"/>
        <v>43220</v>
      </c>
      <c r="B4538" s="2" t="str">
        <f>"98546"</f>
        <v>98546</v>
      </c>
      <c r="C4538" s="1">
        <v>4.5570089498490701E-2</v>
      </c>
      <c r="D4538" s="1">
        <v>4.3591979075849998E-3</v>
      </c>
      <c r="E4538" s="1">
        <v>0</v>
      </c>
      <c r="F4538" s="1">
        <v>4.2664892043774001E-2</v>
      </c>
    </row>
    <row r="4539" spans="1:6" x14ac:dyDescent="0.25">
      <c r="A4539" s="2" t="str">
        <f t="shared" ref="A4539:A4579" si="161">"11260"</f>
        <v>11260</v>
      </c>
      <c r="B4539" s="2" t="str">
        <f>"99694"</f>
        <v>99694</v>
      </c>
      <c r="C4539" s="1">
        <v>0</v>
      </c>
      <c r="D4539" s="1">
        <v>0</v>
      </c>
      <c r="E4539" s="1">
        <v>7.0180363534283103E-5</v>
      </c>
      <c r="F4539" s="1">
        <v>4.6337485172004697E-6</v>
      </c>
    </row>
    <row r="4540" spans="1:6" x14ac:dyDescent="0.25">
      <c r="A4540" s="2" t="str">
        <f t="shared" si="161"/>
        <v>11260</v>
      </c>
      <c r="B4540" s="2" t="str">
        <f>"99599"</f>
        <v>99599</v>
      </c>
      <c r="C4540" s="1">
        <v>0</v>
      </c>
      <c r="D4540" s="1">
        <v>0</v>
      </c>
      <c r="E4540" s="1">
        <v>7.0180363534283103E-5</v>
      </c>
      <c r="F4540" s="1">
        <v>4.6337485172004697E-6</v>
      </c>
    </row>
    <row r="4541" spans="1:6" x14ac:dyDescent="0.25">
      <c r="A4541" s="2" t="str">
        <f t="shared" si="161"/>
        <v>11260</v>
      </c>
      <c r="B4541" s="2" t="str">
        <f>"99524"</f>
        <v>99524</v>
      </c>
      <c r="C4541" s="1">
        <v>1.48149770329531E-2</v>
      </c>
      <c r="D4541" s="1">
        <v>2.7081349836030801E-2</v>
      </c>
      <c r="E4541" s="1">
        <v>7.0180363534283103E-5</v>
      </c>
      <c r="F4541" s="1">
        <v>1.4916036476868301E-2</v>
      </c>
    </row>
    <row r="4542" spans="1:6" x14ac:dyDescent="0.25">
      <c r="A4542" s="2" t="str">
        <f t="shared" si="161"/>
        <v>11260</v>
      </c>
      <c r="B4542" s="2" t="str">
        <f>"99520"</f>
        <v>99520</v>
      </c>
      <c r="C4542" s="1">
        <v>1.48587759303159E-2</v>
      </c>
      <c r="D4542" s="1">
        <v>1.2958849042631899E-2</v>
      </c>
      <c r="E4542" s="1">
        <v>7.0180363534283103E-5</v>
      </c>
      <c r="F4542" s="1">
        <v>1.37158956109134E-2</v>
      </c>
    </row>
    <row r="4543" spans="1:6" x14ac:dyDescent="0.25">
      <c r="A4543" s="2" t="str">
        <f t="shared" si="161"/>
        <v>11260</v>
      </c>
      <c r="B4543" s="2" t="str">
        <f>"99505"</f>
        <v>99505</v>
      </c>
      <c r="C4543" s="1">
        <v>6.2139685633414102E-3</v>
      </c>
      <c r="D4543" s="1">
        <v>4.4430339574738102E-3</v>
      </c>
      <c r="E4543" s="1">
        <v>3.6423608674292902E-2</v>
      </c>
      <c r="F4543" s="1">
        <v>8.0534549228944204E-3</v>
      </c>
    </row>
    <row r="4544" spans="1:6" x14ac:dyDescent="0.25">
      <c r="A4544" s="2" t="str">
        <f t="shared" si="161"/>
        <v>11260</v>
      </c>
      <c r="B4544" s="2" t="str">
        <f>"99645"</f>
        <v>99645</v>
      </c>
      <c r="C4544" s="1">
        <v>7.2563823205750694E-2</v>
      </c>
      <c r="D4544" s="1">
        <v>5.2311435523114298E-2</v>
      </c>
      <c r="E4544" s="1">
        <v>2.6528177415959E-2</v>
      </c>
      <c r="F4544" s="1">
        <v>6.7750037069988098E-2</v>
      </c>
    </row>
    <row r="4545" spans="1:6" x14ac:dyDescent="0.25">
      <c r="A4545" s="2" t="str">
        <f t="shared" si="161"/>
        <v>11260</v>
      </c>
      <c r="B4545" s="2" t="str">
        <f>"99506"</f>
        <v>99506</v>
      </c>
      <c r="C4545" s="1">
        <v>1.1968048704373801E-2</v>
      </c>
      <c r="D4545" s="1">
        <v>6.66455093621072E-3</v>
      </c>
      <c r="E4545" s="1">
        <v>7.3478840620394406E-2</v>
      </c>
      <c r="F4545" s="1">
        <v>1.5564761269276301E-2</v>
      </c>
    </row>
    <row r="4546" spans="1:6" x14ac:dyDescent="0.25">
      <c r="A4546" s="2" t="str">
        <f t="shared" si="161"/>
        <v>11260</v>
      </c>
      <c r="B4546" s="2" t="str">
        <f>"99508"</f>
        <v>99508</v>
      </c>
      <c r="C4546" s="1">
        <v>7.9254104777912199E-2</v>
      </c>
      <c r="D4546" s="1">
        <v>6.6116576748122199E-2</v>
      </c>
      <c r="E4546" s="1">
        <v>0.13018457435609501</v>
      </c>
      <c r="F4546" s="1">
        <v>8.1465932680901507E-2</v>
      </c>
    </row>
    <row r="4547" spans="1:6" x14ac:dyDescent="0.25">
      <c r="A4547" s="2" t="str">
        <f t="shared" si="161"/>
        <v>11260</v>
      </c>
      <c r="B4547" s="2" t="str">
        <f>"99683"</f>
        <v>99683</v>
      </c>
      <c r="C4547" s="1">
        <v>5.4748621703448598E-6</v>
      </c>
      <c r="D4547" s="1">
        <v>0</v>
      </c>
      <c r="E4547" s="1">
        <v>7.0180363534283103E-5</v>
      </c>
      <c r="F4547" s="1">
        <v>9.2674970344009395E-6</v>
      </c>
    </row>
    <row r="4548" spans="1:6" x14ac:dyDescent="0.25">
      <c r="A4548" s="2" t="str">
        <f t="shared" si="161"/>
        <v>11260</v>
      </c>
      <c r="B4548" s="2" t="str">
        <f>"99530"</f>
        <v>99530</v>
      </c>
      <c r="C4548" s="1">
        <v>0</v>
      </c>
      <c r="D4548" s="1">
        <v>1.9570506717444102E-3</v>
      </c>
      <c r="E4548" s="1">
        <v>7.0180363534283103E-5</v>
      </c>
      <c r="F4548" s="1">
        <v>1.7608244365361801E-4</v>
      </c>
    </row>
    <row r="4549" spans="1:6" x14ac:dyDescent="0.25">
      <c r="A4549" s="2" t="str">
        <f t="shared" si="161"/>
        <v>11260</v>
      </c>
      <c r="B4549" s="2" t="str">
        <f>"99518"</f>
        <v>99518</v>
      </c>
      <c r="C4549" s="1">
        <v>2.4467159039271099E-2</v>
      </c>
      <c r="D4549" s="1">
        <v>8.5052364328784505E-2</v>
      </c>
      <c r="E4549" s="1">
        <v>5.4319601375535098E-2</v>
      </c>
      <c r="F4549" s="1">
        <v>3.1745811091340399E-2</v>
      </c>
    </row>
    <row r="4550" spans="1:6" x14ac:dyDescent="0.25">
      <c r="A4550" s="2" t="str">
        <f t="shared" si="161"/>
        <v>11260</v>
      </c>
      <c r="B4550" s="2" t="str">
        <f>"99509"</f>
        <v>99509</v>
      </c>
      <c r="C4550" s="1">
        <v>1.5860675707488999E-2</v>
      </c>
      <c r="D4550" s="1">
        <v>2.2585422617158499E-2</v>
      </c>
      <c r="E4550" s="1">
        <v>7.0180363534283103E-5</v>
      </c>
      <c r="F4550" s="1">
        <v>1.54072138196915E-2</v>
      </c>
    </row>
    <row r="4551" spans="1:6" x14ac:dyDescent="0.25">
      <c r="A4551" s="2" t="str">
        <f t="shared" si="161"/>
        <v>11260</v>
      </c>
      <c r="B4551" s="2" t="str">
        <f>"99676"</f>
        <v>99676</v>
      </c>
      <c r="C4551" s="1">
        <v>1.2646931613496601E-3</v>
      </c>
      <c r="D4551" s="1">
        <v>1.0578652279699501E-3</v>
      </c>
      <c r="E4551" s="1">
        <v>7.0180363534283103E-5</v>
      </c>
      <c r="F4551" s="1">
        <v>1.16770462633451E-3</v>
      </c>
    </row>
    <row r="4552" spans="1:6" x14ac:dyDescent="0.25">
      <c r="A4552" s="2" t="str">
        <f t="shared" si="161"/>
        <v>11260</v>
      </c>
      <c r="B4552" s="2" t="str">
        <f>"99688"</f>
        <v>99688</v>
      </c>
      <c r="C4552" s="1">
        <v>3.5696101350648399E-3</v>
      </c>
      <c r="D4552" s="1">
        <v>5.2893261398497796E-4</v>
      </c>
      <c r="E4552" s="1">
        <v>7.0180363534283103E-5</v>
      </c>
      <c r="F4552" s="1">
        <v>3.0721752669039099E-3</v>
      </c>
    </row>
    <row r="4553" spans="1:6" x14ac:dyDescent="0.25">
      <c r="A4553" s="2" t="str">
        <f t="shared" si="161"/>
        <v>11260</v>
      </c>
      <c r="B4553" s="2" t="str">
        <f>"99587"</f>
        <v>99587</v>
      </c>
      <c r="C4553" s="1">
        <v>0</v>
      </c>
      <c r="D4553" s="1">
        <v>1.0578652279699501E-4</v>
      </c>
      <c r="E4553" s="1">
        <v>7.0180363534283103E-5</v>
      </c>
      <c r="F4553" s="1">
        <v>1.3901245551601401E-5</v>
      </c>
    </row>
    <row r="4554" spans="1:6" x14ac:dyDescent="0.25">
      <c r="A4554" s="2" t="str">
        <f t="shared" si="161"/>
        <v>11260</v>
      </c>
      <c r="B4554" s="2" t="str">
        <f>"99519"</f>
        <v>99519</v>
      </c>
      <c r="C4554" s="1">
        <v>3.2301686805034598E-3</v>
      </c>
      <c r="D4554" s="1">
        <v>9.8381466201205893E-3</v>
      </c>
      <c r="E4554" s="1">
        <v>7.0180363534283103E-5</v>
      </c>
      <c r="F4554" s="1">
        <v>3.6004225978647601E-3</v>
      </c>
    </row>
    <row r="4555" spans="1:6" x14ac:dyDescent="0.25">
      <c r="A4555" s="2" t="str">
        <f t="shared" si="161"/>
        <v>11260</v>
      </c>
      <c r="B4555" s="2" t="str">
        <f>"99515"</f>
        <v>99515</v>
      </c>
      <c r="C4555" s="1">
        <v>4.7237110805735401E-2</v>
      </c>
      <c r="D4555" s="1">
        <v>5.6860256003385103E-2</v>
      </c>
      <c r="E4555" s="1">
        <v>4.3862727208926901E-2</v>
      </c>
      <c r="F4555" s="1">
        <v>4.7857354685646503E-2</v>
      </c>
    </row>
    <row r="4556" spans="1:6" x14ac:dyDescent="0.25">
      <c r="A4556" s="2" t="str">
        <f t="shared" si="161"/>
        <v>11260</v>
      </c>
      <c r="B4556" s="2" t="str">
        <f>"99502"</f>
        <v>99502</v>
      </c>
      <c r="C4556" s="1">
        <v>5.3735772201934803E-2</v>
      </c>
      <c r="D4556" s="1">
        <v>2.2268063048767502E-2</v>
      </c>
      <c r="E4556" s="1">
        <v>6.0284932275949103E-2</v>
      </c>
      <c r="F4556" s="1">
        <v>5.1411439798339197E-2</v>
      </c>
    </row>
    <row r="4557" spans="1:6" x14ac:dyDescent="0.25">
      <c r="A4557" s="2" t="str">
        <f t="shared" si="161"/>
        <v>11260</v>
      </c>
      <c r="B4557" s="2" t="str">
        <f>"99687"</f>
        <v>99687</v>
      </c>
      <c r="C4557" s="1">
        <v>2.4286488587649799E-2</v>
      </c>
      <c r="D4557" s="1">
        <v>1.9993652808632099E-2</v>
      </c>
      <c r="E4557" s="1">
        <v>1.4036072706856599E-4</v>
      </c>
      <c r="F4557" s="1">
        <v>2.2316132858837399E-2</v>
      </c>
    </row>
    <row r="4558" spans="1:6" x14ac:dyDescent="0.25">
      <c r="A4558" s="2" t="str">
        <f t="shared" si="161"/>
        <v>11260</v>
      </c>
      <c r="B4558" s="2" t="str">
        <f>"99623"</f>
        <v>99623</v>
      </c>
      <c r="C4558" s="1">
        <v>3.6051967391720903E-2</v>
      </c>
      <c r="D4558" s="1">
        <v>3.4909552523008499E-3</v>
      </c>
      <c r="E4558" s="1">
        <v>1.1299038529019499E-2</v>
      </c>
      <c r="F4558" s="1">
        <v>3.1565094899169602E-2</v>
      </c>
    </row>
    <row r="4559" spans="1:6" x14ac:dyDescent="0.25">
      <c r="A4559" s="2" t="str">
        <f t="shared" si="161"/>
        <v>11260</v>
      </c>
      <c r="B4559" s="2" t="str">
        <f>"99511"</f>
        <v>99511</v>
      </c>
      <c r="C4559" s="1">
        <v>1.2685255648689E-2</v>
      </c>
      <c r="D4559" s="1">
        <v>2.59176980852639E-2</v>
      </c>
      <c r="E4559" s="1">
        <v>1.4036072706856599E-4</v>
      </c>
      <c r="F4559" s="1">
        <v>1.3016199584816099E-2</v>
      </c>
    </row>
    <row r="4560" spans="1:6" x14ac:dyDescent="0.25">
      <c r="A4560" s="2" t="str">
        <f t="shared" si="161"/>
        <v>11260</v>
      </c>
      <c r="B4560" s="2" t="str">
        <f>"99522"</f>
        <v>99522</v>
      </c>
      <c r="C4560" s="1">
        <v>1.03584392262924E-2</v>
      </c>
      <c r="D4560" s="1">
        <v>1.21654501216545E-2</v>
      </c>
      <c r="E4560" s="1">
        <v>7.0180363534283103E-5</v>
      </c>
      <c r="F4560" s="1">
        <v>9.8374481020166004E-3</v>
      </c>
    </row>
    <row r="4561" spans="1:6" x14ac:dyDescent="0.25">
      <c r="A4561" s="2" t="str">
        <f t="shared" si="161"/>
        <v>11260</v>
      </c>
      <c r="B4561" s="2" t="str">
        <f>"99503"</f>
        <v>99503</v>
      </c>
      <c r="C4561" s="1">
        <v>3.79572194270009E-2</v>
      </c>
      <c r="D4561" s="1">
        <v>0.14926478366656001</v>
      </c>
      <c r="E4561" s="1">
        <v>0.10183170748824399</v>
      </c>
      <c r="F4561" s="1">
        <v>5.19257858837485E-2</v>
      </c>
    </row>
    <row r="4562" spans="1:6" x14ac:dyDescent="0.25">
      <c r="A4562" s="2" t="str">
        <f t="shared" si="161"/>
        <v>11260</v>
      </c>
      <c r="B4562" s="2" t="str">
        <f>"99674"</f>
        <v>99674</v>
      </c>
      <c r="C4562" s="1">
        <v>1.4344138886303499E-3</v>
      </c>
      <c r="D4562" s="1">
        <v>5.2893261398497796E-4</v>
      </c>
      <c r="E4562" s="1">
        <v>5.6144290827426396E-4</v>
      </c>
      <c r="F4562" s="1">
        <v>1.29744958481613E-3</v>
      </c>
    </row>
    <row r="4563" spans="1:6" x14ac:dyDescent="0.25">
      <c r="A4563" s="2" t="str">
        <f t="shared" si="161"/>
        <v>11260</v>
      </c>
      <c r="B4563" s="2" t="str">
        <f>"99652"</f>
        <v>99652</v>
      </c>
      <c r="C4563" s="1">
        <v>0</v>
      </c>
      <c r="D4563" s="1">
        <v>0</v>
      </c>
      <c r="E4563" s="1">
        <v>1.4036072706856599E-4</v>
      </c>
      <c r="F4563" s="1">
        <v>9.2674970344009395E-6</v>
      </c>
    </row>
    <row r="4564" spans="1:6" x14ac:dyDescent="0.25">
      <c r="A4564" s="2" t="str">
        <f t="shared" si="161"/>
        <v>11260</v>
      </c>
      <c r="B4564" s="2" t="str">
        <f>"99513"</f>
        <v>99513</v>
      </c>
      <c r="C4564" s="1">
        <v>0</v>
      </c>
      <c r="D4564" s="1">
        <v>4.0727811276843303E-3</v>
      </c>
      <c r="E4564" s="1">
        <v>2.8072145413713198E-4</v>
      </c>
      <c r="F4564" s="1">
        <v>3.7533362989323798E-4</v>
      </c>
    </row>
    <row r="4565" spans="1:6" x14ac:dyDescent="0.25">
      <c r="A4565" s="2" t="str">
        <f t="shared" si="161"/>
        <v>11260</v>
      </c>
      <c r="B4565" s="2" t="str">
        <f>"99540"</f>
        <v>99540</v>
      </c>
      <c r="C4565" s="1">
        <v>1.57128544288897E-3</v>
      </c>
      <c r="D4565" s="1">
        <v>1.16365175076695E-3</v>
      </c>
      <c r="E4565" s="1">
        <v>7.0180363534283103E-5</v>
      </c>
      <c r="F4565" s="1">
        <v>1.4364620403321401E-3</v>
      </c>
    </row>
    <row r="4566" spans="1:6" x14ac:dyDescent="0.25">
      <c r="A4566" s="2" t="str">
        <f t="shared" si="161"/>
        <v>11260</v>
      </c>
      <c r="B4566" s="2" t="str">
        <f>"99504"</f>
        <v>99504</v>
      </c>
      <c r="C4566" s="1">
        <v>9.3269751933995004E-2</v>
      </c>
      <c r="D4566" s="1">
        <v>2.4278006981910499E-2</v>
      </c>
      <c r="E4566" s="1">
        <v>9.5094392588953594E-2</v>
      </c>
      <c r="F4566" s="1">
        <v>8.7346159549228905E-2</v>
      </c>
    </row>
    <row r="4567" spans="1:6" x14ac:dyDescent="0.25">
      <c r="A4567" s="2" t="str">
        <f t="shared" si="161"/>
        <v>11260</v>
      </c>
      <c r="B4567" s="2" t="str">
        <f>"99529"</f>
        <v>99529</v>
      </c>
      <c r="C4567" s="1">
        <v>0</v>
      </c>
      <c r="D4567" s="1">
        <v>2.6446630699248898E-4</v>
      </c>
      <c r="E4567" s="1">
        <v>7.0180363534283103E-5</v>
      </c>
      <c r="F4567" s="1">
        <v>2.7802491103202802E-5</v>
      </c>
    </row>
    <row r="4568" spans="1:6" x14ac:dyDescent="0.25">
      <c r="A4568" s="2" t="str">
        <f t="shared" si="161"/>
        <v>11260</v>
      </c>
      <c r="B4568" s="2" t="str">
        <f>"99523"</f>
        <v>99523</v>
      </c>
      <c r="C4568" s="1">
        <v>1.09278248920083E-2</v>
      </c>
      <c r="D4568" s="1">
        <v>2.3484608060932999E-2</v>
      </c>
      <c r="E4568" s="1">
        <v>7.0180363534283103E-5</v>
      </c>
      <c r="F4568" s="1">
        <v>1.1310980130486301E-2</v>
      </c>
    </row>
    <row r="4569" spans="1:6" x14ac:dyDescent="0.25">
      <c r="A4569" s="2" t="str">
        <f t="shared" si="161"/>
        <v>11260</v>
      </c>
      <c r="B4569" s="2" t="str">
        <f>"99517"</f>
        <v>99517</v>
      </c>
      <c r="C4569" s="1">
        <v>4.1023142242393999E-2</v>
      </c>
      <c r="D4569" s="1">
        <v>1.38580344864064E-2</v>
      </c>
      <c r="E4569" s="1">
        <v>5.52319461014808E-2</v>
      </c>
      <c r="F4569" s="1">
        <v>3.9581479833926403E-2</v>
      </c>
    </row>
    <row r="4570" spans="1:6" x14ac:dyDescent="0.25">
      <c r="A4570" s="2" t="str">
        <f t="shared" si="161"/>
        <v>11260</v>
      </c>
      <c r="B4570" s="2" t="str">
        <f>"99516"</f>
        <v>99516</v>
      </c>
      <c r="C4570" s="1">
        <v>4.2205712471188497E-2</v>
      </c>
      <c r="D4570" s="1">
        <v>1.9570506717444102E-3</v>
      </c>
      <c r="E4570" s="1">
        <v>1.89486981542564E-3</v>
      </c>
      <c r="F4570" s="1">
        <v>3.6018127224199198E-2</v>
      </c>
    </row>
    <row r="4571" spans="1:6" x14ac:dyDescent="0.25">
      <c r="A4571" s="2" t="str">
        <f t="shared" si="161"/>
        <v>11260</v>
      </c>
      <c r="B4571" s="2" t="str">
        <f>"99510"</f>
        <v>99510</v>
      </c>
      <c r="C4571" s="1">
        <v>1.0544584540084201E-2</v>
      </c>
      <c r="D4571" s="1">
        <v>1.00497196657145E-2</v>
      </c>
      <c r="E4571" s="1">
        <v>1.4036072706856599E-4</v>
      </c>
      <c r="F4571" s="1">
        <v>9.8142793594306003E-3</v>
      </c>
    </row>
    <row r="4572" spans="1:6" x14ac:dyDescent="0.25">
      <c r="A4572" s="2" t="str">
        <f t="shared" si="161"/>
        <v>11260</v>
      </c>
      <c r="B4572" s="2" t="str">
        <f>"99567"</f>
        <v>99567</v>
      </c>
      <c r="C4572" s="1">
        <v>1.27345294082221E-2</v>
      </c>
      <c r="D4572" s="1">
        <v>1.74547762615042E-3</v>
      </c>
      <c r="E4572" s="1">
        <v>4.2108218120569798E-3</v>
      </c>
      <c r="F4572" s="1">
        <v>1.12090376631079E-2</v>
      </c>
    </row>
    <row r="4573" spans="1:6" x14ac:dyDescent="0.25">
      <c r="A4573" s="2" t="str">
        <f t="shared" si="161"/>
        <v>11260</v>
      </c>
      <c r="B4573" s="2" t="str">
        <f>"99507"</f>
        <v>99507</v>
      </c>
      <c r="C4573" s="1">
        <v>8.6037459006969394E-2</v>
      </c>
      <c r="D4573" s="1">
        <v>4.6175817200888598E-2</v>
      </c>
      <c r="E4573" s="1">
        <v>8.1830303880974106E-2</v>
      </c>
      <c r="F4573" s="1">
        <v>8.2267571174377205E-2</v>
      </c>
    </row>
    <row r="4574" spans="1:6" x14ac:dyDescent="0.25">
      <c r="A4574" s="2" t="str">
        <f t="shared" si="161"/>
        <v>11260</v>
      </c>
      <c r="B4574" s="2" t="str">
        <f>"99667"</f>
        <v>99667</v>
      </c>
      <c r="C4574" s="1">
        <v>0</v>
      </c>
      <c r="D4574" s="1">
        <v>0</v>
      </c>
      <c r="E4574" s="1">
        <v>7.0180363534283103E-5</v>
      </c>
      <c r="F4574" s="1">
        <v>4.6337485172004697E-6</v>
      </c>
    </row>
    <row r="4575" spans="1:6" x14ac:dyDescent="0.25">
      <c r="A4575" s="2" t="str">
        <f t="shared" si="161"/>
        <v>11260</v>
      </c>
      <c r="B4575" s="2" t="str">
        <f>"99654"</f>
        <v>99654</v>
      </c>
      <c r="C4575" s="1">
        <v>7.8219355827716996E-2</v>
      </c>
      <c r="D4575" s="1">
        <v>8.9706971331852306E-2</v>
      </c>
      <c r="E4575" s="1">
        <v>7.6075514071162795E-2</v>
      </c>
      <c r="F4575" s="1">
        <v>7.9084185943060395E-2</v>
      </c>
    </row>
    <row r="4576" spans="1:6" x14ac:dyDescent="0.25">
      <c r="A4576" s="2" t="str">
        <f t="shared" si="161"/>
        <v>11260</v>
      </c>
      <c r="B4576" s="2" t="str">
        <f>"99577"</f>
        <v>99577</v>
      </c>
      <c r="C4576" s="1">
        <v>7.3379577669132098E-2</v>
      </c>
      <c r="D4576" s="1">
        <v>4.33195810853697E-2</v>
      </c>
      <c r="E4576" s="1">
        <v>2.5826373780616099E-2</v>
      </c>
      <c r="F4576" s="1">
        <v>6.7606390865954893E-2</v>
      </c>
    </row>
    <row r="4577" spans="1:6" x14ac:dyDescent="0.25">
      <c r="A4577" s="2" t="str">
        <f t="shared" si="161"/>
        <v>11260</v>
      </c>
      <c r="B4577" s="2" t="str">
        <f>"99521"</f>
        <v>99521</v>
      </c>
      <c r="C4577" s="1">
        <v>1.2340339331957301E-2</v>
      </c>
      <c r="D4577" s="1">
        <v>1.2641489474240901E-2</v>
      </c>
      <c r="E4577" s="1">
        <v>7.0180363534283103E-5</v>
      </c>
      <c r="F4577" s="1">
        <v>1.15565688018979E-2</v>
      </c>
    </row>
    <row r="4578" spans="1:6" x14ac:dyDescent="0.25">
      <c r="A4578" s="2" t="str">
        <f t="shared" si="161"/>
        <v>11260</v>
      </c>
      <c r="B4578" s="2" t="str">
        <f>"99514"</f>
        <v>99514</v>
      </c>
      <c r="C4578" s="1">
        <v>1.4168943296852501E-2</v>
      </c>
      <c r="D4578" s="1">
        <v>1.1636517507669499E-2</v>
      </c>
      <c r="E4578" s="1">
        <v>7.0180363534283103E-5</v>
      </c>
      <c r="F4578" s="1">
        <v>1.3016199584816099E-2</v>
      </c>
    </row>
    <row r="4579" spans="1:6" x14ac:dyDescent="0.25">
      <c r="A4579" s="2" t="str">
        <f t="shared" si="161"/>
        <v>11260</v>
      </c>
      <c r="B4579" s="2" t="str">
        <f>"99501"</f>
        <v>99501</v>
      </c>
      <c r="C4579" s="1">
        <v>5.1759346958440297E-2</v>
      </c>
      <c r="D4579" s="1">
        <v>0.134454670474981</v>
      </c>
      <c r="E4579" s="1">
        <v>0.118955716190609</v>
      </c>
      <c r="F4579" s="1">
        <v>6.3440650948991595E-2</v>
      </c>
    </row>
    <row r="4580" spans="1:6" x14ac:dyDescent="0.25">
      <c r="A4580" s="2" t="str">
        <f t="shared" ref="A4580:A4594" si="162">"38660"</f>
        <v>38660</v>
      </c>
      <c r="B4580" s="2" t="str">
        <f>"00624"</f>
        <v>00624</v>
      </c>
      <c r="C4580" s="1">
        <v>8.2587465287455904E-5</v>
      </c>
      <c r="D4580" s="1">
        <v>0</v>
      </c>
      <c r="E4580" s="1">
        <v>0</v>
      </c>
      <c r="F4580" s="1">
        <v>7.5089168387460102E-5</v>
      </c>
    </row>
    <row r="4581" spans="1:6" x14ac:dyDescent="0.25">
      <c r="A4581" s="2" t="str">
        <f t="shared" si="162"/>
        <v>38660</v>
      </c>
      <c r="B4581" s="2" t="str">
        <f>"00780"</f>
        <v>00780</v>
      </c>
      <c r="C4581" s="1">
        <v>6.6235147160539701E-2</v>
      </c>
      <c r="D4581" s="1">
        <v>6.0403581451289497E-2</v>
      </c>
      <c r="E4581" s="1">
        <v>1.14155251141552E-2</v>
      </c>
      <c r="F4581" s="1">
        <v>6.4698704711845301E-2</v>
      </c>
    </row>
    <row r="4582" spans="1:6" x14ac:dyDescent="0.25">
      <c r="A4582" s="2" t="str">
        <f t="shared" si="162"/>
        <v>38660</v>
      </c>
      <c r="B4582" s="2" t="str">
        <f>"00731"</f>
        <v>00731</v>
      </c>
      <c r="C4582" s="1">
        <v>3.7484385807343999E-2</v>
      </c>
      <c r="D4582" s="1">
        <v>2.9399973272751499E-3</v>
      </c>
      <c r="E4582" s="1">
        <v>1.23287671232876E-2</v>
      </c>
      <c r="F4582" s="1">
        <v>3.4541017458231599E-2</v>
      </c>
    </row>
    <row r="4583" spans="1:6" x14ac:dyDescent="0.25">
      <c r="A4583" s="2" t="str">
        <f t="shared" si="162"/>
        <v>38660</v>
      </c>
      <c r="B4583" s="2" t="str">
        <f>"00716"</f>
        <v>00716</v>
      </c>
      <c r="C4583" s="1">
        <v>0.13857144331919</v>
      </c>
      <c r="D4583" s="1">
        <v>0.187625283977014</v>
      </c>
      <c r="E4583" s="1">
        <v>0.25251141552511402</v>
      </c>
      <c r="F4583" s="1">
        <v>0.14435892622489199</v>
      </c>
    </row>
    <row r="4584" spans="1:6" x14ac:dyDescent="0.25">
      <c r="A4584" s="2" t="str">
        <f t="shared" si="162"/>
        <v>38660</v>
      </c>
      <c r="B4584" s="2" t="str">
        <f>"00795"</f>
        <v>00795</v>
      </c>
      <c r="C4584" s="1">
        <v>0.152941662279207</v>
      </c>
      <c r="D4584" s="1">
        <v>7.4969931845516494E-2</v>
      </c>
      <c r="E4584" s="1">
        <v>5.9817351598173502E-2</v>
      </c>
      <c r="F4584" s="1">
        <v>0.145550966773042</v>
      </c>
    </row>
    <row r="4585" spans="1:6" x14ac:dyDescent="0.25">
      <c r="A4585" s="2" t="str">
        <f t="shared" si="162"/>
        <v>38660</v>
      </c>
      <c r="B4585" s="2" t="str">
        <f>"00720"</f>
        <v>00720</v>
      </c>
      <c r="C4585" s="1">
        <v>1.8582179689677499E-4</v>
      </c>
      <c r="D4585" s="1">
        <v>0</v>
      </c>
      <c r="E4585" s="1">
        <v>0</v>
      </c>
      <c r="F4585" s="1">
        <v>1.6895062887178501E-4</v>
      </c>
    </row>
    <row r="4586" spans="1:6" x14ac:dyDescent="0.25">
      <c r="A4586" s="2" t="str">
        <f t="shared" si="162"/>
        <v>38660</v>
      </c>
      <c r="B4586" s="2" t="str">
        <f>"00733"</f>
        <v>00733</v>
      </c>
      <c r="C4586" s="1">
        <v>3.1445177408198799E-2</v>
      </c>
      <c r="D4586" s="1">
        <v>1.4432714152078E-2</v>
      </c>
      <c r="E4586" s="1">
        <v>9.1324200913241995E-4</v>
      </c>
      <c r="F4586" s="1">
        <v>2.9622676928852999E-2</v>
      </c>
    </row>
    <row r="4587" spans="1:6" x14ac:dyDescent="0.25">
      <c r="A4587" s="2" t="str">
        <f t="shared" si="162"/>
        <v>38660</v>
      </c>
      <c r="B4587" s="2" t="str">
        <f>"00641"</f>
        <v>00641</v>
      </c>
      <c r="C4587" s="1">
        <v>2.8079738197735E-3</v>
      </c>
      <c r="D4587" s="1">
        <v>4.0090872644661202E-4</v>
      </c>
      <c r="E4587" s="1">
        <v>2.1917808219177999E-2</v>
      </c>
      <c r="F4587" s="1">
        <v>3.0317251736437E-3</v>
      </c>
    </row>
    <row r="4588" spans="1:6" x14ac:dyDescent="0.25">
      <c r="A4588" s="2" t="str">
        <f t="shared" si="162"/>
        <v>38660</v>
      </c>
      <c r="B4588" s="2" t="str">
        <f>"00732"</f>
        <v>00732</v>
      </c>
      <c r="C4588" s="1">
        <v>2.1999236065946001E-2</v>
      </c>
      <c r="D4588" s="1">
        <v>4.6505412267807002E-2</v>
      </c>
      <c r="E4588" s="1">
        <v>9.1324200913241995E-4</v>
      </c>
      <c r="F4588" s="1">
        <v>2.3287028346161E-2</v>
      </c>
    </row>
    <row r="4589" spans="1:6" x14ac:dyDescent="0.25">
      <c r="A4589" s="2" t="str">
        <f t="shared" si="162"/>
        <v>38660</v>
      </c>
      <c r="B4589" s="2" t="str">
        <f>"00717"</f>
        <v>00717</v>
      </c>
      <c r="C4589" s="1">
        <v>9.0949446147810906E-2</v>
      </c>
      <c r="D4589" s="1">
        <v>0.219297073366296</v>
      </c>
      <c r="E4589" s="1">
        <v>0.193607305936073</v>
      </c>
      <c r="F4589" s="1">
        <v>0.10207433827670299</v>
      </c>
    </row>
    <row r="4590" spans="1:6" x14ac:dyDescent="0.25">
      <c r="A4590" s="2" t="str">
        <f t="shared" si="162"/>
        <v>38660</v>
      </c>
      <c r="B4590" s="2" t="str">
        <f>"00715"</f>
        <v>00715</v>
      </c>
      <c r="C4590" s="1">
        <v>1.5929057367317999E-2</v>
      </c>
      <c r="D4590" s="1">
        <v>3.5413604169450698E-2</v>
      </c>
      <c r="E4590" s="1">
        <v>3.6529680365296798E-3</v>
      </c>
      <c r="F4590" s="1">
        <v>1.70452412239534E-2</v>
      </c>
    </row>
    <row r="4591" spans="1:6" x14ac:dyDescent="0.25">
      <c r="A4591" s="2" t="str">
        <f t="shared" si="162"/>
        <v>38660</v>
      </c>
      <c r="B4591" s="2" t="str">
        <f>"00601"</f>
        <v>00601</v>
      </c>
      <c r="C4591" s="1">
        <v>5.8079634963403397E-2</v>
      </c>
      <c r="D4591" s="1">
        <v>5.3454496859548298E-2</v>
      </c>
      <c r="E4591" s="1">
        <v>7.5342465753424598E-2</v>
      </c>
      <c r="F4591" s="1">
        <v>5.8109630185845598E-2</v>
      </c>
    </row>
    <row r="4592" spans="1:6" x14ac:dyDescent="0.25">
      <c r="A4592" s="2" t="str">
        <f t="shared" si="162"/>
        <v>38660</v>
      </c>
      <c r="B4592" s="2" t="str">
        <f>"00766"</f>
        <v>00766</v>
      </c>
      <c r="C4592" s="1">
        <v>7.0808428050832498E-2</v>
      </c>
      <c r="D4592" s="1">
        <v>4.7440865962849098E-2</v>
      </c>
      <c r="E4592" s="1">
        <v>2.60273972602739E-2</v>
      </c>
      <c r="F4592" s="1">
        <v>6.8246667918152801E-2</v>
      </c>
    </row>
    <row r="4593" spans="1:6" x14ac:dyDescent="0.25">
      <c r="A4593" s="2" t="str">
        <f t="shared" si="162"/>
        <v>38660</v>
      </c>
      <c r="B4593" s="2" t="str">
        <f>"00728"</f>
        <v>00728</v>
      </c>
      <c r="C4593" s="1">
        <v>0.152631959284379</v>
      </c>
      <c r="D4593" s="1">
        <v>6.48135774422023E-2</v>
      </c>
      <c r="E4593" s="1">
        <v>0.12968036529680299</v>
      </c>
      <c r="F4593" s="1">
        <v>0.14599211563731901</v>
      </c>
    </row>
    <row r="4594" spans="1:6" x14ac:dyDescent="0.25">
      <c r="A4594" s="2" t="str">
        <f t="shared" si="162"/>
        <v>38660</v>
      </c>
      <c r="B4594" s="2" t="str">
        <f>"00730"</f>
        <v>00730</v>
      </c>
      <c r="C4594" s="1">
        <v>0.15984803906387099</v>
      </c>
      <c r="D4594" s="1">
        <v>0.192302552452225</v>
      </c>
      <c r="E4594" s="1">
        <v>0.21187214611872099</v>
      </c>
      <c r="F4594" s="1">
        <v>0.163196921344096</v>
      </c>
    </row>
    <row r="4595" spans="1:6" x14ac:dyDescent="0.25">
      <c r="A4595" s="2" t="str">
        <f t="shared" ref="A4595:A4605" si="163">"11640"</f>
        <v>11640</v>
      </c>
      <c r="B4595" s="2" t="str">
        <f>"00652"</f>
        <v>00652</v>
      </c>
      <c r="C4595" s="1">
        <v>2.88487655644665E-2</v>
      </c>
      <c r="D4595" s="1">
        <v>1.75029171528588E-3</v>
      </c>
      <c r="E4595" s="1">
        <v>2.02634245187436E-3</v>
      </c>
      <c r="F4595" s="1">
        <v>2.66692954784437E-2</v>
      </c>
    </row>
    <row r="4596" spans="1:6" x14ac:dyDescent="0.25">
      <c r="A4596" s="2" t="str">
        <f t="shared" si="163"/>
        <v>11640</v>
      </c>
      <c r="B4596" s="2" t="str">
        <f>"00650"</f>
        <v>00650</v>
      </c>
      <c r="C4596" s="1">
        <v>1.03501022144072E-2</v>
      </c>
      <c r="D4596" s="1">
        <v>1.9447685725398599E-4</v>
      </c>
      <c r="E4596" s="1">
        <v>4.0526849037487303E-3</v>
      </c>
      <c r="F4596" s="1">
        <v>9.5820189274447905E-3</v>
      </c>
    </row>
    <row r="4597" spans="1:6" x14ac:dyDescent="0.25">
      <c r="A4597" s="2" t="str">
        <f t="shared" si="163"/>
        <v>11640</v>
      </c>
      <c r="B4597" s="2" t="str">
        <f>"00614"</f>
        <v>00614</v>
      </c>
      <c r="C4597" s="1">
        <v>3.83983073865991E-2</v>
      </c>
      <c r="D4597" s="1">
        <v>4.9980552314274597E-2</v>
      </c>
      <c r="E4597" s="1">
        <v>2.02634245187436E-3</v>
      </c>
      <c r="F4597" s="1">
        <v>3.8709253417455299E-2</v>
      </c>
    </row>
    <row r="4598" spans="1:6" x14ac:dyDescent="0.25">
      <c r="A4598" s="2" t="str">
        <f t="shared" si="163"/>
        <v>11640</v>
      </c>
      <c r="B4598" s="2" t="str">
        <f>"00616"</f>
        <v>00616</v>
      </c>
      <c r="C4598" s="1">
        <v>5.03781218281368E-2</v>
      </c>
      <c r="D4598" s="1">
        <v>3.5005834305717599E-3</v>
      </c>
      <c r="E4598" s="1">
        <v>5.0658561296859101E-3</v>
      </c>
      <c r="F4598" s="1">
        <v>4.6621976866456298E-2</v>
      </c>
    </row>
    <row r="4599" spans="1:6" x14ac:dyDescent="0.25">
      <c r="A4599" s="2" t="str">
        <f t="shared" si="163"/>
        <v>11640</v>
      </c>
      <c r="B4599" s="2" t="str">
        <f>"00688"</f>
        <v>00688</v>
      </c>
      <c r="C4599" s="1">
        <v>5.3265857528841602E-2</v>
      </c>
      <c r="D4599" s="1">
        <v>2.10035005834305E-2</v>
      </c>
      <c r="E4599" s="1">
        <v>4.0526849037487303E-3</v>
      </c>
      <c r="F4599" s="1">
        <v>5.0446898002103002E-2</v>
      </c>
    </row>
    <row r="4600" spans="1:6" x14ac:dyDescent="0.25">
      <c r="A4600" s="2" t="str">
        <f t="shared" si="163"/>
        <v>11640</v>
      </c>
      <c r="B4600" s="2" t="str">
        <f>"00659"</f>
        <v>00659</v>
      </c>
      <c r="C4600" s="1">
        <v>0.162628125402067</v>
      </c>
      <c r="D4600" s="1">
        <v>0.15888759237650699</v>
      </c>
      <c r="E4600" s="1">
        <v>7.3961499493414296E-2</v>
      </c>
      <c r="F4600" s="1">
        <v>0.161225026288117</v>
      </c>
    </row>
    <row r="4601" spans="1:6" x14ac:dyDescent="0.25">
      <c r="A4601" s="2" t="str">
        <f t="shared" si="163"/>
        <v>11640</v>
      </c>
      <c r="B4601" s="2" t="str">
        <f>"00627"</f>
        <v>00627</v>
      </c>
      <c r="C4601" s="1">
        <v>0.13813955483123899</v>
      </c>
      <c r="D4601" s="1">
        <v>0.122325943212757</v>
      </c>
      <c r="E4601" s="1">
        <v>0.12259371833839899</v>
      </c>
      <c r="F4601" s="1">
        <v>0.13686908517350099</v>
      </c>
    </row>
    <row r="4602" spans="1:6" x14ac:dyDescent="0.25">
      <c r="A4602" s="2" t="str">
        <f t="shared" si="163"/>
        <v>11640</v>
      </c>
      <c r="B4602" s="2" t="str">
        <f>"00613"</f>
        <v>00613</v>
      </c>
      <c r="C4602" s="1">
        <v>4.3144486855084201E-2</v>
      </c>
      <c r="D4602" s="1">
        <v>4.9591598599766598E-2</v>
      </c>
      <c r="E4602" s="1">
        <v>4.0526849037487303E-3</v>
      </c>
      <c r="F4602" s="1">
        <v>4.3073080967402699E-2</v>
      </c>
    </row>
    <row r="4603" spans="1:6" x14ac:dyDescent="0.25">
      <c r="A4603" s="2" t="str">
        <f t="shared" si="163"/>
        <v>11640</v>
      </c>
      <c r="B4603" s="2" t="str">
        <f>"00612"</f>
        <v>00612</v>
      </c>
      <c r="C4603" s="1">
        <v>0.32895884261840402</v>
      </c>
      <c r="D4603" s="1">
        <v>0.477440684558537</v>
      </c>
      <c r="E4603" s="1">
        <v>0.65349544072948296</v>
      </c>
      <c r="F4603" s="1">
        <v>0.34320452155625603</v>
      </c>
    </row>
    <row r="4604" spans="1:6" x14ac:dyDescent="0.25">
      <c r="A4604" s="2" t="str">
        <f t="shared" si="163"/>
        <v>11640</v>
      </c>
      <c r="B4604" s="2" t="str">
        <f>"00678"</f>
        <v>00678</v>
      </c>
      <c r="C4604" s="1">
        <v>0.145559034181069</v>
      </c>
      <c r="D4604" s="1">
        <v>0.11513029949436</v>
      </c>
      <c r="E4604" s="1">
        <v>0.12867274569402201</v>
      </c>
      <c r="F4604" s="1">
        <v>0.14328338590956799</v>
      </c>
    </row>
    <row r="4605" spans="1:6" x14ac:dyDescent="0.25">
      <c r="A4605" s="2" t="str">
        <f t="shared" si="163"/>
        <v>11640</v>
      </c>
      <c r="B4605" s="2" t="str">
        <f>"00662"</f>
        <v>00662</v>
      </c>
      <c r="C4605" s="1">
        <v>3.2880158968420699E-4</v>
      </c>
      <c r="D4605" s="1">
        <v>1.9447685725398599E-4</v>
      </c>
      <c r="E4605" s="1">
        <v>0</v>
      </c>
      <c r="F4605" s="1">
        <v>3.15457413249211E-4</v>
      </c>
    </row>
    <row r="4606" spans="1:6" x14ac:dyDescent="0.25">
      <c r="A4606" s="2" t="str">
        <f t="shared" ref="A4606:A4613" si="164">"41900"</f>
        <v>41900</v>
      </c>
      <c r="B4606" s="2" t="str">
        <f>"00698"</f>
        <v>00698</v>
      </c>
      <c r="C4606" s="1">
        <v>1.64233951263574E-4</v>
      </c>
      <c r="D4606" s="1">
        <v>0</v>
      </c>
      <c r="E4606" s="1">
        <v>0</v>
      </c>
      <c r="F4606" s="1">
        <v>1.5368360388051E-4</v>
      </c>
    </row>
    <row r="4607" spans="1:6" x14ac:dyDescent="0.25">
      <c r="A4607" s="2" t="str">
        <f t="shared" si="164"/>
        <v>41900</v>
      </c>
      <c r="B4607" s="2" t="str">
        <f>"00647"</f>
        <v>00647</v>
      </c>
      <c r="C4607" s="1">
        <v>1.8476319517152099E-4</v>
      </c>
      <c r="D4607" s="1">
        <v>0</v>
      </c>
      <c r="E4607" s="1">
        <v>0</v>
      </c>
      <c r="F4607" s="1">
        <v>1.7289405436557399E-4</v>
      </c>
    </row>
    <row r="4608" spans="1:6" x14ac:dyDescent="0.25">
      <c r="A4608" s="2" t="str">
        <f t="shared" si="164"/>
        <v>41900</v>
      </c>
      <c r="B4608" s="2" t="str">
        <f>"00637"</f>
        <v>00637</v>
      </c>
      <c r="C4608" s="1">
        <v>0.19997536490730999</v>
      </c>
      <c r="D4608" s="1">
        <v>0.19106263194933101</v>
      </c>
      <c r="E4608" s="1">
        <v>0.22509960159362499</v>
      </c>
      <c r="F4608" s="1">
        <v>0.19973105369320901</v>
      </c>
    </row>
    <row r="4609" spans="1:6" x14ac:dyDescent="0.25">
      <c r="A4609" s="2" t="str">
        <f t="shared" si="164"/>
        <v>41900</v>
      </c>
      <c r="B4609" s="2" t="str">
        <f>"00680"</f>
        <v>00680</v>
      </c>
      <c r="C4609" s="1">
        <v>0</v>
      </c>
      <c r="D4609" s="1">
        <v>3.5186488388458799E-4</v>
      </c>
      <c r="E4609" s="1">
        <v>0</v>
      </c>
      <c r="F4609" s="1">
        <v>1.92104504850638E-5</v>
      </c>
    </row>
    <row r="4610" spans="1:6" x14ac:dyDescent="0.25">
      <c r="A4610" s="2" t="str">
        <f t="shared" si="164"/>
        <v>41900</v>
      </c>
      <c r="B4610" s="2" t="str">
        <f>"00667"</f>
        <v>00667</v>
      </c>
      <c r="C4610" s="1">
        <v>0.178789185194309</v>
      </c>
      <c r="D4610" s="1">
        <v>0.165376495425756</v>
      </c>
      <c r="E4610" s="1">
        <v>9.9601593625498003E-2</v>
      </c>
      <c r="F4610" s="1">
        <v>0.17729324752665401</v>
      </c>
    </row>
    <row r="4611" spans="1:6" x14ac:dyDescent="0.25">
      <c r="A4611" s="2" t="str">
        <f t="shared" si="164"/>
        <v>41900</v>
      </c>
      <c r="B4611" s="2" t="str">
        <f>"00623"</f>
        <v>00623</v>
      </c>
      <c r="C4611" s="1">
        <v>0.31403584405986301</v>
      </c>
      <c r="D4611" s="1">
        <v>0.330401125967628</v>
      </c>
      <c r="E4611" s="1">
        <v>0.35856573705179201</v>
      </c>
      <c r="F4611" s="1">
        <v>0.31535875516280798</v>
      </c>
    </row>
    <row r="4612" spans="1:6" x14ac:dyDescent="0.25">
      <c r="A4612" s="2" t="str">
        <f t="shared" si="164"/>
        <v>41900</v>
      </c>
      <c r="B4612" s="2" t="str">
        <f>"00683"</f>
        <v>00683</v>
      </c>
      <c r="C4612" s="1">
        <v>0.24867073145696</v>
      </c>
      <c r="D4612" s="1">
        <v>0.31034482758620602</v>
      </c>
      <c r="E4612" s="1">
        <v>0.30278884462151301</v>
      </c>
      <c r="F4612" s="1">
        <v>0.25255979252713401</v>
      </c>
    </row>
    <row r="4613" spans="1:6" x14ac:dyDescent="0.25">
      <c r="A4613" s="2" t="str">
        <f t="shared" si="164"/>
        <v>41900</v>
      </c>
      <c r="B4613" s="2" t="str">
        <f>"00622"</f>
        <v>00622</v>
      </c>
      <c r="C4613" s="1">
        <v>5.8179877235121399E-2</v>
      </c>
      <c r="D4613" s="1">
        <v>2.46305418719211E-3</v>
      </c>
      <c r="E4613" s="1">
        <v>1.39442231075697E-2</v>
      </c>
      <c r="F4613" s="1">
        <v>5.4711362981461897E-2</v>
      </c>
    </row>
    <row r="4614" spans="1:6" x14ac:dyDescent="0.25">
      <c r="A4614" s="2" t="str">
        <f t="shared" ref="A4614:A4620" si="165">"32420"</f>
        <v>32420</v>
      </c>
      <c r="B4614" s="2" t="str">
        <f>"00683"</f>
        <v>00683</v>
      </c>
      <c r="C4614" s="1">
        <v>8.7363237384872096E-3</v>
      </c>
      <c r="D4614" s="1">
        <v>2.0408163265306099E-4</v>
      </c>
      <c r="E4614" s="1">
        <v>1.3201320132013199E-3</v>
      </c>
      <c r="F4614" s="1">
        <v>7.77098347528572E-3</v>
      </c>
    </row>
    <row r="4615" spans="1:6" x14ac:dyDescent="0.25">
      <c r="A4615" s="2" t="str">
        <f t="shared" si="165"/>
        <v>32420</v>
      </c>
      <c r="B4615" s="2" t="str">
        <f>"00680"</f>
        <v>00680</v>
      </c>
      <c r="C4615" s="1">
        <v>0.42630787299363299</v>
      </c>
      <c r="D4615" s="1">
        <v>0.53040816326530604</v>
      </c>
      <c r="E4615" s="1">
        <v>0.67986798679867899</v>
      </c>
      <c r="F4615" s="1">
        <v>0.44258207760064</v>
      </c>
    </row>
    <row r="4616" spans="1:6" x14ac:dyDescent="0.25">
      <c r="A4616" s="2" t="str">
        <f t="shared" si="165"/>
        <v>32420</v>
      </c>
      <c r="B4616" s="2" t="str">
        <f>"00682"</f>
        <v>00682</v>
      </c>
      <c r="C4616" s="1">
        <v>0.28531102548781201</v>
      </c>
      <c r="D4616" s="1">
        <v>0.24897959183673399</v>
      </c>
      <c r="E4616" s="1">
        <v>0.25148514851485099</v>
      </c>
      <c r="F4616" s="1">
        <v>0.28113853097473901</v>
      </c>
    </row>
    <row r="4617" spans="1:6" x14ac:dyDescent="0.25">
      <c r="A4617" s="2" t="str">
        <f t="shared" si="165"/>
        <v>32420</v>
      </c>
      <c r="B4617" s="2" t="str">
        <f>"00681"</f>
        <v>00681</v>
      </c>
      <c r="C4617" s="1">
        <v>7.8153009292646194E-2</v>
      </c>
      <c r="D4617" s="1">
        <v>0.13367346938775501</v>
      </c>
      <c r="E4617" s="1">
        <v>3.3003300330032999E-3</v>
      </c>
      <c r="F4617" s="1">
        <v>8.1040256242265393E-2</v>
      </c>
    </row>
    <row r="4618" spans="1:6" x14ac:dyDescent="0.25">
      <c r="A4618" s="2" t="str">
        <f t="shared" si="165"/>
        <v>32420</v>
      </c>
      <c r="B4618" s="2" t="str">
        <f>"00623"</f>
        <v>00623</v>
      </c>
      <c r="C4618" s="1">
        <v>2.67858982547957E-4</v>
      </c>
      <c r="D4618" s="1">
        <v>0</v>
      </c>
      <c r="E4618" s="1">
        <v>0</v>
      </c>
      <c r="F4618" s="1">
        <v>2.3658731891970501E-4</v>
      </c>
    </row>
    <row r="4619" spans="1:6" x14ac:dyDescent="0.25">
      <c r="A4619" s="2" t="str">
        <f t="shared" si="165"/>
        <v>32420</v>
      </c>
      <c r="B4619" s="2" t="str">
        <f>"00670"</f>
        <v>00670</v>
      </c>
      <c r="C4619" s="1">
        <v>6.1875424968578001E-2</v>
      </c>
      <c r="D4619" s="1">
        <v>2.3673469387755101E-2</v>
      </c>
      <c r="E4619" s="1">
        <v>2.3102310231023101E-2</v>
      </c>
      <c r="F4619" s="1">
        <v>5.73997233748271E-2</v>
      </c>
    </row>
    <row r="4620" spans="1:6" x14ac:dyDescent="0.25">
      <c r="A4620" s="2" t="str">
        <f t="shared" si="165"/>
        <v>32420</v>
      </c>
      <c r="B4620" s="2" t="str">
        <f>"00660"</f>
        <v>00660</v>
      </c>
      <c r="C4620" s="1">
        <v>0.139348484536294</v>
      </c>
      <c r="D4620" s="1">
        <v>6.3061224489795897E-2</v>
      </c>
      <c r="E4620" s="1">
        <v>4.09240924092409E-2</v>
      </c>
      <c r="F4620" s="1">
        <v>0.12983184101332099</v>
      </c>
    </row>
    <row r="4621" spans="1:6" x14ac:dyDescent="0.25">
      <c r="A4621" s="2" t="str">
        <f>"17640"</f>
        <v>17640</v>
      </c>
      <c r="B4621" s="2" t="str">
        <f>"00704"</f>
        <v>00704</v>
      </c>
      <c r="C4621" s="1">
        <v>0.34379042690814998</v>
      </c>
      <c r="D4621" s="1">
        <v>0.12580645161290299</v>
      </c>
      <c r="E4621" s="1">
        <v>1.0869565217391301E-2</v>
      </c>
      <c r="F4621" s="1">
        <v>0.33111620795107</v>
      </c>
    </row>
    <row r="4622" spans="1:6" x14ac:dyDescent="0.25">
      <c r="A4622" s="2" t="str">
        <f>"17640"</f>
        <v>17640</v>
      </c>
      <c r="B4622" s="2" t="str">
        <f>"00751"</f>
        <v>00751</v>
      </c>
      <c r="C4622" s="1">
        <v>0.65620957309184902</v>
      </c>
      <c r="D4622" s="1">
        <v>0.87419354838709595</v>
      </c>
      <c r="E4622" s="1">
        <v>0.98913043478260798</v>
      </c>
      <c r="F4622" s="1">
        <v>0.668883792048929</v>
      </c>
    </row>
    <row r="4623" spans="1:6" x14ac:dyDescent="0.25">
      <c r="A4623" s="2" t="str">
        <f t="shared" ref="A4623:A4658" si="166">"40860"</f>
        <v>40860</v>
      </c>
      <c r="B4623" s="2" t="str">
        <f>"05743"</f>
        <v>05743</v>
      </c>
      <c r="C4623" s="1">
        <v>6.3956310679611605E-2</v>
      </c>
      <c r="D4623" s="1">
        <v>4.7204066811909903E-2</v>
      </c>
      <c r="E4623" s="1">
        <v>4.9778761061946897E-2</v>
      </c>
      <c r="F4623" s="1">
        <v>6.2043601087362003E-2</v>
      </c>
    </row>
    <row r="4624" spans="1:6" x14ac:dyDescent="0.25">
      <c r="A4624" s="2" t="str">
        <f t="shared" si="166"/>
        <v>40860</v>
      </c>
      <c r="B4624" s="2" t="str">
        <f>"05251"</f>
        <v>05251</v>
      </c>
      <c r="C4624" s="1">
        <v>6.06796116504854E-5</v>
      </c>
      <c r="D4624" s="1">
        <v>0</v>
      </c>
      <c r="E4624" s="1">
        <v>0</v>
      </c>
      <c r="F4624" s="1">
        <v>5.33020627898299E-5</v>
      </c>
    </row>
    <row r="4625" spans="1:6" x14ac:dyDescent="0.25">
      <c r="A4625" s="2" t="str">
        <f t="shared" si="166"/>
        <v>40860</v>
      </c>
      <c r="B4625" s="2" t="str">
        <f>"05760"</f>
        <v>05760</v>
      </c>
      <c r="C4625" s="1">
        <v>9.1019417475728104E-4</v>
      </c>
      <c r="D4625" s="1">
        <v>3.6310820624546098E-4</v>
      </c>
      <c r="E4625" s="1">
        <v>1.1061946902654799E-2</v>
      </c>
      <c r="F4625" s="1">
        <v>1.3592026011406599E-3</v>
      </c>
    </row>
    <row r="4626" spans="1:6" x14ac:dyDescent="0.25">
      <c r="A4626" s="2" t="str">
        <f t="shared" si="166"/>
        <v>40860</v>
      </c>
      <c r="B4626" s="2" t="str">
        <f>"05763"</f>
        <v>05763</v>
      </c>
      <c r="C4626" s="1">
        <v>3.7044902912621303E-2</v>
      </c>
      <c r="D4626" s="1">
        <v>1.45243282498184E-2</v>
      </c>
      <c r="E4626" s="1">
        <v>2.48893805309734E-2</v>
      </c>
      <c r="F4626" s="1">
        <v>3.4806247001758897E-2</v>
      </c>
    </row>
    <row r="4627" spans="1:6" x14ac:dyDescent="0.25">
      <c r="A4627" s="2" t="str">
        <f t="shared" si="166"/>
        <v>40860</v>
      </c>
      <c r="B4627" s="2" t="str">
        <f>"05750"</f>
        <v>05750</v>
      </c>
      <c r="C4627" s="1">
        <v>0</v>
      </c>
      <c r="D4627" s="1">
        <v>0</v>
      </c>
      <c r="E4627" s="1">
        <v>5.5309734513274303E-4</v>
      </c>
      <c r="F4627" s="1">
        <v>2.6651031394914899E-5</v>
      </c>
    </row>
    <row r="4628" spans="1:6" x14ac:dyDescent="0.25">
      <c r="A4628" s="2" t="str">
        <f t="shared" si="166"/>
        <v>40860</v>
      </c>
      <c r="B4628" s="2" t="str">
        <f>"05758"</f>
        <v>05758</v>
      </c>
      <c r="C4628" s="1">
        <v>1.27730582524271E-2</v>
      </c>
      <c r="D4628" s="1">
        <v>3.26797385620915E-3</v>
      </c>
      <c r="E4628" s="1">
        <v>1.6592920353982301E-3</v>
      </c>
      <c r="F4628" s="1">
        <v>1.15398965939981E-2</v>
      </c>
    </row>
    <row r="4629" spans="1:6" x14ac:dyDescent="0.25">
      <c r="A4629" s="2" t="str">
        <f t="shared" si="166"/>
        <v>40860</v>
      </c>
      <c r="B4629" s="2" t="str">
        <f>"05757"</f>
        <v>05757</v>
      </c>
      <c r="C4629" s="1">
        <v>1.4866504854368899E-2</v>
      </c>
      <c r="D4629" s="1">
        <v>1.45243282498184E-3</v>
      </c>
      <c r="E4629" s="1">
        <v>2.7654867256637098E-3</v>
      </c>
      <c r="F4629" s="1">
        <v>1.3298864666062501E-2</v>
      </c>
    </row>
    <row r="4630" spans="1:6" x14ac:dyDescent="0.25">
      <c r="A4630" s="2" t="str">
        <f t="shared" si="166"/>
        <v>40860</v>
      </c>
      <c r="B4630" s="2" t="str">
        <f>"05745"</f>
        <v>05745</v>
      </c>
      <c r="C4630" s="1">
        <v>0</v>
      </c>
      <c r="D4630" s="1">
        <v>0</v>
      </c>
      <c r="E4630" s="1">
        <v>5.5309734513274303E-4</v>
      </c>
      <c r="F4630" s="1">
        <v>2.6651031394914899E-5</v>
      </c>
    </row>
    <row r="4631" spans="1:6" x14ac:dyDescent="0.25">
      <c r="A4631" s="2" t="str">
        <f t="shared" si="166"/>
        <v>40860</v>
      </c>
      <c r="B4631" s="2" t="str">
        <f>"05737"</f>
        <v>05737</v>
      </c>
      <c r="C4631" s="1">
        <v>9.6783980582524198E-3</v>
      </c>
      <c r="D4631" s="1">
        <v>2.1786492374727602E-3</v>
      </c>
      <c r="E4631" s="1">
        <v>0</v>
      </c>
      <c r="F4631" s="1">
        <v>8.6615852033473592E-3</v>
      </c>
    </row>
    <row r="4632" spans="1:6" x14ac:dyDescent="0.25">
      <c r="A4632" s="2" t="str">
        <f t="shared" si="166"/>
        <v>40860</v>
      </c>
      <c r="B4632" s="2" t="str">
        <f>"05777"</f>
        <v>05777</v>
      </c>
      <c r="C4632" s="1">
        <v>4.0169902912621298E-2</v>
      </c>
      <c r="D4632" s="1">
        <v>9.0777051561365205E-3</v>
      </c>
      <c r="E4632" s="1">
        <v>2.3230088495575198E-2</v>
      </c>
      <c r="F4632" s="1">
        <v>3.7071584670326702E-2</v>
      </c>
    </row>
    <row r="4633" spans="1:6" x14ac:dyDescent="0.25">
      <c r="A4633" s="2" t="str">
        <f t="shared" si="166"/>
        <v>40860</v>
      </c>
      <c r="B4633" s="2" t="str">
        <f>"05742"</f>
        <v>05742</v>
      </c>
      <c r="C4633" s="1">
        <v>9.5266990291262097E-3</v>
      </c>
      <c r="D4633" s="1">
        <v>7.2621641249092197E-4</v>
      </c>
      <c r="E4633" s="1">
        <v>5.5309734513274303E-4</v>
      </c>
      <c r="F4633" s="1">
        <v>8.4483769521880407E-3</v>
      </c>
    </row>
    <row r="4634" spans="1:6" x14ac:dyDescent="0.25">
      <c r="A4634" s="2" t="str">
        <f t="shared" si="166"/>
        <v>40860</v>
      </c>
      <c r="B4634" s="2" t="str">
        <f>"05735"</f>
        <v>05735</v>
      </c>
      <c r="C4634" s="1">
        <v>9.4660194174757198E-2</v>
      </c>
      <c r="D4634" s="1">
        <v>7.9883805374001398E-3</v>
      </c>
      <c r="E4634" s="1">
        <v>1.7699115044247701E-2</v>
      </c>
      <c r="F4634" s="1">
        <v>8.4590373647460096E-2</v>
      </c>
    </row>
    <row r="4635" spans="1:6" x14ac:dyDescent="0.25">
      <c r="A4635" s="2" t="str">
        <f t="shared" si="166"/>
        <v>40860</v>
      </c>
      <c r="B4635" s="2" t="str">
        <f>"05733"</f>
        <v>05733</v>
      </c>
      <c r="C4635" s="1">
        <v>7.2633495145631E-2</v>
      </c>
      <c r="D4635" s="1">
        <v>5.4466230936819099E-2</v>
      </c>
      <c r="E4635" s="1">
        <v>5.30973451327433E-2</v>
      </c>
      <c r="F4635" s="1">
        <v>7.0358722882575497E-2</v>
      </c>
    </row>
    <row r="4636" spans="1:6" x14ac:dyDescent="0.25">
      <c r="A4636" s="2" t="str">
        <f t="shared" si="166"/>
        <v>40860</v>
      </c>
      <c r="B4636" s="2" t="str">
        <f>"05701"</f>
        <v>05701</v>
      </c>
      <c r="C4636" s="1">
        <v>0.33109830097087301</v>
      </c>
      <c r="D4636" s="1">
        <v>0.57661583151779205</v>
      </c>
      <c r="E4636" s="1">
        <v>0.66924778761061898</v>
      </c>
      <c r="F4636" s="1">
        <v>0.36541229145567899</v>
      </c>
    </row>
    <row r="4637" spans="1:6" x14ac:dyDescent="0.25">
      <c r="A4637" s="2" t="str">
        <f t="shared" si="166"/>
        <v>40860</v>
      </c>
      <c r="B4637" s="2" t="str">
        <f>"05778"</f>
        <v>05778</v>
      </c>
      <c r="C4637" s="1">
        <v>3.9441747572815499E-4</v>
      </c>
      <c r="D4637" s="1">
        <v>0</v>
      </c>
      <c r="E4637" s="1">
        <v>5.5309734513274303E-4</v>
      </c>
      <c r="F4637" s="1">
        <v>3.7311443952880898E-4</v>
      </c>
    </row>
    <row r="4638" spans="1:6" x14ac:dyDescent="0.25">
      <c r="A4638" s="2" t="str">
        <f t="shared" si="166"/>
        <v>40860</v>
      </c>
      <c r="B4638" s="2" t="str">
        <f>"05775"</f>
        <v>05775</v>
      </c>
      <c r="C4638" s="1">
        <v>7.4029126213592204E-3</v>
      </c>
      <c r="D4638" s="1">
        <v>1.8155410312273E-3</v>
      </c>
      <c r="E4638" s="1">
        <v>3.8716814159292E-3</v>
      </c>
      <c r="F4638" s="1">
        <v>6.8226640370982299E-3</v>
      </c>
    </row>
    <row r="4639" spans="1:6" x14ac:dyDescent="0.25">
      <c r="A4639" s="2" t="str">
        <f t="shared" si="166"/>
        <v>40860</v>
      </c>
      <c r="B4639" s="2" t="str">
        <f>"05774"</f>
        <v>05774</v>
      </c>
      <c r="C4639" s="1">
        <v>2.6122572815533901E-2</v>
      </c>
      <c r="D4639" s="1">
        <v>2.9048656499636801E-3</v>
      </c>
      <c r="E4639" s="1">
        <v>4.4247787610619399E-3</v>
      </c>
      <c r="F4639" s="1">
        <v>2.3372954533340401E-2</v>
      </c>
    </row>
    <row r="4640" spans="1:6" x14ac:dyDescent="0.25">
      <c r="A4640" s="2" t="str">
        <f t="shared" si="166"/>
        <v>40860</v>
      </c>
      <c r="B4640" s="2" t="str">
        <f>"05773"</f>
        <v>05773</v>
      </c>
      <c r="C4640" s="1">
        <v>2.8003640776699E-2</v>
      </c>
      <c r="D4640" s="1">
        <v>7.9883805374001398E-3</v>
      </c>
      <c r="E4640" s="1">
        <v>2.21238938053097E-3</v>
      </c>
      <c r="F4640" s="1">
        <v>2.5291828793774299E-2</v>
      </c>
    </row>
    <row r="4641" spans="1:6" x14ac:dyDescent="0.25">
      <c r="A4641" s="2" t="str">
        <f t="shared" si="166"/>
        <v>40860</v>
      </c>
      <c r="B4641" s="2" t="str">
        <f>"05762"</f>
        <v>05762</v>
      </c>
      <c r="C4641" s="1">
        <v>5.6128640776699004E-3</v>
      </c>
      <c r="D4641" s="1">
        <v>1.45243282498184E-3</v>
      </c>
      <c r="E4641" s="1">
        <v>5.5309734513274303E-4</v>
      </c>
      <c r="F4641" s="1">
        <v>5.0636959650338402E-3</v>
      </c>
    </row>
    <row r="4642" spans="1:6" x14ac:dyDescent="0.25">
      <c r="A4642" s="2" t="str">
        <f t="shared" si="166"/>
        <v>40860</v>
      </c>
      <c r="B4642" s="2" t="str">
        <f>"05732"</f>
        <v>05732</v>
      </c>
      <c r="C4642" s="1">
        <v>1.2469660194174699E-2</v>
      </c>
      <c r="D4642" s="1">
        <v>1.8155410312273E-3</v>
      </c>
      <c r="E4642" s="1">
        <v>2.7654867256637098E-3</v>
      </c>
      <c r="F4642" s="1">
        <v>1.12200842172592E-2</v>
      </c>
    </row>
    <row r="4643" spans="1:6" x14ac:dyDescent="0.25">
      <c r="A4643" s="2" t="str">
        <f t="shared" si="166"/>
        <v>40860</v>
      </c>
      <c r="B4643" s="2" t="str">
        <f>"05739"</f>
        <v>05739</v>
      </c>
      <c r="C4643" s="1">
        <v>2.0327669902912598E-2</v>
      </c>
      <c r="D4643" s="1">
        <v>1.3798111837327501E-2</v>
      </c>
      <c r="E4643" s="1">
        <v>1.10619469026548E-3</v>
      </c>
      <c r="F4643" s="1">
        <v>1.8922232290389598E-2</v>
      </c>
    </row>
    <row r="4644" spans="1:6" x14ac:dyDescent="0.25">
      <c r="A4644" s="2" t="str">
        <f t="shared" si="166"/>
        <v>40860</v>
      </c>
      <c r="B4644" s="2" t="str">
        <f>"05738"</f>
        <v>05738</v>
      </c>
      <c r="C4644" s="1">
        <v>1.70206310679611E-2</v>
      </c>
      <c r="D4644" s="1">
        <v>3.6310820624546099E-3</v>
      </c>
      <c r="E4644" s="1">
        <v>5.5309734513274303E-4</v>
      </c>
      <c r="F4644" s="1">
        <v>1.52443899578913E-2</v>
      </c>
    </row>
    <row r="4645" spans="1:6" x14ac:dyDescent="0.25">
      <c r="A4645" s="2" t="str">
        <f t="shared" si="166"/>
        <v>40860</v>
      </c>
      <c r="B4645" s="2" t="str">
        <f>"05765"</f>
        <v>05765</v>
      </c>
      <c r="C4645" s="1">
        <v>2.53337378640776E-2</v>
      </c>
      <c r="D4645" s="1">
        <v>6.5359477124183E-3</v>
      </c>
      <c r="E4645" s="1">
        <v>8.8495575221238902E-3</v>
      </c>
      <c r="F4645" s="1">
        <v>2.31597462821811E-2</v>
      </c>
    </row>
    <row r="4646" spans="1:6" x14ac:dyDescent="0.25">
      <c r="A4646" s="2" t="str">
        <f t="shared" si="166"/>
        <v>40860</v>
      </c>
      <c r="B4646" s="2" t="str">
        <f>"05731"</f>
        <v>05731</v>
      </c>
      <c r="C4646" s="1">
        <v>0</v>
      </c>
      <c r="D4646" s="1">
        <v>0</v>
      </c>
      <c r="E4646" s="1">
        <v>5.5309734513274303E-4</v>
      </c>
      <c r="F4646" s="1">
        <v>2.6651031394914899E-5</v>
      </c>
    </row>
    <row r="4647" spans="1:6" x14ac:dyDescent="0.25">
      <c r="A4647" s="2" t="str">
        <f t="shared" si="166"/>
        <v>40860</v>
      </c>
      <c r="B4647" s="2" t="str">
        <f>"05764"</f>
        <v>05764</v>
      </c>
      <c r="C4647" s="1">
        <v>5.0030339805825198E-2</v>
      </c>
      <c r="D4647" s="1">
        <v>4.1031227305737099E-2</v>
      </c>
      <c r="E4647" s="1">
        <v>7.1902654867256596E-2</v>
      </c>
      <c r="F4647" s="1">
        <v>5.0423751399179102E-2</v>
      </c>
    </row>
    <row r="4648" spans="1:6" x14ac:dyDescent="0.25">
      <c r="A4648" s="2" t="str">
        <f t="shared" si="166"/>
        <v>40860</v>
      </c>
      <c r="B4648" s="2" t="str">
        <f>"05741"</f>
        <v>05741</v>
      </c>
      <c r="C4648" s="1">
        <v>9.1019417475728104E-5</v>
      </c>
      <c r="D4648" s="1">
        <v>0</v>
      </c>
      <c r="E4648" s="1">
        <v>5.5309734513274303E-4</v>
      </c>
      <c r="F4648" s="1">
        <v>1.06604125579659E-4</v>
      </c>
    </row>
    <row r="4649" spans="1:6" x14ac:dyDescent="0.25">
      <c r="A4649" s="2" t="str">
        <f t="shared" si="166"/>
        <v>40860</v>
      </c>
      <c r="B4649" s="2" t="str">
        <f>"05744"</f>
        <v>05744</v>
      </c>
      <c r="C4649" s="1">
        <v>8.1614077669902897E-3</v>
      </c>
      <c r="D4649" s="1">
        <v>1.0893246187363801E-3</v>
      </c>
      <c r="E4649" s="1">
        <v>3.8716814159292E-3</v>
      </c>
      <c r="F4649" s="1">
        <v>7.4356377591812796E-3</v>
      </c>
    </row>
    <row r="4650" spans="1:6" x14ac:dyDescent="0.25">
      <c r="A4650" s="2" t="str">
        <f t="shared" si="166"/>
        <v>40860</v>
      </c>
      <c r="B4650" s="2" t="str">
        <f>"05253"</f>
        <v>05253</v>
      </c>
      <c r="C4650" s="1">
        <v>5.1577669902912605E-4</v>
      </c>
      <c r="D4650" s="1">
        <v>3.6310820624546098E-4</v>
      </c>
      <c r="E4650" s="1">
        <v>0</v>
      </c>
      <c r="F4650" s="1">
        <v>4.7971856510846899E-4</v>
      </c>
    </row>
    <row r="4651" spans="1:6" x14ac:dyDescent="0.25">
      <c r="A4651" s="2" t="str">
        <f t="shared" si="166"/>
        <v>40860</v>
      </c>
      <c r="B4651" s="2" t="str">
        <f>"05772"</f>
        <v>05772</v>
      </c>
      <c r="C4651" s="1">
        <v>6.06796116504854E-5</v>
      </c>
      <c r="D4651" s="1">
        <v>0</v>
      </c>
      <c r="E4651" s="1">
        <v>0</v>
      </c>
      <c r="F4651" s="1">
        <v>5.33020627898299E-5</v>
      </c>
    </row>
    <row r="4652" spans="1:6" x14ac:dyDescent="0.25">
      <c r="A4652" s="2" t="str">
        <f t="shared" si="166"/>
        <v>40860</v>
      </c>
      <c r="B4652" s="2" t="str">
        <f>"05767"</f>
        <v>05767</v>
      </c>
      <c r="C4652" s="1">
        <v>3.3373786407766897E-4</v>
      </c>
      <c r="D4652" s="1">
        <v>0</v>
      </c>
      <c r="E4652" s="1">
        <v>0</v>
      </c>
      <c r="F4652" s="1">
        <v>2.9316134534406401E-4</v>
      </c>
    </row>
    <row r="4653" spans="1:6" x14ac:dyDescent="0.25">
      <c r="A4653" s="2" t="str">
        <f t="shared" si="166"/>
        <v>40860</v>
      </c>
      <c r="B4653" s="2" t="str">
        <f>"05761"</f>
        <v>05761</v>
      </c>
      <c r="C4653" s="1">
        <v>1.3319174757281499E-2</v>
      </c>
      <c r="D4653" s="1">
        <v>1.0893246187363801E-3</v>
      </c>
      <c r="E4653" s="1">
        <v>5.5309734513274303E-4</v>
      </c>
      <c r="F4653" s="1">
        <v>1.1806406907947299E-2</v>
      </c>
    </row>
    <row r="4654" spans="1:6" x14ac:dyDescent="0.25">
      <c r="A4654" s="2" t="str">
        <f t="shared" si="166"/>
        <v>40860</v>
      </c>
      <c r="B4654" s="2" t="str">
        <f>"05751"</f>
        <v>05751</v>
      </c>
      <c r="C4654" s="1">
        <v>2.3998786407766901E-2</v>
      </c>
      <c r="D4654" s="1">
        <v>3.7400145243282397E-2</v>
      </c>
      <c r="E4654" s="1">
        <v>1.7699115044247701E-2</v>
      </c>
      <c r="F4654" s="1">
        <v>2.4678855071691201E-2</v>
      </c>
    </row>
    <row r="4655" spans="1:6" x14ac:dyDescent="0.25">
      <c r="A4655" s="2" t="str">
        <f t="shared" si="166"/>
        <v>40860</v>
      </c>
      <c r="B4655" s="2" t="str">
        <f>"05759"</f>
        <v>05759</v>
      </c>
      <c r="C4655" s="1">
        <v>2.75788834951456E-2</v>
      </c>
      <c r="D4655" s="1">
        <v>2.0334059549745799E-2</v>
      </c>
      <c r="E4655" s="1">
        <v>9.4026548672566292E-3</v>
      </c>
      <c r="F4655" s="1">
        <v>2.61713128298065E-2</v>
      </c>
    </row>
    <row r="4656" spans="1:6" x14ac:dyDescent="0.25">
      <c r="A4656" s="2" t="str">
        <f t="shared" si="166"/>
        <v>40860</v>
      </c>
      <c r="B4656" s="2" t="str">
        <f>"05702"</f>
        <v>05702</v>
      </c>
      <c r="C4656" s="1">
        <v>3.3464805825242701E-2</v>
      </c>
      <c r="D4656" s="1">
        <v>0.127087872185911</v>
      </c>
      <c r="E4656" s="1">
        <v>5.5309734513274303E-4</v>
      </c>
      <c r="F4656" s="1">
        <v>3.8750599648206298E-2</v>
      </c>
    </row>
    <row r="4657" spans="1:6" x14ac:dyDescent="0.25">
      <c r="A4657" s="2" t="str">
        <f t="shared" si="166"/>
        <v>40860</v>
      </c>
      <c r="B4657" s="2" t="str">
        <f>"05730"</f>
        <v>05730</v>
      </c>
      <c r="C4657" s="1">
        <v>4.7633495145630997E-3</v>
      </c>
      <c r="D4657" s="1">
        <v>3.6310820624546098E-4</v>
      </c>
      <c r="E4657" s="1">
        <v>5.5309734513274303E-4</v>
      </c>
      <c r="F4657" s="1">
        <v>4.2375139917914797E-3</v>
      </c>
    </row>
    <row r="4658" spans="1:6" x14ac:dyDescent="0.25">
      <c r="A4658" s="2" t="str">
        <f t="shared" si="166"/>
        <v>40860</v>
      </c>
      <c r="B4658" s="2" t="str">
        <f>"05736"</f>
        <v>05736</v>
      </c>
      <c r="C4658" s="1">
        <v>7.6152912621359203E-3</v>
      </c>
      <c r="D4658" s="1">
        <v>1.3435003631082E-2</v>
      </c>
      <c r="E4658" s="1">
        <v>1.4380530973451299E-2</v>
      </c>
      <c r="F4658" s="1">
        <v>8.3684238580033002E-3</v>
      </c>
    </row>
    <row r="4659" spans="1:6" x14ac:dyDescent="0.25">
      <c r="A4659" s="2" t="str">
        <f t="shared" ref="A4659:A4706" si="167">"45860"</f>
        <v>45860</v>
      </c>
      <c r="B4659" s="2" t="str">
        <f>"06795"</f>
        <v>06795</v>
      </c>
      <c r="C4659" s="1">
        <v>6.2457280519917002E-2</v>
      </c>
      <c r="D4659" s="1">
        <v>8.0053547523426999E-2</v>
      </c>
      <c r="E4659" s="1">
        <v>5.0737315671082202E-2</v>
      </c>
      <c r="F4659" s="1">
        <v>6.3296794948171003E-2</v>
      </c>
    </row>
    <row r="4660" spans="1:6" x14ac:dyDescent="0.25">
      <c r="A4660" s="2" t="str">
        <f t="shared" si="167"/>
        <v>45860</v>
      </c>
      <c r="B4660" s="2" t="str">
        <f>"06777"</f>
        <v>06777</v>
      </c>
      <c r="C4660" s="1">
        <v>9.7372401815227702E-3</v>
      </c>
      <c r="D4660" s="1">
        <v>4.8192771084337302E-3</v>
      </c>
      <c r="E4660" s="1">
        <v>2.4993751562109399E-3</v>
      </c>
      <c r="F4660" s="1">
        <v>9.0849517455022007E-3</v>
      </c>
    </row>
    <row r="4661" spans="1:6" x14ac:dyDescent="0.25">
      <c r="A4661" s="2" t="str">
        <f t="shared" si="167"/>
        <v>45860</v>
      </c>
      <c r="B4661" s="2" t="str">
        <f>"06776"</f>
        <v>06776</v>
      </c>
      <c r="C4661" s="1">
        <v>0.14210319905877</v>
      </c>
      <c r="D4661" s="1">
        <v>0.19772423025434999</v>
      </c>
      <c r="E4661" s="1">
        <v>0.19720069982504301</v>
      </c>
      <c r="F4661" s="1">
        <v>0.14841733190357001</v>
      </c>
    </row>
    <row r="4662" spans="1:6" x14ac:dyDescent="0.25">
      <c r="A4662" s="2" t="str">
        <f t="shared" si="167"/>
        <v>45860</v>
      </c>
      <c r="B4662" s="2" t="str">
        <f>"06755"</f>
        <v>06755</v>
      </c>
      <c r="C4662" s="1">
        <v>4.9078379741161896E-3</v>
      </c>
      <c r="D4662" s="1">
        <v>6.4257028112449698E-3</v>
      </c>
      <c r="E4662" s="1">
        <v>1.2496875781054699E-3</v>
      </c>
      <c r="F4662" s="1">
        <v>4.8750943246355996E-3</v>
      </c>
    </row>
    <row r="4663" spans="1:6" x14ac:dyDescent="0.25">
      <c r="A4663" s="2" t="str">
        <f t="shared" si="167"/>
        <v>45860</v>
      </c>
      <c r="B4663" s="2" t="str">
        <f>"06079"</f>
        <v>06079</v>
      </c>
      <c r="C4663" s="1">
        <v>1.01966496722505E-3</v>
      </c>
      <c r="D4663" s="1">
        <v>1.33868808567603E-4</v>
      </c>
      <c r="E4663" s="1">
        <v>0</v>
      </c>
      <c r="F4663" s="1">
        <v>9.1345962905595905E-4</v>
      </c>
    </row>
    <row r="4664" spans="1:6" x14ac:dyDescent="0.25">
      <c r="A4664" s="2" t="str">
        <f t="shared" si="167"/>
        <v>45860</v>
      </c>
      <c r="B4664" s="2" t="str">
        <f>"06804"</f>
        <v>06804</v>
      </c>
      <c r="C4664" s="1">
        <v>2.5771751918875002E-4</v>
      </c>
      <c r="D4664" s="1">
        <v>0</v>
      </c>
      <c r="E4664" s="1">
        <v>0</v>
      </c>
      <c r="F4664" s="1">
        <v>2.28364907263989E-4</v>
      </c>
    </row>
    <row r="4665" spans="1:6" x14ac:dyDescent="0.25">
      <c r="A4665" s="2" t="str">
        <f t="shared" si="167"/>
        <v>45860</v>
      </c>
      <c r="B4665" s="2" t="str">
        <f>"06781"</f>
        <v>06781</v>
      </c>
      <c r="C4665" s="1">
        <v>0</v>
      </c>
      <c r="D4665" s="1">
        <v>1.33868808567603E-4</v>
      </c>
      <c r="E4665" s="1">
        <v>0</v>
      </c>
      <c r="F4665" s="1">
        <v>9.9289090114778101E-6</v>
      </c>
    </row>
    <row r="4666" spans="1:6" x14ac:dyDescent="0.25">
      <c r="A4666" s="2" t="str">
        <f t="shared" si="167"/>
        <v>45860</v>
      </c>
      <c r="B4666" s="2" t="str">
        <f>"06783"</f>
        <v>06783</v>
      </c>
      <c r="C4666" s="1">
        <v>1.26841839878984E-2</v>
      </c>
      <c r="D4666" s="1">
        <v>1.74029451137884E-3</v>
      </c>
      <c r="E4666" s="1">
        <v>9.997500624843779E-4</v>
      </c>
      <c r="F4666" s="1">
        <v>1.1408316454188E-2</v>
      </c>
    </row>
    <row r="4667" spans="1:6" x14ac:dyDescent="0.25">
      <c r="A4667" s="2" t="str">
        <f t="shared" si="167"/>
        <v>45860</v>
      </c>
      <c r="B4667" s="2" t="str">
        <f>"06779"</f>
        <v>06779</v>
      </c>
      <c r="C4667" s="1">
        <v>3.8478346125833299E-2</v>
      </c>
      <c r="D4667" s="1">
        <v>2.66398929049531E-2</v>
      </c>
      <c r="E4667" s="1">
        <v>2.9742564358910199E-2</v>
      </c>
      <c r="F4667" s="1">
        <v>3.7253266611064699E-2</v>
      </c>
    </row>
    <row r="4668" spans="1:6" x14ac:dyDescent="0.25">
      <c r="A4668" s="2" t="str">
        <f t="shared" si="167"/>
        <v>45860</v>
      </c>
      <c r="B4668" s="2" t="str">
        <f>"06790"</f>
        <v>06790</v>
      </c>
      <c r="C4668" s="1">
        <v>0.20044820438119701</v>
      </c>
      <c r="D4668" s="1">
        <v>0.22757697456492601</v>
      </c>
      <c r="E4668" s="1">
        <v>0.22394401399649999</v>
      </c>
      <c r="F4668" s="1">
        <v>0.203393701100123</v>
      </c>
    </row>
    <row r="4669" spans="1:6" x14ac:dyDescent="0.25">
      <c r="A4669" s="2" t="str">
        <f t="shared" si="167"/>
        <v>45860</v>
      </c>
      <c r="B4669" s="2" t="str">
        <f>"06065"</f>
        <v>06065</v>
      </c>
      <c r="C4669" s="1">
        <v>1.0308700767550001E-3</v>
      </c>
      <c r="D4669" s="1">
        <v>1.33868808567603E-4</v>
      </c>
      <c r="E4669" s="1">
        <v>9.997500624843779E-4</v>
      </c>
      <c r="F4669" s="1">
        <v>9.6310417411334798E-4</v>
      </c>
    </row>
    <row r="4670" spans="1:6" x14ac:dyDescent="0.25">
      <c r="A4670" s="2" t="str">
        <f t="shared" si="167"/>
        <v>45860</v>
      </c>
      <c r="B4670" s="2" t="str">
        <f>"06057"</f>
        <v>06057</v>
      </c>
      <c r="C4670" s="1">
        <v>3.5396941005098298E-2</v>
      </c>
      <c r="D4670" s="1">
        <v>2.5836680053547501E-2</v>
      </c>
      <c r="E4670" s="1">
        <v>4.2489377655586101E-2</v>
      </c>
      <c r="F4670" s="1">
        <v>3.4969617538424799E-2</v>
      </c>
    </row>
    <row r="4671" spans="1:6" x14ac:dyDescent="0.25">
      <c r="A4671" s="2" t="str">
        <f t="shared" si="167"/>
        <v>45860</v>
      </c>
      <c r="B4671" s="2" t="str">
        <f>"06786"</f>
        <v>06786</v>
      </c>
      <c r="C4671" s="1">
        <v>4.7117485573421401E-2</v>
      </c>
      <c r="D4671" s="1">
        <v>2.9317269076305202E-2</v>
      </c>
      <c r="E4671" s="1">
        <v>3.7240689827543097E-2</v>
      </c>
      <c r="F4671" s="1">
        <v>4.5404900909487997E-2</v>
      </c>
    </row>
    <row r="4672" spans="1:6" x14ac:dyDescent="0.25">
      <c r="A4672" s="2" t="str">
        <f t="shared" si="167"/>
        <v>45860</v>
      </c>
      <c r="B4672" s="2" t="str">
        <f>"06782"</f>
        <v>06782</v>
      </c>
      <c r="C4672" s="1">
        <v>1.0275085438960101E-2</v>
      </c>
      <c r="D4672" s="1">
        <v>3.2128514056224801E-3</v>
      </c>
      <c r="E4672" s="1">
        <v>2.0244938765308602E-2</v>
      </c>
      <c r="F4672" s="1">
        <v>1.01473450097303E-2</v>
      </c>
    </row>
    <row r="4673" spans="1:6" x14ac:dyDescent="0.25">
      <c r="A4673" s="2" t="str">
        <f t="shared" si="167"/>
        <v>45860</v>
      </c>
      <c r="B4673" s="2" t="str">
        <f>"06753"</f>
        <v>06753</v>
      </c>
      <c r="C4673" s="1">
        <v>0</v>
      </c>
      <c r="D4673" s="1">
        <v>0</v>
      </c>
      <c r="E4673" s="1">
        <v>5.9985003749062696E-3</v>
      </c>
      <c r="F4673" s="1">
        <v>2.38293816275467E-4</v>
      </c>
    </row>
    <row r="4674" spans="1:6" x14ac:dyDescent="0.25">
      <c r="A4674" s="2" t="str">
        <f t="shared" si="167"/>
        <v>45860</v>
      </c>
      <c r="B4674" s="2" t="str">
        <f>"06758"</f>
        <v>06758</v>
      </c>
      <c r="C4674" s="1">
        <v>8.6279343380581499E-4</v>
      </c>
      <c r="D4674" s="1">
        <v>0</v>
      </c>
      <c r="E4674" s="1">
        <v>2.4993751562109399E-4</v>
      </c>
      <c r="F4674" s="1">
        <v>7.7445490289526902E-4</v>
      </c>
    </row>
    <row r="4675" spans="1:6" x14ac:dyDescent="0.25">
      <c r="A4675" s="2" t="str">
        <f t="shared" si="167"/>
        <v>45860</v>
      </c>
      <c r="B4675" s="2" t="str">
        <f>"06754"</f>
        <v>06754</v>
      </c>
      <c r="C4675" s="1">
        <v>8.8632416381870093E-3</v>
      </c>
      <c r="D4675" s="1">
        <v>3.2128514056224801E-3</v>
      </c>
      <c r="E4675" s="1">
        <v>1.7495626093476601E-3</v>
      </c>
      <c r="F4675" s="1">
        <v>8.1615632074347605E-3</v>
      </c>
    </row>
    <row r="4676" spans="1:6" x14ac:dyDescent="0.25">
      <c r="A4676" s="2" t="str">
        <f t="shared" si="167"/>
        <v>45860</v>
      </c>
      <c r="B4676" s="2" t="str">
        <f>"06796"</f>
        <v>06796</v>
      </c>
      <c r="C4676" s="1">
        <v>5.3784525743739101E-3</v>
      </c>
      <c r="D4676" s="1">
        <v>3.7483266398929001E-3</v>
      </c>
      <c r="E4676" s="1">
        <v>1.7495626093476601E-3</v>
      </c>
      <c r="F4676" s="1">
        <v>5.1133881409110701E-3</v>
      </c>
    </row>
    <row r="4677" spans="1:6" x14ac:dyDescent="0.25">
      <c r="A4677" s="2" t="str">
        <f t="shared" si="167"/>
        <v>45860</v>
      </c>
      <c r="B4677" s="2" t="str">
        <f>"06785"</f>
        <v>06785</v>
      </c>
      <c r="C4677" s="1">
        <v>5.0198890694156499E-3</v>
      </c>
      <c r="D4677" s="1">
        <v>5.3547523427041404E-4</v>
      </c>
      <c r="E4677" s="1">
        <v>1.7495626093476601E-3</v>
      </c>
      <c r="F4677" s="1">
        <v>4.55736923626831E-3</v>
      </c>
    </row>
    <row r="4678" spans="1:6" x14ac:dyDescent="0.25">
      <c r="A4678" s="2" t="str">
        <f t="shared" si="167"/>
        <v>45860</v>
      </c>
      <c r="B4678" s="2" t="str">
        <f>"06784"</f>
        <v>06784</v>
      </c>
      <c r="C4678" s="1">
        <v>8.1797299568603203E-4</v>
      </c>
      <c r="D4678" s="1">
        <v>0</v>
      </c>
      <c r="E4678" s="1">
        <v>0</v>
      </c>
      <c r="F4678" s="1">
        <v>7.2481035783787998E-4</v>
      </c>
    </row>
    <row r="4679" spans="1:6" x14ac:dyDescent="0.25">
      <c r="A4679" s="2" t="str">
        <f t="shared" si="167"/>
        <v>45860</v>
      </c>
      <c r="B4679" s="2" t="str">
        <f>"06756"</f>
        <v>06756</v>
      </c>
      <c r="C4679" s="1">
        <v>2.2242142416942098E-2</v>
      </c>
      <c r="D4679" s="1">
        <v>1.2717536813922301E-2</v>
      </c>
      <c r="E4679" s="1">
        <v>4.9987503124218902E-3</v>
      </c>
      <c r="F4679" s="1">
        <v>2.08507089241034E-2</v>
      </c>
    </row>
    <row r="4680" spans="1:6" x14ac:dyDescent="0.25">
      <c r="A4680" s="2" t="str">
        <f t="shared" si="167"/>
        <v>45860</v>
      </c>
      <c r="B4680" s="2" t="str">
        <f>"06061"</f>
        <v>06061</v>
      </c>
      <c r="C4680" s="1">
        <v>8.9640876239565205E-4</v>
      </c>
      <c r="D4680" s="1">
        <v>1.33868808567603E-4</v>
      </c>
      <c r="E4680" s="1">
        <v>0</v>
      </c>
      <c r="F4680" s="1">
        <v>8.0424162992970304E-4</v>
      </c>
    </row>
    <row r="4681" spans="1:6" x14ac:dyDescent="0.25">
      <c r="A4681" s="2" t="str">
        <f t="shared" si="167"/>
        <v>45860</v>
      </c>
      <c r="B4681" s="2" t="str">
        <f>"06021"</f>
        <v>06021</v>
      </c>
      <c r="C4681" s="1">
        <v>7.08162922292565E-3</v>
      </c>
      <c r="D4681" s="1">
        <v>6.6934404283801796E-4</v>
      </c>
      <c r="E4681" s="1">
        <v>2.4993751562109399E-4</v>
      </c>
      <c r="F4681" s="1">
        <v>6.33464394932284E-3</v>
      </c>
    </row>
    <row r="4682" spans="1:6" x14ac:dyDescent="0.25">
      <c r="A4682" s="2" t="str">
        <f t="shared" si="167"/>
        <v>45860</v>
      </c>
      <c r="B4682" s="2" t="str">
        <f>"06010"</f>
        <v>06010</v>
      </c>
      <c r="C4682" s="1">
        <v>3.3615328589836902E-5</v>
      </c>
      <c r="D4682" s="1">
        <v>0</v>
      </c>
      <c r="E4682" s="1">
        <v>0</v>
      </c>
      <c r="F4682" s="1">
        <v>2.9786727034433402E-5</v>
      </c>
    </row>
    <row r="4683" spans="1:6" x14ac:dyDescent="0.25">
      <c r="A4683" s="2" t="str">
        <f t="shared" si="167"/>
        <v>45860</v>
      </c>
      <c r="B4683" s="2" t="str">
        <f>"06793"</f>
        <v>06793</v>
      </c>
      <c r="C4683" s="1">
        <v>5.7930416269819001E-3</v>
      </c>
      <c r="D4683" s="1">
        <v>1.6064257028112401E-3</v>
      </c>
      <c r="E4683" s="1">
        <v>2.4993751562109399E-3</v>
      </c>
      <c r="F4683" s="1">
        <v>5.3516819571865397E-3</v>
      </c>
    </row>
    <row r="4684" spans="1:6" x14ac:dyDescent="0.25">
      <c r="A4684" s="2" t="str">
        <f t="shared" si="167"/>
        <v>45860</v>
      </c>
      <c r="B4684" s="2" t="str">
        <f>"06791"</f>
        <v>06791</v>
      </c>
      <c r="C4684" s="1">
        <v>2.5951033671354099E-2</v>
      </c>
      <c r="D4684" s="1">
        <v>1.36546184738955E-2</v>
      </c>
      <c r="E4684" s="1">
        <v>4.9987503124218902E-3</v>
      </c>
      <c r="F4684" s="1">
        <v>2.4206680169982901E-2</v>
      </c>
    </row>
    <row r="4685" spans="1:6" x14ac:dyDescent="0.25">
      <c r="A4685" s="2" t="str">
        <f t="shared" si="167"/>
        <v>45860</v>
      </c>
      <c r="B4685" s="2" t="str">
        <f>"06787"</f>
        <v>06787</v>
      </c>
      <c r="C4685" s="1">
        <v>3.77388088968569E-2</v>
      </c>
      <c r="D4685" s="1">
        <v>4.6987951807228902E-2</v>
      </c>
      <c r="E4685" s="1">
        <v>5.1237190702324402E-2</v>
      </c>
      <c r="F4685" s="1">
        <v>3.8961038961038898E-2</v>
      </c>
    </row>
    <row r="4686" spans="1:6" x14ac:dyDescent="0.25">
      <c r="A4686" s="2" t="str">
        <f t="shared" si="167"/>
        <v>45860</v>
      </c>
      <c r="B4686" s="2" t="str">
        <f>"06757"</f>
        <v>06757</v>
      </c>
      <c r="C4686" s="1">
        <v>1.22920051543503E-2</v>
      </c>
      <c r="D4686" s="1">
        <v>1.7135207496653201E-2</v>
      </c>
      <c r="E4686" s="1">
        <v>1.2746813296675799E-2</v>
      </c>
      <c r="F4686" s="1">
        <v>1.26692878986456E-2</v>
      </c>
    </row>
    <row r="4687" spans="1:6" x14ac:dyDescent="0.25">
      <c r="A4687" s="2" t="str">
        <f t="shared" si="167"/>
        <v>45860</v>
      </c>
      <c r="B4687" s="2" t="str">
        <f>"06708"</f>
        <v>06708</v>
      </c>
      <c r="C4687" s="1">
        <v>0</v>
      </c>
      <c r="D4687" s="1">
        <v>1.33868808567603E-4</v>
      </c>
      <c r="E4687" s="1">
        <v>0</v>
      </c>
      <c r="F4687" s="1">
        <v>9.9289090114778101E-6</v>
      </c>
    </row>
    <row r="4688" spans="1:6" x14ac:dyDescent="0.25">
      <c r="A4688" s="2" t="str">
        <f t="shared" si="167"/>
        <v>45860</v>
      </c>
      <c r="B4688" s="2" t="str">
        <f>"06750"</f>
        <v>06750</v>
      </c>
      <c r="C4688" s="1">
        <v>6.6670401703176601E-3</v>
      </c>
      <c r="D4688" s="1">
        <v>6.9611780455153902E-3</v>
      </c>
      <c r="E4688" s="1">
        <v>1.1747063234191399E-2</v>
      </c>
      <c r="F4688" s="1">
        <v>6.8906628539656001E-3</v>
      </c>
    </row>
    <row r="4689" spans="1:6" x14ac:dyDescent="0.25">
      <c r="A4689" s="2" t="str">
        <f t="shared" si="167"/>
        <v>45860</v>
      </c>
      <c r="B4689" s="2" t="str">
        <f>"06751"</f>
        <v>06751</v>
      </c>
      <c r="C4689" s="1">
        <v>1.68524847330382E-2</v>
      </c>
      <c r="D4689" s="1">
        <v>8.7014725568942408E-3</v>
      </c>
      <c r="E4689" s="1">
        <v>6.4983754061484602E-3</v>
      </c>
      <c r="F4689" s="1">
        <v>1.5836609873307098E-2</v>
      </c>
    </row>
    <row r="4690" spans="1:6" x14ac:dyDescent="0.25">
      <c r="A4690" s="2" t="str">
        <f t="shared" si="167"/>
        <v>45860</v>
      </c>
      <c r="B4690" s="2" t="str">
        <f>"06068"</f>
        <v>06068</v>
      </c>
      <c r="C4690" s="1">
        <v>6.4205277606588602E-3</v>
      </c>
      <c r="D4690" s="1">
        <v>1.8741633199464501E-3</v>
      </c>
      <c r="E4690" s="1">
        <v>1.1497125718570299E-2</v>
      </c>
      <c r="F4690" s="1">
        <v>6.2849994042654504E-3</v>
      </c>
    </row>
    <row r="4691" spans="1:6" x14ac:dyDescent="0.25">
      <c r="A4691" s="2" t="str">
        <f t="shared" si="167"/>
        <v>45860</v>
      </c>
      <c r="B4691" s="2" t="str">
        <f>"06024"</f>
        <v>06024</v>
      </c>
      <c r="C4691" s="1">
        <v>2.8573029301361399E-3</v>
      </c>
      <c r="D4691" s="1">
        <v>6.6934404283801796E-4</v>
      </c>
      <c r="E4691" s="1">
        <v>4.9987503124218895E-4</v>
      </c>
      <c r="F4691" s="1">
        <v>2.6013741610071799E-3</v>
      </c>
    </row>
    <row r="4692" spans="1:6" x14ac:dyDescent="0.25">
      <c r="A4692" s="2" t="str">
        <f t="shared" si="167"/>
        <v>45860</v>
      </c>
      <c r="B4692" s="2" t="str">
        <f>"06798"</f>
        <v>06798</v>
      </c>
      <c r="C4692" s="1">
        <v>4.9156815507871501E-2</v>
      </c>
      <c r="D4692" s="1">
        <v>4.2168674698795101E-2</v>
      </c>
      <c r="E4692" s="1">
        <v>5.9985003749062703E-2</v>
      </c>
      <c r="F4692" s="1">
        <v>4.90686683347233E-2</v>
      </c>
    </row>
    <row r="4693" spans="1:6" x14ac:dyDescent="0.25">
      <c r="A4693" s="2" t="str">
        <f t="shared" si="167"/>
        <v>45860</v>
      </c>
      <c r="B4693" s="2" t="str">
        <f>"06098"</f>
        <v>06098</v>
      </c>
      <c r="C4693" s="1">
        <v>6.65359403888173E-2</v>
      </c>
      <c r="D4693" s="1">
        <v>8.4069611780455106E-2</v>
      </c>
      <c r="E4693" s="1">
        <v>0.11547113221694499</v>
      </c>
      <c r="F4693" s="1">
        <v>6.9780372532666099E-2</v>
      </c>
    </row>
    <row r="4694" spans="1:6" x14ac:dyDescent="0.25">
      <c r="A4694" s="2" t="str">
        <f t="shared" si="167"/>
        <v>45860</v>
      </c>
      <c r="B4694" s="2" t="str">
        <f>"06069"</f>
        <v>06069</v>
      </c>
      <c r="C4694" s="1">
        <v>1.39951818029021E-2</v>
      </c>
      <c r="D4694" s="1">
        <v>6.2918340026773701E-3</v>
      </c>
      <c r="E4694" s="1">
        <v>6.2484378905273601E-3</v>
      </c>
      <c r="F4694" s="1">
        <v>1.3116088804162099E-2</v>
      </c>
    </row>
    <row r="4695" spans="1:6" x14ac:dyDescent="0.25">
      <c r="A4695" s="2" t="str">
        <f t="shared" si="167"/>
        <v>45860</v>
      </c>
      <c r="B4695" s="2" t="str">
        <f>"06063"</f>
        <v>06063</v>
      </c>
      <c r="C4695" s="1">
        <v>1.5832819765813199E-2</v>
      </c>
      <c r="D4695" s="1">
        <v>8.7014725568942408E-3</v>
      </c>
      <c r="E4695" s="1">
        <v>1.1747063234191399E-2</v>
      </c>
      <c r="F4695" s="1">
        <v>1.5141586242503601E-2</v>
      </c>
    </row>
    <row r="4696" spans="1:6" x14ac:dyDescent="0.25">
      <c r="A4696" s="2" t="str">
        <f t="shared" si="167"/>
        <v>45860</v>
      </c>
      <c r="B4696" s="2" t="str">
        <f>"06792"</f>
        <v>06792</v>
      </c>
      <c r="C4696" s="1">
        <v>0</v>
      </c>
      <c r="D4696" s="1">
        <v>1.33868808567603E-4</v>
      </c>
      <c r="E4696" s="1">
        <v>2.4993751562109399E-4</v>
      </c>
      <c r="F4696" s="1">
        <v>1.98578180229556E-5</v>
      </c>
    </row>
    <row r="4697" spans="1:6" x14ac:dyDescent="0.25">
      <c r="A4697" s="2" t="str">
        <f t="shared" si="167"/>
        <v>45860</v>
      </c>
      <c r="B4697" s="2" t="str">
        <f>"06778"</f>
        <v>06778</v>
      </c>
      <c r="C4697" s="1">
        <v>5.8266569555717402E-3</v>
      </c>
      <c r="D4697" s="1">
        <v>8.0321285140562198E-4</v>
      </c>
      <c r="E4697" s="1">
        <v>1.49962509372656E-3</v>
      </c>
      <c r="F4697" s="1">
        <v>5.2821795941061902E-3</v>
      </c>
    </row>
    <row r="4698" spans="1:6" x14ac:dyDescent="0.25">
      <c r="A4698" s="2" t="str">
        <f t="shared" si="167"/>
        <v>45860</v>
      </c>
      <c r="B4698" s="2" t="str">
        <f>"06018"</f>
        <v>06018</v>
      </c>
      <c r="C4698" s="1">
        <v>1.53061796179057E-2</v>
      </c>
      <c r="D4698" s="1">
        <v>1.08433734939759E-2</v>
      </c>
      <c r="E4698" s="1">
        <v>1.7245688577855502E-2</v>
      </c>
      <c r="F4698" s="1">
        <v>1.50522260614003E-2</v>
      </c>
    </row>
    <row r="4699" spans="1:6" x14ac:dyDescent="0.25">
      <c r="A4699" s="2" t="str">
        <f t="shared" si="167"/>
        <v>45860</v>
      </c>
      <c r="B4699" s="2" t="str">
        <f>"06794"</f>
        <v>06794</v>
      </c>
      <c r="C4699" s="1">
        <v>1.07793153678077E-2</v>
      </c>
      <c r="D4699" s="1">
        <v>1.9544846050870101E-2</v>
      </c>
      <c r="E4699" s="1">
        <v>4.9987503124218902E-3</v>
      </c>
      <c r="F4699" s="1">
        <v>1.1199809364946901E-2</v>
      </c>
    </row>
    <row r="4700" spans="1:6" x14ac:dyDescent="0.25">
      <c r="A4700" s="2" t="str">
        <f t="shared" si="167"/>
        <v>45860</v>
      </c>
      <c r="B4700" s="2" t="str">
        <f>"06763"</f>
        <v>06763</v>
      </c>
      <c r="C4700" s="1">
        <v>1.10818533251162E-2</v>
      </c>
      <c r="D4700" s="1">
        <v>4.6854082998661296E-3</v>
      </c>
      <c r="E4700" s="1">
        <v>9.2476880779804992E-3</v>
      </c>
      <c r="F4700" s="1">
        <v>1.05345724611779E-2</v>
      </c>
    </row>
    <row r="4701" spans="1:6" x14ac:dyDescent="0.25">
      <c r="A4701" s="2" t="str">
        <f t="shared" si="167"/>
        <v>45860</v>
      </c>
      <c r="B4701" s="2" t="str">
        <f>"06752"</f>
        <v>06752</v>
      </c>
      <c r="C4701" s="1">
        <v>8.4710628046389107E-3</v>
      </c>
      <c r="D4701" s="1">
        <v>1.4725568942436399E-3</v>
      </c>
      <c r="E4701" s="1">
        <v>1.7495626093476601E-3</v>
      </c>
      <c r="F4701" s="1">
        <v>7.6849755748838299E-3</v>
      </c>
    </row>
    <row r="4702" spans="1:6" x14ac:dyDescent="0.25">
      <c r="A4702" s="2" t="str">
        <f t="shared" si="167"/>
        <v>45860</v>
      </c>
      <c r="B4702" s="2" t="str">
        <f>"06759"</f>
        <v>06759</v>
      </c>
      <c r="C4702" s="1">
        <v>4.3005210375931399E-2</v>
      </c>
      <c r="D4702" s="1">
        <v>8.3668005354752301E-2</v>
      </c>
      <c r="E4702" s="1">
        <v>3.79905023744063E-2</v>
      </c>
      <c r="F4702" s="1">
        <v>4.5821915087970101E-2</v>
      </c>
    </row>
    <row r="4703" spans="1:6" x14ac:dyDescent="0.25">
      <c r="A4703" s="2" t="str">
        <f t="shared" si="167"/>
        <v>45860</v>
      </c>
      <c r="B4703" s="2" t="str">
        <f>"06059"</f>
        <v>06059</v>
      </c>
      <c r="C4703" s="1">
        <v>0</v>
      </c>
      <c r="D4703" s="1">
        <v>1.33868808567603E-4</v>
      </c>
      <c r="E4703" s="1">
        <v>0</v>
      </c>
      <c r="F4703" s="1">
        <v>9.9289090114778101E-6</v>
      </c>
    </row>
    <row r="4704" spans="1:6" x14ac:dyDescent="0.25">
      <c r="A4704" s="2" t="str">
        <f t="shared" si="167"/>
        <v>45860</v>
      </c>
      <c r="B4704" s="2" t="str">
        <f>"06058"</f>
        <v>06058</v>
      </c>
      <c r="C4704" s="1">
        <v>7.4401927278839102E-3</v>
      </c>
      <c r="D4704" s="1">
        <v>2.2757697456492602E-3</v>
      </c>
      <c r="E4704" s="1">
        <v>3.2491877030742301E-3</v>
      </c>
      <c r="F4704" s="1">
        <v>6.8906628539656001E-3</v>
      </c>
    </row>
    <row r="4705" spans="1:6" x14ac:dyDescent="0.25">
      <c r="A4705" s="2" t="str">
        <f t="shared" si="167"/>
        <v>45860</v>
      </c>
      <c r="B4705" s="2" t="str">
        <f>"06039"</f>
        <v>06039</v>
      </c>
      <c r="C4705" s="1">
        <v>1.23816460305899E-2</v>
      </c>
      <c r="D4705" s="1">
        <v>9.6385542168674603E-3</v>
      </c>
      <c r="E4705" s="1">
        <v>3.2491877030742301E-3</v>
      </c>
      <c r="F4705" s="1">
        <v>1.18154017236586E-2</v>
      </c>
    </row>
    <row r="4706" spans="1:6" x14ac:dyDescent="0.25">
      <c r="A4706" s="2" t="str">
        <f t="shared" si="167"/>
        <v>45860</v>
      </c>
      <c r="B4706" s="2" t="str">
        <f>"06031"</f>
        <v>06031</v>
      </c>
      <c r="C4706" s="1">
        <v>8.5046781332287508E-3</v>
      </c>
      <c r="D4706" s="1">
        <v>3.07898259705488E-3</v>
      </c>
      <c r="E4706" s="1">
        <v>1.2496875781054699E-3</v>
      </c>
      <c r="F4706" s="1">
        <v>7.8140513920330404E-3</v>
      </c>
    </row>
    <row r="4707" spans="1:6" x14ac:dyDescent="0.25">
      <c r="A4707" s="2" t="str">
        <f t="shared" ref="A4707:A4738" si="168">"35300"</f>
        <v>35300</v>
      </c>
      <c r="B4707" s="2" t="str">
        <f>"06779"</f>
        <v>06779</v>
      </c>
      <c r="C4707" s="1">
        <v>5.0752790769082398E-6</v>
      </c>
      <c r="D4707" s="1">
        <v>2.5742676208618598E-5</v>
      </c>
      <c r="E4707" s="1">
        <v>0</v>
      </c>
      <c r="F4707" s="1">
        <v>6.5558151172726003E-6</v>
      </c>
    </row>
    <row r="4708" spans="1:6" x14ac:dyDescent="0.25">
      <c r="A4708" s="2" t="str">
        <f t="shared" si="168"/>
        <v>35300</v>
      </c>
      <c r="B4708" s="2" t="str">
        <f>"06494"</f>
        <v>06494</v>
      </c>
      <c r="C4708" s="1">
        <v>0</v>
      </c>
      <c r="D4708" s="1">
        <v>5.1485352417237197E-5</v>
      </c>
      <c r="E4708" s="1">
        <v>0</v>
      </c>
      <c r="F4708" s="1">
        <v>4.3705434115150697E-6</v>
      </c>
    </row>
    <row r="4709" spans="1:6" x14ac:dyDescent="0.25">
      <c r="A4709" s="2" t="str">
        <f t="shared" si="168"/>
        <v>35300</v>
      </c>
      <c r="B4709" s="2" t="str">
        <f>"06479"</f>
        <v>06479</v>
      </c>
      <c r="C4709" s="1">
        <v>2.7914034922995299E-5</v>
      </c>
      <c r="D4709" s="1">
        <v>1.2871338104309299E-4</v>
      </c>
      <c r="E4709" s="1">
        <v>8.0984774862325802E-5</v>
      </c>
      <c r="F4709" s="1">
        <v>3.9334890703635603E-5</v>
      </c>
    </row>
    <row r="4710" spans="1:6" x14ac:dyDescent="0.25">
      <c r="A4710" s="2" t="str">
        <f t="shared" si="168"/>
        <v>35300</v>
      </c>
      <c r="B4710" s="2" t="str">
        <f>"06483"</f>
        <v>06483</v>
      </c>
      <c r="C4710" s="1">
        <v>1.7915735141485999E-2</v>
      </c>
      <c r="D4710" s="1">
        <v>1.1506976265252499E-2</v>
      </c>
      <c r="E4710" s="1">
        <v>1.1459345643019101E-2</v>
      </c>
      <c r="F4710" s="1">
        <v>1.70232665878512E-2</v>
      </c>
    </row>
    <row r="4711" spans="1:6" x14ac:dyDescent="0.25">
      <c r="A4711" s="2" t="str">
        <f t="shared" si="168"/>
        <v>35300</v>
      </c>
      <c r="B4711" s="2" t="str">
        <f>"06477"</f>
        <v>06477</v>
      </c>
      <c r="C4711" s="1">
        <v>1.48325031022643E-2</v>
      </c>
      <c r="D4711" s="1">
        <v>2.4275343664727299E-2</v>
      </c>
      <c r="E4711" s="1">
        <v>5.5879494655004802E-3</v>
      </c>
      <c r="F4711" s="1">
        <v>1.51351918340766E-2</v>
      </c>
    </row>
    <row r="4712" spans="1:6" x14ac:dyDescent="0.25">
      <c r="A4712" s="2" t="str">
        <f t="shared" si="168"/>
        <v>35300</v>
      </c>
      <c r="B4712" s="2" t="str">
        <f>"06472"</f>
        <v>06472</v>
      </c>
      <c r="C4712" s="1">
        <v>7.2424232427480599E-3</v>
      </c>
      <c r="D4712" s="1">
        <v>5.6376460896874802E-3</v>
      </c>
      <c r="E4712" s="1">
        <v>1.8221574344023299E-3</v>
      </c>
      <c r="F4712" s="1">
        <v>6.8136771785519898E-3</v>
      </c>
    </row>
    <row r="4713" spans="1:6" x14ac:dyDescent="0.25">
      <c r="A4713" s="2" t="str">
        <f t="shared" si="168"/>
        <v>35300</v>
      </c>
      <c r="B4713" s="2" t="str">
        <f>"06708"</f>
        <v>06708</v>
      </c>
      <c r="C4713" s="1">
        <v>3.2405656906059101E-2</v>
      </c>
      <c r="D4713" s="1">
        <v>2.1701076043865501E-2</v>
      </c>
      <c r="E4713" s="1">
        <v>4.0046971169420097E-2</v>
      </c>
      <c r="F4713" s="1">
        <v>3.19093374474715E-2</v>
      </c>
    </row>
    <row r="4714" spans="1:6" x14ac:dyDescent="0.25">
      <c r="A4714" s="2" t="str">
        <f t="shared" si="168"/>
        <v>35300</v>
      </c>
      <c r="B4714" s="2" t="str">
        <f>"06532"</f>
        <v>06532</v>
      </c>
      <c r="C4714" s="1">
        <v>5.0245262861391496E-4</v>
      </c>
      <c r="D4714" s="1">
        <v>2.11089944910672E-3</v>
      </c>
      <c r="E4714" s="1">
        <v>4.0492387431162901E-5</v>
      </c>
      <c r="F4714" s="1">
        <v>6.1406134931786701E-4</v>
      </c>
    </row>
    <row r="4715" spans="1:6" x14ac:dyDescent="0.25">
      <c r="A4715" s="2" t="str">
        <f t="shared" si="168"/>
        <v>35300</v>
      </c>
      <c r="B4715" s="2" t="str">
        <f>"06511"</f>
        <v>06511</v>
      </c>
      <c r="C4715" s="1">
        <v>5.74851484646011E-2</v>
      </c>
      <c r="D4715" s="1">
        <v>5.93626113370746E-2</v>
      </c>
      <c r="E4715" s="1">
        <v>0.110341755749919</v>
      </c>
      <c r="F4715" s="1">
        <v>6.0497061902191597E-2</v>
      </c>
    </row>
    <row r="4716" spans="1:6" x14ac:dyDescent="0.25">
      <c r="A4716" s="2" t="str">
        <f t="shared" si="168"/>
        <v>35300</v>
      </c>
      <c r="B4716" s="2" t="str">
        <f>"06516"</f>
        <v>06516</v>
      </c>
      <c r="C4716" s="1">
        <v>6.0570918143361401E-2</v>
      </c>
      <c r="D4716" s="1">
        <v>4.3144725325644798E-2</v>
      </c>
      <c r="E4716" s="1">
        <v>7.4222546161321595E-2</v>
      </c>
      <c r="F4716" s="1">
        <v>5.9828368760229803E-2</v>
      </c>
    </row>
    <row r="4717" spans="1:6" x14ac:dyDescent="0.25">
      <c r="A4717" s="2" t="str">
        <f t="shared" si="168"/>
        <v>35300</v>
      </c>
      <c r="B4717" s="2" t="str">
        <f>"06443"</f>
        <v>06443</v>
      </c>
      <c r="C4717" s="1">
        <v>2.2080001624089299E-2</v>
      </c>
      <c r="D4717" s="1">
        <v>2.49189105699428E-2</v>
      </c>
      <c r="E4717" s="1">
        <v>7.8555231616456098E-3</v>
      </c>
      <c r="F4717" s="1">
        <v>2.1553334833886498E-2</v>
      </c>
    </row>
    <row r="4718" spans="1:6" x14ac:dyDescent="0.25">
      <c r="A4718" s="2" t="str">
        <f t="shared" si="168"/>
        <v>35300</v>
      </c>
      <c r="B4718" s="2" t="str">
        <f>"06403"</f>
        <v>06403</v>
      </c>
      <c r="C4718" s="1">
        <v>6.6156262767498898E-3</v>
      </c>
      <c r="D4718" s="1">
        <v>2.88317973536528E-3</v>
      </c>
      <c r="E4718" s="1">
        <v>1.5346614836410701E-2</v>
      </c>
      <c r="F4718" s="1">
        <v>6.7699717444368399E-3</v>
      </c>
    </row>
    <row r="4719" spans="1:6" x14ac:dyDescent="0.25">
      <c r="A4719" s="2" t="str">
        <f t="shared" si="168"/>
        <v>35300</v>
      </c>
      <c r="B4719" s="2" t="str">
        <f>"06762"</f>
        <v>06762</v>
      </c>
      <c r="C4719" s="1">
        <v>9.762299304433E-3</v>
      </c>
      <c r="D4719" s="1">
        <v>1.21248004942593E-2</v>
      </c>
      <c r="E4719" s="1">
        <v>9.5157110463232903E-3</v>
      </c>
      <c r="F4719" s="1">
        <v>9.9495420763140493E-3</v>
      </c>
    </row>
    <row r="4720" spans="1:6" x14ac:dyDescent="0.25">
      <c r="A4720" s="2" t="str">
        <f t="shared" si="168"/>
        <v>35300</v>
      </c>
      <c r="B4720" s="2" t="str">
        <f>"06489"</f>
        <v>06489</v>
      </c>
      <c r="C4720" s="1">
        <v>5.0752790769082401E-5</v>
      </c>
      <c r="D4720" s="1">
        <v>0</v>
      </c>
      <c r="E4720" s="1">
        <v>0</v>
      </c>
      <c r="F4720" s="1">
        <v>4.3705434115150697E-5</v>
      </c>
    </row>
    <row r="4721" spans="1:6" x14ac:dyDescent="0.25">
      <c r="A4721" s="2" t="str">
        <f t="shared" si="168"/>
        <v>35300</v>
      </c>
      <c r="B4721" s="2" t="str">
        <f>"06478"</f>
        <v>06478</v>
      </c>
      <c r="C4721" s="1">
        <v>1.2576541552578599E-2</v>
      </c>
      <c r="D4721" s="1">
        <v>1.0013901045152601E-2</v>
      </c>
      <c r="E4721" s="1">
        <v>3.2798833819241901E-3</v>
      </c>
      <c r="F4721" s="1">
        <v>1.18572842754403E-2</v>
      </c>
    </row>
    <row r="4722" spans="1:6" x14ac:dyDescent="0.25">
      <c r="A4722" s="2" t="str">
        <f t="shared" si="168"/>
        <v>35300</v>
      </c>
      <c r="B4722" s="2" t="str">
        <f>"06702"</f>
        <v>06702</v>
      </c>
      <c r="C4722" s="1">
        <v>5.5751940659836997E-3</v>
      </c>
      <c r="D4722" s="1">
        <v>2.0722854347938E-2</v>
      </c>
      <c r="E4722" s="1">
        <v>2.17039196631033E-2</v>
      </c>
      <c r="F4722" s="1">
        <v>7.7314912949701603E-3</v>
      </c>
    </row>
    <row r="4723" spans="1:6" x14ac:dyDescent="0.25">
      <c r="A4723" s="2" t="str">
        <f t="shared" si="168"/>
        <v>35300</v>
      </c>
      <c r="B4723" s="2" t="str">
        <f>"06521"</f>
        <v>06521</v>
      </c>
      <c r="C4723" s="1">
        <v>8.3742104768985898E-5</v>
      </c>
      <c r="D4723" s="1">
        <v>7.9802296246717802E-4</v>
      </c>
      <c r="E4723" s="1">
        <v>8.0984774862325802E-5</v>
      </c>
      <c r="F4723" s="1">
        <v>1.44227932579997E-4</v>
      </c>
    </row>
    <row r="4724" spans="1:6" x14ac:dyDescent="0.25">
      <c r="A4724" s="2" t="str">
        <f t="shared" si="168"/>
        <v>35300</v>
      </c>
      <c r="B4724" s="2" t="str">
        <f>"06525"</f>
        <v>06525</v>
      </c>
      <c r="C4724" s="1">
        <v>9.9856115838169602E-3</v>
      </c>
      <c r="D4724" s="1">
        <v>1.4209957267157401E-2</v>
      </c>
      <c r="E4724" s="1">
        <v>4.21120829284094E-3</v>
      </c>
      <c r="F4724" s="1">
        <v>1.0032582401132801E-2</v>
      </c>
    </row>
    <row r="4725" spans="1:6" x14ac:dyDescent="0.25">
      <c r="A4725" s="2" t="str">
        <f t="shared" si="168"/>
        <v>35300</v>
      </c>
      <c r="B4725" s="2" t="str">
        <f>"06515"</f>
        <v>06515</v>
      </c>
      <c r="C4725" s="1">
        <v>1.89409415150215E-2</v>
      </c>
      <c r="D4725" s="1">
        <v>1.2253513875302401E-2</v>
      </c>
      <c r="E4725" s="1">
        <v>2.0367670877874899E-2</v>
      </c>
      <c r="F4725" s="1">
        <v>1.8450249011710801E-2</v>
      </c>
    </row>
    <row r="4726" spans="1:6" x14ac:dyDescent="0.25">
      <c r="A4726" s="2" t="str">
        <f t="shared" si="168"/>
        <v>35300</v>
      </c>
      <c r="B4726" s="2" t="str">
        <f>"06422"</f>
        <v>06422</v>
      </c>
      <c r="C4726" s="1">
        <v>4.8215151230628198E-5</v>
      </c>
      <c r="D4726" s="1">
        <v>0</v>
      </c>
      <c r="E4726" s="1">
        <v>4.0492387431162901E-5</v>
      </c>
      <c r="F4726" s="1">
        <v>4.3705434115150697E-5</v>
      </c>
    </row>
    <row r="4727" spans="1:6" x14ac:dyDescent="0.25">
      <c r="A4727" s="2" t="str">
        <f t="shared" si="168"/>
        <v>35300</v>
      </c>
      <c r="B4727" s="2" t="str">
        <f>"06450"</f>
        <v>06450</v>
      </c>
      <c r="C4727" s="1">
        <v>4.44163048415624E-2</v>
      </c>
      <c r="D4727" s="1">
        <v>3.9489265304020998E-2</v>
      </c>
      <c r="E4727" s="1">
        <v>3.1584062196307001E-2</v>
      </c>
      <c r="F4727" s="1">
        <v>4.3305529392996998E-2</v>
      </c>
    </row>
    <row r="4728" spans="1:6" x14ac:dyDescent="0.25">
      <c r="A4728" s="2" t="str">
        <f t="shared" si="168"/>
        <v>35300</v>
      </c>
      <c r="B4728" s="2" t="str">
        <f>"06408"</f>
        <v>06408</v>
      </c>
      <c r="C4728" s="1">
        <v>0</v>
      </c>
      <c r="D4728" s="1">
        <v>2.5742676208618598E-5</v>
      </c>
      <c r="E4728" s="1">
        <v>0</v>
      </c>
      <c r="F4728" s="1">
        <v>2.1852717057575302E-6</v>
      </c>
    </row>
    <row r="4729" spans="1:6" x14ac:dyDescent="0.25">
      <c r="A4729" s="2" t="str">
        <f t="shared" si="168"/>
        <v>35300</v>
      </c>
      <c r="B4729" s="2" t="str">
        <f>"06037"</f>
        <v>06037</v>
      </c>
      <c r="C4729" s="1">
        <v>2.0301116307632902E-5</v>
      </c>
      <c r="D4729" s="1">
        <v>0</v>
      </c>
      <c r="E4729" s="1">
        <v>0</v>
      </c>
      <c r="F4729" s="1">
        <v>1.7482173646060201E-5</v>
      </c>
    </row>
    <row r="4730" spans="1:6" x14ac:dyDescent="0.25">
      <c r="A4730" s="2" t="str">
        <f t="shared" si="168"/>
        <v>35300</v>
      </c>
      <c r="B4730" s="2" t="str">
        <f>"06507"</f>
        <v>06507</v>
      </c>
      <c r="C4730" s="1">
        <v>1.21806697845797E-4</v>
      </c>
      <c r="D4730" s="1">
        <v>1.28713381043093E-3</v>
      </c>
      <c r="E4730" s="1">
        <v>4.0492387431162901E-5</v>
      </c>
      <c r="F4730" s="1">
        <v>2.1634189886999601E-4</v>
      </c>
    </row>
    <row r="4731" spans="1:6" x14ac:dyDescent="0.25">
      <c r="A4731" s="2" t="str">
        <f t="shared" si="168"/>
        <v>35300</v>
      </c>
      <c r="B4731" s="2" t="str">
        <f>"06701"</f>
        <v>06701</v>
      </c>
      <c r="C4731" s="1">
        <v>0</v>
      </c>
      <c r="D4731" s="1">
        <v>0</v>
      </c>
      <c r="E4731" s="1">
        <v>1.21477162293488E-4</v>
      </c>
      <c r="F4731" s="1">
        <v>6.5558151172726003E-6</v>
      </c>
    </row>
    <row r="4732" spans="1:6" x14ac:dyDescent="0.25">
      <c r="A4732" s="2" t="str">
        <f t="shared" si="168"/>
        <v>35300</v>
      </c>
      <c r="B4732" s="2" t="str">
        <f>"06706"</f>
        <v>06706</v>
      </c>
      <c r="C4732" s="1">
        <v>1.5076116497955899E-2</v>
      </c>
      <c r="D4732" s="1">
        <v>1.4132729238531601E-2</v>
      </c>
      <c r="E4732" s="1">
        <v>3.3487204405571701E-2</v>
      </c>
      <c r="F4732" s="1">
        <v>1.5989633071027801E-2</v>
      </c>
    </row>
    <row r="4733" spans="1:6" x14ac:dyDescent="0.25">
      <c r="A4733" s="2" t="str">
        <f t="shared" si="168"/>
        <v>35300</v>
      </c>
      <c r="B4733" s="2" t="str">
        <f>"06704"</f>
        <v>06704</v>
      </c>
      <c r="C4733" s="1">
        <v>2.89341660174538E-2</v>
      </c>
      <c r="D4733" s="1">
        <v>2.0439684909643201E-2</v>
      </c>
      <c r="E4733" s="1">
        <v>2.8871072238419102E-2</v>
      </c>
      <c r="F4733" s="1">
        <v>2.8209672449623999E-2</v>
      </c>
    </row>
    <row r="4734" spans="1:6" x14ac:dyDescent="0.25">
      <c r="A4734" s="2" t="str">
        <f t="shared" si="168"/>
        <v>35300</v>
      </c>
      <c r="B4734" s="2" t="str">
        <f>"06535"</f>
        <v>06535</v>
      </c>
      <c r="C4734" s="1">
        <v>8.8817383845894197E-5</v>
      </c>
      <c r="D4734" s="1">
        <v>5.6633887658961003E-4</v>
      </c>
      <c r="E4734" s="1">
        <v>4.0492387431162901E-5</v>
      </c>
      <c r="F4734" s="1">
        <v>1.2674575893393701E-4</v>
      </c>
    </row>
    <row r="4735" spans="1:6" x14ac:dyDescent="0.25">
      <c r="A4735" s="2" t="str">
        <f t="shared" si="168"/>
        <v>35300</v>
      </c>
      <c r="B4735" s="2" t="str">
        <f>"06461"</f>
        <v>06461</v>
      </c>
      <c r="C4735" s="1">
        <v>1.52842029401091E-2</v>
      </c>
      <c r="D4735" s="1">
        <v>9.3445914637285601E-3</v>
      </c>
      <c r="E4735" s="1">
        <v>3.6038224813735001E-3</v>
      </c>
      <c r="F4735" s="1">
        <v>1.414963429478E-2</v>
      </c>
    </row>
    <row r="4736" spans="1:6" x14ac:dyDescent="0.25">
      <c r="A4736" s="2" t="str">
        <f t="shared" si="168"/>
        <v>35300</v>
      </c>
      <c r="B4736" s="2" t="str">
        <f>"06405"</f>
        <v>06405</v>
      </c>
      <c r="C4736" s="1">
        <v>3.8249840763118902E-2</v>
      </c>
      <c r="D4736" s="1">
        <v>4.6285331823096298E-2</v>
      </c>
      <c r="E4736" s="1">
        <v>6.0009718172983402E-2</v>
      </c>
      <c r="F4736" s="1">
        <v>4.0106291615768001E-2</v>
      </c>
    </row>
    <row r="4737" spans="1:6" x14ac:dyDescent="0.25">
      <c r="A4737" s="2" t="str">
        <f t="shared" si="168"/>
        <v>35300</v>
      </c>
      <c r="B4737" s="2" t="str">
        <f>"06501"</f>
        <v>06501</v>
      </c>
      <c r="C4737" s="1">
        <v>3.0705438415294802E-4</v>
      </c>
      <c r="D4737" s="1">
        <v>4.1188281933789801E-4</v>
      </c>
      <c r="E4737" s="1">
        <v>4.0492387431162901E-5</v>
      </c>
      <c r="F4737" s="1">
        <v>3.0156749539453901E-4</v>
      </c>
    </row>
    <row r="4738" spans="1:6" x14ac:dyDescent="0.25">
      <c r="A4738" s="2" t="str">
        <f t="shared" si="168"/>
        <v>35300</v>
      </c>
      <c r="B4738" s="2" t="str">
        <f>"06487"</f>
        <v>06487</v>
      </c>
      <c r="C4738" s="1">
        <v>5.5828069845990599E-5</v>
      </c>
      <c r="D4738" s="1">
        <v>7.7228028625855904E-5</v>
      </c>
      <c r="E4738" s="1">
        <v>8.0984774862325802E-5</v>
      </c>
      <c r="F4738" s="1">
        <v>5.9002336055453398E-5</v>
      </c>
    </row>
    <row r="4739" spans="1:6" x14ac:dyDescent="0.25">
      <c r="A4739" s="2" t="str">
        <f t="shared" ref="A4739:A4770" si="169">"35300"</f>
        <v>35300</v>
      </c>
      <c r="B4739" s="2" t="str">
        <f>"06509"</f>
        <v>06509</v>
      </c>
      <c r="C4739" s="1">
        <v>2.7914034922995299E-5</v>
      </c>
      <c r="D4739" s="1">
        <v>5.4059620038099095E-4</v>
      </c>
      <c r="E4739" s="1">
        <v>4.0492387431162901E-5</v>
      </c>
      <c r="F4739" s="1">
        <v>7.2113966289998597E-5</v>
      </c>
    </row>
    <row r="4740" spans="1:6" x14ac:dyDescent="0.25">
      <c r="A4740" s="2" t="str">
        <f t="shared" si="169"/>
        <v>35300</v>
      </c>
      <c r="B4740" s="2" t="str">
        <f>"06505"</f>
        <v>06505</v>
      </c>
      <c r="C4740" s="1">
        <v>3.9840940753729602E-4</v>
      </c>
      <c r="D4740" s="1">
        <v>8.49508314884415E-4</v>
      </c>
      <c r="E4740" s="1">
        <v>4.0492387431162901E-5</v>
      </c>
      <c r="F4740" s="1">
        <v>4.1738689579968899E-4</v>
      </c>
    </row>
    <row r="4741" spans="1:6" x14ac:dyDescent="0.25">
      <c r="A4741" s="2" t="str">
        <f t="shared" si="169"/>
        <v>35300</v>
      </c>
      <c r="B4741" s="2" t="str">
        <f>"06495"</f>
        <v>06495</v>
      </c>
      <c r="C4741" s="1">
        <v>0</v>
      </c>
      <c r="D4741" s="1">
        <v>5.1485352417237197E-5</v>
      </c>
      <c r="E4741" s="1">
        <v>0</v>
      </c>
      <c r="F4741" s="1">
        <v>4.3705434115150697E-6</v>
      </c>
    </row>
    <row r="4742" spans="1:6" x14ac:dyDescent="0.25">
      <c r="A4742" s="2" t="str">
        <f t="shared" si="169"/>
        <v>35300</v>
      </c>
      <c r="B4742" s="2" t="str">
        <f>"06473"</f>
        <v>06473</v>
      </c>
      <c r="C4742" s="1">
        <v>2.6995409410074899E-2</v>
      </c>
      <c r="D4742" s="1">
        <v>4.1960562220048299E-2</v>
      </c>
      <c r="E4742" s="1">
        <v>1.09734369938451E-2</v>
      </c>
      <c r="F4742" s="1">
        <v>2.7401121918493698E-2</v>
      </c>
    </row>
    <row r="4743" spans="1:6" x14ac:dyDescent="0.25">
      <c r="A4743" s="2" t="str">
        <f t="shared" si="169"/>
        <v>35300</v>
      </c>
      <c r="B4743" s="2" t="str">
        <f>"06705"</f>
        <v>06705</v>
      </c>
      <c r="C4743" s="1">
        <v>3.0507502531295399E-2</v>
      </c>
      <c r="D4743" s="1">
        <v>2.4996138598568699E-2</v>
      </c>
      <c r="E4743" s="1">
        <v>5.3895367670877797E-2</v>
      </c>
      <c r="F4743" s="1">
        <v>3.1301831913270899E-2</v>
      </c>
    </row>
    <row r="4744" spans="1:6" x14ac:dyDescent="0.25">
      <c r="A4744" s="2" t="str">
        <f t="shared" si="169"/>
        <v>35300</v>
      </c>
      <c r="B4744" s="2" t="str">
        <f>"06540"</f>
        <v>06540</v>
      </c>
      <c r="C4744" s="1">
        <v>0</v>
      </c>
      <c r="D4744" s="1">
        <v>5.1485352417237197E-5</v>
      </c>
      <c r="E4744" s="1">
        <v>0</v>
      </c>
      <c r="F4744" s="1">
        <v>4.3705434115150697E-6</v>
      </c>
    </row>
    <row r="4745" spans="1:6" x14ac:dyDescent="0.25">
      <c r="A4745" s="2" t="str">
        <f t="shared" si="169"/>
        <v>35300</v>
      </c>
      <c r="B4745" s="2" t="str">
        <f>"06519"</f>
        <v>06519</v>
      </c>
      <c r="C4745" s="1">
        <v>1.6570786186105399E-2</v>
      </c>
      <c r="D4745" s="1">
        <v>1.65267981259331E-2</v>
      </c>
      <c r="E4745" s="1">
        <v>1.22691933916423E-2</v>
      </c>
      <c r="F4745" s="1">
        <v>1.63349060005375E-2</v>
      </c>
    </row>
    <row r="4746" spans="1:6" x14ac:dyDescent="0.25">
      <c r="A4746" s="2" t="str">
        <f t="shared" si="169"/>
        <v>35300</v>
      </c>
      <c r="B4746" s="2" t="str">
        <f>"06518"</f>
        <v>06518</v>
      </c>
      <c r="C4746" s="1">
        <v>2.1562323158244599E-2</v>
      </c>
      <c r="D4746" s="1">
        <v>2.9835761725789001E-2</v>
      </c>
      <c r="E4746" s="1">
        <v>1.1013929381276299E-2</v>
      </c>
      <c r="F4746" s="1">
        <v>2.16953774947608E-2</v>
      </c>
    </row>
    <row r="4747" spans="1:6" x14ac:dyDescent="0.25">
      <c r="A4747" s="2" t="str">
        <f t="shared" si="169"/>
        <v>35300</v>
      </c>
      <c r="B4747" s="2" t="str">
        <f>"06460"</f>
        <v>06460</v>
      </c>
      <c r="C4747" s="1">
        <v>4.7205170694323499E-2</v>
      </c>
      <c r="D4747" s="1">
        <v>7.4936930443288793E-2</v>
      </c>
      <c r="E4747" s="1">
        <v>4.61208292840945E-2</v>
      </c>
      <c r="F4747" s="1">
        <v>4.9500774678819602E-2</v>
      </c>
    </row>
    <row r="4748" spans="1:6" x14ac:dyDescent="0.25">
      <c r="A4748" s="2" t="str">
        <f t="shared" si="169"/>
        <v>35300</v>
      </c>
      <c r="B4748" s="2" t="str">
        <f>"06513"</f>
        <v>06513</v>
      </c>
      <c r="C4748" s="1">
        <v>3.8536594030964197E-2</v>
      </c>
      <c r="D4748" s="1">
        <v>2.25505843587499E-2</v>
      </c>
      <c r="E4748" s="1">
        <v>0.10204081632653</v>
      </c>
      <c r="F4748" s="1">
        <v>4.0606718836386502E-2</v>
      </c>
    </row>
    <row r="4749" spans="1:6" x14ac:dyDescent="0.25">
      <c r="A4749" s="2" t="str">
        <f t="shared" si="169"/>
        <v>35300</v>
      </c>
      <c r="B4749" s="2" t="str">
        <f>"06503"</f>
        <v>06503</v>
      </c>
      <c r="C4749" s="1">
        <v>3.9587176799884199E-4</v>
      </c>
      <c r="D4749" s="1">
        <v>6.1782422900684701E-4</v>
      </c>
      <c r="E4749" s="1">
        <v>4.0492387431162901E-5</v>
      </c>
      <c r="F4749" s="1">
        <v>3.9553417874211297E-4</v>
      </c>
    </row>
    <row r="4750" spans="1:6" x14ac:dyDescent="0.25">
      <c r="A4750" s="2" t="str">
        <f t="shared" si="169"/>
        <v>35300</v>
      </c>
      <c r="B4750" s="2" t="str">
        <f>"06493"</f>
        <v>06493</v>
      </c>
      <c r="C4750" s="1">
        <v>0</v>
      </c>
      <c r="D4750" s="1">
        <v>1.5445605725171099E-4</v>
      </c>
      <c r="E4750" s="1">
        <v>0</v>
      </c>
      <c r="F4750" s="1">
        <v>1.3111630234545201E-5</v>
      </c>
    </row>
    <row r="4751" spans="1:6" x14ac:dyDescent="0.25">
      <c r="A4751" s="2" t="str">
        <f t="shared" si="169"/>
        <v>35300</v>
      </c>
      <c r="B4751" s="2" t="str">
        <f>"06488"</f>
        <v>06488</v>
      </c>
      <c r="C4751" s="1">
        <v>2.4681082151004698E-2</v>
      </c>
      <c r="D4751" s="1">
        <v>2.3786232816763599E-2</v>
      </c>
      <c r="E4751" s="1">
        <v>7.1671525753158397E-3</v>
      </c>
      <c r="F4751" s="1">
        <v>2.3659936758236799E-2</v>
      </c>
    </row>
    <row r="4752" spans="1:6" x14ac:dyDescent="0.25">
      <c r="A4752" s="2" t="str">
        <f t="shared" si="169"/>
        <v>35300</v>
      </c>
      <c r="B4752" s="2" t="str">
        <f>"06720"</f>
        <v>06720</v>
      </c>
      <c r="C4752" s="1">
        <v>1.603788188303E-3</v>
      </c>
      <c r="D4752" s="1">
        <v>2.08515677289811E-3</v>
      </c>
      <c r="E4752" s="1">
        <v>4.0492387431162901E-5</v>
      </c>
      <c r="F4752" s="1">
        <v>1.56028399791088E-3</v>
      </c>
    </row>
    <row r="4753" spans="1:6" x14ac:dyDescent="0.25">
      <c r="A4753" s="2" t="str">
        <f t="shared" si="169"/>
        <v>35300</v>
      </c>
      <c r="B4753" s="2" t="str">
        <f>"06721"</f>
        <v>06721</v>
      </c>
      <c r="C4753" s="1">
        <v>1.2586692110732401E-3</v>
      </c>
      <c r="D4753" s="1">
        <v>2.1881274777325798E-3</v>
      </c>
      <c r="E4753" s="1">
        <v>8.0984774862325802E-5</v>
      </c>
      <c r="F4753" s="1">
        <v>1.2740134044566399E-3</v>
      </c>
    </row>
    <row r="4754" spans="1:6" x14ac:dyDescent="0.25">
      <c r="A4754" s="2" t="str">
        <f t="shared" si="169"/>
        <v>35300</v>
      </c>
      <c r="B4754" s="2" t="str">
        <f>"06716"</f>
        <v>06716</v>
      </c>
      <c r="C4754" s="1">
        <v>1.6629151895489799E-2</v>
      </c>
      <c r="D4754" s="1">
        <v>1.4956494877207399E-2</v>
      </c>
      <c r="E4754" s="1">
        <v>5.99287333981211E-3</v>
      </c>
      <c r="F4754" s="1">
        <v>1.59131485613263E-2</v>
      </c>
    </row>
    <row r="4755" spans="1:6" x14ac:dyDescent="0.25">
      <c r="A4755" s="2" t="str">
        <f t="shared" si="169"/>
        <v>35300</v>
      </c>
      <c r="B4755" s="2" t="str">
        <f>"06710"</f>
        <v>06710</v>
      </c>
      <c r="C4755" s="1">
        <v>1.16528407605813E-2</v>
      </c>
      <c r="D4755" s="1">
        <v>4.0416001647531202E-3</v>
      </c>
      <c r="E4755" s="1">
        <v>1.9800777453838601E-2</v>
      </c>
      <c r="F4755" s="1">
        <v>1.14464531947579E-2</v>
      </c>
    </row>
    <row r="4756" spans="1:6" x14ac:dyDescent="0.25">
      <c r="A4756" s="2" t="str">
        <f t="shared" si="169"/>
        <v>35300</v>
      </c>
      <c r="B4756" s="2" t="str">
        <f>"06538"</f>
        <v>06538</v>
      </c>
      <c r="C4756" s="1">
        <v>0</v>
      </c>
      <c r="D4756" s="1">
        <v>2.5742676208618598E-5</v>
      </c>
      <c r="E4756" s="1">
        <v>4.0492387431162901E-5</v>
      </c>
      <c r="F4756" s="1">
        <v>4.3705434115150697E-6</v>
      </c>
    </row>
    <row r="4757" spans="1:6" x14ac:dyDescent="0.25">
      <c r="A4757" s="2" t="str">
        <f t="shared" si="169"/>
        <v>35300</v>
      </c>
      <c r="B4757" s="2" t="str">
        <f>"06533"</f>
        <v>06533</v>
      </c>
      <c r="C4757" s="1">
        <v>2.9690382599913199E-4</v>
      </c>
      <c r="D4757" s="1">
        <v>1.1069350769705999E-3</v>
      </c>
      <c r="E4757" s="1">
        <v>4.0492387431162901E-5</v>
      </c>
      <c r="F4757" s="1">
        <v>3.51828744626963E-4</v>
      </c>
    </row>
    <row r="4758" spans="1:6" x14ac:dyDescent="0.25">
      <c r="A4758" s="2" t="str">
        <f t="shared" si="169"/>
        <v>35300</v>
      </c>
      <c r="B4758" s="2" t="str">
        <f>"06524"</f>
        <v>06524</v>
      </c>
      <c r="C4758" s="1">
        <v>5.2148492515232099E-3</v>
      </c>
      <c r="D4758" s="1">
        <v>2.9089224115738999E-3</v>
      </c>
      <c r="E4758" s="1">
        <v>7.69355361192095E-4</v>
      </c>
      <c r="F4758" s="1">
        <v>4.77918922049172E-3</v>
      </c>
    </row>
    <row r="4759" spans="1:6" x14ac:dyDescent="0.25">
      <c r="A4759" s="2" t="str">
        <f t="shared" si="169"/>
        <v>35300</v>
      </c>
      <c r="B4759" s="2" t="str">
        <f>"06514"</f>
        <v>06514</v>
      </c>
      <c r="C4759" s="1">
        <v>2.9426468087913899E-2</v>
      </c>
      <c r="D4759" s="1">
        <v>2.7776347629099502E-2</v>
      </c>
      <c r="E4759" s="1">
        <v>1.8666990605766098E-2</v>
      </c>
      <c r="F4759" s="1">
        <v>2.8705729126830899E-2</v>
      </c>
    </row>
    <row r="4760" spans="1:6" x14ac:dyDescent="0.25">
      <c r="A4760" s="2" t="str">
        <f t="shared" si="169"/>
        <v>35300</v>
      </c>
      <c r="B4760" s="2" t="str">
        <f>"06401"</f>
        <v>06401</v>
      </c>
      <c r="C4760" s="1">
        <v>2.1344086157937599E-2</v>
      </c>
      <c r="D4760" s="1">
        <v>1.7710961231529598E-2</v>
      </c>
      <c r="E4760" s="1">
        <v>1.6844833171363701E-2</v>
      </c>
      <c r="F4760" s="1">
        <v>2.0792860280282901E-2</v>
      </c>
    </row>
    <row r="4761" spans="1:6" x14ac:dyDescent="0.25">
      <c r="A4761" s="2" t="str">
        <f t="shared" si="169"/>
        <v>35300</v>
      </c>
      <c r="B4761" s="2" t="str">
        <f>"06770"</f>
        <v>06770</v>
      </c>
      <c r="C4761" s="1">
        <v>3.5806093887587598E-2</v>
      </c>
      <c r="D4761" s="1">
        <v>2.38634608453894E-2</v>
      </c>
      <c r="E4761" s="1">
        <v>3.65646258503401E-2</v>
      </c>
      <c r="F4761" s="1">
        <v>3.4833230989775102E-2</v>
      </c>
    </row>
    <row r="4762" spans="1:6" x14ac:dyDescent="0.25">
      <c r="A4762" s="2" t="str">
        <f t="shared" si="169"/>
        <v>35300</v>
      </c>
      <c r="B4762" s="2" t="str">
        <f>"06508"</f>
        <v>06508</v>
      </c>
      <c r="C4762" s="1">
        <v>5.5828069845990599E-5</v>
      </c>
      <c r="D4762" s="1">
        <v>9.5247901971888896E-4</v>
      </c>
      <c r="E4762" s="1">
        <v>4.0492387431162901E-5</v>
      </c>
      <c r="F4762" s="1">
        <v>1.31116302345452E-4</v>
      </c>
    </row>
    <row r="4763" spans="1:6" x14ac:dyDescent="0.25">
      <c r="A4763" s="2" t="str">
        <f t="shared" si="169"/>
        <v>35300</v>
      </c>
      <c r="B4763" s="2" t="str">
        <f>"06506"</f>
        <v>06506</v>
      </c>
      <c r="C4763" s="1">
        <v>2.61376872460774E-4</v>
      </c>
      <c r="D4763" s="1">
        <v>5.4059620038099095E-4</v>
      </c>
      <c r="E4763" s="1">
        <v>4.0492387431162901E-5</v>
      </c>
      <c r="F4763" s="1">
        <v>2.7315896321969098E-4</v>
      </c>
    </row>
    <row r="4764" spans="1:6" x14ac:dyDescent="0.25">
      <c r="A4764" s="2" t="str">
        <f t="shared" si="169"/>
        <v>35300</v>
      </c>
      <c r="B4764" s="2" t="str">
        <f>"06492"</f>
        <v>06492</v>
      </c>
      <c r="C4764" s="1">
        <v>5.1757696026310203E-2</v>
      </c>
      <c r="D4764" s="1">
        <v>6.4073521083251803E-2</v>
      </c>
      <c r="E4764" s="1">
        <v>3.3284742468415902E-2</v>
      </c>
      <c r="F4764" s="1">
        <v>5.1806236328393797E-2</v>
      </c>
    </row>
    <row r="4765" spans="1:6" x14ac:dyDescent="0.25">
      <c r="A4765" s="2" t="str">
        <f t="shared" si="169"/>
        <v>35300</v>
      </c>
      <c r="B4765" s="2" t="str">
        <f>"06749"</f>
        <v>06749</v>
      </c>
      <c r="C4765" s="1">
        <v>0</v>
      </c>
      <c r="D4765" s="1">
        <v>2.5742676208618598E-5</v>
      </c>
      <c r="E4765" s="1">
        <v>0</v>
      </c>
      <c r="F4765" s="1">
        <v>2.1852717057575302E-6</v>
      </c>
    </row>
    <row r="4766" spans="1:6" x14ac:dyDescent="0.25">
      <c r="A4766" s="2" t="str">
        <f t="shared" si="169"/>
        <v>35300</v>
      </c>
      <c r="B4766" s="2" t="str">
        <f>"06722"</f>
        <v>06722</v>
      </c>
      <c r="C4766" s="1">
        <v>8.7802328030512505E-4</v>
      </c>
      <c r="D4766" s="1">
        <v>2.88317973536528E-3</v>
      </c>
      <c r="E4766" s="1">
        <v>4.0492387431162901E-5</v>
      </c>
      <c r="F4766" s="1">
        <v>1.0030397129426999E-3</v>
      </c>
    </row>
    <row r="4767" spans="1:6" x14ac:dyDescent="0.25">
      <c r="A4767" s="2" t="str">
        <f t="shared" si="169"/>
        <v>35300</v>
      </c>
      <c r="B4767" s="2" t="str">
        <f>"06537"</f>
        <v>06537</v>
      </c>
      <c r="C4767" s="1">
        <v>0</v>
      </c>
      <c r="D4767" s="1">
        <v>2.5742676208618598E-5</v>
      </c>
      <c r="E4767" s="1">
        <v>4.0492387431162901E-5</v>
      </c>
      <c r="F4767" s="1">
        <v>4.3705434115150697E-6</v>
      </c>
    </row>
    <row r="4768" spans="1:6" x14ac:dyDescent="0.25">
      <c r="A4768" s="2" t="str">
        <f t="shared" si="169"/>
        <v>35300</v>
      </c>
      <c r="B4768" s="2" t="str">
        <f>"06536"</f>
        <v>06536</v>
      </c>
      <c r="C4768" s="1">
        <v>1.7509712815333401E-4</v>
      </c>
      <c r="D4768" s="1">
        <v>8.2376563867579602E-4</v>
      </c>
      <c r="E4768" s="1">
        <v>4.0492387431162901E-5</v>
      </c>
      <c r="F4768" s="1">
        <v>2.2289771398726799E-4</v>
      </c>
    </row>
    <row r="4769" spans="1:6" x14ac:dyDescent="0.25">
      <c r="A4769" s="2" t="str">
        <f t="shared" si="169"/>
        <v>35300</v>
      </c>
      <c r="B4769" s="2" t="str">
        <f>"06534"</f>
        <v>06534</v>
      </c>
      <c r="C4769" s="1">
        <v>2.1569936076859999E-4</v>
      </c>
      <c r="D4769" s="1">
        <v>6.9505225763270297E-4</v>
      </c>
      <c r="E4769" s="1">
        <v>4.0492387431162901E-5</v>
      </c>
      <c r="F4769" s="1">
        <v>2.4693570275060098E-4</v>
      </c>
    </row>
    <row r="4770" spans="1:6" x14ac:dyDescent="0.25">
      <c r="A4770" s="2" t="str">
        <f t="shared" si="169"/>
        <v>35300</v>
      </c>
      <c r="B4770" s="2" t="str">
        <f>"06471"</f>
        <v>06471</v>
      </c>
      <c r="C4770" s="1">
        <v>9.9475469907401495E-3</v>
      </c>
      <c r="D4770" s="1">
        <v>1.18158883797559E-2</v>
      </c>
      <c r="E4770" s="1">
        <v>4.0897311305474497E-3</v>
      </c>
      <c r="F4770" s="1">
        <v>9.7900172417937498E-3</v>
      </c>
    </row>
    <row r="4771" spans="1:6" x14ac:dyDescent="0.25">
      <c r="A4771" s="2" t="str">
        <f t="shared" ref="A4771:A4787" si="170">"35300"</f>
        <v>35300</v>
      </c>
      <c r="B4771" s="2" t="str">
        <f>"06418"</f>
        <v>06418</v>
      </c>
      <c r="C4771" s="1">
        <v>1.5705451103492502E-2</v>
      </c>
      <c r="D4771" s="1">
        <v>1.47505534675384E-2</v>
      </c>
      <c r="E4771" s="1">
        <v>3.0288305798509801E-2</v>
      </c>
      <c r="F4771" s="1">
        <v>1.6411390510238998E-2</v>
      </c>
    </row>
    <row r="4772" spans="1:6" x14ac:dyDescent="0.25">
      <c r="A4772" s="2" t="str">
        <f t="shared" si="170"/>
        <v>35300</v>
      </c>
      <c r="B4772" s="2" t="str">
        <f>"06504"</f>
        <v>06504</v>
      </c>
      <c r="C4772" s="1">
        <v>5.2782902399845703E-4</v>
      </c>
      <c r="D4772" s="1">
        <v>7.4653761004993995E-4</v>
      </c>
      <c r="E4772" s="1">
        <v>4.0492387431162901E-5</v>
      </c>
      <c r="F4772" s="1">
        <v>5.2009466597029304E-4</v>
      </c>
    </row>
    <row r="4773" spans="1:6" x14ac:dyDescent="0.25">
      <c r="A4773" s="2" t="str">
        <f t="shared" si="170"/>
        <v>35300</v>
      </c>
      <c r="B4773" s="2" t="str">
        <f>"06510"</f>
        <v>06510</v>
      </c>
      <c r="C4773" s="1">
        <v>6.5242712533655402E-3</v>
      </c>
      <c r="D4773" s="1">
        <v>3.2538742727693901E-2</v>
      </c>
      <c r="E4773" s="1">
        <v>1.5994493035309299E-2</v>
      </c>
      <c r="F4773" s="1">
        <v>9.2436993153543704E-3</v>
      </c>
    </row>
    <row r="4774" spans="1:6" x14ac:dyDescent="0.25">
      <c r="A4774" s="2" t="str">
        <f t="shared" si="170"/>
        <v>35300</v>
      </c>
      <c r="B4774" s="2" t="str">
        <f>"06531"</f>
        <v>06531</v>
      </c>
      <c r="C4774" s="1">
        <v>2.8675326784531499E-4</v>
      </c>
      <c r="D4774" s="1">
        <v>1.4930752200998799E-3</v>
      </c>
      <c r="E4774" s="1">
        <v>4.0492387431162901E-5</v>
      </c>
      <c r="F4774" s="1">
        <v>3.7586673339029601E-4</v>
      </c>
    </row>
    <row r="4775" spans="1:6" x14ac:dyDescent="0.25">
      <c r="A4775" s="2" t="str">
        <f t="shared" si="170"/>
        <v>35300</v>
      </c>
      <c r="B4775" s="2" t="str">
        <f>"06530"</f>
        <v>06530</v>
      </c>
      <c r="C4775" s="1">
        <v>4.6692567507555799E-4</v>
      </c>
      <c r="D4775" s="1">
        <v>1.85347268702054E-3</v>
      </c>
      <c r="E4775" s="1">
        <v>4.0492387431162901E-5</v>
      </c>
      <c r="F4775" s="1">
        <v>5.6161482837968602E-4</v>
      </c>
    </row>
    <row r="4776" spans="1:6" x14ac:dyDescent="0.25">
      <c r="A4776" s="2" t="str">
        <f t="shared" si="170"/>
        <v>35300</v>
      </c>
      <c r="B4776" s="2" t="str">
        <f>"06520"</f>
        <v>06520</v>
      </c>
      <c r="C4776" s="1">
        <v>1.9047522375636599E-2</v>
      </c>
      <c r="D4776" s="1">
        <v>4.6851670699685896E-3</v>
      </c>
      <c r="E4776" s="1">
        <v>8.0984774862325802E-5</v>
      </c>
      <c r="F4776" s="1">
        <v>1.6804739417275401E-2</v>
      </c>
    </row>
    <row r="4777" spans="1:6" x14ac:dyDescent="0.25">
      <c r="A4777" s="2" t="str">
        <f t="shared" si="170"/>
        <v>35300</v>
      </c>
      <c r="B4777" s="2" t="str">
        <f>"06502"</f>
        <v>06502</v>
      </c>
      <c r="C4777" s="1">
        <v>4.4408691922947097E-4</v>
      </c>
      <c r="D4777" s="1">
        <v>4.8911084796375397E-4</v>
      </c>
      <c r="E4777" s="1">
        <v>4.0492387431162901E-5</v>
      </c>
      <c r="F4777" s="1">
        <v>4.2612798262271903E-4</v>
      </c>
    </row>
    <row r="4778" spans="1:6" x14ac:dyDescent="0.25">
      <c r="A4778" s="2" t="str">
        <f t="shared" si="170"/>
        <v>35300</v>
      </c>
      <c r="B4778" s="2" t="str">
        <f>"06724"</f>
        <v>06724</v>
      </c>
      <c r="C4778" s="1">
        <v>9.5415246645874901E-4</v>
      </c>
      <c r="D4778" s="1">
        <v>4.1188281933789801E-4</v>
      </c>
      <c r="E4778" s="1">
        <v>4.0492387431162901E-5</v>
      </c>
      <c r="F4778" s="1">
        <v>8.5881178036271099E-4</v>
      </c>
    </row>
    <row r="4779" spans="1:6" x14ac:dyDescent="0.25">
      <c r="A4779" s="2" t="str">
        <f t="shared" si="170"/>
        <v>35300</v>
      </c>
      <c r="B4779" s="2" t="str">
        <f>"06723"</f>
        <v>06723</v>
      </c>
      <c r="C4779" s="1">
        <v>7.7398005922850596E-4</v>
      </c>
      <c r="D4779" s="1">
        <v>2.2138701539411998E-3</v>
      </c>
      <c r="E4779" s="1">
        <v>4.0492387431162901E-5</v>
      </c>
      <c r="F4779" s="1">
        <v>8.5662650865695302E-4</v>
      </c>
    </row>
    <row r="4780" spans="1:6" x14ac:dyDescent="0.25">
      <c r="A4780" s="2" t="str">
        <f t="shared" si="170"/>
        <v>35300</v>
      </c>
      <c r="B4780" s="2" t="str">
        <f>"06703"</f>
        <v>06703</v>
      </c>
      <c r="C4780" s="1">
        <v>0</v>
      </c>
      <c r="D4780" s="1">
        <v>0</v>
      </c>
      <c r="E4780" s="1">
        <v>4.0492387431162901E-5</v>
      </c>
      <c r="F4780" s="1">
        <v>2.1852717057575302E-6</v>
      </c>
    </row>
    <row r="4781" spans="1:6" x14ac:dyDescent="0.25">
      <c r="A4781" s="2" t="str">
        <f t="shared" si="170"/>
        <v>35300</v>
      </c>
      <c r="B4781" s="2" t="str">
        <f>"06712"</f>
        <v>06712</v>
      </c>
      <c r="C4781" s="1">
        <v>1.0323117642431301E-2</v>
      </c>
      <c r="D4781" s="1">
        <v>1.13525202080008E-2</v>
      </c>
      <c r="E4781" s="1">
        <v>5.7094266277939697E-3</v>
      </c>
      <c r="F4781" s="1">
        <v>1.01615134317725E-2</v>
      </c>
    </row>
    <row r="4782" spans="1:6" x14ac:dyDescent="0.25">
      <c r="A4782" s="2" t="str">
        <f t="shared" si="170"/>
        <v>35300</v>
      </c>
      <c r="B4782" s="2" t="str">
        <f>"06517"</f>
        <v>06517</v>
      </c>
      <c r="C4782" s="1">
        <v>1.89358662359446E-2</v>
      </c>
      <c r="D4782" s="1">
        <v>1.36436183905678E-2</v>
      </c>
      <c r="E4782" s="1">
        <v>1.2714609653385099E-2</v>
      </c>
      <c r="F4782" s="1">
        <v>1.8150866788022E-2</v>
      </c>
    </row>
    <row r="4783" spans="1:6" x14ac:dyDescent="0.25">
      <c r="A4783" s="2" t="str">
        <f t="shared" si="170"/>
        <v>35300</v>
      </c>
      <c r="B4783" s="2" t="str">
        <f>"06512"</f>
        <v>06512</v>
      </c>
      <c r="C4783" s="1">
        <v>3.3824197408054903E-2</v>
      </c>
      <c r="D4783" s="1">
        <v>2.27050404160016E-2</v>
      </c>
      <c r="E4783" s="1">
        <v>2.17039196631033E-2</v>
      </c>
      <c r="F4783" s="1">
        <v>3.2226201844806297E-2</v>
      </c>
    </row>
    <row r="4784" spans="1:6" x14ac:dyDescent="0.25">
      <c r="A4784" s="2" t="str">
        <f t="shared" si="170"/>
        <v>35300</v>
      </c>
      <c r="B4784" s="2" t="str">
        <f>"06451"</f>
        <v>06451</v>
      </c>
      <c r="C4784" s="1">
        <v>2.6206203513615699E-2</v>
      </c>
      <c r="D4784" s="1">
        <v>1.8560469546414E-2</v>
      </c>
      <c r="E4784" s="1">
        <v>2.5226757369614501E-2</v>
      </c>
      <c r="F4784" s="1">
        <v>2.55043060778961E-2</v>
      </c>
    </row>
    <row r="4785" spans="1:6" x14ac:dyDescent="0.25">
      <c r="A4785" s="2" t="str">
        <f t="shared" si="170"/>
        <v>35300</v>
      </c>
      <c r="B4785" s="2" t="str">
        <f>"06437"</f>
        <v>06437</v>
      </c>
      <c r="C4785" s="1">
        <v>2.4881555674542599E-2</v>
      </c>
      <c r="D4785" s="1">
        <v>2.8213973124646002E-2</v>
      </c>
      <c r="E4785" s="1">
        <v>8.5843861354065396E-3</v>
      </c>
      <c r="F4785" s="1">
        <v>2.42849244660834E-2</v>
      </c>
    </row>
    <row r="4786" spans="1:6" x14ac:dyDescent="0.25">
      <c r="A4786" s="2" t="str">
        <f t="shared" si="170"/>
        <v>35300</v>
      </c>
      <c r="B4786" s="2" t="str">
        <f>"06411"</f>
        <v>06411</v>
      </c>
      <c r="C4786" s="1">
        <v>0</v>
      </c>
      <c r="D4786" s="1">
        <v>2.5742676208618598E-5</v>
      </c>
      <c r="E4786" s="1">
        <v>0</v>
      </c>
      <c r="F4786" s="1">
        <v>2.1852717057575302E-6</v>
      </c>
    </row>
    <row r="4787" spans="1:6" x14ac:dyDescent="0.25">
      <c r="A4787" s="2" t="str">
        <f t="shared" si="170"/>
        <v>35300</v>
      </c>
      <c r="B4787" s="2" t="str">
        <f>"06410"</f>
        <v>06410</v>
      </c>
      <c r="C4787" s="1">
        <v>2.8431713388839899E-2</v>
      </c>
      <c r="D4787" s="1">
        <v>3.3027853575657698E-2</v>
      </c>
      <c r="E4787" s="1">
        <v>1.5468091998704201E-2</v>
      </c>
      <c r="F4787" s="1">
        <v>2.81222615813937E-2</v>
      </c>
    </row>
    <row r="4788" spans="1:6" x14ac:dyDescent="0.25">
      <c r="A4788" s="2" t="str">
        <f t="shared" ref="A4788:A4826" si="171">"35980"</f>
        <v>35980</v>
      </c>
      <c r="B4788" s="2" t="str">
        <f>"06439"</f>
        <v>06439</v>
      </c>
      <c r="C4788" s="1">
        <v>0</v>
      </c>
      <c r="D4788" s="1">
        <v>0</v>
      </c>
      <c r="E4788" s="1">
        <v>1.4044943820224699E-4</v>
      </c>
      <c r="F4788" s="1">
        <v>6.4773551663384797E-6</v>
      </c>
    </row>
    <row r="4789" spans="1:6" x14ac:dyDescent="0.25">
      <c r="A4789" s="2" t="str">
        <f t="shared" si="171"/>
        <v>35980</v>
      </c>
      <c r="B4789" s="2" t="str">
        <f>"06415"</f>
        <v>06415</v>
      </c>
      <c r="C4789" s="1">
        <v>5.2419354838709603E-2</v>
      </c>
      <c r="D4789" s="1">
        <v>4.5174870466321203E-2</v>
      </c>
      <c r="E4789" s="1">
        <v>5.1404494382022402E-2</v>
      </c>
      <c r="F4789" s="1">
        <v>5.1792931910042403E-2</v>
      </c>
    </row>
    <row r="4790" spans="1:6" x14ac:dyDescent="0.25">
      <c r="A4790" s="2" t="str">
        <f t="shared" si="171"/>
        <v>35980</v>
      </c>
      <c r="B4790" s="2" t="str">
        <f>"06375"</f>
        <v>06375</v>
      </c>
      <c r="C4790" s="1">
        <v>1.4401980550284601E-2</v>
      </c>
      <c r="D4790" s="1">
        <v>8.9054404145077707E-3</v>
      </c>
      <c r="E4790" s="1">
        <v>4.2134831460674104E-3</v>
      </c>
      <c r="F4790" s="1">
        <v>1.3492330811482999E-2</v>
      </c>
    </row>
    <row r="4791" spans="1:6" x14ac:dyDescent="0.25">
      <c r="A4791" s="2" t="str">
        <f t="shared" si="171"/>
        <v>35980</v>
      </c>
      <c r="B4791" s="2" t="str">
        <f>"06382"</f>
        <v>06382</v>
      </c>
      <c r="C4791" s="1">
        <v>3.5652870018975297E-2</v>
      </c>
      <c r="D4791" s="1">
        <v>2.9145077720207201E-2</v>
      </c>
      <c r="E4791" s="1">
        <v>5.1404494382022402E-2</v>
      </c>
      <c r="F4791" s="1">
        <v>3.58586382008498E-2</v>
      </c>
    </row>
    <row r="4792" spans="1:6" x14ac:dyDescent="0.25">
      <c r="A4792" s="2" t="str">
        <f t="shared" si="171"/>
        <v>35980</v>
      </c>
      <c r="B4792" s="2" t="str">
        <f>"06370"</f>
        <v>06370</v>
      </c>
      <c r="C4792" s="1">
        <v>2.19698766603415E-2</v>
      </c>
      <c r="D4792" s="1">
        <v>9.31023316062176E-3</v>
      </c>
      <c r="E4792" s="1">
        <v>1.16573033707865E-2</v>
      </c>
      <c r="F4792" s="1">
        <v>2.04813970359622E-2</v>
      </c>
    </row>
    <row r="4793" spans="1:6" x14ac:dyDescent="0.25">
      <c r="A4793" s="2" t="str">
        <f t="shared" si="171"/>
        <v>35980</v>
      </c>
      <c r="B4793" s="2" t="str">
        <f>"06359"</f>
        <v>06359</v>
      </c>
      <c r="C4793" s="1">
        <v>1.6180917931688799E-2</v>
      </c>
      <c r="D4793" s="1">
        <v>6.5576424870466303E-3</v>
      </c>
      <c r="E4793" s="1">
        <v>4.0730337078651599E-3</v>
      </c>
      <c r="F4793" s="1">
        <v>1.4852575396414099E-2</v>
      </c>
    </row>
    <row r="4794" spans="1:6" x14ac:dyDescent="0.25">
      <c r="A4794" s="2" t="str">
        <f t="shared" si="171"/>
        <v>35980</v>
      </c>
      <c r="B4794" s="2" t="str">
        <f>"06336"</f>
        <v>06336</v>
      </c>
      <c r="C4794" s="1">
        <v>2.5942836812144199E-4</v>
      </c>
      <c r="D4794" s="1">
        <v>1.6191709844559499E-4</v>
      </c>
      <c r="E4794" s="1">
        <v>1.4044943820224699E-4</v>
      </c>
      <c r="F4794" s="1">
        <v>2.46139496320862E-4</v>
      </c>
    </row>
    <row r="4795" spans="1:6" x14ac:dyDescent="0.25">
      <c r="A4795" s="2" t="str">
        <f t="shared" si="171"/>
        <v>35980</v>
      </c>
      <c r="B4795" s="2" t="str">
        <f>"06376"</f>
        <v>06376</v>
      </c>
      <c r="C4795" s="1">
        <v>0</v>
      </c>
      <c r="D4795" s="1">
        <v>8.0958549222797903E-5</v>
      </c>
      <c r="E4795" s="1">
        <v>0</v>
      </c>
      <c r="F4795" s="1">
        <v>6.4773551663384797E-6</v>
      </c>
    </row>
    <row r="4796" spans="1:6" x14ac:dyDescent="0.25">
      <c r="A4796" s="2" t="str">
        <f t="shared" si="171"/>
        <v>35980</v>
      </c>
      <c r="B4796" s="2" t="str">
        <f>"06374"</f>
        <v>06374</v>
      </c>
      <c r="C4796" s="1">
        <v>7.4122390891840604E-5</v>
      </c>
      <c r="D4796" s="1">
        <v>0</v>
      </c>
      <c r="E4796" s="1">
        <v>0</v>
      </c>
      <c r="F4796" s="1">
        <v>6.4773551663384798E-5</v>
      </c>
    </row>
    <row r="4797" spans="1:6" x14ac:dyDescent="0.25">
      <c r="A4797" s="2" t="str">
        <f t="shared" si="171"/>
        <v>35980</v>
      </c>
      <c r="B4797" s="2" t="str">
        <f>"06371"</f>
        <v>06371</v>
      </c>
      <c r="C4797" s="1">
        <v>4.5726102941176398E-2</v>
      </c>
      <c r="D4797" s="1">
        <v>3.6269430051813399E-2</v>
      </c>
      <c r="E4797" s="1">
        <v>7.0365168539325798E-2</v>
      </c>
      <c r="F4797" s="1">
        <v>4.6105814073997303E-2</v>
      </c>
    </row>
    <row r="4798" spans="1:6" x14ac:dyDescent="0.25">
      <c r="A4798" s="2" t="str">
        <f t="shared" si="171"/>
        <v>35980</v>
      </c>
      <c r="B4798" s="2" t="str">
        <f>"06249"</f>
        <v>06249</v>
      </c>
      <c r="C4798" s="1">
        <v>2.2184831593927801E-2</v>
      </c>
      <c r="D4798" s="1">
        <v>3.3193005181347099E-3</v>
      </c>
      <c r="E4798" s="1">
        <v>4.4943820224719096E-3</v>
      </c>
      <c r="F4798" s="1">
        <v>1.9859570939993701E-2</v>
      </c>
    </row>
    <row r="4799" spans="1:6" x14ac:dyDescent="0.25">
      <c r="A4799" s="2" t="str">
        <f t="shared" si="171"/>
        <v>35980</v>
      </c>
      <c r="B4799" s="2" t="str">
        <f>"06384"</f>
        <v>06384</v>
      </c>
      <c r="C4799" s="1">
        <v>7.9459203036053097E-3</v>
      </c>
      <c r="D4799" s="1">
        <v>1.94300518134715E-3</v>
      </c>
      <c r="E4799" s="1">
        <v>2.5280898876404402E-3</v>
      </c>
      <c r="F4799" s="1">
        <v>7.2157736553010599E-3</v>
      </c>
    </row>
    <row r="4800" spans="1:6" x14ac:dyDescent="0.25">
      <c r="A4800" s="2" t="str">
        <f t="shared" si="171"/>
        <v>35980</v>
      </c>
      <c r="B4800" s="2" t="str">
        <f>"06372"</f>
        <v>06372</v>
      </c>
      <c r="C4800" s="1">
        <v>2.93524667931688E-3</v>
      </c>
      <c r="D4800" s="1">
        <v>5.58613989637305E-3</v>
      </c>
      <c r="E4800" s="1">
        <v>1.4044943820224699E-4</v>
      </c>
      <c r="F4800" s="1">
        <v>3.0184475075137299E-3</v>
      </c>
    </row>
    <row r="4801" spans="1:6" x14ac:dyDescent="0.25">
      <c r="A4801" s="2" t="str">
        <f t="shared" si="171"/>
        <v>35980</v>
      </c>
      <c r="B4801" s="2" t="str">
        <f>"06365"</f>
        <v>06365</v>
      </c>
      <c r="C4801" s="1">
        <v>1.52766247628083E-2</v>
      </c>
      <c r="D4801" s="1">
        <v>6.4766839378238303E-3</v>
      </c>
      <c r="E4801" s="1">
        <v>7.1629213483146003E-3</v>
      </c>
      <c r="F4801" s="1">
        <v>1.41983625246139E-2</v>
      </c>
    </row>
    <row r="4802" spans="1:6" x14ac:dyDescent="0.25">
      <c r="A4802" s="2" t="str">
        <f t="shared" si="171"/>
        <v>35980</v>
      </c>
      <c r="B4802" s="2" t="str">
        <f>"06355"</f>
        <v>06355</v>
      </c>
      <c r="C4802" s="1">
        <v>5.20635673624288E-2</v>
      </c>
      <c r="D4802" s="1">
        <v>7.2053108808290106E-2</v>
      </c>
      <c r="E4802" s="1">
        <v>6.5028089887640403E-2</v>
      </c>
      <c r="F4802" s="1">
        <v>5.4260804228417399E-2</v>
      </c>
    </row>
    <row r="4803" spans="1:6" x14ac:dyDescent="0.25">
      <c r="A4803" s="2" t="str">
        <f t="shared" si="171"/>
        <v>35980</v>
      </c>
      <c r="B4803" s="2" t="str">
        <f>"06231"</f>
        <v>06231</v>
      </c>
      <c r="C4803" s="1">
        <v>1.18595825426944E-4</v>
      </c>
      <c r="D4803" s="1">
        <v>0</v>
      </c>
      <c r="E4803" s="1">
        <v>0</v>
      </c>
      <c r="F4803" s="1">
        <v>1.03637682661415E-4</v>
      </c>
    </row>
    <row r="4804" spans="1:6" x14ac:dyDescent="0.25">
      <c r="A4804" s="2" t="str">
        <f t="shared" si="171"/>
        <v>35980</v>
      </c>
      <c r="B4804" s="2" t="str">
        <f>"06334"</f>
        <v>06334</v>
      </c>
      <c r="C4804" s="1">
        <v>7.44930028462998E-3</v>
      </c>
      <c r="D4804" s="1">
        <v>6.6386010362694302E-3</v>
      </c>
      <c r="E4804" s="1">
        <v>3.5112359550561701E-3</v>
      </c>
      <c r="F4804" s="1">
        <v>7.2028189449683897E-3</v>
      </c>
    </row>
    <row r="4805" spans="1:6" x14ac:dyDescent="0.25">
      <c r="A4805" s="2" t="str">
        <f t="shared" si="171"/>
        <v>35980</v>
      </c>
      <c r="B4805" s="2" t="str">
        <f>"06339"</f>
        <v>06339</v>
      </c>
      <c r="C4805" s="1">
        <v>2.91004506641366E-2</v>
      </c>
      <c r="D4805" s="1">
        <v>1.14151554404145E-2</v>
      </c>
      <c r="E4805" s="1">
        <v>1.68539325842696E-2</v>
      </c>
      <c r="F4805" s="1">
        <v>2.7120686081459199E-2</v>
      </c>
    </row>
    <row r="4806" spans="1:6" x14ac:dyDescent="0.25">
      <c r="A4806" s="2" t="str">
        <f t="shared" si="171"/>
        <v>35980</v>
      </c>
      <c r="B4806" s="2" t="str">
        <f>"06379"</f>
        <v>06379</v>
      </c>
      <c r="C4806" s="1">
        <v>3.7402158444022698E-2</v>
      </c>
      <c r="D4806" s="1">
        <v>2.7687823834196799E-2</v>
      </c>
      <c r="E4806" s="1">
        <v>5.3651685393258403E-2</v>
      </c>
      <c r="F4806" s="1">
        <v>3.7374339309772998E-2</v>
      </c>
    </row>
    <row r="4807" spans="1:6" x14ac:dyDescent="0.25">
      <c r="A4807" s="2" t="str">
        <f t="shared" si="171"/>
        <v>35980</v>
      </c>
      <c r="B4807" s="2" t="str">
        <f>"06378"</f>
        <v>06378</v>
      </c>
      <c r="C4807" s="1">
        <v>2.4801351992409799E-2</v>
      </c>
      <c r="D4807" s="1">
        <v>3.9022020725388601E-2</v>
      </c>
      <c r="E4807" s="1">
        <v>2.3595505617977498E-2</v>
      </c>
      <c r="F4807" s="1">
        <v>2.58835112446885E-2</v>
      </c>
    </row>
    <row r="4808" spans="1:6" x14ac:dyDescent="0.25">
      <c r="A4808" s="2" t="str">
        <f t="shared" si="171"/>
        <v>35980</v>
      </c>
      <c r="B4808" s="2" t="str">
        <f>"06360"</f>
        <v>06360</v>
      </c>
      <c r="C4808" s="1">
        <v>0.13321276091081499</v>
      </c>
      <c r="D4808" s="1">
        <v>0.115689766839378</v>
      </c>
      <c r="E4808" s="1">
        <v>0.17907303370786501</v>
      </c>
      <c r="F4808" s="1">
        <v>0.13392579541921401</v>
      </c>
    </row>
    <row r="4809" spans="1:6" x14ac:dyDescent="0.25">
      <c r="A4809" s="2" t="str">
        <f t="shared" si="171"/>
        <v>35980</v>
      </c>
      <c r="B4809" s="2" t="str">
        <f>"06350"</f>
        <v>06350</v>
      </c>
      <c r="C4809" s="1">
        <v>1.12666034155597E-3</v>
      </c>
      <c r="D4809" s="1">
        <v>8.0958549222797903E-5</v>
      </c>
      <c r="E4809" s="1">
        <v>0</v>
      </c>
      <c r="F4809" s="1">
        <v>9.9103534044978699E-4</v>
      </c>
    </row>
    <row r="4810" spans="1:6" x14ac:dyDescent="0.25">
      <c r="A4810" s="2" t="str">
        <f t="shared" si="171"/>
        <v>35980</v>
      </c>
      <c r="B4810" s="2" t="str">
        <f>"06349"</f>
        <v>06349</v>
      </c>
      <c r="C4810" s="1">
        <v>5.9297912713472399E-5</v>
      </c>
      <c r="D4810" s="1">
        <v>2.4287564766839299E-4</v>
      </c>
      <c r="E4810" s="1">
        <v>1.4044943820224699E-4</v>
      </c>
      <c r="F4810" s="1">
        <v>7.7728261996061698E-5</v>
      </c>
    </row>
    <row r="4811" spans="1:6" x14ac:dyDescent="0.25">
      <c r="A4811" s="2" t="str">
        <f t="shared" si="171"/>
        <v>35980</v>
      </c>
      <c r="B4811" s="2" t="str">
        <f>"06353"</f>
        <v>06353</v>
      </c>
      <c r="C4811" s="1">
        <v>4.1508538899430702E-4</v>
      </c>
      <c r="D4811" s="1">
        <v>0</v>
      </c>
      <c r="E4811" s="1">
        <v>9.8314606741572996E-4</v>
      </c>
      <c r="F4811" s="1">
        <v>4.0807337547932402E-4</v>
      </c>
    </row>
    <row r="4812" spans="1:6" x14ac:dyDescent="0.25">
      <c r="A4812" s="2" t="str">
        <f t="shared" si="171"/>
        <v>35980</v>
      </c>
      <c r="B4812" s="2" t="str">
        <f>"06330"</f>
        <v>06330</v>
      </c>
      <c r="C4812" s="1">
        <v>1.13777870018975E-2</v>
      </c>
      <c r="D4812" s="1">
        <v>4.4527202072538801E-3</v>
      </c>
      <c r="E4812" s="1">
        <v>5.01404494382022E-2</v>
      </c>
      <c r="F4812" s="1">
        <v>1.2611410508861E-2</v>
      </c>
    </row>
    <row r="4813" spans="1:6" x14ac:dyDescent="0.25">
      <c r="A4813" s="2" t="str">
        <f t="shared" si="171"/>
        <v>35980</v>
      </c>
      <c r="B4813" s="2" t="str">
        <f>"06254"</f>
        <v>06254</v>
      </c>
      <c r="C4813" s="1">
        <v>5.8853178368121397E-3</v>
      </c>
      <c r="D4813" s="1">
        <v>1.08484455958549E-2</v>
      </c>
      <c r="E4813" s="1">
        <v>3.6516853932584202E-3</v>
      </c>
      <c r="F4813" s="1">
        <v>6.1793968286869101E-3</v>
      </c>
    </row>
    <row r="4814" spans="1:6" x14ac:dyDescent="0.25">
      <c r="A4814" s="2" t="str">
        <f t="shared" si="171"/>
        <v>35980</v>
      </c>
      <c r="B4814" s="2" t="str">
        <f>"06389"</f>
        <v>06389</v>
      </c>
      <c r="C4814" s="1">
        <v>7.9310958254269395E-4</v>
      </c>
      <c r="D4814" s="1">
        <v>1.53821243523316E-3</v>
      </c>
      <c r="E4814" s="1">
        <v>9.8314606741572996E-4</v>
      </c>
      <c r="F4814" s="1">
        <v>8.6148823712301696E-4</v>
      </c>
    </row>
    <row r="4815" spans="1:6" x14ac:dyDescent="0.25">
      <c r="A4815" s="2" t="str">
        <f t="shared" si="171"/>
        <v>35980</v>
      </c>
      <c r="B4815" s="2" t="str">
        <f>"06388"</f>
        <v>06388</v>
      </c>
      <c r="C4815" s="1">
        <v>0</v>
      </c>
      <c r="D4815" s="1">
        <v>8.0958549222797903E-5</v>
      </c>
      <c r="E4815" s="1">
        <v>0</v>
      </c>
      <c r="F4815" s="1">
        <v>6.4773551663384797E-6</v>
      </c>
    </row>
    <row r="4816" spans="1:6" x14ac:dyDescent="0.25">
      <c r="A4816" s="2" t="str">
        <f t="shared" si="171"/>
        <v>35980</v>
      </c>
      <c r="B4816" s="2" t="str">
        <f>"06385"</f>
        <v>06385</v>
      </c>
      <c r="C4816" s="1">
        <v>6.2663069259961998E-2</v>
      </c>
      <c r="D4816" s="1">
        <v>6.7843264248704599E-2</v>
      </c>
      <c r="E4816" s="1">
        <v>2.23314606741573E-2</v>
      </c>
      <c r="F4816" s="1">
        <v>6.12174836770649E-2</v>
      </c>
    </row>
    <row r="4817" spans="1:6" x14ac:dyDescent="0.25">
      <c r="A4817" s="2" t="str">
        <f t="shared" si="171"/>
        <v>35980</v>
      </c>
      <c r="B4817" s="2" t="str">
        <f>"06335"</f>
        <v>06335</v>
      </c>
      <c r="C4817" s="1">
        <v>1.99908088235294E-2</v>
      </c>
      <c r="D4817" s="1">
        <v>9.1483160621761601E-3</v>
      </c>
      <c r="E4817" s="1">
        <v>1.06741573033707E-2</v>
      </c>
      <c r="F4817" s="1">
        <v>1.86936470100528E-2</v>
      </c>
    </row>
    <row r="4818" spans="1:6" x14ac:dyDescent="0.25">
      <c r="A4818" s="2" t="str">
        <f t="shared" si="171"/>
        <v>35980</v>
      </c>
      <c r="B4818" s="2" t="str">
        <f>"06320"</f>
        <v>06320</v>
      </c>
      <c r="C4818" s="1">
        <v>0.106350806451612</v>
      </c>
      <c r="D4818" s="1">
        <v>0.27809261658030998</v>
      </c>
      <c r="E4818" s="1">
        <v>0.15688202247190999</v>
      </c>
      <c r="F4818" s="1">
        <v>0.122422012643797</v>
      </c>
    </row>
    <row r="4819" spans="1:6" x14ac:dyDescent="0.25">
      <c r="A4819" s="2" t="str">
        <f t="shared" si="171"/>
        <v>35980</v>
      </c>
      <c r="B4819" s="2" t="str">
        <f>"06383"</f>
        <v>06383</v>
      </c>
      <c r="C4819" s="1">
        <v>7.41223908918406E-6</v>
      </c>
      <c r="D4819" s="1">
        <v>8.0958549222797903E-5</v>
      </c>
      <c r="E4819" s="1">
        <v>2.8089887640449397E-4</v>
      </c>
      <c r="F4819" s="1">
        <v>2.5909420665353898E-5</v>
      </c>
    </row>
    <row r="4820" spans="1:6" x14ac:dyDescent="0.25">
      <c r="A4820" s="2" t="str">
        <f t="shared" si="171"/>
        <v>35980</v>
      </c>
      <c r="B4820" s="2" t="str">
        <f>"06340"</f>
        <v>06340</v>
      </c>
      <c r="C4820" s="1">
        <v>0.11386681688804499</v>
      </c>
      <c r="D4820" s="1">
        <v>8.6868523316062096E-2</v>
      </c>
      <c r="E4820" s="1">
        <v>8.8342696629213402E-2</v>
      </c>
      <c r="F4820" s="1">
        <v>0.11052958855839901</v>
      </c>
    </row>
    <row r="4821" spans="1:6" x14ac:dyDescent="0.25">
      <c r="A4821" s="2" t="str">
        <f t="shared" si="171"/>
        <v>35980</v>
      </c>
      <c r="B4821" s="2" t="str">
        <f>"06333"</f>
        <v>06333</v>
      </c>
      <c r="C4821" s="1">
        <v>2.63208610056925E-2</v>
      </c>
      <c r="D4821" s="1">
        <v>2.5259067357512901E-2</v>
      </c>
      <c r="E4821" s="1">
        <v>8.8483146067415697E-3</v>
      </c>
      <c r="F4821" s="1">
        <v>2.54300963830448E-2</v>
      </c>
    </row>
    <row r="4822" spans="1:6" x14ac:dyDescent="0.25">
      <c r="A4822" s="2" t="str">
        <f t="shared" si="171"/>
        <v>35980</v>
      </c>
      <c r="B4822" s="2" t="str">
        <f>"06420"</f>
        <v>06420</v>
      </c>
      <c r="C4822" s="1">
        <v>1.35792220113851E-2</v>
      </c>
      <c r="D4822" s="1">
        <v>8.5816062176165796E-3</v>
      </c>
      <c r="E4822" s="1">
        <v>8.2865168539325799E-3</v>
      </c>
      <c r="F4822" s="1">
        <v>1.2935278267177899E-2</v>
      </c>
    </row>
    <row r="4823" spans="1:6" x14ac:dyDescent="0.25">
      <c r="A4823" s="2" t="str">
        <f t="shared" si="171"/>
        <v>35980</v>
      </c>
      <c r="B4823" s="2" t="str">
        <f>"06380"</f>
        <v>06380</v>
      </c>
      <c r="C4823" s="1">
        <v>1.0480906072106199E-2</v>
      </c>
      <c r="D4823" s="1">
        <v>1.0038860103626901E-2</v>
      </c>
      <c r="E4823" s="1">
        <v>2.0505617977528E-2</v>
      </c>
      <c r="F4823" s="1">
        <v>1.0907866100114001E-2</v>
      </c>
    </row>
    <row r="4824" spans="1:6" x14ac:dyDescent="0.25">
      <c r="A4824" s="2" t="str">
        <f t="shared" si="171"/>
        <v>35980</v>
      </c>
      <c r="B4824" s="2" t="str">
        <f>"06357"</f>
        <v>06357</v>
      </c>
      <c r="C4824" s="1">
        <v>5.1848612428842498E-2</v>
      </c>
      <c r="D4824" s="1">
        <v>4.43652849740932E-2</v>
      </c>
      <c r="E4824" s="1">
        <v>2.2893258426966202E-2</v>
      </c>
      <c r="F4824" s="1">
        <v>4.99144989118043E-2</v>
      </c>
    </row>
    <row r="4825" spans="1:6" x14ac:dyDescent="0.25">
      <c r="A4825" s="2" t="str">
        <f t="shared" si="171"/>
        <v>35980</v>
      </c>
      <c r="B4825" s="2" t="str">
        <f>"06351"</f>
        <v>06351</v>
      </c>
      <c r="C4825" s="1">
        <v>5.4324300284629902E-2</v>
      </c>
      <c r="D4825" s="1">
        <v>2.6797279792746102E-2</v>
      </c>
      <c r="E4825" s="1">
        <v>5.5477528089887602E-2</v>
      </c>
      <c r="F4825" s="1">
        <v>5.2175095864856399E-2</v>
      </c>
    </row>
    <row r="4826" spans="1:6" x14ac:dyDescent="0.25">
      <c r="A4826" s="2" t="str">
        <f t="shared" si="171"/>
        <v>35980</v>
      </c>
      <c r="B4826" s="2" t="str">
        <f>"06338"</f>
        <v>06338</v>
      </c>
      <c r="C4826" s="1">
        <v>1.73446394686907E-3</v>
      </c>
      <c r="D4826" s="1">
        <v>2.4287564766839299E-4</v>
      </c>
      <c r="E4826" s="1">
        <v>1.4044943820224699E-4</v>
      </c>
      <c r="F4826" s="1">
        <v>1.54161052958855E-3</v>
      </c>
    </row>
    <row r="4827" spans="1:6" x14ac:dyDescent="0.25">
      <c r="A4827" s="2" t="str">
        <f t="shared" ref="A4827:A4865" si="172">"31420"</f>
        <v>31420</v>
      </c>
      <c r="B4827" s="2" t="str">
        <f>"31066"</f>
        <v>31066</v>
      </c>
      <c r="C4827" s="1">
        <v>4.2911673472103198E-3</v>
      </c>
      <c r="D4827" s="1">
        <v>1.4823857690966101E-3</v>
      </c>
      <c r="E4827" s="1">
        <v>0</v>
      </c>
      <c r="F4827" s="1">
        <v>3.9704414415756596E-3</v>
      </c>
    </row>
    <row r="4828" spans="1:6" x14ac:dyDescent="0.25">
      <c r="A4828" s="2" t="str">
        <f t="shared" si="172"/>
        <v>31420</v>
      </c>
      <c r="B4828" s="2" t="str">
        <f>"31038"</f>
        <v>31038</v>
      </c>
      <c r="C4828" s="1">
        <v>1.45533776310427E-3</v>
      </c>
      <c r="D4828" s="1">
        <v>3.4879665155214499E-4</v>
      </c>
      <c r="E4828" s="1">
        <v>0</v>
      </c>
      <c r="F4828" s="1">
        <v>1.3334127918237201E-3</v>
      </c>
    </row>
    <row r="4829" spans="1:6" x14ac:dyDescent="0.25">
      <c r="A4829" s="2" t="str">
        <f t="shared" si="172"/>
        <v>31420</v>
      </c>
      <c r="B4829" s="2" t="str">
        <f>"31050"</f>
        <v>31050</v>
      </c>
      <c r="C4829" s="1">
        <v>2.9938376841002201E-3</v>
      </c>
      <c r="D4829" s="1">
        <v>1.2207882804324999E-3</v>
      </c>
      <c r="E4829" s="1">
        <v>3.9572615749900998E-4</v>
      </c>
      <c r="F4829" s="1">
        <v>2.7934625527033202E-3</v>
      </c>
    </row>
    <row r="4830" spans="1:6" x14ac:dyDescent="0.25">
      <c r="A4830" s="2" t="str">
        <f t="shared" si="172"/>
        <v>31420</v>
      </c>
      <c r="B4830" s="2" t="str">
        <f>"31020"</f>
        <v>31020</v>
      </c>
      <c r="C4830" s="1">
        <v>9.4472211364940405E-3</v>
      </c>
      <c r="D4830" s="1">
        <v>4.7087547959539502E-3</v>
      </c>
      <c r="E4830" s="1">
        <v>0</v>
      </c>
      <c r="F4830" s="1">
        <v>8.8645878339118894E-3</v>
      </c>
    </row>
    <row r="4831" spans="1:6" x14ac:dyDescent="0.25">
      <c r="A4831" s="2" t="str">
        <f t="shared" si="172"/>
        <v>31420</v>
      </c>
      <c r="B4831" s="2" t="str">
        <f>"31029"</f>
        <v>31029</v>
      </c>
      <c r="C4831" s="1">
        <v>5.8354886192586899E-2</v>
      </c>
      <c r="D4831" s="1">
        <v>5.47610742936867E-2</v>
      </c>
      <c r="E4831" s="1">
        <v>4.6695686584883198E-2</v>
      </c>
      <c r="F4831" s="1">
        <v>5.78283994576958E-2</v>
      </c>
    </row>
    <row r="4832" spans="1:6" x14ac:dyDescent="0.25">
      <c r="A4832" s="2" t="str">
        <f t="shared" si="172"/>
        <v>31420</v>
      </c>
      <c r="B4832" s="2" t="str">
        <f>"31208"</f>
        <v>31208</v>
      </c>
      <c r="C4832" s="1">
        <v>0</v>
      </c>
      <c r="D4832" s="1">
        <v>8.7199162888036206E-5</v>
      </c>
      <c r="E4832" s="1">
        <v>0</v>
      </c>
      <c r="F4832" s="1">
        <v>7.4492334738755301E-6</v>
      </c>
    </row>
    <row r="4833" spans="1:6" x14ac:dyDescent="0.25">
      <c r="A4833" s="2" t="str">
        <f t="shared" si="172"/>
        <v>31420</v>
      </c>
      <c r="B4833" s="2" t="str">
        <f>"31211"</f>
        <v>31211</v>
      </c>
      <c r="C4833" s="1">
        <v>6.9615042371119401E-2</v>
      </c>
      <c r="D4833" s="1">
        <v>4.8918730380188298E-2</v>
      </c>
      <c r="E4833" s="1">
        <v>7.6375148397308995E-2</v>
      </c>
      <c r="F4833" s="1">
        <v>6.7974255449114201E-2</v>
      </c>
    </row>
    <row r="4834" spans="1:6" x14ac:dyDescent="0.25">
      <c r="A4834" s="2" t="str">
        <f t="shared" si="172"/>
        <v>31420</v>
      </c>
      <c r="B4834" s="2" t="str">
        <f>"31017"</f>
        <v>31017</v>
      </c>
      <c r="C4834" s="1">
        <v>4.8067727261386899E-3</v>
      </c>
      <c r="D4834" s="1">
        <v>1.6567840948726799E-3</v>
      </c>
      <c r="E4834" s="1">
        <v>3.9572615749900998E-4</v>
      </c>
      <c r="F4834" s="1">
        <v>4.4546416173775697E-3</v>
      </c>
    </row>
    <row r="4835" spans="1:6" x14ac:dyDescent="0.25">
      <c r="A4835" s="2" t="str">
        <f t="shared" si="172"/>
        <v>31420</v>
      </c>
      <c r="B4835" s="2" t="str">
        <f>"31016"</f>
        <v>31016</v>
      </c>
      <c r="C4835" s="1">
        <v>3.87535655775196E-3</v>
      </c>
      <c r="D4835" s="1">
        <v>1.30798744332054E-3</v>
      </c>
      <c r="E4835" s="1">
        <v>3.9572615749900998E-4</v>
      </c>
      <c r="F4835" s="1">
        <v>3.5905305344079998E-3</v>
      </c>
    </row>
    <row r="4836" spans="1:6" x14ac:dyDescent="0.25">
      <c r="A4836" s="2" t="str">
        <f t="shared" si="172"/>
        <v>31420</v>
      </c>
      <c r="B4836" s="2" t="str">
        <f>"31014"</f>
        <v>31014</v>
      </c>
      <c r="C4836" s="1">
        <v>1.2723810157425899E-3</v>
      </c>
      <c r="D4836" s="1">
        <v>0</v>
      </c>
      <c r="E4836" s="1">
        <v>0</v>
      </c>
      <c r="F4836" s="1">
        <v>1.1397327215029499E-3</v>
      </c>
    </row>
    <row r="4837" spans="1:6" x14ac:dyDescent="0.25">
      <c r="A4837" s="2" t="str">
        <f t="shared" si="172"/>
        <v>31420</v>
      </c>
      <c r="B4837" s="2" t="str">
        <f>"31210"</f>
        <v>31210</v>
      </c>
      <c r="C4837" s="1">
        <v>0.13890575232646099</v>
      </c>
      <c r="D4837" s="1">
        <v>0.15477851412626401</v>
      </c>
      <c r="E4837" s="1">
        <v>0.17372378314206499</v>
      </c>
      <c r="F4837" s="1">
        <v>0.140917149625303</v>
      </c>
    </row>
    <row r="4838" spans="1:6" x14ac:dyDescent="0.25">
      <c r="A4838" s="2" t="str">
        <f t="shared" si="172"/>
        <v>31420</v>
      </c>
      <c r="B4838" s="2" t="str">
        <f>"31221"</f>
        <v>31221</v>
      </c>
      <c r="C4838" s="1">
        <v>1.3863131720541801E-2</v>
      </c>
      <c r="D4838" s="1">
        <v>3.16532961283571E-2</v>
      </c>
      <c r="E4838" s="1">
        <v>7.9145231499802105E-4</v>
      </c>
      <c r="F4838" s="1">
        <v>1.5136842418914999E-2</v>
      </c>
    </row>
    <row r="4839" spans="1:6" x14ac:dyDescent="0.25">
      <c r="A4839" s="2" t="str">
        <f t="shared" si="172"/>
        <v>31420</v>
      </c>
      <c r="B4839" s="2" t="str">
        <f>"31220"</f>
        <v>31220</v>
      </c>
      <c r="C4839" s="1">
        <v>5.6325729540030102E-2</v>
      </c>
      <c r="D4839" s="1">
        <v>1.8050226717823501E-2</v>
      </c>
      <c r="E4839" s="1">
        <v>2.0182034032449499E-2</v>
      </c>
      <c r="F4839" s="1">
        <v>5.2375560554818901E-2</v>
      </c>
    </row>
    <row r="4840" spans="1:6" x14ac:dyDescent="0.25">
      <c r="A4840" s="2" t="str">
        <f t="shared" si="172"/>
        <v>31420</v>
      </c>
      <c r="B4840" s="2" t="str">
        <f>"31030"</f>
        <v>31030</v>
      </c>
      <c r="C4840" s="1">
        <v>1.0220629204886599E-2</v>
      </c>
      <c r="D4840" s="1">
        <v>2.1799790722009001E-3</v>
      </c>
      <c r="E4840" s="1">
        <v>3.9572615749900998E-4</v>
      </c>
      <c r="F4840" s="1">
        <v>9.3487880097137994E-3</v>
      </c>
    </row>
    <row r="4841" spans="1:6" x14ac:dyDescent="0.25">
      <c r="A4841" s="2" t="str">
        <f t="shared" si="172"/>
        <v>31420</v>
      </c>
      <c r="B4841" s="2" t="str">
        <f>"31008"</f>
        <v>31008</v>
      </c>
      <c r="C4841" s="1">
        <v>8.7819238733606603E-3</v>
      </c>
      <c r="D4841" s="1">
        <v>8.7199162888036198E-4</v>
      </c>
      <c r="E4841" s="1">
        <v>0</v>
      </c>
      <c r="F4841" s="1">
        <v>7.9408828831513192E-3</v>
      </c>
    </row>
    <row r="4842" spans="1:6" x14ac:dyDescent="0.25">
      <c r="A4842" s="2" t="str">
        <f t="shared" si="172"/>
        <v>31420</v>
      </c>
      <c r="B4842" s="2" t="str">
        <f>"31207"</f>
        <v>31207</v>
      </c>
      <c r="C4842" s="1">
        <v>1.6632431578334501E-5</v>
      </c>
      <c r="D4842" s="1">
        <v>9.5919079176839896E-4</v>
      </c>
      <c r="E4842" s="1">
        <v>1.5829046299960399E-3</v>
      </c>
      <c r="F4842" s="1">
        <v>1.26636969055884E-4</v>
      </c>
    </row>
    <row r="4843" spans="1:6" x14ac:dyDescent="0.25">
      <c r="A4843" s="2" t="str">
        <f t="shared" si="172"/>
        <v>31420</v>
      </c>
      <c r="B4843" s="2" t="str">
        <f>"31097"</f>
        <v>31097</v>
      </c>
      <c r="C4843" s="1">
        <v>4.9897294735003703E-5</v>
      </c>
      <c r="D4843" s="1">
        <v>0</v>
      </c>
      <c r="E4843" s="1">
        <v>0</v>
      </c>
      <c r="F4843" s="1">
        <v>4.4695400843253201E-5</v>
      </c>
    </row>
    <row r="4844" spans="1:6" x14ac:dyDescent="0.25">
      <c r="A4844" s="2" t="str">
        <f t="shared" si="172"/>
        <v>31420</v>
      </c>
      <c r="B4844" s="2" t="str">
        <f>"31201"</f>
        <v>31201</v>
      </c>
      <c r="C4844" s="1">
        <v>4.7044832719319397E-2</v>
      </c>
      <c r="D4844" s="1">
        <v>0.17012556679455801</v>
      </c>
      <c r="E4844" s="1">
        <v>0.24020577760189901</v>
      </c>
      <c r="F4844" s="1">
        <v>6.1195452987887498E-2</v>
      </c>
    </row>
    <row r="4845" spans="1:6" x14ac:dyDescent="0.25">
      <c r="A4845" s="2" t="str">
        <f t="shared" si="172"/>
        <v>31420</v>
      </c>
      <c r="B4845" s="2" t="str">
        <f>"31033"</f>
        <v>31033</v>
      </c>
      <c r="C4845" s="1">
        <v>6.8192969471171797E-3</v>
      </c>
      <c r="D4845" s="1">
        <v>1.13358911754447E-3</v>
      </c>
      <c r="E4845" s="1">
        <v>0</v>
      </c>
      <c r="F4845" s="1">
        <v>6.2052114837383198E-3</v>
      </c>
    </row>
    <row r="4846" spans="1:6" x14ac:dyDescent="0.25">
      <c r="A4846" s="2" t="str">
        <f t="shared" si="172"/>
        <v>31420</v>
      </c>
      <c r="B4846" s="2" t="str">
        <f>"31213"</f>
        <v>31213</v>
      </c>
      <c r="C4846" s="1">
        <v>0</v>
      </c>
      <c r="D4846" s="1">
        <v>3.3135681897453698E-3</v>
      </c>
      <c r="E4846" s="1">
        <v>3.9572615749900998E-4</v>
      </c>
      <c r="F4846" s="1">
        <v>2.9052010548114498E-4</v>
      </c>
    </row>
    <row r="4847" spans="1:6" x14ac:dyDescent="0.25">
      <c r="A4847" s="2" t="str">
        <f t="shared" si="172"/>
        <v>31420</v>
      </c>
      <c r="B4847" s="2" t="str">
        <f>"31206"</f>
        <v>31206</v>
      </c>
      <c r="C4847" s="1">
        <v>0.115038213011551</v>
      </c>
      <c r="D4847" s="1">
        <v>0.14597139867457201</v>
      </c>
      <c r="E4847" s="1">
        <v>9.3391373169766506E-2</v>
      </c>
      <c r="F4847" s="1">
        <v>0.117273282579222</v>
      </c>
    </row>
    <row r="4848" spans="1:6" x14ac:dyDescent="0.25">
      <c r="A4848" s="2" t="str">
        <f t="shared" si="172"/>
        <v>31420</v>
      </c>
      <c r="B4848" s="2" t="str">
        <f>"31203"</f>
        <v>31203</v>
      </c>
      <c r="C4848" s="1">
        <v>7.8338752733955897E-3</v>
      </c>
      <c r="D4848" s="1">
        <v>1.7701430066271302E-2</v>
      </c>
      <c r="E4848" s="1">
        <v>7.9145231499802105E-4</v>
      </c>
      <c r="F4848" s="1">
        <v>8.5442707945352393E-3</v>
      </c>
    </row>
    <row r="4849" spans="1:6" x14ac:dyDescent="0.25">
      <c r="A4849" s="2" t="str">
        <f t="shared" si="172"/>
        <v>31420</v>
      </c>
      <c r="B4849" s="2" t="str">
        <f>"31032"</f>
        <v>31032</v>
      </c>
      <c r="C4849" s="1">
        <v>4.9997089324473699E-2</v>
      </c>
      <c r="D4849" s="1">
        <v>2.94733170561562E-2</v>
      </c>
      <c r="E4849" s="1">
        <v>1.97863078749505E-2</v>
      </c>
      <c r="F4849" s="1">
        <v>4.7675094232803403E-2</v>
      </c>
    </row>
    <row r="4850" spans="1:6" x14ac:dyDescent="0.25">
      <c r="A4850" s="2" t="str">
        <f t="shared" si="172"/>
        <v>31420</v>
      </c>
      <c r="B4850" s="2" t="str">
        <f>"30204"</f>
        <v>30204</v>
      </c>
      <c r="C4850" s="1">
        <v>9.9794589470007496E-4</v>
      </c>
      <c r="D4850" s="1">
        <v>8.7199162888036198E-4</v>
      </c>
      <c r="E4850" s="1">
        <v>7.9145231499802105E-4</v>
      </c>
      <c r="F4850" s="1">
        <v>9.83298818551571E-4</v>
      </c>
    </row>
    <row r="4851" spans="1:6" x14ac:dyDescent="0.25">
      <c r="A4851" s="2" t="str">
        <f t="shared" si="172"/>
        <v>31420</v>
      </c>
      <c r="B4851" s="2" t="str">
        <f>"31216"</f>
        <v>31216</v>
      </c>
      <c r="C4851" s="1">
        <v>6.1140818481957897E-2</v>
      </c>
      <c r="D4851" s="1">
        <v>4.49075688873386E-2</v>
      </c>
      <c r="E4851" s="1">
        <v>2.6909378709932701E-2</v>
      </c>
      <c r="F4851" s="1">
        <v>5.9109667615202303E-2</v>
      </c>
    </row>
    <row r="4852" spans="1:6" x14ac:dyDescent="0.25">
      <c r="A4852" s="2" t="str">
        <f t="shared" si="172"/>
        <v>31420</v>
      </c>
      <c r="B4852" s="2" t="str">
        <f>"31204"</f>
        <v>31204</v>
      </c>
      <c r="C4852" s="1">
        <v>0.138639633421208</v>
      </c>
      <c r="D4852" s="1">
        <v>0.13480990582490401</v>
      </c>
      <c r="E4852" s="1">
        <v>0.22952117134942601</v>
      </c>
      <c r="F4852" s="1">
        <v>0.14002324160843799</v>
      </c>
    </row>
    <row r="4853" spans="1:6" x14ac:dyDescent="0.25">
      <c r="A4853" s="2" t="str">
        <f t="shared" si="172"/>
        <v>31420</v>
      </c>
      <c r="B4853" s="2" t="str">
        <f>"31086"</f>
        <v>31086</v>
      </c>
      <c r="C4853" s="1">
        <v>0</v>
      </c>
      <c r="D4853" s="1">
        <v>8.7199162888036206E-5</v>
      </c>
      <c r="E4853" s="1">
        <v>0</v>
      </c>
      <c r="F4853" s="1">
        <v>7.4492334738755301E-6</v>
      </c>
    </row>
    <row r="4854" spans="1:6" x14ac:dyDescent="0.25">
      <c r="A4854" s="2" t="str">
        <f t="shared" si="172"/>
        <v>31420</v>
      </c>
      <c r="B4854" s="2" t="str">
        <f>"31295"</f>
        <v>31295</v>
      </c>
      <c r="C4854" s="1">
        <v>0</v>
      </c>
      <c r="D4854" s="1">
        <v>1.7439832577607201E-4</v>
      </c>
      <c r="E4854" s="1">
        <v>0</v>
      </c>
      <c r="F4854" s="1">
        <v>1.4898466947751001E-5</v>
      </c>
    </row>
    <row r="4855" spans="1:6" x14ac:dyDescent="0.25">
      <c r="A4855" s="2" t="str">
        <f t="shared" si="172"/>
        <v>31420</v>
      </c>
      <c r="B4855" s="2" t="str">
        <f>"31004"</f>
        <v>31004</v>
      </c>
      <c r="C4855" s="1">
        <v>2.7776160735818699E-3</v>
      </c>
      <c r="D4855" s="1">
        <v>9.2431112661318406E-3</v>
      </c>
      <c r="E4855" s="1">
        <v>7.9145231499802105E-4</v>
      </c>
      <c r="F4855" s="1">
        <v>3.29256119545298E-3</v>
      </c>
    </row>
    <row r="4856" spans="1:6" x14ac:dyDescent="0.25">
      <c r="A4856" s="2" t="str">
        <f t="shared" si="172"/>
        <v>31420</v>
      </c>
      <c r="B4856" s="2" t="str">
        <f>"31078"</f>
        <v>31078</v>
      </c>
      <c r="C4856" s="1">
        <v>1.35886965994993E-2</v>
      </c>
      <c r="D4856" s="1">
        <v>1.2120683641436999E-2</v>
      </c>
      <c r="E4856" s="1">
        <v>2.3743569449940602E-3</v>
      </c>
      <c r="F4856" s="1">
        <v>1.32521863500245E-2</v>
      </c>
    </row>
    <row r="4857" spans="1:6" x14ac:dyDescent="0.25">
      <c r="A4857" s="2" t="str">
        <f t="shared" si="172"/>
        <v>31420</v>
      </c>
      <c r="B4857" s="2" t="str">
        <f>"31044"</f>
        <v>31044</v>
      </c>
      <c r="C4857" s="1">
        <v>1.29899290626793E-2</v>
      </c>
      <c r="D4857" s="1">
        <v>9.6791070805720206E-3</v>
      </c>
      <c r="E4857" s="1">
        <v>4.7487138899881204E-3</v>
      </c>
      <c r="F4857" s="1">
        <v>1.2551958403480201E-2</v>
      </c>
    </row>
    <row r="4858" spans="1:6" x14ac:dyDescent="0.25">
      <c r="A4858" s="2" t="str">
        <f t="shared" si="172"/>
        <v>31420</v>
      </c>
      <c r="B4858" s="2" t="str">
        <f>"31209"</f>
        <v>31209</v>
      </c>
      <c r="C4858" s="1">
        <v>4.5822348998311802E-3</v>
      </c>
      <c r="D4858" s="1">
        <v>1.6480641785838801E-2</v>
      </c>
      <c r="E4858" s="1">
        <v>3.9572615749900998E-4</v>
      </c>
      <c r="F4858" s="1">
        <v>5.5198820041417697E-3</v>
      </c>
    </row>
    <row r="4859" spans="1:6" x14ac:dyDescent="0.25">
      <c r="A4859" s="2" t="str">
        <f t="shared" si="172"/>
        <v>31420</v>
      </c>
      <c r="B4859" s="2" t="str">
        <f>"31205"</f>
        <v>31205</v>
      </c>
      <c r="C4859" s="1">
        <v>9.7549211206932294E-3</v>
      </c>
      <c r="D4859" s="1">
        <v>1.63934426229508E-2</v>
      </c>
      <c r="E4859" s="1">
        <v>7.9145231499802105E-4</v>
      </c>
      <c r="F4859" s="1">
        <v>1.0153305224892301E-2</v>
      </c>
    </row>
    <row r="4860" spans="1:6" x14ac:dyDescent="0.25">
      <c r="A4860" s="2" t="str">
        <f t="shared" si="172"/>
        <v>31420</v>
      </c>
      <c r="B4860" s="2" t="str">
        <f>"31217"</f>
        <v>31217</v>
      </c>
      <c r="C4860" s="1">
        <v>7.9078895939191804E-2</v>
      </c>
      <c r="D4860" s="1">
        <v>4.0460411580048802E-2</v>
      </c>
      <c r="E4860" s="1">
        <v>4.6299960427384199E-2</v>
      </c>
      <c r="F4860" s="1">
        <v>7.5162765751404098E-2</v>
      </c>
    </row>
    <row r="4861" spans="1:6" x14ac:dyDescent="0.25">
      <c r="A4861" s="2" t="str">
        <f t="shared" si="172"/>
        <v>31420</v>
      </c>
      <c r="B4861" s="2" t="str">
        <f>"31061"</f>
        <v>31061</v>
      </c>
      <c r="C4861" s="1">
        <v>7.4845942102505606E-5</v>
      </c>
      <c r="D4861" s="1">
        <v>0</v>
      </c>
      <c r="E4861" s="1">
        <v>3.9572615749900998E-4</v>
      </c>
      <c r="F4861" s="1">
        <v>7.4492334738755301E-5</v>
      </c>
    </row>
    <row r="4862" spans="1:6" x14ac:dyDescent="0.25">
      <c r="A4862" s="2" t="str">
        <f t="shared" si="172"/>
        <v>31420</v>
      </c>
      <c r="B4862" s="2" t="str">
        <f>"31052"</f>
        <v>31052</v>
      </c>
      <c r="C4862" s="1">
        <v>4.1456335708998898E-2</v>
      </c>
      <c r="D4862" s="1">
        <v>1.40390652249738E-2</v>
      </c>
      <c r="E4862" s="1">
        <v>2.77008310249307E-3</v>
      </c>
      <c r="F4862" s="1">
        <v>3.8385900090880602E-2</v>
      </c>
    </row>
    <row r="4863" spans="1:6" x14ac:dyDescent="0.25">
      <c r="A4863" s="2" t="str">
        <f t="shared" si="172"/>
        <v>31420</v>
      </c>
      <c r="B4863" s="2" t="str">
        <f>"31046"</f>
        <v>31046</v>
      </c>
      <c r="C4863" s="1">
        <v>1.31645695942518E-2</v>
      </c>
      <c r="D4863" s="1">
        <v>6.7143355423787904E-3</v>
      </c>
      <c r="E4863" s="1">
        <v>5.9358923624851598E-3</v>
      </c>
      <c r="F4863" s="1">
        <v>1.24774660687415E-2</v>
      </c>
    </row>
    <row r="4864" spans="1:6" x14ac:dyDescent="0.25">
      <c r="A4864" s="2" t="str">
        <f t="shared" si="172"/>
        <v>31420</v>
      </c>
      <c r="B4864" s="2" t="str">
        <f>"31031"</f>
        <v>31031</v>
      </c>
      <c r="C4864" s="1">
        <v>2.2453782630751699E-3</v>
      </c>
      <c r="D4864" s="1">
        <v>4.3599581444018099E-4</v>
      </c>
      <c r="E4864" s="1">
        <v>0</v>
      </c>
      <c r="F4864" s="1">
        <v>2.0485392053157699E-3</v>
      </c>
    </row>
    <row r="4865" spans="1:6" x14ac:dyDescent="0.25">
      <c r="A4865" s="2" t="str">
        <f t="shared" si="172"/>
        <v>31420</v>
      </c>
      <c r="B4865" s="2" t="str">
        <f>"30233"</f>
        <v>30233</v>
      </c>
      <c r="C4865" s="1">
        <v>8.4991725365289698E-3</v>
      </c>
      <c r="D4865" s="1">
        <v>2.8775723753051898E-3</v>
      </c>
      <c r="E4865" s="1">
        <v>2.77008310249307E-3</v>
      </c>
      <c r="F4865" s="1">
        <v>7.9110859492558198E-3</v>
      </c>
    </row>
    <row r="4866" spans="1:6" x14ac:dyDescent="0.25">
      <c r="A4866" s="2" t="str">
        <f t="shared" ref="A4866:A4897" si="173">"17980"</f>
        <v>17980</v>
      </c>
      <c r="B4866" s="2" t="str">
        <f>"36877"</f>
        <v>36877</v>
      </c>
      <c r="C4866" s="1">
        <v>8.6186729706103204E-5</v>
      </c>
      <c r="D4866" s="1">
        <v>0</v>
      </c>
      <c r="E4866" s="1">
        <v>0</v>
      </c>
      <c r="F4866" s="1">
        <v>7.5853213196291804E-5</v>
      </c>
    </row>
    <row r="4867" spans="1:6" x14ac:dyDescent="0.25">
      <c r="A4867" s="2" t="str">
        <f t="shared" si="173"/>
        <v>17980</v>
      </c>
      <c r="B4867" s="2" t="str">
        <f>"36871"</f>
        <v>36871</v>
      </c>
      <c r="C4867" s="1">
        <v>4.4263041899062997E-3</v>
      </c>
      <c r="D4867" s="1">
        <v>1.6250650026001E-3</v>
      </c>
      <c r="E4867" s="1">
        <v>5.9303187546330596E-4</v>
      </c>
      <c r="F4867" s="1">
        <v>4.0527288193447303E-3</v>
      </c>
    </row>
    <row r="4868" spans="1:6" x14ac:dyDescent="0.25">
      <c r="A4868" s="2" t="str">
        <f t="shared" si="173"/>
        <v>17980</v>
      </c>
      <c r="B4868" s="2" t="str">
        <f>"36027"</f>
        <v>36027</v>
      </c>
      <c r="C4868" s="1">
        <v>5.2943276819463403E-4</v>
      </c>
      <c r="D4868" s="1">
        <v>3.90015600624024E-4</v>
      </c>
      <c r="E4868" s="1">
        <v>0</v>
      </c>
      <c r="F4868" s="1">
        <v>4.9846397243277502E-4</v>
      </c>
    </row>
    <row r="4869" spans="1:6" x14ac:dyDescent="0.25">
      <c r="A4869" s="2" t="str">
        <f t="shared" si="173"/>
        <v>17980</v>
      </c>
      <c r="B4869" s="2" t="str">
        <f>"31998"</f>
        <v>31998</v>
      </c>
      <c r="C4869" s="1">
        <v>0</v>
      </c>
      <c r="D4869" s="1">
        <v>0</v>
      </c>
      <c r="E4869" s="1">
        <v>1.48257968865826E-4</v>
      </c>
      <c r="F4869" s="1">
        <v>5.41808665687799E-6</v>
      </c>
    </row>
    <row r="4870" spans="1:6" x14ac:dyDescent="0.25">
      <c r="A4870" s="2" t="str">
        <f t="shared" si="173"/>
        <v>17980</v>
      </c>
      <c r="B4870" s="2" t="str">
        <f>"31821"</f>
        <v>31821</v>
      </c>
      <c r="C4870" s="1">
        <v>5.0480798827860405E-4</v>
      </c>
      <c r="D4870" s="1">
        <v>3.90015600624024E-4</v>
      </c>
      <c r="E4870" s="1">
        <v>0</v>
      </c>
      <c r="F4870" s="1">
        <v>4.7679162580526298E-4</v>
      </c>
    </row>
    <row r="4871" spans="1:6" x14ac:dyDescent="0.25">
      <c r="A4871" s="2" t="str">
        <f t="shared" si="173"/>
        <v>17980</v>
      </c>
      <c r="B4871" s="2" t="str">
        <f>"31816"</f>
        <v>31816</v>
      </c>
      <c r="C4871" s="1">
        <v>9.17273051872098E-4</v>
      </c>
      <c r="D4871" s="1">
        <v>1.3000520020800801E-4</v>
      </c>
      <c r="E4871" s="1">
        <v>0</v>
      </c>
      <c r="F4871" s="1">
        <v>8.1813108518857596E-4</v>
      </c>
    </row>
    <row r="4872" spans="1:6" x14ac:dyDescent="0.25">
      <c r="A4872" s="2" t="str">
        <f t="shared" si="173"/>
        <v>17980</v>
      </c>
      <c r="B4872" s="2" t="str">
        <f>"31836"</f>
        <v>31836</v>
      </c>
      <c r="C4872" s="1">
        <v>2.57328950122508E-3</v>
      </c>
      <c r="D4872" s="1">
        <v>4.5501820072802899E-4</v>
      </c>
      <c r="E4872" s="1">
        <v>0</v>
      </c>
      <c r="F4872" s="1">
        <v>2.3026868291731398E-3</v>
      </c>
    </row>
    <row r="4873" spans="1:6" x14ac:dyDescent="0.25">
      <c r="A4873" s="2" t="str">
        <f t="shared" si="173"/>
        <v>17980</v>
      </c>
      <c r="B4873" s="2" t="str">
        <f>"31827"</f>
        <v>31827</v>
      </c>
      <c r="C4873" s="1">
        <v>4.9064873982688703E-3</v>
      </c>
      <c r="D4873" s="1">
        <v>1.5600624024960899E-3</v>
      </c>
      <c r="E4873" s="1">
        <v>7.4128984432913201E-4</v>
      </c>
      <c r="F4873" s="1">
        <v>4.4753395785812099E-3</v>
      </c>
    </row>
    <row r="4874" spans="1:6" x14ac:dyDescent="0.25">
      <c r="A4874" s="2" t="str">
        <f t="shared" si="173"/>
        <v>17980</v>
      </c>
      <c r="B4874" s="2" t="str">
        <f>"31825"</f>
        <v>31825</v>
      </c>
      <c r="C4874" s="1">
        <v>5.77451089030891E-3</v>
      </c>
      <c r="D4874" s="1">
        <v>5.8502340093603703E-3</v>
      </c>
      <c r="E4874" s="1">
        <v>3.85470719051148E-3</v>
      </c>
      <c r="F4874" s="1">
        <v>5.7106633363494001E-3</v>
      </c>
    </row>
    <row r="4875" spans="1:6" x14ac:dyDescent="0.25">
      <c r="A4875" s="2" t="str">
        <f t="shared" si="173"/>
        <v>17980</v>
      </c>
      <c r="B4875" s="2" t="str">
        <f>"31906"</f>
        <v>31906</v>
      </c>
      <c r="C4875" s="1">
        <v>7.6687720853494803E-2</v>
      </c>
      <c r="D4875" s="1">
        <v>6.6302652106084201E-2</v>
      </c>
      <c r="E4875" s="1">
        <v>0.10748702742772399</v>
      </c>
      <c r="F4875" s="1">
        <v>7.6947666700981202E-2</v>
      </c>
    </row>
    <row r="4876" spans="1:6" x14ac:dyDescent="0.25">
      <c r="A4876" s="2" t="str">
        <f t="shared" si="173"/>
        <v>17980</v>
      </c>
      <c r="B4876" s="2" t="str">
        <f>"36874"</f>
        <v>36874</v>
      </c>
      <c r="C4876" s="1">
        <v>1.9515138083453299E-3</v>
      </c>
      <c r="D4876" s="1">
        <v>6.5002600104004099E-5</v>
      </c>
      <c r="E4876" s="1">
        <v>8.8954781319495904E-4</v>
      </c>
      <c r="F4876" s="1">
        <v>1.75546007682846E-3</v>
      </c>
    </row>
    <row r="4877" spans="1:6" x14ac:dyDescent="0.25">
      <c r="A4877" s="2" t="str">
        <f t="shared" si="173"/>
        <v>17980</v>
      </c>
      <c r="B4877" s="2" t="str">
        <f>"36860"</f>
        <v>36860</v>
      </c>
      <c r="C4877" s="1">
        <v>3.4967187480761802E-3</v>
      </c>
      <c r="D4877" s="1">
        <v>5.2002080083203301E-4</v>
      </c>
      <c r="E4877" s="1">
        <v>5.9303187546330596E-4</v>
      </c>
      <c r="F4877" s="1">
        <v>3.1424902609892302E-3</v>
      </c>
    </row>
    <row r="4878" spans="1:6" x14ac:dyDescent="0.25">
      <c r="A4878" s="2" t="str">
        <f t="shared" si="173"/>
        <v>17980</v>
      </c>
      <c r="B4878" s="2" t="str">
        <f>"36053"</f>
        <v>36053</v>
      </c>
      <c r="C4878" s="1">
        <v>1.23123899580147E-5</v>
      </c>
      <c r="D4878" s="1">
        <v>0</v>
      </c>
      <c r="E4878" s="1">
        <v>0</v>
      </c>
      <c r="F4878" s="1">
        <v>1.08361733137559E-5</v>
      </c>
    </row>
    <row r="4879" spans="1:6" x14ac:dyDescent="0.25">
      <c r="A4879" s="2" t="str">
        <f t="shared" si="173"/>
        <v>17980</v>
      </c>
      <c r="B4879" s="2" t="str">
        <f>"31995"</f>
        <v>31995</v>
      </c>
      <c r="C4879" s="1">
        <v>9.6775385069995893E-3</v>
      </c>
      <c r="D4879" s="1">
        <v>3.3801352054082098E-3</v>
      </c>
      <c r="E4879" s="1">
        <v>2.9651593773165298E-4</v>
      </c>
      <c r="F4879" s="1">
        <v>8.8098089040836106E-3</v>
      </c>
    </row>
    <row r="4880" spans="1:6" x14ac:dyDescent="0.25">
      <c r="A4880" s="2" t="str">
        <f t="shared" si="173"/>
        <v>17980</v>
      </c>
      <c r="B4880" s="2" t="str">
        <f>"31811"</f>
        <v>31811</v>
      </c>
      <c r="C4880" s="1">
        <v>1.63016043044115E-2</v>
      </c>
      <c r="D4880" s="1">
        <v>7.5403016120644799E-3</v>
      </c>
      <c r="E4880" s="1">
        <v>4.4477390659747898E-4</v>
      </c>
      <c r="F4880" s="1">
        <v>1.4991845779581301E-2</v>
      </c>
    </row>
    <row r="4881" spans="1:6" x14ac:dyDescent="0.25">
      <c r="A4881" s="2" t="str">
        <f t="shared" si="173"/>
        <v>17980</v>
      </c>
      <c r="B4881" s="2" t="str">
        <f>"31905"</f>
        <v>31905</v>
      </c>
      <c r="C4881" s="1">
        <v>2.9241926150285001E-2</v>
      </c>
      <c r="D4881" s="1">
        <v>7.0982839313572493E-2</v>
      </c>
      <c r="E4881" s="1">
        <v>0.16130467012601901</v>
      </c>
      <c r="F4881" s="1">
        <v>3.7547340532164401E-2</v>
      </c>
    </row>
    <row r="4882" spans="1:6" x14ac:dyDescent="0.25">
      <c r="A4882" s="2" t="str">
        <f t="shared" si="173"/>
        <v>17980</v>
      </c>
      <c r="B4882" s="2" t="str">
        <f>"39867"</f>
        <v>39867</v>
      </c>
      <c r="C4882" s="1">
        <v>5.54057548110663E-5</v>
      </c>
      <c r="D4882" s="1">
        <v>0</v>
      </c>
      <c r="E4882" s="1">
        <v>0</v>
      </c>
      <c r="F4882" s="1">
        <v>4.8762779911901898E-5</v>
      </c>
    </row>
    <row r="4883" spans="1:6" x14ac:dyDescent="0.25">
      <c r="A4883" s="2" t="str">
        <f t="shared" si="173"/>
        <v>17980</v>
      </c>
      <c r="B4883" s="2" t="str">
        <f>"39854"</f>
        <v>39854</v>
      </c>
      <c r="C4883" s="1">
        <v>6.1561949790073702E-6</v>
      </c>
      <c r="D4883" s="1">
        <v>0</v>
      </c>
      <c r="E4883" s="1">
        <v>0</v>
      </c>
      <c r="F4883" s="1">
        <v>5.41808665687799E-6</v>
      </c>
    </row>
    <row r="4884" spans="1:6" x14ac:dyDescent="0.25">
      <c r="A4884" s="2" t="str">
        <f t="shared" si="173"/>
        <v>17980</v>
      </c>
      <c r="B4884" s="2" t="str">
        <f>"36870"</f>
        <v>36870</v>
      </c>
      <c r="C4884" s="1">
        <v>1.41777170366539E-2</v>
      </c>
      <c r="D4884" s="1">
        <v>1.89157566302652E-2</v>
      </c>
      <c r="E4884" s="1">
        <v>9.6367679762787203E-3</v>
      </c>
      <c r="F4884" s="1">
        <v>1.44066924206385E-2</v>
      </c>
    </row>
    <row r="4885" spans="1:6" x14ac:dyDescent="0.25">
      <c r="A4885" s="2" t="str">
        <f t="shared" si="173"/>
        <v>17980</v>
      </c>
      <c r="B4885" s="2" t="str">
        <f>"36851"</f>
        <v>36851</v>
      </c>
      <c r="C4885" s="1">
        <v>0</v>
      </c>
      <c r="D4885" s="1">
        <v>6.5002600104004099E-5</v>
      </c>
      <c r="E4885" s="1">
        <v>0</v>
      </c>
      <c r="F4885" s="1">
        <v>5.41808665687799E-6</v>
      </c>
    </row>
    <row r="4886" spans="1:6" x14ac:dyDescent="0.25">
      <c r="A4886" s="2" t="str">
        <f t="shared" si="173"/>
        <v>17980</v>
      </c>
      <c r="B4886" s="2" t="str">
        <f>"31824"</f>
        <v>31824</v>
      </c>
      <c r="C4886" s="1">
        <v>1.8468584937022101E-5</v>
      </c>
      <c r="D4886" s="1">
        <v>6.5002600104004099E-5</v>
      </c>
      <c r="E4886" s="1">
        <v>0</v>
      </c>
      <c r="F4886" s="1">
        <v>2.1672346627511899E-5</v>
      </c>
    </row>
    <row r="4887" spans="1:6" x14ac:dyDescent="0.25">
      <c r="A4887" s="2" t="str">
        <f t="shared" si="173"/>
        <v>17980</v>
      </c>
      <c r="B4887" s="2" t="str">
        <f>"31833"</f>
        <v>31833</v>
      </c>
      <c r="C4887" s="1">
        <v>6.3962865831886598E-3</v>
      </c>
      <c r="D4887" s="1">
        <v>2.2100884035361401E-3</v>
      </c>
      <c r="E4887" s="1">
        <v>3.5581912527798301E-3</v>
      </c>
      <c r="F4887" s="1">
        <v>5.9436410625951499E-3</v>
      </c>
    </row>
    <row r="4888" spans="1:6" x14ac:dyDescent="0.25">
      <c r="A4888" s="2" t="str">
        <f t="shared" si="173"/>
        <v>17980</v>
      </c>
      <c r="B4888" s="2" t="str">
        <f>"31901"</f>
        <v>31901</v>
      </c>
      <c r="C4888" s="1">
        <v>2.6317733535256502E-2</v>
      </c>
      <c r="D4888" s="1">
        <v>0.10257410296411799</v>
      </c>
      <c r="E4888" s="1">
        <v>9.5922905856189705E-2</v>
      </c>
      <c r="F4888" s="1">
        <v>3.5217563269706903E-2</v>
      </c>
    </row>
    <row r="4889" spans="1:6" x14ac:dyDescent="0.25">
      <c r="A4889" s="2" t="str">
        <f t="shared" si="173"/>
        <v>17980</v>
      </c>
      <c r="B4889" s="2" t="str">
        <f>"31805"</f>
        <v>31805</v>
      </c>
      <c r="C4889" s="1">
        <v>7.3935901697878498E-3</v>
      </c>
      <c r="D4889" s="1">
        <v>2.6001040041601598E-3</v>
      </c>
      <c r="E4889" s="1">
        <v>0</v>
      </c>
      <c r="F4889" s="1">
        <v>6.7238455411855799E-3</v>
      </c>
    </row>
    <row r="4890" spans="1:6" x14ac:dyDescent="0.25">
      <c r="A4890" s="2" t="str">
        <f t="shared" si="173"/>
        <v>17980</v>
      </c>
      <c r="B4890" s="2" t="str">
        <f>"31803"</f>
        <v>31803</v>
      </c>
      <c r="C4890" s="1">
        <v>1.55751732968886E-2</v>
      </c>
      <c r="D4890" s="1">
        <v>1.09854394175767E-2</v>
      </c>
      <c r="E4890" s="1">
        <v>7.4128984432913197E-3</v>
      </c>
      <c r="F4890" s="1">
        <v>1.4894320219757499E-2</v>
      </c>
    </row>
    <row r="4891" spans="1:6" x14ac:dyDescent="0.25">
      <c r="A4891" s="2" t="str">
        <f t="shared" si="173"/>
        <v>17980</v>
      </c>
      <c r="B4891" s="2" t="str">
        <f>"31058"</f>
        <v>31058</v>
      </c>
      <c r="C4891" s="1">
        <v>3.9707457614597498E-3</v>
      </c>
      <c r="D4891" s="1">
        <v>6.5002600104004105E-4</v>
      </c>
      <c r="E4891" s="1">
        <v>5.9303187546330596E-4</v>
      </c>
      <c r="F4891" s="1">
        <v>3.5705191068825899E-3</v>
      </c>
    </row>
    <row r="4892" spans="1:6" x14ac:dyDescent="0.25">
      <c r="A4892" s="2" t="str">
        <f t="shared" si="173"/>
        <v>17980</v>
      </c>
      <c r="B4892" s="2" t="str">
        <f>"36856"</f>
        <v>36856</v>
      </c>
      <c r="C4892" s="1">
        <v>2.59729866164321E-2</v>
      </c>
      <c r="D4892" s="1">
        <v>7.1502860114404498E-3</v>
      </c>
      <c r="E4892" s="1">
        <v>6.8198665678280198E-3</v>
      </c>
      <c r="F4892" s="1">
        <v>2.3704129123841199E-2</v>
      </c>
    </row>
    <row r="4893" spans="1:6" x14ac:dyDescent="0.25">
      <c r="A4893" s="2" t="str">
        <f t="shared" si="173"/>
        <v>17980</v>
      </c>
      <c r="B4893" s="2" t="str">
        <f>"31830"</f>
        <v>31830</v>
      </c>
      <c r="C4893" s="1">
        <v>4.2477745355150803E-4</v>
      </c>
      <c r="D4893" s="1">
        <v>1.3000520020800801E-4</v>
      </c>
      <c r="E4893" s="1">
        <v>0</v>
      </c>
      <c r="F4893" s="1">
        <v>3.8468415263833702E-4</v>
      </c>
    </row>
    <row r="4894" spans="1:6" x14ac:dyDescent="0.25">
      <c r="A4894" s="2" t="str">
        <f t="shared" si="173"/>
        <v>17980</v>
      </c>
      <c r="B4894" s="2" t="str">
        <f>"31820"</f>
        <v>31820</v>
      </c>
      <c r="C4894" s="1">
        <v>3.14212191728536E-2</v>
      </c>
      <c r="D4894" s="1">
        <v>1.48205928237129E-2</v>
      </c>
      <c r="E4894" s="1">
        <v>6.6716085989621896E-3</v>
      </c>
      <c r="F4894" s="1">
        <v>2.9133051954032901E-2</v>
      </c>
    </row>
    <row r="4895" spans="1:6" x14ac:dyDescent="0.25">
      <c r="A4895" s="2" t="str">
        <f t="shared" si="173"/>
        <v>17980</v>
      </c>
      <c r="B4895" s="2" t="str">
        <f>"31904"</f>
        <v>31904</v>
      </c>
      <c r="C4895" s="1">
        <v>0.100062793188785</v>
      </c>
      <c r="D4895" s="1">
        <v>0.14814092563702499</v>
      </c>
      <c r="E4895" s="1">
        <v>0.16412157153446899</v>
      </c>
      <c r="F4895" s="1">
        <v>0.106411221941083</v>
      </c>
    </row>
    <row r="4896" spans="1:6" x14ac:dyDescent="0.25">
      <c r="A4896" s="2" t="str">
        <f t="shared" si="173"/>
        <v>17980</v>
      </c>
      <c r="B4896" s="2" t="str">
        <f>"31902"</f>
        <v>31902</v>
      </c>
      <c r="C4896" s="1">
        <v>6.7287211120550597E-3</v>
      </c>
      <c r="D4896" s="1">
        <v>3.5816432657306198E-2</v>
      </c>
      <c r="E4896" s="1">
        <v>2.9651593773165298E-4</v>
      </c>
      <c r="F4896" s="1">
        <v>8.9181706372211695E-3</v>
      </c>
    </row>
    <row r="4897" spans="1:6" x14ac:dyDescent="0.25">
      <c r="A4897" s="2" t="str">
        <f t="shared" si="173"/>
        <v>17980</v>
      </c>
      <c r="B4897" s="2" t="str">
        <f>"36875"</f>
        <v>36875</v>
      </c>
      <c r="C4897" s="1">
        <v>1.6523227323655701E-2</v>
      </c>
      <c r="D4897" s="1">
        <v>4.1601664066562597E-3</v>
      </c>
      <c r="E4897" s="1">
        <v>7.8576723498887998E-3</v>
      </c>
      <c r="F4897" s="1">
        <v>1.5176060725915199E-2</v>
      </c>
    </row>
    <row r="4898" spans="1:6" x14ac:dyDescent="0.25">
      <c r="A4898" s="2" t="str">
        <f t="shared" ref="A4898:A4921" si="174">"17980"</f>
        <v>17980</v>
      </c>
      <c r="B4898" s="2" t="str">
        <f>"36869"</f>
        <v>36869</v>
      </c>
      <c r="C4898" s="1">
        <v>6.6850121277041E-2</v>
      </c>
      <c r="D4898" s="1">
        <v>2.4830993239729499E-2</v>
      </c>
      <c r="E4898" s="1">
        <v>4.1957005189028902E-2</v>
      </c>
      <c r="F4898" s="1">
        <v>6.2438030633861899E-2</v>
      </c>
    </row>
    <row r="4899" spans="1:6" x14ac:dyDescent="0.25">
      <c r="A4899" s="2" t="str">
        <f t="shared" si="174"/>
        <v>17980</v>
      </c>
      <c r="B4899" s="2" t="str">
        <f>"31909"</f>
        <v>31909</v>
      </c>
      <c r="C4899" s="1">
        <v>0.109303241852275</v>
      </c>
      <c r="D4899" s="1">
        <v>0.101404056162246</v>
      </c>
      <c r="E4899" s="1">
        <v>7.0570793180133401E-2</v>
      </c>
      <c r="F4899" s="1">
        <v>0.107229353026272</v>
      </c>
    </row>
    <row r="4900" spans="1:6" x14ac:dyDescent="0.25">
      <c r="A4900" s="2" t="str">
        <f t="shared" si="174"/>
        <v>17980</v>
      </c>
      <c r="B4900" s="2" t="str">
        <f>"31917"</f>
        <v>31917</v>
      </c>
      <c r="C4900" s="1">
        <v>4.9865179329959698E-3</v>
      </c>
      <c r="D4900" s="1">
        <v>1.8460738429537101E-2</v>
      </c>
      <c r="E4900" s="1">
        <v>2.9651593773165298E-4</v>
      </c>
      <c r="F4900" s="1">
        <v>5.9382229759382702E-3</v>
      </c>
    </row>
    <row r="4901" spans="1:6" x14ac:dyDescent="0.25">
      <c r="A4901" s="2" t="str">
        <f t="shared" si="174"/>
        <v>17980</v>
      </c>
      <c r="B4901" s="2" t="str">
        <f>"31826"</f>
        <v>31826</v>
      </c>
      <c r="C4901" s="1">
        <v>6.3224122434405701E-3</v>
      </c>
      <c r="D4901" s="1">
        <v>1.49505980239209E-3</v>
      </c>
      <c r="E4901" s="1">
        <v>0</v>
      </c>
      <c r="F4901" s="1">
        <v>5.6889909897218796E-3</v>
      </c>
    </row>
    <row r="4902" spans="1:6" x14ac:dyDescent="0.25">
      <c r="A4902" s="2" t="str">
        <f t="shared" si="174"/>
        <v>17980</v>
      </c>
      <c r="B4902" s="2" t="str">
        <f>"31823"</f>
        <v>31823</v>
      </c>
      <c r="C4902" s="1">
        <v>2.1546682426525801E-3</v>
      </c>
      <c r="D4902" s="1">
        <v>6.5002600104004105E-4</v>
      </c>
      <c r="E4902" s="1">
        <v>0</v>
      </c>
      <c r="F4902" s="1">
        <v>1.95051119647607E-3</v>
      </c>
    </row>
    <row r="4903" spans="1:6" x14ac:dyDescent="0.25">
      <c r="A4903" s="2" t="str">
        <f t="shared" si="174"/>
        <v>17980</v>
      </c>
      <c r="B4903" s="2" t="str">
        <f>"31815"</f>
        <v>31815</v>
      </c>
      <c r="C4903" s="1">
        <v>3.4413129932651201E-3</v>
      </c>
      <c r="D4903" s="1">
        <v>3.90015600624024E-4</v>
      </c>
      <c r="E4903" s="1">
        <v>1.4825796886582599E-3</v>
      </c>
      <c r="F4903" s="1">
        <v>3.11539982770484E-3</v>
      </c>
    </row>
    <row r="4904" spans="1:6" x14ac:dyDescent="0.25">
      <c r="A4904" s="2" t="str">
        <f t="shared" si="174"/>
        <v>17980</v>
      </c>
      <c r="B4904" s="2" t="str">
        <f>"31804"</f>
        <v>31804</v>
      </c>
      <c r="C4904" s="1">
        <v>1.7495906130338901E-2</v>
      </c>
      <c r="D4904" s="1">
        <v>9.2303692147685905E-3</v>
      </c>
      <c r="E4904" s="1">
        <v>4.4477390659747898E-4</v>
      </c>
      <c r="F4904" s="1">
        <v>1.6183824844094499E-2</v>
      </c>
    </row>
    <row r="4905" spans="1:6" x14ac:dyDescent="0.25">
      <c r="A4905" s="2" t="str">
        <f t="shared" si="174"/>
        <v>17980</v>
      </c>
      <c r="B4905" s="2" t="str">
        <f>"31801"</f>
        <v>31801</v>
      </c>
      <c r="C4905" s="1">
        <v>7.8491485982343998E-3</v>
      </c>
      <c r="D4905" s="1">
        <v>2.3400936037441399E-3</v>
      </c>
      <c r="E4905" s="1">
        <v>0</v>
      </c>
      <c r="F4905" s="1">
        <v>7.1031116071670402E-3</v>
      </c>
    </row>
    <row r="4906" spans="1:6" x14ac:dyDescent="0.25">
      <c r="A4906" s="2" t="str">
        <f t="shared" si="174"/>
        <v>17980</v>
      </c>
      <c r="B4906" s="2" t="str">
        <f>"36868"</f>
        <v>36868</v>
      </c>
      <c r="C4906" s="1">
        <v>1.3685221438333299E-2</v>
      </c>
      <c r="D4906" s="1">
        <v>2.47659906396255E-2</v>
      </c>
      <c r="E4906" s="1">
        <v>2.9651593773165298E-4</v>
      </c>
      <c r="F4906" s="1">
        <v>1.4119533827824E-2</v>
      </c>
    </row>
    <row r="4907" spans="1:6" x14ac:dyDescent="0.25">
      <c r="A4907" s="2" t="str">
        <f t="shared" si="174"/>
        <v>17980</v>
      </c>
      <c r="B4907" s="2" t="str">
        <f>"36867"</f>
        <v>36867</v>
      </c>
      <c r="C4907" s="1">
        <v>6.0416897523978302E-2</v>
      </c>
      <c r="D4907" s="1">
        <v>7.1047841913676496E-2</v>
      </c>
      <c r="E4907" s="1">
        <v>6.5381764269829501E-2</v>
      </c>
      <c r="F4907" s="1">
        <v>6.1484447382251402E-2</v>
      </c>
    </row>
    <row r="4908" spans="1:6" x14ac:dyDescent="0.25">
      <c r="A4908" s="2" t="str">
        <f t="shared" si="174"/>
        <v>17980</v>
      </c>
      <c r="B4908" s="2" t="str">
        <f>"31812"</f>
        <v>31812</v>
      </c>
      <c r="C4908" s="1">
        <v>1.30511333554956E-3</v>
      </c>
      <c r="D4908" s="1">
        <v>3.2501300052001998E-4</v>
      </c>
      <c r="E4908" s="1">
        <v>0</v>
      </c>
      <c r="F4908" s="1">
        <v>1.17572480454252E-3</v>
      </c>
    </row>
    <row r="4909" spans="1:6" x14ac:dyDescent="0.25">
      <c r="A4909" s="2" t="str">
        <f t="shared" si="174"/>
        <v>17980</v>
      </c>
      <c r="B4909" s="2" t="str">
        <f>"31822"</f>
        <v>31822</v>
      </c>
      <c r="C4909" s="1">
        <v>9.19735529863701E-3</v>
      </c>
      <c r="D4909" s="1">
        <v>5.2652106084243302E-3</v>
      </c>
      <c r="E4909" s="1">
        <v>4.15122312824314E-3</v>
      </c>
      <c r="F4909" s="1">
        <v>8.6851929109754093E-3</v>
      </c>
    </row>
    <row r="4910" spans="1:6" x14ac:dyDescent="0.25">
      <c r="A4910" s="2" t="str">
        <f t="shared" si="174"/>
        <v>17980</v>
      </c>
      <c r="B4910" s="2" t="str">
        <f>"31808"</f>
        <v>31808</v>
      </c>
      <c r="C4910" s="1">
        <v>2.5677489257439699E-2</v>
      </c>
      <c r="D4910" s="1">
        <v>2.82111284451378E-2</v>
      </c>
      <c r="E4910" s="1">
        <v>1.6308376575240901E-3</v>
      </c>
      <c r="F4910" s="1">
        <v>2.5009888008148799E-2</v>
      </c>
    </row>
    <row r="4911" spans="1:6" x14ac:dyDescent="0.25">
      <c r="A4911" s="2" t="str">
        <f t="shared" si="174"/>
        <v>17980</v>
      </c>
      <c r="B4911" s="2" t="str">
        <f>"36804"</f>
        <v>36804</v>
      </c>
      <c r="C4911" s="1">
        <v>2.6348514510151498E-3</v>
      </c>
      <c r="D4911" s="1">
        <v>1.0400416016640599E-3</v>
      </c>
      <c r="E4911" s="1">
        <v>4.4477390659747898E-4</v>
      </c>
      <c r="F4911" s="1">
        <v>2.4218847356244598E-3</v>
      </c>
    </row>
    <row r="4912" spans="1:6" x14ac:dyDescent="0.25">
      <c r="A4912" s="2" t="str">
        <f t="shared" si="174"/>
        <v>17980</v>
      </c>
      <c r="B4912" s="2" t="str">
        <f>"31999"</f>
        <v>31999</v>
      </c>
      <c r="C4912" s="1">
        <v>0</v>
      </c>
      <c r="D4912" s="1">
        <v>0</v>
      </c>
      <c r="E4912" s="1">
        <v>4.4477390659747898E-4</v>
      </c>
      <c r="F4912" s="1">
        <v>1.6254259970633901E-5</v>
      </c>
    </row>
    <row r="4913" spans="1:6" x14ac:dyDescent="0.25">
      <c r="A4913" s="2" t="str">
        <f t="shared" si="174"/>
        <v>17980</v>
      </c>
      <c r="B4913" s="2" t="str">
        <f>"31908"</f>
        <v>31908</v>
      </c>
      <c r="C4913" s="1">
        <v>6.9872813011733698E-3</v>
      </c>
      <c r="D4913" s="1">
        <v>3.2241289651586E-2</v>
      </c>
      <c r="E4913" s="1">
        <v>2.9651593773165298E-4</v>
      </c>
      <c r="F4913" s="1">
        <v>8.8477355106817493E-3</v>
      </c>
    </row>
    <row r="4914" spans="1:6" x14ac:dyDescent="0.25">
      <c r="A4914" s="2" t="str">
        <f t="shared" si="174"/>
        <v>17980</v>
      </c>
      <c r="B4914" s="2" t="str">
        <f>"31831"</f>
        <v>31831</v>
      </c>
      <c r="C4914" s="1">
        <v>1.04593752693335E-2</v>
      </c>
      <c r="D4914" s="1">
        <v>3.4451378055122199E-3</v>
      </c>
      <c r="E4914" s="1">
        <v>0</v>
      </c>
      <c r="F4914" s="1">
        <v>9.4924878228502298E-3</v>
      </c>
    </row>
    <row r="4915" spans="1:6" x14ac:dyDescent="0.25">
      <c r="A4915" s="2" t="str">
        <f t="shared" si="174"/>
        <v>17980</v>
      </c>
      <c r="B4915" s="2" t="str">
        <f>"31829"</f>
        <v>31829</v>
      </c>
      <c r="C4915" s="1">
        <v>3.9214962016276902E-3</v>
      </c>
      <c r="D4915" s="1">
        <v>3.2501300052001998E-4</v>
      </c>
      <c r="E4915" s="1">
        <v>1.3343217197924299E-3</v>
      </c>
      <c r="F4915" s="1">
        <v>3.5271744136275698E-3</v>
      </c>
    </row>
    <row r="4916" spans="1:6" x14ac:dyDescent="0.25">
      <c r="A4916" s="2" t="str">
        <f t="shared" si="174"/>
        <v>17980</v>
      </c>
      <c r="B4916" s="2" t="str">
        <f>"36858"</f>
        <v>36858</v>
      </c>
      <c r="C4916" s="1">
        <v>2.0007633681773901E-3</v>
      </c>
      <c r="D4916" s="1">
        <v>3.90015600624024E-4</v>
      </c>
      <c r="E4916" s="1">
        <v>1.48257968865826E-4</v>
      </c>
      <c r="F4916" s="1">
        <v>1.79880477008349E-3</v>
      </c>
    </row>
    <row r="4917" spans="1:6" x14ac:dyDescent="0.25">
      <c r="A4917" s="2" t="str">
        <f t="shared" si="174"/>
        <v>17980</v>
      </c>
      <c r="B4917" s="2" t="str">
        <f>"31914"</f>
        <v>31914</v>
      </c>
      <c r="C4917" s="1">
        <v>2.5794456962040901E-3</v>
      </c>
      <c r="D4917" s="1">
        <v>1.3520540821632799E-2</v>
      </c>
      <c r="E4917" s="1">
        <v>2.9651593773165298E-4</v>
      </c>
      <c r="F4917" s="1">
        <v>3.4079765071762498E-3</v>
      </c>
    </row>
    <row r="4918" spans="1:6" x14ac:dyDescent="0.25">
      <c r="A4918" s="2" t="str">
        <f t="shared" si="174"/>
        <v>17980</v>
      </c>
      <c r="B4918" s="2" t="str">
        <f>"31907"</f>
        <v>31907</v>
      </c>
      <c r="C4918" s="1">
        <v>0.15607185510779401</v>
      </c>
      <c r="D4918" s="1">
        <v>9.5553822152886103E-2</v>
      </c>
      <c r="E4918" s="1">
        <v>0.13862120088954699</v>
      </c>
      <c r="F4918" s="1">
        <v>0.150389831334962</v>
      </c>
    </row>
    <row r="4919" spans="1:6" x14ac:dyDescent="0.25">
      <c r="A4919" s="2" t="str">
        <f t="shared" si="174"/>
        <v>17980</v>
      </c>
      <c r="B4919" s="2" t="str">
        <f>"31810"</f>
        <v>31810</v>
      </c>
      <c r="C4919" s="1">
        <v>0</v>
      </c>
      <c r="D4919" s="1">
        <v>6.5002600104004099E-5</v>
      </c>
      <c r="E4919" s="1">
        <v>0</v>
      </c>
      <c r="F4919" s="1">
        <v>5.41808665687799E-6</v>
      </c>
    </row>
    <row r="4920" spans="1:6" x14ac:dyDescent="0.25">
      <c r="A4920" s="2" t="str">
        <f t="shared" si="174"/>
        <v>17980</v>
      </c>
      <c r="B4920" s="2" t="str">
        <f>"31903"</f>
        <v>31903</v>
      </c>
      <c r="C4920" s="1">
        <v>6.7964392568241397E-2</v>
      </c>
      <c r="D4920" s="1">
        <v>5.5967238689547498E-2</v>
      </c>
      <c r="E4920" s="1">
        <v>9.2957746478873199E-2</v>
      </c>
      <c r="F4920" s="1">
        <v>6.7877789637367403E-2</v>
      </c>
    </row>
    <row r="4921" spans="1:6" x14ac:dyDescent="0.25">
      <c r="A4921" s="2" t="str">
        <f t="shared" si="174"/>
        <v>17980</v>
      </c>
      <c r="B4921" s="2" t="str">
        <f>"31807"</f>
        <v>31807</v>
      </c>
      <c r="C4921" s="1">
        <v>6.5625038476218598E-3</v>
      </c>
      <c r="D4921" s="1">
        <v>1.5600624024960899E-3</v>
      </c>
      <c r="E4921" s="1">
        <v>0</v>
      </c>
      <c r="F4921" s="1">
        <v>5.905714455997E-3</v>
      </c>
    </row>
    <row r="4922" spans="1:6" x14ac:dyDescent="0.25">
      <c r="A4922" s="2" t="str">
        <f t="shared" ref="A4922:A4947" si="175">"34940"</f>
        <v>34940</v>
      </c>
      <c r="B4922" s="2" t="str">
        <f>"34107"</f>
        <v>34107</v>
      </c>
      <c r="C4922" s="1">
        <v>2.4703232383019298E-3</v>
      </c>
      <c r="D4922" s="1">
        <v>3.2357473035439098E-3</v>
      </c>
      <c r="E4922" s="1">
        <v>8.34237090181029E-5</v>
      </c>
      <c r="F4922" s="1">
        <v>2.3227264483908299E-3</v>
      </c>
    </row>
    <row r="4923" spans="1:6" x14ac:dyDescent="0.25">
      <c r="A4923" s="2" t="str">
        <f t="shared" si="175"/>
        <v>34940</v>
      </c>
      <c r="B4923" s="2" t="str">
        <f>"34146"</f>
        <v>34146</v>
      </c>
      <c r="C4923" s="1">
        <v>6.3093946269441904E-3</v>
      </c>
      <c r="D4923" s="1">
        <v>2.4550590652285501E-2</v>
      </c>
      <c r="E4923" s="1">
        <v>8.34237090181029E-5</v>
      </c>
      <c r="F4923" s="1">
        <v>7.0274681584197004E-3</v>
      </c>
    </row>
    <row r="4924" spans="1:6" x14ac:dyDescent="0.25">
      <c r="A4924" s="2" t="str">
        <f t="shared" si="175"/>
        <v>34940</v>
      </c>
      <c r="B4924" s="2" t="str">
        <f>"34135"</f>
        <v>34135</v>
      </c>
      <c r="C4924" s="1">
        <v>8.2207096116536707E-6</v>
      </c>
      <c r="D4924" s="1">
        <v>0</v>
      </c>
      <c r="E4924" s="1">
        <v>0</v>
      </c>
      <c r="F4924" s="1">
        <v>6.9751544996721604E-6</v>
      </c>
    </row>
    <row r="4925" spans="1:6" x14ac:dyDescent="0.25">
      <c r="A4925" s="2" t="str">
        <f t="shared" si="175"/>
        <v>34940</v>
      </c>
      <c r="B4925" s="2" t="str">
        <f>"34117"</f>
        <v>34117</v>
      </c>
      <c r="C4925" s="1">
        <v>2.2216467725493998E-2</v>
      </c>
      <c r="D4925" s="1">
        <v>7.1905495634309096E-3</v>
      </c>
      <c r="E4925" s="1">
        <v>1.3347793442896399E-3</v>
      </c>
      <c r="F4925" s="1">
        <v>1.9450218322335799E-2</v>
      </c>
    </row>
    <row r="4926" spans="1:6" x14ac:dyDescent="0.25">
      <c r="A4926" s="2" t="str">
        <f t="shared" si="175"/>
        <v>34940</v>
      </c>
      <c r="B4926" s="2" t="str">
        <f>"34106"</f>
        <v>34106</v>
      </c>
      <c r="C4926" s="1">
        <v>1.00169346618E-2</v>
      </c>
      <c r="D4926" s="1">
        <v>2.0595788392398499E-2</v>
      </c>
      <c r="E4926" s="1">
        <v>8.34237090181029E-5</v>
      </c>
      <c r="F4926" s="1">
        <v>9.90471938953447E-3</v>
      </c>
    </row>
    <row r="4927" spans="1:6" x14ac:dyDescent="0.25">
      <c r="A4927" s="2" t="str">
        <f t="shared" si="175"/>
        <v>34940</v>
      </c>
      <c r="B4927" s="2" t="str">
        <f>"34141"</f>
        <v>34141</v>
      </c>
      <c r="C4927" s="1">
        <v>1.2659892801946599E-3</v>
      </c>
      <c r="D4927" s="1">
        <v>1.79763739085772E-3</v>
      </c>
      <c r="E4927" s="1">
        <v>2.5027112705430798E-4</v>
      </c>
      <c r="F4927" s="1">
        <v>1.2171644601927901E-3</v>
      </c>
    </row>
    <row r="4928" spans="1:6" x14ac:dyDescent="0.25">
      <c r="A4928" s="2" t="str">
        <f t="shared" si="175"/>
        <v>34940</v>
      </c>
      <c r="B4928" s="2" t="str">
        <f>"34109"</f>
        <v>34109</v>
      </c>
      <c r="C4928" s="1">
        <v>6.5835552924928403E-2</v>
      </c>
      <c r="D4928" s="1">
        <v>0.12794042116075999</v>
      </c>
      <c r="E4928" s="1">
        <v>0.11266371902894801</v>
      </c>
      <c r="F4928" s="1">
        <v>7.3968025891773495E-2</v>
      </c>
    </row>
    <row r="4929" spans="1:6" x14ac:dyDescent="0.25">
      <c r="A4929" s="2" t="str">
        <f t="shared" si="175"/>
        <v>34940</v>
      </c>
      <c r="B4929" s="2" t="str">
        <f>"34103"</f>
        <v>34103</v>
      </c>
      <c r="C4929" s="1">
        <v>4.4252079839531701E-2</v>
      </c>
      <c r="D4929" s="1">
        <v>7.2573189522341999E-2</v>
      </c>
      <c r="E4929" s="1">
        <v>3.0574789355134701E-2</v>
      </c>
      <c r="F4929" s="1">
        <v>4.5031597449883498E-2</v>
      </c>
    </row>
    <row r="4930" spans="1:6" x14ac:dyDescent="0.25">
      <c r="A4930" s="2" t="str">
        <f t="shared" si="175"/>
        <v>34940</v>
      </c>
      <c r="B4930" s="2" t="str">
        <f>"34142"</f>
        <v>34142</v>
      </c>
      <c r="C4930" s="1">
        <v>4.2772352109434003E-2</v>
      </c>
      <c r="D4930" s="1">
        <v>3.90344119157678E-2</v>
      </c>
      <c r="E4930" s="1">
        <v>2.7404688412446799E-2</v>
      </c>
      <c r="F4930" s="1">
        <v>4.1233625824811999E-2</v>
      </c>
    </row>
    <row r="4931" spans="1:6" x14ac:dyDescent="0.25">
      <c r="A4931" s="2" t="str">
        <f t="shared" si="175"/>
        <v>34940</v>
      </c>
      <c r="B4931" s="2" t="str">
        <f>"34114"</f>
        <v>34114</v>
      </c>
      <c r="C4931" s="1">
        <v>7.1306435171483995E-2</v>
      </c>
      <c r="D4931" s="1">
        <v>3.0713918849511999E-2</v>
      </c>
      <c r="E4931" s="1">
        <v>5.6019020605656097E-2</v>
      </c>
      <c r="F4931" s="1">
        <v>6.7271877572088204E-2</v>
      </c>
    </row>
    <row r="4932" spans="1:6" x14ac:dyDescent="0.25">
      <c r="A4932" s="2" t="str">
        <f t="shared" si="175"/>
        <v>34940</v>
      </c>
      <c r="B4932" s="2" t="str">
        <f>"34120"</f>
        <v>34120</v>
      </c>
      <c r="C4932" s="1">
        <v>7.0237742921969007E-2</v>
      </c>
      <c r="D4932" s="1">
        <v>7.7555213148433402E-3</v>
      </c>
      <c r="E4932" s="1">
        <v>2.5736214232084699E-2</v>
      </c>
      <c r="F4932" s="1">
        <v>6.2274179373073099E-2</v>
      </c>
    </row>
    <row r="4933" spans="1:6" x14ac:dyDescent="0.25">
      <c r="A4933" s="2" t="str">
        <f t="shared" si="175"/>
        <v>34940</v>
      </c>
      <c r="B4933" s="2" t="str">
        <f>"34112"</f>
        <v>34112</v>
      </c>
      <c r="C4933" s="1">
        <v>8.2239978954983306E-2</v>
      </c>
      <c r="D4933" s="1">
        <v>5.6343091936312199E-2</v>
      </c>
      <c r="E4933" s="1">
        <v>0.116167514807708</v>
      </c>
      <c r="F4933" s="1">
        <v>8.3318220498584006E-2</v>
      </c>
    </row>
    <row r="4934" spans="1:6" x14ac:dyDescent="0.25">
      <c r="A4934" s="2" t="str">
        <f t="shared" si="175"/>
        <v>34940</v>
      </c>
      <c r="B4934" s="2" t="str">
        <f>"34145"</f>
        <v>34145</v>
      </c>
      <c r="C4934" s="1">
        <v>7.7582946959981497E-2</v>
      </c>
      <c r="D4934" s="1">
        <v>5.9784283513097003E-2</v>
      </c>
      <c r="E4934" s="1">
        <v>3.6789855676983299E-2</v>
      </c>
      <c r="F4934" s="1">
        <v>7.2963603643820693E-2</v>
      </c>
    </row>
    <row r="4935" spans="1:6" x14ac:dyDescent="0.25">
      <c r="A4935" s="2" t="str">
        <f t="shared" si="175"/>
        <v>34940</v>
      </c>
      <c r="B4935" s="2" t="str">
        <f>"34140"</f>
        <v>34140</v>
      </c>
      <c r="C4935" s="1">
        <v>0</v>
      </c>
      <c r="D4935" s="1">
        <v>0</v>
      </c>
      <c r="E4935" s="1">
        <v>8.34237090181029E-5</v>
      </c>
      <c r="F4935" s="1">
        <v>6.9751544996721604E-6</v>
      </c>
    </row>
    <row r="4936" spans="1:6" x14ac:dyDescent="0.25">
      <c r="A4936" s="2" t="str">
        <f t="shared" si="175"/>
        <v>34940</v>
      </c>
      <c r="B4936" s="2" t="str">
        <f>"34134"</f>
        <v>34134</v>
      </c>
      <c r="C4936" s="1">
        <v>6.4902502384005696E-3</v>
      </c>
      <c r="D4936" s="1">
        <v>3.9548022598870003E-3</v>
      </c>
      <c r="E4936" s="1">
        <v>3.7540669058146298E-3</v>
      </c>
      <c r="F4936" s="1">
        <v>6.0893098782137996E-3</v>
      </c>
    </row>
    <row r="4937" spans="1:6" x14ac:dyDescent="0.25">
      <c r="A4937" s="2" t="str">
        <f t="shared" si="175"/>
        <v>34940</v>
      </c>
      <c r="B4937" s="2" t="str">
        <f>"34116"</f>
        <v>34116</v>
      </c>
      <c r="C4937" s="1">
        <v>4.7639012199533003E-2</v>
      </c>
      <c r="D4937" s="1">
        <v>4.3656908063687702E-2</v>
      </c>
      <c r="E4937" s="1">
        <v>9.1223825811295498E-2</v>
      </c>
      <c r="F4937" s="1">
        <v>5.10127924333523E-2</v>
      </c>
    </row>
    <row r="4938" spans="1:6" x14ac:dyDescent="0.25">
      <c r="A4938" s="2" t="str">
        <f t="shared" si="175"/>
        <v>34940</v>
      </c>
      <c r="B4938" s="2" t="str">
        <f>"34113"</f>
        <v>34113</v>
      </c>
      <c r="C4938" s="1">
        <v>6.8836111933181995E-2</v>
      </c>
      <c r="D4938" s="1">
        <v>2.5680534155110402E-2</v>
      </c>
      <c r="E4938" s="1">
        <v>6.9199966630516294E-2</v>
      </c>
      <c r="F4938" s="1">
        <v>6.5936135485401004E-2</v>
      </c>
    </row>
    <row r="4939" spans="1:6" x14ac:dyDescent="0.25">
      <c r="A4939" s="2" t="str">
        <f t="shared" si="175"/>
        <v>34940</v>
      </c>
      <c r="B4939" s="2" t="str">
        <f>"34110"</f>
        <v>34110</v>
      </c>
      <c r="C4939" s="1">
        <v>6.8236000131531305E-2</v>
      </c>
      <c r="D4939" s="1">
        <v>7.4216743708269098E-2</v>
      </c>
      <c r="E4939" s="1">
        <v>9.1599232501877001E-2</v>
      </c>
      <c r="F4939" s="1">
        <v>7.0595538691182E-2</v>
      </c>
    </row>
    <row r="4940" spans="1:6" x14ac:dyDescent="0.25">
      <c r="A4940" s="2" t="str">
        <f t="shared" si="175"/>
        <v>34940</v>
      </c>
      <c r="B4940" s="2" t="str">
        <f>"34104"</f>
        <v>34104</v>
      </c>
      <c r="C4940" s="1">
        <v>6.2847324981092301E-2</v>
      </c>
      <c r="D4940" s="1">
        <v>0.12573189522341999</v>
      </c>
      <c r="E4940" s="1">
        <v>9.7814298823725707E-2</v>
      </c>
      <c r="F4940" s="1">
        <v>7.0041013908458002E-2</v>
      </c>
    </row>
    <row r="4941" spans="1:6" x14ac:dyDescent="0.25">
      <c r="A4941" s="2" t="str">
        <f t="shared" si="175"/>
        <v>34940</v>
      </c>
      <c r="B4941" s="2" t="str">
        <f>"34101"</f>
        <v>34101</v>
      </c>
      <c r="C4941" s="1">
        <v>1.29065140902962E-2</v>
      </c>
      <c r="D4941" s="1">
        <v>3.0559835644581399E-2</v>
      </c>
      <c r="E4941" s="1">
        <v>8.34237090181029E-5</v>
      </c>
      <c r="F4941" s="1">
        <v>1.3033076182637399E-2</v>
      </c>
    </row>
    <row r="4942" spans="1:6" x14ac:dyDescent="0.25">
      <c r="A4942" s="2" t="str">
        <f t="shared" si="175"/>
        <v>34940</v>
      </c>
      <c r="B4942" s="2" t="str">
        <f>"34105"</f>
        <v>34105</v>
      </c>
      <c r="C4942" s="1">
        <v>4.8822794383611097E-2</v>
      </c>
      <c r="D4942" s="1">
        <v>1.8181818181818101E-2</v>
      </c>
      <c r="E4942" s="1">
        <v>6.31517477267039E-2</v>
      </c>
      <c r="F4942" s="1">
        <v>4.7940236876246801E-2</v>
      </c>
    </row>
    <row r="4943" spans="1:6" x14ac:dyDescent="0.25">
      <c r="A4943" s="2" t="str">
        <f t="shared" si="175"/>
        <v>34940</v>
      </c>
      <c r="B4943" s="2" t="str">
        <f>"34119"</f>
        <v>34119</v>
      </c>
      <c r="C4943" s="1">
        <v>7.6830752030515204E-2</v>
      </c>
      <c r="D4943" s="1">
        <v>3.2306111967128903E-2</v>
      </c>
      <c r="E4943" s="1">
        <v>7.2453491282222393E-2</v>
      </c>
      <c r="F4943" s="1">
        <v>7.3441401727048203E-2</v>
      </c>
    </row>
    <row r="4944" spans="1:6" x14ac:dyDescent="0.25">
      <c r="A4944" s="2" t="str">
        <f t="shared" si="175"/>
        <v>34940</v>
      </c>
      <c r="B4944" s="2" t="str">
        <f>"34102"</f>
        <v>34102</v>
      </c>
      <c r="C4944" s="1">
        <v>4.0873368189142001E-2</v>
      </c>
      <c r="D4944" s="1">
        <v>0.113610683102208</v>
      </c>
      <c r="E4944" s="1">
        <v>3.4328856260949302E-2</v>
      </c>
      <c r="F4944" s="1">
        <v>4.5265265125622497E-2</v>
      </c>
    </row>
    <row r="4945" spans="1:6" x14ac:dyDescent="0.25">
      <c r="A4945" s="2" t="str">
        <f t="shared" si="175"/>
        <v>34940</v>
      </c>
      <c r="B4945" s="2" t="str">
        <f>"34139"</f>
        <v>34139</v>
      </c>
      <c r="C4945" s="1">
        <v>0</v>
      </c>
      <c r="D4945" s="1">
        <v>0</v>
      </c>
      <c r="E4945" s="1">
        <v>4.1711854509051403E-5</v>
      </c>
      <c r="F4945" s="1">
        <v>3.4875772498360802E-6</v>
      </c>
    </row>
    <row r="4946" spans="1:6" x14ac:dyDescent="0.25">
      <c r="A4946" s="2" t="str">
        <f t="shared" si="175"/>
        <v>34940</v>
      </c>
      <c r="B4946" s="2" t="str">
        <f>"34138"</f>
        <v>34138</v>
      </c>
      <c r="C4946" s="1">
        <v>0</v>
      </c>
      <c r="D4946" s="1">
        <v>0</v>
      </c>
      <c r="E4946" s="1">
        <v>8.34237090181029E-5</v>
      </c>
      <c r="F4946" s="1">
        <v>6.9751544996721604E-6</v>
      </c>
    </row>
    <row r="4947" spans="1:6" x14ac:dyDescent="0.25">
      <c r="A4947" s="2" t="str">
        <f t="shared" si="175"/>
        <v>34940</v>
      </c>
      <c r="B4947" s="2" t="str">
        <f>"34108"</f>
        <v>34108</v>
      </c>
      <c r="C4947" s="1">
        <v>7.0003452698036803E-2</v>
      </c>
      <c r="D4947" s="1">
        <v>8.0585516178736494E-2</v>
      </c>
      <c r="E4947" s="1">
        <v>6.8991407357971102E-2</v>
      </c>
      <c r="F4947" s="1">
        <v>7.0637389618180002E-2</v>
      </c>
    </row>
    <row r="4948" spans="1:6" x14ac:dyDescent="0.25">
      <c r="A4948" s="2" t="str">
        <f t="shared" ref="A4948:A4970" si="176">"26140"</f>
        <v>26140</v>
      </c>
      <c r="B4948" s="2" t="str">
        <f>"34465"</f>
        <v>34465</v>
      </c>
      <c r="C4948" s="1">
        <v>9.33964372042006E-2</v>
      </c>
      <c r="D4948" s="1">
        <v>4.50007679311933E-2</v>
      </c>
      <c r="E4948" s="1">
        <v>2.23390275952693E-2</v>
      </c>
      <c r="F4948" s="1">
        <v>8.9904855580986195E-2</v>
      </c>
    </row>
    <row r="4949" spans="1:6" x14ac:dyDescent="0.25">
      <c r="A4949" s="2" t="str">
        <f t="shared" si="176"/>
        <v>26140</v>
      </c>
      <c r="B4949" s="2" t="str">
        <f>"34464"</f>
        <v>34464</v>
      </c>
      <c r="C4949" s="1">
        <v>8.6429282362738905E-3</v>
      </c>
      <c r="D4949" s="1">
        <v>2.3191522039625202E-2</v>
      </c>
      <c r="E4949" s="1">
        <v>2.6281208935611E-3</v>
      </c>
      <c r="F4949" s="1">
        <v>9.4955265099211199E-3</v>
      </c>
    </row>
    <row r="4950" spans="1:6" x14ac:dyDescent="0.25">
      <c r="A4950" s="2" t="str">
        <f t="shared" si="176"/>
        <v>26140</v>
      </c>
      <c r="B4950" s="2" t="str">
        <f>"34461"</f>
        <v>34461</v>
      </c>
      <c r="C4950" s="1">
        <v>5.5503646076659002E-2</v>
      </c>
      <c r="D4950" s="1">
        <v>8.2322223928735894E-2</v>
      </c>
      <c r="E4950" s="1">
        <v>1.9710906701708199E-2</v>
      </c>
      <c r="F4950" s="1">
        <v>5.6897497493710598E-2</v>
      </c>
    </row>
    <row r="4951" spans="1:6" x14ac:dyDescent="0.25">
      <c r="A4951" s="2" t="str">
        <f t="shared" si="176"/>
        <v>26140</v>
      </c>
      <c r="B4951" s="2" t="str">
        <f>"34450"</f>
        <v>34450</v>
      </c>
      <c r="C4951" s="1">
        <v>6.77012451504133E-2</v>
      </c>
      <c r="D4951" s="1">
        <v>9.6144985409307299E-2</v>
      </c>
      <c r="E4951" s="1">
        <v>0.14323258869908001</v>
      </c>
      <c r="F4951" s="1">
        <v>6.9996406075623699E-2</v>
      </c>
    </row>
    <row r="4952" spans="1:6" x14ac:dyDescent="0.25">
      <c r="A4952" s="2" t="str">
        <f t="shared" si="176"/>
        <v>26140</v>
      </c>
      <c r="B4952" s="2" t="str">
        <f>"34423"</f>
        <v>34423</v>
      </c>
      <c r="C4952" s="1">
        <v>2.22725518474132E-2</v>
      </c>
      <c r="D4952" s="1">
        <v>3.8857318384272699E-2</v>
      </c>
      <c r="E4952" s="1">
        <v>2.6281208935611E-3</v>
      </c>
      <c r="F4952" s="1">
        <v>2.31524391397279E-2</v>
      </c>
    </row>
    <row r="4953" spans="1:6" x14ac:dyDescent="0.25">
      <c r="A4953" s="2" t="str">
        <f t="shared" si="176"/>
        <v>26140</v>
      </c>
      <c r="B4953" s="2" t="str">
        <f>"34446"</f>
        <v>34446</v>
      </c>
      <c r="C4953" s="1">
        <v>0.10558388007556201</v>
      </c>
      <c r="D4953" s="1">
        <v>5.6212563354323397E-2</v>
      </c>
      <c r="E4953" s="1">
        <v>8.4099868593955296E-2</v>
      </c>
      <c r="F4953" s="1">
        <v>0.10238901394064299</v>
      </c>
    </row>
    <row r="4954" spans="1:6" x14ac:dyDescent="0.25">
      <c r="A4954" s="2" t="str">
        <f t="shared" si="176"/>
        <v>26140</v>
      </c>
      <c r="B4954" s="2" t="str">
        <f>"34460"</f>
        <v>34460</v>
      </c>
      <c r="C4954" s="1">
        <v>1.4279620564278599E-2</v>
      </c>
      <c r="D4954" s="1">
        <v>2.96421440638918E-2</v>
      </c>
      <c r="E4954" s="1">
        <v>2.6281208935611E-3</v>
      </c>
      <c r="F4954" s="1">
        <v>1.5141770858947899E-2</v>
      </c>
    </row>
    <row r="4955" spans="1:6" x14ac:dyDescent="0.25">
      <c r="A4955" s="2" t="str">
        <f t="shared" si="176"/>
        <v>26140</v>
      </c>
      <c r="B4955" s="2" t="str">
        <f>"34453"</f>
        <v>34453</v>
      </c>
      <c r="C4955" s="1">
        <v>5.8713006032784197E-2</v>
      </c>
      <c r="D4955" s="1">
        <v>7.5410843188450302E-2</v>
      </c>
      <c r="E4955" s="1">
        <v>0.106438896189224</v>
      </c>
      <c r="F4955" s="1">
        <v>6.0084740953714001E-2</v>
      </c>
    </row>
    <row r="4956" spans="1:6" x14ac:dyDescent="0.25">
      <c r="A4956" s="2" t="str">
        <f t="shared" si="176"/>
        <v>26140</v>
      </c>
      <c r="B4956" s="2" t="str">
        <f>"34449"</f>
        <v>34449</v>
      </c>
      <c r="C4956" s="1">
        <v>3.5546708374804398E-3</v>
      </c>
      <c r="D4956" s="1">
        <v>1.3822761480571299E-3</v>
      </c>
      <c r="E4956" s="1">
        <v>5.2562417871221999E-3</v>
      </c>
      <c r="F4956" s="1">
        <v>3.4331435489057399E-3</v>
      </c>
    </row>
    <row r="4957" spans="1:6" x14ac:dyDescent="0.25">
      <c r="A4957" s="2" t="str">
        <f t="shared" si="176"/>
        <v>26140</v>
      </c>
      <c r="B4957" s="2" t="str">
        <f>"34451"</f>
        <v>34451</v>
      </c>
      <c r="C4957" s="1">
        <v>1.7996790640043801E-2</v>
      </c>
      <c r="D4957" s="1">
        <v>5.7287667025034503E-2</v>
      </c>
      <c r="E4957" s="1">
        <v>2.6281208935611E-3</v>
      </c>
      <c r="F4957" s="1">
        <v>2.0305672725896999E-2</v>
      </c>
    </row>
    <row r="4958" spans="1:6" x14ac:dyDescent="0.25">
      <c r="A4958" s="2" t="str">
        <f t="shared" si="176"/>
        <v>26140</v>
      </c>
      <c r="B4958" s="2" t="str">
        <f>"34447"</f>
        <v>34447</v>
      </c>
      <c r="C4958" s="1">
        <v>4.1538867786557201E-2</v>
      </c>
      <c r="D4958" s="1">
        <v>2.7184764245123599E-2</v>
      </c>
      <c r="E4958" s="1">
        <v>2.6281208935611E-3</v>
      </c>
      <c r="F4958" s="1">
        <v>4.0374903058618697E-2</v>
      </c>
    </row>
    <row r="4959" spans="1:6" x14ac:dyDescent="0.25">
      <c r="A4959" s="2" t="str">
        <f t="shared" si="176"/>
        <v>26140</v>
      </c>
      <c r="B4959" s="2" t="str">
        <f>"34434"</f>
        <v>34434</v>
      </c>
      <c r="C4959" s="1">
        <v>4.3174016371798199E-2</v>
      </c>
      <c r="D4959" s="1">
        <v>1.6280141299339499E-2</v>
      </c>
      <c r="E4959" s="1">
        <v>1.4454664914586E-2</v>
      </c>
      <c r="F4959" s="1">
        <v>4.1311214935592998E-2</v>
      </c>
    </row>
    <row r="4960" spans="1:6" x14ac:dyDescent="0.25">
      <c r="A4960" s="2" t="str">
        <f t="shared" si="176"/>
        <v>26140</v>
      </c>
      <c r="B4960" s="2" t="str">
        <f>"34433"</f>
        <v>34433</v>
      </c>
      <c r="C4960" s="1">
        <v>3.84513822591456E-2</v>
      </c>
      <c r="D4960" s="1">
        <v>1.02902779910919E-2</v>
      </c>
      <c r="E4960" s="1">
        <v>5.2562417871221999E-3</v>
      </c>
      <c r="F4960" s="1">
        <v>3.6478332419089397E-2</v>
      </c>
    </row>
    <row r="4961" spans="1:6" x14ac:dyDescent="0.25">
      <c r="A4961" s="2" t="str">
        <f t="shared" si="176"/>
        <v>26140</v>
      </c>
      <c r="B4961" s="2" t="str">
        <f>"34428"</f>
        <v>34428</v>
      </c>
      <c r="C4961" s="1">
        <v>5.80020718652881E-2</v>
      </c>
      <c r="D4961" s="1">
        <v>6.8653048686837595E-2</v>
      </c>
      <c r="E4961" s="1">
        <v>0.136662286465177</v>
      </c>
      <c r="F4961" s="1">
        <v>5.92240906425558E-2</v>
      </c>
    </row>
    <row r="4962" spans="1:6" x14ac:dyDescent="0.25">
      <c r="A4962" s="2" t="str">
        <f t="shared" si="176"/>
        <v>26140</v>
      </c>
      <c r="B4962" s="2" t="str">
        <f>"34487"</f>
        <v>34487</v>
      </c>
      <c r="C4962" s="1">
        <v>4.7835713270093999E-3</v>
      </c>
      <c r="D4962" s="1">
        <v>4.1468284441714002E-3</v>
      </c>
      <c r="E4962" s="1">
        <v>2.6281208935611E-3</v>
      </c>
      <c r="F4962" s="1">
        <v>4.7288478635065297E-3</v>
      </c>
    </row>
    <row r="4963" spans="1:6" x14ac:dyDescent="0.25">
      <c r="A4963" s="2" t="str">
        <f t="shared" si="176"/>
        <v>26140</v>
      </c>
      <c r="B4963" s="2" t="str">
        <f>"34448"</f>
        <v>34448</v>
      </c>
      <c r="C4963" s="1">
        <v>6.9041863866263098E-2</v>
      </c>
      <c r="D4963" s="1">
        <v>6.2663185378590003E-2</v>
      </c>
      <c r="E4963" s="1">
        <v>8.9356110381077505E-2</v>
      </c>
      <c r="F4963" s="1">
        <v>6.8795278718292996E-2</v>
      </c>
    </row>
    <row r="4964" spans="1:6" x14ac:dyDescent="0.25">
      <c r="A4964" s="2" t="str">
        <f t="shared" si="176"/>
        <v>26140</v>
      </c>
      <c r="B4964" s="2" t="str">
        <f>"34601"</f>
        <v>34601</v>
      </c>
      <c r="C4964" s="1">
        <v>1.1171822632081399E-4</v>
      </c>
      <c r="D4964" s="1">
        <v>0</v>
      </c>
      <c r="E4964" s="1">
        <v>0</v>
      </c>
      <c r="F4964" s="1">
        <v>1.04034652997143E-4</v>
      </c>
    </row>
    <row r="4965" spans="1:6" x14ac:dyDescent="0.25">
      <c r="A4965" s="2" t="str">
        <f t="shared" si="176"/>
        <v>26140</v>
      </c>
      <c r="B4965" s="2" t="str">
        <f>"34445"</f>
        <v>34445</v>
      </c>
      <c r="C4965" s="1">
        <v>4.1640429810485199E-4</v>
      </c>
      <c r="D4965" s="1">
        <v>1.5358623867301401E-4</v>
      </c>
      <c r="E4965" s="1">
        <v>0</v>
      </c>
      <c r="F4965" s="1">
        <v>3.9722322053454802E-4</v>
      </c>
    </row>
    <row r="4966" spans="1:6" x14ac:dyDescent="0.25">
      <c r="A4966" s="2" t="str">
        <f t="shared" si="176"/>
        <v>26140</v>
      </c>
      <c r="B4966" s="2" t="str">
        <f>"34441"</f>
        <v>34441</v>
      </c>
      <c r="C4966" s="1">
        <v>1.39444658853161E-2</v>
      </c>
      <c r="D4966" s="1">
        <v>1.39763477192443E-2</v>
      </c>
      <c r="E4966" s="1">
        <v>2.6281208935611E-3</v>
      </c>
      <c r="F4966" s="1">
        <v>1.38649819358011E-2</v>
      </c>
    </row>
    <row r="4967" spans="1:6" x14ac:dyDescent="0.25">
      <c r="A4967" s="2" t="str">
        <f t="shared" si="176"/>
        <v>26140</v>
      </c>
      <c r="B4967" s="2" t="str">
        <f>"34442"</f>
        <v>34442</v>
      </c>
      <c r="C4967" s="1">
        <v>0.101572180130405</v>
      </c>
      <c r="D4967" s="1">
        <v>6.7270772538780499E-2</v>
      </c>
      <c r="E4967" s="1">
        <v>0.151116951379763</v>
      </c>
      <c r="F4967" s="1">
        <v>9.98165207028959E-2</v>
      </c>
    </row>
    <row r="4968" spans="1:6" x14ac:dyDescent="0.25">
      <c r="A4968" s="2" t="str">
        <f t="shared" si="176"/>
        <v>26140</v>
      </c>
      <c r="B4968" s="2" t="str">
        <f>"34436"</f>
        <v>34436</v>
      </c>
      <c r="C4968" s="1">
        <v>5.9149722735674599E-2</v>
      </c>
      <c r="D4968" s="1">
        <v>4.3925664260482201E-2</v>
      </c>
      <c r="E4968" s="1">
        <v>1.3140604467805499E-2</v>
      </c>
      <c r="F4968" s="1">
        <v>5.7881097849319899E-2</v>
      </c>
    </row>
    <row r="4969" spans="1:6" x14ac:dyDescent="0.25">
      <c r="A4969" s="2" t="str">
        <f t="shared" si="176"/>
        <v>26140</v>
      </c>
      <c r="B4969" s="2" t="str">
        <f>"34429"</f>
        <v>34429</v>
      </c>
      <c r="C4969" s="1">
        <v>6.0307529808453997E-2</v>
      </c>
      <c r="D4969" s="1">
        <v>0.14406389187528701</v>
      </c>
      <c r="E4969" s="1">
        <v>0.13929040735873799</v>
      </c>
      <c r="F4969" s="1">
        <v>6.6033631566005196E-2</v>
      </c>
    </row>
    <row r="4970" spans="1:6" x14ac:dyDescent="0.25">
      <c r="A4970" s="2" t="str">
        <f t="shared" si="176"/>
        <v>26140</v>
      </c>
      <c r="B4970" s="2" t="str">
        <f>"34452"</f>
        <v>34452</v>
      </c>
      <c r="C4970" s="1">
        <v>6.1861428774552599E-2</v>
      </c>
      <c r="D4970" s="1">
        <v>3.59391798494854E-2</v>
      </c>
      <c r="E4970" s="1">
        <v>5.1248357424441497E-2</v>
      </c>
      <c r="F4970" s="1">
        <v>6.0188775606711098E-2</v>
      </c>
    </row>
    <row r="4971" spans="1:6" x14ac:dyDescent="0.25">
      <c r="A4971" s="2" t="str">
        <f t="shared" ref="A4971:A4985" si="177">"37120"</f>
        <v>37120</v>
      </c>
      <c r="B4971" s="2" t="str">
        <f>"36322"</f>
        <v>36322</v>
      </c>
      <c r="C4971" s="1">
        <v>0.166806136680613</v>
      </c>
      <c r="D4971" s="1">
        <v>0.25315227934044598</v>
      </c>
      <c r="E4971" s="1">
        <v>0.20559210526315699</v>
      </c>
      <c r="F4971" s="1">
        <v>0.173237639553429</v>
      </c>
    </row>
    <row r="4972" spans="1:6" x14ac:dyDescent="0.25">
      <c r="A4972" s="2" t="str">
        <f t="shared" si="177"/>
        <v>37120</v>
      </c>
      <c r="B4972" s="2" t="str">
        <f>"36374"</f>
        <v>36374</v>
      </c>
      <c r="C4972" s="1">
        <v>2.0606694560669402E-2</v>
      </c>
      <c r="D4972" s="1">
        <v>1.1639185257032E-2</v>
      </c>
      <c r="E4972" s="1">
        <v>0</v>
      </c>
      <c r="F4972" s="1">
        <v>1.96172248803827E-2</v>
      </c>
    </row>
    <row r="4973" spans="1:6" x14ac:dyDescent="0.25">
      <c r="A4973" s="2" t="str">
        <f t="shared" si="177"/>
        <v>37120</v>
      </c>
      <c r="B4973" s="2" t="str">
        <f>"36010"</f>
        <v>36010</v>
      </c>
      <c r="C4973" s="1">
        <v>5.5788005578800504E-4</v>
      </c>
      <c r="D4973" s="1">
        <v>0</v>
      </c>
      <c r="E4973" s="1">
        <v>3.2894736842105201E-3</v>
      </c>
      <c r="F4973" s="1">
        <v>5.7416267942583701E-4</v>
      </c>
    </row>
    <row r="4974" spans="1:6" x14ac:dyDescent="0.25">
      <c r="A4974" s="2" t="str">
        <f t="shared" si="177"/>
        <v>37120</v>
      </c>
      <c r="B4974" s="2" t="str">
        <f>"36330"</f>
        <v>36330</v>
      </c>
      <c r="C4974" s="1">
        <v>6.4853556485355596E-2</v>
      </c>
      <c r="D4974" s="1">
        <v>2.9097963142580001E-2</v>
      </c>
      <c r="E4974" s="1">
        <v>4.9342105263157798E-2</v>
      </c>
      <c r="F4974" s="1">
        <v>6.2200956937799E-2</v>
      </c>
    </row>
    <row r="4975" spans="1:6" x14ac:dyDescent="0.25">
      <c r="A4975" s="2" t="str">
        <f t="shared" si="177"/>
        <v>37120</v>
      </c>
      <c r="B4975" s="2" t="str">
        <f>"36345"</f>
        <v>36345</v>
      </c>
      <c r="C4975" s="1">
        <v>6.7991631799163097E-3</v>
      </c>
      <c r="D4975" s="1">
        <v>1.9398642095053301E-3</v>
      </c>
      <c r="E4975" s="1">
        <v>0</v>
      </c>
      <c r="F4975" s="1">
        <v>6.3476874003189701E-3</v>
      </c>
    </row>
    <row r="4976" spans="1:6" x14ac:dyDescent="0.25">
      <c r="A4976" s="2" t="str">
        <f t="shared" si="177"/>
        <v>37120</v>
      </c>
      <c r="B4976" s="2" t="str">
        <f>"36353"</f>
        <v>36353</v>
      </c>
      <c r="C4976" s="1">
        <v>9.8675034867503394E-3</v>
      </c>
      <c r="D4976" s="1">
        <v>3.8797284190106602E-3</v>
      </c>
      <c r="E4976" s="1">
        <v>0</v>
      </c>
      <c r="F4976" s="1">
        <v>9.2822966507177009E-3</v>
      </c>
    </row>
    <row r="4977" spans="1:6" x14ac:dyDescent="0.25">
      <c r="A4977" s="2" t="str">
        <f t="shared" si="177"/>
        <v>37120</v>
      </c>
      <c r="B4977" s="2" t="str">
        <f>"36350"</f>
        <v>36350</v>
      </c>
      <c r="C4977" s="1">
        <v>0.107601115760111</v>
      </c>
      <c r="D4977" s="1">
        <v>4.1707080504364599E-2</v>
      </c>
      <c r="E4977" s="1">
        <v>0.14967105263157801</v>
      </c>
      <c r="F4977" s="1">
        <v>0.10408293460925</v>
      </c>
    </row>
    <row r="4978" spans="1:6" x14ac:dyDescent="0.25">
      <c r="A4978" s="2" t="str">
        <f t="shared" si="177"/>
        <v>37120</v>
      </c>
      <c r="B4978" s="2" t="str">
        <f>"36361"</f>
        <v>36361</v>
      </c>
      <c r="C4978" s="1">
        <v>5.6729428172942797E-2</v>
      </c>
      <c r="D4978" s="1">
        <v>0.117846750727449</v>
      </c>
      <c r="E4978" s="1">
        <v>3.2894736842105201E-3</v>
      </c>
      <c r="F4978" s="1">
        <v>5.9712918660287002E-2</v>
      </c>
    </row>
    <row r="4979" spans="1:6" x14ac:dyDescent="0.25">
      <c r="A4979" s="2" t="str">
        <f t="shared" si="177"/>
        <v>37120</v>
      </c>
      <c r="B4979" s="2" t="str">
        <f>"36311"</f>
        <v>36311</v>
      </c>
      <c r="C4979" s="1">
        <v>3.52510460251046E-2</v>
      </c>
      <c r="D4979" s="1">
        <v>1.6003879728419001E-2</v>
      </c>
      <c r="E4979" s="1">
        <v>9.8684210526315697E-3</v>
      </c>
      <c r="F4979" s="1">
        <v>3.3492822966507102E-2</v>
      </c>
    </row>
    <row r="4980" spans="1:6" x14ac:dyDescent="0.25">
      <c r="A4980" s="2" t="str">
        <f t="shared" si="177"/>
        <v>37120</v>
      </c>
      <c r="B4980" s="2" t="str">
        <f>"36360"</f>
        <v>36360</v>
      </c>
      <c r="C4980" s="1">
        <v>0.38036959553695898</v>
      </c>
      <c r="D4980" s="1">
        <v>0.45974781765276401</v>
      </c>
      <c r="E4980" s="1">
        <v>0.47861842105263103</v>
      </c>
      <c r="F4980" s="1">
        <v>0.38749601275917001</v>
      </c>
    </row>
    <row r="4981" spans="1:6" x14ac:dyDescent="0.25">
      <c r="A4981" s="2" t="str">
        <f t="shared" si="177"/>
        <v>37120</v>
      </c>
      <c r="B4981" s="2" t="str">
        <f>"36317"</f>
        <v>36317</v>
      </c>
      <c r="C4981" s="1">
        <v>5.2301255230125497E-4</v>
      </c>
      <c r="D4981" s="1">
        <v>4.8496605237633301E-4</v>
      </c>
      <c r="E4981" s="1">
        <v>0</v>
      </c>
      <c r="F4981" s="1">
        <v>5.1036682615629902E-4</v>
      </c>
    </row>
    <row r="4982" spans="1:6" x14ac:dyDescent="0.25">
      <c r="A4982" s="2" t="str">
        <f t="shared" si="177"/>
        <v>37120</v>
      </c>
      <c r="B4982" s="2" t="str">
        <f>"36303"</f>
        <v>36303</v>
      </c>
      <c r="C4982" s="1">
        <v>2.0502092050209201E-2</v>
      </c>
      <c r="D4982" s="1">
        <v>4.3646944713869998E-2</v>
      </c>
      <c r="E4982" s="1">
        <v>7.07236842105263E-2</v>
      </c>
      <c r="F4982" s="1">
        <v>2.2998405103668199E-2</v>
      </c>
    </row>
    <row r="4983" spans="1:6" x14ac:dyDescent="0.25">
      <c r="A4983" s="2" t="str">
        <f t="shared" si="177"/>
        <v>37120</v>
      </c>
      <c r="B4983" s="2" t="str">
        <f>"36371"</f>
        <v>36371</v>
      </c>
      <c r="C4983" s="1">
        <v>0</v>
      </c>
      <c r="D4983" s="1">
        <v>4.8496605237633301E-4</v>
      </c>
      <c r="E4983" s="1">
        <v>0</v>
      </c>
      <c r="F4983" s="1">
        <v>3.1897926634768703E-5</v>
      </c>
    </row>
    <row r="4984" spans="1:6" x14ac:dyDescent="0.25">
      <c r="A4984" s="2" t="str">
        <f t="shared" si="177"/>
        <v>37120</v>
      </c>
      <c r="B4984" s="2" t="str">
        <f>"36362"</f>
        <v>36362</v>
      </c>
      <c r="C4984" s="1">
        <v>9.8953974895397395E-2</v>
      </c>
      <c r="D4984" s="1">
        <v>8.24442289039767E-3</v>
      </c>
      <c r="E4984" s="1">
        <v>2.6315789473684199E-2</v>
      </c>
      <c r="F4984" s="1">
        <v>9.1578947368420996E-2</v>
      </c>
    </row>
    <row r="4985" spans="1:6" x14ac:dyDescent="0.25">
      <c r="A4985" s="2" t="str">
        <f t="shared" si="177"/>
        <v>37120</v>
      </c>
      <c r="B4985" s="2" t="str">
        <f>"36352"</f>
        <v>36352</v>
      </c>
      <c r="C4985" s="1">
        <v>3.0578800557879999E-2</v>
      </c>
      <c r="D4985" s="1">
        <v>1.2124151309408301E-2</v>
      </c>
      <c r="E4985" s="1">
        <v>3.2894736842105201E-3</v>
      </c>
      <c r="F4985" s="1">
        <v>2.8835725677830899E-2</v>
      </c>
    </row>
    <row r="4986" spans="1:6" x14ac:dyDescent="0.25">
      <c r="A4986" s="2" t="str">
        <f t="shared" ref="A4986:A5017" si="178">"34980"</f>
        <v>34980</v>
      </c>
      <c r="B4986" s="2" t="str">
        <f>"38552"</f>
        <v>38552</v>
      </c>
      <c r="C4986" s="1">
        <v>1.9700292877687401E-4</v>
      </c>
      <c r="D4986" s="1">
        <v>8.1340491296567397E-5</v>
      </c>
      <c r="E4986" s="1">
        <v>0</v>
      </c>
      <c r="F4986" s="1">
        <v>1.8426586312298099E-4</v>
      </c>
    </row>
    <row r="4987" spans="1:6" x14ac:dyDescent="0.25">
      <c r="A4987" s="2" t="str">
        <f t="shared" si="178"/>
        <v>34980</v>
      </c>
      <c r="B4987" s="2" t="str">
        <f>"37234"</f>
        <v>37234</v>
      </c>
      <c r="C4987" s="1">
        <v>0</v>
      </c>
      <c r="D4987" s="1">
        <v>2.32401403704478E-5</v>
      </c>
      <c r="E4987" s="1">
        <v>0</v>
      </c>
      <c r="F4987" s="1">
        <v>1.9707578943634298E-6</v>
      </c>
    </row>
    <row r="4988" spans="1:6" x14ac:dyDescent="0.25">
      <c r="A4988" s="2" t="str">
        <f t="shared" si="178"/>
        <v>34980</v>
      </c>
      <c r="B4988" s="2" t="str">
        <f>"37227"</f>
        <v>37227</v>
      </c>
      <c r="C4988" s="1">
        <v>0</v>
      </c>
      <c r="D4988" s="1">
        <v>3.4860210555671702E-5</v>
      </c>
      <c r="E4988" s="1">
        <v>0</v>
      </c>
      <c r="F4988" s="1">
        <v>2.9561368415451501E-6</v>
      </c>
    </row>
    <row r="4989" spans="1:6" x14ac:dyDescent="0.25">
      <c r="A4989" s="2" t="str">
        <f t="shared" si="178"/>
        <v>34980</v>
      </c>
      <c r="B4989" s="2" t="str">
        <f>"37242"</f>
        <v>37242</v>
      </c>
      <c r="C4989" s="1">
        <v>0</v>
      </c>
      <c r="D4989" s="1">
        <v>0</v>
      </c>
      <c r="E4989" s="1">
        <v>6.6277836691410304E-5</v>
      </c>
      <c r="F4989" s="1">
        <v>9.8537894718171704E-7</v>
      </c>
    </row>
    <row r="4990" spans="1:6" x14ac:dyDescent="0.25">
      <c r="A4990" s="2" t="str">
        <f t="shared" si="178"/>
        <v>34980</v>
      </c>
      <c r="B4990" s="2" t="str">
        <f>"37149"</f>
        <v>37149</v>
      </c>
      <c r="C4990" s="1">
        <v>1.2936525656348E-3</v>
      </c>
      <c r="D4990" s="1">
        <v>4.88042947779404E-4</v>
      </c>
      <c r="E4990" s="1">
        <v>0</v>
      </c>
      <c r="F4990" s="1">
        <v>1.20610383135042E-3</v>
      </c>
    </row>
    <row r="4991" spans="1:6" x14ac:dyDescent="0.25">
      <c r="A4991" s="2" t="str">
        <f t="shared" si="178"/>
        <v>34980</v>
      </c>
      <c r="B4991" s="2" t="str">
        <f>"37143"</f>
        <v>37143</v>
      </c>
      <c r="C4991" s="1">
        <v>1.9393843877367799E-3</v>
      </c>
      <c r="D4991" s="1">
        <v>5.4614329870552398E-4</v>
      </c>
      <c r="E4991" s="1">
        <v>1.3255567338282001E-4</v>
      </c>
      <c r="F4991" s="1">
        <v>1.7943750628178999E-3</v>
      </c>
    </row>
    <row r="4992" spans="1:6" x14ac:dyDescent="0.25">
      <c r="A4992" s="2" t="str">
        <f t="shared" si="178"/>
        <v>34980</v>
      </c>
      <c r="B4992" s="2" t="str">
        <f>"37210"</f>
        <v>37210</v>
      </c>
      <c r="C4992" s="1">
        <v>9.8435796745511596E-3</v>
      </c>
      <c r="D4992" s="1">
        <v>2.6075437495642399E-2</v>
      </c>
      <c r="E4992" s="1">
        <v>1.9286850477200398E-2</v>
      </c>
      <c r="F4992" s="1">
        <v>1.1360433882057999E-2</v>
      </c>
    </row>
    <row r="4993" spans="1:6" x14ac:dyDescent="0.25">
      <c r="A4993" s="2" t="str">
        <f t="shared" si="178"/>
        <v>34980</v>
      </c>
      <c r="B4993" s="2" t="str">
        <f>"37207"</f>
        <v>37207</v>
      </c>
      <c r="C4993" s="1">
        <v>2.1326661500812E-2</v>
      </c>
      <c r="D4993" s="1">
        <v>1.88012735596923E-2</v>
      </c>
      <c r="E4993" s="1">
        <v>1.47136797454931E-2</v>
      </c>
      <c r="F4993" s="1">
        <v>2.1014191427597299E-2</v>
      </c>
    </row>
    <row r="4994" spans="1:6" x14ac:dyDescent="0.25">
      <c r="A4994" s="2" t="str">
        <f t="shared" si="178"/>
        <v>34980</v>
      </c>
      <c r="B4994" s="2" t="str">
        <f>"37212"</f>
        <v>37212</v>
      </c>
      <c r="C4994" s="1">
        <v>1.06140800182118E-2</v>
      </c>
      <c r="D4994" s="1">
        <v>1.8963954542285399E-2</v>
      </c>
      <c r="E4994" s="1">
        <v>3.05540827147401E-2</v>
      </c>
      <c r="F4994" s="1">
        <v>1.1618603166219601E-2</v>
      </c>
    </row>
    <row r="4995" spans="1:6" x14ac:dyDescent="0.25">
      <c r="A4995" s="2" t="str">
        <f t="shared" si="178"/>
        <v>34980</v>
      </c>
      <c r="B4995" s="2" t="str">
        <f>"37129"</f>
        <v>37129</v>
      </c>
      <c r="C4995" s="1">
        <v>2.7682194875297099E-2</v>
      </c>
      <c r="D4995" s="1">
        <v>4.1739292105324302E-2</v>
      </c>
      <c r="E4995" s="1">
        <v>4.3677094379639403E-2</v>
      </c>
      <c r="F4995" s="1">
        <v>2.9112035615536599E-2</v>
      </c>
    </row>
    <row r="4996" spans="1:6" x14ac:dyDescent="0.25">
      <c r="A4996" s="2" t="str">
        <f t="shared" si="178"/>
        <v>34980</v>
      </c>
      <c r="B4996" s="2" t="str">
        <f>"37187"</f>
        <v>37187</v>
      </c>
      <c r="C4996" s="1">
        <v>3.5449582572683099E-3</v>
      </c>
      <c r="D4996" s="1">
        <v>1.52222919426433E-3</v>
      </c>
      <c r="E4996" s="1">
        <v>1.72322375397667E-3</v>
      </c>
      <c r="F4996" s="1">
        <v>3.3463469046291099E-3</v>
      </c>
    </row>
    <row r="4997" spans="1:6" x14ac:dyDescent="0.25">
      <c r="A4997" s="2" t="str">
        <f t="shared" si="178"/>
        <v>34980</v>
      </c>
      <c r="B4997" s="2" t="str">
        <f>"37122"</f>
        <v>37122</v>
      </c>
      <c r="C4997" s="1">
        <v>2.75344426787144E-2</v>
      </c>
      <c r="D4997" s="1">
        <v>1.7220944014501801E-2</v>
      </c>
      <c r="E4997" s="1">
        <v>1.04056203605514E-2</v>
      </c>
      <c r="F4997" s="1">
        <v>2.64051996476284E-2</v>
      </c>
    </row>
    <row r="4998" spans="1:6" x14ac:dyDescent="0.25">
      <c r="A4998" s="2" t="str">
        <f t="shared" si="178"/>
        <v>34980</v>
      </c>
      <c r="B4998" s="2" t="str">
        <f>"37101"</f>
        <v>37101</v>
      </c>
      <c r="C4998" s="1">
        <v>4.3778428617083196E-6</v>
      </c>
      <c r="D4998" s="1">
        <v>0</v>
      </c>
      <c r="E4998" s="1">
        <v>0</v>
      </c>
      <c r="F4998" s="1">
        <v>3.9415157887268699E-6</v>
      </c>
    </row>
    <row r="4999" spans="1:6" x14ac:dyDescent="0.25">
      <c r="A4999" s="2" t="str">
        <f t="shared" si="178"/>
        <v>34980</v>
      </c>
      <c r="B4999" s="2" t="str">
        <f>"37087"</f>
        <v>37087</v>
      </c>
      <c r="C4999" s="1">
        <v>2.3095310016942198E-2</v>
      </c>
      <c r="D4999" s="1">
        <v>2.2996118896558101E-2</v>
      </c>
      <c r="E4999" s="1">
        <v>7.6550901378579006E-2</v>
      </c>
      <c r="F4999" s="1">
        <v>2.3881644163896099E-2</v>
      </c>
    </row>
    <row r="5000" spans="1:6" x14ac:dyDescent="0.25">
      <c r="A5000" s="2" t="str">
        <f t="shared" si="178"/>
        <v>34980</v>
      </c>
      <c r="B5000" s="2" t="str">
        <f>"37031"</f>
        <v>37031</v>
      </c>
      <c r="C5000" s="1">
        <v>1.95470683775276E-3</v>
      </c>
      <c r="D5000" s="1">
        <v>3.2536196518626899E-4</v>
      </c>
      <c r="E5000" s="1">
        <v>1.3255567338282001E-4</v>
      </c>
      <c r="F5000" s="1">
        <v>1.7894481680819901E-3</v>
      </c>
    </row>
    <row r="5001" spans="1:6" x14ac:dyDescent="0.25">
      <c r="A5001" s="2" t="str">
        <f t="shared" si="178"/>
        <v>34980</v>
      </c>
      <c r="B5001" s="2" t="str">
        <f>"37020"</f>
        <v>37020</v>
      </c>
      <c r="C5001" s="1">
        <v>6.6543211497966401E-4</v>
      </c>
      <c r="D5001" s="1">
        <v>1.16200701852239E-4</v>
      </c>
      <c r="E5001" s="1">
        <v>0</v>
      </c>
      <c r="F5001" s="1">
        <v>6.0896418935830099E-4</v>
      </c>
    </row>
    <row r="5002" spans="1:6" x14ac:dyDescent="0.25">
      <c r="A5002" s="2" t="str">
        <f t="shared" si="178"/>
        <v>34980</v>
      </c>
      <c r="B5002" s="2" t="str">
        <f>"37027"</f>
        <v>37027</v>
      </c>
      <c r="C5002" s="1">
        <v>2.5001860583216198E-2</v>
      </c>
      <c r="D5002" s="1">
        <v>3.1943572939180501E-2</v>
      </c>
      <c r="E5002" s="1">
        <v>3.4066808059384897E-2</v>
      </c>
      <c r="F5002" s="1">
        <v>2.5725288174073099E-2</v>
      </c>
    </row>
    <row r="5003" spans="1:6" x14ac:dyDescent="0.25">
      <c r="A5003" s="2" t="str">
        <f t="shared" si="178"/>
        <v>34980</v>
      </c>
      <c r="B5003" s="2" t="str">
        <f>"37080"</f>
        <v>37080</v>
      </c>
      <c r="C5003" s="1">
        <v>3.71678858959036E-3</v>
      </c>
      <c r="D5003" s="1">
        <v>2.2426735457482098E-3</v>
      </c>
      <c r="E5003" s="1">
        <v>5.9650053022269303E-4</v>
      </c>
      <c r="F5003" s="1">
        <v>3.5453934519598198E-3</v>
      </c>
    </row>
    <row r="5004" spans="1:6" x14ac:dyDescent="0.25">
      <c r="A5004" s="2" t="str">
        <f t="shared" si="178"/>
        <v>34980</v>
      </c>
      <c r="B5004" s="2" t="str">
        <f>"37056"</f>
        <v>37056</v>
      </c>
      <c r="C5004" s="1">
        <v>1.15793943692185E-3</v>
      </c>
      <c r="D5004" s="1">
        <v>2.9514978270468702E-3</v>
      </c>
      <c r="E5004" s="1">
        <v>6.6277836691410304E-5</v>
      </c>
      <c r="F5004" s="1">
        <v>1.2938025576495901E-3</v>
      </c>
    </row>
    <row r="5005" spans="1:6" x14ac:dyDescent="0.25">
      <c r="A5005" s="2" t="str">
        <f t="shared" si="178"/>
        <v>34980</v>
      </c>
      <c r="B5005" s="2" t="str">
        <f>"37074"</f>
        <v>37074</v>
      </c>
      <c r="C5005" s="1">
        <v>4.2990416901975701E-3</v>
      </c>
      <c r="D5005" s="1">
        <v>4.8339491970531504E-3</v>
      </c>
      <c r="E5005" s="1">
        <v>2.38600212089077E-3</v>
      </c>
      <c r="F5005" s="1">
        <v>4.3159597886559204E-3</v>
      </c>
    </row>
    <row r="5006" spans="1:6" x14ac:dyDescent="0.25">
      <c r="A5006" s="2" t="str">
        <f t="shared" si="178"/>
        <v>34980</v>
      </c>
      <c r="B5006" s="2" t="str">
        <f>"37069"</f>
        <v>37069</v>
      </c>
      <c r="C5006" s="1">
        <v>8.6517119554510701E-3</v>
      </c>
      <c r="D5006" s="1">
        <v>2.2078133351925398E-3</v>
      </c>
      <c r="E5006" s="1">
        <v>4.10922587486744E-3</v>
      </c>
      <c r="F5006" s="1">
        <v>8.0377360721612702E-3</v>
      </c>
    </row>
    <row r="5007" spans="1:6" x14ac:dyDescent="0.25">
      <c r="A5007" s="2" t="str">
        <f t="shared" si="178"/>
        <v>34980</v>
      </c>
      <c r="B5007" s="2" t="str">
        <f>"37051"</f>
        <v>37051</v>
      </c>
      <c r="C5007" s="1">
        <v>1.2805190370496801E-3</v>
      </c>
      <c r="D5007" s="1">
        <v>1.6268098259313401E-4</v>
      </c>
      <c r="E5007" s="1">
        <v>0</v>
      </c>
      <c r="F5007" s="1">
        <v>1.16668867346315E-3</v>
      </c>
    </row>
    <row r="5008" spans="1:6" x14ac:dyDescent="0.25">
      <c r="A5008" s="2" t="str">
        <f t="shared" si="178"/>
        <v>34980</v>
      </c>
      <c r="B5008" s="2" t="str">
        <f>"38482"</f>
        <v>38482</v>
      </c>
      <c r="C5008" s="1">
        <v>9.0730793308904905E-4</v>
      </c>
      <c r="D5008" s="1">
        <v>3.8346231611238897E-4</v>
      </c>
      <c r="E5008" s="1">
        <v>0</v>
      </c>
      <c r="F5008" s="1">
        <v>8.4939665247064E-4</v>
      </c>
    </row>
    <row r="5009" spans="1:6" x14ac:dyDescent="0.25">
      <c r="A5009" s="2" t="str">
        <f t="shared" si="178"/>
        <v>34980</v>
      </c>
      <c r="B5009" s="2" t="str">
        <f>"38472"</f>
        <v>38472</v>
      </c>
      <c r="C5009" s="1">
        <v>6.5667642925624799E-6</v>
      </c>
      <c r="D5009" s="1">
        <v>0</v>
      </c>
      <c r="E5009" s="1">
        <v>0</v>
      </c>
      <c r="F5009" s="1">
        <v>5.9122736830903001E-6</v>
      </c>
    </row>
    <row r="5010" spans="1:6" x14ac:dyDescent="0.25">
      <c r="A5010" s="2" t="str">
        <f t="shared" si="178"/>
        <v>34980</v>
      </c>
      <c r="B5010" s="2" t="str">
        <f>"37236"</f>
        <v>37236</v>
      </c>
      <c r="C5010" s="1">
        <v>0</v>
      </c>
      <c r="D5010" s="1">
        <v>1.16200701852239E-5</v>
      </c>
      <c r="E5010" s="1">
        <v>1.9883351007423099E-4</v>
      </c>
      <c r="F5010" s="1">
        <v>3.9415157887268699E-6</v>
      </c>
    </row>
    <row r="5011" spans="1:6" x14ac:dyDescent="0.25">
      <c r="A5011" s="2" t="str">
        <f t="shared" si="178"/>
        <v>34980</v>
      </c>
      <c r="B5011" s="2" t="str">
        <f>"37229"</f>
        <v>37229</v>
      </c>
      <c r="C5011" s="1">
        <v>9.4780297955985096E-4</v>
      </c>
      <c r="D5011" s="1">
        <v>5.0663506007576197E-3</v>
      </c>
      <c r="E5011" s="1">
        <v>2.65111346765641E-4</v>
      </c>
      <c r="F5011" s="1">
        <v>1.2869049050193201E-3</v>
      </c>
    </row>
    <row r="5012" spans="1:6" x14ac:dyDescent="0.25">
      <c r="A5012" s="2" t="str">
        <f t="shared" si="178"/>
        <v>34980</v>
      </c>
      <c r="B5012" s="2" t="str">
        <f>"37224"</f>
        <v>37224</v>
      </c>
      <c r="C5012" s="1">
        <v>7.5408343292925799E-4</v>
      </c>
      <c r="D5012" s="1">
        <v>3.3814404239001601E-3</v>
      </c>
      <c r="E5012" s="1">
        <v>1.3255567338282001E-4</v>
      </c>
      <c r="F5012" s="1">
        <v>9.6764212613244596E-4</v>
      </c>
    </row>
    <row r="5013" spans="1:6" x14ac:dyDescent="0.25">
      <c r="A5013" s="2" t="str">
        <f t="shared" si="178"/>
        <v>34980</v>
      </c>
      <c r="B5013" s="2" t="str">
        <f>"37165"</f>
        <v>37165</v>
      </c>
      <c r="C5013" s="1">
        <v>0</v>
      </c>
      <c r="D5013" s="1">
        <v>1.16200701852239E-5</v>
      </c>
      <c r="E5013" s="1">
        <v>0</v>
      </c>
      <c r="F5013" s="1">
        <v>9.8537894718171704E-7</v>
      </c>
    </row>
    <row r="5014" spans="1:6" x14ac:dyDescent="0.25">
      <c r="A5014" s="2" t="str">
        <f t="shared" si="178"/>
        <v>34980</v>
      </c>
      <c r="B5014" s="2" t="str">
        <f>"37146"</f>
        <v>37146</v>
      </c>
      <c r="C5014" s="1">
        <v>3.1509523997145599E-3</v>
      </c>
      <c r="D5014" s="1">
        <v>2.3240140370447801E-3</v>
      </c>
      <c r="E5014" s="1">
        <v>4.2417815482502603E-3</v>
      </c>
      <c r="F5014" s="1">
        <v>3.0970460309921299E-3</v>
      </c>
    </row>
    <row r="5015" spans="1:6" x14ac:dyDescent="0.25">
      <c r="A5015" s="2" t="str">
        <f t="shared" si="178"/>
        <v>34980</v>
      </c>
      <c r="B5015" s="2" t="str">
        <f>"37145"</f>
        <v>37145</v>
      </c>
      <c r="C5015" s="1">
        <v>1.1513726726292801E-3</v>
      </c>
      <c r="D5015" s="1">
        <v>3.0212182481582098E-4</v>
      </c>
      <c r="E5015" s="1">
        <v>6.6277836691410304E-5</v>
      </c>
      <c r="F5015" s="1">
        <v>1.06322388400907E-3</v>
      </c>
    </row>
    <row r="5016" spans="1:6" x14ac:dyDescent="0.25">
      <c r="A5016" s="2" t="str">
        <f t="shared" si="178"/>
        <v>34980</v>
      </c>
      <c r="B5016" s="2" t="str">
        <f>"37216"</f>
        <v>37216</v>
      </c>
      <c r="C5016" s="1">
        <v>1.1052958765098E-2</v>
      </c>
      <c r="D5016" s="1">
        <v>8.3083501824351008E-3</v>
      </c>
      <c r="E5016" s="1">
        <v>6.6277836691410299E-3</v>
      </c>
      <c r="F5016" s="1">
        <v>1.0754425829541199E-2</v>
      </c>
    </row>
    <row r="5017" spans="1:6" x14ac:dyDescent="0.25">
      <c r="A5017" s="2" t="str">
        <f t="shared" si="178"/>
        <v>34980</v>
      </c>
      <c r="B5017" s="2" t="str">
        <f>"37213"</f>
        <v>37213</v>
      </c>
      <c r="C5017" s="1">
        <v>3.9400585755374803E-5</v>
      </c>
      <c r="D5017" s="1">
        <v>1.24334750981895E-3</v>
      </c>
      <c r="E5017" s="1">
        <v>5.3022269353128297E-4</v>
      </c>
      <c r="F5017" s="1">
        <v>1.4879222102443901E-4</v>
      </c>
    </row>
    <row r="5018" spans="1:6" x14ac:dyDescent="0.25">
      <c r="A5018" s="2" t="str">
        <f t="shared" ref="A5018:A5049" si="179">"34980"</f>
        <v>34980</v>
      </c>
      <c r="B5018" s="2" t="str">
        <f>"37204"</f>
        <v>37204</v>
      </c>
      <c r="C5018" s="1">
        <v>1.0066849660498201E-2</v>
      </c>
      <c r="D5018" s="1">
        <v>2.1950312579887901E-2</v>
      </c>
      <c r="E5018" s="1">
        <v>1.42497348886532E-2</v>
      </c>
      <c r="F5018" s="1">
        <v>1.11367528610477E-2</v>
      </c>
    </row>
    <row r="5019" spans="1:6" x14ac:dyDescent="0.25">
      <c r="A5019" s="2" t="str">
        <f t="shared" si="179"/>
        <v>34980</v>
      </c>
      <c r="B5019" s="2" t="str">
        <f>"37130"</f>
        <v>37130</v>
      </c>
      <c r="C5019" s="1">
        <v>3.25875678018413E-2</v>
      </c>
      <c r="D5019" s="1">
        <v>2.1473889702293799E-2</v>
      </c>
      <c r="E5019" s="1">
        <v>7.3502120890774097E-2</v>
      </c>
      <c r="F5019" s="1">
        <v>3.2253423699151899E-2</v>
      </c>
    </row>
    <row r="5020" spans="1:6" x14ac:dyDescent="0.25">
      <c r="A5020" s="2" t="str">
        <f t="shared" si="179"/>
        <v>34980</v>
      </c>
      <c r="B5020" s="2" t="str">
        <f>"37188"</f>
        <v>37188</v>
      </c>
      <c r="C5020" s="1">
        <v>6.9706202965550699E-3</v>
      </c>
      <c r="D5020" s="1">
        <v>4.9152896883497103E-3</v>
      </c>
      <c r="E5020" s="1">
        <v>3.0487804878048699E-3</v>
      </c>
      <c r="F5020" s="1">
        <v>6.7380212408285796E-3</v>
      </c>
    </row>
    <row r="5021" spans="1:6" x14ac:dyDescent="0.25">
      <c r="A5021" s="2" t="str">
        <f t="shared" si="179"/>
        <v>34980</v>
      </c>
      <c r="B5021" s="2" t="str">
        <f>"37115"</f>
        <v>37115</v>
      </c>
      <c r="C5021" s="1">
        <v>2.0921711036104001E-2</v>
      </c>
      <c r="D5021" s="1">
        <v>1.89058541913593E-2</v>
      </c>
      <c r="E5021" s="1">
        <v>1.4647401908801601E-2</v>
      </c>
      <c r="F5021" s="1">
        <v>2.0657484248717502E-2</v>
      </c>
    </row>
    <row r="5022" spans="1:6" x14ac:dyDescent="0.25">
      <c r="A5022" s="2" t="str">
        <f t="shared" si="179"/>
        <v>34980</v>
      </c>
      <c r="B5022" s="2" t="str">
        <f>"37091"</f>
        <v>37091</v>
      </c>
      <c r="C5022" s="1">
        <v>5.6911957202208099E-5</v>
      </c>
      <c r="D5022" s="1">
        <v>1.16200701852239E-5</v>
      </c>
      <c r="E5022" s="1">
        <v>0</v>
      </c>
      <c r="F5022" s="1">
        <v>5.2225084200631001E-5</v>
      </c>
    </row>
    <row r="5023" spans="1:6" x14ac:dyDescent="0.25">
      <c r="A5023" s="2" t="str">
        <f t="shared" si="179"/>
        <v>34980</v>
      </c>
      <c r="B5023" s="2" t="str">
        <f>"37086"</f>
        <v>37086</v>
      </c>
      <c r="C5023" s="1">
        <v>1.50116231727978E-2</v>
      </c>
      <c r="D5023" s="1">
        <v>1.35025215552301E-2</v>
      </c>
      <c r="E5023" s="1">
        <v>4.3080593849416701E-3</v>
      </c>
      <c r="F5023" s="1">
        <v>1.4724517607736401E-2</v>
      </c>
    </row>
    <row r="5024" spans="1:6" x14ac:dyDescent="0.25">
      <c r="A5024" s="2" t="str">
        <f t="shared" si="179"/>
        <v>34980</v>
      </c>
      <c r="B5024" s="2" t="str">
        <f>"37072"</f>
        <v>37072</v>
      </c>
      <c r="C5024" s="1">
        <v>1.64869562171935E-2</v>
      </c>
      <c r="D5024" s="1">
        <v>1.5861395802830601E-2</v>
      </c>
      <c r="E5024" s="1">
        <v>1.07370095440084E-2</v>
      </c>
      <c r="F5024" s="1">
        <v>1.6348422112691802E-2</v>
      </c>
    </row>
    <row r="5025" spans="1:6" x14ac:dyDescent="0.25">
      <c r="A5025" s="2" t="str">
        <f t="shared" si="179"/>
        <v>34980</v>
      </c>
      <c r="B5025" s="2" t="str">
        <f>"38401"</f>
        <v>38401</v>
      </c>
      <c r="C5025" s="1">
        <v>2.9965239927678002E-2</v>
      </c>
      <c r="D5025" s="1">
        <v>2.9758999744358399E-2</v>
      </c>
      <c r="E5025" s="1">
        <v>3.31389183457051E-2</v>
      </c>
      <c r="F5025" s="1">
        <v>2.99949351522114E-2</v>
      </c>
    </row>
    <row r="5026" spans="1:6" x14ac:dyDescent="0.25">
      <c r="A5026" s="2" t="str">
        <f t="shared" si="179"/>
        <v>34980</v>
      </c>
      <c r="B5026" s="2" t="str">
        <f>"38569"</f>
        <v>38569</v>
      </c>
      <c r="C5026" s="1">
        <v>1.43374353720947E-4</v>
      </c>
      <c r="D5026" s="1">
        <v>9.2960561481791296E-5</v>
      </c>
      <c r="E5026" s="1">
        <v>6.6277836691410304E-5</v>
      </c>
      <c r="F5026" s="1">
        <v>1.3795305260544001E-4</v>
      </c>
    </row>
    <row r="5027" spans="1:6" x14ac:dyDescent="0.25">
      <c r="A5027" s="2" t="str">
        <f t="shared" si="179"/>
        <v>34980</v>
      </c>
      <c r="B5027" s="2" t="str">
        <f>"38560"</f>
        <v>38560</v>
      </c>
      <c r="C5027" s="1">
        <v>6.9826593644247705E-4</v>
      </c>
      <c r="D5027" s="1">
        <v>1.39440842222687E-4</v>
      </c>
      <c r="E5027" s="1">
        <v>0</v>
      </c>
      <c r="F5027" s="1">
        <v>6.4049631566811605E-4</v>
      </c>
    </row>
    <row r="5028" spans="1:6" x14ac:dyDescent="0.25">
      <c r="A5028" s="2" t="str">
        <f t="shared" si="179"/>
        <v>34980</v>
      </c>
      <c r="B5028" s="2" t="str">
        <f>"37246"</f>
        <v>37246</v>
      </c>
      <c r="C5028" s="1">
        <v>0</v>
      </c>
      <c r="D5028" s="1">
        <v>0</v>
      </c>
      <c r="E5028" s="1">
        <v>6.6277836691410304E-5</v>
      </c>
      <c r="F5028" s="1">
        <v>9.8537894718171704E-7</v>
      </c>
    </row>
    <row r="5029" spans="1:6" x14ac:dyDescent="0.25">
      <c r="A5029" s="2" t="str">
        <f t="shared" si="179"/>
        <v>34980</v>
      </c>
      <c r="B5029" s="2" t="str">
        <f>"37166"</f>
        <v>37166</v>
      </c>
      <c r="C5029" s="1">
        <v>7.3328867933614302E-5</v>
      </c>
      <c r="D5029" s="1">
        <v>0</v>
      </c>
      <c r="E5029" s="1">
        <v>0</v>
      </c>
      <c r="F5029" s="1">
        <v>6.6020389461175002E-5</v>
      </c>
    </row>
    <row r="5030" spans="1:6" x14ac:dyDescent="0.25">
      <c r="A5030" s="2" t="str">
        <f t="shared" si="179"/>
        <v>34980</v>
      </c>
      <c r="B5030" s="2" t="str">
        <f>"37131"</f>
        <v>37131</v>
      </c>
      <c r="C5030" s="1">
        <v>0</v>
      </c>
      <c r="D5030" s="1">
        <v>0</v>
      </c>
      <c r="E5030" s="1">
        <v>6.6277836691410304E-5</v>
      </c>
      <c r="F5030" s="1">
        <v>9.8537894718171704E-7</v>
      </c>
    </row>
    <row r="5031" spans="1:6" x14ac:dyDescent="0.25">
      <c r="A5031" s="2" t="str">
        <f t="shared" si="179"/>
        <v>34980</v>
      </c>
      <c r="B5031" s="2" t="str">
        <f>"37150"</f>
        <v>37150</v>
      </c>
      <c r="C5031" s="1">
        <v>1.9087394877048199E-3</v>
      </c>
      <c r="D5031" s="1">
        <v>1.05742638685537E-3</v>
      </c>
      <c r="E5031" s="1">
        <v>1.2592788971367899E-3</v>
      </c>
      <c r="F5031" s="1">
        <v>1.8268925680748999E-3</v>
      </c>
    </row>
    <row r="5032" spans="1:6" x14ac:dyDescent="0.25">
      <c r="A5032" s="2" t="str">
        <f t="shared" si="179"/>
        <v>34980</v>
      </c>
      <c r="B5032" s="2" t="str">
        <f>"37148"</f>
        <v>37148</v>
      </c>
      <c r="C5032" s="1">
        <v>1.18431594016364E-2</v>
      </c>
      <c r="D5032" s="1">
        <v>6.6234400055776299E-3</v>
      </c>
      <c r="E5032" s="1">
        <v>1.07370095440084E-2</v>
      </c>
      <c r="F5032" s="1">
        <v>1.13840829767903E-2</v>
      </c>
    </row>
    <row r="5033" spans="1:6" x14ac:dyDescent="0.25">
      <c r="A5033" s="2" t="str">
        <f t="shared" si="179"/>
        <v>34980</v>
      </c>
      <c r="B5033" s="2" t="str">
        <f>"37220"</f>
        <v>37220</v>
      </c>
      <c r="C5033" s="1">
        <v>3.0984182853740598E-3</v>
      </c>
      <c r="D5033" s="1">
        <v>2.1961932650073198E-3</v>
      </c>
      <c r="E5033" s="1">
        <v>1.9883351007423098E-3</v>
      </c>
      <c r="F5033" s="1">
        <v>3.0054057889042302E-3</v>
      </c>
    </row>
    <row r="5034" spans="1:6" x14ac:dyDescent="0.25">
      <c r="A5034" s="2" t="str">
        <f t="shared" si="179"/>
        <v>34980</v>
      </c>
      <c r="B5034" s="2" t="str">
        <f>"37205"</f>
        <v>37205</v>
      </c>
      <c r="C5034" s="1">
        <v>1.50444569942606E-2</v>
      </c>
      <c r="D5034" s="1">
        <v>1.46296683631969E-2</v>
      </c>
      <c r="E5034" s="1">
        <v>1.7762460233297899E-2</v>
      </c>
      <c r="F5034" s="1">
        <v>1.5049692660306299E-2</v>
      </c>
    </row>
    <row r="5035" spans="1:6" x14ac:dyDescent="0.25">
      <c r="A5035" s="2" t="str">
        <f t="shared" si="179"/>
        <v>34980</v>
      </c>
      <c r="B5035" s="2" t="str">
        <f>"37127"</f>
        <v>37127</v>
      </c>
      <c r="C5035" s="1">
        <v>9.2438152024971205E-3</v>
      </c>
      <c r="D5035" s="1">
        <v>3.9973041437170202E-3</v>
      </c>
      <c r="E5035" s="1">
        <v>4.97083775185577E-3</v>
      </c>
      <c r="F5035" s="1">
        <v>8.7353843667659203E-3</v>
      </c>
    </row>
    <row r="5036" spans="1:6" x14ac:dyDescent="0.25">
      <c r="A5036" s="2" t="str">
        <f t="shared" si="179"/>
        <v>34980</v>
      </c>
      <c r="B5036" s="2" t="str">
        <f>"37174"</f>
        <v>37174</v>
      </c>
      <c r="C5036" s="1">
        <v>2.1053046321955302E-2</v>
      </c>
      <c r="D5036" s="1">
        <v>1.52687722233842E-2</v>
      </c>
      <c r="E5036" s="1">
        <v>1.15986214209968E-2</v>
      </c>
      <c r="F5036" s="1">
        <v>2.0421978680340999E-2</v>
      </c>
    </row>
    <row r="5037" spans="1:6" x14ac:dyDescent="0.25">
      <c r="A5037" s="2" t="str">
        <f t="shared" si="179"/>
        <v>34980</v>
      </c>
      <c r="B5037" s="2" t="str">
        <f>"37110"</f>
        <v>37110</v>
      </c>
      <c r="C5037" s="1">
        <v>1.6416910731406199E-4</v>
      </c>
      <c r="D5037" s="1">
        <v>6.9720421111343499E-5</v>
      </c>
      <c r="E5037" s="1">
        <v>0</v>
      </c>
      <c r="F5037" s="1">
        <v>1.53719115760347E-4</v>
      </c>
    </row>
    <row r="5038" spans="1:6" x14ac:dyDescent="0.25">
      <c r="A5038" s="2" t="str">
        <f t="shared" si="179"/>
        <v>34980</v>
      </c>
      <c r="B5038" s="2" t="str">
        <f>"37037"</f>
        <v>37037</v>
      </c>
      <c r="C5038" s="1">
        <v>3.76603932178458E-3</v>
      </c>
      <c r="D5038" s="1">
        <v>6.9720421111343499E-4</v>
      </c>
      <c r="E5038" s="1">
        <v>1.3255567338282001E-4</v>
      </c>
      <c r="F5038" s="1">
        <v>3.45178245197755E-3</v>
      </c>
    </row>
    <row r="5039" spans="1:6" x14ac:dyDescent="0.25">
      <c r="A5039" s="2" t="str">
        <f t="shared" si="179"/>
        <v>34980</v>
      </c>
      <c r="B5039" s="2" t="str">
        <f>"37029"</f>
        <v>37029</v>
      </c>
      <c r="C5039" s="1">
        <v>2.8434089386795498E-3</v>
      </c>
      <c r="D5039" s="1">
        <v>9.6446582537358498E-4</v>
      </c>
      <c r="E5039" s="1">
        <v>1.3255567338282001E-4</v>
      </c>
      <c r="F5039" s="1">
        <v>2.6437717152885398E-3</v>
      </c>
    </row>
    <row r="5040" spans="1:6" x14ac:dyDescent="0.25">
      <c r="A5040" s="2" t="str">
        <f t="shared" si="179"/>
        <v>34980</v>
      </c>
      <c r="B5040" s="2" t="str">
        <f>"37014"</f>
        <v>37014</v>
      </c>
      <c r="C5040" s="1">
        <v>1.1710729655069699E-3</v>
      </c>
      <c r="D5040" s="1">
        <v>5.4614329870552398E-4</v>
      </c>
      <c r="E5040" s="1">
        <v>0</v>
      </c>
      <c r="F5040" s="1">
        <v>1.1006682840019699E-3</v>
      </c>
    </row>
    <row r="5041" spans="1:6" x14ac:dyDescent="0.25">
      <c r="A5041" s="2" t="str">
        <f t="shared" si="179"/>
        <v>34980</v>
      </c>
      <c r="B5041" s="2" t="str">
        <f>"37057"</f>
        <v>37057</v>
      </c>
      <c r="C5041" s="1">
        <v>5.1439653625072696E-4</v>
      </c>
      <c r="D5041" s="1">
        <v>5.8100350926119499E-5</v>
      </c>
      <c r="E5041" s="1">
        <v>0</v>
      </c>
      <c r="F5041" s="1">
        <v>4.6805499991131502E-4</v>
      </c>
    </row>
    <row r="5042" spans="1:6" x14ac:dyDescent="0.25">
      <c r="A5042" s="2" t="str">
        <f t="shared" si="179"/>
        <v>34980</v>
      </c>
      <c r="B5042" s="2" t="str">
        <f>"37070"</f>
        <v>37070</v>
      </c>
      <c r="C5042" s="1">
        <v>1.50488348371223E-3</v>
      </c>
      <c r="D5042" s="1">
        <v>4.3110460387180702E-3</v>
      </c>
      <c r="E5042" s="1">
        <v>6.6277836691410304E-5</v>
      </c>
      <c r="F5042" s="1">
        <v>1.7214570207264601E-3</v>
      </c>
    </row>
    <row r="5043" spans="1:6" x14ac:dyDescent="0.25">
      <c r="A5043" s="2" t="str">
        <f t="shared" si="179"/>
        <v>34980</v>
      </c>
      <c r="B5043" s="2" t="str">
        <f>"37075"</f>
        <v>37075</v>
      </c>
      <c r="C5043" s="1">
        <v>3.2246096058628E-2</v>
      </c>
      <c r="D5043" s="1">
        <v>2.64588998117548E-2</v>
      </c>
      <c r="E5043" s="1">
        <v>3.3934252386002103E-2</v>
      </c>
      <c r="F5043" s="1">
        <v>3.1780441804504699E-2</v>
      </c>
    </row>
    <row r="5044" spans="1:6" x14ac:dyDescent="0.25">
      <c r="A5044" s="2" t="str">
        <f t="shared" si="179"/>
        <v>34980</v>
      </c>
      <c r="B5044" s="2" t="str">
        <f>"37010"</f>
        <v>37010</v>
      </c>
      <c r="C5044" s="1">
        <v>9.5327528313698701E-4</v>
      </c>
      <c r="D5044" s="1">
        <v>4.4156266703850798E-4</v>
      </c>
      <c r="E5044" s="1">
        <v>3.31389183457051E-4</v>
      </c>
      <c r="F5044" s="1">
        <v>9.0063635772408897E-4</v>
      </c>
    </row>
    <row r="5045" spans="1:6" x14ac:dyDescent="0.25">
      <c r="A5045" s="2" t="str">
        <f t="shared" si="179"/>
        <v>34980</v>
      </c>
      <c r="B5045" s="2" t="str">
        <f>"37046"</f>
        <v>37046</v>
      </c>
      <c r="C5045" s="1">
        <v>3.0699623067729602E-3</v>
      </c>
      <c r="D5045" s="1">
        <v>9.7608589555880899E-4</v>
      </c>
      <c r="E5045" s="1">
        <v>3.9766702014846199E-4</v>
      </c>
      <c r="F5045" s="1">
        <v>2.8526720520910698E-3</v>
      </c>
    </row>
    <row r="5046" spans="1:6" x14ac:dyDescent="0.25">
      <c r="A5046" s="2" t="str">
        <f t="shared" si="179"/>
        <v>34980</v>
      </c>
      <c r="B5046" s="2" t="str">
        <f>"38454"</f>
        <v>38454</v>
      </c>
      <c r="C5046" s="1">
        <v>7.6612250079895608E-6</v>
      </c>
      <c r="D5046" s="1">
        <v>0</v>
      </c>
      <c r="E5046" s="1">
        <v>0</v>
      </c>
      <c r="F5046" s="1">
        <v>6.8976526302720199E-6</v>
      </c>
    </row>
    <row r="5047" spans="1:6" x14ac:dyDescent="0.25">
      <c r="A5047" s="2" t="str">
        <f t="shared" si="179"/>
        <v>34980</v>
      </c>
      <c r="B5047" s="2" t="str">
        <f>"38588"</f>
        <v>38588</v>
      </c>
      <c r="C5047" s="1">
        <v>5.9100878633062303E-5</v>
      </c>
      <c r="D5047" s="1">
        <v>1.16200701852239E-5</v>
      </c>
      <c r="E5047" s="1">
        <v>0</v>
      </c>
      <c r="F5047" s="1">
        <v>5.4195842094994401E-5</v>
      </c>
    </row>
    <row r="5048" spans="1:6" x14ac:dyDescent="0.25">
      <c r="A5048" s="2" t="str">
        <f t="shared" si="179"/>
        <v>34980</v>
      </c>
      <c r="B5048" s="2" t="str">
        <f>"37228"</f>
        <v>37228</v>
      </c>
      <c r="C5048" s="1">
        <v>3.26915415698068E-3</v>
      </c>
      <c r="D5048" s="1">
        <v>9.4703572009574907E-3</v>
      </c>
      <c r="E5048" s="1">
        <v>5.4347826086956503E-3</v>
      </c>
      <c r="F5048" s="1">
        <v>3.8272118308537899E-3</v>
      </c>
    </row>
    <row r="5049" spans="1:6" x14ac:dyDescent="0.25">
      <c r="A5049" s="2" t="str">
        <f t="shared" si="179"/>
        <v>34980</v>
      </c>
      <c r="B5049" s="2" t="str">
        <f>"37222"</f>
        <v>37222</v>
      </c>
      <c r="C5049" s="1">
        <v>1.20937909054692E-3</v>
      </c>
      <c r="D5049" s="1">
        <v>4.2645657579771703E-3</v>
      </c>
      <c r="E5049" s="1">
        <v>1.3255567338282001E-4</v>
      </c>
      <c r="F5049" s="1">
        <v>1.4524485681458501E-3</v>
      </c>
    </row>
    <row r="5050" spans="1:6" x14ac:dyDescent="0.25">
      <c r="A5050" s="2" t="str">
        <f t="shared" ref="A5050:A5081" si="180">"34980"</f>
        <v>34980</v>
      </c>
      <c r="B5050" s="2" t="str">
        <f>"37141"</f>
        <v>37141</v>
      </c>
      <c r="C5050" s="1">
        <v>5.5051373985982096E-4</v>
      </c>
      <c r="D5050" s="1">
        <v>3.8346231611238897E-4</v>
      </c>
      <c r="E5050" s="1">
        <v>0</v>
      </c>
      <c r="F5050" s="1">
        <v>5.2816311568940001E-4</v>
      </c>
    </row>
    <row r="5051" spans="1:6" x14ac:dyDescent="0.25">
      <c r="A5051" s="2" t="str">
        <f t="shared" si="180"/>
        <v>34980</v>
      </c>
      <c r="B5051" s="2" t="str">
        <f>"37135"</f>
        <v>37135</v>
      </c>
      <c r="C5051" s="1">
        <v>9.5852869457103695E-3</v>
      </c>
      <c r="D5051" s="1">
        <v>6.5885797950219604E-3</v>
      </c>
      <c r="E5051" s="1">
        <v>2.7173913043478199E-3</v>
      </c>
      <c r="F5051" s="1">
        <v>9.2290592193039599E-3</v>
      </c>
    </row>
    <row r="5052" spans="1:6" x14ac:dyDescent="0.25">
      <c r="A5052" s="2" t="str">
        <f t="shared" si="180"/>
        <v>34980</v>
      </c>
      <c r="B5052" s="2" t="str">
        <f>"37206"</f>
        <v>37206</v>
      </c>
      <c r="C5052" s="1">
        <v>1.7301234989471202E-2</v>
      </c>
      <c r="D5052" s="1">
        <v>1.4060284924120901E-2</v>
      </c>
      <c r="E5052" s="1">
        <v>1.9154294803817602E-2</v>
      </c>
      <c r="F5052" s="1">
        <v>1.7053953438873899E-2</v>
      </c>
    </row>
    <row r="5053" spans="1:6" x14ac:dyDescent="0.25">
      <c r="A5053" s="2" t="str">
        <f t="shared" si="180"/>
        <v>34980</v>
      </c>
      <c r="B5053" s="2" t="str">
        <f>"37202"</f>
        <v>37202</v>
      </c>
      <c r="C5053" s="1">
        <v>1.9787849734921601E-3</v>
      </c>
      <c r="D5053" s="1">
        <v>4.0089242139022497E-3</v>
      </c>
      <c r="E5053" s="1">
        <v>1.3255567338282001E-4</v>
      </c>
      <c r="F5053" s="1">
        <v>2.1234916311766001E-3</v>
      </c>
    </row>
    <row r="5054" spans="1:6" x14ac:dyDescent="0.25">
      <c r="A5054" s="2" t="str">
        <f t="shared" si="180"/>
        <v>34980</v>
      </c>
      <c r="B5054" s="2" t="str">
        <f>"37128"</f>
        <v>37128</v>
      </c>
      <c r="C5054" s="1">
        <v>2.9865644002574101E-2</v>
      </c>
      <c r="D5054" s="1">
        <v>9.2263357270677901E-3</v>
      </c>
      <c r="E5054" s="1">
        <v>1.12009544008483E-2</v>
      </c>
      <c r="F5054" s="1">
        <v>2.7837940636830701E-2</v>
      </c>
    </row>
    <row r="5055" spans="1:6" x14ac:dyDescent="0.25">
      <c r="A5055" s="2" t="str">
        <f t="shared" si="180"/>
        <v>34980</v>
      </c>
      <c r="B5055" s="2" t="str">
        <f>"37184"</f>
        <v>37184</v>
      </c>
      <c r="C5055" s="1">
        <v>3.0261838781558701E-3</v>
      </c>
      <c r="D5055" s="1">
        <v>1.6268098259313399E-3</v>
      </c>
      <c r="E5055" s="1">
        <v>5.9650053022269303E-4</v>
      </c>
      <c r="F5055" s="1">
        <v>2.8713942520875199E-3</v>
      </c>
    </row>
    <row r="5056" spans="1:6" x14ac:dyDescent="0.25">
      <c r="A5056" s="2" t="str">
        <f t="shared" si="180"/>
        <v>34980</v>
      </c>
      <c r="B5056" s="2" t="str">
        <f>"37088"</f>
        <v>37088</v>
      </c>
      <c r="C5056" s="1">
        <v>2.1429540808062201E-3</v>
      </c>
      <c r="D5056" s="1">
        <v>4.48534709149643E-3</v>
      </c>
      <c r="E5056" s="1">
        <v>6.6277836691410304E-5</v>
      </c>
      <c r="F5056" s="1">
        <v>2.3107136311411201E-3</v>
      </c>
    </row>
    <row r="5057" spans="1:6" x14ac:dyDescent="0.25">
      <c r="A5057" s="2" t="str">
        <f t="shared" si="180"/>
        <v>34980</v>
      </c>
      <c r="B5057" s="2" t="str">
        <f>"37018"</f>
        <v>37018</v>
      </c>
      <c r="C5057" s="1">
        <v>1.0944607154270799E-6</v>
      </c>
      <c r="D5057" s="1">
        <v>0</v>
      </c>
      <c r="E5057" s="1">
        <v>0</v>
      </c>
      <c r="F5057" s="1">
        <v>9.8537894718171704E-7</v>
      </c>
    </row>
    <row r="5058" spans="1:6" x14ac:dyDescent="0.25">
      <c r="A5058" s="2" t="str">
        <f t="shared" si="180"/>
        <v>34980</v>
      </c>
      <c r="B5058" s="2" t="str">
        <f>"37025"</f>
        <v>37025</v>
      </c>
      <c r="C5058" s="1">
        <v>6.9607701501162304E-4</v>
      </c>
      <c r="D5058" s="1">
        <v>1.16200701852239E-4</v>
      </c>
      <c r="E5058" s="1">
        <v>0</v>
      </c>
      <c r="F5058" s="1">
        <v>6.3655479987938897E-4</v>
      </c>
    </row>
    <row r="5059" spans="1:6" x14ac:dyDescent="0.25">
      <c r="A5059" s="2" t="str">
        <f t="shared" si="180"/>
        <v>34980</v>
      </c>
      <c r="B5059" s="2" t="str">
        <f>"37024"</f>
        <v>37024</v>
      </c>
      <c r="C5059" s="1">
        <v>1.3768315800072599E-3</v>
      </c>
      <c r="D5059" s="1">
        <v>1.12714680796672E-2</v>
      </c>
      <c r="E5059" s="1">
        <v>6.6277836691410304E-5</v>
      </c>
      <c r="F5059" s="1">
        <v>2.1964096732680401E-3</v>
      </c>
    </row>
    <row r="5060" spans="1:6" x14ac:dyDescent="0.25">
      <c r="A5060" s="2" t="str">
        <f t="shared" si="180"/>
        <v>34980</v>
      </c>
      <c r="B5060" s="2" t="str">
        <f>"37013"</f>
        <v>37013</v>
      </c>
      <c r="C5060" s="1">
        <v>4.0920791689103099E-2</v>
      </c>
      <c r="D5060" s="1">
        <v>1.5245532083013699E-2</v>
      </c>
      <c r="E5060" s="1">
        <v>1.3785790031813299E-2</v>
      </c>
      <c r="F5060" s="1">
        <v>3.8340109455893397E-2</v>
      </c>
    </row>
    <row r="5061" spans="1:6" x14ac:dyDescent="0.25">
      <c r="A5061" s="2" t="str">
        <f t="shared" si="180"/>
        <v>34980</v>
      </c>
      <c r="B5061" s="2" t="str">
        <f>"37076"</f>
        <v>37076</v>
      </c>
      <c r="C5061" s="1">
        <v>2.1823546665615898E-2</v>
      </c>
      <c r="D5061" s="1">
        <v>1.5536033837644301E-2</v>
      </c>
      <c r="E5061" s="1">
        <v>1.2327677624602301E-2</v>
      </c>
      <c r="F5061" s="1">
        <v>2.11491883433612E-2</v>
      </c>
    </row>
    <row r="5062" spans="1:6" x14ac:dyDescent="0.25">
      <c r="A5062" s="2" t="str">
        <f t="shared" si="180"/>
        <v>34980</v>
      </c>
      <c r="B5062" s="2" t="str">
        <f>"37063"</f>
        <v>37063</v>
      </c>
      <c r="C5062" s="1">
        <v>0</v>
      </c>
      <c r="D5062" s="1">
        <v>1.16200701852239E-5</v>
      </c>
      <c r="E5062" s="1">
        <v>0</v>
      </c>
      <c r="F5062" s="1">
        <v>9.8537894718171704E-7</v>
      </c>
    </row>
    <row r="5063" spans="1:6" x14ac:dyDescent="0.25">
      <c r="A5063" s="2" t="str">
        <f t="shared" si="180"/>
        <v>34980</v>
      </c>
      <c r="B5063" s="2" t="str">
        <f>"37062"</f>
        <v>37062</v>
      </c>
      <c r="C5063" s="1">
        <v>5.4383752949571599E-3</v>
      </c>
      <c r="D5063" s="1">
        <v>2.75395663389806E-3</v>
      </c>
      <c r="E5063" s="1">
        <v>2.7173913043478199E-3</v>
      </c>
      <c r="F5063" s="1">
        <v>5.1702833358624701E-3</v>
      </c>
    </row>
    <row r="5064" spans="1:6" x14ac:dyDescent="0.25">
      <c r="A5064" s="2" t="str">
        <f t="shared" si="180"/>
        <v>34980</v>
      </c>
      <c r="B5064" s="2" t="str">
        <f>"37071"</f>
        <v>37071</v>
      </c>
      <c r="C5064" s="1">
        <v>0</v>
      </c>
      <c r="D5064" s="1">
        <v>1.16200701852239E-5</v>
      </c>
      <c r="E5064" s="1">
        <v>0</v>
      </c>
      <c r="F5064" s="1">
        <v>9.8537894718171704E-7</v>
      </c>
    </row>
    <row r="5065" spans="1:6" x14ac:dyDescent="0.25">
      <c r="A5065" s="2" t="str">
        <f t="shared" si="180"/>
        <v>34980</v>
      </c>
      <c r="B5065" s="2" t="str">
        <f>"37067"</f>
        <v>37067</v>
      </c>
      <c r="C5065" s="1">
        <v>1.5048834837122301E-2</v>
      </c>
      <c r="D5065" s="1">
        <v>2.9863580376025399E-2</v>
      </c>
      <c r="E5065" s="1">
        <v>3.4265641569459097E-2</v>
      </c>
      <c r="F5065" s="1">
        <v>1.6590825333698499E-2</v>
      </c>
    </row>
    <row r="5066" spans="1:6" x14ac:dyDescent="0.25">
      <c r="A5066" s="2" t="str">
        <f t="shared" si="180"/>
        <v>34980</v>
      </c>
      <c r="B5066" s="2" t="str">
        <f>"37043"</f>
        <v>37043</v>
      </c>
      <c r="C5066" s="1">
        <v>9.5218082242156006E-5</v>
      </c>
      <c r="D5066" s="1">
        <v>2.32401403704478E-5</v>
      </c>
      <c r="E5066" s="1">
        <v>0</v>
      </c>
      <c r="F5066" s="1">
        <v>8.7698726299172795E-5</v>
      </c>
    </row>
    <row r="5067" spans="1:6" x14ac:dyDescent="0.25">
      <c r="A5067" s="2" t="str">
        <f t="shared" si="180"/>
        <v>34980</v>
      </c>
      <c r="B5067" s="2" t="str">
        <f>"37049"</f>
        <v>37049</v>
      </c>
      <c r="C5067" s="1">
        <v>1.778498662569E-3</v>
      </c>
      <c r="D5067" s="1">
        <v>5.9262357944641904E-4</v>
      </c>
      <c r="E5067" s="1">
        <v>0</v>
      </c>
      <c r="F5067" s="1">
        <v>1.65149511547655E-3</v>
      </c>
    </row>
    <row r="5068" spans="1:6" x14ac:dyDescent="0.25">
      <c r="A5068" s="2" t="str">
        <f t="shared" si="180"/>
        <v>34980</v>
      </c>
      <c r="B5068" s="2" t="str">
        <f>"38483"</f>
        <v>38483</v>
      </c>
      <c r="C5068" s="1">
        <v>8.5367935803312199E-5</v>
      </c>
      <c r="D5068" s="1">
        <v>3.4860210555671702E-5</v>
      </c>
      <c r="E5068" s="1">
        <v>0</v>
      </c>
      <c r="F5068" s="1">
        <v>7.9815694721719097E-5</v>
      </c>
    </row>
    <row r="5069" spans="1:6" x14ac:dyDescent="0.25">
      <c r="A5069" s="2" t="str">
        <f t="shared" si="180"/>
        <v>34980</v>
      </c>
      <c r="B5069" s="2" t="str">
        <f>"38402"</f>
        <v>38402</v>
      </c>
      <c r="C5069" s="1">
        <v>1.04739890466371E-3</v>
      </c>
      <c r="D5069" s="1">
        <v>5.1012108113132996E-3</v>
      </c>
      <c r="E5069" s="1">
        <v>6.6277836691410304E-5</v>
      </c>
      <c r="F5069" s="1">
        <v>1.3765743892128501E-3</v>
      </c>
    </row>
    <row r="5070" spans="1:6" x14ac:dyDescent="0.25">
      <c r="A5070" s="2" t="str">
        <f t="shared" si="180"/>
        <v>34980</v>
      </c>
      <c r="B5070" s="2" t="str">
        <f>"37357"</f>
        <v>37357</v>
      </c>
      <c r="C5070" s="1">
        <v>2.0575861450029099E-4</v>
      </c>
      <c r="D5070" s="1">
        <v>3.4860210555671702E-5</v>
      </c>
      <c r="E5070" s="1">
        <v>6.6277836691410304E-5</v>
      </c>
      <c r="F5070" s="1">
        <v>1.8919275785888901E-4</v>
      </c>
    </row>
    <row r="5071" spans="1:6" x14ac:dyDescent="0.25">
      <c r="A5071" s="2" t="str">
        <f t="shared" si="180"/>
        <v>34980</v>
      </c>
      <c r="B5071" s="2" t="str">
        <f>"37152"</f>
        <v>37152</v>
      </c>
      <c r="C5071" s="1">
        <v>6.6105427211795599E-4</v>
      </c>
      <c r="D5071" s="1">
        <v>6.6234400055776297E-4</v>
      </c>
      <c r="E5071" s="1">
        <v>6.6277836691410304E-5</v>
      </c>
      <c r="F5071" s="1">
        <v>6.5232086303429698E-4</v>
      </c>
    </row>
    <row r="5072" spans="1:6" x14ac:dyDescent="0.25">
      <c r="A5072" s="2" t="str">
        <f t="shared" si="180"/>
        <v>34980</v>
      </c>
      <c r="B5072" s="2" t="str">
        <f>"37160"</f>
        <v>37160</v>
      </c>
      <c r="C5072" s="1">
        <v>1.64169107314062E-5</v>
      </c>
      <c r="D5072" s="1">
        <v>1.16200701852239E-5</v>
      </c>
      <c r="E5072" s="1">
        <v>0</v>
      </c>
      <c r="F5072" s="1">
        <v>1.5766063154907401E-5</v>
      </c>
    </row>
    <row r="5073" spans="1:6" x14ac:dyDescent="0.25">
      <c r="A5073" s="2" t="str">
        <f t="shared" si="180"/>
        <v>34980</v>
      </c>
      <c r="B5073" s="2" t="str">
        <f>"37219"</f>
        <v>37219</v>
      </c>
      <c r="C5073" s="1">
        <v>3.27353199984239E-3</v>
      </c>
      <c r="D5073" s="1">
        <v>1.51641915917172E-2</v>
      </c>
      <c r="E5073" s="1">
        <v>5.8987274655355202E-3</v>
      </c>
      <c r="F5073" s="1">
        <v>4.3208866833918296E-3</v>
      </c>
    </row>
    <row r="5074" spans="1:6" x14ac:dyDescent="0.25">
      <c r="A5074" s="2" t="str">
        <f t="shared" si="180"/>
        <v>34980</v>
      </c>
      <c r="B5074" s="2" t="str">
        <f>"37215"</f>
        <v>37215</v>
      </c>
      <c r="C5074" s="1">
        <v>1.4111976464716699E-2</v>
      </c>
      <c r="D5074" s="1">
        <v>2.0567524227846301E-2</v>
      </c>
      <c r="E5074" s="1">
        <v>1.39846235418875E-2</v>
      </c>
      <c r="F5074" s="1">
        <v>1.4657511839327999E-2</v>
      </c>
    </row>
    <row r="5075" spans="1:6" x14ac:dyDescent="0.25">
      <c r="A5075" s="2" t="str">
        <f t="shared" si="180"/>
        <v>34980</v>
      </c>
      <c r="B5075" s="2" t="str">
        <f>"37221"</f>
        <v>37221</v>
      </c>
      <c r="C5075" s="1">
        <v>2.2182529780276E-2</v>
      </c>
      <c r="D5075" s="1">
        <v>1.2305654326152099E-2</v>
      </c>
      <c r="E5075" s="1">
        <v>1.00079533404029E-2</v>
      </c>
      <c r="F5075" s="1">
        <v>2.11639690275689E-2</v>
      </c>
    </row>
    <row r="5076" spans="1:6" x14ac:dyDescent="0.25">
      <c r="A5076" s="2" t="str">
        <f t="shared" si="180"/>
        <v>34980</v>
      </c>
      <c r="B5076" s="2" t="str">
        <f>"37118"</f>
        <v>37118</v>
      </c>
      <c r="C5076" s="1">
        <v>6.8294348642649802E-4</v>
      </c>
      <c r="D5076" s="1">
        <v>6.9720421111343499E-5</v>
      </c>
      <c r="E5076" s="1">
        <v>0</v>
      </c>
      <c r="F5076" s="1">
        <v>6.2078873672448203E-4</v>
      </c>
    </row>
    <row r="5077" spans="1:6" x14ac:dyDescent="0.25">
      <c r="A5077" s="2" t="str">
        <f t="shared" si="180"/>
        <v>34980</v>
      </c>
      <c r="B5077" s="2" t="str">
        <f>"37095"</f>
        <v>37095</v>
      </c>
      <c r="C5077" s="1">
        <v>3.5898311466008199E-4</v>
      </c>
      <c r="D5077" s="1">
        <v>1.2782077203746299E-4</v>
      </c>
      <c r="E5077" s="1">
        <v>1.3255567338282001E-4</v>
      </c>
      <c r="F5077" s="1">
        <v>3.3601422098896501E-4</v>
      </c>
    </row>
    <row r="5078" spans="1:6" x14ac:dyDescent="0.25">
      <c r="A5078" s="2" t="str">
        <f t="shared" si="180"/>
        <v>34980</v>
      </c>
      <c r="B5078" s="2" t="str">
        <f>"37090"</f>
        <v>37090</v>
      </c>
      <c r="C5078" s="1">
        <v>8.4131195194879597E-3</v>
      </c>
      <c r="D5078" s="1">
        <v>5.7635548118710597E-3</v>
      </c>
      <c r="E5078" s="1">
        <v>7.2905620360551402E-3</v>
      </c>
      <c r="F5078" s="1">
        <v>8.1717476089779792E-3</v>
      </c>
    </row>
    <row r="5079" spans="1:6" x14ac:dyDescent="0.25">
      <c r="A5079" s="2" t="str">
        <f t="shared" si="180"/>
        <v>34980</v>
      </c>
      <c r="B5079" s="2" t="str">
        <f>"37036"</f>
        <v>37036</v>
      </c>
      <c r="C5079" s="1">
        <v>3.0502620138952701E-3</v>
      </c>
      <c r="D5079" s="1">
        <v>1.4641288433382099E-3</v>
      </c>
      <c r="E5079" s="1">
        <v>7.9533404029692397E-4</v>
      </c>
      <c r="F5079" s="1">
        <v>2.8822334205065199E-3</v>
      </c>
    </row>
    <row r="5080" spans="1:6" x14ac:dyDescent="0.25">
      <c r="A5080" s="2" t="str">
        <f t="shared" si="180"/>
        <v>34980</v>
      </c>
      <c r="B5080" s="2" t="str">
        <f>"37032"</f>
        <v>37032</v>
      </c>
      <c r="C5080" s="1">
        <v>2.1626543736839102E-3</v>
      </c>
      <c r="D5080" s="1">
        <v>7.3206442166910603E-4</v>
      </c>
      <c r="E5080" s="1">
        <v>0</v>
      </c>
      <c r="F5080" s="1">
        <v>2.0091876733035201E-3</v>
      </c>
    </row>
    <row r="5081" spans="1:6" x14ac:dyDescent="0.25">
      <c r="A5081" s="2" t="str">
        <f t="shared" si="180"/>
        <v>34980</v>
      </c>
      <c r="B5081" s="2" t="str">
        <f>"37026"</f>
        <v>37026</v>
      </c>
      <c r="C5081" s="1">
        <v>1.2662910477491301E-3</v>
      </c>
      <c r="D5081" s="1">
        <v>4.7642287759418E-4</v>
      </c>
      <c r="E5081" s="1">
        <v>2.65111346765641E-4</v>
      </c>
      <c r="F5081" s="1">
        <v>1.18442549451242E-3</v>
      </c>
    </row>
    <row r="5082" spans="1:6" x14ac:dyDescent="0.25">
      <c r="A5082" s="2" t="str">
        <f t="shared" ref="A5082:A5113" si="181">"34980"</f>
        <v>34980</v>
      </c>
      <c r="B5082" s="2" t="str">
        <f>"37016"</f>
        <v>37016</v>
      </c>
      <c r="C5082" s="1">
        <v>4.9907408623474803E-4</v>
      </c>
      <c r="D5082" s="1">
        <v>1.7430105277835799E-4</v>
      </c>
      <c r="E5082" s="1">
        <v>0</v>
      </c>
      <c r="F5082" s="1">
        <v>4.6411348412258902E-4</v>
      </c>
    </row>
    <row r="5083" spans="1:6" x14ac:dyDescent="0.25">
      <c r="A5083" s="2" t="str">
        <f t="shared" si="181"/>
        <v>34980</v>
      </c>
      <c r="B5083" s="2" t="str">
        <f>"37015"</f>
        <v>37015</v>
      </c>
      <c r="C5083" s="1">
        <v>9.28102686682164E-3</v>
      </c>
      <c r="D5083" s="1">
        <v>6.3096981105765799E-3</v>
      </c>
      <c r="E5083" s="1">
        <v>1.3785790031813299E-2</v>
      </c>
      <c r="F5083" s="1">
        <v>9.0960330614344304E-3</v>
      </c>
    </row>
    <row r="5084" spans="1:6" x14ac:dyDescent="0.25">
      <c r="A5084" s="2" t="str">
        <f t="shared" si="181"/>
        <v>34980</v>
      </c>
      <c r="B5084" s="2" t="str">
        <f>"37012"</f>
        <v>37012</v>
      </c>
      <c r="C5084" s="1">
        <v>3.1082684318128998E-4</v>
      </c>
      <c r="D5084" s="1">
        <v>6.9720421111343499E-5</v>
      </c>
      <c r="E5084" s="1">
        <v>0</v>
      </c>
      <c r="F5084" s="1">
        <v>2.85759894682698E-4</v>
      </c>
    </row>
    <row r="5085" spans="1:6" x14ac:dyDescent="0.25">
      <c r="A5085" s="2" t="str">
        <f t="shared" si="181"/>
        <v>34980</v>
      </c>
      <c r="B5085" s="2" t="str">
        <f>"37085"</f>
        <v>37085</v>
      </c>
      <c r="C5085" s="1">
        <v>2.3793575953384698E-3</v>
      </c>
      <c r="D5085" s="1">
        <v>4.88042947779404E-4</v>
      </c>
      <c r="E5085" s="1">
        <v>0</v>
      </c>
      <c r="F5085" s="1">
        <v>2.18359974695468E-3</v>
      </c>
    </row>
    <row r="5086" spans="1:6" x14ac:dyDescent="0.25">
      <c r="A5086" s="2" t="str">
        <f t="shared" si="181"/>
        <v>34980</v>
      </c>
      <c r="B5086" s="2" t="str">
        <f>"37068"</f>
        <v>37068</v>
      </c>
      <c r="C5086" s="1">
        <v>1.1820175726612401E-3</v>
      </c>
      <c r="D5086" s="1">
        <v>9.1566153059564406E-3</v>
      </c>
      <c r="E5086" s="1">
        <v>6.6277836691410304E-5</v>
      </c>
      <c r="F5086" s="1">
        <v>1.84167325228263E-3</v>
      </c>
    </row>
    <row r="5087" spans="1:6" x14ac:dyDescent="0.25">
      <c r="A5087" s="2" t="str">
        <f t="shared" si="181"/>
        <v>34980</v>
      </c>
      <c r="B5087" s="2" t="str">
        <f>"38474"</f>
        <v>38474</v>
      </c>
      <c r="C5087" s="1">
        <v>4.0889052328355697E-3</v>
      </c>
      <c r="D5087" s="1">
        <v>3.7649027400125401E-3</v>
      </c>
      <c r="E5087" s="1">
        <v>1.5906680805938399E-3</v>
      </c>
      <c r="F5087" s="1">
        <v>4.0242876202901297E-3</v>
      </c>
    </row>
    <row r="5088" spans="1:6" x14ac:dyDescent="0.25">
      <c r="A5088" s="2" t="str">
        <f t="shared" si="181"/>
        <v>34980</v>
      </c>
      <c r="B5088" s="2" t="str">
        <f>"38548"</f>
        <v>38548</v>
      </c>
      <c r="C5088" s="1">
        <v>1.59791264452353E-4</v>
      </c>
      <c r="D5088" s="1">
        <v>1.16200701852239E-5</v>
      </c>
      <c r="E5088" s="1">
        <v>0</v>
      </c>
      <c r="F5088" s="1">
        <v>1.44850705235712E-4</v>
      </c>
    </row>
    <row r="5089" spans="1:6" x14ac:dyDescent="0.25">
      <c r="A5089" s="2" t="str">
        <f t="shared" si="181"/>
        <v>34980</v>
      </c>
      <c r="B5089" s="2" t="str">
        <f>"37243"</f>
        <v>37243</v>
      </c>
      <c r="C5089" s="1">
        <v>0</v>
      </c>
      <c r="D5089" s="1">
        <v>6.1586371981686705E-4</v>
      </c>
      <c r="E5089" s="1">
        <v>1.3255567338282001E-4</v>
      </c>
      <c r="F5089" s="1">
        <v>5.4195842094994401E-5</v>
      </c>
    </row>
    <row r="5090" spans="1:6" x14ac:dyDescent="0.25">
      <c r="A5090" s="2" t="str">
        <f t="shared" si="181"/>
        <v>34980</v>
      </c>
      <c r="B5090" s="2" t="str">
        <f>"37238"</f>
        <v>37238</v>
      </c>
      <c r="C5090" s="1">
        <v>0</v>
      </c>
      <c r="D5090" s="1">
        <v>7.5530456203955405E-4</v>
      </c>
      <c r="E5090" s="1">
        <v>1.9883351007423099E-4</v>
      </c>
      <c r="F5090" s="1">
        <v>6.70057684083568E-5</v>
      </c>
    </row>
    <row r="5091" spans="1:6" x14ac:dyDescent="0.25">
      <c r="A5091" s="2" t="str">
        <f t="shared" si="181"/>
        <v>34980</v>
      </c>
      <c r="B5091" s="2" t="str">
        <f>"37133"</f>
        <v>37133</v>
      </c>
      <c r="C5091" s="1">
        <v>1.5694566659224299E-3</v>
      </c>
      <c r="D5091" s="1">
        <v>7.3090241465058403E-3</v>
      </c>
      <c r="E5091" s="1">
        <v>1.3255567338282001E-4</v>
      </c>
      <c r="F5091" s="1">
        <v>2.0348075259302399E-3</v>
      </c>
    </row>
    <row r="5092" spans="1:6" x14ac:dyDescent="0.25">
      <c r="A5092" s="2" t="str">
        <f t="shared" si="181"/>
        <v>34980</v>
      </c>
      <c r="B5092" s="2" t="str">
        <f>"37190"</f>
        <v>37190</v>
      </c>
      <c r="C5092" s="1">
        <v>4.8451775871956801E-3</v>
      </c>
      <c r="D5092" s="1">
        <v>5.1012108113132996E-3</v>
      </c>
      <c r="E5092" s="1">
        <v>3.2476139978791E-3</v>
      </c>
      <c r="F5092" s="1">
        <v>4.8431375253981399E-3</v>
      </c>
    </row>
    <row r="5093" spans="1:6" x14ac:dyDescent="0.25">
      <c r="A5093" s="2" t="str">
        <f t="shared" si="181"/>
        <v>34980</v>
      </c>
      <c r="B5093" s="2" t="str">
        <f>"37172"</f>
        <v>37172</v>
      </c>
      <c r="C5093" s="1">
        <v>1.6496806363632301E-2</v>
      </c>
      <c r="D5093" s="1">
        <v>1.55127936972739E-2</v>
      </c>
      <c r="E5093" s="1">
        <v>2.1142629904559899E-2</v>
      </c>
      <c r="F5093" s="1">
        <v>1.64824336495085E-2</v>
      </c>
    </row>
    <row r="5094" spans="1:6" x14ac:dyDescent="0.25">
      <c r="A5094" s="2" t="str">
        <f t="shared" si="181"/>
        <v>34980</v>
      </c>
      <c r="B5094" s="2" t="str">
        <f>"37201"</f>
        <v>37201</v>
      </c>
      <c r="C5094" s="1">
        <v>2.0444526164177801E-3</v>
      </c>
      <c r="D5094" s="1">
        <v>9.0287945339189799E-3</v>
      </c>
      <c r="E5094" s="1">
        <v>7.7545068928950101E-3</v>
      </c>
      <c r="F5094" s="1">
        <v>2.7216166521159E-3</v>
      </c>
    </row>
    <row r="5095" spans="1:6" x14ac:dyDescent="0.25">
      <c r="A5095" s="2" t="str">
        <f t="shared" si="181"/>
        <v>34980</v>
      </c>
      <c r="B5095" s="2" t="str">
        <f>"37119"</f>
        <v>37119</v>
      </c>
      <c r="C5095" s="1">
        <v>0</v>
      </c>
      <c r="D5095" s="1">
        <v>1.16200701852239E-5</v>
      </c>
      <c r="E5095" s="1">
        <v>0</v>
      </c>
      <c r="F5095" s="1">
        <v>9.8537894718171704E-7</v>
      </c>
    </row>
    <row r="5096" spans="1:6" x14ac:dyDescent="0.25">
      <c r="A5096" s="2" t="str">
        <f t="shared" si="181"/>
        <v>34980</v>
      </c>
      <c r="B5096" s="2" t="str">
        <f>"37030"</f>
        <v>37030</v>
      </c>
      <c r="C5096" s="1">
        <v>3.76166147892287E-3</v>
      </c>
      <c r="D5096" s="1">
        <v>5.19417137279509E-3</v>
      </c>
      <c r="E5096" s="1">
        <v>1.0869565217391301E-2</v>
      </c>
      <c r="F5096" s="1">
        <v>3.9888139781915901E-3</v>
      </c>
    </row>
    <row r="5097" spans="1:6" x14ac:dyDescent="0.25">
      <c r="A5097" s="2" t="str">
        <f t="shared" si="181"/>
        <v>34980</v>
      </c>
      <c r="B5097" s="2" t="str">
        <f>"37065"</f>
        <v>37065</v>
      </c>
      <c r="C5097" s="1">
        <v>7.62839118652675E-4</v>
      </c>
      <c r="D5097" s="1">
        <v>5.8797555137233004E-3</v>
      </c>
      <c r="E5097" s="1">
        <v>6.6277836691410304E-5</v>
      </c>
      <c r="F5097" s="1">
        <v>1.1863962524067801E-3</v>
      </c>
    </row>
    <row r="5098" spans="1:6" x14ac:dyDescent="0.25">
      <c r="A5098" s="2" t="str">
        <f t="shared" si="181"/>
        <v>34980</v>
      </c>
      <c r="B5098" s="2" t="str">
        <f>"37060"</f>
        <v>37060</v>
      </c>
      <c r="C5098" s="1">
        <v>1.21594585483948E-3</v>
      </c>
      <c r="D5098" s="1">
        <v>7.4368449185433004E-4</v>
      </c>
      <c r="E5098" s="1">
        <v>0</v>
      </c>
      <c r="F5098" s="1">
        <v>1.1578202629385101E-3</v>
      </c>
    </row>
    <row r="5099" spans="1:6" x14ac:dyDescent="0.25">
      <c r="A5099" s="2" t="str">
        <f t="shared" si="181"/>
        <v>34980</v>
      </c>
      <c r="B5099" s="2" t="str">
        <f>"37073"</f>
        <v>37073</v>
      </c>
      <c r="C5099" s="1">
        <v>7.0122098037413002E-3</v>
      </c>
      <c r="D5099" s="1">
        <v>2.4983150898231399E-3</v>
      </c>
      <c r="E5099" s="1">
        <v>1.0604453870625601E-3</v>
      </c>
      <c r="F5099" s="1">
        <v>6.5409454513922398E-3</v>
      </c>
    </row>
    <row r="5100" spans="1:6" x14ac:dyDescent="0.25">
      <c r="A5100" s="2" t="str">
        <f t="shared" si="181"/>
        <v>34980</v>
      </c>
      <c r="B5100" s="2" t="str">
        <f>"37066"</f>
        <v>37066</v>
      </c>
      <c r="C5100" s="1">
        <v>2.8879534897974301E-2</v>
      </c>
      <c r="D5100" s="1">
        <v>2.6121917776383299E-2</v>
      </c>
      <c r="E5100" s="1">
        <v>2.76378579003181E-2</v>
      </c>
      <c r="F5100" s="1">
        <v>2.86272291735232E-2</v>
      </c>
    </row>
    <row r="5101" spans="1:6" x14ac:dyDescent="0.25">
      <c r="A5101" s="2" t="str">
        <f t="shared" si="181"/>
        <v>34980</v>
      </c>
      <c r="B5101" s="2" t="str">
        <f>"37048"</f>
        <v>37048</v>
      </c>
      <c r="C5101" s="1">
        <v>2.9550439316531102E-3</v>
      </c>
      <c r="D5101" s="1">
        <v>3.36982035371493E-4</v>
      </c>
      <c r="E5101" s="1">
        <v>1.3255567338282001E-4</v>
      </c>
      <c r="F5101" s="1">
        <v>2.6910699047532701E-3</v>
      </c>
    </row>
    <row r="5102" spans="1:6" x14ac:dyDescent="0.25">
      <c r="A5102" s="2" t="str">
        <f t="shared" si="181"/>
        <v>34980</v>
      </c>
      <c r="B5102" s="2" t="str">
        <f>"38487"</f>
        <v>38487</v>
      </c>
      <c r="C5102" s="1">
        <v>4.4106766831711298E-4</v>
      </c>
      <c r="D5102" s="1">
        <v>1.16200701852239E-4</v>
      </c>
      <c r="E5102" s="1">
        <v>0</v>
      </c>
      <c r="F5102" s="1">
        <v>4.0696150518604898E-4</v>
      </c>
    </row>
    <row r="5103" spans="1:6" x14ac:dyDescent="0.25">
      <c r="A5103" s="2" t="str">
        <f t="shared" si="181"/>
        <v>34980</v>
      </c>
      <c r="B5103" s="2" t="str">
        <f>"38567"</f>
        <v>38567</v>
      </c>
      <c r="C5103" s="1">
        <v>4.3012306116284202E-4</v>
      </c>
      <c r="D5103" s="1">
        <v>1.2782077203746299E-4</v>
      </c>
      <c r="E5103" s="1">
        <v>6.6277836691410304E-5</v>
      </c>
      <c r="F5103" s="1">
        <v>3.9907847360859503E-4</v>
      </c>
    </row>
    <row r="5104" spans="1:6" x14ac:dyDescent="0.25">
      <c r="A5104" s="2" t="str">
        <f t="shared" si="181"/>
        <v>34980</v>
      </c>
      <c r="B5104" s="2" t="str">
        <f>"38547"</f>
        <v>38547</v>
      </c>
      <c r="C5104" s="1">
        <v>9.8173126173809106E-4</v>
      </c>
      <c r="D5104" s="1">
        <v>2.2078133351925399E-4</v>
      </c>
      <c r="E5104" s="1">
        <v>0</v>
      </c>
      <c r="F5104" s="1">
        <v>9.02607115618453E-4</v>
      </c>
    </row>
    <row r="5105" spans="1:6" x14ac:dyDescent="0.25">
      <c r="A5105" s="2" t="str">
        <f t="shared" si="181"/>
        <v>34980</v>
      </c>
      <c r="B5105" s="2" t="str">
        <f>"37250"</f>
        <v>37250</v>
      </c>
      <c r="C5105" s="1">
        <v>0</v>
      </c>
      <c r="D5105" s="1">
        <v>0</v>
      </c>
      <c r="E5105" s="1">
        <v>1.3255567338282001E-4</v>
      </c>
      <c r="F5105" s="1">
        <v>1.9707578943634298E-6</v>
      </c>
    </row>
    <row r="5106" spans="1:6" x14ac:dyDescent="0.25">
      <c r="A5106" s="2" t="str">
        <f t="shared" si="181"/>
        <v>34980</v>
      </c>
      <c r="B5106" s="2" t="str">
        <f>"37171"</f>
        <v>37171</v>
      </c>
      <c r="C5106" s="1">
        <v>8.7556857234166393E-6</v>
      </c>
      <c r="D5106" s="1">
        <v>0</v>
      </c>
      <c r="E5106" s="1">
        <v>0</v>
      </c>
      <c r="F5106" s="1">
        <v>7.8830315774537397E-6</v>
      </c>
    </row>
    <row r="5107" spans="1:6" x14ac:dyDescent="0.25">
      <c r="A5107" s="2" t="str">
        <f t="shared" si="181"/>
        <v>34980</v>
      </c>
      <c r="B5107" s="2" t="str">
        <f>"37153"</f>
        <v>37153</v>
      </c>
      <c r="C5107" s="1">
        <v>2.2655336809340502E-3</v>
      </c>
      <c r="D5107" s="1">
        <v>6.6234400055776297E-4</v>
      </c>
      <c r="E5107" s="1">
        <v>0</v>
      </c>
      <c r="F5107" s="1">
        <v>2.0959010206555101E-3</v>
      </c>
    </row>
    <row r="5108" spans="1:6" x14ac:dyDescent="0.25">
      <c r="A5108" s="2" t="str">
        <f t="shared" si="181"/>
        <v>34980</v>
      </c>
      <c r="B5108" s="2" t="str">
        <f>"37138"</f>
        <v>37138</v>
      </c>
      <c r="C5108" s="1">
        <v>1.1949322091032799E-2</v>
      </c>
      <c r="D5108" s="1">
        <v>7.7622068837295702E-3</v>
      </c>
      <c r="E5108" s="1">
        <v>5.6998939554612901E-3</v>
      </c>
      <c r="F5108" s="1">
        <v>1.1501343071505001E-2</v>
      </c>
    </row>
    <row r="5109" spans="1:6" x14ac:dyDescent="0.25">
      <c r="A5109" s="2" t="str">
        <f t="shared" si="181"/>
        <v>34980</v>
      </c>
      <c r="B5109" s="2" t="str">
        <f>"37214"</f>
        <v>37214</v>
      </c>
      <c r="C5109" s="1">
        <v>1.8129741751049502E-2</v>
      </c>
      <c r="D5109" s="1">
        <v>2.43672871784145E-2</v>
      </c>
      <c r="E5109" s="1">
        <v>1.25265111346765E-2</v>
      </c>
      <c r="F5109" s="1">
        <v>1.8575378533322501E-2</v>
      </c>
    </row>
    <row r="5110" spans="1:6" x14ac:dyDescent="0.25">
      <c r="A5110" s="2" t="str">
        <f t="shared" si="181"/>
        <v>34980</v>
      </c>
      <c r="B5110" s="2" t="str">
        <f>"37203"</f>
        <v>37203</v>
      </c>
      <c r="C5110" s="1">
        <v>2.0960017161143998E-2</v>
      </c>
      <c r="D5110" s="1">
        <v>5.2208975342211E-2</v>
      </c>
      <c r="E5110" s="1">
        <v>5.89209968186638E-2</v>
      </c>
      <c r="F5110" s="1">
        <v>2.4174301711209E-2</v>
      </c>
    </row>
    <row r="5111" spans="1:6" x14ac:dyDescent="0.25">
      <c r="A5111" s="2" t="str">
        <f t="shared" si="181"/>
        <v>34980</v>
      </c>
      <c r="B5111" s="2" t="str">
        <f>"37209"</f>
        <v>37209</v>
      </c>
      <c r="C5111" s="1">
        <v>2.49208704902746E-2</v>
      </c>
      <c r="D5111" s="1">
        <v>2.3693323107671499E-2</v>
      </c>
      <c r="E5111" s="1">
        <v>2.6709968186638299E-2</v>
      </c>
      <c r="F5111" s="1">
        <v>2.4843374016345399E-2</v>
      </c>
    </row>
    <row r="5112" spans="1:6" x14ac:dyDescent="0.25">
      <c r="A5112" s="2" t="str">
        <f t="shared" si="181"/>
        <v>34980</v>
      </c>
      <c r="B5112" s="2" t="str">
        <f>"37208"</f>
        <v>37208</v>
      </c>
      <c r="C5112" s="1">
        <v>1.3547234735556401E-2</v>
      </c>
      <c r="D5112" s="1">
        <v>1.20383927118919E-2</v>
      </c>
      <c r="E5112" s="1">
        <v>1.86903499469777E-2</v>
      </c>
      <c r="F5112" s="1">
        <v>1.3495750060600799E-2</v>
      </c>
    </row>
    <row r="5113" spans="1:6" x14ac:dyDescent="0.25">
      <c r="A5113" s="2" t="str">
        <f t="shared" si="181"/>
        <v>34980</v>
      </c>
      <c r="B5113" s="2" t="str">
        <f>"37189"</f>
        <v>37189</v>
      </c>
      <c r="C5113" s="1">
        <v>1.8178992483243799E-3</v>
      </c>
      <c r="D5113" s="1">
        <v>9.4122568500313696E-4</v>
      </c>
      <c r="E5113" s="1">
        <v>5.3022269353128297E-4</v>
      </c>
      <c r="F5113" s="1">
        <v>1.724413157568E-3</v>
      </c>
    </row>
    <row r="5114" spans="1:6" x14ac:dyDescent="0.25">
      <c r="A5114" s="2" t="str">
        <f t="shared" ref="A5114:A5142" si="182">"34980"</f>
        <v>34980</v>
      </c>
      <c r="B5114" s="2" t="str">
        <f>"37121"</f>
        <v>37121</v>
      </c>
      <c r="C5114" s="1">
        <v>1.1382391440441599E-3</v>
      </c>
      <c r="D5114" s="1">
        <v>5.6938343907597198E-3</v>
      </c>
      <c r="E5114" s="1">
        <v>1.3255567338282001E-4</v>
      </c>
      <c r="F5114" s="1">
        <v>1.5096005470823901E-3</v>
      </c>
    </row>
    <row r="5115" spans="1:6" x14ac:dyDescent="0.25">
      <c r="A5115" s="2" t="str">
        <f t="shared" si="182"/>
        <v>34980</v>
      </c>
      <c r="B5115" s="2" t="str">
        <f>"37035"</f>
        <v>37035</v>
      </c>
      <c r="C5115" s="1">
        <v>1.60995171239323E-3</v>
      </c>
      <c r="D5115" s="1">
        <v>2.78881684445374E-4</v>
      </c>
      <c r="E5115" s="1">
        <v>0</v>
      </c>
      <c r="F5115" s="1">
        <v>1.4731415260366601E-3</v>
      </c>
    </row>
    <row r="5116" spans="1:6" x14ac:dyDescent="0.25">
      <c r="A5116" s="2" t="str">
        <f t="shared" si="182"/>
        <v>34980</v>
      </c>
      <c r="B5116" s="2" t="str">
        <f>"37082"</f>
        <v>37082</v>
      </c>
      <c r="C5116" s="1">
        <v>2.9353436387754201E-3</v>
      </c>
      <c r="D5116" s="1">
        <v>1.3246880011155201E-3</v>
      </c>
      <c r="E5116" s="1">
        <v>9.9416755037115491E-4</v>
      </c>
      <c r="F5116" s="1">
        <v>2.7699002205278001E-3</v>
      </c>
    </row>
    <row r="5117" spans="1:6" x14ac:dyDescent="0.25">
      <c r="A5117" s="2" t="str">
        <f t="shared" si="182"/>
        <v>34980</v>
      </c>
      <c r="B5117" s="2" t="str">
        <f>"37055"</f>
        <v>37055</v>
      </c>
      <c r="C5117" s="1">
        <v>1.37037426178624E-2</v>
      </c>
      <c r="D5117" s="1">
        <v>1.7011782751167801E-2</v>
      </c>
      <c r="E5117" s="1">
        <v>3.0951749734888599E-2</v>
      </c>
      <c r="F5117" s="1">
        <v>1.42406965446701E-2</v>
      </c>
    </row>
    <row r="5118" spans="1:6" x14ac:dyDescent="0.25">
      <c r="A5118" s="2" t="str">
        <f t="shared" si="182"/>
        <v>34980</v>
      </c>
      <c r="B5118" s="2" t="str">
        <f>"38476"</f>
        <v>38476</v>
      </c>
      <c r="C5118" s="1">
        <v>4.7718487192620698E-4</v>
      </c>
      <c r="D5118" s="1">
        <v>3.4860210555671702E-5</v>
      </c>
      <c r="E5118" s="1">
        <v>6.6277836691410304E-5</v>
      </c>
      <c r="F5118" s="1">
        <v>4.3356673675995499E-4</v>
      </c>
    </row>
    <row r="5119" spans="1:6" x14ac:dyDescent="0.25">
      <c r="A5119" s="2" t="str">
        <f t="shared" si="182"/>
        <v>34980</v>
      </c>
      <c r="B5119" s="2" t="str">
        <f>"38461"</f>
        <v>38461</v>
      </c>
      <c r="C5119" s="1">
        <v>4.55295657617665E-4</v>
      </c>
      <c r="D5119" s="1">
        <v>1.97541193148806E-4</v>
      </c>
      <c r="E5119" s="1">
        <v>0</v>
      </c>
      <c r="F5119" s="1">
        <v>4.26669084129683E-4</v>
      </c>
    </row>
    <row r="5120" spans="1:6" x14ac:dyDescent="0.25">
      <c r="A5120" s="2" t="str">
        <f t="shared" si="182"/>
        <v>34980</v>
      </c>
      <c r="B5120" s="2" t="str">
        <f>"38451"</f>
        <v>38451</v>
      </c>
      <c r="C5120" s="1">
        <v>2.3060287274048498E-3</v>
      </c>
      <c r="D5120" s="1">
        <v>4.0670245648283699E-4</v>
      </c>
      <c r="E5120" s="1">
        <v>1.3255567338282001E-4</v>
      </c>
      <c r="F5120" s="1">
        <v>2.1126524627576001E-3</v>
      </c>
    </row>
    <row r="5121" spans="1:6" x14ac:dyDescent="0.25">
      <c r="A5121" s="2" t="str">
        <f t="shared" si="182"/>
        <v>34980</v>
      </c>
      <c r="B5121" s="2" t="str">
        <f>"38563"</f>
        <v>38563</v>
      </c>
      <c r="C5121" s="1">
        <v>1.16231727978355E-3</v>
      </c>
      <c r="D5121" s="1">
        <v>1.24334750981895E-3</v>
      </c>
      <c r="E5121" s="1">
        <v>2.7173913043478199E-3</v>
      </c>
      <c r="F5121" s="1">
        <v>1.19230852608987E-3</v>
      </c>
    </row>
    <row r="5122" spans="1:6" x14ac:dyDescent="0.25">
      <c r="A5122" s="2" t="str">
        <f t="shared" si="182"/>
        <v>34980</v>
      </c>
      <c r="B5122" s="2" t="str">
        <f>"37235"</f>
        <v>37235</v>
      </c>
      <c r="C5122" s="1">
        <v>0</v>
      </c>
      <c r="D5122" s="1">
        <v>1.16200701852239E-5</v>
      </c>
      <c r="E5122" s="1">
        <v>0</v>
      </c>
      <c r="F5122" s="1">
        <v>9.8537894718171704E-7</v>
      </c>
    </row>
    <row r="5123" spans="1:6" x14ac:dyDescent="0.25">
      <c r="A5123" s="2" t="str">
        <f t="shared" si="182"/>
        <v>34980</v>
      </c>
      <c r="B5123" s="2" t="str">
        <f>"37232"</f>
        <v>37232</v>
      </c>
      <c r="C5123" s="1">
        <v>0</v>
      </c>
      <c r="D5123" s="1">
        <v>3.2536196518626899E-4</v>
      </c>
      <c r="E5123" s="1">
        <v>6.6277836691410304E-5</v>
      </c>
      <c r="F5123" s="1">
        <v>2.85759894682698E-5</v>
      </c>
    </row>
    <row r="5124" spans="1:6" x14ac:dyDescent="0.25">
      <c r="A5124" s="2" t="str">
        <f t="shared" si="182"/>
        <v>34980</v>
      </c>
      <c r="B5124" s="2" t="str">
        <f>"37240"</f>
        <v>37240</v>
      </c>
      <c r="C5124" s="1">
        <v>0</v>
      </c>
      <c r="D5124" s="1">
        <v>1.2782077203746299E-4</v>
      </c>
      <c r="E5124" s="1">
        <v>0</v>
      </c>
      <c r="F5124" s="1">
        <v>1.08391684189988E-5</v>
      </c>
    </row>
    <row r="5125" spans="1:6" x14ac:dyDescent="0.25">
      <c r="A5125" s="2" t="str">
        <f t="shared" si="182"/>
        <v>34980</v>
      </c>
      <c r="B5125" s="2" t="str">
        <f>"37151"</f>
        <v>37151</v>
      </c>
      <c r="C5125" s="1">
        <v>2.1451430022370699E-4</v>
      </c>
      <c r="D5125" s="1">
        <v>4.64802807408956E-5</v>
      </c>
      <c r="E5125" s="1">
        <v>0</v>
      </c>
      <c r="F5125" s="1">
        <v>1.9707578943634299E-4</v>
      </c>
    </row>
    <row r="5126" spans="1:6" x14ac:dyDescent="0.25">
      <c r="A5126" s="2" t="str">
        <f t="shared" si="182"/>
        <v>34980</v>
      </c>
      <c r="B5126" s="2" t="str">
        <f>"37167"</f>
        <v>37167</v>
      </c>
      <c r="C5126" s="1">
        <v>2.7990832797047501E-2</v>
      </c>
      <c r="D5126" s="1">
        <v>2.53085128634176E-2</v>
      </c>
      <c r="E5126" s="1">
        <v>1.9088016967126101E-2</v>
      </c>
      <c r="F5126" s="1">
        <v>2.7631011057922501E-2</v>
      </c>
    </row>
    <row r="5127" spans="1:6" x14ac:dyDescent="0.25">
      <c r="A5127" s="2" t="str">
        <f t="shared" si="182"/>
        <v>34980</v>
      </c>
      <c r="B5127" s="2" t="str">
        <f>"37132"</f>
        <v>37132</v>
      </c>
      <c r="C5127" s="1">
        <v>0</v>
      </c>
      <c r="D5127" s="1">
        <v>3.4860210555671702E-5</v>
      </c>
      <c r="E5127" s="1">
        <v>0</v>
      </c>
      <c r="F5127" s="1">
        <v>2.9561368415451501E-6</v>
      </c>
    </row>
    <row r="5128" spans="1:6" x14ac:dyDescent="0.25">
      <c r="A5128" s="2" t="str">
        <f t="shared" si="182"/>
        <v>34980</v>
      </c>
      <c r="B5128" s="2" t="str">
        <f>"37218"</f>
        <v>37218</v>
      </c>
      <c r="C5128" s="1">
        <v>6.7167054105759898E-3</v>
      </c>
      <c r="D5128" s="1">
        <v>3.9973041437170202E-3</v>
      </c>
      <c r="E5128" s="1">
        <v>2.1871686108165399E-3</v>
      </c>
      <c r="F5128" s="1">
        <v>6.4187584619417003E-3</v>
      </c>
    </row>
    <row r="5129" spans="1:6" x14ac:dyDescent="0.25">
      <c r="A5129" s="2" t="str">
        <f t="shared" si="182"/>
        <v>34980</v>
      </c>
      <c r="B5129" s="2" t="str">
        <f>"37217"</f>
        <v>37217</v>
      </c>
      <c r="C5129" s="1">
        <v>1.6602969053028799E-2</v>
      </c>
      <c r="D5129" s="1">
        <v>2.2426735457482101E-2</v>
      </c>
      <c r="E5129" s="1">
        <v>1.3255567338282001E-2</v>
      </c>
      <c r="F5129" s="1">
        <v>1.7047055786243701E-2</v>
      </c>
    </row>
    <row r="5130" spans="1:6" x14ac:dyDescent="0.25">
      <c r="A5130" s="2" t="str">
        <f t="shared" si="182"/>
        <v>34980</v>
      </c>
      <c r="B5130" s="2" t="str">
        <f>"37211"</f>
        <v>37211</v>
      </c>
      <c r="C5130" s="1">
        <v>3.8510789193732603E-2</v>
      </c>
      <c r="D5130" s="1">
        <v>3.6847242557344999E-2</v>
      </c>
      <c r="E5130" s="1">
        <v>3.3205196182396597E-2</v>
      </c>
      <c r="F5130" s="1">
        <v>3.8290840508534298E-2</v>
      </c>
    </row>
    <row r="5131" spans="1:6" x14ac:dyDescent="0.25">
      <c r="A5131" s="2" t="str">
        <f t="shared" si="182"/>
        <v>34980</v>
      </c>
      <c r="B5131" s="2" t="str">
        <f>"37180"</f>
        <v>37180</v>
      </c>
      <c r="C5131" s="1">
        <v>5.9100878633062303E-5</v>
      </c>
      <c r="D5131" s="1">
        <v>0</v>
      </c>
      <c r="E5131" s="1">
        <v>0</v>
      </c>
      <c r="F5131" s="1">
        <v>5.3210463147812698E-5</v>
      </c>
    </row>
    <row r="5132" spans="1:6" x14ac:dyDescent="0.25">
      <c r="A5132" s="2" t="str">
        <f t="shared" si="182"/>
        <v>34980</v>
      </c>
      <c r="B5132" s="2" t="str">
        <f>"37186"</f>
        <v>37186</v>
      </c>
      <c r="C5132" s="1">
        <v>5.73278522740704E-3</v>
      </c>
      <c r="D5132" s="1">
        <v>2.6028957214901502E-3</v>
      </c>
      <c r="E5132" s="1">
        <v>2.38600212089077E-3</v>
      </c>
      <c r="F5132" s="1">
        <v>5.4176134516050797E-3</v>
      </c>
    </row>
    <row r="5133" spans="1:6" x14ac:dyDescent="0.25">
      <c r="A5133" s="2" t="str">
        <f t="shared" si="182"/>
        <v>34980</v>
      </c>
      <c r="B5133" s="2" t="str">
        <f>"37181"</f>
        <v>37181</v>
      </c>
      <c r="C5133" s="1">
        <v>6.1508692207001901E-4</v>
      </c>
      <c r="D5133" s="1">
        <v>1.5106091240791E-4</v>
      </c>
      <c r="E5133" s="1">
        <v>1.3255567338282001E-4</v>
      </c>
      <c r="F5133" s="1">
        <v>5.6856365252385104E-4</v>
      </c>
    </row>
    <row r="5134" spans="1:6" x14ac:dyDescent="0.25">
      <c r="A5134" s="2" t="str">
        <f t="shared" si="182"/>
        <v>34980</v>
      </c>
      <c r="B5134" s="2" t="str">
        <f>"37179"</f>
        <v>37179</v>
      </c>
      <c r="C5134" s="1">
        <v>6.97718706084763E-3</v>
      </c>
      <c r="D5134" s="1">
        <v>1.0690464570406E-3</v>
      </c>
      <c r="E5134" s="1">
        <v>1.3918345705196101E-3</v>
      </c>
      <c r="F5134" s="1">
        <v>6.39313860931498E-3</v>
      </c>
    </row>
    <row r="5135" spans="1:6" x14ac:dyDescent="0.25">
      <c r="A5135" s="2" t="str">
        <f t="shared" si="182"/>
        <v>34980</v>
      </c>
      <c r="B5135" s="2" t="str">
        <f>"37116"</f>
        <v>37116</v>
      </c>
      <c r="C5135" s="1">
        <v>1.43374353720947E-3</v>
      </c>
      <c r="D5135" s="1">
        <v>4.3923865300146397E-3</v>
      </c>
      <c r="E5135" s="1">
        <v>6.6277836691410304E-5</v>
      </c>
      <c r="F5135" s="1">
        <v>1.6643050417899201E-3</v>
      </c>
    </row>
    <row r="5136" spans="1:6" x14ac:dyDescent="0.25">
      <c r="A5136" s="2" t="str">
        <f t="shared" si="182"/>
        <v>34980</v>
      </c>
      <c r="B5136" s="2" t="str">
        <f>"37089"</f>
        <v>37089</v>
      </c>
      <c r="C5136" s="1">
        <v>0</v>
      </c>
      <c r="D5136" s="1">
        <v>0</v>
      </c>
      <c r="E5136" s="1">
        <v>6.6277836691410304E-5</v>
      </c>
      <c r="F5136" s="1">
        <v>9.8537894718171704E-7</v>
      </c>
    </row>
    <row r="5137" spans="1:6" x14ac:dyDescent="0.25">
      <c r="A5137" s="2" t="str">
        <f t="shared" si="182"/>
        <v>34980</v>
      </c>
      <c r="B5137" s="2" t="str">
        <f>"37011"</f>
        <v>37011</v>
      </c>
      <c r="C5137" s="1">
        <v>1.55413421590645E-3</v>
      </c>
      <c r="D5137" s="1">
        <v>3.6487020381603102E-3</v>
      </c>
      <c r="E5137" s="1">
        <v>6.6277836691410304E-5</v>
      </c>
      <c r="F5137" s="1">
        <v>1.70963247336028E-3</v>
      </c>
    </row>
    <row r="5138" spans="1:6" x14ac:dyDescent="0.25">
      <c r="A5138" s="2" t="str">
        <f t="shared" si="182"/>
        <v>34980</v>
      </c>
      <c r="B5138" s="2" t="str">
        <f>"37022"</f>
        <v>37022</v>
      </c>
      <c r="C5138" s="1">
        <v>2.9561383923685401E-3</v>
      </c>
      <c r="D5138" s="1">
        <v>7.4368449185433004E-4</v>
      </c>
      <c r="E5138" s="1">
        <v>0</v>
      </c>
      <c r="F5138" s="1">
        <v>2.7245727889574399E-3</v>
      </c>
    </row>
    <row r="5139" spans="1:6" x14ac:dyDescent="0.25">
      <c r="A5139" s="2" t="str">
        <f t="shared" si="182"/>
        <v>34980</v>
      </c>
      <c r="B5139" s="2" t="str">
        <f>"37083"</f>
        <v>37083</v>
      </c>
      <c r="C5139" s="1">
        <v>8.2916343800755604E-3</v>
      </c>
      <c r="D5139" s="1">
        <v>8.0178484278044995E-3</v>
      </c>
      <c r="E5139" s="1">
        <v>1.60392364793213E-2</v>
      </c>
      <c r="F5139" s="1">
        <v>8.3836040826220492E-3</v>
      </c>
    </row>
    <row r="5140" spans="1:6" x14ac:dyDescent="0.25">
      <c r="A5140" s="2" t="str">
        <f t="shared" si="182"/>
        <v>34980</v>
      </c>
      <c r="B5140" s="2" t="str">
        <f>"37077"</f>
        <v>37077</v>
      </c>
      <c r="C5140" s="1">
        <v>1.10321640115049E-3</v>
      </c>
      <c r="D5140" s="1">
        <v>6.89070161983778E-3</v>
      </c>
      <c r="E5140" s="1">
        <v>6.6277836691410304E-5</v>
      </c>
      <c r="F5140" s="1">
        <v>1.5785770733851099E-3</v>
      </c>
    </row>
    <row r="5141" spans="1:6" x14ac:dyDescent="0.25">
      <c r="A5141" s="2" t="str">
        <f t="shared" si="182"/>
        <v>34980</v>
      </c>
      <c r="B5141" s="2" t="str">
        <f>"37064"</f>
        <v>37064</v>
      </c>
      <c r="C5141" s="1">
        <v>2.75979214002092E-2</v>
      </c>
      <c r="D5141" s="1">
        <v>2.4646168862859901E-2</v>
      </c>
      <c r="E5141" s="1">
        <v>3.7049310710498398E-2</v>
      </c>
      <c r="F5141" s="1">
        <v>2.7488131110581099E-2</v>
      </c>
    </row>
    <row r="5142" spans="1:6" x14ac:dyDescent="0.25">
      <c r="A5142" s="2" t="str">
        <f t="shared" si="182"/>
        <v>34980</v>
      </c>
      <c r="B5142" s="2" t="str">
        <f>"37052"</f>
        <v>37052</v>
      </c>
      <c r="C5142" s="1">
        <v>4.3778428617083198E-5</v>
      </c>
      <c r="D5142" s="1">
        <v>1.16200701852239E-5</v>
      </c>
      <c r="E5142" s="1">
        <v>0</v>
      </c>
      <c r="F5142" s="1">
        <v>4.0400536834450401E-5</v>
      </c>
    </row>
    <row r="5143" spans="1:6" x14ac:dyDescent="0.25">
      <c r="A5143" s="2" t="str">
        <f t="shared" ref="A5143:A5170" si="183">"18260"</f>
        <v>18260</v>
      </c>
      <c r="B5143" s="2" t="str">
        <f>"38580"</f>
        <v>38580</v>
      </c>
      <c r="C5143" s="1">
        <v>1.5843689540376099E-2</v>
      </c>
      <c r="D5143" s="1">
        <v>4.3057050592034398E-3</v>
      </c>
      <c r="E5143" s="1">
        <v>8.6169754416199902E-4</v>
      </c>
      <c r="F5143" s="1">
        <v>1.43255500398357E-2</v>
      </c>
    </row>
    <row r="5144" spans="1:6" x14ac:dyDescent="0.25">
      <c r="A5144" s="2" t="str">
        <f t="shared" si="183"/>
        <v>18260</v>
      </c>
      <c r="B5144" s="2" t="str">
        <f>"37030"</f>
        <v>37030</v>
      </c>
      <c r="C5144" s="1">
        <v>1.74298014745612E-5</v>
      </c>
      <c r="D5144" s="1">
        <v>7.1761750986724005E-4</v>
      </c>
      <c r="E5144" s="1">
        <v>0</v>
      </c>
      <c r="F5144" s="1">
        <v>7.6607219464362299E-5</v>
      </c>
    </row>
    <row r="5145" spans="1:6" x14ac:dyDescent="0.25">
      <c r="A5145" s="2" t="str">
        <f t="shared" si="183"/>
        <v>18260</v>
      </c>
      <c r="B5145" s="2" t="str">
        <f>"38574"</f>
        <v>38574</v>
      </c>
      <c r="C5145" s="1">
        <v>6.0917156153591397E-2</v>
      </c>
      <c r="D5145" s="1">
        <v>5.3821313240043002E-2</v>
      </c>
      <c r="E5145" s="1">
        <v>5.5579491598448903E-2</v>
      </c>
      <c r="F5145" s="1">
        <v>6.0121345835631501E-2</v>
      </c>
    </row>
    <row r="5146" spans="1:6" x14ac:dyDescent="0.25">
      <c r="A5146" s="2" t="str">
        <f t="shared" si="183"/>
        <v>18260</v>
      </c>
      <c r="B5146" s="2" t="str">
        <f>"38502"</f>
        <v>38502</v>
      </c>
      <c r="C5146" s="1">
        <v>2.2798180328725999E-2</v>
      </c>
      <c r="D5146" s="1">
        <v>6.20739146035163E-2</v>
      </c>
      <c r="E5146" s="1">
        <v>4.3084877208099902E-4</v>
      </c>
      <c r="F5146" s="1">
        <v>2.53569896427039E-2</v>
      </c>
    </row>
    <row r="5147" spans="1:6" x14ac:dyDescent="0.25">
      <c r="A5147" s="2" t="str">
        <f t="shared" si="183"/>
        <v>18260</v>
      </c>
      <c r="B5147" s="2" t="str">
        <f>"38564"</f>
        <v>38564</v>
      </c>
      <c r="C5147" s="1">
        <v>6.4490265455876402E-3</v>
      </c>
      <c r="D5147" s="1">
        <v>1.7940437746681E-3</v>
      </c>
      <c r="E5147" s="1">
        <v>4.3084877208099902E-4</v>
      </c>
      <c r="F5147" s="1">
        <v>5.8374701231844002E-3</v>
      </c>
    </row>
    <row r="5148" spans="1:6" x14ac:dyDescent="0.25">
      <c r="A5148" s="2" t="str">
        <f t="shared" si="183"/>
        <v>18260</v>
      </c>
      <c r="B5148" s="2" t="str">
        <f>"38573"</f>
        <v>38573</v>
      </c>
      <c r="C5148" s="1">
        <v>1.52162166872919E-2</v>
      </c>
      <c r="D5148" s="1">
        <v>3.9468963042698204E-3</v>
      </c>
      <c r="E5148" s="1">
        <v>0</v>
      </c>
      <c r="F5148" s="1">
        <v>1.37126922841208E-2</v>
      </c>
    </row>
    <row r="5149" spans="1:6" x14ac:dyDescent="0.25">
      <c r="A5149" s="2" t="str">
        <f t="shared" si="183"/>
        <v>18260</v>
      </c>
      <c r="B5149" s="2" t="str">
        <f>"38554"</f>
        <v>38554</v>
      </c>
      <c r="C5149" s="1">
        <v>1.0196433862618299E-2</v>
      </c>
      <c r="D5149" s="1">
        <v>3.4086831718693898E-3</v>
      </c>
      <c r="E5149" s="1">
        <v>0</v>
      </c>
      <c r="F5149" s="1">
        <v>9.2541521112949592E-3</v>
      </c>
    </row>
    <row r="5150" spans="1:6" x14ac:dyDescent="0.25">
      <c r="A5150" s="2" t="str">
        <f t="shared" si="183"/>
        <v>18260</v>
      </c>
      <c r="B5150" s="2" t="str">
        <f>"38543"</f>
        <v>38543</v>
      </c>
      <c r="C5150" s="1">
        <v>4.7583358025552001E-3</v>
      </c>
      <c r="D5150" s="1">
        <v>2.1528525296017199E-3</v>
      </c>
      <c r="E5150" s="1">
        <v>0</v>
      </c>
      <c r="F5150" s="1">
        <v>4.3666115094686498E-3</v>
      </c>
    </row>
    <row r="5151" spans="1:6" x14ac:dyDescent="0.25">
      <c r="A5151" s="2" t="str">
        <f t="shared" si="183"/>
        <v>18260</v>
      </c>
      <c r="B5151" s="2" t="str">
        <f>"37145"</f>
        <v>37145</v>
      </c>
      <c r="C5151" s="1">
        <v>1.91727816220173E-3</v>
      </c>
      <c r="D5151" s="1">
        <v>1.7940437746681001E-4</v>
      </c>
      <c r="E5151" s="1">
        <v>0</v>
      </c>
      <c r="F5151" s="1">
        <v>1.70068027210884E-3</v>
      </c>
    </row>
    <row r="5152" spans="1:6" x14ac:dyDescent="0.25">
      <c r="A5152" s="2" t="str">
        <f t="shared" si="183"/>
        <v>18260</v>
      </c>
      <c r="B5152" s="2" t="str">
        <f>"38583"</f>
        <v>38583</v>
      </c>
      <c r="C5152" s="1">
        <v>2.7539086329806698E-3</v>
      </c>
      <c r="D5152" s="1">
        <v>1.7940437746681001E-4</v>
      </c>
      <c r="E5152" s="1">
        <v>0</v>
      </c>
      <c r="F5152" s="1">
        <v>2.4361095789667202E-3</v>
      </c>
    </row>
    <row r="5153" spans="1:6" x14ac:dyDescent="0.25">
      <c r="A5153" s="2" t="str">
        <f t="shared" si="183"/>
        <v>18260</v>
      </c>
      <c r="B5153" s="2" t="str">
        <f>"38589"</f>
        <v>38589</v>
      </c>
      <c r="C5153" s="1">
        <v>1.2200861032192799E-3</v>
      </c>
      <c r="D5153" s="1">
        <v>3.5880875493362002E-4</v>
      </c>
      <c r="E5153" s="1">
        <v>0</v>
      </c>
      <c r="F5153" s="1">
        <v>1.1031439602868099E-3</v>
      </c>
    </row>
    <row r="5154" spans="1:6" x14ac:dyDescent="0.25">
      <c r="A5154" s="2" t="str">
        <f t="shared" si="183"/>
        <v>18260</v>
      </c>
      <c r="B5154" s="2" t="str">
        <f>"38588"</f>
        <v>38588</v>
      </c>
      <c r="C5154" s="1">
        <v>8.9066285535007693E-3</v>
      </c>
      <c r="D5154" s="1">
        <v>4.1263006817366301E-3</v>
      </c>
      <c r="E5154" s="1">
        <v>0</v>
      </c>
      <c r="F5154" s="1">
        <v>8.1816510387938898E-3</v>
      </c>
    </row>
    <row r="5155" spans="1:6" x14ac:dyDescent="0.25">
      <c r="A5155" s="2" t="str">
        <f t="shared" si="183"/>
        <v>18260</v>
      </c>
      <c r="B5155" s="2" t="str">
        <f>"38544"</f>
        <v>38544</v>
      </c>
      <c r="C5155" s="1">
        <v>5.8337545535356299E-2</v>
      </c>
      <c r="D5155" s="1">
        <v>2.2425547183351199E-2</v>
      </c>
      <c r="E5155" s="1">
        <v>1.50797070228349E-2</v>
      </c>
      <c r="F5155" s="1">
        <v>5.3732303732303699E-2</v>
      </c>
    </row>
    <row r="5156" spans="1:6" x14ac:dyDescent="0.25">
      <c r="A5156" s="2" t="str">
        <f t="shared" si="183"/>
        <v>18260</v>
      </c>
      <c r="B5156" s="2" t="str">
        <f>"38568"</f>
        <v>38568</v>
      </c>
      <c r="C5156" s="1">
        <v>1.55822425182577E-2</v>
      </c>
      <c r="D5156" s="1">
        <v>2.5116612845353398E-3</v>
      </c>
      <c r="E5156" s="1">
        <v>1.7233950883239899E-2</v>
      </c>
      <c r="F5156" s="1">
        <v>1.4524728810443E-2</v>
      </c>
    </row>
    <row r="5157" spans="1:6" x14ac:dyDescent="0.25">
      <c r="A5157" s="2" t="str">
        <f t="shared" si="183"/>
        <v>18260</v>
      </c>
      <c r="B5157" s="2" t="str">
        <f>"38582"</f>
        <v>38582</v>
      </c>
      <c r="C5157" s="1">
        <v>1.00744252522963E-2</v>
      </c>
      <c r="D5157" s="1">
        <v>2.1528525296017199E-3</v>
      </c>
      <c r="E5157" s="1">
        <v>0</v>
      </c>
      <c r="F5157" s="1">
        <v>9.0396518967947505E-3</v>
      </c>
    </row>
    <row r="5158" spans="1:6" x14ac:dyDescent="0.25">
      <c r="A5158" s="2" t="str">
        <f t="shared" si="183"/>
        <v>18260</v>
      </c>
      <c r="B5158" s="2" t="str">
        <f>"38548"</f>
        <v>38548</v>
      </c>
      <c r="C5158" s="1">
        <v>4.6711867951823999E-3</v>
      </c>
      <c r="D5158" s="1">
        <v>5.3821313240042998E-4</v>
      </c>
      <c r="E5158" s="1">
        <v>8.6169754416199902E-4</v>
      </c>
      <c r="F5158" s="1">
        <v>4.1827541827541802E-3</v>
      </c>
    </row>
    <row r="5159" spans="1:6" x14ac:dyDescent="0.25">
      <c r="A5159" s="2" t="str">
        <f t="shared" si="183"/>
        <v>18260</v>
      </c>
      <c r="B5159" s="2" t="str">
        <f>"38506"</f>
        <v>38506</v>
      </c>
      <c r="C5159" s="1">
        <v>0.234657417252017</v>
      </c>
      <c r="D5159" s="1">
        <v>0.153749551489056</v>
      </c>
      <c r="E5159" s="1">
        <v>0.14045669969840499</v>
      </c>
      <c r="F5159" s="1">
        <v>0.22439786725500999</v>
      </c>
    </row>
    <row r="5160" spans="1:6" x14ac:dyDescent="0.25">
      <c r="A5160" s="2" t="str">
        <f t="shared" si="183"/>
        <v>18260</v>
      </c>
      <c r="B5160" s="2" t="str">
        <f>"38501"</f>
        <v>38501</v>
      </c>
      <c r="C5160" s="1">
        <v>0.341641538702874</v>
      </c>
      <c r="D5160" s="1">
        <v>0.467168998923573</v>
      </c>
      <c r="E5160" s="1">
        <v>0.69797501077121904</v>
      </c>
      <c r="F5160" s="1">
        <v>0.36503340074768598</v>
      </c>
    </row>
    <row r="5161" spans="1:6" x14ac:dyDescent="0.25">
      <c r="A5161" s="2" t="str">
        <f t="shared" si="183"/>
        <v>18260</v>
      </c>
      <c r="B5161" s="2" t="str">
        <f>"38553"</f>
        <v>38553</v>
      </c>
      <c r="C5161" s="1">
        <v>8.7149007372805995E-5</v>
      </c>
      <c r="D5161" s="1">
        <v>0</v>
      </c>
      <c r="E5161" s="1">
        <v>0</v>
      </c>
      <c r="F5161" s="1">
        <v>7.6607219464362299E-5</v>
      </c>
    </row>
    <row r="5162" spans="1:6" x14ac:dyDescent="0.25">
      <c r="A5162" s="2" t="str">
        <f t="shared" si="183"/>
        <v>18260</v>
      </c>
      <c r="B5162" s="2" t="str">
        <f>"38542"</f>
        <v>38542</v>
      </c>
      <c r="C5162" s="1">
        <v>5.2289404423683597E-4</v>
      </c>
      <c r="D5162" s="1">
        <v>1.7940437746681001E-4</v>
      </c>
      <c r="E5162" s="1">
        <v>0</v>
      </c>
      <c r="F5162" s="1">
        <v>4.7496476067904599E-4</v>
      </c>
    </row>
    <row r="5163" spans="1:6" x14ac:dyDescent="0.25">
      <c r="A5163" s="2" t="str">
        <f t="shared" si="183"/>
        <v>18260</v>
      </c>
      <c r="B5163" s="2" t="str">
        <f>"37150"</f>
        <v>37150</v>
      </c>
      <c r="C5163" s="1">
        <v>4.5317483833859102E-4</v>
      </c>
      <c r="D5163" s="1">
        <v>0</v>
      </c>
      <c r="E5163" s="1">
        <v>0</v>
      </c>
      <c r="F5163" s="1">
        <v>3.9835754121468403E-4</v>
      </c>
    </row>
    <row r="5164" spans="1:6" x14ac:dyDescent="0.25">
      <c r="A5164" s="2" t="str">
        <f t="shared" si="183"/>
        <v>18260</v>
      </c>
      <c r="B5164" s="2" t="str">
        <f>"38570"</f>
        <v>38570</v>
      </c>
      <c r="C5164" s="1">
        <v>8.6573823924145504E-2</v>
      </c>
      <c r="D5164" s="1">
        <v>0.122712594187298</v>
      </c>
      <c r="E5164" s="1">
        <v>6.9797501077121904E-2</v>
      </c>
      <c r="F5164" s="1">
        <v>8.9063553349267605E-2</v>
      </c>
    </row>
    <row r="5165" spans="1:6" x14ac:dyDescent="0.25">
      <c r="A5165" s="2" t="str">
        <f t="shared" si="183"/>
        <v>18260</v>
      </c>
      <c r="B5165" s="2" t="str">
        <f>"38551"</f>
        <v>38551</v>
      </c>
      <c r="C5165" s="1">
        <v>3.3116622801666201E-4</v>
      </c>
      <c r="D5165" s="1">
        <v>0</v>
      </c>
      <c r="E5165" s="1">
        <v>0</v>
      </c>
      <c r="F5165" s="1">
        <v>2.91107433964576E-4</v>
      </c>
    </row>
    <row r="5166" spans="1:6" x14ac:dyDescent="0.25">
      <c r="A5166" s="2" t="str">
        <f t="shared" si="183"/>
        <v>18260</v>
      </c>
      <c r="B5166" s="2" t="str">
        <f>"38552"</f>
        <v>38552</v>
      </c>
      <c r="C5166" s="1">
        <v>5.2289404423683602E-5</v>
      </c>
      <c r="D5166" s="1">
        <v>0</v>
      </c>
      <c r="E5166" s="1">
        <v>0</v>
      </c>
      <c r="F5166" s="1">
        <v>4.5964331678617299E-5</v>
      </c>
    </row>
    <row r="5167" spans="1:6" x14ac:dyDescent="0.25">
      <c r="A5167" s="2" t="str">
        <f t="shared" si="183"/>
        <v>18260</v>
      </c>
      <c r="B5167" s="2" t="str">
        <f>"38545"</f>
        <v>38545</v>
      </c>
      <c r="C5167" s="1">
        <v>1.1643107385006801E-2</v>
      </c>
      <c r="D5167" s="1">
        <v>3.2292787944025801E-3</v>
      </c>
      <c r="E5167" s="1">
        <v>0</v>
      </c>
      <c r="F5167" s="1">
        <v>1.0510510510510499E-2</v>
      </c>
    </row>
    <row r="5168" spans="1:6" x14ac:dyDescent="0.25">
      <c r="A5168" s="2" t="str">
        <f t="shared" si="183"/>
        <v>18260</v>
      </c>
      <c r="B5168" s="2" t="str">
        <f>"38541"</f>
        <v>38541</v>
      </c>
      <c r="C5168" s="1">
        <v>1.0144144458194599E-2</v>
      </c>
      <c r="D5168" s="1">
        <v>3.7674919268030102E-3</v>
      </c>
      <c r="E5168" s="1">
        <v>0</v>
      </c>
      <c r="F5168" s="1">
        <v>9.2388306674020901E-3</v>
      </c>
    </row>
    <row r="5169" spans="1:6" x14ac:dyDescent="0.25">
      <c r="A5169" s="2" t="str">
        <f t="shared" si="183"/>
        <v>18260</v>
      </c>
      <c r="B5169" s="2" t="str">
        <f>"38562"</f>
        <v>38562</v>
      </c>
      <c r="C5169" s="1">
        <v>6.1753786624370297E-2</v>
      </c>
      <c r="D5169" s="1">
        <v>2.9601722282023599E-2</v>
      </c>
      <c r="E5169" s="1">
        <v>8.6169754416199902E-4</v>
      </c>
      <c r="F5169" s="1">
        <v>5.6842556842556798E-2</v>
      </c>
    </row>
    <row r="5170" spans="1:6" x14ac:dyDescent="0.25">
      <c r="A5170" s="2" t="str">
        <f t="shared" si="183"/>
        <v>18260</v>
      </c>
      <c r="B5170" s="2" t="str">
        <f>"38503"</f>
        <v>38503</v>
      </c>
      <c r="C5170" s="1">
        <v>1.2479737855785799E-2</v>
      </c>
      <c r="D5170" s="1">
        <v>5.4897739504843897E-2</v>
      </c>
      <c r="E5170" s="1">
        <v>4.3084877208099902E-4</v>
      </c>
      <c r="F5170" s="1">
        <v>1.5673837102408501E-2</v>
      </c>
    </row>
    <row r="5171" spans="1:6" x14ac:dyDescent="0.25">
      <c r="A5171" s="2" t="str">
        <f t="shared" ref="A5171:A5183" si="184">"18900"</f>
        <v>18900</v>
      </c>
      <c r="B5171" s="2" t="str">
        <f>"38572"</f>
        <v>38572</v>
      </c>
      <c r="C5171" s="1">
        <v>0.19804238609458899</v>
      </c>
      <c r="D5171" s="1">
        <v>6.5488565488565395E-2</v>
      </c>
      <c r="E5171" s="1">
        <v>5.8823529411764698E-2</v>
      </c>
      <c r="F5171" s="1">
        <v>0.18306172205825699</v>
      </c>
    </row>
    <row r="5172" spans="1:6" x14ac:dyDescent="0.25">
      <c r="A5172" s="2" t="str">
        <f t="shared" si="184"/>
        <v>18900</v>
      </c>
      <c r="B5172" s="2" t="str">
        <f>"37337"</f>
        <v>37337</v>
      </c>
      <c r="C5172" s="1">
        <v>9.2394756597563004E-3</v>
      </c>
      <c r="D5172" s="1">
        <v>2.4255024255024201E-3</v>
      </c>
      <c r="E5172" s="1">
        <v>0</v>
      </c>
      <c r="F5172" s="1">
        <v>8.3921467984088196E-3</v>
      </c>
    </row>
    <row r="5173" spans="1:6" x14ac:dyDescent="0.25">
      <c r="A5173" s="2" t="str">
        <f t="shared" si="184"/>
        <v>18900</v>
      </c>
      <c r="B5173" s="2" t="str">
        <f>"38583"</f>
        <v>38583</v>
      </c>
      <c r="C5173" s="1">
        <v>1.5447248368655001E-2</v>
      </c>
      <c r="D5173" s="1">
        <v>3.11850311850311E-3</v>
      </c>
      <c r="E5173" s="1">
        <v>9.6885813148788903E-3</v>
      </c>
      <c r="F5173" s="1">
        <v>1.43205440780187E-2</v>
      </c>
    </row>
    <row r="5174" spans="1:6" x14ac:dyDescent="0.25">
      <c r="A5174" s="2" t="str">
        <f t="shared" si="184"/>
        <v>18900</v>
      </c>
      <c r="B5174" s="2" t="str">
        <f>"37381"</f>
        <v>37381</v>
      </c>
      <c r="C5174" s="1">
        <v>2.8873361436738401E-4</v>
      </c>
      <c r="D5174" s="1">
        <v>0</v>
      </c>
      <c r="E5174" s="1">
        <v>0</v>
      </c>
      <c r="F5174" s="1">
        <v>2.5664057487488699E-4</v>
      </c>
    </row>
    <row r="5175" spans="1:6" x14ac:dyDescent="0.25">
      <c r="A5175" s="2" t="str">
        <f t="shared" si="184"/>
        <v>18900</v>
      </c>
      <c r="B5175" s="2" t="str">
        <f>"38578"</f>
        <v>38578</v>
      </c>
      <c r="C5175" s="1">
        <v>8.6620084310215297E-5</v>
      </c>
      <c r="D5175" s="1">
        <v>3.4650034650034601E-4</v>
      </c>
      <c r="E5175" s="1">
        <v>0</v>
      </c>
      <c r="F5175" s="1">
        <v>1.0265622994995501E-4</v>
      </c>
    </row>
    <row r="5176" spans="1:6" x14ac:dyDescent="0.25">
      <c r="A5176" s="2" t="str">
        <f t="shared" si="184"/>
        <v>18900</v>
      </c>
      <c r="B5176" s="2" t="str">
        <f>"38574"</f>
        <v>38574</v>
      </c>
      <c r="C5176" s="1">
        <v>2.1135300571692502E-2</v>
      </c>
      <c r="D5176" s="1">
        <v>4.8510048510048498E-3</v>
      </c>
      <c r="E5176" s="1">
        <v>2.0761245674740399E-3</v>
      </c>
      <c r="F5176" s="1">
        <v>1.9222379058128999E-2</v>
      </c>
    </row>
    <row r="5177" spans="1:6" x14ac:dyDescent="0.25">
      <c r="A5177" s="2" t="str">
        <f t="shared" si="184"/>
        <v>18900</v>
      </c>
      <c r="B5177" s="2" t="str">
        <f>"38555"</f>
        <v>38555</v>
      </c>
      <c r="C5177" s="1">
        <v>0.28728994629554699</v>
      </c>
      <c r="D5177" s="1">
        <v>0.61088011088010996</v>
      </c>
      <c r="E5177" s="1">
        <v>0.71764705882352897</v>
      </c>
      <c r="F5177" s="1">
        <v>0.32721673296548098</v>
      </c>
    </row>
    <row r="5178" spans="1:6" x14ac:dyDescent="0.25">
      <c r="A5178" s="2" t="str">
        <f t="shared" si="184"/>
        <v>18900</v>
      </c>
      <c r="B5178" s="2" t="str">
        <f>"37854"</f>
        <v>37854</v>
      </c>
      <c r="C5178" s="1">
        <v>2.8786741352428199E-2</v>
      </c>
      <c r="D5178" s="1">
        <v>1.004851004851E-2</v>
      </c>
      <c r="E5178" s="1">
        <v>0</v>
      </c>
      <c r="F5178" s="1">
        <v>2.63313229821634E-2</v>
      </c>
    </row>
    <row r="5179" spans="1:6" x14ac:dyDescent="0.25">
      <c r="A5179" s="2" t="str">
        <f t="shared" si="184"/>
        <v>18900</v>
      </c>
      <c r="B5179" s="2" t="str">
        <f>"38558"</f>
        <v>38558</v>
      </c>
      <c r="C5179" s="1">
        <v>0.162557024888837</v>
      </c>
      <c r="D5179" s="1">
        <v>1.42065142065142E-2</v>
      </c>
      <c r="E5179" s="1">
        <v>8.5813148788927304E-2</v>
      </c>
      <c r="F5179" s="1">
        <v>0.14872321313999701</v>
      </c>
    </row>
    <row r="5180" spans="1:6" x14ac:dyDescent="0.25">
      <c r="A5180" s="2" t="str">
        <f t="shared" si="184"/>
        <v>18900</v>
      </c>
      <c r="B5180" s="2" t="str">
        <f>"38571"</f>
        <v>38571</v>
      </c>
      <c r="C5180" s="1">
        <v>0.209043136801986</v>
      </c>
      <c r="D5180" s="1">
        <v>0.15488565488565401</v>
      </c>
      <c r="E5180" s="1">
        <v>0.12525951557093401</v>
      </c>
      <c r="F5180" s="1">
        <v>0.20192480431156101</v>
      </c>
    </row>
    <row r="5181" spans="1:6" x14ac:dyDescent="0.25">
      <c r="A5181" s="2" t="str">
        <f t="shared" si="184"/>
        <v>18900</v>
      </c>
      <c r="B5181" s="2" t="str">
        <f>"37723"</f>
        <v>37723</v>
      </c>
      <c r="C5181" s="1">
        <v>1.21845585263036E-2</v>
      </c>
      <c r="D5181" s="1">
        <v>3.4650034650034601E-3</v>
      </c>
      <c r="E5181" s="1">
        <v>0</v>
      </c>
      <c r="F5181" s="1">
        <v>1.1086872834595101E-2</v>
      </c>
    </row>
    <row r="5182" spans="1:6" x14ac:dyDescent="0.25">
      <c r="A5182" s="2" t="str">
        <f t="shared" si="184"/>
        <v>18900</v>
      </c>
      <c r="B5182" s="2" t="str">
        <f>"37367"</f>
        <v>37367</v>
      </c>
      <c r="C5182" s="1">
        <v>6.9296067448172303E-4</v>
      </c>
      <c r="D5182" s="1">
        <v>6.93000693000693E-4</v>
      </c>
      <c r="E5182" s="1">
        <v>0</v>
      </c>
      <c r="F5182" s="1">
        <v>6.6726549467470799E-4</v>
      </c>
    </row>
    <row r="5183" spans="1:6" x14ac:dyDescent="0.25">
      <c r="A5183" s="2" t="str">
        <f t="shared" si="184"/>
        <v>18900</v>
      </c>
      <c r="B5183" s="2" t="str">
        <f>"38557"</f>
        <v>38557</v>
      </c>
      <c r="C5183" s="1">
        <v>5.5205867067043897E-2</v>
      </c>
      <c r="D5183" s="1">
        <v>0.12959112959112901</v>
      </c>
      <c r="E5183" s="1">
        <v>6.9204152249134902E-4</v>
      </c>
      <c r="F5183" s="1">
        <v>5.86936994738868E-2</v>
      </c>
    </row>
    <row r="5184" spans="1:6" x14ac:dyDescent="0.25">
      <c r="A5184" s="2" t="str">
        <f t="shared" ref="A5184:A5194" si="185">"24620"</f>
        <v>24620</v>
      </c>
      <c r="B5184" s="2" t="str">
        <f>"37711"</f>
        <v>37711</v>
      </c>
      <c r="C5184" s="1">
        <v>2.4615210502489802E-2</v>
      </c>
      <c r="D5184" s="1">
        <v>2.0653398422831301E-2</v>
      </c>
      <c r="E5184" s="1">
        <v>1.7266187050359701E-2</v>
      </c>
      <c r="F5184" s="1">
        <v>2.4210635109296601E-2</v>
      </c>
    </row>
    <row r="5185" spans="1:6" x14ac:dyDescent="0.25">
      <c r="A5185" s="2" t="str">
        <f t="shared" si="185"/>
        <v>24620</v>
      </c>
      <c r="B5185" s="2" t="str">
        <f>"37818"</f>
        <v>37818</v>
      </c>
      <c r="C5185" s="1">
        <v>6.9629923042100403E-2</v>
      </c>
      <c r="D5185" s="1">
        <v>3.7551633496057002E-2</v>
      </c>
      <c r="E5185" s="1">
        <v>5.0359712230215799E-2</v>
      </c>
      <c r="F5185" s="1">
        <v>6.7076636866311795E-2</v>
      </c>
    </row>
    <row r="5186" spans="1:6" x14ac:dyDescent="0.25">
      <c r="A5186" s="2" t="str">
        <f t="shared" si="185"/>
        <v>24620</v>
      </c>
      <c r="B5186" s="2" t="str">
        <f>"37656"</f>
        <v>37656</v>
      </c>
      <c r="C5186" s="1">
        <v>1.2307605251244901E-2</v>
      </c>
      <c r="D5186" s="1">
        <v>3.0041306796845602E-3</v>
      </c>
      <c r="E5186" s="1">
        <v>0</v>
      </c>
      <c r="F5186" s="1">
        <v>1.14464368766472E-2</v>
      </c>
    </row>
    <row r="5187" spans="1:6" x14ac:dyDescent="0.25">
      <c r="A5187" s="2" t="str">
        <f t="shared" si="185"/>
        <v>24620</v>
      </c>
      <c r="B5187" s="2" t="str">
        <f>"37857"</f>
        <v>37857</v>
      </c>
      <c r="C5187" s="1">
        <v>1.6976007243096401E-4</v>
      </c>
      <c r="D5187" s="1">
        <v>0</v>
      </c>
      <c r="E5187" s="1">
        <v>0</v>
      </c>
      <c r="F5187" s="1">
        <v>1.55030747764973E-4</v>
      </c>
    </row>
    <row r="5188" spans="1:6" x14ac:dyDescent="0.25">
      <c r="A5188" s="2" t="str">
        <f t="shared" si="185"/>
        <v>24620</v>
      </c>
      <c r="B5188" s="2" t="str">
        <f>"37616"</f>
        <v>37616</v>
      </c>
      <c r="C5188" s="1">
        <v>7.1638750565866896E-2</v>
      </c>
      <c r="D5188" s="1">
        <v>1.9526849417949601E-2</v>
      </c>
      <c r="E5188" s="1">
        <v>1.8705035971223E-2</v>
      </c>
      <c r="F5188" s="1">
        <v>6.7102475324272604E-2</v>
      </c>
    </row>
    <row r="5189" spans="1:6" x14ac:dyDescent="0.25">
      <c r="A5189" s="2" t="str">
        <f t="shared" si="185"/>
        <v>24620</v>
      </c>
      <c r="B5189" s="2" t="str">
        <f>"37809"</f>
        <v>37809</v>
      </c>
      <c r="C5189" s="1">
        <v>3.0868039837030299E-2</v>
      </c>
      <c r="D5189" s="1">
        <v>1.68982350732256E-2</v>
      </c>
      <c r="E5189" s="1">
        <v>1.15107913669064E-2</v>
      </c>
      <c r="F5189" s="1">
        <v>2.9559195907188199E-2</v>
      </c>
    </row>
    <row r="5190" spans="1:6" x14ac:dyDescent="0.25">
      <c r="A5190" s="2" t="str">
        <f t="shared" si="185"/>
        <v>24620</v>
      </c>
      <c r="B5190" s="2" t="str">
        <f>"37681"</f>
        <v>37681</v>
      </c>
      <c r="C5190" s="1">
        <v>2.43605703938433E-2</v>
      </c>
      <c r="D5190" s="1">
        <v>5.2572286894479901E-3</v>
      </c>
      <c r="E5190" s="1">
        <v>5.7553956834532297E-3</v>
      </c>
      <c r="F5190" s="1">
        <v>2.2712004547568599E-2</v>
      </c>
    </row>
    <row r="5191" spans="1:6" x14ac:dyDescent="0.25">
      <c r="A5191" s="2" t="str">
        <f t="shared" si="185"/>
        <v>24620</v>
      </c>
      <c r="B5191" s="2" t="str">
        <f>"37745"</f>
        <v>37745</v>
      </c>
      <c r="C5191" s="1">
        <v>0.27280443639655899</v>
      </c>
      <c r="D5191" s="1">
        <v>0.50469395418700702</v>
      </c>
      <c r="E5191" s="1">
        <v>0.38561151079136602</v>
      </c>
      <c r="F5191" s="1">
        <v>0.29078600589116799</v>
      </c>
    </row>
    <row r="5192" spans="1:6" x14ac:dyDescent="0.25">
      <c r="A5192" s="2" t="str">
        <f t="shared" si="185"/>
        <v>24620</v>
      </c>
      <c r="B5192" s="2" t="str">
        <f>"37641"</f>
        <v>37641</v>
      </c>
      <c r="C5192" s="1">
        <v>9.3056813037573502E-2</v>
      </c>
      <c r="D5192" s="1">
        <v>2.4784078107397599E-2</v>
      </c>
      <c r="E5192" s="1">
        <v>1.7266187050359701E-2</v>
      </c>
      <c r="F5192" s="1">
        <v>8.6998087954110806E-2</v>
      </c>
    </row>
    <row r="5193" spans="1:6" x14ac:dyDescent="0.25">
      <c r="A5193" s="2" t="str">
        <f t="shared" si="185"/>
        <v>24620</v>
      </c>
      <c r="B5193" s="2" t="str">
        <f>"37810"</f>
        <v>37810</v>
      </c>
      <c r="C5193" s="1">
        <v>2.9594839293798001E-2</v>
      </c>
      <c r="D5193" s="1">
        <v>9.3879083740142592E-3</v>
      </c>
      <c r="E5193" s="1">
        <v>0</v>
      </c>
      <c r="F5193" s="1">
        <v>2.76729884760477E-2</v>
      </c>
    </row>
    <row r="5194" spans="1:6" x14ac:dyDescent="0.25">
      <c r="A5194" s="2" t="str">
        <f t="shared" si="185"/>
        <v>24620</v>
      </c>
      <c r="B5194" s="2" t="str">
        <f>"37743"</f>
        <v>37743</v>
      </c>
      <c r="C5194" s="1">
        <v>0.37095405160706202</v>
      </c>
      <c r="D5194" s="1">
        <v>0.35824258355238398</v>
      </c>
      <c r="E5194" s="1">
        <v>0.49352517985611499</v>
      </c>
      <c r="F5194" s="1">
        <v>0.37228050229962201</v>
      </c>
    </row>
    <row r="5195" spans="1:6" x14ac:dyDescent="0.25">
      <c r="A5195" s="2" t="str">
        <f t="shared" ref="A5195:A5226" si="186">"28940"</f>
        <v>28940</v>
      </c>
      <c r="B5195" s="2" t="str">
        <f>"37917"</f>
        <v>37917</v>
      </c>
      <c r="C5195" s="1">
        <v>3.1137008680879302E-2</v>
      </c>
      <c r="D5195" s="1">
        <v>4.0542208834349697E-2</v>
      </c>
      <c r="E5195" s="1">
        <v>6.4513320564165005E-2</v>
      </c>
      <c r="F5195" s="1">
        <v>3.2674833195167598E-2</v>
      </c>
    </row>
    <row r="5196" spans="1:6" x14ac:dyDescent="0.25">
      <c r="A5196" s="2" t="str">
        <f t="shared" si="186"/>
        <v>28940</v>
      </c>
      <c r="B5196" s="2" t="str">
        <f>"37880"</f>
        <v>37880</v>
      </c>
      <c r="C5196" s="1">
        <v>2.0606695265853298E-3</v>
      </c>
      <c r="D5196" s="1">
        <v>3.2097972889558201E-4</v>
      </c>
      <c r="E5196" s="1">
        <v>0</v>
      </c>
      <c r="F5196" s="1">
        <v>1.8712725458159901E-3</v>
      </c>
    </row>
    <row r="5197" spans="1:6" x14ac:dyDescent="0.25">
      <c r="A5197" s="2" t="str">
        <f t="shared" si="186"/>
        <v>28940</v>
      </c>
      <c r="B5197" s="2" t="str">
        <f>"37940"</f>
        <v>37940</v>
      </c>
      <c r="C5197" s="1">
        <v>2.3865114909854099E-3</v>
      </c>
      <c r="D5197" s="1">
        <v>5.2838201525888199E-3</v>
      </c>
      <c r="E5197" s="1">
        <v>1.74125021765627E-4</v>
      </c>
      <c r="F5197" s="1">
        <v>2.57149065973423E-3</v>
      </c>
    </row>
    <row r="5198" spans="1:6" x14ac:dyDescent="0.25">
      <c r="A5198" s="2" t="str">
        <f t="shared" si="186"/>
        <v>28940</v>
      </c>
      <c r="B5198" s="2" t="str">
        <f>"37933"</f>
        <v>37933</v>
      </c>
      <c r="C5198" s="1">
        <v>2.0584223406239499E-3</v>
      </c>
      <c r="D5198" s="1">
        <v>1.6271203180168298E-2</v>
      </c>
      <c r="E5198" s="1">
        <v>1.74125021765627E-4</v>
      </c>
      <c r="F5198" s="1">
        <v>3.1731148438191598E-3</v>
      </c>
    </row>
    <row r="5199" spans="1:6" x14ac:dyDescent="0.25">
      <c r="A5199" s="2" t="str">
        <f t="shared" si="186"/>
        <v>28940</v>
      </c>
      <c r="B5199" s="2" t="str">
        <f>"37870"</f>
        <v>37870</v>
      </c>
      <c r="C5199" s="1">
        <v>1.35055876278929E-3</v>
      </c>
      <c r="D5199" s="1">
        <v>4.4443347077849902E-4</v>
      </c>
      <c r="E5199" s="1">
        <v>3.4825004353125502E-4</v>
      </c>
      <c r="F5199" s="1">
        <v>1.25355139359501E-3</v>
      </c>
    </row>
    <row r="5200" spans="1:6" x14ac:dyDescent="0.25">
      <c r="A5200" s="2" t="str">
        <f t="shared" si="186"/>
        <v>28940</v>
      </c>
      <c r="B5200" s="2" t="str">
        <f>"37921"</f>
        <v>37921</v>
      </c>
      <c r="C5200" s="1">
        <v>2.9838135195201801E-2</v>
      </c>
      <c r="D5200" s="1">
        <v>3.2838695340855699E-2</v>
      </c>
      <c r="E5200" s="1">
        <v>2.70764408845551E-2</v>
      </c>
      <c r="F5200" s="1">
        <v>3.00188334527191E-2</v>
      </c>
    </row>
    <row r="5201" spans="1:6" x14ac:dyDescent="0.25">
      <c r="A5201" s="2" t="str">
        <f t="shared" si="186"/>
        <v>28940</v>
      </c>
      <c r="B5201" s="2" t="str">
        <f>"37852"</f>
        <v>37852</v>
      </c>
      <c r="C5201" s="1">
        <v>3.0112291882490101E-4</v>
      </c>
      <c r="D5201" s="1">
        <v>0</v>
      </c>
      <c r="E5201" s="1">
        <v>0</v>
      </c>
      <c r="F5201" s="1">
        <v>2.6962421627886298E-4</v>
      </c>
    </row>
    <row r="5202" spans="1:6" x14ac:dyDescent="0.25">
      <c r="A5202" s="2" t="str">
        <f t="shared" si="186"/>
        <v>28940</v>
      </c>
      <c r="B5202" s="2" t="str">
        <f>"37854"</f>
        <v>37854</v>
      </c>
      <c r="C5202" s="1">
        <v>1.33258127509825E-2</v>
      </c>
      <c r="D5202" s="1">
        <v>1.0542949556801001E-2</v>
      </c>
      <c r="E5202" s="1">
        <v>1.0273376284171999E-2</v>
      </c>
      <c r="F5202" s="1">
        <v>1.30284835851167E-2</v>
      </c>
    </row>
    <row r="5203" spans="1:6" x14ac:dyDescent="0.25">
      <c r="A5203" s="2" t="str">
        <f t="shared" si="186"/>
        <v>28940</v>
      </c>
      <c r="B5203" s="2" t="str">
        <f>"37847"</f>
        <v>37847</v>
      </c>
      <c r="C5203" s="1">
        <v>1.6022435904638401E-3</v>
      </c>
      <c r="D5203" s="1">
        <v>8.3948544480383195E-4</v>
      </c>
      <c r="E5203" s="1">
        <v>1.74125021765627E-4</v>
      </c>
      <c r="F5203" s="1">
        <v>1.50707864173782E-3</v>
      </c>
    </row>
    <row r="5204" spans="1:6" x14ac:dyDescent="0.25">
      <c r="A5204" s="2" t="str">
        <f t="shared" si="186"/>
        <v>28940</v>
      </c>
      <c r="B5204" s="2" t="str">
        <f>"37849"</f>
        <v>37849</v>
      </c>
      <c r="C5204" s="1">
        <v>3.07325152078309E-2</v>
      </c>
      <c r="D5204" s="1">
        <v>1.9258783733734901E-2</v>
      </c>
      <c r="E5204" s="1">
        <v>1.5061814382726701E-2</v>
      </c>
      <c r="F5204" s="1">
        <v>2.9435318357787298E-2</v>
      </c>
    </row>
    <row r="5205" spans="1:6" x14ac:dyDescent="0.25">
      <c r="A5205" s="2" t="str">
        <f t="shared" si="186"/>
        <v>28940</v>
      </c>
      <c r="B5205" s="2" t="str">
        <f>"37769"</f>
        <v>37769</v>
      </c>
      <c r="C5205" s="1">
        <v>6.04043586418906E-3</v>
      </c>
      <c r="D5205" s="1">
        <v>3.0616527986963198E-3</v>
      </c>
      <c r="E5205" s="1">
        <v>1.9153752394219E-3</v>
      </c>
      <c r="F5205" s="1">
        <v>5.7023509621962698E-3</v>
      </c>
    </row>
    <row r="5206" spans="1:6" x14ac:dyDescent="0.25">
      <c r="A5206" s="2" t="str">
        <f t="shared" si="186"/>
        <v>28940</v>
      </c>
      <c r="B5206" s="2" t="str">
        <f>"37779"</f>
        <v>37779</v>
      </c>
      <c r="C5206" s="1">
        <v>3.9775191516423503E-3</v>
      </c>
      <c r="D5206" s="1">
        <v>8.8886694155699804E-4</v>
      </c>
      <c r="E5206" s="1">
        <v>2.8730628591328499E-3</v>
      </c>
      <c r="F5206" s="1">
        <v>3.7002905502748502E-3</v>
      </c>
    </row>
    <row r="5207" spans="1:6" x14ac:dyDescent="0.25">
      <c r="A5207" s="2" t="str">
        <f t="shared" si="186"/>
        <v>28940</v>
      </c>
      <c r="B5207" s="2" t="str">
        <f>"37912"</f>
        <v>37912</v>
      </c>
      <c r="C5207" s="1">
        <v>2.8123532306668898E-2</v>
      </c>
      <c r="D5207" s="1">
        <v>3.0764672477222699E-2</v>
      </c>
      <c r="E5207" s="1">
        <v>4.6230193278774097E-2</v>
      </c>
      <c r="F5207" s="1">
        <v>2.87572335750561E-2</v>
      </c>
    </row>
    <row r="5208" spans="1:6" x14ac:dyDescent="0.25">
      <c r="A5208" s="2" t="str">
        <f t="shared" si="186"/>
        <v>28940</v>
      </c>
      <c r="B5208" s="2" t="str">
        <f>"37882"</f>
        <v>37882</v>
      </c>
      <c r="C5208" s="1">
        <v>4.0988671935568597E-3</v>
      </c>
      <c r="D5208" s="1">
        <v>3.6295400113577399E-3</v>
      </c>
      <c r="E5208" s="1">
        <v>1.0447501305937601E-3</v>
      </c>
      <c r="F5208" s="1">
        <v>3.9900359767237803E-3</v>
      </c>
    </row>
    <row r="5209" spans="1:6" x14ac:dyDescent="0.25">
      <c r="A5209" s="2" t="str">
        <f t="shared" si="186"/>
        <v>28940</v>
      </c>
      <c r="B5209" s="2" t="str">
        <f>"37929"</f>
        <v>37929</v>
      </c>
      <c r="C5209" s="1">
        <v>0</v>
      </c>
      <c r="D5209" s="1">
        <v>3.8270659983704099E-3</v>
      </c>
      <c r="E5209" s="1">
        <v>4.35312554414069E-4</v>
      </c>
      <c r="F5209" s="1">
        <v>3.2193936272103098E-4</v>
      </c>
    </row>
    <row r="5210" spans="1:6" x14ac:dyDescent="0.25">
      <c r="A5210" s="2" t="str">
        <f t="shared" si="186"/>
        <v>28940</v>
      </c>
      <c r="B5210" s="2" t="str">
        <f>"37829"</f>
        <v>37829</v>
      </c>
      <c r="C5210" s="1">
        <v>1.7123557025714501E-3</v>
      </c>
      <c r="D5210" s="1">
        <v>1.9752598701266601E-4</v>
      </c>
      <c r="E5210" s="1">
        <v>1.74125021765627E-4</v>
      </c>
      <c r="F5210" s="1">
        <v>1.55335742512897E-3</v>
      </c>
    </row>
    <row r="5211" spans="1:6" x14ac:dyDescent="0.25">
      <c r="A5211" s="2" t="str">
        <f t="shared" si="186"/>
        <v>28940</v>
      </c>
      <c r="B5211" s="2" t="str">
        <f>"37719"</f>
        <v>37719</v>
      </c>
      <c r="C5211" s="1">
        <v>0</v>
      </c>
      <c r="D5211" s="1">
        <v>2.46907483765832E-5</v>
      </c>
      <c r="E5211" s="1">
        <v>0</v>
      </c>
      <c r="F5211" s="1">
        <v>2.0121210170064401E-6</v>
      </c>
    </row>
    <row r="5212" spans="1:6" x14ac:dyDescent="0.25">
      <c r="A5212" s="2" t="str">
        <f t="shared" si="186"/>
        <v>28940</v>
      </c>
      <c r="B5212" s="2" t="str">
        <f>"37737"</f>
        <v>37737</v>
      </c>
      <c r="C5212" s="1">
        <v>6.6629063754912897E-3</v>
      </c>
      <c r="D5212" s="1">
        <v>1.9011876249969101E-3</v>
      </c>
      <c r="E5212" s="1">
        <v>8.70625108828138E-4</v>
      </c>
      <c r="F5212" s="1">
        <v>6.1409933439036703E-3</v>
      </c>
    </row>
    <row r="5213" spans="1:6" x14ac:dyDescent="0.25">
      <c r="A5213" s="2" t="str">
        <f t="shared" si="186"/>
        <v>28940</v>
      </c>
      <c r="B5213" s="2" t="str">
        <f>"37717"</f>
        <v>37717</v>
      </c>
      <c r="C5213" s="1">
        <v>2.0988716879287899E-3</v>
      </c>
      <c r="D5213" s="1">
        <v>4.4937162045381503E-3</v>
      </c>
      <c r="E5213" s="1">
        <v>8.7062510882813797E-5</v>
      </c>
      <c r="F5213" s="1">
        <v>2.2475391759962E-3</v>
      </c>
    </row>
    <row r="5214" spans="1:6" x14ac:dyDescent="0.25">
      <c r="A5214" s="2" t="str">
        <f t="shared" si="186"/>
        <v>28940</v>
      </c>
      <c r="B5214" s="2" t="str">
        <f>"37771"</f>
        <v>37771</v>
      </c>
      <c r="C5214" s="1">
        <v>1.9042653836732901E-2</v>
      </c>
      <c r="D5214" s="1">
        <v>2.4098170415545201E-2</v>
      </c>
      <c r="E5214" s="1">
        <v>1.7586627198328299E-2</v>
      </c>
      <c r="F5214" s="1">
        <v>1.94209920561462E-2</v>
      </c>
    </row>
    <row r="5215" spans="1:6" x14ac:dyDescent="0.25">
      <c r="A5215" s="2" t="str">
        <f t="shared" si="186"/>
        <v>28940</v>
      </c>
      <c r="B5215" s="2" t="str">
        <f>"37766"</f>
        <v>37766</v>
      </c>
      <c r="C5215" s="1">
        <v>2.4121294109451401E-2</v>
      </c>
      <c r="D5215" s="1">
        <v>2.3357447964247699E-2</v>
      </c>
      <c r="E5215" s="1">
        <v>3.5521504440188E-2</v>
      </c>
      <c r="F5215" s="1">
        <v>2.43225188535739E-2</v>
      </c>
    </row>
    <row r="5216" spans="1:6" x14ac:dyDescent="0.25">
      <c r="A5216" s="2" t="str">
        <f t="shared" si="186"/>
        <v>28940</v>
      </c>
      <c r="B5216" s="2" t="str">
        <f>"37763"</f>
        <v>37763</v>
      </c>
      <c r="C5216" s="1">
        <v>1.9835910481099998E-2</v>
      </c>
      <c r="D5216" s="1">
        <v>1.7653885089256999E-2</v>
      </c>
      <c r="E5216" s="1">
        <v>1.76736897092112E-2</v>
      </c>
      <c r="F5216" s="1">
        <v>1.9608119310727801E-2</v>
      </c>
    </row>
    <row r="5217" spans="1:6" x14ac:dyDescent="0.25">
      <c r="A5217" s="2" t="str">
        <f t="shared" si="186"/>
        <v>28940</v>
      </c>
      <c r="B5217" s="2" t="str">
        <f>"37804"</f>
        <v>37804</v>
      </c>
      <c r="C5217" s="1">
        <v>2.57774701629883E-2</v>
      </c>
      <c r="D5217" s="1">
        <v>2.95795165551467E-2</v>
      </c>
      <c r="E5217" s="1">
        <v>1.7412502176562699E-3</v>
      </c>
      <c r="F5217" s="1">
        <v>2.5531803584794802E-2</v>
      </c>
    </row>
    <row r="5218" spans="1:6" x14ac:dyDescent="0.25">
      <c r="A5218" s="2" t="str">
        <f t="shared" si="186"/>
        <v>28940</v>
      </c>
      <c r="B5218" s="2" t="str">
        <f>"37756"</f>
        <v>37756</v>
      </c>
      <c r="C5218" s="1">
        <v>2.4719045575178399E-5</v>
      </c>
      <c r="D5218" s="1">
        <v>0</v>
      </c>
      <c r="E5218" s="1">
        <v>0</v>
      </c>
      <c r="F5218" s="1">
        <v>2.2133331187070901E-5</v>
      </c>
    </row>
    <row r="5219" spans="1:6" x14ac:dyDescent="0.25">
      <c r="A5219" s="2" t="str">
        <f t="shared" si="186"/>
        <v>28940</v>
      </c>
      <c r="B5219" s="2" t="str">
        <f>"37757"</f>
        <v>37757</v>
      </c>
      <c r="C5219" s="1">
        <v>1.0139303057745901E-2</v>
      </c>
      <c r="D5219" s="1">
        <v>7.5306782548579003E-3</v>
      </c>
      <c r="E5219" s="1">
        <v>1.7586627198328299E-2</v>
      </c>
      <c r="F5219" s="1">
        <v>1.00988353843553E-2</v>
      </c>
    </row>
    <row r="5220" spans="1:6" x14ac:dyDescent="0.25">
      <c r="A5220" s="2" t="str">
        <f t="shared" si="186"/>
        <v>28940</v>
      </c>
      <c r="B5220" s="2" t="str">
        <f>"37998"</f>
        <v>37998</v>
      </c>
      <c r="C5220" s="1">
        <v>0</v>
      </c>
      <c r="D5220" s="1">
        <v>0</v>
      </c>
      <c r="E5220" s="1">
        <v>8.7062510882813797E-5</v>
      </c>
      <c r="F5220" s="1">
        <v>2.0121210170064401E-6</v>
      </c>
    </row>
    <row r="5221" spans="1:6" x14ac:dyDescent="0.25">
      <c r="A5221" s="2" t="str">
        <f t="shared" si="186"/>
        <v>28940</v>
      </c>
      <c r="B5221" s="2" t="str">
        <f>"37995"</f>
        <v>37995</v>
      </c>
      <c r="C5221" s="1">
        <v>0</v>
      </c>
      <c r="D5221" s="1">
        <v>0</v>
      </c>
      <c r="E5221" s="1">
        <v>8.7062510882813797E-5</v>
      </c>
      <c r="F5221" s="1">
        <v>2.0121210170064401E-6</v>
      </c>
    </row>
    <row r="5222" spans="1:6" x14ac:dyDescent="0.25">
      <c r="A5222" s="2" t="str">
        <f t="shared" si="186"/>
        <v>28940</v>
      </c>
      <c r="B5222" s="2" t="str">
        <f>"37939"</f>
        <v>37939</v>
      </c>
      <c r="C5222" s="1">
        <v>1.64494012373005E-3</v>
      </c>
      <c r="D5222" s="1">
        <v>1.14071257499814E-2</v>
      </c>
      <c r="E5222" s="1">
        <v>1.74125021765627E-4</v>
      </c>
      <c r="F5222" s="1">
        <v>2.4064967363397098E-3</v>
      </c>
    </row>
    <row r="5223" spans="1:6" x14ac:dyDescent="0.25">
      <c r="A5223" s="2" t="str">
        <f t="shared" si="186"/>
        <v>28940</v>
      </c>
      <c r="B5223" s="2" t="str">
        <f>"37938"</f>
        <v>37938</v>
      </c>
      <c r="C5223" s="1">
        <v>2.0563998732587099E-2</v>
      </c>
      <c r="D5223" s="1">
        <v>1.2147848201278901E-2</v>
      </c>
      <c r="E5223" s="1">
        <v>2.8730628591328499E-3</v>
      </c>
      <c r="F5223" s="1">
        <v>1.94692829605543E-2</v>
      </c>
    </row>
    <row r="5224" spans="1:6" x14ac:dyDescent="0.25">
      <c r="A5224" s="2" t="str">
        <f t="shared" si="186"/>
        <v>28940</v>
      </c>
      <c r="B5224" s="2" t="str">
        <f>"37930"</f>
        <v>37930</v>
      </c>
      <c r="C5224" s="1">
        <v>2.82021838153172E-3</v>
      </c>
      <c r="D5224" s="1">
        <v>1.7061307128218999E-2</v>
      </c>
      <c r="E5224" s="1">
        <v>1.74125021765627E-4</v>
      </c>
      <c r="F5224" s="1">
        <v>3.91961174112855E-3</v>
      </c>
    </row>
    <row r="5225" spans="1:6" x14ac:dyDescent="0.25">
      <c r="A5225" s="2" t="str">
        <f t="shared" si="186"/>
        <v>28940</v>
      </c>
      <c r="B5225" s="2" t="str">
        <f>"37919"</f>
        <v>37919</v>
      </c>
      <c r="C5225" s="1">
        <v>3.6595423381071003E-2</v>
      </c>
      <c r="D5225" s="1">
        <v>7.1726624033974395E-2</v>
      </c>
      <c r="E5225" s="1">
        <v>7.1739508967438595E-2</v>
      </c>
      <c r="F5225" s="1">
        <v>4.0270590034366997E-2</v>
      </c>
    </row>
    <row r="5226" spans="1:6" x14ac:dyDescent="0.25">
      <c r="A5226" s="2" t="str">
        <f t="shared" si="186"/>
        <v>28940</v>
      </c>
      <c r="B5226" s="2" t="str">
        <f>"37846"</f>
        <v>37846</v>
      </c>
      <c r="C5226" s="1">
        <v>3.5977447241691499E-3</v>
      </c>
      <c r="D5226" s="1">
        <v>5.4319646428483196E-4</v>
      </c>
      <c r="E5226" s="1">
        <v>7.8356259794532402E-4</v>
      </c>
      <c r="F5226" s="1">
        <v>3.2837814997545198E-3</v>
      </c>
    </row>
    <row r="5227" spans="1:6" x14ac:dyDescent="0.25">
      <c r="A5227" s="2" t="str">
        <f t="shared" ref="A5227:A5258" si="187">"28940"</f>
        <v>28940</v>
      </c>
      <c r="B5227" s="2" t="str">
        <f>"37714"</f>
        <v>37714</v>
      </c>
      <c r="C5227" s="1">
        <v>4.9303259992674103E-3</v>
      </c>
      <c r="D5227" s="1">
        <v>2.6666008246709898E-3</v>
      </c>
      <c r="E5227" s="1">
        <v>9.5768761971095197E-4</v>
      </c>
      <c r="F5227" s="1">
        <v>4.6540359123359099E-3</v>
      </c>
    </row>
    <row r="5228" spans="1:6" x14ac:dyDescent="0.25">
      <c r="A5228" s="2" t="str">
        <f t="shared" si="187"/>
        <v>28940</v>
      </c>
      <c r="B5228" s="2" t="str">
        <f>"37819"</f>
        <v>37819</v>
      </c>
      <c r="C5228" s="1">
        <v>8.3370599167192797E-4</v>
      </c>
      <c r="D5228" s="1">
        <v>5.4319646428483196E-4</v>
      </c>
      <c r="E5228" s="1">
        <v>0</v>
      </c>
      <c r="F5228" s="1">
        <v>7.9076355968353302E-4</v>
      </c>
    </row>
    <row r="5229" spans="1:6" x14ac:dyDescent="0.25">
      <c r="A5229" s="2" t="str">
        <f t="shared" si="187"/>
        <v>28940</v>
      </c>
      <c r="B5229" s="2" t="str">
        <f>"37774"</f>
        <v>37774</v>
      </c>
      <c r="C5229" s="1">
        <v>2.5004438192273701E-2</v>
      </c>
      <c r="D5229" s="1">
        <v>1.8789659514579799E-2</v>
      </c>
      <c r="E5229" s="1">
        <v>7.9226884903360606E-3</v>
      </c>
      <c r="F5229" s="1">
        <v>2.4103197662720201E-2</v>
      </c>
    </row>
    <row r="5230" spans="1:6" x14ac:dyDescent="0.25">
      <c r="A5230" s="2" t="str">
        <f t="shared" si="187"/>
        <v>28940</v>
      </c>
      <c r="B5230" s="2" t="str">
        <f>"37918"</f>
        <v>37918</v>
      </c>
      <c r="C5230" s="1">
        <v>4.7572926802411597E-2</v>
      </c>
      <c r="D5230" s="1">
        <v>3.3875706772672202E-2</v>
      </c>
      <c r="E5230" s="1">
        <v>6.9040571130071296E-2</v>
      </c>
      <c r="F5230" s="1">
        <v>4.6952843931845401E-2</v>
      </c>
    </row>
    <row r="5231" spans="1:6" x14ac:dyDescent="0.25">
      <c r="A5231" s="2" t="str">
        <f t="shared" si="187"/>
        <v>28940</v>
      </c>
      <c r="B5231" s="2" t="str">
        <f>"37909"</f>
        <v>37909</v>
      </c>
      <c r="C5231" s="1">
        <v>1.8640407549645899E-2</v>
      </c>
      <c r="D5231" s="1">
        <v>1.51848102515987E-2</v>
      </c>
      <c r="E5231" s="1">
        <v>3.2996691624586398E-2</v>
      </c>
      <c r="F5231" s="1">
        <v>1.8690592126972799E-2</v>
      </c>
    </row>
    <row r="5232" spans="1:6" x14ac:dyDescent="0.25">
      <c r="A5232" s="2" t="str">
        <f t="shared" si="187"/>
        <v>28940</v>
      </c>
      <c r="B5232" s="2" t="str">
        <f>"37887"</f>
        <v>37887</v>
      </c>
      <c r="C5232" s="1">
        <v>4.8516744906191202E-3</v>
      </c>
      <c r="D5232" s="1">
        <v>3.1851065405792398E-3</v>
      </c>
      <c r="E5232" s="1">
        <v>2.8730628591328499E-3</v>
      </c>
      <c r="F5232" s="1">
        <v>4.6701328804719597E-3</v>
      </c>
    </row>
    <row r="5233" spans="1:6" x14ac:dyDescent="0.25">
      <c r="A5233" s="2" t="str">
        <f t="shared" si="187"/>
        <v>28940</v>
      </c>
      <c r="B5233" s="2" t="str">
        <f>"37885"</f>
        <v>37885</v>
      </c>
      <c r="C5233" s="1">
        <v>6.9662764802775701E-4</v>
      </c>
      <c r="D5233" s="1">
        <v>0</v>
      </c>
      <c r="E5233" s="1">
        <v>8.70625108828138E-4</v>
      </c>
      <c r="F5233" s="1">
        <v>6.4387872544206196E-4</v>
      </c>
    </row>
    <row r="5234" spans="1:6" x14ac:dyDescent="0.25">
      <c r="A5234" s="2" t="str">
        <f t="shared" si="187"/>
        <v>28940</v>
      </c>
      <c r="B5234" s="2" t="str">
        <f>"37997"</f>
        <v>37997</v>
      </c>
      <c r="C5234" s="1">
        <v>0</v>
      </c>
      <c r="D5234" s="1">
        <v>0</v>
      </c>
      <c r="E5234" s="1">
        <v>8.7062510882813797E-5</v>
      </c>
      <c r="F5234" s="1">
        <v>2.0121210170064401E-6</v>
      </c>
    </row>
    <row r="5235" spans="1:6" x14ac:dyDescent="0.25">
      <c r="A5235" s="2" t="str">
        <f t="shared" si="187"/>
        <v>28940</v>
      </c>
      <c r="B5235" s="2" t="str">
        <f>"37996"</f>
        <v>37996</v>
      </c>
      <c r="C5235" s="1">
        <v>4.4943719227597201E-6</v>
      </c>
      <c r="D5235" s="1">
        <v>2.46907483765832E-5</v>
      </c>
      <c r="E5235" s="1">
        <v>4.35312554414069E-4</v>
      </c>
      <c r="F5235" s="1">
        <v>1.60969681360515E-5</v>
      </c>
    </row>
    <row r="5236" spans="1:6" x14ac:dyDescent="0.25">
      <c r="A5236" s="2" t="str">
        <f t="shared" si="187"/>
        <v>28940</v>
      </c>
      <c r="B5236" s="2" t="str">
        <f>"37927"</f>
        <v>37927</v>
      </c>
      <c r="C5236" s="1">
        <v>2.0247145512032501E-3</v>
      </c>
      <c r="D5236" s="1">
        <v>6.1479963457692398E-3</v>
      </c>
      <c r="E5236" s="1">
        <v>1.74125021765627E-4</v>
      </c>
      <c r="F5236" s="1">
        <v>2.3179634115914199E-3</v>
      </c>
    </row>
    <row r="5237" spans="1:6" x14ac:dyDescent="0.25">
      <c r="A5237" s="2" t="str">
        <f t="shared" si="187"/>
        <v>28940</v>
      </c>
      <c r="B5237" s="2" t="str">
        <f>"37931"</f>
        <v>37931</v>
      </c>
      <c r="C5237" s="1">
        <v>3.0781953298981299E-2</v>
      </c>
      <c r="D5237" s="1">
        <v>1.14071257499814E-2</v>
      </c>
      <c r="E5237" s="1">
        <v>2.2200940275117501E-2</v>
      </c>
      <c r="F5237" s="1">
        <v>2.9004724460147902E-2</v>
      </c>
    </row>
    <row r="5238" spans="1:6" x14ac:dyDescent="0.25">
      <c r="A5238" s="2" t="str">
        <f t="shared" si="187"/>
        <v>28940</v>
      </c>
      <c r="B5238" s="2" t="str">
        <f>"37872"</f>
        <v>37872</v>
      </c>
      <c r="C5238" s="1">
        <v>2.5190954627068202E-3</v>
      </c>
      <c r="D5238" s="1">
        <v>9.6293918668674799E-4</v>
      </c>
      <c r="E5238" s="1">
        <v>6.9650008706251005E-4</v>
      </c>
      <c r="F5238" s="1">
        <v>2.35015734786352E-3</v>
      </c>
    </row>
    <row r="5239" spans="1:6" x14ac:dyDescent="0.25">
      <c r="A5239" s="2" t="str">
        <f t="shared" si="187"/>
        <v>28940</v>
      </c>
      <c r="B5239" s="2" t="str">
        <f>"37920"</f>
        <v>37920</v>
      </c>
      <c r="C5239" s="1">
        <v>4.83594418888946E-2</v>
      </c>
      <c r="D5239" s="1">
        <v>3.7110194810004597E-2</v>
      </c>
      <c r="E5239" s="1">
        <v>7.2958384119798006E-2</v>
      </c>
      <c r="F5239" s="1">
        <v>4.8011219586790797E-2</v>
      </c>
    </row>
    <row r="5240" spans="1:6" x14ac:dyDescent="0.25">
      <c r="A5240" s="2" t="str">
        <f t="shared" si="187"/>
        <v>28940</v>
      </c>
      <c r="B5240" s="2" t="str">
        <f>"37853"</f>
        <v>37853</v>
      </c>
      <c r="C5240" s="1">
        <v>4.0112269410630501E-3</v>
      </c>
      <c r="D5240" s="1">
        <v>1.3086096639589101E-3</v>
      </c>
      <c r="E5240" s="1">
        <v>1.7412502176562699E-3</v>
      </c>
      <c r="F5240" s="1">
        <v>3.7385208495979701E-3</v>
      </c>
    </row>
    <row r="5241" spans="1:6" x14ac:dyDescent="0.25">
      <c r="A5241" s="2" t="str">
        <f t="shared" si="187"/>
        <v>28940</v>
      </c>
      <c r="B5241" s="2" t="str">
        <f>"37831"</f>
        <v>37831</v>
      </c>
      <c r="C5241" s="1">
        <v>3.5145988435981001E-3</v>
      </c>
      <c r="D5241" s="1">
        <v>9.5306288733611501E-3</v>
      </c>
      <c r="E5241" s="1">
        <v>1.74125021765627E-4</v>
      </c>
      <c r="F5241" s="1">
        <v>3.9276602251965796E-3</v>
      </c>
    </row>
    <row r="5242" spans="1:6" x14ac:dyDescent="0.25">
      <c r="A5242" s="2" t="str">
        <f t="shared" si="187"/>
        <v>28940</v>
      </c>
      <c r="B5242" s="2" t="str">
        <f>"37721"</f>
        <v>37721</v>
      </c>
      <c r="C5242" s="1">
        <v>1.35819919505798E-2</v>
      </c>
      <c r="D5242" s="1">
        <v>2.7900545665539098E-3</v>
      </c>
      <c r="E5242" s="1">
        <v>1.8283127285390901E-3</v>
      </c>
      <c r="F5242" s="1">
        <v>1.24308836430658E-2</v>
      </c>
    </row>
    <row r="5243" spans="1:6" x14ac:dyDescent="0.25">
      <c r="A5243" s="2" t="str">
        <f t="shared" si="187"/>
        <v>28940</v>
      </c>
      <c r="B5243" s="2" t="str">
        <f>"37705"</f>
        <v>37705</v>
      </c>
      <c r="C5243" s="1">
        <v>5.5909986719130901E-3</v>
      </c>
      <c r="D5243" s="1">
        <v>1.9258783733734899E-3</v>
      </c>
      <c r="E5243" s="1">
        <v>7.8356259794532402E-4</v>
      </c>
      <c r="F5243" s="1">
        <v>5.1812116187916002E-3</v>
      </c>
    </row>
    <row r="5244" spans="1:6" x14ac:dyDescent="0.25">
      <c r="A5244" s="2" t="str">
        <f t="shared" si="187"/>
        <v>28940</v>
      </c>
      <c r="B5244" s="2" t="str">
        <f>"37754"</f>
        <v>37754</v>
      </c>
      <c r="C5244" s="1">
        <v>5.0561684131046796E-3</v>
      </c>
      <c r="D5244" s="1">
        <v>1.4320634058418301E-3</v>
      </c>
      <c r="E5244" s="1">
        <v>7.8356259794532402E-4</v>
      </c>
      <c r="F5244" s="1">
        <v>4.66208439640393E-3</v>
      </c>
    </row>
    <row r="5245" spans="1:6" x14ac:dyDescent="0.25">
      <c r="A5245" s="2" t="str">
        <f t="shared" si="187"/>
        <v>28940</v>
      </c>
      <c r="B5245" s="2" t="str">
        <f>"37915"</f>
        <v>37915</v>
      </c>
      <c r="C5245" s="1">
        <v>8.8494183159138901E-3</v>
      </c>
      <c r="D5245" s="1">
        <v>5.9010888620033997E-3</v>
      </c>
      <c r="E5245" s="1">
        <v>3.2213129026641099E-2</v>
      </c>
      <c r="F5245" s="1">
        <v>9.1491142643283108E-3</v>
      </c>
    </row>
    <row r="5246" spans="1:6" x14ac:dyDescent="0.25">
      <c r="A5246" s="2" t="str">
        <f t="shared" si="187"/>
        <v>28940</v>
      </c>
      <c r="B5246" s="2" t="str">
        <f>"37886"</f>
        <v>37886</v>
      </c>
      <c r="C5246" s="1">
        <v>4.6741467996701102E-3</v>
      </c>
      <c r="D5246" s="1">
        <v>1.3086096639589101E-3</v>
      </c>
      <c r="E5246" s="1">
        <v>1.74125021765627E-4</v>
      </c>
      <c r="F5246" s="1">
        <v>4.2958783713087602E-3</v>
      </c>
    </row>
    <row r="5247" spans="1:6" x14ac:dyDescent="0.25">
      <c r="A5247" s="2" t="str">
        <f t="shared" si="187"/>
        <v>28940</v>
      </c>
      <c r="B5247" s="2" t="str">
        <f>"37914"</f>
        <v>37914</v>
      </c>
      <c r="C5247" s="1">
        <v>2.6301064491989899E-2</v>
      </c>
      <c r="D5247" s="1">
        <v>2.6591936001580201E-2</v>
      </c>
      <c r="E5247" s="1">
        <v>2.08950026118753E-2</v>
      </c>
      <c r="F5247" s="1">
        <v>2.6199827762440901E-2</v>
      </c>
    </row>
    <row r="5248" spans="1:6" x14ac:dyDescent="0.25">
      <c r="A5248" s="2" t="str">
        <f t="shared" si="187"/>
        <v>28940</v>
      </c>
      <c r="B5248" s="2" t="str">
        <f>"37928"</f>
        <v>37928</v>
      </c>
      <c r="C5248" s="1">
        <v>1.5393223835452E-3</v>
      </c>
      <c r="D5248" s="1">
        <v>7.9998024740129802E-3</v>
      </c>
      <c r="E5248" s="1">
        <v>1.74125021765627E-4</v>
      </c>
      <c r="F5248" s="1">
        <v>2.0342543481935101E-3</v>
      </c>
    </row>
    <row r="5249" spans="1:6" x14ac:dyDescent="0.25">
      <c r="A5249" s="2" t="str">
        <f t="shared" si="187"/>
        <v>28940</v>
      </c>
      <c r="B5249" s="2" t="str">
        <f>"37950"</f>
        <v>37950</v>
      </c>
      <c r="C5249" s="1">
        <v>3.1954984370821601E-3</v>
      </c>
      <c r="D5249" s="1">
        <v>1.8172390805165299E-2</v>
      </c>
      <c r="E5249" s="1">
        <v>1.74125021765627E-4</v>
      </c>
      <c r="F5249" s="1">
        <v>4.3461813967339202E-3</v>
      </c>
    </row>
    <row r="5250" spans="1:6" x14ac:dyDescent="0.25">
      <c r="A5250" s="2" t="str">
        <f t="shared" si="187"/>
        <v>28940</v>
      </c>
      <c r="B5250" s="2" t="str">
        <f>"37932"</f>
        <v>37932</v>
      </c>
      <c r="C5250" s="1">
        <v>2.2795454392237301E-2</v>
      </c>
      <c r="D5250" s="1">
        <v>2.5233944840868099E-2</v>
      </c>
      <c r="E5250" s="1">
        <v>3.0907191363398898E-2</v>
      </c>
      <c r="F5250" s="1">
        <v>2.3181646236931201E-2</v>
      </c>
    </row>
    <row r="5251" spans="1:6" x14ac:dyDescent="0.25">
      <c r="A5251" s="2" t="str">
        <f t="shared" si="187"/>
        <v>28940</v>
      </c>
      <c r="B5251" s="2" t="str">
        <f>"37874"</f>
        <v>37874</v>
      </c>
      <c r="C5251" s="1">
        <v>4.5617875016011101E-4</v>
      </c>
      <c r="D5251" s="1">
        <v>1.48144490259499E-4</v>
      </c>
      <c r="E5251" s="1">
        <v>0</v>
      </c>
      <c r="F5251" s="1">
        <v>4.2053329255434702E-4</v>
      </c>
    </row>
    <row r="5252" spans="1:6" x14ac:dyDescent="0.25">
      <c r="A5252" s="2" t="str">
        <f t="shared" si="187"/>
        <v>28940</v>
      </c>
      <c r="B5252" s="2" t="str">
        <f>"37923"</f>
        <v>37923</v>
      </c>
      <c r="C5252" s="1">
        <v>3.30628470497819E-2</v>
      </c>
      <c r="D5252" s="1">
        <v>3.4196686501567798E-2</v>
      </c>
      <c r="E5252" s="1">
        <v>7.9836322479540298E-2</v>
      </c>
      <c r="F5252" s="1">
        <v>3.4236239104364602E-2</v>
      </c>
    </row>
    <row r="5253" spans="1:6" x14ac:dyDescent="0.25">
      <c r="A5253" s="2" t="str">
        <f t="shared" si="187"/>
        <v>28940</v>
      </c>
      <c r="B5253" s="2" t="str">
        <f>"37848"</f>
        <v>37848</v>
      </c>
      <c r="C5253" s="1">
        <v>1.5955020325797E-4</v>
      </c>
      <c r="D5253" s="1">
        <v>7.4072245129749796E-5</v>
      </c>
      <c r="E5253" s="1">
        <v>0</v>
      </c>
      <c r="F5253" s="1">
        <v>1.4889695525847701E-4</v>
      </c>
    </row>
    <row r="5254" spans="1:6" x14ac:dyDescent="0.25">
      <c r="A5254" s="2" t="str">
        <f t="shared" si="187"/>
        <v>28940</v>
      </c>
      <c r="B5254" s="2" t="str">
        <f>"37715"</f>
        <v>37715</v>
      </c>
      <c r="C5254" s="1">
        <v>1.8202206287176801E-4</v>
      </c>
      <c r="D5254" s="1">
        <v>2.46907483765832E-5</v>
      </c>
      <c r="E5254" s="1">
        <v>0</v>
      </c>
      <c r="F5254" s="1">
        <v>1.6499392339452799E-4</v>
      </c>
    </row>
    <row r="5255" spans="1:6" x14ac:dyDescent="0.25">
      <c r="A5255" s="2" t="str">
        <f t="shared" si="187"/>
        <v>28940</v>
      </c>
      <c r="B5255" s="2" t="str">
        <f>"37710"</f>
        <v>37710</v>
      </c>
      <c r="C5255" s="1">
        <v>1.12359298068993E-3</v>
      </c>
      <c r="D5255" s="1">
        <v>3.7036122564874902E-4</v>
      </c>
      <c r="E5255" s="1">
        <v>5.2237506529688297E-4</v>
      </c>
      <c r="F5255" s="1">
        <v>1.04831504986035E-3</v>
      </c>
    </row>
    <row r="5256" spans="1:6" x14ac:dyDescent="0.25">
      <c r="A5256" s="2" t="str">
        <f t="shared" si="187"/>
        <v>28940</v>
      </c>
      <c r="B5256" s="2" t="str">
        <f>"37716"</f>
        <v>37716</v>
      </c>
      <c r="C5256" s="1">
        <v>2.8368475576459301E-2</v>
      </c>
      <c r="D5256" s="1">
        <v>2.13081158489913E-2</v>
      </c>
      <c r="E5256" s="1">
        <v>1.4017064252132999E-2</v>
      </c>
      <c r="F5256" s="1">
        <v>2.74614276401039E-2</v>
      </c>
    </row>
    <row r="5257" spans="1:6" x14ac:dyDescent="0.25">
      <c r="A5257" s="2" t="str">
        <f t="shared" si="187"/>
        <v>28940</v>
      </c>
      <c r="B5257" s="2" t="str">
        <f>"37806"</f>
        <v>37806</v>
      </c>
      <c r="C5257" s="1">
        <v>3.4898797980229199E-3</v>
      </c>
      <c r="D5257" s="1">
        <v>9.6293918668674799E-4</v>
      </c>
      <c r="E5257" s="1">
        <v>1.74125021765627E-4</v>
      </c>
      <c r="F5257" s="1">
        <v>3.2073209011082701E-3</v>
      </c>
    </row>
    <row r="5258" spans="1:6" x14ac:dyDescent="0.25">
      <c r="A5258" s="2" t="str">
        <f t="shared" si="187"/>
        <v>28940</v>
      </c>
      <c r="B5258" s="2" t="str">
        <f>"37777"</f>
        <v>37777</v>
      </c>
      <c r="C5258" s="1">
        <v>1.57572679611955E-2</v>
      </c>
      <c r="D5258" s="1">
        <v>1.2049085207772601E-2</v>
      </c>
      <c r="E5258" s="1">
        <v>3.87428173428521E-2</v>
      </c>
      <c r="F5258" s="1">
        <v>1.5986301480116202E-2</v>
      </c>
    </row>
    <row r="5259" spans="1:6" x14ac:dyDescent="0.25">
      <c r="A5259" s="2" t="str">
        <f t="shared" ref="A5259:A5289" si="188">"28940"</f>
        <v>28940</v>
      </c>
      <c r="B5259" s="2" t="str">
        <f>"37748"</f>
        <v>37748</v>
      </c>
      <c r="C5259" s="1">
        <v>2.3123543542598698E-2</v>
      </c>
      <c r="D5259" s="1">
        <v>2.32093034739882E-2</v>
      </c>
      <c r="E5259" s="1">
        <v>1.98502524812815E-2</v>
      </c>
      <c r="F5259" s="1">
        <v>2.30548826128598E-2</v>
      </c>
    </row>
    <row r="5260" spans="1:6" x14ac:dyDescent="0.25">
      <c r="A5260" s="2" t="str">
        <f t="shared" si="188"/>
        <v>28940</v>
      </c>
      <c r="B5260" s="2" t="str">
        <f>"37924"</f>
        <v>37924</v>
      </c>
      <c r="C5260" s="1">
        <v>1.49572697589443E-2</v>
      </c>
      <c r="D5260" s="1">
        <v>1.9876052443149501E-2</v>
      </c>
      <c r="E5260" s="1">
        <v>8.0968135121016801E-3</v>
      </c>
      <c r="F5260" s="1">
        <v>1.5199562162466601E-2</v>
      </c>
    </row>
    <row r="5261" spans="1:6" x14ac:dyDescent="0.25">
      <c r="A5261" s="2" t="str">
        <f t="shared" si="188"/>
        <v>28940</v>
      </c>
      <c r="B5261" s="2" t="str">
        <f>"37865"</f>
        <v>37865</v>
      </c>
      <c r="C5261" s="1">
        <v>4.7954948415846197E-3</v>
      </c>
      <c r="D5261" s="1">
        <v>1.2345374188291599E-3</v>
      </c>
      <c r="E5261" s="1">
        <v>5.2237506529688297E-4</v>
      </c>
      <c r="F5261" s="1">
        <v>4.4065450272441102E-3</v>
      </c>
    </row>
    <row r="5262" spans="1:6" x14ac:dyDescent="0.25">
      <c r="A5262" s="2" t="str">
        <f t="shared" si="188"/>
        <v>28940</v>
      </c>
      <c r="B5262" s="2" t="str">
        <f>"37828"</f>
        <v>37828</v>
      </c>
      <c r="C5262" s="1">
        <v>1.5820189168114201E-3</v>
      </c>
      <c r="D5262" s="1">
        <v>8.8886694155699804E-4</v>
      </c>
      <c r="E5262" s="1">
        <v>1.74125021765627E-4</v>
      </c>
      <c r="F5262" s="1">
        <v>1.49299379461878E-3</v>
      </c>
    </row>
    <row r="5263" spans="1:6" x14ac:dyDescent="0.25">
      <c r="A5263" s="2" t="str">
        <f t="shared" si="188"/>
        <v>28940</v>
      </c>
      <c r="B5263" s="2" t="str">
        <f>"37845"</f>
        <v>37845</v>
      </c>
      <c r="C5263" s="1">
        <v>0</v>
      </c>
      <c r="D5263" s="1">
        <v>2.46907483765832E-5</v>
      </c>
      <c r="E5263" s="1">
        <v>0</v>
      </c>
      <c r="F5263" s="1">
        <v>2.0121210170064401E-6</v>
      </c>
    </row>
    <row r="5264" spans="1:6" x14ac:dyDescent="0.25">
      <c r="A5264" s="2" t="str">
        <f t="shared" si="188"/>
        <v>28940</v>
      </c>
      <c r="B5264" s="2" t="str">
        <f>"37825"</f>
        <v>37825</v>
      </c>
      <c r="C5264" s="1">
        <v>2.7865105921110199E-4</v>
      </c>
      <c r="D5264" s="1">
        <v>1.2345374188291601E-4</v>
      </c>
      <c r="E5264" s="1">
        <v>0</v>
      </c>
      <c r="F5264" s="1">
        <v>2.5956361119383099E-4</v>
      </c>
    </row>
    <row r="5265" spans="1:6" x14ac:dyDescent="0.25">
      <c r="A5265" s="2" t="str">
        <f t="shared" si="188"/>
        <v>28940</v>
      </c>
      <c r="B5265" s="2" t="str">
        <f>"37742"</f>
        <v>37742</v>
      </c>
      <c r="C5265" s="1">
        <v>6.2629072743656698E-3</v>
      </c>
      <c r="D5265" s="1">
        <v>1.2345374188291599E-3</v>
      </c>
      <c r="E5265" s="1">
        <v>8.70625108828138E-4</v>
      </c>
      <c r="F5265" s="1">
        <v>5.7285085354173504E-3</v>
      </c>
    </row>
    <row r="5266" spans="1:6" x14ac:dyDescent="0.25">
      <c r="A5266" s="2" t="str">
        <f t="shared" si="188"/>
        <v>28940</v>
      </c>
      <c r="B5266" s="2" t="str">
        <f>"37709"</f>
        <v>37709</v>
      </c>
      <c r="C5266" s="1">
        <v>1.39325529605551E-4</v>
      </c>
      <c r="D5266" s="1">
        <v>1.2345374188291601E-4</v>
      </c>
      <c r="E5266" s="1">
        <v>0</v>
      </c>
      <c r="F5266" s="1">
        <v>1.34812108139431E-4</v>
      </c>
    </row>
    <row r="5267" spans="1:6" x14ac:dyDescent="0.25">
      <c r="A5267" s="2" t="str">
        <f t="shared" si="188"/>
        <v>28940</v>
      </c>
      <c r="B5267" s="2" t="str">
        <f>"37764"</f>
        <v>37764</v>
      </c>
      <c r="C5267" s="1">
        <v>5.7303242015186405E-4</v>
      </c>
      <c r="D5267" s="1">
        <v>9.8762993506333098E-5</v>
      </c>
      <c r="E5267" s="1">
        <v>0</v>
      </c>
      <c r="F5267" s="1">
        <v>5.2113934340466896E-4</v>
      </c>
    </row>
    <row r="5268" spans="1:6" x14ac:dyDescent="0.25">
      <c r="A5268" s="2" t="str">
        <f t="shared" si="188"/>
        <v>28940</v>
      </c>
      <c r="B5268" s="2" t="str">
        <f>"37802"</f>
        <v>37802</v>
      </c>
      <c r="C5268" s="1">
        <v>4.8629104204260202E-3</v>
      </c>
      <c r="D5268" s="1">
        <v>1.3184859633095399E-2</v>
      </c>
      <c r="E5268" s="1">
        <v>8.7062510882813797E-5</v>
      </c>
      <c r="F5268" s="1">
        <v>5.4307146249004002E-3</v>
      </c>
    </row>
    <row r="5269" spans="1:6" x14ac:dyDescent="0.25">
      <c r="A5269" s="2" t="str">
        <f t="shared" si="188"/>
        <v>28940</v>
      </c>
      <c r="B5269" s="2" t="str">
        <f>"37801"</f>
        <v>37801</v>
      </c>
      <c r="C5269" s="1">
        <v>3.0112291882490101E-2</v>
      </c>
      <c r="D5269" s="1">
        <v>2.95795165551467E-2</v>
      </c>
      <c r="E5269" s="1">
        <v>1.65418770677346E-3</v>
      </c>
      <c r="F5269" s="1">
        <v>2.9411172905583201E-2</v>
      </c>
    </row>
    <row r="5270" spans="1:6" x14ac:dyDescent="0.25">
      <c r="A5270" s="2" t="str">
        <f t="shared" si="188"/>
        <v>28940</v>
      </c>
      <c r="B5270" s="2" t="str">
        <f>"37807"</f>
        <v>37807</v>
      </c>
      <c r="C5270" s="1">
        <v>1.1247165736706199E-2</v>
      </c>
      <c r="D5270" s="1">
        <v>8.7158341769339003E-3</v>
      </c>
      <c r="E5270" s="1">
        <v>1.04475013059376E-2</v>
      </c>
      <c r="F5270" s="1">
        <v>1.10223989311613E-2</v>
      </c>
    </row>
    <row r="5271" spans="1:6" x14ac:dyDescent="0.25">
      <c r="A5271" s="2" t="str">
        <f t="shared" si="188"/>
        <v>28940</v>
      </c>
      <c r="B5271" s="2" t="str">
        <f>"37916"</f>
        <v>37916</v>
      </c>
      <c r="C5271" s="1">
        <v>9.8112139073844706E-3</v>
      </c>
      <c r="D5271" s="1">
        <v>8.1973284610256502E-3</v>
      </c>
      <c r="E5271" s="1">
        <v>4.1006442625805301E-2</v>
      </c>
      <c r="F5271" s="1">
        <v>1.04006535369063E-2</v>
      </c>
    </row>
    <row r="5272" spans="1:6" x14ac:dyDescent="0.25">
      <c r="A5272" s="2" t="str">
        <f t="shared" si="188"/>
        <v>28940</v>
      </c>
      <c r="B5272" s="2" t="str">
        <f>"37902"</f>
        <v>37902</v>
      </c>
      <c r="C5272" s="1">
        <v>4.2876308143127697E-3</v>
      </c>
      <c r="D5272" s="1">
        <v>2.3925335176909202E-2</v>
      </c>
      <c r="E5272" s="1">
        <v>2.5422253177781601E-2</v>
      </c>
      <c r="F5272" s="1">
        <v>6.3764115028934303E-3</v>
      </c>
    </row>
    <row r="5273" spans="1:6" x14ac:dyDescent="0.25">
      <c r="A5273" s="2" t="str">
        <f t="shared" si="188"/>
        <v>28940</v>
      </c>
      <c r="B5273" s="2" t="str">
        <f>"37866"</f>
        <v>37866</v>
      </c>
      <c r="C5273" s="1">
        <v>2.56179199597304E-3</v>
      </c>
      <c r="D5273" s="1">
        <v>2.7159823214241598E-4</v>
      </c>
      <c r="E5273" s="1">
        <v>0</v>
      </c>
      <c r="F5273" s="1">
        <v>2.3159512905744201E-3</v>
      </c>
    </row>
    <row r="5274" spans="1:6" x14ac:dyDescent="0.25">
      <c r="A5274" s="2" t="str">
        <f t="shared" si="188"/>
        <v>28940</v>
      </c>
      <c r="B5274" s="2" t="str">
        <f>"37840"</f>
        <v>37840</v>
      </c>
      <c r="C5274" s="1">
        <v>1.21954782124085E-2</v>
      </c>
      <c r="D5274" s="1">
        <v>9.3084121379718998E-3</v>
      </c>
      <c r="E5274" s="1">
        <v>2.7860003482500402E-3</v>
      </c>
      <c r="F5274" s="1">
        <v>1.17427382552496E-2</v>
      </c>
    </row>
    <row r="5275" spans="1:6" x14ac:dyDescent="0.25">
      <c r="A5275" s="2" t="str">
        <f t="shared" si="188"/>
        <v>28940</v>
      </c>
      <c r="B5275" s="2" t="str">
        <f>"37830"</f>
        <v>37830</v>
      </c>
      <c r="C5275" s="1">
        <v>3.5862840757661198E-2</v>
      </c>
      <c r="D5275" s="1">
        <v>4.7727216611935498E-2</v>
      </c>
      <c r="E5275" s="1">
        <v>3.57826919728364E-2</v>
      </c>
      <c r="F5275" s="1">
        <v>3.6827850974268897E-2</v>
      </c>
    </row>
    <row r="5276" spans="1:6" x14ac:dyDescent="0.25">
      <c r="A5276" s="2" t="str">
        <f t="shared" si="188"/>
        <v>28940</v>
      </c>
      <c r="B5276" s="2" t="str">
        <f>"37733"</f>
        <v>37733</v>
      </c>
      <c r="C5276" s="1">
        <v>9.2134624416574296E-5</v>
      </c>
      <c r="D5276" s="1">
        <v>0</v>
      </c>
      <c r="E5276" s="1">
        <v>1.74125021765627E-4</v>
      </c>
      <c r="F5276" s="1">
        <v>8.6521203731277204E-5</v>
      </c>
    </row>
    <row r="5277" spans="1:6" x14ac:dyDescent="0.25">
      <c r="A5277" s="2" t="str">
        <f t="shared" si="188"/>
        <v>28940</v>
      </c>
      <c r="B5277" s="2" t="str">
        <f>"37726"</f>
        <v>37726</v>
      </c>
      <c r="C5277" s="1">
        <v>2.0898829440832698E-3</v>
      </c>
      <c r="D5277" s="1">
        <v>5.1850571590824897E-4</v>
      </c>
      <c r="E5277" s="1">
        <v>1.74125021765627E-4</v>
      </c>
      <c r="F5277" s="1">
        <v>1.91755132920714E-3</v>
      </c>
    </row>
    <row r="5278" spans="1:6" x14ac:dyDescent="0.25">
      <c r="A5278" s="2" t="str">
        <f t="shared" si="188"/>
        <v>28940</v>
      </c>
      <c r="B5278" s="2" t="str">
        <f>"37701"</f>
        <v>37701</v>
      </c>
      <c r="C5278" s="1">
        <v>9.5190797324050894E-3</v>
      </c>
      <c r="D5278" s="1">
        <v>2.63944100145675E-2</v>
      </c>
      <c r="E5278" s="1">
        <v>1.21016890127111E-2</v>
      </c>
      <c r="F5278" s="1">
        <v>1.0953986816583E-2</v>
      </c>
    </row>
    <row r="5279" spans="1:6" x14ac:dyDescent="0.25">
      <c r="A5279" s="2" t="str">
        <f t="shared" si="188"/>
        <v>28940</v>
      </c>
      <c r="B5279" s="2" t="str">
        <f>"37762"</f>
        <v>37762</v>
      </c>
      <c r="C5279" s="1">
        <v>3.7303286958905702E-3</v>
      </c>
      <c r="D5279" s="1">
        <v>3.9258289918767397E-3</v>
      </c>
      <c r="E5279" s="1">
        <v>7.3132509141563603E-3</v>
      </c>
      <c r="F5279" s="1">
        <v>3.8290662953632598E-3</v>
      </c>
    </row>
    <row r="5280" spans="1:6" x14ac:dyDescent="0.25">
      <c r="A5280" s="2" t="str">
        <f t="shared" si="188"/>
        <v>28940</v>
      </c>
      <c r="B5280" s="2" t="str">
        <f>"37803"</f>
        <v>37803</v>
      </c>
      <c r="C5280" s="1">
        <v>3.4011159525484197E-2</v>
      </c>
      <c r="D5280" s="1">
        <v>5.0862941655761499E-3</v>
      </c>
      <c r="E5280" s="1">
        <v>4.35312554414069E-4</v>
      </c>
      <c r="F5280" s="1">
        <v>3.0878009126980899E-2</v>
      </c>
    </row>
    <row r="5281" spans="1:6" x14ac:dyDescent="0.25">
      <c r="A5281" s="2" t="str">
        <f t="shared" si="188"/>
        <v>28940</v>
      </c>
      <c r="B5281" s="2" t="str">
        <f>"37888"</f>
        <v>37888</v>
      </c>
      <c r="C5281" s="1">
        <v>3.25841964400079E-4</v>
      </c>
      <c r="D5281" s="1">
        <v>0</v>
      </c>
      <c r="E5281" s="1">
        <v>0</v>
      </c>
      <c r="F5281" s="1">
        <v>2.9175754746593399E-4</v>
      </c>
    </row>
    <row r="5282" spans="1:6" x14ac:dyDescent="0.25">
      <c r="A5282" s="2" t="str">
        <f t="shared" si="188"/>
        <v>28940</v>
      </c>
      <c r="B5282" s="2" t="str">
        <f>"37901"</f>
        <v>37901</v>
      </c>
      <c r="C5282" s="1">
        <v>1.1820198156858E-3</v>
      </c>
      <c r="D5282" s="1">
        <v>4.3208809659020702E-3</v>
      </c>
      <c r="E5282" s="1">
        <v>1.74125021765627E-4</v>
      </c>
      <c r="F5282" s="1">
        <v>1.41452107495553E-3</v>
      </c>
    </row>
    <row r="5283" spans="1:6" x14ac:dyDescent="0.25">
      <c r="A5283" s="2" t="str">
        <f t="shared" si="188"/>
        <v>28940</v>
      </c>
      <c r="B5283" s="2" t="str">
        <f>"37934"</f>
        <v>37934</v>
      </c>
      <c r="C5283" s="1">
        <v>2.4957247287084702E-2</v>
      </c>
      <c r="D5283" s="1">
        <v>2.8443742129823899E-2</v>
      </c>
      <c r="E5283" s="1">
        <v>1.4452376806547099E-2</v>
      </c>
      <c r="F5283" s="1">
        <v>2.4998591515288E-2</v>
      </c>
    </row>
    <row r="5284" spans="1:6" x14ac:dyDescent="0.25">
      <c r="A5284" s="2" t="str">
        <f t="shared" si="188"/>
        <v>28940</v>
      </c>
      <c r="B5284" s="2" t="str">
        <f>"37878"</f>
        <v>37878</v>
      </c>
      <c r="C5284" s="1">
        <v>1.13258172453545E-3</v>
      </c>
      <c r="D5284" s="1">
        <v>9.8762993506333098E-5</v>
      </c>
      <c r="E5284" s="1">
        <v>0</v>
      </c>
      <c r="F5284" s="1">
        <v>1.02215747663927E-3</v>
      </c>
    </row>
    <row r="5285" spans="1:6" x14ac:dyDescent="0.25">
      <c r="A5285" s="2" t="str">
        <f t="shared" si="188"/>
        <v>28940</v>
      </c>
      <c r="B5285" s="2" t="str">
        <f>"37871"</f>
        <v>37871</v>
      </c>
      <c r="C5285" s="1">
        <v>4.0494291024065097E-3</v>
      </c>
      <c r="D5285" s="1">
        <v>1.3086096639589101E-3</v>
      </c>
      <c r="E5285" s="1">
        <v>7.8356259794532402E-4</v>
      </c>
      <c r="F5285" s="1">
        <v>3.7505935757000102E-3</v>
      </c>
    </row>
    <row r="5286" spans="1:6" x14ac:dyDescent="0.25">
      <c r="A5286" s="2" t="str">
        <f t="shared" si="188"/>
        <v>28940</v>
      </c>
      <c r="B5286" s="2" t="str">
        <f>"37922"</f>
        <v>37922</v>
      </c>
      <c r="C5286" s="1">
        <v>3.72336241941029E-2</v>
      </c>
      <c r="D5286" s="1">
        <v>4.14804572726599E-2</v>
      </c>
      <c r="E5286" s="1">
        <v>3.7001567125195797E-2</v>
      </c>
      <c r="F5286" s="1">
        <v>3.7574347871578297E-2</v>
      </c>
    </row>
    <row r="5287" spans="1:6" x14ac:dyDescent="0.25">
      <c r="A5287" s="2" t="str">
        <f t="shared" si="188"/>
        <v>28940</v>
      </c>
      <c r="B5287" s="2" t="str">
        <f>"37729"</f>
        <v>37729</v>
      </c>
      <c r="C5287" s="1">
        <v>1.8988721373659799E-3</v>
      </c>
      <c r="D5287" s="1">
        <v>8.6417619318041505E-4</v>
      </c>
      <c r="E5287" s="1">
        <v>8.7062510882813797E-5</v>
      </c>
      <c r="F5287" s="1">
        <v>1.77267861598267E-3</v>
      </c>
    </row>
    <row r="5288" spans="1:6" x14ac:dyDescent="0.25">
      <c r="A5288" s="2" t="str">
        <f t="shared" si="188"/>
        <v>28940</v>
      </c>
      <c r="B5288" s="2" t="str">
        <f>"37772"</f>
        <v>37772</v>
      </c>
      <c r="C5288" s="1">
        <v>1.43505295493717E-2</v>
      </c>
      <c r="D5288" s="1">
        <v>7.6541319967408199E-3</v>
      </c>
      <c r="E5288" s="1">
        <v>8.4450635556329399E-3</v>
      </c>
      <c r="F5288" s="1">
        <v>1.36683380685247E-2</v>
      </c>
    </row>
    <row r="5289" spans="1:6" x14ac:dyDescent="0.25">
      <c r="A5289" s="2" t="str">
        <f t="shared" si="188"/>
        <v>28940</v>
      </c>
      <c r="B5289" s="2" t="str">
        <f>"37770"</f>
        <v>37770</v>
      </c>
      <c r="C5289" s="1">
        <v>3.1730265774683598E-3</v>
      </c>
      <c r="D5289" s="1">
        <v>7.1603170292091505E-4</v>
      </c>
      <c r="E5289" s="1">
        <v>3.4825004353125502E-4</v>
      </c>
      <c r="F5289" s="1">
        <v>2.9075148695743101E-3</v>
      </c>
    </row>
    <row r="5290" spans="1:6" x14ac:dyDescent="0.25">
      <c r="A5290" s="2" t="str">
        <f t="shared" ref="A5290:A5299" si="189">"37540"</f>
        <v>37540</v>
      </c>
      <c r="B5290" s="2" t="str">
        <f>"38229"</f>
        <v>38229</v>
      </c>
      <c r="C5290" s="1">
        <v>1.00300902708124E-4</v>
      </c>
      <c r="D5290" s="1">
        <v>0</v>
      </c>
      <c r="E5290" s="1">
        <v>1.4285714285714199E-3</v>
      </c>
      <c r="F5290" s="1">
        <v>1.33014099494546E-4</v>
      </c>
    </row>
    <row r="5291" spans="1:6" x14ac:dyDescent="0.25">
      <c r="A5291" s="2" t="str">
        <f t="shared" si="189"/>
        <v>37540</v>
      </c>
      <c r="B5291" s="2" t="str">
        <f>"38223"</f>
        <v>38223</v>
      </c>
      <c r="C5291" s="1">
        <v>0</v>
      </c>
      <c r="D5291" s="1">
        <v>5.2246603970741896E-4</v>
      </c>
      <c r="E5291" s="1">
        <v>0</v>
      </c>
      <c r="F5291" s="1">
        <v>4.4338033164848798E-5</v>
      </c>
    </row>
    <row r="5292" spans="1:6" x14ac:dyDescent="0.25">
      <c r="A5292" s="2" t="str">
        <f t="shared" si="189"/>
        <v>37540</v>
      </c>
      <c r="B5292" s="2" t="str">
        <f>"38236"</f>
        <v>38236</v>
      </c>
      <c r="C5292" s="1">
        <v>1.7853560682046101E-2</v>
      </c>
      <c r="D5292" s="1">
        <v>4.7021943573667697E-3</v>
      </c>
      <c r="E5292" s="1">
        <v>0</v>
      </c>
      <c r="F5292" s="1">
        <v>1.61833821051698E-2</v>
      </c>
    </row>
    <row r="5293" spans="1:6" x14ac:dyDescent="0.25">
      <c r="A5293" s="2" t="str">
        <f t="shared" si="189"/>
        <v>37540</v>
      </c>
      <c r="B5293" s="2" t="str">
        <f>"38251"</f>
        <v>38251</v>
      </c>
      <c r="C5293" s="1">
        <v>7.4172517552657899E-2</v>
      </c>
      <c r="D5293" s="1">
        <v>3.5527690700104399E-2</v>
      </c>
      <c r="E5293" s="1">
        <v>1.1428571428571401E-2</v>
      </c>
      <c r="F5293" s="1">
        <v>6.8945641571339797E-2</v>
      </c>
    </row>
    <row r="5294" spans="1:6" x14ac:dyDescent="0.25">
      <c r="A5294" s="2" t="str">
        <f t="shared" si="189"/>
        <v>37540</v>
      </c>
      <c r="B5294" s="2" t="str">
        <f>"38224"</f>
        <v>38224</v>
      </c>
      <c r="C5294" s="1">
        <v>2.3319959879638901E-2</v>
      </c>
      <c r="D5294" s="1">
        <v>1.8808777429466999E-2</v>
      </c>
      <c r="E5294" s="1">
        <v>0</v>
      </c>
      <c r="F5294" s="1">
        <v>2.2213354615589199E-2</v>
      </c>
    </row>
    <row r="5295" spans="1:6" x14ac:dyDescent="0.25">
      <c r="A5295" s="2" t="str">
        <f t="shared" si="189"/>
        <v>37540</v>
      </c>
      <c r="B5295" s="2" t="str">
        <f>"38222"</f>
        <v>38222</v>
      </c>
      <c r="C5295" s="1">
        <v>9.2076228686058095E-2</v>
      </c>
      <c r="D5295" s="1">
        <v>4.4932079414837997E-2</v>
      </c>
      <c r="E5295" s="1">
        <v>5.14285714285714E-2</v>
      </c>
      <c r="F5295" s="1">
        <v>8.6813868936773897E-2</v>
      </c>
    </row>
    <row r="5296" spans="1:6" x14ac:dyDescent="0.25">
      <c r="A5296" s="2" t="str">
        <f t="shared" si="189"/>
        <v>37540</v>
      </c>
      <c r="B5296" s="2" t="str">
        <f>"38256"</f>
        <v>38256</v>
      </c>
      <c r="C5296" s="1">
        <v>0.157572718154463</v>
      </c>
      <c r="D5296" s="1">
        <v>4.1274817136886098E-2</v>
      </c>
      <c r="E5296" s="1">
        <v>8.1428571428571406E-2</v>
      </c>
      <c r="F5296" s="1">
        <v>0.14534007271437399</v>
      </c>
    </row>
    <row r="5297" spans="1:6" x14ac:dyDescent="0.25">
      <c r="A5297" s="2" t="str">
        <f t="shared" si="189"/>
        <v>37540</v>
      </c>
      <c r="B5297" s="2" t="str">
        <f>"38201"</f>
        <v>38201</v>
      </c>
      <c r="C5297" s="1">
        <v>1.6800401203610801E-2</v>
      </c>
      <c r="D5297" s="1">
        <v>1.51515151515151E-2</v>
      </c>
      <c r="E5297" s="1">
        <v>0</v>
      </c>
      <c r="F5297" s="1">
        <v>1.61390440720049E-2</v>
      </c>
    </row>
    <row r="5298" spans="1:6" x14ac:dyDescent="0.25">
      <c r="A5298" s="2" t="str">
        <f t="shared" si="189"/>
        <v>37540</v>
      </c>
      <c r="B5298" s="2" t="str">
        <f>"38231"</f>
        <v>38231</v>
      </c>
      <c r="C5298" s="1">
        <v>4.9849548645937797E-2</v>
      </c>
      <c r="D5298" s="1">
        <v>2.0376175548589299E-2</v>
      </c>
      <c r="E5298" s="1">
        <v>1.42857142857142E-2</v>
      </c>
      <c r="F5298" s="1">
        <v>4.6244568590937299E-2</v>
      </c>
    </row>
    <row r="5299" spans="1:6" x14ac:dyDescent="0.25">
      <c r="A5299" s="2" t="str">
        <f t="shared" si="189"/>
        <v>37540</v>
      </c>
      <c r="B5299" s="2" t="str">
        <f>"38242"</f>
        <v>38242</v>
      </c>
      <c r="C5299" s="1">
        <v>0.56825476429287802</v>
      </c>
      <c r="D5299" s="1">
        <v>0.81870428422152497</v>
      </c>
      <c r="E5299" s="1">
        <v>0.84</v>
      </c>
      <c r="F5299" s="1">
        <v>0.59794271526115095</v>
      </c>
    </row>
    <row r="5300" spans="1:6" x14ac:dyDescent="0.25">
      <c r="A5300" s="2" t="str">
        <f t="shared" ref="A5300:A5318" si="190">"44260"</f>
        <v>44260</v>
      </c>
      <c r="B5300" s="2" t="str">
        <f>"39760"</f>
        <v>39760</v>
      </c>
      <c r="C5300" s="1">
        <v>4.4694284448382797E-2</v>
      </c>
      <c r="D5300" s="1">
        <v>0.16432700247729101</v>
      </c>
      <c r="E5300" s="1">
        <v>2.31213872832369E-3</v>
      </c>
      <c r="F5300" s="1">
        <v>5.1118048681438599E-2</v>
      </c>
    </row>
    <row r="5301" spans="1:6" x14ac:dyDescent="0.25">
      <c r="A5301" s="2" t="str">
        <f t="shared" si="190"/>
        <v>44260</v>
      </c>
      <c r="B5301" s="2" t="str">
        <f>"39744"</f>
        <v>39744</v>
      </c>
      <c r="C5301" s="1">
        <v>7.9059592379264507E-2</v>
      </c>
      <c r="D5301" s="1">
        <v>9.7440132122213002E-2</v>
      </c>
      <c r="E5301" s="1">
        <v>3.5838150289017302E-2</v>
      </c>
      <c r="F5301" s="1">
        <v>7.9240589862686797E-2</v>
      </c>
    </row>
    <row r="5302" spans="1:6" x14ac:dyDescent="0.25">
      <c r="A5302" s="2" t="str">
        <f t="shared" si="190"/>
        <v>44260</v>
      </c>
      <c r="B5302" s="2" t="str">
        <f>"38929"</f>
        <v>38929</v>
      </c>
      <c r="C5302" s="1">
        <v>1.02459016393442E-3</v>
      </c>
      <c r="D5302" s="1">
        <v>1.6515276630883499E-3</v>
      </c>
      <c r="E5302" s="1">
        <v>0</v>
      </c>
      <c r="F5302" s="1">
        <v>1.04063554912561E-3</v>
      </c>
    </row>
    <row r="5303" spans="1:6" x14ac:dyDescent="0.25">
      <c r="A5303" s="2" t="str">
        <f t="shared" si="190"/>
        <v>44260</v>
      </c>
      <c r="B5303" s="2" t="str">
        <f>"39771"</f>
        <v>39771</v>
      </c>
      <c r="C5303" s="1">
        <v>2.0768719539211301E-3</v>
      </c>
      <c r="D5303" s="1">
        <v>8.25763831544178E-4</v>
      </c>
      <c r="E5303" s="1">
        <v>0</v>
      </c>
      <c r="F5303" s="1">
        <v>1.9543643239676098E-3</v>
      </c>
    </row>
    <row r="5304" spans="1:6" x14ac:dyDescent="0.25">
      <c r="A5304" s="2" t="str">
        <f t="shared" si="190"/>
        <v>44260</v>
      </c>
      <c r="B5304" s="2" t="str">
        <f>"39751"</f>
        <v>39751</v>
      </c>
      <c r="C5304" s="1">
        <v>1.42058041648205E-2</v>
      </c>
      <c r="D5304" s="1">
        <v>1.1147811725846399E-2</v>
      </c>
      <c r="E5304" s="1">
        <v>0</v>
      </c>
      <c r="F5304" s="1">
        <v>1.3705931622630001E-2</v>
      </c>
    </row>
    <row r="5305" spans="1:6" x14ac:dyDescent="0.25">
      <c r="A5305" s="2" t="str">
        <f t="shared" si="190"/>
        <v>44260</v>
      </c>
      <c r="B5305" s="2" t="str">
        <f>"39701"</f>
        <v>39701</v>
      </c>
      <c r="C5305" s="1">
        <v>2.7691626052281701E-5</v>
      </c>
      <c r="D5305" s="1">
        <v>0</v>
      </c>
      <c r="E5305" s="1">
        <v>0</v>
      </c>
      <c r="F5305" s="1">
        <v>2.5381354856722199E-5</v>
      </c>
    </row>
    <row r="5306" spans="1:6" x14ac:dyDescent="0.25">
      <c r="A5306" s="2" t="str">
        <f t="shared" si="190"/>
        <v>44260</v>
      </c>
      <c r="B5306" s="2" t="str">
        <f>"39767"</f>
        <v>39767</v>
      </c>
      <c r="C5306" s="1">
        <v>6.0644661054497099E-3</v>
      </c>
      <c r="D5306" s="1">
        <v>8.25763831544178E-4</v>
      </c>
      <c r="E5306" s="1">
        <v>0</v>
      </c>
      <c r="F5306" s="1">
        <v>5.6092794233356096E-3</v>
      </c>
    </row>
    <row r="5307" spans="1:6" x14ac:dyDescent="0.25">
      <c r="A5307" s="2" t="str">
        <f t="shared" si="190"/>
        <v>44260</v>
      </c>
      <c r="B5307" s="2" t="str">
        <f>"39755"</f>
        <v>39755</v>
      </c>
      <c r="C5307" s="1">
        <v>2.6307044749667701E-3</v>
      </c>
      <c r="D5307" s="1">
        <v>4.12881915772089E-4</v>
      </c>
      <c r="E5307" s="1">
        <v>0</v>
      </c>
      <c r="F5307" s="1">
        <v>2.43661006624533E-3</v>
      </c>
    </row>
    <row r="5308" spans="1:6" x14ac:dyDescent="0.25">
      <c r="A5308" s="2" t="str">
        <f t="shared" si="190"/>
        <v>44260</v>
      </c>
      <c r="B5308" s="2" t="str">
        <f>"39750"</f>
        <v>39750</v>
      </c>
      <c r="C5308" s="1">
        <v>3.9903633141337998E-2</v>
      </c>
      <c r="D5308" s="1">
        <v>2.6011560693641599E-2</v>
      </c>
      <c r="E5308" s="1">
        <v>2.31213872832369E-3</v>
      </c>
      <c r="F5308" s="1">
        <v>3.8224320414223703E-2</v>
      </c>
    </row>
    <row r="5309" spans="1:6" x14ac:dyDescent="0.25">
      <c r="A5309" s="2" t="str">
        <f t="shared" si="190"/>
        <v>44260</v>
      </c>
      <c r="B5309" s="2" t="str">
        <f>"38916"</f>
        <v>38916</v>
      </c>
      <c r="C5309" s="1">
        <v>9.6920691182986196E-4</v>
      </c>
      <c r="D5309" s="1">
        <v>0</v>
      </c>
      <c r="E5309" s="1">
        <v>0</v>
      </c>
      <c r="F5309" s="1">
        <v>8.8834741998527805E-4</v>
      </c>
    </row>
    <row r="5310" spans="1:6" x14ac:dyDescent="0.25">
      <c r="A5310" s="2" t="str">
        <f t="shared" si="190"/>
        <v>44260</v>
      </c>
      <c r="B5310" s="2" t="str">
        <f>"39739"</f>
        <v>39739</v>
      </c>
      <c r="C5310" s="1">
        <v>8.3074878156845294E-5</v>
      </c>
      <c r="D5310" s="1">
        <v>4.12881915772089E-4</v>
      </c>
      <c r="E5310" s="1">
        <v>0</v>
      </c>
      <c r="F5310" s="1">
        <v>1.01525419426889E-4</v>
      </c>
    </row>
    <row r="5311" spans="1:6" x14ac:dyDescent="0.25">
      <c r="A5311" s="2" t="str">
        <f t="shared" si="190"/>
        <v>44260</v>
      </c>
      <c r="B5311" s="2" t="str">
        <f>"39735"</f>
        <v>39735</v>
      </c>
      <c r="C5311" s="1">
        <v>2.2153300841825399E-4</v>
      </c>
      <c r="D5311" s="1">
        <v>0</v>
      </c>
      <c r="E5311" s="1">
        <v>0</v>
      </c>
      <c r="F5311" s="1">
        <v>2.03050838853778E-4</v>
      </c>
    </row>
    <row r="5312" spans="1:6" x14ac:dyDescent="0.25">
      <c r="A5312" s="2" t="str">
        <f t="shared" si="190"/>
        <v>44260</v>
      </c>
      <c r="B5312" s="2" t="str">
        <f>"38925"</f>
        <v>38925</v>
      </c>
      <c r="C5312" s="1">
        <v>3.8768276473194501E-4</v>
      </c>
      <c r="D5312" s="1">
        <v>0</v>
      </c>
      <c r="E5312" s="1">
        <v>0</v>
      </c>
      <c r="F5312" s="1">
        <v>3.5533896799411099E-4</v>
      </c>
    </row>
    <row r="5313" spans="1:6" x14ac:dyDescent="0.25">
      <c r="A5313" s="2" t="str">
        <f t="shared" si="190"/>
        <v>44260</v>
      </c>
      <c r="B5313" s="2" t="str">
        <f>"39737"</f>
        <v>39737</v>
      </c>
      <c r="C5313" s="1">
        <v>3.1845369960124001E-3</v>
      </c>
      <c r="D5313" s="1">
        <v>8.25763831544178E-4</v>
      </c>
      <c r="E5313" s="1">
        <v>0</v>
      </c>
      <c r="F5313" s="1">
        <v>2.9696185182365E-3</v>
      </c>
    </row>
    <row r="5314" spans="1:6" x14ac:dyDescent="0.25">
      <c r="A5314" s="2" t="str">
        <f t="shared" si="190"/>
        <v>44260</v>
      </c>
      <c r="B5314" s="2" t="str">
        <f>"39769"</f>
        <v>39769</v>
      </c>
      <c r="C5314" s="1">
        <v>4.3891227292866597E-2</v>
      </c>
      <c r="D5314" s="1">
        <v>1.5689512799339299E-2</v>
      </c>
      <c r="E5314" s="1">
        <v>0</v>
      </c>
      <c r="F5314" s="1">
        <v>4.1193938932460199E-2</v>
      </c>
    </row>
    <row r="5315" spans="1:6" x14ac:dyDescent="0.25">
      <c r="A5315" s="2" t="str">
        <f t="shared" si="190"/>
        <v>44260</v>
      </c>
      <c r="B5315" s="2" t="str">
        <f>"39752"</f>
        <v>39752</v>
      </c>
      <c r="C5315" s="1">
        <v>1.8885688967656099E-2</v>
      </c>
      <c r="D5315" s="1">
        <v>1.8166804293971901E-2</v>
      </c>
      <c r="E5315" s="1">
        <v>4.6242774566473896E-3</v>
      </c>
      <c r="F5315" s="1">
        <v>1.8528389045407202E-2</v>
      </c>
    </row>
    <row r="5316" spans="1:6" x14ac:dyDescent="0.25">
      <c r="A5316" s="2" t="str">
        <f t="shared" si="190"/>
        <v>44260</v>
      </c>
      <c r="B5316" s="2" t="str">
        <f>"39743"</f>
        <v>39743</v>
      </c>
      <c r="C5316" s="1">
        <v>9.2213114754098307E-3</v>
      </c>
      <c r="D5316" s="1">
        <v>4.5417010734929803E-3</v>
      </c>
      <c r="E5316" s="1">
        <v>0</v>
      </c>
      <c r="F5316" s="1">
        <v>8.7311860707124499E-3</v>
      </c>
    </row>
    <row r="5317" spans="1:6" x14ac:dyDescent="0.25">
      <c r="A5317" s="2" t="str">
        <f t="shared" si="190"/>
        <v>44260</v>
      </c>
      <c r="B5317" s="2" t="str">
        <f>"39762"</f>
        <v>39762</v>
      </c>
      <c r="C5317" s="1">
        <v>0</v>
      </c>
      <c r="D5317" s="1">
        <v>2.4772914946325302E-3</v>
      </c>
      <c r="E5317" s="1">
        <v>0</v>
      </c>
      <c r="F5317" s="1">
        <v>1.5228812914033299E-4</v>
      </c>
    </row>
    <row r="5318" spans="1:6" x14ac:dyDescent="0.25">
      <c r="A5318" s="2" t="str">
        <f t="shared" si="190"/>
        <v>44260</v>
      </c>
      <c r="B5318" s="2" t="str">
        <f>"39759"</f>
        <v>39759</v>
      </c>
      <c r="C5318" s="1">
        <v>0.73346809924678702</v>
      </c>
      <c r="D5318" s="1">
        <v>0.65524360033030504</v>
      </c>
      <c r="E5318" s="1">
        <v>0.95491329479768705</v>
      </c>
      <c r="F5318" s="1">
        <v>0.73352115535927298</v>
      </c>
    </row>
    <row r="5319" spans="1:6" x14ac:dyDescent="0.25">
      <c r="A5319" s="2" t="str">
        <f t="shared" ref="A5319:A5331" si="191">"18060"</f>
        <v>18060</v>
      </c>
      <c r="B5319" s="2" t="str">
        <f>"39736"</f>
        <v>39736</v>
      </c>
      <c r="C5319" s="1">
        <v>0</v>
      </c>
      <c r="D5319" s="1">
        <v>2.4740227610093999E-4</v>
      </c>
      <c r="E5319" s="1">
        <v>0</v>
      </c>
      <c r="F5319" s="1">
        <v>2.7439359016573299E-5</v>
      </c>
    </row>
    <row r="5320" spans="1:6" x14ac:dyDescent="0.25">
      <c r="A5320" s="2" t="str">
        <f t="shared" si="191"/>
        <v>18060</v>
      </c>
      <c r="B5320" s="2" t="str">
        <f>"39740"</f>
        <v>39740</v>
      </c>
      <c r="C5320" s="1">
        <v>7.3130804344404193E-2</v>
      </c>
      <c r="D5320" s="1">
        <v>1.45967342899554E-2</v>
      </c>
      <c r="E5320" s="1">
        <v>5.3375196232339002E-2</v>
      </c>
      <c r="F5320" s="1">
        <v>6.6293491384041198E-2</v>
      </c>
    </row>
    <row r="5321" spans="1:6" x14ac:dyDescent="0.25">
      <c r="A5321" s="2" t="str">
        <f t="shared" si="191"/>
        <v>18060</v>
      </c>
      <c r="B5321" s="2" t="str">
        <f>"39705"</f>
        <v>39705</v>
      </c>
      <c r="C5321" s="1">
        <v>0.28260664253108703</v>
      </c>
      <c r="D5321" s="1">
        <v>0.30059376546264199</v>
      </c>
      <c r="E5321" s="1">
        <v>0.27786499215070598</v>
      </c>
      <c r="F5321" s="1">
        <v>0.28451871364284897</v>
      </c>
    </row>
    <row r="5322" spans="1:6" x14ac:dyDescent="0.25">
      <c r="A5322" s="2" t="str">
        <f t="shared" si="191"/>
        <v>18060</v>
      </c>
      <c r="B5322" s="2" t="str">
        <f>"39701"</f>
        <v>39701</v>
      </c>
      <c r="C5322" s="1">
        <v>0.22786085314024801</v>
      </c>
      <c r="D5322" s="1">
        <v>0.30331519049975197</v>
      </c>
      <c r="E5322" s="1">
        <v>0.39874411302982699</v>
      </c>
      <c r="F5322" s="1">
        <v>0.239216331906486</v>
      </c>
    </row>
    <row r="5323" spans="1:6" x14ac:dyDescent="0.25">
      <c r="A5323" s="2" t="str">
        <f t="shared" si="191"/>
        <v>18060</v>
      </c>
      <c r="B5323" s="2" t="str">
        <f>"39743"</f>
        <v>39743</v>
      </c>
      <c r="C5323" s="1">
        <v>1.6464662364237301E-2</v>
      </c>
      <c r="D5323" s="1">
        <v>7.4220682830282003E-3</v>
      </c>
      <c r="E5323" s="1">
        <v>0</v>
      </c>
      <c r="F5323" s="1">
        <v>1.5173965536165001E-2</v>
      </c>
    </row>
    <row r="5324" spans="1:6" x14ac:dyDescent="0.25">
      <c r="A5324" s="2" t="str">
        <f t="shared" si="191"/>
        <v>18060</v>
      </c>
      <c r="B5324" s="2" t="str">
        <f>"39766"</f>
        <v>39766</v>
      </c>
      <c r="C5324" s="1">
        <v>3.9634818196127797E-2</v>
      </c>
      <c r="D5324" s="1">
        <v>1.2864918357248799E-2</v>
      </c>
      <c r="E5324" s="1">
        <v>9.4191522762951292E-3</v>
      </c>
      <c r="F5324" s="1">
        <v>3.6137635824827097E-2</v>
      </c>
    </row>
    <row r="5325" spans="1:6" x14ac:dyDescent="0.25">
      <c r="A5325" s="2" t="str">
        <f t="shared" si="191"/>
        <v>18060</v>
      </c>
      <c r="B5325" s="2" t="str">
        <f>"39753"</f>
        <v>39753</v>
      </c>
      <c r="C5325" s="1">
        <v>0</v>
      </c>
      <c r="D5325" s="1">
        <v>2.4740227610093999E-4</v>
      </c>
      <c r="E5325" s="1">
        <v>0</v>
      </c>
      <c r="F5325" s="1">
        <v>2.7439359016573299E-5</v>
      </c>
    </row>
    <row r="5326" spans="1:6" x14ac:dyDescent="0.25">
      <c r="A5326" s="2" t="str">
        <f t="shared" si="191"/>
        <v>18060</v>
      </c>
      <c r="B5326" s="2" t="str">
        <f>"39704"</f>
        <v>39704</v>
      </c>
      <c r="C5326" s="1">
        <v>3.0694160239257001E-2</v>
      </c>
      <c r="D5326" s="1">
        <v>6.0613557644730302E-2</v>
      </c>
      <c r="E5326" s="1">
        <v>3.13971742543171E-3</v>
      </c>
      <c r="F5326" s="1">
        <v>3.3530896718252601E-2</v>
      </c>
    </row>
    <row r="5327" spans="1:6" x14ac:dyDescent="0.25">
      <c r="A5327" s="2" t="str">
        <f t="shared" si="191"/>
        <v>18060</v>
      </c>
      <c r="B5327" s="2" t="str">
        <f>"39702"</f>
        <v>39702</v>
      </c>
      <c r="C5327" s="1">
        <v>0.31518967416968302</v>
      </c>
      <c r="D5327" s="1">
        <v>0.19223156853043</v>
      </c>
      <c r="E5327" s="1">
        <v>0.25117739403453598</v>
      </c>
      <c r="F5327" s="1">
        <v>0.30043354187246102</v>
      </c>
    </row>
    <row r="5328" spans="1:6" x14ac:dyDescent="0.25">
      <c r="A5328" s="2" t="str">
        <f t="shared" si="191"/>
        <v>18060</v>
      </c>
      <c r="B5328" s="2" t="str">
        <f>"39703"</f>
        <v>39703</v>
      </c>
      <c r="C5328" s="1">
        <v>1.30332126554383E-2</v>
      </c>
      <c r="D5328" s="1">
        <v>7.2736269173676302E-2</v>
      </c>
      <c r="E5328" s="1">
        <v>3.13971742543171E-3</v>
      </c>
      <c r="F5328" s="1">
        <v>1.9481944901766999E-2</v>
      </c>
    </row>
    <row r="5329" spans="1:6" x14ac:dyDescent="0.25">
      <c r="A5329" s="2" t="str">
        <f t="shared" si="191"/>
        <v>18060</v>
      </c>
      <c r="B5329" s="2" t="str">
        <f>"39710"</f>
        <v>39710</v>
      </c>
      <c r="C5329" s="1">
        <v>0</v>
      </c>
      <c r="D5329" s="1">
        <v>3.4388916378030598E-2</v>
      </c>
      <c r="E5329" s="1">
        <v>3.13971742543171E-3</v>
      </c>
      <c r="F5329" s="1">
        <v>3.8689496213368401E-3</v>
      </c>
    </row>
    <row r="5330" spans="1:6" x14ac:dyDescent="0.25">
      <c r="A5330" s="2" t="str">
        <f t="shared" si="191"/>
        <v>18060</v>
      </c>
      <c r="B5330" s="2" t="str">
        <f>"39739"</f>
        <v>39739</v>
      </c>
      <c r="C5330" s="1">
        <v>6.29623799779631E-5</v>
      </c>
      <c r="D5330" s="1">
        <v>0</v>
      </c>
      <c r="E5330" s="1">
        <v>0</v>
      </c>
      <c r="F5330" s="1">
        <v>5.4878718033146699E-5</v>
      </c>
    </row>
    <row r="5331" spans="1:6" x14ac:dyDescent="0.25">
      <c r="A5331" s="2" t="str">
        <f t="shared" si="191"/>
        <v>18060</v>
      </c>
      <c r="B5331" s="2" t="str">
        <f>"39759"</f>
        <v>39759</v>
      </c>
      <c r="C5331" s="1">
        <v>1.32220997953722E-3</v>
      </c>
      <c r="D5331" s="1">
        <v>7.4220682830282003E-4</v>
      </c>
      <c r="E5331" s="1">
        <v>0</v>
      </c>
      <c r="F5331" s="1">
        <v>1.2347711557457999E-3</v>
      </c>
    </row>
    <row r="5332" spans="1:6" x14ac:dyDescent="0.25">
      <c r="A5332" s="2" t="str">
        <f t="shared" ref="A5332:A5345" si="192">"15820"</f>
        <v>15820</v>
      </c>
      <c r="B5332" s="2" t="str">
        <f>"42722"</f>
        <v>42722</v>
      </c>
      <c r="C5332" s="1">
        <v>6.6852367688022198E-4</v>
      </c>
      <c r="D5332" s="1">
        <v>0</v>
      </c>
      <c r="E5332" s="1">
        <v>1.9493177387914201E-3</v>
      </c>
      <c r="F5332" s="1">
        <v>6.8459657701711398E-4</v>
      </c>
    </row>
    <row r="5333" spans="1:6" x14ac:dyDescent="0.25">
      <c r="A5333" s="2" t="str">
        <f t="shared" si="192"/>
        <v>15820</v>
      </c>
      <c r="B5333" s="2" t="str">
        <f>"42757"</f>
        <v>42757</v>
      </c>
      <c r="C5333" s="1">
        <v>9.025069637883E-3</v>
      </c>
      <c r="D5333" s="1">
        <v>2.0352781546811301E-3</v>
      </c>
      <c r="E5333" s="1">
        <v>2.92397660818713E-3</v>
      </c>
      <c r="F5333" s="1">
        <v>8.2151589242053704E-3</v>
      </c>
    </row>
    <row r="5334" spans="1:6" x14ac:dyDescent="0.25">
      <c r="A5334" s="2" t="str">
        <f t="shared" si="192"/>
        <v>15820</v>
      </c>
      <c r="B5334" s="2" t="str">
        <f>"42743"</f>
        <v>42743</v>
      </c>
      <c r="C5334" s="1">
        <v>0.263064066852367</v>
      </c>
      <c r="D5334" s="1">
        <v>0.25780189959294397</v>
      </c>
      <c r="E5334" s="1">
        <v>0.25730994152046699</v>
      </c>
      <c r="F5334" s="1">
        <v>0.26239608801955899</v>
      </c>
    </row>
    <row r="5335" spans="1:6" x14ac:dyDescent="0.25">
      <c r="A5335" s="2" t="str">
        <f t="shared" si="192"/>
        <v>15820</v>
      </c>
      <c r="B5335" s="2" t="str">
        <f>"42716"</f>
        <v>42716</v>
      </c>
      <c r="C5335" s="1">
        <v>5.4038997214484602E-3</v>
      </c>
      <c r="D5335" s="1">
        <v>1.35685210312075E-3</v>
      </c>
      <c r="E5335" s="1">
        <v>6.8226120857699801E-3</v>
      </c>
      <c r="F5335" s="1">
        <v>5.1833740831295797E-3</v>
      </c>
    </row>
    <row r="5336" spans="1:6" x14ac:dyDescent="0.25">
      <c r="A5336" s="2" t="str">
        <f t="shared" si="192"/>
        <v>15820</v>
      </c>
      <c r="B5336" s="2" t="str">
        <f>"40009"</f>
        <v>40009</v>
      </c>
      <c r="C5336" s="1">
        <v>4.8467966573816097E-3</v>
      </c>
      <c r="D5336" s="1">
        <v>0</v>
      </c>
      <c r="E5336" s="1">
        <v>2.92397660818713E-3</v>
      </c>
      <c r="F5336" s="1">
        <v>4.4009779951100199E-3</v>
      </c>
    </row>
    <row r="5337" spans="1:6" x14ac:dyDescent="0.25">
      <c r="A5337" s="2" t="str">
        <f t="shared" si="192"/>
        <v>15820</v>
      </c>
      <c r="B5337" s="2" t="str">
        <f>"42214"</f>
        <v>42214</v>
      </c>
      <c r="C5337" s="1">
        <v>4.1782729805013904E-3</v>
      </c>
      <c r="D5337" s="1">
        <v>2.0352781546811301E-3</v>
      </c>
      <c r="E5337" s="1">
        <v>0</v>
      </c>
      <c r="F5337" s="1">
        <v>3.81418092909535E-3</v>
      </c>
    </row>
    <row r="5338" spans="1:6" x14ac:dyDescent="0.25">
      <c r="A5338" s="2" t="str">
        <f t="shared" si="192"/>
        <v>15820</v>
      </c>
      <c r="B5338" s="2" t="str">
        <f>"42728"</f>
        <v>42728</v>
      </c>
      <c r="C5338" s="1">
        <v>3.8440111420612799E-3</v>
      </c>
      <c r="D5338" s="1">
        <v>6.78426051560379E-4</v>
      </c>
      <c r="E5338" s="1">
        <v>1.9493177387914201E-3</v>
      </c>
      <c r="F5338" s="1">
        <v>3.5207823960880101E-3</v>
      </c>
    </row>
    <row r="5339" spans="1:6" x14ac:dyDescent="0.25">
      <c r="A5339" s="2" t="str">
        <f t="shared" si="192"/>
        <v>15820</v>
      </c>
      <c r="B5339" s="2" t="str">
        <f>"42764"</f>
        <v>42764</v>
      </c>
      <c r="C5339" s="1">
        <v>1.08635097493036E-2</v>
      </c>
      <c r="D5339" s="1">
        <v>6.78426051560379E-4</v>
      </c>
      <c r="E5339" s="1">
        <v>5.84795321637426E-3</v>
      </c>
      <c r="F5339" s="1">
        <v>9.8777506112469396E-3</v>
      </c>
    </row>
    <row r="5340" spans="1:6" x14ac:dyDescent="0.25">
      <c r="A5340" s="2" t="str">
        <f t="shared" si="192"/>
        <v>15820</v>
      </c>
      <c r="B5340" s="2" t="str">
        <f>"42746"</f>
        <v>42746</v>
      </c>
      <c r="C5340" s="1">
        <v>2.17270194986072E-3</v>
      </c>
      <c r="D5340" s="1">
        <v>0</v>
      </c>
      <c r="E5340" s="1">
        <v>0</v>
      </c>
      <c r="F5340" s="1">
        <v>1.90709046454767E-3</v>
      </c>
    </row>
    <row r="5341" spans="1:6" x14ac:dyDescent="0.25">
      <c r="A5341" s="2" t="str">
        <f t="shared" si="192"/>
        <v>15820</v>
      </c>
      <c r="B5341" s="2" t="str">
        <f>"42718"</f>
        <v>42718</v>
      </c>
      <c r="C5341" s="1">
        <v>0.63727019498607196</v>
      </c>
      <c r="D5341" s="1">
        <v>0.72048846675712297</v>
      </c>
      <c r="E5341" s="1">
        <v>0.66569200779727</v>
      </c>
      <c r="F5341" s="1">
        <v>0.64469437652811701</v>
      </c>
    </row>
    <row r="5342" spans="1:6" x14ac:dyDescent="0.25">
      <c r="A5342" s="2" t="str">
        <f t="shared" si="192"/>
        <v>15820</v>
      </c>
      <c r="B5342" s="2" t="str">
        <f>"42782"</f>
        <v>42782</v>
      </c>
      <c r="C5342" s="1">
        <v>2.5181058495821699E-2</v>
      </c>
      <c r="D5342" s="1">
        <v>3.3921302578018898E-3</v>
      </c>
      <c r="E5342" s="1">
        <v>1.4619883040935601E-2</v>
      </c>
      <c r="F5342" s="1">
        <v>2.3080684596577E-2</v>
      </c>
    </row>
    <row r="5343" spans="1:6" x14ac:dyDescent="0.25">
      <c r="A5343" s="2" t="str">
        <f t="shared" si="192"/>
        <v>15820</v>
      </c>
      <c r="B5343" s="2" t="str">
        <f>"42129"</f>
        <v>42129</v>
      </c>
      <c r="C5343" s="1">
        <v>5.5710306406685196E-4</v>
      </c>
      <c r="D5343" s="1">
        <v>0</v>
      </c>
      <c r="E5343" s="1">
        <v>0</v>
      </c>
      <c r="F5343" s="1">
        <v>4.8899755501222403E-4</v>
      </c>
    </row>
    <row r="5344" spans="1:6" x14ac:dyDescent="0.25">
      <c r="A5344" s="2" t="str">
        <f t="shared" si="192"/>
        <v>15820</v>
      </c>
      <c r="B5344" s="2" t="str">
        <f>"42733"</f>
        <v>42733</v>
      </c>
      <c r="C5344" s="1">
        <v>3.0362116991643401E-2</v>
      </c>
      <c r="D5344" s="1">
        <v>1.1533242876526399E-2</v>
      </c>
      <c r="E5344" s="1">
        <v>3.8986354775828402E-2</v>
      </c>
      <c r="F5344" s="1">
        <v>2.9437652811735899E-2</v>
      </c>
    </row>
    <row r="5345" spans="1:6" x14ac:dyDescent="0.25">
      <c r="A5345" s="2" t="str">
        <f t="shared" si="192"/>
        <v>15820</v>
      </c>
      <c r="B5345" s="2" t="str">
        <f>"42758"</f>
        <v>42758</v>
      </c>
      <c r="C5345" s="1">
        <v>2.5626740947075201E-3</v>
      </c>
      <c r="D5345" s="1">
        <v>0</v>
      </c>
      <c r="E5345" s="1">
        <v>9.7465886939571101E-4</v>
      </c>
      <c r="F5345" s="1">
        <v>2.29828850855745E-3</v>
      </c>
    </row>
    <row r="5346" spans="1:6" x14ac:dyDescent="0.25">
      <c r="A5346" s="2" t="str">
        <f t="shared" ref="A5346:A5377" si="193">"30460"</f>
        <v>30460</v>
      </c>
      <c r="B5346" s="2" t="str">
        <f>"40576"</f>
        <v>40576</v>
      </c>
      <c r="C5346" s="1">
        <v>2.9946997916017098E-4</v>
      </c>
      <c r="D5346" s="1">
        <v>1.53549179608668E-3</v>
      </c>
      <c r="E5346" s="1">
        <v>2.06739714699193E-4</v>
      </c>
      <c r="F5346" s="1">
        <v>3.9821599235425199E-4</v>
      </c>
    </row>
    <row r="5347" spans="1:6" x14ac:dyDescent="0.25">
      <c r="A5347" s="2" t="str">
        <f t="shared" si="193"/>
        <v>30460</v>
      </c>
      <c r="B5347" s="2" t="str">
        <f>"41010"</f>
        <v>41010</v>
      </c>
      <c r="C5347" s="1">
        <v>1.8870711015572399E-4</v>
      </c>
      <c r="D5347" s="1">
        <v>0</v>
      </c>
      <c r="E5347" s="1">
        <v>0</v>
      </c>
      <c r="F5347" s="1">
        <v>1.66526687711778E-4</v>
      </c>
    </row>
    <row r="5348" spans="1:6" x14ac:dyDescent="0.25">
      <c r="A5348" s="2" t="str">
        <f t="shared" si="193"/>
        <v>30460</v>
      </c>
      <c r="B5348" s="2" t="str">
        <f>"40601"</f>
        <v>40601</v>
      </c>
      <c r="C5348" s="1">
        <v>1.31274511412677E-3</v>
      </c>
      <c r="D5348" s="1">
        <v>6.5806791260858096E-4</v>
      </c>
      <c r="E5348" s="1">
        <v>8.2695885879677396E-4</v>
      </c>
      <c r="F5348" s="1">
        <v>1.24170986706826E-3</v>
      </c>
    </row>
    <row r="5349" spans="1:6" x14ac:dyDescent="0.25">
      <c r="A5349" s="2" t="str">
        <f t="shared" si="193"/>
        <v>30460</v>
      </c>
      <c r="B5349" s="2" t="str">
        <f>"40356"</f>
        <v>40356</v>
      </c>
      <c r="C5349" s="1">
        <v>7.4358806058318697E-2</v>
      </c>
      <c r="D5349" s="1">
        <v>7.8090725629551605E-2</v>
      </c>
      <c r="E5349" s="1">
        <v>5.0444490386603202E-2</v>
      </c>
      <c r="F5349" s="1">
        <v>7.3829244982478406E-2</v>
      </c>
    </row>
    <row r="5350" spans="1:6" x14ac:dyDescent="0.25">
      <c r="A5350" s="2" t="str">
        <f t="shared" si="193"/>
        <v>30460</v>
      </c>
      <c r="B5350" s="2" t="str">
        <f>"40339"</f>
        <v>40339</v>
      </c>
      <c r="C5350" s="1">
        <v>8.2046569632923604E-6</v>
      </c>
      <c r="D5350" s="1">
        <v>0</v>
      </c>
      <c r="E5350" s="1">
        <v>1.03369857349596E-4</v>
      </c>
      <c r="F5350" s="1">
        <v>1.0860436155115901E-5</v>
      </c>
    </row>
    <row r="5351" spans="1:6" x14ac:dyDescent="0.25">
      <c r="A5351" s="2" t="str">
        <f t="shared" si="193"/>
        <v>30460</v>
      </c>
      <c r="B5351" s="2" t="str">
        <f>"40324"</f>
        <v>40324</v>
      </c>
      <c r="C5351" s="1">
        <v>9.2150604683218104E-2</v>
      </c>
      <c r="D5351" s="1">
        <v>7.1817144862683105E-2</v>
      </c>
      <c r="E5351" s="1">
        <v>7.5356626007856101E-2</v>
      </c>
      <c r="F5351" s="1">
        <v>8.9884589765124895E-2</v>
      </c>
    </row>
    <row r="5352" spans="1:6" x14ac:dyDescent="0.25">
      <c r="A5352" s="2" t="str">
        <f t="shared" si="193"/>
        <v>30460</v>
      </c>
      <c r="B5352" s="2" t="str">
        <f>"40578"</f>
        <v>40578</v>
      </c>
      <c r="C5352" s="1">
        <v>1.6409313926584701E-4</v>
      </c>
      <c r="D5352" s="1">
        <v>1.53549179608668E-3</v>
      </c>
      <c r="E5352" s="1">
        <v>2.06739714699193E-4</v>
      </c>
      <c r="F5352" s="1">
        <v>2.7875119464797698E-4</v>
      </c>
    </row>
    <row r="5353" spans="1:6" x14ac:dyDescent="0.25">
      <c r="A5353" s="2" t="str">
        <f t="shared" si="193"/>
        <v>30460</v>
      </c>
      <c r="B5353" s="2" t="str">
        <f>"40523"</f>
        <v>40523</v>
      </c>
      <c r="C5353" s="1">
        <v>1.91988972941041E-3</v>
      </c>
      <c r="D5353" s="1">
        <v>1.10555409318241E-2</v>
      </c>
      <c r="E5353" s="1">
        <v>2.06739714699193E-4</v>
      </c>
      <c r="F5353" s="1">
        <v>2.61374496799791E-3</v>
      </c>
    </row>
    <row r="5354" spans="1:6" x14ac:dyDescent="0.25">
      <c r="A5354" s="2" t="str">
        <f t="shared" si="193"/>
        <v>30460</v>
      </c>
      <c r="B5354" s="2" t="str">
        <f>"40588"</f>
        <v>40588</v>
      </c>
      <c r="C5354" s="1">
        <v>4.8079289804893203E-3</v>
      </c>
      <c r="D5354" s="1">
        <v>2.3251732912169799E-2</v>
      </c>
      <c r="E5354" s="1">
        <v>2.06739714699193E-4</v>
      </c>
      <c r="F5354" s="1">
        <v>6.16872773610588E-3</v>
      </c>
    </row>
    <row r="5355" spans="1:6" x14ac:dyDescent="0.25">
      <c r="A5355" s="2" t="str">
        <f t="shared" si="193"/>
        <v>30460</v>
      </c>
      <c r="B5355" s="2" t="str">
        <f>"40583"</f>
        <v>40583</v>
      </c>
      <c r="C5355" s="1">
        <v>2.3752481908731302E-3</v>
      </c>
      <c r="D5355" s="1">
        <v>7.8090725629551602E-3</v>
      </c>
      <c r="E5355" s="1">
        <v>2.06739714699193E-4</v>
      </c>
      <c r="F5355" s="1">
        <v>2.7476903472443402E-3</v>
      </c>
    </row>
    <row r="5356" spans="1:6" x14ac:dyDescent="0.25">
      <c r="A5356" s="2" t="str">
        <f t="shared" si="193"/>
        <v>30460</v>
      </c>
      <c r="B5356" s="2" t="str">
        <f>"40517"</f>
        <v>40517</v>
      </c>
      <c r="C5356" s="1">
        <v>7.6057170049720194E-2</v>
      </c>
      <c r="D5356" s="1">
        <v>3.2903395630429003E-2</v>
      </c>
      <c r="E5356" s="1">
        <v>8.4143063882571797E-2</v>
      </c>
      <c r="F5356" s="1">
        <v>7.2779402820817199E-2</v>
      </c>
    </row>
    <row r="5357" spans="1:6" x14ac:dyDescent="0.25">
      <c r="A5357" s="2" t="str">
        <f t="shared" si="193"/>
        <v>30460</v>
      </c>
      <c r="B5357" s="2" t="str">
        <f>"40515"</f>
        <v>40515</v>
      </c>
      <c r="C5357" s="1">
        <v>6.5641358034820504E-2</v>
      </c>
      <c r="D5357" s="1">
        <v>9.5639203299113795E-3</v>
      </c>
      <c r="E5357" s="1">
        <v>2.3878437047756801E-2</v>
      </c>
      <c r="F5357" s="1">
        <v>5.9551391583885997E-2</v>
      </c>
    </row>
    <row r="5358" spans="1:6" x14ac:dyDescent="0.25">
      <c r="A5358" s="2" t="str">
        <f t="shared" si="193"/>
        <v>30460</v>
      </c>
      <c r="B5358" s="2" t="str">
        <f>"40348"</f>
        <v>40348</v>
      </c>
      <c r="C5358" s="1">
        <v>1.5055545527641399E-3</v>
      </c>
      <c r="D5358" s="1">
        <v>4.3871194173905403E-5</v>
      </c>
      <c r="E5358" s="1">
        <v>3.1010957204878999E-4</v>
      </c>
      <c r="F5358" s="1">
        <v>1.34307393784934E-3</v>
      </c>
    </row>
    <row r="5359" spans="1:6" x14ac:dyDescent="0.25">
      <c r="A5359" s="2" t="str">
        <f t="shared" si="193"/>
        <v>30460</v>
      </c>
      <c r="B5359" s="2" t="str">
        <f>"41031"</f>
        <v>41031</v>
      </c>
      <c r="C5359" s="1">
        <v>7.6713542606783602E-4</v>
      </c>
      <c r="D5359" s="1">
        <v>2.1935597086952699E-4</v>
      </c>
      <c r="E5359" s="1">
        <v>0</v>
      </c>
      <c r="F5359" s="1">
        <v>6.9506791392742295E-4</v>
      </c>
    </row>
    <row r="5360" spans="1:6" x14ac:dyDescent="0.25">
      <c r="A5360" s="2" t="str">
        <f t="shared" si="193"/>
        <v>30460</v>
      </c>
      <c r="B5360" s="2" t="str">
        <f>"40577"</f>
        <v>40577</v>
      </c>
      <c r="C5360" s="1">
        <v>1.43581496857616E-4</v>
      </c>
      <c r="D5360" s="1">
        <v>7.8968149513029698E-4</v>
      </c>
      <c r="E5360" s="1">
        <v>2.06739714699193E-4</v>
      </c>
      <c r="F5360" s="1">
        <v>1.9910799617712599E-4</v>
      </c>
    </row>
    <row r="5361" spans="1:6" x14ac:dyDescent="0.25">
      <c r="A5361" s="2" t="str">
        <f t="shared" si="193"/>
        <v>30460</v>
      </c>
      <c r="B5361" s="2" t="str">
        <f>"40526"</f>
        <v>40526</v>
      </c>
      <c r="C5361" s="1">
        <v>0</v>
      </c>
      <c r="D5361" s="1">
        <v>4.3871194173905403E-5</v>
      </c>
      <c r="E5361" s="1">
        <v>2.06739714699193E-4</v>
      </c>
      <c r="F5361" s="1">
        <v>1.0860436155115901E-5</v>
      </c>
    </row>
    <row r="5362" spans="1:6" x14ac:dyDescent="0.25">
      <c r="A5362" s="2" t="str">
        <f t="shared" si="193"/>
        <v>30460</v>
      </c>
      <c r="B5362" s="2" t="str">
        <f>"40504"</f>
        <v>40504</v>
      </c>
      <c r="C5362" s="1">
        <v>5.4823517828719498E-2</v>
      </c>
      <c r="D5362" s="1">
        <v>5.3171887338773302E-2</v>
      </c>
      <c r="E5362" s="1">
        <v>7.6803804010750404E-2</v>
      </c>
      <c r="F5362" s="1">
        <v>5.5457007153407199E-2</v>
      </c>
    </row>
    <row r="5363" spans="1:6" x14ac:dyDescent="0.25">
      <c r="A5363" s="2" t="str">
        <f t="shared" si="193"/>
        <v>30460</v>
      </c>
      <c r="B5363" s="2" t="str">
        <f>"40544"</f>
        <v>40544</v>
      </c>
      <c r="C5363" s="1">
        <v>2.5803646149554398E-3</v>
      </c>
      <c r="D5363" s="1">
        <v>5.6155128542598898E-3</v>
      </c>
      <c r="E5363" s="1">
        <v>2.06739714699193E-4</v>
      </c>
      <c r="F5363" s="1">
        <v>2.7476903472443402E-3</v>
      </c>
    </row>
    <row r="5364" spans="1:6" x14ac:dyDescent="0.25">
      <c r="A5364" s="2" t="str">
        <f t="shared" si="193"/>
        <v>30460</v>
      </c>
      <c r="B5364" s="2" t="str">
        <f>"40536"</f>
        <v>40536</v>
      </c>
      <c r="C5364" s="1">
        <v>0</v>
      </c>
      <c r="D5364" s="1">
        <v>4.3871194173905403E-5</v>
      </c>
      <c r="E5364" s="1">
        <v>0</v>
      </c>
      <c r="F5364" s="1">
        <v>3.6201453850386599E-6</v>
      </c>
    </row>
    <row r="5365" spans="1:6" x14ac:dyDescent="0.25">
      <c r="A5365" s="2" t="str">
        <f t="shared" si="193"/>
        <v>30460</v>
      </c>
      <c r="B5365" s="2" t="str">
        <f>"40582"</f>
        <v>40582</v>
      </c>
      <c r="C5365" s="1">
        <v>1.84604781674078E-4</v>
      </c>
      <c r="D5365" s="1">
        <v>1.1845222426954401E-3</v>
      </c>
      <c r="E5365" s="1">
        <v>2.06739714699193E-4</v>
      </c>
      <c r="F5365" s="1">
        <v>2.6789075849286098E-4</v>
      </c>
    </row>
    <row r="5366" spans="1:6" x14ac:dyDescent="0.25">
      <c r="A5366" s="2" t="str">
        <f t="shared" si="193"/>
        <v>30460</v>
      </c>
      <c r="B5366" s="2" t="str">
        <f>"40524"</f>
        <v>40524</v>
      </c>
      <c r="C5366" s="1">
        <v>2.6829228269966E-3</v>
      </c>
      <c r="D5366" s="1">
        <v>8.2916556988681198E-3</v>
      </c>
      <c r="E5366" s="1">
        <v>2.06739714699193E-4</v>
      </c>
      <c r="F5366" s="1">
        <v>3.0590228503576699E-3</v>
      </c>
    </row>
    <row r="5367" spans="1:6" x14ac:dyDescent="0.25">
      <c r="A5367" s="2" t="str">
        <f t="shared" si="193"/>
        <v>30460</v>
      </c>
      <c r="B5367" s="2" t="str">
        <f>"40513"</f>
        <v>40513</v>
      </c>
      <c r="C5367" s="1">
        <v>1.9235818250438901E-2</v>
      </c>
      <c r="D5367" s="1">
        <v>1.92155830481705E-2</v>
      </c>
      <c r="E5367" s="1">
        <v>9.6133967335125005E-3</v>
      </c>
      <c r="F5367" s="1">
        <v>1.88971589099018E-2</v>
      </c>
    </row>
    <row r="5368" spans="1:6" x14ac:dyDescent="0.25">
      <c r="A5368" s="2" t="str">
        <f t="shared" si="193"/>
        <v>30460</v>
      </c>
      <c r="B5368" s="2" t="str">
        <f>"40503"</f>
        <v>40503</v>
      </c>
      <c r="C5368" s="1">
        <v>5.5381434502223402E-2</v>
      </c>
      <c r="D5368" s="1">
        <v>9.4937264192331297E-2</v>
      </c>
      <c r="E5368" s="1">
        <v>6.3158982840603603E-2</v>
      </c>
      <c r="F5368" s="1">
        <v>5.8917866141504197E-2</v>
      </c>
    </row>
    <row r="5369" spans="1:6" x14ac:dyDescent="0.25">
      <c r="A5369" s="2" t="str">
        <f t="shared" si="193"/>
        <v>30460</v>
      </c>
      <c r="B5369" s="2" t="str">
        <f>"40357"</f>
        <v>40357</v>
      </c>
      <c r="C5369" s="1">
        <v>0</v>
      </c>
      <c r="D5369" s="1">
        <v>2.0619461261735502E-3</v>
      </c>
      <c r="E5369" s="1">
        <v>1.03369857349596E-4</v>
      </c>
      <c r="F5369" s="1">
        <v>1.7376697848185501E-4</v>
      </c>
    </row>
    <row r="5370" spans="1:6" x14ac:dyDescent="0.25">
      <c r="A5370" s="2" t="str">
        <f t="shared" si="193"/>
        <v>30460</v>
      </c>
      <c r="B5370" s="2" t="str">
        <f>"40311"</f>
        <v>40311</v>
      </c>
      <c r="C5370" s="1">
        <v>9.8045650711343696E-4</v>
      </c>
      <c r="D5370" s="1">
        <v>1.7548477669562099E-4</v>
      </c>
      <c r="E5370" s="1">
        <v>1.03369857349596E-4</v>
      </c>
      <c r="F5370" s="1">
        <v>8.8331547394943305E-4</v>
      </c>
    </row>
    <row r="5371" spans="1:6" x14ac:dyDescent="0.25">
      <c r="A5371" s="2" t="str">
        <f t="shared" si="193"/>
        <v>30460</v>
      </c>
      <c r="B5371" s="2" t="str">
        <f>"40575"</f>
        <v>40575</v>
      </c>
      <c r="C5371" s="1">
        <v>3.6100490638486397E-4</v>
      </c>
      <c r="D5371" s="1">
        <v>1.4038782135649701E-3</v>
      </c>
      <c r="E5371" s="1">
        <v>2.06739714699193E-4</v>
      </c>
      <c r="F5371" s="1">
        <v>4.4165773697471598E-4</v>
      </c>
    </row>
    <row r="5372" spans="1:6" x14ac:dyDescent="0.25">
      <c r="A5372" s="2" t="str">
        <f t="shared" si="193"/>
        <v>30460</v>
      </c>
      <c r="B5372" s="2" t="str">
        <f>"40512"</f>
        <v>40512</v>
      </c>
      <c r="C5372" s="1">
        <v>2.9946997916017098E-4</v>
      </c>
      <c r="D5372" s="1">
        <v>1.1845222426954401E-3</v>
      </c>
      <c r="E5372" s="1">
        <v>2.06739714699193E-4</v>
      </c>
      <c r="F5372" s="1">
        <v>3.6925482927394298E-4</v>
      </c>
    </row>
    <row r="5373" spans="1:6" x14ac:dyDescent="0.25">
      <c r="A5373" s="2" t="str">
        <f t="shared" si="193"/>
        <v>30460</v>
      </c>
      <c r="B5373" s="2" t="str">
        <f>"40516"</f>
        <v>40516</v>
      </c>
      <c r="C5373" s="1">
        <v>5.0007384191266902E-3</v>
      </c>
      <c r="D5373" s="1">
        <v>2.2374309028691699E-3</v>
      </c>
      <c r="E5373" s="1">
        <v>1.6539177175935399E-3</v>
      </c>
      <c r="F5373" s="1">
        <v>4.6555069651597197E-3</v>
      </c>
    </row>
    <row r="5374" spans="1:6" x14ac:dyDescent="0.25">
      <c r="A5374" s="2" t="str">
        <f t="shared" si="193"/>
        <v>30460</v>
      </c>
      <c r="B5374" s="2" t="str">
        <f>"40505"</f>
        <v>40505</v>
      </c>
      <c r="C5374" s="1">
        <v>5.0364286769170097E-2</v>
      </c>
      <c r="D5374" s="1">
        <v>6.8088093357901197E-2</v>
      </c>
      <c r="E5374" s="1">
        <v>6.4916270415546803E-2</v>
      </c>
      <c r="F5374" s="1">
        <v>5.2336441831503898E-2</v>
      </c>
    </row>
    <row r="5375" spans="1:6" x14ac:dyDescent="0.25">
      <c r="A5375" s="2" t="str">
        <f t="shared" si="193"/>
        <v>30460</v>
      </c>
      <c r="B5375" s="2" t="str">
        <f>"40508"</f>
        <v>40508</v>
      </c>
      <c r="C5375" s="1">
        <v>4.8489522653057802E-2</v>
      </c>
      <c r="D5375" s="1">
        <v>4.71615337369483E-2</v>
      </c>
      <c r="E5375" s="1">
        <v>0.13892908827785799</v>
      </c>
      <c r="F5375" s="1">
        <v>5.1547250137565503E-2</v>
      </c>
    </row>
    <row r="5376" spans="1:6" x14ac:dyDescent="0.25">
      <c r="A5376" s="2" t="str">
        <f t="shared" si="193"/>
        <v>30460</v>
      </c>
      <c r="B5376" s="2" t="str">
        <f>"40392"</f>
        <v>40392</v>
      </c>
      <c r="C5376" s="1">
        <v>4.8366452798608399E-3</v>
      </c>
      <c r="D5376" s="1">
        <v>1.4696850048258299E-2</v>
      </c>
      <c r="E5376" s="1">
        <v>2.06739714699193E-4</v>
      </c>
      <c r="F5376" s="1">
        <v>5.4881404037186096E-3</v>
      </c>
    </row>
    <row r="5377" spans="1:6" x14ac:dyDescent="0.25">
      <c r="A5377" s="2" t="str">
        <f t="shared" si="193"/>
        <v>30460</v>
      </c>
      <c r="B5377" s="2" t="str">
        <f>"40370"</f>
        <v>40370</v>
      </c>
      <c r="C5377" s="1">
        <v>4.12284012405441E-3</v>
      </c>
      <c r="D5377" s="1">
        <v>3.5096955339124301E-4</v>
      </c>
      <c r="E5377" s="1">
        <v>4.1347942939838698E-4</v>
      </c>
      <c r="F5377" s="1">
        <v>3.6816878565843199E-3</v>
      </c>
    </row>
    <row r="5378" spans="1:6" x14ac:dyDescent="0.25">
      <c r="A5378" s="2" t="str">
        <f t="shared" ref="A5378:A5402" si="194">"30460"</f>
        <v>30460</v>
      </c>
      <c r="B5378" s="2" t="str">
        <f>"40383"</f>
        <v>40383</v>
      </c>
      <c r="C5378" s="1">
        <v>4.9736630511478301E-2</v>
      </c>
      <c r="D5378" s="1">
        <v>4.3476353426340202E-2</v>
      </c>
      <c r="E5378" s="1">
        <v>4.4759148232375402E-2</v>
      </c>
      <c r="F5378" s="1">
        <v>4.9045729676503801E-2</v>
      </c>
    </row>
    <row r="5379" spans="1:6" x14ac:dyDescent="0.25">
      <c r="A5379" s="2" t="str">
        <f t="shared" si="194"/>
        <v>30460</v>
      </c>
      <c r="B5379" s="2" t="str">
        <f>"40580"</f>
        <v>40580</v>
      </c>
      <c r="C5379" s="1">
        <v>1.18967525967739E-4</v>
      </c>
      <c r="D5379" s="1">
        <v>1.2283934368693501E-3</v>
      </c>
      <c r="E5379" s="1">
        <v>2.06739714699193E-4</v>
      </c>
      <c r="F5379" s="1">
        <v>2.1358857771728101E-4</v>
      </c>
    </row>
    <row r="5380" spans="1:6" x14ac:dyDescent="0.25">
      <c r="A5380" s="2" t="str">
        <f t="shared" si="194"/>
        <v>30460</v>
      </c>
      <c r="B5380" s="2" t="str">
        <f>"40579"</f>
        <v>40579</v>
      </c>
      <c r="C5380" s="1">
        <v>2.09218752563955E-4</v>
      </c>
      <c r="D5380" s="1">
        <v>1.1845222426954401E-3</v>
      </c>
      <c r="E5380" s="1">
        <v>2.06739714699193E-4</v>
      </c>
      <c r="F5380" s="1">
        <v>2.8961163080309298E-4</v>
      </c>
    </row>
    <row r="5381" spans="1:6" x14ac:dyDescent="0.25">
      <c r="A5381" s="2" t="str">
        <f t="shared" si="194"/>
        <v>30460</v>
      </c>
      <c r="B5381" s="2" t="str">
        <f>"40522"</f>
        <v>40522</v>
      </c>
      <c r="C5381" s="1">
        <v>2.19064340919906E-3</v>
      </c>
      <c r="D5381" s="1">
        <v>1.33368430288672E-2</v>
      </c>
      <c r="E5381" s="1">
        <v>2.06739714699193E-4</v>
      </c>
      <c r="F5381" s="1">
        <v>3.0409221234324701E-3</v>
      </c>
    </row>
    <row r="5382" spans="1:6" x14ac:dyDescent="0.25">
      <c r="A5382" s="2" t="str">
        <f t="shared" si="194"/>
        <v>30460</v>
      </c>
      <c r="B5382" s="2" t="str">
        <f>"40509"</f>
        <v>40509</v>
      </c>
      <c r="C5382" s="1">
        <v>8.3568533499614295E-2</v>
      </c>
      <c r="D5382" s="1">
        <v>8.3881723260507093E-2</v>
      </c>
      <c r="E5382" s="1">
        <v>6.8327475708083493E-2</v>
      </c>
      <c r="F5382" s="1">
        <v>8.3060615714327005E-2</v>
      </c>
    </row>
    <row r="5383" spans="1:6" x14ac:dyDescent="0.25">
      <c r="A5383" s="2" t="str">
        <f t="shared" si="194"/>
        <v>30460</v>
      </c>
      <c r="B5383" s="2" t="str">
        <f>"40506"</f>
        <v>40506</v>
      </c>
      <c r="C5383" s="1">
        <v>0</v>
      </c>
      <c r="D5383" s="1">
        <v>1.7548477669562099E-4</v>
      </c>
      <c r="E5383" s="1">
        <v>1.03369857349596E-4</v>
      </c>
      <c r="F5383" s="1">
        <v>1.8100726925193301E-5</v>
      </c>
    </row>
    <row r="5384" spans="1:6" x14ac:dyDescent="0.25">
      <c r="A5384" s="2" t="str">
        <f t="shared" si="194"/>
        <v>30460</v>
      </c>
      <c r="B5384" s="2" t="str">
        <f>"40507"</f>
        <v>40507</v>
      </c>
      <c r="C5384" s="1">
        <v>6.6991024105282097E-3</v>
      </c>
      <c r="D5384" s="1">
        <v>4.76441168728612E-2</v>
      </c>
      <c r="E5384" s="1">
        <v>4.1761422369237099E-2</v>
      </c>
      <c r="F5384" s="1">
        <v>1.1305714037475699E-2</v>
      </c>
    </row>
    <row r="5385" spans="1:6" x14ac:dyDescent="0.25">
      <c r="A5385" s="2" t="str">
        <f t="shared" si="194"/>
        <v>30460</v>
      </c>
      <c r="B5385" s="2" t="str">
        <f>"40353"</f>
        <v>40353</v>
      </c>
      <c r="C5385" s="1">
        <v>5.3330270261400304E-4</v>
      </c>
      <c r="D5385" s="1">
        <v>4.3871194173905403E-5</v>
      </c>
      <c r="E5385" s="1">
        <v>1.03369857349596E-4</v>
      </c>
      <c r="F5385" s="1">
        <v>4.7785919082510303E-4</v>
      </c>
    </row>
    <row r="5386" spans="1:6" x14ac:dyDescent="0.25">
      <c r="A5386" s="2" t="str">
        <f t="shared" si="194"/>
        <v>30460</v>
      </c>
      <c r="B5386" s="2" t="str">
        <f>"40574"</f>
        <v>40574</v>
      </c>
      <c r="C5386" s="1">
        <v>3.0767463612346301E-4</v>
      </c>
      <c r="D5386" s="1">
        <v>1.0529086601737199E-3</v>
      </c>
      <c r="E5386" s="1">
        <v>2.06739714699193E-4</v>
      </c>
      <c r="F5386" s="1">
        <v>3.6563468388890399E-4</v>
      </c>
    </row>
    <row r="5387" spans="1:6" x14ac:dyDescent="0.25">
      <c r="A5387" s="2" t="str">
        <f t="shared" si="194"/>
        <v>30460</v>
      </c>
      <c r="B5387" s="2" t="str">
        <f>"40533"</f>
        <v>40533</v>
      </c>
      <c r="C5387" s="1">
        <v>2.4613970889877002E-3</v>
      </c>
      <c r="D5387" s="1">
        <v>7.4581030095639197E-3</v>
      </c>
      <c r="E5387" s="1">
        <v>2.06739714699193E-4</v>
      </c>
      <c r="F5387" s="1">
        <v>2.7947522372498402E-3</v>
      </c>
    </row>
    <row r="5388" spans="1:6" x14ac:dyDescent="0.25">
      <c r="A5388" s="2" t="str">
        <f t="shared" si="194"/>
        <v>30460</v>
      </c>
      <c r="B5388" s="2" t="str">
        <f>"40514"</f>
        <v>40514</v>
      </c>
      <c r="C5388" s="1">
        <v>2.7337917001690099E-2</v>
      </c>
      <c r="D5388" s="1">
        <v>3.86066508730367E-3</v>
      </c>
      <c r="E5388" s="1">
        <v>4.7550134380814502E-3</v>
      </c>
      <c r="F5388" s="1">
        <v>2.4609748327492801E-2</v>
      </c>
    </row>
    <row r="5389" spans="1:6" x14ac:dyDescent="0.25">
      <c r="A5389" s="2" t="str">
        <f t="shared" si="194"/>
        <v>30460</v>
      </c>
      <c r="B5389" s="2" t="str">
        <f>"40502"</f>
        <v>40502</v>
      </c>
      <c r="C5389" s="1">
        <v>5.7633612838647201E-2</v>
      </c>
      <c r="D5389" s="1">
        <v>3.2113714135298697E-2</v>
      </c>
      <c r="E5389" s="1">
        <v>0.10461029563779201</v>
      </c>
      <c r="F5389" s="1">
        <v>5.7172956065915603E-2</v>
      </c>
    </row>
    <row r="5390" spans="1:6" x14ac:dyDescent="0.25">
      <c r="A5390" s="2" t="str">
        <f t="shared" si="194"/>
        <v>30460</v>
      </c>
      <c r="B5390" s="2" t="str">
        <f>"40390"</f>
        <v>40390</v>
      </c>
      <c r="C5390" s="1">
        <v>1.13224266093434E-2</v>
      </c>
      <c r="D5390" s="1">
        <v>4.7380889707817802E-3</v>
      </c>
      <c r="E5390" s="1">
        <v>9.8201364482117005E-3</v>
      </c>
      <c r="F5390" s="1">
        <v>1.0726490775869501E-2</v>
      </c>
    </row>
    <row r="5391" spans="1:6" x14ac:dyDescent="0.25">
      <c r="A5391" s="2" t="str">
        <f t="shared" si="194"/>
        <v>30460</v>
      </c>
      <c r="B5391" s="2" t="str">
        <f>"40361"</f>
        <v>40361</v>
      </c>
      <c r="C5391" s="1">
        <v>3.4972350306033698E-2</v>
      </c>
      <c r="D5391" s="1">
        <v>2.9305957708168798E-2</v>
      </c>
      <c r="E5391" s="1">
        <v>2.2017779615464101E-2</v>
      </c>
      <c r="F5391" s="1">
        <v>3.4051087491673598E-2</v>
      </c>
    </row>
    <row r="5392" spans="1:6" x14ac:dyDescent="0.25">
      <c r="A5392" s="2" t="str">
        <f t="shared" si="194"/>
        <v>30460</v>
      </c>
      <c r="B5392" s="2" t="str">
        <f>"40312"</f>
        <v>40312</v>
      </c>
      <c r="C5392" s="1">
        <v>4.1023284816461802E-6</v>
      </c>
      <c r="D5392" s="1">
        <v>0</v>
      </c>
      <c r="E5392" s="1">
        <v>0</v>
      </c>
      <c r="F5392" s="1">
        <v>3.6201453850386599E-6</v>
      </c>
    </row>
    <row r="5393" spans="1:6" x14ac:dyDescent="0.25">
      <c r="A5393" s="2" t="str">
        <f t="shared" si="194"/>
        <v>30460</v>
      </c>
      <c r="B5393" s="2" t="str">
        <f>"40347"</f>
        <v>40347</v>
      </c>
      <c r="C5393" s="1">
        <v>4.9597151343102304E-3</v>
      </c>
      <c r="D5393" s="1">
        <v>3.46582433973852E-3</v>
      </c>
      <c r="E5393" s="1">
        <v>1.34380814554475E-3</v>
      </c>
      <c r="F5393" s="1">
        <v>4.7098091459353E-3</v>
      </c>
    </row>
    <row r="5394" spans="1:6" x14ac:dyDescent="0.25">
      <c r="A5394" s="2" t="str">
        <f t="shared" si="194"/>
        <v>30460</v>
      </c>
      <c r="B5394" s="2" t="str">
        <f>"40581"</f>
        <v>40581</v>
      </c>
      <c r="C5394" s="1">
        <v>2.17423409527247E-4</v>
      </c>
      <c r="D5394" s="1">
        <v>1.09677985434763E-3</v>
      </c>
      <c r="E5394" s="1">
        <v>2.06739714699193E-4</v>
      </c>
      <c r="F5394" s="1">
        <v>2.8961163080309298E-4</v>
      </c>
    </row>
    <row r="5395" spans="1:6" x14ac:dyDescent="0.25">
      <c r="A5395" s="2" t="str">
        <f t="shared" si="194"/>
        <v>30460</v>
      </c>
      <c r="B5395" s="2" t="str">
        <f>"40591"</f>
        <v>40591</v>
      </c>
      <c r="C5395" s="1">
        <v>2.1988480661623501E-3</v>
      </c>
      <c r="D5395" s="1">
        <v>1.49162060191278E-2</v>
      </c>
      <c r="E5395" s="1">
        <v>2.06739714699193E-4</v>
      </c>
      <c r="F5395" s="1">
        <v>3.17848764806394E-3</v>
      </c>
    </row>
    <row r="5396" spans="1:6" x14ac:dyDescent="0.25">
      <c r="A5396" s="2" t="str">
        <f t="shared" si="194"/>
        <v>30460</v>
      </c>
      <c r="B5396" s="2" t="str">
        <f>"40555"</f>
        <v>40555</v>
      </c>
      <c r="C5396" s="1">
        <v>3.0070067770466501E-3</v>
      </c>
      <c r="D5396" s="1">
        <v>1.6714924980257902E-2</v>
      </c>
      <c r="E5396" s="1">
        <v>2.06739714699193E-4</v>
      </c>
      <c r="F5396" s="1">
        <v>4.0400822497031396E-3</v>
      </c>
    </row>
    <row r="5397" spans="1:6" x14ac:dyDescent="0.25">
      <c r="A5397" s="2" t="str">
        <f t="shared" si="194"/>
        <v>30460</v>
      </c>
      <c r="B5397" s="2" t="str">
        <f>"40511"</f>
        <v>40511</v>
      </c>
      <c r="C5397" s="1">
        <v>6.2273346351389001E-2</v>
      </c>
      <c r="D5397" s="1">
        <v>5.9226112134772302E-2</v>
      </c>
      <c r="E5397" s="1">
        <v>5.4062435393839099E-2</v>
      </c>
      <c r="F5397" s="1">
        <v>6.17343392510643E-2</v>
      </c>
    </row>
    <row r="5398" spans="1:6" x14ac:dyDescent="0.25">
      <c r="A5398" s="2" t="str">
        <f t="shared" si="194"/>
        <v>30460</v>
      </c>
      <c r="B5398" s="2" t="str">
        <f>"40510"</f>
        <v>40510</v>
      </c>
      <c r="C5398" s="1">
        <v>1.52606619517237E-3</v>
      </c>
      <c r="D5398" s="1">
        <v>9.4323067473896603E-3</v>
      </c>
      <c r="E5398" s="1">
        <v>2.9977258631383001E-3</v>
      </c>
      <c r="F5398" s="1">
        <v>2.2300095571838102E-3</v>
      </c>
    </row>
    <row r="5399" spans="1:6" x14ac:dyDescent="0.25">
      <c r="A5399" s="2" t="str">
        <f t="shared" si="194"/>
        <v>30460</v>
      </c>
      <c r="B5399" s="2" t="str">
        <f>"40391"</f>
        <v>40391</v>
      </c>
      <c r="C5399" s="1">
        <v>6.7311005726850504E-2</v>
      </c>
      <c r="D5399" s="1">
        <v>5.4926735105729499E-2</v>
      </c>
      <c r="E5399" s="1">
        <v>4.8790572669009699E-2</v>
      </c>
      <c r="F5399" s="1">
        <v>6.5640476121521005E-2</v>
      </c>
    </row>
    <row r="5400" spans="1:6" x14ac:dyDescent="0.25">
      <c r="A5400" s="2" t="str">
        <f t="shared" si="194"/>
        <v>30460</v>
      </c>
      <c r="B5400" s="2" t="str">
        <f>"40374"</f>
        <v>40374</v>
      </c>
      <c r="C5400" s="1">
        <v>8.2046569632923601E-5</v>
      </c>
      <c r="D5400" s="1">
        <v>4.3871194173905403E-5</v>
      </c>
      <c r="E5400" s="1">
        <v>0</v>
      </c>
      <c r="F5400" s="1">
        <v>7.6023053085811897E-5</v>
      </c>
    </row>
    <row r="5401" spans="1:6" x14ac:dyDescent="0.25">
      <c r="A5401" s="2" t="str">
        <f t="shared" si="194"/>
        <v>30460</v>
      </c>
      <c r="B5401" s="2" t="str">
        <f>"40379"</f>
        <v>40379</v>
      </c>
      <c r="C5401" s="1">
        <v>6.4406557161844997E-3</v>
      </c>
      <c r="D5401" s="1">
        <v>1.36000701939106E-3</v>
      </c>
      <c r="E5401" s="1">
        <v>1.24043828819516E-3</v>
      </c>
      <c r="F5401" s="1">
        <v>5.83929450606736E-3</v>
      </c>
    </row>
    <row r="5402" spans="1:6" x14ac:dyDescent="0.25">
      <c r="A5402" s="2" t="str">
        <f t="shared" si="194"/>
        <v>30460</v>
      </c>
      <c r="B5402" s="2" t="str">
        <f>"40340"</f>
        <v>40340</v>
      </c>
      <c r="C5402" s="1">
        <v>3.8438817873024701E-3</v>
      </c>
      <c r="D5402" s="1">
        <v>1.0178117048345999E-2</v>
      </c>
      <c r="E5402" s="1">
        <v>2.06739714699193E-4</v>
      </c>
      <c r="F5402" s="1">
        <v>4.2391902458802696E-3</v>
      </c>
    </row>
    <row r="5403" spans="1:6" x14ac:dyDescent="0.25">
      <c r="A5403" s="2" t="str">
        <f t="shared" ref="A5403:A5425" si="195">"49780"</f>
        <v>49780</v>
      </c>
      <c r="B5403" s="2" t="str">
        <f>"43756"</f>
        <v>43756</v>
      </c>
      <c r="C5403" s="1">
        <v>8.3158049209998495E-4</v>
      </c>
      <c r="D5403" s="1">
        <v>0</v>
      </c>
      <c r="E5403" s="1">
        <v>0</v>
      </c>
      <c r="F5403" s="1">
        <v>7.5124839807326797E-4</v>
      </c>
    </row>
    <row r="5404" spans="1:6" x14ac:dyDescent="0.25">
      <c r="A5404" s="2" t="str">
        <f t="shared" si="195"/>
        <v>49780</v>
      </c>
      <c r="B5404" s="2" t="str">
        <f>"43767"</f>
        <v>43767</v>
      </c>
      <c r="C5404" s="1">
        <v>1.58244875996673E-2</v>
      </c>
      <c r="D5404" s="1">
        <v>1.31538696849189E-2</v>
      </c>
      <c r="E5404" s="1">
        <v>1.81323662737987E-3</v>
      </c>
      <c r="F5404" s="1">
        <v>1.5290114454902999E-2</v>
      </c>
    </row>
    <row r="5405" spans="1:6" x14ac:dyDescent="0.25">
      <c r="A5405" s="2" t="str">
        <f t="shared" si="195"/>
        <v>49780</v>
      </c>
      <c r="B5405" s="2" t="str">
        <f>"43762"</f>
        <v>43762</v>
      </c>
      <c r="C5405" s="1">
        <v>4.0674069363596299E-2</v>
      </c>
      <c r="D5405" s="1">
        <v>3.30376261853777E-2</v>
      </c>
      <c r="E5405" s="1">
        <v>5.3490480507706203E-2</v>
      </c>
      <c r="F5405" s="1">
        <v>4.04348402492377E-2</v>
      </c>
    </row>
    <row r="5406" spans="1:6" x14ac:dyDescent="0.25">
      <c r="A5406" s="2" t="str">
        <f t="shared" si="195"/>
        <v>49780</v>
      </c>
      <c r="B5406" s="2" t="str">
        <f>"43791"</f>
        <v>43791</v>
      </c>
      <c r="C5406" s="1">
        <v>1.8099104828058501E-3</v>
      </c>
      <c r="D5406" s="1">
        <v>3.05903946160905E-4</v>
      </c>
      <c r="E5406" s="1">
        <v>0</v>
      </c>
      <c r="F5406" s="1">
        <v>1.6571655839851501E-3</v>
      </c>
    </row>
    <row r="5407" spans="1:6" x14ac:dyDescent="0.25">
      <c r="A5407" s="2" t="str">
        <f t="shared" si="195"/>
        <v>49780</v>
      </c>
      <c r="B5407" s="2" t="str">
        <f>"43734"</f>
        <v>43734</v>
      </c>
      <c r="C5407" s="1">
        <v>9.1718436628674804E-3</v>
      </c>
      <c r="D5407" s="1">
        <v>4.28265524625267E-3</v>
      </c>
      <c r="E5407" s="1">
        <v>3.6264732547597401E-3</v>
      </c>
      <c r="F5407" s="1">
        <v>8.6835476600821901E-3</v>
      </c>
    </row>
    <row r="5408" spans="1:6" x14ac:dyDescent="0.25">
      <c r="A5408" s="2" t="str">
        <f t="shared" si="195"/>
        <v>49780</v>
      </c>
      <c r="B5408" s="2" t="str">
        <f>"43771"</f>
        <v>43771</v>
      </c>
      <c r="C5408" s="1">
        <v>1.80501883285232E-2</v>
      </c>
      <c r="D5408" s="1">
        <v>1.22361578464362E-3</v>
      </c>
      <c r="E5408" s="1">
        <v>0</v>
      </c>
      <c r="F5408" s="1">
        <v>1.63948915108931E-2</v>
      </c>
    </row>
    <row r="5409" spans="1:6" x14ac:dyDescent="0.25">
      <c r="A5409" s="2" t="str">
        <f t="shared" si="195"/>
        <v>49780</v>
      </c>
      <c r="B5409" s="2" t="str">
        <f>"43746"</f>
        <v>43746</v>
      </c>
      <c r="C5409" s="1">
        <v>1.2595998630337999E-2</v>
      </c>
      <c r="D5409" s="1">
        <v>3.05903946160905E-3</v>
      </c>
      <c r="E5409" s="1">
        <v>5.4397098821396097E-3</v>
      </c>
      <c r="F5409" s="1">
        <v>1.17327323346148E-2</v>
      </c>
    </row>
    <row r="5410" spans="1:6" x14ac:dyDescent="0.25">
      <c r="A5410" s="2" t="str">
        <f t="shared" si="195"/>
        <v>49780</v>
      </c>
      <c r="B5410" s="2" t="str">
        <f>"43056"</f>
        <v>43056</v>
      </c>
      <c r="C5410" s="1">
        <v>9.2941349117057104E-4</v>
      </c>
      <c r="D5410" s="1">
        <v>0</v>
      </c>
      <c r="E5410" s="1">
        <v>9.0661831368993599E-4</v>
      </c>
      <c r="F5410" s="1">
        <v>8.6172610367227795E-4</v>
      </c>
    </row>
    <row r="5411" spans="1:6" x14ac:dyDescent="0.25">
      <c r="A5411" s="2" t="str">
        <f t="shared" si="195"/>
        <v>49780</v>
      </c>
      <c r="B5411" s="2" t="str">
        <f>"43760"</f>
        <v>43760</v>
      </c>
      <c r="C5411" s="1">
        <v>6.9950594335469298E-3</v>
      </c>
      <c r="D5411" s="1">
        <v>1.83542367696543E-3</v>
      </c>
      <c r="E5411" s="1">
        <v>0</v>
      </c>
      <c r="F5411" s="1">
        <v>6.4518980069821902E-3</v>
      </c>
    </row>
    <row r="5412" spans="1:6" x14ac:dyDescent="0.25">
      <c r="A5412" s="2" t="str">
        <f t="shared" si="195"/>
        <v>49780</v>
      </c>
      <c r="B5412" s="2" t="str">
        <f>"43821"</f>
        <v>43821</v>
      </c>
      <c r="C5412" s="1">
        <v>4.04784033654551E-2</v>
      </c>
      <c r="D5412" s="1">
        <v>2.29427959620679E-2</v>
      </c>
      <c r="E5412" s="1">
        <v>4.4424297370806803E-2</v>
      </c>
      <c r="F5412" s="1">
        <v>3.9307967652127802E-2</v>
      </c>
    </row>
    <row r="5413" spans="1:6" x14ac:dyDescent="0.25">
      <c r="A5413" s="2" t="str">
        <f t="shared" si="195"/>
        <v>49780</v>
      </c>
      <c r="B5413" s="2" t="str">
        <f>"43738"</f>
        <v>43738</v>
      </c>
      <c r="C5413" s="1">
        <v>0</v>
      </c>
      <c r="D5413" s="1">
        <v>3.05903946160905E-4</v>
      </c>
      <c r="E5413" s="1">
        <v>0</v>
      </c>
      <c r="F5413" s="1">
        <v>2.2095541119802E-5</v>
      </c>
    </row>
    <row r="5414" spans="1:6" x14ac:dyDescent="0.25">
      <c r="A5414" s="2" t="str">
        <f t="shared" si="195"/>
        <v>49780</v>
      </c>
      <c r="B5414" s="2" t="str">
        <f>"43727"</f>
        <v>43727</v>
      </c>
      <c r="C5414" s="1">
        <v>1.72919825857261E-2</v>
      </c>
      <c r="D5414" s="1">
        <v>3.9767513000917697E-3</v>
      </c>
      <c r="E5414" s="1">
        <v>0</v>
      </c>
      <c r="F5414" s="1">
        <v>1.5908789606257401E-2</v>
      </c>
    </row>
    <row r="5415" spans="1:6" x14ac:dyDescent="0.25">
      <c r="A5415" s="2" t="str">
        <f t="shared" si="195"/>
        <v>49780</v>
      </c>
      <c r="B5415" s="2" t="str">
        <f>"43822"</f>
        <v>43822</v>
      </c>
      <c r="C5415" s="1">
        <v>3.37523846793523E-2</v>
      </c>
      <c r="D5415" s="1">
        <v>1.22361578464362E-2</v>
      </c>
      <c r="E5415" s="1">
        <v>2.5385312783318199E-2</v>
      </c>
      <c r="F5415" s="1">
        <v>3.1994343541473298E-2</v>
      </c>
    </row>
    <row r="5416" spans="1:6" x14ac:dyDescent="0.25">
      <c r="A5416" s="2" t="str">
        <f t="shared" si="195"/>
        <v>49780</v>
      </c>
      <c r="B5416" s="2" t="str">
        <f>"43732"</f>
        <v>43732</v>
      </c>
      <c r="C5416" s="1">
        <v>1.0027882404735099E-3</v>
      </c>
      <c r="D5416" s="1">
        <v>6.1180789232180999E-4</v>
      </c>
      <c r="E5416" s="1">
        <v>0</v>
      </c>
      <c r="F5416" s="1">
        <v>9.5010826815148698E-4</v>
      </c>
    </row>
    <row r="5417" spans="1:6" x14ac:dyDescent="0.25">
      <c r="A5417" s="2" t="str">
        <f t="shared" si="195"/>
        <v>49780</v>
      </c>
      <c r="B5417" s="2" t="str">
        <f>"43777"</f>
        <v>43777</v>
      </c>
      <c r="C5417" s="1">
        <v>2.9887981216064102E-2</v>
      </c>
      <c r="D5417" s="1">
        <v>1.56011012542061E-2</v>
      </c>
      <c r="E5417" s="1">
        <v>9.0661831368993601E-3</v>
      </c>
      <c r="F5417" s="1">
        <v>2.8348579256705898E-2</v>
      </c>
    </row>
    <row r="5418" spans="1:6" x14ac:dyDescent="0.25">
      <c r="A5418" s="2" t="str">
        <f t="shared" si="195"/>
        <v>49780</v>
      </c>
      <c r="B5418" s="2" t="str">
        <f>"43811"</f>
        <v>43811</v>
      </c>
      <c r="C5418" s="1">
        <v>2.44582497676466E-5</v>
      </c>
      <c r="D5418" s="1">
        <v>0</v>
      </c>
      <c r="E5418" s="1">
        <v>0</v>
      </c>
      <c r="F5418" s="1">
        <v>2.2095541119802E-5</v>
      </c>
    </row>
    <row r="5419" spans="1:6" x14ac:dyDescent="0.25">
      <c r="A5419" s="2" t="str">
        <f t="shared" si="195"/>
        <v>49780</v>
      </c>
      <c r="B5419" s="2" t="str">
        <f>"43735"</f>
        <v>43735</v>
      </c>
      <c r="C5419" s="1">
        <v>0</v>
      </c>
      <c r="D5419" s="1">
        <v>3.05903946160905E-4</v>
      </c>
      <c r="E5419" s="1">
        <v>0</v>
      </c>
      <c r="F5419" s="1">
        <v>2.2095541119802E-5</v>
      </c>
    </row>
    <row r="5420" spans="1:6" x14ac:dyDescent="0.25">
      <c r="A5420" s="2" t="str">
        <f t="shared" si="195"/>
        <v>49780</v>
      </c>
      <c r="B5420" s="2" t="str">
        <f>"43802"</f>
        <v>43802</v>
      </c>
      <c r="C5420" s="1">
        <v>1.14464608912586E-2</v>
      </c>
      <c r="D5420" s="1">
        <v>1.52951973080452E-3</v>
      </c>
      <c r="E5420" s="1">
        <v>0</v>
      </c>
      <c r="F5420" s="1">
        <v>1.04511909496663E-2</v>
      </c>
    </row>
    <row r="5421" spans="1:6" x14ac:dyDescent="0.25">
      <c r="A5421" s="2" t="str">
        <f t="shared" si="195"/>
        <v>49780</v>
      </c>
      <c r="B5421" s="2" t="str">
        <f>"43702"</f>
        <v>43702</v>
      </c>
      <c r="C5421" s="1">
        <v>3.5488920412855202E-2</v>
      </c>
      <c r="D5421" s="1">
        <v>0.131232792903028</v>
      </c>
      <c r="E5421" s="1">
        <v>9.0661831368993599E-4</v>
      </c>
      <c r="F5421" s="1">
        <v>4.1561712846347597E-2</v>
      </c>
    </row>
    <row r="5422" spans="1:6" x14ac:dyDescent="0.25">
      <c r="A5422" s="2" t="str">
        <f t="shared" si="195"/>
        <v>49780</v>
      </c>
      <c r="B5422" s="2" t="str">
        <f>"43720"</f>
        <v>43720</v>
      </c>
      <c r="C5422" s="1">
        <v>1.43080761140732E-2</v>
      </c>
      <c r="D5422" s="1">
        <v>2.44723156928724E-3</v>
      </c>
      <c r="E5422" s="1">
        <v>1.81323662737987E-3</v>
      </c>
      <c r="F5422" s="1">
        <v>1.31468469662822E-2</v>
      </c>
    </row>
    <row r="5423" spans="1:6" x14ac:dyDescent="0.25">
      <c r="A5423" s="2" t="str">
        <f t="shared" si="195"/>
        <v>49780</v>
      </c>
      <c r="B5423" s="2" t="str">
        <f>"43842"</f>
        <v>43842</v>
      </c>
      <c r="C5423" s="1">
        <v>2.9839064716528801E-3</v>
      </c>
      <c r="D5423" s="1">
        <v>3.05903946160905E-4</v>
      </c>
      <c r="E5423" s="1">
        <v>0</v>
      </c>
      <c r="F5423" s="1">
        <v>2.7177515577356398E-3</v>
      </c>
    </row>
    <row r="5424" spans="1:6" x14ac:dyDescent="0.25">
      <c r="A5424" s="2" t="str">
        <f t="shared" si="195"/>
        <v>49780</v>
      </c>
      <c r="B5424" s="2" t="str">
        <f>"43830"</f>
        <v>43830</v>
      </c>
      <c r="C5424" s="1">
        <v>5.89932984395636E-2</v>
      </c>
      <c r="D5424" s="1">
        <v>1.7742428877332499E-2</v>
      </c>
      <c r="E5424" s="1">
        <v>0.115140525838621</v>
      </c>
      <c r="F5424" s="1">
        <v>5.7382120288125803E-2</v>
      </c>
    </row>
    <row r="5425" spans="1:6" x14ac:dyDescent="0.25">
      <c r="A5425" s="2" t="str">
        <f t="shared" si="195"/>
        <v>49780</v>
      </c>
      <c r="B5425" s="2" t="str">
        <f>"43701"</f>
        <v>43701</v>
      </c>
      <c r="C5425" s="1">
        <v>0.64745878784914102</v>
      </c>
      <c r="D5425" s="1">
        <v>0.73386356684001197</v>
      </c>
      <c r="E5425" s="1">
        <v>0.73798730734360796</v>
      </c>
      <c r="F5425" s="1">
        <v>0.65590613814132304</v>
      </c>
    </row>
    <row r="5426" spans="1:6" x14ac:dyDescent="0.25">
      <c r="A5426" s="2" t="str">
        <f t="shared" ref="A5426:A5457" si="196">"45780"</f>
        <v>45780</v>
      </c>
      <c r="B5426" s="2" t="str">
        <f>"43616"</f>
        <v>43616</v>
      </c>
      <c r="C5426" s="1">
        <v>2.8539910269683898E-2</v>
      </c>
      <c r="D5426" s="1">
        <v>2.6073676760904298E-2</v>
      </c>
      <c r="E5426" s="1">
        <v>2.5043063468928001E-2</v>
      </c>
      <c r="F5426" s="1">
        <v>2.82152105635128E-2</v>
      </c>
    </row>
    <row r="5427" spans="1:6" x14ac:dyDescent="0.25">
      <c r="A5427" s="2" t="str">
        <f t="shared" si="196"/>
        <v>45780</v>
      </c>
      <c r="B5427" s="2" t="str">
        <f>"43445"</f>
        <v>43445</v>
      </c>
      <c r="C5427" s="1">
        <v>1.4698269486762301E-3</v>
      </c>
      <c r="D5427" s="1">
        <v>3.7248109658434802E-4</v>
      </c>
      <c r="E5427" s="1">
        <v>6.6251490658539799E-5</v>
      </c>
      <c r="F5427" s="1">
        <v>1.33162695889693E-3</v>
      </c>
    </row>
    <row r="5428" spans="1:6" x14ac:dyDescent="0.25">
      <c r="A5428" s="2" t="str">
        <f t="shared" si="196"/>
        <v>45780</v>
      </c>
      <c r="B5428" s="2" t="str">
        <f>"43447"</f>
        <v>43447</v>
      </c>
      <c r="C5428" s="1">
        <v>4.6683182961100404E-3</v>
      </c>
      <c r="D5428" s="1">
        <v>4.0227958431109604E-3</v>
      </c>
      <c r="E5428" s="1">
        <v>7.0226580098052202E-3</v>
      </c>
      <c r="F5428" s="1">
        <v>4.7179979752721198E-3</v>
      </c>
    </row>
    <row r="5429" spans="1:6" x14ac:dyDescent="0.25">
      <c r="A5429" s="2" t="str">
        <f t="shared" si="196"/>
        <v>45780</v>
      </c>
      <c r="B5429" s="2" t="str">
        <f>"43443"</f>
        <v>43443</v>
      </c>
      <c r="C5429" s="1">
        <v>2.4404673864812801E-3</v>
      </c>
      <c r="D5429" s="1">
        <v>4.8422542555965199E-4</v>
      </c>
      <c r="E5429" s="1">
        <v>1.39128130382933E-3</v>
      </c>
      <c r="F5429" s="1">
        <v>2.2539423525591499E-3</v>
      </c>
    </row>
    <row r="5430" spans="1:6" x14ac:dyDescent="0.25">
      <c r="A5430" s="2" t="str">
        <f t="shared" si="196"/>
        <v>45780</v>
      </c>
      <c r="B5430" s="2" t="str">
        <f>"43440"</f>
        <v>43440</v>
      </c>
      <c r="C5430" s="1">
        <v>1.75454814376571E-2</v>
      </c>
      <c r="D5430" s="1">
        <v>7.8221030282713093E-3</v>
      </c>
      <c r="E5430" s="1">
        <v>9.8714721081224303E-3</v>
      </c>
      <c r="F5430" s="1">
        <v>1.6517086029104702E-2</v>
      </c>
    </row>
    <row r="5431" spans="1:6" x14ac:dyDescent="0.25">
      <c r="A5431" s="2" t="str">
        <f t="shared" si="196"/>
        <v>45780</v>
      </c>
      <c r="B5431" s="2" t="str">
        <f>"43610"</f>
        <v>43610</v>
      </c>
      <c r="C5431" s="1">
        <v>8.5385544544692507E-3</v>
      </c>
      <c r="D5431" s="1">
        <v>3.4640741982344299E-3</v>
      </c>
      <c r="E5431" s="1">
        <v>1.1063998939976101E-2</v>
      </c>
      <c r="F5431" s="1">
        <v>8.2708223615094306E-3</v>
      </c>
    </row>
    <row r="5432" spans="1:6" x14ac:dyDescent="0.25">
      <c r="A5432" s="2" t="str">
        <f t="shared" si="196"/>
        <v>45780</v>
      </c>
      <c r="B5432" s="2" t="str">
        <f>"43609"</f>
        <v>43609</v>
      </c>
      <c r="C5432" s="1">
        <v>3.4634915939456598E-2</v>
      </c>
      <c r="D5432" s="1">
        <v>2.0337467873505401E-2</v>
      </c>
      <c r="E5432" s="1">
        <v>3.1336955081489301E-2</v>
      </c>
      <c r="F5432" s="1">
        <v>3.34516698547489E-2</v>
      </c>
    </row>
    <row r="5433" spans="1:6" x14ac:dyDescent="0.25">
      <c r="A5433" s="2" t="str">
        <f t="shared" si="196"/>
        <v>45780</v>
      </c>
      <c r="B5433" s="2" t="str">
        <f>"43605"</f>
        <v>43605</v>
      </c>
      <c r="C5433" s="1">
        <v>3.99287580732633E-2</v>
      </c>
      <c r="D5433" s="1">
        <v>2.54777070063694E-2</v>
      </c>
      <c r="E5433" s="1">
        <v>4.49185106664899E-2</v>
      </c>
      <c r="F5433" s="1">
        <v>3.9075610761073902E-2</v>
      </c>
    </row>
    <row r="5434" spans="1:6" x14ac:dyDescent="0.25">
      <c r="A5434" s="2" t="str">
        <f t="shared" si="196"/>
        <v>45780</v>
      </c>
      <c r="B5434" s="2" t="str">
        <f>"43537"</f>
        <v>43537</v>
      </c>
      <c r="C5434" s="1">
        <v>4.4301262140708897E-2</v>
      </c>
      <c r="D5434" s="1">
        <v>6.7754311468692902E-2</v>
      </c>
      <c r="E5434" s="1">
        <v>4.47860076851729E-2</v>
      </c>
      <c r="F5434" s="1">
        <v>4.6039364857600497E-2</v>
      </c>
    </row>
    <row r="5435" spans="1:6" x14ac:dyDescent="0.25">
      <c r="A5435" s="2" t="str">
        <f t="shared" si="196"/>
        <v>45780</v>
      </c>
      <c r="B5435" s="2" t="str">
        <f>"43604"</f>
        <v>43604</v>
      </c>
      <c r="C5435" s="1">
        <v>1.94497855346842E-2</v>
      </c>
      <c r="D5435" s="1">
        <v>8.2802547770700605E-2</v>
      </c>
      <c r="E5435" s="1">
        <v>4.10096727176361E-2</v>
      </c>
      <c r="F5435" s="1">
        <v>2.4978920454390399E-2</v>
      </c>
    </row>
    <row r="5436" spans="1:6" x14ac:dyDescent="0.25">
      <c r="A5436" s="2" t="str">
        <f t="shared" si="196"/>
        <v>45780</v>
      </c>
      <c r="B5436" s="2" t="str">
        <f>"43462"</f>
        <v>43462</v>
      </c>
      <c r="C5436" s="1">
        <v>1.3250012325592799E-3</v>
      </c>
      <c r="D5436" s="1">
        <v>2.6073676760904303E-4</v>
      </c>
      <c r="E5436" s="1">
        <v>3.3125745329269901E-4</v>
      </c>
      <c r="F5436" s="1">
        <v>1.20610474555828E-3</v>
      </c>
    </row>
    <row r="5437" spans="1:6" x14ac:dyDescent="0.25">
      <c r="A5437" s="2" t="str">
        <f t="shared" si="196"/>
        <v>45780</v>
      </c>
      <c r="B5437" s="2" t="str">
        <f>"45348"</f>
        <v>45348</v>
      </c>
      <c r="C5437" s="1">
        <v>3.0813982152541499E-6</v>
      </c>
      <c r="D5437" s="1">
        <v>0</v>
      </c>
      <c r="E5437" s="1">
        <v>0</v>
      </c>
      <c r="F5437" s="1">
        <v>2.72874376823141E-6</v>
      </c>
    </row>
    <row r="5438" spans="1:6" x14ac:dyDescent="0.25">
      <c r="A5438" s="2" t="str">
        <f t="shared" si="196"/>
        <v>45780</v>
      </c>
      <c r="B5438" s="2" t="str">
        <f>"43623"</f>
        <v>43623</v>
      </c>
      <c r="C5438" s="1">
        <v>3.1655203865305903E-2</v>
      </c>
      <c r="D5438" s="1">
        <v>5.36000297984877E-2</v>
      </c>
      <c r="E5438" s="1">
        <v>4.27322114747581E-2</v>
      </c>
      <c r="F5438" s="1">
        <v>3.3719086744035599E-2</v>
      </c>
    </row>
    <row r="5439" spans="1:6" x14ac:dyDescent="0.25">
      <c r="A5439" s="2" t="str">
        <f t="shared" si="196"/>
        <v>45780</v>
      </c>
      <c r="B5439" s="2" t="str">
        <f>"43615"</f>
        <v>43615</v>
      </c>
      <c r="C5439" s="1">
        <v>6.6576689838781206E-2</v>
      </c>
      <c r="D5439" s="1">
        <v>5.8479532163742597E-2</v>
      </c>
      <c r="E5439" s="1">
        <v>8.0429309659467305E-2</v>
      </c>
      <c r="F5439" s="1">
        <v>6.6554060507164295E-2</v>
      </c>
    </row>
    <row r="5440" spans="1:6" x14ac:dyDescent="0.25">
      <c r="A5440" s="2" t="str">
        <f t="shared" si="196"/>
        <v>45780</v>
      </c>
      <c r="B5440" s="2" t="str">
        <f>"43441"</f>
        <v>43441</v>
      </c>
      <c r="C5440" s="1">
        <v>3.0813982152541499E-6</v>
      </c>
      <c r="D5440" s="1">
        <v>3.7248109658434798E-5</v>
      </c>
      <c r="E5440" s="1">
        <v>0</v>
      </c>
      <c r="F5440" s="1">
        <v>5.4574875364628302E-6</v>
      </c>
    </row>
    <row r="5441" spans="1:6" x14ac:dyDescent="0.25">
      <c r="A5441" s="2" t="str">
        <f t="shared" si="196"/>
        <v>45780</v>
      </c>
      <c r="B5441" s="2" t="str">
        <f>"43420"</f>
        <v>43420</v>
      </c>
      <c r="C5441" s="1">
        <v>8.9360548242370405E-5</v>
      </c>
      <c r="D5441" s="1">
        <v>3.7248109658434798E-5</v>
      </c>
      <c r="E5441" s="1">
        <v>0</v>
      </c>
      <c r="F5441" s="1">
        <v>8.1862313046942504E-5</v>
      </c>
    </row>
    <row r="5442" spans="1:6" x14ac:dyDescent="0.25">
      <c r="A5442" s="2" t="str">
        <f t="shared" si="196"/>
        <v>45780</v>
      </c>
      <c r="B5442" s="2" t="str">
        <f>"43432"</f>
        <v>43432</v>
      </c>
      <c r="C5442" s="1">
        <v>1.6701178326677499E-3</v>
      </c>
      <c r="D5442" s="1">
        <v>4.8422542555965199E-4</v>
      </c>
      <c r="E5442" s="1">
        <v>2.6500596263415898E-4</v>
      </c>
      <c r="F5442" s="1">
        <v>1.5253677664413599E-3</v>
      </c>
    </row>
    <row r="5443" spans="1:6" x14ac:dyDescent="0.25">
      <c r="A5443" s="2" t="str">
        <f t="shared" si="196"/>
        <v>45780</v>
      </c>
      <c r="B5443" s="2" t="str">
        <f>"43606"</f>
        <v>43606</v>
      </c>
      <c r="C5443" s="1">
        <v>3.6699452743676898E-2</v>
      </c>
      <c r="D5443" s="1">
        <v>3.62051625879986E-2</v>
      </c>
      <c r="E5443" s="1">
        <v>7.3340400159003505E-2</v>
      </c>
      <c r="F5443" s="1">
        <v>3.8172396573789298E-2</v>
      </c>
    </row>
    <row r="5444" spans="1:6" x14ac:dyDescent="0.25">
      <c r="A5444" s="2" t="str">
        <f t="shared" si="196"/>
        <v>45780</v>
      </c>
      <c r="B5444" s="2" t="str">
        <f>"43553"</f>
        <v>43553</v>
      </c>
      <c r="C5444" s="1">
        <v>1.2633732682541999E-4</v>
      </c>
      <c r="D5444" s="1">
        <v>3.7248109658434798E-5</v>
      </c>
      <c r="E5444" s="1">
        <v>2.6500596263415898E-4</v>
      </c>
      <c r="F5444" s="1">
        <v>1.2552221333864499E-4</v>
      </c>
    </row>
    <row r="5445" spans="1:6" x14ac:dyDescent="0.25">
      <c r="A5445" s="2" t="str">
        <f t="shared" si="196"/>
        <v>45780</v>
      </c>
      <c r="B5445" s="2" t="str">
        <f>"43468"</f>
        <v>43468</v>
      </c>
      <c r="C5445" s="1">
        <v>3.0813982152541499E-6</v>
      </c>
      <c r="D5445" s="1">
        <v>0</v>
      </c>
      <c r="E5445" s="1">
        <v>6.6251490658539799E-5</v>
      </c>
      <c r="F5445" s="1">
        <v>5.4574875364628302E-6</v>
      </c>
    </row>
    <row r="5446" spans="1:6" x14ac:dyDescent="0.25">
      <c r="A5446" s="2" t="str">
        <f t="shared" si="196"/>
        <v>45780</v>
      </c>
      <c r="B5446" s="2" t="str">
        <f>"43465"</f>
        <v>43465</v>
      </c>
      <c r="C5446" s="1">
        <v>9.2441946457624598E-3</v>
      </c>
      <c r="D5446" s="1">
        <v>4.7305099266212198E-3</v>
      </c>
      <c r="E5446" s="1">
        <v>7.22141248178084E-3</v>
      </c>
      <c r="F5446" s="1">
        <v>8.8302148339968693E-3</v>
      </c>
    </row>
    <row r="5447" spans="1:6" x14ac:dyDescent="0.25">
      <c r="A5447" s="2" t="str">
        <f t="shared" si="196"/>
        <v>45780</v>
      </c>
      <c r="B5447" s="2" t="str">
        <f>"45858"</f>
        <v>45858</v>
      </c>
      <c r="C5447" s="1">
        <v>9.2441946457624596E-6</v>
      </c>
      <c r="D5447" s="1">
        <v>0</v>
      </c>
      <c r="E5447" s="1">
        <v>0</v>
      </c>
      <c r="F5447" s="1">
        <v>8.1862313046942508E-6</v>
      </c>
    </row>
    <row r="5448" spans="1:6" x14ac:dyDescent="0.25">
      <c r="A5448" s="2" t="str">
        <f t="shared" si="196"/>
        <v>45780</v>
      </c>
      <c r="B5448" s="2" t="str">
        <f>"44830"</f>
        <v>44830</v>
      </c>
      <c r="C5448" s="1">
        <v>3.5713405314795601E-3</v>
      </c>
      <c r="D5448" s="1">
        <v>3.0170968823332199E-3</v>
      </c>
      <c r="E5448" s="1">
        <v>2.1862991917318102E-3</v>
      </c>
      <c r="F5448" s="1">
        <v>3.47369081695859E-3</v>
      </c>
    </row>
    <row r="5449" spans="1:6" x14ac:dyDescent="0.25">
      <c r="A5449" s="2" t="str">
        <f t="shared" si="196"/>
        <v>45780</v>
      </c>
      <c r="B5449" s="2" t="str">
        <f>"43666"</f>
        <v>43666</v>
      </c>
      <c r="C5449" s="1">
        <v>0</v>
      </c>
      <c r="D5449" s="1">
        <v>3.7248109658434798E-5</v>
      </c>
      <c r="E5449" s="1">
        <v>0</v>
      </c>
      <c r="F5449" s="1">
        <v>2.72874376823141E-6</v>
      </c>
    </row>
    <row r="5450" spans="1:6" x14ac:dyDescent="0.25">
      <c r="A5450" s="2" t="str">
        <f t="shared" si="196"/>
        <v>45780</v>
      </c>
      <c r="B5450" s="2" t="str">
        <f>"43652"</f>
        <v>43652</v>
      </c>
      <c r="C5450" s="1">
        <v>0</v>
      </c>
      <c r="D5450" s="1">
        <v>3.7248109658434798E-5</v>
      </c>
      <c r="E5450" s="1">
        <v>0</v>
      </c>
      <c r="F5450" s="1">
        <v>2.72874376823141E-6</v>
      </c>
    </row>
    <row r="5451" spans="1:6" x14ac:dyDescent="0.25">
      <c r="A5451" s="2" t="str">
        <f t="shared" si="196"/>
        <v>45780</v>
      </c>
      <c r="B5451" s="2" t="str">
        <f>"43408"</f>
        <v>43408</v>
      </c>
      <c r="C5451" s="1">
        <v>2.7424444115761899E-4</v>
      </c>
      <c r="D5451" s="1">
        <v>0</v>
      </c>
      <c r="E5451" s="1">
        <v>6.6251490658539799E-5</v>
      </c>
      <c r="F5451" s="1">
        <v>2.4558693914082701E-4</v>
      </c>
    </row>
    <row r="5452" spans="1:6" x14ac:dyDescent="0.25">
      <c r="A5452" s="2" t="str">
        <f t="shared" si="196"/>
        <v>45780</v>
      </c>
      <c r="B5452" s="2" t="str">
        <f>"43403"</f>
        <v>43403</v>
      </c>
      <c r="C5452" s="1">
        <v>0</v>
      </c>
      <c r="D5452" s="1">
        <v>7.4496219316869596E-5</v>
      </c>
      <c r="E5452" s="1">
        <v>3.77633496753676E-3</v>
      </c>
      <c r="F5452" s="1">
        <v>1.6099588232565301E-4</v>
      </c>
    </row>
    <row r="5453" spans="1:6" x14ac:dyDescent="0.25">
      <c r="A5453" s="2" t="str">
        <f t="shared" si="196"/>
        <v>45780</v>
      </c>
      <c r="B5453" s="2" t="str">
        <f>"43412"</f>
        <v>43412</v>
      </c>
      <c r="C5453" s="1">
        <v>5.5465167874574704E-3</v>
      </c>
      <c r="D5453" s="1">
        <v>1.4526762766789499E-3</v>
      </c>
      <c r="E5453" s="1">
        <v>5.3001192526831798E-3</v>
      </c>
      <c r="F5453" s="1">
        <v>5.2364592912360897E-3</v>
      </c>
    </row>
    <row r="5454" spans="1:6" x14ac:dyDescent="0.25">
      <c r="A5454" s="2" t="str">
        <f t="shared" si="196"/>
        <v>45780</v>
      </c>
      <c r="B5454" s="2" t="str">
        <f>"43607"</f>
        <v>43607</v>
      </c>
      <c r="C5454" s="1">
        <v>3.8979687422965002E-2</v>
      </c>
      <c r="D5454" s="1">
        <v>2.49934815808097E-2</v>
      </c>
      <c r="E5454" s="1">
        <v>3.2264475950708797E-2</v>
      </c>
      <c r="F5454" s="1">
        <v>3.7678493951739403E-2</v>
      </c>
    </row>
    <row r="5455" spans="1:6" x14ac:dyDescent="0.25">
      <c r="A5455" s="2" t="str">
        <f t="shared" si="196"/>
        <v>45780</v>
      </c>
      <c r="B5455" s="2" t="str">
        <f>"43525"</f>
        <v>43525</v>
      </c>
      <c r="C5455" s="1">
        <v>1.22639648967115E-3</v>
      </c>
      <c r="D5455" s="1">
        <v>1.48992438633739E-4</v>
      </c>
      <c r="E5455" s="1">
        <v>0</v>
      </c>
      <c r="F5455" s="1">
        <v>1.0969549948290299E-3</v>
      </c>
    </row>
    <row r="5456" spans="1:6" x14ac:dyDescent="0.25">
      <c r="A5456" s="2" t="str">
        <f t="shared" si="196"/>
        <v>45780</v>
      </c>
      <c r="B5456" s="2" t="str">
        <f>"43542"</f>
        <v>43542</v>
      </c>
      <c r="C5456" s="1">
        <v>4.7484346497066498E-3</v>
      </c>
      <c r="D5456" s="1">
        <v>2.19763846984765E-3</v>
      </c>
      <c r="E5456" s="1">
        <v>1.5900357758049501E-3</v>
      </c>
      <c r="F5456" s="1">
        <v>4.4314798796078201E-3</v>
      </c>
    </row>
    <row r="5457" spans="1:6" x14ac:dyDescent="0.25">
      <c r="A5457" s="2" t="str">
        <f t="shared" si="196"/>
        <v>45780</v>
      </c>
      <c r="B5457" s="2" t="str">
        <f>"43565"</f>
        <v>43565</v>
      </c>
      <c r="C5457" s="1">
        <v>2.3726766257456901E-4</v>
      </c>
      <c r="D5457" s="1">
        <v>0</v>
      </c>
      <c r="E5457" s="1">
        <v>1.98754471975619E-4</v>
      </c>
      <c r="F5457" s="1">
        <v>2.1829950145851301E-4</v>
      </c>
    </row>
    <row r="5458" spans="1:6" x14ac:dyDescent="0.25">
      <c r="A5458" s="2" t="str">
        <f t="shared" ref="A5458:A5489" si="197">"45780"</f>
        <v>45780</v>
      </c>
      <c r="B5458" s="2" t="str">
        <f>"43552"</f>
        <v>43552</v>
      </c>
      <c r="C5458" s="1">
        <v>1.8365133362914701E-3</v>
      </c>
      <c r="D5458" s="1">
        <v>1.3521063806011801E-2</v>
      </c>
      <c r="E5458" s="1">
        <v>1.32502981317079E-4</v>
      </c>
      <c r="F5458" s="1">
        <v>2.6223227612703899E-3</v>
      </c>
    </row>
    <row r="5459" spans="1:6" x14ac:dyDescent="0.25">
      <c r="A5459" s="2" t="str">
        <f t="shared" si="197"/>
        <v>45780</v>
      </c>
      <c r="B5459" s="2" t="str">
        <f>"43558"</f>
        <v>43558</v>
      </c>
      <c r="C5459" s="1">
        <v>1.8374377557560499E-2</v>
      </c>
      <c r="D5459" s="1">
        <v>1.3372071367378099E-2</v>
      </c>
      <c r="E5459" s="1">
        <v>8.4139393136345494E-3</v>
      </c>
      <c r="F5459" s="1">
        <v>1.75976685613244E-2</v>
      </c>
    </row>
    <row r="5460" spans="1:6" x14ac:dyDescent="0.25">
      <c r="A5460" s="2" t="str">
        <f t="shared" si="197"/>
        <v>45780</v>
      </c>
      <c r="B5460" s="2" t="str">
        <f>"43511"</f>
        <v>43511</v>
      </c>
      <c r="C5460" s="1">
        <v>1.0908149681999699E-3</v>
      </c>
      <c r="D5460" s="1">
        <v>5.2147353521808703E-4</v>
      </c>
      <c r="E5460" s="1">
        <v>1.32502981317079E-4</v>
      </c>
      <c r="F5460" s="1">
        <v>1.0096351942456201E-3</v>
      </c>
    </row>
    <row r="5461" spans="1:6" x14ac:dyDescent="0.25">
      <c r="A5461" s="2" t="str">
        <f t="shared" si="197"/>
        <v>45780</v>
      </c>
      <c r="B5461" s="2" t="str">
        <f>"43460"</f>
        <v>43460</v>
      </c>
      <c r="C5461" s="1">
        <v>8.7480895331065404E-3</v>
      </c>
      <c r="D5461" s="1">
        <v>9.3492755242671408E-3</v>
      </c>
      <c r="E5461" s="1">
        <v>1.1594010865244401E-2</v>
      </c>
      <c r="F5461" s="1">
        <v>8.9093484032755806E-3</v>
      </c>
    </row>
    <row r="5462" spans="1:6" x14ac:dyDescent="0.25">
      <c r="A5462" s="2" t="str">
        <f t="shared" si="197"/>
        <v>45780</v>
      </c>
      <c r="B5462" s="2" t="str">
        <f>"45889"</f>
        <v>45889</v>
      </c>
      <c r="C5462" s="1">
        <v>9.2441946457624596E-6</v>
      </c>
      <c r="D5462" s="1">
        <v>0</v>
      </c>
      <c r="E5462" s="1">
        <v>0</v>
      </c>
      <c r="F5462" s="1">
        <v>8.1862313046942508E-6</v>
      </c>
    </row>
    <row r="5463" spans="1:6" x14ac:dyDescent="0.25">
      <c r="A5463" s="2" t="str">
        <f t="shared" si="197"/>
        <v>45780</v>
      </c>
      <c r="B5463" s="2" t="str">
        <f>"43660"</f>
        <v>43660</v>
      </c>
      <c r="C5463" s="1">
        <v>0</v>
      </c>
      <c r="D5463" s="1">
        <v>3.7248109658434798E-5</v>
      </c>
      <c r="E5463" s="1">
        <v>0</v>
      </c>
      <c r="F5463" s="1">
        <v>2.72874376823141E-6</v>
      </c>
    </row>
    <row r="5464" spans="1:6" x14ac:dyDescent="0.25">
      <c r="A5464" s="2" t="str">
        <f t="shared" si="197"/>
        <v>45780</v>
      </c>
      <c r="B5464" s="2" t="str">
        <f>"43657"</f>
        <v>43657</v>
      </c>
      <c r="C5464" s="1">
        <v>0</v>
      </c>
      <c r="D5464" s="1">
        <v>7.4496219316869596E-5</v>
      </c>
      <c r="E5464" s="1">
        <v>0</v>
      </c>
      <c r="F5464" s="1">
        <v>5.4574875364628302E-6</v>
      </c>
    </row>
    <row r="5465" spans="1:6" x14ac:dyDescent="0.25">
      <c r="A5465" s="2" t="str">
        <f t="shared" si="197"/>
        <v>45780</v>
      </c>
      <c r="B5465" s="2" t="str">
        <f>"43654"</f>
        <v>43654</v>
      </c>
      <c r="C5465" s="1">
        <v>0</v>
      </c>
      <c r="D5465" s="1">
        <v>3.7248109658434798E-5</v>
      </c>
      <c r="E5465" s="1">
        <v>0</v>
      </c>
      <c r="F5465" s="1">
        <v>2.72874376823141E-6</v>
      </c>
    </row>
    <row r="5466" spans="1:6" x14ac:dyDescent="0.25">
      <c r="A5466" s="2" t="str">
        <f t="shared" si="197"/>
        <v>45780</v>
      </c>
      <c r="B5466" s="2" t="str">
        <f>"43620"</f>
        <v>43620</v>
      </c>
      <c r="C5466" s="1">
        <v>1.08927426909234E-2</v>
      </c>
      <c r="D5466" s="1">
        <v>4.9539985845718296E-3</v>
      </c>
      <c r="E5466" s="1">
        <v>2.0604213594805802E-2</v>
      </c>
      <c r="F5466" s="1">
        <v>1.08576714537928E-2</v>
      </c>
    </row>
    <row r="5467" spans="1:6" x14ac:dyDescent="0.25">
      <c r="A5467" s="2" t="str">
        <f t="shared" si="197"/>
        <v>45780</v>
      </c>
      <c r="B5467" s="2" t="str">
        <f>"43613"</f>
        <v>43613</v>
      </c>
      <c r="C5467" s="1">
        <v>5.0044988413942698E-2</v>
      </c>
      <c r="D5467" s="1">
        <v>3.4901478749953398E-2</v>
      </c>
      <c r="E5467" s="1">
        <v>3.5113290049026101E-2</v>
      </c>
      <c r="F5467" s="1">
        <v>4.83205946478419E-2</v>
      </c>
    </row>
    <row r="5468" spans="1:6" x14ac:dyDescent="0.25">
      <c r="A5468" s="2" t="str">
        <f t="shared" si="197"/>
        <v>45780</v>
      </c>
      <c r="B5468" s="2" t="str">
        <f>"43437"</f>
        <v>43437</v>
      </c>
      <c r="C5468" s="1">
        <v>2.43430459005078E-4</v>
      </c>
      <c r="D5468" s="1">
        <v>3.7248109658434798E-5</v>
      </c>
      <c r="E5468" s="1">
        <v>0</v>
      </c>
      <c r="F5468" s="1">
        <v>2.1829950145851301E-4</v>
      </c>
    </row>
    <row r="5469" spans="1:6" x14ac:dyDescent="0.25">
      <c r="A5469" s="2" t="str">
        <f t="shared" si="197"/>
        <v>45780</v>
      </c>
      <c r="B5469" s="2" t="str">
        <f>"43436"</f>
        <v>43436</v>
      </c>
      <c r="C5469" s="1">
        <v>2.7732583937287299E-5</v>
      </c>
      <c r="D5469" s="1">
        <v>1.48992438633739E-4</v>
      </c>
      <c r="E5469" s="1">
        <v>0</v>
      </c>
      <c r="F5469" s="1">
        <v>3.5473668987008399E-5</v>
      </c>
    </row>
    <row r="5470" spans="1:6" x14ac:dyDescent="0.25">
      <c r="A5470" s="2" t="str">
        <f t="shared" si="197"/>
        <v>45780</v>
      </c>
      <c r="B5470" s="2" t="str">
        <f>"43406"</f>
        <v>43406</v>
      </c>
      <c r="C5470" s="1">
        <v>2.4004092096829798E-3</v>
      </c>
      <c r="D5470" s="1">
        <v>6.3321786419339202E-4</v>
      </c>
      <c r="E5470" s="1">
        <v>9.9377235987809691E-4</v>
      </c>
      <c r="F5470" s="1">
        <v>2.2130111960356798E-3</v>
      </c>
    </row>
    <row r="5471" spans="1:6" x14ac:dyDescent="0.25">
      <c r="A5471" s="2" t="str">
        <f t="shared" si="197"/>
        <v>45780</v>
      </c>
      <c r="B5471" s="2" t="str">
        <f>"43547"</f>
        <v>43547</v>
      </c>
      <c r="C5471" s="1">
        <v>3.3895380367795603E-5</v>
      </c>
      <c r="D5471" s="1">
        <v>3.7248109658434798E-5</v>
      </c>
      <c r="E5471" s="1">
        <v>0</v>
      </c>
      <c r="F5471" s="1">
        <v>3.2744925218777003E-5</v>
      </c>
    </row>
    <row r="5472" spans="1:6" x14ac:dyDescent="0.25">
      <c r="A5472" s="2" t="str">
        <f t="shared" si="197"/>
        <v>45780</v>
      </c>
      <c r="B5472" s="2" t="str">
        <f>"43457"</f>
        <v>43457</v>
      </c>
      <c r="C5472" s="1">
        <v>9.2133806636099098E-4</v>
      </c>
      <c r="D5472" s="1">
        <v>1.1174432897530399E-4</v>
      </c>
      <c r="E5472" s="1">
        <v>0</v>
      </c>
      <c r="F5472" s="1">
        <v>8.2408061800588804E-4</v>
      </c>
    </row>
    <row r="5473" spans="1:6" x14ac:dyDescent="0.25">
      <c r="A5473" s="2" t="str">
        <f t="shared" si="197"/>
        <v>45780</v>
      </c>
      <c r="B5473" s="2" t="str">
        <f>"44817"</f>
        <v>44817</v>
      </c>
      <c r="C5473" s="1">
        <v>1.42976877187792E-3</v>
      </c>
      <c r="D5473" s="1">
        <v>1.8624054829217401E-4</v>
      </c>
      <c r="E5473" s="1">
        <v>2.6500596263415898E-4</v>
      </c>
      <c r="F5473" s="1">
        <v>1.2906958023734599E-3</v>
      </c>
    </row>
    <row r="5474" spans="1:6" x14ac:dyDescent="0.25">
      <c r="A5474" s="2" t="str">
        <f t="shared" si="197"/>
        <v>45780</v>
      </c>
      <c r="B5474" s="2" t="str">
        <f>"43661"</f>
        <v>43661</v>
      </c>
      <c r="C5474" s="1">
        <v>0</v>
      </c>
      <c r="D5474" s="1">
        <v>3.7248109658434798E-5</v>
      </c>
      <c r="E5474" s="1">
        <v>0</v>
      </c>
      <c r="F5474" s="1">
        <v>2.72874376823141E-6</v>
      </c>
    </row>
    <row r="5475" spans="1:6" x14ac:dyDescent="0.25">
      <c r="A5475" s="2" t="str">
        <f t="shared" si="197"/>
        <v>45780</v>
      </c>
      <c r="B5475" s="2" t="str">
        <f>"43656"</f>
        <v>43656</v>
      </c>
      <c r="C5475" s="1">
        <v>0</v>
      </c>
      <c r="D5475" s="1">
        <v>3.7248109658434798E-5</v>
      </c>
      <c r="E5475" s="1">
        <v>0</v>
      </c>
      <c r="F5475" s="1">
        <v>2.72874376823141E-6</v>
      </c>
    </row>
    <row r="5476" spans="1:6" x14ac:dyDescent="0.25">
      <c r="A5476" s="2" t="str">
        <f t="shared" si="197"/>
        <v>45780</v>
      </c>
      <c r="B5476" s="2" t="str">
        <f>"43431"</f>
        <v>43431</v>
      </c>
      <c r="C5476" s="1">
        <v>5.54651678745747E-5</v>
      </c>
      <c r="D5476" s="1">
        <v>0</v>
      </c>
      <c r="E5476" s="1">
        <v>0</v>
      </c>
      <c r="F5476" s="1">
        <v>4.9117387828165501E-5</v>
      </c>
    </row>
    <row r="5477" spans="1:6" x14ac:dyDescent="0.25">
      <c r="A5477" s="2" t="str">
        <f t="shared" si="197"/>
        <v>45780</v>
      </c>
      <c r="B5477" s="2" t="str">
        <f>"43449"</f>
        <v>43449</v>
      </c>
      <c r="C5477" s="1">
        <v>1.34780357935216E-2</v>
      </c>
      <c r="D5477" s="1">
        <v>7.7476068089544397E-3</v>
      </c>
      <c r="E5477" s="1">
        <v>8.5464422949516304E-3</v>
      </c>
      <c r="F5477" s="1">
        <v>1.2855111892138201E-2</v>
      </c>
    </row>
    <row r="5478" spans="1:6" x14ac:dyDescent="0.25">
      <c r="A5478" s="2" t="str">
        <f t="shared" si="197"/>
        <v>45780</v>
      </c>
      <c r="B5478" s="2" t="str">
        <f>"43402"</f>
        <v>43402</v>
      </c>
      <c r="C5478" s="1">
        <v>4.9200685302963003E-2</v>
      </c>
      <c r="D5478" s="1">
        <v>4.6634633292360402E-2</v>
      </c>
      <c r="E5478" s="1">
        <v>7.9104279846296505E-2</v>
      </c>
      <c r="F5478" s="1">
        <v>5.0244359004445099E-2</v>
      </c>
    </row>
    <row r="5479" spans="1:6" x14ac:dyDescent="0.25">
      <c r="A5479" s="2" t="str">
        <f t="shared" si="197"/>
        <v>45780</v>
      </c>
      <c r="B5479" s="2" t="str">
        <f>"43612"</f>
        <v>43612</v>
      </c>
      <c r="C5479" s="1">
        <v>4.4076320070995399E-2</v>
      </c>
      <c r="D5479" s="1">
        <v>6.1012403620516201E-2</v>
      </c>
      <c r="E5479" s="1">
        <v>4.6839803895587603E-2</v>
      </c>
      <c r="F5479" s="1">
        <v>4.5430854997284803E-2</v>
      </c>
    </row>
    <row r="5480" spans="1:6" x14ac:dyDescent="0.25">
      <c r="A5480" s="2" t="str">
        <f t="shared" si="197"/>
        <v>45780</v>
      </c>
      <c r="B5480" s="2" t="str">
        <f>"43545"</f>
        <v>43545</v>
      </c>
      <c r="C5480" s="1">
        <v>9.2441946457624596E-6</v>
      </c>
      <c r="D5480" s="1">
        <v>0</v>
      </c>
      <c r="E5480" s="1">
        <v>0</v>
      </c>
      <c r="F5480" s="1">
        <v>8.1862313046942508E-6</v>
      </c>
    </row>
    <row r="5481" spans="1:6" x14ac:dyDescent="0.25">
      <c r="A5481" s="2" t="str">
        <f t="shared" si="197"/>
        <v>45780</v>
      </c>
      <c r="B5481" s="2" t="str">
        <f>"43541"</f>
        <v>43541</v>
      </c>
      <c r="C5481" s="1">
        <v>2.0953507863728199E-4</v>
      </c>
      <c r="D5481" s="1">
        <v>7.4496219316869596E-5</v>
      </c>
      <c r="E5481" s="1">
        <v>1.32502981317079E-4</v>
      </c>
      <c r="F5481" s="1">
        <v>1.9646955131266201E-4</v>
      </c>
    </row>
    <row r="5482" spans="1:6" x14ac:dyDescent="0.25">
      <c r="A5482" s="2" t="str">
        <f t="shared" si="197"/>
        <v>45780</v>
      </c>
      <c r="B5482" s="2" t="str">
        <f>"43502"</f>
        <v>43502</v>
      </c>
      <c r="C5482" s="1">
        <v>9.2257062564709297E-3</v>
      </c>
      <c r="D5482" s="1">
        <v>1.18821469810407E-2</v>
      </c>
      <c r="E5482" s="1">
        <v>6.7576520471710599E-3</v>
      </c>
      <c r="F5482" s="1">
        <v>9.3186599685102893E-3</v>
      </c>
    </row>
    <row r="5483" spans="1:6" x14ac:dyDescent="0.25">
      <c r="A5483" s="2" t="str">
        <f t="shared" si="197"/>
        <v>45780</v>
      </c>
      <c r="B5483" s="2" t="str">
        <f>"43456"</f>
        <v>43456</v>
      </c>
      <c r="C5483" s="1">
        <v>1.98133905240842E-3</v>
      </c>
      <c r="D5483" s="1">
        <v>3.7248109658434798E-5</v>
      </c>
      <c r="E5483" s="1">
        <v>5.5651252153173401E-3</v>
      </c>
      <c r="F5483" s="1">
        <v>1.9865254632724701E-3</v>
      </c>
    </row>
    <row r="5484" spans="1:6" x14ac:dyDescent="0.25">
      <c r="A5484" s="2" t="str">
        <f t="shared" si="197"/>
        <v>45780</v>
      </c>
      <c r="B5484" s="2" t="str">
        <f>"43452"</f>
        <v>43452</v>
      </c>
      <c r="C5484" s="1">
        <v>3.2613518710249902E-2</v>
      </c>
      <c r="D5484" s="1">
        <v>3.27038402801057E-2</v>
      </c>
      <c r="E5484" s="1">
        <v>3.2993242347952798E-2</v>
      </c>
      <c r="F5484" s="1">
        <v>3.2635775468047697E-2</v>
      </c>
    </row>
    <row r="5485" spans="1:6" x14ac:dyDescent="0.25">
      <c r="A5485" s="2" t="str">
        <f t="shared" si="197"/>
        <v>45780</v>
      </c>
      <c r="B5485" s="2" t="str">
        <f>"43659"</f>
        <v>43659</v>
      </c>
      <c r="C5485" s="1">
        <v>0</v>
      </c>
      <c r="D5485" s="1">
        <v>3.7248109658434798E-5</v>
      </c>
      <c r="E5485" s="1">
        <v>0</v>
      </c>
      <c r="F5485" s="1">
        <v>2.72874376823141E-6</v>
      </c>
    </row>
    <row r="5486" spans="1:6" x14ac:dyDescent="0.25">
      <c r="A5486" s="2" t="str">
        <f t="shared" si="197"/>
        <v>45780</v>
      </c>
      <c r="B5486" s="2" t="str">
        <f>"43617"</f>
        <v>43617</v>
      </c>
      <c r="C5486" s="1">
        <v>9.5153576887048192E-3</v>
      </c>
      <c r="D5486" s="1">
        <v>2.1156926285990901E-2</v>
      </c>
      <c r="E5486" s="1">
        <v>7.22141248178084E-3</v>
      </c>
      <c r="F5486" s="1">
        <v>1.0273720287391199E-2</v>
      </c>
    </row>
    <row r="5487" spans="1:6" x14ac:dyDescent="0.25">
      <c r="A5487" s="2" t="str">
        <f t="shared" si="197"/>
        <v>45780</v>
      </c>
      <c r="B5487" s="2" t="str">
        <f>"43614"</f>
        <v>43614</v>
      </c>
      <c r="C5487" s="1">
        <v>4.9462604151259602E-2</v>
      </c>
      <c r="D5487" s="1">
        <v>4.2239356352665097E-2</v>
      </c>
      <c r="E5487" s="1">
        <v>6.8769047303564299E-2</v>
      </c>
      <c r="F5487" s="1">
        <v>4.9728626432249297E-2</v>
      </c>
    </row>
    <row r="5488" spans="1:6" x14ac:dyDescent="0.25">
      <c r="A5488" s="2" t="str">
        <f t="shared" si="197"/>
        <v>45780</v>
      </c>
      <c r="B5488" s="2" t="str">
        <f>"43433"</f>
        <v>43433</v>
      </c>
      <c r="C5488" s="1">
        <v>9.5523344672878699E-5</v>
      </c>
      <c r="D5488" s="1">
        <v>3.7248109658434798E-5</v>
      </c>
      <c r="E5488" s="1">
        <v>0</v>
      </c>
      <c r="F5488" s="1">
        <v>8.7319800583405405E-5</v>
      </c>
    </row>
    <row r="5489" spans="1:6" x14ac:dyDescent="0.25">
      <c r="A5489" s="2" t="str">
        <f t="shared" si="197"/>
        <v>45780</v>
      </c>
      <c r="B5489" s="2" t="str">
        <f>"43439"</f>
        <v>43439</v>
      </c>
      <c r="C5489" s="1">
        <v>6.1627964305082999E-6</v>
      </c>
      <c r="D5489" s="1">
        <v>3.7248109658434798E-5</v>
      </c>
      <c r="E5489" s="1">
        <v>0</v>
      </c>
      <c r="F5489" s="1">
        <v>8.1862313046942508E-6</v>
      </c>
    </row>
    <row r="5490" spans="1:6" x14ac:dyDescent="0.25">
      <c r="A5490" s="2" t="str">
        <f t="shared" ref="A5490:A5521" si="198">"45780"</f>
        <v>45780</v>
      </c>
      <c r="B5490" s="2" t="str">
        <f>"43430"</f>
        <v>43430</v>
      </c>
      <c r="C5490" s="1">
        <v>6.1134940590642402E-3</v>
      </c>
      <c r="D5490" s="1">
        <v>5.7362088873989603E-3</v>
      </c>
      <c r="E5490" s="1">
        <v>4.2400954021465402E-3</v>
      </c>
      <c r="F5490" s="1">
        <v>6.0086937776455797E-3</v>
      </c>
    </row>
    <row r="5491" spans="1:6" x14ac:dyDescent="0.25">
      <c r="A5491" s="2" t="str">
        <f t="shared" si="198"/>
        <v>45780</v>
      </c>
      <c r="B5491" s="2" t="str">
        <f>"43416"</f>
        <v>43416</v>
      </c>
      <c r="C5491" s="1">
        <v>3.93494552087955E-3</v>
      </c>
      <c r="D5491" s="1">
        <v>1.0056989607777401E-3</v>
      </c>
      <c r="E5491" s="1">
        <v>1.32502981317079E-3</v>
      </c>
      <c r="F5491" s="1">
        <v>3.61285674913839E-3</v>
      </c>
    </row>
    <row r="5492" spans="1:6" x14ac:dyDescent="0.25">
      <c r="A5492" s="2" t="str">
        <f t="shared" si="198"/>
        <v>45780</v>
      </c>
      <c r="B5492" s="2" t="str">
        <f>"43611"</f>
        <v>43611</v>
      </c>
      <c r="C5492" s="1">
        <v>2.8176305280283899E-2</v>
      </c>
      <c r="D5492" s="1">
        <v>1.3446567586694901E-2</v>
      </c>
      <c r="E5492" s="1">
        <v>2.1796740426659501E-2</v>
      </c>
      <c r="F5492" s="1">
        <v>2.68344662167877E-2</v>
      </c>
    </row>
    <row r="5493" spans="1:6" x14ac:dyDescent="0.25">
      <c r="A5493" s="2" t="str">
        <f t="shared" si="198"/>
        <v>45780</v>
      </c>
      <c r="B5493" s="2" t="str">
        <f>"43608"</f>
        <v>43608</v>
      </c>
      <c r="C5493" s="1">
        <v>2.3242986737662001E-2</v>
      </c>
      <c r="D5493" s="1">
        <v>1.54952136179088E-2</v>
      </c>
      <c r="E5493" s="1">
        <v>9.0102027295614097E-3</v>
      </c>
      <c r="F5493" s="1">
        <v>2.2089180803833298E-2</v>
      </c>
    </row>
    <row r="5494" spans="1:6" x14ac:dyDescent="0.25">
      <c r="A5494" s="2" t="str">
        <f t="shared" si="198"/>
        <v>45780</v>
      </c>
      <c r="B5494" s="2" t="str">
        <f>"43532"</f>
        <v>43532</v>
      </c>
      <c r="C5494" s="1">
        <v>3.7901198047625998E-4</v>
      </c>
      <c r="D5494" s="1">
        <v>7.4496219316869596E-5</v>
      </c>
      <c r="E5494" s="1">
        <v>0</v>
      </c>
      <c r="F5494" s="1">
        <v>3.41092971028927E-4</v>
      </c>
    </row>
    <row r="5495" spans="1:6" x14ac:dyDescent="0.25">
      <c r="A5495" s="2" t="str">
        <f t="shared" si="198"/>
        <v>45780</v>
      </c>
      <c r="B5495" s="2" t="str">
        <f>"43533"</f>
        <v>43533</v>
      </c>
      <c r="C5495" s="1">
        <v>1.86424592022876E-3</v>
      </c>
      <c r="D5495" s="1">
        <v>6.3321786419339202E-4</v>
      </c>
      <c r="E5495" s="1">
        <v>6.6251490658539801E-4</v>
      </c>
      <c r="F5495" s="1">
        <v>1.72456606152225E-3</v>
      </c>
    </row>
    <row r="5496" spans="1:6" x14ac:dyDescent="0.25">
      <c r="A5496" s="2" t="str">
        <f t="shared" si="198"/>
        <v>45780</v>
      </c>
      <c r="B5496" s="2" t="str">
        <f>"43521"</f>
        <v>43521</v>
      </c>
      <c r="C5496" s="1">
        <v>3.3494798599812601E-3</v>
      </c>
      <c r="D5496" s="1">
        <v>1.75066115394643E-3</v>
      </c>
      <c r="E5496" s="1">
        <v>2.2525506823903498E-3</v>
      </c>
      <c r="F5496" s="1">
        <v>3.1871727212942902E-3</v>
      </c>
    </row>
    <row r="5497" spans="1:6" x14ac:dyDescent="0.25">
      <c r="A5497" s="2" t="str">
        <f t="shared" si="198"/>
        <v>45780</v>
      </c>
      <c r="B5497" s="2" t="str">
        <f>"43601"</f>
        <v>43601</v>
      </c>
      <c r="C5497" s="1">
        <v>0</v>
      </c>
      <c r="D5497" s="1">
        <v>1.1174432897530399E-4</v>
      </c>
      <c r="E5497" s="1">
        <v>0</v>
      </c>
      <c r="F5497" s="1">
        <v>8.1862313046942508E-6</v>
      </c>
    </row>
    <row r="5498" spans="1:6" x14ac:dyDescent="0.25">
      <c r="A5498" s="2" t="str">
        <f t="shared" si="198"/>
        <v>45780</v>
      </c>
      <c r="B5498" s="2" t="str">
        <f>"43469"</f>
        <v>43469</v>
      </c>
      <c r="C5498" s="1">
        <v>2.28023467928807E-4</v>
      </c>
      <c r="D5498" s="1">
        <v>3.7248109658434798E-5</v>
      </c>
      <c r="E5498" s="1">
        <v>0</v>
      </c>
      <c r="F5498" s="1">
        <v>2.04655782617356E-4</v>
      </c>
    </row>
    <row r="5499" spans="1:6" x14ac:dyDescent="0.25">
      <c r="A5499" s="2" t="str">
        <f t="shared" si="198"/>
        <v>45780</v>
      </c>
      <c r="B5499" s="2" t="str">
        <f>"43450"</f>
        <v>43450</v>
      </c>
      <c r="C5499" s="1">
        <v>4.7915742247201997E-3</v>
      </c>
      <c r="D5499" s="1">
        <v>1.30368383804521E-3</v>
      </c>
      <c r="E5499" s="1">
        <v>1.0600238505366301E-3</v>
      </c>
      <c r="F5499" s="1">
        <v>4.3823624917796499E-3</v>
      </c>
    </row>
    <row r="5500" spans="1:6" x14ac:dyDescent="0.25">
      <c r="A5500" s="2" t="str">
        <f t="shared" si="198"/>
        <v>45780</v>
      </c>
      <c r="B5500" s="2" t="str">
        <f>"43467"</f>
        <v>43467</v>
      </c>
      <c r="C5500" s="1">
        <v>0</v>
      </c>
      <c r="D5500" s="1">
        <v>0</v>
      </c>
      <c r="E5500" s="1">
        <v>6.6251490658539799E-5</v>
      </c>
      <c r="F5500" s="1">
        <v>2.72874376823141E-6</v>
      </c>
    </row>
    <row r="5501" spans="1:6" x14ac:dyDescent="0.25">
      <c r="A5501" s="2" t="str">
        <f t="shared" si="198"/>
        <v>45780</v>
      </c>
      <c r="B5501" s="2" t="str">
        <f>"43667"</f>
        <v>43667</v>
      </c>
      <c r="C5501" s="1">
        <v>0</v>
      </c>
      <c r="D5501" s="1">
        <v>3.7248109658434798E-5</v>
      </c>
      <c r="E5501" s="1">
        <v>0</v>
      </c>
      <c r="F5501" s="1">
        <v>2.72874376823141E-6</v>
      </c>
    </row>
    <row r="5502" spans="1:6" x14ac:dyDescent="0.25">
      <c r="A5502" s="2" t="str">
        <f t="shared" si="198"/>
        <v>45780</v>
      </c>
      <c r="B5502" s="2" t="str">
        <f>"43446"</f>
        <v>43446</v>
      </c>
      <c r="C5502" s="1">
        <v>0</v>
      </c>
      <c r="D5502" s="1">
        <v>7.4496219316869596E-5</v>
      </c>
      <c r="E5502" s="1">
        <v>6.6251490658539799E-5</v>
      </c>
      <c r="F5502" s="1">
        <v>8.1862313046942508E-6</v>
      </c>
    </row>
    <row r="5503" spans="1:6" x14ac:dyDescent="0.25">
      <c r="A5503" s="2" t="str">
        <f t="shared" si="198"/>
        <v>45780</v>
      </c>
      <c r="B5503" s="2" t="str">
        <f>"43540"</f>
        <v>43540</v>
      </c>
      <c r="C5503" s="1">
        <v>1.84883892915249E-3</v>
      </c>
      <c r="D5503" s="1">
        <v>4.4697731590121799E-4</v>
      </c>
      <c r="E5503" s="1">
        <v>2.6500596263415898E-4</v>
      </c>
      <c r="F5503" s="1">
        <v>1.68090616123055E-3</v>
      </c>
    </row>
    <row r="5504" spans="1:6" x14ac:dyDescent="0.25">
      <c r="A5504" s="2" t="str">
        <f t="shared" si="198"/>
        <v>45780</v>
      </c>
      <c r="B5504" s="2" t="str">
        <f>"43522"</f>
        <v>43522</v>
      </c>
      <c r="C5504" s="1">
        <v>4.6898880836168198E-3</v>
      </c>
      <c r="D5504" s="1">
        <v>2.9426006630163498E-3</v>
      </c>
      <c r="E5504" s="1">
        <v>2.3188021730488899E-3</v>
      </c>
      <c r="F5504" s="1">
        <v>4.4642248048265996E-3</v>
      </c>
    </row>
    <row r="5505" spans="1:6" x14ac:dyDescent="0.25">
      <c r="A5505" s="2" t="str">
        <f t="shared" si="198"/>
        <v>45780</v>
      </c>
      <c r="B5505" s="2" t="str">
        <f>"43566"</f>
        <v>43566</v>
      </c>
      <c r="C5505" s="1">
        <v>1.1317975644628501E-2</v>
      </c>
      <c r="D5505" s="1">
        <v>9.4237717435840095E-3</v>
      </c>
      <c r="E5505" s="1">
        <v>7.9501788790247701E-3</v>
      </c>
      <c r="F5505" s="1">
        <v>1.10404972862643E-2</v>
      </c>
    </row>
    <row r="5506" spans="1:6" x14ac:dyDescent="0.25">
      <c r="A5506" s="2" t="str">
        <f t="shared" si="198"/>
        <v>45780</v>
      </c>
      <c r="B5506" s="2" t="str">
        <f>"43560"</f>
        <v>43560</v>
      </c>
      <c r="C5506" s="1">
        <v>4.4479983237193703E-2</v>
      </c>
      <c r="D5506" s="1">
        <v>4.8646031213915801E-2</v>
      </c>
      <c r="E5506" s="1">
        <v>3.2993242347952798E-2</v>
      </c>
      <c r="F5506" s="1">
        <v>4.4312070052309999E-2</v>
      </c>
    </row>
    <row r="5507" spans="1:6" x14ac:dyDescent="0.25">
      <c r="A5507" s="2" t="str">
        <f t="shared" si="198"/>
        <v>45780</v>
      </c>
      <c r="B5507" s="2" t="str">
        <f>"43516"</f>
        <v>43516</v>
      </c>
      <c r="C5507" s="1">
        <v>3.8825617512202302E-4</v>
      </c>
      <c r="D5507" s="1">
        <v>1.48992438633739E-4</v>
      </c>
      <c r="E5507" s="1">
        <v>0</v>
      </c>
      <c r="F5507" s="1">
        <v>3.5473668987008399E-4</v>
      </c>
    </row>
    <row r="5508" spans="1:6" x14ac:dyDescent="0.25">
      <c r="A5508" s="2" t="str">
        <f t="shared" si="198"/>
        <v>45780</v>
      </c>
      <c r="B5508" s="2" t="str">
        <f>"43458"</f>
        <v>43458</v>
      </c>
      <c r="C5508" s="1">
        <v>0</v>
      </c>
      <c r="D5508" s="1">
        <v>0</v>
      </c>
      <c r="E5508" s="1">
        <v>1.32502981317079E-4</v>
      </c>
      <c r="F5508" s="1">
        <v>5.4574875364628302E-6</v>
      </c>
    </row>
    <row r="5509" spans="1:6" x14ac:dyDescent="0.25">
      <c r="A5509" s="2" t="str">
        <f t="shared" si="198"/>
        <v>45780</v>
      </c>
      <c r="B5509" s="2" t="str">
        <f>"43515"</f>
        <v>43515</v>
      </c>
      <c r="C5509" s="1">
        <v>1.08865798944929E-2</v>
      </c>
      <c r="D5509" s="1">
        <v>7.9338473572466098E-3</v>
      </c>
      <c r="E5509" s="1">
        <v>6.1613886312442004E-3</v>
      </c>
      <c r="F5509" s="1">
        <v>1.04756473262404E-2</v>
      </c>
    </row>
    <row r="5510" spans="1:6" x14ac:dyDescent="0.25">
      <c r="A5510" s="2" t="str">
        <f t="shared" si="198"/>
        <v>45780</v>
      </c>
      <c r="B5510" s="2" t="str">
        <f>"43466"</f>
        <v>43466</v>
      </c>
      <c r="C5510" s="1">
        <v>2.7825025883744998E-3</v>
      </c>
      <c r="D5510" s="1">
        <v>4.4697731590121799E-4</v>
      </c>
      <c r="E5510" s="1">
        <v>1.39128130382933E-3</v>
      </c>
      <c r="F5510" s="1">
        <v>2.5541041670646002E-3</v>
      </c>
    </row>
    <row r="5511" spans="1:6" x14ac:dyDescent="0.25">
      <c r="A5511" s="2" t="str">
        <f t="shared" si="198"/>
        <v>45780</v>
      </c>
      <c r="B5511" s="2" t="str">
        <f>"45872"</f>
        <v>45872</v>
      </c>
      <c r="C5511" s="1">
        <v>5.5280283981659498E-3</v>
      </c>
      <c r="D5511" s="1">
        <v>5.2147353521808703E-3</v>
      </c>
      <c r="E5511" s="1">
        <v>3.5113290049026101E-3</v>
      </c>
      <c r="F5511" s="1">
        <v>5.4220138674758297E-3</v>
      </c>
    </row>
    <row r="5512" spans="1:6" x14ac:dyDescent="0.25">
      <c r="A5512" s="2" t="str">
        <f t="shared" si="198"/>
        <v>45780</v>
      </c>
      <c r="B5512" s="2" t="str">
        <f>"43635"</f>
        <v>43635</v>
      </c>
      <c r="C5512" s="1">
        <v>4.5512251639303796E-3</v>
      </c>
      <c r="D5512" s="1">
        <v>1.42287778895221E-2</v>
      </c>
      <c r="E5512" s="1">
        <v>1.32502981317079E-4</v>
      </c>
      <c r="F5512" s="1">
        <v>5.0781921526786697E-3</v>
      </c>
    </row>
    <row r="5513" spans="1:6" x14ac:dyDescent="0.25">
      <c r="A5513" s="2" t="str">
        <f t="shared" si="198"/>
        <v>45780</v>
      </c>
      <c r="B5513" s="2" t="str">
        <f>"43619"</f>
        <v>43619</v>
      </c>
      <c r="C5513" s="1">
        <v>9.9991372084997192E-3</v>
      </c>
      <c r="D5513" s="1">
        <v>1.7469363429805901E-2</v>
      </c>
      <c r="E5513" s="1">
        <v>6.7576520471710599E-3</v>
      </c>
      <c r="F5513" s="1">
        <v>1.0412886219571E-2</v>
      </c>
    </row>
    <row r="5514" spans="1:6" x14ac:dyDescent="0.25">
      <c r="A5514" s="2" t="str">
        <f t="shared" si="198"/>
        <v>45780</v>
      </c>
      <c r="B5514" s="2" t="str">
        <f>"43434"</f>
        <v>43434</v>
      </c>
      <c r="C5514" s="1">
        <v>1.6331410540847E-4</v>
      </c>
      <c r="D5514" s="1">
        <v>3.7248109658434798E-5</v>
      </c>
      <c r="E5514" s="1">
        <v>0</v>
      </c>
      <c r="F5514" s="1">
        <v>1.47352163484496E-4</v>
      </c>
    </row>
    <row r="5515" spans="1:6" x14ac:dyDescent="0.25">
      <c r="A5515" s="2" t="str">
        <f t="shared" si="198"/>
        <v>45780</v>
      </c>
      <c r="B5515" s="2" t="str">
        <f>"43414"</f>
        <v>43414</v>
      </c>
      <c r="C5515" s="1">
        <v>9.2441946457624596E-6</v>
      </c>
      <c r="D5515" s="1">
        <v>3.7248109658434798E-5</v>
      </c>
      <c r="E5515" s="1">
        <v>0</v>
      </c>
      <c r="F5515" s="1">
        <v>1.0914975072925599E-5</v>
      </c>
    </row>
    <row r="5516" spans="1:6" x14ac:dyDescent="0.25">
      <c r="A5516" s="2" t="str">
        <f t="shared" si="198"/>
        <v>45780</v>
      </c>
      <c r="B5516" s="2" t="str">
        <f>"43442"</f>
        <v>43442</v>
      </c>
      <c r="C5516" s="1">
        <v>6.1627964305082999E-6</v>
      </c>
      <c r="D5516" s="1">
        <v>0</v>
      </c>
      <c r="E5516" s="1">
        <v>0</v>
      </c>
      <c r="F5516" s="1">
        <v>5.4574875364628302E-6</v>
      </c>
    </row>
    <row r="5517" spans="1:6" x14ac:dyDescent="0.25">
      <c r="A5517" s="2" t="str">
        <f t="shared" si="198"/>
        <v>45780</v>
      </c>
      <c r="B5517" s="2" t="str">
        <f>"43413"</f>
        <v>43413</v>
      </c>
      <c r="C5517" s="1">
        <v>1.4575013558152099E-3</v>
      </c>
      <c r="D5517" s="1">
        <v>5.5872164487652195E-4</v>
      </c>
      <c r="E5517" s="1">
        <v>1.32502981317079E-4</v>
      </c>
      <c r="F5517" s="1">
        <v>1.3370844464333899E-3</v>
      </c>
    </row>
    <row r="5518" spans="1:6" x14ac:dyDescent="0.25">
      <c r="A5518" s="2" t="str">
        <f t="shared" si="198"/>
        <v>45780</v>
      </c>
      <c r="B5518" s="2" t="str">
        <f>"43528"</f>
        <v>43528</v>
      </c>
      <c r="C5518" s="1">
        <v>2.4608046147019599E-2</v>
      </c>
      <c r="D5518" s="1">
        <v>4.2090363914031301E-2</v>
      </c>
      <c r="E5518" s="1">
        <v>1.5900357758049499E-2</v>
      </c>
      <c r="F5518" s="1">
        <v>2.5530126695573099E-2</v>
      </c>
    </row>
    <row r="5519" spans="1:6" x14ac:dyDescent="0.25">
      <c r="A5519" s="2" t="str">
        <f t="shared" si="198"/>
        <v>45780</v>
      </c>
      <c r="B5519" s="2" t="str">
        <f>"43557"</f>
        <v>43557</v>
      </c>
      <c r="C5519" s="1">
        <v>5.8546566089828901E-5</v>
      </c>
      <c r="D5519" s="1">
        <v>3.7248109658434798E-5</v>
      </c>
      <c r="E5519" s="1">
        <v>0</v>
      </c>
      <c r="F5519" s="1">
        <v>5.45748753646283E-5</v>
      </c>
    </row>
    <row r="5520" spans="1:6" x14ac:dyDescent="0.25">
      <c r="A5520" s="2" t="str">
        <f t="shared" si="198"/>
        <v>45780</v>
      </c>
      <c r="B5520" s="2" t="str">
        <f>"43570"</f>
        <v>43570</v>
      </c>
      <c r="C5520" s="1">
        <v>1.1093033574914901E-4</v>
      </c>
      <c r="D5520" s="1">
        <v>3.7248109658434798E-5</v>
      </c>
      <c r="E5520" s="1">
        <v>0</v>
      </c>
      <c r="F5520" s="1">
        <v>1.00963519424562E-4</v>
      </c>
    </row>
    <row r="5521" spans="1:6" x14ac:dyDescent="0.25">
      <c r="A5521" s="2" t="str">
        <f t="shared" si="198"/>
        <v>45780</v>
      </c>
      <c r="B5521" s="2" t="str">
        <f>"43571"</f>
        <v>43571</v>
      </c>
      <c r="C5521" s="1">
        <v>9.5769856530098993E-3</v>
      </c>
      <c r="D5521" s="1">
        <v>5.2519834618393098E-3</v>
      </c>
      <c r="E5521" s="1">
        <v>4.9688617993904798E-3</v>
      </c>
      <c r="F5521" s="1">
        <v>9.0703442856012294E-3</v>
      </c>
    </row>
    <row r="5522" spans="1:6" x14ac:dyDescent="0.25">
      <c r="A5522" s="2" t="str">
        <f t="shared" ref="A5522:A5527" si="199">"45780"</f>
        <v>45780</v>
      </c>
      <c r="B5522" s="2" t="str">
        <f>"43569"</f>
        <v>43569</v>
      </c>
      <c r="C5522" s="1">
        <v>4.0243060691219201E-3</v>
      </c>
      <c r="D5522" s="1">
        <v>1.1919395090699101E-3</v>
      </c>
      <c r="E5522" s="1">
        <v>3.11382006095137E-3</v>
      </c>
      <c r="F5522" s="1">
        <v>3.7793101190005101E-3</v>
      </c>
    </row>
    <row r="5523" spans="1:6" x14ac:dyDescent="0.25">
      <c r="A5523" s="2" t="str">
        <f t="shared" si="199"/>
        <v>45780</v>
      </c>
      <c r="B5523" s="2" t="str">
        <f>"43567"</f>
        <v>43567</v>
      </c>
      <c r="C5523" s="1">
        <v>1.72712369964995E-2</v>
      </c>
      <c r="D5523" s="1">
        <v>2.0858941408723498E-2</v>
      </c>
      <c r="E5523" s="1">
        <v>1.1395256393268801E-2</v>
      </c>
      <c r="F5523" s="1">
        <v>1.7292049259282499E-2</v>
      </c>
    </row>
    <row r="5524" spans="1:6" x14ac:dyDescent="0.25">
      <c r="A5524" s="2" t="str">
        <f t="shared" si="199"/>
        <v>45780</v>
      </c>
      <c r="B5524" s="2" t="str">
        <f>"43551"</f>
        <v>43551</v>
      </c>
      <c r="C5524" s="1">
        <v>6.18066854015678E-2</v>
      </c>
      <c r="D5524" s="1">
        <v>5.6356389913211902E-2</v>
      </c>
      <c r="E5524" s="1">
        <v>6.1613886312442002E-2</v>
      </c>
      <c r="F5524" s="1">
        <v>6.1399463528975101E-2</v>
      </c>
    </row>
    <row r="5525" spans="1:6" x14ac:dyDescent="0.25">
      <c r="A5525" s="2" t="str">
        <f t="shared" si="199"/>
        <v>45780</v>
      </c>
      <c r="B5525" s="2" t="str">
        <f>"43451"</f>
        <v>43451</v>
      </c>
      <c r="C5525" s="1">
        <v>1.30035004683725E-3</v>
      </c>
      <c r="D5525" s="1">
        <v>6.7046597385182695E-4</v>
      </c>
      <c r="E5525" s="1">
        <v>6.6251490658539801E-4</v>
      </c>
      <c r="F5525" s="1">
        <v>1.2279346957041299E-3</v>
      </c>
    </row>
    <row r="5526" spans="1:6" x14ac:dyDescent="0.25">
      <c r="A5526" s="2" t="str">
        <f t="shared" si="199"/>
        <v>45780</v>
      </c>
      <c r="B5526" s="2" t="str">
        <f>"43504"</f>
        <v>43504</v>
      </c>
      <c r="C5526" s="1">
        <v>1.4266873736626701E-3</v>
      </c>
      <c r="D5526" s="1">
        <v>2.2348865795060899E-4</v>
      </c>
      <c r="E5526" s="1">
        <v>3.3125745329269901E-4</v>
      </c>
      <c r="F5526" s="1">
        <v>1.2934245461416901E-3</v>
      </c>
    </row>
    <row r="5527" spans="1:6" x14ac:dyDescent="0.25">
      <c r="A5527" s="2" t="str">
        <f t="shared" si="199"/>
        <v>45780</v>
      </c>
      <c r="B5527" s="2" t="str">
        <f>"43463"</f>
        <v>43463</v>
      </c>
      <c r="C5527" s="1">
        <v>1.3866291968643601E-4</v>
      </c>
      <c r="D5527" s="1">
        <v>0</v>
      </c>
      <c r="E5527" s="1">
        <v>6.6251490658539799E-5</v>
      </c>
      <c r="F5527" s="1">
        <v>1.2552221333864499E-4</v>
      </c>
    </row>
    <row r="5528" spans="1:6" x14ac:dyDescent="0.25">
      <c r="A5528" s="2" t="str">
        <f t="shared" ref="A5528:A5543" si="200">"19580"</f>
        <v>19580</v>
      </c>
      <c r="B5528" s="2" t="str">
        <f>"43549"</f>
        <v>43549</v>
      </c>
      <c r="C5528" s="1">
        <v>2.7145260796410501E-2</v>
      </c>
      <c r="D5528" s="1">
        <v>6.3775510204081599E-3</v>
      </c>
      <c r="E5528" s="1">
        <v>0</v>
      </c>
      <c r="F5528" s="1">
        <v>2.4810406308070899E-2</v>
      </c>
    </row>
    <row r="5529" spans="1:6" x14ac:dyDescent="0.25">
      <c r="A5529" s="2" t="str">
        <f t="shared" si="200"/>
        <v>19580</v>
      </c>
      <c r="B5529" s="2" t="str">
        <f>"43548"</f>
        <v>43548</v>
      </c>
      <c r="C5529" s="1">
        <v>1.12170499158721E-3</v>
      </c>
      <c r="D5529" s="1">
        <v>0</v>
      </c>
      <c r="E5529" s="1">
        <v>0</v>
      </c>
      <c r="F5529" s="1">
        <v>1.0044698910150101E-3</v>
      </c>
    </row>
    <row r="5530" spans="1:6" x14ac:dyDescent="0.25">
      <c r="A5530" s="2" t="str">
        <f t="shared" si="200"/>
        <v>19580</v>
      </c>
      <c r="B5530" s="2" t="str">
        <f>"43530"</f>
        <v>43530</v>
      </c>
      <c r="C5530" s="1">
        <v>0</v>
      </c>
      <c r="D5530" s="1">
        <v>6.3775510204081595E-4</v>
      </c>
      <c r="E5530" s="1">
        <v>0</v>
      </c>
      <c r="F5530" s="1">
        <v>5.0223494550750798E-5</v>
      </c>
    </row>
    <row r="5531" spans="1:6" x14ac:dyDescent="0.25">
      <c r="A5531" s="2" t="str">
        <f t="shared" si="200"/>
        <v>19580</v>
      </c>
      <c r="B5531" s="2" t="str">
        <f>"43520"</f>
        <v>43520</v>
      </c>
      <c r="C5531" s="1">
        <v>5.6085249579360599E-5</v>
      </c>
      <c r="D5531" s="1">
        <v>6.3775510204081595E-4</v>
      </c>
      <c r="E5531" s="1">
        <v>0</v>
      </c>
      <c r="F5531" s="1">
        <v>1.00446989101501E-4</v>
      </c>
    </row>
    <row r="5532" spans="1:6" x14ac:dyDescent="0.25">
      <c r="A5532" s="2" t="str">
        <f t="shared" si="200"/>
        <v>19580</v>
      </c>
      <c r="B5532" s="2" t="str">
        <f>"43545"</f>
        <v>43545</v>
      </c>
      <c r="C5532" s="1">
        <v>6.1693774537296595E-4</v>
      </c>
      <c r="D5532" s="1">
        <v>0</v>
      </c>
      <c r="E5532" s="1">
        <v>0</v>
      </c>
      <c r="F5532" s="1">
        <v>5.5245844005825896E-4</v>
      </c>
    </row>
    <row r="5533" spans="1:6" x14ac:dyDescent="0.25">
      <c r="A5533" s="2" t="str">
        <f t="shared" si="200"/>
        <v>19580</v>
      </c>
      <c r="B5533" s="2" t="str">
        <f>"43556"</f>
        <v>43556</v>
      </c>
      <c r="C5533" s="1">
        <v>3.02860347728547E-2</v>
      </c>
      <c r="D5533" s="1">
        <v>1.5943877551020402E-2</v>
      </c>
      <c r="E5533" s="1">
        <v>1.7543859649122799E-2</v>
      </c>
      <c r="F5533" s="1">
        <v>2.8828285872130901E-2</v>
      </c>
    </row>
    <row r="5534" spans="1:6" x14ac:dyDescent="0.25">
      <c r="A5534" s="2" t="str">
        <f t="shared" si="200"/>
        <v>19580</v>
      </c>
      <c r="B5534" s="2" t="str">
        <f>"43512"</f>
        <v>43512</v>
      </c>
      <c r="C5534" s="1">
        <v>0.75541222658440799</v>
      </c>
      <c r="D5534" s="1">
        <v>0.85267857142857095</v>
      </c>
      <c r="E5534" s="1">
        <v>0.83235867446393697</v>
      </c>
      <c r="F5534" s="1">
        <v>0.76505449249158697</v>
      </c>
    </row>
    <row r="5535" spans="1:6" x14ac:dyDescent="0.25">
      <c r="A5535" s="2" t="str">
        <f t="shared" si="200"/>
        <v>19580</v>
      </c>
      <c r="B5535" s="2" t="str">
        <f>"45813"</f>
        <v>45813</v>
      </c>
      <c r="C5535" s="1">
        <v>3.3651149747616302E-4</v>
      </c>
      <c r="D5535" s="1">
        <v>0</v>
      </c>
      <c r="E5535" s="1">
        <v>0</v>
      </c>
      <c r="F5535" s="1">
        <v>3.0134096730450498E-4</v>
      </c>
    </row>
    <row r="5536" spans="1:6" x14ac:dyDescent="0.25">
      <c r="A5536" s="2" t="str">
        <f t="shared" si="200"/>
        <v>19580</v>
      </c>
      <c r="B5536" s="2" t="str">
        <f>"43536"</f>
        <v>43536</v>
      </c>
      <c r="C5536" s="1">
        <v>9.0297251822770604E-3</v>
      </c>
      <c r="D5536" s="1">
        <v>2.5510204081632599E-3</v>
      </c>
      <c r="E5536" s="1">
        <v>0</v>
      </c>
      <c r="F5536" s="1">
        <v>8.2868766008738805E-3</v>
      </c>
    </row>
    <row r="5537" spans="1:6" x14ac:dyDescent="0.25">
      <c r="A5537" s="2" t="str">
        <f t="shared" si="200"/>
        <v>19580</v>
      </c>
      <c r="B5537" s="2" t="str">
        <f>"43517"</f>
        <v>43517</v>
      </c>
      <c r="C5537" s="1">
        <v>1.8227706113292198E-2</v>
      </c>
      <c r="D5537" s="1">
        <v>2.5510204081632599E-3</v>
      </c>
      <c r="E5537" s="1">
        <v>7.7972709551656898E-3</v>
      </c>
      <c r="F5537" s="1">
        <v>1.6724423685399999E-2</v>
      </c>
    </row>
    <row r="5538" spans="1:6" x14ac:dyDescent="0.25">
      <c r="A5538" s="2" t="str">
        <f t="shared" si="200"/>
        <v>19580</v>
      </c>
      <c r="B5538" s="2" t="str">
        <f>"43519"</f>
        <v>43519</v>
      </c>
      <c r="C5538" s="1">
        <v>0</v>
      </c>
      <c r="D5538" s="1">
        <v>6.3775510204081595E-4</v>
      </c>
      <c r="E5538" s="1">
        <v>0</v>
      </c>
      <c r="F5538" s="1">
        <v>5.0223494550750798E-5</v>
      </c>
    </row>
    <row r="5539" spans="1:6" x14ac:dyDescent="0.25">
      <c r="A5539" s="2" t="str">
        <f t="shared" si="200"/>
        <v>19580</v>
      </c>
      <c r="B5539" s="2" t="str">
        <f>"43506"</f>
        <v>43506</v>
      </c>
      <c r="C5539" s="1">
        <v>1.03196859226023E-2</v>
      </c>
      <c r="D5539" s="1">
        <v>1.2755102040816299E-3</v>
      </c>
      <c r="E5539" s="1">
        <v>0</v>
      </c>
      <c r="F5539" s="1">
        <v>9.3415699864396497E-3</v>
      </c>
    </row>
    <row r="5540" spans="1:6" x14ac:dyDescent="0.25">
      <c r="A5540" s="2" t="str">
        <f t="shared" si="200"/>
        <v>19580</v>
      </c>
      <c r="B5540" s="2" t="str">
        <f>"43527"</f>
        <v>43527</v>
      </c>
      <c r="C5540" s="1">
        <v>3.9259674705552404E-3</v>
      </c>
      <c r="D5540" s="1">
        <v>0</v>
      </c>
      <c r="E5540" s="1">
        <v>0</v>
      </c>
      <c r="F5540" s="1">
        <v>3.51564461855255E-3</v>
      </c>
    </row>
    <row r="5541" spans="1:6" x14ac:dyDescent="0.25">
      <c r="A5541" s="2" t="str">
        <f t="shared" si="200"/>
        <v>19580</v>
      </c>
      <c r="B5541" s="2" t="str">
        <f>"45821"</f>
        <v>45821</v>
      </c>
      <c r="C5541" s="1">
        <v>4.4868199663488501E-4</v>
      </c>
      <c r="D5541" s="1">
        <v>0</v>
      </c>
      <c r="E5541" s="1">
        <v>0</v>
      </c>
      <c r="F5541" s="1">
        <v>4.0178795640600601E-4</v>
      </c>
    </row>
    <row r="5542" spans="1:6" x14ac:dyDescent="0.25">
      <c r="A5542" s="2" t="str">
        <f t="shared" si="200"/>
        <v>19580</v>
      </c>
      <c r="B5542" s="2" t="str">
        <f>"43526"</f>
        <v>43526</v>
      </c>
      <c r="C5542" s="1">
        <v>0.142400448681996</v>
      </c>
      <c r="D5542" s="1">
        <v>0.116709183673469</v>
      </c>
      <c r="E5542" s="1">
        <v>0.14230019493177301</v>
      </c>
      <c r="F5542" s="1">
        <v>0.140374667269348</v>
      </c>
    </row>
    <row r="5543" spans="1:6" x14ac:dyDescent="0.25">
      <c r="A5543" s="2" t="str">
        <f t="shared" si="200"/>
        <v>19580</v>
      </c>
      <c r="B5543" s="2" t="str">
        <f>"45831"</f>
        <v>45831</v>
      </c>
      <c r="C5543" s="1">
        <v>6.7302299495232702E-4</v>
      </c>
      <c r="D5543" s="1">
        <v>0</v>
      </c>
      <c r="E5543" s="1">
        <v>0</v>
      </c>
      <c r="F5543" s="1">
        <v>6.0268193460900996E-4</v>
      </c>
    </row>
    <row r="5544" spans="1:6" x14ac:dyDescent="0.25">
      <c r="A5544" s="2" t="str">
        <f t="shared" ref="A5544:A5567" si="201">"24820"</f>
        <v>24820</v>
      </c>
      <c r="B5544" s="2" t="str">
        <f>"45362"</f>
        <v>45362</v>
      </c>
      <c r="C5544" s="1">
        <v>1.8602835956810101E-2</v>
      </c>
      <c r="D5544" s="1">
        <v>5.3262316910785597E-3</v>
      </c>
      <c r="E5544" s="1">
        <v>0</v>
      </c>
      <c r="F5544" s="1">
        <v>1.7424242424242401E-2</v>
      </c>
    </row>
    <row r="5545" spans="1:6" x14ac:dyDescent="0.25">
      <c r="A5545" s="2" t="str">
        <f t="shared" si="201"/>
        <v>24820</v>
      </c>
      <c r="B5545" s="2" t="str">
        <f>"45328"</f>
        <v>45328</v>
      </c>
      <c r="C5545" s="1">
        <v>2.29825246086466E-3</v>
      </c>
      <c r="D5545" s="1">
        <v>1.3315579227696399E-3</v>
      </c>
      <c r="E5545" s="1">
        <v>0</v>
      </c>
      <c r="F5545" s="1">
        <v>2.1929824561403499E-3</v>
      </c>
    </row>
    <row r="5546" spans="1:6" x14ac:dyDescent="0.25">
      <c r="A5546" s="2" t="str">
        <f t="shared" si="201"/>
        <v>24820</v>
      </c>
      <c r="B5546" s="2" t="str">
        <f>"45318"</f>
        <v>45318</v>
      </c>
      <c r="C5546" s="1">
        <v>1.7345301591431401E-4</v>
      </c>
      <c r="D5546" s="1">
        <v>0</v>
      </c>
      <c r="E5546" s="1">
        <v>0</v>
      </c>
      <c r="F5546" s="1">
        <v>1.5948963317384299E-4</v>
      </c>
    </row>
    <row r="5547" spans="1:6" x14ac:dyDescent="0.25">
      <c r="A5547" s="2" t="str">
        <f t="shared" si="201"/>
        <v>24820</v>
      </c>
      <c r="B5547" s="2" t="str">
        <f>"45388"</f>
        <v>45388</v>
      </c>
      <c r="C5547" s="1">
        <v>1.02337279389445E-2</v>
      </c>
      <c r="D5547" s="1">
        <v>4.6604527296937402E-3</v>
      </c>
      <c r="E5547" s="1">
        <v>3.8684719535783301E-3</v>
      </c>
      <c r="F5547" s="1">
        <v>9.7687400318979198E-3</v>
      </c>
    </row>
    <row r="5548" spans="1:6" x14ac:dyDescent="0.25">
      <c r="A5548" s="2" t="str">
        <f t="shared" si="201"/>
        <v>24820</v>
      </c>
      <c r="B5548" s="2" t="str">
        <f>"45352"</f>
        <v>45352</v>
      </c>
      <c r="C5548" s="1">
        <v>4.0761458739863804E-3</v>
      </c>
      <c r="D5548" s="1">
        <v>0</v>
      </c>
      <c r="E5548" s="1">
        <v>1.9342359767891601E-3</v>
      </c>
      <c r="F5548" s="1">
        <v>3.7878787878787802E-3</v>
      </c>
    </row>
    <row r="5549" spans="1:6" x14ac:dyDescent="0.25">
      <c r="A5549" s="2" t="str">
        <f t="shared" si="201"/>
        <v>24820</v>
      </c>
      <c r="B5549" s="2" t="str">
        <f>"45346"</f>
        <v>45346</v>
      </c>
      <c r="C5549" s="1">
        <v>4.1628723819435401E-2</v>
      </c>
      <c r="D5549" s="1">
        <v>9.3209054593874803E-3</v>
      </c>
      <c r="E5549" s="1">
        <v>2.1276595744680799E-2</v>
      </c>
      <c r="F5549" s="1">
        <v>3.9274322169059003E-2</v>
      </c>
    </row>
    <row r="5550" spans="1:6" x14ac:dyDescent="0.25">
      <c r="A5550" s="2" t="str">
        <f t="shared" si="201"/>
        <v>24820</v>
      </c>
      <c r="B5550" s="2" t="str">
        <f>"45337"</f>
        <v>45337</v>
      </c>
      <c r="C5550" s="1">
        <v>4.9434109535579501E-3</v>
      </c>
      <c r="D5550" s="1">
        <v>0</v>
      </c>
      <c r="E5550" s="1">
        <v>0</v>
      </c>
      <c r="F5550" s="1">
        <v>4.54545454545454E-3</v>
      </c>
    </row>
    <row r="5551" spans="1:6" x14ac:dyDescent="0.25">
      <c r="A5551" s="2" t="str">
        <f t="shared" si="201"/>
        <v>24820</v>
      </c>
      <c r="B5551" s="2" t="str">
        <f>"45382"</f>
        <v>45382</v>
      </c>
      <c r="C5551" s="1">
        <v>3.5991500802220102E-3</v>
      </c>
      <c r="D5551" s="1">
        <v>6.6577896138481996E-4</v>
      </c>
      <c r="E5551" s="1">
        <v>0</v>
      </c>
      <c r="F5551" s="1">
        <v>3.3492822966507099E-3</v>
      </c>
    </row>
    <row r="5552" spans="1:6" x14ac:dyDescent="0.25">
      <c r="A5552" s="2" t="str">
        <f t="shared" si="201"/>
        <v>24820</v>
      </c>
      <c r="B5552" s="2" t="str">
        <f>"45308"</f>
        <v>45308</v>
      </c>
      <c r="C5552" s="1">
        <v>5.0084558345258198E-2</v>
      </c>
      <c r="D5552" s="1">
        <v>2.9294274300932E-2</v>
      </c>
      <c r="E5552" s="1">
        <v>1.5473887814313299E-2</v>
      </c>
      <c r="F5552" s="1">
        <v>4.8125996810207301E-2</v>
      </c>
    </row>
    <row r="5553" spans="1:6" x14ac:dyDescent="0.25">
      <c r="A5553" s="2" t="str">
        <f t="shared" si="201"/>
        <v>24820</v>
      </c>
      <c r="B5553" s="2" t="str">
        <f>"45846"</f>
        <v>45846</v>
      </c>
      <c r="C5553" s="1">
        <v>5.2903169853865803E-3</v>
      </c>
      <c r="D5553" s="1">
        <v>2.6631158455392798E-3</v>
      </c>
      <c r="E5553" s="1">
        <v>0</v>
      </c>
      <c r="F5553" s="1">
        <v>5.0239234449760703E-3</v>
      </c>
    </row>
    <row r="5554" spans="1:6" x14ac:dyDescent="0.25">
      <c r="A5554" s="2" t="str">
        <f t="shared" si="201"/>
        <v>24820</v>
      </c>
      <c r="B5554" s="2" t="str">
        <f>"45358"</f>
        <v>45358</v>
      </c>
      <c r="C5554" s="1">
        <v>5.7239495251723603E-3</v>
      </c>
      <c r="D5554" s="1">
        <v>6.6577896138481996E-4</v>
      </c>
      <c r="E5554" s="1">
        <v>7.7369439071566697E-3</v>
      </c>
      <c r="F5554" s="1">
        <v>5.4625199362041401E-3</v>
      </c>
    </row>
    <row r="5555" spans="1:6" x14ac:dyDescent="0.25">
      <c r="A5555" s="2" t="str">
        <f t="shared" si="201"/>
        <v>24820</v>
      </c>
      <c r="B5555" s="2" t="str">
        <f>"45350"</f>
        <v>45350</v>
      </c>
      <c r="C5555" s="1">
        <v>4.3363253978578502E-5</v>
      </c>
      <c r="D5555" s="1">
        <v>6.6577896138481996E-4</v>
      </c>
      <c r="E5555" s="1">
        <v>0</v>
      </c>
      <c r="F5555" s="1">
        <v>7.9744816586921794E-5</v>
      </c>
    </row>
    <row r="5556" spans="1:6" x14ac:dyDescent="0.25">
      <c r="A5556" s="2" t="str">
        <f t="shared" si="201"/>
        <v>24820</v>
      </c>
      <c r="B5556" s="2" t="str">
        <f>"45332"</f>
        <v>45332</v>
      </c>
      <c r="C5556" s="1">
        <v>9.3230996053943801E-3</v>
      </c>
      <c r="D5556" s="1">
        <v>3.9946737683089198E-3</v>
      </c>
      <c r="E5556" s="1">
        <v>0</v>
      </c>
      <c r="F5556" s="1">
        <v>8.8118022328548592E-3</v>
      </c>
    </row>
    <row r="5557" spans="1:6" x14ac:dyDescent="0.25">
      <c r="A5557" s="2" t="str">
        <f t="shared" si="201"/>
        <v>24820</v>
      </c>
      <c r="B5557" s="2" t="str">
        <f>"45331"</f>
        <v>45331</v>
      </c>
      <c r="C5557" s="1">
        <v>0.47825332812974197</v>
      </c>
      <c r="D5557" s="1">
        <v>0.63981358189081206</v>
      </c>
      <c r="E5557" s="1">
        <v>0.680851063829787</v>
      </c>
      <c r="F5557" s="1">
        <v>0.49210526315789399</v>
      </c>
    </row>
    <row r="5558" spans="1:6" x14ac:dyDescent="0.25">
      <c r="A5558" s="2" t="str">
        <f t="shared" si="201"/>
        <v>24820</v>
      </c>
      <c r="B5558" s="2" t="str">
        <f>"45383"</f>
        <v>45383</v>
      </c>
      <c r="C5558" s="1">
        <v>3.0354277785004898E-4</v>
      </c>
      <c r="D5558" s="1">
        <v>0</v>
      </c>
      <c r="E5558" s="1">
        <v>0</v>
      </c>
      <c r="F5558" s="1">
        <v>2.7910685805422597E-4</v>
      </c>
    </row>
    <row r="5559" spans="1:6" x14ac:dyDescent="0.25">
      <c r="A5559" s="2" t="str">
        <f t="shared" si="201"/>
        <v>24820</v>
      </c>
      <c r="B5559" s="2" t="str">
        <f>"45303"</f>
        <v>45303</v>
      </c>
      <c r="C5559" s="1">
        <v>3.9503924374485001E-2</v>
      </c>
      <c r="D5559" s="1">
        <v>1.39813581890812E-2</v>
      </c>
      <c r="E5559" s="1">
        <v>3.8684719535783301E-3</v>
      </c>
      <c r="F5559" s="1">
        <v>3.7240829346092498E-2</v>
      </c>
    </row>
    <row r="5560" spans="1:6" x14ac:dyDescent="0.25">
      <c r="A5560" s="2" t="str">
        <f t="shared" si="201"/>
        <v>24820</v>
      </c>
      <c r="B5560" s="2" t="str">
        <f>"45845"</f>
        <v>45845</v>
      </c>
      <c r="C5560" s="1">
        <v>1.30089761935735E-4</v>
      </c>
      <c r="D5560" s="1">
        <v>0</v>
      </c>
      <c r="E5560" s="1">
        <v>0</v>
      </c>
      <c r="F5560" s="1">
        <v>1.1961722488038201E-4</v>
      </c>
    </row>
    <row r="5561" spans="1:6" x14ac:dyDescent="0.25">
      <c r="A5561" s="2" t="str">
        <f t="shared" si="201"/>
        <v>24820</v>
      </c>
      <c r="B5561" s="2" t="str">
        <f>"45347"</f>
        <v>45347</v>
      </c>
      <c r="C5561" s="1">
        <v>1.0884176748623201E-2</v>
      </c>
      <c r="D5561" s="1">
        <v>3.3288948069240998E-3</v>
      </c>
      <c r="E5561" s="1">
        <v>0</v>
      </c>
      <c r="F5561" s="1">
        <v>1.0207336523125899E-2</v>
      </c>
    </row>
    <row r="5562" spans="1:6" x14ac:dyDescent="0.25">
      <c r="A5562" s="2" t="str">
        <f t="shared" si="201"/>
        <v>24820</v>
      </c>
      <c r="B5562" s="2" t="str">
        <f>"45390"</f>
        <v>45390</v>
      </c>
      <c r="C5562" s="1">
        <v>6.5261697237760694E-2</v>
      </c>
      <c r="D5562" s="1">
        <v>4.1944074567243597E-2</v>
      </c>
      <c r="E5562" s="1">
        <v>4.6421663442939999E-2</v>
      </c>
      <c r="F5562" s="1">
        <v>6.3476874003189701E-2</v>
      </c>
    </row>
    <row r="5563" spans="1:6" x14ac:dyDescent="0.25">
      <c r="A5563" s="2" t="str">
        <f t="shared" si="201"/>
        <v>24820</v>
      </c>
      <c r="B5563" s="2" t="str">
        <f>"45304"</f>
        <v>45304</v>
      </c>
      <c r="C5563" s="1">
        <v>0.13516326265122899</v>
      </c>
      <c r="D5563" s="1">
        <v>8.6551264980026604E-2</v>
      </c>
      <c r="E5563" s="1">
        <v>0.117988394584139</v>
      </c>
      <c r="F5563" s="1">
        <v>0.13189792663476799</v>
      </c>
    </row>
    <row r="5564" spans="1:6" x14ac:dyDescent="0.25">
      <c r="A5564" s="2" t="str">
        <f t="shared" si="201"/>
        <v>24820</v>
      </c>
      <c r="B5564" s="2" t="str">
        <f>"45883"</f>
        <v>45883</v>
      </c>
      <c r="C5564" s="1">
        <v>8.67265079571571E-5</v>
      </c>
      <c r="D5564" s="1">
        <v>0</v>
      </c>
      <c r="E5564" s="1">
        <v>0</v>
      </c>
      <c r="F5564" s="1">
        <v>7.9744816586921794E-5</v>
      </c>
    </row>
    <row r="5565" spans="1:6" x14ac:dyDescent="0.25">
      <c r="A5565" s="2" t="str">
        <f t="shared" si="201"/>
        <v>24820</v>
      </c>
      <c r="B5565" s="2" t="str">
        <f>"45351"</f>
        <v>45351</v>
      </c>
      <c r="C5565" s="1">
        <v>2.7752482546290198E-3</v>
      </c>
      <c r="D5565" s="1">
        <v>6.6577896138481996E-4</v>
      </c>
      <c r="E5565" s="1">
        <v>0</v>
      </c>
      <c r="F5565" s="1">
        <v>2.5917065390749601E-3</v>
      </c>
    </row>
    <row r="5566" spans="1:6" x14ac:dyDescent="0.25">
      <c r="A5566" s="2" t="str">
        <f t="shared" si="201"/>
        <v>24820</v>
      </c>
      <c r="B5566" s="2" t="str">
        <f>"45348"</f>
        <v>45348</v>
      </c>
      <c r="C5566" s="1">
        <v>1.48735961146524E-2</v>
      </c>
      <c r="D5566" s="1">
        <v>1.1318242343541901E-2</v>
      </c>
      <c r="E5566" s="1">
        <v>0</v>
      </c>
      <c r="F5566" s="1">
        <v>1.43540669856459E-2</v>
      </c>
    </row>
    <row r="5567" spans="1:6" x14ac:dyDescent="0.25">
      <c r="A5567" s="2" t="str">
        <f t="shared" si="201"/>
        <v>24820</v>
      </c>
      <c r="B5567" s="2" t="str">
        <f>"45380"</f>
        <v>45380</v>
      </c>
      <c r="C5567" s="1">
        <v>9.6743419626208693E-2</v>
      </c>
      <c r="D5567" s="1">
        <v>0.143808255659121</v>
      </c>
      <c r="E5567" s="1">
        <v>0.100580270793036</v>
      </c>
      <c r="F5567" s="1">
        <v>9.9641148325358794E-2</v>
      </c>
    </row>
    <row r="5568" spans="1:6" x14ac:dyDescent="0.25">
      <c r="A5568" s="2" t="str">
        <f t="shared" ref="A5568:A5590" si="202">"39020"</f>
        <v>39020</v>
      </c>
      <c r="B5568" s="2" t="str">
        <f>"45677"</f>
        <v>45677</v>
      </c>
      <c r="C5568" s="1">
        <v>0</v>
      </c>
      <c r="D5568" s="1">
        <v>3.6603221083455302E-4</v>
      </c>
      <c r="E5568" s="1">
        <v>0</v>
      </c>
      <c r="F5568" s="1">
        <v>2.4171521113823601E-5</v>
      </c>
    </row>
    <row r="5569" spans="1:6" x14ac:dyDescent="0.25">
      <c r="A5569" s="2" t="str">
        <f t="shared" si="202"/>
        <v>39020</v>
      </c>
      <c r="B5569" s="2" t="str">
        <f>"45652"</f>
        <v>45652</v>
      </c>
      <c r="C5569" s="1">
        <v>3.9770419904161101E-2</v>
      </c>
      <c r="D5569" s="1">
        <v>8.7847730600292794E-3</v>
      </c>
      <c r="E5569" s="1">
        <v>2.5851938895417099E-2</v>
      </c>
      <c r="F5569" s="1">
        <v>3.7151627951947E-2</v>
      </c>
    </row>
    <row r="5570" spans="1:6" x14ac:dyDescent="0.25">
      <c r="A5570" s="2" t="str">
        <f t="shared" si="202"/>
        <v>39020</v>
      </c>
      <c r="B5570" s="2" t="str">
        <f>"45638"</f>
        <v>45638</v>
      </c>
      <c r="C5570" s="1">
        <v>1.23182716517313E-2</v>
      </c>
      <c r="D5570" s="1">
        <v>7.3206442166910603E-4</v>
      </c>
      <c r="E5570" s="1">
        <v>1.2925969447708499E-2</v>
      </c>
      <c r="F5570" s="1">
        <v>1.1578158613521501E-2</v>
      </c>
    </row>
    <row r="5571" spans="1:6" x14ac:dyDescent="0.25">
      <c r="A5571" s="2" t="str">
        <f t="shared" si="202"/>
        <v>39020</v>
      </c>
      <c r="B5571" s="2" t="str">
        <f>"45616"</f>
        <v>45616</v>
      </c>
      <c r="C5571" s="1">
        <v>4.3046267969786304E-3</v>
      </c>
      <c r="D5571" s="1">
        <v>1.0980966325036599E-3</v>
      </c>
      <c r="E5571" s="1">
        <v>3.5252643948296102E-3</v>
      </c>
      <c r="F5571" s="1">
        <v>4.0608155471223801E-3</v>
      </c>
    </row>
    <row r="5572" spans="1:6" x14ac:dyDescent="0.25">
      <c r="A5572" s="2" t="str">
        <f t="shared" si="202"/>
        <v>39020</v>
      </c>
      <c r="B5572" s="2" t="str">
        <f>"45682"</f>
        <v>45682</v>
      </c>
      <c r="C5572" s="1">
        <v>2.43387389338603E-2</v>
      </c>
      <c r="D5572" s="1">
        <v>3.2942898975109802E-3</v>
      </c>
      <c r="E5572" s="1">
        <v>9.4007050528789604E-3</v>
      </c>
      <c r="F5572" s="1">
        <v>2.2334485509173E-2</v>
      </c>
    </row>
    <row r="5573" spans="1:6" x14ac:dyDescent="0.25">
      <c r="A5573" s="2" t="str">
        <f t="shared" si="202"/>
        <v>39020</v>
      </c>
      <c r="B5573" s="2" t="str">
        <f>"45659"</f>
        <v>45659</v>
      </c>
      <c r="C5573" s="1">
        <v>3.2487749411159501E-4</v>
      </c>
      <c r="D5573" s="1">
        <v>0</v>
      </c>
      <c r="E5573" s="1">
        <v>0</v>
      </c>
      <c r="F5573" s="1">
        <v>2.9005825336588398E-4</v>
      </c>
    </row>
    <row r="5574" spans="1:6" x14ac:dyDescent="0.25">
      <c r="A5574" s="2" t="str">
        <f t="shared" si="202"/>
        <v>39020</v>
      </c>
      <c r="B5574" s="2" t="str">
        <f>"45648"</f>
        <v>45648</v>
      </c>
      <c r="C5574" s="1">
        <v>0.124996615859436</v>
      </c>
      <c r="D5574" s="1">
        <v>4.0263543191800803E-2</v>
      </c>
      <c r="E5574" s="1">
        <v>0.11163337250293701</v>
      </c>
      <c r="F5574" s="1">
        <v>0.11885136931667099</v>
      </c>
    </row>
    <row r="5575" spans="1:6" x14ac:dyDescent="0.25">
      <c r="A5575" s="2" t="str">
        <f t="shared" si="202"/>
        <v>39020</v>
      </c>
      <c r="B5575" s="2" t="str">
        <f>"45613"</f>
        <v>45613</v>
      </c>
      <c r="C5575" s="1">
        <v>3.7902374313019402E-4</v>
      </c>
      <c r="D5575" s="1">
        <v>0</v>
      </c>
      <c r="E5575" s="1">
        <v>1.1750881316098701E-3</v>
      </c>
      <c r="F5575" s="1">
        <v>3.8674433782117903E-4</v>
      </c>
    </row>
    <row r="5576" spans="1:6" x14ac:dyDescent="0.25">
      <c r="A5576" s="2" t="str">
        <f t="shared" si="202"/>
        <v>39020</v>
      </c>
      <c r="B5576" s="2" t="str">
        <f>"45636"</f>
        <v>45636</v>
      </c>
      <c r="C5576" s="1">
        <v>0</v>
      </c>
      <c r="D5576" s="1">
        <v>3.6603221083455302E-4</v>
      </c>
      <c r="E5576" s="1">
        <v>0</v>
      </c>
      <c r="F5576" s="1">
        <v>2.4171521113823601E-5</v>
      </c>
    </row>
    <row r="5577" spans="1:6" x14ac:dyDescent="0.25">
      <c r="A5577" s="2" t="str">
        <f t="shared" si="202"/>
        <v>39020</v>
      </c>
      <c r="B5577" s="2" t="str">
        <f>"45660"</f>
        <v>45660</v>
      </c>
      <c r="C5577" s="1">
        <v>1.3265831009556799E-3</v>
      </c>
      <c r="D5577" s="1">
        <v>0</v>
      </c>
      <c r="E5577" s="1">
        <v>0</v>
      </c>
      <c r="F5577" s="1">
        <v>1.18440453457736E-3</v>
      </c>
    </row>
    <row r="5578" spans="1:6" x14ac:dyDescent="0.25">
      <c r="A5578" s="2" t="str">
        <f t="shared" si="202"/>
        <v>39020</v>
      </c>
      <c r="B5578" s="2" t="str">
        <f>"45662"</f>
        <v>45662</v>
      </c>
      <c r="C5578" s="1">
        <v>0.40200882583858999</v>
      </c>
      <c r="D5578" s="1">
        <v>0.70534407027818402</v>
      </c>
      <c r="E5578" s="1">
        <v>0.32726204465334902</v>
      </c>
      <c r="F5578" s="1">
        <v>0.418964975465906</v>
      </c>
    </row>
    <row r="5579" spans="1:6" x14ac:dyDescent="0.25">
      <c r="A5579" s="2" t="str">
        <f t="shared" si="202"/>
        <v>39020</v>
      </c>
      <c r="B5579" s="2" t="str">
        <f>"45657"</f>
        <v>45657</v>
      </c>
      <c r="C5579" s="1">
        <v>3.2541895660178101E-2</v>
      </c>
      <c r="D5579" s="1">
        <v>3.6603221083455302E-3</v>
      </c>
      <c r="E5579" s="1">
        <v>1.70387779083431E-2</v>
      </c>
      <c r="F5579" s="1">
        <v>2.99968577022552E-2</v>
      </c>
    </row>
    <row r="5580" spans="1:6" x14ac:dyDescent="0.25">
      <c r="A5580" s="2" t="str">
        <f t="shared" si="202"/>
        <v>39020</v>
      </c>
      <c r="B5580" s="2" t="str">
        <f>"45630"</f>
        <v>45630</v>
      </c>
      <c r="C5580" s="1">
        <v>2.16584996074396E-4</v>
      </c>
      <c r="D5580" s="1">
        <v>3.6603221083455302E-4</v>
      </c>
      <c r="E5580" s="1">
        <v>0</v>
      </c>
      <c r="F5580" s="1">
        <v>2.1754369002441299E-4</v>
      </c>
    </row>
    <row r="5581" spans="1:6" x14ac:dyDescent="0.25">
      <c r="A5581" s="2" t="str">
        <f t="shared" si="202"/>
        <v>39020</v>
      </c>
      <c r="B5581" s="2" t="str">
        <f>"45699"</f>
        <v>45699</v>
      </c>
      <c r="C5581" s="1">
        <v>0</v>
      </c>
      <c r="D5581" s="1">
        <v>3.6603221083455302E-4</v>
      </c>
      <c r="E5581" s="1">
        <v>0</v>
      </c>
      <c r="F5581" s="1">
        <v>2.4171521113823601E-5</v>
      </c>
    </row>
    <row r="5582" spans="1:6" x14ac:dyDescent="0.25">
      <c r="A5582" s="2" t="str">
        <f t="shared" si="202"/>
        <v>39020</v>
      </c>
      <c r="B5582" s="2" t="str">
        <f>"45656"</f>
        <v>45656</v>
      </c>
      <c r="C5582" s="1">
        <v>2.9780436960229499E-4</v>
      </c>
      <c r="D5582" s="1">
        <v>0</v>
      </c>
      <c r="E5582" s="1">
        <v>0</v>
      </c>
      <c r="F5582" s="1">
        <v>2.6588673225205999E-4</v>
      </c>
    </row>
    <row r="5583" spans="1:6" x14ac:dyDescent="0.25">
      <c r="A5583" s="2" t="str">
        <f t="shared" si="202"/>
        <v>39020</v>
      </c>
      <c r="B5583" s="2" t="str">
        <f>"45629"</f>
        <v>45629</v>
      </c>
      <c r="C5583" s="1">
        <v>4.3560657335463E-2</v>
      </c>
      <c r="D5583" s="1">
        <v>1.42752562225475E-2</v>
      </c>
      <c r="E5583" s="1">
        <v>1.70387779083431E-2</v>
      </c>
      <c r="F5583" s="1">
        <v>4.0535640907882302E-2</v>
      </c>
    </row>
    <row r="5584" spans="1:6" x14ac:dyDescent="0.25">
      <c r="A5584" s="2" t="str">
        <f t="shared" si="202"/>
        <v>39020</v>
      </c>
      <c r="B5584" s="2" t="str">
        <f>"45684"</f>
        <v>45684</v>
      </c>
      <c r="C5584" s="1">
        <v>1.6649971573219201E-2</v>
      </c>
      <c r="D5584" s="1">
        <v>4.3923865300146397E-3</v>
      </c>
      <c r="E5584" s="1">
        <v>1.52761457109283E-2</v>
      </c>
      <c r="F5584" s="1">
        <v>1.5784003287326799E-2</v>
      </c>
    </row>
    <row r="5585" spans="1:6" x14ac:dyDescent="0.25">
      <c r="A5585" s="2" t="str">
        <f t="shared" si="202"/>
        <v>39020</v>
      </c>
      <c r="B5585" s="2" t="str">
        <f>"45663"</f>
        <v>45663</v>
      </c>
      <c r="C5585" s="1">
        <v>8.8177166526788794E-2</v>
      </c>
      <c r="D5585" s="1">
        <v>5.27086383601756E-2</v>
      </c>
      <c r="E5585" s="1">
        <v>0.20622796709753199</v>
      </c>
      <c r="F5585" s="1">
        <v>9.0691547219066401E-2</v>
      </c>
    </row>
    <row r="5586" spans="1:6" x14ac:dyDescent="0.25">
      <c r="A5586" s="2" t="str">
        <f t="shared" si="202"/>
        <v>39020</v>
      </c>
      <c r="B5586" s="2" t="str">
        <f>"45653"</f>
        <v>45653</v>
      </c>
      <c r="C5586" s="1">
        <v>4.9787475972601899E-2</v>
      </c>
      <c r="D5586" s="1">
        <v>2.2327964860907702E-2</v>
      </c>
      <c r="E5586" s="1">
        <v>2.3501762632197401E-2</v>
      </c>
      <c r="F5586" s="1">
        <v>4.6892750960817901E-2</v>
      </c>
    </row>
    <row r="5587" spans="1:6" x14ac:dyDescent="0.25">
      <c r="A5587" s="2" t="str">
        <f t="shared" si="202"/>
        <v>39020</v>
      </c>
      <c r="B5587" s="2" t="str">
        <f>"45671"</f>
        <v>45671</v>
      </c>
      <c r="C5587" s="1">
        <v>4.9814549097111204E-3</v>
      </c>
      <c r="D5587" s="1">
        <v>3.6603221083455302E-4</v>
      </c>
      <c r="E5587" s="1">
        <v>1.1750881316098701E-3</v>
      </c>
      <c r="F5587" s="1">
        <v>4.5200744482850304E-3</v>
      </c>
    </row>
    <row r="5588" spans="1:6" x14ac:dyDescent="0.25">
      <c r="A5588" s="2" t="str">
        <f t="shared" si="202"/>
        <v>39020</v>
      </c>
      <c r="B5588" s="2" t="str">
        <f>"45661"</f>
        <v>45661</v>
      </c>
      <c r="C5588" s="1">
        <v>2.9780436960229499E-4</v>
      </c>
      <c r="D5588" s="1">
        <v>0</v>
      </c>
      <c r="E5588" s="1">
        <v>0</v>
      </c>
      <c r="F5588" s="1">
        <v>2.6588673225205999E-4</v>
      </c>
    </row>
    <row r="5589" spans="1:6" x14ac:dyDescent="0.25">
      <c r="A5589" s="2" t="str">
        <f t="shared" si="202"/>
        <v>39020</v>
      </c>
      <c r="B5589" s="2" t="str">
        <f>"45694"</f>
        <v>45694</v>
      </c>
      <c r="C5589" s="1">
        <v>0.15336925034518201</v>
      </c>
      <c r="D5589" s="1">
        <v>0.14128843338213701</v>
      </c>
      <c r="E5589" s="1">
        <v>0.22796709753231401</v>
      </c>
      <c r="F5589" s="1">
        <v>0.15564042445191001</v>
      </c>
    </row>
    <row r="5590" spans="1:6" x14ac:dyDescent="0.25">
      <c r="A5590" s="2" t="str">
        <f t="shared" si="202"/>
        <v>39020</v>
      </c>
      <c r="B5590" s="2" t="str">
        <f>"45640"</f>
        <v>45640</v>
      </c>
      <c r="C5590" s="1">
        <v>3.5195061862089498E-4</v>
      </c>
      <c r="D5590" s="1">
        <v>0</v>
      </c>
      <c r="E5590" s="1">
        <v>0</v>
      </c>
      <c r="F5590" s="1">
        <v>3.1422977447970798E-4</v>
      </c>
    </row>
    <row r="5591" spans="1:6" x14ac:dyDescent="0.25">
      <c r="A5591" s="2" t="str">
        <f t="shared" ref="A5591:A5607" si="203">"29020"</f>
        <v>29020</v>
      </c>
      <c r="B5591" s="2" t="str">
        <f>"46903"</f>
        <v>46903</v>
      </c>
      <c r="C5591" s="1">
        <v>1.51639344262295E-2</v>
      </c>
      <c r="D5591" s="1">
        <v>6.2220982142857102E-2</v>
      </c>
      <c r="E5591" s="1">
        <v>1.58856235107227E-3</v>
      </c>
      <c r="F5591" s="1">
        <v>1.8272050530114999E-2</v>
      </c>
    </row>
    <row r="5592" spans="1:6" x14ac:dyDescent="0.25">
      <c r="A5592" s="2" t="str">
        <f t="shared" si="203"/>
        <v>29020</v>
      </c>
      <c r="B5592" s="2" t="str">
        <f>"46965"</f>
        <v>46965</v>
      </c>
      <c r="C5592" s="1">
        <v>0</v>
      </c>
      <c r="D5592" s="1">
        <v>0</v>
      </c>
      <c r="E5592" s="1">
        <v>7.9428117553613899E-4</v>
      </c>
      <c r="F5592" s="1">
        <v>2.0507351885651001E-5</v>
      </c>
    </row>
    <row r="5593" spans="1:6" x14ac:dyDescent="0.25">
      <c r="A5593" s="2" t="str">
        <f t="shared" si="203"/>
        <v>29020</v>
      </c>
      <c r="B5593" s="2" t="str">
        <f>"46928"</f>
        <v>46928</v>
      </c>
      <c r="C5593" s="1">
        <v>9.1074681238615597E-5</v>
      </c>
      <c r="D5593" s="1">
        <v>0</v>
      </c>
      <c r="E5593" s="1">
        <v>0</v>
      </c>
      <c r="F5593" s="1">
        <v>8.2029407542604004E-5</v>
      </c>
    </row>
    <row r="5594" spans="1:6" x14ac:dyDescent="0.25">
      <c r="A5594" s="2" t="str">
        <f t="shared" si="203"/>
        <v>29020</v>
      </c>
      <c r="B5594" s="2" t="str">
        <f>"46904"</f>
        <v>46904</v>
      </c>
      <c r="C5594" s="1">
        <v>2.9849726775956199E-2</v>
      </c>
      <c r="D5594" s="1">
        <v>7.5055803571428506E-2</v>
      </c>
      <c r="E5594" s="1">
        <v>1.58856235107227E-3</v>
      </c>
      <c r="F5594" s="1">
        <v>3.2442630683099799E-2</v>
      </c>
    </row>
    <row r="5595" spans="1:6" x14ac:dyDescent="0.25">
      <c r="A5595" s="2" t="str">
        <f t="shared" si="203"/>
        <v>29020</v>
      </c>
      <c r="B5595" s="2" t="str">
        <f>"46919"</f>
        <v>46919</v>
      </c>
      <c r="C5595" s="1">
        <v>1.3205828779599201E-3</v>
      </c>
      <c r="D5595" s="1">
        <v>0</v>
      </c>
      <c r="E5595" s="1">
        <v>0</v>
      </c>
      <c r="F5595" s="1">
        <v>1.1894264093677499E-3</v>
      </c>
    </row>
    <row r="5596" spans="1:6" x14ac:dyDescent="0.25">
      <c r="A5596" s="2" t="str">
        <f t="shared" si="203"/>
        <v>29020</v>
      </c>
      <c r="B5596" s="2" t="str">
        <f>"46995"</f>
        <v>46995</v>
      </c>
      <c r="C5596" s="1">
        <v>0</v>
      </c>
      <c r="D5596" s="1">
        <v>0</v>
      </c>
      <c r="E5596" s="1">
        <v>7.9428117553613899E-4</v>
      </c>
      <c r="F5596" s="1">
        <v>2.0507351885651001E-5</v>
      </c>
    </row>
    <row r="5597" spans="1:6" x14ac:dyDescent="0.25">
      <c r="A5597" s="2" t="str">
        <f t="shared" si="203"/>
        <v>29020</v>
      </c>
      <c r="B5597" s="2" t="str">
        <f>"46937"</f>
        <v>46937</v>
      </c>
      <c r="C5597" s="1">
        <v>2.2768670309653899E-5</v>
      </c>
      <c r="D5597" s="1">
        <v>0</v>
      </c>
      <c r="E5597" s="1">
        <v>7.9428117553613899E-4</v>
      </c>
      <c r="F5597" s="1">
        <v>4.1014703771302002E-5</v>
      </c>
    </row>
    <row r="5598" spans="1:6" x14ac:dyDescent="0.25">
      <c r="A5598" s="2" t="str">
        <f t="shared" si="203"/>
        <v>29020</v>
      </c>
      <c r="B5598" s="2" t="str">
        <f>"46068"</f>
        <v>46068</v>
      </c>
      <c r="C5598" s="1">
        <v>7.9690346083788701E-4</v>
      </c>
      <c r="D5598" s="1">
        <v>0</v>
      </c>
      <c r="E5598" s="1">
        <v>0</v>
      </c>
      <c r="F5598" s="1">
        <v>7.1775731599778498E-4</v>
      </c>
    </row>
    <row r="5599" spans="1:6" x14ac:dyDescent="0.25">
      <c r="A5599" s="2" t="str">
        <f t="shared" si="203"/>
        <v>29020</v>
      </c>
      <c r="B5599" s="2" t="str">
        <f>"46076"</f>
        <v>46076</v>
      </c>
      <c r="C5599" s="1">
        <v>6.6029143897996297E-4</v>
      </c>
      <c r="D5599" s="1">
        <v>0</v>
      </c>
      <c r="E5599" s="1">
        <v>0</v>
      </c>
      <c r="F5599" s="1">
        <v>5.9471320468387897E-4</v>
      </c>
    </row>
    <row r="5600" spans="1:6" x14ac:dyDescent="0.25">
      <c r="A5600" s="2" t="str">
        <f t="shared" si="203"/>
        <v>29020</v>
      </c>
      <c r="B5600" s="2" t="str">
        <f>"46979"</f>
        <v>46979</v>
      </c>
      <c r="C5600" s="1">
        <v>4.5400728597449903E-2</v>
      </c>
      <c r="D5600" s="1">
        <v>1.03236607142857E-2</v>
      </c>
      <c r="E5600" s="1">
        <v>1.1914217633042E-2</v>
      </c>
      <c r="F5600" s="1">
        <v>4.1958041958041897E-2</v>
      </c>
    </row>
    <row r="5601" spans="1:6" x14ac:dyDescent="0.25">
      <c r="A5601" s="2" t="str">
        <f t="shared" si="203"/>
        <v>29020</v>
      </c>
      <c r="B5601" s="2" t="str">
        <f>"46932"</f>
        <v>46932</v>
      </c>
      <c r="C5601" s="1">
        <v>7.7413479052823304E-4</v>
      </c>
      <c r="D5601" s="1">
        <v>0</v>
      </c>
      <c r="E5601" s="1">
        <v>0</v>
      </c>
      <c r="F5601" s="1">
        <v>6.9724996411213403E-4</v>
      </c>
    </row>
    <row r="5602" spans="1:6" x14ac:dyDescent="0.25">
      <c r="A5602" s="2" t="str">
        <f t="shared" si="203"/>
        <v>29020</v>
      </c>
      <c r="B5602" s="2" t="str">
        <f>"46902"</f>
        <v>46902</v>
      </c>
      <c r="C5602" s="1">
        <v>0.40653460837887001</v>
      </c>
      <c r="D5602" s="1">
        <v>0.39508928571428498</v>
      </c>
      <c r="E5602" s="1">
        <v>0.51310563939634601</v>
      </c>
      <c r="F5602" s="1">
        <v>0.40844492750651101</v>
      </c>
    </row>
    <row r="5603" spans="1:6" x14ac:dyDescent="0.25">
      <c r="A5603" s="2" t="str">
        <f t="shared" si="203"/>
        <v>29020</v>
      </c>
      <c r="B5603" s="2" t="str">
        <f>"46936"</f>
        <v>46936</v>
      </c>
      <c r="C5603" s="1">
        <v>5.9312386156648397E-2</v>
      </c>
      <c r="D5603" s="1">
        <v>2.8738839285714201E-2</v>
      </c>
      <c r="E5603" s="1">
        <v>2.5416997617156399E-2</v>
      </c>
      <c r="F5603" s="1">
        <v>5.6190144166683699E-2</v>
      </c>
    </row>
    <row r="5604" spans="1:6" x14ac:dyDescent="0.25">
      <c r="A5604" s="2" t="str">
        <f t="shared" si="203"/>
        <v>29020</v>
      </c>
      <c r="B5604" s="2" t="str">
        <f>"46929"</f>
        <v>46929</v>
      </c>
      <c r="C5604" s="1">
        <v>1.8670309653916199E-3</v>
      </c>
      <c r="D5604" s="1">
        <v>0</v>
      </c>
      <c r="E5604" s="1">
        <v>0</v>
      </c>
      <c r="F5604" s="1">
        <v>1.68160285462338E-3</v>
      </c>
    </row>
    <row r="5605" spans="1:6" x14ac:dyDescent="0.25">
      <c r="A5605" s="2" t="str">
        <f t="shared" si="203"/>
        <v>29020</v>
      </c>
      <c r="B5605" s="2" t="str">
        <f>"46901"</f>
        <v>46901</v>
      </c>
      <c r="C5605" s="1">
        <v>0.43813752276867002</v>
      </c>
      <c r="D5605" s="1">
        <v>0.42857142857142799</v>
      </c>
      <c r="E5605" s="1">
        <v>0.444003177124702</v>
      </c>
      <c r="F5605" s="1">
        <v>0.43758587453602099</v>
      </c>
    </row>
    <row r="5606" spans="1:6" x14ac:dyDescent="0.25">
      <c r="A5606" s="2" t="str">
        <f t="shared" si="203"/>
        <v>29020</v>
      </c>
      <c r="B5606" s="2" t="str">
        <f>"46041"</f>
        <v>46041</v>
      </c>
      <c r="C5606" s="1">
        <v>4.5537340619307799E-5</v>
      </c>
      <c r="D5606" s="1">
        <v>0</v>
      </c>
      <c r="E5606" s="1">
        <v>0</v>
      </c>
      <c r="F5606" s="1">
        <v>4.1014703771302002E-5</v>
      </c>
    </row>
    <row r="5607" spans="1:6" x14ac:dyDescent="0.25">
      <c r="A5607" s="2" t="str">
        <f t="shared" si="203"/>
        <v>29020</v>
      </c>
      <c r="B5607" s="2" t="str">
        <f>"46039"</f>
        <v>46039</v>
      </c>
      <c r="C5607" s="1">
        <v>2.2768670309653899E-5</v>
      </c>
      <c r="D5607" s="1">
        <v>0</v>
      </c>
      <c r="E5607" s="1">
        <v>0</v>
      </c>
      <c r="F5607" s="1">
        <v>2.0507351885651001E-5</v>
      </c>
    </row>
    <row r="5608" spans="1:6" x14ac:dyDescent="0.25">
      <c r="A5608" s="2" t="str">
        <f t="shared" ref="A5608:A5639" si="204">"23060"</f>
        <v>23060</v>
      </c>
      <c r="B5608" s="2" t="str">
        <f>"46868"</f>
        <v>46868</v>
      </c>
      <c r="C5608" s="1">
        <v>6.7850876495502204E-4</v>
      </c>
      <c r="D5608" s="1">
        <v>1.34056814554739E-3</v>
      </c>
      <c r="E5608" s="1">
        <v>3.1791448100460901E-4</v>
      </c>
      <c r="F5608" s="1">
        <v>7.1698202796704699E-4</v>
      </c>
    </row>
    <row r="5609" spans="1:6" x14ac:dyDescent="0.25">
      <c r="A5609" s="2" t="str">
        <f t="shared" si="204"/>
        <v>23060</v>
      </c>
      <c r="B5609" s="2" t="str">
        <f>"46854"</f>
        <v>46854</v>
      </c>
      <c r="C5609" s="1">
        <v>4.55873076454155E-4</v>
      </c>
      <c r="D5609" s="1">
        <v>1.7874241940631899E-3</v>
      </c>
      <c r="E5609" s="1">
        <v>3.1791448100460901E-4</v>
      </c>
      <c r="F5609" s="1">
        <v>5.5079414068991703E-4</v>
      </c>
    </row>
    <row r="5610" spans="1:6" x14ac:dyDescent="0.25">
      <c r="A5610" s="2" t="str">
        <f t="shared" si="204"/>
        <v>23060</v>
      </c>
      <c r="B5610" s="2" t="str">
        <f>"46895"</f>
        <v>46895</v>
      </c>
      <c r="C5610" s="1">
        <v>3.4985608192993302E-3</v>
      </c>
      <c r="D5610" s="1">
        <v>8.68177465687839E-3</v>
      </c>
      <c r="E5610" s="1">
        <v>3.1791448100460901E-4</v>
      </c>
      <c r="F5610" s="1">
        <v>3.78908382991856E-3</v>
      </c>
    </row>
    <row r="5611" spans="1:6" x14ac:dyDescent="0.25">
      <c r="A5611" s="2" t="str">
        <f t="shared" si="204"/>
        <v>23060</v>
      </c>
      <c r="B5611" s="2" t="str">
        <f>"46725"</f>
        <v>46725</v>
      </c>
      <c r="C5611" s="1">
        <v>5.5144739701774102E-2</v>
      </c>
      <c r="D5611" s="1">
        <v>4.9218001915097301E-2</v>
      </c>
      <c r="E5611" s="1">
        <v>3.8785566682562299E-2</v>
      </c>
      <c r="F5611" s="1">
        <v>5.4215237055150599E-2</v>
      </c>
    </row>
    <row r="5612" spans="1:6" x14ac:dyDescent="0.25">
      <c r="A5612" s="2" t="str">
        <f t="shared" si="204"/>
        <v>23060</v>
      </c>
      <c r="B5612" s="2" t="str">
        <f>"46808"</f>
        <v>46808</v>
      </c>
      <c r="C5612" s="1">
        <v>5.0082428213242498E-2</v>
      </c>
      <c r="D5612" s="1">
        <v>6.8943504628151894E-2</v>
      </c>
      <c r="E5612" s="1">
        <v>5.4999205213797399E-2</v>
      </c>
      <c r="F5612" s="1">
        <v>5.1632202464328897E-2</v>
      </c>
    </row>
    <row r="5613" spans="1:6" x14ac:dyDescent="0.25">
      <c r="A5613" s="2" t="str">
        <f t="shared" si="204"/>
        <v>23060</v>
      </c>
      <c r="B5613" s="2" t="str">
        <f>"46798"</f>
        <v>46798</v>
      </c>
      <c r="C5613" s="1">
        <v>4.0551500405515001E-3</v>
      </c>
      <c r="D5613" s="1">
        <v>1.8512607724225901E-3</v>
      </c>
      <c r="E5613" s="1">
        <v>1.1127006835161301E-3</v>
      </c>
      <c r="F5613" s="1">
        <v>3.8033285059708901E-3</v>
      </c>
    </row>
    <row r="5614" spans="1:6" x14ac:dyDescent="0.25">
      <c r="A5614" s="2" t="str">
        <f t="shared" si="204"/>
        <v>23060</v>
      </c>
      <c r="B5614" s="2" t="str">
        <f>"46774"</f>
        <v>46774</v>
      </c>
      <c r="C5614" s="1">
        <v>3.9300499870129103E-2</v>
      </c>
      <c r="D5614" s="1">
        <v>2.88541334184487E-2</v>
      </c>
      <c r="E5614" s="1">
        <v>2.08233985058019E-2</v>
      </c>
      <c r="F5614" s="1">
        <v>3.7971558130148797E-2</v>
      </c>
    </row>
    <row r="5615" spans="1:6" x14ac:dyDescent="0.25">
      <c r="A5615" s="2" t="str">
        <f t="shared" si="204"/>
        <v>23060</v>
      </c>
      <c r="B5615" s="2" t="str">
        <f>"46807"</f>
        <v>46807</v>
      </c>
      <c r="C5615" s="1">
        <v>3.9220987124236002E-2</v>
      </c>
      <c r="D5615" s="1">
        <v>2.4002553463134301E-2</v>
      </c>
      <c r="E5615" s="1">
        <v>4.1169925290096901E-2</v>
      </c>
      <c r="F5615" s="1">
        <v>3.81472424681275E-2</v>
      </c>
    </row>
    <row r="5616" spans="1:6" x14ac:dyDescent="0.25">
      <c r="A5616" s="2" t="str">
        <f t="shared" si="204"/>
        <v>23060</v>
      </c>
      <c r="B5616" s="2" t="str">
        <f>"46743"</f>
        <v>46743</v>
      </c>
      <c r="C5616" s="1">
        <v>4.6647477590657698E-3</v>
      </c>
      <c r="D5616" s="1">
        <v>1.0852218321097901E-3</v>
      </c>
      <c r="E5616" s="1">
        <v>9.5374344301382902E-4</v>
      </c>
      <c r="F5616" s="1">
        <v>4.2876474917499501E-3</v>
      </c>
    </row>
    <row r="5617" spans="1:6" x14ac:dyDescent="0.25">
      <c r="A5617" s="2" t="str">
        <f t="shared" si="204"/>
        <v>23060</v>
      </c>
      <c r="B5617" s="2" t="str">
        <f>"46962"</f>
        <v>46962</v>
      </c>
      <c r="C5617" s="1">
        <v>1.4312294260770001E-4</v>
      </c>
      <c r="D5617" s="1">
        <v>6.3836578359399899E-5</v>
      </c>
      <c r="E5617" s="1">
        <v>0</v>
      </c>
      <c r="F5617" s="1">
        <v>1.32950309821704E-4</v>
      </c>
    </row>
    <row r="5618" spans="1:6" x14ac:dyDescent="0.25">
      <c r="A5618" s="2" t="str">
        <f t="shared" si="204"/>
        <v>23060</v>
      </c>
      <c r="B5618" s="2" t="str">
        <f>"46864"</f>
        <v>46864</v>
      </c>
      <c r="C5618" s="1">
        <v>4.8237732508521101E-4</v>
      </c>
      <c r="D5618" s="1">
        <v>1.4682413022661901E-3</v>
      </c>
      <c r="E5618" s="1">
        <v>3.1791448100460901E-4</v>
      </c>
      <c r="F5618" s="1">
        <v>5.5079414068991703E-4</v>
      </c>
    </row>
    <row r="5619" spans="1:6" x14ac:dyDescent="0.25">
      <c r="A5619" s="2" t="str">
        <f t="shared" si="204"/>
        <v>23060</v>
      </c>
      <c r="B5619" s="2" t="str">
        <f>"46852"</f>
        <v>46852</v>
      </c>
      <c r="C5619" s="1">
        <v>4.1346627864446598E-4</v>
      </c>
      <c r="D5619" s="1">
        <v>2.29811682093839E-3</v>
      </c>
      <c r="E5619" s="1">
        <v>3.1791448100460901E-4</v>
      </c>
      <c r="F5619" s="1">
        <v>5.5079414068991703E-4</v>
      </c>
    </row>
    <row r="5620" spans="1:6" x14ac:dyDescent="0.25">
      <c r="A5620" s="2" t="str">
        <f t="shared" si="204"/>
        <v>23060</v>
      </c>
      <c r="B5620" s="2" t="str">
        <f>"46885"</f>
        <v>46885</v>
      </c>
      <c r="C5620" s="1">
        <v>2.4118866254260502E-3</v>
      </c>
      <c r="D5620" s="1">
        <v>1.7618895627194299E-2</v>
      </c>
      <c r="E5620" s="1">
        <v>3.1791448100460901E-4</v>
      </c>
      <c r="F5620" s="1">
        <v>3.48044918211818E-3</v>
      </c>
    </row>
    <row r="5621" spans="1:6" x14ac:dyDescent="0.25">
      <c r="A5621" s="2" t="str">
        <f t="shared" si="204"/>
        <v>23060</v>
      </c>
      <c r="B5621" s="2" t="str">
        <f>"46773"</f>
        <v>46773</v>
      </c>
      <c r="C5621" s="1">
        <v>8.1156009308292094E-3</v>
      </c>
      <c r="D5621" s="1">
        <v>2.0427705075007898E-3</v>
      </c>
      <c r="E5621" s="1">
        <v>2.86123032904148E-3</v>
      </c>
      <c r="F5621" s="1">
        <v>7.5069442795754997E-3</v>
      </c>
    </row>
    <row r="5622" spans="1:6" x14ac:dyDescent="0.25">
      <c r="A5622" s="2" t="str">
        <f t="shared" si="204"/>
        <v>23060</v>
      </c>
      <c r="B5622" s="2" t="str">
        <f>"46805"</f>
        <v>46805</v>
      </c>
      <c r="C5622" s="1">
        <v>5.74400076332236E-2</v>
      </c>
      <c r="D5622" s="1">
        <v>8.3625917650813897E-2</v>
      </c>
      <c r="E5622" s="1">
        <v>8.4406294706723797E-2</v>
      </c>
      <c r="F5622" s="1">
        <v>6.01932527717765E-2</v>
      </c>
    </row>
    <row r="5623" spans="1:6" x14ac:dyDescent="0.25">
      <c r="A5623" s="2" t="str">
        <f t="shared" si="204"/>
        <v>23060</v>
      </c>
      <c r="B5623" s="2" t="str">
        <f>"46866"</f>
        <v>46866</v>
      </c>
      <c r="C5623" s="1">
        <v>8.3223340701514396E-4</v>
      </c>
      <c r="D5623" s="1">
        <v>2.48962655601659E-3</v>
      </c>
      <c r="E5623" s="1">
        <v>3.1791448100460901E-4</v>
      </c>
      <c r="F5623" s="1">
        <v>9.4014861945347899E-4</v>
      </c>
    </row>
    <row r="5624" spans="1:6" x14ac:dyDescent="0.25">
      <c r="A5624" s="2" t="str">
        <f t="shared" si="204"/>
        <v>23060</v>
      </c>
      <c r="B5624" s="2" t="str">
        <f>"46859"</f>
        <v>46859</v>
      </c>
      <c r="C5624" s="1">
        <v>5.0358072399005497E-4</v>
      </c>
      <c r="D5624" s="1">
        <v>1.5959144589849899E-3</v>
      </c>
      <c r="E5624" s="1">
        <v>3.1791448100460901E-4</v>
      </c>
      <c r="F5624" s="1">
        <v>5.7928349279456795E-4</v>
      </c>
    </row>
    <row r="5625" spans="1:6" x14ac:dyDescent="0.25">
      <c r="A5625" s="2" t="str">
        <f t="shared" si="204"/>
        <v>23060</v>
      </c>
      <c r="B5625" s="2" t="str">
        <f>"46858"</f>
        <v>46858</v>
      </c>
      <c r="C5625" s="1">
        <v>3.6045778138235499E-4</v>
      </c>
      <c r="D5625" s="1">
        <v>1.2128949888285899E-3</v>
      </c>
      <c r="E5625" s="1">
        <v>3.1791448100460901E-4</v>
      </c>
      <c r="F5625" s="1">
        <v>4.2259205621898802E-4</v>
      </c>
    </row>
    <row r="5626" spans="1:6" x14ac:dyDescent="0.25">
      <c r="A5626" s="2" t="str">
        <f t="shared" si="204"/>
        <v>23060</v>
      </c>
      <c r="B5626" s="2" t="str">
        <f>"46855"</f>
        <v>46855</v>
      </c>
      <c r="C5626" s="1">
        <v>3.7636033056098799E-4</v>
      </c>
      <c r="D5626" s="1">
        <v>1.9789339291413901E-3</v>
      </c>
      <c r="E5626" s="1">
        <v>3.1791448100460901E-4</v>
      </c>
      <c r="F5626" s="1">
        <v>4.9381543648061499E-4</v>
      </c>
    </row>
    <row r="5627" spans="1:6" x14ac:dyDescent="0.25">
      <c r="A5627" s="2" t="str">
        <f t="shared" si="204"/>
        <v>23060</v>
      </c>
      <c r="B5627" s="2" t="str">
        <f>"46818"</f>
        <v>46818</v>
      </c>
      <c r="C5627" s="1">
        <v>4.9340309251572997E-2</v>
      </c>
      <c r="D5627" s="1">
        <v>4.94095116501755E-2</v>
      </c>
      <c r="E5627" s="1">
        <v>1.9869655062788101E-2</v>
      </c>
      <c r="F5627" s="1">
        <v>4.8465136155361903E-2</v>
      </c>
    </row>
    <row r="5628" spans="1:6" x14ac:dyDescent="0.25">
      <c r="A5628" s="2" t="str">
        <f t="shared" si="204"/>
        <v>23060</v>
      </c>
      <c r="B5628" s="2" t="str">
        <f>"46804"</f>
        <v>46804</v>
      </c>
      <c r="C5628" s="1">
        <v>6.8873940492660907E-2</v>
      </c>
      <c r="D5628" s="1">
        <v>9.9840408554101506E-2</v>
      </c>
      <c r="E5628" s="1">
        <v>8.6790653314258406E-2</v>
      </c>
      <c r="F5628" s="1">
        <v>7.1712447472756999E-2</v>
      </c>
    </row>
    <row r="5629" spans="1:6" x14ac:dyDescent="0.25">
      <c r="A5629" s="2" t="str">
        <f t="shared" si="204"/>
        <v>23060</v>
      </c>
      <c r="B5629" s="2" t="str">
        <f>"46562"</f>
        <v>46562</v>
      </c>
      <c r="C5629" s="1">
        <v>4.02864579192044E-4</v>
      </c>
      <c r="D5629" s="1">
        <v>1.2767315671879901E-4</v>
      </c>
      <c r="E5629" s="1">
        <v>0</v>
      </c>
      <c r="F5629" s="1">
        <v>3.7036157736046102E-4</v>
      </c>
    </row>
    <row r="5630" spans="1:6" x14ac:dyDescent="0.25">
      <c r="A5630" s="2" t="str">
        <f t="shared" si="204"/>
        <v>23060</v>
      </c>
      <c r="B5630" s="2" t="str">
        <f>"46853"</f>
        <v>46853</v>
      </c>
      <c r="C5630" s="1">
        <v>5.3538582234732195E-4</v>
      </c>
      <c r="D5630" s="1">
        <v>3.2556654963293899E-3</v>
      </c>
      <c r="E5630" s="1">
        <v>3.1791448100460901E-4</v>
      </c>
      <c r="F5630" s="1">
        <v>7.3122670401937196E-4</v>
      </c>
    </row>
    <row r="5631" spans="1:6" x14ac:dyDescent="0.25">
      <c r="A5631" s="2" t="str">
        <f t="shared" si="204"/>
        <v>23060</v>
      </c>
      <c r="B5631" s="2" t="str">
        <f>"46845"</f>
        <v>46845</v>
      </c>
      <c r="C5631" s="1">
        <v>5.8160923195988298E-2</v>
      </c>
      <c r="D5631" s="1">
        <v>2.1512926907117699E-2</v>
      </c>
      <c r="E5631" s="1">
        <v>2.2254013670322599E-2</v>
      </c>
      <c r="F5631" s="1">
        <v>5.4362432041024603E-2</v>
      </c>
    </row>
    <row r="5632" spans="1:6" x14ac:dyDescent="0.25">
      <c r="A5632" s="2" t="str">
        <f t="shared" si="204"/>
        <v>23060</v>
      </c>
      <c r="B5632" s="2" t="str">
        <f>"46819"</f>
        <v>46819</v>
      </c>
      <c r="C5632" s="1">
        <v>2.2411992642420501E-2</v>
      </c>
      <c r="D5632" s="1">
        <v>4.2770507500797901E-3</v>
      </c>
      <c r="E5632" s="1">
        <v>8.58369098712446E-3</v>
      </c>
      <c r="F5632" s="1">
        <v>2.06500320505211E-2</v>
      </c>
    </row>
    <row r="5633" spans="1:6" x14ac:dyDescent="0.25">
      <c r="A5633" s="2" t="str">
        <f t="shared" si="204"/>
        <v>23060</v>
      </c>
      <c r="B5633" s="2" t="str">
        <f>"46799"</f>
        <v>46799</v>
      </c>
      <c r="C5633" s="1">
        <v>1.32521243155277E-4</v>
      </c>
      <c r="D5633" s="1">
        <v>0</v>
      </c>
      <c r="E5633" s="1">
        <v>1.5895724050230399E-4</v>
      </c>
      <c r="F5633" s="1">
        <v>1.2345385912015299E-4</v>
      </c>
    </row>
    <row r="5634" spans="1:6" x14ac:dyDescent="0.25">
      <c r="A5634" s="2" t="str">
        <f t="shared" si="204"/>
        <v>23060</v>
      </c>
      <c r="B5634" s="2" t="str">
        <f>"46733"</f>
        <v>46733</v>
      </c>
      <c r="C5634" s="1">
        <v>3.0214843439403297E-4</v>
      </c>
      <c r="D5634" s="1">
        <v>0</v>
      </c>
      <c r="E5634" s="1">
        <v>0</v>
      </c>
      <c r="F5634" s="1">
        <v>2.7064884499418298E-4</v>
      </c>
    </row>
    <row r="5635" spans="1:6" x14ac:dyDescent="0.25">
      <c r="A5635" s="2" t="str">
        <f t="shared" si="204"/>
        <v>23060</v>
      </c>
      <c r="B5635" s="2" t="str">
        <f>"46723"</f>
        <v>46723</v>
      </c>
      <c r="C5635" s="1">
        <v>1.52611463617617E-2</v>
      </c>
      <c r="D5635" s="1">
        <v>9.9585062240663894E-3</v>
      </c>
      <c r="E5635" s="1">
        <v>7.3120330631060203E-3</v>
      </c>
      <c r="F5635" s="1">
        <v>1.4629282305738201E-2</v>
      </c>
    </row>
    <row r="5636" spans="1:6" x14ac:dyDescent="0.25">
      <c r="A5636" s="2" t="str">
        <f t="shared" si="204"/>
        <v>23060</v>
      </c>
      <c r="B5636" s="2" t="str">
        <f>"46815"</f>
        <v>46815</v>
      </c>
      <c r="C5636" s="1">
        <v>6.0371377531818302E-2</v>
      </c>
      <c r="D5636" s="1">
        <v>4.2387488030641497E-2</v>
      </c>
      <c r="E5636" s="1">
        <v>4.4825941821649902E-2</v>
      </c>
      <c r="F5636" s="1">
        <v>5.8569359701811402E-2</v>
      </c>
    </row>
    <row r="5637" spans="1:6" x14ac:dyDescent="0.25">
      <c r="A5637" s="2" t="str">
        <f t="shared" si="204"/>
        <v>23060</v>
      </c>
      <c r="B5637" s="2" t="str">
        <f>"46814"</f>
        <v>46814</v>
      </c>
      <c r="C5637" s="1">
        <v>3.1354526130538699E-2</v>
      </c>
      <c r="D5637" s="1">
        <v>9.8946696457069896E-3</v>
      </c>
      <c r="E5637" s="1">
        <v>3.1791448100460902E-3</v>
      </c>
      <c r="F5637" s="1">
        <v>2.8916692386220601E-2</v>
      </c>
    </row>
    <row r="5638" spans="1:6" x14ac:dyDescent="0.25">
      <c r="A5638" s="2" t="str">
        <f t="shared" si="204"/>
        <v>23060</v>
      </c>
      <c r="B5638" s="2" t="str">
        <f>"46809"</f>
        <v>46809</v>
      </c>
      <c r="C5638" s="1">
        <v>2.3795514420961599E-2</v>
      </c>
      <c r="D5638" s="1">
        <v>4.1110756463453503E-2</v>
      </c>
      <c r="E5638" s="1">
        <v>2.68637736448895E-2</v>
      </c>
      <c r="F5638" s="1">
        <v>2.51750908098098E-2</v>
      </c>
    </row>
    <row r="5639" spans="1:6" x14ac:dyDescent="0.25">
      <c r="A5639" s="2" t="str">
        <f t="shared" si="204"/>
        <v>23060</v>
      </c>
      <c r="B5639" s="2" t="str">
        <f>"46788"</f>
        <v>46788</v>
      </c>
      <c r="C5639" s="1">
        <v>3.9226287973962203E-3</v>
      </c>
      <c r="D5639" s="1">
        <v>6.3836578359399905E-4</v>
      </c>
      <c r="E5639" s="1">
        <v>0</v>
      </c>
      <c r="F5639" s="1">
        <v>3.5611690130813601E-3</v>
      </c>
    </row>
    <row r="5640" spans="1:6" x14ac:dyDescent="0.25">
      <c r="A5640" s="2" t="str">
        <f t="shared" ref="A5640:A5670" si="205">"23060"</f>
        <v>23060</v>
      </c>
      <c r="B5640" s="2" t="str">
        <f>"46787"</f>
        <v>46787</v>
      </c>
      <c r="C5640" s="1">
        <v>9.4408133623819796E-3</v>
      </c>
      <c r="D5640" s="1">
        <v>7.34120651133099E-3</v>
      </c>
      <c r="E5640" s="1">
        <v>3.6560165315530102E-3</v>
      </c>
      <c r="F5640" s="1">
        <v>9.1118444481375002E-3</v>
      </c>
    </row>
    <row r="5641" spans="1:6" x14ac:dyDescent="0.25">
      <c r="A5641" s="2" t="str">
        <f t="shared" si="205"/>
        <v>23060</v>
      </c>
      <c r="B5641" s="2" t="str">
        <f>"46867"</f>
        <v>46867</v>
      </c>
      <c r="C5641" s="1">
        <v>6.3610196714533303E-4</v>
      </c>
      <c r="D5641" s="1">
        <v>1.6597510373443901E-3</v>
      </c>
      <c r="E5641" s="1">
        <v>3.1791448100460901E-4</v>
      </c>
      <c r="F5641" s="1">
        <v>7.0273735191472104E-4</v>
      </c>
    </row>
    <row r="5642" spans="1:6" x14ac:dyDescent="0.25">
      <c r="A5642" s="2" t="str">
        <f t="shared" si="205"/>
        <v>23060</v>
      </c>
      <c r="B5642" s="2" t="str">
        <f>"46863"</f>
        <v>46863</v>
      </c>
      <c r="C5642" s="1">
        <v>6.3080111741912201E-4</v>
      </c>
      <c r="D5642" s="1">
        <v>1.91509735078199E-3</v>
      </c>
      <c r="E5642" s="1">
        <v>3.1791448100460901E-4</v>
      </c>
      <c r="F5642" s="1">
        <v>7.1698202796704699E-4</v>
      </c>
    </row>
    <row r="5643" spans="1:6" x14ac:dyDescent="0.25">
      <c r="A5643" s="2" t="str">
        <f t="shared" si="205"/>
        <v>23060</v>
      </c>
      <c r="B5643" s="2" t="str">
        <f>"46862"</f>
        <v>46862</v>
      </c>
      <c r="C5643" s="1">
        <v>5.6719092070458795E-4</v>
      </c>
      <c r="D5643" s="1">
        <v>1.91509735078199E-3</v>
      </c>
      <c r="E5643" s="1">
        <v>3.1791448100460901E-4</v>
      </c>
      <c r="F5643" s="1">
        <v>6.6000332375774505E-4</v>
      </c>
    </row>
    <row r="5644" spans="1:6" x14ac:dyDescent="0.25">
      <c r="A5644" s="2" t="str">
        <f t="shared" si="205"/>
        <v>23060</v>
      </c>
      <c r="B5644" s="2" t="str">
        <f>"46861"</f>
        <v>46861</v>
      </c>
      <c r="C5644" s="1">
        <v>2.5974163658434401E-4</v>
      </c>
      <c r="D5644" s="1">
        <v>1.0213852537503899E-3</v>
      </c>
      <c r="E5644" s="1">
        <v>3.1791448100460901E-4</v>
      </c>
      <c r="F5644" s="1">
        <v>3.1813109850193402E-4</v>
      </c>
    </row>
    <row r="5645" spans="1:6" x14ac:dyDescent="0.25">
      <c r="A5645" s="2" t="str">
        <f t="shared" si="205"/>
        <v>23060</v>
      </c>
      <c r="B5645" s="2" t="str">
        <f>"46857"</f>
        <v>46857</v>
      </c>
      <c r="C5645" s="1">
        <v>2.9154673494161099E-4</v>
      </c>
      <c r="D5645" s="1">
        <v>1.6597510373443901E-3</v>
      </c>
      <c r="E5645" s="1">
        <v>3.1791448100460901E-4</v>
      </c>
      <c r="F5645" s="1">
        <v>3.94102704114337E-4</v>
      </c>
    </row>
    <row r="5646" spans="1:6" x14ac:dyDescent="0.25">
      <c r="A5646" s="2" t="str">
        <f t="shared" si="205"/>
        <v>23060</v>
      </c>
      <c r="B5646" s="2" t="str">
        <f>"46898"</f>
        <v>46898</v>
      </c>
      <c r="C5646" s="1">
        <v>4.8979851470190598E-3</v>
      </c>
      <c r="D5646" s="1">
        <v>1.7108203000319101E-2</v>
      </c>
      <c r="E5646" s="1">
        <v>3.1791448100460901E-4</v>
      </c>
      <c r="F5646" s="1">
        <v>5.6693810688255202E-3</v>
      </c>
    </row>
    <row r="5647" spans="1:6" x14ac:dyDescent="0.25">
      <c r="A5647" s="2" t="str">
        <f t="shared" si="205"/>
        <v>23060</v>
      </c>
      <c r="B5647" s="2" t="str">
        <f>"46850"</f>
        <v>46850</v>
      </c>
      <c r="C5647" s="1">
        <v>2.9154673494161099E-4</v>
      </c>
      <c r="D5647" s="1">
        <v>3.7663581232045898E-3</v>
      </c>
      <c r="E5647" s="1">
        <v>3.1791448100460901E-4</v>
      </c>
      <c r="F5647" s="1">
        <v>5.5079414068991703E-4</v>
      </c>
    </row>
    <row r="5648" spans="1:6" x14ac:dyDescent="0.25">
      <c r="A5648" s="2" t="str">
        <f t="shared" si="205"/>
        <v>23060</v>
      </c>
      <c r="B5648" s="2" t="str">
        <f>"46825"</f>
        <v>46825</v>
      </c>
      <c r="C5648" s="1">
        <v>7.3692412893786793E-2</v>
      </c>
      <c r="D5648" s="1">
        <v>0.11139482923715199</v>
      </c>
      <c r="E5648" s="1">
        <v>0.184708313463678</v>
      </c>
      <c r="F5648" s="1">
        <v>7.9812919921179407E-2</v>
      </c>
    </row>
    <row r="5649" spans="1:6" x14ac:dyDescent="0.25">
      <c r="A5649" s="2" t="str">
        <f t="shared" si="205"/>
        <v>23060</v>
      </c>
      <c r="B5649" s="2" t="str">
        <f>"46777"</f>
        <v>46777</v>
      </c>
      <c r="C5649" s="1">
        <v>2.70343336036766E-4</v>
      </c>
      <c r="D5649" s="1">
        <v>0</v>
      </c>
      <c r="E5649" s="1">
        <v>0</v>
      </c>
      <c r="F5649" s="1">
        <v>2.4215949288953199E-4</v>
      </c>
    </row>
    <row r="5650" spans="1:6" x14ac:dyDescent="0.25">
      <c r="A5650" s="2" t="str">
        <f t="shared" si="205"/>
        <v>23060</v>
      </c>
      <c r="B5650" s="2" t="str">
        <f>"46797"</f>
        <v>46797</v>
      </c>
      <c r="C5650" s="1">
        <v>8.4230502149494502E-3</v>
      </c>
      <c r="D5650" s="1">
        <v>3.7025215448451901E-3</v>
      </c>
      <c r="E5650" s="1">
        <v>1.90748688602765E-3</v>
      </c>
      <c r="F5650" s="1">
        <v>7.8773058569359695E-3</v>
      </c>
    </row>
    <row r="5651" spans="1:6" x14ac:dyDescent="0.25">
      <c r="A5651" s="2" t="str">
        <f t="shared" si="205"/>
        <v>23060</v>
      </c>
      <c r="B5651" s="2" t="str">
        <f>"46806"</f>
        <v>46806</v>
      </c>
      <c r="C5651" s="1">
        <v>5.4831989567927703E-2</v>
      </c>
      <c r="D5651" s="1">
        <v>3.4280242578997699E-2</v>
      </c>
      <c r="E5651" s="1">
        <v>9.06056270863137E-3</v>
      </c>
      <c r="F5651" s="1">
        <v>5.1936088886778503E-2</v>
      </c>
    </row>
    <row r="5652" spans="1:6" x14ac:dyDescent="0.25">
      <c r="A5652" s="2" t="str">
        <f t="shared" si="205"/>
        <v>23060</v>
      </c>
      <c r="B5652" s="2" t="str">
        <f>"46803"</f>
        <v>46803</v>
      </c>
      <c r="C5652" s="1">
        <v>2.6016570456244101E-2</v>
      </c>
      <c r="D5652" s="1">
        <v>6.1346951803383301E-2</v>
      </c>
      <c r="E5652" s="1">
        <v>2.6068987442378001E-2</v>
      </c>
      <c r="F5652" s="1">
        <v>2.86460435412264E-2</v>
      </c>
    </row>
    <row r="5653" spans="1:6" x14ac:dyDescent="0.25">
      <c r="A5653" s="2" t="str">
        <f t="shared" si="205"/>
        <v>23060</v>
      </c>
      <c r="B5653" s="2" t="str">
        <f>"46802"</f>
        <v>46802</v>
      </c>
      <c r="C5653" s="1">
        <v>3.2976586146759301E-2</v>
      </c>
      <c r="D5653" s="1">
        <v>9.50526651771465E-2</v>
      </c>
      <c r="E5653" s="1">
        <v>0.102050548402479</v>
      </c>
      <c r="F5653" s="1">
        <v>3.9657178129674002E-2</v>
      </c>
    </row>
    <row r="5654" spans="1:6" x14ac:dyDescent="0.25">
      <c r="A5654" s="2" t="str">
        <f t="shared" si="205"/>
        <v>23060</v>
      </c>
      <c r="B5654" s="2" t="str">
        <f>"46741"</f>
        <v>46741</v>
      </c>
      <c r="C5654" s="1">
        <v>7.6067193571129404E-3</v>
      </c>
      <c r="D5654" s="1">
        <v>4.7239067985955898E-3</v>
      </c>
      <c r="E5654" s="1">
        <v>4.76871721506914E-3</v>
      </c>
      <c r="F5654" s="1">
        <v>7.3075188148429499E-3</v>
      </c>
    </row>
    <row r="5655" spans="1:6" x14ac:dyDescent="0.25">
      <c r="A5655" s="2" t="str">
        <f t="shared" si="205"/>
        <v>23060</v>
      </c>
      <c r="B5655" s="2" t="str">
        <f>"46899"</f>
        <v>46899</v>
      </c>
      <c r="C5655" s="1">
        <v>2.10973819103202E-3</v>
      </c>
      <c r="D5655" s="1">
        <v>8.3625917650813897E-3</v>
      </c>
      <c r="E5655" s="1">
        <v>3.1791448100460901E-4</v>
      </c>
      <c r="F5655" s="1">
        <v>2.5213076612616001E-3</v>
      </c>
    </row>
    <row r="5656" spans="1:6" x14ac:dyDescent="0.25">
      <c r="A5656" s="2" t="str">
        <f t="shared" si="205"/>
        <v>23060</v>
      </c>
      <c r="B5656" s="2" t="str">
        <f>"46865"</f>
        <v>46865</v>
      </c>
      <c r="C5656" s="1">
        <v>6.6260621577638801E-4</v>
      </c>
      <c r="D5656" s="1">
        <v>1.5959144589849899E-3</v>
      </c>
      <c r="E5656" s="1">
        <v>3.1791448100460901E-4</v>
      </c>
      <c r="F5656" s="1">
        <v>7.2173025331782198E-4</v>
      </c>
    </row>
    <row r="5657" spans="1:6" x14ac:dyDescent="0.25">
      <c r="A5657" s="2" t="str">
        <f t="shared" si="205"/>
        <v>23060</v>
      </c>
      <c r="B5657" s="2" t="str">
        <f>"46860"</f>
        <v>46860</v>
      </c>
      <c r="C5657" s="1">
        <v>2.0673313932223299E-4</v>
      </c>
      <c r="D5657" s="1">
        <v>1.72358761570379E-3</v>
      </c>
      <c r="E5657" s="1">
        <v>3.1791448100460901E-4</v>
      </c>
      <c r="F5657" s="1">
        <v>3.2287932385270999E-4</v>
      </c>
    </row>
    <row r="5658" spans="1:6" x14ac:dyDescent="0.25">
      <c r="A5658" s="2" t="str">
        <f t="shared" si="205"/>
        <v>23060</v>
      </c>
      <c r="B5658" s="2" t="str">
        <f>"46856"</f>
        <v>46856</v>
      </c>
      <c r="C5658" s="1">
        <v>4.0816542891825502E-4</v>
      </c>
      <c r="D5658" s="1">
        <v>1.9789339291413901E-3</v>
      </c>
      <c r="E5658" s="1">
        <v>3.1791448100460901E-4</v>
      </c>
      <c r="F5658" s="1">
        <v>5.2230478858526601E-4</v>
      </c>
    </row>
    <row r="5659" spans="1:6" x14ac:dyDescent="0.25">
      <c r="A5659" s="2" t="str">
        <f t="shared" si="205"/>
        <v>23060</v>
      </c>
      <c r="B5659" s="2" t="str">
        <f>"46851"</f>
        <v>46851</v>
      </c>
      <c r="C5659" s="1">
        <v>3.49856081929933E-4</v>
      </c>
      <c r="D5659" s="1">
        <v>3.06415576125119E-3</v>
      </c>
      <c r="E5659" s="1">
        <v>3.1791448100460901E-4</v>
      </c>
      <c r="F5659" s="1">
        <v>5.5079414068991703E-4</v>
      </c>
    </row>
    <row r="5660" spans="1:6" x14ac:dyDescent="0.25">
      <c r="A5660" s="2" t="str">
        <f t="shared" si="205"/>
        <v>23060</v>
      </c>
      <c r="B5660" s="2" t="str">
        <f>"46706"</f>
        <v>46706</v>
      </c>
      <c r="C5660" s="1">
        <v>9.59453800444211E-4</v>
      </c>
      <c r="D5660" s="1">
        <v>2.55346313437599E-4</v>
      </c>
      <c r="E5660" s="1">
        <v>0</v>
      </c>
      <c r="F5660" s="1">
        <v>8.7842168989340195E-4</v>
      </c>
    </row>
    <row r="5661" spans="1:6" x14ac:dyDescent="0.25">
      <c r="A5661" s="2" t="str">
        <f t="shared" si="205"/>
        <v>23060</v>
      </c>
      <c r="B5661" s="2" t="str">
        <f>"46704"</f>
        <v>46704</v>
      </c>
      <c r="C5661" s="1">
        <v>4.02864579192044E-4</v>
      </c>
      <c r="D5661" s="1">
        <v>5.1069262687519898E-4</v>
      </c>
      <c r="E5661" s="1">
        <v>4.7687172150691402E-4</v>
      </c>
      <c r="F5661" s="1">
        <v>4.1309560551743701E-4</v>
      </c>
    </row>
    <row r="5662" spans="1:6" x14ac:dyDescent="0.25">
      <c r="A5662" s="2" t="str">
        <f t="shared" si="205"/>
        <v>23060</v>
      </c>
      <c r="B5662" s="2" t="str">
        <f>"46816"</f>
        <v>46816</v>
      </c>
      <c r="C5662" s="1">
        <v>4.4983010776627398E-2</v>
      </c>
      <c r="D5662" s="1">
        <v>1.6469837216725101E-2</v>
      </c>
      <c r="E5662" s="1">
        <v>8.0432363694166203E-2</v>
      </c>
      <c r="F5662" s="1">
        <v>4.3921084494670103E-2</v>
      </c>
    </row>
    <row r="5663" spans="1:6" x14ac:dyDescent="0.25">
      <c r="A5663" s="2" t="str">
        <f t="shared" si="205"/>
        <v>23060</v>
      </c>
      <c r="B5663" s="2" t="str">
        <f>"46783"</f>
        <v>46783</v>
      </c>
      <c r="C5663" s="1">
        <v>7.7763465483516999E-3</v>
      </c>
      <c r="D5663" s="1">
        <v>2.3619533992977901E-3</v>
      </c>
      <c r="E5663" s="1">
        <v>7.9478620251152395E-4</v>
      </c>
      <c r="F5663" s="1">
        <v>7.16507205431969E-3</v>
      </c>
    </row>
    <row r="5664" spans="1:6" x14ac:dyDescent="0.25">
      <c r="A5664" s="2" t="str">
        <f t="shared" si="205"/>
        <v>23060</v>
      </c>
      <c r="B5664" s="2" t="str">
        <f>"46765"</f>
        <v>46765</v>
      </c>
      <c r="C5664" s="1">
        <v>1.09038478868162E-2</v>
      </c>
      <c r="D5664" s="1">
        <v>4.8515799553143901E-3</v>
      </c>
      <c r="E5664" s="1">
        <v>3.3381020505484E-3</v>
      </c>
      <c r="F5664" s="1">
        <v>1.02276774055696E-2</v>
      </c>
    </row>
    <row r="5665" spans="1:6" x14ac:dyDescent="0.25">
      <c r="A5665" s="2" t="str">
        <f t="shared" si="205"/>
        <v>23060</v>
      </c>
      <c r="B5665" s="2" t="str">
        <f>"46764"</f>
        <v>46764</v>
      </c>
      <c r="C5665" s="1">
        <v>2.9419715980471598E-3</v>
      </c>
      <c r="D5665" s="1">
        <v>1.0213852537503899E-3</v>
      </c>
      <c r="E5665" s="1">
        <v>1.43061516452074E-3</v>
      </c>
      <c r="F5665" s="1">
        <v>2.75397070344958E-3</v>
      </c>
    </row>
    <row r="5666" spans="1:6" x14ac:dyDescent="0.25">
      <c r="A5666" s="2" t="str">
        <f t="shared" si="205"/>
        <v>23060</v>
      </c>
      <c r="B5666" s="2" t="str">
        <f>"46745"</f>
        <v>46745</v>
      </c>
      <c r="C5666" s="1">
        <v>3.9915398438369601E-3</v>
      </c>
      <c r="D5666" s="1">
        <v>1.34056814554739E-3</v>
      </c>
      <c r="E5666" s="1">
        <v>4.7687172150691402E-4</v>
      </c>
      <c r="F5666" s="1">
        <v>3.6893710975522799E-3</v>
      </c>
    </row>
    <row r="5667" spans="1:6" x14ac:dyDescent="0.25">
      <c r="A5667" s="2" t="str">
        <f t="shared" si="205"/>
        <v>23060</v>
      </c>
      <c r="B5667" s="2" t="str">
        <f>"46869"</f>
        <v>46869</v>
      </c>
      <c r="C5667" s="1">
        <v>6.3610196714533303E-4</v>
      </c>
      <c r="D5667" s="1">
        <v>1.7874241940631899E-3</v>
      </c>
      <c r="E5667" s="1">
        <v>3.1791448100460901E-4</v>
      </c>
      <c r="F5667" s="1">
        <v>7.12233802616272E-4</v>
      </c>
    </row>
    <row r="5668" spans="1:6" x14ac:dyDescent="0.25">
      <c r="A5668" s="2" t="str">
        <f t="shared" si="205"/>
        <v>23060</v>
      </c>
      <c r="B5668" s="2" t="str">
        <f>"46835"</f>
        <v>46835</v>
      </c>
      <c r="C5668" s="1">
        <v>8.5407290788713397E-2</v>
      </c>
      <c r="D5668" s="1">
        <v>2.20236195339929E-2</v>
      </c>
      <c r="E5668" s="1">
        <v>9.5374344301382905E-2</v>
      </c>
      <c r="F5668" s="1">
        <v>8.0990479808171603E-2</v>
      </c>
    </row>
    <row r="5669" spans="1:6" x14ac:dyDescent="0.25">
      <c r="A5669" s="2" t="str">
        <f t="shared" si="205"/>
        <v>23060</v>
      </c>
      <c r="B5669" s="2" t="str">
        <f>"46750"</f>
        <v>46750</v>
      </c>
      <c r="C5669" s="1">
        <v>1.16618693976644E-4</v>
      </c>
      <c r="D5669" s="1">
        <v>6.3836578359399899E-5</v>
      </c>
      <c r="E5669" s="1">
        <v>0</v>
      </c>
      <c r="F5669" s="1">
        <v>1.09209183067828E-4</v>
      </c>
    </row>
    <row r="5670" spans="1:6" x14ac:dyDescent="0.25">
      <c r="A5670" s="2" t="str">
        <f t="shared" si="205"/>
        <v>23060</v>
      </c>
      <c r="B5670" s="2" t="str">
        <f>"46748"</f>
        <v>46748</v>
      </c>
      <c r="C5670" s="1">
        <v>1.42645866132341E-2</v>
      </c>
      <c r="D5670" s="1">
        <v>3.1279923396105901E-3</v>
      </c>
      <c r="E5670" s="1">
        <v>1.28755364806866E-2</v>
      </c>
      <c r="F5670" s="1">
        <v>1.3394743714536601E-2</v>
      </c>
    </row>
    <row r="5671" spans="1:6" x14ac:dyDescent="0.25">
      <c r="A5671" s="2" t="str">
        <f t="shared" ref="A5671:A5683" si="206">"19540"</f>
        <v>19540</v>
      </c>
      <c r="B5671" s="2" t="str">
        <f>"46773"</f>
        <v>46773</v>
      </c>
      <c r="C5671" s="1">
        <v>4.42604226156482E-3</v>
      </c>
      <c r="D5671" s="1">
        <v>1.75131348511383E-3</v>
      </c>
      <c r="E5671" s="1">
        <v>0</v>
      </c>
      <c r="F5671" s="1">
        <v>4.14830178895514E-3</v>
      </c>
    </row>
    <row r="5672" spans="1:6" x14ac:dyDescent="0.25">
      <c r="A5672" s="2" t="str">
        <f t="shared" si="206"/>
        <v>19540</v>
      </c>
      <c r="B5672" s="2" t="str">
        <f>"47326"</f>
        <v>47326</v>
      </c>
      <c r="C5672" s="1">
        <v>1.2135922330097E-3</v>
      </c>
      <c r="D5672" s="1">
        <v>8.7565674255691704E-4</v>
      </c>
      <c r="E5672" s="1">
        <v>0</v>
      </c>
      <c r="F5672" s="1">
        <v>1.16670987814363E-3</v>
      </c>
    </row>
    <row r="5673" spans="1:6" x14ac:dyDescent="0.25">
      <c r="A5673" s="2" t="str">
        <f t="shared" si="206"/>
        <v>19540</v>
      </c>
      <c r="B5673" s="2" t="str">
        <f>"46714"</f>
        <v>46714</v>
      </c>
      <c r="C5673" s="1">
        <v>8.9948600799543092E-3</v>
      </c>
      <c r="D5673" s="1">
        <v>4.3782837127845798E-3</v>
      </c>
      <c r="E5673" s="1">
        <v>0</v>
      </c>
      <c r="F5673" s="1">
        <v>8.4910552242675602E-3</v>
      </c>
    </row>
    <row r="5674" spans="1:6" x14ac:dyDescent="0.25">
      <c r="A5674" s="2" t="str">
        <f t="shared" si="206"/>
        <v>19540</v>
      </c>
      <c r="B5674" s="2" t="str">
        <f>"46780"</f>
        <v>46780</v>
      </c>
      <c r="C5674" s="1">
        <v>0</v>
      </c>
      <c r="D5674" s="1">
        <v>0</v>
      </c>
      <c r="E5674" s="1">
        <v>7.1942446043165402E-3</v>
      </c>
      <c r="F5674" s="1">
        <v>1.2963443090484799E-4</v>
      </c>
    </row>
    <row r="5675" spans="1:6" x14ac:dyDescent="0.25">
      <c r="A5675" s="2" t="str">
        <f t="shared" si="206"/>
        <v>19540</v>
      </c>
      <c r="B5675" s="2" t="str">
        <f>"46740"</f>
        <v>46740</v>
      </c>
      <c r="C5675" s="1">
        <v>0.10401199314677299</v>
      </c>
      <c r="D5675" s="1">
        <v>2.4518388791593598E-2</v>
      </c>
      <c r="E5675" s="1">
        <v>0.12230215827338101</v>
      </c>
      <c r="F5675" s="1">
        <v>9.8457350272232305E-2</v>
      </c>
    </row>
    <row r="5676" spans="1:6" x14ac:dyDescent="0.25">
      <c r="A5676" s="2" t="str">
        <f t="shared" si="206"/>
        <v>19540</v>
      </c>
      <c r="B5676" s="2" t="str">
        <f>"46711"</f>
        <v>46711</v>
      </c>
      <c r="C5676" s="1">
        <v>0.21444888635065601</v>
      </c>
      <c r="D5676" s="1">
        <v>0.26094570928196098</v>
      </c>
      <c r="E5676" s="1">
        <v>0.190647482014388</v>
      </c>
      <c r="F5676" s="1">
        <v>0.21746175784288299</v>
      </c>
    </row>
    <row r="5677" spans="1:6" x14ac:dyDescent="0.25">
      <c r="A5677" s="2" t="str">
        <f t="shared" si="206"/>
        <v>19540</v>
      </c>
      <c r="B5677" s="2" t="str">
        <f>"46772"</f>
        <v>46772</v>
      </c>
      <c r="C5677" s="1">
        <v>7.1744717304397396E-2</v>
      </c>
      <c r="D5677" s="1">
        <v>5.2539404553414999E-2</v>
      </c>
      <c r="E5677" s="1">
        <v>4.31654676258992E-2</v>
      </c>
      <c r="F5677" s="1">
        <v>6.9808141042260796E-2</v>
      </c>
    </row>
    <row r="5678" spans="1:6" x14ac:dyDescent="0.25">
      <c r="A5678" s="2" t="str">
        <f t="shared" si="206"/>
        <v>19540</v>
      </c>
      <c r="B5678" s="2" t="str">
        <f>"46745"</f>
        <v>46745</v>
      </c>
      <c r="C5678" s="1">
        <v>4.2832667047401401E-4</v>
      </c>
      <c r="D5678" s="1">
        <v>0</v>
      </c>
      <c r="E5678" s="1">
        <v>0</v>
      </c>
      <c r="F5678" s="1">
        <v>3.8890329271454402E-4</v>
      </c>
    </row>
    <row r="5679" spans="1:6" x14ac:dyDescent="0.25">
      <c r="A5679" s="2" t="str">
        <f t="shared" si="206"/>
        <v>19540</v>
      </c>
      <c r="B5679" s="2" t="str">
        <f>"46777"</f>
        <v>46777</v>
      </c>
      <c r="C5679" s="1">
        <v>1.4991433466590501E-3</v>
      </c>
      <c r="D5679" s="1">
        <v>0</v>
      </c>
      <c r="E5679" s="1">
        <v>0</v>
      </c>
      <c r="F5679" s="1">
        <v>1.3611615245009E-3</v>
      </c>
    </row>
    <row r="5680" spans="1:6" x14ac:dyDescent="0.25">
      <c r="A5680" s="2" t="str">
        <f t="shared" si="206"/>
        <v>19540</v>
      </c>
      <c r="B5680" s="2" t="str">
        <f>"46733"</f>
        <v>46733</v>
      </c>
      <c r="C5680" s="1">
        <v>0.59280411193603599</v>
      </c>
      <c r="D5680" s="1">
        <v>0.65323992994746005</v>
      </c>
      <c r="E5680" s="1">
        <v>0.62949640287769704</v>
      </c>
      <c r="F5680" s="1">
        <v>0.59793881254861203</v>
      </c>
    </row>
    <row r="5681" spans="1:6" x14ac:dyDescent="0.25">
      <c r="A5681" s="2" t="str">
        <f t="shared" si="206"/>
        <v>19540</v>
      </c>
      <c r="B5681" s="2" t="str">
        <f>"46731"</f>
        <v>46731</v>
      </c>
      <c r="C5681" s="1">
        <v>4.2832667047401401E-4</v>
      </c>
      <c r="D5681" s="1">
        <v>8.7565674255691704E-4</v>
      </c>
      <c r="E5681" s="1">
        <v>0</v>
      </c>
      <c r="F5681" s="1">
        <v>4.5372050816696902E-4</v>
      </c>
    </row>
    <row r="5682" spans="1:6" x14ac:dyDescent="0.25">
      <c r="A5682" s="2" t="str">
        <f t="shared" si="206"/>
        <v>19540</v>
      </c>
      <c r="B5682" s="2" t="str">
        <f>"46782"</f>
        <v>46782</v>
      </c>
      <c r="C5682" s="1">
        <v>0</v>
      </c>
      <c r="D5682" s="1">
        <v>0</v>
      </c>
      <c r="E5682" s="1">
        <v>7.1942446043165402E-3</v>
      </c>
      <c r="F5682" s="1">
        <v>1.2963443090484799E-4</v>
      </c>
    </row>
    <row r="5683" spans="1:6" x14ac:dyDescent="0.25">
      <c r="A5683" s="2" t="str">
        <f t="shared" si="206"/>
        <v>19540</v>
      </c>
      <c r="B5683" s="2" t="str">
        <f>"46769"</f>
        <v>46769</v>
      </c>
      <c r="C5683" s="1">
        <v>0</v>
      </c>
      <c r="D5683" s="1">
        <v>8.7565674255691704E-4</v>
      </c>
      <c r="E5683" s="1">
        <v>0</v>
      </c>
      <c r="F5683" s="1">
        <v>6.4817215452424103E-5</v>
      </c>
    </row>
    <row r="5684" spans="1:6" x14ac:dyDescent="0.25">
      <c r="A5684" s="2" t="str">
        <f t="shared" ref="A5684:A5691" si="207">"42500"</f>
        <v>42500</v>
      </c>
      <c r="B5684" s="2" t="str">
        <f>"47170"</f>
        <v>47170</v>
      </c>
      <c r="C5684" s="1">
        <v>0.57104206667830304</v>
      </c>
      <c r="D5684" s="1">
        <v>0.76338729763387203</v>
      </c>
      <c r="E5684" s="1">
        <v>0.61641221374045796</v>
      </c>
      <c r="F5684" s="1">
        <v>0.58498240125146606</v>
      </c>
    </row>
    <row r="5685" spans="1:6" x14ac:dyDescent="0.25">
      <c r="A5685" s="2" t="str">
        <f t="shared" si="207"/>
        <v>42500</v>
      </c>
      <c r="B5685" s="2" t="str">
        <f>"47102"</f>
        <v>47102</v>
      </c>
      <c r="C5685" s="1">
        <v>0.270029673590504</v>
      </c>
      <c r="D5685" s="1">
        <v>0.19302615193026099</v>
      </c>
      <c r="E5685" s="1">
        <v>0.28244274809160302</v>
      </c>
      <c r="F5685" s="1">
        <v>0.26570199452483301</v>
      </c>
    </row>
    <row r="5686" spans="1:6" x14ac:dyDescent="0.25">
      <c r="A5686" s="2" t="str">
        <f t="shared" si="207"/>
        <v>42500</v>
      </c>
      <c r="B5686" s="2" t="str">
        <f>"47177"</f>
        <v>47177</v>
      </c>
      <c r="C5686" s="1">
        <v>2.7840809914470199E-2</v>
      </c>
      <c r="D5686" s="1">
        <v>7.4719800747198003E-3</v>
      </c>
      <c r="E5686" s="1">
        <v>1.90839694656488E-2</v>
      </c>
      <c r="F5686" s="1">
        <v>2.6202581149784899E-2</v>
      </c>
    </row>
    <row r="5687" spans="1:6" x14ac:dyDescent="0.25">
      <c r="A5687" s="2" t="str">
        <f t="shared" si="207"/>
        <v>42500</v>
      </c>
      <c r="B5687" s="2" t="str">
        <f>"47230"</f>
        <v>47230</v>
      </c>
      <c r="C5687" s="1">
        <v>1.20439867341595E-2</v>
      </c>
      <c r="D5687" s="1">
        <v>2.4906600249065998E-3</v>
      </c>
      <c r="E5687" s="1">
        <v>0</v>
      </c>
      <c r="F5687" s="1">
        <v>1.0950332420805601E-2</v>
      </c>
    </row>
    <row r="5688" spans="1:6" x14ac:dyDescent="0.25">
      <c r="A5688" s="2" t="str">
        <f t="shared" si="207"/>
        <v>42500</v>
      </c>
      <c r="B5688" s="2" t="str">
        <f>"47141"</f>
        <v>47141</v>
      </c>
      <c r="C5688" s="1">
        <v>1.6582300576016701E-3</v>
      </c>
      <c r="D5688" s="1">
        <v>0</v>
      </c>
      <c r="E5688" s="1">
        <v>0</v>
      </c>
      <c r="F5688" s="1">
        <v>1.48611654282362E-3</v>
      </c>
    </row>
    <row r="5689" spans="1:6" x14ac:dyDescent="0.25">
      <c r="A5689" s="2" t="str">
        <f t="shared" si="207"/>
        <v>42500</v>
      </c>
      <c r="B5689" s="2" t="str">
        <f>"47138"</f>
        <v>47138</v>
      </c>
      <c r="C5689" s="1">
        <v>0.107959504276488</v>
      </c>
      <c r="D5689" s="1">
        <v>2.4906600249066001E-2</v>
      </c>
      <c r="E5689" s="1">
        <v>7.8244274809160297E-2</v>
      </c>
      <c r="F5689" s="1">
        <v>0.101525224872897</v>
      </c>
    </row>
    <row r="5690" spans="1:6" x14ac:dyDescent="0.25">
      <c r="A5690" s="2" t="str">
        <f t="shared" si="207"/>
        <v>42500</v>
      </c>
      <c r="B5690" s="2" t="str">
        <f>"47126"</f>
        <v>47126</v>
      </c>
      <c r="C5690" s="1">
        <v>7.8547739570605595E-4</v>
      </c>
      <c r="D5690" s="1">
        <v>0</v>
      </c>
      <c r="E5690" s="1">
        <v>0</v>
      </c>
      <c r="F5690" s="1">
        <v>7.0394994133750398E-4</v>
      </c>
    </row>
    <row r="5691" spans="1:6" x14ac:dyDescent="0.25">
      <c r="A5691" s="2" t="str">
        <f t="shared" si="207"/>
        <v>42500</v>
      </c>
      <c r="B5691" s="2" t="str">
        <f>"47147"</f>
        <v>47147</v>
      </c>
      <c r="C5691" s="1">
        <v>8.6402513527666196E-3</v>
      </c>
      <c r="D5691" s="1">
        <v>8.7173100871730993E-3</v>
      </c>
      <c r="E5691" s="1">
        <v>3.81679389312977E-3</v>
      </c>
      <c r="F5691" s="1">
        <v>8.4473992960500503E-3</v>
      </c>
    </row>
    <row r="5692" spans="1:6" x14ac:dyDescent="0.25">
      <c r="A5692" s="2" t="str">
        <f t="shared" ref="A5692:A5702" si="208">"31500"</f>
        <v>31500</v>
      </c>
      <c r="B5692" s="2" t="str">
        <f>"47270"</f>
        <v>47270</v>
      </c>
      <c r="C5692" s="1">
        <v>1.36216584369146E-3</v>
      </c>
      <c r="D5692" s="1">
        <v>0</v>
      </c>
      <c r="E5692" s="1">
        <v>0</v>
      </c>
      <c r="F5692" s="1">
        <v>1.22824974411463E-3</v>
      </c>
    </row>
    <row r="5693" spans="1:6" x14ac:dyDescent="0.25">
      <c r="A5693" s="2" t="str">
        <f t="shared" si="208"/>
        <v>31500</v>
      </c>
      <c r="B5693" s="2" t="str">
        <f>"47224"</f>
        <v>47224</v>
      </c>
      <c r="C5693" s="1">
        <v>1.2883818604915101E-2</v>
      </c>
      <c r="D5693" s="1">
        <v>2.0920502092050199E-3</v>
      </c>
      <c r="E5693" s="1">
        <v>8.2135523613963007E-3</v>
      </c>
      <c r="F5693" s="1">
        <v>1.1975435005117699E-2</v>
      </c>
    </row>
    <row r="5694" spans="1:6" x14ac:dyDescent="0.25">
      <c r="A5694" s="2" t="str">
        <f t="shared" si="208"/>
        <v>31500</v>
      </c>
      <c r="B5694" s="2" t="str">
        <f>"47250"</f>
        <v>47250</v>
      </c>
      <c r="C5694" s="1">
        <v>0.639082808331914</v>
      </c>
      <c r="D5694" s="1">
        <v>0.89958158995815796</v>
      </c>
      <c r="E5694" s="1">
        <v>0.84188911704312097</v>
      </c>
      <c r="F5694" s="1">
        <v>0.66325486182190296</v>
      </c>
    </row>
    <row r="5695" spans="1:6" x14ac:dyDescent="0.25">
      <c r="A5695" s="2" t="str">
        <f t="shared" si="208"/>
        <v>31500</v>
      </c>
      <c r="B5695" s="2" t="str">
        <f>"47243"</f>
        <v>47243</v>
      </c>
      <c r="C5695" s="1">
        <v>0.22135194959986301</v>
      </c>
      <c r="D5695" s="1">
        <v>6.0669456066945598E-2</v>
      </c>
      <c r="E5695" s="1">
        <v>0.10061601642710399</v>
      </c>
      <c r="F5695" s="1">
        <v>0.20655066530194399</v>
      </c>
    </row>
    <row r="5696" spans="1:6" x14ac:dyDescent="0.25">
      <c r="A5696" s="2" t="str">
        <f t="shared" si="208"/>
        <v>31500</v>
      </c>
      <c r="B5696" s="2" t="str">
        <f>"47138"</f>
        <v>47138</v>
      </c>
      <c r="C5696" s="1">
        <v>5.25568988024291E-2</v>
      </c>
      <c r="D5696" s="1">
        <v>1.39470013947001E-2</v>
      </c>
      <c r="E5696" s="1">
        <v>3.4907597535934198E-2</v>
      </c>
      <c r="F5696" s="1">
        <v>4.92835209825997E-2</v>
      </c>
    </row>
    <row r="5697" spans="1:6" x14ac:dyDescent="0.25">
      <c r="A5697" s="2" t="str">
        <f t="shared" si="208"/>
        <v>31500</v>
      </c>
      <c r="B5697" s="2" t="str">
        <f>"47231"</f>
        <v>47231</v>
      </c>
      <c r="C5697" s="1">
        <v>1.7821669788296701E-2</v>
      </c>
      <c r="D5697" s="1">
        <v>6.2761506276150601E-3</v>
      </c>
      <c r="E5697" s="1">
        <v>2.05338809034907E-3</v>
      </c>
      <c r="F5697" s="1">
        <v>1.6581371545547501E-2</v>
      </c>
    </row>
    <row r="5698" spans="1:6" x14ac:dyDescent="0.25">
      <c r="A5698" s="2" t="str">
        <f t="shared" si="208"/>
        <v>31500</v>
      </c>
      <c r="B5698" s="2" t="str">
        <f>"47170"</f>
        <v>47170</v>
      </c>
      <c r="C5698" s="1">
        <v>3.9729837107667799E-4</v>
      </c>
      <c r="D5698" s="1">
        <v>0</v>
      </c>
      <c r="E5698" s="1">
        <v>0</v>
      </c>
      <c r="F5698" s="1">
        <v>3.58239508700102E-4</v>
      </c>
    </row>
    <row r="5699" spans="1:6" x14ac:dyDescent="0.25">
      <c r="A5699" s="2" t="str">
        <f t="shared" si="208"/>
        <v>31500</v>
      </c>
      <c r="B5699" s="2" t="str">
        <f>"47147"</f>
        <v>47147</v>
      </c>
      <c r="C5699" s="1">
        <v>3.8594698904591599E-3</v>
      </c>
      <c r="D5699" s="1">
        <v>1.0460251046025101E-2</v>
      </c>
      <c r="E5699" s="1">
        <v>1.02669404517453E-2</v>
      </c>
      <c r="F5699" s="1">
        <v>4.5035823950870003E-3</v>
      </c>
    </row>
    <row r="5700" spans="1:6" x14ac:dyDescent="0.25">
      <c r="A5700" s="2" t="str">
        <f t="shared" si="208"/>
        <v>31500</v>
      </c>
      <c r="B5700" s="2" t="str">
        <f>"47230"</f>
        <v>47230</v>
      </c>
      <c r="C5700" s="1">
        <v>4.2170384244281697E-2</v>
      </c>
      <c r="D5700" s="1">
        <v>6.2761506276150601E-3</v>
      </c>
      <c r="E5700" s="1">
        <v>2.05338809034907E-3</v>
      </c>
      <c r="F5700" s="1">
        <v>3.8536335721596697E-2</v>
      </c>
    </row>
    <row r="5701" spans="1:6" x14ac:dyDescent="0.25">
      <c r="A5701" s="2" t="str">
        <f t="shared" si="208"/>
        <v>31500</v>
      </c>
      <c r="B5701" s="2" t="str">
        <f>"47227"</f>
        <v>47227</v>
      </c>
      <c r="C5701" s="1">
        <v>7.1513706793802099E-3</v>
      </c>
      <c r="D5701" s="1">
        <v>6.9735006973500597E-4</v>
      </c>
      <c r="E5701" s="1">
        <v>0</v>
      </c>
      <c r="F5701" s="1">
        <v>6.4994882292732804E-3</v>
      </c>
    </row>
    <row r="5702" spans="1:6" x14ac:dyDescent="0.25">
      <c r="A5702" s="2" t="str">
        <f t="shared" si="208"/>
        <v>31500</v>
      </c>
      <c r="B5702" s="2" t="str">
        <f>"47043"</f>
        <v>47043</v>
      </c>
      <c r="C5702" s="1">
        <v>1.36216584369146E-3</v>
      </c>
      <c r="D5702" s="1">
        <v>0</v>
      </c>
      <c r="E5702" s="1">
        <v>0</v>
      </c>
      <c r="F5702" s="1">
        <v>1.22824974411463E-3</v>
      </c>
    </row>
    <row r="5703" spans="1:6" x14ac:dyDescent="0.25">
      <c r="A5703" s="2" t="str">
        <f t="shared" ref="A5703:A5734" si="209">"29620"</f>
        <v>29620</v>
      </c>
      <c r="B5703" s="2" t="str">
        <f>"49021"</f>
        <v>49021</v>
      </c>
      <c r="C5703" s="1">
        <v>5.9896977199217303E-3</v>
      </c>
      <c r="D5703" s="1">
        <v>3.2645722937168801E-3</v>
      </c>
      <c r="E5703" s="1">
        <v>2.3798627002288302E-3</v>
      </c>
      <c r="F5703" s="1">
        <v>5.6461975779759296E-3</v>
      </c>
    </row>
    <row r="5704" spans="1:6" x14ac:dyDescent="0.25">
      <c r="A5704" s="2" t="str">
        <f t="shared" si="209"/>
        <v>29620</v>
      </c>
      <c r="B5704" s="2" t="str">
        <f>"48867"</f>
        <v>48867</v>
      </c>
      <c r="C5704" s="1">
        <v>5.4282633869744003E-2</v>
      </c>
      <c r="D5704" s="1">
        <v>6.1601059803179398E-2</v>
      </c>
      <c r="E5704" s="1">
        <v>4.3386727688787097E-2</v>
      </c>
      <c r="F5704" s="1">
        <v>5.4408813024131697E-2</v>
      </c>
    </row>
    <row r="5705" spans="1:6" x14ac:dyDescent="0.25">
      <c r="A5705" s="2" t="str">
        <f t="shared" si="209"/>
        <v>29620</v>
      </c>
      <c r="B5705" s="2" t="str">
        <f>"48853"</f>
        <v>48853</v>
      </c>
      <c r="C5705" s="1">
        <v>4.4323763127420801E-4</v>
      </c>
      <c r="D5705" s="1">
        <v>4.73126419379258E-5</v>
      </c>
      <c r="E5705" s="1">
        <v>0</v>
      </c>
      <c r="F5705" s="1">
        <v>3.9647280798326301E-4</v>
      </c>
    </row>
    <row r="5706" spans="1:6" x14ac:dyDescent="0.25">
      <c r="A5706" s="2" t="str">
        <f t="shared" si="209"/>
        <v>29620</v>
      </c>
      <c r="B5706" s="2" t="str">
        <f>"48849"</f>
        <v>48849</v>
      </c>
      <c r="C5706" s="1">
        <v>3.27436808689054E-4</v>
      </c>
      <c r="D5706" s="1">
        <v>7.5700227100681302E-4</v>
      </c>
      <c r="E5706" s="1">
        <v>0</v>
      </c>
      <c r="F5706" s="1">
        <v>3.4691370698535499E-4</v>
      </c>
    </row>
    <row r="5707" spans="1:6" x14ac:dyDescent="0.25">
      <c r="A5707" s="2" t="str">
        <f t="shared" si="209"/>
        <v>29620</v>
      </c>
      <c r="B5707" s="2" t="str">
        <f>"49285"</f>
        <v>49285</v>
      </c>
      <c r="C5707" s="1">
        <v>8.39356307151699E-3</v>
      </c>
      <c r="D5707" s="1">
        <v>2.9806964420893201E-3</v>
      </c>
      <c r="E5707" s="1">
        <v>3.75286041189931E-3</v>
      </c>
      <c r="F5707" s="1">
        <v>7.8090983429560503E-3</v>
      </c>
    </row>
    <row r="5708" spans="1:6" x14ac:dyDescent="0.25">
      <c r="A5708" s="2" t="str">
        <f t="shared" si="209"/>
        <v>29620</v>
      </c>
      <c r="B5708" s="2" t="str">
        <f>"48951"</f>
        <v>48951</v>
      </c>
      <c r="C5708" s="1">
        <v>0</v>
      </c>
      <c r="D5708" s="1">
        <v>4.73126419379258E-5</v>
      </c>
      <c r="E5708" s="1">
        <v>0</v>
      </c>
      <c r="F5708" s="1">
        <v>3.53993578556484E-6</v>
      </c>
    </row>
    <row r="5709" spans="1:6" x14ac:dyDescent="0.25">
      <c r="A5709" s="2" t="str">
        <f t="shared" si="209"/>
        <v>29620</v>
      </c>
      <c r="B5709" s="2" t="str">
        <f>"48933"</f>
        <v>48933</v>
      </c>
      <c r="C5709" s="1">
        <v>8.1260232400271505E-3</v>
      </c>
      <c r="D5709" s="1">
        <v>4.22028766086298E-2</v>
      </c>
      <c r="E5709" s="1">
        <v>3.7803203661327202E-2</v>
      </c>
      <c r="F5709" s="1">
        <v>1.1823385523786501E-2</v>
      </c>
    </row>
    <row r="5710" spans="1:6" x14ac:dyDescent="0.25">
      <c r="A5710" s="2" t="str">
        <f t="shared" si="209"/>
        <v>29620</v>
      </c>
      <c r="B5710" s="2" t="str">
        <f>"48840"</f>
        <v>48840</v>
      </c>
      <c r="C5710" s="1">
        <v>2.61909515633111E-2</v>
      </c>
      <c r="D5710" s="1">
        <v>1.8972369417108201E-2</v>
      </c>
      <c r="E5710" s="1">
        <v>2.90160183066361E-2</v>
      </c>
      <c r="F5710" s="1">
        <v>2.57601127115554E-2</v>
      </c>
    </row>
    <row r="5711" spans="1:6" x14ac:dyDescent="0.25">
      <c r="A5711" s="2" t="str">
        <f t="shared" si="209"/>
        <v>29620</v>
      </c>
      <c r="B5711" s="2" t="str">
        <f>"48826"</f>
        <v>48826</v>
      </c>
      <c r="C5711" s="1">
        <v>4.7757856486842602E-3</v>
      </c>
      <c r="D5711" s="1">
        <v>2.13853141559424E-2</v>
      </c>
      <c r="E5711" s="1">
        <v>1.8306636155606399E-4</v>
      </c>
      <c r="F5711" s="1">
        <v>5.8408940461820002E-3</v>
      </c>
    </row>
    <row r="5712" spans="1:6" x14ac:dyDescent="0.25">
      <c r="A5712" s="2" t="str">
        <f t="shared" si="209"/>
        <v>29620</v>
      </c>
      <c r="B5712" s="2" t="str">
        <f>"48820"</f>
        <v>48820</v>
      </c>
      <c r="C5712" s="1">
        <v>3.0914826498422698E-2</v>
      </c>
      <c r="D5712" s="1">
        <v>2.56434519303557E-2</v>
      </c>
      <c r="E5712" s="1">
        <v>1.51029748283752E-2</v>
      </c>
      <c r="F5712" s="1">
        <v>2.99089174522374E-2</v>
      </c>
    </row>
    <row r="5713" spans="1:6" x14ac:dyDescent="0.25">
      <c r="A5713" s="2" t="str">
        <f t="shared" si="209"/>
        <v>29620</v>
      </c>
      <c r="B5713" s="2" t="str">
        <f>"48908"</f>
        <v>48908</v>
      </c>
      <c r="C5713" s="1">
        <v>2.51167991055384E-3</v>
      </c>
      <c r="D5713" s="1">
        <v>1.2159348978046901E-2</v>
      </c>
      <c r="E5713" s="1">
        <v>1.8306636155606399E-4</v>
      </c>
      <c r="F5713" s="1">
        <v>3.14346297758158E-3</v>
      </c>
    </row>
    <row r="5714" spans="1:6" x14ac:dyDescent="0.25">
      <c r="A5714" s="2" t="str">
        <f t="shared" si="209"/>
        <v>29620</v>
      </c>
      <c r="B5714" s="2" t="str">
        <f>"48890"</f>
        <v>48890</v>
      </c>
      <c r="C5714" s="1">
        <v>2.2241744199975998E-3</v>
      </c>
      <c r="D5714" s="1">
        <v>1.37206661619984E-3</v>
      </c>
      <c r="E5714" s="1">
        <v>5.4919908466819205E-4</v>
      </c>
      <c r="F5714" s="1">
        <v>2.0956419850543901E-3</v>
      </c>
    </row>
    <row r="5715" spans="1:6" x14ac:dyDescent="0.25">
      <c r="A5715" s="2" t="str">
        <f t="shared" si="209"/>
        <v>29620</v>
      </c>
      <c r="B5715" s="2" t="str">
        <f>"48906"</f>
        <v>48906</v>
      </c>
      <c r="C5715" s="1">
        <v>4.8344846863394901E-2</v>
      </c>
      <c r="D5715" s="1">
        <v>5.9566616199848502E-2</v>
      </c>
      <c r="E5715" s="1">
        <v>5.1441647597254003E-2</v>
      </c>
      <c r="F5715" s="1">
        <v>4.9304225621347203E-2</v>
      </c>
    </row>
    <row r="5716" spans="1:6" x14ac:dyDescent="0.25">
      <c r="A5716" s="2" t="str">
        <f t="shared" si="209"/>
        <v>29620</v>
      </c>
      <c r="B5716" s="2" t="str">
        <f>"48848"</f>
        <v>48848</v>
      </c>
      <c r="C5716" s="1">
        <v>1.3301122070039501E-2</v>
      </c>
      <c r="D5716" s="1">
        <v>3.0280090840272499E-3</v>
      </c>
      <c r="E5716" s="1">
        <v>1.5560640732265401E-3</v>
      </c>
      <c r="F5716" s="1">
        <v>1.20782609003472E-2</v>
      </c>
    </row>
    <row r="5717" spans="1:6" x14ac:dyDescent="0.25">
      <c r="A5717" s="2" t="str">
        <f t="shared" si="209"/>
        <v>29620</v>
      </c>
      <c r="B5717" s="2" t="str">
        <f>"49264"</f>
        <v>49264</v>
      </c>
      <c r="C5717" s="1">
        <v>2.3599409016491599E-3</v>
      </c>
      <c r="D5717" s="1">
        <v>2.3656320968962899E-4</v>
      </c>
      <c r="E5717" s="1">
        <v>9.1533180778031995E-5</v>
      </c>
      <c r="F5717" s="1">
        <v>2.1133416639822098E-3</v>
      </c>
    </row>
    <row r="5718" spans="1:6" x14ac:dyDescent="0.25">
      <c r="A5718" s="2" t="str">
        <f t="shared" si="209"/>
        <v>29620</v>
      </c>
      <c r="B5718" s="2" t="str">
        <f>"49073"</f>
        <v>49073</v>
      </c>
      <c r="C5718" s="1">
        <v>7.9862636265623098E-4</v>
      </c>
      <c r="D5718" s="1">
        <v>9.46252838758516E-5</v>
      </c>
      <c r="E5718" s="1">
        <v>0</v>
      </c>
      <c r="F5718" s="1">
        <v>7.1506702868409904E-4</v>
      </c>
    </row>
    <row r="5719" spans="1:6" x14ac:dyDescent="0.25">
      <c r="A5719" s="2" t="str">
        <f t="shared" si="209"/>
        <v>29620</v>
      </c>
      <c r="B5719" s="2" t="str">
        <f>"48833"</f>
        <v>48833</v>
      </c>
      <c r="C5719" s="1">
        <v>0</v>
      </c>
      <c r="D5719" s="1">
        <v>4.73126419379258E-5</v>
      </c>
      <c r="E5719" s="1">
        <v>0</v>
      </c>
      <c r="F5719" s="1">
        <v>3.53993578556484E-6</v>
      </c>
    </row>
    <row r="5720" spans="1:6" x14ac:dyDescent="0.25">
      <c r="A5720" s="2" t="str">
        <f t="shared" si="209"/>
        <v>29620</v>
      </c>
      <c r="B5720" s="2" t="str">
        <f>"48837"</f>
        <v>48837</v>
      </c>
      <c r="C5720" s="1">
        <v>3.3749950085852298E-2</v>
      </c>
      <c r="D5720" s="1">
        <v>2.6163890991672899E-2</v>
      </c>
      <c r="E5720" s="1">
        <v>2.9656750572082301E-2</v>
      </c>
      <c r="F5720" s="1">
        <v>3.3024060943534397E-2</v>
      </c>
    </row>
    <row r="5721" spans="1:6" x14ac:dyDescent="0.25">
      <c r="A5721" s="2" t="str">
        <f t="shared" si="209"/>
        <v>29620</v>
      </c>
      <c r="B5721" s="2" t="str">
        <f>"48813"</f>
        <v>48813</v>
      </c>
      <c r="C5721" s="1">
        <v>3.6433334664377197E-2</v>
      </c>
      <c r="D5721" s="1">
        <v>3.2740348221044602E-2</v>
      </c>
      <c r="E5721" s="1">
        <v>3.2311212814645301E-2</v>
      </c>
      <c r="F5721" s="1">
        <v>3.5997607003408899E-2</v>
      </c>
    </row>
    <row r="5722" spans="1:6" x14ac:dyDescent="0.25">
      <c r="A5722" s="2" t="str">
        <f t="shared" si="209"/>
        <v>29620</v>
      </c>
      <c r="B5722" s="2" t="str">
        <f>"48909"</f>
        <v>48909</v>
      </c>
      <c r="C5722" s="1">
        <v>3.0427664417202399E-3</v>
      </c>
      <c r="D5722" s="1">
        <v>1.9350870552611601E-2</v>
      </c>
      <c r="E5722" s="1">
        <v>1.8306636155606399E-4</v>
      </c>
      <c r="F5722" s="1">
        <v>4.1523446764675596E-3</v>
      </c>
    </row>
    <row r="5723" spans="1:6" x14ac:dyDescent="0.25">
      <c r="A5723" s="2" t="str">
        <f t="shared" si="209"/>
        <v>29620</v>
      </c>
      <c r="B5723" s="2" t="str">
        <f>"48917"</f>
        <v>48917</v>
      </c>
      <c r="C5723" s="1">
        <v>6.3806253244419506E-2</v>
      </c>
      <c r="D5723" s="1">
        <v>8.8380015140045398E-2</v>
      </c>
      <c r="E5723" s="1">
        <v>0.112768878718535</v>
      </c>
      <c r="F5723" s="1">
        <v>6.7538434852791707E-2</v>
      </c>
    </row>
    <row r="5724" spans="1:6" x14ac:dyDescent="0.25">
      <c r="A5724" s="2" t="str">
        <f t="shared" si="209"/>
        <v>29620</v>
      </c>
      <c r="B5724" s="2" t="str">
        <f>"48864"</f>
        <v>48864</v>
      </c>
      <c r="C5724" s="1">
        <v>3.96877370922014E-2</v>
      </c>
      <c r="D5724" s="1">
        <v>6.5811884935654805E-2</v>
      </c>
      <c r="E5724" s="1">
        <v>5.1990846681922102E-2</v>
      </c>
      <c r="F5724" s="1">
        <v>4.2118155976650501E-2</v>
      </c>
    </row>
    <row r="5725" spans="1:6" x14ac:dyDescent="0.25">
      <c r="A5725" s="2" t="str">
        <f t="shared" si="209"/>
        <v>29620</v>
      </c>
      <c r="B5725" s="2" t="str">
        <f>"48861"</f>
        <v>48861</v>
      </c>
      <c r="C5725" s="1">
        <v>2.6993571057780598E-3</v>
      </c>
      <c r="D5725" s="1">
        <v>9.4625283875851595E-4</v>
      </c>
      <c r="E5725" s="1">
        <v>2.7459954233409603E-4</v>
      </c>
      <c r="F5725" s="1">
        <v>2.4744151141098299E-3</v>
      </c>
    </row>
    <row r="5726" spans="1:6" x14ac:dyDescent="0.25">
      <c r="A5726" s="2" t="str">
        <f t="shared" si="209"/>
        <v>29620</v>
      </c>
      <c r="B5726" s="2" t="str">
        <f>"48897"</f>
        <v>48897</v>
      </c>
      <c r="C5726" s="1">
        <v>9.5835163518747702E-5</v>
      </c>
      <c r="D5726" s="1">
        <v>0</v>
      </c>
      <c r="E5726" s="1">
        <v>0</v>
      </c>
      <c r="F5726" s="1">
        <v>8.4958458853556302E-5</v>
      </c>
    </row>
    <row r="5727" spans="1:6" x14ac:dyDescent="0.25">
      <c r="A5727" s="2" t="str">
        <f t="shared" si="209"/>
        <v>29620</v>
      </c>
      <c r="B5727" s="2" t="str">
        <f>"48892"</f>
        <v>48892</v>
      </c>
      <c r="C5727" s="1">
        <v>6.85620732340374E-3</v>
      </c>
      <c r="D5727" s="1">
        <v>2.5075700227100602E-3</v>
      </c>
      <c r="E5727" s="1">
        <v>1.09839816933638E-3</v>
      </c>
      <c r="F5727" s="1">
        <v>6.3081655698765601E-3</v>
      </c>
    </row>
    <row r="5728" spans="1:6" x14ac:dyDescent="0.25">
      <c r="A5728" s="2" t="str">
        <f t="shared" si="209"/>
        <v>29620</v>
      </c>
      <c r="B5728" s="2" t="str">
        <f>"48873"</f>
        <v>48873</v>
      </c>
      <c r="C5728" s="1">
        <v>5.2310026753983098E-4</v>
      </c>
      <c r="D5728" s="1">
        <v>4.73126419379258E-5</v>
      </c>
      <c r="E5728" s="1">
        <v>1.8306636155606399E-4</v>
      </c>
      <c r="F5728" s="1">
        <v>4.7435139526568902E-4</v>
      </c>
    </row>
    <row r="5729" spans="1:6" x14ac:dyDescent="0.25">
      <c r="A5729" s="2" t="str">
        <f t="shared" si="209"/>
        <v>29620</v>
      </c>
      <c r="B5729" s="2" t="str">
        <f>"48418"</f>
        <v>48418</v>
      </c>
      <c r="C5729" s="1">
        <v>4.0290699996006797E-3</v>
      </c>
      <c r="D5729" s="1">
        <v>1.9871309613928799E-3</v>
      </c>
      <c r="E5729" s="1">
        <v>1.0068649885583501E-3</v>
      </c>
      <c r="F5729" s="1">
        <v>3.7594118042698701E-3</v>
      </c>
    </row>
    <row r="5730" spans="1:6" x14ac:dyDescent="0.25">
      <c r="A5730" s="2" t="str">
        <f t="shared" si="209"/>
        <v>29620</v>
      </c>
      <c r="B5730" s="2" t="str">
        <f>"48836"</f>
        <v>48836</v>
      </c>
      <c r="C5730" s="1">
        <v>4.7917581759373797E-5</v>
      </c>
      <c r="D5730" s="1">
        <v>0</v>
      </c>
      <c r="E5730" s="1">
        <v>0</v>
      </c>
      <c r="F5730" s="1">
        <v>4.2479229426778097E-5</v>
      </c>
    </row>
    <row r="5731" spans="1:6" x14ac:dyDescent="0.25">
      <c r="A5731" s="2" t="str">
        <f t="shared" si="209"/>
        <v>29620</v>
      </c>
      <c r="B5731" s="2" t="str">
        <f>"48827"</f>
        <v>48827</v>
      </c>
      <c r="C5731" s="1">
        <v>2.6805893862556399E-2</v>
      </c>
      <c r="D5731" s="1">
        <v>1.43357305071915E-2</v>
      </c>
      <c r="E5731" s="1">
        <v>1.49199084668192E-2</v>
      </c>
      <c r="F5731" s="1">
        <v>2.5413199004570002E-2</v>
      </c>
    </row>
    <row r="5732" spans="1:6" x14ac:dyDescent="0.25">
      <c r="A5732" s="2" t="str">
        <f t="shared" si="209"/>
        <v>29620</v>
      </c>
      <c r="B5732" s="2" t="str">
        <f>"48915"</f>
        <v>48915</v>
      </c>
      <c r="C5732" s="1">
        <v>1.72064049834285E-2</v>
      </c>
      <c r="D5732" s="1">
        <v>7.04958364875094E-3</v>
      </c>
      <c r="E5732" s="1">
        <v>1.19908466819221E-2</v>
      </c>
      <c r="F5732" s="1">
        <v>1.6244765319957E-2</v>
      </c>
    </row>
    <row r="5733" spans="1:6" x14ac:dyDescent="0.25">
      <c r="A5733" s="2" t="str">
        <f t="shared" si="209"/>
        <v>29620</v>
      </c>
      <c r="B5733" s="2" t="str">
        <f>"48871"</f>
        <v>48871</v>
      </c>
      <c r="C5733" s="1">
        <v>1.5972527253124599E-5</v>
      </c>
      <c r="D5733" s="1">
        <v>0</v>
      </c>
      <c r="E5733" s="1">
        <v>0</v>
      </c>
      <c r="F5733" s="1">
        <v>1.4159743142259301E-5</v>
      </c>
    </row>
    <row r="5734" spans="1:6" x14ac:dyDescent="0.25">
      <c r="A5734" s="2" t="str">
        <f t="shared" si="209"/>
        <v>29620</v>
      </c>
      <c r="B5734" s="2" t="str">
        <f>"48882"</f>
        <v>48882</v>
      </c>
      <c r="C5734" s="1">
        <v>0</v>
      </c>
      <c r="D5734" s="1">
        <v>4.73126419379258E-5</v>
      </c>
      <c r="E5734" s="1">
        <v>0</v>
      </c>
      <c r="F5734" s="1">
        <v>3.53993578556484E-6</v>
      </c>
    </row>
    <row r="5735" spans="1:6" x14ac:dyDescent="0.25">
      <c r="A5735" s="2" t="str">
        <f t="shared" ref="A5735:A5766" si="210">"29620"</f>
        <v>29620</v>
      </c>
      <c r="B5735" s="2" t="str">
        <f>"48616"</f>
        <v>48616</v>
      </c>
      <c r="C5735" s="1">
        <v>1.4375274527812101E-4</v>
      </c>
      <c r="D5735" s="1">
        <v>0</v>
      </c>
      <c r="E5735" s="1">
        <v>0</v>
      </c>
      <c r="F5735" s="1">
        <v>1.2743768828033401E-4</v>
      </c>
    </row>
    <row r="5736" spans="1:6" x14ac:dyDescent="0.25">
      <c r="A5736" s="2" t="str">
        <f t="shared" si="210"/>
        <v>29620</v>
      </c>
      <c r="B5736" s="2" t="str">
        <f>"48433"</f>
        <v>48433</v>
      </c>
      <c r="C5736" s="1">
        <v>1.3975961346484E-4</v>
      </c>
      <c r="D5736" s="1">
        <v>4.73126419379258E-5</v>
      </c>
      <c r="E5736" s="1">
        <v>0</v>
      </c>
      <c r="F5736" s="1">
        <v>1.2743768828033401E-4</v>
      </c>
    </row>
    <row r="5737" spans="1:6" x14ac:dyDescent="0.25">
      <c r="A5737" s="2" t="str">
        <f t="shared" si="210"/>
        <v>29620</v>
      </c>
      <c r="B5737" s="2" t="str">
        <f>"48831"</f>
        <v>48831</v>
      </c>
      <c r="C5737" s="1">
        <v>5.0832567983069097E-3</v>
      </c>
      <c r="D5737" s="1">
        <v>1.32475397426192E-3</v>
      </c>
      <c r="E5737" s="1">
        <v>1.0068649885583501E-3</v>
      </c>
      <c r="F5737" s="1">
        <v>4.6443957506610801E-3</v>
      </c>
    </row>
    <row r="5738" spans="1:6" x14ac:dyDescent="0.25">
      <c r="A5738" s="2" t="str">
        <f t="shared" si="210"/>
        <v>29620</v>
      </c>
      <c r="B5738" s="2" t="str">
        <f>"48824"</f>
        <v>48824</v>
      </c>
      <c r="C5738" s="1">
        <v>1.19793954398434E-5</v>
      </c>
      <c r="D5738" s="1">
        <v>2.53122634367903E-2</v>
      </c>
      <c r="E5738" s="1">
        <v>8.4210526315789402E-3</v>
      </c>
      <c r="F5738" s="1">
        <v>2.2301595449058498E-3</v>
      </c>
    </row>
    <row r="5739" spans="1:6" x14ac:dyDescent="0.25">
      <c r="A5739" s="2" t="str">
        <f t="shared" si="210"/>
        <v>29620</v>
      </c>
      <c r="B5739" s="2" t="str">
        <f>"48819"</f>
        <v>48819</v>
      </c>
      <c r="C5739" s="1">
        <v>4.32056862197021E-3</v>
      </c>
      <c r="D5739" s="1">
        <v>9.4625283875851595E-4</v>
      </c>
      <c r="E5739" s="1">
        <v>0</v>
      </c>
      <c r="F5739" s="1">
        <v>3.9010092356924599E-3</v>
      </c>
    </row>
    <row r="5740" spans="1:6" x14ac:dyDescent="0.25">
      <c r="A5740" s="2" t="str">
        <f t="shared" si="210"/>
        <v>29620</v>
      </c>
      <c r="B5740" s="2" t="str">
        <f>"48817"</f>
        <v>48817</v>
      </c>
      <c r="C5740" s="1">
        <v>1.07894421594856E-2</v>
      </c>
      <c r="D5740" s="1">
        <v>8.7055261165783406E-3</v>
      </c>
      <c r="E5740" s="1">
        <v>1.1167048054919901E-2</v>
      </c>
      <c r="F5740" s="1">
        <v>1.0648126842979E-2</v>
      </c>
    </row>
    <row r="5741" spans="1:6" x14ac:dyDescent="0.25">
      <c r="A5741" s="2" t="str">
        <f t="shared" si="210"/>
        <v>29620</v>
      </c>
      <c r="B5741" s="2" t="str">
        <f>"48857"</f>
        <v>48857</v>
      </c>
      <c r="C5741" s="1">
        <v>4.2886235674639596E-3</v>
      </c>
      <c r="D5741" s="1">
        <v>2.1290688872066602E-3</v>
      </c>
      <c r="E5741" s="1">
        <v>5.4919908466819205E-4</v>
      </c>
      <c r="F5741" s="1">
        <v>3.9824277587604496E-3</v>
      </c>
    </row>
    <row r="5742" spans="1:6" x14ac:dyDescent="0.25">
      <c r="A5742" s="2" t="str">
        <f t="shared" si="210"/>
        <v>29620</v>
      </c>
      <c r="B5742" s="2" t="str">
        <f>"48876"</f>
        <v>48876</v>
      </c>
      <c r="C5742" s="1">
        <v>7.2036097911592004E-3</v>
      </c>
      <c r="D5742" s="1">
        <v>2.6968205904617701E-3</v>
      </c>
      <c r="E5742" s="1">
        <v>2.19679633867276E-3</v>
      </c>
      <c r="F5742" s="1">
        <v>6.6727789557897398E-3</v>
      </c>
    </row>
    <row r="5743" spans="1:6" x14ac:dyDescent="0.25">
      <c r="A5743" s="2" t="str">
        <f t="shared" si="210"/>
        <v>29620</v>
      </c>
      <c r="B5743" s="2" t="str">
        <f>"48845"</f>
        <v>48845</v>
      </c>
      <c r="C5743" s="1">
        <v>3.4740246775545998E-4</v>
      </c>
      <c r="D5743" s="1">
        <v>0</v>
      </c>
      <c r="E5743" s="1">
        <v>0</v>
      </c>
      <c r="F5743" s="1">
        <v>3.0797441334414101E-4</v>
      </c>
    </row>
    <row r="5744" spans="1:6" x14ac:dyDescent="0.25">
      <c r="A5744" s="2" t="str">
        <f t="shared" si="210"/>
        <v>29620</v>
      </c>
      <c r="B5744" s="2" t="str">
        <f>"48476"</f>
        <v>48476</v>
      </c>
      <c r="C5744" s="1">
        <v>1.2578365211835601E-3</v>
      </c>
      <c r="D5744" s="1">
        <v>4.73126419379258E-5</v>
      </c>
      <c r="E5744" s="1">
        <v>0</v>
      </c>
      <c r="F5744" s="1">
        <v>1.1186197082384899E-3</v>
      </c>
    </row>
    <row r="5745" spans="1:6" x14ac:dyDescent="0.25">
      <c r="A5745" s="2" t="str">
        <f t="shared" si="210"/>
        <v>29620</v>
      </c>
      <c r="B5745" s="2" t="str">
        <f>"48649"</f>
        <v>48649</v>
      </c>
      <c r="C5745" s="1">
        <v>1.07814558958591E-4</v>
      </c>
      <c r="D5745" s="1">
        <v>0</v>
      </c>
      <c r="E5745" s="1">
        <v>0</v>
      </c>
      <c r="F5745" s="1">
        <v>9.5578266210250904E-5</v>
      </c>
    </row>
    <row r="5746" spans="1:6" x14ac:dyDescent="0.25">
      <c r="A5746" s="2" t="str">
        <f t="shared" si="210"/>
        <v>29620</v>
      </c>
      <c r="B5746" s="2" t="str">
        <f>"48429"</f>
        <v>48429</v>
      </c>
      <c r="C5746" s="1">
        <v>1.6771153615780798E-2</v>
      </c>
      <c r="D5746" s="1">
        <v>1.09292202876608E-2</v>
      </c>
      <c r="E5746" s="1">
        <v>9.9771167048054894E-3</v>
      </c>
      <c r="F5746" s="1">
        <v>1.6071308466464401E-2</v>
      </c>
    </row>
    <row r="5747" spans="1:6" x14ac:dyDescent="0.25">
      <c r="A5747" s="2" t="str">
        <f t="shared" si="210"/>
        <v>29620</v>
      </c>
      <c r="B5747" s="2" t="str">
        <f>"48414"</f>
        <v>48414</v>
      </c>
      <c r="C5747" s="1">
        <v>4.2007746675717696E-3</v>
      </c>
      <c r="D5747" s="1">
        <v>4.25813777441332E-4</v>
      </c>
      <c r="E5747" s="1">
        <v>6.4073226544622401E-4</v>
      </c>
      <c r="F5747" s="1">
        <v>3.7806514189832499E-3</v>
      </c>
    </row>
    <row r="5748" spans="1:6" x14ac:dyDescent="0.25">
      <c r="A5748" s="2" t="str">
        <f t="shared" si="210"/>
        <v>29620</v>
      </c>
      <c r="B5748" s="2" t="str">
        <f>"49284"</f>
        <v>49284</v>
      </c>
      <c r="C5748" s="1">
        <v>5.5504532204608001E-4</v>
      </c>
      <c r="D5748" s="1">
        <v>9.46252838758516E-5</v>
      </c>
      <c r="E5748" s="1">
        <v>0</v>
      </c>
      <c r="F5748" s="1">
        <v>4.9913094576464301E-4</v>
      </c>
    </row>
    <row r="5749" spans="1:6" x14ac:dyDescent="0.25">
      <c r="A5749" s="2" t="str">
        <f t="shared" si="210"/>
        <v>29620</v>
      </c>
      <c r="B5749" s="2" t="str">
        <f>"49076"</f>
        <v>49076</v>
      </c>
      <c r="C5749" s="1">
        <v>5.3108653116639296E-3</v>
      </c>
      <c r="D5749" s="1">
        <v>2.5548826646479899E-3</v>
      </c>
      <c r="E5749" s="1">
        <v>4.11899313501144E-3</v>
      </c>
      <c r="F5749" s="1">
        <v>5.0585682375721697E-3</v>
      </c>
    </row>
    <row r="5750" spans="1:6" x14ac:dyDescent="0.25">
      <c r="A5750" s="2" t="str">
        <f t="shared" si="210"/>
        <v>29620</v>
      </c>
      <c r="B5750" s="2" t="str">
        <f>"48841"</f>
        <v>48841</v>
      </c>
      <c r="C5750" s="1">
        <v>1.122070039532E-3</v>
      </c>
      <c r="D5750" s="1">
        <v>1.8925056775170301E-4</v>
      </c>
      <c r="E5750" s="1">
        <v>1.8306636155606399E-4</v>
      </c>
      <c r="F5750" s="1">
        <v>1.0159615704571101E-3</v>
      </c>
    </row>
    <row r="5751" spans="1:6" x14ac:dyDescent="0.25">
      <c r="A5751" s="2" t="str">
        <f t="shared" si="210"/>
        <v>29620</v>
      </c>
      <c r="B5751" s="2" t="str">
        <f>"48825"</f>
        <v>48825</v>
      </c>
      <c r="C5751" s="1">
        <v>3.9931318132811498E-6</v>
      </c>
      <c r="D5751" s="1">
        <v>4.0688872066616099E-3</v>
      </c>
      <c r="E5751" s="1">
        <v>2.4713958810068598E-3</v>
      </c>
      <c r="F5751" s="1">
        <v>4.0355267955439198E-4</v>
      </c>
    </row>
    <row r="5752" spans="1:6" x14ac:dyDescent="0.25">
      <c r="A5752" s="2" t="str">
        <f t="shared" si="210"/>
        <v>29620</v>
      </c>
      <c r="B5752" s="2" t="str">
        <f>"48912"</f>
        <v>48912</v>
      </c>
      <c r="C5752" s="1">
        <v>3.7787006349079499E-2</v>
      </c>
      <c r="D5752" s="1">
        <v>5.7153671461014299E-2</v>
      </c>
      <c r="E5752" s="1">
        <v>5.62013729977116E-2</v>
      </c>
      <c r="F5752" s="1">
        <v>3.9948175340099298E-2</v>
      </c>
    </row>
    <row r="5753" spans="1:6" x14ac:dyDescent="0.25">
      <c r="A5753" s="2" t="str">
        <f t="shared" si="210"/>
        <v>29620</v>
      </c>
      <c r="B5753" s="2" t="str">
        <f>"48911"</f>
        <v>48911</v>
      </c>
      <c r="C5753" s="1">
        <v>7.3078305314858399E-2</v>
      </c>
      <c r="D5753" s="1">
        <v>5.0861090083270201E-2</v>
      </c>
      <c r="E5753" s="1">
        <v>9.1899313501144095E-2</v>
      </c>
      <c r="F5753" s="1">
        <v>7.2143891309811595E-2</v>
      </c>
    </row>
    <row r="5754" spans="1:6" x14ac:dyDescent="0.25">
      <c r="A5754" s="2" t="str">
        <f t="shared" si="210"/>
        <v>29620</v>
      </c>
      <c r="B5754" s="2" t="str">
        <f>"48910"</f>
        <v>48910</v>
      </c>
      <c r="C5754" s="1">
        <v>6.8817633670087405E-2</v>
      </c>
      <c r="D5754" s="1">
        <v>6.2452687358062003E-2</v>
      </c>
      <c r="E5754" s="1">
        <v>0.08</v>
      </c>
      <c r="F5754" s="1">
        <v>6.8773872441953904E-2</v>
      </c>
    </row>
    <row r="5755" spans="1:6" x14ac:dyDescent="0.25">
      <c r="A5755" s="2" t="str">
        <f t="shared" si="210"/>
        <v>29620</v>
      </c>
      <c r="B5755" s="2" t="str">
        <f>"48872"</f>
        <v>48872</v>
      </c>
      <c r="C5755" s="1">
        <v>1.24146468074911E-2</v>
      </c>
      <c r="D5755" s="1">
        <v>2.5548826646479899E-3</v>
      </c>
      <c r="E5755" s="1">
        <v>3.2951945080091499E-3</v>
      </c>
      <c r="F5755" s="1">
        <v>1.13242545780219E-2</v>
      </c>
    </row>
    <row r="5756" spans="1:6" x14ac:dyDescent="0.25">
      <c r="A5756" s="2" t="str">
        <f t="shared" si="210"/>
        <v>29620</v>
      </c>
      <c r="B5756" s="2" t="str">
        <f>"48875"</f>
        <v>48875</v>
      </c>
      <c r="C5756" s="1">
        <v>6.7084614463123397E-4</v>
      </c>
      <c r="D5756" s="1">
        <v>4.73126419379258E-5</v>
      </c>
      <c r="E5756" s="1">
        <v>0</v>
      </c>
      <c r="F5756" s="1">
        <v>5.9824914776045895E-4</v>
      </c>
    </row>
    <row r="5757" spans="1:6" x14ac:dyDescent="0.25">
      <c r="A5757" s="2" t="str">
        <f t="shared" si="210"/>
        <v>29620</v>
      </c>
      <c r="B5757" s="2" t="str">
        <f>"48854"</f>
        <v>48854</v>
      </c>
      <c r="C5757" s="1">
        <v>3.4157249530807003E-2</v>
      </c>
      <c r="D5757" s="1">
        <v>3.3875851627554798E-2</v>
      </c>
      <c r="E5757" s="1">
        <v>2.56292906178489E-2</v>
      </c>
      <c r="F5757" s="1">
        <v>3.3806386752144299E-2</v>
      </c>
    </row>
    <row r="5758" spans="1:6" x14ac:dyDescent="0.25">
      <c r="A5758" s="2" t="str">
        <f t="shared" si="210"/>
        <v>29620</v>
      </c>
      <c r="B5758" s="2" t="str">
        <f>"48460"</f>
        <v>48460</v>
      </c>
      <c r="C5758" s="1">
        <v>2.4477898015413399E-3</v>
      </c>
      <c r="D5758" s="1">
        <v>1.4666919000757E-3</v>
      </c>
      <c r="E5758" s="1">
        <v>2.1052631578947299E-3</v>
      </c>
      <c r="F5758" s="1">
        <v>2.3611371689717499E-3</v>
      </c>
    </row>
    <row r="5759" spans="1:6" x14ac:dyDescent="0.25">
      <c r="A5759" s="2" t="str">
        <f t="shared" si="210"/>
        <v>29620</v>
      </c>
      <c r="B5759" s="2" t="str">
        <f>"48449"</f>
        <v>48449</v>
      </c>
      <c r="C5759" s="1">
        <v>3.08269775985305E-3</v>
      </c>
      <c r="D5759" s="1">
        <v>8.51627554882664E-4</v>
      </c>
      <c r="E5759" s="1">
        <v>5.4919908466819205E-4</v>
      </c>
      <c r="F5759" s="1">
        <v>2.8177888853096202E-3</v>
      </c>
    </row>
    <row r="5760" spans="1:6" x14ac:dyDescent="0.25">
      <c r="A5760" s="2" t="str">
        <f t="shared" si="210"/>
        <v>29620</v>
      </c>
      <c r="B5760" s="2" t="str">
        <f>"49251"</f>
        <v>49251</v>
      </c>
      <c r="C5760" s="1">
        <v>9.8231042606716397E-3</v>
      </c>
      <c r="D5760" s="1">
        <v>3.5484481453444301E-3</v>
      </c>
      <c r="E5760" s="1">
        <v>3.9359267734553702E-3</v>
      </c>
      <c r="F5760" s="1">
        <v>9.1259544551861808E-3</v>
      </c>
    </row>
    <row r="5761" spans="1:6" x14ac:dyDescent="0.25">
      <c r="A5761" s="2" t="str">
        <f t="shared" si="210"/>
        <v>29620</v>
      </c>
      <c r="B5761" s="2" t="str">
        <f>"48956"</f>
        <v>48956</v>
      </c>
      <c r="C5761" s="1">
        <v>0</v>
      </c>
      <c r="D5761" s="1">
        <v>0</v>
      </c>
      <c r="E5761" s="1">
        <v>9.1533180778031995E-5</v>
      </c>
      <c r="F5761" s="1">
        <v>3.53993578556484E-6</v>
      </c>
    </row>
    <row r="5762" spans="1:6" x14ac:dyDescent="0.25">
      <c r="A5762" s="2" t="str">
        <f t="shared" si="210"/>
        <v>29620</v>
      </c>
      <c r="B5762" s="2" t="str">
        <f>"48924"</f>
        <v>48924</v>
      </c>
      <c r="C5762" s="1">
        <v>0</v>
      </c>
      <c r="D5762" s="1">
        <v>0</v>
      </c>
      <c r="E5762" s="1">
        <v>9.1533180778031995E-5</v>
      </c>
      <c r="F5762" s="1">
        <v>3.53993578556484E-6</v>
      </c>
    </row>
    <row r="5763" spans="1:6" x14ac:dyDescent="0.25">
      <c r="A5763" s="2" t="str">
        <f t="shared" si="210"/>
        <v>29620</v>
      </c>
      <c r="B5763" s="2" t="str">
        <f>"48901"</f>
        <v>48901</v>
      </c>
      <c r="C5763" s="1">
        <v>4.2007746675717696E-3</v>
      </c>
      <c r="D5763" s="1">
        <v>1.83099924299772E-2</v>
      </c>
      <c r="E5763" s="1">
        <v>1.8306636155606399E-4</v>
      </c>
      <c r="F5763" s="1">
        <v>5.1010474669989404E-3</v>
      </c>
    </row>
    <row r="5764" spans="1:6" x14ac:dyDescent="0.25">
      <c r="A5764" s="2" t="str">
        <f t="shared" si="210"/>
        <v>29620</v>
      </c>
      <c r="B5764" s="2" t="str">
        <f>"48894"</f>
        <v>48894</v>
      </c>
      <c r="C5764" s="1">
        <v>3.3702032504092901E-3</v>
      </c>
      <c r="D5764" s="1">
        <v>1.41937925813777E-3</v>
      </c>
      <c r="E5764" s="1">
        <v>6.4073226544622401E-4</v>
      </c>
      <c r="F5764" s="1">
        <v>3.1186834270826298E-3</v>
      </c>
    </row>
    <row r="5765" spans="1:6" x14ac:dyDescent="0.25">
      <c r="A5765" s="2" t="str">
        <f t="shared" si="210"/>
        <v>29620</v>
      </c>
      <c r="B5765" s="2" t="str">
        <f>"48808"</f>
        <v>48808</v>
      </c>
      <c r="C5765" s="1">
        <v>1.03222457373317E-2</v>
      </c>
      <c r="D5765" s="1">
        <v>2.0817562452687299E-3</v>
      </c>
      <c r="E5765" s="1">
        <v>8.0549199084668094E-3</v>
      </c>
      <c r="F5765" s="1">
        <v>9.61800552937969E-3</v>
      </c>
    </row>
    <row r="5766" spans="1:6" x14ac:dyDescent="0.25">
      <c r="A5766" s="2" t="str">
        <f t="shared" si="210"/>
        <v>29620</v>
      </c>
      <c r="B5766" s="2" t="str">
        <f>"48436"</f>
        <v>48436</v>
      </c>
      <c r="C5766" s="1">
        <v>2.87505490556243E-4</v>
      </c>
      <c r="D5766" s="1">
        <v>4.73126419379258E-5</v>
      </c>
      <c r="E5766" s="1">
        <v>0</v>
      </c>
      <c r="F5766" s="1">
        <v>2.5841531234623401E-4</v>
      </c>
    </row>
    <row r="5767" spans="1:6" x14ac:dyDescent="0.25">
      <c r="A5767" s="2" t="str">
        <f t="shared" ref="A5767:A5777" si="211">"29620"</f>
        <v>29620</v>
      </c>
      <c r="B5767" s="2" t="str">
        <f>"49096"</f>
        <v>49096</v>
      </c>
      <c r="C5767" s="1">
        <v>5.4186798706225203E-3</v>
      </c>
      <c r="D5767" s="1">
        <v>1.32475397426192E-3</v>
      </c>
      <c r="E5767" s="1">
        <v>7.3226544622425596E-4</v>
      </c>
      <c r="F5767" s="1">
        <v>4.9311305492918296E-3</v>
      </c>
    </row>
    <row r="5768" spans="1:6" x14ac:dyDescent="0.25">
      <c r="A5768" s="2" t="str">
        <f t="shared" si="211"/>
        <v>29620</v>
      </c>
      <c r="B5768" s="2" t="str">
        <f>"48835"</f>
        <v>48835</v>
      </c>
      <c r="C5768" s="1">
        <v>3.9771592860280303E-3</v>
      </c>
      <c r="D5768" s="1">
        <v>1.9871309613928799E-3</v>
      </c>
      <c r="E5768" s="1">
        <v>7.3226544622425596E-4</v>
      </c>
      <c r="F5768" s="1">
        <v>3.7027728317008302E-3</v>
      </c>
    </row>
    <row r="5769" spans="1:6" x14ac:dyDescent="0.25">
      <c r="A5769" s="2" t="str">
        <f t="shared" si="211"/>
        <v>29620</v>
      </c>
      <c r="B5769" s="2" t="str">
        <f>"48823"</f>
        <v>48823</v>
      </c>
      <c r="C5769" s="1">
        <v>0.10469192988060499</v>
      </c>
      <c r="D5769" s="1">
        <v>9.3820968962906801E-2</v>
      </c>
      <c r="E5769" s="1">
        <v>0.15734553775743701</v>
      </c>
      <c r="F5769" s="1">
        <v>0.1059148787041</v>
      </c>
    </row>
    <row r="5770" spans="1:6" x14ac:dyDescent="0.25">
      <c r="A5770" s="2" t="str">
        <f t="shared" si="211"/>
        <v>29620</v>
      </c>
      <c r="B5770" s="2" t="str">
        <f>"48822"</f>
        <v>48822</v>
      </c>
      <c r="C5770" s="1">
        <v>6.6924889190592097E-3</v>
      </c>
      <c r="D5770" s="1">
        <v>1.08819076457229E-3</v>
      </c>
      <c r="E5770" s="1">
        <v>1.8306636155606399E-4</v>
      </c>
      <c r="F5770" s="1">
        <v>6.0214307712458002E-3</v>
      </c>
    </row>
    <row r="5771" spans="1:6" x14ac:dyDescent="0.25">
      <c r="A5771" s="2" t="str">
        <f t="shared" si="211"/>
        <v>29620</v>
      </c>
      <c r="B5771" s="2" t="str">
        <f>"48821"</f>
        <v>48821</v>
      </c>
      <c r="C5771" s="1">
        <v>1.08932635866309E-2</v>
      </c>
      <c r="D5771" s="1">
        <v>2.8860711582134701E-3</v>
      </c>
      <c r="E5771" s="1">
        <v>7.3226544622425596E-4</v>
      </c>
      <c r="F5771" s="1">
        <v>9.9012003922248799E-3</v>
      </c>
    </row>
    <row r="5772" spans="1:6" x14ac:dyDescent="0.25">
      <c r="A5772" s="2" t="str">
        <f t="shared" si="211"/>
        <v>29620</v>
      </c>
      <c r="B5772" s="2" t="str">
        <f>"48866"</f>
        <v>48866</v>
      </c>
      <c r="C5772" s="1">
        <v>7.9143872539232506E-3</v>
      </c>
      <c r="D5772" s="1">
        <v>3.7850113550340599E-3</v>
      </c>
      <c r="E5772" s="1">
        <v>2.19679633867276E-3</v>
      </c>
      <c r="F5772" s="1">
        <v>7.3843060486882698E-3</v>
      </c>
    </row>
    <row r="5773" spans="1:6" x14ac:dyDescent="0.25">
      <c r="A5773" s="2" t="str">
        <f t="shared" si="211"/>
        <v>29620</v>
      </c>
      <c r="B5773" s="2" t="str">
        <f>"48895"</f>
        <v>48895</v>
      </c>
      <c r="C5773" s="1">
        <v>1.94505450624925E-2</v>
      </c>
      <c r="D5773" s="1">
        <v>1.86884935654806E-2</v>
      </c>
      <c r="E5773" s="1">
        <v>1.162471395881E-2</v>
      </c>
      <c r="F5773" s="1">
        <v>1.90908736915512E-2</v>
      </c>
    </row>
    <row r="5774" spans="1:6" x14ac:dyDescent="0.25">
      <c r="A5774" s="2" t="str">
        <f t="shared" si="211"/>
        <v>29620</v>
      </c>
      <c r="B5774" s="2" t="str">
        <f>"48879"</f>
        <v>48879</v>
      </c>
      <c r="C5774" s="1">
        <v>3.0008385576807801E-2</v>
      </c>
      <c r="D5774" s="1">
        <v>2.8624148372445101E-2</v>
      </c>
      <c r="E5774" s="1">
        <v>2.6361556064073199E-2</v>
      </c>
      <c r="F5774" s="1">
        <v>2.9763780085029199E-2</v>
      </c>
    </row>
    <row r="5775" spans="1:6" x14ac:dyDescent="0.25">
      <c r="A5775" s="2" t="str">
        <f t="shared" si="211"/>
        <v>29620</v>
      </c>
      <c r="B5775" s="2" t="str">
        <f>"48805"</f>
        <v>48805</v>
      </c>
      <c r="C5775" s="1">
        <v>3.3103062732100699E-3</v>
      </c>
      <c r="D5775" s="1">
        <v>1.03614685844057E-2</v>
      </c>
      <c r="E5775" s="1">
        <v>1.8306636155606399E-4</v>
      </c>
      <c r="F5775" s="1">
        <v>3.7169325748430898E-3</v>
      </c>
    </row>
    <row r="5776" spans="1:6" x14ac:dyDescent="0.25">
      <c r="A5776" s="2" t="str">
        <f t="shared" si="211"/>
        <v>29620</v>
      </c>
      <c r="B5776" s="2" t="str">
        <f>"48807"</f>
        <v>48807</v>
      </c>
      <c r="C5776" s="1">
        <v>2.3958790879686899E-5</v>
      </c>
      <c r="D5776" s="1">
        <v>0</v>
      </c>
      <c r="E5776" s="1">
        <v>0</v>
      </c>
      <c r="F5776" s="1">
        <v>2.1239614713389001E-5</v>
      </c>
    </row>
    <row r="5777" spans="1:6" x14ac:dyDescent="0.25">
      <c r="A5777" s="2" t="str">
        <f t="shared" si="211"/>
        <v>29620</v>
      </c>
      <c r="B5777" s="2" t="str">
        <f>"48842"</f>
        <v>48842</v>
      </c>
      <c r="C5777" s="1">
        <v>4.1516591462684098E-2</v>
      </c>
      <c r="D5777" s="1">
        <v>3.0516654049962101E-2</v>
      </c>
      <c r="E5777" s="1">
        <v>4.4668192219679603E-2</v>
      </c>
      <c r="F5777" s="1">
        <v>4.08154596075627E-2</v>
      </c>
    </row>
    <row r="5778" spans="1:6" x14ac:dyDescent="0.25">
      <c r="A5778" s="2" t="str">
        <f t="shared" ref="A5778:A5801" si="212">"12980"</f>
        <v>12980</v>
      </c>
      <c r="B5778" s="2" t="str">
        <f>"49034"</f>
        <v>49034</v>
      </c>
      <c r="C5778" s="1">
        <v>1.3814941868587299E-3</v>
      </c>
      <c r="D5778" s="1">
        <v>0</v>
      </c>
      <c r="E5778" s="1">
        <v>0</v>
      </c>
      <c r="F5778" s="1">
        <v>1.2093212854134101E-3</v>
      </c>
    </row>
    <row r="5779" spans="1:6" x14ac:dyDescent="0.25">
      <c r="A5779" s="2" t="str">
        <f t="shared" si="212"/>
        <v>12980</v>
      </c>
      <c r="B5779" s="2" t="str">
        <f>"49037"</f>
        <v>49037</v>
      </c>
      <c r="C5779" s="1">
        <v>0.16512736134610301</v>
      </c>
      <c r="D5779" s="1">
        <v>0.17228390166534399</v>
      </c>
      <c r="E5779" s="1">
        <v>8.3091085271317797E-2</v>
      </c>
      <c r="F5779" s="1">
        <v>0.16101637339493099</v>
      </c>
    </row>
    <row r="5780" spans="1:6" x14ac:dyDescent="0.25">
      <c r="A5780" s="2" t="str">
        <f t="shared" si="212"/>
        <v>12980</v>
      </c>
      <c r="B5780" s="2" t="str">
        <f>"49033"</f>
        <v>49033</v>
      </c>
      <c r="C5780" s="1">
        <v>1.24489700883224E-2</v>
      </c>
      <c r="D5780" s="1">
        <v>5.9476605868358397E-4</v>
      </c>
      <c r="E5780" s="1">
        <v>4.8449612403100699E-4</v>
      </c>
      <c r="F5780" s="1">
        <v>1.0965418846389E-2</v>
      </c>
    </row>
    <row r="5781" spans="1:6" x14ac:dyDescent="0.25">
      <c r="A5781" s="2" t="str">
        <f t="shared" si="212"/>
        <v>12980</v>
      </c>
      <c r="B5781" s="2" t="str">
        <f>"49012"</f>
        <v>49012</v>
      </c>
      <c r="C5781" s="1">
        <v>7.1403070332024204E-4</v>
      </c>
      <c r="D5781" s="1">
        <v>1.9825535289452799E-4</v>
      </c>
      <c r="E5781" s="1">
        <v>0</v>
      </c>
      <c r="F5781" s="1">
        <v>6.3863034173517201E-4</v>
      </c>
    </row>
    <row r="5782" spans="1:6" x14ac:dyDescent="0.25">
      <c r="A5782" s="2" t="str">
        <f t="shared" si="212"/>
        <v>12980</v>
      </c>
      <c r="B5782" s="2" t="str">
        <f>"48813"</f>
        <v>48813</v>
      </c>
      <c r="C5782" s="1">
        <v>2.79403318690529E-4</v>
      </c>
      <c r="D5782" s="1">
        <v>0</v>
      </c>
      <c r="E5782" s="1">
        <v>0</v>
      </c>
      <c r="F5782" s="1">
        <v>2.4458183300495902E-4</v>
      </c>
    </row>
    <row r="5783" spans="1:6" x14ac:dyDescent="0.25">
      <c r="A5783" s="2" t="str">
        <f t="shared" si="212"/>
        <v>12980</v>
      </c>
      <c r="B5783" s="2" t="str">
        <f>"49029"</f>
        <v>49029</v>
      </c>
      <c r="C5783" s="1">
        <v>1.15486705058752E-2</v>
      </c>
      <c r="D5783" s="1">
        <v>2.5773195876288599E-3</v>
      </c>
      <c r="E5783" s="1">
        <v>9.6899224806201495E-4</v>
      </c>
      <c r="F5783" s="1">
        <v>1.03403763842652E-2</v>
      </c>
    </row>
    <row r="5784" spans="1:6" x14ac:dyDescent="0.25">
      <c r="A5784" s="2" t="str">
        <f t="shared" si="212"/>
        <v>12980</v>
      </c>
      <c r="B5784" s="2" t="str">
        <f>"49092"</f>
        <v>49092</v>
      </c>
      <c r="C5784" s="1">
        <v>1.29456870993278E-2</v>
      </c>
      <c r="D5784" s="1">
        <v>1.3679619349722401E-2</v>
      </c>
      <c r="E5784" s="1">
        <v>1.45348837209302E-3</v>
      </c>
      <c r="F5784" s="1">
        <v>1.2351382566750399E-2</v>
      </c>
    </row>
    <row r="5785" spans="1:6" x14ac:dyDescent="0.25">
      <c r="A5785" s="2" t="str">
        <f t="shared" si="212"/>
        <v>12980</v>
      </c>
      <c r="B5785" s="2" t="str">
        <f>"49021"</f>
        <v>49021</v>
      </c>
      <c r="C5785" s="1">
        <v>5.3552302749018199E-3</v>
      </c>
      <c r="D5785" s="1">
        <v>1.9825535289452799E-4</v>
      </c>
      <c r="E5785" s="1">
        <v>4.8449612403100699E-4</v>
      </c>
      <c r="F5785" s="1">
        <v>4.7285821047625496E-3</v>
      </c>
    </row>
    <row r="5786" spans="1:6" x14ac:dyDescent="0.25">
      <c r="A5786" s="2" t="str">
        <f t="shared" si="212"/>
        <v>12980</v>
      </c>
      <c r="B5786" s="2" t="str">
        <f>"49017"</f>
        <v>49017</v>
      </c>
      <c r="C5786" s="1">
        <v>0.143240768048678</v>
      </c>
      <c r="D5786" s="1">
        <v>0.14452815226011101</v>
      </c>
      <c r="E5786" s="1">
        <v>8.89050387596899E-2</v>
      </c>
      <c r="F5786" s="1">
        <v>0.14028126910795499</v>
      </c>
    </row>
    <row r="5787" spans="1:6" x14ac:dyDescent="0.25">
      <c r="A5787" s="2" t="str">
        <f t="shared" si="212"/>
        <v>12980</v>
      </c>
      <c r="B5787" s="2" t="str">
        <f>"49052"</f>
        <v>49052</v>
      </c>
      <c r="C5787" s="1">
        <v>1.94030082423979E-3</v>
      </c>
      <c r="D5787" s="1">
        <v>2.3790642347343298E-3</v>
      </c>
      <c r="E5787" s="1">
        <v>0</v>
      </c>
      <c r="F5787" s="1">
        <v>1.8615395067599701E-3</v>
      </c>
    </row>
    <row r="5788" spans="1:6" x14ac:dyDescent="0.25">
      <c r="A5788" s="2" t="str">
        <f t="shared" si="212"/>
        <v>12980</v>
      </c>
      <c r="B5788" s="2" t="str">
        <f>"49016"</f>
        <v>49016</v>
      </c>
      <c r="C5788" s="1">
        <v>2.7459137264641501E-2</v>
      </c>
      <c r="D5788" s="1">
        <v>5.8881839809674798E-2</v>
      </c>
      <c r="E5788" s="1">
        <v>2.4224806201550301E-4</v>
      </c>
      <c r="F5788" s="1">
        <v>2.8086147156736099E-2</v>
      </c>
    </row>
    <row r="5789" spans="1:6" x14ac:dyDescent="0.25">
      <c r="A5789" s="2" t="str">
        <f t="shared" si="212"/>
        <v>12980</v>
      </c>
      <c r="B5789" s="2" t="str">
        <f>"49237"</f>
        <v>49237</v>
      </c>
      <c r="C5789" s="1">
        <v>1.7074647253310099E-4</v>
      </c>
      <c r="D5789" s="1">
        <v>0</v>
      </c>
      <c r="E5789" s="1">
        <v>4.8449612403100699E-4</v>
      </c>
      <c r="F5789" s="1">
        <v>1.7664243494802599E-4</v>
      </c>
    </row>
    <row r="5790" spans="1:6" x14ac:dyDescent="0.25">
      <c r="A5790" s="2" t="str">
        <f t="shared" si="212"/>
        <v>12980</v>
      </c>
      <c r="B5790" s="2" t="str">
        <f>"49020"</f>
        <v>49020</v>
      </c>
      <c r="C5790" s="1">
        <v>0</v>
      </c>
      <c r="D5790" s="1">
        <v>1.9825535289452799E-4</v>
      </c>
      <c r="E5790" s="1">
        <v>0</v>
      </c>
      <c r="F5790" s="1">
        <v>1.3587879611386599E-5</v>
      </c>
    </row>
    <row r="5791" spans="1:6" x14ac:dyDescent="0.25">
      <c r="A5791" s="2" t="str">
        <f t="shared" si="212"/>
        <v>12980</v>
      </c>
      <c r="B5791" s="2" t="str">
        <f>"49015"</f>
        <v>49015</v>
      </c>
      <c r="C5791" s="1">
        <v>0.19247784176458699</v>
      </c>
      <c r="D5791" s="1">
        <v>0.23295003965107</v>
      </c>
      <c r="E5791" s="1">
        <v>0.119670542635658</v>
      </c>
      <c r="F5791" s="1">
        <v>0.19116787825259801</v>
      </c>
    </row>
    <row r="5792" spans="1:6" x14ac:dyDescent="0.25">
      <c r="A5792" s="2" t="str">
        <f t="shared" si="212"/>
        <v>12980</v>
      </c>
      <c r="B5792" s="2" t="str">
        <f>"49014"</f>
        <v>49014</v>
      </c>
      <c r="C5792" s="1">
        <v>0.1516073452028</v>
      </c>
      <c r="D5792" s="1">
        <v>0.122720063441712</v>
      </c>
      <c r="E5792" s="1">
        <v>9.68992248062015E-2</v>
      </c>
      <c r="F5792" s="1">
        <v>0.14655886948841601</v>
      </c>
    </row>
    <row r="5793" spans="1:6" x14ac:dyDescent="0.25">
      <c r="A5793" s="2" t="str">
        <f t="shared" si="212"/>
        <v>12980</v>
      </c>
      <c r="B5793" s="2" t="str">
        <f>"49284"</f>
        <v>49284</v>
      </c>
      <c r="C5793" s="1">
        <v>5.89851450568896E-3</v>
      </c>
      <c r="D5793" s="1">
        <v>7.9302141157811196E-4</v>
      </c>
      <c r="E5793" s="1">
        <v>0</v>
      </c>
      <c r="F5793" s="1">
        <v>5.2177457707724703E-3</v>
      </c>
    </row>
    <row r="5794" spans="1:6" x14ac:dyDescent="0.25">
      <c r="A5794" s="2" t="str">
        <f t="shared" si="212"/>
        <v>12980</v>
      </c>
      <c r="B5794" s="2" t="str">
        <f>"49224"</f>
        <v>49224</v>
      </c>
      <c r="C5794" s="1">
        <v>8.1508157024665101E-2</v>
      </c>
      <c r="D5794" s="1">
        <v>8.2672482157018196E-2</v>
      </c>
      <c r="E5794" s="1">
        <v>0.54045542635658905</v>
      </c>
      <c r="F5794" s="1">
        <v>0.107330661050343</v>
      </c>
    </row>
    <row r="5795" spans="1:6" x14ac:dyDescent="0.25">
      <c r="A5795" s="2" t="str">
        <f t="shared" si="212"/>
        <v>12980</v>
      </c>
      <c r="B5795" s="2" t="str">
        <f>"49076"</f>
        <v>49076</v>
      </c>
      <c r="C5795" s="1">
        <v>7.9319497694922605E-3</v>
      </c>
      <c r="D5795" s="1">
        <v>1.38778747026169E-3</v>
      </c>
      <c r="E5795" s="1">
        <v>4.8449612403100699E-4</v>
      </c>
      <c r="F5795" s="1">
        <v>7.0656973979210504E-3</v>
      </c>
    </row>
    <row r="5796" spans="1:6" x14ac:dyDescent="0.25">
      <c r="A5796" s="2" t="str">
        <f t="shared" si="212"/>
        <v>12980</v>
      </c>
      <c r="B5796" s="2" t="str">
        <f>"49068"</f>
        <v>49068</v>
      </c>
      <c r="C5796" s="1">
        <v>0.107026993465066</v>
      </c>
      <c r="D5796" s="1">
        <v>0.12589214908802501</v>
      </c>
      <c r="E5796" s="1">
        <v>5.1356589147286802E-2</v>
      </c>
      <c r="F5796" s="1">
        <v>0.105197363951355</v>
      </c>
    </row>
    <row r="5797" spans="1:6" x14ac:dyDescent="0.25">
      <c r="A5797" s="2" t="str">
        <f t="shared" si="212"/>
        <v>12980</v>
      </c>
      <c r="B5797" s="2" t="str">
        <f>"49011"</f>
        <v>49011</v>
      </c>
      <c r="C5797" s="1">
        <v>1.5382704934572999E-2</v>
      </c>
      <c r="D5797" s="1">
        <v>5.5511498810467798E-3</v>
      </c>
      <c r="E5797" s="1">
        <v>2.66472868217054E-3</v>
      </c>
      <c r="F5797" s="1">
        <v>1.39955159997282E-2</v>
      </c>
    </row>
    <row r="5798" spans="1:6" x14ac:dyDescent="0.25">
      <c r="A5798" s="2" t="str">
        <f t="shared" si="212"/>
        <v>12980</v>
      </c>
      <c r="B5798" s="2" t="str">
        <f>"49245"</f>
        <v>49245</v>
      </c>
      <c r="C5798" s="1">
        <v>3.3668099902208801E-2</v>
      </c>
      <c r="D5798" s="1">
        <v>2.2204599524187098E-2</v>
      </c>
      <c r="E5798" s="1">
        <v>1.1627906976744099E-2</v>
      </c>
      <c r="F5798" s="1">
        <v>3.1646171614919401E-2</v>
      </c>
    </row>
    <row r="5799" spans="1:6" x14ac:dyDescent="0.25">
      <c r="A5799" s="2" t="str">
        <f t="shared" si="212"/>
        <v>12980</v>
      </c>
      <c r="B5799" s="2" t="str">
        <f>"49051"</f>
        <v>49051</v>
      </c>
      <c r="C5799" s="1">
        <v>1.6034646011517599E-2</v>
      </c>
      <c r="D5799" s="1">
        <v>4.75812846946867E-3</v>
      </c>
      <c r="E5799" s="1">
        <v>2.4224806201550301E-4</v>
      </c>
      <c r="F5799" s="1">
        <v>1.4375976628846999E-2</v>
      </c>
    </row>
    <row r="5800" spans="1:6" x14ac:dyDescent="0.25">
      <c r="A5800" s="2" t="str">
        <f t="shared" si="212"/>
        <v>12980</v>
      </c>
      <c r="B5800" s="2" t="str">
        <f>"49252"</f>
        <v>49252</v>
      </c>
      <c r="C5800" s="1">
        <v>5.2776182419322199E-4</v>
      </c>
      <c r="D5800" s="1">
        <v>1.1895321173671599E-3</v>
      </c>
      <c r="E5800" s="1">
        <v>0</v>
      </c>
      <c r="F5800" s="1">
        <v>5.4351518445546496E-4</v>
      </c>
    </row>
    <row r="5801" spans="1:6" x14ac:dyDescent="0.25">
      <c r="A5801" s="2" t="str">
        <f t="shared" si="212"/>
        <v>12980</v>
      </c>
      <c r="B5801" s="2" t="str">
        <f>"49094"</f>
        <v>49094</v>
      </c>
      <c r="C5801" s="1">
        <v>5.3241854617139799E-3</v>
      </c>
      <c r="D5801" s="1">
        <v>4.3616177636796099E-3</v>
      </c>
      <c r="E5801" s="1">
        <v>4.8449612403100699E-4</v>
      </c>
      <c r="F5801" s="1">
        <v>4.9867518173788896E-3</v>
      </c>
    </row>
    <row r="5802" spans="1:6" x14ac:dyDescent="0.25">
      <c r="A5802" s="2" t="str">
        <f t="shared" ref="A5802:A5824" si="213">"25880"</f>
        <v>25880</v>
      </c>
      <c r="B5802" s="2" t="str">
        <f>"49245"</f>
        <v>49245</v>
      </c>
      <c r="C5802" s="1">
        <v>3.1511659313946099E-4</v>
      </c>
      <c r="D5802" s="1">
        <v>0</v>
      </c>
      <c r="E5802" s="1">
        <v>0</v>
      </c>
      <c r="F5802" s="1">
        <v>2.9276453366792099E-4</v>
      </c>
    </row>
    <row r="5803" spans="1:6" x14ac:dyDescent="0.25">
      <c r="A5803" s="2" t="str">
        <f t="shared" si="213"/>
        <v>25880</v>
      </c>
      <c r="B5803" s="2" t="str">
        <f>"49258"</f>
        <v>49258</v>
      </c>
      <c r="C5803" s="1">
        <v>4.5016656162780202E-5</v>
      </c>
      <c r="D5803" s="1">
        <v>0</v>
      </c>
      <c r="E5803" s="1">
        <v>2.0040080160320601E-3</v>
      </c>
      <c r="F5803" s="1">
        <v>8.3647009619406096E-5</v>
      </c>
    </row>
    <row r="5804" spans="1:6" x14ac:dyDescent="0.25">
      <c r="A5804" s="2" t="str">
        <f t="shared" si="213"/>
        <v>25880</v>
      </c>
      <c r="B5804" s="2" t="str">
        <f>"49252"</f>
        <v>49252</v>
      </c>
      <c r="C5804" s="1">
        <v>4.9428288466732598E-2</v>
      </c>
      <c r="D5804" s="1">
        <v>2.5062656641604002E-2</v>
      </c>
      <c r="E5804" s="1">
        <v>0.10420841683366699</v>
      </c>
      <c r="F5804" s="1">
        <v>4.93517356754496E-2</v>
      </c>
    </row>
    <row r="5805" spans="1:6" x14ac:dyDescent="0.25">
      <c r="A5805" s="2" t="str">
        <f t="shared" si="213"/>
        <v>25880</v>
      </c>
      <c r="B5805" s="2" t="str">
        <f>"49242"</f>
        <v>49242</v>
      </c>
      <c r="C5805" s="1">
        <v>0.30642837850004501</v>
      </c>
      <c r="D5805" s="1">
        <v>0.56307435254803595</v>
      </c>
      <c r="E5805" s="1">
        <v>0.54108216432865697</v>
      </c>
      <c r="F5805" s="1">
        <v>0.324173985780008</v>
      </c>
    </row>
    <row r="5806" spans="1:6" x14ac:dyDescent="0.25">
      <c r="A5806" s="2" t="str">
        <f t="shared" si="213"/>
        <v>25880</v>
      </c>
      <c r="B5806" s="2" t="str">
        <f>"49266"</f>
        <v>49266</v>
      </c>
      <c r="C5806" s="1">
        <v>7.0631133519402103E-2</v>
      </c>
      <c r="D5806" s="1">
        <v>3.1746031746031703E-2</v>
      </c>
      <c r="E5806" s="1">
        <v>1.6032064128256501E-2</v>
      </c>
      <c r="F5806" s="1">
        <v>6.7544960267670401E-2</v>
      </c>
    </row>
    <row r="5807" spans="1:6" x14ac:dyDescent="0.25">
      <c r="A5807" s="2" t="str">
        <f t="shared" si="213"/>
        <v>25880</v>
      </c>
      <c r="B5807" s="2" t="str">
        <f>"49255"</f>
        <v>49255</v>
      </c>
      <c r="C5807" s="1">
        <v>2.0392545241739401E-2</v>
      </c>
      <c r="D5807" s="1">
        <v>4.1771094402673296E-3</v>
      </c>
      <c r="E5807" s="1">
        <v>1.0020040080160299E-2</v>
      </c>
      <c r="F5807" s="1">
        <v>1.9364282726892501E-2</v>
      </c>
    </row>
    <row r="5808" spans="1:6" x14ac:dyDescent="0.25">
      <c r="A5808" s="2" t="str">
        <f t="shared" si="213"/>
        <v>25880</v>
      </c>
      <c r="B5808" s="2" t="str">
        <f>"49250"</f>
        <v>49250</v>
      </c>
      <c r="C5808" s="1">
        <v>0.119474205456018</v>
      </c>
      <c r="D5808" s="1">
        <v>0.19214703425229701</v>
      </c>
      <c r="E5808" s="1">
        <v>0.190380761523046</v>
      </c>
      <c r="F5808" s="1">
        <v>0.124592220828105</v>
      </c>
    </row>
    <row r="5809" spans="1:6" x14ac:dyDescent="0.25">
      <c r="A5809" s="2" t="str">
        <f t="shared" si="213"/>
        <v>25880</v>
      </c>
      <c r="B5809" s="2" t="str">
        <f>"49247"</f>
        <v>49247</v>
      </c>
      <c r="C5809" s="1">
        <v>2.88106599441793E-2</v>
      </c>
      <c r="D5809" s="1">
        <v>1.7543859649122799E-2</v>
      </c>
      <c r="E5809" s="1">
        <v>2.0040080160320599E-2</v>
      </c>
      <c r="F5809" s="1">
        <v>2.80635717273107E-2</v>
      </c>
    </row>
    <row r="5810" spans="1:6" x14ac:dyDescent="0.25">
      <c r="A5810" s="2" t="str">
        <f t="shared" si="213"/>
        <v>25880</v>
      </c>
      <c r="B5810" s="2" t="str">
        <f>"49282"</f>
        <v>49282</v>
      </c>
      <c r="C5810" s="1">
        <v>7.8328981723237504E-3</v>
      </c>
      <c r="D5810" s="1">
        <v>8.3542188805346695E-4</v>
      </c>
      <c r="E5810" s="1">
        <v>2.0040080160320601E-3</v>
      </c>
      <c r="F5810" s="1">
        <v>7.3609368465077296E-3</v>
      </c>
    </row>
    <row r="5811" spans="1:6" x14ac:dyDescent="0.25">
      <c r="A5811" s="2" t="str">
        <f t="shared" si="213"/>
        <v>25880</v>
      </c>
      <c r="B5811" s="2" t="str">
        <f>"49257"</f>
        <v>49257</v>
      </c>
      <c r="C5811" s="1">
        <v>0</v>
      </c>
      <c r="D5811" s="1">
        <v>0</v>
      </c>
      <c r="E5811" s="1">
        <v>2.0040080160320601E-3</v>
      </c>
      <c r="F5811" s="1">
        <v>4.1823504809703E-5</v>
      </c>
    </row>
    <row r="5812" spans="1:6" x14ac:dyDescent="0.25">
      <c r="A5812" s="2" t="str">
        <f t="shared" si="213"/>
        <v>25880</v>
      </c>
      <c r="B5812" s="2" t="str">
        <f>"49262"</f>
        <v>49262</v>
      </c>
      <c r="C5812" s="1">
        <v>2.57495273251102E-2</v>
      </c>
      <c r="D5812" s="1">
        <v>2.0885547201336601E-2</v>
      </c>
      <c r="E5812" s="1">
        <v>6.0120240480961897E-3</v>
      </c>
      <c r="F5812" s="1">
        <v>2.5094102885821801E-2</v>
      </c>
    </row>
    <row r="5813" spans="1:6" x14ac:dyDescent="0.25">
      <c r="A5813" s="2" t="str">
        <f t="shared" si="213"/>
        <v>25880</v>
      </c>
      <c r="B5813" s="2" t="str">
        <f>"49220"</f>
        <v>49220</v>
      </c>
      <c r="C5813" s="1">
        <v>6.2122985504636701E-3</v>
      </c>
      <c r="D5813" s="1">
        <v>7.5187969924812E-3</v>
      </c>
      <c r="E5813" s="1">
        <v>0</v>
      </c>
      <c r="F5813" s="1">
        <v>6.14805520702634E-3</v>
      </c>
    </row>
    <row r="5814" spans="1:6" x14ac:dyDescent="0.25">
      <c r="A5814" s="2" t="str">
        <f t="shared" si="213"/>
        <v>25880</v>
      </c>
      <c r="B5814" s="2" t="str">
        <f>"49233"</f>
        <v>49233</v>
      </c>
      <c r="C5814" s="1">
        <v>3.6328441523363598E-2</v>
      </c>
      <c r="D5814" s="1">
        <v>9.1896407685881296E-3</v>
      </c>
      <c r="E5814" s="1">
        <v>4.0080160320641201E-3</v>
      </c>
      <c r="F5814" s="1">
        <v>3.4295273943956497E-2</v>
      </c>
    </row>
    <row r="5815" spans="1:6" x14ac:dyDescent="0.25">
      <c r="A5815" s="2" t="str">
        <f t="shared" si="213"/>
        <v>25880</v>
      </c>
      <c r="B5815" s="2" t="str">
        <f>"49082"</f>
        <v>49082</v>
      </c>
      <c r="C5815" s="1">
        <v>7.3377149545331699E-3</v>
      </c>
      <c r="D5815" s="1">
        <v>4.1771094402673296E-3</v>
      </c>
      <c r="E5815" s="1">
        <v>4.0080160320641201E-3</v>
      </c>
      <c r="F5815" s="1">
        <v>7.1099958176495098E-3</v>
      </c>
    </row>
    <row r="5816" spans="1:6" x14ac:dyDescent="0.25">
      <c r="A5816" s="2" t="str">
        <f t="shared" si="213"/>
        <v>25880</v>
      </c>
      <c r="B5816" s="2" t="str">
        <f>"49288"</f>
        <v>49288</v>
      </c>
      <c r="C5816" s="1">
        <v>2.6424777167551899E-2</v>
      </c>
      <c r="D5816" s="1">
        <v>2.42272347535505E-2</v>
      </c>
      <c r="E5816" s="1">
        <v>1.40280561122244E-2</v>
      </c>
      <c r="F5816" s="1">
        <v>2.6056043496445001E-2</v>
      </c>
    </row>
    <row r="5817" spans="1:6" x14ac:dyDescent="0.25">
      <c r="A5817" s="2" t="str">
        <f t="shared" si="213"/>
        <v>25880</v>
      </c>
      <c r="B5817" s="2" t="str">
        <f>"49246"</f>
        <v>49246</v>
      </c>
      <c r="C5817" s="1">
        <v>3.2411992437201701E-3</v>
      </c>
      <c r="D5817" s="1">
        <v>2.5062656641604E-3</v>
      </c>
      <c r="E5817" s="1">
        <v>0</v>
      </c>
      <c r="F5817" s="1">
        <v>3.13676286072772E-3</v>
      </c>
    </row>
    <row r="5818" spans="1:6" x14ac:dyDescent="0.25">
      <c r="A5818" s="2" t="str">
        <f t="shared" si="213"/>
        <v>25880</v>
      </c>
      <c r="B5818" s="2" t="str">
        <f>"49232"</f>
        <v>49232</v>
      </c>
      <c r="C5818" s="1">
        <v>6.3023318627892302E-2</v>
      </c>
      <c r="D5818" s="1">
        <v>1.5873015873015799E-2</v>
      </c>
      <c r="E5818" s="1">
        <v>1.40280561122244E-2</v>
      </c>
      <c r="F5818" s="1">
        <v>5.96403178586365E-2</v>
      </c>
    </row>
    <row r="5819" spans="1:6" x14ac:dyDescent="0.25">
      <c r="A5819" s="2" t="str">
        <f t="shared" si="213"/>
        <v>25880</v>
      </c>
      <c r="B5819" s="2" t="str">
        <f>"49281"</f>
        <v>49281</v>
      </c>
      <c r="C5819" s="1">
        <v>0</v>
      </c>
      <c r="D5819" s="1">
        <v>8.3542188805346695E-4</v>
      </c>
      <c r="E5819" s="1">
        <v>0</v>
      </c>
      <c r="F5819" s="1">
        <v>4.1823504809703E-5</v>
      </c>
    </row>
    <row r="5820" spans="1:6" x14ac:dyDescent="0.25">
      <c r="A5820" s="2" t="str">
        <f t="shared" si="213"/>
        <v>25880</v>
      </c>
      <c r="B5820" s="2" t="str">
        <f>"49274"</f>
        <v>49274</v>
      </c>
      <c r="C5820" s="1">
        <v>8.0714864499864897E-2</v>
      </c>
      <c r="D5820" s="1">
        <v>2.5898078529657399E-2</v>
      </c>
      <c r="E5820" s="1">
        <v>3.4068136272544999E-2</v>
      </c>
      <c r="F5820" s="1">
        <v>7.6997072354663298E-2</v>
      </c>
    </row>
    <row r="5821" spans="1:6" x14ac:dyDescent="0.25">
      <c r="A5821" s="2" t="str">
        <f t="shared" si="213"/>
        <v>25880</v>
      </c>
      <c r="B5821" s="2" t="str">
        <f>"49239"</f>
        <v>49239</v>
      </c>
      <c r="C5821" s="1">
        <v>0</v>
      </c>
      <c r="D5821" s="1">
        <v>8.3542188805346695E-4</v>
      </c>
      <c r="E5821" s="1">
        <v>0</v>
      </c>
      <c r="F5821" s="1">
        <v>4.1823504809703E-5</v>
      </c>
    </row>
    <row r="5822" spans="1:6" x14ac:dyDescent="0.25">
      <c r="A5822" s="2" t="str">
        <f t="shared" si="213"/>
        <v>25880</v>
      </c>
      <c r="B5822" s="2" t="str">
        <f>"49227"</f>
        <v>49227</v>
      </c>
      <c r="C5822" s="1">
        <v>2.90357432249932E-2</v>
      </c>
      <c r="D5822" s="1">
        <v>2.7568922305764399E-2</v>
      </c>
      <c r="E5822" s="1">
        <v>1.40280561122244E-2</v>
      </c>
      <c r="F5822" s="1">
        <v>2.8649100794646502E-2</v>
      </c>
    </row>
    <row r="5823" spans="1:6" x14ac:dyDescent="0.25">
      <c r="A5823" s="2" t="str">
        <f t="shared" si="213"/>
        <v>25880</v>
      </c>
      <c r="B5823" s="2" t="str">
        <f>"49249"</f>
        <v>49249</v>
      </c>
      <c r="C5823" s="1">
        <v>7.5627982353470694E-2</v>
      </c>
      <c r="D5823" s="1">
        <v>9.1896407685881296E-3</v>
      </c>
      <c r="E5823" s="1">
        <v>1.8036072144288502E-2</v>
      </c>
      <c r="F5823" s="1">
        <v>7.1099958176495101E-2</v>
      </c>
    </row>
    <row r="5824" spans="1:6" x14ac:dyDescent="0.25">
      <c r="A5824" s="2" t="str">
        <f t="shared" si="213"/>
        <v>25880</v>
      </c>
      <c r="B5824" s="2" t="str">
        <f>"49271"</f>
        <v>49271</v>
      </c>
      <c r="C5824" s="1">
        <v>4.2945889979292301E-2</v>
      </c>
      <c r="D5824" s="1">
        <v>1.6708437761069301E-2</v>
      </c>
      <c r="E5824" s="1">
        <v>4.0080160320641201E-3</v>
      </c>
      <c r="F5824" s="1">
        <v>4.08197406942701E-2</v>
      </c>
    </row>
    <row r="5825" spans="1:6" x14ac:dyDescent="0.25">
      <c r="A5825" s="2" t="str">
        <f t="shared" ref="A5825:A5837" si="214">"21540"</f>
        <v>21540</v>
      </c>
      <c r="B5825" s="2" t="str">
        <f>"49878"</f>
        <v>49878</v>
      </c>
      <c r="C5825" s="1">
        <v>0.114892760044305</v>
      </c>
      <c r="D5825" s="1">
        <v>1.9830028328611801E-2</v>
      </c>
      <c r="E5825" s="1">
        <v>2.5917926565874699E-2</v>
      </c>
      <c r="F5825" s="1">
        <v>0.10543232231779</v>
      </c>
    </row>
    <row r="5826" spans="1:6" x14ac:dyDescent="0.25">
      <c r="A5826" s="2" t="str">
        <f t="shared" si="214"/>
        <v>21540</v>
      </c>
      <c r="B5826" s="2" t="str">
        <f>"49817"</f>
        <v>49817</v>
      </c>
      <c r="C5826" s="1">
        <v>2.7691068371765099E-3</v>
      </c>
      <c r="D5826" s="1">
        <v>2.8328611898016899E-3</v>
      </c>
      <c r="E5826" s="1">
        <v>2.15982721382289E-3</v>
      </c>
      <c r="F5826" s="1">
        <v>2.7614305115436799E-3</v>
      </c>
    </row>
    <row r="5827" spans="1:6" x14ac:dyDescent="0.25">
      <c r="A5827" s="2" t="str">
        <f t="shared" si="214"/>
        <v>21540</v>
      </c>
      <c r="B5827" s="2" t="str">
        <f>"49829"</f>
        <v>49829</v>
      </c>
      <c r="C5827" s="1">
        <v>0.46309535796999202</v>
      </c>
      <c r="D5827" s="1">
        <v>0.79206798866855499</v>
      </c>
      <c r="E5827" s="1">
        <v>0.67602591792656497</v>
      </c>
      <c r="F5827" s="1">
        <v>0.49384336803983703</v>
      </c>
    </row>
    <row r="5828" spans="1:6" x14ac:dyDescent="0.25">
      <c r="A5828" s="2" t="str">
        <f t="shared" si="214"/>
        <v>21540</v>
      </c>
      <c r="B5828" s="2" t="str">
        <f>"49895"</f>
        <v>49895</v>
      </c>
      <c r="C5828" s="1">
        <v>9.7170476286375894E-3</v>
      </c>
      <c r="D5828" s="1">
        <v>5.6657223796033904E-4</v>
      </c>
      <c r="E5828" s="1">
        <v>8.6393088552915706E-2</v>
      </c>
      <c r="F5828" s="1">
        <v>1.0593028519692099E-2</v>
      </c>
    </row>
    <row r="5829" spans="1:6" x14ac:dyDescent="0.25">
      <c r="A5829" s="2" t="str">
        <f t="shared" si="214"/>
        <v>21540</v>
      </c>
      <c r="B5829" s="2" t="str">
        <f>"49864"</f>
        <v>49864</v>
      </c>
      <c r="C5829" s="1">
        <v>2.81945423421609E-3</v>
      </c>
      <c r="D5829" s="1">
        <v>0</v>
      </c>
      <c r="E5829" s="1">
        <v>0</v>
      </c>
      <c r="F5829" s="1">
        <v>2.5350837483023901E-3</v>
      </c>
    </row>
    <row r="5830" spans="1:6" x14ac:dyDescent="0.25">
      <c r="A5830" s="2" t="str">
        <f t="shared" si="214"/>
        <v>21540</v>
      </c>
      <c r="B5830" s="2" t="str">
        <f>"49880"</f>
        <v>49880</v>
      </c>
      <c r="C5830" s="1">
        <v>2.2001812506293399E-2</v>
      </c>
      <c r="D5830" s="1">
        <v>2.2662889518413501E-3</v>
      </c>
      <c r="E5830" s="1">
        <v>6.4794816414686799E-3</v>
      </c>
      <c r="F5830" s="1">
        <v>2.0099592575826102E-2</v>
      </c>
    </row>
    <row r="5831" spans="1:6" x14ac:dyDescent="0.25">
      <c r="A5831" s="2" t="str">
        <f t="shared" si="214"/>
        <v>21540</v>
      </c>
      <c r="B5831" s="2" t="str">
        <f>"49872"</f>
        <v>49872</v>
      </c>
      <c r="C5831" s="1">
        <v>4.4305709394824198E-3</v>
      </c>
      <c r="D5831" s="1">
        <v>5.6657223796033904E-4</v>
      </c>
      <c r="E5831" s="1">
        <v>0</v>
      </c>
      <c r="F5831" s="1">
        <v>4.0289723856948801E-3</v>
      </c>
    </row>
    <row r="5832" spans="1:6" x14ac:dyDescent="0.25">
      <c r="A5832" s="2" t="str">
        <f t="shared" si="214"/>
        <v>21540</v>
      </c>
      <c r="B5832" s="2" t="str">
        <f>"49837"</f>
        <v>49837</v>
      </c>
      <c r="C5832" s="1">
        <v>0.24282549592186001</v>
      </c>
      <c r="D5832" s="1">
        <v>0.15524079320113299</v>
      </c>
      <c r="E5832" s="1">
        <v>0.15550755939524799</v>
      </c>
      <c r="F5832" s="1">
        <v>0.233997283838841</v>
      </c>
    </row>
    <row r="5833" spans="1:6" x14ac:dyDescent="0.25">
      <c r="A5833" s="2" t="str">
        <f t="shared" si="214"/>
        <v>21540</v>
      </c>
      <c r="B5833" s="2" t="str">
        <f>"49835"</f>
        <v>49835</v>
      </c>
      <c r="C5833" s="1">
        <v>2.5576477696103099E-2</v>
      </c>
      <c r="D5833" s="1">
        <v>4.5325779036827097E-3</v>
      </c>
      <c r="E5833" s="1">
        <v>2.15982721382289E-3</v>
      </c>
      <c r="F5833" s="1">
        <v>2.3404255319148901E-2</v>
      </c>
    </row>
    <row r="5834" spans="1:6" x14ac:dyDescent="0.25">
      <c r="A5834" s="2" t="str">
        <f t="shared" si="214"/>
        <v>21540</v>
      </c>
      <c r="B5834" s="2" t="str">
        <f>"49807"</f>
        <v>49807</v>
      </c>
      <c r="C5834" s="1">
        <v>7.3054073104420497E-2</v>
      </c>
      <c r="D5834" s="1">
        <v>1.9263456090651498E-2</v>
      </c>
      <c r="E5834" s="1">
        <v>3.6717062634989202E-2</v>
      </c>
      <c r="F5834" s="1">
        <v>6.7994567677682194E-2</v>
      </c>
    </row>
    <row r="5835" spans="1:6" x14ac:dyDescent="0.25">
      <c r="A5835" s="2" t="str">
        <f t="shared" si="214"/>
        <v>21540</v>
      </c>
      <c r="B5835" s="2" t="str">
        <f>"49894"</f>
        <v>49894</v>
      </c>
      <c r="C5835" s="1">
        <v>1.38958815829221E-2</v>
      </c>
      <c r="D5835" s="1">
        <v>2.2662889518413501E-3</v>
      </c>
      <c r="E5835" s="1">
        <v>6.4794816414686799E-3</v>
      </c>
      <c r="F5835" s="1">
        <v>1.2811226799456701E-2</v>
      </c>
    </row>
    <row r="5836" spans="1:6" x14ac:dyDescent="0.25">
      <c r="A5836" s="2" t="str">
        <f t="shared" si="214"/>
        <v>21540</v>
      </c>
      <c r="B5836" s="2" t="str">
        <f>"49854"</f>
        <v>49854</v>
      </c>
      <c r="C5836" s="1">
        <v>1.8628536904642E-3</v>
      </c>
      <c r="D5836" s="1">
        <v>0</v>
      </c>
      <c r="E5836" s="1">
        <v>0</v>
      </c>
      <c r="F5836" s="1">
        <v>1.6749660479855101E-3</v>
      </c>
    </row>
    <row r="5837" spans="1:6" x14ac:dyDescent="0.25">
      <c r="A5837" s="2" t="str">
        <f t="shared" si="214"/>
        <v>21540</v>
      </c>
      <c r="B5837" s="2" t="str">
        <f>"49818"</f>
        <v>49818</v>
      </c>
      <c r="C5837" s="1">
        <v>2.3059107844124401E-2</v>
      </c>
      <c r="D5837" s="1">
        <v>5.6657223796033904E-4</v>
      </c>
      <c r="E5837" s="1">
        <v>2.15982721382289E-3</v>
      </c>
      <c r="F5837" s="1">
        <v>2.0823902218198201E-2</v>
      </c>
    </row>
    <row r="5838" spans="1:6" x14ac:dyDescent="0.25">
      <c r="A5838" s="2" t="str">
        <f t="shared" ref="A5838:A5869" si="215">"14140"</f>
        <v>14140</v>
      </c>
      <c r="B5838" s="2" t="str">
        <f>"25979"</f>
        <v>25979</v>
      </c>
      <c r="C5838" s="1">
        <v>7.7658413919346099E-4</v>
      </c>
      <c r="D5838" s="1">
        <v>2.4102193299590201E-4</v>
      </c>
      <c r="E5838" s="1">
        <v>0</v>
      </c>
      <c r="F5838" s="1">
        <v>7.2432031802715298E-4</v>
      </c>
    </row>
    <row r="5839" spans="1:6" x14ac:dyDescent="0.25">
      <c r="A5839" s="2" t="str">
        <f t="shared" si="215"/>
        <v>14140</v>
      </c>
      <c r="B5839" s="2" t="str">
        <f>"24738"</f>
        <v>24738</v>
      </c>
      <c r="C5839" s="1">
        <v>0</v>
      </c>
      <c r="D5839" s="1">
        <v>2.4102193299590201E-4</v>
      </c>
      <c r="E5839" s="1">
        <v>8.8183421516754802E-4</v>
      </c>
      <c r="F5839" s="1">
        <v>3.3689317117541999E-5</v>
      </c>
    </row>
    <row r="5840" spans="1:6" x14ac:dyDescent="0.25">
      <c r="A5840" s="2" t="str">
        <f t="shared" si="215"/>
        <v>14140</v>
      </c>
      <c r="B5840" s="2" t="str">
        <f>"24712"</f>
        <v>24712</v>
      </c>
      <c r="C5840" s="1">
        <v>8.9307176007248096E-3</v>
      </c>
      <c r="D5840" s="1">
        <v>3.6153289949385301E-3</v>
      </c>
      <c r="E5840" s="1">
        <v>0</v>
      </c>
      <c r="F5840" s="1">
        <v>8.3886399622679596E-3</v>
      </c>
    </row>
    <row r="5841" spans="1:6" x14ac:dyDescent="0.25">
      <c r="A5841" s="2" t="str">
        <f t="shared" si="215"/>
        <v>14140</v>
      </c>
      <c r="B5841" s="2" t="str">
        <f>"24701"</f>
        <v>24701</v>
      </c>
      <c r="C5841" s="1">
        <v>0.214281752121738</v>
      </c>
      <c r="D5841" s="1">
        <v>0.25355507351168899</v>
      </c>
      <c r="E5841" s="1">
        <v>0.23985890652557301</v>
      </c>
      <c r="F5841" s="1">
        <v>0.21751507596941</v>
      </c>
    </row>
    <row r="5842" spans="1:6" x14ac:dyDescent="0.25">
      <c r="A5842" s="2" t="str">
        <f t="shared" si="215"/>
        <v>14140</v>
      </c>
      <c r="B5842" s="2" t="str">
        <f>"24619"</f>
        <v>24619</v>
      </c>
      <c r="C5842" s="1">
        <v>0</v>
      </c>
      <c r="D5842" s="1">
        <v>2.4102193299590201E-4</v>
      </c>
      <c r="E5842" s="1">
        <v>0</v>
      </c>
      <c r="F5842" s="1">
        <v>1.6844658558771E-5</v>
      </c>
    </row>
    <row r="5843" spans="1:6" x14ac:dyDescent="0.25">
      <c r="A5843" s="2" t="str">
        <f t="shared" si="215"/>
        <v>14140</v>
      </c>
      <c r="B5843" s="2" t="str">
        <f>"24606"</f>
        <v>24606</v>
      </c>
      <c r="C5843" s="1">
        <v>0</v>
      </c>
      <c r="D5843" s="1">
        <v>2.4102193299590201E-4</v>
      </c>
      <c r="E5843" s="1">
        <v>0</v>
      </c>
      <c r="F5843" s="1">
        <v>1.6844658558771E-5</v>
      </c>
    </row>
    <row r="5844" spans="1:6" x14ac:dyDescent="0.25">
      <c r="A5844" s="2" t="str">
        <f t="shared" si="215"/>
        <v>14140</v>
      </c>
      <c r="B5844" s="2" t="str">
        <f>"25971"</f>
        <v>25971</v>
      </c>
      <c r="C5844" s="1">
        <v>7.2296285339200801E-3</v>
      </c>
      <c r="D5844" s="1">
        <v>1.6871535309713099E-3</v>
      </c>
      <c r="E5844" s="1">
        <v>8.8183421516754802E-4</v>
      </c>
      <c r="F5844" s="1">
        <v>6.7210187649496302E-3</v>
      </c>
    </row>
    <row r="5845" spans="1:6" x14ac:dyDescent="0.25">
      <c r="A5845" s="2" t="str">
        <f t="shared" si="215"/>
        <v>14140</v>
      </c>
      <c r="B5845" s="2" t="str">
        <f>"24651"</f>
        <v>24651</v>
      </c>
      <c r="C5845" s="1">
        <v>5.26782907752898E-2</v>
      </c>
      <c r="D5845" s="1">
        <v>6.0255483248975603E-2</v>
      </c>
      <c r="E5845" s="1">
        <v>0.119047619047619</v>
      </c>
      <c r="F5845" s="1">
        <v>5.4475625779065402E-2</v>
      </c>
    </row>
    <row r="5846" spans="1:6" x14ac:dyDescent="0.25">
      <c r="A5846" s="2" t="str">
        <f t="shared" si="215"/>
        <v>14140</v>
      </c>
      <c r="B5846" s="2" t="str">
        <f>"24608"</f>
        <v>24608</v>
      </c>
      <c r="C5846" s="1">
        <v>0</v>
      </c>
      <c r="D5846" s="1">
        <v>2.4102193299590201E-4</v>
      </c>
      <c r="E5846" s="1">
        <v>0</v>
      </c>
      <c r="F5846" s="1">
        <v>1.6844658558771E-5</v>
      </c>
    </row>
    <row r="5847" spans="1:6" x14ac:dyDescent="0.25">
      <c r="A5847" s="2" t="str">
        <f t="shared" si="215"/>
        <v>14140</v>
      </c>
      <c r="B5847" s="2" t="str">
        <f>"24605"</f>
        <v>24605</v>
      </c>
      <c r="C5847" s="1">
        <v>9.8755616367435198E-2</v>
      </c>
      <c r="D5847" s="1">
        <v>0.13810556760665199</v>
      </c>
      <c r="E5847" s="1">
        <v>8.7301587301587297E-2</v>
      </c>
      <c r="F5847" s="1">
        <v>0.10128693191389</v>
      </c>
    </row>
    <row r="5848" spans="1:6" x14ac:dyDescent="0.25">
      <c r="A5848" s="2" t="str">
        <f t="shared" si="215"/>
        <v>14140</v>
      </c>
      <c r="B5848" s="2" t="str">
        <f>"25902"</f>
        <v>25902</v>
      </c>
      <c r="C5848" s="1">
        <v>6.8413364643233503E-4</v>
      </c>
      <c r="D5848" s="1">
        <v>0</v>
      </c>
      <c r="E5848" s="1">
        <v>0</v>
      </c>
      <c r="F5848" s="1">
        <v>6.2325236667452703E-4</v>
      </c>
    </row>
    <row r="5849" spans="1:6" x14ac:dyDescent="0.25">
      <c r="A5849" s="2" t="str">
        <f t="shared" si="215"/>
        <v>14140</v>
      </c>
      <c r="B5849" s="2" t="str">
        <f>"24747"</f>
        <v>24747</v>
      </c>
      <c r="C5849" s="1">
        <v>2.35933657526394E-2</v>
      </c>
      <c r="D5849" s="1">
        <v>4.8204386599180497E-3</v>
      </c>
      <c r="E5849" s="1">
        <v>0</v>
      </c>
      <c r="F5849" s="1">
        <v>2.1830677492167199E-2</v>
      </c>
    </row>
    <row r="5850" spans="1:6" x14ac:dyDescent="0.25">
      <c r="A5850" s="2" t="str">
        <f t="shared" si="215"/>
        <v>14140</v>
      </c>
      <c r="B5850" s="2" t="str">
        <f>"24714"</f>
        <v>24714</v>
      </c>
      <c r="C5850" s="1">
        <v>1.73806926390917E-3</v>
      </c>
      <c r="D5850" s="1">
        <v>4.8204386599180499E-4</v>
      </c>
      <c r="E5850" s="1">
        <v>8.8183421516754802E-4</v>
      </c>
      <c r="F5850" s="1">
        <v>1.63393188020078E-3</v>
      </c>
    </row>
    <row r="5851" spans="1:6" x14ac:dyDescent="0.25">
      <c r="A5851" s="2" t="str">
        <f t="shared" si="215"/>
        <v>14140</v>
      </c>
      <c r="B5851" s="2" t="str">
        <f>"24315"</f>
        <v>24315</v>
      </c>
      <c r="C5851" s="1">
        <v>2.5331435016548599E-2</v>
      </c>
      <c r="D5851" s="1">
        <v>1.470233791275E-2</v>
      </c>
      <c r="E5851" s="1">
        <v>1.05820105820105E-2</v>
      </c>
      <c r="F5851" s="1">
        <v>2.4306842300306501E-2</v>
      </c>
    </row>
    <row r="5852" spans="1:6" x14ac:dyDescent="0.25">
      <c r="A5852" s="2" t="str">
        <f t="shared" si="215"/>
        <v>14140</v>
      </c>
      <c r="B5852" s="2" t="str">
        <f>"24732"</f>
        <v>24732</v>
      </c>
      <c r="C5852" s="1">
        <v>0</v>
      </c>
      <c r="D5852" s="1">
        <v>2.4102193299590201E-4</v>
      </c>
      <c r="E5852" s="1">
        <v>0</v>
      </c>
      <c r="F5852" s="1">
        <v>1.6844658558771E-5</v>
      </c>
    </row>
    <row r="5853" spans="1:6" x14ac:dyDescent="0.25">
      <c r="A5853" s="2" t="str">
        <f t="shared" si="215"/>
        <v>14140</v>
      </c>
      <c r="B5853" s="2" t="str">
        <f>"24724"</f>
        <v>24724</v>
      </c>
      <c r="C5853" s="1">
        <v>1.23883660299909E-3</v>
      </c>
      <c r="D5853" s="1">
        <v>4.8204386599180499E-4</v>
      </c>
      <c r="E5853" s="1">
        <v>8.8183421516754802E-4</v>
      </c>
      <c r="F5853" s="1">
        <v>1.17912609911397E-3</v>
      </c>
    </row>
    <row r="5854" spans="1:6" x14ac:dyDescent="0.25">
      <c r="A5854" s="2" t="str">
        <f t="shared" si="215"/>
        <v>14140</v>
      </c>
      <c r="B5854" s="2" t="str">
        <f>"24739"</f>
        <v>24739</v>
      </c>
      <c r="C5854" s="1">
        <v>0.121868239557716</v>
      </c>
      <c r="D5854" s="1">
        <v>6.0737527114967403E-2</v>
      </c>
      <c r="E5854" s="1">
        <v>2.9100529100529099E-2</v>
      </c>
      <c r="F5854" s="1">
        <v>0.115823872250109</v>
      </c>
    </row>
    <row r="5855" spans="1:6" x14ac:dyDescent="0.25">
      <c r="A5855" s="2" t="str">
        <f t="shared" si="215"/>
        <v>14140</v>
      </c>
      <c r="B5855" s="2" t="str">
        <f>"24612"</f>
        <v>24612</v>
      </c>
      <c r="C5855" s="1">
        <v>0</v>
      </c>
      <c r="D5855" s="1">
        <v>2.4102193299590201E-4</v>
      </c>
      <c r="E5855" s="1">
        <v>0</v>
      </c>
      <c r="F5855" s="1">
        <v>1.6844658558771E-5</v>
      </c>
    </row>
    <row r="5856" spans="1:6" x14ac:dyDescent="0.25">
      <c r="A5856" s="2" t="str">
        <f t="shared" si="215"/>
        <v>14140</v>
      </c>
      <c r="B5856" s="2" t="str">
        <f>"24366"</f>
        <v>24366</v>
      </c>
      <c r="C5856" s="1">
        <v>5.8613612410554098E-3</v>
      </c>
      <c r="D5856" s="1">
        <v>2.8922631959508302E-3</v>
      </c>
      <c r="E5856" s="1">
        <v>8.8183421516754802E-4</v>
      </c>
      <c r="F5856" s="1">
        <v>5.5587373243944299E-3</v>
      </c>
    </row>
    <row r="5857" spans="1:6" x14ac:dyDescent="0.25">
      <c r="A5857" s="2" t="str">
        <f t="shared" si="215"/>
        <v>14140</v>
      </c>
      <c r="B5857" s="2" t="str">
        <f>"24084"</f>
        <v>24084</v>
      </c>
      <c r="C5857" s="1">
        <v>3.0508662611171702E-3</v>
      </c>
      <c r="D5857" s="1">
        <v>4.8204386599180499E-4</v>
      </c>
      <c r="E5857" s="1">
        <v>0</v>
      </c>
      <c r="F5857" s="1">
        <v>2.8130579793147498E-3</v>
      </c>
    </row>
    <row r="5858" spans="1:6" x14ac:dyDescent="0.25">
      <c r="A5858" s="2" t="str">
        <f t="shared" si="215"/>
        <v>14140</v>
      </c>
      <c r="B5858" s="2" t="str">
        <f>"25841"</f>
        <v>25841</v>
      </c>
      <c r="C5858" s="1">
        <v>2.8104949799382401E-3</v>
      </c>
      <c r="D5858" s="1">
        <v>2.4102193299590201E-4</v>
      </c>
      <c r="E5858" s="1">
        <v>8.8183421516754802E-4</v>
      </c>
      <c r="F5858" s="1">
        <v>2.5940774180507301E-3</v>
      </c>
    </row>
    <row r="5859" spans="1:6" x14ac:dyDescent="0.25">
      <c r="A5859" s="2" t="str">
        <f t="shared" si="215"/>
        <v>14140</v>
      </c>
      <c r="B5859" s="2" t="str">
        <f>"24640"</f>
        <v>24640</v>
      </c>
      <c r="C5859" s="1">
        <v>0</v>
      </c>
      <c r="D5859" s="1">
        <v>0</v>
      </c>
      <c r="E5859" s="1">
        <v>8.8183421516754802E-4</v>
      </c>
      <c r="F5859" s="1">
        <v>1.6844658558771E-5</v>
      </c>
    </row>
    <row r="5860" spans="1:6" x14ac:dyDescent="0.25">
      <c r="A5860" s="2" t="str">
        <f t="shared" si="215"/>
        <v>14140</v>
      </c>
      <c r="B5860" s="2" t="str">
        <f>"24601"</f>
        <v>24601</v>
      </c>
      <c r="C5860" s="1">
        <v>0</v>
      </c>
      <c r="D5860" s="1">
        <v>2.4102193299590201E-4</v>
      </c>
      <c r="E5860" s="1">
        <v>0</v>
      </c>
      <c r="F5860" s="1">
        <v>1.6844658558771E-5</v>
      </c>
    </row>
    <row r="5861" spans="1:6" x14ac:dyDescent="0.25">
      <c r="A5861" s="2" t="str">
        <f t="shared" si="215"/>
        <v>14140</v>
      </c>
      <c r="B5861" s="2" t="str">
        <f>"24377"</f>
        <v>24377</v>
      </c>
      <c r="C5861" s="1">
        <v>2.9584157683560401E-3</v>
      </c>
      <c r="D5861" s="1">
        <v>4.8204386599180499E-4</v>
      </c>
      <c r="E5861" s="1">
        <v>0</v>
      </c>
      <c r="F5861" s="1">
        <v>2.7288346865208999E-3</v>
      </c>
    </row>
    <row r="5862" spans="1:6" x14ac:dyDescent="0.25">
      <c r="A5862" s="2" t="str">
        <f t="shared" si="215"/>
        <v>14140</v>
      </c>
      <c r="B5862" s="2" t="str">
        <f>"24134"</f>
        <v>24134</v>
      </c>
      <c r="C5862" s="1">
        <v>3.3282177394005502E-4</v>
      </c>
      <c r="D5862" s="1">
        <v>0</v>
      </c>
      <c r="E5862" s="1">
        <v>0</v>
      </c>
      <c r="F5862" s="1">
        <v>3.0320385405787801E-4</v>
      </c>
    </row>
    <row r="5863" spans="1:6" x14ac:dyDescent="0.25">
      <c r="A5863" s="2" t="str">
        <f t="shared" si="215"/>
        <v>14140</v>
      </c>
      <c r="B5863" s="2" t="str">
        <f>"24124"</f>
        <v>24124</v>
      </c>
      <c r="C5863" s="1">
        <v>1.8859900523269699E-3</v>
      </c>
      <c r="D5863" s="1">
        <v>0</v>
      </c>
      <c r="E5863" s="1">
        <v>0</v>
      </c>
      <c r="F5863" s="1">
        <v>1.71815517299464E-3</v>
      </c>
    </row>
    <row r="5864" spans="1:6" x14ac:dyDescent="0.25">
      <c r="A5864" s="2" t="str">
        <f t="shared" si="215"/>
        <v>14140</v>
      </c>
      <c r="B5864" s="2" t="str">
        <f>"25820"</f>
        <v>25820</v>
      </c>
      <c r="C5864" s="1">
        <v>3.5316088234750198E-3</v>
      </c>
      <c r="D5864" s="1">
        <v>9.6408773198360998E-4</v>
      </c>
      <c r="E5864" s="1">
        <v>8.8183421516754802E-4</v>
      </c>
      <c r="F5864" s="1">
        <v>3.3015530775191101E-3</v>
      </c>
    </row>
    <row r="5865" spans="1:6" x14ac:dyDescent="0.25">
      <c r="A5865" s="2" t="str">
        <f t="shared" si="215"/>
        <v>14140</v>
      </c>
      <c r="B5865" s="2" t="str">
        <f>"24731"</f>
        <v>24731</v>
      </c>
      <c r="C5865" s="1">
        <v>2.4222029103415101E-3</v>
      </c>
      <c r="D5865" s="1">
        <v>4.8204386599180499E-4</v>
      </c>
      <c r="E5865" s="1">
        <v>0</v>
      </c>
      <c r="F5865" s="1">
        <v>2.2403395883165401E-3</v>
      </c>
    </row>
    <row r="5866" spans="1:6" x14ac:dyDescent="0.25">
      <c r="A5866" s="2" t="str">
        <f t="shared" si="215"/>
        <v>14140</v>
      </c>
      <c r="B5866" s="2" t="str">
        <f>"24715"</f>
        <v>24715</v>
      </c>
      <c r="C5866" s="1">
        <v>2.40371281178928E-3</v>
      </c>
      <c r="D5866" s="1">
        <v>4.8204386599180499E-4</v>
      </c>
      <c r="E5866" s="1">
        <v>0</v>
      </c>
      <c r="F5866" s="1">
        <v>2.2234949297577698E-3</v>
      </c>
    </row>
    <row r="5867" spans="1:6" x14ac:dyDescent="0.25">
      <c r="A5867" s="2" t="str">
        <f t="shared" si="215"/>
        <v>14140</v>
      </c>
      <c r="B5867" s="2" t="str">
        <f>"24740"</f>
        <v>24740</v>
      </c>
      <c r="C5867" s="1">
        <v>0.16036462474344901</v>
      </c>
      <c r="D5867" s="1">
        <v>0.20896601590744701</v>
      </c>
      <c r="E5867" s="1">
        <v>0.27425044091710699</v>
      </c>
      <c r="F5867" s="1">
        <v>0.165936731462453</v>
      </c>
    </row>
    <row r="5868" spans="1:6" x14ac:dyDescent="0.25">
      <c r="A5868" s="2" t="str">
        <f t="shared" si="215"/>
        <v>14140</v>
      </c>
      <c r="B5868" s="2" t="str">
        <f>"24647"</f>
        <v>24647</v>
      </c>
      <c r="C5868" s="1">
        <v>0</v>
      </c>
      <c r="D5868" s="1">
        <v>2.4102193299590201E-4</v>
      </c>
      <c r="E5868" s="1">
        <v>0</v>
      </c>
      <c r="F5868" s="1">
        <v>1.6844658558771E-5</v>
      </c>
    </row>
    <row r="5869" spans="1:6" x14ac:dyDescent="0.25">
      <c r="A5869" s="2" t="str">
        <f t="shared" si="215"/>
        <v>14140</v>
      </c>
      <c r="B5869" s="2" t="str">
        <f>"24637"</f>
        <v>24637</v>
      </c>
      <c r="C5869" s="1">
        <v>2.3556385555534999E-2</v>
      </c>
      <c r="D5869" s="1">
        <v>1.8799710773680402E-2</v>
      </c>
      <c r="E5869" s="1">
        <v>8.8183421516754793E-3</v>
      </c>
      <c r="F5869" s="1">
        <v>2.2942424957046102E-2</v>
      </c>
    </row>
    <row r="5870" spans="1:6" x14ac:dyDescent="0.25">
      <c r="A5870" s="2" t="str">
        <f t="shared" ref="A5870:A5886" si="216">"14140"</f>
        <v>14140</v>
      </c>
      <c r="B5870" s="2" t="str">
        <f>"25922"</f>
        <v>25922</v>
      </c>
      <c r="C5870" s="1">
        <v>2.0339108407447801E-3</v>
      </c>
      <c r="D5870" s="1">
        <v>0</v>
      </c>
      <c r="E5870" s="1">
        <v>8.8183421516754802E-4</v>
      </c>
      <c r="F5870" s="1">
        <v>1.86975710002358E-3</v>
      </c>
    </row>
    <row r="5871" spans="1:6" x14ac:dyDescent="0.25">
      <c r="A5871" s="2" t="str">
        <f t="shared" si="216"/>
        <v>14140</v>
      </c>
      <c r="B5871" s="2" t="str">
        <f>"24729"</f>
        <v>24729</v>
      </c>
      <c r="C5871" s="1">
        <v>0</v>
      </c>
      <c r="D5871" s="1">
        <v>2.4102193299590201E-4</v>
      </c>
      <c r="E5871" s="1">
        <v>0</v>
      </c>
      <c r="F5871" s="1">
        <v>1.6844658558771E-5</v>
      </c>
    </row>
    <row r="5872" spans="1:6" x14ac:dyDescent="0.25">
      <c r="A5872" s="2" t="str">
        <f t="shared" si="216"/>
        <v>14140</v>
      </c>
      <c r="B5872" s="2" t="str">
        <f>"24736"</f>
        <v>24736</v>
      </c>
      <c r="C5872" s="1">
        <v>3.8644305974150799E-3</v>
      </c>
      <c r="D5872" s="1">
        <v>7.23065798987707E-4</v>
      </c>
      <c r="E5872" s="1">
        <v>0</v>
      </c>
      <c r="F5872" s="1">
        <v>3.5710676144594502E-3</v>
      </c>
    </row>
    <row r="5873" spans="1:6" x14ac:dyDescent="0.25">
      <c r="A5873" s="2" t="str">
        <f t="shared" si="216"/>
        <v>14140</v>
      </c>
      <c r="B5873" s="2" t="str">
        <f>"24733"</f>
        <v>24733</v>
      </c>
      <c r="C5873" s="1">
        <v>3.56858902057947E-3</v>
      </c>
      <c r="D5873" s="1">
        <v>2.4102193299590201E-4</v>
      </c>
      <c r="E5873" s="1">
        <v>0</v>
      </c>
      <c r="F5873" s="1">
        <v>3.26786376040157E-3</v>
      </c>
    </row>
    <row r="5874" spans="1:6" x14ac:dyDescent="0.25">
      <c r="A5874" s="2" t="str">
        <f t="shared" si="216"/>
        <v>14140</v>
      </c>
      <c r="B5874" s="2" t="str">
        <f>"24622"</f>
        <v>24622</v>
      </c>
      <c r="C5874" s="1">
        <v>3.2727474437438701E-3</v>
      </c>
      <c r="D5874" s="1">
        <v>7.23065798987707E-4</v>
      </c>
      <c r="E5874" s="1">
        <v>0</v>
      </c>
      <c r="F5874" s="1">
        <v>3.03203854057878E-3</v>
      </c>
    </row>
    <row r="5875" spans="1:6" x14ac:dyDescent="0.25">
      <c r="A5875" s="2" t="str">
        <f t="shared" si="216"/>
        <v>14140</v>
      </c>
      <c r="B5875" s="2" t="str">
        <f>"24639"</f>
        <v>24639</v>
      </c>
      <c r="C5875" s="1">
        <v>1.0927648244365099E-2</v>
      </c>
      <c r="D5875" s="1">
        <v>2.1691973969631198E-3</v>
      </c>
      <c r="E5875" s="1">
        <v>8.8183421516754802E-4</v>
      </c>
      <c r="F5875" s="1">
        <v>1.0123639793821301E-2</v>
      </c>
    </row>
    <row r="5876" spans="1:6" x14ac:dyDescent="0.25">
      <c r="A5876" s="2" t="str">
        <f t="shared" si="216"/>
        <v>14140</v>
      </c>
      <c r="B5876" s="2" t="str">
        <f>"24613"</f>
        <v>24613</v>
      </c>
      <c r="C5876" s="1">
        <v>1.25177967198565E-2</v>
      </c>
      <c r="D5876" s="1">
        <v>3.8563509279344399E-3</v>
      </c>
      <c r="E5876" s="1">
        <v>2.6455026455026402E-3</v>
      </c>
      <c r="F5876" s="1">
        <v>1.1723882356904599E-2</v>
      </c>
    </row>
    <row r="5877" spans="1:6" x14ac:dyDescent="0.25">
      <c r="A5877" s="2" t="str">
        <f t="shared" si="216"/>
        <v>14140</v>
      </c>
      <c r="B5877" s="2" t="str">
        <f>"24609"</f>
        <v>24609</v>
      </c>
      <c r="C5877" s="1">
        <v>4.08816078989701E-2</v>
      </c>
      <c r="D5877" s="1">
        <v>4.1696794408291098E-2</v>
      </c>
      <c r="E5877" s="1">
        <v>4.2328042328042298E-2</v>
      </c>
      <c r="F5877" s="1">
        <v>4.0966209614931103E-2</v>
      </c>
    </row>
    <row r="5878" spans="1:6" x14ac:dyDescent="0.25">
      <c r="A5878" s="2" t="str">
        <f t="shared" si="216"/>
        <v>14140</v>
      </c>
      <c r="B5878" s="2" t="str">
        <f>"24314"</f>
        <v>24314</v>
      </c>
      <c r="C5878" s="1">
        <v>1.27766580995876E-2</v>
      </c>
      <c r="D5878" s="1">
        <v>6.9896360568811704E-3</v>
      </c>
      <c r="E5878" s="1">
        <v>1.76366843033509E-3</v>
      </c>
      <c r="F5878" s="1">
        <v>1.21618434794326E-2</v>
      </c>
    </row>
    <row r="5879" spans="1:6" x14ac:dyDescent="0.25">
      <c r="A5879" s="2" t="str">
        <f t="shared" si="216"/>
        <v>14140</v>
      </c>
      <c r="B5879" s="2" t="str">
        <f>"24316"</f>
        <v>24316</v>
      </c>
      <c r="C5879" s="1">
        <v>6.1017325222343397E-4</v>
      </c>
      <c r="D5879" s="1">
        <v>0</v>
      </c>
      <c r="E5879" s="1">
        <v>0</v>
      </c>
      <c r="F5879" s="1">
        <v>5.5587373243944299E-4</v>
      </c>
    </row>
    <row r="5880" spans="1:6" x14ac:dyDescent="0.25">
      <c r="A5880" s="2" t="str">
        <f t="shared" si="216"/>
        <v>14140</v>
      </c>
      <c r="B5880" s="2" t="str">
        <f>"24318"</f>
        <v>24318</v>
      </c>
      <c r="C5880" s="1">
        <v>3.8274504003106302E-3</v>
      </c>
      <c r="D5880" s="1">
        <v>7.23065798987707E-4</v>
      </c>
      <c r="E5880" s="1">
        <v>8.8183421516754802E-4</v>
      </c>
      <c r="F5880" s="1">
        <v>3.5542229559006799E-3</v>
      </c>
    </row>
    <row r="5881" spans="1:6" x14ac:dyDescent="0.25">
      <c r="A5881" s="2" t="str">
        <f t="shared" si="216"/>
        <v>14140</v>
      </c>
      <c r="B5881" s="2" t="str">
        <f>"24737"</f>
        <v>24737</v>
      </c>
      <c r="C5881" s="1">
        <v>2.0339108407447799E-4</v>
      </c>
      <c r="D5881" s="1">
        <v>2.4102193299590201E-4</v>
      </c>
      <c r="E5881" s="1">
        <v>0</v>
      </c>
      <c r="F5881" s="1">
        <v>2.0213590270525201E-4</v>
      </c>
    </row>
    <row r="5882" spans="1:6" x14ac:dyDescent="0.25">
      <c r="A5882" s="2" t="str">
        <f t="shared" si="216"/>
        <v>14140</v>
      </c>
      <c r="B5882" s="2" t="str">
        <f>"24604"</f>
        <v>24604</v>
      </c>
      <c r="C5882" s="1">
        <v>0</v>
      </c>
      <c r="D5882" s="1">
        <v>2.4102193299590201E-4</v>
      </c>
      <c r="E5882" s="1">
        <v>0</v>
      </c>
      <c r="F5882" s="1">
        <v>1.6844658558771E-5</v>
      </c>
    </row>
    <row r="5883" spans="1:6" x14ac:dyDescent="0.25">
      <c r="A5883" s="2" t="str">
        <f t="shared" si="216"/>
        <v>14140</v>
      </c>
      <c r="B5883" s="2" t="str">
        <f>"24635"</f>
        <v>24635</v>
      </c>
      <c r="C5883" s="1">
        <v>2.6071038958637598E-3</v>
      </c>
      <c r="D5883" s="1">
        <v>4.8204386599180499E-4</v>
      </c>
      <c r="E5883" s="1">
        <v>0</v>
      </c>
      <c r="F5883" s="1">
        <v>2.4087861739042499E-3</v>
      </c>
    </row>
    <row r="5884" spans="1:6" x14ac:dyDescent="0.25">
      <c r="A5884" s="2" t="str">
        <f t="shared" si="216"/>
        <v>14140</v>
      </c>
      <c r="B5884" s="2" t="str">
        <f>"24641"</f>
        <v>24641</v>
      </c>
      <c r="C5884" s="1">
        <v>6.13316568977312E-2</v>
      </c>
      <c r="D5884" s="1">
        <v>0.11231622077609001</v>
      </c>
      <c r="E5884" s="1">
        <v>0.151675485008818</v>
      </c>
      <c r="F5884" s="1">
        <v>6.6620624599939296E-2</v>
      </c>
    </row>
    <row r="5885" spans="1:6" x14ac:dyDescent="0.25">
      <c r="A5885" s="2" t="str">
        <f t="shared" si="216"/>
        <v>14140</v>
      </c>
      <c r="B5885" s="2" t="str">
        <f>"24630"</f>
        <v>24630</v>
      </c>
      <c r="C5885" s="1">
        <v>6.5806260747369699E-2</v>
      </c>
      <c r="D5885" s="1">
        <v>5.3024825259098497E-2</v>
      </c>
      <c r="E5885" s="1">
        <v>2.2927689594356201E-2</v>
      </c>
      <c r="F5885" s="1">
        <v>6.4093925816123706E-2</v>
      </c>
    </row>
    <row r="5886" spans="1:6" x14ac:dyDescent="0.25">
      <c r="A5886" s="2" t="str">
        <f t="shared" si="216"/>
        <v>14140</v>
      </c>
      <c r="B5886" s="2" t="str">
        <f>"24602"</f>
        <v>24602</v>
      </c>
      <c r="C5886" s="1">
        <v>9.4854205572915701E-3</v>
      </c>
      <c r="D5886" s="1">
        <v>1.92817546396722E-3</v>
      </c>
      <c r="E5886" s="1">
        <v>0</v>
      </c>
      <c r="F5886" s="1">
        <v>8.7760671091196892E-3</v>
      </c>
    </row>
    <row r="5887" spans="1:6" x14ac:dyDescent="0.25">
      <c r="A5887" s="2" t="str">
        <f t="shared" ref="A5887:A5918" si="217">"20500"</f>
        <v>20500</v>
      </c>
      <c r="B5887" s="2" t="str">
        <f>"27583"</f>
        <v>27583</v>
      </c>
      <c r="C5887" s="1">
        <v>9.9099840478059399E-3</v>
      </c>
      <c r="D5887" s="1">
        <v>1.63774614934685E-3</v>
      </c>
      <c r="E5887" s="1">
        <v>1.78571428571428E-4</v>
      </c>
      <c r="F5887" s="1">
        <v>8.9997137098945801E-3</v>
      </c>
    </row>
    <row r="5888" spans="1:6" x14ac:dyDescent="0.25">
      <c r="A5888" s="2" t="str">
        <f t="shared" si="217"/>
        <v>20500</v>
      </c>
      <c r="B5888" s="2" t="str">
        <f>"27510"</f>
        <v>27510</v>
      </c>
      <c r="C5888" s="1">
        <v>3.3100802673891497E-2</v>
      </c>
      <c r="D5888" s="1">
        <v>3.9032949892766601E-2</v>
      </c>
      <c r="E5888" s="1">
        <v>5.4553571428571403E-2</v>
      </c>
      <c r="F5888" s="1">
        <v>3.42130848750953E-2</v>
      </c>
    </row>
    <row r="5889" spans="1:6" x14ac:dyDescent="0.25">
      <c r="A5889" s="2" t="str">
        <f t="shared" si="217"/>
        <v>20500</v>
      </c>
      <c r="B5889" s="2" t="str">
        <f>"27516"</f>
        <v>27516</v>
      </c>
      <c r="C5889" s="1">
        <v>6.1023472514116398E-2</v>
      </c>
      <c r="D5889" s="1">
        <v>3.9500877364008501E-2</v>
      </c>
      <c r="E5889" s="1">
        <v>7.1964285714285703E-2</v>
      </c>
      <c r="F5889" s="1">
        <v>5.9806286477185999E-2</v>
      </c>
    </row>
    <row r="5890" spans="1:6" x14ac:dyDescent="0.25">
      <c r="A5890" s="2" t="str">
        <f t="shared" si="217"/>
        <v>20500</v>
      </c>
      <c r="B5890" s="2" t="str">
        <f>"27344"</f>
        <v>27344</v>
      </c>
      <c r="C5890" s="1">
        <v>2.4624617020737798E-2</v>
      </c>
      <c r="D5890" s="1">
        <v>3.0922207057906E-2</v>
      </c>
      <c r="E5890" s="1">
        <v>1.0267857142857099E-2</v>
      </c>
      <c r="F5890" s="1">
        <v>2.46266181768705E-2</v>
      </c>
    </row>
    <row r="5891" spans="1:6" x14ac:dyDescent="0.25">
      <c r="A5891" s="2" t="str">
        <f t="shared" si="217"/>
        <v>20500</v>
      </c>
      <c r="B5891" s="2" t="str">
        <f>"27713"</f>
        <v>27713</v>
      </c>
      <c r="C5891" s="1">
        <v>8.1666371255665504E-2</v>
      </c>
      <c r="D5891" s="1">
        <v>7.2762721778124304E-2</v>
      </c>
      <c r="E5891" s="1">
        <v>9.9196428571428505E-2</v>
      </c>
      <c r="F5891" s="1">
        <v>8.1575672710883798E-2</v>
      </c>
    </row>
    <row r="5892" spans="1:6" x14ac:dyDescent="0.25">
      <c r="A5892" s="2" t="str">
        <f t="shared" si="217"/>
        <v>20500</v>
      </c>
      <c r="B5892" s="2" t="str">
        <f>"27706"</f>
        <v>27706</v>
      </c>
      <c r="C5892" s="1">
        <v>0</v>
      </c>
      <c r="D5892" s="1">
        <v>0</v>
      </c>
      <c r="E5892" s="1">
        <v>8.9285714285714204E-5</v>
      </c>
      <c r="F5892" s="1">
        <v>2.8345554991793901E-6</v>
      </c>
    </row>
    <row r="5893" spans="1:6" x14ac:dyDescent="0.25">
      <c r="A5893" s="2" t="str">
        <f t="shared" si="217"/>
        <v>20500</v>
      </c>
      <c r="B5893" s="2" t="str">
        <f>"27596"</f>
        <v>27596</v>
      </c>
      <c r="C5893" s="1">
        <v>1.3198541513685901E-3</v>
      </c>
      <c r="D5893" s="1">
        <v>0</v>
      </c>
      <c r="E5893" s="1">
        <v>0</v>
      </c>
      <c r="F5893" s="1">
        <v>1.1820096431577999E-3</v>
      </c>
    </row>
    <row r="5894" spans="1:6" x14ac:dyDescent="0.25">
      <c r="A5894" s="2" t="str">
        <f t="shared" si="217"/>
        <v>20500</v>
      </c>
      <c r="B5894" s="2" t="str">
        <f>"27613"</f>
        <v>27613</v>
      </c>
      <c r="C5894" s="1">
        <v>1.5857240523637101E-3</v>
      </c>
      <c r="D5894" s="1">
        <v>7.7987911873659505E-5</v>
      </c>
      <c r="E5894" s="1">
        <v>0</v>
      </c>
      <c r="F5894" s="1">
        <v>1.4257814160872301E-3</v>
      </c>
    </row>
    <row r="5895" spans="1:6" x14ac:dyDescent="0.25">
      <c r="A5895" s="2" t="str">
        <f t="shared" si="217"/>
        <v>20500</v>
      </c>
      <c r="B5895" s="2" t="str">
        <f>"27525"</f>
        <v>27525</v>
      </c>
      <c r="C5895" s="1">
        <v>6.9157825437419201E-3</v>
      </c>
      <c r="D5895" s="1">
        <v>5.4591538311561704E-4</v>
      </c>
      <c r="E5895" s="1">
        <v>8.9285714285714204E-5</v>
      </c>
      <c r="F5895" s="1">
        <v>6.2360220981946702E-3</v>
      </c>
    </row>
    <row r="5896" spans="1:6" x14ac:dyDescent="0.25">
      <c r="A5896" s="2" t="str">
        <f t="shared" si="217"/>
        <v>20500</v>
      </c>
      <c r="B5896" s="2" t="str">
        <f>"27522"</f>
        <v>27522</v>
      </c>
      <c r="C5896" s="1">
        <v>1.75347529942015E-2</v>
      </c>
      <c r="D5896" s="1">
        <v>1.12692532657438E-2</v>
      </c>
      <c r="E5896" s="1">
        <v>1.2321428571428501E-2</v>
      </c>
      <c r="F5896" s="1">
        <v>1.6913792663603398E-2</v>
      </c>
    </row>
    <row r="5897" spans="1:6" x14ac:dyDescent="0.25">
      <c r="A5897" s="2" t="str">
        <f t="shared" si="217"/>
        <v>20500</v>
      </c>
      <c r="B5897" s="2" t="str">
        <f>"27332"</f>
        <v>27332</v>
      </c>
      <c r="C5897" s="1">
        <v>0</v>
      </c>
      <c r="D5897" s="1">
        <v>1.09183076623123E-3</v>
      </c>
      <c r="E5897" s="1">
        <v>0</v>
      </c>
      <c r="F5897" s="1">
        <v>7.9367553977023001E-5</v>
      </c>
    </row>
    <row r="5898" spans="1:6" x14ac:dyDescent="0.25">
      <c r="A5898" s="2" t="str">
        <f t="shared" si="217"/>
        <v>20500</v>
      </c>
      <c r="B5898" s="2" t="str">
        <f>"27355"</f>
        <v>27355</v>
      </c>
      <c r="C5898" s="1">
        <v>9.5586559643481101E-4</v>
      </c>
      <c r="D5898" s="1">
        <v>3.8993955936829702E-4</v>
      </c>
      <c r="E5898" s="1">
        <v>1.78571428571428E-4</v>
      </c>
      <c r="F5898" s="1">
        <v>8.9005042674233004E-4</v>
      </c>
    </row>
    <row r="5899" spans="1:6" x14ac:dyDescent="0.25">
      <c r="A5899" s="2" t="str">
        <f t="shared" si="217"/>
        <v>20500</v>
      </c>
      <c r="B5899" s="2" t="str">
        <f>"27256"</f>
        <v>27256</v>
      </c>
      <c r="C5899" s="1">
        <v>0</v>
      </c>
      <c r="D5899" s="1">
        <v>0</v>
      </c>
      <c r="E5899" s="1">
        <v>8.9285714285714204E-5</v>
      </c>
      <c r="F5899" s="1">
        <v>2.8345554991793901E-6</v>
      </c>
    </row>
    <row r="5900" spans="1:6" x14ac:dyDescent="0.25">
      <c r="A5900" s="2" t="str">
        <f t="shared" si="217"/>
        <v>20500</v>
      </c>
      <c r="B5900" s="2" t="str">
        <f>"27208"</f>
        <v>27208</v>
      </c>
      <c r="C5900" s="1">
        <v>1.2818727369407199E-3</v>
      </c>
      <c r="D5900" s="1">
        <v>6.2390329498927604E-4</v>
      </c>
      <c r="E5900" s="1">
        <v>8.9285714285714204E-5</v>
      </c>
      <c r="F5900" s="1">
        <v>1.1961824206537001E-3</v>
      </c>
    </row>
    <row r="5901" spans="1:6" x14ac:dyDescent="0.25">
      <c r="A5901" s="2" t="str">
        <f t="shared" si="217"/>
        <v>20500</v>
      </c>
      <c r="B5901" s="2" t="str">
        <f>"27715"</f>
        <v>27715</v>
      </c>
      <c r="C5901" s="1">
        <v>3.7886460891803598E-3</v>
      </c>
      <c r="D5901" s="1">
        <v>1.45447455644375E-2</v>
      </c>
      <c r="E5901" s="1">
        <v>1.78571428571428E-4</v>
      </c>
      <c r="F5901" s="1">
        <v>4.4559212447100099E-3</v>
      </c>
    </row>
    <row r="5902" spans="1:6" x14ac:dyDescent="0.25">
      <c r="A5902" s="2" t="str">
        <f t="shared" si="217"/>
        <v>20500</v>
      </c>
      <c r="B5902" s="2" t="str">
        <f>"27709"</f>
        <v>27709</v>
      </c>
      <c r="C5902" s="1">
        <v>4.4881371382270198E-3</v>
      </c>
      <c r="D5902" s="1">
        <v>2.7412751023591302E-2</v>
      </c>
      <c r="E5902" s="1">
        <v>1.39285714285714E-2</v>
      </c>
      <c r="F5902" s="1">
        <v>6.4542828716314801E-3</v>
      </c>
    </row>
    <row r="5903" spans="1:6" x14ac:dyDescent="0.25">
      <c r="A5903" s="2" t="str">
        <f t="shared" si="217"/>
        <v>20500</v>
      </c>
      <c r="B5903" s="2" t="str">
        <f>"27705"</f>
        <v>27705</v>
      </c>
      <c r="C5903" s="1">
        <v>8.0327526397083002E-2</v>
      </c>
      <c r="D5903" s="1">
        <v>7.5960226164944397E-2</v>
      </c>
      <c r="E5903" s="1">
        <v>0.10142857142857099</v>
      </c>
      <c r="F5903" s="1">
        <v>8.0679953173143096E-2</v>
      </c>
    </row>
    <row r="5904" spans="1:6" x14ac:dyDescent="0.25">
      <c r="A5904" s="2" t="str">
        <f t="shared" si="217"/>
        <v>20500</v>
      </c>
      <c r="B5904" s="2" t="str">
        <f>"27519"</f>
        <v>27519</v>
      </c>
      <c r="C5904" s="1">
        <v>5.8238168789405704E-3</v>
      </c>
      <c r="D5904" s="1">
        <v>3.8993955936829698E-5</v>
      </c>
      <c r="E5904" s="1">
        <v>0</v>
      </c>
      <c r="F5904" s="1">
        <v>5.2184166739892603E-3</v>
      </c>
    </row>
    <row r="5905" spans="1:6" x14ac:dyDescent="0.25">
      <c r="A5905" s="2" t="str">
        <f t="shared" si="217"/>
        <v>20500</v>
      </c>
      <c r="B5905" s="2" t="str">
        <f>"27502"</f>
        <v>27502</v>
      </c>
      <c r="C5905" s="1">
        <v>3.1018155116096499E-4</v>
      </c>
      <c r="D5905" s="1">
        <v>1.94969779684148E-4</v>
      </c>
      <c r="E5905" s="1">
        <v>0</v>
      </c>
      <c r="F5905" s="1">
        <v>2.9195921641547701E-4</v>
      </c>
    </row>
    <row r="5906" spans="1:6" x14ac:dyDescent="0.25">
      <c r="A5906" s="2" t="str">
        <f t="shared" si="217"/>
        <v>20500</v>
      </c>
      <c r="B5906" s="2" t="str">
        <f>"27503"</f>
        <v>27503</v>
      </c>
      <c r="C5906" s="1">
        <v>4.9375838756235196E-3</v>
      </c>
      <c r="D5906" s="1">
        <v>1.09183076623123E-3</v>
      </c>
      <c r="E5906" s="1">
        <v>0</v>
      </c>
      <c r="F5906" s="1">
        <v>4.5012741326968799E-3</v>
      </c>
    </row>
    <row r="5907" spans="1:6" x14ac:dyDescent="0.25">
      <c r="A5907" s="2" t="str">
        <f t="shared" si="217"/>
        <v>20500</v>
      </c>
      <c r="B5907" s="2" t="str">
        <f>"27509"</f>
        <v>27509</v>
      </c>
      <c r="C5907" s="1">
        <v>5.5199655635175798E-3</v>
      </c>
      <c r="D5907" s="1">
        <v>6.2000389939559303E-3</v>
      </c>
      <c r="E5907" s="1">
        <v>5.7142857142857099E-3</v>
      </c>
      <c r="F5907" s="1">
        <v>5.5755706668858696E-3</v>
      </c>
    </row>
    <row r="5908" spans="1:6" x14ac:dyDescent="0.25">
      <c r="A5908" s="2" t="str">
        <f t="shared" si="217"/>
        <v>20500</v>
      </c>
      <c r="B5908" s="2" t="str">
        <f>"27314"</f>
        <v>27314</v>
      </c>
      <c r="C5908" s="1">
        <v>3.1651178689894399E-6</v>
      </c>
      <c r="D5908" s="1">
        <v>0</v>
      </c>
      <c r="E5908" s="1">
        <v>0</v>
      </c>
      <c r="F5908" s="1">
        <v>2.8345554991793901E-6</v>
      </c>
    </row>
    <row r="5909" spans="1:6" x14ac:dyDescent="0.25">
      <c r="A5909" s="2" t="str">
        <f t="shared" si="217"/>
        <v>20500</v>
      </c>
      <c r="B5909" s="2" t="str">
        <f>"27291"</f>
        <v>27291</v>
      </c>
      <c r="C5909" s="1">
        <v>9.4004000708986402E-4</v>
      </c>
      <c r="D5909" s="1">
        <v>1.94969779684148E-4</v>
      </c>
      <c r="E5909" s="1">
        <v>0</v>
      </c>
      <c r="F5909" s="1">
        <v>8.5603576075217696E-4</v>
      </c>
    </row>
    <row r="5910" spans="1:6" x14ac:dyDescent="0.25">
      <c r="A5910" s="2" t="str">
        <f t="shared" si="217"/>
        <v>20500</v>
      </c>
      <c r="B5910" s="2" t="str">
        <f>"27343"</f>
        <v>27343</v>
      </c>
      <c r="C5910" s="1">
        <v>2.43714075912186E-3</v>
      </c>
      <c r="D5910" s="1">
        <v>6.6289725092610603E-4</v>
      </c>
      <c r="E5910" s="1">
        <v>0</v>
      </c>
      <c r="F5910" s="1">
        <v>2.23079517785418E-3</v>
      </c>
    </row>
    <row r="5911" spans="1:6" x14ac:dyDescent="0.25">
      <c r="A5911" s="2" t="str">
        <f t="shared" si="217"/>
        <v>20500</v>
      </c>
      <c r="B5911" s="2" t="str">
        <f>"27243"</f>
        <v>27243</v>
      </c>
      <c r="C5911" s="1">
        <v>6.6435824070088297E-3</v>
      </c>
      <c r="D5911" s="1">
        <v>1.01384285435757E-3</v>
      </c>
      <c r="E5911" s="1">
        <v>9.8214285714285699E-4</v>
      </c>
      <c r="F5911" s="1">
        <v>6.05461054624719E-3</v>
      </c>
    </row>
    <row r="5912" spans="1:6" x14ac:dyDescent="0.25">
      <c r="A5912" s="2" t="str">
        <f t="shared" si="217"/>
        <v>20500</v>
      </c>
      <c r="B5912" s="2" t="str">
        <f>"27710"</f>
        <v>27710</v>
      </c>
      <c r="C5912" s="1">
        <v>0</v>
      </c>
      <c r="D5912" s="1">
        <v>1.20881263404172E-3</v>
      </c>
      <c r="E5912" s="1">
        <v>6.2500000000000001E-4</v>
      </c>
      <c r="F5912" s="1">
        <v>1.0771310896881701E-4</v>
      </c>
    </row>
    <row r="5913" spans="1:6" x14ac:dyDescent="0.25">
      <c r="A5913" s="2" t="str">
        <f t="shared" si="217"/>
        <v>20500</v>
      </c>
      <c r="B5913" s="2" t="str">
        <f>"27587"</f>
        <v>27587</v>
      </c>
      <c r="C5913" s="1">
        <v>4.0323601650925399E-3</v>
      </c>
      <c r="D5913" s="1">
        <v>3.1195164749463802E-4</v>
      </c>
      <c r="E5913" s="1">
        <v>1.78571428571428E-4</v>
      </c>
      <c r="F5913" s="1">
        <v>3.6395692609463401E-3</v>
      </c>
    </row>
    <row r="5914" spans="1:6" x14ac:dyDescent="0.25">
      <c r="A5914" s="2" t="str">
        <f t="shared" si="217"/>
        <v>20500</v>
      </c>
      <c r="B5914" s="2" t="str">
        <f>"27523"</f>
        <v>27523</v>
      </c>
      <c r="C5914" s="1">
        <v>4.2887347124806897E-3</v>
      </c>
      <c r="D5914" s="1">
        <v>2.3396373562097799E-3</v>
      </c>
      <c r="E5914" s="1">
        <v>7.1428571428571396E-4</v>
      </c>
      <c r="F5914" s="1">
        <v>4.0335724753322796E-3</v>
      </c>
    </row>
    <row r="5915" spans="1:6" x14ac:dyDescent="0.25">
      <c r="A5915" s="2" t="str">
        <f t="shared" si="217"/>
        <v>20500</v>
      </c>
      <c r="B5915" s="2" t="str">
        <f>"27517"</f>
        <v>27517</v>
      </c>
      <c r="C5915" s="1">
        <v>4.4643987542096003E-2</v>
      </c>
      <c r="D5915" s="1">
        <v>3.31838565022421E-2</v>
      </c>
      <c r="E5915" s="1">
        <v>2.7946428571428501E-2</v>
      </c>
      <c r="F5915" s="1">
        <v>4.3280827916970202E-2</v>
      </c>
    </row>
    <row r="5916" spans="1:6" x14ac:dyDescent="0.25">
      <c r="A5916" s="2" t="str">
        <f t="shared" si="217"/>
        <v>20500</v>
      </c>
      <c r="B5916" s="2" t="str">
        <f>"27565"</f>
        <v>27565</v>
      </c>
      <c r="C5916" s="1">
        <v>3.4965057098726299E-2</v>
      </c>
      <c r="D5916" s="1">
        <v>3.1195164749463801E-2</v>
      </c>
      <c r="E5916" s="1">
        <v>1.45535714285714E-2</v>
      </c>
      <c r="F5916" s="1">
        <v>3.4043011545144497E-2</v>
      </c>
    </row>
    <row r="5917" spans="1:6" x14ac:dyDescent="0.25">
      <c r="A5917" s="2" t="str">
        <f t="shared" si="217"/>
        <v>20500</v>
      </c>
      <c r="B5917" s="2" t="str">
        <f>"27574"</f>
        <v>27574</v>
      </c>
      <c r="C5917" s="1">
        <v>2.1114501304028501E-2</v>
      </c>
      <c r="D5917" s="1">
        <v>5.1472021836615296E-3</v>
      </c>
      <c r="E5917" s="1">
        <v>6.2500000000000001E-4</v>
      </c>
      <c r="F5917" s="1">
        <v>1.9303322949411599E-2</v>
      </c>
    </row>
    <row r="5918" spans="1:6" x14ac:dyDescent="0.25">
      <c r="A5918" s="2" t="str">
        <f t="shared" si="217"/>
        <v>20500</v>
      </c>
      <c r="B5918" s="2" t="str">
        <f>"27325"</f>
        <v>27325</v>
      </c>
      <c r="C5918" s="1">
        <v>3.1651178689894399E-6</v>
      </c>
      <c r="D5918" s="1">
        <v>0</v>
      </c>
      <c r="E5918" s="1">
        <v>0</v>
      </c>
      <c r="F5918" s="1">
        <v>2.8345554991793901E-6</v>
      </c>
    </row>
    <row r="5919" spans="1:6" x14ac:dyDescent="0.25">
      <c r="A5919" s="2" t="str">
        <f t="shared" ref="A5919:A5953" si="218">"20500"</f>
        <v>20500</v>
      </c>
      <c r="B5919" s="2" t="str">
        <f>"27349"</f>
        <v>27349</v>
      </c>
      <c r="C5919" s="1">
        <v>4.3362114805155298E-4</v>
      </c>
      <c r="D5919" s="1">
        <v>7.7987911873659505E-5</v>
      </c>
      <c r="E5919" s="1">
        <v>0</v>
      </c>
      <c r="F5919" s="1">
        <v>3.9400321438593601E-4</v>
      </c>
    </row>
    <row r="5920" spans="1:6" x14ac:dyDescent="0.25">
      <c r="A5920" s="2" t="str">
        <f t="shared" si="218"/>
        <v>20500</v>
      </c>
      <c r="B5920" s="2" t="str">
        <f>"27252"</f>
        <v>27252</v>
      </c>
      <c r="C5920" s="1">
        <v>2.3326918694452099E-3</v>
      </c>
      <c r="D5920" s="1">
        <v>8.9686098654708499E-4</v>
      </c>
      <c r="E5920" s="1">
        <v>8.9285714285714204E-5</v>
      </c>
      <c r="F5920" s="1">
        <v>2.1570967348755201E-3</v>
      </c>
    </row>
    <row r="5921" spans="1:6" x14ac:dyDescent="0.25">
      <c r="A5921" s="2" t="str">
        <f t="shared" si="218"/>
        <v>20500</v>
      </c>
      <c r="B5921" s="2" t="str">
        <f>"27722"</f>
        <v>27722</v>
      </c>
      <c r="C5921" s="1">
        <v>3.99437875066467E-3</v>
      </c>
      <c r="D5921" s="1">
        <v>9.5145252485864598E-3</v>
      </c>
      <c r="E5921" s="1">
        <v>1.78571428571428E-4</v>
      </c>
      <c r="F5921" s="1">
        <v>4.2745096927625202E-3</v>
      </c>
    </row>
    <row r="5922" spans="1:6" x14ac:dyDescent="0.25">
      <c r="A5922" s="2" t="str">
        <f t="shared" si="218"/>
        <v>20500</v>
      </c>
      <c r="B5922" s="2" t="str">
        <f>"27599"</f>
        <v>27599</v>
      </c>
      <c r="C5922" s="1">
        <v>0</v>
      </c>
      <c r="D5922" s="1">
        <v>2.1329693897445798E-2</v>
      </c>
      <c r="E5922" s="1">
        <v>2.67857142857142E-4</v>
      </c>
      <c r="F5922" s="1">
        <v>1.55900552454866E-3</v>
      </c>
    </row>
    <row r="5923" spans="1:6" x14ac:dyDescent="0.25">
      <c r="A5923" s="2" t="str">
        <f t="shared" si="218"/>
        <v>20500</v>
      </c>
      <c r="B5923" s="2" t="str">
        <f>"27582"</f>
        <v>27582</v>
      </c>
      <c r="C5923" s="1">
        <v>0</v>
      </c>
      <c r="D5923" s="1">
        <v>3.8993955936829698E-5</v>
      </c>
      <c r="E5923" s="1">
        <v>3.5714285714285698E-4</v>
      </c>
      <c r="F5923" s="1">
        <v>1.4172777495896901E-5</v>
      </c>
    </row>
    <row r="5924" spans="1:6" x14ac:dyDescent="0.25">
      <c r="A5924" s="2" t="str">
        <f t="shared" si="218"/>
        <v>20500</v>
      </c>
      <c r="B5924" s="2" t="str">
        <f>"27541"</f>
        <v>27541</v>
      </c>
      <c r="C5924" s="1">
        <v>5.9567518294381203E-3</v>
      </c>
      <c r="D5924" s="1">
        <v>1.7547280171573401E-3</v>
      </c>
      <c r="E5924" s="1">
        <v>8.9285714285714204E-5</v>
      </c>
      <c r="F5924" s="1">
        <v>5.46502300241787E-3</v>
      </c>
    </row>
    <row r="5925" spans="1:6" x14ac:dyDescent="0.25">
      <c r="A5925" s="2" t="str">
        <f t="shared" si="218"/>
        <v>20500</v>
      </c>
      <c r="B5925" s="2" t="str">
        <f>"27544"</f>
        <v>27544</v>
      </c>
      <c r="C5925" s="1">
        <v>8.2609576380624405E-4</v>
      </c>
      <c r="D5925" s="1">
        <v>1.1698186781048899E-4</v>
      </c>
      <c r="E5925" s="1">
        <v>0</v>
      </c>
      <c r="F5925" s="1">
        <v>7.4832265178335997E-4</v>
      </c>
    </row>
    <row r="5926" spans="1:6" x14ac:dyDescent="0.25">
      <c r="A5926" s="2" t="str">
        <f t="shared" si="218"/>
        <v>20500</v>
      </c>
      <c r="B5926" s="2" t="str">
        <f>"27213"</f>
        <v>27213</v>
      </c>
      <c r="C5926" s="1">
        <v>0</v>
      </c>
      <c r="D5926" s="1">
        <v>0</v>
      </c>
      <c r="E5926" s="1">
        <v>8.9285714285714204E-5</v>
      </c>
      <c r="F5926" s="1">
        <v>2.8345554991793901E-6</v>
      </c>
    </row>
    <row r="5927" spans="1:6" x14ac:dyDescent="0.25">
      <c r="A5927" s="2" t="str">
        <f t="shared" si="218"/>
        <v>20500</v>
      </c>
      <c r="B5927" s="2" t="str">
        <f>"27712"</f>
        <v>27712</v>
      </c>
      <c r="C5927" s="1">
        <v>2.8413263109918201E-2</v>
      </c>
      <c r="D5927" s="1">
        <v>5.6541236108403102E-3</v>
      </c>
      <c r="E5927" s="1">
        <v>1.4285714285714199E-3</v>
      </c>
      <c r="F5927" s="1">
        <v>2.5902168151501301E-2</v>
      </c>
    </row>
    <row r="5928" spans="1:6" x14ac:dyDescent="0.25">
      <c r="A5928" s="2" t="str">
        <f t="shared" si="218"/>
        <v>20500</v>
      </c>
      <c r="B5928" s="2" t="str">
        <f>"27701"</f>
        <v>27701</v>
      </c>
      <c r="C5928" s="1">
        <v>4.0529334312409702E-2</v>
      </c>
      <c r="D5928" s="1">
        <v>8.3720023396373494E-2</v>
      </c>
      <c r="E5928" s="1">
        <v>9.7678571428571406E-2</v>
      </c>
      <c r="F5928" s="1">
        <v>4.5483277539832501E-2</v>
      </c>
    </row>
    <row r="5929" spans="1:6" x14ac:dyDescent="0.25">
      <c r="A5929" s="2" t="str">
        <f t="shared" si="218"/>
        <v>20500</v>
      </c>
      <c r="B5929" s="2" t="str">
        <f>"27617"</f>
        <v>27617</v>
      </c>
      <c r="C5929" s="1">
        <v>9.5903071430379996E-4</v>
      </c>
      <c r="D5929" s="1">
        <v>3.8993955936829698E-5</v>
      </c>
      <c r="E5929" s="1">
        <v>0</v>
      </c>
      <c r="F5929" s="1">
        <v>8.6170487175053604E-4</v>
      </c>
    </row>
    <row r="5930" spans="1:6" x14ac:dyDescent="0.25">
      <c r="A5930" s="2" t="str">
        <f t="shared" si="218"/>
        <v>20500</v>
      </c>
      <c r="B5930" s="2" t="str">
        <f>"27581"</f>
        <v>27581</v>
      </c>
      <c r="C5930" s="1">
        <v>5.2224444838325701E-3</v>
      </c>
      <c r="D5930" s="1">
        <v>5.8490933905244605E-4</v>
      </c>
      <c r="E5930" s="1">
        <v>4.4642857142857098E-4</v>
      </c>
      <c r="F5930" s="1">
        <v>4.7337076836295898E-3</v>
      </c>
    </row>
    <row r="5931" spans="1:6" x14ac:dyDescent="0.25">
      <c r="A5931" s="2" t="str">
        <f t="shared" si="218"/>
        <v>20500</v>
      </c>
      <c r="B5931" s="2" t="str">
        <f>"27572"</f>
        <v>27572</v>
      </c>
      <c r="C5931" s="1">
        <v>1.00175980553515E-2</v>
      </c>
      <c r="D5931" s="1">
        <v>2.30064340027295E-3</v>
      </c>
      <c r="E5931" s="1">
        <v>0</v>
      </c>
      <c r="F5931" s="1">
        <v>9.13860692935437E-3</v>
      </c>
    </row>
    <row r="5932" spans="1:6" x14ac:dyDescent="0.25">
      <c r="A5932" s="2" t="str">
        <f t="shared" si="218"/>
        <v>20500</v>
      </c>
      <c r="B5932" s="2" t="str">
        <f>"27562"</f>
        <v>27562</v>
      </c>
      <c r="C5932" s="1">
        <v>1.9433823715595099E-3</v>
      </c>
      <c r="D5932" s="1">
        <v>9.74848898420744E-4</v>
      </c>
      <c r="E5932" s="1">
        <v>5.3571428571428498E-4</v>
      </c>
      <c r="F5932" s="1">
        <v>1.8282882969707099E-3</v>
      </c>
    </row>
    <row r="5933" spans="1:6" x14ac:dyDescent="0.25">
      <c r="A5933" s="2" t="str">
        <f t="shared" si="218"/>
        <v>20500</v>
      </c>
      <c r="B5933" s="2" t="str">
        <f>"27540"</f>
        <v>27540</v>
      </c>
      <c r="C5933" s="1">
        <v>1.26604714759577E-5</v>
      </c>
      <c r="D5933" s="1">
        <v>0</v>
      </c>
      <c r="E5933" s="1">
        <v>0</v>
      </c>
      <c r="F5933" s="1">
        <v>1.1338221996717499E-5</v>
      </c>
    </row>
    <row r="5934" spans="1:6" x14ac:dyDescent="0.25">
      <c r="A5934" s="2" t="str">
        <f t="shared" si="218"/>
        <v>20500</v>
      </c>
      <c r="B5934" s="2" t="str">
        <f>"27560"</f>
        <v>27560</v>
      </c>
      <c r="C5934" s="1">
        <v>9.7295723292735396E-3</v>
      </c>
      <c r="D5934" s="1">
        <v>6.31702086176642E-3</v>
      </c>
      <c r="E5934" s="1">
        <v>5.0892857142857101E-2</v>
      </c>
      <c r="F5934" s="1">
        <v>1.0788318229876699E-2</v>
      </c>
    </row>
    <row r="5935" spans="1:6" x14ac:dyDescent="0.25">
      <c r="A5935" s="2" t="str">
        <f t="shared" si="218"/>
        <v>20500</v>
      </c>
      <c r="B5935" s="2" t="str">
        <f>"27514"</f>
        <v>27514</v>
      </c>
      <c r="C5935" s="1">
        <v>7.2816701693971003E-2</v>
      </c>
      <c r="D5935" s="1">
        <v>6.1493468512380502E-2</v>
      </c>
      <c r="E5935" s="1">
        <v>9.65178571428571E-2</v>
      </c>
      <c r="F5935" s="1">
        <v>7.274603233094E-2</v>
      </c>
    </row>
    <row r="5936" spans="1:6" x14ac:dyDescent="0.25">
      <c r="A5936" s="2" t="str">
        <f t="shared" si="218"/>
        <v>20500</v>
      </c>
      <c r="B5936" s="2" t="str">
        <f>"27507"</f>
        <v>27507</v>
      </c>
      <c r="C5936" s="1">
        <v>2.4149849340389402E-3</v>
      </c>
      <c r="D5936" s="1">
        <v>2.3396373562097799E-4</v>
      </c>
      <c r="E5936" s="1">
        <v>1.78571428571428E-4</v>
      </c>
      <c r="F5936" s="1">
        <v>2.18544228986731E-3</v>
      </c>
    </row>
    <row r="5937" spans="1:6" x14ac:dyDescent="0.25">
      <c r="A5937" s="2" t="str">
        <f t="shared" si="218"/>
        <v>20500</v>
      </c>
      <c r="B5937" s="2" t="str">
        <f>"27298"</f>
        <v>27298</v>
      </c>
      <c r="C5937" s="1">
        <v>1.3610006836654501E-4</v>
      </c>
      <c r="D5937" s="1">
        <v>7.7987911873659505E-5</v>
      </c>
      <c r="E5937" s="1">
        <v>0</v>
      </c>
      <c r="F5937" s="1">
        <v>1.2755499746307201E-4</v>
      </c>
    </row>
    <row r="5938" spans="1:6" x14ac:dyDescent="0.25">
      <c r="A5938" s="2" t="str">
        <f t="shared" si="218"/>
        <v>20500</v>
      </c>
      <c r="B5938" s="2" t="str">
        <f>"27278"</f>
        <v>27278</v>
      </c>
      <c r="C5938" s="1">
        <v>4.5115590104575401E-2</v>
      </c>
      <c r="D5938" s="1">
        <v>4.8625463053226702E-2</v>
      </c>
      <c r="E5938" s="1">
        <v>2.5089285714285699E-2</v>
      </c>
      <c r="F5938" s="1">
        <v>4.4734954888049197E-2</v>
      </c>
    </row>
    <row r="5939" spans="1:6" x14ac:dyDescent="0.25">
      <c r="A5939" s="2" t="str">
        <f t="shared" si="218"/>
        <v>20500</v>
      </c>
      <c r="B5939" s="2" t="str">
        <f>"27207"</f>
        <v>27207</v>
      </c>
      <c r="C5939" s="1">
        <v>5.9219355328792404E-3</v>
      </c>
      <c r="D5939" s="1">
        <v>3.0415285630727199E-3</v>
      </c>
      <c r="E5939" s="1">
        <v>1.78571428571428E-4</v>
      </c>
      <c r="F5939" s="1">
        <v>5.5302177788989996E-3</v>
      </c>
    </row>
    <row r="5940" spans="1:6" x14ac:dyDescent="0.25">
      <c r="A5940" s="2" t="str">
        <f t="shared" si="218"/>
        <v>20500</v>
      </c>
      <c r="B5940" s="2" t="str">
        <f>"27708"</f>
        <v>27708</v>
      </c>
      <c r="C5940" s="1">
        <v>0</v>
      </c>
      <c r="D5940" s="1">
        <v>5.1082082277246997E-3</v>
      </c>
      <c r="E5940" s="1">
        <v>1.78571428571428E-4</v>
      </c>
      <c r="F5940" s="1">
        <v>3.7699588139085898E-4</v>
      </c>
    </row>
    <row r="5941" spans="1:6" x14ac:dyDescent="0.25">
      <c r="A5941" s="2" t="str">
        <f t="shared" si="218"/>
        <v>20500</v>
      </c>
      <c r="B5941" s="2" t="str">
        <f>"27717"</f>
        <v>27717</v>
      </c>
      <c r="C5941" s="1">
        <v>2.01934520041526E-3</v>
      </c>
      <c r="D5941" s="1">
        <v>2.20705790602456E-2</v>
      </c>
      <c r="E5941" s="1">
        <v>1.78571428571428E-4</v>
      </c>
      <c r="F5941" s="1">
        <v>3.41847393201035E-3</v>
      </c>
    </row>
    <row r="5942" spans="1:6" x14ac:dyDescent="0.25">
      <c r="A5942" s="2" t="str">
        <f t="shared" si="218"/>
        <v>20500</v>
      </c>
      <c r="B5942" s="2" t="str">
        <f>"27702"</f>
        <v>27702</v>
      </c>
      <c r="C5942" s="1">
        <v>5.1085002405489499E-3</v>
      </c>
      <c r="D5942" s="1">
        <v>2.1368687853382699E-2</v>
      </c>
      <c r="E5942" s="1">
        <v>8.9285714285714204E-5</v>
      </c>
      <c r="F5942" s="1">
        <v>6.1311435447250302E-3</v>
      </c>
    </row>
    <row r="5943" spans="1:6" x14ac:dyDescent="0.25">
      <c r="A5943" s="2" t="str">
        <f t="shared" si="218"/>
        <v>20500</v>
      </c>
      <c r="B5943" s="2" t="str">
        <f>"27707"</f>
        <v>27707</v>
      </c>
      <c r="C5943" s="1">
        <v>7.0363735345504205E-2</v>
      </c>
      <c r="D5943" s="1">
        <v>7.3854552544355606E-2</v>
      </c>
      <c r="E5943" s="1">
        <v>0.10339285714285699</v>
      </c>
      <c r="F5943" s="1">
        <v>7.1666066685752594E-2</v>
      </c>
    </row>
    <row r="5944" spans="1:6" x14ac:dyDescent="0.25">
      <c r="A5944" s="2" t="str">
        <f t="shared" si="218"/>
        <v>20500</v>
      </c>
      <c r="B5944" s="2" t="str">
        <f>"27305"</f>
        <v>27305</v>
      </c>
      <c r="C5944" s="1">
        <v>7.27977109867571E-5</v>
      </c>
      <c r="D5944" s="1">
        <v>0</v>
      </c>
      <c r="E5944" s="1">
        <v>0</v>
      </c>
      <c r="F5944" s="1">
        <v>6.5194776481126101E-5</v>
      </c>
    </row>
    <row r="5945" spans="1:6" x14ac:dyDescent="0.25">
      <c r="A5945" s="2" t="str">
        <f t="shared" si="218"/>
        <v>20500</v>
      </c>
      <c r="B5945" s="2" t="str">
        <f>"27330"</f>
        <v>27330</v>
      </c>
      <c r="C5945" s="1">
        <v>1.50026586990099E-3</v>
      </c>
      <c r="D5945" s="1">
        <v>5.0692142717878705E-4</v>
      </c>
      <c r="E5945" s="1">
        <v>4.4642857142857098E-4</v>
      </c>
      <c r="F5945" s="1">
        <v>1.39460130559626E-3</v>
      </c>
    </row>
    <row r="5946" spans="1:6" x14ac:dyDescent="0.25">
      <c r="A5946" s="2" t="str">
        <f t="shared" si="218"/>
        <v>20500</v>
      </c>
      <c r="B5946" s="2" t="str">
        <f>"27704"</f>
        <v>27704</v>
      </c>
      <c r="C5946" s="1">
        <v>5.4440027346618299E-2</v>
      </c>
      <c r="D5946" s="1">
        <v>5.2173913043478203E-2</v>
      </c>
      <c r="E5946" s="1">
        <v>6.2767857142857097E-2</v>
      </c>
      <c r="F5946" s="1">
        <v>5.4539682359710698E-2</v>
      </c>
    </row>
    <row r="5947" spans="1:6" x14ac:dyDescent="0.25">
      <c r="A5947" s="2" t="str">
        <f t="shared" si="218"/>
        <v>20500</v>
      </c>
      <c r="B5947" s="2" t="str">
        <f>"27703"</f>
        <v>27703</v>
      </c>
      <c r="C5947" s="1">
        <v>8.6069050211429798E-2</v>
      </c>
      <c r="D5947" s="1">
        <v>7.2762721778124304E-2</v>
      </c>
      <c r="E5947" s="1">
        <v>9.9821428571428505E-2</v>
      </c>
      <c r="F5947" s="1">
        <v>8.5538381298736602E-2</v>
      </c>
    </row>
    <row r="5948" spans="1:6" x14ac:dyDescent="0.25">
      <c r="A5948" s="2" t="str">
        <f t="shared" si="218"/>
        <v>20500</v>
      </c>
      <c r="B5948" s="2" t="str">
        <f>"27573"</f>
        <v>27573</v>
      </c>
      <c r="C5948" s="1">
        <v>1.8003190438811899E-2</v>
      </c>
      <c r="D5948" s="1">
        <v>3.6576330668746299E-2</v>
      </c>
      <c r="E5948" s="1">
        <v>2.2232142857142801E-2</v>
      </c>
      <c r="F5948" s="1">
        <v>1.9487569056858299E-2</v>
      </c>
    </row>
    <row r="5949" spans="1:6" x14ac:dyDescent="0.25">
      <c r="A5949" s="2" t="str">
        <f t="shared" si="218"/>
        <v>20500</v>
      </c>
      <c r="B5949" s="2" t="str">
        <f>"27559"</f>
        <v>27559</v>
      </c>
      <c r="C5949" s="1">
        <v>3.6588762565517899E-3</v>
      </c>
      <c r="D5949" s="1">
        <v>1.3257945018522099E-3</v>
      </c>
      <c r="E5949" s="1">
        <v>6.2500000000000001E-4</v>
      </c>
      <c r="F5949" s="1">
        <v>3.3929629325177299E-3</v>
      </c>
    </row>
    <row r="5950" spans="1:6" x14ac:dyDescent="0.25">
      <c r="A5950" s="2" t="str">
        <f t="shared" si="218"/>
        <v>20500</v>
      </c>
      <c r="B5950" s="2" t="str">
        <f>"27515"</f>
        <v>27515</v>
      </c>
      <c r="C5950" s="1">
        <v>4.9280885220165504E-3</v>
      </c>
      <c r="D5950" s="1">
        <v>2.3435367518034701E-2</v>
      </c>
      <c r="E5950" s="1">
        <v>8.9285714285714204E-5</v>
      </c>
      <c r="F5950" s="1">
        <v>6.1198053227283101E-3</v>
      </c>
    </row>
    <row r="5951" spans="1:6" x14ac:dyDescent="0.25">
      <c r="A5951" s="2" t="str">
        <f t="shared" si="218"/>
        <v>20500</v>
      </c>
      <c r="B5951" s="2" t="str">
        <f>"27302"</f>
        <v>27302</v>
      </c>
      <c r="C5951" s="1">
        <v>1.23851062213556E-2</v>
      </c>
      <c r="D5951" s="1">
        <v>5.1082082277246997E-3</v>
      </c>
      <c r="E5951" s="1">
        <v>5.2678571428571401E-3</v>
      </c>
      <c r="F5951" s="1">
        <v>1.1630181213133001E-2</v>
      </c>
    </row>
    <row r="5952" spans="1:6" x14ac:dyDescent="0.25">
      <c r="A5952" s="2" t="str">
        <f t="shared" si="218"/>
        <v>20500</v>
      </c>
      <c r="B5952" s="2" t="str">
        <f>"27312"</f>
        <v>27312</v>
      </c>
      <c r="C5952" s="1">
        <v>3.70318790671764E-2</v>
      </c>
      <c r="D5952" s="1">
        <v>3.91109378046402E-2</v>
      </c>
      <c r="E5952" s="1">
        <v>1.4910714285714201E-2</v>
      </c>
      <c r="F5952" s="1">
        <v>3.6480729274438801E-2</v>
      </c>
    </row>
    <row r="5953" spans="1:6" x14ac:dyDescent="0.25">
      <c r="A5953" s="2" t="str">
        <f t="shared" si="218"/>
        <v>20500</v>
      </c>
      <c r="B5953" s="2" t="str">
        <f>"27231"</f>
        <v>27231</v>
      </c>
      <c r="C5953" s="1">
        <v>3.4563087129364598E-3</v>
      </c>
      <c r="D5953" s="1">
        <v>1.2478065899785499E-3</v>
      </c>
      <c r="E5953" s="1">
        <v>8.9285714285714204E-5</v>
      </c>
      <c r="F5953" s="1">
        <v>3.18887493657682E-3</v>
      </c>
    </row>
    <row r="5954" spans="1:6" x14ac:dyDescent="0.25">
      <c r="A5954" s="2" t="str">
        <f t="shared" ref="A5954:A5967" si="219">"47820"</f>
        <v>47820</v>
      </c>
      <c r="B5954" s="2" t="str">
        <f>"27871"</f>
        <v>27871</v>
      </c>
      <c r="C5954" s="1">
        <v>2.4188671638782501E-4</v>
      </c>
      <c r="D5954" s="1">
        <v>0</v>
      </c>
      <c r="E5954" s="1">
        <v>0</v>
      </c>
      <c r="F5954" s="1">
        <v>2.2218107757822599E-4</v>
      </c>
    </row>
    <row r="5955" spans="1:6" x14ac:dyDescent="0.25">
      <c r="A5955" s="2" t="str">
        <f t="shared" si="219"/>
        <v>47820</v>
      </c>
      <c r="B5955" s="2" t="str">
        <f>"27817"</f>
        <v>27817</v>
      </c>
      <c r="C5955" s="1">
        <v>0.14573674662366401</v>
      </c>
      <c r="D5955" s="1">
        <v>6.0574948665297702E-2</v>
      </c>
      <c r="E5955" s="1">
        <v>7.9365079365079309E-3</v>
      </c>
      <c r="F5955" s="1">
        <v>0.13830772079244499</v>
      </c>
    </row>
    <row r="5956" spans="1:6" x14ac:dyDescent="0.25">
      <c r="A5956" s="2" t="str">
        <f t="shared" si="219"/>
        <v>47820</v>
      </c>
      <c r="B5956" s="2" t="str">
        <f>"27865"</f>
        <v>27865</v>
      </c>
      <c r="C5956" s="1">
        <v>3.82987300947389E-2</v>
      </c>
      <c r="D5956" s="1">
        <v>2.1560574948665201E-2</v>
      </c>
      <c r="E5956" s="1">
        <v>0</v>
      </c>
      <c r="F5956" s="1">
        <v>3.6733938159600001E-2</v>
      </c>
    </row>
    <row r="5957" spans="1:6" x14ac:dyDescent="0.25">
      <c r="A5957" s="2" t="str">
        <f t="shared" si="219"/>
        <v>47820</v>
      </c>
      <c r="B5957" s="2" t="str">
        <f>"27808"</f>
        <v>27808</v>
      </c>
      <c r="C5957" s="1">
        <v>5.6843378351138799E-2</v>
      </c>
      <c r="D5957" s="1">
        <v>1.5913757700205301E-2</v>
      </c>
      <c r="E5957" s="1">
        <v>0.226190476190476</v>
      </c>
      <c r="F5957" s="1">
        <v>5.5471209035363803E-2</v>
      </c>
    </row>
    <row r="5958" spans="1:6" x14ac:dyDescent="0.25">
      <c r="A5958" s="2" t="str">
        <f t="shared" si="219"/>
        <v>47820</v>
      </c>
      <c r="B5958" s="2" t="str">
        <f>"28586"</f>
        <v>28586</v>
      </c>
      <c r="C5958" s="1">
        <v>9.1513807700060405E-3</v>
      </c>
      <c r="D5958" s="1">
        <v>6.67351129363449E-3</v>
      </c>
      <c r="E5958" s="1">
        <v>0</v>
      </c>
      <c r="F5958" s="1">
        <v>8.88724310312905E-3</v>
      </c>
    </row>
    <row r="5959" spans="1:6" x14ac:dyDescent="0.25">
      <c r="A5959" s="2" t="str">
        <f t="shared" si="219"/>
        <v>47820</v>
      </c>
      <c r="B5959" s="2" t="str">
        <f>"27860"</f>
        <v>27860</v>
      </c>
      <c r="C5959" s="1">
        <v>3.1404958677685897E-2</v>
      </c>
      <c r="D5959" s="1">
        <v>2.2073921971252498E-2</v>
      </c>
      <c r="E5959" s="1">
        <v>3.9682539682539602E-3</v>
      </c>
      <c r="F5959" s="1">
        <v>3.0475837807813301E-2</v>
      </c>
    </row>
    <row r="5960" spans="1:6" x14ac:dyDescent="0.25">
      <c r="A5960" s="2" t="str">
        <f t="shared" si="219"/>
        <v>47820</v>
      </c>
      <c r="B5960" s="2" t="str">
        <f>"27821"</f>
        <v>27821</v>
      </c>
      <c r="C5960" s="1">
        <v>6.8534569643216997E-3</v>
      </c>
      <c r="D5960" s="1">
        <v>3.5934291581108798E-3</v>
      </c>
      <c r="E5960" s="1">
        <v>0</v>
      </c>
      <c r="F5960" s="1">
        <v>6.5543417885576697E-3</v>
      </c>
    </row>
    <row r="5961" spans="1:6" x14ac:dyDescent="0.25">
      <c r="A5961" s="2" t="str">
        <f t="shared" si="219"/>
        <v>47820</v>
      </c>
      <c r="B5961" s="2" t="str">
        <f>"27814"</f>
        <v>27814</v>
      </c>
      <c r="C5961" s="1">
        <v>4.1281999596855398E-2</v>
      </c>
      <c r="D5961" s="1">
        <v>8.2135523613963007E-3</v>
      </c>
      <c r="E5961" s="1">
        <v>0</v>
      </c>
      <c r="F5961" s="1">
        <v>3.8511386780225802E-2</v>
      </c>
    </row>
    <row r="5962" spans="1:6" x14ac:dyDescent="0.25">
      <c r="A5962" s="2" t="str">
        <f t="shared" si="219"/>
        <v>47820</v>
      </c>
      <c r="B5962" s="2" t="str">
        <f>"27889"</f>
        <v>27889</v>
      </c>
      <c r="C5962" s="1">
        <v>0.50606732513606101</v>
      </c>
      <c r="D5962" s="1">
        <v>0.72792607802874698</v>
      </c>
      <c r="E5962" s="1">
        <v>0.71428571428571397</v>
      </c>
      <c r="F5962" s="1">
        <v>0.52401407146824597</v>
      </c>
    </row>
    <row r="5963" spans="1:6" x14ac:dyDescent="0.25">
      <c r="A5963" s="2" t="str">
        <f t="shared" si="219"/>
        <v>47820</v>
      </c>
      <c r="B5963" s="2" t="str">
        <f>"27810"</f>
        <v>27810</v>
      </c>
      <c r="C5963" s="1">
        <v>0.100907075186454</v>
      </c>
      <c r="D5963" s="1">
        <v>0.110369609856262</v>
      </c>
      <c r="E5963" s="1">
        <v>3.5714285714285698E-2</v>
      </c>
      <c r="F5963" s="1">
        <v>0.10098129975930301</v>
      </c>
    </row>
    <row r="5964" spans="1:6" x14ac:dyDescent="0.25">
      <c r="A5964" s="2" t="str">
        <f t="shared" si="219"/>
        <v>47820</v>
      </c>
      <c r="B5964" s="2" t="str">
        <f>"27837"</f>
        <v>27837</v>
      </c>
      <c r="C5964" s="1">
        <v>6.5712557952025798E-3</v>
      </c>
      <c r="D5964" s="1">
        <v>5.1334702258726804E-4</v>
      </c>
      <c r="E5964" s="1">
        <v>0</v>
      </c>
      <c r="F5964" s="1">
        <v>6.0729494538048498E-3</v>
      </c>
    </row>
    <row r="5965" spans="1:6" x14ac:dyDescent="0.25">
      <c r="A5965" s="2" t="str">
        <f t="shared" si="219"/>
        <v>47820</v>
      </c>
      <c r="B5965" s="2" t="str">
        <f>"27834"</f>
        <v>27834</v>
      </c>
      <c r="C5965" s="1">
        <v>9.2723241281999504E-4</v>
      </c>
      <c r="D5965" s="1">
        <v>5.1334702258726804E-4</v>
      </c>
      <c r="E5965" s="1">
        <v>0</v>
      </c>
      <c r="F5965" s="1">
        <v>8.8872431031290495E-4</v>
      </c>
    </row>
    <row r="5966" spans="1:6" x14ac:dyDescent="0.25">
      <c r="A5966" s="2" t="str">
        <f t="shared" si="219"/>
        <v>47820</v>
      </c>
      <c r="B5966" s="2" t="str">
        <f>"27962"</f>
        <v>27962</v>
      </c>
      <c r="C5966" s="1">
        <v>7.1759725861721404E-3</v>
      </c>
      <c r="D5966" s="1">
        <v>2.05338809034907E-3</v>
      </c>
      <c r="E5966" s="1">
        <v>3.9682539682539602E-3</v>
      </c>
      <c r="F5966" s="1">
        <v>6.7765228661359001E-3</v>
      </c>
    </row>
    <row r="5967" spans="1:6" x14ac:dyDescent="0.25">
      <c r="A5967" s="2" t="str">
        <f t="shared" si="219"/>
        <v>47820</v>
      </c>
      <c r="B5967" s="2" t="str">
        <f>"27806"</f>
        <v>27806</v>
      </c>
      <c r="C5967" s="1">
        <v>4.8538601088490202E-2</v>
      </c>
      <c r="D5967" s="1">
        <v>2.0020533880903399E-2</v>
      </c>
      <c r="E5967" s="1">
        <v>7.9365079365079309E-3</v>
      </c>
      <c r="F5967" s="1">
        <v>4.6102573597481898E-2</v>
      </c>
    </row>
    <row r="5968" spans="1:6" x14ac:dyDescent="0.25">
      <c r="A5968" s="2" t="str">
        <f t="shared" ref="A5968:A5980" si="220">"10620"</f>
        <v>10620</v>
      </c>
      <c r="B5968" s="2" t="str">
        <f>"28163"</f>
        <v>28163</v>
      </c>
      <c r="C5968" s="1">
        <v>7.2463768115942004E-2</v>
      </c>
      <c r="D5968" s="1">
        <v>1.19194410193177E-2</v>
      </c>
      <c r="E5968" s="1">
        <v>1.4306151645207399E-2</v>
      </c>
      <c r="F5968" s="1">
        <v>6.6685113447703295E-2</v>
      </c>
    </row>
    <row r="5969" spans="1:6" x14ac:dyDescent="0.25">
      <c r="A5969" s="2" t="str">
        <f t="shared" si="220"/>
        <v>10620</v>
      </c>
      <c r="B5969" s="2" t="str">
        <f>"28002"</f>
        <v>28002</v>
      </c>
      <c r="C5969" s="1">
        <v>6.6169966659862495E-2</v>
      </c>
      <c r="D5969" s="1">
        <v>0.178791615289765</v>
      </c>
      <c r="E5969" s="1">
        <v>2.86123032904148E-3</v>
      </c>
      <c r="F5969" s="1">
        <v>7.3233720715735098E-2</v>
      </c>
    </row>
    <row r="5970" spans="1:6" x14ac:dyDescent="0.25">
      <c r="A5970" s="2" t="str">
        <f t="shared" si="220"/>
        <v>10620</v>
      </c>
      <c r="B5970" s="2" t="str">
        <f>"28137"</f>
        <v>28137</v>
      </c>
      <c r="C5970" s="1">
        <v>2.9291692182077899E-2</v>
      </c>
      <c r="D5970" s="1">
        <v>2.1783806000822001E-2</v>
      </c>
      <c r="E5970" s="1">
        <v>1.4306151645207399E-2</v>
      </c>
      <c r="F5970" s="1">
        <v>2.8408042796532001E-2</v>
      </c>
    </row>
    <row r="5971" spans="1:6" x14ac:dyDescent="0.25">
      <c r="A5971" s="2" t="str">
        <f t="shared" si="220"/>
        <v>10620</v>
      </c>
      <c r="B5971" s="2" t="str">
        <f>"28127"</f>
        <v>28127</v>
      </c>
      <c r="C5971" s="1">
        <v>7.1885418792950906E-2</v>
      </c>
      <c r="D5971" s="1">
        <v>3.28812166050143E-2</v>
      </c>
      <c r="E5971" s="1">
        <v>3.0042918454935601E-2</v>
      </c>
      <c r="F5971" s="1">
        <v>6.8068622025456493E-2</v>
      </c>
    </row>
    <row r="5972" spans="1:6" x14ac:dyDescent="0.25">
      <c r="A5972" s="2" t="str">
        <f t="shared" si="220"/>
        <v>10620</v>
      </c>
      <c r="B5972" s="2" t="str">
        <f>"28097"</f>
        <v>28097</v>
      </c>
      <c r="C5972" s="1">
        <v>9.1821460161937804E-2</v>
      </c>
      <c r="D5972" s="1">
        <v>9.8232634607480399E-2</v>
      </c>
      <c r="E5972" s="1">
        <v>0.12160228898426299</v>
      </c>
      <c r="F5972" s="1">
        <v>9.2941031789952597E-2</v>
      </c>
    </row>
    <row r="5973" spans="1:6" x14ac:dyDescent="0.25">
      <c r="A5973" s="2" t="str">
        <f t="shared" si="220"/>
        <v>10620</v>
      </c>
      <c r="B5973" s="2" t="str">
        <f>"28107"</f>
        <v>28107</v>
      </c>
      <c r="C5973" s="1">
        <v>1.5649452269170499E-3</v>
      </c>
      <c r="D5973" s="1">
        <v>0</v>
      </c>
      <c r="E5973" s="1">
        <v>0</v>
      </c>
      <c r="F5973" s="1">
        <v>1.41425321281436E-3</v>
      </c>
    </row>
    <row r="5974" spans="1:6" x14ac:dyDescent="0.25">
      <c r="A5974" s="2" t="str">
        <f t="shared" si="220"/>
        <v>10620</v>
      </c>
      <c r="B5974" s="2" t="str">
        <f>"28128"</f>
        <v>28128</v>
      </c>
      <c r="C5974" s="1">
        <v>0.119344083826631</v>
      </c>
      <c r="D5974" s="1">
        <v>5.9597205096588501E-2</v>
      </c>
      <c r="E5974" s="1">
        <v>0.11731044349070099</v>
      </c>
      <c r="F5974" s="1">
        <v>0.11483121195351401</v>
      </c>
    </row>
    <row r="5975" spans="1:6" x14ac:dyDescent="0.25">
      <c r="A5975" s="2" t="str">
        <f t="shared" si="220"/>
        <v>10620</v>
      </c>
      <c r="B5975" s="2" t="str">
        <f>"28124"</f>
        <v>28124</v>
      </c>
      <c r="C5975" s="1">
        <v>1.05123494590732E-2</v>
      </c>
      <c r="D5975" s="1">
        <v>2.8771064529387498E-3</v>
      </c>
      <c r="E5975" s="1">
        <v>2.86123032904148E-3</v>
      </c>
      <c r="F5975" s="1">
        <v>9.7767939494558097E-3</v>
      </c>
    </row>
    <row r="5976" spans="1:6" x14ac:dyDescent="0.25">
      <c r="A5976" s="2" t="str">
        <f t="shared" si="220"/>
        <v>10620</v>
      </c>
      <c r="B5976" s="2" t="str">
        <f>"28009"</f>
        <v>28009</v>
      </c>
      <c r="C5976" s="1">
        <v>0</v>
      </c>
      <c r="D5976" s="1">
        <v>0</v>
      </c>
      <c r="E5976" s="1">
        <v>1.43061516452074E-3</v>
      </c>
      <c r="F5976" s="1">
        <v>3.0744635061181799E-5</v>
      </c>
    </row>
    <row r="5977" spans="1:6" x14ac:dyDescent="0.25">
      <c r="A5977" s="2" t="str">
        <f t="shared" si="220"/>
        <v>10620</v>
      </c>
      <c r="B5977" s="2" t="str">
        <f>"28071"</f>
        <v>28071</v>
      </c>
      <c r="C5977" s="1">
        <v>3.4020548411240301E-3</v>
      </c>
      <c r="D5977" s="1">
        <v>4.1101520756267899E-4</v>
      </c>
      <c r="E5977" s="1">
        <v>1.43061516452074E-3</v>
      </c>
      <c r="F5977" s="1">
        <v>3.1359527762405402E-3</v>
      </c>
    </row>
    <row r="5978" spans="1:6" x14ac:dyDescent="0.25">
      <c r="A5978" s="2" t="str">
        <f t="shared" si="220"/>
        <v>10620</v>
      </c>
      <c r="B5978" s="2" t="str">
        <f>"28129"</f>
        <v>28129</v>
      </c>
      <c r="C5978" s="1">
        <v>9.6142069810165307E-2</v>
      </c>
      <c r="D5978" s="1">
        <v>2.50719276613234E-2</v>
      </c>
      <c r="E5978" s="1">
        <v>2.86123032904148E-3</v>
      </c>
      <c r="F5978" s="1">
        <v>8.88212506917542E-2</v>
      </c>
    </row>
    <row r="5979" spans="1:6" x14ac:dyDescent="0.25">
      <c r="A5979" s="2" t="str">
        <f t="shared" si="220"/>
        <v>10620</v>
      </c>
      <c r="B5979" s="2" t="str">
        <f>"28109"</f>
        <v>28109</v>
      </c>
      <c r="C5979" s="1">
        <v>0</v>
      </c>
      <c r="D5979" s="1">
        <v>4.1101520756267899E-4</v>
      </c>
      <c r="E5979" s="1">
        <v>0</v>
      </c>
      <c r="F5979" s="1">
        <v>3.0744635061181799E-5</v>
      </c>
    </row>
    <row r="5980" spans="1:6" x14ac:dyDescent="0.25">
      <c r="A5980" s="2" t="str">
        <f t="shared" si="220"/>
        <v>10620</v>
      </c>
      <c r="B5980" s="2" t="str">
        <f>"28001"</f>
        <v>28001</v>
      </c>
      <c r="C5980" s="1">
        <v>0.437402190923317</v>
      </c>
      <c r="D5980" s="1">
        <v>0.56802301685162304</v>
      </c>
      <c r="E5980" s="1">
        <v>0.69098712446351895</v>
      </c>
      <c r="F5980" s="1">
        <v>0.45262251737071801</v>
      </c>
    </row>
    <row r="5981" spans="1:6" x14ac:dyDescent="0.25">
      <c r="A5981" s="2" t="str">
        <f t="shared" ref="A5981:A5989" si="221">"21020"</f>
        <v>21020</v>
      </c>
      <c r="B5981" s="2" t="str">
        <f>"27985"</f>
        <v>27985</v>
      </c>
      <c r="C5981" s="1">
        <v>0</v>
      </c>
      <c r="D5981" s="1">
        <v>3.5829451809387297E-4</v>
      </c>
      <c r="E5981" s="1">
        <v>1.41242937853107E-3</v>
      </c>
      <c r="F5981" s="1">
        <v>6.4366632337796003E-5</v>
      </c>
    </row>
    <row r="5982" spans="1:6" x14ac:dyDescent="0.25">
      <c r="A5982" s="2" t="str">
        <f t="shared" si="221"/>
        <v>21020</v>
      </c>
      <c r="B5982" s="2" t="str">
        <f>"27907"</f>
        <v>27907</v>
      </c>
      <c r="C5982" s="1">
        <v>1.3745330577013701E-2</v>
      </c>
      <c r="D5982" s="1">
        <v>4.2995342171264703E-2</v>
      </c>
      <c r="E5982" s="1">
        <v>1.41242937853107E-3</v>
      </c>
      <c r="F5982" s="1">
        <v>1.6091658084449002E-2</v>
      </c>
    </row>
    <row r="5983" spans="1:6" x14ac:dyDescent="0.25">
      <c r="A5983" s="2" t="str">
        <f t="shared" si="221"/>
        <v>21020</v>
      </c>
      <c r="B5983" s="2" t="str">
        <f>"27919"</f>
        <v>27919</v>
      </c>
      <c r="C5983" s="1">
        <v>1.8605157219018599E-2</v>
      </c>
      <c r="D5983" s="1">
        <v>4.2995342171264703E-3</v>
      </c>
      <c r="E5983" s="1">
        <v>1.41242937853107E-3</v>
      </c>
      <c r="F5983" s="1">
        <v>1.69284243048403E-2</v>
      </c>
    </row>
    <row r="5984" spans="1:6" x14ac:dyDescent="0.25">
      <c r="A5984" s="2" t="str">
        <f t="shared" si="221"/>
        <v>21020</v>
      </c>
      <c r="B5984" s="2" t="str">
        <f>"27932"</f>
        <v>27932</v>
      </c>
      <c r="C5984" s="1">
        <v>4.6059551010045998E-3</v>
      </c>
      <c r="D5984" s="1">
        <v>2.1497671085632299E-3</v>
      </c>
      <c r="E5984" s="1">
        <v>1.41242937853107E-3</v>
      </c>
      <c r="F5984" s="1">
        <v>4.31256436663233E-3</v>
      </c>
    </row>
    <row r="5985" spans="1:6" x14ac:dyDescent="0.25">
      <c r="A5985" s="2" t="str">
        <f t="shared" si="221"/>
        <v>21020</v>
      </c>
      <c r="B5985" s="2" t="str">
        <f>"27909"</f>
        <v>27909</v>
      </c>
      <c r="C5985" s="1">
        <v>0.67479055597867399</v>
      </c>
      <c r="D5985" s="1">
        <v>0.69473307058402001</v>
      </c>
      <c r="E5985" s="1">
        <v>0.90819209039547999</v>
      </c>
      <c r="F5985" s="1">
        <v>0.68190010298661097</v>
      </c>
    </row>
    <row r="5986" spans="1:6" x14ac:dyDescent="0.25">
      <c r="A5986" s="2" t="str">
        <f t="shared" si="221"/>
        <v>21020</v>
      </c>
      <c r="B5986" s="2" t="str">
        <f>"27906"</f>
        <v>27906</v>
      </c>
      <c r="C5986" s="1">
        <v>4.9251078954049198E-2</v>
      </c>
      <c r="D5986" s="1">
        <v>0.116445718380508</v>
      </c>
      <c r="E5986" s="1">
        <v>1.41242937853107E-3</v>
      </c>
      <c r="F5986" s="1">
        <v>5.4196704428424301E-2</v>
      </c>
    </row>
    <row r="5987" spans="1:6" x14ac:dyDescent="0.25">
      <c r="A5987" s="2" t="str">
        <f t="shared" si="221"/>
        <v>21020</v>
      </c>
      <c r="B5987" s="2" t="str">
        <f>"27944"</f>
        <v>27944</v>
      </c>
      <c r="C5987" s="1">
        <v>0.233851956624233</v>
      </c>
      <c r="D5987" s="1">
        <v>0.138659978502328</v>
      </c>
      <c r="E5987" s="1">
        <v>8.4745762711864403E-2</v>
      </c>
      <c r="F5987" s="1">
        <v>0.221903964984552</v>
      </c>
    </row>
    <row r="5988" spans="1:6" x14ac:dyDescent="0.25">
      <c r="A5988" s="2" t="str">
        <f t="shared" si="221"/>
        <v>21020</v>
      </c>
      <c r="B5988" s="2" t="str">
        <f>"27946"</f>
        <v>27946</v>
      </c>
      <c r="C5988" s="1">
        <v>3.6267363000036202E-5</v>
      </c>
      <c r="D5988" s="1">
        <v>0</v>
      </c>
      <c r="E5988" s="1">
        <v>0</v>
      </c>
      <c r="F5988" s="1">
        <v>3.2183316168898001E-5</v>
      </c>
    </row>
    <row r="5989" spans="1:6" x14ac:dyDescent="0.25">
      <c r="A5989" s="2" t="str">
        <f t="shared" si="221"/>
        <v>21020</v>
      </c>
      <c r="B5989" s="2" t="str">
        <f>"27980"</f>
        <v>27980</v>
      </c>
      <c r="C5989" s="1">
        <v>5.1136981830051101E-3</v>
      </c>
      <c r="D5989" s="1">
        <v>3.5829451809387297E-4</v>
      </c>
      <c r="E5989" s="1">
        <v>0</v>
      </c>
      <c r="F5989" s="1">
        <v>4.5700308959835201E-3</v>
      </c>
    </row>
    <row r="5990" spans="1:6" x14ac:dyDescent="0.25">
      <c r="A5990" s="2" t="str">
        <f t="shared" ref="A5990:A5999" si="222">"46420"</f>
        <v>46420</v>
      </c>
      <c r="B5990" s="2" t="str">
        <f>"29353"</f>
        <v>29353</v>
      </c>
      <c r="C5990" s="1">
        <v>0.134469957376598</v>
      </c>
      <c r="D5990" s="1">
        <v>6.9981583793738394E-2</v>
      </c>
      <c r="E5990" s="1">
        <v>9.1304347826086901E-2</v>
      </c>
      <c r="F5990" s="1">
        <v>0.12942882360357999</v>
      </c>
    </row>
    <row r="5991" spans="1:6" x14ac:dyDescent="0.25">
      <c r="A5991" s="2" t="str">
        <f t="shared" si="222"/>
        <v>46420</v>
      </c>
      <c r="B5991" s="2" t="str">
        <f>"29321"</f>
        <v>29321</v>
      </c>
      <c r="C5991" s="1">
        <v>9.2396535129932594E-2</v>
      </c>
      <c r="D5991" s="1">
        <v>3.5911602209944701E-2</v>
      </c>
      <c r="E5991" s="1">
        <v>4.3478260869565202E-2</v>
      </c>
      <c r="F5991" s="1">
        <v>8.7819947043247998E-2</v>
      </c>
    </row>
    <row r="5992" spans="1:6" x14ac:dyDescent="0.25">
      <c r="A5992" s="2" t="str">
        <f t="shared" si="222"/>
        <v>46420</v>
      </c>
      <c r="B5992" s="2" t="str">
        <f>"29372"</f>
        <v>29372</v>
      </c>
      <c r="C5992" s="1">
        <v>2.07617214354461E-2</v>
      </c>
      <c r="D5992" s="1">
        <v>9.2081031307550605E-4</v>
      </c>
      <c r="E5992" s="1">
        <v>8.6956521739130401E-3</v>
      </c>
      <c r="F5992" s="1">
        <v>1.9228344471062898E-2</v>
      </c>
    </row>
    <row r="5993" spans="1:6" x14ac:dyDescent="0.25">
      <c r="A5993" s="2" t="str">
        <f t="shared" si="222"/>
        <v>46420</v>
      </c>
      <c r="B5993" s="2" t="str">
        <f>"29379"</f>
        <v>29379</v>
      </c>
      <c r="C5993" s="1">
        <v>0.68685549291901504</v>
      </c>
      <c r="D5993" s="1">
        <v>0.85911602209944704</v>
      </c>
      <c r="E5993" s="1">
        <v>0.83478260869565202</v>
      </c>
      <c r="F5993" s="1">
        <v>0.70079435127978795</v>
      </c>
    </row>
    <row r="5994" spans="1:6" x14ac:dyDescent="0.25">
      <c r="A5994" s="2" t="str">
        <f t="shared" si="222"/>
        <v>46420</v>
      </c>
      <c r="B5994" s="2" t="str">
        <f>"29178"</f>
        <v>29178</v>
      </c>
      <c r="C5994" s="1">
        <v>2.3717860580228199E-2</v>
      </c>
      <c r="D5994" s="1">
        <v>1.5653775322283601E-2</v>
      </c>
      <c r="E5994" s="1">
        <v>8.6956521739130401E-3</v>
      </c>
      <c r="F5994" s="1">
        <v>2.29479258605472E-2</v>
      </c>
    </row>
    <row r="5995" spans="1:6" x14ac:dyDescent="0.25">
      <c r="A5995" s="2" t="str">
        <f t="shared" si="222"/>
        <v>46420</v>
      </c>
      <c r="B5995" s="2" t="str">
        <f>"29335"</f>
        <v>29335</v>
      </c>
      <c r="C5995" s="1">
        <v>1.0449608139694699E-2</v>
      </c>
      <c r="D5995" s="1">
        <v>0</v>
      </c>
      <c r="E5995" s="1">
        <v>4.3478260869565201E-3</v>
      </c>
      <c r="F5995" s="1">
        <v>9.6456941117135202E-3</v>
      </c>
    </row>
    <row r="5996" spans="1:6" x14ac:dyDescent="0.25">
      <c r="A5996" s="2" t="str">
        <f t="shared" si="222"/>
        <v>46420</v>
      </c>
      <c r="B5996" s="2" t="str">
        <f>"29364"</f>
        <v>29364</v>
      </c>
      <c r="C5996" s="1">
        <v>0</v>
      </c>
      <c r="D5996" s="1">
        <v>2.7624309392265101E-3</v>
      </c>
      <c r="E5996" s="1">
        <v>0</v>
      </c>
      <c r="F5996" s="1">
        <v>1.8913125709242199E-4</v>
      </c>
    </row>
    <row r="5997" spans="1:6" x14ac:dyDescent="0.25">
      <c r="A5997" s="2" t="str">
        <f t="shared" si="222"/>
        <v>46420</v>
      </c>
      <c r="B5997" s="2" t="str">
        <f>"29374"</f>
        <v>29374</v>
      </c>
      <c r="C5997" s="1">
        <v>6.2560153994225204E-3</v>
      </c>
      <c r="D5997" s="1">
        <v>4.60405156537753E-3</v>
      </c>
      <c r="E5997" s="1">
        <v>0</v>
      </c>
      <c r="F5997" s="1">
        <v>6.0522002269575003E-3</v>
      </c>
    </row>
    <row r="5998" spans="1:6" x14ac:dyDescent="0.25">
      <c r="A5998" s="2" t="str">
        <f t="shared" si="222"/>
        <v>46420</v>
      </c>
      <c r="B5998" s="2" t="str">
        <f>"29031"</f>
        <v>29031</v>
      </c>
      <c r="C5998" s="1">
        <v>2.50928090196617E-2</v>
      </c>
      <c r="D5998" s="1">
        <v>1.01289134438305E-2</v>
      </c>
      <c r="E5998" s="1">
        <v>8.6956521739130401E-3</v>
      </c>
      <c r="F5998" s="1">
        <v>2.3830538393645101E-2</v>
      </c>
    </row>
    <row r="5999" spans="1:6" x14ac:dyDescent="0.25">
      <c r="A5999" s="2" t="str">
        <f t="shared" si="222"/>
        <v>46420</v>
      </c>
      <c r="B5999" s="2" t="str">
        <f>"29395"</f>
        <v>29395</v>
      </c>
      <c r="C5999" s="1">
        <v>0</v>
      </c>
      <c r="D5999" s="1">
        <v>9.2081031307550605E-4</v>
      </c>
      <c r="E5999" s="1">
        <v>0</v>
      </c>
      <c r="F5999" s="1">
        <v>6.30437523641407E-5</v>
      </c>
    </row>
    <row r="6000" spans="1:6" x14ac:dyDescent="0.25">
      <c r="A6000" s="2" t="str">
        <f t="shared" ref="A6000:A6018" si="223">"43980"</f>
        <v>43980</v>
      </c>
      <c r="B6000" s="2" t="str">
        <f>"50585"</f>
        <v>50585</v>
      </c>
      <c r="C6000" s="1">
        <v>1.02669404517453E-2</v>
      </c>
      <c r="D6000" s="1">
        <v>1.5337423312883399E-3</v>
      </c>
      <c r="E6000" s="1">
        <v>0</v>
      </c>
      <c r="F6000" s="1">
        <v>8.7727231617979497E-3</v>
      </c>
    </row>
    <row r="6001" spans="1:6" x14ac:dyDescent="0.25">
      <c r="A6001" s="2" t="str">
        <f t="shared" si="223"/>
        <v>43980</v>
      </c>
      <c r="B6001" s="2" t="str">
        <f>"51033"</f>
        <v>51033</v>
      </c>
      <c r="C6001" s="1">
        <v>8.6458445909434693E-3</v>
      </c>
      <c r="D6001" s="1">
        <v>7.6687116564417104E-4</v>
      </c>
      <c r="E6001" s="1">
        <v>0</v>
      </c>
      <c r="F6001" s="1">
        <v>7.3256760423261198E-3</v>
      </c>
    </row>
    <row r="6002" spans="1:6" x14ac:dyDescent="0.25">
      <c r="A6002" s="2" t="str">
        <f t="shared" si="223"/>
        <v>43980</v>
      </c>
      <c r="B6002" s="2" t="str">
        <f>"51364"</f>
        <v>51364</v>
      </c>
      <c r="C6002" s="1">
        <v>1.5130228034151E-3</v>
      </c>
      <c r="D6002" s="1">
        <v>0</v>
      </c>
      <c r="E6002" s="1">
        <v>0</v>
      </c>
      <c r="F6002" s="1">
        <v>1.2661662295378399E-3</v>
      </c>
    </row>
    <row r="6003" spans="1:6" x14ac:dyDescent="0.25">
      <c r="A6003" s="2" t="str">
        <f t="shared" si="223"/>
        <v>43980</v>
      </c>
      <c r="B6003" s="2" t="str">
        <f>"51341"</f>
        <v>51341</v>
      </c>
      <c r="C6003" s="1">
        <v>8.6458445909434701E-4</v>
      </c>
      <c r="D6003" s="1">
        <v>0</v>
      </c>
      <c r="E6003" s="1">
        <v>2E-3</v>
      </c>
      <c r="F6003" s="1">
        <v>8.1396400470290303E-4</v>
      </c>
    </row>
    <row r="6004" spans="1:6" x14ac:dyDescent="0.25">
      <c r="A6004" s="2" t="str">
        <f t="shared" si="223"/>
        <v>43980</v>
      </c>
      <c r="B6004" s="2" t="str">
        <f>"51333"</f>
        <v>51333</v>
      </c>
      <c r="C6004" s="1">
        <v>2.52890954285096E-2</v>
      </c>
      <c r="D6004" s="1">
        <v>6.13496932515337E-3</v>
      </c>
      <c r="E6004" s="1">
        <v>2E-3</v>
      </c>
      <c r="F6004" s="1">
        <v>2.1977028126978299E-2</v>
      </c>
    </row>
    <row r="6005" spans="1:6" x14ac:dyDescent="0.25">
      <c r="A6005" s="2" t="str">
        <f t="shared" si="223"/>
        <v>43980</v>
      </c>
      <c r="B6005" s="2" t="str">
        <f>"51346"</f>
        <v>51346</v>
      </c>
      <c r="C6005" s="1">
        <v>3.2421917216037999E-3</v>
      </c>
      <c r="D6005" s="1">
        <v>0</v>
      </c>
      <c r="E6005" s="1">
        <v>2E-3</v>
      </c>
      <c r="F6005" s="1">
        <v>2.8036537939766602E-3</v>
      </c>
    </row>
    <row r="6006" spans="1:6" x14ac:dyDescent="0.25">
      <c r="A6006" s="2" t="str">
        <f t="shared" si="223"/>
        <v>43980</v>
      </c>
      <c r="B6006" s="2" t="str">
        <f>"51357"</f>
        <v>51357</v>
      </c>
      <c r="C6006" s="1">
        <v>2.95039446665946E-2</v>
      </c>
      <c r="D6006" s="1">
        <v>3.8343558282208502E-3</v>
      </c>
      <c r="E6006" s="1">
        <v>6.0000000000000001E-3</v>
      </c>
      <c r="F6006" s="1">
        <v>2.5413765035723901E-2</v>
      </c>
    </row>
    <row r="6007" spans="1:6" x14ac:dyDescent="0.25">
      <c r="A6007" s="2" t="str">
        <f t="shared" si="223"/>
        <v>43980</v>
      </c>
      <c r="B6007" s="2" t="str">
        <f>"51358"</f>
        <v>51358</v>
      </c>
      <c r="C6007" s="1">
        <v>9.8346482221982005E-3</v>
      </c>
      <c r="D6007" s="1">
        <v>1.5337423312883399E-3</v>
      </c>
      <c r="E6007" s="1">
        <v>4.0000000000000001E-3</v>
      </c>
      <c r="F6007" s="1">
        <v>8.5918422718639694E-3</v>
      </c>
    </row>
    <row r="6008" spans="1:6" x14ac:dyDescent="0.25">
      <c r="A6008" s="2" t="str">
        <f t="shared" si="223"/>
        <v>43980</v>
      </c>
      <c r="B6008" s="2" t="str">
        <f>"50565"</f>
        <v>50565</v>
      </c>
      <c r="C6008" s="1">
        <v>1.08073057386793E-4</v>
      </c>
      <c r="D6008" s="1">
        <v>0</v>
      </c>
      <c r="E6008" s="1">
        <v>0</v>
      </c>
      <c r="F6008" s="1">
        <v>9.0440444966989194E-5</v>
      </c>
    </row>
    <row r="6009" spans="1:6" x14ac:dyDescent="0.25">
      <c r="A6009" s="2" t="str">
        <f t="shared" si="223"/>
        <v>43980</v>
      </c>
      <c r="B6009" s="2" t="str">
        <f>"51047"</f>
        <v>51047</v>
      </c>
      <c r="C6009" s="1">
        <v>3.3610720847292698E-2</v>
      </c>
      <c r="D6009" s="1">
        <v>1.22699386503067E-2</v>
      </c>
      <c r="E6009" s="1">
        <v>6.0000000000000001E-3</v>
      </c>
      <c r="F6009" s="1">
        <v>2.9845346839106401E-2</v>
      </c>
    </row>
    <row r="6010" spans="1:6" x14ac:dyDescent="0.25">
      <c r="A6010" s="2" t="str">
        <f t="shared" si="223"/>
        <v>43980</v>
      </c>
      <c r="B6010" s="2" t="str">
        <f>"51340"</f>
        <v>51340</v>
      </c>
      <c r="C6010" s="1">
        <v>2.8098994920566301E-3</v>
      </c>
      <c r="D6010" s="1">
        <v>0</v>
      </c>
      <c r="E6010" s="1">
        <v>2E-3</v>
      </c>
      <c r="F6010" s="1">
        <v>2.4418920141087001E-3</v>
      </c>
    </row>
    <row r="6011" spans="1:6" x14ac:dyDescent="0.25">
      <c r="A6011" s="2" t="str">
        <f t="shared" si="223"/>
        <v>43980</v>
      </c>
      <c r="B6011" s="2" t="str">
        <f>"51338"</f>
        <v>51338</v>
      </c>
      <c r="C6011" s="1">
        <v>5.1010483086566499E-2</v>
      </c>
      <c r="D6011" s="1">
        <v>4.6012269938650301E-3</v>
      </c>
      <c r="E6011" s="1">
        <v>2.1999999999999999E-2</v>
      </c>
      <c r="F6011" s="1">
        <v>4.4225377588857702E-2</v>
      </c>
    </row>
    <row r="6012" spans="1:6" x14ac:dyDescent="0.25">
      <c r="A6012" s="2" t="str">
        <f t="shared" si="223"/>
        <v>43980</v>
      </c>
      <c r="B6012" s="2" t="str">
        <f>"51301"</f>
        <v>51301</v>
      </c>
      <c r="C6012" s="1">
        <v>0.790878633956554</v>
      </c>
      <c r="D6012" s="1">
        <v>0.95628834355828196</v>
      </c>
      <c r="E6012" s="1">
        <v>0.94599999999999995</v>
      </c>
      <c r="F6012" s="1">
        <v>0.817400741611648</v>
      </c>
    </row>
    <row r="6013" spans="1:6" x14ac:dyDescent="0.25">
      <c r="A6013" s="2" t="str">
        <f t="shared" si="223"/>
        <v>43980</v>
      </c>
      <c r="B6013" s="2" t="str">
        <f>"51366"</f>
        <v>51366</v>
      </c>
      <c r="C6013" s="1">
        <v>1.72916891818869E-2</v>
      </c>
      <c r="D6013" s="1">
        <v>7.6687116564417099E-3</v>
      </c>
      <c r="E6013" s="1">
        <v>6.0000000000000001E-3</v>
      </c>
      <c r="F6013" s="1">
        <v>1.5646196979289099E-2</v>
      </c>
    </row>
    <row r="6014" spans="1:6" x14ac:dyDescent="0.25">
      <c r="A6014" s="2" t="str">
        <f t="shared" si="223"/>
        <v>43980</v>
      </c>
      <c r="B6014" s="2" t="str">
        <f>"51343"</f>
        <v>51343</v>
      </c>
      <c r="C6014" s="1">
        <v>1.2860693829028399E-2</v>
      </c>
      <c r="D6014" s="1">
        <v>5.3680981595092001E-3</v>
      </c>
      <c r="E6014" s="1">
        <v>2E-3</v>
      </c>
      <c r="F6014" s="1">
        <v>1.14859365108076E-2</v>
      </c>
    </row>
    <row r="6015" spans="1:6" x14ac:dyDescent="0.25">
      <c r="A6015" s="2" t="str">
        <f t="shared" si="223"/>
        <v>43980</v>
      </c>
      <c r="B6015" s="2" t="str">
        <f>"51351"</f>
        <v>51351</v>
      </c>
      <c r="C6015" s="1">
        <v>2.1614611477358599E-4</v>
      </c>
      <c r="D6015" s="1">
        <v>0</v>
      </c>
      <c r="E6015" s="1">
        <v>0</v>
      </c>
      <c r="F6015" s="1">
        <v>1.8088088993397801E-4</v>
      </c>
    </row>
    <row r="6016" spans="1:6" x14ac:dyDescent="0.25">
      <c r="A6016" s="2" t="str">
        <f t="shared" si="223"/>
        <v>43980</v>
      </c>
      <c r="B6016" s="2" t="str">
        <f>"50554"</f>
        <v>50554</v>
      </c>
      <c r="C6016" s="1">
        <v>2.1614611477358599E-4</v>
      </c>
      <c r="D6016" s="1">
        <v>0</v>
      </c>
      <c r="E6016" s="1">
        <v>0</v>
      </c>
      <c r="F6016" s="1">
        <v>1.8088088993397801E-4</v>
      </c>
    </row>
    <row r="6017" spans="1:6" x14ac:dyDescent="0.25">
      <c r="A6017" s="2" t="str">
        <f t="shared" si="223"/>
        <v>43980</v>
      </c>
      <c r="B6017" s="2" t="str">
        <f>"51058"</f>
        <v>51058</v>
      </c>
      <c r="C6017" s="1">
        <v>7.5651140170755402E-4</v>
      </c>
      <c r="D6017" s="1">
        <v>0</v>
      </c>
      <c r="E6017" s="1">
        <v>0</v>
      </c>
      <c r="F6017" s="1">
        <v>6.3308311476892396E-4</v>
      </c>
    </row>
    <row r="6018" spans="1:6" x14ac:dyDescent="0.25">
      <c r="A6018" s="2" t="str">
        <f t="shared" si="223"/>
        <v>43980</v>
      </c>
      <c r="B6018" s="2" t="str">
        <f>"50515"</f>
        <v>50515</v>
      </c>
      <c r="C6018" s="1">
        <v>1.08073057386793E-3</v>
      </c>
      <c r="D6018" s="1">
        <v>0</v>
      </c>
      <c r="E6018" s="1">
        <v>0</v>
      </c>
      <c r="F6018" s="1">
        <v>9.0440444966989196E-4</v>
      </c>
    </row>
    <row r="6019" spans="1:6" x14ac:dyDescent="0.25">
      <c r="A6019" s="2" t="str">
        <f t="shared" ref="A6019:A6040" si="224">"20220"</f>
        <v>20220</v>
      </c>
      <c r="B6019" s="2" t="str">
        <f>"52078"</f>
        <v>52078</v>
      </c>
      <c r="C6019" s="1">
        <v>5.8036111358178398E-3</v>
      </c>
      <c r="D6019" s="1">
        <v>2.41080038572806E-3</v>
      </c>
      <c r="E6019" s="1">
        <v>3.8520801232665597E-4</v>
      </c>
      <c r="F6019" s="1">
        <v>5.2594941604145696E-3</v>
      </c>
    </row>
    <row r="6020" spans="1:6" x14ac:dyDescent="0.25">
      <c r="A6020" s="2" t="str">
        <f t="shared" si="224"/>
        <v>20220</v>
      </c>
      <c r="B6020" s="2" t="str">
        <f>"52001"</f>
        <v>52001</v>
      </c>
      <c r="C6020" s="1">
        <v>0.44076314151027302</v>
      </c>
      <c r="D6020" s="1">
        <v>0.38042430086788798</v>
      </c>
      <c r="E6020" s="1">
        <v>0.535439137134052</v>
      </c>
      <c r="F6020" s="1">
        <v>0.44067599969061699</v>
      </c>
    </row>
    <row r="6021" spans="1:6" x14ac:dyDescent="0.25">
      <c r="A6021" s="2" t="str">
        <f t="shared" si="224"/>
        <v>20220</v>
      </c>
      <c r="B6021" s="2" t="str">
        <f>"52045"</f>
        <v>52045</v>
      </c>
      <c r="C6021" s="1">
        <v>2.3436805123187701E-2</v>
      </c>
      <c r="D6021" s="1">
        <v>8.4378013500482092E-3</v>
      </c>
      <c r="E6021" s="1">
        <v>1.4252696456086201E-2</v>
      </c>
      <c r="F6021" s="1">
        <v>2.1772758914069101E-2</v>
      </c>
    </row>
    <row r="6022" spans="1:6" x14ac:dyDescent="0.25">
      <c r="A6022" s="2" t="str">
        <f t="shared" si="224"/>
        <v>20220</v>
      </c>
      <c r="B6022" s="2" t="str">
        <f>"52039"</f>
        <v>52039</v>
      </c>
      <c r="C6022" s="1">
        <v>1.1384861691719201E-2</v>
      </c>
      <c r="D6022" s="1">
        <v>2.8929604628736699E-3</v>
      </c>
      <c r="E6022" s="1">
        <v>3.8520801232665597E-4</v>
      </c>
      <c r="F6022" s="1">
        <v>1.01515971846237E-2</v>
      </c>
    </row>
    <row r="6023" spans="1:6" x14ac:dyDescent="0.25">
      <c r="A6023" s="2" t="str">
        <f t="shared" si="224"/>
        <v>20220</v>
      </c>
      <c r="B6023" s="2" t="str">
        <f>"52003"</f>
        <v>52003</v>
      </c>
      <c r="C6023" s="1">
        <v>0.13955349995552699</v>
      </c>
      <c r="D6023" s="1">
        <v>0.157907425265188</v>
      </c>
      <c r="E6023" s="1">
        <v>0.17719568567026101</v>
      </c>
      <c r="F6023" s="1">
        <v>0.142915151983912</v>
      </c>
    </row>
    <row r="6024" spans="1:6" x14ac:dyDescent="0.25">
      <c r="A6024" s="2" t="str">
        <f t="shared" si="224"/>
        <v>20220</v>
      </c>
      <c r="B6024" s="2" t="str">
        <f>"52046"</f>
        <v>52046</v>
      </c>
      <c r="C6024" s="1">
        <v>2.2525126745530501E-2</v>
      </c>
      <c r="D6024" s="1">
        <v>1.56702025072324E-2</v>
      </c>
      <c r="E6024" s="1">
        <v>1.0015408320493E-2</v>
      </c>
      <c r="F6024" s="1">
        <v>2.1347358651094401E-2</v>
      </c>
    </row>
    <row r="6025" spans="1:6" x14ac:dyDescent="0.25">
      <c r="A6025" s="2" t="str">
        <f t="shared" si="224"/>
        <v>20220</v>
      </c>
      <c r="B6025" s="2" t="str">
        <f>"52033"</f>
        <v>52033</v>
      </c>
      <c r="C6025" s="1">
        <v>2.71502268077915E-2</v>
      </c>
      <c r="D6025" s="1">
        <v>1.15718418514946E-2</v>
      </c>
      <c r="E6025" s="1">
        <v>1.8104776579352801E-2</v>
      </c>
      <c r="F6025" s="1">
        <v>2.54466702761234E-2</v>
      </c>
    </row>
    <row r="6026" spans="1:6" x14ac:dyDescent="0.25">
      <c r="A6026" s="2" t="str">
        <f t="shared" si="224"/>
        <v>20220</v>
      </c>
      <c r="B6026" s="2" t="str">
        <f>"52004"</f>
        <v>52004</v>
      </c>
      <c r="C6026" s="1">
        <v>2.05905897002579E-2</v>
      </c>
      <c r="D6026" s="1">
        <v>0.11764705882352899</v>
      </c>
      <c r="E6026" s="1">
        <v>7.7041602465331195E-4</v>
      </c>
      <c r="F6026" s="1">
        <v>2.7380307835099298E-2</v>
      </c>
    </row>
    <row r="6027" spans="1:6" x14ac:dyDescent="0.25">
      <c r="A6027" s="2" t="str">
        <f t="shared" si="224"/>
        <v>20220</v>
      </c>
      <c r="B6027" s="2" t="str">
        <f>"52099"</f>
        <v>52099</v>
      </c>
      <c r="C6027" s="1">
        <v>0</v>
      </c>
      <c r="D6027" s="1">
        <v>0</v>
      </c>
      <c r="E6027" s="1">
        <v>3.8520801232665597E-4</v>
      </c>
      <c r="F6027" s="1">
        <v>1.93363755897594E-5</v>
      </c>
    </row>
    <row r="6028" spans="1:6" x14ac:dyDescent="0.25">
      <c r="A6028" s="2" t="str">
        <f t="shared" si="224"/>
        <v>20220</v>
      </c>
      <c r="B6028" s="2" t="str">
        <f>"52054"</f>
        <v>52054</v>
      </c>
      <c r="C6028" s="1">
        <v>1.0228586676154E-3</v>
      </c>
      <c r="D6028" s="1">
        <v>0</v>
      </c>
      <c r="E6028" s="1">
        <v>0</v>
      </c>
      <c r="F6028" s="1">
        <v>8.8947327712893395E-4</v>
      </c>
    </row>
    <row r="6029" spans="1:6" x14ac:dyDescent="0.25">
      <c r="A6029" s="2" t="str">
        <f t="shared" si="224"/>
        <v>20220</v>
      </c>
      <c r="B6029" s="2" t="str">
        <f>"52052"</f>
        <v>52052</v>
      </c>
      <c r="C6029" s="1">
        <v>8.4497020368229099E-4</v>
      </c>
      <c r="D6029" s="1">
        <v>0</v>
      </c>
      <c r="E6029" s="1">
        <v>0</v>
      </c>
      <c r="F6029" s="1">
        <v>7.3478227241085897E-4</v>
      </c>
    </row>
    <row r="6030" spans="1:6" x14ac:dyDescent="0.25">
      <c r="A6030" s="2" t="str">
        <f t="shared" si="224"/>
        <v>20220</v>
      </c>
      <c r="B6030" s="2" t="str">
        <f>"52032"</f>
        <v>52032</v>
      </c>
      <c r="C6030" s="1">
        <v>7.0710664413412699E-3</v>
      </c>
      <c r="D6030" s="1">
        <v>1.6875602700096399E-3</v>
      </c>
      <c r="E6030" s="1">
        <v>1.15562403697996E-3</v>
      </c>
      <c r="F6030" s="1">
        <v>6.3423311934410996E-3</v>
      </c>
    </row>
    <row r="6031" spans="1:6" x14ac:dyDescent="0.25">
      <c r="A6031" s="2" t="str">
        <f t="shared" si="224"/>
        <v>20220</v>
      </c>
      <c r="B6031" s="2" t="str">
        <f>"52237"</f>
        <v>52237</v>
      </c>
      <c r="C6031" s="1">
        <v>8.8944231966556905E-5</v>
      </c>
      <c r="D6031" s="1">
        <v>0</v>
      </c>
      <c r="E6031" s="1">
        <v>0</v>
      </c>
      <c r="F6031" s="1">
        <v>7.7345502359037804E-5</v>
      </c>
    </row>
    <row r="6032" spans="1:6" x14ac:dyDescent="0.25">
      <c r="A6032" s="2" t="str">
        <f t="shared" si="224"/>
        <v>20220</v>
      </c>
      <c r="B6032" s="2" t="str">
        <f>"52079"</f>
        <v>52079</v>
      </c>
      <c r="C6032" s="1">
        <v>3.73565774259539E-3</v>
      </c>
      <c r="D6032" s="1">
        <v>9.6432015429122396E-4</v>
      </c>
      <c r="E6032" s="1">
        <v>7.7041602465331195E-4</v>
      </c>
      <c r="F6032" s="1">
        <v>3.3645293526181402E-3</v>
      </c>
    </row>
    <row r="6033" spans="1:6" x14ac:dyDescent="0.25">
      <c r="A6033" s="2" t="str">
        <f t="shared" si="224"/>
        <v>20220</v>
      </c>
      <c r="B6033" s="2" t="str">
        <f>"52073"</f>
        <v>52073</v>
      </c>
      <c r="C6033" s="1">
        <v>1.42533131726407E-2</v>
      </c>
      <c r="D6033" s="1">
        <v>4.5805207328833098E-3</v>
      </c>
      <c r="E6033" s="1">
        <v>1.54083204930662E-3</v>
      </c>
      <c r="F6033" s="1">
        <v>1.28393533916002E-2</v>
      </c>
    </row>
    <row r="6034" spans="1:6" x14ac:dyDescent="0.25">
      <c r="A6034" s="2" t="str">
        <f t="shared" si="224"/>
        <v>20220</v>
      </c>
      <c r="B6034" s="2" t="str">
        <f>"52068"</f>
        <v>52068</v>
      </c>
      <c r="C6034" s="1">
        <v>3.9691363515076003E-2</v>
      </c>
      <c r="D6034" s="1">
        <v>2.94117647058823E-2</v>
      </c>
      <c r="E6034" s="1">
        <v>1.3482280431432901E-2</v>
      </c>
      <c r="F6034" s="1">
        <v>3.7551241395312802E-2</v>
      </c>
    </row>
    <row r="6035" spans="1:6" x14ac:dyDescent="0.25">
      <c r="A6035" s="2" t="str">
        <f t="shared" si="224"/>
        <v>20220</v>
      </c>
      <c r="B6035" s="2" t="str">
        <f>"52040"</f>
        <v>52040</v>
      </c>
      <c r="C6035" s="1">
        <v>4.9297340567464099E-2</v>
      </c>
      <c r="D6035" s="1">
        <v>6.5091610414657594E-2</v>
      </c>
      <c r="E6035" s="1">
        <v>2.9661016949152502E-2</v>
      </c>
      <c r="F6035" s="1">
        <v>4.9578467012143197E-2</v>
      </c>
    </row>
    <row r="6036" spans="1:6" x14ac:dyDescent="0.25">
      <c r="A6036" s="2" t="str">
        <f t="shared" si="224"/>
        <v>20220</v>
      </c>
      <c r="B6036" s="2" t="str">
        <f>"52031"</f>
        <v>52031</v>
      </c>
      <c r="C6036" s="1">
        <v>4.78075246820243E-3</v>
      </c>
      <c r="D6036" s="1">
        <v>0</v>
      </c>
      <c r="E6036" s="1">
        <v>2.3112480739599299E-3</v>
      </c>
      <c r="F6036" s="1">
        <v>4.2733390053368301E-3</v>
      </c>
    </row>
    <row r="6037" spans="1:6" x14ac:dyDescent="0.25">
      <c r="A6037" s="2" t="str">
        <f t="shared" si="224"/>
        <v>20220</v>
      </c>
      <c r="B6037" s="2" t="str">
        <f>"52065"</f>
        <v>52065</v>
      </c>
      <c r="C6037" s="1">
        <v>7.5824957751489796E-3</v>
      </c>
      <c r="D6037" s="1">
        <v>2.1697203471552498E-3</v>
      </c>
      <c r="E6037" s="1">
        <v>7.7041602465331195E-4</v>
      </c>
      <c r="F6037" s="1">
        <v>6.8064042075953197E-3</v>
      </c>
    </row>
    <row r="6038" spans="1:6" x14ac:dyDescent="0.25">
      <c r="A6038" s="2" t="str">
        <f t="shared" si="224"/>
        <v>20220</v>
      </c>
      <c r="B6038" s="2" t="str">
        <f>"52056"</f>
        <v>52056</v>
      </c>
      <c r="C6038" s="1">
        <v>2.3125500311304802E-3</v>
      </c>
      <c r="D6038" s="1">
        <v>0</v>
      </c>
      <c r="E6038" s="1">
        <v>0</v>
      </c>
      <c r="F6038" s="1">
        <v>2.0109830613349801E-3</v>
      </c>
    </row>
    <row r="6039" spans="1:6" x14ac:dyDescent="0.25">
      <c r="A6039" s="2" t="str">
        <f t="shared" si="224"/>
        <v>20220</v>
      </c>
      <c r="B6039" s="2" t="str">
        <f>"52053"</f>
        <v>52053</v>
      </c>
      <c r="C6039" s="1">
        <v>1.0473183314062001E-2</v>
      </c>
      <c r="D6039" s="1">
        <v>5.3037608486017299E-3</v>
      </c>
      <c r="E6039" s="1">
        <v>1.92604006163328E-3</v>
      </c>
      <c r="F6039" s="1">
        <v>9.6295150437001997E-3</v>
      </c>
    </row>
    <row r="6040" spans="1:6" x14ac:dyDescent="0.25">
      <c r="A6040" s="2" t="str">
        <f t="shared" si="224"/>
        <v>20220</v>
      </c>
      <c r="B6040" s="2" t="str">
        <f>"52002"</f>
        <v>52002</v>
      </c>
      <c r="C6040" s="1">
        <v>0.16763764119896801</v>
      </c>
      <c r="D6040" s="1">
        <v>0.19382835101253601</v>
      </c>
      <c r="E6040" s="1">
        <v>0.19144838212634799</v>
      </c>
      <c r="F6040" s="1">
        <v>0.170933560213473</v>
      </c>
    </row>
    <row r="6041" spans="1:6" x14ac:dyDescent="0.25">
      <c r="A6041" s="2" t="str">
        <f t="shared" ref="A6041:A6065" si="225">"17540"</f>
        <v>17540</v>
      </c>
      <c r="B6041" s="2" t="str">
        <f>"52750"</f>
        <v>52750</v>
      </c>
      <c r="C6041" s="1">
        <v>1.1382042638882799E-2</v>
      </c>
      <c r="D6041" s="1">
        <v>2.5940337224383899E-3</v>
      </c>
      <c r="E6041" s="1">
        <v>4.6029919447640897E-3</v>
      </c>
      <c r="F6041" s="1">
        <v>1.06121802486734E-2</v>
      </c>
    </row>
    <row r="6042" spans="1:6" x14ac:dyDescent="0.25">
      <c r="A6042" s="2" t="str">
        <f t="shared" si="225"/>
        <v>17540</v>
      </c>
      <c r="B6042" s="2" t="str">
        <f>"52701"</f>
        <v>52701</v>
      </c>
      <c r="C6042" s="1">
        <v>4.3777087072626098E-5</v>
      </c>
      <c r="D6042" s="1">
        <v>0</v>
      </c>
      <c r="E6042" s="1">
        <v>1.15074798619102E-3</v>
      </c>
      <c r="F6042" s="1">
        <v>7.9195374990100498E-5</v>
      </c>
    </row>
    <row r="6043" spans="1:6" x14ac:dyDescent="0.25">
      <c r="A6043" s="2" t="str">
        <f t="shared" si="225"/>
        <v>17540</v>
      </c>
      <c r="B6043" s="2" t="str">
        <f>"52751"</f>
        <v>52751</v>
      </c>
      <c r="C6043" s="1">
        <v>2.08816705336426E-2</v>
      </c>
      <c r="D6043" s="1">
        <v>5.1880674448767797E-3</v>
      </c>
      <c r="E6043" s="1">
        <v>9.2059838895281899E-3</v>
      </c>
      <c r="F6043" s="1">
        <v>1.95216599350597E-2</v>
      </c>
    </row>
    <row r="6044" spans="1:6" x14ac:dyDescent="0.25">
      <c r="A6044" s="2" t="str">
        <f t="shared" si="225"/>
        <v>17540</v>
      </c>
      <c r="B6044" s="2" t="str">
        <f>"52727"</f>
        <v>52727</v>
      </c>
      <c r="C6044" s="1">
        <v>7.6609902377095798E-3</v>
      </c>
      <c r="D6044" s="1">
        <v>0</v>
      </c>
      <c r="E6044" s="1">
        <v>3.4522439585730701E-3</v>
      </c>
      <c r="F6044" s="1">
        <v>7.0483883741189503E-3</v>
      </c>
    </row>
    <row r="6045" spans="1:6" x14ac:dyDescent="0.25">
      <c r="A6045" s="2" t="str">
        <f t="shared" si="225"/>
        <v>17540</v>
      </c>
      <c r="B6045" s="2" t="str">
        <f>"52732"</f>
        <v>52732</v>
      </c>
      <c r="C6045" s="1">
        <v>0.58678807512148101</v>
      </c>
      <c r="D6045" s="1">
        <v>0.70428015564202295</v>
      </c>
      <c r="E6045" s="1">
        <v>0.76179516685845705</v>
      </c>
      <c r="F6045" s="1">
        <v>0.59998416092500095</v>
      </c>
    </row>
    <row r="6046" spans="1:6" x14ac:dyDescent="0.25">
      <c r="A6046" s="2" t="str">
        <f t="shared" si="225"/>
        <v>17540</v>
      </c>
      <c r="B6046" s="2" t="str">
        <f>"52254"</f>
        <v>52254</v>
      </c>
      <c r="C6046" s="1">
        <v>2.03125684016985E-2</v>
      </c>
      <c r="D6046" s="1">
        <v>3.8910505836575798E-3</v>
      </c>
      <c r="E6046" s="1">
        <v>5.7537399309551202E-3</v>
      </c>
      <c r="F6046" s="1">
        <v>1.8808901560148798E-2</v>
      </c>
    </row>
    <row r="6047" spans="1:6" x14ac:dyDescent="0.25">
      <c r="A6047" s="2" t="str">
        <f t="shared" si="225"/>
        <v>17540</v>
      </c>
      <c r="B6047" s="2" t="str">
        <f>"52771"</f>
        <v>52771</v>
      </c>
      <c r="C6047" s="1">
        <v>1.26953552510615E-3</v>
      </c>
      <c r="D6047" s="1">
        <v>0</v>
      </c>
      <c r="E6047" s="1">
        <v>1.15074798619102E-3</v>
      </c>
      <c r="F6047" s="1">
        <v>1.1879306248515E-3</v>
      </c>
    </row>
    <row r="6048" spans="1:6" x14ac:dyDescent="0.25">
      <c r="A6048" s="2" t="str">
        <f t="shared" si="225"/>
        <v>17540</v>
      </c>
      <c r="B6048" s="2" t="str">
        <f>"52730"</f>
        <v>52730</v>
      </c>
      <c r="C6048" s="1">
        <v>0.103445256752615</v>
      </c>
      <c r="D6048" s="1">
        <v>6.9390402075226898E-2</v>
      </c>
      <c r="E6048" s="1">
        <v>3.3371691599539698E-2</v>
      </c>
      <c r="F6048" s="1">
        <v>9.8954621050130601E-2</v>
      </c>
    </row>
    <row r="6049" spans="1:6" x14ac:dyDescent="0.25">
      <c r="A6049" s="2" t="str">
        <f t="shared" si="225"/>
        <v>17540</v>
      </c>
      <c r="B6049" s="2" t="str">
        <f>"52309"</f>
        <v>52309</v>
      </c>
      <c r="C6049" s="1">
        <v>4.3777087072626098E-5</v>
      </c>
      <c r="D6049" s="1">
        <v>0</v>
      </c>
      <c r="E6049" s="1">
        <v>0</v>
      </c>
      <c r="F6049" s="1">
        <v>3.9597687495050202E-5</v>
      </c>
    </row>
    <row r="6050" spans="1:6" x14ac:dyDescent="0.25">
      <c r="A6050" s="2" t="str">
        <f t="shared" si="225"/>
        <v>17540</v>
      </c>
      <c r="B6050" s="2" t="str">
        <f>"52731"</f>
        <v>52731</v>
      </c>
      <c r="C6050" s="1">
        <v>1.7204395219542E-2</v>
      </c>
      <c r="D6050" s="1">
        <v>2.5940337224383899E-3</v>
      </c>
      <c r="E6050" s="1">
        <v>1.26582278481012E-2</v>
      </c>
      <c r="F6050" s="1">
        <v>1.61558564979805E-2</v>
      </c>
    </row>
    <row r="6051" spans="1:6" x14ac:dyDescent="0.25">
      <c r="A6051" s="2" t="str">
        <f t="shared" si="225"/>
        <v>17540</v>
      </c>
      <c r="B6051" s="2" t="str">
        <f>"52255"</f>
        <v>52255</v>
      </c>
      <c r="C6051" s="1">
        <v>1.7510834829050401E-4</v>
      </c>
      <c r="D6051" s="1">
        <v>0</v>
      </c>
      <c r="E6051" s="1">
        <v>0</v>
      </c>
      <c r="F6051" s="1">
        <v>1.58390749980201E-4</v>
      </c>
    </row>
    <row r="6052" spans="1:6" x14ac:dyDescent="0.25">
      <c r="A6052" s="2" t="str">
        <f t="shared" si="225"/>
        <v>17540</v>
      </c>
      <c r="B6052" s="2" t="str">
        <f>"52037"</f>
        <v>52037</v>
      </c>
      <c r="C6052" s="1">
        <v>1.74670577419778E-2</v>
      </c>
      <c r="D6052" s="1">
        <v>1.9455252918287899E-3</v>
      </c>
      <c r="E6052" s="1">
        <v>1.15074798619102E-3</v>
      </c>
      <c r="F6052" s="1">
        <v>1.5957868060505202E-2</v>
      </c>
    </row>
    <row r="6053" spans="1:6" x14ac:dyDescent="0.25">
      <c r="A6053" s="2" t="str">
        <f t="shared" si="225"/>
        <v>17540</v>
      </c>
      <c r="B6053" s="2" t="str">
        <f>"52757"</f>
        <v>52757</v>
      </c>
      <c r="C6053" s="1">
        <v>6.5227859738213002E-3</v>
      </c>
      <c r="D6053" s="1">
        <v>0</v>
      </c>
      <c r="E6053" s="1">
        <v>1.15074798619102E-3</v>
      </c>
      <c r="F6053" s="1">
        <v>5.9396531242575396E-3</v>
      </c>
    </row>
    <row r="6054" spans="1:6" x14ac:dyDescent="0.25">
      <c r="A6054" s="2" t="str">
        <f t="shared" si="225"/>
        <v>17540</v>
      </c>
      <c r="B6054" s="2" t="str">
        <f>"52742"</f>
        <v>52742</v>
      </c>
      <c r="C6054" s="1">
        <v>0.14941119817887299</v>
      </c>
      <c r="D6054" s="1">
        <v>0.19714656290531701</v>
      </c>
      <c r="E6054" s="1">
        <v>0.14384349827387799</v>
      </c>
      <c r="F6054" s="1">
        <v>0.15213431535598301</v>
      </c>
    </row>
    <row r="6055" spans="1:6" x14ac:dyDescent="0.25">
      <c r="A6055" s="2" t="str">
        <f t="shared" si="225"/>
        <v>17540</v>
      </c>
      <c r="B6055" s="2" t="str">
        <f>"52207"</f>
        <v>52207</v>
      </c>
      <c r="C6055" s="1">
        <v>1.0068730026704001E-3</v>
      </c>
      <c r="D6055" s="1">
        <v>0</v>
      </c>
      <c r="E6055" s="1">
        <v>0</v>
      </c>
      <c r="F6055" s="1">
        <v>9.10746812386156E-4</v>
      </c>
    </row>
    <row r="6056" spans="1:6" x14ac:dyDescent="0.25">
      <c r="A6056" s="2" t="str">
        <f t="shared" si="225"/>
        <v>17540</v>
      </c>
      <c r="B6056" s="2" t="str">
        <f>"52070"</f>
        <v>52070</v>
      </c>
      <c r="C6056" s="1">
        <v>1.9699689182681702E-3</v>
      </c>
      <c r="D6056" s="1">
        <v>0</v>
      </c>
      <c r="E6056" s="1">
        <v>0</v>
      </c>
      <c r="F6056" s="1">
        <v>1.7818959372772601E-3</v>
      </c>
    </row>
    <row r="6057" spans="1:6" x14ac:dyDescent="0.25">
      <c r="A6057" s="2" t="str">
        <f t="shared" si="225"/>
        <v>17540</v>
      </c>
      <c r="B6057" s="2" t="str">
        <f>"52069"</f>
        <v>52069</v>
      </c>
      <c r="C6057" s="1">
        <v>1.9261918311955499E-3</v>
      </c>
      <c r="D6057" s="1">
        <v>0</v>
      </c>
      <c r="E6057" s="1">
        <v>0</v>
      </c>
      <c r="F6057" s="1">
        <v>1.7422982497822101E-3</v>
      </c>
    </row>
    <row r="6058" spans="1:6" x14ac:dyDescent="0.25">
      <c r="A6058" s="2" t="str">
        <f t="shared" si="225"/>
        <v>17540</v>
      </c>
      <c r="B6058" s="2" t="str">
        <f>"52756"</f>
        <v>52756</v>
      </c>
      <c r="C6058" s="1">
        <v>3.50216696581009E-4</v>
      </c>
      <c r="D6058" s="1">
        <v>0</v>
      </c>
      <c r="E6058" s="1">
        <v>0</v>
      </c>
      <c r="F6058" s="1">
        <v>3.1678149996040199E-4</v>
      </c>
    </row>
    <row r="6059" spans="1:6" x14ac:dyDescent="0.25">
      <c r="A6059" s="2" t="str">
        <f t="shared" si="225"/>
        <v>17540</v>
      </c>
      <c r="B6059" s="2" t="str">
        <f>"52774"</f>
        <v>52774</v>
      </c>
      <c r="C6059" s="1">
        <v>1.6635293087597901E-3</v>
      </c>
      <c r="D6059" s="1">
        <v>1.2970168612191899E-3</v>
      </c>
      <c r="E6059" s="1">
        <v>1.15074798619102E-3</v>
      </c>
      <c r="F6059" s="1">
        <v>1.6235051872970599E-3</v>
      </c>
    </row>
    <row r="6060" spans="1:6" x14ac:dyDescent="0.25">
      <c r="A6060" s="2" t="str">
        <f t="shared" si="225"/>
        <v>17540</v>
      </c>
      <c r="B6060" s="2" t="str">
        <f>"52745"</f>
        <v>52745</v>
      </c>
      <c r="C6060" s="1">
        <v>2.6266252243575702E-4</v>
      </c>
      <c r="D6060" s="1">
        <v>0</v>
      </c>
      <c r="E6060" s="1">
        <v>0</v>
      </c>
      <c r="F6060" s="1">
        <v>2.3758612497030101E-4</v>
      </c>
    </row>
    <row r="6061" spans="1:6" x14ac:dyDescent="0.25">
      <c r="A6061" s="2" t="str">
        <f t="shared" si="225"/>
        <v>17540</v>
      </c>
      <c r="B6061" s="2" t="str">
        <f>"52064"</f>
        <v>52064</v>
      </c>
      <c r="C6061" s="1">
        <v>1.09442717681565E-3</v>
      </c>
      <c r="D6061" s="1">
        <v>0</v>
      </c>
      <c r="E6061" s="1">
        <v>0</v>
      </c>
      <c r="F6061" s="1">
        <v>9.8994218737625704E-4</v>
      </c>
    </row>
    <row r="6062" spans="1:6" x14ac:dyDescent="0.25">
      <c r="A6062" s="2" t="str">
        <f t="shared" si="225"/>
        <v>17540</v>
      </c>
      <c r="B6062" s="2" t="str">
        <f>"52060"</f>
        <v>52060</v>
      </c>
      <c r="C6062" s="1">
        <v>2.8892877467933198E-3</v>
      </c>
      <c r="D6062" s="1">
        <v>6.4850843060959703E-4</v>
      </c>
      <c r="E6062" s="1">
        <v>0</v>
      </c>
      <c r="F6062" s="1">
        <v>2.65304506216836E-3</v>
      </c>
    </row>
    <row r="6063" spans="1:6" x14ac:dyDescent="0.25">
      <c r="A6063" s="2" t="str">
        <f t="shared" si="225"/>
        <v>17540</v>
      </c>
      <c r="B6063" s="2" t="str">
        <f>"52777"</f>
        <v>52777</v>
      </c>
      <c r="C6063" s="1">
        <v>2.7579564855754399E-2</v>
      </c>
      <c r="D6063" s="1">
        <v>5.8365758754863797E-3</v>
      </c>
      <c r="E6063" s="1">
        <v>1.15074798619102E-2</v>
      </c>
      <c r="F6063" s="1">
        <v>2.56988991842876E-2</v>
      </c>
    </row>
    <row r="6064" spans="1:6" x14ac:dyDescent="0.25">
      <c r="A6064" s="2" t="str">
        <f t="shared" si="225"/>
        <v>17540</v>
      </c>
      <c r="B6064" s="2" t="str">
        <f>"52729"</f>
        <v>52729</v>
      </c>
      <c r="C6064" s="1">
        <v>1.7379503567832501E-2</v>
      </c>
      <c r="D6064" s="1">
        <v>4.5395590142671798E-3</v>
      </c>
      <c r="E6064" s="1">
        <v>8.0552359033371594E-3</v>
      </c>
      <c r="F6064" s="1">
        <v>1.62746495604656E-2</v>
      </c>
    </row>
    <row r="6065" spans="1:6" x14ac:dyDescent="0.25">
      <c r="A6065" s="2" t="str">
        <f t="shared" si="225"/>
        <v>17540</v>
      </c>
      <c r="B6065" s="2" t="str">
        <f>"52323"</f>
        <v>52323</v>
      </c>
      <c r="C6065" s="1">
        <v>1.26953552510615E-3</v>
      </c>
      <c r="D6065" s="1">
        <v>6.4850843060959703E-4</v>
      </c>
      <c r="E6065" s="1">
        <v>0</v>
      </c>
      <c r="F6065" s="1">
        <v>1.1879306248515E-3</v>
      </c>
    </row>
    <row r="6066" spans="1:6" x14ac:dyDescent="0.25">
      <c r="A6066" s="2" t="str">
        <f t="shared" ref="A6066:A6086" si="226">"48580"</f>
        <v>48580</v>
      </c>
      <c r="B6066" s="2" t="str">
        <f>"53195"</f>
        <v>53195</v>
      </c>
      <c r="C6066" s="1">
        <v>6.8255503099937402E-4</v>
      </c>
      <c r="D6066" s="1">
        <v>5.8343057176195995E-4</v>
      </c>
      <c r="E6066" s="1">
        <v>8.6692674469007302E-4</v>
      </c>
      <c r="F6066" s="1">
        <v>6.8401792126953698E-4</v>
      </c>
    </row>
    <row r="6067" spans="1:6" x14ac:dyDescent="0.25">
      <c r="A6067" s="2" t="str">
        <f t="shared" si="226"/>
        <v>48580</v>
      </c>
      <c r="B6067" s="2" t="str">
        <f>"53119"</f>
        <v>53119</v>
      </c>
      <c r="C6067" s="1">
        <v>3.1662969493582E-3</v>
      </c>
      <c r="D6067" s="1">
        <v>0</v>
      </c>
      <c r="E6067" s="1">
        <v>8.6692674469007302E-4</v>
      </c>
      <c r="F6067" s="1">
        <v>2.8899757173637898E-3</v>
      </c>
    </row>
    <row r="6068" spans="1:6" x14ac:dyDescent="0.25">
      <c r="A6068" s="2" t="str">
        <f t="shared" si="226"/>
        <v>48580</v>
      </c>
      <c r="B6068" s="2" t="str">
        <f>"53191"</f>
        <v>53191</v>
      </c>
      <c r="C6068" s="1">
        <v>3.6706292778188501E-2</v>
      </c>
      <c r="D6068" s="1">
        <v>1.05017502917152E-2</v>
      </c>
      <c r="E6068" s="1">
        <v>5.1582141309059297E-2</v>
      </c>
      <c r="F6068" s="1">
        <v>3.5757036834365E-2</v>
      </c>
    </row>
    <row r="6069" spans="1:6" x14ac:dyDescent="0.25">
      <c r="A6069" s="2" t="str">
        <f t="shared" si="226"/>
        <v>48580</v>
      </c>
      <c r="B6069" s="2" t="str">
        <f>"53190"</f>
        <v>53190</v>
      </c>
      <c r="C6069" s="1">
        <v>0.115294920652977</v>
      </c>
      <c r="D6069" s="1">
        <v>0.12485414235705899</v>
      </c>
      <c r="E6069" s="1">
        <v>0.14564369310793199</v>
      </c>
      <c r="F6069" s="1">
        <v>0.117052566777249</v>
      </c>
    </row>
    <row r="6070" spans="1:6" x14ac:dyDescent="0.25">
      <c r="A6070" s="2" t="str">
        <f t="shared" si="226"/>
        <v>48580</v>
      </c>
      <c r="B6070" s="2" t="str">
        <f>"53105"</f>
        <v>53105</v>
      </c>
      <c r="C6070" s="1">
        <v>3.9550272074019302E-2</v>
      </c>
      <c r="D6070" s="1">
        <v>8.7514585764293992E-3</v>
      </c>
      <c r="E6070" s="1">
        <v>1.73385348938014E-3</v>
      </c>
      <c r="F6070" s="1">
        <v>3.6252949827285399E-2</v>
      </c>
    </row>
    <row r="6071" spans="1:6" x14ac:dyDescent="0.25">
      <c r="A6071" s="2" t="str">
        <f t="shared" si="226"/>
        <v>48580</v>
      </c>
      <c r="B6071" s="2" t="str">
        <f>"53147"</f>
        <v>53147</v>
      </c>
      <c r="C6071" s="1">
        <v>0.216540583584551</v>
      </c>
      <c r="D6071" s="1">
        <v>0.34247374562427002</v>
      </c>
      <c r="E6071" s="1">
        <v>0.21239705244906801</v>
      </c>
      <c r="F6071" s="1">
        <v>0.22375936249529699</v>
      </c>
    </row>
    <row r="6072" spans="1:6" x14ac:dyDescent="0.25">
      <c r="A6072" s="2" t="str">
        <f t="shared" si="226"/>
        <v>48580</v>
      </c>
      <c r="B6072" s="2" t="str">
        <f>"53525"</f>
        <v>53525</v>
      </c>
      <c r="C6072" s="1">
        <v>4.17116963388506E-4</v>
      </c>
      <c r="D6072" s="1">
        <v>0</v>
      </c>
      <c r="E6072" s="1">
        <v>0</v>
      </c>
      <c r="F6072" s="1">
        <v>3.7620985669824502E-4</v>
      </c>
    </row>
    <row r="6073" spans="1:6" x14ac:dyDescent="0.25">
      <c r="A6073" s="2" t="str">
        <f t="shared" si="226"/>
        <v>48580</v>
      </c>
      <c r="B6073" s="2" t="str">
        <f>"53184"</f>
        <v>53184</v>
      </c>
      <c r="C6073" s="1">
        <v>3.2269685076692603E-2</v>
      </c>
      <c r="D6073" s="1">
        <v>2.94632438739789E-2</v>
      </c>
      <c r="E6073" s="1">
        <v>1.7771998266146501E-2</v>
      </c>
      <c r="F6073" s="1">
        <v>3.1533226170525598E-2</v>
      </c>
    </row>
    <row r="6074" spans="1:6" x14ac:dyDescent="0.25">
      <c r="A6074" s="2" t="str">
        <f t="shared" si="226"/>
        <v>48580</v>
      </c>
      <c r="B6074" s="2" t="str">
        <f>"53115"</f>
        <v>53115</v>
      </c>
      <c r="C6074" s="1">
        <v>0.156437821132662</v>
      </c>
      <c r="D6074" s="1">
        <v>0.168903150525087</v>
      </c>
      <c r="E6074" s="1">
        <v>0.199826614651061</v>
      </c>
      <c r="F6074" s="1">
        <v>0.15888026266288099</v>
      </c>
    </row>
    <row r="6075" spans="1:6" x14ac:dyDescent="0.25">
      <c r="A6075" s="2" t="str">
        <f t="shared" si="226"/>
        <v>48580</v>
      </c>
      <c r="B6075" s="2" t="str">
        <f>"53149"</f>
        <v>53149</v>
      </c>
      <c r="C6075" s="1">
        <v>7.5649849269097298E-3</v>
      </c>
      <c r="D6075" s="1">
        <v>1.75029171528588E-3</v>
      </c>
      <c r="E6075" s="1">
        <v>1.73385348938014E-3</v>
      </c>
      <c r="F6075" s="1">
        <v>6.9940832449810102E-3</v>
      </c>
    </row>
    <row r="6076" spans="1:6" x14ac:dyDescent="0.25">
      <c r="A6076" s="2" t="str">
        <f t="shared" si="226"/>
        <v>48580</v>
      </c>
      <c r="B6076" s="2" t="str">
        <f>"53128"</f>
        <v>53128</v>
      </c>
      <c r="C6076" s="1">
        <v>5.5533435716587899E-2</v>
      </c>
      <c r="D6076" s="1">
        <v>2.8879813302216999E-2</v>
      </c>
      <c r="E6076" s="1">
        <v>6.0251408755960099E-2</v>
      </c>
      <c r="F6076" s="1">
        <v>5.4157118916515597E-2</v>
      </c>
    </row>
    <row r="6077" spans="1:6" x14ac:dyDescent="0.25">
      <c r="A6077" s="2" t="str">
        <f t="shared" si="226"/>
        <v>48580</v>
      </c>
      <c r="B6077" s="2" t="str">
        <f>"53114"</f>
        <v>53114</v>
      </c>
      <c r="C6077" s="1">
        <v>1.9680336727148601E-2</v>
      </c>
      <c r="D6077" s="1">
        <v>1.2252042007001101E-2</v>
      </c>
      <c r="E6077" s="1">
        <v>1.17035110533159E-2</v>
      </c>
      <c r="F6077" s="1">
        <v>1.8930195971134399E-2</v>
      </c>
    </row>
    <row r="6078" spans="1:6" x14ac:dyDescent="0.25">
      <c r="A6078" s="2" t="str">
        <f t="shared" si="226"/>
        <v>48580</v>
      </c>
      <c r="B6078" s="2" t="str">
        <f>"53585"</f>
        <v>53585</v>
      </c>
      <c r="C6078" s="1">
        <v>1.7708511082039299E-2</v>
      </c>
      <c r="D6078" s="1">
        <v>4.9591598599766596E-3</v>
      </c>
      <c r="E6078" s="1">
        <v>7.3688773298656203E-3</v>
      </c>
      <c r="F6078" s="1">
        <v>1.6553233694722801E-2</v>
      </c>
    </row>
    <row r="6079" spans="1:6" x14ac:dyDescent="0.25">
      <c r="A6079" s="2" t="str">
        <f t="shared" si="226"/>
        <v>48580</v>
      </c>
      <c r="B6079" s="2" t="str">
        <f>"53125"</f>
        <v>53125</v>
      </c>
      <c r="C6079" s="1">
        <v>4.5257190527652903E-2</v>
      </c>
      <c r="D6079" s="1">
        <v>1.3418903150525E-2</v>
      </c>
      <c r="E6079" s="1">
        <v>2.2106631989596798E-2</v>
      </c>
      <c r="F6079" s="1">
        <v>4.2477512910838199E-2</v>
      </c>
    </row>
    <row r="6080" spans="1:6" x14ac:dyDescent="0.25">
      <c r="A6080" s="2" t="str">
        <f t="shared" si="226"/>
        <v>48580</v>
      </c>
      <c r="B6080" s="2" t="str">
        <f>"53121"</f>
        <v>53121</v>
      </c>
      <c r="C6080" s="1">
        <v>0.169027169482206</v>
      </c>
      <c r="D6080" s="1">
        <v>0.196907817969661</v>
      </c>
      <c r="E6080" s="1">
        <v>0.20286085825747699</v>
      </c>
      <c r="F6080" s="1">
        <v>0.17199630630322499</v>
      </c>
    </row>
    <row r="6081" spans="1:6" x14ac:dyDescent="0.25">
      <c r="A6081" s="2" t="str">
        <f t="shared" si="226"/>
        <v>48580</v>
      </c>
      <c r="B6081" s="2" t="str">
        <f>"53176"</f>
        <v>53176</v>
      </c>
      <c r="C6081" s="1">
        <v>6.8255503099937402E-4</v>
      </c>
      <c r="D6081" s="1">
        <v>2.9171528588097998E-4</v>
      </c>
      <c r="E6081" s="1">
        <v>4.3346337234503602E-4</v>
      </c>
      <c r="F6081" s="1">
        <v>6.4981702520606002E-4</v>
      </c>
    </row>
    <row r="6082" spans="1:6" x14ac:dyDescent="0.25">
      <c r="A6082" s="2" t="str">
        <f t="shared" si="226"/>
        <v>48580</v>
      </c>
      <c r="B6082" s="2" t="str">
        <f>"53120"</f>
        <v>53120</v>
      </c>
      <c r="C6082" s="1">
        <v>8.3214834196007004E-2</v>
      </c>
      <c r="D6082" s="1">
        <v>5.6009334889148103E-2</v>
      </c>
      <c r="E6082" s="1">
        <v>6.1985262245340199E-2</v>
      </c>
      <c r="F6082" s="1">
        <v>8.07825165019323E-2</v>
      </c>
    </row>
    <row r="6083" spans="1:6" x14ac:dyDescent="0.25">
      <c r="A6083" s="2" t="str">
        <f t="shared" si="226"/>
        <v>48580</v>
      </c>
      <c r="B6083" s="2" t="str">
        <f>"53156"</f>
        <v>53156</v>
      </c>
      <c r="C6083" s="1">
        <v>3.7919723944409602E-5</v>
      </c>
      <c r="D6083" s="1">
        <v>0</v>
      </c>
      <c r="E6083" s="1">
        <v>0</v>
      </c>
      <c r="F6083" s="1">
        <v>3.42008960634768E-5</v>
      </c>
    </row>
    <row r="6084" spans="1:6" x14ac:dyDescent="0.25">
      <c r="A6084" s="2" t="str">
        <f t="shared" si="226"/>
        <v>48580</v>
      </c>
      <c r="B6084" s="2" t="str">
        <f>"53157"</f>
        <v>53157</v>
      </c>
      <c r="C6084" s="1">
        <v>1.7063875774984299E-4</v>
      </c>
      <c r="D6084" s="1">
        <v>0</v>
      </c>
      <c r="E6084" s="1">
        <v>4.3346337234503602E-4</v>
      </c>
      <c r="F6084" s="1">
        <v>1.71004480317384E-4</v>
      </c>
    </row>
    <row r="6085" spans="1:6" x14ac:dyDescent="0.25">
      <c r="A6085" s="2" t="str">
        <f t="shared" si="226"/>
        <v>48580</v>
      </c>
      <c r="B6085" s="2" t="str">
        <f>"53505"</f>
        <v>53505</v>
      </c>
      <c r="C6085" s="1">
        <v>5.6879585916614497E-5</v>
      </c>
      <c r="D6085" s="1">
        <v>0</v>
      </c>
      <c r="E6085" s="1">
        <v>0</v>
      </c>
      <c r="F6085" s="1">
        <v>5.1301344095215201E-5</v>
      </c>
    </row>
    <row r="6086" spans="1:6" x14ac:dyDescent="0.25">
      <c r="A6086" s="2" t="str">
        <f t="shared" si="226"/>
        <v>48580</v>
      </c>
      <c r="B6086" s="2" t="str">
        <f>"53148"</f>
        <v>53148</v>
      </c>
      <c r="C6086" s="1">
        <v>0</v>
      </c>
      <c r="D6086" s="1">
        <v>0</v>
      </c>
      <c r="E6086" s="1">
        <v>4.3346337234503602E-4</v>
      </c>
      <c r="F6086" s="1">
        <v>1.71004480317384E-5</v>
      </c>
    </row>
    <row r="6087" spans="1:6" x14ac:dyDescent="0.25">
      <c r="A6087" s="2" t="str">
        <f t="shared" ref="A6087:A6122" si="227">"22260"</f>
        <v>22260</v>
      </c>
      <c r="B6087" s="2" t="str">
        <f>"56315"</f>
        <v>56315</v>
      </c>
      <c r="C6087" s="1">
        <v>3.3409263477600598E-4</v>
      </c>
      <c r="D6087" s="1">
        <v>0</v>
      </c>
      <c r="E6087" s="1">
        <v>0</v>
      </c>
      <c r="F6087" s="1">
        <v>3.0983297186153202E-4</v>
      </c>
    </row>
    <row r="6088" spans="1:6" x14ac:dyDescent="0.25">
      <c r="A6088" s="2" t="str">
        <f t="shared" si="227"/>
        <v>22260</v>
      </c>
      <c r="B6088" s="2" t="str">
        <f>"56482"</f>
        <v>56482</v>
      </c>
      <c r="C6088" s="1">
        <v>1.53075170842824E-2</v>
      </c>
      <c r="D6088" s="1">
        <v>5.8139534883720903E-3</v>
      </c>
      <c r="E6088" s="1">
        <v>6.9930069930069904E-3</v>
      </c>
      <c r="F6088" s="1">
        <v>1.4646649578908801E-2</v>
      </c>
    </row>
    <row r="6089" spans="1:6" x14ac:dyDescent="0.25">
      <c r="A6089" s="2" t="str">
        <f t="shared" si="227"/>
        <v>22260</v>
      </c>
      <c r="B6089" s="2" t="str">
        <f>"56446"</f>
        <v>56446</v>
      </c>
      <c r="C6089" s="1">
        <v>1.2148823082763799E-3</v>
      </c>
      <c r="D6089" s="1">
        <v>0</v>
      </c>
      <c r="E6089" s="1">
        <v>0</v>
      </c>
      <c r="F6089" s="1">
        <v>1.12666535222375E-3</v>
      </c>
    </row>
    <row r="6090" spans="1:6" x14ac:dyDescent="0.25">
      <c r="A6090" s="2" t="str">
        <f t="shared" si="227"/>
        <v>22260</v>
      </c>
      <c r="B6090" s="2" t="str">
        <f>"56588"</f>
        <v>56588</v>
      </c>
      <c r="C6090" s="1">
        <v>9.2634776006074396E-3</v>
      </c>
      <c r="D6090" s="1">
        <v>4.0697674418604599E-3</v>
      </c>
      <c r="E6090" s="1">
        <v>1.1655011655011601E-3</v>
      </c>
      <c r="F6090" s="1">
        <v>8.8161563811508803E-3</v>
      </c>
    </row>
    <row r="6091" spans="1:6" x14ac:dyDescent="0.25">
      <c r="A6091" s="2" t="str">
        <f t="shared" si="227"/>
        <v>22260</v>
      </c>
      <c r="B6091" s="2" t="str">
        <f>"56586"</f>
        <v>56586</v>
      </c>
      <c r="C6091" s="1">
        <v>3.52012148823082E-2</v>
      </c>
      <c r="D6091" s="1">
        <v>1.51162790697674E-2</v>
      </c>
      <c r="E6091" s="1">
        <v>1.8648018648018599E-2</v>
      </c>
      <c r="F6091" s="1">
        <v>3.3828127200518199E-2</v>
      </c>
    </row>
    <row r="6092" spans="1:6" x14ac:dyDescent="0.25">
      <c r="A6092" s="2" t="str">
        <f t="shared" si="227"/>
        <v>22260</v>
      </c>
      <c r="B6092" s="2" t="str">
        <f>"56522"</f>
        <v>56522</v>
      </c>
      <c r="C6092" s="1">
        <v>6.3781321184510199E-4</v>
      </c>
      <c r="D6092" s="1">
        <v>0</v>
      </c>
      <c r="E6092" s="1">
        <v>0</v>
      </c>
      <c r="F6092" s="1">
        <v>5.9149930991747102E-4</v>
      </c>
    </row>
    <row r="6093" spans="1:6" x14ac:dyDescent="0.25">
      <c r="A6093" s="2" t="str">
        <f t="shared" si="227"/>
        <v>22260</v>
      </c>
      <c r="B6093" s="2" t="str">
        <f>"56477"</f>
        <v>56477</v>
      </c>
      <c r="C6093" s="1">
        <v>6.3781321184510197E-3</v>
      </c>
      <c r="D6093" s="1">
        <v>2.3255813953488298E-3</v>
      </c>
      <c r="E6093" s="1">
        <v>0</v>
      </c>
      <c r="F6093" s="1">
        <v>6.0276596343970899E-3</v>
      </c>
    </row>
    <row r="6094" spans="1:6" x14ac:dyDescent="0.25">
      <c r="A6094" s="2" t="str">
        <f t="shared" si="227"/>
        <v>22260</v>
      </c>
      <c r="B6094" s="2" t="str">
        <f>"56537"</f>
        <v>56537</v>
      </c>
      <c r="C6094" s="1">
        <v>0.28400911161731202</v>
      </c>
      <c r="D6094" s="1">
        <v>0.54069767441860395</v>
      </c>
      <c r="E6094" s="1">
        <v>0.469696969696969</v>
      </c>
      <c r="F6094" s="1">
        <v>0.30093231557896499</v>
      </c>
    </row>
    <row r="6095" spans="1:6" x14ac:dyDescent="0.25">
      <c r="A6095" s="2" t="str">
        <f t="shared" si="227"/>
        <v>22260</v>
      </c>
      <c r="B6095" s="2" t="str">
        <f>"56573"</f>
        <v>56573</v>
      </c>
      <c r="C6095" s="1">
        <v>0.108519362186788</v>
      </c>
      <c r="D6095" s="1">
        <v>0.206976744186046</v>
      </c>
      <c r="E6095" s="1">
        <v>0.22727272727272699</v>
      </c>
      <c r="F6095" s="1">
        <v>0.11615919781426901</v>
      </c>
    </row>
    <row r="6096" spans="1:6" x14ac:dyDescent="0.25">
      <c r="A6096" s="2" t="str">
        <f t="shared" si="227"/>
        <v>22260</v>
      </c>
      <c r="B6096" s="2" t="str">
        <f>"56354"</f>
        <v>56354</v>
      </c>
      <c r="C6096" s="1">
        <v>3.0372057706909601E-5</v>
      </c>
      <c r="D6096" s="1">
        <v>0</v>
      </c>
      <c r="E6096" s="1">
        <v>0</v>
      </c>
      <c r="F6096" s="1">
        <v>2.8166633805593801E-5</v>
      </c>
    </row>
    <row r="6097" spans="1:6" x14ac:dyDescent="0.25">
      <c r="A6097" s="2" t="str">
        <f t="shared" si="227"/>
        <v>22260</v>
      </c>
      <c r="B6097" s="2" t="str">
        <f>"56531"</f>
        <v>56531</v>
      </c>
      <c r="C6097" s="1">
        <v>3.94836750189825E-4</v>
      </c>
      <c r="D6097" s="1">
        <v>0</v>
      </c>
      <c r="E6097" s="1">
        <v>0</v>
      </c>
      <c r="F6097" s="1">
        <v>3.6616623947271999E-4</v>
      </c>
    </row>
    <row r="6098" spans="1:6" x14ac:dyDescent="0.25">
      <c r="A6098" s="2" t="str">
        <f t="shared" si="227"/>
        <v>22260</v>
      </c>
      <c r="B6098" s="2" t="str">
        <f>"56534"</f>
        <v>56534</v>
      </c>
      <c r="C6098" s="1">
        <v>1.8587699316628702E-2</v>
      </c>
      <c r="D6098" s="1">
        <v>1.04651162790697E-2</v>
      </c>
      <c r="E6098" s="1">
        <v>5.8275058275058201E-3</v>
      </c>
      <c r="F6098" s="1">
        <v>1.78858124665521E-2</v>
      </c>
    </row>
    <row r="6099" spans="1:6" x14ac:dyDescent="0.25">
      <c r="A6099" s="2" t="str">
        <f t="shared" si="227"/>
        <v>22260</v>
      </c>
      <c r="B6099" s="2" t="str">
        <f>"56528"</f>
        <v>56528</v>
      </c>
      <c r="C6099" s="1">
        <v>3.6841305998481302E-2</v>
      </c>
      <c r="D6099" s="1">
        <v>3.4883720930232501E-3</v>
      </c>
      <c r="E6099" s="1">
        <v>1.51515151515151E-2</v>
      </c>
      <c r="F6099" s="1">
        <v>3.4701292848491598E-2</v>
      </c>
    </row>
    <row r="6100" spans="1:6" x14ac:dyDescent="0.25">
      <c r="A6100" s="2" t="str">
        <f t="shared" si="227"/>
        <v>22260</v>
      </c>
      <c r="B6100" s="2" t="str">
        <f>"56501"</f>
        <v>56501</v>
      </c>
      <c r="C6100" s="1">
        <v>1.3211845102505599E-2</v>
      </c>
      <c r="D6100" s="1">
        <v>5.8139534883720897E-4</v>
      </c>
      <c r="E6100" s="1">
        <v>0</v>
      </c>
      <c r="F6100" s="1">
        <v>1.22806523392389E-2</v>
      </c>
    </row>
    <row r="6101" spans="1:6" x14ac:dyDescent="0.25">
      <c r="A6101" s="2" t="str">
        <f t="shared" si="227"/>
        <v>22260</v>
      </c>
      <c r="B6101" s="2" t="str">
        <f>"56437"</f>
        <v>56437</v>
      </c>
      <c r="C6101" s="1">
        <v>1.0326499620349199E-3</v>
      </c>
      <c r="D6101" s="1">
        <v>0</v>
      </c>
      <c r="E6101" s="1">
        <v>0</v>
      </c>
      <c r="F6101" s="1">
        <v>9.5766554939019199E-4</v>
      </c>
    </row>
    <row r="6102" spans="1:6" x14ac:dyDescent="0.25">
      <c r="A6102" s="2" t="str">
        <f t="shared" si="227"/>
        <v>22260</v>
      </c>
      <c r="B6102" s="2" t="str">
        <f>"56571"</f>
        <v>56571</v>
      </c>
      <c r="C6102" s="1">
        <v>4.0455580865603601E-2</v>
      </c>
      <c r="D6102" s="1">
        <v>2.6162790697674399E-2</v>
      </c>
      <c r="E6102" s="1">
        <v>1.7482517482517401E-2</v>
      </c>
      <c r="F6102" s="1">
        <v>3.9207954257386601E-2</v>
      </c>
    </row>
    <row r="6103" spans="1:6" x14ac:dyDescent="0.25">
      <c r="A6103" s="2" t="str">
        <f t="shared" si="227"/>
        <v>22260</v>
      </c>
      <c r="B6103" s="2" t="str">
        <f>"56361"</f>
        <v>56361</v>
      </c>
      <c r="C6103" s="1">
        <v>3.23462414578587E-2</v>
      </c>
      <c r="D6103" s="1">
        <v>2.73255813953488E-2</v>
      </c>
      <c r="E6103" s="1">
        <v>1.6317016317016299E-2</v>
      </c>
      <c r="F6103" s="1">
        <v>3.17156296650987E-2</v>
      </c>
    </row>
    <row r="6104" spans="1:6" x14ac:dyDescent="0.25">
      <c r="A6104" s="2" t="str">
        <f t="shared" si="227"/>
        <v>22260</v>
      </c>
      <c r="B6104" s="2" t="str">
        <f>"56587"</f>
        <v>56587</v>
      </c>
      <c r="C6104" s="1">
        <v>2.8610478359908799E-2</v>
      </c>
      <c r="D6104" s="1">
        <v>5.8139534883720903E-3</v>
      </c>
      <c r="E6104" s="1">
        <v>1.7482517482517401E-2</v>
      </c>
      <c r="F6104" s="1">
        <v>2.7237134890009201E-2</v>
      </c>
    </row>
    <row r="6105" spans="1:6" x14ac:dyDescent="0.25">
      <c r="A6105" s="2" t="str">
        <f t="shared" si="227"/>
        <v>22260</v>
      </c>
      <c r="B6105" s="2" t="str">
        <f>"56533"</f>
        <v>56533</v>
      </c>
      <c r="C6105" s="1">
        <v>5.0417615793469997E-3</v>
      </c>
      <c r="D6105" s="1">
        <v>5.2325581395348802E-3</v>
      </c>
      <c r="E6105" s="1">
        <v>1.1655011655011601E-3</v>
      </c>
      <c r="F6105" s="1">
        <v>4.9573275497845201E-3</v>
      </c>
    </row>
    <row r="6106" spans="1:6" x14ac:dyDescent="0.25">
      <c r="A6106" s="2" t="str">
        <f t="shared" si="227"/>
        <v>22260</v>
      </c>
      <c r="B6106" s="2" t="str">
        <f>"56518"</f>
        <v>56518</v>
      </c>
      <c r="C6106" s="1">
        <v>4.3735763097949801E-3</v>
      </c>
      <c r="D6106" s="1">
        <v>0</v>
      </c>
      <c r="E6106" s="1">
        <v>3.49650349650349E-3</v>
      </c>
      <c r="F6106" s="1">
        <v>4.1404951694223001E-3</v>
      </c>
    </row>
    <row r="6107" spans="1:6" x14ac:dyDescent="0.25">
      <c r="A6107" s="2" t="str">
        <f t="shared" si="227"/>
        <v>22260</v>
      </c>
      <c r="B6107" s="2" t="str">
        <f>"56514"</f>
        <v>56514</v>
      </c>
      <c r="C6107" s="1">
        <v>4.8595292331055399E-4</v>
      </c>
      <c r="D6107" s="1">
        <v>0</v>
      </c>
      <c r="E6107" s="1">
        <v>0</v>
      </c>
      <c r="F6107" s="1">
        <v>4.5066614088950201E-4</v>
      </c>
    </row>
    <row r="6108" spans="1:6" x14ac:dyDescent="0.25">
      <c r="A6108" s="2" t="str">
        <f t="shared" si="227"/>
        <v>22260</v>
      </c>
      <c r="B6108" s="2" t="str">
        <f>"56579"</f>
        <v>56579</v>
      </c>
      <c r="C6108" s="1">
        <v>7.5322703113135901E-3</v>
      </c>
      <c r="D6108" s="1">
        <v>3.4883720930232501E-3</v>
      </c>
      <c r="E6108" s="1">
        <v>4.6620046620046603E-3</v>
      </c>
      <c r="F6108" s="1">
        <v>7.2669915218432201E-3</v>
      </c>
    </row>
    <row r="6109" spans="1:6" x14ac:dyDescent="0.25">
      <c r="A6109" s="2" t="str">
        <f t="shared" si="227"/>
        <v>22260</v>
      </c>
      <c r="B6109" s="2" t="str">
        <f>"56576"</f>
        <v>56576</v>
      </c>
      <c r="C6109" s="1">
        <v>2.0835231586939999E-2</v>
      </c>
      <c r="D6109" s="1">
        <v>3.4883720930232501E-3</v>
      </c>
      <c r="E6109" s="1">
        <v>2.3310023310023301E-3</v>
      </c>
      <c r="F6109" s="1">
        <v>1.9547643861082101E-2</v>
      </c>
    </row>
    <row r="6110" spans="1:6" x14ac:dyDescent="0.25">
      <c r="A6110" s="2" t="str">
        <f t="shared" si="227"/>
        <v>22260</v>
      </c>
      <c r="B6110" s="2" t="str">
        <f>"56567"</f>
        <v>56567</v>
      </c>
      <c r="C6110" s="1">
        <v>4.9263477600607397E-2</v>
      </c>
      <c r="D6110" s="1">
        <v>1.9767441860465099E-2</v>
      </c>
      <c r="E6110" s="1">
        <v>5.5944055944055902E-2</v>
      </c>
      <c r="F6110" s="1">
        <v>4.7995944004731901E-2</v>
      </c>
    </row>
    <row r="6111" spans="1:6" x14ac:dyDescent="0.25">
      <c r="A6111" s="2" t="str">
        <f t="shared" si="227"/>
        <v>22260</v>
      </c>
      <c r="B6111" s="2" t="str">
        <f>"56544"</f>
        <v>56544</v>
      </c>
      <c r="C6111" s="1">
        <v>1.9377372817008302E-2</v>
      </c>
      <c r="D6111" s="1">
        <v>2.3255813953488298E-3</v>
      </c>
      <c r="E6111" s="1">
        <v>1.1655011655011601E-3</v>
      </c>
      <c r="F6111" s="1">
        <v>1.81111455369968E-2</v>
      </c>
    </row>
    <row r="6112" spans="1:6" x14ac:dyDescent="0.25">
      <c r="A6112" s="2" t="str">
        <f t="shared" si="227"/>
        <v>22260</v>
      </c>
      <c r="B6112" s="2" t="str">
        <f>"56326"</f>
        <v>56326</v>
      </c>
      <c r="C6112" s="1">
        <v>1.4578587699316599E-3</v>
      </c>
      <c r="D6112" s="1">
        <v>5.8139534883720897E-4</v>
      </c>
      <c r="E6112" s="1">
        <v>0</v>
      </c>
      <c r="F6112" s="1">
        <v>1.3801650564741E-3</v>
      </c>
    </row>
    <row r="6113" spans="1:6" x14ac:dyDescent="0.25">
      <c r="A6113" s="2" t="str">
        <f t="shared" si="227"/>
        <v>22260</v>
      </c>
      <c r="B6113" s="2" t="str">
        <f>"56551"</f>
        <v>56551</v>
      </c>
      <c r="C6113" s="1">
        <v>3.9362186788154799E-2</v>
      </c>
      <c r="D6113" s="1">
        <v>1.4534883720930199E-2</v>
      </c>
      <c r="E6113" s="1">
        <v>3.7296037296037199E-2</v>
      </c>
      <c r="F6113" s="1">
        <v>3.8109455538968502E-2</v>
      </c>
    </row>
    <row r="6114" spans="1:6" x14ac:dyDescent="0.25">
      <c r="A6114" s="2" t="str">
        <f t="shared" si="227"/>
        <v>22260</v>
      </c>
      <c r="B6114" s="2" t="str">
        <f>"56324"</f>
        <v>56324</v>
      </c>
      <c r="C6114" s="1">
        <v>1.5094912680333999E-2</v>
      </c>
      <c r="D6114" s="1">
        <v>6.9767441860465098E-3</v>
      </c>
      <c r="E6114" s="1">
        <v>3.49650349650349E-3</v>
      </c>
      <c r="F6114" s="1">
        <v>1.4421316508464E-2</v>
      </c>
    </row>
    <row r="6115" spans="1:6" x14ac:dyDescent="0.25">
      <c r="A6115" s="2" t="str">
        <f t="shared" si="227"/>
        <v>22260</v>
      </c>
      <c r="B6115" s="2" t="str">
        <f>"56309"</f>
        <v>56309</v>
      </c>
      <c r="C6115" s="1">
        <v>2.8549734244495001E-3</v>
      </c>
      <c r="D6115" s="1">
        <v>1.1627906976744099E-3</v>
      </c>
      <c r="E6115" s="1">
        <v>0</v>
      </c>
      <c r="F6115" s="1">
        <v>2.7039968453370102E-3</v>
      </c>
    </row>
    <row r="6116" spans="1:6" x14ac:dyDescent="0.25">
      <c r="A6116" s="2" t="str">
        <f t="shared" si="227"/>
        <v>22260</v>
      </c>
      <c r="B6116" s="2" t="str">
        <f>"56527"</f>
        <v>56527</v>
      </c>
      <c r="C6116" s="1">
        <v>1.21184510250569E-2</v>
      </c>
      <c r="D6116" s="1">
        <v>2.90697674418604E-3</v>
      </c>
      <c r="E6116" s="1">
        <v>6.9930069930069904E-3</v>
      </c>
      <c r="F6116" s="1">
        <v>1.15483198602934E-2</v>
      </c>
    </row>
    <row r="6117" spans="1:6" x14ac:dyDescent="0.25">
      <c r="A6117" s="2" t="str">
        <f t="shared" si="227"/>
        <v>22260</v>
      </c>
      <c r="B6117" s="2" t="str">
        <f>"56515"</f>
        <v>56515</v>
      </c>
      <c r="C6117" s="1">
        <v>6.6271829916476802E-2</v>
      </c>
      <c r="D6117" s="1">
        <v>3.3720930232558101E-2</v>
      </c>
      <c r="E6117" s="1">
        <v>3.6130536130536101E-2</v>
      </c>
      <c r="F6117" s="1">
        <v>6.3966425372503702E-2</v>
      </c>
    </row>
    <row r="6118" spans="1:6" x14ac:dyDescent="0.25">
      <c r="A6118" s="2" t="str">
        <f t="shared" si="227"/>
        <v>22260</v>
      </c>
      <c r="B6118" s="2" t="str">
        <f>"56464"</f>
        <v>56464</v>
      </c>
      <c r="C6118" s="1">
        <v>1.1845102505694701E-3</v>
      </c>
      <c r="D6118" s="1">
        <v>0</v>
      </c>
      <c r="E6118" s="1">
        <v>0</v>
      </c>
      <c r="F6118" s="1">
        <v>1.0984987184181601E-3</v>
      </c>
    </row>
    <row r="6119" spans="1:6" x14ac:dyDescent="0.25">
      <c r="A6119" s="2" t="str">
        <f t="shared" si="227"/>
        <v>22260</v>
      </c>
      <c r="B6119" s="2" t="str">
        <f>"56453"</f>
        <v>56453</v>
      </c>
      <c r="C6119" s="1">
        <v>4.3735763097949801E-3</v>
      </c>
      <c r="D6119" s="1">
        <v>0</v>
      </c>
      <c r="E6119" s="1">
        <v>0</v>
      </c>
      <c r="F6119" s="1">
        <v>4.0559952680055203E-3</v>
      </c>
    </row>
    <row r="6120" spans="1:6" x14ac:dyDescent="0.25">
      <c r="A6120" s="2" t="str">
        <f t="shared" si="227"/>
        <v>22260</v>
      </c>
      <c r="B6120" s="2" t="str">
        <f>"56583"</f>
        <v>56583</v>
      </c>
      <c r="C6120" s="1">
        <v>6.0744115413819201E-5</v>
      </c>
      <c r="D6120" s="1">
        <v>0</v>
      </c>
      <c r="E6120" s="1">
        <v>0</v>
      </c>
      <c r="F6120" s="1">
        <v>5.6333267611187697E-5</v>
      </c>
    </row>
    <row r="6121" spans="1:6" x14ac:dyDescent="0.25">
      <c r="A6121" s="2" t="str">
        <f t="shared" si="227"/>
        <v>22260</v>
      </c>
      <c r="B6121" s="2" t="str">
        <f>"56572"</f>
        <v>56572</v>
      </c>
      <c r="C6121" s="1">
        <v>0.101169324221716</v>
      </c>
      <c r="D6121" s="1">
        <v>5.1162790697674397E-2</v>
      </c>
      <c r="E6121" s="1">
        <v>4.8951048951048903E-2</v>
      </c>
      <c r="F6121" s="1">
        <v>9.7484719601160397E-2</v>
      </c>
    </row>
    <row r="6122" spans="1:6" x14ac:dyDescent="0.25">
      <c r="A6122" s="2" t="str">
        <f t="shared" si="227"/>
        <v>22260</v>
      </c>
      <c r="B6122" s="2" t="str">
        <f>"56524"</f>
        <v>56524</v>
      </c>
      <c r="C6122" s="1">
        <v>1.6765375854214101E-2</v>
      </c>
      <c r="D6122" s="1">
        <v>5.8139534883720903E-3</v>
      </c>
      <c r="E6122" s="1">
        <v>2.3310023310023301E-3</v>
      </c>
      <c r="F6122" s="1">
        <v>1.58859814663549E-2</v>
      </c>
    </row>
    <row r="6123" spans="1:6" x14ac:dyDescent="0.25">
      <c r="A6123" s="2" t="str">
        <f t="shared" ref="A6123:A6150" si="228">"47420"</f>
        <v>47420</v>
      </c>
      <c r="B6123" s="2" t="str">
        <f>"58057"</f>
        <v>58057</v>
      </c>
      <c r="C6123" s="1">
        <v>3.7645762556239E-3</v>
      </c>
      <c r="D6123" s="1">
        <v>0</v>
      </c>
      <c r="E6123" s="1">
        <v>0</v>
      </c>
      <c r="F6123" s="1">
        <v>3.32684193443687E-3</v>
      </c>
    </row>
    <row r="6124" spans="1:6" x14ac:dyDescent="0.25">
      <c r="A6124" s="2" t="str">
        <f t="shared" si="228"/>
        <v>47420</v>
      </c>
      <c r="B6124" s="2" t="str">
        <f>"58051"</f>
        <v>58051</v>
      </c>
      <c r="C6124" s="1">
        <v>1.3405564227343601E-2</v>
      </c>
      <c r="D6124" s="1">
        <v>8.2256169212690904E-3</v>
      </c>
      <c r="E6124" s="1">
        <v>0</v>
      </c>
      <c r="F6124" s="1">
        <v>1.24148003894839E-2</v>
      </c>
    </row>
    <row r="6125" spans="1:6" x14ac:dyDescent="0.25">
      <c r="A6125" s="2" t="str">
        <f t="shared" si="228"/>
        <v>47420</v>
      </c>
      <c r="B6125" s="2" t="str">
        <f>"58047"</f>
        <v>58047</v>
      </c>
      <c r="C6125" s="1">
        <v>1.0100082637039701E-3</v>
      </c>
      <c r="D6125" s="1">
        <v>4.7003525264394802E-3</v>
      </c>
      <c r="E6125" s="1">
        <v>0</v>
      </c>
      <c r="F6125" s="1">
        <v>1.2171372930866601E-3</v>
      </c>
    </row>
    <row r="6126" spans="1:6" x14ac:dyDescent="0.25">
      <c r="A6126" s="2" t="str">
        <f t="shared" si="228"/>
        <v>47420</v>
      </c>
      <c r="B6126" s="2" t="str">
        <f>"56514"</f>
        <v>56514</v>
      </c>
      <c r="C6126" s="1">
        <v>1.0008263703975701E-2</v>
      </c>
      <c r="D6126" s="1">
        <v>1.1750881316098701E-3</v>
      </c>
      <c r="E6126" s="1">
        <v>3.4364261168384801E-3</v>
      </c>
      <c r="F6126" s="1">
        <v>9.0879584550470592E-3</v>
      </c>
    </row>
    <row r="6127" spans="1:6" x14ac:dyDescent="0.25">
      <c r="A6127" s="2" t="str">
        <f t="shared" si="228"/>
        <v>47420</v>
      </c>
      <c r="B6127" s="2" t="str">
        <f>"58060"</f>
        <v>58060</v>
      </c>
      <c r="C6127" s="1">
        <v>3.67275732255991E-4</v>
      </c>
      <c r="D6127" s="1">
        <v>0</v>
      </c>
      <c r="E6127" s="1">
        <v>0</v>
      </c>
      <c r="F6127" s="1">
        <v>3.2456994482310899E-4</v>
      </c>
    </row>
    <row r="6128" spans="1:6" x14ac:dyDescent="0.25">
      <c r="A6128" s="2" t="str">
        <f t="shared" si="228"/>
        <v>47420</v>
      </c>
      <c r="B6128" s="2" t="str">
        <f>"56579"</f>
        <v>56579</v>
      </c>
      <c r="C6128" s="1">
        <v>2.73620420530713E-2</v>
      </c>
      <c r="D6128" s="1">
        <v>1.0575793184488799E-2</v>
      </c>
      <c r="E6128" s="1">
        <v>8.5910652920962102E-3</v>
      </c>
      <c r="F6128" s="1">
        <v>2.53164556962025E-2</v>
      </c>
    </row>
    <row r="6129" spans="1:6" x14ac:dyDescent="0.25">
      <c r="A6129" s="2" t="str">
        <f t="shared" si="228"/>
        <v>47420</v>
      </c>
      <c r="B6129" s="2" t="str">
        <f>"56553"</f>
        <v>56553</v>
      </c>
      <c r="C6129" s="1">
        <v>1.17528234321917E-2</v>
      </c>
      <c r="D6129" s="1">
        <v>2.3501762632197401E-3</v>
      </c>
      <c r="E6129" s="1">
        <v>1.7182130584192401E-3</v>
      </c>
      <c r="F6129" s="1">
        <v>1.06296656929568E-2</v>
      </c>
    </row>
    <row r="6130" spans="1:6" x14ac:dyDescent="0.25">
      <c r="A6130" s="2" t="str">
        <f t="shared" si="228"/>
        <v>47420</v>
      </c>
      <c r="B6130" s="2" t="str">
        <f>"58041"</f>
        <v>58041</v>
      </c>
      <c r="C6130" s="1">
        <v>8.4197961619685902E-2</v>
      </c>
      <c r="D6130" s="1">
        <v>5.64042303172737E-2</v>
      </c>
      <c r="E6130" s="1">
        <v>8.7628865979381396E-2</v>
      </c>
      <c r="F6130" s="1">
        <v>8.2440765985069706E-2</v>
      </c>
    </row>
    <row r="6131" spans="1:6" x14ac:dyDescent="0.25">
      <c r="A6131" s="2" t="str">
        <f t="shared" si="228"/>
        <v>47420</v>
      </c>
      <c r="B6131" s="2" t="str">
        <f>"58075"</f>
        <v>58075</v>
      </c>
      <c r="C6131" s="1">
        <v>0.40115691855660601</v>
      </c>
      <c r="D6131" s="1">
        <v>0.60752056404230304</v>
      </c>
      <c r="E6131" s="1">
        <v>0.60481099656357296</v>
      </c>
      <c r="F6131" s="1">
        <v>0.42502434274586098</v>
      </c>
    </row>
    <row r="6132" spans="1:6" x14ac:dyDescent="0.25">
      <c r="A6132" s="2" t="str">
        <f t="shared" si="228"/>
        <v>47420</v>
      </c>
      <c r="B6132" s="2" t="str">
        <f>"58052"</f>
        <v>58052</v>
      </c>
      <c r="C6132" s="1">
        <v>4.7745845193278803E-3</v>
      </c>
      <c r="D6132" s="1">
        <v>0</v>
      </c>
      <c r="E6132" s="1">
        <v>0</v>
      </c>
      <c r="F6132" s="1">
        <v>4.2194092827004199E-3</v>
      </c>
    </row>
    <row r="6133" spans="1:6" x14ac:dyDescent="0.25">
      <c r="A6133" s="2" t="str">
        <f t="shared" si="228"/>
        <v>47420</v>
      </c>
      <c r="B6133" s="2" t="str">
        <f>"58008"</f>
        <v>58008</v>
      </c>
      <c r="C6133" s="1">
        <v>9.6409879717197604E-3</v>
      </c>
      <c r="D6133" s="1">
        <v>8.2256169212690904E-3</v>
      </c>
      <c r="E6133" s="1">
        <v>0</v>
      </c>
      <c r="F6133" s="1">
        <v>9.0879584550470592E-3</v>
      </c>
    </row>
    <row r="6134" spans="1:6" x14ac:dyDescent="0.25">
      <c r="A6134" s="2" t="str">
        <f t="shared" si="228"/>
        <v>47420</v>
      </c>
      <c r="B6134" s="2" t="str">
        <f>"58061"</f>
        <v>58061</v>
      </c>
      <c r="C6134" s="1">
        <v>1.71701404829675E-2</v>
      </c>
      <c r="D6134" s="1">
        <v>7.0505287896592203E-3</v>
      </c>
      <c r="E6134" s="1">
        <v>8.5910652920962102E-3</v>
      </c>
      <c r="F6134" s="1">
        <v>1.6066212268743899E-2</v>
      </c>
    </row>
    <row r="6135" spans="1:6" x14ac:dyDescent="0.25">
      <c r="A6135" s="2" t="str">
        <f t="shared" si="228"/>
        <v>47420</v>
      </c>
      <c r="B6135" s="2" t="str">
        <f>"56572"</f>
        <v>56572</v>
      </c>
      <c r="C6135" s="1">
        <v>9.1818933063997696E-5</v>
      </c>
      <c r="D6135" s="1">
        <v>0</v>
      </c>
      <c r="E6135" s="1">
        <v>0</v>
      </c>
      <c r="F6135" s="1">
        <v>8.1142486205777303E-5</v>
      </c>
    </row>
    <row r="6136" spans="1:6" x14ac:dyDescent="0.25">
      <c r="A6136" s="2" t="str">
        <f t="shared" si="228"/>
        <v>47420</v>
      </c>
      <c r="B6136" s="2" t="str">
        <f>"56565"</f>
        <v>56565</v>
      </c>
      <c r="C6136" s="1">
        <v>4.0400330548159002E-3</v>
      </c>
      <c r="D6136" s="1">
        <v>1.1750881316098701E-3</v>
      </c>
      <c r="E6136" s="1">
        <v>1.7182130584192401E-3</v>
      </c>
      <c r="F6136" s="1">
        <v>3.73255436546575E-3</v>
      </c>
    </row>
    <row r="6137" spans="1:6" x14ac:dyDescent="0.25">
      <c r="A6137" s="2" t="str">
        <f t="shared" si="228"/>
        <v>47420</v>
      </c>
      <c r="B6137" s="2" t="str">
        <f>"58001"</f>
        <v>58001</v>
      </c>
      <c r="C6137" s="1">
        <v>1.03755394362317E-2</v>
      </c>
      <c r="D6137" s="1">
        <v>1.1750881316098701E-3</v>
      </c>
      <c r="E6137" s="1">
        <v>8.5910652920962102E-3</v>
      </c>
      <c r="F6137" s="1">
        <v>9.6559558584875006E-3</v>
      </c>
    </row>
    <row r="6138" spans="1:6" x14ac:dyDescent="0.25">
      <c r="A6138" s="2" t="str">
        <f t="shared" si="228"/>
        <v>47420</v>
      </c>
      <c r="B6138" s="2" t="str">
        <f>"58030"</f>
        <v>58030</v>
      </c>
      <c r="C6138" s="1">
        <v>2.6811128454687298E-2</v>
      </c>
      <c r="D6138" s="1">
        <v>1.4101057579318401E-2</v>
      </c>
      <c r="E6138" s="1">
        <v>1.5463917525773099E-2</v>
      </c>
      <c r="F6138" s="1">
        <v>2.5397598182408301E-2</v>
      </c>
    </row>
    <row r="6139" spans="1:6" x14ac:dyDescent="0.25">
      <c r="A6139" s="2" t="str">
        <f t="shared" si="228"/>
        <v>47420</v>
      </c>
      <c r="B6139" s="2" t="str">
        <f>"58081"</f>
        <v>58081</v>
      </c>
      <c r="C6139" s="1">
        <v>3.9941235882839002E-2</v>
      </c>
      <c r="D6139" s="1">
        <v>1.52761457109283E-2</v>
      </c>
      <c r="E6139" s="1">
        <v>1.37457044673539E-2</v>
      </c>
      <c r="F6139" s="1">
        <v>3.7000973709834399E-2</v>
      </c>
    </row>
    <row r="6140" spans="1:6" x14ac:dyDescent="0.25">
      <c r="A6140" s="2" t="str">
        <f t="shared" si="228"/>
        <v>47420</v>
      </c>
      <c r="B6140" s="2" t="str">
        <f>"56543"</f>
        <v>56543</v>
      </c>
      <c r="C6140" s="1">
        <v>6.1518685152878502E-3</v>
      </c>
      <c r="D6140" s="1">
        <v>4.7003525264394802E-3</v>
      </c>
      <c r="E6140" s="1">
        <v>1.7182130584192401E-3</v>
      </c>
      <c r="F6140" s="1">
        <v>5.8422590068159599E-3</v>
      </c>
    </row>
    <row r="6141" spans="1:6" x14ac:dyDescent="0.25">
      <c r="A6141" s="2" t="str">
        <f t="shared" si="228"/>
        <v>47420</v>
      </c>
      <c r="B6141" s="2" t="str">
        <f>"58058"</f>
        <v>58058</v>
      </c>
      <c r="C6141" s="1">
        <v>5.1418602515838699E-3</v>
      </c>
      <c r="D6141" s="1">
        <v>1.1750881316098701E-3</v>
      </c>
      <c r="E6141" s="1">
        <v>1.7182130584192401E-3</v>
      </c>
      <c r="F6141" s="1">
        <v>4.7062641999350797E-3</v>
      </c>
    </row>
    <row r="6142" spans="1:6" x14ac:dyDescent="0.25">
      <c r="A6142" s="2" t="str">
        <f t="shared" si="228"/>
        <v>47420</v>
      </c>
      <c r="B6142" s="2" t="str">
        <f>"56583"</f>
        <v>56583</v>
      </c>
      <c r="C6142" s="1">
        <v>2.2954733265999399E-3</v>
      </c>
      <c r="D6142" s="1">
        <v>2.3501762632197401E-3</v>
      </c>
      <c r="E6142" s="1">
        <v>0</v>
      </c>
      <c r="F6142" s="1">
        <v>2.1908471275559802E-3</v>
      </c>
    </row>
    <row r="6143" spans="1:6" x14ac:dyDescent="0.25">
      <c r="A6143" s="2" t="str">
        <f t="shared" si="228"/>
        <v>47420</v>
      </c>
      <c r="B6143" s="2" t="str">
        <f>"58018"</f>
        <v>58018</v>
      </c>
      <c r="C6143" s="1">
        <v>1.49664860894316E-2</v>
      </c>
      <c r="D6143" s="1">
        <v>1.1750881316098701E-3</v>
      </c>
      <c r="E6143" s="1">
        <v>3.4364261168384801E-3</v>
      </c>
      <c r="F6143" s="1">
        <v>1.3469652710159E-2</v>
      </c>
    </row>
    <row r="6144" spans="1:6" x14ac:dyDescent="0.25">
      <c r="A6144" s="2" t="str">
        <f t="shared" si="228"/>
        <v>47420</v>
      </c>
      <c r="B6144" s="2" t="str">
        <f>"58053"</f>
        <v>58053</v>
      </c>
      <c r="C6144" s="1">
        <v>5.6009549169038601E-2</v>
      </c>
      <c r="D6144" s="1">
        <v>1.1750881316098701E-2</v>
      </c>
      <c r="E6144" s="1">
        <v>3.60824742268041E-2</v>
      </c>
      <c r="F6144" s="1">
        <v>5.2012333657903198E-2</v>
      </c>
    </row>
    <row r="6145" spans="1:6" x14ac:dyDescent="0.25">
      <c r="A6145" s="2" t="str">
        <f t="shared" si="228"/>
        <v>47420</v>
      </c>
      <c r="B6145" s="2" t="str">
        <f>"58015"</f>
        <v>58015</v>
      </c>
      <c r="C6145" s="1">
        <v>7.4373335781838202E-3</v>
      </c>
      <c r="D6145" s="1">
        <v>1.1750881316098701E-3</v>
      </c>
      <c r="E6145" s="1">
        <v>1.7182130584192401E-3</v>
      </c>
      <c r="F6145" s="1">
        <v>6.7348263550795102E-3</v>
      </c>
    </row>
    <row r="6146" spans="1:6" x14ac:dyDescent="0.25">
      <c r="A6146" s="2" t="str">
        <f t="shared" si="228"/>
        <v>47420</v>
      </c>
      <c r="B6146" s="2" t="str">
        <f>"58076"</f>
        <v>58076</v>
      </c>
      <c r="C6146" s="1">
        <v>0</v>
      </c>
      <c r="D6146" s="1">
        <v>1.1750881316098701E-3</v>
      </c>
      <c r="E6146" s="1">
        <v>0</v>
      </c>
      <c r="F6146" s="1">
        <v>8.1142486205777303E-5</v>
      </c>
    </row>
    <row r="6147" spans="1:6" x14ac:dyDescent="0.25">
      <c r="A6147" s="2" t="str">
        <f t="shared" si="228"/>
        <v>47420</v>
      </c>
      <c r="B6147" s="2" t="str">
        <f>"56522"</f>
        <v>56522</v>
      </c>
      <c r="C6147" s="1">
        <v>1.9006519144247499E-2</v>
      </c>
      <c r="D6147" s="1">
        <v>8.2256169212690904E-3</v>
      </c>
      <c r="E6147" s="1">
        <v>3.4364261168384801E-3</v>
      </c>
      <c r="F6147" s="1">
        <v>1.7526777020447901E-2</v>
      </c>
    </row>
    <row r="6148" spans="1:6" x14ac:dyDescent="0.25">
      <c r="A6148" s="2" t="str">
        <f t="shared" si="228"/>
        <v>47420</v>
      </c>
      <c r="B6148" s="2" t="str">
        <f>"58077"</f>
        <v>58077</v>
      </c>
      <c r="C6148" s="1">
        <v>3.2687540170783201E-2</v>
      </c>
      <c r="D6148" s="1">
        <v>5.8754406580493503E-3</v>
      </c>
      <c r="E6148" s="1">
        <v>2.2336769759450099E-2</v>
      </c>
      <c r="F6148" s="1">
        <v>3.03472898409607E-2</v>
      </c>
    </row>
    <row r="6149" spans="1:6" x14ac:dyDescent="0.25">
      <c r="A6149" s="2" t="str">
        <f t="shared" si="228"/>
        <v>47420</v>
      </c>
      <c r="B6149" s="2" t="str">
        <f>"56594"</f>
        <v>56594</v>
      </c>
      <c r="C6149" s="1">
        <v>1.24873748967037E-2</v>
      </c>
      <c r="D6149" s="1">
        <v>2.3501762632197401E-3</v>
      </c>
      <c r="E6149" s="1">
        <v>3.4364261168384801E-3</v>
      </c>
      <c r="F6149" s="1">
        <v>1.1359948068808801E-2</v>
      </c>
    </row>
    <row r="6150" spans="1:6" x14ac:dyDescent="0.25">
      <c r="A6150" s="2" t="str">
        <f t="shared" si="228"/>
        <v>47420</v>
      </c>
      <c r="B6150" s="2" t="str">
        <f>"56520"</f>
        <v>56520</v>
      </c>
      <c r="C6150" s="1">
        <v>0.17794509227802699</v>
      </c>
      <c r="D6150" s="1">
        <v>0.22209165687426499</v>
      </c>
      <c r="E6150" s="1">
        <v>0.17182130584192401</v>
      </c>
      <c r="F6150" s="1">
        <v>0.18070431678026599</v>
      </c>
    </row>
    <row r="6151" spans="1:6" x14ac:dyDescent="0.25">
      <c r="A6151" s="2" t="str">
        <f t="shared" ref="A6151:A6168" si="229">"13420"</f>
        <v>13420</v>
      </c>
      <c r="B6151" s="2" t="str">
        <f>"56661"</f>
        <v>56661</v>
      </c>
      <c r="C6151" s="1">
        <v>2.2488038277511898E-3</v>
      </c>
      <c r="D6151" s="1">
        <v>0</v>
      </c>
      <c r="E6151" s="1">
        <v>0</v>
      </c>
      <c r="F6151" s="1">
        <v>1.9756200084068902E-3</v>
      </c>
    </row>
    <row r="6152" spans="1:6" x14ac:dyDescent="0.25">
      <c r="A6152" s="2" t="str">
        <f t="shared" si="229"/>
        <v>13420</v>
      </c>
      <c r="B6152" s="2" t="str">
        <f>"56683"</f>
        <v>56683</v>
      </c>
      <c r="C6152" s="1">
        <v>1.6267942583732001E-2</v>
      </c>
      <c r="D6152" s="1">
        <v>5.9459459459459399E-3</v>
      </c>
      <c r="E6152" s="1">
        <v>1.9230769230769199E-3</v>
      </c>
      <c r="F6152" s="1">
        <v>1.48381672971836E-2</v>
      </c>
    </row>
    <row r="6153" spans="1:6" x14ac:dyDescent="0.25">
      <c r="A6153" s="2" t="str">
        <f t="shared" si="229"/>
        <v>13420</v>
      </c>
      <c r="B6153" s="2" t="str">
        <f>"56652"</f>
        <v>56652</v>
      </c>
      <c r="C6153" s="1">
        <v>1.2440191387559801E-3</v>
      </c>
      <c r="D6153" s="1">
        <v>0</v>
      </c>
      <c r="E6153" s="1">
        <v>0</v>
      </c>
      <c r="F6153" s="1">
        <v>1.09289617486338E-3</v>
      </c>
    </row>
    <row r="6154" spans="1:6" x14ac:dyDescent="0.25">
      <c r="A6154" s="2" t="str">
        <f t="shared" si="229"/>
        <v>13420</v>
      </c>
      <c r="B6154" s="2" t="str">
        <f>"56685"</f>
        <v>56685</v>
      </c>
      <c r="C6154" s="1">
        <v>2.2488038277511898E-3</v>
      </c>
      <c r="D6154" s="1">
        <v>5.4054054054054001E-4</v>
      </c>
      <c r="E6154" s="1">
        <v>1.9230769230769199E-3</v>
      </c>
      <c r="F6154" s="1">
        <v>2.10172341319882E-3</v>
      </c>
    </row>
    <row r="6155" spans="1:6" x14ac:dyDescent="0.25">
      <c r="A6155" s="2" t="str">
        <f t="shared" si="229"/>
        <v>13420</v>
      </c>
      <c r="B6155" s="2" t="str">
        <f>"56670"</f>
        <v>56670</v>
      </c>
      <c r="C6155" s="1">
        <v>0</v>
      </c>
      <c r="D6155" s="1">
        <v>0</v>
      </c>
      <c r="E6155" s="1">
        <v>9.6153846153846105E-4</v>
      </c>
      <c r="F6155" s="1">
        <v>4.20344682639764E-5</v>
      </c>
    </row>
    <row r="6156" spans="1:6" x14ac:dyDescent="0.25">
      <c r="A6156" s="2" t="str">
        <f t="shared" si="229"/>
        <v>13420</v>
      </c>
      <c r="B6156" s="2" t="str">
        <f>"56676"</f>
        <v>56676</v>
      </c>
      <c r="C6156" s="1">
        <v>1.7846889952153101E-2</v>
      </c>
      <c r="D6156" s="1">
        <v>1.08108108108108E-3</v>
      </c>
      <c r="E6156" s="1">
        <v>3.8461538461538399E-3</v>
      </c>
      <c r="F6156" s="1">
        <v>1.5931063472047001E-2</v>
      </c>
    </row>
    <row r="6157" spans="1:6" x14ac:dyDescent="0.25">
      <c r="A6157" s="2" t="str">
        <f t="shared" si="229"/>
        <v>13420</v>
      </c>
      <c r="B6157" s="2" t="str">
        <f>"56619"</f>
        <v>56619</v>
      </c>
      <c r="C6157" s="1">
        <v>5.22488038277511E-2</v>
      </c>
      <c r="D6157" s="1">
        <v>0.209189189189189</v>
      </c>
      <c r="E6157" s="1">
        <v>1.9230769230769199E-3</v>
      </c>
      <c r="F6157" s="1">
        <v>6.2253047498949103E-2</v>
      </c>
    </row>
    <row r="6158" spans="1:6" x14ac:dyDescent="0.25">
      <c r="A6158" s="2" t="str">
        <f t="shared" si="229"/>
        <v>13420</v>
      </c>
      <c r="B6158" s="2" t="str">
        <f>"56633"</f>
        <v>56633</v>
      </c>
      <c r="C6158" s="1">
        <v>2.17703349282296E-2</v>
      </c>
      <c r="D6158" s="1">
        <v>8.6486486486486401E-3</v>
      </c>
      <c r="E6158" s="1">
        <v>5.76923076923076E-3</v>
      </c>
      <c r="F6158" s="1">
        <v>2.00504413619167E-2</v>
      </c>
    </row>
    <row r="6159" spans="1:6" x14ac:dyDescent="0.25">
      <c r="A6159" s="2" t="str">
        <f t="shared" si="229"/>
        <v>13420</v>
      </c>
      <c r="B6159" s="2" t="str">
        <f>"56647"</f>
        <v>56647</v>
      </c>
      <c r="C6159" s="1">
        <v>1.66985645933014E-2</v>
      </c>
      <c r="D6159" s="1">
        <v>7.0270270270270203E-3</v>
      </c>
      <c r="E6159" s="1">
        <v>9.6153846153846105E-4</v>
      </c>
      <c r="F6159" s="1">
        <v>1.52585119798234E-2</v>
      </c>
    </row>
    <row r="6160" spans="1:6" x14ac:dyDescent="0.25">
      <c r="A6160" s="2" t="str">
        <f t="shared" si="229"/>
        <v>13420</v>
      </c>
      <c r="B6160" s="2" t="str">
        <f>"56727"</f>
        <v>56727</v>
      </c>
      <c r="C6160" s="1">
        <v>8.9473684210526292E-3</v>
      </c>
      <c r="D6160" s="1">
        <v>1.08108108108108E-3</v>
      </c>
      <c r="E6160" s="1">
        <v>0</v>
      </c>
      <c r="F6160" s="1">
        <v>7.9445145018915506E-3</v>
      </c>
    </row>
    <row r="6161" spans="1:6" x14ac:dyDescent="0.25">
      <c r="A6161" s="2" t="str">
        <f t="shared" si="229"/>
        <v>13420</v>
      </c>
      <c r="B6161" s="2" t="str">
        <f>"56667"</f>
        <v>56667</v>
      </c>
      <c r="C6161" s="1">
        <v>1.6746411483253499E-2</v>
      </c>
      <c r="D6161" s="1">
        <v>4.8648648648648603E-3</v>
      </c>
      <c r="E6161" s="1">
        <v>9.6153846153846105E-4</v>
      </c>
      <c r="F6161" s="1">
        <v>1.51324085750315E-2</v>
      </c>
    </row>
    <row r="6162" spans="1:6" x14ac:dyDescent="0.25">
      <c r="A6162" s="2" t="str">
        <f t="shared" si="229"/>
        <v>13420</v>
      </c>
      <c r="B6162" s="2" t="str">
        <f>"56630"</f>
        <v>56630</v>
      </c>
      <c r="C6162" s="1">
        <v>5.2105263157894703E-2</v>
      </c>
      <c r="D6162" s="1">
        <v>1.2432432432432401E-2</v>
      </c>
      <c r="E6162" s="1">
        <v>2.01923076923076E-2</v>
      </c>
      <c r="F6162" s="1">
        <v>4.76250525430853E-2</v>
      </c>
    </row>
    <row r="6163" spans="1:6" x14ac:dyDescent="0.25">
      <c r="A6163" s="2" t="str">
        <f t="shared" si="229"/>
        <v>13420</v>
      </c>
      <c r="B6163" s="2" t="str">
        <f>"56663"</f>
        <v>56663</v>
      </c>
      <c r="C6163" s="1">
        <v>5.5980861244019102E-3</v>
      </c>
      <c r="D6163" s="1">
        <v>5.4054054054054001E-4</v>
      </c>
      <c r="E6163" s="1">
        <v>0</v>
      </c>
      <c r="F6163" s="1">
        <v>4.9600672551492198E-3</v>
      </c>
    </row>
    <row r="6164" spans="1:6" x14ac:dyDescent="0.25">
      <c r="A6164" s="2" t="str">
        <f t="shared" si="229"/>
        <v>13420</v>
      </c>
      <c r="B6164" s="2" t="str">
        <f>"56601"</f>
        <v>56601</v>
      </c>
      <c r="C6164" s="1">
        <v>0.75162679425837298</v>
      </c>
      <c r="D6164" s="1">
        <v>0.73621621621621602</v>
      </c>
      <c r="E6164" s="1">
        <v>0.95673076923076905</v>
      </c>
      <c r="F6164" s="1">
        <v>0.75939470365699802</v>
      </c>
    </row>
    <row r="6165" spans="1:6" x14ac:dyDescent="0.25">
      <c r="A6165" s="2" t="str">
        <f t="shared" si="229"/>
        <v>13420</v>
      </c>
      <c r="B6165" s="2" t="str">
        <f>"56666"</f>
        <v>56666</v>
      </c>
      <c r="C6165" s="1">
        <v>0</v>
      </c>
      <c r="D6165" s="1">
        <v>5.4054054054054001E-4</v>
      </c>
      <c r="E6165" s="1">
        <v>0</v>
      </c>
      <c r="F6165" s="1">
        <v>4.20344682639764E-5</v>
      </c>
    </row>
    <row r="6166" spans="1:6" x14ac:dyDescent="0.25">
      <c r="A6166" s="2" t="str">
        <f t="shared" si="229"/>
        <v>13420</v>
      </c>
      <c r="B6166" s="2" t="str">
        <f>"56671"</f>
        <v>56671</v>
      </c>
      <c r="C6166" s="1">
        <v>0</v>
      </c>
      <c r="D6166" s="1">
        <v>1.62162162162162E-3</v>
      </c>
      <c r="E6166" s="1">
        <v>9.6153846153846105E-4</v>
      </c>
      <c r="F6166" s="1">
        <v>1.68137873055905E-4</v>
      </c>
    </row>
    <row r="6167" spans="1:6" x14ac:dyDescent="0.25">
      <c r="A6167" s="2" t="str">
        <f t="shared" si="229"/>
        <v>13420</v>
      </c>
      <c r="B6167" s="2" t="str">
        <f>"56678"</f>
        <v>56678</v>
      </c>
      <c r="C6167" s="1">
        <v>1.86602870813397E-2</v>
      </c>
      <c r="D6167" s="1">
        <v>7.0270270270270203E-3</v>
      </c>
      <c r="E6167" s="1">
        <v>9.6153846153846105E-4</v>
      </c>
      <c r="F6167" s="1">
        <v>1.6981925178646402E-2</v>
      </c>
    </row>
    <row r="6168" spans="1:6" x14ac:dyDescent="0.25">
      <c r="A6168" s="2" t="str">
        <f t="shared" si="229"/>
        <v>13420</v>
      </c>
      <c r="B6168" s="2" t="str">
        <f>"56650"</f>
        <v>56650</v>
      </c>
      <c r="C6168" s="1">
        <v>1.57416267942583E-2</v>
      </c>
      <c r="D6168" s="1">
        <v>3.24324324324324E-3</v>
      </c>
      <c r="E6168" s="1">
        <v>2.88461538461538E-3</v>
      </c>
      <c r="F6168" s="1">
        <v>1.4207650273223999E-2</v>
      </c>
    </row>
    <row r="6169" spans="1:6" x14ac:dyDescent="0.25">
      <c r="A6169" s="2" t="str">
        <f t="shared" ref="A6169:A6177" si="230">"43940"</f>
        <v>43940</v>
      </c>
      <c r="B6169" s="2" t="str">
        <f>"57759"</f>
        <v>57759</v>
      </c>
      <c r="C6169" s="1">
        <v>8.5492568722872492E-3</v>
      </c>
      <c r="D6169" s="1">
        <v>0</v>
      </c>
      <c r="E6169" s="1">
        <v>1.3831258644536599E-3</v>
      </c>
      <c r="F6169" s="1">
        <v>7.4431818181818097E-3</v>
      </c>
    </row>
    <row r="6170" spans="1:6" x14ac:dyDescent="0.25">
      <c r="A6170" s="2" t="str">
        <f t="shared" si="230"/>
        <v>43940</v>
      </c>
      <c r="B6170" s="2" t="str">
        <f>"57799"</f>
        <v>57799</v>
      </c>
      <c r="C6170" s="1">
        <v>7.5496514533736597E-2</v>
      </c>
      <c r="D6170" s="1">
        <v>5.3859964093357204E-3</v>
      </c>
      <c r="E6170" s="1">
        <v>1.3831258644536599E-3</v>
      </c>
      <c r="F6170" s="1">
        <v>6.5795454545454504E-2</v>
      </c>
    </row>
    <row r="6171" spans="1:6" x14ac:dyDescent="0.25">
      <c r="A6171" s="2" t="str">
        <f t="shared" si="230"/>
        <v>43940</v>
      </c>
      <c r="B6171" s="2" t="str">
        <f>"57783"</f>
        <v>57783</v>
      </c>
      <c r="C6171" s="1">
        <v>0.57746941996580203</v>
      </c>
      <c r="D6171" s="1">
        <v>0.66846199880311097</v>
      </c>
      <c r="E6171" s="1">
        <v>0.64177040110649997</v>
      </c>
      <c r="F6171" s="1">
        <v>0.58875</v>
      </c>
    </row>
    <row r="6172" spans="1:6" x14ac:dyDescent="0.25">
      <c r="A6172" s="2" t="str">
        <f t="shared" si="230"/>
        <v>43940</v>
      </c>
      <c r="B6172" s="2" t="str">
        <f>"57785"</f>
        <v>57785</v>
      </c>
      <c r="C6172" s="1">
        <v>3.1763777456267198E-2</v>
      </c>
      <c r="D6172" s="1">
        <v>7.7797725912627097E-3</v>
      </c>
      <c r="E6172" s="1">
        <v>6.9156293222683201E-3</v>
      </c>
      <c r="F6172" s="1">
        <v>2.8465909090909E-2</v>
      </c>
    </row>
    <row r="6173" spans="1:6" x14ac:dyDescent="0.25">
      <c r="A6173" s="2" t="str">
        <f t="shared" si="230"/>
        <v>43940</v>
      </c>
      <c r="B6173" s="2" t="str">
        <f>"57779"</f>
        <v>57779</v>
      </c>
      <c r="C6173" s="1">
        <v>1.03248717611469E-2</v>
      </c>
      <c r="D6173" s="1">
        <v>5.9844404548174701E-4</v>
      </c>
      <c r="E6173" s="1">
        <v>2.7662517289073298E-3</v>
      </c>
      <c r="F6173" s="1">
        <v>9.0909090909090905E-3</v>
      </c>
    </row>
    <row r="6174" spans="1:6" x14ac:dyDescent="0.25">
      <c r="A6174" s="2" t="str">
        <f t="shared" si="230"/>
        <v>43940</v>
      </c>
      <c r="B6174" s="2" t="str">
        <f>"57717"</f>
        <v>57717</v>
      </c>
      <c r="C6174" s="1">
        <v>1.11797974483756E-3</v>
      </c>
      <c r="D6174" s="1">
        <v>5.9844404548174701E-4</v>
      </c>
      <c r="E6174" s="1">
        <v>0</v>
      </c>
      <c r="F6174" s="1">
        <v>1.02272727272727E-3</v>
      </c>
    </row>
    <row r="6175" spans="1:6" x14ac:dyDescent="0.25">
      <c r="A6175" s="2" t="str">
        <f t="shared" si="230"/>
        <v>43940</v>
      </c>
      <c r="B6175" s="2" t="str">
        <f>"57754"</f>
        <v>57754</v>
      </c>
      <c r="C6175" s="1">
        <v>0.152045245297908</v>
      </c>
      <c r="D6175" s="1">
        <v>0.106523040095751</v>
      </c>
      <c r="E6175" s="1">
        <v>0.19778699861687399</v>
      </c>
      <c r="F6175" s="1">
        <v>0.149602272727272</v>
      </c>
    </row>
    <row r="6176" spans="1:6" x14ac:dyDescent="0.25">
      <c r="A6176" s="2" t="str">
        <f t="shared" si="230"/>
        <v>43940</v>
      </c>
      <c r="B6176" s="2" t="str">
        <f>"57732"</f>
        <v>57732</v>
      </c>
      <c r="C6176" s="1">
        <v>9.0950940418255896E-2</v>
      </c>
      <c r="D6176" s="1">
        <v>0.192698982645122</v>
      </c>
      <c r="E6176" s="1">
        <v>0.13278008298755101</v>
      </c>
      <c r="F6176" s="1">
        <v>0.10232954545454501</v>
      </c>
    </row>
    <row r="6177" spans="1:6" x14ac:dyDescent="0.25">
      <c r="A6177" s="2" t="str">
        <f t="shared" si="230"/>
        <v>43940</v>
      </c>
      <c r="B6177" s="2" t="str">
        <f>"57793"</f>
        <v>57793</v>
      </c>
      <c r="C6177" s="1">
        <v>5.2281993949756599E-2</v>
      </c>
      <c r="D6177" s="1">
        <v>1.79533213644524E-2</v>
      </c>
      <c r="E6177" s="1">
        <v>1.52143845089903E-2</v>
      </c>
      <c r="F6177" s="1">
        <v>4.7500000000000001E-2</v>
      </c>
    </row>
    <row r="6178" spans="1:6" x14ac:dyDescent="0.25">
      <c r="A6178" s="2" t="str">
        <f t="shared" ref="A6178:A6216" si="231">"13740"</f>
        <v>13740</v>
      </c>
      <c r="B6178" s="2" t="str">
        <f>"59064"</f>
        <v>59064</v>
      </c>
      <c r="C6178" s="1">
        <v>1.31493190939547E-3</v>
      </c>
      <c r="D6178" s="1">
        <v>2.8996713705779998E-4</v>
      </c>
      <c r="E6178" s="1">
        <v>1.2001920307249099E-3</v>
      </c>
      <c r="F6178" s="1">
        <v>1.20624895801665E-3</v>
      </c>
    </row>
    <row r="6179" spans="1:6" x14ac:dyDescent="0.25">
      <c r="A6179" s="2" t="str">
        <f t="shared" si="231"/>
        <v>13740</v>
      </c>
      <c r="B6179" s="2" t="str">
        <f>"59001"</f>
        <v>59001</v>
      </c>
      <c r="C6179" s="1">
        <v>7.8209863132739504E-3</v>
      </c>
      <c r="D6179" s="1">
        <v>7.7324569882080004E-4</v>
      </c>
      <c r="E6179" s="1">
        <v>2.64042246759481E-3</v>
      </c>
      <c r="F6179" s="1">
        <v>6.89425217468054E-3</v>
      </c>
    </row>
    <row r="6180" spans="1:6" x14ac:dyDescent="0.25">
      <c r="A6180" s="2" t="str">
        <f t="shared" si="231"/>
        <v>13740</v>
      </c>
      <c r="B6180" s="2" t="str">
        <f>"59107"</f>
        <v>59107</v>
      </c>
      <c r="C6180" s="1">
        <v>9.29599688990017E-3</v>
      </c>
      <c r="D6180" s="1">
        <v>3.11231393775372E-2</v>
      </c>
      <c r="E6180" s="1">
        <v>4.8007681228996599E-4</v>
      </c>
      <c r="F6180" s="1">
        <v>1.11504476850807E-2</v>
      </c>
    </row>
    <row r="6181" spans="1:6" x14ac:dyDescent="0.25">
      <c r="A6181" s="2" t="str">
        <f t="shared" si="231"/>
        <v>13740</v>
      </c>
      <c r="B6181" s="2" t="str">
        <f>"59074"</f>
        <v>59074</v>
      </c>
      <c r="C6181" s="1">
        <v>3.4302571549447098E-5</v>
      </c>
      <c r="D6181" s="1">
        <v>0</v>
      </c>
      <c r="E6181" s="1">
        <v>0</v>
      </c>
      <c r="F6181" s="1">
        <v>2.9420706293089E-5</v>
      </c>
    </row>
    <row r="6182" spans="1:6" x14ac:dyDescent="0.25">
      <c r="A6182" s="2" t="str">
        <f t="shared" si="231"/>
        <v>13740</v>
      </c>
      <c r="B6182" s="2" t="str">
        <f>"59011"</f>
        <v>59011</v>
      </c>
      <c r="C6182" s="1">
        <v>9.1473524131859005E-5</v>
      </c>
      <c r="D6182" s="1">
        <v>0</v>
      </c>
      <c r="E6182" s="1">
        <v>0</v>
      </c>
      <c r="F6182" s="1">
        <v>7.8455216781570796E-5</v>
      </c>
    </row>
    <row r="6183" spans="1:6" x14ac:dyDescent="0.25">
      <c r="A6183" s="2" t="str">
        <f t="shared" si="231"/>
        <v>13740</v>
      </c>
      <c r="B6183" s="2" t="str">
        <f>"59037"</f>
        <v>59037</v>
      </c>
      <c r="C6183" s="1">
        <v>9.6047200338451998E-3</v>
      </c>
      <c r="D6183" s="1">
        <v>1.5464913976416001E-3</v>
      </c>
      <c r="E6183" s="1">
        <v>1.9203072491598601E-3</v>
      </c>
      <c r="F6183" s="1">
        <v>8.4731634124096504E-3</v>
      </c>
    </row>
    <row r="6184" spans="1:6" x14ac:dyDescent="0.25">
      <c r="A6184" s="2" t="str">
        <f t="shared" si="231"/>
        <v>13740</v>
      </c>
      <c r="B6184" s="2" t="str">
        <f>"59101"</f>
        <v>59101</v>
      </c>
      <c r="C6184" s="1">
        <v>0.221766125067175</v>
      </c>
      <c r="D6184" s="1">
        <v>0.35124685868934802</v>
      </c>
      <c r="E6184" s="1">
        <v>0.33605376860297598</v>
      </c>
      <c r="F6184" s="1">
        <v>0.23957281134462399</v>
      </c>
    </row>
    <row r="6185" spans="1:6" x14ac:dyDescent="0.25">
      <c r="A6185" s="2" t="str">
        <f t="shared" si="231"/>
        <v>13740</v>
      </c>
      <c r="B6185" s="2" t="str">
        <f>"59024"</f>
        <v>59024</v>
      </c>
      <c r="C6185" s="1">
        <v>1.9895491498679299E-3</v>
      </c>
      <c r="D6185" s="1">
        <v>1.9331142470520001E-4</v>
      </c>
      <c r="E6185" s="1">
        <v>2.40038406144983E-4</v>
      </c>
      <c r="F6185" s="1">
        <v>1.7358216712922501E-3</v>
      </c>
    </row>
    <row r="6186" spans="1:6" x14ac:dyDescent="0.25">
      <c r="A6186" s="2" t="str">
        <f t="shared" si="231"/>
        <v>13740</v>
      </c>
      <c r="B6186" s="2" t="str">
        <f>"59014"</f>
        <v>59014</v>
      </c>
      <c r="C6186" s="1">
        <v>9.8105354631418795E-3</v>
      </c>
      <c r="D6186" s="1">
        <v>9.6655712352600003E-4</v>
      </c>
      <c r="E6186" s="1">
        <v>3.3605376860297602E-3</v>
      </c>
      <c r="F6186" s="1">
        <v>8.6496876501681794E-3</v>
      </c>
    </row>
    <row r="6187" spans="1:6" x14ac:dyDescent="0.25">
      <c r="A6187" s="2" t="str">
        <f t="shared" si="231"/>
        <v>13740</v>
      </c>
      <c r="B6187" s="2" t="str">
        <f>"59103"</f>
        <v>59103</v>
      </c>
      <c r="C6187" s="1">
        <v>1.50016579576248E-2</v>
      </c>
      <c r="D6187" s="1">
        <v>6.2149623042721799E-2</v>
      </c>
      <c r="E6187" s="1">
        <v>4.8007681228996599E-4</v>
      </c>
      <c r="F6187" s="1">
        <v>1.91921074051917E-2</v>
      </c>
    </row>
    <row r="6188" spans="1:6" x14ac:dyDescent="0.25">
      <c r="A6188" s="2" t="str">
        <f t="shared" si="231"/>
        <v>13740</v>
      </c>
      <c r="B6188" s="2" t="str">
        <f>"59026"</f>
        <v>59026</v>
      </c>
      <c r="C6188" s="1">
        <v>1.48644476714271E-4</v>
      </c>
      <c r="D6188" s="1">
        <v>0</v>
      </c>
      <c r="E6188" s="1">
        <v>2.40038406144983E-4</v>
      </c>
      <c r="F6188" s="1">
        <v>1.3729662936774899E-4</v>
      </c>
    </row>
    <row r="6189" spans="1:6" x14ac:dyDescent="0.25">
      <c r="A6189" s="2" t="str">
        <f t="shared" si="231"/>
        <v>13740</v>
      </c>
      <c r="B6189" s="2" t="str">
        <f>"59007"</f>
        <v>59007</v>
      </c>
      <c r="C6189" s="1">
        <v>2.28683810329647E-4</v>
      </c>
      <c r="D6189" s="1">
        <v>1.9331142470520001E-4</v>
      </c>
      <c r="E6189" s="1">
        <v>2.40038406144983E-4</v>
      </c>
      <c r="F6189" s="1">
        <v>2.2555874824701599E-4</v>
      </c>
    </row>
    <row r="6190" spans="1:6" x14ac:dyDescent="0.25">
      <c r="A6190" s="2" t="str">
        <f t="shared" si="231"/>
        <v>13740</v>
      </c>
      <c r="B6190" s="2" t="str">
        <f>"59070"</f>
        <v>59070</v>
      </c>
      <c r="C6190" s="1">
        <v>6.3574099271642001E-3</v>
      </c>
      <c r="D6190" s="1">
        <v>9.6655712352600003E-4</v>
      </c>
      <c r="E6190" s="1">
        <v>1.2001920307249099E-3</v>
      </c>
      <c r="F6190" s="1">
        <v>5.5997410977846199E-3</v>
      </c>
    </row>
    <row r="6191" spans="1:6" x14ac:dyDescent="0.25">
      <c r="A6191" s="2" t="str">
        <f t="shared" si="231"/>
        <v>13740</v>
      </c>
      <c r="B6191" s="2" t="str">
        <f>"59006"</f>
        <v>59006</v>
      </c>
      <c r="C6191" s="1">
        <v>3.54459906010953E-3</v>
      </c>
      <c r="D6191" s="1">
        <v>9.6655712352600005E-5</v>
      </c>
      <c r="E6191" s="1">
        <v>3.6005760921747399E-3</v>
      </c>
      <c r="F6191" s="1">
        <v>3.1970500838490101E-3</v>
      </c>
    </row>
    <row r="6192" spans="1:6" x14ac:dyDescent="0.25">
      <c r="A6192" s="2" t="str">
        <f t="shared" si="231"/>
        <v>13740</v>
      </c>
      <c r="B6192" s="2" t="str">
        <f>"59104"</f>
        <v>59104</v>
      </c>
      <c r="C6192" s="1">
        <v>1.3080713950855799E-2</v>
      </c>
      <c r="D6192" s="1">
        <v>6.0893098782138E-2</v>
      </c>
      <c r="E6192" s="1">
        <v>4.8007681228996599E-4</v>
      </c>
      <c r="F6192" s="1">
        <v>1.74170581255087E-2</v>
      </c>
    </row>
    <row r="6193" spans="1:6" x14ac:dyDescent="0.25">
      <c r="A6193" s="2" t="str">
        <f t="shared" si="231"/>
        <v>13740</v>
      </c>
      <c r="B6193" s="2" t="str">
        <f>"59029"</f>
        <v>59029</v>
      </c>
      <c r="C6193" s="1">
        <v>1.76086533953828E-3</v>
      </c>
      <c r="D6193" s="1">
        <v>1.9331142470520001E-4</v>
      </c>
      <c r="E6193" s="1">
        <v>2.40038406144983E-4</v>
      </c>
      <c r="F6193" s="1">
        <v>1.53968362933832E-3</v>
      </c>
    </row>
    <row r="6194" spans="1:6" x14ac:dyDescent="0.25">
      <c r="A6194" s="2" t="str">
        <f t="shared" si="231"/>
        <v>13740</v>
      </c>
      <c r="B6194" s="2" t="str">
        <f>"59069"</f>
        <v>59069</v>
      </c>
      <c r="C6194" s="1">
        <v>1.8866414352195901E-3</v>
      </c>
      <c r="D6194" s="1">
        <v>2.8996713705779998E-4</v>
      </c>
      <c r="E6194" s="1">
        <v>1.2001920307249099E-3</v>
      </c>
      <c r="F6194" s="1">
        <v>1.6965940629014699E-3</v>
      </c>
    </row>
    <row r="6195" spans="1:6" x14ac:dyDescent="0.25">
      <c r="A6195" s="2" t="str">
        <f t="shared" si="231"/>
        <v>13740</v>
      </c>
      <c r="B6195" s="2" t="str">
        <f>"59015"</f>
        <v>59015</v>
      </c>
      <c r="C6195" s="1">
        <v>1.65795762488994E-3</v>
      </c>
      <c r="D6195" s="1">
        <v>2.8996713705779998E-4</v>
      </c>
      <c r="E6195" s="1">
        <v>2.40038406144983E-4</v>
      </c>
      <c r="F6195" s="1">
        <v>1.46122841255675E-3</v>
      </c>
    </row>
    <row r="6196" spans="1:6" x14ac:dyDescent="0.25">
      <c r="A6196" s="2" t="str">
        <f t="shared" si="231"/>
        <v>13740</v>
      </c>
      <c r="B6196" s="2" t="str">
        <f>"59046"</f>
        <v>59046</v>
      </c>
      <c r="C6196" s="1">
        <v>3.4302571549447098E-5</v>
      </c>
      <c r="D6196" s="1">
        <v>0</v>
      </c>
      <c r="E6196" s="1">
        <v>0</v>
      </c>
      <c r="F6196" s="1">
        <v>2.9420706293089E-5</v>
      </c>
    </row>
    <row r="6197" spans="1:6" x14ac:dyDescent="0.25">
      <c r="A6197" s="2" t="str">
        <f t="shared" si="231"/>
        <v>13740</v>
      </c>
      <c r="B6197" s="2" t="str">
        <f>"59088"</f>
        <v>59088</v>
      </c>
      <c r="C6197" s="1">
        <v>6.7004356426586696E-3</v>
      </c>
      <c r="D6197" s="1">
        <v>2.8996713705779998E-4</v>
      </c>
      <c r="E6197" s="1">
        <v>5.0408065290446398E-3</v>
      </c>
      <c r="F6197" s="1">
        <v>5.98221027959477E-3</v>
      </c>
    </row>
    <row r="6198" spans="1:6" x14ac:dyDescent="0.25">
      <c r="A6198" s="2" t="str">
        <f t="shared" si="231"/>
        <v>13740</v>
      </c>
      <c r="B6198" s="2" t="str">
        <f>"59041"</f>
        <v>59041</v>
      </c>
      <c r="C6198" s="1">
        <v>7.5351315503618902E-3</v>
      </c>
      <c r="D6198" s="1">
        <v>1.1598685482311999E-3</v>
      </c>
      <c r="E6198" s="1">
        <v>2.4003840614498298E-3</v>
      </c>
      <c r="F6198" s="1">
        <v>6.67850032853122E-3</v>
      </c>
    </row>
    <row r="6199" spans="1:6" x14ac:dyDescent="0.25">
      <c r="A6199" s="2" t="str">
        <f t="shared" si="231"/>
        <v>13740</v>
      </c>
      <c r="B6199" s="2" t="str">
        <f>"59019"</f>
        <v>59019</v>
      </c>
      <c r="C6199" s="1">
        <v>1.6945470345426799E-2</v>
      </c>
      <c r="D6199" s="1">
        <v>3.8662284941040001E-3</v>
      </c>
      <c r="E6199" s="1">
        <v>8.4013442150744095E-3</v>
      </c>
      <c r="F6199" s="1">
        <v>1.5269346566113199E-2</v>
      </c>
    </row>
    <row r="6200" spans="1:6" x14ac:dyDescent="0.25">
      <c r="A6200" s="2" t="str">
        <f t="shared" si="231"/>
        <v>13740</v>
      </c>
      <c r="B6200" s="2" t="str">
        <f>"59108"</f>
        <v>59108</v>
      </c>
      <c r="C6200" s="1">
        <v>7.6494734555267096E-3</v>
      </c>
      <c r="D6200" s="1">
        <v>4.89077904504156E-2</v>
      </c>
      <c r="E6200" s="1">
        <v>4.8007681228996599E-4</v>
      </c>
      <c r="F6200" s="1">
        <v>1.15427237689886E-2</v>
      </c>
    </row>
    <row r="6201" spans="1:6" x14ac:dyDescent="0.25">
      <c r="A6201" s="2" t="str">
        <f t="shared" si="231"/>
        <v>13740</v>
      </c>
      <c r="B6201" s="2" t="str">
        <f>"59079"</f>
        <v>59079</v>
      </c>
      <c r="C6201" s="1">
        <v>1.5687709388613798E-2</v>
      </c>
      <c r="D6201" s="1">
        <v>9.6655712352600003E-4</v>
      </c>
      <c r="E6201" s="1">
        <v>3.3605376860297602E-3</v>
      </c>
      <c r="F6201" s="1">
        <v>1.36904353283841E-2</v>
      </c>
    </row>
    <row r="6202" spans="1:6" x14ac:dyDescent="0.25">
      <c r="A6202" s="2" t="str">
        <f t="shared" si="231"/>
        <v>13740</v>
      </c>
      <c r="B6202" s="2" t="str">
        <f>"59068"</f>
        <v>59068</v>
      </c>
      <c r="C6202" s="1">
        <v>2.0958871216712201E-2</v>
      </c>
      <c r="D6202" s="1">
        <v>3.2862942199883998E-3</v>
      </c>
      <c r="E6202" s="1">
        <v>1.6562650024003801E-2</v>
      </c>
      <c r="F6202" s="1">
        <v>1.8986162461140099E-2</v>
      </c>
    </row>
    <row r="6203" spans="1:6" x14ac:dyDescent="0.25">
      <c r="A6203" s="2" t="str">
        <f t="shared" si="231"/>
        <v>13740</v>
      </c>
      <c r="B6203" s="2" t="str">
        <f>"59111"</f>
        <v>59111</v>
      </c>
      <c r="C6203" s="1">
        <v>0</v>
      </c>
      <c r="D6203" s="1">
        <v>9.6655712352600005E-5</v>
      </c>
      <c r="E6203" s="1">
        <v>0</v>
      </c>
      <c r="F6203" s="1">
        <v>9.8069020976963496E-6</v>
      </c>
    </row>
    <row r="6204" spans="1:6" x14ac:dyDescent="0.25">
      <c r="A6204" s="2" t="str">
        <f t="shared" si="231"/>
        <v>13740</v>
      </c>
      <c r="B6204" s="2" t="str">
        <f>"59102"</f>
        <v>59102</v>
      </c>
      <c r="C6204" s="1">
        <v>0.25789816709926</v>
      </c>
      <c r="D6204" s="1">
        <v>0.26010052194084599</v>
      </c>
      <c r="E6204" s="1">
        <v>0.35045607297167503</v>
      </c>
      <c r="F6204" s="1">
        <v>0.26190312742107802</v>
      </c>
    </row>
    <row r="6205" spans="1:6" x14ac:dyDescent="0.25">
      <c r="A6205" s="2" t="str">
        <f t="shared" si="231"/>
        <v>13740</v>
      </c>
      <c r="B6205" s="2" t="str">
        <f>"59106"</f>
        <v>59106</v>
      </c>
      <c r="C6205" s="1">
        <v>9.9328813016682393E-2</v>
      </c>
      <c r="D6205" s="1">
        <v>2.6966943746375399E-2</v>
      </c>
      <c r="E6205" s="1">
        <v>6.0489678348535698E-2</v>
      </c>
      <c r="F6205" s="1">
        <v>9.0400023536564997E-2</v>
      </c>
    </row>
    <row r="6206" spans="1:6" x14ac:dyDescent="0.25">
      <c r="A6206" s="2" t="str">
        <f t="shared" si="231"/>
        <v>13740</v>
      </c>
      <c r="B6206" s="2" t="str">
        <f>"59008"</f>
        <v>59008</v>
      </c>
      <c r="C6206" s="1">
        <v>2.1724961981316499E-3</v>
      </c>
      <c r="D6206" s="1">
        <v>9.6655712352600005E-5</v>
      </c>
      <c r="E6206" s="1">
        <v>2.40038406144983E-4</v>
      </c>
      <c r="F6206" s="1">
        <v>1.8829252027577001E-3</v>
      </c>
    </row>
    <row r="6207" spans="1:6" x14ac:dyDescent="0.25">
      <c r="A6207" s="2" t="str">
        <f t="shared" si="231"/>
        <v>13740</v>
      </c>
      <c r="B6207" s="2" t="str">
        <f>"59071"</f>
        <v>59071</v>
      </c>
      <c r="C6207" s="1">
        <v>3.4302571549447102E-4</v>
      </c>
      <c r="D6207" s="1">
        <v>0</v>
      </c>
      <c r="E6207" s="1">
        <v>2.40038406144983E-4</v>
      </c>
      <c r="F6207" s="1">
        <v>3.0401396502858699E-4</v>
      </c>
    </row>
    <row r="6208" spans="1:6" x14ac:dyDescent="0.25">
      <c r="A6208" s="2" t="str">
        <f t="shared" si="231"/>
        <v>13740</v>
      </c>
      <c r="B6208" s="2" t="str">
        <f>"59061"</f>
        <v>59061</v>
      </c>
      <c r="C6208" s="1">
        <v>3.4302571549447102E-3</v>
      </c>
      <c r="D6208" s="1">
        <v>1.9331142470520001E-4</v>
      </c>
      <c r="E6208" s="1">
        <v>2.40038406144983E-4</v>
      </c>
      <c r="F6208" s="1">
        <v>2.9714913356019899E-3</v>
      </c>
    </row>
    <row r="6209" spans="1:6" x14ac:dyDescent="0.25">
      <c r="A6209" s="2" t="str">
        <f t="shared" si="231"/>
        <v>13740</v>
      </c>
      <c r="B6209" s="2" t="str">
        <f>"59028"</f>
        <v>59028</v>
      </c>
      <c r="C6209" s="1">
        <v>4.1506111574830997E-3</v>
      </c>
      <c r="D6209" s="1">
        <v>2.8996713705779998E-4</v>
      </c>
      <c r="E6209" s="1">
        <v>2.40038406144983E-4</v>
      </c>
      <c r="F6209" s="1">
        <v>3.5991330698545601E-3</v>
      </c>
    </row>
    <row r="6210" spans="1:6" x14ac:dyDescent="0.25">
      <c r="A6210" s="2" t="str">
        <f t="shared" si="231"/>
        <v>13740</v>
      </c>
      <c r="B6210" s="2" t="str">
        <f>"59105"</f>
        <v>59105</v>
      </c>
      <c r="C6210" s="1">
        <v>0.168482797260367</v>
      </c>
      <c r="D6210" s="1">
        <v>9.3369418132611598E-2</v>
      </c>
      <c r="E6210" s="1">
        <v>0.155064810369659</v>
      </c>
      <c r="F6210" s="1">
        <v>0.160313428591042</v>
      </c>
    </row>
    <row r="6211" spans="1:6" x14ac:dyDescent="0.25">
      <c r="A6211" s="2" t="str">
        <f t="shared" si="231"/>
        <v>13740</v>
      </c>
      <c r="B6211" s="2" t="str">
        <f>"59013"</f>
        <v>59013</v>
      </c>
      <c r="C6211" s="1">
        <v>0</v>
      </c>
      <c r="D6211" s="1">
        <v>0</v>
      </c>
      <c r="E6211" s="1">
        <v>2.40038406144983E-4</v>
      </c>
      <c r="F6211" s="1">
        <v>9.8069020976963496E-6</v>
      </c>
    </row>
    <row r="6212" spans="1:6" x14ac:dyDescent="0.25">
      <c r="A6212" s="2" t="str">
        <f t="shared" si="231"/>
        <v>13740</v>
      </c>
      <c r="B6212" s="2" t="str">
        <f>"59067"</f>
        <v>59067</v>
      </c>
      <c r="C6212" s="1">
        <v>9.8334038441748491E-4</v>
      </c>
      <c r="D6212" s="1">
        <v>0</v>
      </c>
      <c r="E6212" s="1">
        <v>2.40038406144983E-4</v>
      </c>
      <c r="F6212" s="1">
        <v>8.5320048249958296E-4</v>
      </c>
    </row>
    <row r="6213" spans="1:6" x14ac:dyDescent="0.25">
      <c r="A6213" s="2" t="str">
        <f t="shared" si="231"/>
        <v>13740</v>
      </c>
      <c r="B6213" s="2" t="str">
        <f>"59063"</f>
        <v>59063</v>
      </c>
      <c r="C6213" s="1">
        <v>1.0576626227746201E-2</v>
      </c>
      <c r="D6213" s="1">
        <v>3.8662284941040002E-4</v>
      </c>
      <c r="E6213" s="1">
        <v>6.2409985597695599E-3</v>
      </c>
      <c r="F6213" s="1">
        <v>9.3655915033000192E-3</v>
      </c>
    </row>
    <row r="6214" spans="1:6" x14ac:dyDescent="0.25">
      <c r="A6214" s="2" t="str">
        <f t="shared" si="231"/>
        <v>13740</v>
      </c>
      <c r="B6214" s="2" t="str">
        <f>"59057"</f>
        <v>59057</v>
      </c>
      <c r="C6214" s="1">
        <v>3.7732828704391801E-3</v>
      </c>
      <c r="D6214" s="1">
        <v>1.9331142470520001E-4</v>
      </c>
      <c r="E6214" s="1">
        <v>2.40038406144983E-4</v>
      </c>
      <c r="F6214" s="1">
        <v>3.2656983985328799E-3</v>
      </c>
    </row>
    <row r="6215" spans="1:6" x14ac:dyDescent="0.25">
      <c r="A6215" s="2" t="str">
        <f t="shared" si="231"/>
        <v>13740</v>
      </c>
      <c r="B6215" s="2" t="str">
        <f>"59044"</f>
        <v>59044</v>
      </c>
      <c r="C6215" s="1">
        <v>6.6787106806773605E-2</v>
      </c>
      <c r="D6215" s="1">
        <v>4.8327856176299998E-2</v>
      </c>
      <c r="E6215" s="1">
        <v>3.5765722515602401E-2</v>
      </c>
      <c r="F6215" s="1">
        <v>6.3646794614049304E-2</v>
      </c>
    </row>
    <row r="6216" spans="1:6" x14ac:dyDescent="0.25">
      <c r="A6216" s="2" t="str">
        <f t="shared" si="231"/>
        <v>13740</v>
      </c>
      <c r="B6216" s="2" t="str">
        <f>"59002"</f>
        <v>59002</v>
      </c>
      <c r="C6216" s="1">
        <v>1.1662874326811999E-3</v>
      </c>
      <c r="D6216" s="1">
        <v>2.8996713705779998E-4</v>
      </c>
      <c r="E6216" s="1">
        <v>2.40038406144983E-4</v>
      </c>
      <c r="F6216" s="1">
        <v>1.0395316223558099E-3</v>
      </c>
    </row>
    <row r="6217" spans="1:6" x14ac:dyDescent="0.25">
      <c r="A6217" s="2" t="str">
        <f t="shared" ref="A6217:A6240" si="232">"25740"</f>
        <v>25740</v>
      </c>
      <c r="B6217" s="2" t="str">
        <f>"59638"</f>
        <v>59638</v>
      </c>
      <c r="C6217" s="1">
        <v>8.5261007932361105E-3</v>
      </c>
      <c r="D6217" s="1">
        <v>0</v>
      </c>
      <c r="E6217" s="1">
        <v>4.7869794159885101E-4</v>
      </c>
      <c r="F6217" s="1">
        <v>7.4080171207506701E-3</v>
      </c>
    </row>
    <row r="6218" spans="1:6" x14ac:dyDescent="0.25">
      <c r="A6218" s="2" t="str">
        <f t="shared" si="232"/>
        <v>25740</v>
      </c>
      <c r="B6218" s="2" t="str">
        <f>"59640"</f>
        <v>59640</v>
      </c>
      <c r="C6218" s="1">
        <v>1.6387213223768499E-3</v>
      </c>
      <c r="D6218" s="1">
        <v>2.27221086116791E-4</v>
      </c>
      <c r="E6218" s="1">
        <v>9.5739588319770203E-4</v>
      </c>
      <c r="F6218" s="1">
        <v>1.4816034241501299E-3</v>
      </c>
    </row>
    <row r="6219" spans="1:6" x14ac:dyDescent="0.25">
      <c r="A6219" s="2" t="str">
        <f t="shared" si="232"/>
        <v>25740</v>
      </c>
      <c r="B6219" s="2" t="str">
        <f>"59633"</f>
        <v>59633</v>
      </c>
      <c r="C6219" s="1">
        <v>1.49622381608321E-3</v>
      </c>
      <c r="D6219" s="1">
        <v>2.27221086116791E-4</v>
      </c>
      <c r="E6219" s="1">
        <v>0</v>
      </c>
      <c r="F6219" s="1">
        <v>1.3169808214667799E-3</v>
      </c>
    </row>
    <row r="6220" spans="1:6" x14ac:dyDescent="0.25">
      <c r="A6220" s="2" t="str">
        <f t="shared" si="232"/>
        <v>25740</v>
      </c>
      <c r="B6220" s="2" t="str">
        <f>"59759"</f>
        <v>59759</v>
      </c>
      <c r="C6220" s="1">
        <v>3.3724409822828101E-2</v>
      </c>
      <c r="D6220" s="1">
        <v>6.13496932515337E-3</v>
      </c>
      <c r="E6220" s="1">
        <v>7.1804691239827599E-3</v>
      </c>
      <c r="F6220" s="1">
        <v>3.0084780640381899E-2</v>
      </c>
    </row>
    <row r="6221" spans="1:6" x14ac:dyDescent="0.25">
      <c r="A6221" s="2" t="str">
        <f t="shared" si="232"/>
        <v>25740</v>
      </c>
      <c r="B6221" s="2" t="str">
        <f>"59410"</f>
        <v>59410</v>
      </c>
      <c r="C6221" s="1">
        <v>9.5235833372915892E-3</v>
      </c>
      <c r="D6221" s="1">
        <v>0</v>
      </c>
      <c r="E6221" s="1">
        <v>1.9147917663953999E-3</v>
      </c>
      <c r="F6221" s="1">
        <v>8.3340192608445107E-3</v>
      </c>
    </row>
    <row r="6222" spans="1:6" x14ac:dyDescent="0.25">
      <c r="A6222" s="2" t="str">
        <f t="shared" si="232"/>
        <v>25740</v>
      </c>
      <c r="B6222" s="2" t="str">
        <f>"59636"</f>
        <v>59636</v>
      </c>
      <c r="C6222" s="1">
        <v>2.6362038664323301E-3</v>
      </c>
      <c r="D6222" s="1">
        <v>0</v>
      </c>
      <c r="E6222" s="1">
        <v>9.5739588319770203E-4</v>
      </c>
      <c r="F6222" s="1">
        <v>2.3252942629022901E-3</v>
      </c>
    </row>
    <row r="6223" spans="1:6" x14ac:dyDescent="0.25">
      <c r="A6223" s="2" t="str">
        <f t="shared" si="232"/>
        <v>25740</v>
      </c>
      <c r="B6223" s="2" t="str">
        <f>"59648"</f>
        <v>59648</v>
      </c>
      <c r="C6223" s="1">
        <v>1.1114805490903899E-2</v>
      </c>
      <c r="D6223" s="1">
        <v>4.0899795501022403E-3</v>
      </c>
      <c r="E6223" s="1">
        <v>3.3508855911919501E-3</v>
      </c>
      <c r="F6223" s="1">
        <v>1.01448678903613E-2</v>
      </c>
    </row>
    <row r="6224" spans="1:6" x14ac:dyDescent="0.25">
      <c r="A6224" s="2" t="str">
        <f t="shared" si="232"/>
        <v>25740</v>
      </c>
      <c r="B6224" s="2" t="str">
        <f>"59635"</f>
        <v>59635</v>
      </c>
      <c r="C6224" s="1">
        <v>0.109200588989692</v>
      </c>
      <c r="D6224" s="1">
        <v>4.8852533515110201E-2</v>
      </c>
      <c r="E6224" s="1">
        <v>8.2336045955002296E-2</v>
      </c>
      <c r="F6224" s="1">
        <v>0.102580459297061</v>
      </c>
    </row>
    <row r="6225" spans="1:6" x14ac:dyDescent="0.25">
      <c r="A6225" s="2" t="str">
        <f t="shared" si="232"/>
        <v>25740</v>
      </c>
      <c r="B6225" s="2" t="str">
        <f>"59634"</f>
        <v>59634</v>
      </c>
      <c r="C6225" s="1">
        <v>5.2747826913028997E-2</v>
      </c>
      <c r="D6225" s="1">
        <v>1.84049079754601E-2</v>
      </c>
      <c r="E6225" s="1">
        <v>2.7764480612733299E-2</v>
      </c>
      <c r="F6225" s="1">
        <v>4.8563667791587703E-2</v>
      </c>
    </row>
    <row r="6226" spans="1:6" x14ac:dyDescent="0.25">
      <c r="A6226" s="2" t="str">
        <f t="shared" si="232"/>
        <v>25740</v>
      </c>
      <c r="B6226" s="2" t="str">
        <f>"59624"</f>
        <v>59624</v>
      </c>
      <c r="C6226" s="1">
        <v>2.7977010402317901E-2</v>
      </c>
      <c r="D6226" s="1">
        <v>0.11610997500568</v>
      </c>
      <c r="E6226" s="1">
        <v>9.5739588319770203E-4</v>
      </c>
      <c r="F6226" s="1">
        <v>3.4797102642192698E-2</v>
      </c>
    </row>
    <row r="6227" spans="1:6" x14ac:dyDescent="0.25">
      <c r="A6227" s="2" t="str">
        <f t="shared" si="232"/>
        <v>25740</v>
      </c>
      <c r="B6227" s="2" t="str">
        <f>"59625"</f>
        <v>59625</v>
      </c>
      <c r="C6227" s="1">
        <v>1.99496508811095E-3</v>
      </c>
      <c r="D6227" s="1">
        <v>2.27221086116791E-4</v>
      </c>
      <c r="E6227" s="1">
        <v>3.8295835327907999E-3</v>
      </c>
      <c r="F6227" s="1">
        <v>1.91373775619392E-3</v>
      </c>
    </row>
    <row r="6228" spans="1:6" x14ac:dyDescent="0.25">
      <c r="A6228" s="2" t="str">
        <f t="shared" si="232"/>
        <v>25740</v>
      </c>
      <c r="B6228" s="2" t="str">
        <f>"59632"</f>
        <v>59632</v>
      </c>
      <c r="C6228" s="1">
        <v>9.5235833372915892E-3</v>
      </c>
      <c r="D6228" s="1">
        <v>1.8177686889343299E-3</v>
      </c>
      <c r="E6228" s="1">
        <v>6.2230732407850603E-3</v>
      </c>
      <c r="F6228" s="1">
        <v>8.6838422915466208E-3</v>
      </c>
    </row>
    <row r="6229" spans="1:6" x14ac:dyDescent="0.25">
      <c r="A6229" s="2" t="str">
        <f t="shared" si="232"/>
        <v>25740</v>
      </c>
      <c r="B6229" s="2" t="str">
        <f>"59604"</f>
        <v>59604</v>
      </c>
      <c r="C6229" s="1">
        <v>4.31529948225906E-2</v>
      </c>
      <c r="D6229" s="1">
        <v>0.13951374687571</v>
      </c>
      <c r="E6229" s="1">
        <v>9.5739588319770203E-4</v>
      </c>
      <c r="F6229" s="1">
        <v>5.00658490410733E-2</v>
      </c>
    </row>
    <row r="6230" spans="1:6" x14ac:dyDescent="0.25">
      <c r="A6230" s="2" t="str">
        <f t="shared" si="232"/>
        <v>25740</v>
      </c>
      <c r="B6230" s="2" t="str">
        <f>"59601"</f>
        <v>59601</v>
      </c>
      <c r="C6230" s="1">
        <v>0.36206241390775601</v>
      </c>
      <c r="D6230" s="1">
        <v>0.54283117473301501</v>
      </c>
      <c r="E6230" s="1">
        <v>0.64719961704164597</v>
      </c>
      <c r="F6230" s="1">
        <v>0.39069059181825599</v>
      </c>
    </row>
    <row r="6231" spans="1:6" x14ac:dyDescent="0.25">
      <c r="A6231" s="2" t="str">
        <f t="shared" si="232"/>
        <v>25740</v>
      </c>
      <c r="B6231" s="2" t="str">
        <f>"59620"</f>
        <v>59620</v>
      </c>
      <c r="C6231" s="1">
        <v>0</v>
      </c>
      <c r="D6231" s="1">
        <v>0</v>
      </c>
      <c r="E6231" s="1">
        <v>4.7869794159885101E-4</v>
      </c>
      <c r="F6231" s="1">
        <v>2.0577825335418501E-5</v>
      </c>
    </row>
    <row r="6232" spans="1:6" x14ac:dyDescent="0.25">
      <c r="A6232" s="2" t="str">
        <f t="shared" si="232"/>
        <v>25740</v>
      </c>
      <c r="B6232" s="2" t="str">
        <f>"59631"</f>
        <v>59631</v>
      </c>
      <c r="C6232" s="1">
        <v>0</v>
      </c>
      <c r="D6232" s="1">
        <v>0</v>
      </c>
      <c r="E6232" s="1">
        <v>4.7869794159885101E-4</v>
      </c>
      <c r="F6232" s="1">
        <v>2.0577825335418501E-5</v>
      </c>
    </row>
    <row r="6233" spans="1:6" x14ac:dyDescent="0.25">
      <c r="A6233" s="2" t="str">
        <f t="shared" si="232"/>
        <v>25740</v>
      </c>
      <c r="B6233" s="2" t="str">
        <f>"59701"</f>
        <v>59701</v>
      </c>
      <c r="C6233" s="1">
        <v>1.3537263097895701E-3</v>
      </c>
      <c r="D6233" s="1">
        <v>2.27221086116791E-4</v>
      </c>
      <c r="E6233" s="1">
        <v>4.7869794159885101E-4</v>
      </c>
      <c r="F6233" s="1">
        <v>1.21409169478969E-3</v>
      </c>
    </row>
    <row r="6234" spans="1:6" x14ac:dyDescent="0.25">
      <c r="A6234" s="2" t="str">
        <f t="shared" si="232"/>
        <v>25740</v>
      </c>
      <c r="B6234" s="2" t="str">
        <f>"59626"</f>
        <v>59626</v>
      </c>
      <c r="C6234" s="1">
        <v>0</v>
      </c>
      <c r="D6234" s="1">
        <v>6.13496932515337E-3</v>
      </c>
      <c r="E6234" s="1">
        <v>2.39348970799425E-3</v>
      </c>
      <c r="F6234" s="1">
        <v>6.5849041073339301E-4</v>
      </c>
    </row>
    <row r="6235" spans="1:6" x14ac:dyDescent="0.25">
      <c r="A6235" s="2" t="str">
        <f t="shared" si="232"/>
        <v>25740</v>
      </c>
      <c r="B6235" s="2" t="str">
        <f>"59421"</f>
        <v>59421</v>
      </c>
      <c r="C6235" s="1">
        <v>4.1799268512800998E-3</v>
      </c>
      <c r="D6235" s="1">
        <v>2.27221086116791E-4</v>
      </c>
      <c r="E6235" s="1">
        <v>0</v>
      </c>
      <c r="F6235" s="1">
        <v>3.6422750843690798E-3</v>
      </c>
    </row>
    <row r="6236" spans="1:6" x14ac:dyDescent="0.25">
      <c r="A6236" s="2" t="str">
        <f t="shared" si="232"/>
        <v>25740</v>
      </c>
      <c r="B6236" s="2" t="str">
        <f>"59602"</f>
        <v>59602</v>
      </c>
      <c r="C6236" s="1">
        <v>0.30264095378330802</v>
      </c>
      <c r="D6236" s="1">
        <v>0.113156100886162</v>
      </c>
      <c r="E6236" s="1">
        <v>0.20871230253709899</v>
      </c>
      <c r="F6236" s="1">
        <v>0.28144291711251901</v>
      </c>
    </row>
    <row r="6237" spans="1:6" x14ac:dyDescent="0.25">
      <c r="A6237" s="2" t="str">
        <f t="shared" si="232"/>
        <v>25740</v>
      </c>
      <c r="B6237" s="2" t="str">
        <f>"59721"</f>
        <v>59721</v>
      </c>
      <c r="C6237" s="1">
        <v>1.97121550372868E-3</v>
      </c>
      <c r="D6237" s="1">
        <v>9.0888434446716605E-4</v>
      </c>
      <c r="E6237" s="1">
        <v>4.7869794159885101E-4</v>
      </c>
      <c r="F6237" s="1">
        <v>1.81084862951683E-3</v>
      </c>
    </row>
    <row r="6238" spans="1:6" x14ac:dyDescent="0.25">
      <c r="A6238" s="2" t="str">
        <f t="shared" si="232"/>
        <v>25740</v>
      </c>
      <c r="B6238" s="2" t="str">
        <f>"59623"</f>
        <v>59623</v>
      </c>
      <c r="C6238" s="1">
        <v>0</v>
      </c>
      <c r="D6238" s="1">
        <v>2.27221086116791E-4</v>
      </c>
      <c r="E6238" s="1">
        <v>0</v>
      </c>
      <c r="F6238" s="1">
        <v>2.0577825335418501E-5</v>
      </c>
    </row>
    <row r="6239" spans="1:6" x14ac:dyDescent="0.25">
      <c r="A6239" s="2" t="str">
        <f t="shared" si="232"/>
        <v>25740</v>
      </c>
      <c r="B6239" s="2" t="str">
        <f>"59639"</f>
        <v>59639</v>
      </c>
      <c r="C6239" s="1">
        <v>1.3679760604189401E-2</v>
      </c>
      <c r="D6239" s="1">
        <v>6.8166325835037397E-4</v>
      </c>
      <c r="E6239" s="1">
        <v>2.8721876495930998E-3</v>
      </c>
      <c r="F6239" s="1">
        <v>1.20380278212198E-2</v>
      </c>
    </row>
    <row r="6240" spans="1:6" x14ac:dyDescent="0.25">
      <c r="A6240" s="2" t="str">
        <f t="shared" si="232"/>
        <v>25740</v>
      </c>
      <c r="B6240" s="2" t="str">
        <f>"59752"</f>
        <v>59752</v>
      </c>
      <c r="C6240" s="1">
        <v>8.5498503776183896E-4</v>
      </c>
      <c r="D6240" s="1">
        <v>0</v>
      </c>
      <c r="E6240" s="1">
        <v>0</v>
      </c>
      <c r="F6240" s="1">
        <v>7.4080171207506701E-4</v>
      </c>
    </row>
    <row r="6241" spans="1:6" x14ac:dyDescent="0.25">
      <c r="A6241" s="2" t="str">
        <f t="shared" ref="A6241:A6272" si="233">"35380"</f>
        <v>35380</v>
      </c>
      <c r="B6241" s="2" t="str">
        <f>"70358"</f>
        <v>70358</v>
      </c>
      <c r="C6241" s="1">
        <v>2.0194841079124599E-4</v>
      </c>
      <c r="D6241" s="1">
        <v>1.9220604488011099E-4</v>
      </c>
      <c r="E6241" s="1">
        <v>4.1974479516453903E-5</v>
      </c>
      <c r="F6241" s="1">
        <v>1.9585288414060499E-4</v>
      </c>
    </row>
    <row r="6242" spans="1:6" x14ac:dyDescent="0.25">
      <c r="A6242" s="2" t="str">
        <f t="shared" si="233"/>
        <v>35380</v>
      </c>
      <c r="B6242" s="2" t="str">
        <f>"70181"</f>
        <v>70181</v>
      </c>
      <c r="C6242" s="1">
        <v>1.23673832965181E-3</v>
      </c>
      <c r="D6242" s="1">
        <v>3.8441208976022199E-3</v>
      </c>
      <c r="E6242" s="1">
        <v>8.3948959032907901E-5</v>
      </c>
      <c r="F6242" s="1">
        <v>1.4233815241767899E-3</v>
      </c>
    </row>
    <row r="6243" spans="1:6" x14ac:dyDescent="0.25">
      <c r="A6243" s="2" t="str">
        <f t="shared" si="233"/>
        <v>35380</v>
      </c>
      <c r="B6243" s="2" t="str">
        <f>"70184"</f>
        <v>70184</v>
      </c>
      <c r="C6243" s="1">
        <v>9.2364001834756098E-4</v>
      </c>
      <c r="D6243" s="1">
        <v>4.0042926016689798E-3</v>
      </c>
      <c r="E6243" s="1">
        <v>8.3948959032907901E-5</v>
      </c>
      <c r="F6243" s="1">
        <v>1.1613248482140099E-3</v>
      </c>
    </row>
    <row r="6244" spans="1:6" x14ac:dyDescent="0.25">
      <c r="A6244" s="2" t="str">
        <f t="shared" si="233"/>
        <v>35380</v>
      </c>
      <c r="B6244" s="2" t="str">
        <f>"70151"</f>
        <v>70151</v>
      </c>
      <c r="C6244" s="1">
        <v>9.4242591702581595E-4</v>
      </c>
      <c r="D6244" s="1">
        <v>1.76188874473435E-3</v>
      </c>
      <c r="E6244" s="1">
        <v>8.3948959032907901E-5</v>
      </c>
      <c r="F6244" s="1">
        <v>9.8478140335487695E-4</v>
      </c>
    </row>
    <row r="6245" spans="1:6" x14ac:dyDescent="0.25">
      <c r="A6245" s="2" t="str">
        <f t="shared" si="233"/>
        <v>35380</v>
      </c>
      <c r="B6245" s="2" t="str">
        <f>"70170"</f>
        <v>70170</v>
      </c>
      <c r="C6245" s="1">
        <v>0</v>
      </c>
      <c r="D6245" s="1">
        <v>1.90604327839443E-3</v>
      </c>
      <c r="E6245" s="1">
        <v>1.6789791806581499E-4</v>
      </c>
      <c r="F6245" s="1">
        <v>1.69647216544327E-4</v>
      </c>
    </row>
    <row r="6246" spans="1:6" x14ac:dyDescent="0.25">
      <c r="A6246" s="2" t="str">
        <f t="shared" si="233"/>
        <v>35380</v>
      </c>
      <c r="B6246" s="2" t="str">
        <f>"70157"</f>
        <v>70157</v>
      </c>
      <c r="C6246" s="1">
        <v>8.9233018721713501E-4</v>
      </c>
      <c r="D6246" s="1">
        <v>1.4735796774141799E-3</v>
      </c>
      <c r="E6246" s="1">
        <v>8.3948959032907901E-5</v>
      </c>
      <c r="F6246" s="1">
        <v>9.1581912020677596E-4</v>
      </c>
    </row>
    <row r="6247" spans="1:6" x14ac:dyDescent="0.25">
      <c r="A6247" s="2" t="str">
        <f t="shared" si="233"/>
        <v>35380</v>
      </c>
      <c r="B6247" s="2" t="str">
        <f>"70130"</f>
        <v>70130</v>
      </c>
      <c r="C6247" s="1">
        <v>1.80125458493339E-2</v>
      </c>
      <c r="D6247" s="1">
        <v>4.8740249547514901E-2</v>
      </c>
      <c r="E6247" s="1">
        <v>4.8522498321020797E-2</v>
      </c>
      <c r="F6247" s="1">
        <v>2.16610531368184E-2</v>
      </c>
    </row>
    <row r="6248" spans="1:6" x14ac:dyDescent="0.25">
      <c r="A6248" s="2" t="str">
        <f t="shared" si="233"/>
        <v>35380</v>
      </c>
      <c r="B6248" s="2" t="str">
        <f>"70068"</f>
        <v>70068</v>
      </c>
      <c r="C6248" s="1">
        <v>2.1445668832785099E-2</v>
      </c>
      <c r="D6248" s="1">
        <v>1.6657857222942898E-2</v>
      </c>
      <c r="E6248" s="1">
        <v>1.6873740765614501E-2</v>
      </c>
      <c r="F6248" s="1">
        <v>2.0883158582907801E-2</v>
      </c>
    </row>
    <row r="6249" spans="1:6" x14ac:dyDescent="0.25">
      <c r="A6249" s="2" t="str">
        <f t="shared" si="233"/>
        <v>35380</v>
      </c>
      <c r="B6249" s="2" t="str">
        <f>"70062"</f>
        <v>70062</v>
      </c>
      <c r="C6249" s="1">
        <v>1.12464913420489E-2</v>
      </c>
      <c r="D6249" s="1">
        <v>3.5365912257940502E-2</v>
      </c>
      <c r="E6249" s="1">
        <v>2.8374748153122901E-2</v>
      </c>
      <c r="F6249" s="1">
        <v>1.3886245334701499E-2</v>
      </c>
    </row>
    <row r="6250" spans="1:6" x14ac:dyDescent="0.25">
      <c r="A6250" s="2" t="str">
        <f t="shared" si="233"/>
        <v>35380</v>
      </c>
      <c r="B6250" s="2" t="str">
        <f>"70049"</f>
        <v>70049</v>
      </c>
      <c r="C6250" s="1">
        <v>1.23673832965181E-3</v>
      </c>
      <c r="D6250" s="1">
        <v>3.2034340813351901E-4</v>
      </c>
      <c r="E6250" s="1">
        <v>2.09872397582269E-4</v>
      </c>
      <c r="F6250" s="1">
        <v>1.12408521531404E-3</v>
      </c>
    </row>
    <row r="6251" spans="1:6" x14ac:dyDescent="0.25">
      <c r="A6251" s="2" t="str">
        <f t="shared" si="233"/>
        <v>35380</v>
      </c>
      <c r="B6251" s="2" t="str">
        <f>"70032"</f>
        <v>70032</v>
      </c>
      <c r="C6251" s="1">
        <v>3.4550398652424801E-3</v>
      </c>
      <c r="D6251" s="1">
        <v>3.9081895792289299E-3</v>
      </c>
      <c r="E6251" s="1">
        <v>3.7357286769644001E-3</v>
      </c>
      <c r="F6251" s="1">
        <v>3.5032839839235102E-3</v>
      </c>
    </row>
    <row r="6252" spans="1:6" x14ac:dyDescent="0.25">
      <c r="A6252" s="2" t="str">
        <f t="shared" si="233"/>
        <v>35380</v>
      </c>
      <c r="B6252" s="2" t="str">
        <f>"70010"</f>
        <v>70010</v>
      </c>
      <c r="C6252" s="1">
        <v>6.6533391152154796E-4</v>
      </c>
      <c r="D6252" s="1">
        <v>3.2835199333685699E-3</v>
      </c>
      <c r="E6252" s="1">
        <v>8.3948959032907901E-5</v>
      </c>
      <c r="F6252" s="1">
        <v>8.7168325899199197E-4</v>
      </c>
    </row>
    <row r="6253" spans="1:6" x14ac:dyDescent="0.25">
      <c r="A6253" s="2" t="str">
        <f t="shared" si="233"/>
        <v>35380</v>
      </c>
      <c r="B6253" s="2" t="str">
        <f>"70056"</f>
        <v>70056</v>
      </c>
      <c r="C6253" s="1">
        <v>2.4896012223358001E-2</v>
      </c>
      <c r="D6253" s="1">
        <v>2.0437909438918499E-2</v>
      </c>
      <c r="E6253" s="1">
        <v>4.1260913364674197E-2</v>
      </c>
      <c r="F6253" s="1">
        <v>2.5049859730715999E-2</v>
      </c>
    </row>
    <row r="6254" spans="1:6" x14ac:dyDescent="0.25">
      <c r="A6254" s="2" t="str">
        <f t="shared" si="233"/>
        <v>35380</v>
      </c>
      <c r="B6254" s="2" t="str">
        <f>"70003"</f>
        <v>70003</v>
      </c>
      <c r="C6254" s="1">
        <v>2.7023515248670499E-2</v>
      </c>
      <c r="D6254" s="1">
        <v>1.32622170967276E-2</v>
      </c>
      <c r="E6254" s="1">
        <v>1.6831766286098001E-2</v>
      </c>
      <c r="F6254" s="1">
        <v>2.5503631553830501E-2</v>
      </c>
    </row>
    <row r="6255" spans="1:6" x14ac:dyDescent="0.25">
      <c r="A6255" s="2" t="str">
        <f t="shared" si="233"/>
        <v>35380</v>
      </c>
      <c r="B6255" s="2" t="str">
        <f>"70093"</f>
        <v>70093</v>
      </c>
      <c r="C6255" s="1">
        <v>1.5654915565212799E-6</v>
      </c>
      <c r="D6255" s="1">
        <v>0</v>
      </c>
      <c r="E6255" s="1">
        <v>0</v>
      </c>
      <c r="F6255" s="1">
        <v>1.3792456629620099E-6</v>
      </c>
    </row>
    <row r="6256" spans="1:6" x14ac:dyDescent="0.25">
      <c r="A6256" s="2" t="str">
        <f t="shared" si="233"/>
        <v>35380</v>
      </c>
      <c r="B6256" s="2" t="str">
        <f>"70083"</f>
        <v>70083</v>
      </c>
      <c r="C6256" s="1">
        <v>1.2790066016778901E-3</v>
      </c>
      <c r="D6256" s="1">
        <v>7.6882417952044504E-4</v>
      </c>
      <c r="E6256" s="1">
        <v>1.25923438549361E-4</v>
      </c>
      <c r="F6256" s="1">
        <v>1.1971852354510199E-3</v>
      </c>
    </row>
    <row r="6257" spans="1:6" x14ac:dyDescent="0.25">
      <c r="A6257" s="2" t="str">
        <f t="shared" si="233"/>
        <v>35380</v>
      </c>
      <c r="B6257" s="2" t="str">
        <f>"70434"</f>
        <v>70434</v>
      </c>
      <c r="C6257" s="1">
        <v>5.4541725829201698E-3</v>
      </c>
      <c r="D6257" s="1">
        <v>1.1147950603046399E-2</v>
      </c>
      <c r="E6257" s="1">
        <v>8.3948959032907901E-5</v>
      </c>
      <c r="F6257" s="1">
        <v>5.7680053625071299E-3</v>
      </c>
    </row>
    <row r="6258" spans="1:6" x14ac:dyDescent="0.25">
      <c r="A6258" s="2" t="str">
        <f t="shared" si="233"/>
        <v>35380</v>
      </c>
      <c r="B6258" s="2" t="str">
        <f>"70427"</f>
        <v>70427</v>
      </c>
      <c r="C6258" s="1">
        <v>5.0252278964333405E-4</v>
      </c>
      <c r="D6258" s="1">
        <v>1.6017170406675899E-4</v>
      </c>
      <c r="E6258" s="1">
        <v>8.3948959032907901E-5</v>
      </c>
      <c r="F6258" s="1">
        <v>4.5928880576634999E-4</v>
      </c>
    </row>
    <row r="6259" spans="1:6" x14ac:dyDescent="0.25">
      <c r="A6259" s="2" t="str">
        <f t="shared" si="233"/>
        <v>35380</v>
      </c>
      <c r="B6259" s="2" t="str">
        <f>"70452"</f>
        <v>70452</v>
      </c>
      <c r="C6259" s="1">
        <v>1.26319513695702E-2</v>
      </c>
      <c r="D6259" s="1">
        <v>5.6220268127432603E-3</v>
      </c>
      <c r="E6259" s="1">
        <v>2.6024177300201399E-3</v>
      </c>
      <c r="F6259" s="1">
        <v>1.16987617132437E-2</v>
      </c>
    </row>
    <row r="6260" spans="1:6" x14ac:dyDescent="0.25">
      <c r="A6260" s="2" t="str">
        <f t="shared" si="233"/>
        <v>35380</v>
      </c>
      <c r="B6260" s="2" t="str">
        <f>"70469"</f>
        <v>70469</v>
      </c>
      <c r="C6260" s="1">
        <v>2.4750421508601501E-3</v>
      </c>
      <c r="D6260" s="1">
        <v>3.0752967180817802E-3</v>
      </c>
      <c r="E6260" s="1">
        <v>8.3948959032907901E-5</v>
      </c>
      <c r="F6260" s="1">
        <v>2.4481610517575699E-3</v>
      </c>
    </row>
    <row r="6261" spans="1:6" x14ac:dyDescent="0.25">
      <c r="A6261" s="2" t="str">
        <f t="shared" si="233"/>
        <v>35380</v>
      </c>
      <c r="B6261" s="2" t="str">
        <f>"70158"</f>
        <v>70158</v>
      </c>
      <c r="C6261" s="1">
        <v>1.0363554104170899E-3</v>
      </c>
      <c r="D6261" s="1">
        <v>1.9861291304278102E-3</v>
      </c>
      <c r="E6261" s="1">
        <v>8.3948959032907901E-5</v>
      </c>
      <c r="F6261" s="1">
        <v>1.08684558241406E-3</v>
      </c>
    </row>
    <row r="6262" spans="1:6" x14ac:dyDescent="0.25">
      <c r="A6262" s="2" t="str">
        <f t="shared" si="233"/>
        <v>35380</v>
      </c>
      <c r="B6262" s="2" t="str">
        <f>"70143"</f>
        <v>70143</v>
      </c>
      <c r="C6262" s="1">
        <v>0</v>
      </c>
      <c r="D6262" s="1">
        <v>1.6017170406675901E-5</v>
      </c>
      <c r="E6262" s="1">
        <v>0</v>
      </c>
      <c r="F6262" s="1">
        <v>1.3792456629620099E-6</v>
      </c>
    </row>
    <row r="6263" spans="1:6" x14ac:dyDescent="0.25">
      <c r="A6263" s="2" t="str">
        <f t="shared" si="233"/>
        <v>35380</v>
      </c>
      <c r="B6263" s="2" t="str">
        <f>"70139"</f>
        <v>70139</v>
      </c>
      <c r="C6263" s="1">
        <v>0</v>
      </c>
      <c r="D6263" s="1">
        <v>1.3614594845674499E-3</v>
      </c>
      <c r="E6263" s="1">
        <v>1.25923438549361E-4</v>
      </c>
      <c r="F6263" s="1">
        <v>1.21373618340657E-4</v>
      </c>
    </row>
    <row r="6264" spans="1:6" x14ac:dyDescent="0.25">
      <c r="A6264" s="2" t="str">
        <f t="shared" si="233"/>
        <v>35380</v>
      </c>
      <c r="B6264" s="2" t="str">
        <f>"70063"</f>
        <v>70063</v>
      </c>
      <c r="C6264" s="1">
        <v>2.8210157848513602E-3</v>
      </c>
      <c r="D6264" s="1">
        <v>5.1575288709496498E-3</v>
      </c>
      <c r="E6264" s="1">
        <v>8.3948959032907901E-5</v>
      </c>
      <c r="F6264" s="1">
        <v>2.9322762794572301E-3</v>
      </c>
    </row>
    <row r="6265" spans="1:6" x14ac:dyDescent="0.25">
      <c r="A6265" s="2" t="str">
        <f t="shared" si="233"/>
        <v>35380</v>
      </c>
      <c r="B6265" s="2" t="str">
        <f>"70054"</f>
        <v>70054</v>
      </c>
      <c r="C6265" s="1">
        <v>2.9650410080513199E-3</v>
      </c>
      <c r="D6265" s="1">
        <v>5.2215975525763602E-3</v>
      </c>
      <c r="E6265" s="1">
        <v>1.6789791806581499E-4</v>
      </c>
      <c r="F6265" s="1">
        <v>3.06744235442751E-3</v>
      </c>
    </row>
    <row r="6266" spans="1:6" x14ac:dyDescent="0.25">
      <c r="A6266" s="2" t="str">
        <f t="shared" si="233"/>
        <v>35380</v>
      </c>
      <c r="B6266" s="2" t="str">
        <f>"70128"</f>
        <v>70128</v>
      </c>
      <c r="C6266" s="1">
        <v>1.15815065351445E-2</v>
      </c>
      <c r="D6266" s="1">
        <v>2.3545240497813598E-3</v>
      </c>
      <c r="E6266" s="1">
        <v>2.14069845533915E-3</v>
      </c>
      <c r="F6266" s="1">
        <v>1.04767500558594E-2</v>
      </c>
    </row>
    <row r="6267" spans="1:6" x14ac:dyDescent="0.25">
      <c r="A6267" s="2" t="str">
        <f t="shared" si="233"/>
        <v>35380</v>
      </c>
      <c r="B6267" s="2" t="str">
        <f>"70125"</f>
        <v>70125</v>
      </c>
      <c r="C6267" s="1">
        <v>1.30859439209614E-2</v>
      </c>
      <c r="D6267" s="1">
        <v>1.01388688674258E-2</v>
      </c>
      <c r="E6267" s="1">
        <v>9.6961047683008696E-3</v>
      </c>
      <c r="F6267" s="1">
        <v>1.27207827494986E-2</v>
      </c>
    </row>
    <row r="6268" spans="1:6" x14ac:dyDescent="0.25">
      <c r="A6268" s="2" t="str">
        <f t="shared" si="233"/>
        <v>35380</v>
      </c>
      <c r="B6268" s="2" t="str">
        <f>"70124"</f>
        <v>70124</v>
      </c>
      <c r="C6268" s="1">
        <v>1.6152741880186599E-2</v>
      </c>
      <c r="D6268" s="1">
        <v>5.6380439831499301E-3</v>
      </c>
      <c r="E6268" s="1">
        <v>6.4640698455339096E-3</v>
      </c>
      <c r="F6268" s="1">
        <v>1.49289550559008E-2</v>
      </c>
    </row>
    <row r="6269" spans="1:6" x14ac:dyDescent="0.25">
      <c r="A6269" s="2" t="str">
        <f t="shared" si="233"/>
        <v>35380</v>
      </c>
      <c r="B6269" s="2" t="str">
        <f>"70117"</f>
        <v>70117</v>
      </c>
      <c r="C6269" s="1">
        <v>2.61170956374446E-2</v>
      </c>
      <c r="D6269" s="1">
        <v>1.31340797334742E-2</v>
      </c>
      <c r="E6269" s="1">
        <v>1.42293485560779E-2</v>
      </c>
      <c r="F6269" s="1">
        <v>2.4608501118568198E-2</v>
      </c>
    </row>
    <row r="6270" spans="1:6" x14ac:dyDescent="0.25">
      <c r="A6270" s="2" t="str">
        <f t="shared" si="233"/>
        <v>35380</v>
      </c>
      <c r="B6270" s="2" t="str">
        <f>"70087"</f>
        <v>70087</v>
      </c>
      <c r="C6270" s="1">
        <v>5.5888048567809996E-3</v>
      </c>
      <c r="D6270" s="1">
        <v>6.3908509922637E-3</v>
      </c>
      <c r="E6270" s="1">
        <v>6.1702484889187299E-3</v>
      </c>
      <c r="F6270" s="1">
        <v>5.6769751487516402E-3</v>
      </c>
    </row>
    <row r="6271" spans="1:6" x14ac:dyDescent="0.25">
      <c r="A6271" s="2" t="str">
        <f t="shared" si="233"/>
        <v>35380</v>
      </c>
      <c r="B6271" s="2" t="str">
        <f>"70072"</f>
        <v>70072</v>
      </c>
      <c r="C6271" s="1">
        <v>3.5674421590007097E-2</v>
      </c>
      <c r="D6271" s="1">
        <v>2.56915413323082E-2</v>
      </c>
      <c r="E6271" s="1">
        <v>1.9560107454667498E-2</v>
      </c>
      <c r="F6271" s="1">
        <v>3.4285288689909703E-2</v>
      </c>
    </row>
    <row r="6272" spans="1:6" x14ac:dyDescent="0.25">
      <c r="A6272" s="2" t="str">
        <f t="shared" si="233"/>
        <v>35380</v>
      </c>
      <c r="B6272" s="2" t="str">
        <f>"70763"</f>
        <v>70763</v>
      </c>
      <c r="C6272" s="1">
        <v>2.2918796387471599E-3</v>
      </c>
      <c r="D6272" s="1">
        <v>6.7272115708038997E-4</v>
      </c>
      <c r="E6272" s="1">
        <v>1.4691067830758799E-3</v>
      </c>
      <c r="F6272" s="1">
        <v>2.1254175666244601E-3</v>
      </c>
    </row>
    <row r="6273" spans="1:6" x14ac:dyDescent="0.25">
      <c r="A6273" s="2" t="str">
        <f t="shared" ref="A6273:A6304" si="234">"35380"</f>
        <v>35380</v>
      </c>
      <c r="B6273" s="2" t="str">
        <f>"70433"</f>
        <v>70433</v>
      </c>
      <c r="C6273" s="1">
        <v>2.9885233813991399E-2</v>
      </c>
      <c r="D6273" s="1">
        <v>4.31022055643649E-2</v>
      </c>
      <c r="E6273" s="1">
        <v>2.3002014775016701E-2</v>
      </c>
      <c r="F6273" s="1">
        <v>3.0797176408278702E-2</v>
      </c>
    </row>
    <row r="6274" spans="1:6" x14ac:dyDescent="0.25">
      <c r="A6274" s="2" t="str">
        <f t="shared" si="234"/>
        <v>35380</v>
      </c>
      <c r="B6274" s="2" t="str">
        <f>"70174"</f>
        <v>70174</v>
      </c>
      <c r="C6274" s="1">
        <v>2.9932198560687E-3</v>
      </c>
      <c r="D6274" s="1">
        <v>4.8692198036294904E-3</v>
      </c>
      <c r="E6274" s="1">
        <v>8.3948959032907901E-5</v>
      </c>
      <c r="F6274" s="1">
        <v>3.0591668804497399E-3</v>
      </c>
    </row>
    <row r="6275" spans="1:6" x14ac:dyDescent="0.25">
      <c r="A6275" s="2" t="str">
        <f t="shared" si="234"/>
        <v>35380</v>
      </c>
      <c r="B6275" s="2" t="str">
        <f>"70131"</f>
        <v>70131</v>
      </c>
      <c r="C6275" s="1">
        <v>1.9191360991394402E-2</v>
      </c>
      <c r="D6275" s="1">
        <v>4.4527733730559101E-3</v>
      </c>
      <c r="E6275" s="1">
        <v>1.28441907320349E-2</v>
      </c>
      <c r="F6275" s="1">
        <v>1.7713652049421099E-2</v>
      </c>
    </row>
    <row r="6276" spans="1:6" x14ac:dyDescent="0.25">
      <c r="A6276" s="2" t="str">
        <f t="shared" si="234"/>
        <v>35380</v>
      </c>
      <c r="B6276" s="2" t="str">
        <f>"70059"</f>
        <v>70059</v>
      </c>
      <c r="C6276" s="1">
        <v>3.9481697055466902E-3</v>
      </c>
      <c r="D6276" s="1">
        <v>6.1986449473835897E-3</v>
      </c>
      <c r="E6276" s="1">
        <v>8.3948959032907901E-5</v>
      </c>
      <c r="F6276" s="1">
        <v>4.0149841248824101E-3</v>
      </c>
    </row>
    <row r="6277" spans="1:6" x14ac:dyDescent="0.25">
      <c r="A6277" s="2" t="str">
        <f t="shared" si="234"/>
        <v>35380</v>
      </c>
      <c r="B6277" s="2" t="str">
        <f>"70058"</f>
        <v>70058</v>
      </c>
      <c r="C6277" s="1">
        <v>2.53625287072014E-2</v>
      </c>
      <c r="D6277" s="1">
        <v>2.8814889561610001E-2</v>
      </c>
      <c r="E6277" s="1">
        <v>4.8018804566823302E-2</v>
      </c>
      <c r="F6277" s="1">
        <v>2.6404278971744698E-2</v>
      </c>
    </row>
    <row r="6278" spans="1:6" x14ac:dyDescent="0.25">
      <c r="A6278" s="2" t="str">
        <f t="shared" si="234"/>
        <v>35380</v>
      </c>
      <c r="B6278" s="2" t="str">
        <f>"70050"</f>
        <v>70050</v>
      </c>
      <c r="C6278" s="1">
        <v>0</v>
      </c>
      <c r="D6278" s="1">
        <v>0</v>
      </c>
      <c r="E6278" s="1">
        <v>4.1974479516453903E-5</v>
      </c>
      <c r="F6278" s="1">
        <v>1.3792456629620099E-6</v>
      </c>
    </row>
    <row r="6279" spans="1:6" x14ac:dyDescent="0.25">
      <c r="A6279" s="2" t="str">
        <f t="shared" si="234"/>
        <v>35380</v>
      </c>
      <c r="B6279" s="2" t="str">
        <f>"70123"</f>
        <v>70123</v>
      </c>
      <c r="C6279" s="1">
        <v>2.17290228045155E-2</v>
      </c>
      <c r="D6279" s="1">
        <v>3.0528726795124299E-2</v>
      </c>
      <c r="E6279" s="1">
        <v>4.0757219610476798E-2</v>
      </c>
      <c r="F6279" s="1">
        <v>2.3112019574254399E-2</v>
      </c>
    </row>
    <row r="6280" spans="1:6" x14ac:dyDescent="0.25">
      <c r="A6280" s="2" t="str">
        <f t="shared" si="234"/>
        <v>35380</v>
      </c>
      <c r="B6280" s="2" t="str">
        <f>"70001"</f>
        <v>70001</v>
      </c>
      <c r="C6280" s="1">
        <v>3.1312962113538803E-2</v>
      </c>
      <c r="D6280" s="1">
        <v>2.9023112776896801E-2</v>
      </c>
      <c r="E6280" s="1">
        <v>4.7221289456010701E-2</v>
      </c>
      <c r="F6280" s="1">
        <v>3.1638516262685601E-2</v>
      </c>
    </row>
    <row r="6281" spans="1:6" x14ac:dyDescent="0.25">
      <c r="A6281" s="2" t="str">
        <f t="shared" si="234"/>
        <v>35380</v>
      </c>
      <c r="B6281" s="2" t="str">
        <f>"70082"</f>
        <v>70082</v>
      </c>
      <c r="C6281" s="1">
        <v>0</v>
      </c>
      <c r="D6281" s="1">
        <v>0</v>
      </c>
      <c r="E6281" s="1">
        <v>8.3948959032907901E-5</v>
      </c>
      <c r="F6281" s="1">
        <v>2.7584913259240199E-6</v>
      </c>
    </row>
    <row r="6282" spans="1:6" x14ac:dyDescent="0.25">
      <c r="A6282" s="2" t="str">
        <f t="shared" si="234"/>
        <v>35380</v>
      </c>
      <c r="B6282" s="2" t="str">
        <f>"70078"</f>
        <v>70078</v>
      </c>
      <c r="C6282" s="1">
        <v>0</v>
      </c>
      <c r="D6282" s="1">
        <v>0</v>
      </c>
      <c r="E6282" s="1">
        <v>4.1974479516453903E-5</v>
      </c>
      <c r="F6282" s="1">
        <v>1.3792456629620099E-6</v>
      </c>
    </row>
    <row r="6283" spans="1:6" x14ac:dyDescent="0.25">
      <c r="A6283" s="2" t="str">
        <f t="shared" si="234"/>
        <v>35380</v>
      </c>
      <c r="B6283" s="2" t="str">
        <f>"70080"</f>
        <v>70080</v>
      </c>
      <c r="C6283" s="1">
        <v>6.8411981019980304E-4</v>
      </c>
      <c r="D6283" s="1">
        <v>3.6839491935354698E-4</v>
      </c>
      <c r="E6283" s="1">
        <v>2.93821356615177E-4</v>
      </c>
      <c r="F6283" s="1">
        <v>6.44107724603259E-4</v>
      </c>
    </row>
    <row r="6284" spans="1:6" x14ac:dyDescent="0.25">
      <c r="A6284" s="2" t="str">
        <f t="shared" si="234"/>
        <v>35380</v>
      </c>
      <c r="B6284" s="2" t="str">
        <f>"70070"</f>
        <v>70070</v>
      </c>
      <c r="C6284" s="1">
        <v>9.8218940256145706E-3</v>
      </c>
      <c r="D6284" s="1">
        <v>5.95838739128345E-3</v>
      </c>
      <c r="E6284" s="1">
        <v>2.5184687709872301E-3</v>
      </c>
      <c r="F6284" s="1">
        <v>9.2492214158232493E-3</v>
      </c>
    </row>
    <row r="6285" spans="1:6" x14ac:dyDescent="0.25">
      <c r="A6285" s="2" t="str">
        <f t="shared" si="234"/>
        <v>35380</v>
      </c>
      <c r="B6285" s="2" t="str">
        <f>"70471"</f>
        <v>70471</v>
      </c>
      <c r="C6285" s="1">
        <v>1.4839294464265299E-2</v>
      </c>
      <c r="D6285" s="1">
        <v>2.3945669757980501E-2</v>
      </c>
      <c r="E6285" s="1">
        <v>1.7797179314976399E-2</v>
      </c>
      <c r="F6285" s="1">
        <v>1.5720642066440998E-2</v>
      </c>
    </row>
    <row r="6286" spans="1:6" x14ac:dyDescent="0.25">
      <c r="A6286" s="2" t="str">
        <f t="shared" si="234"/>
        <v>35380</v>
      </c>
      <c r="B6286" s="2" t="str">
        <f>"70460"</f>
        <v>70460</v>
      </c>
      <c r="C6286" s="1">
        <v>1.5427919289517301E-2</v>
      </c>
      <c r="D6286" s="1">
        <v>1.1836688930533501E-2</v>
      </c>
      <c r="E6286" s="1">
        <v>5.37273337810611E-3</v>
      </c>
      <c r="F6286" s="1">
        <v>1.47882719982787E-2</v>
      </c>
    </row>
    <row r="6287" spans="1:6" x14ac:dyDescent="0.25">
      <c r="A6287" s="2" t="str">
        <f t="shared" si="234"/>
        <v>35380</v>
      </c>
      <c r="B6287" s="2" t="str">
        <f>"70146"</f>
        <v>70146</v>
      </c>
      <c r="C6287" s="1">
        <v>0</v>
      </c>
      <c r="D6287" s="1">
        <v>1.6017170406675899E-4</v>
      </c>
      <c r="E6287" s="1">
        <v>1.25923438549361E-4</v>
      </c>
      <c r="F6287" s="1">
        <v>1.7930193618506102E-5</v>
      </c>
    </row>
    <row r="6288" spans="1:6" x14ac:dyDescent="0.25">
      <c r="A6288" s="2" t="str">
        <f t="shared" si="234"/>
        <v>35380</v>
      </c>
      <c r="B6288" s="2" t="str">
        <f>"70156"</f>
        <v>70156</v>
      </c>
      <c r="C6288" s="1">
        <v>8.3127601651280397E-4</v>
      </c>
      <c r="D6288" s="1">
        <v>1.71383723351432E-3</v>
      </c>
      <c r="E6288" s="1">
        <v>8.3948959032907901E-5</v>
      </c>
      <c r="F6288" s="1">
        <v>8.8271722429568802E-4</v>
      </c>
    </row>
    <row r="6289" spans="1:6" x14ac:dyDescent="0.25">
      <c r="A6289" s="2" t="str">
        <f t="shared" si="234"/>
        <v>35380</v>
      </c>
      <c r="B6289" s="2" t="str">
        <f>"70047"</f>
        <v>70047</v>
      </c>
      <c r="C6289" s="1">
        <v>8.8841645832583201E-3</v>
      </c>
      <c r="D6289" s="1">
        <v>6.2466964586036199E-3</v>
      </c>
      <c r="E6289" s="1">
        <v>1.27182672934855E-2</v>
      </c>
      <c r="F6289" s="1">
        <v>8.7830363817420903E-3</v>
      </c>
    </row>
    <row r="6290" spans="1:6" x14ac:dyDescent="0.25">
      <c r="A6290" s="2" t="str">
        <f t="shared" si="234"/>
        <v>35380</v>
      </c>
      <c r="B6290" s="2" t="str">
        <f>"70030"</f>
        <v>70030</v>
      </c>
      <c r="C6290" s="1">
        <v>2.0930622110689602E-3</v>
      </c>
      <c r="D6290" s="1">
        <v>2.8830906732016701E-4</v>
      </c>
      <c r="E6290" s="1">
        <v>5.0369375419744705E-4</v>
      </c>
      <c r="F6290" s="1">
        <v>1.8854288212690701E-3</v>
      </c>
    </row>
    <row r="6291" spans="1:6" x14ac:dyDescent="0.25">
      <c r="A6291" s="2" t="str">
        <f t="shared" si="234"/>
        <v>35380</v>
      </c>
      <c r="B6291" s="2" t="str">
        <f>"70126"</f>
        <v>70126</v>
      </c>
      <c r="C6291" s="1">
        <v>1.9432446691098702E-2</v>
      </c>
      <c r="D6291" s="1">
        <v>1.1836688930533501E-2</v>
      </c>
      <c r="E6291" s="1">
        <v>1.7503357958361301E-2</v>
      </c>
      <c r="F6291" s="1">
        <v>1.8714984400731501E-2</v>
      </c>
    </row>
    <row r="6292" spans="1:6" x14ac:dyDescent="0.25">
      <c r="A6292" s="2" t="str">
        <f t="shared" si="234"/>
        <v>35380</v>
      </c>
      <c r="B6292" s="2" t="str">
        <f>"70115"</f>
        <v>70115</v>
      </c>
      <c r="C6292" s="1">
        <v>3.01513673786E-2</v>
      </c>
      <c r="D6292" s="1">
        <v>2.27924334886998E-2</v>
      </c>
      <c r="E6292" s="1">
        <v>4.6255876427132303E-2</v>
      </c>
      <c r="F6292" s="1">
        <v>3.0046866767627401E-2</v>
      </c>
    </row>
    <row r="6293" spans="1:6" x14ac:dyDescent="0.25">
      <c r="A6293" s="2" t="str">
        <f t="shared" si="234"/>
        <v>35380</v>
      </c>
      <c r="B6293" s="2" t="str">
        <f>"70113"</f>
        <v>70113</v>
      </c>
      <c r="C6293" s="1">
        <v>8.8199794294409398E-3</v>
      </c>
      <c r="D6293" s="1">
        <v>1.16284657152467E-2</v>
      </c>
      <c r="E6293" s="1">
        <v>1.38935527199462E-2</v>
      </c>
      <c r="F6293" s="1">
        <v>9.2285327308788204E-3</v>
      </c>
    </row>
    <row r="6294" spans="1:6" x14ac:dyDescent="0.25">
      <c r="A6294" s="2" t="str">
        <f t="shared" si="234"/>
        <v>35380</v>
      </c>
      <c r="B6294" s="2" t="str">
        <f>"70004"</f>
        <v>70004</v>
      </c>
      <c r="C6294" s="1">
        <v>1.8316251211299001E-3</v>
      </c>
      <c r="D6294" s="1">
        <v>4.70904809956273E-3</v>
      </c>
      <c r="E6294" s="1">
        <v>8.3948959032907901E-5</v>
      </c>
      <c r="F6294" s="1">
        <v>2.0219741419023099E-3</v>
      </c>
    </row>
    <row r="6295" spans="1:6" x14ac:dyDescent="0.25">
      <c r="A6295" s="2" t="str">
        <f t="shared" si="234"/>
        <v>35380</v>
      </c>
      <c r="B6295" s="2" t="str">
        <f>"70005"</f>
        <v>70005</v>
      </c>
      <c r="C6295" s="1">
        <v>2.0747459598576601E-2</v>
      </c>
      <c r="D6295" s="1">
        <v>1.74747329136834E-2</v>
      </c>
      <c r="E6295" s="1">
        <v>2.9340161182001299E-2</v>
      </c>
      <c r="F6295" s="1">
        <v>2.0747992507937501E-2</v>
      </c>
    </row>
    <row r="6296" spans="1:6" x14ac:dyDescent="0.25">
      <c r="A6296" s="2" t="str">
        <f t="shared" si="234"/>
        <v>35380</v>
      </c>
      <c r="B6296" s="2" t="str">
        <f>"70075"</f>
        <v>70075</v>
      </c>
      <c r="C6296" s="1">
        <v>4.2878813733118097E-3</v>
      </c>
      <c r="D6296" s="1">
        <v>1.64976855188762E-3</v>
      </c>
      <c r="E6296" s="1">
        <v>1.72095366017461E-3</v>
      </c>
      <c r="F6296" s="1">
        <v>3.9763652463194804E-3</v>
      </c>
    </row>
    <row r="6297" spans="1:6" x14ac:dyDescent="0.25">
      <c r="A6297" s="2" t="str">
        <f t="shared" si="234"/>
        <v>35380</v>
      </c>
      <c r="B6297" s="2" t="str">
        <f>"70071"</f>
        <v>70071</v>
      </c>
      <c r="C6297" s="1">
        <v>1.3040544665822299E-3</v>
      </c>
      <c r="D6297" s="1">
        <v>8.1687569074047296E-4</v>
      </c>
      <c r="E6297" s="1">
        <v>2.93821356615177E-4</v>
      </c>
      <c r="F6297" s="1">
        <v>1.2289078856991501E-3</v>
      </c>
    </row>
    <row r="6298" spans="1:6" x14ac:dyDescent="0.25">
      <c r="A6298" s="2" t="str">
        <f t="shared" si="234"/>
        <v>35380</v>
      </c>
      <c r="B6298" s="2" t="str">
        <f>"70743"</f>
        <v>70743</v>
      </c>
      <c r="C6298" s="1">
        <v>0</v>
      </c>
      <c r="D6298" s="1">
        <v>0</v>
      </c>
      <c r="E6298" s="1">
        <v>4.1974479516453903E-5</v>
      </c>
      <c r="F6298" s="1">
        <v>1.3792456629620099E-6</v>
      </c>
    </row>
    <row r="6299" spans="1:6" x14ac:dyDescent="0.25">
      <c r="A6299" s="2" t="str">
        <f t="shared" si="234"/>
        <v>35380</v>
      </c>
      <c r="B6299" s="2" t="str">
        <f>"70447"</f>
        <v>70447</v>
      </c>
      <c r="C6299" s="1">
        <v>1.12793666647358E-2</v>
      </c>
      <c r="D6299" s="1">
        <v>7.8484134992712097E-3</v>
      </c>
      <c r="E6299" s="1">
        <v>1.9308260577568801E-3</v>
      </c>
      <c r="F6299" s="1">
        <v>1.06767406769889E-2</v>
      </c>
    </row>
    <row r="6300" spans="1:6" x14ac:dyDescent="0.25">
      <c r="A6300" s="2" t="str">
        <f t="shared" si="234"/>
        <v>35380</v>
      </c>
      <c r="B6300" s="2" t="str">
        <f>"70461"</f>
        <v>70461</v>
      </c>
      <c r="C6300" s="1">
        <v>1.99772377527681E-2</v>
      </c>
      <c r="D6300" s="1">
        <v>1.23011868723271E-2</v>
      </c>
      <c r="E6300" s="1">
        <v>9.3183344526527791E-3</v>
      </c>
      <c r="F6300" s="1">
        <v>1.8966007111390602E-2</v>
      </c>
    </row>
    <row r="6301" spans="1:6" x14ac:dyDescent="0.25">
      <c r="A6301" s="2" t="str">
        <f t="shared" si="234"/>
        <v>35380</v>
      </c>
      <c r="B6301" s="2" t="str">
        <f>"70459"</f>
        <v>70459</v>
      </c>
      <c r="C6301" s="1">
        <v>3.5051355950511602E-3</v>
      </c>
      <c r="D6301" s="1">
        <v>8.5051174859449297E-3</v>
      </c>
      <c r="E6301" s="1">
        <v>8.3948959032907901E-5</v>
      </c>
      <c r="F6301" s="1">
        <v>3.8232689777306901E-3</v>
      </c>
    </row>
    <row r="6302" spans="1:6" x14ac:dyDescent="0.25">
      <c r="A6302" s="2" t="str">
        <f t="shared" si="234"/>
        <v>35380</v>
      </c>
      <c r="B6302" s="2" t="str">
        <f>"70190"</f>
        <v>70190</v>
      </c>
      <c r="C6302" s="1">
        <v>7.9996618538237898E-4</v>
      </c>
      <c r="D6302" s="1">
        <v>3.1713997405218301E-3</v>
      </c>
      <c r="E6302" s="1">
        <v>8.3948959032907901E-5</v>
      </c>
      <c r="F6302" s="1">
        <v>9.8064366636599104E-4</v>
      </c>
    </row>
    <row r="6303" spans="1:6" x14ac:dyDescent="0.25">
      <c r="A6303" s="2" t="str">
        <f t="shared" si="234"/>
        <v>35380</v>
      </c>
      <c r="B6303" s="2" t="str">
        <f>"70186"</f>
        <v>70186</v>
      </c>
      <c r="C6303" s="1">
        <v>1.3416262639387401E-3</v>
      </c>
      <c r="D6303" s="1">
        <v>1.3934938253807999E-3</v>
      </c>
      <c r="E6303" s="1">
        <v>8.3948959032907901E-5</v>
      </c>
      <c r="F6303" s="1">
        <v>1.3047663971620599E-3</v>
      </c>
    </row>
    <row r="6304" spans="1:6" x14ac:dyDescent="0.25">
      <c r="A6304" s="2" t="str">
        <f t="shared" si="234"/>
        <v>35380</v>
      </c>
      <c r="B6304" s="2" t="str">
        <f>"70185"</f>
        <v>70185</v>
      </c>
      <c r="C6304" s="1">
        <v>2.1040206519646102E-3</v>
      </c>
      <c r="D6304" s="1">
        <v>3.459708807842E-3</v>
      </c>
      <c r="E6304" s="1">
        <v>8.3948959032907901E-5</v>
      </c>
      <c r="F6304" s="1">
        <v>2.15438172554666E-3</v>
      </c>
    </row>
    <row r="6305" spans="1:6" x14ac:dyDescent="0.25">
      <c r="A6305" s="2" t="str">
        <f t="shared" ref="A6305:A6336" si="235">"35380"</f>
        <v>35380</v>
      </c>
      <c r="B6305" s="2" t="str">
        <f>"70179"</f>
        <v>70179</v>
      </c>
      <c r="C6305" s="1">
        <v>2.51731042288623E-3</v>
      </c>
      <c r="D6305" s="1">
        <v>5.6700783239632801E-3</v>
      </c>
      <c r="E6305" s="1">
        <v>8.3948959032907901E-5</v>
      </c>
      <c r="F6305" s="1">
        <v>2.70883848205739E-3</v>
      </c>
    </row>
    <row r="6306" spans="1:6" x14ac:dyDescent="0.25">
      <c r="A6306" s="2" t="str">
        <f t="shared" si="235"/>
        <v>35380</v>
      </c>
      <c r="B6306" s="2" t="str">
        <f>"70163"</f>
        <v>70163</v>
      </c>
      <c r="C6306" s="1">
        <v>0</v>
      </c>
      <c r="D6306" s="1">
        <v>1.89002610798776E-3</v>
      </c>
      <c r="E6306" s="1">
        <v>1.25923438549361E-4</v>
      </c>
      <c r="F6306" s="1">
        <v>1.6688872521840301E-4</v>
      </c>
    </row>
    <row r="6307" spans="1:6" x14ac:dyDescent="0.25">
      <c r="A6307" s="2" t="str">
        <f t="shared" si="235"/>
        <v>35380</v>
      </c>
      <c r="B6307" s="2" t="str">
        <f>"70064"</f>
        <v>70064</v>
      </c>
      <c r="C6307" s="1">
        <v>2.0273115656950702E-3</v>
      </c>
      <c r="D6307" s="1">
        <v>3.61988051190876E-3</v>
      </c>
      <c r="E6307" s="1">
        <v>8.3948959032907901E-5</v>
      </c>
      <c r="F6307" s="1">
        <v>2.1005911446911399E-3</v>
      </c>
    </row>
    <row r="6308" spans="1:6" x14ac:dyDescent="0.25">
      <c r="A6308" s="2" t="str">
        <f t="shared" si="235"/>
        <v>35380</v>
      </c>
      <c r="B6308" s="2" t="str">
        <f>"70011"</f>
        <v>70011</v>
      </c>
      <c r="C6308" s="1">
        <v>1.32127487370396E-3</v>
      </c>
      <c r="D6308" s="1">
        <v>4.2125158169557704E-3</v>
      </c>
      <c r="E6308" s="1">
        <v>8.3948959032907901E-5</v>
      </c>
      <c r="F6308" s="1">
        <v>1.52958344022487E-3</v>
      </c>
    </row>
    <row r="6309" spans="1:6" x14ac:dyDescent="0.25">
      <c r="A6309" s="2" t="str">
        <f t="shared" si="235"/>
        <v>35380</v>
      </c>
      <c r="B6309" s="2" t="str">
        <f>"70053"</f>
        <v>70053</v>
      </c>
      <c r="C6309" s="1">
        <v>1.2264060853787701E-2</v>
      </c>
      <c r="D6309" s="1">
        <v>2.1430974004132401E-2</v>
      </c>
      <c r="E6309" s="1">
        <v>1.6370047011417001E-2</v>
      </c>
      <c r="F6309" s="1">
        <v>1.31883470292427E-2</v>
      </c>
    </row>
    <row r="6310" spans="1:6" x14ac:dyDescent="0.25">
      <c r="A6310" s="2" t="str">
        <f t="shared" si="235"/>
        <v>35380</v>
      </c>
      <c r="B6310" s="2" t="str">
        <f>"70039"</f>
        <v>70039</v>
      </c>
      <c r="C6310" s="1">
        <v>1.1537672771561899E-3</v>
      </c>
      <c r="D6310" s="1">
        <v>1.4095109957874799E-3</v>
      </c>
      <c r="E6310" s="1">
        <v>1.5950302216252499E-3</v>
      </c>
      <c r="F6310" s="1">
        <v>1.19028900713621E-3</v>
      </c>
    </row>
    <row r="6311" spans="1:6" x14ac:dyDescent="0.25">
      <c r="A6311" s="2" t="str">
        <f t="shared" si="235"/>
        <v>35380</v>
      </c>
      <c r="B6311" s="2" t="str">
        <f>"70031"</f>
        <v>70031</v>
      </c>
      <c r="C6311" s="1">
        <v>1.5420091831734701E-3</v>
      </c>
      <c r="D6311" s="1">
        <v>5.1254945301363003E-4</v>
      </c>
      <c r="E6311" s="1">
        <v>8.3948959032907901E-5</v>
      </c>
      <c r="F6311" s="1">
        <v>1.40545133055829E-3</v>
      </c>
    </row>
    <row r="6312" spans="1:6" x14ac:dyDescent="0.25">
      <c r="A6312" s="2" t="str">
        <f t="shared" si="235"/>
        <v>35380</v>
      </c>
      <c r="B6312" s="2" t="str">
        <f>"70002"</f>
        <v>70002</v>
      </c>
      <c r="C6312" s="1">
        <v>1.54748840362129E-2</v>
      </c>
      <c r="D6312" s="1">
        <v>4.6738103246680401E-2</v>
      </c>
      <c r="E6312" s="1">
        <v>3.8490597716588297E-2</v>
      </c>
      <c r="F6312" s="1">
        <v>1.89232504958388E-2</v>
      </c>
    </row>
    <row r="6313" spans="1:6" x14ac:dyDescent="0.25">
      <c r="A6313" s="2" t="str">
        <f t="shared" si="235"/>
        <v>35380</v>
      </c>
      <c r="B6313" s="2" t="str">
        <f>"70076"</f>
        <v>70076</v>
      </c>
      <c r="C6313" s="1">
        <v>1.89424478339076E-4</v>
      </c>
      <c r="D6313" s="1">
        <v>6.4068681626703794E-5</v>
      </c>
      <c r="E6313" s="1">
        <v>4.1974479516453903E-5</v>
      </c>
      <c r="F6313" s="1">
        <v>1.7378495353321299E-4</v>
      </c>
    </row>
    <row r="6314" spans="1:6" x14ac:dyDescent="0.25">
      <c r="A6314" s="2" t="str">
        <f t="shared" si="235"/>
        <v>35380</v>
      </c>
      <c r="B6314" s="2" t="str">
        <f>"70112"</f>
        <v>70112</v>
      </c>
      <c r="C6314" s="1">
        <v>7.2857977040500796E-3</v>
      </c>
      <c r="D6314" s="1">
        <v>2.1623180049012501E-2</v>
      </c>
      <c r="E6314" s="1">
        <v>1.3096037609133601E-2</v>
      </c>
      <c r="F6314" s="1">
        <v>8.7113156072680699E-3</v>
      </c>
    </row>
    <row r="6315" spans="1:6" x14ac:dyDescent="0.25">
      <c r="A6315" s="2" t="str">
        <f t="shared" si="235"/>
        <v>35380</v>
      </c>
      <c r="B6315" s="2" t="str">
        <f>"70079"</f>
        <v>70079</v>
      </c>
      <c r="C6315" s="1">
        <v>2.0226150910254998E-3</v>
      </c>
      <c r="D6315" s="1">
        <v>1.9540947896144602E-3</v>
      </c>
      <c r="E6315" s="1">
        <v>7.9751511081262497E-4</v>
      </c>
      <c r="F6315" s="1">
        <v>1.9764590350245599E-3</v>
      </c>
    </row>
    <row r="6316" spans="1:6" x14ac:dyDescent="0.25">
      <c r="A6316" s="2" t="str">
        <f t="shared" si="235"/>
        <v>35380</v>
      </c>
      <c r="B6316" s="2" t="str">
        <f>"70723"</f>
        <v>70723</v>
      </c>
      <c r="C6316" s="1">
        <v>1.2570897198865901E-3</v>
      </c>
      <c r="D6316" s="1">
        <v>5.6060096423365805E-4</v>
      </c>
      <c r="E6316" s="1">
        <v>8.8146406984553299E-4</v>
      </c>
      <c r="F6316" s="1">
        <v>1.18477202448436E-3</v>
      </c>
    </row>
    <row r="6317" spans="1:6" x14ac:dyDescent="0.25">
      <c r="A6317" s="2" t="str">
        <f t="shared" si="235"/>
        <v>35380</v>
      </c>
      <c r="B6317" s="2" t="str">
        <f>"70457"</f>
        <v>70457</v>
      </c>
      <c r="C6317" s="1">
        <v>0</v>
      </c>
      <c r="D6317" s="1">
        <v>0</v>
      </c>
      <c r="E6317" s="1">
        <v>4.1974479516453903E-5</v>
      </c>
      <c r="F6317" s="1">
        <v>1.3792456629620099E-6</v>
      </c>
    </row>
    <row r="6318" spans="1:6" x14ac:dyDescent="0.25">
      <c r="A6318" s="2" t="str">
        <f t="shared" si="235"/>
        <v>35380</v>
      </c>
      <c r="B6318" s="2" t="str">
        <f>"70463"</f>
        <v>70463</v>
      </c>
      <c r="C6318" s="1">
        <v>0</v>
      </c>
      <c r="D6318" s="1">
        <v>0</v>
      </c>
      <c r="E6318" s="1">
        <v>4.1974479516453903E-5</v>
      </c>
      <c r="F6318" s="1">
        <v>1.3792456629620099E-6</v>
      </c>
    </row>
    <row r="6319" spans="1:6" x14ac:dyDescent="0.25">
      <c r="A6319" s="2" t="str">
        <f t="shared" si="235"/>
        <v>35380</v>
      </c>
      <c r="B6319" s="2" t="str">
        <f>"70470"</f>
        <v>70470</v>
      </c>
      <c r="C6319" s="1">
        <v>2.6973419518861799E-3</v>
      </c>
      <c r="D6319" s="1">
        <v>1.25574615988339E-2</v>
      </c>
      <c r="E6319" s="1">
        <v>8.3948959032907901E-5</v>
      </c>
      <c r="F6319" s="1">
        <v>3.4605273683716901E-3</v>
      </c>
    </row>
    <row r="6320" spans="1:6" x14ac:dyDescent="0.25">
      <c r="A6320" s="2" t="str">
        <f t="shared" si="235"/>
        <v>35380</v>
      </c>
      <c r="B6320" s="2" t="str">
        <f>"70458"</f>
        <v>70458</v>
      </c>
      <c r="C6320" s="1">
        <v>2.6921758297496601E-2</v>
      </c>
      <c r="D6320" s="1">
        <v>3.3347748786699299E-2</v>
      </c>
      <c r="E6320" s="1">
        <v>2.1281061114842102E-2</v>
      </c>
      <c r="F6320" s="1">
        <v>2.7289754687366299E-2</v>
      </c>
    </row>
    <row r="6321" spans="1:6" x14ac:dyDescent="0.25">
      <c r="A6321" s="2" t="str">
        <f t="shared" si="235"/>
        <v>35380</v>
      </c>
      <c r="B6321" s="2" t="str">
        <f>"70183"</f>
        <v>70183</v>
      </c>
      <c r="C6321" s="1">
        <v>1.35728117950395E-3</v>
      </c>
      <c r="D6321" s="1">
        <v>4.4367562026492299E-3</v>
      </c>
      <c r="E6321" s="1">
        <v>8.3948959032907901E-5</v>
      </c>
      <c r="F6321" s="1">
        <v>1.58061552975446E-3</v>
      </c>
    </row>
    <row r="6322" spans="1:6" x14ac:dyDescent="0.25">
      <c r="A6322" s="2" t="str">
        <f t="shared" si="235"/>
        <v>35380</v>
      </c>
      <c r="B6322" s="2" t="str">
        <f>"70069"</f>
        <v>70069</v>
      </c>
      <c r="C6322" s="1">
        <v>3.21865064020777E-3</v>
      </c>
      <c r="D6322" s="1">
        <v>4.74108244037608E-3</v>
      </c>
      <c r="E6322" s="1">
        <v>8.3948959032907901E-5</v>
      </c>
      <c r="F6322" s="1">
        <v>3.2467442906125698E-3</v>
      </c>
    </row>
    <row r="6323" spans="1:6" x14ac:dyDescent="0.25">
      <c r="A6323" s="2" t="str">
        <f t="shared" si="235"/>
        <v>35380</v>
      </c>
      <c r="B6323" s="2" t="str">
        <f>"70067"</f>
        <v>70067</v>
      </c>
      <c r="C6323" s="1">
        <v>2.36389225034714E-3</v>
      </c>
      <c r="D6323" s="1">
        <v>9.2899588358720498E-4</v>
      </c>
      <c r="E6323" s="1">
        <v>3.7777031564808502E-4</v>
      </c>
      <c r="F6323" s="1">
        <v>2.1750704104910902E-3</v>
      </c>
    </row>
    <row r="6324" spans="1:6" x14ac:dyDescent="0.25">
      <c r="A6324" s="2" t="str">
        <f t="shared" si="235"/>
        <v>35380</v>
      </c>
      <c r="B6324" s="2" t="str">
        <f>"70052"</f>
        <v>70052</v>
      </c>
      <c r="C6324" s="1">
        <v>1.34319175549526E-3</v>
      </c>
      <c r="D6324" s="1">
        <v>8.0085852033379699E-4</v>
      </c>
      <c r="E6324" s="1">
        <v>9.6541302887844101E-4</v>
      </c>
      <c r="F6324" s="1">
        <v>1.2840777122176299E-3</v>
      </c>
    </row>
    <row r="6325" spans="1:6" x14ac:dyDescent="0.25">
      <c r="A6325" s="2" t="str">
        <f t="shared" si="235"/>
        <v>35380</v>
      </c>
      <c r="B6325" s="2" t="str">
        <f>"70041"</f>
        <v>70041</v>
      </c>
      <c r="C6325" s="1">
        <v>2.0883657363993998E-3</v>
      </c>
      <c r="D6325" s="1">
        <v>1.64976855188762E-3</v>
      </c>
      <c r="E6325" s="1">
        <v>2.09872397582269E-4</v>
      </c>
      <c r="F6325" s="1">
        <v>1.9888722459912201E-3</v>
      </c>
    </row>
    <row r="6326" spans="1:6" x14ac:dyDescent="0.25">
      <c r="A6326" s="2" t="str">
        <f t="shared" si="235"/>
        <v>35380</v>
      </c>
      <c r="B6326" s="2" t="str">
        <f>"70037"</f>
        <v>70037</v>
      </c>
      <c r="C6326" s="1">
        <v>1.1949397050926999E-2</v>
      </c>
      <c r="D6326" s="1">
        <v>1.43513846843816E-2</v>
      </c>
      <c r="E6326" s="1">
        <v>9.1084620550705101E-3</v>
      </c>
      <c r="F6326" s="1">
        <v>1.2062882568265701E-2</v>
      </c>
    </row>
    <row r="6327" spans="1:6" x14ac:dyDescent="0.25">
      <c r="A6327" s="2" t="str">
        <f t="shared" si="235"/>
        <v>35380</v>
      </c>
      <c r="B6327" s="2" t="str">
        <f>"70033"</f>
        <v>70033</v>
      </c>
      <c r="C6327" s="1">
        <v>1.93181658074727E-3</v>
      </c>
      <c r="D6327" s="1">
        <v>9.8345426296990307E-3</v>
      </c>
      <c r="E6327" s="1">
        <v>8.3948959032907901E-5</v>
      </c>
      <c r="F6327" s="1">
        <v>2.5516044764797201E-3</v>
      </c>
    </row>
    <row r="6328" spans="1:6" x14ac:dyDescent="0.25">
      <c r="A6328" s="2" t="str">
        <f t="shared" si="235"/>
        <v>35380</v>
      </c>
      <c r="B6328" s="2" t="str">
        <f>"70006"</f>
        <v>70006</v>
      </c>
      <c r="C6328" s="1">
        <v>1.08065882146664E-2</v>
      </c>
      <c r="D6328" s="1">
        <v>1.9124501465571001E-2</v>
      </c>
      <c r="E6328" s="1">
        <v>3.9749832102081897E-2</v>
      </c>
      <c r="F6328" s="1">
        <v>1.2473897775828399E-2</v>
      </c>
    </row>
    <row r="6329" spans="1:6" x14ac:dyDescent="0.25">
      <c r="A6329" s="2" t="str">
        <f t="shared" si="235"/>
        <v>35380</v>
      </c>
      <c r="B6329" s="2" t="str">
        <f>"70129"</f>
        <v>70129</v>
      </c>
      <c r="C6329" s="1">
        <v>5.9206890667635103E-3</v>
      </c>
      <c r="D6329" s="1">
        <v>4.9493056556628697E-3</v>
      </c>
      <c r="E6329" s="1">
        <v>2.4764942914707799E-3</v>
      </c>
      <c r="F6329" s="1">
        <v>5.72386950129235E-3</v>
      </c>
    </row>
    <row r="6330" spans="1:6" x14ac:dyDescent="0.25">
      <c r="A6330" s="2" t="str">
        <f t="shared" si="235"/>
        <v>35380</v>
      </c>
      <c r="B6330" s="2" t="str">
        <f>"70116"</f>
        <v>70116</v>
      </c>
      <c r="C6330" s="1">
        <v>1.4075334584682899E-2</v>
      </c>
      <c r="D6330" s="1">
        <v>1.51202088639021E-2</v>
      </c>
      <c r="E6330" s="1">
        <v>3.6769644056413697E-2</v>
      </c>
      <c r="F6330" s="1">
        <v>1.49110248622823E-2</v>
      </c>
    </row>
    <row r="6331" spans="1:6" x14ac:dyDescent="0.25">
      <c r="A6331" s="2" t="str">
        <f t="shared" si="235"/>
        <v>35380</v>
      </c>
      <c r="B6331" s="2" t="str">
        <f>"70122"</f>
        <v>70122</v>
      </c>
      <c r="C6331" s="1">
        <v>2.5655275628270802E-2</v>
      </c>
      <c r="D6331" s="1">
        <v>8.8574952348918004E-3</v>
      </c>
      <c r="E6331" s="1">
        <v>1.22145735392881E-2</v>
      </c>
      <c r="F6331" s="1">
        <v>2.37671612641614E-2</v>
      </c>
    </row>
    <row r="6332" spans="1:6" x14ac:dyDescent="0.25">
      <c r="A6332" s="2" t="str">
        <f t="shared" si="235"/>
        <v>35380</v>
      </c>
      <c r="B6332" s="2" t="str">
        <f>"70121"</f>
        <v>70121</v>
      </c>
      <c r="C6332" s="1">
        <v>1.0044193826640501E-2</v>
      </c>
      <c r="D6332" s="1">
        <v>1.19488091233802E-2</v>
      </c>
      <c r="E6332" s="1">
        <v>1.33898589657488E-2</v>
      </c>
      <c r="F6332" s="1">
        <v>1.0318136804618801E-2</v>
      </c>
    </row>
    <row r="6333" spans="1:6" x14ac:dyDescent="0.25">
      <c r="A6333" s="2" t="str">
        <f t="shared" si="235"/>
        <v>35380</v>
      </c>
      <c r="B6333" s="2" t="str">
        <f>"70119"</f>
        <v>70119</v>
      </c>
      <c r="C6333" s="1">
        <v>3.3625193142520701E-2</v>
      </c>
      <c r="D6333" s="1">
        <v>3.19862893021318E-2</v>
      </c>
      <c r="E6333" s="1">
        <v>4.1134989926124903E-2</v>
      </c>
      <c r="F6333" s="1">
        <v>3.3730831933398903E-2</v>
      </c>
    </row>
    <row r="6334" spans="1:6" x14ac:dyDescent="0.25">
      <c r="A6334" s="2" t="str">
        <f t="shared" si="235"/>
        <v>35380</v>
      </c>
      <c r="B6334" s="2" t="str">
        <f>"70090"</f>
        <v>70090</v>
      </c>
      <c r="C6334" s="1">
        <v>4.4491270036335004E-3</v>
      </c>
      <c r="D6334" s="1">
        <v>1.15323626928066E-3</v>
      </c>
      <c r="E6334" s="1">
        <v>5.4566823371390101E-4</v>
      </c>
      <c r="F6334" s="1">
        <v>4.03705205548981E-3</v>
      </c>
    </row>
    <row r="6335" spans="1:6" x14ac:dyDescent="0.25">
      <c r="A6335" s="2" t="str">
        <f t="shared" si="235"/>
        <v>35380</v>
      </c>
      <c r="B6335" s="2" t="str">
        <f>"70086"</f>
        <v>70086</v>
      </c>
      <c r="C6335" s="1">
        <v>1.2101249731909501E-3</v>
      </c>
      <c r="D6335" s="1">
        <v>5.28566623420306E-4</v>
      </c>
      <c r="E6335" s="1">
        <v>4.1974479516453903E-5</v>
      </c>
      <c r="F6335" s="1">
        <v>1.11305125001034E-3</v>
      </c>
    </row>
    <row r="6336" spans="1:6" x14ac:dyDescent="0.25">
      <c r="A6336" s="2" t="str">
        <f t="shared" si="235"/>
        <v>35380</v>
      </c>
      <c r="B6336" s="2" t="str">
        <f>"70464"</f>
        <v>70464</v>
      </c>
      <c r="C6336" s="1">
        <v>0</v>
      </c>
      <c r="D6336" s="1">
        <v>0</v>
      </c>
      <c r="E6336" s="1">
        <v>4.1974479516453903E-5</v>
      </c>
      <c r="F6336" s="1">
        <v>1.3792456629620099E-6</v>
      </c>
    </row>
    <row r="6337" spans="1:6" x14ac:dyDescent="0.25">
      <c r="A6337" s="2" t="str">
        <f t="shared" ref="A6337:A6368" si="236">"35380"</f>
        <v>35380</v>
      </c>
      <c r="B6337" s="2" t="str">
        <f>"70438"</f>
        <v>70438</v>
      </c>
      <c r="C6337" s="1">
        <v>2.81788480173832E-4</v>
      </c>
      <c r="D6337" s="1">
        <v>1.6017170406675901E-5</v>
      </c>
      <c r="E6337" s="1">
        <v>0</v>
      </c>
      <c r="F6337" s="1">
        <v>2.4964346499612398E-4</v>
      </c>
    </row>
    <row r="6338" spans="1:6" x14ac:dyDescent="0.25">
      <c r="A6338" s="2" t="str">
        <f t="shared" si="236"/>
        <v>35380</v>
      </c>
      <c r="B6338" s="2" t="str">
        <f>"70437"</f>
        <v>70437</v>
      </c>
      <c r="C6338" s="1">
        <v>4.5962832099464999E-3</v>
      </c>
      <c r="D6338" s="1">
        <v>1.69782006310765E-3</v>
      </c>
      <c r="E6338" s="1">
        <v>8.8146406984553299E-4</v>
      </c>
      <c r="F6338" s="1">
        <v>4.2246294656526403E-3</v>
      </c>
    </row>
    <row r="6339" spans="1:6" x14ac:dyDescent="0.25">
      <c r="A6339" s="2" t="str">
        <f t="shared" si="236"/>
        <v>35380</v>
      </c>
      <c r="B6339" s="2" t="str">
        <f>"70435"</f>
        <v>70435</v>
      </c>
      <c r="C6339" s="1">
        <v>1.38170284778569E-2</v>
      </c>
      <c r="D6339" s="1">
        <v>4.08437845370236E-3</v>
      </c>
      <c r="E6339" s="1">
        <v>1.42713230355943E-3</v>
      </c>
      <c r="F6339" s="1">
        <v>1.25718242178987E-2</v>
      </c>
    </row>
    <row r="6340" spans="1:6" x14ac:dyDescent="0.25">
      <c r="A6340" s="2" t="str">
        <f t="shared" si="236"/>
        <v>35380</v>
      </c>
      <c r="B6340" s="2" t="str">
        <f>"70445"</f>
        <v>70445</v>
      </c>
      <c r="C6340" s="1">
        <v>7.3014526196152896E-3</v>
      </c>
      <c r="D6340" s="1">
        <v>2.3545240497813598E-3</v>
      </c>
      <c r="E6340" s="1">
        <v>9.6541302887844101E-4</v>
      </c>
      <c r="F6340" s="1">
        <v>6.6672735347583596E-3</v>
      </c>
    </row>
    <row r="6341" spans="1:6" x14ac:dyDescent="0.25">
      <c r="A6341" s="2" t="str">
        <f t="shared" si="236"/>
        <v>35380</v>
      </c>
      <c r="B6341" s="2" t="str">
        <f>"70176"</f>
        <v>70176</v>
      </c>
      <c r="C6341" s="1">
        <v>7.5456693024326103E-4</v>
      </c>
      <c r="D6341" s="1">
        <v>1.08916758765396E-3</v>
      </c>
      <c r="E6341" s="1">
        <v>8.3948959032907901E-5</v>
      </c>
      <c r="F6341" s="1">
        <v>7.6134360595503099E-4</v>
      </c>
    </row>
    <row r="6342" spans="1:6" x14ac:dyDescent="0.25">
      <c r="A6342" s="2" t="str">
        <f t="shared" si="236"/>
        <v>35380</v>
      </c>
      <c r="B6342" s="2" t="str">
        <f>"70165"</f>
        <v>70165</v>
      </c>
      <c r="C6342" s="1">
        <v>0</v>
      </c>
      <c r="D6342" s="1">
        <v>1.6017170406675901E-5</v>
      </c>
      <c r="E6342" s="1">
        <v>0</v>
      </c>
      <c r="F6342" s="1">
        <v>1.3792456629620099E-6</v>
      </c>
    </row>
    <row r="6343" spans="1:6" x14ac:dyDescent="0.25">
      <c r="A6343" s="2" t="str">
        <f t="shared" si="236"/>
        <v>35380</v>
      </c>
      <c r="B6343" s="2" t="str">
        <f>"70148"</f>
        <v>70148</v>
      </c>
      <c r="C6343" s="1">
        <v>0</v>
      </c>
      <c r="D6343" s="1">
        <v>1.6017170406675901E-5</v>
      </c>
      <c r="E6343" s="1">
        <v>0</v>
      </c>
      <c r="F6343" s="1">
        <v>1.3792456629620099E-6</v>
      </c>
    </row>
    <row r="6344" spans="1:6" x14ac:dyDescent="0.25">
      <c r="A6344" s="2" t="str">
        <f t="shared" si="236"/>
        <v>35380</v>
      </c>
      <c r="B6344" s="2" t="str">
        <f>"70141"</f>
        <v>70141</v>
      </c>
      <c r="C6344" s="1">
        <v>0</v>
      </c>
      <c r="D6344" s="1">
        <v>1.6017170406675901E-5</v>
      </c>
      <c r="E6344" s="1">
        <v>0</v>
      </c>
      <c r="F6344" s="1">
        <v>1.3792456629620099E-6</v>
      </c>
    </row>
    <row r="6345" spans="1:6" x14ac:dyDescent="0.25">
      <c r="A6345" s="2" t="str">
        <f t="shared" si="236"/>
        <v>35380</v>
      </c>
      <c r="B6345" s="2" t="str">
        <f>"70182"</f>
        <v>70182</v>
      </c>
      <c r="C6345" s="1">
        <v>1.6891653894864701E-3</v>
      </c>
      <c r="D6345" s="1">
        <v>2.1783351753079301E-3</v>
      </c>
      <c r="E6345" s="1">
        <v>8.3948959032907901E-5</v>
      </c>
      <c r="F6345" s="1">
        <v>1.67854197182476E-3</v>
      </c>
    </row>
    <row r="6346" spans="1:6" x14ac:dyDescent="0.25">
      <c r="A6346" s="2" t="str">
        <f t="shared" si="236"/>
        <v>35380</v>
      </c>
      <c r="B6346" s="2" t="str">
        <f>"70175"</f>
        <v>70175</v>
      </c>
      <c r="C6346" s="1">
        <v>2.4640837099645101E-3</v>
      </c>
      <c r="D6346" s="1">
        <v>3.02724520686175E-3</v>
      </c>
      <c r="E6346" s="1">
        <v>8.3948959032907901E-5</v>
      </c>
      <c r="F6346" s="1">
        <v>2.4343685951279501E-3</v>
      </c>
    </row>
    <row r="6347" spans="1:6" x14ac:dyDescent="0.25">
      <c r="A6347" s="2" t="str">
        <f t="shared" si="236"/>
        <v>35380</v>
      </c>
      <c r="B6347" s="2" t="str">
        <f>"70153"</f>
        <v>70153</v>
      </c>
      <c r="C6347" s="1">
        <v>1.34945372172135E-3</v>
      </c>
      <c r="D6347" s="1">
        <v>2.0181634712411701E-3</v>
      </c>
      <c r="E6347" s="1">
        <v>8.3948959032907901E-5</v>
      </c>
      <c r="F6347" s="1">
        <v>1.36545320633239E-3</v>
      </c>
    </row>
    <row r="6348" spans="1:6" x14ac:dyDescent="0.25">
      <c r="A6348" s="2" t="str">
        <f t="shared" si="236"/>
        <v>35380</v>
      </c>
      <c r="B6348" s="2" t="str">
        <f>"70057"</f>
        <v>70057</v>
      </c>
      <c r="C6348" s="1">
        <v>3.3705033211903299E-3</v>
      </c>
      <c r="D6348" s="1">
        <v>1.76188874473435E-3</v>
      </c>
      <c r="E6348" s="1">
        <v>6.7159167226326299E-4</v>
      </c>
      <c r="F6348" s="1">
        <v>3.14330086589042E-3</v>
      </c>
    </row>
    <row r="6349" spans="1:6" x14ac:dyDescent="0.25">
      <c r="A6349" s="2" t="str">
        <f t="shared" si="236"/>
        <v>35380</v>
      </c>
      <c r="B6349" s="2" t="str">
        <f>"70009"</f>
        <v>70009</v>
      </c>
      <c r="C6349" s="1">
        <v>6.3089309727807903E-4</v>
      </c>
      <c r="D6349" s="1">
        <v>3.98827543126231E-3</v>
      </c>
      <c r="E6349" s="1">
        <v>8.3948959032907901E-5</v>
      </c>
      <c r="F6349" s="1">
        <v>9.0202666357715601E-4</v>
      </c>
    </row>
    <row r="6350" spans="1:6" x14ac:dyDescent="0.25">
      <c r="A6350" s="2" t="str">
        <f t="shared" si="236"/>
        <v>35380</v>
      </c>
      <c r="B6350" s="2" t="str">
        <f>"70036"</f>
        <v>70036</v>
      </c>
      <c r="C6350" s="1">
        <v>1.22577988875616E-3</v>
      </c>
      <c r="D6350" s="1">
        <v>1.7618887447343499E-4</v>
      </c>
      <c r="E6350" s="1">
        <v>1.25923438549361E-4</v>
      </c>
      <c r="F6350" s="1">
        <v>1.0992587933807199E-3</v>
      </c>
    </row>
    <row r="6351" spans="1:6" x14ac:dyDescent="0.25">
      <c r="A6351" s="2" t="str">
        <f t="shared" si="236"/>
        <v>35380</v>
      </c>
      <c r="B6351" s="2" t="str">
        <f>"70051"</f>
        <v>70051</v>
      </c>
      <c r="C6351" s="1">
        <v>6.62202928408505E-4</v>
      </c>
      <c r="D6351" s="1">
        <v>8.0085852033379699E-5</v>
      </c>
      <c r="E6351" s="1">
        <v>4.1974479516453903E-5</v>
      </c>
      <c r="F6351" s="1">
        <v>5.9169638941070296E-4</v>
      </c>
    </row>
    <row r="6352" spans="1:6" x14ac:dyDescent="0.25">
      <c r="A6352" s="2" t="str">
        <f t="shared" si="236"/>
        <v>35380</v>
      </c>
      <c r="B6352" s="2" t="str">
        <f>"70040"</f>
        <v>70040</v>
      </c>
      <c r="C6352" s="1">
        <v>1.7423921024081899E-3</v>
      </c>
      <c r="D6352" s="1">
        <v>6.4068681626703802E-4</v>
      </c>
      <c r="E6352" s="1">
        <v>1.25923438549361E-4</v>
      </c>
      <c r="F6352" s="1">
        <v>1.59440798638408E-3</v>
      </c>
    </row>
    <row r="6353" spans="1:6" x14ac:dyDescent="0.25">
      <c r="A6353" s="2" t="str">
        <f t="shared" si="236"/>
        <v>35380</v>
      </c>
      <c r="B6353" s="2" t="str">
        <f>"70114"</f>
        <v>70114</v>
      </c>
      <c r="C6353" s="1">
        <v>1.85589024025598E-2</v>
      </c>
      <c r="D6353" s="1">
        <v>1.4383419025195E-2</v>
      </c>
      <c r="E6353" s="1">
        <v>2.07773673606447E-2</v>
      </c>
      <c r="F6353" s="1">
        <v>1.82722465429207E-2</v>
      </c>
    </row>
    <row r="6354" spans="1:6" x14ac:dyDescent="0.25">
      <c r="A6354" s="2" t="str">
        <f t="shared" si="236"/>
        <v>35380</v>
      </c>
      <c r="B6354" s="2" t="str">
        <f>"70118"</f>
        <v>70118</v>
      </c>
      <c r="C6354" s="1">
        <v>2.5897926819531601E-2</v>
      </c>
      <c r="D6354" s="1">
        <v>1.37747665497413E-2</v>
      </c>
      <c r="E6354" s="1">
        <v>2.4890866353257199E-2</v>
      </c>
      <c r="F6354" s="1">
        <v>2.4820904950664299E-2</v>
      </c>
    </row>
    <row r="6355" spans="1:6" x14ac:dyDescent="0.25">
      <c r="A6355" s="2" t="str">
        <f t="shared" si="236"/>
        <v>35380</v>
      </c>
      <c r="B6355" s="2" t="str">
        <f>"70096"</f>
        <v>70096</v>
      </c>
      <c r="C6355" s="1">
        <v>1.62028376099953E-3</v>
      </c>
      <c r="D6355" s="1">
        <v>2.0982493232745499E-3</v>
      </c>
      <c r="E6355" s="1">
        <v>1.6789791806581499E-4</v>
      </c>
      <c r="F6355" s="1">
        <v>1.6137174256655501E-3</v>
      </c>
    </row>
    <row r="6356" spans="1:6" x14ac:dyDescent="0.25">
      <c r="A6356" s="2" t="str">
        <f t="shared" si="236"/>
        <v>35380</v>
      </c>
      <c r="B6356" s="2" t="str">
        <f>"70094"</f>
        <v>70094</v>
      </c>
      <c r="C6356" s="1">
        <v>2.1102826181906901E-2</v>
      </c>
      <c r="D6356" s="1">
        <v>9.5782679031922204E-3</v>
      </c>
      <c r="E6356" s="1">
        <v>2.1448959032907899E-2</v>
      </c>
      <c r="F6356" s="1">
        <v>2.0121814976952802E-2</v>
      </c>
    </row>
    <row r="6357" spans="1:6" x14ac:dyDescent="0.25">
      <c r="A6357" s="2" t="str">
        <f t="shared" si="236"/>
        <v>35380</v>
      </c>
      <c r="B6357" s="2" t="str">
        <f>"70792"</f>
        <v>70792</v>
      </c>
      <c r="C6357" s="1">
        <v>0</v>
      </c>
      <c r="D6357" s="1">
        <v>0</v>
      </c>
      <c r="E6357" s="1">
        <v>4.1974479516453903E-5</v>
      </c>
      <c r="F6357" s="1">
        <v>1.3792456629620099E-6</v>
      </c>
    </row>
    <row r="6358" spans="1:6" x14ac:dyDescent="0.25">
      <c r="A6358" s="2" t="str">
        <f t="shared" si="236"/>
        <v>35380</v>
      </c>
      <c r="B6358" s="2" t="str">
        <f>"70431"</f>
        <v>70431</v>
      </c>
      <c r="C6358" s="1">
        <v>3.88555004328584E-3</v>
      </c>
      <c r="D6358" s="1">
        <v>4.8051511220027798E-4</v>
      </c>
      <c r="E6358" s="1">
        <v>1.6789791806581499E-4</v>
      </c>
      <c r="F6358" s="1">
        <v>3.4701820880124199E-3</v>
      </c>
    </row>
    <row r="6359" spans="1:6" x14ac:dyDescent="0.25">
      <c r="A6359" s="2" t="str">
        <f t="shared" si="236"/>
        <v>35380</v>
      </c>
      <c r="B6359" s="2" t="str">
        <f>"70420"</f>
        <v>70420</v>
      </c>
      <c r="C6359" s="1">
        <v>8.7417048516148805E-3</v>
      </c>
      <c r="D6359" s="1">
        <v>5.14151170054298E-3</v>
      </c>
      <c r="E6359" s="1">
        <v>1.8888515782404199E-3</v>
      </c>
      <c r="F6359" s="1">
        <v>8.2065116946239709E-3</v>
      </c>
    </row>
    <row r="6360" spans="1:6" x14ac:dyDescent="0.25">
      <c r="A6360" s="2" t="str">
        <f t="shared" si="236"/>
        <v>35380</v>
      </c>
      <c r="B6360" s="2" t="str">
        <f>"70448"</f>
        <v>70448</v>
      </c>
      <c r="C6360" s="1">
        <v>1.6259195306030101E-2</v>
      </c>
      <c r="D6360" s="1">
        <v>1.41271442986881E-2</v>
      </c>
      <c r="E6360" s="1">
        <v>7.5973807924781698E-3</v>
      </c>
      <c r="F6360" s="1">
        <v>1.5790983595251998E-2</v>
      </c>
    </row>
    <row r="6361" spans="1:6" x14ac:dyDescent="0.25">
      <c r="A6361" s="2" t="str">
        <f t="shared" si="236"/>
        <v>35380</v>
      </c>
      <c r="B6361" s="2" t="str">
        <f>"70346"</f>
        <v>70346</v>
      </c>
      <c r="C6361" s="1">
        <v>7.8274577826064404E-6</v>
      </c>
      <c r="D6361" s="1">
        <v>3.2034340813351897E-5</v>
      </c>
      <c r="E6361" s="1">
        <v>0</v>
      </c>
      <c r="F6361" s="1">
        <v>9.6547196407340796E-6</v>
      </c>
    </row>
    <row r="6362" spans="1:6" x14ac:dyDescent="0.25">
      <c r="A6362" s="2" t="str">
        <f t="shared" si="236"/>
        <v>35380</v>
      </c>
      <c r="B6362" s="2" t="str">
        <f>"70177"</f>
        <v>70177</v>
      </c>
      <c r="C6362" s="1">
        <v>2.5846265598166401E-3</v>
      </c>
      <c r="D6362" s="1">
        <v>1.5856998702609101E-3</v>
      </c>
      <c r="E6362" s="1">
        <v>8.3948959032907901E-5</v>
      </c>
      <c r="F6362" s="1">
        <v>2.4164384015094402E-3</v>
      </c>
    </row>
    <row r="6363" spans="1:6" x14ac:dyDescent="0.25">
      <c r="A6363" s="2" t="str">
        <f t="shared" si="236"/>
        <v>35380</v>
      </c>
      <c r="B6363" s="2" t="str">
        <f>"70152"</f>
        <v>70152</v>
      </c>
      <c r="C6363" s="1">
        <v>8.2814503339976198E-4</v>
      </c>
      <c r="D6363" s="1">
        <v>2.0662149824611899E-3</v>
      </c>
      <c r="E6363" s="1">
        <v>8.3948959032907901E-5</v>
      </c>
      <c r="F6363" s="1">
        <v>9.1030213755492805E-4</v>
      </c>
    </row>
    <row r="6364" spans="1:6" x14ac:dyDescent="0.25">
      <c r="A6364" s="2" t="str">
        <f t="shared" si="236"/>
        <v>35380</v>
      </c>
      <c r="B6364" s="2" t="str">
        <f>"70150"</f>
        <v>70150</v>
      </c>
      <c r="C6364" s="1">
        <v>1.0222659864083999E-3</v>
      </c>
      <c r="D6364" s="1">
        <v>1.729854403921E-3</v>
      </c>
      <c r="E6364" s="1">
        <v>8.3948959032907901E-5</v>
      </c>
      <c r="F6364" s="1">
        <v>1.05236444084001E-3</v>
      </c>
    </row>
    <row r="6365" spans="1:6" x14ac:dyDescent="0.25">
      <c r="A6365" s="2" t="str">
        <f t="shared" si="236"/>
        <v>35380</v>
      </c>
      <c r="B6365" s="2" t="str">
        <f>"70145"</f>
        <v>70145</v>
      </c>
      <c r="C6365" s="1">
        <v>0</v>
      </c>
      <c r="D6365" s="1">
        <v>0</v>
      </c>
      <c r="E6365" s="1">
        <v>4.1974479516453903E-5</v>
      </c>
      <c r="F6365" s="1">
        <v>1.3792456629620099E-6</v>
      </c>
    </row>
    <row r="6366" spans="1:6" x14ac:dyDescent="0.25">
      <c r="A6366" s="2" t="str">
        <f t="shared" si="236"/>
        <v>35380</v>
      </c>
      <c r="B6366" s="2" t="str">
        <f>"70178"</f>
        <v>70178</v>
      </c>
      <c r="C6366" s="1">
        <v>4.2894468648683299E-4</v>
      </c>
      <c r="D6366" s="1">
        <v>1.10518475806064E-3</v>
      </c>
      <c r="E6366" s="1">
        <v>8.3948959032907901E-5</v>
      </c>
      <c r="F6366" s="1">
        <v>4.7583975372189402E-4</v>
      </c>
    </row>
    <row r="6367" spans="1:6" x14ac:dyDescent="0.25">
      <c r="A6367" s="2" t="str">
        <f t="shared" si="236"/>
        <v>35380</v>
      </c>
      <c r="B6367" s="2" t="str">
        <f>"70172"</f>
        <v>70172</v>
      </c>
      <c r="C6367" s="1">
        <v>1.17411866739096E-4</v>
      </c>
      <c r="D6367" s="1">
        <v>1.4415453366008299E-4</v>
      </c>
      <c r="E6367" s="1">
        <v>8.3948959032907901E-5</v>
      </c>
      <c r="F6367" s="1">
        <v>1.18615127014733E-4</v>
      </c>
    </row>
    <row r="6368" spans="1:6" x14ac:dyDescent="0.25">
      <c r="A6368" s="2" t="str">
        <f t="shared" si="236"/>
        <v>35380</v>
      </c>
      <c r="B6368" s="2" t="str">
        <f>"70065"</f>
        <v>70065</v>
      </c>
      <c r="C6368" s="1">
        <v>3.5682249047789702E-2</v>
      </c>
      <c r="D6368" s="1">
        <v>1.8579917671744099E-2</v>
      </c>
      <c r="E6368" s="1">
        <v>7.1860308932169201E-2</v>
      </c>
      <c r="F6368" s="1">
        <v>3.5398339939919997E-2</v>
      </c>
    </row>
    <row r="6369" spans="1:6" x14ac:dyDescent="0.25">
      <c r="A6369" s="2" t="str">
        <f t="shared" ref="A6369:A6376" si="237">"35380"</f>
        <v>35380</v>
      </c>
      <c r="B6369" s="2" t="str">
        <f>"70055"</f>
        <v>70055</v>
      </c>
      <c r="C6369" s="1">
        <v>1.7361301361821101E-3</v>
      </c>
      <c r="D6369" s="1">
        <v>6.42288533307705E-3</v>
      </c>
      <c r="E6369" s="1">
        <v>8.3948959032907901E-5</v>
      </c>
      <c r="F6369" s="1">
        <v>2.0854194423985599E-3</v>
      </c>
    </row>
    <row r="6370" spans="1:6" x14ac:dyDescent="0.25">
      <c r="A6370" s="2" t="str">
        <f t="shared" si="237"/>
        <v>35380</v>
      </c>
      <c r="B6370" s="2" t="str">
        <f>"70043"</f>
        <v>70043</v>
      </c>
      <c r="C6370" s="1">
        <v>1.5781720381291098E-2</v>
      </c>
      <c r="D6370" s="1">
        <v>1.8804158057437501E-2</v>
      </c>
      <c r="E6370" s="1">
        <v>2.0609469442578899E-2</v>
      </c>
      <c r="F6370" s="1">
        <v>1.62006195571518E-2</v>
      </c>
    </row>
    <row r="6371" spans="1:6" x14ac:dyDescent="0.25">
      <c r="A6371" s="2" t="str">
        <f t="shared" si="237"/>
        <v>35380</v>
      </c>
      <c r="B6371" s="2" t="str">
        <f>"70127"</f>
        <v>70127</v>
      </c>
      <c r="C6371" s="1">
        <v>1.60415919796736E-2</v>
      </c>
      <c r="D6371" s="1">
        <v>1.06193839796261E-2</v>
      </c>
      <c r="E6371" s="1">
        <v>1.6999664204163802E-2</v>
      </c>
      <c r="F6371" s="1">
        <v>1.56061646764151E-2</v>
      </c>
    </row>
    <row r="6372" spans="1:6" x14ac:dyDescent="0.25">
      <c r="A6372" s="2" t="str">
        <f t="shared" si="237"/>
        <v>35380</v>
      </c>
      <c r="B6372" s="2" t="str">
        <f>"70073"</f>
        <v>70073</v>
      </c>
      <c r="C6372" s="1">
        <v>3.2765738277990499E-3</v>
      </c>
      <c r="D6372" s="1">
        <v>4.4687905434625903E-3</v>
      </c>
      <c r="E6372" s="1">
        <v>8.3948959032907901E-5</v>
      </c>
      <c r="F6372" s="1">
        <v>3.2743292038718099E-3</v>
      </c>
    </row>
    <row r="6373" spans="1:6" x14ac:dyDescent="0.25">
      <c r="A6373" s="2" t="str">
        <f t="shared" si="237"/>
        <v>35380</v>
      </c>
      <c r="B6373" s="2" t="str">
        <f>"70091"</f>
        <v>70091</v>
      </c>
      <c r="C6373" s="1">
        <v>1.04887934286926E-4</v>
      </c>
      <c r="D6373" s="1">
        <v>9.2899588358720498E-4</v>
      </c>
      <c r="E6373" s="1">
        <v>4.1974479516453903E-5</v>
      </c>
      <c r="F6373" s="1">
        <v>1.7378495353321299E-4</v>
      </c>
    </row>
    <row r="6374" spans="1:6" x14ac:dyDescent="0.25">
      <c r="A6374" s="2" t="str">
        <f t="shared" si="237"/>
        <v>35380</v>
      </c>
      <c r="B6374" s="2" t="str">
        <f>"70092"</f>
        <v>70092</v>
      </c>
      <c r="C6374" s="1">
        <v>6.0928931379808596E-3</v>
      </c>
      <c r="D6374" s="1">
        <v>1.74587157432767E-3</v>
      </c>
      <c r="E6374" s="1">
        <v>3.81967763599731E-3</v>
      </c>
      <c r="F6374" s="1">
        <v>5.6438732528405504E-3</v>
      </c>
    </row>
    <row r="6375" spans="1:6" x14ac:dyDescent="0.25">
      <c r="A6375" s="2" t="str">
        <f t="shared" si="237"/>
        <v>35380</v>
      </c>
      <c r="B6375" s="2" t="str">
        <f>"70085"</f>
        <v>70085</v>
      </c>
      <c r="C6375" s="1">
        <v>5.0768891177985402E-3</v>
      </c>
      <c r="D6375" s="1">
        <v>1.77790591514103E-3</v>
      </c>
      <c r="E6375" s="1">
        <v>4.6171927468099299E-4</v>
      </c>
      <c r="F6375" s="1">
        <v>4.64116165586717E-3</v>
      </c>
    </row>
    <row r="6376" spans="1:6" x14ac:dyDescent="0.25">
      <c r="A6376" s="2" t="str">
        <f t="shared" si="237"/>
        <v>35380</v>
      </c>
      <c r="B6376" s="2" t="str">
        <f>"70084"</f>
        <v>70084</v>
      </c>
      <c r="C6376" s="1">
        <v>4.1282012345466397E-3</v>
      </c>
      <c r="D6376" s="1">
        <v>2.4506270722214202E-3</v>
      </c>
      <c r="E6376" s="1">
        <v>1.55305574210879E-3</v>
      </c>
      <c r="F6376" s="1">
        <v>3.8991274891936102E-3</v>
      </c>
    </row>
    <row r="6377" spans="1:6" x14ac:dyDescent="0.25">
      <c r="A6377" s="2" t="str">
        <f t="shared" ref="A6377:A6400" si="238">"26380"</f>
        <v>26380</v>
      </c>
      <c r="B6377" s="2" t="str">
        <f>"70377"</f>
        <v>70377</v>
      </c>
      <c r="C6377" s="1">
        <v>1.7407751739172202E-2</v>
      </c>
      <c r="D6377" s="1">
        <v>4.6453232893910804E-3</v>
      </c>
      <c r="E6377" s="1">
        <v>5.2219321148824999E-4</v>
      </c>
      <c r="F6377" s="1">
        <v>1.61126629872703E-2</v>
      </c>
    </row>
    <row r="6378" spans="1:6" x14ac:dyDescent="0.25">
      <c r="A6378" s="2" t="str">
        <f t="shared" si="238"/>
        <v>26380</v>
      </c>
      <c r="B6378" s="2" t="str">
        <f>"70364"</f>
        <v>70364</v>
      </c>
      <c r="C6378" s="1">
        <v>0.14214727663257701</v>
      </c>
      <c r="D6378" s="1">
        <v>0.109353421217827</v>
      </c>
      <c r="E6378" s="1">
        <v>0.170757180156657</v>
      </c>
      <c r="F6378" s="1">
        <v>0.140152137561739</v>
      </c>
    </row>
    <row r="6379" spans="1:6" x14ac:dyDescent="0.25">
      <c r="A6379" s="2" t="str">
        <f t="shared" si="238"/>
        <v>26380</v>
      </c>
      <c r="B6379" s="2" t="str">
        <f>"70344"</f>
        <v>70344</v>
      </c>
      <c r="C6379" s="1">
        <v>2.8916744141313701E-2</v>
      </c>
      <c r="D6379" s="1">
        <v>1.02950408035153E-2</v>
      </c>
      <c r="E6379" s="1">
        <v>7.3107049608355E-3</v>
      </c>
      <c r="F6379" s="1">
        <v>2.7083192375723701E-2</v>
      </c>
    </row>
    <row r="6380" spans="1:6" x14ac:dyDescent="0.25">
      <c r="A6380" s="2" t="str">
        <f t="shared" si="238"/>
        <v>26380</v>
      </c>
      <c r="B6380" s="2" t="str">
        <f>"70375"</f>
        <v>70375</v>
      </c>
      <c r="C6380" s="1">
        <v>8.5489265754068705E-4</v>
      </c>
      <c r="D6380" s="1">
        <v>3.7664783427495199E-4</v>
      </c>
      <c r="E6380" s="1">
        <v>5.2219321148824999E-4</v>
      </c>
      <c r="F6380" s="1">
        <v>8.1191583139214498E-4</v>
      </c>
    </row>
    <row r="6381" spans="1:6" x14ac:dyDescent="0.25">
      <c r="A6381" s="2" t="str">
        <f t="shared" si="238"/>
        <v>26380</v>
      </c>
      <c r="B6381" s="2" t="str">
        <f>"70374"</f>
        <v>70374</v>
      </c>
      <c r="C6381" s="1">
        <v>3.2293570138599403E-2</v>
      </c>
      <c r="D6381" s="1">
        <v>2.05900816070307E-2</v>
      </c>
      <c r="E6381" s="1">
        <v>6.9973890339425499E-2</v>
      </c>
      <c r="F6381" s="1">
        <v>3.2090006669308599E-2</v>
      </c>
    </row>
    <row r="6382" spans="1:6" x14ac:dyDescent="0.25">
      <c r="A6382" s="2" t="str">
        <f t="shared" si="238"/>
        <v>26380</v>
      </c>
      <c r="B6382" s="2" t="str">
        <f>"70363"</f>
        <v>70363</v>
      </c>
      <c r="C6382" s="1">
        <v>0.11662873080498801</v>
      </c>
      <c r="D6382" s="1">
        <v>0.13094789704959101</v>
      </c>
      <c r="E6382" s="1">
        <v>8.3550913838120106E-2</v>
      </c>
      <c r="F6382" s="1">
        <v>0.11711885867831701</v>
      </c>
    </row>
    <row r="6383" spans="1:6" x14ac:dyDescent="0.25">
      <c r="A6383" s="2" t="str">
        <f t="shared" si="238"/>
        <v>26380</v>
      </c>
      <c r="B6383" s="2" t="str">
        <f>"70356"</f>
        <v>70356</v>
      </c>
      <c r="C6383" s="1">
        <v>1.1113604548028899E-2</v>
      </c>
      <c r="D6383" s="1">
        <v>4.51977401129943E-3</v>
      </c>
      <c r="E6383" s="1">
        <v>5.74412532637075E-3</v>
      </c>
      <c r="F6383" s="1">
        <v>1.0506577484800699E-2</v>
      </c>
    </row>
    <row r="6384" spans="1:6" x14ac:dyDescent="0.25">
      <c r="A6384" s="2" t="str">
        <f t="shared" si="238"/>
        <v>26380</v>
      </c>
      <c r="B6384" s="2" t="str">
        <f>"70355"</f>
        <v>70355</v>
      </c>
      <c r="C6384" s="1">
        <v>4.4454418192115697E-3</v>
      </c>
      <c r="D6384" s="1">
        <v>2.5109855618330102E-4</v>
      </c>
      <c r="E6384" s="1">
        <v>3.1331592689295001E-3</v>
      </c>
      <c r="F6384" s="1">
        <v>4.0982418155984402E-3</v>
      </c>
    </row>
    <row r="6385" spans="1:6" x14ac:dyDescent="0.25">
      <c r="A6385" s="2" t="str">
        <f t="shared" si="238"/>
        <v>26380</v>
      </c>
      <c r="B6385" s="2" t="str">
        <f>"70354"</f>
        <v>70354</v>
      </c>
      <c r="C6385" s="1">
        <v>1.8764893833018E-2</v>
      </c>
      <c r="D6385" s="1">
        <v>9.5417451349654701E-3</v>
      </c>
      <c r="E6385" s="1">
        <v>7.3107049608355E-3</v>
      </c>
      <c r="F6385" s="1">
        <v>1.7842816961308301E-2</v>
      </c>
    </row>
    <row r="6386" spans="1:6" x14ac:dyDescent="0.25">
      <c r="A6386" s="2" t="str">
        <f t="shared" si="238"/>
        <v>26380</v>
      </c>
      <c r="B6386" s="2" t="str">
        <f>"70395"</f>
        <v>70395</v>
      </c>
      <c r="C6386" s="1">
        <v>2.1821135083726E-2</v>
      </c>
      <c r="D6386" s="1">
        <v>8.4118016321406107E-3</v>
      </c>
      <c r="E6386" s="1">
        <v>6.7885117493472497E-3</v>
      </c>
      <c r="F6386" s="1">
        <v>2.0510540407311099E-2</v>
      </c>
    </row>
    <row r="6387" spans="1:6" x14ac:dyDescent="0.25">
      <c r="A6387" s="2" t="str">
        <f t="shared" si="238"/>
        <v>26380</v>
      </c>
      <c r="B6387" s="2" t="str">
        <f>"70352"</f>
        <v>70352</v>
      </c>
      <c r="C6387" s="1">
        <v>1.03655734726808E-3</v>
      </c>
      <c r="D6387" s="1">
        <v>0</v>
      </c>
      <c r="E6387" s="1">
        <v>1.5665796344647501E-3</v>
      </c>
      <c r="F6387" s="1">
        <v>9.6656646594303001E-4</v>
      </c>
    </row>
    <row r="6388" spans="1:6" x14ac:dyDescent="0.25">
      <c r="A6388" s="2" t="str">
        <f t="shared" si="238"/>
        <v>26380</v>
      </c>
      <c r="B6388" s="2" t="str">
        <f>"70357"</f>
        <v>70357</v>
      </c>
      <c r="C6388" s="1">
        <v>1.47041537096998E-2</v>
      </c>
      <c r="D6388" s="1">
        <v>3.6283741368487103E-2</v>
      </c>
      <c r="E6388" s="1">
        <v>1.7232375979112199E-2</v>
      </c>
      <c r="F6388" s="1">
        <v>1.6412298591712601E-2</v>
      </c>
    </row>
    <row r="6389" spans="1:6" x14ac:dyDescent="0.25">
      <c r="A6389" s="2" t="str">
        <f t="shared" si="238"/>
        <v>26380</v>
      </c>
      <c r="B6389" s="2" t="str">
        <f>"70343"</f>
        <v>70343</v>
      </c>
      <c r="C6389" s="1">
        <v>2.9728892165977398E-2</v>
      </c>
      <c r="D6389" s="1">
        <v>1.8330194601381002E-2</v>
      </c>
      <c r="E6389" s="1">
        <v>4.6997389033942502E-3</v>
      </c>
      <c r="F6389" s="1">
        <v>2.8388057104746799E-2</v>
      </c>
    </row>
    <row r="6390" spans="1:6" x14ac:dyDescent="0.25">
      <c r="A6390" s="2" t="str">
        <f t="shared" si="238"/>
        <v>26380</v>
      </c>
      <c r="B6390" s="2" t="str">
        <f>"70301"</f>
        <v>70301</v>
      </c>
      <c r="C6390" s="1">
        <v>0.21716410733177299</v>
      </c>
      <c r="D6390" s="1">
        <v>0.168612680477087</v>
      </c>
      <c r="E6390" s="1">
        <v>0.341514360313315</v>
      </c>
      <c r="F6390" s="1">
        <v>0.215727969533824</v>
      </c>
    </row>
    <row r="6391" spans="1:6" x14ac:dyDescent="0.25">
      <c r="A6391" s="2" t="str">
        <f t="shared" si="238"/>
        <v>26380</v>
      </c>
      <c r="B6391" s="2" t="str">
        <f>"70030"</f>
        <v>70030</v>
      </c>
      <c r="C6391" s="1">
        <v>2.32958249179837E-3</v>
      </c>
      <c r="D6391" s="1">
        <v>1.38104205900816E-3</v>
      </c>
      <c r="E6391" s="1">
        <v>2.6109660574412498E-3</v>
      </c>
      <c r="F6391" s="1">
        <v>2.2617655303066898E-3</v>
      </c>
    </row>
    <row r="6392" spans="1:6" x14ac:dyDescent="0.25">
      <c r="A6392" s="2" t="str">
        <f t="shared" si="238"/>
        <v>26380</v>
      </c>
      <c r="B6392" s="2" t="str">
        <f>"70371"</f>
        <v>70371</v>
      </c>
      <c r="C6392" s="1">
        <v>0</v>
      </c>
      <c r="D6392" s="1">
        <v>0</v>
      </c>
      <c r="E6392" s="1">
        <v>5.2219321148824999E-4</v>
      </c>
      <c r="F6392" s="1">
        <v>9.6656646594303006E-6</v>
      </c>
    </row>
    <row r="6393" spans="1:6" x14ac:dyDescent="0.25">
      <c r="A6393" s="2" t="str">
        <f t="shared" si="238"/>
        <v>26380</v>
      </c>
      <c r="B6393" s="2" t="str">
        <f>"70373"</f>
        <v>70373</v>
      </c>
      <c r="C6393" s="1">
        <v>2.7409995832398198E-2</v>
      </c>
      <c r="D6393" s="1">
        <v>1.6572504708097902E-2</v>
      </c>
      <c r="E6393" s="1">
        <v>1.2010443864229701E-2</v>
      </c>
      <c r="F6393" s="1">
        <v>2.6290607873650399E-2</v>
      </c>
    </row>
    <row r="6394" spans="1:6" x14ac:dyDescent="0.25">
      <c r="A6394" s="2" t="str">
        <f t="shared" si="238"/>
        <v>26380</v>
      </c>
      <c r="B6394" s="2" t="str">
        <f>"70361"</f>
        <v>70361</v>
      </c>
      <c r="C6394" s="1">
        <v>1.8818324624114299E-2</v>
      </c>
      <c r="D6394" s="1">
        <v>8.8888888888888795E-2</v>
      </c>
      <c r="E6394" s="1">
        <v>1.0443864229765E-3</v>
      </c>
      <c r="F6394" s="1">
        <v>2.3883857373452201E-2</v>
      </c>
    </row>
    <row r="6395" spans="1:6" x14ac:dyDescent="0.25">
      <c r="A6395" s="2" t="str">
        <f t="shared" si="238"/>
        <v>26380</v>
      </c>
      <c r="B6395" s="2" t="str">
        <f>"70397"</f>
        <v>70397</v>
      </c>
      <c r="C6395" s="1">
        <v>6.53992883018625E-3</v>
      </c>
      <c r="D6395" s="1">
        <v>1.75768989328311E-3</v>
      </c>
      <c r="E6395" s="1">
        <v>5.2219321148824999E-4</v>
      </c>
      <c r="F6395" s="1">
        <v>6.0603717414628002E-3</v>
      </c>
    </row>
    <row r="6396" spans="1:6" x14ac:dyDescent="0.25">
      <c r="A6396" s="2" t="str">
        <f t="shared" si="238"/>
        <v>26380</v>
      </c>
      <c r="B6396" s="2" t="str">
        <f>"70394"</f>
        <v>70394</v>
      </c>
      <c r="C6396" s="1">
        <v>6.0921788007993201E-2</v>
      </c>
      <c r="D6396" s="1">
        <v>2.97551789077212E-2</v>
      </c>
      <c r="E6396" s="1">
        <v>4.0731070496083502E-2</v>
      </c>
      <c r="F6396" s="1">
        <v>5.8148638591132701E-2</v>
      </c>
    </row>
    <row r="6397" spans="1:6" x14ac:dyDescent="0.25">
      <c r="A6397" s="2" t="str">
        <f t="shared" si="238"/>
        <v>26380</v>
      </c>
      <c r="B6397" s="2" t="str">
        <f>"70353"</f>
        <v>70353</v>
      </c>
      <c r="C6397" s="1">
        <v>7.6940339178661801E-3</v>
      </c>
      <c r="D6397" s="1">
        <v>6.5285624607658499E-3</v>
      </c>
      <c r="E6397" s="1">
        <v>5.2219321148824999E-4</v>
      </c>
      <c r="F6397" s="1">
        <v>7.4715587817396198E-3</v>
      </c>
    </row>
    <row r="6398" spans="1:6" x14ac:dyDescent="0.25">
      <c r="A6398" s="2" t="str">
        <f t="shared" si="238"/>
        <v>26380</v>
      </c>
      <c r="B6398" s="2" t="str">
        <f>"70360"</f>
        <v>70360</v>
      </c>
      <c r="C6398" s="1">
        <v>0.13947573707776301</v>
      </c>
      <c r="D6398" s="1">
        <v>0.285624607658505</v>
      </c>
      <c r="E6398" s="1">
        <v>0.16240208877284501</v>
      </c>
      <c r="F6398" s="1">
        <v>0.15115166394417101</v>
      </c>
    </row>
    <row r="6399" spans="1:6" x14ac:dyDescent="0.25">
      <c r="A6399" s="2" t="str">
        <f t="shared" si="238"/>
        <v>26380</v>
      </c>
      <c r="B6399" s="2" t="str">
        <f>"70359"</f>
        <v>70359</v>
      </c>
      <c r="C6399" s="1">
        <v>3.9271631455775301E-2</v>
      </c>
      <c r="D6399" s="1">
        <v>1.46892655367231E-2</v>
      </c>
      <c r="E6399" s="1">
        <v>3.3942558746736198E-2</v>
      </c>
      <c r="F6399" s="1">
        <v>3.7280468591422602E-2</v>
      </c>
    </row>
    <row r="6400" spans="1:6" x14ac:dyDescent="0.25">
      <c r="A6400" s="2" t="str">
        <f t="shared" si="238"/>
        <v>26380</v>
      </c>
      <c r="B6400" s="2" t="str">
        <f>"70345"</f>
        <v>70345</v>
      </c>
      <c r="C6400" s="1">
        <v>4.0511225809209302E-2</v>
      </c>
      <c r="D6400" s="1">
        <v>3.2642812303829198E-2</v>
      </c>
      <c r="E6400" s="1">
        <v>2.5065274151436001E-2</v>
      </c>
      <c r="F6400" s="1">
        <v>3.9619559439004803E-2</v>
      </c>
    </row>
    <row r="6401" spans="1:6" x14ac:dyDescent="0.25">
      <c r="A6401" s="2" t="str">
        <f t="shared" ref="A6401:A6421" si="239">"25220"</f>
        <v>25220</v>
      </c>
      <c r="B6401" s="2" t="str">
        <f>"70435"</f>
        <v>70435</v>
      </c>
      <c r="C6401" s="1">
        <v>2.29804053743508E-4</v>
      </c>
      <c r="D6401" s="1">
        <v>0</v>
      </c>
      <c r="E6401" s="1">
        <v>0</v>
      </c>
      <c r="F6401" s="1">
        <v>2.07282526083051E-4</v>
      </c>
    </row>
    <row r="6402" spans="1:6" x14ac:dyDescent="0.25">
      <c r="A6402" s="2" t="str">
        <f t="shared" si="239"/>
        <v>25220</v>
      </c>
      <c r="B6402" s="2" t="str">
        <f>"70446"</f>
        <v>70446</v>
      </c>
      <c r="C6402" s="1">
        <v>4.3647449941016901E-2</v>
      </c>
      <c r="D6402" s="1">
        <v>5.9489541354826297E-3</v>
      </c>
      <c r="E6402" s="1">
        <v>5.84795321637426E-3</v>
      </c>
      <c r="F6402" s="1">
        <v>3.9950252193740002E-2</v>
      </c>
    </row>
    <row r="6403" spans="1:6" x14ac:dyDescent="0.25">
      <c r="A6403" s="2" t="str">
        <f t="shared" si="239"/>
        <v>25220</v>
      </c>
      <c r="B6403" s="2" t="str">
        <f>"70465"</f>
        <v>70465</v>
      </c>
      <c r="C6403" s="1">
        <v>0</v>
      </c>
      <c r="D6403" s="1">
        <v>0</v>
      </c>
      <c r="E6403" s="1">
        <v>5.3163211057947904E-4</v>
      </c>
      <c r="F6403" s="1">
        <v>1.38188350722034E-5</v>
      </c>
    </row>
    <row r="6404" spans="1:6" x14ac:dyDescent="0.25">
      <c r="A6404" s="2" t="str">
        <f t="shared" si="239"/>
        <v>25220</v>
      </c>
      <c r="B6404" s="2" t="str">
        <f>"70444"</f>
        <v>70444</v>
      </c>
      <c r="C6404" s="1">
        <v>7.3154290441683298E-2</v>
      </c>
      <c r="D6404" s="1">
        <v>6.6781807714450206E-2</v>
      </c>
      <c r="E6404" s="1">
        <v>1.7012227538543302E-2</v>
      </c>
      <c r="F6404" s="1">
        <v>7.1236094797208493E-2</v>
      </c>
    </row>
    <row r="6405" spans="1:6" x14ac:dyDescent="0.25">
      <c r="A6405" s="2" t="str">
        <f t="shared" si="239"/>
        <v>25220</v>
      </c>
      <c r="B6405" s="2" t="str">
        <f>"70403"</f>
        <v>70403</v>
      </c>
      <c r="C6405" s="1">
        <v>0.19767744703016499</v>
      </c>
      <c r="D6405" s="1">
        <v>0.26904624832085899</v>
      </c>
      <c r="E6405" s="1">
        <v>0.37426900584795297</v>
      </c>
      <c r="F6405" s="1">
        <v>0.20740689559870101</v>
      </c>
    </row>
    <row r="6406" spans="1:6" x14ac:dyDescent="0.25">
      <c r="A6406" s="2" t="str">
        <f t="shared" si="239"/>
        <v>25220</v>
      </c>
      <c r="B6406" s="2" t="str">
        <f>"70442"</f>
        <v>70442</v>
      </c>
      <c r="C6406" s="1">
        <v>2.6350864829255498E-3</v>
      </c>
      <c r="D6406" s="1">
        <v>5.7570523891767398E-4</v>
      </c>
      <c r="E6406" s="1">
        <v>5.3163211057947904E-4</v>
      </c>
      <c r="F6406" s="1">
        <v>2.4321149727078001E-3</v>
      </c>
    </row>
    <row r="6407" spans="1:6" x14ac:dyDescent="0.25">
      <c r="A6407" s="2" t="str">
        <f t="shared" si="239"/>
        <v>25220</v>
      </c>
      <c r="B6407" s="2" t="str">
        <f>"70402"</f>
        <v>70402</v>
      </c>
      <c r="C6407" s="1">
        <v>0</v>
      </c>
      <c r="D6407" s="1">
        <v>0</v>
      </c>
      <c r="E6407" s="1">
        <v>5.3163211057947904E-4</v>
      </c>
      <c r="F6407" s="1">
        <v>1.38188350722034E-5</v>
      </c>
    </row>
    <row r="6408" spans="1:6" x14ac:dyDescent="0.25">
      <c r="A6408" s="2" t="str">
        <f t="shared" si="239"/>
        <v>25220</v>
      </c>
      <c r="B6408" s="2" t="str">
        <f>"70466"</f>
        <v>70466</v>
      </c>
      <c r="C6408" s="1">
        <v>6.5861841802889398E-2</v>
      </c>
      <c r="D6408" s="1">
        <v>2.32201113030128E-2</v>
      </c>
      <c r="E6408" s="1">
        <v>4.1467304625199299E-2</v>
      </c>
      <c r="F6408" s="1">
        <v>6.2157120154770901E-2</v>
      </c>
    </row>
    <row r="6409" spans="1:6" x14ac:dyDescent="0.25">
      <c r="A6409" s="2" t="str">
        <f t="shared" si="239"/>
        <v>25220</v>
      </c>
      <c r="B6409" s="2" t="str">
        <f>"70443"</f>
        <v>70443</v>
      </c>
      <c r="C6409" s="1">
        <v>4.3218482374028998E-2</v>
      </c>
      <c r="D6409" s="1">
        <v>1.09383995394358E-2</v>
      </c>
      <c r="E6409" s="1">
        <v>3.03030303030303E-2</v>
      </c>
      <c r="F6409" s="1">
        <v>4.0558280936916997E-2</v>
      </c>
    </row>
    <row r="6410" spans="1:6" x14ac:dyDescent="0.25">
      <c r="A6410" s="2" t="str">
        <f t="shared" si="239"/>
        <v>25220</v>
      </c>
      <c r="B6410" s="2" t="str">
        <f>"70451"</f>
        <v>70451</v>
      </c>
      <c r="C6410" s="1">
        <v>2.3746418886829102E-2</v>
      </c>
      <c r="D6410" s="1">
        <v>1.42007292266359E-2</v>
      </c>
      <c r="E6410" s="1">
        <v>1.5948963317384301E-3</v>
      </c>
      <c r="F6410" s="1">
        <v>2.2483244662474901E-2</v>
      </c>
    </row>
    <row r="6411" spans="1:6" x14ac:dyDescent="0.25">
      <c r="A6411" s="2" t="str">
        <f t="shared" si="239"/>
        <v>25220</v>
      </c>
      <c r="B6411" s="2" t="str">
        <f>"70401"</f>
        <v>70401</v>
      </c>
      <c r="C6411" s="1">
        <v>0.155914390329845</v>
      </c>
      <c r="D6411" s="1">
        <v>0.229898292074457</v>
      </c>
      <c r="E6411" s="1">
        <v>0.38118022328548601</v>
      </c>
      <c r="F6411" s="1">
        <v>0.16709735369308301</v>
      </c>
    </row>
    <row r="6412" spans="1:6" x14ac:dyDescent="0.25">
      <c r="A6412" s="2" t="str">
        <f t="shared" si="239"/>
        <v>25220</v>
      </c>
      <c r="B6412" s="2" t="str">
        <f>"70456"</f>
        <v>70456</v>
      </c>
      <c r="C6412" s="1">
        <v>1.7572349976253499E-2</v>
      </c>
      <c r="D6412" s="1">
        <v>1.2089810017271101E-2</v>
      </c>
      <c r="E6412" s="1">
        <v>7.4428495481126998E-3</v>
      </c>
      <c r="F6412" s="1">
        <v>1.6914254128376899E-2</v>
      </c>
    </row>
    <row r="6413" spans="1:6" x14ac:dyDescent="0.25">
      <c r="A6413" s="2" t="str">
        <f t="shared" si="239"/>
        <v>25220</v>
      </c>
      <c r="B6413" s="2" t="str">
        <f>"70454"</f>
        <v>70454</v>
      </c>
      <c r="C6413" s="1">
        <v>0.25273849830710998</v>
      </c>
      <c r="D6413" s="1">
        <v>0.15524851276146601</v>
      </c>
      <c r="E6413" s="1">
        <v>8.1871345029239706E-2</v>
      </c>
      <c r="F6413" s="1">
        <v>0.241276860360671</v>
      </c>
    </row>
    <row r="6414" spans="1:6" x14ac:dyDescent="0.25">
      <c r="A6414" s="2" t="str">
        <f t="shared" si="239"/>
        <v>25220</v>
      </c>
      <c r="B6414" s="2" t="str">
        <f>"70462"</f>
        <v>70462</v>
      </c>
      <c r="C6414" s="1">
        <v>9.19216214974032E-4</v>
      </c>
      <c r="D6414" s="1">
        <v>1.9190174630589099E-4</v>
      </c>
      <c r="E6414" s="1">
        <v>0</v>
      </c>
      <c r="F6414" s="1">
        <v>8.4294893940440804E-4</v>
      </c>
    </row>
    <row r="6415" spans="1:6" x14ac:dyDescent="0.25">
      <c r="A6415" s="2" t="str">
        <f t="shared" si="239"/>
        <v>25220</v>
      </c>
      <c r="B6415" s="2" t="str">
        <f>"70436"</f>
        <v>70436</v>
      </c>
      <c r="C6415" s="1">
        <v>2.3133608076846401E-3</v>
      </c>
      <c r="D6415" s="1">
        <v>7.6760698522356505E-4</v>
      </c>
      <c r="E6415" s="1">
        <v>5.3163211057947904E-4</v>
      </c>
      <c r="F6415" s="1">
        <v>2.1557382712637302E-3</v>
      </c>
    </row>
    <row r="6416" spans="1:6" x14ac:dyDescent="0.25">
      <c r="A6416" s="2" t="str">
        <f t="shared" si="239"/>
        <v>25220</v>
      </c>
      <c r="B6416" s="2" t="str">
        <f>"70438"</f>
        <v>70438</v>
      </c>
      <c r="C6416" s="1">
        <v>1.6852297274523901E-4</v>
      </c>
      <c r="D6416" s="1">
        <v>0</v>
      </c>
      <c r="E6416" s="1">
        <v>0</v>
      </c>
      <c r="F6416" s="1">
        <v>1.5200718579423699E-4</v>
      </c>
    </row>
    <row r="6417" spans="1:6" x14ac:dyDescent="0.25">
      <c r="A6417" s="2" t="str">
        <f t="shared" si="239"/>
        <v>25220</v>
      </c>
      <c r="B6417" s="2" t="str">
        <f>"70404"</f>
        <v>70404</v>
      </c>
      <c r="C6417" s="1">
        <v>2.4527752669557E-2</v>
      </c>
      <c r="D6417" s="1">
        <v>9.90213010938399E-2</v>
      </c>
      <c r="E6417" s="1">
        <v>1.0632642211589501E-3</v>
      </c>
      <c r="F6417" s="1">
        <v>2.9282111517999001E-2</v>
      </c>
    </row>
    <row r="6418" spans="1:6" x14ac:dyDescent="0.25">
      <c r="A6418" s="2" t="str">
        <f t="shared" si="239"/>
        <v>25220</v>
      </c>
      <c r="B6418" s="2" t="str">
        <f>"70422"</f>
        <v>70422</v>
      </c>
      <c r="C6418" s="1">
        <v>7.2664041793697204E-2</v>
      </c>
      <c r="D6418" s="1">
        <v>0.10477835348301601</v>
      </c>
      <c r="E6418" s="1">
        <v>5.1568314726209402E-2</v>
      </c>
      <c r="F6418" s="1">
        <v>7.4428245698887494E-2</v>
      </c>
    </row>
    <row r="6419" spans="1:6" x14ac:dyDescent="0.25">
      <c r="A6419" s="2" t="str">
        <f t="shared" si="239"/>
        <v>25220</v>
      </c>
      <c r="B6419" s="2" t="str">
        <f>"70437"</f>
        <v>70437</v>
      </c>
      <c r="C6419" s="1">
        <v>8.4567891777610898E-3</v>
      </c>
      <c r="D6419" s="1">
        <v>5.7570523891767398E-4</v>
      </c>
      <c r="E6419" s="1">
        <v>0</v>
      </c>
      <c r="F6419" s="1">
        <v>7.6694534650728896E-3</v>
      </c>
    </row>
    <row r="6420" spans="1:6" x14ac:dyDescent="0.25">
      <c r="A6420" s="2" t="str">
        <f t="shared" si="239"/>
        <v>25220</v>
      </c>
      <c r="B6420" s="2" t="str">
        <f>"70421"</f>
        <v>70421</v>
      </c>
      <c r="C6420" s="1">
        <v>1.7158702679515199E-3</v>
      </c>
      <c r="D6420" s="1">
        <v>0</v>
      </c>
      <c r="E6420" s="1">
        <v>5.3163211057947904E-4</v>
      </c>
      <c r="F6420" s="1">
        <v>1.5615283631589801E-3</v>
      </c>
    </row>
    <row r="6421" spans="1:6" x14ac:dyDescent="0.25">
      <c r="A6421" s="2" t="str">
        <f t="shared" si="239"/>
        <v>25220</v>
      </c>
      <c r="B6421" s="2" t="str">
        <f>"70455"</f>
        <v>70455</v>
      </c>
      <c r="C6421" s="1">
        <v>1.28383864691373E-2</v>
      </c>
      <c r="D6421" s="1">
        <v>6.7165611207061901E-3</v>
      </c>
      <c r="E6421" s="1">
        <v>3.7214247740563499E-3</v>
      </c>
      <c r="F6421" s="1">
        <v>1.2160574863538999E-2</v>
      </c>
    </row>
    <row r="6422" spans="1:6" x14ac:dyDescent="0.25">
      <c r="A6422" s="2" t="str">
        <f t="shared" ref="A6422:A6432" si="240">"40820"</f>
        <v>40820</v>
      </c>
      <c r="B6422" s="2" t="str">
        <f>"71235"</f>
        <v>71235</v>
      </c>
      <c r="C6422" s="1">
        <v>7.8076826931089E-2</v>
      </c>
      <c r="D6422" s="1">
        <v>2.42798353909465E-2</v>
      </c>
      <c r="E6422" s="1">
        <v>1.5985790408525699E-2</v>
      </c>
      <c r="F6422" s="1">
        <v>7.1939248008890497E-2</v>
      </c>
    </row>
    <row r="6423" spans="1:6" x14ac:dyDescent="0.25">
      <c r="A6423" s="2" t="str">
        <f t="shared" si="240"/>
        <v>40820</v>
      </c>
      <c r="B6423" s="2" t="str">
        <f>"71003"</f>
        <v>71003</v>
      </c>
      <c r="C6423" s="1">
        <v>4.1663194733772101E-5</v>
      </c>
      <c r="D6423" s="1">
        <v>0</v>
      </c>
      <c r="E6423" s="1">
        <v>0</v>
      </c>
      <c r="F6423" s="1">
        <v>3.7043897017966197E-5</v>
      </c>
    </row>
    <row r="6424" spans="1:6" x14ac:dyDescent="0.25">
      <c r="A6424" s="2" t="str">
        <f t="shared" si="240"/>
        <v>40820</v>
      </c>
      <c r="B6424" s="2" t="str">
        <f>"71275"</f>
        <v>71275</v>
      </c>
      <c r="C6424" s="1">
        <v>4.2204816265311203E-2</v>
      </c>
      <c r="D6424" s="1">
        <v>1.7695473251028802E-2</v>
      </c>
      <c r="E6424" s="1">
        <v>4.6181172291296597E-2</v>
      </c>
      <c r="F6424" s="1">
        <v>4.0081496573439498E-2</v>
      </c>
    </row>
    <row r="6425" spans="1:6" x14ac:dyDescent="0.25">
      <c r="A6425" s="2" t="str">
        <f t="shared" si="240"/>
        <v>40820</v>
      </c>
      <c r="B6425" s="2" t="str">
        <f>"71272"</f>
        <v>71272</v>
      </c>
      <c r="C6425" s="1">
        <v>0</v>
      </c>
      <c r="D6425" s="1">
        <v>4.1152263374485498E-4</v>
      </c>
      <c r="E6425" s="1">
        <v>0</v>
      </c>
      <c r="F6425" s="1">
        <v>3.7043897017966197E-5</v>
      </c>
    </row>
    <row r="6426" spans="1:6" x14ac:dyDescent="0.25">
      <c r="A6426" s="2" t="str">
        <f t="shared" si="240"/>
        <v>40820</v>
      </c>
      <c r="B6426" s="2" t="str">
        <f>"71270"</f>
        <v>71270</v>
      </c>
      <c r="C6426" s="1">
        <v>0.63073910507457698</v>
      </c>
      <c r="D6426" s="1">
        <v>0.63292181069958797</v>
      </c>
      <c r="E6426" s="1">
        <v>0.80106571936056803</v>
      </c>
      <c r="F6426" s="1">
        <v>0.63448786812372604</v>
      </c>
    </row>
    <row r="6427" spans="1:6" x14ac:dyDescent="0.25">
      <c r="A6427" s="2" t="str">
        <f t="shared" si="240"/>
        <v>40820</v>
      </c>
      <c r="B6427" s="2" t="str">
        <f>"71234"</f>
        <v>71234</v>
      </c>
      <c r="C6427" s="1">
        <v>3.6663611365719499E-3</v>
      </c>
      <c r="D6427" s="1">
        <v>0</v>
      </c>
      <c r="E6427" s="1">
        <v>0</v>
      </c>
      <c r="F6427" s="1">
        <v>3.2598629375810298E-3</v>
      </c>
    </row>
    <row r="6428" spans="1:6" x14ac:dyDescent="0.25">
      <c r="A6428" s="2" t="str">
        <f t="shared" si="240"/>
        <v>40820</v>
      </c>
      <c r="B6428" s="2" t="str">
        <f>"71227"</f>
        <v>71227</v>
      </c>
      <c r="C6428" s="1">
        <v>6.6036163653028904E-2</v>
      </c>
      <c r="D6428" s="1">
        <v>2.5514403292181E-2</v>
      </c>
      <c r="E6428" s="1">
        <v>8.8809946714031897E-3</v>
      </c>
      <c r="F6428" s="1">
        <v>6.1196517873680301E-2</v>
      </c>
    </row>
    <row r="6429" spans="1:6" x14ac:dyDescent="0.25">
      <c r="A6429" s="2" t="str">
        <f t="shared" si="240"/>
        <v>40820</v>
      </c>
      <c r="B6429" s="2" t="str">
        <f>"71241"</f>
        <v>71241</v>
      </c>
      <c r="C6429" s="1">
        <v>4.58295142071494E-4</v>
      </c>
      <c r="D6429" s="1">
        <v>0</v>
      </c>
      <c r="E6429" s="1">
        <v>0</v>
      </c>
      <c r="F6429" s="1">
        <v>4.07482867197629E-4</v>
      </c>
    </row>
    <row r="6430" spans="1:6" x14ac:dyDescent="0.25">
      <c r="A6430" s="2" t="str">
        <f t="shared" si="240"/>
        <v>40820</v>
      </c>
      <c r="B6430" s="2" t="str">
        <f>"71273"</f>
        <v>71273</v>
      </c>
      <c r="C6430" s="1">
        <v>7.8493458878426695E-2</v>
      </c>
      <c r="D6430" s="1">
        <v>0.19300411522633701</v>
      </c>
      <c r="E6430" s="1">
        <v>3.5523978685612699E-3</v>
      </c>
      <c r="F6430" s="1">
        <v>8.72383774773106E-2</v>
      </c>
    </row>
    <row r="6431" spans="1:6" x14ac:dyDescent="0.25">
      <c r="A6431" s="2" t="str">
        <f t="shared" si="240"/>
        <v>40820</v>
      </c>
      <c r="B6431" s="2" t="str">
        <f>"71245"</f>
        <v>71245</v>
      </c>
      <c r="C6431" s="1">
        <v>9.1867344387967606E-2</v>
      </c>
      <c r="D6431" s="1">
        <v>0.104526748971193</v>
      </c>
      <c r="E6431" s="1">
        <v>0.124333925399644</v>
      </c>
      <c r="F6431" s="1">
        <v>9.3684015558436695E-2</v>
      </c>
    </row>
    <row r="6432" spans="1:6" x14ac:dyDescent="0.25">
      <c r="A6432" s="2" t="str">
        <f t="shared" si="240"/>
        <v>40820</v>
      </c>
      <c r="B6432" s="2" t="str">
        <f>"71001"</f>
        <v>71001</v>
      </c>
      <c r="C6432" s="1">
        <v>8.41596533622198E-3</v>
      </c>
      <c r="D6432" s="1">
        <v>1.6460905349794199E-3</v>
      </c>
      <c r="E6432" s="1">
        <v>0</v>
      </c>
      <c r="F6432" s="1">
        <v>7.6310427857010496E-3</v>
      </c>
    </row>
    <row r="6433" spans="1:6" x14ac:dyDescent="0.25">
      <c r="A6433" s="2" t="str">
        <f t="shared" ref="A6433:A6446" si="241">"26300"</f>
        <v>26300</v>
      </c>
      <c r="B6433" s="2" t="str">
        <f>"71933"</f>
        <v>71933</v>
      </c>
      <c r="C6433" s="1">
        <v>5.9170661477367997E-3</v>
      </c>
      <c r="D6433" s="1">
        <v>1.1171401212894899E-3</v>
      </c>
      <c r="E6433" s="1">
        <v>7.1428571428571396E-4</v>
      </c>
      <c r="F6433" s="1">
        <v>5.3899228196915604E-3</v>
      </c>
    </row>
    <row r="6434" spans="1:6" x14ac:dyDescent="0.25">
      <c r="A6434" s="2" t="str">
        <f t="shared" si="241"/>
        <v>26300</v>
      </c>
      <c r="B6434" s="2" t="str">
        <f>"71913"</f>
        <v>71913</v>
      </c>
      <c r="C6434" s="1">
        <v>0.43998291328492001</v>
      </c>
      <c r="D6434" s="1">
        <v>0.40759655282476798</v>
      </c>
      <c r="E6434" s="1">
        <v>0.52500000000000002</v>
      </c>
      <c r="F6434" s="1">
        <v>0.43879897845441801</v>
      </c>
    </row>
    <row r="6435" spans="1:6" x14ac:dyDescent="0.25">
      <c r="A6435" s="2" t="str">
        <f t="shared" si="241"/>
        <v>26300</v>
      </c>
      <c r="B6435" s="2" t="str">
        <f>"71964"</f>
        <v>71964</v>
      </c>
      <c r="C6435" s="1">
        <v>2.62154508203205E-2</v>
      </c>
      <c r="D6435" s="1">
        <v>1.27673156718799E-2</v>
      </c>
      <c r="E6435" s="1">
        <v>1.2142857142857099E-2</v>
      </c>
      <c r="F6435" s="1">
        <v>2.4748493784656999E-2</v>
      </c>
    </row>
    <row r="6436" spans="1:6" x14ac:dyDescent="0.25">
      <c r="A6436" s="2" t="str">
        <f t="shared" si="241"/>
        <v>26300</v>
      </c>
      <c r="B6436" s="2" t="str">
        <f>"71903"</f>
        <v>71903</v>
      </c>
      <c r="C6436" s="1">
        <v>2.8335469172718199E-2</v>
      </c>
      <c r="D6436" s="1">
        <v>6.1283115225023901E-2</v>
      </c>
      <c r="E6436" s="1">
        <v>1.4285714285714199E-3</v>
      </c>
      <c r="F6436" s="1">
        <v>3.07169161740013E-2</v>
      </c>
    </row>
    <row r="6437" spans="1:6" x14ac:dyDescent="0.25">
      <c r="A6437" s="2" t="str">
        <f t="shared" si="241"/>
        <v>26300</v>
      </c>
      <c r="B6437" s="2" t="str">
        <f>"71968"</f>
        <v>71968</v>
      </c>
      <c r="C6437" s="1">
        <v>3.7685699368740798E-2</v>
      </c>
      <c r="D6437" s="1">
        <v>1.13309926587934E-2</v>
      </c>
      <c r="E6437" s="1">
        <v>8.5714285714285701E-3</v>
      </c>
      <c r="F6437" s="1">
        <v>3.4780522907171901E-2</v>
      </c>
    </row>
    <row r="6438" spans="1:6" x14ac:dyDescent="0.25">
      <c r="A6438" s="2" t="str">
        <f t="shared" si="241"/>
        <v>26300</v>
      </c>
      <c r="B6438" s="2" t="str">
        <f>"71902"</f>
        <v>71902</v>
      </c>
      <c r="C6438" s="1">
        <v>2.7576059613650301E-2</v>
      </c>
      <c r="D6438" s="1">
        <v>5.3782317267794401E-2</v>
      </c>
      <c r="E6438" s="1">
        <v>1.4285714285714199E-3</v>
      </c>
      <c r="F6438" s="1">
        <v>2.93764903418791E-2</v>
      </c>
    </row>
    <row r="6439" spans="1:6" x14ac:dyDescent="0.25">
      <c r="A6439" s="2" t="str">
        <f t="shared" si="241"/>
        <v>26300</v>
      </c>
      <c r="B6439" s="2" t="str">
        <f>"71910"</f>
        <v>71910</v>
      </c>
      <c r="C6439" s="1">
        <v>1.09323334440805E-2</v>
      </c>
      <c r="D6439" s="1">
        <v>2.28215767634854E-2</v>
      </c>
      <c r="E6439" s="1">
        <v>7.1428571428571396E-4</v>
      </c>
      <c r="F6439" s="1">
        <v>1.17816375770744E-2</v>
      </c>
    </row>
    <row r="6440" spans="1:6" x14ac:dyDescent="0.25">
      <c r="A6440" s="2" t="str">
        <f t="shared" si="241"/>
        <v>26300</v>
      </c>
      <c r="B6440" s="2" t="str">
        <f>"72087"</f>
        <v>72087</v>
      </c>
      <c r="C6440" s="1">
        <v>6.0278133751008496E-3</v>
      </c>
      <c r="D6440" s="1">
        <v>6.3836578359399905E-4</v>
      </c>
      <c r="E6440" s="1">
        <v>7.1428571428571396E-4</v>
      </c>
      <c r="F6440" s="1">
        <v>5.4463618020967001E-3</v>
      </c>
    </row>
    <row r="6441" spans="1:6" x14ac:dyDescent="0.25">
      <c r="A6441" s="2" t="str">
        <f t="shared" si="241"/>
        <v>26300</v>
      </c>
      <c r="B6441" s="2" t="str">
        <f>"71901"</f>
        <v>71901</v>
      </c>
      <c r="C6441" s="1">
        <v>0.25941746958406497</v>
      </c>
      <c r="D6441" s="1">
        <v>0.330354293009894</v>
      </c>
      <c r="E6441" s="1">
        <v>0.41642857142857098</v>
      </c>
      <c r="F6441" s="1">
        <v>0.26879065370451299</v>
      </c>
    </row>
    <row r="6442" spans="1:6" x14ac:dyDescent="0.25">
      <c r="A6442" s="2" t="str">
        <f t="shared" si="241"/>
        <v>26300</v>
      </c>
      <c r="B6442" s="2" t="str">
        <f>"71914"</f>
        <v>71914</v>
      </c>
      <c r="C6442" s="1">
        <v>2.4522600344898501E-2</v>
      </c>
      <c r="D6442" s="1">
        <v>3.5908075327162399E-2</v>
      </c>
      <c r="E6442" s="1">
        <v>1.4285714285714199E-3</v>
      </c>
      <c r="F6442" s="1">
        <v>2.50730179334866E-2</v>
      </c>
    </row>
    <row r="6443" spans="1:6" x14ac:dyDescent="0.25">
      <c r="A6443" s="2" t="str">
        <f t="shared" si="241"/>
        <v>26300</v>
      </c>
      <c r="B6443" s="2" t="str">
        <f>"71956"</f>
        <v>71956</v>
      </c>
      <c r="C6443" s="1">
        <v>1.0267850079896199E-2</v>
      </c>
      <c r="D6443" s="1">
        <v>7.9795722949249897E-4</v>
      </c>
      <c r="E6443" s="1">
        <v>2.1428571428571399E-3</v>
      </c>
      <c r="F6443" s="1">
        <v>9.2701028600454295E-3</v>
      </c>
    </row>
    <row r="6444" spans="1:6" x14ac:dyDescent="0.25">
      <c r="A6444" s="2" t="str">
        <f t="shared" si="241"/>
        <v>26300</v>
      </c>
      <c r="B6444" s="2" t="str">
        <f>"72104"</f>
        <v>72104</v>
      </c>
      <c r="C6444" s="1">
        <v>4.9045200689796999E-4</v>
      </c>
      <c r="D6444" s="1">
        <v>0</v>
      </c>
      <c r="E6444" s="1">
        <v>0</v>
      </c>
      <c r="F6444" s="1">
        <v>4.3740211363989099E-4</v>
      </c>
    </row>
    <row r="6445" spans="1:6" x14ac:dyDescent="0.25">
      <c r="A6445" s="2" t="str">
        <f t="shared" si="241"/>
        <v>26300</v>
      </c>
      <c r="B6445" s="2" t="str">
        <f>"71949"</f>
        <v>71949</v>
      </c>
      <c r="C6445" s="1">
        <v>1.77986615406521E-2</v>
      </c>
      <c r="D6445" s="1">
        <v>4.4685604851579901E-3</v>
      </c>
      <c r="E6445" s="1">
        <v>1.4285714285714199E-3</v>
      </c>
      <c r="F6445" s="1">
        <v>1.6296756169486198E-2</v>
      </c>
    </row>
    <row r="6446" spans="1:6" x14ac:dyDescent="0.25">
      <c r="A6446" s="2" t="str">
        <f t="shared" si="241"/>
        <v>26300</v>
      </c>
      <c r="B6446" s="2" t="str">
        <f>"71909"</f>
        <v>71909</v>
      </c>
      <c r="C6446" s="1">
        <v>0.10483016121631999</v>
      </c>
      <c r="D6446" s="1">
        <v>5.7133737631662899E-2</v>
      </c>
      <c r="E6446" s="1">
        <v>2.7857142857142799E-2</v>
      </c>
      <c r="F6446" s="1">
        <v>9.9092743357837201E-2</v>
      </c>
    </row>
    <row r="6447" spans="1:6" x14ac:dyDescent="0.25">
      <c r="A6447" s="2" t="str">
        <f t="shared" ref="A6447:A6460" si="242">"31680"</f>
        <v>31680</v>
      </c>
      <c r="B6447" s="2" t="str">
        <f>"71901"</f>
        <v>71901</v>
      </c>
      <c r="C6447" s="1">
        <v>1.9938372303788198E-3</v>
      </c>
      <c r="D6447" s="1">
        <v>7.8864353312302804E-4</v>
      </c>
      <c r="E6447" s="1">
        <v>0</v>
      </c>
      <c r="F6447" s="1">
        <v>1.8966863773290099E-3</v>
      </c>
    </row>
    <row r="6448" spans="1:6" x14ac:dyDescent="0.25">
      <c r="A6448" s="2" t="str">
        <f t="shared" si="242"/>
        <v>31680</v>
      </c>
      <c r="B6448" s="2" t="str">
        <f>"71923"</f>
        <v>71923</v>
      </c>
      <c r="C6448" s="1">
        <v>1.7521599903329101E-2</v>
      </c>
      <c r="D6448" s="1">
        <v>8.6750788643533104E-3</v>
      </c>
      <c r="E6448" s="1">
        <v>0</v>
      </c>
      <c r="F6448" s="1">
        <v>1.6791252928706899E-2</v>
      </c>
    </row>
    <row r="6449" spans="1:6" x14ac:dyDescent="0.25">
      <c r="A6449" s="2" t="str">
        <f t="shared" si="242"/>
        <v>31680</v>
      </c>
      <c r="B6449" s="2" t="str">
        <f>"72128"</f>
        <v>72128</v>
      </c>
      <c r="C6449" s="1">
        <v>4.8335448009183702E-4</v>
      </c>
      <c r="D6449" s="1">
        <v>0</v>
      </c>
      <c r="E6449" s="1">
        <v>0</v>
      </c>
      <c r="F6449" s="1">
        <v>4.4627914760682802E-4</v>
      </c>
    </row>
    <row r="6450" spans="1:6" x14ac:dyDescent="0.25">
      <c r="A6450" s="2" t="str">
        <f t="shared" si="242"/>
        <v>31680</v>
      </c>
      <c r="B6450" s="2" t="str">
        <f>"71933"</f>
        <v>71933</v>
      </c>
      <c r="C6450" s="1">
        <v>1.98175336837653E-2</v>
      </c>
      <c r="D6450" s="1">
        <v>5.5205047318611896E-3</v>
      </c>
      <c r="E6450" s="1">
        <v>9.3457943925233603E-3</v>
      </c>
      <c r="F6450" s="1">
        <v>1.8743724199486701E-2</v>
      </c>
    </row>
    <row r="6451" spans="1:6" x14ac:dyDescent="0.25">
      <c r="A6451" s="2" t="str">
        <f t="shared" si="242"/>
        <v>31680</v>
      </c>
      <c r="B6451" s="2" t="str">
        <f>"72084"</f>
        <v>72084</v>
      </c>
      <c r="C6451" s="1">
        <v>6.2836082411938804E-3</v>
      </c>
      <c r="D6451" s="1">
        <v>2.36593059936908E-3</v>
      </c>
      <c r="E6451" s="1">
        <v>0</v>
      </c>
      <c r="F6451" s="1">
        <v>5.9689835992413204E-3</v>
      </c>
    </row>
    <row r="6452" spans="1:6" x14ac:dyDescent="0.25">
      <c r="A6452" s="2" t="str">
        <f t="shared" si="242"/>
        <v>31680</v>
      </c>
      <c r="B6452" s="2" t="str">
        <f>"71929"</f>
        <v>71929</v>
      </c>
      <c r="C6452" s="1">
        <v>0.168207359071959</v>
      </c>
      <c r="D6452" s="1">
        <v>0.107255520504731</v>
      </c>
      <c r="E6452" s="1">
        <v>0.18691588785046701</v>
      </c>
      <c r="F6452" s="1">
        <v>0.164007586745509</v>
      </c>
    </row>
    <row r="6453" spans="1:6" x14ac:dyDescent="0.25">
      <c r="A6453" s="2" t="str">
        <f t="shared" si="242"/>
        <v>31680</v>
      </c>
      <c r="B6453" s="2" t="str">
        <f>"71913"</f>
        <v>71913</v>
      </c>
      <c r="C6453" s="1">
        <v>2.4590659174672201E-2</v>
      </c>
      <c r="D6453" s="1">
        <v>5.5205047318611896E-3</v>
      </c>
      <c r="E6453" s="1">
        <v>0</v>
      </c>
      <c r="F6453" s="1">
        <v>2.3094945888653299E-2</v>
      </c>
    </row>
    <row r="6454" spans="1:6" x14ac:dyDescent="0.25">
      <c r="A6454" s="2" t="str">
        <f t="shared" si="242"/>
        <v>31680</v>
      </c>
      <c r="B6454" s="2" t="str">
        <f>"72104"</f>
        <v>72104</v>
      </c>
      <c r="C6454" s="1">
        <v>0.66225605703582802</v>
      </c>
      <c r="D6454" s="1">
        <v>0.83911671924290199</v>
      </c>
      <c r="E6454" s="1">
        <v>0.78504672897196204</v>
      </c>
      <c r="F6454" s="1">
        <v>0.67549927479638505</v>
      </c>
    </row>
    <row r="6455" spans="1:6" x14ac:dyDescent="0.25">
      <c r="A6455" s="2" t="str">
        <f t="shared" si="242"/>
        <v>31680</v>
      </c>
      <c r="B6455" s="2" t="str">
        <f>"71921"</f>
        <v>71921</v>
      </c>
      <c r="C6455" s="1">
        <v>1.2869313032445101E-2</v>
      </c>
      <c r="D6455" s="1">
        <v>0</v>
      </c>
      <c r="E6455" s="1">
        <v>0</v>
      </c>
      <c r="F6455" s="1">
        <v>1.1882182305031699E-2</v>
      </c>
    </row>
    <row r="6456" spans="1:6" x14ac:dyDescent="0.25">
      <c r="A6456" s="2" t="str">
        <f t="shared" si="242"/>
        <v>31680</v>
      </c>
      <c r="B6456" s="2" t="str">
        <f>"71964"</f>
        <v>71964</v>
      </c>
      <c r="C6456" s="1">
        <v>1.021086339194E-2</v>
      </c>
      <c r="D6456" s="1">
        <v>7.8864353312302804E-4</v>
      </c>
      <c r="E6456" s="1">
        <v>0</v>
      </c>
      <c r="F6456" s="1">
        <v>9.4834318866450894E-3</v>
      </c>
    </row>
    <row r="6457" spans="1:6" x14ac:dyDescent="0.25">
      <c r="A6457" s="2" t="str">
        <f t="shared" si="242"/>
        <v>31680</v>
      </c>
      <c r="B6457" s="2" t="str">
        <f>"72167"</f>
        <v>72167</v>
      </c>
      <c r="C6457" s="1">
        <v>1.3775602682617301E-2</v>
      </c>
      <c r="D6457" s="1">
        <v>0</v>
      </c>
      <c r="E6457" s="1">
        <v>0</v>
      </c>
      <c r="F6457" s="1">
        <v>1.2718955706794601E-2</v>
      </c>
    </row>
    <row r="6458" spans="1:6" x14ac:dyDescent="0.25">
      <c r="A6458" s="2" t="str">
        <f t="shared" si="242"/>
        <v>31680</v>
      </c>
      <c r="B6458" s="2" t="str">
        <f>"71942"</f>
        <v>71942</v>
      </c>
      <c r="C6458" s="1">
        <v>0</v>
      </c>
      <c r="D6458" s="1">
        <v>0</v>
      </c>
      <c r="E6458" s="1">
        <v>9.3457943925233603E-3</v>
      </c>
      <c r="F6458" s="1">
        <v>5.5784893450853502E-5</v>
      </c>
    </row>
    <row r="6459" spans="1:6" x14ac:dyDescent="0.25">
      <c r="A6459" s="2" t="str">
        <f t="shared" si="242"/>
        <v>31680</v>
      </c>
      <c r="B6459" s="2" t="str">
        <f>"71943"</f>
        <v>71943</v>
      </c>
      <c r="C6459" s="1">
        <v>2.3563530904476999E-3</v>
      </c>
      <c r="D6459" s="1">
        <v>2.36593059936908E-3</v>
      </c>
      <c r="E6459" s="1">
        <v>0</v>
      </c>
      <c r="F6459" s="1">
        <v>2.3429655249358398E-3</v>
      </c>
    </row>
    <row r="6460" spans="1:6" x14ac:dyDescent="0.25">
      <c r="A6460" s="2" t="str">
        <f t="shared" si="242"/>
        <v>31680</v>
      </c>
      <c r="B6460" s="2" t="str">
        <f>"71941"</f>
        <v>71941</v>
      </c>
      <c r="C6460" s="1">
        <v>5.9633858981330397E-2</v>
      </c>
      <c r="D6460" s="1">
        <v>2.7602523659305898E-2</v>
      </c>
      <c r="E6460" s="1">
        <v>9.3457943925233603E-3</v>
      </c>
      <c r="F6460" s="1">
        <v>5.7067946000223101E-2</v>
      </c>
    </row>
    <row r="6461" spans="1:6" x14ac:dyDescent="0.25">
      <c r="A6461" s="2" t="str">
        <f t="shared" ref="A6461:A6481" si="243">"14180"</f>
        <v>14180</v>
      </c>
      <c r="B6461" s="2" t="str">
        <f>"72338"</f>
        <v>72338</v>
      </c>
      <c r="C6461" s="1">
        <v>1.5661025797189701E-3</v>
      </c>
      <c r="D6461" s="1">
        <v>3.30851943755169E-3</v>
      </c>
      <c r="E6461" s="1">
        <v>2.6455026455026402E-3</v>
      </c>
      <c r="F6461" s="1">
        <v>1.74533607415739E-3</v>
      </c>
    </row>
    <row r="6462" spans="1:6" x14ac:dyDescent="0.25">
      <c r="A6462" s="2" t="str">
        <f t="shared" si="243"/>
        <v>14180</v>
      </c>
      <c r="B6462" s="2" t="str">
        <f>"72426"</f>
        <v>72426</v>
      </c>
      <c r="C6462" s="1">
        <v>0</v>
      </c>
      <c r="D6462" s="1">
        <v>0</v>
      </c>
      <c r="E6462" s="1">
        <v>2.6455026455026402E-3</v>
      </c>
      <c r="F6462" s="1">
        <v>3.87852460923864E-5</v>
      </c>
    </row>
    <row r="6463" spans="1:6" x14ac:dyDescent="0.25">
      <c r="A6463" s="2" t="str">
        <f t="shared" si="243"/>
        <v>14180</v>
      </c>
      <c r="B6463" s="2" t="str">
        <f>"72419"</f>
        <v>72419</v>
      </c>
      <c r="C6463" s="1">
        <v>1.3050854830991401E-4</v>
      </c>
      <c r="D6463" s="1">
        <v>0</v>
      </c>
      <c r="E6463" s="1">
        <v>0</v>
      </c>
      <c r="F6463" s="1">
        <v>1.16355738277159E-4</v>
      </c>
    </row>
    <row r="6464" spans="1:6" x14ac:dyDescent="0.25">
      <c r="A6464" s="2" t="str">
        <f t="shared" si="243"/>
        <v>14180</v>
      </c>
      <c r="B6464" s="2" t="str">
        <f>"72391"</f>
        <v>72391</v>
      </c>
      <c r="C6464" s="1">
        <v>0</v>
      </c>
      <c r="D6464" s="1">
        <v>0</v>
      </c>
      <c r="E6464" s="1">
        <v>2.6455026455026402E-3</v>
      </c>
      <c r="F6464" s="1">
        <v>3.87852460923864E-5</v>
      </c>
    </row>
    <row r="6465" spans="1:6" x14ac:dyDescent="0.25">
      <c r="A6465" s="2" t="str">
        <f t="shared" si="243"/>
        <v>14180</v>
      </c>
      <c r="B6465" s="2" t="str">
        <f>"72330"</f>
        <v>72330</v>
      </c>
      <c r="C6465" s="1">
        <v>1.12672380040892E-2</v>
      </c>
      <c r="D6465" s="1">
        <v>1.15798180314309E-2</v>
      </c>
      <c r="E6465" s="1">
        <v>2.6455026455026402E-3</v>
      </c>
      <c r="F6465" s="1">
        <v>1.1170150874607199E-2</v>
      </c>
    </row>
    <row r="6466" spans="1:6" x14ac:dyDescent="0.25">
      <c r="A6466" s="2" t="str">
        <f t="shared" si="243"/>
        <v>14180</v>
      </c>
      <c r="B6466" s="2" t="str">
        <f>"72442"</f>
        <v>72442</v>
      </c>
      <c r="C6466" s="1">
        <v>7.8435637534258404E-2</v>
      </c>
      <c r="D6466" s="1">
        <v>2.8535980148883301E-2</v>
      </c>
      <c r="E6466" s="1">
        <v>9.5238095238095205E-2</v>
      </c>
      <c r="F6466" s="1">
        <v>7.4002249544273299E-2</v>
      </c>
    </row>
    <row r="6467" spans="1:6" x14ac:dyDescent="0.25">
      <c r="A6467" s="2" t="str">
        <f t="shared" si="243"/>
        <v>14180</v>
      </c>
      <c r="B6467" s="2" t="str">
        <f>"72351"</f>
        <v>72351</v>
      </c>
      <c r="C6467" s="1">
        <v>8.7005698873276102E-5</v>
      </c>
      <c r="D6467" s="1">
        <v>0</v>
      </c>
      <c r="E6467" s="1">
        <v>2.6455026455026402E-3</v>
      </c>
      <c r="F6467" s="1">
        <v>1.16355738277159E-4</v>
      </c>
    </row>
    <row r="6468" spans="1:6" x14ac:dyDescent="0.25">
      <c r="A6468" s="2" t="str">
        <f t="shared" si="243"/>
        <v>14180</v>
      </c>
      <c r="B6468" s="2" t="str">
        <f>"72358"</f>
        <v>72358</v>
      </c>
      <c r="C6468" s="1">
        <v>1.7227128376908599E-2</v>
      </c>
      <c r="D6468" s="1">
        <v>6.2034739454094202E-3</v>
      </c>
      <c r="E6468" s="1">
        <v>2.6455026455026402E-3</v>
      </c>
      <c r="F6468" s="1">
        <v>1.59795213900632E-2</v>
      </c>
    </row>
    <row r="6469" spans="1:6" x14ac:dyDescent="0.25">
      <c r="A6469" s="2" t="str">
        <f t="shared" si="243"/>
        <v>14180</v>
      </c>
      <c r="B6469" s="2" t="str">
        <f>"72395"</f>
        <v>72395</v>
      </c>
      <c r="C6469" s="1">
        <v>2.4013572889024198E-2</v>
      </c>
      <c r="D6469" s="1">
        <v>3.14309346567411E-2</v>
      </c>
      <c r="E6469" s="1">
        <v>3.4391534391534299E-2</v>
      </c>
      <c r="F6469" s="1">
        <v>2.48613427452197E-2</v>
      </c>
    </row>
    <row r="6470" spans="1:6" x14ac:dyDescent="0.25">
      <c r="A6470" s="2" t="str">
        <f t="shared" si="243"/>
        <v>14180</v>
      </c>
      <c r="B6470" s="2" t="str">
        <f>"72310"</f>
        <v>72310</v>
      </c>
      <c r="C6470" s="1">
        <v>0</v>
      </c>
      <c r="D6470" s="1">
        <v>0</v>
      </c>
      <c r="E6470" s="1">
        <v>2.6455026455026402E-3</v>
      </c>
      <c r="F6470" s="1">
        <v>3.87852460923864E-5</v>
      </c>
    </row>
    <row r="6471" spans="1:6" x14ac:dyDescent="0.25">
      <c r="A6471" s="2" t="str">
        <f t="shared" si="243"/>
        <v>14180</v>
      </c>
      <c r="B6471" s="2" t="str">
        <f>"72315"</f>
        <v>72315</v>
      </c>
      <c r="C6471" s="1">
        <v>0.545264714838821</v>
      </c>
      <c r="D6471" s="1">
        <v>0.55293631100082696</v>
      </c>
      <c r="E6471" s="1">
        <v>0.63227513227513199</v>
      </c>
      <c r="F6471" s="1">
        <v>0.54725982236357196</v>
      </c>
    </row>
    <row r="6472" spans="1:6" x14ac:dyDescent="0.25">
      <c r="A6472" s="2" t="str">
        <f t="shared" si="243"/>
        <v>14180</v>
      </c>
      <c r="B6472" s="2" t="str">
        <f>"72370"</f>
        <v>72370</v>
      </c>
      <c r="C6472" s="1">
        <v>0.181102362204724</v>
      </c>
      <c r="D6472" s="1">
        <v>0.205955334987593</v>
      </c>
      <c r="E6472" s="1">
        <v>0.169312169312169</v>
      </c>
      <c r="F6472" s="1">
        <v>0.183260287786526</v>
      </c>
    </row>
    <row r="6473" spans="1:6" x14ac:dyDescent="0.25">
      <c r="A6473" s="2" t="str">
        <f t="shared" si="243"/>
        <v>14180</v>
      </c>
      <c r="B6473" s="2" t="str">
        <f>"72329"</f>
        <v>72329</v>
      </c>
      <c r="C6473" s="1">
        <v>0</v>
      </c>
      <c r="D6473" s="1">
        <v>0</v>
      </c>
      <c r="E6473" s="1">
        <v>2.6455026455026402E-3</v>
      </c>
      <c r="F6473" s="1">
        <v>3.87852460923864E-5</v>
      </c>
    </row>
    <row r="6474" spans="1:6" x14ac:dyDescent="0.25">
      <c r="A6474" s="2" t="str">
        <f t="shared" si="243"/>
        <v>14180</v>
      </c>
      <c r="B6474" s="2" t="str">
        <f>"72350"</f>
        <v>72350</v>
      </c>
      <c r="C6474" s="1">
        <v>1.9750293644233599E-2</v>
      </c>
      <c r="D6474" s="1">
        <v>1.4888337468982601E-2</v>
      </c>
      <c r="E6474" s="1">
        <v>1.3227513227513201E-2</v>
      </c>
      <c r="F6474" s="1">
        <v>1.9198696815731199E-2</v>
      </c>
    </row>
    <row r="6475" spans="1:6" x14ac:dyDescent="0.25">
      <c r="A6475" s="2" t="str">
        <f t="shared" si="243"/>
        <v>14180</v>
      </c>
      <c r="B6475" s="2" t="str">
        <f>"72438"</f>
        <v>72438</v>
      </c>
      <c r="C6475" s="1">
        <v>4.0327141427763502E-2</v>
      </c>
      <c r="D6475" s="1">
        <v>4.5492142266335802E-3</v>
      </c>
      <c r="E6475" s="1">
        <v>1.5873015873015799E-2</v>
      </c>
      <c r="F6475" s="1">
        <v>3.6613272311212801E-2</v>
      </c>
    </row>
    <row r="6476" spans="1:6" x14ac:dyDescent="0.25">
      <c r="A6476" s="2" t="str">
        <f t="shared" si="243"/>
        <v>14180</v>
      </c>
      <c r="B6476" s="2" t="str">
        <f>"72386"</f>
        <v>72386</v>
      </c>
      <c r="C6476" s="1">
        <v>6.6559359638056204E-3</v>
      </c>
      <c r="D6476" s="1">
        <v>2.8949545078577302E-3</v>
      </c>
      <c r="E6476" s="1">
        <v>5.2910052910052898E-3</v>
      </c>
      <c r="F6476" s="1">
        <v>6.2832098669665997E-3</v>
      </c>
    </row>
    <row r="6477" spans="1:6" x14ac:dyDescent="0.25">
      <c r="A6477" s="2" t="str">
        <f t="shared" si="243"/>
        <v>14180</v>
      </c>
      <c r="B6477" s="2" t="str">
        <f>"72321"</f>
        <v>72321</v>
      </c>
      <c r="C6477" s="1">
        <v>4.3502849436637997E-5</v>
      </c>
      <c r="D6477" s="1">
        <v>0</v>
      </c>
      <c r="E6477" s="1">
        <v>2.6455026455026402E-3</v>
      </c>
      <c r="F6477" s="1">
        <v>7.7570492184772896E-5</v>
      </c>
    </row>
    <row r="6478" spans="1:6" x14ac:dyDescent="0.25">
      <c r="A6478" s="2" t="str">
        <f t="shared" si="243"/>
        <v>14180</v>
      </c>
      <c r="B6478" s="2" t="str">
        <f>"72354"</f>
        <v>72354</v>
      </c>
      <c r="C6478" s="1">
        <v>2.0446339235219899E-3</v>
      </c>
      <c r="D6478" s="1">
        <v>8.2712985938792304E-4</v>
      </c>
      <c r="E6478" s="1">
        <v>0</v>
      </c>
      <c r="F6478" s="1">
        <v>1.9004770585269301E-3</v>
      </c>
    </row>
    <row r="6479" spans="1:6" x14ac:dyDescent="0.25">
      <c r="A6479" s="2" t="str">
        <f t="shared" si="243"/>
        <v>14180</v>
      </c>
      <c r="B6479" s="2" t="str">
        <f>"72316"</f>
        <v>72316</v>
      </c>
      <c r="C6479" s="1">
        <v>7.1083655979466601E-2</v>
      </c>
      <c r="D6479" s="1">
        <v>0.13647642679900701</v>
      </c>
      <c r="E6479" s="1">
        <v>5.2910052910052898E-3</v>
      </c>
      <c r="F6479" s="1">
        <v>7.6251793817631697E-2</v>
      </c>
    </row>
    <row r="6480" spans="1:6" x14ac:dyDescent="0.25">
      <c r="A6480" s="2" t="str">
        <f t="shared" si="243"/>
        <v>14180</v>
      </c>
      <c r="B6480" s="2" t="str">
        <f>"72313"</f>
        <v>72313</v>
      </c>
      <c r="C6480" s="1">
        <v>0</v>
      </c>
      <c r="D6480" s="1">
        <v>0</v>
      </c>
      <c r="E6480" s="1">
        <v>2.6455026455026402E-3</v>
      </c>
      <c r="F6480" s="1">
        <v>3.87852460923864E-5</v>
      </c>
    </row>
    <row r="6481" spans="1:6" x14ac:dyDescent="0.25">
      <c r="A6481" s="2" t="str">
        <f t="shared" si="243"/>
        <v>14180</v>
      </c>
      <c r="B6481" s="2" t="str">
        <f>"72428"</f>
        <v>72428</v>
      </c>
      <c r="C6481" s="1">
        <v>1.00056553704267E-3</v>
      </c>
      <c r="D6481" s="1">
        <v>4.1356492969396098E-4</v>
      </c>
      <c r="E6481" s="1">
        <v>2.6455026455026402E-3</v>
      </c>
      <c r="F6481" s="1">
        <v>9.6963115230966096E-4</v>
      </c>
    </row>
    <row r="6482" spans="1:6" x14ac:dyDescent="0.25">
      <c r="A6482" s="2" t="str">
        <f t="shared" ref="A6482:A6504" si="244">"30020"</f>
        <v>30020</v>
      </c>
      <c r="B6482" s="2" t="str">
        <f>"73505"</f>
        <v>73505</v>
      </c>
      <c r="C6482" s="1">
        <v>0.377913492617798</v>
      </c>
      <c r="D6482" s="1">
        <v>0.26646385110951998</v>
      </c>
      <c r="E6482" s="1">
        <v>0.241149773071104</v>
      </c>
      <c r="F6482" s="1">
        <v>0.36265966505818897</v>
      </c>
    </row>
    <row r="6483" spans="1:6" x14ac:dyDescent="0.25">
      <c r="A6483" s="2" t="str">
        <f t="shared" si="244"/>
        <v>30020</v>
      </c>
      <c r="B6483" s="2" t="str">
        <f>"73541"</f>
        <v>73541</v>
      </c>
      <c r="C6483" s="1">
        <v>2.05142365228125E-2</v>
      </c>
      <c r="D6483" s="1">
        <v>3.5790980672870398E-3</v>
      </c>
      <c r="E6483" s="1">
        <v>1.5128593040847199E-3</v>
      </c>
      <c r="F6483" s="1">
        <v>1.82798751064433E-2</v>
      </c>
    </row>
    <row r="6484" spans="1:6" x14ac:dyDescent="0.25">
      <c r="A6484" s="2" t="str">
        <f t="shared" si="244"/>
        <v>30020</v>
      </c>
      <c r="B6484" s="2" t="str">
        <f>"73538"</f>
        <v>73538</v>
      </c>
      <c r="C6484" s="1">
        <v>4.3107508892750897E-2</v>
      </c>
      <c r="D6484" s="1">
        <v>1.9327129563350001E-2</v>
      </c>
      <c r="E6484" s="1">
        <v>1.39183055975794E-2</v>
      </c>
      <c r="F6484" s="1">
        <v>3.98523985239852E-2</v>
      </c>
    </row>
    <row r="6485" spans="1:6" x14ac:dyDescent="0.25">
      <c r="A6485" s="2" t="str">
        <f t="shared" si="244"/>
        <v>30020</v>
      </c>
      <c r="B6485" s="2" t="str">
        <f>"73527"</f>
        <v>73527</v>
      </c>
      <c r="C6485" s="1">
        <v>3.1153052771777E-2</v>
      </c>
      <c r="D6485" s="1">
        <v>6.8002863278453802E-3</v>
      </c>
      <c r="E6485" s="1">
        <v>9.6822995461421993E-3</v>
      </c>
      <c r="F6485" s="1">
        <v>2.8214589838205999E-2</v>
      </c>
    </row>
    <row r="6486" spans="1:6" x14ac:dyDescent="0.25">
      <c r="A6486" s="2" t="str">
        <f t="shared" si="244"/>
        <v>30020</v>
      </c>
      <c r="B6486" s="2" t="str">
        <f>"73503"</f>
        <v>73503</v>
      </c>
      <c r="C6486" s="1">
        <v>4.05411990189549E-2</v>
      </c>
      <c r="D6486" s="1">
        <v>9.0193271295633495E-2</v>
      </c>
      <c r="E6486" s="1">
        <v>0.33676248108925799</v>
      </c>
      <c r="F6486" s="1">
        <v>5.8373545273914203E-2</v>
      </c>
    </row>
    <row r="6487" spans="1:6" x14ac:dyDescent="0.25">
      <c r="A6487" s="2" t="str">
        <f t="shared" si="244"/>
        <v>30020</v>
      </c>
      <c r="B6487" s="2" t="str">
        <f>"73572"</f>
        <v>73572</v>
      </c>
      <c r="C6487" s="1">
        <v>3.5051244985138098E-2</v>
      </c>
      <c r="D6487" s="1">
        <v>3.0243378668575498E-2</v>
      </c>
      <c r="E6487" s="1">
        <v>5.1437216338880397E-3</v>
      </c>
      <c r="F6487" s="1">
        <v>3.32671019017882E-2</v>
      </c>
    </row>
    <row r="6488" spans="1:6" x14ac:dyDescent="0.25">
      <c r="A6488" s="2" t="str">
        <f t="shared" si="244"/>
        <v>30020</v>
      </c>
      <c r="B6488" s="2" t="str">
        <f>"73568"</f>
        <v>73568</v>
      </c>
      <c r="C6488" s="1">
        <v>9.6317832605129303E-3</v>
      </c>
      <c r="D6488" s="1">
        <v>2.1474588403722198E-3</v>
      </c>
      <c r="E6488" s="1">
        <v>9.0771558245083205E-4</v>
      </c>
      <c r="F6488" s="1">
        <v>8.6290093670167399E-3</v>
      </c>
    </row>
    <row r="6489" spans="1:6" x14ac:dyDescent="0.25">
      <c r="A6489" s="2" t="str">
        <f t="shared" si="244"/>
        <v>30020</v>
      </c>
      <c r="B6489" s="2" t="str">
        <f>"73540"</f>
        <v>73540</v>
      </c>
      <c r="C6489" s="1">
        <v>3.7844949404713499E-3</v>
      </c>
      <c r="D6489" s="1">
        <v>1.61059413027916E-3</v>
      </c>
      <c r="E6489" s="1">
        <v>3.02571860816944E-4</v>
      </c>
      <c r="F6489" s="1">
        <v>3.44876525688333E-3</v>
      </c>
    </row>
    <row r="6490" spans="1:6" x14ac:dyDescent="0.25">
      <c r="A6490" s="2" t="str">
        <f t="shared" si="244"/>
        <v>30020</v>
      </c>
      <c r="B6490" s="2" t="str">
        <f>"73082"</f>
        <v>73082</v>
      </c>
      <c r="C6490" s="1">
        <v>3.2484935111342099E-4</v>
      </c>
      <c r="D6490" s="1">
        <v>0</v>
      </c>
      <c r="E6490" s="1">
        <v>0</v>
      </c>
      <c r="F6490" s="1">
        <v>2.8384899233607698E-4</v>
      </c>
    </row>
    <row r="6491" spans="1:6" x14ac:dyDescent="0.25">
      <c r="A6491" s="2" t="str">
        <f t="shared" si="244"/>
        <v>30020</v>
      </c>
      <c r="B6491" s="2" t="str">
        <f>"73017"</f>
        <v>73017</v>
      </c>
      <c r="C6491" s="1">
        <v>5.8472883200415802E-4</v>
      </c>
      <c r="D6491" s="1">
        <v>0</v>
      </c>
      <c r="E6491" s="1">
        <v>0</v>
      </c>
      <c r="F6491" s="1">
        <v>5.1092818620493798E-4</v>
      </c>
    </row>
    <row r="6492" spans="1:6" x14ac:dyDescent="0.25">
      <c r="A6492" s="2" t="str">
        <f t="shared" si="244"/>
        <v>30020</v>
      </c>
      <c r="B6492" s="2" t="str">
        <f>"73557"</f>
        <v>73557</v>
      </c>
      <c r="C6492" s="1">
        <v>4.8727402667013099E-5</v>
      </c>
      <c r="D6492" s="1">
        <v>0</v>
      </c>
      <c r="E6492" s="1">
        <v>6.05143721633888E-4</v>
      </c>
      <c r="F6492" s="1">
        <v>7.09622480840193E-5</v>
      </c>
    </row>
    <row r="6493" spans="1:6" x14ac:dyDescent="0.25">
      <c r="A6493" s="2" t="str">
        <f t="shared" si="244"/>
        <v>30020</v>
      </c>
      <c r="B6493" s="2" t="str">
        <f>"73531"</f>
        <v>73531</v>
      </c>
      <c r="C6493" s="1">
        <v>6.0909253333766402E-3</v>
      </c>
      <c r="D6493" s="1">
        <v>5.18969219756621E-3</v>
      </c>
      <c r="E6493" s="1">
        <v>3.02571860816944E-4</v>
      </c>
      <c r="F6493" s="1">
        <v>5.7479420948055599E-3</v>
      </c>
    </row>
    <row r="6494" spans="1:6" x14ac:dyDescent="0.25">
      <c r="A6494" s="2" t="str">
        <f t="shared" si="244"/>
        <v>30020</v>
      </c>
      <c r="B6494" s="2" t="str">
        <f>"73507"</f>
        <v>73507</v>
      </c>
      <c r="C6494" s="1">
        <v>0.182078061299072</v>
      </c>
      <c r="D6494" s="1">
        <v>9.2877594846098699E-2</v>
      </c>
      <c r="E6494" s="1">
        <v>0.191527987897125</v>
      </c>
      <c r="F6494" s="1">
        <v>0.17544706216292899</v>
      </c>
    </row>
    <row r="6495" spans="1:6" x14ac:dyDescent="0.25">
      <c r="A6495" s="2" t="str">
        <f t="shared" si="244"/>
        <v>30020</v>
      </c>
      <c r="B6495" s="2" t="str">
        <f>"73567"</f>
        <v>73567</v>
      </c>
      <c r="C6495" s="1">
        <v>1.6242467555671E-5</v>
      </c>
      <c r="D6495" s="1">
        <v>0</v>
      </c>
      <c r="E6495" s="1">
        <v>3.02571860816944E-4</v>
      </c>
      <c r="F6495" s="1">
        <v>2.83848992336077E-5</v>
      </c>
    </row>
    <row r="6496" spans="1:6" x14ac:dyDescent="0.25">
      <c r="A6496" s="2" t="str">
        <f t="shared" si="244"/>
        <v>30020</v>
      </c>
      <c r="B6496" s="2" t="str">
        <f>"73562"</f>
        <v>73562</v>
      </c>
      <c r="C6496" s="1">
        <v>4.8727402667013099E-3</v>
      </c>
      <c r="D6496" s="1">
        <v>8.9477451682175996E-4</v>
      </c>
      <c r="E6496" s="1">
        <v>3.02571860816944E-4</v>
      </c>
      <c r="F6496" s="1">
        <v>4.3428895827419796E-3</v>
      </c>
    </row>
    <row r="6497" spans="1:6" x14ac:dyDescent="0.25">
      <c r="A6497" s="2" t="str">
        <f t="shared" si="244"/>
        <v>30020</v>
      </c>
      <c r="B6497" s="2" t="str">
        <f>"73501"</f>
        <v>73501</v>
      </c>
      <c r="C6497" s="1">
        <v>0.15287410463397499</v>
      </c>
      <c r="D6497" s="1">
        <v>0.33983536148890398</v>
      </c>
      <c r="E6497" s="1">
        <v>0.19606656580937901</v>
      </c>
      <c r="F6497" s="1">
        <v>0.169727504967357</v>
      </c>
    </row>
    <row r="6498" spans="1:6" x14ac:dyDescent="0.25">
      <c r="A6498" s="2" t="str">
        <f t="shared" si="244"/>
        <v>30020</v>
      </c>
      <c r="B6498" s="2" t="str">
        <f>"73506"</f>
        <v>73506</v>
      </c>
      <c r="C6498" s="1">
        <v>1.8971202105023701E-2</v>
      </c>
      <c r="D6498" s="1">
        <v>3.8117394416606998E-2</v>
      </c>
      <c r="E6498" s="1">
        <v>3.02571860816944E-4</v>
      </c>
      <c r="F6498" s="1">
        <v>1.9613965370422901E-2</v>
      </c>
    </row>
    <row r="6499" spans="1:6" x14ac:dyDescent="0.25">
      <c r="A6499" s="2" t="str">
        <f t="shared" si="244"/>
        <v>30020</v>
      </c>
      <c r="B6499" s="2" t="str">
        <f>"73552"</f>
        <v>73552</v>
      </c>
      <c r="C6499" s="1">
        <v>1.01028148196273E-2</v>
      </c>
      <c r="D6499" s="1">
        <v>1.2526843235504601E-3</v>
      </c>
      <c r="E6499" s="1">
        <v>0</v>
      </c>
      <c r="F6499" s="1">
        <v>8.9270508089696193E-3</v>
      </c>
    </row>
    <row r="6500" spans="1:6" x14ac:dyDescent="0.25">
      <c r="A6500" s="2" t="str">
        <f t="shared" si="244"/>
        <v>30020</v>
      </c>
      <c r="B6500" s="2" t="str">
        <f>"73055"</f>
        <v>73055</v>
      </c>
      <c r="C6500" s="1">
        <v>4.87274026670131E-4</v>
      </c>
      <c r="D6500" s="1">
        <v>0</v>
      </c>
      <c r="E6500" s="1">
        <v>0</v>
      </c>
      <c r="F6500" s="1">
        <v>4.2577348850411498E-4</v>
      </c>
    </row>
    <row r="6501" spans="1:6" x14ac:dyDescent="0.25">
      <c r="A6501" s="2" t="str">
        <f t="shared" si="244"/>
        <v>30020</v>
      </c>
      <c r="B6501" s="2" t="str">
        <f>"73502"</f>
        <v>73502</v>
      </c>
      <c r="C6501" s="1">
        <v>3.7081553429597E-2</v>
      </c>
      <c r="D6501" s="1">
        <v>9.5740873299928406E-2</v>
      </c>
      <c r="E6501" s="1">
        <v>0</v>
      </c>
      <c r="F6501" s="1">
        <v>3.9994323020153197E-2</v>
      </c>
    </row>
    <row r="6502" spans="1:6" x14ac:dyDescent="0.25">
      <c r="A6502" s="2" t="str">
        <f t="shared" si="244"/>
        <v>30020</v>
      </c>
      <c r="B6502" s="2" t="str">
        <f>"73543"</f>
        <v>73543</v>
      </c>
      <c r="C6502" s="1">
        <v>1.2441730147643999E-2</v>
      </c>
      <c r="D6502" s="1">
        <v>1.9685039370078701E-3</v>
      </c>
      <c r="E6502" s="1">
        <v>9.0771558245083205E-4</v>
      </c>
      <c r="F6502" s="1">
        <v>1.1070110701107E-2</v>
      </c>
    </row>
    <row r="6503" spans="1:6" x14ac:dyDescent="0.25">
      <c r="A6503" s="2" t="str">
        <f t="shared" si="244"/>
        <v>30020</v>
      </c>
      <c r="B6503" s="2" t="str">
        <f>"73528"</f>
        <v>73528</v>
      </c>
      <c r="C6503" s="1">
        <v>4.2555264995858101E-3</v>
      </c>
      <c r="D6503" s="1">
        <v>2.86327845382963E-3</v>
      </c>
      <c r="E6503" s="1">
        <v>3.02571860816944E-4</v>
      </c>
      <c r="F6503" s="1">
        <v>3.9596934430882703E-3</v>
      </c>
    </row>
    <row r="6504" spans="1:6" x14ac:dyDescent="0.25">
      <c r="A6504" s="2" t="str">
        <f t="shared" si="244"/>
        <v>30020</v>
      </c>
      <c r="B6504" s="2" t="str">
        <f>"73006"</f>
        <v>73006</v>
      </c>
      <c r="C6504" s="1">
        <v>8.0725063751685092E-3</v>
      </c>
      <c r="D6504" s="1">
        <v>8.9477451682175996E-4</v>
      </c>
      <c r="E6504" s="1">
        <v>0</v>
      </c>
      <c r="F6504" s="1">
        <v>7.1246097076355297E-3</v>
      </c>
    </row>
    <row r="6505" spans="1:6" x14ac:dyDescent="0.25">
      <c r="A6505" s="2" t="str">
        <f t="shared" ref="A6505:A6515" si="245">"48220"</f>
        <v>48220</v>
      </c>
      <c r="B6505" s="2" t="str">
        <f>"73024"</f>
        <v>73024</v>
      </c>
      <c r="C6505" s="1">
        <v>7.11693117927549E-5</v>
      </c>
      <c r="D6505" s="1">
        <v>0</v>
      </c>
      <c r="E6505" s="1">
        <v>0</v>
      </c>
      <c r="F6505" s="1">
        <v>6.1259495221759302E-5</v>
      </c>
    </row>
    <row r="6506" spans="1:6" x14ac:dyDescent="0.25">
      <c r="A6506" s="2" t="str">
        <f t="shared" si="245"/>
        <v>48220</v>
      </c>
      <c r="B6506" s="2" t="str">
        <f>"73639"</f>
        <v>73639</v>
      </c>
      <c r="C6506" s="1">
        <v>2.6688491922283099E-2</v>
      </c>
      <c r="D6506" s="1">
        <v>3.4883720930232501E-3</v>
      </c>
      <c r="E6506" s="1">
        <v>9.0415913200723296E-3</v>
      </c>
      <c r="F6506" s="1">
        <v>2.36461651555991E-2</v>
      </c>
    </row>
    <row r="6507" spans="1:6" x14ac:dyDescent="0.25">
      <c r="A6507" s="2" t="str">
        <f t="shared" si="245"/>
        <v>48220</v>
      </c>
      <c r="B6507" s="2" t="str">
        <f>"73654"</f>
        <v>73654</v>
      </c>
      <c r="C6507" s="1">
        <v>1.3522169240623399E-3</v>
      </c>
      <c r="D6507" s="1">
        <v>0</v>
      </c>
      <c r="E6507" s="1">
        <v>0</v>
      </c>
      <c r="F6507" s="1">
        <v>1.16393040921342E-3</v>
      </c>
    </row>
    <row r="6508" spans="1:6" x14ac:dyDescent="0.25">
      <c r="A6508" s="2" t="str">
        <f t="shared" si="245"/>
        <v>48220</v>
      </c>
      <c r="B6508" s="2" t="str">
        <f>"73650"</f>
        <v>73650</v>
      </c>
      <c r="C6508" s="1">
        <v>7.8286242972030399E-4</v>
      </c>
      <c r="D6508" s="1">
        <v>0</v>
      </c>
      <c r="E6508" s="1">
        <v>0</v>
      </c>
      <c r="F6508" s="1">
        <v>6.7385444743935303E-4</v>
      </c>
    </row>
    <row r="6509" spans="1:6" x14ac:dyDescent="0.25">
      <c r="A6509" s="2" t="str">
        <f t="shared" si="245"/>
        <v>48220</v>
      </c>
      <c r="B6509" s="2" t="str">
        <f>"73620"</f>
        <v>73620</v>
      </c>
      <c r="C6509" s="1">
        <v>2.12084549142409E-2</v>
      </c>
      <c r="D6509" s="1">
        <v>1.51162790697674E-2</v>
      </c>
      <c r="E6509" s="1">
        <v>9.0415913200723296E-3</v>
      </c>
      <c r="F6509" s="1">
        <v>2.01543739279588E-2</v>
      </c>
    </row>
    <row r="6510" spans="1:6" x14ac:dyDescent="0.25">
      <c r="A6510" s="2" t="str">
        <f t="shared" si="245"/>
        <v>48220</v>
      </c>
      <c r="B6510" s="2" t="str">
        <f>"73048"</f>
        <v>73048</v>
      </c>
      <c r="C6510" s="1">
        <v>0</v>
      </c>
      <c r="D6510" s="1">
        <v>0</v>
      </c>
      <c r="E6510" s="1">
        <v>1.80831826401446E-3</v>
      </c>
      <c r="F6510" s="1">
        <v>6.1259495221759302E-5</v>
      </c>
    </row>
    <row r="6511" spans="1:6" x14ac:dyDescent="0.25">
      <c r="A6511" s="2" t="str">
        <f t="shared" si="245"/>
        <v>48220</v>
      </c>
      <c r="B6511" s="2" t="str">
        <f>"73601"</f>
        <v>73601</v>
      </c>
      <c r="C6511" s="1">
        <v>0.33179133157782298</v>
      </c>
      <c r="D6511" s="1">
        <v>0.40406976744186002</v>
      </c>
      <c r="E6511" s="1">
        <v>0.20072332730560499</v>
      </c>
      <c r="F6511" s="1">
        <v>0.33496691987257998</v>
      </c>
    </row>
    <row r="6512" spans="1:6" x14ac:dyDescent="0.25">
      <c r="A6512" s="2" t="str">
        <f t="shared" si="245"/>
        <v>48220</v>
      </c>
      <c r="B6512" s="2" t="str">
        <f>"73626"</f>
        <v>73626</v>
      </c>
      <c r="C6512" s="1">
        <v>4.9818518254928401E-4</v>
      </c>
      <c r="D6512" s="1">
        <v>0</v>
      </c>
      <c r="E6512" s="1">
        <v>0</v>
      </c>
      <c r="F6512" s="1">
        <v>4.2881646655231501E-4</v>
      </c>
    </row>
    <row r="6513" spans="1:6" x14ac:dyDescent="0.25">
      <c r="A6513" s="2" t="str">
        <f t="shared" si="245"/>
        <v>48220</v>
      </c>
      <c r="B6513" s="2" t="str">
        <f>"73625"</f>
        <v>73625</v>
      </c>
      <c r="C6513" s="1">
        <v>1.3237491993452401E-2</v>
      </c>
      <c r="D6513" s="1">
        <v>3.4883720930232501E-3</v>
      </c>
      <c r="E6513" s="1">
        <v>1.80831826401446E-3</v>
      </c>
      <c r="F6513" s="1">
        <v>1.18230825777995E-2</v>
      </c>
    </row>
    <row r="6514" spans="1:6" x14ac:dyDescent="0.25">
      <c r="A6514" s="2" t="str">
        <f t="shared" si="245"/>
        <v>48220</v>
      </c>
      <c r="B6514" s="2" t="str">
        <f>"73669"</f>
        <v>73669</v>
      </c>
      <c r="C6514" s="1">
        <v>4.5406020923777601E-2</v>
      </c>
      <c r="D6514" s="1">
        <v>1.10465116279069E-2</v>
      </c>
      <c r="E6514" s="1">
        <v>5.4249547920433901E-3</v>
      </c>
      <c r="F6514" s="1">
        <v>4.04312668463611E-2</v>
      </c>
    </row>
    <row r="6515" spans="1:6" x14ac:dyDescent="0.25">
      <c r="A6515" s="2" t="str">
        <f t="shared" si="245"/>
        <v>48220</v>
      </c>
      <c r="B6515" s="2" t="str">
        <f>"73096"</f>
        <v>73096</v>
      </c>
      <c r="C6515" s="1">
        <v>0.55896377482029702</v>
      </c>
      <c r="D6515" s="1">
        <v>0.56279069767441803</v>
      </c>
      <c r="E6515" s="1">
        <v>0.772151898734177</v>
      </c>
      <c r="F6515" s="1">
        <v>0.56658907130605196</v>
      </c>
    </row>
    <row r="6516" spans="1:6" x14ac:dyDescent="0.25">
      <c r="A6516" s="2" t="str">
        <f t="shared" ref="A6516:A6537" si="246">"43300"</f>
        <v>43300</v>
      </c>
      <c r="B6516" s="2" t="str">
        <f>"76271"</f>
        <v>76271</v>
      </c>
      <c r="C6516" s="1">
        <v>8.4073434323361698E-3</v>
      </c>
      <c r="D6516" s="1">
        <v>4.2310821806346597E-3</v>
      </c>
      <c r="E6516" s="1">
        <v>8.9098532494758902E-3</v>
      </c>
      <c r="F6516" s="1">
        <v>8.0711019163763002E-3</v>
      </c>
    </row>
    <row r="6517" spans="1:6" x14ac:dyDescent="0.25">
      <c r="A6517" s="2" t="str">
        <f t="shared" si="246"/>
        <v>43300</v>
      </c>
      <c r="B6517" s="2" t="str">
        <f>"75058"</f>
        <v>75058</v>
      </c>
      <c r="C6517" s="1">
        <v>2.1782662529234598E-2</v>
      </c>
      <c r="D6517" s="1">
        <v>7.9739625711960898E-3</v>
      </c>
      <c r="E6517" s="1">
        <v>7.7044025157232701E-2</v>
      </c>
      <c r="F6517" s="1">
        <v>2.2062826655052201E-2</v>
      </c>
    </row>
    <row r="6518" spans="1:6" x14ac:dyDescent="0.25">
      <c r="A6518" s="2" t="str">
        <f t="shared" si="246"/>
        <v>43300</v>
      </c>
      <c r="B6518" s="2" t="str">
        <f>"75490"</f>
        <v>75490</v>
      </c>
      <c r="C6518" s="1">
        <v>9.17164738073036E-5</v>
      </c>
      <c r="D6518" s="1">
        <v>0</v>
      </c>
      <c r="E6518" s="1">
        <v>0</v>
      </c>
      <c r="F6518" s="1">
        <v>8.1663763066202002E-5</v>
      </c>
    </row>
    <row r="6519" spans="1:6" x14ac:dyDescent="0.25">
      <c r="A6519" s="2" t="str">
        <f t="shared" si="246"/>
        <v>43300</v>
      </c>
      <c r="B6519" s="2" t="str">
        <f>"75459"</f>
        <v>75459</v>
      </c>
      <c r="C6519" s="1">
        <v>5.5152172916125203E-2</v>
      </c>
      <c r="D6519" s="1">
        <v>2.06672091131E-2</v>
      </c>
      <c r="E6519" s="1">
        <v>7.3375262054507298E-3</v>
      </c>
      <c r="F6519" s="1">
        <v>5.1026241289198603E-2</v>
      </c>
    </row>
    <row r="6520" spans="1:6" x14ac:dyDescent="0.25">
      <c r="A6520" s="2" t="str">
        <f t="shared" si="246"/>
        <v>43300</v>
      </c>
      <c r="B6520" s="2" t="str">
        <f>"76240"</f>
        <v>76240</v>
      </c>
      <c r="C6520" s="1">
        <v>9.17164738073036E-5</v>
      </c>
      <c r="D6520" s="1">
        <v>0</v>
      </c>
      <c r="E6520" s="1">
        <v>0</v>
      </c>
      <c r="F6520" s="1">
        <v>8.1663763066202002E-5</v>
      </c>
    </row>
    <row r="6521" spans="1:6" x14ac:dyDescent="0.25">
      <c r="A6521" s="2" t="str">
        <f t="shared" si="246"/>
        <v>43300</v>
      </c>
      <c r="B6521" s="2" t="str">
        <f>"75090"</f>
        <v>75090</v>
      </c>
      <c r="C6521" s="1">
        <v>0.15269264281019199</v>
      </c>
      <c r="D6521" s="1">
        <v>0.32237591537835603</v>
      </c>
      <c r="E6521" s="1">
        <v>0.20335429769391999</v>
      </c>
      <c r="F6521" s="1">
        <v>0.16820013066202</v>
      </c>
    </row>
    <row r="6522" spans="1:6" x14ac:dyDescent="0.25">
      <c r="A6522" s="2" t="str">
        <f t="shared" si="246"/>
        <v>43300</v>
      </c>
      <c r="B6522" s="2" t="str">
        <f>"75020"</f>
        <v>75020</v>
      </c>
      <c r="C6522" s="1">
        <v>0.174796312997752</v>
      </c>
      <c r="D6522" s="1">
        <v>0.22978030919446699</v>
      </c>
      <c r="E6522" s="1">
        <v>0.35639412997903502</v>
      </c>
      <c r="F6522" s="1">
        <v>0.184110953832752</v>
      </c>
    </row>
    <row r="6523" spans="1:6" x14ac:dyDescent="0.25">
      <c r="A6523" s="2" t="str">
        <f t="shared" si="246"/>
        <v>43300</v>
      </c>
      <c r="B6523" s="2" t="str">
        <f>"76245"</f>
        <v>76245</v>
      </c>
      <c r="C6523" s="1">
        <v>2.0437487580060799E-2</v>
      </c>
      <c r="D6523" s="1">
        <v>4.8820179007323002E-3</v>
      </c>
      <c r="E6523" s="1">
        <v>1.5723270440251499E-3</v>
      </c>
      <c r="F6523" s="1">
        <v>1.8646559233449399E-2</v>
      </c>
    </row>
    <row r="6524" spans="1:6" x14ac:dyDescent="0.25">
      <c r="A6524" s="2" t="str">
        <f t="shared" si="246"/>
        <v>43300</v>
      </c>
      <c r="B6524" s="2" t="str">
        <f>"75495"</f>
        <v>75495</v>
      </c>
      <c r="C6524" s="1">
        <v>4.6209816719913102E-2</v>
      </c>
      <c r="D6524" s="1">
        <v>2.32709519934906E-2</v>
      </c>
      <c r="E6524" s="1">
        <v>6.2893081761006197E-3</v>
      </c>
      <c r="F6524" s="1">
        <v>4.3254573170731697E-2</v>
      </c>
    </row>
    <row r="6525" spans="1:6" x14ac:dyDescent="0.25">
      <c r="A6525" s="2" t="str">
        <f t="shared" si="246"/>
        <v>43300</v>
      </c>
      <c r="B6525" s="2" t="str">
        <f>"75414"</f>
        <v>75414</v>
      </c>
      <c r="C6525" s="1">
        <v>2.10030725018725E-2</v>
      </c>
      <c r="D6525" s="1">
        <v>6.1838893409275801E-3</v>
      </c>
      <c r="E6525" s="1">
        <v>2.5681341719077499E-2</v>
      </c>
      <c r="F6525" s="1">
        <v>1.9885126306620201E-2</v>
      </c>
    </row>
    <row r="6526" spans="1:6" x14ac:dyDescent="0.25">
      <c r="A6526" s="2" t="str">
        <f t="shared" si="246"/>
        <v>43300</v>
      </c>
      <c r="B6526" s="2" t="str">
        <f>"75076"</f>
        <v>75076</v>
      </c>
      <c r="C6526" s="1">
        <v>7.0652256989559598E-2</v>
      </c>
      <c r="D6526" s="1">
        <v>4.7355573637103299E-2</v>
      </c>
      <c r="E6526" s="1">
        <v>3.9308176100628901E-2</v>
      </c>
      <c r="F6526" s="1">
        <v>6.7889808362369297E-2</v>
      </c>
    </row>
    <row r="6527" spans="1:6" x14ac:dyDescent="0.25">
      <c r="A6527" s="2" t="str">
        <f t="shared" si="246"/>
        <v>43300</v>
      </c>
      <c r="B6527" s="2" t="str">
        <f>"75021"</f>
        <v>75021</v>
      </c>
      <c r="C6527" s="1">
        <v>8.3095125269417106E-2</v>
      </c>
      <c r="D6527" s="1">
        <v>7.8112286411716803E-2</v>
      </c>
      <c r="E6527" s="1">
        <v>2.2536687631027199E-2</v>
      </c>
      <c r="F6527" s="1">
        <v>8.1105727351916304E-2</v>
      </c>
    </row>
    <row r="6528" spans="1:6" x14ac:dyDescent="0.25">
      <c r="A6528" s="2" t="str">
        <f t="shared" si="246"/>
        <v>43300</v>
      </c>
      <c r="B6528" s="2" t="str">
        <f>"76258"</f>
        <v>76258</v>
      </c>
      <c r="C6528" s="1">
        <v>1.86490163408184E-3</v>
      </c>
      <c r="D6528" s="1">
        <v>1.6273393002441E-3</v>
      </c>
      <c r="E6528" s="1">
        <v>1.5723270440251499E-2</v>
      </c>
      <c r="F6528" s="1">
        <v>2.20492160278745E-3</v>
      </c>
    </row>
    <row r="6529" spans="1:6" x14ac:dyDescent="0.25">
      <c r="A6529" s="2" t="str">
        <f t="shared" si="246"/>
        <v>43300</v>
      </c>
      <c r="B6529" s="2" t="str">
        <f>"75091"</f>
        <v>75091</v>
      </c>
      <c r="C6529" s="1">
        <v>2.94257020131766E-2</v>
      </c>
      <c r="D6529" s="1">
        <v>8.3319772172497905E-2</v>
      </c>
      <c r="E6529" s="1">
        <v>1.0482180293501001E-3</v>
      </c>
      <c r="F6529" s="1">
        <v>3.3196319686411097E-2</v>
      </c>
    </row>
    <row r="6530" spans="1:6" x14ac:dyDescent="0.25">
      <c r="A6530" s="2" t="str">
        <f t="shared" si="246"/>
        <v>43300</v>
      </c>
      <c r="B6530" s="2" t="str">
        <f>"76273"</f>
        <v>76273</v>
      </c>
      <c r="C6530" s="1">
        <v>5.10707898317002E-2</v>
      </c>
      <c r="D6530" s="1">
        <v>4.2310821806346599E-2</v>
      </c>
      <c r="E6530" s="1">
        <v>3.1970649895178102E-2</v>
      </c>
      <c r="F6530" s="1">
        <v>4.9842116724738601E-2</v>
      </c>
    </row>
    <row r="6531" spans="1:6" x14ac:dyDescent="0.25">
      <c r="A6531" s="2" t="str">
        <f t="shared" si="246"/>
        <v>43300</v>
      </c>
      <c r="B6531" s="2" t="str">
        <f>"76233"</f>
        <v>76233</v>
      </c>
      <c r="C6531" s="1">
        <v>1.7059264128158402E-2</v>
      </c>
      <c r="D6531" s="1">
        <v>4.3938161106590696E-3</v>
      </c>
      <c r="E6531" s="1">
        <v>1.7819706498951701E-2</v>
      </c>
      <c r="F6531" s="1">
        <v>1.6019708188153299E-2</v>
      </c>
    </row>
    <row r="6532" spans="1:6" x14ac:dyDescent="0.25">
      <c r="A6532" s="2" t="str">
        <f t="shared" si="246"/>
        <v>43300</v>
      </c>
      <c r="B6532" s="2" t="str">
        <f>"75479"</f>
        <v>75479</v>
      </c>
      <c r="C6532" s="1">
        <v>3.3629373729344601E-4</v>
      </c>
      <c r="D6532" s="1">
        <v>1.6273393002441E-4</v>
      </c>
      <c r="E6532" s="1">
        <v>0</v>
      </c>
      <c r="F6532" s="1">
        <v>3.1304442508710799E-4</v>
      </c>
    </row>
    <row r="6533" spans="1:6" x14ac:dyDescent="0.25">
      <c r="A6533" s="2" t="str">
        <f t="shared" si="246"/>
        <v>43300</v>
      </c>
      <c r="B6533" s="2" t="str">
        <f>"75491"</f>
        <v>75491</v>
      </c>
      <c r="C6533" s="1">
        <v>3.1978477200813198E-2</v>
      </c>
      <c r="D6533" s="1">
        <v>5.5329536208299397E-3</v>
      </c>
      <c r="E6533" s="1">
        <v>2.4109014675052401E-2</v>
      </c>
      <c r="F6533" s="1">
        <v>2.9562282229965101E-2</v>
      </c>
    </row>
    <row r="6534" spans="1:6" x14ac:dyDescent="0.25">
      <c r="A6534" s="2" t="str">
        <f t="shared" si="246"/>
        <v>43300</v>
      </c>
      <c r="B6534" s="2" t="str">
        <f>"75489"</f>
        <v>75489</v>
      </c>
      <c r="C6534" s="1">
        <v>9.8289487763493708E-3</v>
      </c>
      <c r="D6534" s="1">
        <v>6.34662327095199E-3</v>
      </c>
      <c r="E6534" s="1">
        <v>5.2410901467505201E-4</v>
      </c>
      <c r="F6534" s="1">
        <v>9.2960583623693301E-3</v>
      </c>
    </row>
    <row r="6535" spans="1:6" x14ac:dyDescent="0.25">
      <c r="A6535" s="2" t="str">
        <f t="shared" si="246"/>
        <v>43300</v>
      </c>
      <c r="B6535" s="2" t="str">
        <f>"76268"</f>
        <v>76268</v>
      </c>
      <c r="C6535" s="1">
        <v>0</v>
      </c>
      <c r="D6535" s="1">
        <v>0</v>
      </c>
      <c r="E6535" s="1">
        <v>5.2410901467505201E-4</v>
      </c>
      <c r="F6535" s="1">
        <v>1.3610627177700299E-5</v>
      </c>
    </row>
    <row r="6536" spans="1:6" x14ac:dyDescent="0.25">
      <c r="A6536" s="2" t="str">
        <f t="shared" si="246"/>
        <v>43300</v>
      </c>
      <c r="B6536" s="2" t="str">
        <f>"76264"</f>
        <v>76264</v>
      </c>
      <c r="C6536" s="1">
        <v>9.9053791711887895E-3</v>
      </c>
      <c r="D6536" s="1">
        <v>6.5093572009763999E-4</v>
      </c>
      <c r="E6536" s="1">
        <v>8.9098532494758902E-3</v>
      </c>
      <c r="F6536" s="1">
        <v>9.1055095818815303E-3</v>
      </c>
    </row>
    <row r="6537" spans="1:6" x14ac:dyDescent="0.25">
      <c r="A6537" s="2" t="str">
        <f t="shared" si="246"/>
        <v>43300</v>
      </c>
      <c r="B6537" s="2" t="str">
        <f>"75092"</f>
        <v>75092</v>
      </c>
      <c r="C6537" s="1">
        <v>0.19411791681315799</v>
      </c>
      <c r="D6537" s="1">
        <v>0.110821806346623</v>
      </c>
      <c r="E6537" s="1">
        <v>0.15094339622641501</v>
      </c>
      <c r="F6537" s="1">
        <v>0.18603005226480801</v>
      </c>
    </row>
    <row r="6538" spans="1:6" x14ac:dyDescent="0.25">
      <c r="A6538" s="2" t="str">
        <f t="shared" ref="A6538:A6551" si="247">"44860"</f>
        <v>44860</v>
      </c>
      <c r="B6538" s="2" t="str">
        <f>"75457"</f>
        <v>75457</v>
      </c>
      <c r="C6538" s="1">
        <v>4.4794839634474102E-5</v>
      </c>
      <c r="D6538" s="1">
        <v>0</v>
      </c>
      <c r="E6538" s="1">
        <v>0</v>
      </c>
      <c r="F6538" s="1">
        <v>4.0814660626096801E-5</v>
      </c>
    </row>
    <row r="6539" spans="1:6" x14ac:dyDescent="0.25">
      <c r="A6539" s="2" t="str">
        <f t="shared" si="247"/>
        <v>44860</v>
      </c>
      <c r="B6539" s="2" t="str">
        <f>"75433"</f>
        <v>75433</v>
      </c>
      <c r="C6539" s="1">
        <v>7.8077405482888301E-2</v>
      </c>
      <c r="D6539" s="1">
        <v>2.3702031602708801E-2</v>
      </c>
      <c r="E6539" s="1">
        <v>2.71604938271604E-2</v>
      </c>
      <c r="F6539" s="1">
        <v>7.330313048447E-2</v>
      </c>
    </row>
    <row r="6540" spans="1:6" x14ac:dyDescent="0.25">
      <c r="A6540" s="2" t="str">
        <f t="shared" si="247"/>
        <v>44860</v>
      </c>
      <c r="B6540" s="2" t="str">
        <f>"75481"</f>
        <v>75481</v>
      </c>
      <c r="C6540" s="1">
        <v>1.0929940870811601E-2</v>
      </c>
      <c r="D6540" s="1">
        <v>1.69300225733634E-3</v>
      </c>
      <c r="E6540" s="1">
        <v>4.9382716049382698E-3</v>
      </c>
      <c r="F6540" s="1">
        <v>1.01628504958981E-2</v>
      </c>
    </row>
    <row r="6541" spans="1:6" x14ac:dyDescent="0.25">
      <c r="A6541" s="2" t="str">
        <f t="shared" si="247"/>
        <v>44860</v>
      </c>
      <c r="B6541" s="2" t="str">
        <f>"75472"</f>
        <v>75472</v>
      </c>
      <c r="C6541" s="1">
        <v>9.4069163232395601E-4</v>
      </c>
      <c r="D6541" s="1">
        <v>0</v>
      </c>
      <c r="E6541" s="1">
        <v>0</v>
      </c>
      <c r="F6541" s="1">
        <v>8.5710787314803398E-4</v>
      </c>
    </row>
    <row r="6542" spans="1:6" x14ac:dyDescent="0.25">
      <c r="A6542" s="2" t="str">
        <f t="shared" si="247"/>
        <v>44860</v>
      </c>
      <c r="B6542" s="2" t="str">
        <f>"75453"</f>
        <v>75453</v>
      </c>
      <c r="C6542" s="1">
        <v>3.5387923311234501E-3</v>
      </c>
      <c r="D6542" s="1">
        <v>0</v>
      </c>
      <c r="E6542" s="1">
        <v>0</v>
      </c>
      <c r="F6542" s="1">
        <v>3.22435818946165E-3</v>
      </c>
    </row>
    <row r="6543" spans="1:6" x14ac:dyDescent="0.25">
      <c r="A6543" s="2" t="str">
        <f t="shared" si="247"/>
        <v>44860</v>
      </c>
      <c r="B6543" s="2" t="str">
        <f>"75437"</f>
        <v>75437</v>
      </c>
      <c r="C6543" s="1">
        <v>3.7358896255151403E-2</v>
      </c>
      <c r="D6543" s="1">
        <v>3.9503386004514597E-3</v>
      </c>
      <c r="E6543" s="1">
        <v>4.9382716049382698E-3</v>
      </c>
      <c r="F6543" s="1">
        <v>3.4406758907799602E-2</v>
      </c>
    </row>
    <row r="6544" spans="1:6" x14ac:dyDescent="0.25">
      <c r="A6544" s="2" t="str">
        <f t="shared" si="247"/>
        <v>44860</v>
      </c>
      <c r="B6544" s="2" t="str">
        <f>"75420"</f>
        <v>75420</v>
      </c>
      <c r="C6544" s="1">
        <v>3.6821358179537703E-2</v>
      </c>
      <c r="D6544" s="1">
        <v>6.7720090293453697E-3</v>
      </c>
      <c r="E6544" s="1">
        <v>2.4691358024691301E-3</v>
      </c>
      <c r="F6544" s="1">
        <v>3.4080241622790899E-2</v>
      </c>
    </row>
    <row r="6545" spans="1:6" x14ac:dyDescent="0.25">
      <c r="A6545" s="2" t="str">
        <f t="shared" si="247"/>
        <v>44860</v>
      </c>
      <c r="B6545" s="2" t="str">
        <f>"75494"</f>
        <v>75494</v>
      </c>
      <c r="C6545" s="1">
        <v>1.55438093531625E-2</v>
      </c>
      <c r="D6545" s="1">
        <v>7.9006772009029298E-3</v>
      </c>
      <c r="E6545" s="1">
        <v>0</v>
      </c>
      <c r="F6545" s="1">
        <v>1.47340924860209E-2</v>
      </c>
    </row>
    <row r="6546" spans="1:6" x14ac:dyDescent="0.25">
      <c r="A6546" s="2" t="str">
        <f t="shared" si="247"/>
        <v>44860</v>
      </c>
      <c r="B6546" s="2" t="str">
        <f>"75483"</f>
        <v>75483</v>
      </c>
      <c r="C6546" s="1">
        <v>4.2107149256405602E-2</v>
      </c>
      <c r="D6546" s="1">
        <v>0.213882618510158</v>
      </c>
      <c r="E6546" s="1">
        <v>4.9382716049382698E-3</v>
      </c>
      <c r="F6546" s="1">
        <v>5.3916166687073899E-2</v>
      </c>
    </row>
    <row r="6547" spans="1:6" x14ac:dyDescent="0.25">
      <c r="A6547" s="2" t="str">
        <f t="shared" si="247"/>
        <v>44860</v>
      </c>
      <c r="B6547" s="2" t="str">
        <f>"75431"</f>
        <v>75431</v>
      </c>
      <c r="C6547" s="1">
        <v>4.2779071850922702E-2</v>
      </c>
      <c r="D6547" s="1">
        <v>1.5801354401805801E-2</v>
      </c>
      <c r="E6547" s="1">
        <v>2.4691358024691301E-2</v>
      </c>
      <c r="F6547" s="1">
        <v>4.0528958001714202E-2</v>
      </c>
    </row>
    <row r="6548" spans="1:6" x14ac:dyDescent="0.25">
      <c r="A6548" s="2" t="str">
        <f t="shared" si="247"/>
        <v>44860</v>
      </c>
      <c r="B6548" s="2" t="str">
        <f>"75471"</f>
        <v>75471</v>
      </c>
      <c r="C6548" s="1">
        <v>4.5108403511915397E-2</v>
      </c>
      <c r="D6548" s="1">
        <v>1.12866817155756E-3</v>
      </c>
      <c r="E6548" s="1">
        <v>1.9753086419752999E-2</v>
      </c>
      <c r="F6548" s="1">
        <v>4.1508509856740497E-2</v>
      </c>
    </row>
    <row r="6549" spans="1:6" x14ac:dyDescent="0.25">
      <c r="A6549" s="2" t="str">
        <f t="shared" si="247"/>
        <v>44860</v>
      </c>
      <c r="B6549" s="2" t="str">
        <f>"75482"</f>
        <v>75482</v>
      </c>
      <c r="C6549" s="1">
        <v>0.65261601863465302</v>
      </c>
      <c r="D6549" s="1">
        <v>0.72121896162528198</v>
      </c>
      <c r="E6549" s="1">
        <v>0.90864197530864099</v>
      </c>
      <c r="F6549" s="1">
        <v>0.66180972205216104</v>
      </c>
    </row>
    <row r="6550" spans="1:6" x14ac:dyDescent="0.25">
      <c r="A6550" s="2" t="str">
        <f t="shared" si="247"/>
        <v>44860</v>
      </c>
      <c r="B6550" s="2" t="str">
        <f>"75478"</f>
        <v>75478</v>
      </c>
      <c r="C6550" s="1">
        <v>2.4592366959326199E-2</v>
      </c>
      <c r="D6550" s="1">
        <v>2.8216704288939001E-3</v>
      </c>
      <c r="E6550" s="1">
        <v>2.4691358024691301E-3</v>
      </c>
      <c r="F6550" s="1">
        <v>2.2652136647483698E-2</v>
      </c>
    </row>
    <row r="6551" spans="1:6" x14ac:dyDescent="0.25">
      <c r="A6551" s="2" t="str">
        <f t="shared" si="247"/>
        <v>44860</v>
      </c>
      <c r="B6551" s="2" t="str">
        <f>"75497"</f>
        <v>75497</v>
      </c>
      <c r="C6551" s="1">
        <v>9.5413008421429794E-3</v>
      </c>
      <c r="D6551" s="1">
        <v>1.12866817155756E-3</v>
      </c>
      <c r="E6551" s="1">
        <v>0</v>
      </c>
      <c r="F6551" s="1">
        <v>8.7751520346108294E-3</v>
      </c>
    </row>
    <row r="6552" spans="1:6" x14ac:dyDescent="0.25">
      <c r="A6552" s="2" t="str">
        <f t="shared" ref="A6552:A6564" si="248">"26660"</f>
        <v>26660</v>
      </c>
      <c r="B6552" s="2" t="str">
        <f>"77831"</f>
        <v>77831</v>
      </c>
      <c r="C6552" s="1">
        <v>6.7495873614713498E-3</v>
      </c>
      <c r="D6552" s="1">
        <v>4.0633888663145002E-4</v>
      </c>
      <c r="E6552" s="1">
        <v>0</v>
      </c>
      <c r="F6552" s="1">
        <v>6.1730051799565198E-3</v>
      </c>
    </row>
    <row r="6553" spans="1:6" x14ac:dyDescent="0.25">
      <c r="A6553" s="2" t="str">
        <f t="shared" si="248"/>
        <v>26660</v>
      </c>
      <c r="B6553" s="2" t="str">
        <f>"77873"</f>
        <v>77873</v>
      </c>
      <c r="C6553" s="1">
        <v>4.2148078283423696E-3</v>
      </c>
      <c r="D6553" s="1">
        <v>8.1267777326290102E-4</v>
      </c>
      <c r="E6553" s="1">
        <v>0</v>
      </c>
      <c r="F6553" s="1">
        <v>3.89167717866824E-3</v>
      </c>
    </row>
    <row r="6554" spans="1:6" x14ac:dyDescent="0.25">
      <c r="A6554" s="2" t="str">
        <f t="shared" si="248"/>
        <v>26660</v>
      </c>
      <c r="B6554" s="2" t="str">
        <f>"77367"</f>
        <v>77367</v>
      </c>
      <c r="C6554" s="1">
        <v>0</v>
      </c>
      <c r="D6554" s="1">
        <v>4.0633888663145002E-4</v>
      </c>
      <c r="E6554" s="1">
        <v>0</v>
      </c>
      <c r="F6554" s="1">
        <v>2.6839152956332599E-5</v>
      </c>
    </row>
    <row r="6555" spans="1:6" x14ac:dyDescent="0.25">
      <c r="A6555" s="2" t="str">
        <f t="shared" si="248"/>
        <v>26660</v>
      </c>
      <c r="B6555" s="2" t="str">
        <f>"77318"</f>
        <v>77318</v>
      </c>
      <c r="C6555" s="1">
        <v>8.8422541853336398E-5</v>
      </c>
      <c r="D6555" s="1">
        <v>0</v>
      </c>
      <c r="E6555" s="1">
        <v>0</v>
      </c>
      <c r="F6555" s="1">
        <v>8.0517458868998004E-5</v>
      </c>
    </row>
    <row r="6556" spans="1:6" x14ac:dyDescent="0.25">
      <c r="A6556" s="2" t="str">
        <f t="shared" si="248"/>
        <v>26660</v>
      </c>
      <c r="B6556" s="2" t="str">
        <f>"77378"</f>
        <v>77378</v>
      </c>
      <c r="C6556" s="1">
        <v>2.6526762556000898E-4</v>
      </c>
      <c r="D6556" s="1">
        <v>0</v>
      </c>
      <c r="E6556" s="1">
        <v>0</v>
      </c>
      <c r="F6556" s="1">
        <v>2.4155237660699401E-4</v>
      </c>
    </row>
    <row r="6557" spans="1:6" x14ac:dyDescent="0.25">
      <c r="A6557" s="2" t="str">
        <f t="shared" si="248"/>
        <v>26660</v>
      </c>
      <c r="B6557" s="2" t="str">
        <f>"77341"</f>
        <v>77341</v>
      </c>
      <c r="C6557" s="1">
        <v>0</v>
      </c>
      <c r="D6557" s="1">
        <v>4.0633888663145002E-4</v>
      </c>
      <c r="E6557" s="1">
        <v>0</v>
      </c>
      <c r="F6557" s="1">
        <v>2.6839152956332599E-5</v>
      </c>
    </row>
    <row r="6558" spans="1:6" x14ac:dyDescent="0.25">
      <c r="A6558" s="2" t="str">
        <f t="shared" si="248"/>
        <v>26660</v>
      </c>
      <c r="B6558" s="2" t="str">
        <f>"77334"</f>
        <v>77334</v>
      </c>
      <c r="C6558" s="1">
        <v>0</v>
      </c>
      <c r="D6558" s="1">
        <v>4.0633888663145002E-4</v>
      </c>
      <c r="E6558" s="1">
        <v>0</v>
      </c>
      <c r="F6558" s="1">
        <v>2.6839152956332599E-5</v>
      </c>
    </row>
    <row r="6559" spans="1:6" x14ac:dyDescent="0.25">
      <c r="A6559" s="2" t="str">
        <f t="shared" si="248"/>
        <v>26660</v>
      </c>
      <c r="B6559" s="2" t="str">
        <f>"77358"</f>
        <v>77358</v>
      </c>
      <c r="C6559" s="1">
        <v>9.6911105871256703E-2</v>
      </c>
      <c r="D6559" s="1">
        <v>8.1267777326290105E-2</v>
      </c>
      <c r="E6559" s="1">
        <v>2.4137931034482699E-2</v>
      </c>
      <c r="F6559" s="1">
        <v>9.4178587723771398E-2</v>
      </c>
    </row>
    <row r="6560" spans="1:6" x14ac:dyDescent="0.25">
      <c r="A6560" s="2" t="str">
        <f t="shared" si="248"/>
        <v>26660</v>
      </c>
      <c r="B6560" s="2" t="str">
        <f>"77340"</f>
        <v>77340</v>
      </c>
      <c r="C6560" s="1">
        <v>0.48938929497759898</v>
      </c>
      <c r="D6560" s="1">
        <v>0.58025193010971099</v>
      </c>
      <c r="E6560" s="1">
        <v>0.71494252873563202</v>
      </c>
      <c r="F6560" s="1">
        <v>0.50065755924743005</v>
      </c>
    </row>
    <row r="6561" spans="1:6" x14ac:dyDescent="0.25">
      <c r="A6561" s="2" t="str">
        <f t="shared" si="248"/>
        <v>26660</v>
      </c>
      <c r="B6561" s="2" t="str">
        <f>"75862"</f>
        <v>75862</v>
      </c>
      <c r="C6561" s="1">
        <v>6.4548455552935601E-3</v>
      </c>
      <c r="D6561" s="1">
        <v>4.0633888663145002E-4</v>
      </c>
      <c r="E6561" s="1">
        <v>3.4482758620689598E-3</v>
      </c>
      <c r="F6561" s="1">
        <v>5.9851311092621899E-3</v>
      </c>
    </row>
    <row r="6562" spans="1:6" x14ac:dyDescent="0.25">
      <c r="A6562" s="2" t="str">
        <f t="shared" si="248"/>
        <v>26660</v>
      </c>
      <c r="B6562" s="2" t="str">
        <f>"77342"</f>
        <v>77342</v>
      </c>
      <c r="C6562" s="1">
        <v>6.7613770337184603E-2</v>
      </c>
      <c r="D6562" s="1">
        <v>0.140999593661113</v>
      </c>
      <c r="E6562" s="1">
        <v>2.2988505747126402E-3</v>
      </c>
      <c r="F6562" s="1">
        <v>7.0935881263587297E-2</v>
      </c>
    </row>
    <row r="6563" spans="1:6" x14ac:dyDescent="0.25">
      <c r="A6563" s="2" t="str">
        <f t="shared" si="248"/>
        <v>26660</v>
      </c>
      <c r="B6563" s="2" t="str">
        <f>"77320"</f>
        <v>77320</v>
      </c>
      <c r="C6563" s="1">
        <v>0.32651497288375297</v>
      </c>
      <c r="D6563" s="1">
        <v>0.194636326696464</v>
      </c>
      <c r="E6563" s="1">
        <v>0.25057471264367798</v>
      </c>
      <c r="F6563" s="1">
        <v>0.31603102606081701</v>
      </c>
    </row>
    <row r="6564" spans="1:6" x14ac:dyDescent="0.25">
      <c r="A6564" s="2" t="str">
        <f t="shared" si="248"/>
        <v>26660</v>
      </c>
      <c r="B6564" s="2" t="str">
        <f>"75852"</f>
        <v>75852</v>
      </c>
      <c r="C6564" s="1">
        <v>1.7979250176845E-3</v>
      </c>
      <c r="D6564" s="1">
        <v>0</v>
      </c>
      <c r="E6564" s="1">
        <v>4.5977011494252804E-3</v>
      </c>
      <c r="F6564" s="1">
        <v>1.74454494216162E-3</v>
      </c>
    </row>
    <row r="6565" spans="1:6" x14ac:dyDescent="0.25">
      <c r="A6565" s="2" t="str">
        <f t="shared" ref="A6565:A6590" si="249">"48660"</f>
        <v>48660</v>
      </c>
      <c r="B6565" s="2" t="str">
        <f>"76352"</f>
        <v>76352</v>
      </c>
      <c r="C6565" s="1">
        <v>0</v>
      </c>
      <c r="D6565" s="1">
        <v>0</v>
      </c>
      <c r="E6565" s="1">
        <v>3.0712530712530701E-4</v>
      </c>
      <c r="F6565" s="1">
        <v>1.0557432432432401E-5</v>
      </c>
    </row>
    <row r="6566" spans="1:6" x14ac:dyDescent="0.25">
      <c r="A6566" s="2" t="str">
        <f t="shared" si="249"/>
        <v>48660</v>
      </c>
      <c r="B6566" s="2" t="str">
        <f>"76367"</f>
        <v>76367</v>
      </c>
      <c r="C6566" s="1">
        <v>5.2345179620533498E-2</v>
      </c>
      <c r="D6566" s="1">
        <v>3.4404761904761903E-2</v>
      </c>
      <c r="E6566" s="1">
        <v>3.5626535626535602E-2</v>
      </c>
      <c r="F6566" s="1">
        <v>5.0179476351351303E-2</v>
      </c>
    </row>
    <row r="6567" spans="1:6" x14ac:dyDescent="0.25">
      <c r="A6567" s="2" t="str">
        <f t="shared" si="249"/>
        <v>48660</v>
      </c>
      <c r="B6567" s="2" t="str">
        <f>"76366"</f>
        <v>76366</v>
      </c>
      <c r="C6567" s="1">
        <v>7.1751902147741504E-3</v>
      </c>
      <c r="D6567" s="1">
        <v>7.1428571428571396E-4</v>
      </c>
      <c r="E6567" s="1">
        <v>3.0712530712530701E-4</v>
      </c>
      <c r="F6567" s="1">
        <v>6.3661317567567498E-3</v>
      </c>
    </row>
    <row r="6568" spans="1:6" x14ac:dyDescent="0.25">
      <c r="A6568" s="2" t="str">
        <f t="shared" si="249"/>
        <v>48660</v>
      </c>
      <c r="B6568" s="2" t="str">
        <f>"76357"</f>
        <v>76357</v>
      </c>
      <c r="C6568" s="1">
        <v>2.4559375902918198E-3</v>
      </c>
      <c r="D6568" s="1">
        <v>2.3809523809523799E-4</v>
      </c>
      <c r="E6568" s="1">
        <v>6.1425061425061402E-4</v>
      </c>
      <c r="F6568" s="1">
        <v>2.19594594594594E-3</v>
      </c>
    </row>
    <row r="6569" spans="1:6" x14ac:dyDescent="0.25">
      <c r="A6569" s="2" t="str">
        <f t="shared" si="249"/>
        <v>48660</v>
      </c>
      <c r="B6569" s="2" t="str">
        <f>"76307"</f>
        <v>76307</v>
      </c>
      <c r="C6569" s="1">
        <v>2.0237407300394802E-2</v>
      </c>
      <c r="D6569" s="1">
        <v>6.8333333333333302E-2</v>
      </c>
      <c r="E6569" s="1">
        <v>6.1425061425061402E-4</v>
      </c>
      <c r="F6569" s="1">
        <v>2.3828124999999999E-2</v>
      </c>
    </row>
    <row r="6570" spans="1:6" x14ac:dyDescent="0.25">
      <c r="A6570" s="2" t="str">
        <f t="shared" si="249"/>
        <v>48660</v>
      </c>
      <c r="B6570" s="2" t="str">
        <f>"76261"</f>
        <v>76261</v>
      </c>
      <c r="C6570" s="1">
        <v>1.3242800731965701E-4</v>
      </c>
      <c r="D6570" s="1">
        <v>0</v>
      </c>
      <c r="E6570" s="1">
        <v>0</v>
      </c>
      <c r="F6570" s="1">
        <v>1.16131756756756E-4</v>
      </c>
    </row>
    <row r="6571" spans="1:6" x14ac:dyDescent="0.25">
      <c r="A6571" s="2" t="str">
        <f t="shared" si="249"/>
        <v>48660</v>
      </c>
      <c r="B6571" s="2" t="str">
        <f>"76370"</f>
        <v>76370</v>
      </c>
      <c r="C6571" s="1">
        <v>0</v>
      </c>
      <c r="D6571" s="1">
        <v>0</v>
      </c>
      <c r="E6571" s="1">
        <v>3.0712530712530701E-4</v>
      </c>
      <c r="F6571" s="1">
        <v>1.0557432432432401E-5</v>
      </c>
    </row>
    <row r="6572" spans="1:6" x14ac:dyDescent="0.25">
      <c r="A6572" s="2" t="str">
        <f t="shared" si="249"/>
        <v>48660</v>
      </c>
      <c r="B6572" s="2" t="str">
        <f>"76377"</f>
        <v>76377</v>
      </c>
      <c r="C6572" s="1">
        <v>2.0466146585765101E-4</v>
      </c>
      <c r="D6572" s="1">
        <v>0</v>
      </c>
      <c r="E6572" s="1">
        <v>0</v>
      </c>
      <c r="F6572" s="1">
        <v>1.7947635135135101E-4</v>
      </c>
    </row>
    <row r="6573" spans="1:6" x14ac:dyDescent="0.25">
      <c r="A6573" s="2" t="str">
        <f t="shared" si="249"/>
        <v>48660</v>
      </c>
      <c r="B6573" s="2" t="str">
        <f>"76369"</f>
        <v>76369</v>
      </c>
      <c r="C6573" s="1">
        <v>0</v>
      </c>
      <c r="D6573" s="1">
        <v>0</v>
      </c>
      <c r="E6573" s="1">
        <v>3.0712530712530701E-4</v>
      </c>
      <c r="F6573" s="1">
        <v>1.0557432432432401E-5</v>
      </c>
    </row>
    <row r="6574" spans="1:6" x14ac:dyDescent="0.25">
      <c r="A6574" s="2" t="str">
        <f t="shared" si="249"/>
        <v>48660</v>
      </c>
      <c r="B6574" s="2" t="str">
        <f>"76374"</f>
        <v>76374</v>
      </c>
      <c r="C6574" s="1">
        <v>1.0835018780699199E-3</v>
      </c>
      <c r="D6574" s="1">
        <v>0</v>
      </c>
      <c r="E6574" s="1">
        <v>3.0712530712530701E-4</v>
      </c>
      <c r="F6574" s="1">
        <v>9.6072635135135097E-4</v>
      </c>
    </row>
    <row r="6575" spans="1:6" x14ac:dyDescent="0.25">
      <c r="A6575" s="2" t="str">
        <f t="shared" si="249"/>
        <v>48660</v>
      </c>
      <c r="B6575" s="2" t="str">
        <f>"76389"</f>
        <v>76389</v>
      </c>
      <c r="C6575" s="1">
        <v>5.1406144659539603E-3</v>
      </c>
      <c r="D6575" s="1">
        <v>8.3333333333333295E-4</v>
      </c>
      <c r="E6575" s="1">
        <v>1.22850122850122E-3</v>
      </c>
      <c r="F6575" s="1">
        <v>4.6241554054053998E-3</v>
      </c>
    </row>
    <row r="6576" spans="1:6" x14ac:dyDescent="0.25">
      <c r="A6576" s="2" t="str">
        <f t="shared" si="249"/>
        <v>48660</v>
      </c>
      <c r="B6576" s="2" t="str">
        <f>"76302"</f>
        <v>76302</v>
      </c>
      <c r="C6576" s="1">
        <v>6.7237310989116797E-2</v>
      </c>
      <c r="D6576" s="1">
        <v>5.9880952380952299E-2</v>
      </c>
      <c r="E6576" s="1">
        <v>0.10534398034398</v>
      </c>
      <c r="F6576" s="1">
        <v>6.7894847972972905E-2</v>
      </c>
    </row>
    <row r="6577" spans="1:6" x14ac:dyDescent="0.25">
      <c r="A6577" s="2" t="str">
        <f t="shared" si="249"/>
        <v>48660</v>
      </c>
      <c r="B6577" s="2" t="str">
        <f>"76365"</f>
        <v>76365</v>
      </c>
      <c r="C6577" s="1">
        <v>3.1854955215255699E-2</v>
      </c>
      <c r="D6577" s="1">
        <v>2.3809523809523801E-2</v>
      </c>
      <c r="E6577" s="1">
        <v>9.5208845208845198E-3</v>
      </c>
      <c r="F6577" s="1">
        <v>3.0373733108108099E-2</v>
      </c>
    </row>
    <row r="6578" spans="1:6" x14ac:dyDescent="0.25">
      <c r="A6578" s="2" t="str">
        <f t="shared" si="249"/>
        <v>48660</v>
      </c>
      <c r="B6578" s="2" t="str">
        <f>"76309"</f>
        <v>76309</v>
      </c>
      <c r="C6578" s="1">
        <v>8.1334874313782099E-2</v>
      </c>
      <c r="D6578" s="1">
        <v>5.02380952380952E-2</v>
      </c>
      <c r="E6578" s="1">
        <v>8.5995085995085901E-2</v>
      </c>
      <c r="F6578" s="1">
        <v>7.8737331081080997E-2</v>
      </c>
    </row>
    <row r="6579" spans="1:6" x14ac:dyDescent="0.25">
      <c r="A6579" s="2" t="str">
        <f t="shared" si="249"/>
        <v>48660</v>
      </c>
      <c r="B6579" s="2" t="str">
        <f>"76305"</f>
        <v>76305</v>
      </c>
      <c r="C6579" s="1">
        <v>3.0566791871328099E-2</v>
      </c>
      <c r="D6579" s="1">
        <v>2.0238095238095201E-2</v>
      </c>
      <c r="E6579" s="1">
        <v>1.6277641277641201E-2</v>
      </c>
      <c r="F6579" s="1">
        <v>2.9159628378378301E-2</v>
      </c>
    </row>
    <row r="6580" spans="1:6" x14ac:dyDescent="0.25">
      <c r="A6580" s="2" t="str">
        <f t="shared" si="249"/>
        <v>48660</v>
      </c>
      <c r="B6580" s="2" t="str">
        <f>"76301"</f>
        <v>76301</v>
      </c>
      <c r="C6580" s="1">
        <v>0.109361456226524</v>
      </c>
      <c r="D6580" s="1">
        <v>0.27845238095238001</v>
      </c>
      <c r="E6580" s="1">
        <v>0.20024570024569999</v>
      </c>
      <c r="F6580" s="1">
        <v>0.12748099662162099</v>
      </c>
    </row>
    <row r="6581" spans="1:6" x14ac:dyDescent="0.25">
      <c r="A6581" s="2" t="str">
        <f t="shared" si="249"/>
        <v>48660</v>
      </c>
      <c r="B6581" s="2" t="str">
        <f>"76310"</f>
        <v>76310</v>
      </c>
      <c r="C6581" s="1">
        <v>0.107423191755754</v>
      </c>
      <c r="D6581" s="1">
        <v>5.1666666666666597E-2</v>
      </c>
      <c r="E6581" s="1">
        <v>8.7530712530712498E-2</v>
      </c>
      <c r="F6581" s="1">
        <v>0.10179476351351301</v>
      </c>
    </row>
    <row r="6582" spans="1:6" x14ac:dyDescent="0.25">
      <c r="A6582" s="2" t="str">
        <f t="shared" si="249"/>
        <v>48660</v>
      </c>
      <c r="B6582" s="2" t="str">
        <f>"76306"</f>
        <v>76306</v>
      </c>
      <c r="C6582" s="1">
        <v>8.9364827121255805E-2</v>
      </c>
      <c r="D6582" s="1">
        <v>7.5238095238095201E-2</v>
      </c>
      <c r="E6582" s="1">
        <v>0.13298525798525701</v>
      </c>
      <c r="F6582" s="1">
        <v>8.9611486486486397E-2</v>
      </c>
    </row>
    <row r="6583" spans="1:6" x14ac:dyDescent="0.25">
      <c r="A6583" s="2" t="str">
        <f t="shared" si="249"/>
        <v>48660</v>
      </c>
      <c r="B6583" s="2" t="str">
        <f>"76308"</f>
        <v>76308</v>
      </c>
      <c r="C6583" s="1">
        <v>0.121797650004815</v>
      </c>
      <c r="D6583" s="1">
        <v>0.204166666666666</v>
      </c>
      <c r="E6583" s="1">
        <v>0.12991400491400401</v>
      </c>
      <c r="F6583" s="1">
        <v>0.12938133445945901</v>
      </c>
    </row>
    <row r="6584" spans="1:6" x14ac:dyDescent="0.25">
      <c r="A6584" s="2" t="str">
        <f t="shared" si="249"/>
        <v>48660</v>
      </c>
      <c r="B6584" s="2" t="str">
        <f>"76379"</f>
        <v>76379</v>
      </c>
      <c r="C6584" s="1">
        <v>2.4438986805354898E-3</v>
      </c>
      <c r="D6584" s="1">
        <v>0</v>
      </c>
      <c r="E6584" s="1">
        <v>3.0712530712530701E-4</v>
      </c>
      <c r="F6584" s="1">
        <v>2.1537162162162098E-3</v>
      </c>
    </row>
    <row r="6585" spans="1:6" x14ac:dyDescent="0.25">
      <c r="A6585" s="2" t="str">
        <f t="shared" si="249"/>
        <v>48660</v>
      </c>
      <c r="B6585" s="2" t="str">
        <f>"76228"</f>
        <v>76228</v>
      </c>
      <c r="C6585" s="1">
        <v>5.2610035635172799E-3</v>
      </c>
      <c r="D6585" s="1">
        <v>8.3333333333333295E-4</v>
      </c>
      <c r="E6585" s="1">
        <v>9.2137592137592097E-4</v>
      </c>
      <c r="F6585" s="1">
        <v>4.7191722972972899E-3</v>
      </c>
    </row>
    <row r="6586" spans="1:6" x14ac:dyDescent="0.25">
      <c r="A6586" s="2" t="str">
        <f t="shared" si="249"/>
        <v>48660</v>
      </c>
      <c r="B6586" s="2" t="str">
        <f>"76311"</f>
        <v>76311</v>
      </c>
      <c r="C6586" s="1">
        <v>0.176634883944909</v>
      </c>
      <c r="D6586" s="1">
        <v>6.7023809523809499E-2</v>
      </c>
      <c r="E6586" s="1">
        <v>0.132678132678132</v>
      </c>
      <c r="F6586" s="1">
        <v>0.165403293918918</v>
      </c>
    </row>
    <row r="6587" spans="1:6" x14ac:dyDescent="0.25">
      <c r="A6587" s="2" t="str">
        <f t="shared" si="249"/>
        <v>48660</v>
      </c>
      <c r="B6587" s="2" t="str">
        <f>"76351"</f>
        <v>76351</v>
      </c>
      <c r="C6587" s="1">
        <v>1.6854473658865399E-4</v>
      </c>
      <c r="D6587" s="1">
        <v>0</v>
      </c>
      <c r="E6587" s="1">
        <v>0</v>
      </c>
      <c r="F6587" s="1">
        <v>1.4780405405405401E-4</v>
      </c>
    </row>
    <row r="6588" spans="1:6" x14ac:dyDescent="0.25">
      <c r="A6588" s="2" t="str">
        <f t="shared" si="249"/>
        <v>48660</v>
      </c>
      <c r="B6588" s="2" t="str">
        <f>"76360"</f>
        <v>76360</v>
      </c>
      <c r="C6588" s="1">
        <v>2.2849850717519E-2</v>
      </c>
      <c r="D6588" s="1">
        <v>2.2023809523809501E-2</v>
      </c>
      <c r="E6588" s="1">
        <v>1.07493857493857E-2</v>
      </c>
      <c r="F6588" s="1">
        <v>2.2360641891891801E-2</v>
      </c>
    </row>
    <row r="6589" spans="1:6" x14ac:dyDescent="0.25">
      <c r="A6589" s="2" t="str">
        <f t="shared" si="249"/>
        <v>48660</v>
      </c>
      <c r="B6589" s="2" t="str">
        <f>"76354"</f>
        <v>76354</v>
      </c>
      <c r="C6589" s="1">
        <v>6.39266108061253E-2</v>
      </c>
      <c r="D6589" s="1">
        <v>4.1785714285714197E-2</v>
      </c>
      <c r="E6589" s="1">
        <v>4.7911547911547898E-2</v>
      </c>
      <c r="F6589" s="1">
        <v>6.14125844594594E-2</v>
      </c>
    </row>
    <row r="6590" spans="1:6" x14ac:dyDescent="0.25">
      <c r="A6590" s="2" t="str">
        <f t="shared" si="249"/>
        <v>48660</v>
      </c>
      <c r="B6590" s="2" t="str">
        <f>"76230"</f>
        <v>76230</v>
      </c>
      <c r="C6590" s="1">
        <v>9.9922950977559405E-4</v>
      </c>
      <c r="D6590" s="1">
        <v>1.1904761904761899E-4</v>
      </c>
      <c r="E6590" s="1">
        <v>0</v>
      </c>
      <c r="F6590" s="1">
        <v>8.8682432432432405E-4</v>
      </c>
    </row>
    <row r="6591" spans="1:6" x14ac:dyDescent="0.25">
      <c r="A6591" s="2" t="str">
        <f t="shared" ref="A6591:A6637" si="250">"47380"</f>
        <v>47380</v>
      </c>
      <c r="B6591" s="2" t="str">
        <f>"76799"</f>
        <v>76799</v>
      </c>
      <c r="C6591" s="1">
        <v>0</v>
      </c>
      <c r="D6591" s="1">
        <v>1.6481252575195699E-4</v>
      </c>
      <c r="E6591" s="1">
        <v>0</v>
      </c>
      <c r="F6591" s="1">
        <v>1.36772711108679E-5</v>
      </c>
    </row>
    <row r="6592" spans="1:6" x14ac:dyDescent="0.25">
      <c r="A6592" s="2" t="str">
        <f t="shared" si="250"/>
        <v>47380</v>
      </c>
      <c r="B6592" s="2" t="str">
        <f>"76708"</f>
        <v>76708</v>
      </c>
      <c r="C6592" s="1">
        <v>9.5774000918695396E-2</v>
      </c>
      <c r="D6592" s="1">
        <v>5.3234445817882101E-2</v>
      </c>
      <c r="E6592" s="1">
        <v>9.3579038295421801E-2</v>
      </c>
      <c r="F6592" s="1">
        <v>9.2191645922805404E-2</v>
      </c>
    </row>
    <row r="6593" spans="1:6" x14ac:dyDescent="0.25">
      <c r="A6593" s="2" t="str">
        <f t="shared" si="250"/>
        <v>47380</v>
      </c>
      <c r="B6593" s="2" t="str">
        <f>"76707"</f>
        <v>76707</v>
      </c>
      <c r="C6593" s="1">
        <v>5.19062930638493E-2</v>
      </c>
      <c r="D6593" s="1">
        <v>2.6864441697568998E-2</v>
      </c>
      <c r="E6593" s="1">
        <v>5.2116325942988699E-2</v>
      </c>
      <c r="F6593" s="1">
        <v>4.9833137292447399E-2</v>
      </c>
    </row>
    <row r="6594" spans="1:6" x14ac:dyDescent="0.25">
      <c r="A6594" s="2" t="str">
        <f t="shared" si="250"/>
        <v>47380</v>
      </c>
      <c r="B6594" s="2" t="str">
        <f>"76654"</f>
        <v>76654</v>
      </c>
      <c r="C6594" s="1">
        <v>0</v>
      </c>
      <c r="D6594" s="1">
        <v>1.6481252575195699E-4</v>
      </c>
      <c r="E6594" s="1">
        <v>0</v>
      </c>
      <c r="F6594" s="1">
        <v>1.36772711108679E-5</v>
      </c>
    </row>
    <row r="6595" spans="1:6" x14ac:dyDescent="0.25">
      <c r="A6595" s="2" t="str">
        <f t="shared" si="250"/>
        <v>47380</v>
      </c>
      <c r="B6595" s="2" t="str">
        <f>"76684"</f>
        <v>76684</v>
      </c>
      <c r="C6595" s="1">
        <v>0</v>
      </c>
      <c r="D6595" s="1">
        <v>8.2406262875978496E-5</v>
      </c>
      <c r="E6595" s="1">
        <v>0</v>
      </c>
      <c r="F6595" s="1">
        <v>6.8386355554339701E-6</v>
      </c>
    </row>
    <row r="6596" spans="1:6" x14ac:dyDescent="0.25">
      <c r="A6596" s="2" t="str">
        <f t="shared" si="250"/>
        <v>47380</v>
      </c>
      <c r="B6596" s="2" t="str">
        <f>"76704"</f>
        <v>76704</v>
      </c>
      <c r="C6596" s="1">
        <v>3.0018373909049101E-2</v>
      </c>
      <c r="D6596" s="1">
        <v>3.11495673671199E-2</v>
      </c>
      <c r="E6596" s="1">
        <v>6.4209617045781694E-2</v>
      </c>
      <c r="F6596" s="1">
        <v>3.09243099816724E-2</v>
      </c>
    </row>
    <row r="6597" spans="1:6" x14ac:dyDescent="0.25">
      <c r="A6597" s="2" t="str">
        <f t="shared" si="250"/>
        <v>47380</v>
      </c>
      <c r="B6597" s="2" t="str">
        <f>"76703"</f>
        <v>76703</v>
      </c>
      <c r="C6597" s="1">
        <v>9.9984688409125704E-3</v>
      </c>
      <c r="D6597" s="1">
        <v>2.95014421096003E-2</v>
      </c>
      <c r="E6597" s="1">
        <v>5.7587100489490299E-4</v>
      </c>
      <c r="F6597" s="1">
        <v>1.1393166835353E-2</v>
      </c>
    </row>
    <row r="6598" spans="1:6" x14ac:dyDescent="0.25">
      <c r="A6598" s="2" t="str">
        <f t="shared" si="250"/>
        <v>47380</v>
      </c>
      <c r="B6598" s="2" t="str">
        <f>"76689"</f>
        <v>76689</v>
      </c>
      <c r="C6598" s="1">
        <v>3.5982238554585801E-3</v>
      </c>
      <c r="D6598" s="1">
        <v>8.2406262875978496E-5</v>
      </c>
      <c r="E6598" s="1">
        <v>2.8793550244745101E-4</v>
      </c>
      <c r="F6598" s="1">
        <v>3.22783598216483E-3</v>
      </c>
    </row>
    <row r="6599" spans="1:6" x14ac:dyDescent="0.25">
      <c r="A6599" s="2" t="str">
        <f t="shared" si="250"/>
        <v>47380</v>
      </c>
      <c r="B6599" s="2" t="str">
        <f>"76705"</f>
        <v>76705</v>
      </c>
      <c r="C6599" s="1">
        <v>0.103904455672944</v>
      </c>
      <c r="D6599" s="1">
        <v>6.4276885043263204E-2</v>
      </c>
      <c r="E6599" s="1">
        <v>7.5439101641232298E-2</v>
      </c>
      <c r="F6599" s="1">
        <v>9.9939820007112101E-2</v>
      </c>
    </row>
    <row r="6600" spans="1:6" x14ac:dyDescent="0.25">
      <c r="A6600" s="2" t="str">
        <f t="shared" si="250"/>
        <v>47380</v>
      </c>
      <c r="B6600" s="2" t="str">
        <f>"76797"</f>
        <v>76797</v>
      </c>
      <c r="C6600" s="1">
        <v>0</v>
      </c>
      <c r="D6600" s="1">
        <v>8.2406262875978496E-5</v>
      </c>
      <c r="E6600" s="1">
        <v>0</v>
      </c>
      <c r="F6600" s="1">
        <v>6.8386355554339701E-6</v>
      </c>
    </row>
    <row r="6601" spans="1:6" x14ac:dyDescent="0.25">
      <c r="A6601" s="2" t="str">
        <f t="shared" si="250"/>
        <v>47380</v>
      </c>
      <c r="B6601" s="2" t="str">
        <f>"76655"</f>
        <v>76655</v>
      </c>
      <c r="C6601" s="1">
        <v>3.5392742305925498E-2</v>
      </c>
      <c r="D6601" s="1">
        <v>1.8788627935723098E-2</v>
      </c>
      <c r="E6601" s="1">
        <v>3.1672905269219602E-3</v>
      </c>
      <c r="F6601" s="1">
        <v>3.3249446070520002E-2</v>
      </c>
    </row>
    <row r="6602" spans="1:6" x14ac:dyDescent="0.25">
      <c r="A6602" s="2" t="str">
        <f t="shared" si="250"/>
        <v>47380</v>
      </c>
      <c r="B6602" s="2" t="str">
        <f>"76680"</f>
        <v>76680</v>
      </c>
      <c r="C6602" s="1">
        <v>9.6463022508038495E-4</v>
      </c>
      <c r="D6602" s="1">
        <v>9.0646889163576404E-4</v>
      </c>
      <c r="E6602" s="1">
        <v>2.8793550244745101E-4</v>
      </c>
      <c r="F6602" s="1">
        <v>9.4373170664988895E-4</v>
      </c>
    </row>
    <row r="6603" spans="1:6" x14ac:dyDescent="0.25">
      <c r="A6603" s="2" t="str">
        <f t="shared" si="250"/>
        <v>47380</v>
      </c>
      <c r="B6603" s="2" t="str">
        <f>"76633"</f>
        <v>76633</v>
      </c>
      <c r="C6603" s="1">
        <v>1.4408207012708601E-2</v>
      </c>
      <c r="D6603" s="1">
        <v>2.8018129377832702E-3</v>
      </c>
      <c r="E6603" s="1">
        <v>2.5914195220270598E-3</v>
      </c>
      <c r="F6603" s="1">
        <v>1.3164373444210399E-2</v>
      </c>
    </row>
    <row r="6604" spans="1:6" x14ac:dyDescent="0.25">
      <c r="A6604" s="2" t="str">
        <f t="shared" si="250"/>
        <v>47380</v>
      </c>
      <c r="B6604" s="2" t="str">
        <f>"76640"</f>
        <v>76640</v>
      </c>
      <c r="C6604" s="1">
        <v>9.4166283876894793E-3</v>
      </c>
      <c r="D6604" s="1">
        <v>6.6749072929542597E-3</v>
      </c>
      <c r="E6604" s="1">
        <v>5.7587100489490299E-3</v>
      </c>
      <c r="F6604" s="1">
        <v>9.1022239242826205E-3</v>
      </c>
    </row>
    <row r="6605" spans="1:6" x14ac:dyDescent="0.25">
      <c r="A6605" s="2" t="str">
        <f t="shared" si="250"/>
        <v>47380</v>
      </c>
      <c r="B6605" s="2" t="str">
        <f>"76524"</f>
        <v>76524</v>
      </c>
      <c r="C6605" s="1">
        <v>8.6204256622263008E-3</v>
      </c>
      <c r="D6605" s="1">
        <v>1.9777503090234799E-3</v>
      </c>
      <c r="E6605" s="1">
        <v>1.4396775122372499E-3</v>
      </c>
      <c r="F6605" s="1">
        <v>7.8986240665262393E-3</v>
      </c>
    </row>
    <row r="6606" spans="1:6" x14ac:dyDescent="0.25">
      <c r="A6606" s="2" t="str">
        <f t="shared" si="250"/>
        <v>47380</v>
      </c>
      <c r="B6606" s="2" t="str">
        <f>"76656"</f>
        <v>76656</v>
      </c>
      <c r="C6606" s="1">
        <v>7.9237482774460206E-3</v>
      </c>
      <c r="D6606" s="1">
        <v>5.6036258755665404E-3</v>
      </c>
      <c r="E6606" s="1">
        <v>5.7587100489490299E-3</v>
      </c>
      <c r="F6606" s="1">
        <v>7.6797877287523497E-3</v>
      </c>
    </row>
    <row r="6607" spans="1:6" x14ac:dyDescent="0.25">
      <c r="A6607" s="2" t="str">
        <f t="shared" si="250"/>
        <v>47380</v>
      </c>
      <c r="B6607" s="2" t="str">
        <f>"76673"</f>
        <v>76673</v>
      </c>
      <c r="C6607" s="1">
        <v>1.37804317868626E-4</v>
      </c>
      <c r="D6607" s="1">
        <v>0</v>
      </c>
      <c r="E6607" s="1">
        <v>0</v>
      </c>
      <c r="F6607" s="1">
        <v>1.2309543999781101E-4</v>
      </c>
    </row>
    <row r="6608" spans="1:6" x14ac:dyDescent="0.25">
      <c r="A6608" s="2" t="str">
        <f t="shared" si="250"/>
        <v>47380</v>
      </c>
      <c r="B6608" s="2" t="str">
        <f>"76702"</f>
        <v>76702</v>
      </c>
      <c r="C6608" s="1">
        <v>9.3706936150665995E-3</v>
      </c>
      <c r="D6608" s="1">
        <v>5.33168520807581E-2</v>
      </c>
      <c r="E6608" s="1">
        <v>2.8793550244745101E-4</v>
      </c>
      <c r="F6608" s="1">
        <v>1.28019257597724E-2</v>
      </c>
    </row>
    <row r="6609" spans="1:6" x14ac:dyDescent="0.25">
      <c r="A6609" s="2" t="str">
        <f t="shared" si="250"/>
        <v>47380</v>
      </c>
      <c r="B6609" s="2" t="str">
        <f>"76629"</f>
        <v>76629</v>
      </c>
      <c r="C6609" s="1">
        <v>7.7323533915173701E-4</v>
      </c>
      <c r="D6609" s="1">
        <v>0</v>
      </c>
      <c r="E6609" s="1">
        <v>5.7587100489490299E-4</v>
      </c>
      <c r="F6609" s="1">
        <v>7.0437946220969899E-4</v>
      </c>
    </row>
    <row r="6610" spans="1:6" x14ac:dyDescent="0.25">
      <c r="A6610" s="2" t="str">
        <f t="shared" si="250"/>
        <v>47380</v>
      </c>
      <c r="B6610" s="2" t="str">
        <f>"76706"</f>
        <v>76706</v>
      </c>
      <c r="C6610" s="1">
        <v>0.13311897106109299</v>
      </c>
      <c r="D6610" s="1">
        <v>8.9328388957560706E-2</v>
      </c>
      <c r="E6610" s="1">
        <v>0.19090123812265999</v>
      </c>
      <c r="F6610" s="1">
        <v>0.13085729135322899</v>
      </c>
    </row>
    <row r="6611" spans="1:6" x14ac:dyDescent="0.25">
      <c r="A6611" s="2" t="str">
        <f t="shared" si="250"/>
        <v>47380</v>
      </c>
      <c r="B6611" s="2" t="str">
        <f>"76710"</f>
        <v>76710</v>
      </c>
      <c r="C6611" s="1">
        <v>9.3982544786403305E-2</v>
      </c>
      <c r="D6611" s="1">
        <v>0.18871034198598999</v>
      </c>
      <c r="E6611" s="1">
        <v>0.26634033976389199</v>
      </c>
      <c r="F6611" s="1">
        <v>0.10593730338922699</v>
      </c>
    </row>
    <row r="6612" spans="1:6" x14ac:dyDescent="0.25">
      <c r="A6612" s="2" t="str">
        <f t="shared" si="250"/>
        <v>47380</v>
      </c>
      <c r="B6612" s="2" t="str">
        <f>"76664"</f>
        <v>76664</v>
      </c>
      <c r="C6612" s="1">
        <v>1.1529627928341699E-2</v>
      </c>
      <c r="D6612" s="1">
        <v>1.1289658014009E-2</v>
      </c>
      <c r="E6612" s="1">
        <v>2.5914195220270598E-3</v>
      </c>
      <c r="F6612" s="1">
        <v>1.12974259375769E-2</v>
      </c>
    </row>
    <row r="6613" spans="1:6" x14ac:dyDescent="0.25">
      <c r="A6613" s="2" t="str">
        <f t="shared" si="250"/>
        <v>47380</v>
      </c>
      <c r="B6613" s="2" t="str">
        <f>"76691"</f>
        <v>76691</v>
      </c>
      <c r="C6613" s="1">
        <v>2.2607563925891899E-2</v>
      </c>
      <c r="D6613" s="1">
        <v>1.93654717758549E-2</v>
      </c>
      <c r="E6613" s="1">
        <v>8.6380650734235506E-3</v>
      </c>
      <c r="F6613" s="1">
        <v>2.20067292173865E-2</v>
      </c>
    </row>
    <row r="6614" spans="1:6" x14ac:dyDescent="0.25">
      <c r="A6614" s="2" t="str">
        <f t="shared" si="250"/>
        <v>47380</v>
      </c>
      <c r="B6614" s="2" t="str">
        <f>"76579"</f>
        <v>76579</v>
      </c>
      <c r="C6614" s="1">
        <v>3.67478180983004E-4</v>
      </c>
      <c r="D6614" s="1">
        <v>0</v>
      </c>
      <c r="E6614" s="1">
        <v>0</v>
      </c>
      <c r="F6614" s="1">
        <v>3.2825450666083101E-4</v>
      </c>
    </row>
    <row r="6615" spans="1:6" x14ac:dyDescent="0.25">
      <c r="A6615" s="2" t="str">
        <f t="shared" si="250"/>
        <v>47380</v>
      </c>
      <c r="B6615" s="2" t="str">
        <f>"76519"</f>
        <v>76519</v>
      </c>
      <c r="C6615" s="1">
        <v>1.1483693155718801E-4</v>
      </c>
      <c r="D6615" s="1">
        <v>1.6481252575195699E-4</v>
      </c>
      <c r="E6615" s="1">
        <v>5.7587100489490299E-4</v>
      </c>
      <c r="F6615" s="1">
        <v>1.2993407555324501E-4</v>
      </c>
    </row>
    <row r="6616" spans="1:6" x14ac:dyDescent="0.25">
      <c r="A6616" s="2" t="str">
        <f t="shared" si="250"/>
        <v>47380</v>
      </c>
      <c r="B6616" s="2" t="str">
        <f>"76712"</f>
        <v>76712</v>
      </c>
      <c r="C6616" s="1">
        <v>9.00627775225845E-2</v>
      </c>
      <c r="D6616" s="1">
        <v>0.110424392253811</v>
      </c>
      <c r="E6616" s="1">
        <v>7.2271811114310303E-2</v>
      </c>
      <c r="F6616" s="1">
        <v>9.1329977842820806E-2</v>
      </c>
    </row>
    <row r="6617" spans="1:6" x14ac:dyDescent="0.25">
      <c r="A6617" s="2" t="str">
        <f t="shared" si="250"/>
        <v>47380</v>
      </c>
      <c r="B6617" s="2" t="str">
        <f>"76570"</f>
        <v>76570</v>
      </c>
      <c r="C6617" s="1">
        <v>7.2041035063543099E-3</v>
      </c>
      <c r="D6617" s="1">
        <v>2.9666254635352198E-3</v>
      </c>
      <c r="E6617" s="1">
        <v>3.7431615318168701E-3</v>
      </c>
      <c r="F6617" s="1">
        <v>6.7702491998796396E-3</v>
      </c>
    </row>
    <row r="6618" spans="1:6" x14ac:dyDescent="0.25">
      <c r="A6618" s="2" t="str">
        <f t="shared" si="250"/>
        <v>47380</v>
      </c>
      <c r="B6618" s="2" t="str">
        <f>"76642"</f>
        <v>76642</v>
      </c>
      <c r="C6618" s="1">
        <v>1.5311590874291799E-5</v>
      </c>
      <c r="D6618" s="1">
        <v>0</v>
      </c>
      <c r="E6618" s="1">
        <v>0</v>
      </c>
      <c r="F6618" s="1">
        <v>1.36772711108679E-5</v>
      </c>
    </row>
    <row r="6619" spans="1:6" x14ac:dyDescent="0.25">
      <c r="A6619" s="2" t="str">
        <f t="shared" si="250"/>
        <v>47380</v>
      </c>
      <c r="B6619" s="2" t="str">
        <f>"76643"</f>
        <v>76643</v>
      </c>
      <c r="C6619" s="1">
        <v>5.9516153728372302E-2</v>
      </c>
      <c r="D6619" s="1">
        <v>4.9031726411207198E-2</v>
      </c>
      <c r="E6619" s="1">
        <v>1.7852001151742E-2</v>
      </c>
      <c r="F6619" s="1">
        <v>5.7656536367863803E-2</v>
      </c>
    </row>
    <row r="6620" spans="1:6" x14ac:dyDescent="0.25">
      <c r="A6620" s="2" t="str">
        <f t="shared" si="250"/>
        <v>47380</v>
      </c>
      <c r="B6620" s="2" t="str">
        <f>"76638"</f>
        <v>76638</v>
      </c>
      <c r="C6620" s="1">
        <v>9.3171030470065794E-3</v>
      </c>
      <c r="D6620" s="1">
        <v>2.88421920065925E-3</v>
      </c>
      <c r="E6620" s="1">
        <v>2.5914195220270598E-3</v>
      </c>
      <c r="F6620" s="1">
        <v>8.6235194354022399E-3</v>
      </c>
    </row>
    <row r="6621" spans="1:6" x14ac:dyDescent="0.25">
      <c r="A6621" s="2" t="str">
        <f t="shared" si="250"/>
        <v>47380</v>
      </c>
      <c r="B6621" s="2" t="str">
        <f>"76632"</f>
        <v>76632</v>
      </c>
      <c r="C6621" s="1">
        <v>5.0681365793905902E-3</v>
      </c>
      <c r="D6621" s="1">
        <v>1.73053152039555E-3</v>
      </c>
      <c r="E6621" s="1">
        <v>0</v>
      </c>
      <c r="F6621" s="1">
        <v>4.6707880843614002E-3</v>
      </c>
    </row>
    <row r="6622" spans="1:6" x14ac:dyDescent="0.25">
      <c r="A6622" s="2" t="str">
        <f t="shared" si="250"/>
        <v>47380</v>
      </c>
      <c r="B6622" s="2" t="str">
        <f>"76624"</f>
        <v>76624</v>
      </c>
      <c r="C6622" s="1">
        <v>7.29597305160006E-3</v>
      </c>
      <c r="D6622" s="1">
        <v>1.4009064688916301E-3</v>
      </c>
      <c r="E6622" s="1">
        <v>0</v>
      </c>
      <c r="F6622" s="1">
        <v>6.6334764887709596E-3</v>
      </c>
    </row>
    <row r="6623" spans="1:6" x14ac:dyDescent="0.25">
      <c r="A6623" s="2" t="str">
        <f t="shared" si="250"/>
        <v>47380</v>
      </c>
      <c r="B6623" s="2" t="str">
        <f>"76716"</f>
        <v>76716</v>
      </c>
      <c r="C6623" s="1">
        <v>2.7560863573725298E-4</v>
      </c>
      <c r="D6623" s="1">
        <v>1.1536876802637E-3</v>
      </c>
      <c r="E6623" s="1">
        <v>2.8793550244745101E-4</v>
      </c>
      <c r="F6623" s="1">
        <v>3.48770413327132E-4</v>
      </c>
    </row>
    <row r="6624" spans="1:6" x14ac:dyDescent="0.25">
      <c r="A6624" s="2" t="str">
        <f t="shared" si="250"/>
        <v>47380</v>
      </c>
      <c r="B6624" s="2" t="str">
        <f>"76798"</f>
        <v>76798</v>
      </c>
      <c r="C6624" s="1">
        <v>3.9664676159853002E-2</v>
      </c>
      <c r="D6624" s="1">
        <v>1.3185002060156501E-3</v>
      </c>
      <c r="E6624" s="1">
        <v>1.7276130146847101E-3</v>
      </c>
      <c r="F6624" s="1">
        <v>3.5581420794922901E-2</v>
      </c>
    </row>
    <row r="6625" spans="1:6" x14ac:dyDescent="0.25">
      <c r="A6625" s="2" t="str">
        <f t="shared" si="250"/>
        <v>47380</v>
      </c>
      <c r="B6625" s="2" t="str">
        <f>"76714"</f>
        <v>76714</v>
      </c>
      <c r="C6625" s="1">
        <v>7.5409585055887301E-3</v>
      </c>
      <c r="D6625" s="1">
        <v>3.5517099299546703E-2</v>
      </c>
      <c r="E6625" s="1">
        <v>2.8793550244745101E-4</v>
      </c>
      <c r="F6625" s="1">
        <v>9.6903465820499402E-3</v>
      </c>
    </row>
    <row r="6626" spans="1:6" x14ac:dyDescent="0.25">
      <c r="A6626" s="2" t="str">
        <f t="shared" si="250"/>
        <v>47380</v>
      </c>
      <c r="B6626" s="2" t="str">
        <f>"76557"</f>
        <v>76557</v>
      </c>
      <c r="C6626" s="1">
        <v>1.05726534986985E-2</v>
      </c>
      <c r="D6626" s="1">
        <v>2.2249690976514202E-3</v>
      </c>
      <c r="E6626" s="1">
        <v>1.20932911027929E-2</v>
      </c>
      <c r="F6626" s="1">
        <v>9.9160215553792692E-3</v>
      </c>
    </row>
    <row r="6627" spans="1:6" x14ac:dyDescent="0.25">
      <c r="A6627" s="2" t="str">
        <f t="shared" si="250"/>
        <v>47380</v>
      </c>
      <c r="B6627" s="2" t="str">
        <f>"76661"</f>
        <v>76661</v>
      </c>
      <c r="C6627" s="1">
        <v>2.8571428571428501E-2</v>
      </c>
      <c r="D6627" s="1">
        <v>3.5929130613926601E-2</v>
      </c>
      <c r="E6627" s="1">
        <v>2.47624532104808E-2</v>
      </c>
      <c r="F6627" s="1">
        <v>2.9091555652816101E-2</v>
      </c>
    </row>
    <row r="6628" spans="1:6" x14ac:dyDescent="0.25">
      <c r="A6628" s="2" t="str">
        <f t="shared" si="250"/>
        <v>47380</v>
      </c>
      <c r="B6628" s="2" t="str">
        <f>"76657"</f>
        <v>76657</v>
      </c>
      <c r="C6628" s="1">
        <v>3.4052978104425001E-2</v>
      </c>
      <c r="D6628" s="1">
        <v>2.5545941491553301E-2</v>
      </c>
      <c r="E6628" s="1">
        <v>1.6700259141952199E-2</v>
      </c>
      <c r="F6628" s="1">
        <v>3.2934868834970002E-2</v>
      </c>
    </row>
    <row r="6629" spans="1:6" x14ac:dyDescent="0.25">
      <c r="A6629" s="2" t="str">
        <f t="shared" si="250"/>
        <v>47380</v>
      </c>
      <c r="B6629" s="2" t="str">
        <f>"76653"</f>
        <v>76653</v>
      </c>
      <c r="C6629" s="1">
        <v>1.0182207931403999E-3</v>
      </c>
      <c r="D6629" s="1">
        <v>4.1203131437989201E-4</v>
      </c>
      <c r="E6629" s="1">
        <v>2.8793550244745101E-4</v>
      </c>
      <c r="F6629" s="1">
        <v>9.5057034220532297E-4</v>
      </c>
    </row>
    <row r="6630" spans="1:6" x14ac:dyDescent="0.25">
      <c r="A6630" s="2" t="str">
        <f t="shared" si="250"/>
        <v>47380</v>
      </c>
      <c r="B6630" s="2" t="str">
        <f>"76685"</f>
        <v>76685</v>
      </c>
      <c r="C6630" s="1">
        <v>3.0623181748583599E-4</v>
      </c>
      <c r="D6630" s="1">
        <v>8.2406262875978496E-5</v>
      </c>
      <c r="E6630" s="1">
        <v>0</v>
      </c>
      <c r="F6630" s="1">
        <v>2.8038405777279301E-4</v>
      </c>
    </row>
    <row r="6631" spans="1:6" x14ac:dyDescent="0.25">
      <c r="A6631" s="2" t="str">
        <f t="shared" si="250"/>
        <v>47380</v>
      </c>
      <c r="B6631" s="2" t="str">
        <f>"76701"</f>
        <v>76701</v>
      </c>
      <c r="C6631" s="1">
        <v>8.4979329352319697E-3</v>
      </c>
      <c r="D6631" s="1">
        <v>8.7845076225793101E-2</v>
      </c>
      <c r="E6631" s="1">
        <v>4.6933486898934597E-2</v>
      </c>
      <c r="F6631" s="1">
        <v>1.5995568564160002E-2</v>
      </c>
    </row>
    <row r="6632" spans="1:6" x14ac:dyDescent="0.25">
      <c r="A6632" s="2" t="str">
        <f t="shared" si="250"/>
        <v>47380</v>
      </c>
      <c r="B6632" s="2" t="str">
        <f>"76621"</f>
        <v>76621</v>
      </c>
      <c r="C6632" s="1">
        <v>3.0623181748583599E-5</v>
      </c>
      <c r="D6632" s="1">
        <v>0</v>
      </c>
      <c r="E6632" s="1">
        <v>0</v>
      </c>
      <c r="F6632" s="1">
        <v>2.7354542221735901E-5</v>
      </c>
    </row>
    <row r="6633" spans="1:6" x14ac:dyDescent="0.25">
      <c r="A6633" s="2" t="str">
        <f t="shared" si="250"/>
        <v>47380</v>
      </c>
      <c r="B6633" s="2" t="str">
        <f>"76630"</f>
        <v>76630</v>
      </c>
      <c r="C6633" s="1">
        <v>5.4509263512478902E-3</v>
      </c>
      <c r="D6633" s="1">
        <v>1.4833127317676099E-3</v>
      </c>
      <c r="E6633" s="1">
        <v>2.8793550244745101E-4</v>
      </c>
      <c r="F6633" s="1">
        <v>4.9990425910222298E-3</v>
      </c>
    </row>
    <row r="6634" spans="1:6" x14ac:dyDescent="0.25">
      <c r="A6634" s="2" t="str">
        <f t="shared" si="250"/>
        <v>47380</v>
      </c>
      <c r="B6634" s="2" t="str">
        <f>"76711"</f>
        <v>76711</v>
      </c>
      <c r="C6634" s="1">
        <v>3.1113152656561002E-2</v>
      </c>
      <c r="D6634" s="1">
        <v>3.2220848784507601E-2</v>
      </c>
      <c r="E6634" s="1">
        <v>2.4186582205585901E-2</v>
      </c>
      <c r="F6634" s="1">
        <v>3.10405667861148E-2</v>
      </c>
    </row>
    <row r="6635" spans="1:6" x14ac:dyDescent="0.25">
      <c r="A6635" s="2" t="str">
        <f t="shared" si="250"/>
        <v>47380</v>
      </c>
      <c r="B6635" s="2" t="str">
        <f>"76561"</f>
        <v>76561</v>
      </c>
      <c r="C6635" s="1">
        <v>1.2249272699433399E-4</v>
      </c>
      <c r="D6635" s="1">
        <v>0</v>
      </c>
      <c r="E6635" s="1">
        <v>0</v>
      </c>
      <c r="F6635" s="1">
        <v>1.0941816888694301E-4</v>
      </c>
    </row>
    <row r="6636" spans="1:6" x14ac:dyDescent="0.25">
      <c r="A6636" s="2" t="str">
        <f t="shared" si="250"/>
        <v>47380</v>
      </c>
      <c r="B6636" s="2" t="str">
        <f>"76682"</f>
        <v>76682</v>
      </c>
      <c r="C6636" s="1">
        <v>1.0182207931403999E-2</v>
      </c>
      <c r="D6636" s="1">
        <v>3.2962505150391399E-3</v>
      </c>
      <c r="E6636" s="1">
        <v>8.6380650734235503E-4</v>
      </c>
      <c r="F6636" s="1">
        <v>9.3894466176108506E-3</v>
      </c>
    </row>
    <row r="6637" spans="1:6" x14ac:dyDescent="0.25">
      <c r="A6637" s="2" t="str">
        <f t="shared" si="250"/>
        <v>47380</v>
      </c>
      <c r="B6637" s="2" t="str">
        <f>"76622"</f>
        <v>76622</v>
      </c>
      <c r="C6637" s="1">
        <v>1.9139488592864699E-4</v>
      </c>
      <c r="D6637" s="1">
        <v>0</v>
      </c>
      <c r="E6637" s="1">
        <v>0</v>
      </c>
      <c r="F6637" s="1">
        <v>1.7096588888584899E-4</v>
      </c>
    </row>
    <row r="6638" spans="1:6" x14ac:dyDescent="0.25">
      <c r="A6638" s="2" t="str">
        <f t="shared" ref="A6638:A6669" si="251">"41700"</f>
        <v>41700</v>
      </c>
      <c r="B6638" s="2" t="str">
        <f>"78670"</f>
        <v>78670</v>
      </c>
      <c r="C6638" s="1">
        <v>9.2502573884118304E-7</v>
      </c>
      <c r="D6638" s="1">
        <v>1.00740442250541E-5</v>
      </c>
      <c r="E6638" s="1">
        <v>0</v>
      </c>
      <c r="F6638" s="1">
        <v>1.6542761383901199E-6</v>
      </c>
    </row>
    <row r="6639" spans="1:6" x14ac:dyDescent="0.25">
      <c r="A6639" s="2" t="str">
        <f t="shared" si="251"/>
        <v>41700</v>
      </c>
      <c r="B6639" s="2" t="str">
        <f>"78666"</f>
        <v>78666</v>
      </c>
      <c r="C6639" s="1">
        <v>1.94255405156648E-3</v>
      </c>
      <c r="D6639" s="1">
        <v>6.3466478617841095E-4</v>
      </c>
      <c r="E6639" s="1">
        <v>1.6043526785714201E-3</v>
      </c>
      <c r="F6639" s="1">
        <v>1.82714799485189E-3</v>
      </c>
    </row>
    <row r="6640" spans="1:6" x14ac:dyDescent="0.25">
      <c r="A6640" s="2" t="str">
        <f t="shared" si="251"/>
        <v>41700</v>
      </c>
      <c r="B6640" s="2" t="str">
        <f>"78298"</f>
        <v>78298</v>
      </c>
      <c r="C6640" s="1">
        <v>1.3320370639313E-4</v>
      </c>
      <c r="D6640" s="1">
        <v>5.4399838815292296E-4</v>
      </c>
      <c r="E6640" s="1">
        <v>6.9754464285714201E-5</v>
      </c>
      <c r="F6640" s="1">
        <v>1.6542761383901201E-4</v>
      </c>
    </row>
    <row r="6641" spans="1:6" x14ac:dyDescent="0.25">
      <c r="A6641" s="2" t="str">
        <f t="shared" si="251"/>
        <v>41700</v>
      </c>
      <c r="B6641" s="2" t="str">
        <f>"78293"</f>
        <v>78293</v>
      </c>
      <c r="C6641" s="1">
        <v>1.39678886565018E-4</v>
      </c>
      <c r="D6641" s="1">
        <v>4.7348007857754402E-4</v>
      </c>
      <c r="E6641" s="1">
        <v>6.9754464285714201E-5</v>
      </c>
      <c r="F6641" s="1">
        <v>1.6542761383901201E-4</v>
      </c>
    </row>
    <row r="6642" spans="1:6" x14ac:dyDescent="0.25">
      <c r="A6642" s="2" t="str">
        <f t="shared" si="251"/>
        <v>41700</v>
      </c>
      <c r="B6642" s="2" t="str">
        <f>"78292"</f>
        <v>78292</v>
      </c>
      <c r="C6642" s="1">
        <v>1.31353654915448E-4</v>
      </c>
      <c r="D6642" s="1">
        <v>5.54072432377978E-4</v>
      </c>
      <c r="E6642" s="1">
        <v>6.9754464285714201E-5</v>
      </c>
      <c r="F6642" s="1">
        <v>1.6460047576981701E-4</v>
      </c>
    </row>
    <row r="6643" spans="1:6" x14ac:dyDescent="0.25">
      <c r="A6643" s="2" t="str">
        <f t="shared" si="251"/>
        <v>41700</v>
      </c>
      <c r="B6643" s="2" t="str">
        <f>"78270"</f>
        <v>78270</v>
      </c>
      <c r="C6643" s="1">
        <v>1.28301069977272E-3</v>
      </c>
      <c r="D6643" s="1">
        <v>5.3996877046290203E-3</v>
      </c>
      <c r="E6643" s="1">
        <v>3.48772321428571E-5</v>
      </c>
      <c r="F6643" s="1">
        <v>1.59141364513129E-3</v>
      </c>
    </row>
    <row r="6644" spans="1:6" x14ac:dyDescent="0.25">
      <c r="A6644" s="2" t="str">
        <f t="shared" si="251"/>
        <v>41700</v>
      </c>
      <c r="B6644" s="2" t="str">
        <f>"78266"</f>
        <v>78266</v>
      </c>
      <c r="C6644" s="1">
        <v>2.9129060516108799E-3</v>
      </c>
      <c r="D6644" s="1">
        <v>4.3217649725482204E-3</v>
      </c>
      <c r="E6644" s="1">
        <v>4.0108816964285702E-3</v>
      </c>
      <c r="F6644" s="1">
        <v>3.0546208895373601E-3</v>
      </c>
    </row>
    <row r="6645" spans="1:6" x14ac:dyDescent="0.25">
      <c r="A6645" s="2" t="str">
        <f t="shared" si="251"/>
        <v>41700</v>
      </c>
      <c r="B6645" s="2" t="str">
        <f>"78264"</f>
        <v>78264</v>
      </c>
      <c r="C6645" s="1">
        <v>4.7231814225230798E-3</v>
      </c>
      <c r="D6645" s="1">
        <v>3.0826575328665598E-3</v>
      </c>
      <c r="E6645" s="1">
        <v>1.51018415178571E-2</v>
      </c>
      <c r="F6645" s="1">
        <v>4.8346220144451302E-3</v>
      </c>
    </row>
    <row r="6646" spans="1:6" x14ac:dyDescent="0.25">
      <c r="A6646" s="2" t="str">
        <f t="shared" si="251"/>
        <v>41700</v>
      </c>
      <c r="B6646" s="2" t="str">
        <f>"78252"</f>
        <v>78252</v>
      </c>
      <c r="C6646" s="1">
        <v>4.7194813195677102E-3</v>
      </c>
      <c r="D6646" s="1">
        <v>5.0370221125270703E-4</v>
      </c>
      <c r="E6646" s="1">
        <v>2.9994419642857101E-3</v>
      </c>
      <c r="F6646" s="1">
        <v>4.3325492064437299E-3</v>
      </c>
    </row>
    <row r="6647" spans="1:6" x14ac:dyDescent="0.25">
      <c r="A6647" s="2" t="str">
        <f t="shared" si="251"/>
        <v>41700</v>
      </c>
      <c r="B6647" s="2" t="str">
        <f>"78249"</f>
        <v>78249</v>
      </c>
      <c r="C6647" s="1">
        <v>2.3035915974361901E-2</v>
      </c>
      <c r="D6647" s="1">
        <v>1.8133279605097401E-2</v>
      </c>
      <c r="E6647" s="1">
        <v>2.0612444196428499E-2</v>
      </c>
      <c r="F6647" s="1">
        <v>2.2575906460610001E-2</v>
      </c>
    </row>
    <row r="6648" spans="1:6" x14ac:dyDescent="0.25">
      <c r="A6648" s="2" t="str">
        <f t="shared" si="251"/>
        <v>41700</v>
      </c>
      <c r="B6648" s="2" t="str">
        <f>"78242"</f>
        <v>78242</v>
      </c>
      <c r="C6648" s="1">
        <v>1.01540075352596E-2</v>
      </c>
      <c r="D6648" s="1">
        <v>1.9644386238855502E-3</v>
      </c>
      <c r="E6648" s="1">
        <v>2.9645647321428501E-3</v>
      </c>
      <c r="F6648" s="1">
        <v>9.3110932449288093E-3</v>
      </c>
    </row>
    <row r="6649" spans="1:6" x14ac:dyDescent="0.25">
      <c r="A6649" s="2" t="str">
        <f t="shared" si="251"/>
        <v>41700</v>
      </c>
      <c r="B6649" s="2" t="str">
        <f>"78205"</f>
        <v>78205</v>
      </c>
      <c r="C6649" s="1">
        <v>1.3755132736568299E-3</v>
      </c>
      <c r="D6649" s="1">
        <v>2.5870145569938999E-2</v>
      </c>
      <c r="E6649" s="1">
        <v>9.5912388392857106E-3</v>
      </c>
      <c r="F6649" s="1">
        <v>3.5815078396146099E-3</v>
      </c>
    </row>
    <row r="6650" spans="1:6" x14ac:dyDescent="0.25">
      <c r="A6650" s="2" t="str">
        <f t="shared" si="251"/>
        <v>41700</v>
      </c>
      <c r="B6650" s="2" t="str">
        <f>"78236"</f>
        <v>78236</v>
      </c>
      <c r="C6650" s="1">
        <v>9.6267428641201892E-3</v>
      </c>
      <c r="D6650" s="1">
        <v>9.1573062005742192E-3</v>
      </c>
      <c r="E6650" s="1">
        <v>2.0577566964285702E-3</v>
      </c>
      <c r="F6650" s="1">
        <v>9.4086955370938294E-3</v>
      </c>
    </row>
    <row r="6651" spans="1:6" x14ac:dyDescent="0.25">
      <c r="A6651" s="2" t="str">
        <f t="shared" si="251"/>
        <v>41700</v>
      </c>
      <c r="B6651" s="2" t="str">
        <f>"78223"</f>
        <v>78223</v>
      </c>
      <c r="C6651" s="1">
        <v>2.0792728557672099E-2</v>
      </c>
      <c r="D6651" s="1">
        <v>1.21795194680904E-2</v>
      </c>
      <c r="E6651" s="1">
        <v>2.9261997767857099E-2</v>
      </c>
      <c r="F6651" s="1">
        <v>2.0286388285077998E-2</v>
      </c>
    </row>
    <row r="6652" spans="1:6" x14ac:dyDescent="0.25">
      <c r="A6652" s="2" t="str">
        <f t="shared" si="251"/>
        <v>41700</v>
      </c>
      <c r="B6652" s="2" t="str">
        <f>"78222"</f>
        <v>78222</v>
      </c>
      <c r="C6652" s="1">
        <v>8.5500129041090507E-3</v>
      </c>
      <c r="D6652" s="1">
        <v>4.8254671838009302E-3</v>
      </c>
      <c r="E6652" s="1">
        <v>5.8942522321428501E-3</v>
      </c>
      <c r="F6652" s="1">
        <v>8.1812226424083593E-3</v>
      </c>
    </row>
    <row r="6653" spans="1:6" x14ac:dyDescent="0.25">
      <c r="A6653" s="2" t="str">
        <f t="shared" si="251"/>
        <v>41700</v>
      </c>
      <c r="B6653" s="2" t="str">
        <f>"78225"</f>
        <v>78225</v>
      </c>
      <c r="C6653" s="1">
        <v>4.2948945054396099E-3</v>
      </c>
      <c r="D6653" s="1">
        <v>2.5588072331637502E-3</v>
      </c>
      <c r="E6653" s="1">
        <v>8.9634486607142808E-3</v>
      </c>
      <c r="F6653" s="1">
        <v>4.2630696086313497E-3</v>
      </c>
    </row>
    <row r="6654" spans="1:6" x14ac:dyDescent="0.25">
      <c r="A6654" s="2" t="str">
        <f t="shared" si="251"/>
        <v>41700</v>
      </c>
      <c r="B6654" s="2" t="str">
        <f>"78156"</f>
        <v>78156</v>
      </c>
      <c r="C6654" s="1">
        <v>1.66782140713065E-3</v>
      </c>
      <c r="D6654" s="1">
        <v>3.65687805369465E-3</v>
      </c>
      <c r="E6654" s="1">
        <v>3.48772321428571E-5</v>
      </c>
      <c r="F6654" s="1">
        <v>1.7924081959457001E-3</v>
      </c>
    </row>
    <row r="6655" spans="1:6" x14ac:dyDescent="0.25">
      <c r="A6655" s="2" t="str">
        <f t="shared" si="251"/>
        <v>41700</v>
      </c>
      <c r="B6655" s="2" t="str">
        <f>"78212"</f>
        <v>78212</v>
      </c>
      <c r="C6655" s="1">
        <v>1.3663555188423099E-2</v>
      </c>
      <c r="D6655" s="1">
        <v>2.48325190147584E-2</v>
      </c>
      <c r="E6655" s="1">
        <v>6.1697823660714197E-2</v>
      </c>
      <c r="F6655" s="1">
        <v>1.5719759005052101E-2</v>
      </c>
    </row>
    <row r="6656" spans="1:6" x14ac:dyDescent="0.25">
      <c r="A6656" s="2" t="str">
        <f t="shared" si="251"/>
        <v>41700</v>
      </c>
      <c r="B6656" s="2" t="str">
        <f>"78140"</f>
        <v>78140</v>
      </c>
      <c r="C6656" s="1">
        <v>1.6095447855836499E-4</v>
      </c>
      <c r="D6656" s="1">
        <v>1.00740442250541E-5</v>
      </c>
      <c r="E6656" s="1">
        <v>2.0926339285714201E-4</v>
      </c>
      <c r="F6656" s="1">
        <v>1.4971199052430601E-4</v>
      </c>
    </row>
    <row r="6657" spans="1:6" x14ac:dyDescent="0.25">
      <c r="A6657" s="2" t="str">
        <f t="shared" si="251"/>
        <v>41700</v>
      </c>
      <c r="B6657" s="2" t="str">
        <f>"78132"</f>
        <v>78132</v>
      </c>
      <c r="C6657" s="1">
        <v>1.5159321808129299E-2</v>
      </c>
      <c r="D6657" s="1">
        <v>7.3238301516143599E-3</v>
      </c>
      <c r="E6657" s="1">
        <v>8.0915178571428492E-3</v>
      </c>
      <c r="F6657" s="1">
        <v>1.43483640863267E-2</v>
      </c>
    </row>
    <row r="6658" spans="1:6" x14ac:dyDescent="0.25">
      <c r="A6658" s="2" t="str">
        <f t="shared" si="251"/>
        <v>41700</v>
      </c>
      <c r="B6658" s="2" t="str">
        <f>"78059"</f>
        <v>78059</v>
      </c>
      <c r="C6658" s="1">
        <v>1.67429658730254E-3</v>
      </c>
      <c r="D6658" s="1">
        <v>3.8281368055205701E-4</v>
      </c>
      <c r="E6658" s="1">
        <v>9.4168526785714201E-4</v>
      </c>
      <c r="F6658" s="1">
        <v>1.55088387974074E-3</v>
      </c>
    </row>
    <row r="6659" spans="1:6" x14ac:dyDescent="0.25">
      <c r="A6659" s="2" t="str">
        <f t="shared" si="251"/>
        <v>41700</v>
      </c>
      <c r="B6659" s="2" t="str">
        <f>"78073"</f>
        <v>78073</v>
      </c>
      <c r="C6659" s="1">
        <v>2.7584267532244E-3</v>
      </c>
      <c r="D6659" s="1">
        <v>1.3096257492570299E-3</v>
      </c>
      <c r="E6659" s="1">
        <v>1.1335100446428501E-2</v>
      </c>
      <c r="F6659" s="1">
        <v>2.84287354382342E-3</v>
      </c>
    </row>
    <row r="6660" spans="1:6" x14ac:dyDescent="0.25">
      <c r="A6660" s="2" t="str">
        <f t="shared" si="251"/>
        <v>41700</v>
      </c>
      <c r="B6660" s="2" t="str">
        <f>"78006"</f>
        <v>78006</v>
      </c>
      <c r="C6660" s="1">
        <v>1.7255430132343399E-2</v>
      </c>
      <c r="D6660" s="1">
        <v>2.41474840074547E-2</v>
      </c>
      <c r="E6660" s="1">
        <v>1.36369977678571E-2</v>
      </c>
      <c r="F6660" s="1">
        <v>1.7735494479680501E-2</v>
      </c>
    </row>
    <row r="6661" spans="1:6" x14ac:dyDescent="0.25">
      <c r="A6661" s="2" t="str">
        <f t="shared" si="251"/>
        <v>41700</v>
      </c>
      <c r="B6661" s="2" t="str">
        <f>"78883"</f>
        <v>78883</v>
      </c>
      <c r="C6661" s="1">
        <v>1.11003088660941E-4</v>
      </c>
      <c r="D6661" s="1">
        <v>6.0444265350324801E-5</v>
      </c>
      <c r="E6661" s="1">
        <v>3.48772321428571E-5</v>
      </c>
      <c r="F6661" s="1">
        <v>1.0504653478777201E-4</v>
      </c>
    </row>
    <row r="6662" spans="1:6" x14ac:dyDescent="0.25">
      <c r="A6662" s="2" t="str">
        <f t="shared" si="251"/>
        <v>41700</v>
      </c>
      <c r="B6662" s="2" t="str">
        <f>"78638"</f>
        <v>78638</v>
      </c>
      <c r="C6662" s="1">
        <v>1.08228011444418E-3</v>
      </c>
      <c r="D6662" s="1">
        <v>4.3318390167732798E-4</v>
      </c>
      <c r="E6662" s="1">
        <v>3.48772321428571E-4</v>
      </c>
      <c r="F6662" s="1">
        <v>1.01158985862556E-3</v>
      </c>
    </row>
    <row r="6663" spans="1:6" x14ac:dyDescent="0.25">
      <c r="A6663" s="2" t="str">
        <f t="shared" si="251"/>
        <v>41700</v>
      </c>
      <c r="B6663" s="2" t="str">
        <f>"78283"</f>
        <v>78283</v>
      </c>
      <c r="C6663" s="1">
        <v>9.814523089104949E-4</v>
      </c>
      <c r="D6663" s="1">
        <v>2.7804362061149401E-3</v>
      </c>
      <c r="E6663" s="1">
        <v>3.48772321428571E-5</v>
      </c>
      <c r="F6663" s="1">
        <v>1.10671073658299E-3</v>
      </c>
    </row>
    <row r="6664" spans="1:6" x14ac:dyDescent="0.25">
      <c r="A6664" s="2" t="str">
        <f t="shared" si="251"/>
        <v>41700</v>
      </c>
      <c r="B6664" s="2" t="str">
        <f>"78238"</f>
        <v>78238</v>
      </c>
      <c r="C6664" s="1">
        <v>1.0111456351272899E-2</v>
      </c>
      <c r="D6664" s="1">
        <v>2.1407343978240002E-2</v>
      </c>
      <c r="E6664" s="1">
        <v>9.3470982142857106E-3</v>
      </c>
      <c r="F6664" s="1">
        <v>1.1020787633955E-2</v>
      </c>
    </row>
    <row r="6665" spans="1:6" x14ac:dyDescent="0.25">
      <c r="A6665" s="2" t="str">
        <f t="shared" si="251"/>
        <v>41700</v>
      </c>
      <c r="B6665" s="2" t="str">
        <f>"78211"</f>
        <v>78211</v>
      </c>
      <c r="C6665" s="1">
        <v>9.4639383340841404E-3</v>
      </c>
      <c r="D6665" s="1">
        <v>9.89271142900317E-3</v>
      </c>
      <c r="E6665" s="1">
        <v>1.7159598214285698E-2</v>
      </c>
      <c r="F6665" s="1">
        <v>9.6816510999282006E-3</v>
      </c>
    </row>
    <row r="6666" spans="1:6" x14ac:dyDescent="0.25">
      <c r="A6666" s="2" t="str">
        <f t="shared" si="251"/>
        <v>41700</v>
      </c>
      <c r="B6666" s="2" t="str">
        <f>"78203"</f>
        <v>78203</v>
      </c>
      <c r="C6666" s="1">
        <v>2.3819412775160399E-3</v>
      </c>
      <c r="D6666" s="1">
        <v>1.93421649121039E-3</v>
      </c>
      <c r="E6666" s="1">
        <v>6.2081473214285702E-3</v>
      </c>
      <c r="F6666" s="1">
        <v>2.4359216137794502E-3</v>
      </c>
    </row>
    <row r="6667" spans="1:6" x14ac:dyDescent="0.25">
      <c r="A6667" s="2" t="str">
        <f t="shared" si="251"/>
        <v>41700</v>
      </c>
      <c r="B6667" s="2" t="str">
        <f>"78202"</f>
        <v>78202</v>
      </c>
      <c r="C6667" s="1">
        <v>4.7749828638981801E-3</v>
      </c>
      <c r="D6667" s="1">
        <v>4.3016168840981197E-3</v>
      </c>
      <c r="E6667" s="1">
        <v>1.10560825892857E-2</v>
      </c>
      <c r="F6667" s="1">
        <v>4.8850774366660304E-3</v>
      </c>
    </row>
    <row r="6668" spans="1:6" x14ac:dyDescent="0.25">
      <c r="A6668" s="2" t="str">
        <f t="shared" si="251"/>
        <v>41700</v>
      </c>
      <c r="B6668" s="2" t="str">
        <f>"78233"</f>
        <v>78233</v>
      </c>
      <c r="C6668" s="1">
        <v>1.8743796546138801E-2</v>
      </c>
      <c r="D6668" s="1">
        <v>1.46577343474537E-2</v>
      </c>
      <c r="E6668" s="1">
        <v>1.5241350446428501E-2</v>
      </c>
      <c r="F6668" s="1">
        <v>1.8325243923016599E-2</v>
      </c>
    </row>
    <row r="6669" spans="1:6" x14ac:dyDescent="0.25">
      <c r="A6669" s="2" t="str">
        <f t="shared" si="251"/>
        <v>41700</v>
      </c>
      <c r="B6669" s="2" t="str">
        <f>"78227"</f>
        <v>78227</v>
      </c>
      <c r="C6669" s="1">
        <v>1.6637512938797502E-2</v>
      </c>
      <c r="D6669" s="1">
        <v>1.12023371782602E-2</v>
      </c>
      <c r="E6669" s="1">
        <v>9.6958705357142808E-3</v>
      </c>
      <c r="F6669" s="1">
        <v>1.60266272287235E-2</v>
      </c>
    </row>
    <row r="6670" spans="1:6" x14ac:dyDescent="0.25">
      <c r="A6670" s="2" t="str">
        <f t="shared" ref="A6670:A6701" si="252">"41700"</f>
        <v>41700</v>
      </c>
      <c r="B6670" s="2" t="str">
        <f>"78230"</f>
        <v>78230</v>
      </c>
      <c r="C6670" s="1">
        <v>1.9856602509964801E-2</v>
      </c>
      <c r="D6670" s="1">
        <v>2.1024530297687999E-2</v>
      </c>
      <c r="E6670" s="1">
        <v>1.27650669642857E-2</v>
      </c>
      <c r="F6670" s="1">
        <v>1.9784315477076601E-2</v>
      </c>
    </row>
    <row r="6671" spans="1:6" x14ac:dyDescent="0.25">
      <c r="A6671" s="2" t="str">
        <f t="shared" si="252"/>
        <v>41700</v>
      </c>
      <c r="B6671" s="2" t="str">
        <f>"78217"</f>
        <v>78217</v>
      </c>
      <c r="C6671" s="1">
        <v>1.54886309711567E-2</v>
      </c>
      <c r="D6671" s="1">
        <v>3.3929380949982303E-2</v>
      </c>
      <c r="E6671" s="1">
        <v>1.47181919642857E-2</v>
      </c>
      <c r="F6671" s="1">
        <v>1.6984453112851398E-2</v>
      </c>
    </row>
    <row r="6672" spans="1:6" x14ac:dyDescent="0.25">
      <c r="A6672" s="2" t="str">
        <f t="shared" si="252"/>
        <v>41700</v>
      </c>
      <c r="B6672" s="2" t="str">
        <f>"78131"</f>
        <v>78131</v>
      </c>
      <c r="C6672" s="1">
        <v>1.2552599276074801E-3</v>
      </c>
      <c r="D6672" s="1">
        <v>6.7999798519115398E-3</v>
      </c>
      <c r="E6672" s="1">
        <v>3.48772321428571E-5</v>
      </c>
      <c r="F6672" s="1">
        <v>1.68157169467356E-3</v>
      </c>
    </row>
    <row r="6673" spans="1:6" x14ac:dyDescent="0.25">
      <c r="A6673" s="2" t="str">
        <f t="shared" si="252"/>
        <v>41700</v>
      </c>
      <c r="B6673" s="2" t="str">
        <f>"78008"</f>
        <v>78008</v>
      </c>
      <c r="C6673" s="1">
        <v>3.9776106770170802E-5</v>
      </c>
      <c r="D6673" s="1">
        <v>4.0296176900216503E-5</v>
      </c>
      <c r="E6673" s="1">
        <v>0</v>
      </c>
      <c r="F6673" s="1">
        <v>3.8875489252167903E-5</v>
      </c>
    </row>
    <row r="6674" spans="1:6" x14ac:dyDescent="0.25">
      <c r="A6674" s="2" t="str">
        <f t="shared" si="252"/>
        <v>41700</v>
      </c>
      <c r="B6674" s="2" t="str">
        <f>"78108"</f>
        <v>78108</v>
      </c>
      <c r="C6674" s="1">
        <v>1.46662830893269E-2</v>
      </c>
      <c r="D6674" s="1">
        <v>4.6542084319750104E-3</v>
      </c>
      <c r="E6674" s="1">
        <v>2.7553013392857101E-3</v>
      </c>
      <c r="F6674" s="1">
        <v>1.35617557825222E-2</v>
      </c>
    </row>
    <row r="6675" spans="1:6" x14ac:dyDescent="0.25">
      <c r="A6675" s="2" t="str">
        <f t="shared" si="252"/>
        <v>41700</v>
      </c>
      <c r="B6675" s="2" t="str">
        <f>"78112"</f>
        <v>78112</v>
      </c>
      <c r="C6675" s="1">
        <v>3.07663560738577E-3</v>
      </c>
      <c r="D6675" s="1">
        <v>9.7718228983025208E-4</v>
      </c>
      <c r="E6675" s="1">
        <v>6.6615513392857097E-3</v>
      </c>
      <c r="F6675" s="1">
        <v>2.9892769820709501E-3</v>
      </c>
    </row>
    <row r="6676" spans="1:6" x14ac:dyDescent="0.25">
      <c r="A6676" s="2" t="str">
        <f t="shared" si="252"/>
        <v>41700</v>
      </c>
      <c r="B6676" s="2" t="str">
        <f>"78052"</f>
        <v>78052</v>
      </c>
      <c r="C6676" s="1">
        <v>1.7270230544164801E-3</v>
      </c>
      <c r="D6676" s="1">
        <v>8.2607162645444003E-4</v>
      </c>
      <c r="E6676" s="1">
        <v>1.220703125E-3</v>
      </c>
      <c r="F6676" s="1">
        <v>1.6410419292829999E-3</v>
      </c>
    </row>
    <row r="6677" spans="1:6" x14ac:dyDescent="0.25">
      <c r="A6677" s="2" t="str">
        <f t="shared" si="252"/>
        <v>41700</v>
      </c>
      <c r="B6677" s="2" t="str">
        <f>"78886"</f>
        <v>78886</v>
      </c>
      <c r="C6677" s="1">
        <v>1.7297981316330099E-4</v>
      </c>
      <c r="D6677" s="1">
        <v>7.0518309575378995E-5</v>
      </c>
      <c r="E6677" s="1">
        <v>3.48772321428571E-5</v>
      </c>
      <c r="F6677" s="1">
        <v>1.6129192349303699E-4</v>
      </c>
    </row>
    <row r="6678" spans="1:6" x14ac:dyDescent="0.25">
      <c r="A6678" s="2" t="str">
        <f t="shared" si="252"/>
        <v>41700</v>
      </c>
      <c r="B6678" s="2" t="str">
        <f>"78676"</f>
        <v>78676</v>
      </c>
      <c r="C6678" s="1">
        <v>2.5900720687553098E-5</v>
      </c>
      <c r="D6678" s="1">
        <v>0</v>
      </c>
      <c r="E6678" s="1">
        <v>0</v>
      </c>
      <c r="F6678" s="1">
        <v>2.3159865937461699E-5</v>
      </c>
    </row>
    <row r="6679" spans="1:6" x14ac:dyDescent="0.25">
      <c r="A6679" s="2" t="str">
        <f t="shared" si="252"/>
        <v>41700</v>
      </c>
      <c r="B6679" s="2" t="str">
        <f>"78624"</f>
        <v>78624</v>
      </c>
      <c r="C6679" s="1">
        <v>2.3403151192681899E-4</v>
      </c>
      <c r="D6679" s="1">
        <v>6.0444265350324801E-5</v>
      </c>
      <c r="E6679" s="1">
        <v>1.3950892857142799E-4</v>
      </c>
      <c r="F6679" s="1">
        <v>2.17537312198301E-4</v>
      </c>
    </row>
    <row r="6680" spans="1:6" x14ac:dyDescent="0.25">
      <c r="A6680" s="2" t="str">
        <f t="shared" si="252"/>
        <v>41700</v>
      </c>
      <c r="B6680" s="2" t="str">
        <f>"78280"</f>
        <v>78280</v>
      </c>
      <c r="C6680" s="1">
        <v>4.1256147952316698E-4</v>
      </c>
      <c r="D6680" s="1">
        <v>1.6219211202337101E-3</v>
      </c>
      <c r="E6680" s="1">
        <v>1.04631696428571E-4</v>
      </c>
      <c r="F6680" s="1">
        <v>5.0455422220898802E-4</v>
      </c>
    </row>
    <row r="6681" spans="1:6" x14ac:dyDescent="0.25">
      <c r="A6681" s="2" t="str">
        <f t="shared" si="252"/>
        <v>41700</v>
      </c>
      <c r="B6681" s="2" t="str">
        <f>"78268"</f>
        <v>78268</v>
      </c>
      <c r="C6681" s="1">
        <v>1.1757077140671401E-3</v>
      </c>
      <c r="D6681" s="1">
        <v>2.7099178965395601E-3</v>
      </c>
      <c r="E6681" s="1">
        <v>3.48772321428571E-5</v>
      </c>
      <c r="F6681" s="1">
        <v>1.27461976462959E-3</v>
      </c>
    </row>
    <row r="6682" spans="1:6" x14ac:dyDescent="0.25">
      <c r="A6682" s="2" t="str">
        <f t="shared" si="252"/>
        <v>41700</v>
      </c>
      <c r="B6682" s="2" t="str">
        <f>"78279"</f>
        <v>78279</v>
      </c>
      <c r="C6682" s="1">
        <v>3.5520988371501397E-4</v>
      </c>
      <c r="D6682" s="1">
        <v>2.9617690021659102E-3</v>
      </c>
      <c r="E6682" s="1">
        <v>3.48772321428571E-5</v>
      </c>
      <c r="F6682" s="1">
        <v>5.6162674898344695E-4</v>
      </c>
    </row>
    <row r="6683" spans="1:6" x14ac:dyDescent="0.25">
      <c r="A6683" s="2" t="str">
        <f t="shared" si="252"/>
        <v>41700</v>
      </c>
      <c r="B6683" s="2" t="str">
        <f>"78278"</f>
        <v>78278</v>
      </c>
      <c r="C6683" s="1">
        <v>1.0674797026227201E-3</v>
      </c>
      <c r="D6683" s="1">
        <v>6.1250188888329199E-3</v>
      </c>
      <c r="E6683" s="1">
        <v>3.48772321428571E-5</v>
      </c>
      <c r="F6683" s="1">
        <v>1.45824441599089E-3</v>
      </c>
    </row>
    <row r="6684" spans="1:6" x14ac:dyDescent="0.25">
      <c r="A6684" s="2" t="str">
        <f t="shared" si="252"/>
        <v>41700</v>
      </c>
      <c r="B6684" s="2" t="str">
        <f>"78259"</f>
        <v>78259</v>
      </c>
      <c r="C6684" s="1">
        <v>1.1670124721220299E-2</v>
      </c>
      <c r="D6684" s="1">
        <v>1.02150808442049E-2</v>
      </c>
      <c r="E6684" s="1">
        <v>3.4877232142857101E-3</v>
      </c>
      <c r="F6684" s="1">
        <v>1.13566056900482E-2</v>
      </c>
    </row>
    <row r="6685" spans="1:6" x14ac:dyDescent="0.25">
      <c r="A6685" s="2" t="str">
        <f t="shared" si="252"/>
        <v>41700</v>
      </c>
      <c r="B6685" s="2" t="str">
        <f>"78258"</f>
        <v>78258</v>
      </c>
      <c r="C6685" s="1">
        <v>1.8920476462257502E-2</v>
      </c>
      <c r="D6685" s="1">
        <v>1.96343121946305E-2</v>
      </c>
      <c r="E6685" s="1">
        <v>1.48577008928571E-2</v>
      </c>
      <c r="F6685" s="1">
        <v>1.8882734981653999E-2</v>
      </c>
    </row>
    <row r="6686" spans="1:6" x14ac:dyDescent="0.25">
      <c r="A6686" s="2" t="str">
        <f t="shared" si="252"/>
        <v>41700</v>
      </c>
      <c r="B6686" s="2" t="str">
        <f>"78251"</f>
        <v>78251</v>
      </c>
      <c r="C6686" s="1">
        <v>2.18380076425626E-2</v>
      </c>
      <c r="D6686" s="1">
        <v>1.36805520576235E-2</v>
      </c>
      <c r="E6686" s="1">
        <v>9.8353794642857106E-3</v>
      </c>
      <c r="F6686" s="1">
        <v>2.0883581971036898E-2</v>
      </c>
    </row>
    <row r="6687" spans="1:6" x14ac:dyDescent="0.25">
      <c r="A6687" s="2" t="str">
        <f t="shared" si="252"/>
        <v>41700</v>
      </c>
      <c r="B6687" s="2" t="str">
        <f>"78247"</f>
        <v>78247</v>
      </c>
      <c r="C6687" s="1">
        <v>1.8480164210569101E-2</v>
      </c>
      <c r="D6687" s="1">
        <v>1.21996675565405E-2</v>
      </c>
      <c r="E6687" s="1">
        <v>5.7198660714285702E-3</v>
      </c>
      <c r="F6687" s="1">
        <v>1.7661879191522099E-2</v>
      </c>
    </row>
    <row r="6688" spans="1:6" x14ac:dyDescent="0.25">
      <c r="A6688" s="2" t="str">
        <f t="shared" si="252"/>
        <v>41700</v>
      </c>
      <c r="B6688" s="2" t="str">
        <f>"78244"</f>
        <v>78244</v>
      </c>
      <c r="C6688" s="1">
        <v>1.14693941358918E-2</v>
      </c>
      <c r="D6688" s="1">
        <v>2.7804362061149401E-3</v>
      </c>
      <c r="E6688" s="1">
        <v>5.1967075892857097E-3</v>
      </c>
      <c r="F6688" s="1">
        <v>1.06072185993574E-2</v>
      </c>
    </row>
    <row r="6689" spans="1:6" x14ac:dyDescent="0.25">
      <c r="A6689" s="2" t="str">
        <f t="shared" si="252"/>
        <v>41700</v>
      </c>
      <c r="B6689" s="2" t="str">
        <f>"78209"</f>
        <v>78209</v>
      </c>
      <c r="C6689" s="1">
        <v>2.1353294155409801E-2</v>
      </c>
      <c r="D6689" s="1">
        <v>3.1924646149196503E-2</v>
      </c>
      <c r="E6689" s="1">
        <v>4.3108258928571397E-2</v>
      </c>
      <c r="F6689" s="1">
        <v>2.2737198384103E-2</v>
      </c>
    </row>
    <row r="6690" spans="1:6" x14ac:dyDescent="0.25">
      <c r="A6690" s="2" t="str">
        <f t="shared" si="252"/>
        <v>41700</v>
      </c>
      <c r="B6690" s="2" t="str">
        <f>"78208"</f>
        <v>78208</v>
      </c>
      <c r="C6690" s="1">
        <v>2.24873757112291E-3</v>
      </c>
      <c r="D6690" s="1">
        <v>2.2666599506371799E-3</v>
      </c>
      <c r="E6690" s="1">
        <v>5.2315848214285702E-3</v>
      </c>
      <c r="F6690" s="1">
        <v>2.3209494221613398E-3</v>
      </c>
    </row>
    <row r="6691" spans="1:6" x14ac:dyDescent="0.25">
      <c r="A6691" s="2" t="str">
        <f t="shared" si="252"/>
        <v>41700</v>
      </c>
      <c r="B6691" s="2" t="str">
        <f>"78207"</f>
        <v>78207</v>
      </c>
      <c r="C6691" s="1">
        <v>1.68715444507243E-2</v>
      </c>
      <c r="D6691" s="1">
        <v>2.0178310582783399E-2</v>
      </c>
      <c r="E6691" s="1">
        <v>2.7692522321428499E-2</v>
      </c>
      <c r="F6691" s="1">
        <v>1.73996764235873E-2</v>
      </c>
    </row>
    <row r="6692" spans="1:6" x14ac:dyDescent="0.25">
      <c r="A6692" s="2" t="str">
        <f t="shared" si="252"/>
        <v>41700</v>
      </c>
      <c r="B6692" s="2" t="str">
        <f>"78161"</f>
        <v>78161</v>
      </c>
      <c r="C6692" s="1">
        <v>1.6557960725257099E-4</v>
      </c>
      <c r="D6692" s="1">
        <v>2.01480884501082E-5</v>
      </c>
      <c r="E6692" s="1">
        <v>2.44140625E-4</v>
      </c>
      <c r="F6692" s="1">
        <v>1.5550195700867099E-4</v>
      </c>
    </row>
    <row r="6693" spans="1:6" x14ac:dyDescent="0.25">
      <c r="A6693" s="2" t="str">
        <f t="shared" si="252"/>
        <v>41700</v>
      </c>
      <c r="B6693" s="2" t="str">
        <f>"78201"</f>
        <v>78201</v>
      </c>
      <c r="C6693" s="1">
        <v>1.7885372660494201E-2</v>
      </c>
      <c r="D6693" s="1">
        <v>2.1175640961063801E-2</v>
      </c>
      <c r="E6693" s="1">
        <v>4.1678292410714197E-2</v>
      </c>
      <c r="F6693" s="1">
        <v>1.8719788782022601E-2</v>
      </c>
    </row>
    <row r="6694" spans="1:6" x14ac:dyDescent="0.25">
      <c r="A6694" s="2" t="str">
        <f t="shared" si="252"/>
        <v>41700</v>
      </c>
      <c r="B6694" s="2" t="str">
        <f>"78152"</f>
        <v>78152</v>
      </c>
      <c r="C6694" s="1">
        <v>1.1202061697366699E-3</v>
      </c>
      <c r="D6694" s="1">
        <v>2.01480884501082E-4</v>
      </c>
      <c r="E6694" s="1">
        <v>2.8599330357142799E-3</v>
      </c>
      <c r="F6694" s="1">
        <v>1.0860322848531101E-3</v>
      </c>
    </row>
    <row r="6695" spans="1:6" x14ac:dyDescent="0.25">
      <c r="A6695" s="2" t="str">
        <f t="shared" si="252"/>
        <v>41700</v>
      </c>
      <c r="B6695" s="2" t="str">
        <f>"78027"</f>
        <v>78027</v>
      </c>
      <c r="C6695" s="1">
        <v>1.6742965873025399E-4</v>
      </c>
      <c r="D6695" s="1">
        <v>3.0222132675162401E-5</v>
      </c>
      <c r="E6695" s="1">
        <v>1.04631696428571E-4</v>
      </c>
      <c r="F6695" s="1">
        <v>1.5467481893947601E-4</v>
      </c>
    </row>
    <row r="6696" spans="1:6" x14ac:dyDescent="0.25">
      <c r="A6696" s="2" t="str">
        <f t="shared" si="252"/>
        <v>41700</v>
      </c>
      <c r="B6696" s="2" t="str">
        <f>"78012"</f>
        <v>78012</v>
      </c>
      <c r="C6696" s="1">
        <v>1.66504632991412E-5</v>
      </c>
      <c r="D6696" s="1">
        <v>2.01480884501082E-5</v>
      </c>
      <c r="E6696" s="1">
        <v>0</v>
      </c>
      <c r="F6696" s="1">
        <v>1.65427613839012E-5</v>
      </c>
    </row>
    <row r="6697" spans="1:6" x14ac:dyDescent="0.25">
      <c r="A6697" s="2" t="str">
        <f t="shared" si="252"/>
        <v>41700</v>
      </c>
      <c r="B6697" s="2" t="str">
        <f>"78015"</f>
        <v>78015</v>
      </c>
      <c r="C6697" s="1">
        <v>6.9117923206213202E-3</v>
      </c>
      <c r="D6697" s="1">
        <v>9.9733037828035999E-4</v>
      </c>
      <c r="E6697" s="1">
        <v>1.0463169642857099E-3</v>
      </c>
      <c r="F6697" s="1">
        <v>6.28707646395166E-3</v>
      </c>
    </row>
    <row r="6698" spans="1:6" x14ac:dyDescent="0.25">
      <c r="A6698" s="2" t="str">
        <f t="shared" si="252"/>
        <v>41700</v>
      </c>
      <c r="B6698" s="2" t="str">
        <f>"78123"</f>
        <v>78123</v>
      </c>
      <c r="C6698" s="1">
        <v>1.1553571478126301E-3</v>
      </c>
      <c r="D6698" s="1">
        <v>4.2310985745227402E-4</v>
      </c>
      <c r="E6698" s="1">
        <v>5.9291294642857095E-4</v>
      </c>
      <c r="F6698" s="1">
        <v>1.0818965945071401E-3</v>
      </c>
    </row>
    <row r="6699" spans="1:6" x14ac:dyDescent="0.25">
      <c r="A6699" s="2" t="str">
        <f t="shared" si="252"/>
        <v>41700</v>
      </c>
      <c r="B6699" s="2" t="str">
        <f>"78121"</f>
        <v>78121</v>
      </c>
      <c r="C6699" s="1">
        <v>5.28282199452199E-3</v>
      </c>
      <c r="D6699" s="1">
        <v>2.0148088450108199E-3</v>
      </c>
      <c r="E6699" s="1">
        <v>3.90625E-3</v>
      </c>
      <c r="F6699" s="1">
        <v>4.9818525907618597E-3</v>
      </c>
    </row>
    <row r="6700" spans="1:6" x14ac:dyDescent="0.25">
      <c r="A6700" s="2" t="str">
        <f t="shared" si="252"/>
        <v>41700</v>
      </c>
      <c r="B6700" s="2" t="str">
        <f>"78054"</f>
        <v>78054</v>
      </c>
      <c r="C6700" s="1">
        <v>9.2502573884118304E-7</v>
      </c>
      <c r="D6700" s="1">
        <v>1.00740442250541E-5</v>
      </c>
      <c r="E6700" s="1">
        <v>0</v>
      </c>
      <c r="F6700" s="1">
        <v>1.6542761383901199E-6</v>
      </c>
    </row>
    <row r="6701" spans="1:6" x14ac:dyDescent="0.25">
      <c r="A6701" s="2" t="str">
        <f t="shared" si="252"/>
        <v>41700</v>
      </c>
      <c r="B6701" s="2" t="str">
        <f>"78066"</f>
        <v>78066</v>
      </c>
      <c r="C6701" s="1">
        <v>2.5623212965900701E-4</v>
      </c>
      <c r="D6701" s="1">
        <v>1.00740442250541E-5</v>
      </c>
      <c r="E6701" s="1">
        <v>1.3950892857142799E-4</v>
      </c>
      <c r="F6701" s="1">
        <v>2.33252935513007E-4</v>
      </c>
    </row>
    <row r="6702" spans="1:6" x14ac:dyDescent="0.25">
      <c r="A6702" s="2" t="str">
        <f t="shared" ref="A6702:A6733" si="253">"41700"</f>
        <v>41700</v>
      </c>
      <c r="B6702" s="2" t="str">
        <f>"78074"</f>
        <v>78074</v>
      </c>
      <c r="C6702" s="1">
        <v>2.7750772165235399E-6</v>
      </c>
      <c r="D6702" s="1">
        <v>1.00740442250541E-5</v>
      </c>
      <c r="E6702" s="1">
        <v>0</v>
      </c>
      <c r="F6702" s="1">
        <v>3.3085522767802398E-6</v>
      </c>
    </row>
    <row r="6703" spans="1:6" x14ac:dyDescent="0.25">
      <c r="A6703" s="2" t="str">
        <f t="shared" si="253"/>
        <v>41700</v>
      </c>
      <c r="B6703" s="2" t="str">
        <f>"78109"</f>
        <v>78109</v>
      </c>
      <c r="C6703" s="1">
        <v>1.8084253194345101E-2</v>
      </c>
      <c r="D6703" s="1">
        <v>8.8047146526973197E-3</v>
      </c>
      <c r="E6703" s="1">
        <v>7.32421875E-3</v>
      </c>
      <c r="F6703" s="1">
        <v>1.70671669197709E-2</v>
      </c>
    </row>
    <row r="6704" spans="1:6" x14ac:dyDescent="0.25">
      <c r="A6704" s="2" t="str">
        <f t="shared" si="253"/>
        <v>41700</v>
      </c>
      <c r="B6704" s="2" t="str">
        <f>"78004"</f>
        <v>78004</v>
      </c>
      <c r="C6704" s="1">
        <v>2.3773161488218399E-4</v>
      </c>
      <c r="D6704" s="1">
        <v>1.00740442250541E-5</v>
      </c>
      <c r="E6704" s="1">
        <v>0</v>
      </c>
      <c r="F6704" s="1">
        <v>2.1340162185232601E-4</v>
      </c>
    </row>
    <row r="6705" spans="1:6" x14ac:dyDescent="0.25">
      <c r="A6705" s="2" t="str">
        <f t="shared" si="253"/>
        <v>41700</v>
      </c>
      <c r="B6705" s="2" t="str">
        <f>"78005"</f>
        <v>78005</v>
      </c>
      <c r="C6705" s="1">
        <v>8.2327290756865294E-5</v>
      </c>
      <c r="D6705" s="1">
        <v>0</v>
      </c>
      <c r="E6705" s="1">
        <v>0</v>
      </c>
      <c r="F6705" s="1">
        <v>7.3615288158360501E-5</v>
      </c>
    </row>
    <row r="6706" spans="1:6" x14ac:dyDescent="0.25">
      <c r="A6706" s="2" t="str">
        <f t="shared" si="253"/>
        <v>41700</v>
      </c>
      <c r="B6706" s="2" t="str">
        <f>"78002"</f>
        <v>78002</v>
      </c>
      <c r="C6706" s="1">
        <v>2.3615907112615399E-3</v>
      </c>
      <c r="D6706" s="1">
        <v>5.7422052082808602E-4</v>
      </c>
      <c r="E6706" s="1">
        <v>1.3916015625E-2</v>
      </c>
      <c r="F6706" s="1">
        <v>2.48885845020794E-3</v>
      </c>
    </row>
    <row r="6707" spans="1:6" x14ac:dyDescent="0.25">
      <c r="A6707" s="2" t="str">
        <f t="shared" si="253"/>
        <v>41700</v>
      </c>
      <c r="B6707" s="2" t="str">
        <f>"78850"</f>
        <v>78850</v>
      </c>
      <c r="C6707" s="1">
        <v>1.6650463299141199E-4</v>
      </c>
      <c r="D6707" s="1">
        <v>8.05923538004331E-5</v>
      </c>
      <c r="E6707" s="1">
        <v>3.48772321428571E-5</v>
      </c>
      <c r="F6707" s="1">
        <v>1.5632909507786599E-4</v>
      </c>
    </row>
    <row r="6708" spans="1:6" x14ac:dyDescent="0.25">
      <c r="A6708" s="2" t="str">
        <f t="shared" si="253"/>
        <v>41700</v>
      </c>
      <c r="B6708" s="2" t="str">
        <f>"78655"</f>
        <v>78655</v>
      </c>
      <c r="C6708" s="1">
        <v>2.6178228409205398E-4</v>
      </c>
      <c r="D6708" s="1">
        <v>3.0222132675162401E-5</v>
      </c>
      <c r="E6708" s="1">
        <v>1.7438616071428501E-4</v>
      </c>
      <c r="F6708" s="1">
        <v>2.4069717813576301E-4</v>
      </c>
    </row>
    <row r="6709" spans="1:6" x14ac:dyDescent="0.25">
      <c r="A6709" s="2" t="str">
        <f t="shared" si="253"/>
        <v>41700</v>
      </c>
      <c r="B6709" s="2" t="str">
        <f>"78296"</f>
        <v>78296</v>
      </c>
      <c r="C6709" s="1">
        <v>1.35053757870812E-4</v>
      </c>
      <c r="D6709" s="1">
        <v>4.9362816702765296E-4</v>
      </c>
      <c r="E6709" s="1">
        <v>6.9754464285714201E-5</v>
      </c>
      <c r="F6709" s="1">
        <v>1.62946199631427E-4</v>
      </c>
    </row>
    <row r="6710" spans="1:6" x14ac:dyDescent="0.25">
      <c r="A6710" s="2" t="str">
        <f t="shared" si="253"/>
        <v>41700</v>
      </c>
      <c r="B6710" s="2" t="str">
        <f>"78291"</f>
        <v>78291</v>
      </c>
      <c r="C6710" s="1">
        <v>1.39678886565018E-4</v>
      </c>
      <c r="D6710" s="1">
        <v>4.7348007857754402E-4</v>
      </c>
      <c r="E6710" s="1">
        <v>6.9754464285714201E-5</v>
      </c>
      <c r="F6710" s="1">
        <v>1.6542761383901201E-4</v>
      </c>
    </row>
    <row r="6711" spans="1:6" x14ac:dyDescent="0.25">
      <c r="A6711" s="2" t="str">
        <f t="shared" si="253"/>
        <v>41700</v>
      </c>
      <c r="B6711" s="2" t="str">
        <f>"78285"</f>
        <v>78285</v>
      </c>
      <c r="C6711" s="1">
        <v>0</v>
      </c>
      <c r="D6711" s="1">
        <v>0</v>
      </c>
      <c r="E6711" s="1">
        <v>6.9754464285714201E-5</v>
      </c>
      <c r="F6711" s="1">
        <v>1.6542761383901199E-6</v>
      </c>
    </row>
    <row r="6712" spans="1:6" x14ac:dyDescent="0.25">
      <c r="A6712" s="2" t="str">
        <f t="shared" si="253"/>
        <v>41700</v>
      </c>
      <c r="B6712" s="2" t="str">
        <f>"78269"</f>
        <v>78269</v>
      </c>
      <c r="C6712" s="1">
        <v>1.0110531325534099E-3</v>
      </c>
      <c r="D6712" s="1">
        <v>6.5179066136100304E-3</v>
      </c>
      <c r="E6712" s="1">
        <v>3.48772321428571E-5</v>
      </c>
      <c r="F6712" s="1">
        <v>1.4400473784686001E-3</v>
      </c>
    </row>
    <row r="6713" spans="1:6" x14ac:dyDescent="0.25">
      <c r="A6713" s="2" t="str">
        <f t="shared" si="253"/>
        <v>41700</v>
      </c>
      <c r="B6713" s="2" t="str">
        <f>"78261"</f>
        <v>78261</v>
      </c>
      <c r="C6713" s="1">
        <v>9.1836555352152599E-3</v>
      </c>
      <c r="D6713" s="1">
        <v>5.9436860927819404E-4</v>
      </c>
      <c r="E6713" s="1">
        <v>8.7193080357142797E-4</v>
      </c>
      <c r="F6713" s="1">
        <v>8.2813063487809594E-3</v>
      </c>
    </row>
    <row r="6714" spans="1:6" x14ac:dyDescent="0.25">
      <c r="A6714" s="2" t="str">
        <f t="shared" si="253"/>
        <v>41700</v>
      </c>
      <c r="B6714" s="2" t="str">
        <f>"78257"</f>
        <v>78257</v>
      </c>
      <c r="C6714" s="1">
        <v>6.4058032414751904E-3</v>
      </c>
      <c r="D6714" s="1">
        <v>8.1196796453936407E-3</v>
      </c>
      <c r="E6714" s="1">
        <v>6.1732700892857097E-3</v>
      </c>
      <c r="F6714" s="1">
        <v>6.5410078511945503E-3</v>
      </c>
    </row>
    <row r="6715" spans="1:6" x14ac:dyDescent="0.25">
      <c r="A6715" s="2" t="str">
        <f t="shared" si="253"/>
        <v>41700</v>
      </c>
      <c r="B6715" s="2" t="str">
        <f>"78255"</f>
        <v>78255</v>
      </c>
      <c r="C6715" s="1">
        <v>6.6518600880069402E-3</v>
      </c>
      <c r="D6715" s="1">
        <v>1.1182189089810101E-3</v>
      </c>
      <c r="E6715" s="1">
        <v>2.2321428571428501E-3</v>
      </c>
      <c r="F6715" s="1">
        <v>6.0926990176908202E-3</v>
      </c>
    </row>
    <row r="6716" spans="1:6" x14ac:dyDescent="0.25">
      <c r="A6716" s="2" t="str">
        <f t="shared" si="253"/>
        <v>41700</v>
      </c>
      <c r="B6716" s="2" t="str">
        <f>"78254"</f>
        <v>78254</v>
      </c>
      <c r="C6716" s="1">
        <v>2.3190395272748399E-2</v>
      </c>
      <c r="D6716" s="1">
        <v>4.0396917342467101E-3</v>
      </c>
      <c r="E6716" s="1">
        <v>3.7667410714285702E-3</v>
      </c>
      <c r="F6716" s="1">
        <v>2.1157364671940401E-2</v>
      </c>
    </row>
    <row r="6717" spans="1:6" x14ac:dyDescent="0.25">
      <c r="A6717" s="2" t="str">
        <f t="shared" si="253"/>
        <v>41700</v>
      </c>
      <c r="B6717" s="2" t="str">
        <f>"78243"</f>
        <v>78243</v>
      </c>
      <c r="C6717" s="1">
        <v>0</v>
      </c>
      <c r="D6717" s="1">
        <v>6.9510905152873599E-4</v>
      </c>
      <c r="E6717" s="1">
        <v>4.1852678571428499E-4</v>
      </c>
      <c r="F6717" s="1">
        <v>6.6998183604799995E-5</v>
      </c>
    </row>
    <row r="6718" spans="1:6" x14ac:dyDescent="0.25">
      <c r="A6718" s="2" t="str">
        <f t="shared" si="253"/>
        <v>41700</v>
      </c>
      <c r="B6718" s="2" t="str">
        <f>"78239"</f>
        <v>78239</v>
      </c>
      <c r="C6718" s="1">
        <v>1.11169593293933E-2</v>
      </c>
      <c r="D6718" s="1">
        <v>3.1028056213166701E-3</v>
      </c>
      <c r="E6718" s="1">
        <v>4.4991629464285702E-3</v>
      </c>
      <c r="F6718" s="1">
        <v>1.0302004651824501E-2</v>
      </c>
    </row>
    <row r="6719" spans="1:6" x14ac:dyDescent="0.25">
      <c r="A6719" s="2" t="str">
        <f t="shared" si="253"/>
        <v>41700</v>
      </c>
      <c r="B6719" s="2" t="str">
        <f>"78246"</f>
        <v>78246</v>
      </c>
      <c r="C6719" s="1">
        <v>3.8111060440256699E-4</v>
      </c>
      <c r="D6719" s="1">
        <v>3.4755452576436799E-3</v>
      </c>
      <c r="E6719" s="1">
        <v>3.48772321428571E-5</v>
      </c>
      <c r="F6719" s="1">
        <v>6.2697065644985695E-4</v>
      </c>
    </row>
    <row r="6720" spans="1:6" x14ac:dyDescent="0.25">
      <c r="A6720" s="2" t="str">
        <f t="shared" si="253"/>
        <v>41700</v>
      </c>
      <c r="B6720" s="2" t="str">
        <f>"78210"</f>
        <v>78210</v>
      </c>
      <c r="C6720" s="1">
        <v>1.4393400496368801E-2</v>
      </c>
      <c r="D6720" s="1">
        <v>1.05173021709565E-2</v>
      </c>
      <c r="E6720" s="1">
        <v>4.1120256696428499E-2</v>
      </c>
      <c r="F6720" s="1">
        <v>1.47089962844957E-2</v>
      </c>
    </row>
    <row r="6721" spans="1:6" x14ac:dyDescent="0.25">
      <c r="A6721" s="2" t="str">
        <f t="shared" si="253"/>
        <v>41700</v>
      </c>
      <c r="B6721" s="2" t="str">
        <f>"78206"</f>
        <v>78206</v>
      </c>
      <c r="C6721" s="1">
        <v>1.8500514776823599E-6</v>
      </c>
      <c r="D6721" s="1">
        <v>8.4621971490454805E-4</v>
      </c>
      <c r="E6721" s="1">
        <v>1.7438616071428501E-4</v>
      </c>
      <c r="F6721" s="1">
        <v>7.5269564296750604E-5</v>
      </c>
    </row>
    <row r="6722" spans="1:6" x14ac:dyDescent="0.25">
      <c r="A6722" s="2" t="str">
        <f t="shared" si="253"/>
        <v>41700</v>
      </c>
      <c r="B6722" s="2" t="str">
        <f>"78204"</f>
        <v>78204</v>
      </c>
      <c r="C6722" s="1">
        <v>5.3096477409483901E-3</v>
      </c>
      <c r="D6722" s="1">
        <v>7.2633858862640403E-3</v>
      </c>
      <c r="E6722" s="1">
        <v>1.5869140625E-2</v>
      </c>
      <c r="F6722" s="1">
        <v>5.72048688655305E-3</v>
      </c>
    </row>
    <row r="6723" spans="1:6" x14ac:dyDescent="0.25">
      <c r="A6723" s="2" t="str">
        <f t="shared" si="253"/>
        <v>41700</v>
      </c>
      <c r="B6723" s="2" t="str">
        <f>"78232"</f>
        <v>78232</v>
      </c>
      <c r="C6723" s="1">
        <v>1.57874142848024E-2</v>
      </c>
      <c r="D6723" s="1">
        <v>2.0218606759683601E-2</v>
      </c>
      <c r="E6723" s="1">
        <v>1.07073102678571E-2</v>
      </c>
      <c r="F6723" s="1">
        <v>1.6030762919069502E-2</v>
      </c>
    </row>
    <row r="6724" spans="1:6" x14ac:dyDescent="0.25">
      <c r="A6724" s="2" t="str">
        <f t="shared" si="253"/>
        <v>41700</v>
      </c>
      <c r="B6724" s="2" t="str">
        <f>"78214"</f>
        <v>78214</v>
      </c>
      <c r="C6724" s="1">
        <v>8.4639855103968206E-3</v>
      </c>
      <c r="D6724" s="1">
        <v>8.6737520777716206E-3</v>
      </c>
      <c r="E6724" s="1">
        <v>1.7299107142857099E-2</v>
      </c>
      <c r="F6724" s="1">
        <v>8.6907396930325093E-3</v>
      </c>
    </row>
    <row r="6725" spans="1:6" x14ac:dyDescent="0.25">
      <c r="A6725" s="2" t="str">
        <f t="shared" si="253"/>
        <v>41700</v>
      </c>
      <c r="B6725" s="2" t="str">
        <f>"78218"</f>
        <v>78218</v>
      </c>
      <c r="C6725" s="1">
        <v>1.5486780919679E-2</v>
      </c>
      <c r="D6725" s="1">
        <v>1.7941872764821402E-2</v>
      </c>
      <c r="E6725" s="1">
        <v>1.42996651785714E-2</v>
      </c>
      <c r="F6725" s="1">
        <v>1.56602050640701E-2</v>
      </c>
    </row>
    <row r="6726" spans="1:6" x14ac:dyDescent="0.25">
      <c r="A6726" s="2" t="str">
        <f t="shared" si="253"/>
        <v>41700</v>
      </c>
      <c r="B6726" s="2" t="str">
        <f>"78135"</f>
        <v>78135</v>
      </c>
      <c r="C6726" s="1">
        <v>0</v>
      </c>
      <c r="D6726" s="1">
        <v>2.01480884501082E-5</v>
      </c>
      <c r="E6726" s="1">
        <v>0</v>
      </c>
      <c r="F6726" s="1">
        <v>1.6542761383901199E-6</v>
      </c>
    </row>
    <row r="6727" spans="1:6" x14ac:dyDescent="0.25">
      <c r="A6727" s="2" t="str">
        <f t="shared" si="253"/>
        <v>41700</v>
      </c>
      <c r="B6727" s="2" t="str">
        <f>"78133"</f>
        <v>78133</v>
      </c>
      <c r="C6727" s="1">
        <v>1.0846851813651699E-2</v>
      </c>
      <c r="D6727" s="1">
        <v>5.2586510854782604E-3</v>
      </c>
      <c r="E6727" s="1">
        <v>7.4637276785714203E-3</v>
      </c>
      <c r="F6727" s="1">
        <v>1.03077946183088E-2</v>
      </c>
    </row>
    <row r="6728" spans="1:6" x14ac:dyDescent="0.25">
      <c r="A6728" s="2" t="str">
        <f t="shared" si="253"/>
        <v>41700</v>
      </c>
      <c r="B6728" s="2" t="str">
        <f>"78039"</f>
        <v>78039</v>
      </c>
      <c r="C6728" s="1">
        <v>2.6733243852510101E-4</v>
      </c>
      <c r="D6728" s="1">
        <v>9.06663980254873E-5</v>
      </c>
      <c r="E6728" s="1">
        <v>1.3950892857142799E-4</v>
      </c>
      <c r="F6728" s="1">
        <v>2.49795696896908E-4</v>
      </c>
    </row>
    <row r="6729" spans="1:6" x14ac:dyDescent="0.25">
      <c r="A6729" s="2" t="str">
        <f t="shared" si="253"/>
        <v>41700</v>
      </c>
      <c r="B6729" s="2" t="str">
        <f>"78009"</f>
        <v>78009</v>
      </c>
      <c r="C6729" s="1">
        <v>2.9332566178653899E-3</v>
      </c>
      <c r="D6729" s="1">
        <v>2.9617690021659102E-3</v>
      </c>
      <c r="E6729" s="1">
        <v>5.1618303571428501E-3</v>
      </c>
      <c r="F6729" s="1">
        <v>2.9884498440017602E-3</v>
      </c>
    </row>
    <row r="6730" spans="1:6" x14ac:dyDescent="0.25">
      <c r="A6730" s="2" t="str">
        <f t="shared" si="253"/>
        <v>41700</v>
      </c>
      <c r="B6730" s="2" t="str">
        <f>"78065"</f>
        <v>78065</v>
      </c>
      <c r="C6730" s="1">
        <v>3.4077948218909099E-3</v>
      </c>
      <c r="D6730" s="1">
        <v>9.1673802447992704E-4</v>
      </c>
      <c r="E6730" s="1">
        <v>1.6043526785714201E-3</v>
      </c>
      <c r="F6730" s="1">
        <v>3.1604945623943301E-3</v>
      </c>
    </row>
    <row r="6731" spans="1:6" x14ac:dyDescent="0.25">
      <c r="A6731" s="2" t="str">
        <f t="shared" si="253"/>
        <v>41700</v>
      </c>
      <c r="B6731" s="2" t="str">
        <f>"78056"</f>
        <v>78056</v>
      </c>
      <c r="C6731" s="1">
        <v>9.7312707726092396E-4</v>
      </c>
      <c r="D6731" s="1">
        <v>1.10814486475595E-4</v>
      </c>
      <c r="E6731" s="1">
        <v>1.04631696428571E-4</v>
      </c>
      <c r="F6731" s="1">
        <v>8.8172918176193595E-4</v>
      </c>
    </row>
    <row r="6732" spans="1:6" x14ac:dyDescent="0.25">
      <c r="A6732" s="2" t="str">
        <f t="shared" si="253"/>
        <v>41700</v>
      </c>
      <c r="B6732" s="2" t="str">
        <f>"78885"</f>
        <v>78885</v>
      </c>
      <c r="C6732" s="1">
        <v>4.71763126809003E-5</v>
      </c>
      <c r="D6732" s="1">
        <v>5.0370221125270703E-5</v>
      </c>
      <c r="E6732" s="1">
        <v>3.48772321428571E-5</v>
      </c>
      <c r="F6732" s="1">
        <v>4.7146869944118498E-5</v>
      </c>
    </row>
    <row r="6733" spans="1:6" x14ac:dyDescent="0.25">
      <c r="A6733" s="2" t="str">
        <f t="shared" si="253"/>
        <v>41700</v>
      </c>
      <c r="B6733" s="2" t="str">
        <f>"78884"</f>
        <v>78884</v>
      </c>
      <c r="C6733" s="1">
        <v>1.11928114399783E-4</v>
      </c>
      <c r="D6733" s="1">
        <v>0</v>
      </c>
      <c r="E6733" s="1">
        <v>6.9754464285714201E-5</v>
      </c>
      <c r="F6733" s="1">
        <v>1.01737982510992E-4</v>
      </c>
    </row>
    <row r="6734" spans="1:6" x14ac:dyDescent="0.25">
      <c r="A6734" s="2" t="str">
        <f t="shared" ref="A6734:A6765" si="254">"41700"</f>
        <v>41700</v>
      </c>
      <c r="B6734" s="2" t="str">
        <f>"78861"</f>
        <v>78861</v>
      </c>
      <c r="C6734" s="1">
        <v>5.3133478439037502E-3</v>
      </c>
      <c r="D6734" s="1">
        <v>4.6844305646501702E-3</v>
      </c>
      <c r="E6734" s="1">
        <v>3.2087053571428501E-3</v>
      </c>
      <c r="F6734" s="1">
        <v>5.2117969739980804E-3</v>
      </c>
    </row>
    <row r="6735" spans="1:6" x14ac:dyDescent="0.25">
      <c r="A6735" s="2" t="str">
        <f t="shared" si="254"/>
        <v>41700</v>
      </c>
      <c r="B6735" s="2" t="str">
        <f>"78606"</f>
        <v>78606</v>
      </c>
      <c r="C6735" s="1">
        <v>1.21178371788195E-4</v>
      </c>
      <c r="D6735" s="1">
        <v>4.0296176900216503E-5</v>
      </c>
      <c r="E6735" s="1">
        <v>6.9754464285714201E-5</v>
      </c>
      <c r="F6735" s="1">
        <v>1.1331791547972299E-4</v>
      </c>
    </row>
    <row r="6736" spans="1:6" x14ac:dyDescent="0.25">
      <c r="A6736" s="2" t="str">
        <f t="shared" si="254"/>
        <v>41700</v>
      </c>
      <c r="B6736" s="2" t="str">
        <f>"78295"</f>
        <v>78295</v>
      </c>
      <c r="C6736" s="1">
        <v>1.32278680654289E-4</v>
      </c>
      <c r="D6736" s="1">
        <v>5.3392434392786901E-4</v>
      </c>
      <c r="E6736" s="1">
        <v>6.9754464285714201E-5</v>
      </c>
      <c r="F6736" s="1">
        <v>1.63773337700622E-4</v>
      </c>
    </row>
    <row r="6737" spans="1:6" x14ac:dyDescent="0.25">
      <c r="A6737" s="2" t="str">
        <f t="shared" si="254"/>
        <v>41700</v>
      </c>
      <c r="B6737" s="2" t="str">
        <f>"78288"</f>
        <v>78288</v>
      </c>
      <c r="C6737" s="1">
        <v>1.8500514776823599E-6</v>
      </c>
      <c r="D6737" s="1">
        <v>2.01480884501082E-5</v>
      </c>
      <c r="E6737" s="1">
        <v>0</v>
      </c>
      <c r="F6737" s="1">
        <v>3.3085522767802398E-6</v>
      </c>
    </row>
    <row r="6738" spans="1:6" x14ac:dyDescent="0.25">
      <c r="A6738" s="2" t="str">
        <f t="shared" si="254"/>
        <v>41700</v>
      </c>
      <c r="B6738" s="2" t="str">
        <f>"78245"</f>
        <v>78245</v>
      </c>
      <c r="C6738" s="1">
        <v>3.2652483555354897E-2</v>
      </c>
      <c r="D6738" s="1">
        <v>9.7617488540774604E-3</v>
      </c>
      <c r="E6738" s="1">
        <v>7.3590959821428501E-3</v>
      </c>
      <c r="F6738" s="1">
        <v>3.0173169626166601E-2</v>
      </c>
    </row>
    <row r="6739" spans="1:6" x14ac:dyDescent="0.25">
      <c r="A6739" s="2" t="str">
        <f t="shared" si="254"/>
        <v>41700</v>
      </c>
      <c r="B6739" s="2" t="str">
        <f>"78163"</f>
        <v>78163</v>
      </c>
      <c r="C6739" s="1">
        <v>5.1422180822181304E-3</v>
      </c>
      <c r="D6739" s="1">
        <v>3.8885810708709002E-3</v>
      </c>
      <c r="E6739" s="1">
        <v>4.638671875E-3</v>
      </c>
      <c r="F6739" s="1">
        <v>5.0273451845675799E-3</v>
      </c>
    </row>
    <row r="6740" spans="1:6" x14ac:dyDescent="0.25">
      <c r="A6740" s="2" t="str">
        <f t="shared" si="254"/>
        <v>41700</v>
      </c>
      <c r="B6740" s="2" t="str">
        <f>"78155"</f>
        <v>78155</v>
      </c>
      <c r="C6740" s="1">
        <v>1.9296961937965901E-2</v>
      </c>
      <c r="D6740" s="1">
        <v>1.8022465118621801E-2</v>
      </c>
      <c r="E6740" s="1">
        <v>1.4020647321428501E-2</v>
      </c>
      <c r="F6740" s="1">
        <v>1.9067186771084502E-2</v>
      </c>
    </row>
    <row r="6741" spans="1:6" x14ac:dyDescent="0.25">
      <c r="A6741" s="2" t="str">
        <f t="shared" si="254"/>
        <v>41700</v>
      </c>
      <c r="B6741" s="2" t="str">
        <f>"78010"</f>
        <v>78010</v>
      </c>
      <c r="C6741" s="1">
        <v>1.8500514776823599E-6</v>
      </c>
      <c r="D6741" s="1">
        <v>0</v>
      </c>
      <c r="E6741" s="1">
        <v>0</v>
      </c>
      <c r="F6741" s="1">
        <v>1.6542761383901199E-6</v>
      </c>
    </row>
    <row r="6742" spans="1:6" x14ac:dyDescent="0.25">
      <c r="A6742" s="2" t="str">
        <f t="shared" si="254"/>
        <v>41700</v>
      </c>
      <c r="B6742" s="2" t="str">
        <f>"78113"</f>
        <v>78113</v>
      </c>
      <c r="C6742" s="1">
        <v>5.2356456818410905E-4</v>
      </c>
      <c r="D6742" s="1">
        <v>2.7199919407646099E-4</v>
      </c>
      <c r="E6742" s="1">
        <v>2.7901785714285702E-4</v>
      </c>
      <c r="F6742" s="1">
        <v>4.9710997958623204E-4</v>
      </c>
    </row>
    <row r="6743" spans="1:6" x14ac:dyDescent="0.25">
      <c r="A6743" s="2" t="str">
        <f t="shared" si="254"/>
        <v>41700</v>
      </c>
      <c r="B6743" s="2" t="str">
        <f>"78055"</f>
        <v>78055</v>
      </c>
      <c r="C6743" s="1">
        <v>5.8276621546994502E-4</v>
      </c>
      <c r="D6743" s="1">
        <v>2.8207323830151598E-4</v>
      </c>
      <c r="E6743" s="1">
        <v>5.2315848214285702E-4</v>
      </c>
      <c r="F6743" s="1">
        <v>5.5666392056827601E-4</v>
      </c>
    </row>
    <row r="6744" spans="1:6" x14ac:dyDescent="0.25">
      <c r="A6744" s="2" t="str">
        <f t="shared" si="254"/>
        <v>41700</v>
      </c>
      <c r="B6744" s="2" t="str">
        <f>"78050"</f>
        <v>78050</v>
      </c>
      <c r="C6744" s="1">
        <v>3.70010295536473E-6</v>
      </c>
      <c r="D6744" s="1">
        <v>1.00740442250541E-5</v>
      </c>
      <c r="E6744" s="1">
        <v>0</v>
      </c>
      <c r="F6744" s="1">
        <v>4.1356903459753102E-6</v>
      </c>
    </row>
    <row r="6745" spans="1:6" x14ac:dyDescent="0.25">
      <c r="A6745" s="2" t="str">
        <f t="shared" si="254"/>
        <v>41700</v>
      </c>
      <c r="B6745" s="2" t="str">
        <f>"78648"</f>
        <v>78648</v>
      </c>
      <c r="C6745" s="1">
        <v>1.9240535367896601E-4</v>
      </c>
      <c r="D6745" s="1">
        <v>1.10814486475595E-4</v>
      </c>
      <c r="E6745" s="1">
        <v>0</v>
      </c>
      <c r="F6745" s="1">
        <v>1.8114323715371801E-4</v>
      </c>
    </row>
    <row r="6746" spans="1:6" x14ac:dyDescent="0.25">
      <c r="A6746" s="2" t="str">
        <f t="shared" si="254"/>
        <v>41700</v>
      </c>
      <c r="B6746" s="2" t="str">
        <f>"78297"</f>
        <v>78297</v>
      </c>
      <c r="C6746" s="1">
        <v>1.29503603437765E-4</v>
      </c>
      <c r="D6746" s="1">
        <v>7.0518309575378995E-4</v>
      </c>
      <c r="E6746" s="1">
        <v>6.9754464285714201E-5</v>
      </c>
      <c r="F6746" s="1">
        <v>1.7535327066935301E-4</v>
      </c>
    </row>
    <row r="6747" spans="1:6" x14ac:dyDescent="0.25">
      <c r="A6747" s="2" t="str">
        <f t="shared" si="254"/>
        <v>41700</v>
      </c>
      <c r="B6747" s="2" t="str">
        <f>"78294"</f>
        <v>78294</v>
      </c>
      <c r="C6747" s="1">
        <v>1.45229040998065E-4</v>
      </c>
      <c r="D6747" s="1">
        <v>5.8429456505313998E-4</v>
      </c>
      <c r="E6747" s="1">
        <v>6.9754464285714201E-5</v>
      </c>
      <c r="F6747" s="1">
        <v>1.79488961015328E-4</v>
      </c>
    </row>
    <row r="6748" spans="1:6" x14ac:dyDescent="0.25">
      <c r="A6748" s="2" t="str">
        <f t="shared" si="254"/>
        <v>41700</v>
      </c>
      <c r="B6748" s="2" t="str">
        <f>"78250"</f>
        <v>78250</v>
      </c>
      <c r="C6748" s="1">
        <v>1.8325684912182599E-2</v>
      </c>
      <c r="D6748" s="1">
        <v>6.7093134538860604E-3</v>
      </c>
      <c r="E6748" s="1">
        <v>6.3127790178571404E-3</v>
      </c>
      <c r="F6748" s="1">
        <v>1.7087018233431499E-2</v>
      </c>
    </row>
    <row r="6749" spans="1:6" x14ac:dyDescent="0.25">
      <c r="A6749" s="2" t="str">
        <f t="shared" si="254"/>
        <v>41700</v>
      </c>
      <c r="B6749" s="2" t="str">
        <f>"78241"</f>
        <v>78241</v>
      </c>
      <c r="C6749" s="1">
        <v>0</v>
      </c>
      <c r="D6749" s="1">
        <v>0</v>
      </c>
      <c r="E6749" s="1">
        <v>3.48772321428571E-5</v>
      </c>
      <c r="F6749" s="1">
        <v>8.2713806919506196E-7</v>
      </c>
    </row>
    <row r="6750" spans="1:6" x14ac:dyDescent="0.25">
      <c r="A6750" s="2" t="str">
        <f t="shared" si="254"/>
        <v>41700</v>
      </c>
      <c r="B6750" s="2" t="str">
        <f>"78240"</f>
        <v>78240</v>
      </c>
      <c r="C6750" s="1">
        <v>2.62022790784153E-2</v>
      </c>
      <c r="D6750" s="1">
        <v>1.1776557699088201E-2</v>
      </c>
      <c r="E6750" s="1">
        <v>2.4379185267857099E-2</v>
      </c>
      <c r="F6750" s="1">
        <v>2.49746068612757E-2</v>
      </c>
    </row>
    <row r="6751" spans="1:6" x14ac:dyDescent="0.25">
      <c r="A6751" s="2" t="str">
        <f t="shared" si="254"/>
        <v>41700</v>
      </c>
      <c r="B6751" s="2" t="str">
        <f>"78229"</f>
        <v>78229</v>
      </c>
      <c r="C6751" s="1">
        <v>1.7711467821592101E-2</v>
      </c>
      <c r="D6751" s="1">
        <v>3.0927315770916199E-2</v>
      </c>
      <c r="E6751" s="1">
        <v>2.2321428571428499E-2</v>
      </c>
      <c r="F6751" s="1">
        <v>1.89058948475915E-2</v>
      </c>
    </row>
    <row r="6752" spans="1:6" x14ac:dyDescent="0.25">
      <c r="A6752" s="2" t="str">
        <f t="shared" si="254"/>
        <v>41700</v>
      </c>
      <c r="B6752" s="2" t="str">
        <f>"78226"</f>
        <v>78226</v>
      </c>
      <c r="C6752" s="1">
        <v>3.0294592947048699E-3</v>
      </c>
      <c r="D6752" s="1">
        <v>3.38487885961819E-3</v>
      </c>
      <c r="E6752" s="1">
        <v>1.44740513392857E-2</v>
      </c>
      <c r="F6752" s="1">
        <v>3.33005786657932E-3</v>
      </c>
    </row>
    <row r="6753" spans="1:6" x14ac:dyDescent="0.25">
      <c r="A6753" s="2" t="str">
        <f t="shared" si="254"/>
        <v>41700</v>
      </c>
      <c r="B6753" s="2" t="str">
        <f>"78160"</f>
        <v>78160</v>
      </c>
      <c r="C6753" s="1">
        <v>1.6937221278182E-3</v>
      </c>
      <c r="D6753" s="1">
        <v>7.3540522842895203E-4</v>
      </c>
      <c r="E6753" s="1">
        <v>2.197265625E-3</v>
      </c>
      <c r="F6753" s="1">
        <v>1.62698058210668E-3</v>
      </c>
    </row>
    <row r="6754" spans="1:6" x14ac:dyDescent="0.25">
      <c r="A6754" s="2" t="str">
        <f t="shared" si="254"/>
        <v>41700</v>
      </c>
      <c r="B6754" s="2" t="str">
        <f>"78213"</f>
        <v>78213</v>
      </c>
      <c r="C6754" s="1">
        <v>1.7558838574683301E-2</v>
      </c>
      <c r="D6754" s="1">
        <v>1.42044023573263E-2</v>
      </c>
      <c r="E6754" s="1">
        <v>2.2914341517857099E-2</v>
      </c>
      <c r="F6754" s="1">
        <v>1.74104292184868E-2</v>
      </c>
    </row>
    <row r="6755" spans="1:6" x14ac:dyDescent="0.25">
      <c r="A6755" s="2" t="str">
        <f t="shared" si="254"/>
        <v>41700</v>
      </c>
      <c r="B6755" s="2" t="str">
        <f>"78148"</f>
        <v>78148</v>
      </c>
      <c r="C6755" s="1">
        <v>9.5582909594459399E-3</v>
      </c>
      <c r="D6755" s="1">
        <v>8.1096056011685808E-3</v>
      </c>
      <c r="E6755" s="1">
        <v>9.765625E-3</v>
      </c>
      <c r="F6755" s="1">
        <v>9.4442624740692198E-3</v>
      </c>
    </row>
    <row r="6756" spans="1:6" x14ac:dyDescent="0.25">
      <c r="A6756" s="2" t="str">
        <f t="shared" si="254"/>
        <v>41700</v>
      </c>
      <c r="B6756" s="2" t="str">
        <f>"78026"</f>
        <v>78026</v>
      </c>
      <c r="C6756" s="1">
        <v>2.5687964767619601E-3</v>
      </c>
      <c r="D6756" s="1">
        <v>3.1733239308920501E-3</v>
      </c>
      <c r="E6756" s="1">
        <v>2.5809151785714198E-3</v>
      </c>
      <c r="F6756" s="1">
        <v>2.6187191270715601E-3</v>
      </c>
    </row>
    <row r="6757" spans="1:6" x14ac:dyDescent="0.25">
      <c r="A6757" s="2" t="str">
        <f t="shared" si="254"/>
        <v>41700</v>
      </c>
      <c r="B6757" s="2" t="str">
        <f>"78023"</f>
        <v>78023</v>
      </c>
      <c r="C6757" s="1">
        <v>1.0714573132997399E-2</v>
      </c>
      <c r="D6757" s="1">
        <v>1.12527073993854E-2</v>
      </c>
      <c r="E6757" s="1">
        <v>7.0103236607142799E-3</v>
      </c>
      <c r="F6757" s="1">
        <v>1.0670908230685399E-2</v>
      </c>
    </row>
    <row r="6758" spans="1:6" x14ac:dyDescent="0.25">
      <c r="A6758" s="2" t="str">
        <f t="shared" si="254"/>
        <v>41700</v>
      </c>
      <c r="B6758" s="2" t="str">
        <f>"78013"</f>
        <v>78013</v>
      </c>
      <c r="C6758" s="1">
        <v>1.4041890715609101E-3</v>
      </c>
      <c r="D6758" s="1">
        <v>1.02755251095552E-3</v>
      </c>
      <c r="E6758" s="1">
        <v>2.197265625E-3</v>
      </c>
      <c r="F6758" s="1">
        <v>1.3920733704552799E-3</v>
      </c>
    </row>
    <row r="6759" spans="1:6" x14ac:dyDescent="0.25">
      <c r="A6759" s="2" t="str">
        <f t="shared" si="254"/>
        <v>41700</v>
      </c>
      <c r="B6759" s="2" t="str">
        <f>"78011"</f>
        <v>78011</v>
      </c>
      <c r="C6759" s="1">
        <v>2.15530997149995E-4</v>
      </c>
      <c r="D6759" s="1">
        <v>5.0370221125270703E-5</v>
      </c>
      <c r="E6759" s="1">
        <v>6.9754464285714201E-5</v>
      </c>
      <c r="F6759" s="1">
        <v>1.9851313660681401E-4</v>
      </c>
    </row>
    <row r="6760" spans="1:6" x14ac:dyDescent="0.25">
      <c r="A6760" s="2" t="str">
        <f t="shared" si="254"/>
        <v>41700</v>
      </c>
      <c r="B6760" s="2" t="str">
        <f>"78118"</f>
        <v>78118</v>
      </c>
      <c r="C6760" s="1">
        <v>1.94255405156648E-5</v>
      </c>
      <c r="D6760" s="1">
        <v>3.0222132675162401E-5</v>
      </c>
      <c r="E6760" s="1">
        <v>0</v>
      </c>
      <c r="F6760" s="1">
        <v>1.9851313660681399E-5</v>
      </c>
    </row>
    <row r="6761" spans="1:6" x14ac:dyDescent="0.25">
      <c r="A6761" s="2" t="str">
        <f t="shared" si="254"/>
        <v>41700</v>
      </c>
      <c r="B6761" s="2" t="str">
        <f>"78115"</f>
        <v>78115</v>
      </c>
      <c r="C6761" s="1">
        <v>1.5540432412531799E-4</v>
      </c>
      <c r="D6761" s="1">
        <v>1.6118470760086601E-4</v>
      </c>
      <c r="E6761" s="1">
        <v>3.48772321428571E-5</v>
      </c>
      <c r="F6761" s="1">
        <v>1.53020542801086E-4</v>
      </c>
    </row>
    <row r="6762" spans="1:6" x14ac:dyDescent="0.25">
      <c r="A6762" s="2" t="str">
        <f t="shared" si="254"/>
        <v>41700</v>
      </c>
      <c r="B6762" s="2" t="str">
        <f>"78114"</f>
        <v>78114</v>
      </c>
      <c r="C6762" s="1">
        <v>8.4917362825620603E-3</v>
      </c>
      <c r="D6762" s="1">
        <v>7.4749408149901702E-3</v>
      </c>
      <c r="E6762" s="1">
        <v>7.4986049107142799E-3</v>
      </c>
      <c r="F6762" s="1">
        <v>8.3846986074303399E-3</v>
      </c>
    </row>
    <row r="6763" spans="1:6" x14ac:dyDescent="0.25">
      <c r="A6763" s="2" t="str">
        <f t="shared" si="254"/>
        <v>41700</v>
      </c>
      <c r="B6763" s="2" t="str">
        <f>"78057"</f>
        <v>78057</v>
      </c>
      <c r="C6763" s="1">
        <v>6.1976724502359206E-5</v>
      </c>
      <c r="D6763" s="1">
        <v>0</v>
      </c>
      <c r="E6763" s="1">
        <v>3.48772321428571E-5</v>
      </c>
      <c r="F6763" s="1">
        <v>5.6245388705264198E-5</v>
      </c>
    </row>
    <row r="6764" spans="1:6" x14ac:dyDescent="0.25">
      <c r="A6764" s="2" t="str">
        <f t="shared" si="254"/>
        <v>41700</v>
      </c>
      <c r="B6764" s="2" t="str">
        <f>"78069"</f>
        <v>78069</v>
      </c>
      <c r="C6764" s="1">
        <v>1.7307231573718499E-3</v>
      </c>
      <c r="D6764" s="1">
        <v>5.9436860927819404E-4</v>
      </c>
      <c r="E6764" s="1">
        <v>3.8016183035714198E-3</v>
      </c>
      <c r="F6764" s="1">
        <v>1.6865345230887301E-3</v>
      </c>
    </row>
    <row r="6765" spans="1:6" x14ac:dyDescent="0.25">
      <c r="A6765" s="2" t="str">
        <f t="shared" si="254"/>
        <v>41700</v>
      </c>
      <c r="B6765" s="2" t="str">
        <f>"78101"</f>
        <v>78101</v>
      </c>
      <c r="C6765" s="1">
        <v>3.1062364310286898E-3</v>
      </c>
      <c r="D6765" s="1">
        <v>1.02755251095552E-3</v>
      </c>
      <c r="E6765" s="1">
        <v>8.7193080357142808E-3</v>
      </c>
      <c r="F6765" s="1">
        <v>3.06868223671368E-3</v>
      </c>
    </row>
    <row r="6766" spans="1:6" x14ac:dyDescent="0.25">
      <c r="A6766" s="2" t="str">
        <f t="shared" ref="A6766:A6796" si="255">"41700"</f>
        <v>41700</v>
      </c>
      <c r="B6766" s="2" t="str">
        <f>"78003"</f>
        <v>78003</v>
      </c>
      <c r="C6766" s="1">
        <v>5.6130561832882899E-3</v>
      </c>
      <c r="D6766" s="1">
        <v>5.2385029970281501E-3</v>
      </c>
      <c r="E6766" s="1">
        <v>2.1275111607142799E-3</v>
      </c>
      <c r="F6766" s="1">
        <v>5.4996410220779597E-3</v>
      </c>
    </row>
    <row r="6767" spans="1:6" x14ac:dyDescent="0.25">
      <c r="A6767" s="2" t="str">
        <f t="shared" si="255"/>
        <v>41700</v>
      </c>
      <c r="B6767" s="2" t="str">
        <f>"78284"</f>
        <v>78284</v>
      </c>
      <c r="C6767" s="1">
        <v>0</v>
      </c>
      <c r="D6767" s="1">
        <v>1.4103661915075799E-4</v>
      </c>
      <c r="E6767" s="1">
        <v>3.48772321428571E-5</v>
      </c>
      <c r="F6767" s="1">
        <v>1.2407071037925899E-5</v>
      </c>
    </row>
    <row r="6768" spans="1:6" x14ac:dyDescent="0.25">
      <c r="A6768" s="2" t="str">
        <f t="shared" si="255"/>
        <v>41700</v>
      </c>
      <c r="B6768" s="2" t="str">
        <f>"78299"</f>
        <v>78299</v>
      </c>
      <c r="C6768" s="1">
        <v>1.1562821735514699E-4</v>
      </c>
      <c r="D6768" s="1">
        <v>7.3540522842895203E-4</v>
      </c>
      <c r="E6768" s="1">
        <v>6.9754464285714201E-5</v>
      </c>
      <c r="F6768" s="1">
        <v>1.6542761383901201E-4</v>
      </c>
    </row>
    <row r="6769" spans="1:6" x14ac:dyDescent="0.25">
      <c r="A6769" s="2" t="str">
        <f t="shared" si="255"/>
        <v>41700</v>
      </c>
      <c r="B6769" s="2" t="str">
        <f>"78263"</f>
        <v>78263</v>
      </c>
      <c r="C6769" s="1">
        <v>1.8001000877849399E-3</v>
      </c>
      <c r="D6769" s="1">
        <v>1.6722913413589799E-3</v>
      </c>
      <c r="E6769" s="1">
        <v>7.4637276785714203E-3</v>
      </c>
      <c r="F6769" s="1">
        <v>1.92392314894771E-3</v>
      </c>
    </row>
    <row r="6770" spans="1:6" x14ac:dyDescent="0.25">
      <c r="A6770" s="2" t="str">
        <f t="shared" si="255"/>
        <v>41700</v>
      </c>
      <c r="B6770" s="2" t="str">
        <f>"78260"</f>
        <v>78260</v>
      </c>
      <c r="C6770" s="1">
        <v>1.27413045267984E-2</v>
      </c>
      <c r="D6770" s="1">
        <v>2.3271042159875E-3</v>
      </c>
      <c r="E6770" s="1">
        <v>2.7901785714285702E-3</v>
      </c>
      <c r="F6770" s="1">
        <v>1.1650239704612399E-2</v>
      </c>
    </row>
    <row r="6771" spans="1:6" x14ac:dyDescent="0.25">
      <c r="A6771" s="2" t="str">
        <f t="shared" si="255"/>
        <v>41700</v>
      </c>
      <c r="B6771" s="2" t="str">
        <f>"78248"</f>
        <v>78248</v>
      </c>
      <c r="C6771" s="1">
        <v>5.4706022195067502E-3</v>
      </c>
      <c r="D6771" s="1">
        <v>4.2109504860726298E-3</v>
      </c>
      <c r="E6771" s="1">
        <v>2.685546875E-3</v>
      </c>
      <c r="F6771" s="1">
        <v>5.3011278854711496E-3</v>
      </c>
    </row>
    <row r="6772" spans="1:6" x14ac:dyDescent="0.25">
      <c r="A6772" s="2" t="str">
        <f t="shared" si="255"/>
        <v>41700</v>
      </c>
      <c r="B6772" s="2" t="str">
        <f>"78253"</f>
        <v>78253</v>
      </c>
      <c r="C6772" s="1">
        <v>2.2815759848517699E-2</v>
      </c>
      <c r="D6772" s="1">
        <v>4.6945046088752301E-3</v>
      </c>
      <c r="E6772" s="1">
        <v>8.30078125E-3</v>
      </c>
      <c r="F6772" s="1">
        <v>2.0983665677409499E-2</v>
      </c>
    </row>
    <row r="6773" spans="1:6" x14ac:dyDescent="0.25">
      <c r="A6773" s="2" t="str">
        <f t="shared" si="255"/>
        <v>41700</v>
      </c>
      <c r="B6773" s="2" t="str">
        <f>"78234"</f>
        <v>78234</v>
      </c>
      <c r="C6773" s="1">
        <v>1.95272933469373E-3</v>
      </c>
      <c r="D6773" s="1">
        <v>7.0790308769455398E-2</v>
      </c>
      <c r="E6773" s="1">
        <v>6.591796875E-3</v>
      </c>
      <c r="F6773" s="1">
        <v>7.7147167713823399E-3</v>
      </c>
    </row>
    <row r="6774" spans="1:6" x14ac:dyDescent="0.25">
      <c r="A6774" s="2" t="str">
        <f t="shared" si="255"/>
        <v>41700</v>
      </c>
      <c r="B6774" s="2" t="str">
        <f>"78231"</f>
        <v>78231</v>
      </c>
      <c r="C6774" s="1">
        <v>3.8379317904520599E-3</v>
      </c>
      <c r="D6774" s="1">
        <v>4.5030977685992001E-3</v>
      </c>
      <c r="E6774" s="1">
        <v>2.8948102678571399E-3</v>
      </c>
      <c r="F6774" s="1">
        <v>3.8701790257636899E-3</v>
      </c>
    </row>
    <row r="6775" spans="1:6" x14ac:dyDescent="0.25">
      <c r="A6775" s="2" t="str">
        <f t="shared" si="255"/>
        <v>41700</v>
      </c>
      <c r="B6775" s="2" t="str">
        <f>"78220"</f>
        <v>78220</v>
      </c>
      <c r="C6775" s="1">
        <v>7.9635465856837395E-3</v>
      </c>
      <c r="D6775" s="1">
        <v>8.2909383972195605E-3</v>
      </c>
      <c r="E6775" s="1">
        <v>9.1727120535714194E-3</v>
      </c>
      <c r="F6775" s="1">
        <v>8.0191035808461208E-3</v>
      </c>
    </row>
    <row r="6776" spans="1:6" x14ac:dyDescent="0.25">
      <c r="A6776" s="2" t="str">
        <f t="shared" si="255"/>
        <v>41700</v>
      </c>
      <c r="B6776" s="2" t="str">
        <f>"78219"</f>
        <v>78219</v>
      </c>
      <c r="C6776" s="1">
        <v>5.5945556685114703E-3</v>
      </c>
      <c r="D6776" s="1">
        <v>1.06684128343323E-2</v>
      </c>
      <c r="E6776" s="1">
        <v>7.7078683035714203E-3</v>
      </c>
      <c r="F6776" s="1">
        <v>6.0612677710614104E-3</v>
      </c>
    </row>
    <row r="6777" spans="1:6" x14ac:dyDescent="0.25">
      <c r="A6777" s="2" t="str">
        <f t="shared" si="255"/>
        <v>41700</v>
      </c>
      <c r="B6777" s="2" t="str">
        <f>"78228"</f>
        <v>78228</v>
      </c>
      <c r="C6777" s="1">
        <v>2.0191461827425299E-2</v>
      </c>
      <c r="D6777" s="1">
        <v>1.48088450108295E-2</v>
      </c>
      <c r="E6777" s="1">
        <v>1.9984654017857099E-2</v>
      </c>
      <c r="F6777" s="1">
        <v>1.9744612849755299E-2</v>
      </c>
    </row>
    <row r="6778" spans="1:6" x14ac:dyDescent="0.25">
      <c r="A6778" s="2" t="str">
        <f t="shared" si="255"/>
        <v>41700</v>
      </c>
      <c r="B6778" s="2" t="str">
        <f>"78224"</f>
        <v>78224</v>
      </c>
      <c r="C6778" s="1">
        <v>8.6952419451071204E-3</v>
      </c>
      <c r="D6778" s="1">
        <v>8.2909383972195605E-3</v>
      </c>
      <c r="E6778" s="1">
        <v>1.05678013392857E-2</v>
      </c>
      <c r="F6778" s="1">
        <v>8.7064553163472194E-3</v>
      </c>
    </row>
    <row r="6779" spans="1:6" x14ac:dyDescent="0.25">
      <c r="A6779" s="2" t="str">
        <f t="shared" si="255"/>
        <v>41700</v>
      </c>
      <c r="B6779" s="2" t="str">
        <f>"78216"</f>
        <v>78216</v>
      </c>
      <c r="C6779" s="1">
        <v>1.9163758231572701E-2</v>
      </c>
      <c r="D6779" s="1">
        <v>4.8012894776608001E-2</v>
      </c>
      <c r="E6779" s="1">
        <v>2.6646205357142801E-2</v>
      </c>
      <c r="F6779" s="1">
        <v>2.1709892902162801E-2</v>
      </c>
    </row>
    <row r="6780" spans="1:6" x14ac:dyDescent="0.25">
      <c r="A6780" s="2" t="str">
        <f t="shared" si="255"/>
        <v>41700</v>
      </c>
      <c r="B6780" s="2" t="str">
        <f>"78147"</f>
        <v>78147</v>
      </c>
      <c r="C6780" s="1">
        <v>3.70010295536473E-6</v>
      </c>
      <c r="D6780" s="1">
        <v>1.00740442250541E-5</v>
      </c>
      <c r="E6780" s="1">
        <v>0</v>
      </c>
      <c r="F6780" s="1">
        <v>4.1356903459753102E-6</v>
      </c>
    </row>
    <row r="6781" spans="1:6" x14ac:dyDescent="0.25">
      <c r="A6781" s="2" t="str">
        <f t="shared" si="255"/>
        <v>41700</v>
      </c>
      <c r="B6781" s="2" t="str">
        <f>"78143"</f>
        <v>78143</v>
      </c>
      <c r="C6781" s="1">
        <v>0</v>
      </c>
      <c r="D6781" s="1">
        <v>1.00740442250541E-5</v>
      </c>
      <c r="E6781" s="1">
        <v>0</v>
      </c>
      <c r="F6781" s="1">
        <v>8.2713806919506196E-7</v>
      </c>
    </row>
    <row r="6782" spans="1:6" x14ac:dyDescent="0.25">
      <c r="A6782" s="2" t="str">
        <f t="shared" si="255"/>
        <v>41700</v>
      </c>
      <c r="B6782" s="2" t="str">
        <f>"78150"</f>
        <v>78150</v>
      </c>
      <c r="C6782" s="1">
        <v>2.08130791239266E-4</v>
      </c>
      <c r="D6782" s="1">
        <v>1.41741802246511E-2</v>
      </c>
      <c r="E6782" s="1">
        <v>4.1852678571428499E-4</v>
      </c>
      <c r="F6782" s="1">
        <v>1.35981498575668E-3</v>
      </c>
    </row>
    <row r="6783" spans="1:6" x14ac:dyDescent="0.25">
      <c r="A6783" s="2" t="str">
        <f t="shared" si="255"/>
        <v>41700</v>
      </c>
      <c r="B6783" s="2" t="str">
        <f>"78124"</f>
        <v>78124</v>
      </c>
      <c r="C6783" s="1">
        <v>3.3051169648795399E-3</v>
      </c>
      <c r="D6783" s="1">
        <v>1.7831058278345801E-3</v>
      </c>
      <c r="E6783" s="1">
        <v>1.08119419642857E-3</v>
      </c>
      <c r="F6783" s="1">
        <v>3.1274090396265302E-3</v>
      </c>
    </row>
    <row r="6784" spans="1:6" x14ac:dyDescent="0.25">
      <c r="A6784" s="2" t="str">
        <f t="shared" si="255"/>
        <v>41700</v>
      </c>
      <c r="B6784" s="2" t="str">
        <f>"78064"</f>
        <v>78064</v>
      </c>
      <c r="C6784" s="1">
        <v>6.8387152872528599E-3</v>
      </c>
      <c r="D6784" s="1">
        <v>9.4494534831007903E-3</v>
      </c>
      <c r="E6784" s="1">
        <v>8.3356584821428492E-3</v>
      </c>
      <c r="F6784" s="1">
        <v>7.0885732530016803E-3</v>
      </c>
    </row>
    <row r="6785" spans="1:6" x14ac:dyDescent="0.25">
      <c r="A6785" s="2" t="str">
        <f t="shared" si="255"/>
        <v>41700</v>
      </c>
      <c r="B6785" s="2" t="str">
        <f>"78063"</f>
        <v>78063</v>
      </c>
      <c r="C6785" s="1">
        <v>3.9748355998005603E-3</v>
      </c>
      <c r="D6785" s="1">
        <v>1.8234020047348E-3</v>
      </c>
      <c r="E6785" s="1">
        <v>2.7204241071428501E-3</v>
      </c>
      <c r="F6785" s="1">
        <v>3.7684410432527E-3</v>
      </c>
    </row>
    <row r="6786" spans="1:6" x14ac:dyDescent="0.25">
      <c r="A6786" s="2" t="str">
        <f t="shared" si="255"/>
        <v>41700</v>
      </c>
      <c r="B6786" s="2" t="str">
        <f>"78070"</f>
        <v>78070</v>
      </c>
      <c r="C6786" s="1">
        <v>8.2466044617691397E-3</v>
      </c>
      <c r="D6786" s="1">
        <v>6.4070921271344302E-3</v>
      </c>
      <c r="E6786" s="1">
        <v>4.7781808035714203E-3</v>
      </c>
      <c r="F6786" s="1">
        <v>8.0133136143617605E-3</v>
      </c>
    </row>
    <row r="6787" spans="1:6" x14ac:dyDescent="0.25">
      <c r="A6787" s="2" t="str">
        <f t="shared" si="255"/>
        <v>41700</v>
      </c>
      <c r="B6787" s="2" t="str">
        <f>"78623"</f>
        <v>78623</v>
      </c>
      <c r="C6787" s="1">
        <v>6.2994252815084498E-4</v>
      </c>
      <c r="D6787" s="1">
        <v>1.2088853070064901E-4</v>
      </c>
      <c r="E6787" s="1">
        <v>6.9754464285714201E-5</v>
      </c>
      <c r="F6787" s="1">
        <v>5.7486095809056799E-4</v>
      </c>
    </row>
    <row r="6788" spans="1:6" x14ac:dyDescent="0.25">
      <c r="A6788" s="2" t="str">
        <f t="shared" si="255"/>
        <v>41700</v>
      </c>
      <c r="B6788" s="2" t="str">
        <f>"78265"</f>
        <v>78265</v>
      </c>
      <c r="C6788" s="1">
        <v>9.1577548145277095E-4</v>
      </c>
      <c r="D6788" s="1">
        <v>6.6186470558605697E-3</v>
      </c>
      <c r="E6788" s="1">
        <v>3.48772321428571E-5</v>
      </c>
      <c r="F6788" s="1">
        <v>1.36312353803346E-3</v>
      </c>
    </row>
    <row r="6789" spans="1:6" x14ac:dyDescent="0.25">
      <c r="A6789" s="2" t="str">
        <f t="shared" si="255"/>
        <v>41700</v>
      </c>
      <c r="B6789" s="2" t="str">
        <f>"78256"</f>
        <v>78256</v>
      </c>
      <c r="C6789" s="1">
        <v>6.6463099335739E-3</v>
      </c>
      <c r="D6789" s="1">
        <v>3.4755452576436799E-3</v>
      </c>
      <c r="E6789" s="1">
        <v>3.0343191964285702E-3</v>
      </c>
      <c r="F6789" s="1">
        <v>6.3003106730587797E-3</v>
      </c>
    </row>
    <row r="6790" spans="1:6" x14ac:dyDescent="0.25">
      <c r="A6790" s="2" t="str">
        <f t="shared" si="255"/>
        <v>41700</v>
      </c>
      <c r="B6790" s="2" t="str">
        <f>"78235"</f>
        <v>78235</v>
      </c>
      <c r="C6790" s="1">
        <v>1.2386094643083399E-3</v>
      </c>
      <c r="D6790" s="1">
        <v>8.3614567067949398E-4</v>
      </c>
      <c r="E6790" s="1">
        <v>7.6729910714285702E-4</v>
      </c>
      <c r="F6790" s="1">
        <v>1.19438737191766E-3</v>
      </c>
    </row>
    <row r="6791" spans="1:6" x14ac:dyDescent="0.25">
      <c r="A6791" s="2" t="str">
        <f t="shared" si="255"/>
        <v>41700</v>
      </c>
      <c r="B6791" s="2" t="str">
        <f>"78237"</f>
        <v>78237</v>
      </c>
      <c r="C6791" s="1">
        <v>1.2087311329437699E-2</v>
      </c>
      <c r="D6791" s="1">
        <v>9.5501939253513305E-3</v>
      </c>
      <c r="E6791" s="1">
        <v>7.9868861607142808E-3</v>
      </c>
      <c r="F6791" s="1">
        <v>1.1781754657614401E-2</v>
      </c>
    </row>
    <row r="6792" spans="1:6" x14ac:dyDescent="0.25">
      <c r="A6792" s="2" t="str">
        <f t="shared" si="255"/>
        <v>41700</v>
      </c>
      <c r="B6792" s="2" t="str">
        <f>"78221"</f>
        <v>78221</v>
      </c>
      <c r="C6792" s="1">
        <v>1.29216845458724E-2</v>
      </c>
      <c r="D6792" s="1">
        <v>1.0154636578854501E-2</v>
      </c>
      <c r="E6792" s="1">
        <v>2.2914341517857099E-2</v>
      </c>
      <c r="F6792" s="1">
        <v>1.29314765737956E-2</v>
      </c>
    </row>
    <row r="6793" spans="1:6" x14ac:dyDescent="0.25">
      <c r="A6793" s="2" t="str">
        <f t="shared" si="255"/>
        <v>41700</v>
      </c>
      <c r="B6793" s="2" t="str">
        <f>"78154"</f>
        <v>78154</v>
      </c>
      <c r="C6793" s="1">
        <v>1.55672581589582E-2</v>
      </c>
      <c r="D6793" s="1">
        <v>1.6753135546265001E-2</v>
      </c>
      <c r="E6793" s="1">
        <v>1.4404296875E-2</v>
      </c>
      <c r="F6793" s="1">
        <v>1.5637045198132599E-2</v>
      </c>
    </row>
    <row r="6794" spans="1:6" x14ac:dyDescent="0.25">
      <c r="A6794" s="2" t="str">
        <f t="shared" si="255"/>
        <v>41700</v>
      </c>
      <c r="B6794" s="2" t="str">
        <f>"78215"</f>
        <v>78215</v>
      </c>
      <c r="C6794" s="1">
        <v>2.8657297389299802E-3</v>
      </c>
      <c r="D6794" s="1">
        <v>7.6159774341409301E-3</v>
      </c>
      <c r="E6794" s="1">
        <v>7.7078683035714203E-3</v>
      </c>
      <c r="F6794" s="1">
        <v>3.3705876319698701E-3</v>
      </c>
    </row>
    <row r="6795" spans="1:6" x14ac:dyDescent="0.25">
      <c r="A6795" s="2" t="str">
        <f t="shared" si="255"/>
        <v>41700</v>
      </c>
      <c r="B6795" s="2" t="str">
        <f>"78016"</f>
        <v>78016</v>
      </c>
      <c r="C6795" s="1">
        <v>4.1246897694928297E-3</v>
      </c>
      <c r="D6795" s="1">
        <v>3.2841384173676498E-3</v>
      </c>
      <c r="E6795" s="1">
        <v>2.9994419642857101E-3</v>
      </c>
      <c r="F6795" s="1">
        <v>4.0289895350491397E-3</v>
      </c>
    </row>
    <row r="6796" spans="1:6" x14ac:dyDescent="0.25">
      <c r="A6796" s="2" t="str">
        <f t="shared" si="255"/>
        <v>41700</v>
      </c>
      <c r="B6796" s="2" t="str">
        <f>"78130"</f>
        <v>78130</v>
      </c>
      <c r="C6796" s="1">
        <v>3.4426682922452302E-2</v>
      </c>
      <c r="D6796" s="1">
        <v>3.2851458217901502E-2</v>
      </c>
      <c r="E6796" s="1">
        <v>2.4693080357142801E-2</v>
      </c>
      <c r="F6796" s="1">
        <v>3.40665085178678E-2</v>
      </c>
    </row>
    <row r="6797" spans="1:6" x14ac:dyDescent="0.25">
      <c r="A6797" s="2" t="str">
        <f>"28780"</f>
        <v>28780</v>
      </c>
      <c r="B6797" s="2" t="str">
        <f>"78385"</f>
        <v>78385</v>
      </c>
      <c r="C6797" s="1">
        <v>0</v>
      </c>
      <c r="D6797" s="1">
        <v>7.0175438596491201E-4</v>
      </c>
      <c r="E6797" s="1">
        <v>0</v>
      </c>
      <c r="F6797" s="1">
        <v>5.9283851078965998E-5</v>
      </c>
    </row>
    <row r="6798" spans="1:6" x14ac:dyDescent="0.25">
      <c r="A6798" s="2" t="str">
        <f>"28780"</f>
        <v>28780</v>
      </c>
      <c r="B6798" s="2" t="str">
        <f>"78379"</f>
        <v>78379</v>
      </c>
      <c r="C6798" s="1">
        <v>6.1932009424436198E-2</v>
      </c>
      <c r="D6798" s="1">
        <v>1.4035087719298201E-2</v>
      </c>
      <c r="E6798" s="1">
        <v>4.9319727891156399E-2</v>
      </c>
      <c r="F6798" s="1">
        <v>5.7446051695518099E-2</v>
      </c>
    </row>
    <row r="6799" spans="1:6" x14ac:dyDescent="0.25">
      <c r="A6799" s="2" t="str">
        <f>"28780"</f>
        <v>28780</v>
      </c>
      <c r="B6799" s="2" t="str">
        <f>"78338"</f>
        <v>78338</v>
      </c>
      <c r="C6799" s="1">
        <v>0</v>
      </c>
      <c r="D6799" s="1">
        <v>7.0175438596491201E-4</v>
      </c>
      <c r="E6799" s="1">
        <v>0</v>
      </c>
      <c r="F6799" s="1">
        <v>5.9283851078965998E-5</v>
      </c>
    </row>
    <row r="6800" spans="1:6" x14ac:dyDescent="0.25">
      <c r="A6800" s="2" t="str">
        <f>"28780"</f>
        <v>28780</v>
      </c>
      <c r="B6800" s="2" t="str">
        <f>"78363"</f>
        <v>78363</v>
      </c>
      <c r="C6800" s="1">
        <v>0.938067990575563</v>
      </c>
      <c r="D6800" s="1">
        <v>0.98456140350877097</v>
      </c>
      <c r="E6800" s="1">
        <v>0.95068027210884298</v>
      </c>
      <c r="F6800" s="1">
        <v>0.94243538060232301</v>
      </c>
    </row>
    <row r="6801" spans="1:6" x14ac:dyDescent="0.25">
      <c r="A6801" s="2" t="str">
        <f t="shared" ref="A6801:A6834" si="256">"32580"</f>
        <v>32580</v>
      </c>
      <c r="B6801" s="2" t="str">
        <f>"78589"</f>
        <v>78589</v>
      </c>
      <c r="C6801" s="1">
        <v>4.47813631695584E-2</v>
      </c>
      <c r="D6801" s="1">
        <v>3.2822464856923403E-2</v>
      </c>
      <c r="E6801" s="1">
        <v>2.65725058351786E-2</v>
      </c>
      <c r="F6801" s="1">
        <v>4.3036694444736998E-2</v>
      </c>
    </row>
    <row r="6802" spans="1:6" x14ac:dyDescent="0.25">
      <c r="A6802" s="2" t="str">
        <f t="shared" si="256"/>
        <v>32580</v>
      </c>
      <c r="B6802" s="2" t="str">
        <f>"78540"</f>
        <v>78540</v>
      </c>
      <c r="C6802" s="1">
        <v>8.4529965347218405E-3</v>
      </c>
      <c r="D6802" s="1">
        <v>1.7262679889144799E-2</v>
      </c>
      <c r="E6802" s="1">
        <v>1.1969597223053399E-4</v>
      </c>
      <c r="F6802" s="1">
        <v>8.7811713144891907E-3</v>
      </c>
    </row>
    <row r="6803" spans="1:6" x14ac:dyDescent="0.25">
      <c r="A6803" s="2" t="str">
        <f t="shared" si="256"/>
        <v>32580</v>
      </c>
      <c r="B6803" s="2" t="str">
        <f>"78563"</f>
        <v>78563</v>
      </c>
      <c r="C6803" s="1">
        <v>1.7716760055011999E-4</v>
      </c>
      <c r="D6803" s="1">
        <v>1.33560385989515E-4</v>
      </c>
      <c r="E6803" s="1">
        <v>2.3939194446106799E-4</v>
      </c>
      <c r="F6803" s="1">
        <v>1.7646625017119801E-4</v>
      </c>
    </row>
    <row r="6804" spans="1:6" x14ac:dyDescent="0.25">
      <c r="A6804" s="2" t="str">
        <f t="shared" si="256"/>
        <v>32580</v>
      </c>
      <c r="B6804" s="2" t="str">
        <f>"78570"</f>
        <v>78570</v>
      </c>
      <c r="C6804" s="1">
        <v>3.4986096847617797E-2</v>
      </c>
      <c r="D6804" s="1">
        <v>2.2137633977762101E-2</v>
      </c>
      <c r="E6804" s="1">
        <v>1.9390747501346499E-2</v>
      </c>
      <c r="F6804" s="1">
        <v>3.3286275666620999E-2</v>
      </c>
    </row>
    <row r="6805" spans="1:6" x14ac:dyDescent="0.25">
      <c r="A6805" s="2" t="str">
        <f t="shared" si="256"/>
        <v>32580</v>
      </c>
      <c r="B6805" s="2" t="str">
        <f>"78543"</f>
        <v>78543</v>
      </c>
      <c r="C6805" s="1">
        <v>9.0085220618705192E-6</v>
      </c>
      <c r="D6805" s="1">
        <v>1.6695048248689399E-4</v>
      </c>
      <c r="E6805" s="1">
        <v>1.1969597223053399E-4</v>
      </c>
      <c r="F6805" s="1">
        <v>2.6338246294208699E-5</v>
      </c>
    </row>
    <row r="6806" spans="1:6" x14ac:dyDescent="0.25">
      <c r="A6806" s="2" t="str">
        <f t="shared" si="256"/>
        <v>32580</v>
      </c>
      <c r="B6806" s="2" t="str">
        <f>"78599"</f>
        <v>78599</v>
      </c>
      <c r="C6806" s="1">
        <v>3.3866037271258601E-2</v>
      </c>
      <c r="D6806" s="1">
        <v>2.6511736618918799E-2</v>
      </c>
      <c r="E6806" s="1">
        <v>1.69369800706206E-2</v>
      </c>
      <c r="F6806" s="1">
        <v>3.2540903296494901E-2</v>
      </c>
    </row>
    <row r="6807" spans="1:6" x14ac:dyDescent="0.25">
      <c r="A6807" s="2" t="str">
        <f t="shared" si="256"/>
        <v>32580</v>
      </c>
      <c r="B6807" s="2" t="str">
        <f>"78596"</f>
        <v>78596</v>
      </c>
      <c r="C6807" s="1">
        <v>5.0594862740152097E-2</v>
      </c>
      <c r="D6807" s="1">
        <v>5.0552606097031598E-2</v>
      </c>
      <c r="E6807" s="1">
        <v>3.5310311808007602E-2</v>
      </c>
      <c r="F6807" s="1">
        <v>4.9918878201413802E-2</v>
      </c>
    </row>
    <row r="6808" spans="1:6" x14ac:dyDescent="0.25">
      <c r="A6808" s="2" t="str">
        <f t="shared" si="256"/>
        <v>32580</v>
      </c>
      <c r="B6808" s="2" t="str">
        <f>"78537"</f>
        <v>78537</v>
      </c>
      <c r="C6808" s="1">
        <v>6.3810364604916195E-2</v>
      </c>
      <c r="D6808" s="1">
        <v>3.0919229356572799E-2</v>
      </c>
      <c r="E6808" s="1">
        <v>2.7410377640792301E-2</v>
      </c>
      <c r="F6808" s="1">
        <v>5.9613986662311998E-2</v>
      </c>
    </row>
    <row r="6809" spans="1:6" x14ac:dyDescent="0.25">
      <c r="A6809" s="2" t="str">
        <f t="shared" si="256"/>
        <v>32580</v>
      </c>
      <c r="B6809" s="2" t="str">
        <f>"78573"</f>
        <v>78573</v>
      </c>
      <c r="C6809" s="1">
        <v>5.3474586959263402E-2</v>
      </c>
      <c r="D6809" s="1">
        <v>3.3523656883368301E-2</v>
      </c>
      <c r="E6809" s="1">
        <v>5.3384403614818297E-2</v>
      </c>
      <c r="F6809" s="1">
        <v>5.1896880498108901E-2</v>
      </c>
    </row>
    <row r="6810" spans="1:6" x14ac:dyDescent="0.25">
      <c r="A6810" s="2" t="str">
        <f t="shared" si="256"/>
        <v>32580</v>
      </c>
      <c r="B6810" s="2" t="str">
        <f>"78548"</f>
        <v>78548</v>
      </c>
      <c r="C6810" s="1">
        <v>3.0028406872901699E-6</v>
      </c>
      <c r="D6810" s="1">
        <v>0</v>
      </c>
      <c r="E6810" s="1">
        <v>0</v>
      </c>
      <c r="F6810" s="1">
        <v>2.6338246294208699E-6</v>
      </c>
    </row>
    <row r="6811" spans="1:6" x14ac:dyDescent="0.25">
      <c r="A6811" s="2" t="str">
        <f t="shared" si="256"/>
        <v>32580</v>
      </c>
      <c r="B6811" s="2" t="str">
        <f>"78505"</f>
        <v>78505</v>
      </c>
      <c r="C6811" s="1">
        <v>5.0717979208331002E-3</v>
      </c>
      <c r="D6811" s="1">
        <v>8.4476944138368506E-3</v>
      </c>
      <c r="E6811" s="1">
        <v>1.1969597223053399E-4</v>
      </c>
      <c r="F6811" s="1">
        <v>5.1201550795941797E-3</v>
      </c>
    </row>
    <row r="6812" spans="1:6" x14ac:dyDescent="0.25">
      <c r="A6812" s="2" t="str">
        <f t="shared" si="256"/>
        <v>32580</v>
      </c>
      <c r="B6812" s="2" t="str">
        <f>"78577"</f>
        <v>78577</v>
      </c>
      <c r="C6812" s="1">
        <v>9.2532535778846695E-2</v>
      </c>
      <c r="D6812" s="1">
        <v>0.102240475474974</v>
      </c>
      <c r="E6812" s="1">
        <v>0.13382009695373701</v>
      </c>
      <c r="F6812" s="1">
        <v>9.5115308842275995E-2</v>
      </c>
    </row>
    <row r="6813" spans="1:6" x14ac:dyDescent="0.25">
      <c r="A6813" s="2" t="str">
        <f t="shared" si="256"/>
        <v>32580</v>
      </c>
      <c r="B6813" s="2" t="str">
        <f>"78565"</f>
        <v>78565</v>
      </c>
      <c r="C6813" s="1">
        <v>0</v>
      </c>
      <c r="D6813" s="1">
        <v>3.3390096497378797E-5</v>
      </c>
      <c r="E6813" s="1">
        <v>5.98479861152672E-5</v>
      </c>
      <c r="F6813" s="1">
        <v>5.2676492588417398E-6</v>
      </c>
    </row>
    <row r="6814" spans="1:6" x14ac:dyDescent="0.25">
      <c r="A6814" s="2" t="str">
        <f t="shared" si="256"/>
        <v>32580</v>
      </c>
      <c r="B6814" s="2" t="str">
        <f>"78557"</f>
        <v>78557</v>
      </c>
      <c r="C6814" s="1">
        <v>2.1076938784089699E-2</v>
      </c>
      <c r="D6814" s="1">
        <v>2.9182944338709101E-2</v>
      </c>
      <c r="E6814" s="1">
        <v>1.32862529175893E-2</v>
      </c>
      <c r="F6814" s="1">
        <v>2.1373486867750299E-2</v>
      </c>
    </row>
    <row r="6815" spans="1:6" x14ac:dyDescent="0.25">
      <c r="A6815" s="2" t="str">
        <f t="shared" si="256"/>
        <v>32580</v>
      </c>
      <c r="B6815" s="2" t="str">
        <f>"78574"</f>
        <v>78574</v>
      </c>
      <c r="C6815" s="1">
        <v>5.7090007146760803E-2</v>
      </c>
      <c r="D6815" s="1">
        <v>2.1970683495275301E-2</v>
      </c>
      <c r="E6815" s="1">
        <v>2.92656652103656E-2</v>
      </c>
      <c r="F6815" s="1">
        <v>5.3095270704495399E-2</v>
      </c>
    </row>
    <row r="6816" spans="1:6" x14ac:dyDescent="0.25">
      <c r="A6816" s="2" t="str">
        <f t="shared" si="256"/>
        <v>32580</v>
      </c>
      <c r="B6816" s="2" t="str">
        <f>"78579"</f>
        <v>78579</v>
      </c>
      <c r="C6816" s="1">
        <v>5.3690791488748297E-3</v>
      </c>
      <c r="D6816" s="1">
        <v>2.0367958863401099E-3</v>
      </c>
      <c r="E6816" s="1">
        <v>5.98479861152672E-5</v>
      </c>
      <c r="F6816" s="1">
        <v>4.8725755644286103E-3</v>
      </c>
    </row>
    <row r="6817" spans="1:6" x14ac:dyDescent="0.25">
      <c r="A6817" s="2" t="str">
        <f t="shared" si="256"/>
        <v>32580</v>
      </c>
      <c r="B6817" s="2" t="str">
        <f>"78576"</f>
        <v>78576</v>
      </c>
      <c r="C6817" s="1">
        <v>1.48730699241482E-2</v>
      </c>
      <c r="D6817" s="1">
        <v>6.04360746602557E-3</v>
      </c>
      <c r="E6817" s="1">
        <v>6.3438865282183197E-3</v>
      </c>
      <c r="F6817" s="1">
        <v>1.38012410581653E-2</v>
      </c>
    </row>
    <row r="6818" spans="1:6" x14ac:dyDescent="0.25">
      <c r="A6818" s="2" t="str">
        <f t="shared" si="256"/>
        <v>32580</v>
      </c>
      <c r="B6818" s="2" t="str">
        <f>"78558"</f>
        <v>78558</v>
      </c>
      <c r="C6818" s="1">
        <v>0</v>
      </c>
      <c r="D6818" s="1">
        <v>6.6780192994757702E-5</v>
      </c>
      <c r="E6818" s="1">
        <v>0</v>
      </c>
      <c r="F6818" s="1">
        <v>5.2676492588417398E-6</v>
      </c>
    </row>
    <row r="6819" spans="1:6" x14ac:dyDescent="0.25">
      <c r="A6819" s="2" t="str">
        <f t="shared" si="256"/>
        <v>32580</v>
      </c>
      <c r="B6819" s="2" t="str">
        <f>"78562"</f>
        <v>78562</v>
      </c>
      <c r="C6819" s="1">
        <v>3.0028406872901699E-6</v>
      </c>
      <c r="D6819" s="1">
        <v>6.6780192994757702E-5</v>
      </c>
      <c r="E6819" s="1">
        <v>5.98479861152672E-5</v>
      </c>
      <c r="F6819" s="1">
        <v>1.05352985176834E-5</v>
      </c>
    </row>
    <row r="6820" spans="1:6" x14ac:dyDescent="0.25">
      <c r="A6820" s="2" t="str">
        <f t="shared" si="256"/>
        <v>32580</v>
      </c>
      <c r="B6820" s="2" t="str">
        <f>"78560"</f>
        <v>78560</v>
      </c>
      <c r="C6820" s="1">
        <v>4.45921842062591E-3</v>
      </c>
      <c r="D6820" s="1">
        <v>5.3758055360779902E-3</v>
      </c>
      <c r="E6820" s="1">
        <v>7.6006942366389297E-3</v>
      </c>
      <c r="F6820" s="1">
        <v>4.6697710679632102E-3</v>
      </c>
    </row>
    <row r="6821" spans="1:6" x14ac:dyDescent="0.25">
      <c r="A6821" s="2" t="str">
        <f t="shared" si="256"/>
        <v>32580</v>
      </c>
      <c r="B6821" s="2" t="str">
        <f>"78542"</f>
        <v>78542</v>
      </c>
      <c r="C6821" s="1">
        <v>7.2032142406716695E-2</v>
      </c>
      <c r="D6821" s="1">
        <v>2.3706968513138998E-2</v>
      </c>
      <c r="E6821" s="1">
        <v>4.4167813753067199E-2</v>
      </c>
      <c r="F6821" s="1">
        <v>6.6993963273949297E-2</v>
      </c>
    </row>
    <row r="6822" spans="1:6" x14ac:dyDescent="0.25">
      <c r="A6822" s="2" t="str">
        <f t="shared" si="256"/>
        <v>32580</v>
      </c>
      <c r="B6822" s="2" t="str">
        <f>"78503"</f>
        <v>78503</v>
      </c>
      <c r="C6822" s="1">
        <v>2.61637509083593E-2</v>
      </c>
      <c r="D6822" s="1">
        <v>7.0453103609469395E-2</v>
      </c>
      <c r="E6822" s="1">
        <v>4.1354958405649601E-2</v>
      </c>
      <c r="F6822" s="1">
        <v>3.0325856783151899E-2</v>
      </c>
    </row>
    <row r="6823" spans="1:6" x14ac:dyDescent="0.25">
      <c r="A6823" s="2" t="str">
        <f t="shared" si="256"/>
        <v>32580</v>
      </c>
      <c r="B6823" s="2" t="str">
        <f>"78502"</f>
        <v>78502</v>
      </c>
      <c r="C6823" s="1">
        <v>7.1407551543760297E-3</v>
      </c>
      <c r="D6823" s="1">
        <v>2.6378176232929301E-2</v>
      </c>
      <c r="E6823" s="1">
        <v>5.98479861152672E-5</v>
      </c>
      <c r="F6823" s="1">
        <v>8.34659025063475E-3</v>
      </c>
    </row>
    <row r="6824" spans="1:6" x14ac:dyDescent="0.25">
      <c r="A6824" s="2" t="str">
        <f t="shared" si="256"/>
        <v>32580</v>
      </c>
      <c r="B6824" s="2" t="str">
        <f>"78516"</f>
        <v>78516</v>
      </c>
      <c r="C6824" s="1">
        <v>4.6156664204337297E-2</v>
      </c>
      <c r="D6824" s="1">
        <v>2.2337974556746399E-2</v>
      </c>
      <c r="E6824" s="1">
        <v>1.4902148542701501E-2</v>
      </c>
      <c r="F6824" s="1">
        <v>4.2902369388636598E-2</v>
      </c>
    </row>
    <row r="6825" spans="1:6" x14ac:dyDescent="0.25">
      <c r="A6825" s="2" t="str">
        <f t="shared" si="256"/>
        <v>32580</v>
      </c>
      <c r="B6825" s="2" t="str">
        <f>"78538"</f>
        <v>78538</v>
      </c>
      <c r="C6825" s="1">
        <v>8.81934309857124E-3</v>
      </c>
      <c r="D6825" s="1">
        <v>5.3424154395806205E-4</v>
      </c>
      <c r="E6825" s="1">
        <v>1.3166556945358699E-3</v>
      </c>
      <c r="F6825" s="1">
        <v>7.8356282725271006E-3</v>
      </c>
    </row>
    <row r="6826" spans="1:6" x14ac:dyDescent="0.25">
      <c r="A6826" s="2" t="str">
        <f t="shared" si="256"/>
        <v>32580</v>
      </c>
      <c r="B6826" s="2" t="str">
        <f>"78504"</f>
        <v>78504</v>
      </c>
      <c r="C6826" s="1">
        <v>6.4813313394471106E-2</v>
      </c>
      <c r="D6826" s="1">
        <v>9.5428895789508805E-2</v>
      </c>
      <c r="E6826" s="1">
        <v>6.8466096115865696E-2</v>
      </c>
      <c r="F6826" s="1">
        <v>6.7389036968362404E-2</v>
      </c>
    </row>
    <row r="6827" spans="1:6" x14ac:dyDescent="0.25">
      <c r="A6827" s="2" t="str">
        <f t="shared" si="256"/>
        <v>32580</v>
      </c>
      <c r="B6827" s="2" t="str">
        <f>"78595"</f>
        <v>78595</v>
      </c>
      <c r="C6827" s="1">
        <v>3.74153949636355E-3</v>
      </c>
      <c r="D6827" s="1">
        <v>1.1352632809108799E-3</v>
      </c>
      <c r="E6827" s="1">
        <v>1.0772637500748E-3</v>
      </c>
      <c r="F6827" s="1">
        <v>3.4187043689882898E-3</v>
      </c>
    </row>
    <row r="6828" spans="1:6" x14ac:dyDescent="0.25">
      <c r="A6828" s="2" t="str">
        <f t="shared" si="256"/>
        <v>32580</v>
      </c>
      <c r="B6828" s="2" t="str">
        <f>"78541"</f>
        <v>78541</v>
      </c>
      <c r="C6828" s="1">
        <v>4.9712027578088798E-2</v>
      </c>
      <c r="D6828" s="1">
        <v>2.11359310828408E-2</v>
      </c>
      <c r="E6828" s="1">
        <v>0.124603507091986</v>
      </c>
      <c r="F6828" s="1">
        <v>5.0753800608940199E-2</v>
      </c>
    </row>
    <row r="6829" spans="1:6" x14ac:dyDescent="0.25">
      <c r="A6829" s="2" t="str">
        <f t="shared" si="256"/>
        <v>32580</v>
      </c>
      <c r="B6829" s="2" t="str">
        <f>"78501"</f>
        <v>78501</v>
      </c>
      <c r="C6829" s="1">
        <v>7.4182176338816505E-2</v>
      </c>
      <c r="D6829" s="1">
        <v>0.17513105612875199</v>
      </c>
      <c r="E6829" s="1">
        <v>0.14746543778801799</v>
      </c>
      <c r="F6829" s="1">
        <v>8.5370157713418798E-2</v>
      </c>
    </row>
    <row r="6830" spans="1:6" x14ac:dyDescent="0.25">
      <c r="A6830" s="2" t="str">
        <f t="shared" si="256"/>
        <v>32580</v>
      </c>
      <c r="B6830" s="2" t="str">
        <f>"78539"</f>
        <v>78539</v>
      </c>
      <c r="C6830" s="1">
        <v>4.3724363247632202E-2</v>
      </c>
      <c r="D6830" s="1">
        <v>7.9368259374269501E-2</v>
      </c>
      <c r="E6830" s="1">
        <v>0.103955951882219</v>
      </c>
      <c r="F6830" s="1">
        <v>4.9186674954434802E-2</v>
      </c>
    </row>
    <row r="6831" spans="1:6" x14ac:dyDescent="0.25">
      <c r="A6831" s="2" t="str">
        <f t="shared" si="256"/>
        <v>32580</v>
      </c>
      <c r="B6831" s="2" t="str">
        <f>"78572"</f>
        <v>78572</v>
      </c>
      <c r="C6831" s="1">
        <v>0.112852758709739</v>
      </c>
      <c r="D6831" s="1">
        <v>9.4694313666566401E-2</v>
      </c>
      <c r="E6831" s="1">
        <v>8.2530372852953393E-2</v>
      </c>
      <c r="F6831" s="1">
        <v>0.11008596803590399</v>
      </c>
    </row>
    <row r="6832" spans="1:6" x14ac:dyDescent="0.25">
      <c r="A6832" s="2" t="str">
        <f t="shared" si="256"/>
        <v>32580</v>
      </c>
      <c r="B6832" s="2" t="str">
        <f>"78559"</f>
        <v>78559</v>
      </c>
      <c r="C6832" s="1">
        <v>0</v>
      </c>
      <c r="D6832" s="1">
        <v>6.6780192994757702E-5</v>
      </c>
      <c r="E6832" s="1">
        <v>0</v>
      </c>
      <c r="F6832" s="1">
        <v>5.2676492588417398E-6</v>
      </c>
    </row>
    <row r="6833" spans="1:6" x14ac:dyDescent="0.25">
      <c r="A6833" s="2" t="str">
        <f t="shared" si="256"/>
        <v>32580</v>
      </c>
      <c r="B6833" s="2" t="str">
        <f>"78569"</f>
        <v>78569</v>
      </c>
      <c r="C6833" s="1">
        <v>3.0028406872901701E-5</v>
      </c>
      <c r="D6833" s="1">
        <v>6.6780192994757702E-5</v>
      </c>
      <c r="E6833" s="1">
        <v>0</v>
      </c>
      <c r="F6833" s="1">
        <v>3.1605895553050398E-5</v>
      </c>
    </row>
    <row r="6834" spans="1:6" x14ac:dyDescent="0.25">
      <c r="A6834" s="2" t="str">
        <f t="shared" si="256"/>
        <v>32580</v>
      </c>
      <c r="B6834" s="2" t="str">
        <f>"78549"</f>
        <v>78549</v>
      </c>
      <c r="C6834" s="1">
        <v>0</v>
      </c>
      <c r="D6834" s="1">
        <v>6.6780192994757702E-5</v>
      </c>
      <c r="E6834" s="1">
        <v>0</v>
      </c>
      <c r="F6834" s="1">
        <v>5.2676492588417398E-6</v>
      </c>
    </row>
    <row r="6835" spans="1:6" x14ac:dyDescent="0.25">
      <c r="A6835" s="2" t="str">
        <f t="shared" ref="A6835:A6840" si="257">"39700"</f>
        <v>39700</v>
      </c>
      <c r="B6835" s="2" t="str">
        <f>"78580"</f>
        <v>78580</v>
      </c>
      <c r="C6835" s="1">
        <v>0.803059273422562</v>
      </c>
      <c r="D6835" s="1">
        <v>0.955032119914346</v>
      </c>
      <c r="E6835" s="1">
        <v>0.87368421052631495</v>
      </c>
      <c r="F6835" s="1">
        <v>0.81647099447513805</v>
      </c>
    </row>
    <row r="6836" spans="1:6" x14ac:dyDescent="0.25">
      <c r="A6836" s="2" t="str">
        <f t="shared" si="257"/>
        <v>39700</v>
      </c>
      <c r="B6836" s="2" t="str">
        <f>"78598"</f>
        <v>78598</v>
      </c>
      <c r="C6836" s="1">
        <v>5.7743785850860402E-2</v>
      </c>
      <c r="D6836" s="1">
        <v>0</v>
      </c>
      <c r="E6836" s="1">
        <v>2.1052631578947299E-2</v>
      </c>
      <c r="F6836" s="1">
        <v>5.2486187845303803E-2</v>
      </c>
    </row>
    <row r="6837" spans="1:6" x14ac:dyDescent="0.25">
      <c r="A6837" s="2" t="str">
        <f t="shared" si="257"/>
        <v>39700</v>
      </c>
      <c r="B6837" s="2" t="str">
        <f>"78594"</f>
        <v>78594</v>
      </c>
      <c r="C6837" s="1">
        <v>0</v>
      </c>
      <c r="D6837" s="1">
        <v>4.28265524625267E-3</v>
      </c>
      <c r="E6837" s="1">
        <v>0</v>
      </c>
      <c r="F6837" s="1">
        <v>3.4530386740331398E-4</v>
      </c>
    </row>
    <row r="6838" spans="1:6" x14ac:dyDescent="0.25">
      <c r="A6838" s="2" t="str">
        <f t="shared" si="257"/>
        <v>39700</v>
      </c>
      <c r="B6838" s="2" t="str">
        <f>"78561"</f>
        <v>78561</v>
      </c>
      <c r="C6838" s="1">
        <v>1.91204588910133E-4</v>
      </c>
      <c r="D6838" s="1">
        <v>4.28265524625267E-3</v>
      </c>
      <c r="E6838" s="1">
        <v>0</v>
      </c>
      <c r="F6838" s="1">
        <v>5.1795580110497203E-4</v>
      </c>
    </row>
    <row r="6839" spans="1:6" x14ac:dyDescent="0.25">
      <c r="A6839" s="2" t="str">
        <f t="shared" si="257"/>
        <v>39700</v>
      </c>
      <c r="B6839" s="2" t="str">
        <f>"78590"</f>
        <v>78590</v>
      </c>
      <c r="C6839" s="1">
        <v>0</v>
      </c>
      <c r="D6839" s="1">
        <v>2.1413276231263302E-3</v>
      </c>
      <c r="E6839" s="1">
        <v>0</v>
      </c>
      <c r="F6839" s="1">
        <v>1.7265193370165699E-4</v>
      </c>
    </row>
    <row r="6840" spans="1:6" x14ac:dyDescent="0.25">
      <c r="A6840" s="2" t="str">
        <f t="shared" si="257"/>
        <v>39700</v>
      </c>
      <c r="B6840" s="2" t="str">
        <f>"78569"</f>
        <v>78569</v>
      </c>
      <c r="C6840" s="1">
        <v>0.13900573613766701</v>
      </c>
      <c r="D6840" s="1">
        <v>3.4261241970021401E-2</v>
      </c>
      <c r="E6840" s="1">
        <v>0.105263157894736</v>
      </c>
      <c r="F6840" s="1">
        <v>0.13000690607734799</v>
      </c>
    </row>
    <row r="6841" spans="1:6" x14ac:dyDescent="0.25">
      <c r="A6841" s="2" t="str">
        <f t="shared" ref="A6841:A6855" si="258">"20780"</f>
        <v>20780</v>
      </c>
      <c r="B6841" s="2" t="str">
        <f>"81658"</f>
        <v>81658</v>
      </c>
      <c r="C6841" s="1">
        <v>0.17002744739249701</v>
      </c>
      <c r="D6841" s="1">
        <v>0.17315387413604899</v>
      </c>
      <c r="E6841" s="1">
        <v>8.57265323617659E-4</v>
      </c>
      <c r="F6841" s="1">
        <v>0.158113987718702</v>
      </c>
    </row>
    <row r="6842" spans="1:6" x14ac:dyDescent="0.25">
      <c r="A6842" s="2" t="str">
        <f t="shared" si="258"/>
        <v>20780</v>
      </c>
      <c r="B6842" s="2" t="str">
        <f>"81621"</f>
        <v>81621</v>
      </c>
      <c r="C6842" s="1">
        <v>5.6870997255260701E-2</v>
      </c>
      <c r="D6842" s="1">
        <v>0.13132048017460801</v>
      </c>
      <c r="E6842" s="1">
        <v>5.3579082726103698E-2</v>
      </c>
      <c r="F6842" s="1">
        <v>6.2949362791989302E-2</v>
      </c>
    </row>
    <row r="6843" spans="1:6" x14ac:dyDescent="0.25">
      <c r="A6843" s="2" t="str">
        <f t="shared" si="258"/>
        <v>20780</v>
      </c>
      <c r="B6843" s="2" t="str">
        <f>"81631"</f>
        <v>81631</v>
      </c>
      <c r="C6843" s="1">
        <v>3.6596523330283602E-5</v>
      </c>
      <c r="D6843" s="1">
        <v>1.0913059294288801E-3</v>
      </c>
      <c r="E6843" s="1">
        <v>4.2863266180882901E-4</v>
      </c>
      <c r="F6843" s="1">
        <v>1.5428765390193401E-4</v>
      </c>
    </row>
    <row r="6844" spans="1:6" x14ac:dyDescent="0.25">
      <c r="A6844" s="2" t="str">
        <f t="shared" si="258"/>
        <v>20780</v>
      </c>
      <c r="B6844" s="2" t="str">
        <f>"81620"</f>
        <v>81620</v>
      </c>
      <c r="C6844" s="1">
        <v>0.27019213174748302</v>
      </c>
      <c r="D6844" s="1">
        <v>0.239723535831211</v>
      </c>
      <c r="E6844" s="1">
        <v>4.2863266180882898E-3</v>
      </c>
      <c r="F6844" s="1">
        <v>0.24846483784367501</v>
      </c>
    </row>
    <row r="6845" spans="1:6" x14ac:dyDescent="0.25">
      <c r="A6845" s="2" t="str">
        <f t="shared" si="258"/>
        <v>20780</v>
      </c>
      <c r="B6845" s="2" t="str">
        <f>"81645"</f>
        <v>81645</v>
      </c>
      <c r="C6845" s="1">
        <v>4.5306495882891103E-2</v>
      </c>
      <c r="D6845" s="1">
        <v>2.0007275372862801E-2</v>
      </c>
      <c r="E6845" s="1">
        <v>8.57265323617659E-4</v>
      </c>
      <c r="F6845" s="1">
        <v>3.99605023606011E-2</v>
      </c>
    </row>
    <row r="6846" spans="1:6" x14ac:dyDescent="0.25">
      <c r="A6846" s="2" t="str">
        <f t="shared" si="258"/>
        <v>20780</v>
      </c>
      <c r="B6846" s="2" t="str">
        <f>"81642"</f>
        <v>81642</v>
      </c>
      <c r="C6846" s="1">
        <v>1.8298261665141799E-4</v>
      </c>
      <c r="D6846" s="1">
        <v>0</v>
      </c>
      <c r="E6846" s="1">
        <v>0</v>
      </c>
      <c r="F6846" s="1">
        <v>1.5428765390193401E-4</v>
      </c>
    </row>
    <row r="6847" spans="1:6" x14ac:dyDescent="0.25">
      <c r="A6847" s="2" t="str">
        <f t="shared" si="258"/>
        <v>20780</v>
      </c>
      <c r="B6847" s="2" t="str">
        <f>"80463"</f>
        <v>80463</v>
      </c>
      <c r="C6847" s="1">
        <v>7.6852698993595597E-4</v>
      </c>
      <c r="D6847" s="1">
        <v>0</v>
      </c>
      <c r="E6847" s="1">
        <v>8.57265323617659E-4</v>
      </c>
      <c r="F6847" s="1">
        <v>7.0972320794889898E-4</v>
      </c>
    </row>
    <row r="6848" spans="1:6" x14ac:dyDescent="0.25">
      <c r="A6848" s="2" t="str">
        <f t="shared" si="258"/>
        <v>20780</v>
      </c>
      <c r="B6848" s="2" t="str">
        <f>"80426"</f>
        <v>80426</v>
      </c>
      <c r="C6848" s="1">
        <v>0</v>
      </c>
      <c r="D6848" s="1">
        <v>0</v>
      </c>
      <c r="E6848" s="1">
        <v>4.2863266180882901E-4</v>
      </c>
      <c r="F6848" s="1">
        <v>3.08575307803869E-5</v>
      </c>
    </row>
    <row r="6849" spans="1:6" x14ac:dyDescent="0.25">
      <c r="A6849" s="2" t="str">
        <f t="shared" si="258"/>
        <v>20780</v>
      </c>
      <c r="B6849" s="2" t="str">
        <f>"81655"</f>
        <v>81655</v>
      </c>
      <c r="C6849" s="1">
        <v>0</v>
      </c>
      <c r="D6849" s="1">
        <v>3.6376864314296102E-4</v>
      </c>
      <c r="E6849" s="1">
        <v>0</v>
      </c>
      <c r="F6849" s="1">
        <v>3.08575307803869E-5</v>
      </c>
    </row>
    <row r="6850" spans="1:6" x14ac:dyDescent="0.25">
      <c r="A6850" s="2" t="str">
        <f t="shared" si="258"/>
        <v>20780</v>
      </c>
      <c r="B6850" s="2" t="str">
        <f>"80423"</f>
        <v>80423</v>
      </c>
      <c r="C6850" s="1">
        <v>2.0860018298261601E-3</v>
      </c>
      <c r="D6850" s="1">
        <v>3.6376864314296102E-4</v>
      </c>
      <c r="E6850" s="1">
        <v>8.57265323617659E-4</v>
      </c>
      <c r="F6850" s="1">
        <v>1.8514518468232099E-3</v>
      </c>
    </row>
    <row r="6851" spans="1:6" x14ac:dyDescent="0.25">
      <c r="A6851" s="2" t="str">
        <f t="shared" si="258"/>
        <v>20780</v>
      </c>
      <c r="B6851" s="2" t="str">
        <f>"81657"</f>
        <v>81657</v>
      </c>
      <c r="C6851" s="1">
        <v>0.19795059469350401</v>
      </c>
      <c r="D6851" s="1">
        <v>0.197526373226627</v>
      </c>
      <c r="E6851" s="1">
        <v>0.88598371195885095</v>
      </c>
      <c r="F6851" s="1">
        <v>0.24744653932792199</v>
      </c>
    </row>
    <row r="6852" spans="1:6" x14ac:dyDescent="0.25">
      <c r="A6852" s="2" t="str">
        <f t="shared" si="258"/>
        <v>20780</v>
      </c>
      <c r="B6852" s="2" t="str">
        <f>"81637"</f>
        <v>81637</v>
      </c>
      <c r="C6852" s="1">
        <v>2.0786825251600999E-2</v>
      </c>
      <c r="D6852" s="1">
        <v>1.6733357584576201E-2</v>
      </c>
      <c r="E6852" s="1">
        <v>7.7153879125589301E-3</v>
      </c>
      <c r="F6852" s="1">
        <v>1.9501959453204501E-2</v>
      </c>
    </row>
    <row r="6853" spans="1:6" x14ac:dyDescent="0.25">
      <c r="A6853" s="2" t="str">
        <f t="shared" si="258"/>
        <v>20780</v>
      </c>
      <c r="B6853" s="2" t="str">
        <f>"81649"</f>
        <v>81649</v>
      </c>
      <c r="C6853" s="1">
        <v>3.6962488563586399E-3</v>
      </c>
      <c r="D6853" s="1">
        <v>0</v>
      </c>
      <c r="E6853" s="1">
        <v>4.2863266180882901E-4</v>
      </c>
      <c r="F6853" s="1">
        <v>3.1474681395994601E-3</v>
      </c>
    </row>
    <row r="6854" spans="1:6" x14ac:dyDescent="0.25">
      <c r="A6854" s="2" t="str">
        <f t="shared" si="258"/>
        <v>20780</v>
      </c>
      <c r="B6854" s="2" t="str">
        <f>"81632"</f>
        <v>81632</v>
      </c>
      <c r="C6854" s="1">
        <v>0.18137236962488501</v>
      </c>
      <c r="D6854" s="1">
        <v>0.18697708257548101</v>
      </c>
      <c r="E6854" s="1">
        <v>2.9575653664809201E-2</v>
      </c>
      <c r="F6854" s="1">
        <v>0.17091986299256301</v>
      </c>
    </row>
    <row r="6855" spans="1:6" x14ac:dyDescent="0.25">
      <c r="A6855" s="2" t="str">
        <f t="shared" si="258"/>
        <v>20780</v>
      </c>
      <c r="B6855" s="2" t="str">
        <f>"81623"</f>
        <v>81623</v>
      </c>
      <c r="C6855" s="1">
        <v>5.0722781335773098E-2</v>
      </c>
      <c r="D6855" s="1">
        <v>3.2739177882866399E-2</v>
      </c>
      <c r="E6855" s="1">
        <v>1.4144877839691299E-2</v>
      </c>
      <c r="F6855" s="1">
        <v>4.6564013947603899E-2</v>
      </c>
    </row>
    <row r="6856" spans="1:6" x14ac:dyDescent="0.25">
      <c r="A6856" s="2" t="str">
        <f t="shared" ref="A6856:A6903" si="259">"24540"</f>
        <v>24540</v>
      </c>
      <c r="B6856" s="2" t="str">
        <f>"80648"</f>
        <v>80648</v>
      </c>
      <c r="C6856" s="1">
        <v>3.9924206389432499E-3</v>
      </c>
      <c r="D6856" s="1">
        <v>5.4191903092126199E-3</v>
      </c>
      <c r="E6856" s="1">
        <v>8.5851648351648296E-4</v>
      </c>
      <c r="F6856" s="1">
        <v>3.9587950765971004E-3</v>
      </c>
    </row>
    <row r="6857" spans="1:6" x14ac:dyDescent="0.25">
      <c r="A6857" s="2" t="str">
        <f t="shared" si="259"/>
        <v>24540</v>
      </c>
      <c r="B6857" s="2" t="str">
        <f>"80624"</f>
        <v>80624</v>
      </c>
      <c r="C6857" s="1">
        <v>2.3782974509329899E-3</v>
      </c>
      <c r="D6857" s="1">
        <v>3.1877590054191901E-4</v>
      </c>
      <c r="E6857" s="1">
        <v>3.43406593406593E-4</v>
      </c>
      <c r="F6857" s="1">
        <v>2.1606099889878499E-3</v>
      </c>
    </row>
    <row r="6858" spans="1:6" x14ac:dyDescent="0.25">
      <c r="A6858" s="2" t="str">
        <f t="shared" si="259"/>
        <v>24540</v>
      </c>
      <c r="B6858" s="2" t="str">
        <f>"80621"</f>
        <v>80621</v>
      </c>
      <c r="C6858" s="1">
        <v>3.80527592149279E-2</v>
      </c>
      <c r="D6858" s="1">
        <v>4.1759642970991301E-2</v>
      </c>
      <c r="E6858" s="1">
        <v>1.5968406593406499E-2</v>
      </c>
      <c r="F6858" s="1">
        <v>3.7399461938415597E-2</v>
      </c>
    </row>
    <row r="6859" spans="1:6" x14ac:dyDescent="0.25">
      <c r="A6859" s="2" t="str">
        <f t="shared" si="259"/>
        <v>24540</v>
      </c>
      <c r="B6859" s="2" t="str">
        <f>"80612"</f>
        <v>80612</v>
      </c>
      <c r="C6859" s="1">
        <v>1.5127531327245899E-3</v>
      </c>
      <c r="D6859" s="1">
        <v>9.5632770162575704E-4</v>
      </c>
      <c r="E6859" s="1">
        <v>1.7170329670329601E-4</v>
      </c>
      <c r="F6859" s="1">
        <v>1.4218207669468401E-3</v>
      </c>
    </row>
    <row r="6860" spans="1:6" x14ac:dyDescent="0.25">
      <c r="A6860" s="2" t="str">
        <f t="shared" si="259"/>
        <v>24540</v>
      </c>
      <c r="B6860" s="2" t="str">
        <f>"80543"</f>
        <v>80543</v>
      </c>
      <c r="C6860" s="1">
        <v>2.3143563391374099E-2</v>
      </c>
      <c r="D6860" s="1">
        <v>7.6506216130060502E-3</v>
      </c>
      <c r="E6860" s="1">
        <v>7.3832417582417502E-3</v>
      </c>
      <c r="F6860" s="1">
        <v>2.1487614825966301E-2</v>
      </c>
    </row>
    <row r="6861" spans="1:6" x14ac:dyDescent="0.25">
      <c r="A6861" s="2" t="str">
        <f t="shared" si="259"/>
        <v>24540</v>
      </c>
      <c r="B6861" s="2" t="str">
        <f>"80649"</f>
        <v>80649</v>
      </c>
      <c r="C6861" s="1">
        <v>5.0685027642834298E-4</v>
      </c>
      <c r="D6861" s="1">
        <v>0</v>
      </c>
      <c r="E6861" s="1">
        <v>0</v>
      </c>
      <c r="F6861" s="1">
        <v>4.5303112672325998E-4</v>
      </c>
    </row>
    <row r="6862" spans="1:6" x14ac:dyDescent="0.25">
      <c r="A6862" s="2" t="str">
        <f t="shared" si="259"/>
        <v>24540</v>
      </c>
      <c r="B6862" s="2" t="str">
        <f>"80639"</f>
        <v>80639</v>
      </c>
      <c r="C6862" s="1">
        <v>0</v>
      </c>
      <c r="D6862" s="1">
        <v>8.5006906811178396E-4</v>
      </c>
      <c r="E6862" s="1">
        <v>1.7170329670329601E-4</v>
      </c>
      <c r="F6862" s="1">
        <v>6.2727386777066806E-5</v>
      </c>
    </row>
    <row r="6863" spans="1:6" x14ac:dyDescent="0.25">
      <c r="A6863" s="2" t="str">
        <f t="shared" si="259"/>
        <v>24540</v>
      </c>
      <c r="B6863" s="2" t="str">
        <f>"80638"</f>
        <v>80638</v>
      </c>
      <c r="C6863" s="1">
        <v>0</v>
      </c>
      <c r="D6863" s="1">
        <v>1.06258633513973E-4</v>
      </c>
      <c r="E6863" s="1">
        <v>0</v>
      </c>
      <c r="F6863" s="1">
        <v>6.96970964189631E-6</v>
      </c>
    </row>
    <row r="6864" spans="1:6" x14ac:dyDescent="0.25">
      <c r="A6864" s="2" t="str">
        <f t="shared" si="259"/>
        <v>24540</v>
      </c>
      <c r="B6864" s="2" t="str">
        <f>"80633"</f>
        <v>80633</v>
      </c>
      <c r="C6864" s="1">
        <v>8.2421652643809001E-3</v>
      </c>
      <c r="D6864" s="1">
        <v>4.0484539368823701E-2</v>
      </c>
      <c r="E6864" s="1">
        <v>0</v>
      </c>
      <c r="F6864" s="1">
        <v>1.00224424650469E-2</v>
      </c>
    </row>
    <row r="6865" spans="1:6" x14ac:dyDescent="0.25">
      <c r="A6865" s="2" t="str">
        <f t="shared" si="259"/>
        <v>24540</v>
      </c>
      <c r="B6865" s="2" t="str">
        <f>"80603"</f>
        <v>80603</v>
      </c>
      <c r="C6865" s="1">
        <v>2.76428343067457E-2</v>
      </c>
      <c r="D6865" s="1">
        <v>1.9020295399001099E-2</v>
      </c>
      <c r="E6865" s="1">
        <v>9.9587912087911994E-3</v>
      </c>
      <c r="F6865" s="1">
        <v>2.6359441865651801E-2</v>
      </c>
    </row>
    <row r="6866" spans="1:6" x14ac:dyDescent="0.25">
      <c r="A6866" s="2" t="str">
        <f t="shared" si="259"/>
        <v>24540</v>
      </c>
      <c r="B6866" s="2" t="str">
        <f>"80620"</f>
        <v>80620</v>
      </c>
      <c r="C6866" s="1">
        <v>6.34654523053889E-2</v>
      </c>
      <c r="D6866" s="1">
        <v>5.1004144086706997E-2</v>
      </c>
      <c r="E6866" s="1">
        <v>7.8811813186813101E-2</v>
      </c>
      <c r="F6866" s="1">
        <v>6.3271024129134698E-2</v>
      </c>
    </row>
    <row r="6867" spans="1:6" x14ac:dyDescent="0.25">
      <c r="A6867" s="2" t="str">
        <f t="shared" si="259"/>
        <v>24540</v>
      </c>
      <c r="B6867" s="2" t="str">
        <f>"80534"</f>
        <v>80534</v>
      </c>
      <c r="C6867" s="1">
        <v>4.06415944729926E-2</v>
      </c>
      <c r="D6867" s="1">
        <v>1.5407501859526E-2</v>
      </c>
      <c r="E6867" s="1">
        <v>1.08173076923076E-2</v>
      </c>
      <c r="F6867" s="1">
        <v>3.7775826259078001E-2</v>
      </c>
    </row>
    <row r="6868" spans="1:6" x14ac:dyDescent="0.25">
      <c r="A6868" s="2" t="str">
        <f t="shared" si="259"/>
        <v>24540</v>
      </c>
      <c r="B6868" s="2" t="str">
        <f>"80513"</f>
        <v>80513</v>
      </c>
      <c r="C6868" s="1">
        <v>2.9553269964052598E-3</v>
      </c>
      <c r="D6868" s="1">
        <v>1.07321219849112E-2</v>
      </c>
      <c r="E6868" s="1">
        <v>3.9491758241758197E-3</v>
      </c>
      <c r="F6868" s="1">
        <v>3.50576394987384E-3</v>
      </c>
    </row>
    <row r="6869" spans="1:6" x14ac:dyDescent="0.25">
      <c r="A6869" s="2" t="str">
        <f t="shared" si="259"/>
        <v>24540</v>
      </c>
      <c r="B6869" s="2" t="str">
        <f>"80520"</f>
        <v>80520</v>
      </c>
      <c r="C6869" s="1">
        <v>5.1464797298877898E-3</v>
      </c>
      <c r="D6869" s="1">
        <v>1.06258633513973E-4</v>
      </c>
      <c r="E6869" s="1">
        <v>1.7170329670329601E-4</v>
      </c>
      <c r="F6869" s="1">
        <v>4.61394778293536E-3</v>
      </c>
    </row>
    <row r="6870" spans="1:6" x14ac:dyDescent="0.25">
      <c r="A6870" s="2" t="str">
        <f t="shared" si="259"/>
        <v>24540</v>
      </c>
      <c r="B6870" s="2" t="str">
        <f>"80516"</f>
        <v>80516</v>
      </c>
      <c r="C6870" s="1">
        <v>7.2666734246703502E-2</v>
      </c>
      <c r="D6870" s="1">
        <v>7.3318457124641301E-2</v>
      </c>
      <c r="E6870" s="1">
        <v>4.4299450549450503E-2</v>
      </c>
      <c r="F6870" s="1">
        <v>7.1558008893349498E-2</v>
      </c>
    </row>
    <row r="6871" spans="1:6" x14ac:dyDescent="0.25">
      <c r="A6871" s="2" t="str">
        <f t="shared" si="259"/>
        <v>24540</v>
      </c>
      <c r="B6871" s="2" t="str">
        <f>"80732"</f>
        <v>80732</v>
      </c>
      <c r="C6871" s="1">
        <v>2.1053780713177299E-4</v>
      </c>
      <c r="D6871" s="1">
        <v>0</v>
      </c>
      <c r="E6871" s="1">
        <v>1.7170329670329601E-4</v>
      </c>
      <c r="F6871" s="1">
        <v>1.9515186997309599E-4</v>
      </c>
    </row>
    <row r="6872" spans="1:6" x14ac:dyDescent="0.25">
      <c r="A6872" s="2" t="str">
        <f t="shared" si="259"/>
        <v>24540</v>
      </c>
      <c r="B6872" s="2" t="str">
        <f>"80537"</f>
        <v>80537</v>
      </c>
      <c r="C6872" s="1">
        <v>4.8345718674703398E-4</v>
      </c>
      <c r="D6872" s="1">
        <v>0</v>
      </c>
      <c r="E6872" s="1">
        <v>5.1510989010989001E-4</v>
      </c>
      <c r="F6872" s="1">
        <v>4.5303112672325998E-4</v>
      </c>
    </row>
    <row r="6873" spans="1:6" x14ac:dyDescent="0.25">
      <c r="A6873" s="2" t="str">
        <f t="shared" si="259"/>
        <v>24540</v>
      </c>
      <c r="B6873" s="2" t="str">
        <f>"80524"</f>
        <v>80524</v>
      </c>
      <c r="C6873" s="1">
        <v>2.3471066646912498E-3</v>
      </c>
      <c r="D6873" s="1">
        <v>5.3129316756986495E-4</v>
      </c>
      <c r="E6873" s="1">
        <v>1.37362637362637E-3</v>
      </c>
      <c r="F6873" s="1">
        <v>2.1884888275554401E-3</v>
      </c>
    </row>
    <row r="6874" spans="1:6" x14ac:dyDescent="0.25">
      <c r="A6874" s="2" t="str">
        <f t="shared" si="259"/>
        <v>24540</v>
      </c>
      <c r="B6874" s="2" t="str">
        <f>"80754"</f>
        <v>80754</v>
      </c>
      <c r="C6874" s="1">
        <v>4.6786179362616199E-4</v>
      </c>
      <c r="D6874" s="1">
        <v>2.1251726702794599E-4</v>
      </c>
      <c r="E6874" s="1">
        <v>1.7170329670329601E-4</v>
      </c>
      <c r="F6874" s="1">
        <v>4.3909170743946802E-4</v>
      </c>
    </row>
    <row r="6875" spans="1:6" x14ac:dyDescent="0.25">
      <c r="A6875" s="2" t="str">
        <f t="shared" si="259"/>
        <v>24540</v>
      </c>
      <c r="B6875" s="2" t="str">
        <f>"80651"</f>
        <v>80651</v>
      </c>
      <c r="C6875" s="1">
        <v>1.3193702580257699E-2</v>
      </c>
      <c r="D6875" s="1">
        <v>8.8194665816597496E-3</v>
      </c>
      <c r="E6875" s="1">
        <v>6.0096153846153797E-3</v>
      </c>
      <c r="F6875" s="1">
        <v>1.2615174451832301E-2</v>
      </c>
    </row>
    <row r="6876" spans="1:6" x14ac:dyDescent="0.25">
      <c r="A6876" s="2" t="str">
        <f t="shared" si="259"/>
        <v>24540</v>
      </c>
      <c r="B6876" s="2" t="str">
        <f>"80645"</f>
        <v>80645</v>
      </c>
      <c r="C6876" s="1">
        <v>1.2796020055675501E-2</v>
      </c>
      <c r="D6876" s="1">
        <v>1.6470088194665802E-2</v>
      </c>
      <c r="E6876" s="1">
        <v>9.7870879120879103E-3</v>
      </c>
      <c r="F6876" s="1">
        <v>1.2914871966433801E-2</v>
      </c>
    </row>
    <row r="6877" spans="1:6" x14ac:dyDescent="0.25">
      <c r="A6877" s="2" t="str">
        <f t="shared" si="259"/>
        <v>24540</v>
      </c>
      <c r="B6877" s="2" t="str">
        <f>"80642"</f>
        <v>80642</v>
      </c>
      <c r="C6877" s="1">
        <v>6.0198217446566201E-3</v>
      </c>
      <c r="D6877" s="1">
        <v>3.8253108065030199E-3</v>
      </c>
      <c r="E6877" s="1">
        <v>2.5755494505494501E-3</v>
      </c>
      <c r="F6877" s="1">
        <v>5.7360710352806696E-3</v>
      </c>
    </row>
    <row r="6878" spans="1:6" x14ac:dyDescent="0.25">
      <c r="A6878" s="2" t="str">
        <f t="shared" si="259"/>
        <v>24540</v>
      </c>
      <c r="B6878" s="2" t="str">
        <f>"80631"</f>
        <v>80631</v>
      </c>
      <c r="C6878" s="1">
        <v>0.15642179300234699</v>
      </c>
      <c r="D6878" s="1">
        <v>0.23068749335883501</v>
      </c>
      <c r="E6878" s="1">
        <v>0.41466346153846101</v>
      </c>
      <c r="F6878" s="1">
        <v>0.171775463834176</v>
      </c>
    </row>
    <row r="6879" spans="1:6" x14ac:dyDescent="0.25">
      <c r="A6879" s="2" t="str">
        <f t="shared" si="259"/>
        <v>24540</v>
      </c>
      <c r="B6879" s="2" t="str">
        <f>"80550"</f>
        <v>80550</v>
      </c>
      <c r="C6879" s="1">
        <v>9.8328953627098495E-2</v>
      </c>
      <c r="D6879" s="1">
        <v>0.109233875252364</v>
      </c>
      <c r="E6879" s="1">
        <v>7.6579670329670294E-2</v>
      </c>
      <c r="F6879" s="1">
        <v>9.8161390596467696E-2</v>
      </c>
    </row>
    <row r="6880" spans="1:6" x14ac:dyDescent="0.25">
      <c r="A6880" s="2" t="str">
        <f t="shared" si="259"/>
        <v>24540</v>
      </c>
      <c r="B6880" s="2" t="str">
        <f>"80654"</f>
        <v>80654</v>
      </c>
      <c r="C6880" s="1">
        <v>1.7934702089002899E-4</v>
      </c>
      <c r="D6880" s="1">
        <v>0</v>
      </c>
      <c r="E6880" s="1">
        <v>0</v>
      </c>
      <c r="F6880" s="1">
        <v>1.6030332176361501E-4</v>
      </c>
    </row>
    <row r="6881" spans="1:6" x14ac:dyDescent="0.25">
      <c r="A6881" s="2" t="str">
        <f t="shared" si="259"/>
        <v>24540</v>
      </c>
      <c r="B6881" s="2" t="str">
        <f>"80652"</f>
        <v>80652</v>
      </c>
      <c r="C6881" s="1">
        <v>1.41918077399936E-3</v>
      </c>
      <c r="D6881" s="1">
        <v>1.27510360216767E-3</v>
      </c>
      <c r="E6881" s="1">
        <v>1.7170329670329601E-4</v>
      </c>
      <c r="F6881" s="1">
        <v>1.35909338016978E-3</v>
      </c>
    </row>
    <row r="6882" spans="1:6" x14ac:dyDescent="0.25">
      <c r="A6882" s="2" t="str">
        <f t="shared" si="259"/>
        <v>24540</v>
      </c>
      <c r="B6882" s="2" t="str">
        <f>"80650"</f>
        <v>80650</v>
      </c>
      <c r="C6882" s="1">
        <v>5.8404747237665901E-3</v>
      </c>
      <c r="D6882" s="1">
        <v>1.0625863351397299E-3</v>
      </c>
      <c r="E6882" s="1">
        <v>1.03021978021978E-3</v>
      </c>
      <c r="F6882" s="1">
        <v>5.3318278760506798E-3</v>
      </c>
    </row>
    <row r="6883" spans="1:6" x14ac:dyDescent="0.25">
      <c r="A6883" s="2" t="str">
        <f t="shared" si="259"/>
        <v>24540</v>
      </c>
      <c r="B6883" s="2" t="str">
        <f>"80610"</f>
        <v>80610</v>
      </c>
      <c r="C6883" s="1">
        <v>1.14548162472805E-2</v>
      </c>
      <c r="D6883" s="1">
        <v>2.1251726702794598E-3</v>
      </c>
      <c r="E6883" s="1">
        <v>6.8681318681318602E-3</v>
      </c>
      <c r="F6883" s="1">
        <v>1.0656686042459401E-2</v>
      </c>
    </row>
    <row r="6884" spans="1:6" x14ac:dyDescent="0.25">
      <c r="A6884" s="2" t="str">
        <f t="shared" si="259"/>
        <v>24540</v>
      </c>
      <c r="B6884" s="2" t="str">
        <f>"80745"</f>
        <v>80745</v>
      </c>
      <c r="C6884" s="1">
        <v>3.1190786241744099E-5</v>
      </c>
      <c r="D6884" s="1">
        <v>0</v>
      </c>
      <c r="E6884" s="1">
        <v>0</v>
      </c>
      <c r="F6884" s="1">
        <v>2.7878838567585199E-5</v>
      </c>
    </row>
    <row r="6885" spans="1:6" x14ac:dyDescent="0.25">
      <c r="A6885" s="2" t="str">
        <f t="shared" si="259"/>
        <v>24540</v>
      </c>
      <c r="B6885" s="2" t="str">
        <f>"80646"</f>
        <v>80646</v>
      </c>
      <c r="C6885" s="1">
        <v>0</v>
      </c>
      <c r="D6885" s="1">
        <v>0</v>
      </c>
      <c r="E6885" s="1">
        <v>1.7170329670329601E-4</v>
      </c>
      <c r="F6885" s="1">
        <v>6.96970964189631E-6</v>
      </c>
    </row>
    <row r="6886" spans="1:6" x14ac:dyDescent="0.25">
      <c r="A6886" s="2" t="str">
        <f t="shared" si="259"/>
        <v>24540</v>
      </c>
      <c r="B6886" s="2" t="str">
        <f>"80632"</f>
        <v>80632</v>
      </c>
      <c r="C6886" s="1">
        <v>8.7646109339301094E-3</v>
      </c>
      <c r="D6886" s="1">
        <v>2.66709170120072E-2</v>
      </c>
      <c r="E6886" s="1">
        <v>0</v>
      </c>
      <c r="F6886" s="1">
        <v>9.5833507576074308E-3</v>
      </c>
    </row>
    <row r="6887" spans="1:6" x14ac:dyDescent="0.25">
      <c r="A6887" s="2" t="str">
        <f t="shared" si="259"/>
        <v>24540</v>
      </c>
      <c r="B6887" s="2" t="str">
        <f>"80622"</f>
        <v>80622</v>
      </c>
      <c r="C6887" s="1">
        <v>4.2107561426354598E-4</v>
      </c>
      <c r="D6887" s="1">
        <v>1.06258633513973E-4</v>
      </c>
      <c r="E6887" s="1">
        <v>0</v>
      </c>
      <c r="F6887" s="1">
        <v>3.8333403030429698E-4</v>
      </c>
    </row>
    <row r="6888" spans="1:6" x14ac:dyDescent="0.25">
      <c r="A6888" s="2" t="str">
        <f t="shared" si="259"/>
        <v>24540</v>
      </c>
      <c r="B6888" s="2" t="str">
        <f>"80546"</f>
        <v>80546</v>
      </c>
      <c r="C6888" s="1">
        <v>9.0453280101058099E-4</v>
      </c>
      <c r="D6888" s="1">
        <v>0</v>
      </c>
      <c r="E6888" s="1">
        <v>1.7170329670329601E-4</v>
      </c>
      <c r="F6888" s="1">
        <v>8.1545602810186902E-4</v>
      </c>
    </row>
    <row r="6889" spans="1:6" x14ac:dyDescent="0.25">
      <c r="A6889" s="2" t="str">
        <f t="shared" si="259"/>
        <v>24540</v>
      </c>
      <c r="B6889" s="2" t="str">
        <f>"80551"</f>
        <v>80551</v>
      </c>
      <c r="C6889" s="1">
        <v>0</v>
      </c>
      <c r="D6889" s="1">
        <v>1.06258633513973E-4</v>
      </c>
      <c r="E6889" s="1">
        <v>0</v>
      </c>
      <c r="F6889" s="1">
        <v>6.96970964189631E-6</v>
      </c>
    </row>
    <row r="6890" spans="1:6" x14ac:dyDescent="0.25">
      <c r="A6890" s="2" t="str">
        <f t="shared" si="259"/>
        <v>24540</v>
      </c>
      <c r="B6890" s="2" t="str">
        <f>"80615"</f>
        <v>80615</v>
      </c>
      <c r="C6890" s="1">
        <v>2.8601950983679399E-2</v>
      </c>
      <c r="D6890" s="1">
        <v>2.4226968441185801E-2</v>
      </c>
      <c r="E6890" s="1">
        <v>1.3221153846153799E-2</v>
      </c>
      <c r="F6890" s="1">
        <v>2.7690656407253999E-2</v>
      </c>
    </row>
    <row r="6891" spans="1:6" x14ac:dyDescent="0.25">
      <c r="A6891" s="2" t="str">
        <f t="shared" si="259"/>
        <v>24540</v>
      </c>
      <c r="B6891" s="2" t="str">
        <f>"80530"</f>
        <v>80530</v>
      </c>
      <c r="C6891" s="1">
        <v>2.1467058630880401E-2</v>
      </c>
      <c r="D6891" s="1">
        <v>1.2113484220592901E-2</v>
      </c>
      <c r="E6891" s="1">
        <v>1.54532967032967E-3</v>
      </c>
      <c r="F6891" s="1">
        <v>2.00448849300938E-2</v>
      </c>
    </row>
    <row r="6892" spans="1:6" x14ac:dyDescent="0.25">
      <c r="A6892" s="2" t="str">
        <f t="shared" si="259"/>
        <v>24540</v>
      </c>
      <c r="B6892" s="2" t="str">
        <f>"80729"</f>
        <v>80729</v>
      </c>
      <c r="C6892" s="1">
        <v>1.77787481577941E-3</v>
      </c>
      <c r="D6892" s="1">
        <v>4.2503453405589198E-4</v>
      </c>
      <c r="E6892" s="1">
        <v>3.43406593406593E-4</v>
      </c>
      <c r="F6892" s="1">
        <v>1.63091205620373E-3</v>
      </c>
    </row>
    <row r="6893" spans="1:6" x14ac:dyDescent="0.25">
      <c r="A6893" s="2" t="str">
        <f t="shared" si="259"/>
        <v>24540</v>
      </c>
      <c r="B6893" s="2" t="str">
        <f>"80644"</f>
        <v>80644</v>
      </c>
      <c r="C6893" s="1">
        <v>1.0355341032259E-2</v>
      </c>
      <c r="D6893" s="1">
        <v>4.1440867070449399E-3</v>
      </c>
      <c r="E6893" s="1">
        <v>7.5549450549450498E-3</v>
      </c>
      <c r="F6893" s="1">
        <v>9.8342603047156998E-3</v>
      </c>
    </row>
    <row r="6894" spans="1:6" x14ac:dyDescent="0.25">
      <c r="A6894" s="2" t="str">
        <f t="shared" si="259"/>
        <v>24540</v>
      </c>
      <c r="B6894" s="2" t="str">
        <f>"80623"</f>
        <v>80623</v>
      </c>
      <c r="C6894" s="1">
        <v>0</v>
      </c>
      <c r="D6894" s="1">
        <v>0</v>
      </c>
      <c r="E6894" s="1">
        <v>1.7170329670329601E-4</v>
      </c>
      <c r="F6894" s="1">
        <v>6.96970964189631E-6</v>
      </c>
    </row>
    <row r="6895" spans="1:6" x14ac:dyDescent="0.25">
      <c r="A6895" s="2" t="str">
        <f t="shared" si="259"/>
        <v>24540</v>
      </c>
      <c r="B6895" s="2" t="str">
        <f>"80634"</f>
        <v>80634</v>
      </c>
      <c r="C6895" s="1">
        <v>0.20577341453334599</v>
      </c>
      <c r="D6895" s="1">
        <v>0.17957709063861399</v>
      </c>
      <c r="E6895" s="1">
        <v>0.242960164835164</v>
      </c>
      <c r="F6895" s="1">
        <v>0.20556461617808999</v>
      </c>
    </row>
    <row r="6896" spans="1:6" x14ac:dyDescent="0.25">
      <c r="A6896" s="2" t="str">
        <f t="shared" si="259"/>
        <v>24540</v>
      </c>
      <c r="B6896" s="2" t="str">
        <f>"80611"</f>
        <v>80611</v>
      </c>
      <c r="C6896" s="1">
        <v>2.5030605958999701E-3</v>
      </c>
      <c r="D6896" s="1">
        <v>1.1688449686537E-3</v>
      </c>
      <c r="E6896" s="1">
        <v>1.7170329670329601E-4</v>
      </c>
      <c r="F6896" s="1">
        <v>2.3209133107514701E-3</v>
      </c>
    </row>
    <row r="6897" spans="1:6" x14ac:dyDescent="0.25">
      <c r="A6897" s="2" t="str">
        <f t="shared" si="259"/>
        <v>24540</v>
      </c>
      <c r="B6897" s="2" t="str">
        <f>"80504"</f>
        <v>80504</v>
      </c>
      <c r="C6897" s="1">
        <v>7.5894980622723998E-2</v>
      </c>
      <c r="D6897" s="1">
        <v>8.9044734884709306E-2</v>
      </c>
      <c r="E6897" s="1">
        <v>2.83310439560439E-2</v>
      </c>
      <c r="F6897" s="1">
        <v>7.4826802715398794E-2</v>
      </c>
    </row>
    <row r="6898" spans="1:6" x14ac:dyDescent="0.25">
      <c r="A6898" s="2" t="str">
        <f t="shared" si="259"/>
        <v>24540</v>
      </c>
      <c r="B6898" s="2" t="str">
        <f>"80514"</f>
        <v>80514</v>
      </c>
      <c r="C6898" s="1">
        <v>2.15606309896056E-2</v>
      </c>
      <c r="D6898" s="1">
        <v>1.5620019126554001E-2</v>
      </c>
      <c r="E6898" s="1">
        <v>6.0096153846153797E-3</v>
      </c>
      <c r="F6898" s="1">
        <v>2.0539734314668399E-2</v>
      </c>
    </row>
    <row r="6899" spans="1:6" x14ac:dyDescent="0.25">
      <c r="A6899" s="2" t="str">
        <f t="shared" si="259"/>
        <v>24540</v>
      </c>
      <c r="B6899" s="2" t="str">
        <f>"80741"</f>
        <v>80741</v>
      </c>
      <c r="C6899" s="1">
        <v>7.79769656043604E-6</v>
      </c>
      <c r="D6899" s="1">
        <v>0</v>
      </c>
      <c r="E6899" s="1">
        <v>0</v>
      </c>
      <c r="F6899" s="1">
        <v>6.96970964189631E-6</v>
      </c>
    </row>
    <row r="6900" spans="1:6" x14ac:dyDescent="0.25">
      <c r="A6900" s="2" t="str">
        <f t="shared" si="259"/>
        <v>24540</v>
      </c>
      <c r="B6900" s="2" t="str">
        <f>"80742"</f>
        <v>80742</v>
      </c>
      <c r="C6900" s="1">
        <v>9.4352128381276095E-4</v>
      </c>
      <c r="D6900" s="1">
        <v>3.1877590054191901E-4</v>
      </c>
      <c r="E6900" s="1">
        <v>1.7170329670329601E-4</v>
      </c>
      <c r="F6900" s="1">
        <v>8.7121370523703904E-4</v>
      </c>
    </row>
    <row r="6901" spans="1:6" x14ac:dyDescent="0.25">
      <c r="A6901" s="2" t="str">
        <f t="shared" si="259"/>
        <v>24540</v>
      </c>
      <c r="B6901" s="2" t="str">
        <f>"80643"</f>
        <v>80643</v>
      </c>
      <c r="C6901" s="1">
        <v>8.9673510445014495E-3</v>
      </c>
      <c r="D6901" s="1">
        <v>4.6753798746148097E-3</v>
      </c>
      <c r="E6901" s="1">
        <v>3.4340659340659301E-3</v>
      </c>
      <c r="F6901" s="1">
        <v>8.4612275052621307E-3</v>
      </c>
    </row>
    <row r="6902" spans="1:6" x14ac:dyDescent="0.25">
      <c r="A6902" s="2" t="str">
        <f t="shared" si="259"/>
        <v>24540</v>
      </c>
      <c r="B6902" s="2" t="str">
        <f>"80549"</f>
        <v>80549</v>
      </c>
      <c r="C6902" s="1">
        <v>7.4857886980185995E-4</v>
      </c>
      <c r="D6902" s="1">
        <v>0</v>
      </c>
      <c r="E6902" s="1">
        <v>5.1510989010989001E-4</v>
      </c>
      <c r="F6902" s="1">
        <v>6.9000125454773498E-4</v>
      </c>
    </row>
    <row r="6903" spans="1:6" x14ac:dyDescent="0.25">
      <c r="A6903" s="2" t="str">
        <f t="shared" si="259"/>
        <v>24540</v>
      </c>
      <c r="B6903" s="2" t="str">
        <f>"80542"</f>
        <v>80542</v>
      </c>
      <c r="C6903" s="1">
        <v>1.1766724109697899E-2</v>
      </c>
      <c r="D6903" s="1">
        <v>4.2503453405589198E-4</v>
      </c>
      <c r="E6903" s="1">
        <v>2.4038461538461501E-3</v>
      </c>
      <c r="F6903" s="1">
        <v>1.0642746623175599E-2</v>
      </c>
    </row>
    <row r="6904" spans="1:6" x14ac:dyDescent="0.25">
      <c r="A6904" s="2" t="str">
        <f t="shared" ref="A6904:A6912" si="260">"44540"</f>
        <v>44540</v>
      </c>
      <c r="B6904" s="2" t="str">
        <f>"80747"</f>
        <v>80747</v>
      </c>
      <c r="C6904" s="1">
        <v>2.3431426985008299E-2</v>
      </c>
      <c r="D6904" s="1">
        <v>2.1299254526091502E-3</v>
      </c>
      <c r="E6904" s="1">
        <v>6.8807339449541201E-3</v>
      </c>
      <c r="F6904" s="1">
        <v>2.0809248554913201E-2</v>
      </c>
    </row>
    <row r="6905" spans="1:6" x14ac:dyDescent="0.25">
      <c r="A6905" s="2" t="str">
        <f t="shared" si="260"/>
        <v>44540</v>
      </c>
      <c r="B6905" s="2" t="str">
        <f>"80745"</f>
        <v>80745</v>
      </c>
      <c r="C6905" s="1">
        <v>7.5513603553581301E-3</v>
      </c>
      <c r="D6905" s="1">
        <v>1.0649627263045699E-3</v>
      </c>
      <c r="E6905" s="1">
        <v>0</v>
      </c>
      <c r="F6905" s="1">
        <v>6.6473988439306299E-3</v>
      </c>
    </row>
    <row r="6906" spans="1:6" x14ac:dyDescent="0.25">
      <c r="A6906" s="2" t="str">
        <f t="shared" si="260"/>
        <v>44540</v>
      </c>
      <c r="B6906" s="2" t="str">
        <f>"80741"</f>
        <v>80741</v>
      </c>
      <c r="C6906" s="1">
        <v>4.3309272626318701E-2</v>
      </c>
      <c r="D6906" s="1">
        <v>2.1299254526091502E-3</v>
      </c>
      <c r="E6906" s="1">
        <v>1.6055045871559599E-2</v>
      </c>
      <c r="F6906" s="1">
        <v>3.8439306358381498E-2</v>
      </c>
    </row>
    <row r="6907" spans="1:6" x14ac:dyDescent="0.25">
      <c r="A6907" s="2" t="str">
        <f t="shared" si="260"/>
        <v>44540</v>
      </c>
      <c r="B6907" s="2" t="str">
        <f>"80728"</f>
        <v>80728</v>
      </c>
      <c r="C6907" s="1">
        <v>4.7084952803997701E-2</v>
      </c>
      <c r="D6907" s="1">
        <v>8.5197018104366303E-3</v>
      </c>
      <c r="E6907" s="1">
        <v>1.37614678899082E-2</v>
      </c>
      <c r="F6907" s="1">
        <v>4.21965317919075E-2</v>
      </c>
    </row>
    <row r="6908" spans="1:6" x14ac:dyDescent="0.25">
      <c r="A6908" s="2" t="str">
        <f t="shared" si="260"/>
        <v>44540</v>
      </c>
      <c r="B6908" s="2" t="str">
        <f>"80751"</f>
        <v>80751</v>
      </c>
      <c r="C6908" s="1">
        <v>0.805663520266518</v>
      </c>
      <c r="D6908" s="1">
        <v>0.96059637912673002</v>
      </c>
      <c r="E6908" s="1">
        <v>0.942660550458715</v>
      </c>
      <c r="F6908" s="1">
        <v>0.82543352601155995</v>
      </c>
    </row>
    <row r="6909" spans="1:6" x14ac:dyDescent="0.25">
      <c r="A6909" s="2" t="str">
        <f t="shared" si="260"/>
        <v>44540</v>
      </c>
      <c r="B6909" s="2" t="str">
        <f>"80736"</f>
        <v>80736</v>
      </c>
      <c r="C6909" s="1">
        <v>2.3764575235979999E-2</v>
      </c>
      <c r="D6909" s="1">
        <v>9.5846645367412102E-3</v>
      </c>
      <c r="E6909" s="1">
        <v>1.6055045871559599E-2</v>
      </c>
      <c r="F6909" s="1">
        <v>2.2157996146435401E-2</v>
      </c>
    </row>
    <row r="6910" spans="1:6" x14ac:dyDescent="0.25">
      <c r="A6910" s="2" t="str">
        <f t="shared" si="260"/>
        <v>44540</v>
      </c>
      <c r="B6910" s="2" t="str">
        <f>"80731"</f>
        <v>80731</v>
      </c>
      <c r="C6910" s="1">
        <v>6.4408661854525196E-3</v>
      </c>
      <c r="D6910" s="1">
        <v>5.3248136315228898E-3</v>
      </c>
      <c r="E6910" s="1">
        <v>0</v>
      </c>
      <c r="F6910" s="1">
        <v>6.0693641618497097E-3</v>
      </c>
    </row>
    <row r="6911" spans="1:6" x14ac:dyDescent="0.25">
      <c r="A6911" s="2" t="str">
        <f t="shared" si="260"/>
        <v>44540</v>
      </c>
      <c r="B6911" s="2" t="str">
        <f>"80722"</f>
        <v>80722</v>
      </c>
      <c r="C6911" s="1">
        <v>1.9544697390338699E-2</v>
      </c>
      <c r="D6911" s="1">
        <v>6.3897763578274697E-3</v>
      </c>
      <c r="E6911" s="1">
        <v>2.2935779816513702E-3</v>
      </c>
      <c r="F6911" s="1">
        <v>1.7630057803468199E-2</v>
      </c>
    </row>
    <row r="6912" spans="1:6" x14ac:dyDescent="0.25">
      <c r="A6912" s="2" t="str">
        <f t="shared" si="260"/>
        <v>44540</v>
      </c>
      <c r="B6912" s="2" t="str">
        <f>"80726"</f>
        <v>80726</v>
      </c>
      <c r="C6912" s="1">
        <v>2.3209328151027199E-2</v>
      </c>
      <c r="D6912" s="1">
        <v>4.25985090521831E-3</v>
      </c>
      <c r="E6912" s="1">
        <v>2.2935779816513702E-3</v>
      </c>
      <c r="F6912" s="1">
        <v>2.0616570327552899E-2</v>
      </c>
    </row>
    <row r="6913" spans="1:6" x14ac:dyDescent="0.25">
      <c r="A6913" s="2" t="str">
        <f t="shared" ref="A6913:A6931" si="261">"41760"</f>
        <v>41760</v>
      </c>
      <c r="B6913" s="2" t="str">
        <f>"83869"</f>
        <v>83869</v>
      </c>
      <c r="C6913" s="1">
        <v>1.6051298807384401E-2</v>
      </c>
      <c r="D6913" s="1">
        <v>1.28755364806866E-3</v>
      </c>
      <c r="E6913" s="1">
        <v>1.4397120575884799E-2</v>
      </c>
      <c r="F6913" s="1">
        <v>1.4746673220743601E-2</v>
      </c>
    </row>
    <row r="6914" spans="1:6" x14ac:dyDescent="0.25">
      <c r="A6914" s="2" t="str">
        <f t="shared" si="261"/>
        <v>41760</v>
      </c>
      <c r="B6914" s="2" t="str">
        <f>"83864"</f>
        <v>83864</v>
      </c>
      <c r="C6914" s="1">
        <v>0.44759843162881802</v>
      </c>
      <c r="D6914" s="1">
        <v>0.66523605150214504</v>
      </c>
      <c r="E6914" s="1">
        <v>0.34853029394121099</v>
      </c>
      <c r="F6914" s="1">
        <v>0.45960464871317702</v>
      </c>
    </row>
    <row r="6915" spans="1:6" x14ac:dyDescent="0.25">
      <c r="A6915" s="2" t="str">
        <f t="shared" si="261"/>
        <v>41760</v>
      </c>
      <c r="B6915" s="2" t="str">
        <f>"83825"</f>
        <v>83825</v>
      </c>
      <c r="C6915" s="1">
        <v>0</v>
      </c>
      <c r="D6915" s="1">
        <v>0</v>
      </c>
      <c r="E6915" s="1">
        <v>8.7582483503299294E-2</v>
      </c>
      <c r="F6915" s="1">
        <v>5.1262245005442202E-3</v>
      </c>
    </row>
    <row r="6916" spans="1:6" x14ac:dyDescent="0.25">
      <c r="A6916" s="2" t="str">
        <f t="shared" si="261"/>
        <v>41760</v>
      </c>
      <c r="B6916" s="2" t="str">
        <f>"83821"</f>
        <v>83821</v>
      </c>
      <c r="C6916" s="1">
        <v>1.0374121875510499E-2</v>
      </c>
      <c r="D6916" s="1">
        <v>3.8626609442059998E-3</v>
      </c>
      <c r="E6916" s="1">
        <v>2.9994001199760002E-3</v>
      </c>
      <c r="F6916" s="1">
        <v>9.40978195990309E-3</v>
      </c>
    </row>
    <row r="6917" spans="1:6" x14ac:dyDescent="0.25">
      <c r="A6917" s="2" t="str">
        <f t="shared" si="261"/>
        <v>41760</v>
      </c>
      <c r="B6917" s="2" t="str">
        <f>"83811"</f>
        <v>83811</v>
      </c>
      <c r="C6917" s="1">
        <v>1.9277895768665201E-2</v>
      </c>
      <c r="D6917" s="1">
        <v>7.72532188841201E-3</v>
      </c>
      <c r="E6917" s="1">
        <v>8.2783443311337704E-2</v>
      </c>
      <c r="F6917" s="1">
        <v>2.2049787577683298E-2</v>
      </c>
    </row>
    <row r="6918" spans="1:6" x14ac:dyDescent="0.25">
      <c r="A6918" s="2" t="str">
        <f t="shared" si="261"/>
        <v>41760</v>
      </c>
      <c r="B6918" s="2" t="str">
        <f>"83803"</f>
        <v>83803</v>
      </c>
      <c r="C6918" s="1">
        <v>6.9433099166802802E-4</v>
      </c>
      <c r="D6918" s="1">
        <v>0</v>
      </c>
      <c r="E6918" s="1">
        <v>0</v>
      </c>
      <c r="F6918" s="1">
        <v>5.9688915417295703E-4</v>
      </c>
    </row>
    <row r="6919" spans="1:6" x14ac:dyDescent="0.25">
      <c r="A6919" s="2" t="str">
        <f t="shared" si="261"/>
        <v>41760</v>
      </c>
      <c r="B6919" s="2" t="str">
        <f>"83801"</f>
        <v>83801</v>
      </c>
      <c r="C6919" s="1">
        <v>1.9972226760333198E-2</v>
      </c>
      <c r="D6919" s="1">
        <v>4.2918454935622299E-4</v>
      </c>
      <c r="E6919" s="1">
        <v>1.1997600479904001E-3</v>
      </c>
      <c r="F6919" s="1">
        <v>1.72746743442997E-2</v>
      </c>
    </row>
    <row r="6920" spans="1:6" x14ac:dyDescent="0.25">
      <c r="A6920" s="2" t="str">
        <f t="shared" si="261"/>
        <v>41760</v>
      </c>
      <c r="B6920" s="2" t="str">
        <f>"83865"</f>
        <v>83865</v>
      </c>
      <c r="C6920" s="1">
        <v>0</v>
      </c>
      <c r="D6920" s="1">
        <v>0</v>
      </c>
      <c r="E6920" s="1">
        <v>5.9988002399520004E-4</v>
      </c>
      <c r="F6920" s="1">
        <v>3.5111126716056298E-5</v>
      </c>
    </row>
    <row r="6921" spans="1:6" x14ac:dyDescent="0.25">
      <c r="A6921" s="2" t="str">
        <f t="shared" si="261"/>
        <v>41760</v>
      </c>
      <c r="B6921" s="2" t="str">
        <f>"83841"</f>
        <v>83841</v>
      </c>
      <c r="C6921" s="1">
        <v>0</v>
      </c>
      <c r="D6921" s="1">
        <v>0</v>
      </c>
      <c r="E6921" s="1">
        <v>1.1997600479904001E-3</v>
      </c>
      <c r="F6921" s="1">
        <v>7.0222253432112596E-5</v>
      </c>
    </row>
    <row r="6922" spans="1:6" x14ac:dyDescent="0.25">
      <c r="A6922" s="2" t="str">
        <f t="shared" si="261"/>
        <v>41760</v>
      </c>
      <c r="B6922" s="2" t="str">
        <f>"83840"</f>
        <v>83840</v>
      </c>
      <c r="C6922" s="1">
        <v>0</v>
      </c>
      <c r="D6922" s="1">
        <v>0</v>
      </c>
      <c r="E6922" s="1">
        <v>0.29694061187762399</v>
      </c>
      <c r="F6922" s="1">
        <v>1.73800077244478E-2</v>
      </c>
    </row>
    <row r="6923" spans="1:6" x14ac:dyDescent="0.25">
      <c r="A6923" s="2" t="str">
        <f t="shared" si="261"/>
        <v>41760</v>
      </c>
      <c r="B6923" s="2" t="str">
        <f>"83848"</f>
        <v>83848</v>
      </c>
      <c r="C6923" s="1">
        <v>5.8813919294232898E-3</v>
      </c>
      <c r="D6923" s="1">
        <v>2.57510729613733E-3</v>
      </c>
      <c r="E6923" s="1">
        <v>4.1991601679663999E-3</v>
      </c>
      <c r="F6923" s="1">
        <v>5.5124468944208402E-3</v>
      </c>
    </row>
    <row r="6924" spans="1:6" x14ac:dyDescent="0.25">
      <c r="A6924" s="2" t="str">
        <f t="shared" si="261"/>
        <v>41760</v>
      </c>
      <c r="B6924" s="2" t="str">
        <f>"83809"</f>
        <v>83809</v>
      </c>
      <c r="C6924" s="1">
        <v>8.6178728965855197E-3</v>
      </c>
      <c r="D6924" s="1">
        <v>0</v>
      </c>
      <c r="E6924" s="1">
        <v>5.9988002399520004E-4</v>
      </c>
      <c r="F6924" s="1">
        <v>7.4435588638039297E-3</v>
      </c>
    </row>
    <row r="6925" spans="1:6" x14ac:dyDescent="0.25">
      <c r="A6925" s="2" t="str">
        <f t="shared" si="261"/>
        <v>41760</v>
      </c>
      <c r="B6925" s="2" t="str">
        <f>"83804"</f>
        <v>83804</v>
      </c>
      <c r="C6925" s="1">
        <v>3.0632249632413001E-2</v>
      </c>
      <c r="D6925" s="1">
        <v>9.4420600858369005E-3</v>
      </c>
      <c r="E6925" s="1">
        <v>3.5992801439711998E-3</v>
      </c>
      <c r="F6925" s="1">
        <v>2.7316456585091801E-2</v>
      </c>
    </row>
    <row r="6926" spans="1:6" x14ac:dyDescent="0.25">
      <c r="A6926" s="2" t="str">
        <f t="shared" si="261"/>
        <v>41760</v>
      </c>
      <c r="B6926" s="2" t="str">
        <f>"83822"</f>
        <v>83822</v>
      </c>
      <c r="C6926" s="1">
        <v>3.7371344551543798E-2</v>
      </c>
      <c r="D6926" s="1">
        <v>1.9313304721029999E-2</v>
      </c>
      <c r="E6926" s="1">
        <v>1.25974805038992E-2</v>
      </c>
      <c r="F6926" s="1">
        <v>3.4444015308451197E-2</v>
      </c>
    </row>
    <row r="6927" spans="1:6" x14ac:dyDescent="0.25">
      <c r="A6927" s="2" t="str">
        <f t="shared" si="261"/>
        <v>41760</v>
      </c>
      <c r="B6927" s="2" t="str">
        <f>"83852"</f>
        <v>83852</v>
      </c>
      <c r="C6927" s="1">
        <v>5.3463486358438103E-2</v>
      </c>
      <c r="D6927" s="1">
        <v>0.15965665236051499</v>
      </c>
      <c r="E6927" s="1">
        <v>5.1589682063587203E-2</v>
      </c>
      <c r="F6927" s="1">
        <v>6.2041360907271498E-2</v>
      </c>
    </row>
    <row r="6928" spans="1:6" x14ac:dyDescent="0.25">
      <c r="A6928" s="2" t="str">
        <f t="shared" si="261"/>
        <v>41760</v>
      </c>
      <c r="B6928" s="2" t="str">
        <f>"83860"</f>
        <v>83860</v>
      </c>
      <c r="C6928" s="1">
        <v>0.18101617382780499</v>
      </c>
      <c r="D6928" s="1">
        <v>6.09442060085836E-2</v>
      </c>
      <c r="E6928" s="1">
        <v>1.3797240551889601E-2</v>
      </c>
      <c r="F6928" s="1">
        <v>0.16140584951371001</v>
      </c>
    </row>
    <row r="6929" spans="1:6" x14ac:dyDescent="0.25">
      <c r="A6929" s="2" t="str">
        <f t="shared" si="261"/>
        <v>41760</v>
      </c>
      <c r="B6929" s="2" t="str">
        <f>"83836"</f>
        <v>83836</v>
      </c>
      <c r="C6929" s="1">
        <v>2.2586178728965799E-2</v>
      </c>
      <c r="D6929" s="1">
        <v>7.72532188841201E-3</v>
      </c>
      <c r="E6929" s="1">
        <v>4.0191961607678399E-2</v>
      </c>
      <c r="F6929" s="1">
        <v>2.2400898844843899E-2</v>
      </c>
    </row>
    <row r="6930" spans="1:6" x14ac:dyDescent="0.25">
      <c r="A6930" s="2" t="str">
        <f t="shared" si="261"/>
        <v>41760</v>
      </c>
      <c r="B6930" s="2" t="str">
        <f>"83813"</f>
        <v>83813</v>
      </c>
      <c r="C6930" s="1">
        <v>1.91145237706257E-2</v>
      </c>
      <c r="D6930" s="1">
        <v>8.5836909871244598E-4</v>
      </c>
      <c r="E6930" s="1">
        <v>4.7990401919616003E-3</v>
      </c>
      <c r="F6930" s="1">
        <v>1.67831185702749E-2</v>
      </c>
    </row>
    <row r="6931" spans="1:6" x14ac:dyDescent="0.25">
      <c r="A6931" s="2" t="str">
        <f t="shared" si="261"/>
        <v>41760</v>
      </c>
      <c r="B6931" s="2" t="str">
        <f>"83856"</f>
        <v>83856</v>
      </c>
      <c r="C6931" s="1">
        <v>0.12734847247181799</v>
      </c>
      <c r="D6931" s="1">
        <v>6.09442060085836E-2</v>
      </c>
      <c r="E6931" s="1">
        <v>3.2393521295740801E-2</v>
      </c>
      <c r="F6931" s="1">
        <v>0.11635827393701</v>
      </c>
    </row>
    <row r="6932" spans="1:6" x14ac:dyDescent="0.25">
      <c r="A6932" s="2" t="str">
        <f t="shared" ref="A6932:A6947" si="262">"17660"</f>
        <v>17660</v>
      </c>
      <c r="B6932" s="2" t="str">
        <f>"83842"</f>
        <v>83842</v>
      </c>
      <c r="C6932" s="1">
        <v>9.8170010320436894E-4</v>
      </c>
      <c r="D6932" s="1">
        <v>2.4455857177794002E-4</v>
      </c>
      <c r="E6932" s="1">
        <v>2.48077400148846E-4</v>
      </c>
      <c r="F6932" s="1">
        <v>8.8367171050478298E-4</v>
      </c>
    </row>
    <row r="6933" spans="1:6" x14ac:dyDescent="0.25">
      <c r="A6933" s="2" t="str">
        <f t="shared" si="262"/>
        <v>17660</v>
      </c>
      <c r="B6933" s="2" t="str">
        <f>"83833"</f>
        <v>83833</v>
      </c>
      <c r="C6933" s="1">
        <v>1.25733128602713E-2</v>
      </c>
      <c r="D6933" s="1">
        <v>2.6901442895573401E-3</v>
      </c>
      <c r="E6933" s="1">
        <v>4.46539320267923E-3</v>
      </c>
      <c r="F6933" s="1">
        <v>1.13349988544996E-2</v>
      </c>
    </row>
    <row r="6934" spans="1:6" x14ac:dyDescent="0.25">
      <c r="A6934" s="2" t="str">
        <f t="shared" si="262"/>
        <v>17660</v>
      </c>
      <c r="B6934" s="2" t="str">
        <f>"83815"</f>
        <v>83815</v>
      </c>
      <c r="C6934" s="1">
        <v>0.204546026631761</v>
      </c>
      <c r="D6934" s="1">
        <v>0.148569332355099</v>
      </c>
      <c r="E6934" s="1">
        <v>0.165715703299429</v>
      </c>
      <c r="F6934" s="1">
        <v>0.197844277407459</v>
      </c>
    </row>
    <row r="6935" spans="1:6" x14ac:dyDescent="0.25">
      <c r="A6935" s="2" t="str">
        <f t="shared" si="262"/>
        <v>17660</v>
      </c>
      <c r="B6935" s="2" t="str">
        <f>"83801"</f>
        <v>83801</v>
      </c>
      <c r="C6935" s="1">
        <v>3.0961310947214701E-2</v>
      </c>
      <c r="D6935" s="1">
        <v>5.8694057226705704E-3</v>
      </c>
      <c r="E6935" s="1">
        <v>9.4269412056561599E-3</v>
      </c>
      <c r="F6935" s="1">
        <v>2.77756564808046E-2</v>
      </c>
    </row>
    <row r="6936" spans="1:6" x14ac:dyDescent="0.25">
      <c r="A6936" s="2" t="str">
        <f t="shared" si="262"/>
        <v>17660</v>
      </c>
      <c r="B6936" s="2" t="str">
        <f>"83877"</f>
        <v>83877</v>
      </c>
      <c r="C6936" s="1">
        <v>2.6858307951770799E-2</v>
      </c>
      <c r="D6936" s="1">
        <v>6.4441183663487403E-2</v>
      </c>
      <c r="E6936" s="1">
        <v>2.48077400148846E-4</v>
      </c>
      <c r="F6936" s="1">
        <v>2.90411616464658E-2</v>
      </c>
    </row>
    <row r="6937" spans="1:6" x14ac:dyDescent="0.25">
      <c r="A6937" s="2" t="str">
        <f t="shared" si="262"/>
        <v>17660</v>
      </c>
      <c r="B6937" s="2" t="str">
        <f>"83816"</f>
        <v>83816</v>
      </c>
      <c r="C6937" s="1">
        <v>2.7462431092204202E-2</v>
      </c>
      <c r="D6937" s="1">
        <v>9.5744680851063801E-2</v>
      </c>
      <c r="E6937" s="1">
        <v>2.48077400148846E-4</v>
      </c>
      <c r="F6937" s="1">
        <v>3.2357657942681299E-2</v>
      </c>
    </row>
    <row r="6938" spans="1:6" x14ac:dyDescent="0.25">
      <c r="A6938" s="2" t="str">
        <f t="shared" si="262"/>
        <v>17660</v>
      </c>
      <c r="B6938" s="2" t="str">
        <f>"83803"</f>
        <v>83803</v>
      </c>
      <c r="C6938" s="1">
        <v>2.9954439046492301E-3</v>
      </c>
      <c r="D6938" s="1">
        <v>3.6683785766691097E-4</v>
      </c>
      <c r="E6938" s="1">
        <v>0</v>
      </c>
      <c r="F6938" s="1">
        <v>2.6291960769339799E-3</v>
      </c>
    </row>
    <row r="6939" spans="1:6" x14ac:dyDescent="0.25">
      <c r="A6939" s="2" t="str">
        <f t="shared" si="262"/>
        <v>17660</v>
      </c>
      <c r="B6939" s="2" t="str">
        <f>"83861"</f>
        <v>83861</v>
      </c>
      <c r="C6939" s="1">
        <v>3.0332016009263201E-3</v>
      </c>
      <c r="D6939" s="1">
        <v>0</v>
      </c>
      <c r="E6939" s="1">
        <v>2.48077400148846E-4</v>
      </c>
      <c r="F6939" s="1">
        <v>2.6401056042241601E-3</v>
      </c>
    </row>
    <row r="6940" spans="1:6" x14ac:dyDescent="0.25">
      <c r="A6940" s="2" t="str">
        <f t="shared" si="262"/>
        <v>17660</v>
      </c>
      <c r="B6940" s="2" t="str">
        <f>"83858"</f>
        <v>83858</v>
      </c>
      <c r="C6940" s="1">
        <v>9.4457170186522998E-2</v>
      </c>
      <c r="D6940" s="1">
        <v>4.9400831499144003E-2</v>
      </c>
      <c r="E6940" s="1">
        <v>8.2857851649714695E-2</v>
      </c>
      <c r="F6940" s="1">
        <v>8.9927233452974403E-2</v>
      </c>
    </row>
    <row r="6941" spans="1:6" x14ac:dyDescent="0.25">
      <c r="A6941" s="2" t="str">
        <f t="shared" si="262"/>
        <v>17660</v>
      </c>
      <c r="B6941" s="2" t="str">
        <f>"83814"</f>
        <v>83814</v>
      </c>
      <c r="C6941" s="1">
        <v>0.17407556573614899</v>
      </c>
      <c r="D6941" s="1">
        <v>0.27794081682562899</v>
      </c>
      <c r="E6941" s="1">
        <v>0.29273133217563801</v>
      </c>
      <c r="F6941" s="1">
        <v>0.188560269683514</v>
      </c>
    </row>
    <row r="6942" spans="1:6" x14ac:dyDescent="0.25">
      <c r="A6942" s="2" t="str">
        <f t="shared" si="262"/>
        <v>17660</v>
      </c>
      <c r="B6942" s="2" t="str">
        <f>"83810"</f>
        <v>83810</v>
      </c>
      <c r="C6942" s="1">
        <v>6.6075968484909497E-3</v>
      </c>
      <c r="D6942" s="1">
        <v>1.7119100024455801E-3</v>
      </c>
      <c r="E6942" s="1">
        <v>1.2403870007442299E-3</v>
      </c>
      <c r="F6942" s="1">
        <v>5.9347828458592797E-3</v>
      </c>
    </row>
    <row r="6943" spans="1:6" x14ac:dyDescent="0.25">
      <c r="A6943" s="2" t="str">
        <f t="shared" si="262"/>
        <v>17660</v>
      </c>
      <c r="B6943" s="2" t="str">
        <f>"83869"</f>
        <v>83869</v>
      </c>
      <c r="C6943" s="1">
        <v>1.01064767035013E-2</v>
      </c>
      <c r="D6943" s="1">
        <v>6.1139642944485202E-4</v>
      </c>
      <c r="E6943" s="1">
        <v>2.1830811213098399E-2</v>
      </c>
      <c r="F6943" s="1">
        <v>9.7749364520035298E-3</v>
      </c>
    </row>
    <row r="6944" spans="1:6" x14ac:dyDescent="0.25">
      <c r="A6944" s="2" t="str">
        <f t="shared" si="262"/>
        <v>17660</v>
      </c>
      <c r="B6944" s="2" t="str">
        <f>"83851"</f>
        <v>83851</v>
      </c>
      <c r="C6944" s="1">
        <v>1.25858987590303E-5</v>
      </c>
      <c r="D6944" s="1">
        <v>0</v>
      </c>
      <c r="E6944" s="1">
        <v>0</v>
      </c>
      <c r="F6944" s="1">
        <v>1.09095272901825E-5</v>
      </c>
    </row>
    <row r="6945" spans="1:6" x14ac:dyDescent="0.25">
      <c r="A6945" s="2" t="str">
        <f t="shared" si="262"/>
        <v>17660</v>
      </c>
      <c r="B6945" s="2" t="str">
        <f>"83854"</f>
        <v>83854</v>
      </c>
      <c r="C6945" s="1">
        <v>0.24264354217534601</v>
      </c>
      <c r="D6945" s="1">
        <v>0.169479090242112</v>
      </c>
      <c r="E6945" s="1">
        <v>0.324981394194988</v>
      </c>
      <c r="F6945" s="1">
        <v>0.23973686220175999</v>
      </c>
    </row>
    <row r="6946" spans="1:6" x14ac:dyDescent="0.25">
      <c r="A6946" s="2" t="str">
        <f t="shared" si="262"/>
        <v>17660</v>
      </c>
      <c r="B6946" s="2" t="str">
        <f>"83876"</f>
        <v>83876</v>
      </c>
      <c r="C6946" s="1">
        <v>1.02323356910917E-2</v>
      </c>
      <c r="D6946" s="1">
        <v>1.10051357300073E-3</v>
      </c>
      <c r="E6946" s="1">
        <v>1.8109650210865701E-2</v>
      </c>
      <c r="F6946" s="1">
        <v>9.7640269247133496E-3</v>
      </c>
    </row>
    <row r="6947" spans="1:6" x14ac:dyDescent="0.25">
      <c r="A6947" s="2" t="str">
        <f t="shared" si="262"/>
        <v>17660</v>
      </c>
      <c r="B6947" s="2" t="str">
        <f>"83835"</f>
        <v>83835</v>
      </c>
      <c r="C6947" s="1">
        <v>0.152452991668135</v>
      </c>
      <c r="D6947" s="1">
        <v>0.18182929811689799</v>
      </c>
      <c r="E6947" s="1">
        <v>7.7648226246588903E-2</v>
      </c>
      <c r="F6947" s="1">
        <v>0.15178425318830899</v>
      </c>
    </row>
    <row r="6948" spans="1:6" x14ac:dyDescent="0.25">
      <c r="A6948" s="2" t="str">
        <f t="shared" ref="A6948:A6979" si="263">"41620"</f>
        <v>41620</v>
      </c>
      <c r="B6948" s="2" t="str">
        <f>"84120"</f>
        <v>84120</v>
      </c>
      <c r="C6948" s="1">
        <v>3.0982056041721901E-2</v>
      </c>
      <c r="D6948" s="1">
        <v>1.9134017351344901E-2</v>
      </c>
      <c r="E6948" s="1">
        <v>3.6115805716804998E-2</v>
      </c>
      <c r="F6948" s="1">
        <v>3.0152844351994199E-2</v>
      </c>
    </row>
    <row r="6949" spans="1:6" x14ac:dyDescent="0.25">
      <c r="A6949" s="2" t="str">
        <f t="shared" si="263"/>
        <v>41620</v>
      </c>
      <c r="B6949" s="2" t="str">
        <f>"84115"</f>
        <v>84115</v>
      </c>
      <c r="C6949" s="1">
        <v>2.7526276134072401E-2</v>
      </c>
      <c r="D6949" s="1">
        <v>6.50477360060214E-2</v>
      </c>
      <c r="E6949" s="1">
        <v>5.9115291351311598E-2</v>
      </c>
      <c r="F6949" s="1">
        <v>3.2507913538934598E-2</v>
      </c>
    </row>
    <row r="6950" spans="1:6" x14ac:dyDescent="0.25">
      <c r="A6950" s="2" t="str">
        <f t="shared" si="263"/>
        <v>41620</v>
      </c>
      <c r="B6950" s="2" t="str">
        <f>"84165"</f>
        <v>84165</v>
      </c>
      <c r="C6950" s="1">
        <v>1.7678776628657199E-3</v>
      </c>
      <c r="D6950" s="1">
        <v>7.8437586657687207E-3</v>
      </c>
      <c r="E6950" s="1">
        <v>7.34807847747813E-5</v>
      </c>
      <c r="F6950" s="1">
        <v>2.2393054173826502E-3</v>
      </c>
    </row>
    <row r="6951" spans="1:6" x14ac:dyDescent="0.25">
      <c r="A6951" s="2" t="str">
        <f t="shared" si="263"/>
        <v>41620</v>
      </c>
      <c r="B6951" s="2" t="str">
        <f>"84143"</f>
        <v>84143</v>
      </c>
      <c r="C6951" s="1">
        <v>0</v>
      </c>
      <c r="D6951" s="1">
        <v>5.94224141346115E-5</v>
      </c>
      <c r="E6951" s="1">
        <v>3.6740392387390603E-5</v>
      </c>
      <c r="F6951" s="1">
        <v>7.2352355973591302E-6</v>
      </c>
    </row>
    <row r="6952" spans="1:6" x14ac:dyDescent="0.25">
      <c r="A6952" s="2" t="str">
        <f t="shared" si="263"/>
        <v>41620</v>
      </c>
      <c r="B6952" s="2" t="str">
        <f>"84141"</f>
        <v>84141</v>
      </c>
      <c r="C6952" s="1">
        <v>0</v>
      </c>
      <c r="D6952" s="1">
        <v>0</v>
      </c>
      <c r="E6952" s="1">
        <v>3.6740392387390603E-5</v>
      </c>
      <c r="F6952" s="1">
        <v>1.80880889933978E-6</v>
      </c>
    </row>
    <row r="6953" spans="1:6" x14ac:dyDescent="0.25">
      <c r="A6953" s="2" t="str">
        <f t="shared" si="263"/>
        <v>41620</v>
      </c>
      <c r="B6953" s="2" t="str">
        <f>"84139"</f>
        <v>84139</v>
      </c>
      <c r="C6953" s="1">
        <v>0</v>
      </c>
      <c r="D6953" s="1">
        <v>1.9807471378203799E-5</v>
      </c>
      <c r="E6953" s="1">
        <v>0</v>
      </c>
      <c r="F6953" s="1">
        <v>1.80880889933978E-6</v>
      </c>
    </row>
    <row r="6954" spans="1:6" x14ac:dyDescent="0.25">
      <c r="A6954" s="2" t="str">
        <f t="shared" si="263"/>
        <v>41620</v>
      </c>
      <c r="B6954" s="2" t="str">
        <f>"84127"</f>
        <v>84127</v>
      </c>
      <c r="C6954" s="1">
        <v>1.26066514292449E-3</v>
      </c>
      <c r="D6954" s="1">
        <v>8.2795230360892102E-3</v>
      </c>
      <c r="E6954" s="1">
        <v>7.34807847747813E-5</v>
      </c>
      <c r="F6954" s="1">
        <v>1.84317626842724E-3</v>
      </c>
    </row>
    <row r="6955" spans="1:6" x14ac:dyDescent="0.25">
      <c r="A6955" s="2" t="str">
        <f t="shared" si="263"/>
        <v>41620</v>
      </c>
      <c r="B6955" s="2" t="str">
        <f>"84105"</f>
        <v>84105</v>
      </c>
      <c r="C6955" s="1">
        <v>2.1725953706860601E-2</v>
      </c>
      <c r="D6955" s="1">
        <v>9.2698966049993992E-3</v>
      </c>
      <c r="E6955" s="1">
        <v>2.3146447204056099E-2</v>
      </c>
      <c r="F6955" s="1">
        <v>2.0658406439359601E-2</v>
      </c>
    </row>
    <row r="6956" spans="1:6" x14ac:dyDescent="0.25">
      <c r="A6956" s="2" t="str">
        <f t="shared" si="263"/>
        <v>41620</v>
      </c>
      <c r="B6956" s="2" t="str">
        <f>"84104"</f>
        <v>84104</v>
      </c>
      <c r="C6956" s="1">
        <v>1.5891957419403701E-2</v>
      </c>
      <c r="D6956" s="1">
        <v>4.7716198550093E-2</v>
      </c>
      <c r="E6956" s="1">
        <v>2.20442354324344E-2</v>
      </c>
      <c r="F6956" s="1">
        <v>1.91010219770281E-2</v>
      </c>
    </row>
    <row r="6957" spans="1:6" x14ac:dyDescent="0.25">
      <c r="A6957" s="2" t="str">
        <f t="shared" si="263"/>
        <v>41620</v>
      </c>
      <c r="B6957" s="2" t="str">
        <f>"84065"</f>
        <v>84065</v>
      </c>
      <c r="C6957" s="1">
        <v>3.0849465217006902E-2</v>
      </c>
      <c r="D6957" s="1">
        <v>2.5868557619934202E-2</v>
      </c>
      <c r="E6957" s="1">
        <v>1.2344771842163199E-2</v>
      </c>
      <c r="F6957" s="1">
        <v>2.9483585059238399E-2</v>
      </c>
    </row>
    <row r="6958" spans="1:6" x14ac:dyDescent="0.25">
      <c r="A6958" s="2" t="str">
        <f t="shared" si="263"/>
        <v>41620</v>
      </c>
      <c r="B6958" s="2" t="str">
        <f>"84101"</f>
        <v>84101</v>
      </c>
      <c r="C6958" s="1">
        <v>1.10597584742373E-2</v>
      </c>
      <c r="D6958" s="1">
        <v>4.2387988749356197E-2</v>
      </c>
      <c r="E6958" s="1">
        <v>2.4432360937614798E-2</v>
      </c>
      <c r="F6958" s="1">
        <v>1.4578999728678601E-2</v>
      </c>
    </row>
    <row r="6959" spans="1:6" x14ac:dyDescent="0.25">
      <c r="A6959" s="2" t="str">
        <f t="shared" si="263"/>
        <v>41620</v>
      </c>
      <c r="B6959" s="2" t="str">
        <f>"84083"</f>
        <v>84083</v>
      </c>
      <c r="C6959" s="1">
        <v>1.2711882242510701E-3</v>
      </c>
      <c r="D6959" s="1">
        <v>1.18844828269223E-4</v>
      </c>
      <c r="E6959" s="1">
        <v>3.1596737453155901E-3</v>
      </c>
      <c r="F6959" s="1">
        <v>1.2589309939404899E-3</v>
      </c>
    </row>
    <row r="6960" spans="1:6" x14ac:dyDescent="0.25">
      <c r="A6960" s="2" t="str">
        <f t="shared" si="263"/>
        <v>41620</v>
      </c>
      <c r="B6960" s="2" t="str">
        <f>"84094"</f>
        <v>84094</v>
      </c>
      <c r="C6960" s="1">
        <v>2.0770457922407001E-2</v>
      </c>
      <c r="D6960" s="1">
        <v>1.1607178227627401E-2</v>
      </c>
      <c r="E6960" s="1">
        <v>6.9439341612168399E-3</v>
      </c>
      <c r="F6960" s="1">
        <v>1.9252961924572601E-2</v>
      </c>
    </row>
    <row r="6961" spans="1:6" x14ac:dyDescent="0.25">
      <c r="A6961" s="2" t="str">
        <f t="shared" si="263"/>
        <v>41620</v>
      </c>
      <c r="B6961" s="2" t="str">
        <f>"84093"</f>
        <v>84093</v>
      </c>
      <c r="C6961" s="1">
        <v>1.6639096193591E-2</v>
      </c>
      <c r="D6961" s="1">
        <v>5.3678247434932403E-3</v>
      </c>
      <c r="E6961" s="1">
        <v>1.65331765743258E-3</v>
      </c>
      <c r="F6961" s="1">
        <v>1.48720267703717E-2</v>
      </c>
    </row>
    <row r="6962" spans="1:6" x14ac:dyDescent="0.25">
      <c r="A6962" s="2" t="str">
        <f t="shared" si="263"/>
        <v>41620</v>
      </c>
      <c r="B6962" s="2" t="str">
        <f>"84070"</f>
        <v>84070</v>
      </c>
      <c r="C6962" s="1">
        <v>2.7376848379235E-2</v>
      </c>
      <c r="D6962" s="1">
        <v>5.2707681337400399E-2</v>
      </c>
      <c r="E6962" s="1">
        <v>1.58718495113527E-2</v>
      </c>
      <c r="F6962" s="1">
        <v>2.9123632088269801E-2</v>
      </c>
    </row>
    <row r="6963" spans="1:6" x14ac:dyDescent="0.25">
      <c r="A6963" s="2" t="str">
        <f t="shared" si="263"/>
        <v>41620</v>
      </c>
      <c r="B6963" s="2" t="str">
        <f>"84034"</f>
        <v>84034</v>
      </c>
      <c r="C6963" s="1">
        <v>3.6620323016504398E-4</v>
      </c>
      <c r="D6963" s="1">
        <v>1.38652299647427E-4</v>
      </c>
      <c r="E6963" s="1">
        <v>3.6740392387390603E-5</v>
      </c>
      <c r="F6963" s="1">
        <v>3.2920321967983999E-4</v>
      </c>
    </row>
    <row r="6964" spans="1:6" x14ac:dyDescent="0.25">
      <c r="A6964" s="2" t="str">
        <f t="shared" si="263"/>
        <v>41620</v>
      </c>
      <c r="B6964" s="2" t="str">
        <f>"84119"</f>
        <v>84119</v>
      </c>
      <c r="C6964" s="1">
        <v>3.6350932134543899E-2</v>
      </c>
      <c r="D6964" s="1">
        <v>5.1043853741631298E-2</v>
      </c>
      <c r="E6964" s="1">
        <v>7.0835476522889199E-2</v>
      </c>
      <c r="F6964" s="1">
        <v>3.9390431400922403E-2</v>
      </c>
    </row>
    <row r="6965" spans="1:6" x14ac:dyDescent="0.25">
      <c r="A6965" s="2" t="str">
        <f t="shared" si="263"/>
        <v>41620</v>
      </c>
      <c r="B6965" s="2" t="str">
        <f>"84110"</f>
        <v>84110</v>
      </c>
      <c r="C6965" s="1">
        <v>4.5017741915116599E-3</v>
      </c>
      <c r="D6965" s="1">
        <v>1.9431129422017902E-2</v>
      </c>
      <c r="E6965" s="1">
        <v>1.10221177162172E-4</v>
      </c>
      <c r="F6965" s="1">
        <v>5.6489101926381399E-3</v>
      </c>
    </row>
    <row r="6966" spans="1:6" x14ac:dyDescent="0.25">
      <c r="A6966" s="2" t="str">
        <f t="shared" si="263"/>
        <v>41620</v>
      </c>
      <c r="B6966" s="2" t="str">
        <f>"84091"</f>
        <v>84091</v>
      </c>
      <c r="C6966" s="1">
        <v>2.58025954127783E-3</v>
      </c>
      <c r="D6966" s="1">
        <v>7.8833736085251304E-3</v>
      </c>
      <c r="E6966" s="1">
        <v>7.34807847747813E-5</v>
      </c>
      <c r="F6966" s="1">
        <v>2.9411232703264898E-3</v>
      </c>
    </row>
    <row r="6967" spans="1:6" x14ac:dyDescent="0.25">
      <c r="A6967" s="2" t="str">
        <f t="shared" si="263"/>
        <v>41620</v>
      </c>
      <c r="B6967" s="2" t="str">
        <f>"84069"</f>
        <v>84069</v>
      </c>
      <c r="C6967" s="1">
        <v>4.5249249704301398E-4</v>
      </c>
      <c r="D6967" s="1">
        <v>0</v>
      </c>
      <c r="E6967" s="1">
        <v>1.46961569549562E-4</v>
      </c>
      <c r="F6967" s="1">
        <v>3.9612914895541203E-4</v>
      </c>
    </row>
    <row r="6968" spans="1:6" x14ac:dyDescent="0.25">
      <c r="A6968" s="2" t="str">
        <f t="shared" si="263"/>
        <v>41620</v>
      </c>
      <c r="B6968" s="2" t="str">
        <f>"84118"</f>
        <v>84118</v>
      </c>
      <c r="C6968" s="1">
        <v>2.5219616707285699E-2</v>
      </c>
      <c r="D6968" s="1">
        <v>8.0022184367943491E-3</v>
      </c>
      <c r="E6968" s="1">
        <v>4.0047027702255801E-3</v>
      </c>
      <c r="F6968" s="1">
        <v>2.2602876006149901E-2</v>
      </c>
    </row>
    <row r="6969" spans="1:6" x14ac:dyDescent="0.25">
      <c r="A6969" s="2" t="str">
        <f t="shared" si="263"/>
        <v>41620</v>
      </c>
      <c r="B6969" s="2" t="str">
        <f>"84114"</f>
        <v>84114</v>
      </c>
      <c r="C6969" s="1">
        <v>0</v>
      </c>
      <c r="D6969" s="1">
        <v>3.5653448480766898E-4</v>
      </c>
      <c r="E6969" s="1">
        <v>7.34807847747813E-5</v>
      </c>
      <c r="F6969" s="1">
        <v>3.6176177986795597E-5</v>
      </c>
    </row>
    <row r="6970" spans="1:6" x14ac:dyDescent="0.25">
      <c r="A6970" s="2" t="str">
        <f t="shared" si="263"/>
        <v>41620</v>
      </c>
      <c r="B6970" s="2" t="str">
        <f>"84109"</f>
        <v>84109</v>
      </c>
      <c r="C6970" s="1">
        <v>2.21721323551076E-2</v>
      </c>
      <c r="D6970" s="1">
        <v>1.79653765400308E-2</v>
      </c>
      <c r="E6970" s="1">
        <v>9.1483577044602794E-3</v>
      </c>
      <c r="F6970" s="1">
        <v>2.1146784842181399E-2</v>
      </c>
    </row>
    <row r="6971" spans="1:6" x14ac:dyDescent="0.25">
      <c r="A6971" s="2" t="str">
        <f t="shared" si="263"/>
        <v>41620</v>
      </c>
      <c r="B6971" s="2" t="str">
        <f>"84199"</f>
        <v>84199</v>
      </c>
      <c r="C6971" s="1">
        <v>0</v>
      </c>
      <c r="D6971" s="1">
        <v>5.94224141346115E-5</v>
      </c>
      <c r="E6971" s="1">
        <v>7.34807847747813E-5</v>
      </c>
      <c r="F6971" s="1">
        <v>9.0440444966989197E-6</v>
      </c>
    </row>
    <row r="6972" spans="1:6" x14ac:dyDescent="0.25">
      <c r="A6972" s="2" t="str">
        <f t="shared" si="263"/>
        <v>41620</v>
      </c>
      <c r="B6972" s="2" t="str">
        <f>"84132"</f>
        <v>84132</v>
      </c>
      <c r="C6972" s="1">
        <v>0</v>
      </c>
      <c r="D6972" s="1">
        <v>1.5845977102562999E-4</v>
      </c>
      <c r="E6972" s="1">
        <v>0</v>
      </c>
      <c r="F6972" s="1">
        <v>1.4470471194718199E-5</v>
      </c>
    </row>
    <row r="6973" spans="1:6" x14ac:dyDescent="0.25">
      <c r="A6973" s="2" t="str">
        <f t="shared" si="263"/>
        <v>41620</v>
      </c>
      <c r="B6973" s="2" t="str">
        <f>"84126"</f>
        <v>84126</v>
      </c>
      <c r="C6973" s="1">
        <v>5.74560240431362E-4</v>
      </c>
      <c r="D6973" s="1">
        <v>4.1001465752881902E-3</v>
      </c>
      <c r="E6973" s="1">
        <v>7.34807847747813E-5</v>
      </c>
      <c r="F6973" s="1">
        <v>8.7184588948177599E-4</v>
      </c>
    </row>
    <row r="6974" spans="1:6" x14ac:dyDescent="0.25">
      <c r="A6974" s="2" t="str">
        <f t="shared" si="263"/>
        <v>41620</v>
      </c>
      <c r="B6974" s="2" t="str">
        <f>"84092"</f>
        <v>84092</v>
      </c>
      <c r="C6974" s="1">
        <v>2.0290605413914801E-2</v>
      </c>
      <c r="D6974" s="1">
        <v>1.5845977102563E-3</v>
      </c>
      <c r="E6974" s="1">
        <v>3.0127121757660301E-3</v>
      </c>
      <c r="F6974" s="1">
        <v>1.7731753640227901E-2</v>
      </c>
    </row>
    <row r="6975" spans="1:6" x14ac:dyDescent="0.25">
      <c r="A6975" s="2" t="str">
        <f t="shared" si="263"/>
        <v>41620</v>
      </c>
      <c r="B6975" s="2" t="str">
        <f>"84095"</f>
        <v>84095</v>
      </c>
      <c r="C6975" s="1">
        <v>2.80482209678709E-2</v>
      </c>
      <c r="D6975" s="1">
        <v>3.4346155369805398E-2</v>
      </c>
      <c r="E6975" s="1">
        <v>1.46594165625688E-2</v>
      </c>
      <c r="F6975" s="1">
        <v>2.7964185583792999E-2</v>
      </c>
    </row>
    <row r="6976" spans="1:6" x14ac:dyDescent="0.25">
      <c r="A6976" s="2" t="str">
        <f t="shared" si="263"/>
        <v>41620</v>
      </c>
      <c r="B6976" s="2" t="str">
        <f>"84071"</f>
        <v>84071</v>
      </c>
      <c r="C6976" s="1">
        <v>1.5868806640485201E-3</v>
      </c>
      <c r="D6976" s="1">
        <v>1.18844828269223E-4</v>
      </c>
      <c r="E6976" s="1">
        <v>3.6740392387390603E-5</v>
      </c>
      <c r="F6976" s="1">
        <v>1.3765035723975699E-3</v>
      </c>
    </row>
    <row r="6977" spans="1:6" x14ac:dyDescent="0.25">
      <c r="A6977" s="2" t="str">
        <f t="shared" si="263"/>
        <v>41620</v>
      </c>
      <c r="B6977" s="2" t="str">
        <f>"84111"</f>
        <v>84111</v>
      </c>
      <c r="C6977" s="1">
        <v>1.66285731122644E-2</v>
      </c>
      <c r="D6977" s="1">
        <v>4.1912609436279301E-2</v>
      </c>
      <c r="E6977" s="1">
        <v>2.5755015063560802E-2</v>
      </c>
      <c r="F6977" s="1">
        <v>1.9386813783123801E-2</v>
      </c>
    </row>
    <row r="6978" spans="1:6" x14ac:dyDescent="0.25">
      <c r="A6978" s="2" t="str">
        <f t="shared" si="263"/>
        <v>41620</v>
      </c>
      <c r="B6978" s="2" t="str">
        <f>"84171"</f>
        <v>84171</v>
      </c>
      <c r="C6978" s="1">
        <v>3.07273974736186E-3</v>
      </c>
      <c r="D6978" s="1">
        <v>9.2698966049993992E-3</v>
      </c>
      <c r="E6978" s="1">
        <v>7.34807847747813E-5</v>
      </c>
      <c r="F6978" s="1">
        <v>3.4910011757257799E-3</v>
      </c>
    </row>
    <row r="6979" spans="1:6" x14ac:dyDescent="0.25">
      <c r="A6979" s="2" t="str">
        <f t="shared" si="263"/>
        <v>41620</v>
      </c>
      <c r="B6979" s="2" t="str">
        <f>"84134"</f>
        <v>84134</v>
      </c>
      <c r="C6979" s="1">
        <v>0</v>
      </c>
      <c r="D6979" s="1">
        <v>1.9807471378203799E-5</v>
      </c>
      <c r="E6979" s="1">
        <v>3.6740392387390603E-5</v>
      </c>
      <c r="F6979" s="1">
        <v>3.61761779867956E-6</v>
      </c>
    </row>
    <row r="6980" spans="1:6" x14ac:dyDescent="0.25">
      <c r="A6980" s="2" t="str">
        <f t="shared" ref="A6980:A7011" si="264">"41620"</f>
        <v>41620</v>
      </c>
      <c r="B6980" s="2" t="str">
        <f>"84150"</f>
        <v>84150</v>
      </c>
      <c r="C6980" s="1">
        <v>0</v>
      </c>
      <c r="D6980" s="1">
        <v>7.3287644099354196E-4</v>
      </c>
      <c r="E6980" s="1">
        <v>2.3881255051803902E-3</v>
      </c>
      <c r="F6980" s="1">
        <v>1.8449850773265801E-4</v>
      </c>
    </row>
    <row r="6981" spans="1:6" x14ac:dyDescent="0.25">
      <c r="A6981" s="2" t="str">
        <f t="shared" si="264"/>
        <v>41620</v>
      </c>
      <c r="B6981" s="2" t="str">
        <f>"84129"</f>
        <v>84129</v>
      </c>
      <c r="C6981" s="1">
        <v>2.7149549822580801E-2</v>
      </c>
      <c r="D6981" s="1">
        <v>1.1983520183813301E-2</v>
      </c>
      <c r="E6981" s="1">
        <v>1.5688147549415801E-2</v>
      </c>
      <c r="F6981" s="1">
        <v>2.5200325585601799E-2</v>
      </c>
    </row>
    <row r="6982" spans="1:6" x14ac:dyDescent="0.25">
      <c r="A6982" s="2" t="str">
        <f t="shared" si="264"/>
        <v>41620</v>
      </c>
      <c r="B6982" s="2" t="str">
        <f>"84096"</f>
        <v>84096</v>
      </c>
      <c r="C6982" s="1">
        <v>4.0421259991665702E-2</v>
      </c>
      <c r="D6982" s="1">
        <v>6.1205086558649901E-3</v>
      </c>
      <c r="E6982" s="1">
        <v>1.9325446395767502E-2</v>
      </c>
      <c r="F6982" s="1">
        <v>3.6250339151668601E-2</v>
      </c>
    </row>
    <row r="6983" spans="1:6" x14ac:dyDescent="0.25">
      <c r="A6983" s="2" t="str">
        <f t="shared" si="264"/>
        <v>41620</v>
      </c>
      <c r="B6983" s="2" t="str">
        <f>"84080"</f>
        <v>84080</v>
      </c>
      <c r="C6983" s="1">
        <v>3.9777247414478898E-4</v>
      </c>
      <c r="D6983" s="1">
        <v>2.37689656538446E-4</v>
      </c>
      <c r="E6983" s="1">
        <v>3.6740392387390603E-5</v>
      </c>
      <c r="F6983" s="1">
        <v>3.6537939766663599E-4</v>
      </c>
    </row>
    <row r="6984" spans="1:6" x14ac:dyDescent="0.25">
      <c r="A6984" s="2" t="str">
        <f t="shared" si="264"/>
        <v>41620</v>
      </c>
      <c r="B6984" s="2" t="str">
        <f>"84081"</f>
        <v>84081</v>
      </c>
      <c r="C6984" s="1">
        <v>3.0098117210288999E-2</v>
      </c>
      <c r="D6984" s="1">
        <v>5.1895575010894096E-3</v>
      </c>
      <c r="E6984" s="1">
        <v>6.4295686677933702E-3</v>
      </c>
      <c r="F6984" s="1">
        <v>2.6658225558469702E-2</v>
      </c>
    </row>
    <row r="6985" spans="1:6" x14ac:dyDescent="0.25">
      <c r="A6985" s="2" t="str">
        <f t="shared" si="264"/>
        <v>41620</v>
      </c>
      <c r="B6985" s="2" t="str">
        <f>"84088"</f>
        <v>84088</v>
      </c>
      <c r="C6985" s="1">
        <v>2.5834164656758099E-2</v>
      </c>
      <c r="D6985" s="1">
        <v>2.5749712791664998E-2</v>
      </c>
      <c r="E6985" s="1">
        <v>1.86641193327944E-2</v>
      </c>
      <c r="F6985" s="1">
        <v>2.54734557294021E-2</v>
      </c>
    </row>
    <row r="6986" spans="1:6" x14ac:dyDescent="0.25">
      <c r="A6986" s="2" t="str">
        <f t="shared" si="264"/>
        <v>41620</v>
      </c>
      <c r="B6986" s="2" t="str">
        <f>"84044"</f>
        <v>84044</v>
      </c>
      <c r="C6986" s="1">
        <v>2.0063306857260699E-2</v>
      </c>
      <c r="D6986" s="1">
        <v>7.2495345244226097E-3</v>
      </c>
      <c r="E6986" s="1">
        <v>1.13160408553163E-2</v>
      </c>
      <c r="F6986" s="1">
        <v>1.8462512435561101E-2</v>
      </c>
    </row>
    <row r="6987" spans="1:6" x14ac:dyDescent="0.25">
      <c r="A6987" s="2" t="str">
        <f t="shared" si="264"/>
        <v>41620</v>
      </c>
      <c r="B6987" s="2" t="str">
        <f>"84074"</f>
        <v>84074</v>
      </c>
      <c r="C6987" s="1">
        <v>4.0543327735054001E-2</v>
      </c>
      <c r="D6987" s="1">
        <v>2.12534167888127E-2</v>
      </c>
      <c r="E6987" s="1">
        <v>1.0911896539054999E-2</v>
      </c>
      <c r="F6987" s="1">
        <v>3.7322962828977103E-2</v>
      </c>
    </row>
    <row r="6988" spans="1:6" x14ac:dyDescent="0.25">
      <c r="A6988" s="2" t="str">
        <f t="shared" si="264"/>
        <v>41620</v>
      </c>
      <c r="B6988" s="2" t="str">
        <f>"84009"</f>
        <v>84009</v>
      </c>
      <c r="C6988" s="1">
        <v>2.4962853522917099E-2</v>
      </c>
      <c r="D6988" s="1">
        <v>4.7934080735253298E-3</v>
      </c>
      <c r="E6988" s="1">
        <v>4.7395106179733901E-3</v>
      </c>
      <c r="F6988" s="1">
        <v>2.2125350456724199E-2</v>
      </c>
    </row>
    <row r="6989" spans="1:6" x14ac:dyDescent="0.25">
      <c r="A6989" s="2" t="str">
        <f t="shared" si="264"/>
        <v>41620</v>
      </c>
      <c r="B6989" s="2" t="str">
        <f>"84113"</f>
        <v>84113</v>
      </c>
      <c r="C6989" s="1">
        <v>2.0625239400100099E-4</v>
      </c>
      <c r="D6989" s="1">
        <v>8.1210632650635802E-4</v>
      </c>
      <c r="E6989" s="1">
        <v>4.0414431626129699E-4</v>
      </c>
      <c r="F6989" s="1">
        <v>2.7132133490096702E-4</v>
      </c>
    </row>
    <row r="6990" spans="1:6" x14ac:dyDescent="0.25">
      <c r="A6990" s="2" t="str">
        <f t="shared" si="264"/>
        <v>41620</v>
      </c>
      <c r="B6990" s="2" t="str">
        <f>"84125"</f>
        <v>84125</v>
      </c>
      <c r="C6990" s="1">
        <v>5.2194483379845301E-4</v>
      </c>
      <c r="D6990" s="1">
        <v>3.5851523194548899E-3</v>
      </c>
      <c r="E6990" s="1">
        <v>7.34807847747813E-5</v>
      </c>
      <c r="F6990" s="1">
        <v>7.7959663561544702E-4</v>
      </c>
    </row>
    <row r="6991" spans="1:6" x14ac:dyDescent="0.25">
      <c r="A6991" s="2" t="str">
        <f t="shared" si="264"/>
        <v>41620</v>
      </c>
      <c r="B6991" s="2" t="str">
        <f>"84148"</f>
        <v>84148</v>
      </c>
      <c r="C6991" s="1">
        <v>0</v>
      </c>
      <c r="D6991" s="1">
        <v>1.9807471378203799E-5</v>
      </c>
      <c r="E6991" s="1">
        <v>0</v>
      </c>
      <c r="F6991" s="1">
        <v>1.80880889933978E-6</v>
      </c>
    </row>
    <row r="6992" spans="1:6" x14ac:dyDescent="0.25">
      <c r="A6992" s="2" t="str">
        <f t="shared" si="264"/>
        <v>41620</v>
      </c>
      <c r="B6992" s="2" t="str">
        <f>"84158"</f>
        <v>84158</v>
      </c>
      <c r="C6992" s="1">
        <v>1.45008060680296E-3</v>
      </c>
      <c r="D6992" s="1">
        <v>6.4770431406726602E-3</v>
      </c>
      <c r="E6992" s="1">
        <v>7.34807847747813E-5</v>
      </c>
      <c r="F6992" s="1">
        <v>1.8413674595278999E-3</v>
      </c>
    </row>
    <row r="6993" spans="1:6" x14ac:dyDescent="0.25">
      <c r="A6993" s="2" t="str">
        <f t="shared" si="264"/>
        <v>41620</v>
      </c>
      <c r="B6993" s="2" t="str">
        <f>"84020"</f>
        <v>84020</v>
      </c>
      <c r="C6993" s="1">
        <v>3.3644395617347E-2</v>
      </c>
      <c r="D6993" s="1">
        <v>4.8726379590381397E-2</v>
      </c>
      <c r="E6993" s="1">
        <v>2.6820486442795201E-2</v>
      </c>
      <c r="F6993" s="1">
        <v>3.4685719453739702E-2</v>
      </c>
    </row>
    <row r="6994" spans="1:6" x14ac:dyDescent="0.25">
      <c r="A6994" s="2" t="str">
        <f t="shared" si="264"/>
        <v>41620</v>
      </c>
      <c r="B6994" s="2" t="str">
        <f>"84116"</f>
        <v>84116</v>
      </c>
      <c r="C6994" s="1">
        <v>2.8469144220934099E-2</v>
      </c>
      <c r="D6994" s="1">
        <v>2.30558966842292E-2</v>
      </c>
      <c r="E6994" s="1">
        <v>2.8914688808876401E-2</v>
      </c>
      <c r="F6994" s="1">
        <v>2.7996744143981098E-2</v>
      </c>
    </row>
    <row r="6995" spans="1:6" x14ac:dyDescent="0.25">
      <c r="A6995" s="2" t="str">
        <f t="shared" si="264"/>
        <v>41620</v>
      </c>
      <c r="B6995" s="2" t="str">
        <f>"84108"</f>
        <v>84108</v>
      </c>
      <c r="C6995" s="1">
        <v>1.7794530523249599E-2</v>
      </c>
      <c r="D6995" s="1">
        <v>9.0322069484609496E-3</v>
      </c>
      <c r="E6995" s="1">
        <v>5.2906165037842597E-3</v>
      </c>
      <c r="F6995" s="1">
        <v>1.63787645835217E-2</v>
      </c>
    </row>
    <row r="6996" spans="1:6" x14ac:dyDescent="0.25">
      <c r="A6996" s="2" t="str">
        <f t="shared" si="264"/>
        <v>41620</v>
      </c>
      <c r="B6996" s="2" t="str">
        <f>"84184"</f>
        <v>84184</v>
      </c>
      <c r="C6996" s="1">
        <v>0</v>
      </c>
      <c r="D6996" s="1">
        <v>3.96149427564077E-5</v>
      </c>
      <c r="E6996" s="1">
        <v>0</v>
      </c>
      <c r="F6996" s="1">
        <v>3.61761779867956E-6</v>
      </c>
    </row>
    <row r="6997" spans="1:6" x14ac:dyDescent="0.25">
      <c r="A6997" s="2" t="str">
        <f t="shared" si="264"/>
        <v>41620</v>
      </c>
      <c r="B6997" s="2" t="str">
        <f>"84180"</f>
        <v>84180</v>
      </c>
      <c r="C6997" s="1">
        <v>0</v>
      </c>
      <c r="D6997" s="1">
        <v>6.3383908410252299E-4</v>
      </c>
      <c r="E6997" s="1">
        <v>2.5718274671173401E-4</v>
      </c>
      <c r="F6997" s="1">
        <v>7.0543547074251601E-5</v>
      </c>
    </row>
    <row r="6998" spans="1:6" x14ac:dyDescent="0.25">
      <c r="A6998" s="2" t="str">
        <f t="shared" si="264"/>
        <v>41620</v>
      </c>
      <c r="B6998" s="2" t="str">
        <f>"84128"</f>
        <v>84128</v>
      </c>
      <c r="C6998" s="1">
        <v>1.77776935931271E-2</v>
      </c>
      <c r="D6998" s="1">
        <v>2.8324684070831501E-3</v>
      </c>
      <c r="E6998" s="1">
        <v>4.3353663017121E-3</v>
      </c>
      <c r="F6998" s="1">
        <v>1.5751107895450801E-2</v>
      </c>
    </row>
    <row r="6999" spans="1:6" x14ac:dyDescent="0.25">
      <c r="A6999" s="2" t="str">
        <f t="shared" si="264"/>
        <v>41620</v>
      </c>
      <c r="B6999" s="2" t="str">
        <f>"84122"</f>
        <v>84122</v>
      </c>
      <c r="C6999" s="1">
        <v>1.56583450139536E-3</v>
      </c>
      <c r="D6999" s="1">
        <v>1.9807471378203798E-3</v>
      </c>
      <c r="E6999" s="1">
        <v>1.10221177162172E-4</v>
      </c>
      <c r="F6999" s="1">
        <v>1.5320611377407901E-3</v>
      </c>
    </row>
    <row r="7000" spans="1:6" x14ac:dyDescent="0.25">
      <c r="A7000" s="2" t="str">
        <f t="shared" si="264"/>
        <v>41620</v>
      </c>
      <c r="B7000" s="2" t="str">
        <f>"84107"</f>
        <v>84107</v>
      </c>
      <c r="C7000" s="1">
        <v>3.4646192959637598E-2</v>
      </c>
      <c r="D7000" s="1">
        <v>6.4572356692944505E-2</v>
      </c>
      <c r="E7000" s="1">
        <v>0.103938570063928</v>
      </c>
      <c r="F7000" s="1">
        <v>4.07904494890114E-2</v>
      </c>
    </row>
    <row r="7001" spans="1:6" x14ac:dyDescent="0.25">
      <c r="A7001" s="2" t="str">
        <f t="shared" si="264"/>
        <v>41620</v>
      </c>
      <c r="B7001" s="2" t="str">
        <f>"84050"</f>
        <v>84050</v>
      </c>
      <c r="C7001" s="1">
        <v>2.1046162653163399E-6</v>
      </c>
      <c r="D7001" s="1">
        <v>0</v>
      </c>
      <c r="E7001" s="1">
        <v>0</v>
      </c>
      <c r="F7001" s="1">
        <v>1.80880889933978E-6</v>
      </c>
    </row>
    <row r="7002" spans="1:6" x14ac:dyDescent="0.25">
      <c r="A7002" s="2" t="str">
        <f t="shared" si="264"/>
        <v>41620</v>
      </c>
      <c r="B7002" s="2" t="str">
        <f>"84090"</f>
        <v>84090</v>
      </c>
      <c r="C7002" s="1">
        <v>4.3060448788372402E-3</v>
      </c>
      <c r="D7002" s="1">
        <v>7.0316523392623597E-3</v>
      </c>
      <c r="E7002" s="1">
        <v>7.34807847747813E-5</v>
      </c>
      <c r="F7002" s="1">
        <v>4.3465677851135002E-3</v>
      </c>
    </row>
    <row r="7003" spans="1:6" x14ac:dyDescent="0.25">
      <c r="A7003" s="2" t="str">
        <f t="shared" si="264"/>
        <v>41620</v>
      </c>
      <c r="B7003" s="2" t="str">
        <f>"84117"</f>
        <v>84117</v>
      </c>
      <c r="C7003" s="1">
        <v>2.4276748620424001E-2</v>
      </c>
      <c r="D7003" s="1">
        <v>3.1236382363427399E-2</v>
      </c>
      <c r="E7003" s="1">
        <v>3.75119406275259E-2</v>
      </c>
      <c r="F7003" s="1">
        <v>2.5563896174369102E-2</v>
      </c>
    </row>
    <row r="7004" spans="1:6" x14ac:dyDescent="0.25">
      <c r="A7004" s="2" t="str">
        <f t="shared" si="264"/>
        <v>41620</v>
      </c>
      <c r="B7004" s="2" t="str">
        <f>"84190"</f>
        <v>84190</v>
      </c>
      <c r="C7004" s="1">
        <v>0</v>
      </c>
      <c r="D7004" s="1">
        <v>1.9807471378203799E-5</v>
      </c>
      <c r="E7004" s="1">
        <v>0</v>
      </c>
      <c r="F7004" s="1">
        <v>1.80880889933978E-6</v>
      </c>
    </row>
    <row r="7005" spans="1:6" x14ac:dyDescent="0.25">
      <c r="A7005" s="2" t="str">
        <f t="shared" si="264"/>
        <v>41620</v>
      </c>
      <c r="B7005" s="2" t="str">
        <f>"84151"</f>
        <v>84151</v>
      </c>
      <c r="C7005" s="1">
        <v>0</v>
      </c>
      <c r="D7005" s="1">
        <v>0</v>
      </c>
      <c r="E7005" s="1">
        <v>3.6740392387390603E-5</v>
      </c>
      <c r="F7005" s="1">
        <v>1.80880889933978E-6</v>
      </c>
    </row>
    <row r="7006" spans="1:6" x14ac:dyDescent="0.25">
      <c r="A7006" s="2" t="str">
        <f t="shared" si="264"/>
        <v>41620</v>
      </c>
      <c r="B7006" s="2" t="str">
        <f>"84138"</f>
        <v>84138</v>
      </c>
      <c r="C7006" s="1">
        <v>0</v>
      </c>
      <c r="D7006" s="1">
        <v>2.93150576397417E-3</v>
      </c>
      <c r="E7006" s="1">
        <v>1.46961569549562E-4</v>
      </c>
      <c r="F7006" s="1">
        <v>2.74938952699647E-4</v>
      </c>
    </row>
    <row r="7007" spans="1:6" x14ac:dyDescent="0.25">
      <c r="A7007" s="2" t="str">
        <f t="shared" si="264"/>
        <v>41620</v>
      </c>
      <c r="B7007" s="2" t="str">
        <f>"84133"</f>
        <v>84133</v>
      </c>
      <c r="C7007" s="1">
        <v>0</v>
      </c>
      <c r="D7007" s="1">
        <v>5.3480172721150402E-4</v>
      </c>
      <c r="E7007" s="1">
        <v>2.5718274671173401E-4</v>
      </c>
      <c r="F7007" s="1">
        <v>6.1499502577552602E-5</v>
      </c>
    </row>
    <row r="7008" spans="1:6" x14ac:dyDescent="0.25">
      <c r="A7008" s="2" t="str">
        <f t="shared" si="264"/>
        <v>41620</v>
      </c>
      <c r="B7008" s="2" t="str">
        <f>"84124"</f>
        <v>84124</v>
      </c>
      <c r="C7008" s="1">
        <v>1.8110222963047099E-2</v>
      </c>
      <c r="D7008" s="1">
        <v>1.1864675355544099E-2</v>
      </c>
      <c r="E7008" s="1">
        <v>1.7598647953560101E-2</v>
      </c>
      <c r="F7008" s="1">
        <v>1.7514696572307101E-2</v>
      </c>
    </row>
    <row r="7009" spans="1:6" x14ac:dyDescent="0.25">
      <c r="A7009" s="2" t="str">
        <f t="shared" si="264"/>
        <v>41620</v>
      </c>
      <c r="B7009" s="2" t="str">
        <f>"84103"</f>
        <v>84103</v>
      </c>
      <c r="C7009" s="1">
        <v>2.6686534244211201E-2</v>
      </c>
      <c r="D7009" s="1">
        <v>1.0537574773204401E-2</v>
      </c>
      <c r="E7009" s="1">
        <v>5.7829377617752899E-2</v>
      </c>
      <c r="F7009" s="1">
        <v>2.6745048385638001E-2</v>
      </c>
    </row>
    <row r="7010" spans="1:6" x14ac:dyDescent="0.25">
      <c r="A7010" s="2" t="str">
        <f t="shared" si="264"/>
        <v>41620</v>
      </c>
      <c r="B7010" s="2" t="str">
        <f>"84047"</f>
        <v>84047</v>
      </c>
      <c r="C7010" s="1">
        <v>3.54943533145601E-2</v>
      </c>
      <c r="D7010" s="1">
        <v>4.2586063463138202E-2</v>
      </c>
      <c r="E7010" s="1">
        <v>7.8183555000367402E-2</v>
      </c>
      <c r="F7010" s="1">
        <v>3.8243646558740997E-2</v>
      </c>
    </row>
    <row r="7011" spans="1:6" x14ac:dyDescent="0.25">
      <c r="A7011" s="2" t="str">
        <f t="shared" si="264"/>
        <v>41620</v>
      </c>
      <c r="B7011" s="2" t="str">
        <f>"84029"</f>
        <v>84029</v>
      </c>
      <c r="C7011" s="1">
        <v>9.2182192420855891E-3</v>
      </c>
      <c r="D7011" s="1">
        <v>2.0797844947114002E-3</v>
      </c>
      <c r="E7011" s="1">
        <v>2.5350870747299502E-3</v>
      </c>
      <c r="F7011" s="1">
        <v>8.2373157275933695E-3</v>
      </c>
    </row>
    <row r="7012" spans="1:6" x14ac:dyDescent="0.25">
      <c r="A7012" s="2" t="str">
        <f t="shared" ref="A7012:A7022" si="265">"41620"</f>
        <v>41620</v>
      </c>
      <c r="B7012" s="2" t="str">
        <f>"84022"</f>
        <v>84022</v>
      </c>
      <c r="C7012" s="1">
        <v>8.8604344769818103E-4</v>
      </c>
      <c r="D7012" s="1">
        <v>7.9229885512815403E-4</v>
      </c>
      <c r="E7012" s="1">
        <v>1.28591373355867E-3</v>
      </c>
      <c r="F7012" s="1">
        <v>8.9716921407253299E-4</v>
      </c>
    </row>
    <row r="7013" spans="1:6" x14ac:dyDescent="0.25">
      <c r="A7013" s="2" t="str">
        <f t="shared" si="265"/>
        <v>41620</v>
      </c>
      <c r="B7013" s="2" t="str">
        <f>"84006"</f>
        <v>84006</v>
      </c>
      <c r="C7013" s="1">
        <v>6.5664027477869904E-4</v>
      </c>
      <c r="D7013" s="1">
        <v>2.9711207067305702E-4</v>
      </c>
      <c r="E7013" s="1">
        <v>4.4088470864868802E-4</v>
      </c>
      <c r="F7013" s="1">
        <v>6.1318621687618698E-4</v>
      </c>
    </row>
    <row r="7014" spans="1:6" x14ac:dyDescent="0.25">
      <c r="A7014" s="2" t="str">
        <f t="shared" si="265"/>
        <v>41620</v>
      </c>
      <c r="B7014" s="2" t="str">
        <f>"84112"</f>
        <v>84112</v>
      </c>
      <c r="C7014" s="1">
        <v>6.1917810525606801E-3</v>
      </c>
      <c r="D7014" s="1">
        <v>4.6745632452561102E-3</v>
      </c>
      <c r="E7014" s="1">
        <v>2.7922698214416898E-3</v>
      </c>
      <c r="F7014" s="1">
        <v>5.8858641584516496E-3</v>
      </c>
    </row>
    <row r="7015" spans="1:6" x14ac:dyDescent="0.25">
      <c r="A7015" s="2" t="str">
        <f t="shared" si="265"/>
        <v>41620</v>
      </c>
      <c r="B7015" s="2" t="str">
        <f>"84152"</f>
        <v>84152</v>
      </c>
      <c r="C7015" s="1">
        <v>3.5589061046499299E-3</v>
      </c>
      <c r="D7015" s="1">
        <v>1.0993146614903099E-2</v>
      </c>
      <c r="E7015" s="1">
        <v>7.34807847747813E-5</v>
      </c>
      <c r="F7015" s="1">
        <v>4.0662024057158304E-3</v>
      </c>
    </row>
    <row r="7016" spans="1:6" x14ac:dyDescent="0.25">
      <c r="A7016" s="2" t="str">
        <f t="shared" si="265"/>
        <v>41620</v>
      </c>
      <c r="B7016" s="2" t="str">
        <f>"84157"</f>
        <v>84157</v>
      </c>
      <c r="C7016" s="1">
        <v>2.39084407739936E-3</v>
      </c>
      <c r="D7016" s="1">
        <v>1.0181040288396699E-2</v>
      </c>
      <c r="E7016" s="1">
        <v>7.34807847747813E-5</v>
      </c>
      <c r="F7016" s="1">
        <v>2.9881523017093198E-3</v>
      </c>
    </row>
    <row r="7017" spans="1:6" x14ac:dyDescent="0.25">
      <c r="A7017" s="2" t="str">
        <f t="shared" si="265"/>
        <v>41620</v>
      </c>
      <c r="B7017" s="2" t="str">
        <f>"84170"</f>
        <v>84170</v>
      </c>
      <c r="C7017" s="1">
        <v>4.1229432637547104E-3</v>
      </c>
      <c r="D7017" s="1">
        <v>5.3282098007368297E-3</v>
      </c>
      <c r="E7017" s="1">
        <v>7.34807847747813E-5</v>
      </c>
      <c r="F7017" s="1">
        <v>4.0336438455277103E-3</v>
      </c>
    </row>
    <row r="7018" spans="1:6" x14ac:dyDescent="0.25">
      <c r="A7018" s="2" t="str">
        <f t="shared" si="265"/>
        <v>41620</v>
      </c>
      <c r="B7018" s="2" t="str">
        <f>"84123"</f>
        <v>84123</v>
      </c>
      <c r="C7018" s="1">
        <v>3.2714155228077198E-2</v>
      </c>
      <c r="D7018" s="1">
        <v>2.49177989937804E-2</v>
      </c>
      <c r="E7018" s="1">
        <v>6.2091263134690197E-2</v>
      </c>
      <c r="F7018" s="1">
        <v>3.3448494166591201E-2</v>
      </c>
    </row>
    <row r="7019" spans="1:6" x14ac:dyDescent="0.25">
      <c r="A7019" s="2" t="str">
        <f t="shared" si="265"/>
        <v>41620</v>
      </c>
      <c r="B7019" s="2" t="str">
        <f>"84121"</f>
        <v>84121</v>
      </c>
      <c r="C7019" s="1">
        <v>3.5900544253766202E-2</v>
      </c>
      <c r="D7019" s="1">
        <v>2.8166224299805798E-2</v>
      </c>
      <c r="E7019" s="1">
        <v>3.62260268939672E-2</v>
      </c>
      <c r="F7019" s="1">
        <v>3.5210274034548197E-2</v>
      </c>
    </row>
    <row r="7020" spans="1:6" x14ac:dyDescent="0.25">
      <c r="A7020" s="2" t="str">
        <f t="shared" si="265"/>
        <v>41620</v>
      </c>
      <c r="B7020" s="2" t="str">
        <f>"84106"</f>
        <v>84106</v>
      </c>
      <c r="C7020" s="1">
        <v>3.4040063475226499E-2</v>
      </c>
      <c r="D7020" s="1">
        <v>2.7433347858812299E-2</v>
      </c>
      <c r="E7020" s="1">
        <v>3.7879344551399803E-2</v>
      </c>
      <c r="F7020" s="1">
        <v>3.3625757438726499E-2</v>
      </c>
    </row>
    <row r="7021" spans="1:6" x14ac:dyDescent="0.25">
      <c r="A7021" s="2" t="str">
        <f t="shared" si="265"/>
        <v>41620</v>
      </c>
      <c r="B7021" s="2" t="str">
        <f>"84102"</f>
        <v>84102</v>
      </c>
      <c r="C7021" s="1">
        <v>2.3504354451052901E-2</v>
      </c>
      <c r="D7021" s="1">
        <v>2.16297587449986E-2</v>
      </c>
      <c r="E7021" s="1">
        <v>5.7461973693879002E-2</v>
      </c>
      <c r="F7021" s="1">
        <v>2.5004974224473099E-2</v>
      </c>
    </row>
    <row r="7022" spans="1:6" x14ac:dyDescent="0.25">
      <c r="A7022" s="2" t="str">
        <f t="shared" si="265"/>
        <v>41620</v>
      </c>
      <c r="B7022" s="2" t="str">
        <f>"84084"</f>
        <v>84084</v>
      </c>
      <c r="C7022" s="1">
        <v>2.3426483649236201E-2</v>
      </c>
      <c r="D7022" s="1">
        <v>1.98668937923384E-2</v>
      </c>
      <c r="E7022" s="1">
        <v>1.45124549930193E-2</v>
      </c>
      <c r="F7022" s="1">
        <v>2.26625666998281E-2</v>
      </c>
    </row>
    <row r="7023" spans="1:6" x14ac:dyDescent="0.25">
      <c r="A7023" s="2" t="str">
        <f t="shared" ref="A7023:A7051" si="266">"21580"</f>
        <v>21580</v>
      </c>
      <c r="B7023" s="2" t="str">
        <f>"87531"</f>
        <v>87531</v>
      </c>
      <c r="C7023" s="1">
        <v>1.9981998199819901E-2</v>
      </c>
      <c r="D7023" s="1">
        <v>1.70068027210884E-3</v>
      </c>
      <c r="E7023" s="1">
        <v>3.3444816053511701E-3</v>
      </c>
      <c r="F7023" s="1">
        <v>1.75411362930766E-2</v>
      </c>
    </row>
    <row r="7024" spans="1:6" x14ac:dyDescent="0.25">
      <c r="A7024" s="2" t="str">
        <f t="shared" si="266"/>
        <v>21580</v>
      </c>
      <c r="B7024" s="2" t="str">
        <f>"87551"</f>
        <v>87551</v>
      </c>
      <c r="C7024" s="1">
        <v>2.7722772277227699E-2</v>
      </c>
      <c r="D7024" s="1">
        <v>1.3605442176870699E-2</v>
      </c>
      <c r="E7024" s="1">
        <v>3.3444816053511701E-3</v>
      </c>
      <c r="F7024" s="1">
        <v>2.5302701024526499E-2</v>
      </c>
    </row>
    <row r="7025" spans="1:6" x14ac:dyDescent="0.25">
      <c r="A7025" s="2" t="str">
        <f t="shared" si="266"/>
        <v>21580</v>
      </c>
      <c r="B7025" s="2" t="str">
        <f>"87566"</f>
        <v>87566</v>
      </c>
      <c r="C7025" s="1">
        <v>3.3303330333033301E-2</v>
      </c>
      <c r="D7025" s="1">
        <v>2.04081632653061E-2</v>
      </c>
      <c r="E7025" s="1">
        <v>1.00334448160535E-2</v>
      </c>
      <c r="F7025" s="1">
        <v>3.1046258925799399E-2</v>
      </c>
    </row>
    <row r="7026" spans="1:6" x14ac:dyDescent="0.25">
      <c r="A7026" s="2" t="str">
        <f t="shared" si="266"/>
        <v>21580</v>
      </c>
      <c r="B7026" s="2" t="str">
        <f>"87064"</f>
        <v>87064</v>
      </c>
      <c r="C7026" s="1">
        <v>6.1206120612061201E-3</v>
      </c>
      <c r="D7026" s="1">
        <v>0</v>
      </c>
      <c r="E7026" s="1">
        <v>3.3444816053511701E-3</v>
      </c>
      <c r="F7026" s="1">
        <v>5.4330953120148998E-3</v>
      </c>
    </row>
    <row r="7027" spans="1:6" x14ac:dyDescent="0.25">
      <c r="A7027" s="2" t="str">
        <f t="shared" si="266"/>
        <v>21580</v>
      </c>
      <c r="B7027" s="2" t="str">
        <f>"87515"</f>
        <v>87515</v>
      </c>
      <c r="C7027" s="1">
        <v>0</v>
      </c>
      <c r="D7027" s="1">
        <v>0</v>
      </c>
      <c r="E7027" s="1">
        <v>3.3444816053511701E-3</v>
      </c>
      <c r="F7027" s="1">
        <v>1.5523129462899701E-4</v>
      </c>
    </row>
    <row r="7028" spans="1:6" x14ac:dyDescent="0.25">
      <c r="A7028" s="2" t="str">
        <f t="shared" si="266"/>
        <v>21580</v>
      </c>
      <c r="B7028" s="2" t="str">
        <f>"87412"</f>
        <v>87412</v>
      </c>
      <c r="C7028" s="1">
        <v>1.0801080108010801E-3</v>
      </c>
      <c r="D7028" s="1">
        <v>1.70068027210884E-3</v>
      </c>
      <c r="E7028" s="1">
        <v>0</v>
      </c>
      <c r="F7028" s="1">
        <v>1.08661906240298E-3</v>
      </c>
    </row>
    <row r="7029" spans="1:6" x14ac:dyDescent="0.25">
      <c r="A7029" s="2" t="str">
        <f t="shared" si="266"/>
        <v>21580</v>
      </c>
      <c r="B7029" s="2" t="str">
        <f>"87528"</f>
        <v>87528</v>
      </c>
      <c r="C7029" s="1">
        <v>1.0801080108010799E-2</v>
      </c>
      <c r="D7029" s="1">
        <v>6.8027210884353704E-3</v>
      </c>
      <c r="E7029" s="1">
        <v>2.3411371237458099E-2</v>
      </c>
      <c r="F7029" s="1">
        <v>1.10214219186588E-2</v>
      </c>
    </row>
    <row r="7030" spans="1:6" x14ac:dyDescent="0.25">
      <c r="A7030" s="2" t="str">
        <f t="shared" si="266"/>
        <v>21580</v>
      </c>
      <c r="B7030" s="2" t="str">
        <f>"87527"</f>
        <v>87527</v>
      </c>
      <c r="C7030" s="1">
        <v>0</v>
      </c>
      <c r="D7030" s="1">
        <v>0</v>
      </c>
      <c r="E7030" s="1">
        <v>3.3444816053511701E-3</v>
      </c>
      <c r="F7030" s="1">
        <v>1.5523129462899701E-4</v>
      </c>
    </row>
    <row r="7031" spans="1:6" x14ac:dyDescent="0.25">
      <c r="A7031" s="2" t="str">
        <f t="shared" si="266"/>
        <v>21580</v>
      </c>
      <c r="B7031" s="2" t="str">
        <f>"87516"</f>
        <v>87516</v>
      </c>
      <c r="C7031" s="1">
        <v>1.5301530153015301E-2</v>
      </c>
      <c r="D7031" s="1">
        <v>0</v>
      </c>
      <c r="E7031" s="1">
        <v>3.3444816053511701E-3</v>
      </c>
      <c r="F7031" s="1">
        <v>1.33498913380937E-2</v>
      </c>
    </row>
    <row r="7032" spans="1:6" x14ac:dyDescent="0.25">
      <c r="A7032" s="2" t="str">
        <f t="shared" si="266"/>
        <v>21580</v>
      </c>
      <c r="B7032" s="2" t="str">
        <f>"87582"</f>
        <v>87582</v>
      </c>
      <c r="C7032" s="1">
        <v>0</v>
      </c>
      <c r="D7032" s="1">
        <v>0</v>
      </c>
      <c r="E7032" s="1">
        <v>3.3444816053511701E-3</v>
      </c>
      <c r="F7032" s="1">
        <v>1.5523129462899701E-4</v>
      </c>
    </row>
    <row r="7033" spans="1:6" x14ac:dyDescent="0.25">
      <c r="A7033" s="2" t="str">
        <f t="shared" si="266"/>
        <v>21580</v>
      </c>
      <c r="B7033" s="2" t="str">
        <f>"87581"</f>
        <v>87581</v>
      </c>
      <c r="C7033" s="1">
        <v>9.7209720972097208E-3</v>
      </c>
      <c r="D7033" s="1">
        <v>0</v>
      </c>
      <c r="E7033" s="1">
        <v>6.6889632107023402E-3</v>
      </c>
      <c r="F7033" s="1">
        <v>8.6929524992238397E-3</v>
      </c>
    </row>
    <row r="7034" spans="1:6" x14ac:dyDescent="0.25">
      <c r="A7034" s="2" t="str">
        <f t="shared" si="266"/>
        <v>21580</v>
      </c>
      <c r="B7034" s="2" t="str">
        <f>"87522"</f>
        <v>87522</v>
      </c>
      <c r="C7034" s="1">
        <v>9.5409540954095404E-3</v>
      </c>
      <c r="D7034" s="1">
        <v>3.40136054421768E-3</v>
      </c>
      <c r="E7034" s="1">
        <v>1.00334448160535E-2</v>
      </c>
      <c r="F7034" s="1">
        <v>9.0034150884818302E-3</v>
      </c>
    </row>
    <row r="7035" spans="1:6" x14ac:dyDescent="0.25">
      <c r="A7035" s="2" t="str">
        <f t="shared" si="266"/>
        <v>21580</v>
      </c>
      <c r="B7035" s="2" t="str">
        <f>"87532"</f>
        <v>87532</v>
      </c>
      <c r="C7035" s="1">
        <v>0.67290729072907196</v>
      </c>
      <c r="D7035" s="1">
        <v>0.89795918367346905</v>
      </c>
      <c r="E7035" s="1">
        <v>0.71237458193979897</v>
      </c>
      <c r="F7035" s="1">
        <v>0.69528096864327804</v>
      </c>
    </row>
    <row r="7036" spans="1:6" x14ac:dyDescent="0.25">
      <c r="A7036" s="2" t="str">
        <f t="shared" si="266"/>
        <v>21580</v>
      </c>
      <c r="B7036" s="2" t="str">
        <f>"87017"</f>
        <v>87017</v>
      </c>
      <c r="C7036" s="1">
        <v>5.0405040504050399E-3</v>
      </c>
      <c r="D7036" s="1">
        <v>0</v>
      </c>
      <c r="E7036" s="1">
        <v>3.3444816053511701E-3</v>
      </c>
      <c r="F7036" s="1">
        <v>4.5017075442409099E-3</v>
      </c>
    </row>
    <row r="7037" spans="1:6" x14ac:dyDescent="0.25">
      <c r="A7037" s="2" t="str">
        <f t="shared" si="266"/>
        <v>21580</v>
      </c>
      <c r="B7037" s="2" t="str">
        <f>"87520"</f>
        <v>87520</v>
      </c>
      <c r="C7037" s="1">
        <v>3.7263726372637203E-2</v>
      </c>
      <c r="D7037" s="1">
        <v>2.7210884353741398E-2</v>
      </c>
      <c r="E7037" s="1">
        <v>3.3444816053511701E-3</v>
      </c>
      <c r="F7037" s="1">
        <v>3.4771809996895303E-2</v>
      </c>
    </row>
    <row r="7038" spans="1:6" x14ac:dyDescent="0.25">
      <c r="A7038" s="2" t="str">
        <f t="shared" si="266"/>
        <v>21580</v>
      </c>
      <c r="B7038" s="2" t="str">
        <f>"87518"</f>
        <v>87518</v>
      </c>
      <c r="C7038" s="1">
        <v>0</v>
      </c>
      <c r="D7038" s="1">
        <v>0</v>
      </c>
      <c r="E7038" s="1">
        <v>3.3444816053511701E-3</v>
      </c>
      <c r="F7038" s="1">
        <v>1.5523129462899701E-4</v>
      </c>
    </row>
    <row r="7039" spans="1:6" x14ac:dyDescent="0.25">
      <c r="A7039" s="2" t="str">
        <f t="shared" si="266"/>
        <v>21580</v>
      </c>
      <c r="B7039" s="2" t="str">
        <f>"87578"</f>
        <v>87578</v>
      </c>
      <c r="C7039" s="1">
        <v>2.8622862286228599E-2</v>
      </c>
      <c r="D7039" s="1">
        <v>0</v>
      </c>
      <c r="E7039" s="1">
        <v>6.6889632107023402E-3</v>
      </c>
      <c r="F7039" s="1">
        <v>2.4992238435268498E-2</v>
      </c>
    </row>
    <row r="7040" spans="1:6" x14ac:dyDescent="0.25">
      <c r="A7040" s="2" t="str">
        <f t="shared" si="266"/>
        <v>21580</v>
      </c>
      <c r="B7040" s="2" t="str">
        <f>"87046"</f>
        <v>87046</v>
      </c>
      <c r="C7040" s="1">
        <v>7.2007200720072004E-4</v>
      </c>
      <c r="D7040" s="1">
        <v>0</v>
      </c>
      <c r="E7040" s="1">
        <v>0</v>
      </c>
      <c r="F7040" s="1">
        <v>6.2092517851598805E-4</v>
      </c>
    </row>
    <row r="7041" spans="1:6" x14ac:dyDescent="0.25">
      <c r="A7041" s="2" t="str">
        <f t="shared" si="266"/>
        <v>21580</v>
      </c>
      <c r="B7041" s="2" t="str">
        <f>"87554"</f>
        <v>87554</v>
      </c>
      <c r="C7041" s="1">
        <v>3.4203420342034199E-3</v>
      </c>
      <c r="D7041" s="1">
        <v>0</v>
      </c>
      <c r="E7041" s="1">
        <v>1.00334448160535E-2</v>
      </c>
      <c r="F7041" s="1">
        <v>3.4150884818379299E-3</v>
      </c>
    </row>
    <row r="7042" spans="1:6" x14ac:dyDescent="0.25">
      <c r="A7042" s="2" t="str">
        <f t="shared" si="266"/>
        <v>21580</v>
      </c>
      <c r="B7042" s="2" t="str">
        <f>"87530"</f>
        <v>87530</v>
      </c>
      <c r="C7042" s="1">
        <v>8.1008100810080995E-3</v>
      </c>
      <c r="D7042" s="1">
        <v>0</v>
      </c>
      <c r="E7042" s="1">
        <v>3.3444816053511701E-3</v>
      </c>
      <c r="F7042" s="1">
        <v>7.1406395529338704E-3</v>
      </c>
    </row>
    <row r="7043" spans="1:6" x14ac:dyDescent="0.25">
      <c r="A7043" s="2" t="str">
        <f t="shared" si="266"/>
        <v>21580</v>
      </c>
      <c r="B7043" s="2" t="str">
        <f>"87012"</f>
        <v>87012</v>
      </c>
      <c r="C7043" s="1">
        <v>4.5004500450044997E-3</v>
      </c>
      <c r="D7043" s="1">
        <v>1.70068027210884E-3</v>
      </c>
      <c r="E7043" s="1">
        <v>3.3444816053511701E-3</v>
      </c>
      <c r="F7043" s="1">
        <v>4.1912449549829202E-3</v>
      </c>
    </row>
    <row r="7044" spans="1:6" x14ac:dyDescent="0.25">
      <c r="A7044" s="2" t="str">
        <f t="shared" si="266"/>
        <v>21580</v>
      </c>
      <c r="B7044" s="2" t="str">
        <f>"87029"</f>
        <v>87029</v>
      </c>
      <c r="C7044" s="1">
        <v>1.3861386138613801E-2</v>
      </c>
      <c r="D7044" s="1">
        <v>6.8027210884353704E-3</v>
      </c>
      <c r="E7044" s="1">
        <v>1.00334448160535E-2</v>
      </c>
      <c r="F7044" s="1">
        <v>1.3039428748835701E-2</v>
      </c>
    </row>
    <row r="7045" spans="1:6" x14ac:dyDescent="0.25">
      <c r="A7045" s="2" t="str">
        <f t="shared" si="266"/>
        <v>21580</v>
      </c>
      <c r="B7045" s="2" t="str">
        <f>"87523"</f>
        <v>87523</v>
      </c>
      <c r="C7045" s="1">
        <v>0</v>
      </c>
      <c r="D7045" s="1">
        <v>0</v>
      </c>
      <c r="E7045" s="1">
        <v>1.00334448160535E-2</v>
      </c>
      <c r="F7045" s="1">
        <v>4.6569388388699098E-4</v>
      </c>
    </row>
    <row r="7046" spans="1:6" x14ac:dyDescent="0.25">
      <c r="A7046" s="2" t="str">
        <f t="shared" si="266"/>
        <v>21580</v>
      </c>
      <c r="B7046" s="2" t="str">
        <f>"87548"</f>
        <v>87548</v>
      </c>
      <c r="C7046" s="1">
        <v>0</v>
      </c>
      <c r="D7046" s="1">
        <v>0</v>
      </c>
      <c r="E7046" s="1">
        <v>1.67224080267558E-2</v>
      </c>
      <c r="F7046" s="1">
        <v>7.7615647314498604E-4</v>
      </c>
    </row>
    <row r="7047" spans="1:6" x14ac:dyDescent="0.25">
      <c r="A7047" s="2" t="str">
        <f t="shared" si="266"/>
        <v>21580</v>
      </c>
      <c r="B7047" s="2" t="str">
        <f>"87575"</f>
        <v>87575</v>
      </c>
      <c r="C7047" s="1">
        <v>4.8604860486048604E-3</v>
      </c>
      <c r="D7047" s="1">
        <v>0</v>
      </c>
      <c r="E7047" s="1">
        <v>3.3444816053511701E-3</v>
      </c>
      <c r="F7047" s="1">
        <v>4.3464762496119198E-3</v>
      </c>
    </row>
    <row r="7048" spans="1:6" x14ac:dyDescent="0.25">
      <c r="A7048" s="2" t="str">
        <f t="shared" si="266"/>
        <v>21580</v>
      </c>
      <c r="B7048" s="2" t="str">
        <f>"87539"</f>
        <v>87539</v>
      </c>
      <c r="C7048" s="1">
        <v>6.4806480648064799E-3</v>
      </c>
      <c r="D7048" s="1">
        <v>1.70068027210884E-3</v>
      </c>
      <c r="E7048" s="1">
        <v>3.3444816053511701E-3</v>
      </c>
      <c r="F7048" s="1">
        <v>5.89878919590189E-3</v>
      </c>
    </row>
    <row r="7049" spans="1:6" x14ac:dyDescent="0.25">
      <c r="A7049" s="2" t="str">
        <f t="shared" si="266"/>
        <v>21580</v>
      </c>
      <c r="B7049" s="2" t="str">
        <f>"87511"</f>
        <v>87511</v>
      </c>
      <c r="C7049" s="1">
        <v>0</v>
      </c>
      <c r="D7049" s="1">
        <v>0</v>
      </c>
      <c r="E7049" s="1">
        <v>6.6889632107023402E-3</v>
      </c>
      <c r="F7049" s="1">
        <v>3.1046258925799403E-4</v>
      </c>
    </row>
    <row r="7050" spans="1:6" x14ac:dyDescent="0.25">
      <c r="A7050" s="2" t="str">
        <f t="shared" si="266"/>
        <v>21580</v>
      </c>
      <c r="B7050" s="2" t="str">
        <f>"87510"</f>
        <v>87510</v>
      </c>
      <c r="C7050" s="1">
        <v>2.7002700270026998E-3</v>
      </c>
      <c r="D7050" s="1">
        <v>1.1904761904761901E-2</v>
      </c>
      <c r="E7050" s="1">
        <v>0.107023411371237</v>
      </c>
      <c r="F7050" s="1">
        <v>8.3824899099658404E-3</v>
      </c>
    </row>
    <row r="7051" spans="1:6" x14ac:dyDescent="0.25">
      <c r="A7051" s="2" t="str">
        <f t="shared" si="266"/>
        <v>21580</v>
      </c>
      <c r="B7051" s="2" t="str">
        <f>"87537"</f>
        <v>87537</v>
      </c>
      <c r="C7051" s="1">
        <v>7.79477947794779E-2</v>
      </c>
      <c r="D7051" s="1">
        <v>5.1020408163265302E-3</v>
      </c>
      <c r="E7051" s="1">
        <v>2.3411371237458099E-2</v>
      </c>
      <c r="F7051" s="1">
        <v>6.8767463520645694E-2</v>
      </c>
    </row>
    <row r="7052" spans="1:6" x14ac:dyDescent="0.25">
      <c r="A7052" s="2" t="str">
        <f t="shared" ref="A7052:A7068" si="267">"22140"</f>
        <v>22140</v>
      </c>
      <c r="B7052" s="2" t="str">
        <f>"87421"</f>
        <v>87421</v>
      </c>
      <c r="C7052" s="1">
        <v>1.37392125713795E-3</v>
      </c>
      <c r="D7052" s="1">
        <v>1.22000813338755E-3</v>
      </c>
      <c r="E7052" s="1">
        <v>1.15942028985507E-3</v>
      </c>
      <c r="F7052" s="1">
        <v>1.3527477689055799E-3</v>
      </c>
    </row>
    <row r="7053" spans="1:6" x14ac:dyDescent="0.25">
      <c r="A7053" s="2" t="str">
        <f t="shared" si="267"/>
        <v>22140</v>
      </c>
      <c r="B7053" s="2" t="str">
        <f>"87037"</f>
        <v>87037</v>
      </c>
      <c r="C7053" s="1">
        <v>0</v>
      </c>
      <c r="D7053" s="1">
        <v>0</v>
      </c>
      <c r="E7053" s="1">
        <v>5.79710144927536E-4</v>
      </c>
      <c r="F7053" s="1">
        <v>1.8788163457022E-5</v>
      </c>
    </row>
    <row r="7054" spans="1:6" x14ac:dyDescent="0.25">
      <c r="A7054" s="2" t="str">
        <f t="shared" si="267"/>
        <v>22140</v>
      </c>
      <c r="B7054" s="2" t="str">
        <f>"87419"</f>
        <v>87419</v>
      </c>
      <c r="C7054" s="1">
        <v>1.8462066892791201E-3</v>
      </c>
      <c r="D7054" s="1">
        <v>1.22000813338755E-3</v>
      </c>
      <c r="E7054" s="1">
        <v>2.8985507246376799E-3</v>
      </c>
      <c r="F7054" s="1">
        <v>1.82245185533114E-3</v>
      </c>
    </row>
    <row r="7055" spans="1:6" x14ac:dyDescent="0.25">
      <c r="A7055" s="2" t="str">
        <f t="shared" si="267"/>
        <v>22140</v>
      </c>
      <c r="B7055" s="2" t="str">
        <f>"87417"</f>
        <v>87417</v>
      </c>
      <c r="C7055" s="1">
        <v>4.0680949723068897E-2</v>
      </c>
      <c r="D7055" s="1">
        <v>1.6876779178527802E-2</v>
      </c>
      <c r="E7055" s="1">
        <v>2.3768115942028899E-2</v>
      </c>
      <c r="F7055" s="1">
        <v>3.7933302019727499E-2</v>
      </c>
    </row>
    <row r="7056" spans="1:6" x14ac:dyDescent="0.25">
      <c r="A7056" s="2" t="str">
        <f t="shared" si="267"/>
        <v>22140</v>
      </c>
      <c r="B7056" s="2" t="str">
        <f>"87416"</f>
        <v>87416</v>
      </c>
      <c r="C7056" s="1">
        <v>2.9195826714181398E-3</v>
      </c>
      <c r="D7056" s="1">
        <v>8.1333875559170296E-4</v>
      </c>
      <c r="E7056" s="1">
        <v>1.7391304347826001E-3</v>
      </c>
      <c r="F7056" s="1">
        <v>2.6867073743541501E-3</v>
      </c>
    </row>
    <row r="7057" spans="1:6" x14ac:dyDescent="0.25">
      <c r="A7057" s="2" t="str">
        <f t="shared" si="267"/>
        <v>22140</v>
      </c>
      <c r="B7057" s="2" t="str">
        <f>"87412"</f>
        <v>87412</v>
      </c>
      <c r="C7057" s="1">
        <v>5.51715254819458E-3</v>
      </c>
      <c r="D7057" s="1">
        <v>2.0333468889792501E-4</v>
      </c>
      <c r="E7057" s="1">
        <v>1.15942028985507E-3</v>
      </c>
      <c r="F7057" s="1">
        <v>4.8849224988257297E-3</v>
      </c>
    </row>
    <row r="7058" spans="1:6" x14ac:dyDescent="0.25">
      <c r="A7058" s="2" t="str">
        <f t="shared" si="267"/>
        <v>22140</v>
      </c>
      <c r="B7058" s="2" t="str">
        <f>"87410"</f>
        <v>87410</v>
      </c>
      <c r="C7058" s="1">
        <v>0.1837619681422</v>
      </c>
      <c r="D7058" s="1">
        <v>0.11752745018300099</v>
      </c>
      <c r="E7058" s="1">
        <v>0.10028985507246301</v>
      </c>
      <c r="F7058" s="1">
        <v>0.174936589948332</v>
      </c>
    </row>
    <row r="7059" spans="1:6" x14ac:dyDescent="0.25">
      <c r="A7059" s="2" t="str">
        <f t="shared" si="267"/>
        <v>22140</v>
      </c>
      <c r="B7059" s="2" t="str">
        <f>"87364"</f>
        <v>87364</v>
      </c>
      <c r="C7059" s="1">
        <v>0</v>
      </c>
      <c r="D7059" s="1">
        <v>2.0333468889792501E-4</v>
      </c>
      <c r="E7059" s="1">
        <v>0</v>
      </c>
      <c r="F7059" s="1">
        <v>1.8788163457022E-5</v>
      </c>
    </row>
    <row r="7060" spans="1:6" x14ac:dyDescent="0.25">
      <c r="A7060" s="2" t="str">
        <f t="shared" si="267"/>
        <v>22140</v>
      </c>
      <c r="B7060" s="2" t="str">
        <f>"87455"</f>
        <v>87455</v>
      </c>
      <c r="C7060" s="1">
        <v>0</v>
      </c>
      <c r="D7060" s="1">
        <v>0</v>
      </c>
      <c r="E7060" s="1">
        <v>5.79710144927536E-4</v>
      </c>
      <c r="F7060" s="1">
        <v>1.8788163457022E-5</v>
      </c>
    </row>
    <row r="7061" spans="1:6" x14ac:dyDescent="0.25">
      <c r="A7061" s="2" t="str">
        <f t="shared" si="267"/>
        <v>22140</v>
      </c>
      <c r="B7061" s="2" t="str">
        <f>"87413"</f>
        <v>87413</v>
      </c>
      <c r="C7061" s="1">
        <v>0.163968915031557</v>
      </c>
      <c r="D7061" s="1">
        <v>8.8857259048393603E-2</v>
      </c>
      <c r="E7061" s="1">
        <v>0.121739130434782</v>
      </c>
      <c r="F7061" s="1">
        <v>0.15565993424142699</v>
      </c>
    </row>
    <row r="7062" spans="1:6" x14ac:dyDescent="0.25">
      <c r="A7062" s="2" t="str">
        <f t="shared" si="267"/>
        <v>22140</v>
      </c>
      <c r="B7062" s="2" t="str">
        <f>"87402"</f>
        <v>87402</v>
      </c>
      <c r="C7062" s="1">
        <v>9.9416083465716301E-2</v>
      </c>
      <c r="D7062" s="1">
        <v>0.13033753558357</v>
      </c>
      <c r="E7062" s="1">
        <v>0.107246376811594</v>
      </c>
      <c r="F7062" s="1">
        <v>0.102527007984969</v>
      </c>
    </row>
    <row r="7063" spans="1:6" x14ac:dyDescent="0.25">
      <c r="A7063" s="2" t="str">
        <f t="shared" si="267"/>
        <v>22140</v>
      </c>
      <c r="B7063" s="2" t="str">
        <f>"87418"</f>
        <v>87418</v>
      </c>
      <c r="C7063" s="1">
        <v>6.1611781374779897E-3</v>
      </c>
      <c r="D7063" s="1">
        <v>0</v>
      </c>
      <c r="E7063" s="1">
        <v>1.15942028985507E-3</v>
      </c>
      <c r="F7063" s="1">
        <v>5.42977923907937E-3</v>
      </c>
    </row>
    <row r="7064" spans="1:6" x14ac:dyDescent="0.25">
      <c r="A7064" s="2" t="str">
        <f t="shared" si="267"/>
        <v>22140</v>
      </c>
      <c r="B7064" s="2" t="str">
        <f>"87461"</f>
        <v>87461</v>
      </c>
      <c r="C7064" s="1">
        <v>0</v>
      </c>
      <c r="D7064" s="1">
        <v>0</v>
      </c>
      <c r="E7064" s="1">
        <v>5.79710144927536E-4</v>
      </c>
      <c r="F7064" s="1">
        <v>1.8788163457022E-5</v>
      </c>
    </row>
    <row r="7065" spans="1:6" x14ac:dyDescent="0.25">
      <c r="A7065" s="2" t="str">
        <f t="shared" si="267"/>
        <v>22140</v>
      </c>
      <c r="B7065" s="2" t="str">
        <f>"87401"</f>
        <v>87401</v>
      </c>
      <c r="C7065" s="1">
        <v>0.38268000515220402</v>
      </c>
      <c r="D7065" s="1">
        <v>0.47010980073200398</v>
      </c>
      <c r="E7065" s="1">
        <v>0.63072463768115905</v>
      </c>
      <c r="F7065" s="1">
        <v>0.39879755753875001</v>
      </c>
    </row>
    <row r="7066" spans="1:6" x14ac:dyDescent="0.25">
      <c r="A7066" s="2" t="str">
        <f t="shared" si="267"/>
        <v>22140</v>
      </c>
      <c r="B7066" s="2" t="str">
        <f>"87499"</f>
        <v>87499</v>
      </c>
      <c r="C7066" s="1">
        <v>7.7583615989008606E-2</v>
      </c>
      <c r="D7066" s="1">
        <v>0.14619764131760801</v>
      </c>
      <c r="E7066" s="1">
        <v>1.15942028985507E-3</v>
      </c>
      <c r="F7066" s="1">
        <v>8.1446688586190599E-2</v>
      </c>
    </row>
    <row r="7067" spans="1:6" x14ac:dyDescent="0.25">
      <c r="A7067" s="2" t="str">
        <f t="shared" si="267"/>
        <v>22140</v>
      </c>
      <c r="B7067" s="2" t="str">
        <f>"87420"</f>
        <v>87420</v>
      </c>
      <c r="C7067" s="1">
        <v>4.2935039285560903E-5</v>
      </c>
      <c r="D7067" s="1">
        <v>0</v>
      </c>
      <c r="E7067" s="1">
        <v>5.79710144927536E-4</v>
      </c>
      <c r="F7067" s="1">
        <v>5.6364490371066199E-5</v>
      </c>
    </row>
    <row r="7068" spans="1:6" x14ac:dyDescent="0.25">
      <c r="A7068" s="2" t="str">
        <f t="shared" si="267"/>
        <v>22140</v>
      </c>
      <c r="B7068" s="2" t="str">
        <f>"87415"</f>
        <v>87415</v>
      </c>
      <c r="C7068" s="1">
        <v>3.4047486153449803E-2</v>
      </c>
      <c r="D7068" s="1">
        <v>2.6433509556730302E-2</v>
      </c>
      <c r="E7068" s="1">
        <v>4.6376811594202802E-3</v>
      </c>
      <c r="F7068" s="1">
        <v>3.2390793799905997E-2</v>
      </c>
    </row>
    <row r="7069" spans="1:6" x14ac:dyDescent="0.25">
      <c r="A7069" s="2" t="str">
        <f t="shared" ref="A7069:A7097" si="268">"29740"</f>
        <v>29740</v>
      </c>
      <c r="B7069" s="2" t="str">
        <f>"88052"</f>
        <v>88052</v>
      </c>
      <c r="C7069" s="1">
        <v>0</v>
      </c>
      <c r="D7069" s="1">
        <v>1.3007284079084199E-4</v>
      </c>
      <c r="E7069" s="1">
        <v>2.3439260761775899E-2</v>
      </c>
      <c r="F7069" s="1">
        <v>9.2653054021142503E-4</v>
      </c>
    </row>
    <row r="7070" spans="1:6" x14ac:dyDescent="0.25">
      <c r="A7070" s="2" t="str">
        <f t="shared" si="268"/>
        <v>29740</v>
      </c>
      <c r="B7070" s="2" t="str">
        <f>"88044"</f>
        <v>88044</v>
      </c>
      <c r="C7070" s="1">
        <v>9.1007005859625803E-3</v>
      </c>
      <c r="D7070" s="1">
        <v>1.5608740894901101E-3</v>
      </c>
      <c r="E7070" s="1">
        <v>5.18368266846968E-3</v>
      </c>
      <c r="F7070" s="1">
        <v>8.4358399661154503E-3</v>
      </c>
    </row>
    <row r="7071" spans="1:6" x14ac:dyDescent="0.25">
      <c r="A7071" s="2" t="str">
        <f t="shared" si="268"/>
        <v>29740</v>
      </c>
      <c r="B7071" s="2" t="str">
        <f>"87941"</f>
        <v>87941</v>
      </c>
      <c r="C7071" s="1">
        <v>3.0632108378375697E-4</v>
      </c>
      <c r="D7071" s="1">
        <v>2.6014568158168501E-4</v>
      </c>
      <c r="E7071" s="1">
        <v>0</v>
      </c>
      <c r="F7071" s="1">
        <v>2.9119531263787599E-4</v>
      </c>
    </row>
    <row r="7072" spans="1:6" x14ac:dyDescent="0.25">
      <c r="A7072" s="2" t="str">
        <f t="shared" si="268"/>
        <v>29740</v>
      </c>
      <c r="B7072" s="2" t="str">
        <f>"87936"</f>
        <v>87936</v>
      </c>
      <c r="C7072" s="1">
        <v>3.0632108378375697E-4</v>
      </c>
      <c r="D7072" s="1">
        <v>2.6014568158168501E-4</v>
      </c>
      <c r="E7072" s="1">
        <v>0</v>
      </c>
      <c r="F7072" s="1">
        <v>2.9119531263787599E-4</v>
      </c>
    </row>
    <row r="7073" spans="1:6" x14ac:dyDescent="0.25">
      <c r="A7073" s="2" t="str">
        <f t="shared" si="268"/>
        <v>29740</v>
      </c>
      <c r="B7073" s="2" t="str">
        <f>"88002"</f>
        <v>88002</v>
      </c>
      <c r="C7073" s="1">
        <v>5.64223673679113E-3</v>
      </c>
      <c r="D7073" s="1">
        <v>1.5608740894901101E-3</v>
      </c>
      <c r="E7073" s="1">
        <v>9.9166103222898296E-3</v>
      </c>
      <c r="F7073" s="1">
        <v>5.5327109401196502E-3</v>
      </c>
    </row>
    <row r="7074" spans="1:6" x14ac:dyDescent="0.25">
      <c r="A7074" s="2" t="str">
        <f t="shared" si="268"/>
        <v>29740</v>
      </c>
      <c r="B7074" s="2" t="str">
        <f>"88027"</f>
        <v>88027</v>
      </c>
      <c r="C7074" s="1">
        <v>0</v>
      </c>
      <c r="D7074" s="1">
        <v>1.3007284079084199E-4</v>
      </c>
      <c r="E7074" s="1">
        <v>1.8480955600631E-2</v>
      </c>
      <c r="F7074" s="1">
        <v>7.3240033178617397E-4</v>
      </c>
    </row>
    <row r="7075" spans="1:6" x14ac:dyDescent="0.25">
      <c r="A7075" s="2" t="str">
        <f t="shared" si="268"/>
        <v>29740</v>
      </c>
      <c r="B7075" s="2" t="str">
        <f>"88007"</f>
        <v>88007</v>
      </c>
      <c r="C7075" s="1">
        <v>9.8467406448552799E-2</v>
      </c>
      <c r="D7075" s="1">
        <v>4.9687825182101901E-2</v>
      </c>
      <c r="E7075" s="1">
        <v>6.1302681992337099E-2</v>
      </c>
      <c r="F7075" s="1">
        <v>9.3703121966715403E-2</v>
      </c>
    </row>
    <row r="7076" spans="1:6" x14ac:dyDescent="0.25">
      <c r="A7076" s="2" t="str">
        <f t="shared" si="268"/>
        <v>29740</v>
      </c>
      <c r="B7076" s="2" t="str">
        <f>"88003"</f>
        <v>88003</v>
      </c>
      <c r="C7076" s="1">
        <v>4.7469886661199001E-2</v>
      </c>
      <c r="D7076" s="1">
        <v>2.8095733610821998E-2</v>
      </c>
      <c r="E7076" s="1">
        <v>2.2537750732476799E-4</v>
      </c>
      <c r="F7076" s="1">
        <v>4.4305808022871998E-2</v>
      </c>
    </row>
    <row r="7077" spans="1:6" x14ac:dyDescent="0.25">
      <c r="A7077" s="2" t="str">
        <f t="shared" si="268"/>
        <v>29740</v>
      </c>
      <c r="B7077" s="2" t="str">
        <f>"88001"</f>
        <v>88001</v>
      </c>
      <c r="C7077" s="1">
        <v>0.16686594005988001</v>
      </c>
      <c r="D7077" s="1">
        <v>0.23920395421436</v>
      </c>
      <c r="E7077" s="1">
        <v>0.33378408834798201</v>
      </c>
      <c r="F7077" s="1">
        <v>0.17830859643859301</v>
      </c>
    </row>
    <row r="7078" spans="1:6" x14ac:dyDescent="0.25">
      <c r="A7078" s="2" t="str">
        <f t="shared" si="268"/>
        <v>29740</v>
      </c>
      <c r="B7078" s="2" t="str">
        <f>"87940"</f>
        <v>87940</v>
      </c>
      <c r="C7078" s="1">
        <v>2.66795782650369E-4</v>
      </c>
      <c r="D7078" s="1">
        <v>1.3007284079084199E-4</v>
      </c>
      <c r="E7078" s="1">
        <v>0</v>
      </c>
      <c r="F7078" s="1">
        <v>2.47074810723046E-4</v>
      </c>
    </row>
    <row r="7079" spans="1:6" x14ac:dyDescent="0.25">
      <c r="A7079" s="2" t="str">
        <f t="shared" si="268"/>
        <v>29740</v>
      </c>
      <c r="B7079" s="2" t="str">
        <f>"88046"</f>
        <v>88046</v>
      </c>
      <c r="C7079" s="1">
        <v>1.55433246707048E-2</v>
      </c>
      <c r="D7079" s="1">
        <v>1.30072840790842E-2</v>
      </c>
      <c r="E7079" s="1">
        <v>3.2454361054766699E-2</v>
      </c>
      <c r="F7079" s="1">
        <v>1.6033390395849102E-2</v>
      </c>
    </row>
    <row r="7080" spans="1:6" x14ac:dyDescent="0.25">
      <c r="A7080" s="2" t="str">
        <f t="shared" si="268"/>
        <v>29740</v>
      </c>
      <c r="B7080" s="2" t="str">
        <f>"88012"</f>
        <v>88012</v>
      </c>
      <c r="C7080" s="1">
        <v>0.12299285580182</v>
      </c>
      <c r="D7080" s="1">
        <v>1.8470343392299599E-2</v>
      </c>
      <c r="E7080" s="1">
        <v>5.6118999323867401E-2</v>
      </c>
      <c r="F7080" s="1">
        <v>0.113283800716516</v>
      </c>
    </row>
    <row r="7081" spans="1:6" x14ac:dyDescent="0.25">
      <c r="A7081" s="2" t="str">
        <f t="shared" si="268"/>
        <v>29740</v>
      </c>
      <c r="B7081" s="2" t="str">
        <f>"88011"</f>
        <v>88011</v>
      </c>
      <c r="C7081" s="1">
        <v>0.16100631416685601</v>
      </c>
      <c r="D7081" s="1">
        <v>0.13943808532778301</v>
      </c>
      <c r="E7081" s="1">
        <v>0.14987604237097099</v>
      </c>
      <c r="F7081" s="1">
        <v>0.15910735400525899</v>
      </c>
    </row>
    <row r="7082" spans="1:6" x14ac:dyDescent="0.25">
      <c r="A7082" s="2" t="str">
        <f t="shared" si="268"/>
        <v>29740</v>
      </c>
      <c r="B7082" s="2" t="str">
        <f>"88008"</f>
        <v>88008</v>
      </c>
      <c r="C7082" s="1">
        <v>4.3408661969743301E-2</v>
      </c>
      <c r="D7082" s="1">
        <v>4.59157127991675E-2</v>
      </c>
      <c r="E7082" s="1">
        <v>1.6903313049357601E-2</v>
      </c>
      <c r="F7082" s="1">
        <v>4.2540987946278801E-2</v>
      </c>
    </row>
    <row r="7083" spans="1:6" x14ac:dyDescent="0.25">
      <c r="A7083" s="2" t="str">
        <f t="shared" si="268"/>
        <v>29740</v>
      </c>
      <c r="B7083" s="2" t="str">
        <f>"88004"</f>
        <v>88004</v>
      </c>
      <c r="C7083" s="1">
        <v>1.8557128882125601E-2</v>
      </c>
      <c r="D7083" s="1">
        <v>7.7003121748178902E-2</v>
      </c>
      <c r="E7083" s="1">
        <v>4.5075501464953701E-4</v>
      </c>
      <c r="F7083" s="1">
        <v>2.1813176146691801E-2</v>
      </c>
    </row>
    <row r="7084" spans="1:6" x14ac:dyDescent="0.25">
      <c r="A7084" s="2" t="str">
        <f t="shared" si="268"/>
        <v>29740</v>
      </c>
      <c r="B7084" s="2" t="str">
        <f>"88054"</f>
        <v>88054</v>
      </c>
      <c r="C7084" s="1">
        <v>0</v>
      </c>
      <c r="D7084" s="1">
        <v>1.3007284079084199E-4</v>
      </c>
      <c r="E7084" s="1">
        <v>0</v>
      </c>
      <c r="F7084" s="1">
        <v>8.8241003829659494E-6</v>
      </c>
    </row>
    <row r="7085" spans="1:6" x14ac:dyDescent="0.25">
      <c r="A7085" s="2" t="str">
        <f t="shared" si="268"/>
        <v>29740</v>
      </c>
      <c r="B7085" s="2" t="str">
        <f>"88081"</f>
        <v>88081</v>
      </c>
      <c r="C7085" s="1">
        <v>3.0335668619875199E-2</v>
      </c>
      <c r="D7085" s="1">
        <v>8.5848074921956192E-3</v>
      </c>
      <c r="E7085" s="1">
        <v>2.7045300878972198E-2</v>
      </c>
      <c r="F7085" s="1">
        <v>2.87312708469371E-2</v>
      </c>
    </row>
    <row r="7086" spans="1:6" x14ac:dyDescent="0.25">
      <c r="A7086" s="2" t="str">
        <f t="shared" si="268"/>
        <v>29740</v>
      </c>
      <c r="B7086" s="2" t="str">
        <f>"88047"</f>
        <v>88047</v>
      </c>
      <c r="C7086" s="1">
        <v>6.4129801088922004E-3</v>
      </c>
      <c r="D7086" s="1">
        <v>1.69094693028095E-3</v>
      </c>
      <c r="E7086" s="1">
        <v>3.6060401171963E-3</v>
      </c>
      <c r="F7086" s="1">
        <v>5.9827400596509104E-3</v>
      </c>
    </row>
    <row r="7087" spans="1:6" x14ac:dyDescent="0.25">
      <c r="A7087" s="2" t="str">
        <f t="shared" si="268"/>
        <v>29740</v>
      </c>
      <c r="B7087" s="2" t="str">
        <f>"88021"</f>
        <v>88021</v>
      </c>
      <c r="C7087" s="1">
        <v>4.1373108961373799E-2</v>
      </c>
      <c r="D7087" s="1">
        <v>2.2632674297606601E-2</v>
      </c>
      <c r="E7087" s="1">
        <v>3.1778228532792399E-2</v>
      </c>
      <c r="F7087" s="1">
        <v>3.9726099924112697E-2</v>
      </c>
    </row>
    <row r="7088" spans="1:6" x14ac:dyDescent="0.25">
      <c r="A7088" s="2" t="str">
        <f t="shared" si="268"/>
        <v>29740</v>
      </c>
      <c r="B7088" s="2" t="str">
        <f>"88005"</f>
        <v>88005</v>
      </c>
      <c r="C7088" s="1">
        <v>0.12025572869833299</v>
      </c>
      <c r="D7088" s="1">
        <v>0.194328824141519</v>
      </c>
      <c r="E7088" s="1">
        <v>0.206671174216813</v>
      </c>
      <c r="F7088" s="1">
        <v>0.12866420768402601</v>
      </c>
    </row>
    <row r="7089" spans="1:6" x14ac:dyDescent="0.25">
      <c r="A7089" s="2" t="str">
        <f t="shared" si="268"/>
        <v>29740</v>
      </c>
      <c r="B7089" s="2" t="str">
        <f>"88032"</f>
        <v>88032</v>
      </c>
      <c r="C7089" s="1">
        <v>8.1224493829112308E-3</v>
      </c>
      <c r="D7089" s="1">
        <v>7.1540062434963499E-3</v>
      </c>
      <c r="E7089" s="1">
        <v>2.2537750732476799E-4</v>
      </c>
      <c r="F7089" s="1">
        <v>7.7475601362440999E-3</v>
      </c>
    </row>
    <row r="7090" spans="1:6" x14ac:dyDescent="0.25">
      <c r="A7090" s="2" t="str">
        <f t="shared" si="268"/>
        <v>29740</v>
      </c>
      <c r="B7090" s="2" t="str">
        <f>"88072"</f>
        <v>88072</v>
      </c>
      <c r="C7090" s="1">
        <v>3.7845475835219002E-3</v>
      </c>
      <c r="D7090" s="1">
        <v>2.21123829344432E-3</v>
      </c>
      <c r="E7090" s="1">
        <v>9.01510029299075E-4</v>
      </c>
      <c r="F7090" s="1">
        <v>3.56493655471824E-3</v>
      </c>
    </row>
    <row r="7091" spans="1:6" x14ac:dyDescent="0.25">
      <c r="A7091" s="2" t="str">
        <f t="shared" si="268"/>
        <v>29740</v>
      </c>
      <c r="B7091" s="2" t="str">
        <f>"88063"</f>
        <v>88063</v>
      </c>
      <c r="C7091" s="1">
        <v>6.9347140838529206E-2</v>
      </c>
      <c r="D7091" s="1">
        <v>0.101066597294484</v>
      </c>
      <c r="E7091" s="1">
        <v>1.9607843137254902E-2</v>
      </c>
      <c r="F7091" s="1">
        <v>6.9551559218537604E-2</v>
      </c>
    </row>
    <row r="7092" spans="1:6" x14ac:dyDescent="0.25">
      <c r="A7092" s="2" t="str">
        <f t="shared" si="268"/>
        <v>29740</v>
      </c>
      <c r="B7092" s="2" t="str">
        <f>"88024"</f>
        <v>88024</v>
      </c>
      <c r="C7092" s="1">
        <v>2.3715180680032801E-3</v>
      </c>
      <c r="D7092" s="1">
        <v>5.2029136316337099E-4</v>
      </c>
      <c r="E7092" s="1">
        <v>0</v>
      </c>
      <c r="F7092" s="1">
        <v>2.1530804934436899E-3</v>
      </c>
    </row>
    <row r="7093" spans="1:6" x14ac:dyDescent="0.25">
      <c r="A7093" s="2" t="str">
        <f t="shared" si="268"/>
        <v>29740</v>
      </c>
      <c r="B7093" s="2" t="str">
        <f>"87937"</f>
        <v>87937</v>
      </c>
      <c r="C7093" s="1">
        <v>1.0276578294680799E-3</v>
      </c>
      <c r="D7093" s="1">
        <v>2.6014568158168501E-4</v>
      </c>
      <c r="E7093" s="1">
        <v>0</v>
      </c>
      <c r="F7093" s="1">
        <v>9.3535464059439101E-4</v>
      </c>
    </row>
    <row r="7094" spans="1:6" x14ac:dyDescent="0.25">
      <c r="A7094" s="2" t="str">
        <f t="shared" si="268"/>
        <v>29740</v>
      </c>
      <c r="B7094" s="2" t="str">
        <f>"88058"</f>
        <v>88058</v>
      </c>
      <c r="C7094" s="1">
        <v>0</v>
      </c>
      <c r="D7094" s="1">
        <v>1.3007284079084199E-4</v>
      </c>
      <c r="E7094" s="1">
        <v>0</v>
      </c>
      <c r="F7094" s="1">
        <v>8.8241003829659494E-6</v>
      </c>
    </row>
    <row r="7095" spans="1:6" x14ac:dyDescent="0.25">
      <c r="A7095" s="2" t="str">
        <f t="shared" si="268"/>
        <v>29740</v>
      </c>
      <c r="B7095" s="2" t="str">
        <f>"88033"</f>
        <v>88033</v>
      </c>
      <c r="C7095" s="1">
        <v>1.5138190334087601E-2</v>
      </c>
      <c r="D7095" s="1">
        <v>1.67793964620187E-2</v>
      </c>
      <c r="E7095" s="1">
        <v>2.2537750732476799E-4</v>
      </c>
      <c r="F7095" s="1">
        <v>1.4665654836489401E-2</v>
      </c>
    </row>
    <row r="7096" spans="1:6" x14ac:dyDescent="0.25">
      <c r="A7096" s="2" t="str">
        <f t="shared" si="268"/>
        <v>29740</v>
      </c>
      <c r="B7096" s="2" t="str">
        <f>"88048"</f>
        <v>88048</v>
      </c>
      <c r="C7096" s="1">
        <v>4.4960030039228804E-3</v>
      </c>
      <c r="D7096" s="1">
        <v>1.1706555671175799E-3</v>
      </c>
      <c r="E7096" s="1">
        <v>1.35226504394861E-3</v>
      </c>
      <c r="F7096" s="1">
        <v>4.1473271799939903E-3</v>
      </c>
    </row>
    <row r="7097" spans="1:6" x14ac:dyDescent="0.25">
      <c r="A7097" s="2" t="str">
        <f t="shared" si="268"/>
        <v>29740</v>
      </c>
      <c r="B7097" s="2" t="str">
        <f>"88013"</f>
        <v>88013</v>
      </c>
      <c r="C7097" s="1">
        <v>7.4011126372269002E-3</v>
      </c>
      <c r="D7097" s="1">
        <v>2.8485952133194499E-2</v>
      </c>
      <c r="E7097" s="1">
        <v>4.5075501464953701E-4</v>
      </c>
      <c r="F7097" s="1">
        <v>8.5593773714769707E-3</v>
      </c>
    </row>
    <row r="7098" spans="1:6" x14ac:dyDescent="0.25">
      <c r="A7098" s="2" t="str">
        <f t="shared" ref="A7098:A7108" si="269">"17580"</f>
        <v>17580</v>
      </c>
      <c r="B7098" s="2" t="str">
        <f>"88130"</f>
        <v>88130</v>
      </c>
      <c r="C7098" s="1">
        <v>1.15353558657284E-4</v>
      </c>
      <c r="D7098" s="1">
        <v>0</v>
      </c>
      <c r="E7098" s="1">
        <v>0</v>
      </c>
      <c r="F7098" s="1">
        <v>9.7424739388822095E-5</v>
      </c>
    </row>
    <row r="7099" spans="1:6" x14ac:dyDescent="0.25">
      <c r="A7099" s="2" t="str">
        <f t="shared" si="269"/>
        <v>17580</v>
      </c>
      <c r="B7099" s="2" t="str">
        <f>"88102"</f>
        <v>88102</v>
      </c>
      <c r="C7099" s="1">
        <v>7.5518129734302303E-2</v>
      </c>
      <c r="D7099" s="1">
        <v>0.135144927536231</v>
      </c>
      <c r="E7099" s="1">
        <v>1.9743336623889401E-3</v>
      </c>
      <c r="F7099" s="1">
        <v>7.6023771636410803E-2</v>
      </c>
    </row>
    <row r="7100" spans="1:6" x14ac:dyDescent="0.25">
      <c r="A7100" s="2" t="str">
        <f t="shared" si="269"/>
        <v>17580</v>
      </c>
      <c r="B7100" s="2" t="str">
        <f>"88103"</f>
        <v>88103</v>
      </c>
      <c r="C7100" s="1">
        <v>0</v>
      </c>
      <c r="D7100" s="1">
        <v>0.101811594202898</v>
      </c>
      <c r="E7100" s="1">
        <v>4.9358341559723503E-4</v>
      </c>
      <c r="F7100" s="1">
        <v>9.1579255025492808E-3</v>
      </c>
    </row>
    <row r="7101" spans="1:6" x14ac:dyDescent="0.25">
      <c r="A7101" s="2" t="str">
        <f t="shared" si="269"/>
        <v>17580</v>
      </c>
      <c r="B7101" s="2" t="str">
        <f>"88135"</f>
        <v>88135</v>
      </c>
      <c r="C7101" s="1">
        <v>1.1727611796823899E-2</v>
      </c>
      <c r="D7101" s="1">
        <v>1.34057971014492E-2</v>
      </c>
      <c r="E7101" s="1">
        <v>3.9486673247778803E-3</v>
      </c>
      <c r="F7101" s="1">
        <v>1.1366219595362499E-2</v>
      </c>
    </row>
    <row r="7102" spans="1:6" x14ac:dyDescent="0.25">
      <c r="A7102" s="2" t="str">
        <f t="shared" si="269"/>
        <v>17580</v>
      </c>
      <c r="B7102" s="2" t="str">
        <f>"88112"</f>
        <v>88112</v>
      </c>
      <c r="C7102" s="1">
        <v>3.4221555734994399E-3</v>
      </c>
      <c r="D7102" s="1">
        <v>9.7826086956521695E-3</v>
      </c>
      <c r="E7102" s="1">
        <v>4.9358341559723503E-4</v>
      </c>
      <c r="F7102" s="1">
        <v>3.7995648361640599E-3</v>
      </c>
    </row>
    <row r="7103" spans="1:6" x14ac:dyDescent="0.25">
      <c r="A7103" s="2" t="str">
        <f t="shared" si="269"/>
        <v>17580</v>
      </c>
      <c r="B7103" s="2" t="str">
        <f>"88133"</f>
        <v>88133</v>
      </c>
      <c r="C7103" s="1">
        <v>4.2296304841004301E-4</v>
      </c>
      <c r="D7103" s="1">
        <v>3.6231884057970999E-4</v>
      </c>
      <c r="E7103" s="1">
        <v>0</v>
      </c>
      <c r="F7103" s="1">
        <v>3.89698957555288E-4</v>
      </c>
    </row>
    <row r="7104" spans="1:6" x14ac:dyDescent="0.25">
      <c r="A7104" s="2" t="str">
        <f t="shared" si="269"/>
        <v>17580</v>
      </c>
      <c r="B7104" s="2" t="str">
        <f>"88427"</f>
        <v>88427</v>
      </c>
      <c r="C7104" s="1">
        <v>3.84511862190948E-5</v>
      </c>
      <c r="D7104" s="1">
        <v>0</v>
      </c>
      <c r="E7104" s="1">
        <v>0</v>
      </c>
      <c r="F7104" s="1">
        <v>3.2474913129607302E-5</v>
      </c>
    </row>
    <row r="7105" spans="1:6" x14ac:dyDescent="0.25">
      <c r="A7105" s="2" t="str">
        <f t="shared" si="269"/>
        <v>17580</v>
      </c>
      <c r="B7105" s="2" t="str">
        <f>"88124"</f>
        <v>88124</v>
      </c>
      <c r="C7105" s="1">
        <v>1.6111047025800702E-2</v>
      </c>
      <c r="D7105" s="1">
        <v>1.4492753623188399E-3</v>
      </c>
      <c r="E7105" s="1">
        <v>1.9743336623889401E-3</v>
      </c>
      <c r="F7105" s="1">
        <v>1.38667879063423E-2</v>
      </c>
    </row>
    <row r="7106" spans="1:6" x14ac:dyDescent="0.25">
      <c r="A7106" s="2" t="str">
        <f t="shared" si="269"/>
        <v>17580</v>
      </c>
      <c r="B7106" s="2" t="str">
        <f>"88118"</f>
        <v>88118</v>
      </c>
      <c r="C7106" s="1">
        <v>3.0760948975275802E-4</v>
      </c>
      <c r="D7106" s="1">
        <v>0</v>
      </c>
      <c r="E7106" s="1">
        <v>0</v>
      </c>
      <c r="F7106" s="1">
        <v>2.5979930503685901E-4</v>
      </c>
    </row>
    <row r="7107" spans="1:6" x14ac:dyDescent="0.25">
      <c r="A7107" s="2" t="str">
        <f t="shared" si="269"/>
        <v>17580</v>
      </c>
      <c r="B7107" s="2" t="str">
        <f>"88101"</f>
        <v>88101</v>
      </c>
      <c r="C7107" s="1">
        <v>0.88895297419925401</v>
      </c>
      <c r="D7107" s="1">
        <v>0.73478260869565204</v>
      </c>
      <c r="E7107" s="1">
        <v>0.99111549851924896</v>
      </c>
      <c r="F7107" s="1">
        <v>0.88185626603448797</v>
      </c>
    </row>
    <row r="7108" spans="1:6" x14ac:dyDescent="0.25">
      <c r="A7108" s="2" t="str">
        <f t="shared" si="269"/>
        <v>17580</v>
      </c>
      <c r="B7108" s="2" t="str">
        <f>"88120"</f>
        <v>88120</v>
      </c>
      <c r="C7108" s="1">
        <v>3.3837043872803401E-3</v>
      </c>
      <c r="D7108" s="1">
        <v>3.2608695652173898E-3</v>
      </c>
      <c r="E7108" s="1">
        <v>0</v>
      </c>
      <c r="F7108" s="1">
        <v>3.15006657357191E-3</v>
      </c>
    </row>
    <row r="7109" spans="1:6" x14ac:dyDescent="0.25">
      <c r="A7109" s="2" t="str">
        <f t="shared" ref="A7109:A7118" si="270">"40740"</f>
        <v>40740</v>
      </c>
      <c r="B7109" s="2" t="str">
        <f>"88344"</f>
        <v>88344</v>
      </c>
      <c r="C7109" s="1">
        <v>1.0537754799618E-3</v>
      </c>
      <c r="D7109" s="1">
        <v>2.9922202274087302E-4</v>
      </c>
      <c r="E7109" s="1">
        <v>2.5316455696202502E-3</v>
      </c>
      <c r="F7109" s="1">
        <v>1.01452216006261E-3</v>
      </c>
    </row>
    <row r="7110" spans="1:6" x14ac:dyDescent="0.25">
      <c r="A7110" s="2" t="str">
        <f t="shared" si="270"/>
        <v>40740</v>
      </c>
      <c r="B7110" s="2" t="str">
        <f>"88339"</f>
        <v>88339</v>
      </c>
      <c r="C7110" s="1">
        <v>1.11963644745941E-3</v>
      </c>
      <c r="D7110" s="1">
        <v>0</v>
      </c>
      <c r="E7110" s="1">
        <v>0</v>
      </c>
      <c r="F7110" s="1">
        <v>9.8553581263224996E-4</v>
      </c>
    </row>
    <row r="7111" spans="1:6" x14ac:dyDescent="0.25">
      <c r="A7111" s="2" t="str">
        <f t="shared" si="270"/>
        <v>40740</v>
      </c>
      <c r="B7111" s="2" t="str">
        <f>"88201"</f>
        <v>88201</v>
      </c>
      <c r="C7111" s="1">
        <v>0.39635130240063199</v>
      </c>
      <c r="D7111" s="1">
        <v>0.456014362657091</v>
      </c>
      <c r="E7111" s="1">
        <v>0.56835443037974598</v>
      </c>
      <c r="F7111" s="1">
        <v>0.40606974115191702</v>
      </c>
    </row>
    <row r="7112" spans="1:6" x14ac:dyDescent="0.25">
      <c r="A7112" s="2" t="str">
        <f t="shared" si="270"/>
        <v>40740</v>
      </c>
      <c r="B7112" s="2" t="str">
        <f>"88253"</f>
        <v>88253</v>
      </c>
      <c r="C7112" s="1">
        <v>5.0383640135673504E-3</v>
      </c>
      <c r="D7112" s="1">
        <v>5.9844404548174701E-4</v>
      </c>
      <c r="E7112" s="1">
        <v>6.3291139240506302E-3</v>
      </c>
      <c r="F7112" s="1">
        <v>4.6378155888576397E-3</v>
      </c>
    </row>
    <row r="7113" spans="1:6" x14ac:dyDescent="0.25">
      <c r="A7113" s="2" t="str">
        <f t="shared" si="270"/>
        <v>40740</v>
      </c>
      <c r="B7113" s="2" t="str">
        <f>"88230"</f>
        <v>88230</v>
      </c>
      <c r="C7113" s="1">
        <v>4.9033490301972502E-2</v>
      </c>
      <c r="D7113" s="1">
        <v>2.1543985637342899E-2</v>
      </c>
      <c r="E7113" s="1">
        <v>1.2658227848101201E-3</v>
      </c>
      <c r="F7113" s="1">
        <v>4.52766746862227E-2</v>
      </c>
    </row>
    <row r="7114" spans="1:6" x14ac:dyDescent="0.25">
      <c r="A7114" s="2" t="str">
        <f t="shared" si="270"/>
        <v>40740</v>
      </c>
      <c r="B7114" s="2" t="str">
        <f>"88116"</f>
        <v>88116</v>
      </c>
      <c r="C7114" s="1">
        <v>1.9758290249283699E-4</v>
      </c>
      <c r="D7114" s="1">
        <v>0</v>
      </c>
      <c r="E7114" s="1">
        <v>0</v>
      </c>
      <c r="F7114" s="1">
        <v>1.73918084582161E-4</v>
      </c>
    </row>
    <row r="7115" spans="1:6" x14ac:dyDescent="0.25">
      <c r="A7115" s="2" t="str">
        <f t="shared" si="270"/>
        <v>40740</v>
      </c>
      <c r="B7115" s="2" t="str">
        <f>"88203"</f>
        <v>88203</v>
      </c>
      <c r="C7115" s="1">
        <v>0.42608752922580401</v>
      </c>
      <c r="D7115" s="1">
        <v>0.30550568521843202</v>
      </c>
      <c r="E7115" s="1">
        <v>0.411392405063291</v>
      </c>
      <c r="F7115" s="1">
        <v>0.41406997304269599</v>
      </c>
    </row>
    <row r="7116" spans="1:6" x14ac:dyDescent="0.25">
      <c r="A7116" s="2" t="str">
        <f t="shared" si="270"/>
        <v>40740</v>
      </c>
      <c r="B7116" s="2" t="str">
        <f>"88250"</f>
        <v>88250</v>
      </c>
      <c r="C7116" s="1">
        <v>6.9154015872493102E-4</v>
      </c>
      <c r="D7116" s="1">
        <v>2.9922202274087302E-4</v>
      </c>
      <c r="E7116" s="1">
        <v>0</v>
      </c>
      <c r="F7116" s="1">
        <v>6.37699643467926E-4</v>
      </c>
    </row>
    <row r="7117" spans="1:6" x14ac:dyDescent="0.25">
      <c r="A7117" s="2" t="str">
        <f t="shared" si="270"/>
        <v>40740</v>
      </c>
      <c r="B7117" s="2" t="str">
        <f>"88232"</f>
        <v>88232</v>
      </c>
      <c r="C7117" s="1">
        <v>2.0614482826752701E-2</v>
      </c>
      <c r="D7117" s="1">
        <v>3.8898862956313501E-3</v>
      </c>
      <c r="E7117" s="1">
        <v>7.5949367088607497E-3</v>
      </c>
      <c r="F7117" s="1">
        <v>1.8696194092582299E-2</v>
      </c>
    </row>
    <row r="7118" spans="1:6" x14ac:dyDescent="0.25">
      <c r="A7118" s="2" t="str">
        <f t="shared" si="270"/>
        <v>40740</v>
      </c>
      <c r="B7118" s="2" t="str">
        <f>"88202"</f>
        <v>88202</v>
      </c>
      <c r="C7118" s="1">
        <v>9.9812296242631798E-2</v>
      </c>
      <c r="D7118" s="1">
        <v>0.21184919210053799</v>
      </c>
      <c r="E7118" s="1">
        <v>2.5316455696202502E-3</v>
      </c>
      <c r="F7118" s="1">
        <v>0.108437925736977</v>
      </c>
    </row>
    <row r="7119" spans="1:6" x14ac:dyDescent="0.25">
      <c r="A7119" s="2" t="str">
        <f t="shared" ref="A7119:A7139" si="271">"45340"</f>
        <v>45340</v>
      </c>
      <c r="B7119" s="2" t="str">
        <f>"87521"</f>
        <v>87521</v>
      </c>
      <c r="C7119" s="1">
        <v>1.32287140911743E-2</v>
      </c>
      <c r="D7119" s="1">
        <v>5.3763440860215E-4</v>
      </c>
      <c r="E7119" s="1">
        <v>4.9875311720698201E-3</v>
      </c>
      <c r="F7119" s="1">
        <v>1.1557816733949001E-2</v>
      </c>
    </row>
    <row r="7120" spans="1:6" x14ac:dyDescent="0.25">
      <c r="A7120" s="2" t="str">
        <f t="shared" si="271"/>
        <v>45340</v>
      </c>
      <c r="B7120" s="2" t="str">
        <f>"87577"</f>
        <v>87577</v>
      </c>
      <c r="C7120" s="1">
        <v>0</v>
      </c>
      <c r="D7120" s="1">
        <v>0</v>
      </c>
      <c r="E7120" s="1">
        <v>2.4937655860349101E-3</v>
      </c>
      <c r="F7120" s="1">
        <v>1.10601117071282E-4</v>
      </c>
    </row>
    <row r="7121" spans="1:6" x14ac:dyDescent="0.25">
      <c r="A7121" s="2" t="str">
        <f t="shared" si="271"/>
        <v>45340</v>
      </c>
      <c r="B7121" s="2" t="str">
        <f>"87517"</f>
        <v>87517</v>
      </c>
      <c r="C7121" s="1">
        <v>6.48466377018351E-5</v>
      </c>
      <c r="D7121" s="1">
        <v>0</v>
      </c>
      <c r="E7121" s="1">
        <v>1.24688279301745E-3</v>
      </c>
      <c r="F7121" s="1">
        <v>1.10601117071282E-4</v>
      </c>
    </row>
    <row r="7122" spans="1:6" x14ac:dyDescent="0.25">
      <c r="A7122" s="2" t="str">
        <f t="shared" si="271"/>
        <v>45340</v>
      </c>
      <c r="B7122" s="2" t="str">
        <f>"87549"</f>
        <v>87549</v>
      </c>
      <c r="C7122" s="1">
        <v>1.1477854873224801E-2</v>
      </c>
      <c r="D7122" s="1">
        <v>5.3763440860215E-4</v>
      </c>
      <c r="E7122" s="1">
        <v>1.24688279301745E-3</v>
      </c>
      <c r="F7122" s="1">
        <v>9.89879997787977E-3</v>
      </c>
    </row>
    <row r="7123" spans="1:6" x14ac:dyDescent="0.25">
      <c r="A7123" s="2" t="str">
        <f t="shared" si="271"/>
        <v>45340</v>
      </c>
      <c r="B7123" s="2" t="str">
        <f>"87557"</f>
        <v>87557</v>
      </c>
      <c r="C7123" s="1">
        <v>0.24531483042604199</v>
      </c>
      <c r="D7123" s="1">
        <v>8.4946236559139701E-2</v>
      </c>
      <c r="E7123" s="1">
        <v>3.6159600997506203E-2</v>
      </c>
      <c r="F7123" s="1">
        <v>0.21954321738649499</v>
      </c>
    </row>
    <row r="7124" spans="1:6" x14ac:dyDescent="0.25">
      <c r="A7124" s="2" t="str">
        <f t="shared" si="271"/>
        <v>45340</v>
      </c>
      <c r="B7124" s="2" t="str">
        <f>"87514"</f>
        <v>87514</v>
      </c>
      <c r="C7124" s="1">
        <v>6.48466377018351E-5</v>
      </c>
      <c r="D7124" s="1">
        <v>0</v>
      </c>
      <c r="E7124" s="1">
        <v>6.2344139650872803E-3</v>
      </c>
      <c r="F7124" s="1">
        <v>3.3180335121384699E-4</v>
      </c>
    </row>
    <row r="7125" spans="1:6" x14ac:dyDescent="0.25">
      <c r="A7125" s="2" t="str">
        <f t="shared" si="271"/>
        <v>45340</v>
      </c>
      <c r="B7125" s="2" t="str">
        <f>"87525"</f>
        <v>87525</v>
      </c>
      <c r="C7125" s="1">
        <v>0</v>
      </c>
      <c r="D7125" s="1">
        <v>0</v>
      </c>
      <c r="E7125" s="1">
        <v>2.4937655860349101E-3</v>
      </c>
      <c r="F7125" s="1">
        <v>1.10601117071282E-4</v>
      </c>
    </row>
    <row r="7126" spans="1:6" x14ac:dyDescent="0.25">
      <c r="A7126" s="2" t="str">
        <f t="shared" si="271"/>
        <v>45340</v>
      </c>
      <c r="B7126" s="2" t="str">
        <f>"87513"</f>
        <v>87513</v>
      </c>
      <c r="C7126" s="1">
        <v>6.48466377018351E-5</v>
      </c>
      <c r="D7126" s="1">
        <v>1.0752688172043E-3</v>
      </c>
      <c r="E7126" s="1">
        <v>3.7406483790523599E-3</v>
      </c>
      <c r="F7126" s="1">
        <v>3.3180335121384699E-4</v>
      </c>
    </row>
    <row r="7127" spans="1:6" x14ac:dyDescent="0.25">
      <c r="A7127" s="2" t="str">
        <f t="shared" si="271"/>
        <v>45340</v>
      </c>
      <c r="B7127" s="2" t="str">
        <f>"87556"</f>
        <v>87556</v>
      </c>
      <c r="C7127" s="1">
        <v>1.8481291745022999E-2</v>
      </c>
      <c r="D7127" s="1">
        <v>0</v>
      </c>
      <c r="E7127" s="1">
        <v>1.24688279301745E-3</v>
      </c>
      <c r="F7127" s="1">
        <v>1.5815959741193299E-2</v>
      </c>
    </row>
    <row r="7128" spans="1:6" x14ac:dyDescent="0.25">
      <c r="A7128" s="2" t="str">
        <f t="shared" si="271"/>
        <v>45340</v>
      </c>
      <c r="B7128" s="2" t="str">
        <f>"87571"</f>
        <v>87571</v>
      </c>
      <c r="C7128" s="1">
        <v>0.50262628882692395</v>
      </c>
      <c r="D7128" s="1">
        <v>0.85430107526881705</v>
      </c>
      <c r="E7128" s="1">
        <v>0.88528678304239405</v>
      </c>
      <c r="F7128" s="1">
        <v>0.55577061328319399</v>
      </c>
    </row>
    <row r="7129" spans="1:6" x14ac:dyDescent="0.25">
      <c r="A7129" s="2" t="str">
        <f t="shared" si="271"/>
        <v>45340</v>
      </c>
      <c r="B7129" s="2" t="str">
        <f>"87564"</f>
        <v>87564</v>
      </c>
      <c r="C7129" s="1">
        <v>0</v>
      </c>
      <c r="D7129" s="1">
        <v>0</v>
      </c>
      <c r="E7129" s="1">
        <v>1.24688279301745E-3</v>
      </c>
      <c r="F7129" s="1">
        <v>5.5300558535641202E-5</v>
      </c>
    </row>
    <row r="7130" spans="1:6" x14ac:dyDescent="0.25">
      <c r="A7130" s="2" t="str">
        <f t="shared" si="271"/>
        <v>45340</v>
      </c>
      <c r="B7130" s="2" t="str">
        <f>"87519"</f>
        <v>87519</v>
      </c>
      <c r="C7130" s="1">
        <v>6.48466377018351E-5</v>
      </c>
      <c r="D7130" s="1">
        <v>5.3763440860215E-4</v>
      </c>
      <c r="E7130" s="1">
        <v>1.24688279301745E-3</v>
      </c>
      <c r="F7130" s="1">
        <v>1.6590167560692301E-4</v>
      </c>
    </row>
    <row r="7131" spans="1:6" x14ac:dyDescent="0.25">
      <c r="A7131" s="2" t="str">
        <f t="shared" si="271"/>
        <v>45340</v>
      </c>
      <c r="B7131" s="2" t="str">
        <f>"87579"</f>
        <v>87579</v>
      </c>
      <c r="C7131" s="1">
        <v>1.5368653135334901E-2</v>
      </c>
      <c r="D7131" s="1">
        <v>2.6881720430107499E-3</v>
      </c>
      <c r="E7131" s="1">
        <v>2.4937655860349101E-3</v>
      </c>
      <c r="F7131" s="1">
        <v>1.3493336282696399E-2</v>
      </c>
    </row>
    <row r="7132" spans="1:6" x14ac:dyDescent="0.25">
      <c r="A7132" s="2" t="str">
        <f t="shared" si="271"/>
        <v>45340</v>
      </c>
      <c r="B7132" s="2" t="str">
        <f>"87576"</f>
        <v>87576</v>
      </c>
      <c r="C7132" s="1">
        <v>2.0750924064587201E-3</v>
      </c>
      <c r="D7132" s="1">
        <v>0</v>
      </c>
      <c r="E7132" s="1">
        <v>1.24688279301745E-3</v>
      </c>
      <c r="F7132" s="1">
        <v>1.8249184316761499E-3</v>
      </c>
    </row>
    <row r="7133" spans="1:6" x14ac:dyDescent="0.25">
      <c r="A7133" s="2" t="str">
        <f t="shared" si="271"/>
        <v>45340</v>
      </c>
      <c r="B7133" s="2" t="str">
        <f>"87543"</f>
        <v>87543</v>
      </c>
      <c r="C7133" s="1">
        <v>0</v>
      </c>
      <c r="D7133" s="1">
        <v>0</v>
      </c>
      <c r="E7133" s="1">
        <v>1.24688279301745E-3</v>
      </c>
      <c r="F7133" s="1">
        <v>5.5300558535641202E-5</v>
      </c>
    </row>
    <row r="7134" spans="1:6" x14ac:dyDescent="0.25">
      <c r="A7134" s="2" t="str">
        <f t="shared" si="271"/>
        <v>45340</v>
      </c>
      <c r="B7134" s="2" t="str">
        <f>"87524"</f>
        <v>87524</v>
      </c>
      <c r="C7134" s="1">
        <v>6.48466377018351E-5</v>
      </c>
      <c r="D7134" s="1">
        <v>0</v>
      </c>
      <c r="E7134" s="1">
        <v>1.24688279301745E-3</v>
      </c>
      <c r="F7134" s="1">
        <v>1.10601117071282E-4</v>
      </c>
    </row>
    <row r="7135" spans="1:6" x14ac:dyDescent="0.25">
      <c r="A7135" s="2" t="str">
        <f t="shared" si="271"/>
        <v>45340</v>
      </c>
      <c r="B7135" s="2" t="str">
        <f>"87580"</f>
        <v>87580</v>
      </c>
      <c r="C7135" s="1">
        <v>7.3276700603073699E-3</v>
      </c>
      <c r="D7135" s="1">
        <v>0</v>
      </c>
      <c r="E7135" s="1">
        <v>1.24688279301745E-3</v>
      </c>
      <c r="F7135" s="1">
        <v>6.3042636730630897E-3</v>
      </c>
    </row>
    <row r="7136" spans="1:6" x14ac:dyDescent="0.25">
      <c r="A7136" s="2" t="str">
        <f t="shared" si="271"/>
        <v>45340</v>
      </c>
      <c r="B7136" s="2" t="str">
        <f>"87558"</f>
        <v>87558</v>
      </c>
      <c r="C7136" s="1">
        <v>6.48466377018351E-5</v>
      </c>
      <c r="D7136" s="1">
        <v>0</v>
      </c>
      <c r="E7136" s="1">
        <v>1.24688279301745E-3</v>
      </c>
      <c r="F7136" s="1">
        <v>1.10601117071282E-4</v>
      </c>
    </row>
    <row r="7137" spans="1:6" x14ac:dyDescent="0.25">
      <c r="A7137" s="2" t="str">
        <f t="shared" si="271"/>
        <v>45340</v>
      </c>
      <c r="B7137" s="2" t="str">
        <f>"87553"</f>
        <v>87553</v>
      </c>
      <c r="C7137" s="1">
        <v>6.8088969586926904E-3</v>
      </c>
      <c r="D7137" s="1">
        <v>0</v>
      </c>
      <c r="E7137" s="1">
        <v>2.4937655860349101E-3</v>
      </c>
      <c r="F7137" s="1">
        <v>5.9171597633135998E-3</v>
      </c>
    </row>
    <row r="7138" spans="1:6" x14ac:dyDescent="0.25">
      <c r="A7138" s="2" t="str">
        <f t="shared" si="271"/>
        <v>45340</v>
      </c>
      <c r="B7138" s="2" t="str">
        <f>"87512"</f>
        <v>87512</v>
      </c>
      <c r="C7138" s="1">
        <v>0</v>
      </c>
      <c r="D7138" s="1">
        <v>0</v>
      </c>
      <c r="E7138" s="1">
        <v>1.24688279301745E-3</v>
      </c>
      <c r="F7138" s="1">
        <v>5.5300558535641202E-5</v>
      </c>
    </row>
    <row r="7139" spans="1:6" x14ac:dyDescent="0.25">
      <c r="A7139" s="2" t="str">
        <f t="shared" si="271"/>
        <v>45340</v>
      </c>
      <c r="B7139" s="2" t="str">
        <f>"87529"</f>
        <v>87529</v>
      </c>
      <c r="C7139" s="1">
        <v>0.17690162765060599</v>
      </c>
      <c r="D7139" s="1">
        <v>5.5376344086021503E-2</v>
      </c>
      <c r="E7139" s="1">
        <v>3.9900249376558602E-2</v>
      </c>
      <c r="F7139" s="1">
        <v>0.15832549908754001</v>
      </c>
    </row>
    <row r="7140" spans="1:6" x14ac:dyDescent="0.25">
      <c r="A7140" s="2" t="str">
        <f t="shared" ref="A7140:A7171" si="272">"29820"</f>
        <v>29820</v>
      </c>
      <c r="B7140" s="2" t="str">
        <f>"89139"</f>
        <v>89139</v>
      </c>
      <c r="C7140" s="1">
        <v>1.63098370923998E-2</v>
      </c>
      <c r="D7140" s="1">
        <v>1.4075206783902099E-2</v>
      </c>
      <c r="E7140" s="1">
        <v>4.9981402268923104E-3</v>
      </c>
      <c r="F7140" s="1">
        <v>1.5634687147404801E-2</v>
      </c>
    </row>
    <row r="7141" spans="1:6" x14ac:dyDescent="0.25">
      <c r="A7141" s="2" t="str">
        <f t="shared" si="272"/>
        <v>29820</v>
      </c>
      <c r="B7141" s="2" t="str">
        <f>"89138"</f>
        <v>89138</v>
      </c>
      <c r="C7141" s="1">
        <v>9.0192159111262705E-3</v>
      </c>
      <c r="D7141" s="1">
        <v>9.5572391742545303E-5</v>
      </c>
      <c r="E7141" s="1">
        <v>1.1623581923005299E-3</v>
      </c>
      <c r="F7141" s="1">
        <v>7.7801267731309196E-3</v>
      </c>
    </row>
    <row r="7142" spans="1:6" x14ac:dyDescent="0.25">
      <c r="A7142" s="2" t="str">
        <f t="shared" si="272"/>
        <v>29820</v>
      </c>
      <c r="B7142" s="2" t="str">
        <f>"89129"</f>
        <v>89129</v>
      </c>
      <c r="C7142" s="1">
        <v>2.2318055071268699E-2</v>
      </c>
      <c r="D7142" s="1">
        <v>6.6726906234795304E-3</v>
      </c>
      <c r="E7142" s="1">
        <v>1.47154547145248E-2</v>
      </c>
      <c r="F7142" s="1">
        <v>2.0386637171595699E-2</v>
      </c>
    </row>
    <row r="7143" spans="1:6" x14ac:dyDescent="0.25">
      <c r="A7143" s="2" t="str">
        <f t="shared" si="272"/>
        <v>29820</v>
      </c>
      <c r="B7143" s="2" t="str">
        <f>"89134"</f>
        <v>89134</v>
      </c>
      <c r="C7143" s="1">
        <v>1.35563796379807E-2</v>
      </c>
      <c r="D7143" s="1">
        <v>1.3232432056717799E-2</v>
      </c>
      <c r="E7143" s="1">
        <v>5.0911288822763599E-3</v>
      </c>
      <c r="F7143" s="1">
        <v>1.3191994212333601E-2</v>
      </c>
    </row>
    <row r="7144" spans="1:6" x14ac:dyDescent="0.25">
      <c r="A7144" s="2" t="str">
        <f t="shared" si="272"/>
        <v>29820</v>
      </c>
      <c r="B7144" s="2" t="str">
        <f>"89191"</f>
        <v>89191</v>
      </c>
      <c r="C7144" s="1">
        <v>1.7476718022852199E-3</v>
      </c>
      <c r="D7144" s="1">
        <v>7.6457913394036199E-4</v>
      </c>
      <c r="E7144" s="1">
        <v>7.20662079226334E-4</v>
      </c>
      <c r="F7144" s="1">
        <v>1.60486105879074E-3</v>
      </c>
    </row>
    <row r="7145" spans="1:6" x14ac:dyDescent="0.25">
      <c r="A7145" s="2" t="str">
        <f t="shared" si="272"/>
        <v>29820</v>
      </c>
      <c r="B7145" s="2" t="str">
        <f>"89173"</f>
        <v>89173</v>
      </c>
      <c r="C7145" s="1">
        <v>1.3120786484106101E-3</v>
      </c>
      <c r="D7145" s="1">
        <v>1.78112184611107E-3</v>
      </c>
      <c r="E7145" s="1">
        <v>4.64943276920215E-5</v>
      </c>
      <c r="F7145" s="1">
        <v>1.3116652884347399E-3</v>
      </c>
    </row>
    <row r="7146" spans="1:6" x14ac:dyDescent="0.25">
      <c r="A7146" s="2" t="str">
        <f t="shared" si="272"/>
        <v>29820</v>
      </c>
      <c r="B7146" s="2" t="str">
        <f>"89123"</f>
        <v>89123</v>
      </c>
      <c r="C7146" s="1">
        <v>2.65849602719966E-2</v>
      </c>
      <c r="D7146" s="1">
        <v>2.2572461249739301E-2</v>
      </c>
      <c r="E7146" s="1">
        <v>1.12748744653152E-2</v>
      </c>
      <c r="F7146" s="1">
        <v>2.5567941992623799E-2</v>
      </c>
    </row>
    <row r="7147" spans="1:6" x14ac:dyDescent="0.25">
      <c r="A7147" s="2" t="str">
        <f t="shared" si="272"/>
        <v>29820</v>
      </c>
      <c r="B7147" s="2" t="str">
        <f>"89151"</f>
        <v>89151</v>
      </c>
      <c r="C7147" s="1">
        <v>0</v>
      </c>
      <c r="D7147" s="1">
        <v>0</v>
      </c>
      <c r="E7147" s="1">
        <v>2.3247163846010699E-5</v>
      </c>
      <c r="F7147" s="1">
        <v>9.07726843207434E-7</v>
      </c>
    </row>
    <row r="7148" spans="1:6" x14ac:dyDescent="0.25">
      <c r="A7148" s="2" t="str">
        <f t="shared" si="272"/>
        <v>29820</v>
      </c>
      <c r="B7148" s="2" t="str">
        <f>"89166"</f>
        <v>89166</v>
      </c>
      <c r="C7148" s="1">
        <v>1.0459534879777301E-2</v>
      </c>
      <c r="D7148" s="1">
        <v>3.0409397372628002E-4</v>
      </c>
      <c r="E7148" s="1">
        <v>3.9520178538218298E-4</v>
      </c>
      <c r="F7148" s="1">
        <v>9.0055580114609506E-3</v>
      </c>
    </row>
    <row r="7149" spans="1:6" x14ac:dyDescent="0.25">
      <c r="A7149" s="2" t="str">
        <f t="shared" si="272"/>
        <v>29820</v>
      </c>
      <c r="B7149" s="2" t="str">
        <f>"89119"</f>
        <v>89119</v>
      </c>
      <c r="C7149" s="1">
        <v>2.38028872089289E-2</v>
      </c>
      <c r="D7149" s="1">
        <v>6.5988392298602899E-2</v>
      </c>
      <c r="E7149" s="1">
        <v>6.8718616328807797E-2</v>
      </c>
      <c r="F7149" s="1">
        <v>2.9964063094277401E-2</v>
      </c>
    </row>
    <row r="7150" spans="1:6" x14ac:dyDescent="0.25">
      <c r="A7150" s="2" t="str">
        <f t="shared" si="272"/>
        <v>29820</v>
      </c>
      <c r="B7150" s="2" t="str">
        <f>"89039"</f>
        <v>89039</v>
      </c>
      <c r="C7150" s="1">
        <v>6.5709916156266604E-5</v>
      </c>
      <c r="D7150" s="1">
        <v>4.3441996246611499E-5</v>
      </c>
      <c r="E7150" s="1">
        <v>0</v>
      </c>
      <c r="F7150" s="1">
        <v>6.0817698494898102E-5</v>
      </c>
    </row>
    <row r="7151" spans="1:6" x14ac:dyDescent="0.25">
      <c r="A7151" s="2" t="str">
        <f t="shared" si="272"/>
        <v>29820</v>
      </c>
      <c r="B7151" s="2" t="str">
        <f>"89037"</f>
        <v>89037</v>
      </c>
      <c r="C7151" s="1">
        <v>0</v>
      </c>
      <c r="D7151" s="1">
        <v>0</v>
      </c>
      <c r="E7151" s="1">
        <v>2.3247163846010699E-5</v>
      </c>
      <c r="F7151" s="1">
        <v>9.07726843207434E-7</v>
      </c>
    </row>
    <row r="7152" spans="1:6" x14ac:dyDescent="0.25">
      <c r="A7152" s="2" t="str">
        <f t="shared" si="272"/>
        <v>29820</v>
      </c>
      <c r="B7152" s="2" t="str">
        <f>"89046"</f>
        <v>89046</v>
      </c>
      <c r="C7152" s="1">
        <v>7.4188615015139702E-5</v>
      </c>
      <c r="D7152" s="1">
        <v>1.73767984986446E-5</v>
      </c>
      <c r="E7152" s="1">
        <v>6.9741491538032304E-5</v>
      </c>
      <c r="F7152" s="1">
        <v>6.8079513240557499E-5</v>
      </c>
    </row>
    <row r="7153" spans="1:6" x14ac:dyDescent="0.25">
      <c r="A7153" s="2" t="str">
        <f t="shared" si="272"/>
        <v>29820</v>
      </c>
      <c r="B7153" s="2" t="str">
        <f>"89028"</f>
        <v>89028</v>
      </c>
      <c r="C7153" s="1">
        <v>4.0506983798266304E-3</v>
      </c>
      <c r="D7153" s="1">
        <v>7.8195593243900695E-4</v>
      </c>
      <c r="E7153" s="1">
        <v>4.64943276920215E-5</v>
      </c>
      <c r="F7153" s="1">
        <v>3.5528428643138901E-3</v>
      </c>
    </row>
    <row r="7154" spans="1:6" x14ac:dyDescent="0.25">
      <c r="A7154" s="2" t="str">
        <f t="shared" si="272"/>
        <v>29820</v>
      </c>
      <c r="B7154" s="2" t="str">
        <f>"89027"</f>
        <v>89027</v>
      </c>
      <c r="C7154" s="1">
        <v>1.06344080437416E-2</v>
      </c>
      <c r="D7154" s="1">
        <v>1.5621741850281499E-2</v>
      </c>
      <c r="E7154" s="1">
        <v>1.6830946624511799E-2</v>
      </c>
      <c r="F7154" s="1">
        <v>1.13974182433125E-2</v>
      </c>
    </row>
    <row r="7155" spans="1:6" x14ac:dyDescent="0.25">
      <c r="A7155" s="2" t="str">
        <f t="shared" si="272"/>
        <v>29820</v>
      </c>
      <c r="B7155" s="2" t="str">
        <f>"89015"</f>
        <v>89015</v>
      </c>
      <c r="C7155" s="1">
        <v>1.7670668259248901E-2</v>
      </c>
      <c r="D7155" s="1">
        <v>1.34930840341975E-2</v>
      </c>
      <c r="E7155" s="1">
        <v>1.3204389064534101E-2</v>
      </c>
      <c r="F7155" s="1">
        <v>1.7059818291240501E-2</v>
      </c>
    </row>
    <row r="7156" spans="1:6" x14ac:dyDescent="0.25">
      <c r="A7156" s="2" t="str">
        <f t="shared" si="272"/>
        <v>29820</v>
      </c>
      <c r="B7156" s="2" t="str">
        <f>"89115"</f>
        <v>89115</v>
      </c>
      <c r="C7156" s="1">
        <v>2.3113992926645399E-2</v>
      </c>
      <c r="D7156" s="1">
        <v>1.9896434280947999E-2</v>
      </c>
      <c r="E7156" s="1">
        <v>4.1542681792821202E-2</v>
      </c>
      <c r="F7156" s="1">
        <v>2.3497417063267599E-2</v>
      </c>
    </row>
    <row r="7157" spans="1:6" x14ac:dyDescent="0.25">
      <c r="A7157" s="2" t="str">
        <f t="shared" si="272"/>
        <v>29820</v>
      </c>
      <c r="B7157" s="2" t="str">
        <f>"89053"</f>
        <v>89053</v>
      </c>
      <c r="C7157" s="1">
        <v>9.1675931411565499E-4</v>
      </c>
      <c r="D7157" s="1">
        <v>3.55355529297282E-3</v>
      </c>
      <c r="E7157" s="1">
        <v>4.64943276920215E-5</v>
      </c>
      <c r="F7157" s="1">
        <v>1.1582594519326801E-3</v>
      </c>
    </row>
    <row r="7158" spans="1:6" x14ac:dyDescent="0.25">
      <c r="A7158" s="2" t="str">
        <f t="shared" si="272"/>
        <v>29820</v>
      </c>
      <c r="B7158" s="2" t="str">
        <f>"89140"</f>
        <v>89140</v>
      </c>
      <c r="C7158" s="1">
        <v>7.8427964444576295E-4</v>
      </c>
      <c r="D7158" s="1">
        <v>3.0583165357614501E-3</v>
      </c>
      <c r="E7158" s="1">
        <v>4.64943276920215E-5</v>
      </c>
      <c r="F7158" s="1">
        <v>9.9305316646893307E-4</v>
      </c>
    </row>
    <row r="7159" spans="1:6" x14ac:dyDescent="0.25">
      <c r="A7159" s="2" t="str">
        <f t="shared" si="272"/>
        <v>29820</v>
      </c>
      <c r="B7159" s="2" t="str">
        <f>"89141"</f>
        <v>89141</v>
      </c>
      <c r="C7159" s="1">
        <v>1.48907148708959E-2</v>
      </c>
      <c r="D7159" s="1">
        <v>5.17828595259609E-3</v>
      </c>
      <c r="E7159" s="1">
        <v>1.1856053561465499E-3</v>
      </c>
      <c r="F7159" s="1">
        <v>1.33408614146196E-2</v>
      </c>
    </row>
    <row r="7160" spans="1:6" x14ac:dyDescent="0.25">
      <c r="A7160" s="2" t="str">
        <f t="shared" si="272"/>
        <v>29820</v>
      </c>
      <c r="B7160" s="2" t="str">
        <f>"89135"</f>
        <v>89135</v>
      </c>
      <c r="C7160" s="1">
        <v>1.5919816944891599E-2</v>
      </c>
      <c r="D7160" s="1">
        <v>1.14513102106067E-2</v>
      </c>
      <c r="E7160" s="1">
        <v>1.1530593267621301E-2</v>
      </c>
      <c r="F7160" s="1">
        <v>1.52815814053971E-2</v>
      </c>
    </row>
    <row r="7161" spans="1:6" x14ac:dyDescent="0.25">
      <c r="A7161" s="2" t="str">
        <f t="shared" si="272"/>
        <v>29820</v>
      </c>
      <c r="B7161" s="2" t="str">
        <f>"89170"</f>
        <v>89170</v>
      </c>
      <c r="C7161" s="1">
        <v>2.1249739015050699E-3</v>
      </c>
      <c r="D7161" s="1">
        <v>1.9288246333495501E-3</v>
      </c>
      <c r="E7161" s="1">
        <v>4.64943276920215E-5</v>
      </c>
      <c r="F7161" s="1">
        <v>2.0233231335093698E-3</v>
      </c>
    </row>
    <row r="7162" spans="1:6" x14ac:dyDescent="0.25">
      <c r="A7162" s="2" t="str">
        <f t="shared" si="272"/>
        <v>29820</v>
      </c>
      <c r="B7162" s="2" t="str">
        <f>"89122"</f>
        <v>89122</v>
      </c>
      <c r="C7162" s="1">
        <v>2.2064753942859901E-2</v>
      </c>
      <c r="D7162" s="1">
        <v>7.1244873844442799E-3</v>
      </c>
      <c r="E7162" s="1">
        <v>2.2108052817556199E-2</v>
      </c>
      <c r="F7162" s="1">
        <v>2.0505549388055901E-2</v>
      </c>
    </row>
    <row r="7163" spans="1:6" x14ac:dyDescent="0.25">
      <c r="A7163" s="2" t="str">
        <f t="shared" si="272"/>
        <v>29820</v>
      </c>
      <c r="B7163" s="2" t="str">
        <f>"89157"</f>
        <v>89157</v>
      </c>
      <c r="C7163" s="1">
        <v>1.4053443358582099E-3</v>
      </c>
      <c r="D7163" s="1">
        <v>1.58128866337665E-3</v>
      </c>
      <c r="E7163" s="1">
        <v>4.64943276920215E-5</v>
      </c>
      <c r="F7163" s="1">
        <v>1.3706675332432201E-3</v>
      </c>
    </row>
    <row r="7164" spans="1:6" x14ac:dyDescent="0.25">
      <c r="A7164" s="2" t="str">
        <f t="shared" si="272"/>
        <v>29820</v>
      </c>
      <c r="B7164" s="2" t="str">
        <f>"89114"</f>
        <v>89114</v>
      </c>
      <c r="C7164" s="1">
        <v>1.2082145873894101E-3</v>
      </c>
      <c r="D7164" s="1">
        <v>1.2858830888996999E-3</v>
      </c>
      <c r="E7164" s="1">
        <v>4.64943276920215E-5</v>
      </c>
      <c r="F7164" s="1">
        <v>1.17096762773759E-3</v>
      </c>
    </row>
    <row r="7165" spans="1:6" x14ac:dyDescent="0.25">
      <c r="A7165" s="2" t="str">
        <f t="shared" si="272"/>
        <v>29820</v>
      </c>
      <c r="B7165" s="2" t="str">
        <f>"89112"</f>
        <v>89112</v>
      </c>
      <c r="C7165" s="1">
        <v>2.0899992687122199E-3</v>
      </c>
      <c r="D7165" s="1">
        <v>2.08521581983735E-3</v>
      </c>
      <c r="E7165" s="1">
        <v>4.64943276920215E-5</v>
      </c>
      <c r="F7165" s="1">
        <v>2.0097072308612601E-3</v>
      </c>
    </row>
    <row r="7166" spans="1:6" x14ac:dyDescent="0.25">
      <c r="A7166" s="2" t="str">
        <f t="shared" si="272"/>
        <v>29820</v>
      </c>
      <c r="B7166" s="2" t="str">
        <f>"89109"</f>
        <v>89109</v>
      </c>
      <c r="C7166" s="1">
        <v>9.1612341170124005E-3</v>
      </c>
      <c r="D7166" s="1">
        <v>3.30332939459234E-2</v>
      </c>
      <c r="E7166" s="1">
        <v>1.40645341268365E-2</v>
      </c>
      <c r="F7166" s="1">
        <v>1.1846743030700199E-2</v>
      </c>
    </row>
    <row r="7167" spans="1:6" x14ac:dyDescent="0.25">
      <c r="A7167" s="2" t="str">
        <f t="shared" si="272"/>
        <v>29820</v>
      </c>
      <c r="B7167" s="2" t="str">
        <f>"89101"</f>
        <v>89101</v>
      </c>
      <c r="C7167" s="1">
        <v>1.8135936859129499E-2</v>
      </c>
      <c r="D7167" s="1">
        <v>2.37540835476471E-2</v>
      </c>
      <c r="E7167" s="1">
        <v>5.7257764552724501E-2</v>
      </c>
      <c r="F7167" s="1">
        <v>2.02504781451146E-2</v>
      </c>
    </row>
    <row r="7168" spans="1:6" x14ac:dyDescent="0.25">
      <c r="A7168" s="2" t="str">
        <f t="shared" si="272"/>
        <v>29820</v>
      </c>
      <c r="B7168" s="2" t="str">
        <f>"89103"</f>
        <v>89103</v>
      </c>
      <c r="C7168" s="1">
        <v>2.4817151559921601E-2</v>
      </c>
      <c r="D7168" s="1">
        <v>4.4267394175297098E-2</v>
      </c>
      <c r="E7168" s="1">
        <v>4.1751906267435301E-2</v>
      </c>
      <c r="F7168" s="1">
        <v>2.7510477437087701E-2</v>
      </c>
    </row>
    <row r="7169" spans="1:6" x14ac:dyDescent="0.25">
      <c r="A7169" s="2" t="str">
        <f t="shared" si="272"/>
        <v>29820</v>
      </c>
      <c r="B7169" s="2" t="str">
        <f>"89136"</f>
        <v>89136</v>
      </c>
      <c r="C7169" s="1">
        <v>2.2977273907546099E-3</v>
      </c>
      <c r="D7169" s="1">
        <v>3.1625773267533099E-3</v>
      </c>
      <c r="E7169" s="1">
        <v>4.64943276920215E-5</v>
      </c>
      <c r="F7169" s="1">
        <v>2.3001798206876301E-3</v>
      </c>
    </row>
    <row r="7170" spans="1:6" x14ac:dyDescent="0.25">
      <c r="A7170" s="2" t="str">
        <f t="shared" si="272"/>
        <v>29820</v>
      </c>
      <c r="B7170" s="2" t="str">
        <f>"89143"</f>
        <v>89143</v>
      </c>
      <c r="C7170" s="1">
        <v>4.5880359200077096E-3</v>
      </c>
      <c r="D7170" s="1">
        <v>2.9540557447695802E-4</v>
      </c>
      <c r="E7170" s="1">
        <v>3.2546029384415102E-4</v>
      </c>
      <c r="F7170" s="1">
        <v>3.97312039271894E-3</v>
      </c>
    </row>
    <row r="7171" spans="1:6" x14ac:dyDescent="0.25">
      <c r="A7171" s="2" t="str">
        <f t="shared" si="272"/>
        <v>29820</v>
      </c>
      <c r="B7171" s="2" t="str">
        <f>"89142"</f>
        <v>89142</v>
      </c>
      <c r="C7171" s="1">
        <v>1.1931648969149101E-2</v>
      </c>
      <c r="D7171" s="1">
        <v>7.29825536943073E-3</v>
      </c>
      <c r="E7171" s="1">
        <v>2.6966710061372499E-3</v>
      </c>
      <c r="F7171" s="1">
        <v>1.1086975662935599E-2</v>
      </c>
    </row>
    <row r="7172" spans="1:6" x14ac:dyDescent="0.25">
      <c r="A7172" s="2" t="str">
        <f t="shared" ref="A7172:A7203" si="273">"29820"</f>
        <v>29820</v>
      </c>
      <c r="B7172" s="2" t="str">
        <f>"89183"</f>
        <v>89183</v>
      </c>
      <c r="C7172" s="1">
        <v>1.6714694962910899E-2</v>
      </c>
      <c r="D7172" s="1">
        <v>1.02088691179537E-2</v>
      </c>
      <c r="E7172" s="1">
        <v>9.9032917984005903E-3</v>
      </c>
      <c r="F7172" s="1">
        <v>1.5769030720199501E-2</v>
      </c>
    </row>
    <row r="7173" spans="1:6" x14ac:dyDescent="0.25">
      <c r="A7173" s="2" t="str">
        <f t="shared" si="273"/>
        <v>29820</v>
      </c>
      <c r="B7173" s="2" t="str">
        <f>"89179"</f>
        <v>89179</v>
      </c>
      <c r="C7173" s="1">
        <v>4.2849224358029996E-3</v>
      </c>
      <c r="D7173" s="1">
        <v>3.47535969972892E-5</v>
      </c>
      <c r="E7173" s="1">
        <v>4.64943276920215E-5</v>
      </c>
      <c r="F7173" s="1">
        <v>3.6753859881469E-3</v>
      </c>
    </row>
    <row r="7174" spans="1:6" x14ac:dyDescent="0.25">
      <c r="A7174" s="2" t="str">
        <f t="shared" si="273"/>
        <v>29820</v>
      </c>
      <c r="B7174" s="2" t="str">
        <f>"89154"</f>
        <v>89154</v>
      </c>
      <c r="C7174" s="1">
        <v>0</v>
      </c>
      <c r="D7174" s="1">
        <v>8.6883992493223001E-6</v>
      </c>
      <c r="E7174" s="1">
        <v>0</v>
      </c>
      <c r="F7174" s="1">
        <v>9.07726843207434E-7</v>
      </c>
    </row>
    <row r="7175" spans="1:6" x14ac:dyDescent="0.25">
      <c r="A7175" s="2" t="str">
        <f t="shared" si="273"/>
        <v>29820</v>
      </c>
      <c r="B7175" s="2" t="str">
        <f>"89153"</f>
        <v>89153</v>
      </c>
      <c r="C7175" s="1">
        <v>0</v>
      </c>
      <c r="D7175" s="1">
        <v>0</v>
      </c>
      <c r="E7175" s="1">
        <v>2.3247163846010699E-5</v>
      </c>
      <c r="F7175" s="1">
        <v>9.07726843207434E-7</v>
      </c>
    </row>
    <row r="7176" spans="1:6" x14ac:dyDescent="0.25">
      <c r="A7176" s="2" t="str">
        <f t="shared" si="273"/>
        <v>29820</v>
      </c>
      <c r="B7176" s="2" t="str">
        <f>"89162"</f>
        <v>89162</v>
      </c>
      <c r="C7176" s="1">
        <v>1.4233615709333201E-3</v>
      </c>
      <c r="D7176" s="1">
        <v>1.33801348439563E-3</v>
      </c>
      <c r="E7176" s="1">
        <v>4.64943276920215E-5</v>
      </c>
      <c r="F7176" s="1">
        <v>1.3606825379679399E-3</v>
      </c>
    </row>
    <row r="7177" spans="1:6" x14ac:dyDescent="0.25">
      <c r="A7177" s="2" t="str">
        <f t="shared" si="273"/>
        <v>29820</v>
      </c>
      <c r="B7177" s="2" t="str">
        <f>"89161"</f>
        <v>89161</v>
      </c>
      <c r="C7177" s="1">
        <v>3.85780798078726E-4</v>
      </c>
      <c r="D7177" s="1">
        <v>8.6883992493222998E-5</v>
      </c>
      <c r="E7177" s="1">
        <v>2.3247163846010699E-5</v>
      </c>
      <c r="F7177" s="1">
        <v>3.4039756620278701E-4</v>
      </c>
    </row>
    <row r="7178" spans="1:6" x14ac:dyDescent="0.25">
      <c r="A7178" s="2" t="str">
        <f t="shared" si="273"/>
        <v>29820</v>
      </c>
      <c r="B7178" s="2" t="str">
        <f>"89158"</f>
        <v>89158</v>
      </c>
      <c r="C7178" s="1">
        <v>9.5279378426586596E-4</v>
      </c>
      <c r="D7178" s="1">
        <v>7.9933273093765202E-4</v>
      </c>
      <c r="E7178" s="1">
        <v>6.8579133345731801E-3</v>
      </c>
      <c r="F7178" s="1">
        <v>1.16733672036476E-3</v>
      </c>
    </row>
    <row r="7179" spans="1:6" x14ac:dyDescent="0.25">
      <c r="A7179" s="2" t="str">
        <f t="shared" si="273"/>
        <v>29820</v>
      </c>
      <c r="B7179" s="2" t="str">
        <f>"89146"</f>
        <v>89146</v>
      </c>
      <c r="C7179" s="1">
        <v>8.4691603226568803E-3</v>
      </c>
      <c r="D7179" s="1">
        <v>2.3215402794189099E-2</v>
      </c>
      <c r="E7179" s="1">
        <v>1.9760089269109101E-2</v>
      </c>
      <c r="F7179" s="1">
        <v>1.0450659145847099E-2</v>
      </c>
    </row>
    <row r="7180" spans="1:6" x14ac:dyDescent="0.25">
      <c r="A7180" s="2" t="str">
        <f t="shared" si="273"/>
        <v>29820</v>
      </c>
      <c r="B7180" s="2" t="str">
        <f>"89036"</f>
        <v>89036</v>
      </c>
      <c r="C7180" s="1">
        <v>1.8133817184414799E-3</v>
      </c>
      <c r="D7180" s="1">
        <v>1.6160422603739399E-3</v>
      </c>
      <c r="E7180" s="1">
        <v>4.64943276920215E-5</v>
      </c>
      <c r="F7180" s="1">
        <v>1.72377327525091E-3</v>
      </c>
    </row>
    <row r="7181" spans="1:6" x14ac:dyDescent="0.25">
      <c r="A7181" s="2" t="str">
        <f t="shared" si="273"/>
        <v>29820</v>
      </c>
      <c r="B7181" s="2" t="str">
        <f>"89018"</f>
        <v>89018</v>
      </c>
      <c r="C7181" s="1">
        <v>4.2393494294365496E-6</v>
      </c>
      <c r="D7181" s="1">
        <v>0</v>
      </c>
      <c r="E7181" s="1">
        <v>4.64943276920215E-5</v>
      </c>
      <c r="F7181" s="1">
        <v>5.4463610592445998E-6</v>
      </c>
    </row>
    <row r="7182" spans="1:6" x14ac:dyDescent="0.25">
      <c r="A7182" s="2" t="str">
        <f t="shared" si="273"/>
        <v>29820</v>
      </c>
      <c r="B7182" s="2" t="str">
        <f>"89111"</f>
        <v>89111</v>
      </c>
      <c r="C7182" s="1">
        <v>4.8752518438520398E-4</v>
      </c>
      <c r="D7182" s="1">
        <v>8.6015152568290798E-4</v>
      </c>
      <c r="E7182" s="1">
        <v>6.9741491538032304E-5</v>
      </c>
      <c r="F7182" s="1">
        <v>5.1014248588257798E-4</v>
      </c>
    </row>
    <row r="7183" spans="1:6" x14ac:dyDescent="0.25">
      <c r="A7183" s="2" t="str">
        <f t="shared" si="273"/>
        <v>29820</v>
      </c>
      <c r="B7183" s="2" t="str">
        <f>"89110"</f>
        <v>89110</v>
      </c>
      <c r="C7183" s="1">
        <v>2.4881801638720499E-2</v>
      </c>
      <c r="D7183" s="1">
        <v>9.0011816222978994E-3</v>
      </c>
      <c r="E7183" s="1">
        <v>2.6803979914450399E-2</v>
      </c>
      <c r="F7183" s="1">
        <v>2.3297717157762E-2</v>
      </c>
    </row>
    <row r="7184" spans="1:6" x14ac:dyDescent="0.25">
      <c r="A7184" s="2" t="str">
        <f t="shared" si="273"/>
        <v>29820</v>
      </c>
      <c r="B7184" s="2" t="str">
        <f>"89012"</f>
        <v>89012</v>
      </c>
      <c r="C7184" s="1">
        <v>1.7042184706334899E-2</v>
      </c>
      <c r="D7184" s="1">
        <v>1.19639257663168E-2</v>
      </c>
      <c r="E7184" s="1">
        <v>5.9512739445787598E-3</v>
      </c>
      <c r="F7184" s="1">
        <v>1.6078565573733199E-2</v>
      </c>
    </row>
    <row r="7185" spans="1:6" x14ac:dyDescent="0.25">
      <c r="A7185" s="2" t="str">
        <f t="shared" si="273"/>
        <v>29820</v>
      </c>
      <c r="B7185" s="2" t="str">
        <f>"89011"</f>
        <v>89011</v>
      </c>
      <c r="C7185" s="1">
        <v>1.5822311908014499E-2</v>
      </c>
      <c r="D7185" s="1">
        <v>1.0530339890178601E-2</v>
      </c>
      <c r="E7185" s="1">
        <v>2.3084433699088702E-2</v>
      </c>
      <c r="F7185" s="1">
        <v>1.55529917315161E-2</v>
      </c>
    </row>
    <row r="7186" spans="1:6" x14ac:dyDescent="0.25">
      <c r="A7186" s="2" t="str">
        <f t="shared" si="273"/>
        <v>29820</v>
      </c>
      <c r="B7186" s="2" t="str">
        <f>"89002"</f>
        <v>89002</v>
      </c>
      <c r="C7186" s="1">
        <v>1.4566404639543999E-2</v>
      </c>
      <c r="D7186" s="1">
        <v>2.5543893793007499E-3</v>
      </c>
      <c r="E7186" s="1">
        <v>1.37158266691463E-2</v>
      </c>
      <c r="F7186" s="1">
        <v>1.32782282624383E-2</v>
      </c>
    </row>
    <row r="7187" spans="1:6" x14ac:dyDescent="0.25">
      <c r="A7187" s="2" t="str">
        <f t="shared" si="273"/>
        <v>29820</v>
      </c>
      <c r="B7187" s="2" t="str">
        <f>"89074"</f>
        <v>89074</v>
      </c>
      <c r="C7187" s="1">
        <v>2.40233333792596E-2</v>
      </c>
      <c r="D7187" s="1">
        <v>2.2233613679015701E-2</v>
      </c>
      <c r="E7187" s="1">
        <v>1.13446159568532E-2</v>
      </c>
      <c r="F7187" s="1">
        <v>2.3341288046235899E-2</v>
      </c>
    </row>
    <row r="7188" spans="1:6" x14ac:dyDescent="0.25">
      <c r="A7188" s="2" t="str">
        <f t="shared" si="273"/>
        <v>29820</v>
      </c>
      <c r="B7188" s="2" t="str">
        <f>"89137"</f>
        <v>89137</v>
      </c>
      <c r="C7188" s="1">
        <v>1.0471193090708199E-3</v>
      </c>
      <c r="D7188" s="1">
        <v>3.9184680614443501E-3</v>
      </c>
      <c r="E7188" s="1">
        <v>4.64943276920215E-5</v>
      </c>
      <c r="F7188" s="1">
        <v>1.3080343810619099E-3</v>
      </c>
    </row>
    <row r="7189" spans="1:6" x14ac:dyDescent="0.25">
      <c r="A7189" s="2" t="str">
        <f t="shared" si="273"/>
        <v>29820</v>
      </c>
      <c r="B7189" s="2" t="str">
        <f>"89133"</f>
        <v>89133</v>
      </c>
      <c r="C7189" s="1">
        <v>2.4524636449290401E-3</v>
      </c>
      <c r="D7189" s="1">
        <v>4.7178007923820101E-3</v>
      </c>
      <c r="E7189" s="1">
        <v>4.64943276920215E-5</v>
      </c>
      <c r="F7189" s="1">
        <v>2.5951910447300501E-3</v>
      </c>
    </row>
    <row r="7190" spans="1:6" x14ac:dyDescent="0.25">
      <c r="A7190" s="2" t="str">
        <f t="shared" si="273"/>
        <v>29820</v>
      </c>
      <c r="B7190" s="2" t="str">
        <f>"89178"</f>
        <v>89178</v>
      </c>
      <c r="C7190" s="1">
        <v>1.59940055599067E-2</v>
      </c>
      <c r="D7190" s="1">
        <v>1.26850629040105E-3</v>
      </c>
      <c r="E7190" s="1">
        <v>1.4250511437604601E-2</v>
      </c>
      <c r="F7190" s="1">
        <v>1.43874704648378E-2</v>
      </c>
    </row>
    <row r="7191" spans="1:6" x14ac:dyDescent="0.25">
      <c r="A7191" s="2" t="str">
        <f t="shared" si="273"/>
        <v>29820</v>
      </c>
      <c r="B7191" s="2" t="str">
        <f>"89127"</f>
        <v>89127</v>
      </c>
      <c r="C7191" s="1">
        <v>1.4371394565789899E-3</v>
      </c>
      <c r="D7191" s="1">
        <v>1.1816222979078299E-3</v>
      </c>
      <c r="E7191" s="1">
        <v>4.64943276920215E-5</v>
      </c>
      <c r="F7191" s="1">
        <v>1.3561439037518999E-3</v>
      </c>
    </row>
    <row r="7192" spans="1:6" x14ac:dyDescent="0.25">
      <c r="A7192" s="2" t="str">
        <f t="shared" si="273"/>
        <v>29820</v>
      </c>
      <c r="B7192" s="2" t="str">
        <f>"89124"</f>
        <v>89124</v>
      </c>
      <c r="C7192" s="1">
        <v>9.5491345898058395E-4</v>
      </c>
      <c r="D7192" s="1">
        <v>4.2573156321679199E-4</v>
      </c>
      <c r="E7192" s="1">
        <v>3.9520178538218298E-4</v>
      </c>
      <c r="F7192" s="1">
        <v>8.7777185738158897E-4</v>
      </c>
    </row>
    <row r="7193" spans="1:6" x14ac:dyDescent="0.25">
      <c r="A7193" s="2" t="str">
        <f t="shared" si="273"/>
        <v>29820</v>
      </c>
      <c r="B7193" s="2" t="str">
        <f>"89121"</f>
        <v>89121</v>
      </c>
      <c r="C7193" s="1">
        <v>2.83400509357833E-2</v>
      </c>
      <c r="D7193" s="1">
        <v>2.4718495864321899E-2</v>
      </c>
      <c r="E7193" s="1">
        <v>2.6199553654454099E-2</v>
      </c>
      <c r="F7193" s="1">
        <v>2.7878106808586701E-2</v>
      </c>
    </row>
    <row r="7194" spans="1:6" x14ac:dyDescent="0.25">
      <c r="A7194" s="2" t="str">
        <f t="shared" si="273"/>
        <v>29820</v>
      </c>
      <c r="B7194" s="2" t="str">
        <f>"89169"</f>
        <v>89169</v>
      </c>
      <c r="C7194" s="1">
        <v>1.2645979348009199E-2</v>
      </c>
      <c r="D7194" s="1">
        <v>2.47445610620699E-2</v>
      </c>
      <c r="E7194" s="1">
        <v>1.7156406918355901E-2</v>
      </c>
      <c r="F7194" s="1">
        <v>1.40861051528929E-2</v>
      </c>
    </row>
    <row r="7195" spans="1:6" x14ac:dyDescent="0.25">
      <c r="A7195" s="2" t="str">
        <f t="shared" si="273"/>
        <v>29820</v>
      </c>
      <c r="B7195" s="2" t="str">
        <f>"89120"</f>
        <v>89120</v>
      </c>
      <c r="C7195" s="1">
        <v>1.06937589357537E-2</v>
      </c>
      <c r="D7195" s="1">
        <v>3.3962952665600801E-2</v>
      </c>
      <c r="E7195" s="1">
        <v>2.1457132229867899E-2</v>
      </c>
      <c r="F7195" s="1">
        <v>1.35450999543413E-2</v>
      </c>
    </row>
    <row r="7196" spans="1:6" x14ac:dyDescent="0.25">
      <c r="A7196" s="2" t="str">
        <f t="shared" si="273"/>
        <v>29820</v>
      </c>
      <c r="B7196" s="2" t="str">
        <f>"89032"</f>
        <v>89032</v>
      </c>
      <c r="C7196" s="1">
        <v>1.6868371379727999E-2</v>
      </c>
      <c r="D7196" s="1">
        <v>1.27024397025092E-2</v>
      </c>
      <c r="E7196" s="1">
        <v>1.2809187279151899E-2</v>
      </c>
      <c r="F7196" s="1">
        <v>1.6274634571865999E-2</v>
      </c>
    </row>
    <row r="7197" spans="1:6" x14ac:dyDescent="0.25">
      <c r="A7197" s="2" t="str">
        <f t="shared" si="273"/>
        <v>29820</v>
      </c>
      <c r="B7197" s="2" t="str">
        <f>"89016"</f>
        <v>89016</v>
      </c>
      <c r="C7197" s="1">
        <v>6.0198761897999097E-4</v>
      </c>
      <c r="D7197" s="1">
        <v>1.87669423785361E-3</v>
      </c>
      <c r="E7197" s="1">
        <v>4.64943276920215E-5</v>
      </c>
      <c r="F7197" s="1">
        <v>7.1347329876104298E-4</v>
      </c>
    </row>
    <row r="7198" spans="1:6" x14ac:dyDescent="0.25">
      <c r="A7198" s="2" t="str">
        <f t="shared" si="273"/>
        <v>29820</v>
      </c>
      <c r="B7198" s="2" t="str">
        <f>"89024"</f>
        <v>89024</v>
      </c>
      <c r="C7198" s="1">
        <v>2.8944158229478102E-3</v>
      </c>
      <c r="D7198" s="1">
        <v>1.5291582678807201E-3</v>
      </c>
      <c r="E7198" s="1">
        <v>4.64943276920215E-5</v>
      </c>
      <c r="F7198" s="1">
        <v>2.6405773868904202E-3</v>
      </c>
    </row>
    <row r="7199" spans="1:6" x14ac:dyDescent="0.25">
      <c r="A7199" s="2" t="str">
        <f t="shared" si="273"/>
        <v>29820</v>
      </c>
      <c r="B7199" s="2" t="str">
        <f>"89031"</f>
        <v>89031</v>
      </c>
      <c r="C7199" s="1">
        <v>2.5758287133256501E-2</v>
      </c>
      <c r="D7199" s="1">
        <v>1.5517481059289601E-2</v>
      </c>
      <c r="E7199" s="1">
        <v>6.6951831876510999E-3</v>
      </c>
      <c r="F7199" s="1">
        <v>2.3944018670125699E-2</v>
      </c>
    </row>
    <row r="7200" spans="1:6" x14ac:dyDescent="0.25">
      <c r="A7200" s="2" t="str">
        <f t="shared" si="273"/>
        <v>29820</v>
      </c>
      <c r="B7200" s="2" t="str">
        <f>"89116"</f>
        <v>89116</v>
      </c>
      <c r="C7200" s="1">
        <v>1.60353392168437E-3</v>
      </c>
      <c r="D7200" s="1">
        <v>1.38145548064224E-3</v>
      </c>
      <c r="E7200" s="1">
        <v>4.64943276920215E-5</v>
      </c>
      <c r="F7200" s="1">
        <v>1.5195347355292401E-3</v>
      </c>
    </row>
    <row r="7201" spans="1:6" x14ac:dyDescent="0.25">
      <c r="A7201" s="2" t="str">
        <f t="shared" si="273"/>
        <v>29820</v>
      </c>
      <c r="B7201" s="2" t="str">
        <f>"89117"</f>
        <v>89117</v>
      </c>
      <c r="C7201" s="1">
        <v>2.7298230813499299E-2</v>
      </c>
      <c r="D7201" s="1">
        <v>3.5361784944741702E-2</v>
      </c>
      <c r="E7201" s="1">
        <v>2.4363027710619298E-2</v>
      </c>
      <c r="F7201" s="1">
        <v>2.80260662840295E-2</v>
      </c>
    </row>
    <row r="7202" spans="1:6" x14ac:dyDescent="0.25">
      <c r="A7202" s="2" t="str">
        <f t="shared" si="273"/>
        <v>29820</v>
      </c>
      <c r="B7202" s="2" t="str">
        <f>"89102"</f>
        <v>89102</v>
      </c>
      <c r="C7202" s="1">
        <v>1.8782437647118601E-2</v>
      </c>
      <c r="D7202" s="1">
        <v>5.8750955723917399E-2</v>
      </c>
      <c r="E7202" s="1">
        <v>4.0566300911288801E-2</v>
      </c>
      <c r="F7202" s="1">
        <v>2.3808767370487802E-2</v>
      </c>
    </row>
    <row r="7203" spans="1:6" x14ac:dyDescent="0.25">
      <c r="A7203" s="2" t="str">
        <f t="shared" si="273"/>
        <v>29820</v>
      </c>
      <c r="B7203" s="2" t="str">
        <f>"89006"</f>
        <v>89006</v>
      </c>
      <c r="C7203" s="1">
        <v>1.5187469330956401E-3</v>
      </c>
      <c r="D7203" s="1">
        <v>2.5283241815527899E-3</v>
      </c>
      <c r="E7203" s="1">
        <v>4.64943276920215E-5</v>
      </c>
      <c r="F7203" s="1">
        <v>1.56673653137603E-3</v>
      </c>
    </row>
    <row r="7204" spans="1:6" x14ac:dyDescent="0.25">
      <c r="A7204" s="2" t="str">
        <f t="shared" ref="A7204:A7235" si="274">"29820"</f>
        <v>29820</v>
      </c>
      <c r="B7204" s="2" t="str">
        <f>"89005"</f>
        <v>89005</v>
      </c>
      <c r="C7204" s="1">
        <v>7.6997184012141404E-3</v>
      </c>
      <c r="D7204" s="1">
        <v>9.6180579689997894E-3</v>
      </c>
      <c r="E7204" s="1">
        <v>9.1826297191742595E-3</v>
      </c>
      <c r="F7204" s="1">
        <v>7.95804123439957E-3</v>
      </c>
    </row>
    <row r="7205" spans="1:6" x14ac:dyDescent="0.25">
      <c r="A7205" s="2" t="str">
        <f t="shared" si="274"/>
        <v>29820</v>
      </c>
      <c r="B7205" s="2" t="str">
        <f>"89081"</f>
        <v>89081</v>
      </c>
      <c r="C7205" s="1">
        <v>1.3722774103086101E-2</v>
      </c>
      <c r="D7205" s="1">
        <v>8.3756168763467007E-3</v>
      </c>
      <c r="E7205" s="1">
        <v>7.3461037753394E-3</v>
      </c>
      <c r="F7205" s="1">
        <v>1.29151375251553E-2</v>
      </c>
    </row>
    <row r="7206" spans="1:6" x14ac:dyDescent="0.25">
      <c r="A7206" s="2" t="str">
        <f t="shared" si="274"/>
        <v>29820</v>
      </c>
      <c r="B7206" s="2" t="str">
        <f>"89145"</f>
        <v>89145</v>
      </c>
      <c r="C7206" s="1">
        <v>1.1278789157015899E-2</v>
      </c>
      <c r="D7206" s="1">
        <v>5.4823799263223703E-3</v>
      </c>
      <c r="E7206" s="1">
        <v>9.5778315045564402E-3</v>
      </c>
      <c r="F7206" s="1">
        <v>1.06067881628788E-2</v>
      </c>
    </row>
    <row r="7207" spans="1:6" x14ac:dyDescent="0.25">
      <c r="A7207" s="2" t="str">
        <f t="shared" si="274"/>
        <v>29820</v>
      </c>
      <c r="B7207" s="2" t="str">
        <f>"89144"</f>
        <v>89144</v>
      </c>
      <c r="C7207" s="1">
        <v>8.9768224168319099E-3</v>
      </c>
      <c r="D7207" s="1">
        <v>3.2668381177451801E-3</v>
      </c>
      <c r="E7207" s="1">
        <v>1.1414357448391199E-2</v>
      </c>
      <c r="F7207" s="1">
        <v>8.4754455350278101E-3</v>
      </c>
    </row>
    <row r="7208" spans="1:6" x14ac:dyDescent="0.25">
      <c r="A7208" s="2" t="str">
        <f t="shared" si="274"/>
        <v>29820</v>
      </c>
      <c r="B7208" s="2" t="str">
        <f>"89131"</f>
        <v>89131</v>
      </c>
      <c r="C7208" s="1">
        <v>1.8779258135046498E-2</v>
      </c>
      <c r="D7208" s="1">
        <v>1.08431222631542E-2</v>
      </c>
      <c r="E7208" s="1">
        <v>2.6966710061372499E-3</v>
      </c>
      <c r="F7208" s="1">
        <v>1.7322151348927398E-2</v>
      </c>
    </row>
    <row r="7209" spans="1:6" x14ac:dyDescent="0.25">
      <c r="A7209" s="2" t="str">
        <f t="shared" si="274"/>
        <v>29820</v>
      </c>
      <c r="B7209" s="2" t="str">
        <f>"89130"</f>
        <v>89130</v>
      </c>
      <c r="C7209" s="1">
        <v>1.37672872720952E-2</v>
      </c>
      <c r="D7209" s="1">
        <v>1.9905122680197399E-2</v>
      </c>
      <c r="E7209" s="1">
        <v>1.03682350753208E-2</v>
      </c>
      <c r="F7209" s="1">
        <v>1.42758200631233E-2</v>
      </c>
    </row>
    <row r="7210" spans="1:6" x14ac:dyDescent="0.25">
      <c r="A7210" s="2" t="str">
        <f t="shared" si="274"/>
        <v>29820</v>
      </c>
      <c r="B7210" s="2" t="str">
        <f>"89199"</f>
        <v>89199</v>
      </c>
      <c r="C7210" s="1">
        <v>0</v>
      </c>
      <c r="D7210" s="1">
        <v>4.08354764718148E-4</v>
      </c>
      <c r="E7210" s="1">
        <v>4.64943276920215E-5</v>
      </c>
      <c r="F7210" s="1">
        <v>4.4478615317164202E-5</v>
      </c>
    </row>
    <row r="7211" spans="1:6" x14ac:dyDescent="0.25">
      <c r="A7211" s="2" t="str">
        <f t="shared" si="274"/>
        <v>29820</v>
      </c>
      <c r="B7211" s="2" t="str">
        <f>"89193"</f>
        <v>89193</v>
      </c>
      <c r="C7211" s="1">
        <v>1.4329001071495501E-3</v>
      </c>
      <c r="D7211" s="1">
        <v>1.0365260304441499E-2</v>
      </c>
      <c r="E7211" s="1">
        <v>4.64943276920215E-5</v>
      </c>
      <c r="F7211" s="1">
        <v>2.3119802696493301E-3</v>
      </c>
    </row>
    <row r="7212" spans="1:6" x14ac:dyDescent="0.25">
      <c r="A7212" s="2" t="str">
        <f t="shared" si="274"/>
        <v>29820</v>
      </c>
      <c r="B7212" s="2" t="str">
        <f>"89125"</f>
        <v>89125</v>
      </c>
      <c r="C7212" s="1">
        <v>2.1599485342979198E-3</v>
      </c>
      <c r="D7212" s="1">
        <v>1.3901438798915599E-3</v>
      </c>
      <c r="E7212" s="1">
        <v>2.3247163846010699E-5</v>
      </c>
      <c r="F7212" s="1">
        <v>1.99609132821314E-3</v>
      </c>
    </row>
    <row r="7213" spans="1:6" x14ac:dyDescent="0.25">
      <c r="A7213" s="2" t="str">
        <f t="shared" si="274"/>
        <v>29820</v>
      </c>
      <c r="B7213" s="2" t="str">
        <f>"89128"</f>
        <v>89128</v>
      </c>
      <c r="C7213" s="1">
        <v>1.7607078017807299E-2</v>
      </c>
      <c r="D7213" s="1">
        <v>1.7107458121915602E-2</v>
      </c>
      <c r="E7213" s="1">
        <v>3.54519248651664E-2</v>
      </c>
      <c r="F7213" s="1">
        <v>1.82516636363718E-2</v>
      </c>
    </row>
    <row r="7214" spans="1:6" x14ac:dyDescent="0.25">
      <c r="A7214" s="2" t="str">
        <f t="shared" si="274"/>
        <v>29820</v>
      </c>
      <c r="B7214" s="2" t="str">
        <f>"89160"</f>
        <v>89160</v>
      </c>
      <c r="C7214" s="1">
        <v>1.0397004475693099E-3</v>
      </c>
      <c r="D7214" s="1">
        <v>9.4703551817613095E-4</v>
      </c>
      <c r="E7214" s="1">
        <v>4.64943276920215E-5</v>
      </c>
      <c r="F7214" s="1">
        <v>9.9123771278251797E-4</v>
      </c>
    </row>
    <row r="7215" spans="1:6" x14ac:dyDescent="0.25">
      <c r="A7215" s="2" t="str">
        <f t="shared" si="274"/>
        <v>29820</v>
      </c>
      <c r="B7215" s="2" t="str">
        <f>"89019"</f>
        <v>89019</v>
      </c>
      <c r="C7215" s="1">
        <v>1.9426818760393001E-3</v>
      </c>
      <c r="D7215" s="1">
        <v>1.13818030166122E-3</v>
      </c>
      <c r="E7215" s="1">
        <v>1.85977310768086E-4</v>
      </c>
      <c r="F7215" s="1">
        <v>1.7900373348050599E-3</v>
      </c>
    </row>
    <row r="7216" spans="1:6" x14ac:dyDescent="0.25">
      <c r="A7216" s="2" t="str">
        <f t="shared" si="274"/>
        <v>29820</v>
      </c>
      <c r="B7216" s="2" t="str">
        <f>"89087"</f>
        <v>89087</v>
      </c>
      <c r="C7216" s="1">
        <v>0</v>
      </c>
      <c r="D7216" s="1">
        <v>0</v>
      </c>
      <c r="E7216" s="1">
        <v>2.3247163846010699E-5</v>
      </c>
      <c r="F7216" s="1">
        <v>9.07726843207434E-7</v>
      </c>
    </row>
    <row r="7217" spans="1:6" x14ac:dyDescent="0.25">
      <c r="A7217" s="2" t="str">
        <f t="shared" si="274"/>
        <v>29820</v>
      </c>
      <c r="B7217" s="2" t="str">
        <f>"89085"</f>
        <v>89085</v>
      </c>
      <c r="C7217" s="1">
        <v>1.4530370169393799E-3</v>
      </c>
      <c r="D7217" s="1">
        <v>8.6883992493223001E-6</v>
      </c>
      <c r="E7217" s="1">
        <v>2.3247163846010699E-5</v>
      </c>
      <c r="F7217" s="1">
        <v>1.2463089557238E-3</v>
      </c>
    </row>
    <row r="7218" spans="1:6" x14ac:dyDescent="0.25">
      <c r="A7218" s="2" t="str">
        <f t="shared" si="274"/>
        <v>29820</v>
      </c>
      <c r="B7218" s="2" t="str">
        <f>"89086"</f>
        <v>89086</v>
      </c>
      <c r="C7218" s="1">
        <v>2.2256584504541902E-3</v>
      </c>
      <c r="D7218" s="1">
        <v>9.0359352192951898E-4</v>
      </c>
      <c r="E7218" s="1">
        <v>6.9741491538032302E-4</v>
      </c>
      <c r="F7218" s="1">
        <v>2.0278617677253999E-3</v>
      </c>
    </row>
    <row r="7219" spans="1:6" x14ac:dyDescent="0.25">
      <c r="A7219" s="2" t="str">
        <f t="shared" si="274"/>
        <v>29820</v>
      </c>
      <c r="B7219" s="2" t="str">
        <f>"89107"</f>
        <v>89107</v>
      </c>
      <c r="C7219" s="1">
        <v>1.4219837823687499E-2</v>
      </c>
      <c r="D7219" s="1">
        <v>7.8630013206366801E-3</v>
      </c>
      <c r="E7219" s="1">
        <v>1.2855681606843901E-2</v>
      </c>
      <c r="F7219" s="1">
        <v>1.3502436792710499E-2</v>
      </c>
    </row>
    <row r="7220" spans="1:6" x14ac:dyDescent="0.25">
      <c r="A7220" s="2" t="str">
        <f t="shared" si="274"/>
        <v>29820</v>
      </c>
      <c r="B7220" s="2" t="str">
        <f>"89007"</f>
        <v>89007</v>
      </c>
      <c r="C7220" s="1">
        <v>0</v>
      </c>
      <c r="D7220" s="1">
        <v>0</v>
      </c>
      <c r="E7220" s="1">
        <v>2.78965966152129E-4</v>
      </c>
      <c r="F7220" s="1">
        <v>1.08927221184892E-5</v>
      </c>
    </row>
    <row r="7221" spans="1:6" x14ac:dyDescent="0.25">
      <c r="A7221" s="2" t="str">
        <f t="shared" si="274"/>
        <v>29820</v>
      </c>
      <c r="B7221" s="2" t="str">
        <f>"89077"</f>
        <v>89077</v>
      </c>
      <c r="C7221" s="1">
        <v>7.7898045765896701E-4</v>
      </c>
      <c r="D7221" s="1">
        <v>1.8158754431083599E-3</v>
      </c>
      <c r="E7221" s="1">
        <v>4.64943276920215E-5</v>
      </c>
      <c r="F7221" s="1">
        <v>8.5870959367423296E-4</v>
      </c>
    </row>
    <row r="7222" spans="1:6" x14ac:dyDescent="0.25">
      <c r="A7222" s="2" t="str">
        <f t="shared" si="274"/>
        <v>29820</v>
      </c>
      <c r="B7222" s="2" t="str">
        <f>"89132"</f>
        <v>89132</v>
      </c>
      <c r="C7222" s="1">
        <v>5.4899575111203404E-4</v>
      </c>
      <c r="D7222" s="1">
        <v>8.3408632793494097E-4</v>
      </c>
      <c r="E7222" s="1">
        <v>4.64943276920215E-5</v>
      </c>
      <c r="F7222" s="1">
        <v>5.5915973541577899E-4</v>
      </c>
    </row>
    <row r="7223" spans="1:6" x14ac:dyDescent="0.25">
      <c r="A7223" s="2" t="str">
        <f t="shared" si="274"/>
        <v>29820</v>
      </c>
      <c r="B7223" s="2" t="str">
        <f>"89126"</f>
        <v>89126</v>
      </c>
      <c r="C7223" s="1">
        <v>2.0825804072107002E-3</v>
      </c>
      <c r="D7223" s="1">
        <v>3.2060193229999298E-3</v>
      </c>
      <c r="E7223" s="1">
        <v>4.64943276920215E-5</v>
      </c>
      <c r="F7223" s="1">
        <v>2.1204499057325601E-3</v>
      </c>
    </row>
    <row r="7224" spans="1:6" x14ac:dyDescent="0.25">
      <c r="A7224" s="2" t="str">
        <f t="shared" si="274"/>
        <v>29820</v>
      </c>
      <c r="B7224" s="2" t="str">
        <f>"89165"</f>
        <v>89165</v>
      </c>
      <c r="C7224" s="1">
        <v>0</v>
      </c>
      <c r="D7224" s="1">
        <v>2.8671717522763598E-4</v>
      </c>
      <c r="E7224" s="1">
        <v>2.3247163846010699E-5</v>
      </c>
      <c r="F7224" s="1">
        <v>3.0862712669052702E-5</v>
      </c>
    </row>
    <row r="7225" spans="1:6" x14ac:dyDescent="0.25">
      <c r="A7225" s="2" t="str">
        <f t="shared" si="274"/>
        <v>29820</v>
      </c>
      <c r="B7225" s="2" t="str">
        <f>"89150"</f>
        <v>89150</v>
      </c>
      <c r="C7225" s="1">
        <v>0</v>
      </c>
      <c r="D7225" s="1">
        <v>0</v>
      </c>
      <c r="E7225" s="1">
        <v>2.3247163846010699E-5</v>
      </c>
      <c r="F7225" s="1">
        <v>9.07726843207434E-7</v>
      </c>
    </row>
    <row r="7226" spans="1:6" x14ac:dyDescent="0.25">
      <c r="A7226" s="2" t="str">
        <f t="shared" si="274"/>
        <v>29820</v>
      </c>
      <c r="B7226" s="2" t="str">
        <f>"89149"</f>
        <v>89149</v>
      </c>
      <c r="C7226" s="1">
        <v>1.7018868284473E-2</v>
      </c>
      <c r="D7226" s="1">
        <v>8.9229860290539996E-3</v>
      </c>
      <c r="E7226" s="1">
        <v>1.43435000929886E-2</v>
      </c>
      <c r="F7226" s="1">
        <v>1.6068580578457999E-2</v>
      </c>
    </row>
    <row r="7227" spans="1:6" x14ac:dyDescent="0.25">
      <c r="A7227" s="2" t="str">
        <f t="shared" si="274"/>
        <v>29820</v>
      </c>
      <c r="B7227" s="2" t="str">
        <f>"89148"</f>
        <v>89148</v>
      </c>
      <c r="C7227" s="1">
        <v>2.6013707936379998E-2</v>
      </c>
      <c r="D7227" s="1">
        <v>1.48745395148397E-2</v>
      </c>
      <c r="E7227" s="1">
        <v>9.6940673237864896E-3</v>
      </c>
      <c r="F7227" s="1">
        <v>2.4212705815715101E-2</v>
      </c>
    </row>
    <row r="7228" spans="1:6" x14ac:dyDescent="0.25">
      <c r="A7228" s="2" t="str">
        <f t="shared" si="274"/>
        <v>29820</v>
      </c>
      <c r="B7228" s="2" t="str">
        <f>"89034"</f>
        <v>89034</v>
      </c>
      <c r="C7228" s="1">
        <v>1.84199732709018E-3</v>
      </c>
      <c r="D7228" s="1">
        <v>5.2130395495933797E-5</v>
      </c>
      <c r="E7228" s="1">
        <v>2.3247163846010699E-5</v>
      </c>
      <c r="F7228" s="1">
        <v>1.5839833413969699E-3</v>
      </c>
    </row>
    <row r="7229" spans="1:6" x14ac:dyDescent="0.25">
      <c r="A7229" s="2" t="str">
        <f t="shared" si="274"/>
        <v>29820</v>
      </c>
      <c r="B7229" s="2" t="str">
        <f>"89021"</f>
        <v>89021</v>
      </c>
      <c r="C7229" s="1">
        <v>0</v>
      </c>
      <c r="D7229" s="1">
        <v>0</v>
      </c>
      <c r="E7229" s="1">
        <v>1.3227636228380101E-2</v>
      </c>
      <c r="F7229" s="1">
        <v>5.1649657378502998E-4</v>
      </c>
    </row>
    <row r="7230" spans="1:6" x14ac:dyDescent="0.25">
      <c r="A7230" s="2" t="str">
        <f t="shared" si="274"/>
        <v>29820</v>
      </c>
      <c r="B7230" s="2" t="str">
        <f>"89030"</f>
        <v>89030</v>
      </c>
      <c r="C7230" s="1">
        <v>1.7708822404113801E-2</v>
      </c>
      <c r="D7230" s="1">
        <v>1.7663515673872199E-2</v>
      </c>
      <c r="E7230" s="1">
        <v>5.9605728101171603E-2</v>
      </c>
      <c r="F7230" s="1">
        <v>1.9340028121377601E-2</v>
      </c>
    </row>
    <row r="7231" spans="1:6" x14ac:dyDescent="0.25">
      <c r="A7231" s="2" t="str">
        <f t="shared" si="274"/>
        <v>29820</v>
      </c>
      <c r="B7231" s="2" t="str">
        <f>"89029"</f>
        <v>89029</v>
      </c>
      <c r="C7231" s="1">
        <v>5.6330355543638203E-3</v>
      </c>
      <c r="D7231" s="1">
        <v>2.2155418085771802E-3</v>
      </c>
      <c r="E7231" s="1">
        <v>4.9051515715082704E-3</v>
      </c>
      <c r="F7231" s="1">
        <v>5.2475688805821699E-3</v>
      </c>
    </row>
    <row r="7232" spans="1:6" x14ac:dyDescent="0.25">
      <c r="A7232" s="2" t="str">
        <f t="shared" si="274"/>
        <v>29820</v>
      </c>
      <c r="B7232" s="2" t="str">
        <f>"89113"</f>
        <v>89113</v>
      </c>
      <c r="C7232" s="1">
        <v>1.55912673641103E-2</v>
      </c>
      <c r="D7232" s="1">
        <v>1.2963091679988799E-2</v>
      </c>
      <c r="E7232" s="1">
        <v>8.9501580807141504E-3</v>
      </c>
      <c r="F7232" s="1">
        <v>1.5057372875124901E-2</v>
      </c>
    </row>
    <row r="7233" spans="1:6" x14ac:dyDescent="0.25">
      <c r="A7233" s="2" t="str">
        <f t="shared" si="274"/>
        <v>29820</v>
      </c>
      <c r="B7233" s="2" t="str">
        <f>"89105"</f>
        <v>89105</v>
      </c>
      <c r="C7233" s="1">
        <v>1.47529360144392E-3</v>
      </c>
      <c r="D7233" s="1">
        <v>3.12782372975602E-3</v>
      </c>
      <c r="E7233" s="1">
        <v>4.64943276920215E-5</v>
      </c>
      <c r="F7233" s="1">
        <v>1.5921528829858399E-3</v>
      </c>
    </row>
    <row r="7234" spans="1:6" x14ac:dyDescent="0.25">
      <c r="A7234" s="2" t="str">
        <f t="shared" si="274"/>
        <v>29820</v>
      </c>
      <c r="B7234" s="2" t="str">
        <f>"89104"</f>
        <v>89104</v>
      </c>
      <c r="C7234" s="1">
        <v>1.7591180457446998E-2</v>
      </c>
      <c r="D7234" s="1">
        <v>2.5569958990755499E-2</v>
      </c>
      <c r="E7234" s="1">
        <v>1.8342012274502498E-2</v>
      </c>
      <c r="F7234" s="1">
        <v>1.8454086722407101E-2</v>
      </c>
    </row>
    <row r="7235" spans="1:6" x14ac:dyDescent="0.25">
      <c r="A7235" s="2" t="str">
        <f t="shared" si="274"/>
        <v>29820</v>
      </c>
      <c r="B7235" s="2" t="str">
        <f>"89108"</f>
        <v>89108</v>
      </c>
      <c r="C7235" s="1">
        <v>2.9989157863834201E-2</v>
      </c>
      <c r="D7235" s="1">
        <v>7.5502189476610799E-3</v>
      </c>
      <c r="E7235" s="1">
        <v>4.4634554584340701E-2</v>
      </c>
      <c r="F7235" s="1">
        <v>2.82166889211031E-2</v>
      </c>
    </row>
    <row r="7236" spans="1:6" x14ac:dyDescent="0.25">
      <c r="A7236" s="2" t="str">
        <f t="shared" ref="A7236:A7253" si="275">"29820"</f>
        <v>29820</v>
      </c>
      <c r="B7236" s="2" t="str">
        <f>"89195"</f>
        <v>89195</v>
      </c>
      <c r="C7236" s="1">
        <v>0</v>
      </c>
      <c r="D7236" s="1">
        <v>0</v>
      </c>
      <c r="E7236" s="1">
        <v>2.3247163846010699E-5</v>
      </c>
      <c r="F7236" s="1">
        <v>9.07726843207434E-7</v>
      </c>
    </row>
    <row r="7237" spans="1:6" x14ac:dyDescent="0.25">
      <c r="A7237" s="2" t="str">
        <f t="shared" si="275"/>
        <v>29820</v>
      </c>
      <c r="B7237" s="2" t="str">
        <f>"89044"</f>
        <v>89044</v>
      </c>
      <c r="C7237" s="1">
        <v>1.2594047317498599E-2</v>
      </c>
      <c r="D7237" s="1">
        <v>2.7889761590324498E-3</v>
      </c>
      <c r="E7237" s="1">
        <v>6.2767342384229105E-4</v>
      </c>
      <c r="F7237" s="1">
        <v>1.1102407019270099E-2</v>
      </c>
    </row>
    <row r="7238" spans="1:6" x14ac:dyDescent="0.25">
      <c r="A7238" s="2" t="str">
        <f t="shared" si="275"/>
        <v>29820</v>
      </c>
      <c r="B7238" s="2" t="str">
        <f>"89040"</f>
        <v>89040</v>
      </c>
      <c r="C7238" s="1">
        <v>2.11967471471827E-5</v>
      </c>
      <c r="D7238" s="1">
        <v>3.47535969972892E-5</v>
      </c>
      <c r="E7238" s="1">
        <v>2.3479635484470801E-3</v>
      </c>
      <c r="F7238" s="1">
        <v>1.13465855400929E-4</v>
      </c>
    </row>
    <row r="7239" spans="1:6" x14ac:dyDescent="0.25">
      <c r="A7239" s="2" t="str">
        <f t="shared" si="275"/>
        <v>29820</v>
      </c>
      <c r="B7239" s="2" t="str">
        <f>"89025"</f>
        <v>89025</v>
      </c>
      <c r="C7239" s="1">
        <v>0</v>
      </c>
      <c r="D7239" s="1">
        <v>0</v>
      </c>
      <c r="E7239" s="1">
        <v>4.64943276920215E-5</v>
      </c>
      <c r="F7239" s="1">
        <v>1.81545368641486E-6</v>
      </c>
    </row>
    <row r="7240" spans="1:6" x14ac:dyDescent="0.25">
      <c r="A7240" s="2" t="str">
        <f t="shared" si="275"/>
        <v>29820</v>
      </c>
      <c r="B7240" s="2" t="str">
        <f>"89009"</f>
        <v>89009</v>
      </c>
      <c r="C7240" s="1">
        <v>2.42384803628035E-3</v>
      </c>
      <c r="D7240" s="1">
        <v>2.5978313755473598E-3</v>
      </c>
      <c r="E7240" s="1">
        <v>4.64943276920215E-5</v>
      </c>
      <c r="F7240" s="1">
        <v>2.3491970702208399E-3</v>
      </c>
    </row>
    <row r="7241" spans="1:6" x14ac:dyDescent="0.25">
      <c r="A7241" s="2" t="str">
        <f t="shared" si="275"/>
        <v>29820</v>
      </c>
      <c r="B7241" s="2" t="str">
        <f>"89004"</f>
        <v>89004</v>
      </c>
      <c r="C7241" s="1">
        <v>0</v>
      </c>
      <c r="D7241" s="1">
        <v>0</v>
      </c>
      <c r="E7241" s="1">
        <v>2.11549190998698E-3</v>
      </c>
      <c r="F7241" s="1">
        <v>8.2603142731876497E-5</v>
      </c>
    </row>
    <row r="7242" spans="1:6" x14ac:dyDescent="0.25">
      <c r="A7242" s="2" t="str">
        <f t="shared" si="275"/>
        <v>29820</v>
      </c>
      <c r="B7242" s="2" t="str">
        <f>"89014"</f>
        <v>89014</v>
      </c>
      <c r="C7242" s="1">
        <v>1.9018781377809699E-2</v>
      </c>
      <c r="D7242" s="1">
        <v>1.77330228678668E-2</v>
      </c>
      <c r="E7242" s="1">
        <v>1.1460851776083299E-2</v>
      </c>
      <c r="F7242" s="1">
        <v>1.8589338022045002E-2</v>
      </c>
    </row>
    <row r="7243" spans="1:6" x14ac:dyDescent="0.25">
      <c r="A7243" s="2" t="str">
        <f t="shared" si="275"/>
        <v>29820</v>
      </c>
      <c r="B7243" s="2" t="str">
        <f>"89054"</f>
        <v>89054</v>
      </c>
      <c r="C7243" s="1">
        <v>4.5573006366443003E-5</v>
      </c>
      <c r="D7243" s="1">
        <v>1.73767984986446E-5</v>
      </c>
      <c r="E7243" s="1">
        <v>2.3247163846010699E-5</v>
      </c>
      <c r="F7243" s="1">
        <v>4.1755434787541903E-5</v>
      </c>
    </row>
    <row r="7244" spans="1:6" x14ac:dyDescent="0.25">
      <c r="A7244" s="2" t="str">
        <f t="shared" si="275"/>
        <v>29820</v>
      </c>
      <c r="B7244" s="2" t="str">
        <f>"89052"</f>
        <v>89052</v>
      </c>
      <c r="C7244" s="1">
        <v>2.84184789002279E-2</v>
      </c>
      <c r="D7244" s="1">
        <v>3.1938555640508702E-2</v>
      </c>
      <c r="E7244" s="1">
        <v>1.3111400409150001E-2</v>
      </c>
      <c r="F7244" s="1">
        <v>2.8188549388963601E-2</v>
      </c>
    </row>
    <row r="7245" spans="1:6" x14ac:dyDescent="0.25">
      <c r="A7245" s="2" t="str">
        <f t="shared" si="275"/>
        <v>29820</v>
      </c>
      <c r="B7245" s="2" t="str">
        <f>"89084"</f>
        <v>89084</v>
      </c>
      <c r="C7245" s="1">
        <v>1.25813292692103E-2</v>
      </c>
      <c r="D7245" s="1">
        <v>4.4832140126503002E-3</v>
      </c>
      <c r="E7245" s="1">
        <v>9.2523712107122902E-3</v>
      </c>
      <c r="F7245" s="1">
        <v>1.1605287690407E-2</v>
      </c>
    </row>
    <row r="7246" spans="1:6" x14ac:dyDescent="0.25">
      <c r="A7246" s="2" t="str">
        <f t="shared" si="275"/>
        <v>29820</v>
      </c>
      <c r="B7246" s="2" t="str">
        <f>"89180"</f>
        <v>89180</v>
      </c>
      <c r="C7246" s="1">
        <v>1.27392450354568E-3</v>
      </c>
      <c r="D7246" s="1">
        <v>3.76207687495655E-3</v>
      </c>
      <c r="E7246" s="1">
        <v>4.64943276920215E-5</v>
      </c>
      <c r="F7246" s="1">
        <v>1.4859488423305701E-3</v>
      </c>
    </row>
    <row r="7247" spans="1:6" x14ac:dyDescent="0.25">
      <c r="A7247" s="2" t="str">
        <f t="shared" si="275"/>
        <v>29820</v>
      </c>
      <c r="B7247" s="2" t="str">
        <f>"89155"</f>
        <v>89155</v>
      </c>
      <c r="C7247" s="1">
        <v>0</v>
      </c>
      <c r="D7247" s="1">
        <v>8.6883992493223001E-6</v>
      </c>
      <c r="E7247" s="1">
        <v>0</v>
      </c>
      <c r="F7247" s="1">
        <v>9.07726843207434E-7</v>
      </c>
    </row>
    <row r="7248" spans="1:6" x14ac:dyDescent="0.25">
      <c r="A7248" s="2" t="str">
        <f t="shared" si="275"/>
        <v>29820</v>
      </c>
      <c r="B7248" s="2" t="str">
        <f>"89152"</f>
        <v>89152</v>
      </c>
      <c r="C7248" s="1">
        <v>0</v>
      </c>
      <c r="D7248" s="1">
        <v>0</v>
      </c>
      <c r="E7248" s="1">
        <v>2.3247163846010699E-5</v>
      </c>
      <c r="F7248" s="1">
        <v>9.07726843207434E-7</v>
      </c>
    </row>
    <row r="7249" spans="1:6" x14ac:dyDescent="0.25">
      <c r="A7249" s="2" t="str">
        <f t="shared" si="275"/>
        <v>29820</v>
      </c>
      <c r="B7249" s="2" t="str">
        <f>"89156"</f>
        <v>89156</v>
      </c>
      <c r="C7249" s="1">
        <v>1.0536903006864501E-2</v>
      </c>
      <c r="D7249" s="1">
        <v>2.4501285883088801E-3</v>
      </c>
      <c r="E7249" s="1">
        <v>1.3041658917612E-2</v>
      </c>
      <c r="F7249" s="1">
        <v>9.7898340039921806E-3</v>
      </c>
    </row>
    <row r="7250" spans="1:6" x14ac:dyDescent="0.25">
      <c r="A7250" s="2" t="str">
        <f t="shared" si="275"/>
        <v>29820</v>
      </c>
      <c r="B7250" s="2" t="str">
        <f>"89147"</f>
        <v>89147</v>
      </c>
      <c r="C7250" s="1">
        <v>2.4087983458058501E-2</v>
      </c>
      <c r="D7250" s="1">
        <v>3.3172308333912499E-2</v>
      </c>
      <c r="E7250" s="1">
        <v>1.4901432025292901E-2</v>
      </c>
      <c r="F7250" s="1">
        <v>2.46783696862805E-2</v>
      </c>
    </row>
    <row r="7251" spans="1:6" x14ac:dyDescent="0.25">
      <c r="A7251" s="2" t="str">
        <f t="shared" si="275"/>
        <v>29820</v>
      </c>
      <c r="B7251" s="2" t="str">
        <f>"89118"</f>
        <v>89118</v>
      </c>
      <c r="C7251" s="1">
        <v>1.03323543968942E-2</v>
      </c>
      <c r="D7251" s="1">
        <v>4.0635643289080398E-2</v>
      </c>
      <c r="E7251" s="1">
        <v>2.7780360795982801E-2</v>
      </c>
      <c r="F7251" s="1">
        <v>1.41796010177433E-2</v>
      </c>
    </row>
    <row r="7252" spans="1:6" x14ac:dyDescent="0.25">
      <c r="A7252" s="2" t="str">
        <f t="shared" si="275"/>
        <v>29820</v>
      </c>
      <c r="B7252" s="2" t="str">
        <f>"89033"</f>
        <v>89033</v>
      </c>
      <c r="C7252" s="1">
        <v>2.16736739579944E-3</v>
      </c>
      <c r="D7252" s="1">
        <v>2.4588169875582101E-3</v>
      </c>
      <c r="E7252" s="1">
        <v>4.64943276920215E-5</v>
      </c>
      <c r="F7252" s="1">
        <v>2.1150035446733202E-3</v>
      </c>
    </row>
    <row r="7253" spans="1:6" x14ac:dyDescent="0.25">
      <c r="A7253" s="2" t="str">
        <f t="shared" si="275"/>
        <v>29820</v>
      </c>
      <c r="B7253" s="2" t="str">
        <f>"89106"</f>
        <v>89106</v>
      </c>
      <c r="C7253" s="1">
        <v>1.1098616806264901E-2</v>
      </c>
      <c r="D7253" s="1">
        <v>1.7776464864113401E-2</v>
      </c>
      <c r="E7253" s="1">
        <v>1.8830202715268699E-2</v>
      </c>
      <c r="F7253" s="1">
        <v>1.2098183366268601E-2</v>
      </c>
    </row>
    <row r="7254" spans="1:6" x14ac:dyDescent="0.25">
      <c r="A7254" s="2" t="str">
        <f t="shared" ref="A7254:A7299" si="276">"48060"</f>
        <v>48060</v>
      </c>
      <c r="B7254" s="2" t="str">
        <f>"13626"</f>
        <v>13626</v>
      </c>
      <c r="C7254" s="1">
        <v>2.7399697535806398E-3</v>
      </c>
      <c r="D7254" s="1">
        <v>2.64410364886303E-4</v>
      </c>
      <c r="E7254" s="1">
        <v>0</v>
      </c>
      <c r="F7254" s="1">
        <v>2.4539683042287398E-3</v>
      </c>
    </row>
    <row r="7255" spans="1:6" x14ac:dyDescent="0.25">
      <c r="A7255" s="2" t="str">
        <f t="shared" si="276"/>
        <v>48060</v>
      </c>
      <c r="B7255" s="2" t="str">
        <f>"13608"</f>
        <v>13608</v>
      </c>
      <c r="C7255" s="1">
        <v>9.9813183880437598E-3</v>
      </c>
      <c r="D7255" s="1">
        <v>3.1729243786356399E-3</v>
      </c>
      <c r="E7255" s="1">
        <v>4.7229219143576804E-3</v>
      </c>
      <c r="F7255" s="1">
        <v>9.3092475024935395E-3</v>
      </c>
    </row>
    <row r="7256" spans="1:6" x14ac:dyDescent="0.25">
      <c r="A7256" s="2" t="str">
        <f t="shared" si="276"/>
        <v>48060</v>
      </c>
      <c r="B7256" s="2" t="str">
        <f>"13601"</f>
        <v>13601</v>
      </c>
      <c r="C7256" s="1">
        <v>0.35012899208255399</v>
      </c>
      <c r="D7256" s="1">
        <v>0.627181385510312</v>
      </c>
      <c r="E7256" s="1">
        <v>0.57462216624685103</v>
      </c>
      <c r="F7256" s="1">
        <v>0.37800611117268001</v>
      </c>
    </row>
    <row r="7257" spans="1:6" x14ac:dyDescent="0.25">
      <c r="A7257" s="2" t="str">
        <f t="shared" si="276"/>
        <v>48060</v>
      </c>
      <c r="B7257" s="2" t="str">
        <f>"13605"</f>
        <v>13605</v>
      </c>
      <c r="C7257" s="1">
        <v>3.6776087536695999E-2</v>
      </c>
      <c r="D7257" s="1">
        <v>3.01427815970386E-2</v>
      </c>
      <c r="E7257" s="1">
        <v>3.4319899244332402E-2</v>
      </c>
      <c r="F7257" s="1">
        <v>3.6255402688282597E-2</v>
      </c>
    </row>
    <row r="7258" spans="1:6" x14ac:dyDescent="0.25">
      <c r="A7258" s="2" t="str">
        <f t="shared" si="276"/>
        <v>48060</v>
      </c>
      <c r="B7258" s="2" t="str">
        <f>"13603"</f>
        <v>13603</v>
      </c>
      <c r="C7258" s="1">
        <v>7.4459567654123204E-2</v>
      </c>
      <c r="D7258" s="1">
        <v>7.9323109465890998E-4</v>
      </c>
      <c r="E7258" s="1">
        <v>2.8337531486145998E-3</v>
      </c>
      <c r="F7258" s="1">
        <v>6.6447128857083995E-2</v>
      </c>
    </row>
    <row r="7259" spans="1:6" x14ac:dyDescent="0.25">
      <c r="A7259" s="2" t="str">
        <f t="shared" si="276"/>
        <v>48060</v>
      </c>
      <c r="B7259" s="2" t="str">
        <f>"13674"</f>
        <v>13674</v>
      </c>
      <c r="C7259" s="1">
        <v>0</v>
      </c>
      <c r="D7259" s="1">
        <v>0</v>
      </c>
      <c r="E7259" s="1">
        <v>6.2972292191435702E-4</v>
      </c>
      <c r="F7259" s="1">
        <v>3.1664107151338597E-5</v>
      </c>
    </row>
    <row r="7260" spans="1:6" x14ac:dyDescent="0.25">
      <c r="A7260" s="2" t="str">
        <f t="shared" si="276"/>
        <v>48060</v>
      </c>
      <c r="B7260" s="2" t="str">
        <f>"13659"</f>
        <v>13659</v>
      </c>
      <c r="C7260" s="1">
        <v>4.3590427897873801E-3</v>
      </c>
      <c r="D7260" s="1">
        <v>0</v>
      </c>
      <c r="E7260" s="1">
        <v>3.1486146095717802E-4</v>
      </c>
      <c r="F7260" s="1">
        <v>3.8946851796146402E-3</v>
      </c>
    </row>
    <row r="7261" spans="1:6" x14ac:dyDescent="0.25">
      <c r="A7261" s="2" t="str">
        <f t="shared" si="276"/>
        <v>48060</v>
      </c>
      <c r="B7261" s="2" t="str">
        <f>"13641"</f>
        <v>13641</v>
      </c>
      <c r="C7261" s="1">
        <v>0</v>
      </c>
      <c r="D7261" s="1">
        <v>0</v>
      </c>
      <c r="E7261" s="1">
        <v>3.1486146095717802E-4</v>
      </c>
      <c r="F7261" s="1">
        <v>1.5832053575669299E-5</v>
      </c>
    </row>
    <row r="7262" spans="1:6" x14ac:dyDescent="0.25">
      <c r="A7262" s="2" t="str">
        <f t="shared" si="276"/>
        <v>48060</v>
      </c>
      <c r="B7262" s="2" t="str">
        <f>"13615"</f>
        <v>13615</v>
      </c>
      <c r="C7262" s="1">
        <v>7.1701805889155699E-3</v>
      </c>
      <c r="D7262" s="1">
        <v>0</v>
      </c>
      <c r="E7262" s="1">
        <v>9.4458438287153596E-4</v>
      </c>
      <c r="F7262" s="1">
        <v>6.4278137517217301E-3</v>
      </c>
    </row>
    <row r="7263" spans="1:6" x14ac:dyDescent="0.25">
      <c r="A7263" s="2" t="str">
        <f t="shared" si="276"/>
        <v>48060</v>
      </c>
      <c r="B7263" s="2" t="str">
        <f>"13646"</f>
        <v>13646</v>
      </c>
      <c r="C7263" s="1">
        <v>2.4908815941642202E-4</v>
      </c>
      <c r="D7263" s="1">
        <v>2.64410364886303E-4</v>
      </c>
      <c r="E7263" s="1">
        <v>0</v>
      </c>
      <c r="F7263" s="1">
        <v>2.37480803635039E-4</v>
      </c>
    </row>
    <row r="7264" spans="1:6" x14ac:dyDescent="0.25">
      <c r="A7264" s="2" t="str">
        <f t="shared" si="276"/>
        <v>48060</v>
      </c>
      <c r="B7264" s="2" t="str">
        <f>"13622"</f>
        <v>13622</v>
      </c>
      <c r="C7264" s="1">
        <v>2.0282892981051501E-2</v>
      </c>
      <c r="D7264" s="1">
        <v>1.3220518244315099E-3</v>
      </c>
      <c r="E7264" s="1">
        <v>2.8337531486145998E-3</v>
      </c>
      <c r="F7264" s="1">
        <v>1.8270189826322301E-2</v>
      </c>
    </row>
    <row r="7265" spans="1:6" x14ac:dyDescent="0.25">
      <c r="A7265" s="2" t="str">
        <f t="shared" si="276"/>
        <v>48060</v>
      </c>
      <c r="B7265" s="2" t="str">
        <f>"13693"</f>
        <v>13693</v>
      </c>
      <c r="C7265" s="1">
        <v>6.8143403611778302E-3</v>
      </c>
      <c r="D7265" s="1">
        <v>1.3220518244315099E-3</v>
      </c>
      <c r="E7265" s="1">
        <v>3.7783375314861399E-3</v>
      </c>
      <c r="F7265" s="1">
        <v>6.3328214302677197E-3</v>
      </c>
    </row>
    <row r="7266" spans="1:6" x14ac:dyDescent="0.25">
      <c r="A7266" s="2" t="str">
        <f t="shared" si="276"/>
        <v>48060</v>
      </c>
      <c r="B7266" s="2" t="str">
        <f>"13650"</f>
        <v>13650</v>
      </c>
      <c r="C7266" s="1">
        <v>1.33618005515523E-2</v>
      </c>
      <c r="D7266" s="1">
        <v>1.58646218931782E-3</v>
      </c>
      <c r="E7266" s="1">
        <v>1.5743073047858899E-3</v>
      </c>
      <c r="F7266" s="1">
        <v>1.206402482466E-2</v>
      </c>
    </row>
    <row r="7267" spans="1:6" x14ac:dyDescent="0.25">
      <c r="A7267" s="2" t="str">
        <f t="shared" si="276"/>
        <v>48060</v>
      </c>
      <c r="B7267" s="2" t="str">
        <f>"13612"</f>
        <v>13612</v>
      </c>
      <c r="C7267" s="1">
        <v>3.86442487323191E-2</v>
      </c>
      <c r="D7267" s="1">
        <v>2.3532522474880999E-2</v>
      </c>
      <c r="E7267" s="1">
        <v>2.0780856423173798E-2</v>
      </c>
      <c r="F7267" s="1">
        <v>3.6841188670582399E-2</v>
      </c>
    </row>
    <row r="7268" spans="1:6" x14ac:dyDescent="0.25">
      <c r="A7268" s="2" t="str">
        <f t="shared" si="276"/>
        <v>48060</v>
      </c>
      <c r="B7268" s="2" t="str">
        <f>"13673"</f>
        <v>13673</v>
      </c>
      <c r="C7268" s="1">
        <v>1.7471755181923301E-2</v>
      </c>
      <c r="D7268" s="1">
        <v>1.03120042305658E-2</v>
      </c>
      <c r="E7268" s="1">
        <v>2.77078085642317E-2</v>
      </c>
      <c r="F7268" s="1">
        <v>1.7557747415417199E-2</v>
      </c>
    </row>
    <row r="7269" spans="1:6" x14ac:dyDescent="0.25">
      <c r="A7269" s="2" t="str">
        <f t="shared" si="276"/>
        <v>48060</v>
      </c>
      <c r="B7269" s="2" t="str">
        <f>"13616"</f>
        <v>13616</v>
      </c>
      <c r="C7269" s="1">
        <v>2.20443021083533E-2</v>
      </c>
      <c r="D7269" s="1">
        <v>6.6102591221575803E-3</v>
      </c>
      <c r="E7269" s="1">
        <v>1.8891687657430701E-2</v>
      </c>
      <c r="F7269" s="1">
        <v>2.0961638934186101E-2</v>
      </c>
    </row>
    <row r="7270" spans="1:6" x14ac:dyDescent="0.25">
      <c r="A7270" s="2" t="str">
        <f t="shared" si="276"/>
        <v>48060</v>
      </c>
      <c r="B7270" s="2" t="str">
        <f>"13607"</f>
        <v>13607</v>
      </c>
      <c r="C7270" s="1">
        <v>2.6243216795658698E-2</v>
      </c>
      <c r="D7270" s="1">
        <v>5.3410893707033301E-2</v>
      </c>
      <c r="E7270" s="1">
        <v>4.78589420654911E-2</v>
      </c>
      <c r="F7270" s="1">
        <v>2.8956825989899099E-2</v>
      </c>
    </row>
    <row r="7271" spans="1:6" x14ac:dyDescent="0.25">
      <c r="A7271" s="2" t="str">
        <f t="shared" si="276"/>
        <v>48060</v>
      </c>
      <c r="B7271" s="2" t="str">
        <f>"13675"</f>
        <v>13675</v>
      </c>
      <c r="C7271" s="1">
        <v>1.24544079708211E-3</v>
      </c>
      <c r="D7271" s="1">
        <v>1.0576414595452101E-3</v>
      </c>
      <c r="E7271" s="1">
        <v>3.1486146095717802E-4</v>
      </c>
      <c r="F7271" s="1">
        <v>1.1874040181751901E-3</v>
      </c>
    </row>
    <row r="7272" spans="1:6" x14ac:dyDescent="0.25">
      <c r="A7272" s="2" t="str">
        <f t="shared" si="276"/>
        <v>48060</v>
      </c>
      <c r="B7272" s="2" t="str">
        <f>"13656"</f>
        <v>13656</v>
      </c>
      <c r="C7272" s="1">
        <v>2.1030157459300699E-2</v>
      </c>
      <c r="D7272" s="1">
        <v>5.5526176626123696E-3</v>
      </c>
      <c r="E7272" s="1">
        <v>6.9269521410579302E-3</v>
      </c>
      <c r="F7272" s="1">
        <v>1.93942656301948E-2</v>
      </c>
    </row>
    <row r="7273" spans="1:6" x14ac:dyDescent="0.25">
      <c r="A7273" s="2" t="str">
        <f t="shared" si="276"/>
        <v>48060</v>
      </c>
      <c r="B7273" s="2" t="str">
        <f>"13679"</f>
        <v>13679</v>
      </c>
      <c r="C7273" s="1">
        <v>1.5069833644693499E-2</v>
      </c>
      <c r="D7273" s="1">
        <v>3.1729243786356399E-3</v>
      </c>
      <c r="E7273" s="1">
        <v>2.5188916876574298E-3</v>
      </c>
      <c r="F7273" s="1">
        <v>1.3726390450105199E-2</v>
      </c>
    </row>
    <row r="7274" spans="1:6" x14ac:dyDescent="0.25">
      <c r="A7274" s="2" t="str">
        <f t="shared" si="276"/>
        <v>48060</v>
      </c>
      <c r="B7274" s="2" t="str">
        <f>"13145"</f>
        <v>13145</v>
      </c>
      <c r="C7274" s="1">
        <v>1.77920113868872E-5</v>
      </c>
      <c r="D7274" s="1">
        <v>0</v>
      </c>
      <c r="E7274" s="1">
        <v>0</v>
      </c>
      <c r="F7274" s="1">
        <v>1.5832053575669299E-5</v>
      </c>
    </row>
    <row r="7275" spans="1:6" x14ac:dyDescent="0.25">
      <c r="A7275" s="2" t="str">
        <f t="shared" si="276"/>
        <v>48060</v>
      </c>
      <c r="B7275" s="2" t="str">
        <f>"13631"</f>
        <v>13631</v>
      </c>
      <c r="C7275" s="1">
        <v>0</v>
      </c>
      <c r="D7275" s="1">
        <v>0</v>
      </c>
      <c r="E7275" s="1">
        <v>3.1486146095717802E-4</v>
      </c>
      <c r="F7275" s="1">
        <v>1.5832053575669299E-5</v>
      </c>
    </row>
    <row r="7276" spans="1:6" x14ac:dyDescent="0.25">
      <c r="A7276" s="2" t="str">
        <f t="shared" si="276"/>
        <v>48060</v>
      </c>
      <c r="B7276" s="2" t="str">
        <f>"13618"</f>
        <v>13618</v>
      </c>
      <c r="C7276" s="1">
        <v>2.02651009696646E-2</v>
      </c>
      <c r="D7276" s="1">
        <v>6.0814383923849802E-3</v>
      </c>
      <c r="E7276" s="1">
        <v>1.5113350125944501E-2</v>
      </c>
      <c r="F7276" s="1">
        <v>1.9156784826559799E-2</v>
      </c>
    </row>
    <row r="7277" spans="1:6" x14ac:dyDescent="0.25">
      <c r="A7277" s="2" t="str">
        <f t="shared" si="276"/>
        <v>48060</v>
      </c>
      <c r="B7277" s="2" t="str">
        <f>"13671"</f>
        <v>13671</v>
      </c>
      <c r="C7277" s="1">
        <v>0</v>
      </c>
      <c r="D7277" s="1">
        <v>0</v>
      </c>
      <c r="E7277" s="1">
        <v>3.1486146095717802E-4</v>
      </c>
      <c r="F7277" s="1">
        <v>1.5832053575669299E-5</v>
      </c>
    </row>
    <row r="7278" spans="1:6" x14ac:dyDescent="0.25">
      <c r="A7278" s="2" t="str">
        <f t="shared" si="276"/>
        <v>48060</v>
      </c>
      <c r="B7278" s="2" t="str">
        <f>"13691"</f>
        <v>13691</v>
      </c>
      <c r="C7278" s="1">
        <v>2.6243216795658698E-2</v>
      </c>
      <c r="D7278" s="1">
        <v>6.6102591221575803E-3</v>
      </c>
      <c r="E7278" s="1">
        <v>1.8891687657430701E-2</v>
      </c>
      <c r="F7278" s="1">
        <v>2.4698003578044098E-2</v>
      </c>
    </row>
    <row r="7279" spans="1:6" x14ac:dyDescent="0.25">
      <c r="A7279" s="2" t="str">
        <f t="shared" si="276"/>
        <v>48060</v>
      </c>
      <c r="B7279" s="2" t="str">
        <f>"13661"</f>
        <v>13661</v>
      </c>
      <c r="C7279" s="1">
        <v>1.2383239925273499E-2</v>
      </c>
      <c r="D7279" s="1">
        <v>2.9085140137493299E-3</v>
      </c>
      <c r="E7279" s="1">
        <v>3.1486146095717802E-4</v>
      </c>
      <c r="F7279" s="1">
        <v>1.1209093931573801E-2</v>
      </c>
    </row>
    <row r="7280" spans="1:6" x14ac:dyDescent="0.25">
      <c r="A7280" s="2" t="str">
        <f t="shared" si="276"/>
        <v>48060</v>
      </c>
      <c r="B7280" s="2" t="str">
        <f>"13643"</f>
        <v>13643</v>
      </c>
      <c r="C7280" s="1">
        <v>4.80384307445956E-4</v>
      </c>
      <c r="D7280" s="1">
        <v>0</v>
      </c>
      <c r="E7280" s="1">
        <v>9.4458438287153596E-4</v>
      </c>
      <c r="F7280" s="1">
        <v>4.7496160727007898E-4</v>
      </c>
    </row>
    <row r="7281" spans="1:6" x14ac:dyDescent="0.25">
      <c r="A7281" s="2" t="str">
        <f t="shared" si="276"/>
        <v>48060</v>
      </c>
      <c r="B7281" s="2" t="str">
        <f>"13642"</f>
        <v>13642</v>
      </c>
      <c r="C7281" s="1">
        <v>4.4480028467218201E-4</v>
      </c>
      <c r="D7281" s="1">
        <v>2.64410364886303E-4</v>
      </c>
      <c r="E7281" s="1">
        <v>6.2972292191435702E-4</v>
      </c>
      <c r="F7281" s="1">
        <v>4.4329750011873998E-4</v>
      </c>
    </row>
    <row r="7282" spans="1:6" x14ac:dyDescent="0.25">
      <c r="A7282" s="2" t="str">
        <f t="shared" si="276"/>
        <v>48060</v>
      </c>
      <c r="B7282" s="2" t="str">
        <f>"13624"</f>
        <v>13624</v>
      </c>
      <c r="C7282" s="1">
        <v>5.19882572724846E-2</v>
      </c>
      <c r="D7282" s="1">
        <v>5.1031200423056498E-2</v>
      </c>
      <c r="E7282" s="1">
        <v>5.3211586901763197E-2</v>
      </c>
      <c r="F7282" s="1">
        <v>5.1992463942497902E-2</v>
      </c>
    </row>
    <row r="7283" spans="1:6" x14ac:dyDescent="0.25">
      <c r="A7283" s="2" t="str">
        <f t="shared" si="276"/>
        <v>48060</v>
      </c>
      <c r="B7283" s="2" t="str">
        <f>"13619"</f>
        <v>13619</v>
      </c>
      <c r="C7283" s="1">
        <v>7.4548527711057702E-2</v>
      </c>
      <c r="D7283" s="1">
        <v>6.1872025383395E-2</v>
      </c>
      <c r="E7283" s="1">
        <v>0.12594458438287101</v>
      </c>
      <c r="F7283" s="1">
        <v>7.6373826449028695E-2</v>
      </c>
    </row>
    <row r="7284" spans="1:6" x14ac:dyDescent="0.25">
      <c r="A7284" s="2" t="str">
        <f t="shared" si="276"/>
        <v>48060</v>
      </c>
      <c r="B7284" s="2" t="str">
        <f>"13602"</f>
        <v>13602</v>
      </c>
      <c r="C7284" s="1">
        <v>0</v>
      </c>
      <c r="D7284" s="1">
        <v>4.6800634584875697E-2</v>
      </c>
      <c r="E7284" s="1">
        <v>2.5188916876574298E-3</v>
      </c>
      <c r="F7284" s="1">
        <v>2.9289299114988198E-3</v>
      </c>
    </row>
    <row r="7285" spans="1:6" x14ac:dyDescent="0.25">
      <c r="A7285" s="2" t="str">
        <f t="shared" si="276"/>
        <v>48060</v>
      </c>
      <c r="B7285" s="2" t="str">
        <f>"13692"</f>
        <v>13692</v>
      </c>
      <c r="C7285" s="1">
        <v>4.2700827328529404E-3</v>
      </c>
      <c r="D7285" s="1">
        <v>2.64410364886303E-4</v>
      </c>
      <c r="E7285" s="1">
        <v>6.2972292191435702E-4</v>
      </c>
      <c r="F7285" s="1">
        <v>3.8471890188876302E-3</v>
      </c>
    </row>
    <row r="7286" spans="1:6" x14ac:dyDescent="0.25">
      <c r="A7286" s="2" t="str">
        <f t="shared" si="276"/>
        <v>48060</v>
      </c>
      <c r="B7286" s="2" t="str">
        <f>"13685"</f>
        <v>13685</v>
      </c>
      <c r="C7286" s="1">
        <v>2.2079886131127099E-2</v>
      </c>
      <c r="D7286" s="1">
        <v>5.0237969328397599E-3</v>
      </c>
      <c r="E7286" s="1">
        <v>4.7229219143576804E-3</v>
      </c>
      <c r="F7286" s="1">
        <v>2.01858683089783E-2</v>
      </c>
    </row>
    <row r="7287" spans="1:6" x14ac:dyDescent="0.25">
      <c r="A7287" s="2" t="str">
        <f t="shared" si="276"/>
        <v>48060</v>
      </c>
      <c r="B7287" s="2" t="str">
        <f>"13083"</f>
        <v>13083</v>
      </c>
      <c r="C7287" s="1">
        <v>2.6688017080330899E-4</v>
      </c>
      <c r="D7287" s="1">
        <v>0</v>
      </c>
      <c r="E7287" s="1">
        <v>0</v>
      </c>
      <c r="F7287" s="1">
        <v>2.37480803635039E-4</v>
      </c>
    </row>
    <row r="7288" spans="1:6" x14ac:dyDescent="0.25">
      <c r="A7288" s="2" t="str">
        <f t="shared" si="276"/>
        <v>48060</v>
      </c>
      <c r="B7288" s="2" t="str">
        <f>"13611"</f>
        <v>13611</v>
      </c>
      <c r="C7288" s="1">
        <v>2.4908815941642199E-3</v>
      </c>
      <c r="D7288" s="1">
        <v>0</v>
      </c>
      <c r="E7288" s="1">
        <v>3.1486146095717802E-4</v>
      </c>
      <c r="F7288" s="1">
        <v>2.2323195541693701E-3</v>
      </c>
    </row>
    <row r="7289" spans="1:6" x14ac:dyDescent="0.25">
      <c r="A7289" s="2" t="str">
        <f t="shared" si="276"/>
        <v>48060</v>
      </c>
      <c r="B7289" s="2" t="str">
        <f>"13638"</f>
        <v>13638</v>
      </c>
      <c r="C7289" s="1">
        <v>2.3485455030691198E-3</v>
      </c>
      <c r="D7289" s="1">
        <v>1.85087255420412E-3</v>
      </c>
      <c r="E7289" s="1">
        <v>9.4458438287153596E-4</v>
      </c>
      <c r="F7289" s="1">
        <v>2.2481516077450399E-3</v>
      </c>
    </row>
    <row r="7290" spans="1:6" x14ac:dyDescent="0.25">
      <c r="A7290" s="2" t="str">
        <f t="shared" si="276"/>
        <v>48060</v>
      </c>
      <c r="B7290" s="2" t="str">
        <f>"13632"</f>
        <v>13632</v>
      </c>
      <c r="C7290" s="1">
        <v>1.8859532070100501E-3</v>
      </c>
      <c r="D7290" s="1">
        <v>0</v>
      </c>
      <c r="E7290" s="1">
        <v>3.1486146095717802E-4</v>
      </c>
      <c r="F7290" s="1">
        <v>1.69402973259661E-3</v>
      </c>
    </row>
    <row r="7291" spans="1:6" x14ac:dyDescent="0.25">
      <c r="A7291" s="2" t="str">
        <f t="shared" si="276"/>
        <v>48060</v>
      </c>
      <c r="B7291" s="2" t="str">
        <f>"13651"</f>
        <v>13651</v>
      </c>
      <c r="C7291" s="1">
        <v>3.5939863001512298E-3</v>
      </c>
      <c r="D7291" s="1">
        <v>0</v>
      </c>
      <c r="E7291" s="1">
        <v>3.1486146095717802E-4</v>
      </c>
      <c r="F7291" s="1">
        <v>3.2139068758608598E-3</v>
      </c>
    </row>
    <row r="7292" spans="1:6" x14ac:dyDescent="0.25">
      <c r="A7292" s="2" t="str">
        <f t="shared" si="276"/>
        <v>48060</v>
      </c>
      <c r="B7292" s="2" t="str">
        <f>"13628"</f>
        <v>13628</v>
      </c>
      <c r="C7292" s="1">
        <v>0</v>
      </c>
      <c r="D7292" s="1">
        <v>0</v>
      </c>
      <c r="E7292" s="1">
        <v>6.2972292191435702E-4</v>
      </c>
      <c r="F7292" s="1">
        <v>3.1664107151338597E-5</v>
      </c>
    </row>
    <row r="7293" spans="1:6" x14ac:dyDescent="0.25">
      <c r="A7293" s="2" t="str">
        <f t="shared" si="276"/>
        <v>48060</v>
      </c>
      <c r="B7293" s="2" t="str">
        <f>"13606"</f>
        <v>13606</v>
      </c>
      <c r="C7293" s="1">
        <v>1.7898763455208602E-2</v>
      </c>
      <c r="D7293" s="1">
        <v>7.13907985193019E-3</v>
      </c>
      <c r="E7293" s="1">
        <v>3.1486146095717799E-3</v>
      </c>
      <c r="F7293" s="1">
        <v>1.6512831879422998E-2</v>
      </c>
    </row>
    <row r="7294" spans="1:6" x14ac:dyDescent="0.25">
      <c r="A7294" s="2" t="str">
        <f t="shared" si="276"/>
        <v>48060</v>
      </c>
      <c r="B7294" s="2" t="str">
        <f>"13665"</f>
        <v>13665</v>
      </c>
      <c r="C7294" s="1">
        <v>3.8430744595676501E-3</v>
      </c>
      <c r="D7294" s="1">
        <v>5.2882072977260698E-4</v>
      </c>
      <c r="E7294" s="1">
        <v>9.4458438287153596E-4</v>
      </c>
      <c r="F7294" s="1">
        <v>3.4988838402229099E-3</v>
      </c>
    </row>
    <row r="7295" spans="1:6" x14ac:dyDescent="0.25">
      <c r="A7295" s="2" t="str">
        <f t="shared" si="276"/>
        <v>48060</v>
      </c>
      <c r="B7295" s="2" t="str">
        <f>"13636"</f>
        <v>13636</v>
      </c>
      <c r="C7295" s="1">
        <v>8.54016546570589E-4</v>
      </c>
      <c r="D7295" s="1">
        <v>1.3220518244315099E-3</v>
      </c>
      <c r="E7295" s="1">
        <v>3.1486146095717802E-4</v>
      </c>
      <c r="F7295" s="1">
        <v>8.5493089308614199E-4</v>
      </c>
    </row>
    <row r="7296" spans="1:6" x14ac:dyDescent="0.25">
      <c r="A7296" s="2" t="str">
        <f t="shared" si="276"/>
        <v>48060</v>
      </c>
      <c r="B7296" s="2" t="str">
        <f>"13640"</f>
        <v>13640</v>
      </c>
      <c r="C7296" s="1">
        <v>7.4726447824926597E-3</v>
      </c>
      <c r="D7296" s="1">
        <v>3.43733474352194E-3</v>
      </c>
      <c r="E7296" s="1">
        <v>9.4458438287153596E-4</v>
      </c>
      <c r="F7296" s="1">
        <v>6.9027753589918101E-3</v>
      </c>
    </row>
    <row r="7297" spans="1:6" x14ac:dyDescent="0.25">
      <c r="A7297" s="2" t="str">
        <f t="shared" si="276"/>
        <v>48060</v>
      </c>
      <c r="B7297" s="2" t="str">
        <f>"13637"</f>
        <v>13637</v>
      </c>
      <c r="C7297" s="1">
        <v>4.0832666132906301E-2</v>
      </c>
      <c r="D7297" s="1">
        <v>2.7498677948175499E-2</v>
      </c>
      <c r="E7297" s="1">
        <v>1.19647355163727E-2</v>
      </c>
      <c r="F7297" s="1">
        <v>3.8582714563906002E-2</v>
      </c>
    </row>
    <row r="7298" spans="1:6" x14ac:dyDescent="0.25">
      <c r="A7298" s="2" t="str">
        <f t="shared" si="276"/>
        <v>48060</v>
      </c>
      <c r="B7298" s="2" t="str">
        <f>"13634"</f>
        <v>13634</v>
      </c>
      <c r="C7298" s="1">
        <v>3.1936660439462597E-2</v>
      </c>
      <c r="D7298" s="1">
        <v>7.4034902168164897E-3</v>
      </c>
      <c r="E7298" s="1">
        <v>4.4080604534005004E-3</v>
      </c>
      <c r="F7298" s="1">
        <v>2.9083482418504499E-2</v>
      </c>
    </row>
    <row r="7299" spans="1:6" x14ac:dyDescent="0.25">
      <c r="A7299" s="2" t="str">
        <f t="shared" si="276"/>
        <v>48060</v>
      </c>
      <c r="B7299" s="2" t="str">
        <f>"13682"</f>
        <v>13682</v>
      </c>
      <c r="C7299" s="1">
        <v>5.7824037007383599E-3</v>
      </c>
      <c r="D7299" s="1">
        <v>2.64410364886303E-4</v>
      </c>
      <c r="E7299" s="1">
        <v>3.1486146095717802E-4</v>
      </c>
      <c r="F7299" s="1">
        <v>5.1770815192438598E-3</v>
      </c>
    </row>
    <row r="7300" spans="1:6" x14ac:dyDescent="0.25">
      <c r="A7300" s="2" t="str">
        <f t="shared" ref="A7300:A7339" si="277">"18500"</f>
        <v>18500</v>
      </c>
      <c r="B7300" s="2" t="str">
        <f>"14897"</f>
        <v>14897</v>
      </c>
      <c r="C7300" s="1">
        <v>1.62377202240805E-4</v>
      </c>
      <c r="D7300" s="1">
        <v>0</v>
      </c>
      <c r="E7300" s="1">
        <v>0</v>
      </c>
      <c r="F7300" s="1">
        <v>1.48931417082433E-4</v>
      </c>
    </row>
    <row r="7301" spans="1:6" x14ac:dyDescent="0.25">
      <c r="A7301" s="2" t="str">
        <f t="shared" si="277"/>
        <v>18500</v>
      </c>
      <c r="B7301" s="2" t="str">
        <f>"14840"</f>
        <v>14840</v>
      </c>
      <c r="C7301" s="1">
        <v>5.12300073069741E-2</v>
      </c>
      <c r="D7301" s="1">
        <v>2.0491803278688499E-2</v>
      </c>
      <c r="E7301" s="1">
        <v>1.2500000000000001E-2</v>
      </c>
      <c r="F7301" s="1">
        <v>4.8458559833196801E-2</v>
      </c>
    </row>
    <row r="7302" spans="1:6" x14ac:dyDescent="0.25">
      <c r="A7302" s="2" t="str">
        <f t="shared" si="277"/>
        <v>18500</v>
      </c>
      <c r="B7302" s="2" t="str">
        <f>"14814"</f>
        <v>14814</v>
      </c>
      <c r="C7302" s="1">
        <v>1.7049606235284499E-3</v>
      </c>
      <c r="D7302" s="1">
        <v>0</v>
      </c>
      <c r="E7302" s="1">
        <v>0</v>
      </c>
      <c r="F7302" s="1">
        <v>1.5637798793655499E-3</v>
      </c>
    </row>
    <row r="7303" spans="1:6" x14ac:dyDescent="0.25">
      <c r="A7303" s="2" t="str">
        <f t="shared" si="277"/>
        <v>18500</v>
      </c>
      <c r="B7303" s="2" t="str">
        <f>"14820"</f>
        <v>14820</v>
      </c>
      <c r="C7303" s="1">
        <v>6.39360233823171E-3</v>
      </c>
      <c r="D7303" s="1">
        <v>1.70765027322404E-3</v>
      </c>
      <c r="E7303" s="1">
        <v>1.9736842105263102E-3</v>
      </c>
      <c r="F7303" s="1">
        <v>6.0131059647032499E-3</v>
      </c>
    </row>
    <row r="7304" spans="1:6" x14ac:dyDescent="0.25">
      <c r="A7304" s="2" t="str">
        <f t="shared" si="277"/>
        <v>18500</v>
      </c>
      <c r="B7304" s="2" t="str">
        <f>"14826"</f>
        <v>14826</v>
      </c>
      <c r="C7304" s="1">
        <v>2.16367621985873E-2</v>
      </c>
      <c r="D7304" s="1">
        <v>8.1967213114753999E-3</v>
      </c>
      <c r="E7304" s="1">
        <v>5.9210526315789398E-3</v>
      </c>
      <c r="F7304" s="1">
        <v>2.0459453421699299E-2</v>
      </c>
    </row>
    <row r="7305" spans="1:6" x14ac:dyDescent="0.25">
      <c r="A7305" s="2" t="str">
        <f t="shared" si="277"/>
        <v>18500</v>
      </c>
      <c r="B7305" s="2" t="str">
        <f>"14821"</f>
        <v>14821</v>
      </c>
      <c r="C7305" s="1">
        <v>3.3348217910205397E-2</v>
      </c>
      <c r="D7305" s="1">
        <v>1.3661202185792301E-2</v>
      </c>
      <c r="E7305" s="1">
        <v>1.8421052631578901E-2</v>
      </c>
      <c r="F7305" s="1">
        <v>3.1852706828505398E-2</v>
      </c>
    </row>
    <row r="7306" spans="1:6" x14ac:dyDescent="0.25">
      <c r="A7306" s="2" t="str">
        <f t="shared" si="277"/>
        <v>18500</v>
      </c>
      <c r="B7306" s="2" t="str">
        <f>"14819"</f>
        <v>14819</v>
      </c>
      <c r="C7306" s="1">
        <v>7.0228139969148303E-3</v>
      </c>
      <c r="D7306" s="1">
        <v>2.39071038251366E-3</v>
      </c>
      <c r="E7306" s="1">
        <v>6.5789473684210503E-4</v>
      </c>
      <c r="F7306" s="1">
        <v>6.5902152058976799E-3</v>
      </c>
    </row>
    <row r="7307" spans="1:6" x14ac:dyDescent="0.25">
      <c r="A7307" s="2" t="str">
        <f t="shared" si="277"/>
        <v>18500</v>
      </c>
      <c r="B7307" s="2" t="str">
        <f>"14839"</f>
        <v>14839</v>
      </c>
      <c r="C7307" s="1">
        <v>6.8604367946740203E-3</v>
      </c>
      <c r="D7307" s="1">
        <v>2.04918032786885E-3</v>
      </c>
      <c r="E7307" s="1">
        <v>6.5789473684210503E-4</v>
      </c>
      <c r="F7307" s="1">
        <v>6.4226673616799403E-3</v>
      </c>
    </row>
    <row r="7308" spans="1:6" x14ac:dyDescent="0.25">
      <c r="A7308" s="2" t="str">
        <f t="shared" si="277"/>
        <v>18500</v>
      </c>
      <c r="B7308" s="2" t="str">
        <f>"14803"</f>
        <v>14803</v>
      </c>
      <c r="C7308" s="1">
        <v>6.2921165868311995E-4</v>
      </c>
      <c r="D7308" s="1">
        <v>0</v>
      </c>
      <c r="E7308" s="1">
        <v>0</v>
      </c>
      <c r="F7308" s="1">
        <v>5.7710924119442903E-4</v>
      </c>
    </row>
    <row r="7309" spans="1:6" x14ac:dyDescent="0.25">
      <c r="A7309" s="2" t="str">
        <f t="shared" si="277"/>
        <v>18500</v>
      </c>
      <c r="B7309" s="2" t="str">
        <f>"14898"</f>
        <v>14898</v>
      </c>
      <c r="C7309" s="1">
        <v>1.28683932775838E-2</v>
      </c>
      <c r="D7309" s="1">
        <v>9.5628415300546398E-3</v>
      </c>
      <c r="E7309" s="1">
        <v>3.2894736842105201E-3</v>
      </c>
      <c r="F7309" s="1">
        <v>1.24171568992478E-2</v>
      </c>
    </row>
    <row r="7310" spans="1:6" x14ac:dyDescent="0.25">
      <c r="A7310" s="2" t="str">
        <f t="shared" si="277"/>
        <v>18500</v>
      </c>
      <c r="B7310" s="2" t="str">
        <f>"14870"</f>
        <v>14870</v>
      </c>
      <c r="C7310" s="1">
        <v>9.7933750101485695E-2</v>
      </c>
      <c r="D7310" s="1">
        <v>8.7773224043715806E-2</v>
      </c>
      <c r="E7310" s="1">
        <v>7.3684210526315699E-2</v>
      </c>
      <c r="F7310" s="1">
        <v>9.6693722540769897E-2</v>
      </c>
    </row>
    <row r="7311" spans="1:6" x14ac:dyDescent="0.25">
      <c r="A7311" s="2" t="str">
        <f t="shared" si="277"/>
        <v>18500</v>
      </c>
      <c r="B7311" s="2" t="str">
        <f>"14809"</f>
        <v>14809</v>
      </c>
      <c r="C7311" s="1">
        <v>2.5209060647885001E-2</v>
      </c>
      <c r="D7311" s="1">
        <v>1.43442622950819E-2</v>
      </c>
      <c r="E7311" s="1">
        <v>9.8684210526315697E-3</v>
      </c>
      <c r="F7311" s="1">
        <v>2.4182738848760099E-2</v>
      </c>
    </row>
    <row r="7312" spans="1:6" x14ac:dyDescent="0.25">
      <c r="A7312" s="2" t="str">
        <f t="shared" si="277"/>
        <v>18500</v>
      </c>
      <c r="B7312" s="2" t="str">
        <f>"14807"</f>
        <v>14807</v>
      </c>
      <c r="C7312" s="1">
        <v>2.33823171226759E-2</v>
      </c>
      <c r="D7312" s="1">
        <v>1.63934426229508E-2</v>
      </c>
      <c r="E7312" s="1">
        <v>9.8684210526315697E-3</v>
      </c>
      <c r="F7312" s="1">
        <v>2.26189589693945E-2</v>
      </c>
    </row>
    <row r="7313" spans="1:6" x14ac:dyDescent="0.25">
      <c r="A7313" s="2" t="str">
        <f t="shared" si="277"/>
        <v>18500</v>
      </c>
      <c r="B7313" s="2" t="str">
        <f>"14856"</f>
        <v>14856</v>
      </c>
      <c r="C7313" s="1">
        <v>0</v>
      </c>
      <c r="D7313" s="1">
        <v>0</v>
      </c>
      <c r="E7313" s="1">
        <v>6.5789473684210503E-4</v>
      </c>
      <c r="F7313" s="1">
        <v>1.8616427135304098E-5</v>
      </c>
    </row>
    <row r="7314" spans="1:6" x14ac:dyDescent="0.25">
      <c r="A7314" s="2" t="str">
        <f t="shared" si="277"/>
        <v>18500</v>
      </c>
      <c r="B7314" s="2" t="str">
        <f>"14858"</f>
        <v>14858</v>
      </c>
      <c r="C7314" s="1">
        <v>1.96679386214175E-2</v>
      </c>
      <c r="D7314" s="1">
        <v>7.1721311475409803E-3</v>
      </c>
      <c r="E7314" s="1">
        <v>3.2894736842105201E-3</v>
      </c>
      <c r="F7314" s="1">
        <v>1.85233449996276E-2</v>
      </c>
    </row>
    <row r="7315" spans="1:6" x14ac:dyDescent="0.25">
      <c r="A7315" s="2" t="str">
        <f t="shared" si="277"/>
        <v>18500</v>
      </c>
      <c r="B7315" s="2" t="str">
        <f>"14843"</f>
        <v>14843</v>
      </c>
      <c r="C7315" s="1">
        <v>0.12963789883900301</v>
      </c>
      <c r="D7315" s="1">
        <v>0.20286885245901601</v>
      </c>
      <c r="E7315" s="1">
        <v>0.18947368421052599</v>
      </c>
      <c r="F7315" s="1">
        <v>0.135322808846526</v>
      </c>
    </row>
    <row r="7316" spans="1:6" x14ac:dyDescent="0.25">
      <c r="A7316" s="2" t="str">
        <f t="shared" si="277"/>
        <v>18500</v>
      </c>
      <c r="B7316" s="2" t="str">
        <f>"14812"</f>
        <v>14812</v>
      </c>
      <c r="C7316" s="1">
        <v>6.0079564829097903E-3</v>
      </c>
      <c r="D7316" s="1">
        <v>4.0983606557376999E-3</v>
      </c>
      <c r="E7316" s="1">
        <v>1.9736842105263102E-3</v>
      </c>
      <c r="F7316" s="1">
        <v>5.7897088390796003E-3</v>
      </c>
    </row>
    <row r="7317" spans="1:6" x14ac:dyDescent="0.25">
      <c r="A7317" s="2" t="str">
        <f t="shared" si="277"/>
        <v>18500</v>
      </c>
      <c r="B7317" s="2" t="str">
        <f>"14512"</f>
        <v>14512</v>
      </c>
      <c r="C7317" s="1">
        <v>2.4762523341722801E-3</v>
      </c>
      <c r="D7317" s="1">
        <v>3.4153005464480798E-4</v>
      </c>
      <c r="E7317" s="1">
        <v>6.5789473684210503E-4</v>
      </c>
      <c r="F7317" s="1">
        <v>2.3084369647777101E-3</v>
      </c>
    </row>
    <row r="7318" spans="1:6" x14ac:dyDescent="0.25">
      <c r="A7318" s="2" t="str">
        <f t="shared" si="277"/>
        <v>18500</v>
      </c>
      <c r="B7318" s="2" t="str">
        <f>"14874"</f>
        <v>14874</v>
      </c>
      <c r="C7318" s="1">
        <v>2.3950637330518699E-3</v>
      </c>
      <c r="D7318" s="1">
        <v>0</v>
      </c>
      <c r="E7318" s="1">
        <v>6.5789473684210503E-4</v>
      </c>
      <c r="F7318" s="1">
        <v>2.2153548291011902E-3</v>
      </c>
    </row>
    <row r="7319" spans="1:6" x14ac:dyDescent="0.25">
      <c r="A7319" s="2" t="str">
        <f t="shared" si="277"/>
        <v>18500</v>
      </c>
      <c r="B7319" s="2" t="str">
        <f>"14855"</f>
        <v>14855</v>
      </c>
      <c r="C7319" s="1">
        <v>7.2054883494357298E-3</v>
      </c>
      <c r="D7319" s="1">
        <v>2.04918032786885E-3</v>
      </c>
      <c r="E7319" s="1">
        <v>7.23684210526315E-3</v>
      </c>
      <c r="F7319" s="1">
        <v>6.9253108943331497E-3</v>
      </c>
    </row>
    <row r="7320" spans="1:6" x14ac:dyDescent="0.25">
      <c r="A7320" s="2" t="str">
        <f t="shared" si="277"/>
        <v>18500</v>
      </c>
      <c r="B7320" s="2" t="str">
        <f>"14837"</f>
        <v>14837</v>
      </c>
      <c r="C7320" s="1">
        <v>2.5168466347324798E-3</v>
      </c>
      <c r="D7320" s="1">
        <v>6.8306010928961705E-4</v>
      </c>
      <c r="E7320" s="1">
        <v>0</v>
      </c>
      <c r="F7320" s="1">
        <v>2.3456698190483199E-3</v>
      </c>
    </row>
    <row r="7321" spans="1:6" x14ac:dyDescent="0.25">
      <c r="A7321" s="2" t="str">
        <f t="shared" si="277"/>
        <v>18500</v>
      </c>
      <c r="B7321" s="2" t="str">
        <f>"14806"</f>
        <v>14806</v>
      </c>
      <c r="C7321" s="1">
        <v>1.9688235771697601E-3</v>
      </c>
      <c r="D7321" s="1">
        <v>0</v>
      </c>
      <c r="E7321" s="1">
        <v>1.9736842105263102E-3</v>
      </c>
      <c r="F7321" s="1">
        <v>1.86164271353041E-3</v>
      </c>
    </row>
    <row r="7322" spans="1:6" x14ac:dyDescent="0.25">
      <c r="A7322" s="2" t="str">
        <f t="shared" si="277"/>
        <v>18500</v>
      </c>
      <c r="B7322" s="2" t="str">
        <f>"14529"</f>
        <v>14529</v>
      </c>
      <c r="C7322" s="1">
        <v>0</v>
      </c>
      <c r="D7322" s="1">
        <v>0</v>
      </c>
      <c r="E7322" s="1">
        <v>6.5789473684210503E-4</v>
      </c>
      <c r="F7322" s="1">
        <v>1.8616427135304098E-5</v>
      </c>
    </row>
    <row r="7323" spans="1:6" x14ac:dyDescent="0.25">
      <c r="A7323" s="2" t="str">
        <f t="shared" si="277"/>
        <v>18500</v>
      </c>
      <c r="B7323" s="2" t="str">
        <f>"14885"</f>
        <v>14885</v>
      </c>
      <c r="C7323" s="1">
        <v>8.4233173662417692E-3</v>
      </c>
      <c r="D7323" s="1">
        <v>3.4153005464480799E-3</v>
      </c>
      <c r="E7323" s="1">
        <v>6.5789473684210503E-4</v>
      </c>
      <c r="F7323" s="1">
        <v>7.9305979596395806E-3</v>
      </c>
    </row>
    <row r="7324" spans="1:6" x14ac:dyDescent="0.25">
      <c r="A7324" s="2" t="str">
        <f t="shared" si="277"/>
        <v>18500</v>
      </c>
      <c r="B7324" s="2" t="str">
        <f>"14877"</f>
        <v>14877</v>
      </c>
      <c r="C7324" s="1">
        <v>6.7386538929934204E-3</v>
      </c>
      <c r="D7324" s="1">
        <v>2.39071038251366E-3</v>
      </c>
      <c r="E7324" s="1">
        <v>6.5789473684210503E-4</v>
      </c>
      <c r="F7324" s="1">
        <v>6.3295852260034204E-3</v>
      </c>
    </row>
    <row r="7325" spans="1:6" x14ac:dyDescent="0.25">
      <c r="A7325" s="2" t="str">
        <f t="shared" si="277"/>
        <v>18500</v>
      </c>
      <c r="B7325" s="2" t="str">
        <f>"14804"</f>
        <v>14804</v>
      </c>
      <c r="C7325" s="1">
        <v>2.02971502801006E-4</v>
      </c>
      <c r="D7325" s="1">
        <v>0</v>
      </c>
      <c r="E7325" s="1">
        <v>0</v>
      </c>
      <c r="F7325" s="1">
        <v>1.86164271353041E-4</v>
      </c>
    </row>
    <row r="7326" spans="1:6" x14ac:dyDescent="0.25">
      <c r="A7326" s="2" t="str">
        <f t="shared" si="277"/>
        <v>18500</v>
      </c>
      <c r="B7326" s="2" t="str">
        <f>"14823"</f>
        <v>14823</v>
      </c>
      <c r="C7326" s="1">
        <v>3.7204676463424499E-2</v>
      </c>
      <c r="D7326" s="1">
        <v>3.0396174863387901E-2</v>
      </c>
      <c r="E7326" s="1">
        <v>3.2894736842105199E-2</v>
      </c>
      <c r="F7326" s="1">
        <v>3.6711594310819801E-2</v>
      </c>
    </row>
    <row r="7327" spans="1:6" x14ac:dyDescent="0.25">
      <c r="A7327" s="2" t="str">
        <f t="shared" si="277"/>
        <v>18500</v>
      </c>
      <c r="B7327" s="2" t="str">
        <f>"14810"</f>
        <v>14810</v>
      </c>
      <c r="C7327" s="1">
        <v>0.124177965413655</v>
      </c>
      <c r="D7327" s="1">
        <v>0.17076502732240401</v>
      </c>
      <c r="E7327" s="1">
        <v>0.17499999999999999</v>
      </c>
      <c r="F7327" s="1">
        <v>0.128155484399434</v>
      </c>
    </row>
    <row r="7328" spans="1:6" x14ac:dyDescent="0.25">
      <c r="A7328" s="2" t="str">
        <f t="shared" si="277"/>
        <v>18500</v>
      </c>
      <c r="B7328" s="2" t="str">
        <f>"14572"</f>
        <v>14572</v>
      </c>
      <c r="C7328" s="1">
        <v>4.0310140456279897E-2</v>
      </c>
      <c r="D7328" s="1">
        <v>4.0983606557376998E-2</v>
      </c>
      <c r="E7328" s="1">
        <v>4.6052631578947303E-2</v>
      </c>
      <c r="F7328" s="1">
        <v>4.0509345446421902E-2</v>
      </c>
    </row>
    <row r="7329" spans="1:6" x14ac:dyDescent="0.25">
      <c r="A7329" s="2" t="str">
        <f t="shared" si="277"/>
        <v>18500</v>
      </c>
      <c r="B7329" s="2" t="str">
        <f>"14879"</f>
        <v>14879</v>
      </c>
      <c r="C7329" s="1">
        <v>1.9566452870017001E-2</v>
      </c>
      <c r="D7329" s="1">
        <v>9.5628415300546398E-3</v>
      </c>
      <c r="E7329" s="1">
        <v>9.8684210526315697E-3</v>
      </c>
      <c r="F7329" s="1">
        <v>1.8746742125251299E-2</v>
      </c>
    </row>
    <row r="7330" spans="1:6" x14ac:dyDescent="0.25">
      <c r="A7330" s="2" t="str">
        <f t="shared" si="277"/>
        <v>18500</v>
      </c>
      <c r="B7330" s="2" t="str">
        <f>"14871"</f>
        <v>14871</v>
      </c>
      <c r="C7330" s="1">
        <v>3.7549728018186198E-3</v>
      </c>
      <c r="D7330" s="1">
        <v>0</v>
      </c>
      <c r="E7330" s="1">
        <v>6.5789473684210503E-4</v>
      </c>
      <c r="F7330" s="1">
        <v>3.4626554471665701E-3</v>
      </c>
    </row>
    <row r="7331" spans="1:6" x14ac:dyDescent="0.25">
      <c r="A7331" s="2" t="str">
        <f t="shared" si="277"/>
        <v>18500</v>
      </c>
      <c r="B7331" s="2" t="str">
        <f>"14873"</f>
        <v>14873</v>
      </c>
      <c r="C7331" s="1">
        <v>2.6528375416091501E-2</v>
      </c>
      <c r="D7331" s="1">
        <v>4.4398907103825099E-3</v>
      </c>
      <c r="E7331" s="1">
        <v>6.5789473684210497E-3</v>
      </c>
      <c r="F7331" s="1">
        <v>2.47598480899545E-2</v>
      </c>
    </row>
    <row r="7332" spans="1:6" x14ac:dyDescent="0.25">
      <c r="A7332" s="2" t="str">
        <f t="shared" si="277"/>
        <v>18500</v>
      </c>
      <c r="B7332" s="2" t="str">
        <f>"14808"</f>
        <v>14808</v>
      </c>
      <c r="C7332" s="1">
        <v>5.1148818705853598E-3</v>
      </c>
      <c r="D7332" s="1">
        <v>3.7568306010928899E-3</v>
      </c>
      <c r="E7332" s="1">
        <v>4.6052631578947303E-3</v>
      </c>
      <c r="F7332" s="1">
        <v>5.0264353265321304E-3</v>
      </c>
    </row>
    <row r="7333" spans="1:6" x14ac:dyDescent="0.25">
      <c r="A7333" s="2" t="str">
        <f t="shared" si="277"/>
        <v>18500</v>
      </c>
      <c r="B7333" s="2" t="str">
        <f>"14815"</f>
        <v>14815</v>
      </c>
      <c r="C7333" s="1">
        <v>3.1663554436957E-3</v>
      </c>
      <c r="D7333" s="1">
        <v>2.04918032786885E-3</v>
      </c>
      <c r="E7333" s="1">
        <v>6.5789473684210503E-4</v>
      </c>
      <c r="F7333" s="1">
        <v>3.03447762305458E-3</v>
      </c>
    </row>
    <row r="7334" spans="1:6" x14ac:dyDescent="0.25">
      <c r="A7334" s="2" t="str">
        <f t="shared" si="277"/>
        <v>18500</v>
      </c>
      <c r="B7334" s="2" t="str">
        <f>"14418"</f>
        <v>14418</v>
      </c>
      <c r="C7334" s="1">
        <v>3.4708126978972098E-3</v>
      </c>
      <c r="D7334" s="1">
        <v>6.8306010928961705E-4</v>
      </c>
      <c r="E7334" s="1">
        <v>0</v>
      </c>
      <c r="F7334" s="1">
        <v>3.2206418944076198E-3</v>
      </c>
    </row>
    <row r="7335" spans="1:6" x14ac:dyDescent="0.25">
      <c r="A7335" s="2" t="str">
        <f t="shared" si="277"/>
        <v>18500</v>
      </c>
      <c r="B7335" s="2" t="str">
        <f>"14827"</f>
        <v>14827</v>
      </c>
      <c r="C7335" s="1">
        <v>0</v>
      </c>
      <c r="D7335" s="1">
        <v>0</v>
      </c>
      <c r="E7335" s="1">
        <v>6.5789473684210503E-4</v>
      </c>
      <c r="F7335" s="1">
        <v>1.8616427135304098E-5</v>
      </c>
    </row>
    <row r="7336" spans="1:6" x14ac:dyDescent="0.25">
      <c r="A7336" s="2" t="str">
        <f t="shared" si="277"/>
        <v>18500</v>
      </c>
      <c r="B7336" s="2" t="str">
        <f>"14831"</f>
        <v>14831</v>
      </c>
      <c r="C7336" s="1">
        <v>0</v>
      </c>
      <c r="D7336" s="1">
        <v>1.02459016393442E-3</v>
      </c>
      <c r="E7336" s="1">
        <v>0</v>
      </c>
      <c r="F7336" s="1">
        <v>5.5849281405912502E-5</v>
      </c>
    </row>
    <row r="7337" spans="1:6" x14ac:dyDescent="0.25">
      <c r="A7337" s="2" t="str">
        <f t="shared" si="277"/>
        <v>18500</v>
      </c>
      <c r="B7337" s="2" t="str">
        <f>"14830"</f>
        <v>14830</v>
      </c>
      <c r="C7337" s="1">
        <v>0.20276853129820499</v>
      </c>
      <c r="D7337" s="1">
        <v>0.28790983606557302</v>
      </c>
      <c r="E7337" s="1">
        <v>0.35197368421052599</v>
      </c>
      <c r="F7337" s="1">
        <v>0.211631543674138</v>
      </c>
    </row>
    <row r="7338" spans="1:6" x14ac:dyDescent="0.25">
      <c r="A7338" s="2" t="str">
        <f t="shared" si="277"/>
        <v>18500</v>
      </c>
      <c r="B7338" s="2" t="str">
        <f>"14801"</f>
        <v>14801</v>
      </c>
      <c r="C7338" s="1">
        <v>4.9707721035966497E-2</v>
      </c>
      <c r="D7338" s="1">
        <v>4.5765027322404297E-2</v>
      </c>
      <c r="E7338" s="1">
        <v>1.3157894736842099E-2</v>
      </c>
      <c r="F7338" s="1">
        <v>4.8458559833196801E-2</v>
      </c>
    </row>
    <row r="7339" spans="1:6" x14ac:dyDescent="0.25">
      <c r="A7339" s="2" t="str">
        <f t="shared" si="277"/>
        <v>18500</v>
      </c>
      <c r="B7339" s="2" t="str">
        <f>"14437"</f>
        <v>14437</v>
      </c>
      <c r="C7339" s="1">
        <v>8.6059917187626799E-3</v>
      </c>
      <c r="D7339" s="1">
        <v>3.07377049180327E-3</v>
      </c>
      <c r="E7339" s="1">
        <v>1.3157894736842099E-2</v>
      </c>
      <c r="F7339" s="1">
        <v>8.4332414922927892E-3</v>
      </c>
    </row>
    <row r="7340" spans="1:6" x14ac:dyDescent="0.25">
      <c r="A7340" s="2" t="str">
        <f t="shared" ref="A7340:A7361" si="278">"11020"</f>
        <v>11020</v>
      </c>
      <c r="B7340" s="2" t="str">
        <f>"16686"</f>
        <v>16686</v>
      </c>
      <c r="C7340" s="1">
        <v>9.4193463319763304E-2</v>
      </c>
      <c r="D7340" s="1">
        <v>6.2670796137729995E-2</v>
      </c>
      <c r="E7340" s="1">
        <v>8.2876712328767102E-2</v>
      </c>
      <c r="F7340" s="1">
        <v>9.1390375913164304E-2</v>
      </c>
    </row>
    <row r="7341" spans="1:6" x14ac:dyDescent="0.25">
      <c r="A7341" s="2" t="str">
        <f t="shared" si="278"/>
        <v>11020</v>
      </c>
      <c r="B7341" s="2" t="str">
        <f>"16682"</f>
        <v>16682</v>
      </c>
      <c r="C7341" s="1">
        <v>1.30206187266164E-3</v>
      </c>
      <c r="D7341" s="1">
        <v>9.1091273456002896E-4</v>
      </c>
      <c r="E7341" s="1">
        <v>0</v>
      </c>
      <c r="F7341" s="1">
        <v>1.2421992842566001E-3</v>
      </c>
    </row>
    <row r="7342" spans="1:6" x14ac:dyDescent="0.25">
      <c r="A7342" s="2" t="str">
        <f t="shared" si="278"/>
        <v>11020</v>
      </c>
      <c r="B7342" s="2" t="str">
        <f>"16673"</f>
        <v>16673</v>
      </c>
      <c r="C7342" s="1">
        <v>3.5353452112142102E-2</v>
      </c>
      <c r="D7342" s="1">
        <v>3.2246310803425E-2</v>
      </c>
      <c r="E7342" s="1">
        <v>3.4931506849315001E-2</v>
      </c>
      <c r="F7342" s="1">
        <v>3.5092129780248997E-2</v>
      </c>
    </row>
    <row r="7343" spans="1:6" x14ac:dyDescent="0.25">
      <c r="A7343" s="2" t="str">
        <f t="shared" si="278"/>
        <v>11020</v>
      </c>
      <c r="B7343" s="2" t="str">
        <f>"16613"</f>
        <v>16613</v>
      </c>
      <c r="C7343" s="1">
        <v>2.14263346134194E-4</v>
      </c>
      <c r="D7343" s="1">
        <v>1.8218254691200499E-4</v>
      </c>
      <c r="E7343" s="1">
        <v>0</v>
      </c>
      <c r="F7343" s="1">
        <v>2.0703321404276701E-4</v>
      </c>
    </row>
    <row r="7344" spans="1:6" x14ac:dyDescent="0.25">
      <c r="A7344" s="2" t="str">
        <f t="shared" si="278"/>
        <v>11020</v>
      </c>
      <c r="B7344" s="2" t="str">
        <f>"16617"</f>
        <v>16617</v>
      </c>
      <c r="C7344" s="1">
        <v>1.97616732319153E-2</v>
      </c>
      <c r="D7344" s="1">
        <v>1.8036072144288502E-2</v>
      </c>
      <c r="E7344" s="1">
        <v>1.23287671232876E-2</v>
      </c>
      <c r="F7344" s="1">
        <v>1.9461122120020099E-2</v>
      </c>
    </row>
    <row r="7345" spans="1:6" x14ac:dyDescent="0.25">
      <c r="A7345" s="2" t="str">
        <f t="shared" si="278"/>
        <v>11020</v>
      </c>
      <c r="B7345" s="2" t="str">
        <f>"16665"</f>
        <v>16665</v>
      </c>
      <c r="C7345" s="1">
        <v>0</v>
      </c>
      <c r="D7345" s="1">
        <v>1.8218254691200499E-4</v>
      </c>
      <c r="E7345" s="1">
        <v>6.8493150684931497E-4</v>
      </c>
      <c r="F7345" s="1">
        <v>2.9576173434681001E-5</v>
      </c>
    </row>
    <row r="7346" spans="1:6" x14ac:dyDescent="0.25">
      <c r="A7346" s="2" t="str">
        <f t="shared" si="278"/>
        <v>11020</v>
      </c>
      <c r="B7346" s="2" t="str">
        <f>"16602"</f>
        <v>16602</v>
      </c>
      <c r="C7346" s="1">
        <v>0.23089347815337899</v>
      </c>
      <c r="D7346" s="1">
        <v>0.29914374202951299</v>
      </c>
      <c r="E7346" s="1">
        <v>0.32191780821917798</v>
      </c>
      <c r="F7346" s="1">
        <v>0.23839874597024599</v>
      </c>
    </row>
    <row r="7347" spans="1:6" x14ac:dyDescent="0.25">
      <c r="A7347" s="2" t="str">
        <f t="shared" si="278"/>
        <v>11020</v>
      </c>
      <c r="B7347" s="2" t="str">
        <f>"16641"</f>
        <v>16641</v>
      </c>
      <c r="C7347" s="1">
        <v>9.3946236381916095E-4</v>
      </c>
      <c r="D7347" s="1">
        <v>3.6436509382401102E-4</v>
      </c>
      <c r="E7347" s="1">
        <v>0</v>
      </c>
      <c r="F7347" s="1">
        <v>8.7249711632309001E-4</v>
      </c>
    </row>
    <row r="7348" spans="1:6" x14ac:dyDescent="0.25">
      <c r="A7348" s="2" t="str">
        <f t="shared" si="278"/>
        <v>11020</v>
      </c>
      <c r="B7348" s="2" t="str">
        <f>"16631"</f>
        <v>16631</v>
      </c>
      <c r="C7348" s="1">
        <v>0</v>
      </c>
      <c r="D7348" s="1">
        <v>1.8218254691200499E-4</v>
      </c>
      <c r="E7348" s="1">
        <v>0</v>
      </c>
      <c r="F7348" s="1">
        <v>1.47880867173405E-5</v>
      </c>
    </row>
    <row r="7349" spans="1:6" x14ac:dyDescent="0.25">
      <c r="A7349" s="2" t="str">
        <f t="shared" si="278"/>
        <v>11020</v>
      </c>
      <c r="B7349" s="2" t="str">
        <f>"16611"</f>
        <v>16611</v>
      </c>
      <c r="C7349" s="1">
        <v>1.6481795856476499E-4</v>
      </c>
      <c r="D7349" s="1">
        <v>1.8218254691200499E-4</v>
      </c>
      <c r="E7349" s="1">
        <v>0</v>
      </c>
      <c r="F7349" s="1">
        <v>1.6266895389074499E-4</v>
      </c>
    </row>
    <row r="7350" spans="1:6" x14ac:dyDescent="0.25">
      <c r="A7350" s="2" t="str">
        <f t="shared" si="278"/>
        <v>11020</v>
      </c>
      <c r="B7350" s="2" t="str">
        <f>"16693"</f>
        <v>16693</v>
      </c>
      <c r="C7350" s="1">
        <v>3.02276136007779E-2</v>
      </c>
      <c r="D7350" s="1">
        <v>1.73073419566405E-2</v>
      </c>
      <c r="E7350" s="1">
        <v>2.3972602739725998E-2</v>
      </c>
      <c r="F7350" s="1">
        <v>2.9043802312856699E-2</v>
      </c>
    </row>
    <row r="7351" spans="1:6" x14ac:dyDescent="0.25">
      <c r="A7351" s="2" t="str">
        <f t="shared" si="278"/>
        <v>11020</v>
      </c>
      <c r="B7351" s="2" t="str">
        <f>"16662"</f>
        <v>16662</v>
      </c>
      <c r="C7351" s="1">
        <v>3.8913520017140997E-2</v>
      </c>
      <c r="D7351" s="1">
        <v>3.1699763162689E-2</v>
      </c>
      <c r="E7351" s="1">
        <v>4.3150684931506797E-2</v>
      </c>
      <c r="F7351" s="1">
        <v>3.8419449291650601E-2</v>
      </c>
    </row>
    <row r="7352" spans="1:6" x14ac:dyDescent="0.25">
      <c r="A7352" s="2" t="str">
        <f t="shared" si="278"/>
        <v>11020</v>
      </c>
      <c r="B7352" s="2" t="str">
        <f>"16636"</f>
        <v>16636</v>
      </c>
      <c r="C7352" s="1">
        <v>4.9445387569429502E-4</v>
      </c>
      <c r="D7352" s="1">
        <v>0</v>
      </c>
      <c r="E7352" s="1">
        <v>0</v>
      </c>
      <c r="F7352" s="1">
        <v>4.4364260152021499E-4</v>
      </c>
    </row>
    <row r="7353" spans="1:6" x14ac:dyDescent="0.25">
      <c r="A7353" s="2" t="str">
        <f t="shared" si="278"/>
        <v>11020</v>
      </c>
      <c r="B7353" s="2" t="str">
        <f>"16603"</f>
        <v>16603</v>
      </c>
      <c r="C7353" s="1">
        <v>1.9465000906498699E-2</v>
      </c>
      <c r="D7353" s="1">
        <v>5.8844962652577798E-2</v>
      </c>
      <c r="E7353" s="1">
        <v>1.3698630136986299E-3</v>
      </c>
      <c r="F7353" s="1">
        <v>2.2270858596314801E-2</v>
      </c>
    </row>
    <row r="7354" spans="1:6" x14ac:dyDescent="0.25">
      <c r="A7354" s="2" t="str">
        <f t="shared" si="278"/>
        <v>11020</v>
      </c>
      <c r="B7354" s="2" t="str">
        <f>"16637"</f>
        <v>16637</v>
      </c>
      <c r="C7354" s="1">
        <v>2.0140754536614298E-2</v>
      </c>
      <c r="D7354" s="1">
        <v>9.8378575332483103E-3</v>
      </c>
      <c r="E7354" s="1">
        <v>1.3698630136986301E-2</v>
      </c>
      <c r="F7354" s="1">
        <v>1.9165360385673302E-2</v>
      </c>
    </row>
    <row r="7355" spans="1:6" x14ac:dyDescent="0.25">
      <c r="A7355" s="2" t="str">
        <f t="shared" si="278"/>
        <v>11020</v>
      </c>
      <c r="B7355" s="2" t="str">
        <f>"16648"</f>
        <v>16648</v>
      </c>
      <c r="C7355" s="1">
        <v>0.12578906597662801</v>
      </c>
      <c r="D7355" s="1">
        <v>0.135725997449444</v>
      </c>
      <c r="E7355" s="1">
        <v>0.162328767123287</v>
      </c>
      <c r="F7355" s="1">
        <v>0.12738457898317099</v>
      </c>
    </row>
    <row r="7356" spans="1:6" x14ac:dyDescent="0.25">
      <c r="A7356" s="2" t="str">
        <f t="shared" si="278"/>
        <v>11020</v>
      </c>
      <c r="B7356" s="2" t="str">
        <f>"15946"</f>
        <v>15946</v>
      </c>
      <c r="C7356" s="1">
        <v>2.95024145830929E-3</v>
      </c>
      <c r="D7356" s="1">
        <v>3.6436509382401102E-4</v>
      </c>
      <c r="E7356" s="1">
        <v>0</v>
      </c>
      <c r="F7356" s="1">
        <v>2.67664369583863E-3</v>
      </c>
    </row>
    <row r="7357" spans="1:6" x14ac:dyDescent="0.25">
      <c r="A7357" s="2" t="str">
        <f t="shared" si="278"/>
        <v>11020</v>
      </c>
      <c r="B7357" s="2" t="str">
        <f>"16684"</f>
        <v>16684</v>
      </c>
      <c r="C7357" s="1">
        <v>0</v>
      </c>
      <c r="D7357" s="1">
        <v>1.8218254691200499E-4</v>
      </c>
      <c r="E7357" s="1">
        <v>6.8493150684931497E-4</v>
      </c>
      <c r="F7357" s="1">
        <v>2.9576173434681001E-5</v>
      </c>
    </row>
    <row r="7358" spans="1:6" x14ac:dyDescent="0.25">
      <c r="A7358" s="2" t="str">
        <f t="shared" si="278"/>
        <v>11020</v>
      </c>
      <c r="B7358" s="2" t="str">
        <f>"16655"</f>
        <v>16655</v>
      </c>
      <c r="C7358" s="1">
        <v>4.7797207983781898E-4</v>
      </c>
      <c r="D7358" s="1">
        <v>0</v>
      </c>
      <c r="E7358" s="1">
        <v>0</v>
      </c>
      <c r="F7358" s="1">
        <v>4.2885451480287399E-4</v>
      </c>
    </row>
    <row r="7359" spans="1:6" x14ac:dyDescent="0.25">
      <c r="A7359" s="2" t="str">
        <f t="shared" si="278"/>
        <v>11020</v>
      </c>
      <c r="B7359" s="2" t="str">
        <f>"16635"</f>
        <v>16635</v>
      </c>
      <c r="C7359" s="1">
        <v>0.10037413676594199</v>
      </c>
      <c r="D7359" s="1">
        <v>0.111860083803971</v>
      </c>
      <c r="E7359" s="1">
        <v>3.4246575342465703E-2</v>
      </c>
      <c r="F7359" s="1">
        <v>9.9878737688917807E-2</v>
      </c>
    </row>
    <row r="7360" spans="1:6" x14ac:dyDescent="0.25">
      <c r="A7360" s="2" t="str">
        <f t="shared" si="278"/>
        <v>11020</v>
      </c>
      <c r="B7360" s="2" t="str">
        <f>"16625"</f>
        <v>16625</v>
      </c>
      <c r="C7360" s="1">
        <v>1.9432037314785801E-2</v>
      </c>
      <c r="D7360" s="1">
        <v>1.40280561122244E-2</v>
      </c>
      <c r="E7360" s="1">
        <v>3.2876712328767099E-2</v>
      </c>
      <c r="F7360" s="1">
        <v>1.9283665079412E-2</v>
      </c>
    </row>
    <row r="7361" spans="1:6" x14ac:dyDescent="0.25">
      <c r="A7361" s="2" t="str">
        <f t="shared" si="278"/>
        <v>11020</v>
      </c>
      <c r="B7361" s="2" t="str">
        <f>"16601"</f>
        <v>16601</v>
      </c>
      <c r="C7361" s="1">
        <v>0.258912531109389</v>
      </c>
      <c r="D7361" s="1">
        <v>0.206048460557478</v>
      </c>
      <c r="E7361" s="1">
        <v>0.23493150684931499</v>
      </c>
      <c r="F7361" s="1">
        <v>0.25410369406406103</v>
      </c>
    </row>
    <row r="7362" spans="1:6" x14ac:dyDescent="0.25">
      <c r="A7362" s="2" t="str">
        <f t="shared" ref="A7362:A7391" si="279">"32740"</f>
        <v>32740</v>
      </c>
      <c r="B7362" s="2" t="str">
        <f>"16438"</f>
        <v>16438</v>
      </c>
      <c r="C7362" s="1">
        <v>2.5471650903267699E-2</v>
      </c>
      <c r="D7362" s="1">
        <v>7.6169749727965103E-3</v>
      </c>
      <c r="E7362" s="1">
        <v>3.3467202141900898E-3</v>
      </c>
      <c r="F7362" s="1">
        <v>2.3610828414410701E-2</v>
      </c>
    </row>
    <row r="7363" spans="1:6" x14ac:dyDescent="0.25">
      <c r="A7363" s="2" t="str">
        <f t="shared" si="279"/>
        <v>32740</v>
      </c>
      <c r="B7363" s="2" t="str">
        <f>"16328"</f>
        <v>16328</v>
      </c>
      <c r="C7363" s="1">
        <v>2.3269779312415501E-3</v>
      </c>
      <c r="D7363" s="1">
        <v>1.4508523757707601E-3</v>
      </c>
      <c r="E7363" s="1">
        <v>2.6773761713520701E-3</v>
      </c>
      <c r="F7363" s="1">
        <v>2.2841893389420301E-3</v>
      </c>
    </row>
    <row r="7364" spans="1:6" x14ac:dyDescent="0.25">
      <c r="A7364" s="2" t="str">
        <f t="shared" si="279"/>
        <v>32740</v>
      </c>
      <c r="B7364" s="2" t="str">
        <f>"16110"</f>
        <v>16110</v>
      </c>
      <c r="C7364" s="1">
        <v>3.0275734374218002E-3</v>
      </c>
      <c r="D7364" s="1">
        <v>3.62713093942691E-4</v>
      </c>
      <c r="E7364" s="1">
        <v>2.6773761713520701E-3</v>
      </c>
      <c r="F7364" s="1">
        <v>2.8495827396702602E-3</v>
      </c>
    </row>
    <row r="7365" spans="1:6" x14ac:dyDescent="0.25">
      <c r="A7365" s="2" t="str">
        <f t="shared" si="279"/>
        <v>32740</v>
      </c>
      <c r="B7365" s="2" t="str">
        <f>"16316"</f>
        <v>16316</v>
      </c>
      <c r="C7365" s="1">
        <v>7.4087974778561702E-2</v>
      </c>
      <c r="D7365" s="1">
        <v>4.7878128400435198E-2</v>
      </c>
      <c r="E7365" s="1">
        <v>6.9611780455153899E-2</v>
      </c>
      <c r="F7365" s="1">
        <v>7.2302508085125602E-2</v>
      </c>
    </row>
    <row r="7366" spans="1:6" x14ac:dyDescent="0.25">
      <c r="A7366" s="2" t="str">
        <f t="shared" si="279"/>
        <v>32740</v>
      </c>
      <c r="B7366" s="2" t="str">
        <f>"16406"</f>
        <v>16406</v>
      </c>
      <c r="C7366" s="1">
        <v>3.5680328279037103E-2</v>
      </c>
      <c r="D7366" s="1">
        <v>1.55966630395357E-2</v>
      </c>
      <c r="E7366" s="1">
        <v>5.5555555555555497E-2</v>
      </c>
      <c r="F7366" s="1">
        <v>3.5099622317208298E-2</v>
      </c>
    </row>
    <row r="7367" spans="1:6" x14ac:dyDescent="0.25">
      <c r="A7367" s="2" t="str">
        <f t="shared" si="279"/>
        <v>32740</v>
      </c>
      <c r="B7367" s="2" t="str">
        <f>"16335"</f>
        <v>16335</v>
      </c>
      <c r="C7367" s="1">
        <v>0.329179802832407</v>
      </c>
      <c r="D7367" s="1">
        <v>0.543706927820094</v>
      </c>
      <c r="E7367" s="1">
        <v>0.54350736278447098</v>
      </c>
      <c r="F7367" s="1">
        <v>0.349797589162539</v>
      </c>
    </row>
    <row r="7368" spans="1:6" x14ac:dyDescent="0.25">
      <c r="A7368" s="2" t="str">
        <f t="shared" si="279"/>
        <v>32740</v>
      </c>
      <c r="B7368" s="2" t="str">
        <f>"16314"</f>
        <v>16314</v>
      </c>
      <c r="C7368" s="1">
        <v>5.26697693039083E-2</v>
      </c>
      <c r="D7368" s="1">
        <v>3.77221617700398E-2</v>
      </c>
      <c r="E7368" s="1">
        <v>4.0160642570281103E-3</v>
      </c>
      <c r="F7368" s="1">
        <v>5.0093855304520797E-2</v>
      </c>
    </row>
    <row r="7369" spans="1:6" x14ac:dyDescent="0.25">
      <c r="A7369" s="2" t="str">
        <f t="shared" si="279"/>
        <v>32740</v>
      </c>
      <c r="B7369" s="2" t="str">
        <f>"16440"</f>
        <v>16440</v>
      </c>
      <c r="C7369" s="1">
        <v>8.2820397337736995E-3</v>
      </c>
      <c r="D7369" s="1">
        <v>4.7152702212549802E-3</v>
      </c>
      <c r="E7369" s="1">
        <v>6.6934404283801796E-4</v>
      </c>
      <c r="F7369" s="1">
        <v>7.8024289300495202E-3</v>
      </c>
    </row>
    <row r="7370" spans="1:6" x14ac:dyDescent="0.25">
      <c r="A7370" s="2" t="str">
        <f t="shared" si="279"/>
        <v>32740</v>
      </c>
      <c r="B7370" s="2" t="str">
        <f>"16412"</f>
        <v>16412</v>
      </c>
      <c r="C7370" s="1">
        <v>7.0559975979582598E-3</v>
      </c>
      <c r="D7370" s="1">
        <v>3.9898440333695998E-3</v>
      </c>
      <c r="E7370" s="1">
        <v>2.6773761713520701E-3</v>
      </c>
      <c r="F7370" s="1">
        <v>6.7168736006513298E-3</v>
      </c>
    </row>
    <row r="7371" spans="1:6" x14ac:dyDescent="0.25">
      <c r="A7371" s="2" t="str">
        <f t="shared" si="279"/>
        <v>32740</v>
      </c>
      <c r="B7371" s="2" t="str">
        <f>"16131"</f>
        <v>16131</v>
      </c>
      <c r="C7371" s="1">
        <v>1.0058549767302199E-2</v>
      </c>
      <c r="D7371" s="1">
        <v>2.1762785636561398E-3</v>
      </c>
      <c r="E7371" s="1">
        <v>3.3467202141900898E-3</v>
      </c>
      <c r="F7371" s="1">
        <v>9.3402989800303003E-3</v>
      </c>
    </row>
    <row r="7372" spans="1:6" x14ac:dyDescent="0.25">
      <c r="A7372" s="2" t="str">
        <f t="shared" si="279"/>
        <v>32740</v>
      </c>
      <c r="B7372" s="2" t="str">
        <f>"16134"</f>
        <v>16134</v>
      </c>
      <c r="C7372" s="1">
        <v>3.5880498423660097E-2</v>
      </c>
      <c r="D7372" s="1">
        <v>9.7932535364526601E-3</v>
      </c>
      <c r="E7372" s="1">
        <v>3.3467202141900898E-3</v>
      </c>
      <c r="F7372" s="1">
        <v>3.3154669018703203E-2</v>
      </c>
    </row>
    <row r="7373" spans="1:6" x14ac:dyDescent="0.25">
      <c r="A7373" s="2" t="str">
        <f t="shared" si="279"/>
        <v>32740</v>
      </c>
      <c r="B7373" s="2" t="str">
        <f>"16317"</f>
        <v>16317</v>
      </c>
      <c r="C7373" s="1">
        <v>4.5038282540159097E-4</v>
      </c>
      <c r="D7373" s="1">
        <v>0</v>
      </c>
      <c r="E7373" s="1">
        <v>0</v>
      </c>
      <c r="F7373" s="1">
        <v>4.0708324852432301E-4</v>
      </c>
    </row>
    <row r="7374" spans="1:6" x14ac:dyDescent="0.25">
      <c r="A7374" s="2" t="str">
        <f t="shared" si="279"/>
        <v>32740</v>
      </c>
      <c r="B7374" s="2" t="str">
        <f>"16401"</f>
        <v>16401</v>
      </c>
      <c r="C7374" s="1">
        <v>1.30110594004904E-3</v>
      </c>
      <c r="D7374" s="1">
        <v>0</v>
      </c>
      <c r="E7374" s="1">
        <v>0</v>
      </c>
      <c r="F7374" s="1">
        <v>1.17601827351471E-3</v>
      </c>
    </row>
    <row r="7375" spans="1:6" x14ac:dyDescent="0.25">
      <c r="A7375" s="2" t="str">
        <f t="shared" si="279"/>
        <v>32740</v>
      </c>
      <c r="B7375" s="2" t="str">
        <f>"16354"</f>
        <v>16354</v>
      </c>
      <c r="C7375" s="1">
        <v>9.8258519741780501E-2</v>
      </c>
      <c r="D7375" s="1">
        <v>0.16467174464998099</v>
      </c>
      <c r="E7375" s="1">
        <v>0.106425702811244</v>
      </c>
      <c r="F7375" s="1">
        <v>0.10267544157224499</v>
      </c>
    </row>
    <row r="7376" spans="1:6" x14ac:dyDescent="0.25">
      <c r="A7376" s="2" t="str">
        <f t="shared" si="279"/>
        <v>32740</v>
      </c>
      <c r="B7376" s="2" t="str">
        <f>"16125"</f>
        <v>16125</v>
      </c>
      <c r="C7376" s="1">
        <v>1.80153130160636E-3</v>
      </c>
      <c r="D7376" s="1">
        <v>7.2542618788538199E-4</v>
      </c>
      <c r="E7376" s="1">
        <v>0</v>
      </c>
      <c r="F7376" s="1">
        <v>1.6735644661555499E-3</v>
      </c>
    </row>
    <row r="7377" spans="1:6" x14ac:dyDescent="0.25">
      <c r="A7377" s="2" t="str">
        <f t="shared" si="279"/>
        <v>32740</v>
      </c>
      <c r="B7377" s="2" t="str">
        <f>"16435"</f>
        <v>16435</v>
      </c>
      <c r="C7377" s="1">
        <v>1.9716759245358501E-2</v>
      </c>
      <c r="D7377" s="1">
        <v>4.35255712731229E-3</v>
      </c>
      <c r="E7377" s="1">
        <v>6.0240963855421603E-3</v>
      </c>
      <c r="F7377" s="1">
        <v>1.8296130447565399E-2</v>
      </c>
    </row>
    <row r="7378" spans="1:6" x14ac:dyDescent="0.25">
      <c r="A7378" s="2" t="str">
        <f t="shared" si="279"/>
        <v>32740</v>
      </c>
      <c r="B7378" s="2" t="str">
        <f>"16403"</f>
        <v>16403</v>
      </c>
      <c r="C7378" s="1">
        <v>6.1051894109993399E-2</v>
      </c>
      <c r="D7378" s="1">
        <v>5.4406964091403602E-2</v>
      </c>
      <c r="E7378" s="1">
        <v>4.9531459170013302E-2</v>
      </c>
      <c r="F7378" s="1">
        <v>6.02483207815998E-2</v>
      </c>
    </row>
    <row r="7379" spans="1:6" x14ac:dyDescent="0.25">
      <c r="A7379" s="2" t="str">
        <f t="shared" si="279"/>
        <v>32740</v>
      </c>
      <c r="B7379" s="2" t="str">
        <f>"16422"</f>
        <v>16422</v>
      </c>
      <c r="C7379" s="1">
        <v>0</v>
      </c>
      <c r="D7379" s="1">
        <v>0</v>
      </c>
      <c r="E7379" s="1">
        <v>2.6773761713520701E-3</v>
      </c>
      <c r="F7379" s="1">
        <v>9.0462944116516197E-5</v>
      </c>
    </row>
    <row r="7380" spans="1:6" x14ac:dyDescent="0.25">
      <c r="A7380" s="2" t="str">
        <f t="shared" si="279"/>
        <v>32740</v>
      </c>
      <c r="B7380" s="2" t="str">
        <f>"16407"</f>
        <v>16407</v>
      </c>
      <c r="C7380" s="1">
        <v>1.1509783315818401E-3</v>
      </c>
      <c r="D7380" s="1">
        <v>7.2542618788538199E-4</v>
      </c>
      <c r="E7380" s="1">
        <v>0</v>
      </c>
      <c r="F7380" s="1">
        <v>1.0855553293981899E-3</v>
      </c>
    </row>
    <row r="7381" spans="1:6" x14ac:dyDescent="0.25">
      <c r="A7381" s="2" t="str">
        <f t="shared" si="279"/>
        <v>32740</v>
      </c>
      <c r="B7381" s="2" t="str">
        <f>"16441"</f>
        <v>16441</v>
      </c>
      <c r="C7381" s="1">
        <v>1.3761697442826401E-3</v>
      </c>
      <c r="D7381" s="1">
        <v>0</v>
      </c>
      <c r="E7381" s="1">
        <v>0</v>
      </c>
      <c r="F7381" s="1">
        <v>1.2438654816020901E-3</v>
      </c>
    </row>
    <row r="7382" spans="1:6" x14ac:dyDescent="0.25">
      <c r="A7382" s="2" t="str">
        <f t="shared" si="279"/>
        <v>32740</v>
      </c>
      <c r="B7382" s="2" t="str">
        <f>"16388"</f>
        <v>16388</v>
      </c>
      <c r="C7382" s="1">
        <v>0</v>
      </c>
      <c r="D7382" s="1">
        <v>3.62713093942691E-4</v>
      </c>
      <c r="E7382" s="1">
        <v>0</v>
      </c>
      <c r="F7382" s="1">
        <v>2.2615736029128998E-5</v>
      </c>
    </row>
    <row r="7383" spans="1:6" x14ac:dyDescent="0.25">
      <c r="A7383" s="2" t="str">
        <f t="shared" si="279"/>
        <v>32740</v>
      </c>
      <c r="B7383" s="2" t="str">
        <f>"16420"</f>
        <v>16420</v>
      </c>
      <c r="C7383" s="1">
        <v>5.0042536155732299E-5</v>
      </c>
      <c r="D7383" s="1">
        <v>0</v>
      </c>
      <c r="E7383" s="1">
        <v>0</v>
      </c>
      <c r="F7383" s="1">
        <v>4.5231472058258098E-5</v>
      </c>
    </row>
    <row r="7384" spans="1:6" x14ac:dyDescent="0.25">
      <c r="A7384" s="2" t="str">
        <f t="shared" si="279"/>
        <v>32740</v>
      </c>
      <c r="B7384" s="2" t="str">
        <f>"16433"</f>
        <v>16433</v>
      </c>
      <c r="C7384" s="1">
        <v>4.8966621628384097E-2</v>
      </c>
      <c r="D7384" s="1">
        <v>2.1037359448676001E-2</v>
      </c>
      <c r="E7384" s="1">
        <v>6.6934404283801796E-3</v>
      </c>
      <c r="F7384" s="1">
        <v>4.5796865458986299E-2</v>
      </c>
    </row>
    <row r="7385" spans="1:6" x14ac:dyDescent="0.25">
      <c r="A7385" s="2" t="str">
        <f t="shared" si="279"/>
        <v>32740</v>
      </c>
      <c r="B7385" s="2" t="str">
        <f>"16362"</f>
        <v>16362</v>
      </c>
      <c r="C7385" s="1">
        <v>1.00085072311464E-4</v>
      </c>
      <c r="D7385" s="1">
        <v>0</v>
      </c>
      <c r="E7385" s="1">
        <v>0</v>
      </c>
      <c r="F7385" s="1">
        <v>9.0462944116516197E-5</v>
      </c>
    </row>
    <row r="7386" spans="1:6" x14ac:dyDescent="0.25">
      <c r="A7386" s="2" t="str">
        <f t="shared" si="279"/>
        <v>32740</v>
      </c>
      <c r="B7386" s="2" t="str">
        <f>"16404"</f>
        <v>16404</v>
      </c>
      <c r="C7386" s="1">
        <v>3.7156583095631197E-2</v>
      </c>
      <c r="D7386" s="1">
        <v>1.6684802321363799E-2</v>
      </c>
      <c r="E7386" s="1">
        <v>3.3467202141900898E-3</v>
      </c>
      <c r="F7386" s="1">
        <v>3.4737770540742202E-2</v>
      </c>
    </row>
    <row r="7387" spans="1:6" x14ac:dyDescent="0.25">
      <c r="A7387" s="2" t="str">
        <f t="shared" si="279"/>
        <v>32740</v>
      </c>
      <c r="B7387" s="2" t="str">
        <f>"16360"</f>
        <v>16360</v>
      </c>
      <c r="C7387" s="1">
        <v>1.50127608467197E-2</v>
      </c>
      <c r="D7387" s="1">
        <v>1.0155966630395301E-2</v>
      </c>
      <c r="E7387" s="1">
        <v>4.6854082998661296E-3</v>
      </c>
      <c r="F7387" s="1">
        <v>1.43609923784969E-2</v>
      </c>
    </row>
    <row r="7388" spans="1:6" x14ac:dyDescent="0.25">
      <c r="A7388" s="2" t="str">
        <f t="shared" si="279"/>
        <v>32740</v>
      </c>
      <c r="B7388" s="2" t="str">
        <f>"16434"</f>
        <v>16434</v>
      </c>
      <c r="C7388" s="1">
        <v>2.4170544963218701E-2</v>
      </c>
      <c r="D7388" s="1">
        <v>1.6322089227421101E-2</v>
      </c>
      <c r="E7388" s="1">
        <v>6.6934404283801796E-4</v>
      </c>
      <c r="F7388" s="1">
        <v>2.2887124861478599E-2</v>
      </c>
    </row>
    <row r="7389" spans="1:6" x14ac:dyDescent="0.25">
      <c r="A7389" s="2" t="str">
        <f t="shared" si="279"/>
        <v>32740</v>
      </c>
      <c r="B7389" s="2" t="str">
        <f>"16424"</f>
        <v>16424</v>
      </c>
      <c r="C7389" s="1">
        <v>6.5655807436320796E-2</v>
      </c>
      <c r="D7389" s="1">
        <v>2.1762785636561401E-2</v>
      </c>
      <c r="E7389" s="1">
        <v>0.12650602409638501</v>
      </c>
      <c r="F7389" s="1">
        <v>6.4975009611687798E-2</v>
      </c>
    </row>
    <row r="7390" spans="1:6" x14ac:dyDescent="0.25">
      <c r="A7390" s="2" t="str">
        <f t="shared" si="279"/>
        <v>32740</v>
      </c>
      <c r="B7390" s="2" t="str">
        <f>"16327"</f>
        <v>16327</v>
      </c>
      <c r="C7390" s="1">
        <v>2.8299054196066601E-2</v>
      </c>
      <c r="D7390" s="1">
        <v>1.0155966630395301E-2</v>
      </c>
      <c r="E7390" s="1">
        <v>1.3386880856760301E-3</v>
      </c>
      <c r="F7390" s="1">
        <v>2.6256869529818799E-2</v>
      </c>
    </row>
    <row r="7391" spans="1:6" x14ac:dyDescent="0.25">
      <c r="A7391" s="2" t="str">
        <f t="shared" si="279"/>
        <v>32740</v>
      </c>
      <c r="B7391" s="2" t="str">
        <f>"16111"</f>
        <v>16111</v>
      </c>
      <c r="C7391" s="1">
        <v>1.1759995996597101E-2</v>
      </c>
      <c r="D7391" s="1">
        <v>3.6271309394269101E-3</v>
      </c>
      <c r="E7391" s="1">
        <v>6.6934404283801796E-4</v>
      </c>
      <c r="F7391" s="1">
        <v>1.0878169030011001E-2</v>
      </c>
    </row>
    <row r="7392" spans="1:6" x14ac:dyDescent="0.25">
      <c r="A7392" s="2" t="str">
        <f t="shared" ref="A7392:A7406" si="280">"30380"</f>
        <v>30380</v>
      </c>
      <c r="B7392" s="2" t="str">
        <f>"17060"</f>
        <v>17060</v>
      </c>
      <c r="C7392" s="1">
        <v>9.6655712352600005E-5</v>
      </c>
      <c r="D7392" s="1">
        <v>0</v>
      </c>
      <c r="E7392" s="1">
        <v>0</v>
      </c>
      <c r="F7392" s="1">
        <v>8.8362640275691399E-5</v>
      </c>
    </row>
    <row r="7393" spans="1:6" x14ac:dyDescent="0.25">
      <c r="A7393" s="2" t="str">
        <f t="shared" si="280"/>
        <v>30380</v>
      </c>
      <c r="B7393" s="2" t="str">
        <f>"17075"</f>
        <v>17075</v>
      </c>
      <c r="C7393" s="1">
        <v>0</v>
      </c>
      <c r="D7393" s="1">
        <v>7.5244544770504103E-4</v>
      </c>
      <c r="E7393" s="1">
        <v>0</v>
      </c>
      <c r="F7393" s="1">
        <v>4.4181320137845699E-5</v>
      </c>
    </row>
    <row r="7394" spans="1:6" x14ac:dyDescent="0.25">
      <c r="A7394" s="2" t="str">
        <f t="shared" si="280"/>
        <v>30380</v>
      </c>
      <c r="B7394" s="2" t="str">
        <f>"17059"</f>
        <v>17059</v>
      </c>
      <c r="C7394" s="1">
        <v>9.6655712352600005E-5</v>
      </c>
      <c r="D7394" s="1">
        <v>0</v>
      </c>
      <c r="E7394" s="1">
        <v>0</v>
      </c>
      <c r="F7394" s="1">
        <v>8.8362640275691399E-5</v>
      </c>
    </row>
    <row r="7395" spans="1:6" x14ac:dyDescent="0.25">
      <c r="A7395" s="2" t="str">
        <f t="shared" si="280"/>
        <v>30380</v>
      </c>
      <c r="B7395" s="2" t="str">
        <f>"17099"</f>
        <v>17099</v>
      </c>
      <c r="C7395" s="1">
        <v>2.4405567369031499E-2</v>
      </c>
      <c r="D7395" s="1">
        <v>2.7088036117381399E-2</v>
      </c>
      <c r="E7395" s="1">
        <v>1.6313213703099499E-2</v>
      </c>
      <c r="F7395" s="1">
        <v>2.43439073959529E-2</v>
      </c>
    </row>
    <row r="7396" spans="1:6" x14ac:dyDescent="0.25">
      <c r="A7396" s="2" t="str">
        <f t="shared" si="280"/>
        <v>30380</v>
      </c>
      <c r="B7396" s="2" t="str">
        <f>"17044"</f>
        <v>17044</v>
      </c>
      <c r="C7396" s="1">
        <v>0.51232360332495597</v>
      </c>
      <c r="D7396" s="1">
        <v>0.61851015801354403</v>
      </c>
      <c r="E7396" s="1">
        <v>0.794453507340946</v>
      </c>
      <c r="F7396" s="1">
        <v>0.52619952284174198</v>
      </c>
    </row>
    <row r="7397" spans="1:6" x14ac:dyDescent="0.25">
      <c r="A7397" s="2" t="str">
        <f t="shared" si="280"/>
        <v>30380</v>
      </c>
      <c r="B7397" s="2" t="str">
        <f>"17063"</f>
        <v>17063</v>
      </c>
      <c r="C7397" s="1">
        <v>6.6402474386236199E-2</v>
      </c>
      <c r="D7397" s="1">
        <v>3.4612490594431902E-2</v>
      </c>
      <c r="E7397" s="1">
        <v>2.77324632952691E-2</v>
      </c>
      <c r="F7397" s="1">
        <v>6.3488557038084203E-2</v>
      </c>
    </row>
    <row r="7398" spans="1:6" x14ac:dyDescent="0.25">
      <c r="A7398" s="2" t="str">
        <f t="shared" si="280"/>
        <v>30380</v>
      </c>
      <c r="B7398" s="2" t="str">
        <f>"17084"</f>
        <v>17084</v>
      </c>
      <c r="C7398" s="1">
        <v>8.1432437657065496E-2</v>
      </c>
      <c r="D7398" s="1">
        <v>5.8690744920993201E-2</v>
      </c>
      <c r="E7398" s="1">
        <v>4.5676998368678598E-2</v>
      </c>
      <c r="F7398" s="1">
        <v>7.9128744366881595E-2</v>
      </c>
    </row>
    <row r="7399" spans="1:6" x14ac:dyDescent="0.25">
      <c r="A7399" s="2" t="str">
        <f t="shared" si="280"/>
        <v>30380</v>
      </c>
      <c r="B7399" s="2" t="str">
        <f>"17051"</f>
        <v>17051</v>
      </c>
      <c r="C7399" s="1">
        <v>8.8101681809394899E-2</v>
      </c>
      <c r="D7399" s="1">
        <v>3.00978179082016E-2</v>
      </c>
      <c r="E7399" s="1">
        <v>9.7879282218597003E-3</v>
      </c>
      <c r="F7399" s="1">
        <v>8.2574887337633601E-2</v>
      </c>
    </row>
    <row r="7400" spans="1:6" x14ac:dyDescent="0.25">
      <c r="A7400" s="2" t="str">
        <f t="shared" si="280"/>
        <v>30380</v>
      </c>
      <c r="B7400" s="2" t="str">
        <f>"17009"</f>
        <v>17009</v>
      </c>
      <c r="C7400" s="1">
        <v>4.5283201237193101E-2</v>
      </c>
      <c r="D7400" s="1">
        <v>9.7817908201655299E-2</v>
      </c>
      <c r="E7400" s="1">
        <v>6.3621533442087999E-2</v>
      </c>
      <c r="F7400" s="1">
        <v>4.8864540072457302E-2</v>
      </c>
    </row>
    <row r="7401" spans="1:6" x14ac:dyDescent="0.25">
      <c r="A7401" s="2" t="str">
        <f t="shared" si="280"/>
        <v>30380</v>
      </c>
      <c r="B7401" s="2" t="str">
        <f>"17004"</f>
        <v>17004</v>
      </c>
      <c r="C7401" s="1">
        <v>8.9406533926154996E-2</v>
      </c>
      <c r="D7401" s="1">
        <v>9.3303235515425104E-2</v>
      </c>
      <c r="E7401" s="1">
        <v>2.9363784665579099E-2</v>
      </c>
      <c r="F7401" s="1">
        <v>8.8009189714588598E-2</v>
      </c>
    </row>
    <row r="7402" spans="1:6" x14ac:dyDescent="0.25">
      <c r="A7402" s="2" t="str">
        <f t="shared" si="280"/>
        <v>30380</v>
      </c>
      <c r="B7402" s="2" t="str">
        <f>"17029"</f>
        <v>17029</v>
      </c>
      <c r="C7402" s="1">
        <v>7.7807848443843001E-3</v>
      </c>
      <c r="D7402" s="1">
        <v>7.5244544770504103E-4</v>
      </c>
      <c r="E7402" s="1">
        <v>0</v>
      </c>
      <c r="F7402" s="1">
        <v>7.1573738623309999E-3</v>
      </c>
    </row>
    <row r="7403" spans="1:6" x14ac:dyDescent="0.25">
      <c r="A7403" s="2" t="str">
        <f t="shared" si="280"/>
        <v>30380</v>
      </c>
      <c r="B7403" s="2" t="str">
        <f>"17002"</f>
        <v>17002</v>
      </c>
      <c r="C7403" s="1">
        <v>7.2491784264450002E-3</v>
      </c>
      <c r="D7403" s="1">
        <v>6.01956358164033E-3</v>
      </c>
      <c r="E7403" s="1">
        <v>0</v>
      </c>
      <c r="F7403" s="1">
        <v>6.98064858177962E-3</v>
      </c>
    </row>
    <row r="7404" spans="1:6" x14ac:dyDescent="0.25">
      <c r="A7404" s="2" t="str">
        <f t="shared" si="280"/>
        <v>30380</v>
      </c>
      <c r="B7404" s="2" t="str">
        <f>"17066"</f>
        <v>17066</v>
      </c>
      <c r="C7404" s="1">
        <v>2.7595205876667299E-2</v>
      </c>
      <c r="D7404" s="1">
        <v>1.8058690744920902E-2</v>
      </c>
      <c r="E7404" s="1">
        <v>9.7879282218597003E-3</v>
      </c>
      <c r="F7404" s="1">
        <v>2.6552973402845199E-2</v>
      </c>
    </row>
    <row r="7405" spans="1:6" x14ac:dyDescent="0.25">
      <c r="A7405" s="2" t="str">
        <f t="shared" si="280"/>
        <v>30380</v>
      </c>
      <c r="B7405" s="2" t="str">
        <f>"17841"</f>
        <v>17841</v>
      </c>
      <c r="C7405" s="1">
        <v>4.9826019717765298E-2</v>
      </c>
      <c r="D7405" s="1">
        <v>1.35440180586907E-2</v>
      </c>
      <c r="E7405" s="1">
        <v>3.2626427406199001E-3</v>
      </c>
      <c r="F7405" s="1">
        <v>4.6434567464875801E-2</v>
      </c>
    </row>
    <row r="7406" spans="1:6" x14ac:dyDescent="0.25">
      <c r="A7406" s="2" t="str">
        <f t="shared" si="280"/>
        <v>30380</v>
      </c>
      <c r="B7406" s="2" t="str">
        <f>"17054"</f>
        <v>17054</v>
      </c>
      <c r="C7406" s="1">
        <v>0</v>
      </c>
      <c r="D7406" s="1">
        <v>7.5244544770504103E-4</v>
      </c>
      <c r="E7406" s="1">
        <v>0</v>
      </c>
      <c r="F7406" s="1">
        <v>4.4181320137845699E-5</v>
      </c>
    </row>
    <row r="7407" spans="1:6" x14ac:dyDescent="0.25">
      <c r="A7407" s="2" t="str">
        <f t="shared" ref="A7407:A7438" si="281">"49620"</f>
        <v>49620</v>
      </c>
      <c r="B7407" s="2" t="str">
        <f>"17372"</f>
        <v>17372</v>
      </c>
      <c r="C7407" s="1">
        <v>3.2179962609948199E-4</v>
      </c>
      <c r="D7407" s="1">
        <v>0</v>
      </c>
      <c r="E7407" s="1">
        <v>0</v>
      </c>
      <c r="F7407" s="1">
        <v>2.9478649035627003E-4</v>
      </c>
    </row>
    <row r="7408" spans="1:6" x14ac:dyDescent="0.25">
      <c r="A7408" s="2" t="str">
        <f t="shared" si="281"/>
        <v>49620</v>
      </c>
      <c r="B7408" s="2" t="str">
        <f>"17402"</f>
        <v>17402</v>
      </c>
      <c r="C7408" s="1">
        <v>8.3458477632372005E-2</v>
      </c>
      <c r="D7408" s="1">
        <v>0.149324162201071</v>
      </c>
      <c r="E7408" s="1">
        <v>6.87879345227147E-2</v>
      </c>
      <c r="F7408" s="1">
        <v>8.69386189018969E-2</v>
      </c>
    </row>
    <row r="7409" spans="1:6" x14ac:dyDescent="0.25">
      <c r="A7409" s="2" t="str">
        <f t="shared" si="281"/>
        <v>49620</v>
      </c>
      <c r="B7409" s="2" t="str">
        <f>"17401"</f>
        <v>17401</v>
      </c>
      <c r="C7409" s="1">
        <v>4.0567184610826701E-2</v>
      </c>
      <c r="D7409" s="1">
        <v>8.58993841478045E-2</v>
      </c>
      <c r="E7409" s="1">
        <v>0.195328306051131</v>
      </c>
      <c r="F7409" s="1">
        <v>4.7156480155722102E-2</v>
      </c>
    </row>
    <row r="7410" spans="1:6" x14ac:dyDescent="0.25">
      <c r="A7410" s="2" t="str">
        <f t="shared" si="281"/>
        <v>49620</v>
      </c>
      <c r="B7410" s="2" t="str">
        <f>"17070"</f>
        <v>17070</v>
      </c>
      <c r="C7410" s="1">
        <v>1.8965746217577399E-2</v>
      </c>
      <c r="D7410" s="1">
        <v>2.2474606094537299E-2</v>
      </c>
      <c r="E7410" s="1">
        <v>2.51977193305131E-2</v>
      </c>
      <c r="F7410" s="1">
        <v>1.93295712962183E-2</v>
      </c>
    </row>
    <row r="7411" spans="1:6" x14ac:dyDescent="0.25">
      <c r="A7411" s="2" t="str">
        <f t="shared" si="281"/>
        <v>49620</v>
      </c>
      <c r="B7411" s="2" t="str">
        <f>"17356"</f>
        <v>17356</v>
      </c>
      <c r="C7411" s="1">
        <v>5.2065136330666902E-2</v>
      </c>
      <c r="D7411" s="1">
        <v>4.5269135407502097E-2</v>
      </c>
      <c r="E7411" s="1">
        <v>4.1567040647415801E-2</v>
      </c>
      <c r="F7411" s="1">
        <v>5.1400469786724301E-2</v>
      </c>
    </row>
    <row r="7412" spans="1:6" x14ac:dyDescent="0.25">
      <c r="A7412" s="2" t="str">
        <f t="shared" si="281"/>
        <v>49620</v>
      </c>
      <c r="B7412" s="2" t="str">
        <f>"17317"</f>
        <v>17317</v>
      </c>
      <c r="C7412" s="1">
        <v>5.1079305730076501E-6</v>
      </c>
      <c r="D7412" s="1">
        <v>0</v>
      </c>
      <c r="E7412" s="1">
        <v>1.83924958616884E-4</v>
      </c>
      <c r="F7412" s="1">
        <v>9.3583012811514407E-6</v>
      </c>
    </row>
    <row r="7413" spans="1:6" x14ac:dyDescent="0.25">
      <c r="A7413" s="2" t="str">
        <f t="shared" si="281"/>
        <v>49620</v>
      </c>
      <c r="B7413" s="2" t="str">
        <f>"17331"</f>
        <v>17331</v>
      </c>
      <c r="C7413" s="1">
        <v>0.100871412955755</v>
      </c>
      <c r="D7413" s="1">
        <v>0.13572742541789901</v>
      </c>
      <c r="E7413" s="1">
        <v>0.126356446569799</v>
      </c>
      <c r="F7413" s="1">
        <v>0.103558961977221</v>
      </c>
    </row>
    <row r="7414" spans="1:6" x14ac:dyDescent="0.25">
      <c r="A7414" s="2" t="str">
        <f t="shared" si="281"/>
        <v>49620</v>
      </c>
      <c r="B7414" s="2" t="str">
        <f>"17345"</f>
        <v>17345</v>
      </c>
      <c r="C7414" s="1">
        <v>1.8347686618243399E-2</v>
      </c>
      <c r="D7414" s="1">
        <v>1.48764296568823E-2</v>
      </c>
      <c r="E7414" s="1">
        <v>1.5449696523818199E-2</v>
      </c>
      <c r="F7414" s="1">
        <v>1.8070879773903401E-2</v>
      </c>
    </row>
    <row r="7415" spans="1:6" x14ac:dyDescent="0.25">
      <c r="A7415" s="2" t="str">
        <f t="shared" si="281"/>
        <v>49620</v>
      </c>
      <c r="B7415" s="2" t="str">
        <f>"17339"</f>
        <v>17339</v>
      </c>
      <c r="C7415" s="1">
        <v>1.49866683012044E-2</v>
      </c>
      <c r="D7415" s="1">
        <v>1.0237542989682401E-2</v>
      </c>
      <c r="E7415" s="1">
        <v>1.47139966893507E-2</v>
      </c>
      <c r="F7415" s="1">
        <v>1.4701891312688901E-2</v>
      </c>
    </row>
    <row r="7416" spans="1:6" x14ac:dyDescent="0.25">
      <c r="A7416" s="2" t="str">
        <f t="shared" si="281"/>
        <v>49620</v>
      </c>
      <c r="B7416" s="2" t="str">
        <f>"17311"</f>
        <v>17311</v>
      </c>
      <c r="C7416" s="1">
        <v>0</v>
      </c>
      <c r="D7416" s="1">
        <v>0</v>
      </c>
      <c r="E7416" s="1">
        <v>1.83924958616884E-4</v>
      </c>
      <c r="F7416" s="1">
        <v>4.6791506405757204E-6</v>
      </c>
    </row>
    <row r="7417" spans="1:6" x14ac:dyDescent="0.25">
      <c r="A7417" s="2" t="str">
        <f t="shared" si="281"/>
        <v>49620</v>
      </c>
      <c r="B7417" s="2" t="str">
        <f>"17323"</f>
        <v>17323</v>
      </c>
      <c r="C7417" s="1">
        <v>5.1079305730076501E-6</v>
      </c>
      <c r="D7417" s="1">
        <v>0</v>
      </c>
      <c r="E7417" s="1">
        <v>1.83924958616884E-4</v>
      </c>
      <c r="F7417" s="1">
        <v>9.3583012811514407E-6</v>
      </c>
    </row>
    <row r="7418" spans="1:6" x14ac:dyDescent="0.25">
      <c r="A7418" s="2" t="str">
        <f t="shared" si="281"/>
        <v>49620</v>
      </c>
      <c r="B7418" s="2" t="str">
        <f>"17329"</f>
        <v>17329</v>
      </c>
      <c r="C7418" s="1">
        <v>5.2611684901978798E-3</v>
      </c>
      <c r="D7418" s="1">
        <v>1.3596736783172E-3</v>
      </c>
      <c r="E7418" s="1">
        <v>0</v>
      </c>
      <c r="F7418" s="1">
        <v>4.8990707206827801E-3</v>
      </c>
    </row>
    <row r="7419" spans="1:6" x14ac:dyDescent="0.25">
      <c r="A7419" s="2" t="str">
        <f t="shared" si="281"/>
        <v>49620</v>
      </c>
      <c r="B7419" s="2" t="str">
        <f>"17319"</f>
        <v>17319</v>
      </c>
      <c r="C7419" s="1">
        <v>2.2147986964561099E-2</v>
      </c>
      <c r="D7419" s="1">
        <v>1.42365832200271E-2</v>
      </c>
      <c r="E7419" s="1">
        <v>8.27662313775979E-3</v>
      </c>
      <c r="F7419" s="1">
        <v>2.1332247770384699E-2</v>
      </c>
    </row>
    <row r="7420" spans="1:6" x14ac:dyDescent="0.25">
      <c r="A7420" s="2" t="str">
        <f t="shared" si="281"/>
        <v>49620</v>
      </c>
      <c r="B7420" s="2" t="str">
        <f>"17316"</f>
        <v>17316</v>
      </c>
      <c r="C7420" s="1">
        <v>3.6981417348575301E-3</v>
      </c>
      <c r="D7420" s="1">
        <v>1.51963528753099E-3</v>
      </c>
      <c r="E7420" s="1">
        <v>3.67849917233768E-4</v>
      </c>
      <c r="F7420" s="1">
        <v>3.4859672272289101E-3</v>
      </c>
    </row>
    <row r="7421" spans="1:6" x14ac:dyDescent="0.25">
      <c r="A7421" s="2" t="str">
        <f t="shared" si="281"/>
        <v>49620</v>
      </c>
      <c r="B7421" s="2" t="str">
        <f>"17370"</f>
        <v>17370</v>
      </c>
      <c r="C7421" s="1">
        <v>1.3147813294921601E-2</v>
      </c>
      <c r="D7421" s="1">
        <v>4.87882908102055E-3</v>
      </c>
      <c r="E7421" s="1">
        <v>3.3106492551039099E-3</v>
      </c>
      <c r="F7421" s="1">
        <v>1.2413786649447299E-2</v>
      </c>
    </row>
    <row r="7422" spans="1:6" x14ac:dyDescent="0.25">
      <c r="A7422" s="2" t="str">
        <f t="shared" si="281"/>
        <v>49620</v>
      </c>
      <c r="B7422" s="2" t="str">
        <f>"17349"</f>
        <v>17349</v>
      </c>
      <c r="C7422" s="1">
        <v>1.89963938010154E-2</v>
      </c>
      <c r="D7422" s="1">
        <v>1.4476525633847799E-2</v>
      </c>
      <c r="E7422" s="1">
        <v>5.1498988412727598E-3</v>
      </c>
      <c r="F7422" s="1">
        <v>1.83797037161814E-2</v>
      </c>
    </row>
    <row r="7423" spans="1:6" x14ac:dyDescent="0.25">
      <c r="A7423" s="2" t="str">
        <f t="shared" si="281"/>
        <v>49620</v>
      </c>
      <c r="B7423" s="2" t="str">
        <f>"17362"</f>
        <v>17362</v>
      </c>
      <c r="C7423" s="1">
        <v>2.9181607363592699E-2</v>
      </c>
      <c r="D7423" s="1">
        <v>1.5756218507558099E-2</v>
      </c>
      <c r="E7423" s="1">
        <v>1.32425970204156E-2</v>
      </c>
      <c r="F7423" s="1">
        <v>2.79906791319239E-2</v>
      </c>
    </row>
    <row r="7424" spans="1:6" x14ac:dyDescent="0.25">
      <c r="A7424" s="2" t="str">
        <f t="shared" si="281"/>
        <v>49620</v>
      </c>
      <c r="B7424" s="2" t="str">
        <f>"17312"</f>
        <v>17312</v>
      </c>
      <c r="C7424" s="1">
        <v>0</v>
      </c>
      <c r="D7424" s="1">
        <v>0</v>
      </c>
      <c r="E7424" s="1">
        <v>1.83924958616884E-4</v>
      </c>
      <c r="F7424" s="1">
        <v>4.6791506405757204E-6</v>
      </c>
    </row>
    <row r="7425" spans="1:6" x14ac:dyDescent="0.25">
      <c r="A7425" s="2" t="str">
        <f t="shared" si="281"/>
        <v>49620</v>
      </c>
      <c r="B7425" s="2" t="str">
        <f>"17309"</f>
        <v>17309</v>
      </c>
      <c r="C7425" s="1">
        <v>4.5000868348197397E-3</v>
      </c>
      <c r="D7425" s="1">
        <v>3.5191554027033502E-3</v>
      </c>
      <c r="E7425" s="1">
        <v>2.02317454478572E-3</v>
      </c>
      <c r="F7425" s="1">
        <v>4.3796849995788702E-3</v>
      </c>
    </row>
    <row r="7426" spans="1:6" x14ac:dyDescent="0.25">
      <c r="A7426" s="2" t="str">
        <f t="shared" si="281"/>
        <v>49620</v>
      </c>
      <c r="B7426" s="2" t="str">
        <f>"17315"</f>
        <v>17315</v>
      </c>
      <c r="C7426" s="1">
        <v>5.8092494406815999E-2</v>
      </c>
      <c r="D7426" s="1">
        <v>2.1194913220826998E-2</v>
      </c>
      <c r="E7426" s="1">
        <v>1.1035497517013E-2</v>
      </c>
      <c r="F7426" s="1">
        <v>5.4736704193454798E-2</v>
      </c>
    </row>
    <row r="7427" spans="1:6" x14ac:dyDescent="0.25">
      <c r="A7427" s="2" t="str">
        <f t="shared" si="281"/>
        <v>49620</v>
      </c>
      <c r="B7427" s="2" t="str">
        <f>"17405"</f>
        <v>17405</v>
      </c>
      <c r="C7427" s="1">
        <v>4.4745471819547002E-3</v>
      </c>
      <c r="D7427" s="1">
        <v>1.8875469887226999E-2</v>
      </c>
      <c r="E7427" s="1">
        <v>3.67849917233768E-4</v>
      </c>
      <c r="F7427" s="1">
        <v>5.2125738136013502E-3</v>
      </c>
    </row>
    <row r="7428" spans="1:6" x14ac:dyDescent="0.25">
      <c r="A7428" s="2" t="str">
        <f t="shared" si="281"/>
        <v>49620</v>
      </c>
      <c r="B7428" s="2" t="str">
        <f>"17322"</f>
        <v>17322</v>
      </c>
      <c r="C7428" s="1">
        <v>1.2049608221724999E-2</v>
      </c>
      <c r="D7428" s="1">
        <v>2.8793089658481902E-3</v>
      </c>
      <c r="E7428" s="1">
        <v>5.5177487585065198E-4</v>
      </c>
      <c r="F7428" s="1">
        <v>1.1220603236100499E-2</v>
      </c>
    </row>
    <row r="7429" spans="1:6" x14ac:dyDescent="0.25">
      <c r="A7429" s="2" t="str">
        <f t="shared" si="281"/>
        <v>49620</v>
      </c>
      <c r="B7429" s="2" t="str">
        <f>"17321"</f>
        <v>17321</v>
      </c>
      <c r="C7429" s="1">
        <v>4.5409502794037998E-3</v>
      </c>
      <c r="D7429" s="1">
        <v>2.8793089658481902E-3</v>
      </c>
      <c r="E7429" s="1">
        <v>1.4713996689350701E-3</v>
      </c>
      <c r="F7429" s="1">
        <v>4.3656475476571404E-3</v>
      </c>
    </row>
    <row r="7430" spans="1:6" x14ac:dyDescent="0.25">
      <c r="A7430" s="2" t="str">
        <f t="shared" si="281"/>
        <v>49620</v>
      </c>
      <c r="B7430" s="2" t="str">
        <f>"17408"</f>
        <v>17408</v>
      </c>
      <c r="C7430" s="1">
        <v>5.4481187491699598E-2</v>
      </c>
      <c r="D7430" s="1">
        <v>3.5591458050067901E-2</v>
      </c>
      <c r="E7430" s="1">
        <v>5.5729262460915897E-2</v>
      </c>
      <c r="F7430" s="1">
        <v>5.3407825411531197E-2</v>
      </c>
    </row>
    <row r="7431" spans="1:6" x14ac:dyDescent="0.25">
      <c r="A7431" s="2" t="str">
        <f t="shared" si="281"/>
        <v>49620</v>
      </c>
      <c r="B7431" s="2" t="str">
        <f>"17371"</f>
        <v>17371</v>
      </c>
      <c r="C7431" s="1">
        <v>2.04317222920306E-5</v>
      </c>
      <c r="D7431" s="1">
        <v>0</v>
      </c>
      <c r="E7431" s="1">
        <v>1.83924958616884E-4</v>
      </c>
      <c r="F7431" s="1">
        <v>2.3395753202878599E-5</v>
      </c>
    </row>
    <row r="7432" spans="1:6" x14ac:dyDescent="0.25">
      <c r="A7432" s="2" t="str">
        <f t="shared" si="281"/>
        <v>49620</v>
      </c>
      <c r="B7432" s="2" t="str">
        <f>"17363"</f>
        <v>17363</v>
      </c>
      <c r="C7432" s="1">
        <v>2.25004341740987E-2</v>
      </c>
      <c r="D7432" s="1">
        <v>1.8715508278013201E-2</v>
      </c>
      <c r="E7432" s="1">
        <v>8.0926981791429008E-3</v>
      </c>
      <c r="F7432" s="1">
        <v>2.1912462449816102E-2</v>
      </c>
    </row>
    <row r="7433" spans="1:6" x14ac:dyDescent="0.25">
      <c r="A7433" s="2" t="str">
        <f t="shared" si="281"/>
        <v>49620</v>
      </c>
      <c r="B7433" s="2" t="str">
        <f>"17301"</f>
        <v>17301</v>
      </c>
      <c r="C7433" s="1">
        <v>2.7123111342670599E-3</v>
      </c>
      <c r="D7433" s="1">
        <v>1.3596736783172E-3</v>
      </c>
      <c r="E7433" s="1">
        <v>5.5177487585065198E-4</v>
      </c>
      <c r="F7433" s="1">
        <v>2.5782120029572198E-3</v>
      </c>
    </row>
    <row r="7434" spans="1:6" x14ac:dyDescent="0.25">
      <c r="A7434" s="2" t="str">
        <f t="shared" si="281"/>
        <v>49620</v>
      </c>
      <c r="B7434" s="2" t="str">
        <f>"17019"</f>
        <v>17019</v>
      </c>
      <c r="C7434" s="1">
        <v>3.91012085363735E-2</v>
      </c>
      <c r="D7434" s="1">
        <v>2.7993281612413001E-2</v>
      </c>
      <c r="E7434" s="1">
        <v>3.5497517013058602E-2</v>
      </c>
      <c r="F7434" s="1">
        <v>3.83596769514397E-2</v>
      </c>
    </row>
    <row r="7435" spans="1:6" x14ac:dyDescent="0.25">
      <c r="A7435" s="2" t="str">
        <f t="shared" si="281"/>
        <v>49620</v>
      </c>
      <c r="B7435" s="2" t="str">
        <f>"17365"</f>
        <v>17365</v>
      </c>
      <c r="C7435" s="1">
        <v>6.0733294513060903E-3</v>
      </c>
      <c r="D7435" s="1">
        <v>4.7988482764136598E-3</v>
      </c>
      <c r="E7435" s="1">
        <v>2.2070995034026101E-3</v>
      </c>
      <c r="F7435" s="1">
        <v>5.9004089577659796E-3</v>
      </c>
    </row>
    <row r="7436" spans="1:6" x14ac:dyDescent="0.25">
      <c r="A7436" s="2" t="str">
        <f t="shared" si="281"/>
        <v>49620</v>
      </c>
      <c r="B7436" s="2" t="str">
        <f>"17364"</f>
        <v>17364</v>
      </c>
      <c r="C7436" s="1">
        <v>8.1931206391042694E-3</v>
      </c>
      <c r="D7436" s="1">
        <v>4.2389826441654004E-3</v>
      </c>
      <c r="E7436" s="1">
        <v>1.65532462755195E-3</v>
      </c>
      <c r="F7436" s="1">
        <v>7.79546496719915E-3</v>
      </c>
    </row>
    <row r="7437" spans="1:6" x14ac:dyDescent="0.25">
      <c r="A7437" s="2" t="str">
        <f t="shared" si="281"/>
        <v>49620</v>
      </c>
      <c r="B7437" s="2" t="str">
        <f>"17342"</f>
        <v>17342</v>
      </c>
      <c r="C7437" s="1">
        <v>0</v>
      </c>
      <c r="D7437" s="1">
        <v>0</v>
      </c>
      <c r="E7437" s="1">
        <v>1.83924958616884E-4</v>
      </c>
      <c r="F7437" s="1">
        <v>4.6791506405757204E-6</v>
      </c>
    </row>
    <row r="7438" spans="1:6" x14ac:dyDescent="0.25">
      <c r="A7438" s="2" t="str">
        <f t="shared" si="281"/>
        <v>49620</v>
      </c>
      <c r="B7438" s="2" t="str">
        <f>"17358"</f>
        <v>17358</v>
      </c>
      <c r="C7438" s="1">
        <v>0</v>
      </c>
      <c r="D7438" s="1">
        <v>0</v>
      </c>
      <c r="E7438" s="1">
        <v>1.83924958616884E-4</v>
      </c>
      <c r="F7438" s="1">
        <v>4.6791506405757204E-6</v>
      </c>
    </row>
    <row r="7439" spans="1:6" x14ac:dyDescent="0.25">
      <c r="A7439" s="2" t="str">
        <f t="shared" ref="A7439:A7456" si="282">"49620"</f>
        <v>49620</v>
      </c>
      <c r="B7439" s="2" t="str">
        <f>"17360"</f>
        <v>17360</v>
      </c>
      <c r="C7439" s="1">
        <v>1.28924167662713E-2</v>
      </c>
      <c r="D7439" s="1">
        <v>3.1192513796688701E-3</v>
      </c>
      <c r="E7439" s="1">
        <v>3.4945742137208E-3</v>
      </c>
      <c r="F7439" s="1">
        <v>1.20815669539665E-2</v>
      </c>
    </row>
    <row r="7440" spans="1:6" x14ac:dyDescent="0.25">
      <c r="A7440" s="2" t="str">
        <f t="shared" si="282"/>
        <v>49620</v>
      </c>
      <c r="B7440" s="2" t="str">
        <f>"17318"</f>
        <v>17318</v>
      </c>
      <c r="C7440" s="1">
        <v>1.02669404517453E-3</v>
      </c>
      <c r="D7440" s="1">
        <v>0</v>
      </c>
      <c r="E7440" s="1">
        <v>1.83924958616884E-4</v>
      </c>
      <c r="F7440" s="1">
        <v>9.4518842939629501E-4</v>
      </c>
    </row>
    <row r="7441" spans="1:6" x14ac:dyDescent="0.25">
      <c r="A7441" s="2" t="str">
        <f t="shared" si="282"/>
        <v>49620</v>
      </c>
      <c r="B7441" s="2" t="str">
        <f>"17407"</f>
        <v>17407</v>
      </c>
      <c r="C7441" s="1">
        <v>4.24979823674236E-3</v>
      </c>
      <c r="D7441" s="1">
        <v>3.03927057506198E-3</v>
      </c>
      <c r="E7441" s="1">
        <v>2.3910244620194902E-3</v>
      </c>
      <c r="F7441" s="1">
        <v>4.1316900156283601E-3</v>
      </c>
    </row>
    <row r="7442" spans="1:6" x14ac:dyDescent="0.25">
      <c r="A7442" s="2" t="str">
        <f t="shared" si="282"/>
        <v>49620</v>
      </c>
      <c r="B7442" s="2" t="str">
        <f>"17406"</f>
        <v>17406</v>
      </c>
      <c r="C7442" s="1">
        <v>5.2616792832551801E-2</v>
      </c>
      <c r="D7442" s="1">
        <v>5.0067983683915802E-2</v>
      </c>
      <c r="E7442" s="1">
        <v>2.64851940408313E-2</v>
      </c>
      <c r="F7442" s="1">
        <v>5.1802876741813803E-2</v>
      </c>
    </row>
    <row r="7443" spans="1:6" x14ac:dyDescent="0.25">
      <c r="A7443" s="2" t="str">
        <f t="shared" si="282"/>
        <v>49620</v>
      </c>
      <c r="B7443" s="2" t="str">
        <f>"17403"</f>
        <v>17403</v>
      </c>
      <c r="C7443" s="1">
        <v>8.5179850235475502E-2</v>
      </c>
      <c r="D7443" s="1">
        <v>0.107654163000879</v>
      </c>
      <c r="E7443" s="1">
        <v>0.154864815155416</v>
      </c>
      <c r="F7443" s="1">
        <v>8.8267497683820403E-2</v>
      </c>
    </row>
    <row r="7444" spans="1:6" x14ac:dyDescent="0.25">
      <c r="A7444" s="2" t="str">
        <f t="shared" si="282"/>
        <v>49620</v>
      </c>
      <c r="B7444" s="2" t="str">
        <f>"17368"</f>
        <v>17368</v>
      </c>
      <c r="C7444" s="1">
        <v>1.69787612246774E-2</v>
      </c>
      <c r="D7444" s="1">
        <v>9.6776773574342098E-3</v>
      </c>
      <c r="E7444" s="1">
        <v>1.12194224756299E-2</v>
      </c>
      <c r="F7444" s="1">
        <v>1.64051021458584E-2</v>
      </c>
    </row>
    <row r="7445" spans="1:6" x14ac:dyDescent="0.25">
      <c r="A7445" s="2" t="str">
        <f t="shared" si="282"/>
        <v>49620</v>
      </c>
      <c r="B7445" s="2" t="str">
        <f>"17366"</f>
        <v>17366</v>
      </c>
      <c r="C7445" s="1">
        <v>1.1957665471410899E-2</v>
      </c>
      <c r="D7445" s="1">
        <v>2.3194433335999298E-3</v>
      </c>
      <c r="E7445" s="1">
        <v>6.6212985102078303E-3</v>
      </c>
      <c r="F7445" s="1">
        <v>1.1258036441225101E-2</v>
      </c>
    </row>
    <row r="7446" spans="1:6" x14ac:dyDescent="0.25">
      <c r="A7446" s="2" t="str">
        <f t="shared" si="282"/>
        <v>49620</v>
      </c>
      <c r="B7446" s="2" t="str">
        <f>"17355"</f>
        <v>17355</v>
      </c>
      <c r="C7446" s="1">
        <v>3.32015487245497E-4</v>
      </c>
      <c r="D7446" s="1">
        <v>0</v>
      </c>
      <c r="E7446" s="1">
        <v>5.5177487585065198E-4</v>
      </c>
      <c r="F7446" s="1">
        <v>3.18182243559149E-4</v>
      </c>
    </row>
    <row r="7447" spans="1:6" x14ac:dyDescent="0.25">
      <c r="A7447" s="2" t="str">
        <f t="shared" si="282"/>
        <v>49620</v>
      </c>
      <c r="B7447" s="2" t="str">
        <f>"17361"</f>
        <v>17361</v>
      </c>
      <c r="C7447" s="1">
        <v>1.30558705446075E-2</v>
      </c>
      <c r="D7447" s="1">
        <v>3.0232744141406E-2</v>
      </c>
      <c r="E7447" s="1">
        <v>8.6444730549935598E-3</v>
      </c>
      <c r="F7447" s="1">
        <v>1.39485480595562E-2</v>
      </c>
    </row>
    <row r="7448" spans="1:6" x14ac:dyDescent="0.25">
      <c r="A7448" s="2" t="str">
        <f t="shared" si="282"/>
        <v>49620</v>
      </c>
      <c r="B7448" s="2" t="str">
        <f>"17327"</f>
        <v>17327</v>
      </c>
      <c r="C7448" s="1">
        <v>1.6973653294104399E-2</v>
      </c>
      <c r="D7448" s="1">
        <v>1.3516755978565101E-2</v>
      </c>
      <c r="E7448" s="1">
        <v>9.1962479308442101E-3</v>
      </c>
      <c r="F7448" s="1">
        <v>1.6573551568919199E-2</v>
      </c>
    </row>
    <row r="7449" spans="1:6" x14ac:dyDescent="0.25">
      <c r="A7449" s="2" t="str">
        <f t="shared" si="282"/>
        <v>49620</v>
      </c>
      <c r="B7449" s="2" t="str">
        <f>"17314"</f>
        <v>17314</v>
      </c>
      <c r="C7449" s="1">
        <v>1.26165885153288E-2</v>
      </c>
      <c r="D7449" s="1">
        <v>6.3184835639446503E-3</v>
      </c>
      <c r="E7449" s="1">
        <v>4.5981239654220999E-3</v>
      </c>
      <c r="F7449" s="1">
        <v>1.20441337488419E-2</v>
      </c>
    </row>
    <row r="7450" spans="1:6" x14ac:dyDescent="0.25">
      <c r="A7450" s="2" t="str">
        <f t="shared" si="282"/>
        <v>49620</v>
      </c>
      <c r="B7450" s="2" t="str">
        <f>"17055"</f>
        <v>17055</v>
      </c>
      <c r="C7450" s="1">
        <v>1.9307977565968899E-3</v>
      </c>
      <c r="D7450" s="1">
        <v>3.99904023034471E-4</v>
      </c>
      <c r="E7450" s="1">
        <v>1.83924958616884E-4</v>
      </c>
      <c r="F7450" s="1">
        <v>1.79679384598107E-3</v>
      </c>
    </row>
    <row r="7451" spans="1:6" x14ac:dyDescent="0.25">
      <c r="A7451" s="2" t="str">
        <f t="shared" si="282"/>
        <v>49620</v>
      </c>
      <c r="B7451" s="2" t="str">
        <f>"17011"</f>
        <v>17011</v>
      </c>
      <c r="C7451" s="1">
        <v>2.74806664827811E-3</v>
      </c>
      <c r="D7451" s="1">
        <v>0</v>
      </c>
      <c r="E7451" s="1">
        <v>0</v>
      </c>
      <c r="F7451" s="1">
        <v>2.5173830446297298E-3</v>
      </c>
    </row>
    <row r="7452" spans="1:6" x14ac:dyDescent="0.25">
      <c r="A7452" s="2" t="str">
        <f t="shared" si="282"/>
        <v>49620</v>
      </c>
      <c r="B7452" s="2" t="str">
        <f>"17404"</f>
        <v>17404</v>
      </c>
      <c r="C7452" s="1">
        <v>8.3478909354663997E-2</v>
      </c>
      <c r="D7452" s="1">
        <v>9.1737982884107797E-2</v>
      </c>
      <c r="E7452" s="1">
        <v>0.10318190178407199</v>
      </c>
      <c r="F7452" s="1">
        <v>8.4463348213032294E-2</v>
      </c>
    </row>
    <row r="7453" spans="1:6" x14ac:dyDescent="0.25">
      <c r="A7453" s="2" t="str">
        <f t="shared" si="282"/>
        <v>49620</v>
      </c>
      <c r="B7453" s="2" t="str">
        <f>"17352"</f>
        <v>17352</v>
      </c>
      <c r="C7453" s="1">
        <v>2.5590732170768299E-3</v>
      </c>
      <c r="D7453" s="1">
        <v>1.4396544829240901E-3</v>
      </c>
      <c r="E7453" s="1">
        <v>7.3569983446753699E-4</v>
      </c>
      <c r="F7453" s="1">
        <v>2.4471957850210999E-3</v>
      </c>
    </row>
    <row r="7454" spans="1:6" x14ac:dyDescent="0.25">
      <c r="A7454" s="2" t="str">
        <f t="shared" si="282"/>
        <v>49620</v>
      </c>
      <c r="B7454" s="2" t="str">
        <f>"17347"</f>
        <v>17347</v>
      </c>
      <c r="C7454" s="1">
        <v>1.29639277942934E-2</v>
      </c>
      <c r="D7454" s="1">
        <v>2.2394625289930401E-3</v>
      </c>
      <c r="E7454" s="1">
        <v>4.5981239654220999E-3</v>
      </c>
      <c r="F7454" s="1">
        <v>1.21236793097316E-2</v>
      </c>
    </row>
    <row r="7455" spans="1:6" x14ac:dyDescent="0.25">
      <c r="A7455" s="2" t="str">
        <f t="shared" si="282"/>
        <v>49620</v>
      </c>
      <c r="B7455" s="2" t="str">
        <f>"17302"</f>
        <v>17302</v>
      </c>
      <c r="C7455" s="1">
        <v>6.6249859531909202E-3</v>
      </c>
      <c r="D7455" s="1">
        <v>1.1197312644965201E-3</v>
      </c>
      <c r="E7455" s="1">
        <v>9.1962479308442101E-4</v>
      </c>
      <c r="F7455" s="1">
        <v>6.1577622429976504E-3</v>
      </c>
    </row>
    <row r="7456" spans="1:6" x14ac:dyDescent="0.25">
      <c r="A7456" s="2" t="str">
        <f t="shared" si="282"/>
        <v>49620</v>
      </c>
      <c r="B7456" s="2" t="str">
        <f>"17313"</f>
        <v>17313</v>
      </c>
      <c r="C7456" s="1">
        <v>2.3046982745410501E-2</v>
      </c>
      <c r="D7456" s="1">
        <v>1.90354314964408E-2</v>
      </c>
      <c r="E7456" s="1">
        <v>2.39102446201949E-2</v>
      </c>
      <c r="F7456" s="1">
        <v>2.2834255126009499E-2</v>
      </c>
    </row>
    <row r="7457" spans="1:6" x14ac:dyDescent="0.25">
      <c r="A7457" s="2" t="str">
        <f t="shared" ref="A7457:A7488" si="283">"29540"</f>
        <v>29540</v>
      </c>
      <c r="B7457" s="2" t="str">
        <f>"17565"</f>
        <v>17565</v>
      </c>
      <c r="C7457" s="1">
        <v>4.6126199859441797E-3</v>
      </c>
      <c r="D7457" s="1">
        <v>6.9408294291167696E-4</v>
      </c>
      <c r="E7457" s="1">
        <v>1.29971406290616E-4</v>
      </c>
      <c r="F7457" s="1">
        <v>4.2033458633071903E-3</v>
      </c>
    </row>
    <row r="7458" spans="1:6" x14ac:dyDescent="0.25">
      <c r="A7458" s="2" t="str">
        <f t="shared" si="283"/>
        <v>29540</v>
      </c>
      <c r="B7458" s="2" t="str">
        <f>"17555"</f>
        <v>17555</v>
      </c>
      <c r="C7458" s="1">
        <v>9.9769591402823592E-3</v>
      </c>
      <c r="D7458" s="1">
        <v>4.1066574122274203E-3</v>
      </c>
      <c r="E7458" s="1">
        <v>2.59942812581232E-4</v>
      </c>
      <c r="F7458" s="1">
        <v>9.2713800184947206E-3</v>
      </c>
    </row>
    <row r="7459" spans="1:6" x14ac:dyDescent="0.25">
      <c r="A7459" s="2" t="str">
        <f t="shared" si="283"/>
        <v>29540</v>
      </c>
      <c r="B7459" s="2" t="str">
        <f>"17554"</f>
        <v>17554</v>
      </c>
      <c r="C7459" s="1">
        <v>1.4829773416719301E-2</v>
      </c>
      <c r="D7459" s="1">
        <v>9.3701197293076504E-3</v>
      </c>
      <c r="E7459" s="1">
        <v>2.1315310631660998E-2</v>
      </c>
      <c r="F7459" s="1">
        <v>1.46516627235279E-2</v>
      </c>
    </row>
    <row r="7460" spans="1:6" x14ac:dyDescent="0.25">
      <c r="A7460" s="2" t="str">
        <f t="shared" si="283"/>
        <v>29540</v>
      </c>
      <c r="B7460" s="2" t="str">
        <f>"17552"</f>
        <v>17552</v>
      </c>
      <c r="C7460" s="1">
        <v>3.99656611125443E-2</v>
      </c>
      <c r="D7460" s="1">
        <v>3.4067904447914799E-2</v>
      </c>
      <c r="E7460" s="1">
        <v>2.83337665713543E-2</v>
      </c>
      <c r="F7460" s="1">
        <v>3.9199202565241897E-2</v>
      </c>
    </row>
    <row r="7461" spans="1:6" x14ac:dyDescent="0.25">
      <c r="A7461" s="2" t="str">
        <f t="shared" si="283"/>
        <v>29540</v>
      </c>
      <c r="B7461" s="2" t="str">
        <f>"17517"</f>
        <v>17517</v>
      </c>
      <c r="C7461" s="1">
        <v>2.6928448789687601E-2</v>
      </c>
      <c r="D7461" s="1">
        <v>1.6195268667939099E-2</v>
      </c>
      <c r="E7461" s="1">
        <v>1.02677410969586E-2</v>
      </c>
      <c r="F7461" s="1">
        <v>2.5672435258465701E-2</v>
      </c>
    </row>
    <row r="7462" spans="1:6" x14ac:dyDescent="0.25">
      <c r="A7462" s="2" t="str">
        <f t="shared" si="283"/>
        <v>29540</v>
      </c>
      <c r="B7462" s="2" t="str">
        <f>"19501"</f>
        <v>19501</v>
      </c>
      <c r="C7462" s="1">
        <v>4.7149249615244297E-4</v>
      </c>
      <c r="D7462" s="1">
        <v>0</v>
      </c>
      <c r="E7462" s="1">
        <v>1.29971406290616E-4</v>
      </c>
      <c r="F7462" s="1">
        <v>4.28340959403685E-4</v>
      </c>
    </row>
    <row r="7463" spans="1:6" x14ac:dyDescent="0.25">
      <c r="A7463" s="2" t="str">
        <f t="shared" si="283"/>
        <v>29540</v>
      </c>
      <c r="B7463" s="2" t="str">
        <f>"19310"</f>
        <v>19310</v>
      </c>
      <c r="C7463" s="1">
        <v>1.6457756941170101E-4</v>
      </c>
      <c r="D7463" s="1">
        <v>5.7840245242639803E-5</v>
      </c>
      <c r="E7463" s="1">
        <v>0</v>
      </c>
      <c r="F7463" s="1">
        <v>1.52121088386355E-4</v>
      </c>
    </row>
    <row r="7464" spans="1:6" x14ac:dyDescent="0.25">
      <c r="A7464" s="2" t="str">
        <f t="shared" si="283"/>
        <v>29540</v>
      </c>
      <c r="B7464" s="2" t="str">
        <f>"19344"</f>
        <v>19344</v>
      </c>
      <c r="C7464" s="1">
        <v>6.6275832006334003E-4</v>
      </c>
      <c r="D7464" s="1">
        <v>5.7840245242639803E-5</v>
      </c>
      <c r="E7464" s="1">
        <v>1.29971406290616E-4</v>
      </c>
      <c r="F7464" s="1">
        <v>6.0448116700893904E-4</v>
      </c>
    </row>
    <row r="7465" spans="1:6" x14ac:dyDescent="0.25">
      <c r="A7465" s="2" t="str">
        <f t="shared" si="283"/>
        <v>29540</v>
      </c>
      <c r="B7465" s="2" t="str">
        <f>"17581"</f>
        <v>17581</v>
      </c>
      <c r="C7465" s="1">
        <v>4.2701207198711798E-4</v>
      </c>
      <c r="D7465" s="1">
        <v>2.89201226213199E-4</v>
      </c>
      <c r="E7465" s="1">
        <v>0</v>
      </c>
      <c r="F7465" s="1">
        <v>4.04321840184787E-4</v>
      </c>
    </row>
    <row r="7466" spans="1:6" x14ac:dyDescent="0.25">
      <c r="A7466" s="2" t="str">
        <f t="shared" si="283"/>
        <v>29540</v>
      </c>
      <c r="B7466" s="2" t="str">
        <f>"17578"</f>
        <v>17578</v>
      </c>
      <c r="C7466" s="1">
        <v>1.06352694179291E-2</v>
      </c>
      <c r="D7466" s="1">
        <v>5.9575452599919003E-3</v>
      </c>
      <c r="E7466" s="1">
        <v>2.4694567195217001E-3</v>
      </c>
      <c r="F7466" s="1">
        <v>1.00600077661818E-2</v>
      </c>
    </row>
    <row r="7467" spans="1:6" x14ac:dyDescent="0.25">
      <c r="A7467" s="2" t="str">
        <f t="shared" si="283"/>
        <v>29540</v>
      </c>
      <c r="B7467" s="2" t="str">
        <f>"17533"</f>
        <v>17533</v>
      </c>
      <c r="C7467" s="1">
        <v>0</v>
      </c>
      <c r="D7467" s="1">
        <v>0</v>
      </c>
      <c r="E7467" s="1">
        <v>1.29971406290616E-4</v>
      </c>
      <c r="F7467" s="1">
        <v>4.0031865364830404E-6</v>
      </c>
    </row>
    <row r="7468" spans="1:6" x14ac:dyDescent="0.25">
      <c r="A7468" s="2" t="str">
        <f t="shared" si="283"/>
        <v>29540</v>
      </c>
      <c r="B7468" s="2" t="str">
        <f>"17538"</f>
        <v>17538</v>
      </c>
      <c r="C7468" s="1">
        <v>1.18584810824756E-2</v>
      </c>
      <c r="D7468" s="1">
        <v>9.3701197293076504E-3</v>
      </c>
      <c r="E7468" s="1">
        <v>6.4985703145308002E-3</v>
      </c>
      <c r="F7468" s="1">
        <v>1.15211708519981E-2</v>
      </c>
    </row>
    <row r="7469" spans="1:6" x14ac:dyDescent="0.25">
      <c r="A7469" s="2" t="str">
        <f t="shared" si="283"/>
        <v>29540</v>
      </c>
      <c r="B7469" s="2" t="str">
        <f>"17536"</f>
        <v>17536</v>
      </c>
      <c r="C7469" s="1">
        <v>4.1366794473752097E-3</v>
      </c>
      <c r="D7469" s="1">
        <v>1.90872809300711E-3</v>
      </c>
      <c r="E7469" s="1">
        <v>6.4985703145308004E-4</v>
      </c>
      <c r="F7469" s="1">
        <v>3.8750845673155799E-3</v>
      </c>
    </row>
    <row r="7470" spans="1:6" x14ac:dyDescent="0.25">
      <c r="A7470" s="2" t="str">
        <f t="shared" si="283"/>
        <v>29540</v>
      </c>
      <c r="B7470" s="2" t="str">
        <f>"17535"</f>
        <v>17535</v>
      </c>
      <c r="C7470" s="1">
        <v>3.6384986967235699E-3</v>
      </c>
      <c r="D7470" s="1">
        <v>2.2557695644629498E-3</v>
      </c>
      <c r="E7470" s="1">
        <v>2.20951390694047E-3</v>
      </c>
      <c r="F7470" s="1">
        <v>3.4987850328861698E-3</v>
      </c>
    </row>
    <row r="7471" spans="1:6" x14ac:dyDescent="0.25">
      <c r="A7471" s="2" t="str">
        <f t="shared" si="283"/>
        <v>29540</v>
      </c>
      <c r="B7471" s="2" t="str">
        <f>"17505"</f>
        <v>17505</v>
      </c>
      <c r="C7471" s="1">
        <v>2.57096851675577E-3</v>
      </c>
      <c r="D7471" s="1">
        <v>4.5693793741685401E-3</v>
      </c>
      <c r="E7471" s="1">
        <v>6.4985703145308004E-4</v>
      </c>
      <c r="F7471" s="1">
        <v>2.6501094871517702E-3</v>
      </c>
    </row>
    <row r="7472" spans="1:6" x14ac:dyDescent="0.25">
      <c r="A7472" s="2" t="str">
        <f t="shared" si="283"/>
        <v>29540</v>
      </c>
      <c r="B7472" s="2" t="str">
        <f>"17516"</f>
        <v>17516</v>
      </c>
      <c r="C7472" s="1">
        <v>8.0554048163403204E-3</v>
      </c>
      <c r="D7472" s="1">
        <v>1.7352073572791901E-3</v>
      </c>
      <c r="E7472" s="1">
        <v>1.42968546919677E-3</v>
      </c>
      <c r="F7472" s="1">
        <v>7.4139014655665901E-3</v>
      </c>
    </row>
    <row r="7473" spans="1:6" x14ac:dyDescent="0.25">
      <c r="A7473" s="2" t="str">
        <f t="shared" si="283"/>
        <v>29540</v>
      </c>
      <c r="B7473" s="2" t="str">
        <f>"17699"</f>
        <v>17699</v>
      </c>
      <c r="C7473" s="1">
        <v>0</v>
      </c>
      <c r="D7473" s="1">
        <v>5.7840245242639803E-5</v>
      </c>
      <c r="E7473" s="1">
        <v>0</v>
      </c>
      <c r="F7473" s="1">
        <v>4.0031865364830404E-6</v>
      </c>
    </row>
    <row r="7474" spans="1:6" x14ac:dyDescent="0.25">
      <c r="A7474" s="2" t="str">
        <f t="shared" si="283"/>
        <v>29540</v>
      </c>
      <c r="B7474" s="2" t="str">
        <f>"17570"</f>
        <v>17570</v>
      </c>
      <c r="C7474" s="1">
        <v>0</v>
      </c>
      <c r="D7474" s="1">
        <v>0</v>
      </c>
      <c r="E7474" s="1">
        <v>1.29971406290616E-4</v>
      </c>
      <c r="F7474" s="1">
        <v>4.0031865364830404E-6</v>
      </c>
    </row>
    <row r="7475" spans="1:6" x14ac:dyDescent="0.25">
      <c r="A7475" s="2" t="str">
        <f t="shared" si="283"/>
        <v>29540</v>
      </c>
      <c r="B7475" s="2" t="str">
        <f>"17569"</f>
        <v>17569</v>
      </c>
      <c r="C7475" s="1">
        <v>8.6781307546548708E-3</v>
      </c>
      <c r="D7475" s="1">
        <v>3.9331366764994999E-3</v>
      </c>
      <c r="E7475" s="1">
        <v>1.94957109435924E-3</v>
      </c>
      <c r="F7475" s="1">
        <v>8.1424814152064994E-3</v>
      </c>
    </row>
    <row r="7476" spans="1:6" x14ac:dyDescent="0.25">
      <c r="A7476" s="2" t="str">
        <f t="shared" si="283"/>
        <v>29540</v>
      </c>
      <c r="B7476" s="2" t="str">
        <f>"17532"</f>
        <v>17532</v>
      </c>
      <c r="C7476" s="1">
        <v>5.7780070990756903E-3</v>
      </c>
      <c r="D7476" s="1">
        <v>1.33032564058071E-3</v>
      </c>
      <c r="E7476" s="1">
        <v>1.29971406290616E-4</v>
      </c>
      <c r="F7476" s="1">
        <v>5.2962157877670599E-3</v>
      </c>
    </row>
    <row r="7477" spans="1:6" x14ac:dyDescent="0.25">
      <c r="A7477" s="2" t="str">
        <f t="shared" si="283"/>
        <v>29540</v>
      </c>
      <c r="B7477" s="2" t="str">
        <f>"17504"</f>
        <v>17504</v>
      </c>
      <c r="C7477" s="1">
        <v>1.33441272495974E-5</v>
      </c>
      <c r="D7477" s="1">
        <v>0</v>
      </c>
      <c r="E7477" s="1">
        <v>1.29971406290616E-4</v>
      </c>
      <c r="F7477" s="1">
        <v>1.60127461459321E-5</v>
      </c>
    </row>
    <row r="7478" spans="1:6" x14ac:dyDescent="0.25">
      <c r="A7478" s="2" t="str">
        <f t="shared" si="283"/>
        <v>29540</v>
      </c>
      <c r="B7478" s="2" t="str">
        <f>"17608"</f>
        <v>17608</v>
      </c>
      <c r="C7478" s="1">
        <v>7.7306977199334496E-3</v>
      </c>
      <c r="D7478" s="1">
        <v>1.7467754063277201E-2</v>
      </c>
      <c r="E7478" s="1">
        <v>1.29971406290616E-4</v>
      </c>
      <c r="F7478" s="1">
        <v>8.1705037209618796E-3</v>
      </c>
    </row>
    <row r="7479" spans="1:6" x14ac:dyDescent="0.25">
      <c r="A7479" s="2" t="str">
        <f t="shared" si="283"/>
        <v>29540</v>
      </c>
      <c r="B7479" s="2" t="str">
        <f>"17022"</f>
        <v>17022</v>
      </c>
      <c r="C7479" s="1">
        <v>6.1053830209324797E-2</v>
      </c>
      <c r="D7479" s="1">
        <v>3.1927815373937102E-2</v>
      </c>
      <c r="E7479" s="1">
        <v>5.0818819859630798E-2</v>
      </c>
      <c r="F7479" s="1">
        <v>5.8722743303669701E-2</v>
      </c>
    </row>
    <row r="7480" spans="1:6" x14ac:dyDescent="0.25">
      <c r="A7480" s="2" t="str">
        <f t="shared" si="283"/>
        <v>29540</v>
      </c>
      <c r="B7480" s="2" t="str">
        <f>"17575"</f>
        <v>17575</v>
      </c>
      <c r="C7480" s="1">
        <v>0</v>
      </c>
      <c r="D7480" s="1">
        <v>0</v>
      </c>
      <c r="E7480" s="1">
        <v>1.29971406290616E-4</v>
      </c>
      <c r="F7480" s="1">
        <v>4.0031865364830404E-6</v>
      </c>
    </row>
    <row r="7481" spans="1:6" x14ac:dyDescent="0.25">
      <c r="A7481" s="2" t="str">
        <f t="shared" si="283"/>
        <v>29540</v>
      </c>
      <c r="B7481" s="2" t="str">
        <f>"17560"</f>
        <v>17560</v>
      </c>
      <c r="C7481" s="1">
        <v>8.9672535117294797E-3</v>
      </c>
      <c r="D7481" s="1">
        <v>1.33032564058071E-3</v>
      </c>
      <c r="E7481" s="1">
        <v>9.0979984403431204E-4</v>
      </c>
      <c r="F7481" s="1">
        <v>8.1905196536443004E-3</v>
      </c>
    </row>
    <row r="7482" spans="1:6" x14ac:dyDescent="0.25">
      <c r="A7482" s="2" t="str">
        <f t="shared" si="283"/>
        <v>29540</v>
      </c>
      <c r="B7482" s="2" t="str">
        <f>"17551"</f>
        <v>17551</v>
      </c>
      <c r="C7482" s="1">
        <v>2.56474125737263E-2</v>
      </c>
      <c r="D7482" s="1">
        <v>7.8662733529990102E-3</v>
      </c>
      <c r="E7482" s="1">
        <v>1.1567455159864799E-2</v>
      </c>
      <c r="F7482" s="1">
        <v>2.39830905400698E-2</v>
      </c>
    </row>
    <row r="7483" spans="1:6" x14ac:dyDescent="0.25">
      <c r="A7483" s="2" t="str">
        <f t="shared" si="283"/>
        <v>29540</v>
      </c>
      <c r="B7483" s="2" t="str">
        <f>"17518"</f>
        <v>17518</v>
      </c>
      <c r="C7483" s="1">
        <v>1.9437945360246899E-3</v>
      </c>
      <c r="D7483" s="1">
        <v>4.0488171669847802E-4</v>
      </c>
      <c r="E7483" s="1">
        <v>0</v>
      </c>
      <c r="F7483" s="1">
        <v>1.7774148221984601E-3</v>
      </c>
    </row>
    <row r="7484" spans="1:6" x14ac:dyDescent="0.25">
      <c r="A7484" s="2" t="str">
        <f t="shared" si="283"/>
        <v>29540</v>
      </c>
      <c r="B7484" s="2" t="str">
        <f>"17503"</f>
        <v>17503</v>
      </c>
      <c r="C7484" s="1">
        <v>0</v>
      </c>
      <c r="D7484" s="1">
        <v>0</v>
      </c>
      <c r="E7484" s="1">
        <v>1.29971406290616E-4</v>
      </c>
      <c r="F7484" s="1">
        <v>4.0031865364830404E-6</v>
      </c>
    </row>
    <row r="7485" spans="1:6" x14ac:dyDescent="0.25">
      <c r="A7485" s="2" t="str">
        <f t="shared" si="283"/>
        <v>29540</v>
      </c>
      <c r="B7485" s="2" t="str">
        <f>"17512"</f>
        <v>17512</v>
      </c>
      <c r="C7485" s="1">
        <v>3.4103141207554498E-2</v>
      </c>
      <c r="D7485" s="1">
        <v>2.7300595754525901E-2</v>
      </c>
      <c r="E7485" s="1">
        <v>4.8479334546399702E-2</v>
      </c>
      <c r="F7485" s="1">
        <v>3.4075123798543598E-2</v>
      </c>
    </row>
    <row r="7486" spans="1:6" x14ac:dyDescent="0.25">
      <c r="A7486" s="2" t="str">
        <f t="shared" si="283"/>
        <v>29540</v>
      </c>
      <c r="B7486" s="2" t="str">
        <f>"17508"</f>
        <v>17508</v>
      </c>
      <c r="C7486" s="1">
        <v>5.1108007365958203E-3</v>
      </c>
      <c r="D7486" s="1">
        <v>5.8418647695066203E-3</v>
      </c>
      <c r="E7486" s="1">
        <v>3.8991421887184799E-4</v>
      </c>
      <c r="F7486" s="1">
        <v>5.0159927302132401E-3</v>
      </c>
    </row>
    <row r="7487" spans="1:6" x14ac:dyDescent="0.25">
      <c r="A7487" s="2" t="str">
        <f t="shared" si="283"/>
        <v>29540</v>
      </c>
      <c r="B7487" s="2" t="str">
        <f>"17604"</f>
        <v>17604</v>
      </c>
      <c r="C7487" s="1">
        <v>5.3020665605067203E-3</v>
      </c>
      <c r="D7487" s="1">
        <v>3.0828850714327002E-2</v>
      </c>
      <c r="E7487" s="1">
        <v>3.8991421887184799E-4</v>
      </c>
      <c r="F7487" s="1">
        <v>6.9175063350426901E-3</v>
      </c>
    </row>
    <row r="7488" spans="1:6" x14ac:dyDescent="0.25">
      <c r="A7488" s="2" t="str">
        <f t="shared" si="283"/>
        <v>29540</v>
      </c>
      <c r="B7488" s="2" t="str">
        <f>"19540"</f>
        <v>19540</v>
      </c>
      <c r="C7488" s="1">
        <v>1.2810362159613501E-3</v>
      </c>
      <c r="D7488" s="1">
        <v>8.0976343339695701E-4</v>
      </c>
      <c r="E7488" s="1">
        <v>2.59942812581232E-4</v>
      </c>
      <c r="F7488" s="1">
        <v>1.21696870709084E-3</v>
      </c>
    </row>
    <row r="7489" spans="1:6" x14ac:dyDescent="0.25">
      <c r="A7489" s="2" t="str">
        <f t="shared" ref="A7489:A7520" si="284">"29540"</f>
        <v>29540</v>
      </c>
      <c r="B7489" s="2" t="str">
        <f>"19543"</f>
        <v>19543</v>
      </c>
      <c r="C7489" s="1">
        <v>1.5256785488706401E-3</v>
      </c>
      <c r="D7489" s="1">
        <v>2.77633177164671E-3</v>
      </c>
      <c r="E7489" s="1">
        <v>6.4985703145308004E-4</v>
      </c>
      <c r="F7489" s="1">
        <v>1.5852618684472799E-3</v>
      </c>
    </row>
    <row r="7490" spans="1:6" x14ac:dyDescent="0.25">
      <c r="A7490" s="2" t="str">
        <f t="shared" si="284"/>
        <v>29540</v>
      </c>
      <c r="B7490" s="2" t="str">
        <f>"17576"</f>
        <v>17576</v>
      </c>
      <c r="C7490" s="1">
        <v>2.3129820565968899E-4</v>
      </c>
      <c r="D7490" s="1">
        <v>2.89201226213199E-4</v>
      </c>
      <c r="E7490" s="1">
        <v>1.29971406290616E-4</v>
      </c>
      <c r="F7490" s="1">
        <v>2.3218481911601601E-4</v>
      </c>
    </row>
    <row r="7491" spans="1:6" x14ac:dyDescent="0.25">
      <c r="A7491" s="2" t="str">
        <f t="shared" si="284"/>
        <v>29540</v>
      </c>
      <c r="B7491" s="2" t="str">
        <f>"17584"</f>
        <v>17584</v>
      </c>
      <c r="C7491" s="1">
        <v>1.8027915914206102E-2</v>
      </c>
      <c r="D7491" s="1">
        <v>2.0706807796864998E-2</v>
      </c>
      <c r="E7491" s="1">
        <v>1.00077982843774E-2</v>
      </c>
      <c r="F7491" s="1">
        <v>1.7966301175735801E-2</v>
      </c>
    </row>
    <row r="7492" spans="1:6" x14ac:dyDescent="0.25">
      <c r="A7492" s="2" t="str">
        <f t="shared" si="284"/>
        <v>29540</v>
      </c>
      <c r="B7492" s="2" t="str">
        <f>"17529"</f>
        <v>17529</v>
      </c>
      <c r="C7492" s="1">
        <v>6.8499853214600203E-3</v>
      </c>
      <c r="D7492" s="1">
        <v>5.1477818265949398E-3</v>
      </c>
      <c r="E7492" s="1">
        <v>3.6391993761372399E-3</v>
      </c>
      <c r="F7492" s="1">
        <v>6.6332800909523898E-3</v>
      </c>
    </row>
    <row r="7493" spans="1:6" x14ac:dyDescent="0.25">
      <c r="A7493" s="2" t="str">
        <f t="shared" si="284"/>
        <v>29540</v>
      </c>
      <c r="B7493" s="2" t="str">
        <f>"17563"</f>
        <v>17563</v>
      </c>
      <c r="C7493" s="1">
        <v>6.3117721890595902E-3</v>
      </c>
      <c r="D7493" s="1">
        <v>2.89201226213199E-3</v>
      </c>
      <c r="E7493" s="1">
        <v>1.16974265661554E-3</v>
      </c>
      <c r="F7493" s="1">
        <v>5.9167097009219299E-3</v>
      </c>
    </row>
    <row r="7494" spans="1:6" x14ac:dyDescent="0.25">
      <c r="A7494" s="2" t="str">
        <f t="shared" si="284"/>
        <v>29540</v>
      </c>
      <c r="B7494" s="2" t="str">
        <f>"17521"</f>
        <v>17521</v>
      </c>
      <c r="C7494" s="1">
        <v>0</v>
      </c>
      <c r="D7494" s="1">
        <v>0</v>
      </c>
      <c r="E7494" s="1">
        <v>1.29971406290616E-4</v>
      </c>
      <c r="F7494" s="1">
        <v>4.0031865364830404E-6</v>
      </c>
    </row>
    <row r="7495" spans="1:6" x14ac:dyDescent="0.25">
      <c r="A7495" s="2" t="str">
        <f t="shared" si="284"/>
        <v>29540</v>
      </c>
      <c r="B7495" s="2" t="str">
        <f>"17509"</f>
        <v>17509</v>
      </c>
      <c r="C7495" s="1">
        <v>7.0145628908717204E-3</v>
      </c>
      <c r="D7495" s="1">
        <v>4.8007403551390999E-3</v>
      </c>
      <c r="E7495" s="1">
        <v>3.5092279698466298E-3</v>
      </c>
      <c r="F7495" s="1">
        <v>6.7533756870468802E-3</v>
      </c>
    </row>
    <row r="7496" spans="1:6" x14ac:dyDescent="0.25">
      <c r="A7496" s="2" t="str">
        <f t="shared" si="284"/>
        <v>29540</v>
      </c>
      <c r="B7496" s="2" t="str">
        <f>"17522"</f>
        <v>17522</v>
      </c>
      <c r="C7496" s="1">
        <v>6.3113273848179399E-2</v>
      </c>
      <c r="D7496" s="1">
        <v>7.8720573775232797E-2</v>
      </c>
      <c r="E7496" s="1">
        <v>6.8364959708863998E-2</v>
      </c>
      <c r="F7496" s="1">
        <v>6.4355226760501302E-2</v>
      </c>
    </row>
    <row r="7497" spans="1:6" x14ac:dyDescent="0.25">
      <c r="A7497" s="2" t="str">
        <f t="shared" si="284"/>
        <v>29540</v>
      </c>
      <c r="B7497" s="2" t="str">
        <f>"19551"</f>
        <v>19551</v>
      </c>
      <c r="C7497" s="1">
        <v>1.42337357329039E-4</v>
      </c>
      <c r="D7497" s="1">
        <v>0</v>
      </c>
      <c r="E7497" s="1">
        <v>0</v>
      </c>
      <c r="F7497" s="1">
        <v>1.2810196916745699E-4</v>
      </c>
    </row>
    <row r="7498" spans="1:6" x14ac:dyDescent="0.25">
      <c r="A7498" s="2" t="str">
        <f t="shared" si="284"/>
        <v>29540</v>
      </c>
      <c r="B7498" s="2" t="str">
        <f>"19362"</f>
        <v>19362</v>
      </c>
      <c r="C7498" s="1">
        <v>3.6607389088062301E-3</v>
      </c>
      <c r="D7498" s="1">
        <v>4.6272196194111799E-4</v>
      </c>
      <c r="E7498" s="1">
        <v>0</v>
      </c>
      <c r="F7498" s="1">
        <v>3.3266480118174001E-3</v>
      </c>
    </row>
    <row r="7499" spans="1:6" x14ac:dyDescent="0.25">
      <c r="A7499" s="2" t="str">
        <f t="shared" si="284"/>
        <v>29540</v>
      </c>
      <c r="B7499" s="2" t="str">
        <f>"17564"</f>
        <v>17564</v>
      </c>
      <c r="C7499" s="1">
        <v>0</v>
      </c>
      <c r="D7499" s="1">
        <v>0</v>
      </c>
      <c r="E7499" s="1">
        <v>1.29971406290616E-4</v>
      </c>
      <c r="F7499" s="1">
        <v>4.0031865364830404E-6</v>
      </c>
    </row>
    <row r="7500" spans="1:6" x14ac:dyDescent="0.25">
      <c r="A7500" s="2" t="str">
        <f t="shared" si="284"/>
        <v>29540</v>
      </c>
      <c r="B7500" s="2" t="str">
        <f>"17582"</f>
        <v>17582</v>
      </c>
      <c r="C7500" s="1">
        <v>3.4516809152292001E-3</v>
      </c>
      <c r="D7500" s="1">
        <v>8.0976343339695701E-4</v>
      </c>
      <c r="E7500" s="1">
        <v>1.6896282817779999E-3</v>
      </c>
      <c r="F7500" s="1">
        <v>3.2145587887958799E-3</v>
      </c>
    </row>
    <row r="7501" spans="1:6" x14ac:dyDescent="0.25">
      <c r="A7501" s="2" t="str">
        <f t="shared" si="284"/>
        <v>29540</v>
      </c>
      <c r="B7501" s="2" t="str">
        <f>"17602"</f>
        <v>17602</v>
      </c>
      <c r="C7501" s="1">
        <v>8.9725911626293203E-2</v>
      </c>
      <c r="D7501" s="1">
        <v>0.103186997512869</v>
      </c>
      <c r="E7501" s="1">
        <v>0.18364959708864001</v>
      </c>
      <c r="F7501" s="1">
        <v>9.35504661710721E-2</v>
      </c>
    </row>
    <row r="7502" spans="1:6" x14ac:dyDescent="0.25">
      <c r="A7502" s="2" t="str">
        <f t="shared" si="284"/>
        <v>29540</v>
      </c>
      <c r="B7502" s="2" t="str">
        <f>"17572"</f>
        <v>17572</v>
      </c>
      <c r="C7502" s="1">
        <v>5.9781690078196496E-3</v>
      </c>
      <c r="D7502" s="1">
        <v>7.8662733529990102E-3</v>
      </c>
      <c r="E7502" s="1">
        <v>3.2492851572654001E-3</v>
      </c>
      <c r="F7502" s="1">
        <v>6.02479573740697E-3</v>
      </c>
    </row>
    <row r="7503" spans="1:6" x14ac:dyDescent="0.25">
      <c r="A7503" s="2" t="str">
        <f t="shared" si="284"/>
        <v>29540</v>
      </c>
      <c r="B7503" s="2" t="str">
        <f>"17537"</f>
        <v>17537</v>
      </c>
      <c r="C7503" s="1">
        <v>0</v>
      </c>
      <c r="D7503" s="1">
        <v>0</v>
      </c>
      <c r="E7503" s="1">
        <v>1.29971406290616E-4</v>
      </c>
      <c r="F7503" s="1">
        <v>4.0031865364830404E-6</v>
      </c>
    </row>
    <row r="7504" spans="1:6" x14ac:dyDescent="0.25">
      <c r="A7504" s="2" t="str">
        <f t="shared" si="284"/>
        <v>29540</v>
      </c>
      <c r="B7504" s="2" t="str">
        <f>"17547"</f>
        <v>17547</v>
      </c>
      <c r="C7504" s="1">
        <v>1.47986371198035E-2</v>
      </c>
      <c r="D7504" s="1">
        <v>6.5359477124183E-3</v>
      </c>
      <c r="E7504" s="1">
        <v>1.3906940473095901E-2</v>
      </c>
      <c r="F7504" s="1">
        <v>1.41993026449053E-2</v>
      </c>
    </row>
    <row r="7505" spans="1:6" x14ac:dyDescent="0.25">
      <c r="A7505" s="2" t="str">
        <f t="shared" si="284"/>
        <v>29540</v>
      </c>
      <c r="B7505" s="2" t="str">
        <f>"17506"</f>
        <v>17506</v>
      </c>
      <c r="C7505" s="1">
        <v>3.1136296915727297E-5</v>
      </c>
      <c r="D7505" s="1">
        <v>0</v>
      </c>
      <c r="E7505" s="1">
        <v>1.29971406290616E-4</v>
      </c>
      <c r="F7505" s="1">
        <v>3.2025492291864303E-5</v>
      </c>
    </row>
    <row r="7506" spans="1:6" x14ac:dyDescent="0.25">
      <c r="A7506" s="2" t="str">
        <f t="shared" si="284"/>
        <v>29540</v>
      </c>
      <c r="B7506" s="2" t="str">
        <f>"17520"</f>
        <v>17520</v>
      </c>
      <c r="C7506" s="1">
        <v>8.5891699063242195E-3</v>
      </c>
      <c r="D7506" s="1">
        <v>9.3701197293076504E-3</v>
      </c>
      <c r="E7506" s="1">
        <v>1.42968546919677E-3</v>
      </c>
      <c r="F7506" s="1">
        <v>8.4227044727603097E-3</v>
      </c>
    </row>
    <row r="7507" spans="1:6" x14ac:dyDescent="0.25">
      <c r="A7507" s="2" t="str">
        <f t="shared" si="284"/>
        <v>29540</v>
      </c>
      <c r="B7507" s="2" t="str">
        <f>"17502"</f>
        <v>17502</v>
      </c>
      <c r="C7507" s="1">
        <v>4.7060288766913603E-3</v>
      </c>
      <c r="D7507" s="1">
        <v>1.33032564058071E-3</v>
      </c>
      <c r="E7507" s="1">
        <v>2.20951390694047E-3</v>
      </c>
      <c r="F7507" s="1">
        <v>4.39549881705837E-3</v>
      </c>
    </row>
    <row r="7508" spans="1:6" x14ac:dyDescent="0.25">
      <c r="A7508" s="2" t="str">
        <f t="shared" si="284"/>
        <v>29540</v>
      </c>
      <c r="B7508" s="2" t="str">
        <f>"17073"</f>
        <v>17073</v>
      </c>
      <c r="C7508" s="1">
        <v>4.8928466581857301E-4</v>
      </c>
      <c r="D7508" s="1">
        <v>1.15680490485279E-4</v>
      </c>
      <c r="E7508" s="1">
        <v>0</v>
      </c>
      <c r="F7508" s="1">
        <v>4.4835689208609999E-4</v>
      </c>
    </row>
    <row r="7509" spans="1:6" x14ac:dyDescent="0.25">
      <c r="A7509" s="2" t="str">
        <f t="shared" si="284"/>
        <v>29540</v>
      </c>
      <c r="B7509" s="2" t="str">
        <f>"17314"</f>
        <v>17314</v>
      </c>
      <c r="C7509" s="1">
        <v>0</v>
      </c>
      <c r="D7509" s="1">
        <v>5.7840245242639803E-5</v>
      </c>
      <c r="E7509" s="1">
        <v>0</v>
      </c>
      <c r="F7509" s="1">
        <v>4.0031865364830404E-6</v>
      </c>
    </row>
    <row r="7510" spans="1:6" x14ac:dyDescent="0.25">
      <c r="A7510" s="2" t="str">
        <f t="shared" si="284"/>
        <v>29540</v>
      </c>
      <c r="B7510" s="2" t="str">
        <f>"19363"</f>
        <v>19363</v>
      </c>
      <c r="C7510" s="1">
        <v>5.5155725965002798E-4</v>
      </c>
      <c r="D7510" s="1">
        <v>2.31360980970559E-4</v>
      </c>
      <c r="E7510" s="1">
        <v>0</v>
      </c>
      <c r="F7510" s="1">
        <v>5.1240787666982895E-4</v>
      </c>
    </row>
    <row r="7511" spans="1:6" x14ac:dyDescent="0.25">
      <c r="A7511" s="2" t="str">
        <f t="shared" si="284"/>
        <v>29540</v>
      </c>
      <c r="B7511" s="2" t="str">
        <f>"17585"</f>
        <v>17585</v>
      </c>
      <c r="C7511" s="1">
        <v>0</v>
      </c>
      <c r="D7511" s="1">
        <v>0</v>
      </c>
      <c r="E7511" s="1">
        <v>1.29971406290616E-4</v>
      </c>
      <c r="F7511" s="1">
        <v>4.0031865364830404E-6</v>
      </c>
    </row>
    <row r="7512" spans="1:6" x14ac:dyDescent="0.25">
      <c r="A7512" s="2" t="str">
        <f t="shared" si="284"/>
        <v>29540</v>
      </c>
      <c r="B7512" s="2" t="str">
        <f>"17580"</f>
        <v>17580</v>
      </c>
      <c r="C7512" s="1">
        <v>0</v>
      </c>
      <c r="D7512" s="1">
        <v>0</v>
      </c>
      <c r="E7512" s="1">
        <v>1.29971406290616E-4</v>
      </c>
      <c r="F7512" s="1">
        <v>4.0031865364830404E-6</v>
      </c>
    </row>
    <row r="7513" spans="1:6" x14ac:dyDescent="0.25">
      <c r="A7513" s="2" t="str">
        <f t="shared" si="284"/>
        <v>29540</v>
      </c>
      <c r="B7513" s="2" t="str">
        <f>"17568"</f>
        <v>17568</v>
      </c>
      <c r="C7513" s="1">
        <v>4.4480424165324798E-6</v>
      </c>
      <c r="D7513" s="1">
        <v>0</v>
      </c>
      <c r="E7513" s="1">
        <v>1.29971406290616E-4</v>
      </c>
      <c r="F7513" s="1">
        <v>8.0063730729660807E-6</v>
      </c>
    </row>
    <row r="7514" spans="1:6" x14ac:dyDescent="0.25">
      <c r="A7514" s="2" t="str">
        <f t="shared" si="284"/>
        <v>29540</v>
      </c>
      <c r="B7514" s="2" t="str">
        <f>"17601"</f>
        <v>17601</v>
      </c>
      <c r="C7514" s="1">
        <v>9.8960047683014696E-2</v>
      </c>
      <c r="D7514" s="1">
        <v>0.15819307073861899</v>
      </c>
      <c r="E7514" s="1">
        <v>9.8128411749415098E-2</v>
      </c>
      <c r="F7514" s="1">
        <v>0.103034015076</v>
      </c>
    </row>
    <row r="7515" spans="1:6" x14ac:dyDescent="0.25">
      <c r="A7515" s="2" t="str">
        <f t="shared" si="284"/>
        <v>29540</v>
      </c>
      <c r="B7515" s="2" t="str">
        <f>"17579"</f>
        <v>17579</v>
      </c>
      <c r="C7515" s="1">
        <v>1.0853223496339199E-2</v>
      </c>
      <c r="D7515" s="1">
        <v>7.1143501648446902E-3</v>
      </c>
      <c r="E7515" s="1">
        <v>6.8884845334026496E-3</v>
      </c>
      <c r="F7515" s="1">
        <v>1.04723359794396E-2</v>
      </c>
    </row>
    <row r="7516" spans="1:6" x14ac:dyDescent="0.25">
      <c r="A7516" s="2" t="str">
        <f t="shared" si="284"/>
        <v>29540</v>
      </c>
      <c r="B7516" s="2" t="str">
        <f>"17534"</f>
        <v>17534</v>
      </c>
      <c r="C7516" s="1">
        <v>2.5798646015888401E-4</v>
      </c>
      <c r="D7516" s="1">
        <v>6.9408294291167696E-4</v>
      </c>
      <c r="E7516" s="1">
        <v>1.29971406290616E-4</v>
      </c>
      <c r="F7516" s="1">
        <v>2.8422624409029501E-4</v>
      </c>
    </row>
    <row r="7517" spans="1:6" x14ac:dyDescent="0.25">
      <c r="A7517" s="2" t="str">
        <f t="shared" si="284"/>
        <v>29540</v>
      </c>
      <c r="B7517" s="2" t="str">
        <f>"17550"</f>
        <v>17550</v>
      </c>
      <c r="C7517" s="1">
        <v>1.4233735732903899E-3</v>
      </c>
      <c r="D7517" s="1">
        <v>6.9408294291167696E-4</v>
      </c>
      <c r="E7517" s="1">
        <v>1.29971406290616E-4</v>
      </c>
      <c r="F7517" s="1">
        <v>1.3330611166488501E-3</v>
      </c>
    </row>
    <row r="7518" spans="1:6" x14ac:dyDescent="0.25">
      <c r="A7518" s="2" t="str">
        <f t="shared" si="284"/>
        <v>29540</v>
      </c>
      <c r="B7518" s="2" t="str">
        <f>"17545"</f>
        <v>17545</v>
      </c>
      <c r="C7518" s="1">
        <v>4.0953126529014498E-2</v>
      </c>
      <c r="D7518" s="1">
        <v>4.3842905893920897E-2</v>
      </c>
      <c r="E7518" s="1">
        <v>2.5864309851832499E-2</v>
      </c>
      <c r="F7518" s="1">
        <v>4.06883879568136E-2</v>
      </c>
    </row>
    <row r="7519" spans="1:6" x14ac:dyDescent="0.25">
      <c r="A7519" s="2" t="str">
        <f t="shared" si="284"/>
        <v>29540</v>
      </c>
      <c r="B7519" s="2" t="str">
        <f>"17543"</f>
        <v>17543</v>
      </c>
      <c r="C7519" s="1">
        <v>8.3360762928235202E-2</v>
      </c>
      <c r="D7519" s="1">
        <v>6.9523974781652995E-2</v>
      </c>
      <c r="E7519" s="1">
        <v>4.8609305952690397E-2</v>
      </c>
      <c r="F7519" s="1">
        <v>8.13327408617259E-2</v>
      </c>
    </row>
    <row r="7520" spans="1:6" x14ac:dyDescent="0.25">
      <c r="A7520" s="2" t="str">
        <f t="shared" si="284"/>
        <v>29540</v>
      </c>
      <c r="B7520" s="2" t="str">
        <f>"17540"</f>
        <v>17540</v>
      </c>
      <c r="C7520" s="1">
        <v>1.7342917382060102E-2</v>
      </c>
      <c r="D7520" s="1">
        <v>2.40037017756955E-2</v>
      </c>
      <c r="E7520" s="1">
        <v>9.0979984403431208E-3</v>
      </c>
      <c r="F7520" s="1">
        <v>1.7549969775941601E-2</v>
      </c>
    </row>
    <row r="7521" spans="1:6" x14ac:dyDescent="0.25">
      <c r="A7521" s="2" t="str">
        <f t="shared" ref="A7521:A7531" si="285">"29540"</f>
        <v>29540</v>
      </c>
      <c r="B7521" s="2" t="str">
        <f>"17527"</f>
        <v>17527</v>
      </c>
      <c r="C7521" s="1">
        <v>9.0161819783113398E-3</v>
      </c>
      <c r="D7521" s="1">
        <v>1.2493492972410199E-2</v>
      </c>
      <c r="E7521" s="1">
        <v>8.3181700025994204E-3</v>
      </c>
      <c r="F7521" s="1">
        <v>9.2353513396663707E-3</v>
      </c>
    </row>
    <row r="7522" spans="1:6" x14ac:dyDescent="0.25">
      <c r="A7522" s="2" t="str">
        <f t="shared" si="285"/>
        <v>29540</v>
      </c>
      <c r="B7522" s="2" t="str">
        <f>"17501"</f>
        <v>17501</v>
      </c>
      <c r="C7522" s="1">
        <v>8.9272211299806902E-3</v>
      </c>
      <c r="D7522" s="1">
        <v>7.6927526172710899E-3</v>
      </c>
      <c r="E7522" s="1">
        <v>1.10475695347023E-2</v>
      </c>
      <c r="F7522" s="1">
        <v>8.9070900436747594E-3</v>
      </c>
    </row>
    <row r="7523" spans="1:6" x14ac:dyDescent="0.25">
      <c r="A7523" s="2" t="str">
        <f t="shared" si="285"/>
        <v>29540</v>
      </c>
      <c r="B7523" s="2" t="str">
        <f>"17567"</f>
        <v>17567</v>
      </c>
      <c r="C7523" s="1">
        <v>1.9437945360246899E-3</v>
      </c>
      <c r="D7523" s="1">
        <v>2.4871305454335101E-3</v>
      </c>
      <c r="E7523" s="1">
        <v>2.59942812581232E-4</v>
      </c>
      <c r="F7523" s="1">
        <v>1.92953591058482E-3</v>
      </c>
    </row>
    <row r="7524" spans="1:6" x14ac:dyDescent="0.25">
      <c r="A7524" s="2" t="str">
        <f t="shared" si="285"/>
        <v>29540</v>
      </c>
      <c r="B7524" s="2" t="str">
        <f>"17566"</f>
        <v>17566</v>
      </c>
      <c r="C7524" s="1">
        <v>1.97359642021546E-2</v>
      </c>
      <c r="D7524" s="1">
        <v>2.0070565099196001E-2</v>
      </c>
      <c r="E7524" s="1">
        <v>1.32570834416428E-2</v>
      </c>
      <c r="F7524" s="1">
        <v>1.95595694172561E-2</v>
      </c>
    </row>
    <row r="7525" spans="1:6" x14ac:dyDescent="0.25">
      <c r="A7525" s="2" t="str">
        <f t="shared" si="285"/>
        <v>29540</v>
      </c>
      <c r="B7525" s="2" t="str">
        <f>"17528"</f>
        <v>17528</v>
      </c>
      <c r="C7525" s="1">
        <v>0</v>
      </c>
      <c r="D7525" s="1">
        <v>0</v>
      </c>
      <c r="E7525" s="1">
        <v>1.29971406290616E-4</v>
      </c>
      <c r="F7525" s="1">
        <v>4.0031865364830404E-6</v>
      </c>
    </row>
    <row r="7526" spans="1:6" x14ac:dyDescent="0.25">
      <c r="A7526" s="2" t="str">
        <f t="shared" si="285"/>
        <v>29540</v>
      </c>
      <c r="B7526" s="2" t="str">
        <f>"17562"</f>
        <v>17562</v>
      </c>
      <c r="C7526" s="1">
        <v>6.6142390733838E-3</v>
      </c>
      <c r="D7526" s="1">
        <v>6.8251489386314899E-3</v>
      </c>
      <c r="E7526" s="1">
        <v>4.9389134390434098E-3</v>
      </c>
      <c r="F7526" s="1">
        <v>6.5772354794416303E-3</v>
      </c>
    </row>
    <row r="7527" spans="1:6" x14ac:dyDescent="0.25">
      <c r="A7527" s="2" t="str">
        <f t="shared" si="285"/>
        <v>29540</v>
      </c>
      <c r="B7527" s="2" t="str">
        <f>"17557"</f>
        <v>17557</v>
      </c>
      <c r="C7527" s="1">
        <v>2.6181177663710201E-2</v>
      </c>
      <c r="D7527" s="1">
        <v>3.3547342240731103E-2</v>
      </c>
      <c r="E7527" s="1">
        <v>2.09253964127891E-2</v>
      </c>
      <c r="F7527" s="1">
        <v>2.65291171772731E-2</v>
      </c>
    </row>
    <row r="7528" spans="1:6" x14ac:dyDescent="0.25">
      <c r="A7528" s="2" t="str">
        <f t="shared" si="285"/>
        <v>29540</v>
      </c>
      <c r="B7528" s="2" t="str">
        <f>"17507"</f>
        <v>17507</v>
      </c>
      <c r="C7528" s="1">
        <v>1.6457756941170101E-4</v>
      </c>
      <c r="D7528" s="1">
        <v>5.7840245242639803E-5</v>
      </c>
      <c r="E7528" s="1">
        <v>6.4985703145308004E-4</v>
      </c>
      <c r="F7528" s="1">
        <v>1.7213702106876999E-4</v>
      </c>
    </row>
    <row r="7529" spans="1:6" x14ac:dyDescent="0.25">
      <c r="A7529" s="2" t="str">
        <f t="shared" si="285"/>
        <v>29540</v>
      </c>
      <c r="B7529" s="2" t="str">
        <f>"17519"</f>
        <v>17519</v>
      </c>
      <c r="C7529" s="1">
        <v>9.6878363832077503E-3</v>
      </c>
      <c r="D7529" s="1">
        <v>6.0732257504771802E-3</v>
      </c>
      <c r="E7529" s="1">
        <v>2.20951390694047E-3</v>
      </c>
      <c r="F7529" s="1">
        <v>9.2073290339109905E-3</v>
      </c>
    </row>
    <row r="7530" spans="1:6" x14ac:dyDescent="0.25">
      <c r="A7530" s="2" t="str">
        <f t="shared" si="285"/>
        <v>29540</v>
      </c>
      <c r="B7530" s="2" t="str">
        <f>"17605"</f>
        <v>17605</v>
      </c>
      <c r="C7530" s="1">
        <v>1.85038564527751E-3</v>
      </c>
      <c r="D7530" s="1">
        <v>1.25513332176528E-2</v>
      </c>
      <c r="E7530" s="1">
        <v>2.59942812581232E-4</v>
      </c>
      <c r="F7530" s="1">
        <v>2.5420234506667301E-3</v>
      </c>
    </row>
    <row r="7531" spans="1:6" x14ac:dyDescent="0.25">
      <c r="A7531" s="2" t="str">
        <f t="shared" si="285"/>
        <v>29540</v>
      </c>
      <c r="B7531" s="2" t="str">
        <f>"17603"</f>
        <v>17603</v>
      </c>
      <c r="C7531" s="1">
        <v>0.12297947673229</v>
      </c>
      <c r="D7531" s="1">
        <v>0.12909942738157201</v>
      </c>
      <c r="E7531" s="1">
        <v>0.26449181180140302</v>
      </c>
      <c r="F7531" s="1">
        <v>0.12776169831185599</v>
      </c>
    </row>
    <row r="7532" spans="1:6" x14ac:dyDescent="0.25">
      <c r="A7532" s="2" t="str">
        <f t="shared" ref="A7532:A7552" si="286">"23900"</f>
        <v>23900</v>
      </c>
      <c r="B7532" s="2" t="str">
        <f>"17337"</f>
        <v>17337</v>
      </c>
      <c r="C7532" s="1">
        <v>0</v>
      </c>
      <c r="D7532" s="1">
        <v>0</v>
      </c>
      <c r="E7532" s="1">
        <v>1.1547344110854499E-3</v>
      </c>
      <c r="F7532" s="1">
        <v>2.1197218924877E-5</v>
      </c>
    </row>
    <row r="7533" spans="1:6" x14ac:dyDescent="0.25">
      <c r="A7533" s="2" t="str">
        <f t="shared" si="286"/>
        <v>23900</v>
      </c>
      <c r="B7533" s="2" t="str">
        <f>"17343"</f>
        <v>17343</v>
      </c>
      <c r="C7533" s="1">
        <v>0</v>
      </c>
      <c r="D7533" s="1">
        <v>0</v>
      </c>
      <c r="E7533" s="1">
        <v>1.1547344110854499E-3</v>
      </c>
      <c r="F7533" s="1">
        <v>2.1197218924877E-5</v>
      </c>
    </row>
    <row r="7534" spans="1:6" x14ac:dyDescent="0.25">
      <c r="A7534" s="2" t="str">
        <f t="shared" si="286"/>
        <v>23900</v>
      </c>
      <c r="B7534" s="2" t="str">
        <f>"17307"</f>
        <v>17307</v>
      </c>
      <c r="C7534" s="1">
        <v>5.03875082874191E-2</v>
      </c>
      <c r="D7534" s="1">
        <v>3.2308291163876901E-2</v>
      </c>
      <c r="E7534" s="1">
        <v>2.1939953810623501E-2</v>
      </c>
      <c r="F7534" s="1">
        <v>4.8880786840766403E-2</v>
      </c>
    </row>
    <row r="7535" spans="1:6" x14ac:dyDescent="0.25">
      <c r="A7535" s="2" t="str">
        <f t="shared" si="286"/>
        <v>23900</v>
      </c>
      <c r="B7535" s="2" t="str">
        <f>"17304"</f>
        <v>17304</v>
      </c>
      <c r="C7535" s="1">
        <v>2.83029651814087E-2</v>
      </c>
      <c r="D7535" s="1">
        <v>1.1288439081354599E-2</v>
      </c>
      <c r="E7535" s="1">
        <v>1.9630484988452601E-2</v>
      </c>
      <c r="F7535" s="1">
        <v>2.7217229099542099E-2</v>
      </c>
    </row>
    <row r="7536" spans="1:6" x14ac:dyDescent="0.25">
      <c r="A7536" s="2" t="str">
        <f t="shared" si="286"/>
        <v>23900</v>
      </c>
      <c r="B7536" s="2" t="str">
        <f>"17301"</f>
        <v>17301</v>
      </c>
      <c r="C7536" s="1">
        <v>2.96975377792002E-2</v>
      </c>
      <c r="D7536" s="1">
        <v>2.5690930323082901E-2</v>
      </c>
      <c r="E7536" s="1">
        <v>1.6166281755196299E-2</v>
      </c>
      <c r="F7536" s="1">
        <v>2.9230964897405402E-2</v>
      </c>
    </row>
    <row r="7537" spans="1:6" x14ac:dyDescent="0.25">
      <c r="A7537" s="2" t="str">
        <f t="shared" si="286"/>
        <v>23900</v>
      </c>
      <c r="B7537" s="2" t="str">
        <f>"17324"</f>
        <v>17324</v>
      </c>
      <c r="C7537" s="1">
        <v>1.6643423790036801E-2</v>
      </c>
      <c r="D7537" s="1">
        <v>8.5636434410276303E-3</v>
      </c>
      <c r="E7537" s="1">
        <v>5.7736720554272501E-3</v>
      </c>
      <c r="F7537" s="1">
        <v>1.6003900288282101E-2</v>
      </c>
    </row>
    <row r="7538" spans="1:6" x14ac:dyDescent="0.25">
      <c r="A7538" s="2" t="str">
        <f t="shared" si="286"/>
        <v>23900</v>
      </c>
      <c r="B7538" s="2" t="str">
        <f>"17316"</f>
        <v>17316</v>
      </c>
      <c r="C7538" s="1">
        <v>6.4150339498411105E-2</v>
      </c>
      <c r="D7538" s="1">
        <v>1.9462826002335499E-2</v>
      </c>
      <c r="E7538" s="1">
        <v>1.5011547344110801E-2</v>
      </c>
      <c r="F7538" s="1">
        <v>6.0814821095472198E-2</v>
      </c>
    </row>
    <row r="7539" spans="1:6" x14ac:dyDescent="0.25">
      <c r="A7539" s="2" t="str">
        <f t="shared" si="286"/>
        <v>23900</v>
      </c>
      <c r="B7539" s="2" t="str">
        <f>"17222"</f>
        <v>17222</v>
      </c>
      <c r="C7539" s="1">
        <v>6.4470405340527103E-3</v>
      </c>
      <c r="D7539" s="1">
        <v>3.5033086804203899E-3</v>
      </c>
      <c r="E7539" s="1">
        <v>6.9284064665126998E-3</v>
      </c>
      <c r="F7539" s="1">
        <v>6.2955740206884804E-3</v>
      </c>
    </row>
    <row r="7540" spans="1:6" x14ac:dyDescent="0.25">
      <c r="A7540" s="2" t="str">
        <f t="shared" si="286"/>
        <v>23900</v>
      </c>
      <c r="B7540" s="2" t="str">
        <f>"17353"</f>
        <v>17353</v>
      </c>
      <c r="C7540" s="1">
        <v>3.2280926361994401E-2</v>
      </c>
      <c r="D7540" s="1">
        <v>5.0603347606072401E-3</v>
      </c>
      <c r="E7540" s="1">
        <v>1.1547344110854499E-3</v>
      </c>
      <c r="F7540" s="1">
        <v>3.0227234186874601E-2</v>
      </c>
    </row>
    <row r="7541" spans="1:6" x14ac:dyDescent="0.25">
      <c r="A7541" s="2" t="str">
        <f t="shared" si="286"/>
        <v>23900</v>
      </c>
      <c r="B7541" s="2" t="str">
        <f>"17320"</f>
        <v>17320</v>
      </c>
      <c r="C7541" s="1">
        <v>7.7318762716901704E-2</v>
      </c>
      <c r="D7541" s="1">
        <v>2.9972752043596701E-2</v>
      </c>
      <c r="E7541" s="1">
        <v>2.54041570438799E-2</v>
      </c>
      <c r="F7541" s="1">
        <v>7.3787519077497005E-2</v>
      </c>
    </row>
    <row r="7542" spans="1:6" x14ac:dyDescent="0.25">
      <c r="A7542" s="2" t="str">
        <f t="shared" si="286"/>
        <v>23900</v>
      </c>
      <c r="B7542" s="2" t="str">
        <f>"17372"</f>
        <v>17372</v>
      </c>
      <c r="C7542" s="1">
        <v>3.6990466610274102E-2</v>
      </c>
      <c r="D7542" s="1">
        <v>2.6858699883223001E-2</v>
      </c>
      <c r="E7542" s="1">
        <v>3.4642032332563499E-3</v>
      </c>
      <c r="F7542" s="1">
        <v>3.5823299983042199E-2</v>
      </c>
    </row>
    <row r="7543" spans="1:6" x14ac:dyDescent="0.25">
      <c r="A7543" s="2" t="str">
        <f t="shared" si="286"/>
        <v>23900</v>
      </c>
      <c r="B7543" s="2" t="str">
        <f>"17344"</f>
        <v>17344</v>
      </c>
      <c r="C7543" s="1">
        <v>3.7904940444891497E-2</v>
      </c>
      <c r="D7543" s="1">
        <v>2.88049824834565E-2</v>
      </c>
      <c r="E7543" s="1">
        <v>4.2725173210161602E-2</v>
      </c>
      <c r="F7543" s="1">
        <v>3.74978802781075E-2</v>
      </c>
    </row>
    <row r="7544" spans="1:6" x14ac:dyDescent="0.25">
      <c r="A7544" s="2" t="str">
        <f t="shared" si="286"/>
        <v>23900</v>
      </c>
      <c r="B7544" s="2" t="str">
        <f>"17303"</f>
        <v>17303</v>
      </c>
      <c r="C7544" s="1">
        <v>1.8289476692348101E-4</v>
      </c>
      <c r="D7544" s="1">
        <v>0</v>
      </c>
      <c r="E7544" s="1">
        <v>1.1547344110854499E-3</v>
      </c>
      <c r="F7544" s="1">
        <v>1.9077497032389301E-4</v>
      </c>
    </row>
    <row r="7545" spans="1:6" x14ac:dyDescent="0.25">
      <c r="A7545" s="2" t="str">
        <f t="shared" si="286"/>
        <v>23900</v>
      </c>
      <c r="B7545" s="2" t="str">
        <f>"17019"</f>
        <v>17019</v>
      </c>
      <c r="C7545" s="1">
        <v>1.18881598500262E-3</v>
      </c>
      <c r="D7545" s="1">
        <v>7.7851304009342098E-4</v>
      </c>
      <c r="E7545" s="1">
        <v>0</v>
      </c>
      <c r="F7545" s="1">
        <v>1.1446498219433599E-3</v>
      </c>
    </row>
    <row r="7546" spans="1:6" x14ac:dyDescent="0.25">
      <c r="A7546" s="2" t="str">
        <f t="shared" si="286"/>
        <v>23900</v>
      </c>
      <c r="B7546" s="2" t="str">
        <f>"17306"</f>
        <v>17306</v>
      </c>
      <c r="C7546" s="1">
        <v>1.60032921058046E-4</v>
      </c>
      <c r="D7546" s="1">
        <v>0</v>
      </c>
      <c r="E7546" s="1">
        <v>1.1547344110854499E-3</v>
      </c>
      <c r="F7546" s="1">
        <v>1.69577751399016E-4</v>
      </c>
    </row>
    <row r="7547" spans="1:6" x14ac:dyDescent="0.25">
      <c r="A7547" s="2" t="str">
        <f t="shared" si="286"/>
        <v>23900</v>
      </c>
      <c r="B7547" s="2" t="str">
        <f>"17310"</f>
        <v>17310</v>
      </c>
      <c r="C7547" s="1">
        <v>2.2861845865435099E-5</v>
      </c>
      <c r="D7547" s="1">
        <v>0</v>
      </c>
      <c r="E7547" s="1">
        <v>1.1547344110854499E-3</v>
      </c>
      <c r="F7547" s="1">
        <v>4.2394437849754101E-5</v>
      </c>
    </row>
    <row r="7548" spans="1:6" x14ac:dyDescent="0.25">
      <c r="A7548" s="2" t="str">
        <f t="shared" si="286"/>
        <v>23900</v>
      </c>
      <c r="B7548" s="2" t="str">
        <f>"17331"</f>
        <v>17331</v>
      </c>
      <c r="C7548" s="1">
        <v>0.104272878992249</v>
      </c>
      <c r="D7548" s="1">
        <v>8.5247177890229606E-2</v>
      </c>
      <c r="E7548" s="1">
        <v>5.08083140877598E-2</v>
      </c>
      <c r="F7548" s="1">
        <v>0.102255384093606</v>
      </c>
    </row>
    <row r="7549" spans="1:6" x14ac:dyDescent="0.25">
      <c r="A7549" s="2" t="str">
        <f t="shared" si="286"/>
        <v>23900</v>
      </c>
      <c r="B7549" s="2" t="str">
        <f>"17375"</f>
        <v>17375</v>
      </c>
      <c r="C7549" s="1">
        <v>0</v>
      </c>
      <c r="D7549" s="1">
        <v>3.8925652004671E-4</v>
      </c>
      <c r="E7549" s="1">
        <v>1.1547344110854499E-3</v>
      </c>
      <c r="F7549" s="1">
        <v>4.2394437849754101E-5</v>
      </c>
    </row>
    <row r="7550" spans="1:6" x14ac:dyDescent="0.25">
      <c r="A7550" s="2" t="str">
        <f t="shared" si="286"/>
        <v>23900</v>
      </c>
      <c r="B7550" s="2" t="str">
        <f>"17350"</f>
        <v>17350</v>
      </c>
      <c r="C7550" s="1">
        <v>0.129626666057017</v>
      </c>
      <c r="D7550" s="1">
        <v>0.112884390813546</v>
      </c>
      <c r="E7550" s="1">
        <v>6.9284064665127001E-2</v>
      </c>
      <c r="F7550" s="1">
        <v>0.12760725792775901</v>
      </c>
    </row>
    <row r="7551" spans="1:6" x14ac:dyDescent="0.25">
      <c r="A7551" s="2" t="str">
        <f t="shared" si="286"/>
        <v>23900</v>
      </c>
      <c r="B7551" s="2" t="str">
        <f>"17340"</f>
        <v>17340</v>
      </c>
      <c r="C7551" s="1">
        <v>0.107930774330719</v>
      </c>
      <c r="D7551" s="1">
        <v>8.1743869209809195E-2</v>
      </c>
      <c r="E7551" s="1">
        <v>0.132794457274826</v>
      </c>
      <c r="F7551" s="1">
        <v>0.106961166694929</v>
      </c>
    </row>
    <row r="7552" spans="1:6" x14ac:dyDescent="0.25">
      <c r="A7552" s="2" t="str">
        <f t="shared" si="286"/>
        <v>23900</v>
      </c>
      <c r="B7552" s="2" t="str">
        <f>"17325"</f>
        <v>17325</v>
      </c>
      <c r="C7552" s="1">
        <v>0.27649116389657302</v>
      </c>
      <c r="D7552" s="1">
        <v>0.52744258466329297</v>
      </c>
      <c r="E7552" s="1">
        <v>0.58198614318706599</v>
      </c>
      <c r="F7552" s="1">
        <v>0.29576479565880898</v>
      </c>
    </row>
    <row r="7553" spans="1:6" x14ac:dyDescent="0.25">
      <c r="A7553" s="2" t="str">
        <f t="shared" ref="A7553:A7584" si="287">"42540"</f>
        <v>42540</v>
      </c>
      <c r="B7553" s="2" t="str">
        <f>"18421"</f>
        <v>18421</v>
      </c>
      <c r="C7553" s="1">
        <v>1.84973323211479E-3</v>
      </c>
      <c r="D7553" s="1">
        <v>1.4922965233524199E-3</v>
      </c>
      <c r="E7553" s="1">
        <v>1.5336354130359E-3</v>
      </c>
      <c r="F7553" s="1">
        <v>1.8078318528712599E-3</v>
      </c>
    </row>
    <row r="7554" spans="1:6" x14ac:dyDescent="0.25">
      <c r="A7554" s="2" t="str">
        <f t="shared" si="287"/>
        <v>42540</v>
      </c>
      <c r="B7554" s="2" t="str">
        <f>"18704"</f>
        <v>18704</v>
      </c>
      <c r="C7554" s="1">
        <v>5.7566264287318099E-2</v>
      </c>
      <c r="D7554" s="1">
        <v>7.1993224167137201E-2</v>
      </c>
      <c r="E7554" s="1">
        <v>6.9501568490763305E-2</v>
      </c>
      <c r="F7554" s="1">
        <v>5.9220567996997299E-2</v>
      </c>
    </row>
    <row r="7555" spans="1:6" x14ac:dyDescent="0.25">
      <c r="A7555" s="2" t="str">
        <f t="shared" si="287"/>
        <v>42540</v>
      </c>
      <c r="B7555" s="2" t="str">
        <f>"18702"</f>
        <v>18702</v>
      </c>
      <c r="C7555" s="1">
        <v>7.1576478806476496E-2</v>
      </c>
      <c r="D7555" s="1">
        <v>8.9174800354924505E-2</v>
      </c>
      <c r="E7555" s="1">
        <v>7.3335657023352999E-2</v>
      </c>
      <c r="F7555" s="1">
        <v>7.30201426247966E-2</v>
      </c>
    </row>
    <row r="7556" spans="1:6" x14ac:dyDescent="0.25">
      <c r="A7556" s="2" t="str">
        <f t="shared" si="287"/>
        <v>42540</v>
      </c>
      <c r="B7556" s="2" t="str">
        <f>"18660"</f>
        <v>18660</v>
      </c>
      <c r="C7556" s="1">
        <v>5.9590635146357001E-3</v>
      </c>
      <c r="D7556" s="1">
        <v>1.7746228926353101E-3</v>
      </c>
      <c r="E7556" s="1">
        <v>4.1826420355524499E-4</v>
      </c>
      <c r="F7556" s="1">
        <v>5.3859627173777E-3</v>
      </c>
    </row>
    <row r="7557" spans="1:6" x14ac:dyDescent="0.25">
      <c r="A7557" s="2" t="str">
        <f t="shared" si="287"/>
        <v>42540</v>
      </c>
      <c r="B7557" s="2" t="str">
        <f>"18614"</f>
        <v>18614</v>
      </c>
      <c r="C7557" s="1">
        <v>7.4844697253199599E-5</v>
      </c>
      <c r="D7557" s="1">
        <v>0</v>
      </c>
      <c r="E7557" s="1">
        <v>0</v>
      </c>
      <c r="F7557" s="1">
        <v>6.5682472163142703E-5</v>
      </c>
    </row>
    <row r="7558" spans="1:6" x14ac:dyDescent="0.25">
      <c r="A7558" s="2" t="str">
        <f t="shared" si="287"/>
        <v>42540</v>
      </c>
      <c r="B7558" s="2" t="str">
        <f>"18612"</f>
        <v>18612</v>
      </c>
      <c r="C7558" s="1">
        <v>2.7721050249304099E-2</v>
      </c>
      <c r="D7558" s="1">
        <v>2.3070097604259002E-2</v>
      </c>
      <c r="E7558" s="1">
        <v>1.03868943882886E-2</v>
      </c>
      <c r="F7558" s="1">
        <v>2.65826348054547E-2</v>
      </c>
    </row>
    <row r="7559" spans="1:6" x14ac:dyDescent="0.25">
      <c r="A7559" s="2" t="str">
        <f t="shared" si="287"/>
        <v>42540</v>
      </c>
      <c r="B7559" s="2" t="str">
        <f>"18603"</f>
        <v>18603</v>
      </c>
      <c r="C7559" s="1">
        <v>6.1479572743699598E-3</v>
      </c>
      <c r="D7559" s="1">
        <v>2.46027264660805E-3</v>
      </c>
      <c r="E7559" s="1">
        <v>1.39421401185081E-3</v>
      </c>
      <c r="F7559" s="1">
        <v>5.6486926060302697E-3</v>
      </c>
    </row>
    <row r="7560" spans="1:6" x14ac:dyDescent="0.25">
      <c r="A7560" s="2" t="str">
        <f t="shared" si="287"/>
        <v>42540</v>
      </c>
      <c r="B7560" s="2" t="str">
        <f>"18510"</f>
        <v>18510</v>
      </c>
      <c r="C7560" s="1">
        <v>2.1320046617554201E-2</v>
      </c>
      <c r="D7560" s="1">
        <v>1.5406953295151999E-2</v>
      </c>
      <c r="E7560" s="1">
        <v>5.1725339839665298E-2</v>
      </c>
      <c r="F7560" s="1">
        <v>2.2225697485299602E-2</v>
      </c>
    </row>
    <row r="7561" spans="1:6" x14ac:dyDescent="0.25">
      <c r="A7561" s="2" t="str">
        <f t="shared" si="287"/>
        <v>42540</v>
      </c>
      <c r="B7561" s="2" t="str">
        <f>"18642"</f>
        <v>18642</v>
      </c>
      <c r="C7561" s="1">
        <v>8.2828131626874208E-3</v>
      </c>
      <c r="D7561" s="1">
        <v>4.8802129547471096E-3</v>
      </c>
      <c r="E7561" s="1">
        <v>4.81003834088532E-3</v>
      </c>
      <c r="F7561" s="1">
        <v>7.8631302389590794E-3</v>
      </c>
    </row>
    <row r="7562" spans="1:6" x14ac:dyDescent="0.25">
      <c r="A7562" s="2" t="str">
        <f t="shared" si="287"/>
        <v>42540</v>
      </c>
      <c r="B7562" s="2" t="str">
        <f>"18634"</f>
        <v>18634</v>
      </c>
      <c r="C7562" s="1">
        <v>2.6106543208556501E-2</v>
      </c>
      <c r="D7562" s="1">
        <v>1.48423005565862E-2</v>
      </c>
      <c r="E7562" s="1">
        <v>2.61415127222028E-2</v>
      </c>
      <c r="F7562" s="1">
        <v>2.52345802577255E-2</v>
      </c>
    </row>
    <row r="7563" spans="1:6" x14ac:dyDescent="0.25">
      <c r="A7563" s="2" t="str">
        <f t="shared" si="287"/>
        <v>42540</v>
      </c>
      <c r="B7563" s="2" t="str">
        <f>"18623"</f>
        <v>18623</v>
      </c>
      <c r="C7563" s="1">
        <v>2.1990084859630499E-3</v>
      </c>
      <c r="D7563" s="1">
        <v>1.1293054771315599E-3</v>
      </c>
      <c r="E7563" s="1">
        <v>1.3245033112582699E-3</v>
      </c>
      <c r="F7563" s="1">
        <v>2.0768172150631798E-3</v>
      </c>
    </row>
    <row r="7564" spans="1:6" x14ac:dyDescent="0.25">
      <c r="A7564" s="2" t="str">
        <f t="shared" si="287"/>
        <v>42540</v>
      </c>
      <c r="B7564" s="2" t="str">
        <f>"18256"</f>
        <v>18256</v>
      </c>
      <c r="C7564" s="1">
        <v>0</v>
      </c>
      <c r="D7564" s="1">
        <v>4.03323384689844E-5</v>
      </c>
      <c r="E7564" s="1">
        <v>0</v>
      </c>
      <c r="F7564" s="1">
        <v>3.1277367696734598E-6</v>
      </c>
    </row>
    <row r="7565" spans="1:6" x14ac:dyDescent="0.25">
      <c r="A7565" s="2" t="str">
        <f t="shared" si="287"/>
        <v>42540</v>
      </c>
      <c r="B7565" s="2" t="str">
        <f>"18223"</f>
        <v>18223</v>
      </c>
      <c r="C7565" s="1">
        <v>0</v>
      </c>
      <c r="D7565" s="1">
        <v>4.03323384689844E-5</v>
      </c>
      <c r="E7565" s="1">
        <v>0</v>
      </c>
      <c r="F7565" s="1">
        <v>3.1277367696734598E-6</v>
      </c>
    </row>
    <row r="7566" spans="1:6" x14ac:dyDescent="0.25">
      <c r="A7566" s="2" t="str">
        <f t="shared" si="287"/>
        <v>42540</v>
      </c>
      <c r="B7566" s="2" t="str">
        <f>"18710"</f>
        <v>18710</v>
      </c>
      <c r="C7566" s="1">
        <v>1.7820166012666501E-4</v>
      </c>
      <c r="D7566" s="1">
        <v>2.4199403081390599E-4</v>
      </c>
      <c r="E7566" s="1">
        <v>6.9710700592540899E-5</v>
      </c>
      <c r="F7566" s="1">
        <v>1.7828099587138699E-4</v>
      </c>
    </row>
    <row r="7567" spans="1:6" x14ac:dyDescent="0.25">
      <c r="A7567" s="2" t="str">
        <f t="shared" si="287"/>
        <v>42540</v>
      </c>
      <c r="B7567" s="2" t="str">
        <f>"18766"</f>
        <v>18766</v>
      </c>
      <c r="C7567" s="1">
        <v>0</v>
      </c>
      <c r="D7567" s="1">
        <v>1.20997015406953E-4</v>
      </c>
      <c r="E7567" s="1">
        <v>0</v>
      </c>
      <c r="F7567" s="1">
        <v>9.38321030902039E-6</v>
      </c>
    </row>
    <row r="7568" spans="1:6" x14ac:dyDescent="0.25">
      <c r="A7568" s="2" t="str">
        <f t="shared" si="287"/>
        <v>42540</v>
      </c>
      <c r="B7568" s="2" t="str">
        <f>"18440"</f>
        <v>18440</v>
      </c>
      <c r="C7568" s="1">
        <v>0</v>
      </c>
      <c r="D7568" s="1">
        <v>4.03323384689844E-5</v>
      </c>
      <c r="E7568" s="1">
        <v>6.9710700592540899E-5</v>
      </c>
      <c r="F7568" s="1">
        <v>6.2554735393469196E-6</v>
      </c>
    </row>
    <row r="7569" spans="1:6" x14ac:dyDescent="0.25">
      <c r="A7569" s="2" t="str">
        <f t="shared" si="287"/>
        <v>42540</v>
      </c>
      <c r="B7569" s="2" t="str">
        <f>"18436"</f>
        <v>18436</v>
      </c>
      <c r="C7569" s="1">
        <v>5.79155395411663E-3</v>
      </c>
      <c r="D7569" s="1">
        <v>1.4922965233524199E-3</v>
      </c>
      <c r="E7569" s="1">
        <v>8.3652840711049095E-4</v>
      </c>
      <c r="F7569" s="1">
        <v>5.2358313524333696E-3</v>
      </c>
    </row>
    <row r="7570" spans="1:6" x14ac:dyDescent="0.25">
      <c r="A7570" s="2" t="str">
        <f t="shared" si="287"/>
        <v>42540</v>
      </c>
      <c r="B7570" s="2" t="str">
        <f>"18411"</f>
        <v>18411</v>
      </c>
      <c r="C7570" s="1">
        <v>3.6873487513409603E-2</v>
      </c>
      <c r="D7570" s="1">
        <v>3.4443817052512697E-2</v>
      </c>
      <c r="E7570" s="1">
        <v>2.11223422795399E-2</v>
      </c>
      <c r="F7570" s="1">
        <v>3.59783560615538E-2</v>
      </c>
    </row>
    <row r="7571" spans="1:6" x14ac:dyDescent="0.25">
      <c r="A7571" s="2" t="str">
        <f t="shared" si="287"/>
        <v>42540</v>
      </c>
      <c r="B7571" s="2" t="str">
        <f>"18701"</f>
        <v>18701</v>
      </c>
      <c r="C7571" s="1">
        <v>6.6184096571043601E-3</v>
      </c>
      <c r="D7571" s="1">
        <v>3.4443817052512697E-2</v>
      </c>
      <c r="E7571" s="1">
        <v>2.1958870686650402E-2</v>
      </c>
      <c r="F7571" s="1">
        <v>9.4645314650319001E-3</v>
      </c>
    </row>
    <row r="7572" spans="1:6" x14ac:dyDescent="0.25">
      <c r="A7572" s="2" t="str">
        <f t="shared" si="287"/>
        <v>42540</v>
      </c>
      <c r="B7572" s="2" t="str">
        <f>"18656"</f>
        <v>18656</v>
      </c>
      <c r="C7572" s="1">
        <v>3.7244146966473098E-3</v>
      </c>
      <c r="D7572" s="1">
        <v>1.3309671694764799E-3</v>
      </c>
      <c r="E7572" s="1">
        <v>7.6681770651794998E-4</v>
      </c>
      <c r="F7572" s="1">
        <v>3.4061053421743999E-3</v>
      </c>
    </row>
    <row r="7573" spans="1:6" x14ac:dyDescent="0.25">
      <c r="A7573" s="2" t="str">
        <f t="shared" si="287"/>
        <v>42540</v>
      </c>
      <c r="B7573" s="2" t="str">
        <f>"18540"</f>
        <v>18540</v>
      </c>
      <c r="C7573" s="1">
        <v>0</v>
      </c>
      <c r="D7573" s="1">
        <v>0</v>
      </c>
      <c r="E7573" s="1">
        <v>6.9710700592540899E-5</v>
      </c>
      <c r="F7573" s="1">
        <v>3.1277367696734598E-6</v>
      </c>
    </row>
    <row r="7574" spans="1:6" x14ac:dyDescent="0.25">
      <c r="A7574" s="2" t="str">
        <f t="shared" si="287"/>
        <v>42540</v>
      </c>
      <c r="B7574" s="2" t="str">
        <f>"18611"</f>
        <v>18611</v>
      </c>
      <c r="C7574" s="1">
        <v>0</v>
      </c>
      <c r="D7574" s="1">
        <v>4.03323384689844E-5</v>
      </c>
      <c r="E7574" s="1">
        <v>0</v>
      </c>
      <c r="F7574" s="1">
        <v>3.1277367696734598E-6</v>
      </c>
    </row>
    <row r="7575" spans="1:6" x14ac:dyDescent="0.25">
      <c r="A7575" s="2" t="str">
        <f t="shared" si="287"/>
        <v>42540</v>
      </c>
      <c r="B7575" s="2" t="str">
        <f>"18519"</f>
        <v>18519</v>
      </c>
      <c r="C7575" s="1">
        <v>9.2272819613587499E-3</v>
      </c>
      <c r="D7575" s="1">
        <v>1.3108010002419899E-2</v>
      </c>
      <c r="E7575" s="1">
        <v>1.1571976298361699E-2</v>
      </c>
      <c r="F7575" s="1">
        <v>9.6334292505942595E-3</v>
      </c>
    </row>
    <row r="7576" spans="1:6" x14ac:dyDescent="0.25">
      <c r="A7576" s="2" t="str">
        <f t="shared" si="287"/>
        <v>42540</v>
      </c>
      <c r="B7576" s="2" t="str">
        <f>"18222"</f>
        <v>18222</v>
      </c>
      <c r="C7576" s="1">
        <v>1.5731642555982001E-2</v>
      </c>
      <c r="D7576" s="1">
        <v>5.8885214164717198E-3</v>
      </c>
      <c r="E7576" s="1">
        <v>1.74276751481352E-3</v>
      </c>
      <c r="F7576" s="1">
        <v>1.43406730889528E-2</v>
      </c>
    </row>
    <row r="7577" spans="1:6" x14ac:dyDescent="0.25">
      <c r="A7577" s="2" t="str">
        <f t="shared" si="287"/>
        <v>42540</v>
      </c>
      <c r="B7577" s="2" t="str">
        <f>"18707"</f>
        <v>18707</v>
      </c>
      <c r="C7577" s="1">
        <v>2.4317398540884799E-2</v>
      </c>
      <c r="D7577" s="1">
        <v>1.4640638864241299E-2</v>
      </c>
      <c r="E7577" s="1">
        <v>3.6946671314046701E-3</v>
      </c>
      <c r="F7577" s="1">
        <v>2.2641686475666199E-2</v>
      </c>
    </row>
    <row r="7578" spans="1:6" x14ac:dyDescent="0.25">
      <c r="A7578" s="2" t="str">
        <f t="shared" si="287"/>
        <v>42540</v>
      </c>
      <c r="B7578" s="2" t="str">
        <f>"18434"</f>
        <v>18434</v>
      </c>
      <c r="C7578" s="1">
        <v>7.3098320983958198E-3</v>
      </c>
      <c r="D7578" s="1">
        <v>7.4614826167621103E-3</v>
      </c>
      <c r="E7578" s="1">
        <v>7.3196235622168E-3</v>
      </c>
      <c r="F7578" s="1">
        <v>7.3220317778055696E-3</v>
      </c>
    </row>
    <row r="7579" spans="1:6" x14ac:dyDescent="0.25">
      <c r="A7579" s="2" t="str">
        <f t="shared" si="287"/>
        <v>42540</v>
      </c>
      <c r="B7579" s="2" t="str">
        <f>"18655"</f>
        <v>18655</v>
      </c>
      <c r="C7579" s="1">
        <v>1.05174619806758E-2</v>
      </c>
      <c r="D7579" s="1">
        <v>4.6382189239332003E-3</v>
      </c>
      <c r="E7579" s="1">
        <v>3.9735099337748301E-3</v>
      </c>
      <c r="F7579" s="1">
        <v>9.7679219316902204E-3</v>
      </c>
    </row>
    <row r="7580" spans="1:6" x14ac:dyDescent="0.25">
      <c r="A7580" s="2" t="str">
        <f t="shared" si="287"/>
        <v>42540</v>
      </c>
      <c r="B7580" s="2" t="str">
        <f>"18515"</f>
        <v>18515</v>
      </c>
      <c r="C7580" s="1">
        <v>0</v>
      </c>
      <c r="D7580" s="1">
        <v>4.03323384689844E-5</v>
      </c>
      <c r="E7580" s="1">
        <v>2.09132101777622E-4</v>
      </c>
      <c r="F7580" s="1">
        <v>1.25109470786938E-5</v>
      </c>
    </row>
    <row r="7581" spans="1:6" x14ac:dyDescent="0.25">
      <c r="A7581" s="2" t="str">
        <f t="shared" si="287"/>
        <v>42540</v>
      </c>
      <c r="B7581" s="2" t="str">
        <f>"18507"</f>
        <v>18507</v>
      </c>
      <c r="C7581" s="1">
        <v>8.5679358188900795E-3</v>
      </c>
      <c r="D7581" s="1">
        <v>1.48826328950552E-2</v>
      </c>
      <c r="E7581" s="1">
        <v>8.6441268734750703E-3</v>
      </c>
      <c r="F7581" s="1">
        <v>9.0610534217440194E-3</v>
      </c>
    </row>
    <row r="7582" spans="1:6" x14ac:dyDescent="0.25">
      <c r="A7582" s="2" t="str">
        <f t="shared" si="287"/>
        <v>42540</v>
      </c>
      <c r="B7582" s="2" t="str">
        <f>"18627"</f>
        <v>18627</v>
      </c>
      <c r="C7582" s="1">
        <v>0</v>
      </c>
      <c r="D7582" s="1">
        <v>4.03323384689844E-5</v>
      </c>
      <c r="E7582" s="1">
        <v>0</v>
      </c>
      <c r="F7582" s="1">
        <v>3.1277367696734598E-6</v>
      </c>
    </row>
    <row r="7583" spans="1:6" x14ac:dyDescent="0.25">
      <c r="A7583" s="2" t="str">
        <f t="shared" si="287"/>
        <v>42540</v>
      </c>
      <c r="B7583" s="2" t="str">
        <f>"18625"</f>
        <v>18625</v>
      </c>
      <c r="C7583" s="1">
        <v>1.3578966501651901E-3</v>
      </c>
      <c r="D7583" s="1">
        <v>1.3309671694764799E-3</v>
      </c>
      <c r="E7583" s="1">
        <v>6.9710700592540899E-5</v>
      </c>
      <c r="F7583" s="1">
        <v>1.2980107594144799E-3</v>
      </c>
    </row>
    <row r="7584" spans="1:6" x14ac:dyDescent="0.25">
      <c r="A7584" s="2" t="str">
        <f t="shared" si="287"/>
        <v>42540</v>
      </c>
      <c r="B7584" s="2" t="str">
        <f>"18622"</f>
        <v>18622</v>
      </c>
      <c r="C7584" s="1">
        <v>3.13634921822931E-4</v>
      </c>
      <c r="D7584" s="1">
        <v>4.03323384689844E-5</v>
      </c>
      <c r="E7584" s="1">
        <v>0</v>
      </c>
      <c r="F7584" s="1">
        <v>2.7836857250093802E-4</v>
      </c>
    </row>
    <row r="7585" spans="1:6" x14ac:dyDescent="0.25">
      <c r="A7585" s="2" t="str">
        <f t="shared" ref="A7585:A7616" si="288">"42540"</f>
        <v>42540</v>
      </c>
      <c r="B7585" s="2" t="str">
        <f>"18503"</f>
        <v>18503</v>
      </c>
      <c r="C7585" s="1">
        <v>3.4963165716851798E-3</v>
      </c>
      <c r="D7585" s="1">
        <v>3.9808018068887598E-2</v>
      </c>
      <c r="E7585" s="1">
        <v>1.32450331125827E-2</v>
      </c>
      <c r="F7585" s="1">
        <v>6.7496559489553304E-3</v>
      </c>
    </row>
    <row r="7586" spans="1:6" x14ac:dyDescent="0.25">
      <c r="A7586" s="2" t="str">
        <f t="shared" si="288"/>
        <v>42540</v>
      </c>
      <c r="B7586" s="2" t="str">
        <f>"18452"</f>
        <v>18452</v>
      </c>
      <c r="C7586" s="1">
        <v>8.4574507896115498E-3</v>
      </c>
      <c r="D7586" s="1">
        <v>8.5907880938936795E-3</v>
      </c>
      <c r="E7586" s="1">
        <v>1.1293133495991601E-2</v>
      </c>
      <c r="F7586" s="1">
        <v>8.5950206430626692E-3</v>
      </c>
    </row>
    <row r="7587" spans="1:6" x14ac:dyDescent="0.25">
      <c r="A7587" s="2" t="str">
        <f t="shared" si="288"/>
        <v>42540</v>
      </c>
      <c r="B7587" s="2" t="str">
        <f>"18251"</f>
        <v>18251</v>
      </c>
      <c r="C7587" s="1">
        <v>0</v>
      </c>
      <c r="D7587" s="1">
        <v>4.03323384689844E-5</v>
      </c>
      <c r="E7587" s="1">
        <v>0</v>
      </c>
      <c r="F7587" s="1">
        <v>3.1277367696734598E-6</v>
      </c>
    </row>
    <row r="7588" spans="1:6" x14ac:dyDescent="0.25">
      <c r="A7588" s="2" t="str">
        <f t="shared" si="288"/>
        <v>42540</v>
      </c>
      <c r="B7588" s="2" t="str">
        <f>"18225"</f>
        <v>18225</v>
      </c>
      <c r="C7588" s="1">
        <v>0</v>
      </c>
      <c r="D7588" s="1">
        <v>4.03323384689844E-5</v>
      </c>
      <c r="E7588" s="1">
        <v>0</v>
      </c>
      <c r="F7588" s="1">
        <v>3.1277367696734598E-6</v>
      </c>
    </row>
    <row r="7589" spans="1:6" x14ac:dyDescent="0.25">
      <c r="A7589" s="2" t="str">
        <f t="shared" si="288"/>
        <v>42540</v>
      </c>
      <c r="B7589" s="2" t="str">
        <f>"18201"</f>
        <v>18201</v>
      </c>
      <c r="C7589" s="1">
        <v>4.4521902766046097E-2</v>
      </c>
      <c r="D7589" s="1">
        <v>5.7070258933612901E-2</v>
      </c>
      <c r="E7589" s="1">
        <v>6.0718020216103098E-2</v>
      </c>
      <c r="F7589" s="1">
        <v>4.6221693982234399E-2</v>
      </c>
    </row>
    <row r="7590" spans="1:6" x14ac:dyDescent="0.25">
      <c r="A7590" s="2" t="str">
        <f t="shared" si="288"/>
        <v>42540</v>
      </c>
      <c r="B7590" s="2" t="str">
        <f>"17815"</f>
        <v>17815</v>
      </c>
      <c r="C7590" s="1">
        <v>4.88272548747064E-4</v>
      </c>
      <c r="D7590" s="1">
        <v>2.82326369282891E-4</v>
      </c>
      <c r="E7590" s="1">
        <v>0</v>
      </c>
      <c r="F7590" s="1">
        <v>4.5039409483297802E-4</v>
      </c>
    </row>
    <row r="7591" spans="1:6" x14ac:dyDescent="0.25">
      <c r="A7591" s="2" t="str">
        <f t="shared" si="288"/>
        <v>42540</v>
      </c>
      <c r="B7591" s="2" t="str">
        <f>"18709"</f>
        <v>18709</v>
      </c>
      <c r="C7591" s="1">
        <v>5.8200662197369002E-3</v>
      </c>
      <c r="D7591" s="1">
        <v>8.3084617246107894E-3</v>
      </c>
      <c r="E7591" s="1">
        <v>8.2955733705123696E-3</v>
      </c>
      <c r="F7591" s="1">
        <v>6.12410859502064E-3</v>
      </c>
    </row>
    <row r="7592" spans="1:6" x14ac:dyDescent="0.25">
      <c r="A7592" s="2" t="str">
        <f t="shared" si="288"/>
        <v>42540</v>
      </c>
      <c r="B7592" s="2" t="str">
        <f>"18444"</f>
        <v>18444</v>
      </c>
      <c r="C7592" s="1">
        <v>1.8622073483236499E-2</v>
      </c>
      <c r="D7592" s="1">
        <v>9.8410905864321999E-3</v>
      </c>
      <c r="E7592" s="1">
        <v>6.7619379574764696E-3</v>
      </c>
      <c r="F7592" s="1">
        <v>1.74089828600025E-2</v>
      </c>
    </row>
    <row r="7593" spans="1:6" x14ac:dyDescent="0.25">
      <c r="A7593" s="2" t="str">
        <f t="shared" si="288"/>
        <v>42540</v>
      </c>
      <c r="B7593" s="2" t="str">
        <f>"18416"</f>
        <v>18416</v>
      </c>
      <c r="C7593" s="1">
        <v>0</v>
      </c>
      <c r="D7593" s="1">
        <v>4.03323384689844E-5</v>
      </c>
      <c r="E7593" s="1">
        <v>0</v>
      </c>
      <c r="F7593" s="1">
        <v>3.1277367696734598E-6</v>
      </c>
    </row>
    <row r="7594" spans="1:6" x14ac:dyDescent="0.25">
      <c r="A7594" s="2" t="str">
        <f t="shared" si="288"/>
        <v>42540</v>
      </c>
      <c r="B7594" s="2" t="str">
        <f>"18410"</f>
        <v>18410</v>
      </c>
      <c r="C7594" s="1">
        <v>1.3329484177474499E-3</v>
      </c>
      <c r="D7594" s="1">
        <v>3.6299104622085901E-3</v>
      </c>
      <c r="E7594" s="1">
        <v>6.9710700592540899E-5</v>
      </c>
      <c r="F7594" s="1">
        <v>1.4543975978981601E-3</v>
      </c>
    </row>
    <row r="7595" spans="1:6" x14ac:dyDescent="0.25">
      <c r="A7595" s="2" t="str">
        <f t="shared" si="288"/>
        <v>42540</v>
      </c>
      <c r="B7595" s="2" t="str">
        <f>"18419"</f>
        <v>18419</v>
      </c>
      <c r="C7595" s="1">
        <v>8.9849277035864792E-3</v>
      </c>
      <c r="D7595" s="1">
        <v>4.5978865854642203E-3</v>
      </c>
      <c r="E7595" s="1">
        <v>3.6946671314046701E-3</v>
      </c>
      <c r="F7595" s="1">
        <v>8.4073564368822695E-3</v>
      </c>
    </row>
    <row r="7596" spans="1:6" x14ac:dyDescent="0.25">
      <c r="A7596" s="2" t="str">
        <f t="shared" si="288"/>
        <v>42540</v>
      </c>
      <c r="B7596" s="2" t="str">
        <f>"18403"</f>
        <v>18403</v>
      </c>
      <c r="C7596" s="1">
        <v>1.16579526054864E-2</v>
      </c>
      <c r="D7596" s="1">
        <v>1.2785351294668E-2</v>
      </c>
      <c r="E7596" s="1">
        <v>1.21993726036946E-2</v>
      </c>
      <c r="F7596" s="1">
        <v>1.17696734642812E-2</v>
      </c>
    </row>
    <row r="7597" spans="1:6" x14ac:dyDescent="0.25">
      <c r="A7597" s="2" t="str">
        <f t="shared" si="288"/>
        <v>42540</v>
      </c>
      <c r="B7597" s="2" t="str">
        <f>"18654"</f>
        <v>18654</v>
      </c>
      <c r="C7597" s="1">
        <v>0</v>
      </c>
      <c r="D7597" s="1">
        <v>4.03323384689844E-5</v>
      </c>
      <c r="E7597" s="1">
        <v>0</v>
      </c>
      <c r="F7597" s="1">
        <v>3.1277367696734598E-6</v>
      </c>
    </row>
    <row r="7598" spans="1:6" x14ac:dyDescent="0.25">
      <c r="A7598" s="2" t="str">
        <f t="shared" si="288"/>
        <v>42540</v>
      </c>
      <c r="B7598" s="2" t="str">
        <f>"18703"</f>
        <v>18703</v>
      </c>
      <c r="C7598" s="1">
        <v>6.0196520790787604E-3</v>
      </c>
      <c r="D7598" s="1">
        <v>1.32693393562958E-2</v>
      </c>
      <c r="E7598" s="1">
        <v>6.9710700592540899E-5</v>
      </c>
      <c r="F7598" s="1">
        <v>6.3149005379707201E-3</v>
      </c>
    </row>
    <row r="7599" spans="1:6" x14ac:dyDescent="0.25">
      <c r="A7599" s="2" t="str">
        <f t="shared" si="288"/>
        <v>42540</v>
      </c>
      <c r="B7599" s="2" t="str">
        <f>"18661"</f>
        <v>18661</v>
      </c>
      <c r="C7599" s="1">
        <v>1.0382028718979501E-2</v>
      </c>
      <c r="D7599" s="1">
        <v>5.5658627087198497E-3</v>
      </c>
      <c r="E7599" s="1">
        <v>2.3701638201463898E-3</v>
      </c>
      <c r="F7599" s="1">
        <v>9.6490679344426299E-3</v>
      </c>
    </row>
    <row r="7600" spans="1:6" x14ac:dyDescent="0.25">
      <c r="A7600" s="2" t="str">
        <f t="shared" si="288"/>
        <v>42540</v>
      </c>
      <c r="B7600" s="2" t="str">
        <f>"18657"</f>
        <v>18657</v>
      </c>
      <c r="C7600" s="1">
        <v>2.0008482399022001E-2</v>
      </c>
      <c r="D7600" s="1">
        <v>2.2465112527224301E-2</v>
      </c>
      <c r="E7600" s="1">
        <v>1.56151969327291E-2</v>
      </c>
      <c r="F7600" s="1">
        <v>2.0001876642061801E-2</v>
      </c>
    </row>
    <row r="7601" spans="1:6" x14ac:dyDescent="0.25">
      <c r="A7601" s="2" t="str">
        <f t="shared" si="288"/>
        <v>42540</v>
      </c>
      <c r="B7601" s="2" t="str">
        <f>"18601"</f>
        <v>18601</v>
      </c>
      <c r="C7601" s="1">
        <v>0</v>
      </c>
      <c r="D7601" s="1">
        <v>4.03323384689844E-5</v>
      </c>
      <c r="E7601" s="1">
        <v>0</v>
      </c>
      <c r="F7601" s="1">
        <v>3.1277367696734598E-6</v>
      </c>
    </row>
    <row r="7602" spans="1:6" x14ac:dyDescent="0.25">
      <c r="A7602" s="2" t="str">
        <f t="shared" si="288"/>
        <v>42540</v>
      </c>
      <c r="B7602" s="2" t="str">
        <f>"18610"</f>
        <v>18610</v>
      </c>
      <c r="C7602" s="1">
        <v>3.20762988227998E-5</v>
      </c>
      <c r="D7602" s="1">
        <v>0</v>
      </c>
      <c r="E7602" s="1">
        <v>0</v>
      </c>
      <c r="F7602" s="1">
        <v>2.8149630927061099E-5</v>
      </c>
    </row>
    <row r="7603" spans="1:6" x14ac:dyDescent="0.25">
      <c r="A7603" s="2" t="str">
        <f t="shared" si="288"/>
        <v>42540</v>
      </c>
      <c r="B7603" s="2" t="str">
        <f>"18508"</f>
        <v>18508</v>
      </c>
      <c r="C7603" s="1">
        <v>2.05038830141741E-2</v>
      </c>
      <c r="D7603" s="1">
        <v>2.9966927482455399E-2</v>
      </c>
      <c r="E7603" s="1">
        <v>2.25165562913907E-2</v>
      </c>
      <c r="F7603" s="1">
        <v>2.13280370324033E-2</v>
      </c>
    </row>
    <row r="7604" spans="1:6" x14ac:dyDescent="0.25">
      <c r="A7604" s="2" t="str">
        <f t="shared" si="288"/>
        <v>42540</v>
      </c>
      <c r="B7604" s="2" t="str">
        <f>"18641"</f>
        <v>18641</v>
      </c>
      <c r="C7604" s="1">
        <v>1.2352939079980399E-2</v>
      </c>
      <c r="D7604" s="1">
        <v>1.0284746309591E-2</v>
      </c>
      <c r="E7604" s="1">
        <v>1.2896479609619999E-2</v>
      </c>
      <c r="F7604" s="1">
        <v>1.2216939822344499E-2</v>
      </c>
    </row>
    <row r="7605" spans="1:6" x14ac:dyDescent="0.25">
      <c r="A7605" s="2" t="str">
        <f t="shared" si="288"/>
        <v>42540</v>
      </c>
      <c r="B7605" s="2" t="str">
        <f>"18640"</f>
        <v>18640</v>
      </c>
      <c r="C7605" s="1">
        <v>3.51199831777632E-2</v>
      </c>
      <c r="D7605" s="1">
        <v>4.4244575300475902E-2</v>
      </c>
      <c r="E7605" s="1">
        <v>2.5653537818054999E-2</v>
      </c>
      <c r="F7605" s="1">
        <v>3.5402852495933897E-2</v>
      </c>
    </row>
    <row r="7606" spans="1:6" x14ac:dyDescent="0.25">
      <c r="A7606" s="2" t="str">
        <f t="shared" si="288"/>
        <v>42540</v>
      </c>
      <c r="B7606" s="2" t="str">
        <f>"18629"</f>
        <v>18629</v>
      </c>
      <c r="C7606" s="1">
        <v>3.2111939154825099E-3</v>
      </c>
      <c r="D7606" s="1">
        <v>7.6631443091070396E-4</v>
      </c>
      <c r="E7606" s="1">
        <v>1.39421401185081E-3</v>
      </c>
      <c r="F7606" s="1">
        <v>2.9400725634930501E-3</v>
      </c>
    </row>
    <row r="7607" spans="1:6" x14ac:dyDescent="0.25">
      <c r="A7607" s="2" t="str">
        <f t="shared" si="288"/>
        <v>42540</v>
      </c>
      <c r="B7607" s="2" t="str">
        <f>"18617"</f>
        <v>18617</v>
      </c>
      <c r="C7607" s="1">
        <v>4.1022022161158397E-3</v>
      </c>
      <c r="D7607" s="1">
        <v>2.1376139388561699E-3</v>
      </c>
      <c r="E7607" s="1">
        <v>4.5311955385151604E-3</v>
      </c>
      <c r="F7607" s="1">
        <v>3.9690979607156203E-3</v>
      </c>
    </row>
    <row r="7608" spans="1:6" x14ac:dyDescent="0.25">
      <c r="A7608" s="2" t="str">
        <f t="shared" si="288"/>
        <v>42540</v>
      </c>
      <c r="B7608" s="2" t="str">
        <f>"18472"</f>
        <v>18472</v>
      </c>
      <c r="C7608" s="1">
        <v>1.0692099607599901E-5</v>
      </c>
      <c r="D7608" s="1">
        <v>0</v>
      </c>
      <c r="E7608" s="1">
        <v>6.9710700592540899E-5</v>
      </c>
      <c r="F7608" s="1">
        <v>1.25109470786938E-5</v>
      </c>
    </row>
    <row r="7609" spans="1:6" x14ac:dyDescent="0.25">
      <c r="A7609" s="2" t="str">
        <f t="shared" si="288"/>
        <v>42540</v>
      </c>
      <c r="B7609" s="2" t="str">
        <f>"18447"</f>
        <v>18447</v>
      </c>
      <c r="C7609" s="1">
        <v>1.87824549773505E-2</v>
      </c>
      <c r="D7609" s="1">
        <v>1.9077196095829599E-2</v>
      </c>
      <c r="E7609" s="1">
        <v>2.2795399093760799E-2</v>
      </c>
      <c r="F7609" s="1">
        <v>1.89853621919179E-2</v>
      </c>
    </row>
    <row r="7610" spans="1:6" x14ac:dyDescent="0.25">
      <c r="A7610" s="2" t="str">
        <f t="shared" si="288"/>
        <v>42540</v>
      </c>
      <c r="B7610" s="2" t="str">
        <f>"18221"</f>
        <v>18221</v>
      </c>
      <c r="C7610" s="1">
        <v>3.5640332025333102E-6</v>
      </c>
      <c r="D7610" s="1">
        <v>4.03323384689844E-5</v>
      </c>
      <c r="E7610" s="1">
        <v>0</v>
      </c>
      <c r="F7610" s="1">
        <v>6.2554735393469196E-6</v>
      </c>
    </row>
    <row r="7611" spans="1:6" x14ac:dyDescent="0.25">
      <c r="A7611" s="2" t="str">
        <f t="shared" si="288"/>
        <v>42540</v>
      </c>
      <c r="B7611" s="2" t="str">
        <f>"18219"</f>
        <v>18219</v>
      </c>
      <c r="C7611" s="1">
        <v>3.54977706972318E-3</v>
      </c>
      <c r="D7611" s="1">
        <v>4.1945632007743799E-3</v>
      </c>
      <c r="E7611" s="1">
        <v>6.9710700592540899E-5</v>
      </c>
      <c r="F7611" s="1">
        <v>3.4436381834104801E-3</v>
      </c>
    </row>
    <row r="7612" spans="1:6" x14ac:dyDescent="0.25">
      <c r="A7612" s="2" t="str">
        <f t="shared" si="288"/>
        <v>42540</v>
      </c>
      <c r="B7612" s="2" t="str">
        <f>"17985"</f>
        <v>17985</v>
      </c>
      <c r="C7612" s="1">
        <v>3.5640332025333102E-6</v>
      </c>
      <c r="D7612" s="1">
        <v>0</v>
      </c>
      <c r="E7612" s="1">
        <v>0</v>
      </c>
      <c r="F7612" s="1">
        <v>3.1277367696734598E-6</v>
      </c>
    </row>
    <row r="7613" spans="1:6" x14ac:dyDescent="0.25">
      <c r="A7613" s="2" t="str">
        <f t="shared" si="288"/>
        <v>42540</v>
      </c>
      <c r="B7613" s="2" t="str">
        <f>"17814"</f>
        <v>17814</v>
      </c>
      <c r="C7613" s="1">
        <v>1.14405465801319E-3</v>
      </c>
      <c r="D7613" s="1">
        <v>2.4199403081390599E-4</v>
      </c>
      <c r="E7613" s="1">
        <v>1.3942140118508101E-4</v>
      </c>
      <c r="F7613" s="1">
        <v>1.02902539722256E-3</v>
      </c>
    </row>
    <row r="7614" spans="1:6" x14ac:dyDescent="0.25">
      <c r="A7614" s="2" t="str">
        <f t="shared" si="288"/>
        <v>42540</v>
      </c>
      <c r="B7614" s="2" t="str">
        <f>"18764"</f>
        <v>18764</v>
      </c>
      <c r="C7614" s="1">
        <v>0</v>
      </c>
      <c r="D7614" s="1">
        <v>0</v>
      </c>
      <c r="E7614" s="1">
        <v>6.9710700592540899E-5</v>
      </c>
      <c r="F7614" s="1">
        <v>3.1277367696734598E-6</v>
      </c>
    </row>
    <row r="7615" spans="1:6" x14ac:dyDescent="0.25">
      <c r="A7615" s="2" t="str">
        <f t="shared" si="288"/>
        <v>42540</v>
      </c>
      <c r="B7615" s="2" t="str">
        <f>"18711"</f>
        <v>18711</v>
      </c>
      <c r="C7615" s="1">
        <v>0</v>
      </c>
      <c r="D7615" s="1">
        <v>1.00830846172461E-3</v>
      </c>
      <c r="E7615" s="1">
        <v>4.8797490414778601E-4</v>
      </c>
      <c r="F7615" s="1">
        <v>1.0008757662955E-4</v>
      </c>
    </row>
    <row r="7616" spans="1:6" x14ac:dyDescent="0.25">
      <c r="A7616" s="2" t="str">
        <f t="shared" si="288"/>
        <v>42540</v>
      </c>
      <c r="B7616" s="2" t="str">
        <f>"18433"</f>
        <v>18433</v>
      </c>
      <c r="C7616" s="1">
        <v>1.13692659160812E-2</v>
      </c>
      <c r="D7616" s="1">
        <v>8.1471323707348504E-3</v>
      </c>
      <c r="E7616" s="1">
        <v>6.2739630533286796E-3</v>
      </c>
      <c r="F7616" s="1">
        <v>1.0890779432003001E-2</v>
      </c>
    </row>
    <row r="7617" spans="1:6" x14ac:dyDescent="0.25">
      <c r="A7617" s="2" t="str">
        <f t="shared" ref="A7617:A7648" si="289">"42540"</f>
        <v>42540</v>
      </c>
      <c r="B7617" s="2" t="str">
        <f>"18653"</f>
        <v>18653</v>
      </c>
      <c r="C7617" s="1">
        <v>0</v>
      </c>
      <c r="D7617" s="1">
        <v>4.03323384689844E-5</v>
      </c>
      <c r="E7617" s="1">
        <v>0</v>
      </c>
      <c r="F7617" s="1">
        <v>3.1277367696734598E-6</v>
      </c>
    </row>
    <row r="7618" spans="1:6" x14ac:dyDescent="0.25">
      <c r="A7618" s="2" t="str">
        <f t="shared" si="289"/>
        <v>42540</v>
      </c>
      <c r="B7618" s="2" t="str">
        <f>"18518"</f>
        <v>18518</v>
      </c>
      <c r="C7618" s="1">
        <v>1.5193473542399499E-2</v>
      </c>
      <c r="D7618" s="1">
        <v>1.2261030894571199E-2</v>
      </c>
      <c r="E7618" s="1">
        <v>1.57546183339142E-2</v>
      </c>
      <c r="F7618" s="1">
        <v>1.4991242337044901E-2</v>
      </c>
    </row>
    <row r="7619" spans="1:6" x14ac:dyDescent="0.25">
      <c r="A7619" s="2" t="str">
        <f t="shared" si="289"/>
        <v>42540</v>
      </c>
      <c r="B7619" s="2" t="str">
        <f>"18512"</f>
        <v>18512</v>
      </c>
      <c r="C7619" s="1">
        <v>2.3779229527302201E-2</v>
      </c>
      <c r="D7619" s="1">
        <v>3.0249253851738302E-2</v>
      </c>
      <c r="E7619" s="1">
        <v>3.9944231439525898E-2</v>
      </c>
      <c r="F7619" s="1">
        <v>2.50062554735393E-2</v>
      </c>
    </row>
    <row r="7620" spans="1:6" x14ac:dyDescent="0.25">
      <c r="A7620" s="2" t="str">
        <f t="shared" si="289"/>
        <v>42540</v>
      </c>
      <c r="B7620" s="2" t="str">
        <f>"18504"</f>
        <v>18504</v>
      </c>
      <c r="C7620" s="1">
        <v>3.7921313274954398E-2</v>
      </c>
      <c r="D7620" s="1">
        <v>2.2465112527224301E-2</v>
      </c>
      <c r="E7620" s="1">
        <v>3.7574067619379502E-2</v>
      </c>
      <c r="F7620" s="1">
        <v>3.6707118728887697E-2</v>
      </c>
    </row>
    <row r="7621" spans="1:6" x14ac:dyDescent="0.25">
      <c r="A7621" s="2" t="str">
        <f t="shared" si="289"/>
        <v>42540</v>
      </c>
      <c r="B7621" s="2" t="str">
        <f>"18471"</f>
        <v>18471</v>
      </c>
      <c r="C7621" s="1">
        <v>2.7799458979759798E-3</v>
      </c>
      <c r="D7621" s="1">
        <v>2.0569492619182E-3</v>
      </c>
      <c r="E7621" s="1">
        <v>1.3942140118508101E-4</v>
      </c>
      <c r="F7621" s="1">
        <v>2.60540472913799E-3</v>
      </c>
    </row>
    <row r="7622" spans="1:6" x14ac:dyDescent="0.25">
      <c r="A7622" s="2" t="str">
        <f t="shared" si="289"/>
        <v>42540</v>
      </c>
      <c r="B7622" s="2" t="str">
        <f>"18239"</f>
        <v>18239</v>
      </c>
      <c r="C7622" s="1">
        <v>0</v>
      </c>
      <c r="D7622" s="1">
        <v>4.03323384689844E-5</v>
      </c>
      <c r="E7622" s="1">
        <v>0</v>
      </c>
      <c r="F7622" s="1">
        <v>3.1277367696734598E-6</v>
      </c>
    </row>
    <row r="7623" spans="1:6" x14ac:dyDescent="0.25">
      <c r="A7623" s="2" t="str">
        <f t="shared" si="289"/>
        <v>42540</v>
      </c>
      <c r="B7623" s="2" t="str">
        <f>"18224"</f>
        <v>18224</v>
      </c>
      <c r="C7623" s="1">
        <v>1.2139097087828401E-2</v>
      </c>
      <c r="D7623" s="1">
        <v>5.8885214164717198E-3</v>
      </c>
      <c r="E7623" s="1">
        <v>8.6441268734750703E-3</v>
      </c>
      <c r="F7623" s="1">
        <v>1.14975603653196E-2</v>
      </c>
    </row>
    <row r="7624" spans="1:6" x14ac:dyDescent="0.25">
      <c r="A7624" s="2" t="str">
        <f t="shared" si="289"/>
        <v>42540</v>
      </c>
      <c r="B7624" s="2" t="str">
        <f>"18202"</f>
        <v>18202</v>
      </c>
      <c r="C7624" s="1">
        <v>2.1965136627212799E-2</v>
      </c>
      <c r="D7624" s="1">
        <v>3.4887472775671502E-2</v>
      </c>
      <c r="E7624" s="1">
        <v>2.0843499477169701E-2</v>
      </c>
      <c r="F7624" s="1">
        <v>2.2916927311397401E-2</v>
      </c>
    </row>
    <row r="7625" spans="1:6" x14ac:dyDescent="0.25">
      <c r="A7625" s="2" t="str">
        <f t="shared" si="289"/>
        <v>42540</v>
      </c>
      <c r="B7625" s="2" t="str">
        <f>"18769"</f>
        <v>18769</v>
      </c>
      <c r="C7625" s="1">
        <v>0</v>
      </c>
      <c r="D7625" s="1">
        <v>1.20997015406953E-4</v>
      </c>
      <c r="E7625" s="1">
        <v>0</v>
      </c>
      <c r="F7625" s="1">
        <v>9.38321030902039E-6</v>
      </c>
    </row>
    <row r="7626" spans="1:6" x14ac:dyDescent="0.25">
      <c r="A7626" s="2" t="str">
        <f t="shared" si="289"/>
        <v>42540</v>
      </c>
      <c r="B7626" s="2" t="str">
        <f>"18765"</f>
        <v>18765</v>
      </c>
      <c r="C7626" s="1">
        <v>0</v>
      </c>
      <c r="D7626" s="1">
        <v>0</v>
      </c>
      <c r="E7626" s="1">
        <v>6.9710700592540899E-5</v>
      </c>
      <c r="F7626" s="1">
        <v>3.1277367696734598E-6</v>
      </c>
    </row>
    <row r="7627" spans="1:6" x14ac:dyDescent="0.25">
      <c r="A7627" s="2" t="str">
        <f t="shared" si="289"/>
        <v>42540</v>
      </c>
      <c r="B7627" s="2" t="str">
        <f>"18762"</f>
        <v>18762</v>
      </c>
      <c r="C7627" s="1">
        <v>0</v>
      </c>
      <c r="D7627" s="1">
        <v>4.03323384689844E-5</v>
      </c>
      <c r="E7627" s="1">
        <v>0</v>
      </c>
      <c r="F7627" s="1">
        <v>3.1277367696734598E-6</v>
      </c>
    </row>
    <row r="7628" spans="1:6" x14ac:dyDescent="0.25">
      <c r="A7628" s="2" t="str">
        <f t="shared" si="289"/>
        <v>42540</v>
      </c>
      <c r="B7628" s="2" t="str">
        <f>"18602"</f>
        <v>18602</v>
      </c>
      <c r="C7628" s="1">
        <v>5.7024531240532997E-5</v>
      </c>
      <c r="D7628" s="1">
        <v>4.03323384689844E-5</v>
      </c>
      <c r="E7628" s="1">
        <v>6.9710700592540899E-5</v>
      </c>
      <c r="F7628" s="1">
        <v>5.6299261854122299E-5</v>
      </c>
    </row>
    <row r="7629" spans="1:6" x14ac:dyDescent="0.25">
      <c r="A7629" s="2" t="str">
        <f t="shared" si="289"/>
        <v>42540</v>
      </c>
      <c r="B7629" s="2" t="str">
        <f>"18644"</f>
        <v>18644</v>
      </c>
      <c r="C7629" s="1">
        <v>1.31548465505504E-2</v>
      </c>
      <c r="D7629" s="1">
        <v>1.26643542792611E-2</v>
      </c>
      <c r="E7629" s="1">
        <v>1.1990240501917E-2</v>
      </c>
      <c r="F7629" s="1">
        <v>1.3064556486925999E-2</v>
      </c>
    </row>
    <row r="7630" spans="1:6" x14ac:dyDescent="0.25">
      <c r="A7630" s="2" t="str">
        <f t="shared" si="289"/>
        <v>42540</v>
      </c>
      <c r="B7630" s="2" t="str">
        <f>"18636"</f>
        <v>18636</v>
      </c>
      <c r="C7630" s="1">
        <v>2.37721014608972E-3</v>
      </c>
      <c r="D7630" s="1">
        <v>7.2598209244171901E-4</v>
      </c>
      <c r="E7630" s="1">
        <v>5.5768560474032697E-4</v>
      </c>
      <c r="F7630" s="1">
        <v>2.1675215813837102E-3</v>
      </c>
    </row>
    <row r="7631" spans="1:6" x14ac:dyDescent="0.25">
      <c r="A7631" s="2" t="str">
        <f t="shared" si="289"/>
        <v>42540</v>
      </c>
      <c r="B7631" s="2" t="str">
        <f>"18501"</f>
        <v>18501</v>
      </c>
      <c r="C7631" s="1">
        <v>2.2132646187731802E-3</v>
      </c>
      <c r="D7631" s="1">
        <v>1.0809066709687801E-2</v>
      </c>
      <c r="E7631" s="1">
        <v>6.9710700592540899E-5</v>
      </c>
      <c r="F7631" s="1">
        <v>2.7836857250093799E-3</v>
      </c>
    </row>
    <row r="7632" spans="1:6" x14ac:dyDescent="0.25">
      <c r="A7632" s="2" t="str">
        <f t="shared" si="289"/>
        <v>42540</v>
      </c>
      <c r="B7632" s="2" t="str">
        <f>"18246"</f>
        <v>18246</v>
      </c>
      <c r="C7632" s="1">
        <v>0</v>
      </c>
      <c r="D7632" s="1">
        <v>4.03323384689844E-5</v>
      </c>
      <c r="E7632" s="1">
        <v>0</v>
      </c>
      <c r="F7632" s="1">
        <v>3.1277367696734598E-6</v>
      </c>
    </row>
    <row r="7633" spans="1:6" x14ac:dyDescent="0.25">
      <c r="A7633" s="2" t="str">
        <f t="shared" si="289"/>
        <v>42540</v>
      </c>
      <c r="B7633" s="2" t="str">
        <f>"18255"</f>
        <v>18255</v>
      </c>
      <c r="C7633" s="1">
        <v>2.1027795894946501E-4</v>
      </c>
      <c r="D7633" s="1">
        <v>1.20997015406953E-4</v>
      </c>
      <c r="E7633" s="1">
        <v>0</v>
      </c>
      <c r="F7633" s="1">
        <v>1.93919679719754E-4</v>
      </c>
    </row>
    <row r="7634" spans="1:6" x14ac:dyDescent="0.25">
      <c r="A7634" s="2" t="str">
        <f t="shared" si="289"/>
        <v>42540</v>
      </c>
      <c r="B7634" s="2" t="str">
        <f>"18249"</f>
        <v>18249</v>
      </c>
      <c r="C7634" s="1">
        <v>6.0339082118888998E-3</v>
      </c>
      <c r="D7634" s="1">
        <v>2.9442607082358599E-3</v>
      </c>
      <c r="E7634" s="1">
        <v>7.6681770651794998E-4</v>
      </c>
      <c r="F7634" s="1">
        <v>5.5579882397097397E-3</v>
      </c>
    </row>
    <row r="7635" spans="1:6" x14ac:dyDescent="0.25">
      <c r="A7635" s="2" t="str">
        <f t="shared" si="289"/>
        <v>42540</v>
      </c>
      <c r="B7635" s="2" t="str">
        <f>"17878"</f>
        <v>17878</v>
      </c>
      <c r="C7635" s="1">
        <v>8.3754780259532799E-4</v>
      </c>
      <c r="D7635" s="1">
        <v>2.0166169234492201E-4</v>
      </c>
      <c r="E7635" s="1">
        <v>4.1826420355524499E-4</v>
      </c>
      <c r="F7635" s="1">
        <v>7.6942324533967195E-4</v>
      </c>
    </row>
    <row r="7636" spans="1:6" x14ac:dyDescent="0.25">
      <c r="A7636" s="2" t="str">
        <f t="shared" si="289"/>
        <v>42540</v>
      </c>
      <c r="B7636" s="2" t="str">
        <f>"18844"</f>
        <v>18844</v>
      </c>
      <c r="C7636" s="1">
        <v>4.9896464835466401E-5</v>
      </c>
      <c r="D7636" s="1">
        <v>0</v>
      </c>
      <c r="E7636" s="1">
        <v>6.9710700592540899E-5</v>
      </c>
      <c r="F7636" s="1">
        <v>4.6916051545101903E-5</v>
      </c>
    </row>
    <row r="7637" spans="1:6" x14ac:dyDescent="0.25">
      <c r="A7637" s="2" t="str">
        <f t="shared" si="289"/>
        <v>42540</v>
      </c>
      <c r="B7637" s="2" t="str">
        <f>"18414"</f>
        <v>18414</v>
      </c>
      <c r="C7637" s="1">
        <v>1.1066323093865901E-2</v>
      </c>
      <c r="D7637" s="1">
        <v>4.8398806162781296E-3</v>
      </c>
      <c r="E7637" s="1">
        <v>9.0623910770303202E-4</v>
      </c>
      <c r="F7637" s="1">
        <v>1.0127611660202601E-2</v>
      </c>
    </row>
    <row r="7638" spans="1:6" x14ac:dyDescent="0.25">
      <c r="A7638" s="2" t="str">
        <f t="shared" si="289"/>
        <v>42540</v>
      </c>
      <c r="B7638" s="2" t="str">
        <f>"18407"</f>
        <v>18407</v>
      </c>
      <c r="C7638" s="1">
        <v>2.4634597495910199E-2</v>
      </c>
      <c r="D7638" s="1">
        <v>2.50463821892393E-2</v>
      </c>
      <c r="E7638" s="1">
        <v>2.97664691530149E-2</v>
      </c>
      <c r="F7638" s="1">
        <v>2.4896784686600702E-2</v>
      </c>
    </row>
    <row r="7639" spans="1:6" x14ac:dyDescent="0.25">
      <c r="A7639" s="2" t="str">
        <f t="shared" si="289"/>
        <v>42540</v>
      </c>
      <c r="B7639" s="2" t="str">
        <f>"18706"</f>
        <v>18706</v>
      </c>
      <c r="C7639" s="1">
        <v>2.9716908842722701E-2</v>
      </c>
      <c r="D7639" s="1">
        <v>2.3675082681293799E-2</v>
      </c>
      <c r="E7639" s="1">
        <v>2.07737887765772E-2</v>
      </c>
      <c r="F7639" s="1">
        <v>2.8847116226698302E-2</v>
      </c>
    </row>
    <row r="7640" spans="1:6" x14ac:dyDescent="0.25">
      <c r="A7640" s="2" t="str">
        <f t="shared" si="289"/>
        <v>42540</v>
      </c>
      <c r="B7640" s="2" t="str">
        <f>"18517"</f>
        <v>18517</v>
      </c>
      <c r="C7640" s="1">
        <v>1.0175314793232601E-2</v>
      </c>
      <c r="D7640" s="1">
        <v>8.8327821247075906E-3</v>
      </c>
      <c r="E7640" s="1">
        <v>5.5768560474032704E-3</v>
      </c>
      <c r="F7640" s="1">
        <v>9.8648817715501005E-3</v>
      </c>
    </row>
    <row r="7641" spans="1:6" x14ac:dyDescent="0.25">
      <c r="A7641" s="2" t="str">
        <f t="shared" si="289"/>
        <v>42540</v>
      </c>
      <c r="B7641" s="2" t="str">
        <f>"18643"</f>
        <v>18643</v>
      </c>
      <c r="C7641" s="1">
        <v>2.25175617736054E-2</v>
      </c>
      <c r="D7641" s="1">
        <v>1.6092603049124701E-2</v>
      </c>
      <c r="E7641" s="1">
        <v>1.44301150226559E-2</v>
      </c>
      <c r="F7641" s="1">
        <v>2.1656449393219E-2</v>
      </c>
    </row>
    <row r="7642" spans="1:6" x14ac:dyDescent="0.25">
      <c r="A7642" s="2" t="str">
        <f t="shared" si="289"/>
        <v>42540</v>
      </c>
      <c r="B7642" s="2" t="str">
        <f>"18635"</f>
        <v>18635</v>
      </c>
      <c r="C7642" s="1">
        <v>4.1699188469639702E-3</v>
      </c>
      <c r="D7642" s="1">
        <v>1.5326288618213999E-3</v>
      </c>
      <c r="E7642" s="1">
        <v>6.9710700592540901E-4</v>
      </c>
      <c r="F7642" s="1">
        <v>3.8095833854622698E-3</v>
      </c>
    </row>
    <row r="7643" spans="1:6" x14ac:dyDescent="0.25">
      <c r="A7643" s="2" t="str">
        <f t="shared" si="289"/>
        <v>42540</v>
      </c>
      <c r="B7643" s="2" t="str">
        <f>"18621"</f>
        <v>18621</v>
      </c>
      <c r="C7643" s="1">
        <v>8.2293526646494194E-3</v>
      </c>
      <c r="D7643" s="1">
        <v>3.5895781237396101E-3</v>
      </c>
      <c r="E7643" s="1">
        <v>0</v>
      </c>
      <c r="F7643" s="1">
        <v>7.5003127736769596E-3</v>
      </c>
    </row>
    <row r="7644" spans="1:6" x14ac:dyDescent="0.25">
      <c r="A7644" s="2" t="str">
        <f t="shared" si="289"/>
        <v>42540</v>
      </c>
      <c r="B7644" s="2" t="str">
        <f>"18618"</f>
        <v>18618</v>
      </c>
      <c r="C7644" s="1">
        <v>7.0888620398387604E-3</v>
      </c>
      <c r="D7644" s="1">
        <v>1.85528756957328E-3</v>
      </c>
      <c r="E7644" s="1">
        <v>9.7594980829557299E-4</v>
      </c>
      <c r="F7644" s="1">
        <v>6.4087326410609199E-3</v>
      </c>
    </row>
    <row r="7645" spans="1:6" x14ac:dyDescent="0.25">
      <c r="A7645" s="2" t="str">
        <f t="shared" si="289"/>
        <v>42540</v>
      </c>
      <c r="B7645" s="2" t="str">
        <f>"18505"</f>
        <v>18505</v>
      </c>
      <c r="C7645" s="1">
        <v>3.8074566702663397E-2</v>
      </c>
      <c r="D7645" s="1">
        <v>3.6662095668306798E-2</v>
      </c>
      <c r="E7645" s="1">
        <v>0.14004879749041399</v>
      </c>
      <c r="F7645" s="1">
        <v>4.25403478043287E-2</v>
      </c>
    </row>
    <row r="7646" spans="1:6" x14ac:dyDescent="0.25">
      <c r="A7646" s="2" t="str">
        <f t="shared" si="289"/>
        <v>42540</v>
      </c>
      <c r="B7646" s="2" t="str">
        <f>"18216"</f>
        <v>18216</v>
      </c>
      <c r="C7646" s="1">
        <v>6.8429437488639602E-4</v>
      </c>
      <c r="D7646" s="1">
        <v>1.61329353875937E-4</v>
      </c>
      <c r="E7646" s="1">
        <v>0</v>
      </c>
      <c r="F7646" s="1">
        <v>6.1303640685599797E-4</v>
      </c>
    </row>
    <row r="7647" spans="1:6" x14ac:dyDescent="0.25">
      <c r="A7647" s="2" t="str">
        <f t="shared" si="289"/>
        <v>42540</v>
      </c>
      <c r="B7647" s="2" t="str">
        <f>"18708"</f>
        <v>18708</v>
      </c>
      <c r="C7647" s="1">
        <v>1.39923943531457E-2</v>
      </c>
      <c r="D7647" s="1">
        <v>7.7034766475760196E-3</v>
      </c>
      <c r="E7647" s="1">
        <v>6.55280585569884E-3</v>
      </c>
      <c r="F7647" s="1">
        <v>1.31708995370949E-2</v>
      </c>
    </row>
    <row r="7648" spans="1:6" x14ac:dyDescent="0.25">
      <c r="A7648" s="2" t="str">
        <f t="shared" si="289"/>
        <v>42540</v>
      </c>
      <c r="B7648" s="2" t="str">
        <f>"18424"</f>
        <v>18424</v>
      </c>
      <c r="C7648" s="1">
        <v>5.9269872158129004E-3</v>
      </c>
      <c r="D7648" s="1">
        <v>2.3392756312010901E-3</v>
      </c>
      <c r="E7648" s="1">
        <v>1.0456605088881099E-3</v>
      </c>
      <c r="F7648" s="1">
        <v>5.42975103215313E-3</v>
      </c>
    </row>
    <row r="7649" spans="1:6" x14ac:dyDescent="0.25">
      <c r="A7649" s="2" t="str">
        <f t="shared" ref="A7649:A7658" si="290">"42540"</f>
        <v>42540</v>
      </c>
      <c r="B7649" s="2" t="str">
        <f>"18420"</f>
        <v>18420</v>
      </c>
      <c r="C7649" s="1">
        <v>3.13634921822931E-4</v>
      </c>
      <c r="D7649" s="1">
        <v>6.0498507703476599E-4</v>
      </c>
      <c r="E7649" s="1">
        <v>0</v>
      </c>
      <c r="F7649" s="1">
        <v>3.2215688727636602E-4</v>
      </c>
    </row>
    <row r="7650" spans="1:6" x14ac:dyDescent="0.25">
      <c r="A7650" s="2" t="str">
        <f t="shared" si="290"/>
        <v>42540</v>
      </c>
      <c r="B7650" s="2" t="str">
        <f>"18705"</f>
        <v>18705</v>
      </c>
      <c r="C7650" s="1">
        <v>2.7368210962253298E-2</v>
      </c>
      <c r="D7650" s="1">
        <v>2.0569492619181999E-2</v>
      </c>
      <c r="E7650" s="1">
        <v>2.5165562913907199E-2</v>
      </c>
      <c r="F7650" s="1">
        <v>2.67421493807081E-2</v>
      </c>
    </row>
    <row r="7651" spans="1:6" x14ac:dyDescent="0.25">
      <c r="A7651" s="2" t="str">
        <f t="shared" si="290"/>
        <v>42540</v>
      </c>
      <c r="B7651" s="2" t="str">
        <f>"18509"</f>
        <v>18509</v>
      </c>
      <c r="C7651" s="1">
        <v>2.2064929556883699E-2</v>
      </c>
      <c r="D7651" s="1">
        <v>2.73856578204404E-2</v>
      </c>
      <c r="E7651" s="1">
        <v>4.7960962007668098E-2</v>
      </c>
      <c r="F7651" s="1">
        <v>2.3639434505192E-2</v>
      </c>
    </row>
    <row r="7652" spans="1:6" x14ac:dyDescent="0.25">
      <c r="A7652" s="2" t="str">
        <f t="shared" si="290"/>
        <v>42540</v>
      </c>
      <c r="B7652" s="2" t="str">
        <f>"18630"</f>
        <v>18630</v>
      </c>
      <c r="C7652" s="1">
        <v>2.6552047358873098E-3</v>
      </c>
      <c r="D7652" s="1">
        <v>1.1293054771315599E-3</v>
      </c>
      <c r="E7652" s="1">
        <v>2.3701638201463898E-3</v>
      </c>
      <c r="F7652" s="1">
        <v>2.5240835731264802E-3</v>
      </c>
    </row>
    <row r="7653" spans="1:6" x14ac:dyDescent="0.25">
      <c r="A7653" s="2" t="str">
        <f t="shared" si="290"/>
        <v>42540</v>
      </c>
      <c r="B7653" s="2" t="str">
        <f>"18615"</f>
        <v>18615</v>
      </c>
      <c r="C7653" s="1">
        <v>2.9438914252925101E-3</v>
      </c>
      <c r="D7653" s="1">
        <v>2.2989432927321102E-3</v>
      </c>
      <c r="E7653" s="1">
        <v>1.39421401185081E-3</v>
      </c>
      <c r="F7653" s="1">
        <v>2.8243463030151301E-3</v>
      </c>
    </row>
    <row r="7654" spans="1:6" x14ac:dyDescent="0.25">
      <c r="A7654" s="2" t="str">
        <f t="shared" si="290"/>
        <v>42540</v>
      </c>
      <c r="B7654" s="2" t="str">
        <f>"18651"</f>
        <v>18651</v>
      </c>
      <c r="C7654" s="1">
        <v>1.7339021530324499E-2</v>
      </c>
      <c r="D7654" s="1">
        <v>1.19787045252883E-2</v>
      </c>
      <c r="E7654" s="1">
        <v>1.0526315789473601E-2</v>
      </c>
      <c r="F7654" s="1">
        <v>1.66176654572751E-2</v>
      </c>
    </row>
    <row r="7655" spans="1:6" x14ac:dyDescent="0.25">
      <c r="A7655" s="2" t="str">
        <f t="shared" si="290"/>
        <v>42540</v>
      </c>
      <c r="B7655" s="2" t="str">
        <f>"18448"</f>
        <v>18448</v>
      </c>
      <c r="C7655" s="1">
        <v>0</v>
      </c>
      <c r="D7655" s="1">
        <v>8.06646769379688E-5</v>
      </c>
      <c r="E7655" s="1">
        <v>0</v>
      </c>
      <c r="F7655" s="1">
        <v>6.2554735393469196E-6</v>
      </c>
    </row>
    <row r="7656" spans="1:6" x14ac:dyDescent="0.25">
      <c r="A7656" s="2" t="str">
        <f t="shared" si="290"/>
        <v>42540</v>
      </c>
      <c r="B7656" s="2" t="str">
        <f>"18446"</f>
        <v>18446</v>
      </c>
      <c r="C7656" s="1">
        <v>3.0116080561406501E-3</v>
      </c>
      <c r="D7656" s="1">
        <v>8.8731144631765699E-4</v>
      </c>
      <c r="E7656" s="1">
        <v>9.7594980829557299E-4</v>
      </c>
      <c r="F7656" s="1">
        <v>2.7555360940823199E-3</v>
      </c>
    </row>
    <row r="7657" spans="1:6" x14ac:dyDescent="0.25">
      <c r="A7657" s="2" t="str">
        <f t="shared" si="290"/>
        <v>42540</v>
      </c>
      <c r="B7657" s="2" t="str">
        <f>"18247"</f>
        <v>18247</v>
      </c>
      <c r="C7657" s="1">
        <v>0</v>
      </c>
      <c r="D7657" s="1">
        <v>4.03323384689844E-5</v>
      </c>
      <c r="E7657" s="1">
        <v>0</v>
      </c>
      <c r="F7657" s="1">
        <v>3.1277367696734598E-6</v>
      </c>
    </row>
    <row r="7658" spans="1:6" x14ac:dyDescent="0.25">
      <c r="A7658" s="2" t="str">
        <f t="shared" si="290"/>
        <v>42540</v>
      </c>
      <c r="B7658" s="2" t="str">
        <f>"18234"</f>
        <v>18234</v>
      </c>
      <c r="C7658" s="1">
        <v>3.5640332025333102E-6</v>
      </c>
      <c r="D7658" s="1">
        <v>4.03323384689844E-5</v>
      </c>
      <c r="E7658" s="1">
        <v>0</v>
      </c>
      <c r="F7658" s="1">
        <v>6.2554735393469196E-6</v>
      </c>
    </row>
    <row r="7659" spans="1:6" x14ac:dyDescent="0.25">
      <c r="A7659" s="2" t="str">
        <f t="shared" ref="A7659:A7690" si="291">"36837"</f>
        <v>36837</v>
      </c>
      <c r="B7659" s="2" t="str">
        <f>"61341"</f>
        <v>61341</v>
      </c>
      <c r="C7659" s="1">
        <v>5.3181423953323301E-2</v>
      </c>
      <c r="D7659" s="1">
        <v>3.53486884197056E-2</v>
      </c>
      <c r="E7659" s="1">
        <v>5.4572638923498597E-2</v>
      </c>
      <c r="F7659" s="1">
        <v>5.1955119669302802E-2</v>
      </c>
    </row>
    <row r="7660" spans="1:6" x14ac:dyDescent="0.25">
      <c r="A7660" s="2" t="str">
        <f t="shared" si="291"/>
        <v>36837</v>
      </c>
      <c r="B7660" s="2" t="str">
        <f>"60552"</f>
        <v>60552</v>
      </c>
      <c r="C7660" s="1">
        <v>1.36008830718284E-2</v>
      </c>
      <c r="D7660" s="1">
        <v>3.03902751119641E-3</v>
      </c>
      <c r="E7660" s="1">
        <v>4.4854223772738504E-3</v>
      </c>
      <c r="F7660" s="1">
        <v>1.24127230411171E-2</v>
      </c>
    </row>
    <row r="7661" spans="1:6" x14ac:dyDescent="0.25">
      <c r="A7661" s="2" t="str">
        <f t="shared" si="291"/>
        <v>36837</v>
      </c>
      <c r="B7661" s="2" t="str">
        <f>"61560"</f>
        <v>61560</v>
      </c>
      <c r="C7661" s="1">
        <v>7.5954690004993502E-3</v>
      </c>
      <c r="D7661" s="1">
        <v>7.9974408189379298E-4</v>
      </c>
      <c r="E7661" s="1">
        <v>7.4757039621230897E-4</v>
      </c>
      <c r="F7661" s="1">
        <v>6.7853131549390298E-3</v>
      </c>
    </row>
    <row r="7662" spans="1:6" x14ac:dyDescent="0.25">
      <c r="A7662" s="2" t="str">
        <f t="shared" si="291"/>
        <v>36837</v>
      </c>
      <c r="B7662" s="2" t="str">
        <f>"61373"</f>
        <v>61373</v>
      </c>
      <c r="C7662" s="1">
        <v>1.19976871928302E-2</v>
      </c>
      <c r="D7662" s="1">
        <v>1.23160588611644E-2</v>
      </c>
      <c r="E7662" s="1">
        <v>7.2265138300523198E-3</v>
      </c>
      <c r="F7662" s="1">
        <v>1.17990343086738E-2</v>
      </c>
    </row>
    <row r="7663" spans="1:6" x14ac:dyDescent="0.25">
      <c r="A7663" s="2" t="str">
        <f t="shared" si="291"/>
        <v>36837</v>
      </c>
      <c r="B7663" s="2" t="str">
        <f>"61364"</f>
        <v>61364</v>
      </c>
      <c r="C7663" s="1">
        <v>0.11148781833950901</v>
      </c>
      <c r="D7663" s="1">
        <v>0.119641714651311</v>
      </c>
      <c r="E7663" s="1">
        <v>0.13481186145028601</v>
      </c>
      <c r="F7663" s="1">
        <v>0.113161886456005</v>
      </c>
    </row>
    <row r="7664" spans="1:6" x14ac:dyDescent="0.25">
      <c r="A7664" s="2" t="str">
        <f t="shared" si="291"/>
        <v>36837</v>
      </c>
      <c r="B7664" s="2" t="str">
        <f>"61354"</f>
        <v>61354</v>
      </c>
      <c r="C7664" s="1">
        <v>7.0001839732975801E-2</v>
      </c>
      <c r="D7664" s="1">
        <v>0.13499680102367201</v>
      </c>
      <c r="E7664" s="1">
        <v>8.7216546224769403E-2</v>
      </c>
      <c r="F7664" s="1">
        <v>7.5506872155900004E-2</v>
      </c>
    </row>
    <row r="7665" spans="1:6" x14ac:dyDescent="0.25">
      <c r="A7665" s="2" t="str">
        <f t="shared" si="291"/>
        <v>36837</v>
      </c>
      <c r="B7665" s="2" t="str">
        <f>"61323"</f>
        <v>61323</v>
      </c>
      <c r="C7665" s="1">
        <v>1.3140949827853499E-5</v>
      </c>
      <c r="D7665" s="1">
        <v>0</v>
      </c>
      <c r="E7665" s="1">
        <v>2.4919013207076903E-4</v>
      </c>
      <c r="F7665" s="1">
        <v>2.3158065375218501E-5</v>
      </c>
    </row>
    <row r="7666" spans="1:6" x14ac:dyDescent="0.25">
      <c r="A7666" s="2" t="str">
        <f t="shared" si="291"/>
        <v>36837</v>
      </c>
      <c r="B7666" s="2" t="str">
        <f>"61326"</f>
        <v>61326</v>
      </c>
      <c r="C7666" s="1">
        <v>1.7332912822938799E-2</v>
      </c>
      <c r="D7666" s="1">
        <v>9.9168266154830396E-3</v>
      </c>
      <c r="E7666" s="1">
        <v>8.4724644904061695E-3</v>
      </c>
      <c r="F7666" s="1">
        <v>1.6384331252967101E-2</v>
      </c>
    </row>
    <row r="7667" spans="1:6" x14ac:dyDescent="0.25">
      <c r="A7667" s="2" t="str">
        <f t="shared" si="291"/>
        <v>36837</v>
      </c>
      <c r="B7667" s="2" t="str">
        <f>"61243"</f>
        <v>61243</v>
      </c>
      <c r="C7667" s="1">
        <v>3.9422849483560598E-5</v>
      </c>
      <c r="D7667" s="1">
        <v>0</v>
      </c>
      <c r="E7667" s="1">
        <v>0</v>
      </c>
      <c r="F7667" s="1">
        <v>3.4737098062827799E-5</v>
      </c>
    </row>
    <row r="7668" spans="1:6" x14ac:dyDescent="0.25">
      <c r="A7668" s="2" t="str">
        <f t="shared" si="291"/>
        <v>36837</v>
      </c>
      <c r="B7668" s="2" t="str">
        <f>"60557"</f>
        <v>60557</v>
      </c>
      <c r="C7668" s="1">
        <v>4.4679229414702E-4</v>
      </c>
      <c r="D7668" s="1">
        <v>0</v>
      </c>
      <c r="E7668" s="1">
        <v>1.24595066035384E-3</v>
      </c>
      <c r="F7668" s="1">
        <v>4.51582274816761E-4</v>
      </c>
    </row>
    <row r="7669" spans="1:6" x14ac:dyDescent="0.25">
      <c r="A7669" s="2" t="str">
        <f t="shared" si="291"/>
        <v>36837</v>
      </c>
      <c r="B7669" s="2" t="str">
        <f>"60437"</f>
        <v>60437</v>
      </c>
      <c r="C7669" s="1">
        <v>1.3140949827853499E-5</v>
      </c>
      <c r="D7669" s="1">
        <v>0</v>
      </c>
      <c r="E7669" s="1">
        <v>0</v>
      </c>
      <c r="F7669" s="1">
        <v>1.15790326876092E-5</v>
      </c>
    </row>
    <row r="7670" spans="1:6" x14ac:dyDescent="0.25">
      <c r="A7670" s="2" t="str">
        <f t="shared" si="291"/>
        <v>36837</v>
      </c>
      <c r="B7670" s="2" t="str">
        <f>"61340"</f>
        <v>61340</v>
      </c>
      <c r="C7670" s="1">
        <v>2.8778680122999202E-3</v>
      </c>
      <c r="D7670" s="1">
        <v>0</v>
      </c>
      <c r="E7670" s="1">
        <v>2.7410914527784599E-3</v>
      </c>
      <c r="F7670" s="1">
        <v>2.6631775181501301E-3</v>
      </c>
    </row>
    <row r="7671" spans="1:6" x14ac:dyDescent="0.25">
      <c r="A7671" s="2" t="str">
        <f t="shared" si="291"/>
        <v>36837</v>
      </c>
      <c r="B7671" s="2" t="str">
        <f>"61358"</f>
        <v>61358</v>
      </c>
      <c r="C7671" s="1">
        <v>2.9041499119556299E-3</v>
      </c>
      <c r="D7671" s="1">
        <v>9.5969289827255199E-4</v>
      </c>
      <c r="E7671" s="1">
        <v>9.2200348866184802E-3</v>
      </c>
      <c r="F7671" s="1">
        <v>3.0568646295288399E-3</v>
      </c>
    </row>
    <row r="7672" spans="1:6" x14ac:dyDescent="0.25">
      <c r="A7672" s="2" t="str">
        <f t="shared" si="291"/>
        <v>36837</v>
      </c>
      <c r="B7672" s="2" t="str">
        <f>"61342"</f>
        <v>61342</v>
      </c>
      <c r="C7672" s="1">
        <v>5.1643932823464397E-2</v>
      </c>
      <c r="D7672" s="1">
        <v>6.3179782469609702E-2</v>
      </c>
      <c r="E7672" s="1">
        <v>4.5103413904809299E-2</v>
      </c>
      <c r="F7672" s="1">
        <v>5.2175121290367402E-2</v>
      </c>
    </row>
    <row r="7673" spans="1:6" x14ac:dyDescent="0.25">
      <c r="A7673" s="2" t="str">
        <f t="shared" si="291"/>
        <v>36837</v>
      </c>
      <c r="B7673" s="2" t="str">
        <f>"61336"</f>
        <v>61336</v>
      </c>
      <c r="C7673" s="1">
        <v>5.0855475833793198E-3</v>
      </c>
      <c r="D7673" s="1">
        <v>4.7984644913627599E-4</v>
      </c>
      <c r="E7673" s="1">
        <v>9.9676052828307892E-4</v>
      </c>
      <c r="F7673" s="1">
        <v>4.5621388789180498E-3</v>
      </c>
    </row>
    <row r="7674" spans="1:6" x14ac:dyDescent="0.25">
      <c r="A7674" s="2" t="str">
        <f t="shared" si="291"/>
        <v>36837</v>
      </c>
      <c r="B7674" s="2" t="str">
        <f>"61332"</f>
        <v>61332</v>
      </c>
      <c r="C7674" s="1">
        <v>7.2275224053194496E-4</v>
      </c>
      <c r="D7674" s="1">
        <v>4.7984644913627599E-4</v>
      </c>
      <c r="E7674" s="1">
        <v>2.4919013207076903E-4</v>
      </c>
      <c r="F7674" s="1">
        <v>6.8316292856894696E-4</v>
      </c>
    </row>
    <row r="7675" spans="1:6" x14ac:dyDescent="0.25">
      <c r="A7675" s="2" t="str">
        <f t="shared" si="291"/>
        <v>36837</v>
      </c>
      <c r="B7675" s="2" t="str">
        <f>"61329"</f>
        <v>61329</v>
      </c>
      <c r="C7675" s="1">
        <v>8.3839259901705605E-3</v>
      </c>
      <c r="D7675" s="1">
        <v>5.9181062060140698E-3</v>
      </c>
      <c r="E7675" s="1">
        <v>9.9676052828307892E-3</v>
      </c>
      <c r="F7675" s="1">
        <v>8.2790083716406306E-3</v>
      </c>
    </row>
    <row r="7676" spans="1:6" x14ac:dyDescent="0.25">
      <c r="A7676" s="2" t="str">
        <f t="shared" si="291"/>
        <v>36837</v>
      </c>
      <c r="B7676" s="2" t="str">
        <f>"61316"</f>
        <v>61316</v>
      </c>
      <c r="C7676" s="1">
        <v>0</v>
      </c>
      <c r="D7676" s="1">
        <v>0</v>
      </c>
      <c r="E7676" s="1">
        <v>2.4919013207076903E-4</v>
      </c>
      <c r="F7676" s="1">
        <v>1.15790326876092E-5</v>
      </c>
    </row>
    <row r="7677" spans="1:6" x14ac:dyDescent="0.25">
      <c r="A7677" s="2" t="str">
        <f t="shared" si="291"/>
        <v>36837</v>
      </c>
      <c r="B7677" s="2" t="str">
        <f>"61283"</f>
        <v>61283</v>
      </c>
      <c r="C7677" s="1">
        <v>2.0894110226287099E-3</v>
      </c>
      <c r="D7677" s="1">
        <v>6.3979526551503495E-4</v>
      </c>
      <c r="E7677" s="1">
        <v>0</v>
      </c>
      <c r="F7677" s="1">
        <v>1.88738232808031E-3</v>
      </c>
    </row>
    <row r="7678" spans="1:6" x14ac:dyDescent="0.25">
      <c r="A7678" s="2" t="str">
        <f t="shared" si="291"/>
        <v>36837</v>
      </c>
      <c r="B7678" s="2" t="str">
        <f>"60549"</f>
        <v>60549</v>
      </c>
      <c r="C7678" s="1">
        <v>4.6781781387158598E-3</v>
      </c>
      <c r="D7678" s="1">
        <v>2.2392834293026198E-3</v>
      </c>
      <c r="E7678" s="1">
        <v>0</v>
      </c>
      <c r="F7678" s="1">
        <v>4.2842420944154301E-3</v>
      </c>
    </row>
    <row r="7679" spans="1:6" x14ac:dyDescent="0.25">
      <c r="A7679" s="2" t="str">
        <f t="shared" si="291"/>
        <v>36837</v>
      </c>
      <c r="B7679" s="2" t="str">
        <f>"60531"</f>
        <v>60531</v>
      </c>
      <c r="C7679" s="1">
        <v>1.05521827117664E-2</v>
      </c>
      <c r="D7679" s="1">
        <v>2.8790786948176498E-3</v>
      </c>
      <c r="E7679" s="1">
        <v>4.2362322452030804E-3</v>
      </c>
      <c r="F7679" s="1">
        <v>9.7032293922165707E-3</v>
      </c>
    </row>
    <row r="7680" spans="1:6" x14ac:dyDescent="0.25">
      <c r="A7680" s="2" t="str">
        <f t="shared" si="291"/>
        <v>36837</v>
      </c>
      <c r="B7680" s="2" t="str">
        <f>"61421"</f>
        <v>61421</v>
      </c>
      <c r="C7680" s="1">
        <v>2.0368472233173E-3</v>
      </c>
      <c r="D7680" s="1">
        <v>3.1989763275751699E-4</v>
      </c>
      <c r="E7680" s="1">
        <v>4.9838026414153903E-4</v>
      </c>
      <c r="F7680" s="1">
        <v>1.84106619732987E-3</v>
      </c>
    </row>
    <row r="7681" spans="1:6" x14ac:dyDescent="0.25">
      <c r="A7681" s="2" t="str">
        <f t="shared" si="291"/>
        <v>36837</v>
      </c>
      <c r="B7681" s="2" t="str">
        <f>"61371"</f>
        <v>61371</v>
      </c>
      <c r="C7681" s="1">
        <v>7.3589319035979905E-4</v>
      </c>
      <c r="D7681" s="1">
        <v>1.5994881637875801E-4</v>
      </c>
      <c r="E7681" s="1">
        <v>4.9838026414153903E-4</v>
      </c>
      <c r="F7681" s="1">
        <v>6.8316292856894696E-4</v>
      </c>
    </row>
    <row r="7682" spans="1:6" x14ac:dyDescent="0.25">
      <c r="A7682" s="2" t="str">
        <f t="shared" si="291"/>
        <v>36837</v>
      </c>
      <c r="B7682" s="2" t="str">
        <f>"61362"</f>
        <v>61362</v>
      </c>
      <c r="C7682" s="1">
        <v>3.7057478514547E-2</v>
      </c>
      <c r="D7682" s="1">
        <v>3.2629558541266701E-2</v>
      </c>
      <c r="E7682" s="1">
        <v>3.8126090206827799E-2</v>
      </c>
      <c r="F7682" s="1">
        <v>3.67865868485346E-2</v>
      </c>
    </row>
    <row r="7683" spans="1:6" x14ac:dyDescent="0.25">
      <c r="A7683" s="2" t="str">
        <f t="shared" si="291"/>
        <v>36837</v>
      </c>
      <c r="B7683" s="2" t="str">
        <f>"61346"</f>
        <v>61346</v>
      </c>
      <c r="C7683" s="1">
        <v>4.8621514363058103E-4</v>
      </c>
      <c r="D7683" s="1">
        <v>1.5994881637875801E-4</v>
      </c>
      <c r="E7683" s="1">
        <v>2.4919013207076903E-4</v>
      </c>
      <c r="F7683" s="1">
        <v>4.51582274816761E-4</v>
      </c>
    </row>
    <row r="7684" spans="1:6" x14ac:dyDescent="0.25">
      <c r="A7684" s="2" t="str">
        <f t="shared" si="291"/>
        <v>36837</v>
      </c>
      <c r="B7684" s="2" t="str">
        <f>"61345"</f>
        <v>61345</v>
      </c>
      <c r="C7684" s="1">
        <v>5.5323398775263396E-3</v>
      </c>
      <c r="D7684" s="1">
        <v>7.9974408189379298E-4</v>
      </c>
      <c r="E7684" s="1">
        <v>4.5103413904809299E-2</v>
      </c>
      <c r="F7684" s="1">
        <v>7.0284728413788303E-3</v>
      </c>
    </row>
    <row r="7685" spans="1:6" x14ac:dyDescent="0.25">
      <c r="A7685" s="2" t="str">
        <f t="shared" si="291"/>
        <v>36837</v>
      </c>
      <c r="B7685" s="2" t="str">
        <f>"61344"</f>
        <v>61344</v>
      </c>
      <c r="C7685" s="1">
        <v>2.4836395174643198E-3</v>
      </c>
      <c r="D7685" s="1">
        <v>1.7594369801663401E-3</v>
      </c>
      <c r="E7685" s="1">
        <v>4.9838026414153903E-4</v>
      </c>
      <c r="F7685" s="1">
        <v>2.3389646028970702E-3</v>
      </c>
    </row>
    <row r="7686" spans="1:6" x14ac:dyDescent="0.25">
      <c r="A7686" s="2" t="str">
        <f t="shared" si="291"/>
        <v>36837</v>
      </c>
      <c r="B7686" s="2" t="str">
        <f>"61337"</f>
        <v>61337</v>
      </c>
      <c r="C7686" s="1">
        <v>3.57433835317616E-3</v>
      </c>
      <c r="D7686" s="1">
        <v>1.1196417146513099E-3</v>
      </c>
      <c r="E7686" s="1">
        <v>4.9838026414153903E-4</v>
      </c>
      <c r="F7686" s="1">
        <v>3.2537081852181998E-3</v>
      </c>
    </row>
    <row r="7687" spans="1:6" x14ac:dyDescent="0.25">
      <c r="A7687" s="2" t="str">
        <f t="shared" si="291"/>
        <v>36837</v>
      </c>
      <c r="B7687" s="2" t="str">
        <f>"61328"</f>
        <v>61328</v>
      </c>
      <c r="C7687" s="1">
        <v>5.2563799311414201E-5</v>
      </c>
      <c r="D7687" s="1">
        <v>1.5994881637875801E-4</v>
      </c>
      <c r="E7687" s="1">
        <v>2.4919013207076903E-4</v>
      </c>
      <c r="F7687" s="1">
        <v>6.9474196125655598E-5</v>
      </c>
    </row>
    <row r="7688" spans="1:6" x14ac:dyDescent="0.25">
      <c r="A7688" s="2" t="str">
        <f t="shared" si="291"/>
        <v>36837</v>
      </c>
      <c r="B7688" s="2" t="str">
        <f>"61334"</f>
        <v>61334</v>
      </c>
      <c r="C7688" s="1">
        <v>4.3233724933638201E-3</v>
      </c>
      <c r="D7688" s="1">
        <v>2.39923224568138E-3</v>
      </c>
      <c r="E7688" s="1">
        <v>7.4757039621230897E-4</v>
      </c>
      <c r="F7688" s="1">
        <v>4.0179243426004098E-3</v>
      </c>
    </row>
    <row r="7689" spans="1:6" x14ac:dyDescent="0.25">
      <c r="A7689" s="2" t="str">
        <f t="shared" si="291"/>
        <v>36837</v>
      </c>
      <c r="B7689" s="2" t="str">
        <f>"61322"</f>
        <v>61322</v>
      </c>
      <c r="C7689" s="1">
        <v>6.8070120108281399E-3</v>
      </c>
      <c r="D7689" s="1">
        <v>2.2392834293026198E-3</v>
      </c>
      <c r="E7689" s="1">
        <v>4.7346125093446203E-3</v>
      </c>
      <c r="F7689" s="1">
        <v>6.3800470108727097E-3</v>
      </c>
    </row>
    <row r="7690" spans="1:6" x14ac:dyDescent="0.25">
      <c r="A7690" s="2" t="str">
        <f t="shared" si="291"/>
        <v>36837</v>
      </c>
      <c r="B7690" s="2" t="str">
        <f>"61314"</f>
        <v>61314</v>
      </c>
      <c r="C7690" s="1">
        <v>7.0961129070409197E-3</v>
      </c>
      <c r="D7690" s="1">
        <v>9.5969289827255199E-4</v>
      </c>
      <c r="E7690" s="1">
        <v>1.4951407924246099E-3</v>
      </c>
      <c r="F7690" s="1">
        <v>6.3916260435603204E-3</v>
      </c>
    </row>
    <row r="7691" spans="1:6" x14ac:dyDescent="0.25">
      <c r="A7691" s="2" t="str">
        <f t="shared" ref="A7691:A7726" si="292">"36837"</f>
        <v>36837</v>
      </c>
      <c r="B7691" s="2" t="str">
        <f>"61234"</f>
        <v>61234</v>
      </c>
      <c r="C7691" s="1">
        <v>1.3140949827853499E-5</v>
      </c>
      <c r="D7691" s="1">
        <v>0</v>
      </c>
      <c r="E7691" s="1">
        <v>0</v>
      </c>
      <c r="F7691" s="1">
        <v>1.15790326876092E-5</v>
      </c>
    </row>
    <row r="7692" spans="1:6" x14ac:dyDescent="0.25">
      <c r="A7692" s="2" t="str">
        <f t="shared" si="292"/>
        <v>36837</v>
      </c>
      <c r="B7692" s="2" t="str">
        <f>"61376"</f>
        <v>61376</v>
      </c>
      <c r="C7692" s="1">
        <v>1.24181975873216E-2</v>
      </c>
      <c r="D7692" s="1">
        <v>2.39923224568138E-3</v>
      </c>
      <c r="E7692" s="1">
        <v>4.9838026414153903E-3</v>
      </c>
      <c r="F7692" s="1">
        <v>1.1347452033857E-2</v>
      </c>
    </row>
    <row r="7693" spans="1:6" x14ac:dyDescent="0.25">
      <c r="A7693" s="2" t="str">
        <f t="shared" si="292"/>
        <v>36837</v>
      </c>
      <c r="B7693" s="2" t="str">
        <f>"61370"</f>
        <v>61370</v>
      </c>
      <c r="C7693" s="1">
        <v>8.4627716891376905E-3</v>
      </c>
      <c r="D7693" s="1">
        <v>3.8387715930902101E-3</v>
      </c>
      <c r="E7693" s="1">
        <v>4.7346125093446203E-3</v>
      </c>
      <c r="F7693" s="1">
        <v>7.9547954563875707E-3</v>
      </c>
    </row>
    <row r="7694" spans="1:6" x14ac:dyDescent="0.25">
      <c r="A7694" s="2" t="str">
        <f t="shared" si="292"/>
        <v>36837</v>
      </c>
      <c r="B7694" s="2" t="str">
        <f>"61361"</f>
        <v>61361</v>
      </c>
      <c r="C7694" s="1">
        <v>9.8819942705458703E-3</v>
      </c>
      <c r="D7694" s="1">
        <v>7.3576455534228999E-3</v>
      </c>
      <c r="E7694" s="1">
        <v>9.9676052828307892E-4</v>
      </c>
      <c r="F7694" s="1">
        <v>9.2863842154626407E-3</v>
      </c>
    </row>
    <row r="7695" spans="1:6" x14ac:dyDescent="0.25">
      <c r="A7695" s="2" t="str">
        <f t="shared" si="292"/>
        <v>36837</v>
      </c>
      <c r="B7695" s="2" t="str">
        <f>"61356"</f>
        <v>61356</v>
      </c>
      <c r="C7695" s="1">
        <v>8.5928670924334399E-2</v>
      </c>
      <c r="D7695" s="1">
        <v>0.113883557261676</v>
      </c>
      <c r="E7695" s="1">
        <v>0.115873411412908</v>
      </c>
      <c r="F7695" s="1">
        <v>8.9343816217593103E-2</v>
      </c>
    </row>
    <row r="7696" spans="1:6" x14ac:dyDescent="0.25">
      <c r="A7696" s="2" t="str">
        <f t="shared" si="292"/>
        <v>36837</v>
      </c>
      <c r="B7696" s="2" t="str">
        <f>"61320"</f>
        <v>61320</v>
      </c>
      <c r="C7696" s="1">
        <v>4.0342715971510403E-3</v>
      </c>
      <c r="D7696" s="1">
        <v>3.1989763275751699E-4</v>
      </c>
      <c r="E7696" s="1">
        <v>1.4951407924246099E-3</v>
      </c>
      <c r="F7696" s="1">
        <v>3.6473952965969201E-3</v>
      </c>
    </row>
    <row r="7697" spans="1:6" x14ac:dyDescent="0.25">
      <c r="A7697" s="2" t="str">
        <f t="shared" si="292"/>
        <v>36837</v>
      </c>
      <c r="B7697" s="2" t="str">
        <f>"61333"</f>
        <v>61333</v>
      </c>
      <c r="C7697" s="1">
        <v>1.3140949827853499E-5</v>
      </c>
      <c r="D7697" s="1">
        <v>0</v>
      </c>
      <c r="E7697" s="1">
        <v>0</v>
      </c>
      <c r="F7697" s="1">
        <v>1.15790326876092E-5</v>
      </c>
    </row>
    <row r="7698" spans="1:6" x14ac:dyDescent="0.25">
      <c r="A7698" s="2" t="str">
        <f t="shared" si="292"/>
        <v>36837</v>
      </c>
      <c r="B7698" s="2" t="str">
        <f>"61327"</f>
        <v>61327</v>
      </c>
      <c r="C7698" s="1">
        <v>7.63489184998291E-3</v>
      </c>
      <c r="D7698" s="1">
        <v>5.4382597568777896E-3</v>
      </c>
      <c r="E7698" s="1">
        <v>5.7313730376277001E-3</v>
      </c>
      <c r="F7698" s="1">
        <v>7.3874228546947102E-3</v>
      </c>
    </row>
    <row r="7699" spans="1:6" x14ac:dyDescent="0.25">
      <c r="A7699" s="2" t="str">
        <f t="shared" si="292"/>
        <v>36837</v>
      </c>
      <c r="B7699" s="2" t="str">
        <f>"61312"</f>
        <v>61312</v>
      </c>
      <c r="C7699" s="1">
        <v>3.9948487476674796E-3</v>
      </c>
      <c r="D7699" s="1">
        <v>4.7984644913627599E-4</v>
      </c>
      <c r="E7699" s="1">
        <v>2.4919013207076903E-4</v>
      </c>
      <c r="F7699" s="1">
        <v>3.5663420677836499E-3</v>
      </c>
    </row>
    <row r="7700" spans="1:6" x14ac:dyDescent="0.25">
      <c r="A7700" s="2" t="str">
        <f t="shared" si="292"/>
        <v>36837</v>
      </c>
      <c r="B7700" s="2" t="str">
        <f>"60518"</f>
        <v>60518</v>
      </c>
      <c r="C7700" s="1">
        <v>1.9159504849010401E-2</v>
      </c>
      <c r="D7700" s="1">
        <v>6.2380038387715902E-3</v>
      </c>
      <c r="E7700" s="1">
        <v>1.09643658111138E-2</v>
      </c>
      <c r="F7700" s="1">
        <v>1.78432893716058E-2</v>
      </c>
    </row>
    <row r="7701" spans="1:6" x14ac:dyDescent="0.25">
      <c r="A7701" s="2" t="str">
        <f t="shared" si="292"/>
        <v>36837</v>
      </c>
      <c r="B7701" s="2" t="str">
        <f>"61372"</f>
        <v>61372</v>
      </c>
      <c r="C7701" s="1">
        <v>1.1432626350232501E-3</v>
      </c>
      <c r="D7701" s="1">
        <v>2.5591810620601398E-3</v>
      </c>
      <c r="E7701" s="1">
        <v>1.4951407924246099E-3</v>
      </c>
      <c r="F7701" s="1">
        <v>1.2621145629494099E-3</v>
      </c>
    </row>
    <row r="7702" spans="1:6" x14ac:dyDescent="0.25">
      <c r="A7702" s="2" t="str">
        <f t="shared" si="292"/>
        <v>36837</v>
      </c>
      <c r="B7702" s="2" t="str">
        <f>"61363"</f>
        <v>61363</v>
      </c>
      <c r="C7702" s="1">
        <v>1.94486057452232E-3</v>
      </c>
      <c r="D7702" s="1">
        <v>4.7984644913627599E-4</v>
      </c>
      <c r="E7702" s="1">
        <v>9.9676052828307892E-4</v>
      </c>
      <c r="F7702" s="1">
        <v>1.79475006657943E-3</v>
      </c>
    </row>
    <row r="7703" spans="1:6" x14ac:dyDescent="0.25">
      <c r="A7703" s="2" t="str">
        <f t="shared" si="292"/>
        <v>36837</v>
      </c>
      <c r="B7703" s="2" t="str">
        <f>"61377"</f>
        <v>61377</v>
      </c>
      <c r="C7703" s="1">
        <v>1.1301216851954E-3</v>
      </c>
      <c r="D7703" s="1">
        <v>6.3979526551503495E-4</v>
      </c>
      <c r="E7703" s="1">
        <v>0</v>
      </c>
      <c r="F7703" s="1">
        <v>1.0421129418848301E-3</v>
      </c>
    </row>
    <row r="7704" spans="1:6" x14ac:dyDescent="0.25">
      <c r="A7704" s="2" t="str">
        <f t="shared" si="292"/>
        <v>36837</v>
      </c>
      <c r="B7704" s="2" t="str">
        <f>"61348"</f>
        <v>61348</v>
      </c>
      <c r="C7704" s="1">
        <v>3.1603984335987802E-2</v>
      </c>
      <c r="D7704" s="1">
        <v>2.9110684580934101E-2</v>
      </c>
      <c r="E7704" s="1">
        <v>3.21455270371293E-2</v>
      </c>
      <c r="F7704" s="1">
        <v>3.1448652779546699E-2</v>
      </c>
    </row>
    <row r="7705" spans="1:6" x14ac:dyDescent="0.25">
      <c r="A7705" s="2" t="str">
        <f t="shared" si="292"/>
        <v>36837</v>
      </c>
      <c r="B7705" s="2" t="str">
        <f>"61311"</f>
        <v>61311</v>
      </c>
      <c r="C7705" s="1">
        <v>5.2563799311414201E-5</v>
      </c>
      <c r="D7705" s="1">
        <v>0</v>
      </c>
      <c r="E7705" s="1">
        <v>0</v>
      </c>
      <c r="F7705" s="1">
        <v>4.6316130750437097E-5</v>
      </c>
    </row>
    <row r="7706" spans="1:6" x14ac:dyDescent="0.25">
      <c r="A7706" s="2" t="str">
        <f t="shared" si="292"/>
        <v>36837</v>
      </c>
      <c r="B7706" s="2" t="str">
        <f>"61330"</f>
        <v>61330</v>
      </c>
      <c r="C7706" s="1">
        <v>1.0762437909012001E-2</v>
      </c>
      <c r="D7706" s="1">
        <v>2.71912987843889E-3</v>
      </c>
      <c r="E7706" s="1">
        <v>3.2394717169200002E-3</v>
      </c>
      <c r="F7706" s="1">
        <v>9.8305987517802694E-3</v>
      </c>
    </row>
    <row r="7707" spans="1:6" x14ac:dyDescent="0.25">
      <c r="A7707" s="2" t="str">
        <f t="shared" si="292"/>
        <v>36837</v>
      </c>
      <c r="B7707" s="2" t="str">
        <f>"61321"</f>
        <v>61321</v>
      </c>
      <c r="C7707" s="1">
        <v>2.2076795710793901E-3</v>
      </c>
      <c r="D7707" s="1">
        <v>6.3979526551503495E-4</v>
      </c>
      <c r="E7707" s="1">
        <v>1.7443309244953801E-3</v>
      </c>
      <c r="F7707" s="1">
        <v>2.0726468510820599E-3</v>
      </c>
    </row>
    <row r="7708" spans="1:6" x14ac:dyDescent="0.25">
      <c r="A7708" s="2" t="str">
        <f t="shared" si="292"/>
        <v>36837</v>
      </c>
      <c r="B7708" s="2" t="str">
        <f>"60537"</f>
        <v>60537</v>
      </c>
      <c r="C7708" s="1">
        <v>1.8134510762437899E-3</v>
      </c>
      <c r="D7708" s="1">
        <v>1.5994881637875801E-4</v>
      </c>
      <c r="E7708" s="1">
        <v>0</v>
      </c>
      <c r="F7708" s="1">
        <v>1.60948554357768E-3</v>
      </c>
    </row>
    <row r="7709" spans="1:6" x14ac:dyDescent="0.25">
      <c r="A7709" s="2" t="str">
        <f t="shared" si="292"/>
        <v>36837</v>
      </c>
      <c r="B7709" s="2" t="str">
        <f>"60541"</f>
        <v>60541</v>
      </c>
      <c r="C7709" s="1">
        <v>8.8044363846618797E-4</v>
      </c>
      <c r="D7709" s="1">
        <v>0</v>
      </c>
      <c r="E7709" s="1">
        <v>0</v>
      </c>
      <c r="F7709" s="1">
        <v>7.7579519006982102E-4</v>
      </c>
    </row>
    <row r="7710" spans="1:6" x14ac:dyDescent="0.25">
      <c r="A7710" s="2" t="str">
        <f t="shared" si="292"/>
        <v>36837</v>
      </c>
      <c r="B7710" s="2" t="str">
        <f>"61374"</f>
        <v>61374</v>
      </c>
      <c r="C7710" s="1">
        <v>7.7531603984335904E-4</v>
      </c>
      <c r="D7710" s="1">
        <v>7.9974408189379298E-4</v>
      </c>
      <c r="E7710" s="1">
        <v>0</v>
      </c>
      <c r="F7710" s="1">
        <v>7.4105809200699301E-4</v>
      </c>
    </row>
    <row r="7711" spans="1:6" x14ac:dyDescent="0.25">
      <c r="A7711" s="2" t="str">
        <f t="shared" si="292"/>
        <v>36837</v>
      </c>
      <c r="B7711" s="2" t="str">
        <f>"61379"</f>
        <v>61379</v>
      </c>
      <c r="C7711" s="1">
        <v>8.1868117427527608E-3</v>
      </c>
      <c r="D7711" s="1">
        <v>6.0780550223928304E-3</v>
      </c>
      <c r="E7711" s="1">
        <v>3.4886618489907702E-3</v>
      </c>
      <c r="F7711" s="1">
        <v>7.8158470641362596E-3</v>
      </c>
    </row>
    <row r="7712" spans="1:6" x14ac:dyDescent="0.25">
      <c r="A7712" s="2" t="str">
        <f t="shared" si="292"/>
        <v>36837</v>
      </c>
      <c r="B7712" s="2" t="str">
        <f>"61338"</f>
        <v>61338</v>
      </c>
      <c r="C7712" s="1">
        <v>2.27338432021866E-3</v>
      </c>
      <c r="D7712" s="1">
        <v>4.7984644913627599E-4</v>
      </c>
      <c r="E7712" s="1">
        <v>7.4757039621230897E-4</v>
      </c>
      <c r="F7712" s="1">
        <v>2.0726468510820599E-3</v>
      </c>
    </row>
    <row r="7713" spans="1:6" x14ac:dyDescent="0.25">
      <c r="A7713" s="2" t="str">
        <f t="shared" si="292"/>
        <v>36837</v>
      </c>
      <c r="B7713" s="2" t="str">
        <f>"61359"</f>
        <v>61359</v>
      </c>
      <c r="C7713" s="1">
        <v>1.6820415779652501E-3</v>
      </c>
      <c r="D7713" s="1">
        <v>1.4395393474088199E-3</v>
      </c>
      <c r="E7713" s="1">
        <v>2.4919013207076903E-4</v>
      </c>
      <c r="F7713" s="1">
        <v>1.5979065108900801E-3</v>
      </c>
    </row>
    <row r="7714" spans="1:6" x14ac:dyDescent="0.25">
      <c r="A7714" s="2" t="str">
        <f t="shared" si="292"/>
        <v>36837</v>
      </c>
      <c r="B7714" s="2" t="str">
        <f>"61350"</f>
        <v>61350</v>
      </c>
      <c r="C7714" s="1">
        <v>0.170727220163473</v>
      </c>
      <c r="D7714" s="1">
        <v>0.24984005118362099</v>
      </c>
      <c r="E7714" s="1">
        <v>0.200099676052828</v>
      </c>
      <c r="F7714" s="1">
        <v>0.177819204983615</v>
      </c>
    </row>
    <row r="7715" spans="1:6" x14ac:dyDescent="0.25">
      <c r="A7715" s="2" t="str">
        <f t="shared" si="292"/>
        <v>36837</v>
      </c>
      <c r="B7715" s="2" t="str">
        <f>"61349"</f>
        <v>61349</v>
      </c>
      <c r="C7715" s="1">
        <v>6.41278351599253E-3</v>
      </c>
      <c r="D7715" s="1">
        <v>2.39923224568138E-3</v>
      </c>
      <c r="E7715" s="1">
        <v>3.7378519810615401E-3</v>
      </c>
      <c r="F7715" s="1">
        <v>5.9979389321815997E-3</v>
      </c>
    </row>
    <row r="7716" spans="1:6" x14ac:dyDescent="0.25">
      <c r="A7716" s="2" t="str">
        <f t="shared" si="292"/>
        <v>36837</v>
      </c>
      <c r="B7716" s="2" t="str">
        <f>"61360"</f>
        <v>61360</v>
      </c>
      <c r="C7716" s="1">
        <v>1.8857263002969801E-2</v>
      </c>
      <c r="D7716" s="1">
        <v>1.5834932821497099E-2</v>
      </c>
      <c r="E7716" s="1">
        <v>8.9708447545477094E-3</v>
      </c>
      <c r="F7716" s="1">
        <v>1.81790813195465E-2</v>
      </c>
    </row>
    <row r="7717" spans="1:6" x14ac:dyDescent="0.25">
      <c r="A7717" s="2" t="str">
        <f t="shared" si="292"/>
        <v>36837</v>
      </c>
      <c r="B7717" s="2" t="str">
        <f>"61317"</f>
        <v>61317</v>
      </c>
      <c r="C7717" s="1">
        <v>2.601908065915E-3</v>
      </c>
      <c r="D7717" s="1">
        <v>2.2392834293026198E-3</v>
      </c>
      <c r="E7717" s="1">
        <v>0</v>
      </c>
      <c r="F7717" s="1">
        <v>2.4547549297731599E-3</v>
      </c>
    </row>
    <row r="7718" spans="1:6" x14ac:dyDescent="0.25">
      <c r="A7718" s="2" t="str">
        <f t="shared" si="292"/>
        <v>36837</v>
      </c>
      <c r="B7718" s="2" t="str">
        <f>"61315"</f>
        <v>61315</v>
      </c>
      <c r="C7718" s="1">
        <v>0</v>
      </c>
      <c r="D7718" s="1">
        <v>0</v>
      </c>
      <c r="E7718" s="1">
        <v>2.4919013207076903E-4</v>
      </c>
      <c r="F7718" s="1">
        <v>1.15790326876092E-5</v>
      </c>
    </row>
    <row r="7719" spans="1:6" x14ac:dyDescent="0.25">
      <c r="A7719" s="2" t="str">
        <f t="shared" si="292"/>
        <v>36837</v>
      </c>
      <c r="B7719" s="2" t="str">
        <f>"61335"</f>
        <v>61335</v>
      </c>
      <c r="C7719" s="1">
        <v>5.5849036768377599E-3</v>
      </c>
      <c r="D7719" s="1">
        <v>3.8387715930902101E-3</v>
      </c>
      <c r="E7719" s="1">
        <v>7.4757039621230897E-4</v>
      </c>
      <c r="F7719" s="1">
        <v>5.2337227747993901E-3</v>
      </c>
    </row>
    <row r="7720" spans="1:6" x14ac:dyDescent="0.25">
      <c r="A7720" s="2" t="str">
        <f t="shared" si="292"/>
        <v>36837</v>
      </c>
      <c r="B7720" s="2" t="str">
        <f>"60551"</f>
        <v>60551</v>
      </c>
      <c r="C7720" s="1">
        <v>2.07889826276643E-2</v>
      </c>
      <c r="D7720" s="1">
        <v>3.8387715930902101E-3</v>
      </c>
      <c r="E7720" s="1">
        <v>1.14627460752554E-2</v>
      </c>
      <c r="F7720" s="1">
        <v>1.9128561999930498E-2</v>
      </c>
    </row>
    <row r="7721" spans="1:6" x14ac:dyDescent="0.25">
      <c r="A7721" s="2" t="str">
        <f t="shared" si="292"/>
        <v>36837</v>
      </c>
      <c r="B7721" s="2" t="str">
        <f>"60470"</f>
        <v>60470</v>
      </c>
      <c r="C7721" s="1">
        <v>3.6663250019711401E-3</v>
      </c>
      <c r="D7721" s="1">
        <v>2.0793346129238601E-3</v>
      </c>
      <c r="E7721" s="1">
        <v>7.4757039621230897E-4</v>
      </c>
      <c r="F7721" s="1">
        <v>3.4158146428447298E-3</v>
      </c>
    </row>
    <row r="7722" spans="1:6" x14ac:dyDescent="0.25">
      <c r="A7722" s="2" t="str">
        <f t="shared" si="292"/>
        <v>36837</v>
      </c>
      <c r="B7722" s="2" t="str">
        <f>"61443"</f>
        <v>61443</v>
      </c>
      <c r="C7722" s="1">
        <v>1.1826854845068201E-4</v>
      </c>
      <c r="D7722" s="1">
        <v>4.7984644913627599E-4</v>
      </c>
      <c r="E7722" s="1">
        <v>4.9838026414153903E-4</v>
      </c>
      <c r="F7722" s="1">
        <v>1.6210645762652901E-4</v>
      </c>
    </row>
    <row r="7723" spans="1:6" x14ac:dyDescent="0.25">
      <c r="A7723" s="2" t="str">
        <f t="shared" si="292"/>
        <v>36837</v>
      </c>
      <c r="B7723" s="2" t="str">
        <f>"61368"</f>
        <v>61368</v>
      </c>
      <c r="C7723" s="1">
        <v>1.3272359326132001E-2</v>
      </c>
      <c r="D7723" s="1">
        <v>4.1586692258477201E-3</v>
      </c>
      <c r="E7723" s="1">
        <v>2.7410914527784599E-3</v>
      </c>
      <c r="F7723" s="1">
        <v>1.21232472239269E-2</v>
      </c>
    </row>
    <row r="7724" spans="1:6" x14ac:dyDescent="0.25">
      <c r="A7724" s="2" t="str">
        <f t="shared" si="292"/>
        <v>36837</v>
      </c>
      <c r="B7724" s="2" t="str">
        <f>"61325"</f>
        <v>61325</v>
      </c>
      <c r="C7724" s="1">
        <v>5.9002864727062398E-3</v>
      </c>
      <c r="D7724" s="1">
        <v>3.1989763275751702E-3</v>
      </c>
      <c r="E7724" s="1">
        <v>2.4919013207076899E-3</v>
      </c>
      <c r="F7724" s="1">
        <v>5.5463566573648402E-3</v>
      </c>
    </row>
    <row r="7725" spans="1:6" x14ac:dyDescent="0.25">
      <c r="A7725" s="2" t="str">
        <f t="shared" si="292"/>
        <v>36837</v>
      </c>
      <c r="B7725" s="2" t="str">
        <f>"61301"</f>
        <v>61301</v>
      </c>
      <c r="C7725" s="1">
        <v>6.6874293673946705E-2</v>
      </c>
      <c r="D7725" s="1">
        <v>8.9091490722968597E-2</v>
      </c>
      <c r="E7725" s="1">
        <v>0.112135559431846</v>
      </c>
      <c r="F7725" s="1">
        <v>7.0585783263666102E-2</v>
      </c>
    </row>
    <row r="7726" spans="1:6" x14ac:dyDescent="0.25">
      <c r="A7726" s="2" t="str">
        <f t="shared" si="292"/>
        <v>36837</v>
      </c>
      <c r="B7726" s="2" t="str">
        <f>"60548"</f>
        <v>60548</v>
      </c>
      <c r="C7726" s="1">
        <v>2.4363320980840399E-2</v>
      </c>
      <c r="D7726" s="1">
        <v>2.39923224568138E-3</v>
      </c>
      <c r="E7726" s="1">
        <v>2.4919013207076899E-3</v>
      </c>
      <c r="F7726" s="1">
        <v>2.1757002420017799E-2</v>
      </c>
    </row>
    <row r="7727" spans="1:6" x14ac:dyDescent="0.25">
      <c r="A7727" s="2" t="str">
        <f t="shared" ref="A7727:A7758" si="293">"16580"</f>
        <v>16580</v>
      </c>
      <c r="B7727" s="2" t="str">
        <f>"61813"</f>
        <v>61813</v>
      </c>
      <c r="C7727" s="1">
        <v>8.1639515767448802E-3</v>
      </c>
      <c r="D7727" s="1">
        <v>7.9844872818523992E-3</v>
      </c>
      <c r="E7727" s="1">
        <v>2.7301092043681701E-3</v>
      </c>
      <c r="F7727" s="1">
        <v>7.8128162571347599E-3</v>
      </c>
    </row>
    <row r="7728" spans="1:6" x14ac:dyDescent="0.25">
      <c r="A7728" s="2" t="str">
        <f t="shared" si="293"/>
        <v>16580</v>
      </c>
      <c r="B7728" s="2" t="str">
        <f>"61802"</f>
        <v>61802</v>
      </c>
      <c r="C7728" s="1">
        <v>9.2913988940367606E-2</v>
      </c>
      <c r="D7728" s="1">
        <v>6.9693167560168801E-2</v>
      </c>
      <c r="E7728" s="1">
        <v>0.100754030161206</v>
      </c>
      <c r="F7728" s="1">
        <v>9.1754037971096603E-2</v>
      </c>
    </row>
    <row r="7729" spans="1:6" x14ac:dyDescent="0.25">
      <c r="A7729" s="2" t="str">
        <f t="shared" si="293"/>
        <v>16580</v>
      </c>
      <c r="B7729" s="2" t="str">
        <f>"61937"</f>
        <v>61937</v>
      </c>
      <c r="C7729" s="1">
        <v>6.5386339859512698E-5</v>
      </c>
      <c r="D7729" s="1">
        <v>1.14064104026462E-4</v>
      </c>
      <c r="E7729" s="1">
        <v>0</v>
      </c>
      <c r="F7729" s="1">
        <v>6.4769461199044601E-5</v>
      </c>
    </row>
    <row r="7730" spans="1:6" x14ac:dyDescent="0.25">
      <c r="A7730" s="2" t="str">
        <f t="shared" si="293"/>
        <v>16580</v>
      </c>
      <c r="B7730" s="2" t="str">
        <f>"61936"</f>
        <v>61936</v>
      </c>
      <c r="C7730" s="1">
        <v>1.0835450605290601E-3</v>
      </c>
      <c r="D7730" s="1">
        <v>1.14064104026462E-4</v>
      </c>
      <c r="E7730" s="1">
        <v>0</v>
      </c>
      <c r="F7730" s="1">
        <v>9.4725337003602797E-4</v>
      </c>
    </row>
    <row r="7731" spans="1:6" x14ac:dyDescent="0.25">
      <c r="A7731" s="2" t="str">
        <f t="shared" si="293"/>
        <v>16580</v>
      </c>
      <c r="B7731" s="2" t="str">
        <f>"61842"</f>
        <v>61842</v>
      </c>
      <c r="C7731" s="1">
        <v>4.5770437901658902E-4</v>
      </c>
      <c r="D7731" s="1">
        <v>2.2812820805292501E-4</v>
      </c>
      <c r="E7731" s="1">
        <v>0</v>
      </c>
      <c r="F7731" s="1">
        <v>4.1290531514390899E-4</v>
      </c>
    </row>
    <row r="7732" spans="1:6" x14ac:dyDescent="0.25">
      <c r="A7732" s="2" t="str">
        <f t="shared" si="293"/>
        <v>16580</v>
      </c>
      <c r="B7732" s="2" t="str">
        <f>"61862"</f>
        <v>61862</v>
      </c>
      <c r="C7732" s="1">
        <v>1.84015842176057E-3</v>
      </c>
      <c r="D7732" s="1">
        <v>2.9656667046880302E-3</v>
      </c>
      <c r="E7732" s="1">
        <v>0</v>
      </c>
      <c r="F7732" s="1">
        <v>1.8054487309233599E-3</v>
      </c>
    </row>
    <row r="7733" spans="1:6" x14ac:dyDescent="0.25">
      <c r="A7733" s="2" t="str">
        <f t="shared" si="293"/>
        <v>16580</v>
      </c>
      <c r="B7733" s="2" t="str">
        <f>"61849"</f>
        <v>61849</v>
      </c>
      <c r="C7733" s="1">
        <v>7.1084292332984599E-3</v>
      </c>
      <c r="D7733" s="1">
        <v>6.7297821375613001E-3</v>
      </c>
      <c r="E7733" s="1">
        <v>1.9500780031201201E-3</v>
      </c>
      <c r="F7733" s="1">
        <v>6.76031251265028E-3</v>
      </c>
    </row>
    <row r="7734" spans="1:6" x14ac:dyDescent="0.25">
      <c r="A7734" s="2" t="str">
        <f t="shared" si="293"/>
        <v>16580</v>
      </c>
      <c r="B7734" s="2" t="str">
        <f>"61884"</f>
        <v>61884</v>
      </c>
      <c r="C7734" s="1">
        <v>4.5303392616948103E-3</v>
      </c>
      <c r="D7734" s="1">
        <v>7.9844872818523997E-4</v>
      </c>
      <c r="E7734" s="1">
        <v>5.2002080083203301E-4</v>
      </c>
      <c r="F7734" s="1">
        <v>4.0157065943407597E-3</v>
      </c>
    </row>
    <row r="7735" spans="1:6" x14ac:dyDescent="0.25">
      <c r="A7735" s="2" t="str">
        <f t="shared" si="293"/>
        <v>16580</v>
      </c>
      <c r="B7735" s="2" t="str">
        <f>"61880"</f>
        <v>61880</v>
      </c>
      <c r="C7735" s="1">
        <v>1.68696756837542E-2</v>
      </c>
      <c r="D7735" s="1">
        <v>6.3875898254819197E-3</v>
      </c>
      <c r="E7735" s="1">
        <v>4.4201768070722802E-3</v>
      </c>
      <c r="F7735" s="1">
        <v>1.53503623041735E-2</v>
      </c>
    </row>
    <row r="7736" spans="1:6" x14ac:dyDescent="0.25">
      <c r="A7736" s="2" t="str">
        <f t="shared" si="293"/>
        <v>16580</v>
      </c>
      <c r="B7736" s="2" t="str">
        <f>"61830"</f>
        <v>61830</v>
      </c>
      <c r="C7736" s="1">
        <v>1.7747720819010599E-3</v>
      </c>
      <c r="D7736" s="1">
        <v>9.1251283221170198E-4</v>
      </c>
      <c r="E7736" s="1">
        <v>0</v>
      </c>
      <c r="F7736" s="1">
        <v>1.6030441646763499E-3</v>
      </c>
    </row>
    <row r="7737" spans="1:6" x14ac:dyDescent="0.25">
      <c r="A7737" s="2" t="str">
        <f t="shared" si="293"/>
        <v>16580</v>
      </c>
      <c r="B7737" s="2" t="str">
        <f>"61822"</f>
        <v>61822</v>
      </c>
      <c r="C7737" s="1">
        <v>0.10742041548348499</v>
      </c>
      <c r="D7737" s="1">
        <v>0.10607961674461</v>
      </c>
      <c r="E7737" s="1">
        <v>7.6183047321892794E-2</v>
      </c>
      <c r="F7737" s="1">
        <v>0.105379913370845</v>
      </c>
    </row>
    <row r="7738" spans="1:6" x14ac:dyDescent="0.25">
      <c r="A7738" s="2" t="str">
        <f t="shared" si="293"/>
        <v>16580</v>
      </c>
      <c r="B7738" s="2" t="str">
        <f>"61818"</f>
        <v>61818</v>
      </c>
      <c r="C7738" s="1">
        <v>5.2495890001494497E-3</v>
      </c>
      <c r="D7738" s="1">
        <v>1.25470514429109E-3</v>
      </c>
      <c r="E7738" s="1">
        <v>1.3000520020800799E-3</v>
      </c>
      <c r="F7738" s="1">
        <v>4.7200744848803697E-3</v>
      </c>
    </row>
    <row r="7739" spans="1:6" x14ac:dyDescent="0.25">
      <c r="A7739" s="2" t="str">
        <f t="shared" si="293"/>
        <v>16580</v>
      </c>
      <c r="B7739" s="2" t="str">
        <f>"61953"</f>
        <v>61953</v>
      </c>
      <c r="C7739" s="1">
        <v>1.8681811388432201E-5</v>
      </c>
      <c r="D7739" s="1">
        <v>0</v>
      </c>
      <c r="E7739" s="1">
        <v>0</v>
      </c>
      <c r="F7739" s="1">
        <v>1.61923652997611E-5</v>
      </c>
    </row>
    <row r="7740" spans="1:6" x14ac:dyDescent="0.25">
      <c r="A7740" s="2" t="str">
        <f t="shared" si="293"/>
        <v>16580</v>
      </c>
      <c r="B7740" s="2" t="str">
        <f>"61859"</f>
        <v>61859</v>
      </c>
      <c r="C7740" s="1">
        <v>4.7918846211328602E-3</v>
      </c>
      <c r="D7740" s="1">
        <v>3.8781795368997298E-3</v>
      </c>
      <c r="E7740" s="1">
        <v>0</v>
      </c>
      <c r="F7740" s="1">
        <v>4.4286119094846697E-3</v>
      </c>
    </row>
    <row r="7741" spans="1:6" x14ac:dyDescent="0.25">
      <c r="A7741" s="2" t="str">
        <f t="shared" si="293"/>
        <v>16580</v>
      </c>
      <c r="B7741" s="2" t="str">
        <f>"61856"</f>
        <v>61856</v>
      </c>
      <c r="C7741" s="1">
        <v>3.3225601554326703E-2</v>
      </c>
      <c r="D7741" s="1">
        <v>4.0264628721341303E-2</v>
      </c>
      <c r="E7741" s="1">
        <v>1.53406136245449E-2</v>
      </c>
      <c r="F7741" s="1">
        <v>3.2611423713718897E-2</v>
      </c>
    </row>
    <row r="7742" spans="1:6" x14ac:dyDescent="0.25">
      <c r="A7742" s="2" t="str">
        <f t="shared" si="293"/>
        <v>16580</v>
      </c>
      <c r="B7742" s="2" t="str">
        <f>"61929"</f>
        <v>61929</v>
      </c>
      <c r="C7742" s="1">
        <v>3.28799880436407E-3</v>
      </c>
      <c r="D7742" s="1">
        <v>7.9844872818523997E-4</v>
      </c>
      <c r="E7742" s="1">
        <v>2.2100884035361401E-3</v>
      </c>
      <c r="F7742" s="1">
        <v>3.0441646763550898E-3</v>
      </c>
    </row>
    <row r="7743" spans="1:6" x14ac:dyDescent="0.25">
      <c r="A7743" s="2" t="str">
        <f t="shared" si="293"/>
        <v>16580</v>
      </c>
      <c r="B7743" s="2" t="str">
        <f>"61821"</f>
        <v>61821</v>
      </c>
      <c r="C7743" s="1">
        <v>0.12980122552682699</v>
      </c>
      <c r="D7743" s="1">
        <v>8.0073001026576898E-2</v>
      </c>
      <c r="E7743" s="1">
        <v>0.13572542901716</v>
      </c>
      <c r="F7743" s="1">
        <v>0.12664048900943201</v>
      </c>
    </row>
    <row r="7744" spans="1:6" x14ac:dyDescent="0.25">
      <c r="A7744" s="2" t="str">
        <f t="shared" si="293"/>
        <v>16580</v>
      </c>
      <c r="B7744" s="2" t="str">
        <f>"61801"</f>
        <v>61801</v>
      </c>
      <c r="C7744" s="1">
        <v>0.11692945748019699</v>
      </c>
      <c r="D7744" s="1">
        <v>9.8665449982890299E-2</v>
      </c>
      <c r="E7744" s="1">
        <v>0.21372854914196501</v>
      </c>
      <c r="F7744" s="1">
        <v>0.121661336679755</v>
      </c>
    </row>
    <row r="7745" spans="1:6" x14ac:dyDescent="0.25">
      <c r="A7745" s="2" t="str">
        <f t="shared" si="293"/>
        <v>16580</v>
      </c>
      <c r="B7745" s="2" t="str">
        <f>"61840"</f>
        <v>61840</v>
      </c>
      <c r="C7745" s="1">
        <v>2.8116126139590401E-3</v>
      </c>
      <c r="D7745" s="1">
        <v>1.4828333523440099E-3</v>
      </c>
      <c r="E7745" s="1">
        <v>0</v>
      </c>
      <c r="F7745" s="1">
        <v>2.5422013520624998E-3</v>
      </c>
    </row>
    <row r="7746" spans="1:6" x14ac:dyDescent="0.25">
      <c r="A7746" s="2" t="str">
        <f t="shared" si="293"/>
        <v>16580</v>
      </c>
      <c r="B7746" s="2" t="str">
        <f>"61882"</f>
        <v>61882</v>
      </c>
      <c r="C7746" s="1">
        <v>9.3409056942161106E-6</v>
      </c>
      <c r="D7746" s="1">
        <v>0</v>
      </c>
      <c r="E7746" s="1">
        <v>0</v>
      </c>
      <c r="F7746" s="1">
        <v>8.0961826498805803E-6</v>
      </c>
    </row>
    <row r="7747" spans="1:6" x14ac:dyDescent="0.25">
      <c r="A7747" s="2" t="str">
        <f t="shared" si="293"/>
        <v>16580</v>
      </c>
      <c r="B7747" s="2" t="str">
        <f>"61913"</f>
        <v>61913</v>
      </c>
      <c r="C7747" s="1">
        <v>3.0544761620086599E-3</v>
      </c>
      <c r="D7747" s="1">
        <v>5.7032052013231398E-4</v>
      </c>
      <c r="E7747" s="1">
        <v>6.5002600104004105E-4</v>
      </c>
      <c r="F7747" s="1">
        <v>2.7284135530097498E-3</v>
      </c>
    </row>
    <row r="7748" spans="1:6" x14ac:dyDescent="0.25">
      <c r="A7748" s="2" t="str">
        <f t="shared" si="293"/>
        <v>16580</v>
      </c>
      <c r="B7748" s="2" t="str">
        <f>"61866"</f>
        <v>61866</v>
      </c>
      <c r="C7748" s="1">
        <v>6.5050067254520894E-2</v>
      </c>
      <c r="D7748" s="1">
        <v>6.4218090566898506E-2</v>
      </c>
      <c r="E7748" s="1">
        <v>4.6411856474258897E-2</v>
      </c>
      <c r="F7748" s="1">
        <v>6.3830304011658498E-2</v>
      </c>
    </row>
    <row r="7749" spans="1:6" x14ac:dyDescent="0.25">
      <c r="A7749" s="2" t="str">
        <f t="shared" si="293"/>
        <v>16580</v>
      </c>
      <c r="B7749" s="2" t="str">
        <f>"61824"</f>
        <v>61824</v>
      </c>
      <c r="C7749" s="1">
        <v>8.2386788222986104E-3</v>
      </c>
      <c r="D7749" s="1">
        <v>2.8287897798562701E-2</v>
      </c>
      <c r="E7749" s="1">
        <v>2.6001040041601602E-4</v>
      </c>
      <c r="F7749" s="1">
        <v>9.1648787596648098E-3</v>
      </c>
    </row>
    <row r="7750" spans="1:6" x14ac:dyDescent="0.25">
      <c r="A7750" s="2" t="str">
        <f t="shared" si="293"/>
        <v>16580</v>
      </c>
      <c r="B7750" s="2" t="str">
        <f>"61820"</f>
        <v>61820</v>
      </c>
      <c r="C7750" s="1">
        <v>0.16999514272903901</v>
      </c>
      <c r="D7750" s="1">
        <v>0.28550245237823602</v>
      </c>
      <c r="E7750" s="1">
        <v>0.31695267810712402</v>
      </c>
      <c r="F7750" s="1">
        <v>0.187345666518236</v>
      </c>
    </row>
    <row r="7751" spans="1:6" x14ac:dyDescent="0.25">
      <c r="A7751" s="2" t="str">
        <f t="shared" si="293"/>
        <v>16580</v>
      </c>
      <c r="B7751" s="2" t="str">
        <f>"61810"</f>
        <v>61810</v>
      </c>
      <c r="C7751" s="1">
        <v>9.3409056942161096E-5</v>
      </c>
      <c r="D7751" s="1">
        <v>0</v>
      </c>
      <c r="E7751" s="1">
        <v>0</v>
      </c>
      <c r="F7751" s="1">
        <v>8.0961826498805796E-5</v>
      </c>
    </row>
    <row r="7752" spans="1:6" x14ac:dyDescent="0.25">
      <c r="A7752" s="2" t="str">
        <f t="shared" si="293"/>
        <v>16580</v>
      </c>
      <c r="B7752" s="2" t="str">
        <f>"61803"</f>
        <v>61803</v>
      </c>
      <c r="C7752" s="1">
        <v>4.3341802421162697E-3</v>
      </c>
      <c r="D7752" s="1">
        <v>1.96190258925516E-2</v>
      </c>
      <c r="E7752" s="1">
        <v>2.6001040041601602E-4</v>
      </c>
      <c r="F7752" s="1">
        <v>5.1653645306238101E-3</v>
      </c>
    </row>
    <row r="7753" spans="1:6" x14ac:dyDescent="0.25">
      <c r="A7753" s="2" t="str">
        <f t="shared" si="293"/>
        <v>16580</v>
      </c>
      <c r="B7753" s="2" t="str">
        <f>"61956"</f>
        <v>61956</v>
      </c>
      <c r="C7753" s="1">
        <v>3.1759079360334702E-4</v>
      </c>
      <c r="D7753" s="1">
        <v>1.14064104026462E-4</v>
      </c>
      <c r="E7753" s="1">
        <v>1.3000520020800801E-4</v>
      </c>
      <c r="F7753" s="1">
        <v>2.9146257539569998E-4</v>
      </c>
    </row>
    <row r="7754" spans="1:6" x14ac:dyDescent="0.25">
      <c r="A7754" s="2" t="str">
        <f t="shared" si="293"/>
        <v>16580</v>
      </c>
      <c r="B7754" s="2" t="str">
        <f>"61853"</f>
        <v>61853</v>
      </c>
      <c r="C7754" s="1">
        <v>5.5158048124346097E-2</v>
      </c>
      <c r="D7754" s="1">
        <v>3.1823885023383097E-2</v>
      </c>
      <c r="E7754" s="1">
        <v>2.1840873634945301E-2</v>
      </c>
      <c r="F7754" s="1">
        <v>5.1426952192041402E-2</v>
      </c>
    </row>
    <row r="7755" spans="1:6" x14ac:dyDescent="0.25">
      <c r="A7755" s="2" t="str">
        <f t="shared" si="293"/>
        <v>16580</v>
      </c>
      <c r="B7755" s="2" t="str">
        <f>"60949"</f>
        <v>60949</v>
      </c>
      <c r="C7755" s="1">
        <v>2.8769989538185601E-3</v>
      </c>
      <c r="D7755" s="1">
        <v>6.8438462415877698E-4</v>
      </c>
      <c r="E7755" s="1">
        <v>1.0400416016640599E-3</v>
      </c>
      <c r="F7755" s="1">
        <v>2.6069708132615398E-3</v>
      </c>
    </row>
    <row r="7756" spans="1:6" x14ac:dyDescent="0.25">
      <c r="A7756" s="2" t="str">
        <f t="shared" si="293"/>
        <v>16580</v>
      </c>
      <c r="B7756" s="2" t="str">
        <f>"61854"</f>
        <v>61854</v>
      </c>
      <c r="C7756" s="1">
        <v>6.3237931549843E-3</v>
      </c>
      <c r="D7756" s="1">
        <v>3.42192312079388E-3</v>
      </c>
      <c r="E7756" s="1">
        <v>1.6900676027040999E-3</v>
      </c>
      <c r="F7756" s="1">
        <v>5.82925150791401E-3</v>
      </c>
    </row>
    <row r="7757" spans="1:6" x14ac:dyDescent="0.25">
      <c r="A7757" s="2" t="str">
        <f t="shared" si="293"/>
        <v>16580</v>
      </c>
      <c r="B7757" s="2" t="str">
        <f>"61852"</f>
        <v>61852</v>
      </c>
      <c r="C7757" s="1">
        <v>9.43431475115827E-4</v>
      </c>
      <c r="D7757" s="1">
        <v>2.2812820805292501E-4</v>
      </c>
      <c r="E7757" s="1">
        <v>0</v>
      </c>
      <c r="F7757" s="1">
        <v>8.3390681293769896E-4</v>
      </c>
    </row>
    <row r="7758" spans="1:6" x14ac:dyDescent="0.25">
      <c r="A7758" s="2" t="str">
        <f t="shared" si="293"/>
        <v>16580</v>
      </c>
      <c r="B7758" s="2" t="str">
        <f>"61839"</f>
        <v>61839</v>
      </c>
      <c r="C7758" s="1">
        <v>2.9610671050665002E-3</v>
      </c>
      <c r="D7758" s="1">
        <v>6.8438462415877698E-4</v>
      </c>
      <c r="E7758" s="1">
        <v>9.1003640145605798E-4</v>
      </c>
      <c r="F7758" s="1">
        <v>2.6717402744605898E-3</v>
      </c>
    </row>
    <row r="7759" spans="1:6" x14ac:dyDescent="0.25">
      <c r="A7759" s="2" t="str">
        <f t="shared" ref="A7759:A7779" si="294">"16580"</f>
        <v>16580</v>
      </c>
      <c r="B7759" s="2" t="str">
        <f>"61874"</f>
        <v>61874</v>
      </c>
      <c r="C7759" s="1">
        <v>4.23423255118816E-2</v>
      </c>
      <c r="D7759" s="1">
        <v>3.7983346640812099E-2</v>
      </c>
      <c r="E7759" s="1">
        <v>3.5751430057202202E-2</v>
      </c>
      <c r="F7759" s="1">
        <v>4.1622475003036001E-2</v>
      </c>
    </row>
    <row r="7760" spans="1:6" x14ac:dyDescent="0.25">
      <c r="A7760" s="2" t="str">
        <f t="shared" si="294"/>
        <v>16580</v>
      </c>
      <c r="B7760" s="2" t="str">
        <f>"61825"</f>
        <v>61825</v>
      </c>
      <c r="C7760" s="1">
        <v>7.4540427439844497E-3</v>
      </c>
      <c r="D7760" s="1">
        <v>1.2889243754990299E-2</v>
      </c>
      <c r="E7760" s="1">
        <v>2.6001040041601602E-4</v>
      </c>
      <c r="F7760" s="1">
        <v>7.3918147593409703E-3</v>
      </c>
    </row>
    <row r="7761" spans="1:6" x14ac:dyDescent="0.25">
      <c r="A7761" s="2" t="str">
        <f t="shared" si="294"/>
        <v>16580</v>
      </c>
      <c r="B7761" s="2" t="str">
        <f>"60936"</f>
        <v>60936</v>
      </c>
      <c r="C7761" s="1">
        <v>2.80227170826483E-5</v>
      </c>
      <c r="D7761" s="1">
        <v>0</v>
      </c>
      <c r="E7761" s="1">
        <v>0</v>
      </c>
      <c r="F7761" s="1">
        <v>2.42885479496417E-5</v>
      </c>
    </row>
    <row r="7762" spans="1:6" x14ac:dyDescent="0.25">
      <c r="A7762" s="2" t="str">
        <f t="shared" si="294"/>
        <v>16580</v>
      </c>
      <c r="B7762" s="2" t="str">
        <f>"60957"</f>
        <v>60957</v>
      </c>
      <c r="C7762" s="1">
        <v>3.73636227768644E-4</v>
      </c>
      <c r="D7762" s="1">
        <v>0</v>
      </c>
      <c r="E7762" s="1">
        <v>0</v>
      </c>
      <c r="F7762" s="1">
        <v>3.2384730599522302E-4</v>
      </c>
    </row>
    <row r="7763" spans="1:6" x14ac:dyDescent="0.25">
      <c r="A7763" s="2" t="str">
        <f t="shared" si="294"/>
        <v>16580</v>
      </c>
      <c r="B7763" s="2" t="str">
        <f>"61816"</f>
        <v>61816</v>
      </c>
      <c r="C7763" s="1">
        <v>2.0456583470333202E-3</v>
      </c>
      <c r="D7763" s="1">
        <v>1.25470514429109E-3</v>
      </c>
      <c r="E7763" s="1">
        <v>0</v>
      </c>
      <c r="F7763" s="1">
        <v>1.8621220094725301E-3</v>
      </c>
    </row>
    <row r="7764" spans="1:6" x14ac:dyDescent="0.25">
      <c r="A7764" s="2" t="str">
        <f t="shared" si="294"/>
        <v>16580</v>
      </c>
      <c r="B7764" s="2" t="str">
        <f>"61845"</f>
        <v>61845</v>
      </c>
      <c r="C7764" s="1">
        <v>1.4945449110745699E-3</v>
      </c>
      <c r="D7764" s="1">
        <v>3.42192312079388E-4</v>
      </c>
      <c r="E7764" s="1">
        <v>1.3000520020800801E-4</v>
      </c>
      <c r="F7764" s="1">
        <v>1.3277739545804099E-3</v>
      </c>
    </row>
    <row r="7765" spans="1:6" x14ac:dyDescent="0.25">
      <c r="A7765" s="2" t="str">
        <f t="shared" si="294"/>
        <v>16580</v>
      </c>
      <c r="B7765" s="2" t="str">
        <f>"61864"</f>
        <v>61864</v>
      </c>
      <c r="C7765" s="1">
        <v>6.4452249290091104E-3</v>
      </c>
      <c r="D7765" s="1">
        <v>3.3078590167674202E-3</v>
      </c>
      <c r="E7765" s="1">
        <v>1.8200728029121099E-3</v>
      </c>
      <c r="F7765" s="1">
        <v>5.93450188236246E-3</v>
      </c>
    </row>
    <row r="7766" spans="1:6" x14ac:dyDescent="0.25">
      <c r="A7766" s="2" t="str">
        <f t="shared" si="294"/>
        <v>16580</v>
      </c>
      <c r="B7766" s="2" t="str">
        <f>"61855"</f>
        <v>61855</v>
      </c>
      <c r="C7766" s="1">
        <v>4.9506800179345296E-4</v>
      </c>
      <c r="D7766" s="1">
        <v>2.2812820805292501E-4</v>
      </c>
      <c r="E7766" s="1">
        <v>0</v>
      </c>
      <c r="F7766" s="1">
        <v>4.45290045743431E-4</v>
      </c>
    </row>
    <row r="7767" spans="1:6" x14ac:dyDescent="0.25">
      <c r="A7767" s="2" t="str">
        <f t="shared" si="294"/>
        <v>16580</v>
      </c>
      <c r="B7767" s="2" t="str">
        <f>"61873"</f>
        <v>61873</v>
      </c>
      <c r="C7767" s="1">
        <v>2.20912419668211E-2</v>
      </c>
      <c r="D7767" s="1">
        <v>4.4485000570320503E-3</v>
      </c>
      <c r="E7767" s="1">
        <v>1.4300572022880899E-3</v>
      </c>
      <c r="F7767" s="1">
        <v>1.95522810994616E-2</v>
      </c>
    </row>
    <row r="7768" spans="1:6" x14ac:dyDescent="0.25">
      <c r="A7768" s="2" t="str">
        <f t="shared" si="294"/>
        <v>16580</v>
      </c>
      <c r="B7768" s="2" t="str">
        <f>"61851"</f>
        <v>61851</v>
      </c>
      <c r="C7768" s="1">
        <v>1.2610222687191701E-3</v>
      </c>
      <c r="D7768" s="1">
        <v>6.8438462415877698E-4</v>
      </c>
      <c r="E7768" s="1">
        <v>0</v>
      </c>
      <c r="F7768" s="1">
        <v>1.1415617536331599E-3</v>
      </c>
    </row>
    <row r="7769" spans="1:6" x14ac:dyDescent="0.25">
      <c r="A7769" s="2" t="str">
        <f t="shared" si="294"/>
        <v>16580</v>
      </c>
      <c r="B7769" s="2" t="str">
        <f>"61871"</f>
        <v>61871</v>
      </c>
      <c r="C7769" s="1">
        <v>1.4384994769092801E-3</v>
      </c>
      <c r="D7769" s="1">
        <v>0</v>
      </c>
      <c r="E7769" s="1">
        <v>1.0400416016640599E-3</v>
      </c>
      <c r="F7769" s="1">
        <v>1.3115815892806499E-3</v>
      </c>
    </row>
    <row r="7770" spans="1:6" x14ac:dyDescent="0.25">
      <c r="A7770" s="2" t="str">
        <f t="shared" si="294"/>
        <v>16580</v>
      </c>
      <c r="B7770" s="2" t="str">
        <f>"61872"</f>
        <v>61872</v>
      </c>
      <c r="C7770" s="1">
        <v>2.9704080107607199E-3</v>
      </c>
      <c r="D7770" s="1">
        <v>1.0265769362381601E-3</v>
      </c>
      <c r="E7770" s="1">
        <v>1.3000520020800801E-4</v>
      </c>
      <c r="F7770" s="1">
        <v>2.6555479091608298E-3</v>
      </c>
    </row>
    <row r="7771" spans="1:6" x14ac:dyDescent="0.25">
      <c r="A7771" s="2" t="str">
        <f t="shared" si="294"/>
        <v>16580</v>
      </c>
      <c r="B7771" s="2" t="str">
        <f>"61815"</f>
        <v>61815</v>
      </c>
      <c r="C7771" s="1">
        <v>1.3544313256613301E-3</v>
      </c>
      <c r="D7771" s="1">
        <v>6.8438462415877698E-4</v>
      </c>
      <c r="E7771" s="1">
        <v>5.2002080083203301E-4</v>
      </c>
      <c r="F7771" s="1">
        <v>1.2549083107314899E-3</v>
      </c>
    </row>
    <row r="7772" spans="1:6" x14ac:dyDescent="0.25">
      <c r="A7772" s="2" t="str">
        <f t="shared" si="294"/>
        <v>16580</v>
      </c>
      <c r="B7772" s="2" t="str">
        <f>"61863"</f>
        <v>61863</v>
      </c>
      <c r="C7772" s="1">
        <v>3.4374532954715201E-3</v>
      </c>
      <c r="D7772" s="1">
        <v>7.9844872818523997E-4</v>
      </c>
      <c r="E7772" s="1">
        <v>0</v>
      </c>
      <c r="F7772" s="1">
        <v>3.0360684937052098E-3</v>
      </c>
    </row>
    <row r="7773" spans="1:6" x14ac:dyDescent="0.25">
      <c r="A7773" s="2" t="str">
        <f t="shared" si="294"/>
        <v>16580</v>
      </c>
      <c r="B7773" s="2" t="str">
        <f>"61847"</f>
        <v>61847</v>
      </c>
      <c r="C7773" s="1">
        <v>5.2122253773725898E-3</v>
      </c>
      <c r="D7773" s="1">
        <v>3.9922436409261996E-3</v>
      </c>
      <c r="E7773" s="1">
        <v>1.0400416016640599E-3</v>
      </c>
      <c r="F7773" s="1">
        <v>4.8658057725782201E-3</v>
      </c>
    </row>
    <row r="7774" spans="1:6" x14ac:dyDescent="0.25">
      <c r="A7774" s="2" t="str">
        <f t="shared" si="294"/>
        <v>16580</v>
      </c>
      <c r="B7774" s="2" t="str">
        <f>"61843"</f>
        <v>61843</v>
      </c>
      <c r="C7774" s="1">
        <v>9.0606785233896207E-3</v>
      </c>
      <c r="D7774" s="1">
        <v>4.9047564731379001E-3</v>
      </c>
      <c r="E7774" s="1">
        <v>4.03016120644825E-3</v>
      </c>
      <c r="F7774" s="1">
        <v>8.4524146864753194E-3</v>
      </c>
    </row>
    <row r="7775" spans="1:6" x14ac:dyDescent="0.25">
      <c r="A7775" s="2" t="str">
        <f t="shared" si="294"/>
        <v>16580</v>
      </c>
      <c r="B7775" s="2" t="str">
        <f>"61878"</f>
        <v>61878</v>
      </c>
      <c r="C7775" s="1">
        <v>6.3985204005380302E-3</v>
      </c>
      <c r="D7775" s="1">
        <v>2.8516026006615699E-3</v>
      </c>
      <c r="E7775" s="1">
        <v>4.5501820072802899E-3</v>
      </c>
      <c r="F7775" s="1">
        <v>6.0316560741610296E-3</v>
      </c>
    </row>
    <row r="7776" spans="1:6" x14ac:dyDescent="0.25">
      <c r="A7776" s="2" t="str">
        <f t="shared" si="294"/>
        <v>16580</v>
      </c>
      <c r="B7776" s="2" t="str">
        <f>"61877"</f>
        <v>61877</v>
      </c>
      <c r="C7776" s="1">
        <v>6.6600657599760801E-3</v>
      </c>
      <c r="D7776" s="1">
        <v>5.0188205771643599E-3</v>
      </c>
      <c r="E7776" s="1">
        <v>1.6900676027040999E-3</v>
      </c>
      <c r="F7776" s="1">
        <v>6.2340606404080396E-3</v>
      </c>
    </row>
    <row r="7777" spans="1:6" x14ac:dyDescent="0.25">
      <c r="A7777" s="2" t="str">
        <f t="shared" si="294"/>
        <v>16580</v>
      </c>
      <c r="B7777" s="2" t="str">
        <f>"61875"</f>
        <v>61875</v>
      </c>
      <c r="C7777" s="1">
        <v>3.03579435062023E-3</v>
      </c>
      <c r="D7777" s="1">
        <v>1.25470514429109E-3</v>
      </c>
      <c r="E7777" s="1">
        <v>2.3400936037441399E-3</v>
      </c>
      <c r="F7777" s="1">
        <v>2.8660486580577198E-3</v>
      </c>
    </row>
    <row r="7778" spans="1:6" x14ac:dyDescent="0.25">
      <c r="A7778" s="2" t="str">
        <f t="shared" si="294"/>
        <v>16580</v>
      </c>
      <c r="B7778" s="2" t="str">
        <f>"61826"</f>
        <v>61826</v>
      </c>
      <c r="C7778" s="1">
        <v>1.8644447765655301E-2</v>
      </c>
      <c r="D7778" s="1">
        <v>5.4750769932702101E-2</v>
      </c>
      <c r="E7778" s="1">
        <v>2.6001040041601602E-4</v>
      </c>
      <c r="F7778" s="1">
        <v>2.0062340606404001E-2</v>
      </c>
    </row>
    <row r="7779" spans="1:6" x14ac:dyDescent="0.25">
      <c r="A7779" s="2" t="str">
        <f t="shared" si="294"/>
        <v>16580</v>
      </c>
      <c r="B7779" s="2" t="str">
        <f>"60960"</f>
        <v>60960</v>
      </c>
      <c r="C7779" s="1">
        <v>5.6045434165296599E-5</v>
      </c>
      <c r="D7779" s="1">
        <v>0</v>
      </c>
      <c r="E7779" s="1">
        <v>0</v>
      </c>
      <c r="F7779" s="1">
        <v>4.85770958992834E-5</v>
      </c>
    </row>
    <row r="7780" spans="1:6" x14ac:dyDescent="0.25">
      <c r="A7780" s="2" t="str">
        <f t="shared" ref="A7780:A7797" si="295">"16460"</f>
        <v>16460</v>
      </c>
      <c r="B7780" s="2" t="str">
        <f>"62807"</f>
        <v>62807</v>
      </c>
      <c r="C7780" s="1">
        <v>2.15331610680447E-2</v>
      </c>
      <c r="D7780" s="1">
        <v>2.9970029970029901E-3</v>
      </c>
      <c r="E7780" s="1">
        <v>7.8534031413612492E-3</v>
      </c>
      <c r="F7780" s="1">
        <v>1.9714801133923199E-2</v>
      </c>
    </row>
    <row r="7781" spans="1:6" x14ac:dyDescent="0.25">
      <c r="A7781" s="2" t="str">
        <f t="shared" si="295"/>
        <v>16460</v>
      </c>
      <c r="B7781" s="2" t="str">
        <f>"62870"</f>
        <v>62870</v>
      </c>
      <c r="C7781" s="1">
        <v>4.82342807924203E-2</v>
      </c>
      <c r="D7781" s="1">
        <v>2.44755244755244E-2</v>
      </c>
      <c r="E7781" s="1">
        <v>2.87958115183246E-2</v>
      </c>
      <c r="F7781" s="1">
        <v>4.5872347736448701E-2</v>
      </c>
    </row>
    <row r="7782" spans="1:6" x14ac:dyDescent="0.25">
      <c r="A7782" s="2" t="str">
        <f t="shared" si="295"/>
        <v>16460</v>
      </c>
      <c r="B7782" s="2" t="str">
        <f>"62892"</f>
        <v>62892</v>
      </c>
      <c r="C7782" s="1">
        <v>9.9052540913005995E-3</v>
      </c>
      <c r="D7782" s="1">
        <v>7.9920079920079903E-3</v>
      </c>
      <c r="E7782" s="1">
        <v>2.6178010471204099E-3</v>
      </c>
      <c r="F7782" s="1">
        <v>9.6211665664461803E-3</v>
      </c>
    </row>
    <row r="7783" spans="1:6" x14ac:dyDescent="0.25">
      <c r="A7783" s="2" t="str">
        <f t="shared" si="295"/>
        <v>16460</v>
      </c>
      <c r="B7783" s="2" t="str">
        <f>"62851"</f>
        <v>62851</v>
      </c>
      <c r="C7783" s="1">
        <v>1.4355440712029801E-4</v>
      </c>
      <c r="D7783" s="1">
        <v>0</v>
      </c>
      <c r="E7783" s="1">
        <v>0</v>
      </c>
      <c r="F7783" s="1">
        <v>1.2885490937204701E-4</v>
      </c>
    </row>
    <row r="7784" spans="1:6" x14ac:dyDescent="0.25">
      <c r="A7784" s="2" t="str">
        <f t="shared" si="295"/>
        <v>16460</v>
      </c>
      <c r="B7784" s="2" t="str">
        <f>"62853"</f>
        <v>62853</v>
      </c>
      <c r="C7784" s="1">
        <v>2.0384725811082399E-2</v>
      </c>
      <c r="D7784" s="1">
        <v>4.4955044955044899E-3</v>
      </c>
      <c r="E7784" s="1">
        <v>2.6178010471204099E-3</v>
      </c>
      <c r="F7784" s="1">
        <v>1.8726913495404101E-2</v>
      </c>
    </row>
    <row r="7785" spans="1:6" x14ac:dyDescent="0.25">
      <c r="A7785" s="2" t="str">
        <f t="shared" si="295"/>
        <v>16460</v>
      </c>
      <c r="B7785" s="2" t="str">
        <f>"62881"</f>
        <v>62881</v>
      </c>
      <c r="C7785" s="1">
        <v>0.25782371518805602</v>
      </c>
      <c r="D7785" s="1">
        <v>0.32367632367632299</v>
      </c>
      <c r="E7785" s="1">
        <v>0.222513089005235</v>
      </c>
      <c r="F7785" s="1">
        <v>0.26290696675543301</v>
      </c>
    </row>
    <row r="7786" spans="1:6" x14ac:dyDescent="0.25">
      <c r="A7786" s="2" t="str">
        <f t="shared" si="295"/>
        <v>16460</v>
      </c>
      <c r="B7786" s="2" t="str">
        <f>"62854"</f>
        <v>62854</v>
      </c>
      <c r="C7786" s="1">
        <v>4.1535075126806299E-2</v>
      </c>
      <c r="D7786" s="1">
        <v>1.79820179820179E-2</v>
      </c>
      <c r="E7786" s="1">
        <v>4.97382198952879E-2</v>
      </c>
      <c r="F7786" s="1">
        <v>3.9644360450133101E-2</v>
      </c>
    </row>
    <row r="7787" spans="1:6" x14ac:dyDescent="0.25">
      <c r="A7787" s="2" t="str">
        <f t="shared" si="295"/>
        <v>16460</v>
      </c>
      <c r="B7787" s="2" t="str">
        <f>"62849"</f>
        <v>62849</v>
      </c>
      <c r="C7787" s="1">
        <v>4.7851469040099501E-2</v>
      </c>
      <c r="D7787" s="1">
        <v>1.04895104895104E-2</v>
      </c>
      <c r="E7787" s="1">
        <v>1.04712041884816E-2</v>
      </c>
      <c r="F7787" s="1">
        <v>4.4025427368782698E-2</v>
      </c>
    </row>
    <row r="7788" spans="1:6" x14ac:dyDescent="0.25">
      <c r="A7788" s="2" t="str">
        <f t="shared" si="295"/>
        <v>16460</v>
      </c>
      <c r="B7788" s="2" t="str">
        <f>"62885"</f>
        <v>62885</v>
      </c>
      <c r="C7788" s="1">
        <v>1.4355440712029801E-4</v>
      </c>
      <c r="D7788" s="1">
        <v>0</v>
      </c>
      <c r="E7788" s="1">
        <v>0</v>
      </c>
      <c r="F7788" s="1">
        <v>1.2885490937204701E-4</v>
      </c>
    </row>
    <row r="7789" spans="1:6" x14ac:dyDescent="0.25">
      <c r="A7789" s="2" t="str">
        <f t="shared" si="295"/>
        <v>16460</v>
      </c>
      <c r="B7789" s="2" t="str">
        <f>"62830"</f>
        <v>62830</v>
      </c>
      <c r="C7789" s="1">
        <v>1.05273231888218E-3</v>
      </c>
      <c r="D7789" s="1">
        <v>0</v>
      </c>
      <c r="E7789" s="1">
        <v>0</v>
      </c>
      <c r="F7789" s="1">
        <v>9.4493600206167804E-4</v>
      </c>
    </row>
    <row r="7790" spans="1:6" x14ac:dyDescent="0.25">
      <c r="A7790" s="2" t="str">
        <f t="shared" si="295"/>
        <v>16460</v>
      </c>
      <c r="B7790" s="2" t="str">
        <f>"62899"</f>
        <v>62899</v>
      </c>
      <c r="C7790" s="1">
        <v>2.8710881424059699E-4</v>
      </c>
      <c r="D7790" s="1">
        <v>0</v>
      </c>
      <c r="E7790" s="1">
        <v>0</v>
      </c>
      <c r="F7790" s="1">
        <v>2.5770981874409402E-4</v>
      </c>
    </row>
    <row r="7791" spans="1:6" x14ac:dyDescent="0.25">
      <c r="A7791" s="2" t="str">
        <f t="shared" si="295"/>
        <v>16460</v>
      </c>
      <c r="B7791" s="2" t="str">
        <f>"62875"</f>
        <v>62875</v>
      </c>
      <c r="C7791" s="1">
        <v>2.4117140396210102E-2</v>
      </c>
      <c r="D7791" s="1">
        <v>1.04895104895104E-2</v>
      </c>
      <c r="E7791" s="1">
        <v>1.3089005235602E-2</v>
      </c>
      <c r="F7791" s="1">
        <v>2.27643673223949E-2</v>
      </c>
    </row>
    <row r="7792" spans="1:6" x14ac:dyDescent="0.25">
      <c r="A7792" s="2" t="str">
        <f t="shared" si="295"/>
        <v>16460</v>
      </c>
      <c r="B7792" s="2" t="str">
        <f>"62882"</f>
        <v>62882</v>
      </c>
      <c r="C7792" s="1">
        <v>4.7229399942578201E-2</v>
      </c>
      <c r="D7792" s="1">
        <v>1.6983016983016901E-2</v>
      </c>
      <c r="E7792" s="1">
        <v>2.3560209424083701E-2</v>
      </c>
      <c r="F7792" s="1">
        <v>4.42401855510694E-2</v>
      </c>
    </row>
    <row r="7793" spans="1:6" x14ac:dyDescent="0.25">
      <c r="A7793" s="2" t="str">
        <f t="shared" si="295"/>
        <v>16460</v>
      </c>
      <c r="B7793" s="2" t="str">
        <f>"62250"</f>
        <v>62250</v>
      </c>
      <c r="C7793" s="1">
        <v>3.63671164704756E-3</v>
      </c>
      <c r="D7793" s="1">
        <v>1.9980019980019902E-3</v>
      </c>
      <c r="E7793" s="1">
        <v>1.3089005235602E-2</v>
      </c>
      <c r="F7793" s="1">
        <v>3.6508890988746598E-3</v>
      </c>
    </row>
    <row r="7794" spans="1:6" x14ac:dyDescent="0.25">
      <c r="A7794" s="2" t="str">
        <f t="shared" si="295"/>
        <v>16460</v>
      </c>
      <c r="B7794" s="2" t="str">
        <f>"62838"</f>
        <v>62838</v>
      </c>
      <c r="C7794" s="1">
        <v>1.10058378792228E-3</v>
      </c>
      <c r="D7794" s="1">
        <v>0</v>
      </c>
      <c r="E7794" s="1">
        <v>0</v>
      </c>
      <c r="F7794" s="1">
        <v>9.8788763851902694E-4</v>
      </c>
    </row>
    <row r="7795" spans="1:6" x14ac:dyDescent="0.25">
      <c r="A7795" s="2" t="str">
        <f t="shared" si="295"/>
        <v>16460</v>
      </c>
      <c r="B7795" s="2" t="str">
        <f>"62893"</f>
        <v>62893</v>
      </c>
      <c r="C7795" s="1">
        <v>1.27763422337065E-2</v>
      </c>
      <c r="D7795" s="1">
        <v>4.9950049950049898E-3</v>
      </c>
      <c r="E7795" s="1">
        <v>2.6178010471204099E-3</v>
      </c>
      <c r="F7795" s="1">
        <v>1.1940554935143E-2</v>
      </c>
    </row>
    <row r="7796" spans="1:6" x14ac:dyDescent="0.25">
      <c r="A7796" s="2" t="str">
        <f t="shared" si="295"/>
        <v>16460</v>
      </c>
      <c r="B7796" s="2" t="str">
        <f>"62801"</f>
        <v>62801</v>
      </c>
      <c r="C7796" s="1">
        <v>0.45726863814719099</v>
      </c>
      <c r="D7796" s="1">
        <v>0.57292707292707201</v>
      </c>
      <c r="E7796" s="1">
        <v>0.62303664921465896</v>
      </c>
      <c r="F7796" s="1">
        <v>0.46993385447985497</v>
      </c>
    </row>
    <row r="7797" spans="1:6" x14ac:dyDescent="0.25">
      <c r="A7797" s="2" t="str">
        <f t="shared" si="295"/>
        <v>16460</v>
      </c>
      <c r="B7797" s="2" t="str">
        <f>"62889"</f>
        <v>62889</v>
      </c>
      <c r="C7797" s="1">
        <v>4.9765527801703497E-3</v>
      </c>
      <c r="D7797" s="1">
        <v>4.9950049950049896E-4</v>
      </c>
      <c r="E7797" s="1">
        <v>0</v>
      </c>
      <c r="F7797" s="1">
        <v>4.50992182802164E-3</v>
      </c>
    </row>
    <row r="7798" spans="1:6" x14ac:dyDescent="0.25">
      <c r="A7798" s="2" t="str">
        <f t="shared" ref="A7798:A7808" si="296">"11860"</f>
        <v>11860</v>
      </c>
      <c r="B7798" s="2" t="str">
        <f>"66436"</f>
        <v>66436</v>
      </c>
      <c r="C7798" s="1">
        <v>8.0988332189430301E-3</v>
      </c>
      <c r="D7798" s="1">
        <v>3.0674846625766798E-3</v>
      </c>
      <c r="E7798" s="1">
        <v>0</v>
      </c>
      <c r="F7798" s="1">
        <v>7.5701166542566298E-3</v>
      </c>
    </row>
    <row r="7799" spans="1:6" x14ac:dyDescent="0.25">
      <c r="A7799" s="2" t="str">
        <f t="shared" si="296"/>
        <v>11860</v>
      </c>
      <c r="B7799" s="2" t="str">
        <f>"66060"</f>
        <v>66060</v>
      </c>
      <c r="C7799" s="1">
        <v>1.6060398078242898E-2</v>
      </c>
      <c r="D7799" s="1">
        <v>3.0674846625766798E-3</v>
      </c>
      <c r="E7799" s="1">
        <v>0</v>
      </c>
      <c r="F7799" s="1">
        <v>1.4767932489451401E-2</v>
      </c>
    </row>
    <row r="7800" spans="1:6" x14ac:dyDescent="0.25">
      <c r="A7800" s="2" t="str">
        <f t="shared" si="296"/>
        <v>11860</v>
      </c>
      <c r="B7800" s="2" t="str">
        <f>"66424"</f>
        <v>66424</v>
      </c>
      <c r="C7800" s="1">
        <v>7.5497597803706202E-3</v>
      </c>
      <c r="D7800" s="1">
        <v>4.6012269938650301E-3</v>
      </c>
      <c r="E7800" s="1">
        <v>0</v>
      </c>
      <c r="F7800" s="1">
        <v>7.1978158351948297E-3</v>
      </c>
    </row>
    <row r="7801" spans="1:6" x14ac:dyDescent="0.25">
      <c r="A7801" s="2" t="str">
        <f t="shared" si="296"/>
        <v>11860</v>
      </c>
      <c r="B7801" s="2" t="str">
        <f>"66041"</f>
        <v>66041</v>
      </c>
      <c r="C7801" s="1">
        <v>3.7611530542210003E-2</v>
      </c>
      <c r="D7801" s="1">
        <v>1.07361963190184E-2</v>
      </c>
      <c r="E7801" s="1">
        <v>3.3057851239669402E-2</v>
      </c>
      <c r="F7801" s="1">
        <v>3.5368577810871098E-2</v>
      </c>
    </row>
    <row r="7802" spans="1:6" x14ac:dyDescent="0.25">
      <c r="A7802" s="2" t="str">
        <f t="shared" si="296"/>
        <v>11860</v>
      </c>
      <c r="B7802" s="2" t="str">
        <f>"66016"</f>
        <v>66016</v>
      </c>
      <c r="C7802" s="1">
        <v>3.3218943033630703E-2</v>
      </c>
      <c r="D7802" s="1">
        <v>1.3803680981595E-2</v>
      </c>
      <c r="E7802" s="1">
        <v>8.2644628099173504E-3</v>
      </c>
      <c r="F7802" s="1">
        <v>3.1273268801191301E-2</v>
      </c>
    </row>
    <row r="7803" spans="1:6" x14ac:dyDescent="0.25">
      <c r="A7803" s="2" t="str">
        <f t="shared" si="296"/>
        <v>11860</v>
      </c>
      <c r="B7803" s="2" t="str">
        <f>"66002"</f>
        <v>66002</v>
      </c>
      <c r="C7803" s="1">
        <v>0.785449553877831</v>
      </c>
      <c r="D7803" s="1">
        <v>0.91411042944785204</v>
      </c>
      <c r="E7803" s="1">
        <v>0.92561983471074305</v>
      </c>
      <c r="F7803" s="1">
        <v>0.79796475552246204</v>
      </c>
    </row>
    <row r="7804" spans="1:6" x14ac:dyDescent="0.25">
      <c r="A7804" s="2" t="str">
        <f t="shared" si="296"/>
        <v>11860</v>
      </c>
      <c r="B7804" s="2" t="str">
        <f>"66439"</f>
        <v>66439</v>
      </c>
      <c r="C7804" s="1">
        <v>1.40013726835964E-2</v>
      </c>
      <c r="D7804" s="1">
        <v>7.6687116564417099E-3</v>
      </c>
      <c r="E7804" s="1">
        <v>0</v>
      </c>
      <c r="F7804" s="1">
        <v>1.32787292132042E-2</v>
      </c>
    </row>
    <row r="7805" spans="1:6" x14ac:dyDescent="0.25">
      <c r="A7805" s="2" t="str">
        <f t="shared" si="296"/>
        <v>11860</v>
      </c>
      <c r="B7805" s="2" t="str">
        <f>"66552"</f>
        <v>66552</v>
      </c>
      <c r="C7805" s="1">
        <v>1.3726835964310199E-4</v>
      </c>
      <c r="D7805" s="1">
        <v>0</v>
      </c>
      <c r="E7805" s="1">
        <v>0</v>
      </c>
      <c r="F7805" s="1">
        <v>1.2410027302060001E-4</v>
      </c>
    </row>
    <row r="7806" spans="1:6" x14ac:dyDescent="0.25">
      <c r="A7806" s="2" t="str">
        <f t="shared" si="296"/>
        <v>11860</v>
      </c>
      <c r="B7806" s="2" t="str">
        <f>"66088"</f>
        <v>66088</v>
      </c>
      <c r="C7806" s="1">
        <v>2.1962937542896301E-3</v>
      </c>
      <c r="D7806" s="1">
        <v>1.5337423312883399E-3</v>
      </c>
      <c r="E7806" s="1">
        <v>0</v>
      </c>
      <c r="F7806" s="1">
        <v>2.1097046413502099E-3</v>
      </c>
    </row>
    <row r="7807" spans="1:6" x14ac:dyDescent="0.25">
      <c r="A7807" s="2" t="str">
        <f t="shared" si="296"/>
        <v>11860</v>
      </c>
      <c r="B7807" s="2" t="str">
        <f>"66058"</f>
        <v>66058</v>
      </c>
      <c r="C7807" s="1">
        <v>2.1962937542896299E-2</v>
      </c>
      <c r="D7807" s="1">
        <v>9.2024539877300603E-3</v>
      </c>
      <c r="E7807" s="1">
        <v>8.2644628099173504E-3</v>
      </c>
      <c r="F7807" s="1">
        <v>2.0724745594440298E-2</v>
      </c>
    </row>
    <row r="7808" spans="1:6" x14ac:dyDescent="0.25">
      <c r="A7808" s="2" t="str">
        <f t="shared" si="296"/>
        <v>11860</v>
      </c>
      <c r="B7808" s="2" t="str">
        <f>"66023"</f>
        <v>66023</v>
      </c>
      <c r="C7808" s="1">
        <v>7.3713109128345902E-2</v>
      </c>
      <c r="D7808" s="1">
        <v>3.2208588957055202E-2</v>
      </c>
      <c r="E7808" s="1">
        <v>2.4793388429752001E-2</v>
      </c>
      <c r="F7808" s="1">
        <v>6.9620253164556903E-2</v>
      </c>
    </row>
    <row r="7809" spans="1:6" x14ac:dyDescent="0.25">
      <c r="A7809" s="2" t="str">
        <f t="shared" ref="A7809:A7841" si="297">"31740"</f>
        <v>31740</v>
      </c>
      <c r="B7809" s="2" t="str">
        <f>"66531"</f>
        <v>66531</v>
      </c>
      <c r="C7809" s="1">
        <v>1.00354004677918E-2</v>
      </c>
      <c r="D7809" s="1">
        <v>3.01053687907676E-3</v>
      </c>
      <c r="E7809" s="1">
        <v>7.4055788694149505E-4</v>
      </c>
      <c r="F7809" s="1">
        <v>8.24901958373799E-3</v>
      </c>
    </row>
    <row r="7810" spans="1:6" x14ac:dyDescent="0.25">
      <c r="A7810" s="2" t="str">
        <f t="shared" si="297"/>
        <v>31740</v>
      </c>
      <c r="B7810" s="2" t="str">
        <f>"66872"</f>
        <v>66872</v>
      </c>
      <c r="C7810" s="1">
        <v>9.4822681585435194E-5</v>
      </c>
      <c r="D7810" s="1">
        <v>0</v>
      </c>
      <c r="E7810" s="1">
        <v>0</v>
      </c>
      <c r="F7810" s="1">
        <v>7.3761725040876201E-5</v>
      </c>
    </row>
    <row r="7811" spans="1:6" x14ac:dyDescent="0.25">
      <c r="A7811" s="2" t="str">
        <f t="shared" si="297"/>
        <v>31740</v>
      </c>
      <c r="B7811" s="2" t="str">
        <f>"66442"</f>
        <v>66442</v>
      </c>
      <c r="C7811" s="1">
        <v>9.3811239648523906E-2</v>
      </c>
      <c r="D7811" s="1">
        <v>4.91721023582538E-3</v>
      </c>
      <c r="E7811" s="1">
        <v>0.443100469019995</v>
      </c>
      <c r="F7811" s="1">
        <v>0.117711419544398</v>
      </c>
    </row>
    <row r="7812" spans="1:6" x14ac:dyDescent="0.25">
      <c r="A7812" s="2" t="str">
        <f t="shared" si="297"/>
        <v>31740</v>
      </c>
      <c r="B7812" s="2" t="str">
        <f>"66502"</f>
        <v>66502</v>
      </c>
      <c r="C7812" s="1">
        <v>0.34867880396990902</v>
      </c>
      <c r="D7812" s="1">
        <v>0.20662318113396799</v>
      </c>
      <c r="E7812" s="1">
        <v>0.34867933843495402</v>
      </c>
      <c r="F7812" s="1">
        <v>0.331276200779415</v>
      </c>
    </row>
    <row r="7813" spans="1:6" x14ac:dyDescent="0.25">
      <c r="A7813" s="2" t="str">
        <f t="shared" si="297"/>
        <v>31740</v>
      </c>
      <c r="B7813" s="2" t="str">
        <f>"67447"</f>
        <v>67447</v>
      </c>
      <c r="C7813" s="1">
        <v>5.68936089512611E-4</v>
      </c>
      <c r="D7813" s="1">
        <v>0</v>
      </c>
      <c r="E7813" s="1">
        <v>0</v>
      </c>
      <c r="F7813" s="1">
        <v>4.4257035024525699E-4</v>
      </c>
    </row>
    <row r="7814" spans="1:6" x14ac:dyDescent="0.25">
      <c r="A7814" s="2" t="str">
        <f t="shared" si="297"/>
        <v>31740</v>
      </c>
      <c r="B7814" s="2" t="str">
        <f>"66427"</f>
        <v>66427</v>
      </c>
      <c r="C7814" s="1">
        <v>1.8964536317087001E-4</v>
      </c>
      <c r="D7814" s="1">
        <v>0</v>
      </c>
      <c r="E7814" s="1">
        <v>0</v>
      </c>
      <c r="F7814" s="1">
        <v>1.47523450081752E-4</v>
      </c>
    </row>
    <row r="7815" spans="1:6" x14ac:dyDescent="0.25">
      <c r="A7815" s="2" t="str">
        <f t="shared" si="297"/>
        <v>31740</v>
      </c>
      <c r="B7815" s="2" t="str">
        <f>"66407"</f>
        <v>66407</v>
      </c>
      <c r="C7815" s="1">
        <v>2.1651178962007701E-3</v>
      </c>
      <c r="D7815" s="1">
        <v>1.6056196688409401E-3</v>
      </c>
      <c r="E7815" s="1">
        <v>1.2342631449024899E-4</v>
      </c>
      <c r="F7815" s="1">
        <v>1.89321760938249E-3</v>
      </c>
    </row>
    <row r="7816" spans="1:6" x14ac:dyDescent="0.25">
      <c r="A7816" s="2" t="str">
        <f t="shared" si="297"/>
        <v>31740</v>
      </c>
      <c r="B7816" s="2" t="str">
        <f>"66514"</f>
        <v>66514</v>
      </c>
      <c r="C7816" s="1">
        <v>1.1789620077122399E-2</v>
      </c>
      <c r="D7816" s="1">
        <v>1.3045659809332599E-3</v>
      </c>
      <c r="E7816" s="1">
        <v>1.4811157738829901E-3</v>
      </c>
      <c r="F7816" s="1">
        <v>9.4783816677526007E-3</v>
      </c>
    </row>
    <row r="7817" spans="1:6" x14ac:dyDescent="0.25">
      <c r="A7817" s="2" t="str">
        <f t="shared" si="297"/>
        <v>31740</v>
      </c>
      <c r="B7817" s="2" t="str">
        <f>"66432"</f>
        <v>66432</v>
      </c>
      <c r="C7817" s="1">
        <v>2.8920917883557698E-3</v>
      </c>
      <c r="D7817" s="1">
        <v>7.0245860511791204E-4</v>
      </c>
      <c r="E7817" s="1">
        <v>3.7027894347074698E-4</v>
      </c>
      <c r="F7817" s="1">
        <v>2.3726688221481799E-3</v>
      </c>
    </row>
    <row r="7818" spans="1:6" x14ac:dyDescent="0.25">
      <c r="A7818" s="2" t="str">
        <f t="shared" si="297"/>
        <v>31740</v>
      </c>
      <c r="B7818" s="2" t="str">
        <f>"66517"</f>
        <v>66517</v>
      </c>
      <c r="C7818" s="1">
        <v>1.1283899108666701E-2</v>
      </c>
      <c r="D7818" s="1">
        <v>0</v>
      </c>
      <c r="E7818" s="1">
        <v>3.7027894347074698E-4</v>
      </c>
      <c r="F7818" s="1">
        <v>8.8145261423847095E-3</v>
      </c>
    </row>
    <row r="7819" spans="1:6" x14ac:dyDescent="0.25">
      <c r="A7819" s="2" t="str">
        <f t="shared" si="297"/>
        <v>31740</v>
      </c>
      <c r="B7819" s="2" t="str">
        <f>"66441"</f>
        <v>66441</v>
      </c>
      <c r="C7819" s="1">
        <v>0.24133952841519599</v>
      </c>
      <c r="D7819" s="1">
        <v>0.122328148519819</v>
      </c>
      <c r="E7819" s="1">
        <v>0.111083683041224</v>
      </c>
      <c r="F7819" s="1">
        <v>0.213786066410139</v>
      </c>
    </row>
    <row r="7820" spans="1:6" x14ac:dyDescent="0.25">
      <c r="A7820" s="2" t="str">
        <f t="shared" si="297"/>
        <v>31740</v>
      </c>
      <c r="B7820" s="2" t="str">
        <f>"67432"</f>
        <v>67432</v>
      </c>
      <c r="C7820" s="1">
        <v>1.2643024211391301E-4</v>
      </c>
      <c r="D7820" s="1">
        <v>0</v>
      </c>
      <c r="E7820" s="1">
        <v>0</v>
      </c>
      <c r="F7820" s="1">
        <v>9.83489667211683E-5</v>
      </c>
    </row>
    <row r="7821" spans="1:6" x14ac:dyDescent="0.25">
      <c r="A7821" s="2" t="str">
        <f t="shared" si="297"/>
        <v>31740</v>
      </c>
      <c r="B7821" s="2" t="str">
        <f>"66834"</f>
        <v>66834</v>
      </c>
      <c r="C7821" s="1">
        <v>1.0114419369112999E-3</v>
      </c>
      <c r="D7821" s="1">
        <v>1.00351229302558E-4</v>
      </c>
      <c r="E7821" s="1">
        <v>0</v>
      </c>
      <c r="F7821" s="1">
        <v>7.9908535460949297E-4</v>
      </c>
    </row>
    <row r="7822" spans="1:6" x14ac:dyDescent="0.25">
      <c r="A7822" s="2" t="str">
        <f t="shared" si="297"/>
        <v>31740</v>
      </c>
      <c r="B7822" s="2" t="str">
        <f>"66536"</f>
        <v>66536</v>
      </c>
      <c r="C7822" s="1">
        <v>2.0213034957961899E-2</v>
      </c>
      <c r="D7822" s="1">
        <v>1.34470647265429E-2</v>
      </c>
      <c r="E7822" s="1">
        <v>1.0861515675141899E-2</v>
      </c>
      <c r="F7822" s="1">
        <v>1.8452724881059202E-2</v>
      </c>
    </row>
    <row r="7823" spans="1:6" x14ac:dyDescent="0.25">
      <c r="A7823" s="2" t="str">
        <f t="shared" si="297"/>
        <v>31740</v>
      </c>
      <c r="B7823" s="2" t="str">
        <f>"66535"</f>
        <v>66535</v>
      </c>
      <c r="C7823" s="1">
        <v>2.1303495796194401E-2</v>
      </c>
      <c r="D7823" s="1">
        <v>1.90667335674862E-3</v>
      </c>
      <c r="E7823" s="1">
        <v>7.4055788694149505E-4</v>
      </c>
      <c r="F7823" s="1">
        <v>1.6879141413520499E-2</v>
      </c>
    </row>
    <row r="7824" spans="1:6" x14ac:dyDescent="0.25">
      <c r="A7824" s="2" t="str">
        <f t="shared" si="297"/>
        <v>31740</v>
      </c>
      <c r="B7824" s="2" t="str">
        <f>"66506"</f>
        <v>66506</v>
      </c>
      <c r="C7824" s="1">
        <v>3.16075605284784E-5</v>
      </c>
      <c r="D7824" s="1">
        <v>0.53467134972403396</v>
      </c>
      <c r="E7824" s="1">
        <v>1.53048629967909E-2</v>
      </c>
      <c r="F7824" s="1">
        <v>6.7049408062156493E-2</v>
      </c>
    </row>
    <row r="7825" spans="1:6" x14ac:dyDescent="0.25">
      <c r="A7825" s="2" t="str">
        <f t="shared" si="297"/>
        <v>31740</v>
      </c>
      <c r="B7825" s="2" t="str">
        <f>"66505"</f>
        <v>66505</v>
      </c>
      <c r="C7825" s="1">
        <v>1.4555281623364299E-2</v>
      </c>
      <c r="D7825" s="1">
        <v>3.7932764676367199E-2</v>
      </c>
      <c r="E7825" s="1">
        <v>2.4685262898049799E-4</v>
      </c>
      <c r="F7825" s="1">
        <v>1.5994000713030001E-2</v>
      </c>
    </row>
    <row r="7826" spans="1:6" x14ac:dyDescent="0.25">
      <c r="A7826" s="2" t="str">
        <f t="shared" si="297"/>
        <v>31740</v>
      </c>
      <c r="B7826" s="2" t="str">
        <f>"66547"</f>
        <v>66547</v>
      </c>
      <c r="C7826" s="1">
        <v>5.4554649472153702E-2</v>
      </c>
      <c r="D7826" s="1">
        <v>2.5188158554942199E-2</v>
      </c>
      <c r="E7826" s="1">
        <v>1.48111577388299E-2</v>
      </c>
      <c r="F7826" s="1">
        <v>4.69985124718783E-2</v>
      </c>
    </row>
    <row r="7827" spans="1:6" x14ac:dyDescent="0.25">
      <c r="A7827" s="2" t="str">
        <f t="shared" si="297"/>
        <v>31740</v>
      </c>
      <c r="B7827" s="2" t="str">
        <f>"67431"</f>
        <v>67431</v>
      </c>
      <c r="C7827" s="1">
        <v>1.58037802642392E-5</v>
      </c>
      <c r="D7827" s="1">
        <v>0</v>
      </c>
      <c r="E7827" s="1">
        <v>0</v>
      </c>
      <c r="F7827" s="1">
        <v>1.2293620840146E-5</v>
      </c>
    </row>
    <row r="7828" spans="1:6" x14ac:dyDescent="0.25">
      <c r="A7828" s="2" t="str">
        <f t="shared" si="297"/>
        <v>31740</v>
      </c>
      <c r="B7828" s="2" t="str">
        <f>"67487"</f>
        <v>67487</v>
      </c>
      <c r="C7828" s="1">
        <v>1.73841582906631E-4</v>
      </c>
      <c r="D7828" s="1">
        <v>0</v>
      </c>
      <c r="E7828" s="1">
        <v>0</v>
      </c>
      <c r="F7828" s="1">
        <v>1.3522982924160599E-4</v>
      </c>
    </row>
    <row r="7829" spans="1:6" x14ac:dyDescent="0.25">
      <c r="A7829" s="2" t="str">
        <f t="shared" si="297"/>
        <v>31740</v>
      </c>
      <c r="B7829" s="2" t="str">
        <f>"66521"</f>
        <v>66521</v>
      </c>
      <c r="C7829" s="1">
        <v>1.1094253745495899E-2</v>
      </c>
      <c r="D7829" s="1">
        <v>4.2147516307074698E-3</v>
      </c>
      <c r="E7829" s="1">
        <v>1.4811157738829901E-3</v>
      </c>
      <c r="F7829" s="1">
        <v>9.2939773551504092E-3</v>
      </c>
    </row>
    <row r="7830" spans="1:6" x14ac:dyDescent="0.25">
      <c r="A7830" s="2" t="str">
        <f t="shared" si="297"/>
        <v>31740</v>
      </c>
      <c r="B7830" s="2" t="str">
        <f>"66520"</f>
        <v>66520</v>
      </c>
      <c r="C7830" s="1">
        <v>4.6463113976863198E-3</v>
      </c>
      <c r="D7830" s="1">
        <v>2.20772704465629E-3</v>
      </c>
      <c r="E7830" s="1">
        <v>2.4685262898049799E-4</v>
      </c>
      <c r="F7830" s="1">
        <v>3.9093714271664403E-3</v>
      </c>
    </row>
    <row r="7831" spans="1:6" x14ac:dyDescent="0.25">
      <c r="A7831" s="2" t="str">
        <f t="shared" si="297"/>
        <v>31740</v>
      </c>
      <c r="B7831" s="2" t="str">
        <f>"66540"</f>
        <v>66540</v>
      </c>
      <c r="C7831" s="1">
        <v>6.3215121056956801E-5</v>
      </c>
      <c r="D7831" s="1">
        <v>0</v>
      </c>
      <c r="E7831" s="1">
        <v>0</v>
      </c>
      <c r="F7831" s="1">
        <v>4.9174483360584103E-5</v>
      </c>
    </row>
    <row r="7832" spans="1:6" x14ac:dyDescent="0.25">
      <c r="A7832" s="2" t="str">
        <f t="shared" si="297"/>
        <v>31740</v>
      </c>
      <c r="B7832" s="2" t="str">
        <f>"66933"</f>
        <v>66933</v>
      </c>
      <c r="C7832" s="1">
        <v>7.9018901321196004E-5</v>
      </c>
      <c r="D7832" s="1">
        <v>1.00351229302558E-4</v>
      </c>
      <c r="E7832" s="1">
        <v>0</v>
      </c>
      <c r="F7832" s="1">
        <v>7.3761725040876201E-5</v>
      </c>
    </row>
    <row r="7833" spans="1:6" x14ac:dyDescent="0.25">
      <c r="A7833" s="2" t="str">
        <f t="shared" si="297"/>
        <v>31740</v>
      </c>
      <c r="B7833" s="2" t="str">
        <f>"66411"</f>
        <v>66411</v>
      </c>
      <c r="C7833" s="1">
        <v>4.2670206713445798E-4</v>
      </c>
      <c r="D7833" s="1">
        <v>0</v>
      </c>
      <c r="E7833" s="1">
        <v>0</v>
      </c>
      <c r="F7833" s="1">
        <v>3.31927762683943E-4</v>
      </c>
    </row>
    <row r="7834" spans="1:6" x14ac:dyDescent="0.25">
      <c r="A7834" s="2" t="str">
        <f t="shared" si="297"/>
        <v>31740</v>
      </c>
      <c r="B7834" s="2" t="str">
        <f>"66422"</f>
        <v>66422</v>
      </c>
      <c r="C7834" s="1">
        <v>2.51280106201403E-3</v>
      </c>
      <c r="D7834" s="1">
        <v>3.0105368790767599E-4</v>
      </c>
      <c r="E7834" s="1">
        <v>1.2342631449024899E-4</v>
      </c>
      <c r="F7834" s="1">
        <v>2.0038601969437999E-3</v>
      </c>
    </row>
    <row r="7835" spans="1:6" x14ac:dyDescent="0.25">
      <c r="A7835" s="2" t="str">
        <f t="shared" si="297"/>
        <v>31740</v>
      </c>
      <c r="B7835" s="2" t="str">
        <f>"66548"</f>
        <v>66548</v>
      </c>
      <c r="C7835" s="1">
        <v>1.58037802642392E-5</v>
      </c>
      <c r="D7835" s="1">
        <v>0</v>
      </c>
      <c r="E7835" s="1">
        <v>0</v>
      </c>
      <c r="F7835" s="1">
        <v>1.2293620840146E-5</v>
      </c>
    </row>
    <row r="7836" spans="1:6" x14ac:dyDescent="0.25">
      <c r="A7836" s="2" t="str">
        <f t="shared" si="297"/>
        <v>31740</v>
      </c>
      <c r="B7836" s="2" t="str">
        <f>"66449"</f>
        <v>66449</v>
      </c>
      <c r="C7836" s="1">
        <v>6.6533914912447001E-3</v>
      </c>
      <c r="D7836" s="1">
        <v>7.0245860511791204E-4</v>
      </c>
      <c r="E7836" s="1">
        <v>7.4055788694149505E-4</v>
      </c>
      <c r="F7836" s="1">
        <v>5.3354314446233796E-3</v>
      </c>
    </row>
    <row r="7837" spans="1:6" x14ac:dyDescent="0.25">
      <c r="A7837" s="2" t="str">
        <f t="shared" si="297"/>
        <v>31740</v>
      </c>
      <c r="B7837" s="2" t="str">
        <f>"66849"</f>
        <v>66849</v>
      </c>
      <c r="C7837" s="1">
        <v>9.48226815854352E-4</v>
      </c>
      <c r="D7837" s="1">
        <v>1.00351229302558E-4</v>
      </c>
      <c r="E7837" s="1">
        <v>0</v>
      </c>
      <c r="F7837" s="1">
        <v>7.4991087124890799E-4</v>
      </c>
    </row>
    <row r="7838" spans="1:6" x14ac:dyDescent="0.25">
      <c r="A7838" s="2" t="str">
        <f t="shared" si="297"/>
        <v>31740</v>
      </c>
      <c r="B7838" s="2" t="str">
        <f>"66401"</f>
        <v>66401</v>
      </c>
      <c r="C7838" s="1">
        <v>4.7411340792717597E-5</v>
      </c>
      <c r="D7838" s="1">
        <v>0</v>
      </c>
      <c r="E7838" s="1">
        <v>0</v>
      </c>
      <c r="F7838" s="1">
        <v>3.6880862520438101E-5</v>
      </c>
    </row>
    <row r="7839" spans="1:6" x14ac:dyDescent="0.25">
      <c r="A7839" s="2" t="str">
        <f t="shared" si="297"/>
        <v>31740</v>
      </c>
      <c r="B7839" s="2" t="str">
        <f>"66503"</f>
        <v>66503</v>
      </c>
      <c r="C7839" s="1">
        <v>0.12289019533472401</v>
      </c>
      <c r="D7839" s="1">
        <v>3.5323632714500702E-2</v>
      </c>
      <c r="E7839" s="1">
        <v>4.6161441619353198E-2</v>
      </c>
      <c r="F7839" s="1">
        <v>0.104520364382921</v>
      </c>
    </row>
    <row r="7840" spans="1:6" x14ac:dyDescent="0.25">
      <c r="A7840" s="2" t="str">
        <f t="shared" si="297"/>
        <v>31740</v>
      </c>
      <c r="B7840" s="2" t="str">
        <f>"66554"</f>
        <v>66554</v>
      </c>
      <c r="C7840" s="1">
        <v>4.5356849358366503E-3</v>
      </c>
      <c r="D7840" s="1">
        <v>1.40491721023582E-3</v>
      </c>
      <c r="E7840" s="1">
        <v>6.1713157245124595E-4</v>
      </c>
      <c r="F7840" s="1">
        <v>3.7618479770846901E-3</v>
      </c>
    </row>
    <row r="7841" spans="1:6" x14ac:dyDescent="0.25">
      <c r="A7841" s="2" t="str">
        <f t="shared" si="297"/>
        <v>31740</v>
      </c>
      <c r="B7841" s="2" t="str">
        <f>"66549"</f>
        <v>66549</v>
      </c>
      <c r="C7841" s="1">
        <v>1.12522915481383E-2</v>
      </c>
      <c r="D7841" s="1">
        <v>1.90667335674862E-3</v>
      </c>
      <c r="E7841" s="1">
        <v>2.7153789187854801E-3</v>
      </c>
      <c r="F7841" s="1">
        <v>9.2570964926299692E-3</v>
      </c>
    </row>
    <row r="7842" spans="1:6" x14ac:dyDescent="0.25">
      <c r="A7842" s="2" t="str">
        <f t="shared" ref="A7842:A7873" si="298">"48620"</f>
        <v>48620</v>
      </c>
      <c r="B7842" s="2" t="str">
        <f>"67223"</f>
        <v>67223</v>
      </c>
      <c r="C7842" s="1">
        <v>6.0655546483144704E-4</v>
      </c>
      <c r="D7842" s="1">
        <v>0</v>
      </c>
      <c r="E7842" s="1">
        <v>1.06258633513973E-4</v>
      </c>
      <c r="F7842" s="1">
        <v>5.4380772385265402E-4</v>
      </c>
    </row>
    <row r="7843" spans="1:6" x14ac:dyDescent="0.25">
      <c r="A7843" s="2" t="str">
        <f t="shared" si="298"/>
        <v>48620</v>
      </c>
      <c r="B7843" s="2" t="str">
        <f>"67220"</f>
        <v>67220</v>
      </c>
      <c r="C7843" s="1">
        <v>1.9969672226758401E-2</v>
      </c>
      <c r="D7843" s="1">
        <v>8.39186691312384E-3</v>
      </c>
      <c r="E7843" s="1">
        <v>1.5194984592498101E-2</v>
      </c>
      <c r="F7843" s="1">
        <v>1.8905490377872002E-2</v>
      </c>
    </row>
    <row r="7844" spans="1:6" x14ac:dyDescent="0.25">
      <c r="A7844" s="2" t="str">
        <f t="shared" si="298"/>
        <v>48620</v>
      </c>
      <c r="B7844" s="2" t="str">
        <f>"67218"</f>
        <v>67218</v>
      </c>
      <c r="C7844" s="1">
        <v>3.8116345336688201E-2</v>
      </c>
      <c r="D7844" s="1">
        <v>2.4103512014787401E-2</v>
      </c>
      <c r="E7844" s="1">
        <v>2.9858676017426401E-2</v>
      </c>
      <c r="F7844" s="1">
        <v>3.6759024830914401E-2</v>
      </c>
    </row>
    <row r="7845" spans="1:6" x14ac:dyDescent="0.25">
      <c r="A7845" s="2" t="str">
        <f t="shared" si="298"/>
        <v>48620</v>
      </c>
      <c r="B7845" s="2" t="str">
        <f>"67020"</f>
        <v>67020</v>
      </c>
      <c r="C7845" s="1">
        <v>2.24292213094266E-3</v>
      </c>
      <c r="D7845" s="1">
        <v>7.7634011090572995E-4</v>
      </c>
      <c r="E7845" s="1">
        <v>7.4381043459781099E-4</v>
      </c>
      <c r="F7845" s="1">
        <v>2.08311046131536E-3</v>
      </c>
    </row>
    <row r="7846" spans="1:6" x14ac:dyDescent="0.25">
      <c r="A7846" s="2" t="str">
        <f t="shared" si="298"/>
        <v>48620</v>
      </c>
      <c r="B7846" s="2" t="str">
        <f>"67010"</f>
        <v>67010</v>
      </c>
      <c r="C7846" s="1">
        <v>2.02896135708453E-2</v>
      </c>
      <c r="D7846" s="1">
        <v>1.4417744916820701E-2</v>
      </c>
      <c r="E7846" s="1">
        <v>9.1382424822016705E-3</v>
      </c>
      <c r="F7846" s="1">
        <v>1.95057590129444E-2</v>
      </c>
    </row>
    <row r="7847" spans="1:6" x14ac:dyDescent="0.25">
      <c r="A7847" s="2" t="str">
        <f t="shared" si="298"/>
        <v>48620</v>
      </c>
      <c r="B7847" s="2" t="str">
        <f>"67001"</f>
        <v>67001</v>
      </c>
      <c r="C7847" s="1">
        <v>2.1562713502524498E-3</v>
      </c>
      <c r="D7847" s="1">
        <v>1.3308687615526801E-3</v>
      </c>
      <c r="E7847" s="1">
        <v>3.1877590054191901E-4</v>
      </c>
      <c r="F7847" s="1">
        <v>2.0385360577208798E-3</v>
      </c>
    </row>
    <row r="7848" spans="1:6" x14ac:dyDescent="0.25">
      <c r="A7848" s="2" t="str">
        <f t="shared" si="298"/>
        <v>48620</v>
      </c>
      <c r="B7848" s="2" t="str">
        <f>"67110"</f>
        <v>67110</v>
      </c>
      <c r="C7848" s="1">
        <v>1.20311276266017E-2</v>
      </c>
      <c r="D7848" s="1">
        <v>6.1737523105360398E-3</v>
      </c>
      <c r="E7848" s="1">
        <v>4.56912124110083E-3</v>
      </c>
      <c r="F7848" s="1">
        <v>1.1351614782060799E-2</v>
      </c>
    </row>
    <row r="7849" spans="1:6" x14ac:dyDescent="0.25">
      <c r="A7849" s="2" t="str">
        <f t="shared" si="298"/>
        <v>48620</v>
      </c>
      <c r="B7849" s="2" t="str">
        <f>"67101"</f>
        <v>67101</v>
      </c>
      <c r="C7849" s="1">
        <v>8.4151238939527695E-3</v>
      </c>
      <c r="D7849" s="1">
        <v>4.2513863216266101E-3</v>
      </c>
      <c r="E7849" s="1">
        <v>2.9752417383912401E-3</v>
      </c>
      <c r="F7849" s="1">
        <v>7.9283005860048203E-3</v>
      </c>
    </row>
    <row r="7850" spans="1:6" x14ac:dyDescent="0.25">
      <c r="A7850" s="2" t="str">
        <f t="shared" si="298"/>
        <v>48620</v>
      </c>
      <c r="B7850" s="2" t="str">
        <f>"67154"</f>
        <v>67154</v>
      </c>
      <c r="C7850" s="1">
        <v>1.9663061772008401E-3</v>
      </c>
      <c r="D7850" s="1">
        <v>1.2569316081330799E-3</v>
      </c>
      <c r="E7850" s="1">
        <v>8.5006906811178396E-4</v>
      </c>
      <c r="F7850" s="1">
        <v>1.87806820478075E-3</v>
      </c>
    </row>
    <row r="7851" spans="1:6" x14ac:dyDescent="0.25">
      <c r="A7851" s="2" t="str">
        <f t="shared" si="298"/>
        <v>48620</v>
      </c>
      <c r="B7851" s="2" t="str">
        <f>"67041"</f>
        <v>67041</v>
      </c>
      <c r="C7851" s="1">
        <v>2.6661778673909702E-4</v>
      </c>
      <c r="D7851" s="1">
        <v>1.4787430683918599E-4</v>
      </c>
      <c r="E7851" s="1">
        <v>1.06258633513973E-4</v>
      </c>
      <c r="F7851" s="1">
        <v>2.5258828703538601E-4</v>
      </c>
    </row>
    <row r="7852" spans="1:6" x14ac:dyDescent="0.25">
      <c r="A7852" s="2" t="str">
        <f t="shared" si="298"/>
        <v>48620</v>
      </c>
      <c r="B7852" s="2" t="str">
        <f>"67042"</f>
        <v>67042</v>
      </c>
      <c r="C7852" s="1">
        <v>2.5525320357934301E-2</v>
      </c>
      <c r="D7852" s="1">
        <v>2.9907578558225501E-2</v>
      </c>
      <c r="E7852" s="1">
        <v>2.7733503347146901E-2</v>
      </c>
      <c r="F7852" s="1">
        <v>2.5939331265080998E-2</v>
      </c>
    </row>
    <row r="7853" spans="1:6" x14ac:dyDescent="0.25">
      <c r="A7853" s="2" t="str">
        <f t="shared" si="298"/>
        <v>48620</v>
      </c>
      <c r="B7853" s="2" t="str">
        <f>"67277"</f>
        <v>67277</v>
      </c>
      <c r="C7853" s="1">
        <v>3.3327223342387198E-3</v>
      </c>
      <c r="D7853" s="1">
        <v>1.49722735674676E-2</v>
      </c>
      <c r="E7853" s="1">
        <v>1.06258633513973E-4</v>
      </c>
      <c r="F7853" s="1">
        <v>4.1781074302559102E-3</v>
      </c>
    </row>
    <row r="7854" spans="1:6" x14ac:dyDescent="0.25">
      <c r="A7854" s="2" t="str">
        <f t="shared" si="298"/>
        <v>48620</v>
      </c>
      <c r="B7854" s="2" t="str">
        <f>"67227"</f>
        <v>67227</v>
      </c>
      <c r="C7854" s="1">
        <v>5.4989918514938905E-4</v>
      </c>
      <c r="D7854" s="1">
        <v>1.1090573012938999E-4</v>
      </c>
      <c r="E7854" s="1">
        <v>1.06258633513973E-4</v>
      </c>
      <c r="F7854" s="1">
        <v>5.0220494716447296E-4</v>
      </c>
    </row>
    <row r="7855" spans="1:6" x14ac:dyDescent="0.25">
      <c r="A7855" s="2" t="str">
        <f t="shared" si="298"/>
        <v>48620</v>
      </c>
      <c r="B7855" s="2" t="str">
        <f>"67230"</f>
        <v>67230</v>
      </c>
      <c r="C7855" s="1">
        <v>1.5320524570495399E-2</v>
      </c>
      <c r="D7855" s="1">
        <v>3.7338262476894601E-3</v>
      </c>
      <c r="E7855" s="1">
        <v>9.5632770162575704E-4</v>
      </c>
      <c r="F7855" s="1">
        <v>1.39874478479477E-2</v>
      </c>
    </row>
    <row r="7856" spans="1:6" x14ac:dyDescent="0.25">
      <c r="A7856" s="2" t="str">
        <f t="shared" si="298"/>
        <v>48620</v>
      </c>
      <c r="B7856" s="2" t="str">
        <f>"67217"</f>
        <v>67217</v>
      </c>
      <c r="C7856" s="1">
        <v>4.84744463515022E-2</v>
      </c>
      <c r="D7856" s="1">
        <v>2.2957486136783702E-2</v>
      </c>
      <c r="E7856" s="1">
        <v>4.7816385081287799E-2</v>
      </c>
      <c r="F7856" s="1">
        <v>4.6404925768759799E-2</v>
      </c>
    </row>
    <row r="7857" spans="1:6" x14ac:dyDescent="0.25">
      <c r="A7857" s="2" t="str">
        <f t="shared" si="298"/>
        <v>48620</v>
      </c>
      <c r="B7857" s="2" t="str">
        <f>"67212"</f>
        <v>67212</v>
      </c>
      <c r="C7857" s="1">
        <v>6.5991234940260907E-2</v>
      </c>
      <c r="D7857" s="1">
        <v>3.2643253234750397E-2</v>
      </c>
      <c r="E7857" s="1">
        <v>6.80055254489427E-2</v>
      </c>
      <c r="F7857" s="1">
        <v>6.3366972149912604E-2</v>
      </c>
    </row>
    <row r="7858" spans="1:6" x14ac:dyDescent="0.25">
      <c r="A7858" s="2" t="str">
        <f t="shared" si="298"/>
        <v>48620</v>
      </c>
      <c r="B7858" s="2" t="str">
        <f>"67008"</f>
        <v>67008</v>
      </c>
      <c r="C7858" s="1">
        <v>2.1995967405975499E-4</v>
      </c>
      <c r="D7858" s="1">
        <v>0</v>
      </c>
      <c r="E7858" s="1">
        <v>0</v>
      </c>
      <c r="F7858" s="1">
        <v>1.96127375815711E-4</v>
      </c>
    </row>
    <row r="7859" spans="1:6" x14ac:dyDescent="0.25">
      <c r="A7859" s="2" t="str">
        <f t="shared" si="298"/>
        <v>48620</v>
      </c>
      <c r="B7859" s="2" t="str">
        <f>"67022"</f>
        <v>67022</v>
      </c>
      <c r="C7859" s="1">
        <v>3.0094482678175599E-3</v>
      </c>
      <c r="D7859" s="1">
        <v>4.8428835489833597E-3</v>
      </c>
      <c r="E7859" s="1">
        <v>7.4381043459781099E-4</v>
      </c>
      <c r="F7859" s="1">
        <v>3.0934636094569002E-3</v>
      </c>
    </row>
    <row r="7860" spans="1:6" x14ac:dyDescent="0.25">
      <c r="A7860" s="2" t="str">
        <f t="shared" si="298"/>
        <v>48620</v>
      </c>
      <c r="B7860" s="2" t="str">
        <f>"66866"</f>
        <v>66866</v>
      </c>
      <c r="C7860" s="1">
        <v>1.3664161570378701E-4</v>
      </c>
      <c r="D7860" s="1">
        <v>0</v>
      </c>
      <c r="E7860" s="1">
        <v>0</v>
      </c>
      <c r="F7860" s="1">
        <v>1.21836703158245E-4</v>
      </c>
    </row>
    <row r="7861" spans="1:6" x14ac:dyDescent="0.25">
      <c r="A7861" s="2" t="str">
        <f t="shared" si="298"/>
        <v>48620</v>
      </c>
      <c r="B7861" s="2" t="str">
        <f>"67201"</f>
        <v>67201</v>
      </c>
      <c r="C7861" s="1">
        <v>8.5217710086484093E-3</v>
      </c>
      <c r="D7861" s="1">
        <v>4.1848428835489802E-2</v>
      </c>
      <c r="E7861" s="1">
        <v>1.06258633513973E-4</v>
      </c>
      <c r="F7861" s="1">
        <v>1.0965303284242001E-2</v>
      </c>
    </row>
    <row r="7862" spans="1:6" x14ac:dyDescent="0.25">
      <c r="A7862" s="2" t="str">
        <f t="shared" si="298"/>
        <v>48620</v>
      </c>
      <c r="B7862" s="2" t="str">
        <f>"67117"</f>
        <v>67117</v>
      </c>
      <c r="C7862" s="1">
        <v>2.6095215877089198E-3</v>
      </c>
      <c r="D7862" s="1">
        <v>7.7634011090572995E-4</v>
      </c>
      <c r="E7862" s="1">
        <v>2.7627244713632898E-3</v>
      </c>
      <c r="F7862" s="1">
        <v>2.46645033222788E-3</v>
      </c>
    </row>
    <row r="7863" spans="1:6" x14ac:dyDescent="0.25">
      <c r="A7863" s="2" t="str">
        <f t="shared" si="298"/>
        <v>48620</v>
      </c>
      <c r="B7863" s="2" t="str">
        <f>"67152"</f>
        <v>67152</v>
      </c>
      <c r="C7863" s="1">
        <v>1.5633800469913799E-2</v>
      </c>
      <c r="D7863" s="1">
        <v>1.67467652495378E-2</v>
      </c>
      <c r="E7863" s="1">
        <v>1.1582191053023E-2</v>
      </c>
      <c r="F7863" s="1">
        <v>1.5609956138786799E-2</v>
      </c>
    </row>
    <row r="7864" spans="1:6" x14ac:dyDescent="0.25">
      <c r="A7864" s="2" t="str">
        <f t="shared" si="298"/>
        <v>48620</v>
      </c>
      <c r="B7864" s="2" t="str">
        <f>"67151"</f>
        <v>67151</v>
      </c>
      <c r="C7864" s="1">
        <v>6.6321174451350502E-4</v>
      </c>
      <c r="D7864" s="1">
        <v>2.58780036968576E-4</v>
      </c>
      <c r="E7864" s="1">
        <v>1.06258633513973E-4</v>
      </c>
      <c r="F7864" s="1">
        <v>6.1512676960382199E-4</v>
      </c>
    </row>
    <row r="7865" spans="1:6" x14ac:dyDescent="0.25">
      <c r="A7865" s="2" t="str">
        <f t="shared" si="298"/>
        <v>48620</v>
      </c>
      <c r="B7865" s="2" t="str">
        <f>"67119"</f>
        <v>67119</v>
      </c>
      <c r="C7865" s="1">
        <v>2.2195930746029798E-3</v>
      </c>
      <c r="D7865" s="1">
        <v>3.6968576709796601E-4</v>
      </c>
      <c r="E7865" s="1">
        <v>1.27510360216767E-3</v>
      </c>
      <c r="F7865" s="1">
        <v>2.0444793115334701E-3</v>
      </c>
    </row>
    <row r="7866" spans="1:6" x14ac:dyDescent="0.25">
      <c r="A7866" s="2" t="str">
        <f t="shared" si="298"/>
        <v>48620</v>
      </c>
      <c r="B7866" s="2" t="str">
        <f>"67118"</f>
        <v>67118</v>
      </c>
      <c r="C7866" s="1">
        <v>2.6661778673909698E-5</v>
      </c>
      <c r="D7866" s="1">
        <v>0</v>
      </c>
      <c r="E7866" s="1">
        <v>0</v>
      </c>
      <c r="F7866" s="1">
        <v>2.3773015250389199E-5</v>
      </c>
    </row>
    <row r="7867" spans="1:6" x14ac:dyDescent="0.25">
      <c r="A7867" s="2" t="str">
        <f t="shared" si="298"/>
        <v>48620</v>
      </c>
      <c r="B7867" s="2" t="str">
        <f>"67114"</f>
        <v>67114</v>
      </c>
      <c r="C7867" s="1">
        <v>3.4217060205628903E-2</v>
      </c>
      <c r="D7867" s="1">
        <v>4.2181146025877997E-2</v>
      </c>
      <c r="E7867" s="1">
        <v>2.99649346509403E-2</v>
      </c>
      <c r="F7867" s="1">
        <v>3.4738318534631302E-2</v>
      </c>
    </row>
    <row r="7868" spans="1:6" x14ac:dyDescent="0.25">
      <c r="A7868" s="2" t="str">
        <f t="shared" si="298"/>
        <v>48620</v>
      </c>
      <c r="B7868" s="2" t="str">
        <f>"67052"</f>
        <v>67052</v>
      </c>
      <c r="C7868" s="1">
        <v>1.1521221109463201E-2</v>
      </c>
      <c r="D7868" s="1">
        <v>5.7670979667282796E-3</v>
      </c>
      <c r="E7868" s="1">
        <v>5.84422484326851E-3</v>
      </c>
      <c r="F7868" s="1">
        <v>1.08999274923034E-2</v>
      </c>
    </row>
    <row r="7869" spans="1:6" x14ac:dyDescent="0.25">
      <c r="A7869" s="2" t="str">
        <f t="shared" si="298"/>
        <v>48620</v>
      </c>
      <c r="B7869" s="2" t="str">
        <f>"67037"</f>
        <v>67037</v>
      </c>
      <c r="C7869" s="1">
        <v>4.3472030127809903E-2</v>
      </c>
      <c r="D7869" s="1">
        <v>3.5194085027726398E-2</v>
      </c>
      <c r="E7869" s="1">
        <v>2.1251726702794599E-2</v>
      </c>
      <c r="F7869" s="1">
        <v>4.2185215561815703E-2</v>
      </c>
    </row>
    <row r="7870" spans="1:6" x14ac:dyDescent="0.25">
      <c r="A7870" s="2" t="str">
        <f t="shared" si="298"/>
        <v>48620</v>
      </c>
      <c r="B7870" s="2" t="str">
        <f>"67221"</f>
        <v>67221</v>
      </c>
      <c r="C7870" s="1">
        <v>6.6654446684774399E-6</v>
      </c>
      <c r="D7870" s="1">
        <v>7.3937153419593294E-5</v>
      </c>
      <c r="E7870" s="1">
        <v>0.11741579003294</v>
      </c>
      <c r="F7870" s="1">
        <v>3.2955342390852101E-3</v>
      </c>
    </row>
    <row r="7871" spans="1:6" x14ac:dyDescent="0.25">
      <c r="A7871" s="2" t="str">
        <f t="shared" si="298"/>
        <v>48620</v>
      </c>
      <c r="B7871" s="2" t="str">
        <f>"67213"</f>
        <v>67213</v>
      </c>
      <c r="C7871" s="1">
        <v>3.5380180300278202E-2</v>
      </c>
      <c r="D7871" s="1">
        <v>4.4990757855822502E-2</v>
      </c>
      <c r="E7871" s="1">
        <v>5.6635851662947601E-2</v>
      </c>
      <c r="F7871" s="1">
        <v>3.67471383232892E-2</v>
      </c>
    </row>
    <row r="7872" spans="1:6" x14ac:dyDescent="0.25">
      <c r="A7872" s="2" t="str">
        <f t="shared" si="298"/>
        <v>48620</v>
      </c>
      <c r="B7872" s="2" t="str">
        <f>"67206"</f>
        <v>67206</v>
      </c>
      <c r="C7872" s="1">
        <v>2.69950509073336E-2</v>
      </c>
      <c r="D7872" s="1">
        <v>3.9741219963031399E-2</v>
      </c>
      <c r="E7872" s="1">
        <v>3.3471469556901397E-2</v>
      </c>
      <c r="F7872" s="1">
        <v>2.8200739340774199E-2</v>
      </c>
    </row>
    <row r="7873" spans="1:6" x14ac:dyDescent="0.25">
      <c r="A7873" s="2" t="str">
        <f t="shared" si="298"/>
        <v>48620</v>
      </c>
      <c r="B7873" s="2" t="str">
        <f>"67149"</f>
        <v>67149</v>
      </c>
      <c r="C7873" s="1">
        <v>1.4663978270650301E-3</v>
      </c>
      <c r="D7873" s="1">
        <v>5.1756007393715297E-4</v>
      </c>
      <c r="E7873" s="1">
        <v>3.1877590054191901E-4</v>
      </c>
      <c r="F7873" s="1">
        <v>1.3580334961784801E-3</v>
      </c>
    </row>
    <row r="7874" spans="1:6" x14ac:dyDescent="0.25">
      <c r="A7874" s="2" t="str">
        <f t="shared" ref="A7874:A7905" si="299">"48620"</f>
        <v>48620</v>
      </c>
      <c r="B7874" s="2" t="str">
        <f>"67140"</f>
        <v>67140</v>
      </c>
      <c r="C7874" s="1">
        <v>1.3597507123693901E-3</v>
      </c>
      <c r="D7874" s="1">
        <v>6.2846580406654298E-4</v>
      </c>
      <c r="E7874" s="1">
        <v>8.5006906811178396E-4</v>
      </c>
      <c r="F7874" s="1">
        <v>1.28671445042731E-3</v>
      </c>
    </row>
    <row r="7875" spans="1:6" x14ac:dyDescent="0.25">
      <c r="A7875" s="2" t="str">
        <f t="shared" si="299"/>
        <v>48620</v>
      </c>
      <c r="B7875" s="2" t="str">
        <f>"67031"</f>
        <v>67031</v>
      </c>
      <c r="C7875" s="1">
        <v>3.03944276882571E-3</v>
      </c>
      <c r="D7875" s="1">
        <v>1.4787430683918599E-3</v>
      </c>
      <c r="E7875" s="1">
        <v>4.2503453405589198E-4</v>
      </c>
      <c r="F7875" s="1">
        <v>2.8408753224215101E-3</v>
      </c>
    </row>
    <row r="7876" spans="1:6" x14ac:dyDescent="0.25">
      <c r="A7876" s="2" t="str">
        <f t="shared" si="299"/>
        <v>48620</v>
      </c>
      <c r="B7876" s="2" t="str">
        <f>"67214"</f>
        <v>67214</v>
      </c>
      <c r="C7876" s="1">
        <v>2.7511622869140599E-2</v>
      </c>
      <c r="D7876" s="1">
        <v>6.1996303142328998E-2</v>
      </c>
      <c r="E7876" s="1">
        <v>5.7167144830517401E-2</v>
      </c>
      <c r="F7876" s="1">
        <v>3.11129337089469E-2</v>
      </c>
    </row>
    <row r="7877" spans="1:6" x14ac:dyDescent="0.25">
      <c r="A7877" s="2" t="str">
        <f t="shared" si="299"/>
        <v>48620</v>
      </c>
      <c r="B7877" s="2" t="str">
        <f>"67226"</f>
        <v>67226</v>
      </c>
      <c r="C7877" s="1">
        <v>3.1740847511289499E-2</v>
      </c>
      <c r="D7877" s="1">
        <v>3.6081330868761502E-2</v>
      </c>
      <c r="E7877" s="1">
        <v>3.8890659866114098E-2</v>
      </c>
      <c r="F7877" s="1">
        <v>3.22896979638412E-2</v>
      </c>
    </row>
    <row r="7878" spans="1:6" x14ac:dyDescent="0.25">
      <c r="A7878" s="2" t="str">
        <f t="shared" si="299"/>
        <v>48620</v>
      </c>
      <c r="B7878" s="2" t="str">
        <f>"67012"</f>
        <v>67012</v>
      </c>
      <c r="C7878" s="1">
        <v>1.7330156138041299E-4</v>
      </c>
      <c r="D7878" s="1">
        <v>1.84842883548983E-4</v>
      </c>
      <c r="E7878" s="1">
        <v>1.06258633513973E-4</v>
      </c>
      <c r="F7878" s="1">
        <v>1.7235436056532201E-4</v>
      </c>
    </row>
    <row r="7879" spans="1:6" x14ac:dyDescent="0.25">
      <c r="A7879" s="2" t="str">
        <f t="shared" si="299"/>
        <v>48620</v>
      </c>
      <c r="B7879" s="2" t="str">
        <f>"67013"</f>
        <v>67013</v>
      </c>
      <c r="C7879" s="1">
        <v>4.5458332639016098E-3</v>
      </c>
      <c r="D7879" s="1">
        <v>2.62476894639556E-3</v>
      </c>
      <c r="E7879" s="1">
        <v>1.27510360216767E-3</v>
      </c>
      <c r="F7879" s="1">
        <v>4.2999441334141599E-3</v>
      </c>
    </row>
    <row r="7880" spans="1:6" x14ac:dyDescent="0.25">
      <c r="A7880" s="2" t="str">
        <f t="shared" si="299"/>
        <v>48620</v>
      </c>
      <c r="B7880" s="2" t="str">
        <f>"67004"</f>
        <v>67004</v>
      </c>
      <c r="C7880" s="1">
        <v>1.2497708753395199E-3</v>
      </c>
      <c r="D7880" s="1">
        <v>7.7634011090572995E-4</v>
      </c>
      <c r="E7880" s="1">
        <v>1.06258633513973E-4</v>
      </c>
      <c r="F7880" s="1">
        <v>1.17973588180056E-3</v>
      </c>
    </row>
    <row r="7881" spans="1:6" x14ac:dyDescent="0.25">
      <c r="A7881" s="2" t="str">
        <f t="shared" si="299"/>
        <v>48620</v>
      </c>
      <c r="B7881" s="2" t="str">
        <f>"67055"</f>
        <v>67055</v>
      </c>
      <c r="C7881" s="1">
        <v>1.06647114695639E-4</v>
      </c>
      <c r="D7881" s="1">
        <v>0</v>
      </c>
      <c r="E7881" s="1">
        <v>1.06258633513973E-4</v>
      </c>
      <c r="F7881" s="1">
        <v>9.8063687907855705E-5</v>
      </c>
    </row>
    <row r="7882" spans="1:6" x14ac:dyDescent="0.25">
      <c r="A7882" s="2" t="str">
        <f t="shared" si="299"/>
        <v>48620</v>
      </c>
      <c r="B7882" s="2" t="str">
        <f>"67062"</f>
        <v>67062</v>
      </c>
      <c r="C7882" s="1">
        <v>6.3521687690589997E-3</v>
      </c>
      <c r="D7882" s="1">
        <v>5.3974121996303104E-3</v>
      </c>
      <c r="E7882" s="1">
        <v>4.56912124110083E-3</v>
      </c>
      <c r="F7882" s="1">
        <v>6.2255583686956903E-3</v>
      </c>
    </row>
    <row r="7883" spans="1:6" x14ac:dyDescent="0.25">
      <c r="A7883" s="2" t="str">
        <f t="shared" si="299"/>
        <v>48620</v>
      </c>
      <c r="B7883" s="2" t="str">
        <f>"67146"</f>
        <v>67146</v>
      </c>
      <c r="C7883" s="1">
        <v>2.4662145273366499E-4</v>
      </c>
      <c r="D7883" s="1">
        <v>0</v>
      </c>
      <c r="E7883" s="1">
        <v>0</v>
      </c>
      <c r="F7883" s="1">
        <v>2.199003910661E-4</v>
      </c>
    </row>
    <row r="7884" spans="1:6" x14ac:dyDescent="0.25">
      <c r="A7884" s="2" t="str">
        <f t="shared" si="299"/>
        <v>48620</v>
      </c>
      <c r="B7884" s="2" t="str">
        <f>"67144"</f>
        <v>67144</v>
      </c>
      <c r="C7884" s="1">
        <v>4.1225775274533003E-3</v>
      </c>
      <c r="D7884" s="1">
        <v>1.0720887245841001E-3</v>
      </c>
      <c r="E7884" s="1">
        <v>5.3129316756986495E-4</v>
      </c>
      <c r="F7884" s="1">
        <v>3.7769377979055899E-3</v>
      </c>
    </row>
    <row r="7885" spans="1:6" x14ac:dyDescent="0.25">
      <c r="A7885" s="2" t="str">
        <f t="shared" si="299"/>
        <v>48620</v>
      </c>
      <c r="B7885" s="2" t="str">
        <f>"67039"</f>
        <v>67039</v>
      </c>
      <c r="C7885" s="1">
        <v>5.38567929212977E-3</v>
      </c>
      <c r="D7885" s="1">
        <v>1.5157116451016599E-3</v>
      </c>
      <c r="E7885" s="1">
        <v>3.4002762724471302E-3</v>
      </c>
      <c r="F7885" s="1">
        <v>5.0190778447384296E-3</v>
      </c>
    </row>
    <row r="7886" spans="1:6" x14ac:dyDescent="0.25">
      <c r="A7886" s="2" t="str">
        <f t="shared" si="299"/>
        <v>48620</v>
      </c>
      <c r="B7886" s="2" t="str">
        <f>"67030"</f>
        <v>67030</v>
      </c>
      <c r="C7886" s="1">
        <v>3.6093382879805302E-3</v>
      </c>
      <c r="D7886" s="1">
        <v>1.7005545286506399E-3</v>
      </c>
      <c r="E7886" s="1">
        <v>9.5632770162575704E-4</v>
      </c>
      <c r="F7886" s="1">
        <v>3.3817114193678702E-3</v>
      </c>
    </row>
    <row r="7887" spans="1:6" x14ac:dyDescent="0.25">
      <c r="A7887" s="2" t="str">
        <f t="shared" si="299"/>
        <v>48620</v>
      </c>
      <c r="B7887" s="2" t="str">
        <f>"67232"</f>
        <v>67232</v>
      </c>
      <c r="C7887" s="1">
        <v>5.3990101814667304E-4</v>
      </c>
      <c r="D7887" s="1">
        <v>0</v>
      </c>
      <c r="E7887" s="1">
        <v>5.3129316756986495E-4</v>
      </c>
      <c r="F7887" s="1">
        <v>4.9626169335187603E-4</v>
      </c>
    </row>
    <row r="7888" spans="1:6" x14ac:dyDescent="0.25">
      <c r="A7888" s="2" t="str">
        <f t="shared" si="299"/>
        <v>48620</v>
      </c>
      <c r="B7888" s="2" t="str">
        <f>"67215"</f>
        <v>67215</v>
      </c>
      <c r="C7888" s="1">
        <v>7.7719084834447002E-3</v>
      </c>
      <c r="D7888" s="1">
        <v>4.6580406654343799E-3</v>
      </c>
      <c r="E7888" s="1">
        <v>1.91265540325151E-3</v>
      </c>
      <c r="F7888" s="1">
        <v>7.3577482199954801E-3</v>
      </c>
    </row>
    <row r="7889" spans="1:6" x14ac:dyDescent="0.25">
      <c r="A7889" s="2" t="str">
        <f t="shared" si="299"/>
        <v>48620</v>
      </c>
      <c r="B7889" s="2" t="str">
        <f>"67016"</f>
        <v>67016</v>
      </c>
      <c r="C7889" s="1">
        <v>7.9985336021729295E-4</v>
      </c>
      <c r="D7889" s="1">
        <v>0</v>
      </c>
      <c r="E7889" s="1">
        <v>2.1251726702794599E-4</v>
      </c>
      <c r="F7889" s="1">
        <v>7.1913371132427504E-4</v>
      </c>
    </row>
    <row r="7890" spans="1:6" x14ac:dyDescent="0.25">
      <c r="A7890" s="2" t="str">
        <f t="shared" si="299"/>
        <v>48620</v>
      </c>
      <c r="B7890" s="2" t="str">
        <f>"67017"</f>
        <v>67017</v>
      </c>
      <c r="C7890" s="1">
        <v>3.5293529519587999E-3</v>
      </c>
      <c r="D7890" s="1">
        <v>8.8724584103511996E-4</v>
      </c>
      <c r="E7890" s="1">
        <v>8.5006906811178396E-4</v>
      </c>
      <c r="F7890" s="1">
        <v>3.2420449547718301E-3</v>
      </c>
    </row>
    <row r="7891" spans="1:6" x14ac:dyDescent="0.25">
      <c r="A7891" s="2" t="str">
        <f t="shared" si="299"/>
        <v>48620</v>
      </c>
      <c r="B7891" s="2" t="str">
        <f>"66840"</f>
        <v>66840</v>
      </c>
      <c r="C7891" s="1">
        <v>5.2657012880971796E-4</v>
      </c>
      <c r="D7891" s="1">
        <v>3.6968576709796599E-5</v>
      </c>
      <c r="E7891" s="1">
        <v>2.1251726702794599E-4</v>
      </c>
      <c r="F7891" s="1">
        <v>4.7843193191408402E-4</v>
      </c>
    </row>
    <row r="7892" spans="1:6" x14ac:dyDescent="0.25">
      <c r="A7892" s="2" t="str">
        <f t="shared" si="299"/>
        <v>48620</v>
      </c>
      <c r="B7892" s="2" t="str">
        <f>"67203"</f>
        <v>67203</v>
      </c>
      <c r="C7892" s="1">
        <v>5.1737181516721902E-2</v>
      </c>
      <c r="D7892" s="1">
        <v>5.3308687615526797E-2</v>
      </c>
      <c r="E7892" s="1">
        <v>6.3967697375411706E-2</v>
      </c>
      <c r="F7892" s="1">
        <v>5.2205541489854797E-2</v>
      </c>
    </row>
    <row r="7893" spans="1:6" x14ac:dyDescent="0.25">
      <c r="A7893" s="2" t="str">
        <f t="shared" si="299"/>
        <v>48620</v>
      </c>
      <c r="B7893" s="2" t="str">
        <f>"67074"</f>
        <v>67074</v>
      </c>
      <c r="C7893" s="1">
        <v>2.6195197547116298E-3</v>
      </c>
      <c r="D7893" s="1">
        <v>5.5452865064695004E-4</v>
      </c>
      <c r="E7893" s="1">
        <v>5.3129316756986495E-4</v>
      </c>
      <c r="F7893" s="1">
        <v>2.3951312864767199E-3</v>
      </c>
    </row>
    <row r="7894" spans="1:6" x14ac:dyDescent="0.25">
      <c r="A7894" s="2" t="str">
        <f t="shared" si="299"/>
        <v>48620</v>
      </c>
      <c r="B7894" s="2" t="str">
        <f>"67072"</f>
        <v>67072</v>
      </c>
      <c r="C7894" s="1">
        <v>4.7324657146189801E-4</v>
      </c>
      <c r="D7894" s="1">
        <v>1.84842883548983E-4</v>
      </c>
      <c r="E7894" s="1">
        <v>4.2503453405589198E-4</v>
      </c>
      <c r="F7894" s="1">
        <v>4.4871566285109701E-4</v>
      </c>
    </row>
    <row r="7895" spans="1:6" x14ac:dyDescent="0.25">
      <c r="A7895" s="2" t="str">
        <f t="shared" si="299"/>
        <v>48620</v>
      </c>
      <c r="B7895" s="2" t="str">
        <f>"67045"</f>
        <v>67045</v>
      </c>
      <c r="C7895" s="1">
        <v>1.33308893369548E-5</v>
      </c>
      <c r="D7895" s="1">
        <v>0</v>
      </c>
      <c r="E7895" s="1">
        <v>0</v>
      </c>
      <c r="F7895" s="1">
        <v>1.18865076251946E-5</v>
      </c>
    </row>
    <row r="7896" spans="1:6" x14ac:dyDescent="0.25">
      <c r="A7896" s="2" t="str">
        <f t="shared" si="299"/>
        <v>48620</v>
      </c>
      <c r="B7896" s="2" t="str">
        <f>"67026"</f>
        <v>67026</v>
      </c>
      <c r="C7896" s="1">
        <v>6.8254153405209001E-3</v>
      </c>
      <c r="D7896" s="1">
        <v>3.4750462107208798E-3</v>
      </c>
      <c r="E7896" s="1">
        <v>2.5502072043353499E-3</v>
      </c>
      <c r="F7896" s="1">
        <v>6.43654387904289E-3</v>
      </c>
    </row>
    <row r="7897" spans="1:6" x14ac:dyDescent="0.25">
      <c r="A7897" s="2" t="str">
        <f t="shared" si="299"/>
        <v>48620</v>
      </c>
      <c r="B7897" s="2" t="str">
        <f>"67275"</f>
        <v>67275</v>
      </c>
      <c r="C7897" s="1">
        <v>8.3651330589391902E-4</v>
      </c>
      <c r="D7897" s="1">
        <v>4.9168207024029497E-3</v>
      </c>
      <c r="E7897" s="1">
        <v>1.06258633513973E-4</v>
      </c>
      <c r="F7897" s="1">
        <v>1.14407635892498E-3</v>
      </c>
    </row>
    <row r="7898" spans="1:6" x14ac:dyDescent="0.25">
      <c r="A7898" s="2" t="str">
        <f t="shared" si="299"/>
        <v>48620</v>
      </c>
      <c r="B7898" s="2" t="str">
        <f>"67546"</f>
        <v>67546</v>
      </c>
      <c r="C7898" s="1">
        <v>9.9981670027161602E-6</v>
      </c>
      <c r="D7898" s="1">
        <v>0</v>
      </c>
      <c r="E7898" s="1">
        <v>0</v>
      </c>
      <c r="F7898" s="1">
        <v>8.9148807188959801E-6</v>
      </c>
    </row>
    <row r="7899" spans="1:6" x14ac:dyDescent="0.25">
      <c r="A7899" s="2" t="str">
        <f t="shared" si="299"/>
        <v>48620</v>
      </c>
      <c r="B7899" s="2" t="str">
        <f>"67211"</f>
        <v>67211</v>
      </c>
      <c r="C7899" s="1">
        <v>3.3147256336338297E-2</v>
      </c>
      <c r="D7899" s="1">
        <v>4.8465804066543397E-2</v>
      </c>
      <c r="E7899" s="1">
        <v>4.8028902348315798E-2</v>
      </c>
      <c r="F7899" s="1">
        <v>3.4794779445851E-2</v>
      </c>
    </row>
    <row r="7900" spans="1:6" x14ac:dyDescent="0.25">
      <c r="A7900" s="2" t="str">
        <f t="shared" si="299"/>
        <v>48620</v>
      </c>
      <c r="B7900" s="2" t="str">
        <f>"67018"</f>
        <v>67018</v>
      </c>
      <c r="C7900" s="1">
        <v>1.6663611671193601E-5</v>
      </c>
      <c r="D7900" s="1">
        <v>0</v>
      </c>
      <c r="E7900" s="1">
        <v>0</v>
      </c>
      <c r="F7900" s="1">
        <v>1.48581345314933E-5</v>
      </c>
    </row>
    <row r="7901" spans="1:6" x14ac:dyDescent="0.25">
      <c r="A7901" s="2" t="str">
        <f t="shared" si="299"/>
        <v>48620</v>
      </c>
      <c r="B7901" s="2" t="str">
        <f>"66842"</f>
        <v>66842</v>
      </c>
      <c r="C7901" s="1">
        <v>5.56564629817866E-4</v>
      </c>
      <c r="D7901" s="1">
        <v>1.4787430683918599E-4</v>
      </c>
      <c r="E7901" s="1">
        <v>4.2503453405589198E-4</v>
      </c>
      <c r="F7901" s="1">
        <v>5.2003470860226503E-4</v>
      </c>
    </row>
    <row r="7902" spans="1:6" x14ac:dyDescent="0.25">
      <c r="A7902" s="2" t="str">
        <f t="shared" si="299"/>
        <v>48620</v>
      </c>
      <c r="B7902" s="2" t="str">
        <f>"67204"</f>
        <v>67204</v>
      </c>
      <c r="C7902" s="1">
        <v>3.3043941943976897E-2</v>
      </c>
      <c r="D7902" s="1">
        <v>1.6635859519408502E-2</v>
      </c>
      <c r="E7902" s="1">
        <v>1.9657847200085E-2</v>
      </c>
      <c r="F7902" s="1">
        <v>3.13506638614508E-2</v>
      </c>
    </row>
    <row r="7903" spans="1:6" x14ac:dyDescent="0.25">
      <c r="A7903" s="2" t="str">
        <f t="shared" si="299"/>
        <v>48620</v>
      </c>
      <c r="B7903" s="2" t="str">
        <f>"67202"</f>
        <v>67202</v>
      </c>
      <c r="C7903" s="1">
        <v>6.0688873706487099E-3</v>
      </c>
      <c r="D7903" s="1">
        <v>7.2939001848428803E-2</v>
      </c>
      <c r="E7903" s="1">
        <v>2.9752417383912402E-2</v>
      </c>
      <c r="F7903" s="1">
        <v>1.21064080162607E-2</v>
      </c>
    </row>
    <row r="7904" spans="1:6" x14ac:dyDescent="0.25">
      <c r="A7904" s="2" t="str">
        <f t="shared" si="299"/>
        <v>48620</v>
      </c>
      <c r="B7904" s="2" t="str">
        <f>"67207"</f>
        <v>67207</v>
      </c>
      <c r="C7904" s="1">
        <v>4.4445185049407601E-2</v>
      </c>
      <c r="D7904" s="1">
        <v>3.5009242144177402E-2</v>
      </c>
      <c r="E7904" s="1">
        <v>4.9197747316969499E-2</v>
      </c>
      <c r="F7904" s="1">
        <v>4.3819610360280002E-2</v>
      </c>
    </row>
    <row r="7905" spans="1:6" x14ac:dyDescent="0.25">
      <c r="A7905" s="2" t="str">
        <f t="shared" si="299"/>
        <v>48620</v>
      </c>
      <c r="B7905" s="2" t="str">
        <f>"67106"</f>
        <v>67106</v>
      </c>
      <c r="C7905" s="1">
        <v>6.1988635416840201E-4</v>
      </c>
      <c r="D7905" s="1">
        <v>3.6968576709796601E-4</v>
      </c>
      <c r="E7905" s="1">
        <v>3.1877590054191901E-4</v>
      </c>
      <c r="F7905" s="1">
        <v>5.9135375435343299E-4</v>
      </c>
    </row>
    <row r="7906" spans="1:6" x14ac:dyDescent="0.25">
      <c r="A7906" s="2" t="str">
        <f t="shared" ref="A7906:A7936" si="300">"48620"</f>
        <v>48620</v>
      </c>
      <c r="B7906" s="2" t="str">
        <f>"67060"</f>
        <v>67060</v>
      </c>
      <c r="C7906" s="1">
        <v>1.9113162586858998E-2</v>
      </c>
      <c r="D7906" s="1">
        <v>1.08317929759704E-2</v>
      </c>
      <c r="E7906" s="1">
        <v>5.6317075762405602E-3</v>
      </c>
      <c r="F7906" s="1">
        <v>1.8070463217202098E-2</v>
      </c>
    </row>
    <row r="7907" spans="1:6" x14ac:dyDescent="0.25">
      <c r="A7907" s="2" t="str">
        <f t="shared" si="300"/>
        <v>48620</v>
      </c>
      <c r="B7907" s="2" t="str">
        <f>"67135"</f>
        <v>67135</v>
      </c>
      <c r="C7907" s="1">
        <v>4.8557764409858104E-3</v>
      </c>
      <c r="D7907" s="1">
        <v>8.8724584103511996E-4</v>
      </c>
      <c r="E7907" s="1">
        <v>3.1877590054191901E-4</v>
      </c>
      <c r="F7907" s="1">
        <v>4.4098943289472099E-3</v>
      </c>
    </row>
    <row r="7908" spans="1:6" x14ac:dyDescent="0.25">
      <c r="A7908" s="2" t="str">
        <f t="shared" si="300"/>
        <v>48620</v>
      </c>
      <c r="B7908" s="2" t="str">
        <f>"67276"</f>
        <v>67276</v>
      </c>
      <c r="C7908" s="1">
        <v>0</v>
      </c>
      <c r="D7908" s="1">
        <v>3.6968576709796599E-5</v>
      </c>
      <c r="E7908" s="1">
        <v>0</v>
      </c>
      <c r="F7908" s="1">
        <v>2.97162690629866E-6</v>
      </c>
    </row>
    <row r="7909" spans="1:6" x14ac:dyDescent="0.25">
      <c r="A7909" s="2" t="str">
        <f t="shared" si="300"/>
        <v>48620</v>
      </c>
      <c r="B7909" s="2" t="str">
        <f>"67278"</f>
        <v>67278</v>
      </c>
      <c r="C7909" s="1">
        <v>5.0457416140374202E-3</v>
      </c>
      <c r="D7909" s="1">
        <v>2.3548983364140401E-2</v>
      </c>
      <c r="E7909" s="1">
        <v>1.06258633513973E-4</v>
      </c>
      <c r="F7909" s="1">
        <v>6.3949411023547101E-3</v>
      </c>
    </row>
    <row r="7910" spans="1:6" x14ac:dyDescent="0.25">
      <c r="A7910" s="2" t="str">
        <f t="shared" si="300"/>
        <v>48620</v>
      </c>
      <c r="B7910" s="2" t="str">
        <f>"67235"</f>
        <v>67235</v>
      </c>
      <c r="C7910" s="1">
        <v>1.7666761093799398E-2</v>
      </c>
      <c r="D7910" s="1">
        <v>4.7689463955637697E-3</v>
      </c>
      <c r="E7910" s="1">
        <v>3.7190521729890502E-3</v>
      </c>
      <c r="F7910" s="1">
        <v>1.6239941042922101E-2</v>
      </c>
    </row>
    <row r="7911" spans="1:6" x14ac:dyDescent="0.25">
      <c r="A7911" s="2" t="str">
        <f t="shared" si="300"/>
        <v>48620</v>
      </c>
      <c r="B7911" s="2" t="str">
        <f>"67522"</f>
        <v>67522</v>
      </c>
      <c r="C7911" s="1">
        <v>9.9981670027161605E-5</v>
      </c>
      <c r="D7911" s="1">
        <v>0</v>
      </c>
      <c r="E7911" s="1">
        <v>0</v>
      </c>
      <c r="F7911" s="1">
        <v>8.9148807188959805E-5</v>
      </c>
    </row>
    <row r="7912" spans="1:6" x14ac:dyDescent="0.25">
      <c r="A7912" s="2" t="str">
        <f t="shared" si="300"/>
        <v>48620</v>
      </c>
      <c r="B7912" s="2" t="str">
        <f>"67543"</f>
        <v>67543</v>
      </c>
      <c r="C7912" s="1">
        <v>3.3327223342387199E-6</v>
      </c>
      <c r="D7912" s="1">
        <v>0</v>
      </c>
      <c r="E7912" s="1">
        <v>0</v>
      </c>
      <c r="F7912" s="1">
        <v>2.97162690629866E-6</v>
      </c>
    </row>
    <row r="7913" spans="1:6" x14ac:dyDescent="0.25">
      <c r="A7913" s="2" t="str">
        <f t="shared" si="300"/>
        <v>48620</v>
      </c>
      <c r="B7913" s="2" t="str">
        <f>"67219"</f>
        <v>67219</v>
      </c>
      <c r="C7913" s="1">
        <v>1.89631900818183E-2</v>
      </c>
      <c r="D7913" s="1">
        <v>2.1330868761552602E-2</v>
      </c>
      <c r="E7913" s="1">
        <v>7.0130698119222103E-3</v>
      </c>
      <c r="F7913" s="1">
        <v>1.88193131975894E-2</v>
      </c>
    </row>
    <row r="7914" spans="1:6" x14ac:dyDescent="0.25">
      <c r="A7914" s="2" t="str">
        <f t="shared" si="300"/>
        <v>48620</v>
      </c>
      <c r="B7914" s="2" t="str">
        <f>"67216"</f>
        <v>67216</v>
      </c>
      <c r="C7914" s="1">
        <v>3.78164003266067E-2</v>
      </c>
      <c r="D7914" s="1">
        <v>2.42144177449168E-2</v>
      </c>
      <c r="E7914" s="1">
        <v>3.2302624588247703E-2</v>
      </c>
      <c r="F7914" s="1">
        <v>3.6568840708911303E-2</v>
      </c>
    </row>
    <row r="7915" spans="1:6" x14ac:dyDescent="0.25">
      <c r="A7915" s="2" t="str">
        <f t="shared" si="300"/>
        <v>48620</v>
      </c>
      <c r="B7915" s="2" t="str">
        <f>"67210"</f>
        <v>67210</v>
      </c>
      <c r="C7915" s="1">
        <v>1.30776024395527E-2</v>
      </c>
      <c r="D7915" s="1">
        <v>8.8354898336413992E-3</v>
      </c>
      <c r="E7915" s="1">
        <v>1.5407501859526E-2</v>
      </c>
      <c r="F7915" s="1">
        <v>1.2801768712334601E-2</v>
      </c>
    </row>
    <row r="7916" spans="1:6" x14ac:dyDescent="0.25">
      <c r="A7916" s="2" t="str">
        <f t="shared" si="300"/>
        <v>48620</v>
      </c>
      <c r="B7916" s="2" t="str">
        <f>"67209"</f>
        <v>67209</v>
      </c>
      <c r="C7916" s="1">
        <v>1.8746563130092798E-2</v>
      </c>
      <c r="D7916" s="1">
        <v>3.7744916820702398E-2</v>
      </c>
      <c r="E7916" s="1">
        <v>2.7839761980660901E-2</v>
      </c>
      <c r="F7916" s="1">
        <v>2.0527998668711099E-2</v>
      </c>
    </row>
    <row r="7917" spans="1:6" x14ac:dyDescent="0.25">
      <c r="A7917" s="2" t="str">
        <f t="shared" si="300"/>
        <v>48620</v>
      </c>
      <c r="B7917" s="2" t="str">
        <f>"67208"</f>
        <v>67208</v>
      </c>
      <c r="C7917" s="1">
        <v>3.35271866824415E-2</v>
      </c>
      <c r="D7917" s="1">
        <v>4.1035120147874297E-2</v>
      </c>
      <c r="E7917" s="1">
        <v>3.6871745829348601E-2</v>
      </c>
      <c r="F7917" s="1">
        <v>3.4224227079841602E-2</v>
      </c>
    </row>
    <row r="7918" spans="1:6" x14ac:dyDescent="0.25">
      <c r="A7918" s="2" t="str">
        <f t="shared" si="300"/>
        <v>48620</v>
      </c>
      <c r="B7918" s="2" t="str">
        <f>"67205"</f>
        <v>67205</v>
      </c>
      <c r="C7918" s="1">
        <v>2.6538467947542901E-2</v>
      </c>
      <c r="D7918" s="1">
        <v>2.4584103512014701E-2</v>
      </c>
      <c r="E7918" s="1">
        <v>2.4333227074699801E-2</v>
      </c>
      <c r="F7918" s="1">
        <v>2.6319699509087201E-2</v>
      </c>
    </row>
    <row r="7919" spans="1:6" x14ac:dyDescent="0.25">
      <c r="A7919" s="2" t="str">
        <f t="shared" si="300"/>
        <v>48620</v>
      </c>
      <c r="B7919" s="2" t="str">
        <f>"67103"</f>
        <v>67103</v>
      </c>
      <c r="C7919" s="1">
        <v>4.9324290546732999E-4</v>
      </c>
      <c r="D7919" s="1">
        <v>2.58780036968576E-4</v>
      </c>
      <c r="E7919" s="1">
        <v>3.1877590054191901E-4</v>
      </c>
      <c r="F7919" s="1">
        <v>4.6951705119518798E-4</v>
      </c>
    </row>
    <row r="7920" spans="1:6" x14ac:dyDescent="0.25">
      <c r="A7920" s="2" t="str">
        <f t="shared" si="300"/>
        <v>48620</v>
      </c>
      <c r="B7920" s="2" t="str">
        <f>"67108"</f>
        <v>67108</v>
      </c>
      <c r="C7920" s="1">
        <v>1.92298078685574E-3</v>
      </c>
      <c r="D7920" s="1">
        <v>4.4362292051755998E-4</v>
      </c>
      <c r="E7920" s="1">
        <v>8.5006906811178396E-4</v>
      </c>
      <c r="F7920" s="1">
        <v>1.7740612630603001E-3</v>
      </c>
    </row>
    <row r="7921" spans="1:6" x14ac:dyDescent="0.25">
      <c r="A7921" s="2" t="str">
        <f t="shared" si="300"/>
        <v>48620</v>
      </c>
      <c r="B7921" s="2" t="str">
        <f>"67107"</f>
        <v>67107</v>
      </c>
      <c r="C7921" s="1">
        <v>4.09924847111362E-4</v>
      </c>
      <c r="D7921" s="1">
        <v>3.6968576709796599E-5</v>
      </c>
      <c r="E7921" s="1">
        <v>1.06258633513973E-4</v>
      </c>
      <c r="F7921" s="1">
        <v>3.7145336328733202E-4</v>
      </c>
    </row>
    <row r="7922" spans="1:6" x14ac:dyDescent="0.25">
      <c r="A7922" s="2" t="str">
        <f t="shared" si="300"/>
        <v>48620</v>
      </c>
      <c r="B7922" s="2" t="str">
        <f>"67056"</f>
        <v>67056</v>
      </c>
      <c r="C7922" s="1">
        <v>4.5591641532385704E-3</v>
      </c>
      <c r="D7922" s="1">
        <v>4.2513863216266101E-3</v>
      </c>
      <c r="E7922" s="1">
        <v>2.9752417383912401E-3</v>
      </c>
      <c r="F7922" s="1">
        <v>4.4901282554172701E-3</v>
      </c>
    </row>
    <row r="7923" spans="1:6" x14ac:dyDescent="0.25">
      <c r="A7923" s="2" t="str">
        <f t="shared" si="300"/>
        <v>48620</v>
      </c>
      <c r="B7923" s="2" t="str">
        <f>"67132"</f>
        <v>67132</v>
      </c>
      <c r="C7923" s="1">
        <v>4.63248404459182E-4</v>
      </c>
      <c r="D7923" s="1">
        <v>7.3937153419593294E-5</v>
      </c>
      <c r="E7923" s="1">
        <v>1.06258633513973E-4</v>
      </c>
      <c r="F7923" s="1">
        <v>4.2197102069440901E-4</v>
      </c>
    </row>
    <row r="7924" spans="1:6" x14ac:dyDescent="0.25">
      <c r="A7924" s="2" t="str">
        <f t="shared" si="300"/>
        <v>48620</v>
      </c>
      <c r="B7924" s="2" t="str">
        <f>"67133"</f>
        <v>67133</v>
      </c>
      <c r="C7924" s="1">
        <v>8.60175634467014E-3</v>
      </c>
      <c r="D7924" s="1">
        <v>2.8096118299445398E-3</v>
      </c>
      <c r="E7924" s="1">
        <v>2.0189140367654801E-3</v>
      </c>
      <c r="F7924" s="1">
        <v>7.9520736012552093E-3</v>
      </c>
    </row>
    <row r="7925" spans="1:6" x14ac:dyDescent="0.25">
      <c r="A7925" s="2" t="str">
        <f t="shared" si="300"/>
        <v>48620</v>
      </c>
      <c r="B7925" s="2" t="str">
        <f>"67120"</f>
        <v>67120</v>
      </c>
      <c r="C7925" s="1">
        <v>1.9296462315242201E-3</v>
      </c>
      <c r="D7925" s="1">
        <v>3.3271719038817003E-4</v>
      </c>
      <c r="E7925" s="1">
        <v>2.1251726702794599E-4</v>
      </c>
      <c r="F7925" s="1">
        <v>1.7532598747161999E-3</v>
      </c>
    </row>
    <row r="7926" spans="1:6" x14ac:dyDescent="0.25">
      <c r="A7926" s="2" t="str">
        <f t="shared" si="300"/>
        <v>48620</v>
      </c>
      <c r="B7926" s="2" t="str">
        <f>"67049"</f>
        <v>67049</v>
      </c>
      <c r="C7926" s="1">
        <v>1.6663611671193601E-5</v>
      </c>
      <c r="D7926" s="1">
        <v>0</v>
      </c>
      <c r="E7926" s="1">
        <v>0</v>
      </c>
      <c r="F7926" s="1">
        <v>1.48581345314933E-5</v>
      </c>
    </row>
    <row r="7927" spans="1:6" x14ac:dyDescent="0.25">
      <c r="A7927" s="2" t="str">
        <f t="shared" si="300"/>
        <v>48620</v>
      </c>
      <c r="B7927" s="2" t="str">
        <f>"67051"</f>
        <v>67051</v>
      </c>
      <c r="C7927" s="1">
        <v>6.2655179883687896E-4</v>
      </c>
      <c r="D7927" s="1">
        <v>1.4787430683918599E-4</v>
      </c>
      <c r="E7927" s="1">
        <v>1.06258633513973E-4</v>
      </c>
      <c r="F7927" s="1">
        <v>5.7352399291564103E-4</v>
      </c>
    </row>
    <row r="7928" spans="1:6" x14ac:dyDescent="0.25">
      <c r="A7928" s="2" t="str">
        <f t="shared" si="300"/>
        <v>48620</v>
      </c>
      <c r="B7928" s="2" t="str">
        <f>"67050"</f>
        <v>67050</v>
      </c>
      <c r="C7928" s="1">
        <v>2.74283048107846E-3</v>
      </c>
      <c r="D7928" s="1">
        <v>1.1460258780036901E-3</v>
      </c>
      <c r="E7928" s="1">
        <v>9.5632770162575704E-4</v>
      </c>
      <c r="F7928" s="1">
        <v>2.5645140201357398E-3</v>
      </c>
    </row>
    <row r="7929" spans="1:6" x14ac:dyDescent="0.25">
      <c r="A7929" s="2" t="str">
        <f t="shared" si="300"/>
        <v>48620</v>
      </c>
      <c r="B7929" s="2" t="str">
        <f>"67260"</f>
        <v>67260</v>
      </c>
      <c r="C7929" s="1">
        <v>0</v>
      </c>
      <c r="D7929" s="1">
        <v>7.3937153419593294E-5</v>
      </c>
      <c r="E7929" s="1">
        <v>0</v>
      </c>
      <c r="F7929" s="1">
        <v>5.9432538125973201E-6</v>
      </c>
    </row>
    <row r="7930" spans="1:6" x14ac:dyDescent="0.25">
      <c r="A7930" s="2" t="str">
        <f t="shared" si="300"/>
        <v>48620</v>
      </c>
      <c r="B7930" s="2" t="str">
        <f>"67228"</f>
        <v>67228</v>
      </c>
      <c r="C7930" s="1">
        <v>2.7128359800703199E-3</v>
      </c>
      <c r="D7930" s="1">
        <v>1.1090573012938999E-4</v>
      </c>
      <c r="E7930" s="1">
        <v>1.06258633513973E-4</v>
      </c>
      <c r="F7930" s="1">
        <v>2.4307908093523E-3</v>
      </c>
    </row>
    <row r="7931" spans="1:6" x14ac:dyDescent="0.25">
      <c r="A7931" s="2" t="str">
        <f t="shared" si="300"/>
        <v>48620</v>
      </c>
      <c r="B7931" s="2" t="str">
        <f>"67025"</f>
        <v>67025</v>
      </c>
      <c r="C7931" s="1">
        <v>4.6524803785972504E-3</v>
      </c>
      <c r="D7931" s="1">
        <v>1.7005545286506399E-3</v>
      </c>
      <c r="E7931" s="1">
        <v>2.3376899373074001E-3</v>
      </c>
      <c r="F7931" s="1">
        <v>4.3504617908212296E-3</v>
      </c>
    </row>
    <row r="7932" spans="1:6" x14ac:dyDescent="0.25">
      <c r="A7932" s="2" t="str">
        <f t="shared" si="300"/>
        <v>48620</v>
      </c>
      <c r="B7932" s="2" t="str">
        <f>"67002"</f>
        <v>67002</v>
      </c>
      <c r="C7932" s="1">
        <v>2.2322574194730899E-2</v>
      </c>
      <c r="D7932" s="1">
        <v>2.5804066543438E-2</v>
      </c>
      <c r="E7932" s="1">
        <v>1.0625863351397299E-2</v>
      </c>
      <c r="F7932" s="1">
        <v>2.2275315289614701E-2</v>
      </c>
    </row>
    <row r="7933" spans="1:6" x14ac:dyDescent="0.25">
      <c r="A7933" s="2" t="str">
        <f t="shared" si="300"/>
        <v>48620</v>
      </c>
      <c r="B7933" s="2" t="str">
        <f>"67105"</f>
        <v>67105</v>
      </c>
      <c r="C7933" s="1">
        <v>3.4660312276082702E-4</v>
      </c>
      <c r="D7933" s="1">
        <v>3.6968576709796599E-5</v>
      </c>
      <c r="E7933" s="1">
        <v>1.06258633513973E-4</v>
      </c>
      <c r="F7933" s="1">
        <v>3.1499245206765799E-4</v>
      </c>
    </row>
    <row r="7934" spans="1:6" x14ac:dyDescent="0.25">
      <c r="A7934" s="2" t="str">
        <f t="shared" si="300"/>
        <v>48620</v>
      </c>
      <c r="B7934" s="2" t="str">
        <f>"67067"</f>
        <v>67067</v>
      </c>
      <c r="C7934" s="1">
        <v>2.9227974871273502E-3</v>
      </c>
      <c r="D7934" s="1">
        <v>1.7005545286506399E-3</v>
      </c>
      <c r="E7934" s="1">
        <v>7.4381043459781099E-4</v>
      </c>
      <c r="F7934" s="1">
        <v>2.7636130228577498E-3</v>
      </c>
    </row>
    <row r="7935" spans="1:6" x14ac:dyDescent="0.25">
      <c r="A7935" s="2" t="str">
        <f t="shared" si="300"/>
        <v>48620</v>
      </c>
      <c r="B7935" s="2" t="str">
        <f>"67147"</f>
        <v>67147</v>
      </c>
      <c r="C7935" s="1">
        <v>1.43273733148922E-2</v>
      </c>
      <c r="D7935" s="1">
        <v>9.4269870609981505E-3</v>
      </c>
      <c r="E7935" s="1">
        <v>7.4381043459781099E-3</v>
      </c>
      <c r="F7935" s="1">
        <v>1.3740802814724999E-2</v>
      </c>
    </row>
    <row r="7936" spans="1:6" x14ac:dyDescent="0.25">
      <c r="A7936" s="2" t="str">
        <f t="shared" si="300"/>
        <v>48620</v>
      </c>
      <c r="B7936" s="2" t="str">
        <f>"67123"</f>
        <v>67123</v>
      </c>
      <c r="C7936" s="1">
        <v>1.11646198196997E-3</v>
      </c>
      <c r="D7936" s="1">
        <v>2.9574861367837301E-4</v>
      </c>
      <c r="E7936" s="1">
        <v>3.1877590054191901E-4</v>
      </c>
      <c r="F7936" s="1">
        <v>1.0281829095793299E-3</v>
      </c>
    </row>
    <row r="7937" spans="1:6" x14ac:dyDescent="0.25">
      <c r="A7937" s="2" t="str">
        <f t="shared" ref="A7937:A7959" si="301">"26740"</f>
        <v>26740</v>
      </c>
      <c r="B7937" s="2" t="str">
        <f>"67585"</f>
        <v>67585</v>
      </c>
      <c r="C7937" s="1">
        <v>0</v>
      </c>
      <c r="D7937" s="1">
        <v>0</v>
      </c>
      <c r="E7937" s="1">
        <v>5.1282051282051195E-4</v>
      </c>
      <c r="F7937" s="1">
        <v>2.8723251472066599E-5</v>
      </c>
    </row>
    <row r="7938" spans="1:6" x14ac:dyDescent="0.25">
      <c r="A7938" s="2" t="str">
        <f t="shared" si="301"/>
        <v>26740</v>
      </c>
      <c r="B7938" s="2" t="str">
        <f>"67579"</f>
        <v>67579</v>
      </c>
      <c r="C7938" s="1">
        <v>3.2347504621071999E-3</v>
      </c>
      <c r="D7938" s="1">
        <v>1.16776956014013E-3</v>
      </c>
      <c r="E7938" s="1">
        <v>0</v>
      </c>
      <c r="F7938" s="1">
        <v>2.90104839867873E-3</v>
      </c>
    </row>
    <row r="7939" spans="1:6" x14ac:dyDescent="0.25">
      <c r="A7939" s="2" t="str">
        <f t="shared" si="301"/>
        <v>26740</v>
      </c>
      <c r="B7939" s="2" t="str">
        <f>"67502"</f>
        <v>67502</v>
      </c>
      <c r="C7939" s="1">
        <v>0.37503300765777597</v>
      </c>
      <c r="D7939" s="1">
        <v>0.183729077462047</v>
      </c>
      <c r="E7939" s="1">
        <v>0.479487179487179</v>
      </c>
      <c r="F7939" s="1">
        <v>0.36676719804681801</v>
      </c>
    </row>
    <row r="7940" spans="1:6" x14ac:dyDescent="0.25">
      <c r="A7940" s="2" t="str">
        <f t="shared" si="301"/>
        <v>26740</v>
      </c>
      <c r="B7940" s="2" t="str">
        <f>"67568"</f>
        <v>67568</v>
      </c>
      <c r="C7940" s="1">
        <v>4.8191180353841997E-3</v>
      </c>
      <c r="D7940" s="1">
        <v>1.55702608018684E-3</v>
      </c>
      <c r="E7940" s="1">
        <v>1.02564102564102E-3</v>
      </c>
      <c r="F7940" s="1">
        <v>4.3659342237541204E-3</v>
      </c>
    </row>
    <row r="7941" spans="1:6" x14ac:dyDescent="0.25">
      <c r="A7941" s="2" t="str">
        <f t="shared" si="301"/>
        <v>26740</v>
      </c>
      <c r="B7941" s="2" t="str">
        <f>"67543"</f>
        <v>67543</v>
      </c>
      <c r="C7941" s="1">
        <v>3.0664114074465201E-2</v>
      </c>
      <c r="D7941" s="1">
        <v>1.5570260801868401E-2</v>
      </c>
      <c r="E7941" s="1">
        <v>1.0769230769230699E-2</v>
      </c>
      <c r="F7941" s="1">
        <v>2.8436018957345901E-2</v>
      </c>
    </row>
    <row r="7942" spans="1:6" x14ac:dyDescent="0.25">
      <c r="A7942" s="2" t="str">
        <f t="shared" si="301"/>
        <v>26740</v>
      </c>
      <c r="B7942" s="2" t="str">
        <f>"67512"</f>
        <v>67512</v>
      </c>
      <c r="C7942" s="1">
        <v>1.6503828888301999E-4</v>
      </c>
      <c r="D7942" s="1">
        <v>0</v>
      </c>
      <c r="E7942" s="1">
        <v>0</v>
      </c>
      <c r="F7942" s="1">
        <v>1.43616257360333E-4</v>
      </c>
    </row>
    <row r="7943" spans="1:6" x14ac:dyDescent="0.25">
      <c r="A7943" s="2" t="str">
        <f t="shared" si="301"/>
        <v>26740</v>
      </c>
      <c r="B7943" s="2" t="str">
        <f>"67514"</f>
        <v>67514</v>
      </c>
      <c r="C7943" s="1">
        <v>1.3335093741748001E-2</v>
      </c>
      <c r="D7943" s="1">
        <v>3.5033086804203899E-3</v>
      </c>
      <c r="E7943" s="1">
        <v>4.1025641025641E-3</v>
      </c>
      <c r="F7943" s="1">
        <v>1.2092488869740001E-2</v>
      </c>
    </row>
    <row r="7944" spans="1:6" x14ac:dyDescent="0.25">
      <c r="A7944" s="2" t="str">
        <f t="shared" si="301"/>
        <v>26740</v>
      </c>
      <c r="B7944" s="2" t="str">
        <f>"67035"</f>
        <v>67035</v>
      </c>
      <c r="C7944" s="1">
        <v>5.9413783997887498E-4</v>
      </c>
      <c r="D7944" s="1">
        <v>0</v>
      </c>
      <c r="E7944" s="1">
        <v>0</v>
      </c>
      <c r="F7944" s="1">
        <v>5.1701852649719898E-4</v>
      </c>
    </row>
    <row r="7945" spans="1:6" x14ac:dyDescent="0.25">
      <c r="A7945" s="2" t="str">
        <f t="shared" si="301"/>
        <v>26740</v>
      </c>
      <c r="B7945" s="2" t="str">
        <f>"67546"</f>
        <v>67546</v>
      </c>
      <c r="C7945" s="1">
        <v>4.9511486664906203E-4</v>
      </c>
      <c r="D7945" s="1">
        <v>0</v>
      </c>
      <c r="E7945" s="1">
        <v>0</v>
      </c>
      <c r="F7945" s="1">
        <v>4.3084877208099902E-4</v>
      </c>
    </row>
    <row r="7946" spans="1:6" x14ac:dyDescent="0.25">
      <c r="A7946" s="2" t="str">
        <f t="shared" si="301"/>
        <v>26740</v>
      </c>
      <c r="B7946" s="2" t="str">
        <f>"67583"</f>
        <v>67583</v>
      </c>
      <c r="C7946" s="1">
        <v>1.2839978875099E-2</v>
      </c>
      <c r="D7946" s="1">
        <v>8.9528999610743402E-3</v>
      </c>
      <c r="E7946" s="1">
        <v>0</v>
      </c>
      <c r="F7946" s="1">
        <v>1.18339796064914E-2</v>
      </c>
    </row>
    <row r="7947" spans="1:6" x14ac:dyDescent="0.25">
      <c r="A7947" s="2" t="str">
        <f t="shared" si="301"/>
        <v>26740</v>
      </c>
      <c r="B7947" s="2" t="str">
        <f>"67501"</f>
        <v>67501</v>
      </c>
      <c r="C7947" s="1">
        <v>0.40979007129653999</v>
      </c>
      <c r="D7947" s="1">
        <v>0.68158816660179</v>
      </c>
      <c r="E7947" s="1">
        <v>0.4</v>
      </c>
      <c r="F7947" s="1">
        <v>0.429297716501507</v>
      </c>
    </row>
    <row r="7948" spans="1:6" x14ac:dyDescent="0.25">
      <c r="A7948" s="2" t="str">
        <f t="shared" si="301"/>
        <v>26740</v>
      </c>
      <c r="B7948" s="2" t="str">
        <f>"67510"</f>
        <v>67510</v>
      </c>
      <c r="C7948" s="1">
        <v>4.7861103776076002E-3</v>
      </c>
      <c r="D7948" s="1">
        <v>0</v>
      </c>
      <c r="E7948" s="1">
        <v>1.02564102564102E-3</v>
      </c>
      <c r="F7948" s="1">
        <v>4.2223179663937902E-3</v>
      </c>
    </row>
    <row r="7949" spans="1:6" x14ac:dyDescent="0.25">
      <c r="A7949" s="2" t="str">
        <f t="shared" si="301"/>
        <v>26740</v>
      </c>
      <c r="B7949" s="2" t="str">
        <f>"67505"</f>
        <v>67505</v>
      </c>
      <c r="C7949" s="1">
        <v>4.29759704251386E-2</v>
      </c>
      <c r="D7949" s="1">
        <v>6.9287660568314494E-2</v>
      </c>
      <c r="E7949" s="1">
        <v>7.2820512820512801E-2</v>
      </c>
      <c r="F7949" s="1">
        <v>4.6589113887691998E-2</v>
      </c>
    </row>
    <row r="7950" spans="1:6" x14ac:dyDescent="0.25">
      <c r="A7950" s="2" t="str">
        <f t="shared" si="301"/>
        <v>26740</v>
      </c>
      <c r="B7950" s="2" t="str">
        <f>"67581"</f>
        <v>67581</v>
      </c>
      <c r="C7950" s="1">
        <v>8.0208608397148093E-3</v>
      </c>
      <c r="D7950" s="1">
        <v>2.3355391202802599E-3</v>
      </c>
      <c r="E7950" s="1">
        <v>1.53846153846153E-3</v>
      </c>
      <c r="F7950" s="1">
        <v>7.2382593709607902E-3</v>
      </c>
    </row>
    <row r="7951" spans="1:6" x14ac:dyDescent="0.25">
      <c r="A7951" s="2" t="str">
        <f t="shared" si="301"/>
        <v>26740</v>
      </c>
      <c r="B7951" s="2" t="str">
        <f>"67578"</f>
        <v>67578</v>
      </c>
      <c r="C7951" s="1">
        <v>6.6015315553208303E-5</v>
      </c>
      <c r="D7951" s="1">
        <v>0</v>
      </c>
      <c r="E7951" s="1">
        <v>0</v>
      </c>
      <c r="F7951" s="1">
        <v>5.7446502944133198E-5</v>
      </c>
    </row>
    <row r="7952" spans="1:6" x14ac:dyDescent="0.25">
      <c r="A7952" s="2" t="str">
        <f t="shared" si="301"/>
        <v>26740</v>
      </c>
      <c r="B7952" s="2" t="str">
        <f>"67566"</f>
        <v>67566</v>
      </c>
      <c r="C7952" s="1">
        <v>8.8130446263533103E-3</v>
      </c>
      <c r="D7952" s="1">
        <v>3.8925652004671001E-3</v>
      </c>
      <c r="E7952" s="1">
        <v>4.6153846153846097E-3</v>
      </c>
      <c r="F7952" s="1">
        <v>8.2148499210110502E-3</v>
      </c>
    </row>
    <row r="7953" spans="1:6" x14ac:dyDescent="0.25">
      <c r="A7953" s="2" t="str">
        <f t="shared" si="301"/>
        <v>26740</v>
      </c>
      <c r="B7953" s="2" t="str">
        <f>"67068"</f>
        <v>67068</v>
      </c>
      <c r="C7953" s="1">
        <v>7.5917612886189497E-4</v>
      </c>
      <c r="D7953" s="1">
        <v>0</v>
      </c>
      <c r="E7953" s="1">
        <v>0</v>
      </c>
      <c r="F7953" s="1">
        <v>6.6063478385753195E-4</v>
      </c>
    </row>
    <row r="7954" spans="1:6" x14ac:dyDescent="0.25">
      <c r="A7954" s="2" t="str">
        <f t="shared" si="301"/>
        <v>26740</v>
      </c>
      <c r="B7954" s="2" t="str">
        <f>"67522"</f>
        <v>67522</v>
      </c>
      <c r="C7954" s="1">
        <v>2.7627409559017602E-2</v>
      </c>
      <c r="D7954" s="1">
        <v>1.1288439081354599E-2</v>
      </c>
      <c r="E7954" s="1">
        <v>1.64102564102564E-2</v>
      </c>
      <c r="F7954" s="1">
        <v>2.57934798219158E-2</v>
      </c>
    </row>
    <row r="7955" spans="1:6" x14ac:dyDescent="0.25">
      <c r="A7955" s="2" t="str">
        <f t="shared" si="301"/>
        <v>26740</v>
      </c>
      <c r="B7955" s="2" t="str">
        <f>"67570"</f>
        <v>67570</v>
      </c>
      <c r="C7955" s="1">
        <v>1.9837602323739101E-2</v>
      </c>
      <c r="D7955" s="1">
        <v>5.0603347606072401E-3</v>
      </c>
      <c r="E7955" s="1">
        <v>1.02564102564102E-3</v>
      </c>
      <c r="F7955" s="1">
        <v>1.7693522906793002E-2</v>
      </c>
    </row>
    <row r="7956" spans="1:6" x14ac:dyDescent="0.25">
      <c r="A7956" s="2" t="str">
        <f t="shared" si="301"/>
        <v>26740</v>
      </c>
      <c r="B7956" s="2" t="str">
        <f>"67561"</f>
        <v>67561</v>
      </c>
      <c r="C7956" s="1">
        <v>2.3699498283601701E-2</v>
      </c>
      <c r="D7956" s="1">
        <v>5.8388478007006597E-3</v>
      </c>
      <c r="E7956" s="1">
        <v>6.6666666666666602E-3</v>
      </c>
      <c r="F7956" s="1">
        <v>2.14275455981617E-2</v>
      </c>
    </row>
    <row r="7957" spans="1:6" x14ac:dyDescent="0.25">
      <c r="A7957" s="2" t="str">
        <f t="shared" si="301"/>
        <v>26740</v>
      </c>
      <c r="B7957" s="2" t="str">
        <f>"67025"</f>
        <v>67025</v>
      </c>
      <c r="C7957" s="1">
        <v>1.5183522577237899E-3</v>
      </c>
      <c r="D7957" s="1">
        <v>3.8925652004671E-4</v>
      </c>
      <c r="E7957" s="1">
        <v>0</v>
      </c>
      <c r="F7957" s="1">
        <v>1.34999281918713E-3</v>
      </c>
    </row>
    <row r="7958" spans="1:6" x14ac:dyDescent="0.25">
      <c r="A7958" s="2" t="str">
        <f t="shared" si="301"/>
        <v>26740</v>
      </c>
      <c r="B7958" s="2" t="str">
        <f>"67020"</f>
        <v>67020</v>
      </c>
      <c r="C7958" s="1">
        <v>4.8521256931608097E-3</v>
      </c>
      <c r="D7958" s="1">
        <v>2.7247956403269702E-3</v>
      </c>
      <c r="E7958" s="1">
        <v>0</v>
      </c>
      <c r="F7958" s="1">
        <v>4.4233807266982599E-3</v>
      </c>
    </row>
    <row r="7959" spans="1:6" x14ac:dyDescent="0.25">
      <c r="A7959" s="2" t="str">
        <f t="shared" si="301"/>
        <v>26740</v>
      </c>
      <c r="B7959" s="2" t="str">
        <f>"67108"</f>
        <v>67108</v>
      </c>
      <c r="C7959" s="1">
        <v>6.0734090308951598E-3</v>
      </c>
      <c r="D7959" s="1">
        <v>3.11405216037368E-3</v>
      </c>
      <c r="E7959" s="1">
        <v>0</v>
      </c>
      <c r="F7959" s="1">
        <v>5.5148642826367902E-3</v>
      </c>
    </row>
    <row r="7960" spans="1:6" x14ac:dyDescent="0.25">
      <c r="A7960" s="2" t="str">
        <f t="shared" ref="A7960:A7971" si="302">"32700"</f>
        <v>32700</v>
      </c>
      <c r="B7960" s="2" t="str">
        <f>"67448"</f>
        <v>67448</v>
      </c>
      <c r="C7960" s="1">
        <v>6.7480476154370998E-3</v>
      </c>
      <c r="D7960" s="1">
        <v>9.1827364554637205E-4</v>
      </c>
      <c r="E7960" s="1">
        <v>0</v>
      </c>
      <c r="F7960" s="1">
        <v>6.1220325147949102E-3</v>
      </c>
    </row>
    <row r="7961" spans="1:6" x14ac:dyDescent="0.25">
      <c r="A7961" s="2" t="str">
        <f t="shared" si="302"/>
        <v>32700</v>
      </c>
      <c r="B7961" s="2" t="str">
        <f>"67460"</f>
        <v>67460</v>
      </c>
      <c r="C7961" s="1">
        <v>0.54598529077261304</v>
      </c>
      <c r="D7961" s="1">
        <v>0.71258034894398503</v>
      </c>
      <c r="E7961" s="1">
        <v>0.74468085106382897</v>
      </c>
      <c r="F7961" s="1">
        <v>0.56404326236310398</v>
      </c>
    </row>
    <row r="7962" spans="1:6" x14ac:dyDescent="0.25">
      <c r="A7962" s="2" t="str">
        <f t="shared" si="302"/>
        <v>32700</v>
      </c>
      <c r="B7962" s="2" t="str">
        <f>"67464"</f>
        <v>67464</v>
      </c>
      <c r="C7962" s="1">
        <v>3.8289483660626199E-2</v>
      </c>
      <c r="D7962" s="1">
        <v>2.1120293847566501E-2</v>
      </c>
      <c r="E7962" s="1">
        <v>3.0732860520094499E-2</v>
      </c>
      <c r="F7962" s="1">
        <v>3.6800217672267099E-2</v>
      </c>
    </row>
    <row r="7963" spans="1:6" x14ac:dyDescent="0.25">
      <c r="A7963" s="2" t="str">
        <f t="shared" si="302"/>
        <v>32700</v>
      </c>
      <c r="B7963" s="2" t="str">
        <f>"67443"</f>
        <v>67443</v>
      </c>
      <c r="C7963" s="1">
        <v>5.8154522708317502E-2</v>
      </c>
      <c r="D7963" s="1">
        <v>2.5711662075298399E-2</v>
      </c>
      <c r="E7963" s="1">
        <v>1.6548463356973901E-2</v>
      </c>
      <c r="F7963" s="1">
        <v>5.4554111965172403E-2</v>
      </c>
    </row>
    <row r="7964" spans="1:6" x14ac:dyDescent="0.25">
      <c r="A7964" s="2" t="str">
        <f t="shared" si="302"/>
        <v>32700</v>
      </c>
      <c r="B7964" s="2" t="str">
        <f>"67546"</f>
        <v>67546</v>
      </c>
      <c r="C7964" s="1">
        <v>7.6730608840700501E-2</v>
      </c>
      <c r="D7964" s="1">
        <v>2.6629935720844801E-2</v>
      </c>
      <c r="E7964" s="1">
        <v>4.01891252955082E-2</v>
      </c>
      <c r="F7964" s="1">
        <v>7.1967893340589006E-2</v>
      </c>
    </row>
    <row r="7965" spans="1:6" x14ac:dyDescent="0.25">
      <c r="A7965" s="2" t="str">
        <f t="shared" si="302"/>
        <v>32700</v>
      </c>
      <c r="B7965" s="2" t="str">
        <f>"67428"</f>
        <v>67428</v>
      </c>
      <c r="C7965" s="1">
        <v>3.4270983395253599E-2</v>
      </c>
      <c r="D7965" s="1">
        <v>1.4692378328741901E-2</v>
      </c>
      <c r="E7965" s="1">
        <v>1.4184397163120499E-2</v>
      </c>
      <c r="F7965" s="1">
        <v>3.2242704577919799E-2</v>
      </c>
    </row>
    <row r="7966" spans="1:6" x14ac:dyDescent="0.25">
      <c r="A7966" s="2" t="str">
        <f t="shared" si="302"/>
        <v>32700</v>
      </c>
      <c r="B7966" s="2" t="str">
        <f>"67107"</f>
        <v>67107</v>
      </c>
      <c r="C7966" s="1">
        <v>8.9316854954886601E-2</v>
      </c>
      <c r="D7966" s="1">
        <v>4.4077134986225799E-2</v>
      </c>
      <c r="E7966" s="1">
        <v>4.7281323877068501E-2</v>
      </c>
      <c r="F7966" s="1">
        <v>8.4756139038160594E-2</v>
      </c>
    </row>
    <row r="7967" spans="1:6" x14ac:dyDescent="0.25">
      <c r="A7967" s="2" t="str">
        <f t="shared" si="302"/>
        <v>32700</v>
      </c>
      <c r="B7967" s="2" t="str">
        <f>"67476"</f>
        <v>67476</v>
      </c>
      <c r="C7967" s="1">
        <v>1.66805671392827E-3</v>
      </c>
      <c r="D7967" s="1">
        <v>2.7548209366391099E-3</v>
      </c>
      <c r="E7967" s="1">
        <v>2.36406619385342E-3</v>
      </c>
      <c r="F7967" s="1">
        <v>1.7685871709407499E-3</v>
      </c>
    </row>
    <row r="7968" spans="1:6" x14ac:dyDescent="0.25">
      <c r="A7968" s="2" t="str">
        <f t="shared" si="302"/>
        <v>32700</v>
      </c>
      <c r="B7968" s="2" t="str">
        <f>"67062"</f>
        <v>67062</v>
      </c>
      <c r="C7968" s="1">
        <v>8.3402835696413599E-4</v>
      </c>
      <c r="D7968" s="1">
        <v>0</v>
      </c>
      <c r="E7968" s="1">
        <v>0</v>
      </c>
      <c r="F7968" s="1">
        <v>7.4824841847493295E-4</v>
      </c>
    </row>
    <row r="7969" spans="1:6" x14ac:dyDescent="0.25">
      <c r="A7969" s="2" t="str">
        <f t="shared" si="302"/>
        <v>32700</v>
      </c>
      <c r="B7969" s="2" t="str">
        <f>"67416"</f>
        <v>67416</v>
      </c>
      <c r="C7969" s="1">
        <v>3.0328303889604898E-4</v>
      </c>
      <c r="D7969" s="1">
        <v>0</v>
      </c>
      <c r="E7969" s="1">
        <v>0</v>
      </c>
      <c r="F7969" s="1">
        <v>2.72090333990884E-4</v>
      </c>
    </row>
    <row r="7970" spans="1:6" x14ac:dyDescent="0.25">
      <c r="A7970" s="2" t="str">
        <f t="shared" si="302"/>
        <v>32700</v>
      </c>
      <c r="B7970" s="2" t="str">
        <f>"67491"</f>
        <v>67491</v>
      </c>
      <c r="C7970" s="1">
        <v>1.1524755478049801E-2</v>
      </c>
      <c r="D7970" s="1">
        <v>8.2644628099173504E-3</v>
      </c>
      <c r="E7970" s="1">
        <v>4.7281323877068496E-3</v>
      </c>
      <c r="F7970" s="1">
        <v>1.10876811101285E-2</v>
      </c>
    </row>
    <row r="7971" spans="1:6" x14ac:dyDescent="0.25">
      <c r="A7971" s="2" t="str">
        <f t="shared" si="302"/>
        <v>32700</v>
      </c>
      <c r="B7971" s="2" t="str">
        <f>"67456"</f>
        <v>67456</v>
      </c>
      <c r="C7971" s="1">
        <v>0.136174084464326</v>
      </c>
      <c r="D7971" s="1">
        <v>0.143250688705234</v>
      </c>
      <c r="E7971" s="1">
        <v>9.9290780141843907E-2</v>
      </c>
      <c r="F7971" s="1">
        <v>0.135637031494456</v>
      </c>
    </row>
    <row r="7972" spans="1:6" x14ac:dyDescent="0.25">
      <c r="A7972" s="2" t="str">
        <f t="shared" ref="A7972:A7992" si="303">"41460"</f>
        <v>41460</v>
      </c>
      <c r="B7972" s="2" t="str">
        <f>"67422"</f>
        <v>67422</v>
      </c>
      <c r="C7972" s="1">
        <v>1.9585135733505898E-2</v>
      </c>
      <c r="D7972" s="1">
        <v>8.0520284917931194E-3</v>
      </c>
      <c r="E7972" s="1">
        <v>0</v>
      </c>
      <c r="F7972" s="1">
        <v>1.7886904761904701E-2</v>
      </c>
    </row>
    <row r="7973" spans="1:6" x14ac:dyDescent="0.25">
      <c r="A7973" s="2" t="str">
        <f t="shared" si="303"/>
        <v>41460</v>
      </c>
      <c r="B7973" s="2" t="str">
        <f>"67484"</f>
        <v>67484</v>
      </c>
      <c r="C7973" s="1">
        <v>1.4339725467488599E-2</v>
      </c>
      <c r="D7973" s="1">
        <v>3.4066274388355501E-3</v>
      </c>
      <c r="E7973" s="1">
        <v>2.9644268774703499E-3</v>
      </c>
      <c r="F7973" s="1">
        <v>1.2946428571428499E-2</v>
      </c>
    </row>
    <row r="7974" spans="1:6" x14ac:dyDescent="0.25">
      <c r="A7974" s="2" t="str">
        <f t="shared" si="303"/>
        <v>41460</v>
      </c>
      <c r="B7974" s="2" t="str">
        <f>"67401"</f>
        <v>67401</v>
      </c>
      <c r="C7974" s="1">
        <v>0.78762900643754796</v>
      </c>
      <c r="D7974" s="1">
        <v>0.73707030040260102</v>
      </c>
      <c r="E7974" s="1">
        <v>0.94367588932806301</v>
      </c>
      <c r="F7974" s="1">
        <v>0.78747023809523797</v>
      </c>
    </row>
    <row r="7975" spans="1:6" x14ac:dyDescent="0.25">
      <c r="A7975" s="2" t="str">
        <f t="shared" si="303"/>
        <v>41460</v>
      </c>
      <c r="B7975" s="2" t="str">
        <f>"67466"</f>
        <v>67466</v>
      </c>
      <c r="C7975" s="1">
        <v>1.3283831193160499E-3</v>
      </c>
      <c r="D7975" s="1">
        <v>3.0969340353050398E-4</v>
      </c>
      <c r="E7975" s="1">
        <v>0</v>
      </c>
      <c r="F7975" s="1">
        <v>1.1904761904761899E-3</v>
      </c>
    </row>
    <row r="7976" spans="1:6" x14ac:dyDescent="0.25">
      <c r="A7976" s="2" t="str">
        <f t="shared" si="303"/>
        <v>41460</v>
      </c>
      <c r="B7976" s="2" t="str">
        <f>"67432"</f>
        <v>67432</v>
      </c>
      <c r="C7976" s="1">
        <v>6.4716100684628205E-4</v>
      </c>
      <c r="D7976" s="1">
        <v>0</v>
      </c>
      <c r="E7976" s="1">
        <v>0</v>
      </c>
      <c r="F7976" s="1">
        <v>5.6547619047619003E-4</v>
      </c>
    </row>
    <row r="7977" spans="1:6" x14ac:dyDescent="0.25">
      <c r="A7977" s="2" t="str">
        <f t="shared" si="303"/>
        <v>41460</v>
      </c>
      <c r="B7977" s="2" t="str">
        <f>"67425"</f>
        <v>67425</v>
      </c>
      <c r="C7977" s="1">
        <v>8.7537041452365495E-3</v>
      </c>
      <c r="D7977" s="1">
        <v>2.1678538247135301E-3</v>
      </c>
      <c r="E7977" s="1">
        <v>0</v>
      </c>
      <c r="F7977" s="1">
        <v>7.8571428571428507E-3</v>
      </c>
    </row>
    <row r="7978" spans="1:6" x14ac:dyDescent="0.25">
      <c r="A7978" s="2" t="str">
        <f t="shared" si="303"/>
        <v>41460</v>
      </c>
      <c r="B7978" s="2" t="str">
        <f>"67464"</f>
        <v>67464</v>
      </c>
      <c r="C7978" s="1">
        <v>3.4061105623488503E-5</v>
      </c>
      <c r="D7978" s="1">
        <v>0</v>
      </c>
      <c r="E7978" s="1">
        <v>0</v>
      </c>
      <c r="F7978" s="1">
        <v>2.9761904761904701E-5</v>
      </c>
    </row>
    <row r="7979" spans="1:6" x14ac:dyDescent="0.25">
      <c r="A7979" s="2" t="str">
        <f t="shared" si="303"/>
        <v>41460</v>
      </c>
      <c r="B7979" s="2" t="str">
        <f>"67402"</f>
        <v>67402</v>
      </c>
      <c r="C7979" s="1">
        <v>5.06829251677509E-2</v>
      </c>
      <c r="D7979" s="1">
        <v>0.169711985134716</v>
      </c>
      <c r="E7979" s="1">
        <v>9.8814229249011808E-4</v>
      </c>
      <c r="F7979" s="1">
        <v>6.0624999999999998E-2</v>
      </c>
    </row>
    <row r="7980" spans="1:6" x14ac:dyDescent="0.25">
      <c r="A7980" s="2" t="str">
        <f t="shared" si="303"/>
        <v>41460</v>
      </c>
      <c r="B7980" s="2" t="str">
        <f>"67458"</f>
        <v>67458</v>
      </c>
      <c r="C7980" s="1">
        <v>2.7248884498790802E-4</v>
      </c>
      <c r="D7980" s="1">
        <v>0</v>
      </c>
      <c r="E7980" s="1">
        <v>0</v>
      </c>
      <c r="F7980" s="1">
        <v>2.3809523809523799E-4</v>
      </c>
    </row>
    <row r="7981" spans="1:6" x14ac:dyDescent="0.25">
      <c r="A7981" s="2" t="str">
        <f t="shared" si="303"/>
        <v>41460</v>
      </c>
      <c r="B7981" s="2" t="str">
        <f>"67455"</f>
        <v>67455</v>
      </c>
      <c r="C7981" s="1">
        <v>3.4061105623488502E-4</v>
      </c>
      <c r="D7981" s="1">
        <v>0</v>
      </c>
      <c r="E7981" s="1">
        <v>0</v>
      </c>
      <c r="F7981" s="1">
        <v>2.97619047619047E-4</v>
      </c>
    </row>
    <row r="7982" spans="1:6" x14ac:dyDescent="0.25">
      <c r="A7982" s="2" t="str">
        <f t="shared" si="303"/>
        <v>41460</v>
      </c>
      <c r="B7982" s="2" t="str">
        <f>"67480"</f>
        <v>67480</v>
      </c>
      <c r="C7982" s="1">
        <v>5.9947545897339801E-3</v>
      </c>
      <c r="D7982" s="1">
        <v>6.1938680706100904E-4</v>
      </c>
      <c r="E7982" s="1">
        <v>0</v>
      </c>
      <c r="F7982" s="1">
        <v>5.2976190476190397E-3</v>
      </c>
    </row>
    <row r="7983" spans="1:6" x14ac:dyDescent="0.25">
      <c r="A7983" s="2" t="str">
        <f t="shared" si="303"/>
        <v>41460</v>
      </c>
      <c r="B7983" s="2" t="str">
        <f>"67416"</f>
        <v>67416</v>
      </c>
      <c r="C7983" s="1">
        <v>1.69283694948738E-2</v>
      </c>
      <c r="D7983" s="1">
        <v>4.9550944564880697E-3</v>
      </c>
      <c r="E7983" s="1">
        <v>4.9407114624505904E-3</v>
      </c>
      <c r="F7983" s="1">
        <v>1.5416666666666599E-2</v>
      </c>
    </row>
    <row r="7984" spans="1:6" x14ac:dyDescent="0.25">
      <c r="A7984" s="2" t="str">
        <f t="shared" si="303"/>
        <v>41460</v>
      </c>
      <c r="B7984" s="2" t="str">
        <f>"67470"</f>
        <v>67470</v>
      </c>
      <c r="C7984" s="1">
        <v>8.6855819339895692E-3</v>
      </c>
      <c r="D7984" s="1">
        <v>2.4775472282440301E-3</v>
      </c>
      <c r="E7984" s="1">
        <v>5.9288537549407102E-3</v>
      </c>
      <c r="F7984" s="1">
        <v>8.0059523809523792E-3</v>
      </c>
    </row>
    <row r="7985" spans="1:6" x14ac:dyDescent="0.25">
      <c r="A7985" s="2" t="str">
        <f t="shared" si="303"/>
        <v>41460</v>
      </c>
      <c r="B7985" s="2" t="str">
        <f>"67448"</f>
        <v>67448</v>
      </c>
      <c r="C7985" s="1">
        <v>1.39650533056303E-2</v>
      </c>
      <c r="D7985" s="1">
        <v>3.4066274388355501E-3</v>
      </c>
      <c r="E7985" s="1">
        <v>2.9644268774703499E-3</v>
      </c>
      <c r="F7985" s="1">
        <v>1.2619047619047599E-2</v>
      </c>
    </row>
    <row r="7986" spans="1:6" x14ac:dyDescent="0.25">
      <c r="A7986" s="2" t="str">
        <f t="shared" si="303"/>
        <v>41460</v>
      </c>
      <c r="B7986" s="2" t="str">
        <f>"67418"</f>
        <v>67418</v>
      </c>
      <c r="C7986" s="1">
        <v>1.02183316870465E-4</v>
      </c>
      <c r="D7986" s="1">
        <v>0</v>
      </c>
      <c r="E7986" s="1">
        <v>0</v>
      </c>
      <c r="F7986" s="1">
        <v>8.9285714285714204E-5</v>
      </c>
    </row>
    <row r="7987" spans="1:6" x14ac:dyDescent="0.25">
      <c r="A7987" s="2" t="str">
        <f t="shared" si="303"/>
        <v>41460</v>
      </c>
      <c r="B7987" s="2" t="str">
        <f>"67436"</f>
        <v>67436</v>
      </c>
      <c r="C7987" s="1">
        <v>1.12061037501277E-2</v>
      </c>
      <c r="D7987" s="1">
        <v>2.7872406317745401E-3</v>
      </c>
      <c r="E7987" s="1">
        <v>2.9644268774703499E-3</v>
      </c>
      <c r="F7987" s="1">
        <v>1.0148809523809499E-2</v>
      </c>
    </row>
    <row r="7988" spans="1:6" x14ac:dyDescent="0.25">
      <c r="A7988" s="2" t="str">
        <f t="shared" si="303"/>
        <v>41460</v>
      </c>
      <c r="B7988" s="2" t="str">
        <f>"67467"</f>
        <v>67467</v>
      </c>
      <c r="C7988" s="1">
        <v>4.6936203549167201E-2</v>
      </c>
      <c r="D7988" s="1">
        <v>5.9151440074326399E-2</v>
      </c>
      <c r="E7988" s="1">
        <v>3.3596837944663997E-2</v>
      </c>
      <c r="F7988" s="1">
        <v>4.7708333333333297E-2</v>
      </c>
    </row>
    <row r="7989" spans="1:6" x14ac:dyDescent="0.25">
      <c r="A7989" s="2" t="str">
        <f t="shared" si="303"/>
        <v>41460</v>
      </c>
      <c r="B7989" s="2" t="str">
        <f>"67445"</f>
        <v>67445</v>
      </c>
      <c r="C7989" s="1">
        <v>1.7030552811744199E-4</v>
      </c>
      <c r="D7989" s="1">
        <v>0</v>
      </c>
      <c r="E7989" s="1">
        <v>0</v>
      </c>
      <c r="F7989" s="1">
        <v>1.4880952380952301E-4</v>
      </c>
    </row>
    <row r="7990" spans="1:6" x14ac:dyDescent="0.25">
      <c r="A7990" s="2" t="str">
        <f t="shared" si="303"/>
        <v>41460</v>
      </c>
      <c r="B7990" s="2" t="str">
        <f>"66901"</f>
        <v>66901</v>
      </c>
      <c r="C7990" s="1">
        <v>0</v>
      </c>
      <c r="D7990" s="1">
        <v>3.0969340353050398E-4</v>
      </c>
      <c r="E7990" s="1">
        <v>0</v>
      </c>
      <c r="F7990" s="1">
        <v>2.9761904761904701E-5</v>
      </c>
    </row>
    <row r="7991" spans="1:6" x14ac:dyDescent="0.25">
      <c r="A7991" s="2" t="str">
        <f t="shared" si="303"/>
        <v>41460</v>
      </c>
      <c r="B7991" s="2" t="str">
        <f>"67442"</f>
        <v>67442</v>
      </c>
      <c r="C7991" s="1">
        <v>3.5764160904662901E-3</v>
      </c>
      <c r="D7991" s="1">
        <v>3.0969340353050398E-4</v>
      </c>
      <c r="E7991" s="1">
        <v>9.8814229249011808E-4</v>
      </c>
      <c r="F7991" s="1">
        <v>3.1845238095237999E-3</v>
      </c>
    </row>
    <row r="7992" spans="1:6" x14ac:dyDescent="0.25">
      <c r="A7992" s="2" t="str">
        <f t="shared" si="303"/>
        <v>41460</v>
      </c>
      <c r="B7992" s="2" t="str">
        <f>"67456"</f>
        <v>67456</v>
      </c>
      <c r="C7992" s="1">
        <v>8.8218263564835298E-3</v>
      </c>
      <c r="D7992" s="1">
        <v>5.2647878600185797E-3</v>
      </c>
      <c r="E7992" s="1">
        <v>9.8814229249011808E-4</v>
      </c>
      <c r="F7992" s="1">
        <v>8.2440476190476092E-3</v>
      </c>
    </row>
    <row r="7993" spans="1:6" x14ac:dyDescent="0.25">
      <c r="A7993" s="2" t="str">
        <f t="shared" ref="A7993:A8011" si="304">"30420"</f>
        <v>30420</v>
      </c>
      <c r="B7993" s="2" t="str">
        <f>"69028"</f>
        <v>69028</v>
      </c>
      <c r="C7993" s="1">
        <v>7.80312124849939E-3</v>
      </c>
      <c r="D7993" s="1">
        <v>1.88323917137476E-3</v>
      </c>
      <c r="E7993" s="1">
        <v>0</v>
      </c>
      <c r="F7993" s="1">
        <v>7.0819372525129402E-3</v>
      </c>
    </row>
    <row r="7994" spans="1:6" x14ac:dyDescent="0.25">
      <c r="A7994" s="2" t="str">
        <f t="shared" si="304"/>
        <v>30420</v>
      </c>
      <c r="B7994" s="2" t="str">
        <f>"69138"</f>
        <v>69138</v>
      </c>
      <c r="C7994" s="1">
        <v>0.17218315897787601</v>
      </c>
      <c r="D7994" s="1">
        <v>0.202448210922787</v>
      </c>
      <c r="E7994" s="1">
        <v>0.30392156862745001</v>
      </c>
      <c r="F7994" s="1">
        <v>0.178723728297289</v>
      </c>
    </row>
    <row r="7995" spans="1:6" x14ac:dyDescent="0.25">
      <c r="A7995" s="2" t="str">
        <f t="shared" si="304"/>
        <v>30420</v>
      </c>
      <c r="B7995" s="2" t="str">
        <f>"68936"</f>
        <v>68936</v>
      </c>
      <c r="C7995" s="1">
        <v>1.11473160692848E-3</v>
      </c>
      <c r="D7995" s="1">
        <v>2.8248587570621399E-3</v>
      </c>
      <c r="E7995" s="1">
        <v>0</v>
      </c>
      <c r="F7995" s="1">
        <v>1.2183978068839401E-3</v>
      </c>
    </row>
    <row r="7996" spans="1:6" x14ac:dyDescent="0.25">
      <c r="A7996" s="2" t="str">
        <f t="shared" si="304"/>
        <v>30420</v>
      </c>
      <c r="B7996" s="2" t="str">
        <f>"68834"</f>
        <v>68834</v>
      </c>
      <c r="C7996" s="1">
        <v>8.91785285542788E-3</v>
      </c>
      <c r="D7996" s="1">
        <v>0</v>
      </c>
      <c r="E7996" s="1">
        <v>2.4509803921568601E-3</v>
      </c>
      <c r="F7996" s="1">
        <v>7.9957356076758995E-3</v>
      </c>
    </row>
    <row r="7997" spans="1:6" x14ac:dyDescent="0.25">
      <c r="A7997" s="2" t="str">
        <f t="shared" si="304"/>
        <v>30420</v>
      </c>
      <c r="B7997" s="2" t="str">
        <f>"68937"</f>
        <v>68937</v>
      </c>
      <c r="C7997" s="1">
        <v>0.10538501114731599</v>
      </c>
      <c r="D7997" s="1">
        <v>3.8606403013182598E-2</v>
      </c>
      <c r="E7997" s="1">
        <v>3.4313725490195998E-2</v>
      </c>
      <c r="F7997" s="1">
        <v>9.7776424002436704E-2</v>
      </c>
    </row>
    <row r="7998" spans="1:6" x14ac:dyDescent="0.25">
      <c r="A7998" s="2" t="str">
        <f t="shared" si="304"/>
        <v>30420</v>
      </c>
      <c r="B7998" s="2" t="str">
        <f>"68858"</f>
        <v>68858</v>
      </c>
      <c r="C7998" s="1">
        <v>8.5748585148345E-5</v>
      </c>
      <c r="D7998" s="1">
        <v>0</v>
      </c>
      <c r="E7998" s="1">
        <v>0</v>
      </c>
      <c r="F7998" s="1">
        <v>7.6149862930246701E-5</v>
      </c>
    </row>
    <row r="7999" spans="1:6" x14ac:dyDescent="0.25">
      <c r="A7999" s="2" t="str">
        <f t="shared" si="304"/>
        <v>30420</v>
      </c>
      <c r="B7999" s="2" t="str">
        <f>"68863"</f>
        <v>68863</v>
      </c>
      <c r="C7999" s="1">
        <v>4.2188303892985703E-2</v>
      </c>
      <c r="D7999" s="1">
        <v>3.7664783427495199E-3</v>
      </c>
      <c r="E7999" s="1">
        <v>7.3529411764705803E-3</v>
      </c>
      <c r="F7999" s="1">
        <v>3.7998781602193103E-2</v>
      </c>
    </row>
    <row r="8000" spans="1:6" x14ac:dyDescent="0.25">
      <c r="A8000" s="2" t="str">
        <f t="shared" si="304"/>
        <v>30420</v>
      </c>
      <c r="B8000" s="2" t="str">
        <f>"69022"</f>
        <v>69022</v>
      </c>
      <c r="C8000" s="1">
        <v>6.00240096038415E-4</v>
      </c>
      <c r="D8000" s="1">
        <v>0</v>
      </c>
      <c r="E8000" s="1">
        <v>0</v>
      </c>
      <c r="F8000" s="1">
        <v>5.3304904051172696E-4</v>
      </c>
    </row>
    <row r="8001" spans="1:6" x14ac:dyDescent="0.25">
      <c r="A8001" s="2" t="str">
        <f t="shared" si="304"/>
        <v>30420</v>
      </c>
      <c r="B8001" s="2" t="str">
        <f>"68878"</f>
        <v>68878</v>
      </c>
      <c r="C8001" s="1">
        <v>1.7149717029669002E-2</v>
      </c>
      <c r="D8001" s="1">
        <v>1.88323917137476E-3</v>
      </c>
      <c r="E8001" s="1">
        <v>0</v>
      </c>
      <c r="F8001" s="1">
        <v>1.5382272311909801E-2</v>
      </c>
    </row>
    <row r="8002" spans="1:6" x14ac:dyDescent="0.25">
      <c r="A8002" s="2" t="str">
        <f t="shared" si="304"/>
        <v>30420</v>
      </c>
      <c r="B8002" s="2" t="str">
        <f>"68850"</f>
        <v>68850</v>
      </c>
      <c r="C8002" s="1">
        <v>0.39410049734179298</v>
      </c>
      <c r="D8002" s="1">
        <v>0.47740112994350198</v>
      </c>
      <c r="E8002" s="1">
        <v>0.539215686274509</v>
      </c>
      <c r="F8002" s="1">
        <v>0.405345720377703</v>
      </c>
    </row>
    <row r="8003" spans="1:6" x14ac:dyDescent="0.25">
      <c r="A8003" s="2" t="str">
        <f t="shared" si="304"/>
        <v>30420</v>
      </c>
      <c r="B8003" s="2" t="str">
        <f>"69171"</f>
        <v>69171</v>
      </c>
      <c r="C8003" s="1">
        <v>8.5748585148345E-4</v>
      </c>
      <c r="D8003" s="1">
        <v>4.7080979284369103E-3</v>
      </c>
      <c r="E8003" s="1">
        <v>2.4509803921568601E-3</v>
      </c>
      <c r="F8003" s="1">
        <v>1.2183978068839401E-3</v>
      </c>
    </row>
    <row r="8004" spans="1:6" x14ac:dyDescent="0.25">
      <c r="A8004" s="2" t="str">
        <f t="shared" si="304"/>
        <v>30420</v>
      </c>
      <c r="B8004" s="2" t="str">
        <f>"69029"</f>
        <v>69029</v>
      </c>
      <c r="C8004" s="1">
        <v>6.6026410564225596E-3</v>
      </c>
      <c r="D8004" s="1">
        <v>3.7664783427495199E-3</v>
      </c>
      <c r="E8004" s="1">
        <v>1.22549019607843E-2</v>
      </c>
      <c r="F8004" s="1">
        <v>6.5488882120012101E-3</v>
      </c>
    </row>
    <row r="8005" spans="1:6" x14ac:dyDescent="0.25">
      <c r="A8005" s="2" t="str">
        <f t="shared" si="304"/>
        <v>30420</v>
      </c>
      <c r="B8005" s="2" t="str">
        <f>"68927"</f>
        <v>68927</v>
      </c>
      <c r="C8005" s="1">
        <v>4.45892642771394E-3</v>
      </c>
      <c r="D8005" s="1">
        <v>1.88323917137476E-3</v>
      </c>
      <c r="E8005" s="1">
        <v>0</v>
      </c>
      <c r="F8005" s="1">
        <v>4.11209259823332E-3</v>
      </c>
    </row>
    <row r="8006" spans="1:6" x14ac:dyDescent="0.25">
      <c r="A8006" s="2" t="str">
        <f t="shared" si="304"/>
        <v>30420</v>
      </c>
      <c r="B8006" s="2" t="str">
        <f>"68922"</f>
        <v>68922</v>
      </c>
      <c r="C8006" s="1">
        <v>4.5446750128622796E-3</v>
      </c>
      <c r="D8006" s="1">
        <v>0</v>
      </c>
      <c r="E8006" s="1">
        <v>2.4509803921568601E-3</v>
      </c>
      <c r="F8006" s="1">
        <v>4.11209259823332E-3</v>
      </c>
    </row>
    <row r="8007" spans="1:6" x14ac:dyDescent="0.25">
      <c r="A8007" s="2" t="str">
        <f t="shared" si="304"/>
        <v>30420</v>
      </c>
      <c r="B8007" s="2" t="str">
        <f>"69130"</f>
        <v>69130</v>
      </c>
      <c r="C8007" s="1">
        <v>0.222431829874807</v>
      </c>
      <c r="D8007" s="1">
        <v>0.258003766478342</v>
      </c>
      <c r="E8007" s="1">
        <v>9.5588235294117599E-2</v>
      </c>
      <c r="F8007" s="1">
        <v>0.22136765153822699</v>
      </c>
    </row>
    <row r="8008" spans="1:6" x14ac:dyDescent="0.25">
      <c r="A8008" s="2" t="str">
        <f t="shared" si="304"/>
        <v>30420</v>
      </c>
      <c r="B8008" s="2" t="str">
        <f>"68836"</f>
        <v>68836</v>
      </c>
      <c r="C8008" s="1">
        <v>1.80072028811524E-3</v>
      </c>
      <c r="D8008" s="1">
        <v>0</v>
      </c>
      <c r="E8008" s="1">
        <v>0</v>
      </c>
      <c r="F8008" s="1">
        <v>1.5991471215351799E-3</v>
      </c>
    </row>
    <row r="8009" spans="1:6" x14ac:dyDescent="0.25">
      <c r="A8009" s="2" t="str">
        <f t="shared" si="304"/>
        <v>30420</v>
      </c>
      <c r="B8009" s="2" t="str">
        <f>"68967"</f>
        <v>68967</v>
      </c>
      <c r="C8009" s="1">
        <v>8.5748585148345E-5</v>
      </c>
      <c r="D8009" s="1">
        <v>0</v>
      </c>
      <c r="E8009" s="1">
        <v>0</v>
      </c>
      <c r="F8009" s="1">
        <v>7.6149862930246701E-5</v>
      </c>
    </row>
    <row r="8010" spans="1:6" x14ac:dyDescent="0.25">
      <c r="A8010" s="2" t="str">
        <f t="shared" si="304"/>
        <v>30420</v>
      </c>
      <c r="B8010" s="2" t="str">
        <f>"68976"</f>
        <v>68976</v>
      </c>
      <c r="C8010" s="1">
        <v>8.14611558909277E-3</v>
      </c>
      <c r="D8010" s="1">
        <v>2.8248587570621399E-3</v>
      </c>
      <c r="E8010" s="1">
        <v>0</v>
      </c>
      <c r="F8010" s="1">
        <v>7.4626865671641703E-3</v>
      </c>
    </row>
    <row r="8011" spans="1:6" x14ac:dyDescent="0.25">
      <c r="A8011" s="2" t="str">
        <f t="shared" si="304"/>
        <v>30420</v>
      </c>
      <c r="B8011" s="2" t="str">
        <f>"68948"</f>
        <v>68948</v>
      </c>
      <c r="C8011" s="1">
        <v>1.54347453267021E-3</v>
      </c>
      <c r="D8011" s="1">
        <v>0</v>
      </c>
      <c r="E8011" s="1">
        <v>0</v>
      </c>
      <c r="F8011" s="1">
        <v>1.3706975327444401E-3</v>
      </c>
    </row>
    <row r="8012" spans="1:6" x14ac:dyDescent="0.25">
      <c r="A8012" s="2" t="str">
        <f t="shared" ref="A8012:A8030" si="305">"35820"</f>
        <v>35820</v>
      </c>
      <c r="B8012" s="2" t="str">
        <f>"69039"</f>
        <v>69039</v>
      </c>
      <c r="C8012" s="1">
        <v>7.8137208938896705E-4</v>
      </c>
      <c r="D8012" s="1">
        <v>0</v>
      </c>
      <c r="E8012" s="1">
        <v>0</v>
      </c>
      <c r="F8012" s="1">
        <v>6.9016287843931101E-4</v>
      </c>
    </row>
    <row r="8013" spans="1:6" x14ac:dyDescent="0.25">
      <c r="A8013" s="2" t="str">
        <f t="shared" si="305"/>
        <v>35820</v>
      </c>
      <c r="B8013" s="2" t="str">
        <f>"69138"</f>
        <v>69138</v>
      </c>
      <c r="C8013" s="1">
        <v>3.5422201385633101E-3</v>
      </c>
      <c r="D8013" s="1">
        <v>0</v>
      </c>
      <c r="E8013" s="1">
        <v>0</v>
      </c>
      <c r="F8013" s="1">
        <v>3.1287383822582102E-3</v>
      </c>
    </row>
    <row r="8014" spans="1:6" x14ac:dyDescent="0.25">
      <c r="A8014" s="2" t="str">
        <f t="shared" si="305"/>
        <v>35820</v>
      </c>
      <c r="B8014" s="2" t="str">
        <f>"69165"</f>
        <v>69165</v>
      </c>
      <c r="C8014" s="1">
        <v>4.1621086628118899E-2</v>
      </c>
      <c r="D8014" s="1">
        <v>1.66177908113391E-2</v>
      </c>
      <c r="E8014" s="1">
        <v>2.0366598778004001E-2</v>
      </c>
      <c r="F8014" s="1">
        <v>3.8787153768289298E-2</v>
      </c>
    </row>
    <row r="8015" spans="1:6" x14ac:dyDescent="0.25">
      <c r="A8015" s="2" t="str">
        <f t="shared" si="305"/>
        <v>35820</v>
      </c>
      <c r="B8015" s="2" t="str">
        <f>"69025"</f>
        <v>69025</v>
      </c>
      <c r="C8015" s="1">
        <v>9.3764650726676005E-4</v>
      </c>
      <c r="D8015" s="1">
        <v>0</v>
      </c>
      <c r="E8015" s="1">
        <v>0</v>
      </c>
      <c r="F8015" s="1">
        <v>8.2819545412717401E-4</v>
      </c>
    </row>
    <row r="8016" spans="1:6" x14ac:dyDescent="0.25">
      <c r="A8016" s="2" t="str">
        <f t="shared" si="305"/>
        <v>35820</v>
      </c>
      <c r="B8016" s="2" t="str">
        <f>"69038"</f>
        <v>69038</v>
      </c>
      <c r="C8016" s="1">
        <v>3.0733968849299301E-3</v>
      </c>
      <c r="D8016" s="1">
        <v>4.8875855327468198E-4</v>
      </c>
      <c r="E8016" s="1">
        <v>0</v>
      </c>
      <c r="F8016" s="1">
        <v>2.7606515137572401E-3</v>
      </c>
    </row>
    <row r="8017" spans="1:6" x14ac:dyDescent="0.25">
      <c r="A8017" s="2" t="str">
        <f t="shared" si="305"/>
        <v>35820</v>
      </c>
      <c r="B8017" s="2" t="str">
        <f>"69101"</f>
        <v>69101</v>
      </c>
      <c r="C8017" s="1">
        <v>0.74610616242121097</v>
      </c>
      <c r="D8017" s="1">
        <v>0.70136852394916904</v>
      </c>
      <c r="E8017" s="1">
        <v>0.94297352342158802</v>
      </c>
      <c r="F8017" s="1">
        <v>0.74634213674427097</v>
      </c>
    </row>
    <row r="8018" spans="1:6" x14ac:dyDescent="0.25">
      <c r="A8018" s="2" t="str">
        <f t="shared" si="305"/>
        <v>35820</v>
      </c>
      <c r="B8018" s="2" t="str">
        <f>"69155"</f>
        <v>69155</v>
      </c>
      <c r="C8018" s="1">
        <v>3.12548835755586E-4</v>
      </c>
      <c r="D8018" s="1">
        <v>0</v>
      </c>
      <c r="E8018" s="1">
        <v>0</v>
      </c>
      <c r="F8018" s="1">
        <v>2.76065151375724E-4</v>
      </c>
    </row>
    <row r="8019" spans="1:6" x14ac:dyDescent="0.25">
      <c r="A8019" s="2" t="str">
        <f t="shared" si="305"/>
        <v>35820</v>
      </c>
      <c r="B8019" s="2" t="str">
        <f>"69132"</f>
        <v>69132</v>
      </c>
      <c r="C8019" s="1">
        <v>2.7608480491743501E-3</v>
      </c>
      <c r="D8019" s="1">
        <v>9.7751710654936396E-4</v>
      </c>
      <c r="E8019" s="1">
        <v>0</v>
      </c>
      <c r="F8019" s="1">
        <v>2.53059722094414E-3</v>
      </c>
    </row>
    <row r="8020" spans="1:6" x14ac:dyDescent="0.25">
      <c r="A8020" s="2" t="str">
        <f t="shared" si="305"/>
        <v>35820</v>
      </c>
      <c r="B8020" s="2" t="str">
        <f>"69143"</f>
        <v>69143</v>
      </c>
      <c r="C8020" s="1">
        <v>3.3807365734229301E-2</v>
      </c>
      <c r="D8020" s="1">
        <v>3.4213098729227701E-3</v>
      </c>
      <c r="E8020" s="1">
        <v>6.1099796334012201E-3</v>
      </c>
      <c r="F8020" s="1">
        <v>3.0321155792767E-2</v>
      </c>
    </row>
    <row r="8021" spans="1:6" x14ac:dyDescent="0.25">
      <c r="A8021" s="2" t="str">
        <f t="shared" si="305"/>
        <v>35820</v>
      </c>
      <c r="B8021" s="2" t="str">
        <f>"68833"</f>
        <v>68833</v>
      </c>
      <c r="C8021" s="1">
        <v>7.2928061676303497E-4</v>
      </c>
      <c r="D8021" s="1">
        <v>0</v>
      </c>
      <c r="E8021" s="1">
        <v>0</v>
      </c>
      <c r="F8021" s="1">
        <v>6.4415201987668997E-4</v>
      </c>
    </row>
    <row r="8022" spans="1:6" x14ac:dyDescent="0.25">
      <c r="A8022" s="2" t="str">
        <f t="shared" si="305"/>
        <v>35820</v>
      </c>
      <c r="B8022" s="2" t="str">
        <f>"69170"</f>
        <v>69170</v>
      </c>
      <c r="C8022" s="1">
        <v>9.3764650726675999E-3</v>
      </c>
      <c r="D8022" s="1">
        <v>3.4213098729227701E-3</v>
      </c>
      <c r="E8022" s="1">
        <v>1.0183299389002001E-2</v>
      </c>
      <c r="F8022" s="1">
        <v>8.8340848440231802E-3</v>
      </c>
    </row>
    <row r="8023" spans="1:6" x14ac:dyDescent="0.25">
      <c r="A8023" s="2" t="str">
        <f t="shared" si="305"/>
        <v>35820</v>
      </c>
      <c r="B8023" s="2" t="str">
        <f>"69169"</f>
        <v>69169</v>
      </c>
      <c r="C8023" s="1">
        <v>1.47418867531385E-2</v>
      </c>
      <c r="D8023" s="1">
        <v>1.8084066471163202E-2</v>
      </c>
      <c r="E8023" s="1">
        <v>6.1099796334012201E-3</v>
      </c>
      <c r="F8023" s="1">
        <v>1.48615073157265E-2</v>
      </c>
    </row>
    <row r="8024" spans="1:6" x14ac:dyDescent="0.25">
      <c r="A8024" s="2" t="str">
        <f t="shared" si="305"/>
        <v>35820</v>
      </c>
      <c r="B8024" s="2" t="str">
        <f>"69103"</f>
        <v>69103</v>
      </c>
      <c r="C8024" s="1">
        <v>6.3968328384643405E-2</v>
      </c>
      <c r="D8024" s="1">
        <v>0.21309872922776099</v>
      </c>
      <c r="E8024" s="1">
        <v>4.0733197556008099E-3</v>
      </c>
      <c r="F8024" s="1">
        <v>7.6654090365326194E-2</v>
      </c>
    </row>
    <row r="8025" spans="1:6" x14ac:dyDescent="0.25">
      <c r="A8025" s="2" t="str">
        <f t="shared" si="305"/>
        <v>35820</v>
      </c>
      <c r="B8025" s="2" t="str">
        <f>"69167"</f>
        <v>69167</v>
      </c>
      <c r="C8025" s="1">
        <v>9.4806480179194606E-3</v>
      </c>
      <c r="D8025" s="1">
        <v>5.3763440860214997E-3</v>
      </c>
      <c r="E8025" s="1">
        <v>0</v>
      </c>
      <c r="F8025" s="1">
        <v>8.88009570258581E-3</v>
      </c>
    </row>
    <row r="8026" spans="1:6" x14ac:dyDescent="0.25">
      <c r="A8026" s="2" t="str">
        <f t="shared" si="305"/>
        <v>35820</v>
      </c>
      <c r="B8026" s="2" t="str">
        <f>"69029"</f>
        <v>69029</v>
      </c>
      <c r="C8026" s="1">
        <v>2.5524821586706201E-3</v>
      </c>
      <c r="D8026" s="1">
        <v>4.8875855327468198E-4</v>
      </c>
      <c r="E8026" s="1">
        <v>0</v>
      </c>
      <c r="F8026" s="1">
        <v>2.30054292813103E-3</v>
      </c>
    </row>
    <row r="8027" spans="1:6" x14ac:dyDescent="0.25">
      <c r="A8027" s="2" t="str">
        <f t="shared" si="305"/>
        <v>35820</v>
      </c>
      <c r="B8027" s="2" t="str">
        <f>"69151"</f>
        <v>69151</v>
      </c>
      <c r="C8027" s="1">
        <v>1.8805021617961101E-2</v>
      </c>
      <c r="D8027" s="1">
        <v>2.4437927663734101E-2</v>
      </c>
      <c r="E8027" s="1">
        <v>4.0733197556008099E-3</v>
      </c>
      <c r="F8027" s="1">
        <v>1.9002484586362299E-2</v>
      </c>
    </row>
    <row r="8028" spans="1:6" x14ac:dyDescent="0.25">
      <c r="A8028" s="2" t="str">
        <f t="shared" si="305"/>
        <v>35820</v>
      </c>
      <c r="B8028" s="2" t="str">
        <f>"69120"</f>
        <v>69120</v>
      </c>
      <c r="C8028" s="1">
        <v>2.0315674324113101E-3</v>
      </c>
      <c r="D8028" s="1">
        <v>0</v>
      </c>
      <c r="E8028" s="1">
        <v>0</v>
      </c>
      <c r="F8028" s="1">
        <v>1.7944234839422099E-3</v>
      </c>
    </row>
    <row r="8029" spans="1:6" x14ac:dyDescent="0.25">
      <c r="A8029" s="2" t="str">
        <f t="shared" si="305"/>
        <v>35820</v>
      </c>
      <c r="B8029" s="2" t="str">
        <f>"69163"</f>
        <v>69163</v>
      </c>
      <c r="C8029" s="1">
        <v>2.1878418502891E-2</v>
      </c>
      <c r="D8029" s="1">
        <v>7.3313782991202298E-3</v>
      </c>
      <c r="E8029" s="1">
        <v>2.0366598778004002E-3</v>
      </c>
      <c r="F8029" s="1">
        <v>2.0060734333302601E-2</v>
      </c>
    </row>
    <row r="8030" spans="1:6" x14ac:dyDescent="0.25">
      <c r="A8030" s="2" t="str">
        <f t="shared" si="305"/>
        <v>35820</v>
      </c>
      <c r="B8030" s="2" t="str">
        <f>"69123"</f>
        <v>69123</v>
      </c>
      <c r="C8030" s="1">
        <v>2.3493254154294901E-2</v>
      </c>
      <c r="D8030" s="1">
        <v>4.8875855327468196E-3</v>
      </c>
      <c r="E8030" s="1">
        <v>4.0733197556008099E-3</v>
      </c>
      <c r="F8030" s="1">
        <v>2.1303027514493401E-2</v>
      </c>
    </row>
    <row r="8031" spans="1:6" x14ac:dyDescent="0.25">
      <c r="A8031" s="2" t="str">
        <f t="shared" ref="A8031:A8094" si="306">"40140"</f>
        <v>40140</v>
      </c>
      <c r="B8031" s="2" t="str">
        <f>"92596"</f>
        <v>92596</v>
      </c>
      <c r="C8031" s="1">
        <v>6.1301149092324999E-3</v>
      </c>
      <c r="D8031" s="1">
        <v>1.2737501326823E-3</v>
      </c>
      <c r="E8031" s="1">
        <v>3.0890327895110101E-4</v>
      </c>
      <c r="F8031" s="1">
        <v>5.4847782581018203E-3</v>
      </c>
    </row>
    <row r="8032" spans="1:6" x14ac:dyDescent="0.25">
      <c r="A8032" s="2" t="str">
        <f t="shared" si="306"/>
        <v>40140</v>
      </c>
      <c r="B8032" s="2" t="str">
        <f>"92589"</f>
        <v>92589</v>
      </c>
      <c r="C8032" s="1">
        <v>1.28336481395959E-3</v>
      </c>
      <c r="D8032" s="1">
        <v>5.6389979832289503E-3</v>
      </c>
      <c r="E8032" s="1">
        <v>3.4322586550122397E-5</v>
      </c>
      <c r="F8032" s="1">
        <v>1.56804536773914E-3</v>
      </c>
    </row>
    <row r="8033" spans="1:6" x14ac:dyDescent="0.25">
      <c r="A8033" s="2" t="str">
        <f t="shared" si="306"/>
        <v>40140</v>
      </c>
      <c r="B8033" s="2" t="str">
        <f>"92584"</f>
        <v>92584</v>
      </c>
      <c r="C8033" s="1">
        <v>1.05203860304374E-2</v>
      </c>
      <c r="D8033" s="1">
        <v>2.7531578388706002E-3</v>
      </c>
      <c r="E8033" s="1">
        <v>1.60172070567237E-3</v>
      </c>
      <c r="F8033" s="1">
        <v>9.5060475063137792E-3</v>
      </c>
    </row>
    <row r="8034" spans="1:6" x14ac:dyDescent="0.25">
      <c r="A8034" s="2" t="str">
        <f t="shared" si="306"/>
        <v>40140</v>
      </c>
      <c r="B8034" s="2" t="str">
        <f>"92501"</f>
        <v>92501</v>
      </c>
      <c r="C8034" s="1">
        <v>4.5558857294818898E-3</v>
      </c>
      <c r="D8034" s="1">
        <v>1.3560131620847E-2</v>
      </c>
      <c r="E8034" s="1">
        <v>9.5302381987506495E-3</v>
      </c>
      <c r="F8034" s="1">
        <v>5.4878987463958303E-3</v>
      </c>
    </row>
    <row r="8035" spans="1:6" x14ac:dyDescent="0.25">
      <c r="A8035" s="2" t="str">
        <f t="shared" si="306"/>
        <v>40140</v>
      </c>
      <c r="B8035" s="2" t="str">
        <f>"92411"</f>
        <v>92411</v>
      </c>
      <c r="C8035" s="1">
        <v>4.9334158042637103E-3</v>
      </c>
      <c r="D8035" s="1">
        <v>4.1662243923150403E-3</v>
      </c>
      <c r="E8035" s="1">
        <v>3.5123446902958601E-3</v>
      </c>
      <c r="F8035" s="1">
        <v>4.8086724610667004E-3</v>
      </c>
    </row>
    <row r="8036" spans="1:6" x14ac:dyDescent="0.25">
      <c r="A8036" s="2" t="str">
        <f t="shared" si="306"/>
        <v>40140</v>
      </c>
      <c r="B8036" s="2" t="str">
        <f>"92504"</f>
        <v>92504</v>
      </c>
      <c r="C8036" s="1">
        <v>1.08753592768518E-2</v>
      </c>
      <c r="D8036" s="1">
        <v>9.7521494533489E-3</v>
      </c>
      <c r="E8036" s="1">
        <v>1.5628217742489001E-2</v>
      </c>
      <c r="F8036" s="1">
        <v>1.1003361806055399E-2</v>
      </c>
    </row>
    <row r="8037" spans="1:6" x14ac:dyDescent="0.25">
      <c r="A8037" s="2" t="str">
        <f t="shared" si="306"/>
        <v>40140</v>
      </c>
      <c r="B8037" s="2" t="str">
        <f>"92570"</f>
        <v>92570</v>
      </c>
      <c r="C8037" s="1">
        <v>9.3046917015802803E-3</v>
      </c>
      <c r="D8037" s="1">
        <v>4.0799808937479996E-3</v>
      </c>
      <c r="E8037" s="1">
        <v>4.8166029792005103E-3</v>
      </c>
      <c r="F8037" s="1">
        <v>8.6910799801953008E-3</v>
      </c>
    </row>
    <row r="8038" spans="1:6" x14ac:dyDescent="0.25">
      <c r="A8038" s="2" t="str">
        <f t="shared" si="306"/>
        <v>40140</v>
      </c>
      <c r="B8038" s="2" t="str">
        <f>"92401"</f>
        <v>92401</v>
      </c>
      <c r="C8038" s="1">
        <v>5.1109024274708899E-4</v>
      </c>
      <c r="D8038" s="1">
        <v>6.2161660121006204E-3</v>
      </c>
      <c r="E8038" s="1">
        <v>3.6610758986797198E-3</v>
      </c>
      <c r="F8038" s="1">
        <v>1.1015323677849101E-3</v>
      </c>
    </row>
    <row r="8039" spans="1:6" x14ac:dyDescent="0.25">
      <c r="A8039" s="2" t="str">
        <f t="shared" si="306"/>
        <v>40140</v>
      </c>
      <c r="B8039" s="2" t="str">
        <f>"92519"</f>
        <v>92519</v>
      </c>
      <c r="C8039" s="1">
        <v>8.77341903345177E-4</v>
      </c>
      <c r="D8039" s="1">
        <v>2.03003927396242E-3</v>
      </c>
      <c r="E8039" s="1">
        <v>4.5763448733496503E-5</v>
      </c>
      <c r="F8039" s="1">
        <v>9.2990551161445704E-4</v>
      </c>
    </row>
    <row r="8040" spans="1:6" x14ac:dyDescent="0.25">
      <c r="A8040" s="2" t="str">
        <f t="shared" si="306"/>
        <v>40140</v>
      </c>
      <c r="B8040" s="2" t="str">
        <f>"92386"</f>
        <v>92386</v>
      </c>
      <c r="C8040" s="1">
        <v>5.9360074651229797E-6</v>
      </c>
      <c r="D8040" s="1">
        <v>0</v>
      </c>
      <c r="E8040" s="1">
        <v>1.14408621833741E-5</v>
      </c>
      <c r="F8040" s="1">
        <v>5.7208952056817802E-6</v>
      </c>
    </row>
    <row r="8041" spans="1:6" x14ac:dyDescent="0.25">
      <c r="A8041" s="2" t="str">
        <f t="shared" si="306"/>
        <v>40140</v>
      </c>
      <c r="B8041" s="2" t="str">
        <f>"92393"</f>
        <v>92393</v>
      </c>
      <c r="C8041" s="1">
        <v>1.6353700566413801E-3</v>
      </c>
      <c r="D8041" s="1">
        <v>1.89072285320029E-3</v>
      </c>
      <c r="E8041" s="1">
        <v>2.2881724366748201E-5</v>
      </c>
      <c r="F8041" s="1">
        <v>1.58208756506218E-3</v>
      </c>
    </row>
    <row r="8042" spans="1:6" x14ac:dyDescent="0.25">
      <c r="A8042" s="2" t="str">
        <f t="shared" si="306"/>
        <v>40140</v>
      </c>
      <c r="B8042" s="2" t="str">
        <f>"92312"</f>
        <v>92312</v>
      </c>
      <c r="C8042" s="1">
        <v>1.20857111989904E-3</v>
      </c>
      <c r="D8042" s="1">
        <v>1.34672540070056E-3</v>
      </c>
      <c r="E8042" s="1">
        <v>2.2881724366748201E-5</v>
      </c>
      <c r="F8042" s="1">
        <v>1.1655023778120799E-3</v>
      </c>
    </row>
    <row r="8043" spans="1:6" x14ac:dyDescent="0.25">
      <c r="A8043" s="2" t="str">
        <f t="shared" si="306"/>
        <v>40140</v>
      </c>
      <c r="B8043" s="2" t="str">
        <f>"92308"</f>
        <v>92308</v>
      </c>
      <c r="C8043" s="1">
        <v>9.6875641830807095E-3</v>
      </c>
      <c r="D8043" s="1">
        <v>5.2741216431376704E-3</v>
      </c>
      <c r="E8043" s="1">
        <v>1.1818410635425399E-2</v>
      </c>
      <c r="F8043" s="1">
        <v>9.4384369266102709E-3</v>
      </c>
    </row>
    <row r="8044" spans="1:6" x14ac:dyDescent="0.25">
      <c r="A8044" s="2" t="str">
        <f t="shared" si="306"/>
        <v>40140</v>
      </c>
      <c r="B8044" s="2" t="str">
        <f>"92377"</f>
        <v>92377</v>
      </c>
      <c r="C8044" s="1">
        <v>4.4169831547980097E-3</v>
      </c>
      <c r="D8044" s="1">
        <v>3.2241800233520799E-3</v>
      </c>
      <c r="E8044" s="1">
        <v>2.1051186417408402E-3</v>
      </c>
      <c r="F8044" s="1">
        <v>4.2183800921168097E-3</v>
      </c>
    </row>
    <row r="8045" spans="1:6" x14ac:dyDescent="0.25">
      <c r="A8045" s="2" t="str">
        <f t="shared" si="306"/>
        <v>40140</v>
      </c>
      <c r="B8045" s="2" t="str">
        <f>"92339"</f>
        <v>92339</v>
      </c>
      <c r="C8045" s="1">
        <v>2.1013466426535299E-4</v>
      </c>
      <c r="D8045" s="1">
        <v>9.2877613841418097E-5</v>
      </c>
      <c r="E8045" s="1">
        <v>2.2881724366748201E-5</v>
      </c>
      <c r="F8045" s="1">
        <v>1.92430111463841E-4</v>
      </c>
    </row>
    <row r="8046" spans="1:6" x14ac:dyDescent="0.25">
      <c r="A8046" s="2" t="str">
        <f t="shared" si="306"/>
        <v>40140</v>
      </c>
      <c r="B8046" s="2" t="str">
        <f>"92327"</f>
        <v>92327</v>
      </c>
      <c r="C8046" s="1">
        <v>4.4520055988422402E-5</v>
      </c>
      <c r="D8046" s="1">
        <v>7.2975268018257001E-5</v>
      </c>
      <c r="E8046" s="1">
        <v>8.00860352836189E-5</v>
      </c>
      <c r="F8046" s="1">
        <v>4.8367568557127803E-5</v>
      </c>
    </row>
    <row r="8047" spans="1:6" x14ac:dyDescent="0.25">
      <c r="A8047" s="2" t="str">
        <f t="shared" si="306"/>
        <v>40140</v>
      </c>
      <c r="B8047" s="2" t="str">
        <f>"92323"</f>
        <v>92323</v>
      </c>
      <c r="C8047" s="1">
        <v>1.5433619409319699E-5</v>
      </c>
      <c r="D8047" s="1">
        <v>1.3268230548774E-5</v>
      </c>
      <c r="E8047" s="1">
        <v>1.14408621833741E-5</v>
      </c>
      <c r="F8047" s="1">
        <v>1.50823600877065E-5</v>
      </c>
    </row>
    <row r="8048" spans="1:6" x14ac:dyDescent="0.25">
      <c r="A8048" s="2" t="str">
        <f t="shared" si="306"/>
        <v>40140</v>
      </c>
      <c r="B8048" s="2" t="str">
        <f>"92334"</f>
        <v>92334</v>
      </c>
      <c r="C8048" s="1">
        <v>2.00102811649295E-3</v>
      </c>
      <c r="D8048" s="1">
        <v>2.70008491667551E-3</v>
      </c>
      <c r="E8048" s="1">
        <v>2.2881724366748201E-5</v>
      </c>
      <c r="F8048" s="1">
        <v>1.96590762522519E-3</v>
      </c>
    </row>
    <row r="8049" spans="1:6" x14ac:dyDescent="0.25">
      <c r="A8049" s="2" t="str">
        <f t="shared" si="306"/>
        <v>40140</v>
      </c>
      <c r="B8049" s="2" t="str">
        <f>"92317"</f>
        <v>92317</v>
      </c>
      <c r="C8049" s="1">
        <v>3.5616044790737899E-6</v>
      </c>
      <c r="D8049" s="1">
        <v>0</v>
      </c>
      <c r="E8049" s="1">
        <v>0</v>
      </c>
      <c r="F8049" s="1">
        <v>3.1204882940082401E-6</v>
      </c>
    </row>
    <row r="8050" spans="1:6" x14ac:dyDescent="0.25">
      <c r="A8050" s="2" t="str">
        <f t="shared" si="306"/>
        <v>40140</v>
      </c>
      <c r="B8050" s="2" t="str">
        <f>"92256"</f>
        <v>92256</v>
      </c>
      <c r="C8050" s="1">
        <v>1.7362821835484701E-3</v>
      </c>
      <c r="D8050" s="1">
        <v>5.7716802887166903E-4</v>
      </c>
      <c r="E8050" s="1">
        <v>2.9746241676772701E-4</v>
      </c>
      <c r="F8050" s="1">
        <v>1.58000723953284E-3</v>
      </c>
    </row>
    <row r="8051" spans="1:6" x14ac:dyDescent="0.25">
      <c r="A8051" s="2" t="str">
        <f t="shared" si="306"/>
        <v>40140</v>
      </c>
      <c r="B8051" s="2" t="str">
        <f>"92241"</f>
        <v>92241</v>
      </c>
      <c r="C8051" s="1">
        <v>3.5277692365225902E-3</v>
      </c>
      <c r="D8051" s="1">
        <v>3.1843753317057602E-4</v>
      </c>
      <c r="E8051" s="1">
        <v>1.0754410452371601E-3</v>
      </c>
      <c r="F8051" s="1">
        <v>3.1646952115066901E-3</v>
      </c>
    </row>
    <row r="8052" spans="1:6" x14ac:dyDescent="0.25">
      <c r="A8052" s="2" t="str">
        <f t="shared" si="306"/>
        <v>40140</v>
      </c>
      <c r="B8052" s="2" t="str">
        <f>"92236"</f>
        <v>92236</v>
      </c>
      <c r="C8052" s="1">
        <v>6.8127557677216503E-3</v>
      </c>
      <c r="D8052" s="1">
        <v>5.40680394862541E-3</v>
      </c>
      <c r="E8052" s="1">
        <v>4.37040935404892E-3</v>
      </c>
      <c r="F8052" s="1">
        <v>6.5915114397100804E-3</v>
      </c>
    </row>
    <row r="8053" spans="1:6" x14ac:dyDescent="0.25">
      <c r="A8053" s="2" t="str">
        <f t="shared" si="306"/>
        <v>40140</v>
      </c>
      <c r="B8053" s="2" t="str">
        <f>"92230"</f>
        <v>92230</v>
      </c>
      <c r="C8053" s="1">
        <v>3.91182891951604E-4</v>
      </c>
      <c r="D8053" s="1">
        <v>1.8509181615539701E-3</v>
      </c>
      <c r="E8053" s="1">
        <v>2.0593551930073401E-4</v>
      </c>
      <c r="F8053" s="1">
        <v>4.9719780151198005E-4</v>
      </c>
    </row>
    <row r="8054" spans="1:6" x14ac:dyDescent="0.25">
      <c r="A8054" s="2" t="str">
        <f t="shared" si="306"/>
        <v>40140</v>
      </c>
      <c r="B8054" s="2" t="str">
        <f>"91784"</f>
        <v>91784</v>
      </c>
      <c r="C8054" s="1">
        <v>5.8137257113414498E-3</v>
      </c>
      <c r="D8054" s="1">
        <v>1.48604182146268E-3</v>
      </c>
      <c r="E8054" s="1">
        <v>1.17840880488753E-3</v>
      </c>
      <c r="F8054" s="1">
        <v>5.26374367060957E-3</v>
      </c>
    </row>
    <row r="8055" spans="1:6" x14ac:dyDescent="0.25">
      <c r="A8055" s="2" t="str">
        <f t="shared" si="306"/>
        <v>40140</v>
      </c>
      <c r="B8055" s="2" t="str">
        <f>"91766"</f>
        <v>91766</v>
      </c>
      <c r="C8055" s="1">
        <v>6.3515279876815898E-4</v>
      </c>
      <c r="D8055" s="1">
        <v>3.7151045536567201E-4</v>
      </c>
      <c r="E8055" s="1">
        <v>7.5509690410269302E-4</v>
      </c>
      <c r="F8055" s="1">
        <v>6.1993700774297096E-4</v>
      </c>
    </row>
    <row r="8056" spans="1:6" x14ac:dyDescent="0.25">
      <c r="A8056" s="2" t="str">
        <f t="shared" si="306"/>
        <v>40140</v>
      </c>
      <c r="B8056" s="2" t="str">
        <f>"91730"</f>
        <v>91730</v>
      </c>
      <c r="C8056" s="1">
        <v>1.5033532506170399E-2</v>
      </c>
      <c r="D8056" s="1">
        <v>3.2984821144252198E-2</v>
      </c>
      <c r="E8056" s="1">
        <v>2.3305036267533101E-2</v>
      </c>
      <c r="F8056" s="1">
        <v>1.68168314977927E-2</v>
      </c>
    </row>
    <row r="8057" spans="1:6" x14ac:dyDescent="0.25">
      <c r="A8057" s="2" t="str">
        <f t="shared" si="306"/>
        <v>40140</v>
      </c>
      <c r="B8057" s="2" t="str">
        <f>"92880"</f>
        <v>92880</v>
      </c>
      <c r="C8057" s="1">
        <v>1.25208205461839E-2</v>
      </c>
      <c r="D8057" s="1">
        <v>9.7455153380745108E-3</v>
      </c>
      <c r="E8057" s="1">
        <v>6.3954419605061399E-3</v>
      </c>
      <c r="F8057" s="1">
        <v>1.2024801640960699E-2</v>
      </c>
    </row>
    <row r="8058" spans="1:6" x14ac:dyDescent="0.25">
      <c r="A8058" s="2" t="str">
        <f t="shared" si="306"/>
        <v>40140</v>
      </c>
      <c r="B8058" s="2" t="str">
        <f>"92878"</f>
        <v>92878</v>
      </c>
      <c r="C8058" s="1">
        <v>1.3872449445992399E-3</v>
      </c>
      <c r="D8058" s="1">
        <v>4.0202738562785199E-3</v>
      </c>
      <c r="E8058" s="1">
        <v>3.4322586550122397E-5</v>
      </c>
      <c r="F8058" s="1">
        <v>1.53215975235804E-3</v>
      </c>
    </row>
    <row r="8059" spans="1:6" x14ac:dyDescent="0.25">
      <c r="A8059" s="2" t="str">
        <f t="shared" si="306"/>
        <v>40140</v>
      </c>
      <c r="B8059" s="2" t="str">
        <f>"92877"</f>
        <v>92877</v>
      </c>
      <c r="C8059" s="1">
        <v>6.4405680996584402E-4</v>
      </c>
      <c r="D8059" s="1">
        <v>3.5890563634433702E-3</v>
      </c>
      <c r="E8059" s="1">
        <v>3.4322586550122397E-5</v>
      </c>
      <c r="F8059" s="1">
        <v>8.4721257182323803E-4</v>
      </c>
    </row>
    <row r="8060" spans="1:6" x14ac:dyDescent="0.25">
      <c r="A8060" s="2" t="str">
        <f t="shared" si="306"/>
        <v>40140</v>
      </c>
      <c r="B8060" s="2" t="str">
        <f>"92883"</f>
        <v>92883</v>
      </c>
      <c r="C8060" s="1">
        <v>7.1718842193615904E-3</v>
      </c>
      <c r="D8060" s="1">
        <v>2.8062307610656999E-3</v>
      </c>
      <c r="E8060" s="1">
        <v>5.36576436400247E-3</v>
      </c>
      <c r="F8060" s="1">
        <v>6.7475358544104901E-3</v>
      </c>
    </row>
    <row r="8061" spans="1:6" x14ac:dyDescent="0.25">
      <c r="A8061" s="2" t="str">
        <f t="shared" si="306"/>
        <v>40140</v>
      </c>
      <c r="B8061" s="2" t="str">
        <f>"92502"</f>
        <v>92502</v>
      </c>
      <c r="C8061" s="1">
        <v>4.08990914346973E-4</v>
      </c>
      <c r="D8061" s="1">
        <v>2.1030145419806798E-3</v>
      </c>
      <c r="E8061" s="1">
        <v>2.2881724366748201E-5</v>
      </c>
      <c r="F8061" s="1">
        <v>5.2424203339338502E-4</v>
      </c>
    </row>
    <row r="8062" spans="1:6" x14ac:dyDescent="0.25">
      <c r="A8062" s="2" t="str">
        <f t="shared" si="306"/>
        <v>40140</v>
      </c>
      <c r="B8062" s="2" t="str">
        <f>"92555"</f>
        <v>92555</v>
      </c>
      <c r="C8062" s="1">
        <v>7.1457657865150502E-3</v>
      </c>
      <c r="D8062" s="1">
        <v>1.5324806283833899E-3</v>
      </c>
      <c r="E8062" s="1">
        <v>4.2674415943985498E-3</v>
      </c>
      <c r="F8062" s="1">
        <v>6.5748688354753696E-3</v>
      </c>
    </row>
    <row r="8063" spans="1:6" x14ac:dyDescent="0.25">
      <c r="A8063" s="2" t="str">
        <f t="shared" si="306"/>
        <v>40140</v>
      </c>
      <c r="B8063" s="2" t="str">
        <f>"92406"</f>
        <v>92406</v>
      </c>
      <c r="C8063" s="1">
        <v>6.2565518682396203E-4</v>
      </c>
      <c r="D8063" s="1">
        <v>9.8184906060927706E-4</v>
      </c>
      <c r="E8063" s="1">
        <v>2.2881724366748201E-5</v>
      </c>
      <c r="F8063" s="1">
        <v>6.2617798433098803E-4</v>
      </c>
    </row>
    <row r="8064" spans="1:6" x14ac:dyDescent="0.25">
      <c r="A8064" s="2" t="str">
        <f t="shared" si="306"/>
        <v>40140</v>
      </c>
      <c r="B8064" s="2" t="str">
        <f>"92410"</f>
        <v>92410</v>
      </c>
      <c r="C8064" s="1">
        <v>8.8315919066099795E-3</v>
      </c>
      <c r="D8064" s="1">
        <v>9.6592718395074797E-3</v>
      </c>
      <c r="E8064" s="1">
        <v>2.1440175731643099E-2</v>
      </c>
      <c r="F8064" s="1">
        <v>9.4696418095503495E-3</v>
      </c>
    </row>
    <row r="8065" spans="1:6" x14ac:dyDescent="0.25">
      <c r="A8065" s="2" t="str">
        <f t="shared" si="306"/>
        <v>40140</v>
      </c>
      <c r="B8065" s="2" t="str">
        <f>"92516"</f>
        <v>92516</v>
      </c>
      <c r="C8065" s="1">
        <v>8.5478507497770996E-4</v>
      </c>
      <c r="D8065" s="1">
        <v>2.2224286169196402E-3</v>
      </c>
      <c r="E8065" s="1">
        <v>2.2881724366748201E-5</v>
      </c>
      <c r="F8065" s="1">
        <v>9.2418461640877503E-4</v>
      </c>
    </row>
    <row r="8066" spans="1:6" x14ac:dyDescent="0.25">
      <c r="A8066" s="2" t="str">
        <f t="shared" si="306"/>
        <v>40140</v>
      </c>
      <c r="B8066" s="2" t="str">
        <f>"92395"</f>
        <v>92395</v>
      </c>
      <c r="C8066" s="1">
        <v>9.9071964592902604E-3</v>
      </c>
      <c r="D8066" s="1">
        <v>1.28370130559388E-2</v>
      </c>
      <c r="E8066" s="1">
        <v>1.09260233851223E-2</v>
      </c>
      <c r="F8066" s="1">
        <v>1.01831934661135E-2</v>
      </c>
    </row>
    <row r="8067" spans="1:6" x14ac:dyDescent="0.25">
      <c r="A8067" s="2" t="str">
        <f t="shared" si="306"/>
        <v>40140</v>
      </c>
      <c r="B8067" s="2" t="str">
        <f>"92313"</f>
        <v>92313</v>
      </c>
      <c r="C8067" s="1">
        <v>2.8326627623566801E-3</v>
      </c>
      <c r="D8067" s="1">
        <v>2.2489650780171898E-3</v>
      </c>
      <c r="E8067" s="1">
        <v>1.1109077180056199E-2</v>
      </c>
      <c r="F8067" s="1">
        <v>3.1631349673596899E-3</v>
      </c>
    </row>
    <row r="8068" spans="1:6" x14ac:dyDescent="0.25">
      <c r="A8068" s="2" t="str">
        <f t="shared" si="306"/>
        <v>40140</v>
      </c>
      <c r="B8068" s="2" t="str">
        <f>"92310"</f>
        <v>92310</v>
      </c>
      <c r="C8068" s="1">
        <v>1.6721733029251399E-3</v>
      </c>
      <c r="D8068" s="1">
        <v>6.6341152743869996E-5</v>
      </c>
      <c r="E8068" s="1">
        <v>1.5593895155938901E-2</v>
      </c>
      <c r="F8068" s="1">
        <v>2.1791409919824198E-3</v>
      </c>
    </row>
    <row r="8069" spans="1:6" x14ac:dyDescent="0.25">
      <c r="A8069" s="2" t="str">
        <f t="shared" si="306"/>
        <v>40140</v>
      </c>
      <c r="B8069" s="2" t="str">
        <f>"92309"</f>
        <v>92309</v>
      </c>
      <c r="C8069" s="1">
        <v>1.18720149302459E-5</v>
      </c>
      <c r="D8069" s="1">
        <v>5.3072922195095999E-5</v>
      </c>
      <c r="E8069" s="1">
        <v>0</v>
      </c>
      <c r="F8069" s="1">
        <v>1.45622787053718E-5</v>
      </c>
    </row>
    <row r="8070" spans="1:6" x14ac:dyDescent="0.25">
      <c r="A8070" s="2" t="str">
        <f t="shared" si="306"/>
        <v>40140</v>
      </c>
      <c r="B8070" s="2" t="str">
        <f>"92282"</f>
        <v>92282</v>
      </c>
      <c r="C8070" s="1">
        <v>3.6565805985157599E-4</v>
      </c>
      <c r="D8070" s="1">
        <v>5.3072922195095999E-5</v>
      </c>
      <c r="E8070" s="1">
        <v>4.5763448733496503E-5</v>
      </c>
      <c r="F8070" s="1">
        <v>3.2661110810619601E-4</v>
      </c>
    </row>
    <row r="8071" spans="1:6" x14ac:dyDescent="0.25">
      <c r="A8071" s="2" t="str">
        <f t="shared" si="306"/>
        <v>40140</v>
      </c>
      <c r="B8071" s="2" t="str">
        <f>"92374"</f>
        <v>92374</v>
      </c>
      <c r="C8071" s="1">
        <v>9.1574787164452297E-3</v>
      </c>
      <c r="D8071" s="1">
        <v>1.07339985139581E-2</v>
      </c>
      <c r="E8071" s="1">
        <v>1.23103677093105E-2</v>
      </c>
      <c r="F8071" s="1">
        <v>9.4243947292872304E-3</v>
      </c>
    </row>
    <row r="8072" spans="1:6" x14ac:dyDescent="0.25">
      <c r="A8072" s="2" t="str">
        <f t="shared" si="306"/>
        <v>40140</v>
      </c>
      <c r="B8072" s="2" t="str">
        <f>"92373"</f>
        <v>92373</v>
      </c>
      <c r="C8072" s="1">
        <v>9.7682938846063803E-3</v>
      </c>
      <c r="D8072" s="1">
        <v>1.4707833563315899E-2</v>
      </c>
      <c r="E8072" s="1">
        <v>1.4541335835068499E-2</v>
      </c>
      <c r="F8072" s="1">
        <v>1.03725030892834E-2</v>
      </c>
    </row>
    <row r="8073" spans="1:6" x14ac:dyDescent="0.25">
      <c r="A8073" s="2" t="str">
        <f t="shared" si="306"/>
        <v>40140</v>
      </c>
      <c r="B8073" s="2" t="str">
        <f>"92342"</f>
        <v>92342</v>
      </c>
      <c r="C8073" s="1">
        <v>3.3265385834549202E-3</v>
      </c>
      <c r="D8073" s="1">
        <v>6.7004564271308704E-4</v>
      </c>
      <c r="E8073" s="1">
        <v>8.5806466375305996E-4</v>
      </c>
      <c r="F8073" s="1">
        <v>3.0060703898946101E-3</v>
      </c>
    </row>
    <row r="8074" spans="1:6" x14ac:dyDescent="0.25">
      <c r="A8074" s="2" t="str">
        <f t="shared" si="306"/>
        <v>40140</v>
      </c>
      <c r="B8074" s="2" t="str">
        <f>"92369"</f>
        <v>92369</v>
      </c>
      <c r="C8074" s="1">
        <v>4.3095414196792802E-4</v>
      </c>
      <c r="D8074" s="1">
        <v>4.5111983865831601E-4</v>
      </c>
      <c r="E8074" s="1">
        <v>1.14408621833741E-5</v>
      </c>
      <c r="F8074" s="1">
        <v>4.13464698956092E-4</v>
      </c>
    </row>
    <row r="8075" spans="1:6" x14ac:dyDescent="0.25">
      <c r="A8075" s="2" t="str">
        <f t="shared" si="306"/>
        <v>40140</v>
      </c>
      <c r="B8075" s="2" t="str">
        <f>"92364"</f>
        <v>92364</v>
      </c>
      <c r="C8075" s="1">
        <v>4.6300858227959301E-5</v>
      </c>
      <c r="D8075" s="1">
        <v>1.39316420762127E-4</v>
      </c>
      <c r="E8075" s="1">
        <v>1.14408621833741E-5</v>
      </c>
      <c r="F8075" s="1">
        <v>5.2008138233470698E-5</v>
      </c>
    </row>
    <row r="8076" spans="1:6" x14ac:dyDescent="0.25">
      <c r="A8076" s="2" t="str">
        <f t="shared" si="306"/>
        <v>40140</v>
      </c>
      <c r="B8076" s="2" t="str">
        <f>"92350"</f>
        <v>92350</v>
      </c>
      <c r="C8076" s="1">
        <v>0</v>
      </c>
      <c r="D8076" s="1">
        <v>4.7765629975586398E-4</v>
      </c>
      <c r="E8076" s="1">
        <v>1.14408621833741E-5</v>
      </c>
      <c r="F8076" s="1">
        <v>3.7965940910433598E-5</v>
      </c>
    </row>
    <row r="8077" spans="1:6" x14ac:dyDescent="0.25">
      <c r="A8077" s="2" t="str">
        <f t="shared" si="306"/>
        <v>40140</v>
      </c>
      <c r="B8077" s="2" t="str">
        <f>"92371"</f>
        <v>92371</v>
      </c>
      <c r="C8077" s="1">
        <v>2.7519330608310102E-3</v>
      </c>
      <c r="D8077" s="1">
        <v>1.14106782719456E-3</v>
      </c>
      <c r="E8077" s="1">
        <v>4.9195707388508697E-4</v>
      </c>
      <c r="F8077" s="1">
        <v>2.5229147857056601E-3</v>
      </c>
    </row>
    <row r="8078" spans="1:6" x14ac:dyDescent="0.25">
      <c r="A8078" s="2" t="str">
        <f t="shared" si="306"/>
        <v>40140</v>
      </c>
      <c r="B8078" s="2" t="str">
        <f>"92354"</f>
        <v>92354</v>
      </c>
      <c r="C8078" s="1">
        <v>6.0903436592161797E-3</v>
      </c>
      <c r="D8078" s="1">
        <v>5.8380214414605596E-3</v>
      </c>
      <c r="E8078" s="1">
        <v>8.4090337047799894E-3</v>
      </c>
      <c r="F8078" s="1">
        <v>6.1759664152246504E-3</v>
      </c>
    </row>
    <row r="8079" spans="1:6" x14ac:dyDescent="0.25">
      <c r="A8079" s="2" t="str">
        <f t="shared" si="306"/>
        <v>40140</v>
      </c>
      <c r="B8079" s="2" t="str">
        <f>"92274"</f>
        <v>92274</v>
      </c>
      <c r="C8079" s="1">
        <v>3.0653542549895101E-3</v>
      </c>
      <c r="D8079" s="1">
        <v>1.7116017407918401E-3</v>
      </c>
      <c r="E8079" s="1">
        <v>2.0593551930073398E-3</v>
      </c>
      <c r="F8079" s="1">
        <v>2.91349590383903E-3</v>
      </c>
    </row>
    <row r="8080" spans="1:6" x14ac:dyDescent="0.25">
      <c r="A8080" s="2" t="str">
        <f t="shared" si="306"/>
        <v>40140</v>
      </c>
      <c r="B8080" s="2" t="str">
        <f>"92332"</f>
        <v>92332</v>
      </c>
      <c r="C8080" s="1">
        <v>1.4840018662807401E-5</v>
      </c>
      <c r="D8080" s="1">
        <v>2.6536461097548E-5</v>
      </c>
      <c r="E8080" s="1">
        <v>1.14408621833741E-5</v>
      </c>
      <c r="F8080" s="1">
        <v>1.5602441470041199E-5</v>
      </c>
    </row>
    <row r="8081" spans="1:6" x14ac:dyDescent="0.25">
      <c r="A8081" s="2" t="str">
        <f t="shared" si="306"/>
        <v>40140</v>
      </c>
      <c r="B8081" s="2" t="str">
        <f>"92320"</f>
        <v>92320</v>
      </c>
      <c r="C8081" s="1">
        <v>3.1615175759244999E-3</v>
      </c>
      <c r="D8081" s="1">
        <v>2.97871775819976E-3</v>
      </c>
      <c r="E8081" s="1">
        <v>9.4959156122005302E-4</v>
      </c>
      <c r="F8081" s="1">
        <v>3.0466367377167099E-3</v>
      </c>
    </row>
    <row r="8082" spans="1:6" x14ac:dyDescent="0.25">
      <c r="A8082" s="2" t="str">
        <f t="shared" si="306"/>
        <v>40140</v>
      </c>
      <c r="B8082" s="2" t="str">
        <f>"92248"</f>
        <v>92248</v>
      </c>
      <c r="C8082" s="1">
        <v>7.8948899286135701E-4</v>
      </c>
      <c r="D8082" s="1">
        <v>2.2025262710964801E-3</v>
      </c>
      <c r="E8082" s="1">
        <v>2.2881724366748201E-5</v>
      </c>
      <c r="F8082" s="1">
        <v>8.6541542020495299E-4</v>
      </c>
    </row>
    <row r="8083" spans="1:6" x14ac:dyDescent="0.25">
      <c r="A8083" s="2" t="str">
        <f t="shared" si="306"/>
        <v>40140</v>
      </c>
      <c r="B8083" s="2" t="str">
        <f>"92252"</f>
        <v>92252</v>
      </c>
      <c r="C8083" s="1">
        <v>3.7693647403530899E-3</v>
      </c>
      <c r="D8083" s="1">
        <v>2.2622333085659599E-3</v>
      </c>
      <c r="E8083" s="1">
        <v>1.9907100199071E-3</v>
      </c>
      <c r="F8083" s="1">
        <v>3.5703586897277602E-3</v>
      </c>
    </row>
    <row r="8084" spans="1:6" x14ac:dyDescent="0.25">
      <c r="A8084" s="2" t="str">
        <f t="shared" si="306"/>
        <v>40140</v>
      </c>
      <c r="B8084" s="2" t="str">
        <f>"92253"</f>
        <v>92253</v>
      </c>
      <c r="C8084" s="1">
        <v>1.4303403587960299E-2</v>
      </c>
      <c r="D8084" s="1">
        <v>6.77343169514913E-3</v>
      </c>
      <c r="E8084" s="1">
        <v>4.4276136649657903E-3</v>
      </c>
      <c r="F8084" s="1">
        <v>1.32641555750643E-2</v>
      </c>
    </row>
    <row r="8085" spans="1:6" x14ac:dyDescent="0.25">
      <c r="A8085" s="2" t="str">
        <f t="shared" si="306"/>
        <v>40140</v>
      </c>
      <c r="B8085" s="2" t="str">
        <f>"92226"</f>
        <v>92226</v>
      </c>
      <c r="C8085" s="1">
        <v>1.25783998185956E-3</v>
      </c>
      <c r="D8085" s="1">
        <v>1.0415560980787601E-3</v>
      </c>
      <c r="E8085" s="1">
        <v>2.2881724366748201E-5</v>
      </c>
      <c r="F8085" s="1">
        <v>1.1847453889584599E-3</v>
      </c>
    </row>
    <row r="8086" spans="1:6" x14ac:dyDescent="0.25">
      <c r="A8086" s="2" t="str">
        <f t="shared" si="306"/>
        <v>40140</v>
      </c>
      <c r="B8086" s="2" t="str">
        <f>"92240"</f>
        <v>92240</v>
      </c>
      <c r="C8086" s="1">
        <v>9.8175627465669092E-3</v>
      </c>
      <c r="D8086" s="1">
        <v>5.1878781445706401E-3</v>
      </c>
      <c r="E8086" s="1">
        <v>1.41637873830171E-2</v>
      </c>
      <c r="F8086" s="1">
        <v>9.6521903747498403E-3</v>
      </c>
    </row>
    <row r="8087" spans="1:6" x14ac:dyDescent="0.25">
      <c r="A8087" s="2" t="str">
        <f t="shared" si="306"/>
        <v>40140</v>
      </c>
      <c r="B8087" s="2" t="str">
        <f>"91785"</f>
        <v>91785</v>
      </c>
      <c r="C8087" s="1">
        <v>7.0994649282870898E-4</v>
      </c>
      <c r="D8087" s="1">
        <v>3.0782294873155699E-3</v>
      </c>
      <c r="E8087" s="1">
        <v>3.4322586550122397E-5</v>
      </c>
      <c r="F8087" s="1">
        <v>8.6489533882261804E-4</v>
      </c>
    </row>
    <row r="8088" spans="1:6" x14ac:dyDescent="0.25">
      <c r="A8088" s="2" t="str">
        <f t="shared" si="306"/>
        <v>40140</v>
      </c>
      <c r="B8088" s="2" t="str">
        <f>"91761"</f>
        <v>91761</v>
      </c>
      <c r="C8088" s="1">
        <v>1.18868549489087E-2</v>
      </c>
      <c r="D8088" s="1">
        <v>2.8606305063156701E-2</v>
      </c>
      <c r="E8088" s="1">
        <v>1.8282497769031798E-2</v>
      </c>
      <c r="F8088" s="1">
        <v>1.3488310650850601E-2</v>
      </c>
    </row>
    <row r="8089" spans="1:6" x14ac:dyDescent="0.25">
      <c r="A8089" s="2" t="str">
        <f t="shared" si="306"/>
        <v>40140</v>
      </c>
      <c r="B8089" s="2" t="str">
        <f>"91763"</f>
        <v>91763</v>
      </c>
      <c r="C8089" s="1">
        <v>7.1617930066708796E-3</v>
      </c>
      <c r="D8089" s="1">
        <v>1.4402664260694101E-2</v>
      </c>
      <c r="E8089" s="1">
        <v>1.23332494336773E-2</v>
      </c>
      <c r="F8089" s="1">
        <v>7.9645262890737107E-3</v>
      </c>
    </row>
    <row r="8090" spans="1:6" x14ac:dyDescent="0.25">
      <c r="A8090" s="2" t="str">
        <f t="shared" si="306"/>
        <v>40140</v>
      </c>
      <c r="B8090" s="2" t="str">
        <f>"91710"</f>
        <v>91710</v>
      </c>
      <c r="C8090" s="1">
        <v>1.45426246888048E-2</v>
      </c>
      <c r="D8090" s="1">
        <v>2.3942522025262699E-2</v>
      </c>
      <c r="E8090" s="1">
        <v>1.2642152712628399E-2</v>
      </c>
      <c r="F8090" s="1">
        <v>1.51931374221438E-2</v>
      </c>
    </row>
    <row r="8091" spans="1:6" x14ac:dyDescent="0.25">
      <c r="A8091" s="2" t="str">
        <f t="shared" si="306"/>
        <v>40140</v>
      </c>
      <c r="B8091" s="2" t="str">
        <f>"93562"</f>
        <v>93562</v>
      </c>
      <c r="C8091" s="1">
        <v>7.9423779883345505E-4</v>
      </c>
      <c r="D8091" s="1">
        <v>4.5775395393270299E-4</v>
      </c>
      <c r="E8091" s="1">
        <v>2.5169896803423102E-4</v>
      </c>
      <c r="F8091" s="1">
        <v>7.4319629535629704E-4</v>
      </c>
    </row>
    <row r="8092" spans="1:6" x14ac:dyDescent="0.25">
      <c r="A8092" s="2" t="str">
        <f t="shared" si="306"/>
        <v>40140</v>
      </c>
      <c r="B8092" s="2" t="str">
        <f>"93555"</f>
        <v>93555</v>
      </c>
      <c r="C8092" s="1">
        <v>7.1232089581475794E-5</v>
      </c>
      <c r="D8092" s="1">
        <v>7.9609383292644006E-5</v>
      </c>
      <c r="E8092" s="1">
        <v>9.1526897466993101E-5</v>
      </c>
      <c r="F8092" s="1">
        <v>7.2811393526858999E-5</v>
      </c>
    </row>
    <row r="8093" spans="1:6" x14ac:dyDescent="0.25">
      <c r="A8093" s="2" t="str">
        <f t="shared" si="306"/>
        <v>40140</v>
      </c>
      <c r="B8093" s="2" t="str">
        <f>"92587"</f>
        <v>92587</v>
      </c>
      <c r="C8093" s="1">
        <v>3.9266689381788501E-3</v>
      </c>
      <c r="D8093" s="1">
        <v>2.6337437639316402E-3</v>
      </c>
      <c r="E8093" s="1">
        <v>1.7390110518728599E-3</v>
      </c>
      <c r="F8093" s="1">
        <v>3.7258630230458398E-3</v>
      </c>
    </row>
    <row r="8094" spans="1:6" x14ac:dyDescent="0.25">
      <c r="A8094" s="2" t="str">
        <f t="shared" si="306"/>
        <v>40140</v>
      </c>
      <c r="B8094" s="2" t="str">
        <f>"92585"</f>
        <v>92585</v>
      </c>
      <c r="C8094" s="1">
        <v>4.6579850578820003E-3</v>
      </c>
      <c r="D8094" s="1">
        <v>9.0887379259101998E-4</v>
      </c>
      <c r="E8094" s="1">
        <v>2.17376381484108E-4</v>
      </c>
      <c r="F8094" s="1">
        <v>4.1622113028246602E-3</v>
      </c>
    </row>
    <row r="8095" spans="1:6" x14ac:dyDescent="0.25">
      <c r="A8095" s="2" t="str">
        <f t="shared" ref="A8095:A8158" si="307">"40140"</f>
        <v>40140</v>
      </c>
      <c r="B8095" s="2" t="str">
        <f>"92572"</f>
        <v>92572</v>
      </c>
      <c r="C8095" s="1">
        <v>1.7968294596927201E-3</v>
      </c>
      <c r="D8095" s="1">
        <v>1.77130877826133E-3</v>
      </c>
      <c r="E8095" s="1">
        <v>2.2881724366748201E-5</v>
      </c>
      <c r="F8095" s="1">
        <v>1.71418823617519E-3</v>
      </c>
    </row>
    <row r="8096" spans="1:6" x14ac:dyDescent="0.25">
      <c r="A8096" s="2" t="str">
        <f t="shared" si="307"/>
        <v>40140</v>
      </c>
      <c r="B8096" s="2" t="str">
        <f>"92563"</f>
        <v>92563</v>
      </c>
      <c r="C8096" s="1">
        <v>1.34723625428431E-2</v>
      </c>
      <c r="D8096" s="1">
        <v>8.7039592399957497E-3</v>
      </c>
      <c r="E8096" s="1">
        <v>1.17612063245086E-2</v>
      </c>
      <c r="F8096" s="1">
        <v>1.3020757488131701E-2</v>
      </c>
    </row>
    <row r="8097" spans="1:6" x14ac:dyDescent="0.25">
      <c r="A8097" s="2" t="str">
        <f t="shared" si="307"/>
        <v>40140</v>
      </c>
      <c r="B8097" s="2" t="str">
        <f>"92556"</f>
        <v>92556</v>
      </c>
      <c r="C8097" s="1">
        <v>5.3661507484711803E-4</v>
      </c>
      <c r="D8097" s="1">
        <v>1.3732618617981101E-3</v>
      </c>
      <c r="E8097" s="1">
        <v>2.2881724366748201E-5</v>
      </c>
      <c r="F8097" s="1">
        <v>5.7885057853852904E-4</v>
      </c>
    </row>
    <row r="8098" spans="1:6" x14ac:dyDescent="0.25">
      <c r="A8098" s="2" t="str">
        <f t="shared" si="307"/>
        <v>40140</v>
      </c>
      <c r="B8098" s="2" t="str">
        <f>"92553"</f>
        <v>92553</v>
      </c>
      <c r="C8098" s="1">
        <v>1.2334429911779E-2</v>
      </c>
      <c r="D8098" s="1">
        <v>1.50660757881328E-2</v>
      </c>
      <c r="E8098" s="1">
        <v>2.5364391460540401E-2</v>
      </c>
      <c r="F8098" s="1">
        <v>1.3140896287451E-2</v>
      </c>
    </row>
    <row r="8099" spans="1:6" x14ac:dyDescent="0.25">
      <c r="A8099" s="2" t="str">
        <f t="shared" si="307"/>
        <v>40140</v>
      </c>
      <c r="B8099" s="2" t="str">
        <f>"92562"</f>
        <v>92562</v>
      </c>
      <c r="C8099" s="1">
        <v>1.33025927293406E-2</v>
      </c>
      <c r="D8099" s="1">
        <v>1.6698068145631999E-2</v>
      </c>
      <c r="E8099" s="1">
        <v>1.7618927762396101E-2</v>
      </c>
      <c r="F8099" s="1">
        <v>1.3764993946252699E-2</v>
      </c>
    </row>
    <row r="8100" spans="1:6" x14ac:dyDescent="0.25">
      <c r="A8100" s="2" t="str">
        <f t="shared" si="307"/>
        <v>40140</v>
      </c>
      <c r="B8100" s="2" t="str">
        <f>"92404"</f>
        <v>92404</v>
      </c>
      <c r="C8100" s="1">
        <v>1.14380927845454E-2</v>
      </c>
      <c r="D8100" s="1">
        <v>7.0586986519477696E-3</v>
      </c>
      <c r="E8100" s="1">
        <v>1.9209207605885101E-2</v>
      </c>
      <c r="F8100" s="1">
        <v>1.14480313879515E-2</v>
      </c>
    </row>
    <row r="8101" spans="1:6" x14ac:dyDescent="0.25">
      <c r="A8101" s="2" t="str">
        <f t="shared" si="307"/>
        <v>40140</v>
      </c>
      <c r="B8101" s="2" t="str">
        <f>"92536"</f>
        <v>92536</v>
      </c>
      <c r="C8101" s="1">
        <v>1.17117427286876E-3</v>
      </c>
      <c r="D8101" s="1">
        <v>3.25071648444963E-4</v>
      </c>
      <c r="E8101" s="1">
        <v>6.8645173100244795E-5</v>
      </c>
      <c r="F8101" s="1">
        <v>1.05472504337478E-3</v>
      </c>
    </row>
    <row r="8102" spans="1:6" x14ac:dyDescent="0.25">
      <c r="A8102" s="2" t="str">
        <f t="shared" si="307"/>
        <v>40140</v>
      </c>
      <c r="B8102" s="2" t="str">
        <f>"92530"</f>
        <v>92530</v>
      </c>
      <c r="C8102" s="1">
        <v>1.08320264223564E-2</v>
      </c>
      <c r="D8102" s="1">
        <v>1.12647277359091E-2</v>
      </c>
      <c r="E8102" s="1">
        <v>1.34658947898313E-2</v>
      </c>
      <c r="F8102" s="1">
        <v>1.0985679039056E-2</v>
      </c>
    </row>
    <row r="8103" spans="1:6" x14ac:dyDescent="0.25">
      <c r="A8103" s="2" t="str">
        <f t="shared" si="307"/>
        <v>40140</v>
      </c>
      <c r="B8103" s="2" t="str">
        <f>"92517"</f>
        <v>92517</v>
      </c>
      <c r="C8103" s="1">
        <v>2.2740844598886098E-3</v>
      </c>
      <c r="D8103" s="1">
        <v>3.4497399426812402E-3</v>
      </c>
      <c r="E8103" s="1">
        <v>2.2881724366748201E-5</v>
      </c>
      <c r="F8103" s="1">
        <v>2.2639142573029798E-3</v>
      </c>
    </row>
    <row r="8104" spans="1:6" x14ac:dyDescent="0.25">
      <c r="A8104" s="2" t="str">
        <f t="shared" si="307"/>
        <v>40140</v>
      </c>
      <c r="B8104" s="2" t="str">
        <f>"92385"</f>
        <v>92385</v>
      </c>
      <c r="C8104" s="1">
        <v>4.1552052255860898E-5</v>
      </c>
      <c r="D8104" s="1">
        <v>3.3170576371934998E-5</v>
      </c>
      <c r="E8104" s="1">
        <v>0</v>
      </c>
      <c r="F8104" s="1">
        <v>3.9006103675103E-5</v>
      </c>
    </row>
    <row r="8105" spans="1:6" x14ac:dyDescent="0.25">
      <c r="A8105" s="2" t="str">
        <f t="shared" si="307"/>
        <v>40140</v>
      </c>
      <c r="B8105" s="2" t="str">
        <f>"92399"</f>
        <v>92399</v>
      </c>
      <c r="C8105" s="1">
        <v>1.3120950900907801E-2</v>
      </c>
      <c r="D8105" s="1">
        <v>9.6990765311538007E-3</v>
      </c>
      <c r="E8105" s="1">
        <v>7.6196142141271702E-3</v>
      </c>
      <c r="F8105" s="1">
        <v>1.2602612056734601E-2</v>
      </c>
    </row>
    <row r="8106" spans="1:6" x14ac:dyDescent="0.25">
      <c r="A8106" s="2" t="str">
        <f t="shared" si="307"/>
        <v>40140</v>
      </c>
      <c r="B8106" s="2" t="str">
        <f>"92311"</f>
        <v>92311</v>
      </c>
      <c r="C8106" s="1">
        <v>8.2676711974232903E-3</v>
      </c>
      <c r="D8106" s="1">
        <v>8.9693238509712305E-3</v>
      </c>
      <c r="E8106" s="1">
        <v>1.35574216872983E-2</v>
      </c>
      <c r="F8106" s="1">
        <v>8.5631399601409607E-3</v>
      </c>
    </row>
    <row r="8107" spans="1:6" x14ac:dyDescent="0.25">
      <c r="A8107" s="2" t="str">
        <f t="shared" si="307"/>
        <v>40140</v>
      </c>
      <c r="B8107" s="2" t="str">
        <f>"92280"</f>
        <v>92280</v>
      </c>
      <c r="C8107" s="1">
        <v>1.3059216423270499E-5</v>
      </c>
      <c r="D8107" s="1">
        <v>1.9902345823161001E-5</v>
      </c>
      <c r="E8107" s="1">
        <v>3.4322586550122397E-5</v>
      </c>
      <c r="F8107" s="1">
        <v>1.45622787053718E-5</v>
      </c>
    </row>
    <row r="8108" spans="1:6" x14ac:dyDescent="0.25">
      <c r="A8108" s="2" t="str">
        <f t="shared" si="307"/>
        <v>40140</v>
      </c>
      <c r="B8108" s="2" t="str">
        <f>"92344"</f>
        <v>92344</v>
      </c>
      <c r="C8108" s="1">
        <v>4.0940643486953197E-3</v>
      </c>
      <c r="D8108" s="1">
        <v>7.8282560237766599E-4</v>
      </c>
      <c r="E8108" s="1">
        <v>4.9195707388508697E-4</v>
      </c>
      <c r="F8108" s="1">
        <v>3.67073439651836E-3</v>
      </c>
    </row>
    <row r="8109" spans="1:6" x14ac:dyDescent="0.25">
      <c r="A8109" s="2" t="str">
        <f t="shared" si="307"/>
        <v>40140</v>
      </c>
      <c r="B8109" s="2" t="str">
        <f>"92276"</f>
        <v>92276</v>
      </c>
      <c r="C8109" s="1">
        <v>2.5602000197075402E-3</v>
      </c>
      <c r="D8109" s="1">
        <v>2.28876976966351E-3</v>
      </c>
      <c r="E8109" s="1">
        <v>9.2670983685330503E-4</v>
      </c>
      <c r="F8109" s="1">
        <v>2.4646656708841698E-3</v>
      </c>
    </row>
    <row r="8110" spans="1:6" x14ac:dyDescent="0.25">
      <c r="A8110" s="2" t="str">
        <f t="shared" si="307"/>
        <v>40140</v>
      </c>
      <c r="B8110" s="2" t="str">
        <f>"92268"</f>
        <v>92268</v>
      </c>
      <c r="C8110" s="1">
        <v>1.18720149302459E-4</v>
      </c>
      <c r="D8110" s="1">
        <v>6.6341152743869999E-6</v>
      </c>
      <c r="E8110" s="1">
        <v>4.5763448733496503E-5</v>
      </c>
      <c r="F8110" s="1">
        <v>1.0661668337861501E-4</v>
      </c>
    </row>
    <row r="8111" spans="1:6" x14ac:dyDescent="0.25">
      <c r="A8111" s="2" t="str">
        <f t="shared" si="307"/>
        <v>40140</v>
      </c>
      <c r="B8111" s="2" t="str">
        <f>"92277"</f>
        <v>92277</v>
      </c>
      <c r="C8111" s="1">
        <v>6.6590131743749599E-3</v>
      </c>
      <c r="D8111" s="1">
        <v>3.3104235219191102E-3</v>
      </c>
      <c r="E8111" s="1">
        <v>1.0365421138136899E-2</v>
      </c>
      <c r="F8111" s="1">
        <v>6.5649872892110097E-3</v>
      </c>
    </row>
    <row r="8112" spans="1:6" x14ac:dyDescent="0.25">
      <c r="A8112" s="2" t="str">
        <f t="shared" si="307"/>
        <v>40140</v>
      </c>
      <c r="B8112" s="2" t="str">
        <f>"92335"</f>
        <v>92335</v>
      </c>
      <c r="C8112" s="1">
        <v>1.5247822375661401E-2</v>
      </c>
      <c r="D8112" s="1">
        <v>1.7109383292644002E-2</v>
      </c>
      <c r="E8112" s="1">
        <v>3.0306843923758001E-2</v>
      </c>
      <c r="F8112" s="1">
        <v>1.60783159348774E-2</v>
      </c>
    </row>
    <row r="8113" spans="1:6" x14ac:dyDescent="0.25">
      <c r="A8113" s="2" t="str">
        <f t="shared" si="307"/>
        <v>40140</v>
      </c>
      <c r="B8113" s="2" t="str">
        <f>"91739"</f>
        <v>91739</v>
      </c>
      <c r="C8113" s="1">
        <v>7.7215585106319802E-3</v>
      </c>
      <c r="D8113" s="1">
        <v>5.4001698333510199E-3</v>
      </c>
      <c r="E8113" s="1">
        <v>5.5716998833032E-3</v>
      </c>
      <c r="F8113" s="1">
        <v>7.4418444998273301E-3</v>
      </c>
    </row>
    <row r="8114" spans="1:6" x14ac:dyDescent="0.25">
      <c r="A8114" s="2" t="str">
        <f t="shared" si="307"/>
        <v>40140</v>
      </c>
      <c r="B8114" s="2" t="str">
        <f>"91701"</f>
        <v>91701</v>
      </c>
      <c r="C8114" s="1">
        <v>8.2937896302698304E-3</v>
      </c>
      <c r="D8114" s="1">
        <v>3.9074938966139399E-3</v>
      </c>
      <c r="E8114" s="1">
        <v>3.3407317575452401E-3</v>
      </c>
      <c r="F8114" s="1">
        <v>7.7247687718174102E-3</v>
      </c>
    </row>
    <row r="8115" spans="1:6" x14ac:dyDescent="0.25">
      <c r="A8115" s="2" t="str">
        <f t="shared" si="307"/>
        <v>40140</v>
      </c>
      <c r="B8115" s="2" t="str">
        <f>"92881"</f>
        <v>92881</v>
      </c>
      <c r="C8115" s="1">
        <v>5.63386468514822E-3</v>
      </c>
      <c r="D8115" s="1">
        <v>4.7964653433818002E-3</v>
      </c>
      <c r="E8115" s="1">
        <v>5.6632267807701902E-3</v>
      </c>
      <c r="F8115" s="1">
        <v>5.5695515234223799E-3</v>
      </c>
    </row>
    <row r="8116" spans="1:6" x14ac:dyDescent="0.25">
      <c r="A8116" s="2" t="str">
        <f t="shared" si="307"/>
        <v>40140</v>
      </c>
      <c r="B8116" s="2" t="str">
        <f>"92592"</f>
        <v>92592</v>
      </c>
      <c r="C8116" s="1">
        <v>1.5360012916752199E-2</v>
      </c>
      <c r="D8116" s="1">
        <v>5.2276828362169602E-3</v>
      </c>
      <c r="E8116" s="1">
        <v>5.2742374665354702E-3</v>
      </c>
      <c r="F8116" s="1">
        <v>1.4107207495828901E-2</v>
      </c>
    </row>
    <row r="8117" spans="1:6" x14ac:dyDescent="0.25">
      <c r="A8117" s="2" t="str">
        <f t="shared" si="307"/>
        <v>40140</v>
      </c>
      <c r="B8117" s="2" t="str">
        <f>"92590"</f>
        <v>92590</v>
      </c>
      <c r="C8117" s="1">
        <v>1.32551046696196E-3</v>
      </c>
      <c r="D8117" s="1">
        <v>2.15078017195626E-2</v>
      </c>
      <c r="E8117" s="1">
        <v>8.7751412946479607E-3</v>
      </c>
      <c r="F8117" s="1">
        <v>3.2463479885332402E-3</v>
      </c>
    </row>
    <row r="8118" spans="1:6" x14ac:dyDescent="0.25">
      <c r="A8118" s="2" t="str">
        <f t="shared" si="307"/>
        <v>40140</v>
      </c>
      <c r="B8118" s="2" t="str">
        <f>"92415"</f>
        <v>92415</v>
      </c>
      <c r="C8118" s="1">
        <v>0</v>
      </c>
      <c r="D8118" s="1">
        <v>0</v>
      </c>
      <c r="E8118" s="1">
        <v>8.12301215019563E-4</v>
      </c>
      <c r="F8118" s="1">
        <v>3.6925778145764197E-5</v>
      </c>
    </row>
    <row r="8119" spans="1:6" x14ac:dyDescent="0.25">
      <c r="A8119" s="2" t="str">
        <f t="shared" si="307"/>
        <v>40140</v>
      </c>
      <c r="B8119" s="2" t="str">
        <f>"92548"</f>
        <v>92548</v>
      </c>
      <c r="C8119" s="1">
        <v>1.3943681535573799E-3</v>
      </c>
      <c r="D8119" s="1">
        <v>2.3219403460354501E-4</v>
      </c>
      <c r="E8119" s="1">
        <v>4.5763448733496503E-5</v>
      </c>
      <c r="F8119" s="1">
        <v>1.24195434101528E-3</v>
      </c>
    </row>
    <row r="8120" spans="1:6" x14ac:dyDescent="0.25">
      <c r="A8120" s="2" t="str">
        <f t="shared" si="307"/>
        <v>40140</v>
      </c>
      <c r="B8120" s="2" t="str">
        <f>"92545"</f>
        <v>92545</v>
      </c>
      <c r="C8120" s="1">
        <v>1.0788693567861E-2</v>
      </c>
      <c r="D8120" s="1">
        <v>5.1547075681986996E-3</v>
      </c>
      <c r="E8120" s="1">
        <v>6.14374299247191E-3</v>
      </c>
      <c r="F8120" s="1">
        <v>1.0135866060321101E-2</v>
      </c>
    </row>
    <row r="8121" spans="1:6" x14ac:dyDescent="0.25">
      <c r="A8121" s="2" t="str">
        <f t="shared" si="307"/>
        <v>40140</v>
      </c>
      <c r="B8121" s="2" t="str">
        <f>"92403"</f>
        <v>92403</v>
      </c>
      <c r="C8121" s="1">
        <v>0</v>
      </c>
      <c r="D8121" s="1">
        <v>6.6341152743869999E-6</v>
      </c>
      <c r="E8121" s="1">
        <v>1.14408621833741E-5</v>
      </c>
      <c r="F8121" s="1">
        <v>1.04016276466941E-6</v>
      </c>
    </row>
    <row r="8122" spans="1:6" x14ac:dyDescent="0.25">
      <c r="A8122" s="2" t="str">
        <f t="shared" si="307"/>
        <v>40140</v>
      </c>
      <c r="B8122" s="2" t="str">
        <f>"92402"</f>
        <v>92402</v>
      </c>
      <c r="C8122" s="1">
        <v>7.9483139957996804E-4</v>
      </c>
      <c r="D8122" s="1">
        <v>1.4396030145419801E-3</v>
      </c>
      <c r="E8122" s="1">
        <v>2.2881724366748201E-5</v>
      </c>
      <c r="F8122" s="1">
        <v>8.1028679367747402E-4</v>
      </c>
    </row>
    <row r="8123" spans="1:6" x14ac:dyDescent="0.25">
      <c r="A8123" s="2" t="str">
        <f t="shared" si="307"/>
        <v>40140</v>
      </c>
      <c r="B8123" s="2" t="str">
        <f>"92408"</f>
        <v>92408</v>
      </c>
      <c r="C8123" s="1">
        <v>2.57147843389127E-3</v>
      </c>
      <c r="D8123" s="1">
        <v>1.9842638785691501E-2</v>
      </c>
      <c r="E8123" s="1">
        <v>1.1967141843809301E-2</v>
      </c>
      <c r="F8123" s="1">
        <v>4.3525610887591602E-3</v>
      </c>
    </row>
    <row r="8124" spans="1:6" x14ac:dyDescent="0.25">
      <c r="A8124" s="2" t="str">
        <f t="shared" si="307"/>
        <v>40140</v>
      </c>
      <c r="B8124" s="2" t="str">
        <f>"92531"</f>
        <v>92531</v>
      </c>
      <c r="C8124" s="1">
        <v>6.1556397413325297E-4</v>
      </c>
      <c r="D8124" s="1">
        <v>1.6651629338711299E-3</v>
      </c>
      <c r="E8124" s="1">
        <v>2.2881724366748201E-5</v>
      </c>
      <c r="F8124" s="1">
        <v>6.7090498321177203E-4</v>
      </c>
    </row>
    <row r="8125" spans="1:6" x14ac:dyDescent="0.25">
      <c r="A8125" s="2" t="str">
        <f t="shared" si="307"/>
        <v>40140</v>
      </c>
      <c r="B8125" s="2" t="str">
        <f>"92398"</f>
        <v>92398</v>
      </c>
      <c r="C8125" s="1">
        <v>1.42464179162951E-5</v>
      </c>
      <c r="D8125" s="1">
        <v>1.3268230548774E-5</v>
      </c>
      <c r="E8125" s="1">
        <v>1.14408621833741E-5</v>
      </c>
      <c r="F8125" s="1">
        <v>1.40421973230371E-5</v>
      </c>
    </row>
    <row r="8126" spans="1:6" x14ac:dyDescent="0.25">
      <c r="A8126" s="2" t="str">
        <f t="shared" si="307"/>
        <v>40140</v>
      </c>
      <c r="B8126" s="2" t="str">
        <f>"92394"</f>
        <v>92394</v>
      </c>
      <c r="C8126" s="1">
        <v>6.0903436592161797E-3</v>
      </c>
      <c r="D8126" s="1">
        <v>2.44135442097441E-3</v>
      </c>
      <c r="E8126" s="1">
        <v>3.1233553760611301E-3</v>
      </c>
      <c r="F8126" s="1">
        <v>5.6694071488306401E-3</v>
      </c>
    </row>
    <row r="8127" spans="1:6" x14ac:dyDescent="0.25">
      <c r="A8127" s="2" t="str">
        <f t="shared" si="307"/>
        <v>40140</v>
      </c>
      <c r="B8127" s="2" t="str">
        <f>"92278"</f>
        <v>92278</v>
      </c>
      <c r="C8127" s="1">
        <v>0</v>
      </c>
      <c r="D8127" s="1">
        <v>0</v>
      </c>
      <c r="E8127" s="1">
        <v>3.4322586550122397E-5</v>
      </c>
      <c r="F8127" s="1">
        <v>1.56024414700412E-6</v>
      </c>
    </row>
    <row r="8128" spans="1:6" x14ac:dyDescent="0.25">
      <c r="A8128" s="2" t="str">
        <f t="shared" si="307"/>
        <v>40140</v>
      </c>
      <c r="B8128" s="2" t="str">
        <f>"92284"</f>
        <v>92284</v>
      </c>
      <c r="C8128" s="1">
        <v>7.1469529880080701E-3</v>
      </c>
      <c r="D8128" s="1">
        <v>7.1117715741428698E-3</v>
      </c>
      <c r="E8128" s="1">
        <v>9.72473285586801E-3</v>
      </c>
      <c r="F8128" s="1">
        <v>7.2613762601571796E-3</v>
      </c>
    </row>
    <row r="8129" spans="1:6" x14ac:dyDescent="0.25">
      <c r="A8129" s="2" t="str">
        <f t="shared" si="307"/>
        <v>40140</v>
      </c>
      <c r="B8129" s="2" t="str">
        <f>"92376"</f>
        <v>92376</v>
      </c>
      <c r="C8129" s="1">
        <v>1.3446244109996499E-2</v>
      </c>
      <c r="D8129" s="1">
        <v>1.1443848848317501E-2</v>
      </c>
      <c r="E8129" s="1">
        <v>1.72070567237947E-2</v>
      </c>
      <c r="F8129" s="1">
        <v>1.3460226256204501E-2</v>
      </c>
    </row>
    <row r="8130" spans="1:6" x14ac:dyDescent="0.25">
      <c r="A8130" s="2" t="str">
        <f t="shared" si="307"/>
        <v>40140</v>
      </c>
      <c r="B8130" s="2" t="str">
        <f>"92340"</f>
        <v>92340</v>
      </c>
      <c r="C8130" s="1">
        <v>1.7333141798159099E-3</v>
      </c>
      <c r="D8130" s="1">
        <v>2.7465237235962201E-3</v>
      </c>
      <c r="E8130" s="1">
        <v>2.2881724366748201E-5</v>
      </c>
      <c r="F8130" s="1">
        <v>1.73499149146858E-3</v>
      </c>
    </row>
    <row r="8131" spans="1:6" x14ac:dyDescent="0.25">
      <c r="A8131" s="2" t="str">
        <f t="shared" si="307"/>
        <v>40140</v>
      </c>
      <c r="B8131" s="2" t="str">
        <f>"92263"</f>
        <v>92263</v>
      </c>
      <c r="C8131" s="1">
        <v>2.08472582175119E-3</v>
      </c>
      <c r="D8131" s="1">
        <v>3.2639847149984001E-3</v>
      </c>
      <c r="E8131" s="1">
        <v>4.5763448733496503E-5</v>
      </c>
      <c r="F8131" s="1">
        <v>2.0844861803974999E-3</v>
      </c>
    </row>
    <row r="8132" spans="1:6" x14ac:dyDescent="0.25">
      <c r="A8132" s="2" t="str">
        <f t="shared" si="307"/>
        <v>40140</v>
      </c>
      <c r="B8132" s="2" t="str">
        <f>"92329"</f>
        <v>92329</v>
      </c>
      <c r="C8132" s="1">
        <v>2.0888810269767701E-3</v>
      </c>
      <c r="D8132" s="1">
        <v>9.35410253688568E-4</v>
      </c>
      <c r="E8132" s="1">
        <v>2.2881724366748201E-5</v>
      </c>
      <c r="F8132" s="1">
        <v>1.9045380221096901E-3</v>
      </c>
    </row>
    <row r="8133" spans="1:6" x14ac:dyDescent="0.25">
      <c r="A8133" s="2" t="str">
        <f t="shared" si="307"/>
        <v>40140</v>
      </c>
      <c r="B8133" s="2" t="str">
        <f>"92242"</f>
        <v>92242</v>
      </c>
      <c r="C8133" s="1">
        <v>9.4976119441967798E-6</v>
      </c>
      <c r="D8133" s="1">
        <v>5.3072922195095999E-5</v>
      </c>
      <c r="E8133" s="1">
        <v>1.14408621833741E-5</v>
      </c>
      <c r="F8133" s="1">
        <v>1.30020345583676E-5</v>
      </c>
    </row>
    <row r="8134" spans="1:6" x14ac:dyDescent="0.25">
      <c r="A8134" s="2" t="str">
        <f t="shared" si="307"/>
        <v>40140</v>
      </c>
      <c r="B8134" s="2" t="str">
        <f>"92210"</f>
        <v>92210</v>
      </c>
      <c r="C8134" s="1">
        <v>3.1288695348663199E-3</v>
      </c>
      <c r="D8134" s="1">
        <v>1.56565120475533E-3</v>
      </c>
      <c r="E8134" s="1">
        <v>2.2080864013912E-3</v>
      </c>
      <c r="F8134" s="1">
        <v>2.9644638793078302E-3</v>
      </c>
    </row>
    <row r="8135" spans="1:6" x14ac:dyDescent="0.25">
      <c r="A8135" s="2" t="str">
        <f t="shared" si="307"/>
        <v>40140</v>
      </c>
      <c r="B8135" s="2" t="str">
        <f>"92234"</f>
        <v>92234</v>
      </c>
      <c r="C8135" s="1">
        <v>1.31981189979544E-2</v>
      </c>
      <c r="D8135" s="1">
        <v>1.16097017301772E-2</v>
      </c>
      <c r="E8135" s="1">
        <v>2.3316477129716399E-2</v>
      </c>
      <c r="F8135" s="1">
        <v>1.3533557731113701E-2</v>
      </c>
    </row>
    <row r="8136" spans="1:6" x14ac:dyDescent="0.25">
      <c r="A8136" s="2" t="str">
        <f t="shared" si="307"/>
        <v>40140</v>
      </c>
      <c r="B8136" s="2" t="str">
        <f>"91743"</f>
        <v>91743</v>
      </c>
      <c r="C8136" s="1">
        <v>2.8789636205846399E-4</v>
      </c>
      <c r="D8136" s="1">
        <v>5.7053391359728205E-4</v>
      </c>
      <c r="E8136" s="1">
        <v>2.2881724366748201E-5</v>
      </c>
      <c r="F8136" s="1">
        <v>2.9800663207778699E-4</v>
      </c>
    </row>
    <row r="8137" spans="1:6" x14ac:dyDescent="0.25">
      <c r="A8137" s="2" t="str">
        <f t="shared" si="307"/>
        <v>40140</v>
      </c>
      <c r="B8137" s="2" t="str">
        <f>"93592"</f>
        <v>93592</v>
      </c>
      <c r="C8137" s="1">
        <v>1.18720149302459E-5</v>
      </c>
      <c r="D8137" s="1">
        <v>0</v>
      </c>
      <c r="E8137" s="1">
        <v>4.5763448733496503E-5</v>
      </c>
      <c r="F8137" s="1">
        <v>1.2481953176032899E-5</v>
      </c>
    </row>
    <row r="8138" spans="1:6" x14ac:dyDescent="0.25">
      <c r="A8138" s="2" t="str">
        <f t="shared" si="307"/>
        <v>40140</v>
      </c>
      <c r="B8138" s="2" t="str">
        <f>"92879"</f>
        <v>92879</v>
      </c>
      <c r="C8138" s="1">
        <v>8.5816859923282997E-3</v>
      </c>
      <c r="D8138" s="1">
        <v>1.20077486466404E-2</v>
      </c>
      <c r="E8138" s="1">
        <v>1.4346841177951101E-2</v>
      </c>
      <c r="F8138" s="1">
        <v>9.1123458998864093E-3</v>
      </c>
    </row>
    <row r="8139" spans="1:6" x14ac:dyDescent="0.25">
      <c r="A8139" s="2" t="str">
        <f t="shared" si="307"/>
        <v>40140</v>
      </c>
      <c r="B8139" s="2" t="str">
        <f>"92882"</f>
        <v>92882</v>
      </c>
      <c r="C8139" s="1">
        <v>1.26609103223608E-2</v>
      </c>
      <c r="D8139" s="1">
        <v>9.4469801507270895E-3</v>
      </c>
      <c r="E8139" s="1">
        <v>1.6760863098643101E-2</v>
      </c>
      <c r="F8139" s="1">
        <v>1.25953309173819E-2</v>
      </c>
    </row>
    <row r="8140" spans="1:6" x14ac:dyDescent="0.25">
      <c r="A8140" s="2" t="str">
        <f t="shared" si="307"/>
        <v>40140</v>
      </c>
      <c r="B8140" s="2" t="str">
        <f>"92595"</f>
        <v>92595</v>
      </c>
      <c r="C8140" s="1">
        <v>7.2656731373105304E-3</v>
      </c>
      <c r="D8140" s="1">
        <v>4.9225135335951497E-3</v>
      </c>
      <c r="E8140" s="1">
        <v>2.0593551930073398E-3</v>
      </c>
      <c r="F8140" s="1">
        <v>6.8453111542894204E-3</v>
      </c>
    </row>
    <row r="8141" spans="1:6" x14ac:dyDescent="0.25">
      <c r="A8141" s="2" t="str">
        <f t="shared" si="307"/>
        <v>40140</v>
      </c>
      <c r="B8141" s="2" t="str">
        <f>"92586"</f>
        <v>92586</v>
      </c>
      <c r="C8141" s="1">
        <v>7.5084558426340596E-3</v>
      </c>
      <c r="D8141" s="1">
        <v>4.5576371935038698E-3</v>
      </c>
      <c r="E8141" s="1">
        <v>1.70468846532274E-3</v>
      </c>
      <c r="F8141" s="1">
        <v>7.0132974407835303E-3</v>
      </c>
    </row>
    <row r="8142" spans="1:6" x14ac:dyDescent="0.25">
      <c r="A8142" s="2" t="str">
        <f t="shared" si="307"/>
        <v>40140</v>
      </c>
      <c r="B8142" s="2" t="str">
        <f>"92507"</f>
        <v>92507</v>
      </c>
      <c r="C8142" s="1">
        <v>1.3033097990424E-2</v>
      </c>
      <c r="D8142" s="1">
        <v>2.0399904468740002E-2</v>
      </c>
      <c r="E8142" s="1">
        <v>3.8784522801638299E-2</v>
      </c>
      <c r="F8142" s="1">
        <v>1.47812329673347E-2</v>
      </c>
    </row>
    <row r="8143" spans="1:6" x14ac:dyDescent="0.25">
      <c r="A8143" s="2" t="str">
        <f t="shared" si="307"/>
        <v>40140</v>
      </c>
      <c r="B8143" s="2" t="str">
        <f>"92505"</f>
        <v>92505</v>
      </c>
      <c r="C8143" s="1">
        <v>9.0535985858055806E-3</v>
      </c>
      <c r="D8143" s="1">
        <v>6.6009446980150703E-3</v>
      </c>
      <c r="E8143" s="1">
        <v>9.1412488845159304E-3</v>
      </c>
      <c r="F8143" s="1">
        <v>8.8653072432774201E-3</v>
      </c>
    </row>
    <row r="8144" spans="1:6" x14ac:dyDescent="0.25">
      <c r="A8144" s="2" t="str">
        <f t="shared" si="307"/>
        <v>40140</v>
      </c>
      <c r="B8144" s="2" t="str">
        <f>"92582"</f>
        <v>92582</v>
      </c>
      <c r="C8144" s="1">
        <v>3.4215147028968901E-3</v>
      </c>
      <c r="D8144" s="1">
        <v>1.54574885893217E-3</v>
      </c>
      <c r="E8144" s="1">
        <v>5.0339793606846205E-4</v>
      </c>
      <c r="F8144" s="1">
        <v>3.1418116306839599E-3</v>
      </c>
    </row>
    <row r="8145" spans="1:6" x14ac:dyDescent="0.25">
      <c r="A8145" s="2" t="str">
        <f t="shared" si="307"/>
        <v>40140</v>
      </c>
      <c r="B8145" s="2" t="str">
        <f>"92549"</f>
        <v>92549</v>
      </c>
      <c r="C8145" s="1">
        <v>6.5296082116352802E-6</v>
      </c>
      <c r="D8145" s="1">
        <v>6.6341152743869999E-6</v>
      </c>
      <c r="E8145" s="1">
        <v>0</v>
      </c>
      <c r="F8145" s="1">
        <v>6.2409765880164903E-6</v>
      </c>
    </row>
    <row r="8146" spans="1:6" x14ac:dyDescent="0.25">
      <c r="A8146" s="2" t="str">
        <f t="shared" si="307"/>
        <v>40140</v>
      </c>
      <c r="B8146" s="2" t="str">
        <f>"92544"</f>
        <v>92544</v>
      </c>
      <c r="C8146" s="1">
        <v>1.03945426721768E-2</v>
      </c>
      <c r="D8146" s="1">
        <v>4.3785160810954201E-3</v>
      </c>
      <c r="E8146" s="1">
        <v>6.4297645470562598E-3</v>
      </c>
      <c r="F8146" s="1">
        <v>9.7426845352760801E-3</v>
      </c>
    </row>
    <row r="8147" spans="1:6" x14ac:dyDescent="0.25">
      <c r="A8147" s="2" t="str">
        <f t="shared" si="307"/>
        <v>40140</v>
      </c>
      <c r="B8147" s="2" t="str">
        <f>"92543"</f>
        <v>92543</v>
      </c>
      <c r="C8147" s="1">
        <v>9.4115398359524895E-3</v>
      </c>
      <c r="D8147" s="1">
        <v>1.01236599087145E-2</v>
      </c>
      <c r="E8147" s="1">
        <v>1.17040020135917E-2</v>
      </c>
      <c r="F8147" s="1">
        <v>9.5715777604879603E-3</v>
      </c>
    </row>
    <row r="8148" spans="1:6" x14ac:dyDescent="0.25">
      <c r="A8148" s="2" t="str">
        <f t="shared" si="307"/>
        <v>40140</v>
      </c>
      <c r="B8148" s="2" t="str">
        <f>"92391"</f>
        <v>92391</v>
      </c>
      <c r="C8148" s="1">
        <v>2.28536287407235E-4</v>
      </c>
      <c r="D8148" s="1">
        <v>4.6438806920709001E-5</v>
      </c>
      <c r="E8148" s="1">
        <v>6.8645173100244795E-5</v>
      </c>
      <c r="F8148" s="1">
        <v>2.0699239016921299E-4</v>
      </c>
    </row>
    <row r="8149" spans="1:6" x14ac:dyDescent="0.25">
      <c r="A8149" s="2" t="str">
        <f t="shared" si="307"/>
        <v>40140</v>
      </c>
      <c r="B8149" s="2" t="str">
        <f>"92305"</f>
        <v>92305</v>
      </c>
      <c r="C8149" s="1">
        <v>1.2524975751409501E-4</v>
      </c>
      <c r="D8149" s="1">
        <v>1.5258465131090101E-4</v>
      </c>
      <c r="E8149" s="1">
        <v>3.4322586550122397E-5</v>
      </c>
      <c r="F8149" s="1">
        <v>1.23259287613325E-4</v>
      </c>
    </row>
    <row r="8150" spans="1:6" x14ac:dyDescent="0.25">
      <c r="A8150" s="2" t="str">
        <f t="shared" si="307"/>
        <v>40140</v>
      </c>
      <c r="B8150" s="2" t="str">
        <f>"92304"</f>
        <v>92304</v>
      </c>
      <c r="C8150" s="1">
        <v>0</v>
      </c>
      <c r="D8150" s="1">
        <v>1.3268230548774E-5</v>
      </c>
      <c r="E8150" s="1">
        <v>1.14408621833741E-5</v>
      </c>
      <c r="F8150" s="1">
        <v>1.56024414700412E-6</v>
      </c>
    </row>
    <row r="8151" spans="1:6" x14ac:dyDescent="0.25">
      <c r="A8151" s="2" t="str">
        <f t="shared" si="307"/>
        <v>40140</v>
      </c>
      <c r="B8151" s="2" t="str">
        <f>"92301"</f>
        <v>92301</v>
      </c>
      <c r="C8151" s="1">
        <v>7.9797748353648296E-3</v>
      </c>
      <c r="D8151" s="1">
        <v>4.2790043519796098E-3</v>
      </c>
      <c r="E8151" s="1">
        <v>6.8073129991076103E-3</v>
      </c>
      <c r="F8151" s="1">
        <v>7.6363549368205098E-3</v>
      </c>
    </row>
    <row r="8152" spans="1:6" x14ac:dyDescent="0.25">
      <c r="A8152" s="2" t="str">
        <f t="shared" si="307"/>
        <v>40140</v>
      </c>
      <c r="B8152" s="2" t="str">
        <f>"92307"</f>
        <v>92307</v>
      </c>
      <c r="C8152" s="1">
        <v>1.01244543325137E-2</v>
      </c>
      <c r="D8152" s="1">
        <v>9.7587835686232804E-3</v>
      </c>
      <c r="E8152" s="1">
        <v>1.8465551563965801E-2</v>
      </c>
      <c r="F8152" s="1">
        <v>1.0474959121603299E-2</v>
      </c>
    </row>
    <row r="8153" spans="1:6" x14ac:dyDescent="0.25">
      <c r="A8153" s="2" t="str">
        <f t="shared" si="307"/>
        <v>40140</v>
      </c>
      <c r="B8153" s="2" t="str">
        <f>"92358"</f>
        <v>92358</v>
      </c>
      <c r="C8153" s="1">
        <v>1.7986102619322599E-4</v>
      </c>
      <c r="D8153" s="1">
        <v>5.3072922195095999E-5</v>
      </c>
      <c r="E8153" s="1">
        <v>4.5763448733496503E-5</v>
      </c>
      <c r="F8153" s="1">
        <v>1.6382563543543201E-4</v>
      </c>
    </row>
    <row r="8154" spans="1:6" x14ac:dyDescent="0.25">
      <c r="A8154" s="2" t="str">
        <f t="shared" si="307"/>
        <v>40140</v>
      </c>
      <c r="B8154" s="2" t="str">
        <f>"92345"</f>
        <v>92345</v>
      </c>
      <c r="C8154" s="1">
        <v>1.6104981853625099E-2</v>
      </c>
      <c r="D8154" s="1">
        <v>1.6419435304107801E-2</v>
      </c>
      <c r="E8154" s="1">
        <v>1.4129464796467E-2</v>
      </c>
      <c r="F8154" s="1">
        <v>1.6039829912584701E-2</v>
      </c>
    </row>
    <row r="8155" spans="1:6" x14ac:dyDescent="0.25">
      <c r="A8155" s="2" t="str">
        <f t="shared" si="307"/>
        <v>40140</v>
      </c>
      <c r="B8155" s="2" t="str">
        <f>"92325"</f>
        <v>92325</v>
      </c>
      <c r="C8155" s="1">
        <v>3.9860290128300802E-3</v>
      </c>
      <c r="D8155" s="1">
        <v>2.0101369281392599E-3</v>
      </c>
      <c r="E8155" s="1">
        <v>5.83483971352081E-4</v>
      </c>
      <c r="F8155" s="1">
        <v>3.6764552917240398E-3</v>
      </c>
    </row>
    <row r="8156" spans="1:6" x14ac:dyDescent="0.25">
      <c r="A8156" s="2" t="str">
        <f t="shared" si="307"/>
        <v>40140</v>
      </c>
      <c r="B8156" s="2" t="str">
        <f>"92336"</f>
        <v>92336</v>
      </c>
      <c r="C8156" s="1">
        <v>1.62320124133788E-2</v>
      </c>
      <c r="D8156" s="1">
        <v>4.2790043519796098E-3</v>
      </c>
      <c r="E8156" s="1">
        <v>5.3200009152689701E-3</v>
      </c>
      <c r="F8156" s="1">
        <v>1.47989157343341E-2</v>
      </c>
    </row>
    <row r="8157" spans="1:6" x14ac:dyDescent="0.25">
      <c r="A8157" s="2" t="str">
        <f t="shared" si="307"/>
        <v>40140</v>
      </c>
      <c r="B8157" s="2" t="str">
        <f>"92239"</f>
        <v>92239</v>
      </c>
      <c r="C8157" s="1">
        <v>5.2236865693082201E-5</v>
      </c>
      <c r="D8157" s="1">
        <v>6.6341152743869999E-6</v>
      </c>
      <c r="E8157" s="1">
        <v>0</v>
      </c>
      <c r="F8157" s="1">
        <v>4.6287243027788898E-5</v>
      </c>
    </row>
    <row r="8158" spans="1:6" x14ac:dyDescent="0.25">
      <c r="A8158" s="2" t="str">
        <f t="shared" si="307"/>
        <v>40140</v>
      </c>
      <c r="B8158" s="2" t="str">
        <f>"92235"</f>
        <v>92235</v>
      </c>
      <c r="C8158" s="1">
        <v>1.4857826685202801E-3</v>
      </c>
      <c r="D8158" s="1">
        <v>1.76467466298694E-3</v>
      </c>
      <c r="E8158" s="1">
        <v>2.2881724366748201E-5</v>
      </c>
      <c r="F8158" s="1">
        <v>1.44114551044947E-3</v>
      </c>
    </row>
    <row r="8159" spans="1:6" x14ac:dyDescent="0.25">
      <c r="A8159" s="2" t="str">
        <f t="shared" ref="A8159:A8222" si="308">"40140"</f>
        <v>40140</v>
      </c>
      <c r="B8159" s="2" t="str">
        <f>"92225"</f>
        <v>92225</v>
      </c>
      <c r="C8159" s="1">
        <v>5.4350084350665998E-3</v>
      </c>
      <c r="D8159" s="1">
        <v>4.9357817641439298E-3</v>
      </c>
      <c r="E8159" s="1">
        <v>3.4436995171956098E-3</v>
      </c>
      <c r="F8159" s="1">
        <v>5.3053501811963499E-3</v>
      </c>
    </row>
    <row r="8160" spans="1:6" x14ac:dyDescent="0.25">
      <c r="A8160" s="2" t="str">
        <f t="shared" si="308"/>
        <v>40140</v>
      </c>
      <c r="B8160" s="2" t="str">
        <f>"91762"</f>
        <v>91762</v>
      </c>
      <c r="C8160" s="1">
        <v>1.24905469081117E-2</v>
      </c>
      <c r="D8160" s="1">
        <v>1.44358348370661E-2</v>
      </c>
      <c r="E8160" s="1">
        <v>1.98270141637873E-2</v>
      </c>
      <c r="F8160" s="1">
        <v>1.29765505706332E-2</v>
      </c>
    </row>
    <row r="8161" spans="1:6" x14ac:dyDescent="0.25">
      <c r="A8161" s="2" t="str">
        <f t="shared" si="308"/>
        <v>40140</v>
      </c>
      <c r="B8161" s="2" t="str">
        <f>"91764"</f>
        <v>91764</v>
      </c>
      <c r="C8161" s="1">
        <v>1.0007514985450799E-2</v>
      </c>
      <c r="D8161" s="1">
        <v>1.1669408767646701E-2</v>
      </c>
      <c r="E8161" s="1">
        <v>2.0856691760291E-2</v>
      </c>
      <c r="F8161" s="1">
        <v>1.0630983536303699E-2</v>
      </c>
    </row>
    <row r="8162" spans="1:6" x14ac:dyDescent="0.25">
      <c r="A8162" s="2" t="str">
        <f t="shared" si="308"/>
        <v>40140</v>
      </c>
      <c r="B8162" s="2" t="str">
        <f>"91752"</f>
        <v>91752</v>
      </c>
      <c r="C8162" s="1">
        <v>7.4639357866456398E-3</v>
      </c>
      <c r="D8162" s="1">
        <v>6.23606835792378E-3</v>
      </c>
      <c r="E8162" s="1">
        <v>7.9628400796283999E-3</v>
      </c>
      <c r="F8162" s="1">
        <v>7.3903564429761903E-3</v>
      </c>
    </row>
    <row r="8163" spans="1:6" x14ac:dyDescent="0.25">
      <c r="A8163" s="2" t="str">
        <f t="shared" si="308"/>
        <v>40140</v>
      </c>
      <c r="B8163" s="2" t="str">
        <f>"91708"</f>
        <v>91708</v>
      </c>
      <c r="C8163" s="1">
        <v>3.58594210968079E-3</v>
      </c>
      <c r="D8163" s="1">
        <v>4.7234900753635404E-3</v>
      </c>
      <c r="E8163" s="1">
        <v>2.9746241676772701E-4</v>
      </c>
      <c r="F8163" s="1">
        <v>3.5256316908469799E-3</v>
      </c>
    </row>
    <row r="8164" spans="1:6" x14ac:dyDescent="0.25">
      <c r="A8164" s="2" t="str">
        <f t="shared" si="308"/>
        <v>40140</v>
      </c>
      <c r="B8164" s="2" t="str">
        <f>"92599"</f>
        <v>92599</v>
      </c>
      <c r="C8164" s="1">
        <v>0</v>
      </c>
      <c r="D8164" s="1">
        <v>0</v>
      </c>
      <c r="E8164" s="1">
        <v>4.5763448733496503E-5</v>
      </c>
      <c r="F8164" s="1">
        <v>2.0803255293388301E-6</v>
      </c>
    </row>
    <row r="8165" spans="1:6" x14ac:dyDescent="0.25">
      <c r="A8165" s="2" t="str">
        <f t="shared" si="308"/>
        <v>40140</v>
      </c>
      <c r="B8165" s="2" t="str">
        <f>"92591"</f>
        <v>92591</v>
      </c>
      <c r="C8165" s="1">
        <v>9.1598531194312799E-3</v>
      </c>
      <c r="D8165" s="1">
        <v>9.3275660757881299E-3</v>
      </c>
      <c r="E8165" s="1">
        <v>1.05370340708875E-2</v>
      </c>
      <c r="F8165" s="1">
        <v>9.2356051874997302E-3</v>
      </c>
    </row>
    <row r="8166" spans="1:6" x14ac:dyDescent="0.25">
      <c r="A8166" s="2" t="str">
        <f t="shared" si="308"/>
        <v>40140</v>
      </c>
      <c r="B8166" s="2" t="str">
        <f>"92583"</f>
        <v>92583</v>
      </c>
      <c r="C8166" s="1">
        <v>6.4126688645723597E-3</v>
      </c>
      <c r="D8166" s="1">
        <v>5.5195839082899899E-3</v>
      </c>
      <c r="E8166" s="1">
        <v>5.6403450564034502E-3</v>
      </c>
      <c r="F8166" s="1">
        <v>6.3075470049553297E-3</v>
      </c>
    </row>
    <row r="8167" spans="1:6" x14ac:dyDescent="0.25">
      <c r="A8167" s="2" t="str">
        <f t="shared" si="308"/>
        <v>40140</v>
      </c>
      <c r="B8167" s="2" t="str">
        <f>"92506"</f>
        <v>92506</v>
      </c>
      <c r="C8167" s="1">
        <v>9.7243674293644704E-3</v>
      </c>
      <c r="D8167" s="1">
        <v>1.11917524678908E-2</v>
      </c>
      <c r="E8167" s="1">
        <v>6.2581516143056497E-3</v>
      </c>
      <c r="F8167" s="1">
        <v>9.6818350135429096E-3</v>
      </c>
    </row>
    <row r="8168" spans="1:6" x14ac:dyDescent="0.25">
      <c r="A8168" s="2" t="str">
        <f t="shared" si="308"/>
        <v>40140</v>
      </c>
      <c r="B8168" s="2" t="str">
        <f>"92418"</f>
        <v>92418</v>
      </c>
      <c r="C8168" s="1">
        <v>0</v>
      </c>
      <c r="D8168" s="1">
        <v>6.6341152743869999E-6</v>
      </c>
      <c r="E8168" s="1">
        <v>0</v>
      </c>
      <c r="F8168" s="1">
        <v>5.2008138233470699E-7</v>
      </c>
    </row>
    <row r="8169" spans="1:6" x14ac:dyDescent="0.25">
      <c r="A8169" s="2" t="str">
        <f t="shared" si="308"/>
        <v>40140</v>
      </c>
      <c r="B8169" s="2" t="str">
        <f>"92503"</f>
        <v>92503</v>
      </c>
      <c r="C8169" s="1">
        <v>1.56105124317804E-2</v>
      </c>
      <c r="D8169" s="1">
        <v>1.9729858826026899E-2</v>
      </c>
      <c r="E8169" s="1">
        <v>1.5788389813056299E-2</v>
      </c>
      <c r="F8169" s="1">
        <v>1.5941534531323399E-2</v>
      </c>
    </row>
    <row r="8170" spans="1:6" x14ac:dyDescent="0.25">
      <c r="A8170" s="2" t="str">
        <f t="shared" si="308"/>
        <v>40140</v>
      </c>
      <c r="B8170" s="2" t="str">
        <f>"92581"</f>
        <v>92581</v>
      </c>
      <c r="C8170" s="1">
        <v>8.2807304138465604E-4</v>
      </c>
      <c r="D8170" s="1">
        <v>1.7845770088101001E-3</v>
      </c>
      <c r="E8170" s="1">
        <v>2.2881724366748201E-5</v>
      </c>
      <c r="F8170" s="1">
        <v>8.6645558296962301E-4</v>
      </c>
    </row>
    <row r="8171" spans="1:6" x14ac:dyDescent="0.25">
      <c r="A8171" s="2" t="str">
        <f t="shared" si="308"/>
        <v>40140</v>
      </c>
      <c r="B8171" s="2" t="str">
        <f>"92564"</f>
        <v>92564</v>
      </c>
      <c r="C8171" s="1">
        <v>4.6775738825169101E-4</v>
      </c>
      <c r="D8171" s="1">
        <v>2.58730495701093E-3</v>
      </c>
      <c r="E8171" s="1">
        <v>2.2881724366748201E-5</v>
      </c>
      <c r="F8171" s="1">
        <v>6.1369603115495497E-4</v>
      </c>
    </row>
    <row r="8172" spans="1:6" x14ac:dyDescent="0.25">
      <c r="A8172" s="2" t="str">
        <f t="shared" si="308"/>
        <v>40140</v>
      </c>
      <c r="B8172" s="2" t="str">
        <f>"92552"</f>
        <v>92552</v>
      </c>
      <c r="C8172" s="1">
        <v>1.4068337692341401E-3</v>
      </c>
      <c r="D8172" s="1">
        <v>2.3551109224073802E-3</v>
      </c>
      <c r="E8172" s="1">
        <v>2.2881724366748201E-5</v>
      </c>
      <c r="F8172" s="1">
        <v>1.41826192962674E-3</v>
      </c>
    </row>
    <row r="8173" spans="1:6" x14ac:dyDescent="0.25">
      <c r="A8173" s="2" t="str">
        <f t="shared" si="308"/>
        <v>40140</v>
      </c>
      <c r="B8173" s="2" t="str">
        <f>"92546"</f>
        <v>92546</v>
      </c>
      <c r="C8173" s="1">
        <v>1.86568714628815E-3</v>
      </c>
      <c r="D8173" s="1">
        <v>1.8442840462795801E-3</v>
      </c>
      <c r="E8173" s="1">
        <v>2.2881724366748201E-5</v>
      </c>
      <c r="F8173" s="1">
        <v>1.7802385717316999E-3</v>
      </c>
    </row>
    <row r="8174" spans="1:6" x14ac:dyDescent="0.25">
      <c r="A8174" s="2" t="str">
        <f t="shared" si="308"/>
        <v>40140</v>
      </c>
      <c r="B8174" s="2" t="str">
        <f>"92561"</f>
        <v>92561</v>
      </c>
      <c r="C8174" s="1">
        <v>4.8200380616798599E-4</v>
      </c>
      <c r="D8174" s="1">
        <v>1.45950536036514E-4</v>
      </c>
      <c r="E8174" s="1">
        <v>1.02967759650367E-4</v>
      </c>
      <c r="F8174" s="1">
        <v>4.3842860530815802E-4</v>
      </c>
    </row>
    <row r="8175" spans="1:6" x14ac:dyDescent="0.25">
      <c r="A8175" s="2" t="str">
        <f t="shared" si="308"/>
        <v>40140</v>
      </c>
      <c r="B8175" s="2" t="str">
        <f>"92557"</f>
        <v>92557</v>
      </c>
      <c r="C8175" s="1">
        <v>9.4186630449106402E-3</v>
      </c>
      <c r="D8175" s="1">
        <v>3.0782294873155699E-3</v>
      </c>
      <c r="E8175" s="1">
        <v>5.2971191909022197E-3</v>
      </c>
      <c r="F8175" s="1">
        <v>8.7342467349290805E-3</v>
      </c>
    </row>
    <row r="8176" spans="1:6" x14ac:dyDescent="0.25">
      <c r="A8176" s="2" t="str">
        <f t="shared" si="308"/>
        <v>40140</v>
      </c>
      <c r="B8176" s="2" t="str">
        <f>"92407"</f>
        <v>92407</v>
      </c>
      <c r="C8176" s="1">
        <v>1.15835249674409E-2</v>
      </c>
      <c r="D8176" s="1">
        <v>4.5841736546014204E-3</v>
      </c>
      <c r="E8176" s="1">
        <v>1.0033636134819101E-2</v>
      </c>
      <c r="F8176" s="1">
        <v>1.09643557023803E-2</v>
      </c>
    </row>
    <row r="8177" spans="1:6" x14ac:dyDescent="0.25">
      <c r="A8177" s="2" t="str">
        <f t="shared" si="308"/>
        <v>40140</v>
      </c>
      <c r="B8177" s="2" t="str">
        <f>"92514"</f>
        <v>92514</v>
      </c>
      <c r="C8177" s="1">
        <v>2.9323876877707501E-4</v>
      </c>
      <c r="D8177" s="1">
        <v>9.4204436896295498E-4</v>
      </c>
      <c r="E8177" s="1">
        <v>2.2881724366748201E-5</v>
      </c>
      <c r="F8177" s="1">
        <v>3.3181192192954301E-4</v>
      </c>
    </row>
    <row r="8178" spans="1:6" x14ac:dyDescent="0.25">
      <c r="A8178" s="2" t="str">
        <f t="shared" si="308"/>
        <v>40140</v>
      </c>
      <c r="B8178" s="2" t="str">
        <f>"92513"</f>
        <v>92513</v>
      </c>
      <c r="C8178" s="1">
        <v>8.7199949662656597E-4</v>
      </c>
      <c r="D8178" s="1">
        <v>2.3484768071330001E-3</v>
      </c>
      <c r="E8178" s="1">
        <v>1.14408621833741E-5</v>
      </c>
      <c r="F8178" s="1">
        <v>9.4862844137850598E-4</v>
      </c>
    </row>
    <row r="8179" spans="1:6" x14ac:dyDescent="0.25">
      <c r="A8179" s="2" t="str">
        <f t="shared" si="308"/>
        <v>40140</v>
      </c>
      <c r="B8179" s="2" t="str">
        <f>"92509"</f>
        <v>92509</v>
      </c>
      <c r="C8179" s="1">
        <v>1.25344733633537E-2</v>
      </c>
      <c r="D8179" s="1">
        <v>8.9560556204224592E-3</v>
      </c>
      <c r="E8179" s="1">
        <v>6.7043452394572401E-3</v>
      </c>
      <c r="F8179" s="1">
        <v>1.19889160255796E-2</v>
      </c>
    </row>
    <row r="8180" spans="1:6" x14ac:dyDescent="0.25">
      <c r="A8180" s="2" t="str">
        <f t="shared" si="308"/>
        <v>40140</v>
      </c>
      <c r="B8180" s="2" t="str">
        <f>"92508"</f>
        <v>92508</v>
      </c>
      <c r="C8180" s="1">
        <v>6.1479229316278696E-3</v>
      </c>
      <c r="D8180" s="1">
        <v>3.5492516717970401E-3</v>
      </c>
      <c r="E8180" s="1">
        <v>2.5627531290758E-3</v>
      </c>
      <c r="F8180" s="1">
        <v>5.78122464603261E-3</v>
      </c>
    </row>
    <row r="8181" spans="1:6" x14ac:dyDescent="0.25">
      <c r="A8181" s="2" t="str">
        <f t="shared" si="308"/>
        <v>40140</v>
      </c>
      <c r="B8181" s="2" t="str">
        <f>"92397"</f>
        <v>92397</v>
      </c>
      <c r="C8181" s="1">
        <v>1.10409738851287E-4</v>
      </c>
      <c r="D8181" s="1">
        <v>1.9902345823161001E-5</v>
      </c>
      <c r="E8181" s="1">
        <v>0</v>
      </c>
      <c r="F8181" s="1">
        <v>9.8295381261259698E-5</v>
      </c>
    </row>
    <row r="8182" spans="1:6" x14ac:dyDescent="0.25">
      <c r="A8182" s="2" t="str">
        <f t="shared" si="308"/>
        <v>40140</v>
      </c>
      <c r="B8182" s="2" t="str">
        <f>"92382"</f>
        <v>92382</v>
      </c>
      <c r="C8182" s="1">
        <v>1.2109455228850799E-4</v>
      </c>
      <c r="D8182" s="1">
        <v>2.6536461097548E-5</v>
      </c>
      <c r="E8182" s="1">
        <v>2.2881724366748201E-5</v>
      </c>
      <c r="F8182" s="1">
        <v>1.09217090290288E-4</v>
      </c>
    </row>
    <row r="8183" spans="1:6" x14ac:dyDescent="0.25">
      <c r="A8183" s="2" t="str">
        <f t="shared" si="308"/>
        <v>40140</v>
      </c>
      <c r="B8183" s="2" t="str">
        <f>"92341"</f>
        <v>92341</v>
      </c>
      <c r="C8183" s="1">
        <v>1.1872014930245901E-6</v>
      </c>
      <c r="D8183" s="1">
        <v>6.6341152743869999E-6</v>
      </c>
      <c r="E8183" s="1">
        <v>0</v>
      </c>
      <c r="F8183" s="1">
        <v>1.56024414700412E-6</v>
      </c>
    </row>
    <row r="8184" spans="1:6" x14ac:dyDescent="0.25">
      <c r="A8184" s="2" t="str">
        <f t="shared" si="308"/>
        <v>40140</v>
      </c>
      <c r="B8184" s="2" t="str">
        <f>"92368"</f>
        <v>92368</v>
      </c>
      <c r="C8184" s="1">
        <v>2.0835386202581601E-4</v>
      </c>
      <c r="D8184" s="1">
        <v>1.3268230548773999E-4</v>
      </c>
      <c r="E8184" s="1">
        <v>1.2699357023545201E-3</v>
      </c>
      <c r="F8184" s="1">
        <v>2.5067922628532898E-4</v>
      </c>
    </row>
    <row r="8185" spans="1:6" x14ac:dyDescent="0.25">
      <c r="A8185" s="2" t="str">
        <f t="shared" si="308"/>
        <v>40140</v>
      </c>
      <c r="B8185" s="2" t="str">
        <f>"92352"</f>
        <v>92352</v>
      </c>
      <c r="C8185" s="1">
        <v>1.75112220221128E-3</v>
      </c>
      <c r="D8185" s="1">
        <v>4.2259314297845201E-3</v>
      </c>
      <c r="E8185" s="1">
        <v>2.2881724366748201E-5</v>
      </c>
      <c r="F8185" s="1">
        <v>1.8665720811992599E-3</v>
      </c>
    </row>
    <row r="8186" spans="1:6" x14ac:dyDescent="0.25">
      <c r="A8186" s="2" t="str">
        <f t="shared" si="308"/>
        <v>40140</v>
      </c>
      <c r="B8186" s="2" t="str">
        <f>"92346"</f>
        <v>92346</v>
      </c>
      <c r="C8186" s="1">
        <v>1.2314841087144099E-2</v>
      </c>
      <c r="D8186" s="1">
        <v>6.78006581042352E-3</v>
      </c>
      <c r="E8186" s="1">
        <v>4.96533418758437E-3</v>
      </c>
      <c r="F8186" s="1">
        <v>1.1546846850595101E-2</v>
      </c>
    </row>
    <row r="8187" spans="1:6" x14ac:dyDescent="0.25">
      <c r="A8187" s="2" t="str">
        <f t="shared" si="308"/>
        <v>40140</v>
      </c>
      <c r="B8187" s="2" t="str">
        <f>"92321"</f>
        <v>92321</v>
      </c>
      <c r="C8187" s="1">
        <v>1.7808022395368901E-6</v>
      </c>
      <c r="D8187" s="1">
        <v>6.6341152743869999E-6</v>
      </c>
      <c r="E8187" s="1">
        <v>0</v>
      </c>
      <c r="F8187" s="1">
        <v>2.0803255293388301E-6</v>
      </c>
    </row>
    <row r="8188" spans="1:6" x14ac:dyDescent="0.25">
      <c r="A8188" s="2" t="str">
        <f t="shared" si="308"/>
        <v>40140</v>
      </c>
      <c r="B8188" s="2" t="str">
        <f>"92315"</f>
        <v>92315</v>
      </c>
      <c r="C8188" s="1">
        <v>2.3536269599212598E-3</v>
      </c>
      <c r="D8188" s="1">
        <v>2.0897463114319002E-3</v>
      </c>
      <c r="E8188" s="1">
        <v>8.4662380156968597E-4</v>
      </c>
      <c r="F8188" s="1">
        <v>2.2644343386853099E-3</v>
      </c>
    </row>
    <row r="8189" spans="1:6" x14ac:dyDescent="0.25">
      <c r="A8189" s="2" t="str">
        <f t="shared" si="308"/>
        <v>40140</v>
      </c>
      <c r="B8189" s="2" t="str">
        <f>"92331"</f>
        <v>92331</v>
      </c>
      <c r="C8189" s="1">
        <v>4.00680503895801E-4</v>
      </c>
      <c r="D8189" s="1">
        <v>1.61209001167604E-3</v>
      </c>
      <c r="E8189" s="1">
        <v>2.2881724366748201E-5</v>
      </c>
      <c r="F8189" s="1">
        <v>4.78474871747931E-4</v>
      </c>
    </row>
    <row r="8190" spans="1:6" x14ac:dyDescent="0.25">
      <c r="A8190" s="2" t="str">
        <f t="shared" si="308"/>
        <v>40140</v>
      </c>
      <c r="B8190" s="2" t="str">
        <f>"92324"</f>
        <v>92324</v>
      </c>
      <c r="C8190" s="1">
        <v>1.1495078456210599E-2</v>
      </c>
      <c r="D8190" s="1">
        <v>1.41970066871881E-2</v>
      </c>
      <c r="E8190" s="1">
        <v>1.6406196370958501E-2</v>
      </c>
      <c r="F8190" s="1">
        <v>1.19301468293758E-2</v>
      </c>
    </row>
    <row r="8191" spans="1:6" x14ac:dyDescent="0.25">
      <c r="A8191" s="2" t="str">
        <f t="shared" si="308"/>
        <v>40140</v>
      </c>
      <c r="B8191" s="2" t="str">
        <f>"92322"</f>
        <v>92322</v>
      </c>
      <c r="C8191" s="1">
        <v>7.0638488834963499E-5</v>
      </c>
      <c r="D8191" s="1">
        <v>6.6341152743869999E-6</v>
      </c>
      <c r="E8191" s="1">
        <v>0</v>
      </c>
      <c r="F8191" s="1">
        <v>6.2409765880164903E-5</v>
      </c>
    </row>
    <row r="8192" spans="1:6" x14ac:dyDescent="0.25">
      <c r="A8192" s="2" t="str">
        <f t="shared" si="308"/>
        <v>40140</v>
      </c>
      <c r="B8192" s="2" t="str">
        <f>"92316"</f>
        <v>92316</v>
      </c>
      <c r="C8192" s="1">
        <v>5.2420881924501103E-3</v>
      </c>
      <c r="D8192" s="1">
        <v>6.8331387326186098E-3</v>
      </c>
      <c r="E8192" s="1">
        <v>2.5055488181589302E-3</v>
      </c>
      <c r="F8192" s="1">
        <v>5.2424203339338504E-3</v>
      </c>
    </row>
    <row r="8193" spans="1:6" x14ac:dyDescent="0.25">
      <c r="A8193" s="2" t="str">
        <f t="shared" si="308"/>
        <v>40140</v>
      </c>
      <c r="B8193" s="2" t="str">
        <f>"92261"</f>
        <v>92261</v>
      </c>
      <c r="C8193" s="1">
        <v>1.8781527619649099E-3</v>
      </c>
      <c r="D8193" s="1">
        <v>2.5342320348158299E-3</v>
      </c>
      <c r="E8193" s="1">
        <v>2.2881724366748201E-5</v>
      </c>
      <c r="F8193" s="1">
        <v>1.8452487445235399E-3</v>
      </c>
    </row>
    <row r="8194" spans="1:6" x14ac:dyDescent="0.25">
      <c r="A8194" s="2" t="str">
        <f t="shared" si="308"/>
        <v>40140</v>
      </c>
      <c r="B8194" s="2" t="str">
        <f>"92260"</f>
        <v>92260</v>
      </c>
      <c r="C8194" s="1">
        <v>1.34569289234338E-2</v>
      </c>
      <c r="D8194" s="1">
        <v>2.1149559494745701E-2</v>
      </c>
      <c r="E8194" s="1">
        <v>2.10054229686749E-2</v>
      </c>
      <c r="F8194" s="1">
        <v>1.44031338023773E-2</v>
      </c>
    </row>
    <row r="8195" spans="1:6" x14ac:dyDescent="0.25">
      <c r="A8195" s="2" t="str">
        <f t="shared" si="308"/>
        <v>40140</v>
      </c>
      <c r="B8195" s="2" t="str">
        <f>"92258"</f>
        <v>92258</v>
      </c>
      <c r="C8195" s="1">
        <v>4.6894458974471597E-5</v>
      </c>
      <c r="D8195" s="1">
        <v>1.9902345823161001E-5</v>
      </c>
      <c r="E8195" s="1">
        <v>2.2881724366748201E-5</v>
      </c>
      <c r="F8195" s="1">
        <v>4.3686836116115398E-5</v>
      </c>
    </row>
    <row r="8196" spans="1:6" x14ac:dyDescent="0.25">
      <c r="A8196" s="2" t="str">
        <f t="shared" si="308"/>
        <v>40140</v>
      </c>
      <c r="B8196" s="2" t="str">
        <f>"92202"</f>
        <v>92202</v>
      </c>
      <c r="C8196" s="1">
        <v>1.5736355790041E-3</v>
      </c>
      <c r="D8196" s="1">
        <v>2.0764780808831301E-3</v>
      </c>
      <c r="E8196" s="1">
        <v>2.2881724366748201E-5</v>
      </c>
      <c r="F8196" s="1">
        <v>1.5425613800047399E-3</v>
      </c>
    </row>
    <row r="8197" spans="1:6" x14ac:dyDescent="0.25">
      <c r="A8197" s="2" t="str">
        <f t="shared" si="308"/>
        <v>40140</v>
      </c>
      <c r="B8197" s="2" t="str">
        <f>"92201"</f>
        <v>92201</v>
      </c>
      <c r="C8197" s="1">
        <v>1.3487796162252401E-2</v>
      </c>
      <c r="D8197" s="1">
        <v>1.4674662986944E-2</v>
      </c>
      <c r="E8197" s="1">
        <v>1.15095073564743E-2</v>
      </c>
      <c r="F8197" s="1">
        <v>1.34909110577623E-2</v>
      </c>
    </row>
    <row r="8198" spans="1:6" x14ac:dyDescent="0.25">
      <c r="A8198" s="2" t="str">
        <f t="shared" si="308"/>
        <v>40140</v>
      </c>
      <c r="B8198" s="2" t="str">
        <f>"91786"</f>
        <v>91786</v>
      </c>
      <c r="C8198" s="1">
        <v>1.2383105172993E-2</v>
      </c>
      <c r="D8198" s="1">
        <v>2.5428563846725399E-2</v>
      </c>
      <c r="E8198" s="1">
        <v>3.1416607555545303E-2</v>
      </c>
      <c r="F8198" s="1">
        <v>1.42710331312643E-2</v>
      </c>
    </row>
    <row r="8199" spans="1:6" x14ac:dyDescent="0.25">
      <c r="A8199" s="2" t="str">
        <f t="shared" si="308"/>
        <v>40140</v>
      </c>
      <c r="B8199" s="2" t="str">
        <f>"91729"</f>
        <v>91729</v>
      </c>
      <c r="C8199" s="1">
        <v>1.40742736998066E-3</v>
      </c>
      <c r="D8199" s="1">
        <v>6.8397728478929998E-3</v>
      </c>
      <c r="E8199" s="1">
        <v>3.4322586550122397E-5</v>
      </c>
      <c r="F8199" s="1">
        <v>1.7708771068496701E-3</v>
      </c>
    </row>
    <row r="8200" spans="1:6" x14ac:dyDescent="0.25">
      <c r="A8200" s="2" t="str">
        <f t="shared" si="308"/>
        <v>40140</v>
      </c>
      <c r="B8200" s="2" t="str">
        <f>"93516"</f>
        <v>93516</v>
      </c>
      <c r="C8200" s="1">
        <v>7.7168097046598802E-6</v>
      </c>
      <c r="D8200" s="1">
        <v>1.5258465131090101E-4</v>
      </c>
      <c r="E8200" s="1">
        <v>1.14408621833741E-5</v>
      </c>
      <c r="F8200" s="1">
        <v>1.92430111463841E-5</v>
      </c>
    </row>
    <row r="8201" spans="1:6" x14ac:dyDescent="0.25">
      <c r="A8201" s="2" t="str">
        <f t="shared" si="308"/>
        <v>40140</v>
      </c>
      <c r="B8201" s="2" t="str">
        <f>"92427"</f>
        <v>92427</v>
      </c>
      <c r="C8201" s="1">
        <v>7.5684095180318005E-4</v>
      </c>
      <c r="D8201" s="1">
        <v>1.22731132576159E-3</v>
      </c>
      <c r="E8201" s="1">
        <v>2.2881724366748201E-5</v>
      </c>
      <c r="F8201" s="1">
        <v>7.6035898097334199E-4</v>
      </c>
    </row>
    <row r="8202" spans="1:6" x14ac:dyDescent="0.25">
      <c r="A8202" s="2" t="str">
        <f t="shared" si="308"/>
        <v>40140</v>
      </c>
      <c r="B8202" s="2" t="str">
        <f>"92522"</f>
        <v>92522</v>
      </c>
      <c r="C8202" s="1">
        <v>0</v>
      </c>
      <c r="D8202" s="1">
        <v>6.6341152743869999E-6</v>
      </c>
      <c r="E8202" s="1">
        <v>0</v>
      </c>
      <c r="F8202" s="1">
        <v>5.2008138233470699E-7</v>
      </c>
    </row>
    <row r="8203" spans="1:6" x14ac:dyDescent="0.25">
      <c r="A8203" s="2" t="str">
        <f t="shared" si="308"/>
        <v>40140</v>
      </c>
      <c r="B8203" s="2" t="str">
        <f>"92521"</f>
        <v>92521</v>
      </c>
      <c r="C8203" s="1">
        <v>0</v>
      </c>
      <c r="D8203" s="1">
        <v>0</v>
      </c>
      <c r="E8203" s="1">
        <v>1.14408621833741E-5</v>
      </c>
      <c r="F8203" s="1">
        <v>5.2008138233470699E-7</v>
      </c>
    </row>
    <row r="8204" spans="1:6" x14ac:dyDescent="0.25">
      <c r="A8204" s="2" t="str">
        <f t="shared" si="308"/>
        <v>40140</v>
      </c>
      <c r="B8204" s="2" t="str">
        <f>"92518"</f>
        <v>92518</v>
      </c>
      <c r="C8204" s="1">
        <v>6.22687183091401E-4</v>
      </c>
      <c r="D8204" s="1">
        <v>4.2790043519796098E-3</v>
      </c>
      <c r="E8204" s="1">
        <v>2.76868864837654E-3</v>
      </c>
      <c r="F8204" s="1">
        <v>1.0068775561999899E-3</v>
      </c>
    </row>
    <row r="8205" spans="1:6" x14ac:dyDescent="0.25">
      <c r="A8205" s="2" t="str">
        <f t="shared" si="308"/>
        <v>40140</v>
      </c>
      <c r="B8205" s="2" t="str">
        <f>"92539"</f>
        <v>92539</v>
      </c>
      <c r="C8205" s="1">
        <v>7.7524257494506203E-4</v>
      </c>
      <c r="D8205" s="1">
        <v>1.3268230548773999E-4</v>
      </c>
      <c r="E8205" s="1">
        <v>1.02967759650367E-4</v>
      </c>
      <c r="F8205" s="1">
        <v>6.9430864541683405E-4</v>
      </c>
    </row>
    <row r="8206" spans="1:6" x14ac:dyDescent="0.25">
      <c r="A8206" s="2" t="str">
        <f t="shared" si="308"/>
        <v>40140</v>
      </c>
      <c r="B8206" s="2" t="str">
        <f>"92378"</f>
        <v>92378</v>
      </c>
      <c r="C8206" s="1">
        <v>3.9177649269811703E-5</v>
      </c>
      <c r="D8206" s="1">
        <v>7.2975268018257001E-5</v>
      </c>
      <c r="E8206" s="1">
        <v>0</v>
      </c>
      <c r="F8206" s="1">
        <v>4.0046266439772401E-5</v>
      </c>
    </row>
    <row r="8207" spans="1:6" x14ac:dyDescent="0.25">
      <c r="A8207" s="2" t="str">
        <f t="shared" si="308"/>
        <v>40140</v>
      </c>
      <c r="B8207" s="2" t="str">
        <f>"92314"</f>
        <v>92314</v>
      </c>
      <c r="C8207" s="1">
        <v>3.38530505735964E-3</v>
      </c>
      <c r="D8207" s="1">
        <v>1.6717970491455199E-3</v>
      </c>
      <c r="E8207" s="1">
        <v>2.6313983021760502E-4</v>
      </c>
      <c r="F8207" s="1">
        <v>3.1090465035968802E-3</v>
      </c>
    </row>
    <row r="8208" spans="1:6" x14ac:dyDescent="0.25">
      <c r="A8208" s="2" t="str">
        <f t="shared" si="308"/>
        <v>40140</v>
      </c>
      <c r="B8208" s="2" t="str">
        <f>"92286"</f>
        <v>92286</v>
      </c>
      <c r="C8208" s="1">
        <v>1.27683520574795E-3</v>
      </c>
      <c r="D8208" s="1">
        <v>1.3732618617981101E-3</v>
      </c>
      <c r="E8208" s="1">
        <v>2.2881724366748201E-5</v>
      </c>
      <c r="F8208" s="1">
        <v>1.2273920623099099E-3</v>
      </c>
    </row>
    <row r="8209" spans="1:6" x14ac:dyDescent="0.25">
      <c r="A8209" s="2" t="str">
        <f t="shared" si="308"/>
        <v>40140</v>
      </c>
      <c r="B8209" s="2" t="str">
        <f>"92285"</f>
        <v>92285</v>
      </c>
      <c r="C8209" s="1">
        <v>1.3338208774131301E-3</v>
      </c>
      <c r="D8209" s="1">
        <v>2.4546226515231899E-4</v>
      </c>
      <c r="E8209" s="1">
        <v>4.6907534951833903E-4</v>
      </c>
      <c r="F8209" s="1">
        <v>1.2091892139281901E-3</v>
      </c>
    </row>
    <row r="8210" spans="1:6" x14ac:dyDescent="0.25">
      <c r="A8210" s="2" t="str">
        <f t="shared" si="308"/>
        <v>40140</v>
      </c>
      <c r="B8210" s="2" t="str">
        <f>"92375"</f>
        <v>92375</v>
      </c>
      <c r="C8210" s="1">
        <v>8.1857542944045996E-4</v>
      </c>
      <c r="D8210" s="1">
        <v>3.6155928245409099E-3</v>
      </c>
      <c r="E8210" s="1">
        <v>2.2881724366748201E-5</v>
      </c>
      <c r="F8210" s="1">
        <v>1.0016767423766399E-3</v>
      </c>
    </row>
    <row r="8211" spans="1:6" x14ac:dyDescent="0.25">
      <c r="A8211" s="2" t="str">
        <f t="shared" si="308"/>
        <v>40140</v>
      </c>
      <c r="B8211" s="2" t="str">
        <f>"92338"</f>
        <v>92338</v>
      </c>
      <c r="C8211" s="1">
        <v>2.0182425381418099E-5</v>
      </c>
      <c r="D8211" s="1">
        <v>1.3268230548774E-5</v>
      </c>
      <c r="E8211" s="1">
        <v>1.14408621833741E-5</v>
      </c>
      <c r="F8211" s="1">
        <v>1.92430111463841E-5</v>
      </c>
    </row>
    <row r="8212" spans="1:6" x14ac:dyDescent="0.25">
      <c r="A8212" s="2" t="str">
        <f t="shared" si="308"/>
        <v>40140</v>
      </c>
      <c r="B8212" s="2" t="str">
        <f>"92337"</f>
        <v>92337</v>
      </c>
      <c r="C8212" s="1">
        <v>5.7751416628181503E-3</v>
      </c>
      <c r="D8212" s="1">
        <v>6.4284577008810097E-3</v>
      </c>
      <c r="E8212" s="1">
        <v>2.4254627828753099E-3</v>
      </c>
      <c r="F8212" s="1">
        <v>5.6740878812716602E-3</v>
      </c>
    </row>
    <row r="8213" spans="1:6" x14ac:dyDescent="0.25">
      <c r="A8213" s="2" t="str">
        <f t="shared" si="308"/>
        <v>40140</v>
      </c>
      <c r="B8213" s="2" t="str">
        <f>"92366"</f>
        <v>92366</v>
      </c>
      <c r="C8213" s="1">
        <v>5.9360074651229797E-6</v>
      </c>
      <c r="D8213" s="1">
        <v>4.6438806920709001E-5</v>
      </c>
      <c r="E8213" s="1">
        <v>1.14408621833741E-5</v>
      </c>
      <c r="F8213" s="1">
        <v>9.3614648820247303E-6</v>
      </c>
    </row>
    <row r="8214" spans="1:6" x14ac:dyDescent="0.25">
      <c r="A8214" s="2" t="str">
        <f t="shared" si="308"/>
        <v>40140</v>
      </c>
      <c r="B8214" s="2" t="str">
        <f>"92356"</f>
        <v>92356</v>
      </c>
      <c r="C8214" s="1">
        <v>1.29523682888983E-3</v>
      </c>
      <c r="D8214" s="1">
        <v>3.1843753317057602E-4</v>
      </c>
      <c r="E8214" s="1">
        <v>3.8898931423472002E-4</v>
      </c>
      <c r="F8214" s="1">
        <v>1.1774642496057699E-3</v>
      </c>
    </row>
    <row r="8215" spans="1:6" x14ac:dyDescent="0.25">
      <c r="A8215" s="2" t="str">
        <f t="shared" si="308"/>
        <v>40140</v>
      </c>
      <c r="B8215" s="2" t="str">
        <f>"92347"</f>
        <v>92347</v>
      </c>
      <c r="C8215" s="1">
        <v>2.5762272398633702E-4</v>
      </c>
      <c r="D8215" s="1">
        <v>1.3268230548773999E-4</v>
      </c>
      <c r="E8215" s="1">
        <v>8.00860352836189E-5</v>
      </c>
      <c r="F8215" s="1">
        <v>2.397575172563E-4</v>
      </c>
    </row>
    <row r="8216" spans="1:6" x14ac:dyDescent="0.25">
      <c r="A8216" s="2" t="str">
        <f t="shared" si="308"/>
        <v>40140</v>
      </c>
      <c r="B8216" s="2" t="str">
        <f>"92372"</f>
        <v>92372</v>
      </c>
      <c r="C8216" s="1">
        <v>1.4994354856900599E-3</v>
      </c>
      <c r="D8216" s="1">
        <v>2.3219403460354501E-4</v>
      </c>
      <c r="E8216" s="1">
        <v>5.1483879825183604E-4</v>
      </c>
      <c r="F8216" s="1">
        <v>1.3553320823642401E-3</v>
      </c>
    </row>
    <row r="8217" spans="1:6" x14ac:dyDescent="0.25">
      <c r="A8217" s="2" t="str">
        <f t="shared" si="308"/>
        <v>40140</v>
      </c>
      <c r="B8217" s="2" t="str">
        <f>"92267"</f>
        <v>92267</v>
      </c>
      <c r="C8217" s="1">
        <v>0</v>
      </c>
      <c r="D8217" s="1">
        <v>0</v>
      </c>
      <c r="E8217" s="1">
        <v>1.14408621833741E-5</v>
      </c>
      <c r="F8217" s="1">
        <v>5.2008138233470699E-7</v>
      </c>
    </row>
    <row r="8218" spans="1:6" x14ac:dyDescent="0.25">
      <c r="A8218" s="2" t="str">
        <f t="shared" si="308"/>
        <v>40140</v>
      </c>
      <c r="B8218" s="2" t="str">
        <f>"92333"</f>
        <v>92333</v>
      </c>
      <c r="C8218" s="1">
        <v>1.1278414183733599E-4</v>
      </c>
      <c r="D8218" s="1">
        <v>1.3268230548774E-5</v>
      </c>
      <c r="E8218" s="1">
        <v>3.4322586550122397E-5</v>
      </c>
      <c r="F8218" s="1">
        <v>1.01415869555268E-4</v>
      </c>
    </row>
    <row r="8219" spans="1:6" x14ac:dyDescent="0.25">
      <c r="A8219" s="2" t="str">
        <f t="shared" si="308"/>
        <v>40140</v>
      </c>
      <c r="B8219" s="2" t="str">
        <f>"92318"</f>
        <v>92318</v>
      </c>
      <c r="C8219" s="1">
        <v>4.0958451509348603E-5</v>
      </c>
      <c r="D8219" s="1">
        <v>2.6536461097548E-5</v>
      </c>
      <c r="E8219" s="1">
        <v>0</v>
      </c>
      <c r="F8219" s="1">
        <v>3.7965940910433598E-5</v>
      </c>
    </row>
    <row r="8220" spans="1:6" x14ac:dyDescent="0.25">
      <c r="A8220" s="2" t="str">
        <f t="shared" si="308"/>
        <v>40140</v>
      </c>
      <c r="B8220" s="2" t="str">
        <f>"92254"</f>
        <v>92254</v>
      </c>
      <c r="C8220" s="1">
        <v>1.1961055042222801E-3</v>
      </c>
      <c r="D8220" s="1">
        <v>2.12291688780384E-4</v>
      </c>
      <c r="E8220" s="1">
        <v>4.8051621170171302E-4</v>
      </c>
      <c r="F8220" s="1">
        <v>1.0864500076972E-3</v>
      </c>
    </row>
    <row r="8221" spans="1:6" x14ac:dyDescent="0.25">
      <c r="A8221" s="2" t="str">
        <f t="shared" si="308"/>
        <v>40140</v>
      </c>
      <c r="B8221" s="2" t="str">
        <f>"92262"</f>
        <v>92262</v>
      </c>
      <c r="C8221" s="1">
        <v>1.20868984004834E-2</v>
      </c>
      <c r="D8221" s="1">
        <v>1.8947033223649198E-2</v>
      </c>
      <c r="E8221" s="1">
        <v>1.7676132073312999E-2</v>
      </c>
      <c r="F8221" s="1">
        <v>1.2878775270754299E-2</v>
      </c>
    </row>
    <row r="8222" spans="1:6" x14ac:dyDescent="0.25">
      <c r="A8222" s="2" t="str">
        <f t="shared" si="308"/>
        <v>40140</v>
      </c>
      <c r="B8222" s="2" t="str">
        <f>"92211"</f>
        <v>92211</v>
      </c>
      <c r="C8222" s="1">
        <v>1.1937904613108801E-2</v>
      </c>
      <c r="D8222" s="1">
        <v>1.3467254007005601E-2</v>
      </c>
      <c r="E8222" s="1">
        <v>8.8209047433814598E-3</v>
      </c>
      <c r="F8222" s="1">
        <v>1.1916104632052799E-2</v>
      </c>
    </row>
    <row r="8223" spans="1:6" x14ac:dyDescent="0.25">
      <c r="A8223" s="2" t="str">
        <f t="shared" ref="A8223:A8247" si="309">"40140"</f>
        <v>40140</v>
      </c>
      <c r="B8223" s="2" t="str">
        <f>"92203"</f>
        <v>92203</v>
      </c>
      <c r="C8223" s="1">
        <v>8.9010431939519196E-3</v>
      </c>
      <c r="D8223" s="1">
        <v>3.9738350493578097E-3</v>
      </c>
      <c r="E8223" s="1">
        <v>3.9814200398142E-3</v>
      </c>
      <c r="F8223" s="1">
        <v>8.2911373971799093E-3</v>
      </c>
    </row>
    <row r="8224" spans="1:6" x14ac:dyDescent="0.25">
      <c r="A8224" s="2" t="str">
        <f t="shared" si="309"/>
        <v>40140</v>
      </c>
      <c r="B8224" s="2" t="str">
        <f>"92028"</f>
        <v>92028</v>
      </c>
      <c r="C8224" s="1">
        <v>5.3424067186106802E-6</v>
      </c>
      <c r="D8224" s="1">
        <v>0</v>
      </c>
      <c r="E8224" s="1">
        <v>0</v>
      </c>
      <c r="F8224" s="1">
        <v>4.6807324410123601E-6</v>
      </c>
    </row>
    <row r="8225" spans="1:6" x14ac:dyDescent="0.25">
      <c r="A8225" s="2" t="str">
        <f t="shared" si="309"/>
        <v>40140</v>
      </c>
      <c r="B8225" s="2" t="str">
        <f>"91759"</f>
        <v>91759</v>
      </c>
      <c r="C8225" s="1">
        <v>0</v>
      </c>
      <c r="D8225" s="1">
        <v>6.6341152743869999E-6</v>
      </c>
      <c r="E8225" s="1">
        <v>0</v>
      </c>
      <c r="F8225" s="1">
        <v>5.2008138233470699E-7</v>
      </c>
    </row>
    <row r="8226" spans="1:6" x14ac:dyDescent="0.25">
      <c r="A8226" s="2" t="str">
        <f t="shared" si="309"/>
        <v>40140</v>
      </c>
      <c r="B8226" s="2" t="str">
        <f>"91709"</f>
        <v>91709</v>
      </c>
      <c r="C8226" s="1">
        <v>1.65941088687513E-2</v>
      </c>
      <c r="D8226" s="1">
        <v>1.2001114531366E-2</v>
      </c>
      <c r="E8226" s="1">
        <v>8.4776788778802292E-3</v>
      </c>
      <c r="F8226" s="1">
        <v>1.5865082568120199E-2</v>
      </c>
    </row>
    <row r="8227" spans="1:6" x14ac:dyDescent="0.25">
      <c r="A8227" s="2" t="str">
        <f t="shared" si="309"/>
        <v>40140</v>
      </c>
      <c r="B8227" s="2" t="str">
        <f>"92860"</f>
        <v>92860</v>
      </c>
      <c r="C8227" s="1">
        <v>5.53057815525508E-3</v>
      </c>
      <c r="D8227" s="1">
        <v>1.02762445600254E-2</v>
      </c>
      <c r="E8227" s="1">
        <v>2.2080864013912E-3</v>
      </c>
      <c r="F8227" s="1">
        <v>5.7515800072395302E-3</v>
      </c>
    </row>
    <row r="8228" spans="1:6" x14ac:dyDescent="0.25">
      <c r="A8228" s="2" t="str">
        <f t="shared" si="309"/>
        <v>40140</v>
      </c>
      <c r="B8228" s="2" t="str">
        <f>"92593"</f>
        <v>92593</v>
      </c>
      <c r="C8228" s="1">
        <v>8.8268431006378802E-4</v>
      </c>
      <c r="D8228" s="1">
        <v>3.80134805222375E-3</v>
      </c>
      <c r="E8228" s="1">
        <v>2.2881724366748201E-5</v>
      </c>
      <c r="F8228" s="1">
        <v>1.07240781037416E-3</v>
      </c>
    </row>
    <row r="8229" spans="1:6" x14ac:dyDescent="0.25">
      <c r="A8229" s="2" t="str">
        <f t="shared" si="309"/>
        <v>40140</v>
      </c>
      <c r="B8229" s="2" t="str">
        <f>"92423"</f>
        <v>92423</v>
      </c>
      <c r="C8229" s="1">
        <v>8.3935145556838999E-4</v>
      </c>
      <c r="D8229" s="1">
        <v>1.95042989066978E-3</v>
      </c>
      <c r="E8229" s="1">
        <v>2.2881724366748201E-5</v>
      </c>
      <c r="F8229" s="1">
        <v>8.8933916379234997E-4</v>
      </c>
    </row>
    <row r="8230" spans="1:6" x14ac:dyDescent="0.25">
      <c r="A8230" s="2" t="str">
        <f t="shared" si="309"/>
        <v>40140</v>
      </c>
      <c r="B8230" s="2" t="str">
        <f>"92413"</f>
        <v>92413</v>
      </c>
      <c r="C8230" s="1">
        <v>8.2985384362419304E-4</v>
      </c>
      <c r="D8230" s="1">
        <v>9.9511729115805102E-4</v>
      </c>
      <c r="E8230" s="1">
        <v>2.2881724366748201E-5</v>
      </c>
      <c r="F8230" s="1">
        <v>8.06126142618796E-4</v>
      </c>
    </row>
    <row r="8231" spans="1:6" x14ac:dyDescent="0.25">
      <c r="A8231" s="2" t="str">
        <f t="shared" si="309"/>
        <v>40140</v>
      </c>
      <c r="B8231" s="2" t="str">
        <f>"92571"</f>
        <v>92571</v>
      </c>
      <c r="C8231" s="1">
        <v>8.6505436789237299E-3</v>
      </c>
      <c r="D8231" s="1">
        <v>5.2077804903937997E-3</v>
      </c>
      <c r="E8231" s="1">
        <v>2.8945381323936502E-3</v>
      </c>
      <c r="F8231" s="1">
        <v>8.1189904596271206E-3</v>
      </c>
    </row>
    <row r="8232" spans="1:6" x14ac:dyDescent="0.25">
      <c r="A8232" s="2" t="str">
        <f t="shared" si="309"/>
        <v>40140</v>
      </c>
      <c r="B8232" s="2" t="str">
        <f>"92567"</f>
        <v>92567</v>
      </c>
      <c r="C8232" s="1">
        <v>1.6122196275274001E-3</v>
      </c>
      <c r="D8232" s="1">
        <v>4.9755864557902497E-4</v>
      </c>
      <c r="E8232" s="1">
        <v>1.02967759650367E-4</v>
      </c>
      <c r="F8232" s="1">
        <v>1.4562278705371799E-3</v>
      </c>
    </row>
    <row r="8233" spans="1:6" x14ac:dyDescent="0.25">
      <c r="A8233" s="2" t="str">
        <f t="shared" si="309"/>
        <v>40140</v>
      </c>
      <c r="B8233" s="2" t="str">
        <f>"92551"</f>
        <v>92551</v>
      </c>
      <c r="C8233" s="1">
        <v>5.2272481737873E-3</v>
      </c>
      <c r="D8233" s="1">
        <v>1.2472136715847501E-3</v>
      </c>
      <c r="E8233" s="1">
        <v>8.4547971535134797E-3</v>
      </c>
      <c r="F8233" s="1">
        <v>5.0619520942637103E-3</v>
      </c>
    </row>
    <row r="8234" spans="1:6" x14ac:dyDescent="0.25">
      <c r="A8234" s="2" t="str">
        <f t="shared" si="309"/>
        <v>40140</v>
      </c>
      <c r="B8234" s="2" t="str">
        <f>"92405"</f>
        <v>92405</v>
      </c>
      <c r="C8234" s="1">
        <v>5.6872887523343298E-3</v>
      </c>
      <c r="D8234" s="1">
        <v>4.9954888016134104E-3</v>
      </c>
      <c r="E8234" s="1">
        <v>8.7408187080978399E-3</v>
      </c>
      <c r="F8234" s="1">
        <v>5.7718631811505801E-3</v>
      </c>
    </row>
    <row r="8235" spans="1:6" x14ac:dyDescent="0.25">
      <c r="A8235" s="2" t="str">
        <f t="shared" si="309"/>
        <v>40140</v>
      </c>
      <c r="B8235" s="2" t="str">
        <f>"92532"</f>
        <v>92532</v>
      </c>
      <c r="C8235" s="1">
        <v>4.6722314757982998E-3</v>
      </c>
      <c r="D8235" s="1">
        <v>2.0565757350599701E-3</v>
      </c>
      <c r="E8235" s="1">
        <v>2.0364734686405899E-3</v>
      </c>
      <c r="F8235" s="1">
        <v>4.3473602749358204E-3</v>
      </c>
    </row>
    <row r="8236" spans="1:6" x14ac:dyDescent="0.25">
      <c r="A8236" s="2" t="str">
        <f t="shared" si="309"/>
        <v>40140</v>
      </c>
      <c r="B8236" s="2" t="str">
        <f>"92392"</f>
        <v>92392</v>
      </c>
      <c r="C8236" s="1">
        <v>1.13953535307966E-2</v>
      </c>
      <c r="D8236" s="1">
        <v>7.45674556841099E-3</v>
      </c>
      <c r="E8236" s="1">
        <v>1.10518728691394E-2</v>
      </c>
      <c r="F8236" s="1">
        <v>1.1070972385758901E-2</v>
      </c>
    </row>
    <row r="8237" spans="1:6" x14ac:dyDescent="0.25">
      <c r="A8237" s="2" t="str">
        <f t="shared" si="309"/>
        <v>40140</v>
      </c>
      <c r="B8237" s="2" t="str">
        <f>"92357"</f>
        <v>92357</v>
      </c>
      <c r="C8237" s="1">
        <v>0</v>
      </c>
      <c r="D8237" s="1">
        <v>6.6341152743869999E-6</v>
      </c>
      <c r="E8237" s="1">
        <v>1.14408621833741E-5</v>
      </c>
      <c r="F8237" s="1">
        <v>1.04016276466941E-6</v>
      </c>
    </row>
    <row r="8238" spans="1:6" x14ac:dyDescent="0.25">
      <c r="A8238" s="2" t="str">
        <f t="shared" si="309"/>
        <v>40140</v>
      </c>
      <c r="B8238" s="2" t="str">
        <f>"92365"</f>
        <v>92365</v>
      </c>
      <c r="C8238" s="1">
        <v>6.58303227882139E-4</v>
      </c>
      <c r="D8238" s="1">
        <v>2.91901072073028E-4</v>
      </c>
      <c r="E8238" s="1">
        <v>3.8898931423472002E-4</v>
      </c>
      <c r="F8238" s="1">
        <v>6.1733660083129803E-4</v>
      </c>
    </row>
    <row r="8239" spans="1:6" x14ac:dyDescent="0.25">
      <c r="A8239" s="2" t="str">
        <f t="shared" si="309"/>
        <v>40140</v>
      </c>
      <c r="B8239" s="2" t="str">
        <f>"92363"</f>
        <v>92363</v>
      </c>
      <c r="C8239" s="1">
        <v>1.8811207656974701E-3</v>
      </c>
      <c r="D8239" s="1">
        <v>2.0698439656087401E-3</v>
      </c>
      <c r="E8239" s="1">
        <v>1.3614625998215201E-3</v>
      </c>
      <c r="F8239" s="1">
        <v>1.87229297640494E-3</v>
      </c>
    </row>
    <row r="8240" spans="1:6" x14ac:dyDescent="0.25">
      <c r="A8240" s="2" t="str">
        <f t="shared" si="309"/>
        <v>40140</v>
      </c>
      <c r="B8240" s="2" t="str">
        <f>"92359"</f>
        <v>92359</v>
      </c>
      <c r="C8240" s="1">
        <v>2.1304330792326401E-3</v>
      </c>
      <c r="D8240" s="1">
        <v>1.8708205073771299E-3</v>
      </c>
      <c r="E8240" s="1">
        <v>1.3614625998215201E-3</v>
      </c>
      <c r="F8240" s="1">
        <v>2.07512471551548E-3</v>
      </c>
    </row>
    <row r="8241" spans="1:6" x14ac:dyDescent="0.25">
      <c r="A8241" s="2" t="str">
        <f t="shared" si="309"/>
        <v>40140</v>
      </c>
      <c r="B8241" s="2" t="str">
        <f>"92270"</f>
        <v>92270</v>
      </c>
      <c r="C8241" s="1">
        <v>1.02010288288138E-2</v>
      </c>
      <c r="D8241" s="1">
        <v>1.00573187559707E-2</v>
      </c>
      <c r="E8241" s="1">
        <v>7.9742809418117695E-3</v>
      </c>
      <c r="F8241" s="1">
        <v>1.0088538654528601E-2</v>
      </c>
    </row>
    <row r="8242" spans="1:6" x14ac:dyDescent="0.25">
      <c r="A8242" s="2" t="str">
        <f t="shared" si="309"/>
        <v>40140</v>
      </c>
      <c r="B8242" s="2" t="str">
        <f>"92264"</f>
        <v>92264</v>
      </c>
      <c r="C8242" s="1">
        <v>1.0535819649846701E-2</v>
      </c>
      <c r="D8242" s="1">
        <v>9.1152743870077397E-3</v>
      </c>
      <c r="E8242" s="1">
        <v>2.0902455209024499E-2</v>
      </c>
      <c r="F8242" s="1">
        <v>1.08957049599121E-2</v>
      </c>
    </row>
    <row r="8243" spans="1:6" x14ac:dyDescent="0.25">
      <c r="A8243" s="2" t="str">
        <f t="shared" si="309"/>
        <v>40140</v>
      </c>
      <c r="B8243" s="2" t="str">
        <f>"92255"</f>
        <v>92255</v>
      </c>
      <c r="C8243" s="1">
        <v>1.8621255418090801E-3</v>
      </c>
      <c r="D8243" s="1">
        <v>3.64212928563846E-3</v>
      </c>
      <c r="E8243" s="1">
        <v>2.2881724366748201E-5</v>
      </c>
      <c r="F8243" s="1">
        <v>1.9180601380504E-3</v>
      </c>
    </row>
    <row r="8244" spans="1:6" x14ac:dyDescent="0.25">
      <c r="A8244" s="2" t="str">
        <f t="shared" si="309"/>
        <v>40140</v>
      </c>
      <c r="B8244" s="2" t="str">
        <f>"92247"</f>
        <v>92247</v>
      </c>
      <c r="C8244" s="1">
        <v>8.2985384362419304E-4</v>
      </c>
      <c r="D8244" s="1">
        <v>1.57228532002972E-3</v>
      </c>
      <c r="E8244" s="1">
        <v>2.2881724366748201E-5</v>
      </c>
      <c r="F8244" s="1">
        <v>8.5137322288191604E-4</v>
      </c>
    </row>
    <row r="8245" spans="1:6" x14ac:dyDescent="0.25">
      <c r="A8245" s="2" t="str">
        <f t="shared" si="309"/>
        <v>40140</v>
      </c>
      <c r="B8245" s="2" t="str">
        <f>"92223"</f>
        <v>92223</v>
      </c>
      <c r="C8245" s="1">
        <v>1.3533503419733899E-2</v>
      </c>
      <c r="D8245" s="1">
        <v>7.1383080352404203E-3</v>
      </c>
      <c r="E8245" s="1">
        <v>6.7043452394572401E-3</v>
      </c>
      <c r="F8245" s="1">
        <v>1.2721710693289199E-2</v>
      </c>
    </row>
    <row r="8246" spans="1:6" x14ac:dyDescent="0.25">
      <c r="A8246" s="2" t="str">
        <f t="shared" si="309"/>
        <v>40140</v>
      </c>
      <c r="B8246" s="2" t="str">
        <f>"92220"</f>
        <v>92220</v>
      </c>
      <c r="C8246" s="1">
        <v>8.2587671862256098E-3</v>
      </c>
      <c r="D8246" s="1">
        <v>6.5943105827406803E-3</v>
      </c>
      <c r="E8246" s="1">
        <v>5.8119579891540603E-3</v>
      </c>
      <c r="F8246" s="1">
        <v>8.0170545086895098E-3</v>
      </c>
    </row>
    <row r="8247" spans="1:6" x14ac:dyDescent="0.25">
      <c r="A8247" s="2" t="str">
        <f t="shared" si="309"/>
        <v>40140</v>
      </c>
      <c r="B8247" s="2" t="str">
        <f>"91737"</f>
        <v>91737</v>
      </c>
      <c r="C8247" s="1">
        <v>5.0289855244521897E-3</v>
      </c>
      <c r="D8247" s="1">
        <v>8.5580087039592296E-4</v>
      </c>
      <c r="E8247" s="1">
        <v>8.00860352836189E-4</v>
      </c>
      <c r="F8247" s="1">
        <v>4.50962566622425E-3</v>
      </c>
    </row>
    <row r="8248" spans="1:6" x14ac:dyDescent="0.25">
      <c r="A8248" s="2" t="str">
        <f t="shared" ref="A8248:A8264" si="310">"43760"</f>
        <v>43760</v>
      </c>
      <c r="B8248" s="2" t="str">
        <f>"95383"</f>
        <v>95383</v>
      </c>
      <c r="C8248" s="1">
        <v>9.9627560521415207E-2</v>
      </c>
      <c r="D8248" s="1">
        <v>5.77060931899641E-2</v>
      </c>
      <c r="E8248" s="1">
        <v>2.8753993610223599E-2</v>
      </c>
      <c r="F8248" s="1">
        <v>9.4670880263619903E-2</v>
      </c>
    </row>
    <row r="8249" spans="1:6" x14ac:dyDescent="0.25">
      <c r="A8249" s="2" t="str">
        <f t="shared" si="310"/>
        <v>43760</v>
      </c>
      <c r="B8249" s="2" t="str">
        <f>"95379"</f>
        <v>95379</v>
      </c>
      <c r="C8249" s="1">
        <v>3.6222742836547098E-2</v>
      </c>
      <c r="D8249" s="1">
        <v>1.54121863799283E-2</v>
      </c>
      <c r="E8249" s="1">
        <v>1.06496272630457E-2</v>
      </c>
      <c r="F8249" s="1">
        <v>3.4005888231639698E-2</v>
      </c>
    </row>
    <row r="8250" spans="1:6" x14ac:dyDescent="0.25">
      <c r="A8250" s="2" t="str">
        <f t="shared" si="310"/>
        <v>43760</v>
      </c>
      <c r="B8250" s="2" t="str">
        <f>"95321"</f>
        <v>95321</v>
      </c>
      <c r="C8250" s="1">
        <v>0.109238901904247</v>
      </c>
      <c r="D8250" s="1">
        <v>9.3906810035842198E-2</v>
      </c>
      <c r="E8250" s="1">
        <v>1.91693290734824E-2</v>
      </c>
      <c r="F8250" s="1">
        <v>0.105799097858088</v>
      </c>
    </row>
    <row r="8251" spans="1:6" x14ac:dyDescent="0.25">
      <c r="A8251" s="2" t="str">
        <f t="shared" si="310"/>
        <v>43760</v>
      </c>
      <c r="B8251" s="2" t="str">
        <f>"95311"</f>
        <v>95311</v>
      </c>
      <c r="C8251" s="1">
        <v>1.8621973929236399E-3</v>
      </c>
      <c r="D8251" s="1">
        <v>0</v>
      </c>
      <c r="E8251" s="1">
        <v>0</v>
      </c>
      <c r="F8251" s="1">
        <v>1.6746346865462E-3</v>
      </c>
    </row>
    <row r="8252" spans="1:6" x14ac:dyDescent="0.25">
      <c r="A8252" s="2" t="str">
        <f t="shared" si="310"/>
        <v>43760</v>
      </c>
      <c r="B8252" s="2" t="str">
        <f>"95364"</f>
        <v>95364</v>
      </c>
      <c r="C8252" s="1">
        <v>6.0070883642698298E-5</v>
      </c>
      <c r="D8252" s="1">
        <v>7.1684587813619996E-4</v>
      </c>
      <c r="E8252" s="1">
        <v>1.0649627263045699E-3</v>
      </c>
      <c r="F8252" s="1">
        <v>1.3505118439888699E-4</v>
      </c>
    </row>
    <row r="8253" spans="1:6" x14ac:dyDescent="0.25">
      <c r="A8253" s="2" t="str">
        <f t="shared" si="310"/>
        <v>43760</v>
      </c>
      <c r="B8253" s="2" t="str">
        <f>"95370"</f>
        <v>95370</v>
      </c>
      <c r="C8253" s="1">
        <v>0.43623475701327502</v>
      </c>
      <c r="D8253" s="1">
        <v>0.62688172043010704</v>
      </c>
      <c r="E8253" s="1">
        <v>0.75079872204472797</v>
      </c>
      <c r="F8253" s="1">
        <v>0.45857980174486102</v>
      </c>
    </row>
    <row r="8254" spans="1:6" x14ac:dyDescent="0.25">
      <c r="A8254" s="2" t="str">
        <f t="shared" si="310"/>
        <v>43760</v>
      </c>
      <c r="B8254" s="2" t="str">
        <f>"95346"</f>
        <v>95346</v>
      </c>
      <c r="C8254" s="1">
        <v>4.1869405898960703E-2</v>
      </c>
      <c r="D8254" s="1">
        <v>1.86379928315412E-2</v>
      </c>
      <c r="E8254" s="1">
        <v>6.3897763578274697E-3</v>
      </c>
      <c r="F8254" s="1">
        <v>3.92188639494368E-2</v>
      </c>
    </row>
    <row r="8255" spans="1:6" x14ac:dyDescent="0.25">
      <c r="A8255" s="2" t="str">
        <f t="shared" si="310"/>
        <v>43760</v>
      </c>
      <c r="B8255" s="2" t="str">
        <f>"95327"</f>
        <v>95327</v>
      </c>
      <c r="C8255" s="1">
        <v>0.119571093890791</v>
      </c>
      <c r="D8255" s="1">
        <v>0.101433691756272</v>
      </c>
      <c r="E8255" s="1">
        <v>0.140575079872204</v>
      </c>
      <c r="F8255" s="1">
        <v>0.118737001323501</v>
      </c>
    </row>
    <row r="8256" spans="1:6" x14ac:dyDescent="0.25">
      <c r="A8256" s="2" t="str">
        <f t="shared" si="310"/>
        <v>43760</v>
      </c>
      <c r="B8256" s="2" t="str">
        <f>"95305"</f>
        <v>95305</v>
      </c>
      <c r="C8256" s="1">
        <v>0</v>
      </c>
      <c r="D8256" s="1">
        <v>0</v>
      </c>
      <c r="E8256" s="1">
        <v>1.0649627263045699E-3</v>
      </c>
      <c r="F8256" s="1">
        <v>2.7010236879777401E-5</v>
      </c>
    </row>
    <row r="8257" spans="1:6" x14ac:dyDescent="0.25">
      <c r="A8257" s="2" t="str">
        <f t="shared" si="310"/>
        <v>43760</v>
      </c>
      <c r="B8257" s="2" t="str">
        <f>"95309"</f>
        <v>95309</v>
      </c>
      <c r="C8257" s="1">
        <v>3.0035441821349102E-5</v>
      </c>
      <c r="D8257" s="1">
        <v>0</v>
      </c>
      <c r="E8257" s="1">
        <v>1.0649627263045699E-3</v>
      </c>
      <c r="F8257" s="1">
        <v>5.4020473759554801E-5</v>
      </c>
    </row>
    <row r="8258" spans="1:6" x14ac:dyDescent="0.25">
      <c r="A8258" s="2" t="str">
        <f t="shared" si="310"/>
        <v>43760</v>
      </c>
      <c r="B8258" s="2" t="str">
        <f>"95335"</f>
        <v>95335</v>
      </c>
      <c r="C8258" s="1">
        <v>4.4752808313810203E-3</v>
      </c>
      <c r="D8258" s="1">
        <v>7.1684587813619996E-4</v>
      </c>
      <c r="E8258" s="1">
        <v>1.0649627263045699E-3</v>
      </c>
      <c r="F8258" s="1">
        <v>4.1055560057261702E-3</v>
      </c>
    </row>
    <row r="8259" spans="1:6" x14ac:dyDescent="0.25">
      <c r="A8259" s="2" t="str">
        <f t="shared" si="310"/>
        <v>43760</v>
      </c>
      <c r="B8259" s="2" t="str">
        <f>"95347"</f>
        <v>95347</v>
      </c>
      <c r="C8259" s="1">
        <v>0</v>
      </c>
      <c r="D8259" s="1">
        <v>0</v>
      </c>
      <c r="E8259" s="1">
        <v>1.0649627263045699E-3</v>
      </c>
      <c r="F8259" s="1">
        <v>2.7010236879777401E-5</v>
      </c>
    </row>
    <row r="8260" spans="1:6" x14ac:dyDescent="0.25">
      <c r="A8260" s="2" t="str">
        <f t="shared" si="310"/>
        <v>43760</v>
      </c>
      <c r="B8260" s="2" t="str">
        <f>"95329"</f>
        <v>95329</v>
      </c>
      <c r="C8260" s="1">
        <v>2.0063675136661199E-2</v>
      </c>
      <c r="D8260" s="1">
        <v>6.4516129032258004E-3</v>
      </c>
      <c r="E8260" s="1">
        <v>6.3897763578274697E-3</v>
      </c>
      <c r="F8260" s="1">
        <v>1.8691083920805901E-2</v>
      </c>
    </row>
    <row r="8261" spans="1:6" x14ac:dyDescent="0.25">
      <c r="A8261" s="2" t="str">
        <f t="shared" si="310"/>
        <v>43760</v>
      </c>
      <c r="B8261" s="2" t="str">
        <f>"95373"</f>
        <v>95373</v>
      </c>
      <c r="C8261" s="1">
        <v>0</v>
      </c>
      <c r="D8261" s="1">
        <v>0</v>
      </c>
      <c r="E8261" s="1">
        <v>1.0649627263045699E-3</v>
      </c>
      <c r="F8261" s="1">
        <v>2.7010236879777401E-5</v>
      </c>
    </row>
    <row r="8262" spans="1:6" x14ac:dyDescent="0.25">
      <c r="A8262" s="2" t="str">
        <f t="shared" si="310"/>
        <v>43760</v>
      </c>
      <c r="B8262" s="2" t="str">
        <f>"95372"</f>
        <v>95372</v>
      </c>
      <c r="C8262" s="1">
        <v>5.0309365050759801E-2</v>
      </c>
      <c r="D8262" s="1">
        <v>3.2616487455197102E-2</v>
      </c>
      <c r="E8262" s="1">
        <v>3.1948881789137301E-3</v>
      </c>
      <c r="F8262" s="1">
        <v>4.7781109040326203E-2</v>
      </c>
    </row>
    <row r="8263" spans="1:6" x14ac:dyDescent="0.25">
      <c r="A8263" s="2" t="str">
        <f t="shared" si="310"/>
        <v>43760</v>
      </c>
      <c r="B8263" s="2" t="str">
        <f>"95310"</f>
        <v>95310</v>
      </c>
      <c r="C8263" s="1">
        <v>8.0434913197573094E-2</v>
      </c>
      <c r="D8263" s="1">
        <v>4.5519713261648699E-2</v>
      </c>
      <c r="E8263" s="1">
        <v>2.6624068157614401E-2</v>
      </c>
      <c r="F8263" s="1">
        <v>7.6438970369770098E-2</v>
      </c>
    </row>
    <row r="8264" spans="1:6" x14ac:dyDescent="0.25">
      <c r="A8264" s="2" t="str">
        <f t="shared" si="310"/>
        <v>43760</v>
      </c>
      <c r="B8264" s="2" t="str">
        <f>"95375"</f>
        <v>95375</v>
      </c>
      <c r="C8264" s="1">
        <v>0</v>
      </c>
      <c r="D8264" s="1">
        <v>0</v>
      </c>
      <c r="E8264" s="1">
        <v>1.0649627263045699E-3</v>
      </c>
      <c r="F8264" s="1">
        <v>2.7010236879777401E-5</v>
      </c>
    </row>
    <row r="8265" spans="1:6" x14ac:dyDescent="0.25">
      <c r="A8265" s="2" t="str">
        <f t="shared" ref="A8265:A8296" si="311">"38900"</f>
        <v>38900</v>
      </c>
      <c r="B8265" s="2" t="str">
        <f>"98687"</f>
        <v>98687</v>
      </c>
      <c r="C8265" s="1">
        <v>1.7950627923082601E-3</v>
      </c>
      <c r="D8265" s="1">
        <v>5.25766142100903E-3</v>
      </c>
      <c r="E8265" s="1">
        <v>2.00432935139902E-5</v>
      </c>
      <c r="F8265" s="1">
        <v>2.0214984022284598E-3</v>
      </c>
    </row>
    <row r="8266" spans="1:6" x14ac:dyDescent="0.25">
      <c r="A8266" s="2" t="str">
        <f t="shared" si="311"/>
        <v>38900</v>
      </c>
      <c r="B8266" s="2" t="str">
        <f>"98682"</f>
        <v>98682</v>
      </c>
      <c r="C8266" s="1">
        <v>2.3452695995910901E-2</v>
      </c>
      <c r="D8266" s="1">
        <v>1.6655263063127899E-2</v>
      </c>
      <c r="E8266" s="1">
        <v>7.2356289585504604E-3</v>
      </c>
      <c r="F8266" s="1">
        <v>2.22563685230594E-2</v>
      </c>
    </row>
    <row r="8267" spans="1:6" x14ac:dyDescent="0.25">
      <c r="A8267" s="2" t="str">
        <f t="shared" si="311"/>
        <v>38900</v>
      </c>
      <c r="B8267" s="2" t="str">
        <f>"98601"</f>
        <v>98601</v>
      </c>
      <c r="C8267" s="1">
        <v>1.7305172886003901E-3</v>
      </c>
      <c r="D8267" s="1">
        <v>7.5623897151499801E-4</v>
      </c>
      <c r="E8267" s="1">
        <v>3.0064940270985299E-4</v>
      </c>
      <c r="F8267" s="1">
        <v>1.59318243353836E-3</v>
      </c>
    </row>
    <row r="8268" spans="1:6" x14ac:dyDescent="0.25">
      <c r="A8268" s="2" t="str">
        <f t="shared" si="311"/>
        <v>38900</v>
      </c>
      <c r="B8268" s="2" t="str">
        <f>"97227"</f>
        <v>97227</v>
      </c>
      <c r="C8268" s="1">
        <v>2.83127979778068E-3</v>
      </c>
      <c r="D8268" s="1">
        <v>7.7784579927257002E-3</v>
      </c>
      <c r="E8268" s="1">
        <v>5.8125551190571596E-3</v>
      </c>
      <c r="F8268" s="1">
        <v>3.3653397539936598E-3</v>
      </c>
    </row>
    <row r="8269" spans="1:6" x14ac:dyDescent="0.25">
      <c r="A8269" s="2" t="str">
        <f t="shared" si="311"/>
        <v>38900</v>
      </c>
      <c r="B8269" s="2" t="str">
        <f>"97223"</f>
        <v>97223</v>
      </c>
      <c r="C8269" s="1">
        <v>1.8480075500794599E-2</v>
      </c>
      <c r="D8269" s="1">
        <v>2.5361014080449398E-2</v>
      </c>
      <c r="E8269" s="1">
        <v>2.8160827387156199E-2</v>
      </c>
      <c r="F8269" s="1">
        <v>1.9434072229369301E-2</v>
      </c>
    </row>
    <row r="8270" spans="1:6" x14ac:dyDescent="0.25">
      <c r="A8270" s="2" t="str">
        <f t="shared" si="311"/>
        <v>38900</v>
      </c>
      <c r="B8270" s="2" t="str">
        <f>"97240"</f>
        <v>97240</v>
      </c>
      <c r="C8270" s="1">
        <v>4.9455811624819605E-4</v>
      </c>
      <c r="D8270" s="1">
        <v>4.6814793474738001E-4</v>
      </c>
      <c r="E8270" s="1">
        <v>4.00865870279804E-5</v>
      </c>
      <c r="F8270" s="1">
        <v>4.7497181527955998E-4</v>
      </c>
    </row>
    <row r="8271" spans="1:6" x14ac:dyDescent="0.25">
      <c r="A8271" s="2" t="str">
        <f t="shared" si="311"/>
        <v>38900</v>
      </c>
      <c r="B8271" s="2" t="str">
        <f>"97233"</f>
        <v>97233</v>
      </c>
      <c r="C8271" s="1">
        <v>1.3653118507289201E-2</v>
      </c>
      <c r="D8271" s="1">
        <v>5.8608520292412402E-3</v>
      </c>
      <c r="E8271" s="1">
        <v>1.7738314759881298E-2</v>
      </c>
      <c r="F8271" s="1">
        <v>1.31470056889538E-2</v>
      </c>
    </row>
    <row r="8272" spans="1:6" x14ac:dyDescent="0.25">
      <c r="A8272" s="2" t="str">
        <f t="shared" si="311"/>
        <v>38900</v>
      </c>
      <c r="B8272" s="2" t="str">
        <f>"97217"</f>
        <v>97217</v>
      </c>
      <c r="C8272" s="1">
        <v>1.55764000704767E-2</v>
      </c>
      <c r="D8272" s="1">
        <v>1.6340163491663302E-2</v>
      </c>
      <c r="E8272" s="1">
        <v>1.8479916619898899E-2</v>
      </c>
      <c r="F8272" s="1">
        <v>1.5752084598522599E-2</v>
      </c>
    </row>
    <row r="8273" spans="1:6" x14ac:dyDescent="0.25">
      <c r="A8273" s="2" t="str">
        <f t="shared" si="311"/>
        <v>38900</v>
      </c>
      <c r="B8273" s="2" t="str">
        <f>"97203"</f>
        <v>97203</v>
      </c>
      <c r="C8273" s="1">
        <v>1.1806593759322E-2</v>
      </c>
      <c r="D8273" s="1">
        <v>9.1198818826749208E-3</v>
      </c>
      <c r="E8273" s="1">
        <v>1.6736150084181799E-2</v>
      </c>
      <c r="F8273" s="1">
        <v>1.17664515398723E-2</v>
      </c>
    </row>
    <row r="8274" spans="1:6" x14ac:dyDescent="0.25">
      <c r="A8274" s="2" t="str">
        <f t="shared" si="311"/>
        <v>38900</v>
      </c>
      <c r="B8274" s="2" t="str">
        <f>"97209"</f>
        <v>97209</v>
      </c>
      <c r="C8274" s="1">
        <v>1.4154654515830201E-2</v>
      </c>
      <c r="D8274" s="1">
        <v>2.5243977096762502E-2</v>
      </c>
      <c r="E8274" s="1">
        <v>1.7678184879339299E-2</v>
      </c>
      <c r="F8274" s="1">
        <v>1.5231221786597599E-2</v>
      </c>
    </row>
    <row r="8275" spans="1:6" x14ac:dyDescent="0.25">
      <c r="A8275" s="2" t="str">
        <f t="shared" si="311"/>
        <v>38900</v>
      </c>
      <c r="B8275" s="2" t="str">
        <f>"97048"</f>
        <v>97048</v>
      </c>
      <c r="C8275" s="1">
        <v>3.6913050228613098E-3</v>
      </c>
      <c r="D8275" s="1">
        <v>1.72854622060571E-3</v>
      </c>
      <c r="E8275" s="1">
        <v>6.8147197947566703E-4</v>
      </c>
      <c r="F8275" s="1">
        <v>3.4097010507508499E-3</v>
      </c>
    </row>
    <row r="8276" spans="1:6" x14ac:dyDescent="0.25">
      <c r="A8276" s="2" t="str">
        <f t="shared" si="311"/>
        <v>38900</v>
      </c>
      <c r="B8276" s="2" t="str">
        <f>"97027"</f>
        <v>97027</v>
      </c>
      <c r="C8276" s="1">
        <v>5.0362937622876296E-3</v>
      </c>
      <c r="D8276" s="1">
        <v>4.1143001188375496E-3</v>
      </c>
      <c r="E8276" s="1">
        <v>3.2871001362943901E-3</v>
      </c>
      <c r="F8276" s="1">
        <v>4.8912153924521497E-3</v>
      </c>
    </row>
    <row r="8277" spans="1:6" x14ac:dyDescent="0.25">
      <c r="A8277" s="2" t="str">
        <f t="shared" si="311"/>
        <v>38900</v>
      </c>
      <c r="B8277" s="2" t="str">
        <f>"97022"</f>
        <v>97022</v>
      </c>
      <c r="C8277" s="1">
        <v>1.76802345967388E-3</v>
      </c>
      <c r="D8277" s="1">
        <v>6.6621052252511701E-4</v>
      </c>
      <c r="E8277" s="1">
        <v>3.4073598973783297E-4</v>
      </c>
      <c r="F8277" s="1">
        <v>1.6199521815814901E-3</v>
      </c>
    </row>
    <row r="8278" spans="1:6" x14ac:dyDescent="0.25">
      <c r="A8278" s="2" t="str">
        <f t="shared" si="311"/>
        <v>38900</v>
      </c>
      <c r="B8278" s="2" t="str">
        <f>"97019"</f>
        <v>97019</v>
      </c>
      <c r="C8278" s="1">
        <v>1.4801854025982099E-3</v>
      </c>
      <c r="D8278" s="1">
        <v>1.02632431848464E-3</v>
      </c>
      <c r="E8278" s="1">
        <v>1.20259761083941E-4</v>
      </c>
      <c r="F8278" s="1">
        <v>1.38973234841056E-3</v>
      </c>
    </row>
    <row r="8279" spans="1:6" x14ac:dyDescent="0.25">
      <c r="A8279" s="2" t="str">
        <f t="shared" si="311"/>
        <v>38900</v>
      </c>
      <c r="B8279" s="2" t="str">
        <f>"97042"</f>
        <v>97042</v>
      </c>
      <c r="C8279" s="1">
        <v>1.11210158415599E-3</v>
      </c>
      <c r="D8279" s="1">
        <v>2.1606827757571299E-4</v>
      </c>
      <c r="E8279" s="1">
        <v>0</v>
      </c>
      <c r="F8279" s="1">
        <v>9.9354007737221996E-4</v>
      </c>
    </row>
    <row r="8280" spans="1:6" x14ac:dyDescent="0.25">
      <c r="A8280" s="2" t="str">
        <f t="shared" si="311"/>
        <v>38900</v>
      </c>
      <c r="B8280" s="2" t="str">
        <f>"97011"</f>
        <v>97011</v>
      </c>
      <c r="C8280" s="1">
        <v>3.80295129954521E-4</v>
      </c>
      <c r="D8280" s="1">
        <v>5.4017069393928403E-5</v>
      </c>
      <c r="E8280" s="1">
        <v>0</v>
      </c>
      <c r="F8280" s="1">
        <v>3.38063675287545E-4</v>
      </c>
    </row>
    <row r="8281" spans="1:6" x14ac:dyDescent="0.25">
      <c r="A8281" s="2" t="str">
        <f t="shared" si="311"/>
        <v>38900</v>
      </c>
      <c r="B8281" s="2" t="str">
        <f>"98664"</f>
        <v>98664</v>
      </c>
      <c r="C8281" s="1">
        <v>9.8466782615976908E-3</v>
      </c>
      <c r="D8281" s="1">
        <v>2.7458676941913601E-3</v>
      </c>
      <c r="E8281" s="1">
        <v>4.9907800849835603E-3</v>
      </c>
      <c r="F8281" s="1">
        <v>9.0581178878515797E-3</v>
      </c>
    </row>
    <row r="8282" spans="1:6" x14ac:dyDescent="0.25">
      <c r="A8282" s="2" t="str">
        <f t="shared" si="311"/>
        <v>38900</v>
      </c>
      <c r="B8282" s="2" t="str">
        <f>"98660"</f>
        <v>98660</v>
      </c>
      <c r="C8282" s="1">
        <v>5.8605572893679504E-3</v>
      </c>
      <c r="D8282" s="1">
        <v>1.4620620115956599E-2</v>
      </c>
      <c r="E8282" s="1">
        <v>1.03824260402469E-2</v>
      </c>
      <c r="F8282" s="1">
        <v>6.77733535457678E-3</v>
      </c>
    </row>
    <row r="8283" spans="1:6" x14ac:dyDescent="0.25">
      <c r="A8283" s="2" t="str">
        <f t="shared" si="311"/>
        <v>38900</v>
      </c>
      <c r="B8283" s="2" t="str">
        <f>"98606"</f>
        <v>98606</v>
      </c>
      <c r="C8283" s="1">
        <v>3.8718579859360501E-3</v>
      </c>
      <c r="D8283" s="1">
        <v>3.45709244121142E-3</v>
      </c>
      <c r="E8283" s="1">
        <v>3.4073598973783297E-4</v>
      </c>
      <c r="F8283" s="1">
        <v>3.70187372939303E-3</v>
      </c>
    </row>
    <row r="8284" spans="1:6" x14ac:dyDescent="0.25">
      <c r="A8284" s="2" t="str">
        <f t="shared" si="311"/>
        <v>38900</v>
      </c>
      <c r="B8284" s="2" t="str">
        <f>"98604"</f>
        <v>98604</v>
      </c>
      <c r="C8284" s="1">
        <v>1.4175588192708401E-2</v>
      </c>
      <c r="D8284" s="1">
        <v>1.09564622420684E-2</v>
      </c>
      <c r="E8284" s="1">
        <v>5.1511264330954803E-3</v>
      </c>
      <c r="F8284" s="1">
        <v>1.35577301089299E-2</v>
      </c>
    </row>
    <row r="8285" spans="1:6" x14ac:dyDescent="0.25">
      <c r="A8285" s="2" t="str">
        <f t="shared" si="311"/>
        <v>38900</v>
      </c>
      <c r="B8285" s="2" t="str">
        <f>"97396"</f>
        <v>97396</v>
      </c>
      <c r="C8285" s="1">
        <v>8.1466892517780497E-4</v>
      </c>
      <c r="D8285" s="1">
        <v>8.1025604090892696E-5</v>
      </c>
      <c r="E8285" s="1">
        <v>2.8060610919586299E-4</v>
      </c>
      <c r="F8285" s="1">
        <v>7.3196139649362097E-4</v>
      </c>
    </row>
    <row r="8286" spans="1:6" x14ac:dyDescent="0.25">
      <c r="A8286" s="2" t="str">
        <f t="shared" si="311"/>
        <v>38900</v>
      </c>
      <c r="B8286" s="2" t="str">
        <f>"97375"</f>
        <v>97375</v>
      </c>
      <c r="C8286" s="1">
        <v>4.0995117219868099E-5</v>
      </c>
      <c r="D8286" s="1">
        <v>9.0028448989880796E-6</v>
      </c>
      <c r="E8286" s="1">
        <v>0</v>
      </c>
      <c r="F8286" s="1">
        <v>3.67127973162945E-5</v>
      </c>
    </row>
    <row r="8287" spans="1:6" x14ac:dyDescent="0.25">
      <c r="A8287" s="2" t="str">
        <f t="shared" si="311"/>
        <v>38900</v>
      </c>
      <c r="B8287" s="2" t="str">
        <f>"97362"</f>
        <v>97362</v>
      </c>
      <c r="C8287" s="1">
        <v>3.0528278780752799E-5</v>
      </c>
      <c r="D8287" s="1">
        <v>3.6011379595952298E-5</v>
      </c>
      <c r="E8287" s="1">
        <v>0</v>
      </c>
      <c r="F8287" s="1">
        <v>2.9829147819489202E-5</v>
      </c>
    </row>
    <row r="8288" spans="1:6" x14ac:dyDescent="0.25">
      <c r="A8288" s="2" t="str">
        <f t="shared" si="311"/>
        <v>38900</v>
      </c>
      <c r="B8288" s="2" t="str">
        <f>"97224"</f>
        <v>97224</v>
      </c>
      <c r="C8288" s="1">
        <v>1.46631684166639E-2</v>
      </c>
      <c r="D8288" s="1">
        <v>1.11635276747452E-2</v>
      </c>
      <c r="E8288" s="1">
        <v>2.6537320612523001E-2</v>
      </c>
      <c r="F8288" s="1">
        <v>1.48189676667334E-2</v>
      </c>
    </row>
    <row r="8289" spans="1:6" x14ac:dyDescent="0.25">
      <c r="A8289" s="2" t="str">
        <f t="shared" si="311"/>
        <v>38900</v>
      </c>
      <c r="B8289" s="2" t="str">
        <f>"97282"</f>
        <v>97282</v>
      </c>
      <c r="C8289" s="1">
        <v>5.5125349112673696E-4</v>
      </c>
      <c r="D8289" s="1">
        <v>3.0609672656559399E-3</v>
      </c>
      <c r="E8289" s="1">
        <v>2.00432935139902E-5</v>
      </c>
      <c r="F8289" s="1">
        <v>7.4419899559905302E-4</v>
      </c>
    </row>
    <row r="8290" spans="1:6" x14ac:dyDescent="0.25">
      <c r="A8290" s="2" t="str">
        <f t="shared" si="311"/>
        <v>38900</v>
      </c>
      <c r="B8290" s="2" t="str">
        <f>"97251"</f>
        <v>97251</v>
      </c>
      <c r="C8290" s="1">
        <v>0</v>
      </c>
      <c r="D8290" s="1">
        <v>1.8005689797976102E-5</v>
      </c>
      <c r="E8290" s="1">
        <v>2.00432935139902E-5</v>
      </c>
      <c r="F8290" s="1">
        <v>2.2945498322683999E-6</v>
      </c>
    </row>
    <row r="8291" spans="1:6" x14ac:dyDescent="0.25">
      <c r="A8291" s="2" t="str">
        <f t="shared" si="311"/>
        <v>38900</v>
      </c>
      <c r="B8291" s="2" t="str">
        <f>"97242"</f>
        <v>97242</v>
      </c>
      <c r="C8291" s="1">
        <v>3.0179384166115702E-4</v>
      </c>
      <c r="D8291" s="1">
        <v>1.5935035471208901E-3</v>
      </c>
      <c r="E8291" s="1">
        <v>2.00432935139902E-5</v>
      </c>
      <c r="F8291" s="1">
        <v>4.00781370702881E-4</v>
      </c>
    </row>
    <row r="8292" spans="1:6" x14ac:dyDescent="0.25">
      <c r="A8292" s="2" t="str">
        <f t="shared" si="311"/>
        <v>38900</v>
      </c>
      <c r="B8292" s="2" t="str">
        <f>"97291"</f>
        <v>97291</v>
      </c>
      <c r="C8292" s="1">
        <v>2.4684293985580098E-4</v>
      </c>
      <c r="D8292" s="1">
        <v>1.9356116532824299E-3</v>
      </c>
      <c r="E8292" s="1">
        <v>2.00432935139902E-5</v>
      </c>
      <c r="F8292" s="1">
        <v>3.81660122100645E-4</v>
      </c>
    </row>
    <row r="8293" spans="1:6" x14ac:dyDescent="0.25">
      <c r="A8293" s="2" t="str">
        <f t="shared" si="311"/>
        <v>38900</v>
      </c>
      <c r="B8293" s="2" t="str">
        <f>"97286"</f>
        <v>97286</v>
      </c>
      <c r="C8293" s="1">
        <v>4.2565142985735401E-4</v>
      </c>
      <c r="D8293" s="1">
        <v>2.5568079513126102E-3</v>
      </c>
      <c r="E8293" s="1">
        <v>2.00432935139902E-5</v>
      </c>
      <c r="F8293" s="1">
        <v>5.9122900678115905E-4</v>
      </c>
    </row>
    <row r="8294" spans="1:6" x14ac:dyDescent="0.25">
      <c r="A8294" s="2" t="str">
        <f t="shared" si="311"/>
        <v>38900</v>
      </c>
      <c r="B8294" s="2" t="str">
        <f>"97212"</f>
        <v>97212</v>
      </c>
      <c r="C8294" s="1">
        <v>1.0507833556335101E-2</v>
      </c>
      <c r="D8294" s="1">
        <v>8.3096258417659895E-3</v>
      </c>
      <c r="E8294" s="1">
        <v>1.6034634811192099E-2</v>
      </c>
      <c r="F8294" s="1">
        <v>1.05319837301119E-2</v>
      </c>
    </row>
    <row r="8295" spans="1:6" x14ac:dyDescent="0.25">
      <c r="A8295" s="2" t="str">
        <f t="shared" si="311"/>
        <v>38900</v>
      </c>
      <c r="B8295" s="2" t="str">
        <f>"97133"</f>
        <v>97133</v>
      </c>
      <c r="C8295" s="1">
        <v>3.1784299393446702E-3</v>
      </c>
      <c r="D8295" s="1">
        <v>2.39475674313082E-3</v>
      </c>
      <c r="E8295" s="1">
        <v>3.0064940270985299E-4</v>
      </c>
      <c r="F8295" s="1">
        <v>3.0020360305511602E-3</v>
      </c>
    </row>
    <row r="8296" spans="1:6" x14ac:dyDescent="0.25">
      <c r="A8296" s="2" t="str">
        <f t="shared" si="311"/>
        <v>38900</v>
      </c>
      <c r="B8296" s="2" t="str">
        <f>"97070"</f>
        <v>97070</v>
      </c>
      <c r="C8296" s="1">
        <v>1.25026385155231E-2</v>
      </c>
      <c r="D8296" s="1">
        <v>1.6511217544744099E-2</v>
      </c>
      <c r="E8296" s="1">
        <v>2.37112162270504E-2</v>
      </c>
      <c r="F8296" s="1">
        <v>1.32709113798963E-2</v>
      </c>
    </row>
    <row r="8297" spans="1:6" x14ac:dyDescent="0.25">
      <c r="A8297" s="2" t="str">
        <f t="shared" ref="A8297:A8328" si="312">"38900"</f>
        <v>38900</v>
      </c>
      <c r="B8297" s="2" t="str">
        <f>"97004"</f>
        <v>97004</v>
      </c>
      <c r="C8297" s="1">
        <v>2.04801138792022E-3</v>
      </c>
      <c r="D8297" s="1">
        <v>1.25139544095934E-3</v>
      </c>
      <c r="E8297" s="1">
        <v>1.60346348111921E-4</v>
      </c>
      <c r="F8297" s="1">
        <v>1.90830061050322E-3</v>
      </c>
    </row>
    <row r="8298" spans="1:6" x14ac:dyDescent="0.25">
      <c r="A8298" s="2" t="str">
        <f t="shared" si="312"/>
        <v>38900</v>
      </c>
      <c r="B8298" s="2" t="str">
        <f>"97003"</f>
        <v>97003</v>
      </c>
      <c r="C8298" s="1">
        <v>9.8021941982314505E-3</v>
      </c>
      <c r="D8298" s="1">
        <v>4.1773200331304602E-3</v>
      </c>
      <c r="E8298" s="1">
        <v>1.2607231620299799E-2</v>
      </c>
      <c r="F8298" s="1">
        <v>9.4313646605672392E-3</v>
      </c>
    </row>
    <row r="8299" spans="1:6" x14ac:dyDescent="0.25">
      <c r="A8299" s="2" t="str">
        <f t="shared" si="312"/>
        <v>38900</v>
      </c>
      <c r="B8299" s="2" t="str">
        <f>"97035"</f>
        <v>97035</v>
      </c>
      <c r="C8299" s="1">
        <v>1.08794063209237E-2</v>
      </c>
      <c r="D8299" s="1">
        <v>1.9104036875652701E-2</v>
      </c>
      <c r="E8299" s="1">
        <v>8.6186162110157907E-3</v>
      </c>
      <c r="F8299" s="1">
        <v>1.14918704099442E-2</v>
      </c>
    </row>
    <row r="8300" spans="1:6" x14ac:dyDescent="0.25">
      <c r="A8300" s="2" t="str">
        <f t="shared" si="312"/>
        <v>38900</v>
      </c>
      <c r="B8300" s="2" t="str">
        <f>"97013"</f>
        <v>97013</v>
      </c>
      <c r="C8300" s="1">
        <v>8.7494046985637699E-3</v>
      </c>
      <c r="D8300" s="1">
        <v>9.3989700745435497E-3</v>
      </c>
      <c r="E8300" s="1">
        <v>2.5454982762767499E-3</v>
      </c>
      <c r="F8300" s="1">
        <v>8.5678490736902299E-3</v>
      </c>
    </row>
    <row r="8301" spans="1:6" x14ac:dyDescent="0.25">
      <c r="A8301" s="2" t="str">
        <f t="shared" si="312"/>
        <v>38900</v>
      </c>
      <c r="B8301" s="2" t="str">
        <f>"98686"</f>
        <v>98686</v>
      </c>
      <c r="C8301" s="1">
        <v>7.83704528128756E-3</v>
      </c>
      <c r="D8301" s="1">
        <v>3.9972631351506997E-3</v>
      </c>
      <c r="E8301" s="1">
        <v>4.4295678665918301E-3</v>
      </c>
      <c r="F8301" s="1">
        <v>7.3808019604633696E-3</v>
      </c>
    </row>
    <row r="8302" spans="1:6" x14ac:dyDescent="0.25">
      <c r="A8302" s="2" t="str">
        <f t="shared" si="312"/>
        <v>38900</v>
      </c>
      <c r="B8302" s="2" t="str">
        <f>"98616"</f>
        <v>98616</v>
      </c>
      <c r="C8302" s="1">
        <v>1.04668384391152E-5</v>
      </c>
      <c r="D8302" s="1">
        <v>0</v>
      </c>
      <c r="E8302" s="1">
        <v>0</v>
      </c>
      <c r="F8302" s="1">
        <v>9.1781993290736199E-6</v>
      </c>
    </row>
    <row r="8303" spans="1:6" x14ac:dyDescent="0.25">
      <c r="A8303" s="2" t="str">
        <f t="shared" si="312"/>
        <v>38900</v>
      </c>
      <c r="B8303" s="2" t="str">
        <f>"97254"</f>
        <v>97254</v>
      </c>
      <c r="C8303" s="1">
        <v>0</v>
      </c>
      <c r="D8303" s="1">
        <v>3.6011379595952298E-5</v>
      </c>
      <c r="E8303" s="1">
        <v>2.00432935139902E-5</v>
      </c>
      <c r="F8303" s="1">
        <v>3.8242497204473398E-6</v>
      </c>
    </row>
    <row r="8304" spans="1:6" x14ac:dyDescent="0.25">
      <c r="A8304" s="2" t="str">
        <f t="shared" si="312"/>
        <v>38900</v>
      </c>
      <c r="B8304" s="2" t="str">
        <f>"97269"</f>
        <v>97269</v>
      </c>
      <c r="C8304" s="1">
        <v>7.2570079844532496E-4</v>
      </c>
      <c r="D8304" s="1">
        <v>2.7008534696964198E-3</v>
      </c>
      <c r="E8304" s="1">
        <v>2.00432935139902E-5</v>
      </c>
      <c r="F8304" s="1">
        <v>8.66574986653368E-4</v>
      </c>
    </row>
    <row r="8305" spans="1:6" x14ac:dyDescent="0.25">
      <c r="A8305" s="2" t="str">
        <f t="shared" si="312"/>
        <v>38900</v>
      </c>
      <c r="B8305" s="2" t="str">
        <f>"97280"</f>
        <v>97280</v>
      </c>
      <c r="C8305" s="1">
        <v>6.7423884278634198E-4</v>
      </c>
      <c r="D8305" s="1">
        <v>5.1406244373221896E-3</v>
      </c>
      <c r="E8305" s="1">
        <v>2.00432935139902E-5</v>
      </c>
      <c r="F8305" s="1">
        <v>1.0287231748003301E-3</v>
      </c>
    </row>
    <row r="8306" spans="1:6" x14ac:dyDescent="0.25">
      <c r="A8306" s="2" t="str">
        <f t="shared" si="312"/>
        <v>38900</v>
      </c>
      <c r="B8306" s="2" t="str">
        <f>"97298"</f>
        <v>97298</v>
      </c>
      <c r="C8306" s="1">
        <v>2.59926487904695E-4</v>
      </c>
      <c r="D8306" s="1">
        <v>2.61082502070654E-3</v>
      </c>
      <c r="E8306" s="1">
        <v>2.00432935139902E-5</v>
      </c>
      <c r="F8306" s="1">
        <v>4.5049661706869702E-4</v>
      </c>
    </row>
    <row r="8307" spans="1:6" x14ac:dyDescent="0.25">
      <c r="A8307" s="2" t="str">
        <f t="shared" si="312"/>
        <v>38900</v>
      </c>
      <c r="B8307" s="2" t="str">
        <f>"97216"</f>
        <v>97216</v>
      </c>
      <c r="C8307" s="1">
        <v>6.0943166811748602E-3</v>
      </c>
      <c r="D8307" s="1">
        <v>6.65310238035219E-3</v>
      </c>
      <c r="E8307" s="1">
        <v>7.6966247093722398E-3</v>
      </c>
      <c r="F8307" s="1">
        <v>6.2029330465655898E-3</v>
      </c>
    </row>
    <row r="8308" spans="1:6" x14ac:dyDescent="0.25">
      <c r="A8308" s="2" t="str">
        <f t="shared" si="312"/>
        <v>38900</v>
      </c>
      <c r="B8308" s="2" t="str">
        <f>"97128"</f>
        <v>97128</v>
      </c>
      <c r="C8308" s="1">
        <v>1.4589900547590001E-2</v>
      </c>
      <c r="D8308" s="1">
        <v>1.7591558932622701E-2</v>
      </c>
      <c r="E8308" s="1">
        <v>1.29680109035516E-2</v>
      </c>
      <c r="F8308" s="1">
        <v>1.47830197193612E-2</v>
      </c>
    </row>
    <row r="8309" spans="1:6" x14ac:dyDescent="0.25">
      <c r="A8309" s="2" t="str">
        <f t="shared" si="312"/>
        <v>38900</v>
      </c>
      <c r="B8309" s="2" t="str">
        <f>"97080"</f>
        <v>97080</v>
      </c>
      <c r="C8309" s="1">
        <v>1.61634152596037E-2</v>
      </c>
      <c r="D8309" s="1">
        <v>2.61082502070654E-3</v>
      </c>
      <c r="E8309" s="1">
        <v>2.8060610919586298E-3</v>
      </c>
      <c r="F8309" s="1">
        <v>1.45023197898804E-2</v>
      </c>
    </row>
    <row r="8310" spans="1:6" x14ac:dyDescent="0.25">
      <c r="A8310" s="2" t="str">
        <f t="shared" si="312"/>
        <v>38900</v>
      </c>
      <c r="B8310" s="2" t="str">
        <f>"97140"</f>
        <v>97140</v>
      </c>
      <c r="C8310" s="1">
        <v>9.0102034230050594E-3</v>
      </c>
      <c r="D8310" s="1">
        <v>1.03082574093413E-2</v>
      </c>
      <c r="E8310" s="1">
        <v>7.5563216547743098E-3</v>
      </c>
      <c r="F8310" s="1">
        <v>9.0650015373483807E-3</v>
      </c>
    </row>
    <row r="8311" spans="1:6" x14ac:dyDescent="0.25">
      <c r="A8311" s="2" t="str">
        <f t="shared" si="312"/>
        <v>38900</v>
      </c>
      <c r="B8311" s="2" t="str">
        <f>"97132"</f>
        <v>97132</v>
      </c>
      <c r="C8311" s="1">
        <v>1.1605107119369001E-2</v>
      </c>
      <c r="D8311" s="1">
        <v>1.22978861320177E-2</v>
      </c>
      <c r="E8311" s="1">
        <v>1.3288703599775501E-2</v>
      </c>
      <c r="F8311" s="1">
        <v>1.17282090426679E-2</v>
      </c>
    </row>
    <row r="8312" spans="1:6" x14ac:dyDescent="0.25">
      <c r="A8312" s="2" t="str">
        <f t="shared" si="312"/>
        <v>38900</v>
      </c>
      <c r="B8312" s="2" t="str">
        <f>"97075"</f>
        <v>97075</v>
      </c>
      <c r="C8312" s="1">
        <v>9.7864939405727797E-4</v>
      </c>
      <c r="D8312" s="1">
        <v>5.6177752169685596E-3</v>
      </c>
      <c r="E8312" s="1">
        <v>2.00432935139902E-5</v>
      </c>
      <c r="F8312" s="1">
        <v>1.3361928523243E-3</v>
      </c>
    </row>
    <row r="8313" spans="1:6" x14ac:dyDescent="0.25">
      <c r="A8313" s="2" t="str">
        <f t="shared" si="312"/>
        <v>38900</v>
      </c>
      <c r="B8313" s="2" t="str">
        <f>"97056"</f>
        <v>97056</v>
      </c>
      <c r="C8313" s="1">
        <v>5.8012452048796402E-3</v>
      </c>
      <c r="D8313" s="1">
        <v>4.1323058086355198E-3</v>
      </c>
      <c r="E8313" s="1">
        <v>2.9263208530425698E-3</v>
      </c>
      <c r="F8313" s="1">
        <v>5.5497511943131796E-3</v>
      </c>
    </row>
    <row r="8314" spans="1:6" x14ac:dyDescent="0.25">
      <c r="A8314" s="2" t="str">
        <f t="shared" si="312"/>
        <v>38900</v>
      </c>
      <c r="B8314" s="2" t="str">
        <f>"97028"</f>
        <v>97028</v>
      </c>
      <c r="C8314" s="1">
        <v>7.6495144259200703E-4</v>
      </c>
      <c r="D8314" s="1">
        <v>5.4017069393928403E-5</v>
      </c>
      <c r="E8314" s="1">
        <v>6.0129880541970603E-5</v>
      </c>
      <c r="F8314" s="1">
        <v>6.77657050463269E-4</v>
      </c>
    </row>
    <row r="8315" spans="1:6" x14ac:dyDescent="0.25">
      <c r="A8315" s="2" t="str">
        <f t="shared" si="312"/>
        <v>38900</v>
      </c>
      <c r="B8315" s="2" t="str">
        <f>"97038"</f>
        <v>97038</v>
      </c>
      <c r="C8315" s="1">
        <v>6.0655328754673004E-3</v>
      </c>
      <c r="D8315" s="1">
        <v>1.83658035939356E-3</v>
      </c>
      <c r="E8315" s="1">
        <v>2.8862342660145898E-3</v>
      </c>
      <c r="F8315" s="1">
        <v>5.5849342917413001E-3</v>
      </c>
    </row>
    <row r="8316" spans="1:6" x14ac:dyDescent="0.25">
      <c r="A8316" s="2" t="str">
        <f t="shared" si="312"/>
        <v>38900</v>
      </c>
      <c r="B8316" s="2" t="str">
        <f>"97032"</f>
        <v>97032</v>
      </c>
      <c r="C8316" s="1">
        <v>1.9101980151385299E-4</v>
      </c>
      <c r="D8316" s="1">
        <v>1.3504267348482101E-4</v>
      </c>
      <c r="E8316" s="1">
        <v>6.0129880541970603E-5</v>
      </c>
      <c r="F8316" s="1">
        <v>1.8126943674920401E-4</v>
      </c>
    </row>
    <row r="8317" spans="1:6" x14ac:dyDescent="0.25">
      <c r="A8317" s="2" t="str">
        <f t="shared" si="312"/>
        <v>38900</v>
      </c>
      <c r="B8317" s="2" t="str">
        <f>"97009"</f>
        <v>97009</v>
      </c>
      <c r="C8317" s="1">
        <v>3.8265016860332202E-3</v>
      </c>
      <c r="D8317" s="1">
        <v>5.2666642659080203E-3</v>
      </c>
      <c r="E8317" s="1">
        <v>5.4116892487773502E-4</v>
      </c>
      <c r="F8317" s="1">
        <v>3.82348487050325E-3</v>
      </c>
    </row>
    <row r="8318" spans="1:6" x14ac:dyDescent="0.25">
      <c r="A8318" s="2" t="str">
        <f t="shared" si="312"/>
        <v>38900</v>
      </c>
      <c r="B8318" s="2" t="str">
        <f>"98668"</f>
        <v>98668</v>
      </c>
      <c r="C8318" s="1">
        <v>1.5351363044035699E-3</v>
      </c>
      <c r="D8318" s="1">
        <v>4.0782887392415996E-3</v>
      </c>
      <c r="E8318" s="1">
        <v>2.00432935139902E-5</v>
      </c>
      <c r="F8318" s="1">
        <v>1.69337777621408E-3</v>
      </c>
    </row>
    <row r="8319" spans="1:6" x14ac:dyDescent="0.25">
      <c r="A8319" s="2" t="str">
        <f t="shared" si="312"/>
        <v>38900</v>
      </c>
      <c r="B8319" s="2" t="str">
        <f>"98671"</f>
        <v>98671</v>
      </c>
      <c r="C8319" s="1">
        <v>9.4751054970090998E-3</v>
      </c>
      <c r="D8319" s="1">
        <v>6.0949259966149296E-3</v>
      </c>
      <c r="E8319" s="1">
        <v>6.5341136855608098E-3</v>
      </c>
      <c r="F8319" s="1">
        <v>9.0757094365656408E-3</v>
      </c>
    </row>
    <row r="8320" spans="1:6" x14ac:dyDescent="0.25">
      <c r="A8320" s="2" t="str">
        <f t="shared" si="312"/>
        <v>38900</v>
      </c>
      <c r="B8320" s="2" t="str">
        <f>"98648"</f>
        <v>98648</v>
      </c>
      <c r="C8320" s="1">
        <v>1.31358822410896E-3</v>
      </c>
      <c r="D8320" s="1">
        <v>4.2313371025243902E-4</v>
      </c>
      <c r="E8320" s="1">
        <v>5.2112563136374503E-4</v>
      </c>
      <c r="F8320" s="1">
        <v>1.2076980617172701E-3</v>
      </c>
    </row>
    <row r="8321" spans="1:6" x14ac:dyDescent="0.25">
      <c r="A8321" s="2" t="str">
        <f t="shared" si="312"/>
        <v>38900</v>
      </c>
      <c r="B8321" s="2" t="str">
        <f>"98607"</f>
        <v>98607</v>
      </c>
      <c r="C8321" s="1">
        <v>1.22331174257159E-2</v>
      </c>
      <c r="D8321" s="1">
        <v>7.9585148907054606E-3</v>
      </c>
      <c r="E8321" s="1">
        <v>3.9284855287420803E-3</v>
      </c>
      <c r="F8321" s="1">
        <v>1.1553058405471399E-2</v>
      </c>
    </row>
    <row r="8322" spans="1:6" x14ac:dyDescent="0.25">
      <c r="A8322" s="2" t="str">
        <f t="shared" si="312"/>
        <v>38900</v>
      </c>
      <c r="B8322" s="2" t="str">
        <f>"97229"</f>
        <v>97229</v>
      </c>
      <c r="C8322" s="1">
        <v>2.5328876786122299E-2</v>
      </c>
      <c r="D8322" s="1">
        <v>6.5900824660592699E-3</v>
      </c>
      <c r="E8322" s="1">
        <v>2.3791389401106301E-2</v>
      </c>
      <c r="F8322" s="1">
        <v>2.3678224569121699E-2</v>
      </c>
    </row>
    <row r="8323" spans="1:6" x14ac:dyDescent="0.25">
      <c r="A8323" s="2" t="str">
        <f t="shared" si="312"/>
        <v>38900</v>
      </c>
      <c r="B8323" s="2" t="str">
        <f>"97252"</f>
        <v>97252</v>
      </c>
      <c r="C8323" s="1">
        <v>0</v>
      </c>
      <c r="D8323" s="1">
        <v>9.0028448989880796E-6</v>
      </c>
      <c r="E8323" s="1">
        <v>2.00432935139902E-5</v>
      </c>
      <c r="F8323" s="1">
        <v>1.5296998881789299E-6</v>
      </c>
    </row>
    <row r="8324" spans="1:6" x14ac:dyDescent="0.25">
      <c r="A8324" s="2" t="str">
        <f t="shared" si="312"/>
        <v>38900</v>
      </c>
      <c r="B8324" s="2" t="str">
        <f>"97283"</f>
        <v>97283</v>
      </c>
      <c r="C8324" s="1">
        <v>3.7593394727155602E-4</v>
      </c>
      <c r="D8324" s="1">
        <v>1.9266088083834401E-3</v>
      </c>
      <c r="E8324" s="1">
        <v>2.00432935139902E-5</v>
      </c>
      <c r="F8324" s="1">
        <v>4.9409306388179702E-4</v>
      </c>
    </row>
    <row r="8325" spans="1:6" x14ac:dyDescent="0.25">
      <c r="A8325" s="2" t="str">
        <f t="shared" si="312"/>
        <v>38900</v>
      </c>
      <c r="B8325" s="2" t="str">
        <f>"97222"</f>
        <v>97222</v>
      </c>
      <c r="C8325" s="1">
        <v>1.45689668707118E-2</v>
      </c>
      <c r="D8325" s="1">
        <v>1.09924736216644E-2</v>
      </c>
      <c r="E8325" s="1">
        <v>1.6956626312835701E-2</v>
      </c>
      <c r="F8325" s="1">
        <v>1.4356233450559299E-2</v>
      </c>
    </row>
    <row r="8326" spans="1:6" x14ac:dyDescent="0.25">
      <c r="A8326" s="2" t="str">
        <f t="shared" si="312"/>
        <v>38900</v>
      </c>
      <c r="B8326" s="2" t="str">
        <f>"97238"</f>
        <v>97238</v>
      </c>
      <c r="C8326" s="1">
        <v>6.4196609093240299E-4</v>
      </c>
      <c r="D8326" s="1">
        <v>3.0249558860599899E-3</v>
      </c>
      <c r="E8326" s="1">
        <v>2.00432935139902E-5</v>
      </c>
      <c r="F8326" s="1">
        <v>8.2068399000799995E-4</v>
      </c>
    </row>
    <row r="8327" spans="1:6" x14ac:dyDescent="0.25">
      <c r="A8327" s="2" t="str">
        <f t="shared" si="312"/>
        <v>38900</v>
      </c>
      <c r="B8327" s="2" t="str">
        <f>"97214"</f>
        <v>97214</v>
      </c>
      <c r="C8327" s="1">
        <v>1.407789770061E-2</v>
      </c>
      <c r="D8327" s="1">
        <v>2.6783463574489502E-2</v>
      </c>
      <c r="E8327" s="1">
        <v>3.7641305219273599E-2</v>
      </c>
      <c r="F8327" s="1">
        <v>1.60564948762702E-2</v>
      </c>
    </row>
    <row r="8328" spans="1:6" x14ac:dyDescent="0.25">
      <c r="A8328" s="2" t="str">
        <f t="shared" si="312"/>
        <v>38900</v>
      </c>
      <c r="B8328" s="2" t="str">
        <f>"97089"</f>
        <v>97089</v>
      </c>
      <c r="C8328" s="1">
        <v>4.3376322964766801E-3</v>
      </c>
      <c r="D8328" s="1">
        <v>1.2063812164644001E-3</v>
      </c>
      <c r="E8328" s="1">
        <v>3.6077928325182302E-4</v>
      </c>
      <c r="F8328" s="1">
        <v>3.9198559634585203E-3</v>
      </c>
    </row>
    <row r="8329" spans="1:6" x14ac:dyDescent="0.25">
      <c r="A8329" s="2" t="str">
        <f t="shared" ref="A8329:A8360" si="313">"38900"</f>
        <v>38900</v>
      </c>
      <c r="B8329" s="2" t="str">
        <f>"97071"</f>
        <v>97071</v>
      </c>
      <c r="C8329" s="1">
        <v>2.9830489551478499E-4</v>
      </c>
      <c r="D8329" s="1">
        <v>8.1025604090892696E-5</v>
      </c>
      <c r="E8329" s="1">
        <v>0</v>
      </c>
      <c r="F8329" s="1">
        <v>2.68462330375403E-4</v>
      </c>
    </row>
    <row r="8330" spans="1:6" x14ac:dyDescent="0.25">
      <c r="A8330" s="2" t="str">
        <f t="shared" si="313"/>
        <v>38900</v>
      </c>
      <c r="B8330" s="2" t="str">
        <f>"97067"</f>
        <v>97067</v>
      </c>
      <c r="C8330" s="1">
        <v>1.4400625219149401E-3</v>
      </c>
      <c r="D8330" s="1">
        <v>3.1509957146458198E-4</v>
      </c>
      <c r="E8330" s="1">
        <v>5.2112563136374503E-4</v>
      </c>
      <c r="F8330" s="1">
        <v>1.30942310428117E-3</v>
      </c>
    </row>
    <row r="8331" spans="1:6" x14ac:dyDescent="0.25">
      <c r="A8331" s="2" t="str">
        <f t="shared" si="313"/>
        <v>38900</v>
      </c>
      <c r="B8331" s="2" t="str">
        <f>"97064"</f>
        <v>97064</v>
      </c>
      <c r="C8331" s="1">
        <v>1.5089692083057799E-3</v>
      </c>
      <c r="D8331" s="1">
        <v>9.5430155929273599E-4</v>
      </c>
      <c r="E8331" s="1">
        <v>5.0108233784975503E-4</v>
      </c>
      <c r="F8331" s="1">
        <v>1.4233857459505E-3</v>
      </c>
    </row>
    <row r="8332" spans="1:6" x14ac:dyDescent="0.25">
      <c r="A8332" s="2" t="str">
        <f t="shared" si="313"/>
        <v>38900</v>
      </c>
      <c r="B8332" s="2" t="str">
        <f>"97062"</f>
        <v>97062</v>
      </c>
      <c r="C8332" s="1">
        <v>1.2151999427812799E-2</v>
      </c>
      <c r="D8332" s="1">
        <v>1.8014692642875099E-2</v>
      </c>
      <c r="E8332" s="1">
        <v>8.8791790266976606E-3</v>
      </c>
      <c r="F8332" s="1">
        <v>1.25251826844091E-2</v>
      </c>
    </row>
    <row r="8333" spans="1:6" x14ac:dyDescent="0.25">
      <c r="A8333" s="2" t="str">
        <f t="shared" si="313"/>
        <v>38900</v>
      </c>
      <c r="B8333" s="2" t="str">
        <f>"97054"</f>
        <v>97054</v>
      </c>
      <c r="C8333" s="1">
        <v>5.8527071605386197E-4</v>
      </c>
      <c r="D8333" s="1">
        <v>1.0803413878785599E-4</v>
      </c>
      <c r="E8333" s="1">
        <v>1.00216467569951E-4</v>
      </c>
      <c r="F8333" s="1">
        <v>5.2621676153355402E-4</v>
      </c>
    </row>
    <row r="8334" spans="1:6" x14ac:dyDescent="0.25">
      <c r="A8334" s="2" t="str">
        <f t="shared" si="313"/>
        <v>38900</v>
      </c>
      <c r="B8334" s="2" t="str">
        <f>"97010"</f>
        <v>97010</v>
      </c>
      <c r="C8334" s="1">
        <v>0</v>
      </c>
      <c r="D8334" s="1">
        <v>0</v>
      </c>
      <c r="E8334" s="1">
        <v>2.00432935139902E-5</v>
      </c>
      <c r="F8334" s="1">
        <v>7.64849944089469E-7</v>
      </c>
    </row>
    <row r="8335" spans="1:6" x14ac:dyDescent="0.25">
      <c r="A8335" s="2" t="str">
        <f t="shared" si="313"/>
        <v>38900</v>
      </c>
      <c r="B8335" s="2" t="str">
        <f>"97015"</f>
        <v>97015</v>
      </c>
      <c r="C8335" s="1">
        <v>1.0032464643891899E-2</v>
      </c>
      <c r="D8335" s="1">
        <v>2.1993950088227798E-2</v>
      </c>
      <c r="E8335" s="1">
        <v>6.9951094363825796E-3</v>
      </c>
      <c r="F8335" s="1">
        <v>1.09327651008148E-2</v>
      </c>
    </row>
    <row r="8336" spans="1:6" x14ac:dyDescent="0.25">
      <c r="A8336" s="2" t="str">
        <f t="shared" si="313"/>
        <v>38900</v>
      </c>
      <c r="B8336" s="2" t="str">
        <f>"97007"</f>
        <v>97007</v>
      </c>
      <c r="C8336" s="1">
        <v>1.7012101409708599E-2</v>
      </c>
      <c r="D8336" s="1">
        <v>5.8968634088371902E-3</v>
      </c>
      <c r="E8336" s="1">
        <v>2.1526497234025398E-2</v>
      </c>
      <c r="F8336" s="1">
        <v>1.6240058862851601E-2</v>
      </c>
    </row>
    <row r="8337" spans="1:6" x14ac:dyDescent="0.25">
      <c r="A8337" s="2" t="str">
        <f t="shared" si="313"/>
        <v>38900</v>
      </c>
      <c r="B8337" s="2" t="str">
        <f>"98685"</f>
        <v>98685</v>
      </c>
      <c r="C8337" s="1">
        <v>1.02897744221869E-2</v>
      </c>
      <c r="D8337" s="1">
        <v>4.2133314127264197E-3</v>
      </c>
      <c r="E8337" s="1">
        <v>9.0996552553515506E-3</v>
      </c>
      <c r="F8337" s="1">
        <v>9.7281264388739495E-3</v>
      </c>
    </row>
    <row r="8338" spans="1:6" x14ac:dyDescent="0.25">
      <c r="A8338" s="2" t="str">
        <f t="shared" si="313"/>
        <v>38900</v>
      </c>
      <c r="B8338" s="2" t="str">
        <f>"98683"</f>
        <v>98683</v>
      </c>
      <c r="C8338" s="1">
        <v>1.4196521869586601E-2</v>
      </c>
      <c r="D8338" s="1">
        <v>9.40797291944254E-3</v>
      </c>
      <c r="E8338" s="1">
        <v>1.27475346748977E-2</v>
      </c>
      <c r="F8338" s="1">
        <v>1.37344104460145E-2</v>
      </c>
    </row>
    <row r="8339" spans="1:6" x14ac:dyDescent="0.25">
      <c r="A8339" s="2" t="str">
        <f t="shared" si="313"/>
        <v>38900</v>
      </c>
      <c r="B8339" s="2" t="str">
        <f>"98674"</f>
        <v>98674</v>
      </c>
      <c r="C8339" s="1">
        <v>1.1400131533269701E-3</v>
      </c>
      <c r="D8339" s="1">
        <v>6.3019914292916497E-5</v>
      </c>
      <c r="E8339" s="1">
        <v>2.8060610919586299E-4</v>
      </c>
      <c r="F8339" s="1">
        <v>1.01572072575081E-3</v>
      </c>
    </row>
    <row r="8340" spans="1:6" x14ac:dyDescent="0.25">
      <c r="A8340" s="2" t="str">
        <f t="shared" si="313"/>
        <v>38900</v>
      </c>
      <c r="B8340" s="2" t="str">
        <f>"98666"</f>
        <v>98666</v>
      </c>
      <c r="C8340" s="1">
        <v>7.4227329264059101E-4</v>
      </c>
      <c r="D8340" s="1">
        <v>4.3303683964132601E-3</v>
      </c>
      <c r="E8340" s="1">
        <v>2.00432935139902E-5</v>
      </c>
      <c r="F8340" s="1">
        <v>1.01954497547126E-3</v>
      </c>
    </row>
    <row r="8341" spans="1:6" x14ac:dyDescent="0.25">
      <c r="A8341" s="2" t="str">
        <f t="shared" si="313"/>
        <v>38900</v>
      </c>
      <c r="B8341" s="2" t="str">
        <f>"98661"</f>
        <v>98661</v>
      </c>
      <c r="C8341" s="1">
        <v>2.0357128527542599E-2</v>
      </c>
      <c r="D8341" s="1">
        <v>1.6745291512117799E-2</v>
      </c>
      <c r="E8341" s="1">
        <v>3.1427884229936601E-2</v>
      </c>
      <c r="F8341" s="1">
        <v>2.0472738453442801E-2</v>
      </c>
    </row>
    <row r="8342" spans="1:6" x14ac:dyDescent="0.25">
      <c r="A8342" s="2" t="str">
        <f t="shared" si="313"/>
        <v>38900</v>
      </c>
      <c r="B8342" s="2" t="str">
        <f>"97228"</f>
        <v>97228</v>
      </c>
      <c r="C8342" s="1">
        <v>7.9373524829957399E-4</v>
      </c>
      <c r="D8342" s="1">
        <v>4.3483740862112399E-3</v>
      </c>
      <c r="E8342" s="1">
        <v>2.00432935139902E-5</v>
      </c>
      <c r="F8342" s="1">
        <v>1.0662008220607101E-3</v>
      </c>
    </row>
    <row r="8343" spans="1:6" x14ac:dyDescent="0.25">
      <c r="A8343" s="2" t="str">
        <f t="shared" si="313"/>
        <v>38900</v>
      </c>
      <c r="B8343" s="2" t="str">
        <f>"97294"</f>
        <v>97294</v>
      </c>
      <c r="C8343" s="1">
        <v>1.0493005535212999E-3</v>
      </c>
      <c r="D8343" s="1">
        <v>4.0782887392415996E-3</v>
      </c>
      <c r="E8343" s="1">
        <v>2.00432935139902E-5</v>
      </c>
      <c r="F8343" s="1">
        <v>1.2673563573562499E-3</v>
      </c>
    </row>
    <row r="8344" spans="1:6" x14ac:dyDescent="0.25">
      <c r="A8344" s="2" t="str">
        <f t="shared" si="313"/>
        <v>38900</v>
      </c>
      <c r="B8344" s="2" t="str">
        <f>"97239"</f>
        <v>97239</v>
      </c>
      <c r="C8344" s="1">
        <v>8.9378077904678499E-3</v>
      </c>
      <c r="D8344" s="1">
        <v>9.1198818826749208E-3</v>
      </c>
      <c r="E8344" s="1">
        <v>1.56137256473983E-2</v>
      </c>
      <c r="F8344" s="1">
        <v>9.2080284768931101E-3</v>
      </c>
    </row>
    <row r="8345" spans="1:6" x14ac:dyDescent="0.25">
      <c r="A8345" s="2" t="str">
        <f t="shared" si="313"/>
        <v>38900</v>
      </c>
      <c r="B8345" s="2" t="str">
        <f>"97109"</f>
        <v>97109</v>
      </c>
      <c r="C8345" s="1">
        <v>2.08464532245712E-4</v>
      </c>
      <c r="D8345" s="1">
        <v>0</v>
      </c>
      <c r="E8345" s="1">
        <v>6.0129880541970603E-5</v>
      </c>
      <c r="F8345" s="1">
        <v>1.8509368646965101E-4</v>
      </c>
    </row>
    <row r="8346" spans="1:6" x14ac:dyDescent="0.25">
      <c r="A8346" s="2" t="str">
        <f t="shared" si="313"/>
        <v>38900</v>
      </c>
      <c r="B8346" s="2" t="str">
        <f>"97113"</f>
        <v>97113</v>
      </c>
      <c r="C8346" s="1">
        <v>4.8138734454564302E-3</v>
      </c>
      <c r="D8346" s="1">
        <v>3.5021066657063599E-3</v>
      </c>
      <c r="E8346" s="1">
        <v>3.2670568427804001E-3</v>
      </c>
      <c r="F8346" s="1">
        <v>4.6434040105671603E-3</v>
      </c>
    </row>
    <row r="8347" spans="1:6" x14ac:dyDescent="0.25">
      <c r="A8347" s="2" t="str">
        <f t="shared" si="313"/>
        <v>38900</v>
      </c>
      <c r="B8347" s="2" t="str">
        <f>"97204"</f>
        <v>97204</v>
      </c>
      <c r="C8347" s="1">
        <v>5.1985297580939098E-4</v>
      </c>
      <c r="D8347" s="1">
        <v>2.3299362598581098E-2</v>
      </c>
      <c r="E8347" s="1">
        <v>4.4295678665918301E-3</v>
      </c>
      <c r="F8347" s="1">
        <v>2.6043140596246398E-3</v>
      </c>
    </row>
    <row r="8348" spans="1:6" x14ac:dyDescent="0.25">
      <c r="A8348" s="2" t="str">
        <f t="shared" si="313"/>
        <v>38900</v>
      </c>
      <c r="B8348" s="2" t="str">
        <f>"97207"</f>
        <v>97207</v>
      </c>
      <c r="C8348" s="1">
        <v>1.4941411871837E-3</v>
      </c>
      <c r="D8348" s="1">
        <v>4.1683171882314803E-3</v>
      </c>
      <c r="E8348" s="1">
        <v>4.00865870279804E-5</v>
      </c>
      <c r="F8348" s="1">
        <v>1.6658431782268601E-3</v>
      </c>
    </row>
    <row r="8349" spans="1:6" x14ac:dyDescent="0.25">
      <c r="A8349" s="2" t="str">
        <f t="shared" si="313"/>
        <v>38900</v>
      </c>
      <c r="B8349" s="2" t="str">
        <f>"97208"</f>
        <v>97208</v>
      </c>
      <c r="C8349" s="1">
        <v>1.56915352933069E-3</v>
      </c>
      <c r="D8349" s="1">
        <v>9.6240411970182505E-3</v>
      </c>
      <c r="E8349" s="1">
        <v>1.5834201876052201E-3</v>
      </c>
      <c r="F8349" s="1">
        <v>2.2540127852316602E-3</v>
      </c>
    </row>
    <row r="8350" spans="1:6" x14ac:dyDescent="0.25">
      <c r="A8350" s="2" t="str">
        <f t="shared" si="313"/>
        <v>38900</v>
      </c>
      <c r="B8350" s="2" t="str">
        <f>"97068"</f>
        <v>97068</v>
      </c>
      <c r="C8350" s="1">
        <v>1.05854626080919E-2</v>
      </c>
      <c r="D8350" s="1">
        <v>7.0582304008066504E-3</v>
      </c>
      <c r="E8350" s="1">
        <v>4.8103904433576504E-3</v>
      </c>
      <c r="F8350" s="1">
        <v>1.0065425264217401E-2</v>
      </c>
    </row>
    <row r="8351" spans="1:6" x14ac:dyDescent="0.25">
      <c r="A8351" s="2" t="str">
        <f t="shared" si="313"/>
        <v>38900</v>
      </c>
      <c r="B8351" s="2" t="str">
        <f>"97006"</f>
        <v>97006</v>
      </c>
      <c r="C8351" s="1">
        <v>1.8629227948551999E-2</v>
      </c>
      <c r="D8351" s="1">
        <v>1.21808491483308E-2</v>
      </c>
      <c r="E8351" s="1">
        <v>2.96440311071915E-2</v>
      </c>
      <c r="F8351" s="1">
        <v>1.85017201475242E-2</v>
      </c>
    </row>
    <row r="8352" spans="1:6" x14ac:dyDescent="0.25">
      <c r="A8352" s="2" t="str">
        <f t="shared" si="313"/>
        <v>38900</v>
      </c>
      <c r="B8352" s="2" t="str">
        <f>"97049"</f>
        <v>97049</v>
      </c>
      <c r="C8352" s="1">
        <v>1.39208951240233E-3</v>
      </c>
      <c r="D8352" s="1">
        <v>1.17036983686845E-4</v>
      </c>
      <c r="E8352" s="1">
        <v>1.20259761083941E-4</v>
      </c>
      <c r="F8352" s="1">
        <v>1.23523265970449E-3</v>
      </c>
    </row>
    <row r="8353" spans="1:6" x14ac:dyDescent="0.25">
      <c r="A8353" s="2" t="str">
        <f t="shared" si="313"/>
        <v>38900</v>
      </c>
      <c r="B8353" s="2" t="str">
        <f>"97045"</f>
        <v>97045</v>
      </c>
      <c r="C8353" s="1">
        <v>2.16750779343345E-2</v>
      </c>
      <c r="D8353" s="1">
        <v>2.0220389643127199E-2</v>
      </c>
      <c r="E8353" s="1">
        <v>1.0202036398621E-2</v>
      </c>
      <c r="F8353" s="1">
        <v>2.1113682706589702E-2</v>
      </c>
    </row>
    <row r="8354" spans="1:6" x14ac:dyDescent="0.25">
      <c r="A8354" s="2" t="str">
        <f t="shared" si="313"/>
        <v>38900</v>
      </c>
      <c r="B8354" s="2" t="str">
        <f>"98610"</f>
        <v>98610</v>
      </c>
      <c r="C8354" s="1">
        <v>1.0327280593260401E-3</v>
      </c>
      <c r="D8354" s="1">
        <v>2.6108250207065398E-4</v>
      </c>
      <c r="E8354" s="1">
        <v>2.40519522167882E-4</v>
      </c>
      <c r="F8354" s="1">
        <v>9.3694118150959896E-4</v>
      </c>
    </row>
    <row r="8355" spans="1:6" x14ac:dyDescent="0.25">
      <c r="A8355" s="2" t="str">
        <f t="shared" si="313"/>
        <v>38900</v>
      </c>
      <c r="B8355" s="2" t="str">
        <f>"98605"</f>
        <v>98605</v>
      </c>
      <c r="C8355" s="1">
        <v>1.84914145757703E-4</v>
      </c>
      <c r="D8355" s="1">
        <v>1.17036983686845E-4</v>
      </c>
      <c r="E8355" s="1">
        <v>0</v>
      </c>
      <c r="F8355" s="1">
        <v>1.7209123742013E-4</v>
      </c>
    </row>
    <row r="8356" spans="1:6" x14ac:dyDescent="0.25">
      <c r="A8356" s="2" t="str">
        <f t="shared" si="313"/>
        <v>38900</v>
      </c>
      <c r="B8356" s="2" t="str">
        <f>"98639"</f>
        <v>98639</v>
      </c>
      <c r="C8356" s="1">
        <v>4.7973009512611601E-4</v>
      </c>
      <c r="D8356" s="1">
        <v>8.1025604090892696E-5</v>
      </c>
      <c r="E8356" s="1">
        <v>2.0043293513990199E-4</v>
      </c>
      <c r="F8356" s="1">
        <v>4.3519961818690698E-4</v>
      </c>
    </row>
    <row r="8357" spans="1:6" x14ac:dyDescent="0.25">
      <c r="A8357" s="2" t="str">
        <f t="shared" si="313"/>
        <v>38900</v>
      </c>
      <c r="B8357" s="2" t="str">
        <f>"97253"</f>
        <v>97253</v>
      </c>
      <c r="C8357" s="1">
        <v>0</v>
      </c>
      <c r="D8357" s="1">
        <v>9.0028448989880796E-6</v>
      </c>
      <c r="E8357" s="1">
        <v>2.00432935139902E-5</v>
      </c>
      <c r="F8357" s="1">
        <v>1.5296998881789299E-6</v>
      </c>
    </row>
    <row r="8358" spans="1:6" x14ac:dyDescent="0.25">
      <c r="A8358" s="2" t="str">
        <f t="shared" si="313"/>
        <v>38900</v>
      </c>
      <c r="B8358" s="2" t="str">
        <f>"97250"</f>
        <v>97250</v>
      </c>
      <c r="C8358" s="1">
        <v>0</v>
      </c>
      <c r="D8358" s="1">
        <v>2.7008534696964202E-5</v>
      </c>
      <c r="E8358" s="1">
        <v>2.00432935139902E-5</v>
      </c>
      <c r="F8358" s="1">
        <v>3.0593997763578701E-6</v>
      </c>
    </row>
    <row r="8359" spans="1:6" x14ac:dyDescent="0.25">
      <c r="A8359" s="2" t="str">
        <f t="shared" si="313"/>
        <v>38900</v>
      </c>
      <c r="B8359" s="2" t="str">
        <f>"97258"</f>
        <v>97258</v>
      </c>
      <c r="C8359" s="1">
        <v>0</v>
      </c>
      <c r="D8359" s="1">
        <v>7.0222190212106995E-4</v>
      </c>
      <c r="E8359" s="1">
        <v>1.20259761083941E-4</v>
      </c>
      <c r="F8359" s="1">
        <v>6.4247395303515395E-5</v>
      </c>
    </row>
    <row r="8360" spans="1:6" x14ac:dyDescent="0.25">
      <c r="A8360" s="2" t="str">
        <f t="shared" si="313"/>
        <v>38900</v>
      </c>
      <c r="B8360" s="2" t="str">
        <f>"97236"</f>
        <v>97236</v>
      </c>
      <c r="C8360" s="1">
        <v>1.26561521459635E-2</v>
      </c>
      <c r="D8360" s="1">
        <v>4.4924196045950503E-3</v>
      </c>
      <c r="E8360" s="1">
        <v>1.5854245169566201E-2</v>
      </c>
      <c r="F8360" s="1">
        <v>1.20846291166136E-2</v>
      </c>
    </row>
    <row r="8361" spans="1:6" x14ac:dyDescent="0.25">
      <c r="A8361" s="2" t="str">
        <f t="shared" ref="A8361:A8392" si="314">"38900"</f>
        <v>38900</v>
      </c>
      <c r="B8361" s="2" t="str">
        <f>"97231"</f>
        <v>97231</v>
      </c>
      <c r="C8361" s="1">
        <v>2.0340556033347302E-3</v>
      </c>
      <c r="D8361" s="1">
        <v>9.3629586949476001E-4</v>
      </c>
      <c r="E8361" s="1">
        <v>6.2134209893369597E-4</v>
      </c>
      <c r="F8361" s="1">
        <v>1.8868848120687199E-3</v>
      </c>
    </row>
    <row r="8362" spans="1:6" x14ac:dyDescent="0.25">
      <c r="A8362" s="2" t="str">
        <f t="shared" si="314"/>
        <v>38900</v>
      </c>
      <c r="B8362" s="2" t="str">
        <f>"97218"</f>
        <v>97218</v>
      </c>
      <c r="C8362" s="1">
        <v>5.8300290105872E-3</v>
      </c>
      <c r="D8362" s="1">
        <v>7.7514494580287301E-3</v>
      </c>
      <c r="E8362" s="1">
        <v>7.3959753066623899E-3</v>
      </c>
      <c r="F8362" s="1">
        <v>6.0530224575240498E-3</v>
      </c>
    </row>
    <row r="8363" spans="1:6" x14ac:dyDescent="0.25">
      <c r="A8363" s="2" t="str">
        <f t="shared" si="314"/>
        <v>38900</v>
      </c>
      <c r="B8363" s="2" t="str">
        <f>"97125"</f>
        <v>97125</v>
      </c>
      <c r="C8363" s="1">
        <v>7.5012342146992697E-5</v>
      </c>
      <c r="D8363" s="1">
        <v>0</v>
      </c>
      <c r="E8363" s="1">
        <v>2.00432935139902E-5</v>
      </c>
      <c r="F8363" s="1">
        <v>6.6541945135783803E-5</v>
      </c>
    </row>
    <row r="8364" spans="1:6" x14ac:dyDescent="0.25">
      <c r="A8364" s="2" t="str">
        <f t="shared" si="314"/>
        <v>38900</v>
      </c>
      <c r="B8364" s="2" t="str">
        <f>"97116"</f>
        <v>97116</v>
      </c>
      <c r="C8364" s="1">
        <v>1.0110965932185301E-2</v>
      </c>
      <c r="D8364" s="1">
        <v>7.8414779070186107E-3</v>
      </c>
      <c r="E8364" s="1">
        <v>1.2507015152729801E-2</v>
      </c>
      <c r="F8364" s="1">
        <v>1.0009591218298799E-2</v>
      </c>
    </row>
    <row r="8365" spans="1:6" x14ac:dyDescent="0.25">
      <c r="A8365" s="2" t="str">
        <f t="shared" si="314"/>
        <v>38900</v>
      </c>
      <c r="B8365" s="2" t="str">
        <f>"97115"</f>
        <v>97115</v>
      </c>
      <c r="C8365" s="1">
        <v>2.06807282826185E-3</v>
      </c>
      <c r="D8365" s="1">
        <v>1.4584608736360599E-3</v>
      </c>
      <c r="E8365" s="1">
        <v>3.6077928325182302E-4</v>
      </c>
      <c r="F8365" s="1">
        <v>1.95113220737223E-3</v>
      </c>
    </row>
    <row r="8366" spans="1:6" x14ac:dyDescent="0.25">
      <c r="A8366" s="2" t="str">
        <f t="shared" si="314"/>
        <v>38900</v>
      </c>
      <c r="B8366" s="2" t="str">
        <f>"97114"</f>
        <v>97114</v>
      </c>
      <c r="C8366" s="1">
        <v>2.23641447982429E-3</v>
      </c>
      <c r="D8366" s="1">
        <v>1.63851777161583E-3</v>
      </c>
      <c r="E8366" s="1">
        <v>2.6056281568187203E-4</v>
      </c>
      <c r="F8366" s="1">
        <v>2.1102209957428401E-3</v>
      </c>
    </row>
    <row r="8367" spans="1:6" x14ac:dyDescent="0.25">
      <c r="A8367" s="2" t="str">
        <f t="shared" si="314"/>
        <v>38900</v>
      </c>
      <c r="B8367" s="2" t="str">
        <f>"97111"</f>
        <v>97111</v>
      </c>
      <c r="C8367" s="1">
        <v>1.8892643382603001E-3</v>
      </c>
      <c r="D8367" s="1">
        <v>1.0533328531815999E-3</v>
      </c>
      <c r="E8367" s="1">
        <v>6.0129880541970603E-5</v>
      </c>
      <c r="F8367" s="1">
        <v>1.7484469721885201E-3</v>
      </c>
    </row>
    <row r="8368" spans="1:6" x14ac:dyDescent="0.25">
      <c r="A8368" s="2" t="str">
        <f t="shared" si="314"/>
        <v>38900</v>
      </c>
      <c r="B8368" s="2" t="str">
        <f>"97123"</f>
        <v>97123</v>
      </c>
      <c r="C8368" s="1">
        <v>1.7704657219763401E-2</v>
      </c>
      <c r="D8368" s="1">
        <v>2.20659728474197E-2</v>
      </c>
      <c r="E8368" s="1">
        <v>1.4431171330072899E-2</v>
      </c>
      <c r="F8368" s="1">
        <v>1.7950263337835701E-2</v>
      </c>
    </row>
    <row r="8369" spans="1:6" x14ac:dyDescent="0.25">
      <c r="A8369" s="2" t="str">
        <f t="shared" si="314"/>
        <v>38900</v>
      </c>
      <c r="B8369" s="2" t="str">
        <f>"97211"</f>
        <v>97211</v>
      </c>
      <c r="C8369" s="1">
        <v>1.3225722604358701E-2</v>
      </c>
      <c r="D8369" s="1">
        <v>1.3540278728078E-2</v>
      </c>
      <c r="E8369" s="1">
        <v>1.5653812234426301E-2</v>
      </c>
      <c r="F8369" s="1">
        <v>1.3345101824473E-2</v>
      </c>
    </row>
    <row r="8370" spans="1:6" x14ac:dyDescent="0.25">
      <c r="A8370" s="2" t="str">
        <f t="shared" si="314"/>
        <v>38900</v>
      </c>
      <c r="B8370" s="2" t="str">
        <f>"97079"</f>
        <v>97079</v>
      </c>
      <c r="C8370" s="1">
        <v>0</v>
      </c>
      <c r="D8370" s="1">
        <v>4.5014224494940398E-5</v>
      </c>
      <c r="E8370" s="1">
        <v>0</v>
      </c>
      <c r="F8370" s="1">
        <v>3.8242497204473398E-6</v>
      </c>
    </row>
    <row r="8371" spans="1:6" x14ac:dyDescent="0.25">
      <c r="A8371" s="2" t="str">
        <f t="shared" si="314"/>
        <v>38900</v>
      </c>
      <c r="B8371" s="2" t="str">
        <f>"97201"</f>
        <v>97201</v>
      </c>
      <c r="C8371" s="1">
        <v>1.0524406050530399E-2</v>
      </c>
      <c r="D8371" s="1">
        <v>1.1010479311462399E-2</v>
      </c>
      <c r="E8371" s="1">
        <v>1.06229455624148E-2</v>
      </c>
      <c r="F8371" s="1">
        <v>1.0569461377372301E-2</v>
      </c>
    </row>
    <row r="8372" spans="1:6" x14ac:dyDescent="0.25">
      <c r="A8372" s="2" t="str">
        <f t="shared" si="314"/>
        <v>38900</v>
      </c>
      <c r="B8372" s="2" t="str">
        <f>"97005"</f>
        <v>97005</v>
      </c>
      <c r="C8372" s="1">
        <v>1.03220471740408E-2</v>
      </c>
      <c r="D8372" s="1">
        <v>2.1183694047318902E-2</v>
      </c>
      <c r="E8372" s="1">
        <v>1.9041128838290702E-2</v>
      </c>
      <c r="F8372" s="1">
        <v>1.1577533603682201E-2</v>
      </c>
    </row>
    <row r="8373" spans="1:6" x14ac:dyDescent="0.25">
      <c r="A8373" s="2" t="str">
        <f t="shared" si="314"/>
        <v>38900</v>
      </c>
      <c r="B8373" s="2" t="str">
        <f>"97018"</f>
        <v>97018</v>
      </c>
      <c r="C8373" s="1">
        <v>1.14350209947334E-3</v>
      </c>
      <c r="D8373" s="1">
        <v>2.3407396737369E-4</v>
      </c>
      <c r="E8373" s="1">
        <v>1.00216467569951E-4</v>
      </c>
      <c r="F8373" s="1">
        <v>1.02642862496806E-3</v>
      </c>
    </row>
    <row r="8374" spans="1:6" x14ac:dyDescent="0.25">
      <c r="A8374" s="2" t="str">
        <f t="shared" si="314"/>
        <v>38900</v>
      </c>
      <c r="B8374" s="2" t="str">
        <f>"97036"</f>
        <v>97036</v>
      </c>
      <c r="C8374" s="1">
        <v>2.1980360722142001E-4</v>
      </c>
      <c r="D8374" s="1">
        <v>1.0713385429795799E-3</v>
      </c>
      <c r="E8374" s="1">
        <v>4.00865870279804E-5</v>
      </c>
      <c r="F8374" s="1">
        <v>2.85289029145371E-4</v>
      </c>
    </row>
    <row r="8375" spans="1:6" x14ac:dyDescent="0.25">
      <c r="A8375" s="2" t="str">
        <f t="shared" si="314"/>
        <v>38900</v>
      </c>
      <c r="B8375" s="2" t="str">
        <f>"97008"</f>
        <v>97008</v>
      </c>
      <c r="C8375" s="1">
        <v>1.1079148487803499E-2</v>
      </c>
      <c r="D8375" s="1">
        <v>8.6967481724224797E-3</v>
      </c>
      <c r="E8375" s="1">
        <v>1.87605227290948E-2</v>
      </c>
      <c r="F8375" s="1">
        <v>1.11698685834826E-2</v>
      </c>
    </row>
    <row r="8376" spans="1:6" x14ac:dyDescent="0.25">
      <c r="A8376" s="2" t="str">
        <f t="shared" si="314"/>
        <v>38900</v>
      </c>
      <c r="B8376" s="2" t="str">
        <f>"98663"</f>
        <v>98663</v>
      </c>
      <c r="C8376" s="1">
        <v>6.0367490697597302E-3</v>
      </c>
      <c r="D8376" s="1">
        <v>5.3296841802009396E-3</v>
      </c>
      <c r="E8376" s="1">
        <v>8.7589192656137207E-3</v>
      </c>
      <c r="F8376" s="1">
        <v>6.0805570555112704E-3</v>
      </c>
    </row>
    <row r="8377" spans="1:6" x14ac:dyDescent="0.25">
      <c r="A8377" s="2" t="str">
        <f t="shared" si="314"/>
        <v>38900</v>
      </c>
      <c r="B8377" s="2" t="str">
        <f>"98651"</f>
        <v>98651</v>
      </c>
      <c r="C8377" s="1">
        <v>3.3493883005168798E-4</v>
      </c>
      <c r="D8377" s="1">
        <v>8.1025604090892696E-5</v>
      </c>
      <c r="E8377" s="1">
        <v>2.00432935139902E-5</v>
      </c>
      <c r="F8377" s="1">
        <v>3.0135087797124999E-4</v>
      </c>
    </row>
    <row r="8378" spans="1:6" x14ac:dyDescent="0.25">
      <c r="A8378" s="2" t="str">
        <f t="shared" si="314"/>
        <v>38900</v>
      </c>
      <c r="B8378" s="2" t="str">
        <f>"98662"</f>
        <v>98662</v>
      </c>
      <c r="C8378" s="1">
        <v>1.3107970671918601E-2</v>
      </c>
      <c r="D8378" s="1">
        <v>1.1559652850300599E-2</v>
      </c>
      <c r="E8378" s="1">
        <v>1.16251102381143E-2</v>
      </c>
      <c r="F8378" s="1">
        <v>1.29198452555593E-2</v>
      </c>
    </row>
    <row r="8379" spans="1:6" x14ac:dyDescent="0.25">
      <c r="A8379" s="2" t="str">
        <f t="shared" si="314"/>
        <v>38900</v>
      </c>
      <c r="B8379" s="2" t="str">
        <f>"98642"</f>
        <v>98642</v>
      </c>
      <c r="C8379" s="1">
        <v>9.5989630852052893E-3</v>
      </c>
      <c r="D8379" s="1">
        <v>3.5921351146962401E-3</v>
      </c>
      <c r="E8379" s="1">
        <v>1.6435500681471901E-3</v>
      </c>
      <c r="F8379" s="1">
        <v>8.7850664578116404E-3</v>
      </c>
    </row>
    <row r="8380" spans="1:6" x14ac:dyDescent="0.25">
      <c r="A8380" s="2" t="str">
        <f t="shared" si="314"/>
        <v>38900</v>
      </c>
      <c r="B8380" s="2" t="str">
        <f>"97378"</f>
        <v>97378</v>
      </c>
      <c r="C8380" s="1">
        <v>2.1064512358719401E-3</v>
      </c>
      <c r="D8380" s="1">
        <v>1.2243869062623701E-3</v>
      </c>
      <c r="E8380" s="1">
        <v>4.4095245730778402E-4</v>
      </c>
      <c r="F8380" s="1">
        <v>1.9679589061422E-3</v>
      </c>
    </row>
    <row r="8381" spans="1:6" x14ac:dyDescent="0.25">
      <c r="A8381" s="2" t="str">
        <f t="shared" si="314"/>
        <v>38900</v>
      </c>
      <c r="B8381" s="2" t="str">
        <f>"97290"</f>
        <v>97290</v>
      </c>
      <c r="C8381" s="1">
        <v>9.1061494420302796E-4</v>
      </c>
      <c r="D8381" s="1">
        <v>3.2500270085346898E-3</v>
      </c>
      <c r="E8381" s="1">
        <v>2.00432935139902E-5</v>
      </c>
      <c r="F8381" s="1">
        <v>1.0753790213897899E-3</v>
      </c>
    </row>
    <row r="8382" spans="1:6" x14ac:dyDescent="0.25">
      <c r="A8382" s="2" t="str">
        <f t="shared" si="314"/>
        <v>38900</v>
      </c>
      <c r="B8382" s="2" t="str">
        <f>"97304"</f>
        <v>97304</v>
      </c>
      <c r="C8382" s="1">
        <v>1.08157330537524E-4</v>
      </c>
      <c r="D8382" s="1">
        <v>3.6011379595952298E-5</v>
      </c>
      <c r="E8382" s="1">
        <v>0</v>
      </c>
      <c r="F8382" s="1">
        <v>9.7900792843452005E-5</v>
      </c>
    </row>
    <row r="8383" spans="1:6" x14ac:dyDescent="0.25">
      <c r="A8383" s="2" t="str">
        <f t="shared" si="314"/>
        <v>38900</v>
      </c>
      <c r="B8383" s="2" t="str">
        <f>"97232"</f>
        <v>97232</v>
      </c>
      <c r="C8383" s="1">
        <v>8.2592077649985395E-3</v>
      </c>
      <c r="D8383" s="1">
        <v>1.8896971442975901E-2</v>
      </c>
      <c r="E8383" s="1">
        <v>1.5693898821454302E-2</v>
      </c>
      <c r="F8383" s="1">
        <v>9.4466616594490304E-3</v>
      </c>
    </row>
    <row r="8384" spans="1:6" x14ac:dyDescent="0.25">
      <c r="A8384" s="2" t="str">
        <f t="shared" si="314"/>
        <v>38900</v>
      </c>
      <c r="B8384" s="2" t="str">
        <f>"97230"</f>
        <v>97230</v>
      </c>
      <c r="C8384" s="1">
        <v>1.47765591664209E-2</v>
      </c>
      <c r="D8384" s="1">
        <v>1.2739025532068101E-2</v>
      </c>
      <c r="E8384" s="1">
        <v>1.5533552473342401E-2</v>
      </c>
      <c r="F8384" s="1">
        <v>1.46323442803756E-2</v>
      </c>
    </row>
    <row r="8385" spans="1:6" x14ac:dyDescent="0.25">
      <c r="A8385" s="2" t="str">
        <f t="shared" si="314"/>
        <v>38900</v>
      </c>
      <c r="B8385" s="2" t="str">
        <f>"97124"</f>
        <v>97124</v>
      </c>
      <c r="C8385" s="1">
        <v>2.0688578411447899E-2</v>
      </c>
      <c r="D8385" s="1">
        <v>2.4577766574237402E-2</v>
      </c>
      <c r="E8385" s="1">
        <v>2.81407840936422E-2</v>
      </c>
      <c r="F8385" s="1">
        <v>2.1303365492723901E-2</v>
      </c>
    </row>
    <row r="8386" spans="1:6" x14ac:dyDescent="0.25">
      <c r="A8386" s="2" t="str">
        <f t="shared" si="314"/>
        <v>38900</v>
      </c>
      <c r="B8386" s="2" t="str">
        <f>"97213"</f>
        <v>97213</v>
      </c>
      <c r="C8386" s="1">
        <v>1.29832408471859E-2</v>
      </c>
      <c r="D8386" s="1">
        <v>1.26039828585833E-2</v>
      </c>
      <c r="E8386" s="1">
        <v>1.49923835484646E-2</v>
      </c>
      <c r="F8386" s="1">
        <v>1.3027689097675901E-2</v>
      </c>
    </row>
    <row r="8387" spans="1:6" x14ac:dyDescent="0.25">
      <c r="A8387" s="2" t="str">
        <f t="shared" si="314"/>
        <v>38900</v>
      </c>
      <c r="B8387" s="2" t="str">
        <f>"97202"</f>
        <v>97202</v>
      </c>
      <c r="C8387" s="1">
        <v>1.7836364936789001E-2</v>
      </c>
      <c r="D8387" s="1">
        <v>1.82937808347437E-2</v>
      </c>
      <c r="E8387" s="1">
        <v>3.5456586226248601E-2</v>
      </c>
      <c r="F8387" s="1">
        <v>1.8547611144169598E-2</v>
      </c>
    </row>
    <row r="8388" spans="1:6" x14ac:dyDescent="0.25">
      <c r="A8388" s="2" t="str">
        <f t="shared" si="314"/>
        <v>38900</v>
      </c>
      <c r="B8388" s="2" t="str">
        <f>"97210"</f>
        <v>97210</v>
      </c>
      <c r="C8388" s="1">
        <v>7.26660258635577E-3</v>
      </c>
      <c r="D8388" s="1">
        <v>1.4908711152724199E-2</v>
      </c>
      <c r="E8388" s="1">
        <v>1.7377535476629499E-2</v>
      </c>
      <c r="F8388" s="1">
        <v>8.3016812931470899E-3</v>
      </c>
    </row>
    <row r="8389" spans="1:6" x14ac:dyDescent="0.25">
      <c r="A8389" s="2" t="str">
        <f t="shared" si="314"/>
        <v>38900</v>
      </c>
      <c r="B8389" s="2" t="str">
        <f>"97206"</f>
        <v>97206</v>
      </c>
      <c r="C8389" s="1">
        <v>1.9296488899045498E-2</v>
      </c>
      <c r="D8389" s="1">
        <v>9.2909359357556901E-3</v>
      </c>
      <c r="E8389" s="1">
        <v>1.52128597771185E-2</v>
      </c>
      <c r="F8389" s="1">
        <v>1.8290621562955502E-2</v>
      </c>
    </row>
    <row r="8390" spans="1:6" x14ac:dyDescent="0.25">
      <c r="A8390" s="2" t="str">
        <f t="shared" si="314"/>
        <v>38900</v>
      </c>
      <c r="B8390" s="2" t="str">
        <f>"97101"</f>
        <v>97101</v>
      </c>
      <c r="C8390" s="1">
        <v>1.85960829601614E-3</v>
      </c>
      <c r="D8390" s="1">
        <v>7.6524181641398595E-4</v>
      </c>
      <c r="E8390" s="1">
        <v>2.0043293513990199E-4</v>
      </c>
      <c r="F8390" s="1">
        <v>1.7033208254872399E-3</v>
      </c>
    </row>
    <row r="8391" spans="1:6" x14ac:dyDescent="0.25">
      <c r="A8391" s="2" t="str">
        <f t="shared" si="314"/>
        <v>38900</v>
      </c>
      <c r="B8391" s="2" t="str">
        <f>"97144"</f>
        <v>97144</v>
      </c>
      <c r="C8391" s="1">
        <v>6.9778922927435101E-5</v>
      </c>
      <c r="D8391" s="1">
        <v>3.6011379595952298E-5</v>
      </c>
      <c r="E8391" s="1">
        <v>0</v>
      </c>
      <c r="F8391" s="1">
        <v>6.4247395303515395E-5</v>
      </c>
    </row>
    <row r="8392" spans="1:6" x14ac:dyDescent="0.25">
      <c r="A8392" s="2" t="str">
        <f t="shared" si="314"/>
        <v>38900</v>
      </c>
      <c r="B8392" s="2" t="str">
        <f>"97078"</f>
        <v>97078</v>
      </c>
      <c r="C8392" s="1">
        <v>7.9033352580686195E-3</v>
      </c>
      <c r="D8392" s="1">
        <v>2.1516799308581502E-3</v>
      </c>
      <c r="E8392" s="1">
        <v>8.7789625591277107E-3</v>
      </c>
      <c r="F8392" s="1">
        <v>7.4481087555432401E-3</v>
      </c>
    </row>
    <row r="8393" spans="1:6" x14ac:dyDescent="0.25">
      <c r="A8393" s="2" t="str">
        <f t="shared" ref="A8393:A8424" si="315">"38900"</f>
        <v>38900</v>
      </c>
      <c r="B8393" s="2" t="str">
        <f>"97002"</f>
        <v>97002</v>
      </c>
      <c r="C8393" s="1">
        <v>4.7798562205293E-4</v>
      </c>
      <c r="D8393" s="1">
        <v>3.6911664085851101E-4</v>
      </c>
      <c r="E8393" s="1">
        <v>8.0173174055960799E-5</v>
      </c>
      <c r="F8393" s="1">
        <v>4.5355601684505501E-4</v>
      </c>
    </row>
    <row r="8394" spans="1:6" x14ac:dyDescent="0.25">
      <c r="A8394" s="2" t="str">
        <f t="shared" si="315"/>
        <v>38900</v>
      </c>
      <c r="B8394" s="2" t="str">
        <f>"97055"</f>
        <v>97055</v>
      </c>
      <c r="C8394" s="1">
        <v>8.4449941472928298E-3</v>
      </c>
      <c r="D8394" s="1">
        <v>6.5810796211602804E-3</v>
      </c>
      <c r="E8394" s="1">
        <v>4.0487452898260202E-3</v>
      </c>
      <c r="F8394" s="1">
        <v>8.1188821565097106E-3</v>
      </c>
    </row>
    <row r="8395" spans="1:6" x14ac:dyDescent="0.25">
      <c r="A8395" s="2" t="str">
        <f t="shared" si="315"/>
        <v>38900</v>
      </c>
      <c r="B8395" s="2" t="str">
        <f>"97053"</f>
        <v>97053</v>
      </c>
      <c r="C8395" s="1">
        <v>1.23247022620582E-3</v>
      </c>
      <c r="D8395" s="1">
        <v>2.6108250207065398E-4</v>
      </c>
      <c r="E8395" s="1">
        <v>3.2069269622384298E-4</v>
      </c>
      <c r="F8395" s="1">
        <v>1.11515121848244E-3</v>
      </c>
    </row>
    <row r="8396" spans="1:6" x14ac:dyDescent="0.25">
      <c r="A8396" s="2" t="str">
        <f t="shared" si="315"/>
        <v>38900</v>
      </c>
      <c r="B8396" s="2" t="str">
        <f>"97051"</f>
        <v>97051</v>
      </c>
      <c r="C8396" s="1">
        <v>7.1113444828422301E-3</v>
      </c>
      <c r="D8396" s="1">
        <v>6.9952104865137303E-3</v>
      </c>
      <c r="E8396" s="1">
        <v>8.1375771666800205E-3</v>
      </c>
      <c r="F8396" s="1">
        <v>7.1406390780192801E-3</v>
      </c>
    </row>
    <row r="8397" spans="1:6" x14ac:dyDescent="0.25">
      <c r="A8397" s="2" t="str">
        <f t="shared" si="315"/>
        <v>38900</v>
      </c>
      <c r="B8397" s="2" t="str">
        <f>"97060"</f>
        <v>97060</v>
      </c>
      <c r="C8397" s="1">
        <v>7.1357671058668304E-3</v>
      </c>
      <c r="D8397" s="1">
        <v>7.9044978213115309E-3</v>
      </c>
      <c r="E8397" s="1">
        <v>4.3093081055078902E-3</v>
      </c>
      <c r="F8397" s="1">
        <v>7.0932183814857303E-3</v>
      </c>
    </row>
    <row r="8398" spans="1:6" x14ac:dyDescent="0.25">
      <c r="A8398" s="2" t="str">
        <f t="shared" si="315"/>
        <v>38900</v>
      </c>
      <c r="B8398" s="2" t="str">
        <f>"97017"</f>
        <v>97017</v>
      </c>
      <c r="C8398" s="1">
        <v>1.0283668766430699E-3</v>
      </c>
      <c r="D8398" s="1">
        <v>2.1606827757571299E-4</v>
      </c>
      <c r="E8398" s="1">
        <v>2.00432935139902E-5</v>
      </c>
      <c r="F8398" s="1">
        <v>9.2087933268371997E-4</v>
      </c>
    </row>
    <row r="8399" spans="1:6" x14ac:dyDescent="0.25">
      <c r="A8399" s="2" t="str">
        <f t="shared" si="315"/>
        <v>38900</v>
      </c>
      <c r="B8399" s="2" t="str">
        <f>"97016"</f>
        <v>97016</v>
      </c>
      <c r="C8399" s="1">
        <v>2.1361072781161E-3</v>
      </c>
      <c r="D8399" s="1">
        <v>2.7908819186863001E-4</v>
      </c>
      <c r="E8399" s="1">
        <v>8.0173174055960797E-4</v>
      </c>
      <c r="F8399" s="1">
        <v>1.9274218591054601E-3</v>
      </c>
    </row>
    <row r="8400" spans="1:6" x14ac:dyDescent="0.25">
      <c r="A8400" s="2" t="str">
        <f t="shared" si="315"/>
        <v>38900</v>
      </c>
      <c r="B8400" s="2" t="str">
        <f>"98672"</f>
        <v>98672</v>
      </c>
      <c r="C8400" s="1">
        <v>5.14619556589834E-5</v>
      </c>
      <c r="D8400" s="1">
        <v>0</v>
      </c>
      <c r="E8400" s="1">
        <v>0</v>
      </c>
      <c r="F8400" s="1">
        <v>4.5126146701278602E-5</v>
      </c>
    </row>
    <row r="8401" spans="1:6" x14ac:dyDescent="0.25">
      <c r="A8401" s="2" t="str">
        <f t="shared" si="315"/>
        <v>38900</v>
      </c>
      <c r="B8401" s="2" t="str">
        <f>"98675"</f>
        <v>98675</v>
      </c>
      <c r="C8401" s="1">
        <v>2.6350265770472602E-3</v>
      </c>
      <c r="D8401" s="1">
        <v>1.25139544095934E-3</v>
      </c>
      <c r="E8401" s="1">
        <v>4.4095245730778402E-4</v>
      </c>
      <c r="F8401" s="1">
        <v>2.4337525220926898E-3</v>
      </c>
    </row>
    <row r="8402" spans="1:6" x14ac:dyDescent="0.25">
      <c r="A8402" s="2" t="str">
        <f t="shared" si="315"/>
        <v>38900</v>
      </c>
      <c r="B8402" s="2" t="str">
        <f>"98684"</f>
        <v>98684</v>
      </c>
      <c r="C8402" s="1">
        <v>1.289514495699E-2</v>
      </c>
      <c r="D8402" s="1">
        <v>1.03262630991393E-2</v>
      </c>
      <c r="E8402" s="1">
        <v>1.0542772388358801E-2</v>
      </c>
      <c r="F8402" s="1">
        <v>1.25871355298803E-2</v>
      </c>
    </row>
    <row r="8403" spans="1:6" x14ac:dyDescent="0.25">
      <c r="A8403" s="2" t="str">
        <f t="shared" si="315"/>
        <v>38900</v>
      </c>
      <c r="B8403" s="2" t="str">
        <f>"98665"</f>
        <v>98665</v>
      </c>
      <c r="C8403" s="1">
        <v>1.1763854169028899E-2</v>
      </c>
      <c r="D8403" s="1">
        <v>1.2243869062623701E-2</v>
      </c>
      <c r="E8403" s="1">
        <v>1.1264330954862499E-2</v>
      </c>
      <c r="F8403" s="1">
        <v>1.1785572788474599E-2</v>
      </c>
    </row>
    <row r="8404" spans="1:6" x14ac:dyDescent="0.25">
      <c r="A8404" s="2" t="str">
        <f t="shared" si="315"/>
        <v>38900</v>
      </c>
      <c r="B8404" s="2" t="str">
        <f>"98622"</f>
        <v>98622</v>
      </c>
      <c r="C8404" s="1">
        <v>9.4201545952037405E-5</v>
      </c>
      <c r="D8404" s="1">
        <v>1.8005689797976102E-5</v>
      </c>
      <c r="E8404" s="1">
        <v>6.0129880541970603E-5</v>
      </c>
      <c r="F8404" s="1">
        <v>8.6428043682110006E-5</v>
      </c>
    </row>
    <row r="8405" spans="1:6" x14ac:dyDescent="0.25">
      <c r="A8405" s="2" t="str">
        <f t="shared" si="315"/>
        <v>38900</v>
      </c>
      <c r="B8405" s="2" t="str">
        <f>"98629"</f>
        <v>98629</v>
      </c>
      <c r="C8405" s="1">
        <v>4.16318498915809E-3</v>
      </c>
      <c r="D8405" s="1">
        <v>1.23338975116136E-3</v>
      </c>
      <c r="E8405" s="1">
        <v>4.6099575082177499E-4</v>
      </c>
      <c r="F8405" s="1">
        <v>3.77300477419335E-3</v>
      </c>
    </row>
    <row r="8406" spans="1:6" x14ac:dyDescent="0.25">
      <c r="A8406" s="2" t="str">
        <f t="shared" si="315"/>
        <v>38900</v>
      </c>
      <c r="B8406" s="2" t="str">
        <f>"97347"</f>
        <v>97347</v>
      </c>
      <c r="C8406" s="1">
        <v>2.0061440341637599E-4</v>
      </c>
      <c r="D8406" s="1">
        <v>1.8005689797976102E-5</v>
      </c>
      <c r="E8406" s="1">
        <v>0</v>
      </c>
      <c r="F8406" s="1">
        <v>1.7744518702875599E-4</v>
      </c>
    </row>
    <row r="8407" spans="1:6" x14ac:dyDescent="0.25">
      <c r="A8407" s="2" t="str">
        <f t="shared" si="315"/>
        <v>38900</v>
      </c>
      <c r="B8407" s="2" t="str">
        <f>"97225"</f>
        <v>97225</v>
      </c>
      <c r="C8407" s="1">
        <v>1.09212736746801E-2</v>
      </c>
      <c r="D8407" s="1">
        <v>1.02182289603514E-2</v>
      </c>
      <c r="E8407" s="1">
        <v>2.2929527780004798E-2</v>
      </c>
      <c r="F8407" s="1">
        <v>1.1319779172524099E-2</v>
      </c>
    </row>
    <row r="8408" spans="1:6" x14ac:dyDescent="0.25">
      <c r="A8408" s="2" t="str">
        <f t="shared" si="315"/>
        <v>38900</v>
      </c>
      <c r="B8408" s="2" t="str">
        <f>"97296"</f>
        <v>97296</v>
      </c>
      <c r="C8408" s="1">
        <v>5.2246968541917E-4</v>
      </c>
      <c r="D8408" s="1">
        <v>2.7908819186863E-3</v>
      </c>
      <c r="E8408" s="1">
        <v>2.00432935139902E-5</v>
      </c>
      <c r="F8408" s="1">
        <v>6.9601344912141605E-4</v>
      </c>
    </row>
    <row r="8409" spans="1:6" x14ac:dyDescent="0.25">
      <c r="A8409" s="2" t="str">
        <f t="shared" si="315"/>
        <v>38900</v>
      </c>
      <c r="B8409" s="2" t="str">
        <f>"97281"</f>
        <v>97281</v>
      </c>
      <c r="C8409" s="1">
        <v>6.7249436971315597E-4</v>
      </c>
      <c r="D8409" s="1">
        <v>6.43703410277647E-3</v>
      </c>
      <c r="E8409" s="1">
        <v>2.00432935139902E-5</v>
      </c>
      <c r="F8409" s="1">
        <v>1.1373318668610401E-3</v>
      </c>
    </row>
    <row r="8410" spans="1:6" x14ac:dyDescent="0.25">
      <c r="A8410" s="2" t="str">
        <f t="shared" si="315"/>
        <v>38900</v>
      </c>
      <c r="B8410" s="2" t="str">
        <f>"97268"</f>
        <v>97268</v>
      </c>
      <c r="C8410" s="1">
        <v>6.5592187551789002E-4</v>
      </c>
      <c r="D8410" s="1">
        <v>2.64683640030249E-3</v>
      </c>
      <c r="E8410" s="1">
        <v>2.00432935139902E-5</v>
      </c>
      <c r="F8410" s="1">
        <v>8.0079789146167402E-4</v>
      </c>
    </row>
    <row r="8411" spans="1:6" x14ac:dyDescent="0.25">
      <c r="A8411" s="2" t="str">
        <f t="shared" si="315"/>
        <v>38900</v>
      </c>
      <c r="B8411" s="2" t="str">
        <f>"97293"</f>
        <v>97293</v>
      </c>
      <c r="C8411" s="1">
        <v>3.8988973185704299E-4</v>
      </c>
      <c r="D8411" s="1">
        <v>4.1052972739385601E-3</v>
      </c>
      <c r="E8411" s="1">
        <v>2.00432935139902E-5</v>
      </c>
      <c r="F8411" s="1">
        <v>6.9142434945688004E-4</v>
      </c>
    </row>
    <row r="8412" spans="1:6" x14ac:dyDescent="0.25">
      <c r="A8412" s="2" t="str">
        <f t="shared" si="315"/>
        <v>38900</v>
      </c>
      <c r="B8412" s="2" t="str">
        <f>"97292"</f>
        <v>97292</v>
      </c>
      <c r="C8412" s="1">
        <v>9.0276481537369198E-4</v>
      </c>
      <c r="D8412" s="1">
        <v>4.5914508984839196E-3</v>
      </c>
      <c r="E8412" s="1">
        <v>2.00432935139902E-5</v>
      </c>
      <c r="F8412" s="1">
        <v>1.1824580135623101E-3</v>
      </c>
    </row>
    <row r="8413" spans="1:6" x14ac:dyDescent="0.25">
      <c r="A8413" s="2" t="str">
        <f t="shared" si="315"/>
        <v>38900</v>
      </c>
      <c r="B8413" s="2" t="str">
        <f>"97267"</f>
        <v>97267</v>
      </c>
      <c r="C8413" s="1">
        <v>1.1741176019077501E-2</v>
      </c>
      <c r="D8413" s="1">
        <v>5.9238719435341499E-3</v>
      </c>
      <c r="E8413" s="1">
        <v>6.2735508698789303E-3</v>
      </c>
      <c r="F8413" s="1">
        <v>1.1038314393099199E-2</v>
      </c>
    </row>
    <row r="8414" spans="1:6" x14ac:dyDescent="0.25">
      <c r="A8414" s="2" t="str">
        <f t="shared" si="315"/>
        <v>38900</v>
      </c>
      <c r="B8414" s="2" t="str">
        <f>"97266"</f>
        <v>97266</v>
      </c>
      <c r="C8414" s="1">
        <v>1.20420976242021E-2</v>
      </c>
      <c r="D8414" s="1">
        <v>9.1198818826749208E-3</v>
      </c>
      <c r="E8414" s="1">
        <v>1.8319570271786999E-2</v>
      </c>
      <c r="F8414" s="1">
        <v>1.2033384170359601E-2</v>
      </c>
    </row>
    <row r="8415" spans="1:6" x14ac:dyDescent="0.25">
      <c r="A8415" s="2" t="str">
        <f t="shared" si="315"/>
        <v>38900</v>
      </c>
      <c r="B8415" s="2" t="str">
        <f>"97221"</f>
        <v>97221</v>
      </c>
      <c r="C8415" s="1">
        <v>4.8339348857980701E-3</v>
      </c>
      <c r="D8415" s="1">
        <v>3.26803269833267E-3</v>
      </c>
      <c r="E8415" s="1">
        <v>3.9485288222560703E-3</v>
      </c>
      <c r="F8415" s="1">
        <v>4.66711435883394E-3</v>
      </c>
    </row>
    <row r="8416" spans="1:6" x14ac:dyDescent="0.25">
      <c r="A8416" s="2" t="str">
        <f t="shared" si="315"/>
        <v>38900</v>
      </c>
      <c r="B8416" s="2" t="str">
        <f>"97220"</f>
        <v>97220</v>
      </c>
      <c r="C8416" s="1">
        <v>1.10015194360467E-2</v>
      </c>
      <c r="D8416" s="1">
        <v>1.5322842018077701E-2</v>
      </c>
      <c r="E8416" s="1">
        <v>1.3629439589513299E-2</v>
      </c>
      <c r="F8416" s="1">
        <v>1.1468924911621501E-2</v>
      </c>
    </row>
    <row r="8417" spans="1:6" x14ac:dyDescent="0.25">
      <c r="A8417" s="2" t="str">
        <f t="shared" si="315"/>
        <v>38900</v>
      </c>
      <c r="B8417" s="2" t="str">
        <f>"97215"</f>
        <v>97215</v>
      </c>
      <c r="C8417" s="1">
        <v>7.2229907595261298E-3</v>
      </c>
      <c r="D8417" s="1">
        <v>4.1683171882314803E-3</v>
      </c>
      <c r="E8417" s="1">
        <v>9.7009540607712608E-3</v>
      </c>
      <c r="F8417" s="1">
        <v>7.0580352840576201E-3</v>
      </c>
    </row>
    <row r="8418" spans="1:6" x14ac:dyDescent="0.25">
      <c r="A8418" s="2" t="str">
        <f t="shared" si="315"/>
        <v>38900</v>
      </c>
      <c r="B8418" s="2" t="str">
        <f>"97219"</f>
        <v>97219</v>
      </c>
      <c r="C8418" s="1">
        <v>1.5739508302819501E-2</v>
      </c>
      <c r="D8418" s="1">
        <v>1.1262558968634E-2</v>
      </c>
      <c r="E8418" s="1">
        <v>2.1125631363745598E-2</v>
      </c>
      <c r="F8418" s="1">
        <v>1.55646963622206E-2</v>
      </c>
    </row>
    <row r="8419" spans="1:6" x14ac:dyDescent="0.25">
      <c r="A8419" s="2" t="str">
        <f t="shared" si="315"/>
        <v>38900</v>
      </c>
      <c r="B8419" s="2" t="str">
        <f>"97129"</f>
        <v>97129</v>
      </c>
      <c r="C8419" s="1">
        <v>0</v>
      </c>
      <c r="D8419" s="1">
        <v>1.8005689797976102E-5</v>
      </c>
      <c r="E8419" s="1">
        <v>2.00432935139902E-5</v>
      </c>
      <c r="F8419" s="1">
        <v>2.2945498322683999E-6</v>
      </c>
    </row>
    <row r="8420" spans="1:6" x14ac:dyDescent="0.25">
      <c r="A8420" s="2" t="str">
        <f t="shared" si="315"/>
        <v>38900</v>
      </c>
      <c r="B8420" s="2" t="str">
        <f>"97127"</f>
        <v>97127</v>
      </c>
      <c r="C8420" s="1">
        <v>2.0262054745053899E-3</v>
      </c>
      <c r="D8420" s="1">
        <v>8.64273110302855E-4</v>
      </c>
      <c r="E8420" s="1">
        <v>2.2047622865389201E-4</v>
      </c>
      <c r="F8420" s="1">
        <v>1.8585853641374E-3</v>
      </c>
    </row>
    <row r="8421" spans="1:6" x14ac:dyDescent="0.25">
      <c r="A8421" s="2" t="str">
        <f t="shared" si="315"/>
        <v>38900</v>
      </c>
      <c r="B8421" s="2" t="str">
        <f>"97119"</f>
        <v>97119</v>
      </c>
      <c r="C8421" s="1">
        <v>1.51769157367171E-3</v>
      </c>
      <c r="D8421" s="1">
        <v>2.8809103676761801E-4</v>
      </c>
      <c r="E8421" s="1">
        <v>2.0043293513990199E-4</v>
      </c>
      <c r="F8421" s="1">
        <v>1.3629626003674299E-3</v>
      </c>
    </row>
    <row r="8422" spans="1:6" x14ac:dyDescent="0.25">
      <c r="A8422" s="2" t="str">
        <f t="shared" si="315"/>
        <v>38900</v>
      </c>
      <c r="B8422" s="2" t="str">
        <f>"97117"</f>
        <v>97117</v>
      </c>
      <c r="C8422" s="1">
        <v>2.36376101416686E-4</v>
      </c>
      <c r="D8422" s="1">
        <v>8.1025604090892696E-5</v>
      </c>
      <c r="E8422" s="1">
        <v>2.00432935139902E-5</v>
      </c>
      <c r="F8422" s="1">
        <v>2.1492283428914001E-4</v>
      </c>
    </row>
    <row r="8423" spans="1:6" x14ac:dyDescent="0.25">
      <c r="A8423" s="2" t="str">
        <f t="shared" si="315"/>
        <v>38900</v>
      </c>
      <c r="B8423" s="2" t="str">
        <f>"97106"</f>
        <v>97106</v>
      </c>
      <c r="C8423" s="1">
        <v>1.6572494195265801E-3</v>
      </c>
      <c r="D8423" s="1">
        <v>1.08934423277755E-3</v>
      </c>
      <c r="E8423" s="1">
        <v>1.0222079692135001E-3</v>
      </c>
      <c r="F8423" s="1">
        <v>1.58476908415337E-3</v>
      </c>
    </row>
    <row r="8424" spans="1:6" x14ac:dyDescent="0.25">
      <c r="A8424" s="2" t="str">
        <f t="shared" si="315"/>
        <v>38900</v>
      </c>
      <c r="B8424" s="2" t="str">
        <f>"97205"</f>
        <v>97205</v>
      </c>
      <c r="C8424" s="1">
        <v>5.4418837518033399E-3</v>
      </c>
      <c r="D8424" s="1">
        <v>1.89329828225719E-2</v>
      </c>
      <c r="E8424" s="1">
        <v>7.4961917742323398E-3</v>
      </c>
      <c r="F8424" s="1">
        <v>6.6664321126838101E-3</v>
      </c>
    </row>
    <row r="8425" spans="1:6" x14ac:dyDescent="0.25">
      <c r="A8425" s="2" t="str">
        <f t="shared" ref="A8425:A8431" si="316">"38900"</f>
        <v>38900</v>
      </c>
      <c r="B8425" s="2" t="str">
        <f>"97086"</f>
        <v>97086</v>
      </c>
      <c r="C8425" s="1">
        <v>1.11053155839013E-2</v>
      </c>
      <c r="D8425" s="1">
        <v>6.1849544456048103E-3</v>
      </c>
      <c r="E8425" s="1">
        <v>4.9106069109276004E-3</v>
      </c>
      <c r="F8425" s="1">
        <v>1.0450909636038499E-2</v>
      </c>
    </row>
    <row r="8426" spans="1:6" x14ac:dyDescent="0.25">
      <c r="A8426" s="2" t="str">
        <f t="shared" si="316"/>
        <v>38900</v>
      </c>
      <c r="B8426" s="2" t="str">
        <f>"97148"</f>
        <v>97148</v>
      </c>
      <c r="C8426" s="1">
        <v>1.74970649240543E-3</v>
      </c>
      <c r="D8426" s="1">
        <v>8.3726457560589097E-4</v>
      </c>
      <c r="E8426" s="1">
        <v>2.00432935139902E-5</v>
      </c>
      <c r="F8426" s="1">
        <v>1.60618488258788E-3</v>
      </c>
    </row>
    <row r="8427" spans="1:6" x14ac:dyDescent="0.25">
      <c r="A8427" s="2" t="str">
        <f t="shared" si="316"/>
        <v>38900</v>
      </c>
      <c r="B8427" s="2" t="str">
        <f>"97030"</f>
        <v>97030</v>
      </c>
      <c r="C8427" s="1">
        <v>1.7810197840691201E-2</v>
      </c>
      <c r="D8427" s="1">
        <v>2.0004321365551501E-2</v>
      </c>
      <c r="E8427" s="1">
        <v>1.09436382586386E-2</v>
      </c>
      <c r="F8427" s="1">
        <v>1.7734575653602501E-2</v>
      </c>
    </row>
    <row r="8428" spans="1:6" x14ac:dyDescent="0.25">
      <c r="A8428" s="2" t="str">
        <f t="shared" si="316"/>
        <v>38900</v>
      </c>
      <c r="B8428" s="2" t="str">
        <f>"97024"</f>
        <v>97024</v>
      </c>
      <c r="C8428" s="1">
        <v>5.7960117856600797E-3</v>
      </c>
      <c r="D8428" s="1">
        <v>4.6094565882818898E-3</v>
      </c>
      <c r="E8428" s="1">
        <v>5.4116892487773502E-3</v>
      </c>
      <c r="F8428" s="1">
        <v>5.6805405347524797E-3</v>
      </c>
    </row>
    <row r="8429" spans="1:6" x14ac:dyDescent="0.25">
      <c r="A8429" s="2" t="str">
        <f t="shared" si="316"/>
        <v>38900</v>
      </c>
      <c r="B8429" s="2" t="str">
        <f>"97023"</f>
        <v>97023</v>
      </c>
      <c r="C8429" s="1">
        <v>6.1135058849799096E-3</v>
      </c>
      <c r="D8429" s="1">
        <v>3.2590298534336802E-3</v>
      </c>
      <c r="E8429" s="1">
        <v>1.10238114326946E-3</v>
      </c>
      <c r="F8429" s="1">
        <v>5.6797756848083903E-3</v>
      </c>
    </row>
    <row r="8430" spans="1:6" x14ac:dyDescent="0.25">
      <c r="A8430" s="2" t="str">
        <f t="shared" si="316"/>
        <v>38900</v>
      </c>
      <c r="B8430" s="2" t="str">
        <f>"97034"</f>
        <v>97034</v>
      </c>
      <c r="C8430" s="1">
        <v>8.5051784683177496E-3</v>
      </c>
      <c r="D8430" s="1">
        <v>8.5707083438366499E-3</v>
      </c>
      <c r="E8430" s="1">
        <v>6.3938106309628703E-3</v>
      </c>
      <c r="F8430" s="1">
        <v>8.4301760837541193E-3</v>
      </c>
    </row>
    <row r="8431" spans="1:6" x14ac:dyDescent="0.25">
      <c r="A8431" s="2" t="str">
        <f t="shared" si="316"/>
        <v>38900</v>
      </c>
      <c r="B8431" s="2" t="str">
        <f>"97014"</f>
        <v>97014</v>
      </c>
      <c r="C8431" s="1">
        <v>2.1369795146527001E-4</v>
      </c>
      <c r="D8431" s="1">
        <v>2.07065432676725E-4</v>
      </c>
      <c r="E8431" s="1">
        <v>4.00865870279804E-5</v>
      </c>
      <c r="F8431" s="1">
        <v>2.0650948490415601E-4</v>
      </c>
    </row>
    <row r="8432" spans="1:6" x14ac:dyDescent="0.25">
      <c r="A8432" s="2" t="str">
        <f>"26220"</f>
        <v>26220</v>
      </c>
      <c r="B8432" s="2" t="str">
        <f>"97044"</f>
        <v>97044</v>
      </c>
      <c r="C8432" s="1">
        <v>7.9386080973802497E-4</v>
      </c>
      <c r="D8432" s="1">
        <v>0</v>
      </c>
      <c r="E8432" s="1">
        <v>1.1520737327188901E-2</v>
      </c>
      <c r="F8432" s="1">
        <v>1.05988341282458E-3</v>
      </c>
    </row>
    <row r="8433" spans="1:6" x14ac:dyDescent="0.25">
      <c r="A8433" s="2" t="str">
        <f>"26220"</f>
        <v>26220</v>
      </c>
      <c r="B8433" s="2" t="str">
        <f>"97041"</f>
        <v>97041</v>
      </c>
      <c r="C8433" s="1">
        <v>0.124106906589044</v>
      </c>
      <c r="D8433" s="1">
        <v>2.6425591098748199E-2</v>
      </c>
      <c r="E8433" s="1">
        <v>2.7649769585253399E-2</v>
      </c>
      <c r="F8433" s="1">
        <v>0.11030358089181599</v>
      </c>
    </row>
    <row r="8434" spans="1:6" x14ac:dyDescent="0.25">
      <c r="A8434" s="2" t="str">
        <f>"26220"</f>
        <v>26220</v>
      </c>
      <c r="B8434" s="2" t="str">
        <f>"97014"</f>
        <v>97014</v>
      </c>
      <c r="C8434" s="1">
        <v>1.3142806738996199E-2</v>
      </c>
      <c r="D8434" s="1">
        <v>9.0403337969401903E-3</v>
      </c>
      <c r="E8434" s="1">
        <v>2.3041474654377801E-2</v>
      </c>
      <c r="F8434" s="1">
        <v>1.30214247861306E-2</v>
      </c>
    </row>
    <row r="8435" spans="1:6" x14ac:dyDescent="0.25">
      <c r="A8435" s="2" t="str">
        <f>"26220"</f>
        <v>26220</v>
      </c>
      <c r="B8435" s="2" t="str">
        <f>"97031"</f>
        <v>97031</v>
      </c>
      <c r="C8435" s="1">
        <v>0.86195642586222099</v>
      </c>
      <c r="D8435" s="1">
        <v>0.964534075104311</v>
      </c>
      <c r="E8435" s="1">
        <v>0.93778801843317905</v>
      </c>
      <c r="F8435" s="1">
        <v>0.87561511090922794</v>
      </c>
    </row>
    <row r="8436" spans="1:6" x14ac:dyDescent="0.25">
      <c r="A8436" s="2" t="str">
        <f t="shared" ref="A8436:A8442" si="317">"45520"</f>
        <v>45520</v>
      </c>
      <c r="B8436" s="2" t="str">
        <f>"97001"</f>
        <v>97001</v>
      </c>
      <c r="C8436" s="1">
        <v>3.9989336177019396E-3</v>
      </c>
      <c r="D8436" s="1">
        <v>0</v>
      </c>
      <c r="E8436" s="1">
        <v>2.1141649048625698E-3</v>
      </c>
      <c r="F8436" s="1">
        <v>3.6069063386944102E-3</v>
      </c>
    </row>
    <row r="8437" spans="1:6" x14ac:dyDescent="0.25">
      <c r="A8437" s="2" t="str">
        <f t="shared" si="317"/>
        <v>45520</v>
      </c>
      <c r="B8437" s="2" t="str">
        <f>"97058"</f>
        <v>97058</v>
      </c>
      <c r="C8437" s="1">
        <v>0.73227139429485399</v>
      </c>
      <c r="D8437" s="1">
        <v>0.933101045296167</v>
      </c>
      <c r="E8437" s="1">
        <v>0.90909090909090895</v>
      </c>
      <c r="F8437" s="1">
        <v>0.75425733207190104</v>
      </c>
    </row>
    <row r="8438" spans="1:6" x14ac:dyDescent="0.25">
      <c r="A8438" s="2" t="str">
        <f t="shared" si="317"/>
        <v>45520</v>
      </c>
      <c r="B8438" s="2" t="str">
        <f>"97037"</f>
        <v>97037</v>
      </c>
      <c r="C8438" s="1">
        <v>5.1586243668355097E-2</v>
      </c>
      <c r="D8438" s="1">
        <v>1.1846689895470301E-2</v>
      </c>
      <c r="E8438" s="1">
        <v>4.2283298097251501E-3</v>
      </c>
      <c r="F8438" s="1">
        <v>4.6889782403027401E-2</v>
      </c>
    </row>
    <row r="8439" spans="1:6" x14ac:dyDescent="0.25">
      <c r="A8439" s="2" t="str">
        <f t="shared" si="317"/>
        <v>45520</v>
      </c>
      <c r="B8439" s="2" t="str">
        <f>"97021"</f>
        <v>97021</v>
      </c>
      <c r="C8439" s="1">
        <v>5.2719274860037302E-2</v>
      </c>
      <c r="D8439" s="1">
        <v>4.1811846689895401E-3</v>
      </c>
      <c r="E8439" s="1">
        <v>1.4799154334038001E-2</v>
      </c>
      <c r="F8439" s="1">
        <v>4.75402081362346E-2</v>
      </c>
    </row>
    <row r="8440" spans="1:6" x14ac:dyDescent="0.25">
      <c r="A8440" s="2" t="str">
        <f t="shared" si="317"/>
        <v>45520</v>
      </c>
      <c r="B8440" s="2" t="str">
        <f>"97040"</f>
        <v>97040</v>
      </c>
      <c r="C8440" s="1">
        <v>8.0045321247667195E-2</v>
      </c>
      <c r="D8440" s="1">
        <v>2.2299651567944199E-2</v>
      </c>
      <c r="E8440" s="1">
        <v>2.9598308668076102E-2</v>
      </c>
      <c r="F8440" s="1">
        <v>7.3734626300851397E-2</v>
      </c>
    </row>
    <row r="8441" spans="1:6" x14ac:dyDescent="0.25">
      <c r="A8441" s="2" t="str">
        <f t="shared" si="317"/>
        <v>45520</v>
      </c>
      <c r="B8441" s="2" t="str">
        <f>"97063"</f>
        <v>97063</v>
      </c>
      <c r="C8441" s="1">
        <v>7.9378832311383596E-2</v>
      </c>
      <c r="D8441" s="1">
        <v>2.8571428571428501E-2</v>
      </c>
      <c r="E8441" s="1">
        <v>3.80549682875264E-2</v>
      </c>
      <c r="F8441" s="1">
        <v>7.3912015137180695E-2</v>
      </c>
    </row>
    <row r="8442" spans="1:6" x14ac:dyDescent="0.25">
      <c r="A8442" s="2" t="str">
        <f t="shared" si="317"/>
        <v>45520</v>
      </c>
      <c r="B8442" s="2" t="str">
        <f>"97057"</f>
        <v>97057</v>
      </c>
      <c r="C8442" s="1">
        <v>0</v>
      </c>
      <c r="D8442" s="1">
        <v>0</v>
      </c>
      <c r="E8442" s="1">
        <v>2.1141649048625698E-3</v>
      </c>
      <c r="F8442" s="1">
        <v>5.9129612109744499E-5</v>
      </c>
    </row>
    <row r="8443" spans="1:6" x14ac:dyDescent="0.25">
      <c r="A8443" s="2" t="str">
        <f t="shared" ref="A8443:A8460" si="318">"35440"</f>
        <v>35440</v>
      </c>
      <c r="B8443" s="2" t="str">
        <f>"97388"</f>
        <v>97388</v>
      </c>
      <c r="C8443" s="1">
        <v>4.9802346935599298E-4</v>
      </c>
      <c r="D8443" s="1">
        <v>0</v>
      </c>
      <c r="E8443" s="1">
        <v>7.47943156320119E-4</v>
      </c>
      <c r="F8443" s="1">
        <v>4.6488733318748599E-4</v>
      </c>
    </row>
    <row r="8444" spans="1:6" x14ac:dyDescent="0.25">
      <c r="A8444" s="2" t="str">
        <f t="shared" si="318"/>
        <v>35440</v>
      </c>
      <c r="B8444" s="2" t="str">
        <f>"97341"</f>
        <v>97341</v>
      </c>
      <c r="C8444" s="1">
        <v>7.1871011921436703E-2</v>
      </c>
      <c r="D8444" s="1">
        <v>1.35309278350515E-2</v>
      </c>
      <c r="E8444" s="1">
        <v>4.4876589379207098E-2</v>
      </c>
      <c r="F8444" s="1">
        <v>6.5931962371472294E-2</v>
      </c>
    </row>
    <row r="8445" spans="1:6" x14ac:dyDescent="0.25">
      <c r="A8445" s="2" t="str">
        <f t="shared" si="318"/>
        <v>35440</v>
      </c>
      <c r="B8445" s="2" t="str">
        <f>"97365"</f>
        <v>97365</v>
      </c>
      <c r="C8445" s="1">
        <v>0.21561303576431001</v>
      </c>
      <c r="D8445" s="1">
        <v>0.43137886597938102</v>
      </c>
      <c r="E8445" s="1">
        <v>0.46896035901271499</v>
      </c>
      <c r="F8445" s="1">
        <v>0.24319076788448901</v>
      </c>
    </row>
    <row r="8446" spans="1:6" x14ac:dyDescent="0.25">
      <c r="A8446" s="2" t="str">
        <f t="shared" si="318"/>
        <v>35440</v>
      </c>
      <c r="B8446" s="2" t="str">
        <f>"97394"</f>
        <v>97394</v>
      </c>
      <c r="C8446" s="1">
        <v>6.5396706819808803E-2</v>
      </c>
      <c r="D8446" s="1">
        <v>8.8595360824742203E-2</v>
      </c>
      <c r="E8446" s="1">
        <v>3.1413612565444997E-2</v>
      </c>
      <c r="F8446" s="1">
        <v>6.61233865674907E-2</v>
      </c>
    </row>
    <row r="8447" spans="1:6" x14ac:dyDescent="0.25">
      <c r="A8447" s="2" t="str">
        <f t="shared" si="318"/>
        <v>35440</v>
      </c>
      <c r="B8447" s="2" t="str">
        <f>"97367"</f>
        <v>97367</v>
      </c>
      <c r="C8447" s="1">
        <v>0.26099542440937501</v>
      </c>
      <c r="D8447" s="1">
        <v>0.28672680412371099</v>
      </c>
      <c r="E8447" s="1">
        <v>0.33657442034405299</v>
      </c>
      <c r="F8447" s="1">
        <v>0.26594290089695899</v>
      </c>
    </row>
    <row r="8448" spans="1:6" x14ac:dyDescent="0.25">
      <c r="A8448" s="2" t="str">
        <f t="shared" si="318"/>
        <v>35440</v>
      </c>
      <c r="B8448" s="2" t="str">
        <f>"97364"</f>
        <v>97364</v>
      </c>
      <c r="C8448" s="1">
        <v>3.7071622000186703E-2</v>
      </c>
      <c r="D8448" s="1">
        <v>9.6649484536082408E-3</v>
      </c>
      <c r="E8448" s="1">
        <v>1.04712041884816E-2</v>
      </c>
      <c r="F8448" s="1">
        <v>3.3772697440384997E-2</v>
      </c>
    </row>
    <row r="8449" spans="1:6" x14ac:dyDescent="0.25">
      <c r="A8449" s="2" t="str">
        <f t="shared" si="318"/>
        <v>35440</v>
      </c>
      <c r="B8449" s="2" t="str">
        <f>"97324"</f>
        <v>97324</v>
      </c>
      <c r="C8449" s="1">
        <v>2.0232203442587201E-3</v>
      </c>
      <c r="D8449" s="1">
        <v>1.6108247422680401E-3</v>
      </c>
      <c r="E8449" s="1">
        <v>0</v>
      </c>
      <c r="F8449" s="1">
        <v>1.9142419601837601E-3</v>
      </c>
    </row>
    <row r="8450" spans="1:6" x14ac:dyDescent="0.25">
      <c r="A8450" s="2" t="str">
        <f t="shared" si="318"/>
        <v>35440</v>
      </c>
      <c r="B8450" s="2" t="str">
        <f>"97369"</f>
        <v>97369</v>
      </c>
      <c r="C8450" s="1">
        <v>7.3147197061661498E-3</v>
      </c>
      <c r="D8450" s="1">
        <v>6.4432989690721605E-4</v>
      </c>
      <c r="E8450" s="1">
        <v>7.47943156320119E-4</v>
      </c>
      <c r="F8450" s="1">
        <v>6.5084226646248003E-3</v>
      </c>
    </row>
    <row r="8451" spans="1:6" x14ac:dyDescent="0.25">
      <c r="A8451" s="2" t="str">
        <f t="shared" si="318"/>
        <v>35440</v>
      </c>
      <c r="B8451" s="2" t="str">
        <f>"97343"</f>
        <v>97343</v>
      </c>
      <c r="C8451" s="1">
        <v>9.2445606499206197E-3</v>
      </c>
      <c r="D8451" s="1">
        <v>1.93298969072164E-3</v>
      </c>
      <c r="E8451" s="1">
        <v>4.4876589379207101E-3</v>
      </c>
      <c r="F8451" s="1">
        <v>8.4500109385254804E-3</v>
      </c>
    </row>
    <row r="8452" spans="1:6" x14ac:dyDescent="0.25">
      <c r="A8452" s="2" t="str">
        <f t="shared" si="318"/>
        <v>35440</v>
      </c>
      <c r="B8452" s="2" t="str">
        <f>"97391"</f>
        <v>97391</v>
      </c>
      <c r="C8452" s="1">
        <v>0.103993525694898</v>
      </c>
      <c r="D8452" s="1">
        <v>9.3427835051546296E-2</v>
      </c>
      <c r="E8452" s="1">
        <v>5.08601346297681E-2</v>
      </c>
      <c r="F8452" s="1">
        <v>0.101154014438853</v>
      </c>
    </row>
    <row r="8453" spans="1:6" x14ac:dyDescent="0.25">
      <c r="A8453" s="2" t="str">
        <f t="shared" si="318"/>
        <v>35440</v>
      </c>
      <c r="B8453" s="2" t="str">
        <f>"97376"</f>
        <v>97376</v>
      </c>
      <c r="C8453" s="1">
        <v>1.6465900955582501E-2</v>
      </c>
      <c r="D8453" s="1">
        <v>6.4432989690721605E-4</v>
      </c>
      <c r="E8453" s="1">
        <v>2.9917726252804699E-3</v>
      </c>
      <c r="F8453" s="1">
        <v>1.46302778385473E-2</v>
      </c>
    </row>
    <row r="8454" spans="1:6" x14ac:dyDescent="0.25">
      <c r="A8454" s="2" t="str">
        <f t="shared" si="318"/>
        <v>35440</v>
      </c>
      <c r="B8454" s="2" t="str">
        <f>"97366"</f>
        <v>97366</v>
      </c>
      <c r="C8454" s="1">
        <v>5.6463410838235702E-2</v>
      </c>
      <c r="D8454" s="1">
        <v>3.9626288659793799E-2</v>
      </c>
      <c r="E8454" s="1">
        <v>1.6454749439042599E-2</v>
      </c>
      <c r="F8454" s="1">
        <v>5.3571428571428499E-2</v>
      </c>
    </row>
    <row r="8455" spans="1:6" x14ac:dyDescent="0.25">
      <c r="A8455" s="2" t="str">
        <f t="shared" si="318"/>
        <v>35440</v>
      </c>
      <c r="B8455" s="2" t="str">
        <f>"97357"</f>
        <v>97357</v>
      </c>
      <c r="C8455" s="1">
        <v>5.1981199614031803E-3</v>
      </c>
      <c r="D8455" s="1">
        <v>3.2216494845360802E-4</v>
      </c>
      <c r="E8455" s="1">
        <v>7.47943156320119E-4</v>
      </c>
      <c r="F8455" s="1">
        <v>4.6215270181579502E-3</v>
      </c>
    </row>
    <row r="8456" spans="1:6" x14ac:dyDescent="0.25">
      <c r="A8456" s="2" t="str">
        <f t="shared" si="318"/>
        <v>35440</v>
      </c>
      <c r="B8456" s="2" t="str">
        <f>"97380"</f>
        <v>97380</v>
      </c>
      <c r="C8456" s="1">
        <v>3.04728110312198E-2</v>
      </c>
      <c r="D8456" s="1">
        <v>9.6649484536082402E-4</v>
      </c>
      <c r="E8456" s="1">
        <v>8.2273747195213097E-3</v>
      </c>
      <c r="F8456" s="1">
        <v>2.7154889520892501E-2</v>
      </c>
    </row>
    <row r="8457" spans="1:6" x14ac:dyDescent="0.25">
      <c r="A8457" s="2" t="str">
        <f t="shared" si="318"/>
        <v>35440</v>
      </c>
      <c r="B8457" s="2" t="str">
        <f>"97326"</f>
        <v>97326</v>
      </c>
      <c r="C8457" s="1">
        <v>6.9100756373143999E-3</v>
      </c>
      <c r="D8457" s="1">
        <v>1.93298969072164E-3</v>
      </c>
      <c r="E8457" s="1">
        <v>2.9917726252804699E-3</v>
      </c>
      <c r="F8457" s="1">
        <v>6.3443447823233398E-3</v>
      </c>
    </row>
    <row r="8458" spans="1:6" x14ac:dyDescent="0.25">
      <c r="A8458" s="2" t="str">
        <f t="shared" si="318"/>
        <v>35440</v>
      </c>
      <c r="B8458" s="2" t="str">
        <f>"97498"</f>
        <v>97498</v>
      </c>
      <c r="C8458" s="1">
        <v>4.5320135711395301E-2</v>
      </c>
      <c r="D8458" s="1">
        <v>1.8685567010309202E-2</v>
      </c>
      <c r="E8458" s="1">
        <v>8.2273747195213097E-3</v>
      </c>
      <c r="F8458" s="1">
        <v>4.1703128418289201E-2</v>
      </c>
    </row>
    <row r="8459" spans="1:6" x14ac:dyDescent="0.25">
      <c r="A8459" s="2" t="str">
        <f t="shared" si="318"/>
        <v>35440</v>
      </c>
      <c r="B8459" s="2" t="str">
        <f>"97390"</f>
        <v>97390</v>
      </c>
      <c r="C8459" s="1">
        <v>1.6341395088243501E-2</v>
      </c>
      <c r="D8459" s="1">
        <v>1.6108247422680401E-3</v>
      </c>
      <c r="E8459" s="1">
        <v>7.47943156320119E-4</v>
      </c>
      <c r="F8459" s="1">
        <v>1.4520892583679701E-2</v>
      </c>
    </row>
    <row r="8460" spans="1:6" x14ac:dyDescent="0.25">
      <c r="A8460" s="2" t="str">
        <f t="shared" si="318"/>
        <v>35440</v>
      </c>
      <c r="B8460" s="2" t="str">
        <f>"97368"</f>
        <v>97368</v>
      </c>
      <c r="C8460" s="1">
        <v>4.8806299996887299E-2</v>
      </c>
      <c r="D8460" s="1">
        <v>8.6984536082474195E-3</v>
      </c>
      <c r="E8460" s="1">
        <v>1.04712041884816E-2</v>
      </c>
      <c r="F8460" s="1">
        <v>4.4000218770509698E-2</v>
      </c>
    </row>
    <row r="8461" spans="1:6" x14ac:dyDescent="0.25">
      <c r="A8461" s="2" t="str">
        <f t="shared" ref="A8461:A8468" si="319">"15060"</f>
        <v>15060</v>
      </c>
      <c r="B8461" s="2" t="str">
        <f>"97415"</f>
        <v>97415</v>
      </c>
      <c r="C8461" s="1">
        <v>0.73954165150963902</v>
      </c>
      <c r="D8461" s="1">
        <v>0.83402061855670095</v>
      </c>
      <c r="E8461" s="1">
        <v>0.77301927194860798</v>
      </c>
      <c r="F8461" s="1">
        <v>0.745524510624058</v>
      </c>
    </row>
    <row r="8462" spans="1:6" x14ac:dyDescent="0.25">
      <c r="A8462" s="2" t="str">
        <f t="shared" si="319"/>
        <v>15060</v>
      </c>
      <c r="B8462" s="2" t="str">
        <f>"97491"</f>
        <v>97491</v>
      </c>
      <c r="C8462" s="1">
        <v>0</v>
      </c>
      <c r="D8462" s="1">
        <v>0</v>
      </c>
      <c r="E8462" s="1">
        <v>2.1413276231263302E-3</v>
      </c>
      <c r="F8462" s="1">
        <v>5.57693380179577E-5</v>
      </c>
    </row>
    <row r="8463" spans="1:6" x14ac:dyDescent="0.25">
      <c r="A8463" s="2" t="str">
        <f t="shared" si="319"/>
        <v>15060</v>
      </c>
      <c r="B8463" s="2" t="str">
        <f>"97476"</f>
        <v>97476</v>
      </c>
      <c r="C8463" s="1">
        <v>1.52782830120043E-2</v>
      </c>
      <c r="D8463" s="1">
        <v>1.0309278350515399E-3</v>
      </c>
      <c r="E8463" s="1">
        <v>2.1413276231263302E-3</v>
      </c>
      <c r="F8463" s="1">
        <v>1.41654118565612E-2</v>
      </c>
    </row>
    <row r="8464" spans="1:6" x14ac:dyDescent="0.25">
      <c r="A8464" s="2" t="str">
        <f t="shared" si="319"/>
        <v>15060</v>
      </c>
      <c r="B8464" s="2" t="str">
        <f>"97464"</f>
        <v>97464</v>
      </c>
      <c r="C8464" s="1">
        <v>0</v>
      </c>
      <c r="D8464" s="1">
        <v>0</v>
      </c>
      <c r="E8464" s="1">
        <v>2.1413276231263302E-3</v>
      </c>
      <c r="F8464" s="1">
        <v>5.57693380179577E-5</v>
      </c>
    </row>
    <row r="8465" spans="1:6" x14ac:dyDescent="0.25">
      <c r="A8465" s="2" t="str">
        <f t="shared" si="319"/>
        <v>15060</v>
      </c>
      <c r="B8465" s="2" t="str">
        <f>"97444"</f>
        <v>97444</v>
      </c>
      <c r="C8465" s="1">
        <v>0.139020249787801</v>
      </c>
      <c r="D8465" s="1">
        <v>0.13298969072164901</v>
      </c>
      <c r="E8465" s="1">
        <v>0.171306209850107</v>
      </c>
      <c r="F8465" s="1">
        <v>0.13953488372093001</v>
      </c>
    </row>
    <row r="8466" spans="1:6" x14ac:dyDescent="0.25">
      <c r="A8466" s="2" t="str">
        <f t="shared" si="319"/>
        <v>15060</v>
      </c>
      <c r="B8466" s="2" t="str">
        <f>"97406"</f>
        <v>97406</v>
      </c>
      <c r="C8466" s="1">
        <v>7.1541166484782297E-3</v>
      </c>
      <c r="D8466" s="1">
        <v>1.03092783505154E-2</v>
      </c>
      <c r="E8466" s="1">
        <v>6.4239828693790097E-3</v>
      </c>
      <c r="F8466" s="1">
        <v>7.3057832803524597E-3</v>
      </c>
    </row>
    <row r="8467" spans="1:6" x14ac:dyDescent="0.25">
      <c r="A8467" s="2" t="str">
        <f t="shared" si="319"/>
        <v>15060</v>
      </c>
      <c r="B8467" s="2" t="str">
        <f>"97450"</f>
        <v>97450</v>
      </c>
      <c r="C8467" s="1">
        <v>2.3099308839578E-2</v>
      </c>
      <c r="D8467" s="1">
        <v>1.03092783505154E-2</v>
      </c>
      <c r="E8467" s="1">
        <v>6.4239828693790097E-3</v>
      </c>
      <c r="F8467" s="1">
        <v>2.1973119179075299E-2</v>
      </c>
    </row>
    <row r="8468" spans="1:6" x14ac:dyDescent="0.25">
      <c r="A8468" s="2" t="str">
        <f t="shared" si="319"/>
        <v>15060</v>
      </c>
      <c r="B8468" s="2" t="str">
        <f>"97465"</f>
        <v>97465</v>
      </c>
      <c r="C8468" s="1">
        <v>7.59063902024978E-2</v>
      </c>
      <c r="D8468" s="1">
        <v>1.1340206185567E-2</v>
      </c>
      <c r="E8468" s="1">
        <v>3.64025695931477E-2</v>
      </c>
      <c r="F8468" s="1">
        <v>7.1384752662985801E-2</v>
      </c>
    </row>
    <row r="8469" spans="1:6" x14ac:dyDescent="0.25">
      <c r="A8469" s="2" t="str">
        <f t="shared" ref="A8469:A8477" si="320">"29260"</f>
        <v>29260</v>
      </c>
      <c r="B8469" s="2" t="str">
        <f>"97867"</f>
        <v>97867</v>
      </c>
      <c r="C8469" s="1">
        <v>2.7438242584836299E-2</v>
      </c>
      <c r="D8469" s="1">
        <v>3.01810865191146E-3</v>
      </c>
      <c r="E8469" s="1">
        <v>2.1097046413502099E-3</v>
      </c>
      <c r="F8469" s="1">
        <v>2.4682919419761501E-2</v>
      </c>
    </row>
    <row r="8470" spans="1:6" x14ac:dyDescent="0.25">
      <c r="A8470" s="2" t="str">
        <f t="shared" si="320"/>
        <v>29260</v>
      </c>
      <c r="B8470" s="2" t="str">
        <f>"97876"</f>
        <v>97876</v>
      </c>
      <c r="C8470" s="1">
        <v>3.16266347551072E-2</v>
      </c>
      <c r="D8470" s="1">
        <v>2.01207243460764E-3</v>
      </c>
      <c r="E8470" s="1">
        <v>0</v>
      </c>
      <c r="F8470" s="1">
        <v>2.82524493050808E-2</v>
      </c>
    </row>
    <row r="8471" spans="1:6" x14ac:dyDescent="0.25">
      <c r="A8471" s="2" t="str">
        <f t="shared" si="320"/>
        <v>29260</v>
      </c>
      <c r="B8471" s="2" t="str">
        <f>"97827"</f>
        <v>97827</v>
      </c>
      <c r="C8471" s="1">
        <v>9.72732712197623E-2</v>
      </c>
      <c r="D8471" s="1">
        <v>2.41448692152917E-2</v>
      </c>
      <c r="E8471" s="1">
        <v>5.2742616033755199E-2</v>
      </c>
      <c r="F8471" s="1">
        <v>9.0149616465405896E-2</v>
      </c>
    </row>
    <row r="8472" spans="1:6" x14ac:dyDescent="0.25">
      <c r="A8472" s="2" t="str">
        <f t="shared" si="320"/>
        <v>29260</v>
      </c>
      <c r="B8472" s="2" t="str">
        <f>"97886"</f>
        <v>97886</v>
      </c>
      <c r="C8472" s="1">
        <v>2.5643217369005801E-4</v>
      </c>
      <c r="D8472" s="1">
        <v>0</v>
      </c>
      <c r="E8472" s="1">
        <v>0</v>
      </c>
      <c r="F8472" s="1">
        <v>2.2784233310549099E-4</v>
      </c>
    </row>
    <row r="8473" spans="1:6" x14ac:dyDescent="0.25">
      <c r="A8473" s="2" t="str">
        <f t="shared" si="320"/>
        <v>29260</v>
      </c>
      <c r="B8473" s="2" t="str">
        <f>"97841"</f>
        <v>97841</v>
      </c>
      <c r="C8473" s="1">
        <v>8.2058295580818806E-3</v>
      </c>
      <c r="D8473" s="1">
        <v>2.01207243460764E-3</v>
      </c>
      <c r="E8473" s="1">
        <v>2.1097046413502099E-3</v>
      </c>
      <c r="F8473" s="1">
        <v>7.5187969924812E-3</v>
      </c>
    </row>
    <row r="8474" spans="1:6" x14ac:dyDescent="0.25">
      <c r="A8474" s="2" t="str">
        <f t="shared" si="320"/>
        <v>29260</v>
      </c>
      <c r="B8474" s="2" t="str">
        <f>"97814"</f>
        <v>97814</v>
      </c>
      <c r="C8474" s="1">
        <v>2.3078895632105299E-3</v>
      </c>
      <c r="D8474" s="1">
        <v>0</v>
      </c>
      <c r="E8474" s="1">
        <v>0</v>
      </c>
      <c r="F8474" s="1">
        <v>2.0505809979494099E-3</v>
      </c>
    </row>
    <row r="8475" spans="1:6" x14ac:dyDescent="0.25">
      <c r="A8475" s="2" t="str">
        <f t="shared" si="320"/>
        <v>29260</v>
      </c>
      <c r="B8475" s="2" t="str">
        <f>"97883"</f>
        <v>97883</v>
      </c>
      <c r="C8475" s="1">
        <v>8.1887340798358799E-2</v>
      </c>
      <c r="D8475" s="1">
        <v>6.0362173038229303E-3</v>
      </c>
      <c r="E8475" s="1">
        <v>1.0548523206751001E-2</v>
      </c>
      <c r="F8475" s="1">
        <v>7.3593073593073502E-2</v>
      </c>
    </row>
    <row r="8476" spans="1:6" x14ac:dyDescent="0.25">
      <c r="A8476" s="2" t="str">
        <f t="shared" si="320"/>
        <v>29260</v>
      </c>
      <c r="B8476" s="2" t="str">
        <f>"97824"</f>
        <v>97824</v>
      </c>
      <c r="C8476" s="1">
        <v>6.2654927771604405E-2</v>
      </c>
      <c r="D8476" s="1">
        <v>1.6096579476861099E-2</v>
      </c>
      <c r="E8476" s="1">
        <v>1.8987341772151799E-2</v>
      </c>
      <c r="F8476" s="1">
        <v>5.7568162831320699E-2</v>
      </c>
    </row>
    <row r="8477" spans="1:6" x14ac:dyDescent="0.25">
      <c r="A8477" s="2" t="str">
        <f t="shared" si="320"/>
        <v>29260</v>
      </c>
      <c r="B8477" s="2" t="str">
        <f>"97850"</f>
        <v>97850</v>
      </c>
      <c r="C8477" s="1">
        <v>0.688349431575348</v>
      </c>
      <c r="D8477" s="1">
        <v>0.94668008048289698</v>
      </c>
      <c r="E8477" s="1">
        <v>0.91350210970464096</v>
      </c>
      <c r="F8477" s="1">
        <v>0.71595655806182101</v>
      </c>
    </row>
    <row r="8478" spans="1:6" x14ac:dyDescent="0.25">
      <c r="A8478" s="2" t="str">
        <f t="shared" ref="A8478:A8496" si="321">"25840"</f>
        <v>25840</v>
      </c>
      <c r="B8478" s="2" t="str">
        <f>"97880"</f>
        <v>97880</v>
      </c>
      <c r="C8478" s="1">
        <v>9.8084892474436603E-5</v>
      </c>
      <c r="D8478" s="1">
        <v>2.7397260273972601E-4</v>
      </c>
      <c r="E8478" s="1">
        <v>7.1684587813619996E-4</v>
      </c>
      <c r="F8478" s="1">
        <v>1.3093003971544501E-4</v>
      </c>
    </row>
    <row r="8479" spans="1:6" x14ac:dyDescent="0.25">
      <c r="A8479" s="2" t="str">
        <f t="shared" si="321"/>
        <v>25840</v>
      </c>
      <c r="B8479" s="2" t="str">
        <f>"97875"</f>
        <v>97875</v>
      </c>
      <c r="C8479" s="1">
        <v>4.3451607366175399E-2</v>
      </c>
      <c r="D8479" s="1">
        <v>1.6164383561643798E-2</v>
      </c>
      <c r="E8479" s="1">
        <v>2.8673835125447998E-3</v>
      </c>
      <c r="F8479" s="1">
        <v>4.0042770479640298E-2</v>
      </c>
    </row>
    <row r="8480" spans="1:6" x14ac:dyDescent="0.25">
      <c r="A8480" s="2" t="str">
        <f t="shared" si="321"/>
        <v>25840</v>
      </c>
      <c r="B8480" s="2" t="str">
        <f>"97801"</f>
        <v>97801</v>
      </c>
      <c r="C8480" s="1">
        <v>0.26485373090409697</v>
      </c>
      <c r="D8480" s="1">
        <v>0.40712328767123201</v>
      </c>
      <c r="E8480" s="1">
        <v>0.31827956989247302</v>
      </c>
      <c r="F8480" s="1">
        <v>0.277811722602889</v>
      </c>
    </row>
    <row r="8481" spans="1:6" x14ac:dyDescent="0.25">
      <c r="A8481" s="2" t="str">
        <f t="shared" si="321"/>
        <v>25840</v>
      </c>
      <c r="B8481" s="2" t="str">
        <f>"97843"</f>
        <v>97843</v>
      </c>
      <c r="C8481" s="1">
        <v>1.2113484220592901E-2</v>
      </c>
      <c r="D8481" s="1">
        <v>1.64383561643835E-3</v>
      </c>
      <c r="E8481" s="1">
        <v>7.1684587813619996E-4</v>
      </c>
      <c r="F8481" s="1">
        <v>1.09326583162396E-2</v>
      </c>
    </row>
    <row r="8482" spans="1:6" x14ac:dyDescent="0.25">
      <c r="A8482" s="2" t="str">
        <f t="shared" si="321"/>
        <v>25840</v>
      </c>
      <c r="B8482" s="2" t="str">
        <f>"97810"</f>
        <v>97810</v>
      </c>
      <c r="C8482" s="1">
        <v>1.06912532797135E-2</v>
      </c>
      <c r="D8482" s="1">
        <v>1.91780821917808E-3</v>
      </c>
      <c r="E8482" s="1">
        <v>0</v>
      </c>
      <c r="F8482" s="1">
        <v>9.6670012656570499E-3</v>
      </c>
    </row>
    <row r="8483" spans="1:6" x14ac:dyDescent="0.25">
      <c r="A8483" s="2" t="str">
        <f t="shared" si="321"/>
        <v>25840</v>
      </c>
      <c r="B8483" s="2" t="str">
        <f>"97882"</f>
        <v>97882</v>
      </c>
      <c r="C8483" s="1">
        <v>9.02381010764816E-2</v>
      </c>
      <c r="D8483" s="1">
        <v>5.3698630136986301E-2</v>
      </c>
      <c r="E8483" s="1">
        <v>9.5340501792114604E-2</v>
      </c>
      <c r="F8483" s="1">
        <v>8.7483088203203399E-2</v>
      </c>
    </row>
    <row r="8484" spans="1:6" x14ac:dyDescent="0.25">
      <c r="A8484" s="2" t="str">
        <f t="shared" si="321"/>
        <v>25840</v>
      </c>
      <c r="B8484" s="2" t="str">
        <f>"97862"</f>
        <v>97862</v>
      </c>
      <c r="C8484" s="1">
        <v>0.1163532036978</v>
      </c>
      <c r="D8484" s="1">
        <v>0.113698630136986</v>
      </c>
      <c r="E8484" s="1">
        <v>9.89247311827956E-2</v>
      </c>
      <c r="F8484" s="1">
        <v>0.115611225068738</v>
      </c>
    </row>
    <row r="8485" spans="1:6" x14ac:dyDescent="0.25">
      <c r="A8485" s="2" t="str">
        <f t="shared" si="321"/>
        <v>25840</v>
      </c>
      <c r="B8485" s="2" t="str">
        <f>"97835"</f>
        <v>97835</v>
      </c>
      <c r="C8485" s="1">
        <v>3.9969593683332897E-3</v>
      </c>
      <c r="D8485" s="1">
        <v>2.7397260273972601E-4</v>
      </c>
      <c r="E8485" s="1">
        <v>0</v>
      </c>
      <c r="F8485" s="1">
        <v>3.5787544188888398E-3</v>
      </c>
    </row>
    <row r="8486" spans="1:6" x14ac:dyDescent="0.25">
      <c r="A8486" s="2" t="str">
        <f t="shared" si="321"/>
        <v>25840</v>
      </c>
      <c r="B8486" s="2" t="str">
        <f>"97838"</f>
        <v>97838</v>
      </c>
      <c r="C8486" s="1">
        <v>0.288884529560334</v>
      </c>
      <c r="D8486" s="1">
        <v>0.365205479452054</v>
      </c>
      <c r="E8486" s="1">
        <v>0.44587813620071598</v>
      </c>
      <c r="F8486" s="1">
        <v>0.29974250425522603</v>
      </c>
    </row>
    <row r="8487" spans="1:6" x14ac:dyDescent="0.25">
      <c r="A8487" s="2" t="str">
        <f t="shared" si="321"/>
        <v>25840</v>
      </c>
      <c r="B8487" s="2" t="str">
        <f>"97836"</f>
        <v>97836</v>
      </c>
      <c r="C8487" s="1">
        <v>2.9842328535347299E-2</v>
      </c>
      <c r="D8487" s="1">
        <v>1.0958904109588999E-3</v>
      </c>
      <c r="E8487" s="1">
        <v>1.50537634408602E-2</v>
      </c>
      <c r="F8487" s="1">
        <v>2.7102518221097101E-2</v>
      </c>
    </row>
    <row r="8488" spans="1:6" x14ac:dyDescent="0.25">
      <c r="A8488" s="2" t="str">
        <f t="shared" si="321"/>
        <v>25840</v>
      </c>
      <c r="B8488" s="2" t="str">
        <f>"97826"</f>
        <v>97826</v>
      </c>
      <c r="C8488" s="1">
        <v>2.05487849733944E-2</v>
      </c>
      <c r="D8488" s="1">
        <v>7.9452054794520496E-3</v>
      </c>
      <c r="E8488" s="1">
        <v>1.4336917562723999E-3</v>
      </c>
      <c r="F8488" s="1">
        <v>1.8963034085453599E-2</v>
      </c>
    </row>
    <row r="8489" spans="1:6" x14ac:dyDescent="0.25">
      <c r="A8489" s="2" t="str">
        <f t="shared" si="321"/>
        <v>25840</v>
      </c>
      <c r="B8489" s="2" t="str">
        <f>"97818"</f>
        <v>97818</v>
      </c>
      <c r="C8489" s="1">
        <v>3.61688040999485E-2</v>
      </c>
      <c r="D8489" s="1">
        <v>1.3698630136986301E-2</v>
      </c>
      <c r="E8489" s="1">
        <v>1.1469534050179199E-2</v>
      </c>
      <c r="F8489" s="1">
        <v>3.3627198533583501E-2</v>
      </c>
    </row>
    <row r="8490" spans="1:6" x14ac:dyDescent="0.25">
      <c r="A8490" s="2" t="str">
        <f t="shared" si="321"/>
        <v>25840</v>
      </c>
      <c r="B8490" s="2" t="str">
        <f>"97839"</f>
        <v>97839</v>
      </c>
      <c r="C8490" s="1">
        <v>2.18238885755621E-3</v>
      </c>
      <c r="D8490" s="1">
        <v>8.2191780821917802E-4</v>
      </c>
      <c r="E8490" s="1">
        <v>7.1684587813619996E-4</v>
      </c>
      <c r="F8490" s="1">
        <v>2.0294156155893999E-3</v>
      </c>
    </row>
    <row r="8491" spans="1:6" x14ac:dyDescent="0.25">
      <c r="A8491" s="2" t="str">
        <f t="shared" si="321"/>
        <v>25840</v>
      </c>
      <c r="B8491" s="2" t="str">
        <f>"97868"</f>
        <v>97868</v>
      </c>
      <c r="C8491" s="1">
        <v>7.0621122581594302E-3</v>
      </c>
      <c r="D8491" s="1">
        <v>5.4794520547945202E-4</v>
      </c>
      <c r="E8491" s="1">
        <v>0</v>
      </c>
      <c r="F8491" s="1">
        <v>6.3282852529131899E-3</v>
      </c>
    </row>
    <row r="8492" spans="1:6" x14ac:dyDescent="0.25">
      <c r="A8492" s="2" t="str">
        <f t="shared" si="321"/>
        <v>25840</v>
      </c>
      <c r="B8492" s="2" t="str">
        <f>"97823"</f>
        <v>97823</v>
      </c>
      <c r="C8492" s="1">
        <v>7.3563669355827398E-5</v>
      </c>
      <c r="D8492" s="1">
        <v>0</v>
      </c>
      <c r="E8492" s="1">
        <v>0</v>
      </c>
      <c r="F8492" s="1">
        <v>6.5465019857722601E-5</v>
      </c>
    </row>
    <row r="8493" spans="1:6" x14ac:dyDescent="0.25">
      <c r="A8493" s="2" t="str">
        <f t="shared" si="321"/>
        <v>25840</v>
      </c>
      <c r="B8493" s="2" t="str">
        <f>"97813"</f>
        <v>97813</v>
      </c>
      <c r="C8493" s="1">
        <v>1.45410853093352E-2</v>
      </c>
      <c r="D8493" s="1">
        <v>1.91780821917808E-3</v>
      </c>
      <c r="E8493" s="1">
        <v>1.4336917562723999E-3</v>
      </c>
      <c r="F8493" s="1">
        <v>1.31366473181163E-2</v>
      </c>
    </row>
    <row r="8494" spans="1:6" x14ac:dyDescent="0.25">
      <c r="A8494" s="2" t="str">
        <f t="shared" si="321"/>
        <v>25840</v>
      </c>
      <c r="B8494" s="2" t="str">
        <f>"97859"</f>
        <v>97859</v>
      </c>
      <c r="C8494" s="1">
        <v>5.9096147715848001E-3</v>
      </c>
      <c r="D8494" s="1">
        <v>0</v>
      </c>
      <c r="E8494" s="1">
        <v>0</v>
      </c>
      <c r="F8494" s="1">
        <v>5.2590232619037199E-3</v>
      </c>
    </row>
    <row r="8495" spans="1:6" x14ac:dyDescent="0.25">
      <c r="A8495" s="2" t="str">
        <f t="shared" si="321"/>
        <v>25840</v>
      </c>
      <c r="B8495" s="2" t="str">
        <f>"97844"</f>
        <v>97844</v>
      </c>
      <c r="C8495" s="1">
        <v>3.8228586841911598E-2</v>
      </c>
      <c r="D8495" s="1">
        <v>1.04109589041095E-2</v>
      </c>
      <c r="E8495" s="1">
        <v>5.7347670250895997E-3</v>
      </c>
      <c r="F8495" s="1">
        <v>3.5023785623881601E-2</v>
      </c>
    </row>
    <row r="8496" spans="1:6" x14ac:dyDescent="0.25">
      <c r="A8496" s="2" t="str">
        <f t="shared" si="321"/>
        <v>25840</v>
      </c>
      <c r="B8496" s="2" t="str">
        <f>"97886"</f>
        <v>97886</v>
      </c>
      <c r="C8496" s="1">
        <v>1.47617763174027E-2</v>
      </c>
      <c r="D8496" s="1">
        <v>3.56164383561643E-3</v>
      </c>
      <c r="E8496" s="1">
        <v>1.4336917562723999E-3</v>
      </c>
      <c r="F8496" s="1">
        <v>1.34639724174049E-2</v>
      </c>
    </row>
    <row r="8497" spans="1:6" x14ac:dyDescent="0.25">
      <c r="A8497" s="2" t="str">
        <f t="shared" ref="A8497:A8517" si="322">"13380"</f>
        <v>13380</v>
      </c>
      <c r="B8497" s="2" t="str">
        <f>"98240"</f>
        <v>98240</v>
      </c>
      <c r="C8497" s="1">
        <v>1.49913181013289E-2</v>
      </c>
      <c r="D8497" s="1">
        <v>9.7845678482533591E-3</v>
      </c>
      <c r="E8497" s="1">
        <v>9.2378752886836005E-4</v>
      </c>
      <c r="F8497" s="1">
        <v>1.36558234842109E-2</v>
      </c>
    </row>
    <row r="8498" spans="1:6" x14ac:dyDescent="0.25">
      <c r="A8498" s="2" t="str">
        <f t="shared" si="322"/>
        <v>13380</v>
      </c>
      <c r="B8498" s="2" t="str">
        <f>"98231"</f>
        <v>98231</v>
      </c>
      <c r="C8498" s="1">
        <v>2.3879519315075499E-2</v>
      </c>
      <c r="D8498" s="1">
        <v>2.1285726547077499E-2</v>
      </c>
      <c r="E8498" s="1">
        <v>2.3094688221709001E-4</v>
      </c>
      <c r="F8498" s="1">
        <v>2.21596106699842E-2</v>
      </c>
    </row>
    <row r="8499" spans="1:6" x14ac:dyDescent="0.25">
      <c r="A8499" s="2" t="str">
        <f t="shared" si="322"/>
        <v>13380</v>
      </c>
      <c r="B8499" s="2" t="str">
        <f>"98229"</f>
        <v>98229</v>
      </c>
      <c r="C8499" s="1">
        <v>0.13324565475269401</v>
      </c>
      <c r="D8499" s="1">
        <v>5.1411895974594397E-2</v>
      </c>
      <c r="E8499" s="1">
        <v>9.2263279445727403E-2</v>
      </c>
      <c r="F8499" s="1">
        <v>0.123670825862636</v>
      </c>
    </row>
    <row r="8500" spans="1:6" x14ac:dyDescent="0.25">
      <c r="A8500" s="2" t="str">
        <f t="shared" si="322"/>
        <v>13380</v>
      </c>
      <c r="B8500" s="2" t="str">
        <f>"98227"</f>
        <v>98227</v>
      </c>
      <c r="C8500" s="1">
        <v>2.07849811748929E-2</v>
      </c>
      <c r="D8500" s="1">
        <v>7.0551883958458503E-2</v>
      </c>
      <c r="E8500" s="1">
        <v>3.4642032332563499E-4</v>
      </c>
      <c r="F8500" s="1">
        <v>2.37330308463536E-2</v>
      </c>
    </row>
    <row r="8501" spans="1:6" x14ac:dyDescent="0.25">
      <c r="A8501" s="2" t="str">
        <f t="shared" si="322"/>
        <v>13380</v>
      </c>
      <c r="B8501" s="2" t="str">
        <f>"98226"</f>
        <v>98226</v>
      </c>
      <c r="C8501" s="1">
        <v>0.177815599910602</v>
      </c>
      <c r="D8501" s="1">
        <v>0.162217835378937</v>
      </c>
      <c r="E8501" s="1">
        <v>0.16374133949191599</v>
      </c>
      <c r="F8501" s="1">
        <v>0.17559369168282701</v>
      </c>
    </row>
    <row r="8502" spans="1:6" x14ac:dyDescent="0.25">
      <c r="A8502" s="2" t="str">
        <f t="shared" si="322"/>
        <v>13380</v>
      </c>
      <c r="B8502" s="2" t="str">
        <f>"98266"</f>
        <v>98266</v>
      </c>
      <c r="C8502" s="1">
        <v>1.56360135472003E-2</v>
      </c>
      <c r="D8502" s="1">
        <v>1.7165908505707599E-3</v>
      </c>
      <c r="E8502" s="1">
        <v>2.3094688221709001E-4</v>
      </c>
      <c r="F8502" s="1">
        <v>1.3472867649749301E-2</v>
      </c>
    </row>
    <row r="8503" spans="1:6" x14ac:dyDescent="0.25">
      <c r="A8503" s="2" t="str">
        <f t="shared" si="322"/>
        <v>13380</v>
      </c>
      <c r="B8503" s="2" t="str">
        <f>"98283"</f>
        <v>98283</v>
      </c>
      <c r="C8503" s="1">
        <v>2.4068629979197799E-4</v>
      </c>
      <c r="D8503" s="1">
        <v>6.8663634022830605E-4</v>
      </c>
      <c r="E8503" s="1">
        <v>4.6189376443418002E-4</v>
      </c>
      <c r="F8503" s="1">
        <v>2.9272933513849701E-4</v>
      </c>
    </row>
    <row r="8504" spans="1:6" x14ac:dyDescent="0.25">
      <c r="A8504" s="2" t="str">
        <f t="shared" si="322"/>
        <v>13380</v>
      </c>
      <c r="B8504" s="2" t="str">
        <f>"98230"</f>
        <v>98230</v>
      </c>
      <c r="C8504" s="1">
        <v>8.4377739955644904E-2</v>
      </c>
      <c r="D8504" s="1">
        <v>5.1669384602179999E-2</v>
      </c>
      <c r="E8504" s="1">
        <v>4.59584295612009E-2</v>
      </c>
      <c r="F8504" s="1">
        <v>7.9154012221449702E-2</v>
      </c>
    </row>
    <row r="8505" spans="1:6" x14ac:dyDescent="0.25">
      <c r="A8505" s="2" t="str">
        <f t="shared" si="322"/>
        <v>13380</v>
      </c>
      <c r="B8505" s="2" t="str">
        <f>"98228"</f>
        <v>98228</v>
      </c>
      <c r="C8505" s="1">
        <v>2.0475527360874698E-2</v>
      </c>
      <c r="D8505" s="1">
        <v>5.2012702772294202E-2</v>
      </c>
      <c r="E8505" s="1">
        <v>1.1547344110854501E-4</v>
      </c>
      <c r="F8505" s="1">
        <v>2.1874199568224201E-2</v>
      </c>
    </row>
    <row r="8506" spans="1:6" x14ac:dyDescent="0.25">
      <c r="A8506" s="2" t="str">
        <f t="shared" si="322"/>
        <v>13380</v>
      </c>
      <c r="B8506" s="2" t="str">
        <f>"98220"</f>
        <v>98220</v>
      </c>
      <c r="C8506" s="1">
        <v>1.4011381023604399E-3</v>
      </c>
      <c r="D8506" s="1">
        <v>3.4331817011415302E-4</v>
      </c>
      <c r="E8506" s="1">
        <v>9.1224018475750505E-3</v>
      </c>
      <c r="F8506" s="1">
        <v>1.80028541110176E-3</v>
      </c>
    </row>
    <row r="8507" spans="1:6" x14ac:dyDescent="0.25">
      <c r="A8507" s="2" t="str">
        <f t="shared" si="322"/>
        <v>13380</v>
      </c>
      <c r="B8507" s="2" t="str">
        <f>"98264"</f>
        <v>98264</v>
      </c>
      <c r="C8507" s="1">
        <v>8.1661423143706904E-2</v>
      </c>
      <c r="D8507" s="1">
        <v>9.4841644494034802E-2</v>
      </c>
      <c r="E8507" s="1">
        <v>6.7436489607390293E-2</v>
      </c>
      <c r="F8507" s="1">
        <v>8.1883713271616199E-2</v>
      </c>
    </row>
    <row r="8508" spans="1:6" x14ac:dyDescent="0.25">
      <c r="A8508" s="2" t="str">
        <f t="shared" si="322"/>
        <v>13380</v>
      </c>
      <c r="B8508" s="2" t="str">
        <f>"98248"</f>
        <v>98248</v>
      </c>
      <c r="C8508" s="1">
        <v>0.106039506936922</v>
      </c>
      <c r="D8508" s="1">
        <v>0.100506394300918</v>
      </c>
      <c r="E8508" s="1">
        <v>6.5473441108545E-2</v>
      </c>
      <c r="F8508" s="1">
        <v>0.10299681656848</v>
      </c>
    </row>
    <row r="8509" spans="1:6" x14ac:dyDescent="0.25">
      <c r="A8509" s="2" t="str">
        <f t="shared" si="322"/>
        <v>13380</v>
      </c>
      <c r="B8509" s="2" t="str">
        <f>"98244"</f>
        <v>98244</v>
      </c>
      <c r="C8509" s="1">
        <v>1.05386215551773E-2</v>
      </c>
      <c r="D8509" s="1">
        <v>3.0040339884988402E-3</v>
      </c>
      <c r="E8509" s="1">
        <v>8.7759815242494203E-3</v>
      </c>
      <c r="F8509" s="1">
        <v>9.78447802700428E-3</v>
      </c>
    </row>
    <row r="8510" spans="1:6" x14ac:dyDescent="0.25">
      <c r="A8510" s="2" t="str">
        <f t="shared" si="322"/>
        <v>13380</v>
      </c>
      <c r="B8510" s="2" t="str">
        <f>"98225"</f>
        <v>98225</v>
      </c>
      <c r="C8510" s="1">
        <v>0.19324531091512301</v>
      </c>
      <c r="D8510" s="1">
        <v>0.30357909192344001</v>
      </c>
      <c r="E8510" s="1">
        <v>0.51859122401847502</v>
      </c>
      <c r="F8510" s="1">
        <v>0.22327198214350999</v>
      </c>
    </row>
    <row r="8511" spans="1:6" x14ac:dyDescent="0.25">
      <c r="A8511" s="2" t="str">
        <f t="shared" si="322"/>
        <v>13380</v>
      </c>
      <c r="B8511" s="2" t="str">
        <f>"98295"</f>
        <v>98295</v>
      </c>
      <c r="C8511" s="1">
        <v>2.9931060566988101E-2</v>
      </c>
      <c r="D8511" s="1">
        <v>2.8752896747060299E-2</v>
      </c>
      <c r="E8511" s="1">
        <v>8.3140877598152398E-3</v>
      </c>
      <c r="F8511" s="1">
        <v>2.84606096088404E-2</v>
      </c>
    </row>
    <row r="8512" spans="1:6" x14ac:dyDescent="0.25">
      <c r="A8512" s="2" t="str">
        <f t="shared" si="322"/>
        <v>13380</v>
      </c>
      <c r="B8512" s="2" t="str">
        <f>"98237"</f>
        <v>98237</v>
      </c>
      <c r="C8512" s="1">
        <v>6.8767514226279506E-5</v>
      </c>
      <c r="D8512" s="1">
        <v>8.5829542528538297E-5</v>
      </c>
      <c r="E8512" s="1">
        <v>0</v>
      </c>
      <c r="F8512" s="1">
        <v>6.5864100406161905E-5</v>
      </c>
    </row>
    <row r="8513" spans="1:6" x14ac:dyDescent="0.25">
      <c r="A8513" s="2" t="str">
        <f t="shared" si="322"/>
        <v>13380</v>
      </c>
      <c r="B8513" s="2" t="str">
        <f>"98284"</f>
        <v>98284</v>
      </c>
      <c r="C8513" s="1">
        <v>9.1546753313734505E-3</v>
      </c>
      <c r="D8513" s="1">
        <v>1.02995451034245E-3</v>
      </c>
      <c r="E8513" s="1">
        <v>3.4642032332563499E-4</v>
      </c>
      <c r="F8513" s="1">
        <v>7.9036920487394295E-3</v>
      </c>
    </row>
    <row r="8514" spans="1:6" x14ac:dyDescent="0.25">
      <c r="A8514" s="2" t="str">
        <f t="shared" si="322"/>
        <v>13380</v>
      </c>
      <c r="B8514" s="2" t="str">
        <f>"98247"</f>
        <v>98247</v>
      </c>
      <c r="C8514" s="1">
        <v>3.2836488043048402E-2</v>
      </c>
      <c r="D8514" s="1">
        <v>2.0599090206849101E-2</v>
      </c>
      <c r="E8514" s="1">
        <v>1.14318706697459E-2</v>
      </c>
      <c r="F8514" s="1">
        <v>3.0436532621025199E-2</v>
      </c>
    </row>
    <row r="8515" spans="1:6" x14ac:dyDescent="0.25">
      <c r="A8515" s="2" t="str">
        <f t="shared" si="322"/>
        <v>13380</v>
      </c>
      <c r="B8515" s="2" t="str">
        <f>"98281"</f>
        <v>98281</v>
      </c>
      <c r="C8515" s="1">
        <v>2.9587222995856699E-2</v>
      </c>
      <c r="D8515" s="1">
        <v>2.09424083769633E-2</v>
      </c>
      <c r="E8515" s="1">
        <v>3.8106235565819801E-3</v>
      </c>
      <c r="F8515" s="1">
        <v>2.7216509934501799E-2</v>
      </c>
    </row>
    <row r="8516" spans="1:6" x14ac:dyDescent="0.25">
      <c r="A8516" s="2" t="str">
        <f t="shared" si="322"/>
        <v>13380</v>
      </c>
      <c r="B8516" s="2" t="str">
        <f>"98276"</f>
        <v>98276</v>
      </c>
      <c r="C8516" s="1">
        <v>7.7277494111781496E-3</v>
      </c>
      <c r="D8516" s="1">
        <v>3.6906703287271402E-3</v>
      </c>
      <c r="E8516" s="1">
        <v>1.5011547344110799E-3</v>
      </c>
      <c r="F8516" s="1">
        <v>6.9889128764316199E-3</v>
      </c>
    </row>
    <row r="8517" spans="1:6" x14ac:dyDescent="0.25">
      <c r="A8517" s="2" t="str">
        <f t="shared" si="322"/>
        <v>13380</v>
      </c>
      <c r="B8517" s="2" t="str">
        <f>"98262"</f>
        <v>98262</v>
      </c>
      <c r="C8517" s="1">
        <v>6.3609950659308497E-3</v>
      </c>
      <c r="D8517" s="1">
        <v>1.2874431379280701E-3</v>
      </c>
      <c r="E8517" s="1">
        <v>9.2378752886836005E-4</v>
      </c>
      <c r="F8517" s="1">
        <v>5.5838120677668404E-3</v>
      </c>
    </row>
    <row r="8518" spans="1:6" x14ac:dyDescent="0.25">
      <c r="A8518" s="2" t="str">
        <f t="shared" ref="A8518:A8539" si="323">"10140"</f>
        <v>10140</v>
      </c>
      <c r="B8518" s="2" t="str">
        <f>"98569"</f>
        <v>98569</v>
      </c>
      <c r="C8518" s="1">
        <v>0.13533146136002899</v>
      </c>
      <c r="D8518" s="1">
        <v>8.2874954162082806E-2</v>
      </c>
      <c r="E8518" s="1">
        <v>6.86554965263588E-2</v>
      </c>
      <c r="F8518" s="1">
        <v>0.12726026675101401</v>
      </c>
    </row>
    <row r="8519" spans="1:6" x14ac:dyDescent="0.25">
      <c r="A8519" s="2" t="str">
        <f t="shared" si="323"/>
        <v>10140</v>
      </c>
      <c r="B8519" s="2" t="str">
        <f>"98562"</f>
        <v>98562</v>
      </c>
      <c r="C8519" s="1">
        <v>3.0521303870101297E-5</v>
      </c>
      <c r="D8519" s="1">
        <v>3.66703337000366E-4</v>
      </c>
      <c r="E8519" s="1">
        <v>4.0866366979975399E-4</v>
      </c>
      <c r="F8519" s="1">
        <v>7.9076387790605698E-5</v>
      </c>
    </row>
    <row r="8520" spans="1:6" x14ac:dyDescent="0.25">
      <c r="A8520" s="2" t="str">
        <f t="shared" si="323"/>
        <v>10140</v>
      </c>
      <c r="B8520" s="2" t="str">
        <f>"98526"</f>
        <v>98526</v>
      </c>
      <c r="C8520" s="1">
        <v>2.3501403979978002E-3</v>
      </c>
      <c r="D8520" s="1">
        <v>5.1338467180051302E-3</v>
      </c>
      <c r="E8520" s="1">
        <v>4.9039640375970498E-3</v>
      </c>
      <c r="F8520" s="1">
        <v>2.71495598081079E-3</v>
      </c>
    </row>
    <row r="8521" spans="1:6" x14ac:dyDescent="0.25">
      <c r="A8521" s="2" t="str">
        <f t="shared" si="323"/>
        <v>10140</v>
      </c>
      <c r="B8521" s="2" t="str">
        <f>"98575"</f>
        <v>98575</v>
      </c>
      <c r="C8521" s="1">
        <v>2.8690025637895201E-3</v>
      </c>
      <c r="D8521" s="1">
        <v>1.4668133480014601E-3</v>
      </c>
      <c r="E8521" s="1">
        <v>4.0866366979975399E-4</v>
      </c>
      <c r="F8521" s="1">
        <v>2.6095207970899801E-3</v>
      </c>
    </row>
    <row r="8522" spans="1:6" x14ac:dyDescent="0.25">
      <c r="A8522" s="2" t="str">
        <f t="shared" si="323"/>
        <v>10140</v>
      </c>
      <c r="B8522" s="2" t="str">
        <f>"98559"</f>
        <v>98559</v>
      </c>
      <c r="C8522" s="1">
        <v>3.0521303870101297E-5</v>
      </c>
      <c r="D8522" s="1">
        <v>7.3340667400073297E-4</v>
      </c>
      <c r="E8522" s="1">
        <v>0</v>
      </c>
      <c r="F8522" s="1">
        <v>7.9076387790605698E-5</v>
      </c>
    </row>
    <row r="8523" spans="1:6" x14ac:dyDescent="0.25">
      <c r="A8523" s="2" t="str">
        <f t="shared" si="323"/>
        <v>10140</v>
      </c>
      <c r="B8523" s="2" t="str">
        <f>"98566"</f>
        <v>98566</v>
      </c>
      <c r="C8523" s="1">
        <v>0</v>
      </c>
      <c r="D8523" s="1">
        <v>0</v>
      </c>
      <c r="E8523" s="1">
        <v>2.8606456885982802E-3</v>
      </c>
      <c r="F8523" s="1">
        <v>1.8451157151141301E-4</v>
      </c>
    </row>
    <row r="8524" spans="1:6" x14ac:dyDescent="0.25">
      <c r="A8524" s="2" t="str">
        <f t="shared" si="323"/>
        <v>10140</v>
      </c>
      <c r="B8524" s="2" t="str">
        <f>"98536"</f>
        <v>98536</v>
      </c>
      <c r="C8524" s="1">
        <v>1.98388475155658E-3</v>
      </c>
      <c r="D8524" s="1">
        <v>7.3340667400073297E-4</v>
      </c>
      <c r="E8524" s="1">
        <v>0</v>
      </c>
      <c r="F8524" s="1">
        <v>1.7660393273235199E-3</v>
      </c>
    </row>
    <row r="8525" spans="1:6" x14ac:dyDescent="0.25">
      <c r="A8525" s="2" t="str">
        <f t="shared" si="323"/>
        <v>10140</v>
      </c>
      <c r="B8525" s="2" t="str">
        <f>"98547"</f>
        <v>98547</v>
      </c>
      <c r="C8525" s="1">
        <v>6.13478207789036E-3</v>
      </c>
      <c r="D8525" s="1">
        <v>2.9336266960029301E-3</v>
      </c>
      <c r="E8525" s="1">
        <v>2.98324478953821E-2</v>
      </c>
      <c r="F8525" s="1">
        <v>7.4331804523169297E-3</v>
      </c>
    </row>
    <row r="8526" spans="1:6" x14ac:dyDescent="0.25">
      <c r="A8526" s="2" t="str">
        <f t="shared" si="323"/>
        <v>10140</v>
      </c>
      <c r="B8526" s="2" t="str">
        <f>"98583"</f>
        <v>98583</v>
      </c>
      <c r="C8526" s="1">
        <v>0</v>
      </c>
      <c r="D8526" s="1">
        <v>0</v>
      </c>
      <c r="E8526" s="1">
        <v>4.0866366979975399E-4</v>
      </c>
      <c r="F8526" s="1">
        <v>2.6358795930201902E-5</v>
      </c>
    </row>
    <row r="8527" spans="1:6" x14ac:dyDescent="0.25">
      <c r="A8527" s="2" t="str">
        <f t="shared" si="323"/>
        <v>10140</v>
      </c>
      <c r="B8527" s="2" t="str">
        <f>"98537"</f>
        <v>98537</v>
      </c>
      <c r="C8527" s="1">
        <v>3.6045659870589601E-2</v>
      </c>
      <c r="D8527" s="1">
        <v>1.6868353502016799E-2</v>
      </c>
      <c r="E8527" s="1">
        <v>0.20187985288107799</v>
      </c>
      <c r="F8527" s="1">
        <v>4.53634877958774E-2</v>
      </c>
    </row>
    <row r="8528" spans="1:6" x14ac:dyDescent="0.25">
      <c r="A8528" s="2" t="str">
        <f t="shared" si="323"/>
        <v>10140</v>
      </c>
      <c r="B8528" s="2" t="str">
        <f>"98535"</f>
        <v>98535</v>
      </c>
      <c r="C8528" s="1">
        <v>2.8384812599194201E-3</v>
      </c>
      <c r="D8528" s="1">
        <v>1.1001100110011001E-3</v>
      </c>
      <c r="E8528" s="1">
        <v>6.86554965263588E-2</v>
      </c>
      <c r="F8528" s="1">
        <v>6.9587221255732997E-3</v>
      </c>
    </row>
    <row r="8529" spans="1:6" x14ac:dyDescent="0.25">
      <c r="A8529" s="2" t="str">
        <f t="shared" si="323"/>
        <v>10140</v>
      </c>
      <c r="B8529" s="2" t="str">
        <f>"98595"</f>
        <v>98595</v>
      </c>
      <c r="C8529" s="1">
        <v>1.7275057990477301E-2</v>
      </c>
      <c r="D8529" s="1">
        <v>9.9009900990098994E-3</v>
      </c>
      <c r="E8529" s="1">
        <v>4.45443400081732E-2</v>
      </c>
      <c r="F8529" s="1">
        <v>1.8503874743001698E-2</v>
      </c>
    </row>
    <row r="8530" spans="1:6" x14ac:dyDescent="0.25">
      <c r="A8530" s="2" t="str">
        <f t="shared" si="323"/>
        <v>10140</v>
      </c>
      <c r="B8530" s="2" t="str">
        <f>"98557"</f>
        <v>98557</v>
      </c>
      <c r="C8530" s="1">
        <v>4.3675985838115002E-2</v>
      </c>
      <c r="D8530" s="1">
        <v>1.35680234690135E-2</v>
      </c>
      <c r="E8530" s="1">
        <v>8.58193706579485E-3</v>
      </c>
      <c r="F8530" s="1">
        <v>3.9248247140070601E-2</v>
      </c>
    </row>
    <row r="8531" spans="1:6" x14ac:dyDescent="0.25">
      <c r="A8531" s="2" t="str">
        <f t="shared" si="323"/>
        <v>10140</v>
      </c>
      <c r="B8531" s="2" t="str">
        <f>"98550"</f>
        <v>98550</v>
      </c>
      <c r="C8531" s="1">
        <v>0.180167256745208</v>
      </c>
      <c r="D8531" s="1">
        <v>0.176017601760176</v>
      </c>
      <c r="E8531" s="1">
        <v>0.113199836534532</v>
      </c>
      <c r="F8531" s="1">
        <v>0.175549580895144</v>
      </c>
    </row>
    <row r="8532" spans="1:6" x14ac:dyDescent="0.25">
      <c r="A8532" s="2" t="str">
        <f t="shared" si="323"/>
        <v>10140</v>
      </c>
      <c r="B8532" s="2" t="str">
        <f>"98520"</f>
        <v>98520</v>
      </c>
      <c r="C8532" s="1">
        <v>0.33274325479184402</v>
      </c>
      <c r="D8532" s="1">
        <v>0.54968830216354903</v>
      </c>
      <c r="E8532" s="1">
        <v>0.21250510829587199</v>
      </c>
      <c r="F8532" s="1">
        <v>0.34058200221413798</v>
      </c>
    </row>
    <row r="8533" spans="1:6" x14ac:dyDescent="0.25">
      <c r="A8533" s="2" t="str">
        <f t="shared" si="323"/>
        <v>10140</v>
      </c>
      <c r="B8533" s="2" t="str">
        <f>"98579"</f>
        <v>98579</v>
      </c>
      <c r="C8533" s="1">
        <v>2.4417043096081E-4</v>
      </c>
      <c r="D8533" s="1">
        <v>0</v>
      </c>
      <c r="E8533" s="1">
        <v>0</v>
      </c>
      <c r="F8533" s="1">
        <v>2.10870367441615E-4</v>
      </c>
    </row>
    <row r="8534" spans="1:6" x14ac:dyDescent="0.25">
      <c r="A8534" s="2" t="str">
        <f t="shared" si="323"/>
        <v>10140</v>
      </c>
      <c r="B8534" s="2" t="str">
        <f>"98568"</f>
        <v>98568</v>
      </c>
      <c r="C8534" s="1">
        <v>2.1486997924551301E-2</v>
      </c>
      <c r="D8534" s="1">
        <v>1.8335166850018301E-3</v>
      </c>
      <c r="E8534" s="1">
        <v>2.8606456885982802E-3</v>
      </c>
      <c r="F8534" s="1">
        <v>1.88728978860245E-2</v>
      </c>
    </row>
    <row r="8535" spans="1:6" x14ac:dyDescent="0.25">
      <c r="A8535" s="2" t="str">
        <f t="shared" si="323"/>
        <v>10140</v>
      </c>
      <c r="B8535" s="2" t="str">
        <f>"98587"</f>
        <v>98587</v>
      </c>
      <c r="C8535" s="1">
        <v>0</v>
      </c>
      <c r="D8535" s="1">
        <v>0</v>
      </c>
      <c r="E8535" s="1">
        <v>4.7404985696771498E-2</v>
      </c>
      <c r="F8535" s="1">
        <v>3.0576203279034202E-3</v>
      </c>
    </row>
    <row r="8536" spans="1:6" x14ac:dyDescent="0.25">
      <c r="A8536" s="2" t="str">
        <f t="shared" si="323"/>
        <v>10140</v>
      </c>
      <c r="B8536" s="2" t="str">
        <f>"98571"</f>
        <v>98571</v>
      </c>
      <c r="C8536" s="1">
        <v>0</v>
      </c>
      <c r="D8536" s="1">
        <v>0</v>
      </c>
      <c r="E8536" s="1">
        <v>0.100122599100939</v>
      </c>
      <c r="F8536" s="1">
        <v>6.4579050028994601E-3</v>
      </c>
    </row>
    <row r="8537" spans="1:6" x14ac:dyDescent="0.25">
      <c r="A8537" s="2" t="str">
        <f t="shared" si="323"/>
        <v>10140</v>
      </c>
      <c r="B8537" s="2" t="str">
        <f>"98563"</f>
        <v>98563</v>
      </c>
      <c r="C8537" s="1">
        <v>0.11488218776706099</v>
      </c>
      <c r="D8537" s="1">
        <v>9.8276494316098195E-2</v>
      </c>
      <c r="E8537" s="1">
        <v>5.35349407437678E-2</v>
      </c>
      <c r="F8537" s="1">
        <v>0.10973166745743</v>
      </c>
    </row>
    <row r="8538" spans="1:6" x14ac:dyDescent="0.25">
      <c r="A8538" s="2" t="str">
        <f t="shared" si="323"/>
        <v>10140</v>
      </c>
      <c r="B8538" s="2" t="str">
        <f>"98541"</f>
        <v>98541</v>
      </c>
      <c r="C8538" s="1">
        <v>9.9865706262971504E-2</v>
      </c>
      <c r="D8538" s="1">
        <v>3.5936927026035903E-2</v>
      </c>
      <c r="E8538" s="1">
        <v>3.1058438904781299E-2</v>
      </c>
      <c r="F8538" s="1">
        <v>9.08324107754757E-2</v>
      </c>
    </row>
    <row r="8539" spans="1:6" x14ac:dyDescent="0.25">
      <c r="A8539" s="2" t="str">
        <f t="shared" si="323"/>
        <v>10140</v>
      </c>
      <c r="B8539" s="2" t="str">
        <f>"98552"</f>
        <v>98552</v>
      </c>
      <c r="C8539" s="1">
        <v>2.04492735929678E-3</v>
      </c>
      <c r="D8539" s="1">
        <v>2.5669233590025599E-3</v>
      </c>
      <c r="E8539" s="1">
        <v>8.1732733959950891E-3</v>
      </c>
      <c r="F8539" s="1">
        <v>2.4777268174389698E-3</v>
      </c>
    </row>
    <row r="8540" spans="1:6" x14ac:dyDescent="0.25">
      <c r="A8540" s="2" t="str">
        <f t="shared" ref="A8540:A8567" si="324">"48300"</f>
        <v>48300</v>
      </c>
      <c r="B8540" s="2" t="str">
        <f>"98828"</f>
        <v>98828</v>
      </c>
      <c r="C8540" s="1">
        <v>1.6571298580852802E-2</v>
      </c>
      <c r="D8540" s="1">
        <v>4.1531238714337297E-3</v>
      </c>
      <c r="E8540" s="1">
        <v>1.16758241758241E-2</v>
      </c>
      <c r="F8540" s="1">
        <v>1.53055779989938E-2</v>
      </c>
    </row>
    <row r="8541" spans="1:6" x14ac:dyDescent="0.25">
      <c r="A8541" s="2" t="str">
        <f t="shared" si="324"/>
        <v>48300</v>
      </c>
      <c r="B8541" s="2" t="str">
        <f>"99115"</f>
        <v>99115</v>
      </c>
      <c r="C8541" s="1">
        <v>1.2949061193063499E-3</v>
      </c>
      <c r="D8541" s="1">
        <v>3.2502708559046501E-3</v>
      </c>
      <c r="E8541" s="1">
        <v>6.86813186813186E-4</v>
      </c>
      <c r="F8541" s="1">
        <v>1.4329923624555999E-3</v>
      </c>
    </row>
    <row r="8542" spans="1:6" x14ac:dyDescent="0.25">
      <c r="A8542" s="2" t="str">
        <f t="shared" si="324"/>
        <v>48300</v>
      </c>
      <c r="B8542" s="2" t="str">
        <f>"99133"</f>
        <v>99133</v>
      </c>
      <c r="C8542" s="1">
        <v>8.22440373072952E-4</v>
      </c>
      <c r="D8542" s="1">
        <v>0</v>
      </c>
      <c r="E8542" s="1">
        <v>0</v>
      </c>
      <c r="F8542" s="1">
        <v>7.1649618122779997E-4</v>
      </c>
    </row>
    <row r="8543" spans="1:6" x14ac:dyDescent="0.25">
      <c r="A8543" s="2" t="str">
        <f t="shared" si="324"/>
        <v>48300</v>
      </c>
      <c r="B8543" s="2" t="str">
        <f>"98830"</f>
        <v>98830</v>
      </c>
      <c r="C8543" s="1">
        <v>1.20741246259646E-3</v>
      </c>
      <c r="D8543" s="1">
        <v>3.61141206211628E-4</v>
      </c>
      <c r="E8543" s="1">
        <v>3.43406593406593E-4</v>
      </c>
      <c r="F8543" s="1">
        <v>1.0976111712425801E-3</v>
      </c>
    </row>
    <row r="8544" spans="1:6" x14ac:dyDescent="0.25">
      <c r="A8544" s="2" t="str">
        <f t="shared" si="324"/>
        <v>48300</v>
      </c>
      <c r="B8544" s="2" t="str">
        <f>"98852"</f>
        <v>98852</v>
      </c>
      <c r="C8544" s="1">
        <v>0</v>
      </c>
      <c r="D8544" s="1">
        <v>1.80570603105814E-4</v>
      </c>
      <c r="E8544" s="1">
        <v>1.7170329670329601E-3</v>
      </c>
      <c r="F8544" s="1">
        <v>9.1467597603548905E-5</v>
      </c>
    </row>
    <row r="8545" spans="1:6" x14ac:dyDescent="0.25">
      <c r="A8545" s="2" t="str">
        <f t="shared" si="324"/>
        <v>48300</v>
      </c>
      <c r="B8545" s="2" t="str">
        <f>"98821"</f>
        <v>98821</v>
      </c>
      <c r="C8545" s="1">
        <v>0</v>
      </c>
      <c r="D8545" s="1">
        <v>1.80570603105814E-4</v>
      </c>
      <c r="E8545" s="1">
        <v>0</v>
      </c>
      <c r="F8545" s="1">
        <v>1.52445996005914E-5</v>
      </c>
    </row>
    <row r="8546" spans="1:6" x14ac:dyDescent="0.25">
      <c r="A8546" s="2" t="str">
        <f t="shared" si="324"/>
        <v>48300</v>
      </c>
      <c r="B8546" s="2" t="str">
        <f>"98836"</f>
        <v>98836</v>
      </c>
      <c r="C8546" s="1">
        <v>0</v>
      </c>
      <c r="D8546" s="1">
        <v>1.80570603105814E-4</v>
      </c>
      <c r="E8546" s="1">
        <v>4.53296703296703E-2</v>
      </c>
      <c r="F8546" s="1">
        <v>2.02753174687866E-3</v>
      </c>
    </row>
    <row r="8547" spans="1:6" x14ac:dyDescent="0.25">
      <c r="A8547" s="2" t="str">
        <f t="shared" si="324"/>
        <v>48300</v>
      </c>
      <c r="B8547" s="2" t="str">
        <f>"98826"</f>
        <v>98826</v>
      </c>
      <c r="C8547" s="1">
        <v>9.7415437380789796E-2</v>
      </c>
      <c r="D8547" s="1">
        <v>0.11989888046225999</v>
      </c>
      <c r="E8547" s="1">
        <v>8.1043956043956006E-2</v>
      </c>
      <c r="F8547" s="1">
        <v>9.8586825617025101E-2</v>
      </c>
    </row>
    <row r="8548" spans="1:6" x14ac:dyDescent="0.25">
      <c r="A8548" s="2" t="str">
        <f t="shared" si="324"/>
        <v>48300</v>
      </c>
      <c r="B8548" s="2" t="str">
        <f>"98816"</f>
        <v>98816</v>
      </c>
      <c r="C8548" s="1">
        <v>9.2305807828932399E-2</v>
      </c>
      <c r="D8548" s="1">
        <v>8.2340195016251297E-2</v>
      </c>
      <c r="E8548" s="1">
        <v>3.5714285714285698E-2</v>
      </c>
      <c r="F8548" s="1">
        <v>8.8952238669451303E-2</v>
      </c>
    </row>
    <row r="8549" spans="1:6" x14ac:dyDescent="0.25">
      <c r="A8549" s="2" t="str">
        <f t="shared" si="324"/>
        <v>48300</v>
      </c>
      <c r="B8549" s="2" t="str">
        <f>"98812"</f>
        <v>98812</v>
      </c>
      <c r="C8549" s="1">
        <v>4.3221866414684899E-3</v>
      </c>
      <c r="D8549" s="1">
        <v>1.2639942217407001E-3</v>
      </c>
      <c r="E8549" s="1">
        <v>1.37362637362637E-3</v>
      </c>
      <c r="F8549" s="1">
        <v>3.9331066969526002E-3</v>
      </c>
    </row>
    <row r="8550" spans="1:6" x14ac:dyDescent="0.25">
      <c r="A8550" s="2" t="str">
        <f t="shared" si="324"/>
        <v>48300</v>
      </c>
      <c r="B8550" s="2" t="str">
        <f>"98848"</f>
        <v>98848</v>
      </c>
      <c r="C8550" s="1">
        <v>6.2995432831119697E-4</v>
      </c>
      <c r="D8550" s="1">
        <v>0</v>
      </c>
      <c r="E8550" s="1">
        <v>0</v>
      </c>
      <c r="F8550" s="1">
        <v>5.4880558562129297E-4</v>
      </c>
    </row>
    <row r="8551" spans="1:6" x14ac:dyDescent="0.25">
      <c r="A8551" s="2" t="str">
        <f t="shared" si="324"/>
        <v>48300</v>
      </c>
      <c r="B8551" s="2" t="str">
        <f>"98807"</f>
        <v>98807</v>
      </c>
      <c r="C8551" s="1">
        <v>5.6223423801774301E-2</v>
      </c>
      <c r="D8551" s="1">
        <v>0.15276273022751799</v>
      </c>
      <c r="E8551" s="1">
        <v>6.86813186813186E-4</v>
      </c>
      <c r="F8551" s="1">
        <v>6.1908318978002003E-2</v>
      </c>
    </row>
    <row r="8552" spans="1:6" x14ac:dyDescent="0.25">
      <c r="A8552" s="2" t="str">
        <f t="shared" si="324"/>
        <v>48300</v>
      </c>
      <c r="B8552" s="2" t="str">
        <f>"98858"</f>
        <v>98858</v>
      </c>
      <c r="C8552" s="1">
        <v>3.3947538803436698E-3</v>
      </c>
      <c r="D8552" s="1">
        <v>1.80570603105814E-4</v>
      </c>
      <c r="E8552" s="1">
        <v>0.133585164835164</v>
      </c>
      <c r="F8552" s="1">
        <v>8.9028461667454307E-3</v>
      </c>
    </row>
    <row r="8553" spans="1:6" x14ac:dyDescent="0.25">
      <c r="A8553" s="2" t="str">
        <f t="shared" si="324"/>
        <v>48300</v>
      </c>
      <c r="B8553" s="2" t="str">
        <f>"98850"</f>
        <v>98850</v>
      </c>
      <c r="C8553" s="1">
        <v>9.1518364918543402E-3</v>
      </c>
      <c r="D8553" s="1">
        <v>3.9725532683279104E-3</v>
      </c>
      <c r="E8553" s="1">
        <v>2.7815934065933998E-2</v>
      </c>
      <c r="F8553" s="1">
        <v>9.5431193499702707E-3</v>
      </c>
    </row>
    <row r="8554" spans="1:6" x14ac:dyDescent="0.25">
      <c r="A8554" s="2" t="str">
        <f t="shared" si="324"/>
        <v>48300</v>
      </c>
      <c r="B8554" s="2" t="str">
        <f>"99116"</f>
        <v>99116</v>
      </c>
      <c r="C8554" s="1">
        <v>1.67987820882985E-3</v>
      </c>
      <c r="D8554" s="1">
        <v>1.6251354279523201E-3</v>
      </c>
      <c r="E8554" s="1">
        <v>1.03021978021978E-3</v>
      </c>
      <c r="F8554" s="1">
        <v>1.6464167568638801E-3</v>
      </c>
    </row>
    <row r="8555" spans="1:6" x14ac:dyDescent="0.25">
      <c r="A8555" s="2" t="str">
        <f t="shared" si="324"/>
        <v>48300</v>
      </c>
      <c r="B8555" s="2" t="str">
        <f>"98815"</f>
        <v>98815</v>
      </c>
      <c r="C8555" s="1">
        <v>5.3231140742296103E-2</v>
      </c>
      <c r="D8555" s="1">
        <v>4.92957746478873E-2</v>
      </c>
      <c r="E8555" s="1">
        <v>4.0521978021978003E-2</v>
      </c>
      <c r="F8555" s="1">
        <v>5.2334710428830498E-2</v>
      </c>
    </row>
    <row r="8556" spans="1:6" x14ac:dyDescent="0.25">
      <c r="A8556" s="2" t="str">
        <f t="shared" si="324"/>
        <v>48300</v>
      </c>
      <c r="B8556" s="2" t="str">
        <f>"98801"</f>
        <v>98801</v>
      </c>
      <c r="C8556" s="1">
        <v>0.32453147146831801</v>
      </c>
      <c r="D8556" s="1">
        <v>0.39364391477067501</v>
      </c>
      <c r="E8556" s="1">
        <v>0.43131868131868101</v>
      </c>
      <c r="F8556" s="1">
        <v>0.33510678842020197</v>
      </c>
    </row>
    <row r="8557" spans="1:6" x14ac:dyDescent="0.25">
      <c r="A8557" s="2" t="str">
        <f t="shared" si="324"/>
        <v>48300</v>
      </c>
      <c r="B8557" s="2" t="str">
        <f>"98847"</f>
        <v>98847</v>
      </c>
      <c r="C8557" s="1">
        <v>1.9738568953750799E-2</v>
      </c>
      <c r="D8557" s="1">
        <v>1.37233658360418E-2</v>
      </c>
      <c r="E8557" s="1">
        <v>3.7774725274725201E-3</v>
      </c>
      <c r="F8557" s="1">
        <v>1.85221885147186E-2</v>
      </c>
    </row>
    <row r="8558" spans="1:6" x14ac:dyDescent="0.25">
      <c r="A8558" s="2" t="str">
        <f t="shared" si="324"/>
        <v>48300</v>
      </c>
      <c r="B8558" s="2" t="str">
        <f>"98831"</f>
        <v>98831</v>
      </c>
      <c r="C8558" s="1">
        <v>4.49717395488827E-2</v>
      </c>
      <c r="D8558" s="1">
        <v>1.9140483929216301E-2</v>
      </c>
      <c r="E8558" s="1">
        <v>1.37362637362637E-2</v>
      </c>
      <c r="F8558" s="1">
        <v>4.14043325152064E-2</v>
      </c>
    </row>
    <row r="8559" spans="1:6" x14ac:dyDescent="0.25">
      <c r="A8559" s="2" t="str">
        <f t="shared" si="324"/>
        <v>48300</v>
      </c>
      <c r="B8559" s="2" t="str">
        <f>"98822"</f>
        <v>98822</v>
      </c>
      <c r="C8559" s="1">
        <v>1.47339317899452E-2</v>
      </c>
      <c r="D8559" s="1">
        <v>3.0697002527988399E-3</v>
      </c>
      <c r="E8559" s="1">
        <v>1.37362637362637E-3</v>
      </c>
      <c r="F8559" s="1">
        <v>1.31560894553104E-2</v>
      </c>
    </row>
    <row r="8560" spans="1:6" x14ac:dyDescent="0.25">
      <c r="A8560" s="2" t="str">
        <f t="shared" si="324"/>
        <v>48300</v>
      </c>
      <c r="B8560" s="2" t="str">
        <f>"98802"</f>
        <v>98802</v>
      </c>
      <c r="C8560" s="1">
        <v>0.22470120916233499</v>
      </c>
      <c r="D8560" s="1">
        <v>0.142470205850487</v>
      </c>
      <c r="E8560" s="1">
        <v>0.14594780219780201</v>
      </c>
      <c r="F8560" s="1">
        <v>0.21426284738631299</v>
      </c>
    </row>
    <row r="8561" spans="1:6" x14ac:dyDescent="0.25">
      <c r="A8561" s="2" t="str">
        <f t="shared" si="324"/>
        <v>48300</v>
      </c>
      <c r="B8561" s="2" t="str">
        <f>"98846"</f>
        <v>98846</v>
      </c>
      <c r="C8561" s="1">
        <v>1.04992388051866E-4</v>
      </c>
      <c r="D8561" s="1">
        <v>1.80570603105814E-4</v>
      </c>
      <c r="E8561" s="1">
        <v>3.43406593406593E-4</v>
      </c>
      <c r="F8561" s="1">
        <v>1.21956796804731E-4</v>
      </c>
    </row>
    <row r="8562" spans="1:6" x14ac:dyDescent="0.25">
      <c r="A8562" s="2" t="str">
        <f t="shared" si="324"/>
        <v>48300</v>
      </c>
      <c r="B8562" s="2" t="str">
        <f>"98817"</f>
        <v>98817</v>
      </c>
      <c r="C8562" s="1">
        <v>0</v>
      </c>
      <c r="D8562" s="1">
        <v>1.80570603105814E-4</v>
      </c>
      <c r="E8562" s="1">
        <v>1.54532967032967E-2</v>
      </c>
      <c r="F8562" s="1">
        <v>7.0125158162720805E-4</v>
      </c>
    </row>
    <row r="8563" spans="1:6" x14ac:dyDescent="0.25">
      <c r="A8563" s="2" t="str">
        <f t="shared" si="324"/>
        <v>48300</v>
      </c>
      <c r="B8563" s="2" t="str">
        <f>"98813"</f>
        <v>98813</v>
      </c>
      <c r="C8563" s="1">
        <v>3.1147741788720299E-3</v>
      </c>
      <c r="D8563" s="1">
        <v>7.2228241242325698E-4</v>
      </c>
      <c r="E8563" s="1">
        <v>2.4038461538461501E-3</v>
      </c>
      <c r="F8563" s="1">
        <v>2.8812293245117902E-3</v>
      </c>
    </row>
    <row r="8564" spans="1:6" x14ac:dyDescent="0.25">
      <c r="A8564" s="2" t="str">
        <f t="shared" si="324"/>
        <v>48300</v>
      </c>
      <c r="B8564" s="2" t="str">
        <f>"98811"</f>
        <v>98811</v>
      </c>
      <c r="C8564" s="1">
        <v>0</v>
      </c>
      <c r="D8564" s="1">
        <v>1.80570603105814E-4</v>
      </c>
      <c r="E8564" s="1">
        <v>0</v>
      </c>
      <c r="F8564" s="1">
        <v>1.52445996005914E-5</v>
      </c>
    </row>
    <row r="8565" spans="1:6" x14ac:dyDescent="0.25">
      <c r="A8565" s="2" t="str">
        <f t="shared" si="324"/>
        <v>48300</v>
      </c>
      <c r="B8565" s="2" t="str">
        <f>"98823"</f>
        <v>98823</v>
      </c>
      <c r="C8565" s="1">
        <v>8.7493656709888506E-5</v>
      </c>
      <c r="D8565" s="1">
        <v>0</v>
      </c>
      <c r="E8565" s="1">
        <v>0</v>
      </c>
      <c r="F8565" s="1">
        <v>7.6222998002957405E-5</v>
      </c>
    </row>
    <row r="8566" spans="1:6" x14ac:dyDescent="0.25">
      <c r="A8566" s="2" t="str">
        <f t="shared" si="324"/>
        <v>48300</v>
      </c>
      <c r="B8566" s="2" t="str">
        <f>"98845"</f>
        <v>98845</v>
      </c>
      <c r="C8566" s="1">
        <v>1.4873921640681E-3</v>
      </c>
      <c r="D8566" s="1">
        <v>5.4171180931744298E-4</v>
      </c>
      <c r="E8566" s="1">
        <v>0</v>
      </c>
      <c r="F8566" s="1">
        <v>1.3415247648520499E-3</v>
      </c>
    </row>
    <row r="8567" spans="1:6" x14ac:dyDescent="0.25">
      <c r="A8567" s="2" t="str">
        <f t="shared" si="324"/>
        <v>48300</v>
      </c>
      <c r="B8567" s="2" t="str">
        <f>"98843"</f>
        <v>98843</v>
      </c>
      <c r="C8567" s="1">
        <v>2.8277949848635901E-2</v>
      </c>
      <c r="D8567" s="1">
        <v>6.5005417118093097E-3</v>
      </c>
      <c r="E8567" s="1">
        <v>4.1208791208791201E-3</v>
      </c>
      <c r="F8567" s="1">
        <v>2.5367013735384199E-2</v>
      </c>
    </row>
    <row r="8568" spans="1:6" x14ac:dyDescent="0.25">
      <c r="A8568" s="2" t="str">
        <f t="shared" ref="A8568:A8631" si="325">"35620"</f>
        <v>35620</v>
      </c>
      <c r="B8568" s="2" t="str">
        <f>"18457"</f>
        <v>18457</v>
      </c>
      <c r="C8568" s="1">
        <v>2.48826255449761E-7</v>
      </c>
      <c r="D8568" s="1">
        <v>1.2271850951007001E-6</v>
      </c>
      <c r="E8568" s="1">
        <v>0</v>
      </c>
      <c r="F8568" s="1">
        <v>3.1830110393188798E-7</v>
      </c>
    </row>
    <row r="8569" spans="1:6" x14ac:dyDescent="0.25">
      <c r="A8569" s="2" t="str">
        <f t="shared" si="325"/>
        <v>35620</v>
      </c>
      <c r="B8569" s="2" t="str">
        <f>"18464"</f>
        <v>18464</v>
      </c>
      <c r="C8569" s="1">
        <v>9.8659610285830394E-5</v>
      </c>
      <c r="D8569" s="1">
        <v>2.3316516806913401E-5</v>
      </c>
      <c r="E8569" s="1">
        <v>1.3975556751242E-5</v>
      </c>
      <c r="F8569" s="1">
        <v>8.7002301741382794E-5</v>
      </c>
    </row>
    <row r="8570" spans="1:6" x14ac:dyDescent="0.25">
      <c r="A8570" s="2" t="str">
        <f t="shared" si="325"/>
        <v>35620</v>
      </c>
      <c r="B8570" s="2" t="str">
        <f>"12533"</f>
        <v>12533</v>
      </c>
      <c r="C8570" s="1">
        <v>9.8286370902655794E-6</v>
      </c>
      <c r="D8570" s="1">
        <v>0</v>
      </c>
      <c r="E8570" s="1">
        <v>1.74694459390525E-6</v>
      </c>
      <c r="F8570" s="1">
        <v>8.4880294381836894E-6</v>
      </c>
    </row>
    <row r="8571" spans="1:6" x14ac:dyDescent="0.25">
      <c r="A8571" s="2" t="str">
        <f t="shared" si="325"/>
        <v>35620</v>
      </c>
      <c r="B8571" s="2" t="str">
        <f>"11978"</f>
        <v>11978</v>
      </c>
      <c r="C8571" s="1">
        <v>5.6919005934132896E-4</v>
      </c>
      <c r="D8571" s="1">
        <v>8.6516549204599899E-4</v>
      </c>
      <c r="E8571" s="1">
        <v>2.6204168908578802E-4</v>
      </c>
      <c r="F8571" s="1">
        <v>5.7612499811671798E-4</v>
      </c>
    </row>
    <row r="8572" spans="1:6" x14ac:dyDescent="0.25">
      <c r="A8572" s="2" t="str">
        <f t="shared" si="325"/>
        <v>35620</v>
      </c>
      <c r="B8572" s="2" t="str">
        <f>"11776"</f>
        <v>11776</v>
      </c>
      <c r="C8572" s="1">
        <v>1.1302932653805399E-3</v>
      </c>
      <c r="D8572" s="1">
        <v>1.1891423571525801E-3</v>
      </c>
      <c r="E8572" s="1">
        <v>5.6950393761311395E-4</v>
      </c>
      <c r="F8572" s="1">
        <v>1.1013218196043301E-3</v>
      </c>
    </row>
    <row r="8573" spans="1:6" x14ac:dyDescent="0.25">
      <c r="A8573" s="2" t="str">
        <f t="shared" si="325"/>
        <v>35620</v>
      </c>
      <c r="B8573" s="2" t="str">
        <f>"11963"</f>
        <v>11963</v>
      </c>
      <c r="C8573" s="1">
        <v>9.5711019158750698E-4</v>
      </c>
      <c r="D8573" s="1">
        <v>6.9949550420740397E-4</v>
      </c>
      <c r="E8573" s="1">
        <v>1.3975556751242001E-4</v>
      </c>
      <c r="F8573" s="1">
        <v>8.8519537003458205E-4</v>
      </c>
    </row>
    <row r="8574" spans="1:6" x14ac:dyDescent="0.25">
      <c r="A8574" s="2" t="str">
        <f t="shared" si="325"/>
        <v>35620</v>
      </c>
      <c r="B8574" s="2" t="str">
        <f>"11948"</f>
        <v>11948</v>
      </c>
      <c r="C8574" s="1">
        <v>7.2781679719055204E-5</v>
      </c>
      <c r="D8574" s="1">
        <v>1.4726221141208501E-5</v>
      </c>
      <c r="E8574" s="1">
        <v>3.4938891878105101E-6</v>
      </c>
      <c r="F8574" s="1">
        <v>6.3554120418400398E-5</v>
      </c>
    </row>
    <row r="8575" spans="1:6" x14ac:dyDescent="0.25">
      <c r="A8575" s="2" t="str">
        <f t="shared" si="325"/>
        <v>35620</v>
      </c>
      <c r="B8575" s="2" t="str">
        <f>"11934"</f>
        <v>11934</v>
      </c>
      <c r="C8575" s="1">
        <v>4.8446471936068499E-4</v>
      </c>
      <c r="D8575" s="1">
        <v>7.2403920610941805E-4</v>
      </c>
      <c r="E8575" s="1">
        <v>1.78188348578336E-4</v>
      </c>
      <c r="F8575" s="1">
        <v>4.8657628754387999E-4</v>
      </c>
    </row>
    <row r="8576" spans="1:6" x14ac:dyDescent="0.25">
      <c r="A8576" s="2" t="str">
        <f t="shared" si="325"/>
        <v>35620</v>
      </c>
      <c r="B8576" s="2" t="str">
        <f>"11931"</f>
        <v>11931</v>
      </c>
      <c r="C8576" s="1">
        <v>1.9881217810435901E-4</v>
      </c>
      <c r="D8576" s="1">
        <v>1.82850579170005E-4</v>
      </c>
      <c r="E8576" s="1">
        <v>3.4938891878105101E-6</v>
      </c>
      <c r="F8576" s="1">
        <v>1.8556954359229101E-4</v>
      </c>
    </row>
    <row r="8577" spans="1:6" x14ac:dyDescent="0.25">
      <c r="A8577" s="2" t="str">
        <f t="shared" si="325"/>
        <v>35620</v>
      </c>
      <c r="B8577" s="2" t="str">
        <f>"11901"</f>
        <v>11901</v>
      </c>
      <c r="C8577" s="1">
        <v>1.6743518729214399E-3</v>
      </c>
      <c r="D8577" s="1">
        <v>2.6482654352273198E-3</v>
      </c>
      <c r="E8577" s="1">
        <v>1.6176706939562699E-3</v>
      </c>
      <c r="F8577" s="1">
        <v>1.75511228708043E-3</v>
      </c>
    </row>
    <row r="8578" spans="1:6" x14ac:dyDescent="0.25">
      <c r="A8578" s="2" t="str">
        <f t="shared" si="325"/>
        <v>35620</v>
      </c>
      <c r="B8578" s="2" t="str">
        <f>"11755"</f>
        <v>11755</v>
      </c>
      <c r="C8578" s="1">
        <v>6.1161493589551301E-4</v>
      </c>
      <c r="D8578" s="1">
        <v>6.9826831911230303E-4</v>
      </c>
      <c r="E8578" s="1">
        <v>1.5198417966975699E-4</v>
      </c>
      <c r="F8578" s="1">
        <v>5.9119125036949404E-4</v>
      </c>
    </row>
    <row r="8579" spans="1:6" x14ac:dyDescent="0.25">
      <c r="A8579" s="2" t="str">
        <f t="shared" si="325"/>
        <v>35620</v>
      </c>
      <c r="B8579" s="2" t="str">
        <f>"11790"</f>
        <v>11790</v>
      </c>
      <c r="C8579" s="1">
        <v>7.2993182036187496E-4</v>
      </c>
      <c r="D8579" s="1">
        <v>8.6271112185579797E-4</v>
      </c>
      <c r="E8579" s="1">
        <v>1.4150251210632599E-4</v>
      </c>
      <c r="F8579" s="1">
        <v>7.0567354741699702E-4</v>
      </c>
    </row>
    <row r="8580" spans="1:6" x14ac:dyDescent="0.25">
      <c r="A8580" s="2" t="str">
        <f t="shared" si="325"/>
        <v>35620</v>
      </c>
      <c r="B8580" s="2" t="str">
        <f>"11782"</f>
        <v>11782</v>
      </c>
      <c r="C8580" s="1">
        <v>8.10053874616698E-4</v>
      </c>
      <c r="D8580" s="1">
        <v>9.829752611756669E-4</v>
      </c>
      <c r="E8580" s="1">
        <v>7.7389645510002997E-4</v>
      </c>
      <c r="F8580" s="1">
        <v>8.2280835366393198E-4</v>
      </c>
    </row>
    <row r="8581" spans="1:6" x14ac:dyDescent="0.25">
      <c r="A8581" s="2" t="str">
        <f t="shared" si="325"/>
        <v>35620</v>
      </c>
      <c r="B8581" s="2" t="str">
        <f>"11746"</f>
        <v>11746</v>
      </c>
      <c r="C8581" s="1">
        <v>2.7079761380597498E-3</v>
      </c>
      <c r="D8581" s="1">
        <v>2.33287886578644E-3</v>
      </c>
      <c r="E8581" s="1">
        <v>1.1128037063176501E-3</v>
      </c>
      <c r="F8581" s="1">
        <v>2.5786633433202001E-3</v>
      </c>
    </row>
    <row r="8582" spans="1:6" x14ac:dyDescent="0.25">
      <c r="A8582" s="2" t="str">
        <f t="shared" si="325"/>
        <v>35620</v>
      </c>
      <c r="B8582" s="2" t="str">
        <f>"11747"</f>
        <v>11747</v>
      </c>
      <c r="C8582" s="1">
        <v>1.05850689068328E-3</v>
      </c>
      <c r="D8582" s="1">
        <v>2.7722111298324999E-3</v>
      </c>
      <c r="E8582" s="1">
        <v>1.1023220387542101E-3</v>
      </c>
      <c r="F8582" s="1">
        <v>1.20933199420522E-3</v>
      </c>
    </row>
    <row r="8583" spans="1:6" x14ac:dyDescent="0.25">
      <c r="A8583" s="2" t="str">
        <f t="shared" si="325"/>
        <v>35620</v>
      </c>
      <c r="B8583" s="2" t="str">
        <f>"11599"</f>
        <v>11599</v>
      </c>
      <c r="C8583" s="1">
        <v>0</v>
      </c>
      <c r="D8583" s="1">
        <v>2.4543701902014099E-6</v>
      </c>
      <c r="E8583" s="1">
        <v>0</v>
      </c>
      <c r="F8583" s="1">
        <v>2.12200735954592E-7</v>
      </c>
    </row>
    <row r="8584" spans="1:6" x14ac:dyDescent="0.25">
      <c r="A8584" s="2" t="str">
        <f t="shared" si="325"/>
        <v>35620</v>
      </c>
      <c r="B8584" s="2" t="str">
        <f>"11730"</f>
        <v>11730</v>
      </c>
      <c r="C8584" s="1">
        <v>6.9621586274843197E-4</v>
      </c>
      <c r="D8584" s="1">
        <v>6.5777121097397898E-4</v>
      </c>
      <c r="E8584" s="1">
        <v>3.24931694466378E-4</v>
      </c>
      <c r="F8584" s="1">
        <v>6.7034212488055705E-4</v>
      </c>
    </row>
    <row r="8585" spans="1:6" x14ac:dyDescent="0.25">
      <c r="A8585" s="2" t="str">
        <f t="shared" si="325"/>
        <v>35620</v>
      </c>
      <c r="B8585" s="2" t="str">
        <f>"11727"</f>
        <v>11727</v>
      </c>
      <c r="C8585" s="1">
        <v>1.4974364052966599E-3</v>
      </c>
      <c r="D8585" s="1">
        <v>8.6639267714110004E-4</v>
      </c>
      <c r="E8585" s="1">
        <v>1.0586484239065799E-3</v>
      </c>
      <c r="F8585" s="1">
        <v>1.4162277117609401E-3</v>
      </c>
    </row>
    <row r="8586" spans="1:6" x14ac:dyDescent="0.25">
      <c r="A8586" s="2" t="str">
        <f t="shared" si="325"/>
        <v>35620</v>
      </c>
      <c r="B8586" s="2" t="str">
        <f>"11725"</f>
        <v>11725</v>
      </c>
      <c r="C8586" s="1">
        <v>1.29949511908637E-3</v>
      </c>
      <c r="D8586" s="1">
        <v>2.04326318334268E-3</v>
      </c>
      <c r="E8586" s="1">
        <v>7.0401867134381902E-4</v>
      </c>
      <c r="F8586" s="1">
        <v>1.3276339044999E-3</v>
      </c>
    </row>
    <row r="8587" spans="1:6" x14ac:dyDescent="0.25">
      <c r="A8587" s="2" t="str">
        <f t="shared" si="325"/>
        <v>35620</v>
      </c>
      <c r="B8587" s="2" t="str">
        <f>"11722"</f>
        <v>11722</v>
      </c>
      <c r="C8587" s="1">
        <v>1.33968055934151E-3</v>
      </c>
      <c r="D8587" s="1">
        <v>9.903383717462719E-4</v>
      </c>
      <c r="E8587" s="1">
        <v>5.2583032276548299E-4</v>
      </c>
      <c r="F8587" s="1">
        <v>1.26004797009836E-3</v>
      </c>
    </row>
    <row r="8588" spans="1:6" x14ac:dyDescent="0.25">
      <c r="A8588" s="2" t="str">
        <f t="shared" si="325"/>
        <v>35620</v>
      </c>
      <c r="B8588" s="2" t="str">
        <f>"11531"</f>
        <v>11531</v>
      </c>
      <c r="C8588" s="1">
        <v>3.7075112062014399E-5</v>
      </c>
      <c r="D8588" s="1">
        <v>5.7677699469733297E-5</v>
      </c>
      <c r="E8588" s="1">
        <v>3.4938891878105101E-6</v>
      </c>
      <c r="F8588" s="1">
        <v>3.6816827688121703E-5</v>
      </c>
    </row>
    <row r="8589" spans="1:6" x14ac:dyDescent="0.25">
      <c r="A8589" s="2" t="str">
        <f t="shared" si="325"/>
        <v>35620</v>
      </c>
      <c r="B8589" s="2" t="str">
        <f>"11530"</f>
        <v>11530</v>
      </c>
      <c r="C8589" s="1">
        <v>1.3461500419832001E-3</v>
      </c>
      <c r="D8589" s="1">
        <v>3.4594347830888901E-3</v>
      </c>
      <c r="E8589" s="1">
        <v>1.7277282033722999E-3</v>
      </c>
      <c r="F8589" s="1">
        <v>1.55203618277188E-3</v>
      </c>
    </row>
    <row r="8590" spans="1:6" x14ac:dyDescent="0.25">
      <c r="A8590" s="2" t="str">
        <f t="shared" si="325"/>
        <v>35620</v>
      </c>
      <c r="B8590" s="2" t="str">
        <f>"11374"</f>
        <v>11374</v>
      </c>
      <c r="C8590" s="1">
        <v>2.6711498522531902E-3</v>
      </c>
      <c r="D8590" s="1">
        <v>1.5057561116885599E-3</v>
      </c>
      <c r="E8590" s="1">
        <v>1.0796117590334501E-3</v>
      </c>
      <c r="F8590" s="1">
        <v>2.4737300793906598E-3</v>
      </c>
    </row>
    <row r="8591" spans="1:6" x14ac:dyDescent="0.25">
      <c r="A8591" s="2" t="str">
        <f t="shared" si="325"/>
        <v>35620</v>
      </c>
      <c r="B8591" s="2" t="str">
        <f>"11439"</f>
        <v>11439</v>
      </c>
      <c r="C8591" s="1">
        <v>1.9035208541906701E-5</v>
      </c>
      <c r="D8591" s="1">
        <v>3.6815552853021201E-6</v>
      </c>
      <c r="E8591" s="1">
        <v>1.3975556751242E-5</v>
      </c>
      <c r="F8591" s="1">
        <v>1.74004603482765E-5</v>
      </c>
    </row>
    <row r="8592" spans="1:6" x14ac:dyDescent="0.25">
      <c r="A8592" s="2" t="str">
        <f t="shared" si="325"/>
        <v>35620</v>
      </c>
      <c r="B8592" s="2" t="str">
        <f>"11509"</f>
        <v>11509</v>
      </c>
      <c r="C8592" s="1">
        <v>1.54521104634301E-4</v>
      </c>
      <c r="D8592" s="1">
        <v>6.0132069659934701E-5</v>
      </c>
      <c r="E8592" s="1">
        <v>5.9396116192778799E-5</v>
      </c>
      <c r="F8592" s="1">
        <v>1.40582987569917E-4</v>
      </c>
    </row>
    <row r="8593" spans="1:6" x14ac:dyDescent="0.25">
      <c r="A8593" s="2" t="str">
        <f t="shared" si="325"/>
        <v>35620</v>
      </c>
      <c r="B8593" s="2" t="str">
        <f>"11507"</f>
        <v>11507</v>
      </c>
      <c r="C8593" s="1">
        <v>3.3255629040860598E-4</v>
      </c>
      <c r="D8593" s="1">
        <v>4.4424100442645601E-4</v>
      </c>
      <c r="E8593" s="1">
        <v>1.4849029048194699E-4</v>
      </c>
      <c r="F8593" s="1">
        <v>3.3103314808916398E-4</v>
      </c>
    </row>
    <row r="8594" spans="1:6" x14ac:dyDescent="0.25">
      <c r="A8594" s="2" t="str">
        <f t="shared" si="325"/>
        <v>35620</v>
      </c>
      <c r="B8594" s="2" t="str">
        <f>"11418"</f>
        <v>11418</v>
      </c>
      <c r="C8594" s="1">
        <v>1.16264067858901E-3</v>
      </c>
      <c r="D8594" s="1">
        <v>1.33640456856467E-3</v>
      </c>
      <c r="E8594" s="1">
        <v>9.2937452395759797E-4</v>
      </c>
      <c r="F8594" s="1">
        <v>1.16349663523903E-3</v>
      </c>
    </row>
    <row r="8595" spans="1:6" x14ac:dyDescent="0.25">
      <c r="A8595" s="2" t="str">
        <f t="shared" si="325"/>
        <v>35620</v>
      </c>
      <c r="B8595" s="2" t="str">
        <f>"11412"</f>
        <v>11412</v>
      </c>
      <c r="C8595" s="1">
        <v>1.28481437001484E-3</v>
      </c>
      <c r="D8595" s="1">
        <v>1.0075189630776801E-3</v>
      </c>
      <c r="E8595" s="1">
        <v>4.0529114578601998E-4</v>
      </c>
      <c r="F8595" s="1">
        <v>1.20742218758163E-3</v>
      </c>
    </row>
    <row r="8596" spans="1:6" x14ac:dyDescent="0.25">
      <c r="A8596" s="2" t="str">
        <f t="shared" si="325"/>
        <v>35620</v>
      </c>
      <c r="B8596" s="2" t="str">
        <f>"11427"</f>
        <v>11427</v>
      </c>
      <c r="C8596" s="1">
        <v>9.1841770886506901E-4</v>
      </c>
      <c r="D8596" s="1">
        <v>2.7488946130255801E-4</v>
      </c>
      <c r="E8596" s="1">
        <v>4.6294031738489301E-4</v>
      </c>
      <c r="F8596" s="1">
        <v>8.3511599634929798E-4</v>
      </c>
    </row>
    <row r="8597" spans="1:6" x14ac:dyDescent="0.25">
      <c r="A8597" s="2" t="str">
        <f t="shared" si="325"/>
        <v>35620</v>
      </c>
      <c r="B8597" s="2" t="str">
        <f>"11424"</f>
        <v>11424</v>
      </c>
      <c r="C8597" s="1">
        <v>0</v>
      </c>
      <c r="D8597" s="1">
        <v>3.9269923043222598E-5</v>
      </c>
      <c r="E8597" s="1">
        <v>1.3975556751242E-5</v>
      </c>
      <c r="F8597" s="1">
        <v>4.2440147190918396E-6</v>
      </c>
    </row>
    <row r="8598" spans="1:6" x14ac:dyDescent="0.25">
      <c r="A8598" s="2" t="str">
        <f t="shared" si="325"/>
        <v>35620</v>
      </c>
      <c r="B8598" s="2" t="str">
        <f>"11359"</f>
        <v>11359</v>
      </c>
      <c r="C8598" s="1">
        <v>0</v>
      </c>
      <c r="D8598" s="1">
        <v>1.76714653694502E-4</v>
      </c>
      <c r="E8598" s="1">
        <v>8.7347229695262897E-6</v>
      </c>
      <c r="F8598" s="1">
        <v>1.5808954828617101E-5</v>
      </c>
    </row>
    <row r="8599" spans="1:6" x14ac:dyDescent="0.25">
      <c r="A8599" s="2" t="str">
        <f t="shared" si="325"/>
        <v>35620</v>
      </c>
      <c r="B8599" s="2" t="str">
        <f>"11357"</f>
        <v>11357</v>
      </c>
      <c r="C8599" s="1">
        <v>1.79677439060272E-3</v>
      </c>
      <c r="D8599" s="1">
        <v>1.2787268690949299E-3</v>
      </c>
      <c r="E8599" s="1">
        <v>5.7299782680092504E-4</v>
      </c>
      <c r="F8599" s="1">
        <v>1.677659018457E-3</v>
      </c>
    </row>
    <row r="8600" spans="1:6" x14ac:dyDescent="0.25">
      <c r="A8600" s="2" t="str">
        <f t="shared" si="325"/>
        <v>35620</v>
      </c>
      <c r="B8600" s="2" t="str">
        <f>"11358"</f>
        <v>11358</v>
      </c>
      <c r="C8600" s="1">
        <v>1.59572277619932E-3</v>
      </c>
      <c r="D8600" s="1">
        <v>1.6468823976251499E-3</v>
      </c>
      <c r="E8600" s="1">
        <v>1.7399568155296299E-3</v>
      </c>
      <c r="F8600" s="1">
        <v>1.6089059800077101E-3</v>
      </c>
    </row>
    <row r="8601" spans="1:6" x14ac:dyDescent="0.25">
      <c r="A8601" s="2" t="str">
        <f t="shared" si="325"/>
        <v>35620</v>
      </c>
      <c r="B8601" s="2" t="str">
        <f>"11245"</f>
        <v>11245</v>
      </c>
      <c r="C8601" s="1">
        <v>0</v>
      </c>
      <c r="D8601" s="1">
        <v>3.6815552853021201E-6</v>
      </c>
      <c r="E8601" s="1">
        <v>0</v>
      </c>
      <c r="F8601" s="1">
        <v>3.1830110393188798E-7</v>
      </c>
    </row>
    <row r="8602" spans="1:6" x14ac:dyDescent="0.25">
      <c r="A8602" s="2" t="str">
        <f t="shared" si="325"/>
        <v>35620</v>
      </c>
      <c r="B8602" s="2" t="str">
        <f>"11241"</f>
        <v>11241</v>
      </c>
      <c r="C8602" s="1">
        <v>0</v>
      </c>
      <c r="D8602" s="1">
        <v>1.82850579170005E-4</v>
      </c>
      <c r="E8602" s="1">
        <v>8.7347229695262897E-6</v>
      </c>
      <c r="F8602" s="1">
        <v>1.6339456668503601E-5</v>
      </c>
    </row>
    <row r="8603" spans="1:6" x14ac:dyDescent="0.25">
      <c r="A8603" s="2" t="str">
        <f t="shared" si="325"/>
        <v>35620</v>
      </c>
      <c r="B8603" s="2" t="str">
        <f>"11235"</f>
        <v>11235</v>
      </c>
      <c r="C8603" s="1">
        <v>4.5642200037149701E-3</v>
      </c>
      <c r="D8603" s="1">
        <v>3.0299199998036499E-3</v>
      </c>
      <c r="E8603" s="1">
        <v>3.2615455568211099E-3</v>
      </c>
      <c r="F8603" s="1">
        <v>4.3524492951646397E-3</v>
      </c>
    </row>
    <row r="8604" spans="1:6" x14ac:dyDescent="0.25">
      <c r="A8604" s="2" t="str">
        <f t="shared" si="325"/>
        <v>35620</v>
      </c>
      <c r="B8604" s="2" t="str">
        <f>"11220"</f>
        <v>11220</v>
      </c>
      <c r="C8604" s="1">
        <v>3.0958962703059299E-3</v>
      </c>
      <c r="D8604" s="1">
        <v>4.0656642200686396E-3</v>
      </c>
      <c r="E8604" s="1">
        <v>6.1038244111049703E-3</v>
      </c>
      <c r="F8604" s="1">
        <v>3.3624267615684901E-3</v>
      </c>
    </row>
    <row r="8605" spans="1:6" x14ac:dyDescent="0.25">
      <c r="A8605" s="2" t="str">
        <f t="shared" si="325"/>
        <v>35620</v>
      </c>
      <c r="B8605" s="2" t="str">
        <f>"11219"</f>
        <v>11219</v>
      </c>
      <c r="C8605" s="1">
        <v>3.2974455372202301E-3</v>
      </c>
      <c r="D8605" s="1">
        <v>3.9674894124605902E-3</v>
      </c>
      <c r="E8605" s="1">
        <v>5.9885260679072303E-3</v>
      </c>
      <c r="F8605" s="1">
        <v>3.51881870396702E-3</v>
      </c>
    </row>
    <row r="8606" spans="1:6" x14ac:dyDescent="0.25">
      <c r="A8606" s="2" t="str">
        <f t="shared" si="325"/>
        <v>35620</v>
      </c>
      <c r="B8606" s="2" t="str">
        <f>"11204"</f>
        <v>11204</v>
      </c>
      <c r="C8606" s="1">
        <v>3.09502537841185E-3</v>
      </c>
      <c r="D8606" s="1">
        <v>2.5427275170486598E-3</v>
      </c>
      <c r="E8606" s="1">
        <v>6.82705947298175E-3</v>
      </c>
      <c r="F8606" s="1">
        <v>3.27393905467542E-3</v>
      </c>
    </row>
    <row r="8607" spans="1:6" x14ac:dyDescent="0.25">
      <c r="A8607" s="2" t="str">
        <f t="shared" si="325"/>
        <v>35620</v>
      </c>
      <c r="B8607" s="2" t="str">
        <f>"11211"</f>
        <v>11211</v>
      </c>
      <c r="C8607" s="1">
        <v>3.7626262217835601E-3</v>
      </c>
      <c r="D8607" s="1">
        <v>3.8680874197574299E-3</v>
      </c>
      <c r="E8607" s="1">
        <v>9.5295827597531892E-3</v>
      </c>
      <c r="F8607" s="1">
        <v>4.1219992959179502E-3</v>
      </c>
    </row>
    <row r="8608" spans="1:6" x14ac:dyDescent="0.25">
      <c r="A8608" s="2" t="str">
        <f t="shared" si="325"/>
        <v>35620</v>
      </c>
      <c r="B8608" s="2" t="str">
        <f>"11102"</f>
        <v>11102</v>
      </c>
      <c r="C8608" s="1">
        <v>2.0483377348624299E-3</v>
      </c>
      <c r="D8608" s="1">
        <v>1.33517738346957E-3</v>
      </c>
      <c r="E8608" s="1">
        <v>4.1053197956773596E-3</v>
      </c>
      <c r="F8608" s="1">
        <v>2.1116095234841401E-3</v>
      </c>
    </row>
    <row r="8609" spans="1:6" x14ac:dyDescent="0.25">
      <c r="A8609" s="2" t="str">
        <f t="shared" si="325"/>
        <v>35620</v>
      </c>
      <c r="B8609" s="2" t="str">
        <f>"11002"</f>
        <v>11002</v>
      </c>
      <c r="C8609" s="1">
        <v>7.9748814871648493E-5</v>
      </c>
      <c r="D8609" s="1">
        <v>2.3439235316423501E-4</v>
      </c>
      <c r="E8609" s="1">
        <v>3.4938891878105101E-6</v>
      </c>
      <c r="F8609" s="1">
        <v>8.8487706893065007E-5</v>
      </c>
    </row>
    <row r="8610" spans="1:6" x14ac:dyDescent="0.25">
      <c r="A8610" s="2" t="str">
        <f t="shared" si="325"/>
        <v>35620</v>
      </c>
      <c r="B8610" s="2" t="str">
        <f>"11022"</f>
        <v>11022</v>
      </c>
      <c r="C8610" s="1">
        <v>5.9345061924768097E-5</v>
      </c>
      <c r="D8610" s="1">
        <v>3.3502153096249301E-4</v>
      </c>
      <c r="E8610" s="1">
        <v>3.4938891878105101E-6</v>
      </c>
      <c r="F8610" s="1">
        <v>7.9787476718926704E-5</v>
      </c>
    </row>
    <row r="8611" spans="1:6" x14ac:dyDescent="0.25">
      <c r="A8611" s="2" t="str">
        <f t="shared" si="325"/>
        <v>35620</v>
      </c>
      <c r="B8611" s="2" t="str">
        <f>"10954"</f>
        <v>10954</v>
      </c>
      <c r="C8611" s="1">
        <v>1.1711007712743001E-3</v>
      </c>
      <c r="D8611" s="1">
        <v>1.7376940946625999E-3</v>
      </c>
      <c r="E8611" s="1">
        <v>6.2365922002417698E-4</v>
      </c>
      <c r="F8611" s="1">
        <v>1.18683871619403E-3</v>
      </c>
    </row>
    <row r="8612" spans="1:6" x14ac:dyDescent="0.25">
      <c r="A8612" s="2" t="str">
        <f t="shared" si="325"/>
        <v>35620</v>
      </c>
      <c r="B8612" s="2" t="str">
        <f>"10994"</f>
        <v>10994</v>
      </c>
      <c r="C8612" s="1">
        <v>3.1799995446479498E-4</v>
      </c>
      <c r="D8612" s="1">
        <v>1.0001558525070699E-3</v>
      </c>
      <c r="E8612" s="1">
        <v>1.9740473911129399E-4</v>
      </c>
      <c r="F8612" s="1">
        <v>3.696536820329E-4</v>
      </c>
    </row>
    <row r="8613" spans="1:6" x14ac:dyDescent="0.25">
      <c r="A8613" s="2" t="str">
        <f t="shared" si="325"/>
        <v>35620</v>
      </c>
      <c r="B8613" s="2" t="str">
        <f>"10984"</f>
        <v>10984</v>
      </c>
      <c r="C8613" s="1">
        <v>1.06746463587947E-4</v>
      </c>
      <c r="D8613" s="1">
        <v>1.8407776426510601E-5</v>
      </c>
      <c r="E8613" s="1">
        <v>1.15298343197747E-4</v>
      </c>
      <c r="F8613" s="1">
        <v>9.9628245530681103E-5</v>
      </c>
    </row>
    <row r="8614" spans="1:6" x14ac:dyDescent="0.25">
      <c r="A8614" s="2" t="str">
        <f t="shared" si="325"/>
        <v>35620</v>
      </c>
      <c r="B8614" s="2" t="str">
        <f>"10983"</f>
        <v>10983</v>
      </c>
      <c r="C8614" s="1">
        <v>2.6151639447769898E-4</v>
      </c>
      <c r="D8614" s="1">
        <v>2.3316516806913399E-4</v>
      </c>
      <c r="E8614" s="1">
        <v>4.1926670253726203E-5</v>
      </c>
      <c r="F8614" s="1">
        <v>2.4572845223541802E-4</v>
      </c>
    </row>
    <row r="8615" spans="1:6" x14ac:dyDescent="0.25">
      <c r="A8615" s="2" t="str">
        <f t="shared" si="325"/>
        <v>35620</v>
      </c>
      <c r="B8615" s="2" t="str">
        <f>"10606"</f>
        <v>10606</v>
      </c>
      <c r="C8615" s="1">
        <v>8.0072289003733205E-4</v>
      </c>
      <c r="D8615" s="1">
        <v>6.5040810040337496E-4</v>
      </c>
      <c r="E8615" s="1">
        <v>1.1896692684494801E-3</v>
      </c>
      <c r="F8615" s="1">
        <v>8.1134951392238398E-4</v>
      </c>
    </row>
    <row r="8616" spans="1:6" x14ac:dyDescent="0.25">
      <c r="A8616" s="2" t="str">
        <f t="shared" si="325"/>
        <v>35620</v>
      </c>
      <c r="B8616" s="2" t="str">
        <f>"10601"</f>
        <v>10601</v>
      </c>
      <c r="C8616" s="1">
        <v>7.8168768149542496E-4</v>
      </c>
      <c r="D8616" s="1">
        <v>3.1440482136480099E-3</v>
      </c>
      <c r="E8616" s="1">
        <v>1.0272034212162899E-3</v>
      </c>
      <c r="F8616" s="1">
        <v>1.00084477112983E-3</v>
      </c>
    </row>
    <row r="8617" spans="1:6" x14ac:dyDescent="0.25">
      <c r="A8617" s="2" t="str">
        <f t="shared" si="325"/>
        <v>35620</v>
      </c>
      <c r="B8617" s="2" t="str">
        <f>"10590"</f>
        <v>10590</v>
      </c>
      <c r="C8617" s="1">
        <v>3.6888492370427099E-4</v>
      </c>
      <c r="D8617" s="1">
        <v>2.07394281072019E-4</v>
      </c>
      <c r="E8617" s="1">
        <v>3.3191947284199901E-5</v>
      </c>
      <c r="F8617" s="1">
        <v>3.3453446023241402E-4</v>
      </c>
    </row>
    <row r="8618" spans="1:6" x14ac:dyDescent="0.25">
      <c r="A8618" s="2" t="str">
        <f t="shared" si="325"/>
        <v>35620</v>
      </c>
      <c r="B8618" s="2" t="str">
        <f>"10510"</f>
        <v>10510</v>
      </c>
      <c r="C8618" s="1">
        <v>5.1842950322957796E-4</v>
      </c>
      <c r="D8618" s="1">
        <v>7.6208194405754E-4</v>
      </c>
      <c r="E8618" s="1">
        <v>2.7252335664922002E-4</v>
      </c>
      <c r="F8618" s="1">
        <v>5.24560219279752E-4</v>
      </c>
    </row>
    <row r="8619" spans="1:6" x14ac:dyDescent="0.25">
      <c r="A8619" s="2" t="str">
        <f t="shared" si="325"/>
        <v>35620</v>
      </c>
      <c r="B8619" s="2" t="str">
        <f>"10474"</f>
        <v>10474</v>
      </c>
      <c r="C8619" s="1">
        <v>5.29751097852542E-4</v>
      </c>
      <c r="D8619" s="1">
        <v>1.7634649816597101E-3</v>
      </c>
      <c r="E8619" s="1">
        <v>6.9703089296819804E-4</v>
      </c>
      <c r="F8619" s="1">
        <v>6.4657564245364295E-4</v>
      </c>
    </row>
    <row r="8620" spans="1:6" x14ac:dyDescent="0.25">
      <c r="A8620" s="2" t="str">
        <f t="shared" si="325"/>
        <v>35620</v>
      </c>
      <c r="B8620" s="2" t="str">
        <f>"10580"</f>
        <v>10580</v>
      </c>
      <c r="C8620" s="1">
        <v>9.2239892895226597E-4</v>
      </c>
      <c r="D8620" s="1">
        <v>9.9401992703157397E-4</v>
      </c>
      <c r="E8620" s="1">
        <v>6.9528394837429304E-4</v>
      </c>
      <c r="F8620" s="1">
        <v>9.1479737270024704E-4</v>
      </c>
    </row>
    <row r="8621" spans="1:6" x14ac:dyDescent="0.25">
      <c r="A8621" s="2" t="str">
        <f t="shared" si="325"/>
        <v>35620</v>
      </c>
      <c r="B8621" s="2" t="str">
        <f>"10573"</f>
        <v>10573</v>
      </c>
      <c r="C8621" s="1">
        <v>1.8236476261913001E-3</v>
      </c>
      <c r="D8621" s="1">
        <v>2.52677411081235E-3</v>
      </c>
      <c r="E8621" s="1">
        <v>2.78288273809107E-3</v>
      </c>
      <c r="F8621" s="1">
        <v>1.9426977376642901E-3</v>
      </c>
    </row>
    <row r="8622" spans="1:6" x14ac:dyDescent="0.25">
      <c r="A8622" s="2" t="str">
        <f t="shared" si="325"/>
        <v>35620</v>
      </c>
      <c r="B8622" s="2" t="str">
        <f>"10540"</f>
        <v>10540</v>
      </c>
      <c r="C8622" s="1">
        <v>5.9842714435667602E-5</v>
      </c>
      <c r="D8622" s="1">
        <v>9.9401992703157394E-5</v>
      </c>
      <c r="E8622" s="1">
        <v>3.4938891878105101E-6</v>
      </c>
      <c r="F8622" s="1">
        <v>5.9840607539195001E-5</v>
      </c>
    </row>
    <row r="8623" spans="1:6" x14ac:dyDescent="0.25">
      <c r="A8623" s="2" t="str">
        <f t="shared" si="325"/>
        <v>35620</v>
      </c>
      <c r="B8623" s="2" t="str">
        <f>"10535"</f>
        <v>10535</v>
      </c>
      <c r="C8623" s="1">
        <v>1.06622050460222E-4</v>
      </c>
      <c r="D8623" s="1">
        <v>2.38073908449537E-4</v>
      </c>
      <c r="E8623" s="1">
        <v>2.0963335126863101E-5</v>
      </c>
      <c r="F8623" s="1">
        <v>1.12784691159865E-4</v>
      </c>
    </row>
    <row r="8624" spans="1:6" x14ac:dyDescent="0.25">
      <c r="A8624" s="2" t="str">
        <f t="shared" si="325"/>
        <v>35620</v>
      </c>
      <c r="B8624" s="2" t="str">
        <f>"10548"</f>
        <v>10548</v>
      </c>
      <c r="C8624" s="1">
        <v>1.53774625867952E-4</v>
      </c>
      <c r="D8624" s="1">
        <v>1.2271850951007E-4</v>
      </c>
      <c r="E8624" s="1">
        <v>1.2228612157336801E-4</v>
      </c>
      <c r="F8624" s="1">
        <v>1.49177117376078E-4</v>
      </c>
    </row>
    <row r="8625" spans="1:6" x14ac:dyDescent="0.25">
      <c r="A8625" s="2" t="str">
        <f t="shared" si="325"/>
        <v>35620</v>
      </c>
      <c r="B8625" s="2" t="str">
        <f>"10546"</f>
        <v>10546</v>
      </c>
      <c r="C8625" s="1">
        <v>1.3125584974974899E-4</v>
      </c>
      <c r="D8625" s="1">
        <v>2.6752635073195398E-4</v>
      </c>
      <c r="E8625" s="1">
        <v>4.7167504035442003E-5</v>
      </c>
      <c r="F8625" s="1">
        <v>1.3793047837048499E-4</v>
      </c>
    </row>
    <row r="8626" spans="1:6" x14ac:dyDescent="0.25">
      <c r="A8626" s="2" t="str">
        <f t="shared" si="325"/>
        <v>35620</v>
      </c>
      <c r="B8626" s="2" t="str">
        <f>"10536"</f>
        <v>10536</v>
      </c>
      <c r="C8626" s="1">
        <v>5.6035672727286197E-4</v>
      </c>
      <c r="D8626" s="1">
        <v>5.0437307408639101E-4</v>
      </c>
      <c r="E8626" s="1">
        <v>3.0222141474560898E-4</v>
      </c>
      <c r="F8626" s="1">
        <v>5.3983867226848302E-4</v>
      </c>
    </row>
    <row r="8627" spans="1:6" x14ac:dyDescent="0.25">
      <c r="A8627" s="2" t="str">
        <f t="shared" si="325"/>
        <v>35620</v>
      </c>
      <c r="B8627" s="2" t="str">
        <f>"10567"</f>
        <v>10567</v>
      </c>
      <c r="C8627" s="1">
        <v>8.6591536896517003E-4</v>
      </c>
      <c r="D8627" s="1">
        <v>4.4792255971175802E-4</v>
      </c>
      <c r="E8627" s="1">
        <v>2.34090575583304E-4</v>
      </c>
      <c r="F8627" s="1">
        <v>7.9140264474265203E-4</v>
      </c>
    </row>
    <row r="8628" spans="1:6" x14ac:dyDescent="0.25">
      <c r="A8628" s="2" t="str">
        <f t="shared" si="325"/>
        <v>35620</v>
      </c>
      <c r="B8628" s="2" t="str">
        <f>"10524"</f>
        <v>10524</v>
      </c>
      <c r="C8628" s="1">
        <v>2.5977461068955101E-4</v>
      </c>
      <c r="D8628" s="1">
        <v>1.7916902388470299E-4</v>
      </c>
      <c r="E8628" s="1">
        <v>4.8914448629347199E-5</v>
      </c>
      <c r="F8628" s="1">
        <v>2.39999032364644E-4</v>
      </c>
    </row>
    <row r="8629" spans="1:6" x14ac:dyDescent="0.25">
      <c r="A8629" s="2" t="str">
        <f t="shared" si="325"/>
        <v>35620</v>
      </c>
      <c r="B8629" s="2" t="str">
        <f>"10308"</f>
        <v>10308</v>
      </c>
      <c r="C8629" s="1">
        <v>1.1661242461653001E-3</v>
      </c>
      <c r="D8629" s="1">
        <v>5.5836921827082196E-4</v>
      </c>
      <c r="E8629" s="1">
        <v>2.5680085530407302E-4</v>
      </c>
      <c r="F8629" s="1">
        <v>1.0583511705735201E-3</v>
      </c>
    </row>
    <row r="8630" spans="1:6" x14ac:dyDescent="0.25">
      <c r="A8630" s="2" t="str">
        <f t="shared" si="325"/>
        <v>35620</v>
      </c>
      <c r="B8630" s="2" t="str">
        <f>"10269"</f>
        <v>10269</v>
      </c>
      <c r="C8630" s="1">
        <v>0</v>
      </c>
      <c r="D8630" s="1">
        <v>0</v>
      </c>
      <c r="E8630" s="1">
        <v>3.4938891878105101E-6</v>
      </c>
      <c r="F8630" s="1">
        <v>2.12200735954592E-7</v>
      </c>
    </row>
    <row r="8631" spans="1:6" x14ac:dyDescent="0.25">
      <c r="A8631" s="2" t="str">
        <f t="shared" si="325"/>
        <v>35620</v>
      </c>
      <c r="B8631" s="2" t="str">
        <f>"10129"</f>
        <v>10129</v>
      </c>
      <c r="C8631" s="1">
        <v>1.12220641207842E-4</v>
      </c>
      <c r="D8631" s="1">
        <v>7.6085475896243895E-5</v>
      </c>
      <c r="E8631" s="1">
        <v>3.4938891878105101E-6</v>
      </c>
      <c r="F8631" s="1">
        <v>1.0249295546606799E-4</v>
      </c>
    </row>
    <row r="8632" spans="1:6" x14ac:dyDescent="0.25">
      <c r="A8632" s="2" t="str">
        <f t="shared" ref="A8632:A8695" si="326">"35620"</f>
        <v>35620</v>
      </c>
      <c r="B8632" s="2" t="str">
        <f>"10301"</f>
        <v>10301</v>
      </c>
      <c r="C8632" s="1">
        <v>1.8951851746331E-3</v>
      </c>
      <c r="D8632" s="1">
        <v>1.44194248674333E-3</v>
      </c>
      <c r="E8632" s="1">
        <v>1.94434933301655E-3</v>
      </c>
      <c r="F8632" s="1">
        <v>1.8589845473302E-3</v>
      </c>
    </row>
    <row r="8633" spans="1:6" x14ac:dyDescent="0.25">
      <c r="A8633" s="2" t="str">
        <f t="shared" si="326"/>
        <v>35620</v>
      </c>
      <c r="B8633" s="2" t="str">
        <f>"10280"</f>
        <v>10280</v>
      </c>
      <c r="C8633" s="1">
        <v>6.1335671968366196E-4</v>
      </c>
      <c r="D8633" s="1">
        <v>8.9584511942351699E-5</v>
      </c>
      <c r="E8633" s="1">
        <v>8.7347229695262894E-5</v>
      </c>
      <c r="F8633" s="1">
        <v>5.3612515938927699E-4</v>
      </c>
    </row>
    <row r="8634" spans="1:6" x14ac:dyDescent="0.25">
      <c r="A8634" s="2" t="str">
        <f t="shared" si="326"/>
        <v>35620</v>
      </c>
      <c r="B8634" s="2" t="str">
        <f>"10169"</f>
        <v>10169</v>
      </c>
      <c r="C8634" s="1">
        <v>0</v>
      </c>
      <c r="D8634" s="1">
        <v>3.0066034829967302E-4</v>
      </c>
      <c r="E8634" s="1">
        <v>5.5902227004968298E-5</v>
      </c>
      <c r="F8634" s="1">
        <v>2.9389801929711E-5</v>
      </c>
    </row>
    <row r="8635" spans="1:6" x14ac:dyDescent="0.25">
      <c r="A8635" s="2" t="str">
        <f t="shared" si="326"/>
        <v>35620</v>
      </c>
      <c r="B8635" s="2" t="str">
        <f>"10168"</f>
        <v>10168</v>
      </c>
      <c r="C8635" s="1">
        <v>0</v>
      </c>
      <c r="D8635" s="1">
        <v>4.22151672714643E-4</v>
      </c>
      <c r="E8635" s="1">
        <v>1.92163905329578E-5</v>
      </c>
      <c r="F8635" s="1">
        <v>3.76656306319401E-5</v>
      </c>
    </row>
    <row r="8636" spans="1:6" x14ac:dyDescent="0.25">
      <c r="A8636" s="2" t="str">
        <f t="shared" si="326"/>
        <v>35620</v>
      </c>
      <c r="B8636" s="2" t="str">
        <f>"10455"</f>
        <v>10455</v>
      </c>
      <c r="C8636" s="1">
        <v>2.09113585079979E-3</v>
      </c>
      <c r="D8636" s="1">
        <v>1.7327853542822001E-3</v>
      </c>
      <c r="E8636" s="1">
        <v>2.3181954761122702E-3</v>
      </c>
      <c r="F8636" s="1">
        <v>2.0739438928522001E-3</v>
      </c>
    </row>
    <row r="8637" spans="1:6" x14ac:dyDescent="0.25">
      <c r="A8637" s="2" t="str">
        <f t="shared" si="326"/>
        <v>35620</v>
      </c>
      <c r="B8637" s="2" t="str">
        <f>"10457"</f>
        <v>10457</v>
      </c>
      <c r="C8637" s="1">
        <v>3.47946194308174E-3</v>
      </c>
      <c r="D8637" s="1">
        <v>1.9647233372562301E-3</v>
      </c>
      <c r="E8637" s="1">
        <v>3.0099855352987599E-3</v>
      </c>
      <c r="F8637" s="1">
        <v>3.3199866143775701E-3</v>
      </c>
    </row>
    <row r="8638" spans="1:6" x14ac:dyDescent="0.25">
      <c r="A8638" s="2" t="str">
        <f t="shared" si="326"/>
        <v>35620</v>
      </c>
      <c r="B8638" s="2" t="str">
        <f>"10125"</f>
        <v>10125</v>
      </c>
      <c r="C8638" s="1">
        <v>0</v>
      </c>
      <c r="D8638" s="1">
        <v>0</v>
      </c>
      <c r="E8638" s="1">
        <v>1.74694459390525E-6</v>
      </c>
      <c r="F8638" s="1">
        <v>1.06100367977296E-7</v>
      </c>
    </row>
    <row r="8639" spans="1:6" x14ac:dyDescent="0.25">
      <c r="A8639" s="2" t="str">
        <f t="shared" si="326"/>
        <v>35620</v>
      </c>
      <c r="B8639" s="2" t="str">
        <f>"10043"</f>
        <v>10043</v>
      </c>
      <c r="C8639" s="1">
        <v>0</v>
      </c>
      <c r="D8639" s="1">
        <v>1.2271850951007001E-6</v>
      </c>
      <c r="E8639" s="1">
        <v>3.4938891878105101E-6</v>
      </c>
      <c r="F8639" s="1">
        <v>3.1830110393188798E-7</v>
      </c>
    </row>
    <row r="8640" spans="1:6" x14ac:dyDescent="0.25">
      <c r="A8640" s="2" t="str">
        <f t="shared" si="326"/>
        <v>35620</v>
      </c>
      <c r="B8640" s="2" t="str">
        <f>"10103"</f>
        <v>10103</v>
      </c>
      <c r="C8640" s="1">
        <v>0</v>
      </c>
      <c r="D8640" s="1">
        <v>1.1658258403456699E-4</v>
      </c>
      <c r="E8640" s="1">
        <v>1.04816675634315E-5</v>
      </c>
      <c r="F8640" s="1">
        <v>1.07161371657069E-5</v>
      </c>
    </row>
    <row r="8641" spans="1:6" x14ac:dyDescent="0.25">
      <c r="A8641" s="2" t="str">
        <f t="shared" si="326"/>
        <v>35620</v>
      </c>
      <c r="B8641" s="2" t="str">
        <f>"10108"</f>
        <v>10108</v>
      </c>
      <c r="C8641" s="1">
        <v>1.5887556410467199E-4</v>
      </c>
      <c r="D8641" s="1">
        <v>3.8042737948121899E-4</v>
      </c>
      <c r="E8641" s="1">
        <v>3.4938891878105101E-6</v>
      </c>
      <c r="F8641" s="1">
        <v>1.68593484715923E-4</v>
      </c>
    </row>
    <row r="8642" spans="1:6" x14ac:dyDescent="0.25">
      <c r="A8642" s="2" t="str">
        <f t="shared" si="326"/>
        <v>35620</v>
      </c>
      <c r="B8642" s="2" t="str">
        <f>"10122"</f>
        <v>10122</v>
      </c>
      <c r="C8642" s="1">
        <v>0</v>
      </c>
      <c r="D8642" s="1">
        <v>2.7857101658786002E-4</v>
      </c>
      <c r="E8642" s="1">
        <v>2.0963335126863101E-5</v>
      </c>
      <c r="F8642" s="1">
        <v>2.5357987946573699E-5</v>
      </c>
    </row>
    <row r="8643" spans="1:6" x14ac:dyDescent="0.25">
      <c r="A8643" s="2" t="str">
        <f t="shared" si="326"/>
        <v>35620</v>
      </c>
      <c r="B8643" s="2" t="str">
        <f>"10112"</f>
        <v>10112</v>
      </c>
      <c r="C8643" s="1">
        <v>0</v>
      </c>
      <c r="D8643" s="1">
        <v>1.2271850951007E-4</v>
      </c>
      <c r="E8643" s="1">
        <v>1.3975556751242E-5</v>
      </c>
      <c r="F8643" s="1">
        <v>1.14588397415479E-5</v>
      </c>
    </row>
    <row r="8644" spans="1:6" x14ac:dyDescent="0.25">
      <c r="A8644" s="2" t="str">
        <f t="shared" si="326"/>
        <v>35620</v>
      </c>
      <c r="B8644" s="2" t="str">
        <f>"10111"</f>
        <v>10111</v>
      </c>
      <c r="C8644" s="1">
        <v>0</v>
      </c>
      <c r="D8644" s="1">
        <v>3.69382713625313E-4</v>
      </c>
      <c r="E8644" s="1">
        <v>1.04816675634315E-5</v>
      </c>
      <c r="F8644" s="1">
        <v>3.2572812969029897E-5</v>
      </c>
    </row>
    <row r="8645" spans="1:6" x14ac:dyDescent="0.25">
      <c r="A8645" s="2" t="str">
        <f t="shared" si="326"/>
        <v>35620</v>
      </c>
      <c r="B8645" s="2" t="str">
        <f>"10075"</f>
        <v>10075</v>
      </c>
      <c r="C8645" s="1">
        <v>2.2660607083809701E-3</v>
      </c>
      <c r="D8645" s="1">
        <v>1.1830064316770801E-3</v>
      </c>
      <c r="E8645" s="1">
        <v>2.1417540721278402E-3</v>
      </c>
      <c r="F8645" s="1">
        <v>2.16487190820875E-3</v>
      </c>
    </row>
    <row r="8646" spans="1:6" x14ac:dyDescent="0.25">
      <c r="A8646" s="2" t="str">
        <f t="shared" si="326"/>
        <v>35620</v>
      </c>
      <c r="B8646" s="2" t="str">
        <f>"10069"</f>
        <v>10069</v>
      </c>
      <c r="C8646" s="1">
        <v>5.1220884684333395E-4</v>
      </c>
      <c r="D8646" s="1">
        <v>5.2768959089330402E-5</v>
      </c>
      <c r="E8646" s="1">
        <v>6.4636949974494599E-5</v>
      </c>
      <c r="F8646" s="1">
        <v>4.4530324440071199E-4</v>
      </c>
    </row>
    <row r="8647" spans="1:6" x14ac:dyDescent="0.25">
      <c r="A8647" s="2" t="str">
        <f t="shared" si="326"/>
        <v>35620</v>
      </c>
      <c r="B8647" s="2" t="str">
        <f>"10038"</f>
        <v>10038</v>
      </c>
      <c r="C8647" s="1">
        <v>1.7815959890202899E-3</v>
      </c>
      <c r="D8647" s="1">
        <v>3.5281571484145299E-3</v>
      </c>
      <c r="E8647" s="1">
        <v>1.27876344273865E-3</v>
      </c>
      <c r="F8647" s="1">
        <v>1.90206129672898E-3</v>
      </c>
    </row>
    <row r="8648" spans="1:6" x14ac:dyDescent="0.25">
      <c r="A8648" s="2" t="str">
        <f t="shared" si="326"/>
        <v>35620</v>
      </c>
      <c r="B8648" s="2" t="str">
        <f>"10019"</f>
        <v>10019</v>
      </c>
      <c r="C8648" s="1">
        <v>4.2360181727767402E-3</v>
      </c>
      <c r="D8648" s="1">
        <v>6.5102169295092596E-3</v>
      </c>
      <c r="E8648" s="1">
        <v>3.6179222539777902E-3</v>
      </c>
      <c r="F8648" s="1">
        <v>4.3951016430915099E-3</v>
      </c>
    </row>
    <row r="8649" spans="1:6" x14ac:dyDescent="0.25">
      <c r="A8649" s="2" t="str">
        <f t="shared" si="326"/>
        <v>35620</v>
      </c>
      <c r="B8649" s="2" t="str">
        <f>"10031"</f>
        <v>10031</v>
      </c>
      <c r="C8649" s="1">
        <v>2.9825559109485601E-3</v>
      </c>
      <c r="D8649" s="1">
        <v>1.3020433859018501E-3</v>
      </c>
      <c r="E8649" s="1">
        <v>3.5602730823789102E-3</v>
      </c>
      <c r="F8649" s="1">
        <v>2.87234916188136E-3</v>
      </c>
    </row>
    <row r="8650" spans="1:6" x14ac:dyDescent="0.25">
      <c r="A8650" s="2" t="str">
        <f t="shared" si="326"/>
        <v>35620</v>
      </c>
      <c r="B8650" s="2" t="str">
        <f>"10003"</f>
        <v>10003</v>
      </c>
      <c r="C8650" s="1">
        <v>4.4062153315043697E-3</v>
      </c>
      <c r="D8650" s="1">
        <v>5.8634903843911802E-3</v>
      </c>
      <c r="E8650" s="1">
        <v>6.0304527381609503E-3</v>
      </c>
      <c r="F8650" s="1">
        <v>4.6308566607370701E-3</v>
      </c>
    </row>
    <row r="8651" spans="1:6" x14ac:dyDescent="0.25">
      <c r="A8651" s="2" t="str">
        <f t="shared" si="326"/>
        <v>35620</v>
      </c>
      <c r="B8651" s="2" t="str">
        <f>"10008"</f>
        <v>10008</v>
      </c>
      <c r="C8651" s="1">
        <v>3.32058637897706E-4</v>
      </c>
      <c r="D8651" s="1">
        <v>6.0745662207485E-4</v>
      </c>
      <c r="E8651" s="1">
        <v>3.4938891878105101E-6</v>
      </c>
      <c r="F8651" s="1">
        <v>3.35913765016119E-4</v>
      </c>
    </row>
    <row r="8652" spans="1:6" x14ac:dyDescent="0.25">
      <c r="A8652" s="2" t="str">
        <f t="shared" si="326"/>
        <v>35620</v>
      </c>
      <c r="B8652" s="2" t="str">
        <f>"08903"</f>
        <v>08903</v>
      </c>
      <c r="C8652" s="1">
        <v>2.9087789262077101E-4</v>
      </c>
      <c r="D8652" s="1">
        <v>3.8901767514692401E-4</v>
      </c>
      <c r="E8652" s="1">
        <v>6.9877783756210304E-6</v>
      </c>
      <c r="F8652" s="1">
        <v>2.8212087845162998E-4</v>
      </c>
    </row>
    <row r="8653" spans="1:6" x14ac:dyDescent="0.25">
      <c r="A8653" s="2" t="str">
        <f t="shared" si="326"/>
        <v>35620</v>
      </c>
      <c r="B8653" s="2" t="str">
        <f>"08889"</f>
        <v>08889</v>
      </c>
      <c r="C8653" s="1">
        <v>5.9083794356545795E-4</v>
      </c>
      <c r="D8653" s="1">
        <v>4.5774004047256399E-4</v>
      </c>
      <c r="E8653" s="1">
        <v>1.4324945670023099E-4</v>
      </c>
      <c r="F8653" s="1">
        <v>5.5214631495384902E-4</v>
      </c>
    </row>
    <row r="8654" spans="1:6" x14ac:dyDescent="0.25">
      <c r="A8654" s="2" t="str">
        <f t="shared" si="326"/>
        <v>35620</v>
      </c>
      <c r="B8654" s="2" t="str">
        <f>"08882"</f>
        <v>08882</v>
      </c>
      <c r="C8654" s="1">
        <v>8.0221584757003098E-4</v>
      </c>
      <c r="D8654" s="1">
        <v>6.6145276625928203E-4</v>
      </c>
      <c r="E8654" s="1">
        <v>9.8702369555647099E-4</v>
      </c>
      <c r="F8654" s="1">
        <v>8.0126997896454101E-4</v>
      </c>
    </row>
    <row r="8655" spans="1:6" x14ac:dyDescent="0.25">
      <c r="A8655" s="2" t="str">
        <f t="shared" si="326"/>
        <v>35620</v>
      </c>
      <c r="B8655" s="2" t="str">
        <f>"08812"</f>
        <v>08812</v>
      </c>
      <c r="C8655" s="1">
        <v>6.8601398627499198E-4</v>
      </c>
      <c r="D8655" s="1">
        <v>8.9952667470881897E-4</v>
      </c>
      <c r="E8655" s="1">
        <v>4.3848309307022002E-4</v>
      </c>
      <c r="F8655" s="1">
        <v>6.8944019111647002E-4</v>
      </c>
    </row>
    <row r="8656" spans="1:6" x14ac:dyDescent="0.25">
      <c r="A8656" s="2" t="str">
        <f t="shared" si="326"/>
        <v>35620</v>
      </c>
      <c r="B8656" s="2" t="str">
        <f>"08810"</f>
        <v>08810</v>
      </c>
      <c r="C8656" s="1">
        <v>4.07328580171259E-4</v>
      </c>
      <c r="D8656" s="1">
        <v>5.4855173751001604E-4</v>
      </c>
      <c r="E8656" s="1">
        <v>2.77764190430936E-4</v>
      </c>
      <c r="F8656" s="1">
        <v>4.1166942775190901E-4</v>
      </c>
    </row>
    <row r="8657" spans="1:6" x14ac:dyDescent="0.25">
      <c r="A8657" s="2" t="str">
        <f t="shared" si="326"/>
        <v>35620</v>
      </c>
      <c r="B8657" s="2" t="str">
        <f>"08801"</f>
        <v>08801</v>
      </c>
      <c r="C8657" s="1">
        <v>4.4191542967877598E-4</v>
      </c>
      <c r="D8657" s="1">
        <v>2.5648168487604799E-4</v>
      </c>
      <c r="E8657" s="1">
        <v>1.15298343197747E-4</v>
      </c>
      <c r="F8657" s="1">
        <v>4.0604610824911201E-4</v>
      </c>
    </row>
    <row r="8658" spans="1:6" x14ac:dyDescent="0.25">
      <c r="A8658" s="2" t="str">
        <f t="shared" si="326"/>
        <v>35620</v>
      </c>
      <c r="B8658" s="2" t="str">
        <f>"08752"</f>
        <v>08752</v>
      </c>
      <c r="C8658" s="1">
        <v>4.1852576166649799E-4</v>
      </c>
      <c r="D8658" s="1">
        <v>1.4971658160228601E-4</v>
      </c>
      <c r="E8658" s="1">
        <v>2.0613946208081999E-4</v>
      </c>
      <c r="F8658" s="1">
        <v>3.82385726190175E-4</v>
      </c>
    </row>
    <row r="8659" spans="1:6" x14ac:dyDescent="0.25">
      <c r="A8659" s="2" t="str">
        <f t="shared" si="326"/>
        <v>35620</v>
      </c>
      <c r="B8659" s="2" t="str">
        <f>"08870"</f>
        <v>08870</v>
      </c>
      <c r="C8659" s="1">
        <v>0</v>
      </c>
      <c r="D8659" s="1">
        <v>0</v>
      </c>
      <c r="E8659" s="1">
        <v>1.74694459390525E-6</v>
      </c>
      <c r="F8659" s="1">
        <v>1.06100367977296E-7</v>
      </c>
    </row>
    <row r="8660" spans="1:6" x14ac:dyDescent="0.25">
      <c r="A8660" s="2" t="str">
        <f t="shared" si="326"/>
        <v>35620</v>
      </c>
      <c r="B8660" s="2" t="str">
        <f>"08832"</f>
        <v>08832</v>
      </c>
      <c r="C8660" s="1">
        <v>1.3673002736964301E-4</v>
      </c>
      <c r="D8660" s="1">
        <v>7.9767031181546003E-5</v>
      </c>
      <c r="E8660" s="1">
        <v>3.1445002690294603E-5</v>
      </c>
      <c r="F8660" s="1">
        <v>1.25410634949164E-4</v>
      </c>
    </row>
    <row r="8661" spans="1:6" x14ac:dyDescent="0.25">
      <c r="A8661" s="2" t="str">
        <f t="shared" si="326"/>
        <v>35620</v>
      </c>
      <c r="B8661" s="2" t="str">
        <f>"08846"</f>
        <v>08846</v>
      </c>
      <c r="C8661" s="1">
        <v>7.0579567358324804E-4</v>
      </c>
      <c r="D8661" s="1">
        <v>1.0737869582131199E-3</v>
      </c>
      <c r="E8661" s="1">
        <v>3.1619697149685202E-4</v>
      </c>
      <c r="F8661" s="1">
        <v>7.1394937611922601E-4</v>
      </c>
    </row>
    <row r="8662" spans="1:6" x14ac:dyDescent="0.25">
      <c r="A8662" s="2" t="str">
        <f t="shared" si="326"/>
        <v>35620</v>
      </c>
      <c r="B8662" s="2" t="str">
        <f>"08821"</f>
        <v>08821</v>
      </c>
      <c r="C8662" s="1">
        <v>0</v>
      </c>
      <c r="D8662" s="1">
        <v>1.2271850951007001E-6</v>
      </c>
      <c r="E8662" s="1">
        <v>2.0264557289300999E-4</v>
      </c>
      <c r="F8662" s="1">
        <v>1.2413743053343599E-5</v>
      </c>
    </row>
    <row r="8663" spans="1:6" x14ac:dyDescent="0.25">
      <c r="A8663" s="2" t="str">
        <f t="shared" si="326"/>
        <v>35620</v>
      </c>
      <c r="B8663" s="2" t="str">
        <f>"08827"</f>
        <v>08827</v>
      </c>
      <c r="C8663" s="1">
        <v>2.1050701211049801E-4</v>
      </c>
      <c r="D8663" s="1">
        <v>1.4971658160228601E-4</v>
      </c>
      <c r="E8663" s="1">
        <v>3.5113586337495701E-4</v>
      </c>
      <c r="F8663" s="1">
        <v>2.13792241474251E-4</v>
      </c>
    </row>
    <row r="8664" spans="1:6" x14ac:dyDescent="0.25">
      <c r="A8664" s="2" t="str">
        <f t="shared" si="326"/>
        <v>35620</v>
      </c>
      <c r="B8664" s="2" t="str">
        <f>"08830"</f>
        <v>08830</v>
      </c>
      <c r="C8664" s="1">
        <v>9.2700221467808598E-4</v>
      </c>
      <c r="D8664" s="1">
        <v>1.36708419594218E-3</v>
      </c>
      <c r="E8664" s="1">
        <v>4.8390365251175599E-4</v>
      </c>
      <c r="F8664" s="1">
        <v>9.3813945365525296E-4</v>
      </c>
    </row>
    <row r="8665" spans="1:6" x14ac:dyDescent="0.25">
      <c r="A8665" s="2" t="str">
        <f t="shared" si="326"/>
        <v>35620</v>
      </c>
      <c r="B8665" s="2" t="str">
        <f>"08620"</f>
        <v>08620</v>
      </c>
      <c r="C8665" s="1">
        <v>1.2441312772488E-7</v>
      </c>
      <c r="D8665" s="1">
        <v>0</v>
      </c>
      <c r="E8665" s="1">
        <v>0</v>
      </c>
      <c r="F8665" s="1">
        <v>1.06100367977296E-7</v>
      </c>
    </row>
    <row r="8666" spans="1:6" x14ac:dyDescent="0.25">
      <c r="A8666" s="2" t="str">
        <f t="shared" si="326"/>
        <v>35620</v>
      </c>
      <c r="B8666" s="2" t="str">
        <f>"08504"</f>
        <v>08504</v>
      </c>
      <c r="C8666" s="1">
        <v>0</v>
      </c>
      <c r="D8666" s="1">
        <v>0</v>
      </c>
      <c r="E8666" s="1">
        <v>1.74694459390525E-6</v>
      </c>
      <c r="F8666" s="1">
        <v>1.06100367977296E-7</v>
      </c>
    </row>
    <row r="8667" spans="1:6" x14ac:dyDescent="0.25">
      <c r="A8667" s="2" t="str">
        <f t="shared" si="326"/>
        <v>35620</v>
      </c>
      <c r="B8667" s="2" t="str">
        <f>"08530"</f>
        <v>08530</v>
      </c>
      <c r="C8667" s="1">
        <v>4.2524407056364198E-4</v>
      </c>
      <c r="D8667" s="1">
        <v>4.9578277842068604E-4</v>
      </c>
      <c r="E8667" s="1">
        <v>3.0746224852732501E-4</v>
      </c>
      <c r="F8667" s="1">
        <v>4.2418927117322998E-4</v>
      </c>
    </row>
    <row r="8668" spans="1:6" x14ac:dyDescent="0.25">
      <c r="A8668" s="2" t="str">
        <f t="shared" si="326"/>
        <v>35620</v>
      </c>
      <c r="B8668" s="2" t="str">
        <f>"07978"</f>
        <v>07978</v>
      </c>
      <c r="C8668" s="1">
        <v>0</v>
      </c>
      <c r="D8668" s="1">
        <v>0</v>
      </c>
      <c r="E8668" s="1">
        <v>1.74694459390525E-6</v>
      </c>
      <c r="F8668" s="1">
        <v>1.06100367977296E-7</v>
      </c>
    </row>
    <row r="8669" spans="1:6" x14ac:dyDescent="0.25">
      <c r="A8669" s="2" t="str">
        <f t="shared" si="326"/>
        <v>35620</v>
      </c>
      <c r="B8669" s="2" t="str">
        <f>"08008"</f>
        <v>08008</v>
      </c>
      <c r="C8669" s="1">
        <v>1.93462413612189E-3</v>
      </c>
      <c r="D8669" s="1">
        <v>8.4921208580968999E-4</v>
      </c>
      <c r="E8669" s="1">
        <v>3.98303367410399E-4</v>
      </c>
      <c r="F8669" s="1">
        <v>1.7474730605860601E-3</v>
      </c>
    </row>
    <row r="8670" spans="1:6" x14ac:dyDescent="0.25">
      <c r="A8670" s="2" t="str">
        <f t="shared" si="326"/>
        <v>35620</v>
      </c>
      <c r="B8670" s="2" t="str">
        <f>"07946"</f>
        <v>07946</v>
      </c>
      <c r="C8670" s="1">
        <v>1.37227679880543E-4</v>
      </c>
      <c r="D8670" s="1">
        <v>1.4235347103168201E-4</v>
      </c>
      <c r="E8670" s="1">
        <v>3.3191947284199901E-5</v>
      </c>
      <c r="F8670" s="1">
        <v>1.3135225555589201E-4</v>
      </c>
    </row>
    <row r="8671" spans="1:6" x14ac:dyDescent="0.25">
      <c r="A8671" s="2" t="str">
        <f t="shared" si="326"/>
        <v>35620</v>
      </c>
      <c r="B8671" s="2" t="str">
        <f>"07940"</f>
        <v>07940</v>
      </c>
      <c r="C8671" s="1">
        <v>8.2958673566950404E-4</v>
      </c>
      <c r="D8671" s="1">
        <v>8.4184897523908596E-4</v>
      </c>
      <c r="E8671" s="1">
        <v>1.31370233461675E-3</v>
      </c>
      <c r="F8671" s="1">
        <v>8.6004958282396302E-4</v>
      </c>
    </row>
    <row r="8672" spans="1:6" x14ac:dyDescent="0.25">
      <c r="A8672" s="2" t="str">
        <f t="shared" si="326"/>
        <v>35620</v>
      </c>
      <c r="B8672" s="2" t="str">
        <f>"07936"</f>
        <v>07936</v>
      </c>
      <c r="C8672" s="1">
        <v>5.5289193960937004E-4</v>
      </c>
      <c r="D8672" s="1">
        <v>1.3020433859018501E-3</v>
      </c>
      <c r="E8672" s="1">
        <v>5.3107115654719799E-4</v>
      </c>
      <c r="F8672" s="1">
        <v>6.1633703758011296E-4</v>
      </c>
    </row>
    <row r="8673" spans="1:6" x14ac:dyDescent="0.25">
      <c r="A8673" s="2" t="str">
        <f t="shared" si="326"/>
        <v>35620</v>
      </c>
      <c r="B8673" s="2" t="str">
        <f>"07902"</f>
        <v>07902</v>
      </c>
      <c r="C8673" s="1">
        <v>1.2715021653482799E-4</v>
      </c>
      <c r="D8673" s="1">
        <v>4.0006234100283103E-4</v>
      </c>
      <c r="E8673" s="1">
        <v>3.4938891878105101E-6</v>
      </c>
      <c r="F8673" s="1">
        <v>1.4323549676934901E-4</v>
      </c>
    </row>
    <row r="8674" spans="1:6" x14ac:dyDescent="0.25">
      <c r="A8674" s="2" t="str">
        <f t="shared" si="326"/>
        <v>35620</v>
      </c>
      <c r="B8674" s="2" t="str">
        <f>"07870"</f>
        <v>07870</v>
      </c>
      <c r="C8674" s="1">
        <v>0</v>
      </c>
      <c r="D8674" s="1">
        <v>0</v>
      </c>
      <c r="E8674" s="1">
        <v>1.74694459390525E-6</v>
      </c>
      <c r="F8674" s="1">
        <v>1.06100367977296E-7</v>
      </c>
    </row>
    <row r="8675" spans="1:6" x14ac:dyDescent="0.25">
      <c r="A8675" s="2" t="str">
        <f t="shared" si="326"/>
        <v>35620</v>
      </c>
      <c r="B8675" s="2" t="str">
        <f>"07719"</f>
        <v>07719</v>
      </c>
      <c r="C8675" s="1">
        <v>1.4878565944618401E-3</v>
      </c>
      <c r="D8675" s="1">
        <v>1.6395192870545399E-3</v>
      </c>
      <c r="E8675" s="1">
        <v>9.6431341583570296E-4</v>
      </c>
      <c r="F8675" s="1">
        <v>1.46917179538162E-3</v>
      </c>
    </row>
    <row r="8676" spans="1:6" x14ac:dyDescent="0.25">
      <c r="A8676" s="2" t="str">
        <f t="shared" si="326"/>
        <v>35620</v>
      </c>
      <c r="B8676" s="2" t="str">
        <f>"07676"</f>
        <v>07676</v>
      </c>
      <c r="C8676" s="1">
        <v>4.1703280413379998E-4</v>
      </c>
      <c r="D8676" s="1">
        <v>9.3266067227653794E-5</v>
      </c>
      <c r="E8676" s="1">
        <v>2.96980580963894E-5</v>
      </c>
      <c r="F8676" s="1">
        <v>3.6551576768178502E-4</v>
      </c>
    </row>
    <row r="8677" spans="1:6" x14ac:dyDescent="0.25">
      <c r="A8677" s="2" t="str">
        <f t="shared" si="326"/>
        <v>35620</v>
      </c>
      <c r="B8677" s="2" t="str">
        <f>"07806"</f>
        <v>07806</v>
      </c>
      <c r="C8677" s="1">
        <v>0</v>
      </c>
      <c r="D8677" s="1">
        <v>1.2271850951007001E-6</v>
      </c>
      <c r="E8677" s="1">
        <v>1.74694459390525E-6</v>
      </c>
      <c r="F8677" s="1">
        <v>2.12200735954592E-7</v>
      </c>
    </row>
    <row r="8678" spans="1:6" x14ac:dyDescent="0.25">
      <c r="A8678" s="2" t="str">
        <f t="shared" si="326"/>
        <v>35620</v>
      </c>
      <c r="B8678" s="2" t="str">
        <f>"07825"</f>
        <v>07825</v>
      </c>
      <c r="C8678" s="1">
        <v>9.7042239625406998E-6</v>
      </c>
      <c r="D8678" s="1">
        <v>0</v>
      </c>
      <c r="E8678" s="1">
        <v>0</v>
      </c>
      <c r="F8678" s="1">
        <v>8.2758287022291001E-6</v>
      </c>
    </row>
    <row r="8679" spans="1:6" x14ac:dyDescent="0.25">
      <c r="A8679" s="2" t="str">
        <f t="shared" si="326"/>
        <v>35620</v>
      </c>
      <c r="B8679" s="2" t="str">
        <f>"07836"</f>
        <v>07836</v>
      </c>
      <c r="C8679" s="1">
        <v>5.9021587792683404E-4</v>
      </c>
      <c r="D8679" s="1">
        <v>5.6082358846102297E-4</v>
      </c>
      <c r="E8679" s="1">
        <v>6.4811644433885099E-4</v>
      </c>
      <c r="F8679" s="1">
        <v>5.9119125036949404E-4</v>
      </c>
    </row>
    <row r="8680" spans="1:6" x14ac:dyDescent="0.25">
      <c r="A8680" s="2" t="str">
        <f t="shared" si="326"/>
        <v>35620</v>
      </c>
      <c r="B8680" s="2" t="str">
        <f>"07827"</f>
        <v>07827</v>
      </c>
      <c r="C8680" s="1">
        <v>1.53152560229328E-4</v>
      </c>
      <c r="D8680" s="1">
        <v>7.6085475896243895E-5</v>
      </c>
      <c r="E8680" s="1">
        <v>4.8914448629347199E-5</v>
      </c>
      <c r="F8680" s="1">
        <v>1.40158586098008E-4</v>
      </c>
    </row>
    <row r="8681" spans="1:6" x14ac:dyDescent="0.25">
      <c r="A8681" s="2" t="str">
        <f t="shared" si="326"/>
        <v>35620</v>
      </c>
      <c r="B8681" s="2" t="str">
        <f>"07762"</f>
        <v>07762</v>
      </c>
      <c r="C8681" s="1">
        <v>7.6464308299711695E-4</v>
      </c>
      <c r="D8681" s="1">
        <v>6.5531684078377797E-4</v>
      </c>
      <c r="E8681" s="1">
        <v>6.5510422271447197E-4</v>
      </c>
      <c r="F8681" s="1">
        <v>7.4853809607982398E-4</v>
      </c>
    </row>
    <row r="8682" spans="1:6" x14ac:dyDescent="0.25">
      <c r="A8682" s="2" t="str">
        <f t="shared" si="326"/>
        <v>35620</v>
      </c>
      <c r="B8682" s="2" t="str">
        <f>"07758"</f>
        <v>07758</v>
      </c>
      <c r="C8682" s="1">
        <v>2.5193658364288301E-4</v>
      </c>
      <c r="D8682" s="1">
        <v>1.01856362893358E-4</v>
      </c>
      <c r="E8682" s="1">
        <v>3.1445002690294603E-5</v>
      </c>
      <c r="F8682" s="1">
        <v>2.25569382319731E-4</v>
      </c>
    </row>
    <row r="8683" spans="1:6" x14ac:dyDescent="0.25">
      <c r="A8683" s="2" t="str">
        <f t="shared" si="326"/>
        <v>35620</v>
      </c>
      <c r="B8683" s="2" t="str">
        <f>"07662"</f>
        <v>07662</v>
      </c>
      <c r="C8683" s="1">
        <v>2.7781451420965801E-4</v>
      </c>
      <c r="D8683" s="1">
        <v>5.6327795865122497E-4</v>
      </c>
      <c r="E8683" s="1">
        <v>2.6728252286750399E-4</v>
      </c>
      <c r="F8683" s="1">
        <v>3.0185554689540702E-4</v>
      </c>
    </row>
    <row r="8684" spans="1:6" x14ac:dyDescent="0.25">
      <c r="A8684" s="2" t="str">
        <f t="shared" si="326"/>
        <v>35620</v>
      </c>
      <c r="B8684" s="2" t="str">
        <f>"07661"</f>
        <v>07661</v>
      </c>
      <c r="C8684" s="1">
        <v>5.3161729476841504E-4</v>
      </c>
      <c r="D8684" s="1">
        <v>3.7920019438611902E-4</v>
      </c>
      <c r="E8684" s="1">
        <v>9.2063980098807102E-4</v>
      </c>
      <c r="F8684" s="1">
        <v>5.4206677999600605E-4</v>
      </c>
    </row>
    <row r="8685" spans="1:6" x14ac:dyDescent="0.25">
      <c r="A8685" s="2" t="str">
        <f t="shared" si="326"/>
        <v>35620</v>
      </c>
      <c r="B8685" s="2" t="str">
        <f>"07653"</f>
        <v>07653</v>
      </c>
      <c r="C8685" s="1">
        <v>1.03636135394825E-4</v>
      </c>
      <c r="D8685" s="1">
        <v>5.8536729036303802E-4</v>
      </c>
      <c r="E8685" s="1">
        <v>3.4938891878105101E-6</v>
      </c>
      <c r="F8685" s="1">
        <v>1.39203682786212E-4</v>
      </c>
    </row>
    <row r="8686" spans="1:6" x14ac:dyDescent="0.25">
      <c r="A8686" s="2" t="str">
        <f t="shared" si="326"/>
        <v>35620</v>
      </c>
      <c r="B8686" s="2" t="str">
        <f>"07650"</f>
        <v>07650</v>
      </c>
      <c r="C8686" s="1">
        <v>9.6308202171830205E-4</v>
      </c>
      <c r="D8686" s="1">
        <v>1.1596899148701601E-3</v>
      </c>
      <c r="E8686" s="1">
        <v>3.5288280796886202E-3</v>
      </c>
      <c r="F8686" s="1">
        <v>1.13591053956493E-3</v>
      </c>
    </row>
    <row r="8687" spans="1:6" x14ac:dyDescent="0.25">
      <c r="A8687" s="2" t="str">
        <f t="shared" si="326"/>
        <v>35620</v>
      </c>
      <c r="B8687" s="2" t="str">
        <f>"07645"</f>
        <v>07645</v>
      </c>
      <c r="C8687" s="1">
        <v>3.9065722105612499E-4</v>
      </c>
      <c r="D8687" s="1">
        <v>6.0132069659934702E-4</v>
      </c>
      <c r="E8687" s="1">
        <v>3.8083392147134602E-4</v>
      </c>
      <c r="F8687" s="1">
        <v>4.0827421597663499E-4</v>
      </c>
    </row>
    <row r="8688" spans="1:6" x14ac:dyDescent="0.25">
      <c r="A8688" s="2" t="str">
        <f t="shared" si="326"/>
        <v>35620</v>
      </c>
      <c r="B8688" s="2" t="str">
        <f>"07631"</f>
        <v>07631</v>
      </c>
      <c r="C8688" s="1">
        <v>1.48810542071729E-3</v>
      </c>
      <c r="D8688" s="1">
        <v>2.1794807288988498E-3</v>
      </c>
      <c r="E8688" s="1">
        <v>1.93736155464093E-3</v>
      </c>
      <c r="F8688" s="1">
        <v>1.57516606299093E-3</v>
      </c>
    </row>
    <row r="8689" spans="1:6" x14ac:dyDescent="0.25">
      <c r="A8689" s="2" t="str">
        <f t="shared" si="326"/>
        <v>35620</v>
      </c>
      <c r="B8689" s="2" t="str">
        <f>"07544"</f>
        <v>07544</v>
      </c>
      <c r="C8689" s="1">
        <v>7.8007031083500195E-5</v>
      </c>
      <c r="D8689" s="1">
        <v>4.41786634236255E-5</v>
      </c>
      <c r="E8689" s="1">
        <v>3.4938891878105101E-6</v>
      </c>
      <c r="F8689" s="1">
        <v>7.0556744704901905E-5</v>
      </c>
    </row>
    <row r="8690" spans="1:6" x14ac:dyDescent="0.25">
      <c r="A8690" s="2" t="str">
        <f t="shared" si="326"/>
        <v>35620</v>
      </c>
      <c r="B8690" s="2" t="str">
        <f>"07512"</f>
        <v>07512</v>
      </c>
      <c r="C8690" s="1">
        <v>4.7339195099317102E-4</v>
      </c>
      <c r="D8690" s="1">
        <v>9.5965874436875398E-4</v>
      </c>
      <c r="E8690" s="1">
        <v>5.53781436267967E-4</v>
      </c>
      <c r="F8690" s="1">
        <v>5.2031620456066002E-4</v>
      </c>
    </row>
    <row r="8691" spans="1:6" x14ac:dyDescent="0.25">
      <c r="A8691" s="2" t="str">
        <f t="shared" si="326"/>
        <v>35620</v>
      </c>
      <c r="B8691" s="2" t="str">
        <f>"07503"</f>
        <v>07503</v>
      </c>
      <c r="C8691" s="1">
        <v>7.2408440335880605E-4</v>
      </c>
      <c r="D8691" s="1">
        <v>9.4125096794224299E-4</v>
      </c>
      <c r="E8691" s="1">
        <v>2.2850035288280702E-3</v>
      </c>
      <c r="F8691" s="1">
        <v>8.3766240518075297E-4</v>
      </c>
    </row>
    <row r="8692" spans="1:6" x14ac:dyDescent="0.25">
      <c r="A8692" s="2" t="str">
        <f t="shared" si="326"/>
        <v>35620</v>
      </c>
      <c r="B8692" s="2" t="str">
        <f>"07446"</f>
        <v>07446</v>
      </c>
      <c r="C8692" s="1">
        <v>7.7297876255468401E-4</v>
      </c>
      <c r="D8692" s="1">
        <v>1.29099872004594E-3</v>
      </c>
      <c r="E8692" s="1">
        <v>6.76067557841335E-4</v>
      </c>
      <c r="F8692" s="1">
        <v>8.1188001576227003E-4</v>
      </c>
    </row>
    <row r="8693" spans="1:6" x14ac:dyDescent="0.25">
      <c r="A8693" s="2" t="str">
        <f t="shared" si="326"/>
        <v>35620</v>
      </c>
      <c r="B8693" s="2" t="str">
        <f>"07205"</f>
        <v>07205</v>
      </c>
      <c r="C8693" s="1">
        <v>1.05315712619111E-3</v>
      </c>
      <c r="D8693" s="1">
        <v>1.1952782826280899E-3</v>
      </c>
      <c r="E8693" s="1">
        <v>1.2071387143885301E-3</v>
      </c>
      <c r="F8693" s="1">
        <v>1.07479672761001E-3</v>
      </c>
    </row>
    <row r="8694" spans="1:6" x14ac:dyDescent="0.25">
      <c r="A8694" s="2" t="str">
        <f t="shared" si="326"/>
        <v>35620</v>
      </c>
      <c r="B8694" s="2" t="str">
        <f>"07203"</f>
        <v>07203</v>
      </c>
      <c r="C8694" s="1">
        <v>1.1106359912000101E-3</v>
      </c>
      <c r="D8694" s="1">
        <v>8.2834993919297798E-4</v>
      </c>
      <c r="E8694" s="1">
        <v>1.27876344273865E-3</v>
      </c>
      <c r="F8694" s="1">
        <v>1.09644120267737E-3</v>
      </c>
    </row>
    <row r="8695" spans="1:6" x14ac:dyDescent="0.25">
      <c r="A8695" s="2" t="str">
        <f t="shared" si="326"/>
        <v>35620</v>
      </c>
      <c r="B8695" s="2" t="str">
        <f>"07201"</f>
        <v>07201</v>
      </c>
      <c r="C8695" s="1">
        <v>1.14547166696297E-3</v>
      </c>
      <c r="D8695" s="1">
        <v>2.1107583635732101E-3</v>
      </c>
      <c r="E8695" s="1">
        <v>2.5662616084468201E-3</v>
      </c>
      <c r="F8695" s="1">
        <v>1.3152201614465601E-3</v>
      </c>
    </row>
    <row r="8696" spans="1:6" x14ac:dyDescent="0.25">
      <c r="A8696" s="2" t="str">
        <f t="shared" ref="A8696:A8759" si="327">"35620"</f>
        <v>35620</v>
      </c>
      <c r="B8696" s="2" t="str">
        <f>"07206"</f>
        <v>07206</v>
      </c>
      <c r="C8696" s="1">
        <v>1.10478857419694E-3</v>
      </c>
      <c r="D8696" s="1">
        <v>9.5843155927365304E-4</v>
      </c>
      <c r="E8696" s="1">
        <v>1.7644140398443101E-3</v>
      </c>
      <c r="F8696" s="1">
        <v>1.13219702668572E-3</v>
      </c>
    </row>
    <row r="8697" spans="1:6" x14ac:dyDescent="0.25">
      <c r="A8697" s="2" t="str">
        <f t="shared" si="327"/>
        <v>35620</v>
      </c>
      <c r="B8697" s="2" t="str">
        <f>"07416"</f>
        <v>07416</v>
      </c>
      <c r="C8697" s="1">
        <v>3.18248780720245E-4</v>
      </c>
      <c r="D8697" s="1">
        <v>3.5588367757920502E-4</v>
      </c>
      <c r="E8697" s="1">
        <v>4.3324225928850399E-4</v>
      </c>
      <c r="F8697" s="1">
        <v>3.2848673925770899E-4</v>
      </c>
    </row>
    <row r="8698" spans="1:6" x14ac:dyDescent="0.25">
      <c r="A8698" s="2" t="str">
        <f t="shared" si="327"/>
        <v>35620</v>
      </c>
      <c r="B8698" s="2" t="str">
        <f>"07403"</f>
        <v>07403</v>
      </c>
      <c r="C8698" s="1">
        <v>3.8928867665115102E-4</v>
      </c>
      <c r="D8698" s="1">
        <v>2.3439235316423501E-4</v>
      </c>
      <c r="E8698" s="1">
        <v>3.1445002690294599E-4</v>
      </c>
      <c r="F8698" s="1">
        <v>3.7135128792053601E-4</v>
      </c>
    </row>
    <row r="8699" spans="1:6" x14ac:dyDescent="0.25">
      <c r="A8699" s="2" t="str">
        <f t="shared" si="327"/>
        <v>35620</v>
      </c>
      <c r="B8699" s="2" t="str">
        <f>"07052"</f>
        <v>07052</v>
      </c>
      <c r="C8699" s="1">
        <v>2.3094808899569602E-3</v>
      </c>
      <c r="D8699" s="1">
        <v>1.90213689740609E-3</v>
      </c>
      <c r="E8699" s="1">
        <v>1.9583248897677898E-3</v>
      </c>
      <c r="F8699" s="1">
        <v>2.2529352136299E-3</v>
      </c>
    </row>
    <row r="8700" spans="1:6" x14ac:dyDescent="0.25">
      <c r="A8700" s="2" t="str">
        <f t="shared" si="327"/>
        <v>35620</v>
      </c>
      <c r="B8700" s="2" t="str">
        <f>"07042"</f>
        <v>07042</v>
      </c>
      <c r="C8700" s="1">
        <v>1.5728307606979401E-3</v>
      </c>
      <c r="D8700" s="1">
        <v>2.0886690318613998E-3</v>
      </c>
      <c r="E8700" s="1">
        <v>2.5487921625077701E-3</v>
      </c>
      <c r="F8700" s="1">
        <v>1.67670411514521E-3</v>
      </c>
    </row>
    <row r="8701" spans="1:6" x14ac:dyDescent="0.25">
      <c r="A8701" s="2" t="str">
        <f t="shared" si="327"/>
        <v>35620</v>
      </c>
      <c r="B8701" s="2" t="str">
        <f>"07093"</f>
        <v>07093</v>
      </c>
      <c r="C8701" s="1">
        <v>3.3346450624099698E-3</v>
      </c>
      <c r="D8701" s="1">
        <v>2.3672400484492599E-3</v>
      </c>
      <c r="E8701" s="1">
        <v>4.8739754169956698E-3</v>
      </c>
      <c r="F8701" s="1">
        <v>3.34449579938033E-3</v>
      </c>
    </row>
    <row r="8702" spans="1:6" x14ac:dyDescent="0.25">
      <c r="A8702" s="2" t="str">
        <f t="shared" si="327"/>
        <v>35620</v>
      </c>
      <c r="B8702" s="2" t="str">
        <f>"07077"</f>
        <v>07077</v>
      </c>
      <c r="C8702" s="1">
        <v>1.2839434781207601E-4</v>
      </c>
      <c r="D8702" s="1">
        <v>4.1724293233424097E-5</v>
      </c>
      <c r="E8702" s="1">
        <v>6.4636949974494599E-5</v>
      </c>
      <c r="F8702" s="1">
        <v>1.17028705878957E-4</v>
      </c>
    </row>
    <row r="8703" spans="1:6" x14ac:dyDescent="0.25">
      <c r="A8703" s="2" t="str">
        <f t="shared" si="327"/>
        <v>35620</v>
      </c>
      <c r="B8703" s="2" t="str">
        <f>"07034"</f>
        <v>07034</v>
      </c>
      <c r="C8703" s="1">
        <v>4.7451166914269503E-4</v>
      </c>
      <c r="D8703" s="1">
        <v>1.90213689740609E-4</v>
      </c>
      <c r="E8703" s="1">
        <v>1.13551398603841E-4</v>
      </c>
      <c r="F8703" s="1">
        <v>4.2800888442041197E-4</v>
      </c>
    </row>
    <row r="8704" spans="1:6" x14ac:dyDescent="0.25">
      <c r="A8704" s="2" t="str">
        <f t="shared" si="327"/>
        <v>35620</v>
      </c>
      <c r="B8704" s="2" t="str">
        <f>"07040"</f>
        <v>07040</v>
      </c>
      <c r="C8704" s="1">
        <v>1.2165115628938799E-3</v>
      </c>
      <c r="D8704" s="1">
        <v>1.26645501814393E-3</v>
      </c>
      <c r="E8704" s="1">
        <v>8.8570090910996603E-4</v>
      </c>
      <c r="F8704" s="1">
        <v>1.20073786439906E-3</v>
      </c>
    </row>
    <row r="8705" spans="1:6" x14ac:dyDescent="0.25">
      <c r="A8705" s="2" t="str">
        <f t="shared" si="327"/>
        <v>35620</v>
      </c>
      <c r="B8705" s="2" t="str">
        <f>"07029"</f>
        <v>07029</v>
      </c>
      <c r="C8705" s="1">
        <v>1.0828918637173601E-3</v>
      </c>
      <c r="D8705" s="1">
        <v>7.22812021014317E-4</v>
      </c>
      <c r="E8705" s="1">
        <v>1.53381735344881E-3</v>
      </c>
      <c r="F8705" s="1">
        <v>1.0791468426970699E-3</v>
      </c>
    </row>
    <row r="8706" spans="1:6" x14ac:dyDescent="0.25">
      <c r="A8706" s="2" t="str">
        <f t="shared" si="327"/>
        <v>35620</v>
      </c>
      <c r="B8706" s="2" t="str">
        <f>"07021"</f>
        <v>07021</v>
      </c>
      <c r="C8706" s="1">
        <v>1.0114787284032799E-4</v>
      </c>
      <c r="D8706" s="1">
        <v>1.3499036046107701E-5</v>
      </c>
      <c r="E8706" s="1">
        <v>6.9877783756210304E-6</v>
      </c>
      <c r="F8706" s="1">
        <v>8.7851104685201205E-5</v>
      </c>
    </row>
    <row r="8707" spans="1:6" x14ac:dyDescent="0.25">
      <c r="A8707" s="2" t="str">
        <f t="shared" si="327"/>
        <v>35620</v>
      </c>
      <c r="B8707" s="2" t="str">
        <f>"07019"</f>
        <v>07019</v>
      </c>
      <c r="C8707" s="1">
        <v>2.00305135637058E-4</v>
      </c>
      <c r="D8707" s="1">
        <v>2.6261761035155102E-4</v>
      </c>
      <c r="E8707" s="1">
        <v>6.9877783756210304E-6</v>
      </c>
      <c r="F8707" s="1">
        <v>1.9395147266249699E-4</v>
      </c>
    </row>
    <row r="8708" spans="1:6" x14ac:dyDescent="0.25">
      <c r="A8708" s="2" t="str">
        <f t="shared" si="327"/>
        <v>35620</v>
      </c>
      <c r="B8708" s="2" t="str">
        <f>"07022"</f>
        <v>07022</v>
      </c>
      <c r="C8708" s="1">
        <v>6.7195530284208096E-4</v>
      </c>
      <c r="D8708" s="1">
        <v>7.8539846086445302E-4</v>
      </c>
      <c r="E8708" s="1">
        <v>1.7015240344637199E-3</v>
      </c>
      <c r="F8708" s="1">
        <v>7.4429408136073201E-4</v>
      </c>
    </row>
    <row r="8709" spans="1:6" x14ac:dyDescent="0.25">
      <c r="A8709" s="2" t="str">
        <f t="shared" si="327"/>
        <v>35620</v>
      </c>
      <c r="B8709" s="2" t="str">
        <f>"07011"</f>
        <v>07011</v>
      </c>
      <c r="C8709" s="1">
        <v>1.62122746738292E-3</v>
      </c>
      <c r="D8709" s="1">
        <v>1.7524203158038099E-3</v>
      </c>
      <c r="E8709" s="1">
        <v>2.1330193491583202E-3</v>
      </c>
      <c r="F8709" s="1">
        <v>1.663653769884E-3</v>
      </c>
    </row>
    <row r="8710" spans="1:6" x14ac:dyDescent="0.25">
      <c r="A8710" s="2" t="str">
        <f t="shared" si="327"/>
        <v>35620</v>
      </c>
      <c r="B8710" s="2" t="str">
        <f>"07012"</f>
        <v>07012</v>
      </c>
      <c r="C8710" s="1">
        <v>7.6115951542082003E-4</v>
      </c>
      <c r="D8710" s="1">
        <v>8.7743734299700602E-4</v>
      </c>
      <c r="E8710" s="1">
        <v>1.1687059333226101E-3</v>
      </c>
      <c r="F8710" s="1">
        <v>7.9596496056567596E-4</v>
      </c>
    </row>
    <row r="8711" spans="1:6" x14ac:dyDescent="0.25">
      <c r="A8711" s="2" t="str">
        <f t="shared" si="327"/>
        <v>35620</v>
      </c>
      <c r="B8711" s="2" t="str">
        <f>"18336"</f>
        <v>18336</v>
      </c>
      <c r="C8711" s="1">
        <v>2.3290137510097601E-4</v>
      </c>
      <c r="D8711" s="1">
        <v>1.9512243012101199E-4</v>
      </c>
      <c r="E8711" s="1">
        <v>1.2578001076117801E-4</v>
      </c>
      <c r="F8711" s="1">
        <v>2.2312907385625301E-4</v>
      </c>
    </row>
    <row r="8712" spans="1:6" x14ac:dyDescent="0.25">
      <c r="A8712" s="2" t="str">
        <f t="shared" si="327"/>
        <v>35620</v>
      </c>
      <c r="B8712" s="2" t="str">
        <f>"18328"</f>
        <v>18328</v>
      </c>
      <c r="C8712" s="1">
        <v>4.7388960350406998E-4</v>
      </c>
      <c r="D8712" s="1">
        <v>1.2762724989047301E-4</v>
      </c>
      <c r="E8712" s="1">
        <v>4.0179725659820898E-5</v>
      </c>
      <c r="F8712" s="1">
        <v>4.17611048358637E-4</v>
      </c>
    </row>
    <row r="8713" spans="1:6" x14ac:dyDescent="0.25">
      <c r="A8713" s="2" t="str">
        <f t="shared" si="327"/>
        <v>35620</v>
      </c>
      <c r="B8713" s="2" t="str">
        <f>"11975"</f>
        <v>11975</v>
      </c>
      <c r="C8713" s="1">
        <v>1.5053988454710501E-4</v>
      </c>
      <c r="D8713" s="1">
        <v>2.5034575940054398E-4</v>
      </c>
      <c r="E8713" s="1">
        <v>5.2408337817157703E-6</v>
      </c>
      <c r="F8713" s="1">
        <v>1.5034422142382801E-4</v>
      </c>
    </row>
    <row r="8714" spans="1:6" x14ac:dyDescent="0.25">
      <c r="A8714" s="2" t="str">
        <f t="shared" si="327"/>
        <v>35620</v>
      </c>
      <c r="B8714" s="2" t="str">
        <f>"11779"</f>
        <v>11779</v>
      </c>
      <c r="C8714" s="1">
        <v>1.8148142941228299E-3</v>
      </c>
      <c r="D8714" s="1">
        <v>3.1219588819362E-3</v>
      </c>
      <c r="E8714" s="1">
        <v>1.9618187789555998E-3</v>
      </c>
      <c r="F8714" s="1">
        <v>1.93675611705756E-3</v>
      </c>
    </row>
    <row r="8715" spans="1:6" x14ac:dyDescent="0.25">
      <c r="A8715" s="2" t="str">
        <f t="shared" si="327"/>
        <v>35620</v>
      </c>
      <c r="B8715" s="2" t="str">
        <f>"11771"</f>
        <v>11771</v>
      </c>
      <c r="C8715" s="1">
        <v>5.5052809018259696E-4</v>
      </c>
      <c r="D8715" s="1">
        <v>7.5471883348693597E-4</v>
      </c>
      <c r="E8715" s="1">
        <v>7.8088423347565095E-4</v>
      </c>
      <c r="F8715" s="1">
        <v>5.8217271909142404E-4</v>
      </c>
    </row>
    <row r="8716" spans="1:6" x14ac:dyDescent="0.25">
      <c r="A8716" s="2" t="str">
        <f t="shared" si="327"/>
        <v>35620</v>
      </c>
      <c r="B8716" s="2" t="str">
        <f>"11766"</f>
        <v>11766</v>
      </c>
      <c r="C8716" s="1">
        <v>6.0862902083011602E-4</v>
      </c>
      <c r="D8716" s="1">
        <v>6.0377506678954804E-4</v>
      </c>
      <c r="E8716" s="1">
        <v>1.5373112426366199E-4</v>
      </c>
      <c r="F8716" s="1">
        <v>5.8058121357176405E-4</v>
      </c>
    </row>
    <row r="8717" spans="1:6" x14ac:dyDescent="0.25">
      <c r="A8717" s="2" t="str">
        <f t="shared" si="327"/>
        <v>35620</v>
      </c>
      <c r="B8717" s="2" t="str">
        <f>"11959"</f>
        <v>11959</v>
      </c>
      <c r="C8717" s="1">
        <v>6.5814544566461901E-5</v>
      </c>
      <c r="D8717" s="1">
        <v>3.6815552853021201E-6</v>
      </c>
      <c r="E8717" s="1">
        <v>3.8432781065915701E-5</v>
      </c>
      <c r="F8717" s="1">
        <v>5.8779603859422102E-5</v>
      </c>
    </row>
    <row r="8718" spans="1:6" x14ac:dyDescent="0.25">
      <c r="A8718" s="2" t="str">
        <f t="shared" si="327"/>
        <v>35620</v>
      </c>
      <c r="B8718" s="2" t="str">
        <f>"11958"</f>
        <v>11958</v>
      </c>
      <c r="C8718" s="1">
        <v>4.8023467301803899E-5</v>
      </c>
      <c r="D8718" s="1">
        <v>1.9634961521611299E-5</v>
      </c>
      <c r="E8718" s="1">
        <v>1.74694459390525E-6</v>
      </c>
      <c r="F8718" s="1">
        <v>4.2758448294850297E-5</v>
      </c>
    </row>
    <row r="8719" spans="1:6" x14ac:dyDescent="0.25">
      <c r="A8719" s="2" t="str">
        <f t="shared" si="327"/>
        <v>35620</v>
      </c>
      <c r="B8719" s="2" t="str">
        <f>"11955"</f>
        <v>11955</v>
      </c>
      <c r="C8719" s="1">
        <v>2.52807475536957E-4</v>
      </c>
      <c r="D8719" s="1">
        <v>2.3193798297403299E-4</v>
      </c>
      <c r="E8719" s="1">
        <v>2.6728252286750399E-4</v>
      </c>
      <c r="F8719" s="1">
        <v>2.5188227357810102E-4</v>
      </c>
    </row>
    <row r="8720" spans="1:6" x14ac:dyDescent="0.25">
      <c r="A8720" s="2" t="str">
        <f t="shared" si="327"/>
        <v>35620</v>
      </c>
      <c r="B8720" s="2" t="str">
        <f>"11967"</f>
        <v>11967</v>
      </c>
      <c r="C8720" s="1">
        <v>1.1173543000971499E-3</v>
      </c>
      <c r="D8720" s="1">
        <v>7.7558098010364798E-4</v>
      </c>
      <c r="E8720" s="1">
        <v>2.25355852613778E-4</v>
      </c>
      <c r="F8720" s="1">
        <v>1.0336297848348101E-3</v>
      </c>
    </row>
    <row r="8721" spans="1:6" x14ac:dyDescent="0.25">
      <c r="A8721" s="2" t="str">
        <f t="shared" si="327"/>
        <v>35620</v>
      </c>
      <c r="B8721" s="2" t="str">
        <f>"11801"</f>
        <v>11801</v>
      </c>
      <c r="C8721" s="1">
        <v>1.56001620854227E-3</v>
      </c>
      <c r="D8721" s="1">
        <v>2.9231548965298801E-3</v>
      </c>
      <c r="E8721" s="1">
        <v>1.48490290481947E-3</v>
      </c>
      <c r="F8721" s="1">
        <v>1.6733089033699299E-3</v>
      </c>
    </row>
    <row r="8722" spans="1:6" x14ac:dyDescent="0.25">
      <c r="A8722" s="2" t="str">
        <f t="shared" si="327"/>
        <v>35620</v>
      </c>
      <c r="B8722" s="2" t="str">
        <f>"11941"</f>
        <v>11941</v>
      </c>
      <c r="C8722" s="1">
        <v>1.40089181818215E-4</v>
      </c>
      <c r="D8722" s="1">
        <v>1.11673843654164E-4</v>
      </c>
      <c r="E8722" s="1">
        <v>7.1624728350115602E-5</v>
      </c>
      <c r="F8722" s="1">
        <v>1.33474262915438E-4</v>
      </c>
    </row>
    <row r="8723" spans="1:6" x14ac:dyDescent="0.25">
      <c r="A8723" s="2" t="str">
        <f t="shared" si="327"/>
        <v>35620</v>
      </c>
      <c r="B8723" s="2" t="str">
        <f>"11789"</f>
        <v>11789</v>
      </c>
      <c r="C8723" s="1">
        <v>4.9528866147275003E-4</v>
      </c>
      <c r="D8723" s="1">
        <v>1.6444280274349399E-4</v>
      </c>
      <c r="E8723" s="1">
        <v>4.8914448629347199E-5</v>
      </c>
      <c r="F8723" s="1">
        <v>4.3957382452993799E-4</v>
      </c>
    </row>
    <row r="8724" spans="1:6" x14ac:dyDescent="0.25">
      <c r="A8724" s="2" t="str">
        <f t="shared" si="327"/>
        <v>35620</v>
      </c>
      <c r="B8724" s="2" t="str">
        <f>"11568"</f>
        <v>11568</v>
      </c>
      <c r="C8724" s="1">
        <v>1.76542228241605E-4</v>
      </c>
      <c r="D8724" s="1">
        <v>1.7794183878960199E-4</v>
      </c>
      <c r="E8724" s="1">
        <v>3.4938891878105098E-5</v>
      </c>
      <c r="F8724" s="1">
        <v>1.6806298287603701E-4</v>
      </c>
    </row>
    <row r="8725" spans="1:6" x14ac:dyDescent="0.25">
      <c r="A8725" s="2" t="str">
        <f t="shared" si="327"/>
        <v>35620</v>
      </c>
      <c r="B8725" s="2" t="str">
        <f>"11724"</f>
        <v>11724</v>
      </c>
      <c r="C8725" s="1">
        <v>1.7019715872763601E-4</v>
      </c>
      <c r="D8725" s="1">
        <v>2.76116646397659E-4</v>
      </c>
      <c r="E8725" s="1">
        <v>1.01322786446505E-4</v>
      </c>
      <c r="F8725" s="1">
        <v>1.7517170753051601E-4</v>
      </c>
    </row>
    <row r="8726" spans="1:6" x14ac:dyDescent="0.25">
      <c r="A8726" s="2" t="str">
        <f t="shared" si="327"/>
        <v>35620</v>
      </c>
      <c r="B8726" s="2" t="str">
        <f>"11717"</f>
        <v>11717</v>
      </c>
      <c r="C8726" s="1">
        <v>1.59348333990027E-3</v>
      </c>
      <c r="D8726" s="1">
        <v>1.3842647872735899E-3</v>
      </c>
      <c r="E8726" s="1">
        <v>4.8739754169956702E-4</v>
      </c>
      <c r="F8726" s="1">
        <v>1.5082167307972601E-3</v>
      </c>
    </row>
    <row r="8727" spans="1:6" x14ac:dyDescent="0.25">
      <c r="A8727" s="2" t="str">
        <f t="shared" si="327"/>
        <v>35620</v>
      </c>
      <c r="B8727" s="2" t="str">
        <f>"11554"</f>
        <v>11554</v>
      </c>
      <c r="C8727" s="1">
        <v>1.62060540174429E-3</v>
      </c>
      <c r="D8727" s="1">
        <v>1.28240842438024E-3</v>
      </c>
      <c r="E8727" s="1">
        <v>4.7866281873004099E-4</v>
      </c>
      <c r="F8727" s="1">
        <v>1.52200977863431E-3</v>
      </c>
    </row>
    <row r="8728" spans="1:6" x14ac:dyDescent="0.25">
      <c r="A8728" s="2" t="str">
        <f t="shared" si="327"/>
        <v>35620</v>
      </c>
      <c r="B8728" s="2" t="str">
        <f>"11561"</f>
        <v>11561</v>
      </c>
      <c r="C8728" s="1">
        <v>2.2200278511227702E-3</v>
      </c>
      <c r="D8728" s="1">
        <v>1.17073458072607E-3</v>
      </c>
      <c r="E8728" s="1">
        <v>3.3052191716687498E-3</v>
      </c>
      <c r="F8728" s="1">
        <v>2.1952166134502501E-3</v>
      </c>
    </row>
    <row r="8729" spans="1:6" x14ac:dyDescent="0.25">
      <c r="A8729" s="2" t="str">
        <f t="shared" si="327"/>
        <v>35620</v>
      </c>
      <c r="B8729" s="2" t="str">
        <f>"11548"</f>
        <v>11548</v>
      </c>
      <c r="C8729" s="1">
        <v>8.8333320684665301E-5</v>
      </c>
      <c r="D8729" s="1">
        <v>5.4609736731981503E-4</v>
      </c>
      <c r="E8729" s="1">
        <v>1.64212791827094E-4</v>
      </c>
      <c r="F8729" s="1">
        <v>1.32519359603642E-4</v>
      </c>
    </row>
    <row r="8730" spans="1:6" x14ac:dyDescent="0.25">
      <c r="A8730" s="2" t="str">
        <f t="shared" si="327"/>
        <v>35620</v>
      </c>
      <c r="B8730" s="2" t="str">
        <f>"11542"</f>
        <v>11542</v>
      </c>
      <c r="C8730" s="1">
        <v>1.3263683546749501E-3</v>
      </c>
      <c r="D8730" s="1">
        <v>1.57570566210931E-3</v>
      </c>
      <c r="E8730" s="1">
        <v>5.1360171060814601E-3</v>
      </c>
      <c r="F8730" s="1">
        <v>1.57930397734205E-3</v>
      </c>
    </row>
    <row r="8731" spans="1:6" x14ac:dyDescent="0.25">
      <c r="A8731" s="2" t="str">
        <f t="shared" si="327"/>
        <v>35620</v>
      </c>
      <c r="B8731" s="2" t="str">
        <f>"11550"</f>
        <v>11550</v>
      </c>
      <c r="C8731" s="1">
        <v>2.0776992330055E-3</v>
      </c>
      <c r="D8731" s="1">
        <v>2.2027972457057698E-3</v>
      </c>
      <c r="E8731" s="1">
        <v>3.2073902744100499E-3</v>
      </c>
      <c r="F8731" s="1">
        <v>2.1571265813463999E-3</v>
      </c>
    </row>
    <row r="8732" spans="1:6" x14ac:dyDescent="0.25">
      <c r="A8732" s="2" t="str">
        <f t="shared" si="327"/>
        <v>35620</v>
      </c>
      <c r="B8732" s="2" t="str">
        <f>"11510"</f>
        <v>11510</v>
      </c>
      <c r="C8732" s="1">
        <v>1.54707724325889E-3</v>
      </c>
      <c r="D8732" s="1">
        <v>1.61374840005743E-3</v>
      </c>
      <c r="E8732" s="1">
        <v>7.3371672944020901E-4</v>
      </c>
      <c r="F8732" s="1">
        <v>1.5034422142382799E-3</v>
      </c>
    </row>
    <row r="8733" spans="1:6" x14ac:dyDescent="0.25">
      <c r="A8733" s="2" t="str">
        <f t="shared" si="327"/>
        <v>35620</v>
      </c>
      <c r="B8733" s="2" t="str">
        <f>"11436"</f>
        <v>11436</v>
      </c>
      <c r="C8733" s="1">
        <v>6.0614075827561897E-4</v>
      </c>
      <c r="D8733" s="1">
        <v>2.0248554069161599E-4</v>
      </c>
      <c r="E8733" s="1">
        <v>2.81258079618746E-4</v>
      </c>
      <c r="F8733" s="1">
        <v>5.51509712745985E-4</v>
      </c>
    </row>
    <row r="8734" spans="1:6" x14ac:dyDescent="0.25">
      <c r="A8734" s="2" t="str">
        <f t="shared" si="327"/>
        <v>35620</v>
      </c>
      <c r="B8734" s="2" t="str">
        <f>"11413"</f>
        <v>11413</v>
      </c>
      <c r="C8734" s="1">
        <v>1.3799904127243701E-3</v>
      </c>
      <c r="D8734" s="1">
        <v>1.0381985904551899E-3</v>
      </c>
      <c r="E8734" s="1">
        <v>2.6553557827359899E-4</v>
      </c>
      <c r="F8734" s="1">
        <v>1.28275344884551E-3</v>
      </c>
    </row>
    <row r="8735" spans="1:6" x14ac:dyDescent="0.25">
      <c r="A8735" s="2" t="str">
        <f t="shared" si="327"/>
        <v>35620</v>
      </c>
      <c r="B8735" s="2" t="str">
        <f>"11225"</f>
        <v>11225</v>
      </c>
      <c r="C8735" s="1">
        <v>3.2135910891336701E-3</v>
      </c>
      <c r="D8735" s="1">
        <v>1.65915424857615E-3</v>
      </c>
      <c r="E8735" s="1">
        <v>2.90167497047663E-3</v>
      </c>
      <c r="F8735" s="1">
        <v>3.0602529135691499E-3</v>
      </c>
    </row>
    <row r="8736" spans="1:6" x14ac:dyDescent="0.25">
      <c r="A8736" s="2" t="str">
        <f t="shared" si="327"/>
        <v>35620</v>
      </c>
      <c r="B8736" s="2" t="str">
        <f>"11249"</f>
        <v>11249</v>
      </c>
      <c r="C8736" s="1">
        <v>2.2910677470536702E-3</v>
      </c>
      <c r="D8736" s="1">
        <v>1.42721626560212E-3</v>
      </c>
      <c r="E8736" s="1">
        <v>2.6326455030152201E-3</v>
      </c>
      <c r="F8736" s="1">
        <v>2.2371262588012902E-3</v>
      </c>
    </row>
    <row r="8737" spans="1:6" x14ac:dyDescent="0.25">
      <c r="A8737" s="2" t="str">
        <f t="shared" si="327"/>
        <v>35620</v>
      </c>
      <c r="B8737" s="2" t="str">
        <f>"11354"</f>
        <v>11354</v>
      </c>
      <c r="C8737" s="1">
        <v>2.8159667329249499E-3</v>
      </c>
      <c r="D8737" s="1">
        <v>4.9970977072500804E-3</v>
      </c>
      <c r="E8737" s="1">
        <v>2.5854779989797801E-3</v>
      </c>
      <c r="F8737" s="1">
        <v>2.9905449718080701E-3</v>
      </c>
    </row>
    <row r="8738" spans="1:6" x14ac:dyDescent="0.25">
      <c r="A8738" s="2" t="str">
        <f t="shared" si="327"/>
        <v>35620</v>
      </c>
      <c r="B8738" s="2" t="str">
        <f>"11233"</f>
        <v>11233</v>
      </c>
      <c r="C8738" s="1">
        <v>3.5184032520596199E-3</v>
      </c>
      <c r="D8738" s="1">
        <v>1.47753085450125E-3</v>
      </c>
      <c r="E8738" s="1">
        <v>6.4130336042261997E-3</v>
      </c>
      <c r="F8738" s="1">
        <v>3.5177577002872499E-3</v>
      </c>
    </row>
    <row r="8739" spans="1:6" x14ac:dyDescent="0.25">
      <c r="A8739" s="2" t="str">
        <f t="shared" si="327"/>
        <v>35620</v>
      </c>
      <c r="B8739" s="2" t="str">
        <f>"11231"</f>
        <v>11231</v>
      </c>
      <c r="C8739" s="1">
        <v>2.1134058006625398E-3</v>
      </c>
      <c r="D8739" s="1">
        <v>2.2580205749853002E-3</v>
      </c>
      <c r="E8739" s="1">
        <v>5.8959380044302503E-3</v>
      </c>
      <c r="F8739" s="1">
        <v>2.3556403698319298E-3</v>
      </c>
    </row>
    <row r="8740" spans="1:6" x14ac:dyDescent="0.25">
      <c r="A8740" s="2" t="str">
        <f t="shared" si="327"/>
        <v>35620</v>
      </c>
      <c r="B8740" s="2" t="str">
        <f>"11236"</f>
        <v>11236</v>
      </c>
      <c r="C8740" s="1">
        <v>3.2683328653326099E-3</v>
      </c>
      <c r="D8740" s="1">
        <v>2.0739428107201898E-3</v>
      </c>
      <c r="E8740" s="1">
        <v>2.0491660086508598E-3</v>
      </c>
      <c r="F8740" s="1">
        <v>3.09102202028257E-3</v>
      </c>
    </row>
    <row r="8741" spans="1:6" x14ac:dyDescent="0.25">
      <c r="A8741" s="2" t="str">
        <f t="shared" si="327"/>
        <v>35620</v>
      </c>
      <c r="B8741" s="2" t="str">
        <f>"11202"</f>
        <v>11202</v>
      </c>
      <c r="C8741" s="1">
        <v>5.44183020668628E-4</v>
      </c>
      <c r="D8741" s="1">
        <v>5.7064106922182899E-4</v>
      </c>
      <c r="E8741" s="1">
        <v>3.4938891878105101E-6</v>
      </c>
      <c r="F8741" s="1">
        <v>5.1363188137809005E-4</v>
      </c>
    </row>
    <row r="8742" spans="1:6" x14ac:dyDescent="0.25">
      <c r="A8742" s="2" t="str">
        <f t="shared" si="327"/>
        <v>35620</v>
      </c>
      <c r="B8742" s="2" t="str">
        <f>"10901"</f>
        <v>10901</v>
      </c>
      <c r="C8742" s="1">
        <v>1.26976038156013E-3</v>
      </c>
      <c r="D8742" s="1">
        <v>1.3413133089450701E-3</v>
      </c>
      <c r="E8742" s="1">
        <v>1.49363762778899E-3</v>
      </c>
      <c r="F8742" s="1">
        <v>1.2895438723960499E-3</v>
      </c>
    </row>
    <row r="8743" spans="1:6" x14ac:dyDescent="0.25">
      <c r="A8743" s="2" t="str">
        <f t="shared" si="327"/>
        <v>35620</v>
      </c>
      <c r="B8743" s="2" t="str">
        <f>"10801"</f>
        <v>10801</v>
      </c>
      <c r="C8743" s="1">
        <v>1.95826263038962E-3</v>
      </c>
      <c r="D8743" s="1">
        <v>2.7268052813137701E-3</v>
      </c>
      <c r="E8743" s="1">
        <v>2.0613946208081998E-3</v>
      </c>
      <c r="F8743" s="1">
        <v>2.0309732438213999E-3</v>
      </c>
    </row>
    <row r="8744" spans="1:6" x14ac:dyDescent="0.25">
      <c r="A8744" s="2" t="str">
        <f t="shared" si="327"/>
        <v>35620</v>
      </c>
      <c r="B8744" s="2" t="str">
        <f>"11023"</f>
        <v>11023</v>
      </c>
      <c r="C8744" s="1">
        <v>5.1544358816418097E-4</v>
      </c>
      <c r="D8744" s="1">
        <v>6.9826831911230303E-4</v>
      </c>
      <c r="E8744" s="1">
        <v>1.2403306616727301E-4</v>
      </c>
      <c r="F8744" s="1">
        <v>5.0747806003540699E-4</v>
      </c>
    </row>
    <row r="8745" spans="1:6" x14ac:dyDescent="0.25">
      <c r="A8745" s="2" t="str">
        <f t="shared" si="327"/>
        <v>35620</v>
      </c>
      <c r="B8745" s="2" t="str">
        <f>"10993"</f>
        <v>10993</v>
      </c>
      <c r="C8745" s="1">
        <v>2.0602813951240201E-4</v>
      </c>
      <c r="D8745" s="1">
        <v>2.4789138921034302E-4</v>
      </c>
      <c r="E8745" s="1">
        <v>1.4499640129413599E-4</v>
      </c>
      <c r="F8745" s="1">
        <v>2.0594081424393101E-4</v>
      </c>
    </row>
    <row r="8746" spans="1:6" x14ac:dyDescent="0.25">
      <c r="A8746" s="2" t="str">
        <f t="shared" si="327"/>
        <v>35620</v>
      </c>
      <c r="B8746" s="2" t="str">
        <f>"10977"</f>
        <v>10977</v>
      </c>
      <c r="C8746" s="1">
        <v>2.3521545927665901E-3</v>
      </c>
      <c r="D8746" s="1">
        <v>2.1757991736135501E-3</v>
      </c>
      <c r="E8746" s="1">
        <v>2.5715024422285401E-3</v>
      </c>
      <c r="F8746" s="1">
        <v>2.3502292510650799E-3</v>
      </c>
    </row>
    <row r="8747" spans="1:6" x14ac:dyDescent="0.25">
      <c r="A8747" s="2" t="str">
        <f t="shared" si="327"/>
        <v>35620</v>
      </c>
      <c r="B8747" s="2" t="str">
        <f>"10701"</f>
        <v>10701</v>
      </c>
      <c r="C8747" s="1">
        <v>3.41464270353707E-3</v>
      </c>
      <c r="D8747" s="1">
        <v>2.83725193987283E-3</v>
      </c>
      <c r="E8747" s="1">
        <v>4.8407834697114698E-3</v>
      </c>
      <c r="F8747" s="1">
        <v>3.4513388699334599E-3</v>
      </c>
    </row>
    <row r="8748" spans="1:6" x14ac:dyDescent="0.25">
      <c r="A8748" s="2" t="str">
        <f t="shared" si="327"/>
        <v>35620</v>
      </c>
      <c r="B8748" s="2" t="str">
        <f>"10583"</f>
        <v>10583</v>
      </c>
      <c r="C8748" s="1">
        <v>1.9031476148075E-3</v>
      </c>
      <c r="D8748" s="1">
        <v>1.8591854190775699E-3</v>
      </c>
      <c r="E8748" s="1">
        <v>6.5161033352666099E-4</v>
      </c>
      <c r="F8748" s="1">
        <v>1.8233348236898299E-3</v>
      </c>
    </row>
    <row r="8749" spans="1:6" x14ac:dyDescent="0.25">
      <c r="A8749" s="2" t="str">
        <f t="shared" si="327"/>
        <v>35620</v>
      </c>
      <c r="B8749" s="2" t="str">
        <f>"10541"</f>
        <v>10541</v>
      </c>
      <c r="C8749" s="1">
        <v>1.25383550121134E-3</v>
      </c>
      <c r="D8749" s="1">
        <v>9.4125096794224299E-4</v>
      </c>
      <c r="E8749" s="1">
        <v>4.48964760633651E-4</v>
      </c>
      <c r="F8749" s="1">
        <v>1.1779262852839401E-3</v>
      </c>
    </row>
    <row r="8750" spans="1:6" x14ac:dyDescent="0.25">
      <c r="A8750" s="2" t="str">
        <f t="shared" si="327"/>
        <v>35620</v>
      </c>
      <c r="B8750" s="2" t="str">
        <f>"10560"</f>
        <v>10560</v>
      </c>
      <c r="C8750" s="1">
        <v>2.9548117834659102E-4</v>
      </c>
      <c r="D8750" s="1">
        <v>2.2702924259363101E-4</v>
      </c>
      <c r="E8750" s="1">
        <v>2.7951113502484101E-5</v>
      </c>
      <c r="F8750" s="1">
        <v>2.7331454790951499E-4</v>
      </c>
    </row>
    <row r="8751" spans="1:6" x14ac:dyDescent="0.25">
      <c r="A8751" s="2" t="str">
        <f t="shared" si="327"/>
        <v>35620</v>
      </c>
      <c r="B8751" s="2" t="str">
        <f>"10550"</f>
        <v>10550</v>
      </c>
      <c r="C8751" s="1">
        <v>1.9295231978851701E-3</v>
      </c>
      <c r="D8751" s="1">
        <v>2.79307327644921E-3</v>
      </c>
      <c r="E8751" s="1">
        <v>3.7559308768963001E-3</v>
      </c>
      <c r="F8751" s="1">
        <v>2.1151108356274001E-3</v>
      </c>
    </row>
    <row r="8752" spans="1:6" x14ac:dyDescent="0.25">
      <c r="A8752" s="2" t="str">
        <f t="shared" si="327"/>
        <v>35620</v>
      </c>
      <c r="B8752" s="2" t="str">
        <f>"10527"</f>
        <v>10527</v>
      </c>
      <c r="C8752" s="1">
        <v>3.5830980784765599E-5</v>
      </c>
      <c r="D8752" s="1">
        <v>2.4543701902014099E-6</v>
      </c>
      <c r="E8752" s="1">
        <v>8.7347229695262897E-6</v>
      </c>
      <c r="F8752" s="1">
        <v>3.12996085533023E-5</v>
      </c>
    </row>
    <row r="8753" spans="1:6" x14ac:dyDescent="0.25">
      <c r="A8753" s="2" t="str">
        <f t="shared" si="327"/>
        <v>35620</v>
      </c>
      <c r="B8753" s="2" t="str">
        <f>"10518"</f>
        <v>10518</v>
      </c>
      <c r="C8753" s="1">
        <v>1.2292017019218201E-4</v>
      </c>
      <c r="D8753" s="1">
        <v>2.30710797878933E-4</v>
      </c>
      <c r="E8753" s="1">
        <v>3.4938891878105098E-5</v>
      </c>
      <c r="F8753" s="1">
        <v>1.26896040100846E-4</v>
      </c>
    </row>
    <row r="8754" spans="1:6" x14ac:dyDescent="0.25">
      <c r="A8754" s="2" t="str">
        <f t="shared" si="327"/>
        <v>35620</v>
      </c>
      <c r="B8754" s="2" t="str">
        <f>"10526"</f>
        <v>10526</v>
      </c>
      <c r="C8754" s="1">
        <v>1.81021100839701E-4</v>
      </c>
      <c r="D8754" s="1">
        <v>1.3867191574638E-4</v>
      </c>
      <c r="E8754" s="1">
        <v>1.7469445939052502E-5</v>
      </c>
      <c r="F8754" s="1">
        <v>1.6742638066817299E-4</v>
      </c>
    </row>
    <row r="8755" spans="1:6" x14ac:dyDescent="0.25">
      <c r="A8755" s="2" t="str">
        <f t="shared" si="327"/>
        <v>35620</v>
      </c>
      <c r="B8755" s="2" t="str">
        <f>"10154"</f>
        <v>10154</v>
      </c>
      <c r="C8755" s="1">
        <v>0</v>
      </c>
      <c r="D8755" s="1">
        <v>6.3813624945236803E-5</v>
      </c>
      <c r="E8755" s="1">
        <v>1.7469445939052502E-5</v>
      </c>
      <c r="F8755" s="1">
        <v>6.5782228145923597E-6</v>
      </c>
    </row>
    <row r="8756" spans="1:6" x14ac:dyDescent="0.25">
      <c r="A8756" s="2" t="str">
        <f t="shared" si="327"/>
        <v>35620</v>
      </c>
      <c r="B8756" s="2" t="str">
        <f>"10271"</f>
        <v>10271</v>
      </c>
      <c r="C8756" s="1">
        <v>0</v>
      </c>
      <c r="D8756" s="1">
        <v>1.5953406236309201E-4</v>
      </c>
      <c r="E8756" s="1">
        <v>8.7347229695262897E-6</v>
      </c>
      <c r="F8756" s="1">
        <v>1.4323549676934899E-5</v>
      </c>
    </row>
    <row r="8757" spans="1:6" x14ac:dyDescent="0.25">
      <c r="A8757" s="2" t="str">
        <f t="shared" si="327"/>
        <v>35620</v>
      </c>
      <c r="B8757" s="2" t="str">
        <f>"10172"</f>
        <v>10172</v>
      </c>
      <c r="C8757" s="1">
        <v>0</v>
      </c>
      <c r="D8757" s="1">
        <v>6.6267995135438199E-5</v>
      </c>
      <c r="E8757" s="1">
        <v>1.22286121573368E-5</v>
      </c>
      <c r="F8757" s="1">
        <v>6.47212244661506E-6</v>
      </c>
    </row>
    <row r="8758" spans="1:6" x14ac:dyDescent="0.25">
      <c r="A8758" s="2" t="str">
        <f t="shared" si="327"/>
        <v>35620</v>
      </c>
      <c r="B8758" s="2" t="str">
        <f>"10175"</f>
        <v>10175</v>
      </c>
      <c r="C8758" s="1">
        <v>0</v>
      </c>
      <c r="D8758" s="1">
        <v>2.4666420411524202E-4</v>
      </c>
      <c r="E8758" s="1">
        <v>1.22286121573368E-5</v>
      </c>
      <c r="F8758" s="1">
        <v>2.2068876539277599E-5</v>
      </c>
    </row>
    <row r="8759" spans="1:6" x14ac:dyDescent="0.25">
      <c r="A8759" s="2" t="str">
        <f t="shared" si="327"/>
        <v>35620</v>
      </c>
      <c r="B8759" s="2" t="str">
        <f>"10302"</f>
        <v>10302</v>
      </c>
      <c r="C8759" s="1">
        <v>7.5929331850494699E-4</v>
      </c>
      <c r="D8759" s="1">
        <v>8.7621015790190595E-4</v>
      </c>
      <c r="E8759" s="1">
        <v>4.8390365251175599E-4</v>
      </c>
      <c r="F8759" s="1">
        <v>7.5267601043093896E-4</v>
      </c>
    </row>
    <row r="8760" spans="1:6" x14ac:dyDescent="0.25">
      <c r="A8760" s="2" t="str">
        <f t="shared" ref="A8760:A8823" si="328">"35620"</f>
        <v>35620</v>
      </c>
      <c r="B8760" s="2" t="str">
        <f>"10453"</f>
        <v>10453</v>
      </c>
      <c r="C8760" s="1">
        <v>3.7284126116592202E-3</v>
      </c>
      <c r="D8760" s="1">
        <v>1.31431523685285E-3</v>
      </c>
      <c r="E8760" s="1">
        <v>2.6134291124822601E-3</v>
      </c>
      <c r="F8760" s="1">
        <v>3.4519754721413299E-3</v>
      </c>
    </row>
    <row r="8761" spans="1:6" x14ac:dyDescent="0.25">
      <c r="A8761" s="2" t="str">
        <f t="shared" si="328"/>
        <v>35620</v>
      </c>
      <c r="B8761" s="2" t="str">
        <f>"10081"</f>
        <v>10081</v>
      </c>
      <c r="C8761" s="1">
        <v>0</v>
      </c>
      <c r="D8761" s="1">
        <v>1.2271850951007001E-6</v>
      </c>
      <c r="E8761" s="1">
        <v>5.2408337817157703E-6</v>
      </c>
      <c r="F8761" s="1">
        <v>4.2440147190918399E-7</v>
      </c>
    </row>
    <row r="8762" spans="1:6" x14ac:dyDescent="0.25">
      <c r="A8762" s="2" t="str">
        <f t="shared" si="328"/>
        <v>35620</v>
      </c>
      <c r="B8762" s="2" t="str">
        <f>"10117"</f>
        <v>10117</v>
      </c>
      <c r="C8762" s="1">
        <v>0</v>
      </c>
      <c r="D8762" s="1">
        <v>0</v>
      </c>
      <c r="E8762" s="1">
        <v>8.7347229695262897E-6</v>
      </c>
      <c r="F8762" s="1">
        <v>5.3050183988648101E-7</v>
      </c>
    </row>
    <row r="8763" spans="1:6" x14ac:dyDescent="0.25">
      <c r="A8763" s="2" t="str">
        <f t="shared" si="328"/>
        <v>35620</v>
      </c>
      <c r="B8763" s="2" t="str">
        <f>"10106"</f>
        <v>10106</v>
      </c>
      <c r="C8763" s="1">
        <v>0</v>
      </c>
      <c r="D8763" s="1">
        <v>1.11673843654164E-4</v>
      </c>
      <c r="E8763" s="1">
        <v>1.3975556751242E-5</v>
      </c>
      <c r="F8763" s="1">
        <v>1.0503936429752299E-5</v>
      </c>
    </row>
    <row r="8764" spans="1:6" x14ac:dyDescent="0.25">
      <c r="A8764" s="2" t="str">
        <f t="shared" si="328"/>
        <v>35620</v>
      </c>
      <c r="B8764" s="2" t="str">
        <f>"10120"</f>
        <v>10120</v>
      </c>
      <c r="C8764" s="1">
        <v>0</v>
      </c>
      <c r="D8764" s="1">
        <v>9.9401992703157394E-5</v>
      </c>
      <c r="E8764" s="1">
        <v>1.04816675634315E-5</v>
      </c>
      <c r="F8764" s="1">
        <v>9.2307320140247705E-6</v>
      </c>
    </row>
    <row r="8765" spans="1:6" x14ac:dyDescent="0.25">
      <c r="A8765" s="2" t="str">
        <f t="shared" si="328"/>
        <v>35620</v>
      </c>
      <c r="B8765" s="2" t="str">
        <f>"10110"</f>
        <v>10110</v>
      </c>
      <c r="C8765" s="1">
        <v>0</v>
      </c>
      <c r="D8765" s="1">
        <v>1.3621754555617801E-4</v>
      </c>
      <c r="E8765" s="1">
        <v>6.9877783756210304E-6</v>
      </c>
      <c r="F8765" s="1">
        <v>1.2201542317389E-5</v>
      </c>
    </row>
    <row r="8766" spans="1:6" x14ac:dyDescent="0.25">
      <c r="A8766" s="2" t="str">
        <f t="shared" si="328"/>
        <v>35620</v>
      </c>
      <c r="B8766" s="2" t="str">
        <f>"10107"</f>
        <v>10107</v>
      </c>
      <c r="C8766" s="1">
        <v>0</v>
      </c>
      <c r="D8766" s="1">
        <v>1.3253599027087599E-4</v>
      </c>
      <c r="E8766" s="1">
        <v>2.62041689085788E-5</v>
      </c>
      <c r="F8766" s="1">
        <v>1.3050345261207399E-5</v>
      </c>
    </row>
    <row r="8767" spans="1:6" x14ac:dyDescent="0.25">
      <c r="A8767" s="2" t="str">
        <f t="shared" si="328"/>
        <v>35620</v>
      </c>
      <c r="B8767" s="2" t="str">
        <f>"10045"</f>
        <v>10045</v>
      </c>
      <c r="C8767" s="1">
        <v>0</v>
      </c>
      <c r="D8767" s="1">
        <v>2.4543701902014099E-6</v>
      </c>
      <c r="E8767" s="1">
        <v>1.74694459390525E-6</v>
      </c>
      <c r="F8767" s="1">
        <v>3.1830110393188798E-7</v>
      </c>
    </row>
    <row r="8768" spans="1:6" x14ac:dyDescent="0.25">
      <c r="A8768" s="2" t="str">
        <f t="shared" si="328"/>
        <v>35620</v>
      </c>
      <c r="B8768" s="2" t="str">
        <f>"10313"</f>
        <v>10313</v>
      </c>
      <c r="C8768" s="1">
        <v>5.5239428709846998E-5</v>
      </c>
      <c r="D8768" s="1">
        <v>9.3266067227653794E-5</v>
      </c>
      <c r="E8768" s="1">
        <v>3.4938891878105101E-6</v>
      </c>
      <c r="F8768" s="1">
        <v>5.5384392084148599E-5</v>
      </c>
    </row>
    <row r="8769" spans="1:6" x14ac:dyDescent="0.25">
      <c r="A8769" s="2" t="str">
        <f t="shared" si="328"/>
        <v>35620</v>
      </c>
      <c r="B8769" s="2" t="str">
        <f>"10452"</f>
        <v>10452</v>
      </c>
      <c r="C8769" s="1">
        <v>3.6679478315849298E-3</v>
      </c>
      <c r="D8769" s="1">
        <v>1.6886066908585701E-3</v>
      </c>
      <c r="E8769" s="1">
        <v>2.5452982733199601E-3</v>
      </c>
      <c r="F8769" s="1">
        <v>3.4286333911863198E-3</v>
      </c>
    </row>
    <row r="8770" spans="1:6" x14ac:dyDescent="0.25">
      <c r="A8770" s="2" t="str">
        <f t="shared" si="328"/>
        <v>35620</v>
      </c>
      <c r="B8770" s="2" t="str">
        <f>"10036"</f>
        <v>10036</v>
      </c>
      <c r="C8770" s="1">
        <v>3.08445026255524E-3</v>
      </c>
      <c r="D8770" s="1">
        <v>1.04003936809785E-2</v>
      </c>
      <c r="E8770" s="1">
        <v>3.1043205433696399E-3</v>
      </c>
      <c r="F8770" s="1">
        <v>3.7181812953963598E-3</v>
      </c>
    </row>
    <row r="8771" spans="1:6" x14ac:dyDescent="0.25">
      <c r="A8771" s="2" t="str">
        <f t="shared" si="328"/>
        <v>35620</v>
      </c>
      <c r="B8771" s="2" t="str">
        <f>"10022"</f>
        <v>10022</v>
      </c>
      <c r="C8771" s="1">
        <v>3.28052535184965E-3</v>
      </c>
      <c r="D8771" s="1">
        <v>8.8001443169671793E-3</v>
      </c>
      <c r="E8771" s="1">
        <v>3.2720272243845498E-3</v>
      </c>
      <c r="F8771" s="1">
        <v>3.7572262308120099E-3</v>
      </c>
    </row>
    <row r="8772" spans="1:6" x14ac:dyDescent="0.25">
      <c r="A8772" s="2" t="str">
        <f t="shared" si="328"/>
        <v>35620</v>
      </c>
      <c r="B8772" s="2" t="str">
        <f>"10021"</f>
        <v>10021</v>
      </c>
      <c r="C8772" s="1">
        <v>4.05785857387471E-3</v>
      </c>
      <c r="D8772" s="1">
        <v>2.6114498823743E-3</v>
      </c>
      <c r="E8772" s="1">
        <v>3.1864269392831899E-3</v>
      </c>
      <c r="F8772" s="1">
        <v>3.87987825619376E-3</v>
      </c>
    </row>
    <row r="8773" spans="1:6" x14ac:dyDescent="0.25">
      <c r="A8773" s="2" t="str">
        <f t="shared" si="328"/>
        <v>35620</v>
      </c>
      <c r="B8773" s="2" t="str">
        <f>"10029"</f>
        <v>10029</v>
      </c>
      <c r="C8773" s="1">
        <v>4.4685463084945401E-3</v>
      </c>
      <c r="D8773" s="1">
        <v>2.12793895490462E-3</v>
      </c>
      <c r="E8773" s="1">
        <v>4.6031990049403499E-3</v>
      </c>
      <c r="F8773" s="1">
        <v>4.2743594243333499E-3</v>
      </c>
    </row>
    <row r="8774" spans="1:6" x14ac:dyDescent="0.25">
      <c r="A8774" s="2" t="str">
        <f t="shared" si="328"/>
        <v>35620</v>
      </c>
      <c r="B8774" s="2" t="str">
        <f>"08904"</f>
        <v>08904</v>
      </c>
      <c r="C8774" s="1">
        <v>8.93535083320093E-4</v>
      </c>
      <c r="D8774" s="1">
        <v>8.0012468200566205E-4</v>
      </c>
      <c r="E8774" s="1">
        <v>1.5547806885756799E-3</v>
      </c>
      <c r="F8774" s="1">
        <v>9.2561961023393199E-4</v>
      </c>
    </row>
    <row r="8775" spans="1:6" x14ac:dyDescent="0.25">
      <c r="A8775" s="2" t="str">
        <f t="shared" si="328"/>
        <v>35620</v>
      </c>
      <c r="B8775" s="2" t="str">
        <f>"08803"</f>
        <v>08803</v>
      </c>
      <c r="C8775" s="1">
        <v>0</v>
      </c>
      <c r="D8775" s="1">
        <v>1.2271850951007001E-6</v>
      </c>
      <c r="E8775" s="1">
        <v>0</v>
      </c>
      <c r="F8775" s="1">
        <v>1.06100367977296E-7</v>
      </c>
    </row>
    <row r="8776" spans="1:6" x14ac:dyDescent="0.25">
      <c r="A8776" s="2" t="str">
        <f t="shared" si="328"/>
        <v>35620</v>
      </c>
      <c r="B8776" s="2" t="str">
        <f>"08809"</f>
        <v>08809</v>
      </c>
      <c r="C8776" s="1">
        <v>3.4026990432754799E-4</v>
      </c>
      <c r="D8776" s="1">
        <v>8.0257905219586296E-4</v>
      </c>
      <c r="E8776" s="1">
        <v>2.4806613233454601E-4</v>
      </c>
      <c r="F8776" s="1">
        <v>3.7464039932783201E-4</v>
      </c>
    </row>
    <row r="8777" spans="1:6" x14ac:dyDescent="0.25">
      <c r="A8777" s="2" t="str">
        <f t="shared" si="328"/>
        <v>35620</v>
      </c>
      <c r="B8777" s="2" t="str">
        <f>"08805"</f>
        <v>08805</v>
      </c>
      <c r="C8777" s="1">
        <v>6.8377454997594397E-4</v>
      </c>
      <c r="D8777" s="1">
        <v>7.8171690557915095E-4</v>
      </c>
      <c r="E8777" s="1">
        <v>8.6648451857700799E-4</v>
      </c>
      <c r="F8777" s="1">
        <v>7.0333933932149601E-4</v>
      </c>
    </row>
    <row r="8778" spans="1:6" x14ac:dyDescent="0.25">
      <c r="A8778" s="2" t="str">
        <f t="shared" si="328"/>
        <v>35620</v>
      </c>
      <c r="B8778" s="2" t="str">
        <f>"08754"</f>
        <v>08754</v>
      </c>
      <c r="C8778" s="1">
        <v>1.8226523211694999E-4</v>
      </c>
      <c r="D8778" s="1">
        <v>5.4855173751001604E-4</v>
      </c>
      <c r="E8778" s="1">
        <v>3.4938891878105101E-6</v>
      </c>
      <c r="F8778" s="1">
        <v>2.0307610430854401E-4</v>
      </c>
    </row>
    <row r="8779" spans="1:6" x14ac:dyDescent="0.25">
      <c r="A8779" s="2" t="str">
        <f t="shared" si="328"/>
        <v>35620</v>
      </c>
      <c r="B8779" s="2" t="str">
        <f>"08758"</f>
        <v>08758</v>
      </c>
      <c r="C8779" s="1">
        <v>6.0390132197657095E-4</v>
      </c>
      <c r="D8779" s="1">
        <v>2.4911857430544299E-4</v>
      </c>
      <c r="E8779" s="1">
        <v>5.4155282411062999E-5</v>
      </c>
      <c r="F8779" s="1">
        <v>5.3983867226848302E-4</v>
      </c>
    </row>
    <row r="8780" spans="1:6" x14ac:dyDescent="0.25">
      <c r="A8780" s="2" t="str">
        <f t="shared" si="328"/>
        <v>35620</v>
      </c>
      <c r="B8780" s="2" t="str">
        <f>"08759"</f>
        <v>08759</v>
      </c>
      <c r="C8780" s="1">
        <v>2.94261929694888E-3</v>
      </c>
      <c r="D8780" s="1">
        <v>5.1787211013249899E-4</v>
      </c>
      <c r="E8780" s="1">
        <v>2.2151257450718602E-3</v>
      </c>
      <c r="F8780" s="1">
        <v>2.6887955252806401E-3</v>
      </c>
    </row>
    <row r="8781" spans="1:6" x14ac:dyDescent="0.25">
      <c r="A8781" s="2" t="str">
        <f t="shared" si="328"/>
        <v>35620</v>
      </c>
      <c r="B8781" s="2" t="str">
        <f>"08863"</f>
        <v>08863</v>
      </c>
      <c r="C8781" s="1">
        <v>6.40105542144511E-4</v>
      </c>
      <c r="D8781" s="1">
        <v>4.2460604290484499E-4</v>
      </c>
      <c r="E8781" s="1">
        <v>1.8692307154786201E-4</v>
      </c>
      <c r="F8781" s="1">
        <v>5.9394985993690399E-4</v>
      </c>
    </row>
    <row r="8782" spans="1:6" x14ac:dyDescent="0.25">
      <c r="A8782" s="2" t="str">
        <f t="shared" si="328"/>
        <v>35620</v>
      </c>
      <c r="B8782" s="2" t="str">
        <f>"08855"</f>
        <v>08855</v>
      </c>
      <c r="C8782" s="1">
        <v>1.26154911513029E-4</v>
      </c>
      <c r="D8782" s="1">
        <v>2.15984576737724E-4</v>
      </c>
      <c r="E8782" s="1">
        <v>3.4938891878105101E-6</v>
      </c>
      <c r="F8782" s="1">
        <v>1.2647163862893699E-4</v>
      </c>
    </row>
    <row r="8783" spans="1:6" x14ac:dyDescent="0.25">
      <c r="A8783" s="2" t="str">
        <f t="shared" si="328"/>
        <v>35620</v>
      </c>
      <c r="B8783" s="2" t="str">
        <f>"08740"</f>
        <v>08740</v>
      </c>
      <c r="C8783" s="1">
        <v>1.4332392313906199E-4</v>
      </c>
      <c r="D8783" s="1">
        <v>0</v>
      </c>
      <c r="E8783" s="1">
        <v>2.62041689085788E-5</v>
      </c>
      <c r="F8783" s="1">
        <v>1.2381912942950401E-4</v>
      </c>
    </row>
    <row r="8784" spans="1:6" x14ac:dyDescent="0.25">
      <c r="A8784" s="2" t="str">
        <f t="shared" si="328"/>
        <v>35620</v>
      </c>
      <c r="B8784" s="2" t="str">
        <f>"08734"</f>
        <v>08734</v>
      </c>
      <c r="C8784" s="1">
        <v>4.49380217342269E-4</v>
      </c>
      <c r="D8784" s="1">
        <v>3.2274968001148597E-4</v>
      </c>
      <c r="E8784" s="1">
        <v>5.2408337817157701E-5</v>
      </c>
      <c r="F8784" s="1">
        <v>4.14321936951341E-4</v>
      </c>
    </row>
    <row r="8785" spans="1:6" x14ac:dyDescent="0.25">
      <c r="A8785" s="2" t="str">
        <f t="shared" si="328"/>
        <v>35620</v>
      </c>
      <c r="B8785" s="2" t="str">
        <f>"08829"</f>
        <v>08829</v>
      </c>
      <c r="C8785" s="1">
        <v>1.9433330550626301E-4</v>
      </c>
      <c r="D8785" s="1">
        <v>8.22214013717474E-5</v>
      </c>
      <c r="E8785" s="1">
        <v>8.7347229695262894E-5</v>
      </c>
      <c r="F8785" s="1">
        <v>1.7814251783388E-4</v>
      </c>
    </row>
    <row r="8786" spans="1:6" x14ac:dyDescent="0.25">
      <c r="A8786" s="2" t="str">
        <f t="shared" si="328"/>
        <v>35620</v>
      </c>
      <c r="B8786" s="2" t="str">
        <f>"08724"</f>
        <v>08724</v>
      </c>
      <c r="C8786" s="1">
        <v>2.26195507516605E-3</v>
      </c>
      <c r="D8786" s="1">
        <v>1.0087461481727801E-3</v>
      </c>
      <c r="E8786" s="1">
        <v>3.1619697149685202E-4</v>
      </c>
      <c r="F8786" s="1">
        <v>2.0354294592764498E-3</v>
      </c>
    </row>
    <row r="8787" spans="1:6" x14ac:dyDescent="0.25">
      <c r="A8787" s="2" t="str">
        <f t="shared" si="328"/>
        <v>35620</v>
      </c>
      <c r="B8787" s="2" t="str">
        <f>"08556"</f>
        <v>08556</v>
      </c>
      <c r="C8787" s="1">
        <v>6.2206563862440295E-7</v>
      </c>
      <c r="D8787" s="1">
        <v>1.2271850951007001E-6</v>
      </c>
      <c r="E8787" s="1">
        <v>1.74694459390525E-6</v>
      </c>
      <c r="F8787" s="1">
        <v>7.4270257584107304E-7</v>
      </c>
    </row>
    <row r="8788" spans="1:6" x14ac:dyDescent="0.25">
      <c r="A8788" s="2" t="str">
        <f t="shared" si="328"/>
        <v>35620</v>
      </c>
      <c r="B8788" s="2" t="str">
        <f>"07961"</f>
        <v>07961</v>
      </c>
      <c r="C8788" s="1">
        <v>5.66079731148207E-5</v>
      </c>
      <c r="D8788" s="1">
        <v>1.2885443498557401E-4</v>
      </c>
      <c r="E8788" s="1">
        <v>3.4938891878105101E-6</v>
      </c>
      <c r="F8788" s="1">
        <v>5.9628406803240398E-5</v>
      </c>
    </row>
    <row r="8789" spans="1:6" x14ac:dyDescent="0.25">
      <c r="A8789" s="2" t="str">
        <f t="shared" si="328"/>
        <v>35620</v>
      </c>
      <c r="B8789" s="2" t="str">
        <f>"07938"</f>
        <v>07938</v>
      </c>
      <c r="C8789" s="1">
        <v>0</v>
      </c>
      <c r="D8789" s="1">
        <v>3.31339975677191E-5</v>
      </c>
      <c r="E8789" s="1">
        <v>1.5722501345147302E-5</v>
      </c>
      <c r="F8789" s="1">
        <v>3.8196132471826602E-6</v>
      </c>
    </row>
    <row r="8790" spans="1:6" x14ac:dyDescent="0.25">
      <c r="A8790" s="2" t="str">
        <f t="shared" si="328"/>
        <v>35620</v>
      </c>
      <c r="B8790" s="2" t="str">
        <f>"07926"</f>
        <v>07926</v>
      </c>
      <c r="C8790" s="1">
        <v>5.9593888180217799E-5</v>
      </c>
      <c r="D8790" s="1">
        <v>6.1359254755035406E-5</v>
      </c>
      <c r="E8790" s="1">
        <v>3.4938891878105101E-6</v>
      </c>
      <c r="F8790" s="1">
        <v>5.63392953959442E-5</v>
      </c>
    </row>
    <row r="8791" spans="1:6" x14ac:dyDescent="0.25">
      <c r="A8791" s="2" t="str">
        <f t="shared" si="328"/>
        <v>35620</v>
      </c>
      <c r="B8791" s="2" t="str">
        <f>"07865"</f>
        <v>07865</v>
      </c>
      <c r="C8791" s="1">
        <v>5.0511729856301499E-5</v>
      </c>
      <c r="D8791" s="1">
        <v>6.1359254755035401E-6</v>
      </c>
      <c r="E8791" s="1">
        <v>6.9877783756210304E-6</v>
      </c>
      <c r="F8791" s="1">
        <v>4.40316527105779E-5</v>
      </c>
    </row>
    <row r="8792" spans="1:6" x14ac:dyDescent="0.25">
      <c r="A8792" s="2" t="str">
        <f t="shared" si="328"/>
        <v>35620</v>
      </c>
      <c r="B8792" s="2" t="str">
        <f>"07860"</f>
        <v>07860</v>
      </c>
      <c r="C8792" s="1">
        <v>1.30496929670627E-3</v>
      </c>
      <c r="D8792" s="1">
        <v>1.2345482056713101E-3</v>
      </c>
      <c r="E8792" s="1">
        <v>1.9181451641079701E-3</v>
      </c>
      <c r="F8792" s="1">
        <v>1.3361219339380901E-3</v>
      </c>
    </row>
    <row r="8793" spans="1:6" x14ac:dyDescent="0.25">
      <c r="A8793" s="2" t="str">
        <f t="shared" si="328"/>
        <v>35620</v>
      </c>
      <c r="B8793" s="2" t="str">
        <f>"07849"</f>
        <v>07849</v>
      </c>
      <c r="C8793" s="1">
        <v>5.2912903221391701E-4</v>
      </c>
      <c r="D8793" s="1">
        <v>5.1173618465699504E-4</v>
      </c>
      <c r="E8793" s="1">
        <v>1.79935293172241E-4</v>
      </c>
      <c r="F8793" s="1">
        <v>5.0641705635563403E-4</v>
      </c>
    </row>
    <row r="8794" spans="1:6" x14ac:dyDescent="0.25">
      <c r="A8794" s="2" t="str">
        <f t="shared" si="328"/>
        <v>35620</v>
      </c>
      <c r="B8794" s="2" t="str">
        <f>"07722"</f>
        <v>07722</v>
      </c>
      <c r="C8794" s="1">
        <v>5.0810321362841301E-4</v>
      </c>
      <c r="D8794" s="1">
        <v>3.8165456457631998E-4</v>
      </c>
      <c r="E8794" s="1">
        <v>4.3673614847631399E-4</v>
      </c>
      <c r="F8794" s="1">
        <v>4.9283620925453999E-4</v>
      </c>
    </row>
    <row r="8795" spans="1:6" x14ac:dyDescent="0.25">
      <c r="A8795" s="2" t="str">
        <f t="shared" si="328"/>
        <v>35620</v>
      </c>
      <c r="B8795" s="2" t="str">
        <f>"07831"</f>
        <v>07831</v>
      </c>
      <c r="C8795" s="1">
        <v>4.1056332149210599E-6</v>
      </c>
      <c r="D8795" s="1">
        <v>0</v>
      </c>
      <c r="E8795" s="1">
        <v>1.74694459390525E-6</v>
      </c>
      <c r="F8795" s="1">
        <v>3.6074125112280701E-6</v>
      </c>
    </row>
    <row r="8796" spans="1:6" x14ac:dyDescent="0.25">
      <c r="A8796" s="2" t="str">
        <f t="shared" si="328"/>
        <v>35620</v>
      </c>
      <c r="B8796" s="2" t="str">
        <f>"07826"</f>
        <v>07826</v>
      </c>
      <c r="C8796" s="1">
        <v>2.9672530962383998E-4</v>
      </c>
      <c r="D8796" s="1">
        <v>1.5830687726799101E-4</v>
      </c>
      <c r="E8796" s="1">
        <v>2.3758446477111501E-4</v>
      </c>
      <c r="F8796" s="1">
        <v>2.81165975139834E-4</v>
      </c>
    </row>
    <row r="8797" spans="1:6" x14ac:dyDescent="0.25">
      <c r="A8797" s="2" t="str">
        <f t="shared" si="328"/>
        <v>35620</v>
      </c>
      <c r="B8797" s="2" t="str">
        <f>"07821"</f>
        <v>07821</v>
      </c>
      <c r="C8797" s="1">
        <v>5.6160085855011099E-4</v>
      </c>
      <c r="D8797" s="1">
        <v>3.4729338191349999E-4</v>
      </c>
      <c r="E8797" s="1">
        <v>2.6728252286750399E-4</v>
      </c>
      <c r="F8797" s="1">
        <v>5.2519682148761601E-4</v>
      </c>
    </row>
    <row r="8798" spans="1:6" x14ac:dyDescent="0.25">
      <c r="A8798" s="2" t="str">
        <f t="shared" si="328"/>
        <v>35620</v>
      </c>
      <c r="B8798" s="2" t="str">
        <f>"07747"</f>
        <v>07747</v>
      </c>
      <c r="C8798" s="1">
        <v>1.7550959928148899E-3</v>
      </c>
      <c r="D8798" s="1">
        <v>1.6861523206683699E-3</v>
      </c>
      <c r="E8798" s="1">
        <v>1.43249456700231E-3</v>
      </c>
      <c r="F8798" s="1">
        <v>1.7295420983979E-3</v>
      </c>
    </row>
    <row r="8799" spans="1:6" x14ac:dyDescent="0.25">
      <c r="A8799" s="2" t="str">
        <f t="shared" si="328"/>
        <v>35620</v>
      </c>
      <c r="B8799" s="2" t="str">
        <f>"07738"</f>
        <v>07738</v>
      </c>
      <c r="C8799" s="1">
        <v>3.6465487736162498E-4</v>
      </c>
      <c r="D8799" s="1">
        <v>3.6692834343511101E-4</v>
      </c>
      <c r="E8799" s="1">
        <v>5.7649171598873501E-5</v>
      </c>
      <c r="F8799" s="1">
        <v>3.4620550070991698E-4</v>
      </c>
    </row>
    <row r="8800" spans="1:6" x14ac:dyDescent="0.25">
      <c r="A8800" s="2" t="str">
        <f t="shared" si="328"/>
        <v>35620</v>
      </c>
      <c r="B8800" s="2" t="str">
        <f>"07754"</f>
        <v>07754</v>
      </c>
      <c r="C8800" s="1">
        <v>8.2361490553870995E-5</v>
      </c>
      <c r="D8800" s="1">
        <v>2.6261761035155102E-4</v>
      </c>
      <c r="E8800" s="1">
        <v>3.4938891878105101E-6</v>
      </c>
      <c r="F8800" s="1">
        <v>9.3156123084065998E-5</v>
      </c>
    </row>
    <row r="8801" spans="1:6" x14ac:dyDescent="0.25">
      <c r="A8801" s="2" t="str">
        <f t="shared" si="328"/>
        <v>35620</v>
      </c>
      <c r="B8801" s="2" t="str">
        <f>"07755"</f>
        <v>07755</v>
      </c>
      <c r="C8801" s="1">
        <v>4.2113843734872098E-4</v>
      </c>
      <c r="D8801" s="1">
        <v>6.8722365325639705E-4</v>
      </c>
      <c r="E8801" s="1">
        <v>1.65959736420999E-4</v>
      </c>
      <c r="F8801" s="1">
        <v>4.2864548662827599E-4</v>
      </c>
    </row>
    <row r="8802" spans="1:6" x14ac:dyDescent="0.25">
      <c r="A8802" s="2" t="str">
        <f t="shared" si="328"/>
        <v>35620</v>
      </c>
      <c r="B8802" s="2" t="str">
        <f>"07753"</f>
        <v>07753</v>
      </c>
      <c r="C8802" s="1">
        <v>2.1488635420641401E-3</v>
      </c>
      <c r="D8802" s="1">
        <v>1.76591935184992E-3</v>
      </c>
      <c r="E8802" s="1">
        <v>9.1015813342464004E-4</v>
      </c>
      <c r="F8802" s="1">
        <v>2.0405222769393598E-3</v>
      </c>
    </row>
    <row r="8803" spans="1:6" x14ac:dyDescent="0.25">
      <c r="A8803" s="2" t="str">
        <f t="shared" si="328"/>
        <v>35620</v>
      </c>
      <c r="B8803" s="2" t="str">
        <f>"07751"</f>
        <v>07751</v>
      </c>
      <c r="C8803" s="1">
        <v>9.3160550040390696E-4</v>
      </c>
      <c r="D8803" s="1">
        <v>7.1667609553881402E-4</v>
      </c>
      <c r="E8803" s="1">
        <v>1.78188348578336E-4</v>
      </c>
      <c r="F8803" s="1">
        <v>8.6726440784641904E-4</v>
      </c>
    </row>
    <row r="8804" spans="1:6" x14ac:dyDescent="0.25">
      <c r="A8804" s="2" t="str">
        <f t="shared" si="328"/>
        <v>35620</v>
      </c>
      <c r="B8804" s="2" t="str">
        <f>"07663"</f>
        <v>07663</v>
      </c>
      <c r="C8804" s="1">
        <v>7.5692946907817403E-4</v>
      </c>
      <c r="D8804" s="1">
        <v>1.0909675495445301E-3</v>
      </c>
      <c r="E8804" s="1">
        <v>4.3848309307022002E-4</v>
      </c>
      <c r="F8804" s="1">
        <v>7.6646905826798699E-4</v>
      </c>
    </row>
    <row r="8805" spans="1:6" x14ac:dyDescent="0.25">
      <c r="A8805" s="2" t="str">
        <f t="shared" si="328"/>
        <v>35620</v>
      </c>
      <c r="B8805" s="2" t="str">
        <f>"07666"</f>
        <v>07666</v>
      </c>
      <c r="C8805" s="1">
        <v>1.9016546572747999E-3</v>
      </c>
      <c r="D8805" s="1">
        <v>1.9794495583974401E-3</v>
      </c>
      <c r="E8805" s="1">
        <v>2.1172968478131702E-3</v>
      </c>
      <c r="F8805" s="1">
        <v>1.9214776640688301E-3</v>
      </c>
    </row>
    <row r="8806" spans="1:6" x14ac:dyDescent="0.25">
      <c r="A8806" s="2" t="str">
        <f t="shared" si="328"/>
        <v>35620</v>
      </c>
      <c r="B8806" s="2" t="str">
        <f>"07731"</f>
        <v>07731</v>
      </c>
      <c r="C8806" s="1">
        <v>1.8110819002910799E-3</v>
      </c>
      <c r="D8806" s="1">
        <v>1.4701677439306401E-3</v>
      </c>
      <c r="E8806" s="1">
        <v>7.8612506725736606E-5</v>
      </c>
      <c r="F8806" s="1">
        <v>1.67638581404128E-3</v>
      </c>
    </row>
    <row r="8807" spans="1:6" x14ac:dyDescent="0.25">
      <c r="A8807" s="2" t="str">
        <f t="shared" si="328"/>
        <v>35620</v>
      </c>
      <c r="B8807" s="2" t="str">
        <f>"07730"</f>
        <v>07730</v>
      </c>
      <c r="C8807" s="1">
        <v>7.8579331471034602E-4</v>
      </c>
      <c r="D8807" s="1">
        <v>8.3571304976358201E-4</v>
      </c>
      <c r="E8807" s="1">
        <v>3.6511142012619902E-4</v>
      </c>
      <c r="F8807" s="1">
        <v>7.6455925164439602E-4</v>
      </c>
    </row>
    <row r="8808" spans="1:6" x14ac:dyDescent="0.25">
      <c r="A8808" s="2" t="str">
        <f t="shared" si="328"/>
        <v>35620</v>
      </c>
      <c r="B8808" s="2" t="str">
        <f>"07630"</f>
        <v>07630</v>
      </c>
      <c r="C8808" s="1">
        <v>3.2160793516881599E-4</v>
      </c>
      <c r="D8808" s="1">
        <v>2.8961568244376698E-4</v>
      </c>
      <c r="E8808" s="1">
        <v>1.76441403984431E-4</v>
      </c>
      <c r="F8808" s="1">
        <v>3.1002527522965901E-4</v>
      </c>
    </row>
    <row r="8809" spans="1:6" x14ac:dyDescent="0.25">
      <c r="A8809" s="2" t="str">
        <f t="shared" si="328"/>
        <v>35620</v>
      </c>
      <c r="B8809" s="2" t="str">
        <f>"07538"</f>
        <v>07538</v>
      </c>
      <c r="C8809" s="1">
        <v>6.3575108267413996E-5</v>
      </c>
      <c r="D8809" s="1">
        <v>2.1230302145242201E-4</v>
      </c>
      <c r="E8809" s="1">
        <v>3.4938891878105101E-6</v>
      </c>
      <c r="F8809" s="1">
        <v>7.2784852432425197E-5</v>
      </c>
    </row>
    <row r="8810" spans="1:6" x14ac:dyDescent="0.25">
      <c r="A8810" s="2" t="str">
        <f t="shared" si="328"/>
        <v>35620</v>
      </c>
      <c r="B8810" s="2" t="str">
        <f>"07621"</f>
        <v>07621</v>
      </c>
      <c r="C8810" s="1">
        <v>1.2041946632491199E-3</v>
      </c>
      <c r="D8810" s="1">
        <v>1.01242770345808E-3</v>
      </c>
      <c r="E8810" s="1">
        <v>7.3895756322192401E-4</v>
      </c>
      <c r="F8810" s="1">
        <v>1.15935872088791E-3</v>
      </c>
    </row>
    <row r="8811" spans="1:6" x14ac:dyDescent="0.25">
      <c r="A8811" s="2" t="str">
        <f t="shared" si="328"/>
        <v>35620</v>
      </c>
      <c r="B8811" s="2" t="str">
        <f>"07401"</f>
        <v>07401</v>
      </c>
      <c r="C8811" s="1">
        <v>3.43504645648395E-4</v>
      </c>
      <c r="D8811" s="1">
        <v>4.7369344670887298E-4</v>
      </c>
      <c r="E8811" s="1">
        <v>2.21861963425967E-4</v>
      </c>
      <c r="F8811" s="1">
        <v>3.4737260475766699E-4</v>
      </c>
    </row>
    <row r="8812" spans="1:6" x14ac:dyDescent="0.25">
      <c r="A8812" s="2" t="str">
        <f t="shared" si="328"/>
        <v>35620</v>
      </c>
      <c r="B8812" s="2" t="str">
        <f>"07304"</f>
        <v>07304</v>
      </c>
      <c r="C8812" s="1">
        <v>2.3953259480871199E-3</v>
      </c>
      <c r="D8812" s="1">
        <v>1.41985315503152E-3</v>
      </c>
      <c r="E8812" s="1">
        <v>4.4931414955243203E-3</v>
      </c>
      <c r="F8812" s="1">
        <v>2.4383986568542199E-3</v>
      </c>
    </row>
    <row r="8813" spans="1:6" x14ac:dyDescent="0.25">
      <c r="A8813" s="2" t="str">
        <f t="shared" si="328"/>
        <v>35620</v>
      </c>
      <c r="B8813" s="2" t="str">
        <f>"07513"</f>
        <v>07513</v>
      </c>
      <c r="C8813" s="1">
        <v>3.6614783489432402E-4</v>
      </c>
      <c r="D8813" s="1">
        <v>3.6079241795960797E-4</v>
      </c>
      <c r="E8813" s="1">
        <v>1.0289503658101899E-3</v>
      </c>
      <c r="F8813" s="1">
        <v>4.0594000788113501E-4</v>
      </c>
    </row>
    <row r="8814" spans="1:6" x14ac:dyDescent="0.25">
      <c r="A8814" s="2" t="str">
        <f t="shared" si="328"/>
        <v>35620</v>
      </c>
      <c r="B8814" s="2" t="str">
        <f>"07509"</f>
        <v>07509</v>
      </c>
      <c r="C8814" s="1">
        <v>3.3180981164225701E-4</v>
      </c>
      <c r="D8814" s="1">
        <v>3.9269923043222602E-4</v>
      </c>
      <c r="E8814" s="1">
        <v>3.4938891878105101E-6</v>
      </c>
      <c r="F8814" s="1">
        <v>3.1713399988413798E-4</v>
      </c>
    </row>
    <row r="8815" spans="1:6" x14ac:dyDescent="0.25">
      <c r="A8815" s="2" t="str">
        <f t="shared" si="328"/>
        <v>35620</v>
      </c>
      <c r="B8815" s="2" t="str">
        <f>"07465"</f>
        <v>07465</v>
      </c>
      <c r="C8815" s="1">
        <v>3.3740840238987601E-4</v>
      </c>
      <c r="D8815" s="1">
        <v>9.2038882132553095E-5</v>
      </c>
      <c r="E8815" s="1">
        <v>1.5198417966975699E-4</v>
      </c>
      <c r="F8815" s="1">
        <v>3.0493245756674898E-4</v>
      </c>
    </row>
    <row r="8816" spans="1:6" x14ac:dyDescent="0.25">
      <c r="A8816" s="2" t="str">
        <f t="shared" si="328"/>
        <v>35620</v>
      </c>
      <c r="B8816" s="2" t="str">
        <f>"07501"</f>
        <v>07501</v>
      </c>
      <c r="C8816" s="1">
        <v>1.5581500116264E-3</v>
      </c>
      <c r="D8816" s="1">
        <v>1.41003567427071E-3</v>
      </c>
      <c r="E8816" s="1">
        <v>4.7691587413613498E-3</v>
      </c>
      <c r="F8816" s="1">
        <v>1.74036433593158E-3</v>
      </c>
    </row>
    <row r="8817" spans="1:6" x14ac:dyDescent="0.25">
      <c r="A8817" s="2" t="str">
        <f t="shared" si="328"/>
        <v>35620</v>
      </c>
      <c r="B8817" s="2" t="str">
        <f>"07175"</f>
        <v>07175</v>
      </c>
      <c r="C8817" s="1">
        <v>0</v>
      </c>
      <c r="D8817" s="1">
        <v>1.2271850951007001E-6</v>
      </c>
      <c r="E8817" s="1">
        <v>0</v>
      </c>
      <c r="F8817" s="1">
        <v>1.06100367977296E-7</v>
      </c>
    </row>
    <row r="8818" spans="1:6" x14ac:dyDescent="0.25">
      <c r="A8818" s="2" t="str">
        <f t="shared" si="328"/>
        <v>35620</v>
      </c>
      <c r="B8818" s="2" t="str">
        <f>"07204"</f>
        <v>07204</v>
      </c>
      <c r="C8818" s="1">
        <v>7.3341538793817199E-4</v>
      </c>
      <c r="D8818" s="1">
        <v>5.2032648032270001E-4</v>
      </c>
      <c r="E8818" s="1">
        <v>5.2583032276548299E-4</v>
      </c>
      <c r="F8818" s="1">
        <v>7.0238443600970004E-4</v>
      </c>
    </row>
    <row r="8819" spans="1:6" x14ac:dyDescent="0.25">
      <c r="A8819" s="2" t="str">
        <f t="shared" si="328"/>
        <v>35620</v>
      </c>
      <c r="B8819" s="2" t="str">
        <f>"07046"</f>
        <v>07046</v>
      </c>
      <c r="C8819" s="1">
        <v>1.80772274584251E-4</v>
      </c>
      <c r="D8819" s="1">
        <v>2.23347687308329E-4</v>
      </c>
      <c r="E8819" s="1">
        <v>6.8130839162305101E-5</v>
      </c>
      <c r="F8819" s="1">
        <v>1.77612015993993E-4</v>
      </c>
    </row>
    <row r="8820" spans="1:6" x14ac:dyDescent="0.25">
      <c r="A8820" s="2" t="str">
        <f t="shared" si="328"/>
        <v>35620</v>
      </c>
      <c r="B8820" s="2" t="str">
        <f>"07097"</f>
        <v>07097</v>
      </c>
      <c r="C8820" s="1">
        <v>0</v>
      </c>
      <c r="D8820" s="1">
        <v>0</v>
      </c>
      <c r="E8820" s="1">
        <v>1.74694459390525E-6</v>
      </c>
      <c r="F8820" s="1">
        <v>1.06100367977296E-7</v>
      </c>
    </row>
    <row r="8821" spans="1:6" x14ac:dyDescent="0.25">
      <c r="A8821" s="2" t="str">
        <f t="shared" si="328"/>
        <v>35620</v>
      </c>
      <c r="B8821" s="2" t="str">
        <f>"07075"</f>
        <v>07075</v>
      </c>
      <c r="C8821" s="1">
        <v>5.06237016712539E-4</v>
      </c>
      <c r="D8821" s="1">
        <v>2.6261761035155102E-4</v>
      </c>
      <c r="E8821" s="1">
        <v>3.23184749872473E-4</v>
      </c>
      <c r="F8821" s="1">
        <v>4.7405644412255898E-4</v>
      </c>
    </row>
    <row r="8822" spans="1:6" x14ac:dyDescent="0.25">
      <c r="A8822" s="2" t="str">
        <f t="shared" si="328"/>
        <v>35620</v>
      </c>
      <c r="B8822" s="2" t="str">
        <f>"07039"</f>
        <v>07039</v>
      </c>
      <c r="C8822" s="1">
        <v>1.43510542830649E-3</v>
      </c>
      <c r="D8822" s="1">
        <v>2.0592165895789798E-3</v>
      </c>
      <c r="E8822" s="1">
        <v>4.8040976332394599E-4</v>
      </c>
      <c r="F8822" s="1">
        <v>1.43108176327777E-3</v>
      </c>
    </row>
    <row r="8823" spans="1:6" x14ac:dyDescent="0.25">
      <c r="A8823" s="2" t="str">
        <f t="shared" si="328"/>
        <v>35620</v>
      </c>
      <c r="B8823" s="2" t="str">
        <f>"07067"</f>
        <v>07067</v>
      </c>
      <c r="C8823" s="1">
        <v>8.6380034579384697E-4</v>
      </c>
      <c r="D8823" s="1">
        <v>4.6878470632847003E-4</v>
      </c>
      <c r="E8823" s="1">
        <v>1.5023723507585199E-4</v>
      </c>
      <c r="F8823" s="1">
        <v>7.8630982707974205E-4</v>
      </c>
    </row>
    <row r="8824" spans="1:6" x14ac:dyDescent="0.25">
      <c r="A8824" s="2" t="str">
        <f t="shared" ref="A8824:A8887" si="329">"35620"</f>
        <v>35620</v>
      </c>
      <c r="B8824" s="2" t="str">
        <f>"07066"</f>
        <v>07066</v>
      </c>
      <c r="C8824" s="1">
        <v>8.3356795575670101E-4</v>
      </c>
      <c r="D8824" s="1">
        <v>9.8911118665117106E-4</v>
      </c>
      <c r="E8824" s="1">
        <v>4.3498920388240899E-4</v>
      </c>
      <c r="F8824" s="1">
        <v>8.2280835366393198E-4</v>
      </c>
    </row>
    <row r="8825" spans="1:6" x14ac:dyDescent="0.25">
      <c r="A8825" s="2" t="str">
        <f t="shared" si="329"/>
        <v>35620</v>
      </c>
      <c r="B8825" s="2" t="str">
        <f>"07064"</f>
        <v>07064</v>
      </c>
      <c r="C8825" s="1">
        <v>1.67957722428589E-4</v>
      </c>
      <c r="D8825" s="1">
        <v>1.01856362893358E-4</v>
      </c>
      <c r="E8825" s="1">
        <v>6.1143060786684003E-5</v>
      </c>
      <c r="F8825" s="1">
        <v>1.5575534019067E-4</v>
      </c>
    </row>
    <row r="8826" spans="1:6" x14ac:dyDescent="0.25">
      <c r="A8826" s="2" t="str">
        <f t="shared" si="329"/>
        <v>35620</v>
      </c>
      <c r="B8826" s="2" t="str">
        <f>"07005"</f>
        <v>07005</v>
      </c>
      <c r="C8826" s="1">
        <v>8.6753273962559305E-4</v>
      </c>
      <c r="D8826" s="1">
        <v>1.02715392459929E-3</v>
      </c>
      <c r="E8826" s="1">
        <v>5.0836087682642995E-4</v>
      </c>
      <c r="F8826" s="1">
        <v>8.5951908098407599E-4</v>
      </c>
    </row>
    <row r="8827" spans="1:6" x14ac:dyDescent="0.25">
      <c r="A8827" s="2" t="str">
        <f t="shared" si="329"/>
        <v>35620</v>
      </c>
      <c r="B8827" s="2" t="str">
        <f>"18428"</f>
        <v>18428</v>
      </c>
      <c r="C8827" s="1">
        <v>6.6822290901033402E-4</v>
      </c>
      <c r="D8827" s="1">
        <v>3.14159384345781E-4</v>
      </c>
      <c r="E8827" s="1">
        <v>8.5600285101357704E-5</v>
      </c>
      <c r="F8827" s="1">
        <v>6.0222568863913298E-4</v>
      </c>
    </row>
    <row r="8828" spans="1:6" x14ac:dyDescent="0.25">
      <c r="A8828" s="2" t="str">
        <f t="shared" si="329"/>
        <v>35620</v>
      </c>
      <c r="B8828" s="2" t="str">
        <f>"18340"</f>
        <v>18340</v>
      </c>
      <c r="C8828" s="1">
        <v>1.2441312772488E-7</v>
      </c>
      <c r="D8828" s="1">
        <v>1.2271850951007001E-6</v>
      </c>
      <c r="E8828" s="1">
        <v>0</v>
      </c>
      <c r="F8828" s="1">
        <v>2.12200735954592E-7</v>
      </c>
    </row>
    <row r="8829" spans="1:6" x14ac:dyDescent="0.25">
      <c r="A8829" s="2" t="str">
        <f t="shared" si="329"/>
        <v>35620</v>
      </c>
      <c r="B8829" s="2" t="str">
        <f>"12524"</f>
        <v>12524</v>
      </c>
      <c r="C8829" s="1">
        <v>1.7417837881483299E-6</v>
      </c>
      <c r="D8829" s="1">
        <v>1.2271850951007001E-6</v>
      </c>
      <c r="E8829" s="1">
        <v>0</v>
      </c>
      <c r="F8829" s="1">
        <v>1.5915055196594401E-6</v>
      </c>
    </row>
    <row r="8830" spans="1:6" x14ac:dyDescent="0.25">
      <c r="A8830" s="2" t="str">
        <f t="shared" si="329"/>
        <v>35620</v>
      </c>
      <c r="B8830" s="2" t="str">
        <f>"11972"</f>
        <v>11972</v>
      </c>
      <c r="C8830" s="1">
        <v>1.5178401582435401E-5</v>
      </c>
      <c r="D8830" s="1">
        <v>1.2271850951007001E-6</v>
      </c>
      <c r="E8830" s="1">
        <v>5.2408337817157703E-6</v>
      </c>
      <c r="F8830" s="1">
        <v>1.33686463651393E-5</v>
      </c>
    </row>
    <row r="8831" spans="1:6" x14ac:dyDescent="0.25">
      <c r="A8831" s="2" t="str">
        <f t="shared" si="329"/>
        <v>35620</v>
      </c>
      <c r="B8831" s="2" t="str">
        <f>"11977"</f>
        <v>11977</v>
      </c>
      <c r="C8831" s="1">
        <v>1.9881217810435901E-4</v>
      </c>
      <c r="D8831" s="1">
        <v>4.0497108138323297E-5</v>
      </c>
      <c r="E8831" s="1">
        <v>1.0656362022822E-4</v>
      </c>
      <c r="F8831" s="1">
        <v>1.79521822617585E-4</v>
      </c>
    </row>
    <row r="8832" spans="1:6" x14ac:dyDescent="0.25">
      <c r="A8832" s="2" t="str">
        <f t="shared" si="329"/>
        <v>35620</v>
      </c>
      <c r="B8832" s="2" t="str">
        <f>"11770"</f>
        <v>11770</v>
      </c>
      <c r="C8832" s="1">
        <v>3.4213610124342202E-5</v>
      </c>
      <c r="D8832" s="1">
        <v>6.1359254755035401E-6</v>
      </c>
      <c r="E8832" s="1">
        <v>1.74694459390525E-6</v>
      </c>
      <c r="F8832" s="1">
        <v>2.9814203401620199E-5</v>
      </c>
    </row>
    <row r="8833" spans="1:6" x14ac:dyDescent="0.25">
      <c r="A8833" s="2" t="str">
        <f t="shared" si="329"/>
        <v>35620</v>
      </c>
      <c r="B8833" s="2" t="str">
        <f>"11956"</f>
        <v>11956</v>
      </c>
      <c r="C8833" s="1">
        <v>1.6173706604234501E-5</v>
      </c>
      <c r="D8833" s="1">
        <v>0</v>
      </c>
      <c r="E8833" s="1">
        <v>1.74694459390525E-6</v>
      </c>
      <c r="F8833" s="1">
        <v>1.3899148205025801E-5</v>
      </c>
    </row>
    <row r="8834" spans="1:6" x14ac:dyDescent="0.25">
      <c r="A8834" s="2" t="str">
        <f t="shared" si="329"/>
        <v>35620</v>
      </c>
      <c r="B8834" s="2" t="str">
        <f>"11961"</f>
        <v>11961</v>
      </c>
      <c r="C8834" s="1">
        <v>7.7671115638642998E-4</v>
      </c>
      <c r="D8834" s="1">
        <v>1.1658258403456699E-4</v>
      </c>
      <c r="E8834" s="1">
        <v>2.2063910221023402E-3</v>
      </c>
      <c r="F8834" s="1">
        <v>8.0646889699542799E-4</v>
      </c>
    </row>
    <row r="8835" spans="1:6" x14ac:dyDescent="0.25">
      <c r="A8835" s="2" t="str">
        <f t="shared" si="329"/>
        <v>35620</v>
      </c>
      <c r="B8835" s="2" t="str">
        <f>"11957"</f>
        <v>11957</v>
      </c>
      <c r="C8835" s="1">
        <v>6.2330976990165196E-5</v>
      </c>
      <c r="D8835" s="1">
        <v>9.8174807608056699E-6</v>
      </c>
      <c r="E8835" s="1">
        <v>1.7469445939052502E-5</v>
      </c>
      <c r="F8835" s="1">
        <v>5.5066090980216698E-5</v>
      </c>
    </row>
    <row r="8836" spans="1:6" x14ac:dyDescent="0.25">
      <c r="A8836" s="2" t="str">
        <f t="shared" si="329"/>
        <v>35620</v>
      </c>
      <c r="B8836" s="2" t="str">
        <f>"11954"</f>
        <v>11954</v>
      </c>
      <c r="C8836" s="1">
        <v>3.8381449903125703E-4</v>
      </c>
      <c r="D8836" s="1">
        <v>3.4852056700860099E-4</v>
      </c>
      <c r="E8836" s="1">
        <v>2.0788640667472499E-4</v>
      </c>
      <c r="F8836" s="1">
        <v>3.70078083504809E-4</v>
      </c>
    </row>
    <row r="8837" spans="1:6" x14ac:dyDescent="0.25">
      <c r="A8837" s="2" t="str">
        <f t="shared" si="329"/>
        <v>35620</v>
      </c>
      <c r="B8837" s="2" t="str">
        <f>"11795"</f>
        <v>11795</v>
      </c>
      <c r="C8837" s="1">
        <v>1.04755853544349E-3</v>
      </c>
      <c r="D8837" s="1">
        <v>7.59627573867338E-4</v>
      </c>
      <c r="E8837" s="1">
        <v>1.9915168370519899E-4</v>
      </c>
      <c r="F8837" s="1">
        <v>9.7113666809619202E-4</v>
      </c>
    </row>
    <row r="8838" spans="1:6" x14ac:dyDescent="0.25">
      <c r="A8838" s="2" t="str">
        <f t="shared" si="329"/>
        <v>35620</v>
      </c>
      <c r="B8838" s="2" t="str">
        <f>"11944"</f>
        <v>11944</v>
      </c>
      <c r="C8838" s="1">
        <v>3.32058637897706E-4</v>
      </c>
      <c r="D8838" s="1">
        <v>3.68155528530212E-4</v>
      </c>
      <c r="E8838" s="1">
        <v>8.1407618075985105E-4</v>
      </c>
      <c r="F8838" s="1">
        <v>3.64454764002012E-4</v>
      </c>
    </row>
    <row r="8839" spans="1:6" x14ac:dyDescent="0.25">
      <c r="A8839" s="2" t="str">
        <f t="shared" si="329"/>
        <v>35620</v>
      </c>
      <c r="B8839" s="2" t="str">
        <f>"11939"</f>
        <v>11939</v>
      </c>
      <c r="C8839" s="1">
        <v>1.1396242499599E-4</v>
      </c>
      <c r="D8839" s="1">
        <v>1.5953406236309201E-5</v>
      </c>
      <c r="E8839" s="1">
        <v>2.0963335126863101E-5</v>
      </c>
      <c r="F8839" s="1">
        <v>9.9840446266635699E-5</v>
      </c>
    </row>
    <row r="8840" spans="1:6" x14ac:dyDescent="0.25">
      <c r="A8840" s="2" t="str">
        <f t="shared" si="329"/>
        <v>35620</v>
      </c>
      <c r="B8840" s="2" t="str">
        <f>"11754"</f>
        <v>11754</v>
      </c>
      <c r="C8840" s="1">
        <v>9.0995761617977699E-4</v>
      </c>
      <c r="D8840" s="1">
        <v>6.6390713644948304E-4</v>
      </c>
      <c r="E8840" s="1">
        <v>2.6553557827359899E-4</v>
      </c>
      <c r="F8840" s="1">
        <v>8.4954564639421002E-4</v>
      </c>
    </row>
    <row r="8841" spans="1:6" x14ac:dyDescent="0.25">
      <c r="A8841" s="2" t="str">
        <f t="shared" si="329"/>
        <v>35620</v>
      </c>
      <c r="B8841" s="2" t="str">
        <f>"11753"</f>
        <v>11753</v>
      </c>
      <c r="C8841" s="1">
        <v>6.1372995906683596E-4</v>
      </c>
      <c r="D8841" s="1">
        <v>1.29713464552144E-3</v>
      </c>
      <c r="E8841" s="1">
        <v>5.2757726735938799E-4</v>
      </c>
      <c r="F8841" s="1">
        <v>6.6758351531314699E-4</v>
      </c>
    </row>
    <row r="8842" spans="1:6" x14ac:dyDescent="0.25">
      <c r="A8842" s="2" t="str">
        <f t="shared" si="329"/>
        <v>35620</v>
      </c>
      <c r="B8842" s="2" t="str">
        <f>"11752"</f>
        <v>11752</v>
      </c>
      <c r="C8842" s="1">
        <v>4.5945768068798398E-4</v>
      </c>
      <c r="D8842" s="1">
        <v>4.06198266478334E-4</v>
      </c>
      <c r="E8842" s="1">
        <v>1.3626167832461001E-4</v>
      </c>
      <c r="F8842" s="1">
        <v>4.3522370944286902E-4</v>
      </c>
    </row>
    <row r="8843" spans="1:6" x14ac:dyDescent="0.25">
      <c r="A8843" s="2" t="str">
        <f t="shared" si="329"/>
        <v>35620</v>
      </c>
      <c r="B8843" s="2" t="str">
        <f>"11751"</f>
        <v>11751</v>
      </c>
      <c r="C8843" s="1">
        <v>7.1985435701616004E-4</v>
      </c>
      <c r="D8843" s="1">
        <v>6.6267995135438199E-4</v>
      </c>
      <c r="E8843" s="1">
        <v>6.0269588489731405E-4</v>
      </c>
      <c r="F8843" s="1">
        <v>7.0779555477654295E-4</v>
      </c>
    </row>
    <row r="8844" spans="1:6" x14ac:dyDescent="0.25">
      <c r="A8844" s="2" t="str">
        <f t="shared" si="329"/>
        <v>35620</v>
      </c>
      <c r="B8844" s="2" t="str">
        <f>"11749"</f>
        <v>11749</v>
      </c>
      <c r="C8844" s="1">
        <v>1.3324645979334701E-4</v>
      </c>
      <c r="D8844" s="1">
        <v>7.5103727820163303E-4</v>
      </c>
      <c r="E8844" s="1">
        <v>2.7427030124312502E-4</v>
      </c>
      <c r="F8844" s="1">
        <v>1.95224677078225E-4</v>
      </c>
    </row>
    <row r="8845" spans="1:6" x14ac:dyDescent="0.25">
      <c r="A8845" s="2" t="str">
        <f t="shared" si="329"/>
        <v>35620</v>
      </c>
      <c r="B8845" s="2" t="str">
        <f>"11780"</f>
        <v>11780</v>
      </c>
      <c r="C8845" s="1">
        <v>8.4638250791236301E-4</v>
      </c>
      <c r="D8845" s="1">
        <v>1.0062917779825799E-3</v>
      </c>
      <c r="E8845" s="1">
        <v>3.26678639060283E-4</v>
      </c>
      <c r="F8845" s="1">
        <v>8.2864387390268297E-4</v>
      </c>
    </row>
    <row r="8846" spans="1:6" x14ac:dyDescent="0.25">
      <c r="A8846" s="2" t="str">
        <f t="shared" si="329"/>
        <v>35620</v>
      </c>
      <c r="B8846" s="2" t="str">
        <f>"11742"</f>
        <v>11742</v>
      </c>
      <c r="C8846" s="1">
        <v>6.73821499757954E-4</v>
      </c>
      <c r="D8846" s="1">
        <v>5.2891677598840498E-4</v>
      </c>
      <c r="E8846" s="1">
        <v>2.5505391071016699E-4</v>
      </c>
      <c r="F8846" s="1">
        <v>6.3585950528793596E-4</v>
      </c>
    </row>
    <row r="8847" spans="1:6" x14ac:dyDescent="0.25">
      <c r="A8847" s="2" t="str">
        <f t="shared" si="329"/>
        <v>35620</v>
      </c>
      <c r="B8847" s="2" t="str">
        <f>"11598"</f>
        <v>11598</v>
      </c>
      <c r="C8847" s="1">
        <v>5.9009146479910898E-4</v>
      </c>
      <c r="D8847" s="1">
        <v>5.15417739942297E-4</v>
      </c>
      <c r="E8847" s="1">
        <v>3.28425583654188E-4</v>
      </c>
      <c r="F8847" s="1">
        <v>5.67743069046512E-4</v>
      </c>
    </row>
    <row r="8848" spans="1:6" x14ac:dyDescent="0.25">
      <c r="A8848" s="2" t="str">
        <f t="shared" si="329"/>
        <v>35620</v>
      </c>
      <c r="B8848" s="2" t="str">
        <f>"11596"</f>
        <v>11596</v>
      </c>
      <c r="C8848" s="1">
        <v>4.8931683134195605E-4</v>
      </c>
      <c r="D8848" s="1">
        <v>6.9826831911230303E-4</v>
      </c>
      <c r="E8848" s="1">
        <v>3.7908697687744102E-4</v>
      </c>
      <c r="F8848" s="1">
        <v>5.0068763648486003E-4</v>
      </c>
    </row>
    <row r="8849" spans="1:6" x14ac:dyDescent="0.25">
      <c r="A8849" s="2" t="str">
        <f t="shared" si="329"/>
        <v>35620</v>
      </c>
      <c r="B8849" s="2" t="str">
        <f>"11581"</f>
        <v>11581</v>
      </c>
      <c r="C8849" s="1">
        <v>8.9017592887152104E-4</v>
      </c>
      <c r="D8849" s="1">
        <v>7.98897496910561E-4</v>
      </c>
      <c r="E8849" s="1">
        <v>8.2455784832328202E-4</v>
      </c>
      <c r="F8849" s="1">
        <v>8.7829884611605798E-4</v>
      </c>
    </row>
    <row r="8850" spans="1:6" x14ac:dyDescent="0.25">
      <c r="A8850" s="2" t="str">
        <f t="shared" si="329"/>
        <v>35620</v>
      </c>
      <c r="B8850" s="2" t="str">
        <f>"11579"</f>
        <v>11579</v>
      </c>
      <c r="C8850" s="1">
        <v>2.9187319764257001E-4</v>
      </c>
      <c r="D8850" s="1">
        <v>3.7429145400571601E-4</v>
      </c>
      <c r="E8850" s="1">
        <v>3.6511142012619902E-4</v>
      </c>
      <c r="F8850" s="1">
        <v>3.0344705241506701E-4</v>
      </c>
    </row>
    <row r="8851" spans="1:6" x14ac:dyDescent="0.25">
      <c r="A8851" s="2" t="str">
        <f t="shared" si="329"/>
        <v>35620</v>
      </c>
      <c r="B8851" s="2" t="str">
        <f>"11575"</f>
        <v>11575</v>
      </c>
      <c r="C8851" s="1">
        <v>5.6496001299868295E-4</v>
      </c>
      <c r="D8851" s="1">
        <v>3.9883515590772998E-4</v>
      </c>
      <c r="E8851" s="1">
        <v>2.0613946208081999E-4</v>
      </c>
      <c r="F8851" s="1">
        <v>5.2880423399884397E-4</v>
      </c>
    </row>
    <row r="8852" spans="1:6" x14ac:dyDescent="0.25">
      <c r="A8852" s="2" t="str">
        <f t="shared" si="329"/>
        <v>35620</v>
      </c>
      <c r="B8852" s="2" t="str">
        <f>"11716"</f>
        <v>11716</v>
      </c>
      <c r="C8852" s="1">
        <v>5.1880274261275196E-4</v>
      </c>
      <c r="D8852" s="1">
        <v>2.6863081731754502E-3</v>
      </c>
      <c r="E8852" s="1">
        <v>1.0289503658101899E-3</v>
      </c>
      <c r="F8852" s="1">
        <v>7.3718535670625395E-4</v>
      </c>
    </row>
    <row r="8853" spans="1:6" x14ac:dyDescent="0.25">
      <c r="A8853" s="2" t="str">
        <f t="shared" si="329"/>
        <v>35620</v>
      </c>
      <c r="B8853" s="2" t="str">
        <f>"11720"</f>
        <v>11720</v>
      </c>
      <c r="C8853" s="1">
        <v>1.18316884466361E-3</v>
      </c>
      <c r="D8853" s="1">
        <v>8.8357326847250998E-4</v>
      </c>
      <c r="E8853" s="1">
        <v>2.4631918774064101E-4</v>
      </c>
      <c r="F8853" s="1">
        <v>1.1003669162925301E-3</v>
      </c>
    </row>
    <row r="8854" spans="1:6" x14ac:dyDescent="0.25">
      <c r="A8854" s="2" t="str">
        <f t="shared" si="329"/>
        <v>35620</v>
      </c>
      <c r="B8854" s="2" t="str">
        <f>"11719"</f>
        <v>11719</v>
      </c>
      <c r="C8854" s="1">
        <v>1.94457718633988E-4</v>
      </c>
      <c r="D8854" s="1">
        <v>2.4543701902014097E-4</v>
      </c>
      <c r="E8854" s="1">
        <v>5.2408337817157701E-5</v>
      </c>
      <c r="F8854" s="1">
        <v>1.9023795978329199E-4</v>
      </c>
    </row>
    <row r="8855" spans="1:6" x14ac:dyDescent="0.25">
      <c r="A8855" s="2" t="str">
        <f t="shared" si="329"/>
        <v>35620</v>
      </c>
      <c r="B8855" s="2" t="str">
        <f>"11697"</f>
        <v>11697</v>
      </c>
      <c r="C8855" s="1">
        <v>3.6739196617157201E-4</v>
      </c>
      <c r="D8855" s="1">
        <v>5.0314588899128999E-5</v>
      </c>
      <c r="E8855" s="1">
        <v>1.92163905329578E-5</v>
      </c>
      <c r="F8855" s="1">
        <v>3.1883160577177502E-4</v>
      </c>
    </row>
    <row r="8856" spans="1:6" x14ac:dyDescent="0.25">
      <c r="A8856" s="2" t="str">
        <f t="shared" si="329"/>
        <v>35620</v>
      </c>
      <c r="B8856" s="2" t="str">
        <f>"11694"</f>
        <v>11694</v>
      </c>
      <c r="C8856" s="1">
        <v>1.11822519199122E-3</v>
      </c>
      <c r="D8856" s="1">
        <v>5.9518477112384296E-4</v>
      </c>
      <c r="E8856" s="1">
        <v>7.1799422809506097E-4</v>
      </c>
      <c r="F8856" s="1">
        <v>1.0486960370875899E-3</v>
      </c>
    </row>
    <row r="8857" spans="1:6" x14ac:dyDescent="0.25">
      <c r="A8857" s="2" t="str">
        <f t="shared" si="329"/>
        <v>35620</v>
      </c>
      <c r="B8857" s="2" t="str">
        <f>"11549"</f>
        <v>11549</v>
      </c>
      <c r="C8857" s="1">
        <v>0</v>
      </c>
      <c r="D8857" s="1">
        <v>9.5720437417855204E-5</v>
      </c>
      <c r="E8857" s="1">
        <v>0</v>
      </c>
      <c r="F8857" s="1">
        <v>8.2758287022291001E-6</v>
      </c>
    </row>
    <row r="8858" spans="1:6" x14ac:dyDescent="0.25">
      <c r="A8858" s="2" t="str">
        <f t="shared" si="329"/>
        <v>35620</v>
      </c>
      <c r="B8858" s="2" t="str">
        <f>"11499"</f>
        <v>11499</v>
      </c>
      <c r="C8858" s="1">
        <v>0</v>
      </c>
      <c r="D8858" s="1">
        <v>1.2271850951007001E-6</v>
      </c>
      <c r="E8858" s="1">
        <v>0</v>
      </c>
      <c r="F8858" s="1">
        <v>1.06100367977296E-7</v>
      </c>
    </row>
    <row r="8859" spans="1:6" x14ac:dyDescent="0.25">
      <c r="A8859" s="2" t="str">
        <f t="shared" si="329"/>
        <v>35620</v>
      </c>
      <c r="B8859" s="2" t="str">
        <f>"11451"</f>
        <v>11451</v>
      </c>
      <c r="C8859" s="1">
        <v>0</v>
      </c>
      <c r="D8859" s="1">
        <v>1.2271850951007001E-6</v>
      </c>
      <c r="E8859" s="1">
        <v>0</v>
      </c>
      <c r="F8859" s="1">
        <v>1.06100367977296E-7</v>
      </c>
    </row>
    <row r="8860" spans="1:6" x14ac:dyDescent="0.25">
      <c r="A8860" s="2" t="str">
        <f t="shared" si="329"/>
        <v>35620</v>
      </c>
      <c r="B8860" s="2" t="str">
        <f>"11516"</f>
        <v>11516</v>
      </c>
      <c r="C8860" s="1">
        <v>3.6253985419030198E-4</v>
      </c>
      <c r="D8860" s="1">
        <v>1.1044665855906299E-3</v>
      </c>
      <c r="E8860" s="1">
        <v>6.8305533621695598E-4</v>
      </c>
      <c r="F8860" s="1">
        <v>4.4615204734453E-4</v>
      </c>
    </row>
    <row r="8861" spans="1:6" x14ac:dyDescent="0.25">
      <c r="A8861" s="2" t="str">
        <f t="shared" si="329"/>
        <v>35620</v>
      </c>
      <c r="B8861" s="2" t="str">
        <f>"11501"</f>
        <v>11501</v>
      </c>
      <c r="C8861" s="1">
        <v>1.07953270926879E-3</v>
      </c>
      <c r="D8861" s="1">
        <v>2.4789138921034299E-3</v>
      </c>
      <c r="E8861" s="1">
        <v>2.5225879935991901E-3</v>
      </c>
      <c r="F8861" s="1">
        <v>1.28816456761235E-3</v>
      </c>
    </row>
    <row r="8862" spans="1:6" x14ac:dyDescent="0.25">
      <c r="A8862" s="2" t="str">
        <f t="shared" si="329"/>
        <v>35620</v>
      </c>
      <c r="B8862" s="2" t="str">
        <f>"11422"</f>
        <v>11422</v>
      </c>
      <c r="C8862" s="1">
        <v>9.8833788664645194E-4</v>
      </c>
      <c r="D8862" s="1">
        <v>6.7863335759069197E-4</v>
      </c>
      <c r="E8862" s="1">
        <v>9.9575841852599805E-5</v>
      </c>
      <c r="F8862" s="1">
        <v>9.0758254767779102E-4</v>
      </c>
    </row>
    <row r="8863" spans="1:6" x14ac:dyDescent="0.25">
      <c r="A8863" s="2" t="str">
        <f t="shared" si="329"/>
        <v>35620</v>
      </c>
      <c r="B8863" s="2" t="str">
        <f>"11434"</f>
        <v>11434</v>
      </c>
      <c r="C8863" s="1">
        <v>2.5795817902476699E-3</v>
      </c>
      <c r="D8863" s="1">
        <v>2.1414379909507298E-3</v>
      </c>
      <c r="E8863" s="1">
        <v>9.52084803678366E-4</v>
      </c>
      <c r="F8863" s="1">
        <v>2.4428548723092599E-3</v>
      </c>
    </row>
    <row r="8864" spans="1:6" x14ac:dyDescent="0.25">
      <c r="A8864" s="2" t="str">
        <f t="shared" si="329"/>
        <v>35620</v>
      </c>
      <c r="B8864" s="2" t="str">
        <f>"11367"</f>
        <v>11367</v>
      </c>
      <c r="C8864" s="1">
        <v>1.9725701400779799E-3</v>
      </c>
      <c r="D8864" s="1">
        <v>7.4858290801143202E-4</v>
      </c>
      <c r="E8864" s="1">
        <v>1.9163982195140601E-3</v>
      </c>
      <c r="F8864" s="1">
        <v>1.86333466241727E-3</v>
      </c>
    </row>
    <row r="8865" spans="1:6" x14ac:dyDescent="0.25">
      <c r="A8865" s="2" t="str">
        <f t="shared" si="329"/>
        <v>35620</v>
      </c>
      <c r="B8865" s="2" t="str">
        <f>"11361"</f>
        <v>11361</v>
      </c>
      <c r="C8865" s="1">
        <v>1.2664012271115599E-3</v>
      </c>
      <c r="D8865" s="1">
        <v>1.4848939650718501E-3</v>
      </c>
      <c r="E8865" s="1">
        <v>1.0970812049725001E-3</v>
      </c>
      <c r="F8865" s="1">
        <v>1.2750081219831599E-3</v>
      </c>
    </row>
    <row r="8866" spans="1:6" x14ac:dyDescent="0.25">
      <c r="A8866" s="2" t="str">
        <f t="shared" si="329"/>
        <v>35620</v>
      </c>
      <c r="B8866" s="2" t="str">
        <f>"11379"</f>
        <v>11379</v>
      </c>
      <c r="C8866" s="1">
        <v>1.44916411173941E-3</v>
      </c>
      <c r="D8866" s="1">
        <v>8.4553053052438803E-4</v>
      </c>
      <c r="E8866" s="1">
        <v>7.5817395375488204E-4</v>
      </c>
      <c r="F8866" s="1">
        <v>1.3550077994380499E-3</v>
      </c>
    </row>
    <row r="8867" spans="1:6" x14ac:dyDescent="0.25">
      <c r="A8867" s="2" t="str">
        <f t="shared" si="329"/>
        <v>35620</v>
      </c>
      <c r="B8867" s="2" t="str">
        <f>"11352"</f>
        <v>11352</v>
      </c>
      <c r="C8867" s="1">
        <v>2.5877930566775201E-4</v>
      </c>
      <c r="D8867" s="1">
        <v>2.92070052633968E-4</v>
      </c>
      <c r="E8867" s="1">
        <v>3.4938891878105101E-6</v>
      </c>
      <c r="F8867" s="1">
        <v>2.4615285370732702E-4</v>
      </c>
    </row>
    <row r="8868" spans="1:6" x14ac:dyDescent="0.25">
      <c r="A8868" s="2" t="str">
        <f t="shared" si="329"/>
        <v>35620</v>
      </c>
      <c r="B8868" s="2" t="str">
        <f>"11238"</f>
        <v>11238</v>
      </c>
      <c r="C8868" s="1">
        <v>3.7480698858397498E-3</v>
      </c>
      <c r="D8868" s="1">
        <v>2.0420359982475699E-3</v>
      </c>
      <c r="E8868" s="1">
        <v>6.3134577623735998E-3</v>
      </c>
      <c r="F8868" s="1">
        <v>3.7563774278681901E-3</v>
      </c>
    </row>
    <row r="8869" spans="1:6" x14ac:dyDescent="0.25">
      <c r="A8869" s="2" t="str">
        <f t="shared" si="329"/>
        <v>35620</v>
      </c>
      <c r="B8869" s="2" t="str">
        <f>"11232"</f>
        <v>11232</v>
      </c>
      <c r="C8869" s="1">
        <v>1.06547402583587E-3</v>
      </c>
      <c r="D8869" s="1">
        <v>3.5207940378439301E-3</v>
      </c>
      <c r="E8869" s="1">
        <v>2.5138532706296601E-3</v>
      </c>
      <c r="F8869" s="1">
        <v>1.36572393660375E-3</v>
      </c>
    </row>
    <row r="8870" spans="1:6" x14ac:dyDescent="0.25">
      <c r="A8870" s="2" t="str">
        <f t="shared" si="329"/>
        <v>35620</v>
      </c>
      <c r="B8870" s="2" t="str">
        <f>"11237"</f>
        <v>11237</v>
      </c>
      <c r="C8870" s="1">
        <v>2.0866569782016999E-3</v>
      </c>
      <c r="D8870" s="1">
        <v>2.28624583217262E-3</v>
      </c>
      <c r="E8870" s="1">
        <v>7.0157294891235204E-3</v>
      </c>
      <c r="F8870" s="1">
        <v>2.4032794350537299E-3</v>
      </c>
    </row>
    <row r="8871" spans="1:6" x14ac:dyDescent="0.25">
      <c r="A8871" s="2" t="str">
        <f t="shared" si="329"/>
        <v>35620</v>
      </c>
      <c r="B8871" s="2" t="str">
        <f>"11218"</f>
        <v>11218</v>
      </c>
      <c r="C8871" s="1">
        <v>3.2963258190707098E-3</v>
      </c>
      <c r="D8871" s="1">
        <v>2.5157294449564501E-3</v>
      </c>
      <c r="E8871" s="1">
        <v>4.07038090379925E-3</v>
      </c>
      <c r="F8871" s="1">
        <v>3.27584886129902E-3</v>
      </c>
    </row>
    <row r="8872" spans="1:6" x14ac:dyDescent="0.25">
      <c r="A8872" s="2" t="str">
        <f t="shared" si="329"/>
        <v>35620</v>
      </c>
      <c r="B8872" s="2" t="str">
        <f>"11205"</f>
        <v>11205</v>
      </c>
      <c r="C8872" s="1">
        <v>2.35551374721516E-3</v>
      </c>
      <c r="D8872" s="1">
        <v>5.6695951393652697E-3</v>
      </c>
      <c r="E8872" s="1">
        <v>4.6381378968184603E-3</v>
      </c>
      <c r="F8872" s="1">
        <v>2.78067844394897E-3</v>
      </c>
    </row>
    <row r="8873" spans="1:6" x14ac:dyDescent="0.25">
      <c r="A8873" s="2" t="str">
        <f t="shared" si="329"/>
        <v>35620</v>
      </c>
      <c r="B8873" s="2" t="str">
        <f>"11109"</f>
        <v>11109</v>
      </c>
      <c r="C8873" s="1">
        <v>5.36967059260585E-4</v>
      </c>
      <c r="D8873" s="1">
        <v>3.0679627377517703E-5</v>
      </c>
      <c r="E8873" s="1">
        <v>8.5600285101357704E-5</v>
      </c>
      <c r="F8873" s="1">
        <v>4.6578061542032999E-4</v>
      </c>
    </row>
    <row r="8874" spans="1:6" x14ac:dyDescent="0.25">
      <c r="A8874" s="2" t="str">
        <f t="shared" si="329"/>
        <v>35620</v>
      </c>
      <c r="B8874" s="2" t="str">
        <f>"11210"</f>
        <v>11210</v>
      </c>
      <c r="C8874" s="1">
        <v>2.6620676939292701E-3</v>
      </c>
      <c r="D8874" s="1">
        <v>1.77450964751562E-3</v>
      </c>
      <c r="E8874" s="1">
        <v>1.6735729209612299E-3</v>
      </c>
      <c r="F8874" s="1">
        <v>2.52529485822762E-3</v>
      </c>
    </row>
    <row r="8875" spans="1:6" x14ac:dyDescent="0.25">
      <c r="A8875" s="2" t="str">
        <f t="shared" si="329"/>
        <v>35620</v>
      </c>
      <c r="B8875" s="2" t="str">
        <f>"11208"</f>
        <v>11208</v>
      </c>
      <c r="C8875" s="1">
        <v>3.0890535482810599E-3</v>
      </c>
      <c r="D8875" s="1">
        <v>2.02853696220147E-3</v>
      </c>
      <c r="E8875" s="1">
        <v>5.7229904896336304E-3</v>
      </c>
      <c r="F8875" s="1">
        <v>3.1573347502683799E-3</v>
      </c>
    </row>
    <row r="8876" spans="1:6" x14ac:dyDescent="0.25">
      <c r="A8876" s="2" t="str">
        <f t="shared" si="329"/>
        <v>35620</v>
      </c>
      <c r="B8876" s="2" t="str">
        <f>"11050"</f>
        <v>11050</v>
      </c>
      <c r="C8876" s="1">
        <v>1.6606664288717E-3</v>
      </c>
      <c r="D8876" s="1">
        <v>1.9144087483571001E-3</v>
      </c>
      <c r="E8876" s="1">
        <v>9.3985619152102905E-4</v>
      </c>
      <c r="F8876" s="1">
        <v>1.6388262837773099E-3</v>
      </c>
    </row>
    <row r="8877" spans="1:6" x14ac:dyDescent="0.25">
      <c r="A8877" s="2" t="str">
        <f t="shared" si="329"/>
        <v>35620</v>
      </c>
      <c r="B8877" s="2" t="str">
        <f>"10920"</f>
        <v>10920</v>
      </c>
      <c r="C8877" s="1">
        <v>4.0372059946723799E-4</v>
      </c>
      <c r="D8877" s="1">
        <v>6.4304498983277104E-4</v>
      </c>
      <c r="E8877" s="1">
        <v>2.27102797207683E-4</v>
      </c>
      <c r="F8877" s="1">
        <v>4.1368533474347698E-4</v>
      </c>
    </row>
    <row r="8878" spans="1:6" x14ac:dyDescent="0.25">
      <c r="A8878" s="2" t="str">
        <f t="shared" si="329"/>
        <v>35620</v>
      </c>
      <c r="B8878" s="2" t="str">
        <f>"10802"</f>
        <v>10802</v>
      </c>
      <c r="C8878" s="1">
        <v>1.6086617414827001E-4</v>
      </c>
      <c r="D8878" s="1">
        <v>1.8775931955040799E-4</v>
      </c>
      <c r="E8878" s="1">
        <v>3.4938891878105101E-6</v>
      </c>
      <c r="F8878" s="1">
        <v>1.5363333283112399E-4</v>
      </c>
    </row>
    <row r="8879" spans="1:6" x14ac:dyDescent="0.25">
      <c r="A8879" s="2" t="str">
        <f t="shared" si="329"/>
        <v>35620</v>
      </c>
      <c r="B8879" s="2" t="str">
        <f>"10709"</f>
        <v>10709</v>
      </c>
      <c r="C8879" s="1">
        <v>4.9615955336682397E-4</v>
      </c>
      <c r="D8879" s="1">
        <v>4.1356137704893798E-4</v>
      </c>
      <c r="E8879" s="1">
        <v>8.29798682104998E-4</v>
      </c>
      <c r="F8879" s="1">
        <v>5.0928176629102097E-4</v>
      </c>
    </row>
    <row r="8880" spans="1:6" x14ac:dyDescent="0.25">
      <c r="A8880" s="2" t="str">
        <f t="shared" si="329"/>
        <v>35620</v>
      </c>
      <c r="B8880" s="2" t="str">
        <f>"10705"</f>
        <v>10705</v>
      </c>
      <c r="C8880" s="1">
        <v>1.96485652615904E-3</v>
      </c>
      <c r="D8880" s="1">
        <v>1.1290102874926501E-3</v>
      </c>
      <c r="E8880" s="1">
        <v>3.5969589188509202E-3</v>
      </c>
      <c r="F8880" s="1">
        <v>1.9917161076697999E-3</v>
      </c>
    </row>
    <row r="8881" spans="1:6" x14ac:dyDescent="0.25">
      <c r="A8881" s="2" t="str">
        <f t="shared" si="329"/>
        <v>35620</v>
      </c>
      <c r="B8881" s="2" t="str">
        <f>"11024"</f>
        <v>11024</v>
      </c>
      <c r="C8881" s="1">
        <v>3.0593188107548097E-4</v>
      </c>
      <c r="D8881" s="1">
        <v>1.2517287970027199E-4</v>
      </c>
      <c r="E8881" s="1">
        <v>1.01322786446505E-4</v>
      </c>
      <c r="F8881" s="1">
        <v>2.77876863732538E-4</v>
      </c>
    </row>
    <row r="8882" spans="1:6" x14ac:dyDescent="0.25">
      <c r="A8882" s="2" t="str">
        <f t="shared" si="329"/>
        <v>35620</v>
      </c>
      <c r="B8882" s="2" t="str">
        <f>"11020"</f>
        <v>11020</v>
      </c>
      <c r="C8882" s="1">
        <v>2.5230982302605799E-4</v>
      </c>
      <c r="D8882" s="1">
        <v>4.7860218708927602E-5</v>
      </c>
      <c r="E8882" s="1">
        <v>5.2408337817157703E-6</v>
      </c>
      <c r="F8882" s="1">
        <v>2.1962776171300299E-4</v>
      </c>
    </row>
    <row r="8883" spans="1:6" x14ac:dyDescent="0.25">
      <c r="A8883" s="2" t="str">
        <f t="shared" si="329"/>
        <v>35620</v>
      </c>
      <c r="B8883" s="2" t="str">
        <f>"10982"</f>
        <v>10982</v>
      </c>
      <c r="C8883" s="1">
        <v>4.9143185451327899E-5</v>
      </c>
      <c r="D8883" s="1">
        <v>2.9697879301437101E-4</v>
      </c>
      <c r="E8883" s="1">
        <v>5.2408337817157703E-6</v>
      </c>
      <c r="F8883" s="1">
        <v>6.7904235505469502E-5</v>
      </c>
    </row>
    <row r="8884" spans="1:6" x14ac:dyDescent="0.25">
      <c r="A8884" s="2" t="str">
        <f t="shared" si="329"/>
        <v>35620</v>
      </c>
      <c r="B8884" s="2" t="str">
        <f>"10927"</f>
        <v>10927</v>
      </c>
      <c r="C8884" s="1">
        <v>5.3609616736651096E-4</v>
      </c>
      <c r="D8884" s="1">
        <v>5.7186825431693004E-4</v>
      </c>
      <c r="E8884" s="1">
        <v>4.92638375481283E-4</v>
      </c>
      <c r="F8884" s="1">
        <v>5.3654956086118604E-4</v>
      </c>
    </row>
    <row r="8885" spans="1:6" x14ac:dyDescent="0.25">
      <c r="A8885" s="2" t="str">
        <f t="shared" si="329"/>
        <v>35620</v>
      </c>
      <c r="B8885" s="2" t="str">
        <f>"10470"</f>
        <v>10470</v>
      </c>
      <c r="C8885" s="1">
        <v>8.0445528386907899E-4</v>
      </c>
      <c r="D8885" s="1">
        <v>6.4059061964257002E-4</v>
      </c>
      <c r="E8885" s="1">
        <v>8.31545626698903E-4</v>
      </c>
      <c r="F8885" s="1">
        <v>7.9193314658253797E-4</v>
      </c>
    </row>
    <row r="8886" spans="1:6" x14ac:dyDescent="0.25">
      <c r="A8886" s="2" t="str">
        <f t="shared" si="329"/>
        <v>35620</v>
      </c>
      <c r="B8886" s="2" t="str">
        <f>"10578"</f>
        <v>10578</v>
      </c>
      <c r="C8886" s="1">
        <v>3.0854455675770398E-5</v>
      </c>
      <c r="D8886" s="1">
        <v>8.5902956657049597E-6</v>
      </c>
      <c r="E8886" s="1">
        <v>5.2408337817157703E-6</v>
      </c>
      <c r="F8886" s="1">
        <v>2.7373894938142399E-5</v>
      </c>
    </row>
    <row r="8887" spans="1:6" x14ac:dyDescent="0.25">
      <c r="A8887" s="2" t="str">
        <f t="shared" si="329"/>
        <v>35620</v>
      </c>
      <c r="B8887" s="2" t="str">
        <f>"10579"</f>
        <v>10579</v>
      </c>
      <c r="C8887" s="1">
        <v>4.9989194719857004E-4</v>
      </c>
      <c r="D8887" s="1">
        <v>2.5770886997114801E-4</v>
      </c>
      <c r="E8887" s="1">
        <v>8.5600285101357704E-5</v>
      </c>
      <c r="F8887" s="1">
        <v>4.5379127383889502E-4</v>
      </c>
    </row>
    <row r="8888" spans="1:6" x14ac:dyDescent="0.25">
      <c r="A8888" s="2" t="str">
        <f t="shared" ref="A8888:A8951" si="330">"35620"</f>
        <v>35620</v>
      </c>
      <c r="B8888" s="2" t="str">
        <f>"10538"</f>
        <v>10538</v>
      </c>
      <c r="C8888" s="1">
        <v>9.3956794057829904E-4</v>
      </c>
      <c r="D8888" s="1">
        <v>1.12532873220735E-3</v>
      </c>
      <c r="E8888" s="1">
        <v>8.9618257667339798E-4</v>
      </c>
      <c r="F8888" s="1">
        <v>9.5299350517207395E-4</v>
      </c>
    </row>
    <row r="8889" spans="1:6" x14ac:dyDescent="0.25">
      <c r="A8889" s="2" t="str">
        <f t="shared" si="330"/>
        <v>35620</v>
      </c>
      <c r="B8889" s="2" t="str">
        <f>"10533"</f>
        <v>10533</v>
      </c>
      <c r="C8889" s="1">
        <v>3.8543186969167999E-4</v>
      </c>
      <c r="D8889" s="1">
        <v>3.7551863910081598E-4</v>
      </c>
      <c r="E8889" s="1">
        <v>3.3017252824809403E-4</v>
      </c>
      <c r="F8889" s="1">
        <v>3.8121862214242499E-4</v>
      </c>
    </row>
    <row r="8890" spans="1:6" x14ac:dyDescent="0.25">
      <c r="A8890" s="2" t="str">
        <f t="shared" si="330"/>
        <v>35620</v>
      </c>
      <c r="B8890" s="2" t="str">
        <f>"10562"</f>
        <v>10562</v>
      </c>
      <c r="C8890" s="1">
        <v>1.6760936567095899E-3</v>
      </c>
      <c r="D8890" s="1">
        <v>1.23086665038601E-3</v>
      </c>
      <c r="E8890" s="1">
        <v>1.6106829155806399E-3</v>
      </c>
      <c r="F8890" s="1">
        <v>1.63362736574642E-3</v>
      </c>
    </row>
    <row r="8891" spans="1:6" x14ac:dyDescent="0.25">
      <c r="A8891" s="2" t="str">
        <f t="shared" si="330"/>
        <v>35620</v>
      </c>
      <c r="B8891" s="2" t="str">
        <f>"10552"</f>
        <v>10552</v>
      </c>
      <c r="C8891" s="1">
        <v>1.2501031073796E-3</v>
      </c>
      <c r="D8891" s="1">
        <v>4.3933226404605299E-4</v>
      </c>
      <c r="E8891" s="1">
        <v>7.3022284025239803E-4</v>
      </c>
      <c r="F8891" s="1">
        <v>1.1484303829862499E-3</v>
      </c>
    </row>
    <row r="8892" spans="1:6" x14ac:dyDescent="0.25">
      <c r="A8892" s="2" t="str">
        <f t="shared" si="330"/>
        <v>35620</v>
      </c>
      <c r="B8892" s="2" t="str">
        <f>"10551"</f>
        <v>10551</v>
      </c>
      <c r="C8892" s="1">
        <v>1.4556335943811E-4</v>
      </c>
      <c r="D8892" s="1">
        <v>1.46035026316984E-4</v>
      </c>
      <c r="E8892" s="1">
        <v>3.4938891878105101E-6</v>
      </c>
      <c r="F8892" s="1">
        <v>1.3697557505868899E-4</v>
      </c>
    </row>
    <row r="8893" spans="1:6" x14ac:dyDescent="0.25">
      <c r="A8893" s="2" t="str">
        <f t="shared" si="330"/>
        <v>35620</v>
      </c>
      <c r="B8893" s="2" t="str">
        <f>"10520"</f>
        <v>10520</v>
      </c>
      <c r="C8893" s="1">
        <v>7.3553041110949505E-4</v>
      </c>
      <c r="D8893" s="1">
        <v>6.2095565812095798E-4</v>
      </c>
      <c r="E8893" s="1">
        <v>5.7823866058264004E-4</v>
      </c>
      <c r="F8893" s="1">
        <v>7.1607138347877205E-4</v>
      </c>
    </row>
    <row r="8894" spans="1:6" x14ac:dyDescent="0.25">
      <c r="A8894" s="2" t="str">
        <f t="shared" si="330"/>
        <v>35620</v>
      </c>
      <c r="B8894" s="2" t="str">
        <f>"10464"</f>
        <v>10464</v>
      </c>
      <c r="C8894" s="1">
        <v>2.9647648336839002E-4</v>
      </c>
      <c r="D8894" s="1">
        <v>2.5034575940054398E-4</v>
      </c>
      <c r="E8894" s="1">
        <v>2.34090575583304E-4</v>
      </c>
      <c r="F8894" s="1">
        <v>2.8869910126622301E-4</v>
      </c>
    </row>
    <row r="8895" spans="1:6" x14ac:dyDescent="0.25">
      <c r="A8895" s="2" t="str">
        <f t="shared" si="330"/>
        <v>35620</v>
      </c>
      <c r="B8895" s="2" t="str">
        <f>"10306"</f>
        <v>10306</v>
      </c>
      <c r="C8895" s="1">
        <v>2.5469855507837501E-3</v>
      </c>
      <c r="D8895" s="1">
        <v>1.6566998783859501E-3</v>
      </c>
      <c r="E8895" s="1">
        <v>9.2588063476978699E-4</v>
      </c>
      <c r="F8895" s="1">
        <v>2.3715554250285202E-3</v>
      </c>
    </row>
    <row r="8896" spans="1:6" x14ac:dyDescent="0.25">
      <c r="A8896" s="2" t="str">
        <f t="shared" si="330"/>
        <v>35620</v>
      </c>
      <c r="B8896" s="2" t="str">
        <f>"10179"</f>
        <v>10179</v>
      </c>
      <c r="C8896" s="1">
        <v>0</v>
      </c>
      <c r="D8896" s="1">
        <v>1.2271850951007001E-6</v>
      </c>
      <c r="E8896" s="1">
        <v>1.74694459390525E-6</v>
      </c>
      <c r="F8896" s="1">
        <v>2.12200735954592E-7</v>
      </c>
    </row>
    <row r="8897" spans="1:6" x14ac:dyDescent="0.25">
      <c r="A8897" s="2" t="str">
        <f t="shared" si="330"/>
        <v>35620</v>
      </c>
      <c r="B8897" s="2" t="str">
        <f>"10199"</f>
        <v>10199</v>
      </c>
      <c r="C8897" s="1">
        <v>0</v>
      </c>
      <c r="D8897" s="1">
        <v>1.3253599027087599E-4</v>
      </c>
      <c r="E8897" s="1">
        <v>1.92163905329578E-5</v>
      </c>
      <c r="F8897" s="1">
        <v>1.2625943789298201E-5</v>
      </c>
    </row>
    <row r="8898" spans="1:6" x14ac:dyDescent="0.25">
      <c r="A8898" s="2" t="str">
        <f t="shared" si="330"/>
        <v>35620</v>
      </c>
      <c r="B8898" s="2" t="str">
        <f>"10151"</f>
        <v>10151</v>
      </c>
      <c r="C8898" s="1">
        <v>0</v>
      </c>
      <c r="D8898" s="1">
        <v>6.2586439850136104E-5</v>
      </c>
      <c r="E8898" s="1">
        <v>3.1445002690294603E-5</v>
      </c>
      <c r="F8898" s="1">
        <v>7.3209253904334298E-6</v>
      </c>
    </row>
    <row r="8899" spans="1:6" x14ac:dyDescent="0.25">
      <c r="A8899" s="2" t="str">
        <f t="shared" si="330"/>
        <v>35620</v>
      </c>
      <c r="B8899" s="2" t="str">
        <f>"10177"</f>
        <v>10177</v>
      </c>
      <c r="C8899" s="1">
        <v>0</v>
      </c>
      <c r="D8899" s="1">
        <v>8.4675771561948905E-5</v>
      </c>
      <c r="E8899" s="1">
        <v>1.3975556751242E-5</v>
      </c>
      <c r="F8899" s="1">
        <v>8.1697283342518004E-6</v>
      </c>
    </row>
    <row r="8900" spans="1:6" x14ac:dyDescent="0.25">
      <c r="A8900" s="2" t="str">
        <f t="shared" si="330"/>
        <v>35620</v>
      </c>
      <c r="B8900" s="2" t="str">
        <f>"10275"</f>
        <v>10275</v>
      </c>
      <c r="C8900" s="1">
        <v>0</v>
      </c>
      <c r="D8900" s="1">
        <v>0</v>
      </c>
      <c r="E8900" s="1">
        <v>6.9877783756210304E-6</v>
      </c>
      <c r="F8900" s="1">
        <v>4.2440147190918399E-7</v>
      </c>
    </row>
    <row r="8901" spans="1:6" x14ac:dyDescent="0.25">
      <c r="A8901" s="2" t="str">
        <f t="shared" si="330"/>
        <v>35620</v>
      </c>
      <c r="B8901" s="2" t="str">
        <f>"10164"</f>
        <v>10164</v>
      </c>
      <c r="C8901" s="1">
        <v>0</v>
      </c>
      <c r="D8901" s="1">
        <v>0</v>
      </c>
      <c r="E8901" s="1">
        <v>1.3975556751242E-5</v>
      </c>
      <c r="F8901" s="1">
        <v>8.4880294381836905E-7</v>
      </c>
    </row>
    <row r="8902" spans="1:6" x14ac:dyDescent="0.25">
      <c r="A8902" s="2" t="str">
        <f t="shared" si="330"/>
        <v>35620</v>
      </c>
      <c r="B8902" s="2" t="str">
        <f>"10303"</f>
        <v>10303</v>
      </c>
      <c r="C8902" s="1">
        <v>1.0540280180851801E-3</v>
      </c>
      <c r="D8902" s="1">
        <v>8.6025675166559598E-4</v>
      </c>
      <c r="E8902" s="1">
        <v>4.6119337279098801E-4</v>
      </c>
      <c r="F8902" s="1">
        <v>1.0012691726017399E-3</v>
      </c>
    </row>
    <row r="8903" spans="1:6" x14ac:dyDescent="0.25">
      <c r="A8903" s="2" t="str">
        <f t="shared" si="330"/>
        <v>35620</v>
      </c>
      <c r="B8903" s="2" t="str">
        <f>"10121"</f>
        <v>10121</v>
      </c>
      <c r="C8903" s="1">
        <v>0</v>
      </c>
      <c r="D8903" s="1">
        <v>7.7312660991344607E-5</v>
      </c>
      <c r="E8903" s="1">
        <v>2.0963335126863101E-5</v>
      </c>
      <c r="F8903" s="1">
        <v>7.9575275982972095E-6</v>
      </c>
    </row>
    <row r="8904" spans="1:6" x14ac:dyDescent="0.25">
      <c r="A8904" s="2" t="str">
        <f t="shared" si="330"/>
        <v>35620</v>
      </c>
      <c r="B8904" s="2" t="str">
        <f>"10118"</f>
        <v>10118</v>
      </c>
      <c r="C8904" s="1">
        <v>0</v>
      </c>
      <c r="D8904" s="1">
        <v>4.2092448761954298E-4</v>
      </c>
      <c r="E8904" s="1">
        <v>2.7951113502484101E-5</v>
      </c>
      <c r="F8904" s="1">
        <v>3.8090032103849299E-5</v>
      </c>
    </row>
    <row r="8905" spans="1:6" x14ac:dyDescent="0.25">
      <c r="A8905" s="2" t="str">
        <f t="shared" si="330"/>
        <v>35620</v>
      </c>
      <c r="B8905" s="2" t="str">
        <f>"10116"</f>
        <v>10116</v>
      </c>
      <c r="C8905" s="1">
        <v>2.9709854900701501E-4</v>
      </c>
      <c r="D8905" s="1">
        <v>6.4304498983277104E-4</v>
      </c>
      <c r="E8905" s="1">
        <v>3.4938891878105101E-6</v>
      </c>
      <c r="F8905" s="1">
        <v>3.0917647228584101E-4</v>
      </c>
    </row>
    <row r="8906" spans="1:6" x14ac:dyDescent="0.25">
      <c r="A8906" s="2" t="str">
        <f t="shared" si="330"/>
        <v>35620</v>
      </c>
      <c r="B8906" s="2" t="str">
        <f>"10039"</f>
        <v>10039</v>
      </c>
      <c r="C8906" s="1">
        <v>1.8918260201845299E-3</v>
      </c>
      <c r="D8906" s="1">
        <v>5.2400803560800197E-4</v>
      </c>
      <c r="E8906" s="1">
        <v>1.1949101022311901E-3</v>
      </c>
      <c r="F8906" s="1">
        <v>1.7312397042855399E-3</v>
      </c>
    </row>
    <row r="8907" spans="1:6" x14ac:dyDescent="0.25">
      <c r="A8907" s="2" t="str">
        <f t="shared" si="330"/>
        <v>35620</v>
      </c>
      <c r="B8907" s="2" t="str">
        <f>"10020"</f>
        <v>10020</v>
      </c>
      <c r="C8907" s="1">
        <v>0</v>
      </c>
      <c r="D8907" s="1">
        <v>8.93390749233316E-4</v>
      </c>
      <c r="E8907" s="1">
        <v>1.3276778913679901E-4</v>
      </c>
      <c r="F8907" s="1">
        <v>8.5304695853746107E-5</v>
      </c>
    </row>
    <row r="8908" spans="1:6" x14ac:dyDescent="0.25">
      <c r="A8908" s="2" t="str">
        <f t="shared" si="330"/>
        <v>35620</v>
      </c>
      <c r="B8908" s="2" t="str">
        <f>"10017"</f>
        <v>10017</v>
      </c>
      <c r="C8908" s="1">
        <v>1.79241993113235E-3</v>
      </c>
      <c r="D8908" s="1">
        <v>7.7079495823275503E-3</v>
      </c>
      <c r="E8908" s="1">
        <v>2.1312724045644102E-3</v>
      </c>
      <c r="F8908" s="1">
        <v>2.3244468616466E-3</v>
      </c>
    </row>
    <row r="8909" spans="1:6" x14ac:dyDescent="0.25">
      <c r="A8909" s="2" t="str">
        <f t="shared" si="330"/>
        <v>35620</v>
      </c>
      <c r="B8909" s="2" t="str">
        <f>"10023"</f>
        <v>10023</v>
      </c>
      <c r="C8909" s="1">
        <v>5.9673512581961798E-3</v>
      </c>
      <c r="D8909" s="1">
        <v>2.7439858726451801E-3</v>
      </c>
      <c r="E8909" s="1">
        <v>4.2450753631897804E-3</v>
      </c>
      <c r="F8909" s="1">
        <v>5.58406236664509E-3</v>
      </c>
    </row>
    <row r="8910" spans="1:6" x14ac:dyDescent="0.25">
      <c r="A8910" s="2" t="str">
        <f t="shared" si="330"/>
        <v>35620</v>
      </c>
      <c r="B8910" s="2" t="str">
        <f>"08933"</f>
        <v>08933</v>
      </c>
      <c r="C8910" s="1">
        <v>0</v>
      </c>
      <c r="D8910" s="1">
        <v>1.2271850951007001E-6</v>
      </c>
      <c r="E8910" s="1">
        <v>0</v>
      </c>
      <c r="F8910" s="1">
        <v>1.06100367977296E-7</v>
      </c>
    </row>
    <row r="8911" spans="1:6" x14ac:dyDescent="0.25">
      <c r="A8911" s="2" t="str">
        <f t="shared" si="330"/>
        <v>35620</v>
      </c>
      <c r="B8911" s="2" t="str">
        <f>"08867"</f>
        <v>08867</v>
      </c>
      <c r="C8911" s="1">
        <v>3.0493657605368198E-4</v>
      </c>
      <c r="D8911" s="1">
        <v>2.39301093544638E-4</v>
      </c>
      <c r="E8911" s="1">
        <v>3.87821699846967E-4</v>
      </c>
      <c r="F8911" s="1">
        <v>3.0429585535888501E-4</v>
      </c>
    </row>
    <row r="8912" spans="1:6" x14ac:dyDescent="0.25">
      <c r="A8912" s="2" t="str">
        <f t="shared" si="330"/>
        <v>35620</v>
      </c>
      <c r="B8912" s="2" t="str">
        <f>"08862"</f>
        <v>08862</v>
      </c>
      <c r="C8912" s="1">
        <v>2.2257508549981101E-4</v>
      </c>
      <c r="D8912" s="1">
        <v>2.38073908449537E-4</v>
      </c>
      <c r="E8912" s="1">
        <v>3.4938891878105101E-6</v>
      </c>
      <c r="F8912" s="1">
        <v>2.1060923043493199E-4</v>
      </c>
    </row>
    <row r="8913" spans="1:6" x14ac:dyDescent="0.25">
      <c r="A8913" s="2" t="str">
        <f t="shared" si="330"/>
        <v>35620</v>
      </c>
      <c r="B8913" s="2" t="str">
        <f>"08876"</f>
        <v>08876</v>
      </c>
      <c r="C8913" s="1">
        <v>1.27598103794637E-3</v>
      </c>
      <c r="D8913" s="1">
        <v>2.36846723354436E-3</v>
      </c>
      <c r="E8913" s="1">
        <v>1.1215384292871701E-3</v>
      </c>
      <c r="F8913" s="1">
        <v>1.3610555204127499E-3</v>
      </c>
    </row>
    <row r="8914" spans="1:6" x14ac:dyDescent="0.25">
      <c r="A8914" s="2" t="str">
        <f t="shared" si="330"/>
        <v>35620</v>
      </c>
      <c r="B8914" s="2" t="str">
        <f>"08833"</f>
        <v>08833</v>
      </c>
      <c r="C8914" s="1">
        <v>4.51370827385867E-4</v>
      </c>
      <c r="D8914" s="1">
        <v>4.5283130009216097E-4</v>
      </c>
      <c r="E8914" s="1">
        <v>2.0089862829910399E-4</v>
      </c>
      <c r="F8914" s="1">
        <v>4.3628471312264199E-4</v>
      </c>
    </row>
    <row r="8915" spans="1:6" x14ac:dyDescent="0.25">
      <c r="A8915" s="2" t="str">
        <f t="shared" si="330"/>
        <v>35620</v>
      </c>
      <c r="B8915" s="2" t="str">
        <f>"08741"</f>
        <v>08741</v>
      </c>
      <c r="C8915" s="1">
        <v>1.4543894631038499E-4</v>
      </c>
      <c r="D8915" s="1">
        <v>2.9452442282417001E-5</v>
      </c>
      <c r="E8915" s="1">
        <v>1.22286121573368E-5</v>
      </c>
      <c r="F8915" s="1">
        <v>1.27320441572755E-4</v>
      </c>
    </row>
    <row r="8916" spans="1:6" x14ac:dyDescent="0.25">
      <c r="A8916" s="2" t="str">
        <f t="shared" si="330"/>
        <v>35620</v>
      </c>
      <c r="B8916" s="2" t="str">
        <f>"08826"</f>
        <v>08826</v>
      </c>
      <c r="C8916" s="1">
        <v>2.7134503156796399E-4</v>
      </c>
      <c r="D8916" s="1">
        <v>1.17809769129668E-4</v>
      </c>
      <c r="E8916" s="1">
        <v>7.5118617537926104E-5</v>
      </c>
      <c r="F8916" s="1">
        <v>2.4615285370732702E-4</v>
      </c>
    </row>
    <row r="8917" spans="1:6" x14ac:dyDescent="0.25">
      <c r="A8917" s="2" t="str">
        <f t="shared" si="330"/>
        <v>35620</v>
      </c>
      <c r="B8917" s="2" t="str">
        <f>"08822"</f>
        <v>08822</v>
      </c>
      <c r="C8917" s="1">
        <v>1.6437462435011201E-3</v>
      </c>
      <c r="D8917" s="1">
        <v>2.6433566948469199E-3</v>
      </c>
      <c r="E8917" s="1">
        <v>1.0761178698456299E-3</v>
      </c>
      <c r="F8917" s="1">
        <v>1.69569608101314E-3</v>
      </c>
    </row>
    <row r="8918" spans="1:6" x14ac:dyDescent="0.25">
      <c r="A8918" s="2" t="str">
        <f t="shared" si="330"/>
        <v>35620</v>
      </c>
      <c r="B8918" s="2" t="str">
        <f>"08721"</f>
        <v>08721</v>
      </c>
      <c r="C8918" s="1">
        <v>1.1814270608754599E-3</v>
      </c>
      <c r="D8918" s="1">
        <v>6.9949550420740397E-4</v>
      </c>
      <c r="E8918" s="1">
        <v>1.65959736420999E-4</v>
      </c>
      <c r="F8918" s="1">
        <v>1.0780858390173E-3</v>
      </c>
    </row>
    <row r="8919" spans="1:6" x14ac:dyDescent="0.25">
      <c r="A8919" s="2" t="str">
        <f t="shared" si="330"/>
        <v>35620</v>
      </c>
      <c r="B8919" s="2" t="str">
        <f>"08701"</f>
        <v>08701</v>
      </c>
      <c r="C8919" s="1">
        <v>3.8930111796392402E-3</v>
      </c>
      <c r="D8919" s="1">
        <v>3.88649519618394E-3</v>
      </c>
      <c r="E8919" s="1">
        <v>2.3339179774574201E-3</v>
      </c>
      <c r="F8919" s="1">
        <v>3.7977565713793399E-3</v>
      </c>
    </row>
    <row r="8920" spans="1:6" x14ac:dyDescent="0.25">
      <c r="A8920" s="2" t="str">
        <f t="shared" si="330"/>
        <v>35620</v>
      </c>
      <c r="B8920" s="2" t="str">
        <f>"08555"</f>
        <v>08555</v>
      </c>
      <c r="C8920" s="1">
        <v>4.3793420959158E-5</v>
      </c>
      <c r="D8920" s="1">
        <v>0</v>
      </c>
      <c r="E8920" s="1">
        <v>1.74694459390525E-6</v>
      </c>
      <c r="F8920" s="1">
        <v>3.7453429895985498E-5</v>
      </c>
    </row>
    <row r="8921" spans="1:6" x14ac:dyDescent="0.25">
      <c r="A8921" s="2" t="str">
        <f t="shared" si="330"/>
        <v>35620</v>
      </c>
      <c r="B8921" s="2" t="str">
        <f>"08527"</f>
        <v>08527</v>
      </c>
      <c r="C8921" s="1">
        <v>2.7836193197164801E-3</v>
      </c>
      <c r="D8921" s="1">
        <v>1.4738492992159499E-3</v>
      </c>
      <c r="E8921" s="1">
        <v>4.3848309307022002E-4</v>
      </c>
      <c r="F8921" s="1">
        <v>2.5279473674270502E-3</v>
      </c>
    </row>
    <row r="8922" spans="1:6" x14ac:dyDescent="0.25">
      <c r="A8922" s="2" t="str">
        <f t="shared" si="330"/>
        <v>35620</v>
      </c>
      <c r="B8922" s="2" t="str">
        <f>"08514"</f>
        <v>08514</v>
      </c>
      <c r="C8922" s="1">
        <v>2.2991546003557899E-4</v>
      </c>
      <c r="D8922" s="1">
        <v>1.3376317536597699E-4</v>
      </c>
      <c r="E8922" s="1">
        <v>2.0963335126863101E-5</v>
      </c>
      <c r="F8922" s="1">
        <v>2.0891162454729601E-4</v>
      </c>
    </row>
    <row r="8923" spans="1:6" x14ac:dyDescent="0.25">
      <c r="A8923" s="2" t="str">
        <f t="shared" si="330"/>
        <v>35620</v>
      </c>
      <c r="B8923" s="2" t="str">
        <f>"08512"</f>
        <v>08512</v>
      </c>
      <c r="C8923" s="1">
        <v>3.2272765331833999E-4</v>
      </c>
      <c r="D8923" s="1">
        <v>7.7558098010364798E-4</v>
      </c>
      <c r="E8923" s="1">
        <v>3.5288280796886201E-4</v>
      </c>
      <c r="F8923" s="1">
        <v>3.6371206142617098E-4</v>
      </c>
    </row>
    <row r="8924" spans="1:6" x14ac:dyDescent="0.25">
      <c r="A8924" s="2" t="str">
        <f t="shared" si="330"/>
        <v>35620</v>
      </c>
      <c r="B8924" s="2" t="str">
        <f>"07981"</f>
        <v>07981</v>
      </c>
      <c r="C8924" s="1">
        <v>4.9392011706777595E-4</v>
      </c>
      <c r="D8924" s="1">
        <v>7.4367416763102901E-4</v>
      </c>
      <c r="E8924" s="1">
        <v>3.24931694466378E-4</v>
      </c>
      <c r="F8924" s="1">
        <v>5.0524995230788396E-4</v>
      </c>
    </row>
    <row r="8925" spans="1:6" x14ac:dyDescent="0.25">
      <c r="A8925" s="2" t="str">
        <f t="shared" si="330"/>
        <v>35620</v>
      </c>
      <c r="B8925" s="2" t="str">
        <f>"07962"</f>
        <v>07962</v>
      </c>
      <c r="C8925" s="1">
        <v>7.1164309058631794E-5</v>
      </c>
      <c r="D8925" s="1">
        <v>2.7366227620745798E-4</v>
      </c>
      <c r="E8925" s="1">
        <v>3.4938891878105101E-6</v>
      </c>
      <c r="F8925" s="1">
        <v>8.4561993277905E-5</v>
      </c>
    </row>
    <row r="8926" spans="1:6" x14ac:dyDescent="0.25">
      <c r="A8926" s="2" t="str">
        <f t="shared" si="330"/>
        <v>35620</v>
      </c>
      <c r="B8926" s="2" t="str">
        <f>"07930"</f>
        <v>07930</v>
      </c>
      <c r="C8926" s="1">
        <v>4.46269889149147E-4</v>
      </c>
      <c r="D8926" s="1">
        <v>9.6088592946385503E-4</v>
      </c>
      <c r="E8926" s="1">
        <v>3.4240114040543E-4</v>
      </c>
      <c r="F8926" s="1">
        <v>4.8445428018433401E-4</v>
      </c>
    </row>
    <row r="8927" spans="1:6" x14ac:dyDescent="0.25">
      <c r="A8927" s="2" t="str">
        <f t="shared" si="330"/>
        <v>35620</v>
      </c>
      <c r="B8927" s="2" t="str">
        <f>"07901"</f>
        <v>07901</v>
      </c>
      <c r="C8927" s="1">
        <v>1.09807026529979E-3</v>
      </c>
      <c r="D8927" s="1">
        <v>1.2566375373831199E-3</v>
      </c>
      <c r="E8927" s="1">
        <v>2.3164485315183701E-3</v>
      </c>
      <c r="F8927" s="1">
        <v>1.1857777125142601E-3</v>
      </c>
    </row>
    <row r="8928" spans="1:6" x14ac:dyDescent="0.25">
      <c r="A8928" s="2" t="str">
        <f t="shared" si="330"/>
        <v>35620</v>
      </c>
      <c r="B8928" s="2" t="str">
        <f>"07855"</f>
        <v>07855</v>
      </c>
      <c r="C8928" s="1">
        <v>0</v>
      </c>
      <c r="D8928" s="1">
        <v>0</v>
      </c>
      <c r="E8928" s="1">
        <v>1.74694459390525E-6</v>
      </c>
      <c r="F8928" s="1">
        <v>1.06100367977296E-7</v>
      </c>
    </row>
    <row r="8929" spans="1:6" x14ac:dyDescent="0.25">
      <c r="A8929" s="2" t="str">
        <f t="shared" si="330"/>
        <v>35620</v>
      </c>
      <c r="B8929" s="2" t="str">
        <f>"07721"</f>
        <v>07721</v>
      </c>
      <c r="C8929" s="1">
        <v>2.55544564346905E-4</v>
      </c>
      <c r="D8929" s="1">
        <v>1.30081620080675E-4</v>
      </c>
      <c r="E8929" s="1">
        <v>1.18792232385557E-4</v>
      </c>
      <c r="F8929" s="1">
        <v>2.3639161985341501E-4</v>
      </c>
    </row>
    <row r="8930" spans="1:6" x14ac:dyDescent="0.25">
      <c r="A8930" s="2" t="str">
        <f t="shared" si="330"/>
        <v>35620</v>
      </c>
      <c r="B8930" s="2" t="str">
        <f>"07718"</f>
        <v>07718</v>
      </c>
      <c r="C8930" s="1">
        <v>2.88016390683098E-4</v>
      </c>
      <c r="D8930" s="1">
        <v>1.8162339407490401E-4</v>
      </c>
      <c r="E8930" s="1">
        <v>2.0963335126863101E-5</v>
      </c>
      <c r="F8930" s="1">
        <v>2.6259841074380801E-4</v>
      </c>
    </row>
    <row r="8931" spans="1:6" x14ac:dyDescent="0.25">
      <c r="A8931" s="2" t="str">
        <f t="shared" si="330"/>
        <v>35620</v>
      </c>
      <c r="B8931" s="2" t="str">
        <f>"07716"</f>
        <v>07716</v>
      </c>
      <c r="C8931" s="1">
        <v>5.3957973494280702E-4</v>
      </c>
      <c r="D8931" s="1">
        <v>5.6818669903162798E-4</v>
      </c>
      <c r="E8931" s="1">
        <v>2.23608908019873E-4</v>
      </c>
      <c r="F8931" s="1">
        <v>5.2286261339211501E-4</v>
      </c>
    </row>
    <row r="8932" spans="1:6" x14ac:dyDescent="0.25">
      <c r="A8932" s="2" t="str">
        <f t="shared" si="330"/>
        <v>35620</v>
      </c>
      <c r="B8932" s="2" t="str">
        <f>"07711"</f>
        <v>07711</v>
      </c>
      <c r="C8932" s="1">
        <v>1.1147416244149301E-4</v>
      </c>
      <c r="D8932" s="1">
        <v>1.1658258403456699E-4</v>
      </c>
      <c r="E8932" s="1">
        <v>5.9396116192778799E-5</v>
      </c>
      <c r="F8932" s="1">
        <v>1.08752877176728E-4</v>
      </c>
    </row>
    <row r="8933" spans="1:6" x14ac:dyDescent="0.25">
      <c r="A8933" s="2" t="str">
        <f t="shared" si="330"/>
        <v>35620</v>
      </c>
      <c r="B8933" s="2" t="str">
        <f>"07704"</f>
        <v>07704</v>
      </c>
      <c r="C8933" s="1">
        <v>2.63133765138122E-4</v>
      </c>
      <c r="D8933" s="1">
        <v>2.4666420411524202E-4</v>
      </c>
      <c r="E8933" s="1">
        <v>7.5118617537926104E-5</v>
      </c>
      <c r="F8933" s="1">
        <v>2.5029076805844098E-4</v>
      </c>
    </row>
    <row r="8934" spans="1:6" x14ac:dyDescent="0.25">
      <c r="A8934" s="2" t="str">
        <f t="shared" si="330"/>
        <v>35620</v>
      </c>
      <c r="B8934" s="2" t="str">
        <f>"07701"</f>
        <v>07701</v>
      </c>
      <c r="C8934" s="1">
        <v>1.4796453280319999E-3</v>
      </c>
      <c r="D8934" s="1">
        <v>2.9427898580515E-3</v>
      </c>
      <c r="E8934" s="1">
        <v>1.3626167832461E-3</v>
      </c>
      <c r="F8934" s="1">
        <v>1.5990386457858301E-3</v>
      </c>
    </row>
    <row r="8935" spans="1:6" x14ac:dyDescent="0.25">
      <c r="A8935" s="2" t="str">
        <f t="shared" si="330"/>
        <v>35620</v>
      </c>
      <c r="B8935" s="2" t="str">
        <f>"07830"</f>
        <v>07830</v>
      </c>
      <c r="C8935" s="1">
        <v>3.0580746794775602E-4</v>
      </c>
      <c r="D8935" s="1">
        <v>1.53398136887588E-4</v>
      </c>
      <c r="E8935" s="1">
        <v>1.15298343197747E-4</v>
      </c>
      <c r="F8935" s="1">
        <v>2.8105987477185701E-4</v>
      </c>
    </row>
    <row r="8936" spans="1:6" x14ac:dyDescent="0.25">
      <c r="A8936" s="2" t="str">
        <f t="shared" si="330"/>
        <v>35620</v>
      </c>
      <c r="B8936" s="2" t="str">
        <f>"07802"</f>
        <v>07802</v>
      </c>
      <c r="C8936" s="1">
        <v>1.54147865251127E-4</v>
      </c>
      <c r="D8936" s="1">
        <v>2.0616709597691901E-4</v>
      </c>
      <c r="E8936" s="1">
        <v>3.4938891878105101E-6</v>
      </c>
      <c r="F8936" s="1">
        <v>1.4949541848001001E-4</v>
      </c>
    </row>
    <row r="8937" spans="1:6" x14ac:dyDescent="0.25">
      <c r="A8937" s="2" t="str">
        <f t="shared" si="330"/>
        <v>35620</v>
      </c>
      <c r="B8937" s="2" t="str">
        <f>"07739"</f>
        <v>07739</v>
      </c>
      <c r="C8937" s="1">
        <v>2.9187319764257001E-4</v>
      </c>
      <c r="D8937" s="1">
        <v>3.5097493719880201E-4</v>
      </c>
      <c r="E8937" s="1">
        <v>8.7347229695262894E-5</v>
      </c>
      <c r="F8937" s="1">
        <v>2.8456118691510803E-4</v>
      </c>
    </row>
    <row r="8938" spans="1:6" x14ac:dyDescent="0.25">
      <c r="A8938" s="2" t="str">
        <f t="shared" si="330"/>
        <v>35620</v>
      </c>
      <c r="B8938" s="2" t="str">
        <f>"07734"</f>
        <v>07734</v>
      </c>
      <c r="C8938" s="1">
        <v>7.1462900565171504E-4</v>
      </c>
      <c r="D8938" s="1">
        <v>2.8961568244376698E-4</v>
      </c>
      <c r="E8938" s="1">
        <v>3.2143780527856702E-4</v>
      </c>
      <c r="F8938" s="1">
        <v>6.5400266821205295E-4</v>
      </c>
    </row>
    <row r="8939" spans="1:6" x14ac:dyDescent="0.25">
      <c r="A8939" s="2" t="str">
        <f t="shared" si="330"/>
        <v>35620</v>
      </c>
      <c r="B8939" s="2" t="str">
        <f>"07763"</f>
        <v>07763</v>
      </c>
      <c r="C8939" s="1">
        <v>3.8941308977887599E-5</v>
      </c>
      <c r="D8939" s="1">
        <v>1.46035026316984E-4</v>
      </c>
      <c r="E8939" s="1">
        <v>3.4938891878105101E-6</v>
      </c>
      <c r="F8939" s="1">
        <v>4.6047559702146502E-5</v>
      </c>
    </row>
    <row r="8940" spans="1:6" x14ac:dyDescent="0.25">
      <c r="A8940" s="2" t="str">
        <f t="shared" si="330"/>
        <v>35620</v>
      </c>
      <c r="B8940" s="2" t="str">
        <f>"07757"</f>
        <v>07757</v>
      </c>
      <c r="C8940" s="1">
        <v>3.36288684240352E-4</v>
      </c>
      <c r="D8940" s="1">
        <v>2.5280012959074598E-4</v>
      </c>
      <c r="E8940" s="1">
        <v>7.5118617537926104E-5</v>
      </c>
      <c r="F8940" s="1">
        <v>3.1320828626897802E-4</v>
      </c>
    </row>
    <row r="8941" spans="1:6" x14ac:dyDescent="0.25">
      <c r="A8941" s="2" t="str">
        <f t="shared" si="330"/>
        <v>35620</v>
      </c>
      <c r="B8941" s="2" t="str">
        <f>"07764"</f>
        <v>07764</v>
      </c>
      <c r="C8941" s="1">
        <v>4.20765197965546E-4</v>
      </c>
      <c r="D8941" s="1">
        <v>6.7986054268579204E-4</v>
      </c>
      <c r="E8941" s="1">
        <v>2.25355852613778E-4</v>
      </c>
      <c r="F8941" s="1">
        <v>4.31297995827709E-4</v>
      </c>
    </row>
    <row r="8942" spans="1:6" x14ac:dyDescent="0.25">
      <c r="A8942" s="2" t="str">
        <f t="shared" si="330"/>
        <v>35620</v>
      </c>
      <c r="B8942" s="2" t="str">
        <f>"07748"</f>
        <v>07748</v>
      </c>
      <c r="C8942" s="1">
        <v>1.34080027749104E-3</v>
      </c>
      <c r="D8942" s="1">
        <v>9.3879659775204197E-4</v>
      </c>
      <c r="E8942" s="1">
        <v>1.3276778913679901E-4</v>
      </c>
      <c r="F8942" s="1">
        <v>1.2326740751602201E-3</v>
      </c>
    </row>
    <row r="8943" spans="1:6" x14ac:dyDescent="0.25">
      <c r="A8943" s="2" t="str">
        <f t="shared" si="330"/>
        <v>35620</v>
      </c>
      <c r="B8943" s="2" t="str">
        <f>"07649"</f>
        <v>07649</v>
      </c>
      <c r="C8943" s="1">
        <v>3.5383093524956E-4</v>
      </c>
      <c r="D8943" s="1">
        <v>3.9515360062242802E-4</v>
      </c>
      <c r="E8943" s="1">
        <v>2.3933140936502001E-4</v>
      </c>
      <c r="F8943" s="1">
        <v>3.5044951542900901E-4</v>
      </c>
    </row>
    <row r="8944" spans="1:6" x14ac:dyDescent="0.25">
      <c r="A8944" s="2" t="str">
        <f t="shared" si="330"/>
        <v>35620</v>
      </c>
      <c r="B8944" s="2" t="str">
        <f>"07647"</f>
        <v>07647</v>
      </c>
      <c r="C8944" s="1">
        <v>2.2269949862753599E-4</v>
      </c>
      <c r="D8944" s="1">
        <v>5.1664492503739805E-4</v>
      </c>
      <c r="E8944" s="1">
        <v>2.5505391071016699E-4</v>
      </c>
      <c r="F8944" s="1">
        <v>2.5007856732248699E-4</v>
      </c>
    </row>
    <row r="8945" spans="1:6" x14ac:dyDescent="0.25">
      <c r="A8945" s="2" t="str">
        <f t="shared" si="330"/>
        <v>35620</v>
      </c>
      <c r="B8945" s="2" t="str">
        <f>"07642"</f>
        <v>07642</v>
      </c>
      <c r="C8945" s="1">
        <v>4.4875815170364401E-4</v>
      </c>
      <c r="D8945" s="1">
        <v>2.7734383149276E-4</v>
      </c>
      <c r="E8945" s="1">
        <v>9.6081952664789195E-5</v>
      </c>
      <c r="F8945" s="1">
        <v>4.1251823069572702E-4</v>
      </c>
    </row>
    <row r="8946" spans="1:6" x14ac:dyDescent="0.25">
      <c r="A8946" s="2" t="str">
        <f t="shared" si="330"/>
        <v>35620</v>
      </c>
      <c r="B8946" s="2" t="str">
        <f>"07628"</f>
        <v>07628</v>
      </c>
      <c r="C8946" s="1">
        <v>8.0246467382548003E-4</v>
      </c>
      <c r="D8946" s="1">
        <v>4.7369344670887298E-4</v>
      </c>
      <c r="E8946" s="1">
        <v>3.23184749872473E-4</v>
      </c>
      <c r="F8946" s="1">
        <v>7.4493068356859603E-4</v>
      </c>
    </row>
    <row r="8947" spans="1:6" x14ac:dyDescent="0.25">
      <c r="A8947" s="2" t="str">
        <f t="shared" si="330"/>
        <v>35620</v>
      </c>
      <c r="B8947" s="2" t="str">
        <f>"07626"</f>
        <v>07626</v>
      </c>
      <c r="C8947" s="1">
        <v>3.9662905118691897E-4</v>
      </c>
      <c r="D8947" s="1">
        <v>2.7120790601725599E-4</v>
      </c>
      <c r="E8947" s="1">
        <v>1.4150251210632599E-4</v>
      </c>
      <c r="F8947" s="1">
        <v>3.7029028424076299E-4</v>
      </c>
    </row>
    <row r="8948" spans="1:6" x14ac:dyDescent="0.25">
      <c r="A8948" s="2" t="str">
        <f t="shared" si="330"/>
        <v>35620</v>
      </c>
      <c r="B8948" s="2" t="str">
        <f>"07620"</f>
        <v>07620</v>
      </c>
      <c r="C8948" s="1">
        <v>7.6887312933976296E-5</v>
      </c>
      <c r="D8948" s="1">
        <v>2.4543701902014099E-6</v>
      </c>
      <c r="E8948" s="1">
        <v>0</v>
      </c>
      <c r="F8948" s="1">
        <v>6.5782228145923595E-5</v>
      </c>
    </row>
    <row r="8949" spans="1:6" x14ac:dyDescent="0.25">
      <c r="A8949" s="2" t="str">
        <f t="shared" si="330"/>
        <v>35620</v>
      </c>
      <c r="B8949" s="2" t="str">
        <f>"07543"</f>
        <v>07543</v>
      </c>
      <c r="C8949" s="1">
        <v>7.6140834167626994E-5</v>
      </c>
      <c r="D8949" s="1">
        <v>7.8539846086445305E-5</v>
      </c>
      <c r="E8949" s="1">
        <v>3.4938891878105101E-6</v>
      </c>
      <c r="F8949" s="1">
        <v>7.19360494886068E-5</v>
      </c>
    </row>
    <row r="8950" spans="1:6" x14ac:dyDescent="0.25">
      <c r="A8950" s="2" t="str">
        <f t="shared" si="330"/>
        <v>35620</v>
      </c>
      <c r="B8950" s="2" t="str">
        <f>"07305"</f>
        <v>07305</v>
      </c>
      <c r="C8950" s="1">
        <v>2.98342680284264E-3</v>
      </c>
      <c r="D8950" s="1">
        <v>1.5131192222591701E-3</v>
      </c>
      <c r="E8950" s="1">
        <v>5.6478718720957E-3</v>
      </c>
      <c r="F8950" s="1">
        <v>3.0181310674821599E-3</v>
      </c>
    </row>
    <row r="8951" spans="1:6" x14ac:dyDescent="0.25">
      <c r="A8951" s="2" t="str">
        <f t="shared" si="330"/>
        <v>35620</v>
      </c>
      <c r="B8951" s="2" t="str">
        <f>"07507"</f>
        <v>07507</v>
      </c>
      <c r="C8951" s="1">
        <v>4.8894359195878102E-5</v>
      </c>
      <c r="D8951" s="1">
        <v>2.6384479544665202E-4</v>
      </c>
      <c r="E8951" s="1">
        <v>3.4938891878105101E-6</v>
      </c>
      <c r="F8951" s="1">
        <v>6.4721224466150602E-5</v>
      </c>
    </row>
    <row r="8952" spans="1:6" x14ac:dyDescent="0.25">
      <c r="A8952" s="2" t="str">
        <f t="shared" ref="A8952:A9015" si="331">"35620"</f>
        <v>35620</v>
      </c>
      <c r="B8952" s="2" t="str">
        <f>"07506"</f>
        <v>07506</v>
      </c>
      <c r="C8952" s="1">
        <v>9.5984728039745504E-4</v>
      </c>
      <c r="D8952" s="1">
        <v>8.2466838390767602E-4</v>
      </c>
      <c r="E8952" s="1">
        <v>5.9221421733388296E-4</v>
      </c>
      <c r="F8952" s="1">
        <v>9.2583181096988598E-4</v>
      </c>
    </row>
    <row r="8953" spans="1:6" x14ac:dyDescent="0.25">
      <c r="A8953" s="2" t="str">
        <f t="shared" si="331"/>
        <v>35620</v>
      </c>
      <c r="B8953" s="2" t="str">
        <f>"07514"</f>
        <v>07514</v>
      </c>
      <c r="C8953" s="1">
        <v>7.9002336105299202E-4</v>
      </c>
      <c r="D8953" s="1">
        <v>6.9581394892210104E-4</v>
      </c>
      <c r="E8953" s="1">
        <v>2.3164485315183701E-3</v>
      </c>
      <c r="F8953" s="1">
        <v>8.7458533323685195E-4</v>
      </c>
    </row>
    <row r="8954" spans="1:6" x14ac:dyDescent="0.25">
      <c r="A8954" s="2" t="str">
        <f t="shared" si="331"/>
        <v>35620</v>
      </c>
      <c r="B8954" s="2" t="str">
        <f>"07451"</f>
        <v>07451</v>
      </c>
      <c r="C8954" s="1">
        <v>1.25906085257579E-4</v>
      </c>
      <c r="D8954" s="1">
        <v>3.6570115834001098E-4</v>
      </c>
      <c r="E8954" s="1">
        <v>3.4938891878105101E-6</v>
      </c>
      <c r="F8954" s="1">
        <v>1.39203682786212E-4</v>
      </c>
    </row>
    <row r="8955" spans="1:6" x14ac:dyDescent="0.25">
      <c r="A8955" s="2" t="str">
        <f t="shared" si="331"/>
        <v>35620</v>
      </c>
      <c r="B8955" s="2" t="str">
        <f>"07442"</f>
        <v>07442</v>
      </c>
      <c r="C8955" s="1">
        <v>5.3497644921698701E-4</v>
      </c>
      <c r="D8955" s="1">
        <v>4.8105655727947701E-4</v>
      </c>
      <c r="E8955" s="1">
        <v>3.1969086068466202E-4</v>
      </c>
      <c r="F8955" s="1">
        <v>5.1723929388931898E-4</v>
      </c>
    </row>
    <row r="8956" spans="1:6" x14ac:dyDescent="0.25">
      <c r="A8956" s="2" t="str">
        <f t="shared" si="331"/>
        <v>35620</v>
      </c>
      <c r="B8956" s="2" t="str">
        <f>"07430"</f>
        <v>07430</v>
      </c>
      <c r="C8956" s="1">
        <v>1.3170373700955799E-3</v>
      </c>
      <c r="D8956" s="1">
        <v>1.0823772538788199E-3</v>
      </c>
      <c r="E8956" s="1">
        <v>7.3371672944020901E-4</v>
      </c>
      <c r="F8956" s="1">
        <v>1.26132117451409E-3</v>
      </c>
    </row>
    <row r="8957" spans="1:6" x14ac:dyDescent="0.25">
      <c r="A8957" s="2" t="str">
        <f t="shared" si="331"/>
        <v>35620</v>
      </c>
      <c r="B8957" s="2" t="str">
        <f>"07495"</f>
        <v>07495</v>
      </c>
      <c r="C8957" s="1">
        <v>1.2441312772488E-7</v>
      </c>
      <c r="D8957" s="1">
        <v>1.01856362893358E-4</v>
      </c>
      <c r="E8957" s="1">
        <v>2.96980580963894E-5</v>
      </c>
      <c r="F8957" s="1">
        <v>1.07161371657069E-5</v>
      </c>
    </row>
    <row r="8958" spans="1:6" x14ac:dyDescent="0.25">
      <c r="A8958" s="2" t="str">
        <f t="shared" si="331"/>
        <v>35620</v>
      </c>
      <c r="B8958" s="2" t="str">
        <f>"07470"</f>
        <v>07470</v>
      </c>
      <c r="C8958" s="1">
        <v>2.42717570878469E-3</v>
      </c>
      <c r="D8958" s="1">
        <v>2.5476362574290701E-3</v>
      </c>
      <c r="E8958" s="1">
        <v>1.2752695535508301E-3</v>
      </c>
      <c r="F8958" s="1">
        <v>2.3676297114133601E-3</v>
      </c>
    </row>
    <row r="8959" spans="1:6" x14ac:dyDescent="0.25">
      <c r="A8959" s="2" t="str">
        <f t="shared" si="331"/>
        <v>35620</v>
      </c>
      <c r="B8959" s="2" t="str">
        <f>"07417"</f>
        <v>07417</v>
      </c>
      <c r="C8959" s="1">
        <v>5.9009146479910898E-4</v>
      </c>
      <c r="D8959" s="1">
        <v>7.0440424458780601E-4</v>
      </c>
      <c r="E8959" s="1">
        <v>2.1138029586253599E-4</v>
      </c>
      <c r="F8959" s="1">
        <v>5.7697380106053599E-4</v>
      </c>
    </row>
    <row r="8960" spans="1:6" x14ac:dyDescent="0.25">
      <c r="A8960" s="2" t="str">
        <f t="shared" si="331"/>
        <v>35620</v>
      </c>
      <c r="B8960" s="2" t="str">
        <f>"07108"</f>
        <v>07108</v>
      </c>
      <c r="C8960" s="1">
        <v>1.36182609607654E-3</v>
      </c>
      <c r="D8960" s="1">
        <v>6.70043061924987E-4</v>
      </c>
      <c r="E8960" s="1">
        <v>3.1252838784964999E-3</v>
      </c>
      <c r="F8960" s="1">
        <v>1.4091189871064699E-3</v>
      </c>
    </row>
    <row r="8961" spans="1:6" x14ac:dyDescent="0.25">
      <c r="A8961" s="2" t="str">
        <f t="shared" si="331"/>
        <v>35620</v>
      </c>
      <c r="B8961" s="2" t="str">
        <f>"07105"</f>
        <v>07105</v>
      </c>
      <c r="C8961" s="1">
        <v>2.1966381831104902E-3</v>
      </c>
      <c r="D8961" s="1">
        <v>3.2974463505356E-3</v>
      </c>
      <c r="E8961" s="1">
        <v>7.6184253740208298E-3</v>
      </c>
      <c r="F8961" s="1">
        <v>2.6211034905111201E-3</v>
      </c>
    </row>
    <row r="8962" spans="1:6" x14ac:dyDescent="0.25">
      <c r="A8962" s="2" t="str">
        <f t="shared" si="331"/>
        <v>35620</v>
      </c>
      <c r="B8962" s="2" t="str">
        <f>"07104"</f>
        <v>07104</v>
      </c>
      <c r="C8962" s="1">
        <v>2.6258634737613301E-3</v>
      </c>
      <c r="D8962" s="1">
        <v>1.5266182583052799E-3</v>
      </c>
      <c r="E8962" s="1">
        <v>4.7237381819198202E-3</v>
      </c>
      <c r="F8962" s="1">
        <v>2.6582386193031702E-3</v>
      </c>
    </row>
    <row r="8963" spans="1:6" x14ac:dyDescent="0.25">
      <c r="A8963" s="2" t="str">
        <f t="shared" si="331"/>
        <v>35620</v>
      </c>
      <c r="B8963" s="2" t="str">
        <f>"07102"</f>
        <v>07102</v>
      </c>
      <c r="C8963" s="1">
        <v>8.6790597900876802E-4</v>
      </c>
      <c r="D8963" s="1">
        <v>3.4778425595153998E-3</v>
      </c>
      <c r="E8963" s="1">
        <v>3.0344427596134299E-3</v>
      </c>
      <c r="F8963" s="1">
        <v>1.22514094903383E-3</v>
      </c>
    </row>
    <row r="8964" spans="1:6" x14ac:dyDescent="0.25">
      <c r="A8964" s="2" t="str">
        <f t="shared" si="331"/>
        <v>35620</v>
      </c>
      <c r="B8964" s="2" t="str">
        <f>"07080"</f>
        <v>07080</v>
      </c>
      <c r="C8964" s="1">
        <v>1.1125021881158801E-3</v>
      </c>
      <c r="D8964" s="1">
        <v>2.23961279855879E-3</v>
      </c>
      <c r="E8964" s="1">
        <v>6.16671441648556E-4</v>
      </c>
      <c r="F8964" s="1">
        <v>1.1798360919075301E-3</v>
      </c>
    </row>
    <row r="8965" spans="1:6" x14ac:dyDescent="0.25">
      <c r="A8965" s="2" t="str">
        <f t="shared" si="331"/>
        <v>35620</v>
      </c>
      <c r="B8965" s="2" t="str">
        <f>"07088"</f>
        <v>07088</v>
      </c>
      <c r="C8965" s="1">
        <v>2.0702344453420101E-4</v>
      </c>
      <c r="D8965" s="1">
        <v>2.4666420411524202E-4</v>
      </c>
      <c r="E8965" s="1">
        <v>2.0788640667472499E-4</v>
      </c>
      <c r="F8965" s="1">
        <v>2.10503130066955E-4</v>
      </c>
    </row>
    <row r="8966" spans="1:6" x14ac:dyDescent="0.25">
      <c r="A8966" s="2" t="str">
        <f t="shared" si="331"/>
        <v>35620</v>
      </c>
      <c r="B8966" s="2" t="str">
        <f>"07083"</f>
        <v>07083</v>
      </c>
      <c r="C8966" s="1">
        <v>2.51264752753169E-3</v>
      </c>
      <c r="D8966" s="1">
        <v>3.1735006559304299E-3</v>
      </c>
      <c r="E8966" s="1">
        <v>2.3478935342086601E-3</v>
      </c>
      <c r="F8966" s="1">
        <v>2.55977747782024E-3</v>
      </c>
    </row>
    <row r="8967" spans="1:6" x14ac:dyDescent="0.25">
      <c r="A8967" s="2" t="str">
        <f t="shared" si="331"/>
        <v>35620</v>
      </c>
      <c r="B8967" s="2" t="str">
        <f>"07090"</f>
        <v>07090</v>
      </c>
      <c r="C8967" s="1">
        <v>1.4074857139515699E-3</v>
      </c>
      <c r="D8967" s="1">
        <v>1.3008162008067499E-3</v>
      </c>
      <c r="E8967" s="1">
        <v>7.4594534159754498E-4</v>
      </c>
      <c r="F8967" s="1">
        <v>1.35808471010939E-3</v>
      </c>
    </row>
    <row r="8968" spans="1:6" x14ac:dyDescent="0.25">
      <c r="A8968" s="2" t="str">
        <f t="shared" si="331"/>
        <v>35620</v>
      </c>
      <c r="B8968" s="2" t="str">
        <f>"07028"</f>
        <v>07028</v>
      </c>
      <c r="C8968" s="1">
        <v>3.6515252987252502E-4</v>
      </c>
      <c r="D8968" s="1">
        <v>2.6629916563685298E-4</v>
      </c>
      <c r="E8968" s="1">
        <v>1.0306973104041E-4</v>
      </c>
      <c r="F8968" s="1">
        <v>3.40688281575098E-4</v>
      </c>
    </row>
    <row r="8969" spans="1:6" x14ac:dyDescent="0.25">
      <c r="A8969" s="2" t="str">
        <f t="shared" si="331"/>
        <v>35620</v>
      </c>
      <c r="B8969" s="2" t="str">
        <f>"07014"</f>
        <v>07014</v>
      </c>
      <c r="C8969" s="1">
        <v>2.5517132496373002E-4</v>
      </c>
      <c r="D8969" s="1">
        <v>3.5097493719880201E-4</v>
      </c>
      <c r="E8969" s="1">
        <v>2.1312724045644099E-4</v>
      </c>
      <c r="F8969" s="1">
        <v>2.6090080485617102E-4</v>
      </c>
    </row>
    <row r="8970" spans="1:6" x14ac:dyDescent="0.25">
      <c r="A8970" s="2" t="str">
        <f t="shared" si="331"/>
        <v>35620</v>
      </c>
      <c r="B8970" s="2" t="str">
        <f>"06390"</f>
        <v>06390</v>
      </c>
      <c r="C8970" s="1">
        <v>0</v>
      </c>
      <c r="D8970" s="1">
        <v>1.2271850951007001E-6</v>
      </c>
      <c r="E8970" s="1">
        <v>7.4594534159754498E-4</v>
      </c>
      <c r="F8970" s="1">
        <v>4.54109574942827E-5</v>
      </c>
    </row>
    <row r="8971" spans="1:6" x14ac:dyDescent="0.25">
      <c r="A8971" s="2" t="str">
        <f t="shared" si="331"/>
        <v>35620</v>
      </c>
      <c r="B8971" s="2" t="str">
        <f>"18426"</f>
        <v>18426</v>
      </c>
      <c r="C8971" s="1">
        <v>3.8630276158575398E-4</v>
      </c>
      <c r="D8971" s="1">
        <v>1.30081620080675E-4</v>
      </c>
      <c r="E8971" s="1">
        <v>4.5420559441536698E-5</v>
      </c>
      <c r="F8971" s="1">
        <v>3.4344689114250697E-4</v>
      </c>
    </row>
    <row r="8972" spans="1:6" x14ac:dyDescent="0.25">
      <c r="A8972" s="2" t="str">
        <f t="shared" si="331"/>
        <v>35620</v>
      </c>
      <c r="B8972" s="2" t="str">
        <f>"18425"</f>
        <v>18425</v>
      </c>
      <c r="C8972" s="1">
        <v>8.0122054254823198E-5</v>
      </c>
      <c r="D8972" s="1">
        <v>4.1724293233424097E-5</v>
      </c>
      <c r="E8972" s="1">
        <v>1.04816675634315E-5</v>
      </c>
      <c r="F8972" s="1">
        <v>7.2572651696470601E-5</v>
      </c>
    </row>
    <row r="8973" spans="1:6" x14ac:dyDescent="0.25">
      <c r="A8973" s="2" t="str">
        <f t="shared" si="331"/>
        <v>35620</v>
      </c>
      <c r="B8973" s="2" t="str">
        <f>"18325"</f>
        <v>18325</v>
      </c>
      <c r="C8973" s="1">
        <v>3.09788688034953E-5</v>
      </c>
      <c r="D8973" s="1">
        <v>2.4543701902014099E-6</v>
      </c>
      <c r="E8973" s="1">
        <v>0</v>
      </c>
      <c r="F8973" s="1">
        <v>2.6631192362301299E-5</v>
      </c>
    </row>
    <row r="8974" spans="1:6" x14ac:dyDescent="0.25">
      <c r="A8974" s="2" t="str">
        <f t="shared" si="331"/>
        <v>35620</v>
      </c>
      <c r="B8974" s="2" t="str">
        <f>"12564"</f>
        <v>12564</v>
      </c>
      <c r="C8974" s="1">
        <v>1.49295753269856E-6</v>
      </c>
      <c r="D8974" s="1">
        <v>0</v>
      </c>
      <c r="E8974" s="1">
        <v>0</v>
      </c>
      <c r="F8974" s="1">
        <v>1.27320441572755E-6</v>
      </c>
    </row>
    <row r="8975" spans="1:6" x14ac:dyDescent="0.25">
      <c r="A8975" s="2" t="str">
        <f t="shared" si="331"/>
        <v>35620</v>
      </c>
      <c r="B8975" s="2" t="str">
        <f>"11980"</f>
        <v>11980</v>
      </c>
      <c r="C8975" s="1">
        <v>3.4400229815929499E-4</v>
      </c>
      <c r="D8975" s="1">
        <v>4.8105655727947701E-4</v>
      </c>
      <c r="E8975" s="1">
        <v>3.5288280796886201E-4</v>
      </c>
      <c r="F8975" s="1">
        <v>3.5639113603573699E-4</v>
      </c>
    </row>
    <row r="8976" spans="1:6" x14ac:dyDescent="0.25">
      <c r="A8976" s="2" t="str">
        <f t="shared" si="331"/>
        <v>35620</v>
      </c>
      <c r="B8976" s="2" t="str">
        <f>"11971"</f>
        <v>11971</v>
      </c>
      <c r="C8976" s="1">
        <v>4.4490134474417298E-4</v>
      </c>
      <c r="D8976" s="1">
        <v>1.60761247458192E-4</v>
      </c>
      <c r="E8976" s="1">
        <v>1.17045287791652E-4</v>
      </c>
      <c r="F8976" s="1">
        <v>4.00422788746315E-4</v>
      </c>
    </row>
    <row r="8977" spans="1:6" x14ac:dyDescent="0.25">
      <c r="A8977" s="2" t="str">
        <f t="shared" si="331"/>
        <v>35620</v>
      </c>
      <c r="B8977" s="2" t="str">
        <f>"11969"</f>
        <v>11969</v>
      </c>
      <c r="C8977" s="1">
        <v>2.5741076126277798E-4</v>
      </c>
      <c r="D8977" s="1">
        <v>7.7680816519874805E-4</v>
      </c>
      <c r="E8977" s="1">
        <v>3.4938891878105101E-6</v>
      </c>
      <c r="F8977" s="1">
        <v>2.86895395010608E-4</v>
      </c>
    </row>
    <row r="8978" spans="1:6" x14ac:dyDescent="0.25">
      <c r="A8978" s="2" t="str">
        <f t="shared" si="331"/>
        <v>35620</v>
      </c>
      <c r="B8978" s="2" t="str">
        <f>"11769"</f>
        <v>11769</v>
      </c>
      <c r="C8978" s="1">
        <v>5.6222292418873598E-4</v>
      </c>
      <c r="D8978" s="1">
        <v>4.5896722556766498E-4</v>
      </c>
      <c r="E8978" s="1">
        <v>7.4070450781582998E-4</v>
      </c>
      <c r="F8978" s="1">
        <v>5.6413565653528296E-4</v>
      </c>
    </row>
    <row r="8979" spans="1:6" x14ac:dyDescent="0.25">
      <c r="A8979" s="2" t="str">
        <f t="shared" si="331"/>
        <v>35620</v>
      </c>
      <c r="B8979" s="2" t="str">
        <f>"11947"</f>
        <v>11947</v>
      </c>
      <c r="C8979" s="1">
        <v>3.7323938317464201E-6</v>
      </c>
      <c r="D8979" s="1">
        <v>0</v>
      </c>
      <c r="E8979" s="1">
        <v>1.74694459390525E-6</v>
      </c>
      <c r="F8979" s="1">
        <v>3.2891114072961799E-6</v>
      </c>
    </row>
    <row r="8980" spans="1:6" x14ac:dyDescent="0.25">
      <c r="A8980" s="2" t="str">
        <f t="shared" si="331"/>
        <v>35620</v>
      </c>
      <c r="B8980" s="2" t="str">
        <f>"11962"</f>
        <v>11962</v>
      </c>
      <c r="C8980" s="1">
        <v>2.2892015501378E-5</v>
      </c>
      <c r="D8980" s="1">
        <v>1.2271850951007001E-6</v>
      </c>
      <c r="E8980" s="1">
        <v>1.74694459390525E-6</v>
      </c>
      <c r="F8980" s="1">
        <v>1.9734668443776999E-5</v>
      </c>
    </row>
    <row r="8981" spans="1:6" x14ac:dyDescent="0.25">
      <c r="A8981" s="2" t="str">
        <f t="shared" si="331"/>
        <v>35620</v>
      </c>
      <c r="B8981" s="2" t="str">
        <f>"11804"</f>
        <v>11804</v>
      </c>
      <c r="C8981" s="1">
        <v>2.5666428249642901E-4</v>
      </c>
      <c r="D8981" s="1">
        <v>2.4298264882994001E-4</v>
      </c>
      <c r="E8981" s="1">
        <v>5.9396116192778799E-5</v>
      </c>
      <c r="F8981" s="1">
        <v>2.4350034450789401E-4</v>
      </c>
    </row>
    <row r="8982" spans="1:6" x14ac:dyDescent="0.25">
      <c r="A8982" s="2" t="str">
        <f t="shared" si="331"/>
        <v>35620</v>
      </c>
      <c r="B8982" s="2" t="str">
        <f>"11788"</f>
        <v>11788</v>
      </c>
      <c r="C8982" s="1">
        <v>8.4451631099648997E-4</v>
      </c>
      <c r="D8982" s="1">
        <v>2.86670438215525E-3</v>
      </c>
      <c r="E8982" s="1">
        <v>1.28924511030208E-3</v>
      </c>
      <c r="F8982" s="1">
        <v>1.04636182899209E-3</v>
      </c>
    </row>
    <row r="8983" spans="1:6" x14ac:dyDescent="0.25">
      <c r="A8983" s="2" t="str">
        <f t="shared" si="331"/>
        <v>35620</v>
      </c>
      <c r="B8983" s="2" t="str">
        <f>"11738"</f>
        <v>11738</v>
      </c>
      <c r="C8983" s="1">
        <v>7.0840834926547103E-4</v>
      </c>
      <c r="D8983" s="1">
        <v>6.4427217492787198E-4</v>
      </c>
      <c r="E8983" s="1">
        <v>1.4324945670023099E-4</v>
      </c>
      <c r="F8983" s="1">
        <v>6.6853841862494297E-4</v>
      </c>
    </row>
    <row r="8984" spans="1:6" x14ac:dyDescent="0.25">
      <c r="A8984" s="2" t="str">
        <f t="shared" si="331"/>
        <v>35620</v>
      </c>
      <c r="B8984" s="2" t="str">
        <f>"11733"</f>
        <v>11733</v>
      </c>
      <c r="C8984" s="1">
        <v>9.1592944631057195E-4</v>
      </c>
      <c r="D8984" s="1">
        <v>1.2652278330488301E-3</v>
      </c>
      <c r="E8984" s="1">
        <v>4.4372392685193502E-4</v>
      </c>
      <c r="F8984" s="1">
        <v>9.1744988189968E-4</v>
      </c>
    </row>
    <row r="8985" spans="1:6" x14ac:dyDescent="0.25">
      <c r="A8985" s="2" t="str">
        <f t="shared" si="331"/>
        <v>35620</v>
      </c>
      <c r="B8985" s="2" t="str">
        <f>"11709"</f>
        <v>11709</v>
      </c>
      <c r="C8985" s="1">
        <v>3.2820183093823502E-4</v>
      </c>
      <c r="D8985" s="1">
        <v>1.1658258403456699E-4</v>
      </c>
      <c r="E8985" s="1">
        <v>1.13551398603841E-4</v>
      </c>
      <c r="F8985" s="1">
        <v>2.9686882960047397E-4</v>
      </c>
    </row>
    <row r="8986" spans="1:6" x14ac:dyDescent="0.25">
      <c r="A8986" s="2" t="str">
        <f t="shared" si="331"/>
        <v>35620</v>
      </c>
      <c r="B8986" s="2" t="str">
        <f>"11706"</f>
        <v>11706</v>
      </c>
      <c r="C8986" s="1">
        <v>2.3971921450029999E-3</v>
      </c>
      <c r="D8986" s="1">
        <v>3.00414911280653E-3</v>
      </c>
      <c r="E8986" s="1">
        <v>1.7609201506565001E-3</v>
      </c>
      <c r="F8986" s="1">
        <v>2.4110247619160701E-3</v>
      </c>
    </row>
    <row r="8987" spans="1:6" x14ac:dyDescent="0.25">
      <c r="A8987" s="2" t="str">
        <f t="shared" si="331"/>
        <v>35620</v>
      </c>
      <c r="B8987" s="2" t="str">
        <f>"11556"</f>
        <v>11556</v>
      </c>
      <c r="C8987" s="1">
        <v>1.2441312772488E-7</v>
      </c>
      <c r="D8987" s="1">
        <v>1.47262211412085E-4</v>
      </c>
      <c r="E8987" s="1">
        <v>3.4938891878105101E-6</v>
      </c>
      <c r="F8987" s="1">
        <v>1.3050345261207399E-5</v>
      </c>
    </row>
    <row r="8988" spans="1:6" x14ac:dyDescent="0.25">
      <c r="A8988" s="2" t="str">
        <f t="shared" si="331"/>
        <v>35620</v>
      </c>
      <c r="B8988" s="2" t="str">
        <f>"11702"</f>
        <v>11702</v>
      </c>
      <c r="C8988" s="1">
        <v>7.7434730695965701E-4</v>
      </c>
      <c r="D8988" s="1">
        <v>1.10323940049553E-3</v>
      </c>
      <c r="E8988" s="1">
        <v>8.1407618075985105E-4</v>
      </c>
      <c r="F8988" s="1">
        <v>8.0519569257970103E-4</v>
      </c>
    </row>
    <row r="8989" spans="1:6" x14ac:dyDescent="0.25">
      <c r="A8989" s="2" t="str">
        <f t="shared" si="331"/>
        <v>35620</v>
      </c>
      <c r="B8989" s="2" t="str">
        <f>"11701"</f>
        <v>11701</v>
      </c>
      <c r="C8989" s="1">
        <v>1.27287070975325E-3</v>
      </c>
      <c r="D8989" s="1">
        <v>1.4664861886453399E-3</v>
      </c>
      <c r="E8989" s="1">
        <v>1.38008622918515E-3</v>
      </c>
      <c r="F8989" s="1">
        <v>1.2961220952106499E-3</v>
      </c>
    </row>
    <row r="8990" spans="1:6" x14ac:dyDescent="0.25">
      <c r="A8990" s="2" t="str">
        <f t="shared" si="331"/>
        <v>35620</v>
      </c>
      <c r="B8990" s="2" t="str">
        <f>"11704"</f>
        <v>11704</v>
      </c>
      <c r="C8990" s="1">
        <v>1.66427440957573E-3</v>
      </c>
      <c r="D8990" s="1">
        <v>2.1328476952850299E-3</v>
      </c>
      <c r="E8990" s="1">
        <v>1.5477929102000599E-3</v>
      </c>
      <c r="F8990" s="1">
        <v>1.6977119880047099E-3</v>
      </c>
    </row>
    <row r="8991" spans="1:6" x14ac:dyDescent="0.25">
      <c r="A8991" s="2" t="str">
        <f t="shared" si="331"/>
        <v>35620</v>
      </c>
      <c r="B8991" s="2" t="str">
        <f>"11691"</f>
        <v>11691</v>
      </c>
      <c r="C8991" s="1">
        <v>2.7400747250127702E-3</v>
      </c>
      <c r="D8991" s="1">
        <v>9.4984126360794796E-4</v>
      </c>
      <c r="E8991" s="1">
        <v>1.2385837170788201E-3</v>
      </c>
      <c r="F8991" s="1">
        <v>2.4941013500423001E-3</v>
      </c>
    </row>
    <row r="8992" spans="1:6" x14ac:dyDescent="0.25">
      <c r="A8992" s="2" t="str">
        <f t="shared" si="331"/>
        <v>35620</v>
      </c>
      <c r="B8992" s="2" t="str">
        <f>"11545"</f>
        <v>11545</v>
      </c>
      <c r="C8992" s="1">
        <v>5.6234733731646105E-4</v>
      </c>
      <c r="D8992" s="1">
        <v>6.2341002831115997E-4</v>
      </c>
      <c r="E8992" s="1">
        <v>4.5769948360317801E-4</v>
      </c>
      <c r="F8992" s="1">
        <v>5.6127094659989601E-4</v>
      </c>
    </row>
    <row r="8993" spans="1:6" x14ac:dyDescent="0.25">
      <c r="A8993" s="2" t="str">
        <f t="shared" si="331"/>
        <v>35620</v>
      </c>
      <c r="B8993" s="2" t="str">
        <f>"11371"</f>
        <v>11371</v>
      </c>
      <c r="C8993" s="1">
        <v>3.6079807040215399E-6</v>
      </c>
      <c r="D8993" s="1">
        <v>1.6566998783859501E-4</v>
      </c>
      <c r="E8993" s="1">
        <v>4.7167504035442003E-5</v>
      </c>
      <c r="F8993" s="1">
        <v>2.0265170283663499E-5</v>
      </c>
    </row>
    <row r="8994" spans="1:6" x14ac:dyDescent="0.25">
      <c r="A8994" s="2" t="str">
        <f t="shared" si="331"/>
        <v>35620</v>
      </c>
      <c r="B8994" s="2" t="str">
        <f>"11373"</f>
        <v>11373</v>
      </c>
      <c r="C8994" s="1">
        <v>3.4375347190384502E-3</v>
      </c>
      <c r="D8994" s="1">
        <v>2.4470070796308099E-3</v>
      </c>
      <c r="E8994" s="1">
        <v>2.84402579887776E-3</v>
      </c>
      <c r="F8994" s="1">
        <v>3.3158487000264601E-3</v>
      </c>
    </row>
    <row r="8995" spans="1:6" x14ac:dyDescent="0.25">
      <c r="A8995" s="2" t="str">
        <f t="shared" si="331"/>
        <v>35620</v>
      </c>
      <c r="B8995" s="2" t="str">
        <f>"11417"</f>
        <v>11417</v>
      </c>
      <c r="C8995" s="1">
        <v>9.5176042709533702E-4</v>
      </c>
      <c r="D8995" s="1">
        <v>8.7989171318720802E-4</v>
      </c>
      <c r="E8995" s="1">
        <v>5.6950393761311395E-4</v>
      </c>
      <c r="F8995" s="1">
        <v>9.2233049882663599E-4</v>
      </c>
    </row>
    <row r="8996" spans="1:6" x14ac:dyDescent="0.25">
      <c r="A8996" s="2" t="str">
        <f t="shared" si="331"/>
        <v>35620</v>
      </c>
      <c r="B8996" s="2" t="str">
        <f>"11416"</f>
        <v>11416</v>
      </c>
      <c r="C8996" s="1">
        <v>6.1298348030048699E-4</v>
      </c>
      <c r="D8996" s="1">
        <v>7.4367416763102901E-4</v>
      </c>
      <c r="E8996" s="1">
        <v>5.9221421733388296E-4</v>
      </c>
      <c r="F8996" s="1">
        <v>6.2302136076268304E-4</v>
      </c>
    </row>
    <row r="8997" spans="1:6" x14ac:dyDescent="0.25">
      <c r="A8997" s="2" t="str">
        <f t="shared" si="331"/>
        <v>35620</v>
      </c>
      <c r="B8997" s="2" t="str">
        <f>"11415"</f>
        <v>11415</v>
      </c>
      <c r="C8997" s="1">
        <v>1.15467823841461E-3</v>
      </c>
      <c r="D8997" s="1">
        <v>6.8231491287599404E-4</v>
      </c>
      <c r="E8997" s="1">
        <v>6.8480228081086098E-4</v>
      </c>
      <c r="F8997" s="1">
        <v>1.08530066403976E-3</v>
      </c>
    </row>
    <row r="8998" spans="1:6" x14ac:dyDescent="0.25">
      <c r="A8998" s="2" t="str">
        <f t="shared" si="331"/>
        <v>35620</v>
      </c>
      <c r="B8998" s="2" t="str">
        <f>"11414"</f>
        <v>11414</v>
      </c>
      <c r="C8998" s="1">
        <v>1.29949511908637E-3</v>
      </c>
      <c r="D8998" s="1">
        <v>6.6881587682988595E-4</v>
      </c>
      <c r="E8998" s="1">
        <v>5.2757726735938799E-4</v>
      </c>
      <c r="F8998" s="1">
        <v>1.1980853551996199E-3</v>
      </c>
    </row>
    <row r="8999" spans="1:6" x14ac:dyDescent="0.25">
      <c r="A8999" s="2" t="str">
        <f t="shared" si="331"/>
        <v>35620</v>
      </c>
      <c r="B8999" s="2" t="str">
        <f>"11430"</f>
        <v>11430</v>
      </c>
      <c r="C8999" s="1">
        <v>1.20431907637684E-4</v>
      </c>
      <c r="D8999" s="1">
        <v>8.0994216276646699E-4</v>
      </c>
      <c r="E8999" s="1">
        <v>1.6071890263928299E-4</v>
      </c>
      <c r="F8999" s="1">
        <v>1.82492632920949E-4</v>
      </c>
    </row>
    <row r="9000" spans="1:6" x14ac:dyDescent="0.25">
      <c r="A9000" s="2" t="str">
        <f t="shared" si="331"/>
        <v>35620</v>
      </c>
      <c r="B9000" s="2" t="str">
        <f>"11364"</f>
        <v>11364</v>
      </c>
      <c r="C9000" s="1">
        <v>1.6607908419994299E-3</v>
      </c>
      <c r="D9000" s="1">
        <v>5.8536729036303802E-4</v>
      </c>
      <c r="E9000" s="1">
        <v>2.3583752017721001E-4</v>
      </c>
      <c r="F9000" s="1">
        <v>1.4812672373310299E-3</v>
      </c>
    </row>
    <row r="9001" spans="1:6" x14ac:dyDescent="0.25">
      <c r="A9001" s="2" t="str">
        <f t="shared" si="331"/>
        <v>35620</v>
      </c>
      <c r="B9001" s="2" t="str">
        <f>"11411"</f>
        <v>11411</v>
      </c>
      <c r="C9001" s="1">
        <v>7.43866090667062E-4</v>
      </c>
      <c r="D9001" s="1">
        <v>4.3687789385585198E-4</v>
      </c>
      <c r="E9001" s="1">
        <v>8.5600285101357704E-5</v>
      </c>
      <c r="F9001" s="1">
        <v>6.7734474916705898E-4</v>
      </c>
    </row>
    <row r="9002" spans="1:6" x14ac:dyDescent="0.25">
      <c r="A9002" s="2" t="str">
        <f t="shared" si="331"/>
        <v>35620</v>
      </c>
      <c r="B9002" s="2" t="str">
        <f>"11243"</f>
        <v>11243</v>
      </c>
      <c r="C9002" s="1">
        <v>2.2767602373653098E-5</v>
      </c>
      <c r="D9002" s="1">
        <v>2.2089331711812699E-5</v>
      </c>
      <c r="E9002" s="1">
        <v>5.2408337817157703E-6</v>
      </c>
      <c r="F9002" s="1">
        <v>2.16444750673684E-5</v>
      </c>
    </row>
    <row r="9003" spans="1:6" x14ac:dyDescent="0.25">
      <c r="A9003" s="2" t="str">
        <f t="shared" si="331"/>
        <v>35620</v>
      </c>
      <c r="B9003" s="2" t="str">
        <f>"11221"</f>
        <v>11221</v>
      </c>
      <c r="C9003" s="1">
        <v>4.1410909563226496E-3</v>
      </c>
      <c r="D9003" s="1">
        <v>1.7757368326107199E-3</v>
      </c>
      <c r="E9003" s="1">
        <v>8.5338243412271895E-3</v>
      </c>
      <c r="F9003" s="1">
        <v>4.2033782781565401E-3</v>
      </c>
    </row>
    <row r="9004" spans="1:6" x14ac:dyDescent="0.25">
      <c r="A9004" s="2" t="str">
        <f t="shared" si="331"/>
        <v>35620</v>
      </c>
      <c r="B9004" s="2" t="str">
        <f>"11229"</f>
        <v>11229</v>
      </c>
      <c r="C9004" s="1">
        <v>3.7035299861142498E-3</v>
      </c>
      <c r="D9004" s="1">
        <v>2.63476639918122E-3</v>
      </c>
      <c r="E9004" s="1">
        <v>2.1731990748181402E-3</v>
      </c>
      <c r="F9004" s="1">
        <v>3.51818210175916E-3</v>
      </c>
    </row>
    <row r="9005" spans="1:6" x14ac:dyDescent="0.25">
      <c r="A9005" s="2" t="str">
        <f t="shared" si="331"/>
        <v>35620</v>
      </c>
      <c r="B9005" s="2" t="str">
        <f>"11228"</f>
        <v>11228</v>
      </c>
      <c r="C9005" s="1">
        <v>1.5177157451158199E-3</v>
      </c>
      <c r="D9005" s="1">
        <v>1.0161092587433801E-3</v>
      </c>
      <c r="E9005" s="1">
        <v>1.27002871976912E-3</v>
      </c>
      <c r="F9005" s="1">
        <v>1.45930446115973E-3</v>
      </c>
    </row>
    <row r="9006" spans="1:6" x14ac:dyDescent="0.25">
      <c r="A9006" s="2" t="str">
        <f t="shared" si="331"/>
        <v>35620</v>
      </c>
      <c r="B9006" s="2" t="str">
        <f>"11203"</f>
        <v>11203</v>
      </c>
      <c r="C9006" s="1">
        <v>2.93540333554083E-3</v>
      </c>
      <c r="D9006" s="1">
        <v>2.1966613202302602E-3</v>
      </c>
      <c r="E9006" s="1">
        <v>4.1280300753981196E-3</v>
      </c>
      <c r="F9006" s="1">
        <v>2.9439669102660302E-3</v>
      </c>
    </row>
    <row r="9007" spans="1:6" x14ac:dyDescent="0.25">
      <c r="A9007" s="2" t="str">
        <f t="shared" si="331"/>
        <v>35620</v>
      </c>
      <c r="B9007" s="2" t="str">
        <f>"11214"</f>
        <v>11214</v>
      </c>
      <c r="C9007" s="1">
        <v>3.91938676271691E-3</v>
      </c>
      <c r="D9007" s="1">
        <v>2.33901479126195E-3</v>
      </c>
      <c r="E9007" s="1">
        <v>7.06115004856505E-3</v>
      </c>
      <c r="F9007" s="1">
        <v>3.9735648811177202E-3</v>
      </c>
    </row>
    <row r="9008" spans="1:6" x14ac:dyDescent="0.25">
      <c r="A9008" s="2" t="str">
        <f t="shared" si="331"/>
        <v>35620</v>
      </c>
      <c r="B9008" s="2" t="str">
        <f>"11215"</f>
        <v>11215</v>
      </c>
      <c r="C9008" s="1">
        <v>3.7002952447934001E-3</v>
      </c>
      <c r="D9008" s="1">
        <v>3.4140289345701699E-3</v>
      </c>
      <c r="E9008" s="1">
        <v>1.0141013367619999E-2</v>
      </c>
      <c r="F9008" s="1">
        <v>4.0667210042017801E-3</v>
      </c>
    </row>
    <row r="9009" spans="1:6" x14ac:dyDescent="0.25">
      <c r="A9009" s="2" t="str">
        <f t="shared" si="331"/>
        <v>35620</v>
      </c>
      <c r="B9009" s="2" t="str">
        <f>"11212"</f>
        <v>11212</v>
      </c>
      <c r="C9009" s="1">
        <v>4.1159595045222302E-3</v>
      </c>
      <c r="D9009" s="1">
        <v>2.0862146616711999E-3</v>
      </c>
      <c r="E9009" s="1">
        <v>7.4332492470668803E-3</v>
      </c>
      <c r="F9009" s="1">
        <v>4.14194616509768E-3</v>
      </c>
    </row>
    <row r="9010" spans="1:6" x14ac:dyDescent="0.25">
      <c r="A9010" s="2" t="str">
        <f t="shared" si="331"/>
        <v>35620</v>
      </c>
      <c r="B9010" s="2" t="str">
        <f>"11213"</f>
        <v>11213</v>
      </c>
      <c r="C9010" s="1">
        <v>3.1543704403366201E-3</v>
      </c>
      <c r="D9010" s="1">
        <v>1.6800163951928701E-3</v>
      </c>
      <c r="E9010" s="1">
        <v>4.7988567994577402E-3</v>
      </c>
      <c r="F9010" s="1">
        <v>3.12677784429091E-3</v>
      </c>
    </row>
    <row r="9011" spans="1:6" x14ac:dyDescent="0.25">
      <c r="A9011" s="2" t="str">
        <f t="shared" si="331"/>
        <v>35620</v>
      </c>
      <c r="B9011" s="2" t="str">
        <f>"11104"</f>
        <v>11104</v>
      </c>
      <c r="C9011" s="1">
        <v>1.6147579847412201E-3</v>
      </c>
      <c r="D9011" s="1">
        <v>9.4493252322754495E-4</v>
      </c>
      <c r="E9011" s="1">
        <v>1.6438748628648399E-3</v>
      </c>
      <c r="F9011" s="1">
        <v>1.55861440558648E-3</v>
      </c>
    </row>
    <row r="9012" spans="1:6" x14ac:dyDescent="0.25">
      <c r="A9012" s="2" t="str">
        <f t="shared" si="331"/>
        <v>35620</v>
      </c>
      <c r="B9012" s="2" t="str">
        <f>"11207"</f>
        <v>11207</v>
      </c>
      <c r="C9012" s="1">
        <v>3.8856708051034699E-3</v>
      </c>
      <c r="D9012" s="1">
        <v>2.7869373509737099E-3</v>
      </c>
      <c r="E9012" s="1">
        <v>8.8325518667849903E-3</v>
      </c>
      <c r="F9012" s="1">
        <v>4.0911240888365603E-3</v>
      </c>
    </row>
    <row r="9013" spans="1:6" x14ac:dyDescent="0.25">
      <c r="A9013" s="2" t="str">
        <f t="shared" si="331"/>
        <v>35620</v>
      </c>
      <c r="B9013" s="2" t="str">
        <f>"11101"</f>
        <v>11101</v>
      </c>
      <c r="C9013" s="1">
        <v>3.0297084863562902E-3</v>
      </c>
      <c r="D9013" s="1">
        <v>6.32859353543435E-3</v>
      </c>
      <c r="E9013" s="1">
        <v>3.2912436149174999E-3</v>
      </c>
      <c r="F9013" s="1">
        <v>3.3308088519112601E-3</v>
      </c>
    </row>
    <row r="9014" spans="1:6" x14ac:dyDescent="0.25">
      <c r="A9014" s="2" t="str">
        <f t="shared" si="331"/>
        <v>35620</v>
      </c>
      <c r="B9014" s="2" t="str">
        <f>"11042"</f>
        <v>11042</v>
      </c>
      <c r="C9014" s="1">
        <v>0</v>
      </c>
      <c r="D9014" s="1">
        <v>7.3017513158492103E-4</v>
      </c>
      <c r="E9014" s="1">
        <v>1.01322786446505E-4</v>
      </c>
      <c r="F9014" s="1">
        <v>6.9283540289174396E-5</v>
      </c>
    </row>
    <row r="9015" spans="1:6" x14ac:dyDescent="0.25">
      <c r="A9015" s="2" t="str">
        <f t="shared" si="331"/>
        <v>35620</v>
      </c>
      <c r="B9015" s="2" t="str">
        <f>"10707"</f>
        <v>10707</v>
      </c>
      <c r="C9015" s="1">
        <v>6.03154843210221E-4</v>
      </c>
      <c r="D9015" s="1">
        <v>5.6941388412672805E-4</v>
      </c>
      <c r="E9015" s="1">
        <v>5.0836087682642995E-4</v>
      </c>
      <c r="F9015" s="1">
        <v>5.9448036177679004E-4</v>
      </c>
    </row>
    <row r="9016" spans="1:6" x14ac:dyDescent="0.25">
      <c r="A9016" s="2" t="str">
        <f t="shared" ref="A9016:A9079" si="332">"35620"</f>
        <v>35620</v>
      </c>
      <c r="B9016" s="2" t="str">
        <f>"11030"</f>
        <v>11030</v>
      </c>
      <c r="C9016" s="1">
        <v>8.6715950024241796E-4</v>
      </c>
      <c r="D9016" s="1">
        <v>1.2149132441497E-3</v>
      </c>
      <c r="E9016" s="1">
        <v>2.0963335126863099E-4</v>
      </c>
      <c r="F9016" s="1">
        <v>8.5729097325655296E-4</v>
      </c>
    </row>
    <row r="9017" spans="1:6" x14ac:dyDescent="0.25">
      <c r="A9017" s="2" t="str">
        <f t="shared" si="332"/>
        <v>35620</v>
      </c>
      <c r="B9017" s="2" t="str">
        <f>"11010"</f>
        <v>11010</v>
      </c>
      <c r="C9017" s="1">
        <v>9.7154211440359298E-4</v>
      </c>
      <c r="D9017" s="1">
        <v>1.01120051836298E-3</v>
      </c>
      <c r="E9017" s="1">
        <v>1.9216390532957801E-4</v>
      </c>
      <c r="F9017" s="1">
        <v>9.2763551722549996E-4</v>
      </c>
    </row>
    <row r="9018" spans="1:6" x14ac:dyDescent="0.25">
      <c r="A9018" s="2" t="str">
        <f t="shared" si="332"/>
        <v>35620</v>
      </c>
      <c r="B9018" s="2" t="str">
        <f>"11005"</f>
        <v>11005</v>
      </c>
      <c r="C9018" s="1">
        <v>2.4733329791706198E-4</v>
      </c>
      <c r="D9018" s="1">
        <v>2.8225257187316299E-5</v>
      </c>
      <c r="E9018" s="1">
        <v>4.3673614847631399E-5</v>
      </c>
      <c r="F9018" s="1">
        <v>2.1602034920177501E-4</v>
      </c>
    </row>
    <row r="9019" spans="1:6" x14ac:dyDescent="0.25">
      <c r="A9019" s="2" t="str">
        <f t="shared" si="332"/>
        <v>35620</v>
      </c>
      <c r="B9019" s="2" t="str">
        <f>"11003"</f>
        <v>11003</v>
      </c>
      <c r="C9019" s="1">
        <v>1.34826506515453E-3</v>
      </c>
      <c r="D9019" s="1">
        <v>1.1069209557808301E-3</v>
      </c>
      <c r="E9019" s="1">
        <v>2.7077641205531502E-4</v>
      </c>
      <c r="F9019" s="1">
        <v>1.2619577767219599E-3</v>
      </c>
    </row>
    <row r="9020" spans="1:6" x14ac:dyDescent="0.25">
      <c r="A9020" s="2" t="str">
        <f t="shared" si="332"/>
        <v>35620</v>
      </c>
      <c r="B9020" s="2" t="str">
        <f>"11040"</f>
        <v>11040</v>
      </c>
      <c r="C9020" s="1">
        <v>1.7772415295499199E-3</v>
      </c>
      <c r="D9020" s="1">
        <v>1.8370960873657599E-3</v>
      </c>
      <c r="E9020" s="1">
        <v>2.9698058096389398E-4</v>
      </c>
      <c r="F9020" s="1">
        <v>1.69251306997382E-3</v>
      </c>
    </row>
    <row r="9021" spans="1:6" x14ac:dyDescent="0.25">
      <c r="A9021" s="2" t="str">
        <f t="shared" si="332"/>
        <v>35620</v>
      </c>
      <c r="B9021" s="2" t="str">
        <f>"10974"</f>
        <v>10974</v>
      </c>
      <c r="C9021" s="1">
        <v>1.4854927450350699E-4</v>
      </c>
      <c r="D9021" s="1">
        <v>1.2149132441497001E-4</v>
      </c>
      <c r="E9021" s="1">
        <v>5.4155282411062999E-5</v>
      </c>
      <c r="F9021" s="1">
        <v>1.4047688720194001E-4</v>
      </c>
    </row>
    <row r="9022" spans="1:6" x14ac:dyDescent="0.25">
      <c r="A9022" s="2" t="str">
        <f t="shared" si="332"/>
        <v>35620</v>
      </c>
      <c r="B9022" s="2" t="str">
        <f>"10970"</f>
        <v>10970</v>
      </c>
      <c r="C9022" s="1">
        <v>5.8648348409508699E-4</v>
      </c>
      <c r="D9022" s="1">
        <v>6.7617898740048997E-4</v>
      </c>
      <c r="E9022" s="1">
        <v>2.9698058096389398E-4</v>
      </c>
      <c r="F9022" s="1">
        <v>5.7665549995660403E-4</v>
      </c>
    </row>
    <row r="9023" spans="1:6" x14ac:dyDescent="0.25">
      <c r="A9023" s="2" t="str">
        <f t="shared" si="332"/>
        <v>35620</v>
      </c>
      <c r="B9023" s="2" t="str">
        <f>"10968"</f>
        <v>10968</v>
      </c>
      <c r="C9023" s="1">
        <v>1.6024410850964599E-4</v>
      </c>
      <c r="D9023" s="1">
        <v>1.3621754555617801E-4</v>
      </c>
      <c r="E9023" s="1">
        <v>1.8168223776614701E-4</v>
      </c>
      <c r="F9023" s="1">
        <v>1.5946885306987601E-4</v>
      </c>
    </row>
    <row r="9024" spans="1:6" x14ac:dyDescent="0.25">
      <c r="A9024" s="2" t="str">
        <f t="shared" si="332"/>
        <v>35620</v>
      </c>
      <c r="B9024" s="2" t="str">
        <f>"10703"</f>
        <v>10703</v>
      </c>
      <c r="C9024" s="1">
        <v>1.05552097561788E-3</v>
      </c>
      <c r="D9024" s="1">
        <v>6.14819732645455E-4</v>
      </c>
      <c r="E9024" s="1">
        <v>1.7836304303772701E-3</v>
      </c>
      <c r="F9024" s="1">
        <v>1.06164028198082E-3</v>
      </c>
    </row>
    <row r="9025" spans="1:6" x14ac:dyDescent="0.25">
      <c r="A9025" s="2" t="str">
        <f t="shared" si="332"/>
        <v>35620</v>
      </c>
      <c r="B9025" s="2" t="str">
        <f>"10598"</f>
        <v>10598</v>
      </c>
      <c r="C9025" s="1">
        <v>1.4069880614406699E-3</v>
      </c>
      <c r="D9025" s="1">
        <v>1.19895983791339E-3</v>
      </c>
      <c r="E9025" s="1">
        <v>7.3721061862801901E-4</v>
      </c>
      <c r="F9025" s="1">
        <v>1.3483234762554799E-3</v>
      </c>
    </row>
    <row r="9026" spans="1:6" x14ac:dyDescent="0.25">
      <c r="A9026" s="2" t="str">
        <f t="shared" si="332"/>
        <v>35620</v>
      </c>
      <c r="B9026" s="2" t="str">
        <f>"10501"</f>
        <v>10501</v>
      </c>
      <c r="C9026" s="1">
        <v>5.2253513644449899E-5</v>
      </c>
      <c r="D9026" s="1">
        <v>2.4543701902014099E-6</v>
      </c>
      <c r="E9026" s="1">
        <v>5.2408337817157703E-6</v>
      </c>
      <c r="F9026" s="1">
        <v>4.5092656390350799E-5</v>
      </c>
    </row>
    <row r="9027" spans="1:6" x14ac:dyDescent="0.25">
      <c r="A9027" s="2" t="str">
        <f t="shared" si="332"/>
        <v>35620</v>
      </c>
      <c r="B9027" s="2" t="str">
        <f>"10475"</f>
        <v>10475</v>
      </c>
      <c r="C9027" s="1">
        <v>2.6481334236240798E-3</v>
      </c>
      <c r="D9027" s="1">
        <v>9.85429631365869E-4</v>
      </c>
      <c r="E9027" s="1">
        <v>1.2717756643630201E-3</v>
      </c>
      <c r="F9027" s="1">
        <v>2.4207859957699899E-3</v>
      </c>
    </row>
    <row r="9028" spans="1:6" x14ac:dyDescent="0.25">
      <c r="A9028" s="2" t="str">
        <f t="shared" si="332"/>
        <v>35620</v>
      </c>
      <c r="B9028" s="2" t="str">
        <f>"10587"</f>
        <v>10587</v>
      </c>
      <c r="C9028" s="1">
        <v>6.9173699015033705E-5</v>
      </c>
      <c r="D9028" s="1">
        <v>1.7180591331409899E-5</v>
      </c>
      <c r="E9028" s="1">
        <v>3.4938891878105101E-6</v>
      </c>
      <c r="F9028" s="1">
        <v>6.0689410483013399E-5</v>
      </c>
    </row>
    <row r="9029" spans="1:6" x14ac:dyDescent="0.25">
      <c r="A9029" s="2" t="str">
        <f t="shared" si="332"/>
        <v>35620</v>
      </c>
      <c r="B9029" s="2" t="str">
        <f>"10577"</f>
        <v>10577</v>
      </c>
      <c r="C9029" s="1">
        <v>1.6770889617313901E-4</v>
      </c>
      <c r="D9029" s="1">
        <v>6.1850128793075696E-4</v>
      </c>
      <c r="E9029" s="1">
        <v>8.5600285101357704E-5</v>
      </c>
      <c r="F9029" s="1">
        <v>2.0169679952484001E-4</v>
      </c>
    </row>
    <row r="9030" spans="1:6" x14ac:dyDescent="0.25">
      <c r="A9030" s="2" t="str">
        <f t="shared" si="332"/>
        <v>35620</v>
      </c>
      <c r="B9030" s="2" t="str">
        <f>"10589"</f>
        <v>10589</v>
      </c>
      <c r="C9030" s="1">
        <v>5.6682620991455599E-4</v>
      </c>
      <c r="D9030" s="1">
        <v>4.83510927469679E-4</v>
      </c>
      <c r="E9030" s="1">
        <v>1.0656362022821999E-3</v>
      </c>
      <c r="F9030" s="1">
        <v>5.8991804595376601E-4</v>
      </c>
    </row>
    <row r="9031" spans="1:6" x14ac:dyDescent="0.25">
      <c r="A9031" s="2" t="str">
        <f t="shared" si="332"/>
        <v>35620</v>
      </c>
      <c r="B9031" s="2" t="str">
        <f>"10542"</f>
        <v>10542</v>
      </c>
      <c r="C9031" s="1">
        <v>5.5861494348471398E-5</v>
      </c>
      <c r="D9031" s="1">
        <v>8.9584511942351699E-5</v>
      </c>
      <c r="E9031" s="1">
        <v>3.4938891878105101E-6</v>
      </c>
      <c r="F9031" s="1">
        <v>5.5596592820103202E-5</v>
      </c>
    </row>
    <row r="9032" spans="1:6" x14ac:dyDescent="0.25">
      <c r="A9032" s="2" t="str">
        <f t="shared" si="332"/>
        <v>35620</v>
      </c>
      <c r="B9032" s="2" t="str">
        <f>"10511"</f>
        <v>10511</v>
      </c>
      <c r="C9032" s="1">
        <v>1.1931218948816E-4</v>
      </c>
      <c r="D9032" s="1">
        <v>2.8347975696826297E-4</v>
      </c>
      <c r="E9032" s="1">
        <v>1.67706681014904E-4</v>
      </c>
      <c r="F9032" s="1">
        <v>1.3644507321880199E-4</v>
      </c>
    </row>
    <row r="9033" spans="1:6" x14ac:dyDescent="0.25">
      <c r="A9033" s="2" t="str">
        <f t="shared" si="332"/>
        <v>35620</v>
      </c>
      <c r="B9033" s="2" t="str">
        <f>"10523"</f>
        <v>10523</v>
      </c>
      <c r="C9033" s="1">
        <v>4.9815016341042196E-4</v>
      </c>
      <c r="D9033" s="1">
        <v>1.65301832310065E-3</v>
      </c>
      <c r="E9033" s="1">
        <v>7.3895756322192401E-4</v>
      </c>
      <c r="F9033" s="1">
        <v>6.1262352470090801E-4</v>
      </c>
    </row>
    <row r="9034" spans="1:6" x14ac:dyDescent="0.25">
      <c r="A9034" s="2" t="str">
        <f t="shared" si="332"/>
        <v>35620</v>
      </c>
      <c r="B9034" s="2" t="str">
        <f>"10463"</f>
        <v>10463</v>
      </c>
      <c r="C9034" s="1">
        <v>4.2880228601657397E-3</v>
      </c>
      <c r="D9034" s="1">
        <v>1.5904318832505101E-3</v>
      </c>
      <c r="E9034" s="1">
        <v>2.4562040990307901E-3</v>
      </c>
      <c r="F9034" s="1">
        <v>3.9435384769801402E-3</v>
      </c>
    </row>
    <row r="9035" spans="1:6" x14ac:dyDescent="0.25">
      <c r="A9035" s="2" t="str">
        <f t="shared" si="332"/>
        <v>35620</v>
      </c>
      <c r="B9035" s="2" t="str">
        <f>"10304"</f>
        <v>10304</v>
      </c>
      <c r="C9035" s="1">
        <v>2.0084011208627499E-3</v>
      </c>
      <c r="D9035" s="1">
        <v>1.09464910482983E-3</v>
      </c>
      <c r="E9035" s="1">
        <v>1.35562900487048E-3</v>
      </c>
      <c r="F9035" s="1">
        <v>1.8897536540436199E-3</v>
      </c>
    </row>
    <row r="9036" spans="1:6" x14ac:dyDescent="0.25">
      <c r="A9036" s="2" t="str">
        <f t="shared" si="332"/>
        <v>35620</v>
      </c>
      <c r="B9036" s="2" t="str">
        <f>"10285"</f>
        <v>10285</v>
      </c>
      <c r="C9036" s="1">
        <v>0</v>
      </c>
      <c r="D9036" s="1">
        <v>1.2271850951007001E-6</v>
      </c>
      <c r="E9036" s="1">
        <v>1.74694459390525E-6</v>
      </c>
      <c r="F9036" s="1">
        <v>2.12200735954592E-7</v>
      </c>
    </row>
    <row r="9037" spans="1:6" x14ac:dyDescent="0.25">
      <c r="A9037" s="2" t="str">
        <f t="shared" si="332"/>
        <v>35620</v>
      </c>
      <c r="B9037" s="2" t="str">
        <f>"10258"</f>
        <v>10258</v>
      </c>
      <c r="C9037" s="1">
        <v>0</v>
      </c>
      <c r="D9037" s="1">
        <v>0</v>
      </c>
      <c r="E9037" s="1">
        <v>1.74694459390525E-6</v>
      </c>
      <c r="F9037" s="1">
        <v>1.06100367977296E-7</v>
      </c>
    </row>
    <row r="9038" spans="1:6" x14ac:dyDescent="0.25">
      <c r="A9038" s="2" t="str">
        <f t="shared" si="332"/>
        <v>35620</v>
      </c>
      <c r="B9038" s="2" t="str">
        <f>"10212"</f>
        <v>10212</v>
      </c>
      <c r="C9038" s="1">
        <v>0</v>
      </c>
      <c r="D9038" s="1">
        <v>0</v>
      </c>
      <c r="E9038" s="1">
        <v>1.74694459390525E-6</v>
      </c>
      <c r="F9038" s="1">
        <v>1.06100367977296E-7</v>
      </c>
    </row>
    <row r="9039" spans="1:6" x14ac:dyDescent="0.25">
      <c r="A9039" s="2" t="str">
        <f t="shared" si="332"/>
        <v>35620</v>
      </c>
      <c r="B9039" s="2" t="str">
        <f>"10203"</f>
        <v>10203</v>
      </c>
      <c r="C9039" s="1">
        <v>0</v>
      </c>
      <c r="D9039" s="1">
        <v>0</v>
      </c>
      <c r="E9039" s="1">
        <v>1.74694459390525E-6</v>
      </c>
      <c r="F9039" s="1">
        <v>1.06100367977296E-7</v>
      </c>
    </row>
    <row r="9040" spans="1:6" x14ac:dyDescent="0.25">
      <c r="A9040" s="2" t="str">
        <f t="shared" si="332"/>
        <v>35620</v>
      </c>
      <c r="B9040" s="2" t="str">
        <f>"10130"</f>
        <v>10130</v>
      </c>
      <c r="C9040" s="1">
        <v>0</v>
      </c>
      <c r="D9040" s="1">
        <v>0</v>
      </c>
      <c r="E9040" s="1">
        <v>1.74694459390525E-6</v>
      </c>
      <c r="F9040" s="1">
        <v>1.06100367977296E-7</v>
      </c>
    </row>
    <row r="9041" spans="1:6" x14ac:dyDescent="0.25">
      <c r="A9041" s="2" t="str">
        <f t="shared" si="332"/>
        <v>35620</v>
      </c>
      <c r="B9041" s="2" t="str">
        <f>"10178"</f>
        <v>10178</v>
      </c>
      <c r="C9041" s="1">
        <v>0</v>
      </c>
      <c r="D9041" s="1">
        <v>7.24039206109418E-5</v>
      </c>
      <c r="E9041" s="1">
        <v>1.22286121573368E-5</v>
      </c>
      <c r="F9041" s="1">
        <v>7.0026242865015501E-6</v>
      </c>
    </row>
    <row r="9042" spans="1:6" x14ac:dyDescent="0.25">
      <c r="A9042" s="2" t="str">
        <f t="shared" si="332"/>
        <v>35620</v>
      </c>
      <c r="B9042" s="2" t="str">
        <f>"10279"</f>
        <v>10279</v>
      </c>
      <c r="C9042" s="1">
        <v>0</v>
      </c>
      <c r="D9042" s="1">
        <v>1.37444730651279E-4</v>
      </c>
      <c r="E9042" s="1">
        <v>1.3975556751242E-5</v>
      </c>
      <c r="F9042" s="1">
        <v>1.27320441572755E-5</v>
      </c>
    </row>
    <row r="9043" spans="1:6" x14ac:dyDescent="0.25">
      <c r="A9043" s="2" t="str">
        <f t="shared" si="332"/>
        <v>35620</v>
      </c>
      <c r="B9043" s="2" t="str">
        <f>"10176"</f>
        <v>10176</v>
      </c>
      <c r="C9043" s="1">
        <v>0</v>
      </c>
      <c r="D9043" s="1">
        <v>2.3439235316423501E-4</v>
      </c>
      <c r="E9043" s="1">
        <v>1.92163905329578E-5</v>
      </c>
      <c r="F9043" s="1">
        <v>2.1432274331413801E-5</v>
      </c>
    </row>
    <row r="9044" spans="1:6" x14ac:dyDescent="0.25">
      <c r="A9044" s="2" t="str">
        <f t="shared" si="332"/>
        <v>35620</v>
      </c>
      <c r="B9044" s="2" t="str">
        <f>"10174"</f>
        <v>10174</v>
      </c>
      <c r="C9044" s="1">
        <v>0</v>
      </c>
      <c r="D9044" s="1">
        <v>4.3074196838034803E-4</v>
      </c>
      <c r="E9044" s="1">
        <v>1.92163905329578E-5</v>
      </c>
      <c r="F9044" s="1">
        <v>3.84083332077812E-5</v>
      </c>
    </row>
    <row r="9045" spans="1:6" x14ac:dyDescent="0.25">
      <c r="A9045" s="2" t="str">
        <f t="shared" si="332"/>
        <v>35620</v>
      </c>
      <c r="B9045" s="2" t="str">
        <f>"10155"</f>
        <v>10155</v>
      </c>
      <c r="C9045" s="1">
        <v>0</v>
      </c>
      <c r="D9045" s="1">
        <v>1.37444730651279E-4</v>
      </c>
      <c r="E9045" s="1">
        <v>3.1445002690294603E-5</v>
      </c>
      <c r="F9045" s="1">
        <v>1.3793047837048501E-5</v>
      </c>
    </row>
    <row r="9046" spans="1:6" x14ac:dyDescent="0.25">
      <c r="A9046" s="2" t="str">
        <f t="shared" si="332"/>
        <v>35620</v>
      </c>
      <c r="B9046" s="2" t="str">
        <f>"10460"</f>
        <v>10460</v>
      </c>
      <c r="C9046" s="1">
        <v>2.9350300961576599E-3</v>
      </c>
      <c r="D9046" s="1">
        <v>1.28118123928514E-3</v>
      </c>
      <c r="E9046" s="1">
        <v>2.9820344217962699E-3</v>
      </c>
      <c r="F9046" s="1">
        <v>2.7948958932579298E-3</v>
      </c>
    </row>
    <row r="9047" spans="1:6" x14ac:dyDescent="0.25">
      <c r="A9047" s="2" t="str">
        <f t="shared" si="332"/>
        <v>35620</v>
      </c>
      <c r="B9047" s="2" t="str">
        <f>"10124"</f>
        <v>10124</v>
      </c>
      <c r="C9047" s="1">
        <v>0</v>
      </c>
      <c r="D9047" s="1">
        <v>0</v>
      </c>
      <c r="E9047" s="1">
        <v>1.74694459390525E-6</v>
      </c>
      <c r="F9047" s="1">
        <v>1.06100367977296E-7</v>
      </c>
    </row>
    <row r="9048" spans="1:6" x14ac:dyDescent="0.25">
      <c r="A9048" s="2" t="str">
        <f t="shared" si="332"/>
        <v>35620</v>
      </c>
      <c r="B9048" s="2" t="str">
        <f>"10123"</f>
        <v>10123</v>
      </c>
      <c r="C9048" s="1">
        <v>0</v>
      </c>
      <c r="D9048" s="1">
        <v>2.2825642768873101E-4</v>
      </c>
      <c r="E9048" s="1">
        <v>4.3673614847631399E-5</v>
      </c>
      <c r="F9048" s="1">
        <v>2.23871776432095E-5</v>
      </c>
    </row>
    <row r="9049" spans="1:6" x14ac:dyDescent="0.25">
      <c r="A9049" s="2" t="str">
        <f t="shared" si="332"/>
        <v>35620</v>
      </c>
      <c r="B9049" s="2" t="str">
        <f>"10101"</f>
        <v>10101</v>
      </c>
      <c r="C9049" s="1">
        <v>1.32748807282447E-4</v>
      </c>
      <c r="D9049" s="1">
        <v>3.5588367757920502E-4</v>
      </c>
      <c r="E9049" s="1">
        <v>3.4938891878105101E-6</v>
      </c>
      <c r="F9049" s="1">
        <v>1.4419040008114501E-4</v>
      </c>
    </row>
    <row r="9050" spans="1:6" x14ac:dyDescent="0.25">
      <c r="A9050" s="2" t="str">
        <f t="shared" si="332"/>
        <v>35620</v>
      </c>
      <c r="B9050" s="2" t="str">
        <f>"10044"</f>
        <v>10044</v>
      </c>
      <c r="C9050" s="1">
        <v>8.7599283231088495E-4</v>
      </c>
      <c r="D9050" s="1">
        <v>1.0553791817866E-4</v>
      </c>
      <c r="E9050" s="1">
        <v>2.7427030124312502E-4</v>
      </c>
      <c r="F9050" s="1">
        <v>7.7283508034662501E-4</v>
      </c>
    </row>
    <row r="9051" spans="1:6" x14ac:dyDescent="0.25">
      <c r="A9051" s="2" t="str">
        <f t="shared" si="332"/>
        <v>35620</v>
      </c>
      <c r="B9051" s="2" t="str">
        <f>"10310"</f>
        <v>10310</v>
      </c>
      <c r="C9051" s="1">
        <v>1.0642298945586299E-3</v>
      </c>
      <c r="D9051" s="1">
        <v>9.5475000398835097E-4</v>
      </c>
      <c r="E9051" s="1">
        <v>8.1232923616594496E-4</v>
      </c>
      <c r="F9051" s="1">
        <v>1.03946530507357E-3</v>
      </c>
    </row>
    <row r="9052" spans="1:6" x14ac:dyDescent="0.25">
      <c r="A9052" s="2" t="str">
        <f t="shared" si="332"/>
        <v>35620</v>
      </c>
      <c r="B9052" s="2" t="str">
        <f>"10034"</f>
        <v>10034</v>
      </c>
      <c r="C9052" s="1">
        <v>2.27912408679209E-3</v>
      </c>
      <c r="D9052" s="1">
        <v>1.2161404292448E-3</v>
      </c>
      <c r="E9052" s="1">
        <v>1.6718259763673299E-3</v>
      </c>
      <c r="F9052" s="1">
        <v>2.1503361577958598E-3</v>
      </c>
    </row>
    <row r="9053" spans="1:6" x14ac:dyDescent="0.25">
      <c r="A9053" s="2" t="str">
        <f t="shared" si="332"/>
        <v>35620</v>
      </c>
      <c r="B9053" s="2" t="str">
        <f>"10033"</f>
        <v>10033</v>
      </c>
      <c r="C9053" s="1">
        <v>2.67786816115033E-3</v>
      </c>
      <c r="D9053" s="1">
        <v>1.6027037342015199E-3</v>
      </c>
      <c r="E9053" s="1">
        <v>2.3391588112391401E-3</v>
      </c>
      <c r="F9053" s="1">
        <v>2.5643397936432701E-3</v>
      </c>
    </row>
    <row r="9054" spans="1:6" x14ac:dyDescent="0.25">
      <c r="A9054" s="2" t="str">
        <f t="shared" si="332"/>
        <v>35620</v>
      </c>
      <c r="B9054" s="2" t="str">
        <f>"10028"</f>
        <v>10028</v>
      </c>
      <c r="C9054" s="1">
        <v>3.57799714023984E-3</v>
      </c>
      <c r="D9054" s="1">
        <v>2.1267117698095198E-3</v>
      </c>
      <c r="E9054" s="1">
        <v>3.8275556052464201E-3</v>
      </c>
      <c r="F9054" s="1">
        <v>3.4676783266019699E-3</v>
      </c>
    </row>
    <row r="9055" spans="1:6" x14ac:dyDescent="0.25">
      <c r="A9055" s="2" t="str">
        <f t="shared" si="332"/>
        <v>35620</v>
      </c>
      <c r="B9055" s="2" t="str">
        <f>"10030"</f>
        <v>10030</v>
      </c>
      <c r="C9055" s="1">
        <v>1.8999128734866499E-3</v>
      </c>
      <c r="D9055" s="1">
        <v>6.9826831911230303E-4</v>
      </c>
      <c r="E9055" s="1">
        <v>2.3129546423305601E-3</v>
      </c>
      <c r="F9055" s="1">
        <v>1.8211067159623099E-3</v>
      </c>
    </row>
    <row r="9056" spans="1:6" x14ac:dyDescent="0.25">
      <c r="A9056" s="2" t="str">
        <f t="shared" si="332"/>
        <v>35620</v>
      </c>
      <c r="B9056" s="2" t="str">
        <f>"10032"</f>
        <v>10032</v>
      </c>
      <c r="C9056" s="1">
        <v>3.1894549423550399E-3</v>
      </c>
      <c r="D9056" s="1">
        <v>1.38303760217849E-3</v>
      </c>
      <c r="E9056" s="1">
        <v>2.73920912324344E-3</v>
      </c>
      <c r="F9056" s="1">
        <v>3.0059295251647698E-3</v>
      </c>
    </row>
    <row r="9057" spans="1:6" x14ac:dyDescent="0.25">
      <c r="A9057" s="2" t="str">
        <f t="shared" si="332"/>
        <v>35620</v>
      </c>
      <c r="B9057" s="2" t="str">
        <f>"10016"</f>
        <v>10016</v>
      </c>
      <c r="C9057" s="1">
        <v>4.7890345255138297E-3</v>
      </c>
      <c r="D9057" s="1">
        <v>7.5287805584428403E-3</v>
      </c>
      <c r="E9057" s="1">
        <v>4.3429042604484699E-3</v>
      </c>
      <c r="F9057" s="1">
        <v>4.9988127368823304E-3</v>
      </c>
    </row>
    <row r="9058" spans="1:6" x14ac:dyDescent="0.25">
      <c r="A9058" s="2" t="str">
        <f t="shared" si="332"/>
        <v>35620</v>
      </c>
      <c r="B9058" s="2" t="str">
        <f>"08899"</f>
        <v>08899</v>
      </c>
      <c r="C9058" s="1">
        <v>0</v>
      </c>
      <c r="D9058" s="1">
        <v>1.2271850951007001E-6</v>
      </c>
      <c r="E9058" s="1">
        <v>0</v>
      </c>
      <c r="F9058" s="1">
        <v>1.06100367977296E-7</v>
      </c>
    </row>
    <row r="9059" spans="1:6" x14ac:dyDescent="0.25">
      <c r="A9059" s="2" t="str">
        <f t="shared" si="332"/>
        <v>35620</v>
      </c>
      <c r="B9059" s="2" t="str">
        <f>"08804"</f>
        <v>08804</v>
      </c>
      <c r="C9059" s="1">
        <v>1.0475585354434901E-4</v>
      </c>
      <c r="D9059" s="1">
        <v>2.6998072092215499E-5</v>
      </c>
      <c r="E9059" s="1">
        <v>5.7649171598873501E-5</v>
      </c>
      <c r="F9059" s="1">
        <v>9.5172030075634694E-5</v>
      </c>
    </row>
    <row r="9060" spans="1:6" x14ac:dyDescent="0.25">
      <c r="A9060" s="2" t="str">
        <f t="shared" si="332"/>
        <v>35620</v>
      </c>
      <c r="B9060" s="2" t="str">
        <f>"08753"</f>
        <v>08753</v>
      </c>
      <c r="C9060" s="1">
        <v>3.3706004563224599E-3</v>
      </c>
      <c r="D9060" s="1">
        <v>2.7047159496019599E-3</v>
      </c>
      <c r="E9060" s="1">
        <v>1.35912289405829E-3</v>
      </c>
      <c r="F9060" s="1">
        <v>3.1908624665491999E-3</v>
      </c>
    </row>
    <row r="9061" spans="1:6" x14ac:dyDescent="0.25">
      <c r="A9061" s="2" t="str">
        <f t="shared" si="332"/>
        <v>35620</v>
      </c>
      <c r="B9061" s="2" t="str">
        <f>"08835"</f>
        <v>08835</v>
      </c>
      <c r="C9061" s="1">
        <v>5.89718225415934E-4</v>
      </c>
      <c r="D9061" s="1">
        <v>4.5651285537746299E-4</v>
      </c>
      <c r="E9061" s="1">
        <v>3.8258086606525102E-4</v>
      </c>
      <c r="F9061" s="1">
        <v>5.6562106168696596E-4</v>
      </c>
    </row>
    <row r="9062" spans="1:6" x14ac:dyDescent="0.25">
      <c r="A9062" s="2" t="str">
        <f t="shared" si="332"/>
        <v>35620</v>
      </c>
      <c r="B9062" s="2" t="str">
        <f>"08857"</f>
        <v>08857</v>
      </c>
      <c r="C9062" s="1">
        <v>2.0335325726631701E-3</v>
      </c>
      <c r="D9062" s="1">
        <v>1.50943766697387E-3</v>
      </c>
      <c r="E9062" s="1">
        <v>2.0019985046154198E-3</v>
      </c>
      <c r="F9062" s="1">
        <v>1.9863049889029599E-3</v>
      </c>
    </row>
    <row r="9063" spans="1:6" x14ac:dyDescent="0.25">
      <c r="A9063" s="2" t="str">
        <f t="shared" si="332"/>
        <v>35620</v>
      </c>
      <c r="B9063" s="2" t="str">
        <f>"08853"</f>
        <v>08853</v>
      </c>
      <c r="C9063" s="1">
        <v>2.3339902761187599E-4</v>
      </c>
      <c r="D9063" s="1">
        <v>3.0679627377517703E-5</v>
      </c>
      <c r="E9063" s="1">
        <v>2.0963335126863101E-5</v>
      </c>
      <c r="F9063" s="1">
        <v>2.0297000394056699E-4</v>
      </c>
    </row>
    <row r="9064" spans="1:6" x14ac:dyDescent="0.25">
      <c r="A9064" s="2" t="str">
        <f t="shared" si="332"/>
        <v>35620</v>
      </c>
      <c r="B9064" s="2" t="str">
        <f>"08750"</f>
        <v>08750</v>
      </c>
      <c r="C9064" s="1">
        <v>2.77316861698759E-4</v>
      </c>
      <c r="D9064" s="1">
        <v>3.46066196818399E-4</v>
      </c>
      <c r="E9064" s="1">
        <v>1.3800862291851501E-4</v>
      </c>
      <c r="F9064" s="1">
        <v>2.7479995306119702E-4</v>
      </c>
    </row>
    <row r="9065" spans="1:6" x14ac:dyDescent="0.25">
      <c r="A9065" s="2" t="str">
        <f t="shared" si="332"/>
        <v>35620</v>
      </c>
      <c r="B9065" s="2" t="str">
        <f>"08816"</f>
        <v>08816</v>
      </c>
      <c r="C9065" s="1">
        <v>2.3527766584052201E-3</v>
      </c>
      <c r="D9065" s="1">
        <v>2.7304868365990698E-3</v>
      </c>
      <c r="E9065" s="1">
        <v>1.0761178698456299E-3</v>
      </c>
      <c r="F9065" s="1">
        <v>2.30789520424214E-3</v>
      </c>
    </row>
    <row r="9066" spans="1:6" x14ac:dyDescent="0.25">
      <c r="A9066" s="2" t="str">
        <f t="shared" si="332"/>
        <v>35620</v>
      </c>
      <c r="B9066" s="2" t="str">
        <f>"08559"</f>
        <v>08559</v>
      </c>
      <c r="C9066" s="1">
        <v>2.5430043306965598E-4</v>
      </c>
      <c r="D9066" s="1">
        <v>3.80427379481219E-5</v>
      </c>
      <c r="E9066" s="1">
        <v>6.8130839162305101E-5</v>
      </c>
      <c r="F9066" s="1">
        <v>2.24296177904004E-4</v>
      </c>
    </row>
    <row r="9067" spans="1:6" x14ac:dyDescent="0.25">
      <c r="A9067" s="2" t="str">
        <f t="shared" si="332"/>
        <v>35620</v>
      </c>
      <c r="B9067" s="2" t="str">
        <f>"08501"</f>
        <v>08501</v>
      </c>
      <c r="C9067" s="1">
        <v>3.2534032900056298E-4</v>
      </c>
      <c r="D9067" s="1">
        <v>2.9697879301437101E-4</v>
      </c>
      <c r="E9067" s="1">
        <v>5.5902227004968298E-5</v>
      </c>
      <c r="F9067" s="1">
        <v>3.0652396308640799E-4</v>
      </c>
    </row>
    <row r="9068" spans="1:6" x14ac:dyDescent="0.25">
      <c r="A9068" s="2" t="str">
        <f t="shared" si="332"/>
        <v>35620</v>
      </c>
      <c r="B9068" s="2" t="str">
        <f>"08533"</f>
        <v>08533</v>
      </c>
      <c r="C9068" s="1">
        <v>3.15511691910297E-4</v>
      </c>
      <c r="D9068" s="1">
        <v>1.3376317536597699E-4</v>
      </c>
      <c r="E9068" s="1">
        <v>6.1143060786684003E-5</v>
      </c>
      <c r="F9068" s="1">
        <v>2.8434898617915301E-4</v>
      </c>
    </row>
    <row r="9069" spans="1:6" x14ac:dyDescent="0.25">
      <c r="A9069" s="2" t="str">
        <f t="shared" si="332"/>
        <v>35620</v>
      </c>
      <c r="B9069" s="2" t="str">
        <f>"07976"</f>
        <v>07976</v>
      </c>
      <c r="C9069" s="1">
        <v>9.0821583239162902E-5</v>
      </c>
      <c r="D9069" s="1">
        <v>9.9401992703157394E-5</v>
      </c>
      <c r="E9069" s="1">
        <v>1.78188348578336E-4</v>
      </c>
      <c r="F9069" s="1">
        <v>9.6869635963271395E-5</v>
      </c>
    </row>
    <row r="9070" spans="1:6" x14ac:dyDescent="0.25">
      <c r="A9070" s="2" t="str">
        <f t="shared" si="332"/>
        <v>35620</v>
      </c>
      <c r="B9070" s="2" t="str">
        <f>"07963"</f>
        <v>07963</v>
      </c>
      <c r="C9070" s="1">
        <v>7.8753509849849497E-5</v>
      </c>
      <c r="D9070" s="1">
        <v>1.5094376669738701E-4</v>
      </c>
      <c r="E9070" s="1">
        <v>3.4938891878105101E-6</v>
      </c>
      <c r="F9070" s="1">
        <v>8.0424078926790506E-5</v>
      </c>
    </row>
    <row r="9071" spans="1:6" x14ac:dyDescent="0.25">
      <c r="A9071" s="2" t="str">
        <f t="shared" si="332"/>
        <v>35620</v>
      </c>
      <c r="B9071" s="2" t="str">
        <f>"07980"</f>
        <v>07980</v>
      </c>
      <c r="C9071" s="1">
        <v>1.1396242499599E-4</v>
      </c>
      <c r="D9071" s="1">
        <v>1.8775931955040799E-4</v>
      </c>
      <c r="E9071" s="1">
        <v>3.4589502959324098E-4</v>
      </c>
      <c r="F9071" s="1">
        <v>1.34429166227234E-4</v>
      </c>
    </row>
    <row r="9072" spans="1:6" x14ac:dyDescent="0.25">
      <c r="A9072" s="2" t="str">
        <f t="shared" si="332"/>
        <v>35620</v>
      </c>
      <c r="B9072" s="2" t="str">
        <f>"07882"</f>
        <v>07882</v>
      </c>
      <c r="C9072" s="1">
        <v>1.8288729775557399E-5</v>
      </c>
      <c r="D9072" s="1">
        <v>1.2271850951007001E-6</v>
      </c>
      <c r="E9072" s="1">
        <v>1.04816675634315E-5</v>
      </c>
      <c r="F9072" s="1">
        <v>1.6339456668503601E-5</v>
      </c>
    </row>
    <row r="9073" spans="1:6" x14ac:dyDescent="0.25">
      <c r="A9073" s="2" t="str">
        <f t="shared" si="332"/>
        <v>35620</v>
      </c>
      <c r="B9073" s="2" t="str">
        <f>"07875"</f>
        <v>07875</v>
      </c>
      <c r="C9073" s="1">
        <v>0</v>
      </c>
      <c r="D9073" s="1">
        <v>3.6815552853021201E-6</v>
      </c>
      <c r="E9073" s="1">
        <v>1.74694459390525E-6</v>
      </c>
      <c r="F9073" s="1">
        <v>4.2440147190918399E-7</v>
      </c>
    </row>
    <row r="9074" spans="1:6" x14ac:dyDescent="0.25">
      <c r="A9074" s="2" t="str">
        <f t="shared" si="332"/>
        <v>35620</v>
      </c>
      <c r="B9074" s="2" t="str">
        <f>"07921"</f>
        <v>07921</v>
      </c>
      <c r="C9074" s="1">
        <v>6.41722912804935E-4</v>
      </c>
      <c r="D9074" s="1">
        <v>4.9087403804028303E-4</v>
      </c>
      <c r="E9074" s="1">
        <v>2.28849741801589E-4</v>
      </c>
      <c r="F9074" s="1">
        <v>6.0360499342283801E-4</v>
      </c>
    </row>
    <row r="9075" spans="1:6" x14ac:dyDescent="0.25">
      <c r="A9075" s="2" t="str">
        <f t="shared" si="332"/>
        <v>35620</v>
      </c>
      <c r="B9075" s="2" t="str">
        <f>"07890"</f>
        <v>07890</v>
      </c>
      <c r="C9075" s="1">
        <v>0</v>
      </c>
      <c r="D9075" s="1">
        <v>1.2271850951007001E-6</v>
      </c>
      <c r="E9075" s="1">
        <v>0</v>
      </c>
      <c r="F9075" s="1">
        <v>1.06100367977296E-7</v>
      </c>
    </row>
    <row r="9076" spans="1:6" x14ac:dyDescent="0.25">
      <c r="A9076" s="2" t="str">
        <f t="shared" si="332"/>
        <v>35620</v>
      </c>
      <c r="B9076" s="2" t="str">
        <f>"07885"</f>
        <v>07885</v>
      </c>
      <c r="C9076" s="1">
        <v>7.7944824519637803E-4</v>
      </c>
      <c r="D9076" s="1">
        <v>6.2463721340626005E-4</v>
      </c>
      <c r="E9076" s="1">
        <v>5.0486698763861995E-4</v>
      </c>
      <c r="F9076" s="1">
        <v>7.4938689902364296E-4</v>
      </c>
    </row>
    <row r="9077" spans="1:6" x14ac:dyDescent="0.25">
      <c r="A9077" s="2" t="str">
        <f t="shared" si="332"/>
        <v>35620</v>
      </c>
      <c r="B9077" s="2" t="str">
        <f>"07876"</f>
        <v>07876</v>
      </c>
      <c r="C9077" s="1">
        <v>4.5236613240766599E-4</v>
      </c>
      <c r="D9077" s="1">
        <v>3.9392641552732702E-4</v>
      </c>
      <c r="E9077" s="1">
        <v>1.8168223776614701E-4</v>
      </c>
      <c r="F9077" s="1">
        <v>4.3087359435579903E-4</v>
      </c>
    </row>
    <row r="9078" spans="1:6" x14ac:dyDescent="0.25">
      <c r="A9078" s="2" t="str">
        <f t="shared" si="332"/>
        <v>35620</v>
      </c>
      <c r="B9078" s="2" t="str">
        <f>"07874"</f>
        <v>07874</v>
      </c>
      <c r="C9078" s="1">
        <v>4.9093420200237896E-4</v>
      </c>
      <c r="D9078" s="1">
        <v>3.6692834343511101E-4</v>
      </c>
      <c r="E9078" s="1">
        <v>6.4986338893275599E-4</v>
      </c>
      <c r="F9078" s="1">
        <v>4.8986539895117605E-4</v>
      </c>
    </row>
    <row r="9079" spans="1:6" x14ac:dyDescent="0.25">
      <c r="A9079" s="2" t="str">
        <f t="shared" si="332"/>
        <v>35620</v>
      </c>
      <c r="B9079" s="2" t="str">
        <f>"07845"</f>
        <v>07845</v>
      </c>
      <c r="C9079" s="1">
        <v>0</v>
      </c>
      <c r="D9079" s="1">
        <v>0</v>
      </c>
      <c r="E9079" s="1">
        <v>1.74694459390525E-6</v>
      </c>
      <c r="F9079" s="1">
        <v>1.06100367977296E-7</v>
      </c>
    </row>
    <row r="9080" spans="1:6" x14ac:dyDescent="0.25">
      <c r="A9080" s="2" t="str">
        <f t="shared" ref="A9080:A9143" si="333">"35620"</f>
        <v>35620</v>
      </c>
      <c r="B9080" s="2" t="str">
        <f>"07720"</f>
        <v>07720</v>
      </c>
      <c r="C9080" s="1">
        <v>3.9725111682554403E-4</v>
      </c>
      <c r="D9080" s="1">
        <v>2.0125835559651599E-4</v>
      </c>
      <c r="E9080" s="1">
        <v>5.4504671329844102E-4</v>
      </c>
      <c r="F9080" s="1">
        <v>3.8928225010869901E-4</v>
      </c>
    </row>
    <row r="9081" spans="1:6" x14ac:dyDescent="0.25">
      <c r="A9081" s="2" t="str">
        <f t="shared" si="333"/>
        <v>35620</v>
      </c>
      <c r="B9081" s="2" t="str">
        <f>"07717"</f>
        <v>07717</v>
      </c>
      <c r="C9081" s="1">
        <v>1.75920162602981E-4</v>
      </c>
      <c r="D9081" s="1">
        <v>1.31308805175775E-4</v>
      </c>
      <c r="E9081" s="1">
        <v>1.2927389994898901E-4</v>
      </c>
      <c r="F9081" s="1">
        <v>1.6923008692378699E-4</v>
      </c>
    </row>
    <row r="9082" spans="1:6" x14ac:dyDescent="0.25">
      <c r="A9082" s="2" t="str">
        <f t="shared" si="333"/>
        <v>35620</v>
      </c>
      <c r="B9082" s="2" t="str">
        <f>"07702"</f>
        <v>07702</v>
      </c>
      <c r="C9082" s="1">
        <v>2.12746448409546E-4</v>
      </c>
      <c r="D9082" s="1">
        <v>9.6088592946385503E-4</v>
      </c>
      <c r="E9082" s="1">
        <v>2.34090575583304E-4</v>
      </c>
      <c r="F9082" s="1">
        <v>2.7872566667635698E-4</v>
      </c>
    </row>
    <row r="9083" spans="1:6" x14ac:dyDescent="0.25">
      <c r="A9083" s="2" t="str">
        <f t="shared" si="333"/>
        <v>35620</v>
      </c>
      <c r="B9083" s="2" t="str">
        <f>"07675"</f>
        <v>07675</v>
      </c>
      <c r="C9083" s="1">
        <v>1.34988243581495E-3</v>
      </c>
      <c r="D9083" s="1">
        <v>1.3695385661323901E-3</v>
      </c>
      <c r="E9083" s="1">
        <v>9.3810924692712405E-4</v>
      </c>
      <c r="F9083" s="1">
        <v>1.3265729008201299E-3</v>
      </c>
    </row>
    <row r="9084" spans="1:6" x14ac:dyDescent="0.25">
      <c r="A9084" s="2" t="str">
        <f t="shared" si="333"/>
        <v>35620</v>
      </c>
      <c r="B9084" s="2" t="str">
        <f>"07832"</f>
        <v>07832</v>
      </c>
      <c r="C9084" s="1">
        <v>1.9906100435980901E-6</v>
      </c>
      <c r="D9084" s="1">
        <v>2.4543701902014099E-6</v>
      </c>
      <c r="E9084" s="1">
        <v>1.7469445939052502E-5</v>
      </c>
      <c r="F9084" s="1">
        <v>2.97081030336429E-6</v>
      </c>
    </row>
    <row r="9085" spans="1:6" x14ac:dyDescent="0.25">
      <c r="A9085" s="2" t="str">
        <f t="shared" si="333"/>
        <v>35620</v>
      </c>
      <c r="B9085" s="2" t="str">
        <f>"07799"</f>
        <v>07799</v>
      </c>
      <c r="C9085" s="1">
        <v>0</v>
      </c>
      <c r="D9085" s="1">
        <v>1.2271850951007001E-6</v>
      </c>
      <c r="E9085" s="1">
        <v>0</v>
      </c>
      <c r="F9085" s="1">
        <v>1.06100367977296E-7</v>
      </c>
    </row>
    <row r="9086" spans="1:6" x14ac:dyDescent="0.25">
      <c r="A9086" s="2" t="str">
        <f t="shared" si="333"/>
        <v>35620</v>
      </c>
      <c r="B9086" s="2" t="str">
        <f>"07839"</f>
        <v>07839</v>
      </c>
      <c r="C9086" s="1">
        <v>0</v>
      </c>
      <c r="D9086" s="1">
        <v>0</v>
      </c>
      <c r="E9086" s="1">
        <v>1.74694459390525E-6</v>
      </c>
      <c r="F9086" s="1">
        <v>1.06100367977296E-7</v>
      </c>
    </row>
    <row r="9087" spans="1:6" x14ac:dyDescent="0.25">
      <c r="A9087" s="2" t="str">
        <f t="shared" si="333"/>
        <v>35620</v>
      </c>
      <c r="B9087" s="2" t="str">
        <f>"07834"</f>
        <v>07834</v>
      </c>
      <c r="C9087" s="1">
        <v>9.9194586735047393E-4</v>
      </c>
      <c r="D9087" s="1">
        <v>1.46525900355024E-3</v>
      </c>
      <c r="E9087" s="1">
        <v>6.7432061324743E-4</v>
      </c>
      <c r="F9087" s="1">
        <v>1.0135768152871099E-3</v>
      </c>
    </row>
    <row r="9088" spans="1:6" x14ac:dyDescent="0.25">
      <c r="A9088" s="2" t="str">
        <f t="shared" si="333"/>
        <v>35620</v>
      </c>
      <c r="B9088" s="2" t="str">
        <f>"07746"</f>
        <v>07746</v>
      </c>
      <c r="C9088" s="1">
        <v>8.1403509470389399E-4</v>
      </c>
      <c r="D9088" s="1">
        <v>7.3631105706042498E-4</v>
      </c>
      <c r="E9088" s="1">
        <v>1.04816675634315E-4</v>
      </c>
      <c r="F9088" s="1">
        <v>7.6424095054046395E-4</v>
      </c>
    </row>
    <row r="9089" spans="1:6" x14ac:dyDescent="0.25">
      <c r="A9089" s="2" t="str">
        <f t="shared" si="333"/>
        <v>35620</v>
      </c>
      <c r="B9089" s="2" t="str">
        <f>"07760"</f>
        <v>07760</v>
      </c>
      <c r="C9089" s="1">
        <v>6.0228395131614696E-4</v>
      </c>
      <c r="D9089" s="1">
        <v>4.77375001994175E-4</v>
      </c>
      <c r="E9089" s="1">
        <v>2.5505391071016699E-4</v>
      </c>
      <c r="F9089" s="1">
        <v>5.7039557824594398E-4</v>
      </c>
    </row>
    <row r="9090" spans="1:6" x14ac:dyDescent="0.25">
      <c r="A9090" s="2" t="str">
        <f t="shared" si="333"/>
        <v>35620</v>
      </c>
      <c r="B9090" s="2" t="str">
        <f>"07652"</f>
        <v>07652</v>
      </c>
      <c r="C9090" s="1">
        <v>1.11287542749905E-3</v>
      </c>
      <c r="D9090" s="1">
        <v>2.6519469905126299E-3</v>
      </c>
      <c r="E9090" s="1">
        <v>1.1931631576372901E-3</v>
      </c>
      <c r="F9090" s="1">
        <v>1.25081723808434E-3</v>
      </c>
    </row>
    <row r="9091" spans="1:6" x14ac:dyDescent="0.25">
      <c r="A9091" s="2" t="str">
        <f t="shared" si="333"/>
        <v>35620</v>
      </c>
      <c r="B9091" s="2" t="str">
        <f>"07644"</f>
        <v>07644</v>
      </c>
      <c r="C9091" s="1">
        <v>1.21638714976615E-3</v>
      </c>
      <c r="D9091" s="1">
        <v>1.1817792465819801E-3</v>
      </c>
      <c r="E9091" s="1">
        <v>1.9181451641079701E-3</v>
      </c>
      <c r="F9091" s="1">
        <v>1.2560161561152301E-3</v>
      </c>
    </row>
    <row r="9092" spans="1:6" x14ac:dyDescent="0.25">
      <c r="A9092" s="2" t="str">
        <f t="shared" si="333"/>
        <v>35620</v>
      </c>
      <c r="B9092" s="2" t="str">
        <f>"07607"</f>
        <v>07607</v>
      </c>
      <c r="C9092" s="1">
        <v>5.1370180437603202E-4</v>
      </c>
      <c r="D9092" s="1">
        <v>4.4301381933135501E-4</v>
      </c>
      <c r="E9092" s="1">
        <v>2.5330696611626199E-4</v>
      </c>
      <c r="F9092" s="1">
        <v>4.9177520557476702E-4</v>
      </c>
    </row>
    <row r="9093" spans="1:6" x14ac:dyDescent="0.25">
      <c r="A9093" s="2" t="str">
        <f t="shared" si="333"/>
        <v>35620</v>
      </c>
      <c r="B9093" s="2" t="str">
        <f>"07524"</f>
        <v>07524</v>
      </c>
      <c r="C9093" s="1">
        <v>4.83469414338886E-4</v>
      </c>
      <c r="D9093" s="1">
        <v>6.1604691774055497E-4</v>
      </c>
      <c r="E9093" s="1">
        <v>9.6081952664789198E-4</v>
      </c>
      <c r="F9093" s="1">
        <v>5.2392361707188798E-4</v>
      </c>
    </row>
    <row r="9094" spans="1:6" x14ac:dyDescent="0.25">
      <c r="A9094" s="2" t="str">
        <f t="shared" si="333"/>
        <v>35620</v>
      </c>
      <c r="B9094" s="2" t="str">
        <f>"07303"</f>
        <v>07303</v>
      </c>
      <c r="C9094" s="1">
        <v>1.6235913168096899E-4</v>
      </c>
      <c r="D9094" s="1">
        <v>3.5465649248410402E-4</v>
      </c>
      <c r="E9094" s="1">
        <v>3.4938891878105101E-6</v>
      </c>
      <c r="F9094" s="1">
        <v>1.6933618729176401E-4</v>
      </c>
    </row>
    <row r="9095" spans="1:6" x14ac:dyDescent="0.25">
      <c r="A9095" s="2" t="str">
        <f t="shared" si="333"/>
        <v>35620</v>
      </c>
      <c r="B9095" s="2" t="str">
        <f>"07208"</f>
        <v>07208</v>
      </c>
      <c r="C9095" s="1">
        <v>1.5892532935576199E-3</v>
      </c>
      <c r="D9095" s="1">
        <v>8.8234608337740903E-4</v>
      </c>
      <c r="E9095" s="1">
        <v>2.91390358263397E-3</v>
      </c>
      <c r="F9095" s="1">
        <v>1.6085876789037801E-3</v>
      </c>
    </row>
    <row r="9096" spans="1:6" x14ac:dyDescent="0.25">
      <c r="A9096" s="2" t="str">
        <f t="shared" si="333"/>
        <v>35620</v>
      </c>
      <c r="B9096" s="2" t="str">
        <f>"07207"</f>
        <v>07207</v>
      </c>
      <c r="C9096" s="1">
        <v>3.6502811674480001E-4</v>
      </c>
      <c r="D9096" s="1">
        <v>3.91472045337126E-4</v>
      </c>
      <c r="E9096" s="1">
        <v>3.4938891878105101E-6</v>
      </c>
      <c r="F9096" s="1">
        <v>3.4535669776609897E-4</v>
      </c>
    </row>
    <row r="9097" spans="1:6" x14ac:dyDescent="0.25">
      <c r="A9097" s="2" t="str">
        <f t="shared" si="333"/>
        <v>35620</v>
      </c>
      <c r="B9097" s="2" t="str">
        <f>"07439"</f>
        <v>07439</v>
      </c>
      <c r="C9097" s="1">
        <v>1.13340359357366E-4</v>
      </c>
      <c r="D9097" s="1">
        <v>5.1541773994229697E-5</v>
      </c>
      <c r="E9097" s="1">
        <v>7.3371672944020901E-5</v>
      </c>
      <c r="F9097" s="1">
        <v>1.0556986613740901E-4</v>
      </c>
    </row>
    <row r="9098" spans="1:6" x14ac:dyDescent="0.25">
      <c r="A9098" s="2" t="str">
        <f t="shared" si="333"/>
        <v>35620</v>
      </c>
      <c r="B9098" s="2" t="str">
        <f>"07432"</f>
        <v>07432</v>
      </c>
      <c r="C9098" s="1">
        <v>3.5383093524956E-4</v>
      </c>
      <c r="D9098" s="1">
        <v>6.0622943697975003E-4</v>
      </c>
      <c r="E9098" s="1">
        <v>3.5113586337495701E-4</v>
      </c>
      <c r="F9098" s="1">
        <v>3.7548920227165099E-4</v>
      </c>
    </row>
    <row r="9099" spans="1:6" x14ac:dyDescent="0.25">
      <c r="A9099" s="2" t="str">
        <f t="shared" si="333"/>
        <v>35620</v>
      </c>
      <c r="B9099" s="2" t="str">
        <f>"07428"</f>
        <v>07428</v>
      </c>
      <c r="C9099" s="1">
        <v>1.5788025908287299E-4</v>
      </c>
      <c r="D9099" s="1">
        <v>1.3989910084147999E-4</v>
      </c>
      <c r="E9099" s="1">
        <v>3.4938891878105101E-6</v>
      </c>
      <c r="F9099" s="1">
        <v>1.4694900964855499E-4</v>
      </c>
    </row>
    <row r="9100" spans="1:6" x14ac:dyDescent="0.25">
      <c r="A9100" s="2" t="str">
        <f t="shared" si="333"/>
        <v>35620</v>
      </c>
      <c r="B9100" s="2" t="str">
        <f>"07460"</f>
        <v>07460</v>
      </c>
      <c r="C9100" s="1">
        <v>1.6646476489588999E-4</v>
      </c>
      <c r="D9100" s="1">
        <v>6.3813624945236803E-5</v>
      </c>
      <c r="E9100" s="1">
        <v>3.8432781065915701E-5</v>
      </c>
      <c r="F9100" s="1">
        <v>1.4981371958394199E-4</v>
      </c>
    </row>
    <row r="9101" spans="1:6" x14ac:dyDescent="0.25">
      <c r="A9101" s="2" t="str">
        <f t="shared" si="333"/>
        <v>35620</v>
      </c>
      <c r="B9101" s="2" t="str">
        <f>"07422"</f>
        <v>07422</v>
      </c>
      <c r="C9101" s="1">
        <v>5.0673466922343904E-4</v>
      </c>
      <c r="D9101" s="1">
        <v>1.15355398939466E-4</v>
      </c>
      <c r="E9101" s="1">
        <v>1.5722501345147302E-5</v>
      </c>
      <c r="F9101" s="1">
        <v>4.4307513667318901E-4</v>
      </c>
    </row>
    <row r="9102" spans="1:6" x14ac:dyDescent="0.25">
      <c r="A9102" s="2" t="str">
        <f t="shared" si="333"/>
        <v>35620</v>
      </c>
      <c r="B9102" s="2" t="str">
        <f>"07410"</f>
        <v>07410</v>
      </c>
      <c r="C9102" s="1">
        <v>2.62424610310091E-3</v>
      </c>
      <c r="D9102" s="1">
        <v>2.1316205101899301E-3</v>
      </c>
      <c r="E9102" s="1">
        <v>1.2228612157336801E-3</v>
      </c>
      <c r="F9102" s="1">
        <v>2.49654165850578E-3</v>
      </c>
    </row>
    <row r="9103" spans="1:6" x14ac:dyDescent="0.25">
      <c r="A9103" s="2" t="str">
        <f t="shared" si="333"/>
        <v>35620</v>
      </c>
      <c r="B9103" s="2" t="str">
        <f>"07405"</f>
        <v>07405</v>
      </c>
      <c r="C9103" s="1">
        <v>9.1356559688379898E-4</v>
      </c>
      <c r="D9103" s="1">
        <v>9.7929370589036504E-4</v>
      </c>
      <c r="E9103" s="1">
        <v>6.9703089296819804E-4</v>
      </c>
      <c r="F9103" s="1">
        <v>9.0609714252610899E-4</v>
      </c>
    </row>
    <row r="9104" spans="1:6" x14ac:dyDescent="0.25">
      <c r="A9104" s="2" t="str">
        <f t="shared" si="333"/>
        <v>35620</v>
      </c>
      <c r="B9104" s="2" t="str">
        <f>"07110"</f>
        <v>07110</v>
      </c>
      <c r="C9104" s="1">
        <v>1.5505608108351799E-3</v>
      </c>
      <c r="D9104" s="1">
        <v>1.3707657512274901E-3</v>
      </c>
      <c r="E9104" s="1">
        <v>1.6124298601745499E-3</v>
      </c>
      <c r="F9104" s="1">
        <v>1.53877363677472E-3</v>
      </c>
    </row>
    <row r="9105" spans="1:6" x14ac:dyDescent="0.25">
      <c r="A9105" s="2" t="str">
        <f t="shared" si="333"/>
        <v>35620</v>
      </c>
      <c r="B9105" s="2" t="str">
        <f>"07107"</f>
        <v>07107</v>
      </c>
      <c r="C9105" s="1">
        <v>1.6902767532702299E-3</v>
      </c>
      <c r="D9105" s="1">
        <v>9.4861407851284799E-4</v>
      </c>
      <c r="E9105" s="1">
        <v>3.5288280796886202E-3</v>
      </c>
      <c r="F9105" s="1">
        <v>1.73781792710013E-3</v>
      </c>
    </row>
    <row r="9106" spans="1:6" x14ac:dyDescent="0.25">
      <c r="A9106" s="2" t="str">
        <f t="shared" si="333"/>
        <v>35620</v>
      </c>
      <c r="B9106" s="2" t="str">
        <f>"07050"</f>
        <v>07050</v>
      </c>
      <c r="C9106" s="1">
        <v>1.63640586896535E-3</v>
      </c>
      <c r="D9106" s="1">
        <v>1.2247307249104999E-3</v>
      </c>
      <c r="E9106" s="1">
        <v>2.73047440027392E-3</v>
      </c>
      <c r="F9106" s="1">
        <v>1.66726118239523E-3</v>
      </c>
    </row>
    <row r="9107" spans="1:6" x14ac:dyDescent="0.25">
      <c r="A9107" s="2" t="str">
        <f t="shared" si="333"/>
        <v>35620</v>
      </c>
      <c r="B9107" s="2" t="str">
        <f>"07091"</f>
        <v>07091</v>
      </c>
      <c r="C9107" s="1">
        <v>1.26154911513029E-4</v>
      </c>
      <c r="D9107" s="1">
        <v>4.2460604290484499E-4</v>
      </c>
      <c r="E9107" s="1">
        <v>3.4938891878105101E-6</v>
      </c>
      <c r="F9107" s="1">
        <v>1.4450870118507699E-4</v>
      </c>
    </row>
    <row r="9108" spans="1:6" x14ac:dyDescent="0.25">
      <c r="A9108" s="2" t="str">
        <f t="shared" si="333"/>
        <v>35620</v>
      </c>
      <c r="B9108" s="2" t="str">
        <f>"07096"</f>
        <v>07096</v>
      </c>
      <c r="C9108" s="1">
        <v>2.9859150653971299E-5</v>
      </c>
      <c r="D9108" s="1">
        <v>1.84077764265106E-4</v>
      </c>
      <c r="E9108" s="1">
        <v>3.4938891878105101E-6</v>
      </c>
      <c r="F9108" s="1">
        <v>4.15913442471001E-5</v>
      </c>
    </row>
    <row r="9109" spans="1:6" x14ac:dyDescent="0.25">
      <c r="A9109" s="2" t="str">
        <f t="shared" si="333"/>
        <v>35620</v>
      </c>
      <c r="B9109" s="2" t="str">
        <f>"07078"</f>
        <v>07078</v>
      </c>
      <c r="C9109" s="1">
        <v>6.0912667334101596E-4</v>
      </c>
      <c r="D9109" s="1">
        <v>9.6456748474915699E-4</v>
      </c>
      <c r="E9109" s="1">
        <v>2.23608908019873E-4</v>
      </c>
      <c r="F9109" s="1">
        <v>6.1644313794809104E-4</v>
      </c>
    </row>
    <row r="9110" spans="1:6" x14ac:dyDescent="0.25">
      <c r="A9110" s="2" t="str">
        <f t="shared" si="333"/>
        <v>35620</v>
      </c>
      <c r="B9110" s="2" t="str">
        <f>"07072"</f>
        <v>07072</v>
      </c>
      <c r="C9110" s="1">
        <v>3.1153047182310101E-4</v>
      </c>
      <c r="D9110" s="1">
        <v>1.0001558525070699E-3</v>
      </c>
      <c r="E9110" s="1">
        <v>3.1095613771513599E-4</v>
      </c>
      <c r="F9110" s="1">
        <v>3.71032986816604E-4</v>
      </c>
    </row>
    <row r="9111" spans="1:6" x14ac:dyDescent="0.25">
      <c r="A9111" s="2" t="str">
        <f t="shared" si="333"/>
        <v>35620</v>
      </c>
      <c r="B9111" s="2" t="str">
        <f>"07082"</f>
        <v>07082</v>
      </c>
      <c r="C9111" s="1">
        <v>2.8515488874542602E-4</v>
      </c>
      <c r="D9111" s="1">
        <v>2.4298264882994001E-4</v>
      </c>
      <c r="E9111" s="1">
        <v>4.8914448629347199E-5</v>
      </c>
      <c r="F9111" s="1">
        <v>2.6716072656683102E-4</v>
      </c>
    </row>
    <row r="9112" spans="1:6" x14ac:dyDescent="0.25">
      <c r="A9112" s="2" t="str">
        <f t="shared" si="333"/>
        <v>35620</v>
      </c>
      <c r="B9112" s="2" t="str">
        <f>"07032"</f>
        <v>07032</v>
      </c>
      <c r="C9112" s="1">
        <v>1.6896546876316E-3</v>
      </c>
      <c r="D9112" s="1">
        <v>2.10462243809771E-3</v>
      </c>
      <c r="E9112" s="1">
        <v>2.1522357396912702E-3</v>
      </c>
      <c r="F9112" s="1">
        <v>1.75362688192875E-3</v>
      </c>
    </row>
    <row r="9113" spans="1:6" x14ac:dyDescent="0.25">
      <c r="A9113" s="2" t="str">
        <f t="shared" si="333"/>
        <v>35620</v>
      </c>
      <c r="B9113" s="2" t="str">
        <f>"07069"</f>
        <v>07069</v>
      </c>
      <c r="C9113" s="1">
        <v>3.0779807799135499E-4</v>
      </c>
      <c r="D9113" s="1">
        <v>3.9024486024202501E-4</v>
      </c>
      <c r="E9113" s="1">
        <v>1.5547806885756799E-4</v>
      </c>
      <c r="F9113" s="1">
        <v>3.0567516014258999E-4</v>
      </c>
    </row>
    <row r="9114" spans="1:6" x14ac:dyDescent="0.25">
      <c r="A9114" s="2" t="str">
        <f t="shared" si="333"/>
        <v>35620</v>
      </c>
      <c r="B9114" s="2" t="str">
        <f>"07026"</f>
        <v>07026</v>
      </c>
      <c r="C9114" s="1">
        <v>1.4512791349107299E-3</v>
      </c>
      <c r="D9114" s="1">
        <v>1.4137172295560099E-3</v>
      </c>
      <c r="E9114" s="1">
        <v>2.2430768585743502E-3</v>
      </c>
      <c r="F9114" s="1">
        <v>1.4961212888478499E-3</v>
      </c>
    </row>
    <row r="9115" spans="1:6" x14ac:dyDescent="0.25">
      <c r="A9115" s="2" t="str">
        <f t="shared" si="333"/>
        <v>35620</v>
      </c>
      <c r="B9115" s="2" t="str">
        <f>"07020"</f>
        <v>07020</v>
      </c>
      <c r="C9115" s="1">
        <v>1.0950843502343999E-3</v>
      </c>
      <c r="D9115" s="1">
        <v>9.4738689341774705E-4</v>
      </c>
      <c r="E9115" s="1">
        <v>1.0464198117492501E-3</v>
      </c>
      <c r="F9115" s="1">
        <v>1.07935904343303E-3</v>
      </c>
    </row>
    <row r="9116" spans="1:6" x14ac:dyDescent="0.25">
      <c r="A9116" s="2" t="str">
        <f t="shared" si="333"/>
        <v>35620</v>
      </c>
      <c r="B9116" s="2" t="str">
        <f>"07006"</f>
        <v>07006</v>
      </c>
      <c r="C9116" s="1">
        <v>1.27921577926722E-3</v>
      </c>
      <c r="D9116" s="1">
        <v>1.10078503030533E-3</v>
      </c>
      <c r="E9116" s="1">
        <v>7.8437812266346095E-4</v>
      </c>
      <c r="F9116" s="1">
        <v>1.23373507884E-3</v>
      </c>
    </row>
    <row r="9117" spans="1:6" x14ac:dyDescent="0.25">
      <c r="A9117" s="2" t="str">
        <f t="shared" si="333"/>
        <v>35620</v>
      </c>
      <c r="B9117" s="2" t="str">
        <f>"07003"</f>
        <v>07003</v>
      </c>
      <c r="C9117" s="1">
        <v>2.71469444695689E-3</v>
      </c>
      <c r="D9117" s="1">
        <v>2.3255157552158402E-3</v>
      </c>
      <c r="E9117" s="1">
        <v>3.0466713717707699E-3</v>
      </c>
      <c r="F9117" s="1">
        <v>2.70120926833398E-3</v>
      </c>
    </row>
    <row r="9118" spans="1:6" x14ac:dyDescent="0.25">
      <c r="A9118" s="2" t="str">
        <f t="shared" si="333"/>
        <v>35620</v>
      </c>
      <c r="B9118" s="2" t="str">
        <f>"12531"</f>
        <v>12531</v>
      </c>
      <c r="C9118" s="1">
        <v>2.6375583077674699E-5</v>
      </c>
      <c r="D9118" s="1">
        <v>1.4726221141208501E-5</v>
      </c>
      <c r="E9118" s="1">
        <v>8.7347229695262897E-6</v>
      </c>
      <c r="F9118" s="1">
        <v>2.42969842668008E-5</v>
      </c>
    </row>
    <row r="9119" spans="1:6" x14ac:dyDescent="0.25">
      <c r="A9119" s="2" t="str">
        <f t="shared" si="333"/>
        <v>35620</v>
      </c>
      <c r="B9119" s="2" t="str">
        <f>"11973"</f>
        <v>11973</v>
      </c>
      <c r="C9119" s="1">
        <v>0</v>
      </c>
      <c r="D9119" s="1">
        <v>0</v>
      </c>
      <c r="E9119" s="1">
        <v>1.74694459390525E-6</v>
      </c>
      <c r="F9119" s="1">
        <v>1.06100367977296E-7</v>
      </c>
    </row>
    <row r="9120" spans="1:6" x14ac:dyDescent="0.25">
      <c r="A9120" s="2" t="str">
        <f t="shared" si="333"/>
        <v>35620</v>
      </c>
      <c r="B9120" s="2" t="str">
        <f>"11976"</f>
        <v>11976</v>
      </c>
      <c r="C9120" s="1">
        <v>3.77220603261838E-4</v>
      </c>
      <c r="D9120" s="1">
        <v>3.69382713625313E-4</v>
      </c>
      <c r="E9120" s="1">
        <v>6.1143060786684003E-5</v>
      </c>
      <c r="F9120" s="1">
        <v>3.5734603934753302E-4</v>
      </c>
    </row>
    <row r="9121" spans="1:6" x14ac:dyDescent="0.25">
      <c r="A9121" s="2" t="str">
        <f t="shared" si="333"/>
        <v>35620</v>
      </c>
      <c r="B9121" s="2" t="str">
        <f>"11968"</f>
        <v>11968</v>
      </c>
      <c r="C9121" s="1">
        <v>1.1235749564833899E-3</v>
      </c>
      <c r="D9121" s="1">
        <v>1.4689405588355401E-3</v>
      </c>
      <c r="E9121" s="1">
        <v>7.1799422809506097E-4</v>
      </c>
      <c r="F9121" s="1">
        <v>1.1288018149104499E-3</v>
      </c>
    </row>
    <row r="9122" spans="1:6" x14ac:dyDescent="0.25">
      <c r="A9122" s="2" t="str">
        <f t="shared" si="333"/>
        <v>35620</v>
      </c>
      <c r="B9122" s="2" t="str">
        <f>"11777"</f>
        <v>11777</v>
      </c>
      <c r="C9122" s="1">
        <v>5.6160085855011099E-4</v>
      </c>
      <c r="D9122" s="1">
        <v>8.9584511942351701E-4</v>
      </c>
      <c r="E9122" s="1">
        <v>5.0661393223252495E-4</v>
      </c>
      <c r="F9122" s="1">
        <v>5.8715943638635703E-4</v>
      </c>
    </row>
    <row r="9123" spans="1:6" x14ac:dyDescent="0.25">
      <c r="A9123" s="2" t="str">
        <f t="shared" si="333"/>
        <v>35620</v>
      </c>
      <c r="B9123" s="2" t="str">
        <f>"11768"</f>
        <v>11768</v>
      </c>
      <c r="C9123" s="1">
        <v>1.06398106830318E-3</v>
      </c>
      <c r="D9123" s="1">
        <v>9.829752611756669E-4</v>
      </c>
      <c r="E9123" s="1">
        <v>6.9528394837429304E-4</v>
      </c>
      <c r="F9123" s="1">
        <v>1.0345846881466101E-3</v>
      </c>
    </row>
    <row r="9124" spans="1:6" x14ac:dyDescent="0.25">
      <c r="A9124" s="2" t="str">
        <f t="shared" si="333"/>
        <v>35620</v>
      </c>
      <c r="B9124" s="2" t="str">
        <f>"11765"</f>
        <v>11765</v>
      </c>
      <c r="C9124" s="1">
        <v>3.0854455675770398E-5</v>
      </c>
      <c r="D9124" s="1">
        <v>2.4543701902014099E-6</v>
      </c>
      <c r="E9124" s="1">
        <v>1.3975556751242E-5</v>
      </c>
      <c r="F9124" s="1">
        <v>2.7373894938142399E-5</v>
      </c>
    </row>
    <row r="9125" spans="1:6" x14ac:dyDescent="0.25">
      <c r="A9125" s="2" t="str">
        <f t="shared" si="333"/>
        <v>35620</v>
      </c>
      <c r="B9125" s="2" t="str">
        <f>"11960"</f>
        <v>11960</v>
      </c>
      <c r="C9125" s="1">
        <v>7.6887312933976296E-5</v>
      </c>
      <c r="D9125" s="1">
        <v>0</v>
      </c>
      <c r="E9125" s="1">
        <v>1.74694459390525E-6</v>
      </c>
      <c r="F9125" s="1">
        <v>6.5676127777946304E-5</v>
      </c>
    </row>
    <row r="9126" spans="1:6" x14ac:dyDescent="0.25">
      <c r="A9126" s="2" t="str">
        <f t="shared" si="333"/>
        <v>35620</v>
      </c>
      <c r="B9126" s="2" t="str">
        <f>"11798"</f>
        <v>11798</v>
      </c>
      <c r="C9126" s="1">
        <v>6.3823934522863797E-4</v>
      </c>
      <c r="D9126" s="1">
        <v>5.2523522070310302E-4</v>
      </c>
      <c r="E9126" s="1">
        <v>3.6685836472010402E-4</v>
      </c>
      <c r="F9126" s="1">
        <v>6.1198692249304399E-4</v>
      </c>
    </row>
    <row r="9127" spans="1:6" x14ac:dyDescent="0.25">
      <c r="A9127" s="2" t="str">
        <f t="shared" si="333"/>
        <v>35620</v>
      </c>
      <c r="B9127" s="2" t="str">
        <f>"11797"</f>
        <v>11797</v>
      </c>
      <c r="C9127" s="1">
        <v>5.1084030243835998E-4</v>
      </c>
      <c r="D9127" s="1">
        <v>8.5043927090479104E-4</v>
      </c>
      <c r="E9127" s="1">
        <v>2.76017245837031E-4</v>
      </c>
      <c r="F9127" s="1">
        <v>5.2593952406345703E-4</v>
      </c>
    </row>
    <row r="9128" spans="1:6" x14ac:dyDescent="0.25">
      <c r="A9128" s="2" t="str">
        <f t="shared" si="333"/>
        <v>35620</v>
      </c>
      <c r="B9128" s="2" t="str">
        <f>"11815"</f>
        <v>11815</v>
      </c>
      <c r="C9128" s="1">
        <v>0</v>
      </c>
      <c r="D9128" s="1">
        <v>1.2271850951007001E-6</v>
      </c>
      <c r="E9128" s="1">
        <v>0</v>
      </c>
      <c r="F9128" s="1">
        <v>1.06100367977296E-7</v>
      </c>
    </row>
    <row r="9129" spans="1:6" x14ac:dyDescent="0.25">
      <c r="A9129" s="2" t="str">
        <f t="shared" si="333"/>
        <v>35620</v>
      </c>
      <c r="B9129" s="2" t="str">
        <f>"11940"</f>
        <v>11940</v>
      </c>
      <c r="C9129" s="1">
        <v>2.7047413967389001E-4</v>
      </c>
      <c r="D9129" s="1">
        <v>1.4112628593658099E-4</v>
      </c>
      <c r="E9129" s="1">
        <v>5.5902227004968298E-5</v>
      </c>
      <c r="F9129" s="1">
        <v>2.4625895407530402E-4</v>
      </c>
    </row>
    <row r="9130" spans="1:6" x14ac:dyDescent="0.25">
      <c r="A9130" s="2" t="str">
        <f t="shared" si="333"/>
        <v>35620</v>
      </c>
      <c r="B9130" s="2" t="str">
        <f>"11937"</f>
        <v>11937</v>
      </c>
      <c r="C9130" s="1">
        <v>1.9699574643957602E-3</v>
      </c>
      <c r="D9130" s="1">
        <v>1.3486764195156701E-3</v>
      </c>
      <c r="E9130" s="1">
        <v>5.57275325455777E-4</v>
      </c>
      <c r="F9130" s="1">
        <v>1.83044354834431E-3</v>
      </c>
    </row>
    <row r="9131" spans="1:6" x14ac:dyDescent="0.25">
      <c r="A9131" s="2" t="str">
        <f t="shared" si="333"/>
        <v>35620</v>
      </c>
      <c r="B9131" s="2" t="str">
        <f>"11935"</f>
        <v>11935</v>
      </c>
      <c r="C9131" s="1">
        <v>2.79307471742357E-4</v>
      </c>
      <c r="D9131" s="1">
        <v>1.7180591331409899E-4</v>
      </c>
      <c r="E9131" s="1">
        <v>5.5902227004968298E-5</v>
      </c>
      <c r="F9131" s="1">
        <v>2.5644458940112398E-4</v>
      </c>
    </row>
    <row r="9132" spans="1:6" x14ac:dyDescent="0.25">
      <c r="A9132" s="2" t="str">
        <f t="shared" si="333"/>
        <v>35620</v>
      </c>
      <c r="B9132" s="2" t="str">
        <f>"11933"</f>
        <v>11933</v>
      </c>
      <c r="C9132" s="1">
        <v>5.0499288543529096E-4</v>
      </c>
      <c r="D9132" s="1">
        <v>4.0128952609793099E-4</v>
      </c>
      <c r="E9132" s="1">
        <v>1.76441403984431E-4</v>
      </c>
      <c r="F9132" s="1">
        <v>4.7607235111412803E-4</v>
      </c>
    </row>
    <row r="9133" spans="1:6" x14ac:dyDescent="0.25">
      <c r="A9133" s="2" t="str">
        <f t="shared" si="333"/>
        <v>35620</v>
      </c>
      <c r="B9133" s="2" t="str">
        <f>"11803"</f>
        <v>11803</v>
      </c>
      <c r="C9133" s="1">
        <v>1.3631946404815099E-3</v>
      </c>
      <c r="D9133" s="1">
        <v>2.0506262939132798E-3</v>
      </c>
      <c r="E9133" s="1">
        <v>6.3064699839979795E-4</v>
      </c>
      <c r="F9133" s="1">
        <v>1.3781376796570999E-3</v>
      </c>
    </row>
    <row r="9134" spans="1:6" x14ac:dyDescent="0.25">
      <c r="A9134" s="2" t="str">
        <f t="shared" si="333"/>
        <v>35620</v>
      </c>
      <c r="B9134" s="2" t="str">
        <f>"11756"</f>
        <v>11756</v>
      </c>
      <c r="C9134" s="1">
        <v>1.7601969310516101E-3</v>
      </c>
      <c r="D9134" s="1">
        <v>1.14864524901426E-3</v>
      </c>
      <c r="E9134" s="1">
        <v>4.0354420119211401E-4</v>
      </c>
      <c r="F9134" s="1">
        <v>1.6249271355722899E-3</v>
      </c>
    </row>
    <row r="9135" spans="1:6" x14ac:dyDescent="0.25">
      <c r="A9135" s="2" t="str">
        <f t="shared" si="333"/>
        <v>35620</v>
      </c>
      <c r="B9135" s="2" t="str">
        <f>"11787"</f>
        <v>11787</v>
      </c>
      <c r="C9135" s="1">
        <v>1.64200445971297E-3</v>
      </c>
      <c r="D9135" s="1">
        <v>2.1831622841841599E-3</v>
      </c>
      <c r="E9135" s="1">
        <v>8.8570090910996603E-4</v>
      </c>
      <c r="F9135" s="1">
        <v>1.64285809776045E-3</v>
      </c>
    </row>
    <row r="9136" spans="1:6" x14ac:dyDescent="0.25">
      <c r="A9136" s="2" t="str">
        <f t="shared" si="333"/>
        <v>35620</v>
      </c>
      <c r="B9136" s="2" t="str">
        <f>"11743"</f>
        <v>11743</v>
      </c>
      <c r="C9136" s="1">
        <v>2.1469973451482601E-3</v>
      </c>
      <c r="D9136" s="1">
        <v>3.0029219277114298E-3</v>
      </c>
      <c r="E9136" s="1">
        <v>2.0072393383971398E-3</v>
      </c>
      <c r="F9136" s="1">
        <v>2.2125109734305501E-3</v>
      </c>
    </row>
    <row r="9137" spans="1:6" x14ac:dyDescent="0.25">
      <c r="A9137" s="2" t="str">
        <f t="shared" si="333"/>
        <v>35620</v>
      </c>
      <c r="B9137" s="2" t="str">
        <f>"11577"</f>
        <v>11577</v>
      </c>
      <c r="C9137" s="1">
        <v>5.8523935281783895E-4</v>
      </c>
      <c r="D9137" s="1">
        <v>7.7067223972324497E-4</v>
      </c>
      <c r="E9137" s="1">
        <v>6.4636949974494599E-4</v>
      </c>
      <c r="F9137" s="1">
        <v>6.0498429820654304E-4</v>
      </c>
    </row>
    <row r="9138" spans="1:6" x14ac:dyDescent="0.25">
      <c r="A9138" s="2" t="str">
        <f t="shared" si="333"/>
        <v>35620</v>
      </c>
      <c r="B9138" s="2" t="str">
        <f>"11740"</f>
        <v>11740</v>
      </c>
      <c r="C9138" s="1">
        <v>4.8048349927348901E-4</v>
      </c>
      <c r="D9138" s="1">
        <v>4.4055944914115399E-4</v>
      </c>
      <c r="E9138" s="1">
        <v>1.17045287791652E-4</v>
      </c>
      <c r="F9138" s="1">
        <v>4.5495837788664601E-4</v>
      </c>
    </row>
    <row r="9139" spans="1:6" x14ac:dyDescent="0.25">
      <c r="A9139" s="2" t="str">
        <f t="shared" si="333"/>
        <v>35620</v>
      </c>
      <c r="B9139" s="2" t="str">
        <f>"11732"</f>
        <v>11732</v>
      </c>
      <c r="C9139" s="1">
        <v>1.7542251009208099E-4</v>
      </c>
      <c r="D9139" s="1">
        <v>1.14128213844365E-4</v>
      </c>
      <c r="E9139" s="1">
        <v>8.2106395913547202E-5</v>
      </c>
      <c r="F9139" s="1">
        <v>1.64455570364809E-4</v>
      </c>
    </row>
    <row r="9140" spans="1:6" x14ac:dyDescent="0.25">
      <c r="A9140" s="2" t="str">
        <f t="shared" si="333"/>
        <v>35620</v>
      </c>
      <c r="B9140" s="2" t="str">
        <f>"11714"</f>
        <v>11714</v>
      </c>
      <c r="C9140" s="1">
        <v>1.0612439794932299E-3</v>
      </c>
      <c r="D9140" s="1">
        <v>1.10937532597104E-3</v>
      </c>
      <c r="E9140" s="1">
        <v>5.7998560517654601E-4</v>
      </c>
      <c r="F9140" s="1">
        <v>1.0361761936662701E-3</v>
      </c>
    </row>
    <row r="9141" spans="1:6" x14ac:dyDescent="0.25">
      <c r="A9141" s="2" t="str">
        <f t="shared" si="333"/>
        <v>35620</v>
      </c>
      <c r="B9141" s="2" t="str">
        <f>"11726"</f>
        <v>11726</v>
      </c>
      <c r="C9141" s="1">
        <v>8.1341302906526997E-4</v>
      </c>
      <c r="D9141" s="1">
        <v>9.3634222756183998E-4</v>
      </c>
      <c r="E9141" s="1">
        <v>6.5335727812056697E-4</v>
      </c>
      <c r="F9141" s="1">
        <v>8.1432032422574803E-4</v>
      </c>
    </row>
    <row r="9142" spans="1:6" x14ac:dyDescent="0.25">
      <c r="A9142" s="2" t="str">
        <f t="shared" si="333"/>
        <v>35620</v>
      </c>
      <c r="B9142" s="2" t="str">
        <f>"11718"</f>
        <v>11718</v>
      </c>
      <c r="C9142" s="1">
        <v>1.7604457573070601E-4</v>
      </c>
      <c r="D9142" s="1">
        <v>3.08023458870277E-4</v>
      </c>
      <c r="E9142" s="1">
        <v>7.5118617537926104E-5</v>
      </c>
      <c r="F9142" s="1">
        <v>1.8132552887319901E-4</v>
      </c>
    </row>
    <row r="9143" spans="1:6" x14ac:dyDescent="0.25">
      <c r="A9143" s="2" t="str">
        <f t="shared" si="333"/>
        <v>35620</v>
      </c>
      <c r="B9143" s="2" t="str">
        <f>"11557"</f>
        <v>11557</v>
      </c>
      <c r="C9143" s="1">
        <v>4.12056279024805E-4</v>
      </c>
      <c r="D9143" s="1">
        <v>8.38167419953784E-4</v>
      </c>
      <c r="E9143" s="1">
        <v>5.1709559979595603E-4</v>
      </c>
      <c r="F9143" s="1">
        <v>4.5527667899057802E-4</v>
      </c>
    </row>
    <row r="9144" spans="1:6" x14ac:dyDescent="0.25">
      <c r="A9144" s="2" t="str">
        <f t="shared" ref="A9144:A9207" si="334">"35620"</f>
        <v>35620</v>
      </c>
      <c r="B9144" s="2" t="str">
        <f>"11431"</f>
        <v>11431</v>
      </c>
      <c r="C9144" s="1">
        <v>2.46586819150713E-4</v>
      </c>
      <c r="D9144" s="1">
        <v>1.6689717293369601E-4</v>
      </c>
      <c r="E9144" s="1">
        <v>3.4938891878105101E-6</v>
      </c>
      <c r="F9144" s="1">
        <v>2.2493278011186701E-4</v>
      </c>
    </row>
    <row r="9145" spans="1:6" x14ac:dyDescent="0.25">
      <c r="A9145" s="2" t="str">
        <f t="shared" si="334"/>
        <v>35620</v>
      </c>
      <c r="B9145" s="2" t="str">
        <f>"11423"</f>
        <v>11423</v>
      </c>
      <c r="C9145" s="1">
        <v>1.0652251995804201E-3</v>
      </c>
      <c r="D9145" s="1">
        <v>7.8539846086445302E-4</v>
      </c>
      <c r="E9145" s="1">
        <v>3.5987058634448299E-4</v>
      </c>
      <c r="F9145" s="1">
        <v>9.9819226193040202E-4</v>
      </c>
    </row>
    <row r="9146" spans="1:6" x14ac:dyDescent="0.25">
      <c r="A9146" s="2" t="str">
        <f t="shared" si="334"/>
        <v>35620</v>
      </c>
      <c r="B9146" s="2" t="str">
        <f>"11421"</f>
        <v>11421</v>
      </c>
      <c r="C9146" s="1">
        <v>1.22621578685642E-3</v>
      </c>
      <c r="D9146" s="1">
        <v>8.38167419953784E-4</v>
      </c>
      <c r="E9146" s="1">
        <v>5.5902227004968298E-4</v>
      </c>
      <c r="F9146" s="1">
        <v>1.15214389586545E-3</v>
      </c>
    </row>
    <row r="9147" spans="1:6" x14ac:dyDescent="0.25">
      <c r="A9147" s="2" t="str">
        <f t="shared" si="334"/>
        <v>35620</v>
      </c>
      <c r="B9147" s="2" t="str">
        <f>"11368"</f>
        <v>11368</v>
      </c>
      <c r="C9147" s="1">
        <v>3.0156498029233801E-3</v>
      </c>
      <c r="D9147" s="1">
        <v>2.9857413363800198E-3</v>
      </c>
      <c r="E9147" s="1">
        <v>4.6800645670721898E-3</v>
      </c>
      <c r="F9147" s="1">
        <v>3.1141519005016198E-3</v>
      </c>
    </row>
    <row r="9148" spans="1:6" x14ac:dyDescent="0.25">
      <c r="A9148" s="2" t="str">
        <f t="shared" si="334"/>
        <v>35620</v>
      </c>
      <c r="B9148" s="2" t="str">
        <f>"11405"</f>
        <v>11405</v>
      </c>
      <c r="C9148" s="1">
        <v>0</v>
      </c>
      <c r="D9148" s="1">
        <v>1.2271850951007001E-6</v>
      </c>
      <c r="E9148" s="1">
        <v>0</v>
      </c>
      <c r="F9148" s="1">
        <v>1.06100367977296E-7</v>
      </c>
    </row>
    <row r="9149" spans="1:6" x14ac:dyDescent="0.25">
      <c r="A9149" s="2" t="str">
        <f t="shared" si="334"/>
        <v>35620</v>
      </c>
      <c r="B9149" s="2" t="str">
        <f>"11386"</f>
        <v>11386</v>
      </c>
      <c r="C9149" s="1">
        <v>1.50042232036206E-4</v>
      </c>
      <c r="D9149" s="1">
        <v>1.06765103273761E-4</v>
      </c>
      <c r="E9149" s="1">
        <v>3.4938891878105101E-6</v>
      </c>
      <c r="F9149" s="1">
        <v>1.3739997653059799E-4</v>
      </c>
    </row>
    <row r="9150" spans="1:6" x14ac:dyDescent="0.25">
      <c r="A9150" s="2" t="str">
        <f t="shared" si="334"/>
        <v>35620</v>
      </c>
      <c r="B9150" s="2" t="str">
        <f>"11378"</f>
        <v>11378</v>
      </c>
      <c r="C9150" s="1">
        <v>1.2278331575168401E-3</v>
      </c>
      <c r="D9150" s="1">
        <v>1.85673104888737E-3</v>
      </c>
      <c r="E9150" s="1">
        <v>9.5557869286617698E-4</v>
      </c>
      <c r="F9150" s="1">
        <v>1.26567128960116E-3</v>
      </c>
    </row>
    <row r="9151" spans="1:6" x14ac:dyDescent="0.25">
      <c r="A9151" s="2" t="str">
        <f t="shared" si="334"/>
        <v>35620</v>
      </c>
      <c r="B9151" s="2" t="str">
        <f>"11355"</f>
        <v>11355</v>
      </c>
      <c r="C9151" s="1">
        <v>3.6056168545947598E-3</v>
      </c>
      <c r="D9151" s="1">
        <v>2.2518846495098001E-3</v>
      </c>
      <c r="E9151" s="1">
        <v>2.1959093545389102E-3</v>
      </c>
      <c r="F9151" s="1">
        <v>3.4029571021358201E-3</v>
      </c>
    </row>
    <row r="9152" spans="1:6" x14ac:dyDescent="0.25">
      <c r="A9152" s="2" t="str">
        <f t="shared" si="334"/>
        <v>35620</v>
      </c>
      <c r="B9152" s="2" t="str">
        <f>"11256"</f>
        <v>11256</v>
      </c>
      <c r="C9152" s="1">
        <v>0</v>
      </c>
      <c r="D9152" s="1">
        <v>4.7860218708927602E-5</v>
      </c>
      <c r="E9152" s="1">
        <v>1.74694459390525E-6</v>
      </c>
      <c r="F9152" s="1">
        <v>4.2440147190918396E-6</v>
      </c>
    </row>
    <row r="9153" spans="1:6" x14ac:dyDescent="0.25">
      <c r="A9153" s="2" t="str">
        <f t="shared" si="334"/>
        <v>35620</v>
      </c>
      <c r="B9153" s="2" t="str">
        <f>"11252"</f>
        <v>11252</v>
      </c>
      <c r="C9153" s="1">
        <v>0</v>
      </c>
      <c r="D9153" s="1">
        <v>4.5405848518726199E-5</v>
      </c>
      <c r="E9153" s="1">
        <v>1.74694459390525E-6</v>
      </c>
      <c r="F9153" s="1">
        <v>4.0318139831372504E-6</v>
      </c>
    </row>
    <row r="9154" spans="1:6" x14ac:dyDescent="0.25">
      <c r="A9154" s="2" t="str">
        <f t="shared" si="334"/>
        <v>35620</v>
      </c>
      <c r="B9154" s="2" t="str">
        <f>"11251"</f>
        <v>11251</v>
      </c>
      <c r="C9154" s="1">
        <v>0</v>
      </c>
      <c r="D9154" s="1">
        <v>1.2271850951007001E-6</v>
      </c>
      <c r="E9154" s="1">
        <v>0</v>
      </c>
      <c r="F9154" s="1">
        <v>1.06100367977296E-7</v>
      </c>
    </row>
    <row r="9155" spans="1:6" x14ac:dyDescent="0.25">
      <c r="A9155" s="2" t="str">
        <f t="shared" si="334"/>
        <v>35620</v>
      </c>
      <c r="B9155" s="2" t="str">
        <f>"11239"</f>
        <v>11239</v>
      </c>
      <c r="C9155" s="1">
        <v>9.86222863475129E-4</v>
      </c>
      <c r="D9155" s="1">
        <v>1.84077764265106E-4</v>
      </c>
      <c r="E9155" s="1">
        <v>2.32343630989399E-4</v>
      </c>
      <c r="F9155" s="1">
        <v>8.7108402109360098E-4</v>
      </c>
    </row>
    <row r="9156" spans="1:6" x14ac:dyDescent="0.25">
      <c r="A9156" s="2" t="str">
        <f t="shared" si="334"/>
        <v>35620</v>
      </c>
      <c r="B9156" s="2" t="str">
        <f>"11230"</f>
        <v>11230</v>
      </c>
      <c r="C9156" s="1">
        <v>4.0756496511393601E-3</v>
      </c>
      <c r="D9156" s="1">
        <v>2.67280913712934E-3</v>
      </c>
      <c r="E9156" s="1">
        <v>3.0658877623037299E-3</v>
      </c>
      <c r="F9156" s="1">
        <v>3.8930347018229501E-3</v>
      </c>
    </row>
    <row r="9157" spans="1:6" x14ac:dyDescent="0.25">
      <c r="A9157" s="2" t="str">
        <f t="shared" si="334"/>
        <v>35620</v>
      </c>
      <c r="B9157" s="2" t="str">
        <f>"11103"</f>
        <v>11103</v>
      </c>
      <c r="C9157" s="1">
        <v>2.00193163822105E-3</v>
      </c>
      <c r="D9157" s="1">
        <v>1.9941757795386502E-3</v>
      </c>
      <c r="E9157" s="1">
        <v>5.7422068801665799E-3</v>
      </c>
      <c r="F9157" s="1">
        <v>2.2284260286271501E-3</v>
      </c>
    </row>
    <row r="9158" spans="1:6" x14ac:dyDescent="0.25">
      <c r="A9158" s="2" t="str">
        <f t="shared" si="334"/>
        <v>35620</v>
      </c>
      <c r="B9158" s="2" t="str">
        <f>"11206"</f>
        <v>11206</v>
      </c>
      <c r="C9158" s="1">
        <v>4.32410266720595E-3</v>
      </c>
      <c r="D9158" s="1">
        <v>2.7292596515039701E-3</v>
      </c>
      <c r="E9158" s="1">
        <v>9.2570594031039701E-3</v>
      </c>
      <c r="F9158" s="1">
        <v>4.4858174577120996E-3</v>
      </c>
    </row>
    <row r="9159" spans="1:6" x14ac:dyDescent="0.25">
      <c r="A9159" s="2" t="str">
        <f t="shared" si="334"/>
        <v>35620</v>
      </c>
      <c r="B9159" s="2" t="str">
        <f>"10911"</f>
        <v>10911</v>
      </c>
      <c r="C9159" s="1">
        <v>1.7417837881483299E-6</v>
      </c>
      <c r="D9159" s="1">
        <v>1.2271850951007001E-6</v>
      </c>
      <c r="E9159" s="1">
        <v>1.74694459390525E-6</v>
      </c>
      <c r="F9159" s="1">
        <v>1.69760588763673E-6</v>
      </c>
    </row>
    <row r="9160" spans="1:6" x14ac:dyDescent="0.25">
      <c r="A9160" s="2" t="str">
        <f t="shared" si="334"/>
        <v>35620</v>
      </c>
      <c r="B9160" s="2" t="str">
        <f>"10710"</f>
        <v>10710</v>
      </c>
      <c r="C9160" s="1">
        <v>1.4074857139515699E-3</v>
      </c>
      <c r="D9160" s="1">
        <v>1.35726671518138E-3</v>
      </c>
      <c r="E9160" s="1">
        <v>2.0299496181179098E-3</v>
      </c>
      <c r="F9160" s="1">
        <v>1.44094909749965E-3</v>
      </c>
    </row>
    <row r="9161" spans="1:6" x14ac:dyDescent="0.25">
      <c r="A9161" s="2" t="str">
        <f t="shared" si="334"/>
        <v>35620</v>
      </c>
      <c r="B9161" s="2" t="str">
        <f>"11021"</f>
        <v>11021</v>
      </c>
      <c r="C9161" s="1">
        <v>1.0646031339418E-3</v>
      </c>
      <c r="D9161" s="1">
        <v>2.64949262032243E-3</v>
      </c>
      <c r="E9161" s="1">
        <v>1.0988281495664001E-3</v>
      </c>
      <c r="F9161" s="1">
        <v>1.20370867470242E-3</v>
      </c>
    </row>
    <row r="9162" spans="1:6" x14ac:dyDescent="0.25">
      <c r="A9162" s="2" t="str">
        <f t="shared" si="334"/>
        <v>35620</v>
      </c>
      <c r="B9162" s="2" t="str">
        <f>"10964"</f>
        <v>10964</v>
      </c>
      <c r="C9162" s="1">
        <v>6.5192478927837501E-5</v>
      </c>
      <c r="D9162" s="1">
        <v>2.8225257187316299E-5</v>
      </c>
      <c r="E9162" s="1">
        <v>6.9877783756210304E-6</v>
      </c>
      <c r="F9162" s="1">
        <v>5.8461302755490201E-5</v>
      </c>
    </row>
    <row r="9163" spans="1:6" x14ac:dyDescent="0.25">
      <c r="A9163" s="2" t="str">
        <f t="shared" si="334"/>
        <v>35620</v>
      </c>
      <c r="B9163" s="2" t="str">
        <f>"10960"</f>
        <v>10960</v>
      </c>
      <c r="C9163" s="1">
        <v>9.3633319925745203E-4</v>
      </c>
      <c r="D9163" s="1">
        <v>1.19895983791339E-3</v>
      </c>
      <c r="E9163" s="1">
        <v>1.1197914846932701E-3</v>
      </c>
      <c r="F9163" s="1">
        <v>9.7018176478439605E-4</v>
      </c>
    </row>
    <row r="9164" spans="1:6" x14ac:dyDescent="0.25">
      <c r="A9164" s="2" t="str">
        <f t="shared" si="334"/>
        <v>35620</v>
      </c>
      <c r="B9164" s="2" t="str">
        <f>"10610"</f>
        <v>10610</v>
      </c>
      <c r="C9164" s="1">
        <v>0</v>
      </c>
      <c r="D9164" s="1">
        <v>3.6815552853021201E-6</v>
      </c>
      <c r="E9164" s="1">
        <v>0</v>
      </c>
      <c r="F9164" s="1">
        <v>3.1830110393188798E-7</v>
      </c>
    </row>
    <row r="9165" spans="1:6" x14ac:dyDescent="0.25">
      <c r="A9165" s="2" t="str">
        <f t="shared" si="334"/>
        <v>35620</v>
      </c>
      <c r="B9165" s="2" t="str">
        <f>"10597"</f>
        <v>10597</v>
      </c>
      <c r="C9165" s="1">
        <v>8.5596231874717898E-5</v>
      </c>
      <c r="D9165" s="1">
        <v>2.0862146616712001E-5</v>
      </c>
      <c r="E9165" s="1">
        <v>5.2408337817157703E-6</v>
      </c>
      <c r="F9165" s="1">
        <v>7.51190605279257E-5</v>
      </c>
    </row>
    <row r="9166" spans="1:6" x14ac:dyDescent="0.25">
      <c r="A9166" s="2" t="str">
        <f t="shared" si="334"/>
        <v>35620</v>
      </c>
      <c r="B9166" s="2" t="str">
        <f>"10596"</f>
        <v>10596</v>
      </c>
      <c r="C9166" s="1">
        <v>3.8692482722437897E-5</v>
      </c>
      <c r="D9166" s="1">
        <v>0</v>
      </c>
      <c r="E9166" s="1">
        <v>1.74694459390525E-6</v>
      </c>
      <c r="F9166" s="1">
        <v>3.3103314808916401E-5</v>
      </c>
    </row>
    <row r="9167" spans="1:6" x14ac:dyDescent="0.25">
      <c r="A9167" s="2" t="str">
        <f t="shared" si="334"/>
        <v>35620</v>
      </c>
      <c r="B9167" s="2" t="str">
        <f>"10603"</f>
        <v>10603</v>
      </c>
      <c r="C9167" s="1">
        <v>1.0711970297112201E-3</v>
      </c>
      <c r="D9167" s="1">
        <v>8.7252860261660399E-4</v>
      </c>
      <c r="E9167" s="1">
        <v>1.2420776062666301E-3</v>
      </c>
      <c r="F9167" s="1">
        <v>1.06439889154823E-3</v>
      </c>
    </row>
    <row r="9168" spans="1:6" x14ac:dyDescent="0.25">
      <c r="A9168" s="2" t="str">
        <f t="shared" si="334"/>
        <v>35620</v>
      </c>
      <c r="B9168" s="2" t="str">
        <f>"10591"</f>
        <v>10591</v>
      </c>
      <c r="C9168" s="1">
        <v>1.3208941770550501E-3</v>
      </c>
      <c r="D9168" s="1">
        <v>1.95490585649542E-3</v>
      </c>
      <c r="E9168" s="1">
        <v>1.8954348843872001E-3</v>
      </c>
      <c r="F9168" s="1">
        <v>1.41060439225815E-3</v>
      </c>
    </row>
    <row r="9169" spans="1:6" x14ac:dyDescent="0.25">
      <c r="A9169" s="2" t="str">
        <f t="shared" si="334"/>
        <v>35620</v>
      </c>
      <c r="B9169" s="2" t="str">
        <f>"10503"</f>
        <v>10503</v>
      </c>
      <c r="C9169" s="1">
        <v>0</v>
      </c>
      <c r="D9169" s="1">
        <v>0</v>
      </c>
      <c r="E9169" s="1">
        <v>1.74694459390525E-6</v>
      </c>
      <c r="F9169" s="1">
        <v>1.06100367977296E-7</v>
      </c>
    </row>
    <row r="9170" spans="1:6" x14ac:dyDescent="0.25">
      <c r="A9170" s="2" t="str">
        <f t="shared" si="334"/>
        <v>35620</v>
      </c>
      <c r="B9170" s="2" t="str">
        <f>"10472"</f>
        <v>10472</v>
      </c>
      <c r="C9170" s="1">
        <v>2.86336813458813E-3</v>
      </c>
      <c r="D9170" s="1">
        <v>1.29713464552144E-3</v>
      </c>
      <c r="E9170" s="1">
        <v>4.3953125982656299E-3</v>
      </c>
      <c r="F9170" s="1">
        <v>2.8209965837803501E-3</v>
      </c>
    </row>
    <row r="9171" spans="1:6" x14ac:dyDescent="0.25">
      <c r="A9171" s="2" t="str">
        <f t="shared" si="334"/>
        <v>35620</v>
      </c>
      <c r="B9171" s="2" t="str">
        <f>"10588"</f>
        <v>10588</v>
      </c>
      <c r="C9171" s="1">
        <v>2.03539876957904E-4</v>
      </c>
      <c r="D9171" s="1">
        <v>2.23347687308329E-4</v>
      </c>
      <c r="E9171" s="1">
        <v>8.2106395913547202E-5</v>
      </c>
      <c r="F9171" s="1">
        <v>1.9787718627765701E-4</v>
      </c>
    </row>
    <row r="9172" spans="1:6" x14ac:dyDescent="0.25">
      <c r="A9172" s="2" t="str">
        <f t="shared" si="334"/>
        <v>35620</v>
      </c>
      <c r="B9172" s="2" t="str">
        <f>"10576"</f>
        <v>10576</v>
      </c>
      <c r="C9172" s="1">
        <v>2.9908915905061301E-4</v>
      </c>
      <c r="D9172" s="1">
        <v>2.6507198054175301E-4</v>
      </c>
      <c r="E9172" s="1">
        <v>4.5420559441536698E-5</v>
      </c>
      <c r="F9172" s="1">
        <v>2.80741573667925E-4</v>
      </c>
    </row>
    <row r="9173" spans="1:6" x14ac:dyDescent="0.25">
      <c r="A9173" s="2" t="str">
        <f t="shared" si="334"/>
        <v>35620</v>
      </c>
      <c r="B9173" s="2" t="str">
        <f>"10566"</f>
        <v>10566</v>
      </c>
      <c r="C9173" s="1">
        <v>1.40922749773972E-3</v>
      </c>
      <c r="D9173" s="1">
        <v>1.4677133737404399E-3</v>
      </c>
      <c r="E9173" s="1">
        <v>1.7137526466210499E-3</v>
      </c>
      <c r="F9173" s="1">
        <v>1.4327793691654E-3</v>
      </c>
    </row>
    <row r="9174" spans="1:6" x14ac:dyDescent="0.25">
      <c r="A9174" s="2" t="str">
        <f t="shared" si="334"/>
        <v>35620</v>
      </c>
      <c r="B9174" s="2" t="str">
        <f>"10468"</f>
        <v>10468</v>
      </c>
      <c r="C9174" s="1">
        <v>3.61793375423953E-3</v>
      </c>
      <c r="D9174" s="1">
        <v>1.3989910084147999E-3</v>
      </c>
      <c r="E9174" s="1">
        <v>2.73920912324344E-3</v>
      </c>
      <c r="F9174" s="1">
        <v>3.3727184972622902E-3</v>
      </c>
    </row>
    <row r="9175" spans="1:6" x14ac:dyDescent="0.25">
      <c r="A9175" s="2" t="str">
        <f t="shared" si="334"/>
        <v>35620</v>
      </c>
      <c r="B9175" s="2" t="str">
        <f>"10530"</f>
        <v>10530</v>
      </c>
      <c r="C9175" s="1">
        <v>8.7026982843554002E-4</v>
      </c>
      <c r="D9175" s="1">
        <v>7.78035350293849E-4</v>
      </c>
      <c r="E9175" s="1">
        <v>7.2672895106458803E-4</v>
      </c>
      <c r="F9175" s="1">
        <v>8.5357746037734801E-4</v>
      </c>
    </row>
    <row r="9176" spans="1:6" x14ac:dyDescent="0.25">
      <c r="A9176" s="2" t="str">
        <f t="shared" si="334"/>
        <v>35620</v>
      </c>
      <c r="B9176" s="2" t="str">
        <f>"10519"</f>
        <v>10519</v>
      </c>
      <c r="C9176" s="1">
        <v>9.1568062005512204E-5</v>
      </c>
      <c r="D9176" s="1">
        <v>1.31308805175775E-4</v>
      </c>
      <c r="E9176" s="1">
        <v>3.4938891878105101E-6</v>
      </c>
      <c r="F9176" s="1">
        <v>8.9654810940815305E-5</v>
      </c>
    </row>
    <row r="9177" spans="1:6" x14ac:dyDescent="0.25">
      <c r="A9177" s="2" t="str">
        <f t="shared" si="334"/>
        <v>35620</v>
      </c>
      <c r="B9177" s="2" t="str">
        <f>"10465"</f>
        <v>10465</v>
      </c>
      <c r="C9177" s="1">
        <v>2.18743161165885E-3</v>
      </c>
      <c r="D9177" s="1">
        <v>9.4247815303734404E-4</v>
      </c>
      <c r="E9177" s="1">
        <v>1.55652763316958E-3</v>
      </c>
      <c r="F9177" s="1">
        <v>2.0414771802511498E-3</v>
      </c>
    </row>
    <row r="9178" spans="1:6" x14ac:dyDescent="0.25">
      <c r="A9178" s="2" t="str">
        <f t="shared" si="334"/>
        <v>35620</v>
      </c>
      <c r="B9178" s="2" t="str">
        <f>"10309"</f>
        <v>10309</v>
      </c>
      <c r="C9178" s="1">
        <v>1.2972556827873299E-3</v>
      </c>
      <c r="D9178" s="1">
        <v>1.5707969217289E-3</v>
      </c>
      <c r="E9178" s="1">
        <v>3.6336447553229402E-4</v>
      </c>
      <c r="F9178" s="1">
        <v>1.2641858844494799E-3</v>
      </c>
    </row>
    <row r="9179" spans="1:6" x14ac:dyDescent="0.25">
      <c r="A9179" s="2" t="str">
        <f t="shared" si="334"/>
        <v>35620</v>
      </c>
      <c r="B9179" s="2" t="str">
        <f>"10307"</f>
        <v>10307</v>
      </c>
      <c r="C9179" s="1">
        <v>5.2863137970301805E-4</v>
      </c>
      <c r="D9179" s="1">
        <v>3.1661375453598202E-4</v>
      </c>
      <c r="E9179" s="1">
        <v>1.5023723507585199E-4</v>
      </c>
      <c r="F9179" s="1">
        <v>4.8731899011972101E-4</v>
      </c>
    </row>
    <row r="9180" spans="1:6" x14ac:dyDescent="0.25">
      <c r="A9180" s="2" t="str">
        <f t="shared" si="334"/>
        <v>35620</v>
      </c>
      <c r="B9180" s="2" t="str">
        <f>"10213"</f>
        <v>10213</v>
      </c>
      <c r="C9180" s="1">
        <v>0</v>
      </c>
      <c r="D9180" s="1">
        <v>0</v>
      </c>
      <c r="E9180" s="1">
        <v>3.4938891878105101E-6</v>
      </c>
      <c r="F9180" s="1">
        <v>2.12200735954592E-7</v>
      </c>
    </row>
    <row r="9181" spans="1:6" x14ac:dyDescent="0.25">
      <c r="A9181" s="2" t="str">
        <f t="shared" si="334"/>
        <v>35620</v>
      </c>
      <c r="B9181" s="2" t="str">
        <f>"10162"</f>
        <v>10162</v>
      </c>
      <c r="C9181" s="1">
        <v>3.1339666873897399E-4</v>
      </c>
      <c r="D9181" s="1">
        <v>1.5953406236309201E-5</v>
      </c>
      <c r="E9181" s="1">
        <v>1.3975556751242E-5</v>
      </c>
      <c r="F9181" s="1">
        <v>2.6949493466233202E-4</v>
      </c>
    </row>
    <row r="9182" spans="1:6" x14ac:dyDescent="0.25">
      <c r="A9182" s="2" t="str">
        <f t="shared" si="334"/>
        <v>35620</v>
      </c>
      <c r="B9182" s="2" t="str">
        <f>"10276"</f>
        <v>10276</v>
      </c>
      <c r="C9182" s="1">
        <v>1.15082143145514E-4</v>
      </c>
      <c r="D9182" s="1">
        <v>4.7001189142357102E-4</v>
      </c>
      <c r="E9182" s="1">
        <v>3.4938891878105101E-6</v>
      </c>
      <c r="F9182" s="1">
        <v>1.3899148205025801E-4</v>
      </c>
    </row>
    <row r="9183" spans="1:6" x14ac:dyDescent="0.25">
      <c r="A9183" s="2" t="str">
        <f t="shared" si="334"/>
        <v>35620</v>
      </c>
      <c r="B9183" s="2" t="str">
        <f>"10274"</f>
        <v>10274</v>
      </c>
      <c r="C9183" s="1">
        <v>1.78657251412928E-4</v>
      </c>
      <c r="D9183" s="1">
        <v>3.7306426891061501E-4</v>
      </c>
      <c r="E9183" s="1">
        <v>3.4938891878105101E-6</v>
      </c>
      <c r="F9183" s="1">
        <v>1.8482684101645E-4</v>
      </c>
    </row>
    <row r="9184" spans="1:6" x14ac:dyDescent="0.25">
      <c r="A9184" s="2" t="str">
        <f t="shared" si="334"/>
        <v>35620</v>
      </c>
      <c r="B9184" s="2" t="str">
        <f>"10185"</f>
        <v>10185</v>
      </c>
      <c r="C9184" s="1">
        <v>4.7152575407729798E-4</v>
      </c>
      <c r="D9184" s="1">
        <v>8.0871497767136702E-4</v>
      </c>
      <c r="E9184" s="1">
        <v>3.4938891878105101E-6</v>
      </c>
      <c r="F9184" s="1">
        <v>4.72252737866945E-4</v>
      </c>
    </row>
    <row r="9185" spans="1:6" x14ac:dyDescent="0.25">
      <c r="A9185" s="2" t="str">
        <f t="shared" si="334"/>
        <v>35620</v>
      </c>
      <c r="B9185" s="2" t="str">
        <f>"10170"</f>
        <v>10170</v>
      </c>
      <c r="C9185" s="1">
        <v>0</v>
      </c>
      <c r="D9185" s="1">
        <v>3.1047782906047899E-4</v>
      </c>
      <c r="E9185" s="1">
        <v>2.96980580963894E-5</v>
      </c>
      <c r="F9185" s="1">
        <v>2.8647099353869901E-5</v>
      </c>
    </row>
    <row r="9186" spans="1:6" x14ac:dyDescent="0.25">
      <c r="A9186" s="2" t="str">
        <f t="shared" si="334"/>
        <v>35620</v>
      </c>
      <c r="B9186" s="2" t="str">
        <f>"10163"</f>
        <v>10163</v>
      </c>
      <c r="C9186" s="1">
        <v>4.4651871540459702E-4</v>
      </c>
      <c r="D9186" s="1">
        <v>1.2333210205762099E-3</v>
      </c>
      <c r="E9186" s="1">
        <v>3.4938891878105101E-6</v>
      </c>
      <c r="F9186" s="1">
        <v>4.8763729122365302E-4</v>
      </c>
    </row>
    <row r="9187" spans="1:6" x14ac:dyDescent="0.25">
      <c r="A9187" s="2" t="str">
        <f t="shared" si="334"/>
        <v>35620</v>
      </c>
      <c r="B9187" s="2" t="str">
        <f>"10158"</f>
        <v>10158</v>
      </c>
      <c r="C9187" s="1">
        <v>0</v>
      </c>
      <c r="D9187" s="1">
        <v>3.4361182662819798E-5</v>
      </c>
      <c r="E9187" s="1">
        <v>5.2408337817157703E-6</v>
      </c>
      <c r="F9187" s="1">
        <v>3.2891114072961799E-6</v>
      </c>
    </row>
    <row r="9188" spans="1:6" x14ac:dyDescent="0.25">
      <c r="A9188" s="2" t="str">
        <f t="shared" si="334"/>
        <v>35620</v>
      </c>
      <c r="B9188" s="2" t="str">
        <f>"10041"</f>
        <v>10041</v>
      </c>
      <c r="C9188" s="1">
        <v>0</v>
      </c>
      <c r="D9188" s="1">
        <v>6.8722365325639705E-5</v>
      </c>
      <c r="E9188" s="1">
        <v>8.7347229695262897E-6</v>
      </c>
      <c r="F9188" s="1">
        <v>6.47212244661506E-6</v>
      </c>
    </row>
    <row r="9189" spans="1:6" x14ac:dyDescent="0.25">
      <c r="A9189" s="2" t="str">
        <f t="shared" si="334"/>
        <v>35620</v>
      </c>
      <c r="B9189" s="2" t="str">
        <f>"10115"</f>
        <v>10115</v>
      </c>
      <c r="C9189" s="1">
        <v>0</v>
      </c>
      <c r="D9189" s="1">
        <v>1.68124358028797E-4</v>
      </c>
      <c r="E9189" s="1">
        <v>6.9877783756210304E-6</v>
      </c>
      <c r="F9189" s="1">
        <v>1.4960151884798699E-5</v>
      </c>
    </row>
    <row r="9190" spans="1:6" x14ac:dyDescent="0.25">
      <c r="A9190" s="2" t="str">
        <f t="shared" si="334"/>
        <v>35620</v>
      </c>
      <c r="B9190" s="2" t="str">
        <f>"10055"</f>
        <v>10055</v>
      </c>
      <c r="C9190" s="1">
        <v>0</v>
      </c>
      <c r="D9190" s="1">
        <v>3.4361182662819798E-5</v>
      </c>
      <c r="E9190" s="1">
        <v>6.9877783756210304E-6</v>
      </c>
      <c r="F9190" s="1">
        <v>3.3952117752734698E-6</v>
      </c>
    </row>
    <row r="9191" spans="1:6" x14ac:dyDescent="0.25">
      <c r="A9191" s="2" t="str">
        <f t="shared" si="334"/>
        <v>35620</v>
      </c>
      <c r="B9191" s="2" t="str">
        <f>"10027"</f>
        <v>10027</v>
      </c>
      <c r="C9191" s="1">
        <v>3.7246802178274802E-3</v>
      </c>
      <c r="D9191" s="1">
        <v>2.3255157552158402E-3</v>
      </c>
      <c r="E9191" s="1">
        <v>4.9298776440006402E-3</v>
      </c>
      <c r="F9191" s="1">
        <v>3.6769082522532001E-3</v>
      </c>
    </row>
    <row r="9192" spans="1:6" x14ac:dyDescent="0.25">
      <c r="A9192" s="2" t="str">
        <f t="shared" si="334"/>
        <v>35620</v>
      </c>
      <c r="B9192" s="2" t="str">
        <f>"10001"</f>
        <v>10001</v>
      </c>
      <c r="C9192" s="1">
        <v>2.3547672684488099E-3</v>
      </c>
      <c r="D9192" s="1">
        <v>1.40537237090933E-2</v>
      </c>
      <c r="E9192" s="1">
        <v>4.3271817591033204E-3</v>
      </c>
      <c r="F9192" s="1">
        <v>3.4860336902620402E-3</v>
      </c>
    </row>
    <row r="9193" spans="1:6" x14ac:dyDescent="0.25">
      <c r="A9193" s="2" t="str">
        <f t="shared" si="334"/>
        <v>35620</v>
      </c>
      <c r="B9193" s="2" t="str">
        <f>"10002"</f>
        <v>10002</v>
      </c>
      <c r="C9193" s="1">
        <v>6.0269451463763899E-3</v>
      </c>
      <c r="D9193" s="1">
        <v>4.5172683350656996E-3</v>
      </c>
      <c r="E9193" s="1">
        <v>5.3858301830099096E-3</v>
      </c>
      <c r="F9193" s="1">
        <v>5.8574830149225902E-3</v>
      </c>
    </row>
    <row r="9194" spans="1:6" x14ac:dyDescent="0.25">
      <c r="A9194" s="2" t="str">
        <f t="shared" si="334"/>
        <v>35620</v>
      </c>
      <c r="B9194" s="2" t="str">
        <f>"08884"</f>
        <v>08884</v>
      </c>
      <c r="C9194" s="1">
        <v>4.12429518407979E-4</v>
      </c>
      <c r="D9194" s="1">
        <v>2.54027314685846E-4</v>
      </c>
      <c r="E9194" s="1">
        <v>1.0656362022822E-4</v>
      </c>
      <c r="F9194" s="1">
        <v>3.8015761846265202E-4</v>
      </c>
    </row>
    <row r="9195" spans="1:6" x14ac:dyDescent="0.25">
      <c r="A9195" s="2" t="str">
        <f t="shared" si="334"/>
        <v>35620</v>
      </c>
      <c r="B9195" s="2" t="str">
        <f>"08807"</f>
        <v>08807</v>
      </c>
      <c r="C9195" s="1">
        <v>1.8637086533187101E-3</v>
      </c>
      <c r="D9195" s="1">
        <v>1.8751388253138801E-3</v>
      </c>
      <c r="E9195" s="1">
        <v>1.34165344811923E-3</v>
      </c>
      <c r="F9195" s="1">
        <v>1.83298995717576E-3</v>
      </c>
    </row>
    <row r="9196" spans="1:6" x14ac:dyDescent="0.25">
      <c r="A9196" s="2" t="str">
        <f t="shared" si="334"/>
        <v>35620</v>
      </c>
      <c r="B9196" s="2" t="str">
        <f>"08755"</f>
        <v>08755</v>
      </c>
      <c r="C9196" s="1">
        <v>1.41358195721009E-3</v>
      </c>
      <c r="D9196" s="1">
        <v>1.70701446728508E-3</v>
      </c>
      <c r="E9196" s="1">
        <v>4.4372392685193502E-4</v>
      </c>
      <c r="F9196" s="1">
        <v>1.3800474862806899E-3</v>
      </c>
    </row>
    <row r="9197" spans="1:6" x14ac:dyDescent="0.25">
      <c r="A9197" s="2" t="str">
        <f t="shared" si="334"/>
        <v>35620</v>
      </c>
      <c r="B9197" s="2" t="str">
        <f>"08844"</f>
        <v>08844</v>
      </c>
      <c r="C9197" s="1">
        <v>2.1236076771359801E-3</v>
      </c>
      <c r="D9197" s="1">
        <v>1.95490585649542E-3</v>
      </c>
      <c r="E9197" s="1">
        <v>1.31370233461675E-3</v>
      </c>
      <c r="F9197" s="1">
        <v>2.05983254391122E-3</v>
      </c>
    </row>
    <row r="9198" spans="1:6" x14ac:dyDescent="0.25">
      <c r="A9198" s="2" t="str">
        <f t="shared" si="334"/>
        <v>35620</v>
      </c>
      <c r="B9198" s="2" t="str">
        <f>"08840"</f>
        <v>08840</v>
      </c>
      <c r="C9198" s="1">
        <v>9.0299048102718401E-4</v>
      </c>
      <c r="D9198" s="1">
        <v>1.35726671518138E-3</v>
      </c>
      <c r="E9198" s="1">
        <v>6.8305533621695598E-4</v>
      </c>
      <c r="F9198" s="1">
        <v>9.2890872164122799E-4</v>
      </c>
    </row>
    <row r="9199" spans="1:6" x14ac:dyDescent="0.25">
      <c r="A9199" s="2" t="str">
        <f t="shared" si="334"/>
        <v>35620</v>
      </c>
      <c r="B9199" s="2" t="str">
        <f>"08836"</f>
        <v>08836</v>
      </c>
      <c r="C9199" s="1">
        <v>2.2668071871473201E-4</v>
      </c>
      <c r="D9199" s="1">
        <v>3.08023458870277E-4</v>
      </c>
      <c r="E9199" s="1">
        <v>5.4155282411062999E-5</v>
      </c>
      <c r="F9199" s="1">
        <v>2.23235174224231E-4</v>
      </c>
    </row>
    <row r="9200" spans="1:6" x14ac:dyDescent="0.25">
      <c r="A9200" s="2" t="str">
        <f t="shared" si="334"/>
        <v>35620</v>
      </c>
      <c r="B9200" s="2" t="str">
        <f>"08831"</f>
        <v>08831</v>
      </c>
      <c r="C9200" s="1">
        <v>3.22503709688435E-3</v>
      </c>
      <c r="D9200" s="1">
        <v>1.50821048187877E-3</v>
      </c>
      <c r="E9200" s="1">
        <v>1.0009992523077099E-3</v>
      </c>
      <c r="F9200" s="1">
        <v>2.9415266018025599E-3</v>
      </c>
    </row>
    <row r="9201" spans="1:6" x14ac:dyDescent="0.25">
      <c r="A9201" s="2" t="str">
        <f t="shared" si="334"/>
        <v>35620</v>
      </c>
      <c r="B9201" s="2" t="str">
        <f>"08859"</f>
        <v>08859</v>
      </c>
      <c r="C9201" s="1">
        <v>1.1296711997419099E-3</v>
      </c>
      <c r="D9201" s="1">
        <v>4.5651285537746299E-4</v>
      </c>
      <c r="E9201" s="1">
        <v>3.9306253362868297E-4</v>
      </c>
      <c r="F9201" s="1">
        <v>1.02673326091629E-3</v>
      </c>
    </row>
    <row r="9202" spans="1:6" x14ac:dyDescent="0.25">
      <c r="A9202" s="2" t="str">
        <f t="shared" si="334"/>
        <v>35620</v>
      </c>
      <c r="B9202" s="2" t="str">
        <f>"08850"</f>
        <v>08850</v>
      </c>
      <c r="C9202" s="1">
        <v>4.7053044905549899E-4</v>
      </c>
      <c r="D9202" s="1">
        <v>4.8719248275498102E-4</v>
      </c>
      <c r="E9202" s="1">
        <v>1.4674334588804099E-4</v>
      </c>
      <c r="F9202" s="1">
        <v>4.52305868687213E-4</v>
      </c>
    </row>
    <row r="9203" spans="1:6" x14ac:dyDescent="0.25">
      <c r="A9203" s="2" t="str">
        <f t="shared" si="334"/>
        <v>35620</v>
      </c>
      <c r="B9203" s="2" t="str">
        <f>"08735"</f>
        <v>08735</v>
      </c>
      <c r="C9203" s="1">
        <v>9.0622522234803102E-4</v>
      </c>
      <c r="D9203" s="1">
        <v>2.6016324016135E-4</v>
      </c>
      <c r="E9203" s="1">
        <v>1.9216390532957801E-4</v>
      </c>
      <c r="F9203" s="1">
        <v>8.0699939883531501E-4</v>
      </c>
    </row>
    <row r="9204" spans="1:6" x14ac:dyDescent="0.25">
      <c r="A9204" s="2" t="str">
        <f t="shared" si="334"/>
        <v>35620</v>
      </c>
      <c r="B9204" s="2" t="str">
        <f>"08733"</f>
        <v>08733</v>
      </c>
      <c r="C9204" s="1">
        <v>1.2466195398033001E-4</v>
      </c>
      <c r="D9204" s="1">
        <v>1.31308805175775E-4</v>
      </c>
      <c r="E9204" s="1">
        <v>4.0179725659820898E-5</v>
      </c>
      <c r="F9204" s="1">
        <v>1.20105616550299E-4</v>
      </c>
    </row>
    <row r="9205" spans="1:6" x14ac:dyDescent="0.25">
      <c r="A9205" s="2" t="str">
        <f t="shared" si="334"/>
        <v>35620</v>
      </c>
      <c r="B9205" s="2" t="str">
        <f>"08732"</f>
        <v>08732</v>
      </c>
      <c r="C9205" s="1">
        <v>1.33122046665622E-4</v>
      </c>
      <c r="D9205" s="1">
        <v>1.84077764265106E-4</v>
      </c>
      <c r="E9205" s="1">
        <v>1.54604596560615E-3</v>
      </c>
      <c r="F9205" s="1">
        <v>2.23341274592208E-4</v>
      </c>
    </row>
    <row r="9206" spans="1:6" x14ac:dyDescent="0.25">
      <c r="A9206" s="2" t="str">
        <f t="shared" si="334"/>
        <v>35620</v>
      </c>
      <c r="B9206" s="2" t="str">
        <f>"08731"</f>
        <v>08731</v>
      </c>
      <c r="C9206" s="1">
        <v>1.25769230817081E-3</v>
      </c>
      <c r="D9206" s="1">
        <v>9.4125096794224299E-4</v>
      </c>
      <c r="E9206" s="1">
        <v>2.5680085530407302E-4</v>
      </c>
      <c r="F9206" s="1">
        <v>1.16954435621373E-3</v>
      </c>
    </row>
    <row r="9207" spans="1:6" x14ac:dyDescent="0.25">
      <c r="A9207" s="2" t="str">
        <f t="shared" si="334"/>
        <v>35620</v>
      </c>
      <c r="B9207" s="2" t="str">
        <f>"08751"</f>
        <v>08751</v>
      </c>
      <c r="C9207" s="1">
        <v>6.55159530599222E-4</v>
      </c>
      <c r="D9207" s="1">
        <v>3.2029530982128501E-4</v>
      </c>
      <c r="E9207" s="1">
        <v>7.8263117806955595E-4</v>
      </c>
      <c r="F9207" s="1">
        <v>6.3394969866434401E-4</v>
      </c>
    </row>
    <row r="9208" spans="1:6" x14ac:dyDescent="0.25">
      <c r="A9208" s="2" t="str">
        <f t="shared" ref="A9208:A9271" si="335">"35620"</f>
        <v>35620</v>
      </c>
      <c r="B9208" s="2" t="str">
        <f>"08818"</f>
        <v>08818</v>
      </c>
      <c r="C9208" s="1">
        <v>1.13340359357366E-4</v>
      </c>
      <c r="D9208" s="1">
        <v>4.99464333705988E-4</v>
      </c>
      <c r="E9208" s="1">
        <v>1.04816675634315E-5</v>
      </c>
      <c r="F9208" s="1">
        <v>1.4047688720194001E-4</v>
      </c>
    </row>
    <row r="9209" spans="1:6" x14ac:dyDescent="0.25">
      <c r="A9209" s="2" t="str">
        <f t="shared" si="335"/>
        <v>35620</v>
      </c>
      <c r="B9209" s="2" t="str">
        <f>"08722"</f>
        <v>08722</v>
      </c>
      <c r="C9209" s="1">
        <v>4.8334500121116099E-4</v>
      </c>
      <c r="D9209" s="1">
        <v>1.60761247458192E-4</v>
      </c>
      <c r="E9209" s="1">
        <v>4.0179725659820898E-5</v>
      </c>
      <c r="F9209" s="1">
        <v>4.28539386260299E-4</v>
      </c>
    </row>
    <row r="9210" spans="1:6" x14ac:dyDescent="0.25">
      <c r="A9210" s="2" t="str">
        <f t="shared" si="335"/>
        <v>35620</v>
      </c>
      <c r="B9210" s="2" t="str">
        <f>"08691"</f>
        <v>08691</v>
      </c>
      <c r="C9210" s="1">
        <v>1.06995289843397E-5</v>
      </c>
      <c r="D9210" s="1">
        <v>3.6815552853021201E-6</v>
      </c>
      <c r="E9210" s="1">
        <v>0</v>
      </c>
      <c r="F9210" s="1">
        <v>9.4429327499793598E-6</v>
      </c>
    </row>
    <row r="9211" spans="1:6" x14ac:dyDescent="0.25">
      <c r="A9211" s="2" t="str">
        <f t="shared" si="335"/>
        <v>35620</v>
      </c>
      <c r="B9211" s="2" t="str">
        <f>"08540"</f>
        <v>08540</v>
      </c>
      <c r="C9211" s="1">
        <v>7.2595060027467898E-4</v>
      </c>
      <c r="D9211" s="1">
        <v>1.0075189630776801E-3</v>
      </c>
      <c r="E9211" s="1">
        <v>2.27102797207683E-4</v>
      </c>
      <c r="F9211" s="1">
        <v>7.1999709709393196E-4</v>
      </c>
    </row>
    <row r="9212" spans="1:6" x14ac:dyDescent="0.25">
      <c r="A9212" s="2" t="str">
        <f t="shared" si="335"/>
        <v>35620</v>
      </c>
      <c r="B9212" s="2" t="str">
        <f>"08525"</f>
        <v>08525</v>
      </c>
      <c r="C9212" s="1">
        <v>3.3715957613442602E-5</v>
      </c>
      <c r="D9212" s="1">
        <v>6.1359254755035401E-6</v>
      </c>
      <c r="E9212" s="1">
        <v>5.2408337817157703E-6</v>
      </c>
      <c r="F9212" s="1">
        <v>2.96020026656656E-5</v>
      </c>
    </row>
    <row r="9213" spans="1:6" x14ac:dyDescent="0.25">
      <c r="A9213" s="2" t="str">
        <f t="shared" si="335"/>
        <v>35620</v>
      </c>
      <c r="B9213" s="2" t="str">
        <f>"08535"</f>
        <v>08535</v>
      </c>
      <c r="C9213" s="1">
        <v>2.23072738010711E-4</v>
      </c>
      <c r="D9213" s="1">
        <v>1.7794183878960199E-4</v>
      </c>
      <c r="E9213" s="1">
        <v>6.9877783756210304E-5</v>
      </c>
      <c r="F9213" s="1">
        <v>2.09866527859091E-4</v>
      </c>
    </row>
    <row r="9214" spans="1:6" x14ac:dyDescent="0.25">
      <c r="A9214" s="2" t="str">
        <f t="shared" si="335"/>
        <v>35620</v>
      </c>
      <c r="B9214" s="2" t="str">
        <f>"08520"</f>
        <v>08520</v>
      </c>
      <c r="C9214" s="1">
        <v>8.7089189407416496E-7</v>
      </c>
      <c r="D9214" s="1">
        <v>1.2271850951007001E-6</v>
      </c>
      <c r="E9214" s="1">
        <v>0</v>
      </c>
      <c r="F9214" s="1">
        <v>8.4880294381836905E-7</v>
      </c>
    </row>
    <row r="9215" spans="1:6" x14ac:dyDescent="0.25">
      <c r="A9215" s="2" t="str">
        <f t="shared" si="335"/>
        <v>35620</v>
      </c>
      <c r="B9215" s="2" t="str">
        <f>"08510"</f>
        <v>08510</v>
      </c>
      <c r="C9215" s="1">
        <v>2.12124382770921E-4</v>
      </c>
      <c r="D9215" s="1">
        <v>7.24039206109418E-5</v>
      </c>
      <c r="E9215" s="1">
        <v>2.96980580963894E-5</v>
      </c>
      <c r="F9215" s="1">
        <v>1.8896475536756401E-4</v>
      </c>
    </row>
    <row r="9216" spans="1:6" x14ac:dyDescent="0.25">
      <c r="A9216" s="2" t="str">
        <f t="shared" si="335"/>
        <v>35620</v>
      </c>
      <c r="B9216" s="2" t="str">
        <f>"07945"</f>
        <v>07945</v>
      </c>
      <c r="C9216" s="1">
        <v>4.6443420579697902E-4</v>
      </c>
      <c r="D9216" s="1">
        <v>3.9515360062242802E-4</v>
      </c>
      <c r="E9216" s="1">
        <v>2.5854779989797802E-4</v>
      </c>
      <c r="F9216" s="1">
        <v>4.4593984660857601E-4</v>
      </c>
    </row>
    <row r="9217" spans="1:6" x14ac:dyDescent="0.25">
      <c r="A9217" s="2" t="str">
        <f t="shared" si="335"/>
        <v>35620</v>
      </c>
      <c r="B9217" s="2" t="str">
        <f>"07924"</f>
        <v>07924</v>
      </c>
      <c r="C9217" s="1">
        <v>4.1280275779115397E-4</v>
      </c>
      <c r="D9217" s="1">
        <v>6.4918091530827499E-4</v>
      </c>
      <c r="E9217" s="1">
        <v>8.6473757398310299E-4</v>
      </c>
      <c r="F9217" s="1">
        <v>4.6068779775742001E-4</v>
      </c>
    </row>
    <row r="9218" spans="1:6" x14ac:dyDescent="0.25">
      <c r="A9218" s="2" t="str">
        <f t="shared" si="335"/>
        <v>35620</v>
      </c>
      <c r="B9218" s="2" t="str">
        <f>"07869"</f>
        <v>07869</v>
      </c>
      <c r="C9218" s="1">
        <v>1.1753308176169399E-3</v>
      </c>
      <c r="D9218" s="1">
        <v>9.5352281889325003E-4</v>
      </c>
      <c r="E9218" s="1">
        <v>6.5335727812056697E-4</v>
      </c>
      <c r="F9218" s="1">
        <v>1.1244516998233801E-3</v>
      </c>
    </row>
    <row r="9219" spans="1:6" x14ac:dyDescent="0.25">
      <c r="A9219" s="2" t="str">
        <f t="shared" si="335"/>
        <v>35620</v>
      </c>
      <c r="B9219" s="2" t="str">
        <f>"07852"</f>
        <v>07852</v>
      </c>
      <c r="C9219" s="1">
        <v>1.9022767229134199E-4</v>
      </c>
      <c r="D9219" s="1">
        <v>3.2765842039188898E-4</v>
      </c>
      <c r="E9219" s="1">
        <v>1.4150251210632599E-4</v>
      </c>
      <c r="F9219" s="1">
        <v>1.99150390693385E-4</v>
      </c>
    </row>
    <row r="9220" spans="1:6" x14ac:dyDescent="0.25">
      <c r="A9220" s="2" t="str">
        <f t="shared" si="335"/>
        <v>35620</v>
      </c>
      <c r="B9220" s="2" t="str">
        <f>"07871"</f>
        <v>07871</v>
      </c>
      <c r="C9220" s="1">
        <v>1.1255655665269901E-3</v>
      </c>
      <c r="D9220" s="1">
        <v>1.41126285936581E-3</v>
      </c>
      <c r="E9220" s="1">
        <v>6.13177552460746E-4</v>
      </c>
      <c r="F9220" s="1">
        <v>1.11914668142452E-3</v>
      </c>
    </row>
    <row r="9221" spans="1:6" x14ac:dyDescent="0.25">
      <c r="A9221" s="2" t="str">
        <f t="shared" si="335"/>
        <v>35620</v>
      </c>
      <c r="B9221" s="2" t="str">
        <f>"07677"</f>
        <v>07677</v>
      </c>
      <c r="C9221" s="1">
        <v>2.7072296592933997E-4</v>
      </c>
      <c r="D9221" s="1">
        <v>2.9697879301437101E-4</v>
      </c>
      <c r="E9221" s="1">
        <v>1.3626167832461001E-4</v>
      </c>
      <c r="F9221" s="1">
        <v>2.6482651847133099E-4</v>
      </c>
    </row>
    <row r="9222" spans="1:6" x14ac:dyDescent="0.25">
      <c r="A9222" s="2" t="str">
        <f t="shared" si="335"/>
        <v>35620</v>
      </c>
      <c r="B9222" s="2" t="str">
        <f>"07735"</f>
        <v>07735</v>
      </c>
      <c r="C9222" s="1">
        <v>1.08923693323133E-3</v>
      </c>
      <c r="D9222" s="1">
        <v>9.2284319151573297E-4</v>
      </c>
      <c r="E9222" s="1">
        <v>8.4202729426233495E-4</v>
      </c>
      <c r="F9222" s="1">
        <v>1.0598365757252099E-3</v>
      </c>
    </row>
    <row r="9223" spans="1:6" x14ac:dyDescent="0.25">
      <c r="A9223" s="2" t="str">
        <f t="shared" si="335"/>
        <v>35620</v>
      </c>
      <c r="B9223" s="2" t="str">
        <f>"07750"</f>
        <v>07750</v>
      </c>
      <c r="C9223" s="1">
        <v>2.5268306240923199E-4</v>
      </c>
      <c r="D9223" s="1">
        <v>9.3266067227653794E-5</v>
      </c>
      <c r="E9223" s="1">
        <v>5.9920199570950405E-4</v>
      </c>
      <c r="F9223" s="1">
        <v>2.5994590154437499E-4</v>
      </c>
    </row>
    <row r="9224" spans="1:6" x14ac:dyDescent="0.25">
      <c r="A9224" s="2" t="str">
        <f t="shared" si="335"/>
        <v>35620</v>
      </c>
      <c r="B9224" s="2" t="str">
        <f>"07733"</f>
        <v>07733</v>
      </c>
      <c r="C9224" s="1">
        <v>7.9487547303426303E-4</v>
      </c>
      <c r="D9224" s="1">
        <v>9.1179852565982601E-4</v>
      </c>
      <c r="E9224" s="1">
        <v>1.9740473911129399E-4</v>
      </c>
      <c r="F9224" s="1">
        <v>7.68697165995511E-4</v>
      </c>
    </row>
    <row r="9225" spans="1:6" x14ac:dyDescent="0.25">
      <c r="A9225" s="2" t="str">
        <f t="shared" si="335"/>
        <v>35620</v>
      </c>
      <c r="B9225" s="2" t="str">
        <f>"07643"</f>
        <v>07643</v>
      </c>
      <c r="C9225" s="1">
        <v>6.1970178919763103E-4</v>
      </c>
      <c r="D9225" s="1">
        <v>7.0440424458780601E-4</v>
      </c>
      <c r="E9225" s="1">
        <v>9.7130119421132404E-4</v>
      </c>
      <c r="F9225" s="1">
        <v>6.4837934870925703E-4</v>
      </c>
    </row>
    <row r="9226" spans="1:6" x14ac:dyDescent="0.25">
      <c r="A9226" s="2" t="str">
        <f t="shared" si="335"/>
        <v>35620</v>
      </c>
      <c r="B9226" s="2" t="str">
        <f>"07606"</f>
        <v>07606</v>
      </c>
      <c r="C9226" s="1">
        <v>1.6099058727599499E-4</v>
      </c>
      <c r="D9226" s="1">
        <v>7.3385668687022299E-4</v>
      </c>
      <c r="E9226" s="1">
        <v>2.28849741801589E-4</v>
      </c>
      <c r="F9226" s="1">
        <v>2.1464104441807001E-4</v>
      </c>
    </row>
    <row r="9227" spans="1:6" x14ac:dyDescent="0.25">
      <c r="A9227" s="2" t="str">
        <f t="shared" si="335"/>
        <v>35620</v>
      </c>
      <c r="B9227" s="2" t="str">
        <f>"07510"</f>
        <v>07510</v>
      </c>
      <c r="C9227" s="1">
        <v>0</v>
      </c>
      <c r="D9227" s="1">
        <v>1.2271850951007001E-6</v>
      </c>
      <c r="E9227" s="1">
        <v>0</v>
      </c>
      <c r="F9227" s="1">
        <v>1.06100367977296E-7</v>
      </c>
    </row>
    <row r="9228" spans="1:6" x14ac:dyDescent="0.25">
      <c r="A9228" s="2" t="str">
        <f t="shared" si="335"/>
        <v>35620</v>
      </c>
      <c r="B9228" s="2" t="str">
        <f>"07452"</f>
        <v>07452</v>
      </c>
      <c r="C9228" s="1">
        <v>5.0312668851941705E-4</v>
      </c>
      <c r="D9228" s="1">
        <v>4.9578277842068604E-4</v>
      </c>
      <c r="E9228" s="1">
        <v>2.18368074238157E-4</v>
      </c>
      <c r="F9228" s="1">
        <v>4.8519698276017502E-4</v>
      </c>
    </row>
    <row r="9229" spans="1:6" x14ac:dyDescent="0.25">
      <c r="A9229" s="2" t="str">
        <f t="shared" si="335"/>
        <v>35620</v>
      </c>
      <c r="B9229" s="2" t="str">
        <f>"07440"</f>
        <v>07440</v>
      </c>
      <c r="C9229" s="1">
        <v>2.10755838365948E-4</v>
      </c>
      <c r="D9229" s="1">
        <v>1.4848939650718499E-4</v>
      </c>
      <c r="E9229" s="1">
        <v>1.9041696073567301E-4</v>
      </c>
      <c r="F9229" s="1">
        <v>2.0413710798831701E-4</v>
      </c>
    </row>
    <row r="9230" spans="1:6" x14ac:dyDescent="0.25">
      <c r="A9230" s="2" t="str">
        <f t="shared" si="335"/>
        <v>35620</v>
      </c>
      <c r="B9230" s="2" t="str">
        <f>"07435"</f>
        <v>07435</v>
      </c>
      <c r="C9230" s="1">
        <v>1.4568777256583501E-4</v>
      </c>
      <c r="D9230" s="1">
        <v>2.7734383149276E-4</v>
      </c>
      <c r="E9230" s="1">
        <v>1.64212791827094E-4</v>
      </c>
      <c r="F9230" s="1">
        <v>1.58195648654148E-4</v>
      </c>
    </row>
    <row r="9231" spans="1:6" x14ac:dyDescent="0.25">
      <c r="A9231" s="2" t="str">
        <f t="shared" si="335"/>
        <v>35620</v>
      </c>
      <c r="B9231" s="2" t="str">
        <f>"07407"</f>
        <v>07407</v>
      </c>
      <c r="C9231" s="1">
        <v>9.9132380171184893E-4</v>
      </c>
      <c r="D9231" s="1">
        <v>9.2284319151573297E-4</v>
      </c>
      <c r="E9231" s="1">
        <v>6.7082672405961903E-4</v>
      </c>
      <c r="F9231" s="1">
        <v>9.6593775006530397E-4</v>
      </c>
    </row>
    <row r="9232" spans="1:6" x14ac:dyDescent="0.25">
      <c r="A9232" s="2" t="str">
        <f t="shared" si="335"/>
        <v>35620</v>
      </c>
      <c r="B9232" s="2" t="str">
        <f>"07106"</f>
        <v>07106</v>
      </c>
      <c r="C9232" s="1">
        <v>1.4397087140323201E-3</v>
      </c>
      <c r="D9232" s="1">
        <v>6.3445469416706596E-4</v>
      </c>
      <c r="E9232" s="1">
        <v>3.5742486391301602E-3</v>
      </c>
      <c r="F9232" s="1">
        <v>1.4997287013590801E-3</v>
      </c>
    </row>
    <row r="9233" spans="1:6" x14ac:dyDescent="0.25">
      <c r="A9233" s="2" t="str">
        <f t="shared" si="335"/>
        <v>35620</v>
      </c>
      <c r="B9233" s="2" t="str">
        <f>"07055"</f>
        <v>07055</v>
      </c>
      <c r="C9233" s="1">
        <v>2.7996686131929898E-3</v>
      </c>
      <c r="D9233" s="1">
        <v>3.2729026486335898E-3</v>
      </c>
      <c r="E9233" s="1">
        <v>5.1761968317412801E-3</v>
      </c>
      <c r="F9233" s="1">
        <v>2.9849216523052699E-3</v>
      </c>
    </row>
    <row r="9234" spans="1:6" x14ac:dyDescent="0.25">
      <c r="A9234" s="2" t="str">
        <f t="shared" si="335"/>
        <v>35620</v>
      </c>
      <c r="B9234" s="2" t="str">
        <f>"07047"</f>
        <v>07047</v>
      </c>
      <c r="C9234" s="1">
        <v>2.87680475238241E-3</v>
      </c>
      <c r="D9234" s="1">
        <v>2.1942069500400598E-3</v>
      </c>
      <c r="E9234" s="1">
        <v>4.6066928941281603E-3</v>
      </c>
      <c r="F9234" s="1">
        <v>2.9228529370385501E-3</v>
      </c>
    </row>
    <row r="9235" spans="1:6" x14ac:dyDescent="0.25">
      <c r="A9235" s="2" t="str">
        <f t="shared" si="335"/>
        <v>35620</v>
      </c>
      <c r="B9235" s="2" t="str">
        <f>"07043"</f>
        <v>07043</v>
      </c>
      <c r="C9235" s="1">
        <v>6.1124169651233901E-4</v>
      </c>
      <c r="D9235" s="1">
        <v>6.9213239363679897E-4</v>
      </c>
      <c r="E9235" s="1">
        <v>3.5987058634448299E-4</v>
      </c>
      <c r="F9235" s="1">
        <v>6.0296839121497399E-4</v>
      </c>
    </row>
    <row r="9236" spans="1:6" x14ac:dyDescent="0.25">
      <c r="A9236" s="2" t="str">
        <f t="shared" si="335"/>
        <v>35620</v>
      </c>
      <c r="B9236" s="2" t="str">
        <f>"07103"</f>
        <v>07103</v>
      </c>
      <c r="C9236" s="1">
        <v>1.7721405913132E-3</v>
      </c>
      <c r="D9236" s="1">
        <v>1.4517599675041299E-3</v>
      </c>
      <c r="E9236" s="1">
        <v>4.8250609683663202E-3</v>
      </c>
      <c r="F9236" s="1">
        <v>1.92985959313904E-3</v>
      </c>
    </row>
    <row r="9237" spans="1:6" x14ac:dyDescent="0.25">
      <c r="A9237" s="2" t="str">
        <f t="shared" si="335"/>
        <v>35620</v>
      </c>
      <c r="B9237" s="2" t="str">
        <f>"07079"</f>
        <v>07079</v>
      </c>
      <c r="C9237" s="1">
        <v>9.19039774503694E-4</v>
      </c>
      <c r="D9237" s="1">
        <v>9.30206302086337E-4</v>
      </c>
      <c r="E9237" s="1">
        <v>4.5944642819708301E-4</v>
      </c>
      <c r="F9237" s="1">
        <v>8.9209189395310601E-4</v>
      </c>
    </row>
    <row r="9238" spans="1:6" x14ac:dyDescent="0.25">
      <c r="A9238" s="2" t="str">
        <f t="shared" si="335"/>
        <v>35620</v>
      </c>
      <c r="B9238" s="2" t="str">
        <f>"07073"</f>
        <v>07073</v>
      </c>
      <c r="C9238" s="1">
        <v>6.0365249572112104E-4</v>
      </c>
      <c r="D9238" s="1">
        <v>1.2640006479537301E-3</v>
      </c>
      <c r="E9238" s="1">
        <v>6.0618977408512503E-4</v>
      </c>
      <c r="F9238" s="1">
        <v>6.60899192130578E-4</v>
      </c>
    </row>
    <row r="9239" spans="1:6" x14ac:dyDescent="0.25">
      <c r="A9239" s="2" t="str">
        <f t="shared" si="335"/>
        <v>35620</v>
      </c>
      <c r="B9239" s="2" t="str">
        <f>"07087"</f>
        <v>07087</v>
      </c>
      <c r="C9239" s="1">
        <v>3.1435464982245598E-3</v>
      </c>
      <c r="D9239" s="1">
        <v>3.1943628025471399E-3</v>
      </c>
      <c r="E9239" s="1">
        <v>8.5844857344504408E-3</v>
      </c>
      <c r="F9239" s="1">
        <v>3.4783944637676702E-3</v>
      </c>
    </row>
    <row r="9240" spans="1:6" x14ac:dyDescent="0.25">
      <c r="A9240" s="2" t="str">
        <f t="shared" si="335"/>
        <v>35620</v>
      </c>
      <c r="B9240" s="2" t="str">
        <f>"07081"</f>
        <v>07081</v>
      </c>
      <c r="C9240" s="1">
        <v>1.0186946898113199E-3</v>
      </c>
      <c r="D9240" s="1">
        <v>1.33026864308916E-3</v>
      </c>
      <c r="E9240" s="1">
        <v>1.1023220387542101E-3</v>
      </c>
      <c r="F9240" s="1">
        <v>1.0507119440791601E-3</v>
      </c>
    </row>
    <row r="9241" spans="1:6" x14ac:dyDescent="0.25">
      <c r="A9241" s="2" t="str">
        <f t="shared" si="335"/>
        <v>35620</v>
      </c>
      <c r="B9241" s="2" t="str">
        <f>"07033"</f>
        <v>07033</v>
      </c>
      <c r="C9241" s="1">
        <v>4.2213374237051998E-4</v>
      </c>
      <c r="D9241" s="1">
        <v>1.0136548885531799E-3</v>
      </c>
      <c r="E9241" s="1">
        <v>3.24931694466378E-4</v>
      </c>
      <c r="F9241" s="1">
        <v>4.67372120939989E-4</v>
      </c>
    </row>
    <row r="9242" spans="1:6" x14ac:dyDescent="0.25">
      <c r="A9242" s="2" t="str">
        <f t="shared" si="335"/>
        <v>35620</v>
      </c>
      <c r="B9242" s="2" t="str">
        <f>"07061"</f>
        <v>07061</v>
      </c>
      <c r="C9242" s="1">
        <v>1.6746006991768899E-4</v>
      </c>
      <c r="D9242" s="1">
        <v>2.14757391642624E-4</v>
      </c>
      <c r="E9242" s="1">
        <v>3.4938891878105101E-6</v>
      </c>
      <c r="F9242" s="1">
        <v>1.61590860429422E-4</v>
      </c>
    </row>
    <row r="9243" spans="1:6" x14ac:dyDescent="0.25">
      <c r="A9243" s="2" t="str">
        <f t="shared" si="335"/>
        <v>35620</v>
      </c>
      <c r="B9243" s="2" t="str">
        <f>"07059"</f>
        <v>07059</v>
      </c>
      <c r="C9243" s="1">
        <v>7.5556092467320005E-4</v>
      </c>
      <c r="D9243" s="1">
        <v>9.7315778041486196E-4</v>
      </c>
      <c r="E9243" s="1">
        <v>4.2800142550678802E-4</v>
      </c>
      <c r="F9243" s="1">
        <v>7.5447971668655305E-4</v>
      </c>
    </row>
    <row r="9244" spans="1:6" x14ac:dyDescent="0.25">
      <c r="A9244" s="2" t="str">
        <f t="shared" si="335"/>
        <v>35620</v>
      </c>
      <c r="B9244" s="2" t="str">
        <f>"07058"</f>
        <v>07058</v>
      </c>
      <c r="C9244" s="1">
        <v>2.9436146019706701E-4</v>
      </c>
      <c r="D9244" s="1">
        <v>6.8722365325639705E-4</v>
      </c>
      <c r="E9244" s="1">
        <v>1.5879726358598799E-3</v>
      </c>
      <c r="F9244" s="1">
        <v>4.0689491119293001E-4</v>
      </c>
    </row>
    <row r="9245" spans="1:6" x14ac:dyDescent="0.25">
      <c r="A9245" s="2" t="str">
        <f t="shared" si="335"/>
        <v>35620</v>
      </c>
      <c r="B9245" s="2" t="str">
        <f>"07027"</f>
        <v>07027</v>
      </c>
      <c r="C9245" s="1">
        <v>2.4472062223484002E-4</v>
      </c>
      <c r="D9245" s="1">
        <v>3.0679627377517698E-4</v>
      </c>
      <c r="E9245" s="1">
        <v>2.20115018832062E-4</v>
      </c>
      <c r="F9245" s="1">
        <v>2.4859316217080502E-4</v>
      </c>
    </row>
    <row r="9246" spans="1:6" x14ac:dyDescent="0.25">
      <c r="A9246" s="2" t="str">
        <f t="shared" si="335"/>
        <v>35620</v>
      </c>
      <c r="B9246" s="2" t="str">
        <f>"07015"</f>
        <v>07015</v>
      </c>
      <c r="C9246" s="1">
        <v>1.7803518577430401E-4</v>
      </c>
      <c r="D9246" s="1">
        <v>5.31371146178606E-4</v>
      </c>
      <c r="E9246" s="1">
        <v>3.4938891878105101E-6</v>
      </c>
      <c r="F9246" s="1">
        <v>1.9798328664563401E-4</v>
      </c>
    </row>
    <row r="9247" spans="1:6" x14ac:dyDescent="0.25">
      <c r="A9247" s="2" t="str">
        <f t="shared" si="335"/>
        <v>35620</v>
      </c>
      <c r="B9247" s="2" t="str">
        <f>"18445"</f>
        <v>18445</v>
      </c>
      <c r="C9247" s="1">
        <v>3.1476521314394798E-5</v>
      </c>
      <c r="D9247" s="1">
        <v>1.2271850951007001E-6</v>
      </c>
      <c r="E9247" s="1">
        <v>6.9877783756210304E-6</v>
      </c>
      <c r="F9247" s="1">
        <v>2.7373894938142399E-5</v>
      </c>
    </row>
    <row r="9248" spans="1:6" x14ac:dyDescent="0.25">
      <c r="A9248" s="2" t="str">
        <f t="shared" si="335"/>
        <v>35620</v>
      </c>
      <c r="B9248" s="2" t="str">
        <f>"18371"</f>
        <v>18371</v>
      </c>
      <c r="C9248" s="1">
        <v>6.0340366946567101E-5</v>
      </c>
      <c r="D9248" s="1">
        <v>2.4543701902014099E-6</v>
      </c>
      <c r="E9248" s="1">
        <v>1.5722501345147302E-5</v>
      </c>
      <c r="F9248" s="1">
        <v>5.2625782516738898E-5</v>
      </c>
    </row>
    <row r="9249" spans="1:6" x14ac:dyDescent="0.25">
      <c r="A9249" s="2" t="str">
        <f t="shared" si="335"/>
        <v>35620</v>
      </c>
      <c r="B9249" s="2" t="str">
        <f>"18326"</f>
        <v>18326</v>
      </c>
      <c r="C9249" s="1">
        <v>3.8568069594712997E-6</v>
      </c>
      <c r="D9249" s="1">
        <v>2.4543701902014099E-6</v>
      </c>
      <c r="E9249" s="1">
        <v>0</v>
      </c>
      <c r="F9249" s="1">
        <v>3.50131214325077E-6</v>
      </c>
    </row>
    <row r="9250" spans="1:6" x14ac:dyDescent="0.25">
      <c r="A9250" s="2" t="str">
        <f t="shared" si="335"/>
        <v>35620</v>
      </c>
      <c r="B9250" s="2" t="str">
        <f>"18458"</f>
        <v>18458</v>
      </c>
      <c r="C9250" s="1">
        <v>2.49697147343835E-4</v>
      </c>
      <c r="D9250" s="1">
        <v>8.8357326847251E-5</v>
      </c>
      <c r="E9250" s="1">
        <v>2.62041689085788E-5</v>
      </c>
      <c r="F9250" s="1">
        <v>2.2217417054445801E-4</v>
      </c>
    </row>
    <row r="9251" spans="1:6" x14ac:dyDescent="0.25">
      <c r="A9251" s="2" t="str">
        <f t="shared" si="335"/>
        <v>35620</v>
      </c>
      <c r="B9251" s="2" t="str">
        <f>"18451"</f>
        <v>18451</v>
      </c>
      <c r="C9251" s="1">
        <v>4.0558679638311098E-5</v>
      </c>
      <c r="D9251" s="1">
        <v>4.9087403804028299E-6</v>
      </c>
      <c r="E9251" s="1">
        <v>2.44572243146736E-5</v>
      </c>
      <c r="F9251" s="1">
        <v>3.6498526584189802E-5</v>
      </c>
    </row>
    <row r="9252" spans="1:6" x14ac:dyDescent="0.25">
      <c r="A9252" s="2" t="str">
        <f t="shared" si="335"/>
        <v>35620</v>
      </c>
      <c r="B9252" s="2" t="str">
        <f>"18324"</f>
        <v>18324</v>
      </c>
      <c r="C9252" s="1">
        <v>6.1547174285498502E-4</v>
      </c>
      <c r="D9252" s="1">
        <v>2.6998072092215499E-5</v>
      </c>
      <c r="E9252" s="1">
        <v>1.74694459390525E-6</v>
      </c>
      <c r="F9252" s="1">
        <v>5.2731882884716195E-4</v>
      </c>
    </row>
    <row r="9253" spans="1:6" x14ac:dyDescent="0.25">
      <c r="A9253" s="2" t="str">
        <f t="shared" si="335"/>
        <v>35620</v>
      </c>
      <c r="B9253" s="2" t="str">
        <f>"12582"</f>
        <v>12582</v>
      </c>
      <c r="C9253" s="1">
        <v>2.9859150653971301E-6</v>
      </c>
      <c r="D9253" s="1">
        <v>0</v>
      </c>
      <c r="E9253" s="1">
        <v>0</v>
      </c>
      <c r="F9253" s="1">
        <v>2.5464088314551E-6</v>
      </c>
    </row>
    <row r="9254" spans="1:6" x14ac:dyDescent="0.25">
      <c r="A9254" s="2" t="str">
        <f t="shared" si="335"/>
        <v>35620</v>
      </c>
      <c r="B9254" s="2" t="str">
        <f>"11970"</f>
        <v>11970</v>
      </c>
      <c r="C9254" s="1">
        <v>1.1446007750689E-5</v>
      </c>
      <c r="D9254" s="1">
        <v>0</v>
      </c>
      <c r="E9254" s="1">
        <v>1.74694459390525E-6</v>
      </c>
      <c r="F9254" s="1">
        <v>9.86733422188854E-6</v>
      </c>
    </row>
    <row r="9255" spans="1:6" x14ac:dyDescent="0.25">
      <c r="A9255" s="2" t="str">
        <f t="shared" si="335"/>
        <v>35620</v>
      </c>
      <c r="B9255" s="2" t="str">
        <f>"11773"</f>
        <v>11773</v>
      </c>
      <c r="C9255" s="1">
        <v>0</v>
      </c>
      <c r="D9255" s="1">
        <v>0</v>
      </c>
      <c r="E9255" s="1">
        <v>2.77764190430936E-4</v>
      </c>
      <c r="F9255" s="1">
        <v>1.6869958508389999E-5</v>
      </c>
    </row>
    <row r="9256" spans="1:6" x14ac:dyDescent="0.25">
      <c r="A9256" s="2" t="str">
        <f t="shared" si="335"/>
        <v>35620</v>
      </c>
      <c r="B9256" s="2" t="str">
        <f>"11952"</f>
        <v>11952</v>
      </c>
      <c r="C9256" s="1">
        <v>2.8167132116913002E-4</v>
      </c>
      <c r="D9256" s="1">
        <v>1.6689717293369601E-4</v>
      </c>
      <c r="E9256" s="1">
        <v>5.2408337817157701E-5</v>
      </c>
      <c r="F9256" s="1">
        <v>2.5782389418482901E-4</v>
      </c>
    </row>
    <row r="9257" spans="1:6" x14ac:dyDescent="0.25">
      <c r="A9257" s="2" t="str">
        <f t="shared" si="335"/>
        <v>35620</v>
      </c>
      <c r="B9257" s="2" t="str">
        <f>"11951"</f>
        <v>11951</v>
      </c>
      <c r="C9257" s="1">
        <v>7.0156562724060204E-4</v>
      </c>
      <c r="D9257" s="1">
        <v>2.6752635073195398E-4</v>
      </c>
      <c r="E9257" s="1">
        <v>2.62041689085788E-5</v>
      </c>
      <c r="F9257" s="1">
        <v>6.2302136076268304E-4</v>
      </c>
    </row>
    <row r="9258" spans="1:6" x14ac:dyDescent="0.25">
      <c r="A9258" s="2" t="str">
        <f t="shared" si="335"/>
        <v>35620</v>
      </c>
      <c r="B9258" s="2" t="str">
        <f>"11949"</f>
        <v>11949</v>
      </c>
      <c r="C9258" s="1">
        <v>6.8788018319086502E-4</v>
      </c>
      <c r="D9258" s="1">
        <v>1.76714653694502E-4</v>
      </c>
      <c r="E9258" s="1">
        <v>3.7559308768962999E-4</v>
      </c>
      <c r="F9258" s="1">
        <v>6.2471896665032003E-4</v>
      </c>
    </row>
    <row r="9259" spans="1:6" x14ac:dyDescent="0.25">
      <c r="A9259" s="2" t="str">
        <f t="shared" si="335"/>
        <v>35620</v>
      </c>
      <c r="B9259" s="2" t="str">
        <f>"11802"</f>
        <v>11802</v>
      </c>
      <c r="C9259" s="1">
        <v>1.21551625787208E-4</v>
      </c>
      <c r="D9259" s="1">
        <v>5.3382551636880799E-4</v>
      </c>
      <c r="E9259" s="1">
        <v>3.4938891878105101E-6</v>
      </c>
      <c r="F9259" s="1">
        <v>1.50025920319896E-4</v>
      </c>
    </row>
    <row r="9260" spans="1:6" x14ac:dyDescent="0.25">
      <c r="A9260" s="2" t="str">
        <f t="shared" si="335"/>
        <v>35620</v>
      </c>
      <c r="B9260" s="2" t="str">
        <f>"11794"</f>
        <v>11794</v>
      </c>
      <c r="C9260" s="1">
        <v>0</v>
      </c>
      <c r="D9260" s="1">
        <v>5.7800417979243302E-4</v>
      </c>
      <c r="E9260" s="1">
        <v>0</v>
      </c>
      <c r="F9260" s="1">
        <v>4.9973273317306502E-5</v>
      </c>
    </row>
    <row r="9261" spans="1:6" x14ac:dyDescent="0.25">
      <c r="A9261" s="2" t="str">
        <f t="shared" si="335"/>
        <v>35620</v>
      </c>
      <c r="B9261" s="2" t="str">
        <f>"11793"</f>
        <v>11793</v>
      </c>
      <c r="C9261" s="1">
        <v>1.38994346294236E-3</v>
      </c>
      <c r="D9261" s="1">
        <v>1.08728599425922E-3</v>
      </c>
      <c r="E9261" s="1">
        <v>3.4240114040543E-4</v>
      </c>
      <c r="F9261" s="1">
        <v>1.30015390919378E-3</v>
      </c>
    </row>
    <row r="9262" spans="1:6" x14ac:dyDescent="0.25">
      <c r="A9262" s="2" t="str">
        <f t="shared" si="335"/>
        <v>35620</v>
      </c>
      <c r="B9262" s="2" t="str">
        <f>"11942"</f>
        <v>11942</v>
      </c>
      <c r="C9262" s="1">
        <v>4.8745063442608199E-4</v>
      </c>
      <c r="D9262" s="1">
        <v>3.84108934766521E-4</v>
      </c>
      <c r="E9262" s="1">
        <v>6.2890005380589301E-5</v>
      </c>
      <c r="F9262" s="1">
        <v>4.52730270159122E-4</v>
      </c>
    </row>
    <row r="9263" spans="1:6" x14ac:dyDescent="0.25">
      <c r="A9263" s="2" t="str">
        <f t="shared" si="335"/>
        <v>35620</v>
      </c>
      <c r="B9263" s="2" t="str">
        <f>"11784"</f>
        <v>11784</v>
      </c>
      <c r="C9263" s="1">
        <v>1.0790350567578899E-3</v>
      </c>
      <c r="D9263" s="1">
        <v>8.0012468200566205E-4</v>
      </c>
      <c r="E9263" s="1">
        <v>2.4806613233454601E-4</v>
      </c>
      <c r="F9263" s="1">
        <v>1.0044521836410599E-3</v>
      </c>
    </row>
    <row r="9264" spans="1:6" x14ac:dyDescent="0.25">
      <c r="A9264" s="2" t="str">
        <f t="shared" si="335"/>
        <v>35620</v>
      </c>
      <c r="B9264" s="2" t="str">
        <f>"11791"</f>
        <v>11791</v>
      </c>
      <c r="C9264" s="1">
        <v>1.1088942074118601E-3</v>
      </c>
      <c r="D9264" s="1">
        <v>1.7769640177058199E-3</v>
      </c>
      <c r="E9264" s="1">
        <v>4.6643420657270398E-4</v>
      </c>
      <c r="F9264" s="1">
        <v>1.1276347108627001E-3</v>
      </c>
    </row>
    <row r="9265" spans="1:6" x14ac:dyDescent="0.25">
      <c r="A9265" s="2" t="str">
        <f t="shared" si="335"/>
        <v>35620</v>
      </c>
      <c r="B9265" s="2" t="str">
        <f>"11582"</f>
        <v>11582</v>
      </c>
      <c r="C9265" s="1">
        <v>1.06746463587947E-4</v>
      </c>
      <c r="D9265" s="1">
        <v>4.45468189521557E-4</v>
      </c>
      <c r="E9265" s="1">
        <v>1.74694459390525E-6</v>
      </c>
      <c r="F9265" s="1">
        <v>1.29654649668255E-4</v>
      </c>
    </row>
    <row r="9266" spans="1:6" x14ac:dyDescent="0.25">
      <c r="A9266" s="2" t="str">
        <f t="shared" si="335"/>
        <v>35620</v>
      </c>
      <c r="B9266" s="2" t="str">
        <f>"11570"</f>
        <v>11570</v>
      </c>
      <c r="C9266" s="1">
        <v>1.33345990295527E-3</v>
      </c>
      <c r="D9266" s="1">
        <v>1.66651735914676E-3</v>
      </c>
      <c r="E9266" s="1">
        <v>1.49014373860118E-3</v>
      </c>
      <c r="F9266" s="1">
        <v>1.3717716575784599E-3</v>
      </c>
    </row>
    <row r="9267" spans="1:6" x14ac:dyDescent="0.25">
      <c r="A9267" s="2" t="str">
        <f t="shared" si="335"/>
        <v>35620</v>
      </c>
      <c r="B9267" s="2" t="str">
        <f>"11566"</f>
        <v>11566</v>
      </c>
      <c r="C9267" s="1">
        <v>1.62284483804334E-3</v>
      </c>
      <c r="D9267" s="1">
        <v>1.2136860590546E-3</v>
      </c>
      <c r="E9267" s="1">
        <v>4.8914448629347202E-4</v>
      </c>
      <c r="F9267" s="1">
        <v>1.5186145668590399E-3</v>
      </c>
    </row>
    <row r="9268" spans="1:6" x14ac:dyDescent="0.25">
      <c r="A9268" s="2" t="str">
        <f t="shared" si="335"/>
        <v>35620</v>
      </c>
      <c r="B9268" s="2" t="str">
        <f>"11576"</f>
        <v>11576</v>
      </c>
      <c r="C9268" s="1">
        <v>6.2268770426302802E-4</v>
      </c>
      <c r="D9268" s="1">
        <v>5.8536729036303802E-4</v>
      </c>
      <c r="E9268" s="1">
        <v>3.5288280796886201E-4</v>
      </c>
      <c r="F9268" s="1">
        <v>6.0307449158295099E-4</v>
      </c>
    </row>
    <row r="9269" spans="1:6" x14ac:dyDescent="0.25">
      <c r="A9269" s="2" t="str">
        <f t="shared" si="335"/>
        <v>35620</v>
      </c>
      <c r="B9269" s="2" t="str">
        <f>"11731"</f>
        <v>11731</v>
      </c>
      <c r="C9269" s="1">
        <v>1.41283547844374E-3</v>
      </c>
      <c r="D9269" s="1">
        <v>1.28118123928514E-3</v>
      </c>
      <c r="E9269" s="1">
        <v>4.3673614847631399E-4</v>
      </c>
      <c r="F9269" s="1">
        <v>1.3421696549127901E-3</v>
      </c>
    </row>
    <row r="9270" spans="1:6" x14ac:dyDescent="0.25">
      <c r="A9270" s="2" t="str">
        <f t="shared" si="335"/>
        <v>35620</v>
      </c>
      <c r="B9270" s="2" t="str">
        <f>"11710"</f>
        <v>11710</v>
      </c>
      <c r="C9270" s="1">
        <v>1.5165960269662899E-3</v>
      </c>
      <c r="D9270" s="1">
        <v>1.59165906834561E-3</v>
      </c>
      <c r="E9270" s="1">
        <v>8.2281090372937702E-4</v>
      </c>
      <c r="F9270" s="1">
        <v>1.4809489362270999E-3</v>
      </c>
    </row>
    <row r="9271" spans="1:6" x14ac:dyDescent="0.25">
      <c r="A9271" s="2" t="str">
        <f t="shared" si="335"/>
        <v>35620</v>
      </c>
      <c r="B9271" s="2" t="str">
        <f>"11705"</f>
        <v>11705</v>
      </c>
      <c r="C9271" s="1">
        <v>4.3034500880036202E-4</v>
      </c>
      <c r="D9271" s="1">
        <v>4.3074196838034803E-4</v>
      </c>
      <c r="E9271" s="1">
        <v>8.3853340507452406E-5</v>
      </c>
      <c r="F9271" s="1">
        <v>4.0933521965640801E-4</v>
      </c>
    </row>
    <row r="9272" spans="1:6" x14ac:dyDescent="0.25">
      <c r="A9272" s="2" t="str">
        <f t="shared" ref="A9272:A9335" si="336">"35620"</f>
        <v>35620</v>
      </c>
      <c r="B9272" s="2" t="str">
        <f>"11560"</f>
        <v>11560</v>
      </c>
      <c r="C9272" s="1">
        <v>3.83441259648082E-4</v>
      </c>
      <c r="D9272" s="1">
        <v>6.0745662207485E-4</v>
      </c>
      <c r="E9272" s="1">
        <v>3.0222141474560898E-4</v>
      </c>
      <c r="F9272" s="1">
        <v>3.9787637991486001E-4</v>
      </c>
    </row>
    <row r="9273" spans="1:6" x14ac:dyDescent="0.25">
      <c r="A9273" s="2" t="str">
        <f t="shared" si="336"/>
        <v>35620</v>
      </c>
      <c r="B9273" s="2" t="str">
        <f>"11559"</f>
        <v>11559</v>
      </c>
      <c r="C9273" s="1">
        <v>3.9675346431464399E-4</v>
      </c>
      <c r="D9273" s="1">
        <v>7.1176735515841101E-4</v>
      </c>
      <c r="E9273" s="1">
        <v>5.6251615923749298E-4</v>
      </c>
      <c r="F9273" s="1">
        <v>4.3405660539511798E-4</v>
      </c>
    </row>
    <row r="9274" spans="1:6" x14ac:dyDescent="0.25">
      <c r="A9274" s="2" t="str">
        <f t="shared" si="336"/>
        <v>35620</v>
      </c>
      <c r="B9274" s="2" t="str">
        <f>"11558"</f>
        <v>11558</v>
      </c>
      <c r="C9274" s="1">
        <v>4.1777928290014901E-4</v>
      </c>
      <c r="D9274" s="1">
        <v>5.9641195621894401E-4</v>
      </c>
      <c r="E9274" s="1">
        <v>8.1058229157203996E-4</v>
      </c>
      <c r="F9274" s="1">
        <v>4.57080385246192E-4</v>
      </c>
    </row>
    <row r="9275" spans="1:6" x14ac:dyDescent="0.25">
      <c r="A9275" s="2" t="str">
        <f t="shared" si="336"/>
        <v>35620</v>
      </c>
      <c r="B9275" s="2" t="str">
        <f>"11703"</f>
        <v>11703</v>
      </c>
      <c r="C9275" s="1">
        <v>8.1478157347024405E-4</v>
      </c>
      <c r="D9275" s="1">
        <v>5.9518477112384296E-4</v>
      </c>
      <c r="E9275" s="1">
        <v>4.1053197956773601E-4</v>
      </c>
      <c r="F9275" s="1">
        <v>7.7124357482696599E-4</v>
      </c>
    </row>
    <row r="9276" spans="1:6" x14ac:dyDescent="0.25">
      <c r="A9276" s="2" t="str">
        <f t="shared" si="336"/>
        <v>35620</v>
      </c>
      <c r="B9276" s="2" t="str">
        <f>"11370"</f>
        <v>11370</v>
      </c>
      <c r="C9276" s="1">
        <v>9.1555620692739697E-4</v>
      </c>
      <c r="D9276" s="1">
        <v>3.8288174967142098E-4</v>
      </c>
      <c r="E9276" s="1">
        <v>5.3805893492281896E-4</v>
      </c>
      <c r="F9276" s="1">
        <v>8.4657483609084597E-4</v>
      </c>
    </row>
    <row r="9277" spans="1:6" x14ac:dyDescent="0.25">
      <c r="A9277" s="2" t="str">
        <f t="shared" si="336"/>
        <v>35620</v>
      </c>
      <c r="B9277" s="2" t="str">
        <f>"11369"</f>
        <v>11369</v>
      </c>
      <c r="C9277" s="1">
        <v>1.0565162806396801E-3</v>
      </c>
      <c r="D9277" s="1">
        <v>5.4118862693941202E-4</v>
      </c>
      <c r="E9277" s="1">
        <v>6.3588783218151404E-4</v>
      </c>
      <c r="F9277" s="1">
        <v>9.8641512108492207E-4</v>
      </c>
    </row>
    <row r="9278" spans="1:6" x14ac:dyDescent="0.25">
      <c r="A9278" s="2" t="str">
        <f t="shared" si="336"/>
        <v>35620</v>
      </c>
      <c r="B9278" s="2" t="str">
        <f>"11419"</f>
        <v>11419</v>
      </c>
      <c r="C9278" s="1">
        <v>1.1988448987569501E-3</v>
      </c>
      <c r="D9278" s="1">
        <v>1.35113078970588E-3</v>
      </c>
      <c r="E9278" s="1">
        <v>6.6907977946571403E-4</v>
      </c>
      <c r="F9278" s="1">
        <v>1.1798360919075301E-3</v>
      </c>
    </row>
    <row r="9279" spans="1:6" x14ac:dyDescent="0.25">
      <c r="A9279" s="2" t="str">
        <f t="shared" si="336"/>
        <v>35620</v>
      </c>
      <c r="B9279" s="2" t="str">
        <f>"11425"</f>
        <v>11425</v>
      </c>
      <c r="C9279" s="1">
        <v>0</v>
      </c>
      <c r="D9279" s="1">
        <v>1.2271850951007001E-6</v>
      </c>
      <c r="E9279" s="1">
        <v>0</v>
      </c>
      <c r="F9279" s="1">
        <v>1.06100367977296E-7</v>
      </c>
    </row>
    <row r="9280" spans="1:6" x14ac:dyDescent="0.25">
      <c r="A9280" s="2" t="str">
        <f t="shared" si="336"/>
        <v>35620</v>
      </c>
      <c r="B9280" s="2" t="str">
        <f>"11426"</f>
        <v>11426</v>
      </c>
      <c r="C9280" s="1">
        <v>7.6140834167627005E-4</v>
      </c>
      <c r="D9280" s="1">
        <v>3.8779049005182399E-4</v>
      </c>
      <c r="E9280" s="1">
        <v>4.47217816039746E-4</v>
      </c>
      <c r="F9280" s="1">
        <v>7.1002366250406599E-4</v>
      </c>
    </row>
    <row r="9281" spans="1:6" x14ac:dyDescent="0.25">
      <c r="A9281" s="2" t="str">
        <f t="shared" si="336"/>
        <v>35620</v>
      </c>
      <c r="B9281" s="2" t="str">
        <f>"11365"</f>
        <v>11365</v>
      </c>
      <c r="C9281" s="1">
        <v>1.9530372790251701E-3</v>
      </c>
      <c r="D9281" s="1">
        <v>8.4062179014398502E-4</v>
      </c>
      <c r="E9281" s="1">
        <v>1.7189934804027699E-3</v>
      </c>
      <c r="F9281" s="1">
        <v>1.8426450906616999E-3</v>
      </c>
    </row>
    <row r="9282" spans="1:6" x14ac:dyDescent="0.25">
      <c r="A9282" s="2" t="str">
        <f t="shared" si="336"/>
        <v>35620</v>
      </c>
      <c r="B9282" s="2" t="str">
        <f>"11362"</f>
        <v>11362</v>
      </c>
      <c r="C9282" s="1">
        <v>7.4722524511563299E-4</v>
      </c>
      <c r="D9282" s="1">
        <v>5.22780850512902E-4</v>
      </c>
      <c r="E9282" s="1">
        <v>3.1619697149685202E-4</v>
      </c>
      <c r="F9282" s="1">
        <v>7.0164173343385903E-4</v>
      </c>
    </row>
    <row r="9283" spans="1:6" x14ac:dyDescent="0.25">
      <c r="A9283" s="2" t="str">
        <f t="shared" si="336"/>
        <v>35620</v>
      </c>
      <c r="B9283" s="2" t="str">
        <f>"11356"</f>
        <v>11356</v>
      </c>
      <c r="C9283" s="1">
        <v>9.3222756604253098E-4</v>
      </c>
      <c r="D9283" s="1">
        <v>1.17687050620157E-3</v>
      </c>
      <c r="E9283" s="1">
        <v>7.8263117806955595E-4</v>
      </c>
      <c r="F9283" s="1">
        <v>9.4429327499793601E-4</v>
      </c>
    </row>
    <row r="9284" spans="1:6" x14ac:dyDescent="0.25">
      <c r="A9284" s="2" t="str">
        <f t="shared" si="336"/>
        <v>35620</v>
      </c>
      <c r="B9284" s="2" t="str">
        <f>"11224"</f>
        <v>11224</v>
      </c>
      <c r="C9284" s="1">
        <v>3.2944596221548398E-3</v>
      </c>
      <c r="D9284" s="1">
        <v>1.1572355446799599E-3</v>
      </c>
      <c r="E9284" s="1">
        <v>1.37135150621562E-3</v>
      </c>
      <c r="F9284" s="1">
        <v>2.9928791799035698E-3</v>
      </c>
    </row>
    <row r="9285" spans="1:6" x14ac:dyDescent="0.25">
      <c r="A9285" s="2" t="str">
        <f t="shared" si="336"/>
        <v>35620</v>
      </c>
      <c r="B9285" s="2" t="str">
        <f>"11222"</f>
        <v>11222</v>
      </c>
      <c r="C9285" s="1">
        <v>2.6483822498795302E-3</v>
      </c>
      <c r="D9285" s="1">
        <v>4.1797924339130096E-3</v>
      </c>
      <c r="E9285" s="1">
        <v>7.6271600969903602E-3</v>
      </c>
      <c r="F9285" s="1">
        <v>3.0831705930522502E-3</v>
      </c>
    </row>
    <row r="9286" spans="1:6" x14ac:dyDescent="0.25">
      <c r="A9286" s="2" t="str">
        <f t="shared" si="336"/>
        <v>35620</v>
      </c>
      <c r="B9286" s="2" t="str">
        <f>"11223"</f>
        <v>11223</v>
      </c>
      <c r="C9286" s="1">
        <v>3.1908234867600101E-3</v>
      </c>
      <c r="D9286" s="1">
        <v>2.89861119462787E-3</v>
      </c>
      <c r="E9286" s="1">
        <v>3.0466713717707699E-3</v>
      </c>
      <c r="F9286" s="1">
        <v>3.1568042484284901E-3</v>
      </c>
    </row>
    <row r="9287" spans="1:6" x14ac:dyDescent="0.25">
      <c r="A9287" s="2" t="str">
        <f t="shared" si="336"/>
        <v>35620</v>
      </c>
      <c r="B9287" s="2" t="str">
        <f>"11217"</f>
        <v>11217</v>
      </c>
      <c r="C9287" s="1">
        <v>2.46960058533888E-3</v>
      </c>
      <c r="D9287" s="1">
        <v>2.1377564356654302E-3</v>
      </c>
      <c r="E9287" s="1">
        <v>5.40155268435506E-3</v>
      </c>
      <c r="F9287" s="1">
        <v>2.6189814831515698E-3</v>
      </c>
    </row>
    <row r="9288" spans="1:6" x14ac:dyDescent="0.25">
      <c r="A9288" s="2" t="str">
        <f t="shared" si="336"/>
        <v>35620</v>
      </c>
      <c r="B9288" s="2" t="str">
        <f>"11106"</f>
        <v>11106</v>
      </c>
      <c r="C9288" s="1">
        <v>2.3904738361058501E-3</v>
      </c>
      <c r="D9288" s="1">
        <v>1.8309601618902501E-3</v>
      </c>
      <c r="E9288" s="1">
        <v>3.9568295051954101E-3</v>
      </c>
      <c r="F9288" s="1">
        <v>2.4372315528064701E-3</v>
      </c>
    </row>
    <row r="9289" spans="1:6" x14ac:dyDescent="0.25">
      <c r="A9289" s="2" t="str">
        <f t="shared" si="336"/>
        <v>35620</v>
      </c>
      <c r="B9289" s="2" t="str">
        <f>"11096"</f>
        <v>11096</v>
      </c>
      <c r="C9289" s="1">
        <v>3.5681685031495802E-4</v>
      </c>
      <c r="D9289" s="1">
        <v>6.0377506678954804E-4</v>
      </c>
      <c r="E9289" s="1">
        <v>2.23608908019873E-4</v>
      </c>
      <c r="F9289" s="1">
        <v>3.70078083504809E-4</v>
      </c>
    </row>
    <row r="9290" spans="1:6" x14ac:dyDescent="0.25">
      <c r="A9290" s="2" t="str">
        <f t="shared" si="336"/>
        <v>35620</v>
      </c>
      <c r="B9290" s="2" t="str">
        <f>"10803"</f>
        <v>10803</v>
      </c>
      <c r="C9290" s="1">
        <v>6.2517596681752497E-4</v>
      </c>
      <c r="D9290" s="1">
        <v>8.0994216276646699E-4</v>
      </c>
      <c r="E9290" s="1">
        <v>2.6728252286750399E-4</v>
      </c>
      <c r="F9290" s="1">
        <v>6.1941394825145498E-4</v>
      </c>
    </row>
    <row r="9291" spans="1:6" x14ac:dyDescent="0.25">
      <c r="A9291" s="2" t="str">
        <f t="shared" si="336"/>
        <v>35620</v>
      </c>
      <c r="B9291" s="2" t="str">
        <f>"10989"</f>
        <v>10989</v>
      </c>
      <c r="C9291" s="1">
        <v>4.8844593944788104E-4</v>
      </c>
      <c r="D9291" s="1">
        <v>4.61421595757866E-4</v>
      </c>
      <c r="E9291" s="1">
        <v>1.8692307154786201E-4</v>
      </c>
      <c r="F9291" s="1">
        <v>4.6779652241189898E-4</v>
      </c>
    </row>
    <row r="9292" spans="1:6" x14ac:dyDescent="0.25">
      <c r="A9292" s="2" t="str">
        <f t="shared" si="336"/>
        <v>35620</v>
      </c>
      <c r="B9292" s="2" t="str">
        <f>"10702"</f>
        <v>10702</v>
      </c>
      <c r="C9292" s="1">
        <v>1.3436617794287099E-4</v>
      </c>
      <c r="D9292" s="1">
        <v>1.9512243012101199E-4</v>
      </c>
      <c r="E9292" s="1">
        <v>3.4938891878105101E-6</v>
      </c>
      <c r="F9292" s="1">
        <v>1.3167055665982399E-4</v>
      </c>
    </row>
    <row r="9293" spans="1:6" x14ac:dyDescent="0.25">
      <c r="A9293" s="2" t="str">
        <f t="shared" si="336"/>
        <v>35620</v>
      </c>
      <c r="B9293" s="2" t="str">
        <f>"10931"</f>
        <v>10931</v>
      </c>
      <c r="C9293" s="1">
        <v>4.2300463426459403E-5</v>
      </c>
      <c r="D9293" s="1">
        <v>3.1906812472618401E-5</v>
      </c>
      <c r="E9293" s="1">
        <v>2.96980580963894E-5</v>
      </c>
      <c r="F9293" s="1">
        <v>4.0636440935304398E-5</v>
      </c>
    </row>
    <row r="9294" spans="1:6" x14ac:dyDescent="0.25">
      <c r="A9294" s="2" t="str">
        <f t="shared" si="336"/>
        <v>35620</v>
      </c>
      <c r="B9294" s="2" t="str">
        <f>"10602"</f>
        <v>10602</v>
      </c>
      <c r="C9294" s="1">
        <v>1.8537556031007199E-4</v>
      </c>
      <c r="D9294" s="1">
        <v>4.7246626161377199E-4</v>
      </c>
      <c r="E9294" s="1">
        <v>6.9877783756210304E-6</v>
      </c>
      <c r="F9294" s="1">
        <v>1.9936259142933901E-4</v>
      </c>
    </row>
    <row r="9295" spans="1:6" x14ac:dyDescent="0.25">
      <c r="A9295" s="2" t="str">
        <f t="shared" si="336"/>
        <v>35620</v>
      </c>
      <c r="B9295" s="2" t="str">
        <f>"10604"</f>
        <v>10604</v>
      </c>
      <c r="C9295" s="1">
        <v>4.9217833327962798E-4</v>
      </c>
      <c r="D9295" s="1">
        <v>1.00383740779237E-3</v>
      </c>
      <c r="E9295" s="1">
        <v>5.3805893492281896E-4</v>
      </c>
      <c r="F9295" s="1">
        <v>5.39202070060619E-4</v>
      </c>
    </row>
    <row r="9296" spans="1:6" x14ac:dyDescent="0.25">
      <c r="A9296" s="2" t="str">
        <f t="shared" si="336"/>
        <v>35620</v>
      </c>
      <c r="B9296" s="2" t="str">
        <f>"10506"</f>
        <v>10506</v>
      </c>
      <c r="C9296" s="1">
        <v>3.5296004335548601E-4</v>
      </c>
      <c r="D9296" s="1">
        <v>3.7797300929101802E-4</v>
      </c>
      <c r="E9296" s="1">
        <v>4.3673614847631399E-5</v>
      </c>
      <c r="F9296" s="1">
        <v>3.3633816648802897E-4</v>
      </c>
    </row>
    <row r="9297" spans="1:6" x14ac:dyDescent="0.25">
      <c r="A9297" s="2" t="str">
        <f t="shared" si="336"/>
        <v>35620</v>
      </c>
      <c r="B9297" s="2" t="str">
        <f>"10504"</f>
        <v>10504</v>
      </c>
      <c r="C9297" s="1">
        <v>4.2773233311814001E-4</v>
      </c>
      <c r="D9297" s="1">
        <v>7.4858290801143202E-4</v>
      </c>
      <c r="E9297" s="1">
        <v>2.32343630989399E-4</v>
      </c>
      <c r="F9297" s="1">
        <v>4.4360563851307501E-4</v>
      </c>
    </row>
    <row r="9298" spans="1:6" x14ac:dyDescent="0.25">
      <c r="A9298" s="2" t="str">
        <f t="shared" si="336"/>
        <v>35620</v>
      </c>
      <c r="B9298" s="2" t="str">
        <f>"10471"</f>
        <v>10471</v>
      </c>
      <c r="C9298" s="1">
        <v>1.3954176405622601E-3</v>
      </c>
      <c r="D9298" s="1">
        <v>5.8536729036303802E-4</v>
      </c>
      <c r="E9298" s="1">
        <v>9.4160313611493405E-4</v>
      </c>
      <c r="F9298" s="1">
        <v>1.2978197010982801E-3</v>
      </c>
    </row>
    <row r="9299" spans="1:6" x14ac:dyDescent="0.25">
      <c r="A9299" s="2" t="str">
        <f t="shared" si="336"/>
        <v>35620</v>
      </c>
      <c r="B9299" s="2" t="str">
        <f>"10547"</f>
        <v>10547</v>
      </c>
      <c r="C9299" s="1">
        <v>4.45150170999623E-4</v>
      </c>
      <c r="D9299" s="1">
        <v>4.3442352366564998E-4</v>
      </c>
      <c r="E9299" s="1">
        <v>2.4107835395892501E-4</v>
      </c>
      <c r="F9299" s="1">
        <v>4.31828497667595E-4</v>
      </c>
    </row>
    <row r="9300" spans="1:6" x14ac:dyDescent="0.25">
      <c r="A9300" s="2" t="str">
        <f t="shared" si="336"/>
        <v>35620</v>
      </c>
      <c r="B9300" s="2" t="str">
        <f>"10537"</f>
        <v>10537</v>
      </c>
      <c r="C9300" s="1">
        <v>1.25906085257579E-4</v>
      </c>
      <c r="D9300" s="1">
        <v>4.9087403804028299E-6</v>
      </c>
      <c r="E9300" s="1">
        <v>5.7649171598873501E-5</v>
      </c>
      <c r="F9300" s="1">
        <v>1.11299286008183E-4</v>
      </c>
    </row>
    <row r="9301" spans="1:6" x14ac:dyDescent="0.25">
      <c r="A9301" s="2" t="str">
        <f t="shared" si="336"/>
        <v>35620</v>
      </c>
      <c r="B9301" s="2" t="str">
        <f>"10570"</f>
        <v>10570</v>
      </c>
      <c r="C9301" s="1">
        <v>5.9481916365265405E-4</v>
      </c>
      <c r="D9301" s="1">
        <v>8.4553053052438803E-4</v>
      </c>
      <c r="E9301" s="1">
        <v>7.3546367403411401E-4</v>
      </c>
      <c r="F9301" s="1">
        <v>6.2503726775425198E-4</v>
      </c>
    </row>
    <row r="9302" spans="1:6" x14ac:dyDescent="0.25">
      <c r="A9302" s="2" t="str">
        <f t="shared" si="336"/>
        <v>35620</v>
      </c>
      <c r="B9302" s="2" t="str">
        <f>"10467"</f>
        <v>10467</v>
      </c>
      <c r="C9302" s="1">
        <v>4.9261377922666504E-3</v>
      </c>
      <c r="D9302" s="1">
        <v>2.37705752921007E-3</v>
      </c>
      <c r="E9302" s="1">
        <v>5.6810638193799E-3</v>
      </c>
      <c r="F9302" s="1">
        <v>4.7515988794952302E-3</v>
      </c>
    </row>
    <row r="9303" spans="1:6" x14ac:dyDescent="0.25">
      <c r="A9303" s="2" t="str">
        <f t="shared" si="336"/>
        <v>35620</v>
      </c>
      <c r="B9303" s="2" t="str">
        <f>"10466"</f>
        <v>10466</v>
      </c>
      <c r="C9303" s="1">
        <v>2.77142683319944E-3</v>
      </c>
      <c r="D9303" s="1">
        <v>1.4223075252217201E-3</v>
      </c>
      <c r="E9303" s="1">
        <v>3.1182961001208799E-3</v>
      </c>
      <c r="F9303" s="1">
        <v>2.6758512803874098E-3</v>
      </c>
    </row>
    <row r="9304" spans="1:6" x14ac:dyDescent="0.25">
      <c r="A9304" s="2" t="str">
        <f t="shared" si="336"/>
        <v>35620</v>
      </c>
      <c r="B9304" s="2" t="str">
        <f>"10516"</f>
        <v>10516</v>
      </c>
      <c r="C9304" s="1">
        <v>3.54453000888185E-4</v>
      </c>
      <c r="D9304" s="1">
        <v>5.2032648032270001E-4</v>
      </c>
      <c r="E9304" s="1">
        <v>3.6860530931400902E-4</v>
      </c>
      <c r="F9304" s="1">
        <v>3.696536820329E-4</v>
      </c>
    </row>
    <row r="9305" spans="1:6" x14ac:dyDescent="0.25">
      <c r="A9305" s="2" t="str">
        <f t="shared" si="336"/>
        <v>35620</v>
      </c>
      <c r="B9305" s="2" t="str">
        <f>"10514"</f>
        <v>10514</v>
      </c>
      <c r="C9305" s="1">
        <v>5.8548817907328799E-4</v>
      </c>
      <c r="D9305" s="1">
        <v>5.2768959089330404E-4</v>
      </c>
      <c r="E9305" s="1">
        <v>1.5722501345147299E-4</v>
      </c>
      <c r="F9305" s="1">
        <v>5.5448052304935002E-4</v>
      </c>
    </row>
    <row r="9306" spans="1:6" x14ac:dyDescent="0.25">
      <c r="A9306" s="2" t="str">
        <f t="shared" si="336"/>
        <v>35620</v>
      </c>
      <c r="B9306" s="2" t="str">
        <f>"10512"</f>
        <v>10512</v>
      </c>
      <c r="C9306" s="1">
        <v>1.40848101897337E-3</v>
      </c>
      <c r="D9306" s="1">
        <v>1.1572355446799599E-3</v>
      </c>
      <c r="E9306" s="1">
        <v>6.4112866596323002E-4</v>
      </c>
      <c r="F9306" s="1">
        <v>1.3401537479212199E-3</v>
      </c>
    </row>
    <row r="9307" spans="1:6" x14ac:dyDescent="0.25">
      <c r="A9307" s="2" t="str">
        <f t="shared" si="336"/>
        <v>35620</v>
      </c>
      <c r="B9307" s="2" t="str">
        <f>"10532"</f>
        <v>10532</v>
      </c>
      <c r="C9307" s="1">
        <v>2.14861471580869E-4</v>
      </c>
      <c r="D9307" s="1">
        <v>7.0808579987310905E-4</v>
      </c>
      <c r="E9307" s="1">
        <v>2.81258079618746E-4</v>
      </c>
      <c r="F9307" s="1">
        <v>2.6153740706403499E-4</v>
      </c>
    </row>
    <row r="9308" spans="1:6" x14ac:dyDescent="0.25">
      <c r="A9308" s="2" t="str">
        <f t="shared" si="336"/>
        <v>35620</v>
      </c>
      <c r="B9308" s="2" t="str">
        <f>"10305"</f>
        <v>10305</v>
      </c>
      <c r="C9308" s="1">
        <v>1.8068518539484399E-3</v>
      </c>
      <c r="D9308" s="1">
        <v>1.29222590514104E-3</v>
      </c>
      <c r="E9308" s="1">
        <v>1.41851901025107E-3</v>
      </c>
      <c r="F9308" s="1">
        <v>1.7387728304119299E-3</v>
      </c>
    </row>
    <row r="9309" spans="1:6" x14ac:dyDescent="0.25">
      <c r="A9309" s="2" t="str">
        <f t="shared" si="336"/>
        <v>35620</v>
      </c>
      <c r="B9309" s="2" t="str">
        <f>"10160"</f>
        <v>10160</v>
      </c>
      <c r="C9309" s="1">
        <v>0</v>
      </c>
      <c r="D9309" s="1">
        <v>0</v>
      </c>
      <c r="E9309" s="1">
        <v>3.4938891878105101E-6</v>
      </c>
      <c r="F9309" s="1">
        <v>2.12200735954592E-7</v>
      </c>
    </row>
    <row r="9310" spans="1:6" x14ac:dyDescent="0.25">
      <c r="A9310" s="2" t="str">
        <f t="shared" si="336"/>
        <v>35620</v>
      </c>
      <c r="B9310" s="2" t="str">
        <f>"10159"</f>
        <v>10159</v>
      </c>
      <c r="C9310" s="1">
        <v>1.63105610447318E-4</v>
      </c>
      <c r="D9310" s="1">
        <v>4.3565070876075098E-4</v>
      </c>
      <c r="E9310" s="1">
        <v>3.4938891878105101E-6</v>
      </c>
      <c r="F9310" s="1">
        <v>1.7697541378613001E-4</v>
      </c>
    </row>
    <row r="9311" spans="1:6" x14ac:dyDescent="0.25">
      <c r="A9311" s="2" t="str">
        <f t="shared" si="336"/>
        <v>35620</v>
      </c>
      <c r="B9311" s="2" t="str">
        <f>"10281"</f>
        <v>10281</v>
      </c>
      <c r="C9311" s="1">
        <v>0</v>
      </c>
      <c r="D9311" s="1">
        <v>3.3502153096249301E-4</v>
      </c>
      <c r="E9311" s="1">
        <v>1.11804454009936E-4</v>
      </c>
      <c r="F9311" s="1">
        <v>3.5755824008348797E-5</v>
      </c>
    </row>
    <row r="9312" spans="1:6" x14ac:dyDescent="0.25">
      <c r="A9312" s="2" t="str">
        <f t="shared" si="336"/>
        <v>35620</v>
      </c>
      <c r="B9312" s="2" t="str">
        <f>"10454"</f>
        <v>10454</v>
      </c>
      <c r="C9312" s="1">
        <v>2.1763588432913302E-3</v>
      </c>
      <c r="D9312" s="1">
        <v>1.41003567427071E-3</v>
      </c>
      <c r="E9312" s="1">
        <v>1.9757943357068398E-3</v>
      </c>
      <c r="F9312" s="1">
        <v>2.0979225760150702E-3</v>
      </c>
    </row>
    <row r="9313" spans="1:6" x14ac:dyDescent="0.25">
      <c r="A9313" s="2" t="str">
        <f t="shared" si="336"/>
        <v>35620</v>
      </c>
      <c r="B9313" s="2" t="str">
        <f>"10080"</f>
        <v>10080</v>
      </c>
      <c r="C9313" s="1">
        <v>0</v>
      </c>
      <c r="D9313" s="1">
        <v>2.4543701902014099E-6</v>
      </c>
      <c r="E9313" s="1">
        <v>6.9877783756210304E-6</v>
      </c>
      <c r="F9313" s="1">
        <v>6.3660220786377702E-7</v>
      </c>
    </row>
    <row r="9314" spans="1:6" x14ac:dyDescent="0.25">
      <c r="A9314" s="2" t="str">
        <f t="shared" si="336"/>
        <v>35620</v>
      </c>
      <c r="B9314" s="2" t="str">
        <f>"10119"</f>
        <v>10119</v>
      </c>
      <c r="C9314" s="1">
        <v>0</v>
      </c>
      <c r="D9314" s="1">
        <v>3.7920019438611902E-4</v>
      </c>
      <c r="E9314" s="1">
        <v>2.44572243146736E-5</v>
      </c>
      <c r="F9314" s="1">
        <v>3.4270418856666597E-5</v>
      </c>
    </row>
    <row r="9315" spans="1:6" x14ac:dyDescent="0.25">
      <c r="A9315" s="2" t="str">
        <f t="shared" si="336"/>
        <v>35620</v>
      </c>
      <c r="B9315" s="2" t="str">
        <f>"10105"</f>
        <v>10105</v>
      </c>
      <c r="C9315" s="1">
        <v>0</v>
      </c>
      <c r="D9315" s="1">
        <v>6.0132069659934701E-5</v>
      </c>
      <c r="E9315" s="1">
        <v>1.04816675634315E-5</v>
      </c>
      <c r="F9315" s="1">
        <v>5.8355202387512896E-6</v>
      </c>
    </row>
    <row r="9316" spans="1:6" x14ac:dyDescent="0.25">
      <c r="A9316" s="2" t="str">
        <f t="shared" si="336"/>
        <v>35620</v>
      </c>
      <c r="B9316" s="2" t="str">
        <f>"10311"</f>
        <v>10311</v>
      </c>
      <c r="C9316" s="1">
        <v>0</v>
      </c>
      <c r="D9316" s="1">
        <v>4.0497108138323297E-5</v>
      </c>
      <c r="E9316" s="1">
        <v>1.04816675634315E-5</v>
      </c>
      <c r="F9316" s="1">
        <v>4.1379143511145501E-6</v>
      </c>
    </row>
    <row r="9317" spans="1:6" x14ac:dyDescent="0.25">
      <c r="A9317" s="2" t="str">
        <f t="shared" si="336"/>
        <v>35620</v>
      </c>
      <c r="B9317" s="2" t="str">
        <f>"10037"</f>
        <v>10037</v>
      </c>
      <c r="C9317" s="1">
        <v>1.6066711314391101E-3</v>
      </c>
      <c r="D9317" s="1">
        <v>7.3508387196532404E-4</v>
      </c>
      <c r="E9317" s="1">
        <v>9.50337859084461E-4</v>
      </c>
      <c r="F9317" s="1">
        <v>1.4914528726568501E-3</v>
      </c>
    </row>
    <row r="9318" spans="1:6" x14ac:dyDescent="0.25">
      <c r="A9318" s="2" t="str">
        <f t="shared" si="336"/>
        <v>35620</v>
      </c>
      <c r="B9318" s="2" t="str">
        <f>"10026"</f>
        <v>10026</v>
      </c>
      <c r="C9318" s="1">
        <v>2.2617062489106001E-3</v>
      </c>
      <c r="D9318" s="1">
        <v>9.1302571075492695E-4</v>
      </c>
      <c r="E9318" s="1">
        <v>2.94185469613645E-3</v>
      </c>
      <c r="F9318" s="1">
        <v>2.1864102829081398E-3</v>
      </c>
    </row>
    <row r="9319" spans="1:6" x14ac:dyDescent="0.25">
      <c r="A9319" s="2" t="str">
        <f t="shared" si="336"/>
        <v>35620</v>
      </c>
      <c r="B9319" s="2" t="str">
        <f>"10024"</f>
        <v>10024</v>
      </c>
      <c r="C9319" s="1">
        <v>4.12578814161249E-3</v>
      </c>
      <c r="D9319" s="1">
        <v>1.9892670391582399E-3</v>
      </c>
      <c r="E9319" s="1">
        <v>5.2058948898376697E-3</v>
      </c>
      <c r="F9319" s="1">
        <v>4.0066681959266296E-3</v>
      </c>
    </row>
    <row r="9320" spans="1:6" x14ac:dyDescent="0.25">
      <c r="A9320" s="2" t="str">
        <f t="shared" si="336"/>
        <v>35620</v>
      </c>
      <c r="B9320" s="2" t="str">
        <f>"10012"</f>
        <v>10012</v>
      </c>
      <c r="C9320" s="1">
        <v>2.1667790324565199E-3</v>
      </c>
      <c r="D9320" s="1">
        <v>5.0130511134863897E-3</v>
      </c>
      <c r="E9320" s="1">
        <v>4.0738747929870596E-3</v>
      </c>
      <c r="F9320" s="1">
        <v>2.5286900700028998E-3</v>
      </c>
    </row>
    <row r="9321" spans="1:6" x14ac:dyDescent="0.25">
      <c r="A9321" s="2" t="str">
        <f t="shared" si="336"/>
        <v>35620</v>
      </c>
      <c r="B9321" s="2" t="str">
        <f>"10005"</f>
        <v>10005</v>
      </c>
      <c r="C9321" s="1">
        <v>8.8619470878432505E-4</v>
      </c>
      <c r="D9321" s="1">
        <v>2.28010990669711E-3</v>
      </c>
      <c r="E9321" s="1">
        <v>5.3107115654719799E-4</v>
      </c>
      <c r="F9321" s="1">
        <v>9.851419166691949E-4</v>
      </c>
    </row>
    <row r="9322" spans="1:6" x14ac:dyDescent="0.25">
      <c r="A9322" s="2" t="str">
        <f t="shared" si="336"/>
        <v>35620</v>
      </c>
      <c r="B9322" s="2" t="str">
        <f>"08906"</f>
        <v>08906</v>
      </c>
      <c r="C9322" s="1">
        <v>1.3561030922012001E-4</v>
      </c>
      <c r="D9322" s="1">
        <v>2.0371272578671701E-4</v>
      </c>
      <c r="E9322" s="1">
        <v>3.4938891878105101E-6</v>
      </c>
      <c r="F9322" s="1">
        <v>1.33474262915438E-4</v>
      </c>
    </row>
    <row r="9323" spans="1:6" x14ac:dyDescent="0.25">
      <c r="A9323" s="2" t="str">
        <f t="shared" si="336"/>
        <v>35620</v>
      </c>
      <c r="B9323" s="2" t="str">
        <f>"08887"</f>
        <v>08887</v>
      </c>
      <c r="C9323" s="1">
        <v>6.2579803245614999E-5</v>
      </c>
      <c r="D9323" s="1">
        <v>1.10446658559063E-5</v>
      </c>
      <c r="E9323" s="1">
        <v>3.4938891878105101E-6</v>
      </c>
      <c r="F9323" s="1">
        <v>5.4535589140330201E-5</v>
      </c>
    </row>
    <row r="9324" spans="1:6" x14ac:dyDescent="0.25">
      <c r="A9324" s="2" t="str">
        <f t="shared" si="336"/>
        <v>35620</v>
      </c>
      <c r="B9324" s="2" t="str">
        <f>"08902"</f>
        <v>08902</v>
      </c>
      <c r="C9324" s="1">
        <v>2.0199715417411599E-3</v>
      </c>
      <c r="D9324" s="1">
        <v>1.83464171717555E-3</v>
      </c>
      <c r="E9324" s="1">
        <v>8.4901507263795604E-4</v>
      </c>
      <c r="F9324" s="1">
        <v>1.9328304034423999E-3</v>
      </c>
    </row>
    <row r="9325" spans="1:6" x14ac:dyDescent="0.25">
      <c r="A9325" s="2" t="str">
        <f t="shared" si="336"/>
        <v>35620</v>
      </c>
      <c r="B9325" s="2" t="str">
        <f>"08879"</f>
        <v>08879</v>
      </c>
      <c r="C9325" s="1">
        <v>1.1672439643148299E-3</v>
      </c>
      <c r="D9325" s="1">
        <v>6.5286247059357695E-4</v>
      </c>
      <c r="E9325" s="1">
        <v>7.4245145240973498E-4</v>
      </c>
      <c r="F9325" s="1">
        <v>1.09697170451726E-3</v>
      </c>
    </row>
    <row r="9326" spans="1:6" x14ac:dyDescent="0.25">
      <c r="A9326" s="2" t="str">
        <f t="shared" si="336"/>
        <v>35620</v>
      </c>
      <c r="B9326" s="2" t="str">
        <f>"08872"</f>
        <v>08872</v>
      </c>
      <c r="C9326" s="1">
        <v>9.6034493290835399E-4</v>
      </c>
      <c r="D9326" s="1">
        <v>4.99464333705988E-4</v>
      </c>
      <c r="E9326" s="1">
        <v>8.3853340507452398E-4</v>
      </c>
      <c r="F9326" s="1">
        <v>9.1309976681261103E-4</v>
      </c>
    </row>
    <row r="9327" spans="1:6" x14ac:dyDescent="0.25">
      <c r="A9327" s="2" t="str">
        <f t="shared" si="336"/>
        <v>35620</v>
      </c>
      <c r="B9327" s="2" t="str">
        <f>"08869"</f>
        <v>08869</v>
      </c>
      <c r="C9327" s="1">
        <v>4.0359618633951298E-4</v>
      </c>
      <c r="D9327" s="1">
        <v>4.9578277842068604E-4</v>
      </c>
      <c r="E9327" s="1">
        <v>8.3678646048061898E-4</v>
      </c>
      <c r="F9327" s="1">
        <v>4.3787621864230101E-4</v>
      </c>
    </row>
    <row r="9328" spans="1:6" x14ac:dyDescent="0.25">
      <c r="A9328" s="2" t="str">
        <f t="shared" si="336"/>
        <v>35620</v>
      </c>
      <c r="B9328" s="2" t="str">
        <f>"08837"</f>
        <v>08837</v>
      </c>
      <c r="C9328" s="1">
        <v>8.9490362772506697E-4</v>
      </c>
      <c r="D9328" s="1">
        <v>2.1316205101899301E-3</v>
      </c>
      <c r="E9328" s="1">
        <v>1.6229115277379799E-3</v>
      </c>
      <c r="F9328" s="1">
        <v>1.04604352788816E-3</v>
      </c>
    </row>
    <row r="9329" spans="1:6" x14ac:dyDescent="0.25">
      <c r="A9329" s="2" t="str">
        <f t="shared" si="336"/>
        <v>35620</v>
      </c>
      <c r="B9329" s="2" t="str">
        <f>"08861"</f>
        <v>08861</v>
      </c>
      <c r="C9329" s="1">
        <v>2.1402790362511199E-3</v>
      </c>
      <c r="D9329" s="1">
        <v>1.93895245025912E-3</v>
      </c>
      <c r="E9329" s="1">
        <v>2.77065412593374E-3</v>
      </c>
      <c r="F9329" s="1">
        <v>2.1611583953295402E-3</v>
      </c>
    </row>
    <row r="9330" spans="1:6" x14ac:dyDescent="0.25">
      <c r="A9330" s="2" t="str">
        <f t="shared" si="336"/>
        <v>35620</v>
      </c>
      <c r="B9330" s="2" t="str">
        <f>"08736"</f>
        <v>08736</v>
      </c>
      <c r="C9330" s="1">
        <v>8.40783917164744E-4</v>
      </c>
      <c r="D9330" s="1">
        <v>1.33517738346957E-3</v>
      </c>
      <c r="E9330" s="1">
        <v>3.86074755253062E-4</v>
      </c>
      <c r="F9330" s="1">
        <v>8.5591166847284804E-4</v>
      </c>
    </row>
    <row r="9331" spans="1:6" x14ac:dyDescent="0.25">
      <c r="A9331" s="2" t="str">
        <f t="shared" si="336"/>
        <v>35620</v>
      </c>
      <c r="B9331" s="2" t="str">
        <f>"08825"</f>
        <v>08825</v>
      </c>
      <c r="C9331" s="1">
        <v>2.4223235968034201E-4</v>
      </c>
      <c r="D9331" s="1">
        <v>2.6752635073195398E-4</v>
      </c>
      <c r="E9331" s="1">
        <v>2.81258079618746E-4</v>
      </c>
      <c r="F9331" s="1">
        <v>2.4678945591519099E-4</v>
      </c>
    </row>
    <row r="9332" spans="1:6" x14ac:dyDescent="0.25">
      <c r="A9332" s="2" t="str">
        <f t="shared" si="336"/>
        <v>35620</v>
      </c>
      <c r="B9332" s="2" t="str">
        <f>"08820"</f>
        <v>08820</v>
      </c>
      <c r="C9332" s="1">
        <v>1.7071969386408101E-3</v>
      </c>
      <c r="D9332" s="1">
        <v>1.09464910482983E-3</v>
      </c>
      <c r="E9332" s="1">
        <v>6.8130839162305098E-4</v>
      </c>
      <c r="F9332" s="1">
        <v>1.59192992113135E-3</v>
      </c>
    </row>
    <row r="9333" spans="1:6" x14ac:dyDescent="0.25">
      <c r="A9333" s="2" t="str">
        <f t="shared" si="336"/>
        <v>35620</v>
      </c>
      <c r="B9333" s="2" t="str">
        <f>"08817"</f>
        <v>08817</v>
      </c>
      <c r="C9333" s="1">
        <v>2.1297039203944999E-3</v>
      </c>
      <c r="D9333" s="1">
        <v>1.92299904402281E-3</v>
      </c>
      <c r="E9333" s="1">
        <v>1.6997770898698099E-3</v>
      </c>
      <c r="F9333" s="1">
        <v>2.0857210336976801E-3</v>
      </c>
    </row>
    <row r="9334" spans="1:6" x14ac:dyDescent="0.25">
      <c r="A9334" s="2" t="str">
        <f t="shared" si="336"/>
        <v>35620</v>
      </c>
      <c r="B9334" s="2" t="str">
        <f>"08557"</f>
        <v>08557</v>
      </c>
      <c r="C9334" s="1">
        <v>0</v>
      </c>
      <c r="D9334" s="1">
        <v>0</v>
      </c>
      <c r="E9334" s="1">
        <v>1.74694459390525E-6</v>
      </c>
      <c r="F9334" s="1">
        <v>1.06100367977296E-7</v>
      </c>
    </row>
    <row r="9335" spans="1:6" x14ac:dyDescent="0.25">
      <c r="A9335" s="2" t="str">
        <f t="shared" si="336"/>
        <v>35620</v>
      </c>
      <c r="B9335" s="2" t="str">
        <f>"08560"</f>
        <v>08560</v>
      </c>
      <c r="C9335" s="1">
        <v>2.48826255449761E-7</v>
      </c>
      <c r="D9335" s="1">
        <v>0</v>
      </c>
      <c r="E9335" s="1">
        <v>0</v>
      </c>
      <c r="F9335" s="1">
        <v>2.12200735954592E-7</v>
      </c>
    </row>
    <row r="9336" spans="1:6" x14ac:dyDescent="0.25">
      <c r="A9336" s="2" t="str">
        <f t="shared" ref="A9336:A9399" si="337">"35620"</f>
        <v>35620</v>
      </c>
      <c r="B9336" s="2" t="str">
        <f>"08553"</f>
        <v>08553</v>
      </c>
      <c r="C9336" s="1">
        <v>9.4553977070909302E-5</v>
      </c>
      <c r="D9336" s="1">
        <v>1.75487468599401E-4</v>
      </c>
      <c r="E9336" s="1">
        <v>1.22286121573368E-5</v>
      </c>
      <c r="F9336" s="1">
        <v>9.6551334859339494E-5</v>
      </c>
    </row>
    <row r="9337" spans="1:6" x14ac:dyDescent="0.25">
      <c r="A9337" s="2" t="str">
        <f t="shared" si="337"/>
        <v>35620</v>
      </c>
      <c r="B9337" s="2" t="str">
        <f>"08092"</f>
        <v>08092</v>
      </c>
      <c r="C9337" s="1">
        <v>1.9955865687070799E-4</v>
      </c>
      <c r="D9337" s="1">
        <v>2.00031170501415E-4</v>
      </c>
      <c r="E9337" s="1">
        <v>4.7167504035442003E-5</v>
      </c>
      <c r="F9337" s="1">
        <v>1.9034406015126901E-4</v>
      </c>
    </row>
    <row r="9338" spans="1:6" x14ac:dyDescent="0.25">
      <c r="A9338" s="2" t="str">
        <f t="shared" si="337"/>
        <v>35620</v>
      </c>
      <c r="B9338" s="2" t="str">
        <f>"07970"</f>
        <v>07970</v>
      </c>
      <c r="C9338" s="1">
        <v>5.0387316728576699E-5</v>
      </c>
      <c r="D9338" s="1">
        <v>2.0984865126222099E-4</v>
      </c>
      <c r="E9338" s="1">
        <v>6.9877783756210304E-6</v>
      </c>
      <c r="F9338" s="1">
        <v>6.1538213426831796E-5</v>
      </c>
    </row>
    <row r="9339" spans="1:6" x14ac:dyDescent="0.25">
      <c r="A9339" s="2" t="str">
        <f t="shared" si="337"/>
        <v>35620</v>
      </c>
      <c r="B9339" s="2" t="str">
        <f>"08006"</f>
        <v>08006</v>
      </c>
      <c r="C9339" s="1">
        <v>7.9624401743923605E-5</v>
      </c>
      <c r="D9339" s="1">
        <v>3.1906812472618401E-5</v>
      </c>
      <c r="E9339" s="1">
        <v>5.2408337817157703E-6</v>
      </c>
      <c r="F9339" s="1">
        <v>7.0981146176811097E-5</v>
      </c>
    </row>
    <row r="9340" spans="1:6" x14ac:dyDescent="0.25">
      <c r="A9340" s="2" t="str">
        <f t="shared" si="337"/>
        <v>35620</v>
      </c>
      <c r="B9340" s="2" t="str">
        <f>"07974"</f>
        <v>07974</v>
      </c>
      <c r="C9340" s="1">
        <v>5.8175578524154203E-4</v>
      </c>
      <c r="D9340" s="1">
        <v>4.2583322799994599E-4</v>
      </c>
      <c r="E9340" s="1">
        <v>8.4552118345014495E-4</v>
      </c>
      <c r="F9340" s="1">
        <v>5.8429472645096998E-4</v>
      </c>
    </row>
    <row r="9341" spans="1:6" x14ac:dyDescent="0.25">
      <c r="A9341" s="2" t="str">
        <f t="shared" si="337"/>
        <v>35620</v>
      </c>
      <c r="B9341" s="2" t="str">
        <f>"07935"</f>
        <v>07935</v>
      </c>
      <c r="C9341" s="1">
        <v>2.9485911270796699E-5</v>
      </c>
      <c r="D9341" s="1">
        <v>4.2951478328524802E-5</v>
      </c>
      <c r="E9341" s="1">
        <v>3.8432781065915701E-5</v>
      </c>
      <c r="F9341" s="1">
        <v>3.1193508185325002E-5</v>
      </c>
    </row>
    <row r="9342" spans="1:6" x14ac:dyDescent="0.25">
      <c r="A9342" s="2" t="str">
        <f t="shared" si="337"/>
        <v>35620</v>
      </c>
      <c r="B9342" s="2" t="str">
        <f>"07934"</f>
        <v>07934</v>
      </c>
      <c r="C9342" s="1">
        <v>6.69342627159858E-5</v>
      </c>
      <c r="D9342" s="1">
        <v>4.5405848518726199E-5</v>
      </c>
      <c r="E9342" s="1">
        <v>2.62041689085788E-5</v>
      </c>
      <c r="F9342" s="1">
        <v>6.2599217106604695E-5</v>
      </c>
    </row>
    <row r="9343" spans="1:6" x14ac:dyDescent="0.25">
      <c r="A9343" s="2" t="str">
        <f t="shared" si="337"/>
        <v>35620</v>
      </c>
      <c r="B9343" s="2" t="str">
        <f>"07933"</f>
        <v>07933</v>
      </c>
      <c r="C9343" s="1">
        <v>1.5228166833525399E-4</v>
      </c>
      <c r="D9343" s="1">
        <v>1.17809769129668E-4</v>
      </c>
      <c r="E9343" s="1">
        <v>9.9575841852599805E-5</v>
      </c>
      <c r="F9343" s="1">
        <v>1.4610020670473601E-4</v>
      </c>
    </row>
    <row r="9344" spans="1:6" x14ac:dyDescent="0.25">
      <c r="A9344" s="2" t="str">
        <f t="shared" si="337"/>
        <v>35620</v>
      </c>
      <c r="B9344" s="2" t="str">
        <f>"07879"</f>
        <v>07879</v>
      </c>
      <c r="C9344" s="1">
        <v>0</v>
      </c>
      <c r="D9344" s="1">
        <v>0</v>
      </c>
      <c r="E9344" s="1">
        <v>1.74694459390525E-6</v>
      </c>
      <c r="F9344" s="1">
        <v>1.06100367977296E-7</v>
      </c>
    </row>
    <row r="9345" spans="1:6" x14ac:dyDescent="0.25">
      <c r="A9345" s="2" t="str">
        <f t="shared" si="337"/>
        <v>35620</v>
      </c>
      <c r="B9345" s="2" t="str">
        <f>"07928"</f>
        <v>07928</v>
      </c>
      <c r="C9345" s="1">
        <v>9.6420173986782503E-4</v>
      </c>
      <c r="D9345" s="1">
        <v>8.7989171318720802E-4</v>
      </c>
      <c r="E9345" s="1">
        <v>1.5757440237025399E-3</v>
      </c>
      <c r="F9345" s="1">
        <v>9.9405434757928791E-4</v>
      </c>
    </row>
    <row r="9346" spans="1:6" x14ac:dyDescent="0.25">
      <c r="A9346" s="2" t="str">
        <f t="shared" si="337"/>
        <v>35620</v>
      </c>
      <c r="B9346" s="2" t="str">
        <f>"07842"</f>
        <v>07842</v>
      </c>
      <c r="C9346" s="1">
        <v>0</v>
      </c>
      <c r="D9346" s="1">
        <v>0</v>
      </c>
      <c r="E9346" s="1">
        <v>1.74694459390525E-6</v>
      </c>
      <c r="F9346" s="1">
        <v>1.06100367977296E-7</v>
      </c>
    </row>
    <row r="9347" spans="1:6" x14ac:dyDescent="0.25">
      <c r="A9347" s="2" t="str">
        <f t="shared" si="337"/>
        <v>35620</v>
      </c>
      <c r="B9347" s="2" t="str">
        <f>"07853"</f>
        <v>07853</v>
      </c>
      <c r="C9347" s="1">
        <v>6.1136610964006397E-4</v>
      </c>
      <c r="D9347" s="1">
        <v>3.9024486024202501E-4</v>
      </c>
      <c r="E9347" s="1">
        <v>1.6945362560881E-4</v>
      </c>
      <c r="F9347" s="1">
        <v>5.65408860951011E-4</v>
      </c>
    </row>
    <row r="9348" spans="1:6" x14ac:dyDescent="0.25">
      <c r="A9348" s="2" t="str">
        <f t="shared" si="337"/>
        <v>35620</v>
      </c>
      <c r="B9348" s="2" t="str">
        <f>"07724"</f>
        <v>07724</v>
      </c>
      <c r="C9348" s="1">
        <v>1.3842204590670201E-3</v>
      </c>
      <c r="D9348" s="1">
        <v>1.9708592627317302E-3</v>
      </c>
      <c r="E9348" s="1">
        <v>7.8961895644517703E-4</v>
      </c>
      <c r="F9348" s="1">
        <v>1.39882725141267E-3</v>
      </c>
    </row>
    <row r="9349" spans="1:6" x14ac:dyDescent="0.25">
      <c r="A9349" s="2" t="str">
        <f t="shared" si="337"/>
        <v>35620</v>
      </c>
      <c r="B9349" s="2" t="str">
        <f>"07723"</f>
        <v>07723</v>
      </c>
      <c r="C9349" s="1">
        <v>1.53525799612502E-4</v>
      </c>
      <c r="D9349" s="1">
        <v>1.19036954224768E-4</v>
      </c>
      <c r="E9349" s="1">
        <v>7.6865562131831402E-5</v>
      </c>
      <c r="F9349" s="1">
        <v>1.45888005968782E-4</v>
      </c>
    </row>
    <row r="9350" spans="1:6" x14ac:dyDescent="0.25">
      <c r="A9350" s="2" t="str">
        <f t="shared" si="337"/>
        <v>35620</v>
      </c>
      <c r="B9350" s="2" t="str">
        <f>"07699"</f>
        <v>07699</v>
      </c>
      <c r="C9350" s="1">
        <v>0</v>
      </c>
      <c r="D9350" s="1">
        <v>0</v>
      </c>
      <c r="E9350" s="1">
        <v>1.74694459390525E-6</v>
      </c>
      <c r="F9350" s="1">
        <v>1.06100367977296E-7</v>
      </c>
    </row>
    <row r="9351" spans="1:6" x14ac:dyDescent="0.25">
      <c r="A9351" s="2" t="str">
        <f t="shared" si="337"/>
        <v>35620</v>
      </c>
      <c r="B9351" s="2" t="str">
        <f>"07837"</f>
        <v>07837</v>
      </c>
      <c r="C9351" s="1">
        <v>0</v>
      </c>
      <c r="D9351" s="1">
        <v>0</v>
      </c>
      <c r="E9351" s="1">
        <v>1.22286121573368E-5</v>
      </c>
      <c r="F9351" s="1">
        <v>7.4270257584107304E-7</v>
      </c>
    </row>
    <row r="9352" spans="1:6" x14ac:dyDescent="0.25">
      <c r="A9352" s="2" t="str">
        <f t="shared" si="337"/>
        <v>35620</v>
      </c>
      <c r="B9352" s="2" t="str">
        <f>"07801"</f>
        <v>07801</v>
      </c>
      <c r="C9352" s="1">
        <v>1.0601242613436999E-3</v>
      </c>
      <c r="D9352" s="1">
        <v>1.0553791817866E-3</v>
      </c>
      <c r="E9352" s="1">
        <v>2.1522357396912702E-3</v>
      </c>
      <c r="F9352" s="1">
        <v>1.1260432053430401E-3</v>
      </c>
    </row>
    <row r="9353" spans="1:6" x14ac:dyDescent="0.25">
      <c r="A9353" s="2" t="str">
        <f t="shared" si="337"/>
        <v>35620</v>
      </c>
      <c r="B9353" s="2" t="str">
        <f>"07648"</f>
        <v>07648</v>
      </c>
      <c r="C9353" s="1">
        <v>2.6076991571135001E-4</v>
      </c>
      <c r="D9353" s="1">
        <v>2.9452442282416999E-4</v>
      </c>
      <c r="E9353" s="1">
        <v>1.2403306616727301E-4</v>
      </c>
      <c r="F9353" s="1">
        <v>2.5538358572135101E-4</v>
      </c>
    </row>
    <row r="9354" spans="1:6" x14ac:dyDescent="0.25">
      <c r="A9354" s="2" t="str">
        <f t="shared" si="337"/>
        <v>35620</v>
      </c>
      <c r="B9354" s="2" t="str">
        <f>"07727"</f>
        <v>07727</v>
      </c>
      <c r="C9354" s="1">
        <v>4.5709383126121101E-4</v>
      </c>
      <c r="D9354" s="1">
        <v>9.7683933570016403E-4</v>
      </c>
      <c r="E9354" s="1">
        <v>2.8824585799436698E-4</v>
      </c>
      <c r="F9354" s="1">
        <v>4.9177520557476702E-4</v>
      </c>
    </row>
    <row r="9355" spans="1:6" x14ac:dyDescent="0.25">
      <c r="A9355" s="2" t="str">
        <f t="shared" si="337"/>
        <v>35620</v>
      </c>
      <c r="B9355" s="2" t="str">
        <f>"07641"</f>
        <v>07641</v>
      </c>
      <c r="C9355" s="1">
        <v>1.4133331309546399E-4</v>
      </c>
      <c r="D9355" s="1">
        <v>7.8539846086445305E-5</v>
      </c>
      <c r="E9355" s="1">
        <v>4.5420559441536698E-5</v>
      </c>
      <c r="F9355" s="1">
        <v>1.3007905114016501E-4</v>
      </c>
    </row>
    <row r="9356" spans="1:6" x14ac:dyDescent="0.25">
      <c r="A9356" s="2" t="str">
        <f t="shared" si="337"/>
        <v>35620</v>
      </c>
      <c r="B9356" s="2" t="str">
        <f>"07627"</f>
        <v>07627</v>
      </c>
      <c r="C9356" s="1">
        <v>2.11751143387747E-4</v>
      </c>
      <c r="D9356" s="1">
        <v>4.0497108138323297E-5</v>
      </c>
      <c r="E9356" s="1">
        <v>4.3673614847631399E-5</v>
      </c>
      <c r="F9356" s="1">
        <v>1.86736647640041E-4</v>
      </c>
    </row>
    <row r="9357" spans="1:6" x14ac:dyDescent="0.25">
      <c r="A9357" s="2" t="str">
        <f t="shared" si="337"/>
        <v>35620</v>
      </c>
      <c r="B9357" s="2" t="str">
        <f>"07602"</f>
        <v>07602</v>
      </c>
      <c r="C9357" s="1">
        <v>6.5565718311012098E-5</v>
      </c>
      <c r="D9357" s="1">
        <v>2.2825642768873101E-4</v>
      </c>
      <c r="E9357" s="1">
        <v>3.4938891878105101E-6</v>
      </c>
      <c r="F9357" s="1">
        <v>7.5861763103766698E-5</v>
      </c>
    </row>
    <row r="9358" spans="1:6" x14ac:dyDescent="0.25">
      <c r="A9358" s="2" t="str">
        <f t="shared" si="337"/>
        <v>35620</v>
      </c>
      <c r="B9358" s="2" t="str">
        <f>"07522"</f>
        <v>07522</v>
      </c>
      <c r="C9358" s="1">
        <v>9.2613132278401204E-4</v>
      </c>
      <c r="D9358" s="1">
        <v>4.7001189142357102E-4</v>
      </c>
      <c r="E9358" s="1">
        <v>1.28749816570817E-3</v>
      </c>
      <c r="F9358" s="1">
        <v>9.0864355135756398E-4</v>
      </c>
    </row>
    <row r="9359" spans="1:6" x14ac:dyDescent="0.25">
      <c r="A9359" s="2" t="str">
        <f t="shared" si="337"/>
        <v>35620</v>
      </c>
      <c r="B9359" s="2" t="str">
        <f>"07624"</f>
        <v>07624</v>
      </c>
      <c r="C9359" s="1">
        <v>3.9787318246416799E-4</v>
      </c>
      <c r="D9359" s="1">
        <v>7.8908001614975498E-4</v>
      </c>
      <c r="E9359" s="1">
        <v>2.9173974718217801E-4</v>
      </c>
      <c r="F9359" s="1">
        <v>4.25250274853003E-4</v>
      </c>
    </row>
    <row r="9360" spans="1:6" x14ac:dyDescent="0.25">
      <c r="A9360" s="2" t="str">
        <f t="shared" si="337"/>
        <v>35620</v>
      </c>
      <c r="B9360" s="2" t="str">
        <f>"07399"</f>
        <v>07399</v>
      </c>
      <c r="C9360" s="1">
        <v>0</v>
      </c>
      <c r="D9360" s="1">
        <v>1.2271850951007001E-6</v>
      </c>
      <c r="E9360" s="1">
        <v>0</v>
      </c>
      <c r="F9360" s="1">
        <v>1.06100367977296E-7</v>
      </c>
    </row>
    <row r="9361" spans="1:6" x14ac:dyDescent="0.25">
      <c r="A9361" s="2" t="str">
        <f t="shared" si="337"/>
        <v>35620</v>
      </c>
      <c r="B9361" s="2" t="str">
        <f>"07444"</f>
        <v>07444</v>
      </c>
      <c r="C9361" s="1">
        <v>6.5901633755869303E-4</v>
      </c>
      <c r="D9361" s="1">
        <v>6.7740617249559102E-4</v>
      </c>
      <c r="E9361" s="1">
        <v>1.9216390532957801E-4</v>
      </c>
      <c r="F9361" s="1">
        <v>6.3225209277670801E-4</v>
      </c>
    </row>
    <row r="9362" spans="1:6" x14ac:dyDescent="0.25">
      <c r="A9362" s="2" t="str">
        <f t="shared" si="337"/>
        <v>35620</v>
      </c>
      <c r="B9362" s="2" t="str">
        <f>"07438"</f>
        <v>07438</v>
      </c>
      <c r="C9362" s="1">
        <v>5.3808677741010896E-4</v>
      </c>
      <c r="D9362" s="1">
        <v>2.3561953825933601E-4</v>
      </c>
      <c r="E9362" s="1">
        <v>2.3933140936502001E-4</v>
      </c>
      <c r="F9362" s="1">
        <v>4.9379111256633596E-4</v>
      </c>
    </row>
    <row r="9363" spans="1:6" x14ac:dyDescent="0.25">
      <c r="A9363" s="2" t="str">
        <f t="shared" si="337"/>
        <v>35620</v>
      </c>
      <c r="B9363" s="2" t="str">
        <f>"07480"</f>
        <v>07480</v>
      </c>
      <c r="C9363" s="1">
        <v>8.5770410253532803E-4</v>
      </c>
      <c r="D9363" s="1">
        <v>5.1173618465699504E-4</v>
      </c>
      <c r="E9363" s="1">
        <v>4.1577281334945101E-4</v>
      </c>
      <c r="F9363" s="1">
        <v>8.0095167786060895E-4</v>
      </c>
    </row>
    <row r="9364" spans="1:6" x14ac:dyDescent="0.25">
      <c r="A9364" s="2" t="str">
        <f t="shared" si="337"/>
        <v>35620</v>
      </c>
      <c r="B9364" s="2" t="str">
        <f>"07463"</f>
        <v>07463</v>
      </c>
      <c r="C9364" s="1">
        <v>4.8832152632015695E-4</v>
      </c>
      <c r="D9364" s="1">
        <v>5.6205077355612402E-4</v>
      </c>
      <c r="E9364" s="1">
        <v>1.9391084992348301E-4</v>
      </c>
      <c r="F9364" s="1">
        <v>4.7681505368996898E-4</v>
      </c>
    </row>
    <row r="9365" spans="1:6" x14ac:dyDescent="0.25">
      <c r="A9365" s="2" t="str">
        <f t="shared" si="337"/>
        <v>35620</v>
      </c>
      <c r="B9365" s="2" t="str">
        <f>"07114"</f>
        <v>07114</v>
      </c>
      <c r="C9365" s="1">
        <v>6.2704216373339898E-4</v>
      </c>
      <c r="D9365" s="1">
        <v>1.54870759001709E-3</v>
      </c>
      <c r="E9365" s="1">
        <v>1.9129043303262501E-3</v>
      </c>
      <c r="F9365" s="1">
        <v>7.8482442192806003E-4</v>
      </c>
    </row>
    <row r="9366" spans="1:6" x14ac:dyDescent="0.25">
      <c r="A9366" s="2" t="str">
        <f t="shared" si="337"/>
        <v>35620</v>
      </c>
      <c r="B9366" s="2" t="str">
        <f>"07421"</f>
        <v>07421</v>
      </c>
      <c r="C9366" s="1">
        <v>5.2527222525444598E-4</v>
      </c>
      <c r="D9366" s="1">
        <v>3.15386569440882E-4</v>
      </c>
      <c r="E9366" s="1">
        <v>9.6081952664789195E-5</v>
      </c>
      <c r="F9366" s="1">
        <v>4.8105906840906101E-4</v>
      </c>
    </row>
    <row r="9367" spans="1:6" x14ac:dyDescent="0.25">
      <c r="A9367" s="2" t="str">
        <f t="shared" si="337"/>
        <v>35620</v>
      </c>
      <c r="B9367" s="2" t="str">
        <f>"07419"</f>
        <v>07419</v>
      </c>
      <c r="C9367" s="1">
        <v>5.3186612102386495E-4</v>
      </c>
      <c r="D9367" s="1">
        <v>3.08023458870277E-4</v>
      </c>
      <c r="E9367" s="1">
        <v>5.1534865520205103E-4</v>
      </c>
      <c r="F9367" s="1">
        <v>5.1150987401854498E-4</v>
      </c>
    </row>
    <row r="9368" spans="1:6" x14ac:dyDescent="0.25">
      <c r="A9368" s="2" t="str">
        <f t="shared" si="337"/>
        <v>35620</v>
      </c>
      <c r="B9368" s="2" t="str">
        <f>"07111"</f>
        <v>07111</v>
      </c>
      <c r="C9368" s="1">
        <v>2.9112671887622098E-3</v>
      </c>
      <c r="D9368" s="1">
        <v>2.0383544429622702E-3</v>
      </c>
      <c r="E9368" s="1">
        <v>5.3980587951672496E-3</v>
      </c>
      <c r="F9368" s="1">
        <v>2.9868314589288599E-3</v>
      </c>
    </row>
    <row r="9369" spans="1:6" x14ac:dyDescent="0.25">
      <c r="A9369" s="2" t="str">
        <f t="shared" si="337"/>
        <v>35620</v>
      </c>
      <c r="B9369" s="2" t="str">
        <f>"07092"</f>
        <v>07092</v>
      </c>
      <c r="C9369" s="1">
        <v>3.2546474212828799E-4</v>
      </c>
      <c r="D9369" s="1">
        <v>4.4914974480685902E-4</v>
      </c>
      <c r="E9369" s="1">
        <v>1.5547806885756799E-4</v>
      </c>
      <c r="F9369" s="1">
        <v>3.2583423005827598E-4</v>
      </c>
    </row>
    <row r="9370" spans="1:6" x14ac:dyDescent="0.25">
      <c r="A9370" s="2" t="str">
        <f t="shared" si="337"/>
        <v>35620</v>
      </c>
      <c r="B9370" s="2" t="str">
        <f>"07076"</f>
        <v>07076</v>
      </c>
      <c r="C9370" s="1">
        <v>1.20966884086901E-3</v>
      </c>
      <c r="D9370" s="1">
        <v>8.7866452809210697E-4</v>
      </c>
      <c r="E9370" s="1">
        <v>3.0047447015170398E-4</v>
      </c>
      <c r="F9370" s="1">
        <v>1.12583100460709E-3</v>
      </c>
    </row>
    <row r="9371" spans="1:6" x14ac:dyDescent="0.25">
      <c r="A9371" s="2" t="str">
        <f t="shared" si="337"/>
        <v>35620</v>
      </c>
      <c r="B9371" s="2" t="str">
        <f>"07071"</f>
        <v>07071</v>
      </c>
      <c r="C9371" s="1">
        <v>1.13327918044593E-3</v>
      </c>
      <c r="D9371" s="1">
        <v>1.3008162008067499E-3</v>
      </c>
      <c r="E9371" s="1">
        <v>1.2473184400483501E-3</v>
      </c>
      <c r="F9371" s="1">
        <v>1.1546903046969099E-3</v>
      </c>
    </row>
    <row r="9372" spans="1:6" x14ac:dyDescent="0.25">
      <c r="A9372" s="2" t="str">
        <f t="shared" si="337"/>
        <v>35620</v>
      </c>
      <c r="B9372" s="2" t="str">
        <f>"07062"</f>
        <v>07062</v>
      </c>
      <c r="C9372" s="1">
        <v>6.1845765792038201E-4</v>
      </c>
      <c r="D9372" s="1">
        <v>3.6201960305470903E-4</v>
      </c>
      <c r="E9372" s="1">
        <v>4.6818115116660898E-4</v>
      </c>
      <c r="F9372" s="1">
        <v>5.8715943638635703E-4</v>
      </c>
    </row>
    <row r="9373" spans="1:6" x14ac:dyDescent="0.25">
      <c r="A9373" s="2" t="str">
        <f t="shared" si="337"/>
        <v>35620</v>
      </c>
      <c r="B9373" s="2" t="str">
        <f>"07016"</f>
        <v>07016</v>
      </c>
      <c r="C9373" s="1">
        <v>1.18180030025864E-3</v>
      </c>
      <c r="D9373" s="1">
        <v>1.4910298905473601E-3</v>
      </c>
      <c r="E9373" s="1">
        <v>6.5859811190228197E-4</v>
      </c>
      <c r="F9373" s="1">
        <v>1.17675918123619E-3</v>
      </c>
    </row>
    <row r="9374" spans="1:6" x14ac:dyDescent="0.25">
      <c r="A9374" s="2" t="str">
        <f t="shared" si="337"/>
        <v>35620</v>
      </c>
      <c r="B9374" s="2" t="str">
        <f>"07013"</f>
        <v>07013</v>
      </c>
      <c r="C9374" s="1">
        <v>1.37352093008268E-3</v>
      </c>
      <c r="D9374" s="1">
        <v>1.31186086666265E-3</v>
      </c>
      <c r="E9374" s="1">
        <v>8.5774979560748201E-4</v>
      </c>
      <c r="F9374" s="1">
        <v>1.33686463651393E-3</v>
      </c>
    </row>
    <row r="9375" spans="1:6" x14ac:dyDescent="0.25">
      <c r="A9375" s="2" t="str">
        <f t="shared" si="337"/>
        <v>35620</v>
      </c>
      <c r="B9375" s="2" t="str">
        <f>"07007"</f>
        <v>07007</v>
      </c>
      <c r="C9375" s="1">
        <v>1.22795757064457E-4</v>
      </c>
      <c r="D9375" s="1">
        <v>5.2400803560800197E-4</v>
      </c>
      <c r="E9375" s="1">
        <v>3.4938891878105101E-6</v>
      </c>
      <c r="F9375" s="1">
        <v>1.5023812105585099E-4</v>
      </c>
    </row>
    <row r="9376" spans="1:6" x14ac:dyDescent="0.25">
      <c r="A9376" s="2" t="str">
        <f t="shared" si="337"/>
        <v>35620</v>
      </c>
      <c r="B9376" s="2" t="str">
        <f>"00501"</f>
        <v>00501</v>
      </c>
      <c r="C9376" s="1">
        <v>0</v>
      </c>
      <c r="D9376" s="1">
        <v>1.2271850951007001E-6</v>
      </c>
      <c r="E9376" s="1">
        <v>0</v>
      </c>
      <c r="F9376" s="1">
        <v>1.06100367977296E-7</v>
      </c>
    </row>
    <row r="9377" spans="1:6" x14ac:dyDescent="0.25">
      <c r="A9377" s="2" t="str">
        <f t="shared" si="337"/>
        <v>35620</v>
      </c>
      <c r="B9377" s="2" t="str">
        <f>"18435"</f>
        <v>18435</v>
      </c>
      <c r="C9377" s="1">
        <v>9.31854326659356E-5</v>
      </c>
      <c r="D9377" s="1">
        <v>1.4726221141208501E-5</v>
      </c>
      <c r="E9377" s="1">
        <v>1.22286121573368E-5</v>
      </c>
      <c r="F9377" s="1">
        <v>8.1485082606563405E-5</v>
      </c>
    </row>
    <row r="9378" spans="1:6" x14ac:dyDescent="0.25">
      <c r="A9378" s="2" t="str">
        <f t="shared" si="337"/>
        <v>35620</v>
      </c>
      <c r="B9378" s="2" t="str">
        <f>"18405"</f>
        <v>18405</v>
      </c>
      <c r="C9378" s="1">
        <v>1.6298119731959301E-5</v>
      </c>
      <c r="D9378" s="1">
        <v>3.6815552853021201E-6</v>
      </c>
      <c r="E9378" s="1">
        <v>3.4938891878105101E-6</v>
      </c>
      <c r="F9378" s="1">
        <v>1.4429650044912201E-5</v>
      </c>
    </row>
    <row r="9379" spans="1:6" x14ac:dyDescent="0.25">
      <c r="A9379" s="2" t="str">
        <f t="shared" si="337"/>
        <v>35620</v>
      </c>
      <c r="B9379" s="2" t="str">
        <f>"11767"</f>
        <v>11767</v>
      </c>
      <c r="C9379" s="1">
        <v>6.87258117552241E-4</v>
      </c>
      <c r="D9379" s="1">
        <v>6.7249743211518801E-4</v>
      </c>
      <c r="E9379" s="1">
        <v>2.1487418505034599E-4</v>
      </c>
      <c r="F9379" s="1">
        <v>6.5729177961935004E-4</v>
      </c>
    </row>
    <row r="9380" spans="1:6" x14ac:dyDescent="0.25">
      <c r="A9380" s="2" t="str">
        <f t="shared" si="337"/>
        <v>35620</v>
      </c>
      <c r="B9380" s="2" t="str">
        <f>"11764"</f>
        <v>11764</v>
      </c>
      <c r="C9380" s="1">
        <v>7.4448815630568602E-4</v>
      </c>
      <c r="D9380" s="1">
        <v>8.1853245843217196E-4</v>
      </c>
      <c r="E9380" s="1">
        <v>1.2752695535508301E-4</v>
      </c>
      <c r="F9380" s="1">
        <v>7.1341887427933898E-4</v>
      </c>
    </row>
    <row r="9381" spans="1:6" x14ac:dyDescent="0.25">
      <c r="A9381" s="2" t="str">
        <f t="shared" si="337"/>
        <v>35620</v>
      </c>
      <c r="B9381" s="2" t="str">
        <f>"11772"</f>
        <v>11772</v>
      </c>
      <c r="C9381" s="1">
        <v>2.3638494267727299E-3</v>
      </c>
      <c r="D9381" s="1">
        <v>2.5893605506624902E-3</v>
      </c>
      <c r="E9381" s="1">
        <v>2.6151760570761701E-3</v>
      </c>
      <c r="F9381" s="1">
        <v>2.3986110188627301E-3</v>
      </c>
    </row>
    <row r="9382" spans="1:6" x14ac:dyDescent="0.25">
      <c r="A9382" s="2" t="str">
        <f t="shared" si="337"/>
        <v>35620</v>
      </c>
      <c r="B9382" s="2" t="str">
        <f>"11965"</f>
        <v>11965</v>
      </c>
      <c r="C9382" s="1">
        <v>4.2300463426459396E-6</v>
      </c>
      <c r="D9382" s="1">
        <v>1.5953406236309201E-5</v>
      </c>
      <c r="E9382" s="1">
        <v>1.74694459390525E-6</v>
      </c>
      <c r="F9382" s="1">
        <v>5.0928176629102103E-6</v>
      </c>
    </row>
    <row r="9383" spans="1:6" x14ac:dyDescent="0.25">
      <c r="A9383" s="2" t="str">
        <f t="shared" si="337"/>
        <v>35620</v>
      </c>
      <c r="B9383" s="2" t="str">
        <f>"11953"</f>
        <v>11953</v>
      </c>
      <c r="C9383" s="1">
        <v>7.8666420660442103E-4</v>
      </c>
      <c r="D9383" s="1">
        <v>5.9763914131404495E-4</v>
      </c>
      <c r="E9383" s="1">
        <v>6.6383894568399803E-5</v>
      </c>
      <c r="F9383" s="1">
        <v>7.2657531990852396E-4</v>
      </c>
    </row>
    <row r="9384" spans="1:6" x14ac:dyDescent="0.25">
      <c r="A9384" s="2" t="str">
        <f t="shared" si="337"/>
        <v>35620</v>
      </c>
      <c r="B9384" s="2" t="str">
        <f>"11792"</f>
        <v>11792</v>
      </c>
      <c r="C9384" s="1">
        <v>4.1305158404660399E-4</v>
      </c>
      <c r="D9384" s="1">
        <v>2.5770886997114801E-4</v>
      </c>
      <c r="E9384" s="1">
        <v>2.0089862829910399E-4</v>
      </c>
      <c r="F9384" s="1">
        <v>3.8673584127724402E-4</v>
      </c>
    </row>
    <row r="9385" spans="1:6" x14ac:dyDescent="0.25">
      <c r="A9385" s="2" t="str">
        <f t="shared" si="337"/>
        <v>35620</v>
      </c>
      <c r="B9385" s="2" t="str">
        <f>"11930"</f>
        <v>11930</v>
      </c>
      <c r="C9385" s="1">
        <v>3.1115723243992598E-4</v>
      </c>
      <c r="D9385" s="1">
        <v>5.2155366541780095E-4</v>
      </c>
      <c r="E9385" s="1">
        <v>6.9877783756210304E-6</v>
      </c>
      <c r="F9385" s="1">
        <v>3.1087407817347702E-4</v>
      </c>
    </row>
    <row r="9386" spans="1:6" x14ac:dyDescent="0.25">
      <c r="A9386" s="2" t="str">
        <f t="shared" si="337"/>
        <v>35620</v>
      </c>
      <c r="B9386" s="2" t="str">
        <f>"11946"</f>
        <v>11946</v>
      </c>
      <c r="C9386" s="1">
        <v>1.0534059524465601E-3</v>
      </c>
      <c r="D9386" s="1">
        <v>9.1302571075492695E-4</v>
      </c>
      <c r="E9386" s="1">
        <v>3.89568644440872E-4</v>
      </c>
      <c r="F9386" s="1">
        <v>1.0009508714978099E-3</v>
      </c>
    </row>
    <row r="9387" spans="1:6" x14ac:dyDescent="0.25">
      <c r="A9387" s="2" t="str">
        <f t="shared" si="337"/>
        <v>35620</v>
      </c>
      <c r="B9387" s="2" t="str">
        <f>"11580"</f>
        <v>11580</v>
      </c>
      <c r="C9387" s="1">
        <v>1.52816644784471E-3</v>
      </c>
      <c r="D9387" s="1">
        <v>1.6100668447721299E-3</v>
      </c>
      <c r="E9387" s="1">
        <v>2.3199424207061801E-3</v>
      </c>
      <c r="F9387" s="1">
        <v>1.58333579132519E-3</v>
      </c>
    </row>
    <row r="9388" spans="1:6" x14ac:dyDescent="0.25">
      <c r="A9388" s="2" t="str">
        <f t="shared" si="337"/>
        <v>35620</v>
      </c>
      <c r="B9388" s="2" t="str">
        <f>"11569"</f>
        <v>11569</v>
      </c>
      <c r="C9388" s="1">
        <v>9.8410784030380605E-5</v>
      </c>
      <c r="D9388" s="1">
        <v>2.4543701902014099E-6</v>
      </c>
      <c r="E9388" s="1">
        <v>0</v>
      </c>
      <c r="F9388" s="1">
        <v>8.4137591805995903E-5</v>
      </c>
    </row>
    <row r="9389" spans="1:6" x14ac:dyDescent="0.25">
      <c r="A9389" s="2" t="str">
        <f t="shared" si="337"/>
        <v>35620</v>
      </c>
      <c r="B9389" s="2" t="str">
        <f>"11571"</f>
        <v>11571</v>
      </c>
      <c r="C9389" s="1">
        <v>6.2953042628789596E-5</v>
      </c>
      <c r="D9389" s="1">
        <v>3.2274968001148597E-4</v>
      </c>
      <c r="E9389" s="1">
        <v>3.4938891878105101E-6</v>
      </c>
      <c r="F9389" s="1">
        <v>8.1803383710495306E-5</v>
      </c>
    </row>
    <row r="9390" spans="1:6" x14ac:dyDescent="0.25">
      <c r="A9390" s="2" t="str">
        <f t="shared" si="337"/>
        <v>35620</v>
      </c>
      <c r="B9390" s="2" t="str">
        <f>"11565"</f>
        <v>11565</v>
      </c>
      <c r="C9390" s="1">
        <v>4.0222764193453901E-4</v>
      </c>
      <c r="D9390" s="1">
        <v>1.9512243012101199E-4</v>
      </c>
      <c r="E9390" s="1">
        <v>1.64212791827094E-4</v>
      </c>
      <c r="F9390" s="1">
        <v>3.6986588276885398E-4</v>
      </c>
    </row>
    <row r="9391" spans="1:6" x14ac:dyDescent="0.25">
      <c r="A9391" s="2" t="str">
        <f t="shared" si="337"/>
        <v>35620</v>
      </c>
      <c r="B9391" s="2" t="str">
        <f>"11563"</f>
        <v>11563</v>
      </c>
      <c r="C9391" s="1">
        <v>1.0596266088328001E-3</v>
      </c>
      <c r="D9391" s="1">
        <v>1.5609794409681E-3</v>
      </c>
      <c r="E9391" s="1">
        <v>1.6089359709867399E-3</v>
      </c>
      <c r="F9391" s="1">
        <v>1.1363349410368399E-3</v>
      </c>
    </row>
    <row r="9392" spans="1:6" x14ac:dyDescent="0.25">
      <c r="A9392" s="2" t="str">
        <f t="shared" si="337"/>
        <v>35620</v>
      </c>
      <c r="B9392" s="2" t="str">
        <f>"11739"</f>
        <v>11739</v>
      </c>
      <c r="C9392" s="1">
        <v>5.8847409413868599E-5</v>
      </c>
      <c r="D9392" s="1">
        <v>5.6450514374632599E-5</v>
      </c>
      <c r="E9392" s="1">
        <v>3.4938891878105101E-6</v>
      </c>
      <c r="F9392" s="1">
        <v>5.5278291716171301E-5</v>
      </c>
    </row>
    <row r="9393" spans="1:6" x14ac:dyDescent="0.25">
      <c r="A9393" s="2" t="str">
        <f t="shared" si="337"/>
        <v>35620</v>
      </c>
      <c r="B9393" s="2" t="str">
        <f>"11735"</f>
        <v>11735</v>
      </c>
      <c r="C9393" s="1">
        <v>1.46409368706639E-3</v>
      </c>
      <c r="D9393" s="1">
        <v>3.8251359414289E-3</v>
      </c>
      <c r="E9393" s="1">
        <v>2.2780157504524502E-3</v>
      </c>
      <c r="F9393" s="1">
        <v>1.7176588571844399E-3</v>
      </c>
    </row>
    <row r="9394" spans="1:6" x14ac:dyDescent="0.25">
      <c r="A9394" s="2" t="str">
        <f t="shared" si="337"/>
        <v>35620</v>
      </c>
      <c r="B9394" s="2" t="str">
        <f>"11741"</f>
        <v>11741</v>
      </c>
      <c r="C9394" s="1">
        <v>1.31604206507378E-3</v>
      </c>
      <c r="D9394" s="1">
        <v>1.7021057269046801E-3</v>
      </c>
      <c r="E9394" s="1">
        <v>6.2890005380589295E-4</v>
      </c>
      <c r="F9394" s="1">
        <v>1.3076870353201701E-3</v>
      </c>
    </row>
    <row r="9395" spans="1:6" x14ac:dyDescent="0.25">
      <c r="A9395" s="2" t="str">
        <f t="shared" si="337"/>
        <v>35620</v>
      </c>
      <c r="B9395" s="2" t="str">
        <f>"11713"</f>
        <v>11713</v>
      </c>
      <c r="C9395" s="1">
        <v>5.8051165396429301E-4</v>
      </c>
      <c r="D9395" s="1">
        <v>6.5899839606908003E-4</v>
      </c>
      <c r="E9395" s="1">
        <v>2.0963335126863099E-4</v>
      </c>
      <c r="F9395" s="1">
        <v>5.6477225874314698E-4</v>
      </c>
    </row>
    <row r="9396" spans="1:6" x14ac:dyDescent="0.25">
      <c r="A9396" s="2" t="str">
        <f t="shared" si="337"/>
        <v>35620</v>
      </c>
      <c r="B9396" s="2" t="str">
        <f>"11551"</f>
        <v>11551</v>
      </c>
      <c r="C9396" s="1">
        <v>3.5519947965453403E-4</v>
      </c>
      <c r="D9396" s="1">
        <v>3.0556908868007598E-4</v>
      </c>
      <c r="E9396" s="1">
        <v>3.4938891878105101E-6</v>
      </c>
      <c r="F9396" s="1">
        <v>3.2954774293748201E-4</v>
      </c>
    </row>
    <row r="9397" spans="1:6" x14ac:dyDescent="0.25">
      <c r="A9397" s="2" t="str">
        <f t="shared" si="337"/>
        <v>35620</v>
      </c>
      <c r="B9397" s="2" t="str">
        <f>"11552"</f>
        <v>11552</v>
      </c>
      <c r="C9397" s="1">
        <v>9.8435666655925596E-4</v>
      </c>
      <c r="D9397" s="1">
        <v>1.11796562163674E-3</v>
      </c>
      <c r="E9397" s="1">
        <v>4.00050312004304E-4</v>
      </c>
      <c r="F9397" s="1">
        <v>9.6042053093048504E-4</v>
      </c>
    </row>
    <row r="9398" spans="1:6" x14ac:dyDescent="0.25">
      <c r="A9398" s="2" t="str">
        <f t="shared" si="337"/>
        <v>35620</v>
      </c>
      <c r="B9398" s="2" t="str">
        <f>"11547"</f>
        <v>11547</v>
      </c>
      <c r="C9398" s="1">
        <v>4.7401401663179499E-5</v>
      </c>
      <c r="D9398" s="1">
        <v>1.2271850951007001E-6</v>
      </c>
      <c r="E9398" s="1">
        <v>0</v>
      </c>
      <c r="F9398" s="1">
        <v>4.05303405673271E-5</v>
      </c>
    </row>
    <row r="9399" spans="1:6" x14ac:dyDescent="0.25">
      <c r="A9399" s="2" t="str">
        <f t="shared" si="337"/>
        <v>35620</v>
      </c>
      <c r="B9399" s="2" t="str">
        <f>"11518"</f>
        <v>11518</v>
      </c>
      <c r="C9399" s="1">
        <v>5.6496001299868295E-4</v>
      </c>
      <c r="D9399" s="1">
        <v>4.5037692990196001E-4</v>
      </c>
      <c r="E9399" s="1">
        <v>8.0184756860251399E-4</v>
      </c>
      <c r="F9399" s="1">
        <v>5.6944067493414801E-4</v>
      </c>
    </row>
    <row r="9400" spans="1:6" x14ac:dyDescent="0.25">
      <c r="A9400" s="2" t="str">
        <f t="shared" ref="A9400:A9463" si="338">"35620"</f>
        <v>35620</v>
      </c>
      <c r="B9400" s="2" t="str">
        <f>"11520"</f>
        <v>11520</v>
      </c>
      <c r="C9400" s="1">
        <v>1.8720443328762799E-3</v>
      </c>
      <c r="D9400" s="1">
        <v>2.20402443080087E-3</v>
      </c>
      <c r="E9400" s="1">
        <v>1.9950107262397998E-3</v>
      </c>
      <c r="F9400" s="1">
        <v>1.9082151180716701E-3</v>
      </c>
    </row>
    <row r="9401" spans="1:6" x14ac:dyDescent="0.25">
      <c r="A9401" s="2" t="str">
        <f t="shared" si="338"/>
        <v>35620</v>
      </c>
      <c r="B9401" s="2" t="str">
        <f>"11420"</f>
        <v>11420</v>
      </c>
      <c r="C9401" s="1">
        <v>1.34950919643178E-3</v>
      </c>
      <c r="D9401" s="1">
        <v>8.38167419953784E-4</v>
      </c>
      <c r="E9401" s="1">
        <v>2.3758446477111501E-4</v>
      </c>
      <c r="F9401" s="1">
        <v>1.2377668928231301E-3</v>
      </c>
    </row>
    <row r="9402" spans="1:6" x14ac:dyDescent="0.25">
      <c r="A9402" s="2" t="str">
        <f t="shared" si="338"/>
        <v>35620</v>
      </c>
      <c r="B9402" s="2" t="str">
        <f>"11432"</f>
        <v>11432</v>
      </c>
      <c r="C9402" s="1">
        <v>2.3239128127730399E-3</v>
      </c>
      <c r="D9402" s="1">
        <v>2.4948672983397401E-3</v>
      </c>
      <c r="E9402" s="1">
        <v>1.53207040885491E-3</v>
      </c>
      <c r="F9402" s="1">
        <v>2.29060084426184E-3</v>
      </c>
    </row>
    <row r="9403" spans="1:6" x14ac:dyDescent="0.25">
      <c r="A9403" s="2" t="str">
        <f t="shared" si="338"/>
        <v>35620</v>
      </c>
      <c r="B9403" s="2" t="str">
        <f>"11428"</f>
        <v>11428</v>
      </c>
      <c r="C9403" s="1">
        <v>6.94474078960284E-4</v>
      </c>
      <c r="D9403" s="1">
        <v>7.0194987439760499E-4</v>
      </c>
      <c r="E9403" s="1">
        <v>2.5330696611626199E-4</v>
      </c>
      <c r="F9403" s="1">
        <v>6.68326217888988E-4</v>
      </c>
    </row>
    <row r="9404" spans="1:6" x14ac:dyDescent="0.25">
      <c r="A9404" s="2" t="str">
        <f t="shared" si="338"/>
        <v>35620</v>
      </c>
      <c r="B9404" s="2" t="str">
        <f>"11366"</f>
        <v>11366</v>
      </c>
      <c r="C9404" s="1">
        <v>5.4716893573402499E-4</v>
      </c>
      <c r="D9404" s="1">
        <v>5.91503215838541E-4</v>
      </c>
      <c r="E9404" s="1">
        <v>2.81258079618746E-4</v>
      </c>
      <c r="F9404" s="1">
        <v>5.3485195497355003E-4</v>
      </c>
    </row>
    <row r="9405" spans="1:6" x14ac:dyDescent="0.25">
      <c r="A9405" s="2" t="str">
        <f t="shared" si="338"/>
        <v>35620</v>
      </c>
      <c r="B9405" s="2" t="str">
        <f>"11360"</f>
        <v>11360</v>
      </c>
      <c r="C9405" s="1">
        <v>1.21439653972256E-3</v>
      </c>
      <c r="D9405" s="1">
        <v>5.31371146178606E-4</v>
      </c>
      <c r="E9405" s="1">
        <v>3.8083392147134602E-4</v>
      </c>
      <c r="F9405" s="1">
        <v>1.1047170313795999E-3</v>
      </c>
    </row>
    <row r="9406" spans="1:6" x14ac:dyDescent="0.25">
      <c r="A9406" s="2" t="str">
        <f t="shared" si="338"/>
        <v>35620</v>
      </c>
      <c r="B9406" s="2" t="str">
        <f>"11381"</f>
        <v>11381</v>
      </c>
      <c r="C9406" s="1">
        <v>0</v>
      </c>
      <c r="D9406" s="1">
        <v>1.2271850951007001E-6</v>
      </c>
      <c r="E9406" s="1">
        <v>3.4938891878105101E-6</v>
      </c>
      <c r="F9406" s="1">
        <v>3.1830110393188798E-7</v>
      </c>
    </row>
    <row r="9407" spans="1:6" x14ac:dyDescent="0.25">
      <c r="A9407" s="2" t="str">
        <f t="shared" si="338"/>
        <v>35620</v>
      </c>
      <c r="B9407" s="2" t="str">
        <f>"11380"</f>
        <v>11380</v>
      </c>
      <c r="C9407" s="1">
        <v>3.28450657193685E-5</v>
      </c>
      <c r="D9407" s="1">
        <v>3.80427379481219E-5</v>
      </c>
      <c r="E9407" s="1">
        <v>3.4938891878105101E-6</v>
      </c>
      <c r="F9407" s="1">
        <v>3.1511809289256903E-5</v>
      </c>
    </row>
    <row r="9408" spans="1:6" x14ac:dyDescent="0.25">
      <c r="A9408" s="2" t="str">
        <f t="shared" si="338"/>
        <v>35620</v>
      </c>
      <c r="B9408" s="2" t="str">
        <f>"11242"</f>
        <v>11242</v>
      </c>
      <c r="C9408" s="1">
        <v>0</v>
      </c>
      <c r="D9408" s="1">
        <v>3.2643123529678799E-4</v>
      </c>
      <c r="E9408" s="1">
        <v>8.7347229695262897E-6</v>
      </c>
      <c r="F9408" s="1">
        <v>2.8753199721847199E-5</v>
      </c>
    </row>
    <row r="9409" spans="1:6" x14ac:dyDescent="0.25">
      <c r="A9409" s="2" t="str">
        <f t="shared" si="338"/>
        <v>35620</v>
      </c>
      <c r="B9409" s="2" t="str">
        <f>"11226"</f>
        <v>11226</v>
      </c>
      <c r="C9409" s="1">
        <v>5.0741894142592604E-3</v>
      </c>
      <c r="D9409" s="1">
        <v>2.6593101010832301E-3</v>
      </c>
      <c r="E9409" s="1">
        <v>4.8320487467419402E-3</v>
      </c>
      <c r="F9409" s="1">
        <v>4.85069662318602E-3</v>
      </c>
    </row>
    <row r="9410" spans="1:6" x14ac:dyDescent="0.25">
      <c r="A9410" s="2" t="str">
        <f t="shared" si="338"/>
        <v>35620</v>
      </c>
      <c r="B9410" s="2" t="str">
        <f>"11201"</f>
        <v>11201</v>
      </c>
      <c r="C9410" s="1">
        <v>4.5820110809796297E-3</v>
      </c>
      <c r="D9410" s="1">
        <v>5.4180221948696202E-3</v>
      </c>
      <c r="E9410" s="1">
        <v>5.1727029425534697E-3</v>
      </c>
      <c r="F9410" s="1">
        <v>4.6901667664363701E-3</v>
      </c>
    </row>
    <row r="9411" spans="1:6" x14ac:dyDescent="0.25">
      <c r="A9411" s="2" t="str">
        <f t="shared" si="338"/>
        <v>35620</v>
      </c>
      <c r="B9411" s="2" t="str">
        <f>"10913"</f>
        <v>10913</v>
      </c>
      <c r="C9411" s="1">
        <v>2.03539876957904E-4</v>
      </c>
      <c r="D9411" s="1">
        <v>2.8225257187316301E-4</v>
      </c>
      <c r="E9411" s="1">
        <v>5.9396116192778799E-5</v>
      </c>
      <c r="F9411" s="1">
        <v>2.0159069915686199E-4</v>
      </c>
    </row>
    <row r="9412" spans="1:6" x14ac:dyDescent="0.25">
      <c r="A9412" s="2" t="str">
        <f t="shared" si="338"/>
        <v>35620</v>
      </c>
      <c r="B9412" s="2" t="str">
        <f>"10708"</f>
        <v>10708</v>
      </c>
      <c r="C9412" s="1">
        <v>1.3472697601327301E-3</v>
      </c>
      <c r="D9412" s="1">
        <v>9.4984126360794796E-4</v>
      </c>
      <c r="E9412" s="1">
        <v>1.8901940506054901E-3</v>
      </c>
      <c r="F9412" s="1">
        <v>1.3458831677920001E-3</v>
      </c>
    </row>
    <row r="9413" spans="1:6" x14ac:dyDescent="0.25">
      <c r="A9413" s="2" t="str">
        <f t="shared" si="338"/>
        <v>35620</v>
      </c>
      <c r="B9413" s="2" t="str">
        <f>"10706"</f>
        <v>10706</v>
      </c>
      <c r="C9413" s="1">
        <v>5.1357739124830695E-4</v>
      </c>
      <c r="D9413" s="1">
        <v>4.8228374237457801E-4</v>
      </c>
      <c r="E9413" s="1">
        <v>4.6643420657270398E-4</v>
      </c>
      <c r="F9413" s="1">
        <v>5.0800856187529402E-4</v>
      </c>
    </row>
    <row r="9414" spans="1:6" x14ac:dyDescent="0.25">
      <c r="A9414" s="2" t="str">
        <f t="shared" si="338"/>
        <v>35620</v>
      </c>
      <c r="B9414" s="2" t="str">
        <f>"11004"</f>
        <v>11004</v>
      </c>
      <c r="C9414" s="1">
        <v>6.6274873139043899E-4</v>
      </c>
      <c r="D9414" s="1">
        <v>4.1478856214403897E-4</v>
      </c>
      <c r="E9414" s="1">
        <v>2.0264557289300999E-4</v>
      </c>
      <c r="F9414" s="1">
        <v>6.1336622727674902E-4</v>
      </c>
    </row>
    <row r="9415" spans="1:6" x14ac:dyDescent="0.25">
      <c r="A9415" s="2" t="str">
        <f t="shared" si="338"/>
        <v>35620</v>
      </c>
      <c r="B9415" s="2" t="str">
        <f>"11001"</f>
        <v>11001</v>
      </c>
      <c r="C9415" s="1">
        <v>1.08998341199768E-3</v>
      </c>
      <c r="D9415" s="1">
        <v>9.4370533813244498E-4</v>
      </c>
      <c r="E9415" s="1">
        <v>4.8215670791785099E-4</v>
      </c>
      <c r="F9415" s="1">
        <v>1.04042020838536E-3</v>
      </c>
    </row>
    <row r="9416" spans="1:6" x14ac:dyDescent="0.25">
      <c r="A9416" s="2" t="str">
        <f t="shared" si="338"/>
        <v>35620</v>
      </c>
      <c r="B9416" s="2" t="str">
        <f>"10956"</f>
        <v>10956</v>
      </c>
      <c r="C9416" s="1">
        <v>1.4281382931539E-3</v>
      </c>
      <c r="D9416" s="1">
        <v>1.8763660104089801E-3</v>
      </c>
      <c r="E9416" s="1">
        <v>6.4287561055713502E-4</v>
      </c>
      <c r="F9416" s="1">
        <v>1.41919852206431E-3</v>
      </c>
    </row>
    <row r="9417" spans="1:6" x14ac:dyDescent="0.25">
      <c r="A9417" s="2" t="str">
        <f t="shared" si="338"/>
        <v>35620</v>
      </c>
      <c r="B9417" s="2" t="str">
        <f>"10976"</f>
        <v>10976</v>
      </c>
      <c r="C9417" s="1">
        <v>8.88309731955648E-5</v>
      </c>
      <c r="D9417" s="1">
        <v>1.8407776426510601E-5</v>
      </c>
      <c r="E9417" s="1">
        <v>2.62041689085788E-5</v>
      </c>
      <c r="F9417" s="1">
        <v>7.8938673775108306E-5</v>
      </c>
    </row>
    <row r="9418" spans="1:6" x14ac:dyDescent="0.25">
      <c r="A9418" s="2" t="str">
        <f t="shared" si="338"/>
        <v>35620</v>
      </c>
      <c r="B9418" s="2" t="str">
        <f>"10986"</f>
        <v>10986</v>
      </c>
      <c r="C9418" s="1">
        <v>8.4725339980643802E-5</v>
      </c>
      <c r="D9418" s="1">
        <v>8.5902956657049597E-6</v>
      </c>
      <c r="E9418" s="1">
        <v>2.0963335126863101E-5</v>
      </c>
      <c r="F9418" s="1">
        <v>7.4270257584107302E-5</v>
      </c>
    </row>
    <row r="9419" spans="1:6" x14ac:dyDescent="0.25">
      <c r="A9419" s="2" t="str">
        <f t="shared" si="338"/>
        <v>35620</v>
      </c>
      <c r="B9419" s="2" t="str">
        <f>"10704"</f>
        <v>10704</v>
      </c>
      <c r="C9419" s="1">
        <v>1.7434011588087499E-3</v>
      </c>
      <c r="D9419" s="1">
        <v>1.72787661390179E-3</v>
      </c>
      <c r="E9419" s="1">
        <v>1.5547806885756799E-3</v>
      </c>
      <c r="F9419" s="1">
        <v>1.7306031020776699E-3</v>
      </c>
    </row>
    <row r="9420" spans="1:6" x14ac:dyDescent="0.25">
      <c r="A9420" s="2" t="str">
        <f t="shared" si="338"/>
        <v>35620</v>
      </c>
      <c r="B9420" s="2" t="str">
        <f>"10605"</f>
        <v>10605</v>
      </c>
      <c r="C9420" s="1">
        <v>1.0353660489264499E-3</v>
      </c>
      <c r="D9420" s="1">
        <v>8.4675771561948897E-4</v>
      </c>
      <c r="E9420" s="1">
        <v>4.8739754169956702E-4</v>
      </c>
      <c r="F9420" s="1">
        <v>9.8577851887705903E-4</v>
      </c>
    </row>
    <row r="9421" spans="1:6" x14ac:dyDescent="0.25">
      <c r="A9421" s="2" t="str">
        <f t="shared" si="338"/>
        <v>35620</v>
      </c>
      <c r="B9421" s="2" t="str">
        <f>"10923"</f>
        <v>10923</v>
      </c>
      <c r="C9421" s="1">
        <v>4.4191542967877598E-4</v>
      </c>
      <c r="D9421" s="1">
        <v>2.93297237729069E-4</v>
      </c>
      <c r="E9421" s="1">
        <v>4.2276059172507199E-4</v>
      </c>
      <c r="F9421" s="1">
        <v>4.2790278405243498E-4</v>
      </c>
    </row>
    <row r="9422" spans="1:6" x14ac:dyDescent="0.25">
      <c r="A9422" s="2" t="str">
        <f t="shared" si="338"/>
        <v>35620</v>
      </c>
      <c r="B9422" s="2" t="str">
        <f>"10594"</f>
        <v>10594</v>
      </c>
      <c r="C9422" s="1">
        <v>2.0814316268372499E-4</v>
      </c>
      <c r="D9422" s="1">
        <v>4.0374389628813299E-4</v>
      </c>
      <c r="E9422" s="1">
        <v>1.78188348578336E-4</v>
      </c>
      <c r="F9422" s="1">
        <v>2.23235174224231E-4</v>
      </c>
    </row>
    <row r="9423" spans="1:6" x14ac:dyDescent="0.25">
      <c r="A9423" s="2" t="str">
        <f t="shared" si="338"/>
        <v>35620</v>
      </c>
      <c r="B9423" s="2" t="str">
        <f>"10509"</f>
        <v>10509</v>
      </c>
      <c r="C9423" s="1">
        <v>1.0534059524465601E-3</v>
      </c>
      <c r="D9423" s="1">
        <v>1.4370337463629299E-3</v>
      </c>
      <c r="E9423" s="1">
        <v>6.8480228081086098E-4</v>
      </c>
      <c r="F9423" s="1">
        <v>1.0641866908122799E-3</v>
      </c>
    </row>
    <row r="9424" spans="1:6" x14ac:dyDescent="0.25">
      <c r="A9424" s="2" t="str">
        <f t="shared" si="338"/>
        <v>35620</v>
      </c>
      <c r="B9424" s="2" t="str">
        <f>"10507"</f>
        <v>10507</v>
      </c>
      <c r="C9424" s="1">
        <v>3.3753281551760102E-4</v>
      </c>
      <c r="D9424" s="1">
        <v>6.6267995135438199E-4</v>
      </c>
      <c r="E9424" s="1">
        <v>3.5288280796886201E-4</v>
      </c>
      <c r="F9424" s="1">
        <v>3.6657677136155798E-4</v>
      </c>
    </row>
    <row r="9425" spans="1:6" x14ac:dyDescent="0.25">
      <c r="A9425" s="2" t="str">
        <f t="shared" si="338"/>
        <v>35620</v>
      </c>
      <c r="B9425" s="2" t="str">
        <f>"10502"</f>
        <v>10502</v>
      </c>
      <c r="C9425" s="1">
        <v>2.6599526707579501E-4</v>
      </c>
      <c r="D9425" s="1">
        <v>3.7429145400571601E-4</v>
      </c>
      <c r="E9425" s="1">
        <v>1.3451473373070401E-4</v>
      </c>
      <c r="F9425" s="1">
        <v>2.6737292730278598E-4</v>
      </c>
    </row>
    <row r="9426" spans="1:6" x14ac:dyDescent="0.25">
      <c r="A9426" s="2" t="str">
        <f t="shared" si="338"/>
        <v>35620</v>
      </c>
      <c r="B9426" s="2" t="str">
        <f>"10543"</f>
        <v>10543</v>
      </c>
      <c r="C9426" s="1">
        <v>1.06472754706952E-3</v>
      </c>
      <c r="D9426" s="1">
        <v>1.5646609962533999E-3</v>
      </c>
      <c r="E9426" s="1">
        <v>1.52333568588538E-3</v>
      </c>
      <c r="F9426" s="1">
        <v>1.1358044391969501E-3</v>
      </c>
    </row>
    <row r="9427" spans="1:6" x14ac:dyDescent="0.25">
      <c r="A9427" s="2" t="str">
        <f t="shared" si="338"/>
        <v>35620</v>
      </c>
      <c r="B9427" s="2" t="str">
        <f>"10553"</f>
        <v>10553</v>
      </c>
      <c r="C9427" s="1">
        <v>5.2079335265634995E-4</v>
      </c>
      <c r="D9427" s="1">
        <v>4.5283130009216097E-4</v>
      </c>
      <c r="E9427" s="1">
        <v>7.5817395375488204E-4</v>
      </c>
      <c r="F9427" s="1">
        <v>5.2933473583873002E-4</v>
      </c>
    </row>
    <row r="9428" spans="1:6" x14ac:dyDescent="0.25">
      <c r="A9428" s="2" t="str">
        <f t="shared" si="338"/>
        <v>35620</v>
      </c>
      <c r="B9428" s="2" t="str">
        <f>"10522"</f>
        <v>10522</v>
      </c>
      <c r="C9428" s="1">
        <v>5.4692010947857497E-4</v>
      </c>
      <c r="D9428" s="1">
        <v>5.2523522070310302E-4</v>
      </c>
      <c r="E9428" s="1">
        <v>9.50337859084461E-4</v>
      </c>
      <c r="F9428" s="1">
        <v>5.6954677530212598E-4</v>
      </c>
    </row>
    <row r="9429" spans="1:6" x14ac:dyDescent="0.25">
      <c r="A9429" s="2" t="str">
        <f t="shared" si="338"/>
        <v>35620</v>
      </c>
      <c r="B9429" s="2" t="str">
        <f>"10462"</f>
        <v>10462</v>
      </c>
      <c r="C9429" s="1">
        <v>4.0027435582925801E-3</v>
      </c>
      <c r="D9429" s="1">
        <v>2.20157006061067E-3</v>
      </c>
      <c r="E9429" s="1">
        <v>4.12977701999203E-3</v>
      </c>
      <c r="F9429" s="1">
        <v>3.8547324689831401E-3</v>
      </c>
    </row>
    <row r="9430" spans="1:6" x14ac:dyDescent="0.25">
      <c r="A9430" s="2" t="str">
        <f t="shared" si="338"/>
        <v>35620</v>
      </c>
      <c r="B9430" s="2" t="str">
        <f>"10131"</f>
        <v>10131</v>
      </c>
      <c r="C9430" s="1">
        <v>0</v>
      </c>
      <c r="D9430" s="1">
        <v>0</v>
      </c>
      <c r="E9430" s="1">
        <v>1.74694459390525E-6</v>
      </c>
      <c r="F9430" s="1">
        <v>1.06100367977296E-7</v>
      </c>
    </row>
    <row r="9431" spans="1:6" x14ac:dyDescent="0.25">
      <c r="A9431" s="2" t="str">
        <f t="shared" si="338"/>
        <v>35620</v>
      </c>
      <c r="B9431" s="2" t="str">
        <f>"10272"</f>
        <v>10272</v>
      </c>
      <c r="C9431" s="1">
        <v>1.0301406975620101E-4</v>
      </c>
      <c r="D9431" s="1">
        <v>2.7243509111235699E-4</v>
      </c>
      <c r="E9431" s="1">
        <v>3.4938891878105101E-6</v>
      </c>
      <c r="F9431" s="1">
        <v>1.11617587112115E-4</v>
      </c>
    </row>
    <row r="9432" spans="1:6" x14ac:dyDescent="0.25">
      <c r="A9432" s="2" t="str">
        <f t="shared" si="338"/>
        <v>35620</v>
      </c>
      <c r="B9432" s="2" t="str">
        <f>"10171"</f>
        <v>10171</v>
      </c>
      <c r="C9432" s="1">
        <v>0</v>
      </c>
      <c r="D9432" s="1">
        <v>5.0314588899128999E-5</v>
      </c>
      <c r="E9432" s="1">
        <v>5.2408337817157703E-6</v>
      </c>
      <c r="F9432" s="1">
        <v>4.66841619100103E-6</v>
      </c>
    </row>
    <row r="9433" spans="1:6" x14ac:dyDescent="0.25">
      <c r="A9433" s="2" t="str">
        <f t="shared" si="338"/>
        <v>35620</v>
      </c>
      <c r="B9433" s="2" t="str">
        <f>"10282"</f>
        <v>10282</v>
      </c>
      <c r="C9433" s="1">
        <v>3.5470182714363502E-4</v>
      </c>
      <c r="D9433" s="1">
        <v>3.4115745643799702E-4</v>
      </c>
      <c r="E9433" s="1">
        <v>3.7559308768962999E-4</v>
      </c>
      <c r="F9433" s="1">
        <v>3.5479963051607798E-4</v>
      </c>
    </row>
    <row r="9434" spans="1:6" x14ac:dyDescent="0.25">
      <c r="A9434" s="2" t="str">
        <f t="shared" si="338"/>
        <v>35620</v>
      </c>
      <c r="B9434" s="2" t="str">
        <f>"10268"</f>
        <v>10268</v>
      </c>
      <c r="C9434" s="1">
        <v>1.3946711617959101E-4</v>
      </c>
      <c r="D9434" s="1">
        <v>1.01856362893358E-4</v>
      </c>
      <c r="E9434" s="1">
        <v>3.4938891878105101E-6</v>
      </c>
      <c r="F9434" s="1">
        <v>1.2795704378061899E-4</v>
      </c>
    </row>
    <row r="9435" spans="1:6" x14ac:dyDescent="0.25">
      <c r="A9435" s="2" t="str">
        <f t="shared" si="338"/>
        <v>35620</v>
      </c>
      <c r="B9435" s="2" t="str">
        <f>"10150"</f>
        <v>10150</v>
      </c>
      <c r="C9435" s="1">
        <v>3.7398586194099098E-4</v>
      </c>
      <c r="D9435" s="1">
        <v>9.1670726604022902E-4</v>
      </c>
      <c r="E9435" s="1">
        <v>5.2408337817157703E-6</v>
      </c>
      <c r="F9435" s="1">
        <v>3.9851298212272398E-4</v>
      </c>
    </row>
    <row r="9436" spans="1:6" x14ac:dyDescent="0.25">
      <c r="A9436" s="2" t="str">
        <f t="shared" si="338"/>
        <v>35620</v>
      </c>
      <c r="B9436" s="2" t="str">
        <f>"10461"</f>
        <v>10461</v>
      </c>
      <c r="C9436" s="1">
        <v>2.4164761798003498E-3</v>
      </c>
      <c r="D9436" s="1">
        <v>2.2960633129334202E-3</v>
      </c>
      <c r="E9436" s="1">
        <v>3.1619697149685199E-3</v>
      </c>
      <c r="F9436" s="1">
        <v>2.4513429017474502E-3</v>
      </c>
    </row>
    <row r="9437" spans="1:6" x14ac:dyDescent="0.25">
      <c r="A9437" s="2" t="str">
        <f t="shared" si="338"/>
        <v>35620</v>
      </c>
      <c r="B9437" s="2" t="str">
        <f>"10456"</f>
        <v>10456</v>
      </c>
      <c r="C9437" s="1">
        <v>4.2574172307454196E-3</v>
      </c>
      <c r="D9437" s="1">
        <v>1.63829210195944E-3</v>
      </c>
      <c r="E9437" s="1">
        <v>4.24332841859587E-3</v>
      </c>
      <c r="F9437" s="1">
        <v>4.0301163772496103E-3</v>
      </c>
    </row>
    <row r="9438" spans="1:6" x14ac:dyDescent="0.25">
      <c r="A9438" s="2" t="str">
        <f t="shared" si="338"/>
        <v>35620</v>
      </c>
      <c r="B9438" s="2" t="str">
        <f>"10126"</f>
        <v>10126</v>
      </c>
      <c r="C9438" s="1">
        <v>0</v>
      </c>
      <c r="D9438" s="1">
        <v>0</v>
      </c>
      <c r="E9438" s="1">
        <v>8.7347229695262897E-6</v>
      </c>
      <c r="F9438" s="1">
        <v>5.3050183988648101E-7</v>
      </c>
    </row>
    <row r="9439" spans="1:6" x14ac:dyDescent="0.25">
      <c r="A9439" s="2" t="str">
        <f t="shared" si="338"/>
        <v>35620</v>
      </c>
      <c r="B9439" s="2" t="str">
        <f>"10065"</f>
        <v>10065</v>
      </c>
      <c r="C9439" s="1">
        <v>2.9794455827554401E-3</v>
      </c>
      <c r="D9439" s="1">
        <v>2.3463779018325498E-3</v>
      </c>
      <c r="E9439" s="1">
        <v>2.67806606245676E-3</v>
      </c>
      <c r="F9439" s="1">
        <v>2.9064073800020699E-3</v>
      </c>
    </row>
    <row r="9440" spans="1:6" x14ac:dyDescent="0.25">
      <c r="A9440" s="2" t="str">
        <f t="shared" si="338"/>
        <v>35620</v>
      </c>
      <c r="B9440" s="2" t="str">
        <f>"10451"</f>
        <v>10451</v>
      </c>
      <c r="C9440" s="1">
        <v>2.6120536165838699E-3</v>
      </c>
      <c r="D9440" s="1">
        <v>1.7254222437115901E-3</v>
      </c>
      <c r="E9440" s="1">
        <v>1.8080876546919401E-3</v>
      </c>
      <c r="F9440" s="1">
        <v>2.4865682239159099E-3</v>
      </c>
    </row>
    <row r="9441" spans="1:6" x14ac:dyDescent="0.25">
      <c r="A9441" s="2" t="str">
        <f t="shared" si="338"/>
        <v>35620</v>
      </c>
      <c r="B9441" s="2" t="str">
        <f>"10314"</f>
        <v>10314</v>
      </c>
      <c r="C9441" s="1">
        <v>3.5064595917980298E-3</v>
      </c>
      <c r="D9441" s="1">
        <v>2.8323431994924301E-3</v>
      </c>
      <c r="E9441" s="1">
        <v>1.47966207103775E-3</v>
      </c>
      <c r="F9441" s="1">
        <v>3.3250794320404801E-3</v>
      </c>
    </row>
    <row r="9442" spans="1:6" x14ac:dyDescent="0.25">
      <c r="A9442" s="2" t="str">
        <f t="shared" si="338"/>
        <v>35620</v>
      </c>
      <c r="B9442" s="2" t="str">
        <f>"10035"</f>
        <v>10035</v>
      </c>
      <c r="C9442" s="1">
        <v>2.1833259784439299E-3</v>
      </c>
      <c r="D9442" s="1">
        <v>1.5450260347317901E-3</v>
      </c>
      <c r="E9442" s="1">
        <v>3.0693816514915399E-3</v>
      </c>
      <c r="F9442" s="1">
        <v>2.1819540674530898E-3</v>
      </c>
    </row>
    <row r="9443" spans="1:6" x14ac:dyDescent="0.25">
      <c r="A9443" s="2" t="str">
        <f t="shared" si="338"/>
        <v>35620</v>
      </c>
      <c r="B9443" s="2" t="str">
        <f>"10014"</f>
        <v>10014</v>
      </c>
      <c r="C9443" s="1">
        <v>3.2082413246415E-3</v>
      </c>
      <c r="D9443" s="1">
        <v>3.2189065044491501E-3</v>
      </c>
      <c r="E9443" s="1">
        <v>4.6608481765392298E-3</v>
      </c>
      <c r="F9443" s="1">
        <v>3.2973872359984102E-3</v>
      </c>
    </row>
    <row r="9444" spans="1:6" x14ac:dyDescent="0.25">
      <c r="A9444" s="2" t="str">
        <f t="shared" si="338"/>
        <v>35620</v>
      </c>
      <c r="B9444" s="2" t="str">
        <f>"10013"</f>
        <v>10013</v>
      </c>
      <c r="C9444" s="1">
        <v>2.4056522376882899E-3</v>
      </c>
      <c r="D9444" s="1">
        <v>8.8480045356761107E-3</v>
      </c>
      <c r="E9444" s="1">
        <v>5.7072679882884799E-3</v>
      </c>
      <c r="F9444" s="1">
        <v>3.16317027050713E-3</v>
      </c>
    </row>
    <row r="9445" spans="1:6" x14ac:dyDescent="0.25">
      <c r="A9445" s="2" t="str">
        <f t="shared" si="338"/>
        <v>35620</v>
      </c>
      <c r="B9445" s="2" t="str">
        <f>"10004"</f>
        <v>10004</v>
      </c>
      <c r="C9445" s="1">
        <v>3.01079769094211E-4</v>
      </c>
      <c r="D9445" s="1">
        <v>2.4163274522532902E-3</v>
      </c>
      <c r="E9445" s="1">
        <v>5.8522643895826101E-4</v>
      </c>
      <c r="F9445" s="1">
        <v>5.0121813832474705E-4</v>
      </c>
    </row>
    <row r="9446" spans="1:6" x14ac:dyDescent="0.25">
      <c r="A9446" s="2" t="str">
        <f t="shared" si="338"/>
        <v>35620</v>
      </c>
      <c r="B9446" s="2" t="str">
        <f>"10010"</f>
        <v>10010</v>
      </c>
      <c r="C9446" s="1">
        <v>2.8099949027941499E-3</v>
      </c>
      <c r="D9446" s="1">
        <v>5.2314900604143203E-3</v>
      </c>
      <c r="E9446" s="1">
        <v>2.5837310543858701E-3</v>
      </c>
      <c r="F9446" s="1">
        <v>3.0056112240608398E-3</v>
      </c>
    </row>
    <row r="9447" spans="1:6" x14ac:dyDescent="0.25">
      <c r="A9447" s="2" t="str">
        <f t="shared" si="338"/>
        <v>35620</v>
      </c>
      <c r="B9447" s="2" t="str">
        <f>"10009"</f>
        <v>10009</v>
      </c>
      <c r="C9447" s="1">
        <v>4.54953925464344E-3</v>
      </c>
      <c r="D9447" s="1">
        <v>2.0113563708700601E-3</v>
      </c>
      <c r="E9447" s="1">
        <v>4.4285045455498299E-3</v>
      </c>
      <c r="F9447" s="1">
        <v>4.3227411921310001E-3</v>
      </c>
    </row>
    <row r="9448" spans="1:6" x14ac:dyDescent="0.25">
      <c r="A9448" s="2" t="str">
        <f t="shared" si="338"/>
        <v>35620</v>
      </c>
      <c r="B9448" s="2" t="str">
        <f>"08757"</f>
        <v>08757</v>
      </c>
      <c r="C9448" s="1">
        <v>2.35426961593791E-3</v>
      </c>
      <c r="D9448" s="1">
        <v>3.4238464153309698E-4</v>
      </c>
      <c r="E9448" s="1">
        <v>2.20115018832062E-4</v>
      </c>
      <c r="F9448" s="1">
        <v>2.0507079122651802E-3</v>
      </c>
    </row>
    <row r="9449" spans="1:6" x14ac:dyDescent="0.25">
      <c r="A9449" s="2" t="str">
        <f t="shared" si="338"/>
        <v>35620</v>
      </c>
      <c r="B9449" s="2" t="str">
        <f>"08868"</f>
        <v>08868</v>
      </c>
      <c r="C9449" s="1">
        <v>0</v>
      </c>
      <c r="D9449" s="1">
        <v>0</v>
      </c>
      <c r="E9449" s="1">
        <v>1.74694459390525E-6</v>
      </c>
      <c r="F9449" s="1">
        <v>1.06100367977296E-7</v>
      </c>
    </row>
    <row r="9450" spans="1:6" x14ac:dyDescent="0.25">
      <c r="A9450" s="2" t="str">
        <f t="shared" si="338"/>
        <v>35620</v>
      </c>
      <c r="B9450" s="2" t="str">
        <f>"08875"</f>
        <v>08875</v>
      </c>
      <c r="C9450" s="1">
        <v>1.90352085419067E-4</v>
      </c>
      <c r="D9450" s="1">
        <v>5.6941388412672805E-4</v>
      </c>
      <c r="E9450" s="1">
        <v>6.9877783756210304E-6</v>
      </c>
      <c r="F9450" s="1">
        <v>2.1198853521863699E-4</v>
      </c>
    </row>
    <row r="9451" spans="1:6" x14ac:dyDescent="0.25">
      <c r="A9451" s="2" t="str">
        <f t="shared" si="338"/>
        <v>35620</v>
      </c>
      <c r="B9451" s="2" t="str">
        <f>"08873"</f>
        <v>08873</v>
      </c>
      <c r="C9451" s="1">
        <v>2.71469444695689E-3</v>
      </c>
      <c r="D9451" s="1">
        <v>2.2150690966567699E-3</v>
      </c>
      <c r="E9451" s="1">
        <v>1.91989210870188E-3</v>
      </c>
      <c r="F9451" s="1">
        <v>2.6232254978706699E-3</v>
      </c>
    </row>
    <row r="9452" spans="1:6" x14ac:dyDescent="0.25">
      <c r="A9452" s="2" t="str">
        <f t="shared" si="338"/>
        <v>35620</v>
      </c>
      <c r="B9452" s="2" t="str">
        <f>"08858"</f>
        <v>08858</v>
      </c>
      <c r="C9452" s="1">
        <v>5.72300387534451E-5</v>
      </c>
      <c r="D9452" s="1">
        <v>1.5830687726799101E-4</v>
      </c>
      <c r="E9452" s="1">
        <v>3.1445002690294603E-5</v>
      </c>
      <c r="F9452" s="1">
        <v>6.4402923362218796E-5</v>
      </c>
    </row>
    <row r="9453" spans="1:6" x14ac:dyDescent="0.25">
      <c r="A9453" s="2" t="str">
        <f t="shared" si="338"/>
        <v>35620</v>
      </c>
      <c r="B9453" s="2" t="str">
        <f>"08854"</f>
        <v>08854</v>
      </c>
      <c r="C9453" s="1">
        <v>2.37517102139569E-3</v>
      </c>
      <c r="D9453" s="1">
        <v>1.1858289573958101E-2</v>
      </c>
      <c r="E9453" s="1">
        <v>2.3024729747671301E-3</v>
      </c>
      <c r="F9453" s="1">
        <v>3.1906502658132501E-3</v>
      </c>
    </row>
    <row r="9454" spans="1:6" x14ac:dyDescent="0.25">
      <c r="A9454" s="2" t="str">
        <f t="shared" si="338"/>
        <v>35620</v>
      </c>
      <c r="B9454" s="2" t="str">
        <f>"08852"</f>
        <v>08852</v>
      </c>
      <c r="C9454" s="1">
        <v>9.0958437679660299E-4</v>
      </c>
      <c r="D9454" s="1">
        <v>7.3999261234572705E-4</v>
      </c>
      <c r="E9454" s="1">
        <v>1.9565779451738899E-4</v>
      </c>
      <c r="F9454" s="1">
        <v>8.5156155338577896E-4</v>
      </c>
    </row>
    <row r="9455" spans="1:6" x14ac:dyDescent="0.25">
      <c r="A9455" s="2" t="str">
        <f t="shared" si="338"/>
        <v>35620</v>
      </c>
      <c r="B9455" s="2" t="str">
        <f>"08739"</f>
        <v>08739</v>
      </c>
      <c r="C9455" s="1">
        <v>1.65842699257266E-4</v>
      </c>
      <c r="D9455" s="1">
        <v>6.6267995135438199E-5</v>
      </c>
      <c r="E9455" s="1">
        <v>6.9877783756210304E-6</v>
      </c>
      <c r="F9455" s="1">
        <v>1.4758561185641901E-4</v>
      </c>
    </row>
    <row r="9456" spans="1:6" x14ac:dyDescent="0.25">
      <c r="A9456" s="2" t="str">
        <f t="shared" si="338"/>
        <v>35620</v>
      </c>
      <c r="B9456" s="2" t="str">
        <f>"08730"</f>
        <v>08730</v>
      </c>
      <c r="C9456" s="1">
        <v>3.3031685410955802E-4</v>
      </c>
      <c r="D9456" s="1">
        <v>3.5465649248410402E-4</v>
      </c>
      <c r="E9456" s="1">
        <v>2.4981307692845199E-4</v>
      </c>
      <c r="F9456" s="1">
        <v>3.2753183594591301E-4</v>
      </c>
    </row>
    <row r="9457" spans="1:6" x14ac:dyDescent="0.25">
      <c r="A9457" s="2" t="str">
        <f t="shared" si="338"/>
        <v>35620</v>
      </c>
      <c r="B9457" s="2" t="str">
        <f>"08828"</f>
        <v>08828</v>
      </c>
      <c r="C9457" s="1">
        <v>1.3610796173101899E-4</v>
      </c>
      <c r="D9457" s="1">
        <v>2.8225257187316299E-5</v>
      </c>
      <c r="E9457" s="1">
        <v>1.5722501345147302E-5</v>
      </c>
      <c r="F9457" s="1">
        <v>1.19469014342435E-4</v>
      </c>
    </row>
    <row r="9458" spans="1:6" x14ac:dyDescent="0.25">
      <c r="A9458" s="2" t="str">
        <f t="shared" si="338"/>
        <v>35620</v>
      </c>
      <c r="B9458" s="2" t="str">
        <f>"08720"</f>
        <v>08720</v>
      </c>
      <c r="C9458" s="1">
        <v>1.0251641724530101E-4</v>
      </c>
      <c r="D9458" s="1">
        <v>1.8653213445530699E-4</v>
      </c>
      <c r="E9458" s="1">
        <v>5.2408337817157703E-6</v>
      </c>
      <c r="F9458" s="1">
        <v>1.0387226024977199E-4</v>
      </c>
    </row>
    <row r="9459" spans="1:6" x14ac:dyDescent="0.25">
      <c r="A9459" s="2" t="str">
        <f t="shared" si="338"/>
        <v>35620</v>
      </c>
      <c r="B9459" s="2" t="str">
        <f>"08562"</f>
        <v>08562</v>
      </c>
      <c r="C9459" s="1">
        <v>9.9530502179904591E-7</v>
      </c>
      <c r="D9459" s="1">
        <v>0</v>
      </c>
      <c r="E9459" s="1">
        <v>0</v>
      </c>
      <c r="F9459" s="1">
        <v>8.4880294381836905E-7</v>
      </c>
    </row>
    <row r="9460" spans="1:6" x14ac:dyDescent="0.25">
      <c r="A9460" s="2" t="str">
        <f t="shared" si="338"/>
        <v>35620</v>
      </c>
      <c r="B9460" s="2" t="str">
        <f>"07977"</f>
        <v>07977</v>
      </c>
      <c r="C9460" s="1">
        <v>1.2441312772488E-7</v>
      </c>
      <c r="D9460" s="1">
        <v>1.3499036046107701E-5</v>
      </c>
      <c r="E9460" s="1">
        <v>1.74694459390525E-6</v>
      </c>
      <c r="F9460" s="1">
        <v>1.37930478370485E-6</v>
      </c>
    </row>
    <row r="9461" spans="1:6" x14ac:dyDescent="0.25">
      <c r="A9461" s="2" t="str">
        <f t="shared" si="338"/>
        <v>35620</v>
      </c>
      <c r="B9461" s="2" t="str">
        <f>"08005"</f>
        <v>08005</v>
      </c>
      <c r="C9461" s="1">
        <v>1.4786500230102001E-3</v>
      </c>
      <c r="D9461" s="1">
        <v>4.3319633857055002E-4</v>
      </c>
      <c r="E9461" s="1">
        <v>1.5373112426366199E-4</v>
      </c>
      <c r="F9461" s="1">
        <v>1.30779313568815E-3</v>
      </c>
    </row>
    <row r="9462" spans="1:6" x14ac:dyDescent="0.25">
      <c r="A9462" s="2" t="str">
        <f t="shared" si="338"/>
        <v>35620</v>
      </c>
      <c r="B9462" s="2" t="str">
        <f>"08050"</f>
        <v>08050</v>
      </c>
      <c r="C9462" s="1">
        <v>1.8001335450512899E-3</v>
      </c>
      <c r="D9462" s="1">
        <v>1.2995890157116499E-3</v>
      </c>
      <c r="E9462" s="1">
        <v>3.1095613771513599E-4</v>
      </c>
      <c r="F9462" s="1">
        <v>1.6664123794514101E-3</v>
      </c>
    </row>
    <row r="9463" spans="1:6" x14ac:dyDescent="0.25">
      <c r="A9463" s="2" t="str">
        <f t="shared" si="338"/>
        <v>35620</v>
      </c>
      <c r="B9463" s="2" t="str">
        <f>"07939"</f>
        <v>07939</v>
      </c>
      <c r="C9463" s="1">
        <v>0</v>
      </c>
      <c r="D9463" s="1">
        <v>1.2271850951007001E-6</v>
      </c>
      <c r="E9463" s="1">
        <v>0</v>
      </c>
      <c r="F9463" s="1">
        <v>1.06100367977296E-7</v>
      </c>
    </row>
    <row r="9464" spans="1:6" x14ac:dyDescent="0.25">
      <c r="A9464" s="2" t="str">
        <f t="shared" ref="A9464:A9527" si="339">"35620"</f>
        <v>35620</v>
      </c>
      <c r="B9464" s="2" t="str">
        <f>"07950"</f>
        <v>07950</v>
      </c>
      <c r="C9464" s="1">
        <v>1.0556453887456099E-3</v>
      </c>
      <c r="D9464" s="1">
        <v>8.1607808824197105E-4</v>
      </c>
      <c r="E9464" s="1">
        <v>6.5161033352666099E-4</v>
      </c>
      <c r="F9464" s="1">
        <v>1.0103938042477899E-3</v>
      </c>
    </row>
    <row r="9465" spans="1:6" x14ac:dyDescent="0.25">
      <c r="A9465" s="2" t="str">
        <f t="shared" si="339"/>
        <v>35620</v>
      </c>
      <c r="B9465" s="2" t="str">
        <f>"07960"</f>
        <v>07960</v>
      </c>
      <c r="C9465" s="1">
        <v>2.2939292489913502E-3</v>
      </c>
      <c r="D9465" s="1">
        <v>2.6372207693714199E-3</v>
      </c>
      <c r="E9465" s="1">
        <v>5.1989071114620497E-3</v>
      </c>
      <c r="F9465" s="1">
        <v>2.50004297064903E-3</v>
      </c>
    </row>
    <row r="9466" spans="1:6" x14ac:dyDescent="0.25">
      <c r="A9466" s="2" t="str">
        <f t="shared" si="339"/>
        <v>35620</v>
      </c>
      <c r="B9466" s="2" t="str">
        <f>"07878"</f>
        <v>07878</v>
      </c>
      <c r="C9466" s="1">
        <v>4.9765251089952296E-7</v>
      </c>
      <c r="D9466" s="1">
        <v>1.2271850951007001E-6</v>
      </c>
      <c r="E9466" s="1">
        <v>1.74694459390525E-6</v>
      </c>
      <c r="F9466" s="1">
        <v>6.3660220786377702E-7</v>
      </c>
    </row>
    <row r="9467" spans="1:6" x14ac:dyDescent="0.25">
      <c r="A9467" s="2" t="str">
        <f t="shared" si="339"/>
        <v>35620</v>
      </c>
      <c r="B9467" s="2" t="str">
        <f>"07877"</f>
        <v>07877</v>
      </c>
      <c r="C9467" s="1">
        <v>0</v>
      </c>
      <c r="D9467" s="1">
        <v>0</v>
      </c>
      <c r="E9467" s="1">
        <v>1.74694459390525E-6</v>
      </c>
      <c r="F9467" s="1">
        <v>1.06100367977296E-7</v>
      </c>
    </row>
    <row r="9468" spans="1:6" x14ac:dyDescent="0.25">
      <c r="A9468" s="2" t="str">
        <f t="shared" si="339"/>
        <v>35620</v>
      </c>
      <c r="B9468" s="2" t="str">
        <f>"07851"</f>
        <v>07851</v>
      </c>
      <c r="C9468" s="1">
        <v>9.8286370902655794E-6</v>
      </c>
      <c r="D9468" s="1">
        <v>4.9087403804028299E-6</v>
      </c>
      <c r="E9468" s="1">
        <v>5.2408337817157703E-6</v>
      </c>
      <c r="F9468" s="1">
        <v>9.1246316460474708E-6</v>
      </c>
    </row>
    <row r="9469" spans="1:6" x14ac:dyDescent="0.25">
      <c r="A9469" s="2" t="str">
        <f t="shared" si="339"/>
        <v>35620</v>
      </c>
      <c r="B9469" s="2" t="str">
        <f>"07857"</f>
        <v>07857</v>
      </c>
      <c r="C9469" s="1">
        <v>1.81394340222876E-4</v>
      </c>
      <c r="D9469" s="1">
        <v>1.60761247458192E-4</v>
      </c>
      <c r="E9469" s="1">
        <v>2.8649891340046198E-4</v>
      </c>
      <c r="F9469" s="1">
        <v>1.8599394506420001E-4</v>
      </c>
    </row>
    <row r="9470" spans="1:6" x14ac:dyDescent="0.25">
      <c r="A9470" s="2" t="str">
        <f t="shared" si="339"/>
        <v>35620</v>
      </c>
      <c r="B9470" s="2" t="str">
        <f>"07847"</f>
        <v>07847</v>
      </c>
      <c r="C9470" s="1">
        <v>8.3107969320220297E-5</v>
      </c>
      <c r="D9470" s="1">
        <v>2.1721176183282499E-4</v>
      </c>
      <c r="E9470" s="1">
        <v>5.9396116192778799E-5</v>
      </c>
      <c r="F9470" s="1">
        <v>9.3262223452043302E-5</v>
      </c>
    </row>
    <row r="9471" spans="1:6" x14ac:dyDescent="0.25">
      <c r="A9471" s="2" t="str">
        <f t="shared" si="339"/>
        <v>35620</v>
      </c>
      <c r="B9471" s="2" t="str">
        <f>"07703"</f>
        <v>07703</v>
      </c>
      <c r="C9471" s="1">
        <v>0</v>
      </c>
      <c r="D9471" s="1">
        <v>0</v>
      </c>
      <c r="E9471" s="1">
        <v>2.44572243146736E-5</v>
      </c>
      <c r="F9471" s="1">
        <v>1.4854051516821399E-6</v>
      </c>
    </row>
    <row r="9472" spans="1:6" x14ac:dyDescent="0.25">
      <c r="A9472" s="2" t="str">
        <f t="shared" si="339"/>
        <v>35620</v>
      </c>
      <c r="B9472" s="2" t="str">
        <f>"07670"</f>
        <v>07670</v>
      </c>
      <c r="C9472" s="1">
        <v>7.2284027208155703E-4</v>
      </c>
      <c r="D9472" s="1">
        <v>7.7926253538895005E-4</v>
      </c>
      <c r="E9472" s="1">
        <v>4.9787920926299897E-4</v>
      </c>
      <c r="F9472" s="1">
        <v>7.14055476487203E-4</v>
      </c>
    </row>
    <row r="9473" spans="1:6" x14ac:dyDescent="0.25">
      <c r="A9473" s="2" t="str">
        <f t="shared" si="339"/>
        <v>35620</v>
      </c>
      <c r="B9473" s="2" t="str">
        <f>"07712"</f>
        <v>07712</v>
      </c>
      <c r="C9473" s="1">
        <v>2.5233470565160301E-3</v>
      </c>
      <c r="D9473" s="1">
        <v>2.1991156904204701E-3</v>
      </c>
      <c r="E9473" s="1">
        <v>2.858001355629E-3</v>
      </c>
      <c r="F9473" s="1">
        <v>2.5156397247416899E-3</v>
      </c>
    </row>
    <row r="9474" spans="1:6" x14ac:dyDescent="0.25">
      <c r="A9474" s="2" t="str">
        <f t="shared" si="339"/>
        <v>35620</v>
      </c>
      <c r="B9474" s="2" t="str">
        <f>"07765"</f>
        <v>07765</v>
      </c>
      <c r="C9474" s="1">
        <v>0</v>
      </c>
      <c r="D9474" s="1">
        <v>0</v>
      </c>
      <c r="E9474" s="1">
        <v>1.74694459390525E-6</v>
      </c>
      <c r="F9474" s="1">
        <v>1.06100367977296E-7</v>
      </c>
    </row>
    <row r="9475" spans="1:6" x14ac:dyDescent="0.25">
      <c r="A9475" s="2" t="str">
        <f t="shared" si="339"/>
        <v>35620</v>
      </c>
      <c r="B9475" s="2" t="str">
        <f>"07840"</f>
        <v>07840</v>
      </c>
      <c r="C9475" s="1">
        <v>3.3616427111262699E-4</v>
      </c>
      <c r="D9475" s="1">
        <v>3.3502153096249301E-4</v>
      </c>
      <c r="E9475" s="1">
        <v>3.1969086068466202E-4</v>
      </c>
      <c r="F9475" s="1">
        <v>3.3506496207230099E-4</v>
      </c>
    </row>
    <row r="9476" spans="1:6" x14ac:dyDescent="0.25">
      <c r="A9476" s="2" t="str">
        <f t="shared" si="339"/>
        <v>35620</v>
      </c>
      <c r="B9476" s="2" t="str">
        <f>"07828"</f>
        <v>07828</v>
      </c>
      <c r="C9476" s="1">
        <v>7.8965012166981802E-4</v>
      </c>
      <c r="D9476" s="1">
        <v>4.83510927469679E-4</v>
      </c>
      <c r="E9476" s="1">
        <v>8.5425590641967104E-4</v>
      </c>
      <c r="F9476" s="1">
        <v>7.6710566047585101E-4</v>
      </c>
    </row>
    <row r="9477" spans="1:6" x14ac:dyDescent="0.25">
      <c r="A9477" s="2" t="str">
        <f t="shared" si="339"/>
        <v>35620</v>
      </c>
      <c r="B9477" s="2" t="str">
        <f>"07822"</f>
        <v>07822</v>
      </c>
      <c r="C9477" s="1">
        <v>4.2922529065083803E-5</v>
      </c>
      <c r="D9477" s="1">
        <v>1.3989910084147999E-4</v>
      </c>
      <c r="E9477" s="1">
        <v>7.5118617537926104E-5</v>
      </c>
      <c r="F9477" s="1">
        <v>5.32623847246027E-5</v>
      </c>
    </row>
    <row r="9478" spans="1:6" x14ac:dyDescent="0.25">
      <c r="A9478" s="2" t="str">
        <f t="shared" si="339"/>
        <v>35620</v>
      </c>
      <c r="B9478" s="2" t="str">
        <f>"07740"</f>
        <v>07740</v>
      </c>
      <c r="C9478" s="1">
        <v>1.9228048889880301E-3</v>
      </c>
      <c r="D9478" s="1">
        <v>1.4137172295560099E-3</v>
      </c>
      <c r="E9478" s="1">
        <v>2.6151760570761701E-3</v>
      </c>
      <c r="F9478" s="1">
        <v>1.9208410618609701E-3</v>
      </c>
    </row>
    <row r="9479" spans="1:6" x14ac:dyDescent="0.25">
      <c r="A9479" s="2" t="str">
        <f t="shared" si="339"/>
        <v>35620</v>
      </c>
      <c r="B9479" s="2" t="str">
        <f>"07752"</f>
        <v>07752</v>
      </c>
      <c r="C9479" s="1">
        <v>4.4539899725507302E-5</v>
      </c>
      <c r="D9479" s="1">
        <v>6.9949550420740403E-5</v>
      </c>
      <c r="E9479" s="1">
        <v>3.4938891878105101E-6</v>
      </c>
      <c r="F9479" s="1">
        <v>4.4243853446532503E-5</v>
      </c>
    </row>
    <row r="9480" spans="1:6" x14ac:dyDescent="0.25">
      <c r="A9480" s="2" t="str">
        <f t="shared" si="339"/>
        <v>35620</v>
      </c>
      <c r="B9480" s="2" t="str">
        <f>"07657"</f>
        <v>07657</v>
      </c>
      <c r="C9480" s="1">
        <v>5.50403677054872E-4</v>
      </c>
      <c r="D9480" s="1">
        <v>1.13269184277795E-3</v>
      </c>
      <c r="E9480" s="1">
        <v>4.7866281873004099E-4</v>
      </c>
      <c r="F9480" s="1">
        <v>5.9639016840038199E-4</v>
      </c>
    </row>
    <row r="9481" spans="1:6" x14ac:dyDescent="0.25">
      <c r="A9481" s="2" t="str">
        <f t="shared" si="339"/>
        <v>35620</v>
      </c>
      <c r="B9481" s="2" t="str">
        <f>"07656"</f>
        <v>07656</v>
      </c>
      <c r="C9481" s="1">
        <v>4.3183796633306101E-4</v>
      </c>
      <c r="D9481" s="1">
        <v>3.1784093963108302E-4</v>
      </c>
      <c r="E9481" s="1">
        <v>3.5462975256276701E-4</v>
      </c>
      <c r="F9481" s="1">
        <v>4.1729274725470602E-4</v>
      </c>
    </row>
    <row r="9482" spans="1:6" x14ac:dyDescent="0.25">
      <c r="A9482" s="2" t="str">
        <f t="shared" si="339"/>
        <v>35620</v>
      </c>
      <c r="B9482" s="2" t="str">
        <f>"07728"</f>
        <v>07728</v>
      </c>
      <c r="C9482" s="1">
        <v>2.7927014780403901E-3</v>
      </c>
      <c r="D9482" s="1">
        <v>3.3183084971523101E-3</v>
      </c>
      <c r="E9482" s="1">
        <v>2.9401077515425499E-3</v>
      </c>
      <c r="F9482" s="1">
        <v>2.84709727430276E-3</v>
      </c>
    </row>
    <row r="9483" spans="1:6" x14ac:dyDescent="0.25">
      <c r="A9483" s="2" t="str">
        <f t="shared" si="339"/>
        <v>35620</v>
      </c>
      <c r="B9483" s="2" t="str">
        <f>"07726"</f>
        <v>07726</v>
      </c>
      <c r="C9483" s="1">
        <v>2.1308236385440302E-3</v>
      </c>
      <c r="D9483" s="1">
        <v>2.0064476304896498E-3</v>
      </c>
      <c r="E9483" s="1">
        <v>1.36611067243391E-3</v>
      </c>
      <c r="F9483" s="1">
        <v>2.0736255917482701E-3</v>
      </c>
    </row>
    <row r="9484" spans="1:6" x14ac:dyDescent="0.25">
      <c r="A9484" s="2" t="str">
        <f t="shared" si="339"/>
        <v>35620</v>
      </c>
      <c r="B9484" s="2" t="str">
        <f>"07640"</f>
        <v>07640</v>
      </c>
      <c r="C9484" s="1">
        <v>2.0478400823515299E-4</v>
      </c>
      <c r="D9484" s="1">
        <v>8.9584511942351699E-5</v>
      </c>
      <c r="E9484" s="1">
        <v>6.8130839162305101E-5</v>
      </c>
      <c r="F9484" s="1">
        <v>1.8652444690408601E-4</v>
      </c>
    </row>
    <row r="9485" spans="1:6" x14ac:dyDescent="0.25">
      <c r="A9485" s="2" t="str">
        <f t="shared" si="339"/>
        <v>35620</v>
      </c>
      <c r="B9485" s="2" t="str">
        <f>"07646"</f>
        <v>07646</v>
      </c>
      <c r="C9485" s="1">
        <v>8.0047406378188203E-4</v>
      </c>
      <c r="D9485" s="1">
        <v>2.4175546373483899E-4</v>
      </c>
      <c r="E9485" s="1">
        <v>1.7871243195650801E-3</v>
      </c>
      <c r="F9485" s="1">
        <v>8.1209221649822499E-4</v>
      </c>
    </row>
    <row r="9486" spans="1:6" x14ac:dyDescent="0.25">
      <c r="A9486" s="2" t="str">
        <f t="shared" si="339"/>
        <v>35620</v>
      </c>
      <c r="B9486" s="2" t="str">
        <f>"07608"</f>
        <v>07608</v>
      </c>
      <c r="C9486" s="1">
        <v>3.4835675762966598E-6</v>
      </c>
      <c r="D9486" s="1">
        <v>3.7306426891061501E-4</v>
      </c>
      <c r="E9486" s="1">
        <v>1.4849029048194699E-4</v>
      </c>
      <c r="F9486" s="1">
        <v>4.4243853446532503E-5</v>
      </c>
    </row>
    <row r="9487" spans="1:6" x14ac:dyDescent="0.25">
      <c r="A9487" s="2" t="str">
        <f t="shared" si="339"/>
        <v>35620</v>
      </c>
      <c r="B9487" s="2" t="str">
        <f>"07604"</f>
        <v>07604</v>
      </c>
      <c r="C9487" s="1">
        <v>5.6831916744725503E-4</v>
      </c>
      <c r="D9487" s="1">
        <v>8.1730527333707199E-4</v>
      </c>
      <c r="E9487" s="1">
        <v>4.2276059172507199E-4</v>
      </c>
      <c r="F9487" s="1">
        <v>5.8100561504367397E-4</v>
      </c>
    </row>
    <row r="9488" spans="1:6" x14ac:dyDescent="0.25">
      <c r="A9488" s="2" t="str">
        <f t="shared" si="339"/>
        <v>35620</v>
      </c>
      <c r="B9488" s="2" t="str">
        <f>"07310"</f>
        <v>07310</v>
      </c>
      <c r="C9488" s="1">
        <v>1.43945988777687E-3</v>
      </c>
      <c r="D9488" s="1">
        <v>7.0808579987310905E-4</v>
      </c>
      <c r="E9488" s="1">
        <v>3.6161753093838799E-4</v>
      </c>
      <c r="F9488" s="1">
        <v>1.3107639459915099E-3</v>
      </c>
    </row>
    <row r="9489" spans="1:6" x14ac:dyDescent="0.25">
      <c r="A9489" s="2" t="str">
        <f t="shared" si="339"/>
        <v>35620</v>
      </c>
      <c r="B9489" s="2" t="str">
        <f>"07302"</f>
        <v>07302</v>
      </c>
      <c r="C9489" s="1">
        <v>3.80903231842494E-3</v>
      </c>
      <c r="D9489" s="1">
        <v>1.9671777074464301E-3</v>
      </c>
      <c r="E9489" s="1">
        <v>6.1265346908257398E-3</v>
      </c>
      <c r="F9489" s="1">
        <v>3.7905417463568801E-3</v>
      </c>
    </row>
    <row r="9490" spans="1:6" x14ac:dyDescent="0.25">
      <c r="A9490" s="2" t="str">
        <f t="shared" si="339"/>
        <v>35620</v>
      </c>
      <c r="B9490" s="2" t="str">
        <f>"07508"</f>
        <v>07508</v>
      </c>
      <c r="C9490" s="1">
        <v>9.7092004876496896E-4</v>
      </c>
      <c r="D9490" s="1">
        <v>6.3690906435726698E-4</v>
      </c>
      <c r="E9490" s="1">
        <v>9.5907258205398698E-4</v>
      </c>
      <c r="F9490" s="1">
        <v>9.4132246469457196E-4</v>
      </c>
    </row>
    <row r="9491" spans="1:6" x14ac:dyDescent="0.25">
      <c r="A9491" s="2" t="str">
        <f t="shared" si="339"/>
        <v>35620</v>
      </c>
      <c r="B9491" s="2" t="str">
        <f>"07504"</f>
        <v>07504</v>
      </c>
      <c r="C9491" s="1">
        <v>4.6642481584057799E-4</v>
      </c>
      <c r="D9491" s="1">
        <v>2.3561953825933601E-4</v>
      </c>
      <c r="E9491" s="1">
        <v>1.32767789136799E-3</v>
      </c>
      <c r="F9491" s="1">
        <v>4.9877782986126895E-4</v>
      </c>
    </row>
    <row r="9492" spans="1:6" x14ac:dyDescent="0.25">
      <c r="A9492" s="2" t="str">
        <f t="shared" si="339"/>
        <v>35620</v>
      </c>
      <c r="B9492" s="2" t="str">
        <f>"07436"</f>
        <v>07436</v>
      </c>
      <c r="C9492" s="1">
        <v>6.08006955191492E-4</v>
      </c>
      <c r="D9492" s="1">
        <v>7.5349164839183503E-4</v>
      </c>
      <c r="E9492" s="1">
        <v>2.6029474449188302E-4</v>
      </c>
      <c r="F9492" s="1">
        <v>5.9946707907172303E-4</v>
      </c>
    </row>
    <row r="9493" spans="1:6" x14ac:dyDescent="0.25">
      <c r="A9493" s="2" t="str">
        <f t="shared" si="339"/>
        <v>35620</v>
      </c>
      <c r="B9493" s="2" t="str">
        <f>"07462"</f>
        <v>07462</v>
      </c>
      <c r="C9493" s="1">
        <v>4.0720416704353399E-4</v>
      </c>
      <c r="D9493" s="1">
        <v>2.5157294449564498E-4</v>
      </c>
      <c r="E9493" s="1">
        <v>8.8220701992215603E-4</v>
      </c>
      <c r="F9493" s="1">
        <v>4.2259776565356998E-4</v>
      </c>
    </row>
    <row r="9494" spans="1:6" x14ac:dyDescent="0.25">
      <c r="A9494" s="2" t="str">
        <f t="shared" si="339"/>
        <v>35620</v>
      </c>
      <c r="B9494" s="2" t="str">
        <f>"07420"</f>
        <v>07420</v>
      </c>
      <c r="C9494" s="1">
        <v>2.3402109325049999E-4</v>
      </c>
      <c r="D9494" s="1">
        <v>1.8653213445530699E-4</v>
      </c>
      <c r="E9494" s="1">
        <v>1.78188348578336E-4</v>
      </c>
      <c r="F9494" s="1">
        <v>2.26524285631527E-4</v>
      </c>
    </row>
    <row r="9495" spans="1:6" x14ac:dyDescent="0.25">
      <c r="A9495" s="2" t="str">
        <f t="shared" si="339"/>
        <v>35620</v>
      </c>
      <c r="B9495" s="2" t="str">
        <f>"07418"</f>
        <v>07418</v>
      </c>
      <c r="C9495" s="1">
        <v>1.7206335564351E-4</v>
      </c>
      <c r="D9495" s="1">
        <v>1.17809769129668E-4</v>
      </c>
      <c r="E9495" s="1">
        <v>8.0359451319641904E-5</v>
      </c>
      <c r="F9495" s="1">
        <v>1.6180306116537601E-4</v>
      </c>
    </row>
    <row r="9496" spans="1:6" x14ac:dyDescent="0.25">
      <c r="A9496" s="2" t="str">
        <f t="shared" si="339"/>
        <v>35620</v>
      </c>
      <c r="B9496" s="2" t="str">
        <f>"07424"</f>
        <v>07424</v>
      </c>
      <c r="C9496" s="1">
        <v>1.4068636483129499E-3</v>
      </c>
      <c r="D9496" s="1">
        <v>1.7082416523801799E-3</v>
      </c>
      <c r="E9496" s="1">
        <v>1.9985046154276098E-3</v>
      </c>
      <c r="F9496" s="1">
        <v>1.46885349427768E-3</v>
      </c>
    </row>
    <row r="9497" spans="1:6" x14ac:dyDescent="0.25">
      <c r="A9497" s="2" t="str">
        <f t="shared" si="339"/>
        <v>35620</v>
      </c>
      <c r="B9497" s="2" t="str">
        <f>"07109"</f>
        <v>07109</v>
      </c>
      <c r="C9497" s="1">
        <v>1.84056781156188E-3</v>
      </c>
      <c r="D9497" s="1">
        <v>1.48612115016695E-3</v>
      </c>
      <c r="E9497" s="1">
        <v>2.9960099785475199E-3</v>
      </c>
      <c r="F9497" s="1">
        <v>1.88009852055768E-3</v>
      </c>
    </row>
    <row r="9498" spans="1:6" x14ac:dyDescent="0.25">
      <c r="A9498" s="2" t="str">
        <f t="shared" si="339"/>
        <v>35620</v>
      </c>
      <c r="B9498" s="2" t="str">
        <f>"07057"</f>
        <v>07057</v>
      </c>
      <c r="C9498" s="1">
        <v>5.5189663458757104E-4</v>
      </c>
      <c r="D9498" s="1">
        <v>3.9760797081262898E-4</v>
      </c>
      <c r="E9498" s="1">
        <v>8.4202729426233495E-4</v>
      </c>
      <c r="F9498" s="1">
        <v>5.5617812893698603E-4</v>
      </c>
    </row>
    <row r="9499" spans="1:6" x14ac:dyDescent="0.25">
      <c r="A9499" s="2" t="str">
        <f t="shared" si="339"/>
        <v>35620</v>
      </c>
      <c r="B9499" s="2" t="str">
        <f>"07044"</f>
        <v>07044</v>
      </c>
      <c r="C9499" s="1">
        <v>7.65513974891191E-4</v>
      </c>
      <c r="D9499" s="1">
        <v>6.3690906435726698E-4</v>
      </c>
      <c r="E9499" s="1">
        <v>6.5335727812056697E-4</v>
      </c>
      <c r="F9499" s="1">
        <v>7.4758319276802898E-4</v>
      </c>
    </row>
    <row r="9500" spans="1:6" x14ac:dyDescent="0.25">
      <c r="A9500" s="2" t="str">
        <f t="shared" si="339"/>
        <v>35620</v>
      </c>
      <c r="B9500" s="2" t="str">
        <f>"07041"</f>
        <v>07041</v>
      </c>
      <c r="C9500" s="1">
        <v>4.0297412070088799E-4</v>
      </c>
      <c r="D9500" s="1">
        <v>9.0075385980392002E-4</v>
      </c>
      <c r="E9500" s="1">
        <v>5.1709559979595603E-4</v>
      </c>
      <c r="F9500" s="1">
        <v>4.5294247089507702E-4</v>
      </c>
    </row>
    <row r="9501" spans="1:6" x14ac:dyDescent="0.25">
      <c r="A9501" s="2" t="str">
        <f t="shared" si="339"/>
        <v>35620</v>
      </c>
      <c r="B9501" s="2" t="str">
        <f>"07101"</f>
        <v>07101</v>
      </c>
      <c r="C9501" s="1">
        <v>4.5224171927994098E-4</v>
      </c>
      <c r="D9501" s="1">
        <v>5.31371146178606E-4</v>
      </c>
      <c r="E9501" s="1">
        <v>3.4938891878105101E-6</v>
      </c>
      <c r="F9501" s="1">
        <v>4.31828497667595E-4</v>
      </c>
    </row>
    <row r="9502" spans="1:6" x14ac:dyDescent="0.25">
      <c r="A9502" s="2" t="str">
        <f t="shared" si="339"/>
        <v>35620</v>
      </c>
      <c r="B9502" s="2" t="str">
        <f>"07095"</f>
        <v>07095</v>
      </c>
      <c r="C9502" s="1">
        <v>1.1784411458100701E-3</v>
      </c>
      <c r="D9502" s="1">
        <v>1.8370960873657599E-3</v>
      </c>
      <c r="E9502" s="1">
        <v>1.93386766545312E-3</v>
      </c>
      <c r="F9502" s="1">
        <v>1.2812680436938199E-3</v>
      </c>
    </row>
    <row r="9503" spans="1:6" x14ac:dyDescent="0.25">
      <c r="A9503" s="2" t="str">
        <f t="shared" si="339"/>
        <v>35620</v>
      </c>
      <c r="B9503" s="2" t="str">
        <f>"07094"</f>
        <v>07094</v>
      </c>
      <c r="C9503" s="1">
        <v>1.0713214428389401E-3</v>
      </c>
      <c r="D9503" s="1">
        <v>1.40267256370011E-3</v>
      </c>
      <c r="E9503" s="1">
        <v>1.1774406562921401E-3</v>
      </c>
      <c r="F9503" s="1">
        <v>1.1064146372672401E-3</v>
      </c>
    </row>
    <row r="9504" spans="1:6" x14ac:dyDescent="0.25">
      <c r="A9504" s="2" t="str">
        <f t="shared" si="339"/>
        <v>35620</v>
      </c>
      <c r="B9504" s="2" t="str">
        <f>"07030"</f>
        <v>07030</v>
      </c>
      <c r="C9504" s="1">
        <v>3.8054243377209202E-3</v>
      </c>
      <c r="D9504" s="1">
        <v>2.9427898580515E-3</v>
      </c>
      <c r="E9504" s="1">
        <v>8.9932707694242702E-3</v>
      </c>
      <c r="F9504" s="1">
        <v>4.0459253320782301E-3</v>
      </c>
    </row>
    <row r="9505" spans="1:6" x14ac:dyDescent="0.25">
      <c r="A9505" s="2" t="str">
        <f t="shared" si="339"/>
        <v>35620</v>
      </c>
      <c r="B9505" s="2" t="str">
        <f>"07002"</f>
        <v>07002</v>
      </c>
      <c r="C9505" s="1">
        <v>3.4884196882779299E-3</v>
      </c>
      <c r="D9505" s="1">
        <v>2.5218653704319502E-3</v>
      </c>
      <c r="E9505" s="1">
        <v>5.62166770318712E-3</v>
      </c>
      <c r="F9505" s="1">
        <v>3.53441545805969E-3</v>
      </c>
    </row>
    <row r="9506" spans="1:6" x14ac:dyDescent="0.25">
      <c r="A9506" s="2" t="str">
        <f t="shared" si="339"/>
        <v>35620</v>
      </c>
      <c r="B9506" s="2" t="str">
        <f>"07001"</f>
        <v>07001</v>
      </c>
      <c r="C9506" s="1">
        <v>6.8987079323446301E-4</v>
      </c>
      <c r="D9506" s="1">
        <v>5.3996144184431097E-4</v>
      </c>
      <c r="E9506" s="1">
        <v>2.7077641205531502E-4</v>
      </c>
      <c r="F9506" s="1">
        <v>6.5145625938059796E-4</v>
      </c>
    </row>
    <row r="9507" spans="1:6" x14ac:dyDescent="0.25">
      <c r="A9507" s="2" t="str">
        <f t="shared" si="339"/>
        <v>35620</v>
      </c>
      <c r="B9507" s="2" t="str">
        <f>"07010"</f>
        <v>07010</v>
      </c>
      <c r="C9507" s="1">
        <v>1.4568777256583499E-3</v>
      </c>
      <c r="D9507" s="1">
        <v>7.5226446329673398E-4</v>
      </c>
      <c r="E9507" s="1">
        <v>2.1627174072547102E-3</v>
      </c>
      <c r="F9507" s="1">
        <v>1.4388270901401099E-3</v>
      </c>
    </row>
    <row r="9508" spans="1:6" x14ac:dyDescent="0.25">
      <c r="A9508" s="2" t="str">
        <f t="shared" si="339"/>
        <v>35620</v>
      </c>
      <c r="B9508" s="2" t="str">
        <f>"07009"</f>
        <v>07009</v>
      </c>
      <c r="C9508" s="1">
        <v>6.9385201332165997E-4</v>
      </c>
      <c r="D9508" s="1">
        <v>6.7127024702008696E-4</v>
      </c>
      <c r="E9508" s="1">
        <v>2.4631918774064101E-4</v>
      </c>
      <c r="F9508" s="1">
        <v>6.6471880537776005E-4</v>
      </c>
    </row>
    <row r="9509" spans="1:6" x14ac:dyDescent="0.25">
      <c r="A9509" s="2" t="str">
        <f t="shared" si="339"/>
        <v>35620</v>
      </c>
      <c r="B9509" s="2" t="str">
        <f>"07008"</f>
        <v>07008</v>
      </c>
      <c r="C9509" s="1">
        <v>1.13116415727461E-3</v>
      </c>
      <c r="D9509" s="1">
        <v>6.7986054268579204E-4</v>
      </c>
      <c r="E9509" s="1">
        <v>7.4594534159754498E-4</v>
      </c>
      <c r="F9509" s="1">
        <v>1.0687490066353001E-3</v>
      </c>
    </row>
    <row r="9510" spans="1:6" x14ac:dyDescent="0.25">
      <c r="A9510" s="2" t="str">
        <f t="shared" si="339"/>
        <v>35620</v>
      </c>
      <c r="B9510" s="2" t="str">
        <f>"18337"</f>
        <v>18337</v>
      </c>
      <c r="C9510" s="1">
        <v>9.4081207185554795E-4</v>
      </c>
      <c r="D9510" s="1">
        <v>7.0808579987310905E-4</v>
      </c>
      <c r="E9510" s="1">
        <v>3.98303367410399E-4</v>
      </c>
      <c r="F9510" s="1">
        <v>8.8774177886603704E-4</v>
      </c>
    </row>
    <row r="9511" spans="1:6" x14ac:dyDescent="0.25">
      <c r="A9511" s="2" t="str">
        <f t="shared" si="339"/>
        <v>35620</v>
      </c>
      <c r="B9511" s="2" t="str">
        <f>"18302"</f>
        <v>18302</v>
      </c>
      <c r="C9511" s="1">
        <v>6.84272202486844E-6</v>
      </c>
      <c r="D9511" s="1">
        <v>6.1359254755035401E-6</v>
      </c>
      <c r="E9511" s="1">
        <v>3.4938891878105101E-6</v>
      </c>
      <c r="F9511" s="1">
        <v>6.5782228145923597E-6</v>
      </c>
    </row>
    <row r="9512" spans="1:6" x14ac:dyDescent="0.25">
      <c r="A9512" s="2" t="str">
        <f t="shared" si="339"/>
        <v>35620</v>
      </c>
      <c r="B9512" s="2" t="str">
        <f>"12563"</f>
        <v>12563</v>
      </c>
      <c r="C9512" s="1">
        <v>3.0717601235272999E-4</v>
      </c>
      <c r="D9512" s="1">
        <v>2.6261761035155102E-4</v>
      </c>
      <c r="E9512" s="1">
        <v>6.9877783756210304E-5</v>
      </c>
      <c r="F9512" s="1">
        <v>2.88911302002177E-4</v>
      </c>
    </row>
    <row r="9513" spans="1:6" x14ac:dyDescent="0.25">
      <c r="A9513" s="2" t="str">
        <f t="shared" si="339"/>
        <v>35620</v>
      </c>
      <c r="B9513" s="2" t="str">
        <f>"11778"</f>
        <v>11778</v>
      </c>
      <c r="C9513" s="1">
        <v>5.9046470418228395E-4</v>
      </c>
      <c r="D9513" s="1">
        <v>4.29514783285248E-4</v>
      </c>
      <c r="E9513" s="1">
        <v>2.27102797207683E-4</v>
      </c>
      <c r="F9513" s="1">
        <v>5.5448052304935002E-4</v>
      </c>
    </row>
    <row r="9514" spans="1:6" x14ac:dyDescent="0.25">
      <c r="A9514" s="2" t="str">
        <f t="shared" si="339"/>
        <v>35620</v>
      </c>
      <c r="B9514" s="2" t="str">
        <f>"11763"</f>
        <v>11763</v>
      </c>
      <c r="C9514" s="1">
        <v>1.2762298642018199E-3</v>
      </c>
      <c r="D9514" s="1">
        <v>1.4750764843110499E-3</v>
      </c>
      <c r="E9514" s="1">
        <v>4.1053197956773601E-4</v>
      </c>
      <c r="F9514" s="1">
        <v>1.2408438034944699E-3</v>
      </c>
    </row>
    <row r="9515" spans="1:6" x14ac:dyDescent="0.25">
      <c r="A9515" s="2" t="str">
        <f t="shared" si="339"/>
        <v>35620</v>
      </c>
      <c r="B9515" s="2" t="str">
        <f>"11762"</f>
        <v>11762</v>
      </c>
      <c r="C9515" s="1">
        <v>9.6669000242232295E-4</v>
      </c>
      <c r="D9515" s="1">
        <v>5.5836921827082196E-4</v>
      </c>
      <c r="E9515" s="1">
        <v>1.2927389994898901E-4</v>
      </c>
      <c r="F9515" s="1">
        <v>8.8052695384358102E-4</v>
      </c>
    </row>
    <row r="9516" spans="1:6" x14ac:dyDescent="0.25">
      <c r="A9516" s="2" t="str">
        <f t="shared" si="339"/>
        <v>35620</v>
      </c>
      <c r="B9516" s="2" t="str">
        <f>"11964"</f>
        <v>11964</v>
      </c>
      <c r="C9516" s="1">
        <v>1.49295753269856E-6</v>
      </c>
      <c r="D9516" s="1">
        <v>0</v>
      </c>
      <c r="E9516" s="1">
        <v>1.74694459390525E-6</v>
      </c>
      <c r="F9516" s="1">
        <v>1.37930478370485E-6</v>
      </c>
    </row>
    <row r="9517" spans="1:6" x14ac:dyDescent="0.25">
      <c r="A9517" s="2" t="str">
        <f t="shared" si="339"/>
        <v>35620</v>
      </c>
      <c r="B9517" s="2" t="str">
        <f>"11950"</f>
        <v>11950</v>
      </c>
      <c r="C9517" s="1">
        <v>6.7954450363329796E-4</v>
      </c>
      <c r="D9517" s="1">
        <v>3.3379434586739201E-4</v>
      </c>
      <c r="E9517" s="1">
        <v>5.4155282411062999E-5</v>
      </c>
      <c r="F9517" s="1">
        <v>6.1166862138911204E-4</v>
      </c>
    </row>
    <row r="9518" spans="1:6" x14ac:dyDescent="0.25">
      <c r="A9518" s="2" t="str">
        <f t="shared" si="339"/>
        <v>35620</v>
      </c>
      <c r="B9518" s="2" t="str">
        <f>"11796"</f>
        <v>11796</v>
      </c>
      <c r="C9518" s="1">
        <v>1.70694811238536E-4</v>
      </c>
      <c r="D9518" s="1">
        <v>1.30081620080675E-4</v>
      </c>
      <c r="E9518" s="1">
        <v>1.62465847233189E-4</v>
      </c>
      <c r="F9518" s="1">
        <v>1.66683678092332E-4</v>
      </c>
    </row>
    <row r="9519" spans="1:6" x14ac:dyDescent="0.25">
      <c r="A9519" s="2" t="str">
        <f t="shared" si="339"/>
        <v>35620</v>
      </c>
      <c r="B9519" s="2" t="str">
        <f>"11932"</f>
        <v>11932</v>
      </c>
      <c r="C9519" s="1">
        <v>2.4223235968034201E-4</v>
      </c>
      <c r="D9519" s="1">
        <v>4.62648780852967E-4</v>
      </c>
      <c r="E9519" s="1">
        <v>3.4938891878105101E-6</v>
      </c>
      <c r="F9519" s="1">
        <v>2.4678945591519099E-4</v>
      </c>
    </row>
    <row r="9520" spans="1:6" x14ac:dyDescent="0.25">
      <c r="A9520" s="2" t="str">
        <f t="shared" si="339"/>
        <v>35620</v>
      </c>
      <c r="B9520" s="2" t="str">
        <f>"11757"</f>
        <v>11757</v>
      </c>
      <c r="C9520" s="1">
        <v>1.8991663947202999E-3</v>
      </c>
      <c r="D9520" s="1">
        <v>1.94017963535422E-3</v>
      </c>
      <c r="E9520" s="1">
        <v>1.9670596127373198E-3</v>
      </c>
      <c r="F9520" s="1">
        <v>1.9068358132879599E-3</v>
      </c>
    </row>
    <row r="9521" spans="1:6" x14ac:dyDescent="0.25">
      <c r="A9521" s="2" t="str">
        <f t="shared" si="339"/>
        <v>35620</v>
      </c>
      <c r="B9521" s="2" t="str">
        <f>"11758"</f>
        <v>11758</v>
      </c>
      <c r="C9521" s="1">
        <v>2.37454895575707E-3</v>
      </c>
      <c r="D9521" s="1">
        <v>2.1856166543743599E-3</v>
      </c>
      <c r="E9521" s="1">
        <v>6.6383894568399805E-4</v>
      </c>
      <c r="F9521" s="1">
        <v>2.2543145184136101E-3</v>
      </c>
    </row>
    <row r="9522" spans="1:6" x14ac:dyDescent="0.25">
      <c r="A9522" s="2" t="str">
        <f t="shared" si="339"/>
        <v>35620</v>
      </c>
      <c r="B9522" s="2" t="str">
        <f>"11786"</f>
        <v>11786</v>
      </c>
      <c r="C9522" s="1">
        <v>2.5230982302605799E-4</v>
      </c>
      <c r="D9522" s="1">
        <v>4.2951478328524802E-5</v>
      </c>
      <c r="E9522" s="1">
        <v>1.3975556751242E-5</v>
      </c>
      <c r="F9522" s="1">
        <v>2.1973386208098001E-4</v>
      </c>
    </row>
    <row r="9523" spans="1:6" x14ac:dyDescent="0.25">
      <c r="A9523" s="2" t="str">
        <f t="shared" si="339"/>
        <v>35620</v>
      </c>
      <c r="B9523" s="2" t="str">
        <f>"11783"</f>
        <v>11783</v>
      </c>
      <c r="C9523" s="1">
        <v>9.72786245680842E-4</v>
      </c>
      <c r="D9523" s="1">
        <v>6.5654402587887902E-4</v>
      </c>
      <c r="E9523" s="1">
        <v>1.5722501345147299E-4</v>
      </c>
      <c r="F9523" s="1">
        <v>8.9591150720028903E-4</v>
      </c>
    </row>
    <row r="9524" spans="1:6" x14ac:dyDescent="0.25">
      <c r="A9524" s="2" t="str">
        <f t="shared" si="339"/>
        <v>35620</v>
      </c>
      <c r="B9524" s="2" t="str">
        <f>"11590"</f>
        <v>11590</v>
      </c>
      <c r="C9524" s="1">
        <v>1.9233025414989299E-3</v>
      </c>
      <c r="D9524" s="1">
        <v>2.6961256539362499E-3</v>
      </c>
      <c r="E9524" s="1">
        <v>1.7224873695905799E-3</v>
      </c>
      <c r="F9524" s="1">
        <v>1.9779230598327498E-3</v>
      </c>
    </row>
    <row r="9525" spans="1:6" x14ac:dyDescent="0.25">
      <c r="A9525" s="2" t="str">
        <f t="shared" si="339"/>
        <v>35620</v>
      </c>
      <c r="B9525" s="2" t="str">
        <f>"11572"</f>
        <v>11572</v>
      </c>
      <c r="C9525" s="1">
        <v>1.41221341280512E-3</v>
      </c>
      <c r="D9525" s="1">
        <v>1.4664861886453399E-3</v>
      </c>
      <c r="E9525" s="1">
        <v>7.0227172674991402E-4</v>
      </c>
      <c r="F9525" s="1">
        <v>1.3737875645700301E-3</v>
      </c>
    </row>
    <row r="9526" spans="1:6" x14ac:dyDescent="0.25">
      <c r="A9526" s="2" t="str">
        <f t="shared" si="339"/>
        <v>35620</v>
      </c>
      <c r="B9526" s="2" t="str">
        <f>"11715"</f>
        <v>11715</v>
      </c>
      <c r="C9526" s="1">
        <v>2.13492927175895E-4</v>
      </c>
      <c r="D9526" s="1">
        <v>1.3376317536597699E-4</v>
      </c>
      <c r="E9526" s="1">
        <v>4.7167504035442003E-5</v>
      </c>
      <c r="F9526" s="1">
        <v>1.9649788149395201E-4</v>
      </c>
    </row>
    <row r="9527" spans="1:6" x14ac:dyDescent="0.25">
      <c r="A9527" s="2" t="str">
        <f t="shared" si="339"/>
        <v>35620</v>
      </c>
      <c r="B9527" s="2" t="str">
        <f>"11721"</f>
        <v>11721</v>
      </c>
      <c r="C9527" s="1">
        <v>3.7025346810924502E-4</v>
      </c>
      <c r="D9527" s="1">
        <v>2.5648168487604799E-4</v>
      </c>
      <c r="E9527" s="1">
        <v>4.0179725659820898E-5</v>
      </c>
      <c r="F9527" s="1">
        <v>3.4036998047116599E-4</v>
      </c>
    </row>
    <row r="9528" spans="1:6" x14ac:dyDescent="0.25">
      <c r="A9528" s="2" t="str">
        <f t="shared" ref="A9528:A9591" si="340">"35620"</f>
        <v>35620</v>
      </c>
      <c r="B9528" s="2" t="str">
        <f>"11729"</f>
        <v>11729</v>
      </c>
      <c r="C9528" s="1">
        <v>1.1969787018410701E-3</v>
      </c>
      <c r="D9528" s="1">
        <v>2.6973528390313501E-3</v>
      </c>
      <c r="E9528" s="1">
        <v>1.0708770360639201E-3</v>
      </c>
      <c r="F9528" s="1">
        <v>1.3190397746937401E-3</v>
      </c>
    </row>
    <row r="9529" spans="1:6" x14ac:dyDescent="0.25">
      <c r="A9529" s="2" t="str">
        <f t="shared" si="340"/>
        <v>35620</v>
      </c>
      <c r="B9529" s="2" t="str">
        <f>"11553"</f>
        <v>11553</v>
      </c>
      <c r="C9529" s="1">
        <v>8.1876279355744003E-4</v>
      </c>
      <c r="D9529" s="1">
        <v>8.3325867957338099E-4</v>
      </c>
      <c r="E9529" s="1">
        <v>4.0703809037992498E-4</v>
      </c>
      <c r="F9529" s="1">
        <v>7.9501005725387999E-4</v>
      </c>
    </row>
    <row r="9530" spans="1:6" x14ac:dyDescent="0.25">
      <c r="A9530" s="2" t="str">
        <f t="shared" si="340"/>
        <v>35620</v>
      </c>
      <c r="B9530" s="2" t="str">
        <f>"11693"</f>
        <v>11693</v>
      </c>
      <c r="C9530" s="1">
        <v>6.8837783570176495E-4</v>
      </c>
      <c r="D9530" s="1">
        <v>3.08023458870277E-4</v>
      </c>
      <c r="E9530" s="1">
        <v>4.0354420119211401E-4</v>
      </c>
      <c r="F9530" s="1">
        <v>6.3819371338343599E-4</v>
      </c>
    </row>
    <row r="9531" spans="1:6" x14ac:dyDescent="0.25">
      <c r="A9531" s="2" t="str">
        <f t="shared" si="340"/>
        <v>35620</v>
      </c>
      <c r="B9531" s="2" t="str">
        <f>"11692"</f>
        <v>11692</v>
      </c>
      <c r="C9531" s="1">
        <v>1.00065478629121E-3</v>
      </c>
      <c r="D9531" s="1">
        <v>1.85304949360207E-4</v>
      </c>
      <c r="E9531" s="1">
        <v>4.3498920388240899E-4</v>
      </c>
      <c r="F9531" s="1">
        <v>8.9580540683231096E-4</v>
      </c>
    </row>
    <row r="9532" spans="1:6" x14ac:dyDescent="0.25">
      <c r="A9532" s="2" t="str">
        <f t="shared" si="340"/>
        <v>35620</v>
      </c>
      <c r="B9532" s="2" t="str">
        <f>"11375"</f>
        <v>11375</v>
      </c>
      <c r="C9532" s="1">
        <v>4.3498561846449998E-3</v>
      </c>
      <c r="D9532" s="1">
        <v>2.79307327644921E-3</v>
      </c>
      <c r="E9532" s="1">
        <v>2.1330193491583202E-3</v>
      </c>
      <c r="F9532" s="1">
        <v>4.0806201524068103E-3</v>
      </c>
    </row>
    <row r="9533" spans="1:6" x14ac:dyDescent="0.25">
      <c r="A9533" s="2" t="str">
        <f t="shared" si="340"/>
        <v>35620</v>
      </c>
      <c r="B9533" s="2" t="str">
        <f>"11372"</f>
        <v>11372</v>
      </c>
      <c r="C9533" s="1">
        <v>3.2830136144041499E-3</v>
      </c>
      <c r="D9533" s="1">
        <v>3.0446462209448499E-3</v>
      </c>
      <c r="E9533" s="1">
        <v>2.5749963314163501E-3</v>
      </c>
      <c r="F9533" s="1">
        <v>3.2194034655350901E-3</v>
      </c>
    </row>
    <row r="9534" spans="1:6" x14ac:dyDescent="0.25">
      <c r="A9534" s="2" t="str">
        <f t="shared" si="340"/>
        <v>35620</v>
      </c>
      <c r="B9534" s="2" t="str">
        <f>"11514"</f>
        <v>11514</v>
      </c>
      <c r="C9534" s="1">
        <v>2.4919949483293599E-4</v>
      </c>
      <c r="D9534" s="1">
        <v>7.1176735515841101E-4</v>
      </c>
      <c r="E9534" s="1">
        <v>5.9920199570950405E-4</v>
      </c>
      <c r="F9534" s="1">
        <v>3.1044967670156801E-4</v>
      </c>
    </row>
    <row r="9535" spans="1:6" x14ac:dyDescent="0.25">
      <c r="A9535" s="2" t="str">
        <f t="shared" si="340"/>
        <v>35620</v>
      </c>
      <c r="B9535" s="2" t="str">
        <f>"11435"</f>
        <v>11435</v>
      </c>
      <c r="C9535" s="1">
        <v>2.2573517894402301E-3</v>
      </c>
      <c r="D9535" s="1">
        <v>1.6321561764839399E-3</v>
      </c>
      <c r="E9535" s="1">
        <v>1.9321207208592101E-3</v>
      </c>
      <c r="F9535" s="1">
        <v>2.1835455729727498E-3</v>
      </c>
    </row>
    <row r="9536" spans="1:6" x14ac:dyDescent="0.25">
      <c r="A9536" s="2" t="str">
        <f t="shared" si="340"/>
        <v>35620</v>
      </c>
      <c r="B9536" s="2" t="str">
        <f>"11433"</f>
        <v>11433</v>
      </c>
      <c r="C9536" s="1">
        <v>1.17570405700012E-3</v>
      </c>
      <c r="D9536" s="1">
        <v>8.8111889828230896E-4</v>
      </c>
      <c r="E9536" s="1">
        <v>5.8522643895826101E-4</v>
      </c>
      <c r="F9536" s="1">
        <v>1.11437216486554E-3</v>
      </c>
    </row>
    <row r="9537" spans="1:6" x14ac:dyDescent="0.25">
      <c r="A9537" s="2" t="str">
        <f t="shared" si="340"/>
        <v>35620</v>
      </c>
      <c r="B9537" s="2" t="str">
        <f>"11429"</f>
        <v>11429</v>
      </c>
      <c r="C9537" s="1">
        <v>7.7870176643002797E-4</v>
      </c>
      <c r="D9537" s="1">
        <v>4.5774004047256399E-4</v>
      </c>
      <c r="E9537" s="1">
        <v>2.8300502421265198E-4</v>
      </c>
      <c r="F9537" s="1">
        <v>7.2084590003774996E-4</v>
      </c>
    </row>
    <row r="9538" spans="1:6" x14ac:dyDescent="0.25">
      <c r="A9538" s="2" t="str">
        <f t="shared" si="340"/>
        <v>35620</v>
      </c>
      <c r="B9538" s="2" t="str">
        <f>"11363"</f>
        <v>11363</v>
      </c>
      <c r="C9538" s="1">
        <v>3.55572719037709E-4</v>
      </c>
      <c r="D9538" s="1">
        <v>2.5034575940054398E-4</v>
      </c>
      <c r="E9538" s="1">
        <v>8.2106395913547202E-5</v>
      </c>
      <c r="F9538" s="1">
        <v>3.2986604404141299E-4</v>
      </c>
    </row>
    <row r="9539" spans="1:6" x14ac:dyDescent="0.25">
      <c r="A9539" s="2" t="str">
        <f t="shared" si="340"/>
        <v>35620</v>
      </c>
      <c r="B9539" s="2" t="str">
        <f>"11385"</f>
        <v>11385</v>
      </c>
      <c r="C9539" s="1">
        <v>3.4530863600040602E-3</v>
      </c>
      <c r="D9539" s="1">
        <v>3.6471941026393001E-3</v>
      </c>
      <c r="E9539" s="1">
        <v>8.29973376564388E-3</v>
      </c>
      <c r="F9539" s="1">
        <v>3.7642288550985099E-3</v>
      </c>
    </row>
    <row r="9540" spans="1:6" x14ac:dyDescent="0.25">
      <c r="A9540" s="2" t="str">
        <f t="shared" si="340"/>
        <v>35620</v>
      </c>
      <c r="B9540" s="2" t="str">
        <f>"11377"</f>
        <v>11377</v>
      </c>
      <c r="C9540" s="1">
        <v>3.71833514831351E-3</v>
      </c>
      <c r="D9540" s="1">
        <v>2.7268052813137701E-3</v>
      </c>
      <c r="E9540" s="1">
        <v>5.0399351534166697E-3</v>
      </c>
      <c r="F9540" s="1">
        <v>3.7128762769975E-3</v>
      </c>
    </row>
    <row r="9541" spans="1:6" x14ac:dyDescent="0.25">
      <c r="A9541" s="2" t="str">
        <f t="shared" si="340"/>
        <v>35620</v>
      </c>
      <c r="B9541" s="2" t="str">
        <f>"11351"</f>
        <v>11351</v>
      </c>
      <c r="C9541" s="1">
        <v>0</v>
      </c>
      <c r="D9541" s="1">
        <v>1.8407776426510601E-5</v>
      </c>
      <c r="E9541" s="1">
        <v>6.9877783756210304E-6</v>
      </c>
      <c r="F9541" s="1">
        <v>2.0159069915686201E-6</v>
      </c>
    </row>
    <row r="9542" spans="1:6" x14ac:dyDescent="0.25">
      <c r="A9542" s="2" t="str">
        <f t="shared" si="340"/>
        <v>35620</v>
      </c>
      <c r="B9542" s="2" t="str">
        <f>"11247"</f>
        <v>11247</v>
      </c>
      <c r="C9542" s="1">
        <v>4.1566425972882601E-4</v>
      </c>
      <c r="D9542" s="1">
        <v>1.3499036046107701E-4</v>
      </c>
      <c r="E9542" s="1">
        <v>3.4938891878105101E-6</v>
      </c>
      <c r="F9542" s="1">
        <v>3.6636457062560302E-4</v>
      </c>
    </row>
    <row r="9543" spans="1:6" x14ac:dyDescent="0.25">
      <c r="A9543" s="2" t="str">
        <f t="shared" si="340"/>
        <v>35620</v>
      </c>
      <c r="B9543" s="2" t="str">
        <f>"11234"</f>
        <v>11234</v>
      </c>
      <c r="C9543" s="1">
        <v>3.5472670976918002E-3</v>
      </c>
      <c r="D9543" s="1">
        <v>2.6899897284607499E-3</v>
      </c>
      <c r="E9543" s="1">
        <v>1.6997770898698099E-3</v>
      </c>
      <c r="F9543" s="1">
        <v>3.3609413564168098E-3</v>
      </c>
    </row>
    <row r="9544" spans="1:6" x14ac:dyDescent="0.25">
      <c r="A9544" s="2" t="str">
        <f t="shared" si="340"/>
        <v>35620</v>
      </c>
      <c r="B9544" s="2" t="str">
        <f>"11216"</f>
        <v>11216</v>
      </c>
      <c r="C9544" s="1">
        <v>3.05732820071122E-3</v>
      </c>
      <c r="D9544" s="1">
        <v>2.0444903684377798E-3</v>
      </c>
      <c r="E9544" s="1">
        <v>8.8936949275716694E-3</v>
      </c>
      <c r="F9544" s="1">
        <v>3.3242306290966598E-3</v>
      </c>
    </row>
    <row r="9545" spans="1:6" x14ac:dyDescent="0.25">
      <c r="A9545" s="2" t="str">
        <f t="shared" si="340"/>
        <v>35620</v>
      </c>
      <c r="B9545" s="2" t="str">
        <f>"11105"</f>
        <v>11105</v>
      </c>
      <c r="C9545" s="1">
        <v>1.7491241626840901E-3</v>
      </c>
      <c r="D9545" s="1">
        <v>1.7241950586164899E-3</v>
      </c>
      <c r="E9545" s="1">
        <v>3.5061177999678502E-3</v>
      </c>
      <c r="F9545" s="1">
        <v>1.8536795289313399E-3</v>
      </c>
    </row>
    <row r="9546" spans="1:6" x14ac:dyDescent="0.25">
      <c r="A9546" s="2" t="str">
        <f t="shared" si="340"/>
        <v>35620</v>
      </c>
      <c r="B9546" s="2" t="str">
        <f>"11209"</f>
        <v>11209</v>
      </c>
      <c r="C9546" s="1">
        <v>3.9609407473770201E-3</v>
      </c>
      <c r="D9546" s="1">
        <v>2.8065723124953198E-3</v>
      </c>
      <c r="E9546" s="1">
        <v>4.7342198494832498E-3</v>
      </c>
      <c r="F9546" s="1">
        <v>3.9081009540757198E-3</v>
      </c>
    </row>
    <row r="9547" spans="1:6" x14ac:dyDescent="0.25">
      <c r="A9547" s="2" t="str">
        <f t="shared" si="340"/>
        <v>35620</v>
      </c>
      <c r="B9547" s="2" t="str">
        <f>"10805"</f>
        <v>10805</v>
      </c>
      <c r="C9547" s="1">
        <v>1.0052580720170299E-3</v>
      </c>
      <c r="D9547" s="1">
        <v>2.5157294449564498E-4</v>
      </c>
      <c r="E9547" s="1">
        <v>1.38882095215468E-3</v>
      </c>
      <c r="F9547" s="1">
        <v>9.6339134123384898E-4</v>
      </c>
    </row>
    <row r="9548" spans="1:6" x14ac:dyDescent="0.25">
      <c r="A9548" s="2" t="str">
        <f t="shared" si="340"/>
        <v>35620</v>
      </c>
      <c r="B9548" s="2" t="str">
        <f>"10804"</f>
        <v>10804</v>
      </c>
      <c r="C9548" s="1">
        <v>6.5130272363974999E-4</v>
      </c>
      <c r="D9548" s="1">
        <v>2.0862146616712E-4</v>
      </c>
      <c r="E9548" s="1">
        <v>5.9396116192778799E-5</v>
      </c>
      <c r="F9548" s="1">
        <v>5.7707990142851395E-4</v>
      </c>
    </row>
    <row r="9549" spans="1:6" x14ac:dyDescent="0.25">
      <c r="A9549" s="2" t="str">
        <f t="shared" si="340"/>
        <v>35620</v>
      </c>
      <c r="B9549" s="2" t="str">
        <f>"10965"</f>
        <v>10965</v>
      </c>
      <c r="C9549" s="1">
        <v>7.9462664677881301E-4</v>
      </c>
      <c r="D9549" s="1">
        <v>1.0811500687837199E-3</v>
      </c>
      <c r="E9549" s="1">
        <v>5.6601004842530395E-4</v>
      </c>
      <c r="F9549" s="1">
        <v>8.0551399368363201E-4</v>
      </c>
    </row>
    <row r="9550" spans="1:6" x14ac:dyDescent="0.25">
      <c r="A9550" s="2" t="str">
        <f t="shared" si="340"/>
        <v>35620</v>
      </c>
      <c r="B9550" s="2" t="str">
        <f>"10962"</f>
        <v>10962</v>
      </c>
      <c r="C9550" s="1">
        <v>3.0033329032786202E-4</v>
      </c>
      <c r="D9550" s="1">
        <v>6.6022558116418098E-4</v>
      </c>
      <c r="E9550" s="1">
        <v>1.5547806885756799E-4</v>
      </c>
      <c r="F9550" s="1">
        <v>3.2265121901895702E-4</v>
      </c>
    </row>
    <row r="9551" spans="1:6" x14ac:dyDescent="0.25">
      <c r="A9551" s="2" t="str">
        <f t="shared" si="340"/>
        <v>35620</v>
      </c>
      <c r="B9551" s="2" t="str">
        <f>"10952"</f>
        <v>10952</v>
      </c>
      <c r="C9551" s="1">
        <v>1.42341059430036E-3</v>
      </c>
      <c r="D9551" s="1">
        <v>2.0739428107201898E-3</v>
      </c>
      <c r="E9551" s="1">
        <v>2.0893457343106902E-3</v>
      </c>
      <c r="F9551" s="1">
        <v>1.52009997201072E-3</v>
      </c>
    </row>
    <row r="9552" spans="1:6" x14ac:dyDescent="0.25">
      <c r="A9552" s="2" t="str">
        <f t="shared" si="340"/>
        <v>35620</v>
      </c>
      <c r="B9552" s="2" t="str">
        <f>"10980"</f>
        <v>10980</v>
      </c>
      <c r="C9552" s="1">
        <v>6.9609144962070701E-4</v>
      </c>
      <c r="D9552" s="1">
        <v>5.5100610770021804E-4</v>
      </c>
      <c r="E9552" s="1">
        <v>1.3975556751242001E-4</v>
      </c>
      <c r="F9552" s="1">
        <v>6.4975865349296196E-4</v>
      </c>
    </row>
    <row r="9553" spans="1:6" x14ac:dyDescent="0.25">
      <c r="A9553" s="2" t="str">
        <f t="shared" si="340"/>
        <v>35620</v>
      </c>
      <c r="B9553" s="2" t="str">
        <f>"10607"</f>
        <v>10607</v>
      </c>
      <c r="C9553" s="1">
        <v>3.1501403939939799E-4</v>
      </c>
      <c r="D9553" s="1">
        <v>4.1233419195383801E-4</v>
      </c>
      <c r="E9553" s="1">
        <v>1.10057509416031E-4</v>
      </c>
      <c r="F9553" s="1">
        <v>3.1098017854145498E-4</v>
      </c>
    </row>
    <row r="9554" spans="1:6" x14ac:dyDescent="0.25">
      <c r="A9554" s="2" t="str">
        <f t="shared" si="340"/>
        <v>35620</v>
      </c>
      <c r="B9554" s="2" t="str">
        <f>"10595"</f>
        <v>10595</v>
      </c>
      <c r="C9554" s="1">
        <v>2.9311732891981903E-4</v>
      </c>
      <c r="D9554" s="1">
        <v>6.3568187926216701E-4</v>
      </c>
      <c r="E9554" s="1">
        <v>1.9041696073567301E-4</v>
      </c>
      <c r="F9554" s="1">
        <v>3.1649739767627402E-4</v>
      </c>
    </row>
    <row r="9555" spans="1:6" x14ac:dyDescent="0.25">
      <c r="A9555" s="2" t="str">
        <f t="shared" si="340"/>
        <v>35620</v>
      </c>
      <c r="B9555" s="2" t="str">
        <f>"10505"</f>
        <v>10505</v>
      </c>
      <c r="C9555" s="1">
        <v>1.9184504295176601E-4</v>
      </c>
      <c r="D9555" s="1">
        <v>2.23347687308329E-4</v>
      </c>
      <c r="E9555" s="1">
        <v>4.7167504035442003E-5</v>
      </c>
      <c r="F9555" s="1">
        <v>1.85781744328245E-4</v>
      </c>
    </row>
    <row r="9556" spans="1:6" x14ac:dyDescent="0.25">
      <c r="A9556" s="2" t="str">
        <f t="shared" si="340"/>
        <v>35620</v>
      </c>
      <c r="B9556" s="2" t="str">
        <f>"10473"</f>
        <v>10473</v>
      </c>
      <c r="C9556" s="1">
        <v>2.8272883275479101E-3</v>
      </c>
      <c r="D9556" s="1">
        <v>7.0317705949270604E-4</v>
      </c>
      <c r="E9556" s="1">
        <v>9.52084803678366E-4</v>
      </c>
      <c r="F9556" s="1">
        <v>2.52975107368267E-3</v>
      </c>
    </row>
    <row r="9557" spans="1:6" x14ac:dyDescent="0.25">
      <c r="A9557" s="2" t="str">
        <f t="shared" si="340"/>
        <v>35620</v>
      </c>
      <c r="B9557" s="2" t="str">
        <f>"10469"</f>
        <v>10469</v>
      </c>
      <c r="C9557" s="1">
        <v>2.50953719933857E-3</v>
      </c>
      <c r="D9557" s="1">
        <v>1.3842647872735899E-3</v>
      </c>
      <c r="E9557" s="1">
        <v>2.3810854814928601E-3</v>
      </c>
      <c r="F9557" s="1">
        <v>2.4044465391014798E-3</v>
      </c>
    </row>
    <row r="9558" spans="1:6" x14ac:dyDescent="0.25">
      <c r="A9558" s="2" t="str">
        <f t="shared" si="340"/>
        <v>35620</v>
      </c>
      <c r="B9558" s="2" t="str">
        <f>"10545"</f>
        <v>10545</v>
      </c>
      <c r="C9558" s="1">
        <v>0</v>
      </c>
      <c r="D9558" s="1">
        <v>0</v>
      </c>
      <c r="E9558" s="1">
        <v>1.74694459390525E-6</v>
      </c>
      <c r="F9558" s="1">
        <v>1.06100367977296E-7</v>
      </c>
    </row>
    <row r="9559" spans="1:6" x14ac:dyDescent="0.25">
      <c r="A9559" s="2" t="str">
        <f t="shared" si="340"/>
        <v>35620</v>
      </c>
      <c r="B9559" s="2" t="str">
        <f>"10549"</f>
        <v>10549</v>
      </c>
      <c r="C9559" s="1">
        <v>9.4566418383681798E-4</v>
      </c>
      <c r="D9559" s="1">
        <v>1.85059512341186E-3</v>
      </c>
      <c r="E9559" s="1">
        <v>1.1372609306323201E-3</v>
      </c>
      <c r="F9559" s="1">
        <v>1.0355395914584101E-3</v>
      </c>
    </row>
    <row r="9560" spans="1:6" x14ac:dyDescent="0.25">
      <c r="A9560" s="2" t="str">
        <f t="shared" si="340"/>
        <v>35620</v>
      </c>
      <c r="B9560" s="2" t="str">
        <f>"10528"</f>
        <v>10528</v>
      </c>
      <c r="C9560" s="1">
        <v>6.79420090505573E-4</v>
      </c>
      <c r="D9560" s="1">
        <v>8.1116934786156804E-4</v>
      </c>
      <c r="E9560" s="1">
        <v>6.7257366865352403E-4</v>
      </c>
      <c r="F9560" s="1">
        <v>6.9039509442826599E-4</v>
      </c>
    </row>
    <row r="9561" spans="1:6" x14ac:dyDescent="0.25">
      <c r="A9561" s="2" t="str">
        <f t="shared" si="340"/>
        <v>35620</v>
      </c>
      <c r="B9561" s="2" t="str">
        <f>"10517"</f>
        <v>10517</v>
      </c>
      <c r="C9561" s="1">
        <v>7.4523463507203503E-5</v>
      </c>
      <c r="D9561" s="1">
        <v>9.5720437417855204E-5</v>
      </c>
      <c r="E9561" s="1">
        <v>3.4938891878105101E-6</v>
      </c>
      <c r="F9561" s="1">
        <v>7.2042149856584104E-5</v>
      </c>
    </row>
    <row r="9562" spans="1:6" x14ac:dyDescent="0.25">
      <c r="A9562" s="2" t="str">
        <f t="shared" si="340"/>
        <v>35620</v>
      </c>
      <c r="B9562" s="2" t="str">
        <f>"10157"</f>
        <v>10157</v>
      </c>
      <c r="C9562" s="1">
        <v>0</v>
      </c>
      <c r="D9562" s="1">
        <v>0</v>
      </c>
      <c r="E9562" s="1">
        <v>1.74694459390525E-6</v>
      </c>
      <c r="F9562" s="1">
        <v>1.06100367977296E-7</v>
      </c>
    </row>
    <row r="9563" spans="1:6" x14ac:dyDescent="0.25">
      <c r="A9563" s="2" t="str">
        <f t="shared" si="340"/>
        <v>35620</v>
      </c>
      <c r="B9563" s="2" t="str">
        <f>"10211"</f>
        <v>10211</v>
      </c>
      <c r="C9563" s="1">
        <v>0</v>
      </c>
      <c r="D9563" s="1">
        <v>0</v>
      </c>
      <c r="E9563" s="1">
        <v>1.74694459390525E-6</v>
      </c>
      <c r="F9563" s="1">
        <v>1.06100367977296E-7</v>
      </c>
    </row>
    <row r="9564" spans="1:6" x14ac:dyDescent="0.25">
      <c r="A9564" s="2" t="str">
        <f t="shared" si="340"/>
        <v>35620</v>
      </c>
      <c r="B9564" s="2" t="str">
        <f>"10173"</f>
        <v>10173</v>
      </c>
      <c r="C9564" s="1">
        <v>0</v>
      </c>
      <c r="D9564" s="1">
        <v>8.5902956657049604E-5</v>
      </c>
      <c r="E9564" s="1">
        <v>2.0963335126863101E-5</v>
      </c>
      <c r="F9564" s="1">
        <v>8.7002301741382804E-6</v>
      </c>
    </row>
    <row r="9565" spans="1:6" x14ac:dyDescent="0.25">
      <c r="A9565" s="2" t="str">
        <f t="shared" si="340"/>
        <v>35620</v>
      </c>
      <c r="B9565" s="2" t="str">
        <f>"10167"</f>
        <v>10167</v>
      </c>
      <c r="C9565" s="1">
        <v>0</v>
      </c>
      <c r="D9565" s="1">
        <v>1.0921947346396299E-4</v>
      </c>
      <c r="E9565" s="1">
        <v>1.3975556751242E-5</v>
      </c>
      <c r="F9565" s="1">
        <v>1.02917356937977E-5</v>
      </c>
    </row>
    <row r="9566" spans="1:6" x14ac:dyDescent="0.25">
      <c r="A9566" s="2" t="str">
        <f t="shared" si="340"/>
        <v>35620</v>
      </c>
      <c r="B9566" s="2" t="str">
        <f>"10156"</f>
        <v>10156</v>
      </c>
      <c r="C9566" s="1">
        <v>2.06525792023302E-4</v>
      </c>
      <c r="D9566" s="1">
        <v>3.8042737948121899E-4</v>
      </c>
      <c r="E9566" s="1">
        <v>3.4938891878105101E-6</v>
      </c>
      <c r="F9566" s="1">
        <v>2.0922992565122799E-4</v>
      </c>
    </row>
    <row r="9567" spans="1:6" x14ac:dyDescent="0.25">
      <c r="A9567" s="2" t="str">
        <f t="shared" si="340"/>
        <v>35620</v>
      </c>
      <c r="B9567" s="2" t="str">
        <f>"10138"</f>
        <v>10138</v>
      </c>
      <c r="C9567" s="1">
        <v>0</v>
      </c>
      <c r="D9567" s="1">
        <v>0</v>
      </c>
      <c r="E9567" s="1">
        <v>5.2408337817157703E-6</v>
      </c>
      <c r="F9567" s="1">
        <v>3.1830110393188798E-7</v>
      </c>
    </row>
    <row r="9568" spans="1:6" x14ac:dyDescent="0.25">
      <c r="A9568" s="2" t="str">
        <f t="shared" si="340"/>
        <v>35620</v>
      </c>
      <c r="B9568" s="2" t="str">
        <f>"10133"</f>
        <v>10133</v>
      </c>
      <c r="C9568" s="1">
        <v>0</v>
      </c>
      <c r="D9568" s="1">
        <v>0</v>
      </c>
      <c r="E9568" s="1">
        <v>1.74694459390525E-6</v>
      </c>
      <c r="F9568" s="1">
        <v>1.06100367977296E-7</v>
      </c>
    </row>
    <row r="9569" spans="1:6" x14ac:dyDescent="0.25">
      <c r="A9569" s="2" t="str">
        <f t="shared" si="340"/>
        <v>35620</v>
      </c>
      <c r="B9569" s="2" t="str">
        <f>"10278"</f>
        <v>10278</v>
      </c>
      <c r="C9569" s="1">
        <v>0</v>
      </c>
      <c r="D9569" s="1">
        <v>7.1176735515841101E-5</v>
      </c>
      <c r="E9569" s="1">
        <v>1.7469445939052502E-5</v>
      </c>
      <c r="F9569" s="1">
        <v>7.2148250224561402E-6</v>
      </c>
    </row>
    <row r="9570" spans="1:6" x14ac:dyDescent="0.25">
      <c r="A9570" s="2" t="str">
        <f t="shared" si="340"/>
        <v>35620</v>
      </c>
      <c r="B9570" s="2" t="str">
        <f>"10277"</f>
        <v>10277</v>
      </c>
      <c r="C9570" s="1">
        <v>0</v>
      </c>
      <c r="D9570" s="1">
        <v>0</v>
      </c>
      <c r="E9570" s="1">
        <v>1.74694459390525E-6</v>
      </c>
      <c r="F9570" s="1">
        <v>1.06100367977296E-7</v>
      </c>
    </row>
    <row r="9571" spans="1:6" x14ac:dyDescent="0.25">
      <c r="A9571" s="2" t="str">
        <f t="shared" si="340"/>
        <v>35620</v>
      </c>
      <c r="B9571" s="2" t="str">
        <f>"10153"</f>
        <v>10153</v>
      </c>
      <c r="C9571" s="1">
        <v>0</v>
      </c>
      <c r="D9571" s="1">
        <v>9.6947622512955997E-5</v>
      </c>
      <c r="E9571" s="1">
        <v>2.44572243146736E-5</v>
      </c>
      <c r="F9571" s="1">
        <v>9.86733422188854E-6</v>
      </c>
    </row>
    <row r="9572" spans="1:6" x14ac:dyDescent="0.25">
      <c r="A9572" s="2" t="str">
        <f t="shared" si="340"/>
        <v>35620</v>
      </c>
      <c r="B9572" s="2" t="str">
        <f>"10166"</f>
        <v>10166</v>
      </c>
      <c r="C9572" s="1">
        <v>0</v>
      </c>
      <c r="D9572" s="1">
        <v>8.3448586466848193E-5</v>
      </c>
      <c r="E9572" s="1">
        <v>6.9877783756210304E-6</v>
      </c>
      <c r="F9572" s="1">
        <v>7.6392264943653205E-6</v>
      </c>
    </row>
    <row r="9573" spans="1:6" x14ac:dyDescent="0.25">
      <c r="A9573" s="2" t="str">
        <f t="shared" si="340"/>
        <v>35620</v>
      </c>
      <c r="B9573" s="2" t="str">
        <f>"10165"</f>
        <v>10165</v>
      </c>
      <c r="C9573" s="1">
        <v>0</v>
      </c>
      <c r="D9573" s="1">
        <v>1.0762413284033201E-3</v>
      </c>
      <c r="E9573" s="1">
        <v>1.76441403984431E-4</v>
      </c>
      <c r="F9573" s="1">
        <v>1.03766159881795E-4</v>
      </c>
    </row>
    <row r="9574" spans="1:6" x14ac:dyDescent="0.25">
      <c r="A9574" s="2" t="str">
        <f t="shared" si="340"/>
        <v>35620</v>
      </c>
      <c r="B9574" s="2" t="str">
        <f>"10152"</f>
        <v>10152</v>
      </c>
      <c r="C9574" s="1">
        <v>0</v>
      </c>
      <c r="D9574" s="1">
        <v>9.0811697037452397E-5</v>
      </c>
      <c r="E9574" s="1">
        <v>1.7469445939052502E-5</v>
      </c>
      <c r="F9574" s="1">
        <v>8.9124309100928798E-6</v>
      </c>
    </row>
    <row r="9575" spans="1:6" x14ac:dyDescent="0.25">
      <c r="A9575" s="2" t="str">
        <f t="shared" si="340"/>
        <v>35620</v>
      </c>
      <c r="B9575" s="2" t="str">
        <f>"10459"</f>
        <v>10459</v>
      </c>
      <c r="C9575" s="1">
        <v>2.42692688252924E-3</v>
      </c>
      <c r="D9575" s="1">
        <v>1.52539107321018E-3</v>
      </c>
      <c r="E9575" s="1">
        <v>3.8904456106270101E-3</v>
      </c>
      <c r="F9575" s="1">
        <v>2.4378681550143301E-3</v>
      </c>
    </row>
    <row r="9576" spans="1:6" x14ac:dyDescent="0.25">
      <c r="A9576" s="2" t="str">
        <f t="shared" si="340"/>
        <v>35620</v>
      </c>
      <c r="B9576" s="2" t="str">
        <f>"10458"</f>
        <v>10458</v>
      </c>
      <c r="C9576" s="1">
        <v>3.9328233805112E-3</v>
      </c>
      <c r="D9576" s="1">
        <v>2.15739139718704E-3</v>
      </c>
      <c r="E9576" s="1">
        <v>4.4896476063365099E-3</v>
      </c>
      <c r="F9576" s="1">
        <v>3.81314112473604E-3</v>
      </c>
    </row>
    <row r="9577" spans="1:6" x14ac:dyDescent="0.25">
      <c r="A9577" s="2" t="str">
        <f t="shared" si="340"/>
        <v>35620</v>
      </c>
      <c r="B9577" s="2" t="str">
        <f>"10104"</f>
        <v>10104</v>
      </c>
      <c r="C9577" s="1">
        <v>0</v>
      </c>
      <c r="D9577" s="1">
        <v>5.8904884564834002E-5</v>
      </c>
      <c r="E9577" s="1">
        <v>1.22286121573368E-5</v>
      </c>
      <c r="F9577" s="1">
        <v>5.8355202387512896E-6</v>
      </c>
    </row>
    <row r="9578" spans="1:6" x14ac:dyDescent="0.25">
      <c r="A9578" s="2" t="str">
        <f t="shared" si="340"/>
        <v>35620</v>
      </c>
      <c r="B9578" s="2" t="str">
        <f>"10113"</f>
        <v>10113</v>
      </c>
      <c r="C9578" s="1">
        <v>1.64847394235467E-4</v>
      </c>
      <c r="D9578" s="1">
        <v>3.9024486024202501E-4</v>
      </c>
      <c r="E9578" s="1">
        <v>3.4938891878105101E-6</v>
      </c>
      <c r="F9578" s="1">
        <v>1.7453510532265199E-4</v>
      </c>
    </row>
    <row r="9579" spans="1:6" x14ac:dyDescent="0.25">
      <c r="A9579" s="2" t="str">
        <f t="shared" si="340"/>
        <v>35620</v>
      </c>
      <c r="B9579" s="2" t="str">
        <f>"10128"</f>
        <v>10128</v>
      </c>
      <c r="C9579" s="1">
        <v>4.6136120154217503E-3</v>
      </c>
      <c r="D9579" s="1">
        <v>1.82482423641475E-3</v>
      </c>
      <c r="E9579" s="1">
        <v>4.23634064022025E-3</v>
      </c>
      <c r="F9579" s="1">
        <v>4.3495845852292497E-3</v>
      </c>
    </row>
    <row r="9580" spans="1:6" x14ac:dyDescent="0.25">
      <c r="A9580" s="2" t="str">
        <f t="shared" si="340"/>
        <v>35620</v>
      </c>
      <c r="B9580" s="2" t="str">
        <f>"10312"</f>
        <v>10312</v>
      </c>
      <c r="C9580" s="1">
        <v>2.3677062337322001E-3</v>
      </c>
      <c r="D9580" s="1">
        <v>8.8602763866271099E-4</v>
      </c>
      <c r="E9580" s="1">
        <v>3.6336447553229402E-4</v>
      </c>
      <c r="F9580" s="1">
        <v>2.1178694451948E-3</v>
      </c>
    </row>
    <row r="9581" spans="1:6" x14ac:dyDescent="0.25">
      <c r="A9581" s="2" t="str">
        <f t="shared" si="340"/>
        <v>35620</v>
      </c>
      <c r="B9581" s="2" t="str">
        <f>"10040"</f>
        <v>10040</v>
      </c>
      <c r="C9581" s="1">
        <v>2.4118728940745299E-3</v>
      </c>
      <c r="D9581" s="1">
        <v>9.4002378284714302E-4</v>
      </c>
      <c r="E9581" s="1">
        <v>1.5582745777634899E-3</v>
      </c>
      <c r="F9581" s="1">
        <v>2.2327761437142199E-3</v>
      </c>
    </row>
    <row r="9582" spans="1:6" x14ac:dyDescent="0.25">
      <c r="A9582" s="2" t="str">
        <f t="shared" si="340"/>
        <v>35620</v>
      </c>
      <c r="B9582" s="2" t="str">
        <f>"10018"</f>
        <v>10018</v>
      </c>
      <c r="C9582" s="1">
        <v>9.7365713757491604E-4</v>
      </c>
      <c r="D9582" s="1">
        <v>1.17429341750186E-2</v>
      </c>
      <c r="E9582" s="1">
        <v>1.8674837708847201E-3</v>
      </c>
      <c r="F9582" s="1">
        <v>1.9590371943327902E-3</v>
      </c>
    </row>
    <row r="9583" spans="1:6" x14ac:dyDescent="0.25">
      <c r="A9583" s="2" t="str">
        <f t="shared" si="340"/>
        <v>35620</v>
      </c>
      <c r="B9583" s="2" t="str">
        <f>"10025"</f>
        <v>10025</v>
      </c>
      <c r="C9583" s="1">
        <v>6.4424849929774998E-3</v>
      </c>
      <c r="D9583" s="1">
        <v>2.2580205749853002E-3</v>
      </c>
      <c r="E9583" s="1">
        <v>4.8687345832139498E-3</v>
      </c>
      <c r="F9583" s="1">
        <v>5.9851217575992701E-3</v>
      </c>
    </row>
    <row r="9584" spans="1:6" x14ac:dyDescent="0.25">
      <c r="A9584" s="2" t="str">
        <f t="shared" si="340"/>
        <v>35620</v>
      </c>
      <c r="B9584" s="2" t="str">
        <f>"10006"</f>
        <v>10006</v>
      </c>
      <c r="C9584" s="1">
        <v>3.4387788503156998E-4</v>
      </c>
      <c r="D9584" s="1">
        <v>1.3327230132793601E-3</v>
      </c>
      <c r="E9584" s="1">
        <v>3.24931694466378E-4</v>
      </c>
      <c r="F9584" s="1">
        <v>4.2822108515636699E-4</v>
      </c>
    </row>
    <row r="9585" spans="1:6" x14ac:dyDescent="0.25">
      <c r="A9585" s="2" t="str">
        <f t="shared" si="340"/>
        <v>35620</v>
      </c>
      <c r="B9585" s="2" t="str">
        <f>"10011"</f>
        <v>10011</v>
      </c>
      <c r="C9585" s="1">
        <v>4.8630603365101303E-3</v>
      </c>
      <c r="D9585" s="1">
        <v>5.3934784929676096E-3</v>
      </c>
      <c r="E9585" s="1">
        <v>6.9231414256465404E-3</v>
      </c>
      <c r="F9585" s="1">
        <v>5.0340380590507897E-3</v>
      </c>
    </row>
    <row r="9586" spans="1:6" x14ac:dyDescent="0.25">
      <c r="A9586" s="2" t="str">
        <f t="shared" si="340"/>
        <v>35620</v>
      </c>
      <c r="B9586" s="2" t="str">
        <f>"10007"</f>
        <v>10007</v>
      </c>
      <c r="C9586" s="1">
        <v>5.2377926772174802E-4</v>
      </c>
      <c r="D9586" s="1">
        <v>2.9329723772906898E-3</v>
      </c>
      <c r="E9586" s="1">
        <v>1.0778648144395401E-3</v>
      </c>
      <c r="F9586" s="1">
        <v>7.6572635569214598E-4</v>
      </c>
    </row>
    <row r="9587" spans="1:6" x14ac:dyDescent="0.25">
      <c r="A9587" s="2" t="str">
        <f t="shared" si="340"/>
        <v>35620</v>
      </c>
      <c r="B9587" s="2" t="str">
        <f>"08885"</f>
        <v>08885</v>
      </c>
      <c r="C9587" s="1">
        <v>0</v>
      </c>
      <c r="D9587" s="1">
        <v>0</v>
      </c>
      <c r="E9587" s="1">
        <v>1.74694459390525E-6</v>
      </c>
      <c r="F9587" s="1">
        <v>1.06100367977296E-7</v>
      </c>
    </row>
    <row r="9588" spans="1:6" x14ac:dyDescent="0.25">
      <c r="A9588" s="2" t="str">
        <f t="shared" si="340"/>
        <v>35620</v>
      </c>
      <c r="B9588" s="2" t="str">
        <f>"08901"</f>
        <v>08901</v>
      </c>
      <c r="C9588" s="1">
        <v>2.0205936073797799E-3</v>
      </c>
      <c r="D9588" s="1">
        <v>1.0712098695134E-2</v>
      </c>
      <c r="E9588" s="1">
        <v>2.72872745568001E-3</v>
      </c>
      <c r="F9588" s="1">
        <v>2.8150549631736198E-3</v>
      </c>
    </row>
    <row r="9589" spans="1:6" x14ac:dyDescent="0.25">
      <c r="A9589" s="2" t="str">
        <f t="shared" si="340"/>
        <v>35620</v>
      </c>
      <c r="B9589" s="2" t="str">
        <f>"08888"</f>
        <v>08888</v>
      </c>
      <c r="C9589" s="1">
        <v>4.6530509769105397E-5</v>
      </c>
      <c r="D9589" s="1">
        <v>1.3499036046107701E-4</v>
      </c>
      <c r="E9589" s="1">
        <v>1.22286121573368E-5</v>
      </c>
      <c r="F9589" s="1">
        <v>5.2095280676852401E-5</v>
      </c>
    </row>
    <row r="9590" spans="1:6" x14ac:dyDescent="0.25">
      <c r="A9590" s="2" t="str">
        <f t="shared" si="340"/>
        <v>35620</v>
      </c>
      <c r="B9590" s="2" t="str">
        <f>"08880"</f>
        <v>08880</v>
      </c>
      <c r="C9590" s="1">
        <v>2.41112641530818E-4</v>
      </c>
      <c r="D9590" s="1">
        <v>1.23945694605171E-4</v>
      </c>
      <c r="E9590" s="1">
        <v>1.3276778913679901E-4</v>
      </c>
      <c r="F9590" s="1">
        <v>2.2440227827198099E-4</v>
      </c>
    </row>
    <row r="9591" spans="1:6" x14ac:dyDescent="0.25">
      <c r="A9591" s="2" t="str">
        <f t="shared" si="340"/>
        <v>35620</v>
      </c>
      <c r="B9591" s="2" t="str">
        <f>"08802"</f>
        <v>08802</v>
      </c>
      <c r="C9591" s="1">
        <v>1.3337087292107199E-4</v>
      </c>
      <c r="D9591" s="1">
        <v>6.6267995135438199E-5</v>
      </c>
      <c r="E9591" s="1">
        <v>2.2710279720768301E-5</v>
      </c>
      <c r="F9591" s="1">
        <v>1.2084831912614E-4</v>
      </c>
    </row>
    <row r="9592" spans="1:6" x14ac:dyDescent="0.25">
      <c r="A9592" s="2" t="str">
        <f t="shared" ref="A9592:A9659" si="341">"35620"</f>
        <v>35620</v>
      </c>
      <c r="B9592" s="2" t="str">
        <f>"08848"</f>
        <v>08848</v>
      </c>
      <c r="C9592" s="1">
        <v>4.0359618633951298E-4</v>
      </c>
      <c r="D9592" s="1">
        <v>1.20264139319869E-4</v>
      </c>
      <c r="E9592" s="1">
        <v>8.7347229695262894E-5</v>
      </c>
      <c r="F9592" s="1">
        <v>3.5989244817898801E-4</v>
      </c>
    </row>
    <row r="9593" spans="1:6" x14ac:dyDescent="0.25">
      <c r="A9593" s="2" t="str">
        <f t="shared" si="341"/>
        <v>35620</v>
      </c>
      <c r="B9593" s="2" t="str">
        <f>"08742"</f>
        <v>08742</v>
      </c>
      <c r="C9593" s="1">
        <v>1.78868753730061E-3</v>
      </c>
      <c r="D9593" s="1">
        <v>1.77328246242052E-3</v>
      </c>
      <c r="E9593" s="1">
        <v>6.4112866596323002E-4</v>
      </c>
      <c r="F9593" s="1">
        <v>1.7176588571844399E-3</v>
      </c>
    </row>
    <row r="9594" spans="1:6" x14ac:dyDescent="0.25">
      <c r="A9594" s="2" t="str">
        <f t="shared" si="341"/>
        <v>35620</v>
      </c>
      <c r="B9594" s="2" t="str">
        <f>"08738"</f>
        <v>08738</v>
      </c>
      <c r="C9594" s="1">
        <v>2.4496944849028998E-4</v>
      </c>
      <c r="D9594" s="1">
        <v>2.2089331711812699E-5</v>
      </c>
      <c r="E9594" s="1">
        <v>5.2408337817157703E-6</v>
      </c>
      <c r="F9594" s="1">
        <v>2.1113973227481899E-4</v>
      </c>
    </row>
    <row r="9595" spans="1:6" x14ac:dyDescent="0.25">
      <c r="A9595" s="2" t="str">
        <f t="shared" si="341"/>
        <v>35620</v>
      </c>
      <c r="B9595" s="2" t="str">
        <f>"08824"</f>
        <v>08824</v>
      </c>
      <c r="C9595" s="1">
        <v>6.1024639149054002E-4</v>
      </c>
      <c r="D9595" s="1">
        <v>4.22151672714643E-4</v>
      </c>
      <c r="E9595" s="1">
        <v>1.0306973104041E-4</v>
      </c>
      <c r="F9595" s="1">
        <v>5.6318075322348796E-4</v>
      </c>
    </row>
    <row r="9596" spans="1:6" x14ac:dyDescent="0.25">
      <c r="A9596" s="2" t="str">
        <f t="shared" si="341"/>
        <v>35620</v>
      </c>
      <c r="B9596" s="2" t="str">
        <f>"08823"</f>
        <v>08823</v>
      </c>
      <c r="C9596" s="1">
        <v>5.1992246076227602E-4</v>
      </c>
      <c r="D9596" s="1">
        <v>2.7366227620745798E-4</v>
      </c>
      <c r="E9596" s="1">
        <v>5.2408337817157701E-5</v>
      </c>
      <c r="F9596" s="1">
        <v>4.70236830875376E-4</v>
      </c>
    </row>
    <row r="9597" spans="1:6" x14ac:dyDescent="0.25">
      <c r="A9597" s="2" t="str">
        <f t="shared" si="341"/>
        <v>35620</v>
      </c>
      <c r="B9597" s="2" t="str">
        <f>"08723"</f>
        <v>08723</v>
      </c>
      <c r="C9597" s="1">
        <v>2.03875792402762E-3</v>
      </c>
      <c r="D9597" s="1">
        <v>1.77205527732542E-3</v>
      </c>
      <c r="E9597" s="1">
        <v>4.2101364713116699E-4</v>
      </c>
      <c r="F9597" s="1">
        <v>1.91744585008569E-3</v>
      </c>
    </row>
    <row r="9598" spans="1:6" x14ac:dyDescent="0.25">
      <c r="A9598" s="2" t="str">
        <f t="shared" si="341"/>
        <v>35620</v>
      </c>
      <c r="B9598" s="2" t="str">
        <f>"08558"</f>
        <v>08558</v>
      </c>
      <c r="C9598" s="1">
        <v>3.5681685031495802E-4</v>
      </c>
      <c r="D9598" s="1">
        <v>3.2397686510658702E-4</v>
      </c>
      <c r="E9598" s="1">
        <v>1.6945362560881E-4</v>
      </c>
      <c r="F9598" s="1">
        <v>3.4259808819868902E-4</v>
      </c>
    </row>
    <row r="9599" spans="1:6" x14ac:dyDescent="0.25">
      <c r="A9599" s="2" t="str">
        <f t="shared" si="341"/>
        <v>35620</v>
      </c>
      <c r="B9599" s="2" t="str">
        <f>"08551"</f>
        <v>08551</v>
      </c>
      <c r="C9599" s="1">
        <v>3.2720652591643602E-4</v>
      </c>
      <c r="D9599" s="1">
        <v>2.8593412715846502E-4</v>
      </c>
      <c r="E9599" s="1">
        <v>4.5420559441536698E-5</v>
      </c>
      <c r="F9599" s="1">
        <v>3.0652396308640799E-4</v>
      </c>
    </row>
    <row r="9600" spans="1:6" x14ac:dyDescent="0.25">
      <c r="A9600" s="2" t="str">
        <f t="shared" si="341"/>
        <v>35620</v>
      </c>
      <c r="B9600" s="2" t="str">
        <f>"08528"</f>
        <v>08528</v>
      </c>
      <c r="C9600" s="1">
        <v>6.5690131438737E-5</v>
      </c>
      <c r="D9600" s="1">
        <v>2.2457487240342899E-4</v>
      </c>
      <c r="E9600" s="1">
        <v>2.7951113502484101E-5</v>
      </c>
      <c r="F9600" s="1">
        <v>7.7134967519494301E-5</v>
      </c>
    </row>
    <row r="9601" spans="1:6" x14ac:dyDescent="0.25">
      <c r="A9601" s="2" t="str">
        <f t="shared" si="341"/>
        <v>35620</v>
      </c>
      <c r="B9601" s="2" t="str">
        <f>"08536"</f>
        <v>08536</v>
      </c>
      <c r="C9601" s="1">
        <v>1.1661242461653001E-3</v>
      </c>
      <c r="D9601" s="1">
        <v>5.31371146178606E-4</v>
      </c>
      <c r="E9601" s="1">
        <v>1.17045287791652E-4</v>
      </c>
      <c r="F9601" s="1">
        <v>1.0475289330398401E-3</v>
      </c>
    </row>
    <row r="9602" spans="1:6" x14ac:dyDescent="0.25">
      <c r="A9602" s="2" t="str">
        <f t="shared" si="341"/>
        <v>35620</v>
      </c>
      <c r="B9602" s="2" t="str">
        <f>"08502"</f>
        <v>08502</v>
      </c>
      <c r="C9602" s="1">
        <v>5.8648348409508699E-4</v>
      </c>
      <c r="D9602" s="1">
        <v>3.9883515590772998E-4</v>
      </c>
      <c r="E9602" s="1">
        <v>3.1445002690294603E-5</v>
      </c>
      <c r="F9602" s="1">
        <v>5.3654956086118604E-4</v>
      </c>
    </row>
    <row r="9603" spans="1:6" x14ac:dyDescent="0.25">
      <c r="A9603" s="2" t="str">
        <f t="shared" si="341"/>
        <v>35620</v>
      </c>
      <c r="B9603" s="2" t="str">
        <f>"08087"</f>
        <v>08087</v>
      </c>
      <c r="C9603" s="1">
        <v>1.66128849451033E-3</v>
      </c>
      <c r="D9603" s="1">
        <v>6.2831876869156201E-4</v>
      </c>
      <c r="E9603" s="1">
        <v>1.9216390532957801E-4</v>
      </c>
      <c r="F9603" s="1">
        <v>1.48275264248271E-3</v>
      </c>
    </row>
    <row r="9604" spans="1:6" x14ac:dyDescent="0.25">
      <c r="A9604" s="2" t="str">
        <f t="shared" si="341"/>
        <v>35620</v>
      </c>
      <c r="B9604" s="2" t="str">
        <f>"07979"</f>
        <v>07979</v>
      </c>
      <c r="C9604" s="1">
        <v>0</v>
      </c>
      <c r="D9604" s="1">
        <v>1.2271850951007001E-6</v>
      </c>
      <c r="E9604" s="1">
        <v>1.74694459390525E-6</v>
      </c>
      <c r="F9604" s="1">
        <v>2.12200735954592E-7</v>
      </c>
    </row>
    <row r="9605" spans="1:6" x14ac:dyDescent="0.25">
      <c r="A9605" s="2" t="str">
        <f t="shared" si="341"/>
        <v>35620</v>
      </c>
      <c r="B9605" s="2" t="str">
        <f>"07932"</f>
        <v>07932</v>
      </c>
      <c r="C9605" s="1">
        <v>6.3015249192652104E-4</v>
      </c>
      <c r="D9605" s="1">
        <v>1.1510996192044601E-3</v>
      </c>
      <c r="E9605" s="1">
        <v>4.2625448091288302E-4</v>
      </c>
      <c r="F9605" s="1">
        <v>6.6280899875416897E-4</v>
      </c>
    </row>
    <row r="9606" spans="1:6" x14ac:dyDescent="0.25">
      <c r="A9606" s="2" t="str">
        <f t="shared" si="341"/>
        <v>35620</v>
      </c>
      <c r="B9606" s="2" t="str">
        <f>"07931"</f>
        <v>07931</v>
      </c>
      <c r="C9606" s="1">
        <v>2.1635442911356701E-4</v>
      </c>
      <c r="D9606" s="1">
        <v>2.1966613202302601E-4</v>
      </c>
      <c r="E9606" s="1">
        <v>1.3102084454289401E-4</v>
      </c>
      <c r="F9606" s="1">
        <v>2.11458033378751E-4</v>
      </c>
    </row>
    <row r="9607" spans="1:6" x14ac:dyDescent="0.25">
      <c r="A9607" s="2" t="str">
        <f t="shared" si="341"/>
        <v>35620</v>
      </c>
      <c r="B9607" s="2" t="str">
        <f>"07927"</f>
        <v>07927</v>
      </c>
      <c r="C9607" s="1">
        <v>2.1535912409176801E-4</v>
      </c>
      <c r="D9607" s="1">
        <v>4.6755752123337001E-4</v>
      </c>
      <c r="E9607" s="1">
        <v>2.30596686395494E-4</v>
      </c>
      <c r="F9607" s="1">
        <v>2.3808922574105199E-4</v>
      </c>
    </row>
    <row r="9608" spans="1:6" x14ac:dyDescent="0.25">
      <c r="A9608" s="2" t="str">
        <f t="shared" si="341"/>
        <v>35620</v>
      </c>
      <c r="B9608" s="2" t="str">
        <f>"07922"</f>
        <v>07922</v>
      </c>
      <c r="C9608" s="1">
        <v>5.8424404779603995E-4</v>
      </c>
      <c r="D9608" s="1">
        <v>7.0440424458780601E-4</v>
      </c>
      <c r="E9608" s="1">
        <v>5.2932421195329299E-4</v>
      </c>
      <c r="F9608" s="1">
        <v>5.9129735073747104E-4</v>
      </c>
    </row>
    <row r="9609" spans="1:6" x14ac:dyDescent="0.25">
      <c r="A9609" s="2" t="str">
        <f t="shared" si="341"/>
        <v>35620</v>
      </c>
      <c r="B9609" s="2" t="str">
        <f>"07920"</f>
        <v>07920</v>
      </c>
      <c r="C9609" s="1">
        <v>1.3584669416279701E-3</v>
      </c>
      <c r="D9609" s="1">
        <v>7.22812021014317E-4</v>
      </c>
      <c r="E9609" s="1">
        <v>5.7125088220701895E-4</v>
      </c>
      <c r="F9609" s="1">
        <v>1.2556978550113001E-3</v>
      </c>
    </row>
    <row r="9610" spans="1:6" x14ac:dyDescent="0.25">
      <c r="A9610" s="2" t="str">
        <f t="shared" si="341"/>
        <v>35620</v>
      </c>
      <c r="B9610" s="2" t="str">
        <f>"07866"</f>
        <v>07866</v>
      </c>
      <c r="C9610" s="1">
        <v>1.1372604005331301E-3</v>
      </c>
      <c r="D9610" s="1">
        <v>1.4431696718384299E-3</v>
      </c>
      <c r="E9610" s="1">
        <v>7.4070450781582998E-4</v>
      </c>
      <c r="F9610" s="1">
        <v>1.1396240524441301E-3</v>
      </c>
    </row>
    <row r="9611" spans="1:6" x14ac:dyDescent="0.25">
      <c r="A9611" s="2" t="str">
        <f t="shared" si="341"/>
        <v>35620</v>
      </c>
      <c r="B9611" s="2" t="str">
        <f>"07856"</f>
        <v>07856</v>
      </c>
      <c r="C9611" s="1">
        <v>3.1874643323114401E-4</v>
      </c>
      <c r="D9611" s="1">
        <v>2.1353020654752301E-4</v>
      </c>
      <c r="E9611" s="1">
        <v>1.62465847233189E-4</v>
      </c>
      <c r="F9611" s="1">
        <v>3.0015794100777101E-4</v>
      </c>
    </row>
    <row r="9612" spans="1:6" x14ac:dyDescent="0.25">
      <c r="A9612" s="2" t="str">
        <f t="shared" si="341"/>
        <v>35620</v>
      </c>
      <c r="B9612" s="2" t="str">
        <f>"07850"</f>
        <v>07850</v>
      </c>
      <c r="C9612" s="1">
        <v>3.1003751429040203E-4</v>
      </c>
      <c r="D9612" s="1">
        <v>2.07394281072019E-4</v>
      </c>
      <c r="E9612" s="1">
        <v>2.6902946746140899E-4</v>
      </c>
      <c r="F9612" s="1">
        <v>2.9867253585608801E-4</v>
      </c>
    </row>
    <row r="9613" spans="1:6" x14ac:dyDescent="0.25">
      <c r="A9613" s="2" t="str">
        <f t="shared" si="341"/>
        <v>35620</v>
      </c>
      <c r="B9613" s="2" t="str">
        <f>"07848"</f>
        <v>07848</v>
      </c>
      <c r="C9613" s="1">
        <v>2.1747414726309099E-4</v>
      </c>
      <c r="D9613" s="1">
        <v>2.39301093544638E-4</v>
      </c>
      <c r="E9613" s="1">
        <v>1.6945362560881E-4</v>
      </c>
      <c r="F9613" s="1">
        <v>2.1644475067368401E-4</v>
      </c>
    </row>
    <row r="9614" spans="1:6" x14ac:dyDescent="0.25">
      <c r="A9614" s="2" t="str">
        <f t="shared" si="341"/>
        <v>35620</v>
      </c>
      <c r="B9614" s="2" t="str">
        <f>"07843"</f>
        <v>07843</v>
      </c>
      <c r="C9614" s="1">
        <v>6.9646468900388199E-4</v>
      </c>
      <c r="D9614" s="1">
        <v>2.8838849734866599E-4</v>
      </c>
      <c r="E9614" s="1">
        <v>1.76441403984431E-4</v>
      </c>
      <c r="F9614" s="1">
        <v>6.2959958357727505E-4</v>
      </c>
    </row>
    <row r="9615" spans="1:6" x14ac:dyDescent="0.25">
      <c r="A9615" s="2" t="str">
        <f t="shared" si="341"/>
        <v>35620</v>
      </c>
      <c r="B9615" s="2" t="str">
        <f>"07710"</f>
        <v>07710</v>
      </c>
      <c r="C9615" s="1">
        <v>2.3887320523177098E-5</v>
      </c>
      <c r="D9615" s="1">
        <v>1.52170951792487E-4</v>
      </c>
      <c r="E9615" s="1">
        <v>3.4938891878105101E-6</v>
      </c>
      <c r="F9615" s="1">
        <v>3.3739917016780101E-5</v>
      </c>
    </row>
    <row r="9616" spans="1:6" x14ac:dyDescent="0.25">
      <c r="A9616" s="2" t="str">
        <f t="shared" si="341"/>
        <v>35620</v>
      </c>
      <c r="B9616" s="2" t="str">
        <f>"07803"</f>
        <v>07803</v>
      </c>
      <c r="C9616" s="1">
        <v>1.8052344832880101E-4</v>
      </c>
      <c r="D9616" s="1">
        <v>1.19036954224768E-4</v>
      </c>
      <c r="E9616" s="1">
        <v>8.2106395913547202E-5</v>
      </c>
      <c r="F9616" s="1">
        <v>1.6923008692378699E-4</v>
      </c>
    </row>
    <row r="9617" spans="1:6" x14ac:dyDescent="0.25">
      <c r="A9617" s="2" t="str">
        <f t="shared" si="341"/>
        <v>35620</v>
      </c>
      <c r="B9617" s="2" t="str">
        <f>"07737"</f>
        <v>07737</v>
      </c>
      <c r="C9617" s="1">
        <v>1.9632391554986101E-4</v>
      </c>
      <c r="D9617" s="1">
        <v>5.8904884564834002E-5</v>
      </c>
      <c r="E9617" s="1">
        <v>1.5722501345147302E-5</v>
      </c>
      <c r="F9617" s="1">
        <v>1.73474101642879E-4</v>
      </c>
    </row>
    <row r="9618" spans="1:6" x14ac:dyDescent="0.25">
      <c r="A9618" s="2" t="str">
        <f t="shared" si="341"/>
        <v>35620</v>
      </c>
      <c r="B9618" s="2" t="str">
        <f>"07756"</f>
        <v>07756</v>
      </c>
      <c r="C9618" s="1">
        <v>3.9438961488787199E-4</v>
      </c>
      <c r="D9618" s="1">
        <v>1.7426028350430001E-4</v>
      </c>
      <c r="E9618" s="1">
        <v>6.4112866596323002E-4</v>
      </c>
      <c r="F9618" s="1">
        <v>3.9034325378847198E-4</v>
      </c>
    </row>
    <row r="9619" spans="1:6" x14ac:dyDescent="0.25">
      <c r="A9619" s="2" t="str">
        <f t="shared" si="341"/>
        <v>35620</v>
      </c>
      <c r="B9619" s="2" t="str">
        <f>"07660"</f>
        <v>07660</v>
      </c>
      <c r="C9619" s="1">
        <v>6.08006955191492E-4</v>
      </c>
      <c r="D9619" s="1">
        <v>5.3259833127370705E-4</v>
      </c>
      <c r="E9619" s="1">
        <v>6.16671441648556E-4</v>
      </c>
      <c r="F9619" s="1">
        <v>6.0201348790317802E-4</v>
      </c>
    </row>
    <row r="9620" spans="1:6" x14ac:dyDescent="0.25">
      <c r="A9620" s="2" t="str">
        <f t="shared" si="341"/>
        <v>35620</v>
      </c>
      <c r="B9620" s="2" t="str">
        <f>"07732"</f>
        <v>07732</v>
      </c>
      <c r="C9620" s="1">
        <v>3.82445954626283E-4</v>
      </c>
      <c r="D9620" s="1">
        <v>1.5953406236309201E-4</v>
      </c>
      <c r="E9620" s="1">
        <v>3.84327810659157E-4</v>
      </c>
      <c r="F9620" s="1">
        <v>3.6328765995426198E-4</v>
      </c>
    </row>
    <row r="9621" spans="1:6" x14ac:dyDescent="0.25">
      <c r="A9621" s="2" t="str">
        <f t="shared" si="341"/>
        <v>35620</v>
      </c>
      <c r="B9621" s="2" t="str">
        <f>"07632"</f>
        <v>07632</v>
      </c>
      <c r="C9621" s="1">
        <v>2.8291545244637801E-4</v>
      </c>
      <c r="D9621" s="1">
        <v>1.2701365734292299E-3</v>
      </c>
      <c r="E9621" s="1">
        <v>5.3456504573500896E-4</v>
      </c>
      <c r="F9621" s="1">
        <v>3.8355283023792502E-4</v>
      </c>
    </row>
    <row r="9622" spans="1:6" x14ac:dyDescent="0.25">
      <c r="A9622" s="2" t="str">
        <f t="shared" si="341"/>
        <v>35620</v>
      </c>
      <c r="B9622" s="2" t="str">
        <f>"07605"</f>
        <v>07605</v>
      </c>
      <c r="C9622" s="1">
        <v>4.2735909373496498E-4</v>
      </c>
      <c r="D9622" s="1">
        <v>2.4298264882994001E-4</v>
      </c>
      <c r="E9622" s="1">
        <v>9.8352980636866099E-4</v>
      </c>
      <c r="F9622" s="1">
        <v>4.4519714403273402E-4</v>
      </c>
    </row>
    <row r="9623" spans="1:6" x14ac:dyDescent="0.25">
      <c r="A9623" s="2" t="str">
        <f t="shared" si="341"/>
        <v>35620</v>
      </c>
      <c r="B9623" s="2" t="str">
        <f>"07603"</f>
        <v>07603</v>
      </c>
      <c r="C9623" s="1">
        <v>3.5806098159220601E-4</v>
      </c>
      <c r="D9623" s="1">
        <v>2.6507198054175301E-4</v>
      </c>
      <c r="E9623" s="1">
        <v>3.0571530393342001E-4</v>
      </c>
      <c r="F9623" s="1">
        <v>3.46842102917781E-4</v>
      </c>
    </row>
    <row r="9624" spans="1:6" x14ac:dyDescent="0.25">
      <c r="A9624" s="2" t="str">
        <f t="shared" si="341"/>
        <v>35620</v>
      </c>
      <c r="B9624" s="2" t="str">
        <f>"07601"</f>
        <v>07601</v>
      </c>
      <c r="C9624" s="1">
        <v>2.5097860255940099E-3</v>
      </c>
      <c r="D9624" s="1">
        <v>4.2190623569562302E-3</v>
      </c>
      <c r="E9624" s="1">
        <v>3.9096620011599701E-3</v>
      </c>
      <c r="F9624" s="1">
        <v>2.7425884118451199E-3</v>
      </c>
    </row>
    <row r="9625" spans="1:6" x14ac:dyDescent="0.25">
      <c r="A9625" s="2" t="str">
        <f t="shared" si="341"/>
        <v>35620</v>
      </c>
      <c r="B9625" s="2" t="str">
        <f>"07311"</f>
        <v>07311</v>
      </c>
      <c r="C9625" s="1">
        <v>1.36605614241919E-4</v>
      </c>
      <c r="D9625" s="1">
        <v>3.9638078571752798E-4</v>
      </c>
      <c r="E9625" s="1">
        <v>1.08310564822126E-4</v>
      </c>
      <c r="F9625" s="1">
        <v>1.5734684571032999E-4</v>
      </c>
    </row>
    <row r="9626" spans="1:6" x14ac:dyDescent="0.25">
      <c r="A9626" s="2" t="str">
        <f t="shared" si="341"/>
        <v>35620</v>
      </c>
      <c r="B9626" s="2" t="str">
        <f>"07307"</f>
        <v>07307</v>
      </c>
      <c r="C9626" s="1">
        <v>2.15346682778996E-3</v>
      </c>
      <c r="D9626" s="1">
        <v>1.2333210205762099E-3</v>
      </c>
      <c r="E9626" s="1">
        <v>4.8931918075286298E-3</v>
      </c>
      <c r="F9626" s="1">
        <v>2.2403092698406002E-3</v>
      </c>
    </row>
    <row r="9627" spans="1:6" x14ac:dyDescent="0.25">
      <c r="A9627" s="2" t="str">
        <f t="shared" si="341"/>
        <v>35620</v>
      </c>
      <c r="B9627" s="2" t="str">
        <f>"07306"</f>
        <v>07306</v>
      </c>
      <c r="C9627" s="1">
        <v>2.9380160112230502E-3</v>
      </c>
      <c r="D9627" s="1">
        <v>2.98083259599962E-3</v>
      </c>
      <c r="E9627" s="1">
        <v>7.3528897957472299E-3</v>
      </c>
      <c r="F9627" s="1">
        <v>3.2098544324171401E-3</v>
      </c>
    </row>
    <row r="9628" spans="1:6" x14ac:dyDescent="0.25">
      <c r="A9628" s="2" t="str">
        <f t="shared" si="341"/>
        <v>35620</v>
      </c>
      <c r="B9628" s="2" t="str">
        <f>"07511"</f>
        <v>07511</v>
      </c>
      <c r="C9628" s="1">
        <v>5.0262903600851797E-5</v>
      </c>
      <c r="D9628" s="1">
        <v>1.9634961521611301E-4</v>
      </c>
      <c r="E9628" s="1">
        <v>3.4938891878105101E-6</v>
      </c>
      <c r="F9628" s="1">
        <v>6.0052808275149597E-5</v>
      </c>
    </row>
    <row r="9629" spans="1:6" x14ac:dyDescent="0.25">
      <c r="A9629" s="2" t="str">
        <f t="shared" si="341"/>
        <v>35620</v>
      </c>
      <c r="B9629" s="2" t="str">
        <f>"07505"</f>
        <v>07505</v>
      </c>
      <c r="C9629" s="1">
        <v>1.5153518956890401E-4</v>
      </c>
      <c r="D9629" s="1">
        <v>1.0688782178327101E-3</v>
      </c>
      <c r="E9629" s="1">
        <v>6.3588783218151404E-4</v>
      </c>
      <c r="F9629" s="1">
        <v>2.60264202648307E-4</v>
      </c>
    </row>
    <row r="9630" spans="1:6" x14ac:dyDescent="0.25">
      <c r="A9630" s="2" t="str">
        <f t="shared" si="341"/>
        <v>35620</v>
      </c>
      <c r="B9630" s="2" t="str">
        <f>"07502"</f>
        <v>07502</v>
      </c>
      <c r="C9630" s="1">
        <v>5.3746471177148396E-4</v>
      </c>
      <c r="D9630" s="1">
        <v>3.08023458870277E-4</v>
      </c>
      <c r="E9630" s="1">
        <v>9.9051758474428208E-4</v>
      </c>
      <c r="F9630" s="1">
        <v>5.4514369066734699E-4</v>
      </c>
    </row>
    <row r="9631" spans="1:6" x14ac:dyDescent="0.25">
      <c r="A9631" s="2" t="str">
        <f t="shared" si="341"/>
        <v>35620</v>
      </c>
      <c r="B9631" s="2" t="str">
        <f>"07456"</f>
        <v>07456</v>
      </c>
      <c r="C9631" s="1">
        <v>5.4368536815772796E-4</v>
      </c>
      <c r="D9631" s="1">
        <v>3.3256716077229199E-4</v>
      </c>
      <c r="E9631" s="1">
        <v>1.5722501345147299E-4</v>
      </c>
      <c r="F9631" s="1">
        <v>5.0196084090058796E-4</v>
      </c>
    </row>
    <row r="9632" spans="1:6" x14ac:dyDescent="0.25">
      <c r="A9632" s="2" t="str">
        <f t="shared" si="341"/>
        <v>35620</v>
      </c>
      <c r="B9632" s="2" t="str">
        <f>"07450"</f>
        <v>07450</v>
      </c>
      <c r="C9632" s="1">
        <v>1.0952087633621199E-3</v>
      </c>
      <c r="D9632" s="1">
        <v>1.43948811655313E-3</v>
      </c>
      <c r="E9632" s="1">
        <v>1.0184686982467599E-3</v>
      </c>
      <c r="F9632" s="1">
        <v>1.1203137854722701E-3</v>
      </c>
    </row>
    <row r="9633" spans="1:6" x14ac:dyDescent="0.25">
      <c r="A9633" s="2" t="str">
        <f t="shared" si="341"/>
        <v>35620</v>
      </c>
      <c r="B9633" s="2" t="str">
        <f>"07474"</f>
        <v>07474</v>
      </c>
      <c r="C9633" s="1">
        <v>2.1921593105123899E-4</v>
      </c>
      <c r="D9633" s="1">
        <v>7.8171690557915095E-4</v>
      </c>
      <c r="E9633" s="1">
        <v>1.04816675634315E-5</v>
      </c>
      <c r="F9633" s="1">
        <v>2.5517138498539702E-4</v>
      </c>
    </row>
    <row r="9634" spans="1:6" x14ac:dyDescent="0.25">
      <c r="A9634" s="2" t="str">
        <f t="shared" si="341"/>
        <v>35620</v>
      </c>
      <c r="B9634" s="2" t="str">
        <f>"07481"</f>
        <v>07481</v>
      </c>
      <c r="C9634" s="1">
        <v>7.4946468141468101E-4</v>
      </c>
      <c r="D9634" s="1">
        <v>8.6271112185579797E-4</v>
      </c>
      <c r="E9634" s="1">
        <v>3.28425583654188E-4</v>
      </c>
      <c r="F9634" s="1">
        <v>7.3368404456300299E-4</v>
      </c>
    </row>
    <row r="9635" spans="1:6" x14ac:dyDescent="0.25">
      <c r="A9635" s="2" t="str">
        <f t="shared" si="341"/>
        <v>35620</v>
      </c>
      <c r="B9635" s="2" t="str">
        <f>"07461"</f>
        <v>07461</v>
      </c>
      <c r="C9635" s="1">
        <v>9.5001864330718905E-4</v>
      </c>
      <c r="D9635" s="1">
        <v>4.2706041309504601E-4</v>
      </c>
      <c r="E9635" s="1">
        <v>3.7734003228353602E-4</v>
      </c>
      <c r="F9635" s="1">
        <v>8.7002301741382802E-4</v>
      </c>
    </row>
    <row r="9636" spans="1:6" x14ac:dyDescent="0.25">
      <c r="A9636" s="2" t="str">
        <f t="shared" si="341"/>
        <v>35620</v>
      </c>
      <c r="B9636" s="2" t="str">
        <f>"07458"</f>
        <v>07458</v>
      </c>
      <c r="C9636" s="1">
        <v>5.8909615977730998E-4</v>
      </c>
      <c r="D9636" s="1">
        <v>5.7186825431693004E-4</v>
      </c>
      <c r="E9636" s="1">
        <v>1.6945362560881E-4</v>
      </c>
      <c r="F9636" s="1">
        <v>5.6211974954371499E-4</v>
      </c>
    </row>
    <row r="9637" spans="1:6" x14ac:dyDescent="0.25">
      <c r="A9637" s="2" t="str">
        <f t="shared" si="341"/>
        <v>35620</v>
      </c>
      <c r="B9637" s="2" t="str">
        <f>"07457"</f>
        <v>07457</v>
      </c>
      <c r="C9637" s="1">
        <v>2.4994597359928502E-4</v>
      </c>
      <c r="D9637" s="1">
        <v>3.4115745643799702E-4</v>
      </c>
      <c r="E9637" s="1">
        <v>2.23608908019873E-4</v>
      </c>
      <c r="F9637" s="1">
        <v>2.5623238866516999E-4</v>
      </c>
    </row>
    <row r="9638" spans="1:6" x14ac:dyDescent="0.25">
      <c r="A9638" s="2" t="str">
        <f t="shared" si="341"/>
        <v>35620</v>
      </c>
      <c r="B9638" s="2" t="str">
        <f>"07202"</f>
        <v>07202</v>
      </c>
      <c r="C9638" s="1">
        <v>1.8771452711130001E-3</v>
      </c>
      <c r="D9638" s="1">
        <v>1.11551125144654E-3</v>
      </c>
      <c r="E9638" s="1">
        <v>3.0554060947402899E-3</v>
      </c>
      <c r="F9638" s="1">
        <v>1.8828571301250901E-3</v>
      </c>
    </row>
    <row r="9639" spans="1:6" x14ac:dyDescent="0.25">
      <c r="A9639" s="2" t="str">
        <f t="shared" si="341"/>
        <v>35620</v>
      </c>
      <c r="B9639" s="2" t="str">
        <f>"07423"</f>
        <v>07423</v>
      </c>
      <c r="C9639" s="1">
        <v>1.8475349467144699E-4</v>
      </c>
      <c r="D9639" s="1">
        <v>2.4543701902014097E-4</v>
      </c>
      <c r="E9639" s="1">
        <v>1.04816675634315E-4</v>
      </c>
      <c r="F9639" s="1">
        <v>1.8514514212038101E-4</v>
      </c>
    </row>
    <row r="9640" spans="1:6" x14ac:dyDescent="0.25">
      <c r="A9640" s="2" t="str">
        <f t="shared" si="341"/>
        <v>35620</v>
      </c>
      <c r="B9640" s="2" t="str">
        <f>"07112"</f>
        <v>07112</v>
      </c>
      <c r="C9640" s="1">
        <v>1.31604206507378E-3</v>
      </c>
      <c r="D9640" s="1">
        <v>6.5777121097397898E-4</v>
      </c>
      <c r="E9640" s="1">
        <v>2.7584255137764E-3</v>
      </c>
      <c r="F9640" s="1">
        <v>1.34673197073582E-3</v>
      </c>
    </row>
    <row r="9641" spans="1:6" x14ac:dyDescent="0.25">
      <c r="A9641" s="2" t="str">
        <f t="shared" si="341"/>
        <v>35620</v>
      </c>
      <c r="B9641" s="2" t="str">
        <f>"07054"</f>
        <v>07054</v>
      </c>
      <c r="C9641" s="1">
        <v>1.6234669036819601E-3</v>
      </c>
      <c r="D9641" s="1">
        <v>3.2090890236883499E-3</v>
      </c>
      <c r="E9641" s="1">
        <v>1.2543062184239701E-3</v>
      </c>
      <c r="F9641" s="1">
        <v>1.73813622820406E-3</v>
      </c>
    </row>
    <row r="9642" spans="1:6" x14ac:dyDescent="0.25">
      <c r="A9642" s="2" t="str">
        <f t="shared" si="341"/>
        <v>35620</v>
      </c>
      <c r="B9642" s="2" t="str">
        <f>"07051"</f>
        <v>07051</v>
      </c>
      <c r="C9642" s="1">
        <v>1.46931903843084E-4</v>
      </c>
      <c r="D9642" s="1">
        <v>2.2457487240342899E-4</v>
      </c>
      <c r="E9642" s="1">
        <v>3.4938891878105101E-6</v>
      </c>
      <c r="F9642" s="1">
        <v>1.44933102656986E-4</v>
      </c>
    </row>
    <row r="9643" spans="1:6" x14ac:dyDescent="0.25">
      <c r="A9643" s="2" t="str">
        <f t="shared" si="341"/>
        <v>35620</v>
      </c>
      <c r="B9643" s="2" t="str">
        <f>"07045"</f>
        <v>07045</v>
      </c>
      <c r="C9643" s="1">
        <v>5.4978161141624798E-4</v>
      </c>
      <c r="D9643" s="1">
        <v>5.4241581203451296E-4</v>
      </c>
      <c r="E9643" s="1">
        <v>1.18792232385557E-4</v>
      </c>
      <c r="F9643" s="1">
        <v>5.2296871376009298E-4</v>
      </c>
    </row>
    <row r="9644" spans="1:6" x14ac:dyDescent="0.25">
      <c r="A9644" s="2" t="str">
        <f t="shared" si="341"/>
        <v>35620</v>
      </c>
      <c r="B9644" s="2" t="str">
        <f>"07099"</f>
        <v>07099</v>
      </c>
      <c r="C9644" s="1">
        <v>0</v>
      </c>
      <c r="D9644" s="1">
        <v>0</v>
      </c>
      <c r="E9644" s="1">
        <v>1.74694459390525E-6</v>
      </c>
      <c r="F9644" s="1">
        <v>1.06100367977296E-7</v>
      </c>
    </row>
    <row r="9645" spans="1:6" x14ac:dyDescent="0.25">
      <c r="A9645" s="2" t="str">
        <f t="shared" si="341"/>
        <v>35620</v>
      </c>
      <c r="B9645" s="2" t="str">
        <f>"07074"</f>
        <v>07074</v>
      </c>
      <c r="C9645" s="1">
        <v>1.3772533239144301E-4</v>
      </c>
      <c r="D9645" s="1">
        <v>3.9392641552732702E-4</v>
      </c>
      <c r="E9645" s="1">
        <v>6.1143060786684003E-5</v>
      </c>
      <c r="F9645" s="1">
        <v>1.5522483835078401E-4</v>
      </c>
    </row>
    <row r="9646" spans="1:6" x14ac:dyDescent="0.25">
      <c r="A9646" s="2" t="str">
        <f t="shared" si="341"/>
        <v>35620</v>
      </c>
      <c r="B9646" s="2" t="str">
        <f>"07086"</f>
        <v>07086</v>
      </c>
      <c r="C9646" s="1">
        <v>1.0767956204588401E-3</v>
      </c>
      <c r="D9646" s="1">
        <v>4.3196915347544902E-4</v>
      </c>
      <c r="E9646" s="1">
        <v>1.51809485210367E-3</v>
      </c>
      <c r="F9646" s="1">
        <v>1.0478472341437701E-3</v>
      </c>
    </row>
    <row r="9647" spans="1:6" x14ac:dyDescent="0.25">
      <c r="A9647" s="2" t="str">
        <f t="shared" si="341"/>
        <v>35620</v>
      </c>
      <c r="B9647" s="2" t="str">
        <f>"07036"</f>
        <v>07036</v>
      </c>
      <c r="C9647" s="1">
        <v>2.1217414802201101E-3</v>
      </c>
      <c r="D9647" s="1">
        <v>2.4273721181092001E-3</v>
      </c>
      <c r="E9647" s="1">
        <v>2.0247087843361898E-3</v>
      </c>
      <c r="F9647" s="1">
        <v>2.1422725298295801E-3</v>
      </c>
    </row>
    <row r="9648" spans="1:6" x14ac:dyDescent="0.25">
      <c r="A9648" s="2" t="str">
        <f t="shared" si="341"/>
        <v>35620</v>
      </c>
      <c r="B9648" s="2" t="str">
        <f>"07035"</f>
        <v>07035</v>
      </c>
      <c r="C9648" s="1">
        <v>5.3385673106746295E-4</v>
      </c>
      <c r="D9648" s="1">
        <v>3.6692834343511101E-4</v>
      </c>
      <c r="E9648" s="1">
        <v>1.6071890263928299E-4</v>
      </c>
      <c r="F9648" s="1">
        <v>4.9676192286970001E-4</v>
      </c>
    </row>
    <row r="9649" spans="1:6" x14ac:dyDescent="0.25">
      <c r="A9649" s="2" t="str">
        <f t="shared" si="341"/>
        <v>35620</v>
      </c>
      <c r="B9649" s="2" t="str">
        <f>"07068"</f>
        <v>07068</v>
      </c>
      <c r="C9649" s="1">
        <v>4.0023703189094102E-4</v>
      </c>
      <c r="D9649" s="1">
        <v>6.4059061964257002E-4</v>
      </c>
      <c r="E9649" s="1">
        <v>1.8692307154786201E-4</v>
      </c>
      <c r="F9649" s="1">
        <v>4.08062015240681E-4</v>
      </c>
    </row>
    <row r="9650" spans="1:6" x14ac:dyDescent="0.25">
      <c r="A9650" s="2" t="str">
        <f t="shared" si="341"/>
        <v>35620</v>
      </c>
      <c r="B9650" s="2" t="str">
        <f>"07065"</f>
        <v>07065</v>
      </c>
      <c r="C9650" s="1">
        <v>1.60380962950143E-3</v>
      </c>
      <c r="D9650" s="1">
        <v>1.3327230132793601E-3</v>
      </c>
      <c r="E9650" s="1">
        <v>9.2238674558197699E-4</v>
      </c>
      <c r="F9650" s="1">
        <v>1.53898583751068E-3</v>
      </c>
    </row>
    <row r="9651" spans="1:6" x14ac:dyDescent="0.25">
      <c r="A9651" s="2" t="str">
        <f t="shared" si="341"/>
        <v>35620</v>
      </c>
      <c r="B9651" s="2" t="str">
        <f>"07063"</f>
        <v>07063</v>
      </c>
      <c r="C9651" s="1">
        <v>5.1569241441963001E-4</v>
      </c>
      <c r="D9651" s="1">
        <v>1.44807841221883E-4</v>
      </c>
      <c r="E9651" s="1">
        <v>3.5637669715667201E-4</v>
      </c>
      <c r="F9651" s="1">
        <v>4.7395034375458198E-4</v>
      </c>
    </row>
    <row r="9652" spans="1:6" x14ac:dyDescent="0.25">
      <c r="A9652" s="2" t="str">
        <f t="shared" si="341"/>
        <v>35620</v>
      </c>
      <c r="B9652" s="2" t="str">
        <f>"07060"</f>
        <v>07060</v>
      </c>
      <c r="C9652" s="1">
        <v>1.91061240247099E-3</v>
      </c>
      <c r="D9652" s="1">
        <v>1.81009801527354E-3</v>
      </c>
      <c r="E9652" s="1">
        <v>2.3601221463660001E-3</v>
      </c>
      <c r="F9652" s="1">
        <v>1.92922299093117E-3</v>
      </c>
    </row>
    <row r="9653" spans="1:6" x14ac:dyDescent="0.25">
      <c r="A9653" s="2" t="str">
        <f t="shared" si="341"/>
        <v>35620</v>
      </c>
      <c r="B9653" s="2" t="str">
        <f>"07070"</f>
        <v>07070</v>
      </c>
      <c r="C9653" s="1">
        <v>9.2812193282761004E-4</v>
      </c>
      <c r="D9653" s="1">
        <v>1.11551125144654E-3</v>
      </c>
      <c r="E9653" s="1">
        <v>7.0576561593772402E-4</v>
      </c>
      <c r="F9653" s="1">
        <v>9.3081852826481896E-4</v>
      </c>
    </row>
    <row r="9654" spans="1:6" x14ac:dyDescent="0.25">
      <c r="A9654" s="2" t="str">
        <f t="shared" si="341"/>
        <v>35620</v>
      </c>
      <c r="B9654" s="2" t="str">
        <f>"07031"</f>
        <v>07031</v>
      </c>
      <c r="C9654" s="1">
        <v>8.2821819126453105E-4</v>
      </c>
      <c r="D9654" s="1">
        <v>5.0560025918149195E-4</v>
      </c>
      <c r="E9654" s="1">
        <v>6.2016533083636698E-4</v>
      </c>
      <c r="F9654" s="1">
        <v>7.8768913186344697E-4</v>
      </c>
    </row>
    <row r="9655" spans="1:6" x14ac:dyDescent="0.25">
      <c r="A9655" s="2" t="str">
        <f t="shared" si="341"/>
        <v>35620</v>
      </c>
      <c r="B9655" s="2" t="str">
        <f>"07023"</f>
        <v>07023</v>
      </c>
      <c r="C9655" s="1">
        <v>3.8804454537390298E-4</v>
      </c>
      <c r="D9655" s="1">
        <v>4.0128952609793099E-4</v>
      </c>
      <c r="E9655" s="1">
        <v>1.11804454009936E-4</v>
      </c>
      <c r="F9655" s="1">
        <v>3.7241229160030897E-4</v>
      </c>
    </row>
    <row r="9656" spans="1:6" x14ac:dyDescent="0.25">
      <c r="A9656" s="2" t="str">
        <f t="shared" si="341"/>
        <v>35620</v>
      </c>
      <c r="B9656" s="2" t="str">
        <f>"07024"</f>
        <v>07024</v>
      </c>
      <c r="C9656" s="1">
        <v>2.60807239649667E-3</v>
      </c>
      <c r="D9656" s="1">
        <v>2.7673023894520901E-3</v>
      </c>
      <c r="E9656" s="1">
        <v>1.8342918236005201E-3</v>
      </c>
      <c r="F9656" s="1">
        <v>2.5748437300730201E-3</v>
      </c>
    </row>
    <row r="9657" spans="1:6" x14ac:dyDescent="0.25">
      <c r="A9657" s="2" t="str">
        <f t="shared" si="341"/>
        <v>35620</v>
      </c>
      <c r="B9657" s="2" t="str">
        <f>"07018"</f>
        <v>07018</v>
      </c>
      <c r="C9657" s="1">
        <v>1.5816640927664E-3</v>
      </c>
      <c r="D9657" s="1">
        <v>1.43948811655313E-3</v>
      </c>
      <c r="E9657" s="1">
        <v>1.7818834857833601E-3</v>
      </c>
      <c r="F9657" s="1">
        <v>1.58153208506957E-3</v>
      </c>
    </row>
    <row r="9658" spans="1:6" x14ac:dyDescent="0.25">
      <c r="A9658" s="2" t="str">
        <f t="shared" si="341"/>
        <v>35620</v>
      </c>
      <c r="B9658" s="2" t="str">
        <f>"07017"</f>
        <v>07017</v>
      </c>
      <c r="C9658" s="1">
        <v>1.9730677925888802E-3</v>
      </c>
      <c r="D9658" s="1">
        <v>8.3448586466848204E-4</v>
      </c>
      <c r="E9658" s="1">
        <v>1.7766426520016399E-3</v>
      </c>
      <c r="F9658" s="1">
        <v>1.86269806020941E-3</v>
      </c>
    </row>
    <row r="9659" spans="1:6" x14ac:dyDescent="0.25">
      <c r="A9659" s="2" t="str">
        <f t="shared" si="341"/>
        <v>35620</v>
      </c>
      <c r="B9659" s="2" t="str">
        <f>"07004"</f>
        <v>07004</v>
      </c>
      <c r="C9659" s="1">
        <v>3.54453000888185E-4</v>
      </c>
      <c r="D9659" s="1">
        <v>2.7979820168296098E-3</v>
      </c>
      <c r="E9659" s="1">
        <v>6.6209200109009305E-4</v>
      </c>
      <c r="F9659" s="1">
        <v>5.8440082681894697E-4</v>
      </c>
    </row>
    <row r="9660" spans="1:6" x14ac:dyDescent="0.25">
      <c r="A9660" s="2" t="str">
        <f t="shared" ref="A9660:A9679" si="342">"29060"</f>
        <v>29060</v>
      </c>
      <c r="B9660" s="2" t="str">
        <f>"03289"</f>
        <v>03289</v>
      </c>
      <c r="C9660" s="1">
        <v>0</v>
      </c>
      <c r="D9660" s="1">
        <v>0</v>
      </c>
      <c r="E9660" s="1">
        <v>6.9589422407793998E-4</v>
      </c>
      <c r="F9660" s="1">
        <v>2.8124648441894401E-5</v>
      </c>
    </row>
    <row r="9661" spans="1:6" x14ac:dyDescent="0.25">
      <c r="A9661" s="2" t="str">
        <f t="shared" si="342"/>
        <v>29060</v>
      </c>
      <c r="B9661" s="2" t="str">
        <f>"03276"</f>
        <v>03276</v>
      </c>
      <c r="C9661" s="1">
        <v>5.2296398544359302E-2</v>
      </c>
      <c r="D9661" s="1">
        <v>0.14712438698172001</v>
      </c>
      <c r="E9661" s="1">
        <v>0.105775922059846</v>
      </c>
      <c r="F9661" s="1">
        <v>6.0439869501631202E-2</v>
      </c>
    </row>
    <row r="9662" spans="1:6" x14ac:dyDescent="0.25">
      <c r="A9662" s="2" t="str">
        <f t="shared" si="342"/>
        <v>29060</v>
      </c>
      <c r="B9662" s="2" t="str">
        <f>"03246"</f>
        <v>03246</v>
      </c>
      <c r="C9662" s="1">
        <v>0.31139415234031798</v>
      </c>
      <c r="D9662" s="1">
        <v>0.40213999108337001</v>
      </c>
      <c r="E9662" s="1">
        <v>0.55114822546972797</v>
      </c>
      <c r="F9662" s="1">
        <v>0.32680841489481299</v>
      </c>
    </row>
    <row r="9663" spans="1:6" x14ac:dyDescent="0.25">
      <c r="A9663" s="2" t="str">
        <f t="shared" si="342"/>
        <v>29060</v>
      </c>
      <c r="B9663" s="2" t="str">
        <f>"03225"</f>
        <v>03225</v>
      </c>
      <c r="C9663" s="1">
        <v>5.4115949303551202E-2</v>
      </c>
      <c r="D9663" s="1">
        <v>9.80829246544806E-3</v>
      </c>
      <c r="E9663" s="1">
        <v>4.8712595685455797E-3</v>
      </c>
      <c r="F9663" s="1">
        <v>4.9330633367082898E-2</v>
      </c>
    </row>
    <row r="9664" spans="1:6" x14ac:dyDescent="0.25">
      <c r="A9664" s="2" t="str">
        <f t="shared" si="342"/>
        <v>29060</v>
      </c>
      <c r="B9664" s="2" t="str">
        <f>"03253"</f>
        <v>03253</v>
      </c>
      <c r="C9664" s="1">
        <v>0.109549504329275</v>
      </c>
      <c r="D9664" s="1">
        <v>0.115470352206865</v>
      </c>
      <c r="E9664" s="1">
        <v>7.09812108559498E-2</v>
      </c>
      <c r="F9664" s="1">
        <v>0.108364270446619</v>
      </c>
    </row>
    <row r="9665" spans="1:6" x14ac:dyDescent="0.25">
      <c r="A9665" s="2" t="str">
        <f t="shared" si="342"/>
        <v>29060</v>
      </c>
      <c r="B9665" s="2" t="str">
        <f>"03226"</f>
        <v>03226</v>
      </c>
      <c r="C9665" s="1">
        <v>1.54034383235035E-2</v>
      </c>
      <c r="D9665" s="1">
        <v>6.6874721355327602E-3</v>
      </c>
      <c r="E9665" s="1">
        <v>3.4794711203897E-3</v>
      </c>
      <c r="F9665" s="1">
        <v>1.4371695353808001E-2</v>
      </c>
    </row>
    <row r="9666" spans="1:6" x14ac:dyDescent="0.25">
      <c r="A9666" s="2" t="str">
        <f t="shared" si="342"/>
        <v>29060</v>
      </c>
      <c r="B9666" s="2" t="str">
        <f>"03217"</f>
        <v>03217</v>
      </c>
      <c r="C9666" s="1">
        <v>2.5097251850922299E-4</v>
      </c>
      <c r="D9666" s="1">
        <v>0</v>
      </c>
      <c r="E9666" s="1">
        <v>0</v>
      </c>
      <c r="F9666" s="1">
        <v>2.2499718753515499E-4</v>
      </c>
    </row>
    <row r="9667" spans="1:6" x14ac:dyDescent="0.25">
      <c r="A9667" s="2" t="str">
        <f t="shared" si="342"/>
        <v>29060</v>
      </c>
      <c r="B9667" s="2" t="str">
        <f>"03809"</f>
        <v>03809</v>
      </c>
      <c r="C9667" s="1">
        <v>4.2759442841008903E-2</v>
      </c>
      <c r="D9667" s="1">
        <v>1.73874275523851E-2</v>
      </c>
      <c r="E9667" s="1">
        <v>1.6005567153792599E-2</v>
      </c>
      <c r="F9667" s="1">
        <v>4.0077624029699603E-2</v>
      </c>
    </row>
    <row r="9668" spans="1:6" x14ac:dyDescent="0.25">
      <c r="A9668" s="2" t="str">
        <f t="shared" si="342"/>
        <v>29060</v>
      </c>
      <c r="B9668" s="2" t="str">
        <f>"03299"</f>
        <v>03299</v>
      </c>
      <c r="C9668" s="1">
        <v>0</v>
      </c>
      <c r="D9668" s="1">
        <v>4.4583147570218402E-4</v>
      </c>
      <c r="E9668" s="1">
        <v>0</v>
      </c>
      <c r="F9668" s="1">
        <v>2.8124648441894401E-5</v>
      </c>
    </row>
    <row r="9669" spans="1:6" x14ac:dyDescent="0.25">
      <c r="A9669" s="2" t="str">
        <f t="shared" si="342"/>
        <v>29060</v>
      </c>
      <c r="B9669" s="2" t="str">
        <f>"03254"</f>
        <v>03254</v>
      </c>
      <c r="C9669" s="1">
        <v>1.56857824068264E-4</v>
      </c>
      <c r="D9669" s="1">
        <v>0</v>
      </c>
      <c r="E9669" s="1">
        <v>0</v>
      </c>
      <c r="F9669" s="1">
        <v>1.40623242209472E-4</v>
      </c>
    </row>
    <row r="9670" spans="1:6" x14ac:dyDescent="0.25">
      <c r="A9670" s="2" t="str">
        <f t="shared" si="342"/>
        <v>29060</v>
      </c>
      <c r="B9670" s="2" t="str">
        <f>"03252"</f>
        <v>03252</v>
      </c>
      <c r="C9670" s="1">
        <v>0</v>
      </c>
      <c r="D9670" s="1">
        <v>0</v>
      </c>
      <c r="E9670" s="1">
        <v>6.9589422407793998E-4</v>
      </c>
      <c r="F9670" s="1">
        <v>2.8124648441894401E-5</v>
      </c>
    </row>
    <row r="9671" spans="1:6" x14ac:dyDescent="0.25">
      <c r="A9671" s="2" t="str">
        <f t="shared" si="342"/>
        <v>29060</v>
      </c>
      <c r="B9671" s="2" t="str">
        <f>"03220"</f>
        <v>03220</v>
      </c>
      <c r="C9671" s="1">
        <v>0.100169406449993</v>
      </c>
      <c r="D9671" s="1">
        <v>9.4070441373160896E-2</v>
      </c>
      <c r="E9671" s="1">
        <v>0.105775922059846</v>
      </c>
      <c r="F9671" s="1">
        <v>0.100011249859376</v>
      </c>
    </row>
    <row r="9672" spans="1:6" x14ac:dyDescent="0.25">
      <c r="A9672" s="2" t="str">
        <f t="shared" si="342"/>
        <v>29060</v>
      </c>
      <c r="B9672" s="2" t="str">
        <f>"03249"</f>
        <v>03249</v>
      </c>
      <c r="C9672" s="1">
        <v>0.14261513364286599</v>
      </c>
      <c r="D9672" s="1">
        <v>0.15960766830138201</v>
      </c>
      <c r="E9672" s="1">
        <v>0.108559498956158</v>
      </c>
      <c r="F9672" s="1">
        <v>0.142310721115986</v>
      </c>
    </row>
    <row r="9673" spans="1:6" x14ac:dyDescent="0.25">
      <c r="A9673" s="2" t="str">
        <f t="shared" si="342"/>
        <v>29060</v>
      </c>
      <c r="B9673" s="2" t="str">
        <f>"03237"</f>
        <v>03237</v>
      </c>
      <c r="C9673" s="1">
        <v>3.1622537332162103E-2</v>
      </c>
      <c r="D9673" s="1">
        <v>4.90414623272403E-3</v>
      </c>
      <c r="E9673" s="1">
        <v>7.6548364648573401E-3</v>
      </c>
      <c r="F9673" s="1">
        <v>2.8968387895151299E-2</v>
      </c>
    </row>
    <row r="9674" spans="1:6" x14ac:dyDescent="0.25">
      <c r="A9674" s="2" t="str">
        <f t="shared" si="342"/>
        <v>29060</v>
      </c>
      <c r="B9674" s="2" t="str">
        <f>"03269"</f>
        <v>03269</v>
      </c>
      <c r="C9674" s="1">
        <v>4.30417869243317E-2</v>
      </c>
      <c r="D9674" s="1">
        <v>1.1591618368256699E-2</v>
      </c>
      <c r="E9674" s="1">
        <v>5.5671537926235198E-3</v>
      </c>
      <c r="F9674" s="1">
        <v>3.9543255709303601E-2</v>
      </c>
    </row>
    <row r="9675" spans="1:6" x14ac:dyDescent="0.25">
      <c r="A9675" s="2" t="str">
        <f t="shared" si="342"/>
        <v>29060</v>
      </c>
      <c r="B9675" s="2" t="str">
        <f>"03245"</f>
        <v>03245</v>
      </c>
      <c r="C9675" s="1">
        <v>3.1371564813652901E-5</v>
      </c>
      <c r="D9675" s="1">
        <v>0</v>
      </c>
      <c r="E9675" s="1">
        <v>0</v>
      </c>
      <c r="F9675" s="1">
        <v>2.8124648441894401E-5</v>
      </c>
    </row>
    <row r="9676" spans="1:6" x14ac:dyDescent="0.25">
      <c r="A9676" s="2" t="str">
        <f t="shared" si="342"/>
        <v>29060</v>
      </c>
      <c r="B9676" s="2" t="str">
        <f>"03810"</f>
        <v>03810</v>
      </c>
      <c r="C9676" s="1">
        <v>3.5355753544986802E-2</v>
      </c>
      <c r="D9676" s="1">
        <v>3.56665180561747E-3</v>
      </c>
      <c r="E9676" s="1">
        <v>3.4794711203897E-3</v>
      </c>
      <c r="F9676" s="1">
        <v>3.2062099223759702E-2</v>
      </c>
    </row>
    <row r="9677" spans="1:6" x14ac:dyDescent="0.25">
      <c r="A9677" s="2" t="str">
        <f t="shared" si="342"/>
        <v>29060</v>
      </c>
      <c r="B9677" s="2" t="str">
        <f>"03218"</f>
        <v>03218</v>
      </c>
      <c r="C9677" s="1">
        <v>1.43054335550257E-2</v>
      </c>
      <c r="D9677" s="1">
        <v>4.90414623272403E-3</v>
      </c>
      <c r="E9677" s="1">
        <v>3.4794711203897E-3</v>
      </c>
      <c r="F9677" s="1">
        <v>1.3274834064574101E-2</v>
      </c>
    </row>
    <row r="9678" spans="1:6" x14ac:dyDescent="0.25">
      <c r="A9678" s="2" t="str">
        <f t="shared" si="342"/>
        <v>29060</v>
      </c>
      <c r="B9678" s="2" t="str">
        <f>"03837"</f>
        <v>03837</v>
      </c>
      <c r="C9678" s="1">
        <v>1.8383736980800602E-2</v>
      </c>
      <c r="D9678" s="1">
        <v>4.90414623272403E-3</v>
      </c>
      <c r="E9678" s="1">
        <v>2.0876826722338198E-3</v>
      </c>
      <c r="F9678" s="1">
        <v>1.6874789065136599E-2</v>
      </c>
    </row>
    <row r="9679" spans="1:6" x14ac:dyDescent="0.25">
      <c r="A9679" s="2" t="str">
        <f t="shared" si="342"/>
        <v>29060</v>
      </c>
      <c r="B9679" s="2" t="str">
        <f>"03256"</f>
        <v>03256</v>
      </c>
      <c r="C9679" s="1">
        <v>2.8548123980424101E-2</v>
      </c>
      <c r="D9679" s="1">
        <v>1.73874275523851E-2</v>
      </c>
      <c r="E9679" s="1">
        <v>9.7425191370911594E-3</v>
      </c>
      <c r="F9679" s="1">
        <v>2.70840364495443E-2</v>
      </c>
    </row>
    <row r="9680" spans="1:6" x14ac:dyDescent="0.25">
      <c r="A9680" s="2" t="str">
        <f t="shared" ref="A9680:A9743" si="343">"12060"</f>
        <v>12060</v>
      </c>
      <c r="B9680" s="2" t="str">
        <f>"31169"</f>
        <v>31169</v>
      </c>
      <c r="C9680" s="1">
        <v>0</v>
      </c>
      <c r="D9680" s="1">
        <v>3.5218336074493801E-6</v>
      </c>
      <c r="E9680" s="1">
        <v>0</v>
      </c>
      <c r="F9680" s="1">
        <v>3.3270861745262897E-7</v>
      </c>
    </row>
    <row r="9681" spans="1:6" x14ac:dyDescent="0.25">
      <c r="A9681" s="2" t="str">
        <f t="shared" si="343"/>
        <v>12060</v>
      </c>
      <c r="B9681" s="2" t="str">
        <f>"31150"</f>
        <v>31150</v>
      </c>
      <c r="C9681" s="1">
        <v>5.2469849611542303E-4</v>
      </c>
      <c r="D9681" s="1">
        <v>7.5015055838671804E-4</v>
      </c>
      <c r="E9681" s="1">
        <v>1.49628920277711E-5</v>
      </c>
      <c r="F9681" s="1">
        <v>5.3466274824637598E-4</v>
      </c>
    </row>
    <row r="9682" spans="1:6" x14ac:dyDescent="0.25">
      <c r="A9682" s="2" t="str">
        <f t="shared" si="343"/>
        <v>12060</v>
      </c>
      <c r="B9682" s="2" t="str">
        <f>"31085"</f>
        <v>31085</v>
      </c>
      <c r="C9682" s="1">
        <v>1.5594054371269501E-4</v>
      </c>
      <c r="D9682" s="1">
        <v>6.3393004934088803E-5</v>
      </c>
      <c r="E9682" s="1">
        <v>0</v>
      </c>
      <c r="F9682" s="1">
        <v>1.4373012273953599E-4</v>
      </c>
    </row>
    <row r="9683" spans="1:6" x14ac:dyDescent="0.25">
      <c r="A9683" s="2" t="str">
        <f t="shared" si="343"/>
        <v>12060</v>
      </c>
      <c r="B9683" s="2" t="str">
        <f>"30663"</f>
        <v>30663</v>
      </c>
      <c r="C9683" s="1">
        <v>5.01721749336499E-4</v>
      </c>
      <c r="D9683" s="1">
        <v>2.50050186128906E-4</v>
      </c>
      <c r="E9683" s="1">
        <v>2.9925784055542202E-4</v>
      </c>
      <c r="F9683" s="1">
        <v>4.7344436263509199E-4</v>
      </c>
    </row>
    <row r="9684" spans="1:6" x14ac:dyDescent="0.25">
      <c r="A9684" s="2" t="str">
        <f t="shared" si="343"/>
        <v>12060</v>
      </c>
      <c r="B9684" s="2" t="str">
        <f>"30334"</f>
        <v>30334</v>
      </c>
      <c r="C9684" s="1">
        <v>1.50667191992942E-6</v>
      </c>
      <c r="D9684" s="1">
        <v>3.99728114445504E-3</v>
      </c>
      <c r="E9684" s="1">
        <v>9.5762508977735204E-4</v>
      </c>
      <c r="F9684" s="1">
        <v>4.0024846679551302E-4</v>
      </c>
    </row>
    <row r="9685" spans="1:6" x14ac:dyDescent="0.25">
      <c r="A9685" s="2" t="str">
        <f t="shared" si="343"/>
        <v>12060</v>
      </c>
      <c r="B9685" s="2" t="str">
        <f>"30388"</f>
        <v>30388</v>
      </c>
      <c r="C9685" s="1">
        <v>0</v>
      </c>
      <c r="D9685" s="1">
        <v>0</v>
      </c>
      <c r="E9685" s="1">
        <v>1.49628920277711E-5</v>
      </c>
      <c r="F9685" s="1">
        <v>3.3270861745262897E-7</v>
      </c>
    </row>
    <row r="9686" spans="1:6" x14ac:dyDescent="0.25">
      <c r="A9686" s="2" t="str">
        <f t="shared" si="343"/>
        <v>12060</v>
      </c>
      <c r="B9686" s="2" t="str">
        <f>"30366"</f>
        <v>30366</v>
      </c>
      <c r="C9686" s="1">
        <v>4.5652159173861599E-4</v>
      </c>
      <c r="D9686" s="1">
        <v>1.4650827806989401E-3</v>
      </c>
      <c r="E9686" s="1">
        <v>1.49628920277711E-5</v>
      </c>
      <c r="F9686" s="1">
        <v>5.4198233783033303E-4</v>
      </c>
    </row>
    <row r="9687" spans="1:6" x14ac:dyDescent="0.25">
      <c r="A9687" s="2" t="str">
        <f t="shared" si="343"/>
        <v>12060</v>
      </c>
      <c r="B9687" s="2" t="str">
        <f>"30322"</f>
        <v>30322</v>
      </c>
      <c r="C9687" s="1">
        <v>0</v>
      </c>
      <c r="D9687" s="1">
        <v>2.4300651891400699E-4</v>
      </c>
      <c r="E9687" s="1">
        <v>0</v>
      </c>
      <c r="F9687" s="1">
        <v>2.2956894604231401E-5</v>
      </c>
    </row>
    <row r="9688" spans="1:6" x14ac:dyDescent="0.25">
      <c r="A9688" s="2" t="str">
        <f t="shared" si="343"/>
        <v>12060</v>
      </c>
      <c r="B9688" s="2" t="str">
        <f>"30318"</f>
        <v>30318</v>
      </c>
      <c r="C9688" s="1">
        <v>1.1367462967887499E-2</v>
      </c>
      <c r="D9688" s="1">
        <v>1.25201184744825E-2</v>
      </c>
      <c r="E9688" s="1">
        <v>1.8793392386880499E-2</v>
      </c>
      <c r="F9688" s="1">
        <v>1.1641474524667499E-2</v>
      </c>
    </row>
    <row r="9689" spans="1:6" x14ac:dyDescent="0.25">
      <c r="A9689" s="2" t="str">
        <f t="shared" si="343"/>
        <v>12060</v>
      </c>
      <c r="B9689" s="2" t="str">
        <f>"30297"</f>
        <v>30297</v>
      </c>
      <c r="C9689" s="1">
        <v>4.1437244477859E-3</v>
      </c>
      <c r="D9689" s="1">
        <v>7.6247697601279103E-3</v>
      </c>
      <c r="E9689" s="1">
        <v>5.0125688293033198E-3</v>
      </c>
      <c r="F9689" s="1">
        <v>4.49189904422795E-3</v>
      </c>
    </row>
    <row r="9690" spans="1:6" x14ac:dyDescent="0.25">
      <c r="A9690" s="2" t="str">
        <f t="shared" si="343"/>
        <v>12060</v>
      </c>
      <c r="B9690" s="2" t="str">
        <f>"30296"</f>
        <v>30296</v>
      </c>
      <c r="C9690" s="1">
        <v>4.6292494739831602E-3</v>
      </c>
      <c r="D9690" s="1">
        <v>2.0180106570684901E-3</v>
      </c>
      <c r="E9690" s="1">
        <v>3.8903519272204902E-4</v>
      </c>
      <c r="F9690" s="1">
        <v>4.2882813703469403E-3</v>
      </c>
    </row>
    <row r="9691" spans="1:6" x14ac:dyDescent="0.25">
      <c r="A9691" s="2" t="str">
        <f t="shared" si="343"/>
        <v>12060</v>
      </c>
      <c r="B9691" s="2" t="str">
        <f>"30273"</f>
        <v>30273</v>
      </c>
      <c r="C9691" s="1">
        <v>2.7500529218511798E-3</v>
      </c>
      <c r="D9691" s="1">
        <v>1.3699932732978001E-3</v>
      </c>
      <c r="E9691" s="1">
        <v>4.48886760833133E-4</v>
      </c>
      <c r="F9691" s="1">
        <v>2.5685105267342998E-3</v>
      </c>
    </row>
    <row r="9692" spans="1:6" x14ac:dyDescent="0.25">
      <c r="A9692" s="2" t="str">
        <f t="shared" si="343"/>
        <v>12060</v>
      </c>
      <c r="B9692" s="2" t="str">
        <f>"30269"</f>
        <v>30269</v>
      </c>
      <c r="C9692" s="1">
        <v>6.17283485595086E-3</v>
      </c>
      <c r="D9692" s="1">
        <v>8.5791866677466903E-3</v>
      </c>
      <c r="E9692" s="1">
        <v>4.2045726598036797E-3</v>
      </c>
      <c r="F9692" s="1">
        <v>6.3563981364324904E-3</v>
      </c>
    </row>
    <row r="9693" spans="1:6" x14ac:dyDescent="0.25">
      <c r="A9693" s="2" t="str">
        <f t="shared" si="343"/>
        <v>12060</v>
      </c>
      <c r="B9693" s="2" t="str">
        <f>"30265"</f>
        <v>30265</v>
      </c>
      <c r="C9693" s="1">
        <v>5.3144085295710698E-3</v>
      </c>
      <c r="D9693" s="1">
        <v>4.0747614838189299E-3</v>
      </c>
      <c r="E9693" s="1">
        <v>3.0225041896097598E-3</v>
      </c>
      <c r="F9693" s="1">
        <v>5.1463368947572696E-3</v>
      </c>
    </row>
    <row r="9694" spans="1:6" x14ac:dyDescent="0.25">
      <c r="A9694" s="2" t="str">
        <f t="shared" si="343"/>
        <v>12060</v>
      </c>
      <c r="B9694" s="2" t="str">
        <f>"30220"</f>
        <v>30220</v>
      </c>
      <c r="C9694" s="1">
        <v>8.4260627122053201E-4</v>
      </c>
      <c r="D9694" s="1">
        <v>1.6552617955012001E-4</v>
      </c>
      <c r="E9694" s="1">
        <v>5.9851568111084502E-5</v>
      </c>
      <c r="F9694" s="1">
        <v>7.6123731673161598E-4</v>
      </c>
    </row>
    <row r="9695" spans="1:6" x14ac:dyDescent="0.25">
      <c r="A9695" s="2" t="str">
        <f t="shared" si="343"/>
        <v>12060</v>
      </c>
      <c r="B9695" s="2" t="str">
        <f>"30212"</f>
        <v>30212</v>
      </c>
      <c r="C9695" s="1">
        <v>4.10944766160751E-4</v>
      </c>
      <c r="D9695" s="1">
        <v>2.28919184484209E-4</v>
      </c>
      <c r="E9695" s="1">
        <v>2.99257840555422E-5</v>
      </c>
      <c r="F9695" s="1">
        <v>3.8527657901014499E-4</v>
      </c>
    </row>
    <row r="9696" spans="1:6" x14ac:dyDescent="0.25">
      <c r="A9696" s="2" t="str">
        <f t="shared" si="343"/>
        <v>12060</v>
      </c>
      <c r="B9696" s="2" t="str">
        <f>"30206"</f>
        <v>30206</v>
      </c>
      <c r="C9696" s="1">
        <v>4.3881819667944497E-4</v>
      </c>
      <c r="D9696" s="1">
        <v>9.8611341008582695E-5</v>
      </c>
      <c r="E9696" s="1">
        <v>7.4814460138855599E-5</v>
      </c>
      <c r="F9696" s="1">
        <v>3.9858492370824998E-4</v>
      </c>
    </row>
    <row r="9697" spans="1:6" x14ac:dyDescent="0.25">
      <c r="A9697" s="2" t="str">
        <f t="shared" si="343"/>
        <v>12060</v>
      </c>
      <c r="B9697" s="2" t="str">
        <f>"30205"</f>
        <v>30205</v>
      </c>
      <c r="C9697" s="1">
        <v>5.1490512863588099E-4</v>
      </c>
      <c r="D9697" s="1">
        <v>2.0778818283951299E-4</v>
      </c>
      <c r="E9697" s="1">
        <v>7.4814460138855599E-5</v>
      </c>
      <c r="F9697" s="1">
        <v>4.7610603157471302E-4</v>
      </c>
    </row>
    <row r="9698" spans="1:6" x14ac:dyDescent="0.25">
      <c r="A9698" s="2" t="str">
        <f t="shared" si="343"/>
        <v>12060</v>
      </c>
      <c r="B9698" s="2" t="str">
        <f>"30177"</f>
        <v>30177</v>
      </c>
      <c r="C9698" s="1">
        <v>3.3485783420431498E-4</v>
      </c>
      <c r="D9698" s="1">
        <v>2.6765935416615301E-4</v>
      </c>
      <c r="E9698" s="1">
        <v>1.9451759636102399E-4</v>
      </c>
      <c r="F9698" s="1">
        <v>3.2538902786867101E-4</v>
      </c>
    </row>
    <row r="9699" spans="1:6" x14ac:dyDescent="0.25">
      <c r="A9699" s="2" t="str">
        <f t="shared" si="343"/>
        <v>12060</v>
      </c>
      <c r="B9699" s="2" t="str">
        <f>"30175"</f>
        <v>30175</v>
      </c>
      <c r="C9699" s="1">
        <v>1.0226535656520899E-3</v>
      </c>
      <c r="D9699" s="1">
        <v>2.4300651891400699E-4</v>
      </c>
      <c r="E9699" s="1">
        <v>4.3392386880536198E-4</v>
      </c>
      <c r="F9699" s="1">
        <v>9.3590934089424704E-4</v>
      </c>
    </row>
    <row r="9700" spans="1:6" x14ac:dyDescent="0.25">
      <c r="A9700" s="2" t="str">
        <f t="shared" si="343"/>
        <v>12060</v>
      </c>
      <c r="B9700" s="2" t="str">
        <f>"30187"</f>
        <v>30187</v>
      </c>
      <c r="C9700" s="1">
        <v>1.59066887946549E-3</v>
      </c>
      <c r="D9700" s="1">
        <v>1.0706374166646101E-3</v>
      </c>
      <c r="E9700" s="1">
        <v>3.74072300694278E-4</v>
      </c>
      <c r="F9700" s="1">
        <v>1.51448962664437E-3</v>
      </c>
    </row>
    <row r="9701" spans="1:6" x14ac:dyDescent="0.25">
      <c r="A9701" s="2" t="str">
        <f t="shared" si="343"/>
        <v>12060</v>
      </c>
      <c r="B9701" s="2" t="str">
        <f>"30154"</f>
        <v>30154</v>
      </c>
      <c r="C9701" s="1">
        <v>3.0208771994584999E-4</v>
      </c>
      <c r="D9701" s="1">
        <v>1.6306089602490599E-3</v>
      </c>
      <c r="E9701" s="1">
        <v>1.49628920277711E-5</v>
      </c>
      <c r="F9701" s="1">
        <v>4.2120910969502902E-4</v>
      </c>
    </row>
    <row r="9702" spans="1:6" x14ac:dyDescent="0.25">
      <c r="A9702" s="2" t="str">
        <f t="shared" si="343"/>
        <v>12060</v>
      </c>
      <c r="B9702" s="2" t="str">
        <f>"30146"</f>
        <v>30146</v>
      </c>
      <c r="C9702" s="1">
        <v>1.8795732201119599E-4</v>
      </c>
      <c r="D9702" s="1">
        <v>5.5292787636955303E-4</v>
      </c>
      <c r="E9702" s="1">
        <v>2.99257840555422E-5</v>
      </c>
      <c r="F9702" s="1">
        <v>2.1892227028382999E-4</v>
      </c>
    </row>
    <row r="9703" spans="1:6" x14ac:dyDescent="0.25">
      <c r="A9703" s="2" t="str">
        <f t="shared" si="343"/>
        <v>12060</v>
      </c>
      <c r="B9703" s="2" t="str">
        <f>"30160"</f>
        <v>30160</v>
      </c>
      <c r="C9703" s="1">
        <v>2.2524745202944901E-4</v>
      </c>
      <c r="D9703" s="1">
        <v>5.91668046051496E-4</v>
      </c>
      <c r="E9703" s="1">
        <v>1.49628920277711E-5</v>
      </c>
      <c r="F9703" s="1">
        <v>2.5518750958616697E-4</v>
      </c>
    </row>
    <row r="9704" spans="1:6" x14ac:dyDescent="0.25">
      <c r="A9704" s="2" t="str">
        <f t="shared" si="343"/>
        <v>12060</v>
      </c>
      <c r="B9704" s="2" t="str">
        <f>"30168"</f>
        <v>30168</v>
      </c>
      <c r="C9704" s="1">
        <v>4.5520325380867801E-3</v>
      </c>
      <c r="D9704" s="1">
        <v>4.1064579862859704E-3</v>
      </c>
      <c r="E9704" s="1">
        <v>6.9876705769691102E-3</v>
      </c>
      <c r="F9704" s="1">
        <v>4.5640968142151702E-3</v>
      </c>
    </row>
    <row r="9705" spans="1:6" x14ac:dyDescent="0.25">
      <c r="A9705" s="2" t="str">
        <f t="shared" si="343"/>
        <v>12060</v>
      </c>
      <c r="B9705" s="2" t="str">
        <f>"30142"</f>
        <v>30142</v>
      </c>
      <c r="C9705" s="1">
        <v>3.03217723885797E-4</v>
      </c>
      <c r="D9705" s="1">
        <v>1.2819474331115699E-3</v>
      </c>
      <c r="E9705" s="1">
        <v>4.4888676083313297E-5</v>
      </c>
      <c r="F9705" s="1">
        <v>3.89934499654482E-4</v>
      </c>
    </row>
    <row r="9706" spans="1:6" x14ac:dyDescent="0.25">
      <c r="A9706" s="2" t="str">
        <f t="shared" si="343"/>
        <v>12060</v>
      </c>
      <c r="B9706" s="2" t="str">
        <f>"30071"</f>
        <v>30071</v>
      </c>
      <c r="C9706" s="1">
        <v>3.1869877786307199E-3</v>
      </c>
      <c r="D9706" s="1">
        <v>1.19073194267863E-2</v>
      </c>
      <c r="E9706" s="1">
        <v>1.2853124251855299E-2</v>
      </c>
      <c r="F9706" s="1">
        <v>4.2257321502658504E-3</v>
      </c>
    </row>
    <row r="9707" spans="1:6" x14ac:dyDescent="0.25">
      <c r="A9707" s="2" t="str">
        <f t="shared" si="343"/>
        <v>12060</v>
      </c>
      <c r="B9707" s="2" t="str">
        <f>"30068"</f>
        <v>30068</v>
      </c>
      <c r="C9707" s="1">
        <v>5.6372129884159497E-3</v>
      </c>
      <c r="D9707" s="1">
        <v>4.9340888840365797E-3</v>
      </c>
      <c r="E9707" s="1">
        <v>2.51376586066554E-3</v>
      </c>
      <c r="F9707" s="1">
        <v>5.5013369895792301E-3</v>
      </c>
    </row>
    <row r="9708" spans="1:6" x14ac:dyDescent="0.25">
      <c r="A9708" s="2" t="str">
        <f t="shared" si="343"/>
        <v>12060</v>
      </c>
      <c r="B9708" s="2" t="str">
        <f>"30065"</f>
        <v>30065</v>
      </c>
      <c r="C9708" s="1">
        <v>4.5501491981868699E-4</v>
      </c>
      <c r="D9708" s="1">
        <v>1.1058557527391E-3</v>
      </c>
      <c r="E9708" s="1">
        <v>1.49628920277711E-5</v>
      </c>
      <c r="F9708" s="1">
        <v>5.0671522438035504E-4</v>
      </c>
    </row>
    <row r="9709" spans="1:6" x14ac:dyDescent="0.25">
      <c r="A9709" s="2" t="str">
        <f t="shared" si="343"/>
        <v>12060</v>
      </c>
      <c r="B9709" s="2" t="str">
        <f>"30084"</f>
        <v>30084</v>
      </c>
      <c r="C9709" s="1">
        <v>6.1404414096723802E-3</v>
      </c>
      <c r="D9709" s="1">
        <v>1.0128793455024401E-2</v>
      </c>
      <c r="E9709" s="1">
        <v>1.2957864496049701E-2</v>
      </c>
      <c r="F9709" s="1">
        <v>6.6688115282205101E-3</v>
      </c>
    </row>
    <row r="9710" spans="1:6" x14ac:dyDescent="0.25">
      <c r="A9710" s="2" t="str">
        <f t="shared" si="343"/>
        <v>12060</v>
      </c>
      <c r="B9710" s="2" t="str">
        <f>"30082"</f>
        <v>30082</v>
      </c>
      <c r="C9710" s="1">
        <v>4.6390428414627002E-3</v>
      </c>
      <c r="D9710" s="1">
        <v>2.3244101809165901E-3</v>
      </c>
      <c r="E9710" s="1">
        <v>4.2045726598036797E-3</v>
      </c>
      <c r="F9710" s="1">
        <v>4.4107181415695097E-3</v>
      </c>
    </row>
    <row r="9711" spans="1:6" x14ac:dyDescent="0.25">
      <c r="A9711" s="2" t="str">
        <f t="shared" si="343"/>
        <v>12060</v>
      </c>
      <c r="B9711" s="2" t="str">
        <f>"30094"</f>
        <v>30094</v>
      </c>
      <c r="C9711" s="1">
        <v>4.8126867802345697E-3</v>
      </c>
      <c r="D9711" s="1">
        <v>2.6061568695125402E-3</v>
      </c>
      <c r="E9711" s="1">
        <v>2.3491740483600602E-3</v>
      </c>
      <c r="F9711" s="1">
        <v>4.5494576350472498E-3</v>
      </c>
    </row>
    <row r="9712" spans="1:6" x14ac:dyDescent="0.25">
      <c r="A9712" s="2" t="str">
        <f t="shared" si="343"/>
        <v>12060</v>
      </c>
      <c r="B9712" s="2" t="str">
        <f>"30056"</f>
        <v>30056</v>
      </c>
      <c r="C9712" s="1">
        <v>4.23751477480151E-4</v>
      </c>
      <c r="D9712" s="1">
        <v>9.8611341008582695E-5</v>
      </c>
      <c r="E9712" s="1">
        <v>3.8903519272204902E-4</v>
      </c>
      <c r="F9712" s="1">
        <v>3.9226345997664998E-4</v>
      </c>
    </row>
    <row r="9713" spans="1:6" x14ac:dyDescent="0.25">
      <c r="A9713" s="2" t="str">
        <f t="shared" si="343"/>
        <v>12060</v>
      </c>
      <c r="B9713" s="2" t="str">
        <f>"30015"</f>
        <v>30015</v>
      </c>
      <c r="C9713" s="1">
        <v>5.2695850399531695E-4</v>
      </c>
      <c r="D9713" s="1">
        <v>1.7221766340427399E-3</v>
      </c>
      <c r="E9713" s="1">
        <v>1.49628920277711E-5</v>
      </c>
      <c r="F9713" s="1">
        <v>6.2848657836801704E-4</v>
      </c>
    </row>
    <row r="9714" spans="1:6" x14ac:dyDescent="0.25">
      <c r="A9714" s="2" t="str">
        <f t="shared" si="343"/>
        <v>12060</v>
      </c>
      <c r="B9714" s="2" t="str">
        <f>"30011"</f>
        <v>30011</v>
      </c>
      <c r="C9714" s="1">
        <v>2.8415832409869001E-3</v>
      </c>
      <c r="D9714" s="1">
        <v>1.3453404380456601E-3</v>
      </c>
      <c r="E9714" s="1">
        <v>2.3790998324156E-3</v>
      </c>
      <c r="F9714" s="1">
        <v>2.68994917210451E-3</v>
      </c>
    </row>
    <row r="9715" spans="1:6" x14ac:dyDescent="0.25">
      <c r="A9715" s="2" t="str">
        <f t="shared" si="343"/>
        <v>12060</v>
      </c>
      <c r="B9715" s="2" t="str">
        <f>"30041"</f>
        <v>30041</v>
      </c>
      <c r="C9715" s="1">
        <v>1.01534620684044E-2</v>
      </c>
      <c r="D9715" s="1">
        <v>7.0014052116093703E-3</v>
      </c>
      <c r="E9715" s="1">
        <v>4.8180512329423003E-3</v>
      </c>
      <c r="F9715" s="1">
        <v>9.7370503983686598E-3</v>
      </c>
    </row>
    <row r="9716" spans="1:6" x14ac:dyDescent="0.25">
      <c r="A9716" s="2" t="str">
        <f t="shared" si="343"/>
        <v>12060</v>
      </c>
      <c r="B9716" s="2" t="str">
        <f>"30035"</f>
        <v>30035</v>
      </c>
      <c r="C9716" s="1">
        <v>3.4868154906966698E-3</v>
      </c>
      <c r="D9716" s="1">
        <v>3.8458422993347201E-3</v>
      </c>
      <c r="E9716" s="1">
        <v>3.78561168302609E-3</v>
      </c>
      <c r="F9716" s="1">
        <v>3.52737676223278E-3</v>
      </c>
    </row>
    <row r="9717" spans="1:6" x14ac:dyDescent="0.25">
      <c r="A9717" s="2" t="str">
        <f t="shared" si="343"/>
        <v>12060</v>
      </c>
      <c r="B9717" s="2" t="str">
        <f>"30034"</f>
        <v>30034</v>
      </c>
      <c r="C9717" s="1">
        <v>7.1868250580633597E-3</v>
      </c>
      <c r="D9717" s="1">
        <v>3.8740169681943199E-3</v>
      </c>
      <c r="E9717" s="1">
        <v>9.2620301651903207E-3</v>
      </c>
      <c r="F9717" s="1">
        <v>6.9200065343972402E-3</v>
      </c>
    </row>
    <row r="9718" spans="1:6" x14ac:dyDescent="0.25">
      <c r="A9718" s="2" t="str">
        <f t="shared" si="343"/>
        <v>12060</v>
      </c>
      <c r="B9718" s="2" t="str">
        <f>"30024"</f>
        <v>30024</v>
      </c>
      <c r="C9718" s="1">
        <v>1.1945271649180401E-2</v>
      </c>
      <c r="D9718" s="1">
        <v>1.6693491299310002E-2</v>
      </c>
      <c r="E9718" s="1">
        <v>1.05787646636341E-2</v>
      </c>
      <c r="F9718" s="1">
        <v>1.23634522245397E-2</v>
      </c>
    </row>
    <row r="9719" spans="1:6" x14ac:dyDescent="0.25">
      <c r="A9719" s="2" t="str">
        <f t="shared" si="343"/>
        <v>12060</v>
      </c>
      <c r="B9719" s="2" t="str">
        <f>"31029"</f>
        <v>31029</v>
      </c>
      <c r="C9719" s="1">
        <v>0</v>
      </c>
      <c r="D9719" s="1">
        <v>3.5218336074493801E-6</v>
      </c>
      <c r="E9719" s="1">
        <v>0</v>
      </c>
      <c r="F9719" s="1">
        <v>3.3270861745262897E-7</v>
      </c>
    </row>
    <row r="9720" spans="1:6" x14ac:dyDescent="0.25">
      <c r="A9720" s="2" t="str">
        <f t="shared" si="343"/>
        <v>12060</v>
      </c>
      <c r="B9720" s="2" t="str">
        <f>"30641"</f>
        <v>30641</v>
      </c>
      <c r="C9720" s="1">
        <v>3.3824784602415602E-4</v>
      </c>
      <c r="D9720" s="1">
        <v>6.6914838541538198E-5</v>
      </c>
      <c r="E9720" s="1">
        <v>0</v>
      </c>
      <c r="F9720" s="1">
        <v>3.0509380220406098E-4</v>
      </c>
    </row>
    <row r="9721" spans="1:6" x14ac:dyDescent="0.25">
      <c r="A9721" s="2" t="str">
        <f t="shared" si="343"/>
        <v>12060</v>
      </c>
      <c r="B9721" s="2" t="str">
        <f>"30625"</f>
        <v>30625</v>
      </c>
      <c r="C9721" s="1">
        <v>4.2149146960025698E-4</v>
      </c>
      <c r="D9721" s="1">
        <v>8.8045840186234497E-5</v>
      </c>
      <c r="E9721" s="1">
        <v>1.49628920277711E-5</v>
      </c>
      <c r="F9721" s="1">
        <v>3.8095136698326098E-4</v>
      </c>
    </row>
    <row r="9722" spans="1:6" x14ac:dyDescent="0.25">
      <c r="A9722" s="2" t="str">
        <f t="shared" si="343"/>
        <v>12060</v>
      </c>
      <c r="B9722" s="2" t="str">
        <f>"30519"</f>
        <v>30519</v>
      </c>
      <c r="C9722" s="1">
        <v>6.6436698309288097E-3</v>
      </c>
      <c r="D9722" s="1">
        <v>3.69088162060695E-3</v>
      </c>
      <c r="E9722" s="1">
        <v>1.82547282738807E-3</v>
      </c>
      <c r="F9722" s="1">
        <v>6.2575836770490598E-3</v>
      </c>
    </row>
    <row r="9723" spans="1:6" x14ac:dyDescent="0.25">
      <c r="A9723" s="2" t="str">
        <f t="shared" si="343"/>
        <v>12060</v>
      </c>
      <c r="B9723" s="2" t="str">
        <f>"30517"</f>
        <v>30517</v>
      </c>
      <c r="C9723" s="1">
        <v>7.3525589692555995E-4</v>
      </c>
      <c r="D9723" s="1">
        <v>5.49406042762103E-4</v>
      </c>
      <c r="E9723" s="1">
        <v>2.8429494852765099E-4</v>
      </c>
      <c r="F9723" s="1">
        <v>7.0767122932174301E-4</v>
      </c>
    </row>
    <row r="9724" spans="1:6" x14ac:dyDescent="0.25">
      <c r="A9724" s="2" t="str">
        <f t="shared" si="343"/>
        <v>12060</v>
      </c>
      <c r="B9724" s="2" t="str">
        <f>"30536"</f>
        <v>30536</v>
      </c>
      <c r="C9724" s="1">
        <v>1.84567310191354E-5</v>
      </c>
      <c r="D9724" s="1">
        <v>7.0436672148987603E-6</v>
      </c>
      <c r="E9724" s="1">
        <v>0</v>
      </c>
      <c r="F9724" s="1">
        <v>1.6968139490084099E-5</v>
      </c>
    </row>
    <row r="9725" spans="1:6" x14ac:dyDescent="0.25">
      <c r="A9725" s="2" t="str">
        <f t="shared" si="343"/>
        <v>12060</v>
      </c>
      <c r="B9725" s="2" t="str">
        <f>"30338"</f>
        <v>30338</v>
      </c>
      <c r="C9725" s="1">
        <v>5.8978672305637402E-3</v>
      </c>
      <c r="D9725" s="1">
        <v>5.6595866071711496E-3</v>
      </c>
      <c r="E9725" s="1">
        <v>9.6660282499401399E-3</v>
      </c>
      <c r="F9725" s="1">
        <v>5.9591440471940503E-3</v>
      </c>
    </row>
    <row r="9726" spans="1:6" x14ac:dyDescent="0.25">
      <c r="A9726" s="2" t="str">
        <f t="shared" si="343"/>
        <v>12060</v>
      </c>
      <c r="B9726" s="2" t="str">
        <f>"30385"</f>
        <v>30385</v>
      </c>
      <c r="C9726" s="1">
        <v>0</v>
      </c>
      <c r="D9726" s="1">
        <v>0</v>
      </c>
      <c r="E9726" s="1">
        <v>1.49628920277711E-5</v>
      </c>
      <c r="F9726" s="1">
        <v>3.3270861745262897E-7</v>
      </c>
    </row>
    <row r="9727" spans="1:6" x14ac:dyDescent="0.25">
      <c r="A9727" s="2" t="str">
        <f t="shared" si="343"/>
        <v>12060</v>
      </c>
      <c r="B9727" s="2" t="str">
        <f>"30377"</f>
        <v>30377</v>
      </c>
      <c r="C9727" s="1">
        <v>4.2488148142009801E-4</v>
      </c>
      <c r="D9727" s="1">
        <v>1.0037225781230699E-3</v>
      </c>
      <c r="E9727" s="1">
        <v>1.49628920277711E-5</v>
      </c>
      <c r="F9727" s="1">
        <v>4.7044998507801803E-4</v>
      </c>
    </row>
    <row r="9728" spans="1:6" x14ac:dyDescent="0.25">
      <c r="A9728" s="2" t="str">
        <f t="shared" si="343"/>
        <v>12060</v>
      </c>
      <c r="B9728" s="2" t="str">
        <f>"30369"</f>
        <v>30369</v>
      </c>
      <c r="C9728" s="1">
        <v>0</v>
      </c>
      <c r="D9728" s="1">
        <v>0</v>
      </c>
      <c r="E9728" s="1">
        <v>1.49628920277711E-5</v>
      </c>
      <c r="F9728" s="1">
        <v>3.3270861745262897E-7</v>
      </c>
    </row>
    <row r="9729" spans="1:6" x14ac:dyDescent="0.25">
      <c r="A9729" s="2" t="str">
        <f t="shared" si="343"/>
        <v>12060</v>
      </c>
      <c r="B9729" s="2" t="str">
        <f>"30327"</f>
        <v>30327</v>
      </c>
      <c r="C9729" s="1">
        <v>4.0156573345918999E-3</v>
      </c>
      <c r="D9729" s="1">
        <v>2.4089341874953701E-3</v>
      </c>
      <c r="E9729" s="1">
        <v>2.3042853722767499E-3</v>
      </c>
      <c r="F9729" s="1">
        <v>3.8258163920877799E-3</v>
      </c>
    </row>
    <row r="9730" spans="1:6" x14ac:dyDescent="0.25">
      <c r="A9730" s="2" t="str">
        <f t="shared" si="343"/>
        <v>12060</v>
      </c>
      <c r="B9730" s="2" t="str">
        <f>"30331"</f>
        <v>30331</v>
      </c>
      <c r="C9730" s="1">
        <v>1.03862428800335E-2</v>
      </c>
      <c r="D9730" s="1">
        <v>4.72982253480452E-3</v>
      </c>
      <c r="E9730" s="1">
        <v>5.6559731864974797E-3</v>
      </c>
      <c r="F9730" s="1">
        <v>9.7466989482747797E-3</v>
      </c>
    </row>
    <row r="9731" spans="1:6" x14ac:dyDescent="0.25">
      <c r="A9731" s="2" t="str">
        <f t="shared" si="343"/>
        <v>12060</v>
      </c>
      <c r="B9731" s="2" t="str">
        <f>"30354"</f>
        <v>30354</v>
      </c>
      <c r="C9731" s="1">
        <v>3.0649473531164299E-3</v>
      </c>
      <c r="D9731" s="1">
        <v>4.1205453207157697E-3</v>
      </c>
      <c r="E9731" s="1">
        <v>6.0001197031362202E-3</v>
      </c>
      <c r="F9731" s="1">
        <v>3.2299352582301202E-3</v>
      </c>
    </row>
    <row r="9732" spans="1:6" x14ac:dyDescent="0.25">
      <c r="A9732" s="2" t="str">
        <f t="shared" si="343"/>
        <v>12060</v>
      </c>
      <c r="B9732" s="2" t="str">
        <f>"30350"</f>
        <v>30350</v>
      </c>
      <c r="C9732" s="1">
        <v>6.5818962822116996E-3</v>
      </c>
      <c r="D9732" s="1">
        <v>4.1522418231828197E-3</v>
      </c>
      <c r="E9732" s="1">
        <v>1.20152022983002E-2</v>
      </c>
      <c r="F9732" s="1">
        <v>6.4731788611583603E-3</v>
      </c>
    </row>
    <row r="9733" spans="1:6" x14ac:dyDescent="0.25">
      <c r="A9733" s="2" t="str">
        <f t="shared" si="343"/>
        <v>12060</v>
      </c>
      <c r="B9733" s="2" t="str">
        <f>"30345"</f>
        <v>30345</v>
      </c>
      <c r="C9733" s="1">
        <v>4.2989116555386302E-3</v>
      </c>
      <c r="D9733" s="1">
        <v>4.5114688511426497E-3</v>
      </c>
      <c r="E9733" s="1">
        <v>8.0649988029686294E-3</v>
      </c>
      <c r="F9733" s="1">
        <v>4.4027331347506402E-3</v>
      </c>
    </row>
    <row r="9734" spans="1:6" x14ac:dyDescent="0.25">
      <c r="A9734" s="2" t="str">
        <f t="shared" si="343"/>
        <v>12060</v>
      </c>
      <c r="B9734" s="2" t="str">
        <f>"30259"</f>
        <v>30259</v>
      </c>
      <c r="C9734" s="1">
        <v>5.3599853551489305E-4</v>
      </c>
      <c r="D9734" s="1">
        <v>1.2678600986817701E-4</v>
      </c>
      <c r="E9734" s="1">
        <v>7.4814460138855599E-5</v>
      </c>
      <c r="F9734" s="1">
        <v>4.8708541595064898E-4</v>
      </c>
    </row>
    <row r="9735" spans="1:6" x14ac:dyDescent="0.25">
      <c r="A9735" s="2" t="str">
        <f t="shared" si="343"/>
        <v>12060</v>
      </c>
      <c r="B9735" s="2" t="str">
        <f>"30253"</f>
        <v>30253</v>
      </c>
      <c r="C9735" s="1">
        <v>9.8803777829172008E-3</v>
      </c>
      <c r="D9735" s="1">
        <v>1.22982429572132E-2</v>
      </c>
      <c r="E9735" s="1">
        <v>2.72324634905434E-3</v>
      </c>
      <c r="F9735" s="1">
        <v>9.9496512049208896E-3</v>
      </c>
    </row>
    <row r="9736" spans="1:6" x14ac:dyDescent="0.25">
      <c r="A9736" s="2" t="str">
        <f t="shared" si="343"/>
        <v>12060</v>
      </c>
      <c r="B9736" s="2" t="str">
        <f>"30240"</f>
        <v>30240</v>
      </c>
      <c r="C9736" s="1">
        <v>3.7666797998235601E-7</v>
      </c>
      <c r="D9736" s="1">
        <v>0</v>
      </c>
      <c r="E9736" s="1">
        <v>0</v>
      </c>
      <c r="F9736" s="1">
        <v>3.3270861745262897E-7</v>
      </c>
    </row>
    <row r="9737" spans="1:6" x14ac:dyDescent="0.25">
      <c r="A9737" s="2" t="str">
        <f t="shared" si="343"/>
        <v>12060</v>
      </c>
      <c r="B9737" s="2" t="str">
        <f>"30241"</f>
        <v>30241</v>
      </c>
      <c r="C9737" s="1">
        <v>1.1300039399470701E-6</v>
      </c>
      <c r="D9737" s="1">
        <v>0</v>
      </c>
      <c r="E9737" s="1">
        <v>0</v>
      </c>
      <c r="F9737" s="1">
        <v>9.9812585235788899E-7</v>
      </c>
    </row>
    <row r="9738" spans="1:6" x14ac:dyDescent="0.25">
      <c r="A9738" s="2" t="str">
        <f t="shared" si="343"/>
        <v>12060</v>
      </c>
      <c r="B9738" s="2" t="str">
        <f>"30309"</f>
        <v>30309</v>
      </c>
      <c r="C9738" s="1">
        <v>8.8603608931249796E-3</v>
      </c>
      <c r="D9738" s="1">
        <v>9.9315707730072492E-3</v>
      </c>
      <c r="E9738" s="1">
        <v>1.51873354081876E-2</v>
      </c>
      <c r="F9738" s="1">
        <v>9.1022423562690403E-3</v>
      </c>
    </row>
    <row r="9739" spans="1:6" x14ac:dyDescent="0.25">
      <c r="A9739" s="2" t="str">
        <f t="shared" si="343"/>
        <v>12060</v>
      </c>
      <c r="B9739" s="2" t="str">
        <f>"30308"</f>
        <v>30308</v>
      </c>
      <c r="C9739" s="1">
        <v>6.0764078530753801E-3</v>
      </c>
      <c r="D9739" s="1">
        <v>6.2477328196152001E-3</v>
      </c>
      <c r="E9739" s="1">
        <v>1.47833373234378E-2</v>
      </c>
      <c r="F9739" s="1">
        <v>6.28619661814998E-3</v>
      </c>
    </row>
    <row r="9740" spans="1:6" x14ac:dyDescent="0.25">
      <c r="A9740" s="2" t="str">
        <f t="shared" si="343"/>
        <v>12060</v>
      </c>
      <c r="B9740" s="2" t="str">
        <f>"30290"</f>
        <v>30290</v>
      </c>
      <c r="C9740" s="1">
        <v>1.4513017268720199E-3</v>
      </c>
      <c r="D9740" s="1">
        <v>3.1097790753777999E-3</v>
      </c>
      <c r="E9740" s="1">
        <v>2.9925784055542201E-3</v>
      </c>
      <c r="F9740" s="1">
        <v>1.64224973574618E-3</v>
      </c>
    </row>
    <row r="9741" spans="1:6" x14ac:dyDescent="0.25">
      <c r="A9741" s="2" t="str">
        <f t="shared" si="343"/>
        <v>12060</v>
      </c>
      <c r="B9741" s="2" t="str">
        <f>"30236"</f>
        <v>30236</v>
      </c>
      <c r="C9741" s="1">
        <v>7.6373199621222604E-3</v>
      </c>
      <c r="D9741" s="1">
        <v>7.2091933944488798E-3</v>
      </c>
      <c r="E9741" s="1">
        <v>5.5213071582475397E-3</v>
      </c>
      <c r="F9741" s="1">
        <v>7.5498239472350697E-3</v>
      </c>
    </row>
    <row r="9742" spans="1:6" x14ac:dyDescent="0.25">
      <c r="A9742" s="2" t="str">
        <f t="shared" si="343"/>
        <v>12060</v>
      </c>
      <c r="B9742" s="2" t="str">
        <f>"30266"</f>
        <v>30266</v>
      </c>
      <c r="C9742" s="1">
        <v>2.6705759780749102E-4</v>
      </c>
      <c r="D9742" s="1">
        <v>1.51438845120323E-4</v>
      </c>
      <c r="E9742" s="1">
        <v>2.99257840555422E-5</v>
      </c>
      <c r="F9742" s="1">
        <v>2.5086229755928198E-4</v>
      </c>
    </row>
    <row r="9743" spans="1:6" x14ac:dyDescent="0.25">
      <c r="A9743" s="2" t="str">
        <f t="shared" si="343"/>
        <v>12060</v>
      </c>
      <c r="B9743" s="2" t="str">
        <f>"30204"</f>
        <v>30204</v>
      </c>
      <c r="C9743" s="1">
        <v>2.0358904318046301E-3</v>
      </c>
      <c r="D9743" s="1">
        <v>1.9405303177046E-3</v>
      </c>
      <c r="E9743" s="1">
        <v>1.49628920277711E-3</v>
      </c>
      <c r="F9743" s="1">
        <v>2.0148833872931202E-3</v>
      </c>
    </row>
    <row r="9744" spans="1:6" x14ac:dyDescent="0.25">
      <c r="A9744" s="2" t="str">
        <f t="shared" ref="A9744:A9807" si="344">"12060"</f>
        <v>12060</v>
      </c>
      <c r="B9744" s="2" t="str">
        <f>"30132"</f>
        <v>30132</v>
      </c>
      <c r="C9744" s="1">
        <v>7.22599852798153E-3</v>
      </c>
      <c r="D9744" s="1">
        <v>5.7511542809648396E-3</v>
      </c>
      <c r="E9744" s="1">
        <v>2.6933205649987998E-3</v>
      </c>
      <c r="F9744" s="1">
        <v>6.9858828406528604E-3</v>
      </c>
    </row>
    <row r="9745" spans="1:6" x14ac:dyDescent="0.25">
      <c r="A9745" s="2" t="str">
        <f t="shared" si="344"/>
        <v>12060</v>
      </c>
      <c r="B9745" s="2" t="str">
        <f>"30151"</f>
        <v>30151</v>
      </c>
      <c r="C9745" s="1">
        <v>0</v>
      </c>
      <c r="D9745" s="1">
        <v>0</v>
      </c>
      <c r="E9745" s="1">
        <v>1.49628920277711E-5</v>
      </c>
      <c r="F9745" s="1">
        <v>3.3270861745262897E-7</v>
      </c>
    </row>
    <row r="9746" spans="1:6" x14ac:dyDescent="0.25">
      <c r="A9746" s="2" t="str">
        <f t="shared" si="344"/>
        <v>12060</v>
      </c>
      <c r="B9746" s="2" t="str">
        <f>"30152"</f>
        <v>30152</v>
      </c>
      <c r="C9746" s="1">
        <v>6.2711451987262504E-3</v>
      </c>
      <c r="D9746" s="1">
        <v>3.1872594147416898E-3</v>
      </c>
      <c r="E9746" s="1">
        <v>5.6559731864974797E-3</v>
      </c>
      <c r="F9746" s="1">
        <v>5.9661309281605502E-3</v>
      </c>
    </row>
    <row r="9747" spans="1:6" x14ac:dyDescent="0.25">
      <c r="A9747" s="2" t="str">
        <f t="shared" si="344"/>
        <v>12060</v>
      </c>
      <c r="B9747" s="2" t="str">
        <f>"30170"</f>
        <v>30170</v>
      </c>
      <c r="C9747" s="1">
        <v>5.4277855915457599E-4</v>
      </c>
      <c r="D9747" s="1">
        <v>2.3596285169910801E-4</v>
      </c>
      <c r="E9747" s="1">
        <v>1.0474024419439701E-4</v>
      </c>
      <c r="F9747" s="1">
        <v>5.0405355544073395E-4</v>
      </c>
    </row>
    <row r="9748" spans="1:6" x14ac:dyDescent="0.25">
      <c r="A9748" s="2" t="str">
        <f t="shared" si="344"/>
        <v>12060</v>
      </c>
      <c r="B9748" s="2" t="str">
        <f>"30117"</f>
        <v>30117</v>
      </c>
      <c r="C9748" s="1">
        <v>6.2312183928481197E-3</v>
      </c>
      <c r="D9748" s="1">
        <v>7.7550776036035404E-3</v>
      </c>
      <c r="E9748" s="1">
        <v>8.6485515920517106E-3</v>
      </c>
      <c r="F9748" s="1">
        <v>6.4289286150371596E-3</v>
      </c>
    </row>
    <row r="9749" spans="1:6" x14ac:dyDescent="0.25">
      <c r="A9749" s="2" t="str">
        <f t="shared" si="344"/>
        <v>12060</v>
      </c>
      <c r="B9749" s="2" t="str">
        <f>"30115"</f>
        <v>30115</v>
      </c>
      <c r="C9749" s="1">
        <v>7.0195844749511996E-3</v>
      </c>
      <c r="D9749" s="1">
        <v>3.6415759501026599E-3</v>
      </c>
      <c r="E9749" s="1">
        <v>2.2294709121378898E-3</v>
      </c>
      <c r="F9749" s="1">
        <v>6.5939520892936603E-3</v>
      </c>
    </row>
    <row r="9750" spans="1:6" x14ac:dyDescent="0.25">
      <c r="A9750" s="2" t="str">
        <f t="shared" si="344"/>
        <v>12060</v>
      </c>
      <c r="B9750" s="2" t="str">
        <f>"30113"</f>
        <v>30113</v>
      </c>
      <c r="C9750" s="1">
        <v>9.1078317559733796E-4</v>
      </c>
      <c r="D9750" s="1">
        <v>4.1205453207157698E-4</v>
      </c>
      <c r="E9750" s="1">
        <v>4.6384965286090402E-4</v>
      </c>
      <c r="F9750" s="1">
        <v>8.5373031238344802E-4</v>
      </c>
    </row>
    <row r="9751" spans="1:6" x14ac:dyDescent="0.25">
      <c r="A9751" s="2" t="str">
        <f t="shared" si="344"/>
        <v>12060</v>
      </c>
      <c r="B9751" s="2" t="str">
        <f>"30061"</f>
        <v>30061</v>
      </c>
      <c r="C9751" s="1">
        <v>6.9080907528764203E-4</v>
      </c>
      <c r="D9751" s="1">
        <v>2.5638948662231498E-3</v>
      </c>
      <c r="E9751" s="1">
        <v>1.49628920277711E-5</v>
      </c>
      <c r="F9751" s="1">
        <v>8.5273218653108998E-4</v>
      </c>
    </row>
    <row r="9752" spans="1:6" x14ac:dyDescent="0.25">
      <c r="A9752" s="2" t="str">
        <f t="shared" si="344"/>
        <v>12060</v>
      </c>
      <c r="B9752" s="2" t="str">
        <f>"30099"</f>
        <v>30099</v>
      </c>
      <c r="C9752" s="1">
        <v>0</v>
      </c>
      <c r="D9752" s="1">
        <v>3.5218336074493801E-6</v>
      </c>
      <c r="E9752" s="1">
        <v>0</v>
      </c>
      <c r="F9752" s="1">
        <v>3.3270861745262897E-7</v>
      </c>
    </row>
    <row r="9753" spans="1:6" x14ac:dyDescent="0.25">
      <c r="A9753" s="2" t="str">
        <f t="shared" si="344"/>
        <v>12060</v>
      </c>
      <c r="B9753" s="2" t="str">
        <f>"30085"</f>
        <v>30085</v>
      </c>
      <c r="C9753" s="1">
        <v>6.1886549111101201E-4</v>
      </c>
      <c r="D9753" s="1">
        <v>1.87009364555562E-3</v>
      </c>
      <c r="E9753" s="1">
        <v>1.49628920277711E-5</v>
      </c>
      <c r="F9753" s="1">
        <v>7.2364124295946897E-4</v>
      </c>
    </row>
    <row r="9754" spans="1:6" x14ac:dyDescent="0.25">
      <c r="A9754" s="2" t="str">
        <f t="shared" si="344"/>
        <v>12060</v>
      </c>
      <c r="B9754" s="2" t="str">
        <f>"30086"</f>
        <v>30086</v>
      </c>
      <c r="C9754" s="1">
        <v>5.4993525077424099E-4</v>
      </c>
      <c r="D9754" s="1">
        <v>1.3946461085499501E-3</v>
      </c>
      <c r="E9754" s="1">
        <v>1.49628920277711E-5</v>
      </c>
      <c r="F9754" s="1">
        <v>6.1783990260953303E-4</v>
      </c>
    </row>
    <row r="9755" spans="1:6" x14ac:dyDescent="0.25">
      <c r="A9755" s="2" t="str">
        <f t="shared" si="344"/>
        <v>12060</v>
      </c>
      <c r="B9755" s="2" t="str">
        <f>"30088"</f>
        <v>30088</v>
      </c>
      <c r="C9755" s="1">
        <v>4.0393874173307899E-3</v>
      </c>
      <c r="D9755" s="1">
        <v>8.0297806249845897E-4</v>
      </c>
      <c r="E9755" s="1">
        <v>9.1273641369403805E-4</v>
      </c>
      <c r="F9755" s="1">
        <v>3.6641200040058099E-3</v>
      </c>
    </row>
    <row r="9756" spans="1:6" x14ac:dyDescent="0.25">
      <c r="A9756" s="2" t="str">
        <f t="shared" si="344"/>
        <v>12060</v>
      </c>
      <c r="B9756" s="2" t="str">
        <f>"30014"</f>
        <v>30014</v>
      </c>
      <c r="C9756" s="1">
        <v>6.4026023237401001E-3</v>
      </c>
      <c r="D9756" s="1">
        <v>7.3113265690649097E-3</v>
      </c>
      <c r="E9756" s="1">
        <v>4.4290160402202499E-3</v>
      </c>
      <c r="F9756" s="1">
        <v>6.4445659200574297E-3</v>
      </c>
    </row>
    <row r="9757" spans="1:6" x14ac:dyDescent="0.25">
      <c r="A9757" s="2" t="str">
        <f t="shared" si="344"/>
        <v>12060</v>
      </c>
      <c r="B9757" s="2" t="str">
        <f>"30008"</f>
        <v>30008</v>
      </c>
      <c r="C9757" s="1">
        <v>4.5900760040650003E-3</v>
      </c>
      <c r="D9757" s="1">
        <v>2.0144888234610399E-3</v>
      </c>
      <c r="E9757" s="1">
        <v>6.0450083792195301E-3</v>
      </c>
      <c r="F9757" s="1">
        <v>4.3791108229115101E-3</v>
      </c>
    </row>
    <row r="9758" spans="1:6" x14ac:dyDescent="0.25">
      <c r="A9758" s="2" t="str">
        <f t="shared" si="344"/>
        <v>12060</v>
      </c>
      <c r="B9758" s="2" t="str">
        <f>"30005"</f>
        <v>30005</v>
      </c>
      <c r="C9758" s="1">
        <v>5.24020493751454E-3</v>
      </c>
      <c r="D9758" s="1">
        <v>8.0086496233398898E-3</v>
      </c>
      <c r="E9758" s="1">
        <v>5.3417524539142898E-3</v>
      </c>
      <c r="F9758" s="1">
        <v>5.5039986585188501E-3</v>
      </c>
    </row>
    <row r="9759" spans="1:6" x14ac:dyDescent="0.25">
      <c r="A9759" s="2" t="str">
        <f t="shared" si="344"/>
        <v>12060</v>
      </c>
      <c r="B9759" s="2" t="str">
        <f>"30025"</f>
        <v>30025</v>
      </c>
      <c r="C9759" s="1">
        <v>1.64038905282316E-3</v>
      </c>
      <c r="D9759" s="1">
        <v>6.6562655180793301E-4</v>
      </c>
      <c r="E9759" s="1">
        <v>1.46636341872157E-3</v>
      </c>
      <c r="F9759" s="1">
        <v>1.5444334022151E-3</v>
      </c>
    </row>
    <row r="9760" spans="1:6" x14ac:dyDescent="0.25">
      <c r="A9760" s="2" t="str">
        <f t="shared" si="344"/>
        <v>12060</v>
      </c>
      <c r="B9760" s="2" t="str">
        <f>"30036"</f>
        <v>30036</v>
      </c>
      <c r="C9760" s="1">
        <v>5.4390856309452301E-4</v>
      </c>
      <c r="D9760" s="1">
        <v>1.98631415460145E-3</v>
      </c>
      <c r="E9760" s="1">
        <v>1.49628920277711E-5</v>
      </c>
      <c r="F9760" s="1">
        <v>6.6841161246233296E-4</v>
      </c>
    </row>
    <row r="9761" spans="1:6" x14ac:dyDescent="0.25">
      <c r="A9761" s="2" t="str">
        <f t="shared" si="344"/>
        <v>12060</v>
      </c>
      <c r="B9761" s="2" t="str">
        <f>"30023"</f>
        <v>30023</v>
      </c>
      <c r="C9761" s="1">
        <v>5.3938854733473496E-4</v>
      </c>
      <c r="D9761" s="1">
        <v>2.6061568695125402E-3</v>
      </c>
      <c r="E9761" s="1">
        <v>1.49628920277711E-5</v>
      </c>
      <c r="F9761" s="1">
        <v>7.2297582572456397E-4</v>
      </c>
    </row>
    <row r="9762" spans="1:6" x14ac:dyDescent="0.25">
      <c r="A9762" s="2" t="str">
        <f t="shared" si="344"/>
        <v>12060</v>
      </c>
      <c r="B9762" s="2" t="str">
        <f>"30017"</f>
        <v>30017</v>
      </c>
      <c r="C9762" s="1">
        <v>3.4058318750004699E-3</v>
      </c>
      <c r="D9762" s="1">
        <v>2.9196000605755299E-3</v>
      </c>
      <c r="E9762" s="1">
        <v>9.1273641369403805E-4</v>
      </c>
      <c r="F9762" s="1">
        <v>3.3044619885395101E-3</v>
      </c>
    </row>
    <row r="9763" spans="1:6" x14ac:dyDescent="0.25">
      <c r="A9763" s="2" t="str">
        <f t="shared" si="344"/>
        <v>12060</v>
      </c>
      <c r="B9763" s="2" t="str">
        <f>"39901"</f>
        <v>39901</v>
      </c>
      <c r="C9763" s="1">
        <v>0</v>
      </c>
      <c r="D9763" s="1">
        <v>0</v>
      </c>
      <c r="E9763" s="1">
        <v>1.49628920277711E-5</v>
      </c>
      <c r="F9763" s="1">
        <v>3.3270861745262897E-7</v>
      </c>
    </row>
    <row r="9764" spans="1:6" x14ac:dyDescent="0.25">
      <c r="A9764" s="2" t="str">
        <f t="shared" si="344"/>
        <v>12060</v>
      </c>
      <c r="B9764" s="2" t="str">
        <f>"31126"</f>
        <v>31126</v>
      </c>
      <c r="C9764" s="1">
        <v>2.5236754658817899E-4</v>
      </c>
      <c r="D9764" s="1">
        <v>7.3958505756437001E-4</v>
      </c>
      <c r="E9764" s="1">
        <v>1.49628920277711E-5</v>
      </c>
      <c r="F9764" s="1">
        <v>2.93116291975766E-4</v>
      </c>
    </row>
    <row r="9765" spans="1:6" x14ac:dyDescent="0.25">
      <c r="A9765" s="2" t="str">
        <f t="shared" si="344"/>
        <v>12060</v>
      </c>
      <c r="B9765" s="2" t="str">
        <f>"31016"</f>
        <v>31016</v>
      </c>
      <c r="C9765" s="1">
        <v>2.86267664786591E-5</v>
      </c>
      <c r="D9765" s="1">
        <v>3.5218336074493801E-6</v>
      </c>
      <c r="E9765" s="1">
        <v>0</v>
      </c>
      <c r="F9765" s="1">
        <v>2.5618563543852399E-5</v>
      </c>
    </row>
    <row r="9766" spans="1:6" x14ac:dyDescent="0.25">
      <c r="A9766" s="2" t="str">
        <f t="shared" si="344"/>
        <v>12060</v>
      </c>
      <c r="B9766" s="2" t="str">
        <f>"30622"</f>
        <v>30622</v>
      </c>
      <c r="C9766" s="1">
        <v>3.0133438398588498E-6</v>
      </c>
      <c r="D9766" s="1">
        <v>0</v>
      </c>
      <c r="E9766" s="1">
        <v>0</v>
      </c>
      <c r="F9766" s="1">
        <v>2.6616689396210301E-6</v>
      </c>
    </row>
    <row r="9767" spans="1:6" x14ac:dyDescent="0.25">
      <c r="A9767" s="2" t="str">
        <f t="shared" si="344"/>
        <v>12060</v>
      </c>
      <c r="B9767" s="2" t="str">
        <f>"30540"</f>
        <v>30540</v>
      </c>
      <c r="C9767" s="1">
        <v>3.7666797998235601E-7</v>
      </c>
      <c r="D9767" s="1">
        <v>0</v>
      </c>
      <c r="E9767" s="1">
        <v>0</v>
      </c>
      <c r="F9767" s="1">
        <v>3.3270861745262897E-7</v>
      </c>
    </row>
    <row r="9768" spans="1:6" x14ac:dyDescent="0.25">
      <c r="A9768" s="2" t="str">
        <f t="shared" si="344"/>
        <v>12060</v>
      </c>
      <c r="B9768" s="2" t="str">
        <f>"30506"</f>
        <v>30506</v>
      </c>
      <c r="C9768" s="1">
        <v>2.12177073124061E-3</v>
      </c>
      <c r="D9768" s="1">
        <v>2.53572019736355E-4</v>
      </c>
      <c r="E9768" s="1">
        <v>1.0474024419439701E-4</v>
      </c>
      <c r="F9768" s="1">
        <v>1.9004316228894199E-3</v>
      </c>
    </row>
    <row r="9769" spans="1:6" x14ac:dyDescent="0.25">
      <c r="A9769" s="2" t="str">
        <f t="shared" si="344"/>
        <v>12060</v>
      </c>
      <c r="B9769" s="2" t="str">
        <f>"30333"</f>
        <v>30333</v>
      </c>
      <c r="C9769" s="1">
        <v>2.0264737323050699E-4</v>
      </c>
      <c r="D9769" s="1">
        <v>6.4801738377068599E-4</v>
      </c>
      <c r="E9769" s="1">
        <v>5.9851568111084502E-5</v>
      </c>
      <c r="F9769" s="1">
        <v>2.41546456270609E-4</v>
      </c>
    </row>
    <row r="9770" spans="1:6" x14ac:dyDescent="0.25">
      <c r="A9770" s="2" t="str">
        <f t="shared" si="344"/>
        <v>12060</v>
      </c>
      <c r="B9770" s="2" t="str">
        <f>"30336"</f>
        <v>30336</v>
      </c>
      <c r="C9770" s="1">
        <v>5.6537863795351701E-4</v>
      </c>
      <c r="D9770" s="1">
        <v>6.6104816811824903E-3</v>
      </c>
      <c r="E9770" s="1">
        <v>3.2319846779985599E-3</v>
      </c>
      <c r="F9770" s="1">
        <v>1.19575477112475E-3</v>
      </c>
    </row>
    <row r="9771" spans="1:6" x14ac:dyDescent="0.25">
      <c r="A9771" s="2" t="str">
        <f t="shared" si="344"/>
        <v>12060</v>
      </c>
      <c r="B9771" s="2" t="str">
        <f>"30362"</f>
        <v>30362</v>
      </c>
      <c r="C9771" s="1">
        <v>5.6048195421374701E-4</v>
      </c>
      <c r="D9771" s="1">
        <v>9.8611341008582689E-4</v>
      </c>
      <c r="E9771" s="1">
        <v>1.49628920277711E-5</v>
      </c>
      <c r="F9771" s="1">
        <v>5.8856154427370199E-4</v>
      </c>
    </row>
    <row r="9772" spans="1:6" x14ac:dyDescent="0.25">
      <c r="A9772" s="2" t="str">
        <f t="shared" si="344"/>
        <v>12060</v>
      </c>
      <c r="B9772" s="2" t="str">
        <f>"30361"</f>
        <v>30361</v>
      </c>
      <c r="C9772" s="1">
        <v>0</v>
      </c>
      <c r="D9772" s="1">
        <v>1.28899110032647E-3</v>
      </c>
      <c r="E9772" s="1">
        <v>1.64591812305482E-4</v>
      </c>
      <c r="F9772" s="1">
        <v>1.2543114877964099E-4</v>
      </c>
    </row>
    <row r="9773" spans="1:6" x14ac:dyDescent="0.25">
      <c r="A9773" s="2" t="str">
        <f t="shared" si="344"/>
        <v>12060</v>
      </c>
      <c r="B9773" s="2" t="str">
        <f>"30355"</f>
        <v>30355</v>
      </c>
      <c r="C9773" s="1">
        <v>6.4221890586991799E-4</v>
      </c>
      <c r="D9773" s="1">
        <v>2.28567001123464E-3</v>
      </c>
      <c r="E9773" s="1">
        <v>2.99257840555422E-5</v>
      </c>
      <c r="F9773" s="1">
        <v>7.8386150271839497E-4</v>
      </c>
    </row>
    <row r="9774" spans="1:6" x14ac:dyDescent="0.25">
      <c r="A9774" s="2" t="str">
        <f t="shared" si="344"/>
        <v>12060</v>
      </c>
      <c r="B9774" s="2" t="str">
        <f>"30358"</f>
        <v>30358</v>
      </c>
      <c r="C9774" s="1">
        <v>6.1848882313102899E-4</v>
      </c>
      <c r="D9774" s="1">
        <v>1.2572945978594199E-3</v>
      </c>
      <c r="E9774" s="1">
        <v>1.49628920277711E-5</v>
      </c>
      <c r="F9774" s="1">
        <v>6.6541723490525905E-4</v>
      </c>
    </row>
    <row r="9775" spans="1:6" x14ac:dyDescent="0.25">
      <c r="A9775" s="2" t="str">
        <f t="shared" si="344"/>
        <v>12060</v>
      </c>
      <c r="B9775" s="2" t="str">
        <f>"30320"</f>
        <v>30320</v>
      </c>
      <c r="C9775" s="1">
        <v>4.7912167053755701E-4</v>
      </c>
      <c r="D9775" s="1">
        <v>7.4662872477926898E-4</v>
      </c>
      <c r="E9775" s="1">
        <v>5.9851568111084502E-5</v>
      </c>
      <c r="F9775" s="1">
        <v>4.9507042276951299E-4</v>
      </c>
    </row>
    <row r="9776" spans="1:6" x14ac:dyDescent="0.25">
      <c r="A9776" s="2" t="str">
        <f t="shared" si="344"/>
        <v>12060</v>
      </c>
      <c r="B9776" s="2" t="str">
        <f>"30315"</f>
        <v>30315</v>
      </c>
      <c r="C9776" s="1">
        <v>6.5325527768340099E-3</v>
      </c>
      <c r="D9776" s="1">
        <v>4.3283335035552897E-3</v>
      </c>
      <c r="E9776" s="1">
        <v>1.2194757002633399E-2</v>
      </c>
      <c r="F9776" s="1">
        <v>6.45022196655413E-3</v>
      </c>
    </row>
    <row r="9777" spans="1:6" x14ac:dyDescent="0.25">
      <c r="A9777" s="2" t="str">
        <f t="shared" si="344"/>
        <v>12060</v>
      </c>
      <c r="B9777" s="2" t="str">
        <f>"30314"</f>
        <v>30314</v>
      </c>
      <c r="C9777" s="1">
        <v>4.09777095422806E-3</v>
      </c>
      <c r="D9777" s="1">
        <v>2.2821481776271902E-3</v>
      </c>
      <c r="E9777" s="1">
        <v>1.1207206128800501E-2</v>
      </c>
      <c r="F9777" s="1">
        <v>4.0843309878484798E-3</v>
      </c>
    </row>
    <row r="9778" spans="1:6" x14ac:dyDescent="0.25">
      <c r="A9778" s="2" t="str">
        <f t="shared" si="344"/>
        <v>12060</v>
      </c>
      <c r="B9778" s="2" t="str">
        <f>"30248"</f>
        <v>30248</v>
      </c>
      <c r="C9778" s="1">
        <v>4.1987179728633301E-3</v>
      </c>
      <c r="D9778" s="1">
        <v>2.6026350359050899E-3</v>
      </c>
      <c r="E9778" s="1">
        <v>7.1821881733301395E-4</v>
      </c>
      <c r="F9778" s="1">
        <v>3.9705446406796798E-3</v>
      </c>
    </row>
    <row r="9779" spans="1:6" x14ac:dyDescent="0.25">
      <c r="A9779" s="2" t="str">
        <f t="shared" si="344"/>
        <v>12060</v>
      </c>
      <c r="B9779" s="2" t="str">
        <f>"30310"</f>
        <v>30310</v>
      </c>
      <c r="C9779" s="1">
        <v>6.0779145249953096E-3</v>
      </c>
      <c r="D9779" s="1">
        <v>5.6349337719190096E-3</v>
      </c>
      <c r="E9779" s="1">
        <v>8.6186258079961608E-3</v>
      </c>
      <c r="F9779" s="1">
        <v>6.0925602027925496E-3</v>
      </c>
    </row>
    <row r="9780" spans="1:6" x14ac:dyDescent="0.25">
      <c r="A9780" s="2" t="str">
        <f t="shared" si="344"/>
        <v>12060</v>
      </c>
      <c r="B9780" s="2" t="str">
        <f>"30287"</f>
        <v>30287</v>
      </c>
      <c r="C9780" s="1">
        <v>1.7515061069179499E-4</v>
      </c>
      <c r="D9780" s="1">
        <v>2.8526852220339899E-4</v>
      </c>
      <c r="E9780" s="1">
        <v>1.49628920277711E-5</v>
      </c>
      <c r="F9780" s="1">
        <v>1.81991613746588E-4</v>
      </c>
    </row>
    <row r="9781" spans="1:6" x14ac:dyDescent="0.25">
      <c r="A9781" s="2" t="str">
        <f t="shared" si="344"/>
        <v>12060</v>
      </c>
      <c r="B9781" s="2" t="str">
        <f>"30288"</f>
        <v>30288</v>
      </c>
      <c r="C9781" s="1">
        <v>1.5364286903480301E-3</v>
      </c>
      <c r="D9781" s="1">
        <v>1.84896264391092E-3</v>
      </c>
      <c r="E9781" s="1">
        <v>2.9925784055542202E-4</v>
      </c>
      <c r="F9781" s="1">
        <v>1.53844464710096E-3</v>
      </c>
    </row>
    <row r="9782" spans="1:6" x14ac:dyDescent="0.25">
      <c r="A9782" s="2" t="str">
        <f t="shared" si="344"/>
        <v>12060</v>
      </c>
      <c r="B9782" s="2" t="str">
        <f>"30303"</f>
        <v>30303</v>
      </c>
      <c r="C9782" s="1">
        <v>5.6650864189346402E-4</v>
      </c>
      <c r="D9782" s="1">
        <v>2.6276400545179799E-2</v>
      </c>
      <c r="E9782" s="1">
        <v>4.4439789322480196E-3</v>
      </c>
      <c r="F9782" s="1">
        <v>3.0815472148462502E-3</v>
      </c>
    </row>
    <row r="9783" spans="1:6" x14ac:dyDescent="0.25">
      <c r="A9783" s="2" t="str">
        <f t="shared" si="344"/>
        <v>12060</v>
      </c>
      <c r="B9783" s="2" t="str">
        <f>"30293"</f>
        <v>30293</v>
      </c>
      <c r="C9783" s="1">
        <v>4.4484488435916301E-4</v>
      </c>
      <c r="D9783" s="1">
        <v>1.9722268201716501E-4</v>
      </c>
      <c r="E9783" s="1">
        <v>7.4814460138855599E-5</v>
      </c>
      <c r="F9783" s="1">
        <v>4.1322410287616599E-4</v>
      </c>
    </row>
    <row r="9784" spans="1:6" x14ac:dyDescent="0.25">
      <c r="A9784" s="2" t="str">
        <f t="shared" si="344"/>
        <v>12060</v>
      </c>
      <c r="B9784" s="2" t="str">
        <f>"30218"</f>
        <v>30218</v>
      </c>
      <c r="C9784" s="1">
        <v>3.3824784602415602E-4</v>
      </c>
      <c r="D9784" s="1">
        <v>1.2326417626072801E-4</v>
      </c>
      <c r="E9784" s="1">
        <v>8.9777352166626703E-5</v>
      </c>
      <c r="F9784" s="1">
        <v>3.1241339178801901E-4</v>
      </c>
    </row>
    <row r="9785" spans="1:6" x14ac:dyDescent="0.25">
      <c r="A9785" s="2" t="str">
        <f t="shared" si="344"/>
        <v>12060</v>
      </c>
      <c r="B9785" s="2" t="str">
        <f>"30134"</f>
        <v>30134</v>
      </c>
      <c r="C9785" s="1">
        <v>6.8478238760792398E-3</v>
      </c>
      <c r="D9785" s="1">
        <v>6.3111258245492899E-3</v>
      </c>
      <c r="E9785" s="1">
        <v>6.1946372994972397E-3</v>
      </c>
      <c r="F9785" s="1">
        <v>6.7825978753893101E-3</v>
      </c>
    </row>
    <row r="9786" spans="1:6" x14ac:dyDescent="0.25">
      <c r="A9786" s="2" t="str">
        <f t="shared" si="344"/>
        <v>12060</v>
      </c>
      <c r="B9786" s="2" t="str">
        <f>"30127"</f>
        <v>30127</v>
      </c>
      <c r="C9786" s="1">
        <v>9.5880834304508892E-3</v>
      </c>
      <c r="D9786" s="1">
        <v>4.7227788675896203E-3</v>
      </c>
      <c r="E9786" s="1">
        <v>1.63095523102705E-3</v>
      </c>
      <c r="F9786" s="1">
        <v>8.9515253525629997E-3</v>
      </c>
    </row>
    <row r="9787" spans="1:6" x14ac:dyDescent="0.25">
      <c r="A9787" s="2" t="str">
        <f t="shared" si="344"/>
        <v>12060</v>
      </c>
      <c r="B9787" s="2" t="str">
        <f>"30185"</f>
        <v>30185</v>
      </c>
      <c r="C9787" s="1">
        <v>6.5088226940951204E-4</v>
      </c>
      <c r="D9787" s="1">
        <v>2.8174668859594999E-4</v>
      </c>
      <c r="E9787" s="1">
        <v>1.19703136222169E-4</v>
      </c>
      <c r="F9787" s="1">
        <v>6.0419884929397501E-4</v>
      </c>
    </row>
    <row r="9788" spans="1:6" x14ac:dyDescent="0.25">
      <c r="A9788" s="2" t="str">
        <f t="shared" si="344"/>
        <v>12060</v>
      </c>
      <c r="B9788" s="2" t="str">
        <f>"30183"</f>
        <v>30183</v>
      </c>
      <c r="C9788" s="1">
        <v>1.01662687797238E-3</v>
      </c>
      <c r="D9788" s="1">
        <v>2.18353683661861E-4</v>
      </c>
      <c r="E9788" s="1">
        <v>7.4814460138855599E-5</v>
      </c>
      <c r="F9788" s="1">
        <v>9.2027203587397304E-4</v>
      </c>
    </row>
    <row r="9789" spans="1:6" x14ac:dyDescent="0.25">
      <c r="A9789" s="2" t="str">
        <f t="shared" si="344"/>
        <v>12060</v>
      </c>
      <c r="B9789" s="2" t="str">
        <f>"30182"</f>
        <v>30182</v>
      </c>
      <c r="C9789" s="1">
        <v>4.6744496315810402E-4</v>
      </c>
      <c r="D9789" s="1">
        <v>9.50895074011333E-5</v>
      </c>
      <c r="E9789" s="1">
        <v>1.0474024419439701E-4</v>
      </c>
      <c r="F9789" s="1">
        <v>4.2420348725210201E-4</v>
      </c>
    </row>
    <row r="9790" spans="1:6" x14ac:dyDescent="0.25">
      <c r="A9790" s="2" t="str">
        <f t="shared" si="344"/>
        <v>12060</v>
      </c>
      <c r="B9790" s="2" t="str">
        <f>"30153"</f>
        <v>30153</v>
      </c>
      <c r="C9790" s="1">
        <v>8.6784302587934996E-4</v>
      </c>
      <c r="D9790" s="1">
        <v>9.8611341008582695E-5</v>
      </c>
      <c r="E9790" s="1">
        <v>5.9851568111084502E-5</v>
      </c>
      <c r="F9790" s="1">
        <v>7.7720733036934302E-4</v>
      </c>
    </row>
    <row r="9791" spans="1:6" x14ac:dyDescent="0.25">
      <c r="A9791" s="2" t="str">
        <f t="shared" si="344"/>
        <v>12060</v>
      </c>
      <c r="B9791" s="2" t="str">
        <f>"30118"</f>
        <v>30118</v>
      </c>
      <c r="C9791" s="1">
        <v>0</v>
      </c>
      <c r="D9791" s="1">
        <v>3.5218336074493801E-6</v>
      </c>
      <c r="E9791" s="1">
        <v>0</v>
      </c>
      <c r="F9791" s="1">
        <v>3.3270861745262897E-7</v>
      </c>
    </row>
    <row r="9792" spans="1:6" x14ac:dyDescent="0.25">
      <c r="A9792" s="2" t="str">
        <f t="shared" si="344"/>
        <v>12060</v>
      </c>
      <c r="B9792" s="2" t="str">
        <f>"30120"</f>
        <v>30120</v>
      </c>
      <c r="C9792" s="1">
        <v>7.4847694302294099E-3</v>
      </c>
      <c r="D9792" s="1">
        <v>9.8435249328210194E-3</v>
      </c>
      <c r="E9792" s="1">
        <v>6.89789322480248E-3</v>
      </c>
      <c r="F9792" s="1">
        <v>7.69455219582696E-3</v>
      </c>
    </row>
    <row r="9793" spans="1:6" x14ac:dyDescent="0.25">
      <c r="A9793" s="2" t="str">
        <f t="shared" si="344"/>
        <v>12060</v>
      </c>
      <c r="B9793" s="2" t="str">
        <f>"30140"</f>
        <v>30140</v>
      </c>
      <c r="C9793" s="1">
        <v>0</v>
      </c>
      <c r="D9793" s="1">
        <v>0</v>
      </c>
      <c r="E9793" s="1">
        <v>1.49628920277711E-5</v>
      </c>
      <c r="F9793" s="1">
        <v>3.3270861745262897E-7</v>
      </c>
    </row>
    <row r="9794" spans="1:6" x14ac:dyDescent="0.25">
      <c r="A9794" s="2" t="str">
        <f t="shared" si="344"/>
        <v>12060</v>
      </c>
      <c r="B9794" s="2" t="str">
        <f>"30111"</f>
        <v>30111</v>
      </c>
      <c r="C9794" s="1">
        <v>2.0528404909038399E-4</v>
      </c>
      <c r="D9794" s="1">
        <v>2.7822485498850099E-4</v>
      </c>
      <c r="E9794" s="1">
        <v>2.99257840555422E-5</v>
      </c>
      <c r="F9794" s="1">
        <v>2.0827559452534601E-4</v>
      </c>
    </row>
    <row r="9795" spans="1:6" x14ac:dyDescent="0.25">
      <c r="A9795" s="2" t="str">
        <f t="shared" si="344"/>
        <v>12060</v>
      </c>
      <c r="B9795" s="2" t="str">
        <f>"30106"</f>
        <v>30106</v>
      </c>
      <c r="C9795" s="1">
        <v>3.5971792088315001E-3</v>
      </c>
      <c r="D9795" s="1">
        <v>3.4020912647960999E-3</v>
      </c>
      <c r="E9795" s="1">
        <v>2.3342111563322901E-3</v>
      </c>
      <c r="F9795" s="1">
        <v>3.5506663654544602E-3</v>
      </c>
    </row>
    <row r="9796" spans="1:6" x14ac:dyDescent="0.25">
      <c r="A9796" s="2" t="str">
        <f t="shared" si="344"/>
        <v>12060</v>
      </c>
      <c r="B9796" s="2" t="str">
        <f>"30103"</f>
        <v>30103</v>
      </c>
      <c r="C9796" s="1">
        <v>1.91045999447051E-3</v>
      </c>
      <c r="D9796" s="1">
        <v>1.45803911348404E-3</v>
      </c>
      <c r="E9796" s="1">
        <v>1.1371797941106001E-3</v>
      </c>
      <c r="F9796" s="1">
        <v>1.85052533027152E-3</v>
      </c>
    </row>
    <row r="9797" spans="1:6" x14ac:dyDescent="0.25">
      <c r="A9797" s="2" t="str">
        <f t="shared" si="344"/>
        <v>12060</v>
      </c>
      <c r="B9797" s="2" t="str">
        <f>"30067"</f>
        <v>30067</v>
      </c>
      <c r="C9797" s="1">
        <v>8.5175930313410309E-3</v>
      </c>
      <c r="D9797" s="1">
        <v>1.1537526898004099E-2</v>
      </c>
      <c r="E9797" s="1">
        <v>1.7087622695714601E-2</v>
      </c>
      <c r="F9797" s="1">
        <v>8.9934466383620303E-3</v>
      </c>
    </row>
    <row r="9798" spans="1:6" x14ac:dyDescent="0.25">
      <c r="A9798" s="2" t="str">
        <f t="shared" si="344"/>
        <v>12060</v>
      </c>
      <c r="B9798" s="2" t="str">
        <f>"30064"</f>
        <v>30064</v>
      </c>
      <c r="C9798" s="1">
        <v>7.63242327838249E-3</v>
      </c>
      <c r="D9798" s="1">
        <v>4.9904382217557698E-3</v>
      </c>
      <c r="E9798" s="1">
        <v>5.0125688293033198E-3</v>
      </c>
      <c r="F9798" s="1">
        <v>7.3245802132196397E-3</v>
      </c>
    </row>
    <row r="9799" spans="1:6" x14ac:dyDescent="0.25">
      <c r="A9799" s="2" t="str">
        <f t="shared" si="344"/>
        <v>12060</v>
      </c>
      <c r="B9799" s="2" t="str">
        <f>"30095"</f>
        <v>30095</v>
      </c>
      <c r="C9799" s="1">
        <v>4.0567141444099799E-4</v>
      </c>
      <c r="D9799" s="1">
        <v>1.0248535797677701E-3</v>
      </c>
      <c r="E9799" s="1">
        <v>1.49628920277711E-5</v>
      </c>
      <c r="F9799" s="1">
        <v>4.5547809729265E-4</v>
      </c>
    </row>
    <row r="9800" spans="1:6" x14ac:dyDescent="0.25">
      <c r="A9800" s="2" t="str">
        <f t="shared" si="344"/>
        <v>12060</v>
      </c>
      <c r="B9800" s="2" t="str">
        <f>"30101"</f>
        <v>30101</v>
      </c>
      <c r="C9800" s="1">
        <v>8.9552812240805291E-3</v>
      </c>
      <c r="D9800" s="1">
        <v>6.8746192017411899E-3</v>
      </c>
      <c r="E9800" s="1">
        <v>3.65094565477615E-3</v>
      </c>
      <c r="F9800" s="1">
        <v>8.64077550386224E-3</v>
      </c>
    </row>
    <row r="9801" spans="1:6" x14ac:dyDescent="0.25">
      <c r="A9801" s="2" t="str">
        <f t="shared" si="344"/>
        <v>12060</v>
      </c>
      <c r="B9801" s="2" t="str">
        <f>"30077"</f>
        <v>30077</v>
      </c>
      <c r="C9801" s="1">
        <v>4.6706829517812202E-4</v>
      </c>
      <c r="D9801" s="1">
        <v>1.77500413815448E-3</v>
      </c>
      <c r="E9801" s="1">
        <v>1.49628920277711E-5</v>
      </c>
      <c r="F9801" s="1">
        <v>5.8057653745483798E-4</v>
      </c>
    </row>
    <row r="9802" spans="1:6" x14ac:dyDescent="0.25">
      <c r="A9802" s="2" t="str">
        <f t="shared" si="344"/>
        <v>12060</v>
      </c>
      <c r="B9802" s="2" t="str">
        <f>"30080"</f>
        <v>30080</v>
      </c>
      <c r="C9802" s="1">
        <v>9.9146545690955903E-3</v>
      </c>
      <c r="D9802" s="1">
        <v>7.8255142757525202E-3</v>
      </c>
      <c r="E9802" s="1">
        <v>1.4154895858271401E-2</v>
      </c>
      <c r="F9802" s="1">
        <v>9.8115771286780493E-3</v>
      </c>
    </row>
    <row r="9803" spans="1:6" x14ac:dyDescent="0.25">
      <c r="A9803" s="2" t="str">
        <f t="shared" si="344"/>
        <v>12060</v>
      </c>
      <c r="B9803" s="2" t="str">
        <f>"30013"</f>
        <v>30013</v>
      </c>
      <c r="C9803" s="1">
        <v>4.78707335759577E-3</v>
      </c>
      <c r="D9803" s="1">
        <v>8.8292368538755994E-3</v>
      </c>
      <c r="E9803" s="1">
        <v>5.9701939190806696E-3</v>
      </c>
      <c r="F9803" s="1">
        <v>5.1952450615228097E-3</v>
      </c>
    </row>
    <row r="9804" spans="1:6" x14ac:dyDescent="0.25">
      <c r="A9804" s="2" t="str">
        <f t="shared" si="344"/>
        <v>12060</v>
      </c>
      <c r="B9804" s="2" t="str">
        <f>"30039"</f>
        <v>30039</v>
      </c>
      <c r="C9804" s="1">
        <v>6.7630735805832096E-3</v>
      </c>
      <c r="D9804" s="1">
        <v>3.80710212965278E-3</v>
      </c>
      <c r="E9804" s="1">
        <v>1.9451759636102399E-3</v>
      </c>
      <c r="F9804" s="1">
        <v>6.3766933620970998E-3</v>
      </c>
    </row>
    <row r="9805" spans="1:6" x14ac:dyDescent="0.25">
      <c r="A9805" s="2" t="str">
        <f t="shared" si="344"/>
        <v>12060</v>
      </c>
      <c r="B9805" s="2" t="str">
        <f>"30004"</f>
        <v>30004</v>
      </c>
      <c r="C9805" s="1">
        <v>9.6227368846092693E-3</v>
      </c>
      <c r="D9805" s="1">
        <v>8.1953068045347108E-3</v>
      </c>
      <c r="E9805" s="1">
        <v>6.5836724922192901E-3</v>
      </c>
      <c r="F9805" s="1">
        <v>9.4203117945537498E-3</v>
      </c>
    </row>
    <row r="9806" spans="1:6" x14ac:dyDescent="0.25">
      <c r="A9806" s="2" t="str">
        <f t="shared" si="344"/>
        <v>12060</v>
      </c>
      <c r="B9806" s="2" t="str">
        <f>"30002"</f>
        <v>30002</v>
      </c>
      <c r="C9806" s="1">
        <v>1.2712544324404501E-3</v>
      </c>
      <c r="D9806" s="1">
        <v>1.2115107609625799E-3</v>
      </c>
      <c r="E9806" s="1">
        <v>1.0174766578884299E-3</v>
      </c>
      <c r="F9806" s="1">
        <v>1.2599675342931001E-3</v>
      </c>
    </row>
    <row r="9807" spans="1:6" x14ac:dyDescent="0.25">
      <c r="A9807" s="2" t="str">
        <f t="shared" si="344"/>
        <v>12060</v>
      </c>
      <c r="B9807" s="2" t="str">
        <f>"30019"</f>
        <v>30019</v>
      </c>
      <c r="C9807" s="1">
        <v>6.6112763846503204E-3</v>
      </c>
      <c r="D9807" s="1">
        <v>4.2719841658361004E-3</v>
      </c>
      <c r="E9807" s="1">
        <v>2.3641369403878299E-3</v>
      </c>
      <c r="F9807" s="1">
        <v>6.2958451680561103E-3</v>
      </c>
    </row>
    <row r="9808" spans="1:6" x14ac:dyDescent="0.25">
      <c r="A9808" s="2" t="str">
        <f t="shared" ref="A9808:A9871" si="345">"12060"</f>
        <v>12060</v>
      </c>
      <c r="B9808" s="2" t="str">
        <f>"31816"</f>
        <v>31816</v>
      </c>
      <c r="C9808" s="1">
        <v>9.90260119373616E-4</v>
      </c>
      <c r="D9808" s="1">
        <v>1.0495064150199099E-3</v>
      </c>
      <c r="E9808" s="1">
        <v>8.3792195355518299E-4</v>
      </c>
      <c r="F9808" s="1">
        <v>9.9246980586119391E-4</v>
      </c>
    </row>
    <row r="9809" spans="1:6" x14ac:dyDescent="0.25">
      <c r="A9809" s="2" t="str">
        <f t="shared" si="345"/>
        <v>12060</v>
      </c>
      <c r="B9809" s="2" t="str">
        <f>"31145"</f>
        <v>31145</v>
      </c>
      <c r="C9809" s="1">
        <v>2.9794437216604399E-4</v>
      </c>
      <c r="D9809" s="1">
        <v>7.7480339363886403E-4</v>
      </c>
      <c r="E9809" s="1">
        <v>1.49628920277711E-5</v>
      </c>
      <c r="F9809" s="1">
        <v>3.3670112086206099E-4</v>
      </c>
    </row>
    <row r="9810" spans="1:6" x14ac:dyDescent="0.25">
      <c r="A9810" s="2" t="str">
        <f t="shared" si="345"/>
        <v>12060</v>
      </c>
      <c r="B9810" s="2" t="str">
        <f>"31107"</f>
        <v>31107</v>
      </c>
      <c r="C9810" s="1">
        <v>1.4501717229320699E-4</v>
      </c>
      <c r="D9810" s="1">
        <v>7.1493222231222401E-4</v>
      </c>
      <c r="E9810" s="1">
        <v>1.49628920277711E-5</v>
      </c>
      <c r="F9810" s="1">
        <v>1.9596537567959801E-4</v>
      </c>
    </row>
    <row r="9811" spans="1:6" x14ac:dyDescent="0.25">
      <c r="A9811" s="2" t="str">
        <f t="shared" si="345"/>
        <v>12060</v>
      </c>
      <c r="B9811" s="2" t="str">
        <f>"30656"</f>
        <v>30656</v>
      </c>
      <c r="C9811" s="1">
        <v>2.62010246875727E-3</v>
      </c>
      <c r="D9811" s="1">
        <v>5.0010037225781199E-4</v>
      </c>
      <c r="E9811" s="1">
        <v>5.2370122097198898E-4</v>
      </c>
      <c r="F9811" s="1">
        <v>2.3732105682896E-3</v>
      </c>
    </row>
    <row r="9812" spans="1:6" x14ac:dyDescent="0.25">
      <c r="A9812" s="2" t="str">
        <f t="shared" si="345"/>
        <v>12060</v>
      </c>
      <c r="B9812" s="2" t="str">
        <f>"30518"</f>
        <v>30518</v>
      </c>
      <c r="C9812" s="1">
        <v>6.8512138878990799E-3</v>
      </c>
      <c r="D9812" s="1">
        <v>7.5648985888012703E-3</v>
      </c>
      <c r="E9812" s="1">
        <v>7.9452956667464599E-3</v>
      </c>
      <c r="F9812" s="1">
        <v>6.9429634290014697E-3</v>
      </c>
    </row>
    <row r="9813" spans="1:6" x14ac:dyDescent="0.25">
      <c r="A9813" s="2" t="str">
        <f t="shared" si="345"/>
        <v>12060</v>
      </c>
      <c r="B9813" s="2" t="str">
        <f>"30534"</f>
        <v>30534</v>
      </c>
      <c r="C9813" s="1">
        <v>5.1256978715999097E-3</v>
      </c>
      <c r="D9813" s="1">
        <v>5.6490211063488002E-3</v>
      </c>
      <c r="E9813" s="1">
        <v>3.0225041896097598E-3</v>
      </c>
      <c r="F9813" s="1">
        <v>5.1283706294148303E-3</v>
      </c>
    </row>
    <row r="9814" spans="1:6" x14ac:dyDescent="0.25">
      <c r="A9814" s="2" t="str">
        <f t="shared" si="345"/>
        <v>12060</v>
      </c>
      <c r="B9814" s="2" t="str">
        <f>"30343"</f>
        <v>30343</v>
      </c>
      <c r="C9814" s="1">
        <v>2.8250098498676699E-4</v>
      </c>
      <c r="D9814" s="1">
        <v>6.6562655180793301E-4</v>
      </c>
      <c r="E9814" s="1">
        <v>1.49628920277711E-5</v>
      </c>
      <c r="F9814" s="1">
        <v>3.1274610040547102E-4</v>
      </c>
    </row>
    <row r="9815" spans="1:6" x14ac:dyDescent="0.25">
      <c r="A9815" s="2" t="str">
        <f t="shared" si="345"/>
        <v>12060</v>
      </c>
      <c r="B9815" s="2" t="str">
        <f>"30340"</f>
        <v>30340</v>
      </c>
      <c r="C9815" s="1">
        <v>4.6898930187603202E-3</v>
      </c>
      <c r="D9815" s="1">
        <v>9.7590009262422308E-3</v>
      </c>
      <c r="E9815" s="1">
        <v>1.48581517835767E-2</v>
      </c>
      <c r="F9815" s="1">
        <v>5.3948702319943902E-3</v>
      </c>
    </row>
    <row r="9816" spans="1:6" x14ac:dyDescent="0.25">
      <c r="A9816" s="2" t="str">
        <f t="shared" si="345"/>
        <v>12060</v>
      </c>
      <c r="B9816" s="2" t="str">
        <f>"30325"</f>
        <v>30325</v>
      </c>
      <c r="C9816" s="1">
        <v>2.5877090224787902E-4</v>
      </c>
      <c r="D9816" s="1">
        <v>1.72922030125764E-3</v>
      </c>
      <c r="E9816" s="1">
        <v>1.49628920277711E-5</v>
      </c>
      <c r="F9816" s="1">
        <v>3.9226345997664998E-4</v>
      </c>
    </row>
    <row r="9817" spans="1:6" x14ac:dyDescent="0.25">
      <c r="A9817" s="2" t="str">
        <f t="shared" si="345"/>
        <v>12060</v>
      </c>
      <c r="B9817" s="2" t="str">
        <f>"30326"</f>
        <v>30326</v>
      </c>
      <c r="C9817" s="1">
        <v>2.6735893219147601E-3</v>
      </c>
      <c r="D9817" s="1">
        <v>6.7795296943400597E-3</v>
      </c>
      <c r="E9817" s="1">
        <v>2.5736174287766299E-3</v>
      </c>
      <c r="F9817" s="1">
        <v>3.0592557374769301E-3</v>
      </c>
    </row>
    <row r="9818" spans="1:6" x14ac:dyDescent="0.25">
      <c r="A9818" s="2" t="str">
        <f t="shared" si="345"/>
        <v>12060</v>
      </c>
      <c r="B9818" s="2" t="str">
        <f>"30359"</f>
        <v>30359</v>
      </c>
      <c r="C9818" s="1">
        <v>4.2563481738006298E-4</v>
      </c>
      <c r="D9818" s="1">
        <v>1.0072444117305199E-3</v>
      </c>
      <c r="E9818" s="1">
        <v>1.49628920277711E-5</v>
      </c>
      <c r="F9818" s="1">
        <v>4.7144811093037601E-4</v>
      </c>
    </row>
    <row r="9819" spans="1:6" x14ac:dyDescent="0.25">
      <c r="A9819" s="2" t="str">
        <f t="shared" si="345"/>
        <v>12060</v>
      </c>
      <c r="B9819" s="2" t="str">
        <f>"30316"</f>
        <v>30316</v>
      </c>
      <c r="C9819" s="1">
        <v>6.8538505637589604E-3</v>
      </c>
      <c r="D9819" s="1">
        <v>4.3882046748819296E-3</v>
      </c>
      <c r="E9819" s="1">
        <v>1.0324395499162E-2</v>
      </c>
      <c r="F9819" s="1">
        <v>6.6980898865563396E-3</v>
      </c>
    </row>
    <row r="9820" spans="1:6" x14ac:dyDescent="0.25">
      <c r="A9820" s="2" t="str">
        <f t="shared" si="345"/>
        <v>12060</v>
      </c>
      <c r="B9820" s="2" t="str">
        <f>"30306"</f>
        <v>30306</v>
      </c>
      <c r="C9820" s="1">
        <v>4.9192838185695802E-3</v>
      </c>
      <c r="D9820" s="1">
        <v>2.10253466364728E-3</v>
      </c>
      <c r="E9820" s="1">
        <v>1.9960497965046599E-2</v>
      </c>
      <c r="F9820" s="1">
        <v>4.98763488423237E-3</v>
      </c>
    </row>
    <row r="9821" spans="1:6" x14ac:dyDescent="0.25">
      <c r="A9821" s="2" t="str">
        <f t="shared" si="345"/>
        <v>12060</v>
      </c>
      <c r="B9821" s="2" t="str">
        <f>"30289"</f>
        <v>30289</v>
      </c>
      <c r="C9821" s="1">
        <v>0</v>
      </c>
      <c r="D9821" s="1">
        <v>0</v>
      </c>
      <c r="E9821" s="1">
        <v>1.49628920277711E-5</v>
      </c>
      <c r="F9821" s="1">
        <v>3.3270861745262897E-7</v>
      </c>
    </row>
    <row r="9822" spans="1:6" x14ac:dyDescent="0.25">
      <c r="A9822" s="2" t="str">
        <f t="shared" si="345"/>
        <v>12060</v>
      </c>
      <c r="B9822" s="2" t="str">
        <f>"30284"</f>
        <v>30284</v>
      </c>
      <c r="C9822" s="1">
        <v>2.4219751112865501E-4</v>
      </c>
      <c r="D9822" s="1">
        <v>2.28919184484209E-4</v>
      </c>
      <c r="E9822" s="1">
        <v>2.99257840555422E-5</v>
      </c>
      <c r="F9822" s="1">
        <v>2.36223118391367E-4</v>
      </c>
    </row>
    <row r="9823" spans="1:6" x14ac:dyDescent="0.25">
      <c r="A9823" s="2" t="str">
        <f t="shared" si="345"/>
        <v>12060</v>
      </c>
      <c r="B9823" s="2" t="str">
        <f>"30292"</f>
        <v>30292</v>
      </c>
      <c r="C9823" s="1">
        <v>1.10891053306805E-3</v>
      </c>
      <c r="D9823" s="1">
        <v>4.1557636567902701E-4</v>
      </c>
      <c r="E9823" s="1">
        <v>1.9451759636102399E-4</v>
      </c>
      <c r="F9823" s="1">
        <v>1.02307899866683E-3</v>
      </c>
    </row>
    <row r="9824" spans="1:6" x14ac:dyDescent="0.25">
      <c r="A9824" s="2" t="str">
        <f t="shared" si="345"/>
        <v>12060</v>
      </c>
      <c r="B9824" s="2" t="str">
        <f>"30233"</f>
        <v>30233</v>
      </c>
      <c r="C9824" s="1">
        <v>3.5203389409151002E-3</v>
      </c>
      <c r="D9824" s="1">
        <v>2.3737158514208802E-3</v>
      </c>
      <c r="E9824" s="1">
        <v>2.31924826430452E-3</v>
      </c>
      <c r="F9824" s="1">
        <v>3.3853101825805001E-3</v>
      </c>
    </row>
    <row r="9825" spans="1:6" x14ac:dyDescent="0.25">
      <c r="A9825" s="2" t="str">
        <f t="shared" si="345"/>
        <v>12060</v>
      </c>
      <c r="B9825" s="2" t="str">
        <f>"30228"</f>
        <v>30228</v>
      </c>
      <c r="C9825" s="1">
        <v>7.6975868389194402E-3</v>
      </c>
      <c r="D9825" s="1">
        <v>2.9372092286127798E-3</v>
      </c>
      <c r="E9825" s="1">
        <v>1.1671055781661401E-3</v>
      </c>
      <c r="F9825" s="1">
        <v>7.1026635653787399E-3</v>
      </c>
    </row>
    <row r="9826" spans="1:6" x14ac:dyDescent="0.25">
      <c r="A9826" s="2" t="str">
        <f t="shared" si="345"/>
        <v>12060</v>
      </c>
      <c r="B9826" s="2" t="str">
        <f>"30274"</f>
        <v>30274</v>
      </c>
      <c r="C9826" s="1">
        <v>5.8315736660868398E-3</v>
      </c>
      <c r="D9826" s="1">
        <v>5.5891499350221602E-3</v>
      </c>
      <c r="E9826" s="1">
        <v>5.5961216183864002E-3</v>
      </c>
      <c r="F9826" s="1">
        <v>5.8034364142262197E-3</v>
      </c>
    </row>
    <row r="9827" spans="1:6" x14ac:dyDescent="0.25">
      <c r="A9827" s="2" t="str">
        <f t="shared" si="345"/>
        <v>12060</v>
      </c>
      <c r="B9827" s="2" t="str">
        <f>"30264"</f>
        <v>30264</v>
      </c>
      <c r="C9827" s="1">
        <v>4.0491807848103302E-4</v>
      </c>
      <c r="D9827" s="1">
        <v>1.5073447839883301E-3</v>
      </c>
      <c r="E9827" s="1">
        <v>1.49628920277711E-5</v>
      </c>
      <c r="F9827" s="1">
        <v>5.0039376064875505E-4</v>
      </c>
    </row>
    <row r="9828" spans="1:6" x14ac:dyDescent="0.25">
      <c r="A9828" s="2" t="str">
        <f t="shared" si="345"/>
        <v>12060</v>
      </c>
      <c r="B9828" s="2" t="str">
        <f>"30215"</f>
        <v>30215</v>
      </c>
      <c r="C9828" s="1">
        <v>5.10912448048068E-3</v>
      </c>
      <c r="D9828" s="1">
        <v>9.1567673793683895E-4</v>
      </c>
      <c r="E9828" s="1">
        <v>2.45391429255446E-3</v>
      </c>
      <c r="F9828" s="1">
        <v>4.6539281409273799E-3</v>
      </c>
    </row>
    <row r="9829" spans="1:6" x14ac:dyDescent="0.25">
      <c r="A9829" s="2" t="str">
        <f t="shared" si="345"/>
        <v>12060</v>
      </c>
      <c r="B9829" s="2" t="str">
        <f>"30133"</f>
        <v>30133</v>
      </c>
      <c r="C9829" s="1">
        <v>4.4484488435916301E-4</v>
      </c>
      <c r="D9829" s="1">
        <v>1.9546176521343999E-3</v>
      </c>
      <c r="E9829" s="1">
        <v>1.49628920277711E-5</v>
      </c>
      <c r="F9829" s="1">
        <v>5.77914868515217E-4</v>
      </c>
    </row>
    <row r="9830" spans="1:6" x14ac:dyDescent="0.25">
      <c r="A9830" s="2" t="str">
        <f t="shared" si="345"/>
        <v>12060</v>
      </c>
      <c r="B9830" s="2" t="str">
        <f>"30126"</f>
        <v>30126</v>
      </c>
      <c r="C9830" s="1">
        <v>6.7608135727033197E-3</v>
      </c>
      <c r="D9830" s="1">
        <v>5.9976826334862902E-3</v>
      </c>
      <c r="E9830" s="1">
        <v>3.0973186497486199E-3</v>
      </c>
      <c r="F9830" s="1">
        <v>6.6072604339917698E-3</v>
      </c>
    </row>
    <row r="9831" spans="1:6" x14ac:dyDescent="0.25">
      <c r="A9831" s="2" t="str">
        <f t="shared" si="345"/>
        <v>12060</v>
      </c>
      <c r="B9831" s="2" t="str">
        <f>"30180"</f>
        <v>30180</v>
      </c>
      <c r="C9831" s="1">
        <v>6.5592962034127598E-3</v>
      </c>
      <c r="D9831" s="1">
        <v>4.9516980520738297E-3</v>
      </c>
      <c r="E9831" s="1">
        <v>2.7681350251376499E-3</v>
      </c>
      <c r="F9831" s="1">
        <v>6.3231272746872196E-3</v>
      </c>
    </row>
    <row r="9832" spans="1:6" x14ac:dyDescent="0.25">
      <c r="A9832" s="2" t="str">
        <f t="shared" si="345"/>
        <v>12060</v>
      </c>
      <c r="B9832" s="2" t="str">
        <f>"30179"</f>
        <v>30179</v>
      </c>
      <c r="C9832" s="1">
        <v>2.8024097710687302E-3</v>
      </c>
      <c r="D9832" s="1">
        <v>8.5932740021764896E-4</v>
      </c>
      <c r="E9832" s="1">
        <v>3.74072300694278E-4</v>
      </c>
      <c r="F9832" s="1">
        <v>2.5648507319423202E-3</v>
      </c>
    </row>
    <row r="9833" spans="1:6" x14ac:dyDescent="0.25">
      <c r="A9833" s="2" t="str">
        <f t="shared" si="345"/>
        <v>12060</v>
      </c>
      <c r="B9833" s="2" t="str">
        <f>"30156"</f>
        <v>30156</v>
      </c>
      <c r="C9833" s="1">
        <v>4.7573165871771602E-4</v>
      </c>
      <c r="D9833" s="1">
        <v>2.0250543242833902E-3</v>
      </c>
      <c r="E9833" s="1">
        <v>1.49628920277711E-5</v>
      </c>
      <c r="F9833" s="1">
        <v>6.1185114749538598E-4</v>
      </c>
    </row>
    <row r="9834" spans="1:6" x14ac:dyDescent="0.25">
      <c r="A9834" s="2" t="str">
        <f t="shared" si="345"/>
        <v>12060</v>
      </c>
      <c r="B9834" s="2" t="str">
        <f>"30171"</f>
        <v>30171</v>
      </c>
      <c r="C9834" s="1">
        <v>5.3938854733473496E-4</v>
      </c>
      <c r="D9834" s="1">
        <v>9.8611341008582695E-5</v>
      </c>
      <c r="E9834" s="1">
        <v>8.9777352166626703E-5</v>
      </c>
      <c r="F9834" s="1">
        <v>4.8775083318555501E-4</v>
      </c>
    </row>
    <row r="9835" spans="1:6" x14ac:dyDescent="0.25">
      <c r="A9835" s="2" t="str">
        <f t="shared" si="345"/>
        <v>12060</v>
      </c>
      <c r="B9835" s="2" t="str">
        <f>"30110"</f>
        <v>30110</v>
      </c>
      <c r="C9835" s="1">
        <v>2.4317684787660901E-3</v>
      </c>
      <c r="D9835" s="1">
        <v>2.10253466364728E-3</v>
      </c>
      <c r="E9835" s="1">
        <v>1.9451759636102399E-3</v>
      </c>
      <c r="F9835" s="1">
        <v>2.3898459991622302E-3</v>
      </c>
    </row>
    <row r="9836" spans="1:6" x14ac:dyDescent="0.25">
      <c r="A9836" s="2" t="str">
        <f t="shared" si="345"/>
        <v>12060</v>
      </c>
      <c r="B9836" s="2" t="str">
        <f>"30069"</f>
        <v>30069</v>
      </c>
      <c r="C9836" s="1">
        <v>0</v>
      </c>
      <c r="D9836" s="1">
        <v>3.5218336074493801E-6</v>
      </c>
      <c r="E9836" s="1">
        <v>2.3342111563322901E-3</v>
      </c>
      <c r="F9836" s="1">
        <v>5.2235252940062799E-5</v>
      </c>
    </row>
    <row r="9837" spans="1:6" x14ac:dyDescent="0.25">
      <c r="A9837" s="2" t="str">
        <f t="shared" si="345"/>
        <v>12060</v>
      </c>
      <c r="B9837" s="2" t="str">
        <f>"30098"</f>
        <v>30098</v>
      </c>
      <c r="C9837" s="1">
        <v>0</v>
      </c>
      <c r="D9837" s="1">
        <v>3.5218336074493801E-6</v>
      </c>
      <c r="E9837" s="1">
        <v>0</v>
      </c>
      <c r="F9837" s="1">
        <v>3.3270861745262897E-7</v>
      </c>
    </row>
    <row r="9838" spans="1:6" x14ac:dyDescent="0.25">
      <c r="A9838" s="2" t="str">
        <f t="shared" si="345"/>
        <v>12060</v>
      </c>
      <c r="B9838" s="2" t="str">
        <f>"30081"</f>
        <v>30081</v>
      </c>
      <c r="C9838" s="1">
        <v>7.4994594814487199E-4</v>
      </c>
      <c r="D9838" s="1">
        <v>1.6623054627161E-3</v>
      </c>
      <c r="E9838" s="1">
        <v>2.99257840555422E-5</v>
      </c>
      <c r="F9838" s="1">
        <v>8.2012674202073198E-4</v>
      </c>
    </row>
    <row r="9839" spans="1:6" x14ac:dyDescent="0.25">
      <c r="A9839" s="2" t="str">
        <f t="shared" si="345"/>
        <v>12060</v>
      </c>
      <c r="B9839" s="2" t="str">
        <f>"30092"</f>
        <v>30092</v>
      </c>
      <c r="C9839" s="1">
        <v>5.8850605192443404E-3</v>
      </c>
      <c r="D9839" s="1">
        <v>9.4561232360015901E-3</v>
      </c>
      <c r="E9839" s="1">
        <v>2.36114436198228E-2</v>
      </c>
      <c r="F9839" s="1">
        <v>6.6165762752804398E-3</v>
      </c>
    </row>
    <row r="9840" spans="1:6" x14ac:dyDescent="0.25">
      <c r="A9840" s="2" t="str">
        <f t="shared" si="345"/>
        <v>12060</v>
      </c>
      <c r="B9840" s="2" t="str">
        <f>"30049"</f>
        <v>30049</v>
      </c>
      <c r="C9840" s="1">
        <v>4.94565057716834E-4</v>
      </c>
      <c r="D9840" s="1">
        <v>1.59186879056712E-3</v>
      </c>
      <c r="E9840" s="1">
        <v>1.49628920277711E-5</v>
      </c>
      <c r="F9840" s="1">
        <v>5.8756341842134405E-4</v>
      </c>
    </row>
    <row r="9841" spans="1:6" x14ac:dyDescent="0.25">
      <c r="A9841" s="2" t="str">
        <f t="shared" si="345"/>
        <v>12060</v>
      </c>
      <c r="B9841" s="2" t="str">
        <f>"30046"</f>
        <v>30046</v>
      </c>
      <c r="C9841" s="1">
        <v>5.7362766671513101E-3</v>
      </c>
      <c r="D9841" s="1">
        <v>1.28723018352274E-2</v>
      </c>
      <c r="E9841" s="1">
        <v>9.3368446253291795E-3</v>
      </c>
      <c r="F9841" s="1">
        <v>6.4904797092658999E-3</v>
      </c>
    </row>
    <row r="9842" spans="1:6" x14ac:dyDescent="0.25">
      <c r="A9842" s="2" t="str">
        <f t="shared" si="345"/>
        <v>12060</v>
      </c>
      <c r="B9842" s="2" t="str">
        <f>"30052"</f>
        <v>30052</v>
      </c>
      <c r="C9842" s="1">
        <v>1.05301300483867E-2</v>
      </c>
      <c r="D9842" s="1">
        <v>8.17769763649746E-3</v>
      </c>
      <c r="E9842" s="1">
        <v>5.37167823796983E-3</v>
      </c>
      <c r="F9842" s="1">
        <v>1.0193193912896199E-2</v>
      </c>
    </row>
    <row r="9843" spans="1:6" x14ac:dyDescent="0.25">
      <c r="A9843" s="2" t="str">
        <f t="shared" si="345"/>
        <v>12060</v>
      </c>
      <c r="B9843" s="2" t="str">
        <f>"30045"</f>
        <v>30045</v>
      </c>
      <c r="C9843" s="1">
        <v>5.0887844095616397E-3</v>
      </c>
      <c r="D9843" s="1">
        <v>1.1622050904582901E-3</v>
      </c>
      <c r="E9843" s="1">
        <v>7.6310749341632696E-4</v>
      </c>
      <c r="F9843" s="1">
        <v>4.6216554050344796E-3</v>
      </c>
    </row>
    <row r="9844" spans="1:6" x14ac:dyDescent="0.25">
      <c r="A9844" s="2" t="str">
        <f t="shared" si="345"/>
        <v>12060</v>
      </c>
      <c r="B9844" s="2" t="str">
        <f>"30009"</f>
        <v>30009</v>
      </c>
      <c r="C9844" s="1">
        <v>3.7711998155833498E-3</v>
      </c>
      <c r="D9844" s="1">
        <v>9.6815205868783505E-3</v>
      </c>
      <c r="E9844" s="1">
        <v>6.5986353842470598E-3</v>
      </c>
      <c r="F9844" s="1">
        <v>4.3924191676096101E-3</v>
      </c>
    </row>
    <row r="9845" spans="1:6" x14ac:dyDescent="0.25">
      <c r="A9845" s="2" t="str">
        <f t="shared" si="345"/>
        <v>12060</v>
      </c>
      <c r="B9845" s="2" t="str">
        <f>"30006"</f>
        <v>30006</v>
      </c>
      <c r="C9845" s="1">
        <v>7.2885254126586003E-4</v>
      </c>
      <c r="D9845" s="1">
        <v>1.9651831529567498E-3</v>
      </c>
      <c r="E9845" s="1">
        <v>1.49628920277711E-5</v>
      </c>
      <c r="F9845" s="1">
        <v>8.2977529192685795E-4</v>
      </c>
    </row>
    <row r="9846" spans="1:6" x14ac:dyDescent="0.25">
      <c r="A9846" s="2" t="str">
        <f t="shared" si="345"/>
        <v>12060</v>
      </c>
      <c r="B9846" s="2" t="str">
        <f>"30012"</f>
        <v>30012</v>
      </c>
      <c r="C9846" s="1">
        <v>4.8556269299525603E-3</v>
      </c>
      <c r="D9846" s="1">
        <v>7.1915842264116299E-3</v>
      </c>
      <c r="E9846" s="1">
        <v>6.9876705769691102E-3</v>
      </c>
      <c r="F9846" s="1">
        <v>5.1237127087704901E-3</v>
      </c>
    </row>
    <row r="9847" spans="1:6" x14ac:dyDescent="0.25">
      <c r="A9847" s="2" t="str">
        <f t="shared" si="345"/>
        <v>12060</v>
      </c>
      <c r="B9847" s="2" t="str">
        <f>"30040"</f>
        <v>30040</v>
      </c>
      <c r="C9847" s="1">
        <v>1.1166322266576901E-2</v>
      </c>
      <c r="D9847" s="1">
        <v>9.8188720975688707E-3</v>
      </c>
      <c r="E9847" s="1">
        <v>6.6285611683026E-3</v>
      </c>
      <c r="F9847" s="1">
        <v>1.0938128507372601E-2</v>
      </c>
    </row>
    <row r="9848" spans="1:6" x14ac:dyDescent="0.25">
      <c r="A9848" s="2" t="str">
        <f t="shared" si="345"/>
        <v>12060</v>
      </c>
      <c r="B9848" s="2" t="str">
        <f>"30030"</f>
        <v>30030</v>
      </c>
      <c r="C9848" s="1">
        <v>5.6036895381975198E-3</v>
      </c>
      <c r="D9848" s="1">
        <v>6.3956498311280698E-3</v>
      </c>
      <c r="E9848" s="1">
        <v>1.35863059612161E-2</v>
      </c>
      <c r="F9848" s="1">
        <v>5.8560043757837302E-3</v>
      </c>
    </row>
    <row r="9849" spans="1:6" x14ac:dyDescent="0.25">
      <c r="A9849" s="2" t="str">
        <f t="shared" si="345"/>
        <v>12060</v>
      </c>
      <c r="B9849" s="2" t="str">
        <f>"31141"</f>
        <v>31141</v>
      </c>
      <c r="C9849" s="1">
        <v>2.6442092194761397E-4</v>
      </c>
      <c r="D9849" s="1">
        <v>6.1279904769619197E-4</v>
      </c>
      <c r="E9849" s="1">
        <v>1.49628920277711E-5</v>
      </c>
      <c r="F9849" s="1">
        <v>2.91785457505956E-4</v>
      </c>
    </row>
    <row r="9850" spans="1:6" x14ac:dyDescent="0.25">
      <c r="A9850" s="2" t="str">
        <f t="shared" si="345"/>
        <v>12060</v>
      </c>
      <c r="B9850" s="2" t="str">
        <f>"30655"</f>
        <v>30655</v>
      </c>
      <c r="C9850" s="1">
        <v>4.7746433142563504E-3</v>
      </c>
      <c r="D9850" s="1">
        <v>5.0573530602973102E-3</v>
      </c>
      <c r="E9850" s="1">
        <v>5.4315298060809104E-3</v>
      </c>
      <c r="F9850" s="1">
        <v>4.8159572376268098E-3</v>
      </c>
    </row>
    <row r="9851" spans="1:6" x14ac:dyDescent="0.25">
      <c r="A9851" s="2" t="str">
        <f t="shared" si="345"/>
        <v>12060</v>
      </c>
      <c r="B9851" s="2" t="str">
        <f>"30650"</f>
        <v>30650</v>
      </c>
      <c r="C9851" s="1">
        <v>2.13646078245992E-3</v>
      </c>
      <c r="D9851" s="1">
        <v>2.6308097047646798E-3</v>
      </c>
      <c r="E9851" s="1">
        <v>1.4813263107493399E-3</v>
      </c>
      <c r="F9851" s="1">
        <v>2.1685947685562402E-3</v>
      </c>
    </row>
    <row r="9852" spans="1:6" x14ac:dyDescent="0.25">
      <c r="A9852" s="2" t="str">
        <f t="shared" si="345"/>
        <v>12060</v>
      </c>
      <c r="B9852" s="2" t="str">
        <f>"30548"</f>
        <v>30548</v>
      </c>
      <c r="C9852" s="1">
        <v>1.13301728378692E-3</v>
      </c>
      <c r="D9852" s="1">
        <v>1.54960678727772E-4</v>
      </c>
      <c r="E9852" s="1">
        <v>1.79554704333253E-4</v>
      </c>
      <c r="F9852" s="1">
        <v>1.0194192038748501E-3</v>
      </c>
    </row>
    <row r="9853" spans="1:6" x14ac:dyDescent="0.25">
      <c r="A9853" s="2" t="str">
        <f t="shared" si="345"/>
        <v>12060</v>
      </c>
      <c r="B9853" s="2" t="str">
        <f>"30342"</f>
        <v>30342</v>
      </c>
      <c r="C9853" s="1">
        <v>6.1796148795905401E-3</v>
      </c>
      <c r="D9853" s="1">
        <v>9.3856865638526008E-3</v>
      </c>
      <c r="E9853" s="1">
        <v>7.0026334689968798E-3</v>
      </c>
      <c r="F9853" s="1">
        <v>6.50079367640693E-3</v>
      </c>
    </row>
    <row r="9854" spans="1:6" x14ac:dyDescent="0.25">
      <c r="A9854" s="2" t="str">
        <f t="shared" si="345"/>
        <v>12060</v>
      </c>
      <c r="B9854" s="2" t="str">
        <f>"30339"</f>
        <v>30339</v>
      </c>
      <c r="C9854" s="1">
        <v>7.5182928804478398E-3</v>
      </c>
      <c r="D9854" s="1">
        <v>1.4869181490651201E-2</v>
      </c>
      <c r="E9854" s="1">
        <v>1.1132391668661701E-2</v>
      </c>
      <c r="F9854" s="1">
        <v>8.2930949986242397E-3</v>
      </c>
    </row>
    <row r="9855" spans="1:6" x14ac:dyDescent="0.25">
      <c r="A9855" s="2" t="str">
        <f t="shared" si="345"/>
        <v>12060</v>
      </c>
      <c r="B9855" s="2" t="str">
        <f>"30398"</f>
        <v>30398</v>
      </c>
      <c r="C9855" s="1">
        <v>0</v>
      </c>
      <c r="D9855" s="1">
        <v>0</v>
      </c>
      <c r="E9855" s="1">
        <v>1.49628920277711E-5</v>
      </c>
      <c r="F9855" s="1">
        <v>3.3270861745262897E-7</v>
      </c>
    </row>
    <row r="9856" spans="1:6" x14ac:dyDescent="0.25">
      <c r="A9856" s="2" t="str">
        <f t="shared" si="345"/>
        <v>12060</v>
      </c>
      <c r="B9856" s="2" t="str">
        <f>"30349"</f>
        <v>30349</v>
      </c>
      <c r="C9856" s="1">
        <v>1.3715987823077499E-2</v>
      </c>
      <c r="D9856" s="1">
        <v>8.9630665309586698E-3</v>
      </c>
      <c r="E9856" s="1">
        <v>1.4708522863299E-2</v>
      </c>
      <c r="F9856" s="1">
        <v>1.32890475982929E-2</v>
      </c>
    </row>
    <row r="9857" spans="1:6" x14ac:dyDescent="0.25">
      <c r="A9857" s="2" t="str">
        <f t="shared" si="345"/>
        <v>12060</v>
      </c>
      <c r="B9857" s="2" t="str">
        <f>"30346"</f>
        <v>30346</v>
      </c>
      <c r="C9857" s="1">
        <v>1.5503654056073801E-3</v>
      </c>
      <c r="D9857" s="1">
        <v>3.39152576397375E-3</v>
      </c>
      <c r="E9857" s="1">
        <v>1.36162317452717E-3</v>
      </c>
      <c r="F9857" s="1">
        <v>1.72010355223009E-3</v>
      </c>
    </row>
    <row r="9858" spans="1:6" x14ac:dyDescent="0.25">
      <c r="A9858" s="2" t="str">
        <f t="shared" si="345"/>
        <v>12060</v>
      </c>
      <c r="B9858" s="2" t="str">
        <f>"30321"</f>
        <v>30321</v>
      </c>
      <c r="C9858" s="1">
        <v>5.3449186359496399E-4</v>
      </c>
      <c r="D9858" s="1">
        <v>2.9794712319021698E-3</v>
      </c>
      <c r="E9858" s="1">
        <v>1.49628920277711E-5</v>
      </c>
      <c r="F9858" s="1">
        <v>7.5391772714765903E-4</v>
      </c>
    </row>
    <row r="9859" spans="1:6" x14ac:dyDescent="0.25">
      <c r="A9859" s="2" t="str">
        <f t="shared" si="345"/>
        <v>12060</v>
      </c>
      <c r="B9859" s="2" t="str">
        <f>"30312"</f>
        <v>30312</v>
      </c>
      <c r="C9859" s="1">
        <v>5.8417437015463704E-3</v>
      </c>
      <c r="D9859" s="1">
        <v>3.83175496490492E-3</v>
      </c>
      <c r="E9859" s="1">
        <v>1.13119463729949E-2</v>
      </c>
      <c r="F9859" s="1">
        <v>5.7734926386554799E-3</v>
      </c>
    </row>
    <row r="9860" spans="1:6" x14ac:dyDescent="0.25">
      <c r="A9860" s="2" t="str">
        <f t="shared" si="345"/>
        <v>12060</v>
      </c>
      <c r="B9860" s="2" t="str">
        <f>"30238"</f>
        <v>30238</v>
      </c>
      <c r="C9860" s="1">
        <v>5.8255469784071296E-3</v>
      </c>
      <c r="D9860" s="1">
        <v>1.0037225781230699E-3</v>
      </c>
      <c r="E9860" s="1">
        <v>8.6784773761072504E-4</v>
      </c>
      <c r="F9860" s="1">
        <v>5.2597905333086198E-3</v>
      </c>
    </row>
    <row r="9861" spans="1:6" x14ac:dyDescent="0.25">
      <c r="A9861" s="2" t="str">
        <f t="shared" si="345"/>
        <v>12060</v>
      </c>
      <c r="B9861" s="2" t="str">
        <f>"30252"</f>
        <v>30252</v>
      </c>
      <c r="C9861" s="1">
        <v>6.7122234032855896E-3</v>
      </c>
      <c r="D9861" s="1">
        <v>1.47564828152129E-3</v>
      </c>
      <c r="E9861" s="1">
        <v>3.4414651663873498E-4</v>
      </c>
      <c r="F9861" s="1">
        <v>6.0759247719199203E-3</v>
      </c>
    </row>
    <row r="9862" spans="1:6" x14ac:dyDescent="0.25">
      <c r="A9862" s="2" t="str">
        <f t="shared" si="345"/>
        <v>12060</v>
      </c>
      <c r="B9862" s="2" t="str">
        <f>"30285"</f>
        <v>30285</v>
      </c>
      <c r="C9862" s="1">
        <v>4.2186813758023902E-5</v>
      </c>
      <c r="D9862" s="1">
        <v>3.5218336074493801E-6</v>
      </c>
      <c r="E9862" s="1">
        <v>0</v>
      </c>
      <c r="F9862" s="1">
        <v>3.75960737721471E-5</v>
      </c>
    </row>
    <row r="9863" spans="1:6" x14ac:dyDescent="0.25">
      <c r="A9863" s="2" t="str">
        <f t="shared" si="345"/>
        <v>12060</v>
      </c>
      <c r="B9863" s="2" t="str">
        <f>"30302"</f>
        <v>30302</v>
      </c>
      <c r="C9863" s="1">
        <v>4.4823489617900399E-4</v>
      </c>
      <c r="D9863" s="1">
        <v>7.3958505756437001E-4</v>
      </c>
      <c r="E9863" s="1">
        <v>1.49628920277711E-5</v>
      </c>
      <c r="F9863" s="1">
        <v>4.6612477305113401E-4</v>
      </c>
    </row>
    <row r="9864" spans="1:6" x14ac:dyDescent="0.25">
      <c r="A9864" s="2" t="str">
        <f t="shared" si="345"/>
        <v>12060</v>
      </c>
      <c r="B9864" s="2" t="str">
        <f>"30229"</f>
        <v>30229</v>
      </c>
      <c r="C9864" s="1">
        <v>0</v>
      </c>
      <c r="D9864" s="1">
        <v>0</v>
      </c>
      <c r="E9864" s="1">
        <v>1.49628920277711E-5</v>
      </c>
      <c r="F9864" s="1">
        <v>3.3270861745262897E-7</v>
      </c>
    </row>
    <row r="9865" spans="1:6" x14ac:dyDescent="0.25">
      <c r="A9865" s="2" t="str">
        <f t="shared" si="345"/>
        <v>12060</v>
      </c>
      <c r="B9865" s="2" t="str">
        <f>"30276"</f>
        <v>30276</v>
      </c>
      <c r="C9865" s="1">
        <v>3.1109008466742799E-3</v>
      </c>
      <c r="D9865" s="1">
        <v>1.22207626178493E-3</v>
      </c>
      <c r="E9865" s="1">
        <v>4.9377543691644704E-4</v>
      </c>
      <c r="F9865" s="1">
        <v>2.8742697461732599E-3</v>
      </c>
    </row>
    <row r="9866" spans="1:6" x14ac:dyDescent="0.25">
      <c r="A9866" s="2" t="str">
        <f t="shared" si="345"/>
        <v>12060</v>
      </c>
      <c r="B9866" s="2" t="str">
        <f>"30268"</f>
        <v>30268</v>
      </c>
      <c r="C9866" s="1">
        <v>2.4871386718234999E-3</v>
      </c>
      <c r="D9866" s="1">
        <v>1.50382295038088E-3</v>
      </c>
      <c r="E9866" s="1">
        <v>9.72587981805123E-4</v>
      </c>
      <c r="F9866" s="1">
        <v>2.3605676408263998E-3</v>
      </c>
    </row>
    <row r="9867" spans="1:6" x14ac:dyDescent="0.25">
      <c r="A9867" s="2" t="str">
        <f t="shared" si="345"/>
        <v>12060</v>
      </c>
      <c r="B9867" s="2" t="str">
        <f>"30223"</f>
        <v>30223</v>
      </c>
      <c r="C9867" s="1">
        <v>6.4937559748958302E-3</v>
      </c>
      <c r="D9867" s="1">
        <v>5.4975822612284798E-3</v>
      </c>
      <c r="E9867" s="1">
        <v>6.3891548958582697E-3</v>
      </c>
      <c r="F9867" s="1">
        <v>6.39732129637916E-3</v>
      </c>
    </row>
    <row r="9868" spans="1:6" x14ac:dyDescent="0.25">
      <c r="A9868" s="2" t="str">
        <f t="shared" si="345"/>
        <v>12060</v>
      </c>
      <c r="B9868" s="2" t="str">
        <f>"30188"</f>
        <v>30188</v>
      </c>
      <c r="C9868" s="1">
        <v>1.0721477382217799E-2</v>
      </c>
      <c r="D9868" s="1">
        <v>1.0671155830571599E-2</v>
      </c>
      <c r="E9868" s="1">
        <v>8.0350730189130901E-3</v>
      </c>
      <c r="F9868" s="1">
        <v>1.06569897256251E-2</v>
      </c>
    </row>
    <row r="9869" spans="1:6" x14ac:dyDescent="0.25">
      <c r="A9869" s="2" t="str">
        <f t="shared" si="345"/>
        <v>12060</v>
      </c>
      <c r="B9869" s="2" t="str">
        <f>"30123"</f>
        <v>30123</v>
      </c>
      <c r="C9869" s="1">
        <v>3.3259782632442101E-4</v>
      </c>
      <c r="D9869" s="1">
        <v>3.5570519435238699E-4</v>
      </c>
      <c r="E9869" s="1">
        <v>2.99257840555422E-5</v>
      </c>
      <c r="F9869" s="1">
        <v>3.2805069680829198E-4</v>
      </c>
    </row>
    <row r="9870" spans="1:6" x14ac:dyDescent="0.25">
      <c r="A9870" s="2" t="str">
        <f t="shared" si="345"/>
        <v>12060</v>
      </c>
      <c r="B9870" s="2" t="str">
        <f>"30184"</f>
        <v>30184</v>
      </c>
      <c r="C9870" s="1">
        <v>1.32022126983816E-3</v>
      </c>
      <c r="D9870" s="1">
        <v>4.2614186650137499E-4</v>
      </c>
      <c r="E9870" s="1">
        <v>1.3466602824994001E-4</v>
      </c>
      <c r="F9870" s="1">
        <v>1.2093958244402999E-3</v>
      </c>
    </row>
    <row r="9871" spans="1:6" x14ac:dyDescent="0.25">
      <c r="A9871" s="2" t="str">
        <f t="shared" si="345"/>
        <v>12060</v>
      </c>
      <c r="B9871" s="2" t="str">
        <f>"30178"</f>
        <v>30178</v>
      </c>
      <c r="C9871" s="1">
        <v>5.6462530199355204E-4</v>
      </c>
      <c r="D9871" s="1">
        <v>1.1974234265327899E-4</v>
      </c>
      <c r="E9871" s="1">
        <v>1.3466602824994001E-4</v>
      </c>
      <c r="F9871" s="1">
        <v>5.1303668811195503E-4</v>
      </c>
    </row>
    <row r="9872" spans="1:6" x14ac:dyDescent="0.25">
      <c r="A9872" s="2" t="str">
        <f t="shared" ref="A9872:A9935" si="346">"12060"</f>
        <v>12060</v>
      </c>
      <c r="B9872" s="2" t="str">
        <f>"30145"</f>
        <v>30145</v>
      </c>
      <c r="C9872" s="1">
        <v>1.00193682675306E-3</v>
      </c>
      <c r="D9872" s="1">
        <v>2.0074451562461401E-4</v>
      </c>
      <c r="E9872" s="1">
        <v>1.19703136222169E-4</v>
      </c>
      <c r="F9872" s="1">
        <v>9.0663098255841599E-4</v>
      </c>
    </row>
    <row r="9873" spans="1:6" x14ac:dyDescent="0.25">
      <c r="A9873" s="2" t="str">
        <f t="shared" si="346"/>
        <v>12060</v>
      </c>
      <c r="B9873" s="2" t="str">
        <f>"30143"</f>
        <v>30143</v>
      </c>
      <c r="C9873" s="1">
        <v>5.230411570035E-3</v>
      </c>
      <c r="D9873" s="1">
        <v>5.3390997488932598E-3</v>
      </c>
      <c r="E9873" s="1">
        <v>4.6684223126645897E-3</v>
      </c>
      <c r="F9873" s="1">
        <v>5.2281832146506202E-3</v>
      </c>
    </row>
    <row r="9874" spans="1:6" x14ac:dyDescent="0.25">
      <c r="A9874" s="2" t="str">
        <f t="shared" si="346"/>
        <v>12060</v>
      </c>
      <c r="B9874" s="2" t="str">
        <f>"30141"</f>
        <v>30141</v>
      </c>
      <c r="C9874" s="1">
        <v>4.2066280004429604E-3</v>
      </c>
      <c r="D9874" s="1">
        <v>4.7896937061311599E-3</v>
      </c>
      <c r="E9874" s="1">
        <v>2.0349533157768699E-3</v>
      </c>
      <c r="F9874" s="1">
        <v>4.2134219314201001E-3</v>
      </c>
    </row>
    <row r="9875" spans="1:6" x14ac:dyDescent="0.25">
      <c r="A9875" s="2" t="str">
        <f t="shared" si="346"/>
        <v>12060</v>
      </c>
      <c r="B9875" s="2" t="str">
        <f>"30116"</f>
        <v>30116</v>
      </c>
      <c r="C9875" s="1">
        <v>3.8367400441002798E-3</v>
      </c>
      <c r="D9875" s="1">
        <v>1.3946461085499501E-3</v>
      </c>
      <c r="E9875" s="1">
        <v>1.7057696911658999E-3</v>
      </c>
      <c r="F9875" s="1">
        <v>3.5586513722733202E-3</v>
      </c>
    </row>
    <row r="9876" spans="1:6" x14ac:dyDescent="0.25">
      <c r="A9876" s="2" t="str">
        <f t="shared" si="346"/>
        <v>12060</v>
      </c>
      <c r="B9876" s="2" t="str">
        <f>"30087"</f>
        <v>30087</v>
      </c>
      <c r="C9876" s="1">
        <v>5.7633967617100402E-3</v>
      </c>
      <c r="D9876" s="1">
        <v>4.2262003289392502E-3</v>
      </c>
      <c r="E9876" s="1">
        <v>2.1696193440268099E-3</v>
      </c>
      <c r="F9876" s="1">
        <v>5.5382676461164697E-3</v>
      </c>
    </row>
    <row r="9877" spans="1:6" x14ac:dyDescent="0.25">
      <c r="A9877" s="2" t="str">
        <f t="shared" si="346"/>
        <v>12060</v>
      </c>
      <c r="B9877" s="2" t="str">
        <f>"30060"</f>
        <v>30060</v>
      </c>
      <c r="C9877" s="1">
        <v>6.1366747298725504E-3</v>
      </c>
      <c r="D9877" s="1">
        <v>1.14952648947147E-2</v>
      </c>
      <c r="E9877" s="1">
        <v>1.5456667464687501E-2</v>
      </c>
      <c r="F9877" s="1">
        <v>6.8501377247321901E-3</v>
      </c>
    </row>
    <row r="9878" spans="1:6" x14ac:dyDescent="0.25">
      <c r="A9878" s="2" t="str">
        <f t="shared" si="346"/>
        <v>12060</v>
      </c>
      <c r="B9878" s="2" t="str">
        <f>"30079"</f>
        <v>30079</v>
      </c>
      <c r="C9878" s="1">
        <v>8.3168289980104296E-4</v>
      </c>
      <c r="D9878" s="1">
        <v>1.1269867543838E-3</v>
      </c>
      <c r="E9878" s="1">
        <v>1.1671055781661401E-3</v>
      </c>
      <c r="F9878" s="1">
        <v>8.67038657081553E-4</v>
      </c>
    </row>
    <row r="9879" spans="1:6" x14ac:dyDescent="0.25">
      <c r="A9879" s="2" t="str">
        <f t="shared" si="346"/>
        <v>12060</v>
      </c>
      <c r="B9879" s="2" t="str">
        <f>"30043"</f>
        <v>30043</v>
      </c>
      <c r="C9879" s="1">
        <v>1.1483853373702E-2</v>
      </c>
      <c r="D9879" s="1">
        <v>7.5825077568385203E-3</v>
      </c>
      <c r="E9879" s="1">
        <v>5.6260474024419404E-3</v>
      </c>
      <c r="F9879" s="1">
        <v>1.09850404224334E-2</v>
      </c>
    </row>
    <row r="9880" spans="1:6" x14ac:dyDescent="0.25">
      <c r="A9880" s="2" t="str">
        <f t="shared" si="346"/>
        <v>12060</v>
      </c>
      <c r="B9880" s="2" t="str">
        <f>"30033"</f>
        <v>30033</v>
      </c>
      <c r="C9880" s="1">
        <v>6.1747181958507697E-3</v>
      </c>
      <c r="D9880" s="1">
        <v>4.7333443684119698E-3</v>
      </c>
      <c r="E9880" s="1">
        <v>6.9427819008858003E-3</v>
      </c>
      <c r="F9880" s="1">
        <v>6.05562954625531E-3</v>
      </c>
    </row>
    <row r="9881" spans="1:6" x14ac:dyDescent="0.25">
      <c r="A9881" s="2" t="str">
        <f t="shared" si="346"/>
        <v>12060</v>
      </c>
      <c r="B9881" s="2" t="str">
        <f>"30022"</f>
        <v>30022</v>
      </c>
      <c r="C9881" s="1">
        <v>9.2965424139445398E-3</v>
      </c>
      <c r="D9881" s="1">
        <v>8.4242259890189193E-3</v>
      </c>
      <c r="E9881" s="1">
        <v>4.4888676083313303E-3</v>
      </c>
      <c r="F9881" s="1">
        <v>9.1072329855308304E-3</v>
      </c>
    </row>
    <row r="9882" spans="1:6" x14ac:dyDescent="0.25">
      <c r="A9882" s="2" t="str">
        <f t="shared" si="346"/>
        <v>12060</v>
      </c>
      <c r="B9882" s="2" t="str">
        <f>"31830"</f>
        <v>31830</v>
      </c>
      <c r="C9882" s="1">
        <v>3.6536794058288601E-4</v>
      </c>
      <c r="D9882" s="1">
        <v>1.86657181194817E-4</v>
      </c>
      <c r="E9882" s="1">
        <v>2.0948048838879499E-4</v>
      </c>
      <c r="F9882" s="1">
        <v>3.4501883629837701E-4</v>
      </c>
    </row>
    <row r="9883" spans="1:6" x14ac:dyDescent="0.25">
      <c r="A9883" s="2" t="str">
        <f t="shared" si="346"/>
        <v>12060</v>
      </c>
      <c r="B9883" s="2" t="str">
        <f>"31136"</f>
        <v>31136</v>
      </c>
      <c r="C9883" s="1">
        <v>0</v>
      </c>
      <c r="D9883" s="1">
        <v>7.0436672148987603E-6</v>
      </c>
      <c r="E9883" s="1">
        <v>0</v>
      </c>
      <c r="F9883" s="1">
        <v>6.6541723490525901E-7</v>
      </c>
    </row>
    <row r="9884" spans="1:6" x14ac:dyDescent="0.25">
      <c r="A9884" s="2" t="str">
        <f t="shared" si="346"/>
        <v>12060</v>
      </c>
      <c r="B9884" s="2" t="str">
        <f>"31064"</f>
        <v>31064</v>
      </c>
      <c r="C9884" s="1">
        <v>1.6113856183645201E-3</v>
      </c>
      <c r="D9884" s="1">
        <v>9.7906974287092791E-4</v>
      </c>
      <c r="E9884" s="1">
        <v>5.8355278908307296E-4</v>
      </c>
      <c r="F9884" s="1">
        <v>1.5287960971948299E-3</v>
      </c>
    </row>
    <row r="9885" spans="1:6" x14ac:dyDescent="0.25">
      <c r="A9885" s="2" t="str">
        <f t="shared" si="346"/>
        <v>12060</v>
      </c>
      <c r="B9885" s="2" t="str">
        <f>"31038"</f>
        <v>31038</v>
      </c>
      <c r="C9885" s="1">
        <v>9.6050334895500996E-5</v>
      </c>
      <c r="D9885" s="1">
        <v>4.5783836896841899E-5</v>
      </c>
      <c r="E9885" s="1">
        <v>0</v>
      </c>
      <c r="F9885" s="1">
        <v>8.9165909477304696E-5</v>
      </c>
    </row>
    <row r="9886" spans="1:6" x14ac:dyDescent="0.25">
      <c r="A9886" s="2" t="str">
        <f t="shared" si="346"/>
        <v>12060</v>
      </c>
      <c r="B9886" s="2" t="str">
        <f>"30747"</f>
        <v>30747</v>
      </c>
      <c r="C9886" s="1">
        <v>7.5333595996471298E-7</v>
      </c>
      <c r="D9886" s="1">
        <v>0</v>
      </c>
      <c r="E9886" s="1">
        <v>0</v>
      </c>
      <c r="F9886" s="1">
        <v>6.6541723490525901E-7</v>
      </c>
    </row>
    <row r="9887" spans="1:6" x14ac:dyDescent="0.25">
      <c r="A9887" s="2" t="str">
        <f t="shared" si="346"/>
        <v>12060</v>
      </c>
      <c r="B9887" s="2" t="str">
        <f>"30623"</f>
        <v>30623</v>
      </c>
      <c r="C9887" s="1">
        <v>0</v>
      </c>
      <c r="D9887" s="1">
        <v>0</v>
      </c>
      <c r="E9887" s="1">
        <v>1.49628920277711E-5</v>
      </c>
      <c r="F9887" s="1">
        <v>3.3270861745262897E-7</v>
      </c>
    </row>
    <row r="9888" spans="1:6" x14ac:dyDescent="0.25">
      <c r="A9888" s="2" t="str">
        <f t="shared" si="346"/>
        <v>12060</v>
      </c>
      <c r="B9888" s="2" t="str">
        <f>"30666"</f>
        <v>30666</v>
      </c>
      <c r="C9888" s="1">
        <v>1.26824108860059E-3</v>
      </c>
      <c r="D9888" s="1">
        <v>4.75447537005666E-4</v>
      </c>
      <c r="E9888" s="1">
        <v>4.1896097677759101E-4</v>
      </c>
      <c r="F9888" s="1">
        <v>1.1744614196077801E-3</v>
      </c>
    </row>
    <row r="9889" spans="1:6" x14ac:dyDescent="0.25">
      <c r="A9889" s="2" t="str">
        <f t="shared" si="346"/>
        <v>12060</v>
      </c>
      <c r="B9889" s="2" t="str">
        <f>"30680"</f>
        <v>30680</v>
      </c>
      <c r="C9889" s="1">
        <v>6.6835966368069396E-3</v>
      </c>
      <c r="D9889" s="1">
        <v>5.5046259284433803E-3</v>
      </c>
      <c r="E9889" s="1">
        <v>5.7457505386641098E-3</v>
      </c>
      <c r="F9889" s="1">
        <v>6.5513653862597299E-3</v>
      </c>
    </row>
    <row r="9890" spans="1:6" x14ac:dyDescent="0.25">
      <c r="A9890" s="2" t="str">
        <f t="shared" si="346"/>
        <v>12060</v>
      </c>
      <c r="B9890" s="2" t="str">
        <f>"30515"</f>
        <v>30515</v>
      </c>
      <c r="C9890" s="1">
        <v>4.02658070601139E-4</v>
      </c>
      <c r="D9890" s="1">
        <v>2.2469298415526999E-3</v>
      </c>
      <c r="E9890" s="1">
        <v>1.49628920277711E-5</v>
      </c>
      <c r="F9890" s="1">
        <v>5.6826631860909104E-4</v>
      </c>
    </row>
    <row r="9891" spans="1:6" x14ac:dyDescent="0.25">
      <c r="A9891" s="2" t="str">
        <f t="shared" si="346"/>
        <v>12060</v>
      </c>
      <c r="B9891" s="2" t="str">
        <f>"30341"</f>
        <v>30341</v>
      </c>
      <c r="C9891" s="1">
        <v>5.8353403458866696E-3</v>
      </c>
      <c r="D9891" s="1">
        <v>1.09388151847377E-2</v>
      </c>
      <c r="E9891" s="1">
        <v>1.9361982283935798E-2</v>
      </c>
      <c r="F9891" s="1">
        <v>6.6182398183677101E-3</v>
      </c>
    </row>
    <row r="9892" spans="1:6" x14ac:dyDescent="0.25">
      <c r="A9892" s="2" t="str">
        <f t="shared" si="346"/>
        <v>12060</v>
      </c>
      <c r="B9892" s="2" t="str">
        <f>"30337"</f>
        <v>30337</v>
      </c>
      <c r="C9892" s="1">
        <v>2.7756663444899799E-3</v>
      </c>
      <c r="D9892" s="1">
        <v>3.5429646090940699E-3</v>
      </c>
      <c r="E9892" s="1">
        <v>8.4241082116351396E-3</v>
      </c>
      <c r="F9892" s="1">
        <v>2.9737496227915999E-3</v>
      </c>
    </row>
    <row r="9893" spans="1:6" x14ac:dyDescent="0.25">
      <c r="A9893" s="2" t="str">
        <f t="shared" si="346"/>
        <v>12060</v>
      </c>
      <c r="B9893" s="2" t="str">
        <f>"30396"</f>
        <v>30396</v>
      </c>
      <c r="C9893" s="1">
        <v>0</v>
      </c>
      <c r="D9893" s="1">
        <v>0</v>
      </c>
      <c r="E9893" s="1">
        <v>1.49628920277711E-5</v>
      </c>
      <c r="F9893" s="1">
        <v>3.3270861745262897E-7</v>
      </c>
    </row>
    <row r="9894" spans="1:6" x14ac:dyDescent="0.25">
      <c r="A9894" s="2" t="str">
        <f t="shared" si="346"/>
        <v>12060</v>
      </c>
      <c r="B9894" s="2" t="str">
        <f>"30380"</f>
        <v>30380</v>
      </c>
      <c r="C9894" s="1">
        <v>0</v>
      </c>
      <c r="D9894" s="1">
        <v>0</v>
      </c>
      <c r="E9894" s="1">
        <v>1.49628920277711E-5</v>
      </c>
      <c r="F9894" s="1">
        <v>3.3270861745262897E-7</v>
      </c>
    </row>
    <row r="9895" spans="1:6" x14ac:dyDescent="0.25">
      <c r="A9895" s="2" t="str">
        <f t="shared" si="346"/>
        <v>12060</v>
      </c>
      <c r="B9895" s="2" t="str">
        <f>"30329"</f>
        <v>30329</v>
      </c>
      <c r="C9895" s="1">
        <v>5.5954028426379102E-3</v>
      </c>
      <c r="D9895" s="1">
        <v>5.65254293995625E-3</v>
      </c>
      <c r="E9895" s="1">
        <v>1.8000359109408601E-2</v>
      </c>
      <c r="F9895" s="1">
        <v>5.8766323100657896E-3</v>
      </c>
    </row>
    <row r="9896" spans="1:6" x14ac:dyDescent="0.25">
      <c r="A9896" s="2" t="str">
        <f t="shared" si="346"/>
        <v>12060</v>
      </c>
      <c r="B9896" s="2" t="str">
        <f>"30357"</f>
        <v>30357</v>
      </c>
      <c r="C9896" s="1">
        <v>6.0078542807185905E-4</v>
      </c>
      <c r="D9896" s="1">
        <v>1.7397858020799901E-3</v>
      </c>
      <c r="E9896" s="1">
        <v>1.49628920277711E-5</v>
      </c>
      <c r="F9896" s="1">
        <v>6.9536101047599596E-4</v>
      </c>
    </row>
    <row r="9897" spans="1:6" x14ac:dyDescent="0.25">
      <c r="A9897" s="2" t="str">
        <f t="shared" si="346"/>
        <v>12060</v>
      </c>
      <c r="B9897" s="2" t="str">
        <f>"30356"</f>
        <v>30356</v>
      </c>
      <c r="C9897" s="1">
        <v>4.1056809818076798E-4</v>
      </c>
      <c r="D9897" s="1">
        <v>1.2537727642519801E-3</v>
      </c>
      <c r="E9897" s="1">
        <v>1.49628920277711E-5</v>
      </c>
      <c r="F9897" s="1">
        <v>4.8142936945395502E-4</v>
      </c>
    </row>
    <row r="9898" spans="1:6" x14ac:dyDescent="0.25">
      <c r="A9898" s="2" t="str">
        <f t="shared" si="346"/>
        <v>12060</v>
      </c>
      <c r="B9898" s="2" t="str">
        <f>"30250"</f>
        <v>30250</v>
      </c>
      <c r="C9898" s="1">
        <v>1.8758065403121299E-4</v>
      </c>
      <c r="D9898" s="1">
        <v>6.5506105098558497E-4</v>
      </c>
      <c r="E9898" s="1">
        <v>2.99257840555422E-5</v>
      </c>
      <c r="F9898" s="1">
        <v>2.2823811157250399E-4</v>
      </c>
    </row>
    <row r="9899" spans="1:6" x14ac:dyDescent="0.25">
      <c r="A9899" s="2" t="str">
        <f t="shared" si="346"/>
        <v>12060</v>
      </c>
      <c r="B9899" s="2" t="str">
        <f>"30281"</f>
        <v>30281</v>
      </c>
      <c r="C9899" s="1">
        <v>1.09772349406258E-2</v>
      </c>
      <c r="D9899" s="1">
        <v>1.1093775863465501E-2</v>
      </c>
      <c r="E9899" s="1">
        <v>5.7158247546085696E-3</v>
      </c>
      <c r="F9899" s="1">
        <v>1.08712540752646E-2</v>
      </c>
    </row>
    <row r="9900" spans="1:6" x14ac:dyDescent="0.25">
      <c r="A9900" s="2" t="str">
        <f t="shared" si="346"/>
        <v>12060</v>
      </c>
      <c r="B9900" s="2" t="str">
        <f>"30295"</f>
        <v>30295</v>
      </c>
      <c r="C9900" s="1">
        <v>6.7122234032855903E-4</v>
      </c>
      <c r="D9900" s="1">
        <v>6.5153921737813505E-4</v>
      </c>
      <c r="E9900" s="1">
        <v>1.4962892027771101E-4</v>
      </c>
      <c r="F9900" s="1">
        <v>6.5776493670384895E-4</v>
      </c>
    </row>
    <row r="9901" spans="1:6" x14ac:dyDescent="0.25">
      <c r="A9901" s="2" t="str">
        <f t="shared" si="346"/>
        <v>12060</v>
      </c>
      <c r="B9901" s="2" t="str">
        <f>"30263"</f>
        <v>30263</v>
      </c>
      <c r="C9901" s="1">
        <v>9.08636168111439E-3</v>
      </c>
      <c r="D9901" s="1">
        <v>6.6597873516867799E-3</v>
      </c>
      <c r="E9901" s="1">
        <v>8.3044050754129701E-3</v>
      </c>
      <c r="F9901" s="1">
        <v>8.8397352570989199E-3</v>
      </c>
    </row>
    <row r="9902" spans="1:6" x14ac:dyDescent="0.25">
      <c r="A9902" s="2" t="str">
        <f t="shared" si="346"/>
        <v>12060</v>
      </c>
      <c r="B9902" s="2" t="str">
        <f>"30150"</f>
        <v>30150</v>
      </c>
      <c r="C9902" s="1">
        <v>0</v>
      </c>
      <c r="D9902" s="1">
        <v>0</v>
      </c>
      <c r="E9902" s="1">
        <v>2.99257840555422E-5</v>
      </c>
      <c r="F9902" s="1">
        <v>6.6541723490525901E-7</v>
      </c>
    </row>
    <row r="9903" spans="1:6" x14ac:dyDescent="0.25">
      <c r="A9903" s="2" t="str">
        <f t="shared" si="346"/>
        <v>12060</v>
      </c>
      <c r="B9903" s="2" t="str">
        <f>"30148"</f>
        <v>30148</v>
      </c>
      <c r="C9903" s="1">
        <v>1.2957378511392999E-4</v>
      </c>
      <c r="D9903" s="1">
        <v>4.9657853865036196E-4</v>
      </c>
      <c r="E9903" s="1">
        <v>1.64591812305482E-4</v>
      </c>
      <c r="F9903" s="1">
        <v>1.65023474256504E-4</v>
      </c>
    </row>
    <row r="9904" spans="1:6" x14ac:dyDescent="0.25">
      <c r="A9904" s="2" t="str">
        <f t="shared" si="346"/>
        <v>12060</v>
      </c>
      <c r="B9904" s="2" t="str">
        <f>"30144"</f>
        <v>30144</v>
      </c>
      <c r="C9904" s="1">
        <v>8.1281183400392695E-3</v>
      </c>
      <c r="D9904" s="1">
        <v>1.27314284909295E-2</v>
      </c>
      <c r="E9904" s="1">
        <v>8.6036629159683894E-3</v>
      </c>
      <c r="F9904" s="1">
        <v>8.5735683631368107E-3</v>
      </c>
    </row>
    <row r="9905" spans="1:6" x14ac:dyDescent="0.25">
      <c r="A9905" s="2" t="str">
        <f t="shared" si="346"/>
        <v>12060</v>
      </c>
      <c r="B9905" s="2" t="str">
        <f>"30114"</f>
        <v>30114</v>
      </c>
      <c r="C9905" s="1">
        <v>8.7364371277107809E-3</v>
      </c>
      <c r="D9905" s="1">
        <v>7.0190143796466098E-3</v>
      </c>
      <c r="E9905" s="1">
        <v>6.6734498443859203E-3</v>
      </c>
      <c r="F9905" s="1">
        <v>8.5283199911632499E-3</v>
      </c>
    </row>
    <row r="9906" spans="1:6" x14ac:dyDescent="0.25">
      <c r="A9906" s="2" t="str">
        <f t="shared" si="346"/>
        <v>12060</v>
      </c>
      <c r="B9906" s="2" t="str">
        <f>"30109"</f>
        <v>30109</v>
      </c>
      <c r="C9906" s="1">
        <v>0</v>
      </c>
      <c r="D9906" s="1">
        <v>0</v>
      </c>
      <c r="E9906" s="1">
        <v>1.49628920277711E-5</v>
      </c>
      <c r="F9906" s="1">
        <v>3.3270861745262897E-7</v>
      </c>
    </row>
    <row r="9907" spans="1:6" x14ac:dyDescent="0.25">
      <c r="A9907" s="2" t="str">
        <f t="shared" si="346"/>
        <v>12060</v>
      </c>
      <c r="B9907" s="2" t="str">
        <f>"30108"</f>
        <v>30108</v>
      </c>
      <c r="C9907" s="1">
        <v>1.43585833969274E-3</v>
      </c>
      <c r="D9907" s="1">
        <v>1.0988120855241999E-3</v>
      </c>
      <c r="E9907" s="1">
        <v>5.2370122097198898E-4</v>
      </c>
      <c r="F9907" s="1">
        <v>1.3837351399854799E-3</v>
      </c>
    </row>
    <row r="9908" spans="1:6" x14ac:dyDescent="0.25">
      <c r="A9908" s="2" t="str">
        <f t="shared" si="346"/>
        <v>12060</v>
      </c>
      <c r="B9908" s="2" t="str">
        <f>"30107"</f>
        <v>30107</v>
      </c>
      <c r="C9908" s="1">
        <v>2.3989983645076301E-3</v>
      </c>
      <c r="D9908" s="1">
        <v>1.1410740888135899E-3</v>
      </c>
      <c r="E9908" s="1">
        <v>5.2370122097198898E-4</v>
      </c>
      <c r="F9908" s="1">
        <v>2.2384635782212899E-3</v>
      </c>
    </row>
    <row r="9909" spans="1:6" x14ac:dyDescent="0.25">
      <c r="A9909" s="2" t="str">
        <f t="shared" si="346"/>
        <v>12060</v>
      </c>
      <c r="B9909" s="2" t="str">
        <f>"30070"</f>
        <v>30070</v>
      </c>
      <c r="C9909" s="1">
        <v>3.1979111500501998E-4</v>
      </c>
      <c r="D9909" s="1">
        <v>3.73314362389634E-4</v>
      </c>
      <c r="E9909" s="1">
        <v>7.4814460138855599E-5</v>
      </c>
      <c r="F9909" s="1">
        <v>3.19400272754524E-4</v>
      </c>
    </row>
    <row r="9910" spans="1:6" x14ac:dyDescent="0.25">
      <c r="A9910" s="2" t="str">
        <f t="shared" si="346"/>
        <v>12060</v>
      </c>
      <c r="B9910" s="2" t="str">
        <f>"30062"</f>
        <v>30062</v>
      </c>
      <c r="C9910" s="1">
        <v>9.5022031310149097E-3</v>
      </c>
      <c r="D9910" s="1">
        <v>8.9137608604543794E-3</v>
      </c>
      <c r="E9910" s="1">
        <v>6.4041177878860402E-3</v>
      </c>
      <c r="F9910" s="1">
        <v>9.3777250915198195E-3</v>
      </c>
    </row>
    <row r="9911" spans="1:6" x14ac:dyDescent="0.25">
      <c r="A9911" s="2" t="str">
        <f t="shared" si="346"/>
        <v>12060</v>
      </c>
      <c r="B9911" s="2" t="str">
        <f>"30083"</f>
        <v>30083</v>
      </c>
      <c r="C9911" s="1">
        <v>9.0897516929342292E-3</v>
      </c>
      <c r="D9911" s="1">
        <v>5.8251127867212701E-3</v>
      </c>
      <c r="E9911" s="1">
        <v>8.5887000239406198E-3</v>
      </c>
      <c r="F9911" s="1">
        <v>8.7701991560513205E-3</v>
      </c>
    </row>
    <row r="9912" spans="1:6" x14ac:dyDescent="0.25">
      <c r="A9912" s="2" t="str">
        <f t="shared" si="346"/>
        <v>12060</v>
      </c>
      <c r="B9912" s="2" t="str">
        <f>"30054"</f>
        <v>30054</v>
      </c>
      <c r="C9912" s="1">
        <v>2.2445644927148599E-3</v>
      </c>
      <c r="D9912" s="1">
        <v>9.19198571544288E-4</v>
      </c>
      <c r="E9912" s="1">
        <v>1.58606655494373E-3</v>
      </c>
      <c r="F9912" s="1">
        <v>2.1047147140053298E-3</v>
      </c>
    </row>
    <row r="9913" spans="1:6" x14ac:dyDescent="0.25">
      <c r="A9913" s="2" t="str">
        <f t="shared" si="346"/>
        <v>12060</v>
      </c>
      <c r="B9913" s="2" t="str">
        <f>"30078"</f>
        <v>30078</v>
      </c>
      <c r="C9913" s="1">
        <v>5.3031084901716003E-3</v>
      </c>
      <c r="D9913" s="1">
        <v>7.8818636134717103E-3</v>
      </c>
      <c r="E9913" s="1">
        <v>5.50634426621977E-3</v>
      </c>
      <c r="F9913" s="1">
        <v>5.5512432821971198E-3</v>
      </c>
    </row>
    <row r="9914" spans="1:6" x14ac:dyDescent="0.25">
      <c r="A9914" s="2" t="str">
        <f t="shared" si="346"/>
        <v>12060</v>
      </c>
      <c r="B9914" s="2" t="str">
        <f>"30076"</f>
        <v>30076</v>
      </c>
      <c r="C9914" s="1">
        <v>7.4267625613121304E-3</v>
      </c>
      <c r="D9914" s="1">
        <v>1.11149068651102E-2</v>
      </c>
      <c r="E9914" s="1">
        <v>1.44541536988269E-2</v>
      </c>
      <c r="F9914" s="1">
        <v>7.9314407314532397E-3</v>
      </c>
    </row>
    <row r="9915" spans="1:6" x14ac:dyDescent="0.25">
      <c r="A9915" s="2" t="str">
        <f t="shared" si="346"/>
        <v>12060</v>
      </c>
      <c r="B9915" s="2" t="str">
        <f>"30075"</f>
        <v>30075</v>
      </c>
      <c r="C9915" s="1">
        <v>8.3413124167092904E-3</v>
      </c>
      <c r="D9915" s="1">
        <v>7.4768527486150302E-3</v>
      </c>
      <c r="E9915" s="1">
        <v>1.06086904476897E-2</v>
      </c>
      <c r="F9915" s="1">
        <v>8.3100631381143302E-3</v>
      </c>
    </row>
    <row r="9916" spans="1:6" x14ac:dyDescent="0.25">
      <c r="A9916" s="2" t="str">
        <f t="shared" si="346"/>
        <v>12060</v>
      </c>
      <c r="B9916" s="2" t="str">
        <f>"30048"</f>
        <v>30048</v>
      </c>
      <c r="C9916" s="1">
        <v>8.45619615060391E-4</v>
      </c>
      <c r="D9916" s="1">
        <v>1.61299979221181E-3</v>
      </c>
      <c r="E9916" s="1">
        <v>1.49628920277711E-5</v>
      </c>
      <c r="F9916" s="1">
        <v>8.9964410159191002E-4</v>
      </c>
    </row>
    <row r="9917" spans="1:6" x14ac:dyDescent="0.25">
      <c r="A9917" s="2" t="str">
        <f t="shared" si="346"/>
        <v>12060</v>
      </c>
      <c r="B9917" s="2" t="str">
        <f>"30047"</f>
        <v>30047</v>
      </c>
      <c r="C9917" s="1">
        <v>8.4418827673645794E-3</v>
      </c>
      <c r="D9917" s="1">
        <v>7.55433308797892E-3</v>
      </c>
      <c r="E9917" s="1">
        <v>7.1073737131912796E-3</v>
      </c>
      <c r="F9917" s="1">
        <v>8.3283621120742203E-3</v>
      </c>
    </row>
    <row r="9918" spans="1:6" x14ac:dyDescent="0.25">
      <c r="A9918" s="2" t="str">
        <f t="shared" si="346"/>
        <v>12060</v>
      </c>
      <c r="B9918" s="2" t="str">
        <f>"30044"</f>
        <v>30044</v>
      </c>
      <c r="C9918" s="1">
        <v>1.1744884283829801E-2</v>
      </c>
      <c r="D9918" s="1">
        <v>4.522034351965E-3</v>
      </c>
      <c r="E9918" s="1">
        <v>6.6734498443859203E-3</v>
      </c>
      <c r="F9918" s="1">
        <v>1.0949773308983401E-2</v>
      </c>
    </row>
    <row r="9919" spans="1:6" x14ac:dyDescent="0.25">
      <c r="A9919" s="2" t="str">
        <f t="shared" si="346"/>
        <v>12060</v>
      </c>
      <c r="B9919" s="2" t="str">
        <f>"30042"</f>
        <v>30042</v>
      </c>
      <c r="C9919" s="1">
        <v>5.4616857097441703E-4</v>
      </c>
      <c r="D9919" s="1">
        <v>1.57073778892242E-3</v>
      </c>
      <c r="E9919" s="1">
        <v>1.49628920277711E-5</v>
      </c>
      <c r="F9919" s="1">
        <v>6.3114824730763801E-4</v>
      </c>
    </row>
    <row r="9920" spans="1:6" x14ac:dyDescent="0.25">
      <c r="A9920" s="2" t="str">
        <f t="shared" si="346"/>
        <v>12060</v>
      </c>
      <c r="B9920" s="2" t="str">
        <f>"30032"</f>
        <v>30032</v>
      </c>
      <c r="C9920" s="1">
        <v>8.0211446337242805E-3</v>
      </c>
      <c r="D9920" s="1">
        <v>5.0221347242228103E-3</v>
      </c>
      <c r="E9920" s="1">
        <v>1.6085108929853899E-2</v>
      </c>
      <c r="F9920" s="1">
        <v>7.9171342609027692E-3</v>
      </c>
    </row>
    <row r="9921" spans="1:6" x14ac:dyDescent="0.25">
      <c r="A9921" s="2" t="str">
        <f t="shared" si="346"/>
        <v>12060</v>
      </c>
      <c r="B9921" s="2" t="str">
        <f>"31131"</f>
        <v>31131</v>
      </c>
      <c r="C9921" s="1">
        <v>4.6556162325819302E-4</v>
      </c>
      <c r="D9921" s="1">
        <v>1.7010456323980499E-3</v>
      </c>
      <c r="E9921" s="1">
        <v>1.49628920277711E-5</v>
      </c>
      <c r="F9921" s="1">
        <v>5.7225882201852299E-4</v>
      </c>
    </row>
    <row r="9922" spans="1:6" x14ac:dyDescent="0.25">
      <c r="A9922" s="2" t="str">
        <f t="shared" si="346"/>
        <v>12060</v>
      </c>
      <c r="B9922" s="2" t="str">
        <f>"31156"</f>
        <v>31156</v>
      </c>
      <c r="C9922" s="1">
        <v>3.5180789330352099E-4</v>
      </c>
      <c r="D9922" s="1">
        <v>3.8035802960453298E-4</v>
      </c>
      <c r="E9922" s="1">
        <v>1.49628920277711E-5</v>
      </c>
      <c r="F9922" s="1">
        <v>3.4701508800309201E-4</v>
      </c>
    </row>
    <row r="9923" spans="1:6" x14ac:dyDescent="0.25">
      <c r="A9923" s="2" t="str">
        <f t="shared" si="346"/>
        <v>12060</v>
      </c>
      <c r="B9923" s="2" t="str">
        <f>"30734"</f>
        <v>30734</v>
      </c>
      <c r="C9923" s="1">
        <v>1.0132368661525299E-4</v>
      </c>
      <c r="D9923" s="1">
        <v>1.40873344297975E-5</v>
      </c>
      <c r="E9923" s="1">
        <v>0</v>
      </c>
      <c r="F9923" s="1">
        <v>9.08294525645679E-5</v>
      </c>
    </row>
    <row r="9924" spans="1:6" x14ac:dyDescent="0.25">
      <c r="A9924" s="2" t="str">
        <f t="shared" si="346"/>
        <v>12060</v>
      </c>
      <c r="B9924" s="2" t="str">
        <f>"30378"</f>
        <v>30378</v>
      </c>
      <c r="C9924" s="1">
        <v>0</v>
      </c>
      <c r="D9924" s="1">
        <v>3.5218336074493801E-6</v>
      </c>
      <c r="E9924" s="1">
        <v>0</v>
      </c>
      <c r="F9924" s="1">
        <v>3.3270861745262897E-7</v>
      </c>
    </row>
    <row r="9925" spans="1:6" x14ac:dyDescent="0.25">
      <c r="A9925" s="2" t="str">
        <f t="shared" si="346"/>
        <v>12060</v>
      </c>
      <c r="B9925" s="2" t="str">
        <f>"30368"</f>
        <v>30368</v>
      </c>
      <c r="C9925" s="1">
        <v>0</v>
      </c>
      <c r="D9925" s="1">
        <v>0</v>
      </c>
      <c r="E9925" s="1">
        <v>1.49628920277711E-5</v>
      </c>
      <c r="F9925" s="1">
        <v>3.3270861745262897E-7</v>
      </c>
    </row>
    <row r="9926" spans="1:6" x14ac:dyDescent="0.25">
      <c r="A9926" s="2" t="str">
        <f t="shared" si="346"/>
        <v>12060</v>
      </c>
      <c r="B9926" s="2" t="str">
        <f>"30364"</f>
        <v>30364</v>
      </c>
      <c r="C9926" s="1">
        <v>4.6669162719813998E-4</v>
      </c>
      <c r="D9926" s="1">
        <v>1.1128994199540001E-3</v>
      </c>
      <c r="E9926" s="1">
        <v>1.49628920277711E-5</v>
      </c>
      <c r="F9926" s="1">
        <v>5.17694608756291E-4</v>
      </c>
    </row>
    <row r="9927" spans="1:6" x14ac:dyDescent="0.25">
      <c r="A9927" s="2" t="str">
        <f t="shared" si="346"/>
        <v>12060</v>
      </c>
      <c r="B9927" s="2" t="str">
        <f>"30363"</f>
        <v>30363</v>
      </c>
      <c r="C9927" s="1">
        <v>9.5296998935536198E-4</v>
      </c>
      <c r="D9927" s="1">
        <v>9.1567673793683895E-4</v>
      </c>
      <c r="E9927" s="1">
        <v>9.72587981805123E-4</v>
      </c>
      <c r="F9927" s="1">
        <v>9.4988310282725799E-4</v>
      </c>
    </row>
    <row r="9928" spans="1:6" x14ac:dyDescent="0.25">
      <c r="A9928" s="2" t="str">
        <f t="shared" si="346"/>
        <v>12060</v>
      </c>
      <c r="B9928" s="2" t="str">
        <f>"30319"</f>
        <v>30319</v>
      </c>
      <c r="C9928" s="1">
        <v>8.3495991122689E-3</v>
      </c>
      <c r="D9928" s="1">
        <v>2.5110673621114E-3</v>
      </c>
      <c r="E9928" s="1">
        <v>1.03692841752453E-2</v>
      </c>
      <c r="F9928" s="1">
        <v>7.84294023921084E-3</v>
      </c>
    </row>
    <row r="9929" spans="1:6" x14ac:dyDescent="0.25">
      <c r="A9929" s="2" t="str">
        <f t="shared" si="346"/>
        <v>12060</v>
      </c>
      <c r="B9929" s="2" t="str">
        <f>"30317"</f>
        <v>30317</v>
      </c>
      <c r="C9929" s="1">
        <v>2.7745363405500402E-3</v>
      </c>
      <c r="D9929" s="1">
        <v>1.4404299454467901E-3</v>
      </c>
      <c r="E9929" s="1">
        <v>1.9751017476657799E-3</v>
      </c>
      <c r="F9929" s="1">
        <v>2.6307270381979398E-3</v>
      </c>
    </row>
    <row r="9930" spans="1:6" x14ac:dyDescent="0.25">
      <c r="A9930" s="2" t="str">
        <f t="shared" si="346"/>
        <v>12060</v>
      </c>
      <c r="B9930" s="2" t="str">
        <f>"30324"</f>
        <v>30324</v>
      </c>
      <c r="C9930" s="1">
        <v>7.7409036566174101E-3</v>
      </c>
      <c r="D9930" s="1">
        <v>6.1420778113917204E-3</v>
      </c>
      <c r="E9930" s="1">
        <v>7.3168542015800801E-3</v>
      </c>
      <c r="F9930" s="1">
        <v>7.5804331400407101E-3</v>
      </c>
    </row>
    <row r="9931" spans="1:6" x14ac:dyDescent="0.25">
      <c r="A9931" s="2" t="str">
        <f t="shared" si="346"/>
        <v>12060</v>
      </c>
      <c r="B9931" s="2" t="str">
        <f>"30311"</f>
        <v>30311</v>
      </c>
      <c r="C9931" s="1">
        <v>6.6169264043500599E-3</v>
      </c>
      <c r="D9931" s="1">
        <v>3.7014471214292998E-3</v>
      </c>
      <c r="E9931" s="1">
        <v>7.2869284175245304E-3</v>
      </c>
      <c r="F9931" s="1">
        <v>6.3563981364324904E-3</v>
      </c>
    </row>
    <row r="9932" spans="1:6" x14ac:dyDescent="0.25">
      <c r="A9932" s="2" t="str">
        <f t="shared" si="346"/>
        <v>12060</v>
      </c>
      <c r="B9932" s="2" t="str">
        <f>"30258"</f>
        <v>30258</v>
      </c>
      <c r="C9932" s="1">
        <v>3.1263442338535602E-4</v>
      </c>
      <c r="D9932" s="1">
        <v>1.05655008223481E-4</v>
      </c>
      <c r="E9932" s="1">
        <v>4.4888676083313297E-5</v>
      </c>
      <c r="F9932" s="1">
        <v>2.8712753686161899E-4</v>
      </c>
    </row>
    <row r="9933" spans="1:6" x14ac:dyDescent="0.25">
      <c r="A9933" s="2" t="str">
        <f t="shared" si="346"/>
        <v>12060</v>
      </c>
      <c r="B9933" s="2" t="str">
        <f>"30257"</f>
        <v>30257</v>
      </c>
      <c r="C9933" s="1">
        <v>1.09987050154848E-3</v>
      </c>
      <c r="D9933" s="1">
        <v>3.73314362389634E-4</v>
      </c>
      <c r="E9933" s="1">
        <v>2.0948048838879499E-4</v>
      </c>
      <c r="F9933" s="1">
        <v>1.0114341970559901E-3</v>
      </c>
    </row>
    <row r="9934" spans="1:6" x14ac:dyDescent="0.25">
      <c r="A9934" s="2" t="str">
        <f t="shared" si="346"/>
        <v>12060</v>
      </c>
      <c r="B9934" s="2" t="str">
        <f>"30256"</f>
        <v>30256</v>
      </c>
      <c r="C9934" s="1">
        <v>3.28831146524597E-4</v>
      </c>
      <c r="D9934" s="1">
        <v>3.8740169681943198E-5</v>
      </c>
      <c r="E9934" s="1">
        <v>4.4888676083313297E-5</v>
      </c>
      <c r="F9934" s="1">
        <v>2.9511254368048203E-4</v>
      </c>
    </row>
    <row r="9935" spans="1:6" x14ac:dyDescent="0.25">
      <c r="A9935" s="2" t="str">
        <f t="shared" si="346"/>
        <v>12060</v>
      </c>
      <c r="B9935" s="2" t="str">
        <f>"30291"</f>
        <v>30291</v>
      </c>
      <c r="C9935" s="1">
        <v>4.4254720968127104E-3</v>
      </c>
      <c r="D9935" s="1">
        <v>2.6061568695125402E-3</v>
      </c>
      <c r="E9935" s="1">
        <v>2.1247306679435E-3</v>
      </c>
      <c r="F9935" s="1">
        <v>4.2024425470441598E-3</v>
      </c>
    </row>
    <row r="9936" spans="1:6" x14ac:dyDescent="0.25">
      <c r="A9936" s="2" t="str">
        <f t="shared" ref="A9936:A9999" si="347">"12060"</f>
        <v>12060</v>
      </c>
      <c r="B9936" s="2" t="str">
        <f>"30298"</f>
        <v>30298</v>
      </c>
      <c r="C9936" s="1">
        <v>4.4296154445925098E-4</v>
      </c>
      <c r="D9936" s="1">
        <v>1.5531286208851701E-3</v>
      </c>
      <c r="E9936" s="1">
        <v>1.49628920277711E-5</v>
      </c>
      <c r="F9936" s="1">
        <v>5.3832254303835402E-4</v>
      </c>
    </row>
    <row r="9937" spans="1:6" x14ac:dyDescent="0.25">
      <c r="A9937" s="2" t="str">
        <f t="shared" si="347"/>
        <v>12060</v>
      </c>
      <c r="B9937" s="2" t="str">
        <f>"30234"</f>
        <v>30234</v>
      </c>
      <c r="C9937" s="1">
        <v>2.9267102044629103E-4</v>
      </c>
      <c r="D9937" s="1">
        <v>1.79613513979918E-4</v>
      </c>
      <c r="E9937" s="1">
        <v>2.2444338041656601E-4</v>
      </c>
      <c r="F9937" s="1">
        <v>2.8047336451256601E-4</v>
      </c>
    </row>
    <row r="9938" spans="1:6" x14ac:dyDescent="0.25">
      <c r="A9938" s="2" t="str">
        <f t="shared" si="347"/>
        <v>12060</v>
      </c>
      <c r="B9938" s="2" t="str">
        <f>"30230"</f>
        <v>30230</v>
      </c>
      <c r="C9938" s="1">
        <v>3.7177129624258598E-4</v>
      </c>
      <c r="D9938" s="1">
        <v>7.3958505756437001E-5</v>
      </c>
      <c r="E9938" s="1">
        <v>1.0474024419439701E-4</v>
      </c>
      <c r="F9938" s="1">
        <v>3.3769924671441898E-4</v>
      </c>
    </row>
    <row r="9939" spans="1:6" x14ac:dyDescent="0.25">
      <c r="A9939" s="2" t="str">
        <f t="shared" si="347"/>
        <v>12060</v>
      </c>
      <c r="B9939" s="2" t="str">
        <f>"30272"</f>
        <v>30272</v>
      </c>
      <c r="C9939" s="1">
        <v>4.2111480162027401E-4</v>
      </c>
      <c r="D9939" s="1">
        <v>7.7832522724631298E-4</v>
      </c>
      <c r="E9939" s="1">
        <v>8.9777352166626703E-5</v>
      </c>
      <c r="F9939" s="1">
        <v>4.4749309047378702E-4</v>
      </c>
    </row>
    <row r="9940" spans="1:6" x14ac:dyDescent="0.25">
      <c r="A9940" s="2" t="str">
        <f t="shared" si="347"/>
        <v>12060</v>
      </c>
      <c r="B9940" s="2" t="str">
        <f>"30217"</f>
        <v>30217</v>
      </c>
      <c r="C9940" s="1">
        <v>1.6727824991016401E-3</v>
      </c>
      <c r="D9940" s="1">
        <v>8.3115273135805402E-4</v>
      </c>
      <c r="E9940" s="1">
        <v>1.31673449844385E-3</v>
      </c>
      <c r="F9940" s="1">
        <v>1.58535656216178E-3</v>
      </c>
    </row>
    <row r="9941" spans="1:6" x14ac:dyDescent="0.25">
      <c r="A9941" s="2" t="str">
        <f t="shared" si="347"/>
        <v>12060</v>
      </c>
      <c r="B9941" s="2" t="str">
        <f>"30214"</f>
        <v>30214</v>
      </c>
      <c r="C9941" s="1">
        <v>5.6104695618371999E-3</v>
      </c>
      <c r="D9941" s="1">
        <v>1.25694241449868E-2</v>
      </c>
      <c r="E9941" s="1">
        <v>6.3293033277471798E-3</v>
      </c>
      <c r="F9941" s="1">
        <v>6.2838676578278099E-3</v>
      </c>
    </row>
    <row r="9942" spans="1:6" x14ac:dyDescent="0.25">
      <c r="A9942" s="2" t="str">
        <f t="shared" si="347"/>
        <v>12060</v>
      </c>
      <c r="B9942" s="2" t="str">
        <f>"30189"</f>
        <v>30189</v>
      </c>
      <c r="C9942" s="1">
        <v>5.9038939182434599E-3</v>
      </c>
      <c r="D9942" s="1">
        <v>4.2860715002658901E-3</v>
      </c>
      <c r="E9942" s="1">
        <v>7.5712233660521896E-3</v>
      </c>
      <c r="F9942" s="1">
        <v>5.7881318178234003E-3</v>
      </c>
    </row>
    <row r="9943" spans="1:6" x14ac:dyDescent="0.25">
      <c r="A9943" s="2" t="str">
        <f t="shared" si="347"/>
        <v>12060</v>
      </c>
      <c r="B9943" s="2" t="str">
        <f>"30213"</f>
        <v>30213</v>
      </c>
      <c r="C9943" s="1">
        <v>6.8274838051602003E-3</v>
      </c>
      <c r="D9943" s="1">
        <v>3.7190562894665398E-3</v>
      </c>
      <c r="E9943" s="1">
        <v>1.9152501795547E-3</v>
      </c>
      <c r="F9943" s="1">
        <v>6.4246034030102797E-3</v>
      </c>
    </row>
    <row r="9944" spans="1:6" x14ac:dyDescent="0.25">
      <c r="A9944" s="2" t="str">
        <f t="shared" si="347"/>
        <v>12060</v>
      </c>
      <c r="B9944" s="2" t="str">
        <f>"30176"</f>
        <v>30176</v>
      </c>
      <c r="C9944" s="1">
        <v>1.29272450729944E-3</v>
      </c>
      <c r="D9944" s="1">
        <v>1.2749037658966701E-3</v>
      </c>
      <c r="E9944" s="1">
        <v>9.5762508977735204E-4</v>
      </c>
      <c r="F9944" s="1">
        <v>1.2835898461322399E-3</v>
      </c>
    </row>
    <row r="9945" spans="1:6" x14ac:dyDescent="0.25">
      <c r="A9945" s="2" t="str">
        <f t="shared" si="347"/>
        <v>12060</v>
      </c>
      <c r="B9945" s="2" t="str">
        <f>"30122"</f>
        <v>30122</v>
      </c>
      <c r="C9945" s="1">
        <v>4.3343184456569803E-3</v>
      </c>
      <c r="D9945" s="1">
        <v>4.8566085446726899E-3</v>
      </c>
      <c r="E9945" s="1">
        <v>3.4713909504429001E-3</v>
      </c>
      <c r="F9945" s="1">
        <v>4.3644716437435897E-3</v>
      </c>
    </row>
    <row r="9946" spans="1:6" x14ac:dyDescent="0.25">
      <c r="A9946" s="2" t="str">
        <f t="shared" si="347"/>
        <v>12060</v>
      </c>
      <c r="B9946" s="2" t="str">
        <f>"30139"</f>
        <v>30139</v>
      </c>
      <c r="C9946" s="1">
        <v>2.5613422638800202E-4</v>
      </c>
      <c r="D9946" s="1">
        <v>4.5783836896841899E-5</v>
      </c>
      <c r="E9946" s="1">
        <v>0</v>
      </c>
      <c r="F9946" s="1">
        <v>2.3056707189467201E-4</v>
      </c>
    </row>
    <row r="9947" spans="1:6" x14ac:dyDescent="0.25">
      <c r="A9947" s="2" t="str">
        <f t="shared" si="347"/>
        <v>12060</v>
      </c>
      <c r="B9947" s="2" t="str">
        <f>"30135"</f>
        <v>30135</v>
      </c>
      <c r="C9947" s="1">
        <v>9.8709610834176401E-3</v>
      </c>
      <c r="D9947" s="1">
        <v>5.9131586269075102E-3</v>
      </c>
      <c r="E9947" s="1">
        <v>3.3666507062484999E-3</v>
      </c>
      <c r="F9947" s="1">
        <v>9.3524392365934208E-3</v>
      </c>
    </row>
    <row r="9948" spans="1:6" x14ac:dyDescent="0.25">
      <c r="A9948" s="2" t="str">
        <f t="shared" si="347"/>
        <v>12060</v>
      </c>
      <c r="B9948" s="2" t="str">
        <f>"30104"</f>
        <v>30104</v>
      </c>
      <c r="C9948" s="1">
        <v>2.5236754658817899E-5</v>
      </c>
      <c r="D9948" s="1">
        <v>3.5218336074493801E-6</v>
      </c>
      <c r="E9948" s="1">
        <v>0</v>
      </c>
      <c r="F9948" s="1">
        <v>2.2624185986778799E-5</v>
      </c>
    </row>
    <row r="9949" spans="1:6" x14ac:dyDescent="0.25">
      <c r="A9949" s="2" t="str">
        <f t="shared" si="347"/>
        <v>12060</v>
      </c>
      <c r="B9949" s="2" t="str">
        <f>"30102"</f>
        <v>30102</v>
      </c>
      <c r="C9949" s="1">
        <v>6.3980823079803099E-3</v>
      </c>
      <c r="D9949" s="1">
        <v>2.2081896718707601E-3</v>
      </c>
      <c r="E9949" s="1">
        <v>2.4688771845822301E-3</v>
      </c>
      <c r="F9949" s="1">
        <v>5.9148938010728496E-3</v>
      </c>
    </row>
    <row r="9950" spans="1:6" x14ac:dyDescent="0.25">
      <c r="A9950" s="2" t="str">
        <f t="shared" si="347"/>
        <v>12060</v>
      </c>
      <c r="B9950" s="2" t="str">
        <f>"30097"</f>
        <v>30097</v>
      </c>
      <c r="C9950" s="1">
        <v>6.8986740533768598E-3</v>
      </c>
      <c r="D9950" s="1">
        <v>7.2162370616637803E-3</v>
      </c>
      <c r="E9950" s="1">
        <v>5.8056021067751902E-3</v>
      </c>
      <c r="F9950" s="1">
        <v>6.9043692293769702E-3</v>
      </c>
    </row>
    <row r="9951" spans="1:6" x14ac:dyDescent="0.25">
      <c r="A9951" s="2" t="str">
        <f t="shared" si="347"/>
        <v>12060</v>
      </c>
      <c r="B9951" s="2" t="str">
        <f>"30096"</f>
        <v>30096</v>
      </c>
      <c r="C9951" s="1">
        <v>1.16744473715731E-2</v>
      </c>
      <c r="D9951" s="1">
        <v>1.8588237780117801E-2</v>
      </c>
      <c r="E9951" s="1">
        <v>1.23593488149389E-2</v>
      </c>
      <c r="F9951" s="1">
        <v>1.23428242902576E-2</v>
      </c>
    </row>
    <row r="9952" spans="1:6" x14ac:dyDescent="0.25">
      <c r="A9952" s="2" t="str">
        <f t="shared" si="347"/>
        <v>12060</v>
      </c>
      <c r="B9952" s="2" t="str">
        <f>"30090"</f>
        <v>30090</v>
      </c>
      <c r="C9952" s="1">
        <v>0</v>
      </c>
      <c r="D9952" s="1">
        <v>3.1696502467044402E-5</v>
      </c>
      <c r="E9952" s="1">
        <v>4.1896097677759101E-4</v>
      </c>
      <c r="F9952" s="1">
        <v>1.2310218845747301E-5</v>
      </c>
    </row>
    <row r="9953" spans="1:6" x14ac:dyDescent="0.25">
      <c r="A9953" s="2" t="str">
        <f t="shared" si="347"/>
        <v>12060</v>
      </c>
      <c r="B9953" s="2" t="str">
        <f>"30016"</f>
        <v>30016</v>
      </c>
      <c r="C9953" s="1">
        <v>8.36918584722798E-3</v>
      </c>
      <c r="D9953" s="1">
        <v>1.7045674660055E-3</v>
      </c>
      <c r="E9953" s="1">
        <v>3.9950921714148897E-3</v>
      </c>
      <c r="F9953" s="1">
        <v>7.6423169428869002E-3</v>
      </c>
    </row>
    <row r="9954" spans="1:6" x14ac:dyDescent="0.25">
      <c r="A9954" s="2" t="str">
        <f t="shared" si="347"/>
        <v>12060</v>
      </c>
      <c r="B9954" s="2" t="str">
        <f>"30007"</f>
        <v>30007</v>
      </c>
      <c r="C9954" s="1">
        <v>3.8834468736180901E-4</v>
      </c>
      <c r="D9954" s="1">
        <v>1.7151329668278401E-3</v>
      </c>
      <c r="E9954" s="1">
        <v>1.49628920277711E-5</v>
      </c>
      <c r="F9954" s="1">
        <v>5.0538438991054395E-4</v>
      </c>
    </row>
    <row r="9955" spans="1:6" x14ac:dyDescent="0.25">
      <c r="A9955" s="2" t="str">
        <f t="shared" si="347"/>
        <v>12060</v>
      </c>
      <c r="B9955" s="2" t="str">
        <f>"30028"</f>
        <v>30028</v>
      </c>
      <c r="C9955" s="1">
        <v>5.2763650635928496E-3</v>
      </c>
      <c r="D9955" s="1">
        <v>4.01489031249229E-3</v>
      </c>
      <c r="E9955" s="1">
        <v>4.9377543691644704E-4</v>
      </c>
      <c r="F9955" s="1">
        <v>5.0508495215483701E-3</v>
      </c>
    </row>
    <row r="9956" spans="1:6" x14ac:dyDescent="0.25">
      <c r="A9956" s="2" t="str">
        <f t="shared" si="347"/>
        <v>12060</v>
      </c>
      <c r="B9956" s="2" t="str">
        <f>"30037"</f>
        <v>30037</v>
      </c>
      <c r="C9956" s="1">
        <v>1.1868808049244001E-3</v>
      </c>
      <c r="D9956" s="1">
        <v>2.16944950218881E-3</v>
      </c>
      <c r="E9956" s="1">
        <v>1.49628920277711E-5</v>
      </c>
      <c r="F9956" s="1">
        <v>1.2536460705615E-3</v>
      </c>
    </row>
    <row r="9957" spans="1:6" x14ac:dyDescent="0.25">
      <c r="A9957" s="2" t="str">
        <f t="shared" si="347"/>
        <v>12060</v>
      </c>
      <c r="B9957" s="2" t="str">
        <f>"30038"</f>
        <v>30038</v>
      </c>
      <c r="C9957" s="1">
        <v>6.5939496575711304E-3</v>
      </c>
      <c r="D9957" s="1">
        <v>2.3842813522432301E-3</v>
      </c>
      <c r="E9957" s="1">
        <v>4.5487191764424202E-3</v>
      </c>
      <c r="F9957" s="1">
        <v>6.1507842108467596E-3</v>
      </c>
    </row>
    <row r="9958" spans="1:6" x14ac:dyDescent="0.25">
      <c r="A9958" s="2" t="str">
        <f t="shared" si="347"/>
        <v>12060</v>
      </c>
      <c r="B9958" s="2" t="str">
        <f>"30018"</f>
        <v>30018</v>
      </c>
      <c r="C9958" s="1">
        <v>0</v>
      </c>
      <c r="D9958" s="1">
        <v>0</v>
      </c>
      <c r="E9958" s="1">
        <v>1.49628920277711E-5</v>
      </c>
      <c r="F9958" s="1">
        <v>3.3270861745262897E-7</v>
      </c>
    </row>
    <row r="9959" spans="1:6" x14ac:dyDescent="0.25">
      <c r="A9959" s="2" t="str">
        <f t="shared" si="347"/>
        <v>12060</v>
      </c>
      <c r="B9959" s="2" t="str">
        <f>"30021"</f>
        <v>30021</v>
      </c>
      <c r="C9959" s="1">
        <v>3.96819716911412E-3</v>
      </c>
      <c r="D9959" s="1">
        <v>2.02857615789084E-3</v>
      </c>
      <c r="E9959" s="1">
        <v>1.03692841752453E-2</v>
      </c>
      <c r="F9959" s="1">
        <v>3.9272925204108401E-3</v>
      </c>
    </row>
    <row r="9960" spans="1:6" x14ac:dyDescent="0.25">
      <c r="A9960" s="2" t="str">
        <f t="shared" si="347"/>
        <v>12060</v>
      </c>
      <c r="B9960" s="2" t="str">
        <f>"31822"</f>
        <v>31822</v>
      </c>
      <c r="C9960" s="1">
        <v>1.04713698435095E-4</v>
      </c>
      <c r="D9960" s="1">
        <v>2.4652835252145599E-5</v>
      </c>
      <c r="E9960" s="1">
        <v>7.4814460138855599E-5</v>
      </c>
      <c r="F9960" s="1">
        <v>9.6485499061262593E-5</v>
      </c>
    </row>
    <row r="9961" spans="1:6" x14ac:dyDescent="0.25">
      <c r="A9961" s="2" t="str">
        <f t="shared" si="347"/>
        <v>12060</v>
      </c>
      <c r="B9961" s="2" t="str">
        <f>"31146"</f>
        <v>31146</v>
      </c>
      <c r="C9961" s="1">
        <v>2.7722763326701398E-4</v>
      </c>
      <c r="D9961" s="1">
        <v>7.2197588952712299E-4</v>
      </c>
      <c r="E9961" s="1">
        <v>1.49628920277711E-5</v>
      </c>
      <c r="F9961" s="1">
        <v>3.13411517640377E-4</v>
      </c>
    </row>
    <row r="9962" spans="1:6" x14ac:dyDescent="0.25">
      <c r="A9962" s="2" t="str">
        <f t="shared" si="347"/>
        <v>12060</v>
      </c>
      <c r="B9962" s="2" t="str">
        <f>"31106"</f>
        <v>31106</v>
      </c>
      <c r="C9962" s="1">
        <v>1.5631721169267801E-4</v>
      </c>
      <c r="D9962" s="1">
        <v>9.3328590597408596E-4</v>
      </c>
      <c r="E9962" s="1">
        <v>1.49628920277711E-5</v>
      </c>
      <c r="F9962" s="1">
        <v>2.2657456848524E-4</v>
      </c>
    </row>
    <row r="9963" spans="1:6" x14ac:dyDescent="0.25">
      <c r="A9963" s="2" t="str">
        <f t="shared" si="347"/>
        <v>12060</v>
      </c>
      <c r="B9963" s="2" t="str">
        <f>"31097"</f>
        <v>31097</v>
      </c>
      <c r="C9963" s="1">
        <v>1.6573391119223701E-5</v>
      </c>
      <c r="D9963" s="1">
        <v>1.7609168037246902E-5</v>
      </c>
      <c r="E9963" s="1">
        <v>0</v>
      </c>
      <c r="F9963" s="1">
        <v>1.6302722255178802E-5</v>
      </c>
    </row>
    <row r="9964" spans="1:6" x14ac:dyDescent="0.25">
      <c r="A9964" s="2" t="str">
        <f t="shared" si="347"/>
        <v>12060</v>
      </c>
      <c r="B9964" s="2" t="str">
        <f>"31139"</f>
        <v>31139</v>
      </c>
      <c r="C9964" s="1">
        <v>3.3787117804417403E-4</v>
      </c>
      <c r="D9964" s="1">
        <v>1.6763927971458999E-3</v>
      </c>
      <c r="E9964" s="1">
        <v>1.49628920277711E-5</v>
      </c>
      <c r="F9964" s="1">
        <v>4.5714164037991299E-4</v>
      </c>
    </row>
    <row r="9965" spans="1:6" x14ac:dyDescent="0.25">
      <c r="A9965" s="2" t="str">
        <f t="shared" si="347"/>
        <v>12060</v>
      </c>
      <c r="B9965" s="2" t="str">
        <f>"31119"</f>
        <v>31119</v>
      </c>
      <c r="C9965" s="1">
        <v>3.9060469524170401E-4</v>
      </c>
      <c r="D9965" s="1">
        <v>1.03189724698266E-3</v>
      </c>
      <c r="E9965" s="1">
        <v>1.49628920277711E-5</v>
      </c>
      <c r="F9965" s="1">
        <v>4.4283516982945002E-4</v>
      </c>
    </row>
    <row r="9966" spans="1:6" x14ac:dyDescent="0.25">
      <c r="A9966" s="2" t="str">
        <f t="shared" si="347"/>
        <v>12060</v>
      </c>
      <c r="B9966" s="2" t="str">
        <f>"31024"</f>
        <v>31024</v>
      </c>
      <c r="C9966" s="1">
        <v>7.5333595996471298E-7</v>
      </c>
      <c r="D9966" s="1">
        <v>3.5218336074493801E-6</v>
      </c>
      <c r="E9966" s="1">
        <v>0</v>
      </c>
      <c r="F9966" s="1">
        <v>9.9812585235788899E-7</v>
      </c>
    </row>
    <row r="9967" spans="1:6" x14ac:dyDescent="0.25">
      <c r="A9967" s="2" t="str">
        <f t="shared" si="347"/>
        <v>12060</v>
      </c>
      <c r="B9967" s="2" t="str">
        <f>"30621"</f>
        <v>30621</v>
      </c>
      <c r="C9967" s="1">
        <v>1.04713698435095E-4</v>
      </c>
      <c r="D9967" s="1">
        <v>1.7609168037246902E-5</v>
      </c>
      <c r="E9967" s="1">
        <v>0</v>
      </c>
      <c r="F9967" s="1">
        <v>9.41565387390942E-5</v>
      </c>
    </row>
    <row r="9968" spans="1:6" x14ac:dyDescent="0.25">
      <c r="A9968" s="2" t="str">
        <f t="shared" si="347"/>
        <v>12060</v>
      </c>
      <c r="B9968" s="2" t="str">
        <f>"30620"</f>
        <v>30620</v>
      </c>
      <c r="C9968" s="1">
        <v>2.08485726920234E-3</v>
      </c>
      <c r="D9968" s="1">
        <v>7.9945622889100905E-4</v>
      </c>
      <c r="E9968" s="1">
        <v>6.7333014124969996E-4</v>
      </c>
      <c r="F9968" s="1">
        <v>1.93203894154742E-3</v>
      </c>
    </row>
    <row r="9969" spans="1:6" x14ac:dyDescent="0.25">
      <c r="A9969" s="2" t="str">
        <f t="shared" si="347"/>
        <v>12060</v>
      </c>
      <c r="B9969" s="2" t="str">
        <f>"30533"</f>
        <v>30533</v>
      </c>
      <c r="C9969" s="1">
        <v>6.0266876797176996E-6</v>
      </c>
      <c r="D9969" s="1">
        <v>0</v>
      </c>
      <c r="E9969" s="1">
        <v>0</v>
      </c>
      <c r="F9969" s="1">
        <v>5.3233378792420704E-6</v>
      </c>
    </row>
    <row r="9970" spans="1:6" x14ac:dyDescent="0.25">
      <c r="A9970" s="2" t="str">
        <f t="shared" si="347"/>
        <v>12060</v>
      </c>
      <c r="B9970" s="2" t="str">
        <f>"30344"</f>
        <v>30344</v>
      </c>
      <c r="C9970" s="1">
        <v>6.4489324852779299E-3</v>
      </c>
      <c r="D9970" s="1">
        <v>5.7370669465350403E-3</v>
      </c>
      <c r="E9970" s="1">
        <v>1.5606296384965201E-2</v>
      </c>
      <c r="F9970" s="1">
        <v>6.5853016652398996E-3</v>
      </c>
    </row>
    <row r="9971" spans="1:6" x14ac:dyDescent="0.25">
      <c r="A9971" s="2" t="str">
        <f t="shared" si="347"/>
        <v>12060</v>
      </c>
      <c r="B9971" s="2" t="str">
        <f>"30332"</f>
        <v>30332</v>
      </c>
      <c r="C9971" s="1">
        <v>3.39001181984121E-6</v>
      </c>
      <c r="D9971" s="1">
        <v>2.4652835252145599E-5</v>
      </c>
      <c r="E9971" s="1">
        <v>0</v>
      </c>
      <c r="F9971" s="1">
        <v>5.3233378792420704E-6</v>
      </c>
    </row>
    <row r="9972" spans="1:6" x14ac:dyDescent="0.25">
      <c r="A9972" s="2" t="str">
        <f t="shared" si="347"/>
        <v>12060</v>
      </c>
      <c r="B9972" s="2" t="str">
        <f>"30360"</f>
        <v>30360</v>
      </c>
      <c r="C9972" s="1">
        <v>2.6272591603769299E-3</v>
      </c>
      <c r="D9972" s="1">
        <v>2.5181110293263E-3</v>
      </c>
      <c r="E9972" s="1">
        <v>4.1297581996648297E-3</v>
      </c>
      <c r="F9972" s="1">
        <v>2.6503568466276399E-3</v>
      </c>
    </row>
    <row r="9973" spans="1:6" x14ac:dyDescent="0.25">
      <c r="A9973" s="2" t="str">
        <f t="shared" si="347"/>
        <v>12060</v>
      </c>
      <c r="B9973" s="2" t="str">
        <f>"30328"</f>
        <v>30328</v>
      </c>
      <c r="C9973" s="1">
        <v>7.6222532429229698E-3</v>
      </c>
      <c r="D9973" s="1">
        <v>1.27912996622561E-2</v>
      </c>
      <c r="E9973" s="1">
        <v>9.21714148910701E-3</v>
      </c>
      <c r="F9973" s="1">
        <v>8.1460377897101793E-3</v>
      </c>
    </row>
    <row r="9974" spans="1:6" x14ac:dyDescent="0.25">
      <c r="A9974" s="2" t="str">
        <f t="shared" si="347"/>
        <v>12060</v>
      </c>
      <c r="B9974" s="2" t="str">
        <f>"30313"</f>
        <v>30313</v>
      </c>
      <c r="C9974" s="1">
        <v>1.4113749209938901E-3</v>
      </c>
      <c r="D9974" s="1">
        <v>1.0459845814124601E-3</v>
      </c>
      <c r="E9974" s="1">
        <v>4.2045726598036797E-3</v>
      </c>
      <c r="F9974" s="1">
        <v>1.43896477048262E-3</v>
      </c>
    </row>
    <row r="9975" spans="1:6" x14ac:dyDescent="0.25">
      <c r="A9975" s="2" t="str">
        <f t="shared" si="347"/>
        <v>12060</v>
      </c>
      <c r="B9975" s="2" t="str">
        <f>"30260"</f>
        <v>30260</v>
      </c>
      <c r="C9975" s="1">
        <v>4.3527751766761101E-3</v>
      </c>
      <c r="D9975" s="1">
        <v>5.7652416153946302E-3</v>
      </c>
      <c r="E9975" s="1">
        <v>2.8728752693320501E-3</v>
      </c>
      <c r="F9975" s="1">
        <v>4.4533048446034401E-3</v>
      </c>
    </row>
    <row r="9976" spans="1:6" x14ac:dyDescent="0.25">
      <c r="A9976" s="2" t="str">
        <f t="shared" si="347"/>
        <v>12060</v>
      </c>
      <c r="B9976" s="2" t="str">
        <f>"30237"</f>
        <v>30237</v>
      </c>
      <c r="C9976" s="1">
        <v>5.0435842519637496E-4</v>
      </c>
      <c r="D9976" s="1">
        <v>1.75035130290234E-3</v>
      </c>
      <c r="E9976" s="1">
        <v>1.49628920277711E-5</v>
      </c>
      <c r="F9976" s="1">
        <v>6.1118573026048E-4</v>
      </c>
    </row>
    <row r="9977" spans="1:6" x14ac:dyDescent="0.25">
      <c r="A9977" s="2" t="str">
        <f t="shared" si="347"/>
        <v>12060</v>
      </c>
      <c r="B9977" s="2" t="str">
        <f>"30251"</f>
        <v>30251</v>
      </c>
      <c r="C9977" s="1">
        <v>4.2036146566031002E-4</v>
      </c>
      <c r="D9977" s="1">
        <v>2.18353683661861E-4</v>
      </c>
      <c r="E9977" s="1">
        <v>3.1422073258319298E-4</v>
      </c>
      <c r="F9977" s="1">
        <v>3.9891763232570302E-4</v>
      </c>
    </row>
    <row r="9978" spans="1:6" x14ac:dyDescent="0.25">
      <c r="A9978" s="2" t="str">
        <f t="shared" si="347"/>
        <v>12060</v>
      </c>
      <c r="B9978" s="2" t="str">
        <f>"30307"</f>
        <v>30307</v>
      </c>
      <c r="C9978" s="1">
        <v>4.0800675591688802E-3</v>
      </c>
      <c r="D9978" s="1">
        <v>2.4582398579996601E-3</v>
      </c>
      <c r="E9978" s="1">
        <v>1.0055063442662099E-2</v>
      </c>
      <c r="F9978" s="1">
        <v>4.0597105501569801E-3</v>
      </c>
    </row>
    <row r="9979" spans="1:6" x14ac:dyDescent="0.25">
      <c r="A9979" s="2" t="str">
        <f t="shared" si="347"/>
        <v>12060</v>
      </c>
      <c r="B9979" s="2" t="str">
        <f>"30304"</f>
        <v>30304</v>
      </c>
      <c r="C9979" s="1">
        <v>0</v>
      </c>
      <c r="D9979" s="1">
        <v>0</v>
      </c>
      <c r="E9979" s="1">
        <v>7.4814460138855599E-5</v>
      </c>
      <c r="F9979" s="1">
        <v>1.6635430872631401E-6</v>
      </c>
    </row>
    <row r="9980" spans="1:6" x14ac:dyDescent="0.25">
      <c r="A9980" s="2" t="str">
        <f t="shared" si="347"/>
        <v>12060</v>
      </c>
      <c r="B9980" s="2" t="str">
        <f>"30301"</f>
        <v>30301</v>
      </c>
      <c r="C9980" s="1">
        <v>8.3281290374099095E-4</v>
      </c>
      <c r="D9980" s="1">
        <v>1.0706374166646101E-3</v>
      </c>
      <c r="E9980" s="1">
        <v>1.49628920277711E-5</v>
      </c>
      <c r="F9980" s="1">
        <v>8.3709488151081598E-4</v>
      </c>
    </row>
    <row r="9981" spans="1:6" x14ac:dyDescent="0.25">
      <c r="A9981" s="2" t="str">
        <f t="shared" si="347"/>
        <v>12060</v>
      </c>
      <c r="B9981" s="2" t="str">
        <f>"30294"</f>
        <v>30294</v>
      </c>
      <c r="C9981" s="1">
        <v>6.2263217091083501E-3</v>
      </c>
      <c r="D9981" s="1">
        <v>2.4476743571773202E-3</v>
      </c>
      <c r="E9981" s="1">
        <v>1.5112520948048799E-3</v>
      </c>
      <c r="F9981" s="1">
        <v>5.7645095059842598E-3</v>
      </c>
    </row>
    <row r="9982" spans="1:6" x14ac:dyDescent="0.25">
      <c r="A9982" s="2" t="str">
        <f t="shared" si="347"/>
        <v>12060</v>
      </c>
      <c r="B9982" s="2" t="str">
        <f>"30305"</f>
        <v>30305</v>
      </c>
      <c r="C9982" s="1">
        <v>6.7596835687633696E-3</v>
      </c>
      <c r="D9982" s="1">
        <v>1.10761666954283E-2</v>
      </c>
      <c r="E9982" s="1">
        <v>1.00999521187455E-2</v>
      </c>
      <c r="F9982" s="1">
        <v>7.2417357674739299E-3</v>
      </c>
    </row>
    <row r="9983" spans="1:6" x14ac:dyDescent="0.25">
      <c r="A9983" s="2" t="str">
        <f t="shared" si="347"/>
        <v>12060</v>
      </c>
      <c r="B9983" s="2" t="str">
        <f>"30224"</f>
        <v>30224</v>
      </c>
      <c r="C9983" s="1">
        <v>4.9931107426461202E-3</v>
      </c>
      <c r="D9983" s="1">
        <v>5.0503093930824097E-3</v>
      </c>
      <c r="E9983" s="1">
        <v>4.36916447210916E-3</v>
      </c>
      <c r="F9983" s="1">
        <v>4.9846405066752896E-3</v>
      </c>
    </row>
    <row r="9984" spans="1:6" x14ac:dyDescent="0.25">
      <c r="A9984" s="2" t="str">
        <f t="shared" si="347"/>
        <v>12060</v>
      </c>
      <c r="B9984" s="2" t="str">
        <f>"30275"</f>
        <v>30275</v>
      </c>
      <c r="C9984" s="1">
        <v>0</v>
      </c>
      <c r="D9984" s="1">
        <v>0</v>
      </c>
      <c r="E9984" s="1">
        <v>1.49628920277711E-5</v>
      </c>
      <c r="F9984" s="1">
        <v>3.3270861745262897E-7</v>
      </c>
    </row>
    <row r="9985" spans="1:6" x14ac:dyDescent="0.25">
      <c r="A9985" s="2" t="str">
        <f t="shared" si="347"/>
        <v>12060</v>
      </c>
      <c r="B9985" s="2" t="str">
        <f>"30271"</f>
        <v>30271</v>
      </c>
      <c r="C9985" s="1">
        <v>6.23762174850782E-4</v>
      </c>
      <c r="D9985" s="1">
        <v>1.1903797593178899E-3</v>
      </c>
      <c r="E9985" s="1">
        <v>1.49628920277711E-5</v>
      </c>
      <c r="F9985" s="1">
        <v>6.6375369181799601E-4</v>
      </c>
    </row>
    <row r="9986" spans="1:6" x14ac:dyDescent="0.25">
      <c r="A9986" s="2" t="str">
        <f t="shared" si="347"/>
        <v>12060</v>
      </c>
      <c r="B9986" s="2" t="str">
        <f>"30277"</f>
        <v>30277</v>
      </c>
      <c r="C9986" s="1">
        <v>3.3436816583033799E-3</v>
      </c>
      <c r="D9986" s="1">
        <v>1.3312531036158599E-3</v>
      </c>
      <c r="E9986" s="1">
        <v>5.2370122097198898E-4</v>
      </c>
      <c r="F9986" s="1">
        <v>3.0908630561349302E-3</v>
      </c>
    </row>
    <row r="9987" spans="1:6" x14ac:dyDescent="0.25">
      <c r="A9987" s="2" t="str">
        <f t="shared" si="347"/>
        <v>12060</v>
      </c>
      <c r="B9987" s="2" t="str">
        <f>"30222"</f>
        <v>30222</v>
      </c>
      <c r="C9987" s="1">
        <v>7.9401610180280797E-4</v>
      </c>
      <c r="D9987" s="1">
        <v>3.0992135745554498E-4</v>
      </c>
      <c r="E9987" s="1">
        <v>2.8429494852765099E-4</v>
      </c>
      <c r="F9987" s="1">
        <v>7.3694958765757395E-4</v>
      </c>
    </row>
    <row r="9988" spans="1:6" x14ac:dyDescent="0.25">
      <c r="A9988" s="2" t="str">
        <f t="shared" si="347"/>
        <v>12060</v>
      </c>
      <c r="B9988" s="2" t="str">
        <f>"30216"</f>
        <v>30216</v>
      </c>
      <c r="C9988" s="1">
        <v>3.4992455340360901E-4</v>
      </c>
      <c r="D9988" s="1">
        <v>1.1269867543838E-4</v>
      </c>
      <c r="E9988" s="1">
        <v>3.8903519272204902E-4</v>
      </c>
      <c r="F9988" s="1">
        <v>3.2838340542574502E-4</v>
      </c>
    </row>
    <row r="9989" spans="1:6" x14ac:dyDescent="0.25">
      <c r="A9989" s="2" t="str">
        <f t="shared" si="347"/>
        <v>12060</v>
      </c>
      <c r="B9989" s="2" t="str">
        <f>"30169"</f>
        <v>30169</v>
      </c>
      <c r="C9989" s="1">
        <v>5.7630200937300595E-4</v>
      </c>
      <c r="D9989" s="1">
        <v>9.0863307072193997E-4</v>
      </c>
      <c r="E9989" s="1">
        <v>1.49628920277711E-5</v>
      </c>
      <c r="F9989" s="1">
        <v>5.9521571662275404E-4</v>
      </c>
    </row>
    <row r="9990" spans="1:6" x14ac:dyDescent="0.25">
      <c r="A9990" s="2" t="str">
        <f t="shared" si="347"/>
        <v>12060</v>
      </c>
      <c r="B9990" s="2" t="str">
        <f>"30161"</f>
        <v>30161</v>
      </c>
      <c r="C9990" s="1">
        <v>3.7666797998235601E-5</v>
      </c>
      <c r="D9990" s="1">
        <v>3.5218336074493801E-6</v>
      </c>
      <c r="E9990" s="1">
        <v>2.99257840555422E-5</v>
      </c>
      <c r="F9990" s="1">
        <v>3.42689875976208E-5</v>
      </c>
    </row>
    <row r="9991" spans="1:6" x14ac:dyDescent="0.25">
      <c r="A9991" s="2" t="str">
        <f t="shared" si="347"/>
        <v>12060</v>
      </c>
      <c r="B9991" s="2" t="str">
        <f>"30157"</f>
        <v>30157</v>
      </c>
      <c r="C9991" s="1">
        <v>7.40792916231301E-3</v>
      </c>
      <c r="D9991" s="1">
        <v>2.2645390095899498E-3</v>
      </c>
      <c r="E9991" s="1">
        <v>2.39406272444338E-3</v>
      </c>
      <c r="F9991" s="1">
        <v>6.8105453992553296E-3</v>
      </c>
    </row>
    <row r="9992" spans="1:6" x14ac:dyDescent="0.25">
      <c r="A9992" s="2" t="str">
        <f t="shared" si="347"/>
        <v>12060</v>
      </c>
      <c r="B9992" s="2" t="str">
        <f>"30119"</f>
        <v>30119</v>
      </c>
      <c r="C9992" s="1">
        <v>0</v>
      </c>
      <c r="D9992" s="1">
        <v>0</v>
      </c>
      <c r="E9992" s="1">
        <v>1.49628920277711E-5</v>
      </c>
      <c r="F9992" s="1">
        <v>3.3270861745262897E-7</v>
      </c>
    </row>
    <row r="9993" spans="1:6" x14ac:dyDescent="0.25">
      <c r="A9993" s="2" t="str">
        <f t="shared" si="347"/>
        <v>12060</v>
      </c>
      <c r="B9993" s="2" t="str">
        <f>"30121"</f>
        <v>30121</v>
      </c>
      <c r="C9993" s="1">
        <v>3.9252570193961398E-3</v>
      </c>
      <c r="D9993" s="1">
        <v>2.7822485498850101E-3</v>
      </c>
      <c r="E9993" s="1">
        <v>3.5910940866650701E-3</v>
      </c>
      <c r="F9993" s="1">
        <v>3.8098463784500599E-3</v>
      </c>
    </row>
    <row r="9994" spans="1:6" x14ac:dyDescent="0.25">
      <c r="A9994" s="2" t="str">
        <f t="shared" si="347"/>
        <v>12060</v>
      </c>
      <c r="B9994" s="2" t="str">
        <f>"30137"</f>
        <v>30137</v>
      </c>
      <c r="C9994" s="1">
        <v>4.6104160749840399E-4</v>
      </c>
      <c r="D9994" s="1">
        <v>4.2614186650137499E-4</v>
      </c>
      <c r="E9994" s="1">
        <v>5.9851568111084502E-5</v>
      </c>
      <c r="F9994" s="1">
        <v>4.4882392494359702E-4</v>
      </c>
    </row>
    <row r="9995" spans="1:6" x14ac:dyDescent="0.25">
      <c r="A9995" s="2" t="str">
        <f t="shared" si="347"/>
        <v>12060</v>
      </c>
      <c r="B9995" s="2" t="str">
        <f>"30112"</f>
        <v>30112</v>
      </c>
      <c r="C9995" s="1">
        <v>5.9023872463235302E-4</v>
      </c>
      <c r="D9995" s="1">
        <v>1.5848251233522199E-3</v>
      </c>
      <c r="E9995" s="1">
        <v>1.49628920277711E-5</v>
      </c>
      <c r="F9995" s="1">
        <v>6.71405990019406E-4</v>
      </c>
    </row>
    <row r="9996" spans="1:6" x14ac:dyDescent="0.25">
      <c r="A9996" s="2" t="str">
        <f t="shared" si="347"/>
        <v>12060</v>
      </c>
      <c r="B9996" s="2" t="str">
        <f>"30074"</f>
        <v>30074</v>
      </c>
      <c r="C9996" s="1">
        <v>2.7496762538712E-4</v>
      </c>
      <c r="D9996" s="1">
        <v>1.01428807894542E-3</v>
      </c>
      <c r="E9996" s="1">
        <v>1.49628920277711E-5</v>
      </c>
      <c r="F9996" s="1">
        <v>3.3903008118422897E-4</v>
      </c>
    </row>
    <row r="9997" spans="1:6" x14ac:dyDescent="0.25">
      <c r="A9997" s="2" t="str">
        <f t="shared" si="347"/>
        <v>12060</v>
      </c>
      <c r="B9997" s="2" t="str">
        <f>"30072"</f>
        <v>30072</v>
      </c>
      <c r="C9997" s="1">
        <v>4.6744496315810402E-4</v>
      </c>
      <c r="D9997" s="1">
        <v>6.4449555016323596E-4</v>
      </c>
      <c r="E9997" s="1">
        <v>2.99257840555422E-5</v>
      </c>
      <c r="F9997" s="1">
        <v>4.7444248848744998E-4</v>
      </c>
    </row>
    <row r="9998" spans="1:6" x14ac:dyDescent="0.25">
      <c r="A9998" s="2" t="str">
        <f t="shared" si="347"/>
        <v>12060</v>
      </c>
      <c r="B9998" s="2" t="str">
        <f>"30063"</f>
        <v>30063</v>
      </c>
      <c r="C9998" s="1">
        <v>0</v>
      </c>
      <c r="D9998" s="1">
        <v>3.5218336074493801E-6</v>
      </c>
      <c r="E9998" s="1">
        <v>0</v>
      </c>
      <c r="F9998" s="1">
        <v>3.3270861745262897E-7</v>
      </c>
    </row>
    <row r="9999" spans="1:6" x14ac:dyDescent="0.25">
      <c r="A9999" s="2" t="str">
        <f t="shared" si="347"/>
        <v>12060</v>
      </c>
      <c r="B9999" s="2" t="str">
        <f>"30066"</f>
        <v>30066</v>
      </c>
      <c r="C9999" s="1">
        <v>8.9763746309595403E-3</v>
      </c>
      <c r="D9999" s="1">
        <v>1.11184286987177E-2</v>
      </c>
      <c r="E9999" s="1">
        <v>1.44691165908546E-2</v>
      </c>
      <c r="F9999" s="1">
        <v>9.3008694008882599E-3</v>
      </c>
    </row>
    <row r="10000" spans="1:6" x14ac:dyDescent="0.25">
      <c r="A10000" s="2" t="str">
        <f t="shared" ref="A10000:A10006" si="348">"12060"</f>
        <v>12060</v>
      </c>
      <c r="B10000" s="2" t="str">
        <f>"30093"</f>
        <v>30093</v>
      </c>
      <c r="C10000" s="1">
        <v>7.3661190165349704E-3</v>
      </c>
      <c r="D10000" s="1">
        <v>9.28355338923657E-3</v>
      </c>
      <c r="E10000" s="1">
        <v>2.8668901125209399E-2</v>
      </c>
      <c r="F10000" s="1">
        <v>8.0209393495479907E-3</v>
      </c>
    </row>
    <row r="10001" spans="1:6" x14ac:dyDescent="0.25">
      <c r="A10001" s="2" t="str">
        <f t="shared" si="348"/>
        <v>12060</v>
      </c>
      <c r="B10001" s="2" t="str">
        <f>"30091"</f>
        <v>30091</v>
      </c>
      <c r="C10001" s="1">
        <v>5.2281515621551095E-4</v>
      </c>
      <c r="D10001" s="1">
        <v>1.6059561249969099E-3</v>
      </c>
      <c r="E10001" s="1">
        <v>1.49628920277711E-5</v>
      </c>
      <c r="F10001" s="1">
        <v>6.1384739920010097E-4</v>
      </c>
    </row>
    <row r="10002" spans="1:6" x14ac:dyDescent="0.25">
      <c r="A10002" s="2" t="str">
        <f t="shared" si="348"/>
        <v>12060</v>
      </c>
      <c r="B10002" s="2" t="str">
        <f>"30058"</f>
        <v>30058</v>
      </c>
      <c r="C10002" s="1">
        <v>8.9055610507228593E-3</v>
      </c>
      <c r="D10002" s="1">
        <v>6.2829511556896896E-3</v>
      </c>
      <c r="E10002" s="1">
        <v>5.8953794589418204E-3</v>
      </c>
      <c r="F10002" s="1">
        <v>8.5908692112443494E-3</v>
      </c>
    </row>
    <row r="10003" spans="1:6" x14ac:dyDescent="0.25">
      <c r="A10003" s="2" t="str">
        <f t="shared" si="348"/>
        <v>12060</v>
      </c>
      <c r="B10003" s="2" t="str">
        <f>"30055"</f>
        <v>30055</v>
      </c>
      <c r="C10003" s="1">
        <v>6.0116209605184099E-4</v>
      </c>
      <c r="D10003" s="1">
        <v>1.7256984676501899E-4</v>
      </c>
      <c r="E10003" s="1">
        <v>2.0948048838879499E-4</v>
      </c>
      <c r="F10003" s="1">
        <v>5.5196359635391204E-4</v>
      </c>
    </row>
    <row r="10004" spans="1:6" x14ac:dyDescent="0.25">
      <c r="A10004" s="2" t="str">
        <f t="shared" si="348"/>
        <v>12060</v>
      </c>
      <c r="B10004" s="2" t="str">
        <f>"30010"</f>
        <v>30010</v>
      </c>
      <c r="C10004" s="1">
        <v>7.4994594814487199E-4</v>
      </c>
      <c r="D10004" s="1">
        <v>1.9334866504897099E-3</v>
      </c>
      <c r="E10004" s="1">
        <v>1.49628920277711E-5</v>
      </c>
      <c r="F10004" s="1">
        <v>8.4541259694713195E-4</v>
      </c>
    </row>
    <row r="10005" spans="1:6" x14ac:dyDescent="0.25">
      <c r="A10005" s="2" t="str">
        <f t="shared" si="348"/>
        <v>12060</v>
      </c>
      <c r="B10005" s="2" t="str">
        <f>"30031"</f>
        <v>30031</v>
      </c>
      <c r="C10005" s="1">
        <v>9.9515680311338599E-4</v>
      </c>
      <c r="D10005" s="1">
        <v>2.7153337113434701E-3</v>
      </c>
      <c r="E10005" s="1">
        <v>1.49628920277711E-5</v>
      </c>
      <c r="F10005" s="1">
        <v>1.1358672199832699E-3</v>
      </c>
    </row>
    <row r="10006" spans="1:6" x14ac:dyDescent="0.25">
      <c r="A10006" s="2" t="str">
        <f t="shared" si="348"/>
        <v>12060</v>
      </c>
      <c r="B10006" s="2" t="str">
        <f>"30003"</f>
        <v>30003</v>
      </c>
      <c r="C10006" s="1">
        <v>3.9248803514161501E-4</v>
      </c>
      <c r="D10006" s="1">
        <v>6.1279904769619197E-4</v>
      </c>
      <c r="E10006" s="1">
        <v>1.49628920277711E-5</v>
      </c>
      <c r="F10006" s="1">
        <v>4.0490638743985002E-4</v>
      </c>
    </row>
    <row r="10007" spans="1:6" x14ac:dyDescent="0.25">
      <c r="A10007" s="2" t="str">
        <f t="shared" ref="A10007:A10015" si="349">"18460"</f>
        <v>18460</v>
      </c>
      <c r="B10007" s="2" t="str">
        <f>"30571"</f>
        <v>30571</v>
      </c>
      <c r="C10007" s="1">
        <v>7.9400088222320205E-4</v>
      </c>
      <c r="D10007" s="1">
        <v>4.9652432969215403E-4</v>
      </c>
      <c r="E10007" s="1">
        <v>0</v>
      </c>
      <c r="F10007" s="1">
        <v>7.5933178802653598E-4</v>
      </c>
    </row>
    <row r="10008" spans="1:6" x14ac:dyDescent="0.25">
      <c r="A10008" s="2" t="str">
        <f t="shared" si="349"/>
        <v>18460</v>
      </c>
      <c r="B10008" s="2" t="str">
        <f>"30531"</f>
        <v>30531</v>
      </c>
      <c r="C10008" s="1">
        <v>0.28341420379355903</v>
      </c>
      <c r="D10008" s="1">
        <v>0.49404170804369402</v>
      </c>
      <c r="E10008" s="1">
        <v>0.42011834319526598</v>
      </c>
      <c r="F10008" s="1">
        <v>0.302214051634561</v>
      </c>
    </row>
    <row r="10009" spans="1:6" x14ac:dyDescent="0.25">
      <c r="A10009" s="2" t="str">
        <f t="shared" si="349"/>
        <v>18460</v>
      </c>
      <c r="B10009" s="2" t="str">
        <f>"30511"</f>
        <v>30511</v>
      </c>
      <c r="C10009" s="1">
        <v>1.80414644905161E-2</v>
      </c>
      <c r="D10009" s="1">
        <v>3.52532274081429E-2</v>
      </c>
      <c r="E10009" s="1">
        <v>0.171597633136094</v>
      </c>
      <c r="F10009" s="1">
        <v>2.1501079050435599E-2</v>
      </c>
    </row>
    <row r="10010" spans="1:6" x14ac:dyDescent="0.25">
      <c r="A10010" s="2" t="str">
        <f t="shared" si="349"/>
        <v>18460</v>
      </c>
      <c r="B10010" s="2" t="str">
        <f>"30535"</f>
        <v>30535</v>
      </c>
      <c r="C10010" s="1">
        <v>0.21049845610939499</v>
      </c>
      <c r="D10010" s="1">
        <v>0.13704071499503401</v>
      </c>
      <c r="E10010" s="1">
        <v>0.15088757396449701</v>
      </c>
      <c r="F10010" s="1">
        <v>0.20378067300775299</v>
      </c>
    </row>
    <row r="10011" spans="1:6" x14ac:dyDescent="0.25">
      <c r="A10011" s="2" t="str">
        <f t="shared" si="349"/>
        <v>18460</v>
      </c>
      <c r="B10011" s="2" t="str">
        <f>"30563"</f>
        <v>30563</v>
      </c>
      <c r="C10011" s="1">
        <v>0.109704455227172</v>
      </c>
      <c r="D10011" s="1">
        <v>4.3197616683217401E-2</v>
      </c>
      <c r="E10011" s="1">
        <v>2.9585798816567999E-3</v>
      </c>
      <c r="F10011" s="1">
        <v>0.10290943969307</v>
      </c>
    </row>
    <row r="10012" spans="1:6" x14ac:dyDescent="0.25">
      <c r="A10012" s="2" t="str">
        <f t="shared" si="349"/>
        <v>18460</v>
      </c>
      <c r="B10012" s="2" t="str">
        <f>"30510"</f>
        <v>30510</v>
      </c>
      <c r="C10012" s="1">
        <v>0.10507278341420299</v>
      </c>
      <c r="D10012" s="1">
        <v>5.75968222442899E-2</v>
      </c>
      <c r="E10012" s="1">
        <v>4.4378698224851999E-2</v>
      </c>
      <c r="F10012" s="1">
        <v>0.10043162017424601</v>
      </c>
    </row>
    <row r="10013" spans="1:6" x14ac:dyDescent="0.25">
      <c r="A10013" s="2" t="str">
        <f t="shared" si="349"/>
        <v>18460</v>
      </c>
      <c r="B10013" s="2" t="str">
        <f>"30580"</f>
        <v>30580</v>
      </c>
      <c r="C10013" s="1">
        <v>0</v>
      </c>
      <c r="D10013" s="1">
        <v>0</v>
      </c>
      <c r="E10013" s="1">
        <v>2.9585798816567999E-3</v>
      </c>
      <c r="F10013" s="1">
        <v>3.9964830948765002E-5</v>
      </c>
    </row>
    <row r="10014" spans="1:6" x14ac:dyDescent="0.25">
      <c r="A10014" s="2" t="str">
        <f t="shared" si="349"/>
        <v>18460</v>
      </c>
      <c r="B10014" s="2" t="str">
        <f>"30523"</f>
        <v>30523</v>
      </c>
      <c r="C10014" s="1">
        <v>0.26462284958094301</v>
      </c>
      <c r="D10014" s="1">
        <v>0.23088381330685201</v>
      </c>
      <c r="E10014" s="1">
        <v>0.207100591715976</v>
      </c>
      <c r="F10014" s="1">
        <v>0.26113020541923099</v>
      </c>
    </row>
    <row r="10015" spans="1:6" x14ac:dyDescent="0.25">
      <c r="A10015" s="2" t="str">
        <f t="shared" si="349"/>
        <v>18460</v>
      </c>
      <c r="B10015" s="2" t="str">
        <f>"30577"</f>
        <v>30577</v>
      </c>
      <c r="C10015" s="1">
        <v>7.8517865019849999E-3</v>
      </c>
      <c r="D10015" s="1">
        <v>1.48957298907646E-3</v>
      </c>
      <c r="E10015" s="1">
        <v>0</v>
      </c>
      <c r="F10015" s="1">
        <v>7.2336344017264803E-3</v>
      </c>
    </row>
    <row r="10016" spans="1:6" x14ac:dyDescent="0.25">
      <c r="A10016" s="2" t="str">
        <f t="shared" ref="A10016:A10031" si="350">"19140"</f>
        <v>19140</v>
      </c>
      <c r="B10016" s="2" t="str">
        <f>"30719"</f>
        <v>30719</v>
      </c>
      <c r="C10016" s="1">
        <v>1.48094935484762E-2</v>
      </c>
      <c r="D10016" s="1">
        <v>2.3886797351681099E-2</v>
      </c>
      <c r="E10016" s="1">
        <v>5.2603892688058904E-4</v>
      </c>
      <c r="F10016" s="1">
        <v>1.49956491161149E-2</v>
      </c>
    </row>
    <row r="10017" spans="1:6" x14ac:dyDescent="0.25">
      <c r="A10017" s="2" t="str">
        <f t="shared" si="350"/>
        <v>19140</v>
      </c>
      <c r="B10017" s="2" t="str">
        <f>"30722"</f>
        <v>30722</v>
      </c>
      <c r="C10017" s="1">
        <v>2.0888017019865701E-2</v>
      </c>
      <c r="D10017" s="1">
        <v>0.108009866285862</v>
      </c>
      <c r="E10017" s="1">
        <v>2.6301946344029398E-4</v>
      </c>
      <c r="F10017" s="1">
        <v>2.79529389326626E-2</v>
      </c>
    </row>
    <row r="10018" spans="1:6" x14ac:dyDescent="0.25">
      <c r="A10018" s="2" t="str">
        <f t="shared" si="350"/>
        <v>19140</v>
      </c>
      <c r="B10018" s="2" t="str">
        <f>"30736"</f>
        <v>30736</v>
      </c>
      <c r="C10018" s="1">
        <v>2.77678004033929E-3</v>
      </c>
      <c r="D10018" s="1">
        <v>2.5963910164870799E-4</v>
      </c>
      <c r="E10018" s="1">
        <v>0</v>
      </c>
      <c r="F10018" s="1">
        <v>2.4198066538722801E-3</v>
      </c>
    </row>
    <row r="10019" spans="1:6" x14ac:dyDescent="0.25">
      <c r="A10019" s="2" t="str">
        <f t="shared" si="350"/>
        <v>19140</v>
      </c>
      <c r="B10019" s="2" t="str">
        <f>"30735"</f>
        <v>30735</v>
      </c>
      <c r="C10019" s="1">
        <v>1.8567126239880601E-2</v>
      </c>
      <c r="D10019" s="1">
        <v>5.9716993379202903E-3</v>
      </c>
      <c r="E10019" s="1">
        <v>4.2083114150447097E-3</v>
      </c>
      <c r="F10019" s="1">
        <v>1.6759843129775499E-2</v>
      </c>
    </row>
    <row r="10020" spans="1:6" x14ac:dyDescent="0.25">
      <c r="A10020" s="2" t="str">
        <f t="shared" si="350"/>
        <v>19140</v>
      </c>
      <c r="B10020" s="2" t="str">
        <f>"30711"</f>
        <v>30711</v>
      </c>
      <c r="C10020" s="1">
        <v>2.3015500234852E-2</v>
      </c>
      <c r="D10020" s="1">
        <v>3.6349474230819101E-3</v>
      </c>
      <c r="E10020" s="1">
        <v>2.3671751709626499E-3</v>
      </c>
      <c r="F10020" s="1">
        <v>2.0300151386918701E-2</v>
      </c>
    </row>
    <row r="10021" spans="1:6" x14ac:dyDescent="0.25">
      <c r="A10021" s="2" t="str">
        <f t="shared" si="350"/>
        <v>19140</v>
      </c>
      <c r="B10021" s="2" t="str">
        <f>"30721"</f>
        <v>30721</v>
      </c>
      <c r="C10021" s="1">
        <v>0.34853424695383001</v>
      </c>
      <c r="D10021" s="1">
        <v>0.37972218616123499</v>
      </c>
      <c r="E10021" s="1">
        <v>0.45423461336138798</v>
      </c>
      <c r="F10021" s="1">
        <v>0.356188387312107</v>
      </c>
    </row>
    <row r="10022" spans="1:6" x14ac:dyDescent="0.25">
      <c r="A10022" s="2" t="str">
        <f t="shared" si="350"/>
        <v>19140</v>
      </c>
      <c r="B10022" s="2" t="str">
        <f>"30540"</f>
        <v>30540</v>
      </c>
      <c r="C10022" s="1">
        <v>1.10518608570718E-4</v>
      </c>
      <c r="D10022" s="1">
        <v>0</v>
      </c>
      <c r="E10022" s="1">
        <v>0</v>
      </c>
      <c r="F10022" s="1">
        <v>9.5361838576247705E-5</v>
      </c>
    </row>
    <row r="10023" spans="1:6" x14ac:dyDescent="0.25">
      <c r="A10023" s="2" t="str">
        <f t="shared" si="350"/>
        <v>19140</v>
      </c>
      <c r="B10023" s="2" t="str">
        <f>"30756"</f>
        <v>30756</v>
      </c>
      <c r="C10023" s="1">
        <v>0</v>
      </c>
      <c r="D10023" s="1">
        <v>1.29819550824354E-4</v>
      </c>
      <c r="E10023" s="1">
        <v>0</v>
      </c>
      <c r="F10023" s="1">
        <v>1.19202298220309E-5</v>
      </c>
    </row>
    <row r="10024" spans="1:6" x14ac:dyDescent="0.25">
      <c r="A10024" s="2" t="str">
        <f t="shared" si="350"/>
        <v>19140</v>
      </c>
      <c r="B10024" s="2" t="str">
        <f>"30751"</f>
        <v>30751</v>
      </c>
      <c r="C10024" s="1">
        <v>0</v>
      </c>
      <c r="D10024" s="1">
        <v>1.29819550824354E-4</v>
      </c>
      <c r="E10024" s="1">
        <v>0</v>
      </c>
      <c r="F10024" s="1">
        <v>1.19202298220309E-5</v>
      </c>
    </row>
    <row r="10025" spans="1:6" x14ac:dyDescent="0.25">
      <c r="A10025" s="2" t="str">
        <f t="shared" si="350"/>
        <v>19140</v>
      </c>
      <c r="B10025" s="2" t="str">
        <f>"30740"</f>
        <v>30740</v>
      </c>
      <c r="C10025" s="1">
        <v>7.7570248390572694E-2</v>
      </c>
      <c r="D10025" s="1">
        <v>3.05075944437232E-2</v>
      </c>
      <c r="E10025" s="1">
        <v>1.3413992635455001E-2</v>
      </c>
      <c r="F10025" s="1">
        <v>7.0341276179804693E-2</v>
      </c>
    </row>
    <row r="10026" spans="1:6" x14ac:dyDescent="0.25">
      <c r="A10026" s="2" t="str">
        <f t="shared" si="350"/>
        <v>19140</v>
      </c>
      <c r="B10026" s="2" t="str">
        <f>"30708"</f>
        <v>30708</v>
      </c>
      <c r="C10026" s="1">
        <v>2.8320393446246502E-3</v>
      </c>
      <c r="D10026" s="1">
        <v>3.8945865247306199E-4</v>
      </c>
      <c r="E10026" s="1">
        <v>0</v>
      </c>
      <c r="F10026" s="1">
        <v>2.47940780298244E-3</v>
      </c>
    </row>
    <row r="10027" spans="1:6" x14ac:dyDescent="0.25">
      <c r="A10027" s="2" t="str">
        <f t="shared" si="350"/>
        <v>19140</v>
      </c>
      <c r="B10027" s="2" t="str">
        <f>"30705"</f>
        <v>30705</v>
      </c>
      <c r="C10027" s="1">
        <v>0.197400049733373</v>
      </c>
      <c r="D10027" s="1">
        <v>0.104634557964429</v>
      </c>
      <c r="E10027" s="1">
        <v>9.96843766438716E-2</v>
      </c>
      <c r="F10027" s="1">
        <v>0.184453636266107</v>
      </c>
    </row>
    <row r="10028" spans="1:6" x14ac:dyDescent="0.25">
      <c r="A10028" s="2" t="str">
        <f t="shared" si="350"/>
        <v>19140</v>
      </c>
      <c r="B10028" s="2" t="str">
        <f>"30720"</f>
        <v>30720</v>
      </c>
      <c r="C10028" s="1">
        <v>0.19471997347553299</v>
      </c>
      <c r="D10028" s="1">
        <v>0.30325847072569101</v>
      </c>
      <c r="E10028" s="1">
        <v>0.40136770120988902</v>
      </c>
      <c r="F10028" s="1">
        <v>0.21405156691421001</v>
      </c>
    </row>
    <row r="10029" spans="1:6" x14ac:dyDescent="0.25">
      <c r="A10029" s="2" t="str">
        <f t="shared" si="350"/>
        <v>19140</v>
      </c>
      <c r="B10029" s="2" t="str">
        <f>"30755"</f>
        <v>30755</v>
      </c>
      <c r="C10029" s="1">
        <v>5.5687563893570498E-2</v>
      </c>
      <c r="D10029" s="1">
        <v>2.7521744774763001E-2</v>
      </c>
      <c r="E10029" s="1">
        <v>1.3150973172014699E-2</v>
      </c>
      <c r="F10029" s="1">
        <v>5.1173546625978901E-2</v>
      </c>
    </row>
    <row r="10030" spans="1:6" x14ac:dyDescent="0.25">
      <c r="A10030" s="2" t="str">
        <f t="shared" si="350"/>
        <v>19140</v>
      </c>
      <c r="B10030" s="2" t="str">
        <f>"30710"</f>
        <v>30710</v>
      </c>
      <c r="C10030" s="1">
        <v>4.3088442516508701E-2</v>
      </c>
      <c r="D10030" s="1">
        <v>1.18135791250162E-2</v>
      </c>
      <c r="E10030" s="1">
        <v>1.0783798001051999E-2</v>
      </c>
      <c r="F10030" s="1">
        <v>3.8752667151422601E-2</v>
      </c>
    </row>
    <row r="10031" spans="1:6" x14ac:dyDescent="0.25">
      <c r="A10031" s="2" t="str">
        <f t="shared" si="350"/>
        <v>19140</v>
      </c>
      <c r="B10031" s="2" t="str">
        <f>"30724"</f>
        <v>30724</v>
      </c>
      <c r="C10031" s="1">
        <v>0</v>
      </c>
      <c r="D10031" s="1">
        <v>1.29819550824354E-4</v>
      </c>
      <c r="E10031" s="1">
        <v>0</v>
      </c>
      <c r="F10031" s="1">
        <v>1.19202298220309E-5</v>
      </c>
    </row>
    <row r="10032" spans="1:6" x14ac:dyDescent="0.25">
      <c r="A10032" s="2" t="str">
        <f t="shared" ref="A10032:A10044" si="351">"11140"</f>
        <v>11140</v>
      </c>
      <c r="B10032" s="2" t="str">
        <f>"31787"</f>
        <v>31787</v>
      </c>
      <c r="C10032" s="1">
        <v>9.9650164316760301E-3</v>
      </c>
      <c r="D10032" s="1">
        <v>4.5801526717557202E-3</v>
      </c>
      <c r="E10032" s="1">
        <v>4.5045045045045001E-3</v>
      </c>
      <c r="F10032" s="1">
        <v>9.06798779139204E-3</v>
      </c>
    </row>
    <row r="10033" spans="1:6" x14ac:dyDescent="0.25">
      <c r="A10033" s="2" t="str">
        <f t="shared" si="351"/>
        <v>11140</v>
      </c>
      <c r="B10033" s="2" t="str">
        <f>"31780"</f>
        <v>31780</v>
      </c>
      <c r="C10033" s="1">
        <v>4.69097847980494E-2</v>
      </c>
      <c r="D10033" s="1">
        <v>1.6284987277353599E-2</v>
      </c>
      <c r="E10033" s="1">
        <v>2.3085585585585499E-2</v>
      </c>
      <c r="F10033" s="1">
        <v>4.23762551422125E-2</v>
      </c>
    </row>
    <row r="10034" spans="1:6" x14ac:dyDescent="0.25">
      <c r="A10034" s="2" t="str">
        <f t="shared" si="351"/>
        <v>11140</v>
      </c>
      <c r="B10034" s="2" t="str">
        <f>"31735"</f>
        <v>31735</v>
      </c>
      <c r="C10034" s="1">
        <v>3.0902152019505899E-2</v>
      </c>
      <c r="D10034" s="1">
        <v>2.5445292620865098E-3</v>
      </c>
      <c r="E10034" s="1">
        <v>7.3198198198198101E-3</v>
      </c>
      <c r="F10034" s="1">
        <v>2.65846861591542E-2</v>
      </c>
    </row>
    <row r="10035" spans="1:6" x14ac:dyDescent="0.25">
      <c r="A10035" s="2" t="str">
        <f t="shared" si="351"/>
        <v>11140</v>
      </c>
      <c r="B10035" s="2" t="str">
        <f>"31743"</f>
        <v>31743</v>
      </c>
      <c r="C10035" s="1">
        <v>1.0548075903742101E-2</v>
      </c>
      <c r="D10035" s="1">
        <v>4.0712468193384197E-3</v>
      </c>
      <c r="E10035" s="1">
        <v>4.5045045045045001E-3</v>
      </c>
      <c r="F10035" s="1">
        <v>9.51032865926482E-3</v>
      </c>
    </row>
    <row r="10036" spans="1:6" x14ac:dyDescent="0.25">
      <c r="A10036" s="2" t="str">
        <f t="shared" si="351"/>
        <v>11140</v>
      </c>
      <c r="B10036" s="2" t="str">
        <f>"31709"</f>
        <v>31709</v>
      </c>
      <c r="C10036" s="1">
        <v>0.49035301600763198</v>
      </c>
      <c r="D10036" s="1">
        <v>0.73435114503816701</v>
      </c>
      <c r="E10036" s="1">
        <v>0.58220720720720698</v>
      </c>
      <c r="F10036" s="1">
        <v>0.51877736984119904</v>
      </c>
    </row>
    <row r="10037" spans="1:6" x14ac:dyDescent="0.25">
      <c r="A10037" s="2" t="str">
        <f t="shared" si="351"/>
        <v>11140</v>
      </c>
      <c r="B10037" s="2" t="str">
        <f>"31058"</f>
        <v>31058</v>
      </c>
      <c r="C10037" s="1">
        <v>2.6502703275734098E-4</v>
      </c>
      <c r="D10037" s="1">
        <v>0</v>
      </c>
      <c r="E10037" s="1">
        <v>0</v>
      </c>
      <c r="F10037" s="1">
        <v>2.21170433936391E-4</v>
      </c>
    </row>
    <row r="10038" spans="1:6" x14ac:dyDescent="0.25">
      <c r="A10038" s="2" t="str">
        <f t="shared" si="351"/>
        <v>11140</v>
      </c>
      <c r="B10038" s="2" t="str">
        <f>"31081"</f>
        <v>31081</v>
      </c>
      <c r="C10038" s="1">
        <v>5.3005406551468202E-5</v>
      </c>
      <c r="D10038" s="1">
        <v>0</v>
      </c>
      <c r="E10038" s="1">
        <v>0</v>
      </c>
      <c r="F10038" s="1">
        <v>4.4234086787278201E-5</v>
      </c>
    </row>
    <row r="10039" spans="1:6" x14ac:dyDescent="0.25">
      <c r="A10039" s="2" t="str">
        <f t="shared" si="351"/>
        <v>11140</v>
      </c>
      <c r="B10039" s="2" t="str">
        <f>"31719"</f>
        <v>31719</v>
      </c>
      <c r="C10039" s="1">
        <v>0.24976147567051801</v>
      </c>
      <c r="D10039" s="1">
        <v>0.16590330788804</v>
      </c>
      <c r="E10039" s="1">
        <v>0.33502252252252201</v>
      </c>
      <c r="F10039" s="1">
        <v>0.24917061087273801</v>
      </c>
    </row>
    <row r="10040" spans="1:6" x14ac:dyDescent="0.25">
      <c r="A10040" s="2" t="str">
        <f t="shared" si="351"/>
        <v>11140</v>
      </c>
      <c r="B10040" s="2" t="str">
        <f>"31711"</f>
        <v>31711</v>
      </c>
      <c r="C10040" s="1">
        <v>1.77568111947418E-2</v>
      </c>
      <c r="D10040" s="1">
        <v>2.5445292620865098E-3</v>
      </c>
      <c r="E10040" s="1">
        <v>1.35135135135135E-2</v>
      </c>
      <c r="F10040" s="1">
        <v>1.6101207590569201E-2</v>
      </c>
    </row>
    <row r="10041" spans="1:6" x14ac:dyDescent="0.25">
      <c r="A10041" s="2" t="str">
        <f t="shared" si="351"/>
        <v>11140</v>
      </c>
      <c r="B10041" s="2" t="str">
        <f>"31806"</f>
        <v>31806</v>
      </c>
      <c r="C10041" s="1">
        <v>0.10187639139192101</v>
      </c>
      <c r="D10041" s="1">
        <v>4.98727735368956E-2</v>
      </c>
      <c r="E10041" s="1">
        <v>1.8018018018018001E-2</v>
      </c>
      <c r="F10041" s="1">
        <v>9.0768346087494997E-2</v>
      </c>
    </row>
    <row r="10042" spans="1:6" x14ac:dyDescent="0.25">
      <c r="A10042" s="2" t="str">
        <f t="shared" si="351"/>
        <v>11140</v>
      </c>
      <c r="B10042" s="2" t="str">
        <f>"31068"</f>
        <v>31068</v>
      </c>
      <c r="C10042" s="1">
        <v>2.12021626205872E-4</v>
      </c>
      <c r="D10042" s="1">
        <v>0</v>
      </c>
      <c r="E10042" s="1">
        <v>0</v>
      </c>
      <c r="F10042" s="1">
        <v>1.7693634714911299E-4</v>
      </c>
    </row>
    <row r="10043" spans="1:6" x14ac:dyDescent="0.25">
      <c r="A10043" s="2" t="str">
        <f t="shared" si="351"/>
        <v>11140</v>
      </c>
      <c r="B10043" s="2" t="str">
        <f>"31764"</f>
        <v>31764</v>
      </c>
      <c r="C10043" s="1">
        <v>3.5407611576380699E-2</v>
      </c>
      <c r="D10043" s="1">
        <v>1.8320610687022901E-2</v>
      </c>
      <c r="E10043" s="1">
        <v>1.1824324324324301E-2</v>
      </c>
      <c r="F10043" s="1">
        <v>3.2069712920776698E-2</v>
      </c>
    </row>
    <row r="10044" spans="1:6" x14ac:dyDescent="0.25">
      <c r="A10044" s="2" t="str">
        <f t="shared" si="351"/>
        <v>11140</v>
      </c>
      <c r="B10044" s="2" t="str">
        <f>"31803"</f>
        <v>31803</v>
      </c>
      <c r="C10044" s="1">
        <v>5.9896109403159096E-3</v>
      </c>
      <c r="D10044" s="1">
        <v>1.5267175572518999E-3</v>
      </c>
      <c r="E10044" s="1">
        <v>0</v>
      </c>
      <c r="F10044" s="1">
        <v>5.1311540673242796E-3</v>
      </c>
    </row>
    <row r="10045" spans="1:6" x14ac:dyDescent="0.25">
      <c r="A10045" s="2" t="str">
        <f t="shared" ref="A10045:A10059" si="352">"48180"</f>
        <v>48180</v>
      </c>
      <c r="B10045" s="2" t="str">
        <f>"31518"</f>
        <v>31518</v>
      </c>
      <c r="C10045" s="1">
        <v>5.6585764930460799E-3</v>
      </c>
      <c r="D10045" s="1">
        <v>2.8098657508585701E-3</v>
      </c>
      <c r="E10045" s="1">
        <v>4.0485829959514101E-3</v>
      </c>
      <c r="F10045" s="1">
        <v>5.3582780855508097E-3</v>
      </c>
    </row>
    <row r="10046" spans="1:6" x14ac:dyDescent="0.25">
      <c r="A10046" s="2" t="str">
        <f t="shared" si="352"/>
        <v>48180</v>
      </c>
      <c r="B10046" s="2" t="str">
        <f>"31501"</f>
        <v>31501</v>
      </c>
      <c r="C10046" s="1">
        <v>0.25957867466593898</v>
      </c>
      <c r="D10046" s="1">
        <v>0.46862316578207902</v>
      </c>
      <c r="E10046" s="1">
        <v>0.60931174089068796</v>
      </c>
      <c r="F10046" s="1">
        <v>0.28507855780583002</v>
      </c>
    </row>
    <row r="10047" spans="1:6" x14ac:dyDescent="0.25">
      <c r="A10047" s="2" t="str">
        <f t="shared" si="352"/>
        <v>48180</v>
      </c>
      <c r="B10047" s="2" t="str">
        <f>"31624"</f>
        <v>31624</v>
      </c>
      <c r="C10047" s="1">
        <v>7.4993182437960095E-4</v>
      </c>
      <c r="D10047" s="1">
        <v>3.1220730565095198E-4</v>
      </c>
      <c r="E10047" s="1">
        <v>0</v>
      </c>
      <c r="F10047" s="1">
        <v>6.9627342354615005E-4</v>
      </c>
    </row>
    <row r="10048" spans="1:6" x14ac:dyDescent="0.25">
      <c r="A10048" s="2" t="str">
        <f t="shared" si="352"/>
        <v>48180</v>
      </c>
      <c r="B10048" s="2" t="str">
        <f>"31516"</f>
        <v>31516</v>
      </c>
      <c r="C10048" s="1">
        <v>0.247613853286064</v>
      </c>
      <c r="D10048" s="1">
        <v>0.151420543240711</v>
      </c>
      <c r="E10048" s="1">
        <v>0.17004048582995901</v>
      </c>
      <c r="F10048" s="1">
        <v>0.237126509853782</v>
      </c>
    </row>
    <row r="10049" spans="1:6" x14ac:dyDescent="0.25">
      <c r="A10049" s="2" t="str">
        <f t="shared" si="352"/>
        <v>48180</v>
      </c>
      <c r="B10049" s="2" t="str">
        <f>"31557"</f>
        <v>31557</v>
      </c>
      <c r="C10049" s="1">
        <v>4.8302427052086101E-2</v>
      </c>
      <c r="D10049" s="1">
        <v>1.9044645644708001E-2</v>
      </c>
      <c r="E10049" s="1">
        <v>1.2145748987854201E-2</v>
      </c>
      <c r="F10049" s="1">
        <v>4.49247721974994E-2</v>
      </c>
    </row>
    <row r="10050" spans="1:6" x14ac:dyDescent="0.25">
      <c r="A10050" s="2" t="str">
        <f t="shared" si="352"/>
        <v>48180</v>
      </c>
      <c r="B10050" s="2" t="str">
        <f>"31503"</f>
        <v>31503</v>
      </c>
      <c r="C10050" s="1">
        <v>0.31994818652849699</v>
      </c>
      <c r="D10050" s="1">
        <v>0.194505151420543</v>
      </c>
      <c r="E10050" s="1">
        <v>0.196356275303643</v>
      </c>
      <c r="F10050" s="1">
        <v>0.30593648775466897</v>
      </c>
    </row>
    <row r="10051" spans="1:6" x14ac:dyDescent="0.25">
      <c r="A10051" s="2" t="str">
        <f t="shared" si="352"/>
        <v>48180</v>
      </c>
      <c r="B10051" s="2" t="str">
        <f>"31556"</f>
        <v>31556</v>
      </c>
      <c r="C10051" s="1">
        <v>0</v>
      </c>
      <c r="D10051" s="1">
        <v>3.1220730565095198E-4</v>
      </c>
      <c r="E10051" s="1">
        <v>0</v>
      </c>
      <c r="F10051" s="1">
        <v>3.0272757545484802E-5</v>
      </c>
    </row>
    <row r="10052" spans="1:6" x14ac:dyDescent="0.25">
      <c r="A10052" s="2" t="str">
        <f t="shared" si="352"/>
        <v>48180</v>
      </c>
      <c r="B10052" s="2" t="str">
        <f>"31550"</f>
        <v>31550</v>
      </c>
      <c r="C10052" s="1">
        <v>1.5407690209980901E-2</v>
      </c>
      <c r="D10052" s="1">
        <v>5.3075241960661799E-3</v>
      </c>
      <c r="E10052" s="1">
        <v>2.0242914979756998E-3</v>
      </c>
      <c r="F10052" s="1">
        <v>1.4228196046377799E-2</v>
      </c>
    </row>
    <row r="10053" spans="1:6" x14ac:dyDescent="0.25">
      <c r="A10053" s="2" t="str">
        <f t="shared" si="352"/>
        <v>48180</v>
      </c>
      <c r="B10053" s="2" t="str">
        <f>"31564"</f>
        <v>31564</v>
      </c>
      <c r="C10053" s="1">
        <v>0</v>
      </c>
      <c r="D10053" s="1">
        <v>3.1220730565095198E-4</v>
      </c>
      <c r="E10053" s="1">
        <v>0</v>
      </c>
      <c r="F10053" s="1">
        <v>3.0272757545484802E-5</v>
      </c>
    </row>
    <row r="10054" spans="1:6" x14ac:dyDescent="0.25">
      <c r="A10054" s="2" t="str">
        <f t="shared" si="352"/>
        <v>48180</v>
      </c>
      <c r="B10054" s="2" t="str">
        <f>"31631"</f>
        <v>31631</v>
      </c>
      <c r="C10054" s="1">
        <v>1.02263430597218E-4</v>
      </c>
      <c r="D10054" s="1">
        <v>3.1220730565095198E-4</v>
      </c>
      <c r="E10054" s="1">
        <v>0</v>
      </c>
      <c r="F10054" s="1">
        <v>1.21091030181939E-4</v>
      </c>
    </row>
    <row r="10055" spans="1:6" x14ac:dyDescent="0.25">
      <c r="A10055" s="2" t="str">
        <f t="shared" si="352"/>
        <v>48180</v>
      </c>
      <c r="B10055" s="2" t="str">
        <f>"31554"</f>
        <v>31554</v>
      </c>
      <c r="C10055" s="1">
        <v>6.74938641941641E-3</v>
      </c>
      <c r="D10055" s="1">
        <v>2.1854511395566602E-3</v>
      </c>
      <c r="E10055" s="1">
        <v>0</v>
      </c>
      <c r="F10055" s="1">
        <v>6.2059152968243804E-3</v>
      </c>
    </row>
    <row r="10056" spans="1:6" x14ac:dyDescent="0.25">
      <c r="A10056" s="2" t="str">
        <f t="shared" si="352"/>
        <v>48180</v>
      </c>
      <c r="B10056" s="2" t="str">
        <f>"31552"</f>
        <v>31552</v>
      </c>
      <c r="C10056" s="1">
        <v>1.63280610853558E-2</v>
      </c>
      <c r="D10056" s="1">
        <v>5.3075241960661799E-3</v>
      </c>
      <c r="E10056" s="1">
        <v>0</v>
      </c>
      <c r="F10056" s="1">
        <v>1.5015287742560401E-2</v>
      </c>
    </row>
    <row r="10057" spans="1:6" x14ac:dyDescent="0.25">
      <c r="A10057" s="2" t="str">
        <f t="shared" si="352"/>
        <v>48180</v>
      </c>
      <c r="B10057" s="2" t="str">
        <f>"31502"</f>
        <v>31502</v>
      </c>
      <c r="C10057" s="1">
        <v>6.5482683392418806E-2</v>
      </c>
      <c r="D10057" s="1">
        <v>0.14642522635029601</v>
      </c>
      <c r="E10057" s="1">
        <v>4.0485829959514101E-3</v>
      </c>
      <c r="F10057" s="1">
        <v>7.24124360487996E-2</v>
      </c>
    </row>
    <row r="10058" spans="1:6" x14ac:dyDescent="0.25">
      <c r="A10058" s="2" t="str">
        <f t="shared" si="352"/>
        <v>48180</v>
      </c>
      <c r="B10058" s="2" t="str">
        <f>"31551"</f>
        <v>31551</v>
      </c>
      <c r="C10058" s="1">
        <v>8.6583037905644897E-3</v>
      </c>
      <c r="D10058" s="1">
        <v>2.4976584452076102E-3</v>
      </c>
      <c r="E10058" s="1">
        <v>2.0242914979756998E-3</v>
      </c>
      <c r="F10058" s="1">
        <v>7.9617352344625008E-3</v>
      </c>
    </row>
    <row r="10059" spans="1:6" x14ac:dyDescent="0.25">
      <c r="A10059" s="2" t="str">
        <f t="shared" si="352"/>
        <v>48180</v>
      </c>
      <c r="B10059" s="2" t="str">
        <f>"31510"</f>
        <v>31510</v>
      </c>
      <c r="C10059" s="1">
        <v>5.4199618216525698E-3</v>
      </c>
      <c r="D10059" s="1">
        <v>6.2441461130190396E-4</v>
      </c>
      <c r="E10059" s="1">
        <v>0</v>
      </c>
      <c r="F10059" s="1">
        <v>4.8739139648230501E-3</v>
      </c>
    </row>
    <row r="10060" spans="1:6" x14ac:dyDescent="0.25">
      <c r="A10060" s="2" t="str">
        <f t="shared" ref="A10060:A10084" si="353">"46660"</f>
        <v>46660</v>
      </c>
      <c r="B10060" s="2" t="str">
        <f>"31698"</f>
        <v>31698</v>
      </c>
      <c r="C10060" s="1">
        <v>0</v>
      </c>
      <c r="D10060" s="1">
        <v>1.4880952380952301E-4</v>
      </c>
      <c r="E10060" s="1">
        <v>5.2125100240577298E-3</v>
      </c>
      <c r="F10060" s="1">
        <v>1.6985962315429299E-4</v>
      </c>
    </row>
    <row r="10061" spans="1:6" x14ac:dyDescent="0.25">
      <c r="A10061" s="2" t="str">
        <f t="shared" si="353"/>
        <v>46660</v>
      </c>
      <c r="B10061" s="2" t="str">
        <f>"31643"</f>
        <v>31643</v>
      </c>
      <c r="C10061" s="1">
        <v>6.4092231617195003E-2</v>
      </c>
      <c r="D10061" s="1">
        <v>7.0238095238095197E-2</v>
      </c>
      <c r="E10061" s="1">
        <v>4.0497193263833102E-2</v>
      </c>
      <c r="F10061" s="1">
        <v>6.3879351136239507E-2</v>
      </c>
    </row>
    <row r="10062" spans="1:6" x14ac:dyDescent="0.25">
      <c r="A10062" s="2" t="str">
        <f t="shared" si="353"/>
        <v>46660</v>
      </c>
      <c r="B10062" s="2" t="str">
        <f>"31639"</f>
        <v>31639</v>
      </c>
      <c r="C10062" s="1">
        <v>3.5515729370142097E-4</v>
      </c>
      <c r="D10062" s="1">
        <v>0</v>
      </c>
      <c r="E10062" s="1">
        <v>0</v>
      </c>
      <c r="F10062" s="1">
        <v>3.1545358585797302E-4</v>
      </c>
    </row>
    <row r="10063" spans="1:6" x14ac:dyDescent="0.25">
      <c r="A10063" s="2" t="str">
        <f t="shared" si="353"/>
        <v>46660</v>
      </c>
      <c r="B10063" s="2" t="str">
        <f>"31699"</f>
        <v>31699</v>
      </c>
      <c r="C10063" s="1">
        <v>2.95326949608643E-2</v>
      </c>
      <c r="D10063" s="1">
        <v>6.2500000000000003E-3</v>
      </c>
      <c r="E10063" s="1">
        <v>1.40336808340016E-2</v>
      </c>
      <c r="F10063" s="1">
        <v>2.71654068744616E-2</v>
      </c>
    </row>
    <row r="10064" spans="1:6" x14ac:dyDescent="0.25">
      <c r="A10064" s="2" t="str">
        <f t="shared" si="353"/>
        <v>46660</v>
      </c>
      <c r="B10064" s="2" t="str">
        <f>"31649"</f>
        <v>31649</v>
      </c>
      <c r="C10064" s="1">
        <v>6.2152526397748799E-3</v>
      </c>
      <c r="D10064" s="1">
        <v>2.2321428571428501E-3</v>
      </c>
      <c r="E10064" s="1">
        <v>0</v>
      </c>
      <c r="F10064" s="1">
        <v>5.70243020589412E-3</v>
      </c>
    </row>
    <row r="10065" spans="1:6" x14ac:dyDescent="0.25">
      <c r="A10065" s="2" t="str">
        <f t="shared" si="353"/>
        <v>46660</v>
      </c>
      <c r="B10065" s="2" t="str">
        <f>"31631"</f>
        <v>31631</v>
      </c>
      <c r="C10065" s="1">
        <v>8.87893234253554E-4</v>
      </c>
      <c r="D10065" s="1">
        <v>0</v>
      </c>
      <c r="E10065" s="1">
        <v>0</v>
      </c>
      <c r="F10065" s="1">
        <v>7.8863396464493203E-4</v>
      </c>
    </row>
    <row r="10066" spans="1:6" x14ac:dyDescent="0.25">
      <c r="A10066" s="2" t="str">
        <f t="shared" si="353"/>
        <v>46660</v>
      </c>
      <c r="B10066" s="2" t="str">
        <f>"31636"</f>
        <v>31636</v>
      </c>
      <c r="C10066" s="1">
        <v>6.62641550671383E-2</v>
      </c>
      <c r="D10066" s="1">
        <v>4.3749999999999997E-2</v>
      </c>
      <c r="E10066" s="1">
        <v>3.0072173215717701E-2</v>
      </c>
      <c r="F10066" s="1">
        <v>6.3333373776100696E-2</v>
      </c>
    </row>
    <row r="10067" spans="1:6" x14ac:dyDescent="0.25">
      <c r="A10067" s="2" t="str">
        <f t="shared" si="353"/>
        <v>46660</v>
      </c>
      <c r="B10067" s="2" t="str">
        <f>"31788"</f>
        <v>31788</v>
      </c>
      <c r="C10067" s="1">
        <v>2.1855833458549E-4</v>
      </c>
      <c r="D10067" s="1">
        <v>0</v>
      </c>
      <c r="E10067" s="1">
        <v>0</v>
      </c>
      <c r="F10067" s="1">
        <v>1.9412528360490599E-4</v>
      </c>
    </row>
    <row r="10068" spans="1:6" x14ac:dyDescent="0.25">
      <c r="A10068" s="2" t="str">
        <f t="shared" si="353"/>
        <v>46660</v>
      </c>
      <c r="B10068" s="2" t="str">
        <f>"31648"</f>
        <v>31648</v>
      </c>
      <c r="C10068" s="1">
        <v>5.09514117502424E-3</v>
      </c>
      <c r="D10068" s="1">
        <v>1.9345238095238E-3</v>
      </c>
      <c r="E10068" s="1">
        <v>0</v>
      </c>
      <c r="F10068" s="1">
        <v>4.6832724669683603E-3</v>
      </c>
    </row>
    <row r="10069" spans="1:6" x14ac:dyDescent="0.25">
      <c r="A10069" s="2" t="str">
        <f t="shared" si="353"/>
        <v>46660</v>
      </c>
      <c r="B10069" s="2" t="str">
        <f>"31645"</f>
        <v>31645</v>
      </c>
      <c r="C10069" s="1">
        <v>1.7511986558662401E-2</v>
      </c>
      <c r="D10069" s="1">
        <v>1.78571428571428E-3</v>
      </c>
      <c r="E10069" s="1">
        <v>8.82117080994386E-3</v>
      </c>
      <c r="F10069" s="1">
        <v>1.5966804576503499E-2</v>
      </c>
    </row>
    <row r="10070" spans="1:6" x14ac:dyDescent="0.25">
      <c r="A10070" s="2" t="str">
        <f t="shared" si="353"/>
        <v>46660</v>
      </c>
      <c r="B10070" s="2" t="str">
        <f>"31638"</f>
        <v>31638</v>
      </c>
      <c r="C10070" s="1">
        <v>5.1497807586706103E-3</v>
      </c>
      <c r="D10070" s="1">
        <v>1.9345238095238E-3</v>
      </c>
      <c r="E10070" s="1">
        <v>0</v>
      </c>
      <c r="F10070" s="1">
        <v>4.7318037878695896E-3</v>
      </c>
    </row>
    <row r="10071" spans="1:6" x14ac:dyDescent="0.25">
      <c r="A10071" s="2" t="str">
        <f t="shared" si="353"/>
        <v>46660</v>
      </c>
      <c r="B10071" s="2" t="str">
        <f>"31601"</f>
        <v>31601</v>
      </c>
      <c r="C10071" s="1">
        <v>0.20771237723168501</v>
      </c>
      <c r="D10071" s="1">
        <v>0.34211309523809502</v>
      </c>
      <c r="E10071" s="1">
        <v>0.35244587008821099</v>
      </c>
      <c r="F10071" s="1">
        <v>0.22304995086203699</v>
      </c>
    </row>
    <row r="10072" spans="1:6" x14ac:dyDescent="0.25">
      <c r="A10072" s="2" t="str">
        <f t="shared" si="353"/>
        <v>46660</v>
      </c>
      <c r="B10072" s="2" t="str">
        <f>"31629"</f>
        <v>31629</v>
      </c>
      <c r="C10072" s="1">
        <v>7.3353641045255198E-3</v>
      </c>
      <c r="D10072" s="1">
        <v>4.3154761904761899E-3</v>
      </c>
      <c r="E10072" s="1">
        <v>4.0096230954290199E-4</v>
      </c>
      <c r="F10072" s="1">
        <v>6.8793147377488699E-3</v>
      </c>
    </row>
    <row r="10073" spans="1:6" x14ac:dyDescent="0.25">
      <c r="A10073" s="2" t="str">
        <f t="shared" si="353"/>
        <v>46660</v>
      </c>
      <c r="B10073" s="2" t="str">
        <f>"31778"</f>
        <v>31778</v>
      </c>
      <c r="C10073" s="1">
        <v>8.2505771306022602E-3</v>
      </c>
      <c r="D10073" s="1">
        <v>2.0833333333333298E-3</v>
      </c>
      <c r="E10073" s="1">
        <v>0</v>
      </c>
      <c r="F10073" s="1">
        <v>7.4980890792395102E-3</v>
      </c>
    </row>
    <row r="10074" spans="1:6" x14ac:dyDescent="0.25">
      <c r="A10074" s="2" t="str">
        <f t="shared" si="353"/>
        <v>46660</v>
      </c>
      <c r="B10074" s="2" t="str">
        <f>"31604"</f>
        <v>31604</v>
      </c>
      <c r="C10074" s="1">
        <v>2.4533173057221299E-2</v>
      </c>
      <c r="D10074" s="1">
        <v>7.0238095238095197E-2</v>
      </c>
      <c r="E10074" s="1">
        <v>8.0192461908580495E-4</v>
      </c>
      <c r="F10074" s="1">
        <v>2.75415246114461E-2</v>
      </c>
    </row>
    <row r="10075" spans="1:6" x14ac:dyDescent="0.25">
      <c r="A10075" s="2" t="str">
        <f t="shared" si="353"/>
        <v>46660</v>
      </c>
      <c r="B10075" s="2" t="str">
        <f>"31630"</f>
        <v>31630</v>
      </c>
      <c r="C10075" s="1">
        <v>5.3273594055213195E-4</v>
      </c>
      <c r="D10075" s="1">
        <v>1.4880952380952301E-4</v>
      </c>
      <c r="E10075" s="1">
        <v>0</v>
      </c>
      <c r="F10075" s="1">
        <v>4.8531320901226601E-4</v>
      </c>
    </row>
    <row r="10076" spans="1:6" x14ac:dyDescent="0.25">
      <c r="A10076" s="2" t="str">
        <f t="shared" si="353"/>
        <v>46660</v>
      </c>
      <c r="B10076" s="2" t="str">
        <f>"31641"</f>
        <v>31641</v>
      </c>
      <c r="C10076" s="1">
        <v>1.70748698894914E-2</v>
      </c>
      <c r="D10076" s="1">
        <v>2.5297619047619001E-3</v>
      </c>
      <c r="E10076" s="1">
        <v>0</v>
      </c>
      <c r="F10076" s="1">
        <v>1.53722958954635E-2</v>
      </c>
    </row>
    <row r="10077" spans="1:6" x14ac:dyDescent="0.25">
      <c r="A10077" s="2" t="str">
        <f t="shared" si="353"/>
        <v>46660</v>
      </c>
      <c r="B10077" s="2" t="str">
        <f>"31603"</f>
        <v>31603</v>
      </c>
      <c r="C10077" s="1">
        <v>2.2497848566393901E-2</v>
      </c>
      <c r="D10077" s="1">
        <v>6.9940476190476095E-2</v>
      </c>
      <c r="E10077" s="1">
        <v>8.0192461908580495E-4</v>
      </c>
      <c r="F10077" s="1">
        <v>2.5709467247424799E-2</v>
      </c>
    </row>
    <row r="10078" spans="1:6" x14ac:dyDescent="0.25">
      <c r="A10078" s="2" t="str">
        <f t="shared" si="353"/>
        <v>46660</v>
      </c>
      <c r="B10078" s="2" t="str">
        <f>"31632"</f>
        <v>31632</v>
      </c>
      <c r="C10078" s="1">
        <v>7.4063955632657996E-2</v>
      </c>
      <c r="D10078" s="1">
        <v>2.94642857142857E-2</v>
      </c>
      <c r="E10078" s="1">
        <v>3.1676022453889299E-2</v>
      </c>
      <c r="F10078" s="1">
        <v>6.9144999454022596E-2</v>
      </c>
    </row>
    <row r="10079" spans="1:6" x14ac:dyDescent="0.25">
      <c r="A10079" s="2" t="str">
        <f t="shared" si="353"/>
        <v>46660</v>
      </c>
      <c r="B10079" s="2" t="str">
        <f>"31625"</f>
        <v>31625</v>
      </c>
      <c r="C10079" s="1">
        <v>7.6222219186689701E-3</v>
      </c>
      <c r="D10079" s="1">
        <v>7.4404761904761901E-4</v>
      </c>
      <c r="E10079" s="1">
        <v>2.00481154771451E-3</v>
      </c>
      <c r="F10079" s="1">
        <v>6.89144756797418E-3</v>
      </c>
    </row>
    <row r="10080" spans="1:6" x14ac:dyDescent="0.25">
      <c r="A10080" s="2" t="str">
        <f t="shared" si="353"/>
        <v>46660</v>
      </c>
      <c r="B10080" s="2" t="str">
        <f>"31606"</f>
        <v>31606</v>
      </c>
      <c r="C10080" s="1">
        <v>2.3604300135232899E-2</v>
      </c>
      <c r="D10080" s="1">
        <v>6.9940476190476098E-3</v>
      </c>
      <c r="E10080" s="1">
        <v>1.6038492381716099E-3</v>
      </c>
      <c r="F10080" s="1">
        <v>2.1584304970820499E-2</v>
      </c>
    </row>
    <row r="10081" spans="1:6" x14ac:dyDescent="0.25">
      <c r="A10081" s="2" t="str">
        <f t="shared" si="353"/>
        <v>46660</v>
      </c>
      <c r="B10081" s="2" t="str">
        <f>"31605"</f>
        <v>31605</v>
      </c>
      <c r="C10081" s="1">
        <v>0.13583400494488199</v>
      </c>
      <c r="D10081" s="1">
        <v>5.0148809523809498E-2</v>
      </c>
      <c r="E10081" s="1">
        <v>0.16479550922213301</v>
      </c>
      <c r="F10081" s="1">
        <v>0.12972422076897799</v>
      </c>
    </row>
    <row r="10082" spans="1:6" x14ac:dyDescent="0.25">
      <c r="A10082" s="2" t="str">
        <f t="shared" si="353"/>
        <v>46660</v>
      </c>
      <c r="B10082" s="2" t="str">
        <f>"31602"</f>
        <v>31602</v>
      </c>
      <c r="C10082" s="1">
        <v>0.21424180747742699</v>
      </c>
      <c r="D10082" s="1">
        <v>0.248958333333333</v>
      </c>
      <c r="E10082" s="1">
        <v>0.32237369687249301</v>
      </c>
      <c r="F10082" s="1">
        <v>0.22034432972179399</v>
      </c>
    </row>
    <row r="10083" spans="1:6" x14ac:dyDescent="0.25">
      <c r="A10083" s="2" t="str">
        <f t="shared" si="353"/>
        <v>46660</v>
      </c>
      <c r="B10083" s="2" t="str">
        <f>"31626"</f>
        <v>31626</v>
      </c>
      <c r="C10083" s="1">
        <v>1.9806849071809999E-3</v>
      </c>
      <c r="D10083" s="1">
        <v>2.97619047619047E-4</v>
      </c>
      <c r="E10083" s="1">
        <v>8.0192461908580495E-4</v>
      </c>
      <c r="F10083" s="1">
        <v>1.80779170357069E-3</v>
      </c>
    </row>
    <row r="10084" spans="1:6" x14ac:dyDescent="0.25">
      <c r="A10084" s="2" t="str">
        <f t="shared" si="353"/>
        <v>46660</v>
      </c>
      <c r="B10084" s="2" t="str">
        <f>"31635"</f>
        <v>31635</v>
      </c>
      <c r="C10084" s="1">
        <v>5.9393227423607003E-2</v>
      </c>
      <c r="D10084" s="1">
        <v>4.3749999999999997E-2</v>
      </c>
      <c r="E10084" s="1">
        <v>2.3656776263031198E-2</v>
      </c>
      <c r="F10084" s="1">
        <v>5.7036434889166501E-2</v>
      </c>
    </row>
    <row r="10085" spans="1:6" x14ac:dyDescent="0.25">
      <c r="A10085" s="2" t="str">
        <f t="shared" ref="A10085:A10094" si="354">"12460"</f>
        <v>12460</v>
      </c>
      <c r="B10085" s="2" t="str">
        <f>"39852"</f>
        <v>39852</v>
      </c>
      <c r="C10085" s="1">
        <v>0</v>
      </c>
      <c r="D10085" s="1">
        <v>5.2994170641229403E-4</v>
      </c>
      <c r="E10085" s="1">
        <v>0</v>
      </c>
      <c r="F10085" s="1">
        <v>5.3694158075601299E-5</v>
      </c>
    </row>
    <row r="10086" spans="1:6" x14ac:dyDescent="0.25">
      <c r="A10086" s="2" t="str">
        <f t="shared" si="354"/>
        <v>12460</v>
      </c>
      <c r="B10086" s="2" t="str">
        <f>"39834"</f>
        <v>39834</v>
      </c>
      <c r="C10086" s="1">
        <v>7.3659219577524804E-2</v>
      </c>
      <c r="D10086" s="1">
        <v>3.6565977742448297E-2</v>
      </c>
      <c r="E10086" s="1">
        <v>6.4516129032258004E-3</v>
      </c>
      <c r="F10086" s="1">
        <v>6.8782216494845297E-2</v>
      </c>
    </row>
    <row r="10087" spans="1:6" x14ac:dyDescent="0.25">
      <c r="A10087" s="2" t="str">
        <f t="shared" si="354"/>
        <v>12460</v>
      </c>
      <c r="B10087" s="2" t="str">
        <f>"39817"</f>
        <v>39817</v>
      </c>
      <c r="C10087" s="1">
        <v>0.33475375905521298</v>
      </c>
      <c r="D10087" s="1">
        <v>0.38420773714891299</v>
      </c>
      <c r="E10087" s="1">
        <v>0.32903225806451603</v>
      </c>
      <c r="F10087" s="1">
        <v>0.33966924398625398</v>
      </c>
    </row>
    <row r="10088" spans="1:6" x14ac:dyDescent="0.25">
      <c r="A10088" s="2" t="str">
        <f t="shared" si="354"/>
        <v>12460</v>
      </c>
      <c r="B10088" s="2" t="str">
        <f>"39825"</f>
        <v>39825</v>
      </c>
      <c r="C10088" s="1">
        <v>4.4682534851159597E-2</v>
      </c>
      <c r="D10088" s="1">
        <v>1.8018018018018001E-2</v>
      </c>
      <c r="E10088" s="1">
        <v>6.4516129032258004E-3</v>
      </c>
      <c r="F10088" s="1">
        <v>4.1344501718213002E-2</v>
      </c>
    </row>
    <row r="10089" spans="1:6" x14ac:dyDescent="0.25">
      <c r="A10089" s="2" t="str">
        <f t="shared" si="354"/>
        <v>12460</v>
      </c>
      <c r="B10089" s="2" t="str">
        <f>"39897"</f>
        <v>39897</v>
      </c>
      <c r="C10089" s="1">
        <v>4.1395263894807299E-3</v>
      </c>
      <c r="D10089" s="1">
        <v>1.05988341282458E-3</v>
      </c>
      <c r="E10089" s="1">
        <v>0</v>
      </c>
      <c r="F10089" s="1">
        <v>3.7585910652920898E-3</v>
      </c>
    </row>
    <row r="10090" spans="1:6" x14ac:dyDescent="0.25">
      <c r="A10090" s="2" t="str">
        <f t="shared" si="354"/>
        <v>12460</v>
      </c>
      <c r="B10090" s="2" t="str">
        <f>"39819"</f>
        <v>39819</v>
      </c>
      <c r="C10090" s="1">
        <v>0.35959091739209798</v>
      </c>
      <c r="D10090" s="1">
        <v>0.31637519872813902</v>
      </c>
      <c r="E10090" s="1">
        <v>0.63870967741935403</v>
      </c>
      <c r="F10090" s="1">
        <v>0.35985824742268002</v>
      </c>
    </row>
    <row r="10091" spans="1:6" x14ac:dyDescent="0.25">
      <c r="A10091" s="2" t="str">
        <f t="shared" si="354"/>
        <v>12460</v>
      </c>
      <c r="B10091" s="2" t="str">
        <f>"39815"</f>
        <v>39815</v>
      </c>
      <c r="C10091" s="1">
        <v>4.6934924210141803E-2</v>
      </c>
      <c r="D10091" s="1">
        <v>1.9077901430842599E-2</v>
      </c>
      <c r="E10091" s="1">
        <v>1.2903225806451601E-2</v>
      </c>
      <c r="F10091" s="1">
        <v>4.3545962199312699E-2</v>
      </c>
    </row>
    <row r="10092" spans="1:6" x14ac:dyDescent="0.25">
      <c r="A10092" s="2" t="str">
        <f t="shared" si="354"/>
        <v>12460</v>
      </c>
      <c r="B10092" s="2" t="str">
        <f>"39837"</f>
        <v>39837</v>
      </c>
      <c r="C10092" s="1">
        <v>1.12619467949108E-2</v>
      </c>
      <c r="D10092" s="1">
        <v>1.5898251192368799E-3</v>
      </c>
      <c r="E10092" s="1">
        <v>0</v>
      </c>
      <c r="F10092" s="1">
        <v>1.0094501718213E-2</v>
      </c>
    </row>
    <row r="10093" spans="1:6" x14ac:dyDescent="0.25">
      <c r="A10093" s="2" t="str">
        <f t="shared" si="354"/>
        <v>12460</v>
      </c>
      <c r="B10093" s="2" t="str">
        <f>"31730"</f>
        <v>31730</v>
      </c>
      <c r="C10093" s="1">
        <v>2.9220186278687498E-3</v>
      </c>
      <c r="D10093" s="1">
        <v>1.05988341282458E-3</v>
      </c>
      <c r="E10093" s="1">
        <v>0</v>
      </c>
      <c r="F10093" s="1">
        <v>2.6847079037800601E-3</v>
      </c>
    </row>
    <row r="10094" spans="1:6" x14ac:dyDescent="0.25">
      <c r="A10094" s="2" t="str">
        <f t="shared" si="354"/>
        <v>12460</v>
      </c>
      <c r="B10094" s="2" t="str">
        <f>"39818"</f>
        <v>39818</v>
      </c>
      <c r="C10094" s="1">
        <v>0.122055153101601</v>
      </c>
      <c r="D10094" s="1">
        <v>0.22151563328033899</v>
      </c>
      <c r="E10094" s="1">
        <v>6.4516129032258004E-3</v>
      </c>
      <c r="F10094" s="1">
        <v>0.13020833333333301</v>
      </c>
    </row>
    <row r="10095" spans="1:6" x14ac:dyDescent="0.25">
      <c r="A10095" s="2" t="str">
        <f t="shared" ref="A10095:A10133" si="355">"45220"</f>
        <v>45220</v>
      </c>
      <c r="B10095" s="2" t="str">
        <f>"32302"</f>
        <v>32302</v>
      </c>
      <c r="C10095" s="1">
        <v>7.6860364081054603E-3</v>
      </c>
      <c r="D10095" s="1">
        <v>3.7338007223284397E-2</v>
      </c>
      <c r="E10095" s="1">
        <v>3.0243459851806998E-4</v>
      </c>
      <c r="F10095" s="1">
        <v>1.00904744599613E-2</v>
      </c>
    </row>
    <row r="10096" spans="1:6" x14ac:dyDescent="0.25">
      <c r="A10096" s="2" t="str">
        <f t="shared" si="355"/>
        <v>45220</v>
      </c>
      <c r="B10096" s="2" t="str">
        <f>"32304"</f>
        <v>32304</v>
      </c>
      <c r="C10096" s="1">
        <v>9.9634202593836096E-2</v>
      </c>
      <c r="D10096" s="1">
        <v>7.0958147439982994E-2</v>
      </c>
      <c r="E10096" s="1">
        <v>0.18962649327083</v>
      </c>
      <c r="F10096" s="1">
        <v>9.9894753236455899E-2</v>
      </c>
    </row>
    <row r="10097" spans="1:6" x14ac:dyDescent="0.25">
      <c r="A10097" s="2" t="str">
        <f t="shared" si="355"/>
        <v>45220</v>
      </c>
      <c r="B10097" s="2" t="str">
        <f>"32362"</f>
        <v>32362</v>
      </c>
      <c r="C10097" s="1">
        <v>0</v>
      </c>
      <c r="D10097" s="1">
        <v>0</v>
      </c>
      <c r="E10097" s="1">
        <v>1.5121729925903499E-4</v>
      </c>
      <c r="F10097" s="1">
        <v>4.7195858091493804E-6</v>
      </c>
    </row>
    <row r="10098" spans="1:6" x14ac:dyDescent="0.25">
      <c r="A10098" s="2" t="str">
        <f t="shared" si="355"/>
        <v>45220</v>
      </c>
      <c r="B10098" s="2" t="str">
        <f>"32316"</f>
        <v>32316</v>
      </c>
      <c r="C10098" s="1">
        <v>7.7450359897447904E-3</v>
      </c>
      <c r="D10098" s="1">
        <v>1.4659018483110201E-2</v>
      </c>
      <c r="E10098" s="1">
        <v>3.0243459851806998E-4</v>
      </c>
      <c r="F10098" s="1">
        <v>8.1271267633552403E-3</v>
      </c>
    </row>
    <row r="10099" spans="1:6" x14ac:dyDescent="0.25">
      <c r="A10099" s="2" t="str">
        <f t="shared" si="355"/>
        <v>45220</v>
      </c>
      <c r="B10099" s="2" t="str">
        <f>"32326"</f>
        <v>32326</v>
      </c>
      <c r="C10099" s="1">
        <v>7.1174949850355603E-3</v>
      </c>
      <c r="D10099" s="1">
        <v>1.1578500106224699E-2</v>
      </c>
      <c r="E10099" s="1">
        <v>3.0243459851806998E-4</v>
      </c>
      <c r="F10099" s="1">
        <v>7.3011992467541002E-3</v>
      </c>
    </row>
    <row r="10100" spans="1:6" x14ac:dyDescent="0.25">
      <c r="A10100" s="2" t="str">
        <f t="shared" si="355"/>
        <v>45220</v>
      </c>
      <c r="B10100" s="2" t="str">
        <f>"32324"</f>
        <v>32324</v>
      </c>
      <c r="C10100" s="1">
        <v>1.1966187876122299E-2</v>
      </c>
      <c r="D10100" s="1">
        <v>1.0941151476524301E-2</v>
      </c>
      <c r="E10100" s="1">
        <v>4.2340843792529797E-3</v>
      </c>
      <c r="F10100" s="1">
        <v>1.16337790195532E-2</v>
      </c>
    </row>
    <row r="10101" spans="1:6" x14ac:dyDescent="0.25">
      <c r="A10101" s="2" t="str">
        <f t="shared" si="355"/>
        <v>45220</v>
      </c>
      <c r="B10101" s="2" t="str">
        <f>"32333"</f>
        <v>32333</v>
      </c>
      <c r="C10101" s="1">
        <v>3.0239967389322098E-2</v>
      </c>
      <c r="D10101" s="1">
        <v>1.8536222647121299E-2</v>
      </c>
      <c r="E10101" s="1">
        <v>3.62921518221684E-3</v>
      </c>
      <c r="F10101" s="1">
        <v>2.8369430298796901E-2</v>
      </c>
    </row>
    <row r="10102" spans="1:6" x14ac:dyDescent="0.25">
      <c r="A10102" s="2" t="str">
        <f t="shared" si="355"/>
        <v>45220</v>
      </c>
      <c r="B10102" s="2" t="str">
        <f>"32307"</f>
        <v>32307</v>
      </c>
      <c r="C10102" s="1">
        <v>0</v>
      </c>
      <c r="D10102" s="1">
        <v>1.5933715742511099E-4</v>
      </c>
      <c r="E10102" s="1">
        <v>1.5121729925903499E-4</v>
      </c>
      <c r="F10102" s="1">
        <v>1.8878343236597501E-5</v>
      </c>
    </row>
    <row r="10103" spans="1:6" x14ac:dyDescent="0.25">
      <c r="A10103" s="2" t="str">
        <f t="shared" si="355"/>
        <v>45220</v>
      </c>
      <c r="B10103" s="2" t="str">
        <f>"32331"</f>
        <v>32331</v>
      </c>
      <c r="C10103" s="1">
        <v>2.0059857757372202E-3</v>
      </c>
      <c r="D10103" s="1">
        <v>1.00913533035903E-3</v>
      </c>
      <c r="E10103" s="1">
        <v>3.0243459851806998E-4</v>
      </c>
      <c r="F10103" s="1">
        <v>1.8642363946139999E-3</v>
      </c>
    </row>
    <row r="10104" spans="1:6" x14ac:dyDescent="0.25">
      <c r="A10104" s="2" t="str">
        <f t="shared" si="355"/>
        <v>45220</v>
      </c>
      <c r="B10104" s="2" t="str">
        <f>"32337"</f>
        <v>32337</v>
      </c>
      <c r="C10104" s="1">
        <v>0</v>
      </c>
      <c r="D10104" s="1">
        <v>0</v>
      </c>
      <c r="E10104" s="1">
        <v>1.5121729925903499E-4</v>
      </c>
      <c r="F10104" s="1">
        <v>4.7195858091493804E-6</v>
      </c>
    </row>
    <row r="10105" spans="1:6" x14ac:dyDescent="0.25">
      <c r="A10105" s="2" t="str">
        <f t="shared" si="355"/>
        <v>45220</v>
      </c>
      <c r="B10105" s="2" t="str">
        <f>"32308"</f>
        <v>32308</v>
      </c>
      <c r="C10105" s="1">
        <v>6.4947812188240805E-2</v>
      </c>
      <c r="D10105" s="1">
        <v>0.12895687274272299</v>
      </c>
      <c r="E10105" s="1">
        <v>0.155451383638288</v>
      </c>
      <c r="F10105" s="1">
        <v>7.3460353119410196E-2</v>
      </c>
    </row>
    <row r="10106" spans="1:6" x14ac:dyDescent="0.25">
      <c r="A10106" s="2" t="str">
        <f t="shared" si="355"/>
        <v>45220</v>
      </c>
      <c r="B10106" s="2" t="str">
        <f>"32305"</f>
        <v>32305</v>
      </c>
      <c r="C10106" s="1">
        <v>5.2547172847319801E-2</v>
      </c>
      <c r="D10106" s="1">
        <v>2.3528786913108099E-2</v>
      </c>
      <c r="E10106" s="1">
        <v>1.6180251020716699E-2</v>
      </c>
      <c r="F10106" s="1">
        <v>4.8833554367268703E-2</v>
      </c>
    </row>
    <row r="10107" spans="1:6" x14ac:dyDescent="0.25">
      <c r="A10107" s="2" t="str">
        <f t="shared" si="355"/>
        <v>45220</v>
      </c>
      <c r="B10107" s="2" t="str">
        <f>"32314"</f>
        <v>32314</v>
      </c>
      <c r="C10107" s="1">
        <v>6.6025895452741304E-3</v>
      </c>
      <c r="D10107" s="1">
        <v>2.4325472700233601E-2</v>
      </c>
      <c r="E10107" s="1">
        <v>3.0243459851806998E-4</v>
      </c>
      <c r="F10107" s="1">
        <v>7.9808196032716099E-3</v>
      </c>
    </row>
    <row r="10108" spans="1:6" x14ac:dyDescent="0.25">
      <c r="A10108" s="2" t="str">
        <f t="shared" si="355"/>
        <v>45220</v>
      </c>
      <c r="B10108" s="2" t="str">
        <f>"32301"</f>
        <v>32301</v>
      </c>
      <c r="C10108" s="1">
        <v>8.3516589609637301E-2</v>
      </c>
      <c r="D10108" s="1">
        <v>0.17160611854684499</v>
      </c>
      <c r="E10108" s="1">
        <v>0.23741115983668501</v>
      </c>
      <c r="F10108" s="1">
        <v>9.6147402103991295E-2</v>
      </c>
    </row>
    <row r="10109" spans="1:6" x14ac:dyDescent="0.25">
      <c r="A10109" s="2" t="str">
        <f t="shared" si="355"/>
        <v>45220</v>
      </c>
      <c r="B10109" s="2" t="str">
        <f>"32345"</f>
        <v>32345</v>
      </c>
      <c r="C10109" s="1">
        <v>5.26705356089293E-3</v>
      </c>
      <c r="D10109" s="1">
        <v>7.3295092415551297E-3</v>
      </c>
      <c r="E10109" s="1">
        <v>3.0243459851806998E-4</v>
      </c>
      <c r="F10109" s="1">
        <v>5.2953752778656096E-3</v>
      </c>
    </row>
    <row r="10110" spans="1:6" x14ac:dyDescent="0.25">
      <c r="A10110" s="2" t="str">
        <f t="shared" si="355"/>
        <v>45220</v>
      </c>
      <c r="B10110" s="2" t="str">
        <f>"32361"</f>
        <v>32361</v>
      </c>
      <c r="C10110" s="1">
        <v>0</v>
      </c>
      <c r="D10110" s="1">
        <v>5.3112385808370503E-5</v>
      </c>
      <c r="E10110" s="1">
        <v>0</v>
      </c>
      <c r="F10110" s="1">
        <v>4.7195858091493804E-6</v>
      </c>
    </row>
    <row r="10111" spans="1:6" x14ac:dyDescent="0.25">
      <c r="A10111" s="2" t="str">
        <f t="shared" si="355"/>
        <v>45220</v>
      </c>
      <c r="B10111" s="2" t="str">
        <f>"32355"</f>
        <v>32355</v>
      </c>
      <c r="C10111" s="1">
        <v>0</v>
      </c>
      <c r="D10111" s="1">
        <v>5.3112385808370503E-5</v>
      </c>
      <c r="E10111" s="1">
        <v>1.5121729925903499E-4</v>
      </c>
      <c r="F10111" s="1">
        <v>9.4391716182987692E-6</v>
      </c>
    </row>
    <row r="10112" spans="1:6" x14ac:dyDescent="0.25">
      <c r="A10112" s="2" t="str">
        <f t="shared" si="355"/>
        <v>45220</v>
      </c>
      <c r="B10112" s="2" t="str">
        <f>"32352"</f>
        <v>32352</v>
      </c>
      <c r="C10112" s="1">
        <v>1.4942984949743001E-2</v>
      </c>
      <c r="D10112" s="1">
        <v>2.39005736137667E-3</v>
      </c>
      <c r="E10112" s="1">
        <v>1.2097383940722799E-3</v>
      </c>
      <c r="F10112" s="1">
        <v>1.33989041121751E-2</v>
      </c>
    </row>
    <row r="10113" spans="1:6" x14ac:dyDescent="0.25">
      <c r="A10113" s="2" t="str">
        <f t="shared" si="355"/>
        <v>45220</v>
      </c>
      <c r="B10113" s="2" t="str">
        <f>"32327"</f>
        <v>32327</v>
      </c>
      <c r="C10113" s="1">
        <v>6.3800002145439294E-2</v>
      </c>
      <c r="D10113" s="1">
        <v>3.1336307626938599E-2</v>
      </c>
      <c r="E10113" s="1">
        <v>2.51020716769998E-2</v>
      </c>
      <c r="F10113" s="1">
        <v>5.9707480071548899E-2</v>
      </c>
    </row>
    <row r="10114" spans="1:6" x14ac:dyDescent="0.25">
      <c r="A10114" s="2" t="str">
        <f t="shared" si="355"/>
        <v>45220</v>
      </c>
      <c r="B10114" s="2" t="str">
        <f>"32318"</f>
        <v>32318</v>
      </c>
      <c r="C10114" s="1">
        <v>8.1633966595509502E-3</v>
      </c>
      <c r="D10114" s="1">
        <v>1.33843212237093E-2</v>
      </c>
      <c r="E10114" s="1">
        <v>3.0243459851806998E-4</v>
      </c>
      <c r="F10114" s="1">
        <v>8.3819843970493104E-3</v>
      </c>
    </row>
    <row r="10115" spans="1:6" x14ac:dyDescent="0.25">
      <c r="A10115" s="2" t="str">
        <f t="shared" si="355"/>
        <v>45220</v>
      </c>
      <c r="B10115" s="2" t="str">
        <f>"32346"</f>
        <v>32346</v>
      </c>
      <c r="C10115" s="1">
        <v>5.12223640596003E-3</v>
      </c>
      <c r="D10115" s="1">
        <v>3.87720416401104E-3</v>
      </c>
      <c r="E10115" s="1">
        <v>1.96582489036745E-3</v>
      </c>
      <c r="F10115" s="1">
        <v>4.9130888273245096E-3</v>
      </c>
    </row>
    <row r="10116" spans="1:6" x14ac:dyDescent="0.25">
      <c r="A10116" s="2" t="str">
        <f t="shared" si="355"/>
        <v>45220</v>
      </c>
      <c r="B10116" s="2" t="str">
        <f>"32343"</f>
        <v>32343</v>
      </c>
      <c r="C10116" s="1">
        <v>8.0829426845882308E-3</v>
      </c>
      <c r="D10116" s="1">
        <v>6.4797110686211998E-3</v>
      </c>
      <c r="E10116" s="1">
        <v>1.66339029184938E-3</v>
      </c>
      <c r="F10116" s="1">
        <v>7.7401207270049897E-3</v>
      </c>
    </row>
    <row r="10117" spans="1:6" x14ac:dyDescent="0.25">
      <c r="A10117" s="2" t="str">
        <f t="shared" si="355"/>
        <v>45220</v>
      </c>
      <c r="B10117" s="2" t="str">
        <f>"32399"</f>
        <v>32399</v>
      </c>
      <c r="C10117" s="1">
        <v>0</v>
      </c>
      <c r="D10117" s="1">
        <v>5.0987890376035603E-3</v>
      </c>
      <c r="E10117" s="1">
        <v>1.10388628459095E-2</v>
      </c>
      <c r="F10117" s="1">
        <v>7.9761000174624597E-4</v>
      </c>
    </row>
    <row r="10118" spans="1:6" x14ac:dyDescent="0.25">
      <c r="A10118" s="2" t="str">
        <f t="shared" si="355"/>
        <v>45220</v>
      </c>
      <c r="B10118" s="2" t="str">
        <f>"32358"</f>
        <v>32358</v>
      </c>
      <c r="C10118" s="1">
        <v>1.0770105448343101E-2</v>
      </c>
      <c r="D10118" s="1">
        <v>4.7270023369449703E-3</v>
      </c>
      <c r="E10118" s="1">
        <v>3.0243459851806998E-4</v>
      </c>
      <c r="F10118" s="1">
        <v>9.9064106134045607E-3</v>
      </c>
    </row>
    <row r="10119" spans="1:6" x14ac:dyDescent="0.25">
      <c r="A10119" s="2" t="str">
        <f t="shared" si="355"/>
        <v>45220</v>
      </c>
      <c r="B10119" s="2" t="str">
        <f>"32315"</f>
        <v>32315</v>
      </c>
      <c r="C10119" s="1">
        <v>6.8278606751697498E-3</v>
      </c>
      <c r="D10119" s="1">
        <v>2.01827066071807E-2</v>
      </c>
      <c r="E10119" s="1">
        <v>3.0243459851806998E-4</v>
      </c>
      <c r="F10119" s="1">
        <v>7.8109145141422301E-3</v>
      </c>
    </row>
    <row r="10120" spans="1:6" x14ac:dyDescent="0.25">
      <c r="A10120" s="2" t="str">
        <f t="shared" si="355"/>
        <v>45220</v>
      </c>
      <c r="B10120" s="2" t="str">
        <f>"32344"</f>
        <v>32344</v>
      </c>
      <c r="C10120" s="1">
        <v>3.1704229733643702E-2</v>
      </c>
      <c r="D10120" s="1">
        <v>3.1230082855321799E-2</v>
      </c>
      <c r="E10120" s="1">
        <v>6.5023438681385097E-3</v>
      </c>
      <c r="F10120" s="1">
        <v>3.0875530363455299E-2</v>
      </c>
    </row>
    <row r="10121" spans="1:6" x14ac:dyDescent="0.25">
      <c r="A10121" s="2" t="str">
        <f t="shared" si="355"/>
        <v>45220</v>
      </c>
      <c r="B10121" s="2" t="str">
        <f>"32313"</f>
        <v>32313</v>
      </c>
      <c r="C10121" s="1">
        <v>0</v>
      </c>
      <c r="D10121" s="1">
        <v>5.3112385808370503E-5</v>
      </c>
      <c r="E10121" s="1">
        <v>0</v>
      </c>
      <c r="F10121" s="1">
        <v>4.7195858091493804E-6</v>
      </c>
    </row>
    <row r="10122" spans="1:6" x14ac:dyDescent="0.25">
      <c r="A10122" s="2" t="str">
        <f t="shared" si="355"/>
        <v>45220</v>
      </c>
      <c r="B10122" s="2" t="str">
        <f>"32330"</f>
        <v>32330</v>
      </c>
      <c r="C10122" s="1">
        <v>0</v>
      </c>
      <c r="D10122" s="1">
        <v>5.3112385808370503E-5</v>
      </c>
      <c r="E10122" s="1">
        <v>3.0243459851806998E-4</v>
      </c>
      <c r="F10122" s="1">
        <v>1.41587574274481E-5</v>
      </c>
    </row>
    <row r="10123" spans="1:6" x14ac:dyDescent="0.25">
      <c r="A10123" s="2" t="str">
        <f t="shared" si="355"/>
        <v>45220</v>
      </c>
      <c r="B10123" s="2" t="str">
        <f>"32332"</f>
        <v>32332</v>
      </c>
      <c r="C10123" s="1">
        <v>2.9607062786282E-3</v>
      </c>
      <c r="D10123" s="1">
        <v>1.8589335032929599E-3</v>
      </c>
      <c r="E10123" s="1">
        <v>4.53651897777105E-4</v>
      </c>
      <c r="F10123" s="1">
        <v>2.7845556273981302E-3</v>
      </c>
    </row>
    <row r="10124" spans="1:6" x14ac:dyDescent="0.25">
      <c r="A10124" s="2" t="str">
        <f t="shared" si="355"/>
        <v>45220</v>
      </c>
      <c r="B10124" s="2" t="str">
        <f>"32317"</f>
        <v>32317</v>
      </c>
      <c r="C10124" s="1">
        <v>4.0243078276353997E-2</v>
      </c>
      <c r="D10124" s="1">
        <v>5.9751434034416802E-2</v>
      </c>
      <c r="E10124" s="1">
        <v>5.1413881748071898E-3</v>
      </c>
      <c r="F10124" s="1">
        <v>4.0881052278851998E-2</v>
      </c>
    </row>
    <row r="10125" spans="1:6" x14ac:dyDescent="0.25">
      <c r="A10125" s="2" t="str">
        <f t="shared" si="355"/>
        <v>45220</v>
      </c>
      <c r="B10125" s="2" t="str">
        <f>"32306"</f>
        <v>32306</v>
      </c>
      <c r="C10125" s="1">
        <v>0</v>
      </c>
      <c r="D10125" s="1">
        <v>1.5933715742511099E-4</v>
      </c>
      <c r="E10125" s="1">
        <v>1.5121729925903499E-4</v>
      </c>
      <c r="F10125" s="1">
        <v>1.8878343236597501E-5</v>
      </c>
    </row>
    <row r="10126" spans="1:6" x14ac:dyDescent="0.25">
      <c r="A10126" s="2" t="str">
        <f t="shared" si="355"/>
        <v>45220</v>
      </c>
      <c r="B10126" s="2" t="str">
        <f>"32312"</f>
        <v>32312</v>
      </c>
      <c r="C10126" s="1">
        <v>7.6420549017925096E-2</v>
      </c>
      <c r="D10126" s="1">
        <v>3.4045039303165402E-2</v>
      </c>
      <c r="E10126" s="1">
        <v>2.7823983063662398E-2</v>
      </c>
      <c r="F10126" s="1">
        <v>7.1138316901308701E-2</v>
      </c>
    </row>
    <row r="10127" spans="1:6" x14ac:dyDescent="0.25">
      <c r="A10127" s="2" t="str">
        <f t="shared" si="355"/>
        <v>45220</v>
      </c>
      <c r="B10127" s="2" t="str">
        <f>"32311"</f>
        <v>32311</v>
      </c>
      <c r="C10127" s="1">
        <v>5.5615151092564902E-2</v>
      </c>
      <c r="D10127" s="1">
        <v>1.48714680263437E-2</v>
      </c>
      <c r="E10127" s="1">
        <v>2.5555723574776899E-2</v>
      </c>
      <c r="F10127" s="1">
        <v>5.1056479283378003E-2</v>
      </c>
    </row>
    <row r="10128" spans="1:6" x14ac:dyDescent="0.25">
      <c r="A10128" s="2" t="str">
        <f t="shared" si="355"/>
        <v>45220</v>
      </c>
      <c r="B10128" s="2" t="str">
        <f>"32309"</f>
        <v>32309</v>
      </c>
      <c r="C10128" s="1">
        <v>7.3416933952650101E-2</v>
      </c>
      <c r="D10128" s="1">
        <v>2.99553855959209E-2</v>
      </c>
      <c r="E10128" s="1">
        <v>4.2492061091788901E-2</v>
      </c>
      <c r="F10128" s="1">
        <v>6.8589740564368007E-2</v>
      </c>
    </row>
    <row r="10129" spans="1:6" x14ac:dyDescent="0.25">
      <c r="A10129" s="2" t="str">
        <f t="shared" si="355"/>
        <v>45220</v>
      </c>
      <c r="B10129" s="2" t="str">
        <f>"32395"</f>
        <v>32395</v>
      </c>
      <c r="C10129" s="1">
        <v>0</v>
      </c>
      <c r="D10129" s="1">
        <v>5.3112385808370503E-5</v>
      </c>
      <c r="E10129" s="1">
        <v>0</v>
      </c>
      <c r="F10129" s="1">
        <v>4.7195858091493804E-6</v>
      </c>
    </row>
    <row r="10130" spans="1:6" x14ac:dyDescent="0.25">
      <c r="A10130" s="2" t="str">
        <f t="shared" si="355"/>
        <v>45220</v>
      </c>
      <c r="B10130" s="2" t="str">
        <f>"32303"</f>
        <v>32303</v>
      </c>
      <c r="C10130" s="1">
        <v>0.12806127374733101</v>
      </c>
      <c r="D10130" s="1">
        <v>0.14159762056511499</v>
      </c>
      <c r="E10130" s="1">
        <v>0.15983668531680001</v>
      </c>
      <c r="F10130" s="1">
        <v>0.130255848746713</v>
      </c>
    </row>
    <row r="10131" spans="1:6" x14ac:dyDescent="0.25">
      <c r="A10131" s="2" t="str">
        <f t="shared" si="355"/>
        <v>45220</v>
      </c>
      <c r="B10131" s="2" t="str">
        <f>"32336"</f>
        <v>32336</v>
      </c>
      <c r="C10131" s="1">
        <v>2.5369820104911901E-3</v>
      </c>
      <c r="D10131" s="1">
        <v>1.9651582749096999E-3</v>
      </c>
      <c r="E10131" s="1">
        <v>1.5121729925903499E-4</v>
      </c>
      <c r="F10131" s="1">
        <v>2.41170834847533E-3</v>
      </c>
    </row>
    <row r="10132" spans="1:6" x14ac:dyDescent="0.25">
      <c r="A10132" s="2" t="str">
        <f t="shared" si="355"/>
        <v>45220</v>
      </c>
      <c r="B10132" s="2" t="str">
        <f>"32351"</f>
        <v>32351</v>
      </c>
      <c r="C10132" s="1">
        <v>4.1562523465742601E-2</v>
      </c>
      <c r="D10132" s="1">
        <v>4.1108986615678703E-2</v>
      </c>
      <c r="E10132" s="1">
        <v>1.23998185392408E-2</v>
      </c>
      <c r="F10132" s="1">
        <v>4.0612035887730401E-2</v>
      </c>
    </row>
    <row r="10133" spans="1:6" x14ac:dyDescent="0.25">
      <c r="A10133" s="2" t="str">
        <f t="shared" si="355"/>
        <v>45220</v>
      </c>
      <c r="B10133" s="2" t="str">
        <f>"32310"</f>
        <v>32310</v>
      </c>
      <c r="C10133" s="1">
        <v>5.0492914686604898E-2</v>
      </c>
      <c r="D10133" s="1">
        <v>3.4788612704482601E-2</v>
      </c>
      <c r="E10133" s="1">
        <v>6.8350219265083903E-2</v>
      </c>
      <c r="F10133" s="1">
        <v>4.9654762298060699E-2</v>
      </c>
    </row>
    <row r="10134" spans="1:6" x14ac:dyDescent="0.25">
      <c r="A10134" s="2" t="str">
        <f>"48100"</f>
        <v>48100</v>
      </c>
      <c r="B10134" s="2" t="str">
        <f>"33841"</f>
        <v>33841</v>
      </c>
      <c r="C10134" s="1">
        <v>1.12749349522983E-3</v>
      </c>
      <c r="D10134" s="1">
        <v>0</v>
      </c>
      <c r="E10134" s="1">
        <v>0</v>
      </c>
      <c r="F10134" s="1">
        <v>1.02929532858273E-3</v>
      </c>
    </row>
    <row r="10135" spans="1:6" x14ac:dyDescent="0.25">
      <c r="A10135" s="2" t="str">
        <f>"48100"</f>
        <v>48100</v>
      </c>
      <c r="B10135" s="2" t="str">
        <f>"33834"</f>
        <v>33834</v>
      </c>
      <c r="C10135" s="1">
        <v>0.24952298352124799</v>
      </c>
      <c r="D10135" s="1">
        <v>0.134556574923547</v>
      </c>
      <c r="E10135" s="1">
        <v>0.19327731092436901</v>
      </c>
      <c r="F10135" s="1">
        <v>0.24006334125098899</v>
      </c>
    </row>
    <row r="10136" spans="1:6" x14ac:dyDescent="0.25">
      <c r="A10136" s="2" t="str">
        <f>"48100"</f>
        <v>48100</v>
      </c>
      <c r="B10136" s="2" t="str">
        <f>"33873"</f>
        <v>33873</v>
      </c>
      <c r="C10136" s="1">
        <v>0.51396357328707698</v>
      </c>
      <c r="D10136" s="1">
        <v>0.72680937818552405</v>
      </c>
      <c r="E10136" s="1">
        <v>0.78151260504201603</v>
      </c>
      <c r="F10136" s="1">
        <v>0.53301662707838404</v>
      </c>
    </row>
    <row r="10137" spans="1:6" x14ac:dyDescent="0.25">
      <c r="A10137" s="2" t="str">
        <f>"48100"</f>
        <v>48100</v>
      </c>
      <c r="B10137" s="2" t="str">
        <f>"33865"</f>
        <v>33865</v>
      </c>
      <c r="C10137" s="1">
        <v>3.3651344319167303E-2</v>
      </c>
      <c r="D10137" s="1">
        <v>2.9561671763506599E-2</v>
      </c>
      <c r="E10137" s="1">
        <v>8.4033613445378096E-3</v>
      </c>
      <c r="F10137" s="1">
        <v>3.3095803642121897E-2</v>
      </c>
    </row>
    <row r="10138" spans="1:6" x14ac:dyDescent="0.25">
      <c r="A10138" s="2" t="str">
        <f>"48100"</f>
        <v>48100</v>
      </c>
      <c r="B10138" s="2" t="str">
        <f>"33890"</f>
        <v>33890</v>
      </c>
      <c r="C10138" s="1">
        <v>0.201734605377276</v>
      </c>
      <c r="D10138" s="1">
        <v>0.10907237512742</v>
      </c>
      <c r="E10138" s="1">
        <v>1.6806722689075598E-2</v>
      </c>
      <c r="F10138" s="1">
        <v>0.19279493269992001</v>
      </c>
    </row>
    <row r="10139" spans="1:6" x14ac:dyDescent="0.25">
      <c r="A10139" s="2" t="str">
        <f t="shared" ref="A10139:A10157" si="356">"10700"</f>
        <v>10700</v>
      </c>
      <c r="B10139" s="2" t="str">
        <f>"35776"</f>
        <v>35776</v>
      </c>
      <c r="C10139" s="1">
        <v>5.4449513318056602E-3</v>
      </c>
      <c r="D10139" s="1">
        <v>1.1013215859030799E-3</v>
      </c>
      <c r="E10139" s="1">
        <v>0</v>
      </c>
      <c r="F10139" s="1">
        <v>5.0002841070515298E-3</v>
      </c>
    </row>
    <row r="10140" spans="1:6" x14ac:dyDescent="0.25">
      <c r="A10140" s="2" t="str">
        <f t="shared" si="356"/>
        <v>10700</v>
      </c>
      <c r="B10140" s="2" t="str">
        <f>"35956"</f>
        <v>35956</v>
      </c>
      <c r="C10140" s="1">
        <v>3.7841360607143601E-4</v>
      </c>
      <c r="D10140" s="1">
        <v>0</v>
      </c>
      <c r="E10140" s="1">
        <v>0</v>
      </c>
      <c r="F10140" s="1">
        <v>3.4092846184442203E-4</v>
      </c>
    </row>
    <row r="10141" spans="1:6" x14ac:dyDescent="0.25">
      <c r="A10141" s="2" t="str">
        <f t="shared" si="356"/>
        <v>10700</v>
      </c>
      <c r="B10141" s="2" t="str">
        <f>"35175"</f>
        <v>35175</v>
      </c>
      <c r="C10141" s="1">
        <v>4.2592553661151597E-2</v>
      </c>
      <c r="D10141" s="1">
        <v>1.05726872246696E-2</v>
      </c>
      <c r="E10141" s="1">
        <v>5.7971014492753598E-3</v>
      </c>
      <c r="F10141" s="1">
        <v>3.93582968729283E-2</v>
      </c>
    </row>
    <row r="10142" spans="1:6" x14ac:dyDescent="0.25">
      <c r="A10142" s="2" t="str">
        <f t="shared" si="356"/>
        <v>10700</v>
      </c>
      <c r="B10142" s="2" t="str">
        <f>"35087"</f>
        <v>35087</v>
      </c>
      <c r="C10142" s="1">
        <v>2.1022978115079701E-3</v>
      </c>
      <c r="D10142" s="1">
        <v>4.4052863436123301E-4</v>
      </c>
      <c r="E10142" s="1">
        <v>0</v>
      </c>
      <c r="F10142" s="1">
        <v>1.9319279504517301E-3</v>
      </c>
    </row>
    <row r="10143" spans="1:6" x14ac:dyDescent="0.25">
      <c r="A10143" s="2" t="str">
        <f t="shared" si="356"/>
        <v>10700</v>
      </c>
      <c r="B10143" s="2" t="str">
        <f>"35747"</f>
        <v>35747</v>
      </c>
      <c r="C10143" s="1">
        <v>6.8093426114743394E-2</v>
      </c>
      <c r="D10143" s="1">
        <v>2.1806167400881E-2</v>
      </c>
      <c r="E10143" s="1">
        <v>2.1739130434782601E-2</v>
      </c>
      <c r="F10143" s="1">
        <v>6.3507396253575002E-2</v>
      </c>
    </row>
    <row r="10144" spans="1:6" x14ac:dyDescent="0.25">
      <c r="A10144" s="2" t="str">
        <f t="shared" si="356"/>
        <v>10700</v>
      </c>
      <c r="B10144" s="2" t="str">
        <f>"35031"</f>
        <v>35031</v>
      </c>
      <c r="C10144" s="1">
        <v>4.2045956230159502E-5</v>
      </c>
      <c r="D10144" s="1">
        <v>0</v>
      </c>
      <c r="E10144" s="1">
        <v>0</v>
      </c>
      <c r="F10144" s="1">
        <v>3.7880940204935801E-5</v>
      </c>
    </row>
    <row r="10145" spans="1:6" x14ac:dyDescent="0.25">
      <c r="A10145" s="2" t="str">
        <f t="shared" si="356"/>
        <v>10700</v>
      </c>
      <c r="B10145" s="2" t="str">
        <f>"35980"</f>
        <v>35980</v>
      </c>
      <c r="C10145" s="1">
        <v>3.9249900140853902E-2</v>
      </c>
      <c r="D10145" s="1">
        <v>9.4713656387665109E-3</v>
      </c>
      <c r="E10145" s="1">
        <v>2.0289855072463701E-2</v>
      </c>
      <c r="F10145" s="1">
        <v>3.64414644771483E-2</v>
      </c>
    </row>
    <row r="10146" spans="1:6" x14ac:dyDescent="0.25">
      <c r="A10146" s="2" t="str">
        <f t="shared" si="356"/>
        <v>10700</v>
      </c>
      <c r="B10146" s="2" t="str">
        <f>"35964"</f>
        <v>35964</v>
      </c>
      <c r="C10146" s="1">
        <v>0</v>
      </c>
      <c r="D10146" s="1">
        <v>2.2026431718061599E-4</v>
      </c>
      <c r="E10146" s="1">
        <v>0</v>
      </c>
      <c r="F10146" s="1">
        <v>1.8940470102467901E-5</v>
      </c>
    </row>
    <row r="10147" spans="1:6" x14ac:dyDescent="0.25">
      <c r="A10147" s="2" t="str">
        <f t="shared" si="356"/>
        <v>10700</v>
      </c>
      <c r="B10147" s="2" t="str">
        <f>"35769"</f>
        <v>35769</v>
      </c>
      <c r="C10147" s="1">
        <v>2.62366766876195E-2</v>
      </c>
      <c r="D10147" s="1">
        <v>3.9647577092510999E-3</v>
      </c>
      <c r="E10147" s="1">
        <v>1.01449275362318E-2</v>
      </c>
      <c r="F10147" s="1">
        <v>2.41112184404416E-2</v>
      </c>
    </row>
    <row r="10148" spans="1:6" x14ac:dyDescent="0.25">
      <c r="A10148" s="2" t="str">
        <f t="shared" si="356"/>
        <v>10700</v>
      </c>
      <c r="B10148" s="2" t="str">
        <f>"35950"</f>
        <v>35950</v>
      </c>
      <c r="C10148" s="1">
        <v>0.18784030945823699</v>
      </c>
      <c r="D10148" s="1">
        <v>0.26519823788546198</v>
      </c>
      <c r="E10148" s="1">
        <v>0.31449275362318801</v>
      </c>
      <c r="F10148" s="1">
        <v>0.19614750838115799</v>
      </c>
    </row>
    <row r="10149" spans="1:6" x14ac:dyDescent="0.25">
      <c r="A10149" s="2" t="str">
        <f t="shared" si="356"/>
        <v>10700</v>
      </c>
      <c r="B10149" s="2" t="str">
        <f>"35760"</f>
        <v>35760</v>
      </c>
      <c r="C10149" s="1">
        <v>3.0273088485714798E-3</v>
      </c>
      <c r="D10149" s="1">
        <v>4.4052863436123301E-4</v>
      </c>
      <c r="E10149" s="1">
        <v>2.8985507246376799E-3</v>
      </c>
      <c r="F10149" s="1">
        <v>2.8031895751652498E-3</v>
      </c>
    </row>
    <row r="10150" spans="1:6" x14ac:dyDescent="0.25">
      <c r="A10150" s="2" t="str">
        <f t="shared" si="356"/>
        <v>10700</v>
      </c>
      <c r="B10150" s="2" t="str">
        <f>"35962"</f>
        <v>35962</v>
      </c>
      <c r="C10150" s="1">
        <v>4.9614228351588198E-3</v>
      </c>
      <c r="D10150" s="1">
        <v>4.4052863436123301E-4</v>
      </c>
      <c r="E10150" s="1">
        <v>2.8985507246376799E-3</v>
      </c>
      <c r="F10150" s="1">
        <v>4.5457128245923002E-3</v>
      </c>
    </row>
    <row r="10151" spans="1:6" x14ac:dyDescent="0.25">
      <c r="A10151" s="2" t="str">
        <f t="shared" si="356"/>
        <v>10700</v>
      </c>
      <c r="B10151" s="2" t="str">
        <f>"35016"</f>
        <v>35016</v>
      </c>
      <c r="C10151" s="1">
        <v>0.15376206193369299</v>
      </c>
      <c r="D10151" s="1">
        <v>0.14273127753303899</v>
      </c>
      <c r="E10151" s="1">
        <v>0.121739130434782</v>
      </c>
      <c r="F10151" s="1">
        <v>0.15239502244445699</v>
      </c>
    </row>
    <row r="10152" spans="1:6" x14ac:dyDescent="0.25">
      <c r="A10152" s="2" t="str">
        <f t="shared" si="356"/>
        <v>10700</v>
      </c>
      <c r="B10152" s="2" t="str">
        <f>"35975"</f>
        <v>35975</v>
      </c>
      <c r="C10152" s="1">
        <v>1.1352408182142999E-3</v>
      </c>
      <c r="D10152" s="1">
        <v>0</v>
      </c>
      <c r="E10152" s="1">
        <v>0</v>
      </c>
      <c r="F10152" s="1">
        <v>1.0227853855332601E-3</v>
      </c>
    </row>
    <row r="10153" spans="1:6" x14ac:dyDescent="0.25">
      <c r="A10153" s="2" t="str">
        <f t="shared" si="356"/>
        <v>10700</v>
      </c>
      <c r="B10153" s="2" t="str">
        <f>"35976"</f>
        <v>35976</v>
      </c>
      <c r="C10153" s="1">
        <v>0.20991443647907099</v>
      </c>
      <c r="D10153" s="1">
        <v>0.294273127753303</v>
      </c>
      <c r="E10153" s="1">
        <v>0.213043478260869</v>
      </c>
      <c r="F10153" s="1">
        <v>0.217209311135102</v>
      </c>
    </row>
    <row r="10154" spans="1:6" x14ac:dyDescent="0.25">
      <c r="A10154" s="2" t="str">
        <f t="shared" si="356"/>
        <v>10700</v>
      </c>
      <c r="B10154" s="2" t="str">
        <f>"35957"</f>
        <v>35957</v>
      </c>
      <c r="C10154" s="1">
        <v>0.129837912838732</v>
      </c>
      <c r="D10154" s="1">
        <v>0.19735682819383199</v>
      </c>
      <c r="E10154" s="1">
        <v>0.16956521739130401</v>
      </c>
      <c r="F10154" s="1">
        <v>0.136163039566642</v>
      </c>
    </row>
    <row r="10155" spans="1:6" x14ac:dyDescent="0.25">
      <c r="A10155" s="2" t="str">
        <f t="shared" si="356"/>
        <v>10700</v>
      </c>
      <c r="B10155" s="2" t="str">
        <f>"35755"</f>
        <v>35755</v>
      </c>
      <c r="C10155" s="1">
        <v>8.0097546618453901E-3</v>
      </c>
      <c r="D10155" s="1">
        <v>3.5242290748898602E-3</v>
      </c>
      <c r="E10155" s="1">
        <v>8.6956521739130401E-3</v>
      </c>
      <c r="F10155" s="1">
        <v>7.6330094512945803E-3</v>
      </c>
    </row>
    <row r="10156" spans="1:6" x14ac:dyDescent="0.25">
      <c r="A10156" s="2" t="str">
        <f t="shared" si="356"/>
        <v>10700</v>
      </c>
      <c r="B10156" s="2" t="str">
        <f>"35951"</f>
        <v>35951</v>
      </c>
      <c r="C10156" s="1">
        <v>0.116740597473038</v>
      </c>
      <c r="D10156" s="1">
        <v>4.8458149779735601E-2</v>
      </c>
      <c r="E10156" s="1">
        <v>0.108695652173913</v>
      </c>
      <c r="F10156" s="1">
        <v>0.110763869159232</v>
      </c>
    </row>
    <row r="10157" spans="1:6" x14ac:dyDescent="0.25">
      <c r="A10157" s="2" t="str">
        <f t="shared" si="356"/>
        <v>10700</v>
      </c>
      <c r="B10157" s="2" t="str">
        <f>"35754"</f>
        <v>35754</v>
      </c>
      <c r="C10157" s="1">
        <v>6.3068934345239297E-4</v>
      </c>
      <c r="D10157" s="1">
        <v>0</v>
      </c>
      <c r="E10157" s="1">
        <v>0</v>
      </c>
      <c r="F10157" s="1">
        <v>5.6821410307403796E-4</v>
      </c>
    </row>
    <row r="10158" spans="1:6" x14ac:dyDescent="0.25">
      <c r="A10158" s="2" t="str">
        <f t="shared" ref="A10158:A10168" si="357">"21640"</f>
        <v>21640</v>
      </c>
      <c r="B10158" s="2" t="str">
        <f>"36017"</f>
        <v>36017</v>
      </c>
      <c r="C10158" s="1">
        <v>7.3964665113900999E-2</v>
      </c>
      <c r="D10158" s="1">
        <v>6.5548780487804797E-2</v>
      </c>
      <c r="E10158" s="1">
        <v>9.3137254901960703E-2</v>
      </c>
      <c r="F10158" s="1">
        <v>7.35272035637419E-2</v>
      </c>
    </row>
    <row r="10159" spans="1:6" x14ac:dyDescent="0.25">
      <c r="A10159" s="2" t="str">
        <f t="shared" si="357"/>
        <v>21640</v>
      </c>
      <c r="B10159" s="2" t="str">
        <f>"36016"</f>
        <v>36016</v>
      </c>
      <c r="C10159" s="1">
        <v>0.11498040106799901</v>
      </c>
      <c r="D10159" s="1">
        <v>6.0467479674796702E-2</v>
      </c>
      <c r="E10159" s="1">
        <v>0.32352941176470501</v>
      </c>
      <c r="F10159" s="1">
        <v>0.113869563041193</v>
      </c>
    </row>
    <row r="10160" spans="1:6" x14ac:dyDescent="0.25">
      <c r="A10160" s="2" t="str">
        <f t="shared" si="357"/>
        <v>21640</v>
      </c>
      <c r="B10160" s="2" t="str">
        <f>"36072"</f>
        <v>36072</v>
      </c>
      <c r="C10160" s="1">
        <v>7.2771686644321903E-2</v>
      </c>
      <c r="D10160" s="1">
        <v>0.13922764227642201</v>
      </c>
      <c r="E10160" s="1">
        <v>4.9019607843137202E-3</v>
      </c>
      <c r="F10160" s="1">
        <v>7.7931828419840796E-2</v>
      </c>
    </row>
    <row r="10161" spans="1:6" x14ac:dyDescent="0.25">
      <c r="A10161" s="2" t="str">
        <f t="shared" si="357"/>
        <v>21640</v>
      </c>
      <c r="B10161" s="2" t="str">
        <f>"36311"</f>
        <v>36311</v>
      </c>
      <c r="C10161" s="1">
        <v>1.8576379026302301E-2</v>
      </c>
      <c r="D10161" s="1">
        <v>3.0487804878048699E-3</v>
      </c>
      <c r="E10161" s="1">
        <v>2.4509803921568601E-3</v>
      </c>
      <c r="F10161" s="1">
        <v>1.6717553431102601E-2</v>
      </c>
    </row>
    <row r="10162" spans="1:6" x14ac:dyDescent="0.25">
      <c r="A10162" s="2" t="str">
        <f t="shared" si="357"/>
        <v>21640</v>
      </c>
      <c r="B10162" s="2" t="str">
        <f>"36317"</f>
        <v>36317</v>
      </c>
      <c r="C10162" s="1">
        <v>1.30659546668181E-3</v>
      </c>
      <c r="D10162" s="1">
        <v>5.0813008130081295E-4</v>
      </c>
      <c r="E10162" s="1">
        <v>0</v>
      </c>
      <c r="F10162" s="1">
        <v>1.20126132439061E-3</v>
      </c>
    </row>
    <row r="10163" spans="1:6" x14ac:dyDescent="0.25">
      <c r="A10163" s="2" t="str">
        <f t="shared" si="357"/>
        <v>21640</v>
      </c>
      <c r="B10163" s="2" t="str">
        <f>"39854"</f>
        <v>39854</v>
      </c>
      <c r="C10163" s="1">
        <v>0.10390274385048</v>
      </c>
      <c r="D10163" s="1">
        <v>6.0467479674796702E-2</v>
      </c>
      <c r="E10163" s="1">
        <v>1.47058823529411E-2</v>
      </c>
      <c r="F10163" s="1">
        <v>9.7802692827468798E-2</v>
      </c>
    </row>
    <row r="10164" spans="1:6" x14ac:dyDescent="0.25">
      <c r="A10164" s="2" t="str">
        <f t="shared" si="357"/>
        <v>21640</v>
      </c>
      <c r="B10164" s="2" t="str">
        <f>"36374"</f>
        <v>36374</v>
      </c>
      <c r="C10164" s="1">
        <v>3.86297790149406E-3</v>
      </c>
      <c r="D10164" s="1">
        <v>2.5406504065040602E-3</v>
      </c>
      <c r="E10164" s="1">
        <v>0</v>
      </c>
      <c r="F10164" s="1">
        <v>3.6538365283547698E-3</v>
      </c>
    </row>
    <row r="10165" spans="1:6" x14ac:dyDescent="0.25">
      <c r="A10165" s="2" t="str">
        <f t="shared" si="357"/>
        <v>21640</v>
      </c>
      <c r="B10165" s="2" t="str">
        <f>"36053"</f>
        <v>36053</v>
      </c>
      <c r="C10165" s="1">
        <v>2.68136113162529E-2</v>
      </c>
      <c r="D10165" s="1">
        <v>1.6260162601626001E-2</v>
      </c>
      <c r="E10165" s="1">
        <v>2.4509803921568601E-3</v>
      </c>
      <c r="F10165" s="1">
        <v>2.5276540367385698E-2</v>
      </c>
    </row>
    <row r="10166" spans="1:6" x14ac:dyDescent="0.25">
      <c r="A10166" s="2" t="str">
        <f t="shared" si="357"/>
        <v>21640</v>
      </c>
      <c r="B10166" s="2" t="str">
        <f>"36048"</f>
        <v>36048</v>
      </c>
      <c r="C10166" s="1">
        <v>4.6014883826620397E-2</v>
      </c>
      <c r="D10166" s="1">
        <v>1.2703252032520301E-2</v>
      </c>
      <c r="E10166" s="1">
        <v>1.7156862745097999E-2</v>
      </c>
      <c r="F10166" s="1">
        <v>4.2144251464037198E-2</v>
      </c>
    </row>
    <row r="10167" spans="1:6" x14ac:dyDescent="0.25">
      <c r="A10167" s="2" t="str">
        <f t="shared" si="357"/>
        <v>21640</v>
      </c>
      <c r="B10167" s="2" t="str">
        <f>"39867"</f>
        <v>39867</v>
      </c>
      <c r="C10167" s="1">
        <v>5.9648923478952398E-3</v>
      </c>
      <c r="D10167" s="1">
        <v>5.0813008130081295E-4</v>
      </c>
      <c r="E10167" s="1">
        <v>0</v>
      </c>
      <c r="F10167" s="1">
        <v>5.3055708493918597E-3</v>
      </c>
    </row>
    <row r="10168" spans="1:6" x14ac:dyDescent="0.25">
      <c r="A10168" s="2" t="str">
        <f t="shared" si="357"/>
        <v>21640</v>
      </c>
      <c r="B10168" s="2" t="str">
        <f>"36027"</f>
        <v>36027</v>
      </c>
      <c r="C10168" s="1">
        <v>0.53184116343804999</v>
      </c>
      <c r="D10168" s="1">
        <v>0.63871951219512102</v>
      </c>
      <c r="E10168" s="1">
        <v>0.54166666666666596</v>
      </c>
      <c r="F10168" s="1">
        <v>0.54256969818309198</v>
      </c>
    </row>
    <row r="10169" spans="1:6" x14ac:dyDescent="0.25">
      <c r="A10169" s="2" t="str">
        <f t="shared" ref="A10169:A10182" si="358">"43180"</f>
        <v>43180</v>
      </c>
      <c r="B10169" s="2" t="str">
        <f>"37018"</f>
        <v>37018</v>
      </c>
      <c r="C10169" s="1">
        <v>2.3478677527551499E-3</v>
      </c>
      <c r="D10169" s="1">
        <v>1.3297872340425499E-3</v>
      </c>
      <c r="E10169" s="1">
        <v>0</v>
      </c>
      <c r="F10169" s="1">
        <v>2.2519539011789601E-3</v>
      </c>
    </row>
    <row r="10170" spans="1:6" x14ac:dyDescent="0.25">
      <c r="A10170" s="2" t="str">
        <f t="shared" si="358"/>
        <v>43180</v>
      </c>
      <c r="B10170" s="2" t="str">
        <f>"37020"</f>
        <v>37020</v>
      </c>
      <c r="C10170" s="1">
        <v>7.1921418303785303E-2</v>
      </c>
      <c r="D10170" s="1">
        <v>9.9734042553191408E-3</v>
      </c>
      <c r="E10170" s="1">
        <v>0</v>
      </c>
      <c r="F10170" s="1">
        <v>6.6940433611515804E-2</v>
      </c>
    </row>
    <row r="10171" spans="1:6" x14ac:dyDescent="0.25">
      <c r="A10171" s="2" t="str">
        <f t="shared" si="358"/>
        <v>43180</v>
      </c>
      <c r="B10171" s="2" t="str">
        <f>"37161"</f>
        <v>37161</v>
      </c>
      <c r="C10171" s="1">
        <v>0</v>
      </c>
      <c r="D10171" s="1">
        <v>6.6489361702127604E-4</v>
      </c>
      <c r="E10171" s="1">
        <v>0</v>
      </c>
      <c r="F10171" s="1">
        <v>4.4155958846646301E-5</v>
      </c>
    </row>
    <row r="10172" spans="1:6" x14ac:dyDescent="0.25">
      <c r="A10172" s="2" t="str">
        <f t="shared" si="358"/>
        <v>43180</v>
      </c>
      <c r="B10172" s="2" t="str">
        <f>"37144"</f>
        <v>37144</v>
      </c>
      <c r="C10172" s="1">
        <v>7.3310972688068899E-3</v>
      </c>
      <c r="D10172" s="1">
        <v>2.6595744680850998E-3</v>
      </c>
      <c r="E10172" s="1">
        <v>0</v>
      </c>
      <c r="F10172" s="1">
        <v>6.9324855389234696E-3</v>
      </c>
    </row>
    <row r="10173" spans="1:6" x14ac:dyDescent="0.25">
      <c r="A10173" s="2" t="str">
        <f t="shared" si="358"/>
        <v>43180</v>
      </c>
      <c r="B10173" s="2" t="str">
        <f>"37360"</f>
        <v>37360</v>
      </c>
      <c r="C10173" s="1">
        <v>1.7201724964063199E-2</v>
      </c>
      <c r="D10173" s="1">
        <v>1.1968085106382901E-2</v>
      </c>
      <c r="E10173" s="1">
        <v>0</v>
      </c>
      <c r="F10173" s="1">
        <v>1.6646796485185598E-2</v>
      </c>
    </row>
    <row r="10174" spans="1:6" x14ac:dyDescent="0.25">
      <c r="A10174" s="2" t="str">
        <f t="shared" si="358"/>
        <v>43180</v>
      </c>
      <c r="B10174" s="2" t="str">
        <f>"37388"</f>
        <v>37388</v>
      </c>
      <c r="C10174" s="1">
        <v>2.8270244369908901E-3</v>
      </c>
      <c r="D10174" s="1">
        <v>1.9946808510638201E-3</v>
      </c>
      <c r="E10174" s="1">
        <v>0</v>
      </c>
      <c r="F10174" s="1">
        <v>2.7376694484920702E-3</v>
      </c>
    </row>
    <row r="10175" spans="1:6" x14ac:dyDescent="0.25">
      <c r="A10175" s="2" t="str">
        <f t="shared" si="358"/>
        <v>43180</v>
      </c>
      <c r="B10175" s="2" t="str">
        <f>"37153"</f>
        <v>37153</v>
      </c>
      <c r="C10175" s="1">
        <v>5.74988021082894E-3</v>
      </c>
      <c r="D10175" s="1">
        <v>1.9946808510638201E-3</v>
      </c>
      <c r="E10175" s="1">
        <v>0</v>
      </c>
      <c r="F10175" s="1">
        <v>5.4311829381374997E-3</v>
      </c>
    </row>
    <row r="10176" spans="1:6" x14ac:dyDescent="0.25">
      <c r="A10176" s="2" t="str">
        <f t="shared" si="358"/>
        <v>43180</v>
      </c>
      <c r="B10176" s="2" t="str">
        <f>"37034"</f>
        <v>37034</v>
      </c>
      <c r="C10176" s="1">
        <v>2.0364159080019099E-2</v>
      </c>
      <c r="D10176" s="1">
        <v>2.6595744680850998E-3</v>
      </c>
      <c r="E10176" s="1">
        <v>0</v>
      </c>
      <c r="F10176" s="1">
        <v>1.8942906345211199E-2</v>
      </c>
    </row>
    <row r="10177" spans="1:6" x14ac:dyDescent="0.25">
      <c r="A10177" s="2" t="str">
        <f t="shared" si="358"/>
        <v>43180</v>
      </c>
      <c r="B10177" s="2" t="str">
        <f>"37060"</f>
        <v>37060</v>
      </c>
      <c r="C10177" s="1">
        <v>6.8519405845711501E-3</v>
      </c>
      <c r="D10177" s="1">
        <v>3.9893617021276497E-3</v>
      </c>
      <c r="E10177" s="1">
        <v>0</v>
      </c>
      <c r="F10177" s="1">
        <v>6.5792378681502998E-3</v>
      </c>
    </row>
    <row r="10178" spans="1:6" x14ac:dyDescent="0.25">
      <c r="A10178" s="2" t="str">
        <f t="shared" si="358"/>
        <v>43180</v>
      </c>
      <c r="B10178" s="2" t="str">
        <f>"37160"</f>
        <v>37160</v>
      </c>
      <c r="C10178" s="1">
        <v>0.72482031624341103</v>
      </c>
      <c r="D10178" s="1">
        <v>0.92619680851063801</v>
      </c>
      <c r="E10178" s="1">
        <v>0.96703296703296704</v>
      </c>
      <c r="F10178" s="1">
        <v>0.741113613282112</v>
      </c>
    </row>
    <row r="10179" spans="1:6" x14ac:dyDescent="0.25">
      <c r="A10179" s="2" t="str">
        <f t="shared" si="358"/>
        <v>43180</v>
      </c>
      <c r="B10179" s="2" t="str">
        <f>"37183"</f>
        <v>37183</v>
      </c>
      <c r="C10179" s="1">
        <v>6.1092477240057397E-2</v>
      </c>
      <c r="D10179" s="1">
        <v>2.32712765957446E-2</v>
      </c>
      <c r="E10179" s="1">
        <v>3.66300366300366E-3</v>
      </c>
      <c r="F10179" s="1">
        <v>5.7888462047953303E-2</v>
      </c>
    </row>
    <row r="10180" spans="1:6" x14ac:dyDescent="0.25">
      <c r="A10180" s="2" t="str">
        <f t="shared" si="358"/>
        <v>43180</v>
      </c>
      <c r="B10180" s="2" t="str">
        <f>"37091"</f>
        <v>37091</v>
      </c>
      <c r="C10180" s="1">
        <v>1.37997125059894E-2</v>
      </c>
      <c r="D10180" s="1">
        <v>1.9946808510638201E-3</v>
      </c>
      <c r="E10180" s="1">
        <v>7.3260073260073199E-3</v>
      </c>
      <c r="F10180" s="1">
        <v>1.29376959420673E-2</v>
      </c>
    </row>
    <row r="10181" spans="1:6" x14ac:dyDescent="0.25">
      <c r="A10181" s="2" t="str">
        <f t="shared" si="358"/>
        <v>43180</v>
      </c>
      <c r="B10181" s="2" t="str">
        <f>"37334"</f>
        <v>37334</v>
      </c>
      <c r="C10181" s="1">
        <v>1.3895543842836601E-3</v>
      </c>
      <c r="D10181" s="1">
        <v>0</v>
      </c>
      <c r="E10181" s="1">
        <v>0</v>
      </c>
      <c r="F10181" s="1">
        <v>1.28052280655274E-3</v>
      </c>
    </row>
    <row r="10182" spans="1:6" x14ac:dyDescent="0.25">
      <c r="A10182" s="2" t="str">
        <f t="shared" si="358"/>
        <v>43180</v>
      </c>
      <c r="B10182" s="2" t="str">
        <f>"37180"</f>
        <v>37180</v>
      </c>
      <c r="C10182" s="1">
        <v>6.4302827024436904E-2</v>
      </c>
      <c r="D10182" s="1">
        <v>1.1303191489361699E-2</v>
      </c>
      <c r="E10182" s="1">
        <v>2.19780219780219E-2</v>
      </c>
      <c r="F10182" s="1">
        <v>6.0272883825672197E-2</v>
      </c>
    </row>
    <row r="10183" spans="1:6" x14ac:dyDescent="0.25">
      <c r="A10183" s="2" t="str">
        <f t="shared" ref="A10183:A10195" si="359">"42940"</f>
        <v>42940</v>
      </c>
      <c r="B10183" s="2" t="str">
        <f>"37876"</f>
        <v>37876</v>
      </c>
      <c r="C10183" s="1">
        <v>0.294681859583248</v>
      </c>
      <c r="D10183" s="1">
        <v>0.109282422646477</v>
      </c>
      <c r="E10183" s="1">
        <v>0.19042377545404501</v>
      </c>
      <c r="F10183" s="1">
        <v>0.273350624088182</v>
      </c>
    </row>
    <row r="10184" spans="1:6" x14ac:dyDescent="0.25">
      <c r="A10184" s="2" t="str">
        <f t="shared" si="359"/>
        <v>42940</v>
      </c>
      <c r="B10184" s="2" t="str">
        <f>"37725"</f>
        <v>37725</v>
      </c>
      <c r="C10184" s="1">
        <v>1.98895849210922E-3</v>
      </c>
      <c r="D10184" s="1">
        <v>1.9749835418038102E-3</v>
      </c>
      <c r="E10184" s="1">
        <v>0</v>
      </c>
      <c r="F10184" s="1">
        <v>1.92899983789917E-3</v>
      </c>
    </row>
    <row r="10185" spans="1:6" x14ac:dyDescent="0.25">
      <c r="A10185" s="2" t="str">
        <f t="shared" si="359"/>
        <v>42940</v>
      </c>
      <c r="B10185" s="2" t="str">
        <f>"37722"</f>
        <v>37722</v>
      </c>
      <c r="C10185" s="1">
        <v>1.4071416621744701E-2</v>
      </c>
      <c r="D10185" s="1">
        <v>1.9749835418038102E-3</v>
      </c>
      <c r="E10185" s="1">
        <v>5.5035773252614098E-3</v>
      </c>
      <c r="F10185" s="1">
        <v>1.26276544010374E-2</v>
      </c>
    </row>
    <row r="10186" spans="1:6" x14ac:dyDescent="0.25">
      <c r="A10186" s="2" t="str">
        <f t="shared" si="359"/>
        <v>42940</v>
      </c>
      <c r="B10186" s="2" t="str">
        <f>"37868"</f>
        <v>37868</v>
      </c>
      <c r="C10186" s="1">
        <v>2.3960443890923201E-2</v>
      </c>
      <c r="D10186" s="1">
        <v>3.1270572745227099E-2</v>
      </c>
      <c r="E10186" s="1">
        <v>1.10071546505228E-3</v>
      </c>
      <c r="F10186" s="1">
        <v>2.4007132436375402E-2</v>
      </c>
    </row>
    <row r="10187" spans="1:6" x14ac:dyDescent="0.25">
      <c r="A10187" s="2" t="str">
        <f t="shared" si="359"/>
        <v>42940</v>
      </c>
      <c r="B10187" s="2" t="str">
        <f>"37764"</f>
        <v>37764</v>
      </c>
      <c r="C10187" s="1">
        <v>7.8870568990835901E-2</v>
      </c>
      <c r="D10187" s="1">
        <v>2.97893350888742E-2</v>
      </c>
      <c r="E10187" s="1">
        <v>4.6230049532195901E-2</v>
      </c>
      <c r="F10187" s="1">
        <v>7.3075052682768593E-2</v>
      </c>
    </row>
    <row r="10188" spans="1:6" x14ac:dyDescent="0.25">
      <c r="A10188" s="2" t="str">
        <f t="shared" si="359"/>
        <v>42940</v>
      </c>
      <c r="B10188" s="2" t="str">
        <f>"37863"</f>
        <v>37863</v>
      </c>
      <c r="C10188" s="1">
        <v>6.8981541721657297E-2</v>
      </c>
      <c r="D10188" s="1">
        <v>0.175608953258722</v>
      </c>
      <c r="E10188" s="1">
        <v>0.156301596037424</v>
      </c>
      <c r="F10188" s="1">
        <v>8.2055438482736207E-2</v>
      </c>
    </row>
    <row r="10189" spans="1:6" x14ac:dyDescent="0.25">
      <c r="A10189" s="2" t="str">
        <f t="shared" si="359"/>
        <v>42940</v>
      </c>
      <c r="B10189" s="2" t="str">
        <f>"37920"</f>
        <v>37920</v>
      </c>
      <c r="C10189" s="1">
        <v>7.6212428202316099E-4</v>
      </c>
      <c r="D10189" s="1">
        <v>6.5832784726793897E-4</v>
      </c>
      <c r="E10189" s="1">
        <v>0</v>
      </c>
      <c r="F10189" s="1">
        <v>7.2945372021397301E-4</v>
      </c>
    </row>
    <row r="10190" spans="1:6" x14ac:dyDescent="0.25">
      <c r="A10190" s="2" t="str">
        <f t="shared" si="359"/>
        <v>42940</v>
      </c>
      <c r="B10190" s="2" t="str">
        <f>"37738"</f>
        <v>37738</v>
      </c>
      <c r="C10190" s="1">
        <v>0.10277524769039099</v>
      </c>
      <c r="D10190" s="1">
        <v>0.22416063199473299</v>
      </c>
      <c r="E10190" s="1">
        <v>0.15024766097963599</v>
      </c>
      <c r="F10190" s="1">
        <v>0.11612903225806399</v>
      </c>
    </row>
    <row r="10191" spans="1:6" x14ac:dyDescent="0.25">
      <c r="A10191" s="2" t="str">
        <f t="shared" si="359"/>
        <v>42940</v>
      </c>
      <c r="B10191" s="2" t="str">
        <f>"37820"</f>
        <v>37820</v>
      </c>
      <c r="C10191" s="1">
        <v>3.1600275108277401E-4</v>
      </c>
      <c r="D10191" s="1">
        <v>0</v>
      </c>
      <c r="E10191" s="1">
        <v>0</v>
      </c>
      <c r="F10191" s="1">
        <v>2.7557140541416698E-4</v>
      </c>
    </row>
    <row r="10192" spans="1:6" x14ac:dyDescent="0.25">
      <c r="A10192" s="2" t="str">
        <f t="shared" si="359"/>
        <v>42940</v>
      </c>
      <c r="B10192" s="2" t="str">
        <f>"37865"</f>
        <v>37865</v>
      </c>
      <c r="C10192" s="1">
        <v>0.14353960258006901</v>
      </c>
      <c r="D10192" s="1">
        <v>7.1428571428571397E-2</v>
      </c>
      <c r="E10192" s="1">
        <v>0.117226197028068</v>
      </c>
      <c r="F10192" s="1">
        <v>0.135662181877127</v>
      </c>
    </row>
    <row r="10193" spans="1:6" x14ac:dyDescent="0.25">
      <c r="A10193" s="2" t="str">
        <f t="shared" si="359"/>
        <v>42940</v>
      </c>
      <c r="B10193" s="2" t="str">
        <f>"37871"</f>
        <v>37871</v>
      </c>
      <c r="C10193" s="1">
        <v>1.7305797721062499E-2</v>
      </c>
      <c r="D10193" s="1">
        <v>3.12705727452271E-3</v>
      </c>
      <c r="E10193" s="1">
        <v>7.7050082553659803E-3</v>
      </c>
      <c r="F10193" s="1">
        <v>1.5626519695250401E-2</v>
      </c>
    </row>
    <row r="10194" spans="1:6" x14ac:dyDescent="0.25">
      <c r="A10194" s="2" t="str">
        <f t="shared" si="359"/>
        <v>42940</v>
      </c>
      <c r="B10194" s="2" t="str">
        <f>"37864"</f>
        <v>37864</v>
      </c>
      <c r="C10194" s="1">
        <v>3.3291819246426303E-2</v>
      </c>
      <c r="D10194" s="1">
        <v>6.8959842001316607E-2</v>
      </c>
      <c r="E10194" s="1">
        <v>1.10071546505228E-3</v>
      </c>
      <c r="F10194" s="1">
        <v>3.5856702869184597E-2</v>
      </c>
    </row>
    <row r="10195" spans="1:6" x14ac:dyDescent="0.25">
      <c r="A10195" s="2" t="str">
        <f t="shared" si="359"/>
        <v>42940</v>
      </c>
      <c r="B10195" s="2" t="str">
        <f>"37862"</f>
        <v>37862</v>
      </c>
      <c r="C10195" s="1">
        <v>0.21945461642842501</v>
      </c>
      <c r="D10195" s="1">
        <v>0.28176431863067802</v>
      </c>
      <c r="E10195" s="1">
        <v>0.32416070445789702</v>
      </c>
      <c r="F10195" s="1">
        <v>0.228675636245744</v>
      </c>
    </row>
    <row r="10196" spans="1:6" x14ac:dyDescent="0.25">
      <c r="A10196" s="2" t="str">
        <f t="shared" ref="A10196:A10213" si="360">"17380"</f>
        <v>17380</v>
      </c>
      <c r="B10196" s="2" t="str">
        <f>"38781"</f>
        <v>38781</v>
      </c>
      <c r="C10196" s="1">
        <v>0</v>
      </c>
      <c r="D10196" s="1">
        <v>8.5034013605442098E-4</v>
      </c>
      <c r="E10196" s="1">
        <v>0</v>
      </c>
      <c r="F10196" s="1">
        <v>7.1700007170000699E-5</v>
      </c>
    </row>
    <row r="10197" spans="1:6" x14ac:dyDescent="0.25">
      <c r="A10197" s="2" t="str">
        <f t="shared" si="360"/>
        <v>17380</v>
      </c>
      <c r="B10197" s="2" t="str">
        <f>"38772"</f>
        <v>38772</v>
      </c>
      <c r="C10197" s="1">
        <v>7.1896469084518195E-4</v>
      </c>
      <c r="D10197" s="1">
        <v>8.5034013605442098E-4</v>
      </c>
      <c r="E10197" s="1">
        <v>0</v>
      </c>
      <c r="F10197" s="1">
        <v>7.1700007170000702E-4</v>
      </c>
    </row>
    <row r="10198" spans="1:6" x14ac:dyDescent="0.25">
      <c r="A10198" s="2" t="str">
        <f t="shared" si="360"/>
        <v>17380</v>
      </c>
      <c r="B10198" s="2" t="str">
        <f>"38762"</f>
        <v>38762</v>
      </c>
      <c r="C10198" s="1">
        <v>8.7234382489215501E-2</v>
      </c>
      <c r="D10198" s="1">
        <v>2.46598639455782E-2</v>
      </c>
      <c r="E10198" s="1">
        <v>8.6956521739130405E-2</v>
      </c>
      <c r="F10198" s="1">
        <v>8.1953108195310806E-2</v>
      </c>
    </row>
    <row r="10199" spans="1:6" x14ac:dyDescent="0.25">
      <c r="A10199" s="2" t="str">
        <f t="shared" si="360"/>
        <v>17380</v>
      </c>
      <c r="B10199" s="2" t="str">
        <f>"38725"</f>
        <v>38725</v>
      </c>
      <c r="C10199" s="1">
        <v>3.29126058475794E-2</v>
      </c>
      <c r="D10199" s="1">
        <v>8.5034013605442098E-3</v>
      </c>
      <c r="E10199" s="1">
        <v>1.5810276679841799E-2</v>
      </c>
      <c r="F10199" s="1">
        <v>3.0544203054420301E-2</v>
      </c>
    </row>
    <row r="10200" spans="1:6" x14ac:dyDescent="0.25">
      <c r="A10200" s="2" t="str">
        <f t="shared" si="360"/>
        <v>17380</v>
      </c>
      <c r="B10200" s="2" t="str">
        <f>"38774"</f>
        <v>38774</v>
      </c>
      <c r="C10200" s="1">
        <v>2.87585876338073E-2</v>
      </c>
      <c r="D10200" s="1">
        <v>1.1904761904761901E-2</v>
      </c>
      <c r="E10200" s="1">
        <v>3.9525691699604702E-2</v>
      </c>
      <c r="F10200" s="1">
        <v>2.7532802753280201E-2</v>
      </c>
    </row>
    <row r="10201" spans="1:6" x14ac:dyDescent="0.25">
      <c r="A10201" s="2" t="str">
        <f t="shared" si="360"/>
        <v>17380</v>
      </c>
      <c r="B10201" s="2" t="str">
        <f>"38614"</f>
        <v>38614</v>
      </c>
      <c r="C10201" s="1">
        <v>1.3580444160409E-3</v>
      </c>
      <c r="D10201" s="1">
        <v>1.70068027210884E-3</v>
      </c>
      <c r="E10201" s="1">
        <v>0</v>
      </c>
      <c r="F10201" s="1">
        <v>1.36230013623001E-3</v>
      </c>
    </row>
    <row r="10202" spans="1:6" x14ac:dyDescent="0.25">
      <c r="A10202" s="2" t="str">
        <f t="shared" si="360"/>
        <v>17380</v>
      </c>
      <c r="B10202" s="2" t="str">
        <f>"38740"</f>
        <v>38740</v>
      </c>
      <c r="C10202" s="1">
        <v>1.1423550087873401E-2</v>
      </c>
      <c r="D10202" s="1">
        <v>2.5510204081632599E-3</v>
      </c>
      <c r="E10202" s="1">
        <v>0</v>
      </c>
      <c r="F10202" s="1">
        <v>1.04682010468201E-2</v>
      </c>
    </row>
    <row r="10203" spans="1:6" x14ac:dyDescent="0.25">
      <c r="A10203" s="2" t="str">
        <f t="shared" si="360"/>
        <v>17380</v>
      </c>
      <c r="B10203" s="2" t="str">
        <f>"38764"</f>
        <v>38764</v>
      </c>
      <c r="C10203" s="1">
        <v>7.9884965649464697E-5</v>
      </c>
      <c r="D10203" s="1">
        <v>1.70068027210884E-3</v>
      </c>
      <c r="E10203" s="1">
        <v>0</v>
      </c>
      <c r="F10203" s="1">
        <v>2.15100021510002E-4</v>
      </c>
    </row>
    <row r="10204" spans="1:6" x14ac:dyDescent="0.25">
      <c r="A10204" s="2" t="str">
        <f t="shared" si="360"/>
        <v>17380</v>
      </c>
      <c r="B10204" s="2" t="str">
        <f>"38759"</f>
        <v>38759</v>
      </c>
      <c r="C10204" s="1">
        <v>2.3006870107045801E-2</v>
      </c>
      <c r="D10204" s="1">
        <v>7.6530612244897897E-3</v>
      </c>
      <c r="E10204" s="1">
        <v>0</v>
      </c>
      <c r="F10204" s="1">
        <v>2.1294902129490201E-2</v>
      </c>
    </row>
    <row r="10205" spans="1:6" x14ac:dyDescent="0.25">
      <c r="A10205" s="2" t="str">
        <f t="shared" si="360"/>
        <v>17380</v>
      </c>
      <c r="B10205" s="2" t="str">
        <f>"38746"</f>
        <v>38746</v>
      </c>
      <c r="C10205" s="1">
        <v>9.4264259466368405E-3</v>
      </c>
      <c r="D10205" s="1">
        <v>1.70068027210884E-3</v>
      </c>
      <c r="E10205" s="1">
        <v>0</v>
      </c>
      <c r="F10205" s="1">
        <v>8.6040008604000798E-3</v>
      </c>
    </row>
    <row r="10206" spans="1:6" x14ac:dyDescent="0.25">
      <c r="A10206" s="2" t="str">
        <f t="shared" si="360"/>
        <v>17380</v>
      </c>
      <c r="B10206" s="2" t="str">
        <f>"38730"</f>
        <v>38730</v>
      </c>
      <c r="C10206" s="1">
        <v>4.4975235660648601E-2</v>
      </c>
      <c r="D10206" s="1">
        <v>4.5918367346938702E-2</v>
      </c>
      <c r="E10206" s="1">
        <v>7.9051383399209394E-3</v>
      </c>
      <c r="F10206" s="1">
        <v>4.4382304438230401E-2</v>
      </c>
    </row>
    <row r="10207" spans="1:6" x14ac:dyDescent="0.25">
      <c r="A10207" s="2" t="str">
        <f t="shared" si="360"/>
        <v>17380</v>
      </c>
      <c r="B10207" s="2" t="str">
        <f>"38733"</f>
        <v>38733</v>
      </c>
      <c r="C10207" s="1">
        <v>0</v>
      </c>
      <c r="D10207" s="1">
        <v>8.5034013605442098E-4</v>
      </c>
      <c r="E10207" s="1">
        <v>0</v>
      </c>
      <c r="F10207" s="1">
        <v>7.1700007170000699E-5</v>
      </c>
    </row>
    <row r="10208" spans="1:6" x14ac:dyDescent="0.25">
      <c r="A10208" s="2" t="str">
        <f t="shared" si="360"/>
        <v>17380</v>
      </c>
      <c r="B10208" s="2" t="str">
        <f>"38732"</f>
        <v>38732</v>
      </c>
      <c r="C10208" s="1">
        <v>0.645470522447675</v>
      </c>
      <c r="D10208" s="1">
        <v>0.82908163265306101</v>
      </c>
      <c r="E10208" s="1">
        <v>0.79446640316205497</v>
      </c>
      <c r="F10208" s="1">
        <v>0.66365526636552596</v>
      </c>
    </row>
    <row r="10209" spans="1:6" x14ac:dyDescent="0.25">
      <c r="A10209" s="2" t="str">
        <f t="shared" si="360"/>
        <v>17380</v>
      </c>
      <c r="B10209" s="2" t="str">
        <f>"38769"</f>
        <v>38769</v>
      </c>
      <c r="C10209" s="1">
        <v>4.0421792618629097E-2</v>
      </c>
      <c r="D10209" s="1">
        <v>2.04081632653061E-2</v>
      </c>
      <c r="E10209" s="1">
        <v>3.9525691699604702E-2</v>
      </c>
      <c r="F10209" s="1">
        <v>3.8718003871800299E-2</v>
      </c>
    </row>
    <row r="10210" spans="1:6" x14ac:dyDescent="0.25">
      <c r="A10210" s="2" t="str">
        <f t="shared" si="360"/>
        <v>17380</v>
      </c>
      <c r="B10210" s="2" t="str">
        <f>"38726"</f>
        <v>38726</v>
      </c>
      <c r="C10210" s="1">
        <v>7.50918677104968E-3</v>
      </c>
      <c r="D10210" s="1">
        <v>3.40136054421768E-3</v>
      </c>
      <c r="E10210" s="1">
        <v>0</v>
      </c>
      <c r="F10210" s="1">
        <v>7.0266007026600699E-3</v>
      </c>
    </row>
    <row r="10211" spans="1:6" x14ac:dyDescent="0.25">
      <c r="A10211" s="2" t="str">
        <f t="shared" si="360"/>
        <v>17380</v>
      </c>
      <c r="B10211" s="2" t="str">
        <f>"38703"</f>
        <v>38703</v>
      </c>
      <c r="C10211" s="1">
        <v>6.7902220802045004E-3</v>
      </c>
      <c r="D10211" s="1">
        <v>8.5034013605442098E-4</v>
      </c>
      <c r="E10211" s="1">
        <v>0</v>
      </c>
      <c r="F10211" s="1">
        <v>6.1662006166200599E-3</v>
      </c>
    </row>
    <row r="10212" spans="1:6" x14ac:dyDescent="0.25">
      <c r="A10212" s="2" t="str">
        <f t="shared" si="360"/>
        <v>17380</v>
      </c>
      <c r="B10212" s="2" t="str">
        <f>"38773"</f>
        <v>38773</v>
      </c>
      <c r="C10212" s="1">
        <v>5.6798210576769398E-2</v>
      </c>
      <c r="D10212" s="1">
        <v>3.65646258503401E-2</v>
      </c>
      <c r="E10212" s="1">
        <v>1.5810276679841799E-2</v>
      </c>
      <c r="F10212" s="1">
        <v>5.4348605434860503E-2</v>
      </c>
    </row>
    <row r="10213" spans="1:6" x14ac:dyDescent="0.25">
      <c r="A10213" s="2" t="str">
        <f t="shared" si="360"/>
        <v>17380</v>
      </c>
      <c r="B10213" s="2" t="str">
        <f>"38720"</f>
        <v>38720</v>
      </c>
      <c r="C10213" s="1">
        <v>3.1155136603291198E-3</v>
      </c>
      <c r="D10213" s="1">
        <v>8.5034013605442098E-4</v>
      </c>
      <c r="E10213" s="1">
        <v>0</v>
      </c>
      <c r="F10213" s="1">
        <v>2.8680002868000198E-3</v>
      </c>
    </row>
    <row r="10214" spans="1:6" x14ac:dyDescent="0.25">
      <c r="A10214" s="2" t="str">
        <f t="shared" ref="A10214:A10224" si="361">"32620"</f>
        <v>32620</v>
      </c>
      <c r="B10214" s="2" t="str">
        <f>"39666"</f>
        <v>39666</v>
      </c>
      <c r="C10214" s="1">
        <v>0.21419437340153399</v>
      </c>
      <c r="D10214" s="1">
        <v>0.13603531300160501</v>
      </c>
      <c r="E10214" s="1">
        <v>0.106312292358803</v>
      </c>
      <c r="F10214" s="1">
        <v>0.206025092569292</v>
      </c>
    </row>
    <row r="10215" spans="1:6" x14ac:dyDescent="0.25">
      <c r="A10215" s="2" t="str">
        <f t="shared" si="361"/>
        <v>32620</v>
      </c>
      <c r="B10215" s="2" t="str">
        <f>"39657"</f>
        <v>39657</v>
      </c>
      <c r="C10215" s="1">
        <v>4.4717071611253101E-2</v>
      </c>
      <c r="D10215" s="1">
        <v>1.1637239165328999E-2</v>
      </c>
      <c r="E10215" s="1">
        <v>0</v>
      </c>
      <c r="F10215" s="1">
        <v>4.1269727145270801E-2</v>
      </c>
    </row>
    <row r="10216" spans="1:6" x14ac:dyDescent="0.25">
      <c r="A10216" s="2" t="str">
        <f t="shared" si="361"/>
        <v>32620</v>
      </c>
      <c r="B10216" s="2" t="str">
        <f>"39649"</f>
        <v>39649</v>
      </c>
      <c r="C10216" s="1">
        <v>6.9573209718669995E-2</v>
      </c>
      <c r="D10216" s="1">
        <v>0.163723916532905</v>
      </c>
      <c r="E10216" s="1">
        <v>6.6445182724252398E-3</v>
      </c>
      <c r="F10216" s="1">
        <v>7.7326814537872504E-2</v>
      </c>
    </row>
    <row r="10217" spans="1:6" x14ac:dyDescent="0.25">
      <c r="A10217" s="2" t="str">
        <f t="shared" si="361"/>
        <v>32620</v>
      </c>
      <c r="B10217" s="2" t="str">
        <f>"39629"</f>
        <v>39629</v>
      </c>
      <c r="C10217" s="1">
        <v>3.9961636828644498E-5</v>
      </c>
      <c r="D10217" s="1">
        <v>0</v>
      </c>
      <c r="E10217" s="1">
        <v>0</v>
      </c>
      <c r="F10217" s="1">
        <v>3.5949239673580899E-5</v>
      </c>
    </row>
    <row r="10218" spans="1:6" x14ac:dyDescent="0.25">
      <c r="A10218" s="2" t="str">
        <f t="shared" si="361"/>
        <v>32620</v>
      </c>
      <c r="B10218" s="2" t="str">
        <f>"39667"</f>
        <v>39667</v>
      </c>
      <c r="C10218" s="1">
        <v>1.4386189258311999E-2</v>
      </c>
      <c r="D10218" s="1">
        <v>2.00642054574638E-3</v>
      </c>
      <c r="E10218" s="1">
        <v>6.6445182724252398E-3</v>
      </c>
      <c r="F10218" s="1">
        <v>1.31933709602041E-2</v>
      </c>
    </row>
    <row r="10219" spans="1:6" x14ac:dyDescent="0.25">
      <c r="A10219" s="2" t="str">
        <f t="shared" si="361"/>
        <v>32620</v>
      </c>
      <c r="B10219" s="2" t="str">
        <f>"39662"</f>
        <v>39662</v>
      </c>
      <c r="C10219" s="1">
        <v>1.13890664961636E-2</v>
      </c>
      <c r="D10219" s="1">
        <v>2.4077046548956599E-3</v>
      </c>
      <c r="E10219" s="1">
        <v>0</v>
      </c>
      <c r="F10219" s="1">
        <v>1.0461228745012E-2</v>
      </c>
    </row>
    <row r="10220" spans="1:6" x14ac:dyDescent="0.25">
      <c r="A10220" s="2" t="str">
        <f t="shared" si="361"/>
        <v>32620</v>
      </c>
      <c r="B10220" s="2" t="str">
        <f>"39641"</f>
        <v>39641</v>
      </c>
      <c r="C10220" s="1">
        <v>8.9114450127877193E-3</v>
      </c>
      <c r="D10220" s="1">
        <v>0</v>
      </c>
      <c r="E10220" s="1">
        <v>0</v>
      </c>
      <c r="F10220" s="1">
        <v>8.0166804472085393E-3</v>
      </c>
    </row>
    <row r="10221" spans="1:6" x14ac:dyDescent="0.25">
      <c r="A10221" s="2" t="str">
        <f t="shared" si="361"/>
        <v>32620</v>
      </c>
      <c r="B10221" s="2" t="str">
        <f>"39648"</f>
        <v>39648</v>
      </c>
      <c r="C10221" s="1">
        <v>0.47154731457800497</v>
      </c>
      <c r="D10221" s="1">
        <v>0.58587479935794495</v>
      </c>
      <c r="E10221" s="1">
        <v>0.82724252491694295</v>
      </c>
      <c r="F10221" s="1">
        <v>0.485638278750404</v>
      </c>
    </row>
    <row r="10222" spans="1:6" x14ac:dyDescent="0.25">
      <c r="A10222" s="2" t="str">
        <f t="shared" si="361"/>
        <v>32620</v>
      </c>
      <c r="B10222" s="2" t="str">
        <f>"39652"</f>
        <v>39652</v>
      </c>
      <c r="C10222" s="1">
        <v>0.16524136828644501</v>
      </c>
      <c r="D10222" s="1">
        <v>9.7512038523274405E-2</v>
      </c>
      <c r="E10222" s="1">
        <v>5.3156146179401897E-2</v>
      </c>
      <c r="F10222" s="1">
        <v>0.15796095912571401</v>
      </c>
    </row>
    <row r="10223" spans="1:6" x14ac:dyDescent="0.25">
      <c r="A10223" s="2" t="str">
        <f t="shared" si="361"/>
        <v>32620</v>
      </c>
      <c r="B10223" s="2" t="str">
        <f>"39635"</f>
        <v>39635</v>
      </c>
      <c r="C10223" s="1">
        <v>0</v>
      </c>
      <c r="D10223" s="1">
        <v>4.0128410914927698E-4</v>
      </c>
      <c r="E10223" s="1">
        <v>0</v>
      </c>
      <c r="F10223" s="1">
        <v>3.5949239673580899E-5</v>
      </c>
    </row>
    <row r="10224" spans="1:6" x14ac:dyDescent="0.25">
      <c r="A10224" s="2" t="str">
        <f t="shared" si="361"/>
        <v>32620</v>
      </c>
      <c r="B10224" s="2" t="str">
        <f>"39632"</f>
        <v>39632</v>
      </c>
      <c r="C10224" s="1">
        <v>0</v>
      </c>
      <c r="D10224" s="1">
        <v>4.0128410914927698E-4</v>
      </c>
      <c r="E10224" s="1">
        <v>0</v>
      </c>
      <c r="F10224" s="1">
        <v>3.5949239673580899E-5</v>
      </c>
    </row>
    <row r="10225" spans="1:6" x14ac:dyDescent="0.25">
      <c r="A10225" s="2" t="str">
        <f t="shared" ref="A10225:A10259" si="362">"21060"</f>
        <v>21060</v>
      </c>
      <c r="B10225" s="2" t="str">
        <f>"42784"</f>
        <v>42784</v>
      </c>
      <c r="C10225" s="1">
        <v>1.2697779550591599E-2</v>
      </c>
      <c r="D10225" s="1">
        <v>3.6556995679627698E-3</v>
      </c>
      <c r="E10225" s="1">
        <v>8.1016387405634296E-3</v>
      </c>
      <c r="F10225" s="1">
        <v>1.1781811467937499E-2</v>
      </c>
    </row>
    <row r="10226" spans="1:6" x14ac:dyDescent="0.25">
      <c r="A10226" s="2" t="str">
        <f t="shared" si="362"/>
        <v>21060</v>
      </c>
      <c r="B10226" s="2" t="str">
        <f>"40177"</f>
        <v>40177</v>
      </c>
      <c r="C10226" s="1">
        <v>7.4458183752160604E-3</v>
      </c>
      <c r="D10226" s="1">
        <v>9.3054170820870696E-3</v>
      </c>
      <c r="E10226" s="1">
        <v>1.21524581108451E-2</v>
      </c>
      <c r="F10226" s="1">
        <v>7.8699269550767895E-3</v>
      </c>
    </row>
    <row r="10227" spans="1:6" x14ac:dyDescent="0.25">
      <c r="A10227" s="2" t="str">
        <f t="shared" si="362"/>
        <v>21060</v>
      </c>
      <c r="B10227" s="2" t="str">
        <f>"40117"</f>
        <v>40117</v>
      </c>
      <c r="C10227" s="1">
        <v>1.5370296503124501E-2</v>
      </c>
      <c r="D10227" s="1">
        <v>3.9880358923230297E-3</v>
      </c>
      <c r="E10227" s="1">
        <v>1.30730988768182E-2</v>
      </c>
      <c r="F10227" s="1">
        <v>1.44358924058666E-2</v>
      </c>
    </row>
    <row r="10228" spans="1:6" x14ac:dyDescent="0.25">
      <c r="A10228" s="2" t="str">
        <f t="shared" si="362"/>
        <v>21060</v>
      </c>
      <c r="B10228" s="2" t="str">
        <f>"42748"</f>
        <v>42748</v>
      </c>
      <c r="C10228" s="1">
        <v>5.7173248238266097E-2</v>
      </c>
      <c r="D10228" s="1">
        <v>6.3310069790628101E-2</v>
      </c>
      <c r="E10228" s="1">
        <v>1.8781071625851499E-2</v>
      </c>
      <c r="F10228" s="1">
        <v>5.5193344026586898E-2</v>
      </c>
    </row>
    <row r="10229" spans="1:6" x14ac:dyDescent="0.25">
      <c r="A10229" s="2" t="str">
        <f t="shared" si="362"/>
        <v>21060</v>
      </c>
      <c r="B10229" s="2" t="str">
        <f>"40160"</f>
        <v>40160</v>
      </c>
      <c r="C10229" s="1">
        <v>0.149208881797633</v>
      </c>
      <c r="D10229" s="1">
        <v>0.14572947823196999</v>
      </c>
      <c r="E10229" s="1">
        <v>0.200699686982139</v>
      </c>
      <c r="F10229" s="1">
        <v>0.15219423256672701</v>
      </c>
    </row>
    <row r="10230" spans="1:6" x14ac:dyDescent="0.25">
      <c r="A10230" s="2" t="str">
        <f t="shared" si="362"/>
        <v>21060</v>
      </c>
      <c r="B10230" s="2" t="str">
        <f>"42757"</f>
        <v>42757</v>
      </c>
      <c r="C10230" s="1">
        <v>7.5521872091477097E-3</v>
      </c>
      <c r="D10230" s="1">
        <v>4.4865403788633997E-3</v>
      </c>
      <c r="E10230" s="1">
        <v>3.6825630638924601E-3</v>
      </c>
      <c r="F10230" s="1">
        <v>7.0967816383757003E-3</v>
      </c>
    </row>
    <row r="10231" spans="1:6" x14ac:dyDescent="0.25">
      <c r="A10231" s="2" t="str">
        <f t="shared" si="362"/>
        <v>21060</v>
      </c>
      <c r="B10231" s="2" t="str">
        <f>"40150"</f>
        <v>40150</v>
      </c>
      <c r="C10231" s="1">
        <v>5.8502858662411899E-4</v>
      </c>
      <c r="D10231" s="1">
        <v>1.66168162180126E-4</v>
      </c>
      <c r="E10231" s="1">
        <v>0</v>
      </c>
      <c r="F10231" s="1">
        <v>5.1927670524700201E-4</v>
      </c>
    </row>
    <row r="10232" spans="1:6" x14ac:dyDescent="0.25">
      <c r="A10232" s="2" t="str">
        <f t="shared" si="362"/>
        <v>21060</v>
      </c>
      <c r="B10232" s="2" t="str">
        <f>"40121"</f>
        <v>40121</v>
      </c>
      <c r="C10232" s="1">
        <v>9.0333732216460502E-2</v>
      </c>
      <c r="D10232" s="1">
        <v>9.4549684280491805E-2</v>
      </c>
      <c r="E10232" s="1">
        <v>7.9911618486466496E-2</v>
      </c>
      <c r="F10232" s="1">
        <v>8.99733437957973E-2</v>
      </c>
    </row>
    <row r="10233" spans="1:6" x14ac:dyDescent="0.25">
      <c r="A10233" s="2" t="str">
        <f t="shared" si="362"/>
        <v>21060</v>
      </c>
      <c r="B10233" s="2" t="str">
        <f>"42740"</f>
        <v>42740</v>
      </c>
      <c r="C10233" s="1">
        <v>1.1128839250099699E-2</v>
      </c>
      <c r="D10233" s="1">
        <v>4.3203722166832801E-3</v>
      </c>
      <c r="E10233" s="1">
        <v>1.69397900939053E-2</v>
      </c>
      <c r="F10233" s="1">
        <v>1.1020205633575199E-2</v>
      </c>
    </row>
    <row r="10234" spans="1:6" x14ac:dyDescent="0.25">
      <c r="A10234" s="2" t="str">
        <f t="shared" si="362"/>
        <v>21060</v>
      </c>
      <c r="B10234" s="2" t="str">
        <f>"40171"</f>
        <v>40171</v>
      </c>
      <c r="C10234" s="1">
        <v>1.32961042414572E-5</v>
      </c>
      <c r="D10234" s="1">
        <v>0</v>
      </c>
      <c r="E10234" s="1">
        <v>0</v>
      </c>
      <c r="F10234" s="1">
        <v>1.1539482338822201E-5</v>
      </c>
    </row>
    <row r="10235" spans="1:6" x14ac:dyDescent="0.25">
      <c r="A10235" s="2" t="str">
        <f t="shared" si="362"/>
        <v>21060</v>
      </c>
      <c r="B10235" s="2" t="str">
        <f>"40157"</f>
        <v>40157</v>
      </c>
      <c r="C10235" s="1">
        <v>6.0763196383459596E-3</v>
      </c>
      <c r="D10235" s="1">
        <v>2.32635427052176E-3</v>
      </c>
      <c r="E10235" s="1">
        <v>4.7873319830601998E-3</v>
      </c>
      <c r="F10235" s="1">
        <v>5.7351227223946697E-3</v>
      </c>
    </row>
    <row r="10236" spans="1:6" x14ac:dyDescent="0.25">
      <c r="A10236" s="2" t="str">
        <f t="shared" si="362"/>
        <v>21060</v>
      </c>
      <c r="B10236" s="2" t="str">
        <f>"40176"</f>
        <v>40176</v>
      </c>
      <c r="C10236" s="1">
        <v>2.7389974737401898E-3</v>
      </c>
      <c r="D10236" s="1">
        <v>1.66168162180126E-4</v>
      </c>
      <c r="E10236" s="1">
        <v>8.1016387405634296E-3</v>
      </c>
      <c r="F10236" s="1">
        <v>2.8964100670443899E-3</v>
      </c>
    </row>
    <row r="10237" spans="1:6" x14ac:dyDescent="0.25">
      <c r="A10237" s="2" t="str">
        <f t="shared" si="362"/>
        <v>21060</v>
      </c>
      <c r="B10237" s="2" t="str">
        <f>"40140"</f>
        <v>40140</v>
      </c>
      <c r="C10237" s="1">
        <v>2.2603377210477299E-4</v>
      </c>
      <c r="D10237" s="1">
        <v>0</v>
      </c>
      <c r="E10237" s="1">
        <v>3.6825630638924603E-4</v>
      </c>
      <c r="F10237" s="1">
        <v>2.1925016443762301E-4</v>
      </c>
    </row>
    <row r="10238" spans="1:6" x14ac:dyDescent="0.25">
      <c r="A10238" s="2" t="str">
        <f t="shared" si="362"/>
        <v>21060</v>
      </c>
      <c r="B10238" s="2" t="str">
        <f>"40159"</f>
        <v>40159</v>
      </c>
      <c r="C10238" s="1">
        <v>1.00252625980587E-2</v>
      </c>
      <c r="D10238" s="1">
        <v>2.1768029245596499E-2</v>
      </c>
      <c r="E10238" s="1">
        <v>3.6825630638924603E-4</v>
      </c>
      <c r="F10238" s="1">
        <v>1.02355208345353E-2</v>
      </c>
    </row>
    <row r="10239" spans="1:6" x14ac:dyDescent="0.25">
      <c r="A10239" s="2" t="str">
        <f t="shared" si="362"/>
        <v>21060</v>
      </c>
      <c r="B10239" s="2" t="str">
        <f>"42702"</f>
        <v>42702</v>
      </c>
      <c r="C10239" s="1">
        <v>2.0808403137880599E-2</v>
      </c>
      <c r="D10239" s="1">
        <v>7.4443336656696502E-2</v>
      </c>
      <c r="E10239" s="1">
        <v>3.6825630638924603E-4</v>
      </c>
      <c r="F10239" s="1">
        <v>2.3252056912726801E-2</v>
      </c>
    </row>
    <row r="10240" spans="1:6" x14ac:dyDescent="0.25">
      <c r="A10240" s="2" t="str">
        <f t="shared" si="362"/>
        <v>21060</v>
      </c>
      <c r="B10240" s="2" t="str">
        <f>"42732"</f>
        <v>42732</v>
      </c>
      <c r="C10240" s="1">
        <v>1.14612418561361E-2</v>
      </c>
      <c r="D10240" s="1">
        <v>3.3233632436025199E-3</v>
      </c>
      <c r="E10240" s="1">
        <v>9.0222795065365395E-3</v>
      </c>
      <c r="F10240" s="1">
        <v>1.07432580574435E-2</v>
      </c>
    </row>
    <row r="10241" spans="1:6" x14ac:dyDescent="0.25">
      <c r="A10241" s="2" t="str">
        <f t="shared" si="362"/>
        <v>21060</v>
      </c>
      <c r="B10241" s="2" t="str">
        <f>"42776"</f>
        <v>42776</v>
      </c>
      <c r="C10241" s="1">
        <v>1.72184549926871E-2</v>
      </c>
      <c r="D10241" s="1">
        <v>1.1299435028248501E-2</v>
      </c>
      <c r="E10241" s="1">
        <v>6.2603572086171897E-3</v>
      </c>
      <c r="F10241" s="1">
        <v>1.6120656827334701E-2</v>
      </c>
    </row>
    <row r="10242" spans="1:6" x14ac:dyDescent="0.25">
      <c r="A10242" s="2" t="str">
        <f t="shared" si="362"/>
        <v>21060</v>
      </c>
      <c r="B10242" s="2" t="str">
        <f>"40175"</f>
        <v>40175</v>
      </c>
      <c r="C10242" s="1">
        <v>8.3020874883659002E-2</v>
      </c>
      <c r="D10242" s="1">
        <v>2.9910269192422699E-2</v>
      </c>
      <c r="E10242" s="1">
        <v>5.3213036273246098E-2</v>
      </c>
      <c r="F10242" s="1">
        <v>7.7464544940513899E-2</v>
      </c>
    </row>
    <row r="10243" spans="1:6" x14ac:dyDescent="0.25">
      <c r="A10243" s="2" t="str">
        <f t="shared" si="362"/>
        <v>21060</v>
      </c>
      <c r="B10243" s="2" t="str">
        <f>"40052"</f>
        <v>40052</v>
      </c>
      <c r="C10243" s="1">
        <v>1.59553250897487E-4</v>
      </c>
      <c r="D10243" s="1">
        <v>0</v>
      </c>
      <c r="E10243" s="1">
        <v>5.5238445958387004E-4</v>
      </c>
      <c r="F10243" s="1">
        <v>1.7309223508233401E-4</v>
      </c>
    </row>
    <row r="10244" spans="1:6" x14ac:dyDescent="0.25">
      <c r="A10244" s="2" t="str">
        <f t="shared" si="362"/>
        <v>21060</v>
      </c>
      <c r="B10244" s="2" t="str">
        <f>"42718"</f>
        <v>42718</v>
      </c>
      <c r="C10244" s="1">
        <v>1.24983379869698E-3</v>
      </c>
      <c r="D10244" s="1">
        <v>0</v>
      </c>
      <c r="E10244" s="1">
        <v>0</v>
      </c>
      <c r="F10244" s="1">
        <v>1.0847113398492899E-3</v>
      </c>
    </row>
    <row r="10245" spans="1:6" x14ac:dyDescent="0.25">
      <c r="A10245" s="2" t="str">
        <f t="shared" si="362"/>
        <v>21060</v>
      </c>
      <c r="B10245" s="2" t="str">
        <f>"42724"</f>
        <v>42724</v>
      </c>
      <c r="C10245" s="1">
        <v>2.9424278686344899E-2</v>
      </c>
      <c r="D10245" s="1">
        <v>1.14656031904287E-2</v>
      </c>
      <c r="E10245" s="1">
        <v>1.6755661940710698E-2</v>
      </c>
      <c r="F10245" s="1">
        <v>2.73831915900252E-2</v>
      </c>
    </row>
    <row r="10246" spans="1:6" x14ac:dyDescent="0.25">
      <c r="A10246" s="2" t="str">
        <f t="shared" si="362"/>
        <v>21060</v>
      </c>
      <c r="B10246" s="2" t="str">
        <f>"42788"</f>
        <v>42788</v>
      </c>
      <c r="C10246" s="1">
        <v>1.70190134290652E-3</v>
      </c>
      <c r="D10246" s="1">
        <v>0</v>
      </c>
      <c r="E10246" s="1">
        <v>1.8412815319462301E-4</v>
      </c>
      <c r="F10246" s="1">
        <v>1.4885932217080699E-3</v>
      </c>
    </row>
    <row r="10247" spans="1:6" x14ac:dyDescent="0.25">
      <c r="A10247" s="2" t="str">
        <f t="shared" si="362"/>
        <v>21060</v>
      </c>
      <c r="B10247" s="2" t="str">
        <f>"40162"</f>
        <v>40162</v>
      </c>
      <c r="C10247" s="1">
        <v>3.2110091743119198E-2</v>
      </c>
      <c r="D10247" s="1">
        <v>2.9910269192422699E-3</v>
      </c>
      <c r="E10247" s="1">
        <v>1.5835021174737601E-2</v>
      </c>
      <c r="F10247" s="1">
        <v>2.9067956011493298E-2</v>
      </c>
    </row>
    <row r="10248" spans="1:6" x14ac:dyDescent="0.25">
      <c r="A10248" s="2" t="str">
        <f t="shared" si="362"/>
        <v>21060</v>
      </c>
      <c r="B10248" s="2" t="str">
        <f>"40161"</f>
        <v>40161</v>
      </c>
      <c r="C10248" s="1">
        <v>1.14346496476532E-3</v>
      </c>
      <c r="D10248" s="1">
        <v>1.66168162180126E-4</v>
      </c>
      <c r="E10248" s="1">
        <v>1.6571533787516099E-3</v>
      </c>
      <c r="F10248" s="1">
        <v>1.1077903045269299E-3</v>
      </c>
    </row>
    <row r="10249" spans="1:6" x14ac:dyDescent="0.25">
      <c r="A10249" s="2" t="str">
        <f t="shared" si="362"/>
        <v>21060</v>
      </c>
      <c r="B10249" s="2" t="str">
        <f>"40122"</f>
        <v>40122</v>
      </c>
      <c r="C10249" s="1">
        <v>0</v>
      </c>
      <c r="D10249" s="1">
        <v>3.3732136922565603E-2</v>
      </c>
      <c r="E10249" s="1">
        <v>3.6825630638924603E-4</v>
      </c>
      <c r="F10249" s="1">
        <v>2.3655938794585598E-3</v>
      </c>
    </row>
    <row r="10250" spans="1:6" x14ac:dyDescent="0.25">
      <c r="A10250" s="2" t="str">
        <f t="shared" si="362"/>
        <v>21060</v>
      </c>
      <c r="B10250" s="2" t="str">
        <f>"40108"</f>
        <v>40108</v>
      </c>
      <c r="C10250" s="1">
        <v>7.0921420023932896E-2</v>
      </c>
      <c r="D10250" s="1">
        <v>6.9458291791292703E-2</v>
      </c>
      <c r="E10250" s="1">
        <v>7.0336954520346107E-2</v>
      </c>
      <c r="F10250" s="1">
        <v>7.0783184666335805E-2</v>
      </c>
    </row>
    <row r="10251" spans="1:6" x14ac:dyDescent="0.25">
      <c r="A10251" s="2" t="str">
        <f t="shared" si="362"/>
        <v>21060</v>
      </c>
      <c r="B10251" s="2" t="str">
        <f>"40051"</f>
        <v>40051</v>
      </c>
      <c r="C10251" s="1">
        <v>5.1721845499268703E-3</v>
      </c>
      <c r="D10251" s="1">
        <v>1.66168162180126E-4</v>
      </c>
      <c r="E10251" s="1">
        <v>3.49843491069784E-3</v>
      </c>
      <c r="F10251" s="1">
        <v>4.7196482765783096E-3</v>
      </c>
    </row>
    <row r="10252" spans="1:6" x14ac:dyDescent="0.25">
      <c r="A10252" s="2" t="str">
        <f t="shared" si="362"/>
        <v>21060</v>
      </c>
      <c r="B10252" s="2" t="str">
        <f>"42716"</f>
        <v>42716</v>
      </c>
      <c r="C10252" s="1">
        <v>9.2274963435713293E-3</v>
      </c>
      <c r="D10252" s="1">
        <v>2.49252243270189E-3</v>
      </c>
      <c r="E10252" s="1">
        <v>3.3143067575032198E-3</v>
      </c>
      <c r="F10252" s="1">
        <v>8.38920366032379E-3</v>
      </c>
    </row>
    <row r="10253" spans="1:6" x14ac:dyDescent="0.25">
      <c r="A10253" s="2" t="str">
        <f t="shared" si="362"/>
        <v>21060</v>
      </c>
      <c r="B10253" s="2" t="str">
        <f>"42712"</f>
        <v>42712</v>
      </c>
      <c r="C10253" s="1">
        <v>4.4010105039223504E-3</v>
      </c>
      <c r="D10253" s="1">
        <v>1.16317713526088E-3</v>
      </c>
      <c r="E10253" s="1">
        <v>4.9714601362548299E-3</v>
      </c>
      <c r="F10253" s="1">
        <v>4.2119110536701296E-3</v>
      </c>
    </row>
    <row r="10254" spans="1:6" x14ac:dyDescent="0.25">
      <c r="A10254" s="2" t="str">
        <f t="shared" si="362"/>
        <v>21060</v>
      </c>
      <c r="B10254" s="2" t="str">
        <f>"42701"</f>
        <v>42701</v>
      </c>
      <c r="C10254" s="1">
        <v>0.311461241856136</v>
      </c>
      <c r="D10254" s="1">
        <v>0.39597873047524001</v>
      </c>
      <c r="E10254" s="1">
        <v>0.40342478364941903</v>
      </c>
      <c r="F10254" s="1">
        <v>0.32309396600468498</v>
      </c>
    </row>
    <row r="10255" spans="1:6" x14ac:dyDescent="0.25">
      <c r="A10255" s="2" t="str">
        <f t="shared" si="362"/>
        <v>21060</v>
      </c>
      <c r="B10255" s="2" t="str">
        <f>"42764"</f>
        <v>42764</v>
      </c>
      <c r="C10255" s="1">
        <v>1.23653769445552E-3</v>
      </c>
      <c r="D10255" s="1">
        <v>1.66168162180126E-4</v>
      </c>
      <c r="E10255" s="1">
        <v>7.3651261277849303E-4</v>
      </c>
      <c r="F10255" s="1">
        <v>1.1308692692045799E-3</v>
      </c>
    </row>
    <row r="10256" spans="1:6" x14ac:dyDescent="0.25">
      <c r="A10256" s="2" t="str">
        <f t="shared" si="362"/>
        <v>21060</v>
      </c>
      <c r="B10256" s="2" t="str">
        <f>"40155"</f>
        <v>40155</v>
      </c>
      <c r="C10256" s="1">
        <v>8.1372157957718301E-3</v>
      </c>
      <c r="D10256" s="1">
        <v>7.47756729810568E-3</v>
      </c>
      <c r="E10256" s="1">
        <v>1.7860430859878401E-2</v>
      </c>
      <c r="F10256" s="1">
        <v>8.7007696834719896E-3</v>
      </c>
    </row>
    <row r="10257" spans="1:6" x14ac:dyDescent="0.25">
      <c r="A10257" s="2" t="str">
        <f t="shared" si="362"/>
        <v>21060</v>
      </c>
      <c r="B10257" s="2" t="str">
        <f>"40146"</f>
        <v>40146</v>
      </c>
      <c r="C10257" s="1">
        <v>3.7229091876080301E-4</v>
      </c>
      <c r="D10257" s="1">
        <v>0</v>
      </c>
      <c r="E10257" s="1">
        <v>1.28889707236236E-3</v>
      </c>
      <c r="F10257" s="1">
        <v>4.0388188185877901E-4</v>
      </c>
    </row>
    <row r="10258" spans="1:6" x14ac:dyDescent="0.25">
      <c r="A10258" s="2" t="str">
        <f t="shared" si="362"/>
        <v>21060</v>
      </c>
      <c r="B10258" s="2" t="str">
        <f>"40142"</f>
        <v>40142</v>
      </c>
      <c r="C10258" s="1">
        <v>1.25648185081771E-2</v>
      </c>
      <c r="D10258" s="1">
        <v>9.97008973080757E-4</v>
      </c>
      <c r="E10258" s="1">
        <v>9.2064076597311705E-3</v>
      </c>
      <c r="F10258" s="1">
        <v>1.1551021821161101E-2</v>
      </c>
    </row>
    <row r="10259" spans="1:6" x14ac:dyDescent="0.25">
      <c r="A10259" s="2" t="str">
        <f t="shared" si="362"/>
        <v>21060</v>
      </c>
      <c r="B10259" s="2" t="str">
        <f>"40104"</f>
        <v>40104</v>
      </c>
      <c r="C10259" s="1">
        <v>7.6319638345964599E-3</v>
      </c>
      <c r="D10259" s="1">
        <v>9.97008973080757E-4</v>
      </c>
      <c r="E10259" s="1">
        <v>1.4177867795986E-2</v>
      </c>
      <c r="F10259" s="1">
        <v>7.5814398966062299E-3</v>
      </c>
    </row>
    <row r="10260" spans="1:6" x14ac:dyDescent="0.25">
      <c r="A10260" s="2" t="str">
        <f t="shared" ref="A10260:A10268" si="363">"32500"</f>
        <v>32500</v>
      </c>
      <c r="B10260" s="2" t="str">
        <f>"41044"</f>
        <v>41044</v>
      </c>
      <c r="C10260" s="1">
        <v>2.5106041499484099E-2</v>
      </c>
      <c r="D10260" s="1">
        <v>1.0649627263045699E-3</v>
      </c>
      <c r="E10260" s="1">
        <v>0</v>
      </c>
      <c r="F10260" s="1">
        <v>2.21550855991943E-2</v>
      </c>
    </row>
    <row r="10261" spans="1:6" x14ac:dyDescent="0.25">
      <c r="A10261" s="2" t="str">
        <f t="shared" si="363"/>
        <v>32500</v>
      </c>
      <c r="B10261" s="2" t="str">
        <f>"41034"</f>
        <v>41034</v>
      </c>
      <c r="C10261" s="1">
        <v>4.8263212197638398E-2</v>
      </c>
      <c r="D10261" s="1">
        <v>8.5197018104366303E-3</v>
      </c>
      <c r="E10261" s="1">
        <v>7.4626865671641703E-3</v>
      </c>
      <c r="F10261" s="1">
        <v>4.3403826787512499E-2</v>
      </c>
    </row>
    <row r="10262" spans="1:6" x14ac:dyDescent="0.25">
      <c r="A10262" s="2" t="str">
        <f t="shared" si="363"/>
        <v>32500</v>
      </c>
      <c r="B10262" s="2" t="str">
        <f>"41055"</f>
        <v>41055</v>
      </c>
      <c r="C10262" s="1">
        <v>9.3660437922733E-2</v>
      </c>
      <c r="D10262" s="1">
        <v>2.6624068157614401E-2</v>
      </c>
      <c r="E10262" s="1">
        <v>1.11940298507462E-2</v>
      </c>
      <c r="F10262" s="1">
        <v>8.5095669687814707E-2</v>
      </c>
    </row>
    <row r="10263" spans="1:6" x14ac:dyDescent="0.25">
      <c r="A10263" s="2" t="str">
        <f t="shared" si="363"/>
        <v>32500</v>
      </c>
      <c r="B10263" s="2" t="str">
        <f>"41062"</f>
        <v>41062</v>
      </c>
      <c r="C10263" s="1">
        <v>0</v>
      </c>
      <c r="D10263" s="1">
        <v>0</v>
      </c>
      <c r="E10263" s="1">
        <v>3.7313432835820799E-3</v>
      </c>
      <c r="F10263" s="1">
        <v>1.0070493454179201E-4</v>
      </c>
    </row>
    <row r="10264" spans="1:6" x14ac:dyDescent="0.25">
      <c r="A10264" s="2" t="str">
        <f t="shared" si="363"/>
        <v>32500</v>
      </c>
      <c r="B10264" s="2" t="str">
        <f>"41096"</f>
        <v>41096</v>
      </c>
      <c r="C10264" s="1">
        <v>0</v>
      </c>
      <c r="D10264" s="1">
        <v>0</v>
      </c>
      <c r="E10264" s="1">
        <v>3.7313432835820799E-3</v>
      </c>
      <c r="F10264" s="1">
        <v>1.0070493454179201E-4</v>
      </c>
    </row>
    <row r="10265" spans="1:6" x14ac:dyDescent="0.25">
      <c r="A10265" s="2" t="str">
        <f t="shared" si="363"/>
        <v>32500</v>
      </c>
      <c r="B10265" s="2" t="str">
        <f>"41041"</f>
        <v>41041</v>
      </c>
      <c r="C10265" s="1">
        <v>2.2927891780350699E-4</v>
      </c>
      <c r="D10265" s="1">
        <v>0</v>
      </c>
      <c r="E10265" s="1">
        <v>0</v>
      </c>
      <c r="F10265" s="1">
        <v>2.0140986908358499E-4</v>
      </c>
    </row>
    <row r="10266" spans="1:6" x14ac:dyDescent="0.25">
      <c r="A10266" s="2" t="str">
        <f t="shared" si="363"/>
        <v>32500</v>
      </c>
      <c r="B10266" s="2" t="str">
        <f>"41039"</f>
        <v>41039</v>
      </c>
      <c r="C10266" s="1">
        <v>1.1463945890175301E-3</v>
      </c>
      <c r="D10266" s="1">
        <v>0</v>
      </c>
      <c r="E10266" s="1">
        <v>0</v>
      </c>
      <c r="F10266" s="1">
        <v>1.0070493454179201E-3</v>
      </c>
    </row>
    <row r="10267" spans="1:6" x14ac:dyDescent="0.25">
      <c r="A10267" s="2" t="str">
        <f t="shared" si="363"/>
        <v>32500</v>
      </c>
      <c r="B10267" s="2" t="str">
        <f>"41056"</f>
        <v>41056</v>
      </c>
      <c r="C10267" s="1">
        <v>0.82987504298979697</v>
      </c>
      <c r="D10267" s="1">
        <v>0.96379126730564402</v>
      </c>
      <c r="E10267" s="1">
        <v>0.97388059701492502</v>
      </c>
      <c r="F10267" s="1">
        <v>0.846424974823766</v>
      </c>
    </row>
    <row r="10268" spans="1:6" x14ac:dyDescent="0.25">
      <c r="A10268" s="2" t="str">
        <f t="shared" si="363"/>
        <v>32500</v>
      </c>
      <c r="B10268" s="2" t="str">
        <f>"41002"</f>
        <v>41002</v>
      </c>
      <c r="C10268" s="1">
        <v>1.7195918835263E-3</v>
      </c>
      <c r="D10268" s="1">
        <v>0</v>
      </c>
      <c r="E10268" s="1">
        <v>0</v>
      </c>
      <c r="F10268" s="1">
        <v>1.51057401812688E-3</v>
      </c>
    </row>
    <row r="10269" spans="1:6" x14ac:dyDescent="0.25">
      <c r="A10269" s="2" t="str">
        <f t="shared" ref="A10269:A10298" si="364">"37140"</f>
        <v>37140</v>
      </c>
      <c r="B10269" s="2" t="str">
        <f>"62953"</f>
        <v>62953</v>
      </c>
      <c r="C10269" s="1">
        <v>0</v>
      </c>
      <c r="D10269" s="1">
        <v>0</v>
      </c>
      <c r="E10269" s="1">
        <v>6.1162079510703295E-4</v>
      </c>
      <c r="F10269" s="1">
        <v>1.6737522177216799E-5</v>
      </c>
    </row>
    <row r="10270" spans="1:6" x14ac:dyDescent="0.25">
      <c r="A10270" s="2" t="str">
        <f t="shared" si="364"/>
        <v>37140</v>
      </c>
      <c r="B10270" s="2" t="str">
        <f>"62943"</f>
        <v>62943</v>
      </c>
      <c r="C10270" s="1">
        <v>1.42688634374643E-3</v>
      </c>
      <c r="D10270" s="1">
        <v>1.80212650928095E-4</v>
      </c>
      <c r="E10270" s="1">
        <v>0</v>
      </c>
      <c r="F10270" s="1">
        <v>1.2720516854684799E-3</v>
      </c>
    </row>
    <row r="10271" spans="1:6" x14ac:dyDescent="0.25">
      <c r="A10271" s="2" t="str">
        <f t="shared" si="364"/>
        <v>37140</v>
      </c>
      <c r="B10271" s="2" t="str">
        <f>"42087"</f>
        <v>42087</v>
      </c>
      <c r="C10271" s="1">
        <v>2.1555496366196102E-2</v>
      </c>
      <c r="D10271" s="1">
        <v>6.6678680843395201E-3</v>
      </c>
      <c r="E10271" s="1">
        <v>6.1162079510703304E-3</v>
      </c>
      <c r="F10271" s="1">
        <v>1.9750276169115899E-2</v>
      </c>
    </row>
    <row r="10272" spans="1:6" x14ac:dyDescent="0.25">
      <c r="A10272" s="2" t="str">
        <f t="shared" si="364"/>
        <v>37140</v>
      </c>
      <c r="B10272" s="2" t="str">
        <f>"42078"</f>
        <v>42078</v>
      </c>
      <c r="C10272" s="1">
        <v>1.54484228149613E-2</v>
      </c>
      <c r="D10272" s="1">
        <v>9.0106325464047506E-3</v>
      </c>
      <c r="E10272" s="1">
        <v>3.6697247706421999E-3</v>
      </c>
      <c r="F10272" s="1">
        <v>1.45281692498242E-2</v>
      </c>
    </row>
    <row r="10273" spans="1:6" x14ac:dyDescent="0.25">
      <c r="A10273" s="2" t="str">
        <f t="shared" si="364"/>
        <v>37140</v>
      </c>
      <c r="B10273" s="2" t="str">
        <f>"42045"</f>
        <v>42045</v>
      </c>
      <c r="C10273" s="1">
        <v>2.4770746927438001E-2</v>
      </c>
      <c r="D10273" s="1">
        <v>1.73004144890971E-2</v>
      </c>
      <c r="E10273" s="1">
        <v>3.6697247706421999E-3</v>
      </c>
      <c r="F10273" s="1">
        <v>2.3499481136812501E-2</v>
      </c>
    </row>
    <row r="10274" spans="1:6" x14ac:dyDescent="0.25">
      <c r="A10274" s="2" t="str">
        <f t="shared" si="364"/>
        <v>37140</v>
      </c>
      <c r="B10274" s="2" t="str">
        <f>"42028"</f>
        <v>42028</v>
      </c>
      <c r="C10274" s="1">
        <v>5.7836459799855402E-3</v>
      </c>
      <c r="D10274" s="1">
        <v>1.44170120742476E-3</v>
      </c>
      <c r="E10274" s="1">
        <v>1.8348623853210999E-3</v>
      </c>
      <c r="F10274" s="1">
        <v>5.2723194858233097E-3</v>
      </c>
    </row>
    <row r="10275" spans="1:6" x14ac:dyDescent="0.25">
      <c r="A10275" s="2" t="str">
        <f t="shared" si="364"/>
        <v>37140</v>
      </c>
      <c r="B10275" s="2" t="str">
        <f>"42086"</f>
        <v>42086</v>
      </c>
      <c r="C10275" s="1">
        <v>3.8297629466154198E-2</v>
      </c>
      <c r="D10275" s="1">
        <v>1.1533609659398E-2</v>
      </c>
      <c r="E10275" s="1">
        <v>9.7859327217125307E-3</v>
      </c>
      <c r="F10275" s="1">
        <v>3.5031633916914898E-2</v>
      </c>
    </row>
    <row r="10276" spans="1:6" x14ac:dyDescent="0.25">
      <c r="A10276" s="2" t="str">
        <f t="shared" si="364"/>
        <v>37140</v>
      </c>
      <c r="B10276" s="2" t="str">
        <f>"42027"</f>
        <v>42027</v>
      </c>
      <c r="C10276" s="1">
        <v>6.7158783912332097E-3</v>
      </c>
      <c r="D10276" s="1">
        <v>3.6042530185618998E-3</v>
      </c>
      <c r="E10276" s="1">
        <v>0</v>
      </c>
      <c r="F10276" s="1">
        <v>6.24309577210189E-3</v>
      </c>
    </row>
    <row r="10277" spans="1:6" x14ac:dyDescent="0.25">
      <c r="A10277" s="2" t="str">
        <f t="shared" si="364"/>
        <v>37140</v>
      </c>
      <c r="B10277" s="2" t="str">
        <f>"62960"</f>
        <v>62960</v>
      </c>
      <c r="C10277" s="1">
        <v>0.111525436627221</v>
      </c>
      <c r="D10277" s="1">
        <v>9.4431429086321794E-2</v>
      </c>
      <c r="E10277" s="1">
        <v>6.1773700305810302E-2</v>
      </c>
      <c r="F10277" s="1">
        <v>0.108576306363605</v>
      </c>
    </row>
    <row r="10278" spans="1:6" x14ac:dyDescent="0.25">
      <c r="A10278" s="2" t="str">
        <f t="shared" si="364"/>
        <v>37140</v>
      </c>
      <c r="B10278" s="2" t="str">
        <f>"42083"</f>
        <v>42083</v>
      </c>
      <c r="C10278" s="1">
        <v>4.1855332749895302E-3</v>
      </c>
      <c r="D10278" s="1">
        <v>5.4063795278428502E-4</v>
      </c>
      <c r="E10278" s="1">
        <v>6.1162079510703295E-4</v>
      </c>
      <c r="F10278" s="1">
        <v>3.7492049676965799E-3</v>
      </c>
    </row>
    <row r="10279" spans="1:6" x14ac:dyDescent="0.25">
      <c r="A10279" s="2" t="str">
        <f t="shared" si="364"/>
        <v>37140</v>
      </c>
      <c r="B10279" s="2" t="str">
        <f>"42081"</f>
        <v>42081</v>
      </c>
      <c r="C10279" s="1">
        <v>2.16125718199459E-2</v>
      </c>
      <c r="D10279" s="1">
        <v>2.34276446206523E-3</v>
      </c>
      <c r="E10279" s="1">
        <v>1.0397553516819501E-2</v>
      </c>
      <c r="F10279" s="1">
        <v>1.9515950858634799E-2</v>
      </c>
    </row>
    <row r="10280" spans="1:6" x14ac:dyDescent="0.25">
      <c r="A10280" s="2" t="str">
        <f t="shared" si="364"/>
        <v>37140</v>
      </c>
      <c r="B10280" s="2" t="str">
        <f>"42053"</f>
        <v>42053</v>
      </c>
      <c r="C10280" s="1">
        <v>4.8038506906129902E-2</v>
      </c>
      <c r="D10280" s="1">
        <v>1.6579563885384702E-2</v>
      </c>
      <c r="E10280" s="1">
        <v>1.28440366972477E-2</v>
      </c>
      <c r="F10280" s="1">
        <v>4.4153583503498101E-2</v>
      </c>
    </row>
    <row r="10281" spans="1:6" x14ac:dyDescent="0.25">
      <c r="A10281" s="2" t="str">
        <f t="shared" si="364"/>
        <v>37140</v>
      </c>
      <c r="B10281" s="2" t="str">
        <f>"62956"</f>
        <v>62956</v>
      </c>
      <c r="C10281" s="1">
        <v>3.0440241999923801E-3</v>
      </c>
      <c r="D10281" s="1">
        <v>3.6042530185618999E-4</v>
      </c>
      <c r="E10281" s="1">
        <v>0</v>
      </c>
      <c r="F10281" s="1">
        <v>2.7114785927091298E-3</v>
      </c>
    </row>
    <row r="10282" spans="1:6" x14ac:dyDescent="0.25">
      <c r="A10282" s="2" t="str">
        <f t="shared" si="364"/>
        <v>37140</v>
      </c>
      <c r="B10282" s="2" t="str">
        <f>"42029"</f>
        <v>42029</v>
      </c>
      <c r="C10282" s="1">
        <v>1.14150907499714E-4</v>
      </c>
      <c r="D10282" s="1">
        <v>0</v>
      </c>
      <c r="E10282" s="1">
        <v>0</v>
      </c>
      <c r="F10282" s="1">
        <v>1.0042513306330099E-4</v>
      </c>
    </row>
    <row r="10283" spans="1:6" x14ac:dyDescent="0.25">
      <c r="A10283" s="2" t="str">
        <f t="shared" si="364"/>
        <v>37140</v>
      </c>
      <c r="B10283" s="2" t="str">
        <f>"42024"</f>
        <v>42024</v>
      </c>
      <c r="C10283" s="1">
        <v>1.3184429816216999E-2</v>
      </c>
      <c r="D10283" s="1">
        <v>2.70318976392142E-3</v>
      </c>
      <c r="E10283" s="1">
        <v>6.7278287461773698E-3</v>
      </c>
      <c r="F10283" s="1">
        <v>1.20342784454189E-2</v>
      </c>
    </row>
    <row r="10284" spans="1:6" x14ac:dyDescent="0.25">
      <c r="A10284" s="2" t="str">
        <f t="shared" si="364"/>
        <v>37140</v>
      </c>
      <c r="B10284" s="2" t="str">
        <f>"62941"</f>
        <v>62941</v>
      </c>
      <c r="C10284" s="1">
        <v>2.1878923937445299E-3</v>
      </c>
      <c r="D10284" s="1">
        <v>5.4063795278428502E-4</v>
      </c>
      <c r="E10284" s="1">
        <v>0</v>
      </c>
      <c r="F10284" s="1">
        <v>1.9750276169115898E-3</v>
      </c>
    </row>
    <row r="10285" spans="1:6" x14ac:dyDescent="0.25">
      <c r="A10285" s="2" t="str">
        <f t="shared" si="364"/>
        <v>37140</v>
      </c>
      <c r="B10285" s="2" t="str">
        <f>"42082"</f>
        <v>42082</v>
      </c>
      <c r="C10285" s="1">
        <v>7.9905635249800195E-4</v>
      </c>
      <c r="D10285" s="1">
        <v>1.80212650928095E-4</v>
      </c>
      <c r="E10285" s="1">
        <v>0</v>
      </c>
      <c r="F10285" s="1">
        <v>7.1971345362032595E-4</v>
      </c>
    </row>
    <row r="10286" spans="1:6" x14ac:dyDescent="0.25">
      <c r="A10286" s="2" t="str">
        <f t="shared" si="364"/>
        <v>37140</v>
      </c>
      <c r="B10286" s="2" t="str">
        <f>"42056"</f>
        <v>42056</v>
      </c>
      <c r="C10286" s="1">
        <v>1.14911913549712E-2</v>
      </c>
      <c r="D10286" s="1">
        <v>3.0636150657776099E-3</v>
      </c>
      <c r="E10286" s="1">
        <v>7.9510703363914297E-3</v>
      </c>
      <c r="F10286" s="1">
        <v>1.06115890603555E-2</v>
      </c>
    </row>
    <row r="10287" spans="1:6" x14ac:dyDescent="0.25">
      <c r="A10287" s="2" t="str">
        <f t="shared" si="364"/>
        <v>37140</v>
      </c>
      <c r="B10287" s="2" t="str">
        <f>"42003"</f>
        <v>42003</v>
      </c>
      <c r="C10287" s="1">
        <v>0.27753890643430601</v>
      </c>
      <c r="D10287" s="1">
        <v>0.28527662641917401</v>
      </c>
      <c r="E10287" s="1">
        <v>0.46177370030581</v>
      </c>
      <c r="F10287" s="1">
        <v>0.28329930037157203</v>
      </c>
    </row>
    <row r="10288" spans="1:6" x14ac:dyDescent="0.25">
      <c r="A10288" s="2" t="str">
        <f t="shared" si="364"/>
        <v>37140</v>
      </c>
      <c r="B10288" s="2" t="str">
        <f>"62938"</f>
        <v>62938</v>
      </c>
      <c r="C10288" s="1">
        <v>4.1855332749895298E-4</v>
      </c>
      <c r="D10288" s="1">
        <v>1.80212650928095E-4</v>
      </c>
      <c r="E10288" s="1">
        <v>0</v>
      </c>
      <c r="F10288" s="1">
        <v>3.84963010075988E-4</v>
      </c>
    </row>
    <row r="10289" spans="1:6" x14ac:dyDescent="0.25">
      <c r="A10289" s="2" t="str">
        <f t="shared" si="364"/>
        <v>37140</v>
      </c>
      <c r="B10289" s="2" t="str">
        <f>"42060"</f>
        <v>42060</v>
      </c>
      <c r="C10289" s="1">
        <v>0</v>
      </c>
      <c r="D10289" s="1">
        <v>0</v>
      </c>
      <c r="E10289" s="1">
        <v>6.1162079510703295E-4</v>
      </c>
      <c r="F10289" s="1">
        <v>1.6737522177216799E-5</v>
      </c>
    </row>
    <row r="10290" spans="1:6" x14ac:dyDescent="0.25">
      <c r="A10290" s="2" t="str">
        <f t="shared" si="364"/>
        <v>37140</v>
      </c>
      <c r="B10290" s="2" t="str">
        <f>"42069"</f>
        <v>42069</v>
      </c>
      <c r="C10290" s="1">
        <v>2.3591187549941001E-3</v>
      </c>
      <c r="D10290" s="1">
        <v>0</v>
      </c>
      <c r="E10290" s="1">
        <v>1.22324159021406E-3</v>
      </c>
      <c r="F10290" s="1">
        <v>2.1089277943293198E-3</v>
      </c>
    </row>
    <row r="10291" spans="1:6" x14ac:dyDescent="0.25">
      <c r="A10291" s="2" t="str">
        <f t="shared" si="364"/>
        <v>37140</v>
      </c>
      <c r="B10291" s="2" t="str">
        <f>"42022"</f>
        <v>42022</v>
      </c>
      <c r="C10291" s="1">
        <v>0</v>
      </c>
      <c r="D10291" s="1">
        <v>0</v>
      </c>
      <c r="E10291" s="1">
        <v>6.1162079510703295E-4</v>
      </c>
      <c r="F10291" s="1">
        <v>1.6737522177216799E-5</v>
      </c>
    </row>
    <row r="10292" spans="1:6" x14ac:dyDescent="0.25">
      <c r="A10292" s="2" t="str">
        <f t="shared" si="364"/>
        <v>37140</v>
      </c>
      <c r="B10292" s="2" t="str">
        <f>"42064"</f>
        <v>42064</v>
      </c>
      <c r="C10292" s="1">
        <v>9.5125756249762094E-5</v>
      </c>
      <c r="D10292" s="1">
        <v>1.80212650928095E-4</v>
      </c>
      <c r="E10292" s="1">
        <v>6.1162079510703295E-4</v>
      </c>
      <c r="F10292" s="1">
        <v>1.17162655240518E-4</v>
      </c>
    </row>
    <row r="10293" spans="1:6" x14ac:dyDescent="0.25">
      <c r="A10293" s="2" t="str">
        <f t="shared" si="364"/>
        <v>37140</v>
      </c>
      <c r="B10293" s="2" t="str">
        <f>"42058"</f>
        <v>42058</v>
      </c>
      <c r="C10293" s="1">
        <v>2.01476351736996E-2</v>
      </c>
      <c r="D10293" s="1">
        <v>7.56893133897999E-3</v>
      </c>
      <c r="E10293" s="1">
        <v>4.8929663608562601E-3</v>
      </c>
      <c r="F10293" s="1">
        <v>1.8561912094533499E-2</v>
      </c>
    </row>
    <row r="10294" spans="1:6" x14ac:dyDescent="0.25">
      <c r="A10294" s="2" t="str">
        <f t="shared" si="364"/>
        <v>37140</v>
      </c>
      <c r="B10294" s="2" t="str">
        <f>"62908"</f>
        <v>62908</v>
      </c>
      <c r="C10294" s="1">
        <v>2.56839541874357E-3</v>
      </c>
      <c r="D10294" s="1">
        <v>1.62191385835285E-3</v>
      </c>
      <c r="E10294" s="1">
        <v>0</v>
      </c>
      <c r="F10294" s="1">
        <v>2.4102031935192298E-3</v>
      </c>
    </row>
    <row r="10295" spans="1:6" x14ac:dyDescent="0.25">
      <c r="A10295" s="2" t="str">
        <f t="shared" si="364"/>
        <v>37140</v>
      </c>
      <c r="B10295" s="2" t="str">
        <f>"62910"</f>
        <v>62910</v>
      </c>
      <c r="C10295" s="1">
        <v>2.6159582968684598E-2</v>
      </c>
      <c r="D10295" s="1">
        <v>9.5512704991890397E-3</v>
      </c>
      <c r="E10295" s="1">
        <v>6.1162079510703304E-3</v>
      </c>
      <c r="F10295" s="1">
        <v>2.4068556890837801E-2</v>
      </c>
    </row>
    <row r="10296" spans="1:6" x14ac:dyDescent="0.25">
      <c r="A10296" s="2" t="str">
        <f t="shared" si="364"/>
        <v>37140</v>
      </c>
      <c r="B10296" s="2" t="str">
        <f>"42047"</f>
        <v>42047</v>
      </c>
      <c r="C10296" s="1">
        <v>1.94056542749514E-3</v>
      </c>
      <c r="D10296" s="1">
        <v>0</v>
      </c>
      <c r="E10296" s="1">
        <v>6.1162079510703295E-4</v>
      </c>
      <c r="F10296" s="1">
        <v>1.72396478425333E-3</v>
      </c>
    </row>
    <row r="10297" spans="1:6" x14ac:dyDescent="0.25">
      <c r="A10297" s="2" t="str">
        <f t="shared" si="364"/>
        <v>37140</v>
      </c>
      <c r="B10297" s="2" t="str">
        <f>"42002"</f>
        <v>42002</v>
      </c>
      <c r="C10297" s="1">
        <v>5.0055172938624798E-2</v>
      </c>
      <c r="D10297" s="1">
        <v>0.17967201297530999</v>
      </c>
      <c r="E10297" s="1">
        <v>1.22324159021406E-3</v>
      </c>
      <c r="F10297" s="1">
        <v>6.0757205503297197E-2</v>
      </c>
    </row>
    <row r="10298" spans="1:6" x14ac:dyDescent="0.25">
      <c r="A10298" s="2" t="str">
        <f t="shared" si="364"/>
        <v>37140</v>
      </c>
      <c r="B10298" s="2" t="str">
        <f>"42001"</f>
        <v>42001</v>
      </c>
      <c r="C10298" s="1">
        <v>0.28853544385677798</v>
      </c>
      <c r="D10298" s="1">
        <v>0.34546765182915801</v>
      </c>
      <c r="E10298" s="1">
        <v>0.39633027522935699</v>
      </c>
      <c r="F10298" s="1">
        <v>0.29677300572423199</v>
      </c>
    </row>
    <row r="10299" spans="1:6" x14ac:dyDescent="0.25">
      <c r="A10299" s="2" t="str">
        <f t="shared" ref="A10299:A10330" si="365">"21780"</f>
        <v>21780</v>
      </c>
      <c r="B10299" s="2" t="str">
        <f>"47618"</f>
        <v>47618</v>
      </c>
      <c r="C10299" s="1">
        <v>0</v>
      </c>
      <c r="D10299" s="1">
        <v>0</v>
      </c>
      <c r="E10299" s="1">
        <v>1.8086453246518301E-4</v>
      </c>
      <c r="F10299" s="1">
        <v>5.7356222289775103E-6</v>
      </c>
    </row>
    <row r="10300" spans="1:6" x14ac:dyDescent="0.25">
      <c r="A10300" s="2" t="str">
        <f t="shared" si="365"/>
        <v>21780</v>
      </c>
      <c r="B10300" s="2" t="str">
        <f>"47633"</f>
        <v>47633</v>
      </c>
      <c r="C10300" s="1">
        <v>6.0247626855086797E-3</v>
      </c>
      <c r="D10300" s="1">
        <v>1.9178625752264999E-3</v>
      </c>
      <c r="E10300" s="1">
        <v>1.9895098571170102E-3</v>
      </c>
      <c r="F10300" s="1">
        <v>5.5406110731922699E-3</v>
      </c>
    </row>
    <row r="10301" spans="1:6" x14ac:dyDescent="0.25">
      <c r="A10301" s="2" t="str">
        <f t="shared" si="365"/>
        <v>21780</v>
      </c>
      <c r="B10301" s="2" t="str">
        <f>"47610"</f>
        <v>47610</v>
      </c>
      <c r="C10301" s="1">
        <v>1.95837318395044E-2</v>
      </c>
      <c r="D10301" s="1">
        <v>1.2565306527346E-2</v>
      </c>
      <c r="E10301" s="1">
        <v>1.0490142882980599E-2</v>
      </c>
      <c r="F10301" s="1">
        <v>1.8686657222008698E-2</v>
      </c>
    </row>
    <row r="10302" spans="1:6" x14ac:dyDescent="0.25">
      <c r="A10302" s="2" t="str">
        <f t="shared" si="365"/>
        <v>21780</v>
      </c>
      <c r="B10302" s="2" t="str">
        <f>"47705"</f>
        <v>47705</v>
      </c>
      <c r="C10302" s="1">
        <v>5.5302897221192002E-4</v>
      </c>
      <c r="D10302" s="1">
        <v>9.9199788373784798E-4</v>
      </c>
      <c r="E10302" s="1">
        <v>3.61729064930367E-4</v>
      </c>
      <c r="F10302" s="1">
        <v>5.85033467355706E-4</v>
      </c>
    </row>
    <row r="10303" spans="1:6" x14ac:dyDescent="0.25">
      <c r="A10303" s="2" t="str">
        <f t="shared" si="365"/>
        <v>21780</v>
      </c>
      <c r="B10303" s="2" t="str">
        <f>"47711"</f>
        <v>47711</v>
      </c>
      <c r="C10303" s="1">
        <v>9.4158062186481303E-2</v>
      </c>
      <c r="D10303" s="1">
        <v>8.9279809536406296E-2</v>
      </c>
      <c r="E10303" s="1">
        <v>8.51871947911014E-2</v>
      </c>
      <c r="F10303" s="1">
        <v>9.3450492976730498E-2</v>
      </c>
    </row>
    <row r="10304" spans="1:6" x14ac:dyDescent="0.25">
      <c r="A10304" s="2" t="str">
        <f t="shared" si="365"/>
        <v>21780</v>
      </c>
      <c r="B10304" s="2" t="str">
        <f>"42457"</f>
        <v>42457</v>
      </c>
      <c r="C10304" s="1">
        <v>0</v>
      </c>
      <c r="D10304" s="1">
        <v>0</v>
      </c>
      <c r="E10304" s="1">
        <v>1.8086453246518301E-4</v>
      </c>
      <c r="F10304" s="1">
        <v>5.7356222289775103E-6</v>
      </c>
    </row>
    <row r="10305" spans="1:6" x14ac:dyDescent="0.25">
      <c r="A10305" s="2" t="str">
        <f t="shared" si="365"/>
        <v>21780</v>
      </c>
      <c r="B10305" s="2" t="str">
        <f>"42452"</f>
        <v>42452</v>
      </c>
      <c r="C10305" s="1">
        <v>6.2134431583809897E-3</v>
      </c>
      <c r="D10305" s="1">
        <v>1.5871966139805499E-3</v>
      </c>
      <c r="E10305" s="1">
        <v>9.0432266232591703E-4</v>
      </c>
      <c r="F10305" s="1">
        <v>5.6438522733138702E-3</v>
      </c>
    </row>
    <row r="10306" spans="1:6" x14ac:dyDescent="0.25">
      <c r="A10306" s="2" t="str">
        <f t="shared" si="365"/>
        <v>21780</v>
      </c>
      <c r="B10306" s="2" t="str">
        <f>"42419"</f>
        <v>42419</v>
      </c>
      <c r="C10306" s="1">
        <v>5.9597004534837498E-3</v>
      </c>
      <c r="D10306" s="1">
        <v>2.6783942860921801E-2</v>
      </c>
      <c r="E10306" s="1">
        <v>3.61729064930367E-4</v>
      </c>
      <c r="F10306" s="1">
        <v>7.5882282089372397E-3</v>
      </c>
    </row>
    <row r="10307" spans="1:6" x14ac:dyDescent="0.25">
      <c r="A10307" s="2" t="str">
        <f t="shared" si="365"/>
        <v>21780</v>
      </c>
      <c r="B10307" s="2" t="str">
        <f>"42420"</f>
        <v>42420</v>
      </c>
      <c r="C10307" s="1">
        <v>0.119063884605625</v>
      </c>
      <c r="D10307" s="1">
        <v>0.110111765094901</v>
      </c>
      <c r="E10307" s="1">
        <v>0.18122626153011301</v>
      </c>
      <c r="F10307" s="1">
        <v>0.12025879127497099</v>
      </c>
    </row>
    <row r="10308" spans="1:6" x14ac:dyDescent="0.25">
      <c r="A10308" s="2" t="str">
        <f t="shared" si="365"/>
        <v>21780</v>
      </c>
      <c r="B10308" s="2" t="str">
        <f>"42301"</f>
        <v>42301</v>
      </c>
      <c r="C10308" s="1">
        <v>2.0819914247978099E-4</v>
      </c>
      <c r="D10308" s="1">
        <v>1.3226638449837899E-4</v>
      </c>
      <c r="E10308" s="1">
        <v>0</v>
      </c>
      <c r="F10308" s="1">
        <v>1.9501115578523501E-4</v>
      </c>
    </row>
    <row r="10309" spans="1:6" x14ac:dyDescent="0.25">
      <c r="A10309" s="2" t="str">
        <f t="shared" si="365"/>
        <v>21780</v>
      </c>
      <c r="B10309" s="2" t="str">
        <f>"47638"</f>
        <v>47638</v>
      </c>
      <c r="C10309" s="1">
        <v>9.7723472501447597E-3</v>
      </c>
      <c r="D10309" s="1">
        <v>1.9178625752264999E-3</v>
      </c>
      <c r="E10309" s="1">
        <v>1.26605172725628E-3</v>
      </c>
      <c r="F10309" s="1">
        <v>8.8213869881674095E-3</v>
      </c>
    </row>
    <row r="10310" spans="1:6" x14ac:dyDescent="0.25">
      <c r="A10310" s="2" t="str">
        <f t="shared" si="365"/>
        <v>21780</v>
      </c>
      <c r="B10310" s="2" t="str">
        <f>"47631"</f>
        <v>47631</v>
      </c>
      <c r="C10310" s="1">
        <v>5.9336755606737802E-3</v>
      </c>
      <c r="D10310" s="1">
        <v>6.61331922491898E-4</v>
      </c>
      <c r="E10310" s="1">
        <v>1.0851871947911E-3</v>
      </c>
      <c r="F10310" s="1">
        <v>5.3226574284911199E-3</v>
      </c>
    </row>
    <row r="10311" spans="1:6" x14ac:dyDescent="0.25">
      <c r="A10311" s="2" t="str">
        <f t="shared" si="365"/>
        <v>21780</v>
      </c>
      <c r="B10311" s="2" t="str">
        <f>"47630"</f>
        <v>47630</v>
      </c>
      <c r="C10311" s="1">
        <v>0.106025413307828</v>
      </c>
      <c r="D10311" s="1">
        <v>5.8660141525031399E-2</v>
      </c>
      <c r="E10311" s="1">
        <v>7.6686561765237804E-2</v>
      </c>
      <c r="F10311" s="1">
        <v>0.100987100585607</v>
      </c>
    </row>
    <row r="10312" spans="1:6" x14ac:dyDescent="0.25">
      <c r="A10312" s="2" t="str">
        <f t="shared" si="365"/>
        <v>21780</v>
      </c>
      <c r="B10312" s="2" t="str">
        <f>"47620"</f>
        <v>47620</v>
      </c>
      <c r="C10312" s="1">
        <v>4.02995465162427E-2</v>
      </c>
      <c r="D10312" s="1">
        <v>2.9164737781892699E-2</v>
      </c>
      <c r="E10312" s="1">
        <v>1.9533369506239798E-2</v>
      </c>
      <c r="F10312" s="1">
        <v>3.86753006899953E-2</v>
      </c>
    </row>
    <row r="10313" spans="1:6" x14ac:dyDescent="0.25">
      <c r="A10313" s="2" t="str">
        <f t="shared" si="365"/>
        <v>21780</v>
      </c>
      <c r="B10313" s="2" t="str">
        <f>"47701"</f>
        <v>47701</v>
      </c>
      <c r="C10313" s="1">
        <v>2.0169291927728801E-4</v>
      </c>
      <c r="D10313" s="1">
        <v>3.4389259969578698E-3</v>
      </c>
      <c r="E10313" s="1">
        <v>3.61729064930367E-4</v>
      </c>
      <c r="F10313" s="1">
        <v>4.87527889463088E-4</v>
      </c>
    </row>
    <row r="10314" spans="1:6" x14ac:dyDescent="0.25">
      <c r="A10314" s="2" t="str">
        <f t="shared" si="365"/>
        <v>21780</v>
      </c>
      <c r="B10314" s="2" t="str">
        <f>"47721"</f>
        <v>47721</v>
      </c>
      <c r="C10314" s="1">
        <v>0</v>
      </c>
      <c r="D10314" s="1">
        <v>0</v>
      </c>
      <c r="E10314" s="1">
        <v>1.8086453246518301E-4</v>
      </c>
      <c r="F10314" s="1">
        <v>5.7356222289775103E-6</v>
      </c>
    </row>
    <row r="10315" spans="1:6" x14ac:dyDescent="0.25">
      <c r="A10315" s="2" t="str">
        <f t="shared" si="365"/>
        <v>21780</v>
      </c>
      <c r="B10315" s="2" t="str">
        <f>"47637"</f>
        <v>47637</v>
      </c>
      <c r="C10315" s="1">
        <v>4.0338583855457702E-3</v>
      </c>
      <c r="D10315" s="1">
        <v>1.05813107598703E-3</v>
      </c>
      <c r="E10315" s="1">
        <v>5.4259359739554998E-4</v>
      </c>
      <c r="F10315" s="1">
        <v>3.6650626043166199E-3</v>
      </c>
    </row>
    <row r="10316" spans="1:6" x14ac:dyDescent="0.25">
      <c r="A10316" s="2" t="str">
        <f t="shared" si="365"/>
        <v>21780</v>
      </c>
      <c r="B10316" s="2" t="str">
        <f>"47601"</f>
        <v>47601</v>
      </c>
      <c r="C10316" s="1">
        <v>4.0559795444342503E-2</v>
      </c>
      <c r="D10316" s="1">
        <v>2.7511407975662899E-2</v>
      </c>
      <c r="E10316" s="1">
        <v>2.6767950804847101E-2</v>
      </c>
      <c r="F10316" s="1">
        <v>3.8990759912589101E-2</v>
      </c>
    </row>
    <row r="10317" spans="1:6" x14ac:dyDescent="0.25">
      <c r="A10317" s="2" t="str">
        <f t="shared" si="365"/>
        <v>21780</v>
      </c>
      <c r="B10317" s="2" t="str">
        <f>"42461"</f>
        <v>42461</v>
      </c>
      <c r="C10317" s="1">
        <v>1.4964313365734301E-4</v>
      </c>
      <c r="D10317" s="1">
        <v>0</v>
      </c>
      <c r="E10317" s="1">
        <v>0</v>
      </c>
      <c r="F10317" s="1">
        <v>1.31919311266482E-4</v>
      </c>
    </row>
    <row r="10318" spans="1:6" x14ac:dyDescent="0.25">
      <c r="A10318" s="2" t="str">
        <f t="shared" si="365"/>
        <v>21780</v>
      </c>
      <c r="B10318" s="2" t="str">
        <f>"47537"</f>
        <v>47537</v>
      </c>
      <c r="C10318" s="1">
        <v>8.2629034671663395E-4</v>
      </c>
      <c r="D10318" s="1">
        <v>1.9839957674756901E-4</v>
      </c>
      <c r="E10318" s="1">
        <v>0</v>
      </c>
      <c r="F10318" s="1">
        <v>7.4563088976707605E-4</v>
      </c>
    </row>
    <row r="10319" spans="1:6" x14ac:dyDescent="0.25">
      <c r="A10319" s="2" t="str">
        <f t="shared" si="365"/>
        <v>21780</v>
      </c>
      <c r="B10319" s="2" t="str">
        <f>"47716"</f>
        <v>47716</v>
      </c>
      <c r="C10319" s="1">
        <v>4.9837669731097704E-3</v>
      </c>
      <c r="D10319" s="1">
        <v>2.2749818133721299E-2</v>
      </c>
      <c r="E10319" s="1">
        <v>5.4259359739554998E-4</v>
      </c>
      <c r="F10319" s="1">
        <v>6.38374754085196E-3</v>
      </c>
    </row>
    <row r="10320" spans="1:6" x14ac:dyDescent="0.25">
      <c r="A10320" s="2" t="str">
        <f t="shared" si="365"/>
        <v>21780</v>
      </c>
      <c r="B10320" s="2" t="str">
        <f>"47720"</f>
        <v>47720</v>
      </c>
      <c r="C10320" s="1">
        <v>4.96945328206429E-2</v>
      </c>
      <c r="D10320" s="1">
        <v>1.5012234640566099E-2</v>
      </c>
      <c r="E10320" s="1">
        <v>1.30222463374932E-2</v>
      </c>
      <c r="F10320" s="1">
        <v>4.55236336313945E-2</v>
      </c>
    </row>
    <row r="10321" spans="1:6" x14ac:dyDescent="0.25">
      <c r="A10321" s="2" t="str">
        <f t="shared" si="365"/>
        <v>21780</v>
      </c>
      <c r="B10321" s="2" t="str">
        <f>"47714"</f>
        <v>47714</v>
      </c>
      <c r="C10321" s="1">
        <v>0.10347497381245099</v>
      </c>
      <c r="D10321" s="1">
        <v>6.3818530520468195E-2</v>
      </c>
      <c r="E10321" s="1">
        <v>7.9580394284680694E-2</v>
      </c>
      <c r="F10321" s="1">
        <v>9.9277885161371704E-2</v>
      </c>
    </row>
    <row r="10322" spans="1:6" x14ac:dyDescent="0.25">
      <c r="A10322" s="2" t="str">
        <f t="shared" si="365"/>
        <v>21780</v>
      </c>
      <c r="B10322" s="2" t="str">
        <f>"47704"</f>
        <v>47704</v>
      </c>
      <c r="C10322" s="1">
        <v>5.5953519541441295E-4</v>
      </c>
      <c r="D10322" s="1">
        <v>9.9199788373784798E-4</v>
      </c>
      <c r="E10322" s="1">
        <v>3.61729064930367E-4</v>
      </c>
      <c r="F10322" s="1">
        <v>5.9076908958468298E-4</v>
      </c>
    </row>
    <row r="10323" spans="1:6" x14ac:dyDescent="0.25">
      <c r="A10323" s="2" t="str">
        <f t="shared" si="365"/>
        <v>21780</v>
      </c>
      <c r="B10323" s="2" t="str">
        <f>"47702"</f>
        <v>47702</v>
      </c>
      <c r="C10323" s="1">
        <v>4.2941073136455E-4</v>
      </c>
      <c r="D10323" s="1">
        <v>2.3146617287216399E-3</v>
      </c>
      <c r="E10323" s="1">
        <v>3.61729064930367E-4</v>
      </c>
      <c r="F10323" s="1">
        <v>5.9076908958468298E-4</v>
      </c>
    </row>
    <row r="10324" spans="1:6" x14ac:dyDescent="0.25">
      <c r="A10324" s="2" t="str">
        <f t="shared" si="365"/>
        <v>21780</v>
      </c>
      <c r="B10324" s="2" t="str">
        <f>"42458"</f>
        <v>42458</v>
      </c>
      <c r="C10324" s="1">
        <v>2.70658885223716E-3</v>
      </c>
      <c r="D10324" s="1">
        <v>3.30665961245949E-4</v>
      </c>
      <c r="E10324" s="1">
        <v>1.0851871947911E-3</v>
      </c>
      <c r="F10324" s="1">
        <v>2.4491106917733899E-3</v>
      </c>
    </row>
    <row r="10325" spans="1:6" x14ac:dyDescent="0.25">
      <c r="A10325" s="2" t="str">
        <f t="shared" si="365"/>
        <v>21780</v>
      </c>
      <c r="B10325" s="2" t="str">
        <f>"47750"</f>
        <v>47750</v>
      </c>
      <c r="C10325" s="1">
        <v>0</v>
      </c>
      <c r="D10325" s="1">
        <v>0</v>
      </c>
      <c r="E10325" s="1">
        <v>1.8086453246518301E-4</v>
      </c>
      <c r="F10325" s="1">
        <v>5.7356222289775103E-6</v>
      </c>
    </row>
    <row r="10326" spans="1:6" x14ac:dyDescent="0.25">
      <c r="A10326" s="2" t="str">
        <f t="shared" si="365"/>
        <v>21780</v>
      </c>
      <c r="B10326" s="2" t="str">
        <f>"47736"</f>
        <v>47736</v>
      </c>
      <c r="C10326" s="1">
        <v>5.4652274900942699E-4</v>
      </c>
      <c r="D10326" s="1">
        <v>1.1903974604854099E-3</v>
      </c>
      <c r="E10326" s="1">
        <v>3.61729064930367E-4</v>
      </c>
      <c r="F10326" s="1">
        <v>5.9650471181366105E-4</v>
      </c>
    </row>
    <row r="10327" spans="1:6" x14ac:dyDescent="0.25">
      <c r="A10327" s="2" t="str">
        <f t="shared" si="365"/>
        <v>21780</v>
      </c>
      <c r="B10327" s="2" t="str">
        <f>"47731"</f>
        <v>47731</v>
      </c>
      <c r="C10327" s="1">
        <v>4.3591695456704298E-4</v>
      </c>
      <c r="D10327" s="1">
        <v>3.1082600357119198E-3</v>
      </c>
      <c r="E10327" s="1">
        <v>3.61729064930367E-4</v>
      </c>
      <c r="F10327" s="1">
        <v>6.6533217856139097E-4</v>
      </c>
    </row>
    <row r="10328" spans="1:6" x14ac:dyDescent="0.25">
      <c r="A10328" s="2" t="str">
        <f t="shared" si="365"/>
        <v>21780</v>
      </c>
      <c r="B10328" s="2" t="str">
        <f>"47541"</f>
        <v>47541</v>
      </c>
      <c r="C10328" s="1">
        <v>7.1568455227425E-5</v>
      </c>
      <c r="D10328" s="1">
        <v>0</v>
      </c>
      <c r="E10328" s="1">
        <v>0</v>
      </c>
      <c r="F10328" s="1">
        <v>6.3091844518752601E-5</v>
      </c>
    </row>
    <row r="10329" spans="1:6" x14ac:dyDescent="0.25">
      <c r="A10329" s="2" t="str">
        <f t="shared" si="365"/>
        <v>21780</v>
      </c>
      <c r="B10329" s="2" t="str">
        <f>"47715"</f>
        <v>47715</v>
      </c>
      <c r="C10329" s="1">
        <v>9.9577746114158094E-2</v>
      </c>
      <c r="D10329" s="1">
        <v>0.13596984326433401</v>
      </c>
      <c r="E10329" s="1">
        <v>0.176704648218484</v>
      </c>
      <c r="F10329" s="1">
        <v>0.105179840434989</v>
      </c>
    </row>
    <row r="10330" spans="1:6" x14ac:dyDescent="0.25">
      <c r="A10330" s="2" t="str">
        <f t="shared" si="365"/>
        <v>21780</v>
      </c>
      <c r="B10330" s="2" t="str">
        <f>"47619"</f>
        <v>47619</v>
      </c>
      <c r="C10330" s="1">
        <v>4.6909869289975797E-3</v>
      </c>
      <c r="D10330" s="1">
        <v>1.5871966139805499E-3</v>
      </c>
      <c r="E10330" s="1">
        <v>2.5321034545125699E-3</v>
      </c>
      <c r="F10330" s="1">
        <v>4.3533372717939299E-3</v>
      </c>
    </row>
    <row r="10331" spans="1:6" x14ac:dyDescent="0.25">
      <c r="A10331" s="2" t="str">
        <f t="shared" ref="A10331:A10359" si="366">"21780"</f>
        <v>21780</v>
      </c>
      <c r="B10331" s="2" t="str">
        <f>"42406"</f>
        <v>42406</v>
      </c>
      <c r="C10331" s="1">
        <v>7.6968620485494297E-3</v>
      </c>
      <c r="D10331" s="1">
        <v>1.1903974604854099E-3</v>
      </c>
      <c r="E10331" s="1">
        <v>1.9895098571170102E-3</v>
      </c>
      <c r="F10331" s="1">
        <v>6.9515741415207399E-3</v>
      </c>
    </row>
    <row r="10332" spans="1:6" x14ac:dyDescent="0.25">
      <c r="A10332" s="2" t="str">
        <f t="shared" si="366"/>
        <v>21780</v>
      </c>
      <c r="B10332" s="2" t="str">
        <f>"47734"</f>
        <v>47734</v>
      </c>
      <c r="C10332" s="1">
        <v>1.8868047287230199E-4</v>
      </c>
      <c r="D10332" s="1">
        <v>2.4469281132200199E-3</v>
      </c>
      <c r="E10332" s="1">
        <v>3.61729064930367E-4</v>
      </c>
      <c r="F10332" s="1">
        <v>3.9002231157047001E-4</v>
      </c>
    </row>
    <row r="10333" spans="1:6" x14ac:dyDescent="0.25">
      <c r="A10333" s="2" t="str">
        <f t="shared" si="366"/>
        <v>21780</v>
      </c>
      <c r="B10333" s="2" t="str">
        <f>"47733"</f>
        <v>47733</v>
      </c>
      <c r="C10333" s="1">
        <v>1.17112017644877E-4</v>
      </c>
      <c r="D10333" s="1">
        <v>1.7194629984789299E-3</v>
      </c>
      <c r="E10333" s="1">
        <v>3.61729064930367E-4</v>
      </c>
      <c r="F10333" s="1">
        <v>2.6383862253296497E-4</v>
      </c>
    </row>
    <row r="10334" spans="1:6" x14ac:dyDescent="0.25">
      <c r="A10334" s="2" t="str">
        <f t="shared" si="366"/>
        <v>21780</v>
      </c>
      <c r="B10334" s="2" t="str">
        <f>"47523"</f>
        <v>47523</v>
      </c>
      <c r="C10334" s="1">
        <v>2.6870701826296802E-3</v>
      </c>
      <c r="D10334" s="1">
        <v>7.27465114741088E-4</v>
      </c>
      <c r="E10334" s="1">
        <v>7.2345812986073399E-4</v>
      </c>
      <c r="F10334" s="1">
        <v>2.4548463140023698E-3</v>
      </c>
    </row>
    <row r="10335" spans="1:6" x14ac:dyDescent="0.25">
      <c r="A10335" s="2" t="str">
        <f t="shared" si="366"/>
        <v>21780</v>
      </c>
      <c r="B10335" s="2" t="str">
        <f>"47719"</f>
        <v>47719</v>
      </c>
      <c r="C10335" s="1">
        <v>4.0728957247607297E-3</v>
      </c>
      <c r="D10335" s="1">
        <v>1.4681568679320099E-2</v>
      </c>
      <c r="E10335" s="1">
        <v>3.61729064930367E-4</v>
      </c>
      <c r="F10335" s="1">
        <v>4.87527889463088E-3</v>
      </c>
    </row>
    <row r="10336" spans="1:6" x14ac:dyDescent="0.25">
      <c r="A10336" s="2" t="str">
        <f t="shared" si="366"/>
        <v>21780</v>
      </c>
      <c r="B10336" s="2" t="str">
        <f>"47724"</f>
        <v>47724</v>
      </c>
      <c r="C10336" s="1">
        <v>5.3025719100319403E-3</v>
      </c>
      <c r="D10336" s="1">
        <v>1.74591627537861E-2</v>
      </c>
      <c r="E10336" s="1">
        <v>3.61729064930367E-4</v>
      </c>
      <c r="F10336" s="1">
        <v>6.2002076295246799E-3</v>
      </c>
    </row>
    <row r="10337" spans="1:6" x14ac:dyDescent="0.25">
      <c r="A10337" s="2" t="str">
        <f t="shared" si="366"/>
        <v>21780</v>
      </c>
      <c r="B10337" s="2" t="str">
        <f>"47713"</f>
        <v>47713</v>
      </c>
      <c r="C10337" s="1">
        <v>3.6343762809126899E-2</v>
      </c>
      <c r="D10337" s="1">
        <v>2.6850076053170999E-2</v>
      </c>
      <c r="E10337" s="1">
        <v>9.1879182492313194E-2</v>
      </c>
      <c r="F10337" s="1">
        <v>3.7281544488353802E-2</v>
      </c>
    </row>
    <row r="10338" spans="1:6" x14ac:dyDescent="0.25">
      <c r="A10338" s="2" t="str">
        <f t="shared" si="366"/>
        <v>21780</v>
      </c>
      <c r="B10338" s="2" t="str">
        <f>"47725"</f>
        <v>47725</v>
      </c>
      <c r="C10338" s="1">
        <v>5.1210482826823799E-2</v>
      </c>
      <c r="D10338" s="1">
        <v>2.7445274783413701E-2</v>
      </c>
      <c r="E10338" s="1">
        <v>6.1493941038162402E-3</v>
      </c>
      <c r="F10338" s="1">
        <v>4.7720376945092798E-2</v>
      </c>
    </row>
    <row r="10339" spans="1:6" x14ac:dyDescent="0.25">
      <c r="A10339" s="2" t="str">
        <f t="shared" si="366"/>
        <v>21780</v>
      </c>
      <c r="B10339" s="2" t="str">
        <f>"47629"</f>
        <v>47629</v>
      </c>
      <c r="C10339" s="1">
        <v>7.6773433789419504E-3</v>
      </c>
      <c r="D10339" s="1">
        <v>2.2286885787976898E-2</v>
      </c>
      <c r="E10339" s="1">
        <v>3.61729064930367E-4</v>
      </c>
      <c r="F10339" s="1">
        <v>8.7124101658168293E-3</v>
      </c>
    </row>
    <row r="10340" spans="1:6" x14ac:dyDescent="0.25">
      <c r="A10340" s="2" t="str">
        <f t="shared" si="366"/>
        <v>21780</v>
      </c>
      <c r="B10340" s="2" t="str">
        <f>"47613"</f>
        <v>47613</v>
      </c>
      <c r="C10340" s="1">
        <v>6.4736920864807103E-3</v>
      </c>
      <c r="D10340" s="1">
        <v>2.6453276899675898E-3</v>
      </c>
      <c r="E10340" s="1">
        <v>1.0851871947911E-3</v>
      </c>
      <c r="F10340" s="1">
        <v>5.9707827403655796E-3</v>
      </c>
    </row>
    <row r="10341" spans="1:6" x14ac:dyDescent="0.25">
      <c r="A10341" s="2" t="str">
        <f t="shared" si="366"/>
        <v>21780</v>
      </c>
      <c r="B10341" s="2" t="str">
        <f>"47612"</f>
        <v>47612</v>
      </c>
      <c r="C10341" s="1">
        <v>1.5224562293834E-3</v>
      </c>
      <c r="D10341" s="1">
        <v>5.9519873024270801E-4</v>
      </c>
      <c r="E10341" s="1">
        <v>1.44691625972146E-3</v>
      </c>
      <c r="F10341" s="1">
        <v>1.43964117947335E-3</v>
      </c>
    </row>
    <row r="10342" spans="1:6" x14ac:dyDescent="0.25">
      <c r="A10342" s="2" t="str">
        <f t="shared" si="366"/>
        <v>21780</v>
      </c>
      <c r="B10342" s="2" t="str">
        <f>"47737"</f>
        <v>47737</v>
      </c>
      <c r="C10342" s="1">
        <v>1.62655580062329E-4</v>
      </c>
      <c r="D10342" s="1">
        <v>1.5210634217313599E-3</v>
      </c>
      <c r="E10342" s="1">
        <v>3.61729064930367E-4</v>
      </c>
      <c r="F10342" s="1">
        <v>2.8678111144887498E-4</v>
      </c>
    </row>
    <row r="10343" spans="1:6" x14ac:dyDescent="0.25">
      <c r="A10343" s="2" t="str">
        <f t="shared" si="366"/>
        <v>21780</v>
      </c>
      <c r="B10343" s="2" t="str">
        <f>"47735"</f>
        <v>47735</v>
      </c>
      <c r="C10343" s="1">
        <v>1.0409957123989001E-4</v>
      </c>
      <c r="D10343" s="1">
        <v>1.7194629984789299E-3</v>
      </c>
      <c r="E10343" s="1">
        <v>3.61729064930367E-4</v>
      </c>
      <c r="F10343" s="1">
        <v>2.5236737807501002E-4</v>
      </c>
    </row>
    <row r="10344" spans="1:6" x14ac:dyDescent="0.25">
      <c r="A10344" s="2" t="str">
        <f t="shared" si="366"/>
        <v>21780</v>
      </c>
      <c r="B10344" s="2" t="str">
        <f>"47728"</f>
        <v>47728</v>
      </c>
      <c r="C10344" s="1">
        <v>7.4496255668546896E-3</v>
      </c>
      <c r="D10344" s="1">
        <v>1.5342900601811999E-2</v>
      </c>
      <c r="E10344" s="1">
        <v>3.61729064930367E-4</v>
      </c>
      <c r="F10344" s="1">
        <v>7.9094230537599796E-3</v>
      </c>
    </row>
    <row r="10345" spans="1:6" x14ac:dyDescent="0.25">
      <c r="A10345" s="2" t="str">
        <f t="shared" si="366"/>
        <v>21780</v>
      </c>
      <c r="B10345" s="2" t="str">
        <f>"47639"</f>
        <v>47639</v>
      </c>
      <c r="C10345" s="1">
        <v>8.7183390913408597E-4</v>
      </c>
      <c r="D10345" s="1">
        <v>2.6453276899675901E-4</v>
      </c>
      <c r="E10345" s="1">
        <v>0</v>
      </c>
      <c r="F10345" s="1">
        <v>7.9151586759889595E-4</v>
      </c>
    </row>
    <row r="10346" spans="1:6" x14ac:dyDescent="0.25">
      <c r="A10346" s="2" t="str">
        <f t="shared" si="366"/>
        <v>21780</v>
      </c>
      <c r="B10346" s="2" t="str">
        <f>"47703"</f>
        <v>47703</v>
      </c>
      <c r="C10346" s="1">
        <v>5.7905386502189304E-4</v>
      </c>
      <c r="D10346" s="1">
        <v>7.9359830699027799E-4</v>
      </c>
      <c r="E10346" s="1">
        <v>3.61729064930367E-4</v>
      </c>
      <c r="F10346" s="1">
        <v>5.9076908958468298E-4</v>
      </c>
    </row>
    <row r="10347" spans="1:6" x14ac:dyDescent="0.25">
      <c r="A10347" s="2" t="str">
        <f t="shared" si="366"/>
        <v>21780</v>
      </c>
      <c r="B10347" s="2" t="str">
        <f>"47708"</f>
        <v>47708</v>
      </c>
      <c r="C10347" s="1">
        <v>3.23359293163911E-3</v>
      </c>
      <c r="D10347" s="1">
        <v>5.1517756762118901E-2</v>
      </c>
      <c r="E10347" s="1">
        <v>2.22463374932175E-2</v>
      </c>
      <c r="F10347" s="1">
        <v>8.0241354983395293E-3</v>
      </c>
    </row>
    <row r="10348" spans="1:6" x14ac:dyDescent="0.25">
      <c r="A10348" s="2" t="str">
        <f t="shared" si="366"/>
        <v>21780</v>
      </c>
      <c r="B10348" s="2" t="str">
        <f>"47712"</f>
        <v>47712</v>
      </c>
      <c r="C10348" s="1">
        <v>7.1737617030689801E-2</v>
      </c>
      <c r="D10348" s="1">
        <v>0.122610938429998</v>
      </c>
      <c r="E10348" s="1">
        <v>0.101284138180502</v>
      </c>
      <c r="F10348" s="1">
        <v>7.7086762757457697E-2</v>
      </c>
    </row>
    <row r="10349" spans="1:6" x14ac:dyDescent="0.25">
      <c r="A10349" s="2" t="str">
        <f t="shared" si="366"/>
        <v>21780</v>
      </c>
      <c r="B10349" s="2" t="str">
        <f>"47747"</f>
        <v>47747</v>
      </c>
      <c r="C10349" s="1">
        <v>0</v>
      </c>
      <c r="D10349" s="1">
        <v>0</v>
      </c>
      <c r="E10349" s="1">
        <v>1.8086453246518301E-4</v>
      </c>
      <c r="F10349" s="1">
        <v>5.7356222289775103E-6</v>
      </c>
    </row>
    <row r="10350" spans="1:6" x14ac:dyDescent="0.25">
      <c r="A10350" s="2" t="str">
        <f t="shared" si="366"/>
        <v>21780</v>
      </c>
      <c r="B10350" s="2" t="str">
        <f>"47732"</f>
        <v>47732</v>
      </c>
      <c r="C10350" s="1">
        <v>2.0169291927728801E-4</v>
      </c>
      <c r="D10350" s="1">
        <v>2.3146617287216399E-3</v>
      </c>
      <c r="E10350" s="1">
        <v>3.61729064930367E-4</v>
      </c>
      <c r="F10350" s="1">
        <v>3.9002231157047001E-4</v>
      </c>
    </row>
    <row r="10351" spans="1:6" x14ac:dyDescent="0.25">
      <c r="A10351" s="2" t="str">
        <f t="shared" si="366"/>
        <v>21780</v>
      </c>
      <c r="B10351" s="2" t="str">
        <f>"47730"</f>
        <v>47730</v>
      </c>
      <c r="C10351" s="1">
        <v>2.6675515130222002E-4</v>
      </c>
      <c r="D10351" s="1">
        <v>2.4469281132200199E-3</v>
      </c>
      <c r="E10351" s="1">
        <v>3.61729064930367E-4</v>
      </c>
      <c r="F10351" s="1">
        <v>4.5884977831819998E-4</v>
      </c>
    </row>
    <row r="10352" spans="1:6" x14ac:dyDescent="0.25">
      <c r="A10352" s="2" t="str">
        <f t="shared" si="366"/>
        <v>21780</v>
      </c>
      <c r="B10352" s="2" t="str">
        <f>"47722"</f>
        <v>47722</v>
      </c>
      <c r="C10352" s="1">
        <v>0</v>
      </c>
      <c r="D10352" s="1">
        <v>1.3226638449837899E-4</v>
      </c>
      <c r="E10352" s="1">
        <v>0</v>
      </c>
      <c r="F10352" s="1">
        <v>1.1471244457955E-5</v>
      </c>
    </row>
    <row r="10353" spans="1:6" x14ac:dyDescent="0.25">
      <c r="A10353" s="2" t="str">
        <f t="shared" si="366"/>
        <v>21780</v>
      </c>
      <c r="B10353" s="2" t="str">
        <f>"47616"</f>
        <v>47616</v>
      </c>
      <c r="C10353" s="1">
        <v>7.67734337894195E-4</v>
      </c>
      <c r="D10353" s="1">
        <v>6.6133192249189806E-5</v>
      </c>
      <c r="E10353" s="1">
        <v>1.8086453246518301E-4</v>
      </c>
      <c r="F10353" s="1">
        <v>6.8827466747730097E-4</v>
      </c>
    </row>
    <row r="10354" spans="1:6" x14ac:dyDescent="0.25">
      <c r="A10354" s="2" t="str">
        <f t="shared" si="366"/>
        <v>21780</v>
      </c>
      <c r="B10354" s="2" t="str">
        <f>"47706"</f>
        <v>47706</v>
      </c>
      <c r="C10354" s="1">
        <v>6.0507875783186605E-4</v>
      </c>
      <c r="D10354" s="1">
        <v>8.8618477613914403E-3</v>
      </c>
      <c r="E10354" s="1">
        <v>3.61729064930367E-4</v>
      </c>
      <c r="F10354" s="1">
        <v>1.31345749043584E-3</v>
      </c>
    </row>
    <row r="10355" spans="1:6" x14ac:dyDescent="0.25">
      <c r="A10355" s="2" t="str">
        <f t="shared" si="366"/>
        <v>21780</v>
      </c>
      <c r="B10355" s="2" t="str">
        <f>"47660"</f>
        <v>47660</v>
      </c>
      <c r="C10355" s="1">
        <v>3.90373392149591E-5</v>
      </c>
      <c r="D10355" s="1">
        <v>0</v>
      </c>
      <c r="E10355" s="1">
        <v>0</v>
      </c>
      <c r="F10355" s="1">
        <v>3.4413733373864997E-5</v>
      </c>
    </row>
    <row r="10356" spans="1:6" x14ac:dyDescent="0.25">
      <c r="A10356" s="2" t="str">
        <f t="shared" si="366"/>
        <v>21780</v>
      </c>
      <c r="B10356" s="2" t="str">
        <f>"47710"</f>
        <v>47710</v>
      </c>
      <c r="C10356" s="1">
        <v>6.04688384439716E-2</v>
      </c>
      <c r="D10356" s="1">
        <v>6.0710270484756197E-2</v>
      </c>
      <c r="E10356" s="1">
        <v>8.37402785313799E-2</v>
      </c>
      <c r="F10356" s="1">
        <v>6.1227767294334899E-2</v>
      </c>
    </row>
    <row r="10357" spans="1:6" x14ac:dyDescent="0.25">
      <c r="A10357" s="2" t="str">
        <f t="shared" si="366"/>
        <v>21780</v>
      </c>
      <c r="B10357" s="2" t="str">
        <f>"42462"</f>
        <v>42462</v>
      </c>
      <c r="C10357" s="1">
        <v>1.0995517212213401E-3</v>
      </c>
      <c r="D10357" s="1">
        <v>6.6133192249189806E-5</v>
      </c>
      <c r="E10357" s="1">
        <v>1.8086453246518299E-3</v>
      </c>
      <c r="F10357" s="1">
        <v>1.03241200121595E-3</v>
      </c>
    </row>
    <row r="10358" spans="1:6" x14ac:dyDescent="0.25">
      <c r="A10358" s="2" t="str">
        <f t="shared" si="366"/>
        <v>21780</v>
      </c>
      <c r="B10358" s="2" t="str">
        <f>"42451"</f>
        <v>42451</v>
      </c>
      <c r="C10358" s="1">
        <v>2.3812776921124999E-3</v>
      </c>
      <c r="D10358" s="1">
        <v>5.2906553799351801E-4</v>
      </c>
      <c r="E10358" s="1">
        <v>3.61729064930367E-4</v>
      </c>
      <c r="F10358" s="1">
        <v>2.15659395809554E-3</v>
      </c>
    </row>
    <row r="10359" spans="1:6" x14ac:dyDescent="0.25">
      <c r="A10359" s="2" t="str">
        <f t="shared" si="366"/>
        <v>21780</v>
      </c>
      <c r="B10359" s="2" t="str">
        <f>"42402"</f>
        <v>42402</v>
      </c>
      <c r="C10359" s="1">
        <v>0</v>
      </c>
      <c r="D10359" s="1">
        <v>0</v>
      </c>
      <c r="E10359" s="1">
        <v>1.8086453246518301E-4</v>
      </c>
      <c r="F10359" s="1">
        <v>5.7356222289775103E-6</v>
      </c>
    </row>
    <row r="10360" spans="1:6" x14ac:dyDescent="0.25">
      <c r="A10360" s="2" t="str">
        <f t="shared" ref="A10360:A10372" si="367">"31580"</f>
        <v>31580</v>
      </c>
      <c r="B10360" s="2" t="str">
        <f>"42431"</f>
        <v>42431</v>
      </c>
      <c r="C10360" s="1">
        <v>0.58501729473875796</v>
      </c>
      <c r="D10360" s="1">
        <v>0.80747451868629605</v>
      </c>
      <c r="E10360" s="1">
        <v>0.71601941747572795</v>
      </c>
      <c r="F10360" s="1">
        <v>0.60351966873705998</v>
      </c>
    </row>
    <row r="10361" spans="1:6" x14ac:dyDescent="0.25">
      <c r="A10361" s="2" t="str">
        <f t="shared" si="367"/>
        <v>31580</v>
      </c>
      <c r="B10361" s="2" t="str">
        <f>"42413"</f>
        <v>42413</v>
      </c>
      <c r="C10361" s="1">
        <v>5.4523939559439197E-2</v>
      </c>
      <c r="D10361" s="1">
        <v>2.1517553793884401E-2</v>
      </c>
      <c r="E10361" s="1">
        <v>1.45631067961165E-2</v>
      </c>
      <c r="F10361" s="1">
        <v>5.14285714285714E-2</v>
      </c>
    </row>
    <row r="10362" spans="1:6" x14ac:dyDescent="0.25">
      <c r="A10362" s="2" t="str">
        <f t="shared" si="367"/>
        <v>31580</v>
      </c>
      <c r="B10362" s="2" t="str">
        <f>"42456"</f>
        <v>42456</v>
      </c>
      <c r="C10362" s="1">
        <v>1.25614418350628E-2</v>
      </c>
      <c r="D10362" s="1">
        <v>3.9637599093997698E-3</v>
      </c>
      <c r="E10362" s="1">
        <v>0</v>
      </c>
      <c r="F10362" s="1">
        <v>1.1718426501035099E-2</v>
      </c>
    </row>
    <row r="10363" spans="1:6" x14ac:dyDescent="0.25">
      <c r="A10363" s="2" t="str">
        <f t="shared" si="367"/>
        <v>31580</v>
      </c>
      <c r="B10363" s="2" t="str">
        <f>"42410"</f>
        <v>42410</v>
      </c>
      <c r="C10363" s="1">
        <v>3.7638813034771498E-2</v>
      </c>
      <c r="D10363" s="1">
        <v>3.1710079275198103E-2</v>
      </c>
      <c r="E10363" s="1">
        <v>5.5825242718446598E-2</v>
      </c>
      <c r="F10363" s="1">
        <v>3.7515527950310497E-2</v>
      </c>
    </row>
    <row r="10364" spans="1:6" x14ac:dyDescent="0.25">
      <c r="A10364" s="2" t="str">
        <f t="shared" si="367"/>
        <v>31580</v>
      </c>
      <c r="B10364" s="2" t="str">
        <f>"42453"</f>
        <v>42453</v>
      </c>
      <c r="C10364" s="1">
        <v>7.3275077371199697E-3</v>
      </c>
      <c r="D10364" s="1">
        <v>1.6987542468856101E-3</v>
      </c>
      <c r="E10364" s="1">
        <v>2.4271844660194099E-3</v>
      </c>
      <c r="F10364" s="1">
        <v>6.8322981366459598E-3</v>
      </c>
    </row>
    <row r="10365" spans="1:6" x14ac:dyDescent="0.25">
      <c r="A10365" s="2" t="str">
        <f t="shared" si="367"/>
        <v>31580</v>
      </c>
      <c r="B10365" s="2" t="str">
        <f>"42445"</f>
        <v>42445</v>
      </c>
      <c r="C10365" s="1">
        <v>4.6877844529400999E-3</v>
      </c>
      <c r="D10365" s="1">
        <v>0</v>
      </c>
      <c r="E10365" s="1">
        <v>4.8543689320388302E-3</v>
      </c>
      <c r="F10365" s="1">
        <v>4.3478260869565201E-3</v>
      </c>
    </row>
    <row r="10366" spans="1:6" x14ac:dyDescent="0.25">
      <c r="A10366" s="2" t="str">
        <f t="shared" si="367"/>
        <v>31580</v>
      </c>
      <c r="B10366" s="2" t="str">
        <f>"42441"</f>
        <v>42441</v>
      </c>
      <c r="C10366" s="1">
        <v>2.80811942472237E-2</v>
      </c>
      <c r="D10366" s="1">
        <v>1.1325028312570699E-2</v>
      </c>
      <c r="E10366" s="1">
        <v>1.94174757281553E-2</v>
      </c>
      <c r="F10366" s="1">
        <v>2.6708074534161401E-2</v>
      </c>
    </row>
    <row r="10367" spans="1:6" x14ac:dyDescent="0.25">
      <c r="A10367" s="2" t="str">
        <f t="shared" si="367"/>
        <v>31580</v>
      </c>
      <c r="B10367" s="2" t="str">
        <f>"42436"</f>
        <v>42436</v>
      </c>
      <c r="C10367" s="1">
        <v>2.7307482250136499E-2</v>
      </c>
      <c r="D10367" s="1">
        <v>3.3975084937712301E-3</v>
      </c>
      <c r="E10367" s="1">
        <v>7.2815533980582501E-3</v>
      </c>
      <c r="F10367" s="1">
        <v>2.5217391304347799E-2</v>
      </c>
    </row>
    <row r="10368" spans="1:6" x14ac:dyDescent="0.25">
      <c r="A10368" s="2" t="str">
        <f t="shared" si="367"/>
        <v>31580</v>
      </c>
      <c r="B10368" s="2" t="str">
        <f>"42408"</f>
        <v>42408</v>
      </c>
      <c r="C10368" s="1">
        <v>0.121836883306025</v>
      </c>
      <c r="D10368" s="1">
        <v>8.4371460928652303E-2</v>
      </c>
      <c r="E10368" s="1">
        <v>7.7669902912621297E-2</v>
      </c>
      <c r="F10368" s="1">
        <v>0.118343685300207</v>
      </c>
    </row>
    <row r="10369" spans="1:6" x14ac:dyDescent="0.25">
      <c r="A10369" s="2" t="str">
        <f t="shared" si="367"/>
        <v>31580</v>
      </c>
      <c r="B10369" s="2" t="str">
        <f>"42450"</f>
        <v>42450</v>
      </c>
      <c r="C10369" s="1">
        <v>7.64609503003823E-3</v>
      </c>
      <c r="D10369" s="1">
        <v>5.66251415628539E-4</v>
      </c>
      <c r="E10369" s="1">
        <v>0</v>
      </c>
      <c r="F10369" s="1">
        <v>6.99792960662525E-3</v>
      </c>
    </row>
    <row r="10370" spans="1:6" x14ac:dyDescent="0.25">
      <c r="A10370" s="2" t="str">
        <f t="shared" si="367"/>
        <v>31580</v>
      </c>
      <c r="B10370" s="2" t="str">
        <f>"42440"</f>
        <v>42440</v>
      </c>
      <c r="C10370" s="1">
        <v>1.89787001638448E-2</v>
      </c>
      <c r="D10370" s="1">
        <v>1.1325028312570699E-2</v>
      </c>
      <c r="E10370" s="1">
        <v>4.8543689320388302E-3</v>
      </c>
      <c r="F10370" s="1">
        <v>1.8178053830227699E-2</v>
      </c>
    </row>
    <row r="10371" spans="1:6" x14ac:dyDescent="0.25">
      <c r="A10371" s="2" t="str">
        <f t="shared" si="367"/>
        <v>31580</v>
      </c>
      <c r="B10371" s="2" t="str">
        <f>"42442"</f>
        <v>42442</v>
      </c>
      <c r="C10371" s="1">
        <v>6.3990533406153197E-2</v>
      </c>
      <c r="D10371" s="1">
        <v>1.8120045300113199E-2</v>
      </c>
      <c r="E10371" s="1">
        <v>6.0679611650485403E-2</v>
      </c>
      <c r="F10371" s="1">
        <v>6.0579710144927502E-2</v>
      </c>
    </row>
    <row r="10372" spans="1:6" x14ac:dyDescent="0.25">
      <c r="A10372" s="2" t="str">
        <f t="shared" si="367"/>
        <v>31580</v>
      </c>
      <c r="B10372" s="2" t="str">
        <f>"42464"</f>
        <v>42464</v>
      </c>
      <c r="C10372" s="1">
        <v>3.0402330238485299E-2</v>
      </c>
      <c r="D10372" s="1">
        <v>4.5300113250283103E-3</v>
      </c>
      <c r="E10372" s="1">
        <v>3.6407766990291197E-2</v>
      </c>
      <c r="F10372" s="1">
        <v>2.86128364389233E-2</v>
      </c>
    </row>
    <row r="10373" spans="1:6" x14ac:dyDescent="0.25">
      <c r="A10373" s="2" t="str">
        <f t="shared" ref="A10373:A10384" si="368">"27160"</f>
        <v>27160</v>
      </c>
      <c r="B10373" s="2" t="str">
        <f>"45621"</f>
        <v>45621</v>
      </c>
      <c r="C10373" s="1">
        <v>3.6413009936431501E-3</v>
      </c>
      <c r="D10373" s="1">
        <v>8.9847259658580396E-4</v>
      </c>
      <c r="E10373" s="1">
        <v>0</v>
      </c>
      <c r="F10373" s="1">
        <v>3.42133774305753E-3</v>
      </c>
    </row>
    <row r="10374" spans="1:6" x14ac:dyDescent="0.25">
      <c r="A10374" s="2" t="str">
        <f t="shared" si="368"/>
        <v>27160</v>
      </c>
      <c r="B10374" s="2" t="str">
        <f>"45601"</f>
        <v>45601</v>
      </c>
      <c r="C10374" s="1">
        <v>7.0357341233104904E-3</v>
      </c>
      <c r="D10374" s="1">
        <v>8.9847259658580396E-4</v>
      </c>
      <c r="E10374" s="1">
        <v>0</v>
      </c>
      <c r="F10374" s="1">
        <v>6.5575640075269401E-3</v>
      </c>
    </row>
    <row r="10375" spans="1:6" x14ac:dyDescent="0.25">
      <c r="A10375" s="2" t="str">
        <f t="shared" si="368"/>
        <v>27160</v>
      </c>
      <c r="B10375" s="2" t="str">
        <f>"45634"</f>
        <v>45634</v>
      </c>
      <c r="C10375" s="1">
        <v>1.85150897981855E-4</v>
      </c>
      <c r="D10375" s="1">
        <v>0</v>
      </c>
      <c r="E10375" s="1">
        <v>0</v>
      </c>
      <c r="F10375" s="1">
        <v>1.71066887152876E-4</v>
      </c>
    </row>
    <row r="10376" spans="1:6" x14ac:dyDescent="0.25">
      <c r="A10376" s="2" t="str">
        <f t="shared" si="368"/>
        <v>27160</v>
      </c>
      <c r="B10376" s="2" t="str">
        <f>"45613"</f>
        <v>45613</v>
      </c>
      <c r="C10376" s="1">
        <v>1.3577732518669301E-2</v>
      </c>
      <c r="D10376" s="1">
        <v>3.5938903863432098E-3</v>
      </c>
      <c r="E10376" s="1">
        <v>0</v>
      </c>
      <c r="F10376" s="1">
        <v>1.27729942407481E-2</v>
      </c>
    </row>
    <row r="10377" spans="1:6" x14ac:dyDescent="0.25">
      <c r="A10377" s="2" t="str">
        <f t="shared" si="368"/>
        <v>27160</v>
      </c>
      <c r="B10377" s="2" t="str">
        <f>"45672"</f>
        <v>45672</v>
      </c>
      <c r="C10377" s="1">
        <v>2.8389804357217701E-2</v>
      </c>
      <c r="D10377" s="1">
        <v>8.9847259658580401E-3</v>
      </c>
      <c r="E10377" s="1">
        <v>0</v>
      </c>
      <c r="F10377" s="1">
        <v>2.6800478987284E-2</v>
      </c>
    </row>
    <row r="10378" spans="1:6" x14ac:dyDescent="0.25">
      <c r="A10378" s="2" t="str">
        <f t="shared" si="368"/>
        <v>27160</v>
      </c>
      <c r="B10378" s="2" t="str">
        <f>"45692"</f>
        <v>45692</v>
      </c>
      <c r="C10378" s="1">
        <v>0.26809850027772603</v>
      </c>
      <c r="D10378" s="1">
        <v>0.22731356693620799</v>
      </c>
      <c r="E10378" s="1">
        <v>0.28506787330316702</v>
      </c>
      <c r="F10378" s="1">
        <v>0.26572389804413499</v>
      </c>
    </row>
    <row r="10379" spans="1:6" x14ac:dyDescent="0.25">
      <c r="A10379" s="2" t="str">
        <f t="shared" si="368"/>
        <v>27160</v>
      </c>
      <c r="B10379" s="2" t="str">
        <f>"45653"</f>
        <v>45653</v>
      </c>
      <c r="C10379" s="1">
        <v>6.1716965993951703E-5</v>
      </c>
      <c r="D10379" s="1">
        <v>0</v>
      </c>
      <c r="E10379" s="1">
        <v>0</v>
      </c>
      <c r="F10379" s="1">
        <v>5.7022295717625501E-5</v>
      </c>
    </row>
    <row r="10380" spans="1:6" x14ac:dyDescent="0.25">
      <c r="A10380" s="2" t="str">
        <f t="shared" si="368"/>
        <v>27160</v>
      </c>
      <c r="B10380" s="2" t="str">
        <f>"45682"</f>
        <v>45682</v>
      </c>
      <c r="C10380" s="1">
        <v>1.23433931987903E-4</v>
      </c>
      <c r="D10380" s="1">
        <v>0</v>
      </c>
      <c r="E10380" s="1">
        <v>0</v>
      </c>
      <c r="F10380" s="1">
        <v>1.14044591435251E-4</v>
      </c>
    </row>
    <row r="10381" spans="1:6" x14ac:dyDescent="0.25">
      <c r="A10381" s="2" t="str">
        <f t="shared" si="368"/>
        <v>27160</v>
      </c>
      <c r="B10381" s="2" t="str">
        <f>"45685"</f>
        <v>45685</v>
      </c>
      <c r="C10381" s="1">
        <v>1.2713694994754001E-2</v>
      </c>
      <c r="D10381" s="1">
        <v>3.5938903863432098E-3</v>
      </c>
      <c r="E10381" s="1">
        <v>3.6199095022624403E-2</v>
      </c>
      <c r="F10381" s="1">
        <v>1.24308604664423E-2</v>
      </c>
    </row>
    <row r="10382" spans="1:6" x14ac:dyDescent="0.25">
      <c r="A10382" s="2" t="str">
        <f t="shared" si="368"/>
        <v>27160</v>
      </c>
      <c r="B10382" s="2" t="str">
        <f>"45656"</f>
        <v>45656</v>
      </c>
      <c r="C10382" s="1">
        <v>0.198173177806579</v>
      </c>
      <c r="D10382" s="1">
        <v>0.1455525606469</v>
      </c>
      <c r="E10382" s="1">
        <v>0.104072398190045</v>
      </c>
      <c r="F10382" s="1">
        <v>0.19364771625705601</v>
      </c>
    </row>
    <row r="10383" spans="1:6" x14ac:dyDescent="0.25">
      <c r="A10383" s="2" t="str">
        <f t="shared" si="368"/>
        <v>27160</v>
      </c>
      <c r="B10383" s="2" t="str">
        <f>"45640"</f>
        <v>45640</v>
      </c>
      <c r="C10383" s="1">
        <v>0.46732086650620203</v>
      </c>
      <c r="D10383" s="1">
        <v>0.60826594788858901</v>
      </c>
      <c r="E10383" s="1">
        <v>0.57466063348416196</v>
      </c>
      <c r="F10383" s="1">
        <v>0.47761874893083101</v>
      </c>
    </row>
    <row r="10384" spans="1:6" x14ac:dyDescent="0.25">
      <c r="A10384" s="2" t="str">
        <f t="shared" si="368"/>
        <v>27160</v>
      </c>
      <c r="B10384" s="2" t="str">
        <f>"45686"</f>
        <v>45686</v>
      </c>
      <c r="C10384" s="1">
        <v>6.7888662593346897E-4</v>
      </c>
      <c r="D10384" s="1">
        <v>8.9847259658580396E-4</v>
      </c>
      <c r="E10384" s="1">
        <v>0</v>
      </c>
      <c r="F10384" s="1">
        <v>6.8426754861150704E-4</v>
      </c>
    </row>
    <row r="10385" spans="1:6" x14ac:dyDescent="0.25">
      <c r="A10385" s="2" t="str">
        <f t="shared" ref="A10385:A10399" si="369">"23140"</f>
        <v>23140</v>
      </c>
      <c r="B10385" s="2" t="str">
        <f>"46920"</f>
        <v>46920</v>
      </c>
      <c r="C10385" s="1">
        <v>7.2082462336913402E-5</v>
      </c>
      <c r="D10385" s="1">
        <v>0</v>
      </c>
      <c r="E10385" s="1">
        <v>0</v>
      </c>
      <c r="F10385" s="1">
        <v>6.49477170877443E-5</v>
      </c>
    </row>
    <row r="10386" spans="1:6" x14ac:dyDescent="0.25">
      <c r="A10386" s="2" t="str">
        <f t="shared" si="369"/>
        <v>23140</v>
      </c>
      <c r="B10386" s="2" t="str">
        <f>"47930"</f>
        <v>47930</v>
      </c>
      <c r="C10386" s="1">
        <v>1.29748432206444E-3</v>
      </c>
      <c r="D10386" s="1">
        <v>0</v>
      </c>
      <c r="E10386" s="1">
        <v>0</v>
      </c>
      <c r="F10386" s="1">
        <v>1.1690589075793901E-3</v>
      </c>
    </row>
    <row r="10387" spans="1:6" x14ac:dyDescent="0.25">
      <c r="A10387" s="2" t="str">
        <f t="shared" si="369"/>
        <v>23140</v>
      </c>
      <c r="B10387" s="2" t="str">
        <f>"46979"</f>
        <v>46979</v>
      </c>
      <c r="C10387" s="1">
        <v>3.5320406545087499E-3</v>
      </c>
      <c r="D10387" s="1">
        <v>2.10748155953635E-3</v>
      </c>
      <c r="E10387" s="1">
        <v>0</v>
      </c>
      <c r="F10387" s="1">
        <v>3.31233357147496E-3</v>
      </c>
    </row>
    <row r="10388" spans="1:6" x14ac:dyDescent="0.25">
      <c r="A10388" s="2" t="str">
        <f t="shared" si="369"/>
        <v>23140</v>
      </c>
      <c r="B10388" s="2" t="str">
        <f>"46069"</f>
        <v>46069</v>
      </c>
      <c r="C10388" s="1">
        <v>4.0366178908671502E-3</v>
      </c>
      <c r="D10388" s="1">
        <v>0</v>
      </c>
      <c r="E10388" s="1">
        <v>0</v>
      </c>
      <c r="F10388" s="1">
        <v>3.6370721569136798E-3</v>
      </c>
    </row>
    <row r="10389" spans="1:6" x14ac:dyDescent="0.25">
      <c r="A10389" s="2" t="str">
        <f t="shared" si="369"/>
        <v>23140</v>
      </c>
      <c r="B10389" s="2" t="str">
        <f>"46035"</f>
        <v>46035</v>
      </c>
      <c r="C10389" s="1">
        <v>2.8328407698406902E-2</v>
      </c>
      <c r="D10389" s="1">
        <v>8.4299262381454104E-3</v>
      </c>
      <c r="E10389" s="1">
        <v>1.7391304347826001E-3</v>
      </c>
      <c r="F10389" s="1">
        <v>2.61089822692732E-2</v>
      </c>
    </row>
    <row r="10390" spans="1:6" x14ac:dyDescent="0.25">
      <c r="A10390" s="2" t="str">
        <f t="shared" si="369"/>
        <v>23140</v>
      </c>
      <c r="B10390" s="2" t="str">
        <f>"47905"</f>
        <v>47905</v>
      </c>
      <c r="C10390" s="1">
        <v>2.8832984934765301E-4</v>
      </c>
      <c r="D10390" s="1">
        <v>0</v>
      </c>
      <c r="E10390" s="1">
        <v>0</v>
      </c>
      <c r="F10390" s="1">
        <v>2.5979086835097698E-4</v>
      </c>
    </row>
    <row r="10391" spans="1:6" x14ac:dyDescent="0.25">
      <c r="A10391" s="2" t="str">
        <f t="shared" si="369"/>
        <v>23140</v>
      </c>
      <c r="B10391" s="2" t="str">
        <f>"46057"</f>
        <v>46057</v>
      </c>
      <c r="C10391" s="1">
        <v>2.6021768903625699E-2</v>
      </c>
      <c r="D10391" s="1">
        <v>1.3698630136986301E-2</v>
      </c>
      <c r="E10391" s="1">
        <v>2.26086956521739E-2</v>
      </c>
      <c r="F10391" s="1">
        <v>2.5134766512956999E-2</v>
      </c>
    </row>
    <row r="10392" spans="1:6" x14ac:dyDescent="0.25">
      <c r="A10392" s="2" t="str">
        <f t="shared" si="369"/>
        <v>23140</v>
      </c>
      <c r="B10392" s="2" t="str">
        <f>"46050"</f>
        <v>46050</v>
      </c>
      <c r="C10392" s="1">
        <v>3.7699127802205697E-2</v>
      </c>
      <c r="D10392" s="1">
        <v>2.2128556375131701E-2</v>
      </c>
      <c r="E10392" s="1">
        <v>1.21739130434782E-2</v>
      </c>
      <c r="F10392" s="1">
        <v>3.5786192115347101E-2</v>
      </c>
    </row>
    <row r="10393" spans="1:6" x14ac:dyDescent="0.25">
      <c r="A10393" s="2" t="str">
        <f t="shared" si="369"/>
        <v>23140</v>
      </c>
      <c r="B10393" s="2" t="str">
        <f>"46071"</f>
        <v>46071</v>
      </c>
      <c r="C10393" s="1">
        <v>2.1624738701074E-4</v>
      </c>
      <c r="D10393" s="1">
        <v>0</v>
      </c>
      <c r="E10393" s="1">
        <v>0</v>
      </c>
      <c r="F10393" s="1">
        <v>1.94843151263233E-4</v>
      </c>
    </row>
    <row r="10394" spans="1:6" x14ac:dyDescent="0.25">
      <c r="A10394" s="2" t="str">
        <f t="shared" si="369"/>
        <v>23140</v>
      </c>
      <c r="B10394" s="2" t="str">
        <f>"46067"</f>
        <v>46067</v>
      </c>
      <c r="C10394" s="1">
        <v>7.2082462336913402E-5</v>
      </c>
      <c r="D10394" s="1">
        <v>0</v>
      </c>
      <c r="E10394" s="1">
        <v>5.2173913043478204E-3</v>
      </c>
      <c r="F10394" s="1">
        <v>2.5979086835097698E-4</v>
      </c>
    </row>
    <row r="10395" spans="1:6" x14ac:dyDescent="0.25">
      <c r="A10395" s="2" t="str">
        <f t="shared" si="369"/>
        <v>23140</v>
      </c>
      <c r="B10395" s="2" t="str">
        <f>"46049"</f>
        <v>46049</v>
      </c>
      <c r="C10395" s="1">
        <v>8.6498954804296098E-4</v>
      </c>
      <c r="D10395" s="1">
        <v>0</v>
      </c>
      <c r="E10395" s="1">
        <v>0</v>
      </c>
      <c r="F10395" s="1">
        <v>7.7937260505293198E-4</v>
      </c>
    </row>
    <row r="10396" spans="1:6" x14ac:dyDescent="0.25">
      <c r="A10396" s="2" t="str">
        <f t="shared" si="369"/>
        <v>23140</v>
      </c>
      <c r="B10396" s="2" t="str">
        <f>"46041"</f>
        <v>46041</v>
      </c>
      <c r="C10396" s="1">
        <v>0.72630289050673902</v>
      </c>
      <c r="D10396" s="1">
        <v>0.89989462592202296</v>
      </c>
      <c r="E10396" s="1">
        <v>0.57913043478260795</v>
      </c>
      <c r="F10396" s="1">
        <v>0.73150613755926397</v>
      </c>
    </row>
    <row r="10397" spans="1:6" x14ac:dyDescent="0.25">
      <c r="A10397" s="2" t="str">
        <f t="shared" si="369"/>
        <v>23140</v>
      </c>
      <c r="B10397" s="2" t="str">
        <f>"46065"</f>
        <v>46065</v>
      </c>
      <c r="C10397" s="1">
        <v>8.3399408923808802E-2</v>
      </c>
      <c r="D10397" s="1">
        <v>3.5827186512117998E-2</v>
      </c>
      <c r="E10397" s="1">
        <v>0.36173913043478201</v>
      </c>
      <c r="F10397" s="1">
        <v>9.0861856205754293E-2</v>
      </c>
    </row>
    <row r="10398" spans="1:6" x14ac:dyDescent="0.25">
      <c r="A10398" s="2" t="str">
        <f t="shared" si="369"/>
        <v>23140</v>
      </c>
      <c r="B10398" s="2" t="str">
        <f>"46058"</f>
        <v>46058</v>
      </c>
      <c r="C10398" s="1">
        <v>6.5306710877243504E-2</v>
      </c>
      <c r="D10398" s="1">
        <v>1.3698630136986301E-2</v>
      </c>
      <c r="E10398" s="1">
        <v>1.0434782608695599E-2</v>
      </c>
      <c r="F10398" s="1">
        <v>6.0076638306163499E-2</v>
      </c>
    </row>
    <row r="10399" spans="1:6" x14ac:dyDescent="0.25">
      <c r="A10399" s="2" t="str">
        <f t="shared" si="369"/>
        <v>23140</v>
      </c>
      <c r="B10399" s="2" t="str">
        <f>"46039"</f>
        <v>46039</v>
      </c>
      <c r="C10399" s="1">
        <v>2.2561810711453901E-2</v>
      </c>
      <c r="D10399" s="1">
        <v>4.2149631190727E-3</v>
      </c>
      <c r="E10399" s="1">
        <v>6.9565217391304298E-3</v>
      </c>
      <c r="F10399" s="1">
        <v>2.0848217185165899E-2</v>
      </c>
    </row>
    <row r="10400" spans="1:6" x14ac:dyDescent="0.25">
      <c r="A10400" s="2" t="str">
        <f t="shared" ref="A10400:A10407" si="370">"47780"</f>
        <v>47780</v>
      </c>
      <c r="B10400" s="2" t="str">
        <f>"47568"</f>
        <v>47568</v>
      </c>
      <c r="C10400" s="1">
        <v>2.5270758122743601E-2</v>
      </c>
      <c r="D10400" s="1">
        <v>1.3479359730412799E-2</v>
      </c>
      <c r="E10400" s="1">
        <v>8.3333333333333297E-3</v>
      </c>
      <c r="F10400" s="1">
        <v>2.4168446750076199E-2</v>
      </c>
    </row>
    <row r="10401" spans="1:6" x14ac:dyDescent="0.25">
      <c r="A10401" s="2" t="str">
        <f t="shared" si="370"/>
        <v>47780</v>
      </c>
      <c r="B10401" s="2" t="str">
        <f>"47501"</f>
        <v>47501</v>
      </c>
      <c r="C10401" s="1">
        <v>0.57380665864420299</v>
      </c>
      <c r="D10401" s="1">
        <v>0.692502106149957</v>
      </c>
      <c r="E10401" s="1">
        <v>0.85416666666666596</v>
      </c>
      <c r="F10401" s="1">
        <v>0.58651205370765902</v>
      </c>
    </row>
    <row r="10402" spans="1:6" x14ac:dyDescent="0.25">
      <c r="A10402" s="2" t="str">
        <f t="shared" si="370"/>
        <v>47780</v>
      </c>
      <c r="B10402" s="2" t="str">
        <f>"47519"</f>
        <v>47519</v>
      </c>
      <c r="C10402" s="1">
        <v>1.6312341222088501E-2</v>
      </c>
      <c r="D10402" s="1">
        <v>7.5821398483572004E-3</v>
      </c>
      <c r="E10402" s="1">
        <v>8.3333333333333297E-3</v>
      </c>
      <c r="F10402" s="1">
        <v>1.5563014952700601E-2</v>
      </c>
    </row>
    <row r="10403" spans="1:6" x14ac:dyDescent="0.25">
      <c r="A10403" s="2" t="str">
        <f t="shared" si="370"/>
        <v>47780</v>
      </c>
      <c r="B10403" s="2" t="str">
        <f>"47562"</f>
        <v>47562</v>
      </c>
      <c r="C10403" s="1">
        <v>0.18725765476667999</v>
      </c>
      <c r="D10403" s="1">
        <v>0.15922493681550101</v>
      </c>
      <c r="E10403" s="1">
        <v>8.3333333333333301E-2</v>
      </c>
      <c r="F10403" s="1">
        <v>0.18370460787305401</v>
      </c>
    </row>
    <row r="10404" spans="1:6" x14ac:dyDescent="0.25">
      <c r="A10404" s="2" t="str">
        <f t="shared" si="370"/>
        <v>47780</v>
      </c>
      <c r="B10404" s="2" t="str">
        <f>"47558"</f>
        <v>47558</v>
      </c>
      <c r="C10404" s="1">
        <v>0.10201898649552001</v>
      </c>
      <c r="D10404" s="1">
        <v>9.2670598146587999E-2</v>
      </c>
      <c r="E10404" s="1">
        <v>2.9166666666666601E-2</v>
      </c>
      <c r="F10404" s="1">
        <v>0.100274641440341</v>
      </c>
    </row>
    <row r="10405" spans="1:6" x14ac:dyDescent="0.25">
      <c r="A10405" s="2" t="str">
        <f t="shared" si="370"/>
        <v>47780</v>
      </c>
      <c r="B10405" s="2" t="str">
        <f>"47449"</f>
        <v>47449</v>
      </c>
      <c r="C10405" s="1">
        <v>3.3426928733787902E-4</v>
      </c>
      <c r="D10405" s="1">
        <v>0</v>
      </c>
      <c r="E10405" s="1">
        <v>0</v>
      </c>
      <c r="F10405" s="1">
        <v>3.0515715593530597E-4</v>
      </c>
    </row>
    <row r="10406" spans="1:6" x14ac:dyDescent="0.25">
      <c r="A10406" s="2" t="str">
        <f t="shared" si="370"/>
        <v>47780</v>
      </c>
      <c r="B10406" s="2" t="str">
        <f>"47553"</f>
        <v>47553</v>
      </c>
      <c r="C10406" s="1">
        <v>6.6720149752640706E-2</v>
      </c>
      <c r="D10406" s="1">
        <v>2.1903959561920799E-2</v>
      </c>
      <c r="E10406" s="1">
        <v>4.1666666666666597E-3</v>
      </c>
      <c r="F10406" s="1">
        <v>6.25572169667378E-2</v>
      </c>
    </row>
    <row r="10407" spans="1:6" x14ac:dyDescent="0.25">
      <c r="A10407" s="2" t="str">
        <f t="shared" si="370"/>
        <v>47780</v>
      </c>
      <c r="B10407" s="2" t="str">
        <f>"47529"</f>
        <v>47529</v>
      </c>
      <c r="C10407" s="1">
        <v>2.82791817087845E-2</v>
      </c>
      <c r="D10407" s="1">
        <v>1.2636899747262001E-2</v>
      </c>
      <c r="E10407" s="1">
        <v>1.2500000000000001E-2</v>
      </c>
      <c r="F10407" s="1">
        <v>2.6914861153494E-2</v>
      </c>
    </row>
    <row r="10408" spans="1:6" x14ac:dyDescent="0.25">
      <c r="A10408" s="2" t="str">
        <f t="shared" ref="A10408:A10446" si="371">"22420"</f>
        <v>22420</v>
      </c>
      <c r="B10408" s="2" t="str">
        <f>"48480"</f>
        <v>48480</v>
      </c>
      <c r="C10408" s="1">
        <v>3.3763117587644201E-3</v>
      </c>
      <c r="D10408" s="1">
        <v>2.4551402474574002E-2</v>
      </c>
      <c r="E10408" s="1">
        <v>3.2362459546925502E-4</v>
      </c>
      <c r="F10408" s="1">
        <v>4.7011157085222197E-3</v>
      </c>
    </row>
    <row r="10409" spans="1:6" x14ac:dyDescent="0.25">
      <c r="A10409" s="2" t="str">
        <f t="shared" si="371"/>
        <v>22420</v>
      </c>
      <c r="B10409" s="2" t="str">
        <f>"48463"</f>
        <v>48463</v>
      </c>
      <c r="C10409" s="1">
        <v>9.3275354346764195E-3</v>
      </c>
      <c r="D10409" s="1">
        <v>5.1823540843428098E-3</v>
      </c>
      <c r="E10409" s="1">
        <v>7.2815533980582501E-3</v>
      </c>
      <c r="F10409" s="1">
        <v>8.997926863887E-3</v>
      </c>
    </row>
    <row r="10410" spans="1:6" x14ac:dyDescent="0.25">
      <c r="A10410" s="2" t="str">
        <f t="shared" si="371"/>
        <v>22420</v>
      </c>
      <c r="B10410" s="2" t="str">
        <f>"48451"</f>
        <v>48451</v>
      </c>
      <c r="C10410" s="1">
        <v>3.2378450405679E-2</v>
      </c>
      <c r="D10410" s="1">
        <v>2.0081622076828301E-2</v>
      </c>
      <c r="E10410" s="1">
        <v>1.35922330097087E-2</v>
      </c>
      <c r="F10410" s="1">
        <v>3.10626327968412E-2</v>
      </c>
    </row>
    <row r="10411" spans="1:6" x14ac:dyDescent="0.25">
      <c r="A10411" s="2" t="str">
        <f t="shared" si="371"/>
        <v>22420</v>
      </c>
      <c r="B10411" s="2" t="str">
        <f>"48417"</f>
        <v>48417</v>
      </c>
      <c r="C10411" s="1">
        <v>4.7420108971410403E-5</v>
      </c>
      <c r="D10411" s="1">
        <v>0</v>
      </c>
      <c r="E10411" s="1">
        <v>0</v>
      </c>
      <c r="F10411" s="1">
        <v>4.3011122676324E-5</v>
      </c>
    </row>
    <row r="10412" spans="1:6" x14ac:dyDescent="0.25">
      <c r="A10412" s="2" t="str">
        <f t="shared" si="371"/>
        <v>22420</v>
      </c>
      <c r="B10412" s="2" t="str">
        <f>"48430"</f>
        <v>48430</v>
      </c>
      <c r="C10412" s="1">
        <v>5.4808161949156102E-2</v>
      </c>
      <c r="D10412" s="1">
        <v>8.3241562479756406E-2</v>
      </c>
      <c r="E10412" s="1">
        <v>4.1585760517799303E-2</v>
      </c>
      <c r="F10412" s="1">
        <v>5.6344570705984497E-2</v>
      </c>
    </row>
    <row r="10413" spans="1:6" x14ac:dyDescent="0.25">
      <c r="A10413" s="2" t="str">
        <f t="shared" si="371"/>
        <v>22420</v>
      </c>
      <c r="B10413" s="2" t="str">
        <f>"48529"</f>
        <v>48529</v>
      </c>
      <c r="C10413" s="1">
        <v>2.3525116060716701E-2</v>
      </c>
      <c r="D10413" s="1">
        <v>3.3037507287685397E-2</v>
      </c>
      <c r="E10413" s="1">
        <v>1.45631067961165E-2</v>
      </c>
      <c r="F10413" s="1">
        <v>2.3918485320303801E-2</v>
      </c>
    </row>
    <row r="10414" spans="1:6" x14ac:dyDescent="0.25">
      <c r="A10414" s="2" t="str">
        <f t="shared" si="371"/>
        <v>22420</v>
      </c>
      <c r="B10414" s="2" t="str">
        <f>"48502"</f>
        <v>48502</v>
      </c>
      <c r="C10414" s="1">
        <v>2.22874512165628E-3</v>
      </c>
      <c r="D10414" s="1">
        <v>4.3402215456370997E-2</v>
      </c>
      <c r="E10414" s="1">
        <v>2.41100323624595E-2</v>
      </c>
      <c r="F10414" s="1">
        <v>5.5441337129781701E-3</v>
      </c>
    </row>
    <row r="10415" spans="1:6" x14ac:dyDescent="0.25">
      <c r="A10415" s="2" t="str">
        <f t="shared" si="371"/>
        <v>22420</v>
      </c>
      <c r="B10415" s="2" t="str">
        <f>"48460"</f>
        <v>48460</v>
      </c>
      <c r="C10415" s="1">
        <v>6.6388152559974502E-5</v>
      </c>
      <c r="D10415" s="1">
        <v>0</v>
      </c>
      <c r="E10415" s="1">
        <v>0</v>
      </c>
      <c r="F10415" s="1">
        <v>6.0215571746853697E-5</v>
      </c>
    </row>
    <row r="10416" spans="1:6" x14ac:dyDescent="0.25">
      <c r="A10416" s="2" t="str">
        <f t="shared" si="371"/>
        <v>22420</v>
      </c>
      <c r="B10416" s="2" t="str">
        <f>"48420"</f>
        <v>48420</v>
      </c>
      <c r="C10416" s="1">
        <v>4.5158169773474102E-2</v>
      </c>
      <c r="D10416" s="1">
        <v>3.5628684329856802E-2</v>
      </c>
      <c r="E10416" s="1">
        <v>3.8025889967637498E-2</v>
      </c>
      <c r="F10416" s="1">
        <v>4.4335865254754803E-2</v>
      </c>
    </row>
    <row r="10417" spans="1:6" x14ac:dyDescent="0.25">
      <c r="A10417" s="2" t="str">
        <f t="shared" si="371"/>
        <v>22420</v>
      </c>
      <c r="B10417" s="2" t="str">
        <f>"48433"</f>
        <v>48433</v>
      </c>
      <c r="C10417" s="1">
        <v>5.4547351349813401E-2</v>
      </c>
      <c r="D10417" s="1">
        <v>3.2454492453196801E-2</v>
      </c>
      <c r="E10417" s="1">
        <v>2.6699029126213501E-2</v>
      </c>
      <c r="F10417" s="1">
        <v>5.2340235184818701E-2</v>
      </c>
    </row>
    <row r="10418" spans="1:6" x14ac:dyDescent="0.25">
      <c r="A10418" s="2" t="str">
        <f t="shared" si="371"/>
        <v>22420</v>
      </c>
      <c r="B10418" s="2" t="str">
        <f>"48501"</f>
        <v>48501</v>
      </c>
      <c r="C10418" s="1">
        <v>7.8195759693855706E-3</v>
      </c>
      <c r="D10418" s="1">
        <v>2.0729416337371201E-2</v>
      </c>
      <c r="E10418" s="1">
        <v>1.6181229773462699E-4</v>
      </c>
      <c r="F10418" s="1">
        <v>8.4731911672358395E-3</v>
      </c>
    </row>
    <row r="10419" spans="1:6" x14ac:dyDescent="0.25">
      <c r="A10419" s="2" t="str">
        <f t="shared" si="371"/>
        <v>22420</v>
      </c>
      <c r="B10419" s="2" t="str">
        <f>"48504"</f>
        <v>48504</v>
      </c>
      <c r="C10419" s="1">
        <v>7.5597137722222402E-2</v>
      </c>
      <c r="D10419" s="1">
        <v>7.3459869145559298E-2</v>
      </c>
      <c r="E10419" s="1">
        <v>3.8996763754045302E-2</v>
      </c>
      <c r="F10419" s="1">
        <v>7.44823611385904E-2</v>
      </c>
    </row>
    <row r="10420" spans="1:6" x14ac:dyDescent="0.25">
      <c r="A10420" s="2" t="str">
        <f t="shared" si="371"/>
        <v>22420</v>
      </c>
      <c r="B10420" s="2" t="str">
        <f>"48462"</f>
        <v>48462</v>
      </c>
      <c r="C10420" s="1">
        <v>2.13390490371346E-4</v>
      </c>
      <c r="D10420" s="1">
        <v>0</v>
      </c>
      <c r="E10420" s="1">
        <v>0</v>
      </c>
      <c r="F10420" s="1">
        <v>1.9355005204345799E-4</v>
      </c>
    </row>
    <row r="10421" spans="1:6" x14ac:dyDescent="0.25">
      <c r="A10421" s="2" t="str">
        <f t="shared" si="371"/>
        <v>22420</v>
      </c>
      <c r="B10421" s="2" t="str">
        <f>"48437"</f>
        <v>48437</v>
      </c>
      <c r="C10421" s="1">
        <v>1.7023819120736299E-3</v>
      </c>
      <c r="D10421" s="1">
        <v>5.18235408434281E-4</v>
      </c>
      <c r="E10421" s="1">
        <v>3.7216828478964402E-3</v>
      </c>
      <c r="F10421" s="1">
        <v>1.6774337843766299E-3</v>
      </c>
    </row>
    <row r="10422" spans="1:6" x14ac:dyDescent="0.25">
      <c r="A10422" s="2" t="str">
        <f t="shared" si="371"/>
        <v>22420</v>
      </c>
      <c r="B10422" s="2" t="str">
        <f>"48438"</f>
        <v>48438</v>
      </c>
      <c r="C10422" s="1">
        <v>1.05699422897273E-2</v>
      </c>
      <c r="D10422" s="1">
        <v>6.4131631793742302E-3</v>
      </c>
      <c r="E10422" s="1">
        <v>1.06796116504854E-2</v>
      </c>
      <c r="F10422" s="1">
        <v>1.02968627687119E-2</v>
      </c>
    </row>
    <row r="10423" spans="1:6" x14ac:dyDescent="0.25">
      <c r="A10423" s="2" t="str">
        <f t="shared" si="371"/>
        <v>22420</v>
      </c>
      <c r="B10423" s="2" t="str">
        <f>"48436"</f>
        <v>48436</v>
      </c>
      <c r="C10423" s="1">
        <v>6.1740981880776301E-3</v>
      </c>
      <c r="D10423" s="1">
        <v>9.3930167778713408E-3</v>
      </c>
      <c r="E10423" s="1">
        <v>1.2944983818770201E-3</v>
      </c>
      <c r="F10423" s="1">
        <v>6.2581183494051498E-3</v>
      </c>
    </row>
    <row r="10424" spans="1:6" x14ac:dyDescent="0.25">
      <c r="A10424" s="2" t="str">
        <f t="shared" si="371"/>
        <v>22420</v>
      </c>
      <c r="B10424" s="2" t="str">
        <f>"48746"</f>
        <v>48746</v>
      </c>
      <c r="C10424" s="1">
        <v>1.6644458248964999E-3</v>
      </c>
      <c r="D10424" s="1">
        <v>0</v>
      </c>
      <c r="E10424" s="1">
        <v>0</v>
      </c>
      <c r="F10424" s="1">
        <v>1.5096904059389701E-3</v>
      </c>
    </row>
    <row r="10425" spans="1:6" x14ac:dyDescent="0.25">
      <c r="A10425" s="2" t="str">
        <f t="shared" si="371"/>
        <v>22420</v>
      </c>
      <c r="B10425" s="2" t="str">
        <f>"48505"</f>
        <v>48505</v>
      </c>
      <c r="C10425" s="1">
        <v>6.4529284288295199E-2</v>
      </c>
      <c r="D10425" s="1">
        <v>4.8584569540713801E-2</v>
      </c>
      <c r="E10425" s="1">
        <v>2.7346278317152101E-2</v>
      </c>
      <c r="F10425" s="1">
        <v>6.2482257911896003E-2</v>
      </c>
    </row>
    <row r="10426" spans="1:6" x14ac:dyDescent="0.25">
      <c r="A10426" s="2" t="str">
        <f t="shared" si="371"/>
        <v>22420</v>
      </c>
      <c r="B10426" s="2" t="str">
        <f>"48458"</f>
        <v>48458</v>
      </c>
      <c r="C10426" s="1">
        <v>5.0692096490437703E-2</v>
      </c>
      <c r="D10426" s="1">
        <v>2.6689123534365401E-2</v>
      </c>
      <c r="E10426" s="1">
        <v>4.1100323624595397E-2</v>
      </c>
      <c r="F10426" s="1">
        <v>4.8843430911233603E-2</v>
      </c>
    </row>
    <row r="10427" spans="1:6" x14ac:dyDescent="0.25">
      <c r="A10427" s="2" t="str">
        <f t="shared" si="371"/>
        <v>22420</v>
      </c>
      <c r="B10427" s="2" t="str">
        <f>"48442"</f>
        <v>48442</v>
      </c>
      <c r="C10427" s="1">
        <v>2.4373936011304899E-3</v>
      </c>
      <c r="D10427" s="1">
        <v>3.1094124506056801E-3</v>
      </c>
      <c r="E10427" s="1">
        <v>3.2362459546925502E-4</v>
      </c>
      <c r="F10427" s="1">
        <v>2.4258273189446699E-3</v>
      </c>
    </row>
    <row r="10428" spans="1:6" x14ac:dyDescent="0.25">
      <c r="A10428" s="2" t="str">
        <f t="shared" si="371"/>
        <v>22420</v>
      </c>
      <c r="B10428" s="2" t="str">
        <f>"48531"</f>
        <v>48531</v>
      </c>
      <c r="C10428" s="1">
        <v>3.6466063799014598E-3</v>
      </c>
      <c r="D10428" s="1">
        <v>6.6722808835913703E-3</v>
      </c>
      <c r="E10428" s="1">
        <v>3.2362459546925502E-4</v>
      </c>
      <c r="F10428" s="1">
        <v>3.7591721219107201E-3</v>
      </c>
    </row>
    <row r="10429" spans="1:6" x14ac:dyDescent="0.25">
      <c r="A10429" s="2" t="str">
        <f t="shared" si="371"/>
        <v>22420</v>
      </c>
      <c r="B10429" s="2" t="str">
        <f>"48429"</f>
        <v>48429</v>
      </c>
      <c r="C10429" s="1">
        <v>6.4491348201118097E-4</v>
      </c>
      <c r="D10429" s="1">
        <v>1.2955885210857001E-4</v>
      </c>
      <c r="E10429" s="1">
        <v>0</v>
      </c>
      <c r="F10429" s="1">
        <v>5.9355349293327203E-4</v>
      </c>
    </row>
    <row r="10430" spans="1:6" x14ac:dyDescent="0.25">
      <c r="A10430" s="2" t="str">
        <f t="shared" si="371"/>
        <v>22420</v>
      </c>
      <c r="B10430" s="2" t="str">
        <f>"48449"</f>
        <v>48449</v>
      </c>
      <c r="C10430" s="1">
        <v>4.33419795998691E-3</v>
      </c>
      <c r="D10430" s="1">
        <v>1.2955885210857001E-3</v>
      </c>
      <c r="E10430" s="1">
        <v>1.4563106796116501E-3</v>
      </c>
      <c r="F10430" s="1">
        <v>4.0559488683773598E-3</v>
      </c>
    </row>
    <row r="10431" spans="1:6" x14ac:dyDescent="0.25">
      <c r="A10431" s="2" t="str">
        <f t="shared" si="371"/>
        <v>22420</v>
      </c>
      <c r="B10431" s="2" t="str">
        <f>"48464"</f>
        <v>48464</v>
      </c>
      <c r="C10431" s="1">
        <v>3.0823070831416703E-4</v>
      </c>
      <c r="D10431" s="1">
        <v>3.2389713027142501E-4</v>
      </c>
      <c r="E10431" s="1">
        <v>0</v>
      </c>
      <c r="F10431" s="1">
        <v>3.0107785873426801E-4</v>
      </c>
    </row>
    <row r="10432" spans="1:6" x14ac:dyDescent="0.25">
      <c r="A10432" s="2" t="str">
        <f t="shared" si="371"/>
        <v>22420</v>
      </c>
      <c r="B10432" s="2" t="str">
        <f>"48457"</f>
        <v>48457</v>
      </c>
      <c r="C10432" s="1">
        <v>1.37992517106804E-2</v>
      </c>
      <c r="D10432" s="1">
        <v>6.2188249012113698E-3</v>
      </c>
      <c r="E10432" s="1">
        <v>8.4142394822006392E-3</v>
      </c>
      <c r="F10432" s="1">
        <v>1.31528013144199E-2</v>
      </c>
    </row>
    <row r="10433" spans="1:6" x14ac:dyDescent="0.25">
      <c r="A10433" s="2" t="str">
        <f t="shared" si="371"/>
        <v>22420</v>
      </c>
      <c r="B10433" s="2" t="str">
        <f>"48550"</f>
        <v>48550</v>
      </c>
      <c r="C10433" s="1">
        <v>0</v>
      </c>
      <c r="D10433" s="1">
        <v>0</v>
      </c>
      <c r="E10433" s="1">
        <v>1.6181229773462699E-4</v>
      </c>
      <c r="F10433" s="1">
        <v>4.3011122676323998E-6</v>
      </c>
    </row>
    <row r="10434" spans="1:6" x14ac:dyDescent="0.25">
      <c r="A10434" s="2" t="str">
        <f t="shared" si="371"/>
        <v>22420</v>
      </c>
      <c r="B10434" s="2" t="str">
        <f>"48519"</f>
        <v>48519</v>
      </c>
      <c r="C10434" s="1">
        <v>1.7872639071324501E-2</v>
      </c>
      <c r="D10434" s="1">
        <v>1.0105590464468401E-2</v>
      </c>
      <c r="E10434" s="1">
        <v>8.7378640776698997E-3</v>
      </c>
      <c r="F10434" s="1">
        <v>1.7114125712909298E-2</v>
      </c>
    </row>
    <row r="10435" spans="1:6" x14ac:dyDescent="0.25">
      <c r="A10435" s="2" t="str">
        <f t="shared" si="371"/>
        <v>22420</v>
      </c>
      <c r="B10435" s="2" t="str">
        <f>"48507"</f>
        <v>48507</v>
      </c>
      <c r="C10435" s="1">
        <v>7.8105661486810002E-2</v>
      </c>
      <c r="D10435" s="1">
        <v>0.13558333873161801</v>
      </c>
      <c r="E10435" s="1">
        <v>0.114077669902912</v>
      </c>
      <c r="F10435" s="1">
        <v>8.2878132285008899E-2</v>
      </c>
    </row>
    <row r="10436" spans="1:6" x14ac:dyDescent="0.25">
      <c r="A10436" s="2" t="str">
        <f t="shared" si="371"/>
        <v>22420</v>
      </c>
      <c r="B10436" s="2" t="str">
        <f>"48418"</f>
        <v>48418</v>
      </c>
      <c r="C10436" s="1">
        <v>2.7124302331646699E-3</v>
      </c>
      <c r="D10436" s="1">
        <v>5.18235408434281E-4</v>
      </c>
      <c r="E10436" s="1">
        <v>3.2362459546925502E-4</v>
      </c>
      <c r="F10436" s="1">
        <v>2.5032473397620602E-3</v>
      </c>
    </row>
    <row r="10437" spans="1:6" x14ac:dyDescent="0.25">
      <c r="A10437" s="2" t="str">
        <f t="shared" si="371"/>
        <v>22420</v>
      </c>
      <c r="B10437" s="2" t="str">
        <f>"48415"</f>
        <v>48415</v>
      </c>
      <c r="C10437" s="1">
        <v>3.27198751902731E-4</v>
      </c>
      <c r="D10437" s="1">
        <v>0</v>
      </c>
      <c r="E10437" s="1">
        <v>0</v>
      </c>
      <c r="F10437" s="1">
        <v>2.9677674646663601E-4</v>
      </c>
    </row>
    <row r="10438" spans="1:6" x14ac:dyDescent="0.25">
      <c r="A10438" s="2" t="str">
        <f t="shared" si="371"/>
        <v>22420</v>
      </c>
      <c r="B10438" s="2" t="str">
        <f>"48473"</f>
        <v>48473</v>
      </c>
      <c r="C10438" s="1">
        <v>4.8425415281604302E-2</v>
      </c>
      <c r="D10438" s="1">
        <v>3.0899786227894001E-2</v>
      </c>
      <c r="E10438" s="1">
        <v>3.75404530744336E-2</v>
      </c>
      <c r="F10438" s="1">
        <v>4.6972447074813503E-2</v>
      </c>
    </row>
    <row r="10439" spans="1:6" x14ac:dyDescent="0.25">
      <c r="A10439" s="2" t="str">
        <f t="shared" si="371"/>
        <v>22420</v>
      </c>
      <c r="B10439" s="2" t="str">
        <f>"48439"</f>
        <v>48439</v>
      </c>
      <c r="C10439" s="1">
        <v>0.109554677756649</v>
      </c>
      <c r="D10439" s="1">
        <v>7.6310163891947905E-2</v>
      </c>
      <c r="E10439" s="1">
        <v>0.158899676375404</v>
      </c>
      <c r="F10439" s="1">
        <v>0.108658999217197</v>
      </c>
    </row>
    <row r="10440" spans="1:6" x14ac:dyDescent="0.25">
      <c r="A10440" s="2" t="str">
        <f t="shared" si="371"/>
        <v>22420</v>
      </c>
      <c r="B10440" s="2" t="str">
        <f>"48411"</f>
        <v>48411</v>
      </c>
      <c r="C10440" s="1">
        <v>3.8884489356556503E-4</v>
      </c>
      <c r="D10440" s="1">
        <v>6.4779426054285098E-5</v>
      </c>
      <c r="E10440" s="1">
        <v>4.8543689320388299E-4</v>
      </c>
      <c r="F10440" s="1">
        <v>3.6989565501638702E-4</v>
      </c>
    </row>
    <row r="10441" spans="1:6" x14ac:dyDescent="0.25">
      <c r="A10441" s="2" t="str">
        <f t="shared" si="371"/>
        <v>22420</v>
      </c>
      <c r="B10441" s="2" t="str">
        <f>"48503"</f>
        <v>48503</v>
      </c>
      <c r="C10441" s="1">
        <v>6.2106116719856198E-2</v>
      </c>
      <c r="D10441" s="1">
        <v>5.8819718857290898E-2</v>
      </c>
      <c r="E10441" s="1">
        <v>0.116666666666666</v>
      </c>
      <c r="F10441" s="1">
        <v>6.3338179253154797E-2</v>
      </c>
    </row>
    <row r="10442" spans="1:6" x14ac:dyDescent="0.25">
      <c r="A10442" s="2" t="str">
        <f t="shared" si="371"/>
        <v>22420</v>
      </c>
      <c r="B10442" s="2" t="str">
        <f>"48532"</f>
        <v>48532</v>
      </c>
      <c r="C10442" s="1">
        <v>4.81503786495701E-2</v>
      </c>
      <c r="D10442" s="1">
        <v>8.4148474444516397E-2</v>
      </c>
      <c r="E10442" s="1">
        <v>8.8025889967637494E-2</v>
      </c>
      <c r="F10442" s="1">
        <v>5.1600443874786003E-2</v>
      </c>
    </row>
    <row r="10443" spans="1:6" x14ac:dyDescent="0.25">
      <c r="A10443" s="2" t="str">
        <f t="shared" si="371"/>
        <v>22420</v>
      </c>
      <c r="B10443" s="2" t="str">
        <f>"48509"</f>
        <v>48509</v>
      </c>
      <c r="C10443" s="1">
        <v>2.05661012609006E-2</v>
      </c>
      <c r="D10443" s="1">
        <v>3.3620522122173903E-2</v>
      </c>
      <c r="E10443" s="1">
        <v>1.40776699029126E-2</v>
      </c>
      <c r="F10443" s="1">
        <v>2.1260397938907001E-2</v>
      </c>
    </row>
    <row r="10444" spans="1:6" x14ac:dyDescent="0.25">
      <c r="A10444" s="2" t="str">
        <f t="shared" si="371"/>
        <v>22420</v>
      </c>
      <c r="B10444" s="2" t="str">
        <f>"48506"</f>
        <v>48506</v>
      </c>
      <c r="C10444" s="1">
        <v>6.3362749607598495E-2</v>
      </c>
      <c r="D10444" s="1">
        <v>4.7224201593573802E-2</v>
      </c>
      <c r="E10444" s="1">
        <v>8.4627831715210294E-2</v>
      </c>
      <c r="F10444" s="1">
        <v>6.2856454679179996E-2</v>
      </c>
    </row>
    <row r="10445" spans="1:6" x14ac:dyDescent="0.25">
      <c r="A10445" s="2" t="str">
        <f t="shared" si="371"/>
        <v>22420</v>
      </c>
      <c r="B10445" s="2" t="str">
        <f>"48423"</f>
        <v>48423</v>
      </c>
      <c r="C10445" s="1">
        <v>7.8281115890004305E-2</v>
      </c>
      <c r="D10445" s="1">
        <v>4.1588391526851003E-2</v>
      </c>
      <c r="E10445" s="1">
        <v>7.6375404530744304E-2</v>
      </c>
      <c r="F10445" s="1">
        <v>7.5794200380218293E-2</v>
      </c>
    </row>
    <row r="10446" spans="1:6" x14ac:dyDescent="0.25">
      <c r="A10446" s="2" t="str">
        <f t="shared" si="371"/>
        <v>22420</v>
      </c>
      <c r="B10446" s="2" t="str">
        <f>"48421"</f>
        <v>48421</v>
      </c>
      <c r="C10446" s="1">
        <v>5.5007326406836005E-4</v>
      </c>
      <c r="D10446" s="1">
        <v>0</v>
      </c>
      <c r="E10446" s="1">
        <v>0</v>
      </c>
      <c r="F10446" s="1">
        <v>4.9892902304535898E-4</v>
      </c>
    </row>
    <row r="10447" spans="1:6" x14ac:dyDescent="0.25">
      <c r="A10447" s="2" t="str">
        <f t="shared" ref="A10447:A10478" si="372">"24340"</f>
        <v>24340</v>
      </c>
      <c r="B10447" s="2" t="str">
        <f>"49519"</f>
        <v>49519</v>
      </c>
      <c r="C10447" s="1">
        <v>2.6278753869107201E-2</v>
      </c>
      <c r="D10447" s="1">
        <v>1.9135711838692299E-2</v>
      </c>
      <c r="E10447" s="1">
        <v>5.1029543419874597E-2</v>
      </c>
      <c r="F10447" s="1">
        <v>2.66286780959866E-2</v>
      </c>
    </row>
    <row r="10448" spans="1:6" x14ac:dyDescent="0.25">
      <c r="A10448" s="2" t="str">
        <f t="shared" si="372"/>
        <v>24340</v>
      </c>
      <c r="B10448" s="2" t="str">
        <f>"49508"</f>
        <v>49508</v>
      </c>
      <c r="C10448" s="1">
        <v>3.5742757253880202E-2</v>
      </c>
      <c r="D10448" s="1">
        <v>2.75534674301375E-2</v>
      </c>
      <c r="E10448" s="1">
        <v>5.8665543209226297E-2</v>
      </c>
      <c r="F10448" s="1">
        <v>3.5940462740089399E-2</v>
      </c>
    </row>
    <row r="10449" spans="1:6" x14ac:dyDescent="0.25">
      <c r="A10449" s="2" t="str">
        <f t="shared" si="372"/>
        <v>24340</v>
      </c>
      <c r="B10449" s="2" t="str">
        <f>"49501"</f>
        <v>49501</v>
      </c>
      <c r="C10449" s="1">
        <v>2.9483154073975098E-3</v>
      </c>
      <c r="D10449" s="1">
        <v>1.5244946899623101E-2</v>
      </c>
      <c r="E10449" s="1">
        <v>1.5798620253831101E-4</v>
      </c>
      <c r="F10449" s="1">
        <v>3.8316058358304201E-3</v>
      </c>
    </row>
    <row r="10450" spans="1:6" x14ac:dyDescent="0.25">
      <c r="A10450" s="2" t="str">
        <f t="shared" si="372"/>
        <v>24340</v>
      </c>
      <c r="B10450" s="2" t="str">
        <f>"49505"</f>
        <v>49505</v>
      </c>
      <c r="C10450" s="1">
        <v>3.1411583940142901E-2</v>
      </c>
      <c r="D10450" s="1">
        <v>1.82058434884745E-2</v>
      </c>
      <c r="E10450" s="1">
        <v>4.2761598820369603E-2</v>
      </c>
      <c r="F10450" s="1">
        <v>3.07746721029621E-2</v>
      </c>
    </row>
    <row r="10451" spans="1:6" x14ac:dyDescent="0.25">
      <c r="A10451" s="2" t="str">
        <f t="shared" si="372"/>
        <v>24340</v>
      </c>
      <c r="B10451" s="2" t="str">
        <f>"49317"</f>
        <v>49317</v>
      </c>
      <c r="C10451" s="1">
        <v>0</v>
      </c>
      <c r="D10451" s="1">
        <v>2.4470219742573199E-5</v>
      </c>
      <c r="E10451" s="1">
        <v>0</v>
      </c>
      <c r="F10451" s="1">
        <v>1.96492606965662E-6</v>
      </c>
    </row>
    <row r="10452" spans="1:6" x14ac:dyDescent="0.25">
      <c r="A10452" s="2" t="str">
        <f t="shared" si="372"/>
        <v>24340</v>
      </c>
      <c r="B10452" s="2" t="str">
        <f>"49330"</f>
        <v>49330</v>
      </c>
      <c r="C10452" s="1">
        <v>4.2866368272206998E-3</v>
      </c>
      <c r="D10452" s="1">
        <v>2.2267899965741599E-3</v>
      </c>
      <c r="E10452" s="1">
        <v>2.00115856548528E-3</v>
      </c>
      <c r="F10452" s="1">
        <v>4.0359581470747101E-3</v>
      </c>
    </row>
    <row r="10453" spans="1:6" x14ac:dyDescent="0.25">
      <c r="A10453" s="2" t="str">
        <f t="shared" si="372"/>
        <v>24340</v>
      </c>
      <c r="B10453" s="2" t="str">
        <f>"49326"</f>
        <v>49326</v>
      </c>
      <c r="C10453" s="1">
        <v>4.1775224352550797E-3</v>
      </c>
      <c r="D10453" s="1">
        <v>5.8728527382175802E-4</v>
      </c>
      <c r="E10453" s="1">
        <v>3.1597240507662299E-4</v>
      </c>
      <c r="F10453" s="1">
        <v>3.7451490887655302E-3</v>
      </c>
    </row>
    <row r="10454" spans="1:6" x14ac:dyDescent="0.25">
      <c r="A10454" s="2" t="str">
        <f t="shared" si="372"/>
        <v>24340</v>
      </c>
      <c r="B10454" s="2" t="str">
        <f>"49321"</f>
        <v>49321</v>
      </c>
      <c r="C10454" s="1">
        <v>1.6774667646469298E-2</v>
      </c>
      <c r="D10454" s="1">
        <v>1.68110409631478E-2</v>
      </c>
      <c r="E10454" s="1">
        <v>2.4698509663489299E-2</v>
      </c>
      <c r="F10454" s="1">
        <v>1.70732426192464E-2</v>
      </c>
    </row>
    <row r="10455" spans="1:6" x14ac:dyDescent="0.25">
      <c r="A10455" s="2" t="str">
        <f t="shared" si="372"/>
        <v>24340</v>
      </c>
      <c r="B10455" s="2" t="str">
        <f>"49319"</f>
        <v>49319</v>
      </c>
      <c r="C10455" s="1">
        <v>1.46458235909769E-2</v>
      </c>
      <c r="D10455" s="1">
        <v>7.4144765819996999E-3</v>
      </c>
      <c r="E10455" s="1">
        <v>6.3721101690452303E-3</v>
      </c>
      <c r="F10455" s="1">
        <v>1.3756447413666001E-2</v>
      </c>
    </row>
    <row r="10456" spans="1:6" x14ac:dyDescent="0.25">
      <c r="A10456" s="2" t="str">
        <f t="shared" si="372"/>
        <v>24340</v>
      </c>
      <c r="B10456" s="2" t="str">
        <f>"49303"</f>
        <v>49303</v>
      </c>
      <c r="C10456" s="1">
        <v>2.2268243258289302E-6</v>
      </c>
      <c r="D10456" s="1">
        <v>0</v>
      </c>
      <c r="E10456" s="1">
        <v>0</v>
      </c>
      <c r="F10456" s="1">
        <v>1.96492606965662E-6</v>
      </c>
    </row>
    <row r="10457" spans="1:6" x14ac:dyDescent="0.25">
      <c r="A10457" s="2" t="str">
        <f t="shared" si="372"/>
        <v>24340</v>
      </c>
      <c r="B10457" s="2" t="str">
        <f>"49315"</f>
        <v>49315</v>
      </c>
      <c r="C10457" s="1">
        <v>2.21658093393012E-2</v>
      </c>
      <c r="D10457" s="1">
        <v>2.3907404688494099E-2</v>
      </c>
      <c r="E10457" s="1">
        <v>1.6693875401548201E-2</v>
      </c>
      <c r="F10457" s="1">
        <v>2.2101488431497701E-2</v>
      </c>
    </row>
    <row r="10458" spans="1:6" x14ac:dyDescent="0.25">
      <c r="A10458" s="2" t="str">
        <f t="shared" si="372"/>
        <v>24340</v>
      </c>
      <c r="B10458" s="2" t="str">
        <f>"49434"</f>
        <v>49434</v>
      </c>
      <c r="C10458" s="1">
        <v>1.5810452713385401E-4</v>
      </c>
      <c r="D10458" s="1">
        <v>9.7880878970293093E-5</v>
      </c>
      <c r="E10458" s="1">
        <v>0</v>
      </c>
      <c r="F10458" s="1">
        <v>1.47369455224247E-4</v>
      </c>
    </row>
    <row r="10459" spans="1:6" x14ac:dyDescent="0.25">
      <c r="A10459" s="2" t="str">
        <f t="shared" si="372"/>
        <v>24340</v>
      </c>
      <c r="B10459" s="2" t="str">
        <f>"49423"</f>
        <v>49423</v>
      </c>
      <c r="C10459" s="1">
        <v>2.65303850179259E-2</v>
      </c>
      <c r="D10459" s="1">
        <v>3.4282777859345102E-2</v>
      </c>
      <c r="E10459" s="1">
        <v>3.6547474853862699E-2</v>
      </c>
      <c r="F10459" s="1">
        <v>2.7526649309819701E-2</v>
      </c>
    </row>
    <row r="10460" spans="1:6" x14ac:dyDescent="0.25">
      <c r="A10460" s="2" t="str">
        <f t="shared" si="372"/>
        <v>24340</v>
      </c>
      <c r="B10460" s="2" t="str">
        <f>"49337"</f>
        <v>49337</v>
      </c>
      <c r="C10460" s="1">
        <v>1.6923864876299899E-4</v>
      </c>
      <c r="D10460" s="1">
        <v>0</v>
      </c>
      <c r="E10460" s="1">
        <v>0</v>
      </c>
      <c r="F10460" s="1">
        <v>1.4933438129390299E-4</v>
      </c>
    </row>
    <row r="10461" spans="1:6" x14ac:dyDescent="0.25">
      <c r="A10461" s="2" t="str">
        <f t="shared" si="372"/>
        <v>24340</v>
      </c>
      <c r="B10461" s="2" t="str">
        <f>"48870"</f>
        <v>48870</v>
      </c>
      <c r="C10461" s="1">
        <v>0</v>
      </c>
      <c r="D10461" s="1">
        <v>2.4470219742573199E-5</v>
      </c>
      <c r="E10461" s="1">
        <v>0</v>
      </c>
      <c r="F10461" s="1">
        <v>1.96492606965662E-6</v>
      </c>
    </row>
    <row r="10462" spans="1:6" x14ac:dyDescent="0.25">
      <c r="A10462" s="2" t="str">
        <f t="shared" si="372"/>
        <v>24340</v>
      </c>
      <c r="B10462" s="2" t="str">
        <f>"48889"</f>
        <v>48889</v>
      </c>
      <c r="C10462" s="1">
        <v>7.5712027078183794E-5</v>
      </c>
      <c r="D10462" s="1">
        <v>0</v>
      </c>
      <c r="E10462" s="1">
        <v>0</v>
      </c>
      <c r="F10462" s="1">
        <v>6.6807486368325306E-5</v>
      </c>
    </row>
    <row r="10463" spans="1:6" x14ac:dyDescent="0.25">
      <c r="A10463" s="2" t="str">
        <f t="shared" si="372"/>
        <v>24340</v>
      </c>
      <c r="B10463" s="2" t="str">
        <f>"48888"</f>
        <v>48888</v>
      </c>
      <c r="C10463" s="1">
        <v>6.9900015587770203E-3</v>
      </c>
      <c r="D10463" s="1">
        <v>3.0832476875642298E-3</v>
      </c>
      <c r="E10463" s="1">
        <v>3.8969929959450202E-3</v>
      </c>
      <c r="F10463" s="1">
        <v>6.5608881465834797E-3</v>
      </c>
    </row>
    <row r="10464" spans="1:6" x14ac:dyDescent="0.25">
      <c r="A10464" s="2" t="str">
        <f t="shared" si="372"/>
        <v>24340</v>
      </c>
      <c r="B10464" s="2" t="str">
        <f>"48875"</f>
        <v>48875</v>
      </c>
      <c r="C10464" s="1">
        <v>9.7401296011757604E-3</v>
      </c>
      <c r="D10464" s="1">
        <v>6.0196740566730196E-3</v>
      </c>
      <c r="E10464" s="1">
        <v>3.3703723208173102E-3</v>
      </c>
      <c r="F10464" s="1">
        <v>9.2037137102716493E-3</v>
      </c>
    </row>
    <row r="10465" spans="1:6" x14ac:dyDescent="0.25">
      <c r="A10465" s="2" t="str">
        <f t="shared" si="372"/>
        <v>24340</v>
      </c>
      <c r="B10465" s="2" t="str">
        <f>"48852"</f>
        <v>48852</v>
      </c>
      <c r="C10465" s="1">
        <v>2.2268243258289302E-6</v>
      </c>
      <c r="D10465" s="1">
        <v>7.3410659227719807E-5</v>
      </c>
      <c r="E10465" s="1">
        <v>0</v>
      </c>
      <c r="F10465" s="1">
        <v>7.8597042786265104E-6</v>
      </c>
    </row>
    <row r="10466" spans="1:6" x14ac:dyDescent="0.25">
      <c r="A10466" s="2" t="str">
        <f t="shared" si="372"/>
        <v>24340</v>
      </c>
      <c r="B10466" s="2" t="str">
        <f>"48849"</f>
        <v>48849</v>
      </c>
      <c r="C10466" s="1">
        <v>4.8745184492395297E-3</v>
      </c>
      <c r="D10466" s="1">
        <v>3.6950031811285602E-3</v>
      </c>
      <c r="E10466" s="1">
        <v>1.63252409289588E-3</v>
      </c>
      <c r="F10466" s="1">
        <v>4.6588397111558596E-3</v>
      </c>
    </row>
    <row r="10467" spans="1:6" x14ac:dyDescent="0.25">
      <c r="A10467" s="2" t="str">
        <f t="shared" si="372"/>
        <v>24340</v>
      </c>
      <c r="B10467" s="2" t="str">
        <f>"49516"</f>
        <v>49516</v>
      </c>
      <c r="C10467" s="1">
        <v>1.83713006880887E-3</v>
      </c>
      <c r="D10467" s="1">
        <v>8.0507022953066106E-3</v>
      </c>
      <c r="E10467" s="1">
        <v>1.05324135025541E-4</v>
      </c>
      <c r="F10467" s="1">
        <v>2.2714545365230599E-3</v>
      </c>
    </row>
    <row r="10468" spans="1:6" x14ac:dyDescent="0.25">
      <c r="A10468" s="2" t="str">
        <f t="shared" si="372"/>
        <v>24340</v>
      </c>
      <c r="B10468" s="2" t="str">
        <f>"49456"</f>
        <v>49456</v>
      </c>
      <c r="C10468" s="1">
        <v>2.15133498118333E-2</v>
      </c>
      <c r="D10468" s="1">
        <v>1.38990848137816E-2</v>
      </c>
      <c r="E10468" s="1">
        <v>1.7273158144188699E-2</v>
      </c>
      <c r="F10468" s="1">
        <v>2.0743724517365E-2</v>
      </c>
    </row>
    <row r="10469" spans="1:6" x14ac:dyDescent="0.25">
      <c r="A10469" s="2" t="str">
        <f t="shared" si="372"/>
        <v>24340</v>
      </c>
      <c r="B10469" s="2" t="str">
        <f>"49327"</f>
        <v>49327</v>
      </c>
      <c r="C10469" s="1">
        <v>5.7897432471552301E-5</v>
      </c>
      <c r="D10469" s="1">
        <v>0</v>
      </c>
      <c r="E10469" s="1">
        <v>0</v>
      </c>
      <c r="F10469" s="1">
        <v>5.1088077811072299E-5</v>
      </c>
    </row>
    <row r="10470" spans="1:6" x14ac:dyDescent="0.25">
      <c r="A10470" s="2" t="str">
        <f t="shared" si="372"/>
        <v>24340</v>
      </c>
      <c r="B10470" s="2" t="str">
        <f>"49301"</f>
        <v>49301</v>
      </c>
      <c r="C10470" s="1">
        <v>1.7144320484556899E-2</v>
      </c>
      <c r="D10470" s="1">
        <v>1.67131600841775E-2</v>
      </c>
      <c r="E10470" s="1">
        <v>5.9508136289430696E-3</v>
      </c>
      <c r="F10470" s="1">
        <v>1.6692046961733001E-2</v>
      </c>
    </row>
    <row r="10471" spans="1:6" x14ac:dyDescent="0.25">
      <c r="A10471" s="2" t="str">
        <f t="shared" si="372"/>
        <v>24340</v>
      </c>
      <c r="B10471" s="2" t="str">
        <f>"49429"</f>
        <v>49429</v>
      </c>
      <c r="C10471" s="1">
        <v>1.0020709466230201E-3</v>
      </c>
      <c r="D10471" s="1">
        <v>5.6526207605344199E-3</v>
      </c>
      <c r="E10471" s="1">
        <v>1.05324135025541E-4</v>
      </c>
      <c r="F10471" s="1">
        <v>1.3420445055754701E-3</v>
      </c>
    </row>
    <row r="10472" spans="1:6" x14ac:dyDescent="0.25">
      <c r="A10472" s="2" t="str">
        <f t="shared" si="372"/>
        <v>24340</v>
      </c>
      <c r="B10472" s="2" t="str">
        <f>"49418"</f>
        <v>49418</v>
      </c>
      <c r="C10472" s="1">
        <v>2.7521321842919801E-2</v>
      </c>
      <c r="D10472" s="1">
        <v>3.43072480790877E-2</v>
      </c>
      <c r="E10472" s="1">
        <v>3.7495392069092602E-2</v>
      </c>
      <c r="F10472" s="1">
        <v>2.8438375006140298E-2</v>
      </c>
    </row>
    <row r="10473" spans="1:6" x14ac:dyDescent="0.25">
      <c r="A10473" s="2" t="str">
        <f t="shared" si="372"/>
        <v>24340</v>
      </c>
      <c r="B10473" s="2" t="str">
        <f>"49428"</f>
        <v>49428</v>
      </c>
      <c r="C10473" s="1">
        <v>2.2132406974413699E-2</v>
      </c>
      <c r="D10473" s="1">
        <v>1.8939950080751701E-2</v>
      </c>
      <c r="E10473" s="1">
        <v>1.5745958186318298E-2</v>
      </c>
      <c r="F10473" s="1">
        <v>2.1637765879058801E-2</v>
      </c>
    </row>
    <row r="10474" spans="1:6" x14ac:dyDescent="0.25">
      <c r="A10474" s="2" t="str">
        <f t="shared" si="372"/>
        <v>24340</v>
      </c>
      <c r="B10474" s="2" t="str">
        <f>"49341"</f>
        <v>49341</v>
      </c>
      <c r="C10474" s="1">
        <v>3.3288796846816703E-2</v>
      </c>
      <c r="D10474" s="1">
        <v>2.2904125679048499E-2</v>
      </c>
      <c r="E10474" s="1">
        <v>1.5798620253831101E-2</v>
      </c>
      <c r="F10474" s="1">
        <v>3.1802328437392502E-2</v>
      </c>
    </row>
    <row r="10475" spans="1:6" x14ac:dyDescent="0.25">
      <c r="A10475" s="2" t="str">
        <f t="shared" si="372"/>
        <v>24340</v>
      </c>
      <c r="B10475" s="2" t="str">
        <f>"48812"</f>
        <v>48812</v>
      </c>
      <c r="C10475" s="1">
        <v>0</v>
      </c>
      <c r="D10475" s="1">
        <v>2.4470219742573199E-5</v>
      </c>
      <c r="E10475" s="1">
        <v>0</v>
      </c>
      <c r="F10475" s="1">
        <v>1.96492606965662E-6</v>
      </c>
    </row>
    <row r="10476" spans="1:6" x14ac:dyDescent="0.25">
      <c r="A10476" s="2" t="str">
        <f t="shared" si="372"/>
        <v>24340</v>
      </c>
      <c r="B10476" s="2" t="str">
        <f>"49515"</f>
        <v>49515</v>
      </c>
      <c r="C10476" s="1">
        <v>2.73008662346627E-3</v>
      </c>
      <c r="D10476" s="1">
        <v>6.6314295502373603E-3</v>
      </c>
      <c r="E10476" s="1">
        <v>1.05324135025541E-4</v>
      </c>
      <c r="F10476" s="1">
        <v>2.9454241784152798E-3</v>
      </c>
    </row>
    <row r="10477" spans="1:6" x14ac:dyDescent="0.25">
      <c r="A10477" s="2" t="str">
        <f t="shared" si="372"/>
        <v>24340</v>
      </c>
      <c r="B10477" s="2" t="str">
        <f>"49546"</f>
        <v>49546</v>
      </c>
      <c r="C10477" s="1">
        <v>3.0302625425880102E-2</v>
      </c>
      <c r="D10477" s="1">
        <v>5.7186903538393702E-2</v>
      </c>
      <c r="E10477" s="1">
        <v>5.3504660592974797E-2</v>
      </c>
      <c r="F10477" s="1">
        <v>3.3327111067446E-2</v>
      </c>
    </row>
    <row r="10478" spans="1:6" x14ac:dyDescent="0.25">
      <c r="A10478" s="2" t="str">
        <f t="shared" si="372"/>
        <v>24340</v>
      </c>
      <c r="B10478" s="2" t="str">
        <f>"49468"</f>
        <v>49468</v>
      </c>
      <c r="C10478" s="1">
        <v>4.8990135168236503E-4</v>
      </c>
      <c r="D10478" s="1">
        <v>5.6036803210492798E-3</v>
      </c>
      <c r="E10478" s="1">
        <v>1.05324135025541E-4</v>
      </c>
      <c r="F10478" s="1">
        <v>8.8618165741513903E-4</v>
      </c>
    </row>
    <row r="10479" spans="1:6" x14ac:dyDescent="0.25">
      <c r="A10479" s="2" t="str">
        <f t="shared" ref="A10479:A10510" si="373">"24340"</f>
        <v>24340</v>
      </c>
      <c r="B10479" s="2" t="str">
        <f>"49451"</f>
        <v>49451</v>
      </c>
      <c r="C10479" s="1">
        <v>2.8280668938027398E-4</v>
      </c>
      <c r="D10479" s="1">
        <v>4.8940439485146499E-5</v>
      </c>
      <c r="E10479" s="1">
        <v>2.1064827005108199E-4</v>
      </c>
      <c r="F10479" s="1">
        <v>2.6133516726433098E-4</v>
      </c>
    </row>
    <row r="10480" spans="1:6" x14ac:dyDescent="0.25">
      <c r="A10480" s="2" t="str">
        <f t="shared" si="373"/>
        <v>24340</v>
      </c>
      <c r="B10480" s="2" t="str">
        <f>"49323"</f>
        <v>49323</v>
      </c>
      <c r="C10480" s="1">
        <v>2.89487162357761E-5</v>
      </c>
      <c r="D10480" s="1">
        <v>0</v>
      </c>
      <c r="E10480" s="1">
        <v>0</v>
      </c>
      <c r="F10480" s="1">
        <v>2.5544038905536099E-5</v>
      </c>
    </row>
    <row r="10481" spans="1:6" x14ac:dyDescent="0.25">
      <c r="A10481" s="2" t="str">
        <f t="shared" si="373"/>
        <v>24340</v>
      </c>
      <c r="B10481" s="2" t="str">
        <f>"49331"</f>
        <v>49331</v>
      </c>
      <c r="C10481" s="1">
        <v>1.56189458213641E-2</v>
      </c>
      <c r="D10481" s="1">
        <v>9.1763324034649808E-3</v>
      </c>
      <c r="E10481" s="1">
        <v>7.3200273842751002E-3</v>
      </c>
      <c r="F10481" s="1">
        <v>1.4791963452375099E-2</v>
      </c>
    </row>
    <row r="10482" spans="1:6" x14ac:dyDescent="0.25">
      <c r="A10482" s="2" t="str">
        <f t="shared" si="373"/>
        <v>24340</v>
      </c>
      <c r="B10482" s="2" t="str">
        <f>"49310"</f>
        <v>49310</v>
      </c>
      <c r="C10482" s="1">
        <v>1.02433918988131E-4</v>
      </c>
      <c r="D10482" s="1">
        <v>1.4682131845543899E-4</v>
      </c>
      <c r="E10482" s="1">
        <v>0</v>
      </c>
      <c r="F10482" s="1">
        <v>1.02176155622144E-4</v>
      </c>
    </row>
    <row r="10483" spans="1:6" x14ac:dyDescent="0.25">
      <c r="A10483" s="2" t="str">
        <f t="shared" si="373"/>
        <v>24340</v>
      </c>
      <c r="B10483" s="2" t="str">
        <f>"49403"</f>
        <v>49403</v>
      </c>
      <c r="C10483" s="1">
        <v>1.9818736499877501E-3</v>
      </c>
      <c r="D10483" s="1">
        <v>1.0522194489306501E-3</v>
      </c>
      <c r="E10483" s="1">
        <v>2.1064827005108199E-4</v>
      </c>
      <c r="F10483" s="1">
        <v>1.84113572726826E-3</v>
      </c>
    </row>
    <row r="10484" spans="1:6" x14ac:dyDescent="0.25">
      <c r="A10484" s="2" t="str">
        <f t="shared" si="373"/>
        <v>24340</v>
      </c>
      <c r="B10484" s="2" t="str">
        <f>"49426"</f>
        <v>49426</v>
      </c>
      <c r="C10484" s="1">
        <v>3.2729863941033603E-2</v>
      </c>
      <c r="D10484" s="1">
        <v>2.0163461067880299E-2</v>
      </c>
      <c r="E10484" s="1">
        <v>1.5956606456369399E-2</v>
      </c>
      <c r="F10484" s="1">
        <v>3.10949550523161E-2</v>
      </c>
    </row>
    <row r="10485" spans="1:6" x14ac:dyDescent="0.25">
      <c r="A10485" s="2" t="str">
        <f t="shared" si="373"/>
        <v>24340</v>
      </c>
      <c r="B10485" s="2" t="str">
        <f>"49339"</f>
        <v>49339</v>
      </c>
      <c r="C10485" s="1">
        <v>2.61429175852317E-3</v>
      </c>
      <c r="D10485" s="1">
        <v>2.9364263691087901E-4</v>
      </c>
      <c r="E10485" s="1">
        <v>2.6331033756385198E-4</v>
      </c>
      <c r="F10485" s="1">
        <v>2.3402269489610399E-3</v>
      </c>
    </row>
    <row r="10486" spans="1:6" x14ac:dyDescent="0.25">
      <c r="A10486" s="2" t="str">
        <f t="shared" si="373"/>
        <v>24340</v>
      </c>
      <c r="B10486" s="2" t="str">
        <f>"49333"</f>
        <v>49333</v>
      </c>
      <c r="C10486" s="1">
        <v>1.13568040617275E-4</v>
      </c>
      <c r="D10486" s="1">
        <v>0</v>
      </c>
      <c r="E10486" s="1">
        <v>0</v>
      </c>
      <c r="F10486" s="1">
        <v>1.00211229552488E-4</v>
      </c>
    </row>
    <row r="10487" spans="1:6" x14ac:dyDescent="0.25">
      <c r="A10487" s="2" t="str">
        <f t="shared" si="373"/>
        <v>24340</v>
      </c>
      <c r="B10487" s="2" t="str">
        <f>"48861"</f>
        <v>48861</v>
      </c>
      <c r="C10487" s="1">
        <v>6.01242567973812E-5</v>
      </c>
      <c r="D10487" s="1">
        <v>0</v>
      </c>
      <c r="E10487" s="1">
        <v>0</v>
      </c>
      <c r="F10487" s="1">
        <v>5.3053003880728897E-5</v>
      </c>
    </row>
    <row r="10488" spans="1:6" x14ac:dyDescent="0.25">
      <c r="A10488" s="2" t="str">
        <f t="shared" si="373"/>
        <v>24340</v>
      </c>
      <c r="B10488" s="2" t="str">
        <f>"48865"</f>
        <v>48865</v>
      </c>
      <c r="C10488" s="1">
        <v>1.9506981094261401E-3</v>
      </c>
      <c r="D10488" s="1">
        <v>6.6069593304947795E-4</v>
      </c>
      <c r="E10488" s="1">
        <v>5.2662067512770504E-4</v>
      </c>
      <c r="F10488" s="1">
        <v>1.7939775015965E-3</v>
      </c>
    </row>
    <row r="10489" spans="1:6" x14ac:dyDescent="0.25">
      <c r="A10489" s="2" t="str">
        <f t="shared" si="373"/>
        <v>24340</v>
      </c>
      <c r="B10489" s="2" t="str">
        <f>"48885"</f>
        <v>48885</v>
      </c>
      <c r="C10489" s="1">
        <v>9.4417351415146801E-4</v>
      </c>
      <c r="D10489" s="1">
        <v>3.9152351588117199E-4</v>
      </c>
      <c r="E10489" s="1">
        <v>5.2662067512770498E-5</v>
      </c>
      <c r="F10489" s="1">
        <v>8.6653239671857297E-4</v>
      </c>
    </row>
    <row r="10490" spans="1:6" x14ac:dyDescent="0.25">
      <c r="A10490" s="2" t="str">
        <f t="shared" si="373"/>
        <v>24340</v>
      </c>
      <c r="B10490" s="2" t="str">
        <f>"48894"</f>
        <v>48894</v>
      </c>
      <c r="C10490" s="1">
        <v>1.71465473088828E-4</v>
      </c>
      <c r="D10490" s="1">
        <v>1.2235109871286599E-4</v>
      </c>
      <c r="E10490" s="1">
        <v>0</v>
      </c>
      <c r="F10490" s="1">
        <v>1.6112393771184301E-4</v>
      </c>
    </row>
    <row r="10491" spans="1:6" x14ac:dyDescent="0.25">
      <c r="A10491" s="2" t="str">
        <f t="shared" si="373"/>
        <v>24340</v>
      </c>
      <c r="B10491" s="2" t="str">
        <f>"48890"</f>
        <v>48890</v>
      </c>
      <c r="C10491" s="1">
        <v>6.8808871668114098E-4</v>
      </c>
      <c r="D10491" s="1">
        <v>4.8940439485146499E-5</v>
      </c>
      <c r="E10491" s="1">
        <v>0</v>
      </c>
      <c r="F10491" s="1">
        <v>6.1109200766321103E-4</v>
      </c>
    </row>
    <row r="10492" spans="1:6" x14ac:dyDescent="0.25">
      <c r="A10492" s="2" t="str">
        <f t="shared" si="373"/>
        <v>24340</v>
      </c>
      <c r="B10492" s="2" t="str">
        <f>"48877"</f>
        <v>48877</v>
      </c>
      <c r="C10492" s="1">
        <v>8.6623466274745502E-4</v>
      </c>
      <c r="D10492" s="1">
        <v>1.2235109871286599E-4</v>
      </c>
      <c r="E10492" s="1">
        <v>0</v>
      </c>
      <c r="F10492" s="1">
        <v>7.7418087144471095E-4</v>
      </c>
    </row>
    <row r="10493" spans="1:6" x14ac:dyDescent="0.25">
      <c r="A10493" s="2" t="str">
        <f t="shared" si="373"/>
        <v>24340</v>
      </c>
      <c r="B10493" s="2" t="str">
        <f>"48873"</f>
        <v>48873</v>
      </c>
      <c r="C10493" s="1">
        <v>1.22698020353174E-3</v>
      </c>
      <c r="D10493" s="1">
        <v>9.7880878970293093E-4</v>
      </c>
      <c r="E10493" s="1">
        <v>5.2662067512770504E-4</v>
      </c>
      <c r="F10493" s="1">
        <v>1.1809205678636301E-3</v>
      </c>
    </row>
    <row r="10494" spans="1:6" x14ac:dyDescent="0.25">
      <c r="A10494" s="2" t="str">
        <f t="shared" si="373"/>
        <v>24340</v>
      </c>
      <c r="B10494" s="2" t="str">
        <f>"48846"</f>
        <v>48846</v>
      </c>
      <c r="C10494" s="1">
        <v>1.5886164740463601E-2</v>
      </c>
      <c r="D10494" s="1">
        <v>1.5220476679880499E-2</v>
      </c>
      <c r="E10494" s="1">
        <v>1.48507030386012E-2</v>
      </c>
      <c r="F10494" s="1">
        <v>1.5794075747899899E-2</v>
      </c>
    </row>
    <row r="10495" spans="1:6" x14ac:dyDescent="0.25">
      <c r="A10495" s="2" t="str">
        <f t="shared" si="373"/>
        <v>24340</v>
      </c>
      <c r="B10495" s="2" t="str">
        <f>"49525"</f>
        <v>49525</v>
      </c>
      <c r="C10495" s="1">
        <v>2.7784087113367599E-2</v>
      </c>
      <c r="D10495" s="1">
        <v>3.2374100719424398E-2</v>
      </c>
      <c r="E10495" s="1">
        <v>4.1023750592448199E-2</v>
      </c>
      <c r="F10495" s="1">
        <v>2.8646657169523901E-2</v>
      </c>
    </row>
    <row r="10496" spans="1:6" x14ac:dyDescent="0.25">
      <c r="A10496" s="2" t="str">
        <f t="shared" si="373"/>
        <v>24340</v>
      </c>
      <c r="B10496" s="2" t="str">
        <f>"49503"</f>
        <v>49503</v>
      </c>
      <c r="C10496" s="1">
        <v>4.1565902865922898E-2</v>
      </c>
      <c r="D10496" s="1">
        <v>7.9430333284392807E-2</v>
      </c>
      <c r="E10496" s="1">
        <v>8.9104218231607704E-2</v>
      </c>
      <c r="F10496" s="1">
        <v>4.6380114948174997E-2</v>
      </c>
    </row>
    <row r="10497" spans="1:6" x14ac:dyDescent="0.25">
      <c r="A10497" s="2" t="str">
        <f t="shared" si="373"/>
        <v>24340</v>
      </c>
      <c r="B10497" s="2" t="str">
        <f>"49460"</f>
        <v>49460</v>
      </c>
      <c r="C10497" s="1">
        <v>8.5510054111831105E-3</v>
      </c>
      <c r="D10497" s="1">
        <v>2.7896050506533501E-3</v>
      </c>
      <c r="E10497" s="1">
        <v>3.1597240507662299E-4</v>
      </c>
      <c r="F10497" s="1">
        <v>7.7811072358402499E-3</v>
      </c>
    </row>
    <row r="10498" spans="1:6" x14ac:dyDescent="0.25">
      <c r="A10498" s="2" t="str">
        <f t="shared" si="373"/>
        <v>24340</v>
      </c>
      <c r="B10498" s="2" t="str">
        <f>"49588"</f>
        <v>49588</v>
      </c>
      <c r="C10498" s="1">
        <v>3.7633331106508999E-4</v>
      </c>
      <c r="D10498" s="1">
        <v>3.35242010473254E-3</v>
      </c>
      <c r="E10498" s="1">
        <v>1.05324135025541E-4</v>
      </c>
      <c r="F10498" s="1">
        <v>6.0519722945424101E-4</v>
      </c>
    </row>
    <row r="10499" spans="1:6" x14ac:dyDescent="0.25">
      <c r="A10499" s="2" t="str">
        <f t="shared" si="373"/>
        <v>24340</v>
      </c>
      <c r="B10499" s="2" t="str">
        <f>"49306"</f>
        <v>49306</v>
      </c>
      <c r="C10499" s="1">
        <v>9.1455675061794302E-3</v>
      </c>
      <c r="D10499" s="1">
        <v>3.8418244995839998E-3</v>
      </c>
      <c r="E10499" s="1">
        <v>1.6851861604086501E-3</v>
      </c>
      <c r="F10499" s="1">
        <v>8.4413223952448692E-3</v>
      </c>
    </row>
    <row r="10500" spans="1:6" x14ac:dyDescent="0.25">
      <c r="A10500" s="2" t="str">
        <f t="shared" si="373"/>
        <v>24340</v>
      </c>
      <c r="B10500" s="2" t="str">
        <f>"49351"</f>
        <v>49351</v>
      </c>
      <c r="C10500" s="1">
        <v>0</v>
      </c>
      <c r="D10500" s="1">
        <v>2.4470219742573199E-5</v>
      </c>
      <c r="E10500" s="1">
        <v>2.1064827005108199E-4</v>
      </c>
      <c r="F10500" s="1">
        <v>9.8246303482831406E-6</v>
      </c>
    </row>
    <row r="10501" spans="1:6" x14ac:dyDescent="0.25">
      <c r="A10501" s="2" t="str">
        <f t="shared" si="373"/>
        <v>24340</v>
      </c>
      <c r="B10501" s="2" t="str">
        <f>"49415"</f>
        <v>49415</v>
      </c>
      <c r="C10501" s="1">
        <v>5.8565479769300899E-4</v>
      </c>
      <c r="D10501" s="1">
        <v>2.4470219742573197E-4</v>
      </c>
      <c r="E10501" s="1">
        <v>5.2662067512770504E-4</v>
      </c>
      <c r="F10501" s="1">
        <v>5.5607407771282602E-4</v>
      </c>
    </row>
    <row r="10502" spans="1:6" x14ac:dyDescent="0.25">
      <c r="A10502" s="2" t="str">
        <f t="shared" si="373"/>
        <v>24340</v>
      </c>
      <c r="B10502" s="2" t="str">
        <f>"49404"</f>
        <v>49404</v>
      </c>
      <c r="C10502" s="1">
        <v>7.4865833834368801E-3</v>
      </c>
      <c r="D10502" s="1">
        <v>7.1453041648314002E-3</v>
      </c>
      <c r="E10502" s="1">
        <v>5.4768550213281303E-3</v>
      </c>
      <c r="F10502" s="1">
        <v>7.3841921697696102E-3</v>
      </c>
    </row>
    <row r="10503" spans="1:6" x14ac:dyDescent="0.25">
      <c r="A10503" s="2" t="str">
        <f t="shared" si="373"/>
        <v>24340</v>
      </c>
      <c r="B10503" s="2" t="str">
        <f>"49348"</f>
        <v>49348</v>
      </c>
      <c r="C10503" s="1">
        <v>1.2915581089807801E-4</v>
      </c>
      <c r="D10503" s="1">
        <v>7.3410659227719807E-5</v>
      </c>
      <c r="E10503" s="1">
        <v>0</v>
      </c>
      <c r="F10503" s="1">
        <v>1.1986049024905399E-4</v>
      </c>
    </row>
    <row r="10504" spans="1:6" x14ac:dyDescent="0.25">
      <c r="A10504" s="2" t="str">
        <f t="shared" si="373"/>
        <v>24340</v>
      </c>
      <c r="B10504" s="2" t="str">
        <f>"49343"</f>
        <v>49343</v>
      </c>
      <c r="C10504" s="1">
        <v>4.1574810163226197E-3</v>
      </c>
      <c r="D10504" s="1">
        <v>1.0766896686732199E-3</v>
      </c>
      <c r="E10504" s="1">
        <v>5.2662067512770504E-4</v>
      </c>
      <c r="F10504" s="1">
        <v>3.77462297981038E-3</v>
      </c>
    </row>
    <row r="10505" spans="1:6" x14ac:dyDescent="0.25">
      <c r="A10505" s="2" t="str">
        <f t="shared" si="373"/>
        <v>24340</v>
      </c>
      <c r="B10505" s="2" t="str">
        <f>"48837"</f>
        <v>48837</v>
      </c>
      <c r="C10505" s="1">
        <v>2.18228783931235E-4</v>
      </c>
      <c r="D10505" s="1">
        <v>0</v>
      </c>
      <c r="E10505" s="1">
        <v>0</v>
      </c>
      <c r="F10505" s="1">
        <v>1.9256275482634901E-4</v>
      </c>
    </row>
    <row r="10506" spans="1:6" x14ac:dyDescent="0.25">
      <c r="A10506" s="2" t="str">
        <f t="shared" si="373"/>
        <v>24340</v>
      </c>
      <c r="B10506" s="2" t="str">
        <f>"48811"</f>
        <v>48811</v>
      </c>
      <c r="C10506" s="1">
        <v>2.63878682610728E-3</v>
      </c>
      <c r="D10506" s="1">
        <v>1.61503450300983E-3</v>
      </c>
      <c r="E10506" s="1">
        <v>1.0532413502554101E-3</v>
      </c>
      <c r="F10506" s="1">
        <v>2.4974210345335701E-3</v>
      </c>
    </row>
    <row r="10507" spans="1:6" x14ac:dyDescent="0.25">
      <c r="A10507" s="2" t="str">
        <f t="shared" si="373"/>
        <v>24340</v>
      </c>
      <c r="B10507" s="2" t="str">
        <f>"48884"</f>
        <v>48884</v>
      </c>
      <c r="C10507" s="1">
        <v>4.3801634489055103E-3</v>
      </c>
      <c r="D10507" s="1">
        <v>1.66397494249498E-3</v>
      </c>
      <c r="E10507" s="1">
        <v>1.4218758228448001E-3</v>
      </c>
      <c r="F10507" s="1">
        <v>4.0516775556319598E-3</v>
      </c>
    </row>
    <row r="10508" spans="1:6" x14ac:dyDescent="0.25">
      <c r="A10508" s="2" t="str">
        <f t="shared" si="373"/>
        <v>24340</v>
      </c>
      <c r="B10508" s="2" t="str">
        <f>"48850"</f>
        <v>48850</v>
      </c>
      <c r="C10508" s="1">
        <v>4.1842029082325601E-3</v>
      </c>
      <c r="D10508" s="1">
        <v>2.7651348309107801E-3</v>
      </c>
      <c r="E10508" s="1">
        <v>1.5798620253831099E-3</v>
      </c>
      <c r="F10508" s="1">
        <v>3.9730805128457003E-3</v>
      </c>
    </row>
    <row r="10509" spans="1:6" x14ac:dyDescent="0.25">
      <c r="A10509" s="2" t="str">
        <f t="shared" si="373"/>
        <v>24340</v>
      </c>
      <c r="B10509" s="2" t="str">
        <f>"49518"</f>
        <v>49518</v>
      </c>
      <c r="C10509" s="1">
        <v>1.03992696016211E-3</v>
      </c>
      <c r="D10509" s="1">
        <v>5.7505016395047199E-3</v>
      </c>
      <c r="E10509" s="1">
        <v>1.05324135025541E-4</v>
      </c>
      <c r="F10509" s="1">
        <v>1.3833079530382599E-3</v>
      </c>
    </row>
    <row r="10510" spans="1:6" x14ac:dyDescent="0.25">
      <c r="A10510" s="2" t="str">
        <f t="shared" si="373"/>
        <v>24340</v>
      </c>
      <c r="B10510" s="2" t="str">
        <f>"49514"</f>
        <v>49514</v>
      </c>
      <c r="C10510" s="1">
        <v>1.5765916226868799E-3</v>
      </c>
      <c r="D10510" s="1">
        <v>5.9952038369304496E-3</v>
      </c>
      <c r="E10510" s="1">
        <v>1.05324135025541E-4</v>
      </c>
      <c r="F10510" s="1">
        <v>1.8765043965220799E-3</v>
      </c>
    </row>
    <row r="10511" spans="1:6" x14ac:dyDescent="0.25">
      <c r="A10511" s="2" t="str">
        <f t="shared" ref="A10511:A10542" si="374">"24340"</f>
        <v>24340</v>
      </c>
      <c r="B10511" s="2" t="str">
        <f>"49544"</f>
        <v>49544</v>
      </c>
      <c r="C10511" s="1">
        <v>9.1077114926403392E-3</v>
      </c>
      <c r="D10511" s="1">
        <v>1.59301130524152E-2</v>
      </c>
      <c r="E10511" s="1">
        <v>2.7647585444204498E-2</v>
      </c>
      <c r="F10511" s="1">
        <v>1.03473006828118E-2</v>
      </c>
    </row>
    <row r="10512" spans="1:6" x14ac:dyDescent="0.25">
      <c r="A10512" s="2" t="str">
        <f t="shared" si="374"/>
        <v>24340</v>
      </c>
      <c r="B10512" s="2" t="str">
        <f>"49509"</f>
        <v>49509</v>
      </c>
      <c r="C10512" s="1">
        <v>2.5165341706192699E-2</v>
      </c>
      <c r="D10512" s="1">
        <v>2.75534674301375E-2</v>
      </c>
      <c r="E10512" s="1">
        <v>2.8121544051819401E-2</v>
      </c>
      <c r="F10512" s="1">
        <v>2.5467406788819501E-2</v>
      </c>
    </row>
    <row r="10513" spans="1:6" x14ac:dyDescent="0.25">
      <c r="A10513" s="2" t="str">
        <f t="shared" si="374"/>
        <v>24340</v>
      </c>
      <c r="B10513" s="2" t="str">
        <f>"49512"</f>
        <v>49512</v>
      </c>
      <c r="C10513" s="1">
        <v>1.87543144721312E-2</v>
      </c>
      <c r="D10513" s="1">
        <v>5.25865022267899E-2</v>
      </c>
      <c r="E10513" s="1">
        <v>5.7506977723945397E-2</v>
      </c>
      <c r="F10513" s="1">
        <v>2.2916932750405201E-2</v>
      </c>
    </row>
    <row r="10514" spans="1:6" x14ac:dyDescent="0.25">
      <c r="A10514" s="2" t="str">
        <f t="shared" si="374"/>
        <v>24340</v>
      </c>
      <c r="B10514" s="2" t="str">
        <f>"49504"</f>
        <v>49504</v>
      </c>
      <c r="C10514" s="1">
        <v>4.0423541986772601E-2</v>
      </c>
      <c r="D10514" s="1">
        <v>3.0514364018988799E-2</v>
      </c>
      <c r="E10514" s="1">
        <v>3.44936542208647E-2</v>
      </c>
      <c r="F10514" s="1">
        <v>3.9406592326963599E-2</v>
      </c>
    </row>
    <row r="10515" spans="1:6" x14ac:dyDescent="0.25">
      <c r="A10515" s="2" t="str">
        <f t="shared" si="374"/>
        <v>24340</v>
      </c>
      <c r="B10515" s="2" t="str">
        <f>"49448"</f>
        <v>49448</v>
      </c>
      <c r="C10515" s="1">
        <v>3.46939229964148E-3</v>
      </c>
      <c r="D10515" s="1">
        <v>2.7651348309107801E-3</v>
      </c>
      <c r="E10515" s="1">
        <v>1.9484964979725101E-3</v>
      </c>
      <c r="F10515" s="1">
        <v>3.3560937269735201E-3</v>
      </c>
    </row>
    <row r="10516" spans="1:6" x14ac:dyDescent="0.25">
      <c r="A10516" s="2" t="str">
        <f t="shared" si="374"/>
        <v>24340</v>
      </c>
      <c r="B10516" s="2" t="str">
        <f>"49318"</f>
        <v>49318</v>
      </c>
      <c r="C10516" s="1">
        <v>4.54272162469102E-4</v>
      </c>
      <c r="D10516" s="1">
        <v>1.7129153819801299E-4</v>
      </c>
      <c r="E10516" s="1">
        <v>0</v>
      </c>
      <c r="F10516" s="1">
        <v>4.1459940069754798E-4</v>
      </c>
    </row>
    <row r="10517" spans="1:6" x14ac:dyDescent="0.25">
      <c r="A10517" s="2" t="str">
        <f t="shared" si="374"/>
        <v>24340</v>
      </c>
      <c r="B10517" s="2" t="str">
        <f>"49430"</f>
        <v>49430</v>
      </c>
      <c r="C10517" s="1">
        <v>1.1134121629144601E-5</v>
      </c>
      <c r="D10517" s="1">
        <v>4.8940439485146499E-5</v>
      </c>
      <c r="E10517" s="1">
        <v>0</v>
      </c>
      <c r="F10517" s="1">
        <v>1.3754482487596399E-5</v>
      </c>
    </row>
    <row r="10518" spans="1:6" x14ac:dyDescent="0.25">
      <c r="A10518" s="2" t="str">
        <f t="shared" si="374"/>
        <v>24340</v>
      </c>
      <c r="B10518" s="2" t="str">
        <f>"49424"</f>
        <v>49424</v>
      </c>
      <c r="C10518" s="1">
        <v>4.3162535907542203E-2</v>
      </c>
      <c r="D10518" s="1">
        <v>4.4291097734057601E-2</v>
      </c>
      <c r="E10518" s="1">
        <v>6.1772605192479797E-2</v>
      </c>
      <c r="F10518" s="1">
        <v>4.3947536473940098E-2</v>
      </c>
    </row>
    <row r="10519" spans="1:6" x14ac:dyDescent="0.25">
      <c r="A10519" s="2" t="str">
        <f t="shared" si="374"/>
        <v>24340</v>
      </c>
      <c r="B10519" s="2" t="str">
        <f>"48834"</f>
        <v>48834</v>
      </c>
      <c r="C10519" s="1">
        <v>2.4161043935243898E-3</v>
      </c>
      <c r="D10519" s="1">
        <v>1.2235109871286599E-4</v>
      </c>
      <c r="E10519" s="1">
        <v>1.5798620253831101E-4</v>
      </c>
      <c r="F10519" s="1">
        <v>2.1476641941346902E-3</v>
      </c>
    </row>
    <row r="10520" spans="1:6" x14ac:dyDescent="0.25">
      <c r="A10520" s="2" t="str">
        <f t="shared" si="374"/>
        <v>24340</v>
      </c>
      <c r="B10520" s="2" t="str">
        <f>"48815"</f>
        <v>48815</v>
      </c>
      <c r="C10520" s="1">
        <v>2.3893825016144399E-3</v>
      </c>
      <c r="D10520" s="1">
        <v>1.0522194489306501E-3</v>
      </c>
      <c r="E10520" s="1">
        <v>1.05324135025541E-4</v>
      </c>
      <c r="F10520" s="1">
        <v>2.1967873458761098E-3</v>
      </c>
    </row>
    <row r="10521" spans="1:6" x14ac:dyDescent="0.25">
      <c r="A10521" s="2" t="str">
        <f t="shared" si="374"/>
        <v>24340</v>
      </c>
      <c r="B10521" s="2" t="str">
        <f>"48809"</f>
        <v>48809</v>
      </c>
      <c r="C10521" s="1">
        <v>1.10829046696506E-2</v>
      </c>
      <c r="D10521" s="1">
        <v>7.2431850438016898E-3</v>
      </c>
      <c r="E10521" s="1">
        <v>6.2667860340196897E-3</v>
      </c>
      <c r="F10521" s="1">
        <v>1.05948813675885E-2</v>
      </c>
    </row>
    <row r="10522" spans="1:6" x14ac:dyDescent="0.25">
      <c r="A10522" s="2" t="str">
        <f t="shared" si="374"/>
        <v>24340</v>
      </c>
      <c r="B10522" s="2" t="str">
        <f>"48891"</f>
        <v>48891</v>
      </c>
      <c r="C10522" s="1">
        <v>2.8881911506001201E-3</v>
      </c>
      <c r="D10522" s="1">
        <v>8.3198747124749097E-4</v>
      </c>
      <c r="E10522" s="1">
        <v>4.2129654010216399E-4</v>
      </c>
      <c r="F10522" s="1">
        <v>2.6310360072702198E-3</v>
      </c>
    </row>
    <row r="10523" spans="1:6" x14ac:dyDescent="0.25">
      <c r="A10523" s="2" t="str">
        <f t="shared" si="374"/>
        <v>24340</v>
      </c>
      <c r="B10523" s="2" t="str">
        <f>"48881"</f>
        <v>48881</v>
      </c>
      <c r="C10523" s="1">
        <v>5.5024829091232901E-3</v>
      </c>
      <c r="D10523" s="1">
        <v>1.1011598884157899E-3</v>
      </c>
      <c r="E10523" s="1">
        <v>1.5798620253831099E-3</v>
      </c>
      <c r="F10523" s="1">
        <v>5.0027017733457703E-3</v>
      </c>
    </row>
    <row r="10524" spans="1:6" x14ac:dyDescent="0.25">
      <c r="A10524" s="2" t="str">
        <f t="shared" si="374"/>
        <v>24340</v>
      </c>
      <c r="B10524" s="2" t="str">
        <f>"49506"</f>
        <v>49506</v>
      </c>
      <c r="C10524" s="1">
        <v>2.9040016033135101E-2</v>
      </c>
      <c r="D10524" s="1">
        <v>2.26838937013654E-2</v>
      </c>
      <c r="E10524" s="1">
        <v>1.7747116751803599E-2</v>
      </c>
      <c r="F10524" s="1">
        <v>2.8108267426437999E-2</v>
      </c>
    </row>
    <row r="10525" spans="1:6" x14ac:dyDescent="0.25">
      <c r="A10525" s="2" t="str">
        <f t="shared" si="374"/>
        <v>24340</v>
      </c>
      <c r="B10525" s="2" t="str">
        <f>"49560"</f>
        <v>49560</v>
      </c>
      <c r="C10525" s="1">
        <v>0</v>
      </c>
      <c r="D10525" s="1">
        <v>2.4470219742573199E-5</v>
      </c>
      <c r="E10525" s="1">
        <v>0</v>
      </c>
      <c r="F10525" s="1">
        <v>1.96492606965662E-6</v>
      </c>
    </row>
    <row r="10526" spans="1:6" x14ac:dyDescent="0.25">
      <c r="A10526" s="2" t="str">
        <f t="shared" si="374"/>
        <v>24340</v>
      </c>
      <c r="B10526" s="2" t="str">
        <f>"49548"</f>
        <v>49548</v>
      </c>
      <c r="C10526" s="1">
        <v>2.9258244817066299E-2</v>
      </c>
      <c r="D10526" s="1">
        <v>3.8760828072235999E-2</v>
      </c>
      <c r="E10526" s="1">
        <v>2.1433461477697601E-2</v>
      </c>
      <c r="F10526" s="1">
        <v>2.9729331433904702E-2</v>
      </c>
    </row>
    <row r="10527" spans="1:6" x14ac:dyDescent="0.25">
      <c r="A10527" s="2" t="str">
        <f t="shared" si="374"/>
        <v>24340</v>
      </c>
      <c r="B10527" s="2" t="str">
        <f>"49329"</f>
        <v>49329</v>
      </c>
      <c r="C10527" s="1">
        <v>7.0968891264168096E-3</v>
      </c>
      <c r="D10527" s="1">
        <v>2.8630157098810702E-3</v>
      </c>
      <c r="E10527" s="1">
        <v>1.5798620253831099E-3</v>
      </c>
      <c r="F10527" s="1">
        <v>6.5510635162351998E-3</v>
      </c>
    </row>
    <row r="10528" spans="1:6" x14ac:dyDescent="0.25">
      <c r="A10528" s="2" t="str">
        <f t="shared" si="374"/>
        <v>24340</v>
      </c>
      <c r="B10528" s="2" t="str">
        <f>"49316"</f>
        <v>49316</v>
      </c>
      <c r="C10528" s="1">
        <v>1.7607499944329301E-2</v>
      </c>
      <c r="D10528" s="1">
        <v>1.6762100523662699E-2</v>
      </c>
      <c r="E10528" s="1">
        <v>1.1375006582758401E-2</v>
      </c>
      <c r="F10528" s="1">
        <v>1.7307068821535501E-2</v>
      </c>
    </row>
    <row r="10529" spans="1:6" x14ac:dyDescent="0.25">
      <c r="A10529" s="2" t="str">
        <f t="shared" si="374"/>
        <v>24340</v>
      </c>
      <c r="B10529" s="2" t="str">
        <f>"49417"</f>
        <v>49417</v>
      </c>
      <c r="C10529" s="1">
        <v>3.4353218874562899E-2</v>
      </c>
      <c r="D10529" s="1">
        <v>3.8638476973523198E-2</v>
      </c>
      <c r="E10529" s="1">
        <v>3.6494812786349903E-2</v>
      </c>
      <c r="F10529" s="1">
        <v>3.4777226506852603E-2</v>
      </c>
    </row>
    <row r="10530" spans="1:6" x14ac:dyDescent="0.25">
      <c r="A10530" s="2" t="str">
        <f t="shared" si="374"/>
        <v>24340</v>
      </c>
      <c r="B10530" s="2" t="str">
        <f>"49401"</f>
        <v>49401</v>
      </c>
      <c r="C10530" s="1">
        <v>1.90972454183089E-2</v>
      </c>
      <c r="D10530" s="1">
        <v>8.2464640532471899E-3</v>
      </c>
      <c r="E10530" s="1">
        <v>1.1322344515245599E-2</v>
      </c>
      <c r="F10530" s="1">
        <v>1.7935845163825698E-2</v>
      </c>
    </row>
    <row r="10531" spans="1:6" x14ac:dyDescent="0.25">
      <c r="A10531" s="2" t="str">
        <f t="shared" si="374"/>
        <v>24340</v>
      </c>
      <c r="B10531" s="2" t="str">
        <f>"49422"</f>
        <v>49422</v>
      </c>
      <c r="C10531" s="1">
        <v>3.2511635157102402E-3</v>
      </c>
      <c r="D10531" s="1">
        <v>1.13052415210688E-2</v>
      </c>
      <c r="E10531" s="1">
        <v>1.05324135025541E-4</v>
      </c>
      <c r="F10531" s="1">
        <v>3.7805177580193501E-3</v>
      </c>
    </row>
    <row r="10532" spans="1:6" x14ac:dyDescent="0.25">
      <c r="A10532" s="2" t="str">
        <f t="shared" si="374"/>
        <v>24340</v>
      </c>
      <c r="B10532" s="2" t="str">
        <f>"49336"</f>
        <v>49336</v>
      </c>
      <c r="C10532" s="1">
        <v>2.8503351370610301E-4</v>
      </c>
      <c r="D10532" s="1">
        <v>0</v>
      </c>
      <c r="E10532" s="1">
        <v>0</v>
      </c>
      <c r="F10532" s="1">
        <v>2.5151053691604801E-4</v>
      </c>
    </row>
    <row r="10533" spans="1:6" x14ac:dyDescent="0.25">
      <c r="A10533" s="2" t="str">
        <f t="shared" si="374"/>
        <v>24340</v>
      </c>
      <c r="B10533" s="2" t="str">
        <f>"49347"</f>
        <v>49347</v>
      </c>
      <c r="C10533" s="1">
        <v>1.5320551361702999E-3</v>
      </c>
      <c r="D10533" s="1">
        <v>2.6917241716830601E-4</v>
      </c>
      <c r="E10533" s="1">
        <v>1.05324135025541E-4</v>
      </c>
      <c r="F10533" s="1">
        <v>1.37741317482929E-3</v>
      </c>
    </row>
    <row r="10534" spans="1:6" x14ac:dyDescent="0.25">
      <c r="A10534" s="2" t="str">
        <f t="shared" si="374"/>
        <v>24340</v>
      </c>
      <c r="B10534" s="2" t="str">
        <f>"48818"</f>
        <v>48818</v>
      </c>
      <c r="C10534" s="1">
        <v>3.0685639209922701E-3</v>
      </c>
      <c r="D10534" s="1">
        <v>8.3198747124749097E-4</v>
      </c>
      <c r="E10534" s="1">
        <v>5.2662067512770504E-4</v>
      </c>
      <c r="F10534" s="1">
        <v>2.7941248710517202E-3</v>
      </c>
    </row>
    <row r="10535" spans="1:6" x14ac:dyDescent="0.25">
      <c r="A10535" s="2" t="str">
        <f t="shared" si="374"/>
        <v>24340</v>
      </c>
      <c r="B10535" s="2" t="str">
        <f>"48860"</f>
        <v>48860</v>
      </c>
      <c r="C10535" s="1">
        <v>1.4407553388113201E-3</v>
      </c>
      <c r="D10535" s="1">
        <v>2.4470219742573197E-4</v>
      </c>
      <c r="E10535" s="1">
        <v>7.3726894517878703E-4</v>
      </c>
      <c r="F10535" s="1">
        <v>1.31846539273959E-3</v>
      </c>
    </row>
    <row r="10536" spans="1:6" x14ac:dyDescent="0.25">
      <c r="A10536" s="2" t="str">
        <f t="shared" si="374"/>
        <v>24340</v>
      </c>
      <c r="B10536" s="2" t="str">
        <f>"49534"</f>
        <v>49534</v>
      </c>
      <c r="C10536" s="1">
        <v>2.78397577215133E-2</v>
      </c>
      <c r="D10536" s="1">
        <v>1.9453824695345699E-2</v>
      </c>
      <c r="E10536" s="1">
        <v>4.1287060930012102E-2</v>
      </c>
      <c r="F10536" s="1">
        <v>2.7668123986834901E-2</v>
      </c>
    </row>
    <row r="10537" spans="1:6" x14ac:dyDescent="0.25">
      <c r="A10537" s="2" t="str">
        <f t="shared" si="374"/>
        <v>24340</v>
      </c>
      <c r="B10537" s="2" t="str">
        <f>"49510"</f>
        <v>49510</v>
      </c>
      <c r="C10537" s="1">
        <v>8.9741020330905998E-4</v>
      </c>
      <c r="D10537" s="1">
        <v>3.1566583467919499E-3</v>
      </c>
      <c r="E10537" s="1">
        <v>1.05324135025541E-4</v>
      </c>
      <c r="F10537" s="1">
        <v>1.0492705211966301E-3</v>
      </c>
    </row>
    <row r="10538" spans="1:6" x14ac:dyDescent="0.25">
      <c r="A10538" s="2" t="str">
        <f t="shared" si="374"/>
        <v>24340</v>
      </c>
      <c r="B10538" s="2" t="str">
        <f>"49507"</f>
        <v>49507</v>
      </c>
      <c r="C10538" s="1">
        <v>2.9647939074086398E-2</v>
      </c>
      <c r="D10538" s="1">
        <v>2.42499877648901E-2</v>
      </c>
      <c r="E10538" s="1">
        <v>2.08015166675443E-2</v>
      </c>
      <c r="F10538" s="1">
        <v>2.8884413223952399E-2</v>
      </c>
    </row>
    <row r="10539" spans="1:6" x14ac:dyDescent="0.25">
      <c r="A10539" s="2" t="str">
        <f t="shared" si="374"/>
        <v>24340</v>
      </c>
      <c r="B10539" s="2" t="str">
        <f>"49302"</f>
        <v>49302</v>
      </c>
      <c r="C10539" s="1">
        <v>7.0189502750128002E-3</v>
      </c>
      <c r="D10539" s="1">
        <v>1.68844516223755E-3</v>
      </c>
      <c r="E10539" s="1">
        <v>8.9525514771709904E-4</v>
      </c>
      <c r="F10539" s="1">
        <v>6.3624306135481598E-3</v>
      </c>
    </row>
    <row r="10540" spans="1:6" x14ac:dyDescent="0.25">
      <c r="A10540" s="2" t="str">
        <f t="shared" si="374"/>
        <v>24340</v>
      </c>
      <c r="B10540" s="2" t="str">
        <f>"49409"</f>
        <v>49409</v>
      </c>
      <c r="C10540" s="1">
        <v>5.5670608145723301E-5</v>
      </c>
      <c r="D10540" s="1">
        <v>5.3834483433661201E-4</v>
      </c>
      <c r="E10540" s="1">
        <v>0</v>
      </c>
      <c r="F10540" s="1">
        <v>9.23515252738615E-5</v>
      </c>
    </row>
    <row r="10541" spans="1:6" x14ac:dyDescent="0.25">
      <c r="A10541" s="2" t="str">
        <f t="shared" si="374"/>
        <v>24340</v>
      </c>
      <c r="B10541" s="2" t="str">
        <f>"49427"</f>
        <v>49427</v>
      </c>
      <c r="C10541" s="1">
        <v>0</v>
      </c>
      <c r="D10541" s="1">
        <v>2.4470219742573199E-5</v>
      </c>
      <c r="E10541" s="1">
        <v>0</v>
      </c>
      <c r="F10541" s="1">
        <v>1.96492606965662E-6</v>
      </c>
    </row>
    <row r="10542" spans="1:6" x14ac:dyDescent="0.25">
      <c r="A10542" s="2" t="str">
        <f t="shared" si="374"/>
        <v>24340</v>
      </c>
      <c r="B10542" s="2" t="str">
        <f>"48829"</f>
        <v>48829</v>
      </c>
      <c r="C10542" s="1">
        <v>3.03070790745318E-3</v>
      </c>
      <c r="D10542" s="1">
        <v>1.5171536240395399E-3</v>
      </c>
      <c r="E10542" s="1">
        <v>1.15856548528095E-3</v>
      </c>
      <c r="F10542" s="1">
        <v>2.83931817065382E-3</v>
      </c>
    </row>
    <row r="10543" spans="1:6" x14ac:dyDescent="0.25">
      <c r="A10543" s="2" t="str">
        <f t="shared" ref="A10543:A10551" si="375">"24340"</f>
        <v>24340</v>
      </c>
      <c r="B10543" s="2" t="str">
        <f>"48851"</f>
        <v>48851</v>
      </c>
      <c r="C10543" s="1">
        <v>2.33816554212038E-3</v>
      </c>
      <c r="D10543" s="1">
        <v>2.9364263691087901E-4</v>
      </c>
      <c r="E10543" s="1">
        <v>0</v>
      </c>
      <c r="F10543" s="1">
        <v>2.0867514859753398E-3</v>
      </c>
    </row>
    <row r="10544" spans="1:6" x14ac:dyDescent="0.25">
      <c r="A10544" s="2" t="str">
        <f t="shared" si="375"/>
        <v>24340</v>
      </c>
      <c r="B10544" s="2" t="str">
        <f>"48845"</f>
        <v>48845</v>
      </c>
      <c r="C10544" s="1">
        <v>7.9720310864675795E-4</v>
      </c>
      <c r="D10544" s="1">
        <v>1.95761757940586E-4</v>
      </c>
      <c r="E10544" s="1">
        <v>0</v>
      </c>
      <c r="F10544" s="1">
        <v>7.1916294149432605E-4</v>
      </c>
    </row>
    <row r="10545" spans="1:6" x14ac:dyDescent="0.25">
      <c r="A10545" s="2" t="str">
        <f t="shared" si="375"/>
        <v>24340</v>
      </c>
      <c r="B10545" s="2" t="str">
        <f>"49464"</f>
        <v>49464</v>
      </c>
      <c r="C10545" s="1">
        <v>2.32948092724964E-2</v>
      </c>
      <c r="D10545" s="1">
        <v>2.2023197768315898E-2</v>
      </c>
      <c r="E10545" s="1">
        <v>1.03744273000157E-2</v>
      </c>
      <c r="F10545" s="1">
        <v>2.2710615513091299E-2</v>
      </c>
    </row>
    <row r="10546" spans="1:6" x14ac:dyDescent="0.25">
      <c r="A10546" s="2" t="str">
        <f t="shared" si="375"/>
        <v>24340</v>
      </c>
      <c r="B10546" s="2" t="str">
        <f>"49325"</f>
        <v>49325</v>
      </c>
      <c r="C10546" s="1">
        <v>3.9192108134589198E-4</v>
      </c>
      <c r="D10546" s="1">
        <v>2.4470219742573199E-5</v>
      </c>
      <c r="E10546" s="1">
        <v>2.1064827005108199E-4</v>
      </c>
      <c r="F10546" s="1">
        <v>3.5565161860784899E-4</v>
      </c>
    </row>
    <row r="10547" spans="1:6" x14ac:dyDescent="0.25">
      <c r="A10547" s="2" t="str">
        <f t="shared" si="375"/>
        <v>24340</v>
      </c>
      <c r="B10547" s="2" t="str">
        <f>"49322"</f>
        <v>49322</v>
      </c>
      <c r="C10547" s="1">
        <v>1.262609392745E-3</v>
      </c>
      <c r="D10547" s="1">
        <v>2.9364263691087901E-4</v>
      </c>
      <c r="E10547" s="1">
        <v>0</v>
      </c>
      <c r="F10547" s="1">
        <v>1.1376921943311801E-3</v>
      </c>
    </row>
    <row r="10548" spans="1:6" x14ac:dyDescent="0.25">
      <c r="A10548" s="2" t="str">
        <f t="shared" si="375"/>
        <v>24340</v>
      </c>
      <c r="B10548" s="2" t="str">
        <f>"49435"</f>
        <v>49435</v>
      </c>
      <c r="C10548" s="1">
        <v>3.12423452913799E-3</v>
      </c>
      <c r="D10548" s="1">
        <v>2.3491410952870299E-3</v>
      </c>
      <c r="E10548" s="1">
        <v>8.4259308020432798E-4</v>
      </c>
      <c r="F10548" s="1">
        <v>2.9768629955297899E-3</v>
      </c>
    </row>
    <row r="10549" spans="1:6" x14ac:dyDescent="0.25">
      <c r="A10549" s="2" t="str">
        <f t="shared" si="375"/>
        <v>24340</v>
      </c>
      <c r="B10549" s="2" t="str">
        <f>"49345"</f>
        <v>49345</v>
      </c>
      <c r="C10549" s="1">
        <v>1.3031375954750899E-2</v>
      </c>
      <c r="D10549" s="1">
        <v>1.09137180051876E-2</v>
      </c>
      <c r="E10549" s="1">
        <v>5.4241929538153596E-3</v>
      </c>
      <c r="F10549" s="1">
        <v>1.2577491771872E-2</v>
      </c>
    </row>
    <row r="10550" spans="1:6" x14ac:dyDescent="0.25">
      <c r="A10550" s="2" t="str">
        <f t="shared" si="375"/>
        <v>24340</v>
      </c>
      <c r="B10550" s="2" t="str">
        <f>"48838"</f>
        <v>48838</v>
      </c>
      <c r="C10550" s="1">
        <v>1.9591600418642899E-2</v>
      </c>
      <c r="D10550" s="1">
        <v>2.2879655459306002E-2</v>
      </c>
      <c r="E10550" s="1">
        <v>1.9800937384801699E-2</v>
      </c>
      <c r="F10550" s="1">
        <v>1.9863437638158801E-2</v>
      </c>
    </row>
    <row r="10551" spans="1:6" x14ac:dyDescent="0.25">
      <c r="A10551" s="2" t="str">
        <f t="shared" si="375"/>
        <v>24340</v>
      </c>
      <c r="B10551" s="2" t="str">
        <f>"48886"</f>
        <v>48886</v>
      </c>
      <c r="C10551" s="1">
        <v>2.7389939207695898E-3</v>
      </c>
      <c r="D10551" s="1">
        <v>6.8516615279205198E-4</v>
      </c>
      <c r="E10551" s="1">
        <v>1.5798620253831101E-4</v>
      </c>
      <c r="F10551" s="1">
        <v>2.4777717738369998E-3</v>
      </c>
    </row>
    <row r="10552" spans="1:6" x14ac:dyDescent="0.25">
      <c r="A10552" s="2" t="str">
        <f t="shared" ref="A10552:A10568" si="376">"13660"</f>
        <v>13660</v>
      </c>
      <c r="B10552" s="2" t="str">
        <f>"49346"</f>
        <v>49346</v>
      </c>
      <c r="C10552" s="1">
        <v>0.162091443261109</v>
      </c>
      <c r="D10552" s="1">
        <v>5.9797608095676101E-2</v>
      </c>
      <c r="E10552" s="1">
        <v>1.1090573012939E-2</v>
      </c>
      <c r="F10552" s="1">
        <v>0.15385272509824</v>
      </c>
    </row>
    <row r="10553" spans="1:6" x14ac:dyDescent="0.25">
      <c r="A10553" s="2" t="str">
        <f t="shared" si="376"/>
        <v>13660</v>
      </c>
      <c r="B10553" s="2" t="str">
        <f>"49639"</f>
        <v>49639</v>
      </c>
      <c r="C10553" s="1">
        <v>1.4001101726037401E-2</v>
      </c>
      <c r="D10553" s="1">
        <v>0</v>
      </c>
      <c r="E10553" s="1">
        <v>0</v>
      </c>
      <c r="F10553" s="1">
        <v>1.3027507261233501E-2</v>
      </c>
    </row>
    <row r="10554" spans="1:6" x14ac:dyDescent="0.25">
      <c r="A10554" s="2" t="str">
        <f t="shared" si="376"/>
        <v>13660</v>
      </c>
      <c r="B10554" s="2" t="str">
        <f>"49307"</f>
        <v>49307</v>
      </c>
      <c r="C10554" s="1">
        <v>0.39450973191333</v>
      </c>
      <c r="D10554" s="1">
        <v>0.690892364305427</v>
      </c>
      <c r="E10554" s="1">
        <v>0.92975970425138599</v>
      </c>
      <c r="F10554" s="1">
        <v>0.42063898855287801</v>
      </c>
    </row>
    <row r="10555" spans="1:6" x14ac:dyDescent="0.25">
      <c r="A10555" s="2" t="str">
        <f t="shared" si="376"/>
        <v>13660</v>
      </c>
      <c r="B10555" s="2" t="str">
        <f>"49679"</f>
        <v>49679</v>
      </c>
      <c r="C10555" s="1">
        <v>5.6922511935365398E-3</v>
      </c>
      <c r="D10555" s="1">
        <v>0</v>
      </c>
      <c r="E10555" s="1">
        <v>0</v>
      </c>
      <c r="F10555" s="1">
        <v>5.2964291816162603E-3</v>
      </c>
    </row>
    <row r="10556" spans="1:6" x14ac:dyDescent="0.25">
      <c r="A10556" s="2" t="str">
        <f t="shared" si="376"/>
        <v>13660</v>
      </c>
      <c r="B10556" s="2" t="str">
        <f>"49329"</f>
        <v>49329</v>
      </c>
      <c r="C10556" s="1">
        <v>1.8362100624311401E-4</v>
      </c>
      <c r="D10556" s="1">
        <v>0</v>
      </c>
      <c r="E10556" s="1">
        <v>0</v>
      </c>
      <c r="F10556" s="1">
        <v>1.70852554245685E-4</v>
      </c>
    </row>
    <row r="10557" spans="1:6" x14ac:dyDescent="0.25">
      <c r="A10557" s="2" t="str">
        <f t="shared" si="376"/>
        <v>13660</v>
      </c>
      <c r="B10557" s="2" t="str">
        <f>"49305"</f>
        <v>49305</v>
      </c>
      <c r="C10557" s="1">
        <v>6.4680499449136897E-2</v>
      </c>
      <c r="D10557" s="1">
        <v>2.6678932842686201E-2</v>
      </c>
      <c r="E10557" s="1">
        <v>7.3937153419593301E-3</v>
      </c>
      <c r="F10557" s="1">
        <v>6.1592345805569701E-2</v>
      </c>
    </row>
    <row r="10558" spans="1:6" x14ac:dyDescent="0.25">
      <c r="A10558" s="2" t="str">
        <f t="shared" si="376"/>
        <v>13660</v>
      </c>
      <c r="B10558" s="2" t="str">
        <f>"49310"</f>
        <v>49310</v>
      </c>
      <c r="C10558" s="1">
        <v>1.9050679397723001E-2</v>
      </c>
      <c r="D10558" s="1">
        <v>8.2796688132474698E-3</v>
      </c>
      <c r="E10558" s="1">
        <v>0</v>
      </c>
      <c r="F10558" s="1">
        <v>1.8110370750042699E-2</v>
      </c>
    </row>
    <row r="10559" spans="1:6" x14ac:dyDescent="0.25">
      <c r="A10559" s="2" t="str">
        <f t="shared" si="376"/>
        <v>13660</v>
      </c>
      <c r="B10559" s="2" t="str">
        <f>"49342"</f>
        <v>49342</v>
      </c>
      <c r="C10559" s="1">
        <v>4.2875504957767097E-2</v>
      </c>
      <c r="D10559" s="1">
        <v>9.1996320147194107E-3</v>
      </c>
      <c r="E10559" s="1">
        <v>5.5452865064695E-3</v>
      </c>
      <c r="F10559" s="1">
        <v>4.04493422176661E-2</v>
      </c>
    </row>
    <row r="10560" spans="1:6" x14ac:dyDescent="0.25">
      <c r="A10560" s="2" t="str">
        <f t="shared" si="376"/>
        <v>13660</v>
      </c>
      <c r="B10560" s="2" t="str">
        <f>"48886"</f>
        <v>48886</v>
      </c>
      <c r="C10560" s="1">
        <v>7.3448402497245605E-4</v>
      </c>
      <c r="D10560" s="1">
        <v>0</v>
      </c>
      <c r="E10560" s="1">
        <v>0</v>
      </c>
      <c r="F10560" s="1">
        <v>6.8341021698274304E-4</v>
      </c>
    </row>
    <row r="10561" spans="1:6" x14ac:dyDescent="0.25">
      <c r="A10561" s="2" t="str">
        <f t="shared" si="376"/>
        <v>13660</v>
      </c>
      <c r="B10561" s="2" t="str">
        <f>"48850"</f>
        <v>48850</v>
      </c>
      <c r="C10561" s="1">
        <v>1.5837311788468599E-2</v>
      </c>
      <c r="D10561" s="1">
        <v>2.7598896044158201E-3</v>
      </c>
      <c r="E10561" s="1">
        <v>0</v>
      </c>
      <c r="F10561" s="1">
        <v>1.48641722193746E-2</v>
      </c>
    </row>
    <row r="10562" spans="1:6" x14ac:dyDescent="0.25">
      <c r="A10562" s="2" t="str">
        <f t="shared" si="376"/>
        <v>13660</v>
      </c>
      <c r="B10562" s="2" t="str">
        <f>"49337"</f>
        <v>49337</v>
      </c>
      <c r="C10562" s="1">
        <v>3.4887991186191699E-3</v>
      </c>
      <c r="D10562" s="1">
        <v>3.6798528058877601E-3</v>
      </c>
      <c r="E10562" s="1">
        <v>0</v>
      </c>
      <c r="F10562" s="1">
        <v>3.4170510849137101E-3</v>
      </c>
    </row>
    <row r="10563" spans="1:6" x14ac:dyDescent="0.25">
      <c r="A10563" s="2" t="str">
        <f t="shared" si="376"/>
        <v>13660</v>
      </c>
      <c r="B10563" s="2" t="str">
        <f>"49336"</f>
        <v>49336</v>
      </c>
      <c r="C10563" s="1">
        <v>7.7120822622107899E-2</v>
      </c>
      <c r="D10563" s="1">
        <v>2.57589696412143E-2</v>
      </c>
      <c r="E10563" s="1">
        <v>3.6968576709796599E-3</v>
      </c>
      <c r="F10563" s="1">
        <v>7.3039466940030703E-2</v>
      </c>
    </row>
    <row r="10564" spans="1:6" x14ac:dyDescent="0.25">
      <c r="A10564" s="2" t="str">
        <f t="shared" si="376"/>
        <v>13660</v>
      </c>
      <c r="B10564" s="2" t="str">
        <f>"49631"</f>
        <v>49631</v>
      </c>
      <c r="C10564" s="1">
        <v>1.7489900844656601E-2</v>
      </c>
      <c r="D10564" s="1">
        <v>9.1996320147194101E-4</v>
      </c>
      <c r="E10564" s="1">
        <v>0</v>
      </c>
      <c r="F10564" s="1">
        <v>1.6316418930463001E-2</v>
      </c>
    </row>
    <row r="10565" spans="1:6" x14ac:dyDescent="0.25">
      <c r="A10565" s="2" t="str">
        <f t="shared" si="376"/>
        <v>13660</v>
      </c>
      <c r="B10565" s="2" t="str">
        <f>"49332"</f>
        <v>49332</v>
      </c>
      <c r="C10565" s="1">
        <v>9.52074917370547E-2</v>
      </c>
      <c r="D10565" s="1">
        <v>8.46366145354185E-2</v>
      </c>
      <c r="E10565" s="1">
        <v>2.4029574861367801E-2</v>
      </c>
      <c r="F10565" s="1">
        <v>9.3071928925337402E-2</v>
      </c>
    </row>
    <row r="10566" spans="1:6" x14ac:dyDescent="0.25">
      <c r="A10566" s="2" t="str">
        <f t="shared" si="376"/>
        <v>13660</v>
      </c>
      <c r="B10566" s="2" t="str">
        <f>"49320"</f>
        <v>49320</v>
      </c>
      <c r="C10566" s="1">
        <v>9.7319133308850503E-3</v>
      </c>
      <c r="D10566" s="1">
        <v>9.1996320147194101E-4</v>
      </c>
      <c r="E10566" s="1">
        <v>0</v>
      </c>
      <c r="F10566" s="1">
        <v>9.0978985135827702E-3</v>
      </c>
    </row>
    <row r="10567" spans="1:6" x14ac:dyDescent="0.25">
      <c r="A10567" s="2" t="str">
        <f t="shared" si="376"/>
        <v>13660</v>
      </c>
      <c r="B10567" s="2" t="str">
        <f>"49340"</f>
        <v>49340</v>
      </c>
      <c r="C10567" s="1">
        <v>4.8108703635695901E-2</v>
      </c>
      <c r="D10567" s="1">
        <v>6.6237350505979703E-2</v>
      </c>
      <c r="E10567" s="1">
        <v>7.3937153419593301E-3</v>
      </c>
      <c r="F10567" s="1">
        <v>4.8009567743037697E-2</v>
      </c>
    </row>
    <row r="10568" spans="1:6" x14ac:dyDescent="0.25">
      <c r="A10568" s="2" t="str">
        <f t="shared" si="376"/>
        <v>13660</v>
      </c>
      <c r="B10568" s="2" t="str">
        <f>"49338"</f>
        <v>49338</v>
      </c>
      <c r="C10568" s="1">
        <v>2.9195739992655099E-2</v>
      </c>
      <c r="D10568" s="1">
        <v>2.02391904323827E-2</v>
      </c>
      <c r="E10568" s="1">
        <v>1.1090573012939E-2</v>
      </c>
      <c r="F10568" s="1">
        <v>2.8361524004783801E-2</v>
      </c>
    </row>
    <row r="10569" spans="1:6" x14ac:dyDescent="0.25">
      <c r="A10569" s="2" t="str">
        <f t="shared" ref="A10569:A10578" si="377">"31220"</f>
        <v>31220</v>
      </c>
      <c r="B10569" s="2" t="str">
        <f>"49411"</f>
        <v>49411</v>
      </c>
      <c r="C10569" s="1">
        <v>6.2034739454094198E-2</v>
      </c>
      <c r="D10569" s="1">
        <v>2.3549201009251401E-2</v>
      </c>
      <c r="E10569" s="1">
        <v>0</v>
      </c>
      <c r="F10569" s="1">
        <v>5.8097547830773297E-2</v>
      </c>
    </row>
    <row r="10570" spans="1:6" x14ac:dyDescent="0.25">
      <c r="A10570" s="2" t="str">
        <f t="shared" si="377"/>
        <v>31220</v>
      </c>
      <c r="B10570" s="2" t="str">
        <f>"49431"</f>
        <v>49431</v>
      </c>
      <c r="C10570" s="1">
        <v>0.59393831974477096</v>
      </c>
      <c r="D10570" s="1">
        <v>0.79394449116904897</v>
      </c>
      <c r="E10570" s="1">
        <v>0.86818181818181805</v>
      </c>
      <c r="F10570" s="1">
        <v>0.61325788197251396</v>
      </c>
    </row>
    <row r="10571" spans="1:6" x14ac:dyDescent="0.25">
      <c r="A10571" s="2" t="str">
        <f t="shared" si="377"/>
        <v>31220</v>
      </c>
      <c r="B10571" s="2" t="str">
        <f>"49402"</f>
        <v>49402</v>
      </c>
      <c r="C10571" s="1">
        <v>3.7693489306392498E-2</v>
      </c>
      <c r="D10571" s="1">
        <v>5.8873002523128597E-3</v>
      </c>
      <c r="E10571" s="1">
        <v>0</v>
      </c>
      <c r="F10571" s="1">
        <v>3.4761519805982202E-2</v>
      </c>
    </row>
    <row r="10572" spans="1:6" x14ac:dyDescent="0.25">
      <c r="A10572" s="2" t="str">
        <f t="shared" si="377"/>
        <v>31220</v>
      </c>
      <c r="B10572" s="2" t="str">
        <f>"49644"</f>
        <v>49644</v>
      </c>
      <c r="C10572" s="1">
        <v>3.5448422545196701E-4</v>
      </c>
      <c r="D10572" s="1">
        <v>0</v>
      </c>
      <c r="E10572" s="1">
        <v>0</v>
      </c>
      <c r="F10572" s="1">
        <v>3.2336297493936898E-4</v>
      </c>
    </row>
    <row r="10573" spans="1:6" x14ac:dyDescent="0.25">
      <c r="A10573" s="2" t="str">
        <f t="shared" si="377"/>
        <v>31220</v>
      </c>
      <c r="B10573" s="2" t="str">
        <f>"49410"</f>
        <v>49410</v>
      </c>
      <c r="C10573" s="1">
        <v>7.1133167907361405E-2</v>
      </c>
      <c r="D10573" s="1">
        <v>7.5693860386879704E-3</v>
      </c>
      <c r="E10573" s="1">
        <v>0</v>
      </c>
      <c r="F10573" s="1">
        <v>6.5373214766909105E-2</v>
      </c>
    </row>
    <row r="10574" spans="1:6" x14ac:dyDescent="0.25">
      <c r="A10574" s="2" t="str">
        <f t="shared" si="377"/>
        <v>31220</v>
      </c>
      <c r="B10574" s="2" t="str">
        <f>"49454"</f>
        <v>49454</v>
      </c>
      <c r="C10574" s="1">
        <v>0.12814604750088601</v>
      </c>
      <c r="D10574" s="1">
        <v>0.13540790580319501</v>
      </c>
      <c r="E10574" s="1">
        <v>0.109090909090909</v>
      </c>
      <c r="F10574" s="1">
        <v>0.128159525734303</v>
      </c>
    </row>
    <row r="10575" spans="1:6" x14ac:dyDescent="0.25">
      <c r="A10575" s="2" t="str">
        <f t="shared" si="377"/>
        <v>31220</v>
      </c>
      <c r="B10575" s="2" t="str">
        <f>"49405"</f>
        <v>49405</v>
      </c>
      <c r="C10575" s="1">
        <v>5.0573082831147302E-2</v>
      </c>
      <c r="D10575" s="1">
        <v>1.93439865433137E-2</v>
      </c>
      <c r="E10575" s="1">
        <v>9.0909090909090905E-3</v>
      </c>
      <c r="F10575" s="1">
        <v>4.7588251145243801E-2</v>
      </c>
    </row>
    <row r="10576" spans="1:6" x14ac:dyDescent="0.25">
      <c r="A10576" s="2" t="str">
        <f t="shared" si="377"/>
        <v>31220</v>
      </c>
      <c r="B10576" s="2" t="str">
        <f>"49458"</f>
        <v>49458</v>
      </c>
      <c r="C10576" s="1">
        <v>3.5448422545196701E-4</v>
      </c>
      <c r="D10576" s="1">
        <v>8.4104289318755198E-4</v>
      </c>
      <c r="E10576" s="1">
        <v>0</v>
      </c>
      <c r="F10576" s="1">
        <v>3.7725680409593097E-4</v>
      </c>
    </row>
    <row r="10577" spans="1:6" x14ac:dyDescent="0.25">
      <c r="A10577" s="2" t="str">
        <f t="shared" si="377"/>
        <v>31220</v>
      </c>
      <c r="B10577" s="2" t="str">
        <f>"49660"</f>
        <v>49660</v>
      </c>
      <c r="C10577" s="1">
        <v>2.0914569301665999E-2</v>
      </c>
      <c r="D10577" s="1">
        <v>5.8873002523128597E-3</v>
      </c>
      <c r="E10577" s="1">
        <v>1.3636363636363599E-2</v>
      </c>
      <c r="F10577" s="1">
        <v>1.9779035300457999E-2</v>
      </c>
    </row>
    <row r="10578" spans="1:6" x14ac:dyDescent="0.25">
      <c r="A10578" s="2" t="str">
        <f t="shared" si="377"/>
        <v>31220</v>
      </c>
      <c r="B10578" s="2" t="str">
        <f>"49449"</f>
        <v>49449</v>
      </c>
      <c r="C10578" s="1">
        <v>3.4857615502776697E-2</v>
      </c>
      <c r="D10578" s="1">
        <v>7.5693860386879704E-3</v>
      </c>
      <c r="E10578" s="1">
        <v>0</v>
      </c>
      <c r="F10578" s="1">
        <v>3.2282403664780301E-2</v>
      </c>
    </row>
    <row r="10579" spans="1:6" x14ac:dyDescent="0.25">
      <c r="A10579" s="2" t="str">
        <f t="shared" ref="A10579:A10612" si="378">"13980"</f>
        <v>13980</v>
      </c>
      <c r="B10579" s="2" t="str">
        <f>"24167"</f>
        <v>24167</v>
      </c>
      <c r="C10579" s="1">
        <v>2.1404109589040999E-3</v>
      </c>
      <c r="D10579" s="1">
        <v>0</v>
      </c>
      <c r="E10579" s="1">
        <v>2.7624309392265098E-4</v>
      </c>
      <c r="F10579" s="1">
        <v>1.9123763003582801E-3</v>
      </c>
    </row>
    <row r="10580" spans="1:6" x14ac:dyDescent="0.25">
      <c r="A10580" s="2" t="str">
        <f t="shared" si="378"/>
        <v>13980</v>
      </c>
      <c r="B10580" s="2" t="str">
        <f>"24142"</f>
        <v>24142</v>
      </c>
      <c r="C10580" s="1">
        <v>0</v>
      </c>
      <c r="D10580" s="1">
        <v>3.2813781788351102E-4</v>
      </c>
      <c r="E10580" s="1">
        <v>0</v>
      </c>
      <c r="F10580" s="1">
        <v>2.30406783175696E-5</v>
      </c>
    </row>
    <row r="10581" spans="1:6" x14ac:dyDescent="0.25">
      <c r="A10581" s="2" t="str">
        <f t="shared" si="378"/>
        <v>13980</v>
      </c>
      <c r="B10581" s="2" t="str">
        <f>"24070"</f>
        <v>24070</v>
      </c>
      <c r="C10581" s="1">
        <v>3.3727687837276798E-4</v>
      </c>
      <c r="D10581" s="1">
        <v>0</v>
      </c>
      <c r="E10581" s="1">
        <v>0</v>
      </c>
      <c r="F10581" s="1">
        <v>2.99528818128405E-4</v>
      </c>
    </row>
    <row r="10582" spans="1:6" x14ac:dyDescent="0.25">
      <c r="A10582" s="2" t="str">
        <f t="shared" si="378"/>
        <v>13980</v>
      </c>
      <c r="B10582" s="2" t="str">
        <f>"24162"</f>
        <v>24162</v>
      </c>
      <c r="C10582" s="1">
        <v>1.26867995018679E-2</v>
      </c>
      <c r="D10582" s="1">
        <v>3.2813781788351101E-3</v>
      </c>
      <c r="E10582" s="1">
        <v>4.1436464088397702E-3</v>
      </c>
      <c r="F10582" s="1">
        <v>1.1670103567849E-2</v>
      </c>
    </row>
    <row r="10583" spans="1:6" x14ac:dyDescent="0.25">
      <c r="A10583" s="2" t="str">
        <f t="shared" si="378"/>
        <v>13980</v>
      </c>
      <c r="B10583" s="2" t="str">
        <f>"24126"</f>
        <v>24126</v>
      </c>
      <c r="C10583" s="1">
        <v>0</v>
      </c>
      <c r="D10583" s="1">
        <v>0</v>
      </c>
      <c r="E10583" s="1">
        <v>2.7624309392265098E-4</v>
      </c>
      <c r="F10583" s="1">
        <v>1.15203391587848E-5</v>
      </c>
    </row>
    <row r="10584" spans="1:6" x14ac:dyDescent="0.25">
      <c r="A10584" s="2" t="str">
        <f t="shared" si="378"/>
        <v>13980</v>
      </c>
      <c r="B10584" s="2" t="str">
        <f>"24301"</f>
        <v>24301</v>
      </c>
      <c r="C10584" s="1">
        <v>9.16874221668742E-2</v>
      </c>
      <c r="D10584" s="1">
        <v>9.6964725184577494E-2</v>
      </c>
      <c r="E10584" s="1">
        <v>4.4198895027624301E-2</v>
      </c>
      <c r="F10584" s="1">
        <v>9.00775318825386E-2</v>
      </c>
    </row>
    <row r="10585" spans="1:6" x14ac:dyDescent="0.25">
      <c r="A10585" s="2" t="str">
        <f t="shared" si="378"/>
        <v>13980</v>
      </c>
      <c r="B10585" s="2" t="str">
        <f>"24347"</f>
        <v>24347</v>
      </c>
      <c r="C10585" s="1">
        <v>1.16619966791199E-2</v>
      </c>
      <c r="D10585" s="1">
        <v>2.2969647251845698E-3</v>
      </c>
      <c r="E10585" s="1">
        <v>2.7624309392265098E-4</v>
      </c>
      <c r="F10585" s="1">
        <v>1.0529589991129301E-2</v>
      </c>
    </row>
    <row r="10586" spans="1:6" x14ac:dyDescent="0.25">
      <c r="A10586" s="2" t="str">
        <f t="shared" si="378"/>
        <v>13980</v>
      </c>
      <c r="B10586" s="2" t="str">
        <f>"24136"</f>
        <v>24136</v>
      </c>
      <c r="C10586" s="1">
        <v>2.12484433374844E-2</v>
      </c>
      <c r="D10586" s="1">
        <v>1.0664479081214101E-2</v>
      </c>
      <c r="E10586" s="1">
        <v>1.0773480662983399E-2</v>
      </c>
      <c r="F10586" s="1">
        <v>2.0068430814603098E-2</v>
      </c>
    </row>
    <row r="10587" spans="1:6" x14ac:dyDescent="0.25">
      <c r="A10587" s="2" t="str">
        <f t="shared" si="378"/>
        <v>13980</v>
      </c>
      <c r="B10587" s="2" t="str">
        <f>"24124"</f>
        <v>24124</v>
      </c>
      <c r="C10587" s="1">
        <v>2.77215649647156E-2</v>
      </c>
      <c r="D10587" s="1">
        <v>1.83757178014766E-2</v>
      </c>
      <c r="E10587" s="1">
        <v>6.0773480662983399E-3</v>
      </c>
      <c r="F10587" s="1">
        <v>2.6162690229600299E-2</v>
      </c>
    </row>
    <row r="10588" spans="1:6" x14ac:dyDescent="0.25">
      <c r="A10588" s="2" t="str">
        <f t="shared" si="378"/>
        <v>13980</v>
      </c>
      <c r="B10588" s="2" t="str">
        <f>"24063"</f>
        <v>24063</v>
      </c>
      <c r="C10588" s="1">
        <v>8.8600041511000399E-3</v>
      </c>
      <c r="D10588" s="1">
        <v>3.2157506152584003E-2</v>
      </c>
      <c r="E10588" s="1">
        <v>5.5248618784530304E-4</v>
      </c>
      <c r="F10588" s="1">
        <v>1.0149418798889399E-2</v>
      </c>
    </row>
    <row r="10589" spans="1:6" x14ac:dyDescent="0.25">
      <c r="A10589" s="2" t="str">
        <f t="shared" si="378"/>
        <v>13980</v>
      </c>
      <c r="B10589" s="2" t="str">
        <f>"24313"</f>
        <v>24313</v>
      </c>
      <c r="C10589" s="1">
        <v>1.16749688667496E-4</v>
      </c>
      <c r="D10589" s="1">
        <v>0</v>
      </c>
      <c r="E10589" s="1">
        <v>0</v>
      </c>
      <c r="F10589" s="1">
        <v>1.0368305242906301E-4</v>
      </c>
    </row>
    <row r="10590" spans="1:6" x14ac:dyDescent="0.25">
      <c r="A10590" s="2" t="str">
        <f t="shared" si="378"/>
        <v>13980</v>
      </c>
      <c r="B10590" s="2" t="str">
        <f>"24315"</f>
        <v>24315</v>
      </c>
      <c r="C10590" s="1">
        <v>4.2808219178082103E-4</v>
      </c>
      <c r="D10590" s="1">
        <v>0</v>
      </c>
      <c r="E10590" s="1">
        <v>0</v>
      </c>
      <c r="F10590" s="1">
        <v>3.8017119223989902E-4</v>
      </c>
    </row>
    <row r="10591" spans="1:6" x14ac:dyDescent="0.25">
      <c r="A10591" s="2" t="str">
        <f t="shared" si="378"/>
        <v>13980</v>
      </c>
      <c r="B10591" s="2" t="str">
        <f>"24149"</f>
        <v>24149</v>
      </c>
      <c r="C10591" s="1">
        <v>1.5320153590701499E-2</v>
      </c>
      <c r="D10591" s="1">
        <v>5.2502050861361702E-3</v>
      </c>
      <c r="E10591" s="1">
        <v>1.3812154696132501E-3</v>
      </c>
      <c r="F10591" s="1">
        <v>1.4031773095399901E-2</v>
      </c>
    </row>
    <row r="10592" spans="1:6" x14ac:dyDescent="0.25">
      <c r="A10592" s="2" t="str">
        <f t="shared" si="378"/>
        <v>13980</v>
      </c>
      <c r="B10592" s="2" t="str">
        <f>"24147"</f>
        <v>24147</v>
      </c>
      <c r="C10592" s="1">
        <v>3.7619344126193399E-3</v>
      </c>
      <c r="D10592" s="1">
        <v>1.31255127153404E-3</v>
      </c>
      <c r="E10592" s="1">
        <v>3.3149171270718202E-3</v>
      </c>
      <c r="F10592" s="1">
        <v>3.5713051392232899E-3</v>
      </c>
    </row>
    <row r="10593" spans="1:6" x14ac:dyDescent="0.25">
      <c r="A10593" s="2" t="str">
        <f t="shared" si="378"/>
        <v>13980</v>
      </c>
      <c r="B10593" s="2" t="str">
        <f>"24111"</f>
        <v>24111</v>
      </c>
      <c r="C10593" s="1">
        <v>0</v>
      </c>
      <c r="D10593" s="1">
        <v>0</v>
      </c>
      <c r="E10593" s="1">
        <v>2.7624309392265098E-4</v>
      </c>
      <c r="F10593" s="1">
        <v>1.15203391587848E-5</v>
      </c>
    </row>
    <row r="10594" spans="1:6" x14ac:dyDescent="0.25">
      <c r="A10594" s="2" t="str">
        <f t="shared" si="378"/>
        <v>13980</v>
      </c>
      <c r="B10594" s="2" t="str">
        <f>"24058"</f>
        <v>24058</v>
      </c>
      <c r="C10594" s="1">
        <v>0</v>
      </c>
      <c r="D10594" s="1">
        <v>0</v>
      </c>
      <c r="E10594" s="1">
        <v>2.7624309392265098E-4</v>
      </c>
      <c r="F10594" s="1">
        <v>1.15203391587848E-5</v>
      </c>
    </row>
    <row r="10595" spans="1:6" x14ac:dyDescent="0.25">
      <c r="A10595" s="2" t="str">
        <f t="shared" si="378"/>
        <v>13980</v>
      </c>
      <c r="B10595" s="2" t="str">
        <f>"24086"</f>
        <v>24086</v>
      </c>
      <c r="C10595" s="1">
        <v>9.4696969696969602E-4</v>
      </c>
      <c r="D10595" s="1">
        <v>0</v>
      </c>
      <c r="E10595" s="1">
        <v>2.7624309392265098E-4</v>
      </c>
      <c r="F10595" s="1">
        <v>8.5250509775007695E-4</v>
      </c>
    </row>
    <row r="10596" spans="1:6" x14ac:dyDescent="0.25">
      <c r="A10596" s="2" t="str">
        <f t="shared" si="378"/>
        <v>13980</v>
      </c>
      <c r="B10596" s="2" t="str">
        <f>"24150"</f>
        <v>24150</v>
      </c>
      <c r="C10596" s="1">
        <v>4.8386259858862503E-3</v>
      </c>
      <c r="D10596" s="1">
        <v>2.13289581624282E-3</v>
      </c>
      <c r="E10596" s="1">
        <v>1.6574585635359101E-3</v>
      </c>
      <c r="F10596" s="1">
        <v>4.5159729502436503E-3</v>
      </c>
    </row>
    <row r="10597" spans="1:6" x14ac:dyDescent="0.25">
      <c r="A10597" s="2" t="str">
        <f t="shared" si="378"/>
        <v>13980</v>
      </c>
      <c r="B10597" s="2" t="str">
        <f>"24134"</f>
        <v>24134</v>
      </c>
      <c r="C10597" s="1">
        <v>3.5569738480697298E-2</v>
      </c>
      <c r="D10597" s="1">
        <v>3.74077112387202E-2</v>
      </c>
      <c r="E10597" s="1">
        <v>2.4033149171270699E-2</v>
      </c>
      <c r="F10597" s="1">
        <v>3.52176768084052E-2</v>
      </c>
    </row>
    <row r="10598" spans="1:6" x14ac:dyDescent="0.25">
      <c r="A10598" s="2" t="str">
        <f t="shared" si="378"/>
        <v>13980</v>
      </c>
      <c r="B10598" s="2" t="str">
        <f>"24128"</f>
        <v>24128</v>
      </c>
      <c r="C10598" s="1">
        <v>8.5356994603569894E-3</v>
      </c>
      <c r="D10598" s="1">
        <v>2.7891714520098402E-3</v>
      </c>
      <c r="E10598" s="1">
        <v>3.3149171270718202E-3</v>
      </c>
      <c r="F10598" s="1">
        <v>7.9144730020851792E-3</v>
      </c>
    </row>
    <row r="10599" spans="1:6" x14ac:dyDescent="0.25">
      <c r="A10599" s="2" t="str">
        <f t="shared" si="378"/>
        <v>13980</v>
      </c>
      <c r="B10599" s="2" t="str">
        <f>"24060"</f>
        <v>24060</v>
      </c>
      <c r="C10599" s="1">
        <v>0.28632212536322099</v>
      </c>
      <c r="D10599" s="1">
        <v>0.25447087776866201</v>
      </c>
      <c r="E10599" s="1">
        <v>0.48784530386740299</v>
      </c>
      <c r="F10599" s="1">
        <v>0.29248989090238797</v>
      </c>
    </row>
    <row r="10600" spans="1:6" x14ac:dyDescent="0.25">
      <c r="A10600" s="2" t="str">
        <f t="shared" si="378"/>
        <v>13980</v>
      </c>
      <c r="B10600" s="2" t="str">
        <f>"24073"</f>
        <v>24073</v>
      </c>
      <c r="C10600" s="1">
        <v>0.19146948941469399</v>
      </c>
      <c r="D10600" s="1">
        <v>0.22789171452009799</v>
      </c>
      <c r="E10600" s="1">
        <v>0.14005524861878399</v>
      </c>
      <c r="F10600" s="1">
        <v>0.19188276902872001</v>
      </c>
    </row>
    <row r="10601" spans="1:6" x14ac:dyDescent="0.25">
      <c r="A10601" s="2" t="str">
        <f t="shared" si="378"/>
        <v>13980</v>
      </c>
      <c r="B10601" s="2" t="str">
        <f>"24068"</f>
        <v>24068</v>
      </c>
      <c r="C10601" s="1">
        <v>2.46860730593607E-2</v>
      </c>
      <c r="D10601" s="1">
        <v>6.8088597210828494E-2</v>
      </c>
      <c r="E10601" s="1">
        <v>5.5248618784530304E-4</v>
      </c>
      <c r="F10601" s="1">
        <v>2.67271868483808E-2</v>
      </c>
    </row>
    <row r="10602" spans="1:6" x14ac:dyDescent="0.25">
      <c r="A10602" s="2" t="str">
        <f t="shared" si="378"/>
        <v>13980</v>
      </c>
      <c r="B10602" s="2" t="str">
        <f>"24129"</f>
        <v>24129</v>
      </c>
      <c r="C10602" s="1">
        <v>0</v>
      </c>
      <c r="D10602" s="1">
        <v>0</v>
      </c>
      <c r="E10602" s="1">
        <v>2.7624309392265098E-4</v>
      </c>
      <c r="F10602" s="1">
        <v>1.15203391587848E-5</v>
      </c>
    </row>
    <row r="10603" spans="1:6" x14ac:dyDescent="0.25">
      <c r="A10603" s="2" t="str">
        <f t="shared" si="378"/>
        <v>13980</v>
      </c>
      <c r="B10603" s="2" t="str">
        <f>"24093"</f>
        <v>24093</v>
      </c>
      <c r="C10603" s="1">
        <v>8.5616438356164303E-4</v>
      </c>
      <c r="D10603" s="1">
        <v>9.8441345365053289E-4</v>
      </c>
      <c r="E10603" s="1">
        <v>8.2872928176795505E-4</v>
      </c>
      <c r="F10603" s="1">
        <v>8.6402543690886199E-4</v>
      </c>
    </row>
    <row r="10604" spans="1:6" x14ac:dyDescent="0.25">
      <c r="A10604" s="2" t="str">
        <f t="shared" si="378"/>
        <v>13980</v>
      </c>
      <c r="B10604" s="2" t="str">
        <f>"24084"</f>
        <v>24084</v>
      </c>
      <c r="C10604" s="1">
        <v>6.1760585305105802E-2</v>
      </c>
      <c r="D10604" s="1">
        <v>4.5611156685808001E-2</v>
      </c>
      <c r="E10604" s="1">
        <v>5.2486187845303803E-2</v>
      </c>
      <c r="F10604" s="1">
        <v>6.0239853461285901E-2</v>
      </c>
    </row>
    <row r="10605" spans="1:6" x14ac:dyDescent="0.25">
      <c r="A10605" s="2" t="str">
        <f t="shared" si="378"/>
        <v>13980</v>
      </c>
      <c r="B10605" s="2" t="str">
        <f>"24324"</f>
        <v>24324</v>
      </c>
      <c r="C10605" s="1">
        <v>1.10393316728933E-2</v>
      </c>
      <c r="D10605" s="1">
        <v>3.2813781788351101E-3</v>
      </c>
      <c r="E10605" s="1">
        <v>2.7624309392265098E-4</v>
      </c>
      <c r="F10605" s="1">
        <v>1.00457357464603E-2</v>
      </c>
    </row>
    <row r="10606" spans="1:6" x14ac:dyDescent="0.25">
      <c r="A10606" s="2" t="str">
        <f t="shared" si="378"/>
        <v>13980</v>
      </c>
      <c r="B10606" s="2" t="str">
        <f>"24062"</f>
        <v>24062</v>
      </c>
      <c r="C10606" s="1">
        <v>1.41915732669157E-2</v>
      </c>
      <c r="D10606" s="1">
        <v>3.2157506152584003E-2</v>
      </c>
      <c r="E10606" s="1">
        <v>2.7624309392265098E-4</v>
      </c>
      <c r="F10606" s="1">
        <v>1.4872757853991199E-2</v>
      </c>
    </row>
    <row r="10607" spans="1:6" x14ac:dyDescent="0.25">
      <c r="A10607" s="2" t="str">
        <f t="shared" si="378"/>
        <v>13980</v>
      </c>
      <c r="B10607" s="2" t="str">
        <f>"24061"</f>
        <v>24061</v>
      </c>
      <c r="C10607" s="1">
        <v>0</v>
      </c>
      <c r="D10607" s="1">
        <v>2.3461853978671E-2</v>
      </c>
      <c r="E10607" s="1">
        <v>0</v>
      </c>
      <c r="F10607" s="1">
        <v>1.6474084997062299E-3</v>
      </c>
    </row>
    <row r="10608" spans="1:6" x14ac:dyDescent="0.25">
      <c r="A10608" s="2" t="str">
        <f t="shared" si="378"/>
        <v>13980</v>
      </c>
      <c r="B10608" s="2" t="str">
        <f>"24087"</f>
        <v>24087</v>
      </c>
      <c r="C10608" s="1">
        <v>2.1079804898297999E-2</v>
      </c>
      <c r="D10608" s="1">
        <v>6.5627563576702201E-3</v>
      </c>
      <c r="E10608" s="1">
        <v>6.6298342541436404E-3</v>
      </c>
      <c r="F10608" s="1">
        <v>1.9457852839187498E-2</v>
      </c>
    </row>
    <row r="10609" spans="1:6" x14ac:dyDescent="0.25">
      <c r="A10609" s="2" t="str">
        <f t="shared" si="378"/>
        <v>13980</v>
      </c>
      <c r="B10609" s="2" t="str">
        <f>"24132"</f>
        <v>24132</v>
      </c>
      <c r="C10609" s="1">
        <v>0</v>
      </c>
      <c r="D10609" s="1">
        <v>0</v>
      </c>
      <c r="E10609" s="1">
        <v>2.7624309392265098E-4</v>
      </c>
      <c r="F10609" s="1">
        <v>1.15203391587848E-5</v>
      </c>
    </row>
    <row r="10610" spans="1:6" x14ac:dyDescent="0.25">
      <c r="A10610" s="2" t="str">
        <f t="shared" si="378"/>
        <v>13980</v>
      </c>
      <c r="B10610" s="2" t="str">
        <f>"24138"</f>
        <v>24138</v>
      </c>
      <c r="C10610" s="1">
        <v>4.59215442092154E-3</v>
      </c>
      <c r="D10610" s="1">
        <v>1.6406890894175499E-4</v>
      </c>
      <c r="E10610" s="1">
        <v>2.7624309392265098E-4</v>
      </c>
      <c r="F10610" s="1">
        <v>4.1012407405273997E-3</v>
      </c>
    </row>
    <row r="10611" spans="1:6" x14ac:dyDescent="0.25">
      <c r="A10611" s="2" t="str">
        <f t="shared" si="378"/>
        <v>13980</v>
      </c>
      <c r="B10611" s="2" t="str">
        <f>"24141"</f>
        <v>24141</v>
      </c>
      <c r="C10611" s="1">
        <v>0.138101909506019</v>
      </c>
      <c r="D10611" s="1">
        <v>0.12436423297785</v>
      </c>
      <c r="E10611" s="1">
        <v>0.20911602209944699</v>
      </c>
      <c r="F10611" s="1">
        <v>0.140098844509982</v>
      </c>
    </row>
    <row r="10612" spans="1:6" x14ac:dyDescent="0.25">
      <c r="A10612" s="2" t="str">
        <f t="shared" si="378"/>
        <v>13980</v>
      </c>
      <c r="B10612" s="2" t="str">
        <f>"24059"</f>
        <v>24059</v>
      </c>
      <c r="C10612" s="1">
        <v>3.8916562889165601E-5</v>
      </c>
      <c r="D10612" s="1">
        <v>0</v>
      </c>
      <c r="E10612" s="1">
        <v>0</v>
      </c>
      <c r="F10612" s="1">
        <v>3.45610174763545E-5</v>
      </c>
    </row>
    <row r="10613" spans="1:6" x14ac:dyDescent="0.25">
      <c r="A10613" s="2" t="str">
        <f t="shared" ref="A10613:A10633" si="379">"19260"</f>
        <v>19260</v>
      </c>
      <c r="B10613" s="2" t="str">
        <f>"24530"</f>
        <v>24530</v>
      </c>
      <c r="C10613" s="1">
        <v>1.1637557403957799E-2</v>
      </c>
      <c r="D10613" s="1">
        <v>4.2141794744670301E-3</v>
      </c>
      <c r="E10613" s="1">
        <v>1.8844221105527601E-3</v>
      </c>
      <c r="F10613" s="1">
        <v>1.0877738232492801E-2</v>
      </c>
    </row>
    <row r="10614" spans="1:6" x14ac:dyDescent="0.25">
      <c r="A10614" s="2" t="str">
        <f t="shared" si="379"/>
        <v>19260</v>
      </c>
      <c r="B10614" s="2" t="str">
        <f>"24527"</f>
        <v>24527</v>
      </c>
      <c r="C10614" s="1">
        <v>2.4197266741668302E-2</v>
      </c>
      <c r="D10614" s="1">
        <v>1.6360932077342499E-2</v>
      </c>
      <c r="E10614" s="1">
        <v>1.0678391959798901E-2</v>
      </c>
      <c r="F10614" s="1">
        <v>2.3309439069627499E-2</v>
      </c>
    </row>
    <row r="10615" spans="1:6" x14ac:dyDescent="0.25">
      <c r="A10615" s="2" t="str">
        <f t="shared" si="379"/>
        <v>19260</v>
      </c>
      <c r="B10615" s="2" t="str">
        <f>"24566"</f>
        <v>24566</v>
      </c>
      <c r="C10615" s="1">
        <v>1.2983899227236599E-2</v>
      </c>
      <c r="D10615" s="1">
        <v>1.48735746157659E-3</v>
      </c>
      <c r="E10615" s="1">
        <v>1.8844221105527601E-3</v>
      </c>
      <c r="F10615" s="1">
        <v>1.1913713302254001E-2</v>
      </c>
    </row>
    <row r="10616" spans="1:6" x14ac:dyDescent="0.25">
      <c r="A10616" s="2" t="str">
        <f t="shared" si="379"/>
        <v>19260</v>
      </c>
      <c r="B10616" s="2" t="str">
        <f>"24592"</f>
        <v>24592</v>
      </c>
      <c r="C10616" s="1">
        <v>7.3772154700208397E-5</v>
      </c>
      <c r="D10616" s="1">
        <v>0</v>
      </c>
      <c r="E10616" s="1">
        <v>0</v>
      </c>
      <c r="F10616" s="1">
        <v>6.6837101274917703E-5</v>
      </c>
    </row>
    <row r="10617" spans="1:6" x14ac:dyDescent="0.25">
      <c r="A10617" s="2" t="str">
        <f t="shared" si="379"/>
        <v>19260</v>
      </c>
      <c r="B10617" s="2" t="str">
        <f>"24549"</f>
        <v>24549</v>
      </c>
      <c r="C10617" s="1">
        <v>3.5650393758875701E-2</v>
      </c>
      <c r="D10617" s="1">
        <v>9.6678235002478907E-3</v>
      </c>
      <c r="E10617" s="1">
        <v>1.31909547738693E-2</v>
      </c>
      <c r="F10617" s="1">
        <v>3.3301585710227698E-2</v>
      </c>
    </row>
    <row r="10618" spans="1:6" x14ac:dyDescent="0.25">
      <c r="A10618" s="2" t="str">
        <f t="shared" si="379"/>
        <v>19260</v>
      </c>
      <c r="B10618" s="2" t="str">
        <f>"24565"</f>
        <v>24565</v>
      </c>
      <c r="C10618" s="1">
        <v>9.4612788403017206E-3</v>
      </c>
      <c r="D10618" s="1">
        <v>4.2141794744670301E-3</v>
      </c>
      <c r="E10618" s="1">
        <v>6.2814070351758697E-4</v>
      </c>
      <c r="F10618" s="1">
        <v>8.8726251942453198E-3</v>
      </c>
    </row>
    <row r="10619" spans="1:6" x14ac:dyDescent="0.25">
      <c r="A10619" s="2" t="str">
        <f t="shared" si="379"/>
        <v>19260</v>
      </c>
      <c r="B10619" s="2" t="str">
        <f>"24594"</f>
        <v>24594</v>
      </c>
      <c r="C10619" s="1">
        <v>1.0899835856955699E-2</v>
      </c>
      <c r="D10619" s="1">
        <v>3.96628656420426E-3</v>
      </c>
      <c r="E10619" s="1">
        <v>5.6532663316582899E-3</v>
      </c>
      <c r="F10619" s="1">
        <v>1.02929135963373E-2</v>
      </c>
    </row>
    <row r="10620" spans="1:6" x14ac:dyDescent="0.25">
      <c r="A10620" s="2" t="str">
        <f t="shared" si="379"/>
        <v>19260</v>
      </c>
      <c r="B10620" s="2" t="str">
        <f>"24541"</f>
        <v>24541</v>
      </c>
      <c r="C10620" s="1">
        <v>0.28654949189428403</v>
      </c>
      <c r="D10620" s="1">
        <v>0.38324243926623602</v>
      </c>
      <c r="E10620" s="1">
        <v>0.51005025125628101</v>
      </c>
      <c r="F10620" s="1">
        <v>0.29901248182866302</v>
      </c>
    </row>
    <row r="10621" spans="1:6" x14ac:dyDescent="0.25">
      <c r="A10621" s="2" t="str">
        <f t="shared" si="379"/>
        <v>19260</v>
      </c>
      <c r="B10621" s="2" t="str">
        <f>"24069"</f>
        <v>24069</v>
      </c>
      <c r="C10621" s="1">
        <v>1.70413677357481E-2</v>
      </c>
      <c r="D10621" s="1">
        <v>6.6931085770946903E-3</v>
      </c>
      <c r="E10621" s="1">
        <v>9.4221105527638096E-3</v>
      </c>
      <c r="F10621" s="1">
        <v>1.6141159957892601E-2</v>
      </c>
    </row>
    <row r="10622" spans="1:6" x14ac:dyDescent="0.25">
      <c r="A10622" s="2" t="str">
        <f t="shared" si="379"/>
        <v>19260</v>
      </c>
      <c r="B10622" s="2" t="str">
        <f>"24557"</f>
        <v>24557</v>
      </c>
      <c r="C10622" s="1">
        <v>6.9733129230371907E-2</v>
      </c>
      <c r="D10622" s="1">
        <v>4.1893901834407499E-2</v>
      </c>
      <c r="E10622" s="1">
        <v>1.3819095477386901E-2</v>
      </c>
      <c r="F10622" s="1">
        <v>6.6369241565993206E-2</v>
      </c>
    </row>
    <row r="10623" spans="1:6" x14ac:dyDescent="0.25">
      <c r="A10623" s="2" t="str">
        <f t="shared" si="379"/>
        <v>19260</v>
      </c>
      <c r="B10623" s="2" t="str">
        <f>"24563"</f>
        <v>24563</v>
      </c>
      <c r="C10623" s="1">
        <v>4.8246989173936203E-2</v>
      </c>
      <c r="D10623" s="1">
        <v>1.4625681705503201E-2</v>
      </c>
      <c r="E10623" s="1">
        <v>2.2613065326633101E-2</v>
      </c>
      <c r="F10623" s="1">
        <v>4.5298845389075401E-2</v>
      </c>
    </row>
    <row r="10624" spans="1:6" x14ac:dyDescent="0.25">
      <c r="A10624" s="2" t="str">
        <f t="shared" si="379"/>
        <v>19260</v>
      </c>
      <c r="B10624" s="2" t="str">
        <f>"24577"</f>
        <v>24577</v>
      </c>
      <c r="C10624" s="1">
        <v>1.8443038675052099E-5</v>
      </c>
      <c r="D10624" s="1">
        <v>0</v>
      </c>
      <c r="E10624" s="1">
        <v>0</v>
      </c>
      <c r="F10624" s="1">
        <v>1.6709275318729399E-5</v>
      </c>
    </row>
    <row r="10625" spans="1:6" x14ac:dyDescent="0.25">
      <c r="A10625" s="2" t="str">
        <f t="shared" si="379"/>
        <v>19260</v>
      </c>
      <c r="B10625" s="2" t="str">
        <f>"24054"</f>
        <v>24054</v>
      </c>
      <c r="C10625" s="1">
        <v>1.59716714925951E-2</v>
      </c>
      <c r="D10625" s="1">
        <v>4.2141794744670301E-3</v>
      </c>
      <c r="E10625" s="1">
        <v>2.5125628140703501E-3</v>
      </c>
      <c r="F10625" s="1">
        <v>1.4821127207712999E-2</v>
      </c>
    </row>
    <row r="10626" spans="1:6" x14ac:dyDescent="0.25">
      <c r="A10626" s="2" t="str">
        <f t="shared" si="379"/>
        <v>19260</v>
      </c>
      <c r="B10626" s="2" t="str">
        <f>"24586"</f>
        <v>24586</v>
      </c>
      <c r="C10626" s="1">
        <v>4.8007229671160598E-2</v>
      </c>
      <c r="D10626" s="1">
        <v>2.20624690133862E-2</v>
      </c>
      <c r="E10626" s="1">
        <v>2.0728643216080402E-2</v>
      </c>
      <c r="F10626" s="1">
        <v>4.5532775243537597E-2</v>
      </c>
    </row>
    <row r="10627" spans="1:6" x14ac:dyDescent="0.25">
      <c r="A10627" s="2" t="str">
        <f t="shared" si="379"/>
        <v>19260</v>
      </c>
      <c r="B10627" s="2" t="str">
        <f>"24161"</f>
        <v>24161</v>
      </c>
      <c r="C10627" s="1">
        <v>4.9796204422640601E-3</v>
      </c>
      <c r="D10627" s="1">
        <v>2.2310361923648901E-3</v>
      </c>
      <c r="E10627" s="1">
        <v>0</v>
      </c>
      <c r="F10627" s="1">
        <v>4.6618878139255103E-3</v>
      </c>
    </row>
    <row r="10628" spans="1:6" x14ac:dyDescent="0.25">
      <c r="A10628" s="2" t="str">
        <f t="shared" si="379"/>
        <v>19260</v>
      </c>
      <c r="B10628" s="2" t="str">
        <f>"24139"</f>
        <v>24139</v>
      </c>
      <c r="C10628" s="1">
        <v>5.5513546411906801E-3</v>
      </c>
      <c r="D10628" s="1">
        <v>1.7352503718393599E-3</v>
      </c>
      <c r="E10628" s="1">
        <v>6.2814070351758697E-4</v>
      </c>
      <c r="F10628" s="1">
        <v>5.1631660734873901E-3</v>
      </c>
    </row>
    <row r="10629" spans="1:6" x14ac:dyDescent="0.25">
      <c r="A10629" s="2" t="str">
        <f t="shared" si="379"/>
        <v>19260</v>
      </c>
      <c r="B10629" s="2" t="str">
        <f>"24569"</f>
        <v>24569</v>
      </c>
      <c r="C10629" s="1">
        <v>6.0862027627671903E-3</v>
      </c>
      <c r="D10629" s="1">
        <v>1.2394645513138299E-3</v>
      </c>
      <c r="E10629" s="1">
        <v>0</v>
      </c>
      <c r="F10629" s="1">
        <v>5.5976072317743498E-3</v>
      </c>
    </row>
    <row r="10630" spans="1:6" x14ac:dyDescent="0.25">
      <c r="A10630" s="2" t="str">
        <f t="shared" si="379"/>
        <v>19260</v>
      </c>
      <c r="B10630" s="2" t="str">
        <f>"24597"</f>
        <v>24597</v>
      </c>
      <c r="C10630" s="1">
        <v>1.3278987846037499E-3</v>
      </c>
      <c r="D10630" s="1">
        <v>2.4789291026276598E-4</v>
      </c>
      <c r="E10630" s="1">
        <v>0</v>
      </c>
      <c r="F10630" s="1">
        <v>1.2197770982672401E-3</v>
      </c>
    </row>
    <row r="10631" spans="1:6" x14ac:dyDescent="0.25">
      <c r="A10631" s="2" t="str">
        <f t="shared" si="379"/>
        <v>19260</v>
      </c>
      <c r="B10631" s="2" t="str">
        <f>"24137"</f>
        <v>24137</v>
      </c>
      <c r="C10631" s="1">
        <v>6.9161395031445303E-3</v>
      </c>
      <c r="D10631" s="1">
        <v>2.97471492315319E-3</v>
      </c>
      <c r="E10631" s="1">
        <v>1.25628140703517E-3</v>
      </c>
      <c r="F10631" s="1">
        <v>6.4999080989857402E-3</v>
      </c>
    </row>
    <row r="10632" spans="1:6" x14ac:dyDescent="0.25">
      <c r="A10632" s="2" t="str">
        <f t="shared" si="379"/>
        <v>19260</v>
      </c>
      <c r="B10632" s="2" t="str">
        <f>"24540"</f>
        <v>24540</v>
      </c>
      <c r="C10632" s="1">
        <v>0.30772210029324398</v>
      </c>
      <c r="D10632" s="1">
        <v>0.41175012394645499</v>
      </c>
      <c r="E10632" s="1">
        <v>0.35929648241206003</v>
      </c>
      <c r="F10632" s="1">
        <v>0.316106070479723</v>
      </c>
    </row>
    <row r="10633" spans="1:6" x14ac:dyDescent="0.25">
      <c r="A10633" s="2" t="str">
        <f t="shared" si="379"/>
        <v>19260</v>
      </c>
      <c r="B10633" s="2" t="str">
        <f>"24531"</f>
        <v>24531</v>
      </c>
      <c r="C10633" s="1">
        <v>7.6944357352317305E-2</v>
      </c>
      <c r="D10633" s="1">
        <v>6.71789786812097E-2</v>
      </c>
      <c r="E10633" s="1">
        <v>2.5753768844221099E-2</v>
      </c>
      <c r="F10633" s="1">
        <v>7.4924390529182705E-2</v>
      </c>
    </row>
    <row r="10634" spans="1:6" x14ac:dyDescent="0.25">
      <c r="A10634" s="2" t="str">
        <f t="shared" ref="A10634:A10655" si="380">"21180"</f>
        <v>21180</v>
      </c>
      <c r="B10634" s="2" t="str">
        <f>"26294"</f>
        <v>26294</v>
      </c>
      <c r="C10634" s="1">
        <v>1.2911952779144101E-2</v>
      </c>
      <c r="D10634" s="1">
        <v>3.3500837520937998E-3</v>
      </c>
      <c r="E10634" s="1">
        <v>0</v>
      </c>
      <c r="F10634" s="1">
        <v>1.2008304808933201E-2</v>
      </c>
    </row>
    <row r="10635" spans="1:6" x14ac:dyDescent="0.25">
      <c r="A10635" s="2" t="str">
        <f t="shared" si="380"/>
        <v>21180</v>
      </c>
      <c r="B10635" s="2" t="str">
        <f>"26230"</f>
        <v>26230</v>
      </c>
      <c r="C10635" s="1">
        <v>3.9350713231677296E-3</v>
      </c>
      <c r="D10635" s="1">
        <v>8.3752093802344995E-4</v>
      </c>
      <c r="E10635" s="1">
        <v>0</v>
      </c>
      <c r="F10635" s="1">
        <v>3.6473823017788001E-3</v>
      </c>
    </row>
    <row r="10636" spans="1:6" x14ac:dyDescent="0.25">
      <c r="A10636" s="2" t="str">
        <f t="shared" si="380"/>
        <v>21180</v>
      </c>
      <c r="B10636" s="2" t="str">
        <f>"26253"</f>
        <v>26253</v>
      </c>
      <c r="C10636" s="1">
        <v>0.13170191834726999</v>
      </c>
      <c r="D10636" s="1">
        <v>3.2663316582914499E-2</v>
      </c>
      <c r="E10636" s="1">
        <v>0.101928374655647</v>
      </c>
      <c r="F10636" s="1">
        <v>0.124459906851467</v>
      </c>
    </row>
    <row r="10637" spans="1:6" x14ac:dyDescent="0.25">
      <c r="A10637" s="2" t="str">
        <f t="shared" si="380"/>
        <v>21180</v>
      </c>
      <c r="B10637" s="2" t="str">
        <f>"26285"</f>
        <v>26285</v>
      </c>
      <c r="C10637" s="1">
        <v>9.4072798819478595E-3</v>
      </c>
      <c r="D10637" s="1">
        <v>1.6750418760468999E-3</v>
      </c>
      <c r="E10637" s="1">
        <v>2.7548209366391099E-3</v>
      </c>
      <c r="F10637" s="1">
        <v>8.7537175242691206E-3</v>
      </c>
    </row>
    <row r="10638" spans="1:6" x14ac:dyDescent="0.25">
      <c r="A10638" s="2" t="str">
        <f t="shared" si="380"/>
        <v>21180</v>
      </c>
      <c r="B10638" s="2" t="str">
        <f>"26293"</f>
        <v>26293</v>
      </c>
      <c r="C10638" s="1">
        <v>1.94294146581406E-2</v>
      </c>
      <c r="D10638" s="1">
        <v>2.5125628140703501E-3</v>
      </c>
      <c r="E10638" s="1">
        <v>0</v>
      </c>
      <c r="F10638" s="1">
        <v>1.7900230065652799E-2</v>
      </c>
    </row>
    <row r="10639" spans="1:6" x14ac:dyDescent="0.25">
      <c r="A10639" s="2" t="str">
        <f t="shared" si="380"/>
        <v>21180</v>
      </c>
      <c r="B10639" s="2" t="str">
        <f>"26257"</f>
        <v>26257</v>
      </c>
      <c r="C10639" s="1">
        <v>2.2380718150516399E-2</v>
      </c>
      <c r="D10639" s="1">
        <v>3.3500837520937998E-3</v>
      </c>
      <c r="E10639" s="1">
        <v>0</v>
      </c>
      <c r="F10639" s="1">
        <v>2.0649795185455299E-2</v>
      </c>
    </row>
    <row r="10640" spans="1:6" x14ac:dyDescent="0.25">
      <c r="A10640" s="2" t="str">
        <f t="shared" si="380"/>
        <v>21180</v>
      </c>
      <c r="B10640" s="2" t="str">
        <f>"26259"</f>
        <v>26259</v>
      </c>
      <c r="C10640" s="1">
        <v>0</v>
      </c>
      <c r="D10640" s="1">
        <v>8.3752093802344995E-4</v>
      </c>
      <c r="E10640" s="1">
        <v>0</v>
      </c>
      <c r="F10640" s="1">
        <v>5.6113573873520003E-5</v>
      </c>
    </row>
    <row r="10641" spans="1:6" x14ac:dyDescent="0.25">
      <c r="A10641" s="2" t="str">
        <f t="shared" si="380"/>
        <v>21180</v>
      </c>
      <c r="B10641" s="2" t="str">
        <f>"26296"</f>
        <v>26296</v>
      </c>
      <c r="C10641" s="1">
        <v>1.2297097884899101E-4</v>
      </c>
      <c r="D10641" s="1">
        <v>0</v>
      </c>
      <c r="E10641" s="1">
        <v>0</v>
      </c>
      <c r="F10641" s="1">
        <v>1.1222714774704001E-4</v>
      </c>
    </row>
    <row r="10642" spans="1:6" x14ac:dyDescent="0.25">
      <c r="A10642" s="2" t="str">
        <f t="shared" si="380"/>
        <v>21180</v>
      </c>
      <c r="B10642" s="2" t="str">
        <f>"26280"</f>
        <v>26280</v>
      </c>
      <c r="C10642" s="1">
        <v>4.8880964092474097E-2</v>
      </c>
      <c r="D10642" s="1">
        <v>1.5075376884422099E-2</v>
      </c>
      <c r="E10642" s="1">
        <v>5.5096418732782301E-3</v>
      </c>
      <c r="F10642" s="1">
        <v>4.5732562706918799E-2</v>
      </c>
    </row>
    <row r="10643" spans="1:6" x14ac:dyDescent="0.25">
      <c r="A10643" s="2" t="str">
        <f t="shared" si="380"/>
        <v>21180</v>
      </c>
      <c r="B10643" s="2" t="str">
        <f>"26273"</f>
        <v>26273</v>
      </c>
      <c r="C10643" s="1">
        <v>2.7299557304476099E-2</v>
      </c>
      <c r="D10643" s="1">
        <v>4.18760469011725E-3</v>
      </c>
      <c r="E10643" s="1">
        <v>2.7548209366391099E-3</v>
      </c>
      <c r="F10643" s="1">
        <v>2.5251108243083999E-2</v>
      </c>
    </row>
    <row r="10644" spans="1:6" x14ac:dyDescent="0.25">
      <c r="A10644" s="2" t="str">
        <f t="shared" si="380"/>
        <v>21180</v>
      </c>
      <c r="B10644" s="2" t="str">
        <f>"26267"</f>
        <v>26267</v>
      </c>
      <c r="C10644" s="1">
        <v>4.24249877029021E-3</v>
      </c>
      <c r="D10644" s="1">
        <v>8.3752093802344995E-4</v>
      </c>
      <c r="E10644" s="1">
        <v>2.7548209366391099E-3</v>
      </c>
      <c r="F10644" s="1">
        <v>3.9840637450199202E-3</v>
      </c>
    </row>
    <row r="10645" spans="1:6" x14ac:dyDescent="0.25">
      <c r="A10645" s="2" t="str">
        <f t="shared" si="380"/>
        <v>21180</v>
      </c>
      <c r="B10645" s="2" t="str">
        <f>"26263"</f>
        <v>26263</v>
      </c>
      <c r="C10645" s="1">
        <v>9.8376783079193305E-4</v>
      </c>
      <c r="D10645" s="1">
        <v>0</v>
      </c>
      <c r="E10645" s="1">
        <v>0</v>
      </c>
      <c r="F10645" s="1">
        <v>8.9781718197632005E-4</v>
      </c>
    </row>
    <row r="10646" spans="1:6" x14ac:dyDescent="0.25">
      <c r="A10646" s="2" t="str">
        <f t="shared" si="380"/>
        <v>21180</v>
      </c>
      <c r="B10646" s="2" t="str">
        <f>"26278"</f>
        <v>26278</v>
      </c>
      <c r="C10646" s="1">
        <v>2.3548942449581799E-2</v>
      </c>
      <c r="D10646" s="1">
        <v>8.3752093802344995E-4</v>
      </c>
      <c r="E10646" s="1">
        <v>0</v>
      </c>
      <c r="F10646" s="1">
        <v>2.15476123674316E-2</v>
      </c>
    </row>
    <row r="10647" spans="1:6" x14ac:dyDescent="0.25">
      <c r="A10647" s="2" t="str">
        <f t="shared" si="380"/>
        <v>21180</v>
      </c>
      <c r="B10647" s="2" t="str">
        <f>"26241"</f>
        <v>26241</v>
      </c>
      <c r="C10647" s="1">
        <v>0.57747171667486397</v>
      </c>
      <c r="D10647" s="1">
        <v>0.89698492462311497</v>
      </c>
      <c r="E10647" s="1">
        <v>0.87878787878787801</v>
      </c>
      <c r="F10647" s="1">
        <v>0.60501655350429195</v>
      </c>
    </row>
    <row r="10648" spans="1:6" x14ac:dyDescent="0.25">
      <c r="A10648" s="2" t="str">
        <f t="shared" si="380"/>
        <v>21180</v>
      </c>
      <c r="B10648" s="2" t="str">
        <f>"26268"</f>
        <v>26268</v>
      </c>
      <c r="C10648" s="1">
        <v>4.5499262174126904E-3</v>
      </c>
      <c r="D10648" s="1">
        <v>2.5125628140703501E-3</v>
      </c>
      <c r="E10648" s="1">
        <v>0</v>
      </c>
      <c r="F10648" s="1">
        <v>4.3207451882610404E-3</v>
      </c>
    </row>
    <row r="10649" spans="1:6" x14ac:dyDescent="0.25">
      <c r="A10649" s="2" t="str">
        <f t="shared" si="380"/>
        <v>21180</v>
      </c>
      <c r="B10649" s="2" t="str">
        <f>"26254"</f>
        <v>26254</v>
      </c>
      <c r="C10649" s="1">
        <v>1.7400393507132302E-2</v>
      </c>
      <c r="D10649" s="1">
        <v>1.6750418760468999E-3</v>
      </c>
      <c r="E10649" s="1">
        <v>0</v>
      </c>
      <c r="F10649" s="1">
        <v>1.5992368553953199E-2</v>
      </c>
    </row>
    <row r="10650" spans="1:6" x14ac:dyDescent="0.25">
      <c r="A10650" s="2" t="str">
        <f t="shared" si="380"/>
        <v>21180</v>
      </c>
      <c r="B10650" s="2" t="str">
        <f>"26250"</f>
        <v>26250</v>
      </c>
      <c r="C10650" s="1">
        <v>8.6079685194294104E-4</v>
      </c>
      <c r="D10650" s="1">
        <v>3.3500837520937998E-3</v>
      </c>
      <c r="E10650" s="1">
        <v>0</v>
      </c>
      <c r="F10650" s="1">
        <v>1.01004432972336E-3</v>
      </c>
    </row>
    <row r="10651" spans="1:6" x14ac:dyDescent="0.25">
      <c r="A10651" s="2" t="str">
        <f t="shared" si="380"/>
        <v>21180</v>
      </c>
      <c r="B10651" s="2" t="str">
        <f>"26224"</f>
        <v>26224</v>
      </c>
      <c r="C10651" s="1">
        <v>4.0580423020167202E-3</v>
      </c>
      <c r="D10651" s="1">
        <v>8.3752093802344995E-4</v>
      </c>
      <c r="E10651" s="1">
        <v>0</v>
      </c>
      <c r="F10651" s="1">
        <v>3.7596094495258399E-3</v>
      </c>
    </row>
    <row r="10652" spans="1:6" x14ac:dyDescent="0.25">
      <c r="A10652" s="2" t="str">
        <f t="shared" si="380"/>
        <v>21180</v>
      </c>
      <c r="B10652" s="2" t="str">
        <f>"26276"</f>
        <v>26276</v>
      </c>
      <c r="C10652" s="1">
        <v>5.1032956222331503E-3</v>
      </c>
      <c r="D10652" s="1">
        <v>0</v>
      </c>
      <c r="E10652" s="1">
        <v>0</v>
      </c>
      <c r="F10652" s="1">
        <v>4.6574266315021597E-3</v>
      </c>
    </row>
    <row r="10653" spans="1:6" x14ac:dyDescent="0.25">
      <c r="A10653" s="2" t="str">
        <f t="shared" si="380"/>
        <v>21180</v>
      </c>
      <c r="B10653" s="2" t="str">
        <f>"26283"</f>
        <v>26283</v>
      </c>
      <c r="C10653" s="1">
        <v>5.58903098868666E-2</v>
      </c>
      <c r="D10653" s="1">
        <v>1.92629815745393E-2</v>
      </c>
      <c r="E10653" s="1">
        <v>2.7548209366391099E-3</v>
      </c>
      <c r="F10653" s="1">
        <v>5.23539644239941E-2</v>
      </c>
    </row>
    <row r="10654" spans="1:6" x14ac:dyDescent="0.25">
      <c r="A10654" s="2" t="str">
        <f t="shared" si="380"/>
        <v>21180</v>
      </c>
      <c r="B10654" s="2" t="str">
        <f>"26282"</f>
        <v>26282</v>
      </c>
      <c r="C10654" s="1">
        <v>7.7471716674864704E-3</v>
      </c>
      <c r="D10654" s="1">
        <v>1.6750418760468999E-3</v>
      </c>
      <c r="E10654" s="1">
        <v>2.7548209366391099E-3</v>
      </c>
      <c r="F10654" s="1">
        <v>7.2386510296840803E-3</v>
      </c>
    </row>
    <row r="10655" spans="1:6" x14ac:dyDescent="0.25">
      <c r="A10655" s="2" t="str">
        <f t="shared" si="380"/>
        <v>21180</v>
      </c>
      <c r="B10655" s="2" t="str">
        <f>"26270"</f>
        <v>26270</v>
      </c>
      <c r="C10655" s="1">
        <v>2.2073290703393901E-2</v>
      </c>
      <c r="D10655" s="1">
        <v>7.5376884422110497E-3</v>
      </c>
      <c r="E10655" s="1">
        <v>0</v>
      </c>
      <c r="F10655" s="1">
        <v>2.0649795185455299E-2</v>
      </c>
    </row>
    <row r="10656" spans="1:6" x14ac:dyDescent="0.25">
      <c r="A10656" s="2" t="str">
        <f t="shared" ref="A10656:A10687" si="381">"24660"</f>
        <v>24660</v>
      </c>
      <c r="B10656" s="2" t="str">
        <f>"27301"</f>
        <v>27301</v>
      </c>
      <c r="C10656" s="1">
        <v>1.2853678690436901E-2</v>
      </c>
      <c r="D10656" s="1">
        <v>4.93163552865045E-3</v>
      </c>
      <c r="E10656" s="1">
        <v>5.83629200914352E-4</v>
      </c>
      <c r="F10656" s="1">
        <v>1.1558525373537701E-2</v>
      </c>
    </row>
    <row r="10657" spans="1:6" x14ac:dyDescent="0.25">
      <c r="A10657" s="2" t="str">
        <f t="shared" si="381"/>
        <v>24660</v>
      </c>
      <c r="B10657" s="2" t="str">
        <f>"27409"</f>
        <v>27409</v>
      </c>
      <c r="C10657" s="1">
        <v>2.5880179951501599E-2</v>
      </c>
      <c r="D10657" s="1">
        <v>4.5611105312597801E-2</v>
      </c>
      <c r="E10657" s="1">
        <v>7.6747239920237298E-2</v>
      </c>
      <c r="F10657" s="1">
        <v>3.0078726581812501E-2</v>
      </c>
    </row>
    <row r="10658" spans="1:6" x14ac:dyDescent="0.25">
      <c r="A10658" s="2" t="str">
        <f t="shared" si="381"/>
        <v>24660</v>
      </c>
      <c r="B10658" s="2" t="str">
        <f>"27408"</f>
        <v>27408</v>
      </c>
      <c r="C10658" s="1">
        <v>2.3841413688627699E-2</v>
      </c>
      <c r="D10658" s="1">
        <v>4.6419997912535198E-2</v>
      </c>
      <c r="E10658" s="1">
        <v>3.1467341082632098E-2</v>
      </c>
      <c r="F10658" s="1">
        <v>2.62227782864678E-2</v>
      </c>
    </row>
    <row r="10659" spans="1:6" x14ac:dyDescent="0.25">
      <c r="A10659" s="2" t="str">
        <f t="shared" si="381"/>
        <v>24660</v>
      </c>
      <c r="B10659" s="2" t="str">
        <f>"27261"</f>
        <v>27261</v>
      </c>
      <c r="C10659" s="1">
        <v>3.8345007858026198E-3</v>
      </c>
      <c r="D10659" s="1">
        <v>1.3072748147375E-2</v>
      </c>
      <c r="E10659" s="1">
        <v>9.7271533485725401E-5</v>
      </c>
      <c r="F10659" s="1">
        <v>4.48035563259685E-3</v>
      </c>
    </row>
    <row r="10660" spans="1:6" x14ac:dyDescent="0.25">
      <c r="A10660" s="2" t="str">
        <f t="shared" si="381"/>
        <v>24660</v>
      </c>
      <c r="B10660" s="2" t="str">
        <f>"27205"</f>
        <v>27205</v>
      </c>
      <c r="C10660" s="1">
        <v>4.1744751864593498E-2</v>
      </c>
      <c r="D10660" s="1">
        <v>1.6986744598684801E-2</v>
      </c>
      <c r="E10660" s="1">
        <v>1.1575312484801301E-2</v>
      </c>
      <c r="F10660" s="1">
        <v>3.80888475723834E-2</v>
      </c>
    </row>
    <row r="10661" spans="1:6" x14ac:dyDescent="0.25">
      <c r="A10661" s="2" t="str">
        <f t="shared" si="381"/>
        <v>24660</v>
      </c>
      <c r="B10661" s="2" t="str">
        <f>"27239"</f>
        <v>27239</v>
      </c>
      <c r="C10661" s="1">
        <v>3.2404231992698199E-3</v>
      </c>
      <c r="D10661" s="1">
        <v>1.56559858052395E-3</v>
      </c>
      <c r="E10661" s="1">
        <v>2.91814600457176E-4</v>
      </c>
      <c r="F10661" s="1">
        <v>2.9496257050793599E-3</v>
      </c>
    </row>
    <row r="10662" spans="1:6" x14ac:dyDescent="0.25">
      <c r="A10662" s="2" t="str">
        <f t="shared" si="381"/>
        <v>24660</v>
      </c>
      <c r="B10662" s="2" t="str">
        <f>"27244"</f>
        <v>27244</v>
      </c>
      <c r="C10662" s="1">
        <v>3.64547609917855E-4</v>
      </c>
      <c r="D10662" s="1">
        <v>2.6093309675399201E-5</v>
      </c>
      <c r="E10662" s="1">
        <v>0</v>
      </c>
      <c r="F10662" s="1">
        <v>3.1686342487424399E-4</v>
      </c>
    </row>
    <row r="10663" spans="1:6" x14ac:dyDescent="0.25">
      <c r="A10663" s="2" t="str">
        <f t="shared" si="381"/>
        <v>24660</v>
      </c>
      <c r="B10663" s="2" t="str">
        <f>"27438"</f>
        <v>27438</v>
      </c>
      <c r="C10663" s="1">
        <v>1.57160525164586E-3</v>
      </c>
      <c r="D10663" s="1">
        <v>1.07504435862644E-2</v>
      </c>
      <c r="E10663" s="1">
        <v>4.8635766742862701E-5</v>
      </c>
      <c r="F10663" s="1">
        <v>2.3182287334549499E-3</v>
      </c>
    </row>
    <row r="10664" spans="1:6" x14ac:dyDescent="0.25">
      <c r="A10664" s="2" t="str">
        <f t="shared" si="381"/>
        <v>24660</v>
      </c>
      <c r="B10664" s="2" t="str">
        <f>"27298"</f>
        <v>27298</v>
      </c>
      <c r="C10664" s="1">
        <v>9.7428724191379306E-3</v>
      </c>
      <c r="D10664" s="1">
        <v>3.8096232126082802E-3</v>
      </c>
      <c r="E10664" s="1">
        <v>2.1886095034288201E-3</v>
      </c>
      <c r="F10664" s="1">
        <v>8.8512069933621706E-3</v>
      </c>
    </row>
    <row r="10665" spans="1:6" x14ac:dyDescent="0.25">
      <c r="A10665" s="2" t="str">
        <f t="shared" si="381"/>
        <v>24660</v>
      </c>
      <c r="B10665" s="2" t="str">
        <f>"27413"</f>
        <v>27413</v>
      </c>
      <c r="C10665" s="1">
        <v>0</v>
      </c>
      <c r="D10665" s="1">
        <v>0</v>
      </c>
      <c r="E10665" s="1">
        <v>4.8635766742862701E-5</v>
      </c>
      <c r="F10665" s="1">
        <v>2.32987812407532E-6</v>
      </c>
    </row>
    <row r="10666" spans="1:6" x14ac:dyDescent="0.25">
      <c r="A10666" s="2" t="str">
        <f t="shared" si="381"/>
        <v>24660</v>
      </c>
      <c r="B10666" s="2" t="str">
        <f>"27416"</f>
        <v>27416</v>
      </c>
      <c r="C10666" s="1">
        <v>2.0414666155399801E-3</v>
      </c>
      <c r="D10666" s="1">
        <v>7.2017534704101804E-3</v>
      </c>
      <c r="E10666" s="1">
        <v>9.7271533485725401E-5</v>
      </c>
      <c r="F10666" s="1">
        <v>2.4090939802938901E-3</v>
      </c>
    </row>
    <row r="10667" spans="1:6" x14ac:dyDescent="0.25">
      <c r="A10667" s="2" t="str">
        <f t="shared" si="381"/>
        <v>24660</v>
      </c>
      <c r="B10667" s="2" t="str">
        <f>"27357"</f>
        <v>27357</v>
      </c>
      <c r="C10667" s="1">
        <v>1.2499932491183301E-2</v>
      </c>
      <c r="D10667" s="1">
        <v>6.6277006575513999E-3</v>
      </c>
      <c r="E10667" s="1">
        <v>9.7271533485725399E-4</v>
      </c>
      <c r="F10667" s="1">
        <v>1.14233924423413E-2</v>
      </c>
    </row>
    <row r="10668" spans="1:6" x14ac:dyDescent="0.25">
      <c r="A10668" s="2" t="str">
        <f t="shared" si="381"/>
        <v>24660</v>
      </c>
      <c r="B10668" s="2" t="str">
        <f>"27283"</f>
        <v>27283</v>
      </c>
      <c r="C10668" s="1">
        <v>4.0910342890781498E-3</v>
      </c>
      <c r="D10668" s="1">
        <v>8.6107921928817405E-4</v>
      </c>
      <c r="E10668" s="1">
        <v>4.8635766742862701E-5</v>
      </c>
      <c r="F10668" s="1">
        <v>3.6089812141926799E-3</v>
      </c>
    </row>
    <row r="10669" spans="1:6" x14ac:dyDescent="0.25">
      <c r="A10669" s="2" t="str">
        <f t="shared" si="381"/>
        <v>24660</v>
      </c>
      <c r="B10669" s="2" t="str">
        <f>"27260"</f>
        <v>27260</v>
      </c>
      <c r="C10669" s="1">
        <v>3.2379928818703697E-2</v>
      </c>
      <c r="D10669" s="1">
        <v>6.4580941446612999E-2</v>
      </c>
      <c r="E10669" s="1">
        <v>8.88575458392101E-2</v>
      </c>
      <c r="F10669" s="1">
        <v>3.7960704275559302E-2</v>
      </c>
    </row>
    <row r="10670" spans="1:6" x14ac:dyDescent="0.25">
      <c r="A10670" s="2" t="str">
        <f t="shared" si="381"/>
        <v>24660</v>
      </c>
      <c r="B10670" s="2" t="str">
        <f>"27214"</f>
        <v>27214</v>
      </c>
      <c r="C10670" s="1">
        <v>1.51273756352579E-2</v>
      </c>
      <c r="D10670" s="1">
        <v>8.0889259993737594E-3</v>
      </c>
      <c r="E10670" s="1">
        <v>3.7449540392004198E-3</v>
      </c>
      <c r="F10670" s="1">
        <v>1.39536400850871E-2</v>
      </c>
    </row>
    <row r="10671" spans="1:6" x14ac:dyDescent="0.25">
      <c r="A10671" s="2" t="str">
        <f t="shared" si="381"/>
        <v>24660</v>
      </c>
      <c r="B10671" s="2" t="str">
        <f>"27235"</f>
        <v>27235</v>
      </c>
      <c r="C10671" s="1">
        <v>8.3062848007949795E-3</v>
      </c>
      <c r="D10671" s="1">
        <v>6.6277006575513999E-3</v>
      </c>
      <c r="E10671" s="1">
        <v>7.2953650114294E-4</v>
      </c>
      <c r="F10671" s="1">
        <v>7.7934423250319703E-3</v>
      </c>
    </row>
    <row r="10672" spans="1:6" x14ac:dyDescent="0.25">
      <c r="A10672" s="2" t="str">
        <f t="shared" si="381"/>
        <v>24660</v>
      </c>
      <c r="B10672" s="2" t="str">
        <f>"27455"</f>
        <v>27455</v>
      </c>
      <c r="C10672" s="1">
        <v>3.7518699942212401E-2</v>
      </c>
      <c r="D10672" s="1">
        <v>1.1376683018474E-2</v>
      </c>
      <c r="E10672" s="1">
        <v>3.3753222119546698E-2</v>
      </c>
      <c r="F10672" s="1">
        <v>3.5004088936107701E-2</v>
      </c>
    </row>
    <row r="10673" spans="1:6" x14ac:dyDescent="0.25">
      <c r="A10673" s="2" t="str">
        <f t="shared" si="381"/>
        <v>24660</v>
      </c>
      <c r="B10673" s="2" t="str">
        <f>"27326"</f>
        <v>27326</v>
      </c>
      <c r="C10673" s="1">
        <v>3.5347616398701599E-3</v>
      </c>
      <c r="D10673" s="1">
        <v>9.65452457989771E-4</v>
      </c>
      <c r="E10673" s="1">
        <v>2.91814600457176E-4</v>
      </c>
      <c r="F10673" s="1">
        <v>3.1499952237498399E-3</v>
      </c>
    </row>
    <row r="10674" spans="1:6" x14ac:dyDescent="0.25">
      <c r="A10674" s="2" t="str">
        <f t="shared" si="381"/>
        <v>24660</v>
      </c>
      <c r="B10674" s="2" t="str">
        <f>"27320"</f>
        <v>27320</v>
      </c>
      <c r="C10674" s="1">
        <v>4.9494764016180498E-2</v>
      </c>
      <c r="D10674" s="1">
        <v>3.4338795532825303E-2</v>
      </c>
      <c r="E10674" s="1">
        <v>1.70225183600019E-2</v>
      </c>
      <c r="F10674" s="1">
        <v>4.6585913090886201E-2</v>
      </c>
    </row>
    <row r="10675" spans="1:6" x14ac:dyDescent="0.25">
      <c r="A10675" s="2" t="str">
        <f t="shared" si="381"/>
        <v>24660</v>
      </c>
      <c r="B10675" s="2" t="str">
        <f>"27375"</f>
        <v>27375</v>
      </c>
      <c r="C10675" s="1">
        <v>0</v>
      </c>
      <c r="D10675" s="1">
        <v>0</v>
      </c>
      <c r="E10675" s="1">
        <v>4.8635766742862701E-5</v>
      </c>
      <c r="F10675" s="1">
        <v>2.32987812407532E-6</v>
      </c>
    </row>
    <row r="10676" spans="1:6" x14ac:dyDescent="0.25">
      <c r="A10676" s="2" t="str">
        <f t="shared" si="381"/>
        <v>24660</v>
      </c>
      <c r="B10676" s="2" t="str">
        <f>"27401"</f>
        <v>27401</v>
      </c>
      <c r="C10676" s="1">
        <v>2.6401348016050801E-2</v>
      </c>
      <c r="D10676" s="1">
        <v>5.9831959085690403E-2</v>
      </c>
      <c r="E10676" s="1">
        <v>7.3440007781722605E-2</v>
      </c>
      <c r="F10676" s="1">
        <v>3.1639744924942897E-2</v>
      </c>
    </row>
    <row r="10677" spans="1:6" x14ac:dyDescent="0.25">
      <c r="A10677" s="2" t="str">
        <f t="shared" si="381"/>
        <v>24660</v>
      </c>
      <c r="B10677" s="2" t="str">
        <f>"27358"</f>
        <v>27358</v>
      </c>
      <c r="C10677" s="1">
        <v>1.6199415643683001E-2</v>
      </c>
      <c r="D10677" s="1">
        <v>4.3836760254670698E-3</v>
      </c>
      <c r="E10677" s="1">
        <v>9.2407956811439099E-4</v>
      </c>
      <c r="F10677" s="1">
        <v>1.44126260755299E-2</v>
      </c>
    </row>
    <row r="10678" spans="1:6" x14ac:dyDescent="0.25">
      <c r="A10678" s="2" t="str">
        <f t="shared" si="381"/>
        <v>24660</v>
      </c>
      <c r="B10678" s="2" t="str">
        <f>"27208"</f>
        <v>27208</v>
      </c>
      <c r="C10678" s="1">
        <v>8.8301532180102703E-4</v>
      </c>
      <c r="D10678" s="1">
        <v>2.60933096753992E-4</v>
      </c>
      <c r="E10678" s="1">
        <v>0</v>
      </c>
      <c r="F10678" s="1">
        <v>7.8516892781338595E-4</v>
      </c>
    </row>
    <row r="10679" spans="1:6" x14ac:dyDescent="0.25">
      <c r="A10679" s="2" t="str">
        <f t="shared" si="381"/>
        <v>24660</v>
      </c>
      <c r="B10679" s="2" t="str">
        <f>"27230"</f>
        <v>27230</v>
      </c>
      <c r="C10679" s="1">
        <v>0</v>
      </c>
      <c r="D10679" s="1">
        <v>0</v>
      </c>
      <c r="E10679" s="1">
        <v>4.8635766742862701E-5</v>
      </c>
      <c r="F10679" s="1">
        <v>2.32987812407532E-6</v>
      </c>
    </row>
    <row r="10680" spans="1:6" x14ac:dyDescent="0.25">
      <c r="A10680" s="2" t="str">
        <f t="shared" si="381"/>
        <v>24660</v>
      </c>
      <c r="B10680" s="2" t="str">
        <f>"27215"</f>
        <v>27215</v>
      </c>
      <c r="C10680" s="1">
        <v>2.1521810748483701E-3</v>
      </c>
      <c r="D10680" s="1">
        <v>3.6530633545558901E-4</v>
      </c>
      <c r="E10680" s="1">
        <v>9.7271533485725399E-4</v>
      </c>
      <c r="F10680" s="1">
        <v>1.9361287211065901E-3</v>
      </c>
    </row>
    <row r="10681" spans="1:6" x14ac:dyDescent="0.25">
      <c r="A10681" s="2" t="str">
        <f t="shared" si="381"/>
        <v>24660</v>
      </c>
      <c r="B10681" s="2" t="str">
        <f>"27497"</f>
        <v>27497</v>
      </c>
      <c r="C10681" s="1">
        <v>0</v>
      </c>
      <c r="D10681" s="1">
        <v>2.6093309675399201E-5</v>
      </c>
      <c r="E10681" s="1">
        <v>0</v>
      </c>
      <c r="F10681" s="1">
        <v>2.32987812407532E-6</v>
      </c>
    </row>
    <row r="10682" spans="1:6" x14ac:dyDescent="0.25">
      <c r="A10682" s="2" t="str">
        <f t="shared" si="381"/>
        <v>24660</v>
      </c>
      <c r="B10682" s="2" t="str">
        <f>"27495"</f>
        <v>27495</v>
      </c>
      <c r="C10682" s="1">
        <v>0</v>
      </c>
      <c r="D10682" s="1">
        <v>0</v>
      </c>
      <c r="E10682" s="1">
        <v>2.4317883371431301E-4</v>
      </c>
      <c r="F10682" s="1">
        <v>1.16493906203766E-5</v>
      </c>
    </row>
    <row r="10683" spans="1:6" x14ac:dyDescent="0.25">
      <c r="A10683" s="2" t="str">
        <f t="shared" si="381"/>
        <v>24660</v>
      </c>
      <c r="B10683" s="2" t="str">
        <f>"27498"</f>
        <v>27498</v>
      </c>
      <c r="C10683" s="1">
        <v>0</v>
      </c>
      <c r="D10683" s="1">
        <v>2.6093309675399201E-5</v>
      </c>
      <c r="E10683" s="1">
        <v>9.7271533485725401E-5</v>
      </c>
      <c r="F10683" s="1">
        <v>6.9896343722259796E-6</v>
      </c>
    </row>
    <row r="10684" spans="1:6" x14ac:dyDescent="0.25">
      <c r="A10684" s="2" t="str">
        <f t="shared" si="381"/>
        <v>24660</v>
      </c>
      <c r="B10684" s="2" t="str">
        <f>"27316"</f>
        <v>27316</v>
      </c>
      <c r="C10684" s="1">
        <v>8.0308488288570404E-3</v>
      </c>
      <c r="D10684" s="1">
        <v>3.88790314163448E-3</v>
      </c>
      <c r="E10684" s="1">
        <v>1.4104372355430101E-3</v>
      </c>
      <c r="F10684" s="1">
        <v>7.3437758470854299E-3</v>
      </c>
    </row>
    <row r="10685" spans="1:6" x14ac:dyDescent="0.25">
      <c r="A10685" s="2" t="str">
        <f t="shared" si="381"/>
        <v>24660</v>
      </c>
      <c r="B10685" s="2" t="str">
        <f>"27313"</f>
        <v>27313</v>
      </c>
      <c r="C10685" s="1">
        <v>8.0416502395212804E-3</v>
      </c>
      <c r="D10685" s="1">
        <v>1.4090387224715501E-3</v>
      </c>
      <c r="E10685" s="1">
        <v>4.8635766742862699E-4</v>
      </c>
      <c r="F10685" s="1">
        <v>7.0874892534371504E-3</v>
      </c>
    </row>
    <row r="10686" spans="1:6" x14ac:dyDescent="0.25">
      <c r="A10686" s="2" t="str">
        <f t="shared" si="381"/>
        <v>24660</v>
      </c>
      <c r="B10686" s="2" t="str">
        <f>"27310"</f>
        <v>27310</v>
      </c>
      <c r="C10686" s="1">
        <v>9.7968794724590993E-3</v>
      </c>
      <c r="D10686" s="1">
        <v>8.9239119089865298E-3</v>
      </c>
      <c r="E10686" s="1">
        <v>1.02135110160011E-3</v>
      </c>
      <c r="F10686" s="1">
        <v>9.2985435931846397E-3</v>
      </c>
    </row>
    <row r="10687" spans="1:6" x14ac:dyDescent="0.25">
      <c r="A10687" s="2" t="str">
        <f t="shared" si="381"/>
        <v>24660</v>
      </c>
      <c r="B10687" s="2" t="str">
        <f>"27415"</f>
        <v>27415</v>
      </c>
      <c r="C10687" s="1">
        <v>2.93258299533919E-3</v>
      </c>
      <c r="D10687" s="1">
        <v>8.2454858574261495E-3</v>
      </c>
      <c r="E10687" s="1">
        <v>4.8635766742862701E-5</v>
      </c>
      <c r="F10687" s="1">
        <v>3.2688190080776801E-3</v>
      </c>
    </row>
    <row r="10688" spans="1:6" x14ac:dyDescent="0.25">
      <c r="A10688" s="2" t="str">
        <f t="shared" ref="A10688:A10719" si="382">"24660"</f>
        <v>24660</v>
      </c>
      <c r="B10688" s="2" t="str">
        <f>"27411"</f>
        <v>27411</v>
      </c>
      <c r="C10688" s="1">
        <v>0</v>
      </c>
      <c r="D10688" s="1">
        <v>0</v>
      </c>
      <c r="E10688" s="1">
        <v>1.9454306697144999E-4</v>
      </c>
      <c r="F10688" s="1">
        <v>9.3195124963013107E-6</v>
      </c>
    </row>
    <row r="10689" spans="1:6" x14ac:dyDescent="0.25">
      <c r="A10689" s="2" t="str">
        <f t="shared" si="382"/>
        <v>24660</v>
      </c>
      <c r="B10689" s="2" t="str">
        <f>"27404"</f>
        <v>27404</v>
      </c>
      <c r="C10689" s="1">
        <v>2.1737838961768401E-3</v>
      </c>
      <c r="D10689" s="1">
        <v>1.57864523536165E-2</v>
      </c>
      <c r="E10689" s="1">
        <v>4.8635766742862701E-5</v>
      </c>
      <c r="F10689" s="1">
        <v>3.28745803307029E-3</v>
      </c>
    </row>
    <row r="10690" spans="1:6" x14ac:dyDescent="0.25">
      <c r="A10690" s="2" t="str">
        <f t="shared" si="382"/>
        <v>24660</v>
      </c>
      <c r="B10690" s="2" t="str">
        <f>"27406"</f>
        <v>27406</v>
      </c>
      <c r="C10690" s="1">
        <v>7.3716927430722404E-2</v>
      </c>
      <c r="D10690" s="1">
        <v>5.0881953867028401E-2</v>
      </c>
      <c r="E10690" s="1">
        <v>7.2953650114294E-2</v>
      </c>
      <c r="F10690" s="1">
        <v>7.1641422437192306E-2</v>
      </c>
    </row>
    <row r="10691" spans="1:6" x14ac:dyDescent="0.25">
      <c r="A10691" s="2" t="str">
        <f t="shared" si="382"/>
        <v>24660</v>
      </c>
      <c r="B10691" s="2" t="str">
        <f>"27292"</f>
        <v>27292</v>
      </c>
      <c r="C10691" s="1">
        <v>1.13414811974443E-4</v>
      </c>
      <c r="D10691" s="1">
        <v>0</v>
      </c>
      <c r="E10691" s="1">
        <v>0</v>
      </c>
      <c r="F10691" s="1">
        <v>9.7854881211163801E-5</v>
      </c>
    </row>
    <row r="10692" spans="1:6" x14ac:dyDescent="0.25">
      <c r="A10692" s="2" t="str">
        <f t="shared" si="382"/>
        <v>24660</v>
      </c>
      <c r="B10692" s="2" t="str">
        <f>"27284"</f>
        <v>27284</v>
      </c>
      <c r="C10692" s="1">
        <v>3.4537510598884199E-3</v>
      </c>
      <c r="D10692" s="1">
        <v>7.3061267091117802E-4</v>
      </c>
      <c r="E10692" s="1">
        <v>0</v>
      </c>
      <c r="F10692" s="1">
        <v>3.0451507081664499E-3</v>
      </c>
    </row>
    <row r="10693" spans="1:6" x14ac:dyDescent="0.25">
      <c r="A10693" s="2" t="str">
        <f t="shared" si="382"/>
        <v>24660</v>
      </c>
      <c r="B10693" s="2" t="str">
        <f>"27282"</f>
        <v>27282</v>
      </c>
      <c r="C10693" s="1">
        <v>2.3204130459438001E-2</v>
      </c>
      <c r="D10693" s="1">
        <v>1.8004383676025401E-2</v>
      </c>
      <c r="E10693" s="1">
        <v>1.4201643888915901E-2</v>
      </c>
      <c r="F10693" s="1">
        <v>2.2308583038021201E-2</v>
      </c>
    </row>
    <row r="10694" spans="1:6" x14ac:dyDescent="0.25">
      <c r="A10694" s="2" t="str">
        <f t="shared" si="382"/>
        <v>24660</v>
      </c>
      <c r="B10694" s="2" t="str">
        <f>"27048"</f>
        <v>27048</v>
      </c>
      <c r="C10694" s="1">
        <v>1.0339650358336699E-2</v>
      </c>
      <c r="D10694" s="1">
        <v>2.8180774449431101E-3</v>
      </c>
      <c r="E10694" s="1">
        <v>5.3499343417148901E-4</v>
      </c>
      <c r="F10694" s="1">
        <v>9.1983588338493995E-3</v>
      </c>
    </row>
    <row r="10695" spans="1:6" x14ac:dyDescent="0.25">
      <c r="A10695" s="2" t="str">
        <f t="shared" si="382"/>
        <v>24660</v>
      </c>
      <c r="B10695" s="2" t="str">
        <f>"27249"</f>
        <v>27249</v>
      </c>
      <c r="C10695" s="1">
        <v>1.2183991229254501E-2</v>
      </c>
      <c r="D10695" s="1">
        <v>6.9408203736561896E-3</v>
      </c>
      <c r="E10695" s="1">
        <v>2.3831525704002699E-3</v>
      </c>
      <c r="F10695" s="1">
        <v>1.12463217049116E-2</v>
      </c>
    </row>
    <row r="10696" spans="1:6" x14ac:dyDescent="0.25">
      <c r="A10696" s="2" t="str">
        <f t="shared" si="382"/>
        <v>24660</v>
      </c>
      <c r="B10696" s="2" t="str">
        <f>"27317"</f>
        <v>27317</v>
      </c>
      <c r="C10696" s="1">
        <v>2.15164100431516E-2</v>
      </c>
      <c r="D10696" s="1">
        <v>1.4012107295689301E-2</v>
      </c>
      <c r="E10696" s="1">
        <v>1.02135110160011E-2</v>
      </c>
      <c r="F10696" s="1">
        <v>2.03048878513164E-2</v>
      </c>
    </row>
    <row r="10697" spans="1:6" x14ac:dyDescent="0.25">
      <c r="A10697" s="2" t="str">
        <f t="shared" si="382"/>
        <v>24660</v>
      </c>
      <c r="B10697" s="2" t="str">
        <f>"27371"</f>
        <v>27371</v>
      </c>
      <c r="C10697" s="1">
        <v>3.1324090926274903E-4</v>
      </c>
      <c r="D10697" s="1">
        <v>1.04373238701596E-4</v>
      </c>
      <c r="E10697" s="1">
        <v>0</v>
      </c>
      <c r="F10697" s="1">
        <v>2.7958537488903898E-4</v>
      </c>
    </row>
    <row r="10698" spans="1:6" x14ac:dyDescent="0.25">
      <c r="A10698" s="2" t="str">
        <f t="shared" si="382"/>
        <v>24660</v>
      </c>
      <c r="B10698" s="2" t="str">
        <f>"27405"</f>
        <v>27405</v>
      </c>
      <c r="C10698" s="1">
        <v>6.0498701130367601E-2</v>
      </c>
      <c r="D10698" s="1">
        <v>5.4195804195804102E-2</v>
      </c>
      <c r="E10698" s="1">
        <v>0.103205097028354</v>
      </c>
      <c r="F10698" s="1">
        <v>6.1981747734775897E-2</v>
      </c>
    </row>
    <row r="10699" spans="1:6" x14ac:dyDescent="0.25">
      <c r="A10699" s="2" t="str">
        <f t="shared" si="382"/>
        <v>24660</v>
      </c>
      <c r="B10699" s="2" t="str">
        <f>"27342"</f>
        <v>27342</v>
      </c>
      <c r="C10699" s="1">
        <v>0</v>
      </c>
      <c r="D10699" s="1">
        <v>0</v>
      </c>
      <c r="E10699" s="1">
        <v>4.8635766742862701E-5</v>
      </c>
      <c r="F10699" s="1">
        <v>2.32987812407532E-6</v>
      </c>
    </row>
    <row r="10700" spans="1:6" x14ac:dyDescent="0.25">
      <c r="A10700" s="2" t="str">
        <f t="shared" si="382"/>
        <v>24660</v>
      </c>
      <c r="B10700" s="2" t="str">
        <f>"27341"</f>
        <v>27341</v>
      </c>
      <c r="C10700" s="1">
        <v>4.8822376202332001E-3</v>
      </c>
      <c r="D10700" s="1">
        <v>2.3744911804613202E-3</v>
      </c>
      <c r="E10700" s="1">
        <v>3.4045036720003802E-4</v>
      </c>
      <c r="F10700" s="1">
        <v>4.4407477044875699E-3</v>
      </c>
    </row>
    <row r="10701" spans="1:6" x14ac:dyDescent="0.25">
      <c r="A10701" s="2" t="str">
        <f t="shared" si="382"/>
        <v>24660</v>
      </c>
      <c r="B10701" s="2" t="str">
        <f>"27265"</f>
        <v>27265</v>
      </c>
      <c r="C10701" s="1">
        <v>5.11122752631493E-2</v>
      </c>
      <c r="D10701" s="1">
        <v>3.30341300490554E-2</v>
      </c>
      <c r="E10701" s="1">
        <v>4.61553426389767E-2</v>
      </c>
      <c r="F10701" s="1">
        <v>4.9260613177324601E-2</v>
      </c>
    </row>
    <row r="10702" spans="1:6" x14ac:dyDescent="0.25">
      <c r="A10702" s="2" t="str">
        <f t="shared" si="382"/>
        <v>24660</v>
      </c>
      <c r="B10702" s="2" t="str">
        <f>"27203"</f>
        <v>27203</v>
      </c>
      <c r="C10702" s="1">
        <v>2.7457185908479599E-2</v>
      </c>
      <c r="D10702" s="1">
        <v>4.8637929234944102E-2</v>
      </c>
      <c r="E10702" s="1">
        <v>3.5893195856232601E-2</v>
      </c>
      <c r="F10702" s="1">
        <v>2.9752543644441899E-2</v>
      </c>
    </row>
    <row r="10703" spans="1:6" x14ac:dyDescent="0.25">
      <c r="A10703" s="2" t="str">
        <f t="shared" si="382"/>
        <v>24660</v>
      </c>
      <c r="B10703" s="2" t="str">
        <f>"27233"</f>
        <v>27233</v>
      </c>
      <c r="C10703" s="1">
        <v>4.0127240617624602E-3</v>
      </c>
      <c r="D10703" s="1">
        <v>1.0698256966913599E-3</v>
      </c>
      <c r="E10703" s="1">
        <v>3.4045036720003802E-4</v>
      </c>
      <c r="F10703" s="1">
        <v>3.5740330423315501E-3</v>
      </c>
    </row>
    <row r="10704" spans="1:6" x14ac:dyDescent="0.25">
      <c r="A10704" s="2" t="str">
        <f t="shared" si="382"/>
        <v>24660</v>
      </c>
      <c r="B10704" s="2" t="str">
        <f>"27025"</f>
        <v>27025</v>
      </c>
      <c r="C10704" s="1">
        <v>1.1346881902776501E-2</v>
      </c>
      <c r="D10704" s="1">
        <v>1.21333889990606E-2</v>
      </c>
      <c r="E10704" s="1">
        <v>7.0035504109722197E-3</v>
      </c>
      <c r="F10704" s="1">
        <v>1.12090436549264E-2</v>
      </c>
    </row>
    <row r="10705" spans="1:6" x14ac:dyDescent="0.25">
      <c r="A10705" s="2" t="str">
        <f t="shared" si="382"/>
        <v>24660</v>
      </c>
      <c r="B10705" s="2" t="str">
        <f>"27311"</f>
        <v>27311</v>
      </c>
      <c r="C10705" s="1">
        <v>7.83102273156874E-4</v>
      </c>
      <c r="D10705" s="1">
        <v>1.04373238701596E-4</v>
      </c>
      <c r="E10705" s="1">
        <v>0</v>
      </c>
      <c r="F10705" s="1">
        <v>6.8498416847814596E-4</v>
      </c>
    </row>
    <row r="10706" spans="1:6" x14ac:dyDescent="0.25">
      <c r="A10706" s="2" t="str">
        <f t="shared" si="382"/>
        <v>24660</v>
      </c>
      <c r="B10706" s="2" t="str">
        <f>"27425"</f>
        <v>27425</v>
      </c>
      <c r="C10706" s="1">
        <v>8.4251003181015399E-4</v>
      </c>
      <c r="D10706" s="1">
        <v>1.8787182966287399E-3</v>
      </c>
      <c r="E10706" s="1">
        <v>4.8635766742862701E-5</v>
      </c>
      <c r="F10706" s="1">
        <v>8.9700307776900104E-4</v>
      </c>
    </row>
    <row r="10707" spans="1:6" x14ac:dyDescent="0.25">
      <c r="A10707" s="2" t="str">
        <f t="shared" si="382"/>
        <v>24660</v>
      </c>
      <c r="B10707" s="2" t="str">
        <f>"27402"</f>
        <v>27402</v>
      </c>
      <c r="C10707" s="1">
        <v>4.9794503162112896E-3</v>
      </c>
      <c r="D10707" s="1">
        <v>1.07504435862644E-2</v>
      </c>
      <c r="E10707" s="1">
        <v>4.8635766742862701E-5</v>
      </c>
      <c r="F10707" s="1">
        <v>5.2585349260380098E-3</v>
      </c>
    </row>
    <row r="10708" spans="1:6" x14ac:dyDescent="0.25">
      <c r="A10708" s="2" t="str">
        <f t="shared" si="382"/>
        <v>24660</v>
      </c>
      <c r="B10708" s="2" t="str">
        <f>"27403"</f>
        <v>27403</v>
      </c>
      <c r="C10708" s="1">
        <v>2.5882880304167698E-2</v>
      </c>
      <c r="D10708" s="1">
        <v>2.50756705980586E-2</v>
      </c>
      <c r="E10708" s="1">
        <v>6.2059238363892801E-2</v>
      </c>
      <c r="F10708" s="1">
        <v>2.7543819182818501E-2</v>
      </c>
    </row>
    <row r="10709" spans="1:6" x14ac:dyDescent="0.25">
      <c r="A10709" s="2" t="str">
        <f t="shared" si="382"/>
        <v>24660</v>
      </c>
      <c r="B10709" s="2" t="str">
        <f>"27407"</f>
        <v>27407</v>
      </c>
      <c r="C10709" s="1">
        <v>6.1049573074243399E-2</v>
      </c>
      <c r="D10709" s="1">
        <v>8.0445673729255804E-2</v>
      </c>
      <c r="E10709" s="1">
        <v>0.124848013228928</v>
      </c>
      <c r="F10709" s="1">
        <v>6.5837696030120602E-2</v>
      </c>
    </row>
    <row r="10710" spans="1:6" x14ac:dyDescent="0.25">
      <c r="A10710" s="2" t="str">
        <f t="shared" si="382"/>
        <v>24660</v>
      </c>
      <c r="B10710" s="2" t="str">
        <f>"27289"</f>
        <v>27289</v>
      </c>
      <c r="C10710" s="1">
        <v>5.0172552535361096E-3</v>
      </c>
      <c r="D10710" s="1">
        <v>9.44577810249452E-3</v>
      </c>
      <c r="E10710" s="1">
        <v>4.8635766742862701E-5</v>
      </c>
      <c r="F10710" s="1">
        <v>5.1746593135712999E-3</v>
      </c>
    </row>
    <row r="10711" spans="1:6" x14ac:dyDescent="0.25">
      <c r="A10711" s="2" t="str">
        <f t="shared" si="382"/>
        <v>24660</v>
      </c>
      <c r="B10711" s="2" t="str">
        <f>"27344"</f>
        <v>27344</v>
      </c>
      <c r="C10711" s="1">
        <v>4.5095889523171699E-4</v>
      </c>
      <c r="D10711" s="1">
        <v>7.8279929026197606E-5</v>
      </c>
      <c r="E10711" s="1">
        <v>0</v>
      </c>
      <c r="F10711" s="1">
        <v>3.9607928109280601E-4</v>
      </c>
    </row>
    <row r="10712" spans="1:6" x14ac:dyDescent="0.25">
      <c r="A10712" s="2" t="str">
        <f t="shared" si="382"/>
        <v>24660</v>
      </c>
      <c r="B10712" s="2" t="str">
        <f>"27027"</f>
        <v>27027</v>
      </c>
      <c r="C10712" s="1">
        <v>5.9083716333353103E-3</v>
      </c>
      <c r="D10712" s="1">
        <v>4.6967957415718596E-3</v>
      </c>
      <c r="E10712" s="1">
        <v>2.3831525704002699E-3</v>
      </c>
      <c r="F10712" s="1">
        <v>5.6313154258900702E-3</v>
      </c>
    </row>
    <row r="10713" spans="1:6" x14ac:dyDescent="0.25">
      <c r="A10713" s="2" t="str">
        <f t="shared" si="382"/>
        <v>24660</v>
      </c>
      <c r="B10713" s="2" t="str">
        <f>"27262"</f>
        <v>27262</v>
      </c>
      <c r="C10713" s="1">
        <v>2.9007188338797001E-2</v>
      </c>
      <c r="D10713" s="1">
        <v>6.18933305500469E-2</v>
      </c>
      <c r="E10713" s="1">
        <v>4.1583580565147597E-2</v>
      </c>
      <c r="F10713" s="1">
        <v>3.25460675152082E-2</v>
      </c>
    </row>
    <row r="10714" spans="1:6" x14ac:dyDescent="0.25">
      <c r="A10714" s="2" t="str">
        <f t="shared" si="382"/>
        <v>24660</v>
      </c>
      <c r="B10714" s="2" t="str">
        <f>"27499"</f>
        <v>27499</v>
      </c>
      <c r="C10714" s="1">
        <v>0</v>
      </c>
      <c r="D10714" s="1">
        <v>0</v>
      </c>
      <c r="E10714" s="1">
        <v>1.45907300228588E-4</v>
      </c>
      <c r="F10714" s="1">
        <v>6.9896343722259796E-6</v>
      </c>
    </row>
    <row r="10715" spans="1:6" x14ac:dyDescent="0.25">
      <c r="A10715" s="2" t="str">
        <f t="shared" si="382"/>
        <v>24660</v>
      </c>
      <c r="B10715" s="2" t="str">
        <f>"27420"</f>
        <v>27420</v>
      </c>
      <c r="C10715" s="1">
        <v>1.52299890365681E-3</v>
      </c>
      <c r="D10715" s="1">
        <v>1.28900949796472E-2</v>
      </c>
      <c r="E10715" s="1">
        <v>4.8635766742862701E-5</v>
      </c>
      <c r="F10715" s="1">
        <v>2.4673409333957701E-3</v>
      </c>
    </row>
    <row r="10716" spans="1:6" x14ac:dyDescent="0.25">
      <c r="A10716" s="2" t="str">
        <f t="shared" si="382"/>
        <v>24660</v>
      </c>
      <c r="B10716" s="2" t="str">
        <f>"27412"</f>
        <v>27412</v>
      </c>
      <c r="C10716" s="1">
        <v>0</v>
      </c>
      <c r="D10716" s="1">
        <v>1.25247886441916E-3</v>
      </c>
      <c r="E10716" s="1">
        <v>4.8635766742862701E-5</v>
      </c>
      <c r="F10716" s="1">
        <v>1.14164028079691E-4</v>
      </c>
    </row>
    <row r="10717" spans="1:6" x14ac:dyDescent="0.25">
      <c r="A10717" s="2" t="str">
        <f t="shared" si="382"/>
        <v>24660</v>
      </c>
      <c r="B10717" s="2" t="str">
        <f>"27419"</f>
        <v>27419</v>
      </c>
      <c r="C10717" s="1">
        <v>3.7480895004887598E-3</v>
      </c>
      <c r="D10717" s="1">
        <v>1.3725080889259901E-2</v>
      </c>
      <c r="E10717" s="1">
        <v>4.8635766742862701E-5</v>
      </c>
      <c r="F10717" s="1">
        <v>4.46171660760425E-3</v>
      </c>
    </row>
    <row r="10718" spans="1:6" x14ac:dyDescent="0.25">
      <c r="A10718" s="2" t="str">
        <f t="shared" si="382"/>
        <v>24660</v>
      </c>
      <c r="B10718" s="2" t="str">
        <f>"27417"</f>
        <v>27417</v>
      </c>
      <c r="C10718" s="1">
        <v>2.51132797943411E-3</v>
      </c>
      <c r="D10718" s="1">
        <v>9.2370316250913204E-3</v>
      </c>
      <c r="E10718" s="1">
        <v>4.8635766742862701E-5</v>
      </c>
      <c r="F10718" s="1">
        <v>2.9938933894367902E-3</v>
      </c>
    </row>
    <row r="10719" spans="1:6" x14ac:dyDescent="0.25">
      <c r="A10719" s="2" t="str">
        <f t="shared" si="382"/>
        <v>24660</v>
      </c>
      <c r="B10719" s="2" t="str">
        <f>"27410"</f>
        <v>27410</v>
      </c>
      <c r="C10719" s="1">
        <v>7.1572847413872195E-2</v>
      </c>
      <c r="D10719" s="1">
        <v>3.9609644087256E-2</v>
      </c>
      <c r="E10719" s="1">
        <v>7.6066339185837203E-2</v>
      </c>
      <c r="F10719" s="1">
        <v>6.8934104057016707E-2</v>
      </c>
    </row>
    <row r="10720" spans="1:6" x14ac:dyDescent="0.25">
      <c r="A10720" s="2" t="str">
        <f t="shared" ref="A10720:A10731" si="383">"24660"</f>
        <v>24660</v>
      </c>
      <c r="B10720" s="2" t="str">
        <f>"27429"</f>
        <v>27429</v>
      </c>
      <c r="C10720" s="1">
        <v>2.2547944761585801E-3</v>
      </c>
      <c r="D10720" s="1">
        <v>5.8970879866402197E-3</v>
      </c>
      <c r="E10720" s="1">
        <v>4.8635766742862701E-5</v>
      </c>
      <c r="F10720" s="1">
        <v>2.474330567768E-3</v>
      </c>
    </row>
    <row r="10721" spans="1:6" x14ac:dyDescent="0.25">
      <c r="A10721" s="2" t="str">
        <f t="shared" si="383"/>
        <v>24660</v>
      </c>
      <c r="B10721" s="2" t="str">
        <f>"27377"</f>
        <v>27377</v>
      </c>
      <c r="C10721" s="1">
        <v>1.3885213408871101E-2</v>
      </c>
      <c r="D10721" s="1">
        <v>6.2102077027450103E-3</v>
      </c>
      <c r="E10721" s="1">
        <v>4.9122124410291299E-3</v>
      </c>
      <c r="F10721" s="1">
        <v>1.27700619980568E-2</v>
      </c>
    </row>
    <row r="10722" spans="1:6" x14ac:dyDescent="0.25">
      <c r="A10722" s="2" t="str">
        <f t="shared" si="383"/>
        <v>24660</v>
      </c>
      <c r="B10722" s="2" t="str">
        <f>"27355"</f>
        <v>27355</v>
      </c>
      <c r="C10722" s="1">
        <v>2.70305301872424E-3</v>
      </c>
      <c r="D10722" s="1">
        <v>7.5670598058657698E-4</v>
      </c>
      <c r="E10722" s="1">
        <v>1.9454306697144999E-4</v>
      </c>
      <c r="F10722" s="1">
        <v>2.4090939802938901E-3</v>
      </c>
    </row>
    <row r="10723" spans="1:6" x14ac:dyDescent="0.25">
      <c r="A10723" s="2" t="str">
        <f t="shared" si="383"/>
        <v>24660</v>
      </c>
      <c r="B10723" s="2" t="str">
        <f>"27248"</f>
        <v>27248</v>
      </c>
      <c r="C10723" s="1">
        <v>5.7463504733718199E-3</v>
      </c>
      <c r="D10723" s="1">
        <v>1.85262498695334E-3</v>
      </c>
      <c r="E10723" s="1">
        <v>7.2953650114294E-4</v>
      </c>
      <c r="F10723" s="1">
        <v>5.1583501667027704E-3</v>
      </c>
    </row>
    <row r="10724" spans="1:6" x14ac:dyDescent="0.25">
      <c r="A10724" s="2" t="str">
        <f t="shared" si="383"/>
        <v>24660</v>
      </c>
      <c r="B10724" s="2" t="str">
        <f>"27263"</f>
        <v>27263</v>
      </c>
      <c r="C10724" s="1">
        <v>2.7632708831773399E-2</v>
      </c>
      <c r="D10724" s="1">
        <v>4.0079323661413202E-2</v>
      </c>
      <c r="E10724" s="1">
        <v>1.8870677496230701E-2</v>
      </c>
      <c r="F10724" s="1">
        <v>2.8324328354383699E-2</v>
      </c>
    </row>
    <row r="10725" spans="1:6" x14ac:dyDescent="0.25">
      <c r="A10725" s="2" t="str">
        <f t="shared" si="383"/>
        <v>24660</v>
      </c>
      <c r="B10725" s="2" t="str">
        <f>"27435"</f>
        <v>27435</v>
      </c>
      <c r="C10725" s="1">
        <v>7.8850297848898998E-4</v>
      </c>
      <c r="D10725" s="1">
        <v>2.1657447030581302E-3</v>
      </c>
      <c r="E10725" s="1">
        <v>4.8635766742862701E-5</v>
      </c>
      <c r="F10725" s="1">
        <v>8.7603417465232302E-4</v>
      </c>
    </row>
    <row r="10726" spans="1:6" x14ac:dyDescent="0.25">
      <c r="A10726" s="2" t="str">
        <f t="shared" si="383"/>
        <v>24660</v>
      </c>
      <c r="B10726" s="2" t="str">
        <f>"27325"</f>
        <v>27325</v>
      </c>
      <c r="C10726" s="1">
        <v>4.5905995322989103E-5</v>
      </c>
      <c r="D10726" s="1">
        <v>2.6093309675399201E-5</v>
      </c>
      <c r="E10726" s="1">
        <v>0</v>
      </c>
      <c r="F10726" s="1">
        <v>4.1937806233355903E-5</v>
      </c>
    </row>
    <row r="10727" spans="1:6" x14ac:dyDescent="0.25">
      <c r="A10727" s="2" t="str">
        <f t="shared" si="383"/>
        <v>24660</v>
      </c>
      <c r="B10727" s="2" t="str">
        <f>"27370"</f>
        <v>27370</v>
      </c>
      <c r="C10727" s="1">
        <v>1.83272935445369E-2</v>
      </c>
      <c r="D10727" s="1">
        <v>3.6530633545558901E-3</v>
      </c>
      <c r="E10727" s="1">
        <v>2.9667817713146202E-3</v>
      </c>
      <c r="F10727" s="1">
        <v>1.62811883310384E-2</v>
      </c>
    </row>
    <row r="10728" spans="1:6" x14ac:dyDescent="0.25">
      <c r="A10728" s="2" t="str">
        <f t="shared" si="383"/>
        <v>24660</v>
      </c>
      <c r="B10728" s="2" t="str">
        <f>"27288"</f>
        <v>27288</v>
      </c>
      <c r="C10728" s="1">
        <v>3.3414163889803998E-2</v>
      </c>
      <c r="D10728" s="1">
        <v>3.3634276171589601E-2</v>
      </c>
      <c r="E10728" s="1">
        <v>2.2275181168231101E-2</v>
      </c>
      <c r="F10728" s="1">
        <v>3.2900208990067702E-2</v>
      </c>
    </row>
    <row r="10729" spans="1:6" x14ac:dyDescent="0.25">
      <c r="A10729" s="2" t="str">
        <f t="shared" si="383"/>
        <v>24660</v>
      </c>
      <c r="B10729" s="2" t="str">
        <f>"27360"</f>
        <v>27360</v>
      </c>
      <c r="C10729" s="1">
        <v>4.9524467895507096E-3</v>
      </c>
      <c r="D10729" s="1">
        <v>1.0959190063667601E-3</v>
      </c>
      <c r="E10729" s="1">
        <v>1.02135110160011E-3</v>
      </c>
      <c r="F10729" s="1">
        <v>4.4197788013709003E-3</v>
      </c>
    </row>
    <row r="10730" spans="1:6" x14ac:dyDescent="0.25">
      <c r="A10730" s="2" t="str">
        <f t="shared" si="383"/>
        <v>24660</v>
      </c>
      <c r="B10730" s="2" t="str">
        <f>"27350"</f>
        <v>27350</v>
      </c>
      <c r="C10730" s="1">
        <v>8.14156328816543E-3</v>
      </c>
      <c r="D10730" s="1">
        <v>1.53950527084855E-3</v>
      </c>
      <c r="E10730" s="1">
        <v>6.8090073440007701E-4</v>
      </c>
      <c r="F10730" s="1">
        <v>7.19466364714461E-3</v>
      </c>
    </row>
    <row r="10731" spans="1:6" x14ac:dyDescent="0.25">
      <c r="A10731" s="2" t="str">
        <f t="shared" si="383"/>
        <v>24660</v>
      </c>
      <c r="B10731" s="2" t="str">
        <f>"27268"</f>
        <v>27268</v>
      </c>
      <c r="C10731" s="1">
        <v>0</v>
      </c>
      <c r="D10731" s="1">
        <v>7.8279929026197606E-5</v>
      </c>
      <c r="E10731" s="1">
        <v>0</v>
      </c>
      <c r="F10731" s="1">
        <v>6.9896343722259796E-6</v>
      </c>
    </row>
    <row r="10732" spans="1:6" x14ac:dyDescent="0.25">
      <c r="A10732" s="2" t="str">
        <f t="shared" ref="A10732:A10746" si="384">"15500"</f>
        <v>15500</v>
      </c>
      <c r="B10732" s="2" t="str">
        <f>"27340"</f>
        <v>27340</v>
      </c>
      <c r="C10732" s="1">
        <v>0</v>
      </c>
      <c r="D10732" s="1">
        <v>0</v>
      </c>
      <c r="E10732" s="1">
        <v>1.10987791342952E-3</v>
      </c>
      <c r="F10732" s="1">
        <v>3.0715675232927203E-5</v>
      </c>
    </row>
    <row r="10733" spans="1:6" x14ac:dyDescent="0.25">
      <c r="A10733" s="2" t="str">
        <f t="shared" si="384"/>
        <v>15500</v>
      </c>
      <c r="B10733" s="2" t="str">
        <f>"27349"</f>
        <v>27349</v>
      </c>
      <c r="C10733" s="1">
        <v>3.1857500569087101E-2</v>
      </c>
      <c r="D10733" s="1">
        <v>6.3317855635289097E-3</v>
      </c>
      <c r="E10733" s="1">
        <v>1.33185349611542E-2</v>
      </c>
      <c r="F10733" s="1">
        <v>2.9487048223610101E-2</v>
      </c>
    </row>
    <row r="10734" spans="1:6" x14ac:dyDescent="0.25">
      <c r="A10734" s="2" t="str">
        <f t="shared" si="384"/>
        <v>15500</v>
      </c>
      <c r="B10734" s="2" t="str">
        <f>"27253"</f>
        <v>27253</v>
      </c>
      <c r="C10734" s="1">
        <v>0.17394718870931</v>
      </c>
      <c r="D10734" s="1">
        <v>0.168144083298156</v>
      </c>
      <c r="E10734" s="1">
        <v>0.20384757676655499</v>
      </c>
      <c r="F10734" s="1">
        <v>0.17435241118050501</v>
      </c>
    </row>
    <row r="10735" spans="1:6" x14ac:dyDescent="0.25">
      <c r="A10735" s="2" t="str">
        <f t="shared" si="384"/>
        <v>15500</v>
      </c>
      <c r="B10735" s="2" t="str">
        <f>"27217"</f>
        <v>27217</v>
      </c>
      <c r="C10735" s="1">
        <v>0.189722285454131</v>
      </c>
      <c r="D10735" s="1">
        <v>0.16476713099760701</v>
      </c>
      <c r="E10735" s="1">
        <v>0.16389197188309201</v>
      </c>
      <c r="F10735" s="1">
        <v>0.187191563427869</v>
      </c>
    </row>
    <row r="10736" spans="1:6" x14ac:dyDescent="0.25">
      <c r="A10736" s="2" t="str">
        <f t="shared" si="384"/>
        <v>15500</v>
      </c>
      <c r="B10736" s="2" t="str">
        <f>"27215"</f>
        <v>27215</v>
      </c>
      <c r="C10736" s="1">
        <v>0.23613703619394399</v>
      </c>
      <c r="D10736" s="1">
        <v>0.37878148304488501</v>
      </c>
      <c r="E10736" s="1">
        <v>0.42323344432112397</v>
      </c>
      <c r="F10736" s="1">
        <v>0.251694481417016</v>
      </c>
    </row>
    <row r="10737" spans="1:6" x14ac:dyDescent="0.25">
      <c r="A10737" s="2" t="str">
        <f t="shared" si="384"/>
        <v>15500</v>
      </c>
      <c r="B10737" s="2" t="str">
        <f>"27258"</f>
        <v>27258</v>
      </c>
      <c r="C10737" s="1">
        <v>4.1816526291827902E-2</v>
      </c>
      <c r="D10737" s="1">
        <v>3.0392570704938698E-2</v>
      </c>
      <c r="E10737" s="1">
        <v>2.5527192008878999E-2</v>
      </c>
      <c r="F10737" s="1">
        <v>4.0534452749052902E-2</v>
      </c>
    </row>
    <row r="10738" spans="1:6" x14ac:dyDescent="0.25">
      <c r="A10738" s="2" t="str">
        <f t="shared" si="384"/>
        <v>15500</v>
      </c>
      <c r="B10738" s="2" t="str">
        <f>"27216"</f>
        <v>27216</v>
      </c>
      <c r="C10738" s="1">
        <v>1.5752333257454999E-2</v>
      </c>
      <c r="D10738" s="1">
        <v>7.4152244266216402E-2</v>
      </c>
      <c r="E10738" s="1">
        <v>3.6995930447650699E-4</v>
      </c>
      <c r="F10738" s="1">
        <v>1.9576123681785601E-2</v>
      </c>
    </row>
    <row r="10739" spans="1:6" x14ac:dyDescent="0.25">
      <c r="A10739" s="2" t="str">
        <f t="shared" si="384"/>
        <v>15500</v>
      </c>
      <c r="B10739" s="2" t="str">
        <f>"27344"</f>
        <v>27344</v>
      </c>
      <c r="C10739" s="1">
        <v>1.4796266788071901E-4</v>
      </c>
      <c r="D10739" s="1">
        <v>0</v>
      </c>
      <c r="E10739" s="1">
        <v>0</v>
      </c>
      <c r="F10739" s="1">
        <v>1.3310125934268399E-4</v>
      </c>
    </row>
    <row r="10740" spans="1:6" x14ac:dyDescent="0.25">
      <c r="A10740" s="2" t="str">
        <f t="shared" si="384"/>
        <v>15500</v>
      </c>
      <c r="B10740" s="2" t="str">
        <f>"27298"</f>
        <v>27298</v>
      </c>
      <c r="C10740" s="1">
        <v>1.33963123150466E-2</v>
      </c>
      <c r="D10740" s="1">
        <v>2.6734205712677598E-3</v>
      </c>
      <c r="E10740" s="1">
        <v>1.40584535701072E-2</v>
      </c>
      <c r="F10740" s="1">
        <v>1.2634381079144E-2</v>
      </c>
    </row>
    <row r="10741" spans="1:6" x14ac:dyDescent="0.25">
      <c r="A10741" s="2" t="str">
        <f t="shared" si="384"/>
        <v>15500</v>
      </c>
      <c r="B10741" s="2" t="str">
        <f>"27359"</f>
        <v>27359</v>
      </c>
      <c r="C10741" s="1">
        <v>3.0047803323469098E-3</v>
      </c>
      <c r="D10741" s="1">
        <v>2.2513015336991602E-3</v>
      </c>
      <c r="E10741" s="1">
        <v>7.3991860895301497E-4</v>
      </c>
      <c r="F10741" s="1">
        <v>2.8872734718951498E-3</v>
      </c>
    </row>
    <row r="10742" spans="1:6" x14ac:dyDescent="0.25">
      <c r="A10742" s="2" t="str">
        <f t="shared" si="384"/>
        <v>15500</v>
      </c>
      <c r="B10742" s="2" t="str">
        <f>"27249"</f>
        <v>27249</v>
      </c>
      <c r="C10742" s="1">
        <v>1.9030275438197099E-2</v>
      </c>
      <c r="D10742" s="1">
        <v>4.0804840298297399E-3</v>
      </c>
      <c r="E10742" s="1">
        <v>7.3991860895301501E-3</v>
      </c>
      <c r="F10742" s="1">
        <v>1.7620559025289199E-2</v>
      </c>
    </row>
    <row r="10743" spans="1:6" x14ac:dyDescent="0.25">
      <c r="A10743" s="2" t="str">
        <f t="shared" si="384"/>
        <v>15500</v>
      </c>
      <c r="B10743" s="2" t="str">
        <f>"27202"</f>
        <v>27202</v>
      </c>
      <c r="C10743" s="1">
        <v>0</v>
      </c>
      <c r="D10743" s="1">
        <v>0</v>
      </c>
      <c r="E10743" s="1">
        <v>3.6995930447650699E-4</v>
      </c>
      <c r="F10743" s="1">
        <v>1.0238558410975699E-5</v>
      </c>
    </row>
    <row r="10744" spans="1:6" x14ac:dyDescent="0.25">
      <c r="A10744" s="2" t="str">
        <f t="shared" si="384"/>
        <v>15500</v>
      </c>
      <c r="B10744" s="2" t="str">
        <f>"27244"</f>
        <v>27244</v>
      </c>
      <c r="C10744" s="1">
        <v>0.13178921010698799</v>
      </c>
      <c r="D10744" s="1">
        <v>1.8432531307161899E-2</v>
      </c>
      <c r="E10744" s="1">
        <v>1.6648168701442801E-2</v>
      </c>
      <c r="F10744" s="1">
        <v>0.12035425412101899</v>
      </c>
    </row>
    <row r="10745" spans="1:6" x14ac:dyDescent="0.25">
      <c r="A10745" s="2" t="str">
        <f t="shared" si="384"/>
        <v>15500</v>
      </c>
      <c r="B10745" s="2" t="str">
        <f>"27201"</f>
        <v>27201</v>
      </c>
      <c r="C10745" s="1">
        <v>5.2128386068745697E-3</v>
      </c>
      <c r="D10745" s="1">
        <v>1.0693682285070999E-2</v>
      </c>
      <c r="E10745" s="1">
        <v>7.3991860895301497E-4</v>
      </c>
      <c r="F10745" s="1">
        <v>5.4878673082829899E-3</v>
      </c>
    </row>
    <row r="10746" spans="1:6" x14ac:dyDescent="0.25">
      <c r="A10746" s="2" t="str">
        <f t="shared" si="384"/>
        <v>15500</v>
      </c>
      <c r="B10746" s="2" t="str">
        <f>"27302"</f>
        <v>27302</v>
      </c>
      <c r="C10746" s="1">
        <v>0.138185750056908</v>
      </c>
      <c r="D10746" s="1">
        <v>0.139299282397636</v>
      </c>
      <c r="E10746" s="1">
        <v>0.12874583795782399</v>
      </c>
      <c r="F10746" s="1">
        <v>0.13800552882154099</v>
      </c>
    </row>
    <row r="10747" spans="1:6" x14ac:dyDescent="0.25">
      <c r="A10747" s="2" t="str">
        <f t="shared" ref="A10747:A10768" si="385">"38240"</f>
        <v>38240</v>
      </c>
      <c r="B10747" s="2" t="str">
        <f>"28350"</f>
        <v>28350</v>
      </c>
      <c r="C10747" s="1">
        <v>0</v>
      </c>
      <c r="D10747" s="1">
        <v>0</v>
      </c>
      <c r="E10747" s="1">
        <v>1.6638935108153001E-3</v>
      </c>
      <c r="F10747" s="1">
        <v>1.6555469099216899E-5</v>
      </c>
    </row>
    <row r="10748" spans="1:6" x14ac:dyDescent="0.25">
      <c r="A10748" s="2" t="str">
        <f t="shared" si="385"/>
        <v>38240</v>
      </c>
      <c r="B10748" s="2" t="str">
        <f>"27259"</f>
        <v>27259</v>
      </c>
      <c r="C10748" s="1">
        <v>0</v>
      </c>
      <c r="D10748" s="1">
        <v>0</v>
      </c>
      <c r="E10748" s="1">
        <v>1.6638935108153001E-3</v>
      </c>
      <c r="F10748" s="1">
        <v>1.6555469099216899E-5</v>
      </c>
    </row>
    <row r="10749" spans="1:6" x14ac:dyDescent="0.25">
      <c r="A10749" s="2" t="str">
        <f t="shared" si="385"/>
        <v>38240</v>
      </c>
      <c r="B10749" s="2" t="str">
        <f>"28315"</f>
        <v>28315</v>
      </c>
      <c r="C10749" s="1">
        <v>0.12077661478388101</v>
      </c>
      <c r="D10749" s="1">
        <v>0.20735785953177199</v>
      </c>
      <c r="E10749" s="1">
        <v>9.1514143094841904E-2</v>
      </c>
      <c r="F10749" s="1">
        <v>0.12691422611459599</v>
      </c>
    </row>
    <row r="10750" spans="1:6" x14ac:dyDescent="0.25">
      <c r="A10750" s="2" t="str">
        <f t="shared" si="385"/>
        <v>38240</v>
      </c>
      <c r="B10750" s="2" t="str">
        <f>"27325"</f>
        <v>27325</v>
      </c>
      <c r="C10750" s="1">
        <v>6.2385884990147598E-2</v>
      </c>
      <c r="D10750" s="1">
        <v>3.3667781493868398E-2</v>
      </c>
      <c r="E10750" s="1">
        <v>1.49750415973377E-2</v>
      </c>
      <c r="F10750" s="1">
        <v>5.9781798917272297E-2</v>
      </c>
    </row>
    <row r="10751" spans="1:6" x14ac:dyDescent="0.25">
      <c r="A10751" s="2" t="str">
        <f t="shared" si="385"/>
        <v>38240</v>
      </c>
      <c r="B10751" s="2" t="str">
        <f>"28387"</f>
        <v>28387</v>
      </c>
      <c r="C10751" s="1">
        <v>0.16700110273514401</v>
      </c>
      <c r="D10751" s="1">
        <v>0.27692307692307599</v>
      </c>
      <c r="E10751" s="1">
        <v>0.48252911813643901</v>
      </c>
      <c r="F10751" s="1">
        <v>0.178302402198566</v>
      </c>
    </row>
    <row r="10752" spans="1:6" x14ac:dyDescent="0.25">
      <c r="A10752" s="2" t="str">
        <f t="shared" si="385"/>
        <v>38240</v>
      </c>
      <c r="B10752" s="2" t="str">
        <f>"28374"</f>
        <v>28374</v>
      </c>
      <c r="C10752" s="1">
        <v>0.198221161668203</v>
      </c>
      <c r="D10752" s="1">
        <v>0.18795986622073499</v>
      </c>
      <c r="E10752" s="1">
        <v>0.25790349417637198</v>
      </c>
      <c r="F10752" s="1">
        <v>0.198053076833932</v>
      </c>
    </row>
    <row r="10753" spans="1:6" x14ac:dyDescent="0.25">
      <c r="A10753" s="2" t="str">
        <f t="shared" si="385"/>
        <v>38240</v>
      </c>
      <c r="B10753" s="2" t="str">
        <f>"28370"</f>
        <v>28370</v>
      </c>
      <c r="C10753" s="1">
        <v>2.81649402534483E-2</v>
      </c>
      <c r="D10753" s="1">
        <v>2.876254180602E-2</v>
      </c>
      <c r="E10753" s="1">
        <v>1.6638935108153001E-3</v>
      </c>
      <c r="F10753" s="1">
        <v>2.79456318394781E-2</v>
      </c>
    </row>
    <row r="10754" spans="1:6" x14ac:dyDescent="0.25">
      <c r="A10754" s="2" t="str">
        <f t="shared" si="385"/>
        <v>38240</v>
      </c>
      <c r="B10754" s="2" t="str">
        <f>"27252"</f>
        <v>27252</v>
      </c>
      <c r="C10754" s="1">
        <v>1.0846575193882501E-4</v>
      </c>
      <c r="D10754" s="1">
        <v>4.4593088071348899E-4</v>
      </c>
      <c r="E10754" s="1">
        <v>0</v>
      </c>
      <c r="F10754" s="1">
        <v>1.32443752793735E-4</v>
      </c>
    </row>
    <row r="10755" spans="1:6" x14ac:dyDescent="0.25">
      <c r="A10755" s="2" t="str">
        <f t="shared" si="385"/>
        <v>38240</v>
      </c>
      <c r="B10755" s="2" t="str">
        <f>"27242"</f>
        <v>27242</v>
      </c>
      <c r="C10755" s="1">
        <v>1.51671276461124E-2</v>
      </c>
      <c r="D10755" s="1">
        <v>6.2430323299888504E-3</v>
      </c>
      <c r="E10755" s="1">
        <v>3.3277870216306101E-3</v>
      </c>
      <c r="F10755" s="1">
        <v>1.43867026472195E-2</v>
      </c>
    </row>
    <row r="10756" spans="1:6" x14ac:dyDescent="0.25">
      <c r="A10756" s="2" t="str">
        <f t="shared" si="385"/>
        <v>38240</v>
      </c>
      <c r="B10756" s="2" t="str">
        <f>"28373"</f>
        <v>28373</v>
      </c>
      <c r="C10756" s="1">
        <v>2.0174629860621501E-2</v>
      </c>
      <c r="D10756" s="1">
        <v>7.1348940914158299E-3</v>
      </c>
      <c r="E10756" s="1">
        <v>1.99667221297836E-2</v>
      </c>
      <c r="F10756" s="1">
        <v>1.9204344155091601E-2</v>
      </c>
    </row>
    <row r="10757" spans="1:6" x14ac:dyDescent="0.25">
      <c r="A10757" s="2" t="str">
        <f t="shared" si="385"/>
        <v>38240</v>
      </c>
      <c r="B10757" s="2" t="str">
        <f>"27281"</f>
        <v>27281</v>
      </c>
      <c r="C10757" s="1">
        <v>1.9559990599634799E-2</v>
      </c>
      <c r="D10757" s="1">
        <v>2.8985507246376799E-3</v>
      </c>
      <c r="E10757" s="1">
        <v>1.83028286189683E-2</v>
      </c>
      <c r="F10757" s="1">
        <v>1.8310348823733901E-2</v>
      </c>
    </row>
    <row r="10758" spans="1:6" x14ac:dyDescent="0.25">
      <c r="A10758" s="2" t="str">
        <f t="shared" si="385"/>
        <v>38240</v>
      </c>
      <c r="B10758" s="2" t="str">
        <f>"28388"</f>
        <v>28388</v>
      </c>
      <c r="C10758" s="1">
        <v>2.5145976824484301E-2</v>
      </c>
      <c r="D10758" s="1">
        <v>8.5618729096989907E-2</v>
      </c>
      <c r="E10758" s="1">
        <v>1.6638935108153001E-3</v>
      </c>
      <c r="F10758" s="1">
        <v>2.9402513120209198E-2</v>
      </c>
    </row>
    <row r="10759" spans="1:6" x14ac:dyDescent="0.25">
      <c r="A10759" s="2" t="str">
        <f t="shared" si="385"/>
        <v>38240</v>
      </c>
      <c r="B10759" s="2" t="str">
        <f>"27341"</f>
        <v>27341</v>
      </c>
      <c r="C10759" s="1">
        <v>1.30520454833053E-2</v>
      </c>
      <c r="D10759" s="1">
        <v>9.36454849498327E-3</v>
      </c>
      <c r="E10759" s="1">
        <v>0</v>
      </c>
      <c r="F10759" s="1">
        <v>1.2648378391801701E-2</v>
      </c>
    </row>
    <row r="10760" spans="1:6" x14ac:dyDescent="0.25">
      <c r="A10760" s="2" t="str">
        <f t="shared" si="385"/>
        <v>38240</v>
      </c>
      <c r="B10760" s="2" t="str">
        <f>"27330"</f>
        <v>27330</v>
      </c>
      <c r="C10760" s="1">
        <v>1.8800730336062999E-3</v>
      </c>
      <c r="D10760" s="1">
        <v>6.6889632107023397E-4</v>
      </c>
      <c r="E10760" s="1">
        <v>0</v>
      </c>
      <c r="F10760" s="1">
        <v>1.7714351936162099E-3</v>
      </c>
    </row>
    <row r="10761" spans="1:6" x14ac:dyDescent="0.25">
      <c r="A10761" s="2" t="str">
        <f t="shared" si="385"/>
        <v>38240</v>
      </c>
      <c r="B10761" s="2" t="str">
        <f>"27209"</f>
        <v>27209</v>
      </c>
      <c r="C10761" s="1">
        <v>2.7839542997631799E-3</v>
      </c>
      <c r="D10761" s="1">
        <v>8.9186176142697798E-4</v>
      </c>
      <c r="E10761" s="1">
        <v>0</v>
      </c>
      <c r="F10761" s="1">
        <v>2.6157641176762698E-3</v>
      </c>
    </row>
    <row r="10762" spans="1:6" x14ac:dyDescent="0.25">
      <c r="A10762" s="2" t="str">
        <f t="shared" si="385"/>
        <v>38240</v>
      </c>
      <c r="B10762" s="2" t="str">
        <f>"28394"</f>
        <v>28394</v>
      </c>
      <c r="C10762" s="1">
        <v>4.76706979771137E-2</v>
      </c>
      <c r="D10762" s="1">
        <v>1.27090301003344E-2</v>
      </c>
      <c r="E10762" s="1">
        <v>1.83028286189683E-2</v>
      </c>
      <c r="F10762" s="1">
        <v>4.4782543913381698E-2</v>
      </c>
    </row>
    <row r="10763" spans="1:6" x14ac:dyDescent="0.25">
      <c r="A10763" s="2" t="str">
        <f t="shared" si="385"/>
        <v>38240</v>
      </c>
      <c r="B10763" s="2" t="str">
        <f>"28326"</f>
        <v>28326</v>
      </c>
      <c r="C10763" s="1">
        <v>4.0692734602382603E-2</v>
      </c>
      <c r="D10763" s="1">
        <v>1.7391304347826E-2</v>
      </c>
      <c r="E10763" s="1">
        <v>3.3277870216306101E-3</v>
      </c>
      <c r="F10763" s="1">
        <v>3.85907984702746E-2</v>
      </c>
    </row>
    <row r="10764" spans="1:6" x14ac:dyDescent="0.25">
      <c r="A10764" s="2" t="str">
        <f t="shared" si="385"/>
        <v>38240</v>
      </c>
      <c r="B10764" s="2" t="str">
        <f>"28347"</f>
        <v>28347</v>
      </c>
      <c r="C10764" s="1">
        <v>1.6269862790823701E-4</v>
      </c>
      <c r="D10764" s="1">
        <v>0</v>
      </c>
      <c r="E10764" s="1">
        <v>0</v>
      </c>
      <c r="F10764" s="1">
        <v>1.4899922189295201E-4</v>
      </c>
    </row>
    <row r="10765" spans="1:6" x14ac:dyDescent="0.25">
      <c r="A10765" s="2" t="str">
        <f t="shared" si="385"/>
        <v>38240</v>
      </c>
      <c r="B10765" s="2" t="str">
        <f>"27376"</f>
        <v>27376</v>
      </c>
      <c r="C10765" s="1">
        <v>8.6085651788780998E-2</v>
      </c>
      <c r="D10765" s="1">
        <v>5.9085841694537303E-2</v>
      </c>
      <c r="E10765" s="1">
        <v>4.3261231281198E-2</v>
      </c>
      <c r="F10765" s="1">
        <v>8.3654785358343101E-2</v>
      </c>
    </row>
    <row r="10766" spans="1:6" x14ac:dyDescent="0.25">
      <c r="A10766" s="2" t="str">
        <f t="shared" si="385"/>
        <v>38240</v>
      </c>
      <c r="B10766" s="2" t="str">
        <f>"28327"</f>
        <v>28327</v>
      </c>
      <c r="C10766" s="1">
        <v>0.145615271977872</v>
      </c>
      <c r="D10766" s="1">
        <v>6.0646599777034502E-2</v>
      </c>
      <c r="E10766" s="1">
        <v>3.9933444259567297E-2</v>
      </c>
      <c r="F10766" s="1">
        <v>0.13825472244756001</v>
      </c>
    </row>
    <row r="10767" spans="1:6" x14ac:dyDescent="0.25">
      <c r="A10767" s="2" t="str">
        <f t="shared" si="385"/>
        <v>38240</v>
      </c>
      <c r="B10767" s="2" t="str">
        <f>"27356"</f>
        <v>27356</v>
      </c>
      <c r="C10767" s="1">
        <v>3.2178173075184799E-3</v>
      </c>
      <c r="D10767" s="1">
        <v>8.9186176142697798E-4</v>
      </c>
      <c r="E10767" s="1">
        <v>0</v>
      </c>
      <c r="F10767" s="1">
        <v>3.0130953760574798E-3</v>
      </c>
    </row>
    <row r="10768" spans="1:6" x14ac:dyDescent="0.25">
      <c r="A10768" s="2" t="str">
        <f t="shared" si="385"/>
        <v>38240</v>
      </c>
      <c r="B10768" s="2" t="str">
        <f>"27208"</f>
        <v>27208</v>
      </c>
      <c r="C10768" s="1">
        <v>2.1331597881302298E-3</v>
      </c>
      <c r="D10768" s="1">
        <v>1.3377926421404599E-3</v>
      </c>
      <c r="E10768" s="1">
        <v>0</v>
      </c>
      <c r="F10768" s="1">
        <v>2.05287816830289E-3</v>
      </c>
    </row>
    <row r="10769" spans="1:6" x14ac:dyDescent="0.25">
      <c r="A10769" s="2" t="str">
        <f t="shared" ref="A10769:A10795" si="386">"40580"</f>
        <v>40580</v>
      </c>
      <c r="B10769" s="2" t="str">
        <f>"27868"</f>
        <v>27868</v>
      </c>
      <c r="C10769" s="1">
        <v>0</v>
      </c>
      <c r="D10769" s="1">
        <v>1.46649068778413E-4</v>
      </c>
      <c r="E10769" s="1">
        <v>1.1123470522803099E-3</v>
      </c>
      <c r="F10769" s="1">
        <v>2.3405226387052198E-5</v>
      </c>
    </row>
    <row r="10770" spans="1:6" x14ac:dyDescent="0.25">
      <c r="A10770" s="2" t="str">
        <f t="shared" si="386"/>
        <v>40580</v>
      </c>
      <c r="B10770" s="2" t="str">
        <f>"27856"</f>
        <v>27856</v>
      </c>
      <c r="C10770" s="1">
        <v>0.104614513784364</v>
      </c>
      <c r="D10770" s="1">
        <v>8.1976829447132998E-2</v>
      </c>
      <c r="E10770" s="1">
        <v>4.2269187986651802E-2</v>
      </c>
      <c r="F10770" s="1">
        <v>0.10215211056628901</v>
      </c>
    </row>
    <row r="10771" spans="1:6" x14ac:dyDescent="0.25">
      <c r="A10771" s="2" t="str">
        <f t="shared" si="386"/>
        <v>40580</v>
      </c>
      <c r="B10771" s="2" t="str">
        <f>"27852"</f>
        <v>27852</v>
      </c>
      <c r="C10771" s="1">
        <v>1.4125274979738299E-2</v>
      </c>
      <c r="D10771" s="1">
        <v>3.3729285819035001E-3</v>
      </c>
      <c r="E10771" s="1">
        <v>0</v>
      </c>
      <c r="F10771" s="1">
        <v>1.3118629389942699E-2</v>
      </c>
    </row>
    <row r="10772" spans="1:6" x14ac:dyDescent="0.25">
      <c r="A10772" s="2" t="str">
        <f t="shared" si="386"/>
        <v>40580</v>
      </c>
      <c r="B10772" s="2" t="str">
        <f>"27829"</f>
        <v>27829</v>
      </c>
      <c r="C10772" s="1">
        <v>2.4313997915943E-3</v>
      </c>
      <c r="D10772" s="1">
        <v>2.9329813755682601E-4</v>
      </c>
      <c r="E10772" s="1">
        <v>0</v>
      </c>
      <c r="F10772" s="1">
        <v>2.2351991199634799E-3</v>
      </c>
    </row>
    <row r="10773" spans="1:6" x14ac:dyDescent="0.25">
      <c r="A10773" s="2" t="str">
        <f t="shared" si="386"/>
        <v>40580</v>
      </c>
      <c r="B10773" s="2" t="str">
        <f>"27819"</f>
        <v>27819</v>
      </c>
      <c r="C10773" s="1">
        <v>0</v>
      </c>
      <c r="D10773" s="1">
        <v>1.46649068778413E-4</v>
      </c>
      <c r="E10773" s="1">
        <v>0</v>
      </c>
      <c r="F10773" s="1">
        <v>1.1702613193526099E-5</v>
      </c>
    </row>
    <row r="10774" spans="1:6" x14ac:dyDescent="0.25">
      <c r="A10774" s="2" t="str">
        <f t="shared" si="386"/>
        <v>40580</v>
      </c>
      <c r="B10774" s="2" t="str">
        <f>"27882"</f>
        <v>27882</v>
      </c>
      <c r="C10774" s="1">
        <v>3.6303757734810101E-2</v>
      </c>
      <c r="D10774" s="1">
        <v>1.96509752163073E-2</v>
      </c>
      <c r="E10774" s="1">
        <v>5.5617352614015497E-3</v>
      </c>
      <c r="F10774" s="1">
        <v>3.46514376660308E-2</v>
      </c>
    </row>
    <row r="10775" spans="1:6" x14ac:dyDescent="0.25">
      <c r="A10775" s="2" t="str">
        <f t="shared" si="386"/>
        <v>40580</v>
      </c>
      <c r="B10775" s="2" t="str">
        <f>"27864"</f>
        <v>27864</v>
      </c>
      <c r="C10775" s="1">
        <v>3.15438745449165E-2</v>
      </c>
      <c r="D10775" s="1">
        <v>5.4260155448012902E-3</v>
      </c>
      <c r="E10775" s="1">
        <v>6.6740823136818596E-3</v>
      </c>
      <c r="F10775" s="1">
        <v>2.9198019917847599E-2</v>
      </c>
    </row>
    <row r="10776" spans="1:6" x14ac:dyDescent="0.25">
      <c r="A10776" s="2" t="str">
        <f t="shared" si="386"/>
        <v>40580</v>
      </c>
      <c r="B10776" s="2" t="str">
        <f>"27822"</f>
        <v>27822</v>
      </c>
      <c r="C10776" s="1">
        <v>1.41767331763858E-2</v>
      </c>
      <c r="D10776" s="1">
        <v>4.8394192696876301E-3</v>
      </c>
      <c r="E10776" s="1">
        <v>2.2246941045606199E-3</v>
      </c>
      <c r="F10776" s="1">
        <v>1.3305871201039101E-2</v>
      </c>
    </row>
    <row r="10777" spans="1:6" x14ac:dyDescent="0.25">
      <c r="A10777" s="2" t="str">
        <f t="shared" si="386"/>
        <v>40580</v>
      </c>
      <c r="B10777" s="2" t="str">
        <f>"27815"</f>
        <v>27815</v>
      </c>
      <c r="C10777" s="1">
        <v>0</v>
      </c>
      <c r="D10777" s="1">
        <v>1.46649068778413E-4</v>
      </c>
      <c r="E10777" s="1">
        <v>1.1123470522803099E-3</v>
      </c>
      <c r="F10777" s="1">
        <v>2.3405226387052198E-5</v>
      </c>
    </row>
    <row r="10778" spans="1:6" x14ac:dyDescent="0.25">
      <c r="A10778" s="2" t="str">
        <f t="shared" si="386"/>
        <v>40580</v>
      </c>
      <c r="B10778" s="2" t="str">
        <f>"27816"</f>
        <v>27816</v>
      </c>
      <c r="C10778" s="1">
        <v>7.9888850295241395E-3</v>
      </c>
      <c r="D10778" s="1">
        <v>3.07963044434667E-3</v>
      </c>
      <c r="E10778" s="1">
        <v>0</v>
      </c>
      <c r="F10778" s="1">
        <v>7.5130776702437597E-3</v>
      </c>
    </row>
    <row r="10779" spans="1:6" x14ac:dyDescent="0.25">
      <c r="A10779" s="2" t="str">
        <f t="shared" si="386"/>
        <v>40580</v>
      </c>
      <c r="B10779" s="2" t="str">
        <f>"27809"</f>
        <v>27809</v>
      </c>
      <c r="C10779" s="1">
        <v>4.0690568999009399E-2</v>
      </c>
      <c r="D10779" s="1">
        <v>2.53702888986654E-2</v>
      </c>
      <c r="E10779" s="1">
        <v>1.8909899888765201E-2</v>
      </c>
      <c r="F10779" s="1">
        <v>3.9238862037893001E-2</v>
      </c>
    </row>
    <row r="10780" spans="1:6" x14ac:dyDescent="0.25">
      <c r="A10780" s="2" t="str">
        <f t="shared" si="386"/>
        <v>40580</v>
      </c>
      <c r="B10780" s="2" t="str">
        <f>"27801"</f>
        <v>27801</v>
      </c>
      <c r="C10780" s="1">
        <v>0.147286223354302</v>
      </c>
      <c r="D10780" s="1">
        <v>0.113506379234491</v>
      </c>
      <c r="E10780" s="1">
        <v>0.187986651835372</v>
      </c>
      <c r="F10780" s="1">
        <v>0.14501878269417501</v>
      </c>
    </row>
    <row r="10781" spans="1:6" x14ac:dyDescent="0.25">
      <c r="A10781" s="2" t="str">
        <f t="shared" si="386"/>
        <v>40580</v>
      </c>
      <c r="B10781" s="2" t="str">
        <f>"27881"</f>
        <v>27881</v>
      </c>
      <c r="C10781" s="1">
        <v>0</v>
      </c>
      <c r="D10781" s="1">
        <v>1.46649068778413E-4</v>
      </c>
      <c r="E10781" s="1">
        <v>0</v>
      </c>
      <c r="F10781" s="1">
        <v>1.1702613193526099E-5</v>
      </c>
    </row>
    <row r="10782" spans="1:6" x14ac:dyDescent="0.25">
      <c r="A10782" s="2" t="str">
        <f t="shared" si="386"/>
        <v>40580</v>
      </c>
      <c r="B10782" s="2" t="str">
        <f>"27843"</f>
        <v>27843</v>
      </c>
      <c r="C10782" s="1">
        <v>1.9682760217668098E-3</v>
      </c>
      <c r="D10782" s="1">
        <v>2.9329813755682601E-4</v>
      </c>
      <c r="E10782" s="1">
        <v>0</v>
      </c>
      <c r="F10782" s="1">
        <v>1.8139050449965399E-3</v>
      </c>
    </row>
    <row r="10783" spans="1:6" x14ac:dyDescent="0.25">
      <c r="A10783" s="2" t="str">
        <f t="shared" si="386"/>
        <v>40580</v>
      </c>
      <c r="B10783" s="2" t="str">
        <f>"27896"</f>
        <v>27896</v>
      </c>
      <c r="C10783" s="1">
        <v>3.2032727413067799E-3</v>
      </c>
      <c r="D10783" s="1">
        <v>1.61313975656254E-3</v>
      </c>
      <c r="E10783" s="1">
        <v>0</v>
      </c>
      <c r="F10783" s="1">
        <v>3.04267943031678E-3</v>
      </c>
    </row>
    <row r="10784" spans="1:6" x14ac:dyDescent="0.25">
      <c r="A10784" s="2" t="str">
        <f t="shared" si="386"/>
        <v>40580</v>
      </c>
      <c r="B10784" s="2" t="str">
        <f>"27886"</f>
        <v>27886</v>
      </c>
      <c r="C10784" s="1">
        <v>0.13817812254769499</v>
      </c>
      <c r="D10784" s="1">
        <v>0.13022437307522999</v>
      </c>
      <c r="E10784" s="1">
        <v>0.27363737486095602</v>
      </c>
      <c r="F10784" s="1">
        <v>0.13896853167312201</v>
      </c>
    </row>
    <row r="10785" spans="1:6" x14ac:dyDescent="0.25">
      <c r="A10785" s="2" t="str">
        <f t="shared" si="386"/>
        <v>40580</v>
      </c>
      <c r="B10785" s="2" t="str">
        <f>"27812"</f>
        <v>27812</v>
      </c>
      <c r="C10785" s="1">
        <v>6.4322745809373104E-4</v>
      </c>
      <c r="D10785" s="1">
        <v>4.3994720633523898E-4</v>
      </c>
      <c r="E10785" s="1">
        <v>0</v>
      </c>
      <c r="F10785" s="1">
        <v>6.2023849925688405E-4</v>
      </c>
    </row>
    <row r="10786" spans="1:6" x14ac:dyDescent="0.25">
      <c r="A10786" s="2" t="str">
        <f t="shared" si="386"/>
        <v>40580</v>
      </c>
      <c r="B10786" s="2" t="str">
        <f>"27807"</f>
        <v>27807</v>
      </c>
      <c r="C10786" s="1">
        <v>3.2753142166132697E-2</v>
      </c>
      <c r="D10786" s="1">
        <v>8.2123478515911397E-3</v>
      </c>
      <c r="E10786" s="1">
        <v>1.1123470522803099E-3</v>
      </c>
      <c r="F10786" s="1">
        <v>3.0461902142748399E-2</v>
      </c>
    </row>
    <row r="10787" spans="1:6" x14ac:dyDescent="0.25">
      <c r="A10787" s="2" t="str">
        <f t="shared" si="386"/>
        <v>40580</v>
      </c>
      <c r="B10787" s="2" t="str">
        <f>"27804"</f>
        <v>27804</v>
      </c>
      <c r="C10787" s="1">
        <v>0.20005660401631201</v>
      </c>
      <c r="D10787" s="1">
        <v>0.40533802610353398</v>
      </c>
      <c r="E10787" s="1">
        <v>0.34371523915461599</v>
      </c>
      <c r="F10787" s="1">
        <v>0.21794946811623001</v>
      </c>
    </row>
    <row r="10788" spans="1:6" x14ac:dyDescent="0.25">
      <c r="A10788" s="2" t="str">
        <f t="shared" si="386"/>
        <v>40580</v>
      </c>
      <c r="B10788" s="2" t="str">
        <f>"27802"</f>
        <v>27802</v>
      </c>
      <c r="C10788" s="1">
        <v>2.3889467793601099E-2</v>
      </c>
      <c r="D10788" s="1">
        <v>7.3031236251649798E-2</v>
      </c>
      <c r="E10788" s="1">
        <v>1.1123470522803099E-3</v>
      </c>
      <c r="F10788" s="1">
        <v>2.7571356683947501E-2</v>
      </c>
    </row>
    <row r="10789" spans="1:6" x14ac:dyDescent="0.25">
      <c r="A10789" s="2" t="str">
        <f t="shared" si="386"/>
        <v>40580</v>
      </c>
      <c r="B10789" s="2" t="str">
        <f>"27803"</f>
        <v>27803</v>
      </c>
      <c r="C10789" s="1">
        <v>0.13936166107058701</v>
      </c>
      <c r="D10789" s="1">
        <v>0.10412083883267299</v>
      </c>
      <c r="E10789" s="1">
        <v>9.5661846496106706E-2</v>
      </c>
      <c r="F10789" s="1">
        <v>0.13608968882751499</v>
      </c>
    </row>
    <row r="10790" spans="1:6" x14ac:dyDescent="0.25">
      <c r="A10790" s="2" t="str">
        <f t="shared" si="386"/>
        <v>40580</v>
      </c>
      <c r="B10790" s="2" t="str">
        <f>"27878"</f>
        <v>27878</v>
      </c>
      <c r="C10790" s="1">
        <v>0</v>
      </c>
      <c r="D10790" s="1">
        <v>1.46649068778413E-4</v>
      </c>
      <c r="E10790" s="1">
        <v>1.1123470522803099E-3</v>
      </c>
      <c r="F10790" s="1">
        <v>2.3405226387052198E-5</v>
      </c>
    </row>
    <row r="10791" spans="1:6" x14ac:dyDescent="0.25">
      <c r="A10791" s="2" t="str">
        <f t="shared" si="386"/>
        <v>40580</v>
      </c>
      <c r="B10791" s="2" t="str">
        <f>"27880"</f>
        <v>27880</v>
      </c>
      <c r="C10791" s="1">
        <v>8.10466597198101E-4</v>
      </c>
      <c r="D10791" s="1">
        <v>1.46649068778413E-4</v>
      </c>
      <c r="E10791" s="1">
        <v>0</v>
      </c>
      <c r="F10791" s="1">
        <v>7.48967244385671E-4</v>
      </c>
    </row>
    <row r="10792" spans="1:6" x14ac:dyDescent="0.25">
      <c r="A10792" s="2" t="str">
        <f t="shared" si="386"/>
        <v>40580</v>
      </c>
      <c r="B10792" s="2" t="str">
        <f>"27891"</f>
        <v>27891</v>
      </c>
      <c r="C10792" s="1">
        <v>2.5600452832130399E-2</v>
      </c>
      <c r="D10792" s="1">
        <v>5.4260155448012902E-3</v>
      </c>
      <c r="E10792" s="1">
        <v>1.5572858731924299E-2</v>
      </c>
      <c r="F10792" s="1">
        <v>2.3885033527986699E-2</v>
      </c>
    </row>
    <row r="10793" spans="1:6" x14ac:dyDescent="0.25">
      <c r="A10793" s="2" t="str">
        <f t="shared" si="386"/>
        <v>40580</v>
      </c>
      <c r="B10793" s="2" t="str">
        <f>"27597"</f>
        <v>27597</v>
      </c>
      <c r="C10793" s="1">
        <v>7.2041475306497803E-3</v>
      </c>
      <c r="D10793" s="1">
        <v>1.61313975656254E-3</v>
      </c>
      <c r="E10793" s="1">
        <v>0</v>
      </c>
      <c r="F10793" s="1">
        <v>6.6821921335034097E-3</v>
      </c>
    </row>
    <row r="10794" spans="1:6" x14ac:dyDescent="0.25">
      <c r="A10794" s="2" t="str">
        <f t="shared" si="386"/>
        <v>40580</v>
      </c>
      <c r="B10794" s="2" t="str">
        <f>"27834"</f>
        <v>27834</v>
      </c>
      <c r="C10794" s="1">
        <v>2.9588463072311599E-4</v>
      </c>
      <c r="D10794" s="1">
        <v>0</v>
      </c>
      <c r="E10794" s="1">
        <v>0</v>
      </c>
      <c r="F10794" s="1">
        <v>2.6916010345110001E-4</v>
      </c>
    </row>
    <row r="10795" spans="1:6" x14ac:dyDescent="0.25">
      <c r="A10795" s="2" t="str">
        <f t="shared" si="386"/>
        <v>40580</v>
      </c>
      <c r="B10795" s="2" t="str">
        <f>"27557"</f>
        <v>27557</v>
      </c>
      <c r="C10795" s="1">
        <v>2.6874043199156001E-2</v>
      </c>
      <c r="D10795" s="1">
        <v>1.12919782959378E-2</v>
      </c>
      <c r="E10795" s="1">
        <v>2.2246941045606199E-3</v>
      </c>
      <c r="F10795" s="1">
        <v>2.5371265403564599E-2</v>
      </c>
    </row>
    <row r="10796" spans="1:6" x14ac:dyDescent="0.25">
      <c r="A10796" s="2" t="str">
        <f t="shared" ref="A10796:A10839" si="387">"25860"</f>
        <v>25860</v>
      </c>
      <c r="B10796" s="2" t="str">
        <f>"28037"</f>
        <v>28037</v>
      </c>
      <c r="C10796" s="1">
        <v>5.26374734012767E-3</v>
      </c>
      <c r="D10796" s="1">
        <v>5.1616074720412901E-3</v>
      </c>
      <c r="E10796" s="1">
        <v>2.2162029056882501E-3</v>
      </c>
      <c r="F10796" s="1">
        <v>5.1931729633260398E-3</v>
      </c>
    </row>
    <row r="10797" spans="1:6" x14ac:dyDescent="0.25">
      <c r="A10797" s="2" t="str">
        <f t="shared" si="387"/>
        <v>25860</v>
      </c>
      <c r="B10797" s="2" t="str">
        <f>"28667"</f>
        <v>28667</v>
      </c>
      <c r="C10797" s="1">
        <v>1.67991936387053E-5</v>
      </c>
      <c r="D10797" s="1">
        <v>6.1447708000491496E-5</v>
      </c>
      <c r="E10797" s="1">
        <v>4.9248953459738896E-4</v>
      </c>
      <c r="F10797" s="1">
        <v>3.01636377347108E-5</v>
      </c>
    </row>
    <row r="10798" spans="1:6" x14ac:dyDescent="0.25">
      <c r="A10798" s="2" t="str">
        <f t="shared" si="387"/>
        <v>25860</v>
      </c>
      <c r="B10798" s="2" t="str">
        <f>"28680"</f>
        <v>28680</v>
      </c>
      <c r="C10798" s="1">
        <v>1.3181767275170699E-2</v>
      </c>
      <c r="D10798" s="1">
        <v>3.0600958584244799E-2</v>
      </c>
      <c r="E10798" s="1">
        <v>2.4624476729869399E-4</v>
      </c>
      <c r="F10798" s="1">
        <v>1.4342809742854901E-2</v>
      </c>
    </row>
    <row r="10799" spans="1:6" x14ac:dyDescent="0.25">
      <c r="A10799" s="2" t="str">
        <f t="shared" si="387"/>
        <v>25860</v>
      </c>
      <c r="B10799" s="2" t="str">
        <f>"28658"</f>
        <v>28658</v>
      </c>
      <c r="C10799" s="1">
        <v>7.1256579684175106E-2</v>
      </c>
      <c r="D10799" s="1">
        <v>7.7915693744623302E-2</v>
      </c>
      <c r="E10799" s="1">
        <v>4.6786505786752003E-2</v>
      </c>
      <c r="F10799" s="1">
        <v>7.1301812331900499E-2</v>
      </c>
    </row>
    <row r="10800" spans="1:6" x14ac:dyDescent="0.25">
      <c r="A10800" s="2" t="str">
        <f t="shared" si="387"/>
        <v>25860</v>
      </c>
      <c r="B10800" s="2" t="str">
        <f>"28637"</f>
        <v>28637</v>
      </c>
      <c r="C10800" s="1">
        <v>1.30977713069772E-2</v>
      </c>
      <c r="D10800" s="1">
        <v>1.8188521568145499E-2</v>
      </c>
      <c r="E10800" s="1">
        <v>6.6486087170647603E-3</v>
      </c>
      <c r="F10800" s="1">
        <v>1.33826006083E-2</v>
      </c>
    </row>
    <row r="10801" spans="1:6" x14ac:dyDescent="0.25">
      <c r="A10801" s="2" t="str">
        <f t="shared" si="387"/>
        <v>25860</v>
      </c>
      <c r="B10801" s="2" t="str">
        <f>"28645"</f>
        <v>28645</v>
      </c>
      <c r="C10801" s="1">
        <v>0.12608914772090901</v>
      </c>
      <c r="D10801" s="1">
        <v>0.10482978984883801</v>
      </c>
      <c r="E10801" s="1">
        <v>0.14183698596404801</v>
      </c>
      <c r="F10801" s="1">
        <v>0.124671342030515</v>
      </c>
    </row>
    <row r="10802" spans="1:6" x14ac:dyDescent="0.25">
      <c r="A10802" s="2" t="str">
        <f t="shared" si="387"/>
        <v>25860</v>
      </c>
      <c r="B10802" s="2" t="str">
        <f>"28610"</f>
        <v>28610</v>
      </c>
      <c r="C10802" s="1">
        <v>2.3854854966961499E-2</v>
      </c>
      <c r="D10802" s="1">
        <v>9.0328130760722602E-3</v>
      </c>
      <c r="E10802" s="1">
        <v>3.93991627677911E-3</v>
      </c>
      <c r="F10802" s="1">
        <v>2.22356282834376E-2</v>
      </c>
    </row>
    <row r="10803" spans="1:6" x14ac:dyDescent="0.25">
      <c r="A10803" s="2" t="str">
        <f t="shared" si="387"/>
        <v>25860</v>
      </c>
      <c r="B10803" s="2" t="str">
        <f>"28682"</f>
        <v>28682</v>
      </c>
      <c r="C10803" s="1">
        <v>3.8302161496248099E-3</v>
      </c>
      <c r="D10803" s="1">
        <v>1.96632665601573E-3</v>
      </c>
      <c r="E10803" s="1">
        <v>0</v>
      </c>
      <c r="F10803" s="1">
        <v>3.5995274363421498E-3</v>
      </c>
    </row>
    <row r="10804" spans="1:6" x14ac:dyDescent="0.25">
      <c r="A10804" s="2" t="str">
        <f t="shared" si="387"/>
        <v>25860</v>
      </c>
      <c r="B10804" s="2" t="str">
        <f>"28655"</f>
        <v>28655</v>
      </c>
      <c r="C10804" s="1">
        <v>0.144321872550117</v>
      </c>
      <c r="D10804" s="1">
        <v>0.119454344352955</v>
      </c>
      <c r="E10804" s="1">
        <v>0.24476729869490199</v>
      </c>
      <c r="F10804" s="1">
        <v>0.14433803383354599</v>
      </c>
    </row>
    <row r="10805" spans="1:6" x14ac:dyDescent="0.25">
      <c r="A10805" s="2" t="str">
        <f t="shared" si="387"/>
        <v>25860</v>
      </c>
      <c r="B10805" s="2" t="str">
        <f>"28650"</f>
        <v>28650</v>
      </c>
      <c r="C10805" s="1">
        <v>2.5271586963825698E-2</v>
      </c>
      <c r="D10805" s="1">
        <v>1.6283642620130202E-2</v>
      </c>
      <c r="E10805" s="1">
        <v>7.63358778625954E-3</v>
      </c>
      <c r="F10805" s="1">
        <v>2.41761556443707E-2</v>
      </c>
    </row>
    <row r="10806" spans="1:6" x14ac:dyDescent="0.25">
      <c r="A10806" s="2" t="str">
        <f t="shared" si="387"/>
        <v>25860</v>
      </c>
      <c r="B10806" s="2" t="str">
        <f>"28666"</f>
        <v>28666</v>
      </c>
      <c r="C10806" s="1">
        <v>0</v>
      </c>
      <c r="D10806" s="1">
        <v>0</v>
      </c>
      <c r="E10806" s="1">
        <v>2.4624476729869399E-4</v>
      </c>
      <c r="F10806" s="1">
        <v>5.0272729557851296E-6</v>
      </c>
    </row>
    <row r="10807" spans="1:6" x14ac:dyDescent="0.25">
      <c r="A10807" s="2" t="str">
        <f t="shared" si="387"/>
        <v>25860</v>
      </c>
      <c r="B10807" s="2" t="str">
        <f>"28661"</f>
        <v>28661</v>
      </c>
      <c r="C10807" s="1">
        <v>0</v>
      </c>
      <c r="D10807" s="1">
        <v>0</v>
      </c>
      <c r="E10807" s="1">
        <v>2.4624476729869399E-4</v>
      </c>
      <c r="F10807" s="1">
        <v>5.0272729557851296E-6</v>
      </c>
    </row>
    <row r="10808" spans="1:6" x14ac:dyDescent="0.25">
      <c r="A10808" s="2" t="str">
        <f t="shared" si="387"/>
        <v>25860</v>
      </c>
      <c r="B10808" s="2" t="str">
        <f>"28671"</f>
        <v>28671</v>
      </c>
      <c r="C10808" s="1">
        <v>0</v>
      </c>
      <c r="D10808" s="1">
        <v>0</v>
      </c>
      <c r="E10808" s="1">
        <v>2.4624476729869399E-4</v>
      </c>
      <c r="F10808" s="1">
        <v>5.0272729557851296E-6</v>
      </c>
    </row>
    <row r="10809" spans="1:6" x14ac:dyDescent="0.25">
      <c r="A10809" s="2" t="str">
        <f t="shared" si="387"/>
        <v>25860</v>
      </c>
      <c r="B10809" s="2" t="str">
        <f>"28092"</f>
        <v>28092</v>
      </c>
      <c r="C10809" s="1">
        <v>8.6795833799977601E-4</v>
      </c>
      <c r="D10809" s="1">
        <v>6.1447708000491496E-5</v>
      </c>
      <c r="E10809" s="1">
        <v>0</v>
      </c>
      <c r="F10809" s="1">
        <v>7.8425458110248001E-4</v>
      </c>
    </row>
    <row r="10810" spans="1:6" x14ac:dyDescent="0.25">
      <c r="A10810" s="2" t="str">
        <f t="shared" si="387"/>
        <v>25860</v>
      </c>
      <c r="B10810" s="2" t="str">
        <f>"28619"</f>
        <v>28619</v>
      </c>
      <c r="C10810" s="1">
        <v>5.5997312129017802E-6</v>
      </c>
      <c r="D10810" s="1">
        <v>0</v>
      </c>
      <c r="E10810" s="1">
        <v>2.4624476729869399E-4</v>
      </c>
      <c r="F10810" s="1">
        <v>1.00545459115702E-5</v>
      </c>
    </row>
    <row r="10811" spans="1:6" x14ac:dyDescent="0.25">
      <c r="A10811" s="2" t="str">
        <f t="shared" si="387"/>
        <v>25860</v>
      </c>
      <c r="B10811" s="2" t="str">
        <f>"28654"</f>
        <v>28654</v>
      </c>
      <c r="C10811" s="1">
        <v>5.3197446522566902E-4</v>
      </c>
      <c r="D10811" s="1">
        <v>6.1447708000491496E-5</v>
      </c>
      <c r="E10811" s="1">
        <v>2.4624476729869399E-4</v>
      </c>
      <c r="F10811" s="1">
        <v>4.87645476711158E-4</v>
      </c>
    </row>
    <row r="10812" spans="1:6" x14ac:dyDescent="0.25">
      <c r="A10812" s="2" t="str">
        <f t="shared" si="387"/>
        <v>25860</v>
      </c>
      <c r="B10812" s="2" t="str">
        <f>"28168"</f>
        <v>28168</v>
      </c>
      <c r="C10812" s="1">
        <v>9.2563556949266396E-3</v>
      </c>
      <c r="D10812" s="1">
        <v>2.5193560280201499E-3</v>
      </c>
      <c r="E10812" s="1">
        <v>4.9248953459738896E-4</v>
      </c>
      <c r="F10812" s="1">
        <v>8.5262549330115799E-3</v>
      </c>
    </row>
    <row r="10813" spans="1:6" x14ac:dyDescent="0.25">
      <c r="A10813" s="2" t="str">
        <f t="shared" si="387"/>
        <v>25860</v>
      </c>
      <c r="B10813" s="2" t="str">
        <f>"28761"</f>
        <v>28761</v>
      </c>
      <c r="C10813" s="1">
        <v>2.4694814648896801E-3</v>
      </c>
      <c r="D10813" s="1">
        <v>6.1447708000491501E-4</v>
      </c>
      <c r="E10813" s="1">
        <v>1.23122383649347E-3</v>
      </c>
      <c r="F10813" s="1">
        <v>2.2924364678380202E-3</v>
      </c>
    </row>
    <row r="10814" spans="1:6" x14ac:dyDescent="0.25">
      <c r="A10814" s="2" t="str">
        <f t="shared" si="387"/>
        <v>25860</v>
      </c>
      <c r="B10814" s="2" t="str">
        <f>"28613"</f>
        <v>28613</v>
      </c>
      <c r="C10814" s="1">
        <v>6.4016127225893102E-2</v>
      </c>
      <c r="D10814" s="1">
        <v>6.8391299004547101E-2</v>
      </c>
      <c r="E10814" s="1">
        <v>4.7032750554050699E-2</v>
      </c>
      <c r="F10814" s="1">
        <v>6.4027348364879402E-2</v>
      </c>
    </row>
    <row r="10815" spans="1:6" x14ac:dyDescent="0.25">
      <c r="A10815" s="2" t="str">
        <f t="shared" si="387"/>
        <v>25860</v>
      </c>
      <c r="B10815" s="2" t="str">
        <f>"28673"</f>
        <v>28673</v>
      </c>
      <c r="C10815" s="1">
        <v>1.9425467577556199E-2</v>
      </c>
      <c r="D10815" s="1">
        <v>4.3627872680348997E-3</v>
      </c>
      <c r="E10815" s="1">
        <v>1.4774686037921599E-3</v>
      </c>
      <c r="F10815" s="1">
        <v>1.7826709901213999E-2</v>
      </c>
    </row>
    <row r="10816" spans="1:6" x14ac:dyDescent="0.25">
      <c r="A10816" s="2" t="str">
        <f t="shared" si="387"/>
        <v>25860</v>
      </c>
      <c r="B10816" s="2" t="str">
        <f>"28606"</f>
        <v>28606</v>
      </c>
      <c r="C10816" s="1">
        <v>9.9115242468361502E-4</v>
      </c>
      <c r="D10816" s="1">
        <v>6.1447708000491496E-5</v>
      </c>
      <c r="E10816" s="1">
        <v>0</v>
      </c>
      <c r="F10816" s="1">
        <v>8.9485458612975296E-4</v>
      </c>
    </row>
    <row r="10817" spans="1:6" x14ac:dyDescent="0.25">
      <c r="A10817" s="2" t="str">
        <f t="shared" si="387"/>
        <v>25860</v>
      </c>
      <c r="B10817" s="2" t="str">
        <f>"28603"</f>
        <v>28603</v>
      </c>
      <c r="C10817" s="1">
        <v>1.3394557061260999E-2</v>
      </c>
      <c r="D10817" s="1">
        <v>7.9390438736635094E-2</v>
      </c>
      <c r="E10817" s="1">
        <v>9.8497906919477901E-4</v>
      </c>
      <c r="F10817" s="1">
        <v>1.8540582660935501E-2</v>
      </c>
    </row>
    <row r="10818" spans="1:6" x14ac:dyDescent="0.25">
      <c r="A10818" s="2" t="str">
        <f t="shared" si="387"/>
        <v>25860</v>
      </c>
      <c r="B10818" s="2" t="str">
        <f>"28678"</f>
        <v>28678</v>
      </c>
      <c r="C10818" s="1">
        <v>6.4340911636241397E-3</v>
      </c>
      <c r="D10818" s="1">
        <v>1.9048789480152299E-3</v>
      </c>
      <c r="E10818" s="1">
        <v>7.3873430189608398E-4</v>
      </c>
      <c r="F10818" s="1">
        <v>5.9472639066938098E-3</v>
      </c>
    </row>
    <row r="10819" spans="1:6" x14ac:dyDescent="0.25">
      <c r="A10819" s="2" t="str">
        <f t="shared" si="387"/>
        <v>25860</v>
      </c>
      <c r="B10819" s="2" t="str">
        <f>"28681"</f>
        <v>28681</v>
      </c>
      <c r="C10819" s="1">
        <v>7.2628513831336006E-2</v>
      </c>
      <c r="D10819" s="1">
        <v>5.95428290524763E-2</v>
      </c>
      <c r="E10819" s="1">
        <v>2.2654518591479898E-2</v>
      </c>
      <c r="F10819" s="1">
        <v>7.0537666842621194E-2</v>
      </c>
    </row>
    <row r="10820" spans="1:6" x14ac:dyDescent="0.25">
      <c r="A10820" s="2" t="str">
        <f t="shared" si="387"/>
        <v>25860</v>
      </c>
      <c r="B10820" s="2" t="str">
        <f>"28628"</f>
        <v>28628</v>
      </c>
      <c r="C10820" s="1">
        <v>0</v>
      </c>
      <c r="D10820" s="1">
        <v>0</v>
      </c>
      <c r="E10820" s="1">
        <v>2.4624476729869399E-4</v>
      </c>
      <c r="F10820" s="1">
        <v>5.0272729557851296E-6</v>
      </c>
    </row>
    <row r="10821" spans="1:6" x14ac:dyDescent="0.25">
      <c r="A10821" s="2" t="str">
        <f t="shared" si="387"/>
        <v>25860</v>
      </c>
      <c r="B10821" s="2" t="str">
        <f>"28638"</f>
        <v>28638</v>
      </c>
      <c r="C10821" s="1">
        <v>3.18064732892821E-2</v>
      </c>
      <c r="D10821" s="1">
        <v>2.1629593216172999E-2</v>
      </c>
      <c r="E10821" s="1">
        <v>4.1615365673479399E-2</v>
      </c>
      <c r="F10821" s="1">
        <v>3.1174119598823598E-2</v>
      </c>
    </row>
    <row r="10822" spans="1:6" x14ac:dyDescent="0.25">
      <c r="A10822" s="2" t="str">
        <f t="shared" si="387"/>
        <v>25860</v>
      </c>
      <c r="B10822" s="2" t="str">
        <f>"28624"</f>
        <v>28624</v>
      </c>
      <c r="C10822" s="1">
        <v>5.5997312129017802E-5</v>
      </c>
      <c r="D10822" s="1">
        <v>0</v>
      </c>
      <c r="E10822" s="1">
        <v>0</v>
      </c>
      <c r="F10822" s="1">
        <v>5.0272729557851301E-5</v>
      </c>
    </row>
    <row r="10823" spans="1:6" x14ac:dyDescent="0.25">
      <c r="A10823" s="2" t="str">
        <f t="shared" si="387"/>
        <v>25860</v>
      </c>
      <c r="B10823" s="2" t="str">
        <f>"28609"</f>
        <v>28609</v>
      </c>
      <c r="C10823" s="1">
        <v>1.5808041214021702E-2</v>
      </c>
      <c r="D10823" s="1">
        <v>3.6868624800294901E-3</v>
      </c>
      <c r="E10823" s="1">
        <v>1.9699581383895502E-3</v>
      </c>
      <c r="F10823" s="1">
        <v>1.45338461151748E-2</v>
      </c>
    </row>
    <row r="10824" spans="1:6" x14ac:dyDescent="0.25">
      <c r="A10824" s="2" t="str">
        <f t="shared" si="387"/>
        <v>25860</v>
      </c>
      <c r="B10824" s="2" t="str">
        <f>"28605"</f>
        <v>28605</v>
      </c>
      <c r="C10824" s="1">
        <v>7.7276290738044495E-4</v>
      </c>
      <c r="D10824" s="1">
        <v>1.2289541600098299E-4</v>
      </c>
      <c r="E10824" s="1">
        <v>7.3873430189608398E-4</v>
      </c>
      <c r="F10824" s="1">
        <v>7.1890003267727405E-4</v>
      </c>
    </row>
    <row r="10825" spans="1:6" x14ac:dyDescent="0.25">
      <c r="A10825" s="2" t="str">
        <f t="shared" si="387"/>
        <v>25860</v>
      </c>
      <c r="B10825" s="2" t="str">
        <f>"28657"</f>
        <v>28657</v>
      </c>
      <c r="C10825" s="1">
        <v>1.65192070780602E-3</v>
      </c>
      <c r="D10825" s="1">
        <v>6.1447708000491496E-5</v>
      </c>
      <c r="E10825" s="1">
        <v>0</v>
      </c>
      <c r="F10825" s="1">
        <v>1.48807279491239E-3</v>
      </c>
    </row>
    <row r="10826" spans="1:6" x14ac:dyDescent="0.25">
      <c r="A10826" s="2" t="str">
        <f t="shared" si="387"/>
        <v>25860</v>
      </c>
      <c r="B10826" s="2" t="str">
        <f>"28633"</f>
        <v>28633</v>
      </c>
      <c r="C10826" s="1">
        <v>0</v>
      </c>
      <c r="D10826" s="1">
        <v>0</v>
      </c>
      <c r="E10826" s="1">
        <v>7.3873430189608398E-4</v>
      </c>
      <c r="F10826" s="1">
        <v>1.50818188673554E-5</v>
      </c>
    </row>
    <row r="10827" spans="1:6" x14ac:dyDescent="0.25">
      <c r="A10827" s="2" t="str">
        <f t="shared" si="387"/>
        <v>25860</v>
      </c>
      <c r="B10827" s="2" t="str">
        <f>"28630"</f>
        <v>28630</v>
      </c>
      <c r="C10827" s="1">
        <v>5.1685519095083399E-2</v>
      </c>
      <c r="D10827" s="1">
        <v>3.5148088976281099E-2</v>
      </c>
      <c r="E10827" s="1">
        <v>5.2203890667323297E-2</v>
      </c>
      <c r="F10827" s="1">
        <v>5.0343111379232301E-2</v>
      </c>
    </row>
    <row r="10828" spans="1:6" x14ac:dyDescent="0.25">
      <c r="A10828" s="2" t="str">
        <f t="shared" si="387"/>
        <v>25860</v>
      </c>
      <c r="B10828" s="2" t="str">
        <f>"28625"</f>
        <v>28625</v>
      </c>
      <c r="C10828" s="1">
        <v>6.9436667039982005E-4</v>
      </c>
      <c r="D10828" s="1">
        <v>6.1447708000491496E-5</v>
      </c>
      <c r="E10828" s="1">
        <v>0</v>
      </c>
      <c r="F10828" s="1">
        <v>6.2840911947314104E-4</v>
      </c>
    </row>
    <row r="10829" spans="1:6" x14ac:dyDescent="0.25">
      <c r="A10829" s="2" t="str">
        <f t="shared" si="387"/>
        <v>25860</v>
      </c>
      <c r="B10829" s="2" t="str">
        <f>"28018"</f>
        <v>28018</v>
      </c>
      <c r="C10829" s="1">
        <v>2.7998656064508901E-5</v>
      </c>
      <c r="D10829" s="1">
        <v>0</v>
      </c>
      <c r="E10829" s="1">
        <v>0</v>
      </c>
      <c r="F10829" s="1">
        <v>2.51363647789256E-5</v>
      </c>
    </row>
    <row r="10830" spans="1:6" x14ac:dyDescent="0.25">
      <c r="A10830" s="2" t="str">
        <f t="shared" si="387"/>
        <v>25860</v>
      </c>
      <c r="B10830" s="2" t="str">
        <f>"28612"</f>
        <v>28612</v>
      </c>
      <c r="C10830" s="1">
        <v>3.0423339679695301E-2</v>
      </c>
      <c r="D10830" s="1">
        <v>8.5412314120683203E-3</v>
      </c>
      <c r="E10830" s="1">
        <v>1.89608470819995E-2</v>
      </c>
      <c r="F10830" s="1">
        <v>2.8399064927230201E-2</v>
      </c>
    </row>
    <row r="10831" spans="1:6" x14ac:dyDescent="0.25">
      <c r="A10831" s="2" t="str">
        <f t="shared" si="387"/>
        <v>25860</v>
      </c>
      <c r="B10831" s="2" t="str">
        <f>"28611"</f>
        <v>28611</v>
      </c>
      <c r="C10831" s="1">
        <v>2.0327024302833402E-3</v>
      </c>
      <c r="D10831" s="1">
        <v>7.3737249600589795E-4</v>
      </c>
      <c r="E10831" s="1">
        <v>2.4624476729869399E-4</v>
      </c>
      <c r="F10831" s="1">
        <v>1.89025463137521E-3</v>
      </c>
    </row>
    <row r="10832" spans="1:6" x14ac:dyDescent="0.25">
      <c r="A10832" s="2" t="str">
        <f t="shared" si="387"/>
        <v>25860</v>
      </c>
      <c r="B10832" s="2" t="str">
        <f>"28602"</f>
        <v>28602</v>
      </c>
      <c r="C10832" s="1">
        <v>7.4336431851271104E-2</v>
      </c>
      <c r="D10832" s="1">
        <v>0.16535578222932201</v>
      </c>
      <c r="E10832" s="1">
        <v>9.1603053435114504E-2</v>
      </c>
      <c r="F10832" s="1">
        <v>8.2135585551617499E-2</v>
      </c>
    </row>
    <row r="10833" spans="1:6" x14ac:dyDescent="0.25">
      <c r="A10833" s="2" t="str">
        <f t="shared" si="387"/>
        <v>25860</v>
      </c>
      <c r="B10833" s="2" t="str">
        <f>"28689"</f>
        <v>28689</v>
      </c>
      <c r="C10833" s="1">
        <v>7.2796505767723098E-5</v>
      </c>
      <c r="D10833" s="1">
        <v>6.1447708000491496E-5</v>
      </c>
      <c r="E10833" s="1">
        <v>0</v>
      </c>
      <c r="F10833" s="1">
        <v>7.0381821380991803E-5</v>
      </c>
    </row>
    <row r="10834" spans="1:6" x14ac:dyDescent="0.25">
      <c r="A10834" s="2" t="str">
        <f t="shared" si="387"/>
        <v>25860</v>
      </c>
      <c r="B10834" s="2" t="str">
        <f>"28690"</f>
        <v>28690</v>
      </c>
      <c r="C10834" s="1">
        <v>2.45212229812968E-2</v>
      </c>
      <c r="D10834" s="1">
        <v>1.9847609684158701E-2</v>
      </c>
      <c r="E10834" s="1">
        <v>2.51169662644668E-2</v>
      </c>
      <c r="F10834" s="1">
        <v>2.41510192795917E-2</v>
      </c>
    </row>
    <row r="10835" spans="1:6" x14ac:dyDescent="0.25">
      <c r="A10835" s="2" t="str">
        <f t="shared" si="387"/>
        <v>25860</v>
      </c>
      <c r="B10835" s="2" t="str">
        <f>"28647"</f>
        <v>28647</v>
      </c>
      <c r="C10835" s="1">
        <v>0</v>
      </c>
      <c r="D10835" s="1">
        <v>0</v>
      </c>
      <c r="E10835" s="1">
        <v>4.9248953459738896E-4</v>
      </c>
      <c r="F10835" s="1">
        <v>1.00545459115702E-5</v>
      </c>
    </row>
    <row r="10836" spans="1:6" x14ac:dyDescent="0.25">
      <c r="A10836" s="2" t="str">
        <f t="shared" si="387"/>
        <v>25860</v>
      </c>
      <c r="B10836" s="2" t="str">
        <f>"28601"</f>
        <v>28601</v>
      </c>
      <c r="C10836" s="1">
        <v>0.13752939858886701</v>
      </c>
      <c r="D10836" s="1">
        <v>0.13942484945311501</v>
      </c>
      <c r="E10836" s="1">
        <v>0.23319379463186399</v>
      </c>
      <c r="F10836" s="1">
        <v>0.13963753361988701</v>
      </c>
    </row>
    <row r="10837" spans="1:6" x14ac:dyDescent="0.25">
      <c r="A10837" s="2" t="str">
        <f t="shared" si="387"/>
        <v>25860</v>
      </c>
      <c r="B10837" s="2" t="str">
        <f>"28641"</f>
        <v>28641</v>
      </c>
      <c r="C10837" s="1">
        <v>0</v>
      </c>
      <c r="D10837" s="1">
        <v>6.1447708000491496E-5</v>
      </c>
      <c r="E10837" s="1">
        <v>2.4624476729869399E-4</v>
      </c>
      <c r="F10837" s="1">
        <v>1.00545459115702E-5</v>
      </c>
    </row>
    <row r="10838" spans="1:6" x14ac:dyDescent="0.25">
      <c r="A10838" s="2" t="str">
        <f t="shared" si="387"/>
        <v>25860</v>
      </c>
      <c r="B10838" s="2" t="str">
        <f>"28636"</f>
        <v>28636</v>
      </c>
      <c r="C10838" s="1">
        <v>1.22410124314032E-2</v>
      </c>
      <c r="D10838" s="1">
        <v>4.8543689320388302E-3</v>
      </c>
      <c r="E10838" s="1">
        <v>2.2162029056882501E-3</v>
      </c>
      <c r="F10838" s="1">
        <v>1.14320187014553E-2</v>
      </c>
    </row>
    <row r="10839" spans="1:6" x14ac:dyDescent="0.25">
      <c r="A10839" s="2" t="str">
        <f t="shared" si="387"/>
        <v>25860</v>
      </c>
      <c r="B10839" s="2" t="str">
        <f>"28090"</f>
        <v>28090</v>
      </c>
      <c r="C10839" s="1">
        <v>1.3439354910964199E-4</v>
      </c>
      <c r="D10839" s="1">
        <v>0</v>
      </c>
      <c r="E10839" s="1">
        <v>0</v>
      </c>
      <c r="F10839" s="1">
        <v>1.20654550938843E-4</v>
      </c>
    </row>
    <row r="10840" spans="1:6" x14ac:dyDescent="0.25">
      <c r="A10840" s="2" t="str">
        <f t="shared" ref="A10840:A10850" si="388">"14380"</f>
        <v>14380</v>
      </c>
      <c r="B10840" s="2" t="str">
        <f>"28605"</f>
        <v>28605</v>
      </c>
      <c r="C10840" s="1">
        <v>0.118860131340445</v>
      </c>
      <c r="D10840" s="1">
        <v>0.123510971786833</v>
      </c>
      <c r="E10840" s="1">
        <v>0.16159380188157099</v>
      </c>
      <c r="F10840" s="1">
        <v>0.121241914618369</v>
      </c>
    </row>
    <row r="10841" spans="1:6" x14ac:dyDescent="0.25">
      <c r="A10841" s="2" t="str">
        <f t="shared" si="388"/>
        <v>14380</v>
      </c>
      <c r="B10841" s="2" t="str">
        <f>"28692"</f>
        <v>28692</v>
      </c>
      <c r="C10841" s="1">
        <v>7.0038332392357197E-2</v>
      </c>
      <c r="D10841" s="1">
        <v>2.4764890282131601E-2</v>
      </c>
      <c r="E10841" s="1">
        <v>2.1029330381848298E-2</v>
      </c>
      <c r="F10841" s="1">
        <v>6.4010349288486396E-2</v>
      </c>
    </row>
    <row r="10842" spans="1:6" x14ac:dyDescent="0.25">
      <c r="A10842" s="2" t="str">
        <f t="shared" si="388"/>
        <v>14380</v>
      </c>
      <c r="B10842" s="2" t="str">
        <f>"28684"</f>
        <v>28684</v>
      </c>
      <c r="C10842" s="1">
        <v>1.5124951713071599E-2</v>
      </c>
      <c r="D10842" s="1">
        <v>1.2539184952978001E-3</v>
      </c>
      <c r="E10842" s="1">
        <v>0</v>
      </c>
      <c r="F10842" s="1">
        <v>1.32729624838292E-2</v>
      </c>
    </row>
    <row r="10843" spans="1:6" x14ac:dyDescent="0.25">
      <c r="A10843" s="2" t="str">
        <f t="shared" si="388"/>
        <v>14380</v>
      </c>
      <c r="B10843" s="2" t="str">
        <f>"28607"</f>
        <v>28607</v>
      </c>
      <c r="C10843" s="1">
        <v>0.56509077942531105</v>
      </c>
      <c r="D10843" s="1">
        <v>0.76050156739811903</v>
      </c>
      <c r="E10843" s="1">
        <v>0.68732706142778</v>
      </c>
      <c r="F10843" s="1">
        <v>0.58693402328589905</v>
      </c>
    </row>
    <row r="10844" spans="1:6" x14ac:dyDescent="0.25">
      <c r="A10844" s="2" t="str">
        <f t="shared" si="388"/>
        <v>14380</v>
      </c>
      <c r="B10844" s="2" t="str">
        <f>"28608"</f>
        <v>28608</v>
      </c>
      <c r="C10844" s="1">
        <v>0</v>
      </c>
      <c r="D10844" s="1">
        <v>1.8808777429467E-3</v>
      </c>
      <c r="E10844" s="1">
        <v>0</v>
      </c>
      <c r="F10844" s="1">
        <v>1.5523932729624799E-4</v>
      </c>
    </row>
    <row r="10845" spans="1:6" x14ac:dyDescent="0.25">
      <c r="A10845" s="2" t="str">
        <f t="shared" si="388"/>
        <v>14380</v>
      </c>
      <c r="B10845" s="2" t="str">
        <f>"28622"</f>
        <v>28622</v>
      </c>
      <c r="C10845" s="1">
        <v>2.08005229845778E-4</v>
      </c>
      <c r="D10845" s="1">
        <v>0</v>
      </c>
      <c r="E10845" s="1">
        <v>0</v>
      </c>
      <c r="F10845" s="1">
        <v>1.8111254851228901E-4</v>
      </c>
    </row>
    <row r="10846" spans="1:6" x14ac:dyDescent="0.25">
      <c r="A10846" s="2" t="str">
        <f t="shared" si="388"/>
        <v>14380</v>
      </c>
      <c r="B10846" s="2" t="str">
        <f>"28698"</f>
        <v>28698</v>
      </c>
      <c r="C10846" s="1">
        <v>3.6074049861824997E-2</v>
      </c>
      <c r="D10846" s="1">
        <v>1.41065830721003E-2</v>
      </c>
      <c r="E10846" s="1">
        <v>4.4272274488101797E-3</v>
      </c>
      <c r="F10846" s="1">
        <v>3.2781371280724399E-2</v>
      </c>
    </row>
    <row r="10847" spans="1:6" x14ac:dyDescent="0.25">
      <c r="A10847" s="2" t="str">
        <f t="shared" si="388"/>
        <v>14380</v>
      </c>
      <c r="B10847" s="2" t="str">
        <f>"28679"</f>
        <v>28679</v>
      </c>
      <c r="C10847" s="1">
        <v>3.2032805396249898E-2</v>
      </c>
      <c r="D10847" s="1">
        <v>1.0031347962382401E-2</v>
      </c>
      <c r="E10847" s="1">
        <v>4.9806308799114499E-3</v>
      </c>
      <c r="F10847" s="1">
        <v>2.89521345407503E-2</v>
      </c>
    </row>
    <row r="10848" spans="1:6" x14ac:dyDescent="0.25">
      <c r="A10848" s="2" t="str">
        <f t="shared" si="388"/>
        <v>14380</v>
      </c>
      <c r="B10848" s="2" t="str">
        <f>"28604"</f>
        <v>28604</v>
      </c>
      <c r="C10848" s="1">
        <v>0.118860131340445</v>
      </c>
      <c r="D10848" s="1">
        <v>3.9184952978056402E-2</v>
      </c>
      <c r="E10848" s="1">
        <v>0.11123408965135501</v>
      </c>
      <c r="F10848" s="1">
        <v>0.11192755498059501</v>
      </c>
    </row>
    <row r="10849" spans="1:6" x14ac:dyDescent="0.25">
      <c r="A10849" s="2" t="str">
        <f t="shared" si="388"/>
        <v>14380</v>
      </c>
      <c r="B10849" s="2" t="str">
        <f>"28618"</f>
        <v>28618</v>
      </c>
      <c r="C10849" s="1">
        <v>4.2611357085549501E-2</v>
      </c>
      <c r="D10849" s="1">
        <v>2.4764890282131601E-2</v>
      </c>
      <c r="E10849" s="1">
        <v>9.4078583287216296E-3</v>
      </c>
      <c r="F10849" s="1">
        <v>3.95860284605433E-2</v>
      </c>
    </row>
    <row r="10850" spans="1:6" x14ac:dyDescent="0.25">
      <c r="A10850" s="2" t="str">
        <f t="shared" si="388"/>
        <v>14380</v>
      </c>
      <c r="B10850" s="2" t="str">
        <f>"28645"</f>
        <v>28645</v>
      </c>
      <c r="C10850" s="1">
        <v>1.09945621489911E-3</v>
      </c>
      <c r="D10850" s="1">
        <v>0</v>
      </c>
      <c r="E10850" s="1">
        <v>0</v>
      </c>
      <c r="F10850" s="1">
        <v>9.5730918499353096E-4</v>
      </c>
    </row>
    <row r="10851" spans="1:6" x14ac:dyDescent="0.25">
      <c r="A10851" s="2" t="str">
        <f t="shared" ref="A10851:A10862" si="389">"24940"</f>
        <v>24940</v>
      </c>
      <c r="B10851" s="2" t="str">
        <f>"29648"</f>
        <v>29648</v>
      </c>
      <c r="C10851" s="1">
        <v>3.0178858187053501E-2</v>
      </c>
      <c r="D10851" s="1">
        <v>0.126093088857545</v>
      </c>
      <c r="E10851" s="1">
        <v>2.5220680958385798E-3</v>
      </c>
      <c r="F10851" s="1">
        <v>3.80413288510974E-2</v>
      </c>
    </row>
    <row r="10852" spans="1:6" x14ac:dyDescent="0.25">
      <c r="A10852" s="2" t="str">
        <f t="shared" si="389"/>
        <v>24940</v>
      </c>
      <c r="B10852" s="2" t="str">
        <f>"29666"</f>
        <v>29666</v>
      </c>
      <c r="C10852" s="1">
        <v>9.5326430034885598E-2</v>
      </c>
      <c r="D10852" s="1">
        <v>4.2313117066290498E-2</v>
      </c>
      <c r="E10852" s="1">
        <v>3.2786885245901599E-2</v>
      </c>
      <c r="F10852" s="1">
        <v>8.9455210599169402E-2</v>
      </c>
    </row>
    <row r="10853" spans="1:6" x14ac:dyDescent="0.25">
      <c r="A10853" s="2" t="str">
        <f t="shared" si="389"/>
        <v>24940</v>
      </c>
      <c r="B10853" s="2" t="str">
        <f>"29647"</f>
        <v>29647</v>
      </c>
      <c r="C10853" s="1">
        <v>0</v>
      </c>
      <c r="D10853" s="1">
        <v>5.6417489421720698E-4</v>
      </c>
      <c r="E10853" s="1">
        <v>0</v>
      </c>
      <c r="F10853" s="1">
        <v>4.9436424757761501E-5</v>
      </c>
    </row>
    <row r="10854" spans="1:6" x14ac:dyDescent="0.25">
      <c r="A10854" s="2" t="str">
        <f t="shared" si="389"/>
        <v>24940</v>
      </c>
      <c r="B10854" s="2" t="str">
        <f>"29653"</f>
        <v>29653</v>
      </c>
      <c r="C10854" s="1">
        <v>6.2434243313583201E-2</v>
      </c>
      <c r="D10854" s="1">
        <v>2.0592383638928E-2</v>
      </c>
      <c r="E10854" s="1">
        <v>3.7831021437578802E-3</v>
      </c>
      <c r="F10854" s="1">
        <v>5.7618153055170998E-2</v>
      </c>
    </row>
    <row r="10855" spans="1:6" x14ac:dyDescent="0.25">
      <c r="A10855" s="2" t="str">
        <f t="shared" si="389"/>
        <v>24940</v>
      </c>
      <c r="B10855" s="2" t="str">
        <f>"29695"</f>
        <v>29695</v>
      </c>
      <c r="C10855" s="1">
        <v>0</v>
      </c>
      <c r="D10855" s="1">
        <v>2.82087447108603E-4</v>
      </c>
      <c r="E10855" s="1">
        <v>0</v>
      </c>
      <c r="F10855" s="1">
        <v>2.47182123788807E-5</v>
      </c>
    </row>
    <row r="10856" spans="1:6" x14ac:dyDescent="0.25">
      <c r="A10856" s="2" t="str">
        <f t="shared" si="389"/>
        <v>24940</v>
      </c>
      <c r="B10856" s="2" t="str">
        <f>"29848"</f>
        <v>29848</v>
      </c>
      <c r="C10856" s="1">
        <v>9.2197796112741502E-3</v>
      </c>
      <c r="D10856" s="1">
        <v>2.5387870239774301E-3</v>
      </c>
      <c r="E10856" s="1">
        <v>2.5220680958385798E-3</v>
      </c>
      <c r="F10856" s="1">
        <v>8.5030650583349798E-3</v>
      </c>
    </row>
    <row r="10857" spans="1:6" x14ac:dyDescent="0.25">
      <c r="A10857" s="2" t="str">
        <f t="shared" si="389"/>
        <v>24940</v>
      </c>
      <c r="B10857" s="2" t="str">
        <f>"29638"</f>
        <v>29638</v>
      </c>
      <c r="C10857" s="1">
        <v>6.7002602580430804E-3</v>
      </c>
      <c r="D10857" s="1">
        <v>5.6417489421720698E-4</v>
      </c>
      <c r="E10857" s="1">
        <v>0</v>
      </c>
      <c r="F10857" s="1">
        <v>6.0312438204469E-3</v>
      </c>
    </row>
    <row r="10858" spans="1:6" x14ac:dyDescent="0.25">
      <c r="A10858" s="2" t="str">
        <f t="shared" si="389"/>
        <v>24940</v>
      </c>
      <c r="B10858" s="2" t="str">
        <f>"29649"</f>
        <v>29649</v>
      </c>
      <c r="C10858" s="1">
        <v>0.38980563707846499</v>
      </c>
      <c r="D10858" s="1">
        <v>0.43610719322990099</v>
      </c>
      <c r="E10858" s="1">
        <v>0.59268600252206805</v>
      </c>
      <c r="F10858" s="1">
        <v>0.397839628238085</v>
      </c>
    </row>
    <row r="10859" spans="1:6" x14ac:dyDescent="0.25">
      <c r="A10859" s="2" t="str">
        <f t="shared" si="389"/>
        <v>24940</v>
      </c>
      <c r="B10859" s="2" t="str">
        <f>"29646"</f>
        <v>29646</v>
      </c>
      <c r="C10859" s="1">
        <v>0.35190209867656003</v>
      </c>
      <c r="D10859" s="1">
        <v>0.33201692524682602</v>
      </c>
      <c r="E10859" s="1">
        <v>0.35308953341740201</v>
      </c>
      <c r="F10859" s="1">
        <v>0.35018291477160302</v>
      </c>
    </row>
    <row r="10860" spans="1:6" x14ac:dyDescent="0.25">
      <c r="A10860" s="2" t="str">
        <f t="shared" si="389"/>
        <v>24940</v>
      </c>
      <c r="B10860" s="2" t="str">
        <f>"29138"</f>
        <v>29138</v>
      </c>
      <c r="C10860" s="1">
        <v>2.5195193532310698E-3</v>
      </c>
      <c r="D10860" s="1">
        <v>8.4626234132581101E-4</v>
      </c>
      <c r="E10860" s="1">
        <v>0</v>
      </c>
      <c r="F10860" s="1">
        <v>2.3235119636147899E-3</v>
      </c>
    </row>
    <row r="10861" spans="1:6" x14ac:dyDescent="0.25">
      <c r="A10861" s="2" t="str">
        <f t="shared" si="389"/>
        <v>24940</v>
      </c>
      <c r="B10861" s="2" t="str">
        <f>"29692"</f>
        <v>29692</v>
      </c>
      <c r="C10861" s="1">
        <v>3.10648430145633E-2</v>
      </c>
      <c r="D10861" s="1">
        <v>3.4696755994358203E-2</v>
      </c>
      <c r="E10861" s="1">
        <v>1.26103404791929E-2</v>
      </c>
      <c r="F10861" s="1">
        <v>3.1021356535495301E-2</v>
      </c>
    </row>
    <row r="10862" spans="1:6" x14ac:dyDescent="0.25">
      <c r="A10862" s="2" t="str">
        <f t="shared" si="389"/>
        <v>24940</v>
      </c>
      <c r="B10862" s="2" t="str">
        <f>"29819"</f>
        <v>29819</v>
      </c>
      <c r="C10862" s="1">
        <v>2.0848330472340599E-2</v>
      </c>
      <c r="D10862" s="1">
        <v>3.3850493653032401E-3</v>
      </c>
      <c r="E10862" s="1">
        <v>0</v>
      </c>
      <c r="F10862" s="1">
        <v>1.8909432469843699E-2</v>
      </c>
    </row>
    <row r="10863" spans="1:6" x14ac:dyDescent="0.25">
      <c r="A10863" s="2" t="str">
        <f t="shared" ref="A10863:A10869" si="390">"13500"</f>
        <v>13500</v>
      </c>
      <c r="B10863" s="2" t="str">
        <f>"29594"</f>
        <v>29594</v>
      </c>
      <c r="C10863" s="1">
        <v>7.4261102034754099E-5</v>
      </c>
      <c r="D10863" s="1">
        <v>1.0050251256281399E-3</v>
      </c>
      <c r="E10863" s="1">
        <v>0</v>
      </c>
      <c r="F10863" s="1">
        <v>1.36780194227875E-4</v>
      </c>
    </row>
    <row r="10864" spans="1:6" x14ac:dyDescent="0.25">
      <c r="A10864" s="2" t="str">
        <f t="shared" si="390"/>
        <v>13500</v>
      </c>
      <c r="B10864" s="2" t="str">
        <f>"29570"</f>
        <v>29570</v>
      </c>
      <c r="C10864" s="1">
        <v>0.15201247586514099</v>
      </c>
      <c r="D10864" s="1">
        <v>0.16582914572864299</v>
      </c>
      <c r="E10864" s="1">
        <v>0.12422360248447201</v>
      </c>
      <c r="F10864" s="1">
        <v>0.152646696758309</v>
      </c>
    </row>
    <row r="10865" spans="1:6" x14ac:dyDescent="0.25">
      <c r="A10865" s="2" t="str">
        <f t="shared" si="390"/>
        <v>13500</v>
      </c>
      <c r="B10865" s="2" t="str">
        <f>"29516"</f>
        <v>29516</v>
      </c>
      <c r="C10865" s="1">
        <v>3.0001485222040599E-2</v>
      </c>
      <c r="D10865" s="1">
        <v>1.2060301507537599E-2</v>
      </c>
      <c r="E10865" s="1">
        <v>0</v>
      </c>
      <c r="F10865" s="1">
        <v>2.8450280399398099E-2</v>
      </c>
    </row>
    <row r="10866" spans="1:6" x14ac:dyDescent="0.25">
      <c r="A10866" s="2" t="str">
        <f t="shared" si="390"/>
        <v>13500</v>
      </c>
      <c r="B10866" s="2" t="str">
        <f>"29565"</f>
        <v>29565</v>
      </c>
      <c r="C10866" s="1">
        <v>5.5695826526065599E-3</v>
      </c>
      <c r="D10866" s="1">
        <v>0</v>
      </c>
      <c r="E10866" s="1">
        <v>0</v>
      </c>
      <c r="F10866" s="1">
        <v>5.1292572835453399E-3</v>
      </c>
    </row>
    <row r="10867" spans="1:6" x14ac:dyDescent="0.25">
      <c r="A10867" s="2" t="str">
        <f t="shared" si="390"/>
        <v>13500</v>
      </c>
      <c r="B10867" s="2" t="str">
        <f>"29525"</f>
        <v>29525</v>
      </c>
      <c r="C10867" s="1">
        <v>4.85667607307292E-2</v>
      </c>
      <c r="D10867" s="1">
        <v>1.4070351758793899E-2</v>
      </c>
      <c r="E10867" s="1">
        <v>1.2422360248447201E-2</v>
      </c>
      <c r="F10867" s="1">
        <v>4.5821365066338299E-2</v>
      </c>
    </row>
    <row r="10868" spans="1:6" x14ac:dyDescent="0.25">
      <c r="A10868" s="2" t="str">
        <f t="shared" si="390"/>
        <v>13500</v>
      </c>
      <c r="B10868" s="2" t="str">
        <f>"29596"</f>
        <v>29596</v>
      </c>
      <c r="C10868" s="1">
        <v>0.103074409624238</v>
      </c>
      <c r="D10868" s="1">
        <v>7.8391959798994895E-2</v>
      </c>
      <c r="E10868" s="1">
        <v>2.4844720496894401E-2</v>
      </c>
      <c r="F10868" s="1">
        <v>0.100533442757488</v>
      </c>
    </row>
    <row r="10869" spans="1:6" x14ac:dyDescent="0.25">
      <c r="A10869" s="2" t="str">
        <f t="shared" si="390"/>
        <v>13500</v>
      </c>
      <c r="B10869" s="2" t="str">
        <f>"29512"</f>
        <v>29512</v>
      </c>
      <c r="C10869" s="1">
        <v>0.66070102480320803</v>
      </c>
      <c r="D10869" s="1">
        <v>0.72864321608040195</v>
      </c>
      <c r="E10869" s="1">
        <v>0.83850931677018603</v>
      </c>
      <c r="F10869" s="1">
        <v>0.66728217754069197</v>
      </c>
    </row>
    <row r="10870" spans="1:6" x14ac:dyDescent="0.25">
      <c r="A10870" s="2" t="str">
        <f t="shared" ref="A10870:A10910" si="391">"11180"</f>
        <v>11180</v>
      </c>
      <c r="B10870" s="2" t="str">
        <f>"50276"</f>
        <v>50276</v>
      </c>
      <c r="C10870" s="1">
        <v>4.1756084576866099E-3</v>
      </c>
      <c r="D10870" s="1">
        <v>7.6599004212945198E-4</v>
      </c>
      <c r="E10870" s="1">
        <v>5.1907604464053903E-4</v>
      </c>
      <c r="F10870" s="1">
        <v>3.7146243459659401E-3</v>
      </c>
    </row>
    <row r="10871" spans="1:6" x14ac:dyDescent="0.25">
      <c r="A10871" s="2" t="str">
        <f t="shared" si="391"/>
        <v>11180</v>
      </c>
      <c r="B10871" s="2" t="str">
        <f>"50040"</f>
        <v>50040</v>
      </c>
      <c r="C10871" s="1">
        <v>1.91312738101179E-3</v>
      </c>
      <c r="D10871" s="1">
        <v>5.7449253159708895E-4</v>
      </c>
      <c r="E10871" s="1">
        <v>5.1907604464053903E-4</v>
      </c>
      <c r="F10871" s="1">
        <v>1.7344549475327301E-3</v>
      </c>
    </row>
    <row r="10872" spans="1:6" x14ac:dyDescent="0.25">
      <c r="A10872" s="2" t="str">
        <f t="shared" si="391"/>
        <v>11180</v>
      </c>
      <c r="B10872" s="2" t="str">
        <f>"50056"</f>
        <v>50056</v>
      </c>
      <c r="C10872" s="1">
        <v>1.0463974979621E-2</v>
      </c>
      <c r="D10872" s="1">
        <v>4.4044427422443499E-3</v>
      </c>
      <c r="E10872" s="1">
        <v>3.1144562678432301E-3</v>
      </c>
      <c r="F10872" s="1">
        <v>9.5973173763478099E-3</v>
      </c>
    </row>
    <row r="10873" spans="1:6" x14ac:dyDescent="0.25">
      <c r="A10873" s="2" t="str">
        <f t="shared" si="391"/>
        <v>11180</v>
      </c>
      <c r="B10873" s="2" t="str">
        <f>"50064"</f>
        <v>50064</v>
      </c>
      <c r="C10873" s="1">
        <v>6.6543561078671103E-5</v>
      </c>
      <c r="D10873" s="1">
        <v>0</v>
      </c>
      <c r="E10873" s="1">
        <v>0</v>
      </c>
      <c r="F10873" s="1">
        <v>5.7815164917757898E-5</v>
      </c>
    </row>
    <row r="10874" spans="1:6" x14ac:dyDescent="0.25">
      <c r="A10874" s="2" t="str">
        <f t="shared" si="391"/>
        <v>11180</v>
      </c>
      <c r="B10874" s="2" t="str">
        <f>"50107"</f>
        <v>50107</v>
      </c>
      <c r="C10874" s="1">
        <v>2.82810134584352E-4</v>
      </c>
      <c r="D10874" s="1">
        <v>0</v>
      </c>
      <c r="E10874" s="1">
        <v>0</v>
      </c>
      <c r="F10874" s="1">
        <v>2.45714450900471E-4</v>
      </c>
    </row>
    <row r="10875" spans="1:6" x14ac:dyDescent="0.25">
      <c r="A10875" s="2" t="str">
        <f t="shared" si="391"/>
        <v>11180</v>
      </c>
      <c r="B10875" s="2" t="str">
        <f>"50014"</f>
        <v>50014</v>
      </c>
      <c r="C10875" s="1">
        <v>0.24584518640514999</v>
      </c>
      <c r="D10875" s="1">
        <v>0.10647261585599301</v>
      </c>
      <c r="E10875" s="1">
        <v>0.30080456786919202</v>
      </c>
      <c r="F10875" s="1">
        <v>0.23838637874714499</v>
      </c>
    </row>
    <row r="10876" spans="1:6" x14ac:dyDescent="0.25">
      <c r="A10876" s="2" t="str">
        <f t="shared" si="391"/>
        <v>11180</v>
      </c>
      <c r="B10876" s="2" t="str">
        <f>"50230"</f>
        <v>50230</v>
      </c>
      <c r="C10876" s="1">
        <v>6.6543561078671103E-5</v>
      </c>
      <c r="D10876" s="1">
        <v>0</v>
      </c>
      <c r="E10876" s="1">
        <v>0</v>
      </c>
      <c r="F10876" s="1">
        <v>5.7815164917757898E-5</v>
      </c>
    </row>
    <row r="10877" spans="1:6" x14ac:dyDescent="0.25">
      <c r="A10877" s="2" t="str">
        <f t="shared" si="391"/>
        <v>11180</v>
      </c>
      <c r="B10877" s="2" t="str">
        <f>"50220"</f>
        <v>50220</v>
      </c>
      <c r="C10877" s="1">
        <v>3.2606344928548798E-3</v>
      </c>
      <c r="D10877" s="1">
        <v>5.7449253159708895E-4</v>
      </c>
      <c r="E10877" s="1">
        <v>0</v>
      </c>
      <c r="F10877" s="1">
        <v>2.8763044546584499E-3</v>
      </c>
    </row>
    <row r="10878" spans="1:6" x14ac:dyDescent="0.25">
      <c r="A10878" s="2" t="str">
        <f t="shared" si="391"/>
        <v>11180</v>
      </c>
      <c r="B10878" s="2" t="str">
        <f>"50154"</f>
        <v>50154</v>
      </c>
      <c r="C10878" s="1">
        <v>3.5933522982482401E-3</v>
      </c>
      <c r="D10878" s="1">
        <v>0</v>
      </c>
      <c r="E10878" s="1">
        <v>7.7861406696080903E-4</v>
      </c>
      <c r="F10878" s="1">
        <v>3.1653802792472401E-3</v>
      </c>
    </row>
    <row r="10879" spans="1:6" x14ac:dyDescent="0.25">
      <c r="A10879" s="2" t="str">
        <f t="shared" si="391"/>
        <v>11180</v>
      </c>
      <c r="B10879" s="2" t="str">
        <f>"50010"</f>
        <v>50010</v>
      </c>
      <c r="C10879" s="1">
        <v>0.30209113140689697</v>
      </c>
      <c r="D10879" s="1">
        <v>0.43412485637686699</v>
      </c>
      <c r="E10879" s="1">
        <v>0.45107708279262898</v>
      </c>
      <c r="F10879" s="1">
        <v>0.32035382880929603</v>
      </c>
    </row>
    <row r="10880" spans="1:6" x14ac:dyDescent="0.25">
      <c r="A10880" s="2" t="str">
        <f t="shared" si="391"/>
        <v>11180</v>
      </c>
      <c r="B10880" s="2" t="str">
        <f>"50122"</f>
        <v>50122</v>
      </c>
      <c r="C10880" s="1">
        <v>4.9907670809003297E-5</v>
      </c>
      <c r="D10880" s="1">
        <v>1.9149751053236299E-4</v>
      </c>
      <c r="E10880" s="1">
        <v>0</v>
      </c>
      <c r="F10880" s="1">
        <v>5.7815164917757898E-5</v>
      </c>
    </row>
    <row r="10881" spans="1:6" x14ac:dyDescent="0.25">
      <c r="A10881" s="2" t="str">
        <f t="shared" si="391"/>
        <v>11180</v>
      </c>
      <c r="B10881" s="2" t="str">
        <f>"50124"</f>
        <v>50124</v>
      </c>
      <c r="C10881" s="1">
        <v>2.9994510156211001E-2</v>
      </c>
      <c r="D10881" s="1">
        <v>1.7043278437380301E-2</v>
      </c>
      <c r="E10881" s="1">
        <v>1.40150532052945E-2</v>
      </c>
      <c r="F10881" s="1">
        <v>2.8127077732489202E-2</v>
      </c>
    </row>
    <row r="10882" spans="1:6" x14ac:dyDescent="0.25">
      <c r="A10882" s="2" t="str">
        <f t="shared" si="391"/>
        <v>11180</v>
      </c>
      <c r="B10882" s="2" t="str">
        <f>"50278"</f>
        <v>50278</v>
      </c>
      <c r="C10882" s="1">
        <v>6.4879972051704298E-3</v>
      </c>
      <c r="D10882" s="1">
        <v>2.1064726158559902E-3</v>
      </c>
      <c r="E10882" s="1">
        <v>1.8167661562418799E-3</v>
      </c>
      <c r="F10882" s="1">
        <v>5.8971468216112996E-3</v>
      </c>
    </row>
    <row r="10883" spans="1:6" x14ac:dyDescent="0.25">
      <c r="A10883" s="2" t="str">
        <f t="shared" si="391"/>
        <v>11180</v>
      </c>
      <c r="B10883" s="2" t="str">
        <f>"50012"</f>
        <v>50012</v>
      </c>
      <c r="C10883" s="1">
        <v>0</v>
      </c>
      <c r="D10883" s="1">
        <v>1.1489850631941701E-3</v>
      </c>
      <c r="E10883" s="1">
        <v>2.5953802232026903E-4</v>
      </c>
      <c r="F10883" s="1">
        <v>1.0117653860607599E-4</v>
      </c>
    </row>
    <row r="10884" spans="1:6" x14ac:dyDescent="0.25">
      <c r="A10884" s="2" t="str">
        <f t="shared" si="391"/>
        <v>11180</v>
      </c>
      <c r="B10884" s="2" t="str">
        <f>"50011"</f>
        <v>50011</v>
      </c>
      <c r="C10884" s="1">
        <v>1.6635890269667701E-5</v>
      </c>
      <c r="D10884" s="1">
        <v>0.144772117962466</v>
      </c>
      <c r="E10884" s="1">
        <v>1.47936672722553E-2</v>
      </c>
      <c r="F10884" s="1">
        <v>1.1765386060763701E-2</v>
      </c>
    </row>
    <row r="10885" spans="1:6" x14ac:dyDescent="0.25">
      <c r="A10885" s="2" t="str">
        <f t="shared" si="391"/>
        <v>11180</v>
      </c>
      <c r="B10885" s="2" t="str">
        <f>"50239"</f>
        <v>50239</v>
      </c>
      <c r="C10885" s="1">
        <v>1.4972301242701001E-4</v>
      </c>
      <c r="D10885" s="1">
        <v>0</v>
      </c>
      <c r="E10885" s="1">
        <v>0</v>
      </c>
      <c r="F10885" s="1">
        <v>1.30084121064955E-4</v>
      </c>
    </row>
    <row r="10886" spans="1:6" x14ac:dyDescent="0.25">
      <c r="A10886" s="2" t="str">
        <f t="shared" si="391"/>
        <v>11180</v>
      </c>
      <c r="B10886" s="2" t="str">
        <f>"50236"</f>
        <v>50236</v>
      </c>
      <c r="C10886" s="1">
        <v>1.17449385303854E-2</v>
      </c>
      <c r="D10886" s="1">
        <v>1.1489850631941701E-3</v>
      </c>
      <c r="E10886" s="1">
        <v>3.6335323124837698E-3</v>
      </c>
      <c r="F10886" s="1">
        <v>1.0493452432573E-2</v>
      </c>
    </row>
    <row r="10887" spans="1:6" x14ac:dyDescent="0.25">
      <c r="A10887" s="2" t="str">
        <f t="shared" si="391"/>
        <v>11180</v>
      </c>
      <c r="B10887" s="2" t="str">
        <f>"50223"</f>
        <v>50223</v>
      </c>
      <c r="C10887" s="1">
        <v>3.1940909317762101E-3</v>
      </c>
      <c r="D10887" s="1">
        <v>1.9149751053236299E-4</v>
      </c>
      <c r="E10887" s="1">
        <v>7.7861406696080903E-4</v>
      </c>
      <c r="F10887" s="1">
        <v>2.83294308097013E-3</v>
      </c>
    </row>
    <row r="10888" spans="1:6" x14ac:dyDescent="0.25">
      <c r="A10888" s="2" t="str">
        <f t="shared" si="391"/>
        <v>11180</v>
      </c>
      <c r="B10888" s="2" t="str">
        <f>"50105"</f>
        <v>50105</v>
      </c>
      <c r="C10888" s="1">
        <v>8.8170218429239194E-3</v>
      </c>
      <c r="D10888" s="1">
        <v>2.6809651474530801E-3</v>
      </c>
      <c r="E10888" s="1">
        <v>5.9693745133661998E-3</v>
      </c>
      <c r="F10888" s="1">
        <v>8.1952996270921799E-3</v>
      </c>
    </row>
    <row r="10889" spans="1:6" x14ac:dyDescent="0.25">
      <c r="A10889" s="2" t="str">
        <f t="shared" si="391"/>
        <v>11180</v>
      </c>
      <c r="B10889" s="2" t="str">
        <f>"50031"</f>
        <v>50031</v>
      </c>
      <c r="C10889" s="1">
        <v>2.82810134584352E-4</v>
      </c>
      <c r="D10889" s="1">
        <v>1.9149751053236299E-4</v>
      </c>
      <c r="E10889" s="1">
        <v>2.5953802232026903E-4</v>
      </c>
      <c r="F10889" s="1">
        <v>2.7462203335934998E-4</v>
      </c>
    </row>
    <row r="10890" spans="1:6" x14ac:dyDescent="0.25">
      <c r="A10890" s="2" t="str">
        <f t="shared" si="391"/>
        <v>11180</v>
      </c>
      <c r="B10890" s="2" t="str">
        <f>"50055"</f>
        <v>50055</v>
      </c>
      <c r="C10890" s="1">
        <v>6.5379048759794302E-3</v>
      </c>
      <c r="D10890" s="1">
        <v>3.8299502106472599E-4</v>
      </c>
      <c r="E10890" s="1">
        <v>3.8930703348040402E-3</v>
      </c>
      <c r="F10890" s="1">
        <v>5.9260544040701801E-3</v>
      </c>
    </row>
    <row r="10891" spans="1:6" x14ac:dyDescent="0.25">
      <c r="A10891" s="2" t="str">
        <f t="shared" si="391"/>
        <v>11180</v>
      </c>
      <c r="B10891" s="2" t="str">
        <f>"50046"</f>
        <v>50046</v>
      </c>
      <c r="C10891" s="1">
        <v>9.7153599174859794E-3</v>
      </c>
      <c r="D10891" s="1">
        <v>2.4894676369207201E-3</v>
      </c>
      <c r="E10891" s="1">
        <v>1.8167661562418799E-3</v>
      </c>
      <c r="F10891" s="1">
        <v>8.73008990258144E-3</v>
      </c>
    </row>
    <row r="10892" spans="1:6" x14ac:dyDescent="0.25">
      <c r="A10892" s="2" t="str">
        <f t="shared" si="391"/>
        <v>11180</v>
      </c>
      <c r="B10892" s="2" t="str">
        <f>"50249"</f>
        <v>50249</v>
      </c>
      <c r="C10892" s="1">
        <v>5.1571259835970096E-4</v>
      </c>
      <c r="D10892" s="1">
        <v>0</v>
      </c>
      <c r="E10892" s="1">
        <v>0</v>
      </c>
      <c r="F10892" s="1">
        <v>4.4806752811262299E-4</v>
      </c>
    </row>
    <row r="10893" spans="1:6" x14ac:dyDescent="0.25">
      <c r="A10893" s="2" t="str">
        <f t="shared" si="391"/>
        <v>11180</v>
      </c>
      <c r="B10893" s="2" t="str">
        <f>"50243"</f>
        <v>50243</v>
      </c>
      <c r="C10893" s="1">
        <v>1.0646969772587301E-3</v>
      </c>
      <c r="D10893" s="1">
        <v>0</v>
      </c>
      <c r="E10893" s="1">
        <v>0</v>
      </c>
      <c r="F10893" s="1">
        <v>9.2504263868412604E-4</v>
      </c>
    </row>
    <row r="10894" spans="1:6" x14ac:dyDescent="0.25">
      <c r="A10894" s="2" t="str">
        <f t="shared" si="391"/>
        <v>11180</v>
      </c>
      <c r="B10894" s="2" t="str">
        <f>"50039"</f>
        <v>50039</v>
      </c>
      <c r="C10894" s="1">
        <v>9.9815341618006594E-5</v>
      </c>
      <c r="D10894" s="1">
        <v>0</v>
      </c>
      <c r="E10894" s="1">
        <v>0</v>
      </c>
      <c r="F10894" s="1">
        <v>8.6722747376636802E-5</v>
      </c>
    </row>
    <row r="10895" spans="1:6" x14ac:dyDescent="0.25">
      <c r="A10895" s="2" t="str">
        <f t="shared" si="391"/>
        <v>11180</v>
      </c>
      <c r="B10895" s="2" t="str">
        <f>"50036"</f>
        <v>50036</v>
      </c>
      <c r="C10895" s="1">
        <v>0.13955848347224301</v>
      </c>
      <c r="D10895" s="1">
        <v>0.14458062045193401</v>
      </c>
      <c r="E10895" s="1">
        <v>8.2792629120166106E-2</v>
      </c>
      <c r="F10895" s="1">
        <v>0.13677622640418499</v>
      </c>
    </row>
    <row r="10896" spans="1:6" x14ac:dyDescent="0.25">
      <c r="A10896" s="2" t="str">
        <f t="shared" si="391"/>
        <v>11180</v>
      </c>
      <c r="B10896" s="2" t="str">
        <f>"50013"</f>
        <v>50013</v>
      </c>
      <c r="C10896" s="1">
        <v>2.0046247774949601E-2</v>
      </c>
      <c r="D10896" s="1">
        <v>7.6599004212945198E-4</v>
      </c>
      <c r="E10896" s="1">
        <v>4.1526083571243096E-3</v>
      </c>
      <c r="F10896" s="1">
        <v>1.7705894256063299E-2</v>
      </c>
    </row>
    <row r="10897" spans="1:6" x14ac:dyDescent="0.25">
      <c r="A10897" s="2" t="str">
        <f t="shared" si="391"/>
        <v>11180</v>
      </c>
      <c r="B10897" s="2" t="str">
        <f>"50235"</f>
        <v>50235</v>
      </c>
      <c r="C10897" s="1">
        <v>1.4972301242701001E-4</v>
      </c>
      <c r="D10897" s="1">
        <v>1.9149751053236299E-4</v>
      </c>
      <c r="E10897" s="1">
        <v>0</v>
      </c>
      <c r="F10897" s="1">
        <v>1.44537912294394E-4</v>
      </c>
    </row>
    <row r="10898" spans="1:6" x14ac:dyDescent="0.25">
      <c r="A10898" s="2" t="str">
        <f t="shared" si="391"/>
        <v>11180</v>
      </c>
      <c r="B10898" s="2" t="str">
        <f>"50226"</f>
        <v>50226</v>
      </c>
      <c r="C10898" s="1">
        <v>4.9907670809003297E-5</v>
      </c>
      <c r="D10898" s="1">
        <v>1.9149751053236299E-4</v>
      </c>
      <c r="E10898" s="1">
        <v>0</v>
      </c>
      <c r="F10898" s="1">
        <v>5.7815164917757898E-5</v>
      </c>
    </row>
    <row r="10899" spans="1:6" x14ac:dyDescent="0.25">
      <c r="A10899" s="2" t="str">
        <f t="shared" si="391"/>
        <v>11180</v>
      </c>
      <c r="B10899" s="2" t="str">
        <f>"50248"</f>
        <v>50248</v>
      </c>
      <c r="C10899" s="1">
        <v>3.2689524379897097E-2</v>
      </c>
      <c r="D10899" s="1">
        <v>3.6001531980084198E-2</v>
      </c>
      <c r="E10899" s="1">
        <v>2.4396574098105299E-2</v>
      </c>
      <c r="F10899" s="1">
        <v>3.24776688925505E-2</v>
      </c>
    </row>
    <row r="10900" spans="1:6" x14ac:dyDescent="0.25">
      <c r="A10900" s="2" t="str">
        <f t="shared" si="391"/>
        <v>11180</v>
      </c>
      <c r="B10900" s="2" t="str">
        <f>"50212"</f>
        <v>50212</v>
      </c>
      <c r="C10900" s="1">
        <v>2.5037014855849998E-2</v>
      </c>
      <c r="D10900" s="1">
        <v>9.1918805055534198E-3</v>
      </c>
      <c r="E10900" s="1">
        <v>9.3433688035297092E-3</v>
      </c>
      <c r="F10900" s="1">
        <v>2.2967074263579301E-2</v>
      </c>
    </row>
    <row r="10901" spans="1:6" x14ac:dyDescent="0.25">
      <c r="A10901" s="2" t="str">
        <f t="shared" si="391"/>
        <v>11180</v>
      </c>
      <c r="B10901" s="2" t="str">
        <f>"50206"</f>
        <v>50206</v>
      </c>
      <c r="C10901" s="1">
        <v>1.1645123188767399E-4</v>
      </c>
      <c r="D10901" s="1">
        <v>0</v>
      </c>
      <c r="E10901" s="1">
        <v>0</v>
      </c>
      <c r="F10901" s="1">
        <v>1.0117653860607599E-4</v>
      </c>
    </row>
    <row r="10902" spans="1:6" x14ac:dyDescent="0.25">
      <c r="A10902" s="2" t="str">
        <f t="shared" si="391"/>
        <v>11180</v>
      </c>
      <c r="B10902" s="2" t="str">
        <f>"50161"</f>
        <v>50161</v>
      </c>
      <c r="C10902" s="1">
        <v>1.1994476884430399E-2</v>
      </c>
      <c r="D10902" s="1">
        <v>1.5319800842589E-3</v>
      </c>
      <c r="E10902" s="1">
        <v>3.1144562678432301E-3</v>
      </c>
      <c r="F10902" s="1">
        <v>1.07102593010146E-2</v>
      </c>
    </row>
    <row r="10903" spans="1:6" x14ac:dyDescent="0.25">
      <c r="A10903" s="2" t="str">
        <f t="shared" si="391"/>
        <v>11180</v>
      </c>
      <c r="B10903" s="2" t="str">
        <f>"50134"</f>
        <v>50134</v>
      </c>
      <c r="C10903" s="1">
        <v>4.7911363976643204E-3</v>
      </c>
      <c r="D10903" s="1">
        <v>2.6809651474530801E-3</v>
      </c>
      <c r="E10903" s="1">
        <v>1.2976901116013399E-3</v>
      </c>
      <c r="F10903" s="1">
        <v>4.43731390743792E-3</v>
      </c>
    </row>
    <row r="10904" spans="1:6" x14ac:dyDescent="0.25">
      <c r="A10904" s="2" t="str">
        <f t="shared" si="391"/>
        <v>11180</v>
      </c>
      <c r="B10904" s="2" t="str">
        <f>"50156"</f>
        <v>50156</v>
      </c>
      <c r="C10904" s="1">
        <v>3.1142386584818001E-2</v>
      </c>
      <c r="D10904" s="1">
        <v>2.0298736116430401E-2</v>
      </c>
      <c r="E10904" s="1">
        <v>1.7908123540098599E-2</v>
      </c>
      <c r="F10904" s="1">
        <v>2.9586910646662599E-2</v>
      </c>
    </row>
    <row r="10905" spans="1:6" x14ac:dyDescent="0.25">
      <c r="A10905" s="2" t="str">
        <f t="shared" si="391"/>
        <v>11180</v>
      </c>
      <c r="B10905" s="2" t="str">
        <f>"50247"</f>
        <v>50247</v>
      </c>
      <c r="C10905" s="1">
        <v>2.9944602485402003E-4</v>
      </c>
      <c r="D10905" s="1">
        <v>0</v>
      </c>
      <c r="E10905" s="1">
        <v>0</v>
      </c>
      <c r="F10905" s="1">
        <v>2.6016824212991E-4</v>
      </c>
    </row>
    <row r="10906" spans="1:6" x14ac:dyDescent="0.25">
      <c r="A10906" s="2" t="str">
        <f t="shared" si="391"/>
        <v>11180</v>
      </c>
      <c r="B10906" s="2" t="str">
        <f>"50244"</f>
        <v>50244</v>
      </c>
      <c r="C10906" s="1">
        <v>1.2177471677396801E-2</v>
      </c>
      <c r="D10906" s="1">
        <v>3.44695518958253E-3</v>
      </c>
      <c r="E10906" s="1">
        <v>4.6716844017648503E-3</v>
      </c>
      <c r="F10906" s="1">
        <v>1.11005116642095E-2</v>
      </c>
    </row>
    <row r="10907" spans="1:6" x14ac:dyDescent="0.25">
      <c r="A10907" s="2" t="str">
        <f t="shared" si="391"/>
        <v>11180</v>
      </c>
      <c r="B10907" s="2" t="str">
        <f>"50201"</f>
        <v>50201</v>
      </c>
      <c r="C10907" s="1">
        <v>7.0120277486649604E-2</v>
      </c>
      <c r="D10907" s="1">
        <v>6.1470700880888497E-2</v>
      </c>
      <c r="E10907" s="1">
        <v>4.7754996106929598E-2</v>
      </c>
      <c r="F10907" s="1">
        <v>6.8221894602954303E-2</v>
      </c>
    </row>
    <row r="10908" spans="1:6" x14ac:dyDescent="0.25">
      <c r="A10908" s="2" t="str">
        <f t="shared" si="391"/>
        <v>11180</v>
      </c>
      <c r="B10908" s="2" t="str">
        <f>"50530"</f>
        <v>50530</v>
      </c>
      <c r="C10908" s="1">
        <v>1.82994792966345E-4</v>
      </c>
      <c r="D10908" s="1">
        <v>0</v>
      </c>
      <c r="E10908" s="1">
        <v>0</v>
      </c>
      <c r="F10908" s="1">
        <v>1.5899170352383401E-4</v>
      </c>
    </row>
    <row r="10909" spans="1:6" x14ac:dyDescent="0.25">
      <c r="A10909" s="2" t="str">
        <f t="shared" si="391"/>
        <v>11180</v>
      </c>
      <c r="B10909" s="2" t="str">
        <f>"50217"</f>
        <v>50217</v>
      </c>
      <c r="C10909" s="1">
        <v>2.9944602485402003E-4</v>
      </c>
      <c r="D10909" s="1">
        <v>1.9149751053236299E-4</v>
      </c>
      <c r="E10909" s="1">
        <v>0</v>
      </c>
      <c r="F10909" s="1">
        <v>2.7462203335934998E-4</v>
      </c>
    </row>
    <row r="10910" spans="1:6" x14ac:dyDescent="0.25">
      <c r="A10910" s="2" t="str">
        <f t="shared" si="391"/>
        <v>11180</v>
      </c>
      <c r="B10910" s="2" t="str">
        <f>"50152"</f>
        <v>50152</v>
      </c>
      <c r="C10910" s="1">
        <v>9.1497396483172701E-4</v>
      </c>
      <c r="D10910" s="1">
        <v>1.9149751053236299E-4</v>
      </c>
      <c r="E10910" s="1">
        <v>5.1907604464053903E-4</v>
      </c>
      <c r="F10910" s="1">
        <v>8.3831989130748899E-4</v>
      </c>
    </row>
    <row r="10911" spans="1:6" x14ac:dyDescent="0.25">
      <c r="A10911" s="2" t="str">
        <f t="shared" ref="A10911:A10942" si="392">"16300"</f>
        <v>16300</v>
      </c>
      <c r="B10911" s="2" t="str">
        <f>"52202"</f>
        <v>52202</v>
      </c>
      <c r="C10911" s="1">
        <v>3.7386491528298101E-3</v>
      </c>
      <c r="D10911" s="1">
        <v>9.2609742544915699E-4</v>
      </c>
      <c r="E10911" s="1">
        <v>1.1981428785382601E-3</v>
      </c>
      <c r="F10911" s="1">
        <v>3.4170963512476101E-3</v>
      </c>
    </row>
    <row r="10912" spans="1:6" x14ac:dyDescent="0.25">
      <c r="A10912" s="2" t="str">
        <f t="shared" si="392"/>
        <v>16300</v>
      </c>
      <c r="B10912" s="2" t="str">
        <f>"52354"</f>
        <v>52354</v>
      </c>
      <c r="C10912" s="1">
        <v>1.3258714521375799E-3</v>
      </c>
      <c r="D10912" s="1">
        <v>3.7043897017966198E-4</v>
      </c>
      <c r="E10912" s="1">
        <v>1.49767859817283E-4</v>
      </c>
      <c r="F10912" s="1">
        <v>1.2024374834409999E-3</v>
      </c>
    </row>
    <row r="10913" spans="1:6" x14ac:dyDescent="0.25">
      <c r="A10913" s="2" t="str">
        <f t="shared" si="392"/>
        <v>16300</v>
      </c>
      <c r="B10913" s="2" t="str">
        <f>"52499"</f>
        <v>52499</v>
      </c>
      <c r="C10913" s="1">
        <v>0</v>
      </c>
      <c r="D10913" s="1">
        <v>0</v>
      </c>
      <c r="E10913" s="1">
        <v>2.9953571963456599E-4</v>
      </c>
      <c r="F10913" s="1">
        <v>1.35868642196724E-5</v>
      </c>
    </row>
    <row r="10914" spans="1:6" x14ac:dyDescent="0.25">
      <c r="A10914" s="2" t="str">
        <f t="shared" si="392"/>
        <v>16300</v>
      </c>
      <c r="B10914" s="2" t="str">
        <f>"52333"</f>
        <v>52333</v>
      </c>
      <c r="C10914" s="1">
        <v>1.5417109908576501E-5</v>
      </c>
      <c r="D10914" s="1">
        <v>0</v>
      </c>
      <c r="E10914" s="1">
        <v>0</v>
      </c>
      <c r="F10914" s="1">
        <v>1.35868642196724E-5</v>
      </c>
    </row>
    <row r="10915" spans="1:6" x14ac:dyDescent="0.25">
      <c r="A10915" s="2" t="str">
        <f t="shared" si="392"/>
        <v>16300</v>
      </c>
      <c r="B10915" s="2" t="str">
        <f>"52323"</f>
        <v>52323</v>
      </c>
      <c r="C10915" s="1">
        <v>2.0196413980235199E-3</v>
      </c>
      <c r="D10915" s="1">
        <v>1.8521948508983099E-4</v>
      </c>
      <c r="E10915" s="1">
        <v>4.4930357945184899E-4</v>
      </c>
      <c r="F10915" s="1">
        <v>1.8138463733262599E-3</v>
      </c>
    </row>
    <row r="10916" spans="1:6" x14ac:dyDescent="0.25">
      <c r="A10916" s="2" t="str">
        <f t="shared" si="392"/>
        <v>16300</v>
      </c>
      <c r="B10916" s="2" t="str">
        <f>"52345"</f>
        <v>52345</v>
      </c>
      <c r="C10916" s="1">
        <v>4.1009512356813497E-3</v>
      </c>
      <c r="D10916" s="1">
        <v>3.0561215039822099E-3</v>
      </c>
      <c r="E10916" s="1">
        <v>1.6474464579901099E-3</v>
      </c>
      <c r="F10916" s="1">
        <v>3.9130168952656499E-3</v>
      </c>
    </row>
    <row r="10917" spans="1:6" x14ac:dyDescent="0.25">
      <c r="A10917" s="2" t="str">
        <f t="shared" si="392"/>
        <v>16300</v>
      </c>
      <c r="B10917" s="2" t="str">
        <f>"52328"</f>
        <v>52328</v>
      </c>
      <c r="C10917" s="1">
        <v>8.9650494118372493E-3</v>
      </c>
      <c r="D10917" s="1">
        <v>2.3152435636228899E-3</v>
      </c>
      <c r="E10917" s="1">
        <v>2.9953571963456599E-4</v>
      </c>
      <c r="F10917" s="1">
        <v>8.08418421070509E-3</v>
      </c>
    </row>
    <row r="10918" spans="1:6" x14ac:dyDescent="0.25">
      <c r="A10918" s="2" t="str">
        <f t="shared" si="392"/>
        <v>16300</v>
      </c>
      <c r="B10918" s="2" t="str">
        <f>"52314"</f>
        <v>52314</v>
      </c>
      <c r="C10918" s="1">
        <v>1.6712147140896898E-2</v>
      </c>
      <c r="D10918" s="1">
        <v>1.5836265975180501E-2</v>
      </c>
      <c r="E10918" s="1">
        <v>1.6923768159352998E-2</v>
      </c>
      <c r="F10918" s="1">
        <v>1.6657495533318301E-2</v>
      </c>
    </row>
    <row r="10919" spans="1:6" x14ac:dyDescent="0.25">
      <c r="A10919" s="2" t="str">
        <f t="shared" si="392"/>
        <v>16300</v>
      </c>
      <c r="B10919" s="2" t="str">
        <f>"52032"</f>
        <v>52032</v>
      </c>
      <c r="C10919" s="1">
        <v>2.3125664862864799E-4</v>
      </c>
      <c r="D10919" s="1">
        <v>0</v>
      </c>
      <c r="E10919" s="1">
        <v>0</v>
      </c>
      <c r="F10919" s="1">
        <v>2.03802963295086E-4</v>
      </c>
    </row>
    <row r="10920" spans="1:6" x14ac:dyDescent="0.25">
      <c r="A10920" s="2" t="str">
        <f t="shared" si="392"/>
        <v>16300</v>
      </c>
      <c r="B10920" s="2" t="str">
        <f>"52252"</f>
        <v>52252</v>
      </c>
      <c r="C10920" s="1">
        <v>1.6187965404005299E-4</v>
      </c>
      <c r="D10920" s="1">
        <v>1.8521948508983099E-4</v>
      </c>
      <c r="E10920" s="1">
        <v>0</v>
      </c>
      <c r="F10920" s="1">
        <v>1.5624893852623199E-4</v>
      </c>
    </row>
    <row r="10921" spans="1:6" x14ac:dyDescent="0.25">
      <c r="A10921" s="2" t="str">
        <f t="shared" si="392"/>
        <v>16300</v>
      </c>
      <c r="B10921" s="2" t="str">
        <f>"52229"</f>
        <v>52229</v>
      </c>
      <c r="C10921" s="1">
        <v>2.1121440574749799E-3</v>
      </c>
      <c r="D10921" s="1">
        <v>3.7043897017966198E-4</v>
      </c>
      <c r="E10921" s="1">
        <v>4.4930357945184899E-4</v>
      </c>
      <c r="F10921" s="1">
        <v>1.90895442286397E-3</v>
      </c>
    </row>
    <row r="10922" spans="1:6" x14ac:dyDescent="0.25">
      <c r="A10922" s="2" t="str">
        <f t="shared" si="392"/>
        <v>16300</v>
      </c>
      <c r="B10922" s="2" t="str">
        <f>"52209"</f>
        <v>52209</v>
      </c>
      <c r="C10922" s="1">
        <v>2.5746573547322802E-3</v>
      </c>
      <c r="D10922" s="1">
        <v>5.5565845526949398E-4</v>
      </c>
      <c r="E10922" s="1">
        <v>4.4930357945184899E-4</v>
      </c>
      <c r="F10922" s="1">
        <v>2.3301472136738198E-3</v>
      </c>
    </row>
    <row r="10923" spans="1:6" x14ac:dyDescent="0.25">
      <c r="A10923" s="2" t="str">
        <f t="shared" si="392"/>
        <v>16300</v>
      </c>
      <c r="B10923" s="2" t="str">
        <f>"52403"</f>
        <v>52403</v>
      </c>
      <c r="C10923" s="1">
        <v>8.63435240429829E-2</v>
      </c>
      <c r="D10923" s="1">
        <v>4.0933506204852699E-2</v>
      </c>
      <c r="E10923" s="1">
        <v>8.31211621985921E-2</v>
      </c>
      <c r="F10923" s="1">
        <v>8.2866284875782001E-2</v>
      </c>
    </row>
    <row r="10924" spans="1:6" x14ac:dyDescent="0.25">
      <c r="A10924" s="2" t="str">
        <f t="shared" si="392"/>
        <v>16300</v>
      </c>
      <c r="B10924" s="2" t="str">
        <f>"52401"</f>
        <v>52401</v>
      </c>
      <c r="C10924" s="1">
        <v>1.2580361685398399E-2</v>
      </c>
      <c r="D10924" s="1">
        <v>9.8351546582700497E-2</v>
      </c>
      <c r="E10924" s="1">
        <v>2.6209375468024501E-2</v>
      </c>
      <c r="F10924" s="1">
        <v>1.9490356723120002E-2</v>
      </c>
    </row>
    <row r="10925" spans="1:6" x14ac:dyDescent="0.25">
      <c r="A10925" s="2" t="str">
        <f t="shared" si="392"/>
        <v>16300</v>
      </c>
      <c r="B10925" s="2" t="str">
        <f>"52362"</f>
        <v>52362</v>
      </c>
      <c r="C10925" s="1">
        <v>4.2242881149499702E-3</v>
      </c>
      <c r="D10925" s="1">
        <v>1.94480459344323E-3</v>
      </c>
      <c r="E10925" s="1">
        <v>1.94698217762468E-3</v>
      </c>
      <c r="F10925" s="1">
        <v>3.9537774879246698E-3</v>
      </c>
    </row>
    <row r="10926" spans="1:6" x14ac:dyDescent="0.25">
      <c r="A10926" s="2" t="str">
        <f t="shared" si="392"/>
        <v>16300</v>
      </c>
      <c r="B10926" s="2" t="str">
        <f>"52216"</f>
        <v>52216</v>
      </c>
      <c r="C10926" s="1">
        <v>1.6958820899434099E-4</v>
      </c>
      <c r="D10926" s="1">
        <v>0</v>
      </c>
      <c r="E10926" s="1">
        <v>0</v>
      </c>
      <c r="F10926" s="1">
        <v>1.4945550641639601E-4</v>
      </c>
    </row>
    <row r="10927" spans="1:6" x14ac:dyDescent="0.25">
      <c r="A10927" s="2" t="str">
        <f t="shared" si="392"/>
        <v>16300</v>
      </c>
      <c r="B10927" s="2" t="str">
        <f>"52224"</f>
        <v>52224</v>
      </c>
      <c r="C10927" s="1">
        <v>1.07148913864606E-3</v>
      </c>
      <c r="D10927" s="1">
        <v>4.6304871272457801E-4</v>
      </c>
      <c r="E10927" s="1">
        <v>2.9953571963456599E-4</v>
      </c>
      <c r="F10927" s="1">
        <v>9.9184108803608605E-4</v>
      </c>
    </row>
    <row r="10928" spans="1:6" x14ac:dyDescent="0.25">
      <c r="A10928" s="2" t="str">
        <f t="shared" si="392"/>
        <v>16300</v>
      </c>
      <c r="B10928" s="2" t="str">
        <f>"52218"</f>
        <v>52218</v>
      </c>
      <c r="C10928" s="1">
        <v>4.5480474230300697E-3</v>
      </c>
      <c r="D10928" s="1">
        <v>5.5565845526949398E-4</v>
      </c>
      <c r="E10928" s="1">
        <v>1.7972143178073901E-3</v>
      </c>
      <c r="F10928" s="1">
        <v>4.1304067227804098E-3</v>
      </c>
    </row>
    <row r="10929" spans="1:6" x14ac:dyDescent="0.25">
      <c r="A10929" s="2" t="str">
        <f t="shared" si="392"/>
        <v>16300</v>
      </c>
      <c r="B10929" s="2" t="str">
        <f>"52409"</f>
        <v>52409</v>
      </c>
      <c r="C10929" s="1">
        <v>4.4863789833957703E-3</v>
      </c>
      <c r="D10929" s="1">
        <v>8.3348768290424109E-3</v>
      </c>
      <c r="E10929" s="1">
        <v>2.9953571963456599E-4</v>
      </c>
      <c r="F10929" s="1">
        <v>4.5787732420295999E-3</v>
      </c>
    </row>
    <row r="10930" spans="1:6" x14ac:dyDescent="0.25">
      <c r="A10930" s="2" t="str">
        <f t="shared" si="392"/>
        <v>16300</v>
      </c>
      <c r="B10930" s="2" t="str">
        <f>"52312"</f>
        <v>52312</v>
      </c>
      <c r="C10930" s="1">
        <v>3.9313630266870101E-4</v>
      </c>
      <c r="D10930" s="1">
        <v>5.5565845526949398E-4</v>
      </c>
      <c r="E10930" s="1">
        <v>0</v>
      </c>
      <c r="F10930" s="1">
        <v>3.8722563026066299E-4</v>
      </c>
    </row>
    <row r="10931" spans="1:6" x14ac:dyDescent="0.25">
      <c r="A10931" s="2" t="str">
        <f t="shared" si="392"/>
        <v>16300</v>
      </c>
      <c r="B10931" s="2" t="str">
        <f>"52318"</f>
        <v>52318</v>
      </c>
      <c r="C10931" s="1">
        <v>2.9755022123552702E-3</v>
      </c>
      <c r="D10931" s="1">
        <v>1.75958510835339E-3</v>
      </c>
      <c r="E10931" s="1">
        <v>1.1981428785382601E-3</v>
      </c>
      <c r="F10931" s="1">
        <v>2.8056874613623501E-3</v>
      </c>
    </row>
    <row r="10932" spans="1:6" x14ac:dyDescent="0.25">
      <c r="A10932" s="2" t="str">
        <f t="shared" si="392"/>
        <v>16300</v>
      </c>
      <c r="B10932" s="2" t="str">
        <f>"52302"</f>
        <v>52302</v>
      </c>
      <c r="C10932" s="1">
        <v>0.153423369255199</v>
      </c>
      <c r="D10932" s="1">
        <v>0.109279496203</v>
      </c>
      <c r="E10932" s="1">
        <v>0.13628875243372701</v>
      </c>
      <c r="F10932" s="1">
        <v>0.14940795239162699</v>
      </c>
    </row>
    <row r="10933" spans="1:6" x14ac:dyDescent="0.25">
      <c r="A10933" s="2" t="str">
        <f t="shared" si="392"/>
        <v>16300</v>
      </c>
      <c r="B10933" s="2" t="str">
        <f>"52309"</f>
        <v>52309</v>
      </c>
      <c r="C10933" s="1">
        <v>4.7793040716587198E-4</v>
      </c>
      <c r="D10933" s="1">
        <v>1.8521948508983099E-4</v>
      </c>
      <c r="E10933" s="1">
        <v>1.49767859817283E-4</v>
      </c>
      <c r="F10933" s="1">
        <v>4.4157308713935298E-4</v>
      </c>
    </row>
    <row r="10934" spans="1:6" x14ac:dyDescent="0.25">
      <c r="A10934" s="2" t="str">
        <f t="shared" si="392"/>
        <v>16300</v>
      </c>
      <c r="B10934" s="2" t="str">
        <f>"52225"</f>
        <v>52225</v>
      </c>
      <c r="C10934" s="1">
        <v>1.54171099085765E-4</v>
      </c>
      <c r="D10934" s="1">
        <v>9.2609742544915699E-5</v>
      </c>
      <c r="E10934" s="1">
        <v>0</v>
      </c>
      <c r="F10934" s="1">
        <v>1.4266207430656001E-4</v>
      </c>
    </row>
    <row r="10935" spans="1:6" x14ac:dyDescent="0.25">
      <c r="A10935" s="2" t="str">
        <f t="shared" si="392"/>
        <v>16300</v>
      </c>
      <c r="B10935" s="2" t="str">
        <f>"52237"</f>
        <v>52237</v>
      </c>
      <c r="C10935" s="1">
        <v>2.3125664862864799E-5</v>
      </c>
      <c r="D10935" s="1">
        <v>0</v>
      </c>
      <c r="E10935" s="1">
        <v>0</v>
      </c>
      <c r="F10935" s="1">
        <v>2.0380296329508601E-5</v>
      </c>
    </row>
    <row r="10936" spans="1:6" x14ac:dyDescent="0.25">
      <c r="A10936" s="2" t="str">
        <f t="shared" si="392"/>
        <v>16300</v>
      </c>
      <c r="B10936" s="2" t="str">
        <f>"52210"</f>
        <v>52210</v>
      </c>
      <c r="C10936" s="1">
        <v>2.7750797835437698E-4</v>
      </c>
      <c r="D10936" s="1">
        <v>0</v>
      </c>
      <c r="E10936" s="1">
        <v>0</v>
      </c>
      <c r="F10936" s="1">
        <v>2.4456355595410301E-4</v>
      </c>
    </row>
    <row r="10937" spans="1:6" x14ac:dyDescent="0.25">
      <c r="A10937" s="2" t="str">
        <f t="shared" si="392"/>
        <v>16300</v>
      </c>
      <c r="B10937" s="2" t="str">
        <f>"52228"</f>
        <v>52228</v>
      </c>
      <c r="C10937" s="1">
        <v>1.1316158672895101E-2</v>
      </c>
      <c r="D10937" s="1">
        <v>2.9635117614373002E-3</v>
      </c>
      <c r="E10937" s="1">
        <v>3.2948929159802298E-3</v>
      </c>
      <c r="F10937" s="1">
        <v>1.03396036711707E-2</v>
      </c>
    </row>
    <row r="10938" spans="1:6" x14ac:dyDescent="0.25">
      <c r="A10938" s="2" t="str">
        <f t="shared" si="392"/>
        <v>16300</v>
      </c>
      <c r="B10938" s="2" t="str">
        <f>"52227"</f>
        <v>52227</v>
      </c>
      <c r="C10938" s="1">
        <v>9.7744476820375206E-3</v>
      </c>
      <c r="D10938" s="1">
        <v>2.4078533061678E-3</v>
      </c>
      <c r="E10938" s="1">
        <v>4.0437322150666402E-3</v>
      </c>
      <c r="F10938" s="1">
        <v>8.9741238170936294E-3</v>
      </c>
    </row>
    <row r="10939" spans="1:6" x14ac:dyDescent="0.25">
      <c r="A10939" s="2" t="str">
        <f t="shared" si="392"/>
        <v>16300</v>
      </c>
      <c r="B10939" s="2" t="str">
        <f>"52208"</f>
        <v>52208</v>
      </c>
      <c r="C10939" s="1">
        <v>1.11080276891293E-2</v>
      </c>
      <c r="D10939" s="1">
        <v>1.2409705501018701E-2</v>
      </c>
      <c r="E10939" s="1">
        <v>6.2902501123258897E-3</v>
      </c>
      <c r="F10939" s="1">
        <v>1.0984979721605099E-2</v>
      </c>
    </row>
    <row r="10940" spans="1:6" x14ac:dyDescent="0.25">
      <c r="A10940" s="2" t="str">
        <f t="shared" si="392"/>
        <v>16300</v>
      </c>
      <c r="B10940" s="2" t="str">
        <f>"52498"</f>
        <v>52498</v>
      </c>
      <c r="C10940" s="1">
        <v>0</v>
      </c>
      <c r="D10940" s="1">
        <v>9.2609742544915699E-5</v>
      </c>
      <c r="E10940" s="1">
        <v>7.4883929908641596E-4</v>
      </c>
      <c r="F10940" s="1">
        <v>4.0760592659017202E-5</v>
      </c>
    </row>
    <row r="10941" spans="1:6" x14ac:dyDescent="0.25">
      <c r="A10941" s="2" t="str">
        <f t="shared" si="392"/>
        <v>16300</v>
      </c>
      <c r="B10941" s="2" t="str">
        <f>"52410"</f>
        <v>52410</v>
      </c>
      <c r="C10941" s="1">
        <v>5.5193253472704002E-3</v>
      </c>
      <c r="D10941" s="1">
        <v>3.1579922207816198E-2</v>
      </c>
      <c r="E10941" s="1">
        <v>2.9953571963456599E-4</v>
      </c>
      <c r="F10941" s="1">
        <v>7.1942446043165402E-3</v>
      </c>
    </row>
    <row r="10942" spans="1:6" x14ac:dyDescent="0.25">
      <c r="A10942" s="2" t="str">
        <f t="shared" si="392"/>
        <v>16300</v>
      </c>
      <c r="B10942" s="2" t="str">
        <f>"52352"</f>
        <v>52352</v>
      </c>
      <c r="C10942" s="1">
        <v>5.3420285833217698E-3</v>
      </c>
      <c r="D10942" s="1">
        <v>3.7043897017966198E-4</v>
      </c>
      <c r="E10942" s="1">
        <v>8.9860715890369895E-4</v>
      </c>
      <c r="F10942" s="1">
        <v>4.7757827732148499E-3</v>
      </c>
    </row>
    <row r="10943" spans="1:6" x14ac:dyDescent="0.25">
      <c r="A10943" s="2" t="str">
        <f t="shared" ref="A10943:A10977" si="393">"16300"</f>
        <v>16300</v>
      </c>
      <c r="B10943" s="2" t="str">
        <f>"52346"</f>
        <v>52346</v>
      </c>
      <c r="C10943" s="1">
        <v>4.0624084609099101E-3</v>
      </c>
      <c r="D10943" s="1">
        <v>5.5565845526949398E-4</v>
      </c>
      <c r="E10943" s="1">
        <v>1.94698217762468E-3</v>
      </c>
      <c r="F10943" s="1">
        <v>3.70921393197057E-3</v>
      </c>
    </row>
    <row r="10944" spans="1:6" x14ac:dyDescent="0.25">
      <c r="A10944" s="2" t="str">
        <f t="shared" si="393"/>
        <v>16300</v>
      </c>
      <c r="B10944" s="2" t="str">
        <f>"52341"</f>
        <v>52341</v>
      </c>
      <c r="C10944" s="1">
        <v>3.7155234879669399E-3</v>
      </c>
      <c r="D10944" s="1">
        <v>5.5565845526949398E-4</v>
      </c>
      <c r="E10944" s="1">
        <v>4.4930357945184899E-4</v>
      </c>
      <c r="F10944" s="1">
        <v>3.3355751659295699E-3</v>
      </c>
    </row>
    <row r="10945" spans="1:6" x14ac:dyDescent="0.25">
      <c r="A10945" s="2" t="str">
        <f t="shared" si="393"/>
        <v>16300</v>
      </c>
      <c r="B10945" s="2" t="str">
        <f>"52301"</f>
        <v>52301</v>
      </c>
      <c r="C10945" s="1">
        <v>1.54171099085765E-4</v>
      </c>
      <c r="D10945" s="1">
        <v>0</v>
      </c>
      <c r="E10945" s="1">
        <v>0</v>
      </c>
      <c r="F10945" s="1">
        <v>1.35868642196724E-4</v>
      </c>
    </row>
    <row r="10946" spans="1:6" x14ac:dyDescent="0.25">
      <c r="A10946" s="2" t="str">
        <f t="shared" si="393"/>
        <v>16300</v>
      </c>
      <c r="B10946" s="2" t="str">
        <f>"52257"</f>
        <v>52257</v>
      </c>
      <c r="C10946" s="1">
        <v>9.9440358910318598E-4</v>
      </c>
      <c r="D10946" s="1">
        <v>1.8521948508983099E-4</v>
      </c>
      <c r="E10946" s="1">
        <v>2.9953571963456599E-4</v>
      </c>
      <c r="F10946" s="1">
        <v>9.0352647060821503E-4</v>
      </c>
    </row>
    <row r="10947" spans="1:6" x14ac:dyDescent="0.25">
      <c r="A10947" s="2" t="str">
        <f t="shared" si="393"/>
        <v>16300</v>
      </c>
      <c r="B10947" s="2" t="str">
        <f>"52233"</f>
        <v>52233</v>
      </c>
      <c r="C10947" s="1">
        <v>2.7488706966991901E-2</v>
      </c>
      <c r="D10947" s="1">
        <v>5.0287090201889199E-2</v>
      </c>
      <c r="E10947" s="1">
        <v>3.6992661374868903E-2</v>
      </c>
      <c r="F10947" s="1">
        <v>2.9592190270446499E-2</v>
      </c>
    </row>
    <row r="10948" spans="1:6" x14ac:dyDescent="0.25">
      <c r="A10948" s="2" t="str">
        <f t="shared" si="393"/>
        <v>16300</v>
      </c>
      <c r="B10948" s="2" t="str">
        <f>"52332"</f>
        <v>52332</v>
      </c>
      <c r="C10948" s="1">
        <v>7.2152074372138098E-3</v>
      </c>
      <c r="D10948" s="1">
        <v>2.3152435636228899E-3</v>
      </c>
      <c r="E10948" s="1">
        <v>2.24651789725924E-3</v>
      </c>
      <c r="F10948" s="1">
        <v>6.6303897392001399E-3</v>
      </c>
    </row>
    <row r="10949" spans="1:6" x14ac:dyDescent="0.25">
      <c r="A10949" s="2" t="str">
        <f t="shared" si="393"/>
        <v>16300</v>
      </c>
      <c r="B10949" s="2" t="str">
        <f>"52249"</f>
        <v>52249</v>
      </c>
      <c r="C10949" s="1">
        <v>3.2144674159382E-3</v>
      </c>
      <c r="D10949" s="1">
        <v>2.1300240785330602E-3</v>
      </c>
      <c r="E10949" s="1">
        <v>1.6474464579901099E-3</v>
      </c>
      <c r="F10949" s="1">
        <v>3.0638378815361299E-3</v>
      </c>
    </row>
    <row r="10950" spans="1:6" x14ac:dyDescent="0.25">
      <c r="A10950" s="2" t="str">
        <f t="shared" si="393"/>
        <v>16300</v>
      </c>
      <c r="B10950" s="2" t="str">
        <f>"52212"</f>
        <v>52212</v>
      </c>
      <c r="C10950" s="1">
        <v>1.3567056719547301E-3</v>
      </c>
      <c r="D10950" s="1">
        <v>1.2965363956288199E-3</v>
      </c>
      <c r="E10950" s="1">
        <v>2.9953571963456599E-4</v>
      </c>
      <c r="F10950" s="1">
        <v>1.30433896508855E-3</v>
      </c>
    </row>
    <row r="10951" spans="1:6" x14ac:dyDescent="0.25">
      <c r="A10951" s="2" t="str">
        <f t="shared" si="393"/>
        <v>16300</v>
      </c>
      <c r="B10951" s="2" t="str">
        <f>"52402"</f>
        <v>52402</v>
      </c>
      <c r="C10951" s="1">
        <v>0.147171731187271</v>
      </c>
      <c r="D10951" s="1">
        <v>0.19170216706797499</v>
      </c>
      <c r="E10951" s="1">
        <v>0.22120712895012701</v>
      </c>
      <c r="F10951" s="1">
        <v>0.15379650953458099</v>
      </c>
    </row>
    <row r="10952" spans="1:6" x14ac:dyDescent="0.25">
      <c r="A10952" s="2" t="str">
        <f t="shared" si="393"/>
        <v>16300</v>
      </c>
      <c r="B10952" s="2" t="str">
        <f>"52406"</f>
        <v>52406</v>
      </c>
      <c r="C10952" s="1">
        <v>1.3597890939364501E-2</v>
      </c>
      <c r="D10952" s="1">
        <v>6.0751991109464699E-2</v>
      </c>
      <c r="E10952" s="1">
        <v>2.9953571963456599E-4</v>
      </c>
      <c r="F10952" s="1">
        <v>1.6453692570023298E-2</v>
      </c>
    </row>
    <row r="10953" spans="1:6" x14ac:dyDescent="0.25">
      <c r="A10953" s="2" t="str">
        <f t="shared" si="393"/>
        <v>16300</v>
      </c>
      <c r="B10953" s="2" t="str">
        <f>"52338"</f>
        <v>52338</v>
      </c>
      <c r="C10953" s="1">
        <v>1.07919769360035E-4</v>
      </c>
      <c r="D10953" s="1">
        <v>0</v>
      </c>
      <c r="E10953" s="1">
        <v>0</v>
      </c>
      <c r="F10953" s="1">
        <v>9.5108049537706902E-5</v>
      </c>
    </row>
    <row r="10954" spans="1:6" x14ac:dyDescent="0.25">
      <c r="A10954" s="2" t="str">
        <f t="shared" si="393"/>
        <v>16300</v>
      </c>
      <c r="B10954" s="2" t="str">
        <f>"52313"</f>
        <v>52313</v>
      </c>
      <c r="C10954" s="1">
        <v>1.5802537656290901E-3</v>
      </c>
      <c r="D10954" s="1">
        <v>5.5565845526949398E-4</v>
      </c>
      <c r="E10954" s="1">
        <v>4.4930357945184899E-4</v>
      </c>
      <c r="F10954" s="1">
        <v>1.4537944715049399E-3</v>
      </c>
    </row>
    <row r="10955" spans="1:6" x14ac:dyDescent="0.25">
      <c r="A10955" s="2" t="str">
        <f t="shared" si="393"/>
        <v>16300</v>
      </c>
      <c r="B10955" s="2" t="str">
        <f>"52349"</f>
        <v>52349</v>
      </c>
      <c r="C10955" s="1">
        <v>2.6078041410357199E-2</v>
      </c>
      <c r="D10955" s="1">
        <v>3.1487312465271297E-2</v>
      </c>
      <c r="E10955" s="1">
        <v>2.09675003744196E-2</v>
      </c>
      <c r="F10955" s="1">
        <v>2.62430282402972E-2</v>
      </c>
    </row>
    <row r="10956" spans="1:6" x14ac:dyDescent="0.25">
      <c r="A10956" s="2" t="str">
        <f t="shared" si="393"/>
        <v>16300</v>
      </c>
      <c r="B10956" s="2" t="str">
        <f>"52336"</f>
        <v>52336</v>
      </c>
      <c r="C10956" s="1">
        <v>8.2789880209055994E-3</v>
      </c>
      <c r="D10956" s="1">
        <v>2.4078533061678E-3</v>
      </c>
      <c r="E10956" s="1">
        <v>2.8455893365283802E-3</v>
      </c>
      <c r="F10956" s="1">
        <v>7.6018505309067104E-3</v>
      </c>
    </row>
    <row r="10957" spans="1:6" x14ac:dyDescent="0.25">
      <c r="A10957" s="2" t="str">
        <f t="shared" si="393"/>
        <v>16300</v>
      </c>
      <c r="B10957" s="2" t="str">
        <f>"52324"</f>
        <v>52324</v>
      </c>
      <c r="C10957" s="1">
        <v>7.8473089434654506E-3</v>
      </c>
      <c r="D10957" s="1">
        <v>3.4265604741618798E-3</v>
      </c>
      <c r="E10957" s="1">
        <v>8.9860715890369895E-4</v>
      </c>
      <c r="F10957" s="1">
        <v>7.2078314685362103E-3</v>
      </c>
    </row>
    <row r="10958" spans="1:6" x14ac:dyDescent="0.25">
      <c r="A10958" s="2" t="str">
        <f t="shared" si="393"/>
        <v>16300</v>
      </c>
      <c r="B10958" s="2" t="str">
        <f>"52320"</f>
        <v>52320</v>
      </c>
      <c r="C10958" s="1">
        <v>4.2242881149499702E-3</v>
      </c>
      <c r="D10958" s="1">
        <v>2.0374143359881401E-3</v>
      </c>
      <c r="E10958" s="1">
        <v>1.6474464579901099E-3</v>
      </c>
      <c r="F10958" s="1">
        <v>3.9469840558148299E-3</v>
      </c>
    </row>
    <row r="10959" spans="1:6" x14ac:dyDescent="0.25">
      <c r="A10959" s="2" t="str">
        <f t="shared" si="393"/>
        <v>16300</v>
      </c>
      <c r="B10959" s="2" t="str">
        <f>"52310"</f>
        <v>52310</v>
      </c>
      <c r="C10959" s="1">
        <v>2.2925242434053299E-2</v>
      </c>
      <c r="D10959" s="1">
        <v>3.0653824782367101E-2</v>
      </c>
      <c r="E10959" s="1">
        <v>2.0068893215515901E-2</v>
      </c>
      <c r="F10959" s="1">
        <v>2.3362613025726699E-2</v>
      </c>
    </row>
    <row r="10960" spans="1:6" x14ac:dyDescent="0.25">
      <c r="A10960" s="2" t="str">
        <f t="shared" si="393"/>
        <v>16300</v>
      </c>
      <c r="B10960" s="2" t="str">
        <f>"52253"</f>
        <v>52253</v>
      </c>
      <c r="C10960" s="1">
        <v>7.7548062840139898E-3</v>
      </c>
      <c r="D10960" s="1">
        <v>5.6491942952398497E-3</v>
      </c>
      <c r="E10960" s="1">
        <v>7.3386251310468701E-3</v>
      </c>
      <c r="F10960" s="1">
        <v>7.58147023457721E-3</v>
      </c>
    </row>
    <row r="10961" spans="1:6" x14ac:dyDescent="0.25">
      <c r="A10961" s="2" t="str">
        <f t="shared" si="393"/>
        <v>16300</v>
      </c>
      <c r="B10961" s="2" t="str">
        <f>"52214"</f>
        <v>52214</v>
      </c>
      <c r="C10961" s="1">
        <v>1.17863805251067E-2</v>
      </c>
      <c r="D10961" s="1">
        <v>2.8709020188923801E-3</v>
      </c>
      <c r="E10961" s="1">
        <v>2.9953571963456599E-3</v>
      </c>
      <c r="F10961" s="1">
        <v>1.07336227335412E-2</v>
      </c>
    </row>
    <row r="10962" spans="1:6" x14ac:dyDescent="0.25">
      <c r="A10962" s="2" t="str">
        <f t="shared" si="393"/>
        <v>16300</v>
      </c>
      <c r="B10962" s="2" t="str">
        <f>"52206"</f>
        <v>52206</v>
      </c>
      <c r="C10962" s="1">
        <v>7.8935602731911806E-3</v>
      </c>
      <c r="D10962" s="1">
        <v>2.6856825338025499E-3</v>
      </c>
      <c r="E10962" s="1">
        <v>2.24651789725924E-3</v>
      </c>
      <c r="F10962" s="1">
        <v>7.25538549330507E-3</v>
      </c>
    </row>
    <row r="10963" spans="1:6" x14ac:dyDescent="0.25">
      <c r="A10963" s="2" t="str">
        <f t="shared" si="393"/>
        <v>16300</v>
      </c>
      <c r="B10963" s="2" t="str">
        <f>"52205"</f>
        <v>52205</v>
      </c>
      <c r="C10963" s="1">
        <v>2.7928094599386302E-2</v>
      </c>
      <c r="D10963" s="1">
        <v>2.67642155954806E-2</v>
      </c>
      <c r="E10963" s="1">
        <v>2.8156357645649201E-2</v>
      </c>
      <c r="F10963" s="1">
        <v>2.7853071650328399E-2</v>
      </c>
    </row>
    <row r="10964" spans="1:6" x14ac:dyDescent="0.25">
      <c r="A10964" s="2" t="str">
        <f t="shared" si="393"/>
        <v>16300</v>
      </c>
      <c r="B10964" s="2" t="str">
        <f>"52411"</f>
        <v>52411</v>
      </c>
      <c r="C10964" s="1">
        <v>2.2794196999830402E-2</v>
      </c>
      <c r="D10964" s="1">
        <v>8.1496573439525793E-3</v>
      </c>
      <c r="E10964" s="1">
        <v>2.5460536168938099E-3</v>
      </c>
      <c r="F10964" s="1">
        <v>2.08014891203184E-2</v>
      </c>
    </row>
    <row r="10965" spans="1:6" x14ac:dyDescent="0.25">
      <c r="A10965" s="2" t="str">
        <f t="shared" si="393"/>
        <v>16300</v>
      </c>
      <c r="B10965" s="2" t="str">
        <f>"52306"</f>
        <v>52306</v>
      </c>
      <c r="C10965" s="1">
        <v>4.0855341257727798E-4</v>
      </c>
      <c r="D10965" s="1">
        <v>0</v>
      </c>
      <c r="E10965" s="1">
        <v>0</v>
      </c>
      <c r="F10965" s="1">
        <v>3.6005190182131902E-4</v>
      </c>
    </row>
    <row r="10966" spans="1:6" x14ac:dyDescent="0.25">
      <c r="A10966" s="2" t="str">
        <f t="shared" si="393"/>
        <v>16300</v>
      </c>
      <c r="B10966" s="2" t="str">
        <f>"52344"</f>
        <v>52344</v>
      </c>
      <c r="C10966" s="1">
        <v>0</v>
      </c>
      <c r="D10966" s="1">
        <v>9.2609742544915699E-5</v>
      </c>
      <c r="E10966" s="1">
        <v>1.49767859817283E-4</v>
      </c>
      <c r="F10966" s="1">
        <v>1.35868642196724E-5</v>
      </c>
    </row>
    <row r="10967" spans="1:6" x14ac:dyDescent="0.25">
      <c r="A10967" s="2" t="str">
        <f t="shared" si="393"/>
        <v>16300</v>
      </c>
      <c r="B10967" s="2" t="str">
        <f>"52305"</f>
        <v>52305</v>
      </c>
      <c r="C10967" s="1">
        <v>2.3819434808750699E-3</v>
      </c>
      <c r="D10967" s="1">
        <v>9.2609742544915699E-5</v>
      </c>
      <c r="E10967" s="1">
        <v>4.4930357945184899E-4</v>
      </c>
      <c r="F10967" s="1">
        <v>2.12634425037873E-3</v>
      </c>
    </row>
    <row r="10968" spans="1:6" x14ac:dyDescent="0.25">
      <c r="A10968" s="2" t="str">
        <f t="shared" si="393"/>
        <v>16300</v>
      </c>
      <c r="B10968" s="2" t="str">
        <f>"52351"</f>
        <v>52351</v>
      </c>
      <c r="C10968" s="1">
        <v>4.0932426807270697E-3</v>
      </c>
      <c r="D10968" s="1">
        <v>9.2609742544915699E-4</v>
      </c>
      <c r="E10968" s="1">
        <v>1.94698217762468E-3</v>
      </c>
      <c r="F10968" s="1">
        <v>3.76356138884926E-3</v>
      </c>
    </row>
    <row r="10969" spans="1:6" x14ac:dyDescent="0.25">
      <c r="A10969" s="2" t="str">
        <f t="shared" si="393"/>
        <v>16300</v>
      </c>
      <c r="B10969" s="2" t="str">
        <f>"52315"</f>
        <v>52315</v>
      </c>
      <c r="C10969" s="1">
        <v>3.1219647564867401E-3</v>
      </c>
      <c r="D10969" s="1">
        <v>6.4826819781440995E-4</v>
      </c>
      <c r="E10969" s="1">
        <v>4.4930357945184899E-4</v>
      </c>
      <c r="F10969" s="1">
        <v>2.8192743255820202E-3</v>
      </c>
    </row>
    <row r="10970" spans="1:6" x14ac:dyDescent="0.25">
      <c r="A10970" s="2" t="str">
        <f t="shared" si="393"/>
        <v>16300</v>
      </c>
      <c r="B10970" s="2" t="str">
        <f>"52219"</f>
        <v>52219</v>
      </c>
      <c r="C10970" s="1">
        <v>6.2439295129734904E-4</v>
      </c>
      <c r="D10970" s="1">
        <v>9.2609742544915699E-4</v>
      </c>
      <c r="E10970" s="1">
        <v>0</v>
      </c>
      <c r="F10970" s="1">
        <v>6.1820232199509496E-4</v>
      </c>
    </row>
    <row r="10971" spans="1:6" x14ac:dyDescent="0.25">
      <c r="A10971" s="2" t="str">
        <f t="shared" si="393"/>
        <v>16300</v>
      </c>
      <c r="B10971" s="2" t="str">
        <f>"52213"</f>
        <v>52213</v>
      </c>
      <c r="C10971" s="1">
        <v>1.4029570016804599E-2</v>
      </c>
      <c r="D10971" s="1">
        <v>4.35265789961103E-3</v>
      </c>
      <c r="E10971" s="1">
        <v>4.4930357945184903E-3</v>
      </c>
      <c r="F10971" s="1">
        <v>1.2887140712359199E-2</v>
      </c>
    </row>
    <row r="10972" spans="1:6" x14ac:dyDescent="0.25">
      <c r="A10972" s="2" t="str">
        <f t="shared" si="393"/>
        <v>16300</v>
      </c>
      <c r="B10972" s="2" t="str">
        <f>"52408"</f>
        <v>52408</v>
      </c>
      <c r="C10972" s="1">
        <v>3.1682160862124701E-3</v>
      </c>
      <c r="D10972" s="1">
        <v>1.45397295795517E-2</v>
      </c>
      <c r="E10972" s="1">
        <v>2.9953571963456599E-4</v>
      </c>
      <c r="F10972" s="1">
        <v>3.87225630260663E-3</v>
      </c>
    </row>
    <row r="10973" spans="1:6" x14ac:dyDescent="0.25">
      <c r="A10973" s="2" t="str">
        <f t="shared" si="393"/>
        <v>16300</v>
      </c>
      <c r="B10973" s="2" t="str">
        <f>"52405"</f>
        <v>52405</v>
      </c>
      <c r="C10973" s="1">
        <v>9.5154402355734302E-2</v>
      </c>
      <c r="D10973" s="1">
        <v>3.4450824226708601E-2</v>
      </c>
      <c r="E10973" s="1">
        <v>7.9227197843342798E-2</v>
      </c>
      <c r="F10973" s="1">
        <v>8.9979008294780602E-2</v>
      </c>
    </row>
    <row r="10974" spans="1:6" x14ac:dyDescent="0.25">
      <c r="A10974" s="2" t="str">
        <f t="shared" si="393"/>
        <v>16300</v>
      </c>
      <c r="B10974" s="2" t="str">
        <f>"52404"</f>
        <v>52404</v>
      </c>
      <c r="C10974" s="1">
        <v>0.15674575644049701</v>
      </c>
      <c r="D10974" s="1">
        <v>0.180125949249861</v>
      </c>
      <c r="E10974" s="1">
        <v>0.26793470121311902</v>
      </c>
      <c r="F10974" s="1">
        <v>0.16350432401953699</v>
      </c>
    </row>
    <row r="10975" spans="1:6" x14ac:dyDescent="0.25">
      <c r="A10975" s="2" t="str">
        <f t="shared" si="393"/>
        <v>16300</v>
      </c>
      <c r="B10975" s="2" t="str">
        <f>"52321"</f>
        <v>52321</v>
      </c>
      <c r="C10975" s="1">
        <v>1.7344248647148601E-3</v>
      </c>
      <c r="D10975" s="1">
        <v>2.7782922763474699E-4</v>
      </c>
      <c r="E10975" s="1">
        <v>7.4883929908641596E-4</v>
      </c>
      <c r="F10975" s="1">
        <v>1.5828696815918301E-3</v>
      </c>
    </row>
    <row r="10976" spans="1:6" x14ac:dyDescent="0.25">
      <c r="A10976" s="2" t="str">
        <f t="shared" si="393"/>
        <v>16300</v>
      </c>
      <c r="B10976" s="2" t="str">
        <f>"52033"</f>
        <v>52033</v>
      </c>
      <c r="C10976" s="1">
        <v>3.1990503060296302E-3</v>
      </c>
      <c r="D10976" s="1">
        <v>7.4087794035932505E-4</v>
      </c>
      <c r="E10976" s="1">
        <v>0</v>
      </c>
      <c r="F10976" s="1">
        <v>2.8736217824607102E-3</v>
      </c>
    </row>
    <row r="10977" spans="1:6" x14ac:dyDescent="0.25">
      <c r="A10977" s="2" t="str">
        <f t="shared" si="393"/>
        <v>16300</v>
      </c>
      <c r="B10977" s="2" t="str">
        <f>"50651"</f>
        <v>50651</v>
      </c>
      <c r="C10977" s="1">
        <v>1.00211214405747E-3</v>
      </c>
      <c r="D10977" s="1">
        <v>2.7782922763474699E-4</v>
      </c>
      <c r="E10977" s="1">
        <v>0</v>
      </c>
      <c r="F10977" s="1">
        <v>9.0352647060821503E-4</v>
      </c>
    </row>
    <row r="10978" spans="1:6" x14ac:dyDescent="0.25">
      <c r="A10978" s="2" t="str">
        <f t="shared" ref="A10978:A10995" si="394">"49220"</f>
        <v>49220</v>
      </c>
      <c r="B10978" s="2" t="str">
        <f>"54489"</f>
        <v>54489</v>
      </c>
      <c r="C10978" s="1">
        <v>1.9136316057865199E-2</v>
      </c>
      <c r="D10978" s="1">
        <v>4.5766590389016001E-3</v>
      </c>
      <c r="E10978" s="1">
        <v>1.0452961672473801E-2</v>
      </c>
      <c r="F10978" s="1">
        <v>1.78731877898929E-2</v>
      </c>
    </row>
    <row r="10979" spans="1:6" x14ac:dyDescent="0.25">
      <c r="A10979" s="2" t="str">
        <f t="shared" si="394"/>
        <v>49220</v>
      </c>
      <c r="B10979" s="2" t="str">
        <f>"54420"</f>
        <v>54420</v>
      </c>
      <c r="C10979" s="1">
        <v>1.3151184948603E-3</v>
      </c>
      <c r="D10979" s="1">
        <v>0</v>
      </c>
      <c r="E10979" s="1">
        <v>0</v>
      </c>
      <c r="F10979" s="1">
        <v>1.1899269044901501E-3</v>
      </c>
    </row>
    <row r="10980" spans="1:6" x14ac:dyDescent="0.25">
      <c r="A10980" s="2" t="str">
        <f t="shared" si="394"/>
        <v>49220</v>
      </c>
      <c r="B10980" s="2" t="str">
        <f>"54495"</f>
        <v>54495</v>
      </c>
      <c r="C10980" s="1">
        <v>0.11680399366595901</v>
      </c>
      <c r="D10980" s="1">
        <v>0.20235371036286301</v>
      </c>
      <c r="E10980" s="1">
        <v>0.16957026713124199</v>
      </c>
      <c r="F10980" s="1">
        <v>0.12426236674032801</v>
      </c>
    </row>
    <row r="10981" spans="1:6" x14ac:dyDescent="0.25">
      <c r="A10981" s="2" t="str">
        <f t="shared" si="394"/>
        <v>49220</v>
      </c>
      <c r="B10981" s="2" t="str">
        <f>"54454"</f>
        <v>54454</v>
      </c>
      <c r="C10981" s="1">
        <v>1.39295203843366E-2</v>
      </c>
      <c r="D10981" s="1">
        <v>7.5187969924812E-3</v>
      </c>
      <c r="E10981" s="1">
        <v>4.6457607433217103E-3</v>
      </c>
      <c r="F10981" s="1">
        <v>1.32591855071759E-2</v>
      </c>
    </row>
    <row r="10982" spans="1:6" x14ac:dyDescent="0.25">
      <c r="A10982" s="2" t="str">
        <f t="shared" si="394"/>
        <v>49220</v>
      </c>
      <c r="B10982" s="2" t="str">
        <f>"54413"</f>
        <v>54413</v>
      </c>
      <c r="C10982" s="1">
        <v>2.8181110604149299E-3</v>
      </c>
      <c r="D10982" s="1">
        <v>0</v>
      </c>
      <c r="E10982" s="1">
        <v>1.16144018583042E-3</v>
      </c>
      <c r="F10982" s="1">
        <v>2.5741275893052199E-3</v>
      </c>
    </row>
    <row r="10983" spans="1:6" x14ac:dyDescent="0.25">
      <c r="A10983" s="2" t="str">
        <f t="shared" si="394"/>
        <v>49220</v>
      </c>
      <c r="B10983" s="2" t="str">
        <f>"54466"</f>
        <v>54466</v>
      </c>
      <c r="C10983" s="1">
        <v>3.1187095735258501E-2</v>
      </c>
      <c r="D10983" s="1">
        <v>9.4802222948676008E-3</v>
      </c>
      <c r="E10983" s="1">
        <v>1.39372822299651E-2</v>
      </c>
      <c r="F10983" s="1">
        <v>2.9213919716360202E-2</v>
      </c>
    </row>
    <row r="10984" spans="1:6" x14ac:dyDescent="0.25">
      <c r="A10984" s="2" t="str">
        <f t="shared" si="394"/>
        <v>49220</v>
      </c>
      <c r="B10984" s="2" t="str">
        <f>"54441"</f>
        <v>54441</v>
      </c>
      <c r="C10984" s="1">
        <v>8.8032421696771206E-3</v>
      </c>
      <c r="D10984" s="1">
        <v>3.269042170644E-3</v>
      </c>
      <c r="E10984" s="1">
        <v>3.4843205574912801E-3</v>
      </c>
      <c r="F10984" s="1">
        <v>8.2809198863498298E-3</v>
      </c>
    </row>
    <row r="10985" spans="1:6" x14ac:dyDescent="0.25">
      <c r="A10985" s="2" t="str">
        <f t="shared" si="394"/>
        <v>49220</v>
      </c>
      <c r="B10985" s="2" t="str">
        <f>"54415"</f>
        <v>54415</v>
      </c>
      <c r="C10985" s="1">
        <v>0</v>
      </c>
      <c r="D10985" s="1">
        <v>0</v>
      </c>
      <c r="E10985" s="1">
        <v>1.16144018583042E-3</v>
      </c>
      <c r="F10985" s="1">
        <v>2.42842225406153E-5</v>
      </c>
    </row>
    <row r="10986" spans="1:6" x14ac:dyDescent="0.25">
      <c r="A10986" s="2" t="str">
        <f t="shared" si="394"/>
        <v>49220</v>
      </c>
      <c r="B10986" s="2" t="str">
        <f>"54412"</f>
        <v>54412</v>
      </c>
      <c r="C10986" s="1">
        <v>2.4101559354786702E-2</v>
      </c>
      <c r="D10986" s="1">
        <v>1.6999019287348802E-2</v>
      </c>
      <c r="E10986" s="1">
        <v>2.3228803716608501E-2</v>
      </c>
      <c r="F10986" s="1">
        <v>2.3555695864396899E-2</v>
      </c>
    </row>
    <row r="10987" spans="1:6" x14ac:dyDescent="0.25">
      <c r="A10987" s="2" t="str">
        <f t="shared" si="394"/>
        <v>49220</v>
      </c>
      <c r="B10987" s="2" t="str">
        <f>"54494"</f>
        <v>54494</v>
      </c>
      <c r="C10987" s="1">
        <v>0.31659464827290001</v>
      </c>
      <c r="D10987" s="1">
        <v>0.278195488721804</v>
      </c>
      <c r="E10987" s="1">
        <v>0.292682926829268</v>
      </c>
      <c r="F10987" s="1">
        <v>0.31324218655139702</v>
      </c>
    </row>
    <row r="10988" spans="1:6" x14ac:dyDescent="0.25">
      <c r="A10988" s="2" t="str">
        <f t="shared" si="394"/>
        <v>49220</v>
      </c>
      <c r="B10988" s="2" t="str">
        <f>"54472"</f>
        <v>54472</v>
      </c>
      <c r="C10988" s="1">
        <v>0</v>
      </c>
      <c r="D10988" s="1">
        <v>3.2690421706440002E-4</v>
      </c>
      <c r="E10988" s="1">
        <v>0</v>
      </c>
      <c r="F10988" s="1">
        <v>2.42842225406153E-5</v>
      </c>
    </row>
    <row r="10989" spans="1:6" x14ac:dyDescent="0.25">
      <c r="A10989" s="2" t="str">
        <f t="shared" si="394"/>
        <v>49220</v>
      </c>
      <c r="B10989" s="2" t="str">
        <f>"54443"</f>
        <v>54443</v>
      </c>
      <c r="C10989" s="1">
        <v>5.0994390617032097E-4</v>
      </c>
      <c r="D10989" s="1">
        <v>0</v>
      </c>
      <c r="E10989" s="1">
        <v>0</v>
      </c>
      <c r="F10989" s="1">
        <v>4.6140022827169099E-4</v>
      </c>
    </row>
    <row r="10990" spans="1:6" x14ac:dyDescent="0.25">
      <c r="A10990" s="2" t="str">
        <f t="shared" si="394"/>
        <v>49220</v>
      </c>
      <c r="B10990" s="2" t="str">
        <f>"54449"</f>
        <v>54449</v>
      </c>
      <c r="C10990" s="1">
        <v>0.34013258541560398</v>
      </c>
      <c r="D10990" s="1">
        <v>0.41811049362536701</v>
      </c>
      <c r="E10990" s="1">
        <v>0.42160278745644503</v>
      </c>
      <c r="F10990" s="1">
        <v>0.347628645668908</v>
      </c>
    </row>
    <row r="10991" spans="1:6" x14ac:dyDescent="0.25">
      <c r="A10991" s="2" t="str">
        <f t="shared" si="394"/>
        <v>49220</v>
      </c>
      <c r="B10991" s="2" t="str">
        <f>"54475"</f>
        <v>54475</v>
      </c>
      <c r="C10991" s="1">
        <v>1.6398722456319199E-2</v>
      </c>
      <c r="D10991" s="1">
        <v>5.2304674730304004E-3</v>
      </c>
      <c r="E10991" s="1">
        <v>5.80720092915214E-3</v>
      </c>
      <c r="F10991" s="1">
        <v>1.5347628645668901E-2</v>
      </c>
    </row>
    <row r="10992" spans="1:6" x14ac:dyDescent="0.25">
      <c r="A10992" s="2" t="str">
        <f t="shared" si="394"/>
        <v>49220</v>
      </c>
      <c r="B10992" s="2" t="str">
        <f>"54457"</f>
        <v>54457</v>
      </c>
      <c r="C10992" s="1">
        <v>6.4011379800853405E-2</v>
      </c>
      <c r="D10992" s="1">
        <v>3.7267080745341602E-2</v>
      </c>
      <c r="E10992" s="1">
        <v>3.1358885017421602E-2</v>
      </c>
      <c r="F10992" s="1">
        <v>6.1341946137594403E-2</v>
      </c>
    </row>
    <row r="10993" spans="1:6" x14ac:dyDescent="0.25">
      <c r="A10993" s="2" t="str">
        <f t="shared" si="394"/>
        <v>49220</v>
      </c>
      <c r="B10993" s="2" t="str">
        <f>"54469"</f>
        <v>54469</v>
      </c>
      <c r="C10993" s="1">
        <v>2.0022008105424101E-2</v>
      </c>
      <c r="D10993" s="1">
        <v>1.1441647597254001E-2</v>
      </c>
      <c r="E10993" s="1">
        <v>1.5098722415795501E-2</v>
      </c>
      <c r="F10993" s="1">
        <v>1.9281672697248502E-2</v>
      </c>
    </row>
    <row r="10994" spans="1:6" x14ac:dyDescent="0.25">
      <c r="A10994" s="2" t="str">
        <f t="shared" si="394"/>
        <v>49220</v>
      </c>
      <c r="B10994" s="2" t="str">
        <f>"54404"</f>
        <v>54404</v>
      </c>
      <c r="C10994" s="1">
        <v>0</v>
      </c>
      <c r="D10994" s="1">
        <v>3.2690421706440002E-4</v>
      </c>
      <c r="E10994" s="1">
        <v>0</v>
      </c>
      <c r="F10994" s="1">
        <v>2.42842225406153E-5</v>
      </c>
    </row>
    <row r="10995" spans="1:6" x14ac:dyDescent="0.25">
      <c r="A10995" s="2" t="str">
        <f t="shared" si="394"/>
        <v>49220</v>
      </c>
      <c r="B10995" s="2" t="str">
        <f>"54410"</f>
        <v>54410</v>
      </c>
      <c r="C10995" s="1">
        <v>2.4235755119568402E-2</v>
      </c>
      <c r="D10995" s="1">
        <v>4.9035632559659998E-3</v>
      </c>
      <c r="E10995" s="1">
        <v>5.80720092915214E-3</v>
      </c>
      <c r="F10995" s="1">
        <v>2.24143374049879E-2</v>
      </c>
    </row>
    <row r="10996" spans="1:6" x14ac:dyDescent="0.25">
      <c r="A10996" s="2" t="str">
        <f t="shared" ref="A10996:A11017" si="395">"36780"</f>
        <v>36780</v>
      </c>
      <c r="B10996" s="2" t="str">
        <f>"54980"</f>
        <v>54980</v>
      </c>
      <c r="C10996" s="1">
        <v>2.23233663636476E-4</v>
      </c>
      <c r="D10996" s="1">
        <v>0</v>
      </c>
      <c r="E10996" s="1">
        <v>5.2659294365455498E-4</v>
      </c>
      <c r="F10996" s="1">
        <v>2.2058255853709601E-4</v>
      </c>
    </row>
    <row r="10997" spans="1:6" x14ac:dyDescent="0.25">
      <c r="A10997" s="2" t="str">
        <f t="shared" si="395"/>
        <v>36780</v>
      </c>
      <c r="B10997" s="2" t="str">
        <f>"54956"</f>
        <v>54956</v>
      </c>
      <c r="C10997" s="1">
        <v>0.24973646025820601</v>
      </c>
      <c r="D10997" s="1">
        <v>0.21785828791279199</v>
      </c>
      <c r="E10997" s="1">
        <v>0.23407056345444899</v>
      </c>
      <c r="F10997" s="1">
        <v>0.246887028642645</v>
      </c>
    </row>
    <row r="10998" spans="1:6" x14ac:dyDescent="0.25">
      <c r="A10998" s="2" t="str">
        <f t="shared" si="395"/>
        <v>36780</v>
      </c>
      <c r="B10998" s="2" t="str">
        <f>"54906"</f>
        <v>54906</v>
      </c>
      <c r="C10998" s="1">
        <v>0</v>
      </c>
      <c r="D10998" s="1">
        <v>3.2061558191728102E-4</v>
      </c>
      <c r="E10998" s="1">
        <v>0</v>
      </c>
      <c r="F10998" s="1">
        <v>2.2058255853709599E-5</v>
      </c>
    </row>
    <row r="10999" spans="1:6" x14ac:dyDescent="0.25">
      <c r="A10999" s="2" t="str">
        <f t="shared" si="395"/>
        <v>36780</v>
      </c>
      <c r="B10999" s="2" t="str">
        <f>"54923"</f>
        <v>54923</v>
      </c>
      <c r="C10999" s="1">
        <v>1.56263564545533E-3</v>
      </c>
      <c r="D10999" s="1">
        <v>4.8092337287592102E-4</v>
      </c>
      <c r="E10999" s="1">
        <v>0</v>
      </c>
      <c r="F10999" s="1">
        <v>1.4227575025642699E-3</v>
      </c>
    </row>
    <row r="11000" spans="1:6" x14ac:dyDescent="0.25">
      <c r="A11000" s="2" t="str">
        <f t="shared" si="395"/>
        <v>36780</v>
      </c>
      <c r="B11000" s="2" t="str">
        <f>"54957"</f>
        <v>54957</v>
      </c>
      <c r="C11000" s="1">
        <v>6.0025051777807996E-3</v>
      </c>
      <c r="D11000" s="1">
        <v>4.8092337287592102E-2</v>
      </c>
      <c r="E11000" s="1">
        <v>5.2659294365455498E-4</v>
      </c>
      <c r="F11000" s="1">
        <v>8.6688945505078892E-3</v>
      </c>
    </row>
    <row r="11001" spans="1:6" x14ac:dyDescent="0.25">
      <c r="A11001" s="2" t="str">
        <f t="shared" si="395"/>
        <v>36780</v>
      </c>
      <c r="B11001" s="2" t="str">
        <f>"54915"</f>
        <v>54915</v>
      </c>
      <c r="C11001" s="1">
        <v>2.3191497277789401E-2</v>
      </c>
      <c r="D11001" s="1">
        <v>1.6992625841615899E-2</v>
      </c>
      <c r="E11001" s="1">
        <v>6.5824117956819306E-2</v>
      </c>
      <c r="F11001" s="1">
        <v>2.4550838765178801E-2</v>
      </c>
    </row>
    <row r="11002" spans="1:6" x14ac:dyDescent="0.25">
      <c r="A11002" s="2" t="str">
        <f t="shared" si="395"/>
        <v>36780</v>
      </c>
      <c r="B11002" s="2" t="str">
        <f>"54940"</f>
        <v>54940</v>
      </c>
      <c r="C11002" s="1">
        <v>7.4659258616199299E-3</v>
      </c>
      <c r="D11002" s="1">
        <v>2.4046168643796001E-3</v>
      </c>
      <c r="E11002" s="1">
        <v>1.5797788309636601E-3</v>
      </c>
      <c r="F11002" s="1">
        <v>6.8711466984305502E-3</v>
      </c>
    </row>
    <row r="11003" spans="1:6" x14ac:dyDescent="0.25">
      <c r="A11003" s="2" t="str">
        <f t="shared" si="395"/>
        <v>36780</v>
      </c>
      <c r="B11003" s="2" t="str">
        <f>"54971"</f>
        <v>54971</v>
      </c>
      <c r="C11003" s="1">
        <v>2.5299815212133899E-3</v>
      </c>
      <c r="D11003" s="1">
        <v>8.0153895479320204E-4</v>
      </c>
      <c r="E11003" s="1">
        <v>0</v>
      </c>
      <c r="F11003" s="1">
        <v>2.30508773671265E-3</v>
      </c>
    </row>
    <row r="11004" spans="1:6" x14ac:dyDescent="0.25">
      <c r="A11004" s="2" t="str">
        <f t="shared" si="395"/>
        <v>36780</v>
      </c>
      <c r="B11004" s="2" t="str">
        <f>"54947"</f>
        <v>54947</v>
      </c>
      <c r="C11004" s="1">
        <v>1.52170947378864E-2</v>
      </c>
      <c r="D11004" s="1">
        <v>5.4504648925937796E-3</v>
      </c>
      <c r="E11004" s="1">
        <v>2.1063717746182199E-3</v>
      </c>
      <c r="F11004" s="1">
        <v>1.3995963339178699E-2</v>
      </c>
    </row>
    <row r="11005" spans="1:6" x14ac:dyDescent="0.25">
      <c r="A11005" s="2" t="str">
        <f t="shared" si="395"/>
        <v>36780</v>
      </c>
      <c r="B11005" s="2" t="str">
        <f>"54963"</f>
        <v>54963</v>
      </c>
      <c r="C11005" s="1">
        <v>4.1471853955576503E-2</v>
      </c>
      <c r="D11005" s="1">
        <v>2.5969862135299698E-2</v>
      </c>
      <c r="E11005" s="1">
        <v>1.1321748288572899E-2</v>
      </c>
      <c r="F11005" s="1">
        <v>3.91423750124077E-2</v>
      </c>
    </row>
    <row r="11006" spans="1:6" x14ac:dyDescent="0.25">
      <c r="A11006" s="2" t="str">
        <f t="shared" si="395"/>
        <v>36780</v>
      </c>
      <c r="B11006" s="2" t="str">
        <f>"54903"</f>
        <v>54903</v>
      </c>
      <c r="C11006" s="1">
        <v>1.7871094961120101E-2</v>
      </c>
      <c r="D11006" s="1">
        <v>9.2176979801218306E-2</v>
      </c>
      <c r="E11006" s="1">
        <v>1.05318588730911E-3</v>
      </c>
      <c r="F11006" s="1">
        <v>2.2278838412246701E-2</v>
      </c>
    </row>
    <row r="11007" spans="1:6" x14ac:dyDescent="0.25">
      <c r="A11007" s="2" t="str">
        <f t="shared" si="395"/>
        <v>36780</v>
      </c>
      <c r="B11007" s="2" t="str">
        <f>"54902"</f>
        <v>54902</v>
      </c>
      <c r="C11007" s="1">
        <v>0.144816638349063</v>
      </c>
      <c r="D11007" s="1">
        <v>0.14299454953510701</v>
      </c>
      <c r="E11007" s="1">
        <v>0.12480252764612899</v>
      </c>
      <c r="F11007" s="1">
        <v>0.14385291554996699</v>
      </c>
    </row>
    <row r="11008" spans="1:6" x14ac:dyDescent="0.25">
      <c r="A11008" s="2" t="str">
        <f t="shared" si="395"/>
        <v>36780</v>
      </c>
      <c r="B11008" s="2" t="str">
        <f>"54964"</f>
        <v>54964</v>
      </c>
      <c r="C11008" s="1">
        <v>4.7003088065680296E-3</v>
      </c>
      <c r="D11008" s="1">
        <v>2.5649246553382399E-3</v>
      </c>
      <c r="E11008" s="1">
        <v>2.63296471827277E-4</v>
      </c>
      <c r="F11008" s="1">
        <v>4.3675346590345103E-3</v>
      </c>
    </row>
    <row r="11009" spans="1:6" x14ac:dyDescent="0.25">
      <c r="A11009" s="2" t="str">
        <f t="shared" si="395"/>
        <v>36780</v>
      </c>
      <c r="B11009" s="2" t="str">
        <f>"54944"</f>
        <v>54944</v>
      </c>
      <c r="C11009" s="1">
        <v>1.2401870202026399E-5</v>
      </c>
      <c r="D11009" s="1">
        <v>0</v>
      </c>
      <c r="E11009" s="1">
        <v>0</v>
      </c>
      <c r="F11009" s="1">
        <v>1.1029127926854799E-5</v>
      </c>
    </row>
    <row r="11010" spans="1:6" x14ac:dyDescent="0.25">
      <c r="A11010" s="2" t="str">
        <f t="shared" si="395"/>
        <v>36780</v>
      </c>
      <c r="B11010" s="2" t="str">
        <f>"54914"</f>
        <v>54914</v>
      </c>
      <c r="C11010" s="1">
        <v>5.07236491262882E-3</v>
      </c>
      <c r="D11010" s="1">
        <v>1.13818531580634E-2</v>
      </c>
      <c r="E11010" s="1">
        <v>5.2659294365455496E-3</v>
      </c>
      <c r="F11010" s="1">
        <v>5.51456396342741E-3</v>
      </c>
    </row>
    <row r="11011" spans="1:6" x14ac:dyDescent="0.25">
      <c r="A11011" s="2" t="str">
        <f t="shared" si="395"/>
        <v>36780</v>
      </c>
      <c r="B11011" s="2" t="str">
        <f>"54901"</f>
        <v>54901</v>
      </c>
      <c r="C11011" s="1">
        <v>0.192737464809693</v>
      </c>
      <c r="D11011" s="1">
        <v>0.17890349470984199</v>
      </c>
      <c r="E11011" s="1">
        <v>0.22959452343338499</v>
      </c>
      <c r="F11011" s="1">
        <v>0.193329583429838</v>
      </c>
    </row>
    <row r="11012" spans="1:6" x14ac:dyDescent="0.25">
      <c r="A11012" s="2" t="str">
        <f t="shared" si="395"/>
        <v>36780</v>
      </c>
      <c r="B11012" s="2" t="str">
        <f>"54985"</f>
        <v>54985</v>
      </c>
      <c r="C11012" s="1">
        <v>2.85243014646608E-4</v>
      </c>
      <c r="D11012" s="1">
        <v>0</v>
      </c>
      <c r="E11012" s="1">
        <v>2.63296471827277E-4</v>
      </c>
      <c r="F11012" s="1">
        <v>2.6469907024451498E-4</v>
      </c>
    </row>
    <row r="11013" spans="1:6" x14ac:dyDescent="0.25">
      <c r="A11013" s="2" t="str">
        <f t="shared" si="395"/>
        <v>36780</v>
      </c>
      <c r="B11013" s="2" t="str">
        <f>"54952"</f>
        <v>54952</v>
      </c>
      <c r="C11013" s="1">
        <v>0.123758262746022</v>
      </c>
      <c r="D11013" s="1">
        <v>0.12135299775569</v>
      </c>
      <c r="E11013" s="1">
        <v>0.125065824117956</v>
      </c>
      <c r="F11013" s="1">
        <v>0.12364755318796899</v>
      </c>
    </row>
    <row r="11014" spans="1:6" x14ac:dyDescent="0.25">
      <c r="A11014" s="2" t="str">
        <f t="shared" si="395"/>
        <v>36780</v>
      </c>
      <c r="B11014" s="2" t="str">
        <f>"54979"</f>
        <v>54979</v>
      </c>
      <c r="C11014" s="1">
        <v>5.2087854848511096E-4</v>
      </c>
      <c r="D11014" s="1">
        <v>3.2061558191728102E-4</v>
      </c>
      <c r="E11014" s="1">
        <v>0</v>
      </c>
      <c r="F11014" s="1">
        <v>4.8528162878161201E-4</v>
      </c>
    </row>
    <row r="11015" spans="1:6" x14ac:dyDescent="0.25">
      <c r="A11015" s="2" t="str">
        <f t="shared" si="395"/>
        <v>36780</v>
      </c>
      <c r="B11015" s="2" t="str">
        <f>"54904"</f>
        <v>54904</v>
      </c>
      <c r="C11015" s="1">
        <v>0.12678431907531601</v>
      </c>
      <c r="D11015" s="1">
        <v>0.11606284065405501</v>
      </c>
      <c r="E11015" s="1">
        <v>0.18404423380726601</v>
      </c>
      <c r="F11015" s="1">
        <v>0.12844522383615101</v>
      </c>
    </row>
    <row r="11016" spans="1:6" x14ac:dyDescent="0.25">
      <c r="A11016" s="2" t="str">
        <f t="shared" si="395"/>
        <v>36780</v>
      </c>
      <c r="B11016" s="2" t="str">
        <f>"54986"</f>
        <v>54986</v>
      </c>
      <c r="C11016" s="1">
        <v>3.2976572867188303E-2</v>
      </c>
      <c r="D11016" s="1">
        <v>1.58704713049054E-2</v>
      </c>
      <c r="E11016" s="1">
        <v>1.3164823591363801E-2</v>
      </c>
      <c r="F11016" s="1">
        <v>3.0969791218608302E-2</v>
      </c>
    </row>
    <row r="11017" spans="1:6" x14ac:dyDescent="0.25">
      <c r="A11017" s="2" t="str">
        <f t="shared" si="395"/>
        <v>36780</v>
      </c>
      <c r="B11017" s="2" t="str">
        <f>"54927"</f>
        <v>54927</v>
      </c>
      <c r="C11017" s="1">
        <v>3.0632619399005301E-3</v>
      </c>
      <c r="D11017" s="1">
        <v>0</v>
      </c>
      <c r="E11017" s="1">
        <v>5.2659294365455498E-4</v>
      </c>
      <c r="F11017" s="1">
        <v>2.7462528537868501E-3</v>
      </c>
    </row>
    <row r="11018" spans="1:6" x14ac:dyDescent="0.25">
      <c r="A11018" s="2" t="str">
        <f t="shared" ref="A11018:A11030" si="396">"36940"</f>
        <v>36940</v>
      </c>
      <c r="B11018" s="2" t="str">
        <f>"56046"</f>
        <v>56046</v>
      </c>
      <c r="C11018" s="1">
        <v>2.4313153415998E-3</v>
      </c>
      <c r="D11018" s="1">
        <v>7.2639225181597997E-3</v>
      </c>
      <c r="E11018" s="1">
        <v>0</v>
      </c>
      <c r="F11018" s="1">
        <v>2.6850786344457199E-3</v>
      </c>
    </row>
    <row r="11019" spans="1:6" x14ac:dyDescent="0.25">
      <c r="A11019" s="2" t="str">
        <f t="shared" si="396"/>
        <v>36940</v>
      </c>
      <c r="B11019" s="2" t="str">
        <f>"55946"</f>
        <v>55946</v>
      </c>
      <c r="C11019" s="1">
        <v>4.8626306831996098E-4</v>
      </c>
      <c r="D11019" s="1">
        <v>0</v>
      </c>
      <c r="E11019" s="1">
        <v>0</v>
      </c>
      <c r="F11019" s="1">
        <v>4.3838018521562798E-4</v>
      </c>
    </row>
    <row r="11020" spans="1:6" x14ac:dyDescent="0.25">
      <c r="A11020" s="2" t="str">
        <f t="shared" si="396"/>
        <v>36940</v>
      </c>
      <c r="B11020" s="2" t="str">
        <f>"55985"</f>
        <v>55985</v>
      </c>
      <c r="C11020" s="1">
        <v>1.27644055433989E-3</v>
      </c>
      <c r="D11020" s="1">
        <v>0</v>
      </c>
      <c r="E11020" s="1">
        <v>0</v>
      </c>
      <c r="F11020" s="1">
        <v>1.15074798619102E-3</v>
      </c>
    </row>
    <row r="11021" spans="1:6" x14ac:dyDescent="0.25">
      <c r="A11021" s="2" t="str">
        <f t="shared" si="396"/>
        <v>36940</v>
      </c>
      <c r="B11021" s="2" t="str">
        <f>"56093"</f>
        <v>56093</v>
      </c>
      <c r="C11021" s="1">
        <v>5.2881108679795697E-3</v>
      </c>
      <c r="D11021" s="1">
        <v>2.4213075060532602E-3</v>
      </c>
      <c r="E11021" s="1">
        <v>1.7921146953405001E-3</v>
      </c>
      <c r="F11021" s="1">
        <v>4.98657460682777E-3</v>
      </c>
    </row>
    <row r="11022" spans="1:6" x14ac:dyDescent="0.25">
      <c r="A11022" s="2" t="str">
        <f t="shared" si="396"/>
        <v>36940</v>
      </c>
      <c r="B11022" s="2" t="str">
        <f>"55924"</f>
        <v>55924</v>
      </c>
      <c r="C11022" s="1">
        <v>7.90177486019936E-3</v>
      </c>
      <c r="D11022" s="1">
        <v>8.07102502017756E-4</v>
      </c>
      <c r="E11022" s="1">
        <v>0</v>
      </c>
      <c r="F11022" s="1">
        <v>7.1784755329059096E-3</v>
      </c>
    </row>
    <row r="11023" spans="1:6" x14ac:dyDescent="0.25">
      <c r="A11023" s="2" t="str">
        <f t="shared" si="396"/>
        <v>36940</v>
      </c>
      <c r="B11023" s="2" t="str">
        <f>"56042"</f>
        <v>56042</v>
      </c>
      <c r="C11023" s="1">
        <v>1.2156576707999E-4</v>
      </c>
      <c r="D11023" s="1">
        <v>0</v>
      </c>
      <c r="E11023" s="1">
        <v>0</v>
      </c>
      <c r="F11023" s="1">
        <v>1.0959504630390699E-4</v>
      </c>
    </row>
    <row r="11024" spans="1:6" x14ac:dyDescent="0.25">
      <c r="A11024" s="2" t="str">
        <f t="shared" si="396"/>
        <v>36940</v>
      </c>
      <c r="B11024" s="2" t="str">
        <f>"55917"</f>
        <v>55917</v>
      </c>
      <c r="C11024" s="1">
        <v>7.4884512521273996E-2</v>
      </c>
      <c r="D11024" s="1">
        <v>3.7933817594834503E-2</v>
      </c>
      <c r="E11024" s="1">
        <v>5.1971326164874501E-2</v>
      </c>
      <c r="F11024" s="1">
        <v>7.1675160282755196E-2</v>
      </c>
    </row>
    <row r="11025" spans="1:6" x14ac:dyDescent="0.25">
      <c r="A11025" s="2" t="str">
        <f t="shared" si="396"/>
        <v>36940</v>
      </c>
      <c r="B11025" s="2" t="str">
        <f>"55052"</f>
        <v>55052</v>
      </c>
      <c r="C11025" s="1">
        <v>7.2939460247994101E-4</v>
      </c>
      <c r="D11025" s="1">
        <v>0</v>
      </c>
      <c r="E11025" s="1">
        <v>0</v>
      </c>
      <c r="F11025" s="1">
        <v>6.5757027782344199E-4</v>
      </c>
    </row>
    <row r="11026" spans="1:6" x14ac:dyDescent="0.25">
      <c r="A11026" s="2" t="str">
        <f t="shared" si="396"/>
        <v>36940</v>
      </c>
      <c r="B11026" s="2" t="str">
        <f>"55049"</f>
        <v>55049</v>
      </c>
      <c r="C11026" s="1">
        <v>6.3882810600534801E-2</v>
      </c>
      <c r="D11026" s="1">
        <v>7.3446327683615795E-2</v>
      </c>
      <c r="E11026" s="1">
        <v>3.0465949820788499E-2</v>
      </c>
      <c r="F11026" s="1">
        <v>6.3510329333114096E-2</v>
      </c>
    </row>
    <row r="11027" spans="1:6" x14ac:dyDescent="0.25">
      <c r="A11027" s="2" t="str">
        <f t="shared" si="396"/>
        <v>36940</v>
      </c>
      <c r="B11027" s="2" t="str">
        <f>"55021"</f>
        <v>55021</v>
      </c>
      <c r="C11027" s="1">
        <v>3.03914417699975E-4</v>
      </c>
      <c r="D11027" s="1">
        <v>0</v>
      </c>
      <c r="E11027" s="1">
        <v>0</v>
      </c>
      <c r="F11027" s="1">
        <v>2.7398761575976702E-4</v>
      </c>
    </row>
    <row r="11028" spans="1:6" x14ac:dyDescent="0.25">
      <c r="A11028" s="2" t="str">
        <f t="shared" si="396"/>
        <v>36940</v>
      </c>
      <c r="B11028" s="2" t="str">
        <f>"55060"</f>
        <v>55060</v>
      </c>
      <c r="C11028" s="1">
        <v>0.79765378069535597</v>
      </c>
      <c r="D11028" s="1">
        <v>0.86844229217110502</v>
      </c>
      <c r="E11028" s="1">
        <v>0.90322580645161199</v>
      </c>
      <c r="F11028" s="1">
        <v>0.80568798290317201</v>
      </c>
    </row>
    <row r="11029" spans="1:6" x14ac:dyDescent="0.25">
      <c r="A11029" s="2" t="str">
        <f t="shared" si="396"/>
        <v>36940</v>
      </c>
      <c r="B11029" s="2" t="str">
        <f>"56026"</f>
        <v>56026</v>
      </c>
      <c r="C11029" s="1">
        <v>3.8597131047896902E-2</v>
      </c>
      <c r="D11029" s="1">
        <v>9.6852300242130703E-3</v>
      </c>
      <c r="E11029" s="1">
        <v>1.2544802867383501E-2</v>
      </c>
      <c r="F11029" s="1">
        <v>3.5837580141377598E-2</v>
      </c>
    </row>
    <row r="11030" spans="1:6" x14ac:dyDescent="0.25">
      <c r="A11030" s="2" t="str">
        <f t="shared" si="396"/>
        <v>36940</v>
      </c>
      <c r="B11030" s="2" t="str">
        <f>"56072"</f>
        <v>56072</v>
      </c>
      <c r="C11030" s="1">
        <v>6.4429856552394799E-3</v>
      </c>
      <c r="D11030" s="1">
        <v>0</v>
      </c>
      <c r="E11030" s="1">
        <v>0</v>
      </c>
      <c r="F11030" s="1">
        <v>5.8085374541070704E-3</v>
      </c>
    </row>
    <row r="11031" spans="1:6" x14ac:dyDescent="0.25">
      <c r="A11031" s="2" t="str">
        <f t="shared" ref="A11031:A11076" si="397">"41060"</f>
        <v>41060</v>
      </c>
      <c r="B11031" s="2" t="str">
        <f>"56333"</f>
        <v>56333</v>
      </c>
      <c r="C11031" s="1">
        <v>0</v>
      </c>
      <c r="D11031" s="1">
        <v>0</v>
      </c>
      <c r="E11031" s="1">
        <v>3.0816640986132502E-4</v>
      </c>
      <c r="F11031" s="1">
        <v>1.01373612448679E-5</v>
      </c>
    </row>
    <row r="11032" spans="1:6" x14ac:dyDescent="0.25">
      <c r="A11032" s="2" t="str">
        <f t="shared" si="397"/>
        <v>41060</v>
      </c>
      <c r="B11032" s="2" t="str">
        <f>"56329"</f>
        <v>56329</v>
      </c>
      <c r="C11032" s="1">
        <v>3.1700190269094798E-2</v>
      </c>
      <c r="D11032" s="1">
        <v>1.0698198198198099E-2</v>
      </c>
      <c r="E11032" s="1">
        <v>1.2942989214175599E-2</v>
      </c>
      <c r="F11032" s="1">
        <v>2.95706827512798E-2</v>
      </c>
    </row>
    <row r="11033" spans="1:6" x14ac:dyDescent="0.25">
      <c r="A11033" s="2" t="str">
        <f t="shared" si="397"/>
        <v>41060</v>
      </c>
      <c r="B11033" s="2" t="str">
        <f>"56320"</f>
        <v>56320</v>
      </c>
      <c r="C11033" s="1">
        <v>4.13155748844794E-2</v>
      </c>
      <c r="D11033" s="1">
        <v>3.5613738738738701E-2</v>
      </c>
      <c r="E11033" s="1">
        <v>2.9892141756548501E-2</v>
      </c>
      <c r="F11033" s="1">
        <v>4.0529170256982099E-2</v>
      </c>
    </row>
    <row r="11034" spans="1:6" x14ac:dyDescent="0.25">
      <c r="A11034" s="2" t="str">
        <f t="shared" si="397"/>
        <v>41060</v>
      </c>
      <c r="B11034" s="2" t="str">
        <f>"56302"</f>
        <v>56302</v>
      </c>
      <c r="C11034" s="1">
        <v>1.7565914650720299E-2</v>
      </c>
      <c r="D11034" s="1">
        <v>9.9380630630630601E-2</v>
      </c>
      <c r="E11034" s="1">
        <v>9.2449922958397505E-4</v>
      </c>
      <c r="F11034" s="1">
        <v>2.29104364134015E-2</v>
      </c>
    </row>
    <row r="11035" spans="1:6" x14ac:dyDescent="0.25">
      <c r="A11035" s="2" t="str">
        <f t="shared" si="397"/>
        <v>41060</v>
      </c>
      <c r="B11035" s="2" t="str">
        <f>"56369"</f>
        <v>56369</v>
      </c>
      <c r="C11035" s="1">
        <v>3.6241732354806499E-4</v>
      </c>
      <c r="D11035" s="1">
        <v>0</v>
      </c>
      <c r="E11035" s="1">
        <v>3.0816640986132502E-4</v>
      </c>
      <c r="F11035" s="1">
        <v>3.34532921080642E-4</v>
      </c>
    </row>
    <row r="11036" spans="1:6" x14ac:dyDescent="0.25">
      <c r="A11036" s="2" t="str">
        <f t="shared" si="397"/>
        <v>41060</v>
      </c>
      <c r="B11036" s="2" t="str">
        <f>"56368"</f>
        <v>56368</v>
      </c>
      <c r="C11036" s="1">
        <v>2.67282776116698E-2</v>
      </c>
      <c r="D11036" s="1">
        <v>9.9943693693693592E-3</v>
      </c>
      <c r="E11036" s="1">
        <v>8.32049306625577E-3</v>
      </c>
      <c r="F11036" s="1">
        <v>2.49176339398854E-2</v>
      </c>
    </row>
    <row r="11037" spans="1:6" x14ac:dyDescent="0.25">
      <c r="A11037" s="2" t="str">
        <f t="shared" si="397"/>
        <v>41060</v>
      </c>
      <c r="B11037" s="2" t="str">
        <f>"56325"</f>
        <v>56325</v>
      </c>
      <c r="C11037" s="1">
        <v>9.6267101567454902E-4</v>
      </c>
      <c r="D11037" s="1">
        <v>0</v>
      </c>
      <c r="E11037" s="1">
        <v>3.0816640986132502E-4</v>
      </c>
      <c r="F11037" s="1">
        <v>8.7181306705864405E-4</v>
      </c>
    </row>
    <row r="11038" spans="1:6" x14ac:dyDescent="0.25">
      <c r="A11038" s="2" t="str">
        <f t="shared" si="397"/>
        <v>41060</v>
      </c>
      <c r="B11038" s="2" t="str">
        <f>"56316"</f>
        <v>56316</v>
      </c>
      <c r="C11038" s="1">
        <v>6.5235118238651801E-3</v>
      </c>
      <c r="D11038" s="1">
        <v>1.8299549549549499E-3</v>
      </c>
      <c r="E11038" s="1">
        <v>4.0061633281972204E-3</v>
      </c>
      <c r="F11038" s="1">
        <v>6.10269146941051E-3</v>
      </c>
    </row>
    <row r="11039" spans="1:6" x14ac:dyDescent="0.25">
      <c r="A11039" s="2" t="str">
        <f t="shared" si="397"/>
        <v>41060</v>
      </c>
      <c r="B11039" s="2" t="str">
        <f>"56321"</f>
        <v>56321</v>
      </c>
      <c r="C11039" s="1">
        <v>3.3976624082631101E-5</v>
      </c>
      <c r="D11039" s="1">
        <v>0</v>
      </c>
      <c r="E11039" s="1">
        <v>9.2449922958397505E-4</v>
      </c>
      <c r="F11039" s="1">
        <v>6.0824167469207697E-5</v>
      </c>
    </row>
    <row r="11040" spans="1:6" x14ac:dyDescent="0.25">
      <c r="A11040" s="2" t="str">
        <f t="shared" si="397"/>
        <v>41060</v>
      </c>
      <c r="B11040" s="2" t="str">
        <f>"56301"</f>
        <v>56301</v>
      </c>
      <c r="C11040" s="1">
        <v>0.16412974540183001</v>
      </c>
      <c r="D11040" s="1">
        <v>0.237331081081081</v>
      </c>
      <c r="E11040" s="1">
        <v>0.27827426810477601</v>
      </c>
      <c r="F11040" s="1">
        <v>0.173156267423589</v>
      </c>
    </row>
    <row r="11041" spans="1:6" x14ac:dyDescent="0.25">
      <c r="A11041" s="2" t="str">
        <f t="shared" si="397"/>
        <v>41060</v>
      </c>
      <c r="B11041" s="2" t="str">
        <f>"56304"</f>
        <v>56304</v>
      </c>
      <c r="C11041" s="1">
        <v>4.3750566277067998E-2</v>
      </c>
      <c r="D11041" s="1">
        <v>4.8564189189189103E-2</v>
      </c>
      <c r="E11041" s="1">
        <v>8.0431432973805797E-2</v>
      </c>
      <c r="F11041" s="1">
        <v>4.53038674033149E-2</v>
      </c>
    </row>
    <row r="11042" spans="1:6" x14ac:dyDescent="0.25">
      <c r="A11042" s="2" t="str">
        <f t="shared" si="397"/>
        <v>41060</v>
      </c>
      <c r="B11042" s="2" t="str">
        <f>"56373"</f>
        <v>56373</v>
      </c>
      <c r="C11042" s="1">
        <v>1.4270182114704999E-3</v>
      </c>
      <c r="D11042" s="1">
        <v>2.8153153153153099E-4</v>
      </c>
      <c r="E11042" s="1">
        <v>0</v>
      </c>
      <c r="F11042" s="1">
        <v>1.2975822393430901E-3</v>
      </c>
    </row>
    <row r="11043" spans="1:6" x14ac:dyDescent="0.25">
      <c r="A11043" s="2" t="str">
        <f t="shared" si="397"/>
        <v>41060</v>
      </c>
      <c r="B11043" s="2" t="str">
        <f>"56387"</f>
        <v>56387</v>
      </c>
      <c r="C11043" s="1">
        <v>4.7487994926157399E-2</v>
      </c>
      <c r="D11043" s="1">
        <v>0.10501126126126099</v>
      </c>
      <c r="E11043" s="1">
        <v>6.4714946070878202E-2</v>
      </c>
      <c r="F11043" s="1">
        <v>5.2197273049825098E-2</v>
      </c>
    </row>
    <row r="11044" spans="1:6" x14ac:dyDescent="0.25">
      <c r="A11044" s="2" t="str">
        <f t="shared" si="397"/>
        <v>41060</v>
      </c>
      <c r="B11044" s="2" t="str">
        <f>"56374"</f>
        <v>56374</v>
      </c>
      <c r="C11044" s="1">
        <v>4.0602065778744201E-2</v>
      </c>
      <c r="D11044" s="1">
        <v>1.7173423423423401E-2</v>
      </c>
      <c r="E11044" s="1">
        <v>2.7426810477657899E-2</v>
      </c>
      <c r="F11044" s="1">
        <v>3.84814232855187E-2</v>
      </c>
    </row>
    <row r="11045" spans="1:6" x14ac:dyDescent="0.25">
      <c r="A11045" s="2" t="str">
        <f t="shared" si="397"/>
        <v>41060</v>
      </c>
      <c r="B11045" s="2" t="str">
        <f>"55353"</f>
        <v>55353</v>
      </c>
      <c r="C11045" s="1">
        <v>1.16539820603424E-2</v>
      </c>
      <c r="D11045" s="1">
        <v>4.3637387387387297E-3</v>
      </c>
      <c r="E11045" s="1">
        <v>2.7734976887519198E-3</v>
      </c>
      <c r="F11045" s="1">
        <v>1.08368391707638E-2</v>
      </c>
    </row>
    <row r="11046" spans="1:6" x14ac:dyDescent="0.25">
      <c r="A11046" s="2" t="str">
        <f t="shared" si="397"/>
        <v>41060</v>
      </c>
      <c r="B11046" s="2" t="str">
        <f>"56362"</f>
        <v>56362</v>
      </c>
      <c r="C11046" s="1">
        <v>3.20739331340038E-2</v>
      </c>
      <c r="D11046" s="1">
        <v>3.7725225225225201E-2</v>
      </c>
      <c r="E11046" s="1">
        <v>2.5577812018489899E-2</v>
      </c>
      <c r="F11046" s="1">
        <v>3.22672208424147E-2</v>
      </c>
    </row>
    <row r="11047" spans="1:6" x14ac:dyDescent="0.25">
      <c r="A11047" s="2" t="str">
        <f t="shared" si="397"/>
        <v>41060</v>
      </c>
      <c r="B11047" s="2" t="str">
        <f>"56399"</f>
        <v>56399</v>
      </c>
      <c r="C11047" s="1">
        <v>0</v>
      </c>
      <c r="D11047" s="1">
        <v>1.4076576576576501E-4</v>
      </c>
      <c r="E11047" s="1">
        <v>0</v>
      </c>
      <c r="F11047" s="1">
        <v>1.01373612448679E-5</v>
      </c>
    </row>
    <row r="11048" spans="1:6" x14ac:dyDescent="0.25">
      <c r="A11048" s="2" t="str">
        <f t="shared" si="397"/>
        <v>41060</v>
      </c>
      <c r="B11048" s="2" t="str">
        <f>"56393"</f>
        <v>56393</v>
      </c>
      <c r="C11048" s="1">
        <v>0</v>
      </c>
      <c r="D11048" s="1">
        <v>1.4076576576576501E-4</v>
      </c>
      <c r="E11048" s="1">
        <v>0</v>
      </c>
      <c r="F11048" s="1">
        <v>1.01373612448679E-5</v>
      </c>
    </row>
    <row r="11049" spans="1:6" x14ac:dyDescent="0.25">
      <c r="A11049" s="2" t="str">
        <f t="shared" si="397"/>
        <v>41060</v>
      </c>
      <c r="B11049" s="2" t="str">
        <f>"56377"</f>
        <v>56377</v>
      </c>
      <c r="C11049" s="1">
        <v>9.8985231494065407E-2</v>
      </c>
      <c r="D11049" s="1">
        <v>6.7567567567567502E-2</v>
      </c>
      <c r="E11049" s="1">
        <v>7.2727272727272696E-2</v>
      </c>
      <c r="F11049" s="1">
        <v>9.5858887931471404E-2</v>
      </c>
    </row>
    <row r="11050" spans="1:6" x14ac:dyDescent="0.25">
      <c r="A11050" s="2" t="str">
        <f t="shared" si="397"/>
        <v>41060</v>
      </c>
      <c r="B11050" s="2" t="str">
        <f>"55371"</f>
        <v>55371</v>
      </c>
      <c r="C11050" s="1">
        <v>6.2290477484823698E-4</v>
      </c>
      <c r="D11050" s="1">
        <v>2.8153153153153099E-4</v>
      </c>
      <c r="E11050" s="1">
        <v>6.1633281972265004E-4</v>
      </c>
      <c r="F11050" s="1">
        <v>5.9810431344720896E-4</v>
      </c>
    </row>
    <row r="11051" spans="1:6" x14ac:dyDescent="0.25">
      <c r="A11051" s="2" t="str">
        <f t="shared" si="397"/>
        <v>41060</v>
      </c>
      <c r="B11051" s="2" t="str">
        <f>"56331"</f>
        <v>56331</v>
      </c>
      <c r="C11051" s="1">
        <v>7.9731811180574399E-3</v>
      </c>
      <c r="D11051" s="1">
        <v>1.12612612612612E-3</v>
      </c>
      <c r="E11051" s="1">
        <v>1.2326656394453001E-3</v>
      </c>
      <c r="F11051" s="1">
        <v>7.2583506513254504E-3</v>
      </c>
    </row>
    <row r="11052" spans="1:6" x14ac:dyDescent="0.25">
      <c r="A11052" s="2" t="str">
        <f t="shared" si="397"/>
        <v>41060</v>
      </c>
      <c r="B11052" s="2" t="str">
        <f>"56312"</f>
        <v>56312</v>
      </c>
      <c r="C11052" s="1">
        <v>9.9324997734891694E-3</v>
      </c>
      <c r="D11052" s="1">
        <v>4.2229729729729697E-3</v>
      </c>
      <c r="E11052" s="1">
        <v>8.9368258859784198E-3</v>
      </c>
      <c r="F11052" s="1">
        <v>9.4885701251964105E-3</v>
      </c>
    </row>
    <row r="11053" spans="1:6" x14ac:dyDescent="0.25">
      <c r="A11053" s="2" t="str">
        <f t="shared" si="397"/>
        <v>41060</v>
      </c>
      <c r="B11053" s="2" t="str">
        <f>"56307"</f>
        <v>56307</v>
      </c>
      <c r="C11053" s="1">
        <v>2.3126755458910901E-2</v>
      </c>
      <c r="D11053" s="1">
        <v>1.4639639639639599E-2</v>
      </c>
      <c r="E11053" s="1">
        <v>1.9414483821263401E-2</v>
      </c>
      <c r="F11053" s="1">
        <v>2.23934309899133E-2</v>
      </c>
    </row>
    <row r="11054" spans="1:6" x14ac:dyDescent="0.25">
      <c r="A11054" s="2" t="str">
        <f t="shared" si="397"/>
        <v>41060</v>
      </c>
      <c r="B11054" s="2" t="str">
        <f>"56371"</f>
        <v>56371</v>
      </c>
      <c r="C11054" s="1">
        <v>6.5688139893086805E-4</v>
      </c>
      <c r="D11054" s="1">
        <v>8.4459459459459399E-4</v>
      </c>
      <c r="E11054" s="1">
        <v>0</v>
      </c>
      <c r="F11054" s="1">
        <v>6.4879111967154905E-4</v>
      </c>
    </row>
    <row r="11055" spans="1:6" x14ac:dyDescent="0.25">
      <c r="A11055" s="2" t="str">
        <f t="shared" si="397"/>
        <v>41060</v>
      </c>
      <c r="B11055" s="2" t="str">
        <f>"56385"</f>
        <v>56385</v>
      </c>
      <c r="C11055" s="1">
        <v>1.92534203134909E-4</v>
      </c>
      <c r="D11055" s="1">
        <v>1.4076576576576501E-4</v>
      </c>
      <c r="E11055" s="1">
        <v>0</v>
      </c>
      <c r="F11055" s="1">
        <v>1.82472502407623E-4</v>
      </c>
    </row>
    <row r="11056" spans="1:6" x14ac:dyDescent="0.25">
      <c r="A11056" s="2" t="str">
        <f t="shared" si="397"/>
        <v>41060</v>
      </c>
      <c r="B11056" s="2" t="str">
        <f>"56378"</f>
        <v>56378</v>
      </c>
      <c r="C11056" s="1">
        <v>3.3466974721391603E-2</v>
      </c>
      <c r="D11056" s="1">
        <v>4.96903153153153E-2</v>
      </c>
      <c r="E11056" s="1">
        <v>4.0986132511556202E-2</v>
      </c>
      <c r="F11056" s="1">
        <v>3.4882660043590599E-2</v>
      </c>
    </row>
    <row r="11057" spans="1:6" x14ac:dyDescent="0.25">
      <c r="A11057" s="2" t="str">
        <f t="shared" si="397"/>
        <v>41060</v>
      </c>
      <c r="B11057" s="2" t="str">
        <f>"55382"</f>
        <v>55382</v>
      </c>
      <c r="C11057" s="1">
        <v>1.09291474132463E-2</v>
      </c>
      <c r="D11057" s="1">
        <v>5.6306306306306295E-4</v>
      </c>
      <c r="E11057" s="1">
        <v>9.2449922958397505E-4</v>
      </c>
      <c r="F11057" s="1">
        <v>9.8535151300116492E-3</v>
      </c>
    </row>
    <row r="11058" spans="1:6" x14ac:dyDescent="0.25">
      <c r="A11058" s="2" t="str">
        <f t="shared" si="397"/>
        <v>41060</v>
      </c>
      <c r="B11058" s="2" t="str">
        <f>"55329"</f>
        <v>55329</v>
      </c>
      <c r="C11058" s="1">
        <v>5.8326538008516803E-3</v>
      </c>
      <c r="D11058" s="1">
        <v>4.22297297297297E-4</v>
      </c>
      <c r="E11058" s="1">
        <v>3.3898305084745701E-3</v>
      </c>
      <c r="F11058" s="1">
        <v>5.3626640985351502E-3</v>
      </c>
    </row>
    <row r="11059" spans="1:6" x14ac:dyDescent="0.25">
      <c r="A11059" s="2" t="str">
        <f t="shared" si="397"/>
        <v>41060</v>
      </c>
      <c r="B11059" s="2" t="str">
        <f>"56352"</f>
        <v>56352</v>
      </c>
      <c r="C11059" s="1">
        <v>2.74304611760442E-2</v>
      </c>
      <c r="D11059" s="1">
        <v>2.6604729729729701E-2</v>
      </c>
      <c r="E11059" s="1">
        <v>1.7873651771956801E-2</v>
      </c>
      <c r="F11059" s="1">
        <v>2.7056617162552501E-2</v>
      </c>
    </row>
    <row r="11060" spans="1:6" x14ac:dyDescent="0.25">
      <c r="A11060" s="2" t="str">
        <f t="shared" si="397"/>
        <v>41060</v>
      </c>
      <c r="B11060" s="2" t="str">
        <f>"56336"</f>
        <v>56336</v>
      </c>
      <c r="C11060" s="1">
        <v>5.4362598532209795E-4</v>
      </c>
      <c r="D11060" s="1">
        <v>0</v>
      </c>
      <c r="E11060" s="1">
        <v>3.0816640986132502E-4</v>
      </c>
      <c r="F11060" s="1">
        <v>4.9673070099852997E-4</v>
      </c>
    </row>
    <row r="11061" spans="1:6" x14ac:dyDescent="0.25">
      <c r="A11061" s="2" t="str">
        <f t="shared" si="397"/>
        <v>41060</v>
      </c>
      <c r="B11061" s="2" t="str">
        <f>"56314"</f>
        <v>56314</v>
      </c>
      <c r="C11061" s="1">
        <v>3.0578961674367999E-4</v>
      </c>
      <c r="D11061" s="1">
        <v>0</v>
      </c>
      <c r="E11061" s="1">
        <v>0</v>
      </c>
      <c r="F11061" s="1">
        <v>2.73708753611434E-4</v>
      </c>
    </row>
    <row r="11062" spans="1:6" x14ac:dyDescent="0.25">
      <c r="A11062" s="2" t="str">
        <f t="shared" si="397"/>
        <v>41060</v>
      </c>
      <c r="B11062" s="2" t="str">
        <f>"56303"</f>
        <v>56303</v>
      </c>
      <c r="C11062" s="1">
        <v>0.14087840898794901</v>
      </c>
      <c r="D11062" s="1">
        <v>0.103462837837837</v>
      </c>
      <c r="E11062" s="1">
        <v>0.14268104776579299</v>
      </c>
      <c r="F11062" s="1">
        <v>0.138243195296264</v>
      </c>
    </row>
    <row r="11063" spans="1:6" x14ac:dyDescent="0.25">
      <c r="A11063" s="2" t="str">
        <f t="shared" si="397"/>
        <v>41060</v>
      </c>
      <c r="B11063" s="2" t="str">
        <f>"56376"</f>
        <v>56376</v>
      </c>
      <c r="C11063" s="1">
        <v>0</v>
      </c>
      <c r="D11063" s="1">
        <v>0</v>
      </c>
      <c r="E11063" s="1">
        <v>3.0816640986132502E-4</v>
      </c>
      <c r="F11063" s="1">
        <v>1.01373612448679E-5</v>
      </c>
    </row>
    <row r="11064" spans="1:6" x14ac:dyDescent="0.25">
      <c r="A11064" s="2" t="str">
        <f t="shared" si="397"/>
        <v>41060</v>
      </c>
      <c r="B11064" s="2" t="str">
        <f>"55320"</f>
        <v>55320</v>
      </c>
      <c r="C11064" s="1">
        <v>9.0491075473407602E-3</v>
      </c>
      <c r="D11064" s="1">
        <v>4.2229729729729697E-3</v>
      </c>
      <c r="E11064" s="1">
        <v>1.2326656394453001E-3</v>
      </c>
      <c r="F11064" s="1">
        <v>8.4444219169750104E-3</v>
      </c>
    </row>
    <row r="11065" spans="1:6" x14ac:dyDescent="0.25">
      <c r="A11065" s="2" t="str">
        <f t="shared" si="397"/>
        <v>41060</v>
      </c>
      <c r="B11065" s="2" t="str">
        <f>"56356"</f>
        <v>56356</v>
      </c>
      <c r="C11065" s="1">
        <v>0</v>
      </c>
      <c r="D11065" s="1">
        <v>0</v>
      </c>
      <c r="E11065" s="1">
        <v>3.0816640986132502E-4</v>
      </c>
      <c r="F11065" s="1">
        <v>1.01373612448679E-5</v>
      </c>
    </row>
    <row r="11066" spans="1:6" x14ac:dyDescent="0.25">
      <c r="A11066" s="2" t="str">
        <f t="shared" si="397"/>
        <v>41060</v>
      </c>
      <c r="B11066" s="2" t="str">
        <f>"56335"</f>
        <v>56335</v>
      </c>
      <c r="C11066" s="1">
        <v>3.3976624082631101E-5</v>
      </c>
      <c r="D11066" s="1">
        <v>0</v>
      </c>
      <c r="E11066" s="1">
        <v>3.0816640986132502E-4</v>
      </c>
      <c r="F11066" s="1">
        <v>4.0549444979471802E-5</v>
      </c>
    </row>
    <row r="11067" spans="1:6" x14ac:dyDescent="0.25">
      <c r="A11067" s="2" t="str">
        <f t="shared" si="397"/>
        <v>41060</v>
      </c>
      <c r="B11067" s="2" t="str">
        <f>"56395"</f>
        <v>56395</v>
      </c>
      <c r="C11067" s="1">
        <v>0</v>
      </c>
      <c r="D11067" s="1">
        <v>4.22297297297297E-4</v>
      </c>
      <c r="E11067" s="1">
        <v>9.2449922958397505E-4</v>
      </c>
      <c r="F11067" s="1">
        <v>6.0824167469207697E-5</v>
      </c>
    </row>
    <row r="11068" spans="1:6" x14ac:dyDescent="0.25">
      <c r="A11068" s="2" t="str">
        <f t="shared" si="397"/>
        <v>41060</v>
      </c>
      <c r="B11068" s="2" t="str">
        <f>"56379"</f>
        <v>56379</v>
      </c>
      <c r="C11068" s="1">
        <v>8.7138715230587999E-2</v>
      </c>
      <c r="D11068" s="1">
        <v>9.16385135135135E-2</v>
      </c>
      <c r="E11068" s="1">
        <v>0.12326656394453001</v>
      </c>
      <c r="F11068" s="1">
        <v>8.86512240863703E-2</v>
      </c>
    </row>
    <row r="11069" spans="1:6" x14ac:dyDescent="0.25">
      <c r="A11069" s="2" t="str">
        <f t="shared" si="397"/>
        <v>41060</v>
      </c>
      <c r="B11069" s="2" t="str">
        <f>"56375"</f>
        <v>56375</v>
      </c>
      <c r="C11069" s="1">
        <v>3.7374286490894199E-3</v>
      </c>
      <c r="D11069" s="1">
        <v>1.9707207207207201E-3</v>
      </c>
      <c r="E11069" s="1">
        <v>2.7734976887519198E-3</v>
      </c>
      <c r="F11069" s="1">
        <v>3.5784885194383902E-3</v>
      </c>
    </row>
    <row r="11070" spans="1:6" x14ac:dyDescent="0.25">
      <c r="A11070" s="2" t="str">
        <f t="shared" si="397"/>
        <v>41060</v>
      </c>
      <c r="B11070" s="2" t="str">
        <f>"56357"</f>
        <v>56357</v>
      </c>
      <c r="C11070" s="1">
        <v>3.8053818972546799E-3</v>
      </c>
      <c r="D11070" s="1">
        <v>4.22297297297297E-4</v>
      </c>
      <c r="E11070" s="1">
        <v>0</v>
      </c>
      <c r="F11070" s="1">
        <v>3.4365654620102299E-3</v>
      </c>
    </row>
    <row r="11071" spans="1:6" x14ac:dyDescent="0.25">
      <c r="A11071" s="2" t="str">
        <f t="shared" si="397"/>
        <v>41060</v>
      </c>
      <c r="B11071" s="2" t="str">
        <f>"56340"</f>
        <v>56340</v>
      </c>
      <c r="C11071" s="1">
        <v>7.4635317568179701E-3</v>
      </c>
      <c r="D11071" s="1">
        <v>3.8006756756756698E-3</v>
      </c>
      <c r="E11071" s="1">
        <v>2.15716486902927E-3</v>
      </c>
      <c r="F11071" s="1">
        <v>7.02519134269349E-3</v>
      </c>
    </row>
    <row r="11072" spans="1:6" x14ac:dyDescent="0.25">
      <c r="A11072" s="2" t="str">
        <f t="shared" si="397"/>
        <v>41060</v>
      </c>
      <c r="B11072" s="2" t="str">
        <f>"56330"</f>
        <v>56330</v>
      </c>
      <c r="C11072" s="1">
        <v>1.05327534656156E-3</v>
      </c>
      <c r="D11072" s="1">
        <v>0</v>
      </c>
      <c r="E11072" s="1">
        <v>0</v>
      </c>
      <c r="F11072" s="1">
        <v>9.4277459577271996E-4</v>
      </c>
    </row>
    <row r="11073" spans="1:6" x14ac:dyDescent="0.25">
      <c r="A11073" s="2" t="str">
        <f t="shared" si="397"/>
        <v>41060</v>
      </c>
      <c r="B11073" s="2" t="str">
        <f>"56310"</f>
        <v>56310</v>
      </c>
      <c r="C11073" s="1">
        <v>2.47010057080728E-2</v>
      </c>
      <c r="D11073" s="1">
        <v>8.1644144144144108E-3</v>
      </c>
      <c r="E11073" s="1">
        <v>1.01694915254237E-2</v>
      </c>
      <c r="F11073" s="1">
        <v>2.3032084748339999E-2</v>
      </c>
    </row>
    <row r="11074" spans="1:6" x14ac:dyDescent="0.25">
      <c r="A11074" s="2" t="str">
        <f t="shared" si="397"/>
        <v>41060</v>
      </c>
      <c r="B11074" s="2" t="str">
        <f>"56398"</f>
        <v>56398</v>
      </c>
      <c r="C11074" s="1">
        <v>0</v>
      </c>
      <c r="D11074" s="1">
        <v>0</v>
      </c>
      <c r="E11074" s="1">
        <v>3.0816640986132502E-4</v>
      </c>
      <c r="F11074" s="1">
        <v>1.01373612448679E-5</v>
      </c>
    </row>
    <row r="11075" spans="1:6" x14ac:dyDescent="0.25">
      <c r="A11075" s="2" t="str">
        <f t="shared" si="397"/>
        <v>41060</v>
      </c>
      <c r="B11075" s="2" t="str">
        <f>"56367"</f>
        <v>56367</v>
      </c>
      <c r="C11075" s="1">
        <v>3.3534927969556899E-2</v>
      </c>
      <c r="D11075" s="1">
        <v>1.12612612612612E-2</v>
      </c>
      <c r="E11075" s="1">
        <v>1.07858243451463E-2</v>
      </c>
      <c r="F11075" s="1">
        <v>3.1182523189213801E-2</v>
      </c>
    </row>
    <row r="11076" spans="1:6" x14ac:dyDescent="0.25">
      <c r="A11076" s="2" t="str">
        <f t="shared" si="397"/>
        <v>41060</v>
      </c>
      <c r="B11076" s="2" t="str">
        <f>"55389"</f>
        <v>55389</v>
      </c>
      <c r="C11076" s="1">
        <v>2.2877593548971602E-3</v>
      </c>
      <c r="D11076" s="1">
        <v>2.8153153153153099E-4</v>
      </c>
      <c r="E11076" s="1">
        <v>1.2326656394453001E-3</v>
      </c>
      <c r="F11076" s="1">
        <v>2.10857113893253E-3</v>
      </c>
    </row>
    <row r="11077" spans="1:6" x14ac:dyDescent="0.25">
      <c r="A11077" s="2" t="str">
        <f t="shared" ref="A11077:A11092" si="398">"26780"</f>
        <v>26780</v>
      </c>
      <c r="B11077" s="2" t="str">
        <f>"55396"</f>
        <v>55396</v>
      </c>
      <c r="C11077" s="1">
        <v>7.5187969924812002E-4</v>
      </c>
      <c r="D11077" s="1">
        <v>0</v>
      </c>
      <c r="E11077" s="1">
        <v>0</v>
      </c>
      <c r="F11077" s="1">
        <v>6.7754502851335302E-4</v>
      </c>
    </row>
    <row r="11078" spans="1:6" x14ac:dyDescent="0.25">
      <c r="A11078" s="2" t="str">
        <f t="shared" si="398"/>
        <v>26780</v>
      </c>
      <c r="B11078" s="2" t="str">
        <f>"55338"</f>
        <v>55338</v>
      </c>
      <c r="C11078" s="1">
        <v>3.1328320802005E-4</v>
      </c>
      <c r="D11078" s="1">
        <v>0</v>
      </c>
      <c r="E11078" s="1">
        <v>0</v>
      </c>
      <c r="F11078" s="1">
        <v>2.8231042854723001E-4</v>
      </c>
    </row>
    <row r="11079" spans="1:6" x14ac:dyDescent="0.25">
      <c r="A11079" s="2" t="str">
        <f t="shared" si="398"/>
        <v>26780</v>
      </c>
      <c r="B11079" s="2" t="str">
        <f>"55335"</f>
        <v>55335</v>
      </c>
      <c r="C11079" s="1">
        <v>6.2656641604009997E-5</v>
      </c>
      <c r="D11079" s="1">
        <v>0</v>
      </c>
      <c r="E11079" s="1">
        <v>0</v>
      </c>
      <c r="F11079" s="1">
        <v>5.6462085709446101E-5</v>
      </c>
    </row>
    <row r="11080" spans="1:6" x14ac:dyDescent="0.25">
      <c r="A11080" s="2" t="str">
        <f t="shared" si="398"/>
        <v>26780</v>
      </c>
      <c r="B11080" s="2" t="str">
        <f>"55336"</f>
        <v>55336</v>
      </c>
      <c r="C11080" s="1">
        <v>0.220551378446115</v>
      </c>
      <c r="D11080" s="1">
        <v>0.258278145695364</v>
      </c>
      <c r="E11080" s="1">
        <v>0.16758747697974199</v>
      </c>
      <c r="F11080" s="1">
        <v>0.22150076223815701</v>
      </c>
    </row>
    <row r="11081" spans="1:6" x14ac:dyDescent="0.25">
      <c r="A11081" s="2" t="str">
        <f t="shared" si="398"/>
        <v>26780</v>
      </c>
      <c r="B11081" s="2" t="str">
        <f>"55355"</f>
        <v>55355</v>
      </c>
      <c r="C11081" s="1">
        <v>6.2656641604009997E-5</v>
      </c>
      <c r="D11081" s="1">
        <v>0</v>
      </c>
      <c r="E11081" s="1">
        <v>0</v>
      </c>
      <c r="F11081" s="1">
        <v>5.6462085709446101E-5</v>
      </c>
    </row>
    <row r="11082" spans="1:6" x14ac:dyDescent="0.25">
      <c r="A11082" s="2" t="str">
        <f t="shared" si="398"/>
        <v>26780</v>
      </c>
      <c r="B11082" s="2" t="str">
        <f>"55381"</f>
        <v>55381</v>
      </c>
      <c r="C11082" s="1">
        <v>4.6992481203007502E-2</v>
      </c>
      <c r="D11082" s="1">
        <v>1.32450331125827E-2</v>
      </c>
      <c r="E11082" s="1">
        <v>1.8416206261510099E-2</v>
      </c>
      <c r="F11082" s="1">
        <v>4.3814578510530097E-2</v>
      </c>
    </row>
    <row r="11083" spans="1:6" x14ac:dyDescent="0.25">
      <c r="A11083" s="2" t="str">
        <f t="shared" si="398"/>
        <v>26780</v>
      </c>
      <c r="B11083" s="2" t="str">
        <f>"55350"</f>
        <v>55350</v>
      </c>
      <c r="C11083" s="1">
        <v>0.519987468671679</v>
      </c>
      <c r="D11083" s="1">
        <v>0.625</v>
      </c>
      <c r="E11083" s="1">
        <v>0.67771639042357201</v>
      </c>
      <c r="F11083" s="1">
        <v>0.53198577155440097</v>
      </c>
    </row>
    <row r="11084" spans="1:6" x14ac:dyDescent="0.25">
      <c r="A11084" s="2" t="str">
        <f t="shared" si="398"/>
        <v>26780</v>
      </c>
      <c r="B11084" s="2" t="str">
        <f>"55385"</f>
        <v>55385</v>
      </c>
      <c r="C11084" s="1">
        <v>2.2619047619047601E-2</v>
      </c>
      <c r="D11084" s="1">
        <v>9.1059602649006602E-3</v>
      </c>
      <c r="E11084" s="1">
        <v>7.3664825046040501E-3</v>
      </c>
      <c r="F11084" s="1">
        <v>2.1229744226751699E-2</v>
      </c>
    </row>
    <row r="11085" spans="1:6" x14ac:dyDescent="0.25">
      <c r="A11085" s="2" t="str">
        <f t="shared" si="398"/>
        <v>26780</v>
      </c>
      <c r="B11085" s="2" t="str">
        <f>"55354"</f>
        <v>55354</v>
      </c>
      <c r="C11085" s="1">
        <v>6.2719298245613994E-2</v>
      </c>
      <c r="D11085" s="1">
        <v>2.4006622516556199E-2</v>
      </c>
      <c r="E11085" s="1">
        <v>3.4990791896869197E-2</v>
      </c>
      <c r="F11085" s="1">
        <v>5.9228727909208898E-2</v>
      </c>
    </row>
    <row r="11086" spans="1:6" x14ac:dyDescent="0.25">
      <c r="A11086" s="2" t="str">
        <f t="shared" si="398"/>
        <v>26780</v>
      </c>
      <c r="B11086" s="2" t="str">
        <f>"55339"</f>
        <v>55339</v>
      </c>
      <c r="C11086" s="1">
        <v>3.7593984962406001E-4</v>
      </c>
      <c r="D11086" s="1">
        <v>0</v>
      </c>
      <c r="E11086" s="1">
        <v>0</v>
      </c>
      <c r="F11086" s="1">
        <v>3.3877251425667602E-4</v>
      </c>
    </row>
    <row r="11087" spans="1:6" x14ac:dyDescent="0.25">
      <c r="A11087" s="2" t="str">
        <f t="shared" si="398"/>
        <v>26780</v>
      </c>
      <c r="B11087" s="2" t="str">
        <f>"55397"</f>
        <v>55397</v>
      </c>
      <c r="C11087" s="1">
        <v>5.6390977443609004E-4</v>
      </c>
      <c r="D11087" s="1">
        <v>0</v>
      </c>
      <c r="E11087" s="1">
        <v>1.8416206261510099E-3</v>
      </c>
      <c r="F11087" s="1">
        <v>5.6462085709446099E-4</v>
      </c>
    </row>
    <row r="11088" spans="1:6" x14ac:dyDescent="0.25">
      <c r="A11088" s="2" t="str">
        <f t="shared" si="398"/>
        <v>26780</v>
      </c>
      <c r="B11088" s="2" t="str">
        <f>"55370"</f>
        <v>55370</v>
      </c>
      <c r="C11088" s="1">
        <v>1.47243107769423E-2</v>
      </c>
      <c r="D11088" s="1">
        <v>3.3112582781456902E-3</v>
      </c>
      <c r="E11088" s="1">
        <v>1.8416206261510099E-3</v>
      </c>
      <c r="F11088" s="1">
        <v>1.3550900570267E-2</v>
      </c>
    </row>
    <row r="11089" spans="1:6" x14ac:dyDescent="0.25">
      <c r="A11089" s="2" t="str">
        <f t="shared" si="398"/>
        <v>26780</v>
      </c>
      <c r="B11089" s="2" t="str">
        <f>"55395"</f>
        <v>55395</v>
      </c>
      <c r="C11089" s="1">
        <v>7.90726817042606E-2</v>
      </c>
      <c r="D11089" s="1">
        <v>6.4569536423841001E-2</v>
      </c>
      <c r="E11089" s="1">
        <v>7.7348066298342497E-2</v>
      </c>
      <c r="F11089" s="1">
        <v>7.8030602450454498E-2</v>
      </c>
    </row>
    <row r="11090" spans="1:6" x14ac:dyDescent="0.25">
      <c r="A11090" s="2" t="str">
        <f t="shared" si="398"/>
        <v>26780</v>
      </c>
      <c r="B11090" s="2" t="str">
        <f>"55367"</f>
        <v>55367</v>
      </c>
      <c r="C11090" s="1">
        <v>3.7593984962406001E-4</v>
      </c>
      <c r="D11090" s="1">
        <v>0</v>
      </c>
      <c r="E11090" s="1">
        <v>0</v>
      </c>
      <c r="F11090" s="1">
        <v>3.3877251425667602E-4</v>
      </c>
    </row>
    <row r="11091" spans="1:6" x14ac:dyDescent="0.25">
      <c r="A11091" s="2" t="str">
        <f t="shared" si="398"/>
        <v>26780</v>
      </c>
      <c r="B11091" s="2" t="str">
        <f>"55368"</f>
        <v>55368</v>
      </c>
      <c r="C11091" s="1">
        <v>7.5187969924812002E-4</v>
      </c>
      <c r="D11091" s="1">
        <v>0</v>
      </c>
      <c r="E11091" s="1">
        <v>0</v>
      </c>
      <c r="F11091" s="1">
        <v>6.7754502851335302E-4</v>
      </c>
    </row>
    <row r="11092" spans="1:6" x14ac:dyDescent="0.25">
      <c r="A11092" s="2" t="str">
        <f t="shared" si="398"/>
        <v>26780</v>
      </c>
      <c r="B11092" s="2" t="str">
        <f>"55312"</f>
        <v>55312</v>
      </c>
      <c r="C11092" s="1">
        <v>3.00751879699248E-2</v>
      </c>
      <c r="D11092" s="1">
        <v>2.4834437086092699E-3</v>
      </c>
      <c r="E11092" s="1">
        <v>1.2891344383057E-2</v>
      </c>
      <c r="F11092" s="1">
        <v>2.7666421997628501E-2</v>
      </c>
    </row>
    <row r="11093" spans="1:6" x14ac:dyDescent="0.25">
      <c r="A11093" s="2" t="str">
        <f t="shared" ref="A11093:A11111" si="399">"12380"</f>
        <v>12380</v>
      </c>
      <c r="B11093" s="2" t="str">
        <f>"55918"</f>
        <v>55918</v>
      </c>
      <c r="C11093" s="1">
        <v>2.6287401351274602E-2</v>
      </c>
      <c r="D11093" s="1">
        <v>9.6061479346781897E-3</v>
      </c>
      <c r="E11093" s="1">
        <v>1.3262599469495999E-2</v>
      </c>
      <c r="F11093" s="1">
        <v>2.48866446826051E-2</v>
      </c>
    </row>
    <row r="11094" spans="1:6" x14ac:dyDescent="0.25">
      <c r="A11094" s="2" t="str">
        <f t="shared" si="399"/>
        <v>12380</v>
      </c>
      <c r="B11094" s="2" t="str">
        <f>"55909"</f>
        <v>55909</v>
      </c>
      <c r="C11094" s="1">
        <v>3.6393572929086397E-2</v>
      </c>
      <c r="D11094" s="1">
        <v>1.8251681075888499E-2</v>
      </c>
      <c r="E11094" s="1">
        <v>1.72413793103448E-2</v>
      </c>
      <c r="F11094" s="1">
        <v>3.46764220939818E-2</v>
      </c>
    </row>
    <row r="11095" spans="1:6" x14ac:dyDescent="0.25">
      <c r="A11095" s="2" t="str">
        <f t="shared" si="399"/>
        <v>12380</v>
      </c>
      <c r="B11095" s="2" t="str">
        <f>"55977"</f>
        <v>55977</v>
      </c>
      <c r="C11095" s="1">
        <v>5.1666382785442496E-3</v>
      </c>
      <c r="D11095" s="1">
        <v>0</v>
      </c>
      <c r="E11095" s="1">
        <v>2.6525198938992002E-3</v>
      </c>
      <c r="F11095" s="1">
        <v>4.7918384171475601E-3</v>
      </c>
    </row>
    <row r="11096" spans="1:6" x14ac:dyDescent="0.25">
      <c r="A11096" s="2" t="str">
        <f t="shared" si="399"/>
        <v>12380</v>
      </c>
      <c r="B11096" s="2" t="str">
        <f>"55973"</f>
        <v>55973</v>
      </c>
      <c r="C11096" s="1">
        <v>6.8131493783001101E-3</v>
      </c>
      <c r="D11096" s="1">
        <v>7.6849183477425498E-3</v>
      </c>
      <c r="E11096" s="1">
        <v>3.9787798408488003E-3</v>
      </c>
      <c r="F11096" s="1">
        <v>6.7497938994229099E-3</v>
      </c>
    </row>
    <row r="11097" spans="1:6" x14ac:dyDescent="0.25">
      <c r="A11097" s="2" t="str">
        <f t="shared" si="399"/>
        <v>12380</v>
      </c>
      <c r="B11097" s="2" t="str">
        <f>"55970"</f>
        <v>55970</v>
      </c>
      <c r="C11097" s="1">
        <v>2.2313064213932799E-2</v>
      </c>
      <c r="D11097" s="1">
        <v>2.1133525456292001E-2</v>
      </c>
      <c r="E11097" s="1">
        <v>1.0610079575596801E-2</v>
      </c>
      <c r="F11097" s="1">
        <v>2.17951360263808E-2</v>
      </c>
    </row>
    <row r="11098" spans="1:6" x14ac:dyDescent="0.25">
      <c r="A11098" s="2" t="str">
        <f t="shared" si="399"/>
        <v>12380</v>
      </c>
      <c r="B11098" s="2" t="str">
        <f>"55967"</f>
        <v>55967</v>
      </c>
      <c r="C11098" s="1">
        <v>1.9985238176346998E-2</v>
      </c>
      <c r="D11098" s="1">
        <v>1.7291066282420699E-2</v>
      </c>
      <c r="E11098" s="1">
        <v>2.6525198938992002E-3</v>
      </c>
      <c r="F11098" s="1">
        <v>1.9167353668590199E-2</v>
      </c>
    </row>
    <row r="11099" spans="1:6" x14ac:dyDescent="0.25">
      <c r="A11099" s="2" t="str">
        <f t="shared" si="399"/>
        <v>12380</v>
      </c>
      <c r="B11099" s="2" t="str">
        <f>"55917"</f>
        <v>55917</v>
      </c>
      <c r="C11099" s="1">
        <v>4.6556520751717401E-3</v>
      </c>
      <c r="D11099" s="1">
        <v>9.6061479346781905E-4</v>
      </c>
      <c r="E11099" s="1">
        <v>0</v>
      </c>
      <c r="F11099" s="1">
        <v>4.2765869744435204E-3</v>
      </c>
    </row>
    <row r="11100" spans="1:6" x14ac:dyDescent="0.25">
      <c r="A11100" s="2" t="str">
        <f t="shared" si="399"/>
        <v>12380</v>
      </c>
      <c r="B11100" s="2" t="str">
        <f>"55982"</f>
        <v>55982</v>
      </c>
      <c r="C11100" s="1">
        <v>1.1468801453471801E-2</v>
      </c>
      <c r="D11100" s="1">
        <v>2.8818443804034498E-3</v>
      </c>
      <c r="E11100" s="1">
        <v>1.3262599469496001E-3</v>
      </c>
      <c r="F11100" s="1">
        <v>1.0614179719703199E-2</v>
      </c>
    </row>
    <row r="11101" spans="1:6" x14ac:dyDescent="0.25">
      <c r="A11101" s="2" t="str">
        <f t="shared" si="399"/>
        <v>12380</v>
      </c>
      <c r="B11101" s="2" t="str">
        <f>"55976"</f>
        <v>55976</v>
      </c>
      <c r="C11101" s="1">
        <v>1.02197240674501E-3</v>
      </c>
      <c r="D11101" s="1">
        <v>0</v>
      </c>
      <c r="E11101" s="1">
        <v>0</v>
      </c>
      <c r="F11101" s="1">
        <v>9.2745259686727104E-4</v>
      </c>
    </row>
    <row r="11102" spans="1:6" x14ac:dyDescent="0.25">
      <c r="A11102" s="2" t="str">
        <f t="shared" si="399"/>
        <v>12380</v>
      </c>
      <c r="B11102" s="2" t="str">
        <f>"55961"</f>
        <v>55961</v>
      </c>
      <c r="C11102" s="1">
        <v>2.5549310168625399E-3</v>
      </c>
      <c r="D11102" s="1">
        <v>0</v>
      </c>
      <c r="E11102" s="1">
        <v>0</v>
      </c>
      <c r="F11102" s="1">
        <v>2.3186314921681702E-3</v>
      </c>
    </row>
    <row r="11103" spans="1:6" x14ac:dyDescent="0.25">
      <c r="A11103" s="2" t="str">
        <f t="shared" si="399"/>
        <v>12380</v>
      </c>
      <c r="B11103" s="2" t="str">
        <f>"55926"</f>
        <v>55926</v>
      </c>
      <c r="C11103" s="1">
        <v>1.89632657696019E-2</v>
      </c>
      <c r="D11103" s="1">
        <v>1.53698366954851E-2</v>
      </c>
      <c r="E11103" s="1">
        <v>1.72413793103448E-2</v>
      </c>
      <c r="F11103" s="1">
        <v>1.87036273701566E-2</v>
      </c>
    </row>
    <row r="11104" spans="1:6" x14ac:dyDescent="0.25">
      <c r="A11104" s="2" t="str">
        <f t="shared" si="399"/>
        <v>12380</v>
      </c>
      <c r="B11104" s="2" t="str">
        <f>"55912"</f>
        <v>55912</v>
      </c>
      <c r="C11104" s="1">
        <v>0.728836654743655</v>
      </c>
      <c r="D11104" s="1">
        <v>0.82708933717579203</v>
      </c>
      <c r="E11104" s="1">
        <v>0.86737400530503905</v>
      </c>
      <c r="F11104" s="1">
        <v>0.73948887056883705</v>
      </c>
    </row>
    <row r="11105" spans="1:6" x14ac:dyDescent="0.25">
      <c r="A11105" s="2" t="str">
        <f t="shared" si="399"/>
        <v>12380</v>
      </c>
      <c r="B11105" s="2" t="str">
        <f>"55975"</f>
        <v>55975</v>
      </c>
      <c r="C11105" s="1">
        <v>4.3149946062567401E-3</v>
      </c>
      <c r="D11105" s="1">
        <v>4.8030739673390896E-3</v>
      </c>
      <c r="E11105" s="1">
        <v>0</v>
      </c>
      <c r="F11105" s="1">
        <v>4.1735366859027203E-3</v>
      </c>
    </row>
    <row r="11106" spans="1:6" x14ac:dyDescent="0.25">
      <c r="A11106" s="2" t="str">
        <f t="shared" si="399"/>
        <v>12380</v>
      </c>
      <c r="B11106" s="2" t="str">
        <f>"55951"</f>
        <v>55951</v>
      </c>
      <c r="C11106" s="1">
        <v>3.5996139215352198E-2</v>
      </c>
      <c r="D11106" s="1">
        <v>2.8818443804034501E-2</v>
      </c>
      <c r="E11106" s="1">
        <v>2.25464190981432E-2</v>
      </c>
      <c r="F11106" s="1">
        <v>3.5088623248144997E-2</v>
      </c>
    </row>
    <row r="11107" spans="1:6" x14ac:dyDescent="0.25">
      <c r="A11107" s="2" t="str">
        <f t="shared" si="399"/>
        <v>12380</v>
      </c>
      <c r="B11107" s="2" t="str">
        <f>"55950"</f>
        <v>55950</v>
      </c>
      <c r="C11107" s="1">
        <v>0</v>
      </c>
      <c r="D11107" s="1">
        <v>9.6061479346781905E-4</v>
      </c>
      <c r="E11107" s="1">
        <v>1.3262599469496001E-3</v>
      </c>
      <c r="F11107" s="1">
        <v>1.0305028854080699E-4</v>
      </c>
    </row>
    <row r="11108" spans="1:6" x14ac:dyDescent="0.25">
      <c r="A11108" s="2" t="str">
        <f t="shared" si="399"/>
        <v>12380</v>
      </c>
      <c r="B11108" s="2" t="str">
        <f>"55953"</f>
        <v>55953</v>
      </c>
      <c r="C11108" s="1">
        <v>1.9928461931527801E-2</v>
      </c>
      <c r="D11108" s="1">
        <v>1.7291066282420699E-2</v>
      </c>
      <c r="E11108" s="1">
        <v>9.2838196286472094E-3</v>
      </c>
      <c r="F11108" s="1">
        <v>1.9373454245671801E-2</v>
      </c>
    </row>
    <row r="11109" spans="1:6" x14ac:dyDescent="0.25">
      <c r="A11109" s="2" t="str">
        <f t="shared" si="399"/>
        <v>12380</v>
      </c>
      <c r="B11109" s="2" t="str">
        <f>"55940"</f>
        <v>55940</v>
      </c>
      <c r="C11109" s="1">
        <v>4.5420995855334099E-4</v>
      </c>
      <c r="D11109" s="1">
        <v>0</v>
      </c>
      <c r="E11109" s="1">
        <v>0</v>
      </c>
      <c r="F11109" s="1">
        <v>4.1220115416323102E-4</v>
      </c>
    </row>
    <row r="11110" spans="1:6" x14ac:dyDescent="0.25">
      <c r="A11110" s="2" t="str">
        <f t="shared" si="399"/>
        <v>12380</v>
      </c>
      <c r="B11110" s="2" t="str">
        <f>"55936"</f>
        <v>55936</v>
      </c>
      <c r="C11110" s="1">
        <v>4.8259808096292503E-2</v>
      </c>
      <c r="D11110" s="1">
        <v>1.6330451488952898E-2</v>
      </c>
      <c r="E11110" s="1">
        <v>2.51989389920424E-2</v>
      </c>
      <c r="F11110" s="1">
        <v>4.5651277823577897E-2</v>
      </c>
    </row>
    <row r="11111" spans="1:6" x14ac:dyDescent="0.25">
      <c r="A11111" s="2" t="str">
        <f t="shared" si="399"/>
        <v>12380</v>
      </c>
      <c r="B11111" s="2" t="str">
        <f>"55933"</f>
        <v>55933</v>
      </c>
      <c r="C11111" s="1">
        <v>6.5860443990234403E-3</v>
      </c>
      <c r="D11111" s="1">
        <v>1.1527377521613799E-2</v>
      </c>
      <c r="E11111" s="1">
        <v>5.3050397877984004E-3</v>
      </c>
      <c r="F11111" s="1">
        <v>6.8013190436933199E-3</v>
      </c>
    </row>
    <row r="11112" spans="1:6" x14ac:dyDescent="0.25">
      <c r="A11112" s="2" t="str">
        <f t="shared" ref="A11112:A11126" si="400">"21860"</f>
        <v>21860</v>
      </c>
      <c r="B11112" s="2" t="str">
        <f>"56075"</f>
        <v>56075</v>
      </c>
      <c r="C11112" s="1">
        <v>0</v>
      </c>
      <c r="D11112" s="1">
        <v>0</v>
      </c>
      <c r="E11112" s="1">
        <v>3.27868852459016E-3</v>
      </c>
      <c r="F11112" s="1">
        <v>8.6655112651646396E-5</v>
      </c>
    </row>
    <row r="11113" spans="1:6" x14ac:dyDescent="0.25">
      <c r="A11113" s="2" t="str">
        <f t="shared" si="400"/>
        <v>21860</v>
      </c>
      <c r="B11113" s="2" t="str">
        <f>"56027"</f>
        <v>56027</v>
      </c>
      <c r="C11113" s="1">
        <v>1.5377222489187799E-3</v>
      </c>
      <c r="D11113" s="1">
        <v>0</v>
      </c>
      <c r="E11113" s="1">
        <v>0</v>
      </c>
      <c r="F11113" s="1">
        <v>1.38648180242634E-3</v>
      </c>
    </row>
    <row r="11114" spans="1:6" x14ac:dyDescent="0.25">
      <c r="A11114" s="2" t="str">
        <f t="shared" si="400"/>
        <v>21860</v>
      </c>
      <c r="B11114" s="2" t="str">
        <f>"56098"</f>
        <v>56098</v>
      </c>
      <c r="C11114" s="1">
        <v>4.1326285439692396E-3</v>
      </c>
      <c r="D11114" s="1">
        <v>0</v>
      </c>
      <c r="E11114" s="1">
        <v>0</v>
      </c>
      <c r="F11114" s="1">
        <v>3.72616984402079E-3</v>
      </c>
    </row>
    <row r="11115" spans="1:6" x14ac:dyDescent="0.25">
      <c r="A11115" s="2" t="str">
        <f t="shared" si="400"/>
        <v>21860</v>
      </c>
      <c r="B11115" s="2" t="str">
        <f>"56176"</f>
        <v>56176</v>
      </c>
      <c r="C11115" s="1">
        <v>5.4973570398846698E-2</v>
      </c>
      <c r="D11115" s="1">
        <v>1.08433734939759E-2</v>
      </c>
      <c r="E11115" s="1">
        <v>2.6229508196721301E-2</v>
      </c>
      <c r="F11115" s="1">
        <v>5.1039861351819697E-2</v>
      </c>
    </row>
    <row r="11116" spans="1:6" x14ac:dyDescent="0.25">
      <c r="A11116" s="2" t="str">
        <f t="shared" si="400"/>
        <v>21860</v>
      </c>
      <c r="B11116" s="2" t="str">
        <f>"56031"</f>
        <v>56031</v>
      </c>
      <c r="C11116" s="1">
        <v>0.60249879865449296</v>
      </c>
      <c r="D11116" s="1">
        <v>0.86024096385542104</v>
      </c>
      <c r="E11116" s="1">
        <v>0.80327868852458995</v>
      </c>
      <c r="F11116" s="1">
        <v>0.62634315424609999</v>
      </c>
    </row>
    <row r="11117" spans="1:6" x14ac:dyDescent="0.25">
      <c r="A11117" s="2" t="str">
        <f t="shared" si="400"/>
        <v>21860</v>
      </c>
      <c r="B11117" s="2" t="str">
        <f>"56088"</f>
        <v>56088</v>
      </c>
      <c r="C11117" s="1">
        <v>8.1979817395482907E-2</v>
      </c>
      <c r="D11117" s="1">
        <v>5.1807228915662598E-2</v>
      </c>
      <c r="E11117" s="1">
        <v>4.5901639344262203E-2</v>
      </c>
      <c r="F11117" s="1">
        <v>7.8856152512998198E-2</v>
      </c>
    </row>
    <row r="11118" spans="1:6" x14ac:dyDescent="0.25">
      <c r="A11118" s="2" t="str">
        <f t="shared" si="400"/>
        <v>21860</v>
      </c>
      <c r="B11118" s="2" t="str">
        <f>"56162"</f>
        <v>56162</v>
      </c>
      <c r="C11118" s="1">
        <v>6.0547813551177299E-3</v>
      </c>
      <c r="D11118" s="1">
        <v>2.4096385542168599E-3</v>
      </c>
      <c r="E11118" s="1">
        <v>0</v>
      </c>
      <c r="F11118" s="1">
        <v>5.6325823223570097E-3</v>
      </c>
    </row>
    <row r="11119" spans="1:6" x14ac:dyDescent="0.25">
      <c r="A11119" s="2" t="str">
        <f t="shared" si="400"/>
        <v>21860</v>
      </c>
      <c r="B11119" s="2" t="str">
        <f>"56121"</f>
        <v>56121</v>
      </c>
      <c r="C11119" s="1">
        <v>3.5848149927919203E-2</v>
      </c>
      <c r="D11119" s="1">
        <v>0</v>
      </c>
      <c r="E11119" s="1">
        <v>3.27868852459016E-3</v>
      </c>
      <c r="F11119" s="1">
        <v>3.2409012131715702E-2</v>
      </c>
    </row>
    <row r="11120" spans="1:6" x14ac:dyDescent="0.25">
      <c r="A11120" s="2" t="str">
        <f t="shared" si="400"/>
        <v>21860</v>
      </c>
      <c r="B11120" s="2" t="str">
        <f>"56181"</f>
        <v>56181</v>
      </c>
      <c r="C11120" s="1">
        <v>5.7184046131667401E-2</v>
      </c>
      <c r="D11120" s="1">
        <v>1.8072289156626498E-2</v>
      </c>
      <c r="E11120" s="1">
        <v>3.6065573770491799E-2</v>
      </c>
      <c r="F11120" s="1">
        <v>5.3812824956672403E-2</v>
      </c>
    </row>
    <row r="11121" spans="1:6" x14ac:dyDescent="0.25">
      <c r="A11121" s="2" t="str">
        <f t="shared" si="400"/>
        <v>21860</v>
      </c>
      <c r="B11121" s="2" t="str">
        <f>"56111"</f>
        <v>56111</v>
      </c>
      <c r="C11121" s="1">
        <v>1.15329168668909E-3</v>
      </c>
      <c r="D11121" s="1">
        <v>0</v>
      </c>
      <c r="E11121" s="1">
        <v>0</v>
      </c>
      <c r="F11121" s="1">
        <v>1.03986135181975E-3</v>
      </c>
    </row>
    <row r="11122" spans="1:6" x14ac:dyDescent="0.25">
      <c r="A11122" s="2" t="str">
        <f t="shared" si="400"/>
        <v>21860</v>
      </c>
      <c r="B11122" s="2" t="str">
        <f>"56171"</f>
        <v>56171</v>
      </c>
      <c r="C11122" s="1">
        <v>8.6304661220567E-2</v>
      </c>
      <c r="D11122" s="1">
        <v>2.5301204819277098E-2</v>
      </c>
      <c r="E11122" s="1">
        <v>6.8852459016393405E-2</v>
      </c>
      <c r="F11122" s="1">
        <v>8.1455805892547598E-2</v>
      </c>
    </row>
    <row r="11123" spans="1:6" x14ac:dyDescent="0.25">
      <c r="A11123" s="2" t="str">
        <f t="shared" si="400"/>
        <v>21860</v>
      </c>
      <c r="B11123" s="2" t="str">
        <f>"56039"</f>
        <v>56039</v>
      </c>
      <c r="C11123" s="1">
        <v>4.2960115329168602E-2</v>
      </c>
      <c r="D11123" s="1">
        <v>2.2891566265060202E-2</v>
      </c>
      <c r="E11123" s="1">
        <v>9.8360655737704892E-3</v>
      </c>
      <c r="F11123" s="1">
        <v>4.06412478336221E-2</v>
      </c>
    </row>
    <row r="11124" spans="1:6" x14ac:dyDescent="0.25">
      <c r="A11124" s="2" t="str">
        <f t="shared" si="400"/>
        <v>21860</v>
      </c>
      <c r="B11124" s="2" t="str">
        <f>"56013"</f>
        <v>56013</v>
      </c>
      <c r="C11124" s="1">
        <v>3.0754444978375699E-3</v>
      </c>
      <c r="D11124" s="1">
        <v>2.4096385542168599E-3</v>
      </c>
      <c r="E11124" s="1">
        <v>0</v>
      </c>
      <c r="F11124" s="1">
        <v>2.9462738301559701E-3</v>
      </c>
    </row>
    <row r="11125" spans="1:6" x14ac:dyDescent="0.25">
      <c r="A11125" s="2" t="str">
        <f t="shared" si="400"/>
        <v>21860</v>
      </c>
      <c r="B11125" s="2" t="str">
        <f>"56127"</f>
        <v>56127</v>
      </c>
      <c r="C11125" s="1">
        <v>1.9990389235944199E-2</v>
      </c>
      <c r="D11125" s="1">
        <v>6.0240963855421603E-3</v>
      </c>
      <c r="E11125" s="1">
        <v>3.27868852459016E-3</v>
      </c>
      <c r="F11125" s="1">
        <v>1.85441941074523E-2</v>
      </c>
    </row>
    <row r="11126" spans="1:6" x14ac:dyDescent="0.25">
      <c r="A11126" s="2" t="str">
        <f t="shared" si="400"/>
        <v>21860</v>
      </c>
      <c r="B11126" s="2" t="str">
        <f>"56160"</f>
        <v>56160</v>
      </c>
      <c r="C11126" s="1">
        <v>2.30658337337818E-3</v>
      </c>
      <c r="D11126" s="1">
        <v>0</v>
      </c>
      <c r="E11126" s="1">
        <v>0</v>
      </c>
      <c r="F11126" s="1">
        <v>2.0797227036395099E-3</v>
      </c>
    </row>
    <row r="11127" spans="1:6" x14ac:dyDescent="0.25">
      <c r="A11127" s="2" t="str">
        <f t="shared" ref="A11127:A11138" si="401">"15100"</f>
        <v>15100</v>
      </c>
      <c r="B11127" s="2" t="str">
        <f>"57276"</f>
        <v>57276</v>
      </c>
      <c r="C11127" s="1">
        <v>2.7553068548141799E-2</v>
      </c>
      <c r="D11127" s="1">
        <v>5.1319648093841597E-3</v>
      </c>
      <c r="E11127" s="1">
        <v>1.1111111111111099E-2</v>
      </c>
      <c r="F11127" s="1">
        <v>2.49933809902038E-2</v>
      </c>
    </row>
    <row r="11128" spans="1:6" x14ac:dyDescent="0.25">
      <c r="A11128" s="2" t="str">
        <f t="shared" si="401"/>
        <v>15100</v>
      </c>
      <c r="B11128" s="2" t="str">
        <f>"57002"</f>
        <v>57002</v>
      </c>
      <c r="C11128" s="1">
        <v>3.9839425825679703E-2</v>
      </c>
      <c r="D11128" s="1">
        <v>7.3313782991202298E-3</v>
      </c>
      <c r="E11128" s="1">
        <v>2.5925925925925901E-2</v>
      </c>
      <c r="F11128" s="1">
        <v>3.6695790309769598E-2</v>
      </c>
    </row>
    <row r="11129" spans="1:6" x14ac:dyDescent="0.25">
      <c r="A11129" s="2" t="str">
        <f t="shared" si="401"/>
        <v>15100</v>
      </c>
      <c r="B11129" s="2" t="str">
        <f>"57006"</f>
        <v>57006</v>
      </c>
      <c r="C11129" s="1">
        <v>0.77209415485676003</v>
      </c>
      <c r="D11129" s="1">
        <v>0.92961876832844503</v>
      </c>
      <c r="E11129" s="1">
        <v>0.89537037037037004</v>
      </c>
      <c r="F11129" s="1">
        <v>0.79052157797193501</v>
      </c>
    </row>
    <row r="11130" spans="1:6" x14ac:dyDescent="0.25">
      <c r="A11130" s="2" t="str">
        <f t="shared" si="401"/>
        <v>15100</v>
      </c>
      <c r="B11130" s="2" t="str">
        <f>"57071"</f>
        <v>57071</v>
      </c>
      <c r="C11130" s="1">
        <v>8.3632382458487906E-2</v>
      </c>
      <c r="D11130" s="1">
        <v>1.90615835777126E-2</v>
      </c>
      <c r="E11130" s="1">
        <v>4.3518518518518498E-2</v>
      </c>
      <c r="F11130" s="1">
        <v>7.6674609478422001E-2</v>
      </c>
    </row>
    <row r="11131" spans="1:6" x14ac:dyDescent="0.25">
      <c r="A11131" s="2" t="str">
        <f t="shared" si="401"/>
        <v>15100</v>
      </c>
      <c r="B11131" s="2" t="str">
        <f>"57213"</f>
        <v>57213</v>
      </c>
      <c r="C11131" s="1">
        <v>1.0340003649413E-3</v>
      </c>
      <c r="D11131" s="1">
        <v>7.3313782991202303E-4</v>
      </c>
      <c r="E11131" s="1">
        <v>0</v>
      </c>
      <c r="F11131" s="1">
        <v>9.5313741064336703E-4</v>
      </c>
    </row>
    <row r="11132" spans="1:6" x14ac:dyDescent="0.25">
      <c r="A11132" s="2" t="str">
        <f t="shared" si="401"/>
        <v>15100</v>
      </c>
      <c r="B11132" s="2" t="str">
        <f>"57061"</f>
        <v>57061</v>
      </c>
      <c r="C11132" s="1">
        <v>0</v>
      </c>
      <c r="D11132" s="1">
        <v>0</v>
      </c>
      <c r="E11132" s="1">
        <v>9.2592592592592499E-4</v>
      </c>
      <c r="F11132" s="1">
        <v>5.2952078369075901E-5</v>
      </c>
    </row>
    <row r="11133" spans="1:6" x14ac:dyDescent="0.25">
      <c r="A11133" s="2" t="str">
        <f t="shared" si="401"/>
        <v>15100</v>
      </c>
      <c r="B11133" s="2" t="str">
        <f>"57220"</f>
        <v>57220</v>
      </c>
      <c r="C11133" s="1">
        <v>2.35995377410133E-2</v>
      </c>
      <c r="D11133" s="1">
        <v>8.0645161290322492E-3</v>
      </c>
      <c r="E11133" s="1">
        <v>3.7037037037036999E-3</v>
      </c>
      <c r="F11133" s="1">
        <v>2.1339687582737601E-2</v>
      </c>
    </row>
    <row r="11134" spans="1:6" x14ac:dyDescent="0.25">
      <c r="A11134" s="2" t="str">
        <f t="shared" si="401"/>
        <v>15100</v>
      </c>
      <c r="B11134" s="2" t="str">
        <f>"57026"</f>
        <v>57026</v>
      </c>
      <c r="C11134" s="1">
        <v>3.0107657685055599E-2</v>
      </c>
      <c r="D11134" s="1">
        <v>2.1260997067448599E-2</v>
      </c>
      <c r="E11134" s="1">
        <v>1.48148148148148E-2</v>
      </c>
      <c r="F11134" s="1">
        <v>2.8594122319300998E-2</v>
      </c>
    </row>
    <row r="11135" spans="1:6" x14ac:dyDescent="0.25">
      <c r="A11135" s="2" t="str">
        <f t="shared" si="401"/>
        <v>15100</v>
      </c>
      <c r="B11135" s="2" t="str">
        <f>"57212"</f>
        <v>57212</v>
      </c>
      <c r="C11135" s="1">
        <v>1.6422358737303001E-2</v>
      </c>
      <c r="D11135" s="1">
        <v>3.6656891495601101E-3</v>
      </c>
      <c r="E11135" s="1">
        <v>2.7777777777777701E-3</v>
      </c>
      <c r="F11135" s="1">
        <v>1.47206777866031E-2</v>
      </c>
    </row>
    <row r="11136" spans="1:6" x14ac:dyDescent="0.25">
      <c r="A11136" s="2" t="str">
        <f t="shared" si="401"/>
        <v>15100</v>
      </c>
      <c r="B11136" s="2" t="str">
        <f>"57268"</f>
        <v>57268</v>
      </c>
      <c r="C11136" s="1">
        <v>5.5957666808588201E-3</v>
      </c>
      <c r="D11136" s="1">
        <v>2.1994134897360702E-3</v>
      </c>
      <c r="E11136" s="1">
        <v>1.85185185185185E-3</v>
      </c>
      <c r="F11136" s="1">
        <v>5.1363516018003699E-3</v>
      </c>
    </row>
    <row r="11137" spans="1:6" x14ac:dyDescent="0.25">
      <c r="A11137" s="2" t="str">
        <f t="shared" si="401"/>
        <v>15100</v>
      </c>
      <c r="B11137" s="2" t="str">
        <f>"57234"</f>
        <v>57234</v>
      </c>
      <c r="C11137" s="1">
        <v>1.216471017578E-4</v>
      </c>
      <c r="D11137" s="1">
        <v>0</v>
      </c>
      <c r="E11137" s="1">
        <v>0</v>
      </c>
      <c r="F11137" s="1">
        <v>1.05904156738151E-4</v>
      </c>
    </row>
    <row r="11138" spans="1:6" x14ac:dyDescent="0.25">
      <c r="A11138" s="2" t="str">
        <f t="shared" si="401"/>
        <v>15100</v>
      </c>
      <c r="B11138" s="2" t="str">
        <f>"57007"</f>
        <v>57007</v>
      </c>
      <c r="C11138" s="1">
        <v>0</v>
      </c>
      <c r="D11138" s="1">
        <v>2.9325513196480899E-3</v>
      </c>
      <c r="E11138" s="1">
        <v>0</v>
      </c>
      <c r="F11138" s="1">
        <v>2.1180831347630301E-4</v>
      </c>
    </row>
    <row r="11139" spans="1:6" x14ac:dyDescent="0.25">
      <c r="A11139" s="2" t="str">
        <f t="shared" ref="A11139:A11146" si="402">"46820"</f>
        <v>46820</v>
      </c>
      <c r="B11139" s="2" t="str">
        <f>"57073"</f>
        <v>57073</v>
      </c>
      <c r="C11139" s="1">
        <v>3.8455349959774697E-2</v>
      </c>
      <c r="D11139" s="1">
        <v>9.8765432098765395E-3</v>
      </c>
      <c r="E11139" s="1">
        <v>8.75656742556917E-3</v>
      </c>
      <c r="F11139" s="1">
        <v>3.4487553886802899E-2</v>
      </c>
    </row>
    <row r="11140" spans="1:6" x14ac:dyDescent="0.25">
      <c r="A11140" s="2" t="str">
        <f t="shared" si="402"/>
        <v>46820</v>
      </c>
      <c r="B11140" s="2" t="str">
        <f>"57004"</f>
        <v>57004</v>
      </c>
      <c r="C11140" s="1">
        <v>2.17216411906677E-2</v>
      </c>
      <c r="D11140" s="1">
        <v>2.4691358024691301E-3</v>
      </c>
      <c r="E11140" s="1">
        <v>0</v>
      </c>
      <c r="F11140" s="1">
        <v>1.8912529550827398E-2</v>
      </c>
    </row>
    <row r="11141" spans="1:6" x14ac:dyDescent="0.25">
      <c r="A11141" s="2" t="str">
        <f t="shared" si="402"/>
        <v>46820</v>
      </c>
      <c r="B11141" s="2" t="str">
        <f>"57031"</f>
        <v>57031</v>
      </c>
      <c r="C11141" s="1">
        <v>3.2180209171359599E-3</v>
      </c>
      <c r="D11141" s="1">
        <v>0</v>
      </c>
      <c r="E11141" s="1">
        <v>0</v>
      </c>
      <c r="F11141" s="1">
        <v>2.7812543457099098E-3</v>
      </c>
    </row>
    <row r="11142" spans="1:6" x14ac:dyDescent="0.25">
      <c r="A11142" s="2" t="str">
        <f t="shared" si="402"/>
        <v>46820</v>
      </c>
      <c r="B11142" s="2" t="str">
        <f>"57037"</f>
        <v>57037</v>
      </c>
      <c r="C11142" s="1">
        <v>1.3515687851970999E-2</v>
      </c>
      <c r="D11142" s="1">
        <v>7.4074074074073999E-3</v>
      </c>
      <c r="E11142" s="1">
        <v>1.2259194395796799E-2</v>
      </c>
      <c r="F11142" s="1">
        <v>1.30718954248366E-2</v>
      </c>
    </row>
    <row r="11143" spans="1:6" x14ac:dyDescent="0.25">
      <c r="A11143" s="2" t="str">
        <f t="shared" si="402"/>
        <v>46820</v>
      </c>
      <c r="B11143" s="2" t="str">
        <f>"57072"</f>
        <v>57072</v>
      </c>
      <c r="C11143" s="1">
        <v>1.0297666934835E-2</v>
      </c>
      <c r="D11143" s="1">
        <v>0</v>
      </c>
      <c r="E11143" s="1">
        <v>0</v>
      </c>
      <c r="F11143" s="1">
        <v>8.9000139062717191E-3</v>
      </c>
    </row>
    <row r="11144" spans="1:6" x14ac:dyDescent="0.25">
      <c r="A11144" s="2" t="str">
        <f t="shared" si="402"/>
        <v>46820</v>
      </c>
      <c r="B11144" s="2" t="str">
        <f>"57069"</f>
        <v>57069</v>
      </c>
      <c r="C11144" s="1">
        <v>0.86436041834271904</v>
      </c>
      <c r="D11144" s="1">
        <v>0.96296296296296202</v>
      </c>
      <c r="E11144" s="1">
        <v>0.97022767075306404</v>
      </c>
      <c r="F11144" s="1">
        <v>0.87832012237519097</v>
      </c>
    </row>
    <row r="11145" spans="1:6" x14ac:dyDescent="0.25">
      <c r="A11145" s="2" t="str">
        <f t="shared" si="402"/>
        <v>46820</v>
      </c>
      <c r="B11145" s="2" t="str">
        <f>"57014"</f>
        <v>57014</v>
      </c>
      <c r="C11145" s="1">
        <v>1.4641995172968599E-2</v>
      </c>
      <c r="D11145" s="1">
        <v>4.9382716049382698E-3</v>
      </c>
      <c r="E11145" s="1">
        <v>1.75131348511383E-3</v>
      </c>
      <c r="F11145" s="1">
        <v>1.30718954248366E-2</v>
      </c>
    </row>
    <row r="11146" spans="1:6" x14ac:dyDescent="0.25">
      <c r="A11146" s="2" t="str">
        <f t="shared" si="402"/>
        <v>46820</v>
      </c>
      <c r="B11146" s="2" t="str">
        <f>"57010"</f>
        <v>57010</v>
      </c>
      <c r="C11146" s="1">
        <v>3.3789219629927501E-2</v>
      </c>
      <c r="D11146" s="1">
        <v>1.23456790123456E-2</v>
      </c>
      <c r="E11146" s="1">
        <v>7.0052539404553398E-3</v>
      </c>
      <c r="F11146" s="1">
        <v>3.0454735085523502E-2</v>
      </c>
    </row>
    <row r="11147" spans="1:6" x14ac:dyDescent="0.25">
      <c r="A11147" s="2" t="str">
        <f t="shared" ref="A11147:A11167" si="403">"47980"</f>
        <v>47980</v>
      </c>
      <c r="B11147" s="2" t="str">
        <f>"57272"</f>
        <v>57272</v>
      </c>
      <c r="C11147" s="1">
        <v>2.2080471050049E-3</v>
      </c>
      <c r="D11147" s="1">
        <v>0</v>
      </c>
      <c r="E11147" s="1">
        <v>1.40646976090014E-3</v>
      </c>
      <c r="F11147" s="1">
        <v>1.9362604008582301E-3</v>
      </c>
    </row>
    <row r="11148" spans="1:6" x14ac:dyDescent="0.25">
      <c r="A11148" s="2" t="str">
        <f t="shared" si="403"/>
        <v>47980</v>
      </c>
      <c r="B11148" s="2" t="str">
        <f>"57245"</f>
        <v>57245</v>
      </c>
      <c r="C11148" s="1">
        <v>0</v>
      </c>
      <c r="D11148" s="1">
        <v>0</v>
      </c>
      <c r="E11148" s="1">
        <v>1.40646976090014E-3</v>
      </c>
      <c r="F11148" s="1">
        <v>5.2331362185357603E-5</v>
      </c>
    </row>
    <row r="11149" spans="1:6" x14ac:dyDescent="0.25">
      <c r="A11149" s="2" t="str">
        <f t="shared" si="403"/>
        <v>47980</v>
      </c>
      <c r="B11149" s="2" t="str">
        <f>"57242"</f>
        <v>57242</v>
      </c>
      <c r="C11149" s="1">
        <v>9.9362119725220806E-3</v>
      </c>
      <c r="D11149" s="1">
        <v>9.5510983763132703E-4</v>
      </c>
      <c r="E11149" s="1">
        <v>1.40646976090014E-3</v>
      </c>
      <c r="F11149" s="1">
        <v>8.6346747605840091E-3</v>
      </c>
    </row>
    <row r="11150" spans="1:6" x14ac:dyDescent="0.25">
      <c r="A11150" s="2" t="str">
        <f t="shared" si="403"/>
        <v>47980</v>
      </c>
      <c r="B11150" s="2" t="str">
        <f>"57243"</f>
        <v>57243</v>
      </c>
      <c r="C11150" s="1">
        <v>1.3922963689891999E-2</v>
      </c>
      <c r="D11150" s="1">
        <v>3.8204393505253099E-3</v>
      </c>
      <c r="E11150" s="1">
        <v>4.2194092827004199E-3</v>
      </c>
      <c r="F11150" s="1">
        <v>1.2454864200115099E-2</v>
      </c>
    </row>
    <row r="11151" spans="1:6" x14ac:dyDescent="0.25">
      <c r="A11151" s="2" t="str">
        <f t="shared" si="403"/>
        <v>47980</v>
      </c>
      <c r="B11151" s="2" t="str">
        <f>"57226"</f>
        <v>57226</v>
      </c>
      <c r="C11151" s="1">
        <v>6.1334641805691804E-4</v>
      </c>
      <c r="D11151" s="1">
        <v>0</v>
      </c>
      <c r="E11151" s="1">
        <v>0</v>
      </c>
      <c r="F11151" s="1">
        <v>5.2331362185357598E-4</v>
      </c>
    </row>
    <row r="11152" spans="1:6" x14ac:dyDescent="0.25">
      <c r="A11152" s="2" t="str">
        <f t="shared" si="403"/>
        <v>47980</v>
      </c>
      <c r="B11152" s="2" t="str">
        <f>"57212"</f>
        <v>57212</v>
      </c>
      <c r="C11152" s="1">
        <v>4.7227674190382703E-3</v>
      </c>
      <c r="D11152" s="1">
        <v>4.29799426934097E-3</v>
      </c>
      <c r="E11152" s="1">
        <v>9.8452883263009799E-3</v>
      </c>
      <c r="F11152" s="1">
        <v>4.8668166832382597E-3</v>
      </c>
    </row>
    <row r="11153" spans="1:6" x14ac:dyDescent="0.25">
      <c r="A11153" s="2" t="str">
        <f t="shared" si="403"/>
        <v>47980</v>
      </c>
      <c r="B11153" s="2" t="str">
        <f>"57233"</f>
        <v>57233</v>
      </c>
      <c r="C11153" s="1">
        <v>1.84003925417075E-4</v>
      </c>
      <c r="D11153" s="1">
        <v>0</v>
      </c>
      <c r="E11153" s="1">
        <v>0</v>
      </c>
      <c r="F11153" s="1">
        <v>1.56994086556073E-4</v>
      </c>
    </row>
    <row r="11154" spans="1:6" x14ac:dyDescent="0.25">
      <c r="A11154" s="2" t="str">
        <f t="shared" si="403"/>
        <v>47980</v>
      </c>
      <c r="B11154" s="2" t="str">
        <f>"57234"</f>
        <v>57234</v>
      </c>
      <c r="C11154" s="1">
        <v>2.7968596663395399E-2</v>
      </c>
      <c r="D11154" s="1">
        <v>1.9102196752626499E-3</v>
      </c>
      <c r="E11154" s="1">
        <v>2.1097046413502098E-2</v>
      </c>
      <c r="F11154" s="1">
        <v>2.48573970380449E-2</v>
      </c>
    </row>
    <row r="11155" spans="1:6" x14ac:dyDescent="0.25">
      <c r="A11155" s="2" t="str">
        <f t="shared" si="403"/>
        <v>47980</v>
      </c>
      <c r="B11155" s="2" t="str">
        <f>"57238"</f>
        <v>57238</v>
      </c>
      <c r="C11155" s="1">
        <v>2.8213935230618202E-3</v>
      </c>
      <c r="D11155" s="1">
        <v>4.7755491881566297E-4</v>
      </c>
      <c r="E11155" s="1">
        <v>0</v>
      </c>
      <c r="F11155" s="1">
        <v>2.4595740227118098E-3</v>
      </c>
    </row>
    <row r="11156" spans="1:6" x14ac:dyDescent="0.25">
      <c r="A11156" s="2" t="str">
        <f t="shared" si="403"/>
        <v>47980</v>
      </c>
      <c r="B11156" s="2" t="str">
        <f>"57223"</f>
        <v>57223</v>
      </c>
      <c r="C11156" s="1">
        <v>3.31207065750736E-2</v>
      </c>
      <c r="D11156" s="1">
        <v>7.1633237822349496E-3</v>
      </c>
      <c r="E11156" s="1">
        <v>2.1097046413502098E-2</v>
      </c>
      <c r="F11156" s="1">
        <v>2.9828876445653799E-2</v>
      </c>
    </row>
    <row r="11157" spans="1:6" x14ac:dyDescent="0.25">
      <c r="A11157" s="2" t="str">
        <f t="shared" si="403"/>
        <v>47980</v>
      </c>
      <c r="B11157" s="2" t="str">
        <f>"57264"</f>
        <v>57264</v>
      </c>
      <c r="C11157" s="1">
        <v>6.1334641805691796E-5</v>
      </c>
      <c r="D11157" s="1">
        <v>0</v>
      </c>
      <c r="E11157" s="1">
        <v>0</v>
      </c>
      <c r="F11157" s="1">
        <v>5.2331362185357603E-5</v>
      </c>
    </row>
    <row r="11158" spans="1:6" x14ac:dyDescent="0.25">
      <c r="A11158" s="2" t="str">
        <f t="shared" si="403"/>
        <v>47980</v>
      </c>
      <c r="B11158" s="2" t="str">
        <f>"57263"</f>
        <v>57263</v>
      </c>
      <c r="C11158" s="1">
        <v>5.7654563297350296E-3</v>
      </c>
      <c r="D11158" s="1">
        <v>4.7755491881566297E-4</v>
      </c>
      <c r="E11158" s="1">
        <v>9.8452883263009799E-3</v>
      </c>
      <c r="F11158" s="1">
        <v>5.3377989429064798E-3</v>
      </c>
    </row>
    <row r="11159" spans="1:6" x14ac:dyDescent="0.25">
      <c r="A11159" s="2" t="str">
        <f t="shared" si="403"/>
        <v>47980</v>
      </c>
      <c r="B11159" s="2" t="str">
        <f>"57217"</f>
        <v>57217</v>
      </c>
      <c r="C11159" s="1">
        <v>6.1334641805691796E-5</v>
      </c>
      <c r="D11159" s="1">
        <v>0</v>
      </c>
      <c r="E11159" s="1">
        <v>0</v>
      </c>
      <c r="F11159" s="1">
        <v>5.2331362185357603E-5</v>
      </c>
    </row>
    <row r="11160" spans="1:6" x14ac:dyDescent="0.25">
      <c r="A11160" s="2" t="str">
        <f t="shared" si="403"/>
        <v>47980</v>
      </c>
      <c r="B11160" s="2" t="str">
        <f>"57221"</f>
        <v>57221</v>
      </c>
      <c r="C11160" s="1">
        <v>1.49043179587831E-2</v>
      </c>
      <c r="D11160" s="1">
        <v>4.7755491881566296E-3</v>
      </c>
      <c r="E11160" s="1">
        <v>1.8284106891701801E-2</v>
      </c>
      <c r="F11160" s="1">
        <v>1.39201423413051E-2</v>
      </c>
    </row>
    <row r="11161" spans="1:6" x14ac:dyDescent="0.25">
      <c r="A11161" s="2" t="str">
        <f t="shared" si="403"/>
        <v>47980</v>
      </c>
      <c r="B11161" s="2" t="str">
        <f>"57256"</f>
        <v>57256</v>
      </c>
      <c r="C11161" s="1">
        <v>1.22669283611383E-4</v>
      </c>
      <c r="D11161" s="1">
        <v>0</v>
      </c>
      <c r="E11161" s="1">
        <v>0</v>
      </c>
      <c r="F11161" s="1">
        <v>1.04662724370715E-4</v>
      </c>
    </row>
    <row r="11162" spans="1:6" x14ac:dyDescent="0.25">
      <c r="A11162" s="2" t="str">
        <f t="shared" si="403"/>
        <v>47980</v>
      </c>
      <c r="B11162" s="2" t="str">
        <f>"57241"</f>
        <v>57241</v>
      </c>
      <c r="C11162" s="1">
        <v>2.2325809617271802E-2</v>
      </c>
      <c r="D11162" s="1">
        <v>8.5959885386819399E-3</v>
      </c>
      <c r="E11162" s="1">
        <v>7.0323488045007003E-3</v>
      </c>
      <c r="F11162" s="1">
        <v>2.0252237165733399E-2</v>
      </c>
    </row>
    <row r="11163" spans="1:6" x14ac:dyDescent="0.25">
      <c r="A11163" s="2" t="str">
        <f t="shared" si="403"/>
        <v>47980</v>
      </c>
      <c r="B11163" s="2" t="str">
        <f>"57271"</f>
        <v>57271</v>
      </c>
      <c r="C11163" s="1">
        <v>1.2880274779195199E-3</v>
      </c>
      <c r="D11163" s="1">
        <v>4.7755491881566297E-4</v>
      </c>
      <c r="E11163" s="1">
        <v>0</v>
      </c>
      <c r="F11163" s="1">
        <v>1.1512899680778601E-3</v>
      </c>
    </row>
    <row r="11164" spans="1:6" x14ac:dyDescent="0.25">
      <c r="A11164" s="2" t="str">
        <f t="shared" si="403"/>
        <v>47980</v>
      </c>
      <c r="B11164" s="2" t="str">
        <f>"57265"</f>
        <v>57265</v>
      </c>
      <c r="C11164" s="1">
        <v>3.0667320902845902E-4</v>
      </c>
      <c r="D11164" s="1">
        <v>0</v>
      </c>
      <c r="E11164" s="1">
        <v>0</v>
      </c>
      <c r="F11164" s="1">
        <v>2.6165681092678799E-4</v>
      </c>
    </row>
    <row r="11165" spans="1:6" x14ac:dyDescent="0.25">
      <c r="A11165" s="2" t="str">
        <f t="shared" si="403"/>
        <v>47980</v>
      </c>
      <c r="B11165" s="2" t="str">
        <f>"57248"</f>
        <v>57248</v>
      </c>
      <c r="C11165" s="1">
        <v>2.6987242394504399E-2</v>
      </c>
      <c r="D11165" s="1">
        <v>4.29799426934097E-3</v>
      </c>
      <c r="E11165" s="1">
        <v>9.8452883263009799E-3</v>
      </c>
      <c r="F11165" s="1">
        <v>2.3863101156523101E-2</v>
      </c>
    </row>
    <row r="11166" spans="1:6" x14ac:dyDescent="0.25">
      <c r="A11166" s="2" t="str">
        <f t="shared" si="403"/>
        <v>47980</v>
      </c>
      <c r="B11166" s="2" t="str">
        <f>"57235"</f>
        <v>57235</v>
      </c>
      <c r="C11166" s="1">
        <v>2.06697742885181E-2</v>
      </c>
      <c r="D11166" s="1">
        <v>1.9102196752626499E-3</v>
      </c>
      <c r="E11166" s="1">
        <v>7.0323488045007003E-3</v>
      </c>
      <c r="F11166" s="1">
        <v>1.81066513161337E-2</v>
      </c>
    </row>
    <row r="11167" spans="1:6" x14ac:dyDescent="0.25">
      <c r="A11167" s="2" t="str">
        <f t="shared" si="403"/>
        <v>47980</v>
      </c>
      <c r="B11167" s="2" t="str">
        <f>"57201"</f>
        <v>57201</v>
      </c>
      <c r="C11167" s="1">
        <v>0.81200932286555405</v>
      </c>
      <c r="D11167" s="1">
        <v>0.96084049665711502</v>
      </c>
      <c r="E11167" s="1">
        <v>0.88748241912798798</v>
      </c>
      <c r="F11167" s="1">
        <v>0.83112669422785002</v>
      </c>
    </row>
    <row r="11168" spans="1:6" x14ac:dyDescent="0.25">
      <c r="A11168" s="2" t="str">
        <f t="shared" ref="A11168:A11208" si="404">"10780"</f>
        <v>10780</v>
      </c>
      <c r="B11168" s="2" t="str">
        <f>"71447"</f>
        <v>71447</v>
      </c>
      <c r="C11168" s="1">
        <v>6.40990596982287E-3</v>
      </c>
      <c r="D11168" s="1">
        <v>2.86415711947626E-3</v>
      </c>
      <c r="E11168" s="1">
        <v>6.0753341433778798E-4</v>
      </c>
      <c r="F11168" s="1">
        <v>5.9771626129087197E-3</v>
      </c>
    </row>
    <row r="11169" spans="1:6" x14ac:dyDescent="0.25">
      <c r="A11169" s="2" t="str">
        <f t="shared" si="404"/>
        <v>10780</v>
      </c>
      <c r="B11169" s="2" t="str">
        <f>"71359"</f>
        <v>71359</v>
      </c>
      <c r="C11169" s="1">
        <v>0</v>
      </c>
      <c r="D11169" s="1">
        <v>1.36388434260774E-4</v>
      </c>
      <c r="E11169" s="1">
        <v>0</v>
      </c>
      <c r="F11169" s="1">
        <v>1.2173447276799799E-5</v>
      </c>
    </row>
    <row r="11170" spans="1:6" x14ac:dyDescent="0.25">
      <c r="A11170" s="2" t="str">
        <f t="shared" si="404"/>
        <v>10780</v>
      </c>
      <c r="B11170" s="2" t="str">
        <f>"71322"</f>
        <v>71322</v>
      </c>
      <c r="C11170" s="1">
        <v>1.23004592171441E-4</v>
      </c>
      <c r="D11170" s="1">
        <v>0</v>
      </c>
      <c r="E11170" s="1">
        <v>0</v>
      </c>
      <c r="F11170" s="1">
        <v>1.09561025491198E-4</v>
      </c>
    </row>
    <row r="11171" spans="1:6" x14ac:dyDescent="0.25">
      <c r="A11171" s="2" t="str">
        <f t="shared" si="404"/>
        <v>10780</v>
      </c>
      <c r="B11171" s="2" t="str">
        <f>"71472"</f>
        <v>71472</v>
      </c>
      <c r="C11171" s="1">
        <v>1.87240323638749E-3</v>
      </c>
      <c r="D11171" s="1">
        <v>0</v>
      </c>
      <c r="E11171" s="1">
        <v>6.0753341433778798E-4</v>
      </c>
      <c r="F11171" s="1">
        <v>1.6799357241983699E-3</v>
      </c>
    </row>
    <row r="11172" spans="1:6" x14ac:dyDescent="0.25">
      <c r="A11172" s="2" t="str">
        <f t="shared" si="404"/>
        <v>10780</v>
      </c>
      <c r="B11172" s="2" t="str">
        <f>"71346"</f>
        <v>71346</v>
      </c>
      <c r="C11172" s="1">
        <v>1.11797507106931E-2</v>
      </c>
      <c r="D11172" s="1">
        <v>3.9552645935624596E-3</v>
      </c>
      <c r="E11172" s="1">
        <v>3.0376670716889399E-3</v>
      </c>
      <c r="F11172" s="1">
        <v>1.0371777079833401E-2</v>
      </c>
    </row>
    <row r="11173" spans="1:6" x14ac:dyDescent="0.25">
      <c r="A11173" s="2" t="str">
        <f t="shared" si="404"/>
        <v>10780</v>
      </c>
      <c r="B11173" s="2" t="str">
        <f>"71328"</f>
        <v>71328</v>
      </c>
      <c r="C11173" s="1">
        <v>4.2805598075661401E-2</v>
      </c>
      <c r="D11173" s="1">
        <v>3.27332242225859E-3</v>
      </c>
      <c r="E11173" s="1">
        <v>1.51883353584447E-2</v>
      </c>
      <c r="F11173" s="1">
        <v>3.8723735787500303E-2</v>
      </c>
    </row>
    <row r="11174" spans="1:6" x14ac:dyDescent="0.25">
      <c r="A11174" s="2" t="str">
        <f t="shared" si="404"/>
        <v>10780</v>
      </c>
      <c r="B11174" s="2" t="str">
        <f>"71423"</f>
        <v>71423</v>
      </c>
      <c r="C11174" s="1">
        <v>3.11474961731904E-2</v>
      </c>
      <c r="D11174" s="1">
        <v>8.7288597926895705E-3</v>
      </c>
      <c r="E11174" s="1">
        <v>1.09356014580801E-2</v>
      </c>
      <c r="F11174" s="1">
        <v>2.87415090205244E-2</v>
      </c>
    </row>
    <row r="11175" spans="1:6" x14ac:dyDescent="0.25">
      <c r="A11175" s="2" t="str">
        <f t="shared" si="404"/>
        <v>10780</v>
      </c>
      <c r="B11175" s="2" t="str">
        <f>"71466"</f>
        <v>71466</v>
      </c>
      <c r="C11175" s="1">
        <v>3.2391209271812799E-3</v>
      </c>
      <c r="D11175" s="1">
        <v>4.0916530278232402E-4</v>
      </c>
      <c r="E11175" s="1">
        <v>1.82260024301336E-3</v>
      </c>
      <c r="F11175" s="1">
        <v>2.9581476882623598E-3</v>
      </c>
    </row>
    <row r="11176" spans="1:6" x14ac:dyDescent="0.25">
      <c r="A11176" s="2" t="str">
        <f t="shared" si="404"/>
        <v>10780</v>
      </c>
      <c r="B11176" s="2" t="str">
        <f>"71485"</f>
        <v>71485</v>
      </c>
      <c r="C11176" s="1">
        <v>1.38995189153728E-2</v>
      </c>
      <c r="D11176" s="1">
        <v>4.77359519912711E-3</v>
      </c>
      <c r="E11176" s="1">
        <v>1.03280680437424E-2</v>
      </c>
      <c r="F11176" s="1">
        <v>1.3013415138899E-2</v>
      </c>
    </row>
    <row r="11177" spans="1:6" x14ac:dyDescent="0.25">
      <c r="A11177" s="2" t="str">
        <f t="shared" si="404"/>
        <v>10780</v>
      </c>
      <c r="B11177" s="2" t="str">
        <f>"71467"</f>
        <v>71467</v>
      </c>
      <c r="C11177" s="1">
        <v>3.4003936146949403E-2</v>
      </c>
      <c r="D11177" s="1">
        <v>8.7288597926895705E-3</v>
      </c>
      <c r="E11177" s="1">
        <v>7.8979343863912494E-3</v>
      </c>
      <c r="F11177" s="1">
        <v>3.1224892264991599E-2</v>
      </c>
    </row>
    <row r="11178" spans="1:6" x14ac:dyDescent="0.25">
      <c r="A11178" s="2" t="str">
        <f t="shared" si="404"/>
        <v>10780</v>
      </c>
      <c r="B11178" s="2" t="str">
        <f>"71448"</f>
        <v>71448</v>
      </c>
      <c r="C11178" s="1">
        <v>0</v>
      </c>
      <c r="D11178" s="1">
        <v>0</v>
      </c>
      <c r="E11178" s="1">
        <v>6.0753341433778798E-4</v>
      </c>
      <c r="F11178" s="1">
        <v>1.2173447276799799E-5</v>
      </c>
    </row>
    <row r="11179" spans="1:6" x14ac:dyDescent="0.25">
      <c r="A11179" s="2" t="str">
        <f t="shared" si="404"/>
        <v>10780</v>
      </c>
      <c r="B11179" s="2" t="str">
        <f>"71351"</f>
        <v>71351</v>
      </c>
      <c r="C11179" s="1">
        <v>6.4235731467308097E-4</v>
      </c>
      <c r="D11179" s="1">
        <v>0</v>
      </c>
      <c r="E11179" s="1">
        <v>0</v>
      </c>
      <c r="F11179" s="1">
        <v>5.7215202200959199E-4</v>
      </c>
    </row>
    <row r="11180" spans="1:6" x14ac:dyDescent="0.25">
      <c r="A11180" s="2" t="str">
        <f t="shared" si="404"/>
        <v>10780</v>
      </c>
      <c r="B11180" s="2" t="str">
        <f>"71433"</f>
        <v>71433</v>
      </c>
      <c r="C11180" s="1">
        <v>1.9995079816313099E-2</v>
      </c>
      <c r="D11180" s="1">
        <v>2.59138025095471E-3</v>
      </c>
      <c r="E11180" s="1">
        <v>9.1130012150668193E-3</v>
      </c>
      <c r="F11180" s="1">
        <v>1.8223650573369301E-2</v>
      </c>
    </row>
    <row r="11181" spans="1:6" x14ac:dyDescent="0.25">
      <c r="A11181" s="2" t="str">
        <f t="shared" si="404"/>
        <v>10780</v>
      </c>
      <c r="B11181" s="2" t="str">
        <f>"71463"</f>
        <v>71463</v>
      </c>
      <c r="C11181" s="1">
        <v>2.46009184342882E-3</v>
      </c>
      <c r="D11181" s="1">
        <v>1.36388434260774E-4</v>
      </c>
      <c r="E11181" s="1">
        <v>6.0753341433778798E-4</v>
      </c>
      <c r="F11181" s="1">
        <v>2.2155674043775699E-3</v>
      </c>
    </row>
    <row r="11182" spans="1:6" x14ac:dyDescent="0.25">
      <c r="A11182" s="2" t="str">
        <f t="shared" si="404"/>
        <v>10780</v>
      </c>
      <c r="B11182" s="2" t="str">
        <f>"71365"</f>
        <v>71365</v>
      </c>
      <c r="C11182" s="1">
        <v>0</v>
      </c>
      <c r="D11182" s="1">
        <v>0</v>
      </c>
      <c r="E11182" s="1">
        <v>6.0753341433778798E-4</v>
      </c>
      <c r="F11182" s="1">
        <v>1.2173447276799799E-5</v>
      </c>
    </row>
    <row r="11183" spans="1:6" x14ac:dyDescent="0.25">
      <c r="A11183" s="2" t="str">
        <f t="shared" si="404"/>
        <v>10780</v>
      </c>
      <c r="B11183" s="2" t="str">
        <f>"71427"</f>
        <v>71427</v>
      </c>
      <c r="C11183" s="1">
        <v>1.72206429040017E-3</v>
      </c>
      <c r="D11183" s="1">
        <v>2.7277686852154902E-4</v>
      </c>
      <c r="E11183" s="1">
        <v>1.82260024301336E-3</v>
      </c>
      <c r="F11183" s="1">
        <v>1.5947215932607701E-3</v>
      </c>
    </row>
    <row r="11184" spans="1:6" x14ac:dyDescent="0.25">
      <c r="A11184" s="2" t="str">
        <f t="shared" si="404"/>
        <v>10780</v>
      </c>
      <c r="B11184" s="2" t="str">
        <f>"71430"</f>
        <v>71430</v>
      </c>
      <c r="C11184" s="1">
        <v>1.25738027553028E-2</v>
      </c>
      <c r="D11184" s="1">
        <v>4.77359519912711E-3</v>
      </c>
      <c r="E11184" s="1">
        <v>1.82260024301336E-3</v>
      </c>
      <c r="F11184" s="1">
        <v>1.16621624911742E-2</v>
      </c>
    </row>
    <row r="11185" spans="1:6" x14ac:dyDescent="0.25">
      <c r="A11185" s="2" t="str">
        <f t="shared" si="404"/>
        <v>10780</v>
      </c>
      <c r="B11185" s="2" t="str">
        <f>"71407"</f>
        <v>71407</v>
      </c>
      <c r="C11185" s="1">
        <v>5.0431882790290799E-3</v>
      </c>
      <c r="D11185" s="1">
        <v>2.31860338243316E-3</v>
      </c>
      <c r="E11185" s="1">
        <v>1.82260024301336E-3</v>
      </c>
      <c r="F11185" s="1">
        <v>4.7354709906751299E-3</v>
      </c>
    </row>
    <row r="11186" spans="1:6" x14ac:dyDescent="0.25">
      <c r="A11186" s="2" t="str">
        <f t="shared" si="404"/>
        <v>10780</v>
      </c>
      <c r="B11186" s="2" t="str">
        <f>"71360"</f>
        <v>71360</v>
      </c>
      <c r="C11186" s="1">
        <v>0.22277498359938699</v>
      </c>
      <c r="D11186" s="1">
        <v>0.15861974904528001</v>
      </c>
      <c r="E11186" s="1">
        <v>0.17679222357229599</v>
      </c>
      <c r="F11186" s="1">
        <v>0.21612738295230399</v>
      </c>
    </row>
    <row r="11187" spans="1:6" x14ac:dyDescent="0.25">
      <c r="A11187" s="2" t="str">
        <f t="shared" si="404"/>
        <v>10780</v>
      </c>
      <c r="B11187" s="2" t="str">
        <f>"71302"</f>
        <v>71302</v>
      </c>
      <c r="C11187" s="1">
        <v>9.4057511480428596E-2</v>
      </c>
      <c r="D11187" s="1">
        <v>8.1287506819421707E-2</v>
      </c>
      <c r="E11187" s="1">
        <v>8.9914945321992706E-2</v>
      </c>
      <c r="F11187" s="1">
        <v>9.2834708932875598E-2</v>
      </c>
    </row>
    <row r="11188" spans="1:6" x14ac:dyDescent="0.25">
      <c r="A11188" s="2" t="str">
        <f t="shared" si="404"/>
        <v>10780</v>
      </c>
      <c r="B11188" s="2" t="str">
        <f>"71438"</f>
        <v>71438</v>
      </c>
      <c r="C11188" s="1">
        <v>5.8495517165974096E-3</v>
      </c>
      <c r="D11188" s="1">
        <v>1.50027277686852E-3</v>
      </c>
      <c r="E11188" s="1">
        <v>0</v>
      </c>
      <c r="F11188" s="1">
        <v>5.3441433545151299E-3</v>
      </c>
    </row>
    <row r="11189" spans="1:6" x14ac:dyDescent="0.25">
      <c r="A11189" s="2" t="str">
        <f t="shared" si="404"/>
        <v>10780</v>
      </c>
      <c r="B11189" s="2" t="str">
        <f>"71424"</f>
        <v>71424</v>
      </c>
      <c r="C11189" s="1">
        <v>7.4349442379182101E-3</v>
      </c>
      <c r="D11189" s="1">
        <v>5.4555373704309805E-4</v>
      </c>
      <c r="E11189" s="1">
        <v>6.0753341433778798E-4</v>
      </c>
      <c r="F11189" s="1">
        <v>6.6832225549631101E-3</v>
      </c>
    </row>
    <row r="11190" spans="1:6" x14ac:dyDescent="0.25">
      <c r="A11190" s="2" t="str">
        <f t="shared" si="404"/>
        <v>10780</v>
      </c>
      <c r="B11190" s="2" t="str">
        <f>"71432"</f>
        <v>71432</v>
      </c>
      <c r="C11190" s="1">
        <v>5.9725563087688598E-3</v>
      </c>
      <c r="D11190" s="1">
        <v>5.4555373704309805E-4</v>
      </c>
      <c r="E11190" s="1">
        <v>1.82260024301336E-3</v>
      </c>
      <c r="F11190" s="1">
        <v>5.40501059089913E-3</v>
      </c>
    </row>
    <row r="11191" spans="1:6" x14ac:dyDescent="0.25">
      <c r="A11191" s="2" t="str">
        <f t="shared" si="404"/>
        <v>10780</v>
      </c>
      <c r="B11191" s="2" t="str">
        <f>"71417"</f>
        <v>71417</v>
      </c>
      <c r="C11191" s="1">
        <v>3.4113273562212901E-2</v>
      </c>
      <c r="D11191" s="1">
        <v>2.08674304418985E-2</v>
      </c>
      <c r="E11191" s="1">
        <v>1.33657351154313E-2</v>
      </c>
      <c r="F11191" s="1">
        <v>3.2515277676332298E-2</v>
      </c>
    </row>
    <row r="11192" spans="1:6" x14ac:dyDescent="0.25">
      <c r="A11192" s="2" t="str">
        <f t="shared" si="404"/>
        <v>10780</v>
      </c>
      <c r="B11192" s="2" t="str">
        <f>"71309"</f>
        <v>71309</v>
      </c>
      <c r="C11192" s="1">
        <v>1.5703586267220598E-2</v>
      </c>
      <c r="D11192" s="1">
        <v>2.4959083469721699E-2</v>
      </c>
      <c r="E11192" s="1">
        <v>1.2150668286755699E-3</v>
      </c>
      <c r="F11192" s="1">
        <v>1.6239378667250899E-2</v>
      </c>
    </row>
    <row r="11193" spans="1:6" x14ac:dyDescent="0.25">
      <c r="A11193" s="2" t="str">
        <f t="shared" si="404"/>
        <v>10780</v>
      </c>
      <c r="B11193" s="2" t="str">
        <f>"70656"</f>
        <v>70656</v>
      </c>
      <c r="C11193" s="1">
        <v>3.12978351191777E-3</v>
      </c>
      <c r="D11193" s="1">
        <v>2.7277686852154902E-4</v>
      </c>
      <c r="E11193" s="1">
        <v>0</v>
      </c>
      <c r="F11193" s="1">
        <v>2.8120663209407599E-3</v>
      </c>
    </row>
    <row r="11194" spans="1:6" x14ac:dyDescent="0.25">
      <c r="A11194" s="2" t="str">
        <f t="shared" si="404"/>
        <v>10780</v>
      </c>
      <c r="B11194" s="2" t="str">
        <f>"71477"</f>
        <v>71477</v>
      </c>
      <c r="C11194" s="1">
        <v>0</v>
      </c>
      <c r="D11194" s="1">
        <v>0</v>
      </c>
      <c r="E11194" s="1">
        <v>6.0753341433778798E-4</v>
      </c>
      <c r="F11194" s="1">
        <v>1.2173447276799799E-5</v>
      </c>
    </row>
    <row r="11195" spans="1:6" x14ac:dyDescent="0.25">
      <c r="A11195" s="2" t="str">
        <f t="shared" si="404"/>
        <v>10780</v>
      </c>
      <c r="B11195" s="2" t="str">
        <f>"71454"</f>
        <v>71454</v>
      </c>
      <c r="C11195" s="1">
        <v>1.1507762956483701E-2</v>
      </c>
      <c r="D11195" s="1">
        <v>1.50027277686852E-3</v>
      </c>
      <c r="E11195" s="1">
        <v>3.0376670716889399E-3</v>
      </c>
      <c r="F11195" s="1">
        <v>1.04448177634942E-2</v>
      </c>
    </row>
    <row r="11196" spans="1:6" x14ac:dyDescent="0.25">
      <c r="A11196" s="2" t="str">
        <f t="shared" si="404"/>
        <v>10780</v>
      </c>
      <c r="B11196" s="2" t="str">
        <f>"71325"</f>
        <v>71325</v>
      </c>
      <c r="C11196" s="1">
        <v>1.6263940520445999E-3</v>
      </c>
      <c r="D11196" s="1">
        <v>6.8194217130387305E-4</v>
      </c>
      <c r="E11196" s="1">
        <v>1.82260024301336E-3</v>
      </c>
      <c r="F11196" s="1">
        <v>1.54602780415358E-3</v>
      </c>
    </row>
    <row r="11197" spans="1:6" x14ac:dyDescent="0.25">
      <c r="A11197" s="2" t="str">
        <f t="shared" si="404"/>
        <v>10780</v>
      </c>
      <c r="B11197" s="2" t="str">
        <f>"71315"</f>
        <v>71315</v>
      </c>
      <c r="C11197" s="1">
        <v>2.0022414170129E-2</v>
      </c>
      <c r="D11197" s="1">
        <v>7.0785597381342005E-2</v>
      </c>
      <c r="E11197" s="1">
        <v>1.2150668286755699E-3</v>
      </c>
      <c r="F11197" s="1">
        <v>2.4176466291724399E-2</v>
      </c>
    </row>
    <row r="11198" spans="1:6" x14ac:dyDescent="0.25">
      <c r="A11198" s="2" t="str">
        <f t="shared" si="404"/>
        <v>10780</v>
      </c>
      <c r="B11198" s="2" t="str">
        <f>"71306"</f>
        <v>71306</v>
      </c>
      <c r="C11198" s="1">
        <v>1.35851738464902E-2</v>
      </c>
      <c r="D11198" s="1">
        <v>4.6508456082924102E-2</v>
      </c>
      <c r="E11198" s="1">
        <v>1.2150668286755699E-3</v>
      </c>
      <c r="F11198" s="1">
        <v>1.6275899009081302E-2</v>
      </c>
    </row>
    <row r="11199" spans="1:6" x14ac:dyDescent="0.25">
      <c r="A11199" s="2" t="str">
        <f t="shared" si="404"/>
        <v>10780</v>
      </c>
      <c r="B11199" s="2" t="str">
        <f>"71301"</f>
        <v>71301</v>
      </c>
      <c r="C11199" s="1">
        <v>0.13961021211458499</v>
      </c>
      <c r="D11199" s="1">
        <v>0.30210038188761501</v>
      </c>
      <c r="E11199" s="1">
        <v>0.25273390036451998</v>
      </c>
      <c r="F11199" s="1">
        <v>0.15638010371777</v>
      </c>
    </row>
    <row r="11200" spans="1:6" x14ac:dyDescent="0.25">
      <c r="A11200" s="2" t="str">
        <f t="shared" si="404"/>
        <v>10780</v>
      </c>
      <c r="B11200" s="2" t="str">
        <f>"71455"</f>
        <v>71455</v>
      </c>
      <c r="C11200" s="1">
        <v>9.56702383555652E-4</v>
      </c>
      <c r="D11200" s="1">
        <v>2.7277686852154902E-4</v>
      </c>
      <c r="E11200" s="1">
        <v>0</v>
      </c>
      <c r="F11200" s="1">
        <v>8.7648820392958798E-4</v>
      </c>
    </row>
    <row r="11201" spans="1:6" x14ac:dyDescent="0.25">
      <c r="A11201" s="2" t="str">
        <f t="shared" si="404"/>
        <v>10780</v>
      </c>
      <c r="B11201" s="2" t="str">
        <f>"71348"</f>
        <v>71348</v>
      </c>
      <c r="C11201" s="1">
        <v>0</v>
      </c>
      <c r="D11201" s="1">
        <v>0</v>
      </c>
      <c r="E11201" s="1">
        <v>6.0753341433778798E-4</v>
      </c>
      <c r="F11201" s="1">
        <v>1.2173447276799799E-5</v>
      </c>
    </row>
    <row r="11202" spans="1:6" x14ac:dyDescent="0.25">
      <c r="A11202" s="2" t="str">
        <f t="shared" si="404"/>
        <v>10780</v>
      </c>
      <c r="B11202" s="2" t="str">
        <f>"71330"</f>
        <v>71330</v>
      </c>
      <c r="C11202" s="1">
        <v>0</v>
      </c>
      <c r="D11202" s="1">
        <v>0</v>
      </c>
      <c r="E11202" s="1">
        <v>6.0753341433778798E-4</v>
      </c>
      <c r="F11202" s="1">
        <v>1.2173447276799799E-5</v>
      </c>
    </row>
    <row r="11203" spans="1:6" x14ac:dyDescent="0.25">
      <c r="A11203" s="2" t="str">
        <f t="shared" si="404"/>
        <v>10780</v>
      </c>
      <c r="B11203" s="2" t="str">
        <f>"71323"</f>
        <v>71323</v>
      </c>
      <c r="C11203" s="1">
        <v>1.6400612289525399E-4</v>
      </c>
      <c r="D11203" s="1">
        <v>0</v>
      </c>
      <c r="E11203" s="1">
        <v>0</v>
      </c>
      <c r="F11203" s="1">
        <v>1.46081367321598E-4</v>
      </c>
    </row>
    <row r="11204" spans="1:6" x14ac:dyDescent="0.25">
      <c r="A11204" s="2" t="str">
        <f t="shared" si="404"/>
        <v>10780</v>
      </c>
      <c r="B11204" s="2" t="str">
        <f>"71404"</f>
        <v>71404</v>
      </c>
      <c r="C11204" s="1">
        <v>1.7904001749398601E-3</v>
      </c>
      <c r="D11204" s="1">
        <v>8.1833060556464805E-4</v>
      </c>
      <c r="E11204" s="1">
        <v>0</v>
      </c>
      <c r="F11204" s="1">
        <v>1.66776227692157E-3</v>
      </c>
    </row>
    <row r="11205" spans="1:6" x14ac:dyDescent="0.25">
      <c r="A11205" s="2" t="str">
        <f t="shared" si="404"/>
        <v>10780</v>
      </c>
      <c r="B11205" s="2" t="str">
        <f>"71409"</f>
        <v>71409</v>
      </c>
      <c r="C11205" s="1">
        <v>4.0536846708943801E-2</v>
      </c>
      <c r="D11205" s="1">
        <v>1.33660665575559E-2</v>
      </c>
      <c r="E11205" s="1">
        <v>1.03280680437424E-2</v>
      </c>
      <c r="F11205" s="1">
        <v>3.7506391059820302E-2</v>
      </c>
    </row>
    <row r="11206" spans="1:6" x14ac:dyDescent="0.25">
      <c r="A11206" s="2" t="str">
        <f t="shared" si="404"/>
        <v>10780</v>
      </c>
      <c r="B11206" s="2" t="str">
        <f>"71405"</f>
        <v>71405</v>
      </c>
      <c r="C11206" s="1">
        <v>3.40176033238574E-2</v>
      </c>
      <c r="D11206" s="1">
        <v>2.08674304418985E-2</v>
      </c>
      <c r="E11206" s="1">
        <v>3.2806804374240502E-2</v>
      </c>
      <c r="F11206" s="1">
        <v>3.28196138582523E-2</v>
      </c>
    </row>
    <row r="11207" spans="1:6" x14ac:dyDescent="0.25">
      <c r="A11207" s="2" t="str">
        <f t="shared" si="404"/>
        <v>10780</v>
      </c>
      <c r="B11207" s="2" t="str">
        <f>"71307"</f>
        <v>71307</v>
      </c>
      <c r="C11207" s="1">
        <v>1.46785479991253E-2</v>
      </c>
      <c r="D11207" s="1">
        <v>2.8368794326241099E-2</v>
      </c>
      <c r="E11207" s="1">
        <v>1.2150668286755699E-3</v>
      </c>
      <c r="F11207" s="1">
        <v>1.5630706303410902E-2</v>
      </c>
    </row>
    <row r="11208" spans="1:6" x14ac:dyDescent="0.25">
      <c r="A11208" s="2" t="str">
        <f t="shared" si="404"/>
        <v>10780</v>
      </c>
      <c r="B11208" s="2" t="str">
        <f>"71303"</f>
        <v>71303</v>
      </c>
      <c r="C11208" s="1">
        <v>0.145350426415919</v>
      </c>
      <c r="D11208" s="1">
        <v>0.18316966721222</v>
      </c>
      <c r="E11208" s="1">
        <v>0.34325637910085</v>
      </c>
      <c r="F11208" s="1">
        <v>0.15269154919290001</v>
      </c>
    </row>
    <row r="11209" spans="1:6" x14ac:dyDescent="0.25">
      <c r="A11209" s="2" t="str">
        <f t="shared" ref="A11209:A11232" si="405">"45500"</f>
        <v>45500</v>
      </c>
      <c r="B11209" s="2" t="str">
        <f>"71853"</f>
        <v>71853</v>
      </c>
      <c r="C11209" s="1">
        <v>2.2531723924481498E-3</v>
      </c>
      <c r="D11209" s="1">
        <v>6.7815000678150003E-4</v>
      </c>
      <c r="E11209" s="1">
        <v>2.8296547821165797E-4</v>
      </c>
      <c r="F11209" s="1">
        <v>2.0505660871272401E-3</v>
      </c>
    </row>
    <row r="11210" spans="1:6" x14ac:dyDescent="0.25">
      <c r="A11210" s="2" t="str">
        <f t="shared" si="405"/>
        <v>45500</v>
      </c>
      <c r="B11210" s="2" t="str">
        <f>"75569"</f>
        <v>75569</v>
      </c>
      <c r="C11210" s="1">
        <v>3.42308882698854E-2</v>
      </c>
      <c r="D11210" s="1">
        <v>3.75695103756951E-2</v>
      </c>
      <c r="E11210" s="1">
        <v>1.32993774759479E-2</v>
      </c>
      <c r="F11210" s="1">
        <v>3.3692545974127901E-2</v>
      </c>
    </row>
    <row r="11211" spans="1:6" x14ac:dyDescent="0.25">
      <c r="A11211" s="2" t="str">
        <f t="shared" si="405"/>
        <v>45500</v>
      </c>
      <c r="B11211" s="2" t="str">
        <f>"75561"</f>
        <v>75561</v>
      </c>
      <c r="C11211" s="1">
        <v>2.6542865985762901E-2</v>
      </c>
      <c r="D11211" s="1">
        <v>8.8159500881595E-3</v>
      </c>
      <c r="E11211" s="1">
        <v>0.12676853423882201</v>
      </c>
      <c r="F11211" s="1">
        <v>2.89806068803036E-2</v>
      </c>
    </row>
    <row r="11212" spans="1:6" x14ac:dyDescent="0.25">
      <c r="A11212" s="2" t="str">
        <f t="shared" si="405"/>
        <v>45500</v>
      </c>
      <c r="B11212" s="2" t="str">
        <f>"71820"</f>
        <v>71820</v>
      </c>
      <c r="C11212" s="1">
        <v>0</v>
      </c>
      <c r="D11212" s="1">
        <v>0</v>
      </c>
      <c r="E11212" s="1">
        <v>2.8296547821165797E-4</v>
      </c>
      <c r="F11212" s="1">
        <v>1.0907266420889499E-5</v>
      </c>
    </row>
    <row r="11213" spans="1:6" x14ac:dyDescent="0.25">
      <c r="A11213" s="2" t="str">
        <f t="shared" si="405"/>
        <v>45500</v>
      </c>
      <c r="B11213" s="2" t="str">
        <f>"75599"</f>
        <v>75599</v>
      </c>
      <c r="C11213" s="1">
        <v>0</v>
      </c>
      <c r="D11213" s="1">
        <v>1.356300013563E-4</v>
      </c>
      <c r="E11213" s="1">
        <v>0</v>
      </c>
      <c r="F11213" s="1">
        <v>1.0907266420889499E-5</v>
      </c>
    </row>
    <row r="11214" spans="1:6" x14ac:dyDescent="0.25">
      <c r="A11214" s="2" t="str">
        <f t="shared" si="405"/>
        <v>45500</v>
      </c>
      <c r="B11214" s="2" t="str">
        <f>"75567"</f>
        <v>75567</v>
      </c>
      <c r="C11214" s="1">
        <v>2.6097183534509402E-2</v>
      </c>
      <c r="D11214" s="1">
        <v>5.9677200596772E-3</v>
      </c>
      <c r="E11214" s="1">
        <v>1.7543859649122799E-2</v>
      </c>
      <c r="F11214" s="1">
        <v>2.4148687855849501E-2</v>
      </c>
    </row>
    <row r="11215" spans="1:6" x14ac:dyDescent="0.25">
      <c r="A11215" s="2" t="str">
        <f t="shared" si="405"/>
        <v>45500</v>
      </c>
      <c r="B11215" s="2" t="str">
        <f>"75574"</f>
        <v>75574</v>
      </c>
      <c r="C11215" s="1">
        <v>1.6960693283813E-2</v>
      </c>
      <c r="D11215" s="1">
        <v>4.6114200461141999E-3</v>
      </c>
      <c r="E11215" s="1">
        <v>8.4889643463497398E-4</v>
      </c>
      <c r="F11215" s="1">
        <v>1.53465238541916E-2</v>
      </c>
    </row>
    <row r="11216" spans="1:6" x14ac:dyDescent="0.25">
      <c r="A11216" s="2" t="str">
        <f t="shared" si="405"/>
        <v>45500</v>
      </c>
      <c r="B11216" s="2" t="str">
        <f>"75554"</f>
        <v>75554</v>
      </c>
      <c r="C11216" s="1">
        <v>9.7802537913958495E-4</v>
      </c>
      <c r="D11216" s="1">
        <v>1.356300013563E-4</v>
      </c>
      <c r="E11216" s="1">
        <v>0</v>
      </c>
      <c r="F11216" s="1">
        <v>8.7258131367116704E-4</v>
      </c>
    </row>
    <row r="11217" spans="1:6" x14ac:dyDescent="0.25">
      <c r="A11217" s="2" t="str">
        <f t="shared" si="405"/>
        <v>45500</v>
      </c>
      <c r="B11217" s="2" t="str">
        <f>"75501"</f>
        <v>75501</v>
      </c>
      <c r="C11217" s="1">
        <v>0.236409780253791</v>
      </c>
      <c r="D11217" s="1">
        <v>0.26230842262308401</v>
      </c>
      <c r="E11217" s="1">
        <v>0.17798528579513201</v>
      </c>
      <c r="F11217" s="1">
        <v>0.236240483410047</v>
      </c>
    </row>
    <row r="11218" spans="1:6" x14ac:dyDescent="0.25">
      <c r="A11218" s="2" t="str">
        <f t="shared" si="405"/>
        <v>45500</v>
      </c>
      <c r="B11218" s="2" t="str">
        <f>"71837"</f>
        <v>71837</v>
      </c>
      <c r="C11218" s="1">
        <v>2.86474775611265E-2</v>
      </c>
      <c r="D11218" s="1">
        <v>3.6620100366201E-3</v>
      </c>
      <c r="E11218" s="1">
        <v>5.6593095642331595E-4</v>
      </c>
      <c r="F11218" s="1">
        <v>2.5555725224144302E-2</v>
      </c>
    </row>
    <row r="11219" spans="1:6" x14ac:dyDescent="0.25">
      <c r="A11219" s="2" t="str">
        <f t="shared" si="405"/>
        <v>45500</v>
      </c>
      <c r="B11219" s="2" t="str">
        <f>"71822"</f>
        <v>71822</v>
      </c>
      <c r="C11219" s="1">
        <v>5.46951408232745E-2</v>
      </c>
      <c r="D11219" s="1">
        <v>5.8185270581852702E-2</v>
      </c>
      <c r="E11219" s="1">
        <v>1.01867572156196E-2</v>
      </c>
      <c r="F11219" s="1">
        <v>5.32601819332039E-2</v>
      </c>
    </row>
    <row r="11220" spans="1:6" x14ac:dyDescent="0.25">
      <c r="A11220" s="2" t="str">
        <f t="shared" si="405"/>
        <v>45500</v>
      </c>
      <c r="B11220" s="2" t="str">
        <f>"75570"</f>
        <v>75570</v>
      </c>
      <c r="C11220" s="1">
        <v>5.4893221912720502E-2</v>
      </c>
      <c r="D11220" s="1">
        <v>5.4116370541163701E-2</v>
      </c>
      <c r="E11220" s="1">
        <v>2.3203169213355902E-2</v>
      </c>
      <c r="F11220" s="1">
        <v>5.3609214458672297E-2</v>
      </c>
    </row>
    <row r="11221" spans="1:6" x14ac:dyDescent="0.25">
      <c r="A11221" s="2" t="str">
        <f t="shared" si="405"/>
        <v>45500</v>
      </c>
      <c r="B11221" s="2" t="str">
        <f>"75559"</f>
        <v>75559</v>
      </c>
      <c r="C11221" s="1">
        <v>3.76601671309192E-2</v>
      </c>
      <c r="D11221" s="1">
        <v>2.4277770242777701E-2</v>
      </c>
      <c r="E11221" s="1">
        <v>0.32541029994340598</v>
      </c>
      <c r="F11221" s="1">
        <v>4.7675661525708402E-2</v>
      </c>
    </row>
    <row r="11222" spans="1:6" x14ac:dyDescent="0.25">
      <c r="A11222" s="2" t="str">
        <f t="shared" si="405"/>
        <v>45500</v>
      </c>
      <c r="B11222" s="2" t="str">
        <f>"71840"</f>
        <v>71840</v>
      </c>
      <c r="C11222" s="1">
        <v>0</v>
      </c>
      <c r="D11222" s="1">
        <v>0</v>
      </c>
      <c r="E11222" s="1">
        <v>2.8296547821165797E-4</v>
      </c>
      <c r="F11222" s="1">
        <v>1.0907266420889499E-5</v>
      </c>
    </row>
    <row r="11223" spans="1:6" x14ac:dyDescent="0.25">
      <c r="A11223" s="2" t="str">
        <f t="shared" si="405"/>
        <v>45500</v>
      </c>
      <c r="B11223" s="2" t="str">
        <f>"71834"</f>
        <v>71834</v>
      </c>
      <c r="C11223" s="1">
        <v>1.13277623026926E-2</v>
      </c>
      <c r="D11223" s="1">
        <v>5.0183100501830996E-3</v>
      </c>
      <c r="E11223" s="1">
        <v>2.8296547821165797E-4</v>
      </c>
      <c r="F11223" s="1">
        <v>1.03946248991077E-2</v>
      </c>
    </row>
    <row r="11224" spans="1:6" x14ac:dyDescent="0.25">
      <c r="A11224" s="2" t="str">
        <f t="shared" si="405"/>
        <v>45500</v>
      </c>
      <c r="B11224" s="2" t="str">
        <f>"75573"</f>
        <v>75573</v>
      </c>
      <c r="C11224" s="1">
        <v>0</v>
      </c>
      <c r="D11224" s="1">
        <v>1.356300013563E-4</v>
      </c>
      <c r="E11224" s="1">
        <v>2.8296547821165797E-4</v>
      </c>
      <c r="F11224" s="1">
        <v>2.18145328417791E-5</v>
      </c>
    </row>
    <row r="11225" spans="1:6" x14ac:dyDescent="0.25">
      <c r="A11225" s="2" t="str">
        <f t="shared" si="405"/>
        <v>45500</v>
      </c>
      <c r="B11225" s="2" t="str">
        <f>"75505"</f>
        <v>75505</v>
      </c>
      <c r="C11225" s="1">
        <v>2.27174249458372E-2</v>
      </c>
      <c r="D11225" s="1">
        <v>4.8555540485555403E-2</v>
      </c>
      <c r="E11225" s="1">
        <v>5.6593095642331595E-4</v>
      </c>
      <c r="F11225" s="1">
        <v>2.3941449793852598E-2</v>
      </c>
    </row>
    <row r="11226" spans="1:6" x14ac:dyDescent="0.25">
      <c r="A11226" s="2" t="str">
        <f t="shared" si="405"/>
        <v>45500</v>
      </c>
      <c r="B11226" s="2" t="str">
        <f>"75504"</f>
        <v>75504</v>
      </c>
      <c r="C11226" s="1">
        <v>1.8941504178272901E-2</v>
      </c>
      <c r="D11226" s="1">
        <v>6.7408110674081104E-2</v>
      </c>
      <c r="E11226" s="1">
        <v>2.8296547821165797E-4</v>
      </c>
      <c r="F11226" s="1">
        <v>2.21199363015641E-2</v>
      </c>
    </row>
    <row r="11227" spans="1:6" x14ac:dyDescent="0.25">
      <c r="A11227" s="2" t="str">
        <f t="shared" si="405"/>
        <v>45500</v>
      </c>
      <c r="B11227" s="2" t="str">
        <f>"71865"</f>
        <v>71865</v>
      </c>
      <c r="C11227" s="1">
        <v>1.1142061281337E-4</v>
      </c>
      <c r="D11227" s="1">
        <v>0</v>
      </c>
      <c r="E11227" s="1">
        <v>2.8296547821165797E-4</v>
      </c>
      <c r="F11227" s="1">
        <v>1.09072664208895E-4</v>
      </c>
    </row>
    <row r="11228" spans="1:6" x14ac:dyDescent="0.25">
      <c r="A11228" s="2" t="str">
        <f t="shared" si="405"/>
        <v>45500</v>
      </c>
      <c r="B11228" s="2" t="str">
        <f>"71866"</f>
        <v>71866</v>
      </c>
      <c r="C11228" s="1">
        <v>3.9244815846487102E-3</v>
      </c>
      <c r="D11228" s="1">
        <v>6.7815000678150003E-4</v>
      </c>
      <c r="E11228" s="1">
        <v>2.8296547821165797E-4</v>
      </c>
      <c r="F11228" s="1">
        <v>3.5230470539473302E-3</v>
      </c>
    </row>
    <row r="11229" spans="1:6" x14ac:dyDescent="0.25">
      <c r="A11229" s="2" t="str">
        <f t="shared" si="405"/>
        <v>45500</v>
      </c>
      <c r="B11229" s="2" t="str">
        <f>"71839"</f>
        <v>71839</v>
      </c>
      <c r="C11229" s="1">
        <v>1.77034973692355E-3</v>
      </c>
      <c r="D11229" s="1">
        <v>2.7126000271260001E-3</v>
      </c>
      <c r="E11229" s="1">
        <v>7.0741369552914501E-3</v>
      </c>
      <c r="F11229" s="1">
        <v>2.0505660871272401E-3</v>
      </c>
    </row>
    <row r="11230" spans="1:6" x14ac:dyDescent="0.25">
      <c r="A11230" s="2" t="str">
        <f t="shared" si="405"/>
        <v>45500</v>
      </c>
      <c r="B11230" s="2" t="str">
        <f>"71836"</f>
        <v>71836</v>
      </c>
      <c r="C11230" s="1">
        <v>1.6750232126276601E-2</v>
      </c>
      <c r="D11230" s="1">
        <v>4.4757900447579E-3</v>
      </c>
      <c r="E11230" s="1">
        <v>1.6977928692699399E-3</v>
      </c>
      <c r="F11230" s="1">
        <v>1.51829148578783E-2</v>
      </c>
    </row>
    <row r="11231" spans="1:6" x14ac:dyDescent="0.25">
      <c r="A11231" s="2" t="str">
        <f t="shared" si="405"/>
        <v>45500</v>
      </c>
      <c r="B11231" s="2" t="str">
        <f>"75503"</f>
        <v>75503</v>
      </c>
      <c r="C11231" s="1">
        <v>0.15742494583720201</v>
      </c>
      <c r="D11231" s="1">
        <v>0.209683982096839</v>
      </c>
      <c r="E11231" s="1">
        <v>0.16383701188454999</v>
      </c>
      <c r="F11231" s="1">
        <v>0.16187474095242199</v>
      </c>
    </row>
    <row r="11232" spans="1:6" x14ac:dyDescent="0.25">
      <c r="A11232" s="2" t="str">
        <f t="shared" si="405"/>
        <v>45500</v>
      </c>
      <c r="B11232" s="2" t="str">
        <f>"71854"</f>
        <v>71854</v>
      </c>
      <c r="C11232" s="1">
        <v>0.24766326214794099</v>
      </c>
      <c r="D11232" s="1">
        <v>0.20086803200868</v>
      </c>
      <c r="E11232" s="1">
        <v>0.12874929258630399</v>
      </c>
      <c r="F11232" s="1">
        <v>0.239316332540738</v>
      </c>
    </row>
    <row r="11233" spans="1:6" x14ac:dyDescent="0.25">
      <c r="A11233" s="2" t="str">
        <f t="shared" ref="A11233:A11248" si="406">"34780"</f>
        <v>34780</v>
      </c>
      <c r="B11233" s="2" t="str">
        <f>"74434"</f>
        <v>74434</v>
      </c>
      <c r="C11233" s="1">
        <v>7.7751703469139594E-2</v>
      </c>
      <c r="D11233" s="1">
        <v>3.0286190608502302E-2</v>
      </c>
      <c r="E11233" s="1">
        <v>4.09276944065484E-2</v>
      </c>
      <c r="F11233" s="1">
        <v>7.2768947885443594E-2</v>
      </c>
    </row>
    <row r="11234" spans="1:6" x14ac:dyDescent="0.25">
      <c r="A11234" s="2" t="str">
        <f t="shared" si="406"/>
        <v>34780</v>
      </c>
      <c r="B11234" s="2" t="str">
        <f>"74463"</f>
        <v>74463</v>
      </c>
      <c r="C11234" s="1">
        <v>2.8273346716050701E-5</v>
      </c>
      <c r="D11234" s="1">
        <v>0</v>
      </c>
      <c r="E11234" s="1">
        <v>1.36425648021828E-3</v>
      </c>
      <c r="F11234" s="1">
        <v>5.0376564822044699E-5</v>
      </c>
    </row>
    <row r="11235" spans="1:6" x14ac:dyDescent="0.25">
      <c r="A11235" s="2" t="str">
        <f t="shared" si="406"/>
        <v>34780</v>
      </c>
      <c r="B11235" s="2" t="str">
        <f>"74470"</f>
        <v>74470</v>
      </c>
      <c r="C11235" s="1">
        <v>2.87257202635075E-2</v>
      </c>
      <c r="D11235" s="1">
        <v>2.2228396776882401E-3</v>
      </c>
      <c r="E11235" s="1">
        <v>4.0927694406548403E-3</v>
      </c>
      <c r="F11235" s="1">
        <v>2.5868366036119899E-2</v>
      </c>
    </row>
    <row r="11236" spans="1:6" x14ac:dyDescent="0.25">
      <c r="A11236" s="2" t="str">
        <f t="shared" si="406"/>
        <v>34780</v>
      </c>
      <c r="B11236" s="2" t="str">
        <f>"74435"</f>
        <v>74435</v>
      </c>
      <c r="C11236" s="1">
        <v>2.96870140518533E-3</v>
      </c>
      <c r="D11236" s="1">
        <v>1.6671297582661799E-3</v>
      </c>
      <c r="E11236" s="1">
        <v>0</v>
      </c>
      <c r="F11236" s="1">
        <v>2.79589934762348E-3</v>
      </c>
    </row>
    <row r="11237" spans="1:6" x14ac:dyDescent="0.25">
      <c r="A11237" s="2" t="str">
        <f t="shared" si="406"/>
        <v>34780</v>
      </c>
      <c r="B11237" s="2" t="str">
        <f>"74403"</f>
        <v>74403</v>
      </c>
      <c r="C11237" s="1">
        <v>0.406768639203822</v>
      </c>
      <c r="D11237" s="1">
        <v>0.33398166157265902</v>
      </c>
      <c r="E11237" s="1">
        <v>0.59345156889495199</v>
      </c>
      <c r="F11237" s="1">
        <v>0.403617037354222</v>
      </c>
    </row>
    <row r="11238" spans="1:6" x14ac:dyDescent="0.25">
      <c r="A11238" s="2" t="str">
        <f t="shared" si="406"/>
        <v>34780</v>
      </c>
      <c r="B11238" s="2" t="str">
        <f>"74436"</f>
        <v>74436</v>
      </c>
      <c r="C11238" s="1">
        <v>5.0383103848002403E-2</v>
      </c>
      <c r="D11238" s="1">
        <v>1.2225618227285301E-2</v>
      </c>
      <c r="E11238" s="1">
        <v>9.5497953615279602E-3</v>
      </c>
      <c r="F11238" s="1">
        <v>4.6170121659403998E-2</v>
      </c>
    </row>
    <row r="11239" spans="1:6" x14ac:dyDescent="0.25">
      <c r="A11239" s="2" t="str">
        <f t="shared" si="406"/>
        <v>34780</v>
      </c>
      <c r="B11239" s="2" t="str">
        <f>"74401"</f>
        <v>74401</v>
      </c>
      <c r="C11239" s="1">
        <v>0.24238740139670301</v>
      </c>
      <c r="D11239" s="1">
        <v>0.45234787440955798</v>
      </c>
      <c r="E11239" s="1">
        <v>0.33151432469304198</v>
      </c>
      <c r="F11239" s="1">
        <v>0.26306642150071702</v>
      </c>
    </row>
    <row r="11240" spans="1:6" x14ac:dyDescent="0.25">
      <c r="A11240" s="2" t="str">
        <f t="shared" si="406"/>
        <v>34780</v>
      </c>
      <c r="B11240" s="2" t="str">
        <f>"74468"</f>
        <v>74468</v>
      </c>
      <c r="C11240" s="1">
        <v>0</v>
      </c>
      <c r="D11240" s="1">
        <v>0</v>
      </c>
      <c r="E11240" s="1">
        <v>1.36425648021828E-3</v>
      </c>
      <c r="F11240" s="1">
        <v>2.5188282411022299E-5</v>
      </c>
    </row>
    <row r="11241" spans="1:6" x14ac:dyDescent="0.25">
      <c r="A11241" s="2" t="str">
        <f t="shared" si="406"/>
        <v>34780</v>
      </c>
      <c r="B11241" s="2" t="str">
        <f>"74402"</f>
        <v>74402</v>
      </c>
      <c r="C11241" s="1">
        <v>6.6131357968842702E-2</v>
      </c>
      <c r="D11241" s="1">
        <v>0.150875243123089</v>
      </c>
      <c r="E11241" s="1">
        <v>2.7285129604365599E-3</v>
      </c>
      <c r="F11241" s="1">
        <v>7.2643006473388505E-2</v>
      </c>
    </row>
    <row r="11242" spans="1:6" x14ac:dyDescent="0.25">
      <c r="A11242" s="2" t="str">
        <f t="shared" si="406"/>
        <v>34780</v>
      </c>
      <c r="B11242" s="2" t="str">
        <f>"74469"</f>
        <v>74469</v>
      </c>
      <c r="C11242" s="1">
        <v>1.34863863835562E-2</v>
      </c>
      <c r="D11242" s="1">
        <v>8.6135037510419506E-3</v>
      </c>
      <c r="E11242" s="1">
        <v>4.0927694406548403E-3</v>
      </c>
      <c r="F11242" s="1">
        <v>1.28712123120324E-2</v>
      </c>
    </row>
    <row r="11243" spans="1:6" x14ac:dyDescent="0.25">
      <c r="A11243" s="2" t="str">
        <f t="shared" si="406"/>
        <v>34780</v>
      </c>
      <c r="B11243" s="2" t="str">
        <f>"74455"</f>
        <v>74455</v>
      </c>
      <c r="C11243" s="1">
        <v>5.6320506658373098E-2</v>
      </c>
      <c r="D11243" s="1">
        <v>3.8899694359544302E-3</v>
      </c>
      <c r="E11243" s="1">
        <v>6.8212824010914002E-3</v>
      </c>
      <c r="F11243" s="1">
        <v>5.0653635928565997E-2</v>
      </c>
    </row>
    <row r="11244" spans="1:6" x14ac:dyDescent="0.25">
      <c r="A11244" s="2" t="str">
        <f t="shared" si="406"/>
        <v>34780</v>
      </c>
      <c r="B11244" s="2" t="str">
        <f>"74450"</f>
        <v>74450</v>
      </c>
      <c r="C11244" s="1">
        <v>2.2053210438519599E-2</v>
      </c>
      <c r="D11244" s="1">
        <v>1.6671297582661799E-3</v>
      </c>
      <c r="E11244" s="1">
        <v>1.36425648021828E-3</v>
      </c>
      <c r="F11244" s="1">
        <v>1.9823178257474601E-2</v>
      </c>
    </row>
    <row r="11245" spans="1:6" x14ac:dyDescent="0.25">
      <c r="A11245" s="2" t="str">
        <f t="shared" si="406"/>
        <v>34780</v>
      </c>
      <c r="B11245" s="2" t="str">
        <f>"74423"</f>
        <v>74423</v>
      </c>
      <c r="C11245" s="1">
        <v>1.5776527467556301E-2</v>
      </c>
      <c r="D11245" s="1">
        <v>1.11141983884412E-3</v>
      </c>
      <c r="E11245" s="1">
        <v>1.36425648021828E-3</v>
      </c>
      <c r="F11245" s="1">
        <v>1.4181002997405601E-2</v>
      </c>
    </row>
    <row r="11246" spans="1:6" x14ac:dyDescent="0.25">
      <c r="A11246" s="2" t="str">
        <f t="shared" si="406"/>
        <v>34780</v>
      </c>
      <c r="B11246" s="2" t="str">
        <f>"74445"</f>
        <v>74445</v>
      </c>
      <c r="C11246" s="1">
        <v>8.4820040148152304E-5</v>
      </c>
      <c r="D11246" s="1">
        <v>0</v>
      </c>
      <c r="E11246" s="1">
        <v>0</v>
      </c>
      <c r="F11246" s="1">
        <v>7.5564847233067106E-5</v>
      </c>
    </row>
    <row r="11247" spans="1:6" x14ac:dyDescent="0.25">
      <c r="A11247" s="2" t="str">
        <f t="shared" si="406"/>
        <v>34780</v>
      </c>
      <c r="B11247" s="2" t="str">
        <f>"74428"</f>
        <v>74428</v>
      </c>
      <c r="C11247" s="1">
        <v>1.02632248579264E-2</v>
      </c>
      <c r="D11247" s="1">
        <v>8.3356487913309203E-4</v>
      </c>
      <c r="E11247" s="1">
        <v>1.36425648021828E-3</v>
      </c>
      <c r="F11247" s="1">
        <v>9.2440996448452106E-3</v>
      </c>
    </row>
    <row r="11248" spans="1:6" x14ac:dyDescent="0.25">
      <c r="A11248" s="2" t="str">
        <f t="shared" si="406"/>
        <v>34780</v>
      </c>
      <c r="B11248" s="2" t="str">
        <f>"74422"</f>
        <v>74422</v>
      </c>
      <c r="C11248" s="1">
        <v>6.87042325200033E-3</v>
      </c>
      <c r="D11248" s="1">
        <v>2.7785495971103001E-4</v>
      </c>
      <c r="E11248" s="1">
        <v>0</v>
      </c>
      <c r="F11248" s="1">
        <v>6.14594090828946E-3</v>
      </c>
    </row>
    <row r="11249" spans="1:6" x14ac:dyDescent="0.25">
      <c r="A11249" s="2" t="str">
        <f t="shared" ref="A11249:A11267" si="407">"32540"</f>
        <v>32540</v>
      </c>
      <c r="B11249" s="2" t="str">
        <f>"74570"</f>
        <v>74570</v>
      </c>
      <c r="C11249" s="1">
        <v>1.4619883040935601E-2</v>
      </c>
      <c r="D11249" s="1">
        <v>2.2396416573348199E-3</v>
      </c>
      <c r="E11249" s="1">
        <v>4.5871559633027499E-3</v>
      </c>
      <c r="F11249" s="1">
        <v>1.34375E-2</v>
      </c>
    </row>
    <row r="11250" spans="1:6" x14ac:dyDescent="0.25">
      <c r="A11250" s="2" t="str">
        <f t="shared" si="407"/>
        <v>32540</v>
      </c>
      <c r="B11250" s="2" t="str">
        <f>"74561"</f>
        <v>74561</v>
      </c>
      <c r="C11250" s="1">
        <v>1.19932599861235E-2</v>
      </c>
      <c r="D11250" s="1">
        <v>4.4792833146696503E-3</v>
      </c>
      <c r="E11250" s="1">
        <v>6.8807339449541201E-3</v>
      </c>
      <c r="F11250" s="1">
        <v>1.12946428571428E-2</v>
      </c>
    </row>
    <row r="11251" spans="1:6" x14ac:dyDescent="0.25">
      <c r="A11251" s="2" t="str">
        <f t="shared" si="407"/>
        <v>32540</v>
      </c>
      <c r="B11251" s="2" t="str">
        <f>"74528"</f>
        <v>74528</v>
      </c>
      <c r="C11251" s="1">
        <v>1.33809099018733E-3</v>
      </c>
      <c r="D11251" s="1">
        <v>1.11982082866741E-3</v>
      </c>
      <c r="E11251" s="1">
        <v>0</v>
      </c>
      <c r="F11251" s="1">
        <v>1.2946428571428499E-3</v>
      </c>
    </row>
    <row r="11252" spans="1:6" x14ac:dyDescent="0.25">
      <c r="A11252" s="2" t="str">
        <f t="shared" si="407"/>
        <v>32540</v>
      </c>
      <c r="B11252" s="2" t="str">
        <f>"74522"</f>
        <v>74522</v>
      </c>
      <c r="C11252" s="1">
        <v>9.9117851124987593E-5</v>
      </c>
      <c r="D11252" s="1">
        <v>0</v>
      </c>
      <c r="E11252" s="1">
        <v>2.2935779816513702E-3</v>
      </c>
      <c r="F11252" s="1">
        <v>1.33928571428571E-4</v>
      </c>
    </row>
    <row r="11253" spans="1:6" x14ac:dyDescent="0.25">
      <c r="A11253" s="2" t="str">
        <f t="shared" si="407"/>
        <v>32540</v>
      </c>
      <c r="B11253" s="2" t="str">
        <f>"74546"</f>
        <v>74546</v>
      </c>
      <c r="C11253" s="1">
        <v>9.9117851124987593E-5</v>
      </c>
      <c r="D11253" s="1">
        <v>0</v>
      </c>
      <c r="E11253" s="1">
        <v>2.2935779816513702E-3</v>
      </c>
      <c r="F11253" s="1">
        <v>1.33928571428571E-4</v>
      </c>
    </row>
    <row r="11254" spans="1:6" x14ac:dyDescent="0.25">
      <c r="A11254" s="2" t="str">
        <f t="shared" si="407"/>
        <v>32540</v>
      </c>
      <c r="B11254" s="2" t="str">
        <f>"74553"</f>
        <v>74553</v>
      </c>
      <c r="C11254" s="1">
        <v>2.6266230548121699E-2</v>
      </c>
      <c r="D11254" s="1">
        <v>8.9585666293393006E-3</v>
      </c>
      <c r="E11254" s="1">
        <v>1.37614678899082E-2</v>
      </c>
      <c r="F11254" s="1">
        <v>2.4642857142857098E-2</v>
      </c>
    </row>
    <row r="11255" spans="1:6" x14ac:dyDescent="0.25">
      <c r="A11255" s="2" t="str">
        <f t="shared" si="407"/>
        <v>32540</v>
      </c>
      <c r="B11255" s="2" t="str">
        <f>"74576"</f>
        <v>74576</v>
      </c>
      <c r="C11255" s="1">
        <v>8.1276637922489802E-3</v>
      </c>
      <c r="D11255" s="1">
        <v>5.5991041433370596E-4</v>
      </c>
      <c r="E11255" s="1">
        <v>2.2935779816513702E-3</v>
      </c>
      <c r="F11255" s="1">
        <v>7.41071428571428E-3</v>
      </c>
    </row>
    <row r="11256" spans="1:6" x14ac:dyDescent="0.25">
      <c r="A11256" s="2" t="str">
        <f t="shared" si="407"/>
        <v>32540</v>
      </c>
      <c r="B11256" s="2" t="str">
        <f>"74560"</f>
        <v>74560</v>
      </c>
      <c r="C11256" s="1">
        <v>9.8622261869362599E-3</v>
      </c>
      <c r="D11256" s="1">
        <v>2.2396416573348199E-3</v>
      </c>
      <c r="E11256" s="1">
        <v>2.2935779816513702E-3</v>
      </c>
      <c r="F11256" s="1">
        <v>9.1071428571428501E-3</v>
      </c>
    </row>
    <row r="11257" spans="1:6" x14ac:dyDescent="0.25">
      <c r="A11257" s="2" t="str">
        <f t="shared" si="407"/>
        <v>32540</v>
      </c>
      <c r="B11257" s="2" t="str">
        <f>"74529"</f>
        <v>74529</v>
      </c>
      <c r="C11257" s="1">
        <v>2.0814748736247301E-3</v>
      </c>
      <c r="D11257" s="1">
        <v>5.5991041433370596E-4</v>
      </c>
      <c r="E11257" s="1">
        <v>0</v>
      </c>
      <c r="F11257" s="1">
        <v>1.91964285714285E-3</v>
      </c>
    </row>
    <row r="11258" spans="1:6" x14ac:dyDescent="0.25">
      <c r="A11258" s="2" t="str">
        <f t="shared" si="407"/>
        <v>32540</v>
      </c>
      <c r="B11258" s="2" t="str">
        <f>"74547"</f>
        <v>74547</v>
      </c>
      <c r="C11258" s="1">
        <v>8.09297254435523E-2</v>
      </c>
      <c r="D11258" s="1">
        <v>9.1265397536394094E-2</v>
      </c>
      <c r="E11258" s="1">
        <v>3.89908256880733E-2</v>
      </c>
      <c r="F11258" s="1">
        <v>8.0937499999999996E-2</v>
      </c>
    </row>
    <row r="11259" spans="1:6" x14ac:dyDescent="0.25">
      <c r="A11259" s="2" t="str">
        <f t="shared" si="407"/>
        <v>32540</v>
      </c>
      <c r="B11259" s="2" t="str">
        <f>"74565"</f>
        <v>74565</v>
      </c>
      <c r="C11259" s="1">
        <v>9.9117851124987593E-5</v>
      </c>
      <c r="D11259" s="1">
        <v>0</v>
      </c>
      <c r="E11259" s="1">
        <v>2.2935779816513702E-3</v>
      </c>
      <c r="F11259" s="1">
        <v>1.33928571428571E-4</v>
      </c>
    </row>
    <row r="11260" spans="1:6" x14ac:dyDescent="0.25">
      <c r="A11260" s="2" t="str">
        <f t="shared" si="407"/>
        <v>32540</v>
      </c>
      <c r="B11260" s="2" t="str">
        <f>"74536"</f>
        <v>74536</v>
      </c>
      <c r="C11260" s="1">
        <v>1.28853206462483E-3</v>
      </c>
      <c r="D11260" s="1">
        <v>0</v>
      </c>
      <c r="E11260" s="1">
        <v>0</v>
      </c>
      <c r="F11260" s="1">
        <v>1.1607142857142799E-3</v>
      </c>
    </row>
    <row r="11261" spans="1:6" x14ac:dyDescent="0.25">
      <c r="A11261" s="2" t="str">
        <f t="shared" si="407"/>
        <v>32540</v>
      </c>
      <c r="B11261" s="2" t="str">
        <f>"74430"</f>
        <v>74430</v>
      </c>
      <c r="C11261" s="1">
        <v>2.9735355337496199E-4</v>
      </c>
      <c r="D11261" s="1">
        <v>0</v>
      </c>
      <c r="E11261" s="1">
        <v>2.2935779816513702E-3</v>
      </c>
      <c r="F11261" s="1">
        <v>3.1250000000000001E-4</v>
      </c>
    </row>
    <row r="11262" spans="1:6" x14ac:dyDescent="0.25">
      <c r="A11262" s="2" t="str">
        <f t="shared" si="407"/>
        <v>32540</v>
      </c>
      <c r="B11262" s="2" t="str">
        <f>"74442"</f>
        <v>74442</v>
      </c>
      <c r="C11262" s="1">
        <v>2.2697987907622098E-2</v>
      </c>
      <c r="D11262" s="1">
        <v>6.1590145576707698E-3</v>
      </c>
      <c r="E11262" s="1">
        <v>2.2935779816513702E-3</v>
      </c>
      <c r="F11262" s="1">
        <v>2.09821428571428E-2</v>
      </c>
    </row>
    <row r="11263" spans="1:6" x14ac:dyDescent="0.25">
      <c r="A11263" s="2" t="str">
        <f t="shared" si="407"/>
        <v>32540</v>
      </c>
      <c r="B11263" s="2" t="str">
        <f>"74425"</f>
        <v>74425</v>
      </c>
      <c r="C11263" s="1">
        <v>3.68718406184953E-2</v>
      </c>
      <c r="D11263" s="1">
        <v>8.9585666293393006E-3</v>
      </c>
      <c r="E11263" s="1">
        <v>2.2935779816513702E-3</v>
      </c>
      <c r="F11263" s="1">
        <v>3.3973214285714197E-2</v>
      </c>
    </row>
    <row r="11264" spans="1:6" x14ac:dyDescent="0.25">
      <c r="A11264" s="2" t="str">
        <f t="shared" si="407"/>
        <v>32540</v>
      </c>
      <c r="B11264" s="2" t="str">
        <f>"74432"</f>
        <v>74432</v>
      </c>
      <c r="C11264" s="1">
        <v>7.2009118842303405E-2</v>
      </c>
      <c r="D11264" s="1">
        <v>2.35162374020156E-2</v>
      </c>
      <c r="E11264" s="1">
        <v>2.2935779816513702E-3</v>
      </c>
      <c r="F11264" s="1">
        <v>6.6785714285714198E-2</v>
      </c>
    </row>
    <row r="11265" spans="1:6" x14ac:dyDescent="0.25">
      <c r="A11265" s="2" t="str">
        <f t="shared" si="407"/>
        <v>32540</v>
      </c>
      <c r="B11265" s="2" t="str">
        <f>"74554"</f>
        <v>74554</v>
      </c>
      <c r="C11265" s="1">
        <v>1.48676776687481E-4</v>
      </c>
      <c r="D11265" s="1">
        <v>0</v>
      </c>
      <c r="E11265" s="1">
        <v>2.2935779816513702E-3</v>
      </c>
      <c r="F11265" s="1">
        <v>1.78571428571428E-4</v>
      </c>
    </row>
    <row r="11266" spans="1:6" x14ac:dyDescent="0.25">
      <c r="A11266" s="2" t="str">
        <f t="shared" si="407"/>
        <v>32540</v>
      </c>
      <c r="B11266" s="2" t="str">
        <f>"74501"</f>
        <v>74501</v>
      </c>
      <c r="C11266" s="1">
        <v>0.687035385072851</v>
      </c>
      <c r="D11266" s="1">
        <v>0.84826427771556501</v>
      </c>
      <c r="E11266" s="1">
        <v>0.90825688073394395</v>
      </c>
      <c r="F11266" s="1">
        <v>0.70419642857142795</v>
      </c>
    </row>
    <row r="11267" spans="1:6" x14ac:dyDescent="0.25">
      <c r="A11267" s="2" t="str">
        <f t="shared" si="407"/>
        <v>32540</v>
      </c>
      <c r="B11267" s="2" t="str">
        <f>"74462"</f>
        <v>74462</v>
      </c>
      <c r="C11267" s="1">
        <v>2.4135196748934402E-2</v>
      </c>
      <c r="D11267" s="1">
        <v>1.67973124300111E-3</v>
      </c>
      <c r="E11267" s="1">
        <v>4.5871559633027499E-3</v>
      </c>
      <c r="F11267" s="1">
        <v>2.19642857142857E-2</v>
      </c>
    </row>
    <row r="11268" spans="1:6" x14ac:dyDescent="0.25">
      <c r="A11268" s="2" t="str">
        <f t="shared" ref="A11268:A11283" si="408">"23620"</f>
        <v>23620</v>
      </c>
      <c r="B11268" s="2" t="str">
        <f>"76253"</f>
        <v>76253</v>
      </c>
      <c r="C11268" s="1">
        <v>0</v>
      </c>
      <c r="D11268" s="1">
        <v>0</v>
      </c>
      <c r="E11268" s="1">
        <v>2.2935779816513702E-3</v>
      </c>
      <c r="F11268" s="1">
        <v>4.3811610076670298E-5</v>
      </c>
    </row>
    <row r="11269" spans="1:6" x14ac:dyDescent="0.25">
      <c r="A11269" s="2" t="str">
        <f t="shared" si="408"/>
        <v>23620</v>
      </c>
      <c r="B11269" s="2" t="str">
        <f>"76233"</f>
        <v>76233</v>
      </c>
      <c r="C11269" s="1">
        <v>1.2639004555920199E-2</v>
      </c>
      <c r="D11269" s="1">
        <v>5.0607287449392702E-4</v>
      </c>
      <c r="E11269" s="1">
        <v>0</v>
      </c>
      <c r="F11269" s="1">
        <v>1.1347207009857601E-2</v>
      </c>
    </row>
    <row r="11270" spans="1:6" x14ac:dyDescent="0.25">
      <c r="A11270" s="2" t="str">
        <f t="shared" si="408"/>
        <v>23620</v>
      </c>
      <c r="B11270" s="2" t="str">
        <f>"76252"</f>
        <v>76252</v>
      </c>
      <c r="C11270" s="1">
        <v>4.9429285259393503E-2</v>
      </c>
      <c r="D11270" s="1">
        <v>2.9858299595141701E-2</v>
      </c>
      <c r="E11270" s="1">
        <v>3.2110091743119198E-2</v>
      </c>
      <c r="F11270" s="1">
        <v>4.7404162102957198E-2</v>
      </c>
    </row>
    <row r="11271" spans="1:6" x14ac:dyDescent="0.25">
      <c r="A11271" s="2" t="str">
        <f t="shared" si="408"/>
        <v>23620</v>
      </c>
      <c r="B11271" s="2" t="str">
        <f>"76250"</f>
        <v>76250</v>
      </c>
      <c r="C11271" s="1">
        <v>3.2283348846323397E-2</v>
      </c>
      <c r="D11271" s="1">
        <v>2.1761133603238801E-2</v>
      </c>
      <c r="E11271" s="1">
        <v>2.7522935779816501E-2</v>
      </c>
      <c r="F11271" s="1">
        <v>3.1281489594742598E-2</v>
      </c>
    </row>
    <row r="11272" spans="1:6" x14ac:dyDescent="0.25">
      <c r="A11272" s="2" t="str">
        <f t="shared" si="408"/>
        <v>23620</v>
      </c>
      <c r="B11272" s="2" t="str">
        <f>"76241"</f>
        <v>76241</v>
      </c>
      <c r="C11272" s="1">
        <v>5.8394160583941597E-2</v>
      </c>
      <c r="D11272" s="1">
        <v>0.187753036437246</v>
      </c>
      <c r="E11272" s="1">
        <v>4.5871559633027499E-3</v>
      </c>
      <c r="F11272" s="1">
        <v>6.8565169769988998E-2</v>
      </c>
    </row>
    <row r="11273" spans="1:6" x14ac:dyDescent="0.25">
      <c r="A11273" s="2" t="str">
        <f t="shared" si="408"/>
        <v>23620</v>
      </c>
      <c r="B11273" s="2" t="str">
        <f>"76258"</f>
        <v>76258</v>
      </c>
      <c r="C11273" s="1">
        <v>2.9393033850977297E-4</v>
      </c>
      <c r="D11273" s="1">
        <v>0</v>
      </c>
      <c r="E11273" s="1">
        <v>0</v>
      </c>
      <c r="F11273" s="1">
        <v>2.6286966046002098E-4</v>
      </c>
    </row>
    <row r="11274" spans="1:6" x14ac:dyDescent="0.25">
      <c r="A11274" s="2" t="str">
        <f t="shared" si="408"/>
        <v>23620</v>
      </c>
      <c r="B11274" s="2" t="str">
        <f>"76239"</f>
        <v>76239</v>
      </c>
      <c r="C11274" s="1">
        <v>5.1927693136726502E-3</v>
      </c>
      <c r="D11274" s="1">
        <v>0</v>
      </c>
      <c r="E11274" s="1">
        <v>0</v>
      </c>
      <c r="F11274" s="1">
        <v>4.6440306681270497E-3</v>
      </c>
    </row>
    <row r="11275" spans="1:6" x14ac:dyDescent="0.25">
      <c r="A11275" s="2" t="str">
        <f t="shared" si="408"/>
        <v>23620</v>
      </c>
      <c r="B11275" s="2" t="str">
        <f>"76240"</f>
        <v>76240</v>
      </c>
      <c r="C11275" s="1">
        <v>0.62631656297457505</v>
      </c>
      <c r="D11275" s="1">
        <v>0.68572874493927105</v>
      </c>
      <c r="E11275" s="1">
        <v>0.83027522935779796</v>
      </c>
      <c r="F11275" s="1">
        <v>0.63535596933187199</v>
      </c>
    </row>
    <row r="11276" spans="1:6" x14ac:dyDescent="0.25">
      <c r="A11276" s="2" t="str">
        <f t="shared" si="408"/>
        <v>23620</v>
      </c>
      <c r="B11276" s="2" t="str">
        <f>"76272"</f>
        <v>76272</v>
      </c>
      <c r="C11276" s="1">
        <v>0.152353892127565</v>
      </c>
      <c r="D11276" s="1">
        <v>6.5283400809716494E-2</v>
      </c>
      <c r="E11276" s="1">
        <v>7.5688073394495403E-2</v>
      </c>
      <c r="F11276" s="1">
        <v>0.14335158817086499</v>
      </c>
    </row>
    <row r="11277" spans="1:6" x14ac:dyDescent="0.25">
      <c r="A11277" s="2" t="str">
        <f t="shared" si="408"/>
        <v>23620</v>
      </c>
      <c r="B11277" s="2" t="str">
        <f>"76238"</f>
        <v>76238</v>
      </c>
      <c r="C11277" s="1">
        <v>4.6538970264047401E-3</v>
      </c>
      <c r="D11277" s="1">
        <v>1.0121457489878499E-3</v>
      </c>
      <c r="E11277" s="1">
        <v>2.2935779816513702E-3</v>
      </c>
      <c r="F11277" s="1">
        <v>4.2935377875136897E-3</v>
      </c>
    </row>
    <row r="11278" spans="1:6" x14ac:dyDescent="0.25">
      <c r="A11278" s="2" t="str">
        <f t="shared" si="408"/>
        <v>23620</v>
      </c>
      <c r="B11278" s="2" t="str">
        <f>"76266"</f>
        <v>76266</v>
      </c>
      <c r="C11278" s="1">
        <v>4.8988389751628795E-4</v>
      </c>
      <c r="D11278" s="1">
        <v>0</v>
      </c>
      <c r="E11278" s="1">
        <v>0</v>
      </c>
      <c r="F11278" s="1">
        <v>4.3811610076670298E-4</v>
      </c>
    </row>
    <row r="11279" spans="1:6" x14ac:dyDescent="0.25">
      <c r="A11279" s="2" t="str">
        <f t="shared" si="408"/>
        <v>23620</v>
      </c>
      <c r="B11279" s="2" t="str">
        <f>"76273"</f>
        <v>76273</v>
      </c>
      <c r="C11279" s="1">
        <v>4.9576250428648397E-2</v>
      </c>
      <c r="D11279" s="1">
        <v>4.5546558704453403E-3</v>
      </c>
      <c r="E11279" s="1">
        <v>0</v>
      </c>
      <c r="F11279" s="1">
        <v>4.47316538882803E-2</v>
      </c>
    </row>
    <row r="11280" spans="1:6" x14ac:dyDescent="0.25">
      <c r="A11280" s="2" t="str">
        <f t="shared" si="408"/>
        <v>23620</v>
      </c>
      <c r="B11280" s="2" t="str">
        <f>"76271"</f>
        <v>76271</v>
      </c>
      <c r="C11280" s="1">
        <v>3.38019889286239E-3</v>
      </c>
      <c r="D11280" s="1">
        <v>5.0607287449392702E-4</v>
      </c>
      <c r="E11280" s="1">
        <v>0</v>
      </c>
      <c r="F11280" s="1">
        <v>3.0668127053669202E-3</v>
      </c>
    </row>
    <row r="11281" spans="1:6" x14ac:dyDescent="0.25">
      <c r="A11281" s="2" t="str">
        <f t="shared" si="408"/>
        <v>23620</v>
      </c>
      <c r="B11281" s="2" t="str">
        <f>"76263"</f>
        <v>76263</v>
      </c>
      <c r="C11281" s="1">
        <v>1.6166168618037501E-3</v>
      </c>
      <c r="D11281" s="1">
        <v>1.0121457489878499E-3</v>
      </c>
      <c r="E11281" s="1">
        <v>2.29357798165137E-2</v>
      </c>
      <c r="F11281" s="1">
        <v>1.9715224534501601E-3</v>
      </c>
    </row>
    <row r="11282" spans="1:6" x14ac:dyDescent="0.25">
      <c r="A11282" s="2" t="str">
        <f t="shared" si="408"/>
        <v>23620</v>
      </c>
      <c r="B11282" s="2" t="str">
        <f>"76234"</f>
        <v>76234</v>
      </c>
      <c r="C11282" s="1">
        <v>1.3716749130456001E-3</v>
      </c>
      <c r="D11282" s="1">
        <v>5.0607287449392702E-4</v>
      </c>
      <c r="E11282" s="1">
        <v>2.2935779816513702E-3</v>
      </c>
      <c r="F11282" s="1">
        <v>1.3143483023001E-3</v>
      </c>
    </row>
    <row r="11283" spans="1:6" x14ac:dyDescent="0.25">
      <c r="A11283" s="2" t="str">
        <f t="shared" si="408"/>
        <v>23620</v>
      </c>
      <c r="B11283" s="2" t="str">
        <f>"76265"</f>
        <v>76265</v>
      </c>
      <c r="C11283" s="1">
        <v>2.0085239798167801E-3</v>
      </c>
      <c r="D11283" s="1">
        <v>1.5182186234817801E-3</v>
      </c>
      <c r="E11283" s="1">
        <v>0</v>
      </c>
      <c r="F11283" s="1">
        <v>1.92771084337349E-3</v>
      </c>
    </row>
    <row r="11284" spans="1:6" x14ac:dyDescent="0.25">
      <c r="A11284" s="2" t="str">
        <f t="shared" ref="A11284:A11296" si="409">"13300"</f>
        <v>13300</v>
      </c>
      <c r="B11284" s="2" t="str">
        <f>"78145"</f>
        <v>78145</v>
      </c>
      <c r="C11284" s="1">
        <v>0</v>
      </c>
      <c r="D11284" s="1">
        <v>8.0775444264943397E-4</v>
      </c>
      <c r="E11284" s="1">
        <v>0</v>
      </c>
      <c r="F11284" s="1">
        <v>7.4443534579021802E-5</v>
      </c>
    </row>
    <row r="11285" spans="1:6" x14ac:dyDescent="0.25">
      <c r="A11285" s="2" t="str">
        <f t="shared" si="409"/>
        <v>13300</v>
      </c>
      <c r="B11285" s="2" t="str">
        <f>"78119"</f>
        <v>78119</v>
      </c>
      <c r="C11285" s="1">
        <v>1.28950695322376E-2</v>
      </c>
      <c r="D11285" s="1">
        <v>1.6155088852988599E-3</v>
      </c>
      <c r="E11285" s="1">
        <v>0</v>
      </c>
      <c r="F11285" s="1">
        <v>1.1538747859748301E-2</v>
      </c>
    </row>
    <row r="11286" spans="1:6" x14ac:dyDescent="0.25">
      <c r="A11286" s="2" t="str">
        <f t="shared" si="409"/>
        <v>13300</v>
      </c>
      <c r="B11286" s="2" t="str">
        <f>"78104"</f>
        <v>78104</v>
      </c>
      <c r="C11286" s="1">
        <v>0.14403708386009201</v>
      </c>
      <c r="D11286" s="1">
        <v>0.196284329563812</v>
      </c>
      <c r="E11286" s="1">
        <v>6.0606060606060597E-3</v>
      </c>
      <c r="F11286" s="1">
        <v>0.145462666567408</v>
      </c>
    </row>
    <row r="11287" spans="1:6" x14ac:dyDescent="0.25">
      <c r="A11287" s="2" t="str">
        <f t="shared" si="409"/>
        <v>13300</v>
      </c>
      <c r="B11287" s="2" t="str">
        <f>"78146"</f>
        <v>78146</v>
      </c>
      <c r="C11287" s="1">
        <v>3.3712600084281501E-4</v>
      </c>
      <c r="D11287" s="1">
        <v>8.0775444264943397E-4</v>
      </c>
      <c r="E11287" s="1">
        <v>0</v>
      </c>
      <c r="F11287" s="1">
        <v>3.7221767289510898E-4</v>
      </c>
    </row>
    <row r="11288" spans="1:6" x14ac:dyDescent="0.25">
      <c r="A11288" s="2" t="str">
        <f t="shared" si="409"/>
        <v>13300</v>
      </c>
      <c r="B11288" s="2" t="str">
        <f>"78125"</f>
        <v>78125</v>
      </c>
      <c r="C11288" s="1">
        <v>8.4281500210703697E-5</v>
      </c>
      <c r="D11288" s="1">
        <v>8.0775444264943397E-4</v>
      </c>
      <c r="E11288" s="1">
        <v>3.0303030303030299E-3</v>
      </c>
      <c r="F11288" s="1">
        <v>2.23330603737065E-4</v>
      </c>
    </row>
    <row r="11289" spans="1:6" x14ac:dyDescent="0.25">
      <c r="A11289" s="2" t="str">
        <f t="shared" si="409"/>
        <v>13300</v>
      </c>
      <c r="B11289" s="2" t="str">
        <f>"78368"</f>
        <v>78368</v>
      </c>
      <c r="C11289" s="1">
        <v>4.2140750105351801E-4</v>
      </c>
      <c r="D11289" s="1">
        <v>0</v>
      </c>
      <c r="E11289" s="1">
        <v>0</v>
      </c>
      <c r="F11289" s="1">
        <v>3.7221767289510898E-4</v>
      </c>
    </row>
    <row r="11290" spans="1:6" x14ac:dyDescent="0.25">
      <c r="A11290" s="2" t="str">
        <f t="shared" si="409"/>
        <v>13300</v>
      </c>
      <c r="B11290" s="2" t="str">
        <f>"78142"</f>
        <v>78142</v>
      </c>
      <c r="C11290" s="1">
        <v>1.6856300042140699E-4</v>
      </c>
      <c r="D11290" s="1">
        <v>8.0775444264943397E-4</v>
      </c>
      <c r="E11290" s="1">
        <v>0</v>
      </c>
      <c r="F11290" s="1">
        <v>2.23330603737065E-4</v>
      </c>
    </row>
    <row r="11291" spans="1:6" x14ac:dyDescent="0.25">
      <c r="A11291" s="2" t="str">
        <f t="shared" si="409"/>
        <v>13300</v>
      </c>
      <c r="B11291" s="2" t="str">
        <f>"78162"</f>
        <v>78162</v>
      </c>
      <c r="C11291" s="1">
        <v>8.4281500210703697E-5</v>
      </c>
      <c r="D11291" s="1">
        <v>1.6155088852988599E-3</v>
      </c>
      <c r="E11291" s="1">
        <v>0</v>
      </c>
      <c r="F11291" s="1">
        <v>2.23330603737065E-4</v>
      </c>
    </row>
    <row r="11292" spans="1:6" x14ac:dyDescent="0.25">
      <c r="A11292" s="2" t="str">
        <f t="shared" si="409"/>
        <v>13300</v>
      </c>
      <c r="B11292" s="2" t="str">
        <f>"78391"</f>
        <v>78391</v>
      </c>
      <c r="C11292" s="1">
        <v>2.69700800674252E-3</v>
      </c>
      <c r="D11292" s="1">
        <v>2.4232633279483002E-3</v>
      </c>
      <c r="E11292" s="1">
        <v>0</v>
      </c>
      <c r="F11292" s="1">
        <v>2.60552371026576E-3</v>
      </c>
    </row>
    <row r="11293" spans="1:6" x14ac:dyDescent="0.25">
      <c r="A11293" s="2" t="str">
        <f t="shared" si="409"/>
        <v>13300</v>
      </c>
      <c r="B11293" s="2" t="str">
        <f>"78387"</f>
        <v>78387</v>
      </c>
      <c r="C11293" s="1">
        <v>1.7699115044247701E-2</v>
      </c>
      <c r="D11293" s="1">
        <v>1.6155088852988599E-3</v>
      </c>
      <c r="E11293" s="1">
        <v>0</v>
      </c>
      <c r="F11293" s="1">
        <v>1.5782029330752598E-2</v>
      </c>
    </row>
    <row r="11294" spans="1:6" x14ac:dyDescent="0.25">
      <c r="A11294" s="2" t="str">
        <f t="shared" si="409"/>
        <v>13300</v>
      </c>
      <c r="B11294" s="2" t="str">
        <f>"78071"</f>
        <v>78071</v>
      </c>
      <c r="C11294" s="1">
        <v>5.8997050147492603E-4</v>
      </c>
      <c r="D11294" s="1">
        <v>0</v>
      </c>
      <c r="E11294" s="1">
        <v>0</v>
      </c>
      <c r="F11294" s="1">
        <v>5.2110474205315199E-4</v>
      </c>
    </row>
    <row r="11295" spans="1:6" x14ac:dyDescent="0.25">
      <c r="A11295" s="2" t="str">
        <f t="shared" si="409"/>
        <v>13300</v>
      </c>
      <c r="B11295" s="2" t="str">
        <f>"78102"</f>
        <v>78102</v>
      </c>
      <c r="C11295" s="1">
        <v>0.77909818794774499</v>
      </c>
      <c r="D11295" s="1">
        <v>0.78917609046849702</v>
      </c>
      <c r="E11295" s="1">
        <v>0.98484848484848397</v>
      </c>
      <c r="F11295" s="1">
        <v>0.78508151567036399</v>
      </c>
    </row>
    <row r="11296" spans="1:6" x14ac:dyDescent="0.25">
      <c r="A11296" s="2" t="str">
        <f t="shared" si="409"/>
        <v>13300</v>
      </c>
      <c r="B11296" s="2" t="str">
        <f>"78389"</f>
        <v>78389</v>
      </c>
      <c r="C11296" s="1">
        <v>4.1887905604719701E-2</v>
      </c>
      <c r="D11296" s="1">
        <v>4.0387722132471703E-3</v>
      </c>
      <c r="E11296" s="1">
        <v>6.0606060606060597E-3</v>
      </c>
      <c r="F11296" s="1">
        <v>3.7519541427826902E-2</v>
      </c>
    </row>
    <row r="11297" spans="1:6" x14ac:dyDescent="0.25">
      <c r="A11297" s="2" t="str">
        <f t="shared" ref="A11297:A11308" si="410">"40100"</f>
        <v>40100</v>
      </c>
      <c r="B11297" s="2" t="str">
        <f>"78582"</f>
        <v>78582</v>
      </c>
      <c r="C11297" s="1">
        <v>0.61679445651728204</v>
      </c>
      <c r="D11297" s="1">
        <v>0.69508904479222799</v>
      </c>
      <c r="E11297" s="1">
        <v>0.70276497695852502</v>
      </c>
      <c r="F11297" s="1">
        <v>0.62489856141645095</v>
      </c>
    </row>
    <row r="11298" spans="1:6" x14ac:dyDescent="0.25">
      <c r="A11298" s="2" t="str">
        <f t="shared" si="410"/>
        <v>40100</v>
      </c>
      <c r="B11298" s="2" t="str">
        <f>"78588"</f>
        <v>78588</v>
      </c>
      <c r="C11298" s="1">
        <v>2.25511501086555E-3</v>
      </c>
      <c r="D11298" s="1">
        <v>5.9363194819211998E-3</v>
      </c>
      <c r="E11298" s="1">
        <v>1.1520737327188901E-3</v>
      </c>
      <c r="F11298" s="1">
        <v>2.4714127628181399E-3</v>
      </c>
    </row>
    <row r="11299" spans="1:6" x14ac:dyDescent="0.25">
      <c r="A11299" s="2" t="str">
        <f t="shared" si="410"/>
        <v>40100</v>
      </c>
      <c r="B11299" s="2" t="str">
        <f>"78584"</f>
        <v>78584</v>
      </c>
      <c r="C11299" s="1">
        <v>0.37209397679281597</v>
      </c>
      <c r="D11299" s="1">
        <v>0.28818132757690201</v>
      </c>
      <c r="E11299" s="1">
        <v>0.29032258064516098</v>
      </c>
      <c r="F11299" s="1">
        <v>0.363740317226115</v>
      </c>
    </row>
    <row r="11300" spans="1:6" x14ac:dyDescent="0.25">
      <c r="A11300" s="2" t="str">
        <f t="shared" si="410"/>
        <v>40100</v>
      </c>
      <c r="B11300" s="2" t="str">
        <f>"78548"</f>
        <v>78548</v>
      </c>
      <c r="C11300" s="1">
        <v>8.6104391323957503E-4</v>
      </c>
      <c r="D11300" s="1">
        <v>2.6983270372369101E-3</v>
      </c>
      <c r="E11300" s="1">
        <v>0</v>
      </c>
      <c r="F11300" s="1">
        <v>9.59055699004057E-4</v>
      </c>
    </row>
    <row r="11301" spans="1:6" x14ac:dyDescent="0.25">
      <c r="A11301" s="2" t="str">
        <f t="shared" si="410"/>
        <v>40100</v>
      </c>
      <c r="B11301" s="2" t="str">
        <f>"78591"</f>
        <v>78591</v>
      </c>
      <c r="C11301" s="1">
        <v>3.7721923818114702E-3</v>
      </c>
      <c r="D11301" s="1">
        <v>1.6189962223421401E-3</v>
      </c>
      <c r="E11301" s="1">
        <v>3.4562211981566801E-3</v>
      </c>
      <c r="F11301" s="1">
        <v>3.6149022500922101E-3</v>
      </c>
    </row>
    <row r="11302" spans="1:6" x14ac:dyDescent="0.25">
      <c r="A11302" s="2" t="str">
        <f t="shared" si="410"/>
        <v>40100</v>
      </c>
      <c r="B11302" s="2" t="str">
        <f>"78563"</f>
        <v>78563</v>
      </c>
      <c r="C11302" s="1">
        <v>4.1002091106646402E-5</v>
      </c>
      <c r="D11302" s="1">
        <v>0</v>
      </c>
      <c r="E11302" s="1">
        <v>0</v>
      </c>
      <c r="F11302" s="1">
        <v>3.6886757654002199E-5</v>
      </c>
    </row>
    <row r="11303" spans="1:6" x14ac:dyDescent="0.25">
      <c r="A11303" s="2" t="str">
        <f t="shared" si="410"/>
        <v>40100</v>
      </c>
      <c r="B11303" s="2" t="str">
        <f>"78545"</f>
        <v>78545</v>
      </c>
      <c r="C11303" s="1">
        <v>0</v>
      </c>
      <c r="D11303" s="1">
        <v>1.6189962223421401E-3</v>
      </c>
      <c r="E11303" s="1">
        <v>0</v>
      </c>
      <c r="F11303" s="1">
        <v>1.10660272962006E-4</v>
      </c>
    </row>
    <row r="11304" spans="1:6" x14ac:dyDescent="0.25">
      <c r="A11304" s="2" t="str">
        <f t="shared" si="410"/>
        <v>40100</v>
      </c>
      <c r="B11304" s="2" t="str">
        <f>"78595"</f>
        <v>78595</v>
      </c>
      <c r="C11304" s="1">
        <v>3.28016728853171E-4</v>
      </c>
      <c r="D11304" s="1">
        <v>0</v>
      </c>
      <c r="E11304" s="1">
        <v>0</v>
      </c>
      <c r="F11304" s="1">
        <v>2.9509406123201699E-4</v>
      </c>
    </row>
    <row r="11305" spans="1:6" x14ac:dyDescent="0.25">
      <c r="A11305" s="2" t="str">
        <f t="shared" si="410"/>
        <v>40100</v>
      </c>
      <c r="B11305" s="2" t="str">
        <f>"78536"</f>
        <v>78536</v>
      </c>
      <c r="C11305" s="1">
        <v>3.5261798351715898E-3</v>
      </c>
      <c r="D11305" s="1">
        <v>2.1586616297895301E-3</v>
      </c>
      <c r="E11305" s="1">
        <v>2.3041474654377802E-3</v>
      </c>
      <c r="F11305" s="1">
        <v>3.3935817041682E-3</v>
      </c>
    </row>
    <row r="11306" spans="1:6" x14ac:dyDescent="0.25">
      <c r="A11306" s="2" t="str">
        <f t="shared" si="410"/>
        <v>40100</v>
      </c>
      <c r="B11306" s="2" t="str">
        <f>"78547"</f>
        <v>78547</v>
      </c>
      <c r="C11306" s="1">
        <v>0</v>
      </c>
      <c r="D11306" s="1">
        <v>1.0793308148947601E-3</v>
      </c>
      <c r="E11306" s="1">
        <v>0</v>
      </c>
      <c r="F11306" s="1">
        <v>7.3773515308004397E-5</v>
      </c>
    </row>
    <row r="11307" spans="1:6" x14ac:dyDescent="0.25">
      <c r="A11307" s="2" t="str">
        <f t="shared" si="410"/>
        <v>40100</v>
      </c>
      <c r="B11307" s="2" t="str">
        <f>"78361"</f>
        <v>78361</v>
      </c>
      <c r="C11307" s="1">
        <v>3.28016728853171E-4</v>
      </c>
      <c r="D11307" s="1">
        <v>1.0793308148947601E-3</v>
      </c>
      <c r="E11307" s="1">
        <v>0</v>
      </c>
      <c r="F11307" s="1">
        <v>3.6886757654002199E-4</v>
      </c>
    </row>
    <row r="11308" spans="1:6" x14ac:dyDescent="0.25">
      <c r="A11308" s="2" t="str">
        <f t="shared" si="410"/>
        <v>40100</v>
      </c>
      <c r="B11308" s="2" t="str">
        <f>"78585"</f>
        <v>78585</v>
      </c>
      <c r="C11308" s="1">
        <v>0</v>
      </c>
      <c r="D11308" s="1">
        <v>5.3966540744738198E-4</v>
      </c>
      <c r="E11308" s="1">
        <v>0</v>
      </c>
      <c r="F11308" s="1">
        <v>3.6886757654002199E-5</v>
      </c>
    </row>
    <row r="11309" spans="1:6" x14ac:dyDescent="0.25">
      <c r="A11309" s="2" t="str">
        <f t="shared" ref="A11309:A11316" si="411">"14420"</f>
        <v>14420</v>
      </c>
      <c r="B11309" s="2" t="str">
        <f>"79078"</f>
        <v>79078</v>
      </c>
      <c r="C11309" s="1">
        <v>7.7429345722028595E-5</v>
      </c>
      <c r="D11309" s="1">
        <v>0</v>
      </c>
      <c r="E11309" s="1">
        <v>6.1162079510703304E-3</v>
      </c>
      <c r="F11309" s="1">
        <v>2.0725388601036199E-4</v>
      </c>
    </row>
    <row r="11310" spans="1:6" x14ac:dyDescent="0.25">
      <c r="A11310" s="2" t="str">
        <f t="shared" si="411"/>
        <v>14420</v>
      </c>
      <c r="B11310" s="2" t="str">
        <f>"79007"</f>
        <v>79007</v>
      </c>
      <c r="C11310" s="1">
        <v>0.56198219125048299</v>
      </c>
      <c r="D11310" s="1">
        <v>0.68126520681265201</v>
      </c>
      <c r="E11310" s="1">
        <v>0.85015290519877595</v>
      </c>
      <c r="F11310" s="1">
        <v>0.57865284974093201</v>
      </c>
    </row>
    <row r="11311" spans="1:6" x14ac:dyDescent="0.25">
      <c r="A11311" s="2" t="str">
        <f t="shared" si="411"/>
        <v>14420</v>
      </c>
      <c r="B11311" s="2" t="str">
        <f>"79080"</f>
        <v>79080</v>
      </c>
      <c r="C11311" s="1">
        <v>6.42663569492837E-3</v>
      </c>
      <c r="D11311" s="1">
        <v>8.1103000811029999E-4</v>
      </c>
      <c r="E11311" s="1">
        <v>6.1162079510703304E-3</v>
      </c>
      <c r="F11311" s="1">
        <v>5.9412780656303904E-3</v>
      </c>
    </row>
    <row r="11312" spans="1:6" x14ac:dyDescent="0.25">
      <c r="A11312" s="2" t="str">
        <f t="shared" si="411"/>
        <v>14420</v>
      </c>
      <c r="B11312" s="2" t="str">
        <f>"79036"</f>
        <v>79036</v>
      </c>
      <c r="C11312" s="1">
        <v>0.29988385598141598</v>
      </c>
      <c r="D11312" s="1">
        <v>5.7583130575831303E-2</v>
      </c>
      <c r="E11312" s="1">
        <v>7.3394495412843999E-2</v>
      </c>
      <c r="F11312" s="1">
        <v>0.27412780656303898</v>
      </c>
    </row>
    <row r="11313" spans="1:6" x14ac:dyDescent="0.25">
      <c r="A11313" s="2" t="str">
        <f t="shared" si="411"/>
        <v>14420</v>
      </c>
      <c r="B11313" s="2" t="str">
        <f>"79081"</f>
        <v>79081</v>
      </c>
      <c r="C11313" s="1">
        <v>2.6325977545489702E-3</v>
      </c>
      <c r="D11313" s="1">
        <v>0</v>
      </c>
      <c r="E11313" s="1">
        <v>0</v>
      </c>
      <c r="F11313" s="1">
        <v>2.3488773747841101E-3</v>
      </c>
    </row>
    <row r="11314" spans="1:6" x14ac:dyDescent="0.25">
      <c r="A11314" s="2" t="str">
        <f t="shared" si="411"/>
        <v>14420</v>
      </c>
      <c r="B11314" s="2" t="str">
        <f>"79062"</f>
        <v>79062</v>
      </c>
      <c r="C11314" s="1">
        <v>1.85830429732868E-3</v>
      </c>
      <c r="D11314" s="1">
        <v>0</v>
      </c>
      <c r="E11314" s="1">
        <v>0</v>
      </c>
      <c r="F11314" s="1">
        <v>1.6580310880829E-3</v>
      </c>
    </row>
    <row r="11315" spans="1:6" x14ac:dyDescent="0.25">
      <c r="A11315" s="2" t="str">
        <f t="shared" si="411"/>
        <v>14420</v>
      </c>
      <c r="B11315" s="2" t="str">
        <f>"79083"</f>
        <v>79083</v>
      </c>
      <c r="C11315" s="1">
        <v>1.38598528842431E-2</v>
      </c>
      <c r="D11315" s="1">
        <v>4.8661800486617997E-3</v>
      </c>
      <c r="E11315" s="1">
        <v>5.8103975535168099E-2</v>
      </c>
      <c r="F11315" s="1">
        <v>1.40932642487046E-2</v>
      </c>
    </row>
    <row r="11316" spans="1:6" x14ac:dyDescent="0.25">
      <c r="A11316" s="2" t="str">
        <f t="shared" si="411"/>
        <v>14420</v>
      </c>
      <c r="B11316" s="2" t="str">
        <f>"79008"</f>
        <v>79008</v>
      </c>
      <c r="C11316" s="1">
        <v>0.11327913279132699</v>
      </c>
      <c r="D11316" s="1">
        <v>0.25547445255474399</v>
      </c>
      <c r="E11316" s="1">
        <v>6.1162079510703304E-3</v>
      </c>
      <c r="F11316" s="1">
        <v>0.12297063903281499</v>
      </c>
    </row>
    <row r="11317" spans="1:6" x14ac:dyDescent="0.25">
      <c r="A11317" s="2" t="str">
        <f t="shared" ref="A11317:A11363" si="412">"31180"</f>
        <v>31180</v>
      </c>
      <c r="B11317" s="2" t="str">
        <f>"79383"</f>
        <v>79383</v>
      </c>
      <c r="C11317" s="1">
        <v>0</v>
      </c>
      <c r="D11317" s="1">
        <v>0</v>
      </c>
      <c r="E11317" s="1">
        <v>8.48104486472733E-5</v>
      </c>
      <c r="F11317" s="1">
        <v>5.6428313470566901E-6</v>
      </c>
    </row>
    <row r="11318" spans="1:6" x14ac:dyDescent="0.25">
      <c r="A11318" s="2" t="str">
        <f t="shared" si="412"/>
        <v>31180</v>
      </c>
      <c r="B11318" s="2" t="str">
        <f>"79382"</f>
        <v>79382</v>
      </c>
      <c r="C11318" s="1">
        <v>3.0057066129573599E-2</v>
      </c>
      <c r="D11318" s="1">
        <v>2.3429438543247302E-2</v>
      </c>
      <c r="E11318" s="1">
        <v>2.3068442032058298E-2</v>
      </c>
      <c r="F11318" s="1">
        <v>2.89759389671361E-2</v>
      </c>
    </row>
    <row r="11319" spans="1:6" x14ac:dyDescent="0.25">
      <c r="A11319" s="2" t="str">
        <f t="shared" si="412"/>
        <v>31180</v>
      </c>
      <c r="B11319" s="2" t="str">
        <f>"79350"</f>
        <v>79350</v>
      </c>
      <c r="C11319" s="1">
        <v>1.3427324605572301E-5</v>
      </c>
      <c r="D11319" s="1">
        <v>6.0698027314112202E-5</v>
      </c>
      <c r="E11319" s="1">
        <v>0</v>
      </c>
      <c r="F11319" s="1">
        <v>1.6928494041169998E-5</v>
      </c>
    </row>
    <row r="11320" spans="1:6" x14ac:dyDescent="0.25">
      <c r="A11320" s="2" t="str">
        <f t="shared" si="412"/>
        <v>31180</v>
      </c>
      <c r="B11320" s="2" t="str">
        <f>"79453"</f>
        <v>79453</v>
      </c>
      <c r="C11320" s="1">
        <v>4.1221886539106996E-3</v>
      </c>
      <c r="D11320" s="1">
        <v>2.0091047040971099E-2</v>
      </c>
      <c r="E11320" s="1">
        <v>1.69620897294546E-4</v>
      </c>
      <c r="F11320" s="1">
        <v>5.3437612856626904E-3</v>
      </c>
    </row>
    <row r="11321" spans="1:6" x14ac:dyDescent="0.25">
      <c r="A11321" s="2" t="str">
        <f t="shared" si="412"/>
        <v>31180</v>
      </c>
      <c r="B11321" s="2" t="str">
        <f>"79424"</f>
        <v>79424</v>
      </c>
      <c r="C11321" s="1">
        <v>0.157938905673044</v>
      </c>
      <c r="D11321" s="1">
        <v>0.134506828528072</v>
      </c>
      <c r="E11321" s="1">
        <v>0.107030786192858</v>
      </c>
      <c r="F11321" s="1">
        <v>0.152373374864572</v>
      </c>
    </row>
    <row r="11322" spans="1:6" x14ac:dyDescent="0.25">
      <c r="A11322" s="2" t="str">
        <f t="shared" si="412"/>
        <v>31180</v>
      </c>
      <c r="B11322" s="2" t="str">
        <f>"79243"</f>
        <v>79243</v>
      </c>
      <c r="C11322" s="1">
        <v>1.3427324605572301E-5</v>
      </c>
      <c r="D11322" s="1">
        <v>0</v>
      </c>
      <c r="E11322" s="1">
        <v>0</v>
      </c>
      <c r="F11322" s="1">
        <v>1.1285662694113301E-5</v>
      </c>
    </row>
    <row r="11323" spans="1:6" x14ac:dyDescent="0.25">
      <c r="A11323" s="2" t="str">
        <f t="shared" si="412"/>
        <v>31180</v>
      </c>
      <c r="B11323" s="2" t="str">
        <f>"79366"</f>
        <v>79366</v>
      </c>
      <c r="C11323" s="1">
        <v>3.45082242363209E-3</v>
      </c>
      <c r="D11323" s="1">
        <v>5.4628224582701005E-4</v>
      </c>
      <c r="E11323" s="1">
        <v>2.5443134594182001E-4</v>
      </c>
      <c r="F11323" s="1">
        <v>2.9681292885518199E-3</v>
      </c>
    </row>
    <row r="11324" spans="1:6" x14ac:dyDescent="0.25">
      <c r="A11324" s="2" t="str">
        <f t="shared" si="412"/>
        <v>31180</v>
      </c>
      <c r="B11324" s="2" t="str">
        <f>"79373"</f>
        <v>79373</v>
      </c>
      <c r="C11324" s="1">
        <v>6.6800939912722299E-3</v>
      </c>
      <c r="D11324" s="1">
        <v>1.3960546282245801E-3</v>
      </c>
      <c r="E11324" s="1">
        <v>3.2227970485963799E-3</v>
      </c>
      <c r="F11324" s="1">
        <v>5.95882990249187E-3</v>
      </c>
    </row>
    <row r="11325" spans="1:6" x14ac:dyDescent="0.25">
      <c r="A11325" s="2" t="str">
        <f t="shared" si="412"/>
        <v>31180</v>
      </c>
      <c r="B11325" s="2" t="str">
        <f>"79345"</f>
        <v>79345</v>
      </c>
      <c r="C11325" s="1">
        <v>1.1413225914736401E-4</v>
      </c>
      <c r="D11325" s="1">
        <v>0</v>
      </c>
      <c r="E11325" s="1">
        <v>3.3924179458909298E-4</v>
      </c>
      <c r="F11325" s="1">
        <v>1.1849945828819E-4</v>
      </c>
    </row>
    <row r="11326" spans="1:6" x14ac:dyDescent="0.25">
      <c r="A11326" s="2" t="str">
        <f t="shared" si="412"/>
        <v>31180</v>
      </c>
      <c r="B11326" s="2" t="str">
        <f>"79406"</f>
        <v>79406</v>
      </c>
      <c r="C11326" s="1">
        <v>0</v>
      </c>
      <c r="D11326" s="1">
        <v>1.63884673748103E-3</v>
      </c>
      <c r="E11326" s="1">
        <v>0</v>
      </c>
      <c r="F11326" s="1">
        <v>1.5235644637053001E-4</v>
      </c>
    </row>
    <row r="11327" spans="1:6" x14ac:dyDescent="0.25">
      <c r="A11327" s="2" t="str">
        <f t="shared" si="412"/>
        <v>31180</v>
      </c>
      <c r="B11327" s="2" t="str">
        <f>"79412"</f>
        <v>79412</v>
      </c>
      <c r="C11327" s="1">
        <v>4.12688821752265E-2</v>
      </c>
      <c r="D11327" s="1">
        <v>2.9742033383915002E-2</v>
      </c>
      <c r="E11327" s="1">
        <v>7.2004070901535003E-2</v>
      </c>
      <c r="F11327" s="1">
        <v>4.2242235464066399E-2</v>
      </c>
    </row>
    <row r="11328" spans="1:6" x14ac:dyDescent="0.25">
      <c r="A11328" s="2" t="str">
        <f t="shared" si="412"/>
        <v>31180</v>
      </c>
      <c r="B11328" s="2" t="str">
        <f>"79416"</f>
        <v>79416</v>
      </c>
      <c r="C11328" s="1">
        <v>0.103054716347767</v>
      </c>
      <c r="D11328" s="1">
        <v>2.9924127465857299E-2</v>
      </c>
      <c r="E11328" s="1">
        <v>0.16071580018658199</v>
      </c>
      <c r="F11328" s="1">
        <v>0.10009254243409101</v>
      </c>
    </row>
    <row r="11329" spans="1:6" x14ac:dyDescent="0.25">
      <c r="A11329" s="2" t="str">
        <f t="shared" si="412"/>
        <v>31180</v>
      </c>
      <c r="B11329" s="2" t="str">
        <f>"79364"</f>
        <v>79364</v>
      </c>
      <c r="C11329" s="1">
        <v>2.8580060422960699E-2</v>
      </c>
      <c r="D11329" s="1">
        <v>2.0151745068285199E-2</v>
      </c>
      <c r="E11329" s="1">
        <v>1.2043083707912801E-2</v>
      </c>
      <c r="F11329" s="1">
        <v>2.6696235102925198E-2</v>
      </c>
    </row>
    <row r="11330" spans="1:6" x14ac:dyDescent="0.25">
      <c r="A11330" s="2" t="str">
        <f t="shared" si="412"/>
        <v>31180</v>
      </c>
      <c r="B11330" s="2" t="str">
        <f>"79322"</f>
        <v>79322</v>
      </c>
      <c r="C11330" s="1">
        <v>7.2910372608257796E-3</v>
      </c>
      <c r="D11330" s="1">
        <v>9.6509863429438507E-3</v>
      </c>
      <c r="E11330" s="1">
        <v>3.0531761513018399E-3</v>
      </c>
      <c r="F11330" s="1">
        <v>7.2284669555796304E-3</v>
      </c>
    </row>
    <row r="11331" spans="1:6" x14ac:dyDescent="0.25">
      <c r="A11331" s="2" t="str">
        <f t="shared" si="412"/>
        <v>31180</v>
      </c>
      <c r="B11331" s="2" t="str">
        <f>"79311"</f>
        <v>79311</v>
      </c>
      <c r="C11331" s="1">
        <v>3.1554212823094899E-3</v>
      </c>
      <c r="D11331" s="1">
        <v>1.5174506828528E-3</v>
      </c>
      <c r="E11331" s="1">
        <v>1.10253583241455E-3</v>
      </c>
      <c r="F11331" s="1">
        <v>2.8665583243048E-3</v>
      </c>
    </row>
    <row r="11332" spans="1:6" x14ac:dyDescent="0.25">
      <c r="A11332" s="2" t="str">
        <f t="shared" si="412"/>
        <v>31180</v>
      </c>
      <c r="B11332" s="2" t="str">
        <f>"79407"</f>
        <v>79407</v>
      </c>
      <c r="C11332" s="1">
        <v>7.6549177576367894E-2</v>
      </c>
      <c r="D11332" s="1">
        <v>5.02579666160849E-2</v>
      </c>
      <c r="E11332" s="1">
        <v>6.7763548469171403E-2</v>
      </c>
      <c r="F11332" s="1">
        <v>7.3520449620801703E-2</v>
      </c>
    </row>
    <row r="11333" spans="1:6" x14ac:dyDescent="0.25">
      <c r="A11333" s="2" t="str">
        <f t="shared" si="412"/>
        <v>31180</v>
      </c>
      <c r="B11333" s="2" t="str">
        <f>"79404"</f>
        <v>79404</v>
      </c>
      <c r="C11333" s="1">
        <v>2.96743873783148E-2</v>
      </c>
      <c r="D11333" s="1">
        <v>6.30652503793626E-2</v>
      </c>
      <c r="E11333" s="1">
        <v>2.84963107454838E-2</v>
      </c>
      <c r="F11333" s="1">
        <v>3.2700207656193497E-2</v>
      </c>
    </row>
    <row r="11334" spans="1:6" x14ac:dyDescent="0.25">
      <c r="A11334" s="2" t="str">
        <f t="shared" si="412"/>
        <v>31180</v>
      </c>
      <c r="B11334" s="2" t="str">
        <f>"79370"</f>
        <v>79370</v>
      </c>
      <c r="C11334" s="1">
        <v>8.8620342396777399E-4</v>
      </c>
      <c r="D11334" s="1">
        <v>6.0698027314112202E-5</v>
      </c>
      <c r="E11334" s="1">
        <v>3.3924179458909298E-4</v>
      </c>
      <c r="F11334" s="1">
        <v>7.7306789454676696E-4</v>
      </c>
    </row>
    <row r="11335" spans="1:6" x14ac:dyDescent="0.25">
      <c r="A11335" s="2" t="str">
        <f t="shared" si="412"/>
        <v>31180</v>
      </c>
      <c r="B11335" s="2" t="str">
        <f>"79356"</f>
        <v>79356</v>
      </c>
      <c r="C11335" s="1">
        <v>4.3638804968110099E-4</v>
      </c>
      <c r="D11335" s="1">
        <v>1.21396054628224E-4</v>
      </c>
      <c r="E11335" s="1">
        <v>0</v>
      </c>
      <c r="F11335" s="1">
        <v>3.78069700252798E-4</v>
      </c>
    </row>
    <row r="11336" spans="1:6" x14ac:dyDescent="0.25">
      <c r="A11336" s="2" t="str">
        <f t="shared" si="412"/>
        <v>31180</v>
      </c>
      <c r="B11336" s="2" t="str">
        <f>"79343"</f>
        <v>79343</v>
      </c>
      <c r="C11336" s="1">
        <v>4.3235985229942899E-3</v>
      </c>
      <c r="D11336" s="1">
        <v>1.27465857359635E-3</v>
      </c>
      <c r="E11336" s="1">
        <v>2.6291239080654702E-3</v>
      </c>
      <c r="F11336" s="1">
        <v>3.9274106175514597E-3</v>
      </c>
    </row>
    <row r="11337" spans="1:6" x14ac:dyDescent="0.25">
      <c r="A11337" s="2" t="str">
        <f t="shared" si="412"/>
        <v>31180</v>
      </c>
      <c r="B11337" s="2" t="str">
        <f>"79329"</f>
        <v>79329</v>
      </c>
      <c r="C11337" s="1">
        <v>9.4259818731117807E-3</v>
      </c>
      <c r="D11337" s="1">
        <v>2.9742033383915001E-3</v>
      </c>
      <c r="E11337" s="1">
        <v>3.3924179458909298E-3</v>
      </c>
      <c r="F11337" s="1">
        <v>8.4247472011556492E-3</v>
      </c>
    </row>
    <row r="11338" spans="1:6" x14ac:dyDescent="0.25">
      <c r="A11338" s="2" t="str">
        <f t="shared" si="412"/>
        <v>31180</v>
      </c>
      <c r="B11338" s="2" t="str">
        <f>"79490"</f>
        <v>79490</v>
      </c>
      <c r="C11338" s="1">
        <v>3.06143001007049E-3</v>
      </c>
      <c r="D11338" s="1">
        <v>1.5781487101669101E-2</v>
      </c>
      <c r="E11338" s="1">
        <v>1.69620897294546E-4</v>
      </c>
      <c r="F11338" s="1">
        <v>4.0515529071867102E-3</v>
      </c>
    </row>
    <row r="11339" spans="1:6" x14ac:dyDescent="0.25">
      <c r="A11339" s="2" t="str">
        <f t="shared" si="412"/>
        <v>31180</v>
      </c>
      <c r="B11339" s="2" t="str">
        <f>"79415"</f>
        <v>79415</v>
      </c>
      <c r="C11339" s="1">
        <v>4.9761664988250999E-2</v>
      </c>
      <c r="D11339" s="1">
        <v>4.2549317147192699E-2</v>
      </c>
      <c r="E11339" s="1">
        <v>3.1040624204902001E-2</v>
      </c>
      <c r="F11339" s="1">
        <v>4.7845566991693698E-2</v>
      </c>
    </row>
    <row r="11340" spans="1:6" x14ac:dyDescent="0.25">
      <c r="A11340" s="2" t="str">
        <f t="shared" si="412"/>
        <v>31180</v>
      </c>
      <c r="B11340" s="2" t="str">
        <f>"79410"</f>
        <v>79410</v>
      </c>
      <c r="C11340" s="1">
        <v>2.8506210137630002E-2</v>
      </c>
      <c r="D11340" s="1">
        <v>5.4021244309559902E-2</v>
      </c>
      <c r="E11340" s="1">
        <v>3.8079891442625698E-2</v>
      </c>
      <c r="F11340" s="1">
        <v>3.15152130733116E-2</v>
      </c>
    </row>
    <row r="11341" spans="1:6" x14ac:dyDescent="0.25">
      <c r="A11341" s="2" t="str">
        <f t="shared" si="412"/>
        <v>31180</v>
      </c>
      <c r="B11341" s="2" t="str">
        <f>"79403"</f>
        <v>79403</v>
      </c>
      <c r="C11341" s="1">
        <v>4.9936220208123501E-2</v>
      </c>
      <c r="D11341" s="1">
        <v>4.0546282245827001E-2</v>
      </c>
      <c r="E11341" s="1">
        <v>2.9259604783309301E-2</v>
      </c>
      <c r="F11341" s="1">
        <v>4.7687567713976101E-2</v>
      </c>
    </row>
    <row r="11342" spans="1:6" x14ac:dyDescent="0.25">
      <c r="A11342" s="2" t="str">
        <f t="shared" si="412"/>
        <v>31180</v>
      </c>
      <c r="B11342" s="2" t="str">
        <f>"79363"</f>
        <v>79363</v>
      </c>
      <c r="C11342" s="1">
        <v>1.50318898959382E-2</v>
      </c>
      <c r="D11342" s="1">
        <v>4.1881638846737396E-3</v>
      </c>
      <c r="E11342" s="1">
        <v>9.2443389025527907E-3</v>
      </c>
      <c r="F11342" s="1">
        <v>1.3638723365836001E-2</v>
      </c>
    </row>
    <row r="11343" spans="1:6" x14ac:dyDescent="0.25">
      <c r="A11343" s="2" t="str">
        <f t="shared" si="412"/>
        <v>31180</v>
      </c>
      <c r="B11343" s="2" t="str">
        <f>"79452"</f>
        <v>79452</v>
      </c>
      <c r="C11343" s="1">
        <v>4.86069150721718E-3</v>
      </c>
      <c r="D11343" s="1">
        <v>1.1471927162367199E-2</v>
      </c>
      <c r="E11343" s="1">
        <v>1.69620897294546E-4</v>
      </c>
      <c r="F11343" s="1">
        <v>5.1631906825568702E-3</v>
      </c>
    </row>
    <row r="11344" spans="1:6" x14ac:dyDescent="0.25">
      <c r="A11344" s="2" t="str">
        <f t="shared" si="412"/>
        <v>31180</v>
      </c>
      <c r="B11344" s="2" t="str">
        <f>"79413"</f>
        <v>79413</v>
      </c>
      <c r="C11344" s="1">
        <v>6.2376636455186298E-2</v>
      </c>
      <c r="D11344" s="1">
        <v>3.9089529590288302E-2</v>
      </c>
      <c r="E11344" s="1">
        <v>9.1256042744466095E-2</v>
      </c>
      <c r="F11344" s="1">
        <v>6.2133215962441299E-2</v>
      </c>
    </row>
    <row r="11345" spans="1:6" x14ac:dyDescent="0.25">
      <c r="A11345" s="2" t="str">
        <f t="shared" si="412"/>
        <v>31180</v>
      </c>
      <c r="B11345" s="2" t="str">
        <f>"79357"</f>
        <v>79357</v>
      </c>
      <c r="C11345" s="1">
        <v>3.5918093319906E-3</v>
      </c>
      <c r="D11345" s="1">
        <v>2.0637329286798101E-3</v>
      </c>
      <c r="E11345" s="1">
        <v>1.2721567297091E-3</v>
      </c>
      <c r="F11345" s="1">
        <v>3.2954135066811099E-3</v>
      </c>
    </row>
    <row r="11346" spans="1:6" x14ac:dyDescent="0.25">
      <c r="A11346" s="2" t="str">
        <f t="shared" si="412"/>
        <v>31180</v>
      </c>
      <c r="B11346" s="2" t="str">
        <f>"79331"</f>
        <v>79331</v>
      </c>
      <c r="C11346" s="1">
        <v>1.3427324605572301E-5</v>
      </c>
      <c r="D11346" s="1">
        <v>0</v>
      </c>
      <c r="E11346" s="1">
        <v>0</v>
      </c>
      <c r="F11346" s="1">
        <v>1.1285662694113301E-5</v>
      </c>
    </row>
    <row r="11347" spans="1:6" x14ac:dyDescent="0.25">
      <c r="A11347" s="2" t="str">
        <f t="shared" si="412"/>
        <v>31180</v>
      </c>
      <c r="B11347" s="2" t="str">
        <f>"79351"</f>
        <v>79351</v>
      </c>
      <c r="C11347" s="1">
        <v>2.24907687143336E-3</v>
      </c>
      <c r="D11347" s="1">
        <v>1.7602427921092499E-3</v>
      </c>
      <c r="E11347" s="1">
        <v>8.1418030701382402E-3</v>
      </c>
      <c r="F11347" s="1">
        <v>2.5957024196460801E-3</v>
      </c>
    </row>
    <row r="11348" spans="1:6" x14ac:dyDescent="0.25">
      <c r="A11348" s="2" t="str">
        <f t="shared" si="412"/>
        <v>31180</v>
      </c>
      <c r="B11348" s="2" t="str">
        <f>"79430"</f>
        <v>79430</v>
      </c>
      <c r="C11348" s="1">
        <v>0</v>
      </c>
      <c r="D11348" s="1">
        <v>8.7405159332321607E-3</v>
      </c>
      <c r="E11348" s="1">
        <v>8.48104486472733E-5</v>
      </c>
      <c r="F11348" s="1">
        <v>8.1821054532322103E-4</v>
      </c>
    </row>
    <row r="11349" spans="1:6" x14ac:dyDescent="0.25">
      <c r="A11349" s="2" t="str">
        <f t="shared" si="412"/>
        <v>31180</v>
      </c>
      <c r="B11349" s="2" t="str">
        <f>"79408"</f>
        <v>79408</v>
      </c>
      <c r="C11349" s="1">
        <v>1.78046324269889E-2</v>
      </c>
      <c r="D11349" s="1">
        <v>3.7996965098634199E-2</v>
      </c>
      <c r="E11349" s="1">
        <v>1.69620897294546E-4</v>
      </c>
      <c r="F11349" s="1">
        <v>1.8508486818345899E-2</v>
      </c>
    </row>
    <row r="11350" spans="1:6" x14ac:dyDescent="0.25">
      <c r="A11350" s="2" t="str">
        <f t="shared" si="412"/>
        <v>31180</v>
      </c>
      <c r="B11350" s="2" t="str">
        <f>"79358"</f>
        <v>79358</v>
      </c>
      <c r="C11350" s="1">
        <v>3.8267875125881098E-4</v>
      </c>
      <c r="D11350" s="1">
        <v>6.0698027314112202E-5</v>
      </c>
      <c r="E11350" s="1">
        <v>2.5443134594182001E-4</v>
      </c>
      <c r="F11350" s="1">
        <v>3.4421271217045801E-4</v>
      </c>
    </row>
    <row r="11351" spans="1:6" x14ac:dyDescent="0.25">
      <c r="A11351" s="2" t="str">
        <f t="shared" si="412"/>
        <v>31180</v>
      </c>
      <c r="B11351" s="2" t="str">
        <f>"79402"</f>
        <v>79402</v>
      </c>
      <c r="C11351" s="1">
        <v>0</v>
      </c>
      <c r="D11351" s="1">
        <v>0</v>
      </c>
      <c r="E11351" s="1">
        <v>1.69620897294546E-4</v>
      </c>
      <c r="F11351" s="1">
        <v>1.1285662694113301E-5</v>
      </c>
    </row>
    <row r="11352" spans="1:6" x14ac:dyDescent="0.25">
      <c r="A11352" s="2" t="str">
        <f t="shared" si="412"/>
        <v>31180</v>
      </c>
      <c r="B11352" s="2" t="str">
        <f>"79401"</f>
        <v>79401</v>
      </c>
      <c r="C11352" s="1">
        <v>2.7015777106411499E-2</v>
      </c>
      <c r="D11352" s="1">
        <v>9.2989377845220003E-2</v>
      </c>
      <c r="E11352" s="1">
        <v>6.0724281231447699E-2</v>
      </c>
      <c r="F11352" s="1">
        <v>3.5391838208739597E-2</v>
      </c>
    </row>
    <row r="11353" spans="1:6" x14ac:dyDescent="0.25">
      <c r="A11353" s="2" t="str">
        <f t="shared" si="412"/>
        <v>31180</v>
      </c>
      <c r="B11353" s="2" t="str">
        <f>"79313"</f>
        <v>79313</v>
      </c>
      <c r="C11353" s="1">
        <v>1.2755958375293701E-4</v>
      </c>
      <c r="D11353" s="1">
        <v>0</v>
      </c>
      <c r="E11353" s="1">
        <v>0</v>
      </c>
      <c r="F11353" s="1">
        <v>1.0721379559407701E-4</v>
      </c>
    </row>
    <row r="11354" spans="1:6" x14ac:dyDescent="0.25">
      <c r="A11354" s="2" t="str">
        <f t="shared" si="412"/>
        <v>31180</v>
      </c>
      <c r="B11354" s="2" t="str">
        <f>"79493"</f>
        <v>79493</v>
      </c>
      <c r="C11354" s="1">
        <v>9.2178583417254108E-3</v>
      </c>
      <c r="D11354" s="1">
        <v>3.0773899848254901E-2</v>
      </c>
      <c r="E11354" s="1">
        <v>8.48104486472733E-5</v>
      </c>
      <c r="F11354" s="1">
        <v>1.0614165763813599E-2</v>
      </c>
    </row>
    <row r="11355" spans="1:6" x14ac:dyDescent="0.25">
      <c r="A11355" s="2" t="str">
        <f t="shared" si="412"/>
        <v>31180</v>
      </c>
      <c r="B11355" s="2" t="str">
        <f>"79491"</f>
        <v>79491</v>
      </c>
      <c r="C11355" s="1">
        <v>0</v>
      </c>
      <c r="D11355" s="1">
        <v>6.0698027314112202E-5</v>
      </c>
      <c r="E11355" s="1">
        <v>0</v>
      </c>
      <c r="F11355" s="1">
        <v>5.6428313470566901E-6</v>
      </c>
    </row>
    <row r="11356" spans="1:6" x14ac:dyDescent="0.25">
      <c r="A11356" s="2" t="str">
        <f t="shared" si="412"/>
        <v>31180</v>
      </c>
      <c r="B11356" s="2" t="str">
        <f>"79464"</f>
        <v>79464</v>
      </c>
      <c r="C11356" s="1">
        <v>4.1020476670023398E-3</v>
      </c>
      <c r="D11356" s="1">
        <v>3.3141122913505301E-2</v>
      </c>
      <c r="E11356" s="1">
        <v>1.69620897294546E-4</v>
      </c>
      <c r="F11356" s="1">
        <v>6.54004153123871E-3</v>
      </c>
    </row>
    <row r="11357" spans="1:6" x14ac:dyDescent="0.25">
      <c r="A11357" s="2" t="str">
        <f t="shared" si="412"/>
        <v>31180</v>
      </c>
      <c r="B11357" s="2" t="str">
        <f>"79235"</f>
        <v>79235</v>
      </c>
      <c r="C11357" s="1">
        <v>1.5441423296408101E-4</v>
      </c>
      <c r="D11357" s="1">
        <v>1.21396054628224E-4</v>
      </c>
      <c r="E11357" s="1">
        <v>0</v>
      </c>
      <c r="F11357" s="1">
        <v>1.41070783676417E-4</v>
      </c>
    </row>
    <row r="11358" spans="1:6" x14ac:dyDescent="0.25">
      <c r="A11358" s="2" t="str">
        <f t="shared" si="412"/>
        <v>31180</v>
      </c>
      <c r="B11358" s="2" t="str">
        <f>"79409"</f>
        <v>79409</v>
      </c>
      <c r="C11358" s="1">
        <v>6.7136623027861597E-6</v>
      </c>
      <c r="D11358" s="1">
        <v>4.2488619119878599E-4</v>
      </c>
      <c r="E11358" s="1">
        <v>8.48104486472733E-5</v>
      </c>
      <c r="F11358" s="1">
        <v>5.0785482123510198E-5</v>
      </c>
    </row>
    <row r="11359" spans="1:6" x14ac:dyDescent="0.25">
      <c r="A11359" s="2" t="str">
        <f t="shared" si="412"/>
        <v>31180</v>
      </c>
      <c r="B11359" s="2" t="str">
        <f>"79381"</f>
        <v>79381</v>
      </c>
      <c r="C11359" s="1">
        <v>5.7804632426988901E-3</v>
      </c>
      <c r="D11359" s="1">
        <v>1.57814871016691E-3</v>
      </c>
      <c r="E11359" s="1">
        <v>1.01772538376728E-3</v>
      </c>
      <c r="F11359" s="1">
        <v>5.0729053810039696E-3</v>
      </c>
    </row>
    <row r="11360" spans="1:6" x14ac:dyDescent="0.25">
      <c r="A11360" s="2" t="str">
        <f t="shared" si="412"/>
        <v>31180</v>
      </c>
      <c r="B11360" s="2" t="str">
        <f>"79499"</f>
        <v>79499</v>
      </c>
      <c r="C11360" s="1">
        <v>4.6189996643168797E-3</v>
      </c>
      <c r="D11360" s="1">
        <v>5.7056145675265504E-3</v>
      </c>
      <c r="E11360" s="1">
        <v>1.69620897294546E-4</v>
      </c>
      <c r="F11360" s="1">
        <v>4.4239797760924496E-3</v>
      </c>
    </row>
    <row r="11361" spans="1:6" x14ac:dyDescent="0.25">
      <c r="A11361" s="2" t="str">
        <f t="shared" si="412"/>
        <v>31180</v>
      </c>
      <c r="B11361" s="2" t="str">
        <f>"79423"</f>
        <v>79423</v>
      </c>
      <c r="C11361" s="1">
        <v>0.123658945955018</v>
      </c>
      <c r="D11361" s="1">
        <v>0.10616084977238199</v>
      </c>
      <c r="E11361" s="1">
        <v>0.14137901789500401</v>
      </c>
      <c r="F11361" s="1">
        <v>0.12321122246298299</v>
      </c>
    </row>
    <row r="11362" spans="1:6" x14ac:dyDescent="0.25">
      <c r="A11362" s="2" t="str">
        <f t="shared" si="412"/>
        <v>31180</v>
      </c>
      <c r="B11362" s="2" t="str">
        <f>"79414"</f>
        <v>79414</v>
      </c>
      <c r="C11362" s="1">
        <v>5.69318563276267E-2</v>
      </c>
      <c r="D11362" s="1">
        <v>5.9362670713201802E-2</v>
      </c>
      <c r="E11362" s="1">
        <v>5.6823000593673102E-2</v>
      </c>
      <c r="F11362" s="1">
        <v>5.71505958829902E-2</v>
      </c>
    </row>
    <row r="11363" spans="1:6" x14ac:dyDescent="0.25">
      <c r="A11363" s="2" t="str">
        <f t="shared" si="412"/>
        <v>31180</v>
      </c>
      <c r="B11363" s="2" t="str">
        <f>"79411"</f>
        <v>79411</v>
      </c>
      <c r="C11363" s="1">
        <v>2.3773078214165799E-2</v>
      </c>
      <c r="D11363" s="1">
        <v>2.1001517450682801E-2</v>
      </c>
      <c r="E11363" s="1">
        <v>4.4525485539818499E-2</v>
      </c>
      <c r="F11363" s="1">
        <v>2.4896171903214099E-2</v>
      </c>
    </row>
    <row r="11364" spans="1:6" x14ac:dyDescent="0.25">
      <c r="A11364" s="2" t="str">
        <f t="shared" ref="A11364:A11371" si="413">"45020"</f>
        <v>45020</v>
      </c>
      <c r="B11364" s="2" t="str">
        <f>"79537"</f>
        <v>79537</v>
      </c>
      <c r="C11364" s="1">
        <v>5.8588168048013698E-3</v>
      </c>
      <c r="D11364" s="1">
        <v>0</v>
      </c>
      <c r="E11364" s="1">
        <v>2.18978102189781E-2</v>
      </c>
      <c r="F11364" s="1">
        <v>5.8096415327564804E-3</v>
      </c>
    </row>
    <row r="11365" spans="1:6" x14ac:dyDescent="0.25">
      <c r="A11365" s="2" t="str">
        <f t="shared" si="413"/>
        <v>45020</v>
      </c>
      <c r="B11365" s="2" t="str">
        <f>"79545"</f>
        <v>79545</v>
      </c>
      <c r="C11365" s="1">
        <v>6.8305230065732997E-2</v>
      </c>
      <c r="D11365" s="1">
        <v>2.9339853300733399E-2</v>
      </c>
      <c r="E11365" s="1">
        <v>9.8540145985401395E-2</v>
      </c>
      <c r="F11365" s="1">
        <v>6.5389369592088895E-2</v>
      </c>
    </row>
    <row r="11366" spans="1:6" x14ac:dyDescent="0.25">
      <c r="A11366" s="2" t="str">
        <f t="shared" si="413"/>
        <v>45020</v>
      </c>
      <c r="B11366" s="2" t="str">
        <f>"79532"</f>
        <v>79532</v>
      </c>
      <c r="C11366" s="1">
        <v>2.4292655044298298E-3</v>
      </c>
      <c r="D11366" s="1">
        <v>0</v>
      </c>
      <c r="E11366" s="1">
        <v>3.6496350364963498E-3</v>
      </c>
      <c r="F11366" s="1">
        <v>2.2249690976514202E-3</v>
      </c>
    </row>
    <row r="11367" spans="1:6" x14ac:dyDescent="0.25">
      <c r="A11367" s="2" t="str">
        <f t="shared" si="413"/>
        <v>45020</v>
      </c>
      <c r="B11367" s="2" t="str">
        <f>"79556"</f>
        <v>79556</v>
      </c>
      <c r="C11367" s="1">
        <v>0.87739354101171696</v>
      </c>
      <c r="D11367" s="1">
        <v>0.95843520782395997</v>
      </c>
      <c r="E11367" s="1">
        <v>0.726277372262773</v>
      </c>
      <c r="F11367" s="1">
        <v>0.88046971569839305</v>
      </c>
    </row>
    <row r="11368" spans="1:6" x14ac:dyDescent="0.25">
      <c r="A11368" s="2" t="str">
        <f t="shared" si="413"/>
        <v>45020</v>
      </c>
      <c r="B11368" s="2" t="str">
        <f>"79561"</f>
        <v>79561</v>
      </c>
      <c r="C11368" s="1">
        <v>1.0717347813661E-2</v>
      </c>
      <c r="D11368" s="1">
        <v>0</v>
      </c>
      <c r="E11368" s="1">
        <v>2.5547445255474401E-2</v>
      </c>
      <c r="F11368" s="1">
        <v>1.01359703337453E-2</v>
      </c>
    </row>
    <row r="11369" spans="1:6" x14ac:dyDescent="0.25">
      <c r="A11369" s="2" t="str">
        <f t="shared" si="413"/>
        <v>45020</v>
      </c>
      <c r="B11369" s="2" t="str">
        <f>"79536"</f>
        <v>79536</v>
      </c>
      <c r="C11369" s="1">
        <v>1.00028579594169E-3</v>
      </c>
      <c r="D11369" s="1">
        <v>0</v>
      </c>
      <c r="E11369" s="1">
        <v>7.2992700729926996E-3</v>
      </c>
      <c r="F11369" s="1">
        <v>1.1124845488257101E-3</v>
      </c>
    </row>
    <row r="11370" spans="1:6" x14ac:dyDescent="0.25">
      <c r="A11370" s="2" t="str">
        <f t="shared" si="413"/>
        <v>45020</v>
      </c>
      <c r="B11370" s="2" t="str">
        <f>"79535"</f>
        <v>79535</v>
      </c>
      <c r="C11370" s="1">
        <v>1.2575021434695599E-2</v>
      </c>
      <c r="D11370" s="1">
        <v>6.1124694376528104E-3</v>
      </c>
      <c r="E11370" s="1">
        <v>2.9197080291970798E-2</v>
      </c>
      <c r="F11370" s="1">
        <v>1.2484548825710699E-2</v>
      </c>
    </row>
    <row r="11371" spans="1:6" x14ac:dyDescent="0.25">
      <c r="A11371" s="2" t="str">
        <f t="shared" si="413"/>
        <v>45020</v>
      </c>
      <c r="B11371" s="2" t="str">
        <f>"79506"</f>
        <v>79506</v>
      </c>
      <c r="C11371" s="1">
        <v>2.1720491569019701E-2</v>
      </c>
      <c r="D11371" s="1">
        <v>6.1124694376528104E-3</v>
      </c>
      <c r="E11371" s="1">
        <v>8.7591240875912399E-2</v>
      </c>
      <c r="F11371" s="1">
        <v>2.23733003708281E-2</v>
      </c>
    </row>
    <row r="11372" spans="1:6" x14ac:dyDescent="0.25">
      <c r="A11372" s="2" t="str">
        <f t="shared" ref="A11372:A11389" si="414">"33260"</f>
        <v>33260</v>
      </c>
      <c r="B11372" s="2" t="str">
        <f>"79706"</f>
        <v>79706</v>
      </c>
      <c r="C11372" s="1">
        <v>0.14583255431327799</v>
      </c>
      <c r="D11372" s="1">
        <v>7.77472998457054E-2</v>
      </c>
      <c r="E11372" s="1">
        <v>0.21672420406597601</v>
      </c>
      <c r="F11372" s="1">
        <v>0.13938329347527001</v>
      </c>
    </row>
    <row r="11373" spans="1:6" x14ac:dyDescent="0.25">
      <c r="A11373" s="2" t="str">
        <f t="shared" si="414"/>
        <v>33260</v>
      </c>
      <c r="B11373" s="2" t="str">
        <f>"79766"</f>
        <v>79766</v>
      </c>
      <c r="C11373" s="1">
        <v>1.2464320881476699E-3</v>
      </c>
      <c r="D11373" s="1">
        <v>3.4287673581347503E-4</v>
      </c>
      <c r="E11373" s="1">
        <v>3.83582662063674E-4</v>
      </c>
      <c r="F11373" s="1">
        <v>1.1110875960297099E-3</v>
      </c>
    </row>
    <row r="11374" spans="1:6" x14ac:dyDescent="0.25">
      <c r="A11374" s="2" t="str">
        <f t="shared" si="414"/>
        <v>33260</v>
      </c>
      <c r="B11374" s="2" t="str">
        <f>"79765"</f>
        <v>79765</v>
      </c>
      <c r="C11374" s="1">
        <v>3.5336349698986601E-2</v>
      </c>
      <c r="D11374" s="1">
        <v>3.1716098062746403E-2</v>
      </c>
      <c r="E11374" s="1">
        <v>1.7644802454928998E-2</v>
      </c>
      <c r="F11374" s="1">
        <v>3.4401388330405701E-2</v>
      </c>
    </row>
    <row r="11375" spans="1:6" x14ac:dyDescent="0.25">
      <c r="A11375" s="2" t="str">
        <f t="shared" si="414"/>
        <v>33260</v>
      </c>
      <c r="B11375" s="2" t="str">
        <f>"79331"</f>
        <v>79331</v>
      </c>
      <c r="C11375" s="1">
        <v>3.4900098468134902E-4</v>
      </c>
      <c r="D11375" s="1">
        <v>0</v>
      </c>
      <c r="E11375" s="1">
        <v>0</v>
      </c>
      <c r="F11375" s="1">
        <v>2.9629002560792301E-4</v>
      </c>
    </row>
    <row r="11376" spans="1:6" x14ac:dyDescent="0.25">
      <c r="A11376" s="2" t="str">
        <f t="shared" si="414"/>
        <v>33260</v>
      </c>
      <c r="B11376" s="2" t="str">
        <f>"79783"</f>
        <v>79783</v>
      </c>
      <c r="C11376" s="1">
        <v>3.7392962644430301E-4</v>
      </c>
      <c r="D11376" s="1">
        <v>1.71438367906737E-4</v>
      </c>
      <c r="E11376" s="1">
        <v>0</v>
      </c>
      <c r="F11376" s="1">
        <v>3.3861717212334101E-4</v>
      </c>
    </row>
    <row r="11377" spans="1:6" x14ac:dyDescent="0.25">
      <c r="A11377" s="2" t="str">
        <f t="shared" si="414"/>
        <v>33260</v>
      </c>
      <c r="B11377" s="2" t="str">
        <f>"79701"</f>
        <v>79701</v>
      </c>
      <c r="C11377" s="1">
        <v>0.14760248787844699</v>
      </c>
      <c r="D11377" s="1">
        <v>0.33910509171952602</v>
      </c>
      <c r="E11377" s="1">
        <v>0.26658995013425302</v>
      </c>
      <c r="F11377" s="1">
        <v>0.174525406869695</v>
      </c>
    </row>
    <row r="11378" spans="1:6" x14ac:dyDescent="0.25">
      <c r="A11378" s="2" t="str">
        <f t="shared" si="414"/>
        <v>33260</v>
      </c>
      <c r="B11378" s="2" t="str">
        <f>"79711"</f>
        <v>79711</v>
      </c>
      <c r="C11378" s="1">
        <v>0</v>
      </c>
      <c r="D11378" s="1">
        <v>8.5719183953368702E-5</v>
      </c>
      <c r="E11378" s="1">
        <v>0</v>
      </c>
      <c r="F11378" s="1">
        <v>1.05817866288544E-5</v>
      </c>
    </row>
    <row r="11379" spans="1:6" x14ac:dyDescent="0.25">
      <c r="A11379" s="2" t="str">
        <f t="shared" si="414"/>
        <v>33260</v>
      </c>
      <c r="B11379" s="2" t="str">
        <f>"79705"</f>
        <v>79705</v>
      </c>
      <c r="C11379" s="1">
        <v>0.239738747834324</v>
      </c>
      <c r="D11379" s="1">
        <v>0.14949425681467499</v>
      </c>
      <c r="E11379" s="1">
        <v>0.21825853471423001</v>
      </c>
      <c r="F11379" s="1">
        <v>0.228005756491926</v>
      </c>
    </row>
    <row r="11380" spans="1:6" x14ac:dyDescent="0.25">
      <c r="A11380" s="2" t="str">
        <f t="shared" si="414"/>
        <v>33260</v>
      </c>
      <c r="B11380" s="2" t="str">
        <f>"79710"</f>
        <v>79710</v>
      </c>
      <c r="C11380" s="1">
        <v>2.2934350421917198E-2</v>
      </c>
      <c r="D11380" s="1">
        <v>6.0517743871078299E-2</v>
      </c>
      <c r="E11380" s="1">
        <v>7.6716532412734898E-4</v>
      </c>
      <c r="F11380" s="1">
        <v>2.6962392330321001E-2</v>
      </c>
    </row>
    <row r="11381" spans="1:6" x14ac:dyDescent="0.25">
      <c r="A11381" s="2" t="str">
        <f t="shared" si="414"/>
        <v>33260</v>
      </c>
      <c r="B11381" s="2" t="str">
        <f>"79702"</f>
        <v>79702</v>
      </c>
      <c r="C11381" s="1">
        <v>2.4105996584776E-2</v>
      </c>
      <c r="D11381" s="1">
        <v>0.10749185667752401</v>
      </c>
      <c r="E11381" s="1">
        <v>7.6716532412734898E-4</v>
      </c>
      <c r="F11381" s="1">
        <v>3.3755899346045497E-2</v>
      </c>
    </row>
    <row r="11382" spans="1:6" x14ac:dyDescent="0.25">
      <c r="A11382" s="2" t="str">
        <f t="shared" si="414"/>
        <v>33260</v>
      </c>
      <c r="B11382" s="2" t="str">
        <f>"79703"</f>
        <v>79703</v>
      </c>
      <c r="C11382" s="1">
        <v>0.10098592778172399</v>
      </c>
      <c r="D11382" s="1">
        <v>5.3403051602948698E-2</v>
      </c>
      <c r="E11382" s="1">
        <v>0.130418105101649</v>
      </c>
      <c r="F11382" s="1">
        <v>9.5923895790565206E-2</v>
      </c>
    </row>
    <row r="11383" spans="1:6" x14ac:dyDescent="0.25">
      <c r="A11383" s="2" t="str">
        <f t="shared" si="414"/>
        <v>33260</v>
      </c>
      <c r="B11383" s="2" t="str">
        <f>"79749"</f>
        <v>79749</v>
      </c>
      <c r="C11383" s="1">
        <v>1.1716461628588099E-3</v>
      </c>
      <c r="D11383" s="1">
        <v>6.0003428767358097E-4</v>
      </c>
      <c r="E11383" s="1">
        <v>2.6850786344457199E-3</v>
      </c>
      <c r="F11383" s="1">
        <v>1.1428329559162701E-3</v>
      </c>
    </row>
    <row r="11384" spans="1:6" x14ac:dyDescent="0.25">
      <c r="A11384" s="2" t="str">
        <f t="shared" si="414"/>
        <v>33260</v>
      </c>
      <c r="B11384" s="2" t="str">
        <f>"79758"</f>
        <v>79758</v>
      </c>
      <c r="C11384" s="1">
        <v>6.2321604407383804E-5</v>
      </c>
      <c r="D11384" s="1">
        <v>0</v>
      </c>
      <c r="E11384" s="1">
        <v>0</v>
      </c>
      <c r="F11384" s="1">
        <v>5.2908933144271999E-5</v>
      </c>
    </row>
    <row r="11385" spans="1:6" x14ac:dyDescent="0.25">
      <c r="A11385" s="2" t="str">
        <f t="shared" si="414"/>
        <v>33260</v>
      </c>
      <c r="B11385" s="2" t="str">
        <f>"79712"</f>
        <v>79712</v>
      </c>
      <c r="C11385" s="1">
        <v>9.1114185643595205E-3</v>
      </c>
      <c r="D11385" s="1">
        <v>0</v>
      </c>
      <c r="E11385" s="1">
        <v>7.6716532412734898E-4</v>
      </c>
      <c r="F11385" s="1">
        <v>7.7564495989502803E-3</v>
      </c>
    </row>
    <row r="11386" spans="1:6" x14ac:dyDescent="0.25">
      <c r="A11386" s="2" t="str">
        <f t="shared" si="414"/>
        <v>33260</v>
      </c>
      <c r="B11386" s="2" t="str">
        <f>"79704"</f>
        <v>79704</v>
      </c>
      <c r="C11386" s="1">
        <v>1.0956138054818E-2</v>
      </c>
      <c r="D11386" s="1">
        <v>3.6087776444368197E-2</v>
      </c>
      <c r="E11386" s="1">
        <v>7.6716532412734898E-4</v>
      </c>
      <c r="F11386" s="1">
        <v>1.37774861907684E-2</v>
      </c>
    </row>
    <row r="11387" spans="1:6" x14ac:dyDescent="0.25">
      <c r="A11387" s="2" t="str">
        <f t="shared" si="414"/>
        <v>33260</v>
      </c>
      <c r="B11387" s="2" t="str">
        <f>"79708"</f>
        <v>79708</v>
      </c>
      <c r="C11387" s="1">
        <v>1.8534445150755901E-2</v>
      </c>
      <c r="D11387" s="1">
        <v>6.0860620606891798E-2</v>
      </c>
      <c r="E11387" s="1">
        <v>3.83582662063674E-4</v>
      </c>
      <c r="F11387" s="1">
        <v>2.3258767010222E-2</v>
      </c>
    </row>
    <row r="11388" spans="1:6" x14ac:dyDescent="0.25">
      <c r="A11388" s="2" t="str">
        <f t="shared" si="414"/>
        <v>33260</v>
      </c>
      <c r="B11388" s="2" t="str">
        <f>"79707"</f>
        <v>79707</v>
      </c>
      <c r="C11388" s="1">
        <v>0.21768936419499099</v>
      </c>
      <c r="D11388" s="1">
        <v>6.9346819818275299E-2</v>
      </c>
      <c r="E11388" s="1">
        <v>0.13617184503260399</v>
      </c>
      <c r="F11388" s="1">
        <v>0.197128103108928</v>
      </c>
    </row>
    <row r="11389" spans="1:6" x14ac:dyDescent="0.25">
      <c r="A11389" s="2" t="str">
        <f t="shared" si="414"/>
        <v>33260</v>
      </c>
      <c r="B11389" s="2" t="str">
        <f>"79782"</f>
        <v>79782</v>
      </c>
      <c r="C11389" s="1">
        <v>2.3968889055079799E-2</v>
      </c>
      <c r="D11389" s="1">
        <v>1.3029315960912001E-2</v>
      </c>
      <c r="E11389" s="1">
        <v>7.6716532412734904E-3</v>
      </c>
      <c r="F11389" s="1">
        <v>2.2168842987450001E-2</v>
      </c>
    </row>
    <row r="11390" spans="1:6" x14ac:dyDescent="0.25">
      <c r="A11390" s="2" t="str">
        <f t="shared" ref="A11390:A11400" si="415">"44460"</f>
        <v>44460</v>
      </c>
      <c r="B11390" s="2" t="str">
        <f>"80463"</f>
        <v>80463</v>
      </c>
      <c r="C11390" s="1">
        <v>2.6034337179848001E-3</v>
      </c>
      <c r="D11390" s="1">
        <v>6.8073519400953003E-4</v>
      </c>
      <c r="E11390" s="1">
        <v>0</v>
      </c>
      <c r="F11390" s="1">
        <v>2.3199023199023099E-3</v>
      </c>
    </row>
    <row r="11391" spans="1:6" x14ac:dyDescent="0.25">
      <c r="A11391" s="2" t="str">
        <f t="shared" si="415"/>
        <v>44460</v>
      </c>
      <c r="B11391" s="2" t="str">
        <f>"81625"</f>
        <v>81625</v>
      </c>
      <c r="C11391" s="1">
        <v>3.51815367295243E-4</v>
      </c>
      <c r="D11391" s="1">
        <v>0</v>
      </c>
      <c r="E11391" s="1">
        <v>0</v>
      </c>
      <c r="F11391" s="1">
        <v>3.0525030525030498E-4</v>
      </c>
    </row>
    <row r="11392" spans="1:6" x14ac:dyDescent="0.25">
      <c r="A11392" s="2" t="str">
        <f t="shared" si="415"/>
        <v>44460</v>
      </c>
      <c r="B11392" s="2" t="str">
        <f>"80469"</f>
        <v>80469</v>
      </c>
      <c r="C11392" s="1">
        <v>8.4435688150858394E-3</v>
      </c>
      <c r="D11392" s="1">
        <v>0</v>
      </c>
      <c r="E11392" s="1">
        <v>1.43061516452074E-3</v>
      </c>
      <c r="F11392" s="1">
        <v>7.3870573870573799E-3</v>
      </c>
    </row>
    <row r="11393" spans="1:6" x14ac:dyDescent="0.25">
      <c r="A11393" s="2" t="str">
        <f t="shared" si="415"/>
        <v>44460</v>
      </c>
      <c r="B11393" s="2" t="str">
        <f>"81638"</f>
        <v>81638</v>
      </c>
      <c r="C11393" s="1">
        <v>1.40726146918097E-4</v>
      </c>
      <c r="D11393" s="1">
        <v>0</v>
      </c>
      <c r="E11393" s="1">
        <v>0</v>
      </c>
      <c r="F11393" s="1">
        <v>1.2210012210012199E-4</v>
      </c>
    </row>
    <row r="11394" spans="1:6" x14ac:dyDescent="0.25">
      <c r="A11394" s="2" t="str">
        <f t="shared" si="415"/>
        <v>44460</v>
      </c>
      <c r="B11394" s="2" t="str">
        <f>"81639"</f>
        <v>81639</v>
      </c>
      <c r="C11394" s="1">
        <v>6.12158739093723E-3</v>
      </c>
      <c r="D11394" s="1">
        <v>1.3614703880190601E-3</v>
      </c>
      <c r="E11394" s="1">
        <v>1.43061516452074E-3</v>
      </c>
      <c r="F11394" s="1">
        <v>5.4945054945054897E-3</v>
      </c>
    </row>
    <row r="11395" spans="1:6" x14ac:dyDescent="0.25">
      <c r="A11395" s="2" t="str">
        <f t="shared" si="415"/>
        <v>44460</v>
      </c>
      <c r="B11395" s="2" t="str">
        <f>"80428"</f>
        <v>80428</v>
      </c>
      <c r="C11395" s="1">
        <v>2.6737967914438501E-3</v>
      </c>
      <c r="D11395" s="1">
        <v>2.7229407760381201E-3</v>
      </c>
      <c r="E11395" s="1">
        <v>2.86123032904148E-3</v>
      </c>
      <c r="F11395" s="1">
        <v>2.6862026862026801E-3</v>
      </c>
    </row>
    <row r="11396" spans="1:6" x14ac:dyDescent="0.25">
      <c r="A11396" s="2" t="str">
        <f t="shared" si="415"/>
        <v>44460</v>
      </c>
      <c r="B11396" s="2" t="str">
        <f>"80483"</f>
        <v>80483</v>
      </c>
      <c r="C11396" s="1">
        <v>1.7942583732057399E-2</v>
      </c>
      <c r="D11396" s="1">
        <v>0</v>
      </c>
      <c r="E11396" s="1">
        <v>2.14592274678111E-2</v>
      </c>
      <c r="F11396" s="1">
        <v>1.6483516483516401E-2</v>
      </c>
    </row>
    <row r="11397" spans="1:6" x14ac:dyDescent="0.25">
      <c r="A11397" s="2" t="str">
        <f t="shared" si="415"/>
        <v>44460</v>
      </c>
      <c r="B11397" s="2" t="str">
        <f>"80487"</f>
        <v>80487</v>
      </c>
      <c r="C11397" s="1">
        <v>0.54081058260624804</v>
      </c>
      <c r="D11397" s="1">
        <v>0.61130020422055797</v>
      </c>
      <c r="E11397" s="1">
        <v>0.85264663805436303</v>
      </c>
      <c r="F11397" s="1">
        <v>0.56043956043956</v>
      </c>
    </row>
    <row r="11398" spans="1:6" x14ac:dyDescent="0.25">
      <c r="A11398" s="2" t="str">
        <f t="shared" si="415"/>
        <v>44460</v>
      </c>
      <c r="B11398" s="2" t="str">
        <f>"80479"</f>
        <v>80479</v>
      </c>
      <c r="C11398" s="1">
        <v>1.8998029833943099E-3</v>
      </c>
      <c r="D11398" s="1">
        <v>0</v>
      </c>
      <c r="E11398" s="1">
        <v>1.43061516452074E-3</v>
      </c>
      <c r="F11398" s="1">
        <v>1.7094017094017001E-3</v>
      </c>
    </row>
    <row r="11399" spans="1:6" x14ac:dyDescent="0.25">
      <c r="A11399" s="2" t="str">
        <f t="shared" si="415"/>
        <v>44460</v>
      </c>
      <c r="B11399" s="2" t="str">
        <f>"80477"</f>
        <v>80477</v>
      </c>
      <c r="C11399" s="1">
        <v>0.329650999155643</v>
      </c>
      <c r="D11399" s="1">
        <v>0.37985023825731701</v>
      </c>
      <c r="E11399" s="1">
        <v>2.86123032904148E-3</v>
      </c>
      <c r="F11399" s="1">
        <v>0.32020757020757001</v>
      </c>
    </row>
    <row r="11400" spans="1:6" x14ac:dyDescent="0.25">
      <c r="A11400" s="2" t="str">
        <f t="shared" si="415"/>
        <v>44460</v>
      </c>
      <c r="B11400" s="2" t="str">
        <f>"80467"</f>
        <v>80467</v>
      </c>
      <c r="C11400" s="1">
        <v>8.9361103292991795E-2</v>
      </c>
      <c r="D11400" s="1">
        <v>4.0844111640571798E-3</v>
      </c>
      <c r="E11400" s="1">
        <v>0.11587982832618</v>
      </c>
      <c r="F11400" s="1">
        <v>8.28449328449328E-2</v>
      </c>
    </row>
    <row r="11401" spans="1:6" x14ac:dyDescent="0.25">
      <c r="A11401" s="2" t="str">
        <f t="shared" ref="A11401:A11407" si="416">"18780"</f>
        <v>18780</v>
      </c>
      <c r="B11401" s="2" t="str">
        <f>"81640"</f>
        <v>81640</v>
      </c>
      <c r="C11401" s="1">
        <v>1.4036786060019299E-2</v>
      </c>
      <c r="D11401" s="1">
        <v>8.5034013605442098E-3</v>
      </c>
      <c r="E11401" s="1">
        <v>8.4745762711864406E-3</v>
      </c>
      <c r="F11401" s="1">
        <v>1.33864995727712E-2</v>
      </c>
    </row>
    <row r="11402" spans="1:6" x14ac:dyDescent="0.25">
      <c r="A11402" s="2" t="str">
        <f t="shared" si="416"/>
        <v>18780</v>
      </c>
      <c r="B11402" s="2" t="str">
        <f>"81653"</f>
        <v>81653</v>
      </c>
      <c r="C11402" s="1">
        <v>5.4856405292029601E-3</v>
      </c>
      <c r="D11402" s="1">
        <v>1.70068027210884E-3</v>
      </c>
      <c r="E11402" s="1">
        <v>0</v>
      </c>
      <c r="F11402" s="1">
        <v>4.9843349473084504E-3</v>
      </c>
    </row>
    <row r="11403" spans="1:6" x14ac:dyDescent="0.25">
      <c r="A11403" s="2" t="str">
        <f t="shared" si="416"/>
        <v>18780</v>
      </c>
      <c r="B11403" s="2" t="str">
        <f>"81633"</f>
        <v>81633</v>
      </c>
      <c r="C11403" s="1">
        <v>1.4520813165537199E-3</v>
      </c>
      <c r="D11403" s="1">
        <v>0</v>
      </c>
      <c r="E11403" s="1">
        <v>4.2372881355932203E-3</v>
      </c>
      <c r="F11403" s="1">
        <v>1.42409569923098E-3</v>
      </c>
    </row>
    <row r="11404" spans="1:6" x14ac:dyDescent="0.25">
      <c r="A11404" s="2" t="str">
        <f t="shared" si="416"/>
        <v>18780</v>
      </c>
      <c r="B11404" s="2" t="str">
        <f>"81625"</f>
        <v>81625</v>
      </c>
      <c r="C11404" s="1">
        <v>0.94111003549532102</v>
      </c>
      <c r="D11404" s="1">
        <v>0.98979591836734604</v>
      </c>
      <c r="E11404" s="1">
        <v>0.97033898305084698</v>
      </c>
      <c r="F11404" s="1">
        <v>0.94616918256906801</v>
      </c>
    </row>
    <row r="11405" spans="1:6" x14ac:dyDescent="0.25">
      <c r="A11405" s="2" t="str">
        <f t="shared" si="416"/>
        <v>18780</v>
      </c>
      <c r="B11405" s="2" t="str">
        <f>"81638"</f>
        <v>81638</v>
      </c>
      <c r="C11405" s="1">
        <v>8.7124878993223593E-3</v>
      </c>
      <c r="D11405" s="1">
        <v>0</v>
      </c>
      <c r="E11405" s="1">
        <v>4.2372881355932203E-3</v>
      </c>
      <c r="F11405" s="1">
        <v>7.8325263457704308E-3</v>
      </c>
    </row>
    <row r="11406" spans="1:6" x14ac:dyDescent="0.25">
      <c r="A11406" s="2" t="str">
        <f t="shared" si="416"/>
        <v>18780</v>
      </c>
      <c r="B11406" s="2" t="str">
        <f>"81610"</f>
        <v>81610</v>
      </c>
      <c r="C11406" s="1">
        <v>2.88802839625685E-2</v>
      </c>
      <c r="D11406" s="1">
        <v>0</v>
      </c>
      <c r="E11406" s="1">
        <v>1.2711864406779599E-2</v>
      </c>
      <c r="F11406" s="1">
        <v>2.5918541726003899E-2</v>
      </c>
    </row>
    <row r="11407" spans="1:6" x14ac:dyDescent="0.25">
      <c r="A11407" s="2" t="str">
        <f t="shared" si="416"/>
        <v>18780</v>
      </c>
      <c r="B11407" s="2" t="str">
        <f>"81641"</f>
        <v>81641</v>
      </c>
      <c r="C11407" s="1">
        <v>3.22684737011939E-4</v>
      </c>
      <c r="D11407" s="1">
        <v>0</v>
      </c>
      <c r="E11407" s="1">
        <v>0</v>
      </c>
      <c r="F11407" s="1">
        <v>2.8481913984619703E-4</v>
      </c>
    </row>
    <row r="11408" spans="1:6" x14ac:dyDescent="0.25">
      <c r="A11408" s="2" t="str">
        <f t="shared" ref="A11408:A11419" si="417">"15420"</f>
        <v>15420</v>
      </c>
      <c r="B11408" s="2" t="str">
        <f>"83336"</f>
        <v>83336</v>
      </c>
      <c r="C11408" s="1">
        <v>0.15617542557140501</v>
      </c>
      <c r="D11408" s="1">
        <v>8.2073434125269906E-2</v>
      </c>
      <c r="E11408" s="1">
        <v>0.13973799126637501</v>
      </c>
      <c r="F11408" s="1">
        <v>0.149336230925497</v>
      </c>
    </row>
    <row r="11409" spans="1:6" x14ac:dyDescent="0.25">
      <c r="A11409" s="2" t="str">
        <f t="shared" si="417"/>
        <v>15420</v>
      </c>
      <c r="B11409" s="2" t="str">
        <f>"83342"</f>
        <v>83342</v>
      </c>
      <c r="C11409" s="1">
        <v>2.7257782255926101E-2</v>
      </c>
      <c r="D11409" s="1">
        <v>4.8596112311015101E-3</v>
      </c>
      <c r="E11409" s="1">
        <v>3.9301310043668103E-2</v>
      </c>
      <c r="F11409" s="1">
        <v>2.5558652619643699E-2</v>
      </c>
    </row>
    <row r="11410" spans="1:6" x14ac:dyDescent="0.25">
      <c r="A11410" s="2" t="str">
        <f t="shared" si="417"/>
        <v>15420</v>
      </c>
      <c r="B11410" s="2" t="str">
        <f>"83318"</f>
        <v>83318</v>
      </c>
      <c r="C11410" s="1">
        <v>0.39937423768361802</v>
      </c>
      <c r="D11410" s="1">
        <v>0.64902807775377902</v>
      </c>
      <c r="E11410" s="1">
        <v>0.46943231441048</v>
      </c>
      <c r="F11410" s="1">
        <v>0.42273350025983802</v>
      </c>
    </row>
    <row r="11411" spans="1:6" x14ac:dyDescent="0.25">
      <c r="A11411" s="2" t="str">
        <f t="shared" si="417"/>
        <v>15420</v>
      </c>
      <c r="B11411" s="2" t="str">
        <f>"83312"</f>
        <v>83312</v>
      </c>
      <c r="C11411" s="1">
        <v>2.12122819112266E-3</v>
      </c>
      <c r="D11411" s="1">
        <v>0</v>
      </c>
      <c r="E11411" s="1">
        <v>2.18340611353711E-3</v>
      </c>
      <c r="F11411" s="1">
        <v>1.93697737043511E-3</v>
      </c>
    </row>
    <row r="11412" spans="1:6" x14ac:dyDescent="0.25">
      <c r="A11412" s="2" t="str">
        <f t="shared" si="417"/>
        <v>15420</v>
      </c>
      <c r="B11412" s="2" t="str">
        <f>"83311"</f>
        <v>83311</v>
      </c>
      <c r="C11412" s="1">
        <v>3.60608792490852E-3</v>
      </c>
      <c r="D11412" s="1">
        <v>0</v>
      </c>
      <c r="E11412" s="1">
        <v>2.18340611353711E-3</v>
      </c>
      <c r="F11412" s="1">
        <v>3.2597911843907901E-3</v>
      </c>
    </row>
    <row r="11413" spans="1:6" x14ac:dyDescent="0.25">
      <c r="A11413" s="2" t="str">
        <f t="shared" si="417"/>
        <v>15420</v>
      </c>
      <c r="B11413" s="2" t="str">
        <f>"83347"</f>
        <v>83347</v>
      </c>
      <c r="C11413" s="1">
        <v>8.4212759187569597E-2</v>
      </c>
      <c r="D11413" s="1">
        <v>5.7775377969762398E-2</v>
      </c>
      <c r="E11413" s="1">
        <v>5.8951965065502099E-2</v>
      </c>
      <c r="F11413" s="1">
        <v>8.1353049558274604E-2</v>
      </c>
    </row>
    <row r="11414" spans="1:6" x14ac:dyDescent="0.25">
      <c r="A11414" s="2" t="str">
        <f t="shared" si="417"/>
        <v>15420</v>
      </c>
      <c r="B11414" s="2" t="str">
        <f>"83211"</f>
        <v>83211</v>
      </c>
      <c r="C11414" s="1">
        <v>1.2727369146735899E-3</v>
      </c>
      <c r="D11414" s="1">
        <v>5.3995680345572303E-4</v>
      </c>
      <c r="E11414" s="1">
        <v>0</v>
      </c>
      <c r="F11414" s="1">
        <v>1.18108376246043E-3</v>
      </c>
    </row>
    <row r="11415" spans="1:6" x14ac:dyDescent="0.25">
      <c r="A11415" s="2" t="str">
        <f t="shared" si="417"/>
        <v>15420</v>
      </c>
      <c r="B11415" s="2" t="str">
        <f>"83344"</f>
        <v>83344</v>
      </c>
      <c r="C11415" s="1">
        <v>3.8712414487988502E-3</v>
      </c>
      <c r="D11415" s="1">
        <v>1.61987041036717E-3</v>
      </c>
      <c r="E11415" s="1">
        <v>0</v>
      </c>
      <c r="F11415" s="1">
        <v>3.5904946378797101E-3</v>
      </c>
    </row>
    <row r="11416" spans="1:6" x14ac:dyDescent="0.25">
      <c r="A11416" s="2" t="str">
        <f t="shared" si="417"/>
        <v>15420</v>
      </c>
      <c r="B11416" s="2" t="str">
        <f>"83323"</f>
        <v>83323</v>
      </c>
      <c r="C11416" s="1">
        <v>3.5530572201304497E-2</v>
      </c>
      <c r="D11416" s="1">
        <v>1.24190064794816E-2</v>
      </c>
      <c r="E11416" s="1">
        <v>5.8951965065502099E-2</v>
      </c>
      <c r="F11416" s="1">
        <v>3.4015212358860403E-2</v>
      </c>
    </row>
    <row r="11417" spans="1:6" x14ac:dyDescent="0.25">
      <c r="A11417" s="2" t="str">
        <f t="shared" si="417"/>
        <v>15420</v>
      </c>
      <c r="B11417" s="2" t="str">
        <f>"83346"</f>
        <v>83346</v>
      </c>
      <c r="C11417" s="1">
        <v>2.10001590921143E-2</v>
      </c>
      <c r="D11417" s="1">
        <v>7.0194384449243996E-3</v>
      </c>
      <c r="E11417" s="1">
        <v>2.62008733624454E-2</v>
      </c>
      <c r="F11417" s="1">
        <v>1.98894505598337E-2</v>
      </c>
    </row>
    <row r="11418" spans="1:6" x14ac:dyDescent="0.25">
      <c r="A11418" s="2" t="str">
        <f t="shared" si="417"/>
        <v>15420</v>
      </c>
      <c r="B11418" s="2" t="str">
        <f>"83350"</f>
        <v>83350</v>
      </c>
      <c r="C11418" s="1">
        <v>0.265577769528557</v>
      </c>
      <c r="D11418" s="1">
        <v>0.18466522678185701</v>
      </c>
      <c r="E11418" s="1">
        <v>0.20087336244541401</v>
      </c>
      <c r="F11418" s="1">
        <v>0.25709831341238698</v>
      </c>
    </row>
    <row r="11419" spans="1:6" x14ac:dyDescent="0.25">
      <c r="A11419" s="2" t="str">
        <f t="shared" si="417"/>
        <v>15420</v>
      </c>
      <c r="B11419" s="2" t="str">
        <f>"83343"</f>
        <v>83343</v>
      </c>
      <c r="C11419" s="1">
        <v>0</v>
      </c>
      <c r="D11419" s="1">
        <v>0</v>
      </c>
      <c r="E11419" s="1">
        <v>2.18340611353711E-3</v>
      </c>
      <c r="F11419" s="1">
        <v>4.7243350498417299E-5</v>
      </c>
    </row>
    <row r="11420" spans="1:6" x14ac:dyDescent="0.25">
      <c r="A11420" s="2" t="str">
        <f t="shared" ref="A11420:A11451" si="418">"14260"</f>
        <v>14260</v>
      </c>
      <c r="B11420" s="2" t="str">
        <f>"83729"</f>
        <v>83729</v>
      </c>
      <c r="C11420" s="1">
        <v>0</v>
      </c>
      <c r="D11420" s="1">
        <v>3.3252419113490501E-5</v>
      </c>
      <c r="E11420" s="1">
        <v>0</v>
      </c>
      <c r="F11420" s="1">
        <v>2.83871553799336E-6</v>
      </c>
    </row>
    <row r="11421" spans="1:6" x14ac:dyDescent="0.25">
      <c r="A11421" s="2" t="str">
        <f t="shared" si="418"/>
        <v>14260</v>
      </c>
      <c r="B11421" s="2" t="str">
        <f>"83725"</f>
        <v>83725</v>
      </c>
      <c r="C11421" s="1">
        <v>0</v>
      </c>
      <c r="D11421" s="1">
        <v>3.3252419113490501E-5</v>
      </c>
      <c r="E11421" s="1">
        <v>0</v>
      </c>
      <c r="F11421" s="1">
        <v>2.83871553799336E-6</v>
      </c>
    </row>
    <row r="11422" spans="1:6" x14ac:dyDescent="0.25">
      <c r="A11422" s="2" t="str">
        <f t="shared" si="418"/>
        <v>14260</v>
      </c>
      <c r="B11422" s="2" t="str">
        <f>"83713"</f>
        <v>83713</v>
      </c>
      <c r="C11422" s="1">
        <v>3.69673802078469E-2</v>
      </c>
      <c r="D11422" s="1">
        <v>2.76327602833106E-2</v>
      </c>
      <c r="E11422" s="1">
        <v>4.8621811333675699E-2</v>
      </c>
      <c r="F11422" s="1">
        <v>3.6556978698278599E-2</v>
      </c>
    </row>
    <row r="11423" spans="1:6" x14ac:dyDescent="0.25">
      <c r="A11423" s="2" t="str">
        <f t="shared" si="418"/>
        <v>14260</v>
      </c>
      <c r="B11423" s="2" t="str">
        <f>"83686"</f>
        <v>83686</v>
      </c>
      <c r="C11423" s="1">
        <v>6.3078672021177506E-2</v>
      </c>
      <c r="D11423" s="1">
        <v>1.64599474611778E-2</v>
      </c>
      <c r="E11423" s="1">
        <v>5.6069166238657701E-2</v>
      </c>
      <c r="F11423" s="1">
        <v>5.8866444111368398E-2</v>
      </c>
    </row>
    <row r="11424" spans="1:6" x14ac:dyDescent="0.25">
      <c r="A11424" s="2" t="str">
        <f t="shared" si="418"/>
        <v>14260</v>
      </c>
      <c r="B11424" s="2" t="str">
        <f>"83628"</f>
        <v>83628</v>
      </c>
      <c r="C11424" s="1">
        <v>5.28473481323083E-3</v>
      </c>
      <c r="D11424" s="1">
        <v>2.5936886908522502E-3</v>
      </c>
      <c r="E11424" s="1">
        <v>3.33846944016435E-3</v>
      </c>
      <c r="F11424" s="1">
        <v>4.9904619157923403E-3</v>
      </c>
    </row>
    <row r="11425" spans="1:6" x14ac:dyDescent="0.25">
      <c r="A11425" s="2" t="str">
        <f t="shared" si="418"/>
        <v>14260</v>
      </c>
      <c r="B11425" s="2" t="str">
        <f>"83636"</f>
        <v>83636</v>
      </c>
      <c r="C11425" s="1">
        <v>2.31871362920548E-4</v>
      </c>
      <c r="D11425" s="1">
        <v>6.6504838226981002E-5</v>
      </c>
      <c r="E11425" s="1">
        <v>8.5601780517034694E-5</v>
      </c>
      <c r="F11425" s="1">
        <v>2.1290366534950199E-4</v>
      </c>
    </row>
    <row r="11426" spans="1:6" x14ac:dyDescent="0.25">
      <c r="A11426" s="2" t="str">
        <f t="shared" si="418"/>
        <v>14260</v>
      </c>
      <c r="B11426" s="2" t="str">
        <f>"83606"</f>
        <v>83606</v>
      </c>
      <c r="C11426" s="1">
        <v>2.5924506548755701E-3</v>
      </c>
      <c r="D11426" s="1">
        <v>1.2203637814650999E-2</v>
      </c>
      <c r="E11426" s="1">
        <v>1.7120356103406901E-4</v>
      </c>
      <c r="F11426" s="1">
        <v>3.3326520416042098E-3</v>
      </c>
    </row>
    <row r="11427" spans="1:6" x14ac:dyDescent="0.25">
      <c r="A11427" s="2" t="str">
        <f t="shared" si="418"/>
        <v>14260</v>
      </c>
      <c r="B11427" s="2" t="str">
        <f>"83714"</f>
        <v>83714</v>
      </c>
      <c r="C11427" s="1">
        <v>3.9904417471507102E-2</v>
      </c>
      <c r="D11427" s="1">
        <v>6.1583480198184402E-2</v>
      </c>
      <c r="E11427" s="1">
        <v>5.2045882554357097E-2</v>
      </c>
      <c r="F11427" s="1">
        <v>4.2157764454739503E-2</v>
      </c>
    </row>
    <row r="11428" spans="1:6" x14ac:dyDescent="0.25">
      <c r="A11428" s="2" t="str">
        <f t="shared" si="418"/>
        <v>14260</v>
      </c>
      <c r="B11428" s="2" t="str">
        <f>"83706"</f>
        <v>83706</v>
      </c>
      <c r="C11428" s="1">
        <v>5.4863340815478702E-2</v>
      </c>
      <c r="D11428" s="1">
        <v>5.0942706081867399E-2</v>
      </c>
      <c r="E11428" s="1">
        <v>7.7298407806882297E-2</v>
      </c>
      <c r="F11428" s="1">
        <v>5.5272630240268801E-2</v>
      </c>
    </row>
    <row r="11429" spans="1:6" x14ac:dyDescent="0.25">
      <c r="A11429" s="2" t="str">
        <f t="shared" si="418"/>
        <v>14260</v>
      </c>
      <c r="B11429" s="2" t="str">
        <f>"83680"</f>
        <v>83680</v>
      </c>
      <c r="C11429" s="1">
        <v>1.8485300321721501E-3</v>
      </c>
      <c r="D11429" s="1">
        <v>2.3542712732351201E-2</v>
      </c>
      <c r="E11429" s="1">
        <v>1.7120356103406901E-4</v>
      </c>
      <c r="F11429" s="1">
        <v>3.64491075078348E-3</v>
      </c>
    </row>
    <row r="11430" spans="1:6" x14ac:dyDescent="0.25">
      <c r="A11430" s="2" t="str">
        <f t="shared" si="418"/>
        <v>14260</v>
      </c>
      <c r="B11430" s="2" t="str">
        <f>"83676"</f>
        <v>83676</v>
      </c>
      <c r="C11430" s="1">
        <v>5.4779609489979597E-3</v>
      </c>
      <c r="D11430" s="1">
        <v>1.59611611744754E-3</v>
      </c>
      <c r="E11430" s="1">
        <v>1.0272213662044099E-3</v>
      </c>
      <c r="F11430" s="1">
        <v>4.99897806240632E-3</v>
      </c>
    </row>
    <row r="11431" spans="1:6" x14ac:dyDescent="0.25">
      <c r="A11431" s="2" t="str">
        <f t="shared" si="418"/>
        <v>14260</v>
      </c>
      <c r="B11431" s="2" t="str">
        <f>"83644"</f>
        <v>83644</v>
      </c>
      <c r="C11431" s="1">
        <v>1.8308176363934899E-2</v>
      </c>
      <c r="D11431" s="1">
        <v>1.08402886309979E-2</v>
      </c>
      <c r="E11431" s="1">
        <v>6.93374422187981E-3</v>
      </c>
      <c r="F11431" s="1">
        <v>1.7293455057455599E-2</v>
      </c>
    </row>
    <row r="11432" spans="1:6" x14ac:dyDescent="0.25">
      <c r="A11432" s="2" t="str">
        <f t="shared" si="418"/>
        <v>14260</v>
      </c>
      <c r="B11432" s="2" t="str">
        <f>"83720"</f>
        <v>83720</v>
      </c>
      <c r="C11432" s="1">
        <v>0</v>
      </c>
      <c r="D11432" s="1">
        <v>3.3252419113490501E-5</v>
      </c>
      <c r="E11432" s="1">
        <v>0</v>
      </c>
      <c r="F11432" s="1">
        <v>2.83871553799336E-6</v>
      </c>
    </row>
    <row r="11433" spans="1:6" x14ac:dyDescent="0.25">
      <c r="A11433" s="2" t="str">
        <f t="shared" si="418"/>
        <v>14260</v>
      </c>
      <c r="B11433" s="2" t="str">
        <f>"83719"</f>
        <v>83719</v>
      </c>
      <c r="C11433" s="1">
        <v>1.8131052406148401E-3</v>
      </c>
      <c r="D11433" s="1">
        <v>1.8122568416852301E-2</v>
      </c>
      <c r="E11433" s="1">
        <v>1.7120356103406901E-4</v>
      </c>
      <c r="F11433" s="1">
        <v>3.15097424717263E-3</v>
      </c>
    </row>
    <row r="11434" spans="1:6" x14ac:dyDescent="0.25">
      <c r="A11434" s="2" t="str">
        <f t="shared" si="418"/>
        <v>14260</v>
      </c>
      <c r="B11434" s="2" t="str">
        <f>"83712"</f>
        <v>83712</v>
      </c>
      <c r="C11434" s="1">
        <v>1.3661087798735601E-2</v>
      </c>
      <c r="D11434" s="1">
        <v>7.7478136534432796E-3</v>
      </c>
      <c r="E11434" s="1">
        <v>1.2754665297038101E-2</v>
      </c>
      <c r="F11434" s="1">
        <v>1.31262206476813E-2</v>
      </c>
    </row>
    <row r="11435" spans="1:6" x14ac:dyDescent="0.25">
      <c r="A11435" s="2" t="str">
        <f t="shared" si="418"/>
        <v>14260</v>
      </c>
      <c r="B11435" s="2" t="str">
        <f>"83709"</f>
        <v>83709</v>
      </c>
      <c r="C11435" s="1">
        <v>7.0939755311303407E-2</v>
      </c>
      <c r="D11435" s="1">
        <v>4.8581784324809599E-2</v>
      </c>
      <c r="E11435" s="1">
        <v>3.5867146036637501E-2</v>
      </c>
      <c r="F11435" s="1">
        <v>6.78680110823454E-2</v>
      </c>
    </row>
    <row r="11436" spans="1:6" x14ac:dyDescent="0.25">
      <c r="A11436" s="2" t="str">
        <f t="shared" si="418"/>
        <v>14260</v>
      </c>
      <c r="B11436" s="2" t="str">
        <f>"83705"</f>
        <v>83705</v>
      </c>
      <c r="C11436" s="1">
        <v>4.5611029347829499E-2</v>
      </c>
      <c r="D11436" s="1">
        <v>6.6604595484321405E-2</v>
      </c>
      <c r="E11436" s="1">
        <v>6.3088512241054606E-2</v>
      </c>
      <c r="F11436" s="1">
        <v>4.79828087387019E-2</v>
      </c>
    </row>
    <row r="11437" spans="1:6" x14ac:dyDescent="0.25">
      <c r="A11437" s="2" t="str">
        <f t="shared" si="418"/>
        <v>14260</v>
      </c>
      <c r="B11437" s="2" t="str">
        <f>"83655"</f>
        <v>83655</v>
      </c>
      <c r="C11437" s="1">
        <v>2.2543049172831101E-5</v>
      </c>
      <c r="D11437" s="1">
        <v>0</v>
      </c>
      <c r="E11437" s="1">
        <v>0</v>
      </c>
      <c r="F11437" s="1">
        <v>1.9871008765953499E-5</v>
      </c>
    </row>
    <row r="11438" spans="1:6" x14ac:dyDescent="0.25">
      <c r="A11438" s="2" t="str">
        <f t="shared" si="418"/>
        <v>14260</v>
      </c>
      <c r="B11438" s="2" t="str">
        <f>"83631"</f>
        <v>83631</v>
      </c>
      <c r="C11438" s="1">
        <v>1.01765764837351E-3</v>
      </c>
      <c r="D11438" s="1">
        <v>3.32524191134905E-4</v>
      </c>
      <c r="E11438" s="1">
        <v>1.0272213662044099E-3</v>
      </c>
      <c r="F11438" s="1">
        <v>9.5948585184175799E-4</v>
      </c>
    </row>
    <row r="11439" spans="1:6" x14ac:dyDescent="0.25">
      <c r="A11439" s="2" t="str">
        <f t="shared" si="418"/>
        <v>14260</v>
      </c>
      <c r="B11439" s="2" t="str">
        <f>"83622"</f>
        <v>83622</v>
      </c>
      <c r="C11439" s="1">
        <v>4.13503930541645E-3</v>
      </c>
      <c r="D11439" s="1">
        <v>2.16140724237688E-3</v>
      </c>
      <c r="E11439" s="1">
        <v>1.9688409518917901E-3</v>
      </c>
      <c r="F11439" s="1">
        <v>3.8947177181269002E-3</v>
      </c>
    </row>
    <row r="11440" spans="1:6" x14ac:dyDescent="0.25">
      <c r="A11440" s="2" t="str">
        <f t="shared" si="418"/>
        <v>14260</v>
      </c>
      <c r="B11440" s="2" t="str">
        <f>"83617"</f>
        <v>83617</v>
      </c>
      <c r="C11440" s="1">
        <v>2.5119397649726101E-2</v>
      </c>
      <c r="D11440" s="1">
        <v>2.2245868386925102E-2</v>
      </c>
      <c r="E11440" s="1">
        <v>1.2069851052901899E-2</v>
      </c>
      <c r="F11440" s="1">
        <v>2.44413407821229E-2</v>
      </c>
    </row>
    <row r="11441" spans="1:6" x14ac:dyDescent="0.25">
      <c r="A11441" s="2" t="str">
        <f t="shared" si="418"/>
        <v>14260</v>
      </c>
      <c r="B11441" s="2" t="str">
        <f>"83728"</f>
        <v>83728</v>
      </c>
      <c r="C11441" s="1">
        <v>0</v>
      </c>
      <c r="D11441" s="1">
        <v>6.6504838226981002E-5</v>
      </c>
      <c r="E11441" s="1">
        <v>0</v>
      </c>
      <c r="F11441" s="1">
        <v>5.6774310759867301E-6</v>
      </c>
    </row>
    <row r="11442" spans="1:6" x14ac:dyDescent="0.25">
      <c r="A11442" s="2" t="str">
        <f t="shared" si="418"/>
        <v>14260</v>
      </c>
      <c r="B11442" s="2" t="str">
        <f>"83702"</f>
        <v>83702</v>
      </c>
      <c r="C11442" s="1">
        <v>4.1038010801340903E-2</v>
      </c>
      <c r="D11442" s="1">
        <v>9.2341967878163095E-2</v>
      </c>
      <c r="E11442" s="1">
        <v>8.6372196541687998E-2</v>
      </c>
      <c r="F11442" s="1">
        <v>4.69211291274923E-2</v>
      </c>
    </row>
    <row r="11443" spans="1:6" x14ac:dyDescent="0.25">
      <c r="A11443" s="2" t="str">
        <f t="shared" si="418"/>
        <v>14260</v>
      </c>
      <c r="B11443" s="2" t="str">
        <f>"83687"</f>
        <v>83687</v>
      </c>
      <c r="C11443" s="1">
        <v>4.1498533091585903E-2</v>
      </c>
      <c r="D11443" s="1">
        <v>4.5356299670801001E-2</v>
      </c>
      <c r="E11443" s="1">
        <v>5.5127546652970302E-2</v>
      </c>
      <c r="F11443" s="1">
        <v>4.2279829222873197E-2</v>
      </c>
    </row>
    <row r="11444" spans="1:6" x14ac:dyDescent="0.25">
      <c r="A11444" s="2" t="str">
        <f t="shared" si="418"/>
        <v>14260</v>
      </c>
      <c r="B11444" s="2" t="str">
        <f>"83670"</f>
        <v>83670</v>
      </c>
      <c r="C11444" s="1">
        <v>6.44087119223746E-4</v>
      </c>
      <c r="D11444" s="1">
        <v>1.9951451468094299E-4</v>
      </c>
      <c r="E11444" s="1">
        <v>2.56805341551104E-4</v>
      </c>
      <c r="F11444" s="1">
        <v>5.9329154744061402E-4</v>
      </c>
    </row>
    <row r="11445" spans="1:6" x14ac:dyDescent="0.25">
      <c r="A11445" s="2" t="str">
        <f t="shared" si="418"/>
        <v>14260</v>
      </c>
      <c r="B11445" s="2" t="str">
        <f>"83669"</f>
        <v>83669</v>
      </c>
      <c r="C11445" s="1">
        <v>1.76093418395772E-2</v>
      </c>
      <c r="D11445" s="1">
        <v>9.7762112193662005E-3</v>
      </c>
      <c r="E11445" s="1">
        <v>1.28402670775552E-3</v>
      </c>
      <c r="F11445" s="1">
        <v>1.6399259662987602E-2</v>
      </c>
    </row>
    <row r="11446" spans="1:6" x14ac:dyDescent="0.25">
      <c r="A11446" s="2" t="str">
        <f t="shared" si="418"/>
        <v>14260</v>
      </c>
      <c r="B11446" s="2" t="str">
        <f>"83660"</f>
        <v>83660</v>
      </c>
      <c r="C11446" s="1">
        <v>6.2605267988548102E-3</v>
      </c>
      <c r="D11446" s="1">
        <v>1.5628636983340499E-3</v>
      </c>
      <c r="E11446" s="1">
        <v>7.7041602465331195E-4</v>
      </c>
      <c r="F11446" s="1">
        <v>5.6774310759867301E-3</v>
      </c>
    </row>
    <row r="11447" spans="1:6" x14ac:dyDescent="0.25">
      <c r="A11447" s="2" t="str">
        <f t="shared" si="418"/>
        <v>14260</v>
      </c>
      <c r="B11447" s="2" t="str">
        <f>"83651"</f>
        <v>83651</v>
      </c>
      <c r="C11447" s="1">
        <v>4.08415642299777E-2</v>
      </c>
      <c r="D11447" s="1">
        <v>4.95793568982143E-2</v>
      </c>
      <c r="E11447" s="1">
        <v>6.2746105118986401E-2</v>
      </c>
      <c r="F11447" s="1">
        <v>4.2313893809329102E-2</v>
      </c>
    </row>
    <row r="11448" spans="1:6" x14ac:dyDescent="0.25">
      <c r="A11448" s="2" t="str">
        <f t="shared" si="418"/>
        <v>14260</v>
      </c>
      <c r="B11448" s="2" t="str">
        <f>"83641"</f>
        <v>83641</v>
      </c>
      <c r="C11448" s="1">
        <v>4.4635237362205598E-3</v>
      </c>
      <c r="D11448" s="1">
        <v>1.3633491836531099E-3</v>
      </c>
      <c r="E11448" s="1">
        <v>2.7392569765451102E-3</v>
      </c>
      <c r="F11448" s="1">
        <v>4.1416859699323202E-3</v>
      </c>
    </row>
    <row r="11449" spans="1:6" x14ac:dyDescent="0.25">
      <c r="A11449" s="2" t="str">
        <f t="shared" si="418"/>
        <v>14260</v>
      </c>
      <c r="B11449" s="2" t="str">
        <f>"83605"</f>
        <v>83605</v>
      </c>
      <c r="C11449" s="1">
        <v>4.37174132173117E-2</v>
      </c>
      <c r="D11449" s="1">
        <v>4.6453629501546197E-2</v>
      </c>
      <c r="E11449" s="1">
        <v>5.3672316384180699E-2</v>
      </c>
      <c r="F11449" s="1">
        <v>4.4281123677158502E-2</v>
      </c>
    </row>
    <row r="11450" spans="1:6" x14ac:dyDescent="0.25">
      <c r="A11450" s="2" t="str">
        <f t="shared" si="418"/>
        <v>14260</v>
      </c>
      <c r="B11450" s="2" t="str">
        <f>"83717"</f>
        <v>83717</v>
      </c>
      <c r="C11450" s="1">
        <v>2.6407571888173499E-3</v>
      </c>
      <c r="D11450" s="1">
        <v>3.1257273966680999E-3</v>
      </c>
      <c r="E11450" s="1">
        <v>8.5601780517034694E-5</v>
      </c>
      <c r="F11450" s="1">
        <v>2.5974247172639302E-3</v>
      </c>
    </row>
    <row r="11451" spans="1:6" x14ac:dyDescent="0.25">
      <c r="A11451" s="2" t="str">
        <f t="shared" si="418"/>
        <v>14260</v>
      </c>
      <c r="B11451" s="2" t="str">
        <f>"83716"</f>
        <v>83716</v>
      </c>
      <c r="C11451" s="1">
        <v>2.9531394416408702E-2</v>
      </c>
      <c r="D11451" s="1">
        <v>1.30016958733747E-2</v>
      </c>
      <c r="E11451" s="1">
        <v>3.6038349597671597E-2</v>
      </c>
      <c r="F11451" s="1">
        <v>2.8336058500249801E-2</v>
      </c>
    </row>
    <row r="11452" spans="1:6" x14ac:dyDescent="0.25">
      <c r="A11452" s="2" t="str">
        <f t="shared" ref="A11452:A11480" si="419">"14260"</f>
        <v>14260</v>
      </c>
      <c r="B11452" s="2" t="str">
        <f>"83707"</f>
        <v>83707</v>
      </c>
      <c r="C11452" s="1">
        <v>6.1091663258372297E-3</v>
      </c>
      <c r="D11452" s="1">
        <v>2.9760915106573999E-2</v>
      </c>
      <c r="E11452" s="1">
        <v>1.7120356103406901E-4</v>
      </c>
      <c r="F11452" s="1">
        <v>7.9313712131534701E-3</v>
      </c>
    </row>
    <row r="11453" spans="1:6" x14ac:dyDescent="0.25">
      <c r="A11453" s="2" t="str">
        <f t="shared" si="419"/>
        <v>14260</v>
      </c>
      <c r="B11453" s="2" t="str">
        <f>"83701"</f>
        <v>83701</v>
      </c>
      <c r="C11453" s="1">
        <v>3.4555273946353898E-3</v>
      </c>
      <c r="D11453" s="1">
        <v>2.3509460313237699E-2</v>
      </c>
      <c r="E11453" s="1">
        <v>1.7120356103406901E-4</v>
      </c>
      <c r="F11453" s="1">
        <v>5.0585910887041797E-3</v>
      </c>
    </row>
    <row r="11454" spans="1:6" x14ac:dyDescent="0.25">
      <c r="A11454" s="2" t="str">
        <f t="shared" si="419"/>
        <v>14260</v>
      </c>
      <c r="B11454" s="2" t="str">
        <f>"83657"</f>
        <v>83657</v>
      </c>
      <c r="C11454" s="1">
        <v>1.7390352219041099E-4</v>
      </c>
      <c r="D11454" s="1">
        <v>3.3252419113490501E-5</v>
      </c>
      <c r="E11454" s="1">
        <v>8.5601780517034694E-5</v>
      </c>
      <c r="F11454" s="1">
        <v>1.5896807012762799E-4</v>
      </c>
    </row>
    <row r="11455" spans="1:6" x14ac:dyDescent="0.25">
      <c r="A11455" s="2" t="str">
        <f t="shared" si="419"/>
        <v>14260</v>
      </c>
      <c r="B11455" s="2" t="str">
        <f>"83630"</f>
        <v>83630</v>
      </c>
      <c r="C11455" s="1">
        <v>0</v>
      </c>
      <c r="D11455" s="1">
        <v>0</v>
      </c>
      <c r="E11455" s="1">
        <v>8.5601780517034694E-5</v>
      </c>
      <c r="F11455" s="1">
        <v>2.83871553799336E-6</v>
      </c>
    </row>
    <row r="11456" spans="1:6" x14ac:dyDescent="0.25">
      <c r="A11456" s="2" t="str">
        <f t="shared" si="419"/>
        <v>14260</v>
      </c>
      <c r="B11456" s="2" t="str">
        <f>"83642"</f>
        <v>83642</v>
      </c>
      <c r="C11456" s="1">
        <v>6.6134865401894199E-2</v>
      </c>
      <c r="D11456" s="1">
        <v>8.5957503408372896E-2</v>
      </c>
      <c r="E11456" s="1">
        <v>8.2862523540489605E-2</v>
      </c>
      <c r="F11456" s="1">
        <v>6.8381818594722199E-2</v>
      </c>
    </row>
    <row r="11457" spans="1:6" x14ac:dyDescent="0.25">
      <c r="A11457" s="2" t="str">
        <f t="shared" si="419"/>
        <v>14260</v>
      </c>
      <c r="B11457" s="2" t="str">
        <f>"83607"</f>
        <v>83607</v>
      </c>
      <c r="C11457" s="1">
        <v>3.8757942399288897E-2</v>
      </c>
      <c r="D11457" s="1">
        <v>9.9424733149336593E-3</v>
      </c>
      <c r="E11457" s="1">
        <v>2.5766135935627401E-2</v>
      </c>
      <c r="F11457" s="1">
        <v>3.5867170822546202E-2</v>
      </c>
    </row>
    <row r="11458" spans="1:6" x14ac:dyDescent="0.25">
      <c r="A11458" s="2" t="str">
        <f t="shared" si="419"/>
        <v>14260</v>
      </c>
      <c r="B11458" s="2" t="str">
        <f>"83735"</f>
        <v>83735</v>
      </c>
      <c r="C11458" s="1">
        <v>0</v>
      </c>
      <c r="D11458" s="1">
        <v>9.9757257340471497E-5</v>
      </c>
      <c r="E11458" s="1">
        <v>0</v>
      </c>
      <c r="F11458" s="1">
        <v>8.5161466139800994E-6</v>
      </c>
    </row>
    <row r="11459" spans="1:6" x14ac:dyDescent="0.25">
      <c r="A11459" s="2" t="str">
        <f t="shared" si="419"/>
        <v>14260</v>
      </c>
      <c r="B11459" s="2" t="str">
        <f>"83704"</f>
        <v>83704</v>
      </c>
      <c r="C11459" s="1">
        <v>5.7781055465562198E-2</v>
      </c>
      <c r="D11459" s="1">
        <v>6.3778139859674704E-2</v>
      </c>
      <c r="E11459" s="1">
        <v>0.11564800547851301</v>
      </c>
      <c r="F11459" s="1">
        <v>6.02119952763773E-2</v>
      </c>
    </row>
    <row r="11460" spans="1:6" x14ac:dyDescent="0.25">
      <c r="A11460" s="2" t="str">
        <f t="shared" si="419"/>
        <v>14260</v>
      </c>
      <c r="B11460" s="2" t="str">
        <f>"83703"</f>
        <v>83703</v>
      </c>
      <c r="C11460" s="1">
        <v>2.6459098857711399E-2</v>
      </c>
      <c r="D11460" s="1">
        <v>1.43317926379144E-2</v>
      </c>
      <c r="E11460" s="1">
        <v>3.10734463276836E-2</v>
      </c>
      <c r="F11460" s="1">
        <v>2.5576826997320199E-2</v>
      </c>
    </row>
    <row r="11461" spans="1:6" x14ac:dyDescent="0.25">
      <c r="A11461" s="2" t="str">
        <f t="shared" si="419"/>
        <v>14260</v>
      </c>
      <c r="B11461" s="2" t="str">
        <f>"83650"</f>
        <v>83650</v>
      </c>
      <c r="C11461" s="1">
        <v>6.92393653165527E-4</v>
      </c>
      <c r="D11461" s="1">
        <v>2.32766933794433E-4</v>
      </c>
      <c r="E11461" s="1">
        <v>8.5601780517034694E-5</v>
      </c>
      <c r="F11461" s="1">
        <v>6.3303356497252099E-4</v>
      </c>
    </row>
    <row r="11462" spans="1:6" x14ac:dyDescent="0.25">
      <c r="A11462" s="2" t="str">
        <f t="shared" si="419"/>
        <v>14260</v>
      </c>
      <c r="B11462" s="2" t="str">
        <f>"83627"</f>
        <v>83627</v>
      </c>
      <c r="C11462" s="1">
        <v>1.19156117056393E-4</v>
      </c>
      <c r="D11462" s="1">
        <v>3.3252419113490501E-5</v>
      </c>
      <c r="E11462" s="1">
        <v>0</v>
      </c>
      <c r="F11462" s="1">
        <v>1.07871190443748E-4</v>
      </c>
    </row>
    <row r="11463" spans="1:6" x14ac:dyDescent="0.25">
      <c r="A11463" s="2" t="str">
        <f t="shared" si="419"/>
        <v>14260</v>
      </c>
      <c r="B11463" s="2" t="str">
        <f>"83637"</f>
        <v>83637</v>
      </c>
      <c r="C11463" s="1">
        <v>7.9544759224132598E-4</v>
      </c>
      <c r="D11463" s="1">
        <v>3.32524191134905E-4</v>
      </c>
      <c r="E11463" s="1">
        <v>1.7120356103406901E-4</v>
      </c>
      <c r="F11463" s="1">
        <v>7.3522732434028203E-4</v>
      </c>
    </row>
    <row r="11464" spans="1:6" x14ac:dyDescent="0.25">
      <c r="A11464" s="2" t="str">
        <f t="shared" si="419"/>
        <v>14260</v>
      </c>
      <c r="B11464" s="2" t="str">
        <f>"83639"</f>
        <v>83639</v>
      </c>
      <c r="C11464" s="1">
        <v>3.63265135242192E-3</v>
      </c>
      <c r="D11464" s="1">
        <v>7.3155322049679099E-4</v>
      </c>
      <c r="E11464" s="1">
        <v>1.9688409518917901E-3</v>
      </c>
      <c r="F11464" s="1">
        <v>3.3298133260662201E-3</v>
      </c>
    </row>
    <row r="11465" spans="1:6" x14ac:dyDescent="0.25">
      <c r="A11465" s="2" t="str">
        <f t="shared" si="419"/>
        <v>14260</v>
      </c>
      <c r="B11465" s="2" t="str">
        <f>"83634"</f>
        <v>83634</v>
      </c>
      <c r="C11465" s="1">
        <v>3.1267209202716702E-2</v>
      </c>
      <c r="D11465" s="1">
        <v>1.54956273068865E-2</v>
      </c>
      <c r="E11465" s="1">
        <v>1.6692347200821699E-2</v>
      </c>
      <c r="F11465" s="1">
        <v>2.9437480128991202E-2</v>
      </c>
    </row>
    <row r="11466" spans="1:6" x14ac:dyDescent="0.25">
      <c r="A11466" s="2" t="str">
        <f t="shared" si="419"/>
        <v>14260</v>
      </c>
      <c r="B11466" s="2" t="str">
        <f>"83646"</f>
        <v>83646</v>
      </c>
      <c r="C11466" s="1">
        <v>7.7718772241133299E-2</v>
      </c>
      <c r="D11466" s="1">
        <v>2.09157716223855E-2</v>
      </c>
      <c r="E11466" s="1">
        <v>2.0801232665639401E-2</v>
      </c>
      <c r="F11466" s="1">
        <v>7.0982082027524096E-2</v>
      </c>
    </row>
    <row r="11467" spans="1:6" x14ac:dyDescent="0.25">
      <c r="A11467" s="2" t="str">
        <f t="shared" si="419"/>
        <v>14260</v>
      </c>
      <c r="B11467" s="2" t="str">
        <f>"83724"</f>
        <v>83724</v>
      </c>
      <c r="C11467" s="1">
        <v>0</v>
      </c>
      <c r="D11467" s="1">
        <v>9.3106773517773395E-4</v>
      </c>
      <c r="E11467" s="1">
        <v>8.5601780517034694E-5</v>
      </c>
      <c r="F11467" s="1">
        <v>8.2322750601807599E-5</v>
      </c>
    </row>
    <row r="11468" spans="1:6" x14ac:dyDescent="0.25">
      <c r="A11468" s="2" t="str">
        <f t="shared" si="419"/>
        <v>14260</v>
      </c>
      <c r="B11468" s="2" t="str">
        <f>"83715"</f>
        <v>83715</v>
      </c>
      <c r="C11468" s="1">
        <v>3.0497525095244298E-3</v>
      </c>
      <c r="D11468" s="1">
        <v>8.4128620357130906E-3</v>
      </c>
      <c r="E11468" s="1">
        <v>1.7120356103406901E-4</v>
      </c>
      <c r="F11468" s="1">
        <v>3.4121360766680201E-3</v>
      </c>
    </row>
    <row r="11469" spans="1:6" x14ac:dyDescent="0.25">
      <c r="A11469" s="2" t="str">
        <f t="shared" si="419"/>
        <v>14260</v>
      </c>
      <c r="B11469" s="2" t="str">
        <f>"83708"</f>
        <v>83708</v>
      </c>
      <c r="C11469" s="1">
        <v>0</v>
      </c>
      <c r="D11469" s="1">
        <v>6.6504838226981002E-5</v>
      </c>
      <c r="E11469" s="1">
        <v>0</v>
      </c>
      <c r="F11469" s="1">
        <v>5.6774310759867301E-6</v>
      </c>
    </row>
    <row r="11470" spans="1:6" x14ac:dyDescent="0.25">
      <c r="A11470" s="2" t="str">
        <f t="shared" si="419"/>
        <v>14260</v>
      </c>
      <c r="B11470" s="2" t="str">
        <f>"83653"</f>
        <v>83653</v>
      </c>
      <c r="C11470" s="1">
        <v>6.3861237871034402E-3</v>
      </c>
      <c r="D11470" s="1">
        <v>1.0408007182522499E-2</v>
      </c>
      <c r="E11470" s="1">
        <v>1.7120356103406901E-4</v>
      </c>
      <c r="F11470" s="1">
        <v>6.5233683063087603E-3</v>
      </c>
    </row>
    <row r="11471" spans="1:6" x14ac:dyDescent="0.25">
      <c r="A11471" s="2" t="str">
        <f t="shared" si="419"/>
        <v>14260</v>
      </c>
      <c r="B11471" s="2" t="str">
        <f>"83626"</f>
        <v>83626</v>
      </c>
      <c r="C11471" s="1">
        <v>1.48784124540685E-3</v>
      </c>
      <c r="D11471" s="1">
        <v>5.9854354404282901E-4</v>
      </c>
      <c r="E11471" s="1">
        <v>5.13610683102208E-4</v>
      </c>
      <c r="F11471" s="1">
        <v>1.37961575146477E-3</v>
      </c>
    </row>
    <row r="11472" spans="1:6" x14ac:dyDescent="0.25">
      <c r="A11472" s="2" t="str">
        <f t="shared" si="419"/>
        <v>14260</v>
      </c>
      <c r="B11472" s="2" t="str">
        <f>"83624"</f>
        <v>83624</v>
      </c>
      <c r="C11472" s="1">
        <v>6.0866232766644004E-4</v>
      </c>
      <c r="D11472" s="1">
        <v>9.9757257340471497E-5</v>
      </c>
      <c r="E11472" s="1">
        <v>4.2800890258517301E-4</v>
      </c>
      <c r="F11472" s="1">
        <v>5.5922696098469299E-4</v>
      </c>
    </row>
    <row r="11473" spans="1:6" x14ac:dyDescent="0.25">
      <c r="A11473" s="2" t="str">
        <f t="shared" si="419"/>
        <v>14260</v>
      </c>
      <c r="B11473" s="2" t="str">
        <f>"83302"</f>
        <v>83302</v>
      </c>
      <c r="C11473" s="1">
        <v>2.5763484768949799E-5</v>
      </c>
      <c r="D11473" s="1">
        <v>0</v>
      </c>
      <c r="E11473" s="1">
        <v>0</v>
      </c>
      <c r="F11473" s="1">
        <v>2.27097243039469E-5</v>
      </c>
    </row>
    <row r="11474" spans="1:6" x14ac:dyDescent="0.25">
      <c r="A11474" s="2" t="str">
        <f t="shared" si="419"/>
        <v>14260</v>
      </c>
      <c r="B11474" s="2" t="str">
        <f>"83602"</f>
        <v>83602</v>
      </c>
      <c r="C11474" s="1">
        <v>1.15935681460274E-4</v>
      </c>
      <c r="D11474" s="1">
        <v>1.6626209556745201E-4</v>
      </c>
      <c r="E11474" s="1">
        <v>0</v>
      </c>
      <c r="F11474" s="1">
        <v>1.16387337057728E-4</v>
      </c>
    </row>
    <row r="11475" spans="1:6" x14ac:dyDescent="0.25">
      <c r="A11475" s="2" t="str">
        <f t="shared" si="419"/>
        <v>14260</v>
      </c>
      <c r="B11475" s="2" t="str">
        <f>"83711"</f>
        <v>83711</v>
      </c>
      <c r="C11475" s="1">
        <v>4.9820138671956699E-3</v>
      </c>
      <c r="D11475" s="1">
        <v>1.6060918431815899E-2</v>
      </c>
      <c r="E11475" s="1">
        <v>1.7120356103406901E-4</v>
      </c>
      <c r="F11475" s="1">
        <v>5.7682699732025198E-3</v>
      </c>
    </row>
    <row r="11476" spans="1:6" x14ac:dyDescent="0.25">
      <c r="A11476" s="2" t="str">
        <f t="shared" si="419"/>
        <v>14260</v>
      </c>
      <c r="B11476" s="2" t="str">
        <f>"83656"</f>
        <v>83656</v>
      </c>
      <c r="C11476" s="1">
        <v>5.95780585281965E-4</v>
      </c>
      <c r="D11476" s="1">
        <v>0</v>
      </c>
      <c r="E11476" s="1">
        <v>8.5601780517034694E-5</v>
      </c>
      <c r="F11476" s="1">
        <v>5.2800109006676595E-4</v>
      </c>
    </row>
    <row r="11477" spans="1:6" x14ac:dyDescent="0.25">
      <c r="A11477" s="2" t="str">
        <f t="shared" si="419"/>
        <v>14260</v>
      </c>
      <c r="B11477" s="2" t="str">
        <f>"83666"</f>
        <v>83666</v>
      </c>
      <c r="C11477" s="1">
        <v>1.90005700171005E-4</v>
      </c>
      <c r="D11477" s="1">
        <v>1.6626209556745201E-4</v>
      </c>
      <c r="E11477" s="1">
        <v>0</v>
      </c>
      <c r="F11477" s="1">
        <v>1.8167779443157501E-4</v>
      </c>
    </row>
    <row r="11478" spans="1:6" x14ac:dyDescent="0.25">
      <c r="A11478" s="2" t="str">
        <f t="shared" si="419"/>
        <v>14260</v>
      </c>
      <c r="B11478" s="2" t="str">
        <f>"83629"</f>
        <v>83629</v>
      </c>
      <c r="C11478" s="1">
        <v>2.22854143251416E-3</v>
      </c>
      <c r="D11478" s="1">
        <v>1.0308249925182001E-3</v>
      </c>
      <c r="E11478" s="1">
        <v>2.5680534155110399E-3</v>
      </c>
      <c r="F11478" s="1">
        <v>2.1375528001089999E-3</v>
      </c>
    </row>
    <row r="11479" spans="1:6" x14ac:dyDescent="0.25">
      <c r="A11479" s="2" t="str">
        <f t="shared" si="419"/>
        <v>14260</v>
      </c>
      <c r="B11479" s="2" t="str">
        <f>"83616"</f>
        <v>83616</v>
      </c>
      <c r="C11479" s="1">
        <v>4.7253451501850098E-2</v>
      </c>
      <c r="D11479" s="1">
        <v>6.0386393110098698E-2</v>
      </c>
      <c r="E11479" s="1">
        <v>2.81629857901044E-2</v>
      </c>
      <c r="F11479" s="1">
        <v>4.7741517917972397E-2</v>
      </c>
    </row>
    <row r="11480" spans="1:6" x14ac:dyDescent="0.25">
      <c r="A11480" s="2" t="str">
        <f t="shared" si="419"/>
        <v>14260</v>
      </c>
      <c r="B11480" s="2" t="str">
        <f>"83604"</f>
        <v>83604</v>
      </c>
      <c r="C11480" s="1">
        <v>8.5663586856758202E-4</v>
      </c>
      <c r="D11480" s="1">
        <v>3.32524191134905E-4</v>
      </c>
      <c r="E11480" s="1">
        <v>2.56805341551104E-4</v>
      </c>
      <c r="F11480" s="1">
        <v>7.9200163510014898E-4</v>
      </c>
    </row>
    <row r="11481" spans="1:6" x14ac:dyDescent="0.25">
      <c r="A11481" s="2" t="str">
        <f t="shared" ref="A11481:A11544" si="420">"38060"</f>
        <v>38060</v>
      </c>
      <c r="B11481" s="2" t="str">
        <f>"85361"</f>
        <v>85361</v>
      </c>
      <c r="C11481" s="1">
        <v>1.31642888057038E-3</v>
      </c>
      <c r="D11481" s="1">
        <v>8.5978054101690503E-5</v>
      </c>
      <c r="E11481" s="1">
        <v>2.9239471269698798E-4</v>
      </c>
      <c r="F11481" s="1">
        <v>1.17826984511122E-3</v>
      </c>
    </row>
    <row r="11482" spans="1:6" x14ac:dyDescent="0.25">
      <c r="A11482" s="2" t="str">
        <f t="shared" si="420"/>
        <v>38060</v>
      </c>
      <c r="B11482" s="2" t="str">
        <f>"85379"</f>
        <v>85379</v>
      </c>
      <c r="C11482" s="1">
        <v>7.4444195564194598E-3</v>
      </c>
      <c r="D11482" s="1">
        <v>1.4508796629660199E-3</v>
      </c>
      <c r="E11482" s="1">
        <v>7.6627579879210697E-4</v>
      </c>
      <c r="F11482" s="1">
        <v>6.7013836206698298E-3</v>
      </c>
    </row>
    <row r="11483" spans="1:6" x14ac:dyDescent="0.25">
      <c r="A11483" s="2" t="str">
        <f t="shared" si="420"/>
        <v>38060</v>
      </c>
      <c r="B11483" s="2" t="str">
        <f>"85318"</f>
        <v>85318</v>
      </c>
      <c r="C11483" s="1">
        <v>5.5998056203066004E-4</v>
      </c>
      <c r="D11483" s="1">
        <v>3.7507926101862398E-3</v>
      </c>
      <c r="E11483" s="1">
        <v>2.0165152599792199E-5</v>
      </c>
      <c r="F11483" s="1">
        <v>7.8579187967687202E-4</v>
      </c>
    </row>
    <row r="11484" spans="1:6" x14ac:dyDescent="0.25">
      <c r="A11484" s="2" t="str">
        <f t="shared" si="420"/>
        <v>38060</v>
      </c>
      <c r="B11484" s="2" t="str">
        <f>"85257"</f>
        <v>85257</v>
      </c>
      <c r="C11484" s="1">
        <v>7.40408197356132E-3</v>
      </c>
      <c r="D11484" s="1">
        <v>5.5724526314658096E-3</v>
      </c>
      <c r="E11484" s="1">
        <v>6.2310321533358198E-3</v>
      </c>
      <c r="F11484" s="1">
        <v>7.2129842912679702E-3</v>
      </c>
    </row>
    <row r="11485" spans="1:6" x14ac:dyDescent="0.25">
      <c r="A11485" s="2" t="str">
        <f t="shared" si="420"/>
        <v>38060</v>
      </c>
      <c r="B11485" s="2" t="str">
        <f>"85284"</f>
        <v>85284</v>
      </c>
      <c r="C11485" s="1">
        <v>4.2349716403064499E-3</v>
      </c>
      <c r="D11485" s="1">
        <v>1.29934334261179E-2</v>
      </c>
      <c r="E11485" s="1">
        <v>9.3667133826035205E-3</v>
      </c>
      <c r="F11485" s="1">
        <v>5.1289639125079202E-3</v>
      </c>
    </row>
    <row r="11486" spans="1:6" x14ac:dyDescent="0.25">
      <c r="A11486" s="2" t="str">
        <f t="shared" si="420"/>
        <v>38060</v>
      </c>
      <c r="B11486" s="2" t="str">
        <f>"85236"</f>
        <v>85236</v>
      </c>
      <c r="C11486" s="1">
        <v>4.3327309587626501E-4</v>
      </c>
      <c r="D11486" s="1">
        <v>3.3477704815845699E-3</v>
      </c>
      <c r="E11486" s="1">
        <v>3.02477288996884E-5</v>
      </c>
      <c r="F11486" s="1">
        <v>6.4326260788441795E-4</v>
      </c>
    </row>
    <row r="11487" spans="1:6" x14ac:dyDescent="0.25">
      <c r="A11487" s="2" t="str">
        <f t="shared" si="420"/>
        <v>38060</v>
      </c>
      <c r="B11487" s="2" t="str">
        <f>"85249"</f>
        <v>85249</v>
      </c>
      <c r="C11487" s="1">
        <v>8.0034509988534605E-3</v>
      </c>
      <c r="D11487" s="1">
        <v>1.5798467441185599E-3</v>
      </c>
      <c r="E11487" s="1">
        <v>7.3501981226242897E-3</v>
      </c>
      <c r="F11487" s="1">
        <v>7.4767261402446201E-3</v>
      </c>
    </row>
    <row r="11488" spans="1:6" x14ac:dyDescent="0.25">
      <c r="A11488" s="2" t="str">
        <f t="shared" si="420"/>
        <v>38060</v>
      </c>
      <c r="B11488" s="2" t="str">
        <f>"85224"</f>
        <v>85224</v>
      </c>
      <c r="C11488" s="1">
        <v>9.5467194630260901E-3</v>
      </c>
      <c r="D11488" s="1">
        <v>9.0706847077283506E-3</v>
      </c>
      <c r="E11488" s="1">
        <v>1.88846654097054E-2</v>
      </c>
      <c r="F11488" s="1">
        <v>9.8967979398877498E-3</v>
      </c>
    </row>
    <row r="11489" spans="1:6" x14ac:dyDescent="0.25">
      <c r="A11489" s="2" t="str">
        <f t="shared" si="420"/>
        <v>38060</v>
      </c>
      <c r="B11489" s="2" t="str">
        <f>"85192"</f>
        <v>85192</v>
      </c>
      <c r="C11489" s="1">
        <v>1.36198662121016E-4</v>
      </c>
      <c r="D11489" s="1">
        <v>3.2241770288133902E-5</v>
      </c>
      <c r="E11489" s="1">
        <v>6.04954577993768E-5</v>
      </c>
      <c r="F11489" s="1">
        <v>1.2497434682094899E-4</v>
      </c>
    </row>
    <row r="11490" spans="1:6" x14ac:dyDescent="0.25">
      <c r="A11490" s="2" t="str">
        <f t="shared" si="420"/>
        <v>38060</v>
      </c>
      <c r="B11490" s="2" t="str">
        <f>"85139"</f>
        <v>85139</v>
      </c>
      <c r="C11490" s="1">
        <v>3.7874617504802502E-3</v>
      </c>
      <c r="D11490" s="1">
        <v>2.6760669339151101E-3</v>
      </c>
      <c r="E11490" s="1">
        <v>9.0743186699065298E-4</v>
      </c>
      <c r="F11490" s="1">
        <v>3.5816226685910198E-3</v>
      </c>
    </row>
    <row r="11491" spans="1:6" x14ac:dyDescent="0.25">
      <c r="A11491" s="2" t="str">
        <f t="shared" si="420"/>
        <v>38060</v>
      </c>
      <c r="B11491" s="2" t="str">
        <f>"85142"</f>
        <v>85142</v>
      </c>
      <c r="C11491" s="1">
        <v>1.29289071457316E-2</v>
      </c>
      <c r="D11491" s="1">
        <v>9.3447397551774895E-3</v>
      </c>
      <c r="E11491" s="1">
        <v>2.8231213639709199E-3</v>
      </c>
      <c r="F11491" s="1">
        <v>1.22311849866937E-2</v>
      </c>
    </row>
    <row r="11492" spans="1:6" x14ac:dyDescent="0.25">
      <c r="A11492" s="2" t="str">
        <f t="shared" si="420"/>
        <v>38060</v>
      </c>
      <c r="B11492" s="2" t="str">
        <f>"85034"</f>
        <v>85034</v>
      </c>
      <c r="C11492" s="1">
        <v>1.26185450376231E-3</v>
      </c>
      <c r="D11492" s="1">
        <v>1.32083785613722E-2</v>
      </c>
      <c r="E11492" s="1">
        <v>7.2796200885250099E-3</v>
      </c>
      <c r="F11492" s="1">
        <v>2.44055254544322E-3</v>
      </c>
    </row>
    <row r="11493" spans="1:6" x14ac:dyDescent="0.25">
      <c r="A11493" s="2" t="str">
        <f t="shared" si="420"/>
        <v>38060</v>
      </c>
      <c r="B11493" s="2" t="str">
        <f>"85032"</f>
        <v>85032</v>
      </c>
      <c r="C11493" s="1">
        <v>1.47687754838611E-2</v>
      </c>
      <c r="D11493" s="1">
        <v>1.27247520070502E-2</v>
      </c>
      <c r="E11493" s="1">
        <v>3.0731692562083399E-2</v>
      </c>
      <c r="F11493" s="1">
        <v>1.52715308019967E-2</v>
      </c>
    </row>
    <row r="11494" spans="1:6" x14ac:dyDescent="0.25">
      <c r="A11494" s="2" t="str">
        <f t="shared" si="420"/>
        <v>38060</v>
      </c>
      <c r="B11494" s="2" t="str">
        <f>"85132"</f>
        <v>85132</v>
      </c>
      <c r="C11494" s="1">
        <v>6.9252511370452704E-3</v>
      </c>
      <c r="D11494" s="1">
        <v>1.8162863928982099E-3</v>
      </c>
      <c r="E11494" s="1">
        <v>5.9487200169387202E-4</v>
      </c>
      <c r="F11494" s="1">
        <v>6.2654363172108003E-3</v>
      </c>
    </row>
    <row r="11495" spans="1:6" x14ac:dyDescent="0.25">
      <c r="A11495" s="2" t="str">
        <f t="shared" si="420"/>
        <v>38060</v>
      </c>
      <c r="B11495" s="2" t="str">
        <f>"85130"</f>
        <v>85130</v>
      </c>
      <c r="C11495" s="1">
        <v>9.8423702173863498E-4</v>
      </c>
      <c r="D11495" s="1">
        <v>2.23542940664395E-3</v>
      </c>
      <c r="E11495" s="1">
        <v>2.0165152599792199E-5</v>
      </c>
      <c r="F11495" s="1">
        <v>1.0415922149759301E-3</v>
      </c>
    </row>
    <row r="11496" spans="1:6" x14ac:dyDescent="0.25">
      <c r="A11496" s="2" t="str">
        <f t="shared" si="420"/>
        <v>38060</v>
      </c>
      <c r="B11496" s="2" t="str">
        <f>"85061"</f>
        <v>85061</v>
      </c>
      <c r="C11496" s="1">
        <v>5.4716744747572096E-4</v>
      </c>
      <c r="D11496" s="1">
        <v>1.1714509871355301E-3</v>
      </c>
      <c r="E11496" s="1">
        <v>2.0165152599792199E-5</v>
      </c>
      <c r="F11496" s="1">
        <v>5.7387885680656601E-4</v>
      </c>
    </row>
    <row r="11497" spans="1:6" x14ac:dyDescent="0.25">
      <c r="A11497" s="2" t="str">
        <f t="shared" si="420"/>
        <v>38060</v>
      </c>
      <c r="B11497" s="2" t="str">
        <f>"85053"</f>
        <v>85053</v>
      </c>
      <c r="C11497" s="1">
        <v>5.9832499373581004E-3</v>
      </c>
      <c r="D11497" s="1">
        <v>3.8690124345760698E-3</v>
      </c>
      <c r="E11497" s="1">
        <v>8.7214284994101606E-3</v>
      </c>
      <c r="F11497" s="1">
        <v>5.9323107171563002E-3</v>
      </c>
    </row>
    <row r="11498" spans="1:6" x14ac:dyDescent="0.25">
      <c r="A11498" s="2" t="str">
        <f t="shared" si="420"/>
        <v>38060</v>
      </c>
      <c r="B11498" s="2" t="str">
        <f>"85028"</f>
        <v>85028</v>
      </c>
      <c r="C11498" s="1">
        <v>4.2643943478029699E-3</v>
      </c>
      <c r="D11498" s="1">
        <v>4.4171225294743497E-3</v>
      </c>
      <c r="E11498" s="1">
        <v>4.0027827910587696E-3</v>
      </c>
      <c r="F11498" s="1">
        <v>4.2654287936715303E-3</v>
      </c>
    </row>
    <row r="11499" spans="1:6" x14ac:dyDescent="0.25">
      <c r="A11499" s="2" t="str">
        <f t="shared" si="420"/>
        <v>38060</v>
      </c>
      <c r="B11499" s="2" t="str">
        <f>"85043"</f>
        <v>85043</v>
      </c>
      <c r="C11499" s="1">
        <v>4.6886508075109504E-3</v>
      </c>
      <c r="D11499" s="1">
        <v>8.0550689436521307E-3</v>
      </c>
      <c r="E11499" s="1">
        <v>3.7507183835613599E-3</v>
      </c>
      <c r="F11499" s="1">
        <v>4.9116172223845301E-3</v>
      </c>
    </row>
    <row r="11500" spans="1:6" x14ac:dyDescent="0.25">
      <c r="A11500" s="2" t="str">
        <f t="shared" si="420"/>
        <v>38060</v>
      </c>
      <c r="B11500" s="2" t="str">
        <f>"85018"</f>
        <v>85018</v>
      </c>
      <c r="C11500" s="1">
        <v>1.00563966864336E-2</v>
      </c>
      <c r="D11500" s="1">
        <v>1.1085795350736701E-2</v>
      </c>
      <c r="E11500" s="1">
        <v>1.7906655508615501E-2</v>
      </c>
      <c r="F11500" s="1">
        <v>1.04618993342085E-2</v>
      </c>
    </row>
    <row r="11501" spans="1:6" x14ac:dyDescent="0.25">
      <c r="A11501" s="2" t="str">
        <f t="shared" si="420"/>
        <v>38060</v>
      </c>
      <c r="B11501" s="2" t="str">
        <f>"85019"</f>
        <v>85019</v>
      </c>
      <c r="C11501" s="1">
        <v>3.9521340005011299E-3</v>
      </c>
      <c r="D11501" s="1">
        <v>3.7454189818048899E-3</v>
      </c>
      <c r="E11501" s="1">
        <v>3.6196448916627098E-3</v>
      </c>
      <c r="F11501" s="1">
        <v>3.9222718079190196E-3</v>
      </c>
    </row>
    <row r="11502" spans="1:6" x14ac:dyDescent="0.25">
      <c r="A11502" s="2" t="str">
        <f t="shared" si="420"/>
        <v>38060</v>
      </c>
      <c r="B11502" s="2" t="str">
        <f>"85006"</f>
        <v>85006</v>
      </c>
      <c r="C11502" s="1">
        <v>4.9610481317529801E-3</v>
      </c>
      <c r="D11502" s="1">
        <v>6.4483540576267904E-3</v>
      </c>
      <c r="E11502" s="1">
        <v>1.9771932124096302E-2</v>
      </c>
      <c r="F11502" s="1">
        <v>5.6907215115960703E-3</v>
      </c>
    </row>
    <row r="11503" spans="1:6" x14ac:dyDescent="0.25">
      <c r="A11503" s="2" t="str">
        <f t="shared" si="420"/>
        <v>38060</v>
      </c>
      <c r="B11503" s="2" t="str">
        <f>"85658"</f>
        <v>85658</v>
      </c>
      <c r="C11503" s="1">
        <v>2.0643351227401399E-4</v>
      </c>
      <c r="D11503" s="1">
        <v>0</v>
      </c>
      <c r="E11503" s="1">
        <v>0</v>
      </c>
      <c r="F11503" s="1">
        <v>1.8181886577629699E-4</v>
      </c>
    </row>
    <row r="11504" spans="1:6" x14ac:dyDescent="0.25">
      <c r="A11504" s="2" t="str">
        <f t="shared" si="420"/>
        <v>38060</v>
      </c>
      <c r="B11504" s="2" t="str">
        <f>"85545"</f>
        <v>85545</v>
      </c>
      <c r="C11504" s="1">
        <v>3.7964783866485398E-6</v>
      </c>
      <c r="D11504" s="1">
        <v>0</v>
      </c>
      <c r="E11504" s="1">
        <v>2.0165152599792199E-5</v>
      </c>
      <c r="F11504" s="1">
        <v>4.1797440408344203E-6</v>
      </c>
    </row>
    <row r="11505" spans="1:6" x14ac:dyDescent="0.25">
      <c r="A11505" s="2" t="str">
        <f t="shared" si="420"/>
        <v>38060</v>
      </c>
      <c r="B11505" s="2" t="str">
        <f>"85342"</f>
        <v>85342</v>
      </c>
      <c r="C11505" s="1">
        <v>3.1890418447847699E-4</v>
      </c>
      <c r="D11505" s="1">
        <v>3.7615398669489597E-5</v>
      </c>
      <c r="E11505" s="1">
        <v>9.0743186699065301E-5</v>
      </c>
      <c r="F11505" s="1">
        <v>2.8756639000940802E-4</v>
      </c>
    </row>
    <row r="11506" spans="1:6" x14ac:dyDescent="0.25">
      <c r="A11506" s="2" t="str">
        <f t="shared" si="420"/>
        <v>38060</v>
      </c>
      <c r="B11506" s="2" t="str">
        <f>"85395"</f>
        <v>85395</v>
      </c>
      <c r="C11506" s="1">
        <v>7.0325016514680896E-3</v>
      </c>
      <c r="D11506" s="1">
        <v>4.7825292594065299E-3</v>
      </c>
      <c r="E11506" s="1">
        <v>1.8854417680805699E-3</v>
      </c>
      <c r="F11506" s="1">
        <v>6.6441211273104003E-3</v>
      </c>
    </row>
    <row r="11507" spans="1:6" x14ac:dyDescent="0.25">
      <c r="A11507" s="2" t="str">
        <f t="shared" si="420"/>
        <v>38060</v>
      </c>
      <c r="B11507" s="2" t="str">
        <f>"85376"</f>
        <v>85376</v>
      </c>
      <c r="C11507" s="1">
        <v>3.7205488189155699E-4</v>
      </c>
      <c r="D11507" s="1">
        <v>5.3198920975420995E-4</v>
      </c>
      <c r="E11507" s="1">
        <v>2.0165152599792199E-5</v>
      </c>
      <c r="F11507" s="1">
        <v>3.6990734761384601E-4</v>
      </c>
    </row>
    <row r="11508" spans="1:6" x14ac:dyDescent="0.25">
      <c r="A11508" s="2" t="str">
        <f t="shared" si="420"/>
        <v>38060</v>
      </c>
      <c r="B11508" s="2" t="str">
        <f>"85378"</f>
        <v>85378</v>
      </c>
      <c r="C11508" s="1">
        <v>2.4183567322951199E-3</v>
      </c>
      <c r="D11508" s="1">
        <v>2.8265285285930699E-3</v>
      </c>
      <c r="E11508" s="1">
        <v>2.5609743801736202E-3</v>
      </c>
      <c r="F11508" s="1">
        <v>2.4560175983942998E-3</v>
      </c>
    </row>
    <row r="11509" spans="1:6" x14ac:dyDescent="0.25">
      <c r="A11509" s="2" t="str">
        <f t="shared" si="420"/>
        <v>38060</v>
      </c>
      <c r="B11509" s="2" t="str">
        <f>"85338"</f>
        <v>85338</v>
      </c>
      <c r="C11509" s="1">
        <v>1.1192492843638199E-2</v>
      </c>
      <c r="D11509" s="1">
        <v>8.4795855857792198E-3</v>
      </c>
      <c r="E11509" s="1">
        <v>2.3391577015758999E-3</v>
      </c>
      <c r="F11509" s="1">
        <v>1.0614459991699E-2</v>
      </c>
    </row>
    <row r="11510" spans="1:6" x14ac:dyDescent="0.25">
      <c r="A11510" s="2" t="str">
        <f t="shared" si="420"/>
        <v>38060</v>
      </c>
      <c r="B11510" s="2" t="str">
        <f>"85329"</f>
        <v>85329</v>
      </c>
      <c r="C11510" s="1">
        <v>7.2892385023652E-4</v>
      </c>
      <c r="D11510" s="1">
        <v>3.6540672993218401E-4</v>
      </c>
      <c r="E11510" s="1">
        <v>4.0330305199584499E-5</v>
      </c>
      <c r="F11510" s="1">
        <v>6.7210284176617504E-4</v>
      </c>
    </row>
    <row r="11511" spans="1:6" x14ac:dyDescent="0.25">
      <c r="A11511" s="2" t="str">
        <f t="shared" si="420"/>
        <v>38060</v>
      </c>
      <c r="B11511" s="2" t="str">
        <f>"85326"</f>
        <v>85326</v>
      </c>
      <c r="C11511" s="1">
        <v>1.18056241030819E-2</v>
      </c>
      <c r="D11511" s="1">
        <v>4.9491117392285603E-3</v>
      </c>
      <c r="E11511" s="1">
        <v>2.6013046853732001E-3</v>
      </c>
      <c r="F11511" s="1">
        <v>1.08907410727981E-2</v>
      </c>
    </row>
    <row r="11512" spans="1:6" x14ac:dyDescent="0.25">
      <c r="A11512" s="2" t="str">
        <f t="shared" si="420"/>
        <v>38060</v>
      </c>
      <c r="B11512" s="2" t="str">
        <f>"85277"</f>
        <v>85277</v>
      </c>
      <c r="C11512" s="1">
        <v>5.54760404249018E-4</v>
      </c>
      <c r="D11512" s="1">
        <v>2.6008361365761302E-3</v>
      </c>
      <c r="E11512" s="1">
        <v>2.0165152599792199E-5</v>
      </c>
      <c r="F11512" s="1">
        <v>6.9174763875809702E-4</v>
      </c>
    </row>
    <row r="11513" spans="1:6" x14ac:dyDescent="0.25">
      <c r="A11513" s="2" t="str">
        <f t="shared" si="420"/>
        <v>38060</v>
      </c>
      <c r="B11513" s="2" t="str">
        <f>"85275"</f>
        <v>85275</v>
      </c>
      <c r="C11513" s="1">
        <v>6.2926629258699604E-4</v>
      </c>
      <c r="D11513" s="1">
        <v>1.9936161294829401E-3</v>
      </c>
      <c r="E11513" s="1">
        <v>2.0165152599792199E-5</v>
      </c>
      <c r="F11513" s="1">
        <v>7.1013851253776898E-4</v>
      </c>
    </row>
    <row r="11514" spans="1:6" x14ac:dyDescent="0.25">
      <c r="A11514" s="2" t="str">
        <f t="shared" si="420"/>
        <v>38060</v>
      </c>
      <c r="B11514" s="2" t="str">
        <f>"85263"</f>
        <v>85263</v>
      </c>
      <c r="C11514" s="1">
        <v>1.1759591802643801E-3</v>
      </c>
      <c r="D11514" s="1">
        <v>1.7195610820338101E-4</v>
      </c>
      <c r="E11514" s="1">
        <v>2.1173410229781899E-4</v>
      </c>
      <c r="F11514" s="1">
        <v>1.05789321673519E-3</v>
      </c>
    </row>
    <row r="11515" spans="1:6" x14ac:dyDescent="0.25">
      <c r="A11515" s="2" t="str">
        <f t="shared" si="420"/>
        <v>38060</v>
      </c>
      <c r="B11515" s="2" t="str">
        <f>"85262"</f>
        <v>85262</v>
      </c>
      <c r="C11515" s="1">
        <v>4.5700108579281801E-3</v>
      </c>
      <c r="D11515" s="1">
        <v>1.1821982438982399E-3</v>
      </c>
      <c r="E11515" s="1">
        <v>1.71403797098234E-3</v>
      </c>
      <c r="F11515" s="1">
        <v>4.1881035289160901E-3</v>
      </c>
    </row>
    <row r="11516" spans="1:6" x14ac:dyDescent="0.25">
      <c r="A11516" s="2" t="str">
        <f t="shared" si="420"/>
        <v>38060</v>
      </c>
      <c r="B11516" s="2" t="str">
        <f>"85308"</f>
        <v>85308</v>
      </c>
      <c r="C11516" s="1">
        <v>1.30328357415661E-2</v>
      </c>
      <c r="D11516" s="1">
        <v>1.47237417649145E-2</v>
      </c>
      <c r="E11516" s="1">
        <v>9.1650618566055907E-3</v>
      </c>
      <c r="F11516" s="1">
        <v>1.3004019659843999E-2</v>
      </c>
    </row>
    <row r="11517" spans="1:6" x14ac:dyDescent="0.25">
      <c r="A11517" s="2" t="str">
        <f t="shared" si="420"/>
        <v>38060</v>
      </c>
      <c r="B11517" s="2" t="str">
        <f>"85305"</f>
        <v>85305</v>
      </c>
      <c r="C11517" s="1">
        <v>2.5825544225176701E-3</v>
      </c>
      <c r="D11517" s="1">
        <v>2.44500091351682E-3</v>
      </c>
      <c r="E11517" s="1">
        <v>8.2677125659148397E-4</v>
      </c>
      <c r="F11517" s="1">
        <v>2.4990689620149002E-3</v>
      </c>
    </row>
    <row r="11518" spans="1:6" x14ac:dyDescent="0.25">
      <c r="A11518" s="2" t="str">
        <f t="shared" si="420"/>
        <v>38060</v>
      </c>
      <c r="B11518" s="2" t="str">
        <f>"85303"</f>
        <v>85303</v>
      </c>
      <c r="C11518" s="1">
        <v>4.81535827366534E-3</v>
      </c>
      <c r="D11518" s="1">
        <v>2.0849678119659902E-3</v>
      </c>
      <c r="E11518" s="1">
        <v>2.9844425847692598E-3</v>
      </c>
      <c r="F11518" s="1">
        <v>4.5270807706277597E-3</v>
      </c>
    </row>
    <row r="11519" spans="1:6" x14ac:dyDescent="0.25">
      <c r="A11519" s="2" t="str">
        <f t="shared" si="420"/>
        <v>38060</v>
      </c>
      <c r="B11519" s="2" t="str">
        <f>"85202"</f>
        <v>85202</v>
      </c>
      <c r="C11519" s="1">
        <v>8.5942779477756401E-3</v>
      </c>
      <c r="D11519" s="1">
        <v>1.1268498715702799E-2</v>
      </c>
      <c r="E11519" s="1">
        <v>5.5151692360431897E-3</v>
      </c>
      <c r="F11519" s="1">
        <v>8.6746407823477707E-3</v>
      </c>
    </row>
    <row r="11520" spans="1:6" x14ac:dyDescent="0.25">
      <c r="A11520" s="2" t="str">
        <f t="shared" si="420"/>
        <v>38060</v>
      </c>
      <c r="B11520" s="2" t="str">
        <f>"85234"</f>
        <v>85234</v>
      </c>
      <c r="C11520" s="1">
        <v>8.6673601567186197E-3</v>
      </c>
      <c r="D11520" s="1">
        <v>8.98470665362666E-3</v>
      </c>
      <c r="E11520" s="1">
        <v>4.1842691644569004E-3</v>
      </c>
      <c r="F11520" s="1">
        <v>8.5061970975021401E-3</v>
      </c>
    </row>
    <row r="11521" spans="1:6" x14ac:dyDescent="0.25">
      <c r="A11521" s="2" t="str">
        <f t="shared" si="420"/>
        <v>38060</v>
      </c>
      <c r="B11521" s="2" t="str">
        <f>"85193"</f>
        <v>85193</v>
      </c>
      <c r="C11521" s="1">
        <v>8.30479647079369E-4</v>
      </c>
      <c r="D11521" s="1">
        <v>3.2779133126269497E-4</v>
      </c>
      <c r="E11521" s="1">
        <v>3.2264244159667599E-4</v>
      </c>
      <c r="F11521" s="1">
        <v>7.7032682672578397E-4</v>
      </c>
    </row>
    <row r="11522" spans="1:6" x14ac:dyDescent="0.25">
      <c r="A11522" s="2" t="str">
        <f t="shared" si="420"/>
        <v>38060</v>
      </c>
      <c r="B11522" s="2" t="str">
        <f>"85131"</f>
        <v>85131</v>
      </c>
      <c r="C11522" s="1">
        <v>2.6637041480322798E-3</v>
      </c>
      <c r="D11522" s="1">
        <v>1.6711984266016E-3</v>
      </c>
      <c r="E11522" s="1">
        <v>2.5206440749740299E-3</v>
      </c>
      <c r="F11522" s="1">
        <v>2.5805739708111698E-3</v>
      </c>
    </row>
    <row r="11523" spans="1:6" x14ac:dyDescent="0.25">
      <c r="A11523" s="2" t="str">
        <f t="shared" si="420"/>
        <v>38060</v>
      </c>
      <c r="B11523" s="2" t="str">
        <f>"85138"</f>
        <v>85138</v>
      </c>
      <c r="C11523" s="1">
        <v>9.1343269982763903E-3</v>
      </c>
      <c r="D11523" s="1">
        <v>9.6187948026266201E-4</v>
      </c>
      <c r="E11523" s="1">
        <v>5.0412881499480695E-4</v>
      </c>
      <c r="F11523" s="1">
        <v>8.1408874683332102E-3</v>
      </c>
    </row>
    <row r="11524" spans="1:6" x14ac:dyDescent="0.25">
      <c r="A11524" s="2" t="str">
        <f t="shared" si="420"/>
        <v>38060</v>
      </c>
      <c r="B11524" s="2" t="str">
        <f>"85067"</f>
        <v>85067</v>
      </c>
      <c r="C11524" s="1">
        <v>6.6912931564680597E-4</v>
      </c>
      <c r="D11524" s="1">
        <v>1.2413081560931499E-3</v>
      </c>
      <c r="E11524" s="1">
        <v>2.0165152599792199E-5</v>
      </c>
      <c r="F11524" s="1">
        <v>6.8673194590909595E-4</v>
      </c>
    </row>
    <row r="11525" spans="1:6" x14ac:dyDescent="0.25">
      <c r="A11525" s="2" t="str">
        <f t="shared" si="420"/>
        <v>38060</v>
      </c>
      <c r="B11525" s="2" t="str">
        <f>"85117"</f>
        <v>85117</v>
      </c>
      <c r="C11525" s="1">
        <v>1.3667322191934701E-3</v>
      </c>
      <c r="D11525" s="1">
        <v>1.5099895751609399E-3</v>
      </c>
      <c r="E11525" s="1">
        <v>2.0165152599792199E-5</v>
      </c>
      <c r="F11525" s="1">
        <v>1.32205304011592E-3</v>
      </c>
    </row>
    <row r="11526" spans="1:6" x14ac:dyDescent="0.25">
      <c r="A11526" s="2" t="str">
        <f t="shared" si="420"/>
        <v>38060</v>
      </c>
      <c r="B11526" s="2" t="str">
        <f>"85046"</f>
        <v>85046</v>
      </c>
      <c r="C11526" s="1">
        <v>5.38150811307431E-4</v>
      </c>
      <c r="D11526" s="1">
        <v>1.64970391307618E-3</v>
      </c>
      <c r="E11526" s="1">
        <v>2.0165152599792199E-5</v>
      </c>
      <c r="F11526" s="1">
        <v>6.0313706509240695E-4</v>
      </c>
    </row>
    <row r="11527" spans="1:6" x14ac:dyDescent="0.25">
      <c r="A11527" s="2" t="str">
        <f t="shared" si="420"/>
        <v>38060</v>
      </c>
      <c r="B11527" s="2" t="str">
        <f>"85022"</f>
        <v>85022</v>
      </c>
      <c r="C11527" s="1">
        <v>1.10064654026924E-2</v>
      </c>
      <c r="D11527" s="1">
        <v>5.7121669693810601E-3</v>
      </c>
      <c r="E11527" s="1">
        <v>3.1366894868976897E-2</v>
      </c>
      <c r="F11527" s="1">
        <v>1.14387055165515E-2</v>
      </c>
    </row>
    <row r="11528" spans="1:6" x14ac:dyDescent="0.25">
      <c r="A11528" s="2" t="str">
        <f t="shared" si="420"/>
        <v>38060</v>
      </c>
      <c r="B11528" s="2" t="str">
        <f>"85008"</f>
        <v>85008</v>
      </c>
      <c r="C11528" s="1">
        <v>1.1351944935877401E-2</v>
      </c>
      <c r="D11528" s="1">
        <v>1.17091362429739E-2</v>
      </c>
      <c r="E11528" s="1">
        <v>1.8551940391808901E-2</v>
      </c>
      <c r="F11528" s="1">
        <v>1.16782048500913E-2</v>
      </c>
    </row>
    <row r="11529" spans="1:6" x14ac:dyDescent="0.25">
      <c r="A11529" s="2" t="str">
        <f t="shared" si="420"/>
        <v>38060</v>
      </c>
      <c r="B11529" s="2" t="str">
        <f>"85010"</f>
        <v>85010</v>
      </c>
      <c r="C11529" s="1">
        <v>1.9694231630739301E-4</v>
      </c>
      <c r="D11529" s="1">
        <v>2.9554956097456101E-4</v>
      </c>
      <c r="E11529" s="1">
        <v>2.0165152599792199E-5</v>
      </c>
      <c r="F11529" s="1">
        <v>1.9728391872738399E-4</v>
      </c>
    </row>
    <row r="11530" spans="1:6" x14ac:dyDescent="0.25">
      <c r="A11530" s="2" t="str">
        <f t="shared" si="420"/>
        <v>38060</v>
      </c>
      <c r="B11530" s="2" t="str">
        <f>"85016"</f>
        <v>85016</v>
      </c>
      <c r="C11530" s="1">
        <v>1.02514407635477E-2</v>
      </c>
      <c r="D11530" s="1">
        <v>2.2348920438058101E-2</v>
      </c>
      <c r="E11530" s="1">
        <v>1.9096399512003301E-2</v>
      </c>
      <c r="F11530" s="1">
        <v>1.1559082144927599E-2</v>
      </c>
    </row>
    <row r="11531" spans="1:6" x14ac:dyDescent="0.25">
      <c r="A11531" s="2" t="str">
        <f t="shared" si="420"/>
        <v>38060</v>
      </c>
      <c r="B11531" s="2" t="str">
        <f>"85739"</f>
        <v>85739</v>
      </c>
      <c r="C11531" s="1">
        <v>2.9897267294857199E-3</v>
      </c>
      <c r="D11531" s="1">
        <v>2.2031876363558199E-4</v>
      </c>
      <c r="E11531" s="1">
        <v>9.0743186699065301E-5</v>
      </c>
      <c r="F11531" s="1">
        <v>2.6541374659298598E-3</v>
      </c>
    </row>
    <row r="11532" spans="1:6" x14ac:dyDescent="0.25">
      <c r="A11532" s="2" t="str">
        <f t="shared" si="420"/>
        <v>38060</v>
      </c>
      <c r="B11532" s="2" t="str">
        <f>"85623"</f>
        <v>85623</v>
      </c>
      <c r="C11532" s="1">
        <v>8.8932506207242104E-4</v>
      </c>
      <c r="D11532" s="1">
        <v>4.19143013745741E-4</v>
      </c>
      <c r="E11532" s="1">
        <v>2.6214698379729899E-4</v>
      </c>
      <c r="F11532" s="1">
        <v>8.2675337127704899E-4</v>
      </c>
    </row>
    <row r="11533" spans="1:6" x14ac:dyDescent="0.25">
      <c r="A11533" s="2" t="str">
        <f t="shared" si="420"/>
        <v>38060</v>
      </c>
      <c r="B11533" s="2" t="str">
        <f>"85539"</f>
        <v>85539</v>
      </c>
      <c r="C11533" s="1">
        <v>3.0846386891519401E-5</v>
      </c>
      <c r="D11533" s="1">
        <v>5.3736283813556497E-6</v>
      </c>
      <c r="E11533" s="1">
        <v>3.02477288996884E-5</v>
      </c>
      <c r="F11533" s="1">
        <v>2.8840233881757499E-5</v>
      </c>
    </row>
    <row r="11534" spans="1:6" x14ac:dyDescent="0.25">
      <c r="A11534" s="2" t="str">
        <f t="shared" si="420"/>
        <v>38060</v>
      </c>
      <c r="B11534" s="2" t="str">
        <f>"85267"</f>
        <v>85267</v>
      </c>
      <c r="C11534" s="1">
        <v>5.3293065352578897E-4</v>
      </c>
      <c r="D11534" s="1">
        <v>4.7072984620675504E-3</v>
      </c>
      <c r="E11534" s="1">
        <v>2.0165152599792199E-5</v>
      </c>
      <c r="F11534" s="1">
        <v>8.3636678257096805E-4</v>
      </c>
    </row>
    <row r="11535" spans="1:6" x14ac:dyDescent="0.25">
      <c r="A11535" s="2" t="str">
        <f t="shared" si="420"/>
        <v>38060</v>
      </c>
      <c r="B11535" s="2" t="str">
        <f>"85322"</f>
        <v>85322</v>
      </c>
      <c r="C11535" s="1">
        <v>8.2098845111274702E-5</v>
      </c>
      <c r="D11535" s="1">
        <v>5.37362838135565E-5</v>
      </c>
      <c r="E11535" s="1">
        <v>5.04128814994807E-5</v>
      </c>
      <c r="F11535" s="1">
        <v>7.8579187967687199E-5</v>
      </c>
    </row>
    <row r="11536" spans="1:6" x14ac:dyDescent="0.25">
      <c r="A11536" s="2" t="str">
        <f t="shared" si="420"/>
        <v>38060</v>
      </c>
      <c r="B11536" s="2" t="str">
        <f>"85311"</f>
        <v>85311</v>
      </c>
      <c r="C11536" s="1">
        <v>9.0356185602235304E-4</v>
      </c>
      <c r="D11536" s="1">
        <v>1.92913258890668E-3</v>
      </c>
      <c r="E11536" s="1">
        <v>2.0165152599792199E-5</v>
      </c>
      <c r="F11536" s="1">
        <v>9.4671202524899696E-4</v>
      </c>
    </row>
    <row r="11537" spans="1:6" x14ac:dyDescent="0.25">
      <c r="A11537" s="2" t="str">
        <f t="shared" si="420"/>
        <v>38060</v>
      </c>
      <c r="B11537" s="2" t="str">
        <f>"85297"</f>
        <v>85297</v>
      </c>
      <c r="C11537" s="1">
        <v>5.5566206786584697E-3</v>
      </c>
      <c r="D11537" s="1">
        <v>7.3188818554064004E-3</v>
      </c>
      <c r="E11537" s="1">
        <v>3.0146903136689402E-3</v>
      </c>
      <c r="F11537" s="1">
        <v>5.58831778259562E-3</v>
      </c>
    </row>
    <row r="11538" spans="1:6" x14ac:dyDescent="0.25">
      <c r="A11538" s="2" t="str">
        <f t="shared" si="420"/>
        <v>38060</v>
      </c>
      <c r="B11538" s="2" t="str">
        <f>"85298"</f>
        <v>85298</v>
      </c>
      <c r="C11538" s="1">
        <v>6.7363763373095098E-3</v>
      </c>
      <c r="D11538" s="1">
        <v>9.5113222349995101E-4</v>
      </c>
      <c r="E11538" s="1">
        <v>4.4363335719543E-4</v>
      </c>
      <c r="F11538" s="1">
        <v>6.0255190092669102E-3</v>
      </c>
    </row>
    <row r="11539" spans="1:6" x14ac:dyDescent="0.25">
      <c r="A11539" s="2" t="str">
        <f t="shared" si="420"/>
        <v>38060</v>
      </c>
      <c r="B11539" s="2" t="str">
        <f>"85253"</f>
        <v>85253</v>
      </c>
      <c r="C11539" s="1">
        <v>4.3246634421910202E-3</v>
      </c>
      <c r="D11539" s="1">
        <v>4.5514632390082398E-3</v>
      </c>
      <c r="E11539" s="1">
        <v>2.3895705830753798E-3</v>
      </c>
      <c r="F11539" s="1">
        <v>4.2620849984388604E-3</v>
      </c>
    </row>
    <row r="11540" spans="1:6" x14ac:dyDescent="0.25">
      <c r="A11540" s="2" t="str">
        <f t="shared" si="420"/>
        <v>38060</v>
      </c>
      <c r="B11540" s="2" t="str">
        <f>"85254"</f>
        <v>85254</v>
      </c>
      <c r="C11540" s="1">
        <v>1.0168392798839699E-2</v>
      </c>
      <c r="D11540" s="1">
        <v>1.15694219050587E-2</v>
      </c>
      <c r="E11540" s="1">
        <v>9.6490255190006102E-3</v>
      </c>
      <c r="F11540" s="1">
        <v>1.02558379529954E-2</v>
      </c>
    </row>
    <row r="11541" spans="1:6" x14ac:dyDescent="0.25">
      <c r="A11541" s="2" t="str">
        <f t="shared" si="420"/>
        <v>38060</v>
      </c>
      <c r="B11541" s="2" t="str">
        <f>"85205"</f>
        <v>85205</v>
      </c>
      <c r="C11541" s="1">
        <v>1.0083446594938501E-2</v>
      </c>
      <c r="D11541" s="1">
        <v>7.4478489365589397E-3</v>
      </c>
      <c r="E11541" s="1">
        <v>1.0485879351891899E-2</v>
      </c>
      <c r="F11541" s="1">
        <v>9.8951260422714196E-3</v>
      </c>
    </row>
    <row r="11542" spans="1:6" x14ac:dyDescent="0.25">
      <c r="A11542" s="2" t="str">
        <f t="shared" si="420"/>
        <v>38060</v>
      </c>
      <c r="B11542" s="2" t="str">
        <f>"85244"</f>
        <v>85244</v>
      </c>
      <c r="C11542" s="1">
        <v>9.9705013629357406E-4</v>
      </c>
      <c r="D11542" s="1">
        <v>3.15431985985577E-3</v>
      </c>
      <c r="E11542" s="1">
        <v>2.0165152599792199E-5</v>
      </c>
      <c r="F11542" s="1">
        <v>1.12435114698446E-3</v>
      </c>
    </row>
    <row r="11543" spans="1:6" x14ac:dyDescent="0.25">
      <c r="A11543" s="2" t="str">
        <f t="shared" si="420"/>
        <v>38060</v>
      </c>
      <c r="B11543" s="2" t="str">
        <f>"85172"</f>
        <v>85172</v>
      </c>
      <c r="C11543" s="1">
        <v>9.2064600876227198E-5</v>
      </c>
      <c r="D11543" s="1">
        <v>2.36439648779648E-4</v>
      </c>
      <c r="E11543" s="1">
        <v>1.0082576299896099E-5</v>
      </c>
      <c r="F11543" s="1">
        <v>9.9895882575942794E-5</v>
      </c>
    </row>
    <row r="11544" spans="1:6" x14ac:dyDescent="0.25">
      <c r="A11544" s="2" t="str">
        <f t="shared" si="420"/>
        <v>38060</v>
      </c>
      <c r="B11544" s="2" t="str">
        <f>"85036"</f>
        <v>85036</v>
      </c>
      <c r="C11544" s="1">
        <v>3.4547953318501702E-4</v>
      </c>
      <c r="D11544" s="1">
        <v>1.2735499263812899E-3</v>
      </c>
      <c r="E11544" s="1">
        <v>2.0165152599792199E-5</v>
      </c>
      <c r="F11544" s="1">
        <v>4.04181248748689E-4</v>
      </c>
    </row>
    <row r="11545" spans="1:6" x14ac:dyDescent="0.25">
      <c r="A11545" s="2" t="str">
        <f t="shared" ref="A11545:A11608" si="421">"38060"</f>
        <v>38060</v>
      </c>
      <c r="B11545" s="2" t="str">
        <f>"85083"</f>
        <v>85083</v>
      </c>
      <c r="C11545" s="1">
        <v>3.28205556525766E-3</v>
      </c>
      <c r="D11545" s="1">
        <v>9.6725310864401799E-5</v>
      </c>
      <c r="E11545" s="1">
        <v>7.0578034099272994E-5</v>
      </c>
      <c r="F11545" s="1">
        <v>2.9011603387431701E-3</v>
      </c>
    </row>
    <row r="11546" spans="1:6" x14ac:dyDescent="0.25">
      <c r="A11546" s="2" t="str">
        <f t="shared" si="421"/>
        <v>38060</v>
      </c>
      <c r="B11546" s="2" t="str">
        <f>"85080"</f>
        <v>85080</v>
      </c>
      <c r="C11546" s="1">
        <v>1.2101274857442201E-3</v>
      </c>
      <c r="D11546" s="1">
        <v>3.7239244682794699E-3</v>
      </c>
      <c r="E11546" s="1">
        <v>2.0165152599792199E-5</v>
      </c>
      <c r="F11546" s="1">
        <v>1.35632694125077E-3</v>
      </c>
    </row>
    <row r="11547" spans="1:6" x14ac:dyDescent="0.25">
      <c r="A11547" s="2" t="str">
        <f t="shared" si="421"/>
        <v>38060</v>
      </c>
      <c r="B11547" s="2" t="str">
        <f>"85071"</f>
        <v>85071</v>
      </c>
      <c r="C11547" s="1">
        <v>5.5143848566070101E-4</v>
      </c>
      <c r="D11547" s="1">
        <v>1.6765720549829599E-3</v>
      </c>
      <c r="E11547" s="1">
        <v>2.0165152599792199E-5</v>
      </c>
      <c r="F11547" s="1">
        <v>6.1693022042716102E-4</v>
      </c>
    </row>
    <row r="11548" spans="1:6" x14ac:dyDescent="0.25">
      <c r="A11548" s="2" t="str">
        <f t="shared" si="421"/>
        <v>38060</v>
      </c>
      <c r="B11548" s="2" t="str">
        <f>"85068"</f>
        <v>85068</v>
      </c>
      <c r="C11548" s="1">
        <v>8.0248061897783595E-4</v>
      </c>
      <c r="D11548" s="1">
        <v>2.16557223768633E-3</v>
      </c>
      <c r="E11548" s="1">
        <v>2.0165152599792199E-5</v>
      </c>
      <c r="F11548" s="1">
        <v>8.7607435095889499E-4</v>
      </c>
    </row>
    <row r="11549" spans="1:6" x14ac:dyDescent="0.25">
      <c r="A11549" s="2" t="str">
        <f t="shared" si="421"/>
        <v>38060</v>
      </c>
      <c r="B11549" s="2" t="str">
        <f>"85120"</f>
        <v>85120</v>
      </c>
      <c r="C11549" s="1">
        <v>8.3517778908284608E-3</v>
      </c>
      <c r="D11549" s="1">
        <v>5.7605296248132596E-3</v>
      </c>
      <c r="E11549" s="1">
        <v>7.3501981226242897E-3</v>
      </c>
      <c r="F11549" s="1">
        <v>8.1087034392187795E-3</v>
      </c>
    </row>
    <row r="11550" spans="1:6" x14ac:dyDescent="0.25">
      <c r="A11550" s="2" t="str">
        <f t="shared" si="421"/>
        <v>38060</v>
      </c>
      <c r="B11550" s="2" t="str">
        <f>"85118"</f>
        <v>85118</v>
      </c>
      <c r="C11550" s="1">
        <v>4.2178874875665297E-3</v>
      </c>
      <c r="D11550" s="1">
        <v>1.1607037303728201E-3</v>
      </c>
      <c r="E11550" s="1">
        <v>1.5930470553835901E-3</v>
      </c>
      <c r="F11550" s="1">
        <v>3.8712789306208401E-3</v>
      </c>
    </row>
    <row r="11551" spans="1:6" x14ac:dyDescent="0.25">
      <c r="A11551" s="2" t="str">
        <f t="shared" si="421"/>
        <v>38060</v>
      </c>
      <c r="B11551" s="2" t="str">
        <f>"85087"</f>
        <v>85087</v>
      </c>
      <c r="C11551" s="1">
        <v>2.3424271645621502E-3</v>
      </c>
      <c r="D11551" s="1">
        <v>1.70344019688974E-3</v>
      </c>
      <c r="E11551" s="1">
        <v>2.6214698379729899E-4</v>
      </c>
      <c r="F11551" s="1">
        <v>2.2064868791564899E-3</v>
      </c>
    </row>
    <row r="11552" spans="1:6" x14ac:dyDescent="0.25">
      <c r="A11552" s="2" t="str">
        <f t="shared" si="421"/>
        <v>38060</v>
      </c>
      <c r="B11552" s="2" t="str">
        <f>"85122"</f>
        <v>85122</v>
      </c>
      <c r="C11552" s="1">
        <v>1.3560546237310201E-2</v>
      </c>
      <c r="D11552" s="1">
        <v>1.0903091985770601E-2</v>
      </c>
      <c r="E11552" s="1">
        <v>9.7800990108992594E-3</v>
      </c>
      <c r="F11552" s="1">
        <v>1.3197123834530601E-2</v>
      </c>
    </row>
    <row r="11553" spans="1:6" x14ac:dyDescent="0.25">
      <c r="A11553" s="2" t="str">
        <f t="shared" si="421"/>
        <v>38060</v>
      </c>
      <c r="B11553" s="2" t="str">
        <f>"85029"</f>
        <v>85029</v>
      </c>
      <c r="C11553" s="1">
        <v>8.9392829211623198E-3</v>
      </c>
      <c r="D11553" s="1">
        <v>8.1302997409911093E-3</v>
      </c>
      <c r="E11553" s="1">
        <v>1.01329891813956E-2</v>
      </c>
      <c r="F11553" s="1">
        <v>8.9258433992019104E-3</v>
      </c>
    </row>
    <row r="11554" spans="1:6" x14ac:dyDescent="0.25">
      <c r="A11554" s="2" t="str">
        <f t="shared" si="421"/>
        <v>38060</v>
      </c>
      <c r="B11554" s="2" t="str">
        <f>"85031"</f>
        <v>85031</v>
      </c>
      <c r="C11554" s="1">
        <v>4.1837191820866901E-3</v>
      </c>
      <c r="D11554" s="1">
        <v>3.1005835760422101E-3</v>
      </c>
      <c r="E11554" s="1">
        <v>2.3391577015758999E-3</v>
      </c>
      <c r="F11554" s="1">
        <v>4.0230036393031302E-3</v>
      </c>
    </row>
    <row r="11555" spans="1:6" x14ac:dyDescent="0.25">
      <c r="A11555" s="2" t="str">
        <f t="shared" si="421"/>
        <v>38060</v>
      </c>
      <c r="B11555" s="2" t="str">
        <f>"85044"</f>
        <v>85044</v>
      </c>
      <c r="C11555" s="1">
        <v>9.1495129118229906E-3</v>
      </c>
      <c r="D11555" s="1">
        <v>5.1962986447709201E-3</v>
      </c>
      <c r="E11555" s="1">
        <v>1.24015688488722E-2</v>
      </c>
      <c r="F11555" s="1">
        <v>8.9768362765000904E-3</v>
      </c>
    </row>
    <row r="11556" spans="1:6" x14ac:dyDescent="0.25">
      <c r="A11556" s="2" t="str">
        <f t="shared" si="421"/>
        <v>38060</v>
      </c>
      <c r="B11556" s="2" t="str">
        <f>"85020"</f>
        <v>85020</v>
      </c>
      <c r="C11556" s="1">
        <v>8.7167143757450501E-3</v>
      </c>
      <c r="D11556" s="1">
        <v>8.9255967414317398E-3</v>
      </c>
      <c r="E11556" s="1">
        <v>1.9045986630503799E-2</v>
      </c>
      <c r="F11556" s="1">
        <v>9.1611629887008907E-3</v>
      </c>
    </row>
    <row r="11557" spans="1:6" x14ac:dyDescent="0.25">
      <c r="A11557" s="2" t="str">
        <f t="shared" si="421"/>
        <v>38060</v>
      </c>
      <c r="B11557" s="2" t="str">
        <f>"85017"</f>
        <v>85017</v>
      </c>
      <c r="C11557" s="1">
        <v>5.9841990569547603E-3</v>
      </c>
      <c r="D11557" s="1">
        <v>1.00701795866605E-2</v>
      </c>
      <c r="E11557" s="1">
        <v>7.0376382573275097E-3</v>
      </c>
      <c r="F11557" s="1">
        <v>6.3456874027948201E-3</v>
      </c>
    </row>
    <row r="11558" spans="1:6" x14ac:dyDescent="0.25">
      <c r="A11558" s="2" t="str">
        <f t="shared" si="421"/>
        <v>38060</v>
      </c>
      <c r="B11558" s="2" t="str">
        <f>"85003"</f>
        <v>85003</v>
      </c>
      <c r="C11558" s="1">
        <v>2.4629653533382399E-3</v>
      </c>
      <c r="D11558" s="1">
        <v>5.92711210463529E-3</v>
      </c>
      <c r="E11558" s="1">
        <v>5.7470684909408003E-3</v>
      </c>
      <c r="F11558" s="1">
        <v>2.8685583352246599E-3</v>
      </c>
    </row>
    <row r="11559" spans="1:6" x14ac:dyDescent="0.25">
      <c r="A11559" s="2" t="str">
        <f t="shared" si="421"/>
        <v>38060</v>
      </c>
      <c r="B11559" s="2" t="str">
        <f>"85355"</f>
        <v>85355</v>
      </c>
      <c r="C11559" s="1">
        <v>2.2067030622394601E-3</v>
      </c>
      <c r="D11559" s="1">
        <v>1.2896708115253501E-3</v>
      </c>
      <c r="E11559" s="1">
        <v>1.0082576299896099E-4</v>
      </c>
      <c r="F11559" s="1">
        <v>2.0480745800088599E-3</v>
      </c>
    </row>
    <row r="11560" spans="1:6" x14ac:dyDescent="0.25">
      <c r="A11560" s="2" t="str">
        <f t="shared" si="421"/>
        <v>38060</v>
      </c>
      <c r="B11560" s="2" t="str">
        <f>"85377"</f>
        <v>85377</v>
      </c>
      <c r="C11560" s="1">
        <v>1.04830259451332E-3</v>
      </c>
      <c r="D11560" s="1">
        <v>3.1005835760422101E-3</v>
      </c>
      <c r="E11560" s="1">
        <v>1.20990915598753E-4</v>
      </c>
      <c r="F11560" s="1">
        <v>1.16949238262547E-3</v>
      </c>
    </row>
    <row r="11561" spans="1:6" x14ac:dyDescent="0.25">
      <c r="A11561" s="2" t="str">
        <f t="shared" si="421"/>
        <v>38060</v>
      </c>
      <c r="B11561" s="2" t="str">
        <f>"85388"</f>
        <v>85388</v>
      </c>
      <c r="C11561" s="1">
        <v>4.8832203248266896E-3</v>
      </c>
      <c r="D11561" s="1">
        <v>6.6095629090674604E-4</v>
      </c>
      <c r="E11561" s="1">
        <v>2.31899254897611E-4</v>
      </c>
      <c r="F11561" s="1">
        <v>4.3619808810147999E-3</v>
      </c>
    </row>
    <row r="11562" spans="1:6" x14ac:dyDescent="0.25">
      <c r="A11562" s="2" t="str">
        <f t="shared" si="421"/>
        <v>38060</v>
      </c>
      <c r="B11562" s="2" t="str">
        <f>"85372"</f>
        <v>85372</v>
      </c>
      <c r="C11562" s="1">
        <v>3.6066544673161099E-4</v>
      </c>
      <c r="D11562" s="1">
        <v>1.6389566563134699E-3</v>
      </c>
      <c r="E11562" s="1">
        <v>2.0165152599792199E-5</v>
      </c>
      <c r="F11562" s="1">
        <v>4.4597868915703301E-4</v>
      </c>
    </row>
    <row r="11563" spans="1:6" x14ac:dyDescent="0.25">
      <c r="A11563" s="2" t="str">
        <f t="shared" si="421"/>
        <v>38060</v>
      </c>
      <c r="B11563" s="2" t="str">
        <f>"85373"</f>
        <v>85373</v>
      </c>
      <c r="C11563" s="1">
        <v>4.678685051746E-3</v>
      </c>
      <c r="D11563" s="1">
        <v>1.25742904123722E-3</v>
      </c>
      <c r="E11563" s="1">
        <v>6.2511973059356095E-4</v>
      </c>
      <c r="F11563" s="1">
        <v>4.2445300734673596E-3</v>
      </c>
    </row>
    <row r="11564" spans="1:6" x14ac:dyDescent="0.25">
      <c r="A11564" s="2" t="str">
        <f t="shared" si="421"/>
        <v>38060</v>
      </c>
      <c r="B11564" s="2" t="str">
        <f>"85327"</f>
        <v>85327</v>
      </c>
      <c r="C11564" s="1">
        <v>9.58136232830426E-4</v>
      </c>
      <c r="D11564" s="1">
        <v>3.2080561436693199E-3</v>
      </c>
      <c r="E11564" s="1">
        <v>2.0165152599792199E-5</v>
      </c>
      <c r="F11564" s="1">
        <v>1.09425698989045E-3</v>
      </c>
    </row>
    <row r="11565" spans="1:6" x14ac:dyDescent="0.25">
      <c r="A11565" s="2" t="str">
        <f t="shared" si="421"/>
        <v>38060</v>
      </c>
      <c r="B11565" s="2" t="str">
        <f>"85271"</f>
        <v>85271</v>
      </c>
      <c r="C11565" s="1">
        <v>2.08331751467338E-4</v>
      </c>
      <c r="D11565" s="1">
        <v>8.6515416939826097E-4</v>
      </c>
      <c r="E11565" s="1">
        <v>2.0165152599792199E-5</v>
      </c>
      <c r="F11565" s="1">
        <v>2.5162059125823202E-4</v>
      </c>
    </row>
    <row r="11566" spans="1:6" x14ac:dyDescent="0.25">
      <c r="A11566" s="2" t="str">
        <f t="shared" si="421"/>
        <v>38060</v>
      </c>
      <c r="B11566" s="2" t="str">
        <f>"85280"</f>
        <v>85280</v>
      </c>
      <c r="C11566" s="1">
        <v>1.1104699280946901E-3</v>
      </c>
      <c r="D11566" s="1">
        <v>1.2520554128558599E-3</v>
      </c>
      <c r="E11566" s="1">
        <v>2.0165152599792199E-5</v>
      </c>
      <c r="F11566" s="1">
        <v>1.07628409051486E-3</v>
      </c>
    </row>
    <row r="11567" spans="1:6" x14ac:dyDescent="0.25">
      <c r="A11567" s="2" t="str">
        <f t="shared" si="421"/>
        <v>38060</v>
      </c>
      <c r="B11567" s="2" t="str">
        <f>"85274"</f>
        <v>85274</v>
      </c>
      <c r="C11567" s="1">
        <v>6.0696198206543596E-4</v>
      </c>
      <c r="D11567" s="1">
        <v>1.59059400088127E-3</v>
      </c>
      <c r="E11567" s="1">
        <v>2.0165152599792199E-5</v>
      </c>
      <c r="F11567" s="1">
        <v>6.5914563523958899E-4</v>
      </c>
    </row>
    <row r="11568" spans="1:6" x14ac:dyDescent="0.25">
      <c r="A11568" s="2" t="str">
        <f t="shared" si="421"/>
        <v>38060</v>
      </c>
      <c r="B11568" s="2" t="str">
        <f>"85261"</f>
        <v>85261</v>
      </c>
      <c r="C11568" s="1">
        <v>5.2628681634915402E-4</v>
      </c>
      <c r="D11568" s="1">
        <v>3.5358474749320199E-3</v>
      </c>
      <c r="E11568" s="1">
        <v>2.0165152599792199E-5</v>
      </c>
      <c r="F11568" s="1">
        <v>7.3939672082361002E-4</v>
      </c>
    </row>
    <row r="11569" spans="1:6" x14ac:dyDescent="0.25">
      <c r="A11569" s="2" t="str">
        <f t="shared" si="421"/>
        <v>38060</v>
      </c>
      <c r="B11569" s="2" t="str">
        <f>"85287"</f>
        <v>85287</v>
      </c>
      <c r="C11569" s="1">
        <v>0</v>
      </c>
      <c r="D11569" s="1">
        <v>5.3736283813556497E-6</v>
      </c>
      <c r="E11569" s="1">
        <v>1.0082576299896099E-5</v>
      </c>
      <c r="F11569" s="1">
        <v>8.3594880816688501E-7</v>
      </c>
    </row>
    <row r="11570" spans="1:6" x14ac:dyDescent="0.25">
      <c r="A11570" s="2" t="str">
        <f t="shared" si="421"/>
        <v>38060</v>
      </c>
      <c r="B11570" s="2" t="str">
        <f>"85304"</f>
        <v>85304</v>
      </c>
      <c r="C11570" s="1">
        <v>4.8239003500353001E-3</v>
      </c>
      <c r="D11570" s="1">
        <v>1.6067148860253401E-3</v>
      </c>
      <c r="E11570" s="1">
        <v>6.15037154293665E-4</v>
      </c>
      <c r="F11570" s="1">
        <v>4.3991806029782298E-3</v>
      </c>
    </row>
    <row r="11571" spans="1:6" x14ac:dyDescent="0.25">
      <c r="A11571" s="2" t="str">
        <f t="shared" si="421"/>
        <v>38060</v>
      </c>
      <c r="B11571" s="2" t="str">
        <f>"85283"</f>
        <v>85283</v>
      </c>
      <c r="C11571" s="1">
        <v>9.3198798794238407E-3</v>
      </c>
      <c r="D11571" s="1">
        <v>9.5865530323384907E-3</v>
      </c>
      <c r="E11571" s="1">
        <v>1.01430717576955E-2</v>
      </c>
      <c r="F11571" s="1">
        <v>9.3747479091875301E-3</v>
      </c>
    </row>
    <row r="11572" spans="1:6" x14ac:dyDescent="0.25">
      <c r="A11572" s="2" t="str">
        <f t="shared" si="421"/>
        <v>38060</v>
      </c>
      <c r="B11572" s="2" t="str">
        <f>"85281"</f>
        <v>85281</v>
      </c>
      <c r="C11572" s="1">
        <v>1.7193776053332901E-2</v>
      </c>
      <c r="D11572" s="1">
        <v>2.78998785559985E-2</v>
      </c>
      <c r="E11572" s="1">
        <v>4.3213922021354802E-2</v>
      </c>
      <c r="F11572" s="1">
        <v>1.910519203625E-2</v>
      </c>
    </row>
    <row r="11573" spans="1:6" x14ac:dyDescent="0.25">
      <c r="A11573" s="2" t="str">
        <f t="shared" si="421"/>
        <v>38060</v>
      </c>
      <c r="B11573" s="2" t="str">
        <f>"85225"</f>
        <v>85225</v>
      </c>
      <c r="C11573" s="1">
        <v>1.37911822992991E-2</v>
      </c>
      <c r="D11573" s="1">
        <v>1.1241630573795999E-2</v>
      </c>
      <c r="E11573" s="1">
        <v>2.5125780139341199E-2</v>
      </c>
      <c r="F11573" s="1">
        <v>1.4062748825387401E-2</v>
      </c>
    </row>
    <row r="11574" spans="1:6" x14ac:dyDescent="0.25">
      <c r="A11574" s="2" t="str">
        <f t="shared" si="421"/>
        <v>38060</v>
      </c>
      <c r="B11574" s="2" t="str">
        <f>"85147"</f>
        <v>85147</v>
      </c>
      <c r="C11574" s="1">
        <v>4.7455979833106801E-7</v>
      </c>
      <c r="D11574" s="1">
        <v>0</v>
      </c>
      <c r="E11574" s="1">
        <v>1.0082576299896099E-5</v>
      </c>
      <c r="F11574" s="1">
        <v>8.3594880816688501E-7</v>
      </c>
    </row>
    <row r="11575" spans="1:6" x14ac:dyDescent="0.25">
      <c r="A11575" s="2" t="str">
        <f t="shared" si="421"/>
        <v>38060</v>
      </c>
      <c r="B11575" s="2" t="str">
        <f>"85145"</f>
        <v>85145</v>
      </c>
      <c r="C11575" s="1">
        <v>4.1808718232967001E-4</v>
      </c>
      <c r="D11575" s="1">
        <v>5.3736283813556497E-6</v>
      </c>
      <c r="E11575" s="1">
        <v>1.0082576299896099E-5</v>
      </c>
      <c r="F11575" s="1">
        <v>3.6907139880567902E-4</v>
      </c>
    </row>
    <row r="11576" spans="1:6" x14ac:dyDescent="0.25">
      <c r="A11576" s="2" t="str">
        <f t="shared" si="421"/>
        <v>38060</v>
      </c>
      <c r="B11576" s="2" t="str">
        <f>"85201"</f>
        <v>85201</v>
      </c>
      <c r="C11576" s="1">
        <v>1.11891709250499E-2</v>
      </c>
      <c r="D11576" s="1">
        <v>1.41326426429653E-2</v>
      </c>
      <c r="E11576" s="1">
        <v>1.36013954285599E-2</v>
      </c>
      <c r="F11576" s="1">
        <v>1.1518120653327401E-2</v>
      </c>
    </row>
    <row r="11577" spans="1:6" x14ac:dyDescent="0.25">
      <c r="A11577" s="2" t="str">
        <f t="shared" si="421"/>
        <v>38060</v>
      </c>
      <c r="B11577" s="2" t="str">
        <f>"85215"</f>
        <v>85215</v>
      </c>
      <c r="C11577" s="1">
        <v>4.2995117728794703E-3</v>
      </c>
      <c r="D11577" s="1">
        <v>8.7590142616097207E-3</v>
      </c>
      <c r="E11577" s="1">
        <v>3.4280759419646899E-3</v>
      </c>
      <c r="F11577" s="1">
        <v>4.6102576770403704E-3</v>
      </c>
    </row>
    <row r="11578" spans="1:6" x14ac:dyDescent="0.25">
      <c r="A11578" s="2" t="str">
        <f t="shared" si="421"/>
        <v>38060</v>
      </c>
      <c r="B11578" s="2" t="str">
        <f>"85033"</f>
        <v>85033</v>
      </c>
      <c r="C11578" s="1">
        <v>7.9493511818437192E-3</v>
      </c>
      <c r="D11578" s="1">
        <v>3.6540672993218399E-3</v>
      </c>
      <c r="E11578" s="1">
        <v>2.8533690928706102E-3</v>
      </c>
      <c r="F11578" s="1">
        <v>7.4039985939341E-3</v>
      </c>
    </row>
    <row r="11579" spans="1:6" x14ac:dyDescent="0.25">
      <c r="A11579" s="2" t="str">
        <f t="shared" si="421"/>
        <v>38060</v>
      </c>
      <c r="B11579" s="2" t="str">
        <f>"85137"</f>
        <v>85137</v>
      </c>
      <c r="C11579" s="1">
        <v>5.0872810381090503E-4</v>
      </c>
      <c r="D11579" s="1">
        <v>9.6725310864401799E-5</v>
      </c>
      <c r="E11579" s="1">
        <v>1.61321220798338E-4</v>
      </c>
      <c r="F11579" s="1">
        <v>4.6227969091628698E-4</v>
      </c>
    </row>
    <row r="11580" spans="1:6" x14ac:dyDescent="0.25">
      <c r="A11580" s="2" t="str">
        <f t="shared" si="421"/>
        <v>38060</v>
      </c>
      <c r="B11580" s="2" t="str">
        <f>"85076"</f>
        <v>85076</v>
      </c>
      <c r="C11580" s="1">
        <v>4.9259307066764799E-4</v>
      </c>
      <c r="D11580" s="1">
        <v>2.1816931228303901E-3</v>
      </c>
      <c r="E11580" s="1">
        <v>2.0165152599792199E-5</v>
      </c>
      <c r="F11580" s="1">
        <v>6.0439098830465795E-4</v>
      </c>
    </row>
    <row r="11581" spans="1:6" x14ac:dyDescent="0.25">
      <c r="A11581" s="2" t="str">
        <f t="shared" si="421"/>
        <v>38060</v>
      </c>
      <c r="B11581" s="2" t="str">
        <f>"85060"</f>
        <v>85060</v>
      </c>
      <c r="C11581" s="1">
        <v>7.3888960600147302E-4</v>
      </c>
      <c r="D11581" s="1">
        <v>1.7840446226100701E-3</v>
      </c>
      <c r="E11581" s="1">
        <v>2.0165152599792199E-5</v>
      </c>
      <c r="F11581" s="1">
        <v>7.9038959812179001E-4</v>
      </c>
    </row>
    <row r="11582" spans="1:6" x14ac:dyDescent="0.25">
      <c r="A11582" s="2" t="str">
        <f t="shared" si="421"/>
        <v>38060</v>
      </c>
      <c r="B11582" s="2" t="str">
        <f>"85079"</f>
        <v>85079</v>
      </c>
      <c r="C11582" s="1">
        <v>5.7706471477057797E-4</v>
      </c>
      <c r="D11582" s="1">
        <v>9.6725310864401799E-4</v>
      </c>
      <c r="E11582" s="1">
        <v>2.0165152599792199E-5</v>
      </c>
      <c r="F11582" s="1">
        <v>5.8432821690865202E-4</v>
      </c>
    </row>
    <row r="11583" spans="1:6" x14ac:dyDescent="0.25">
      <c r="A11583" s="2" t="str">
        <f t="shared" si="421"/>
        <v>38060</v>
      </c>
      <c r="B11583" s="2" t="str">
        <f>"85082"</f>
        <v>85082</v>
      </c>
      <c r="C11583" s="1">
        <v>1.09908049293475E-3</v>
      </c>
      <c r="D11583" s="1">
        <v>5.2500349285844704E-3</v>
      </c>
      <c r="E11583" s="1">
        <v>2.0165152599792199E-5</v>
      </c>
      <c r="F11583" s="1">
        <v>1.37722566145494E-3</v>
      </c>
    </row>
    <row r="11584" spans="1:6" x14ac:dyDescent="0.25">
      <c r="A11584" s="2" t="str">
        <f t="shared" si="421"/>
        <v>38060</v>
      </c>
      <c r="B11584" s="2" t="str">
        <f>"85078"</f>
        <v>85078</v>
      </c>
      <c r="C11584" s="1">
        <v>5.5001480626570701E-4</v>
      </c>
      <c r="D11584" s="1">
        <v>1.0908465614151901E-3</v>
      </c>
      <c r="E11584" s="1">
        <v>2.0165152599792199E-5</v>
      </c>
      <c r="F11584" s="1">
        <v>5.7011708716981496E-4</v>
      </c>
    </row>
    <row r="11585" spans="1:6" x14ac:dyDescent="0.25">
      <c r="A11585" s="2" t="str">
        <f t="shared" si="421"/>
        <v>38060</v>
      </c>
      <c r="B11585" s="2" t="str">
        <f>"85069"</f>
        <v>85069</v>
      </c>
      <c r="C11585" s="1">
        <v>1.0525736326983E-3</v>
      </c>
      <c r="D11585" s="1">
        <v>2.4288800283727499E-3</v>
      </c>
      <c r="E11585" s="1">
        <v>2.0165152599792199E-5</v>
      </c>
      <c r="F11585" s="1">
        <v>1.1168276077109501E-3</v>
      </c>
    </row>
    <row r="11586" spans="1:6" x14ac:dyDescent="0.25">
      <c r="A11586" s="2" t="str">
        <f t="shared" si="421"/>
        <v>38060</v>
      </c>
      <c r="B11586" s="2" t="str">
        <f>"85066"</f>
        <v>85066</v>
      </c>
      <c r="C11586" s="1">
        <v>8.8505402388744197E-4</v>
      </c>
      <c r="D11586" s="1">
        <v>1.7249347104151601E-3</v>
      </c>
      <c r="E11586" s="1">
        <v>2.0165152599792199E-5</v>
      </c>
      <c r="F11586" s="1">
        <v>9.1452799613457201E-4</v>
      </c>
    </row>
    <row r="11587" spans="1:6" x14ac:dyDescent="0.25">
      <c r="A11587" s="2" t="str">
        <f t="shared" si="421"/>
        <v>38060</v>
      </c>
      <c r="B11587" s="2" t="str">
        <f>"85014"</f>
        <v>85014</v>
      </c>
      <c r="C11587" s="1">
        <v>7.3514058359465699E-3</v>
      </c>
      <c r="D11587" s="1">
        <v>9.7477618837791598E-3</v>
      </c>
      <c r="E11587" s="1">
        <v>1.77957471693167E-2</v>
      </c>
      <c r="F11587" s="1">
        <v>7.9707718858712494E-3</v>
      </c>
    </row>
    <row r="11588" spans="1:6" x14ac:dyDescent="0.25">
      <c r="A11588" s="2" t="str">
        <f t="shared" si="421"/>
        <v>38060</v>
      </c>
      <c r="B11588" s="2" t="str">
        <f>"85012"</f>
        <v>85012</v>
      </c>
      <c r="C11588" s="1">
        <v>2.2940220651323801E-3</v>
      </c>
      <c r="D11588" s="1">
        <v>1.02421356948638E-2</v>
      </c>
      <c r="E11588" s="1">
        <v>4.46658130085399E-3</v>
      </c>
      <c r="F11588" s="1">
        <v>3.0023101445313602E-3</v>
      </c>
    </row>
    <row r="11589" spans="1:6" x14ac:dyDescent="0.25">
      <c r="A11589" s="2" t="str">
        <f t="shared" si="421"/>
        <v>38060</v>
      </c>
      <c r="B11589" s="2" t="str">
        <f>"85653"</f>
        <v>85653</v>
      </c>
      <c r="C11589" s="1">
        <v>1.4236793949931999E-6</v>
      </c>
      <c r="D11589" s="1">
        <v>6.9857168957623505E-5</v>
      </c>
      <c r="E11589" s="1">
        <v>1.0082576299896099E-5</v>
      </c>
      <c r="F11589" s="1">
        <v>7.1055648694185204E-6</v>
      </c>
    </row>
    <row r="11590" spans="1:6" x14ac:dyDescent="0.25">
      <c r="A11590" s="2" t="str">
        <f t="shared" si="421"/>
        <v>38060</v>
      </c>
      <c r="B11590" s="2" t="str">
        <f>"85618"</f>
        <v>85618</v>
      </c>
      <c r="C11590" s="1">
        <v>3.27446260848436E-5</v>
      </c>
      <c r="D11590" s="1">
        <v>5.3736283813556497E-6</v>
      </c>
      <c r="E11590" s="1">
        <v>0</v>
      </c>
      <c r="F11590" s="1">
        <v>2.92582082858409E-5</v>
      </c>
    </row>
    <row r="11591" spans="1:6" x14ac:dyDescent="0.25">
      <c r="A11591" s="2" t="str">
        <f t="shared" si="421"/>
        <v>38060</v>
      </c>
      <c r="B11591" s="2" t="str">
        <f>"85363"</f>
        <v>85363</v>
      </c>
      <c r="C11591" s="1">
        <v>1.33303847351197E-3</v>
      </c>
      <c r="D11591" s="1">
        <v>1.2359345277118E-3</v>
      </c>
      <c r="E11591" s="1">
        <v>1.17966142708784E-3</v>
      </c>
      <c r="F11591" s="1">
        <v>1.31912721928734E-3</v>
      </c>
    </row>
    <row r="11592" spans="1:6" x14ac:dyDescent="0.25">
      <c r="A11592" s="2" t="str">
        <f t="shared" si="421"/>
        <v>38060</v>
      </c>
      <c r="B11592" s="2" t="str">
        <f>"85345"</f>
        <v>85345</v>
      </c>
      <c r="C11592" s="1">
        <v>1.1068632736273801E-2</v>
      </c>
      <c r="D11592" s="1">
        <v>7.3350027405504701E-3</v>
      </c>
      <c r="E11592" s="1">
        <v>1.1131164235085299E-2</v>
      </c>
      <c r="F11592" s="1">
        <v>1.0780813804524199E-2</v>
      </c>
    </row>
    <row r="11593" spans="1:6" x14ac:dyDescent="0.25">
      <c r="A11593" s="2" t="str">
        <f t="shared" si="421"/>
        <v>38060</v>
      </c>
      <c r="B11593" s="2" t="str">
        <f>"85380"</f>
        <v>85380</v>
      </c>
      <c r="C11593" s="1">
        <v>7.6166847632136404E-4</v>
      </c>
      <c r="D11593" s="1">
        <v>1.19831912904231E-3</v>
      </c>
      <c r="E11593" s="1">
        <v>2.0165152599792199E-5</v>
      </c>
      <c r="F11593" s="1">
        <v>7.6489315947270002E-4</v>
      </c>
    </row>
    <row r="11594" spans="1:6" x14ac:dyDescent="0.25">
      <c r="A11594" s="2" t="str">
        <f t="shared" si="421"/>
        <v>38060</v>
      </c>
      <c r="B11594" s="2" t="str">
        <f>"85385"</f>
        <v>85385</v>
      </c>
      <c r="C11594" s="1">
        <v>4.1239246474969801E-4</v>
      </c>
      <c r="D11594" s="1">
        <v>1.78941825099143E-3</v>
      </c>
      <c r="E11594" s="1">
        <v>2.0165152599792199E-5</v>
      </c>
      <c r="F11594" s="1">
        <v>5.0324118251646502E-4</v>
      </c>
    </row>
    <row r="11595" spans="1:6" x14ac:dyDescent="0.25">
      <c r="A11595" s="2" t="str">
        <f t="shared" si="421"/>
        <v>38060</v>
      </c>
      <c r="B11595" s="2" t="str">
        <f>"85340"</f>
        <v>85340</v>
      </c>
      <c r="C11595" s="1">
        <v>6.6794291615097801E-3</v>
      </c>
      <c r="D11595" s="1">
        <v>5.3198920975420999E-3</v>
      </c>
      <c r="E11595" s="1">
        <v>1.3409826478861799E-3</v>
      </c>
      <c r="F11595" s="1">
        <v>6.3523749932601599E-3</v>
      </c>
    </row>
    <row r="11596" spans="1:6" x14ac:dyDescent="0.25">
      <c r="A11596" s="2" t="str">
        <f t="shared" si="421"/>
        <v>38060</v>
      </c>
      <c r="B11596" s="2" t="str">
        <f>"85331"</f>
        <v>85331</v>
      </c>
      <c r="C11596" s="1">
        <v>6.4060827176710801E-3</v>
      </c>
      <c r="D11596" s="1">
        <v>3.5251002181693101E-3</v>
      </c>
      <c r="E11596" s="1">
        <v>1.70395539468244E-3</v>
      </c>
      <c r="F11596" s="1">
        <v>5.98706536409123E-3</v>
      </c>
    </row>
    <row r="11597" spans="1:6" x14ac:dyDescent="0.25">
      <c r="A11597" s="2" t="str">
        <f t="shared" si="421"/>
        <v>38060</v>
      </c>
      <c r="B11597" s="2" t="str">
        <f>"85269"</f>
        <v>85269</v>
      </c>
      <c r="C11597" s="1">
        <v>1.1014532919264E-3</v>
      </c>
      <c r="D11597" s="1">
        <v>2.5041108257117298E-3</v>
      </c>
      <c r="E11597" s="1">
        <v>2.0165152599792199E-5</v>
      </c>
      <c r="F11597" s="1">
        <v>1.1657306129887199E-3</v>
      </c>
    </row>
    <row r="11598" spans="1:6" x14ac:dyDescent="0.25">
      <c r="A11598" s="2" t="str">
        <f t="shared" si="421"/>
        <v>38060</v>
      </c>
      <c r="B11598" s="2" t="str">
        <f>"85268"</f>
        <v>85268</v>
      </c>
      <c r="C11598" s="1">
        <v>6.91528538128032E-3</v>
      </c>
      <c r="D11598" s="1">
        <v>6.18504626694036E-3</v>
      </c>
      <c r="E11598" s="1">
        <v>1.9035904054203901E-2</v>
      </c>
      <c r="F11598" s="1">
        <v>7.3609472303135101E-3</v>
      </c>
    </row>
    <row r="11599" spans="1:6" x14ac:dyDescent="0.25">
      <c r="A11599" s="2" t="str">
        <f t="shared" si="421"/>
        <v>38060</v>
      </c>
      <c r="B11599" s="2" t="str">
        <f>"85260"</f>
        <v>85260</v>
      </c>
      <c r="C11599" s="1">
        <v>9.5865824860859004E-3</v>
      </c>
      <c r="D11599" s="1">
        <v>2.8404999623845999E-2</v>
      </c>
      <c r="E11599" s="1">
        <v>3.37060525705528E-2</v>
      </c>
      <c r="F11599" s="1">
        <v>1.20502020697256E-2</v>
      </c>
    </row>
    <row r="11600" spans="1:6" x14ac:dyDescent="0.25">
      <c r="A11600" s="2" t="str">
        <f t="shared" si="421"/>
        <v>38060</v>
      </c>
      <c r="B11600" s="2" t="str">
        <f>"85310"</f>
        <v>85310</v>
      </c>
      <c r="C11600" s="1">
        <v>3.3769675249238798E-3</v>
      </c>
      <c r="D11600" s="1">
        <v>2.9716164948896699E-3</v>
      </c>
      <c r="E11600" s="1">
        <v>5.54541696494288E-4</v>
      </c>
      <c r="F11600" s="1">
        <v>3.2284342971405102E-3</v>
      </c>
    </row>
    <row r="11601" spans="1:6" x14ac:dyDescent="0.25">
      <c r="A11601" s="2" t="str">
        <f t="shared" si="421"/>
        <v>38060</v>
      </c>
      <c r="B11601" s="2" t="str">
        <f>"85307"</f>
        <v>85307</v>
      </c>
      <c r="C11601" s="1">
        <v>1.90251023150925E-3</v>
      </c>
      <c r="D11601" s="1">
        <v>1.25742904123722E-3</v>
      </c>
      <c r="E11601" s="1">
        <v>2.4299008882749701E-3</v>
      </c>
      <c r="F11601" s="1">
        <v>1.8741972279101499E-3</v>
      </c>
    </row>
    <row r="11602" spans="1:6" x14ac:dyDescent="0.25">
      <c r="A11602" s="2" t="str">
        <f t="shared" si="421"/>
        <v>38060</v>
      </c>
      <c r="B11602" s="2" t="str">
        <f>"85306"</f>
        <v>85306</v>
      </c>
      <c r="C11602" s="1">
        <v>4.7299375099657502E-3</v>
      </c>
      <c r="D11602" s="1">
        <v>4.0141004008726697E-3</v>
      </c>
      <c r="E11602" s="1">
        <v>1.4418084108851401E-3</v>
      </c>
      <c r="F11602" s="1">
        <v>4.5379481051339302E-3</v>
      </c>
    </row>
    <row r="11603" spans="1:6" x14ac:dyDescent="0.25">
      <c r="A11603" s="2" t="str">
        <f t="shared" si="421"/>
        <v>38060</v>
      </c>
      <c r="B11603" s="2" t="str">
        <f>"85296"</f>
        <v>85296</v>
      </c>
      <c r="C11603" s="1">
        <v>8.3679129239717202E-3</v>
      </c>
      <c r="D11603" s="1">
        <v>6.7385299902199903E-3</v>
      </c>
      <c r="E11603" s="1">
        <v>3.0046077373690498E-3</v>
      </c>
      <c r="F11603" s="1">
        <v>8.0188389423408394E-3</v>
      </c>
    </row>
    <row r="11604" spans="1:6" x14ac:dyDescent="0.25">
      <c r="A11604" s="2" t="str">
        <f t="shared" si="421"/>
        <v>38060</v>
      </c>
      <c r="B11604" s="2" t="str">
        <f>"85295"</f>
        <v>85295</v>
      </c>
      <c r="C11604" s="1">
        <v>8.9155549312457706E-3</v>
      </c>
      <c r="D11604" s="1">
        <v>1.15855427902028E-2</v>
      </c>
      <c r="E11604" s="1">
        <v>5.6059124227422503E-3</v>
      </c>
      <c r="F11604" s="1">
        <v>8.9860317133899307E-3</v>
      </c>
    </row>
    <row r="11605" spans="1:6" x14ac:dyDescent="0.25">
      <c r="A11605" s="2" t="str">
        <f t="shared" si="421"/>
        <v>38060</v>
      </c>
      <c r="B11605" s="2" t="str">
        <f>"85301"</f>
        <v>85301</v>
      </c>
      <c r="C11605" s="1">
        <v>1.18431143271501E-2</v>
      </c>
      <c r="D11605" s="1">
        <v>1.49064451298805E-2</v>
      </c>
      <c r="E11605" s="1">
        <v>1.58699750960365E-2</v>
      </c>
      <c r="F11605" s="1">
        <v>1.22483219372612E-2</v>
      </c>
    </row>
    <row r="11606" spans="1:6" x14ac:dyDescent="0.25">
      <c r="A11606" s="2" t="str">
        <f t="shared" si="421"/>
        <v>38060</v>
      </c>
      <c r="B11606" s="2" t="str">
        <f>"85207"</f>
        <v>85207</v>
      </c>
      <c r="C11606" s="1">
        <v>1.0191646228958001E-2</v>
      </c>
      <c r="D11606" s="1">
        <v>3.3209023396777899E-3</v>
      </c>
      <c r="E11606" s="1">
        <v>2.5307266512739298E-3</v>
      </c>
      <c r="F11606" s="1">
        <v>9.3396380592445198E-3</v>
      </c>
    </row>
    <row r="11607" spans="1:6" x14ac:dyDescent="0.25">
      <c r="A11607" s="2" t="str">
        <f t="shared" si="421"/>
        <v>38060</v>
      </c>
      <c r="B11607" s="2" t="str">
        <f>"85203"</f>
        <v>85203</v>
      </c>
      <c r="C11607" s="1">
        <v>6.7031571514263302E-3</v>
      </c>
      <c r="D11607" s="1">
        <v>5.73903511128784E-3</v>
      </c>
      <c r="E11607" s="1">
        <v>8.31812544741432E-3</v>
      </c>
      <c r="F11607" s="1">
        <v>6.6951140046085803E-3</v>
      </c>
    </row>
    <row r="11608" spans="1:6" x14ac:dyDescent="0.25">
      <c r="A11608" s="2" t="str">
        <f t="shared" si="421"/>
        <v>38060</v>
      </c>
      <c r="B11608" s="2" t="str">
        <f>"85194"</f>
        <v>85194</v>
      </c>
      <c r="C11608" s="1">
        <v>1.89729007372761E-3</v>
      </c>
      <c r="D11608" s="1">
        <v>8.1141788558470403E-4</v>
      </c>
      <c r="E11608" s="1">
        <v>6.2209495770359198E-3</v>
      </c>
      <c r="F11608" s="1">
        <v>1.9920660098616799E-3</v>
      </c>
    </row>
    <row r="11609" spans="1:6" x14ac:dyDescent="0.25">
      <c r="A11609" s="2" t="str">
        <f t="shared" ref="A11609:A11672" si="422">"38060"</f>
        <v>38060</v>
      </c>
      <c r="B11609" s="2" t="str">
        <f>"85213"</f>
        <v>85213</v>
      </c>
      <c r="C11609" s="1">
        <v>7.4505888337977602E-3</v>
      </c>
      <c r="D11609" s="1">
        <v>2.9823637516523901E-3</v>
      </c>
      <c r="E11609" s="1">
        <v>3.53898428126354E-3</v>
      </c>
      <c r="F11609" s="1">
        <v>6.9408829542096503E-3</v>
      </c>
    </row>
    <row r="11610" spans="1:6" x14ac:dyDescent="0.25">
      <c r="A11610" s="2" t="str">
        <f t="shared" si="422"/>
        <v>38060</v>
      </c>
      <c r="B11610" s="2" t="str">
        <f>"85212"</f>
        <v>85212</v>
      </c>
      <c r="C11610" s="1">
        <v>7.6195321220036199E-3</v>
      </c>
      <c r="D11610" s="1">
        <v>5.0512106784743101E-3</v>
      </c>
      <c r="E11610" s="1">
        <v>3.3373327552656202E-3</v>
      </c>
      <c r="F11610" s="1">
        <v>7.2422424995538101E-3</v>
      </c>
    </row>
    <row r="11611" spans="1:6" x14ac:dyDescent="0.25">
      <c r="A11611" s="2" t="str">
        <f t="shared" si="422"/>
        <v>38060</v>
      </c>
      <c r="B11611" s="2" t="str">
        <f>"85141"</f>
        <v>85141</v>
      </c>
      <c r="C11611" s="1">
        <v>5.36252572114106E-5</v>
      </c>
      <c r="D11611" s="1">
        <v>2.6868141906778199E-5</v>
      </c>
      <c r="E11611" s="1">
        <v>1.0082576299896099E-5</v>
      </c>
      <c r="F11611" s="1">
        <v>4.9738954085929602E-5</v>
      </c>
    </row>
    <row r="11612" spans="1:6" x14ac:dyDescent="0.25">
      <c r="A11612" s="2" t="str">
        <f t="shared" si="422"/>
        <v>38060</v>
      </c>
      <c r="B11612" s="2" t="str">
        <f>"85140"</f>
        <v>85140</v>
      </c>
      <c r="C11612" s="1">
        <v>7.2901876219618597E-3</v>
      </c>
      <c r="D11612" s="1">
        <v>3.2134297720506802E-3</v>
      </c>
      <c r="E11612" s="1">
        <v>1.00825762998961E-3</v>
      </c>
      <c r="F11612" s="1">
        <v>6.7126689295800897E-3</v>
      </c>
    </row>
    <row r="11613" spans="1:6" x14ac:dyDescent="0.25">
      <c r="A11613" s="2" t="str">
        <f t="shared" si="422"/>
        <v>38060</v>
      </c>
      <c r="B11613" s="2" t="str">
        <f>"85040"</f>
        <v>85040</v>
      </c>
      <c r="C11613" s="1">
        <v>5.35303452517444E-3</v>
      </c>
      <c r="D11613" s="1">
        <v>1.5519038765355099E-2</v>
      </c>
      <c r="E11613" s="1">
        <v>1.1978100644276599E-2</v>
      </c>
      <c r="F11613" s="1">
        <v>6.4184149491053402E-3</v>
      </c>
    </row>
    <row r="11614" spans="1:6" x14ac:dyDescent="0.25">
      <c r="A11614" s="2" t="str">
        <f t="shared" si="422"/>
        <v>38060</v>
      </c>
      <c r="B11614" s="2" t="str">
        <f>"85074"</f>
        <v>85074</v>
      </c>
      <c r="C11614" s="1">
        <v>2.10229990660663E-4</v>
      </c>
      <c r="D11614" s="1">
        <v>3.7078035831354E-4</v>
      </c>
      <c r="E11614" s="1">
        <v>2.0165152599792199E-5</v>
      </c>
      <c r="F11614" s="1">
        <v>2.1483884369888901E-4</v>
      </c>
    </row>
    <row r="11615" spans="1:6" x14ac:dyDescent="0.25">
      <c r="A11615" s="2" t="str">
        <f t="shared" si="422"/>
        <v>38060</v>
      </c>
      <c r="B11615" s="2" t="str">
        <f>"85085"</f>
        <v>85085</v>
      </c>
      <c r="C11615" s="1">
        <v>5.6880737427961797E-3</v>
      </c>
      <c r="D11615" s="1">
        <v>3.8206497791438698E-3</v>
      </c>
      <c r="E11615" s="1">
        <v>2.14758875187787E-3</v>
      </c>
      <c r="F11615" s="1">
        <v>5.39604955671724E-3</v>
      </c>
    </row>
    <row r="11616" spans="1:6" x14ac:dyDescent="0.25">
      <c r="A11616" s="2" t="str">
        <f t="shared" si="422"/>
        <v>38060</v>
      </c>
      <c r="B11616" s="2" t="str">
        <f>"85064"</f>
        <v>85064</v>
      </c>
      <c r="C11616" s="1">
        <v>7.4600800297643902E-4</v>
      </c>
      <c r="D11616" s="1">
        <v>4.1538147387879202E-3</v>
      </c>
      <c r="E11616" s="1">
        <v>2.0165152599792199E-5</v>
      </c>
      <c r="F11616" s="1">
        <v>9.8098592638384005E-4</v>
      </c>
    </row>
    <row r="11617" spans="1:6" x14ac:dyDescent="0.25">
      <c r="A11617" s="2" t="str">
        <f t="shared" si="422"/>
        <v>38060</v>
      </c>
      <c r="B11617" s="2" t="str">
        <f>"85119"</f>
        <v>85119</v>
      </c>
      <c r="C11617" s="1">
        <v>5.8494240742287401E-3</v>
      </c>
      <c r="D11617" s="1">
        <v>1.54223134544907E-3</v>
      </c>
      <c r="E11617" s="1">
        <v>5.09170103144755E-3</v>
      </c>
      <c r="F11617" s="1">
        <v>5.4829882327665997E-3</v>
      </c>
    </row>
    <row r="11618" spans="1:6" x14ac:dyDescent="0.25">
      <c r="A11618" s="2" t="str">
        <f t="shared" si="422"/>
        <v>38060</v>
      </c>
      <c r="B11618" s="2" t="str">
        <f>"85024"</f>
        <v>85024</v>
      </c>
      <c r="C11618" s="1">
        <v>5.3658476397293797E-3</v>
      </c>
      <c r="D11618" s="1">
        <v>3.71855083989811E-3</v>
      </c>
      <c r="E11618" s="1">
        <v>5.3034351337453703E-3</v>
      </c>
      <c r="F11618" s="1">
        <v>5.2351294111451204E-3</v>
      </c>
    </row>
    <row r="11619" spans="1:6" x14ac:dyDescent="0.25">
      <c r="A11619" s="2" t="str">
        <f t="shared" si="422"/>
        <v>38060</v>
      </c>
      <c r="B11619" s="2" t="str">
        <f>"85048"</f>
        <v>85048</v>
      </c>
      <c r="C11619" s="1">
        <v>6.7031571514263302E-3</v>
      </c>
      <c r="D11619" s="1">
        <v>3.7776607520930202E-3</v>
      </c>
      <c r="E11619" s="1">
        <v>3.8717092991601199E-3</v>
      </c>
      <c r="F11619" s="1">
        <v>6.3582266349173303E-3</v>
      </c>
    </row>
    <row r="11620" spans="1:6" x14ac:dyDescent="0.25">
      <c r="A11620" s="2" t="str">
        <f t="shared" si="422"/>
        <v>38060</v>
      </c>
      <c r="B11620" s="2" t="str">
        <f>"85045"</f>
        <v>85045</v>
      </c>
      <c r="C11620" s="1">
        <v>1.48727040796956E-3</v>
      </c>
      <c r="D11620" s="1">
        <v>1.61208851440669E-5</v>
      </c>
      <c r="E11620" s="1">
        <v>3.02477288996884E-5</v>
      </c>
      <c r="F11620" s="1">
        <v>1.31243962882201E-3</v>
      </c>
    </row>
    <row r="11621" spans="1:6" x14ac:dyDescent="0.25">
      <c r="A11621" s="2" t="str">
        <f t="shared" si="422"/>
        <v>38060</v>
      </c>
      <c r="B11621" s="2" t="str">
        <f>"85051"</f>
        <v>85051</v>
      </c>
      <c r="C11621" s="1">
        <v>8.0205351515933807E-3</v>
      </c>
      <c r="D11621" s="1">
        <v>7.2221565445419996E-3</v>
      </c>
      <c r="E11621" s="1">
        <v>7.8442443613192005E-3</v>
      </c>
      <c r="F11621" s="1">
        <v>7.9511270888793298E-3</v>
      </c>
    </row>
    <row r="11622" spans="1:6" x14ac:dyDescent="0.25">
      <c r="A11622" s="2" t="str">
        <f t="shared" si="422"/>
        <v>38060</v>
      </c>
      <c r="B11622" s="2" t="str">
        <f>"85011"</f>
        <v>85011</v>
      </c>
      <c r="C11622" s="1">
        <v>4.8642379328934398E-4</v>
      </c>
      <c r="D11622" s="1">
        <v>1.09622018979655E-3</v>
      </c>
      <c r="E11622" s="1">
        <v>2.0165152599792199E-5</v>
      </c>
      <c r="F11622" s="1">
        <v>5.1452649142671796E-4</v>
      </c>
    </row>
    <row r="11623" spans="1:6" x14ac:dyDescent="0.25">
      <c r="A11623" s="2" t="str">
        <f t="shared" si="422"/>
        <v>38060</v>
      </c>
      <c r="B11623" s="2" t="str">
        <f>"85631"</f>
        <v>85631</v>
      </c>
      <c r="C11623" s="1">
        <v>8.5230939780259803E-4</v>
      </c>
      <c r="D11623" s="1">
        <v>3.8690124345760698E-4</v>
      </c>
      <c r="E11623" s="1">
        <v>2.8231213639709198E-4</v>
      </c>
      <c r="F11623" s="1">
        <v>7.9247947014220697E-4</v>
      </c>
    </row>
    <row r="11624" spans="1:6" x14ac:dyDescent="0.25">
      <c r="A11624" s="2" t="str">
        <f t="shared" si="422"/>
        <v>38060</v>
      </c>
      <c r="B11624" s="2" t="str">
        <f>"85354"</f>
        <v>85354</v>
      </c>
      <c r="C11624" s="1">
        <v>1.35059718605021E-3</v>
      </c>
      <c r="D11624" s="1">
        <v>2.5256053392371501E-4</v>
      </c>
      <c r="E11624" s="1">
        <v>3.4280759419646898E-4</v>
      </c>
      <c r="F11624" s="1">
        <v>1.22341108075223E-3</v>
      </c>
    </row>
    <row r="11625" spans="1:6" x14ac:dyDescent="0.25">
      <c r="A11625" s="2" t="str">
        <f t="shared" si="422"/>
        <v>38060</v>
      </c>
      <c r="B11625" s="2" t="str">
        <f>"85381"</f>
        <v>85381</v>
      </c>
      <c r="C11625" s="1">
        <v>5.16700708422866E-3</v>
      </c>
      <c r="D11625" s="1">
        <v>5.3790020097370097E-3</v>
      </c>
      <c r="E11625" s="1">
        <v>3.0550206188685301E-3</v>
      </c>
      <c r="F11625" s="1">
        <v>5.0959439345853296E-3</v>
      </c>
    </row>
    <row r="11626" spans="1:6" x14ac:dyDescent="0.25">
      <c r="A11626" s="2" t="str">
        <f t="shared" si="422"/>
        <v>38060</v>
      </c>
      <c r="B11626" s="2" t="str">
        <f>"85392"</f>
        <v>85392</v>
      </c>
      <c r="C11626" s="1">
        <v>6.5811952832552497E-3</v>
      </c>
      <c r="D11626" s="1">
        <v>4.0517157995421599E-3</v>
      </c>
      <c r="E11626" s="1">
        <v>1.46197356348494E-3</v>
      </c>
      <c r="F11626" s="1">
        <v>6.1722280251001902E-3</v>
      </c>
    </row>
    <row r="11627" spans="1:6" x14ac:dyDescent="0.25">
      <c r="A11627" s="2" t="str">
        <f t="shared" si="422"/>
        <v>38060</v>
      </c>
      <c r="B11627" s="2" t="str">
        <f>"85339"</f>
        <v>85339</v>
      </c>
      <c r="C11627" s="1">
        <v>7.0998891428311001E-3</v>
      </c>
      <c r="D11627" s="1">
        <v>2.6921878190591798E-3</v>
      </c>
      <c r="E11627" s="1">
        <v>9.3767959589034105E-4</v>
      </c>
      <c r="F11627" s="1">
        <v>6.50159185551795E-3</v>
      </c>
    </row>
    <row r="11628" spans="1:6" x14ac:dyDescent="0.25">
      <c r="A11628" s="2" t="str">
        <f t="shared" si="422"/>
        <v>38060</v>
      </c>
      <c r="B11628" s="2" t="str">
        <f>"85259"</f>
        <v>85259</v>
      </c>
      <c r="C11628" s="1">
        <v>5.0407741778725999E-3</v>
      </c>
      <c r="D11628" s="1">
        <v>1.95600073081345E-3</v>
      </c>
      <c r="E11628" s="1">
        <v>4.1842691644569004E-3</v>
      </c>
      <c r="F11628" s="1">
        <v>4.76532618095533E-3</v>
      </c>
    </row>
    <row r="11629" spans="1:6" x14ac:dyDescent="0.25">
      <c r="A11629" s="2" t="str">
        <f t="shared" si="422"/>
        <v>38060</v>
      </c>
      <c r="B11629" s="2" t="str">
        <f>"85312"</f>
        <v>85312</v>
      </c>
      <c r="C11629" s="1">
        <v>5.6330248061897703E-4</v>
      </c>
      <c r="D11629" s="1">
        <v>2.2945393188388602E-3</v>
      </c>
      <c r="E11629" s="1">
        <v>2.0165152599792199E-5</v>
      </c>
      <c r="F11629" s="1">
        <v>6.7544663699884301E-4</v>
      </c>
    </row>
    <row r="11630" spans="1:6" x14ac:dyDescent="0.25">
      <c r="A11630" s="2" t="str">
        <f t="shared" si="422"/>
        <v>38060</v>
      </c>
      <c r="B11630" s="2" t="str">
        <f>"85320"</f>
        <v>85320</v>
      </c>
      <c r="C11630" s="1">
        <v>3.7964783866485397E-5</v>
      </c>
      <c r="D11630" s="1">
        <v>0</v>
      </c>
      <c r="E11630" s="1">
        <v>3.02477288996884E-5</v>
      </c>
      <c r="F11630" s="1">
        <v>3.4691875538925699E-5</v>
      </c>
    </row>
    <row r="11631" spans="1:6" x14ac:dyDescent="0.25">
      <c r="A11631" s="2" t="str">
        <f t="shared" si="422"/>
        <v>38060</v>
      </c>
      <c r="B11631" s="2" t="str">
        <f>"85302"</f>
        <v>85302</v>
      </c>
      <c r="C11631" s="1">
        <v>7.6660389822400697E-3</v>
      </c>
      <c r="D11631" s="1">
        <v>3.9334959751523403E-3</v>
      </c>
      <c r="E11631" s="1">
        <v>2.9541948558695699E-3</v>
      </c>
      <c r="F11631" s="1">
        <v>7.1803822877494596E-3</v>
      </c>
    </row>
    <row r="11632" spans="1:6" x14ac:dyDescent="0.25">
      <c r="A11632" s="2" t="str">
        <f t="shared" si="422"/>
        <v>38060</v>
      </c>
      <c r="B11632" s="2" t="str">
        <f>"85255"</f>
        <v>85255</v>
      </c>
      <c r="C11632" s="1">
        <v>1.15816318782697E-2</v>
      </c>
      <c r="D11632" s="1">
        <v>1.45141702580416E-2</v>
      </c>
      <c r="E11632" s="1">
        <v>8.7920065335094395E-3</v>
      </c>
      <c r="F11632" s="1">
        <v>1.16940878774465E-2</v>
      </c>
    </row>
    <row r="11633" spans="1:6" x14ac:dyDescent="0.25">
      <c r="A11633" s="2" t="str">
        <f t="shared" si="422"/>
        <v>38060</v>
      </c>
      <c r="B11633" s="2" t="str">
        <f>"85282"</f>
        <v>85282</v>
      </c>
      <c r="C11633" s="1">
        <v>1.1673221919347601E-2</v>
      </c>
      <c r="D11633" s="1">
        <v>2.1150601309015801E-2</v>
      </c>
      <c r="E11633" s="1">
        <v>4.2477893951462398E-2</v>
      </c>
      <c r="F11633" s="1">
        <v>1.3687407810520399E-2</v>
      </c>
    </row>
    <row r="11634" spans="1:6" x14ac:dyDescent="0.25">
      <c r="A11634" s="2" t="str">
        <f t="shared" si="422"/>
        <v>38060</v>
      </c>
      <c r="B11634" s="2" t="str">
        <f>"85286"</f>
        <v>85286</v>
      </c>
      <c r="C11634" s="1">
        <v>8.5321106141942708E-3</v>
      </c>
      <c r="D11634" s="1">
        <v>5.36288112459294E-3</v>
      </c>
      <c r="E11634" s="1">
        <v>4.6581502505520199E-3</v>
      </c>
      <c r="F11634" s="1">
        <v>8.1250044409780404E-3</v>
      </c>
    </row>
    <row r="11635" spans="1:6" x14ac:dyDescent="0.25">
      <c r="A11635" s="2" t="str">
        <f t="shared" si="422"/>
        <v>38060</v>
      </c>
      <c r="B11635" s="2" t="str">
        <f>"85252"</f>
        <v>85252</v>
      </c>
      <c r="C11635" s="1">
        <v>7.7590527027129603E-4</v>
      </c>
      <c r="D11635" s="1">
        <v>3.1811880017625499E-3</v>
      </c>
      <c r="E11635" s="1">
        <v>2.0165152599792199E-5</v>
      </c>
      <c r="F11635" s="1">
        <v>9.3166494670199297E-4</v>
      </c>
    </row>
    <row r="11636" spans="1:6" x14ac:dyDescent="0.25">
      <c r="A11636" s="2" t="str">
        <f t="shared" si="422"/>
        <v>38060</v>
      </c>
      <c r="B11636" s="2" t="str">
        <f>"85251"</f>
        <v>85251</v>
      </c>
      <c r="C11636" s="1">
        <v>1.2441534232845599E-2</v>
      </c>
      <c r="D11636" s="1">
        <v>2.1430029984846301E-2</v>
      </c>
      <c r="E11636" s="1">
        <v>3.7174458817717103E-2</v>
      </c>
      <c r="F11636" s="1">
        <v>1.4165988503196E-2</v>
      </c>
    </row>
    <row r="11637" spans="1:6" x14ac:dyDescent="0.25">
      <c r="A11637" s="2" t="str">
        <f t="shared" si="422"/>
        <v>38060</v>
      </c>
      <c r="B11637" s="2" t="str">
        <f>"85250"</f>
        <v>85250</v>
      </c>
      <c r="C11637" s="1">
        <v>4.7408523853273701E-3</v>
      </c>
      <c r="D11637" s="1">
        <v>3.7346717250421801E-3</v>
      </c>
      <c r="E11637" s="1">
        <v>1.64144342162309E-2</v>
      </c>
      <c r="F11637" s="1">
        <v>5.1465188374794297E-3</v>
      </c>
    </row>
    <row r="11638" spans="1:6" x14ac:dyDescent="0.25">
      <c r="A11638" s="2" t="str">
        <f t="shared" si="422"/>
        <v>38060</v>
      </c>
      <c r="B11638" s="2" t="str">
        <f>"85226"</f>
        <v>85226</v>
      </c>
      <c r="C11638" s="1">
        <v>8.1111760730746101E-3</v>
      </c>
      <c r="D11638" s="1">
        <v>1.19240813782282E-2</v>
      </c>
      <c r="E11638" s="1">
        <v>9.3465482300037293E-3</v>
      </c>
      <c r="F11638" s="1">
        <v>8.45896598984071E-3</v>
      </c>
    </row>
    <row r="11639" spans="1:6" x14ac:dyDescent="0.25">
      <c r="A11639" s="2" t="str">
        <f t="shared" si="422"/>
        <v>38060</v>
      </c>
      <c r="B11639" s="2" t="str">
        <f>"85173"</f>
        <v>85173</v>
      </c>
      <c r="C11639" s="1">
        <v>6.9950114273999403E-4</v>
      </c>
      <c r="D11639" s="1">
        <v>4.7287929755929702E-4</v>
      </c>
      <c r="E11639" s="1">
        <v>4.53715933495326E-4</v>
      </c>
      <c r="F11639" s="1">
        <v>6.7168486736209196E-4</v>
      </c>
    </row>
    <row r="11640" spans="1:6" x14ac:dyDescent="0.25">
      <c r="A11640" s="2" t="str">
        <f t="shared" si="422"/>
        <v>38060</v>
      </c>
      <c r="B11640" s="2" t="str">
        <f>"85216"</f>
        <v>85216</v>
      </c>
      <c r="C11640" s="1">
        <v>9.2823896553556899E-4</v>
      </c>
      <c r="D11640" s="1">
        <v>2.28379206207615E-3</v>
      </c>
      <c r="E11640" s="1">
        <v>2.0165152599792199E-5</v>
      </c>
      <c r="F11640" s="1">
        <v>9.9603300493084405E-4</v>
      </c>
    </row>
    <row r="11641" spans="1:6" x14ac:dyDescent="0.25">
      <c r="A11641" s="2" t="str">
        <f t="shared" si="422"/>
        <v>38060</v>
      </c>
      <c r="B11641" s="2" t="str">
        <f>"85210"</f>
        <v>85210</v>
      </c>
      <c r="C11641" s="1">
        <v>7.9996545204668104E-3</v>
      </c>
      <c r="D11641" s="1">
        <v>1.8469160746719299E-2</v>
      </c>
      <c r="E11641" s="1">
        <v>1.10101733194865E-2</v>
      </c>
      <c r="F11641" s="1">
        <v>8.9388006057285006E-3</v>
      </c>
    </row>
    <row r="11642" spans="1:6" x14ac:dyDescent="0.25">
      <c r="A11642" s="2" t="str">
        <f t="shared" si="422"/>
        <v>38060</v>
      </c>
      <c r="B11642" s="2" t="str">
        <f>"85035"</f>
        <v>85035</v>
      </c>
      <c r="C11642" s="1">
        <v>7.4401485182344802E-3</v>
      </c>
      <c r="D11642" s="1">
        <v>1.9828688727202299E-3</v>
      </c>
      <c r="E11642" s="1">
        <v>2.1072584466782902E-3</v>
      </c>
      <c r="F11642" s="1">
        <v>6.7945919127804398E-3</v>
      </c>
    </row>
    <row r="11643" spans="1:6" x14ac:dyDescent="0.25">
      <c r="A11643" s="2" t="str">
        <f t="shared" si="422"/>
        <v>38060</v>
      </c>
      <c r="B11643" s="2" t="str">
        <f>"85037"</f>
        <v>85037</v>
      </c>
      <c r="C11643" s="1">
        <v>7.2123598150355701E-3</v>
      </c>
      <c r="D11643" s="1">
        <v>3.22417702881339E-3</v>
      </c>
      <c r="E11643" s="1">
        <v>4.15402143555721E-3</v>
      </c>
      <c r="F11643" s="1">
        <v>6.7753650901926001E-3</v>
      </c>
    </row>
    <row r="11644" spans="1:6" x14ac:dyDescent="0.25">
      <c r="A11644" s="2" t="str">
        <f t="shared" si="422"/>
        <v>38060</v>
      </c>
      <c r="B11644" s="2" t="str">
        <f>"85070"</f>
        <v>85070</v>
      </c>
      <c r="C11644" s="1">
        <v>5.3293065352578897E-4</v>
      </c>
      <c r="D11644" s="1">
        <v>1.39714337915247E-3</v>
      </c>
      <c r="E11644" s="1">
        <v>2.0165152599792199E-5</v>
      </c>
      <c r="F11644" s="1">
        <v>5.7889454965556796E-4</v>
      </c>
    </row>
    <row r="11645" spans="1:6" x14ac:dyDescent="0.25">
      <c r="A11645" s="2" t="str">
        <f t="shared" si="422"/>
        <v>38060</v>
      </c>
      <c r="B11645" s="2" t="str">
        <f>"85121"</f>
        <v>85121</v>
      </c>
      <c r="C11645" s="1">
        <v>3.4832689197500301E-4</v>
      </c>
      <c r="D11645" s="1">
        <v>7.5230797338979194E-5</v>
      </c>
      <c r="E11645" s="1">
        <v>1.0082576299896099E-5</v>
      </c>
      <c r="F11645" s="1">
        <v>3.1306282865849801E-4</v>
      </c>
    </row>
    <row r="11646" spans="1:6" x14ac:dyDescent="0.25">
      <c r="A11646" s="2" t="str">
        <f t="shared" si="422"/>
        <v>38060</v>
      </c>
      <c r="B11646" s="2" t="str">
        <f>"85026"</f>
        <v>85026</v>
      </c>
      <c r="C11646" s="1">
        <v>0</v>
      </c>
      <c r="D11646" s="1">
        <v>2.4718690554236E-4</v>
      </c>
      <c r="E11646" s="1">
        <v>2.0165152599792199E-5</v>
      </c>
      <c r="F11646" s="1">
        <v>2.00627713960052E-5</v>
      </c>
    </row>
    <row r="11647" spans="1:6" x14ac:dyDescent="0.25">
      <c r="A11647" s="2" t="str">
        <f t="shared" si="422"/>
        <v>38060</v>
      </c>
      <c r="B11647" s="2" t="str">
        <f>"85005"</f>
        <v>85005</v>
      </c>
      <c r="C11647" s="1">
        <v>7.7970174865794396E-4</v>
      </c>
      <c r="D11647" s="1">
        <v>1.5476049738304199E-3</v>
      </c>
      <c r="E11647" s="1">
        <v>2.0165152599792199E-5</v>
      </c>
      <c r="F11647" s="1">
        <v>8.0794452309329405E-4</v>
      </c>
    </row>
    <row r="11648" spans="1:6" x14ac:dyDescent="0.25">
      <c r="A11648" s="2" t="str">
        <f t="shared" si="422"/>
        <v>38060</v>
      </c>
      <c r="B11648" s="2" t="str">
        <f>"85004"</f>
        <v>85004</v>
      </c>
      <c r="C11648" s="1">
        <v>2.6319086415441E-3</v>
      </c>
      <c r="D11648" s="1">
        <v>1.11449052629316E-2</v>
      </c>
      <c r="E11648" s="1">
        <v>6.0596283562375803E-3</v>
      </c>
      <c r="F11648" s="1">
        <v>3.43616757596998E-3</v>
      </c>
    </row>
    <row r="11649" spans="1:6" x14ac:dyDescent="0.25">
      <c r="A11649" s="2" t="str">
        <f t="shared" si="422"/>
        <v>38060</v>
      </c>
      <c r="B11649" s="2" t="str">
        <f>"85009"</f>
        <v>85009</v>
      </c>
      <c r="C11649" s="1">
        <v>6.79854367089088E-3</v>
      </c>
      <c r="D11649" s="1">
        <v>1.5545906907261899E-2</v>
      </c>
      <c r="E11649" s="1">
        <v>2.82312136397092E-2</v>
      </c>
      <c r="F11649" s="1">
        <v>8.3674295953464397E-3</v>
      </c>
    </row>
    <row r="11650" spans="1:6" x14ac:dyDescent="0.25">
      <c r="A11650" s="2" t="str">
        <f t="shared" si="422"/>
        <v>38060</v>
      </c>
      <c r="B11650" s="2" t="str">
        <f>"85001"</f>
        <v>85001</v>
      </c>
      <c r="C11650" s="1">
        <v>6.0411462327544904E-4</v>
      </c>
      <c r="D11650" s="1">
        <v>1.1123410749406201E-3</v>
      </c>
      <c r="E11650" s="1">
        <v>3.7305532309615699E-4</v>
      </c>
      <c r="F11650" s="1">
        <v>6.3406717099458198E-4</v>
      </c>
    </row>
    <row r="11651" spans="1:6" x14ac:dyDescent="0.25">
      <c r="A11651" s="2" t="str">
        <f t="shared" si="422"/>
        <v>38060</v>
      </c>
      <c r="B11651" s="2" t="str">
        <f>"85602"</f>
        <v>85602</v>
      </c>
      <c r="C11651" s="1">
        <v>1.8982391933242699E-6</v>
      </c>
      <c r="D11651" s="1">
        <v>0</v>
      </c>
      <c r="E11651" s="1">
        <v>0</v>
      </c>
      <c r="F11651" s="1">
        <v>1.67189761633377E-6</v>
      </c>
    </row>
    <row r="11652" spans="1:6" x14ac:dyDescent="0.25">
      <c r="A11652" s="2" t="str">
        <f t="shared" si="422"/>
        <v>38060</v>
      </c>
      <c r="B11652" s="2" t="str">
        <f>"85343"</f>
        <v>85343</v>
      </c>
      <c r="C11652" s="1">
        <v>7.4505888337977606E-5</v>
      </c>
      <c r="D11652" s="1">
        <v>3.2241770288133902E-5</v>
      </c>
      <c r="E11652" s="1">
        <v>2.0165152599792199E-5</v>
      </c>
      <c r="F11652" s="1">
        <v>6.8965776673767998E-5</v>
      </c>
    </row>
    <row r="11653" spans="1:6" x14ac:dyDescent="0.25">
      <c r="A11653" s="2" t="str">
        <f t="shared" si="422"/>
        <v>38060</v>
      </c>
      <c r="B11653" s="2" t="str">
        <f>"85351"</f>
        <v>85351</v>
      </c>
      <c r="C11653" s="1">
        <v>1.0316455455918999E-2</v>
      </c>
      <c r="D11653" s="1">
        <v>4.33114447537266E-3</v>
      </c>
      <c r="E11653" s="1">
        <v>2.2383319385769402E-3</v>
      </c>
      <c r="F11653" s="1">
        <v>9.5160232577677396E-3</v>
      </c>
    </row>
    <row r="11654" spans="1:6" x14ac:dyDescent="0.25">
      <c r="A11654" s="2" t="str">
        <f t="shared" si="422"/>
        <v>38060</v>
      </c>
      <c r="B11654" s="2" t="str">
        <f>"85382"</f>
        <v>85382</v>
      </c>
      <c r="C11654" s="1">
        <v>9.0802271812666507E-3</v>
      </c>
      <c r="D11654" s="1">
        <v>5.83576042215224E-3</v>
      </c>
      <c r="E11654" s="1">
        <v>3.6801403494620901E-3</v>
      </c>
      <c r="F11654" s="1">
        <v>8.6040031080576607E-3</v>
      </c>
    </row>
    <row r="11655" spans="1:6" x14ac:dyDescent="0.25">
      <c r="A11655" s="2" t="str">
        <f t="shared" si="422"/>
        <v>38060</v>
      </c>
      <c r="B11655" s="2" t="str">
        <f>"85390"</f>
        <v>85390</v>
      </c>
      <c r="C11655" s="1">
        <v>2.3571385183104102E-3</v>
      </c>
      <c r="D11655" s="1">
        <v>3.1381989747116998E-3</v>
      </c>
      <c r="E11655" s="1">
        <v>4.0431130962583503E-3</v>
      </c>
      <c r="F11655" s="1">
        <v>2.4877836531046501E-3</v>
      </c>
    </row>
    <row r="11656" spans="1:6" x14ac:dyDescent="0.25">
      <c r="A11656" s="2" t="str">
        <f t="shared" si="422"/>
        <v>38060</v>
      </c>
      <c r="B11656" s="2" t="str">
        <f>"85337"</f>
        <v>85337</v>
      </c>
      <c r="C11656" s="1">
        <v>1.6467225002087999E-4</v>
      </c>
      <c r="D11656" s="1">
        <v>2.7405504744913798E-4</v>
      </c>
      <c r="E11656" s="1">
        <v>4.0330305199584501E-4</v>
      </c>
      <c r="F11656" s="1">
        <v>1.8307278898854699E-4</v>
      </c>
    </row>
    <row r="11657" spans="1:6" x14ac:dyDescent="0.25">
      <c r="A11657" s="2" t="str">
        <f t="shared" si="422"/>
        <v>38060</v>
      </c>
      <c r="B11657" s="2" t="str">
        <f>"85264"</f>
        <v>85264</v>
      </c>
      <c r="C11657" s="1">
        <v>2.19721186627284E-4</v>
      </c>
      <c r="D11657" s="1">
        <v>1.2896708115253501E-4</v>
      </c>
      <c r="E11657" s="1">
        <v>3.6297274679626099E-4</v>
      </c>
      <c r="F11657" s="1">
        <v>2.1860061333564001E-4</v>
      </c>
    </row>
    <row r="11658" spans="1:6" x14ac:dyDescent="0.25">
      <c r="A11658" s="2" t="str">
        <f t="shared" si="422"/>
        <v>38060</v>
      </c>
      <c r="B11658" s="2" t="str">
        <f>"85266"</f>
        <v>85266</v>
      </c>
      <c r="C11658" s="1">
        <v>3.1871436055914502E-3</v>
      </c>
      <c r="D11658" s="1">
        <v>1.4992423183982199E-3</v>
      </c>
      <c r="E11658" s="1">
        <v>1.1998265796876401E-3</v>
      </c>
      <c r="F11658" s="1">
        <v>2.9734699106496098E-3</v>
      </c>
    </row>
    <row r="11659" spans="1:6" x14ac:dyDescent="0.25">
      <c r="A11659" s="2" t="str">
        <f t="shared" si="422"/>
        <v>38060</v>
      </c>
      <c r="B11659" s="2" t="str">
        <f>"85299"</f>
        <v>85299</v>
      </c>
      <c r="C11659" s="1">
        <v>1.2357537148541E-3</v>
      </c>
      <c r="D11659" s="1">
        <v>4.5568368673895897E-3</v>
      </c>
      <c r="E11659" s="1">
        <v>2.0165152599792199E-5</v>
      </c>
      <c r="F11659" s="1">
        <v>1.44368359170421E-3</v>
      </c>
    </row>
    <row r="11660" spans="1:6" x14ac:dyDescent="0.25">
      <c r="A11660" s="2" t="str">
        <f t="shared" si="422"/>
        <v>38060</v>
      </c>
      <c r="B11660" s="2" t="str">
        <f>"85233"</f>
        <v>85233</v>
      </c>
      <c r="C11660" s="1">
        <v>7.3328980038116602E-3</v>
      </c>
      <c r="D11660" s="1">
        <v>1.28161036895332E-2</v>
      </c>
      <c r="E11660" s="1">
        <v>4.7993063187505604E-3</v>
      </c>
      <c r="F11660" s="1">
        <v>7.6543652619800798E-3</v>
      </c>
    </row>
    <row r="11661" spans="1:6" x14ac:dyDescent="0.25">
      <c r="A11661" s="2" t="str">
        <f t="shared" si="422"/>
        <v>38060</v>
      </c>
      <c r="B11661" s="2" t="str">
        <f>"85191"</f>
        <v>85191</v>
      </c>
      <c r="C11661" s="1">
        <v>0</v>
      </c>
      <c r="D11661" s="1">
        <v>0</v>
      </c>
      <c r="E11661" s="1">
        <v>1.0082576299896099E-5</v>
      </c>
      <c r="F11661" s="1">
        <v>4.1797440408344197E-7</v>
      </c>
    </row>
    <row r="11662" spans="1:6" x14ac:dyDescent="0.25">
      <c r="A11662" s="2" t="str">
        <f t="shared" si="422"/>
        <v>38060</v>
      </c>
      <c r="B11662" s="2" t="str">
        <f>"85214"</f>
        <v>85214</v>
      </c>
      <c r="C11662" s="1">
        <v>4.7313611893607402E-4</v>
      </c>
      <c r="D11662" s="1">
        <v>1.36490160886433E-3</v>
      </c>
      <c r="E11662" s="1">
        <v>2.0165152599792199E-5</v>
      </c>
      <c r="F11662" s="1">
        <v>5.2372192831655296E-4</v>
      </c>
    </row>
    <row r="11663" spans="1:6" x14ac:dyDescent="0.25">
      <c r="A11663" s="2" t="str">
        <f t="shared" si="422"/>
        <v>38060</v>
      </c>
      <c r="B11663" s="2" t="str">
        <f>"85209"</f>
        <v>85209</v>
      </c>
      <c r="C11663" s="1">
        <v>9.1068025299731892E-3</v>
      </c>
      <c r="D11663" s="1">
        <v>5.20167227315227E-3</v>
      </c>
      <c r="E11663" s="1">
        <v>4.1439388592573101E-3</v>
      </c>
      <c r="F11663" s="1">
        <v>8.5973155175923296E-3</v>
      </c>
    </row>
    <row r="11664" spans="1:6" x14ac:dyDescent="0.25">
      <c r="A11664" s="2" t="str">
        <f t="shared" si="422"/>
        <v>38060</v>
      </c>
      <c r="B11664" s="2" t="str">
        <f>"85042"</f>
        <v>85042</v>
      </c>
      <c r="C11664" s="1">
        <v>7.6024479692637101E-3</v>
      </c>
      <c r="D11664" s="1">
        <v>2.9286274678388298E-3</v>
      </c>
      <c r="E11664" s="1">
        <v>4.8396366239501498E-3</v>
      </c>
      <c r="F11664" s="1">
        <v>7.1243737176022804E-3</v>
      </c>
    </row>
    <row r="11665" spans="1:6" x14ac:dyDescent="0.25">
      <c r="A11665" s="2" t="str">
        <f t="shared" si="422"/>
        <v>38060</v>
      </c>
      <c r="B11665" s="2" t="str">
        <f>"85127"</f>
        <v>85127</v>
      </c>
      <c r="C11665" s="1">
        <v>2.10229990660663E-4</v>
      </c>
      <c r="D11665" s="1">
        <v>4.6750566917794201E-4</v>
      </c>
      <c r="E11665" s="1">
        <v>3.02477288996884E-5</v>
      </c>
      <c r="F11665" s="1">
        <v>2.2278035737647401E-4</v>
      </c>
    </row>
    <row r="11666" spans="1:6" x14ac:dyDescent="0.25">
      <c r="A11666" s="2" t="str">
        <f t="shared" si="422"/>
        <v>38060</v>
      </c>
      <c r="B11666" s="2" t="str">
        <f>"85063"</f>
        <v>85063</v>
      </c>
      <c r="C11666" s="1">
        <v>6.8811170758004798E-4</v>
      </c>
      <c r="D11666" s="1">
        <v>1.2036927574236599E-3</v>
      </c>
      <c r="E11666" s="1">
        <v>2.0165152599792199E-5</v>
      </c>
      <c r="F11666" s="1">
        <v>7.0052510124385002E-4</v>
      </c>
    </row>
    <row r="11667" spans="1:6" x14ac:dyDescent="0.25">
      <c r="A11667" s="2" t="str">
        <f t="shared" si="422"/>
        <v>38060</v>
      </c>
      <c r="B11667" s="2" t="str">
        <f>"85054"</f>
        <v>85054</v>
      </c>
      <c r="C11667" s="1">
        <v>2.6836356595621902E-3</v>
      </c>
      <c r="D11667" s="1">
        <v>2.1118359538727701E-3</v>
      </c>
      <c r="E11667" s="1">
        <v>9.1751444329054904E-4</v>
      </c>
      <c r="F11667" s="1">
        <v>2.5659448666682499E-3</v>
      </c>
    </row>
    <row r="11668" spans="1:6" x14ac:dyDescent="0.25">
      <c r="A11668" s="2" t="str">
        <f t="shared" si="422"/>
        <v>38060</v>
      </c>
      <c r="B11668" s="2" t="str">
        <f>"85021"</f>
        <v>85021</v>
      </c>
      <c r="C11668" s="1">
        <v>8.4158434636031603E-3</v>
      </c>
      <c r="D11668" s="1">
        <v>9.0814319644910609E-3</v>
      </c>
      <c r="E11668" s="1">
        <v>1.4549157600750101E-2</v>
      </c>
      <c r="F11668" s="1">
        <v>8.7218718900091904E-3</v>
      </c>
    </row>
    <row r="11669" spans="1:6" x14ac:dyDescent="0.25">
      <c r="A11669" s="2" t="str">
        <f t="shared" si="422"/>
        <v>38060</v>
      </c>
      <c r="B11669" s="2" t="str">
        <f>"85013"</f>
        <v>85013</v>
      </c>
      <c r="C11669" s="1">
        <v>5.7260385266626598E-3</v>
      </c>
      <c r="D11669" s="1">
        <v>5.5025954625081896E-3</v>
      </c>
      <c r="E11669" s="1">
        <v>1.0798439217188699E-2</v>
      </c>
      <c r="F11669" s="1">
        <v>5.91893553622563E-3</v>
      </c>
    </row>
    <row r="11670" spans="1:6" x14ac:dyDescent="0.25">
      <c r="A11670" s="2" t="str">
        <f t="shared" si="422"/>
        <v>38060</v>
      </c>
      <c r="B11670" s="2" t="str">
        <f>"85353"</f>
        <v>85353</v>
      </c>
      <c r="C11670" s="1">
        <v>5.8000698552023097E-3</v>
      </c>
      <c r="D11670" s="1">
        <v>4.2451664212709702E-3</v>
      </c>
      <c r="E11670" s="1">
        <v>1.98626753107954E-3</v>
      </c>
      <c r="F11670" s="1">
        <v>5.5210239035381903E-3</v>
      </c>
    </row>
    <row r="11671" spans="1:6" x14ac:dyDescent="0.25">
      <c r="A11671" s="2" t="str">
        <f t="shared" si="422"/>
        <v>38060</v>
      </c>
      <c r="B11671" s="2" t="str">
        <f>"85396"</f>
        <v>85396</v>
      </c>
      <c r="C11671" s="1">
        <v>7.1634801558074701E-3</v>
      </c>
      <c r="D11671" s="1">
        <v>5.1586832461014297E-4</v>
      </c>
      <c r="E11671" s="1">
        <v>3.2264244159667599E-4</v>
      </c>
      <c r="F11671" s="1">
        <v>6.3628243533622401E-3</v>
      </c>
    </row>
    <row r="11672" spans="1:6" x14ac:dyDescent="0.25">
      <c r="A11672" s="2" t="str">
        <f t="shared" si="422"/>
        <v>38060</v>
      </c>
      <c r="B11672" s="2" t="str">
        <f>"85387"</f>
        <v>85387</v>
      </c>
      <c r="C11672" s="1">
        <v>3.7395312108488101E-3</v>
      </c>
      <c r="D11672" s="1">
        <v>1.12846196008468E-4</v>
      </c>
      <c r="E11672" s="1">
        <v>7.0578034099272994E-5</v>
      </c>
      <c r="F11672" s="1">
        <v>3.3053415874918601E-3</v>
      </c>
    </row>
    <row r="11673" spans="1:6" x14ac:dyDescent="0.25">
      <c r="A11673" s="2" t="str">
        <f t="shared" ref="A11673:A11700" si="423">"38060"</f>
        <v>38060</v>
      </c>
      <c r="B11673" s="2" t="str">
        <f>"85383"</f>
        <v>85383</v>
      </c>
      <c r="C11673" s="1">
        <v>1.21582220332419E-2</v>
      </c>
      <c r="D11673" s="1">
        <v>1.7840446226100701E-3</v>
      </c>
      <c r="E11673" s="1">
        <v>1.6434599368830699E-3</v>
      </c>
      <c r="F11673" s="1">
        <v>1.09154015626391E-2</v>
      </c>
    </row>
    <row r="11674" spans="1:6" x14ac:dyDescent="0.25">
      <c r="A11674" s="2" t="str">
        <f t="shared" si="423"/>
        <v>38060</v>
      </c>
      <c r="B11674" s="2" t="str">
        <f>"85333"</f>
        <v>85333</v>
      </c>
      <c r="C11674" s="1">
        <v>9.0166361682902893E-6</v>
      </c>
      <c r="D11674" s="1">
        <v>0</v>
      </c>
      <c r="E11674" s="1">
        <v>3.02477288996884E-5</v>
      </c>
      <c r="F11674" s="1">
        <v>9.1954368898357398E-6</v>
      </c>
    </row>
    <row r="11675" spans="1:6" x14ac:dyDescent="0.25">
      <c r="A11675" s="2" t="str">
        <f t="shared" si="423"/>
        <v>38060</v>
      </c>
      <c r="B11675" s="2" t="str">
        <f>"85335"</f>
        <v>85335</v>
      </c>
      <c r="C11675" s="1">
        <v>5.7905786592356897E-3</v>
      </c>
      <c r="D11675" s="1">
        <v>2.23542940664395E-3</v>
      </c>
      <c r="E11675" s="1">
        <v>1.3409826478861799E-3</v>
      </c>
      <c r="F11675" s="1">
        <v>5.3295916264679702E-3</v>
      </c>
    </row>
    <row r="11676" spans="1:6" x14ac:dyDescent="0.25">
      <c r="A11676" s="2" t="str">
        <f t="shared" si="423"/>
        <v>38060</v>
      </c>
      <c r="B11676" s="2" t="str">
        <f>"85374"</f>
        <v>85374</v>
      </c>
      <c r="C11676" s="1">
        <v>1.1391807958937201E-2</v>
      </c>
      <c r="D11676" s="1">
        <v>1.03872236611604E-2</v>
      </c>
      <c r="E11676" s="1">
        <v>4.3758381141549198E-3</v>
      </c>
      <c r="F11676" s="1">
        <v>1.10228209844885E-2</v>
      </c>
    </row>
    <row r="11677" spans="1:6" x14ac:dyDescent="0.25">
      <c r="A11677" s="2" t="str">
        <f t="shared" si="423"/>
        <v>38060</v>
      </c>
      <c r="B11677" s="2" t="str">
        <f>"85375"</f>
        <v>85375</v>
      </c>
      <c r="C11677" s="1">
        <v>9.5172967555295692E-3</v>
      </c>
      <c r="D11677" s="1">
        <v>2.75129773125409E-3</v>
      </c>
      <c r="E11677" s="1">
        <v>3.4482410945644798E-3</v>
      </c>
      <c r="F11677" s="1">
        <v>8.7394268149807008E-3</v>
      </c>
    </row>
    <row r="11678" spans="1:6" x14ac:dyDescent="0.25">
      <c r="A11678" s="2" t="str">
        <f t="shared" si="423"/>
        <v>38060</v>
      </c>
      <c r="B11678" s="2" t="str">
        <f>"85309"</f>
        <v>85309</v>
      </c>
      <c r="C11678" s="1">
        <v>8.7271546913083404E-4</v>
      </c>
      <c r="D11678" s="1">
        <v>6.7707717605081303E-4</v>
      </c>
      <c r="E11678" s="1">
        <v>1.10908339298857E-4</v>
      </c>
      <c r="F11678" s="1">
        <v>8.2591742246888205E-4</v>
      </c>
    </row>
    <row r="11679" spans="1:6" x14ac:dyDescent="0.25">
      <c r="A11679" s="2" t="str">
        <f t="shared" si="423"/>
        <v>38060</v>
      </c>
      <c r="B11679" s="2" t="str">
        <f>"85323"</f>
        <v>85323</v>
      </c>
      <c r="C11679" s="1">
        <v>7.0500603640063402E-3</v>
      </c>
      <c r="D11679" s="1">
        <v>5.6530570571861503E-3</v>
      </c>
      <c r="E11679" s="1">
        <v>3.3171676026658302E-3</v>
      </c>
      <c r="F11679" s="1">
        <v>6.7866503991028497E-3</v>
      </c>
    </row>
    <row r="11680" spans="1:6" x14ac:dyDescent="0.25">
      <c r="A11680" s="2" t="str">
        <f t="shared" si="423"/>
        <v>38060</v>
      </c>
      <c r="B11680" s="2" t="str">
        <f>"85256"</f>
        <v>85256</v>
      </c>
      <c r="C11680" s="1">
        <v>1.01555796842848E-3</v>
      </c>
      <c r="D11680" s="1">
        <v>6.7170354766945704E-4</v>
      </c>
      <c r="E11680" s="1">
        <v>3.83137899396053E-4</v>
      </c>
      <c r="F11680" s="1">
        <v>9.6259505260416799E-4</v>
      </c>
    </row>
    <row r="11681" spans="1:6" x14ac:dyDescent="0.25">
      <c r="A11681" s="2" t="str">
        <f t="shared" si="423"/>
        <v>38060</v>
      </c>
      <c r="B11681" s="2" t="str">
        <f>"85258"</f>
        <v>85258</v>
      </c>
      <c r="C11681" s="1">
        <v>7.3414400801816203E-3</v>
      </c>
      <c r="D11681" s="1">
        <v>1.2208883682440001E-2</v>
      </c>
      <c r="E11681" s="1">
        <v>1.6364021334731398E-2</v>
      </c>
      <c r="F11681" s="1">
        <v>8.0940743350758591E-3</v>
      </c>
    </row>
    <row r="11682" spans="1:6" x14ac:dyDescent="0.25">
      <c r="A11682" s="2" t="str">
        <f t="shared" si="423"/>
        <v>38060</v>
      </c>
      <c r="B11682" s="2" t="str">
        <f>"85285"</f>
        <v>85285</v>
      </c>
      <c r="C11682" s="1">
        <v>1.3619866212101601E-3</v>
      </c>
      <c r="D11682" s="1">
        <v>3.4552430492116801E-3</v>
      </c>
      <c r="E11682" s="1">
        <v>2.0165152599792199E-5</v>
      </c>
      <c r="F11682" s="1">
        <v>1.4691800303533E-3</v>
      </c>
    </row>
    <row r="11683" spans="1:6" x14ac:dyDescent="0.25">
      <c r="A11683" s="2" t="str">
        <f t="shared" si="423"/>
        <v>38060</v>
      </c>
      <c r="B11683" s="2" t="str">
        <f>"85208"</f>
        <v>85208</v>
      </c>
      <c r="C11683" s="1">
        <v>9.0028739341386898E-3</v>
      </c>
      <c r="D11683" s="1">
        <v>3.0683418057540798E-3</v>
      </c>
      <c r="E11683" s="1">
        <v>2.2887448200764201E-3</v>
      </c>
      <c r="F11683" s="1">
        <v>8.2629359943255706E-3</v>
      </c>
    </row>
    <row r="11684" spans="1:6" x14ac:dyDescent="0.25">
      <c r="A11684" s="2" t="str">
        <f t="shared" si="423"/>
        <v>38060</v>
      </c>
      <c r="B11684" s="2" t="str">
        <f>"85206"</f>
        <v>85206</v>
      </c>
      <c r="C11684" s="1">
        <v>8.9226733282207395E-3</v>
      </c>
      <c r="D11684" s="1">
        <v>1.1617784560490899E-2</v>
      </c>
      <c r="E11684" s="1">
        <v>6.0192980510380004E-3</v>
      </c>
      <c r="F11684" s="1">
        <v>9.0119461264431006E-3</v>
      </c>
    </row>
    <row r="11685" spans="1:6" x14ac:dyDescent="0.25">
      <c r="A11685" s="2" t="str">
        <f t="shared" si="423"/>
        <v>38060</v>
      </c>
      <c r="B11685" s="2" t="str">
        <f>"85204"</f>
        <v>85204</v>
      </c>
      <c r="C11685" s="1">
        <v>1.14667884070735E-2</v>
      </c>
      <c r="D11685" s="1">
        <v>1.22572463378722E-2</v>
      </c>
      <c r="E11685" s="1">
        <v>1.33190832921628E-2</v>
      </c>
      <c r="F11685" s="1">
        <v>1.16050593293767E-2</v>
      </c>
    </row>
    <row r="11686" spans="1:6" x14ac:dyDescent="0.25">
      <c r="A11686" s="2" t="str">
        <f t="shared" si="423"/>
        <v>38060</v>
      </c>
      <c r="B11686" s="2" t="str">
        <f>"85248"</f>
        <v>85248</v>
      </c>
      <c r="C11686" s="1">
        <v>1.0214899659076199E-2</v>
      </c>
      <c r="D11686" s="1">
        <v>7.1845411458725103E-3</v>
      </c>
      <c r="E11686" s="1">
        <v>4.6682328268519103E-3</v>
      </c>
      <c r="F11686" s="1">
        <v>9.7492529752463003E-3</v>
      </c>
    </row>
    <row r="11687" spans="1:6" x14ac:dyDescent="0.25">
      <c r="A11687" s="2" t="str">
        <f t="shared" si="423"/>
        <v>38060</v>
      </c>
      <c r="B11687" s="2" t="str">
        <f>"85246"</f>
        <v>85246</v>
      </c>
      <c r="C11687" s="1">
        <v>6.2689349359533995E-4</v>
      </c>
      <c r="D11687" s="1">
        <v>2.68144056229647E-3</v>
      </c>
      <c r="E11687" s="1">
        <v>2.0165152599792199E-5</v>
      </c>
      <c r="F11687" s="1">
        <v>7.6154936424003205E-4</v>
      </c>
    </row>
    <row r="11688" spans="1:6" x14ac:dyDescent="0.25">
      <c r="A11688" s="2" t="str">
        <f t="shared" si="423"/>
        <v>38060</v>
      </c>
      <c r="B11688" s="2" t="str">
        <f>"85178"</f>
        <v>85178</v>
      </c>
      <c r="C11688" s="1">
        <v>1.2613799439639699E-3</v>
      </c>
      <c r="D11688" s="1">
        <v>1.0908465614151901E-3</v>
      </c>
      <c r="E11688" s="1">
        <v>2.0165152599792199E-5</v>
      </c>
      <c r="F11688" s="1">
        <v>1.19666071889089E-3</v>
      </c>
    </row>
    <row r="11689" spans="1:6" x14ac:dyDescent="0.25">
      <c r="A11689" s="2" t="str">
        <f t="shared" si="423"/>
        <v>38060</v>
      </c>
      <c r="B11689" s="2" t="str">
        <f>"85143"</f>
        <v>85143</v>
      </c>
      <c r="C11689" s="1">
        <v>7.3034752963151298E-3</v>
      </c>
      <c r="D11689" s="1">
        <v>4.0033531441099604E-3</v>
      </c>
      <c r="E11689" s="1">
        <v>5.2429396759459896E-4</v>
      </c>
      <c r="F11689" s="1">
        <v>6.7657516788986799E-3</v>
      </c>
    </row>
    <row r="11690" spans="1:6" x14ac:dyDescent="0.25">
      <c r="A11690" s="2" t="str">
        <f t="shared" si="423"/>
        <v>38060</v>
      </c>
      <c r="B11690" s="2" t="str">
        <f>"85211"</f>
        <v>85211</v>
      </c>
      <c r="C11690" s="1">
        <v>1.04782803471499E-3</v>
      </c>
      <c r="D11690" s="1">
        <v>2.8802648124066298E-3</v>
      </c>
      <c r="E11690" s="1">
        <v>2.0165152599792199E-5</v>
      </c>
      <c r="F11690" s="1">
        <v>1.1477577136131301E-3</v>
      </c>
    </row>
    <row r="11691" spans="1:6" x14ac:dyDescent="0.25">
      <c r="A11691" s="2" t="str">
        <f t="shared" si="423"/>
        <v>38060</v>
      </c>
      <c r="B11691" s="2" t="str">
        <f>"85041"</f>
        <v>85041</v>
      </c>
      <c r="C11691" s="1">
        <v>9.0332457612318801E-3</v>
      </c>
      <c r="D11691" s="1">
        <v>3.2564187991015198E-3</v>
      </c>
      <c r="E11691" s="1">
        <v>3.86162672286022E-3</v>
      </c>
      <c r="F11691" s="1">
        <v>8.3695194673668507E-3</v>
      </c>
    </row>
    <row r="11692" spans="1:6" x14ac:dyDescent="0.25">
      <c r="A11692" s="2" t="str">
        <f t="shared" si="423"/>
        <v>38060</v>
      </c>
      <c r="B11692" s="2" t="str">
        <f>"85128"</f>
        <v>85128</v>
      </c>
      <c r="C11692" s="1">
        <v>4.0698248304872403E-3</v>
      </c>
      <c r="D11692" s="1">
        <v>3.1435726030930602E-3</v>
      </c>
      <c r="E11692" s="1">
        <v>2.7525433298716401E-3</v>
      </c>
      <c r="F11692" s="1">
        <v>3.9431705281231903E-3</v>
      </c>
    </row>
    <row r="11693" spans="1:6" x14ac:dyDescent="0.25">
      <c r="A11693" s="2" t="str">
        <f t="shared" si="423"/>
        <v>38060</v>
      </c>
      <c r="B11693" s="2" t="str">
        <f>"85086"</f>
        <v>85086</v>
      </c>
      <c r="C11693" s="1">
        <v>7.78467893182284E-3</v>
      </c>
      <c r="D11693" s="1">
        <v>3.8313970359065801E-3</v>
      </c>
      <c r="E11693" s="1">
        <v>1.58296447908369E-2</v>
      </c>
      <c r="F11693" s="1">
        <v>7.8106876891072896E-3</v>
      </c>
    </row>
    <row r="11694" spans="1:6" x14ac:dyDescent="0.25">
      <c r="A11694" s="2" t="str">
        <f t="shared" si="423"/>
        <v>38060</v>
      </c>
      <c r="B11694" s="2" t="str">
        <f>"85030"</f>
        <v>85030</v>
      </c>
      <c r="C11694" s="1">
        <v>2.25415904207257E-4</v>
      </c>
      <c r="D11694" s="1">
        <v>3.7615398669489598E-4</v>
      </c>
      <c r="E11694" s="1">
        <v>2.0165152599792199E-5</v>
      </c>
      <c r="F11694" s="1">
        <v>2.28631999033643E-4</v>
      </c>
    </row>
    <row r="11695" spans="1:6" x14ac:dyDescent="0.25">
      <c r="A11695" s="2" t="str">
        <f t="shared" si="423"/>
        <v>38060</v>
      </c>
      <c r="B11695" s="2" t="str">
        <f>"85027"</f>
        <v>85027</v>
      </c>
      <c r="C11695" s="1">
        <v>8.5093317438743807E-3</v>
      </c>
      <c r="D11695" s="1">
        <v>1.46646318527195E-2</v>
      </c>
      <c r="E11695" s="1">
        <v>8.6810981942105798E-3</v>
      </c>
      <c r="F11695" s="1">
        <v>8.9952271502797693E-3</v>
      </c>
    </row>
    <row r="11696" spans="1:6" x14ac:dyDescent="0.25">
      <c r="A11696" s="2" t="str">
        <f t="shared" si="423"/>
        <v>38060</v>
      </c>
      <c r="B11696" s="2" t="str">
        <f>"85050"</f>
        <v>85050</v>
      </c>
      <c r="C11696" s="1">
        <v>6.8094585462524903E-3</v>
      </c>
      <c r="D11696" s="1">
        <v>7.7004094704826503E-3</v>
      </c>
      <c r="E11696" s="1">
        <v>2.63155241427289E-3</v>
      </c>
      <c r="F11696" s="1">
        <v>6.70556336471067E-3</v>
      </c>
    </row>
    <row r="11697" spans="1:6" x14ac:dyDescent="0.25">
      <c r="A11697" s="2" t="str">
        <f t="shared" si="423"/>
        <v>38060</v>
      </c>
      <c r="B11697" s="2" t="str">
        <f>"85023"</f>
        <v>85023</v>
      </c>
      <c r="C11697" s="1">
        <v>7.7134949620731802E-3</v>
      </c>
      <c r="D11697" s="1">
        <v>3.4015067653981302E-3</v>
      </c>
      <c r="E11697" s="1">
        <v>2.6618001431725799E-3</v>
      </c>
      <c r="F11697" s="1">
        <v>7.1686790044351197E-3</v>
      </c>
    </row>
    <row r="11698" spans="1:6" x14ac:dyDescent="0.25">
      <c r="A11698" s="2" t="str">
        <f t="shared" si="423"/>
        <v>38060</v>
      </c>
      <c r="B11698" s="2" t="str">
        <f>"85007"</f>
        <v>85007</v>
      </c>
      <c r="C11698" s="1">
        <v>2.8207834412798602E-3</v>
      </c>
      <c r="D11698" s="1">
        <v>6.7492772469826996E-3</v>
      </c>
      <c r="E11698" s="1">
        <v>1.2320908238473E-2</v>
      </c>
      <c r="F11698" s="1">
        <v>3.5201804311907501E-3</v>
      </c>
    </row>
    <row r="11699" spans="1:6" x14ac:dyDescent="0.25">
      <c r="A11699" s="2" t="str">
        <f t="shared" si="423"/>
        <v>38060</v>
      </c>
      <c r="B11699" s="2" t="str">
        <f>"85015"</f>
        <v>85015</v>
      </c>
      <c r="C11699" s="1">
        <v>8.3517778908284608E-3</v>
      </c>
      <c r="D11699" s="1">
        <v>8.0335744301267102E-3</v>
      </c>
      <c r="E11699" s="1">
        <v>2.09314283985844E-2</v>
      </c>
      <c r="F11699" s="1">
        <v>8.8485181344464797E-3</v>
      </c>
    </row>
    <row r="11700" spans="1:6" x14ac:dyDescent="0.25">
      <c r="A11700" s="2" t="str">
        <f t="shared" si="423"/>
        <v>38060</v>
      </c>
      <c r="B11700" s="2" t="str">
        <f>"85002"</f>
        <v>85002</v>
      </c>
      <c r="C11700" s="1">
        <v>4.9496586965930398E-4</v>
      </c>
      <c r="D11700" s="1">
        <v>9.8874762216944107E-4</v>
      </c>
      <c r="E11700" s="1">
        <v>2.0165152599792199E-5</v>
      </c>
      <c r="F11700" s="1">
        <v>5.1369054261855103E-4</v>
      </c>
    </row>
    <row r="11701" spans="1:6" x14ac:dyDescent="0.25">
      <c r="A11701" s="2" t="str">
        <f t="shared" ref="A11701:A11723" si="424">"41100"</f>
        <v>41100</v>
      </c>
      <c r="B11701" s="2" t="str">
        <f>"84733"</f>
        <v>84733</v>
      </c>
      <c r="C11701" s="1">
        <v>7.8959241991276795E-4</v>
      </c>
      <c r="D11701" s="1">
        <v>5.3518865400053496E-4</v>
      </c>
      <c r="E11701" s="1">
        <v>1.9953051643192402E-2</v>
      </c>
      <c r="F11701" s="1">
        <v>1.3137678416353001E-3</v>
      </c>
    </row>
    <row r="11702" spans="1:6" x14ac:dyDescent="0.25">
      <c r="A11702" s="2" t="str">
        <f t="shared" si="424"/>
        <v>41100</v>
      </c>
      <c r="B11702" s="2" t="str">
        <f>"84745"</f>
        <v>84745</v>
      </c>
      <c r="C11702" s="1">
        <v>1.98776758409785E-2</v>
      </c>
      <c r="D11702" s="1">
        <v>1.0703773080010699E-2</v>
      </c>
      <c r="E11702" s="1">
        <v>1.44757433489827E-2</v>
      </c>
      <c r="F11702" s="1">
        <v>1.8960564697499301E-2</v>
      </c>
    </row>
    <row r="11703" spans="1:6" x14ac:dyDescent="0.25">
      <c r="A11703" s="2" t="str">
        <f t="shared" si="424"/>
        <v>41100</v>
      </c>
      <c r="B11703" s="2" t="str">
        <f>"84738"</f>
        <v>84738</v>
      </c>
      <c r="C11703" s="1">
        <v>5.5659998997342898E-2</v>
      </c>
      <c r="D11703" s="1">
        <v>1.17741503880117E-2</v>
      </c>
      <c r="E11703" s="1">
        <v>2.54303599374021E-2</v>
      </c>
      <c r="F11703" s="1">
        <v>5.11478768175644E-2</v>
      </c>
    </row>
    <row r="11704" spans="1:6" x14ac:dyDescent="0.25">
      <c r="A11704" s="2" t="str">
        <f t="shared" si="424"/>
        <v>41100</v>
      </c>
      <c r="B11704" s="2" t="str">
        <f>"84781"</f>
        <v>84781</v>
      </c>
      <c r="C11704" s="1">
        <v>2.98290469744823E-3</v>
      </c>
      <c r="D11704" s="1">
        <v>2.6759432700026699E-4</v>
      </c>
      <c r="E11704" s="1">
        <v>7.8247261345852799E-4</v>
      </c>
      <c r="F11704" s="1">
        <v>2.6943374379300301E-3</v>
      </c>
    </row>
    <row r="11705" spans="1:6" x14ac:dyDescent="0.25">
      <c r="A11705" s="2" t="str">
        <f t="shared" si="424"/>
        <v>41100</v>
      </c>
      <c r="B11705" s="2" t="str">
        <f>"84780"</f>
        <v>84780</v>
      </c>
      <c r="C11705" s="1">
        <v>0.163182433448638</v>
      </c>
      <c r="D11705" s="1">
        <v>8.8573722237088495E-2</v>
      </c>
      <c r="E11705" s="1">
        <v>9.8982785602503898E-2</v>
      </c>
      <c r="F11705" s="1">
        <v>0.155147075196508</v>
      </c>
    </row>
    <row r="11706" spans="1:6" x14ac:dyDescent="0.25">
      <c r="A11706" s="2" t="str">
        <f t="shared" si="424"/>
        <v>41100</v>
      </c>
      <c r="B11706" s="2" t="str">
        <f>"84770"</f>
        <v>84770</v>
      </c>
      <c r="C11706" s="1">
        <v>0.26262094550558901</v>
      </c>
      <c r="D11706" s="1">
        <v>0.35804120952635798</v>
      </c>
      <c r="E11706" s="1">
        <v>0.48200312989045302</v>
      </c>
      <c r="F11706" s="1">
        <v>0.276804204057093</v>
      </c>
    </row>
    <row r="11707" spans="1:6" x14ac:dyDescent="0.25">
      <c r="A11707" s="2" t="str">
        <f t="shared" si="424"/>
        <v>41100</v>
      </c>
      <c r="B11707" s="2" t="str">
        <f>"84774"</f>
        <v>84774</v>
      </c>
      <c r="C11707" s="1">
        <v>9.9012382814458299E-3</v>
      </c>
      <c r="D11707" s="1">
        <v>2.6759432700026699E-4</v>
      </c>
      <c r="E11707" s="1">
        <v>3.91236306729264E-4</v>
      </c>
      <c r="F11707" s="1">
        <v>8.8289652408203197E-3</v>
      </c>
    </row>
    <row r="11708" spans="1:6" x14ac:dyDescent="0.25">
      <c r="A11708" s="2" t="str">
        <f t="shared" si="424"/>
        <v>41100</v>
      </c>
      <c r="B11708" s="2" t="str">
        <f>"84783"</f>
        <v>84783</v>
      </c>
      <c r="C11708" s="1">
        <v>5.7778111996791403E-3</v>
      </c>
      <c r="D11708" s="1">
        <v>1.0703773080010699E-3</v>
      </c>
      <c r="E11708" s="1">
        <v>7.8247261345852799E-4</v>
      </c>
      <c r="F11708" s="1">
        <v>5.2439377407646499E-3</v>
      </c>
    </row>
    <row r="11709" spans="1:6" x14ac:dyDescent="0.25">
      <c r="A11709" s="2" t="str">
        <f t="shared" si="424"/>
        <v>41100</v>
      </c>
      <c r="B11709" s="2" t="str">
        <f>"84720"</f>
        <v>84720</v>
      </c>
      <c r="C11709" s="1">
        <v>3.7599639043465101E-5</v>
      </c>
      <c r="D11709" s="1">
        <v>1.3379716350013301E-4</v>
      </c>
      <c r="E11709" s="1">
        <v>0</v>
      </c>
      <c r="F11709" s="1">
        <v>4.45345031062815E-5</v>
      </c>
    </row>
    <row r="11710" spans="1:6" x14ac:dyDescent="0.25">
      <c r="A11710" s="2" t="str">
        <f t="shared" si="424"/>
        <v>41100</v>
      </c>
      <c r="B11710" s="2" t="str">
        <f>"84757"</f>
        <v>84757</v>
      </c>
      <c r="C11710" s="1">
        <v>5.3015491051285899E-3</v>
      </c>
      <c r="D11710" s="1">
        <v>8.0278298100080201E-4</v>
      </c>
      <c r="E11710" s="1">
        <v>1.17370892018779E-3</v>
      </c>
      <c r="F11710" s="1">
        <v>4.8097263354784101E-3</v>
      </c>
    </row>
    <row r="11711" spans="1:6" x14ac:dyDescent="0.25">
      <c r="A11711" s="2" t="str">
        <f t="shared" si="424"/>
        <v>41100</v>
      </c>
      <c r="B11711" s="2" t="str">
        <f>"84763"</f>
        <v>84763</v>
      </c>
      <c r="C11711" s="1">
        <v>1.3159873665212799E-3</v>
      </c>
      <c r="D11711" s="1">
        <v>0</v>
      </c>
      <c r="E11711" s="1">
        <v>7.8247261345852799E-4</v>
      </c>
      <c r="F11711" s="1">
        <v>1.1912979580930301E-3</v>
      </c>
    </row>
    <row r="11712" spans="1:6" x14ac:dyDescent="0.25">
      <c r="A11712" s="2" t="str">
        <f t="shared" si="424"/>
        <v>41100</v>
      </c>
      <c r="B11712" s="2" t="str">
        <f>"84737"</f>
        <v>84737</v>
      </c>
      <c r="C11712" s="1">
        <v>0.12176016443575401</v>
      </c>
      <c r="D11712" s="1">
        <v>8.72357506020872E-2</v>
      </c>
      <c r="E11712" s="1">
        <v>8.2942097026604003E-2</v>
      </c>
      <c r="F11712" s="1">
        <v>0.117782627090338</v>
      </c>
    </row>
    <row r="11713" spans="1:6" x14ac:dyDescent="0.25">
      <c r="A11713" s="2" t="str">
        <f t="shared" si="424"/>
        <v>41100</v>
      </c>
      <c r="B11713" s="2" t="str">
        <f>"84791"</f>
        <v>84791</v>
      </c>
      <c r="C11713" s="1">
        <v>1.3009475109038901E-2</v>
      </c>
      <c r="D11713" s="1">
        <v>5.0307733476050297E-2</v>
      </c>
      <c r="E11713" s="1">
        <v>7.8247261345852799E-4</v>
      </c>
      <c r="F11713" s="1">
        <v>1.5765214099623601E-2</v>
      </c>
    </row>
    <row r="11714" spans="1:6" x14ac:dyDescent="0.25">
      <c r="A11714" s="2" t="str">
        <f t="shared" si="424"/>
        <v>41100</v>
      </c>
      <c r="B11714" s="2" t="str">
        <f>"84782"</f>
        <v>84782</v>
      </c>
      <c r="C11714" s="1">
        <v>4.5620895372737698E-3</v>
      </c>
      <c r="D11714" s="1">
        <v>4.2815092320042797E-3</v>
      </c>
      <c r="E11714" s="1">
        <v>2.7386541471048501E-3</v>
      </c>
      <c r="F11714" s="1">
        <v>4.4868511879578698E-3</v>
      </c>
    </row>
    <row r="11715" spans="1:6" x14ac:dyDescent="0.25">
      <c r="A11715" s="2" t="str">
        <f t="shared" si="424"/>
        <v>41100</v>
      </c>
      <c r="B11715" s="2" t="str">
        <f>"84767"</f>
        <v>84767</v>
      </c>
      <c r="C11715" s="1">
        <v>3.5092996440567498E-3</v>
      </c>
      <c r="D11715" s="1">
        <v>3.6125234145036101E-3</v>
      </c>
      <c r="E11715" s="1">
        <v>5.4773082942097002E-3</v>
      </c>
      <c r="F11715" s="1">
        <v>3.57389387427909E-3</v>
      </c>
    </row>
    <row r="11716" spans="1:6" x14ac:dyDescent="0.25">
      <c r="A11716" s="2" t="str">
        <f t="shared" si="424"/>
        <v>41100</v>
      </c>
      <c r="B11716" s="2" t="str">
        <f>"84725"</f>
        <v>84725</v>
      </c>
      <c r="C11716" s="1">
        <v>7.5199278086930297E-5</v>
      </c>
      <c r="D11716" s="1">
        <v>0</v>
      </c>
      <c r="E11716" s="1">
        <v>3.91236306729264E-4</v>
      </c>
      <c r="F11716" s="1">
        <v>7.7935380435992704E-5</v>
      </c>
    </row>
    <row r="11717" spans="1:6" x14ac:dyDescent="0.25">
      <c r="A11717" s="2" t="str">
        <f t="shared" si="424"/>
        <v>41100</v>
      </c>
      <c r="B11717" s="2" t="str">
        <f>"84784"</f>
        <v>84784</v>
      </c>
      <c r="C11717" s="1">
        <v>1.25332130144883E-5</v>
      </c>
      <c r="D11717" s="1">
        <v>5.3518865400053496E-4</v>
      </c>
      <c r="E11717" s="1">
        <v>3.91236306729264E-4</v>
      </c>
      <c r="F11717" s="1">
        <v>6.6801754659422301E-5</v>
      </c>
    </row>
    <row r="11718" spans="1:6" x14ac:dyDescent="0.25">
      <c r="A11718" s="2" t="str">
        <f t="shared" si="424"/>
        <v>41100</v>
      </c>
      <c r="B11718" s="2" t="str">
        <f>"84790"</f>
        <v>84790</v>
      </c>
      <c r="C11718" s="1">
        <v>0.248934676893768</v>
      </c>
      <c r="D11718" s="1">
        <v>0.29074123628579002</v>
      </c>
      <c r="E11718" s="1">
        <v>0.244131455399061</v>
      </c>
      <c r="F11718" s="1">
        <v>0.252276826471308</v>
      </c>
    </row>
    <row r="11719" spans="1:6" x14ac:dyDescent="0.25">
      <c r="A11719" s="2" t="str">
        <f t="shared" si="424"/>
        <v>41100</v>
      </c>
      <c r="B11719" s="2" t="str">
        <f>"84765"</f>
        <v>84765</v>
      </c>
      <c r="C11719" s="1">
        <v>4.0544944101869901E-2</v>
      </c>
      <c r="D11719" s="1">
        <v>2.3949692266523898E-2</v>
      </c>
      <c r="E11719" s="1">
        <v>1.2519561815336399E-2</v>
      </c>
      <c r="F11719" s="1">
        <v>3.8366474426061503E-2</v>
      </c>
    </row>
    <row r="11720" spans="1:6" x14ac:dyDescent="0.25">
      <c r="A11720" s="2" t="str">
        <f t="shared" si="424"/>
        <v>41100</v>
      </c>
      <c r="B11720" s="2" t="str">
        <f>"84746"</f>
        <v>84746</v>
      </c>
      <c r="C11720" s="1">
        <v>4.8252870105780299E-3</v>
      </c>
      <c r="D11720" s="1">
        <v>1.0703773080010699E-3</v>
      </c>
      <c r="E11720" s="1">
        <v>2.34741784037558E-3</v>
      </c>
      <c r="F11720" s="1">
        <v>4.4423166848515799E-3</v>
      </c>
    </row>
    <row r="11721" spans="1:6" x14ac:dyDescent="0.25">
      <c r="A11721" s="2" t="str">
        <f t="shared" si="424"/>
        <v>41100</v>
      </c>
      <c r="B11721" s="2" t="str">
        <f>"84722"</f>
        <v>84722</v>
      </c>
      <c r="C11721" s="1">
        <v>4.5871559633027499E-3</v>
      </c>
      <c r="D11721" s="1">
        <v>8.0278298100080201E-4</v>
      </c>
      <c r="E11721" s="1">
        <v>1.9561815336463198E-3</v>
      </c>
      <c r="F11721" s="1">
        <v>4.1973769177670404E-3</v>
      </c>
    </row>
    <row r="11722" spans="1:6" x14ac:dyDescent="0.25">
      <c r="A11722" s="2" t="str">
        <f t="shared" si="424"/>
        <v>41100</v>
      </c>
      <c r="B11722" s="2" t="str">
        <f>"84779"</f>
        <v>84779</v>
      </c>
      <c r="C11722" s="1">
        <v>2.8701057803178398E-3</v>
      </c>
      <c r="D11722" s="1">
        <v>5.3518865400053496E-4</v>
      </c>
      <c r="E11722" s="1">
        <v>7.8247261345852799E-4</v>
      </c>
      <c r="F11722" s="1">
        <v>2.6164020574940398E-3</v>
      </c>
    </row>
    <row r="11723" spans="1:6" x14ac:dyDescent="0.25">
      <c r="A11723" s="2" t="str">
        <f t="shared" si="424"/>
        <v>41100</v>
      </c>
      <c r="B11723" s="2" t="str">
        <f>"84771"</f>
        <v>84771</v>
      </c>
      <c r="C11723" s="1">
        <v>2.7861332531207698E-2</v>
      </c>
      <c r="D11723" s="1">
        <v>6.4757827134064694E-2</v>
      </c>
      <c r="E11723" s="1">
        <v>7.8247261345852799E-4</v>
      </c>
      <c r="F11723" s="1">
        <v>3.01609922287292E-2</v>
      </c>
    </row>
    <row r="11724" spans="1:6" x14ac:dyDescent="0.25">
      <c r="A11724" s="2" t="str">
        <f t="shared" ref="A11724:A11752" si="425">"22380"</f>
        <v>22380</v>
      </c>
      <c r="B11724" s="2" t="str">
        <f>"86005"</f>
        <v>86005</v>
      </c>
      <c r="C11724" s="1">
        <v>0.166373460668509</v>
      </c>
      <c r="D11724" s="1">
        <v>2.1216804833497201E-2</v>
      </c>
      <c r="E11724" s="1">
        <v>7.5573167279932005E-2</v>
      </c>
      <c r="F11724" s="1">
        <v>0.148155125548348</v>
      </c>
    </row>
    <row r="11725" spans="1:6" x14ac:dyDescent="0.25">
      <c r="A11725" s="2" t="str">
        <f t="shared" si="425"/>
        <v>22380</v>
      </c>
      <c r="B11725" s="2" t="str">
        <f>"86044"</f>
        <v>86044</v>
      </c>
      <c r="C11725" s="1">
        <v>4.2410153304850402E-4</v>
      </c>
      <c r="D11725" s="1">
        <v>9.8356048897007111E-4</v>
      </c>
      <c r="E11725" s="1">
        <v>5.6609114067364798E-4</v>
      </c>
      <c r="F11725" s="1">
        <v>4.8443092822348402E-4</v>
      </c>
    </row>
    <row r="11726" spans="1:6" x14ac:dyDescent="0.25">
      <c r="A11726" s="2" t="str">
        <f t="shared" si="425"/>
        <v>22380</v>
      </c>
      <c r="B11726" s="2" t="str">
        <f>"86020"</f>
        <v>86020</v>
      </c>
      <c r="C11726" s="1">
        <v>0</v>
      </c>
      <c r="D11726" s="1">
        <v>0</v>
      </c>
      <c r="E11726" s="1">
        <v>5.6609114067364798E-4</v>
      </c>
      <c r="F11726" s="1">
        <v>2.6912829345749102E-5</v>
      </c>
    </row>
    <row r="11727" spans="1:6" x14ac:dyDescent="0.25">
      <c r="A11727" s="2" t="str">
        <f t="shared" si="425"/>
        <v>22380</v>
      </c>
      <c r="B11727" s="2" t="str">
        <f>"85931"</f>
        <v>85931</v>
      </c>
      <c r="C11727" s="1">
        <v>1.55032671525508E-2</v>
      </c>
      <c r="D11727" s="1">
        <v>1.4050864128143799E-4</v>
      </c>
      <c r="E11727" s="1">
        <v>2.8304557033682399E-4</v>
      </c>
      <c r="F11727" s="1">
        <v>1.33083941114729E-2</v>
      </c>
    </row>
    <row r="11728" spans="1:6" x14ac:dyDescent="0.25">
      <c r="A11728" s="2" t="str">
        <f t="shared" si="425"/>
        <v>22380</v>
      </c>
      <c r="B11728" s="2" t="str">
        <f>"86336"</f>
        <v>86336</v>
      </c>
      <c r="C11728" s="1">
        <v>3.5875848203066003E-2</v>
      </c>
      <c r="D11728" s="1">
        <v>6.8849234227904996E-2</v>
      </c>
      <c r="E11728" s="1">
        <v>5.3495612793659698E-2</v>
      </c>
      <c r="F11728" s="1">
        <v>3.9871356675727297E-2</v>
      </c>
    </row>
    <row r="11729" spans="1:6" x14ac:dyDescent="0.25">
      <c r="A11729" s="2" t="str">
        <f t="shared" si="425"/>
        <v>22380</v>
      </c>
      <c r="B11729" s="2" t="str">
        <f>"86035"</f>
        <v>86035</v>
      </c>
      <c r="C11729" s="1">
        <v>1.5707464186981601E-5</v>
      </c>
      <c r="D11729" s="1">
        <v>0</v>
      </c>
      <c r="E11729" s="1">
        <v>0</v>
      </c>
      <c r="F11729" s="1">
        <v>1.34564146728745E-5</v>
      </c>
    </row>
    <row r="11730" spans="1:6" x14ac:dyDescent="0.25">
      <c r="A11730" s="2" t="str">
        <f t="shared" si="425"/>
        <v>22380</v>
      </c>
      <c r="B11730" s="2" t="str">
        <f>"86053"</f>
        <v>86053</v>
      </c>
      <c r="C11730" s="1">
        <v>0</v>
      </c>
      <c r="D11730" s="1">
        <v>0</v>
      </c>
      <c r="E11730" s="1">
        <v>2.8304557033682399E-4</v>
      </c>
      <c r="F11730" s="1">
        <v>1.34564146728745E-5</v>
      </c>
    </row>
    <row r="11731" spans="1:6" x14ac:dyDescent="0.25">
      <c r="A11731" s="2" t="str">
        <f t="shared" si="425"/>
        <v>22380</v>
      </c>
      <c r="B11731" s="2" t="str">
        <f>"86040"</f>
        <v>86040</v>
      </c>
      <c r="C11731" s="1">
        <v>5.9876853480773998E-2</v>
      </c>
      <c r="D11731" s="1">
        <v>5.9716172544611403E-2</v>
      </c>
      <c r="E11731" s="1">
        <v>2.8304557033682399E-4</v>
      </c>
      <c r="F11731" s="1">
        <v>5.7028285383642303E-2</v>
      </c>
    </row>
    <row r="11732" spans="1:6" x14ac:dyDescent="0.25">
      <c r="A11732" s="2" t="str">
        <f t="shared" si="425"/>
        <v>22380</v>
      </c>
      <c r="B11732" s="2" t="str">
        <f>"86017"</f>
        <v>86017</v>
      </c>
      <c r="C11732" s="1">
        <v>1.09952249308871E-4</v>
      </c>
      <c r="D11732" s="1">
        <v>0</v>
      </c>
      <c r="E11732" s="1">
        <v>2.8304557033682399E-4</v>
      </c>
      <c r="F11732" s="1">
        <v>1.07651317382996E-4</v>
      </c>
    </row>
    <row r="11733" spans="1:6" x14ac:dyDescent="0.25">
      <c r="A11733" s="2" t="str">
        <f t="shared" si="425"/>
        <v>22380</v>
      </c>
      <c r="B11733" s="2" t="str">
        <f>"86001"</f>
        <v>86001</v>
      </c>
      <c r="C11733" s="1">
        <v>0.27409525006282898</v>
      </c>
      <c r="D11733" s="1">
        <v>0.33890684277083</v>
      </c>
      <c r="E11733" s="1">
        <v>0.51627512029436695</v>
      </c>
      <c r="F11733" s="1">
        <v>0.29181580859595702</v>
      </c>
    </row>
    <row r="11734" spans="1:6" x14ac:dyDescent="0.25">
      <c r="A11734" s="2" t="str">
        <f t="shared" si="425"/>
        <v>22380</v>
      </c>
      <c r="B11734" s="2" t="str">
        <f>"86052"</f>
        <v>86052</v>
      </c>
      <c r="C11734" s="1">
        <v>0</v>
      </c>
      <c r="D11734" s="1">
        <v>0</v>
      </c>
      <c r="E11734" s="1">
        <v>2.8304557033682399E-4</v>
      </c>
      <c r="F11734" s="1">
        <v>1.34564146728745E-5</v>
      </c>
    </row>
    <row r="11735" spans="1:6" x14ac:dyDescent="0.25">
      <c r="A11735" s="2" t="str">
        <f t="shared" si="425"/>
        <v>22380</v>
      </c>
      <c r="B11735" s="2" t="str">
        <f>"86045"</f>
        <v>86045</v>
      </c>
      <c r="C11735" s="1">
        <v>3.1414928373963298E-5</v>
      </c>
      <c r="D11735" s="1">
        <v>7.0254320640719399E-4</v>
      </c>
      <c r="E11735" s="1">
        <v>5.6609114067364798E-4</v>
      </c>
      <c r="F11735" s="1">
        <v>1.21107732055871E-4</v>
      </c>
    </row>
    <row r="11736" spans="1:6" x14ac:dyDescent="0.25">
      <c r="A11736" s="2" t="str">
        <f t="shared" si="425"/>
        <v>22380</v>
      </c>
      <c r="B11736" s="2" t="str">
        <f>"86435"</f>
        <v>86435</v>
      </c>
      <c r="C11736" s="1">
        <v>2.4346569489821501E-3</v>
      </c>
      <c r="D11736" s="1">
        <v>1.4050864128143799E-4</v>
      </c>
      <c r="E11736" s="1">
        <v>0</v>
      </c>
      <c r="F11736" s="1">
        <v>2.0992006889684299E-3</v>
      </c>
    </row>
    <row r="11737" spans="1:6" x14ac:dyDescent="0.25">
      <c r="A11737" s="2" t="str">
        <f t="shared" si="425"/>
        <v>22380</v>
      </c>
      <c r="B11737" s="2" t="str">
        <f>"86016"</f>
        <v>86016</v>
      </c>
      <c r="C11737" s="1">
        <v>0</v>
      </c>
      <c r="D11737" s="1">
        <v>0</v>
      </c>
      <c r="E11737" s="1">
        <v>2.8304557033682399E-4</v>
      </c>
      <c r="F11737" s="1">
        <v>1.34564146728745E-5</v>
      </c>
    </row>
    <row r="11738" spans="1:6" x14ac:dyDescent="0.25">
      <c r="A11738" s="2" t="str">
        <f t="shared" si="425"/>
        <v>22380</v>
      </c>
      <c r="B11738" s="2" t="str">
        <f>"85928"</f>
        <v>85928</v>
      </c>
      <c r="C11738" s="1">
        <v>7.8537320934908203E-5</v>
      </c>
      <c r="D11738" s="1">
        <v>0</v>
      </c>
      <c r="E11738" s="1">
        <v>0</v>
      </c>
      <c r="F11738" s="1">
        <v>6.7282073364372707E-5</v>
      </c>
    </row>
    <row r="11739" spans="1:6" x14ac:dyDescent="0.25">
      <c r="A11739" s="2" t="str">
        <f t="shared" si="425"/>
        <v>22380</v>
      </c>
      <c r="B11739" s="2" t="str">
        <f>"86339"</f>
        <v>86339</v>
      </c>
      <c r="C11739" s="1">
        <v>3.6032922844935901E-2</v>
      </c>
      <c r="D11739" s="1">
        <v>8.3181115638611705E-2</v>
      </c>
      <c r="E11739" s="1">
        <v>5.6609114067364798E-4</v>
      </c>
      <c r="F11739" s="1">
        <v>3.8862125575261697E-2</v>
      </c>
    </row>
    <row r="11740" spans="1:6" x14ac:dyDescent="0.25">
      <c r="A11740" s="2" t="str">
        <f t="shared" si="425"/>
        <v>22380</v>
      </c>
      <c r="B11740" s="2" t="str">
        <f>"86046"</f>
        <v>86046</v>
      </c>
      <c r="C11740" s="1">
        <v>6.3897964312641303E-2</v>
      </c>
      <c r="D11740" s="1">
        <v>4.1309540536743003E-2</v>
      </c>
      <c r="E11740" s="1">
        <v>3.65128785734503E-2</v>
      </c>
      <c r="F11740" s="1">
        <v>6.0432758295879602E-2</v>
      </c>
    </row>
    <row r="11741" spans="1:6" x14ac:dyDescent="0.25">
      <c r="A11741" s="2" t="str">
        <f t="shared" si="425"/>
        <v>22380</v>
      </c>
      <c r="B11741" s="2" t="str">
        <f>"86015"</f>
        <v>86015</v>
      </c>
      <c r="C11741" s="1">
        <v>7.6181201306860999E-3</v>
      </c>
      <c r="D11741" s="1">
        <v>0</v>
      </c>
      <c r="E11741" s="1">
        <v>2.8304557033682399E-4</v>
      </c>
      <c r="F11741" s="1">
        <v>6.5398175310170297E-3</v>
      </c>
    </row>
    <row r="11742" spans="1:6" x14ac:dyDescent="0.25">
      <c r="A11742" s="2" t="str">
        <f t="shared" si="425"/>
        <v>22380</v>
      </c>
      <c r="B11742" s="2" t="str">
        <f>"86023"</f>
        <v>86023</v>
      </c>
      <c r="C11742" s="1">
        <v>0</v>
      </c>
      <c r="D11742" s="1">
        <v>4.21525923844316E-4</v>
      </c>
      <c r="E11742" s="1">
        <v>2.8304557033682399E-4</v>
      </c>
      <c r="F11742" s="1">
        <v>5.3825658691498203E-5</v>
      </c>
    </row>
    <row r="11743" spans="1:6" x14ac:dyDescent="0.25">
      <c r="A11743" s="2" t="str">
        <f t="shared" si="425"/>
        <v>22380</v>
      </c>
      <c r="B11743" s="2" t="str">
        <f>"86022"</f>
        <v>86022</v>
      </c>
      <c r="C11743" s="1">
        <v>5.1834631817039402E-3</v>
      </c>
      <c r="D11743" s="1">
        <v>1.5455950540958199E-3</v>
      </c>
      <c r="E11743" s="1">
        <v>2.8304557033682399E-4</v>
      </c>
      <c r="F11743" s="1">
        <v>4.6020938181230899E-3</v>
      </c>
    </row>
    <row r="11744" spans="1:6" x14ac:dyDescent="0.25">
      <c r="A11744" s="2" t="str">
        <f t="shared" si="425"/>
        <v>22380</v>
      </c>
      <c r="B11744" s="2" t="str">
        <f>"86018"</f>
        <v>86018</v>
      </c>
      <c r="C11744" s="1">
        <v>3.1414928373963298E-5</v>
      </c>
      <c r="D11744" s="1">
        <v>0</v>
      </c>
      <c r="E11744" s="1">
        <v>2.8304557033682399E-4</v>
      </c>
      <c r="F11744" s="1">
        <v>4.0369244018623598E-5</v>
      </c>
    </row>
    <row r="11745" spans="1:6" x14ac:dyDescent="0.25">
      <c r="A11745" s="2" t="str">
        <f t="shared" si="425"/>
        <v>22380</v>
      </c>
      <c r="B11745" s="2" t="str">
        <f>"86004"</f>
        <v>86004</v>
      </c>
      <c r="C11745" s="1">
        <v>0.25749246041718998</v>
      </c>
      <c r="D11745" s="1">
        <v>0.219333989040325</v>
      </c>
      <c r="E11745" s="1">
        <v>0.31021794508915901</v>
      </c>
      <c r="F11745" s="1">
        <v>0.25634469951826</v>
      </c>
    </row>
    <row r="11746" spans="1:6" x14ac:dyDescent="0.25">
      <c r="A11746" s="2" t="str">
        <f t="shared" si="425"/>
        <v>22380</v>
      </c>
      <c r="B11746" s="2" t="str">
        <f>"86003"</f>
        <v>86003</v>
      </c>
      <c r="C11746" s="1">
        <v>2.7283865292787101E-2</v>
      </c>
      <c r="D11746" s="1">
        <v>7.75607699873542E-2</v>
      </c>
      <c r="E11746" s="1">
        <v>5.6609114067364798E-4</v>
      </c>
      <c r="F11746" s="1">
        <v>3.08286460155556E-2</v>
      </c>
    </row>
    <row r="11747" spans="1:6" x14ac:dyDescent="0.25">
      <c r="A11747" s="2" t="str">
        <f t="shared" si="425"/>
        <v>22380</v>
      </c>
      <c r="B11747" s="2" t="str">
        <f>"86038"</f>
        <v>86038</v>
      </c>
      <c r="C11747" s="1">
        <v>1.9163106308117601E-3</v>
      </c>
      <c r="D11747" s="1">
        <v>1.40508641281438E-3</v>
      </c>
      <c r="E11747" s="1">
        <v>5.6609114067364798E-4</v>
      </c>
      <c r="F11747" s="1">
        <v>1.80315956616519E-3</v>
      </c>
    </row>
    <row r="11748" spans="1:6" x14ac:dyDescent="0.25">
      <c r="A11748" s="2" t="str">
        <f t="shared" si="425"/>
        <v>22380</v>
      </c>
      <c r="B11748" s="2" t="str">
        <f>"86024"</f>
        <v>86024</v>
      </c>
      <c r="C11748" s="1">
        <v>1.8958909273686798E-2</v>
      </c>
      <c r="D11748" s="1">
        <v>4.0747505971617196E-3</v>
      </c>
      <c r="E11748" s="1">
        <v>2.8304557033682399E-4</v>
      </c>
      <c r="F11748" s="1">
        <v>1.66455849503458E-2</v>
      </c>
    </row>
    <row r="11749" spans="1:6" x14ac:dyDescent="0.25">
      <c r="A11749" s="2" t="str">
        <f t="shared" si="425"/>
        <v>22380</v>
      </c>
      <c r="B11749" s="2" t="str">
        <f>"86011"</f>
        <v>86011</v>
      </c>
      <c r="C11749" s="1">
        <v>0</v>
      </c>
      <c r="D11749" s="1">
        <v>7.0254320640719399E-4</v>
      </c>
      <c r="E11749" s="1">
        <v>0</v>
      </c>
      <c r="F11749" s="1">
        <v>6.7282073364372707E-5</v>
      </c>
    </row>
    <row r="11750" spans="1:6" x14ac:dyDescent="0.25">
      <c r="A11750" s="2" t="str">
        <f t="shared" si="425"/>
        <v>22380</v>
      </c>
      <c r="B11750" s="2" t="str">
        <f>"86002"</f>
        <v>86002</v>
      </c>
      <c r="C11750" s="1">
        <v>2.6137220407137399E-2</v>
      </c>
      <c r="D11750" s="1">
        <v>7.9387382324012906E-2</v>
      </c>
      <c r="E11750" s="1">
        <v>5.6609114067364798E-4</v>
      </c>
      <c r="F11750" s="1">
        <v>3.0021261135183101E-2</v>
      </c>
    </row>
    <row r="11751" spans="1:6" x14ac:dyDescent="0.25">
      <c r="A11751" s="2" t="str">
        <f t="shared" si="425"/>
        <v>22380</v>
      </c>
      <c r="B11751" s="2" t="str">
        <f>"86036"</f>
        <v>86036</v>
      </c>
      <c r="C11751" s="1">
        <v>2.3561196280472401E-4</v>
      </c>
      <c r="D11751" s="1">
        <v>4.21525923844316E-4</v>
      </c>
      <c r="E11751" s="1">
        <v>2.8304557033682399E-4</v>
      </c>
      <c r="F11751" s="1">
        <v>2.55671878784616E-4</v>
      </c>
    </row>
    <row r="11752" spans="1:6" x14ac:dyDescent="0.25">
      <c r="A11752" s="2" t="str">
        <f t="shared" si="425"/>
        <v>22380</v>
      </c>
      <c r="B11752" s="2" t="str">
        <f>"86047"</f>
        <v>86047</v>
      </c>
      <c r="C11752" s="1">
        <v>3.9268660467454102E-4</v>
      </c>
      <c r="D11752" s="1">
        <v>0</v>
      </c>
      <c r="E11752" s="1">
        <v>5.6609114067364798E-4</v>
      </c>
      <c r="F11752" s="1">
        <v>3.63323196167613E-4</v>
      </c>
    </row>
    <row r="11753" spans="1:6" x14ac:dyDescent="0.25">
      <c r="A11753" s="2" t="str">
        <f t="shared" ref="A11753:A11765" si="426">"26020"</f>
        <v>26020</v>
      </c>
      <c r="B11753" s="2" t="str">
        <f>"88252"</f>
        <v>88252</v>
      </c>
      <c r="C11753" s="1">
        <v>1.6956190739843501E-3</v>
      </c>
      <c r="D11753" s="1">
        <v>1.3766519823788499E-3</v>
      </c>
      <c r="E11753" s="1">
        <v>0</v>
      </c>
      <c r="F11753" s="1">
        <v>1.62016201620162E-3</v>
      </c>
    </row>
    <row r="11754" spans="1:6" x14ac:dyDescent="0.25">
      <c r="A11754" s="2" t="str">
        <f t="shared" si="426"/>
        <v>26020</v>
      </c>
      <c r="B11754" s="2" t="str">
        <f>"88213"</f>
        <v>88213</v>
      </c>
      <c r="C11754" s="1">
        <v>1.0381341269291901E-3</v>
      </c>
      <c r="D11754" s="1">
        <v>0</v>
      </c>
      <c r="E11754" s="1">
        <v>1.25E-3</v>
      </c>
      <c r="F11754" s="1">
        <v>9.3009300930093004E-4</v>
      </c>
    </row>
    <row r="11755" spans="1:6" x14ac:dyDescent="0.25">
      <c r="A11755" s="2" t="str">
        <f t="shared" si="426"/>
        <v>26020</v>
      </c>
      <c r="B11755" s="2" t="str">
        <f>"88260"</f>
        <v>88260</v>
      </c>
      <c r="C11755" s="1">
        <v>0.20717696726417001</v>
      </c>
      <c r="D11755" s="1">
        <v>0.17015418502202601</v>
      </c>
      <c r="E11755" s="1">
        <v>0.1075</v>
      </c>
      <c r="F11755" s="1">
        <v>0.2007500750075</v>
      </c>
    </row>
    <row r="11756" spans="1:6" x14ac:dyDescent="0.25">
      <c r="A11756" s="2" t="str">
        <f t="shared" si="426"/>
        <v>26020</v>
      </c>
      <c r="B11756" s="2" t="str">
        <f>"88262"</f>
        <v>88262</v>
      </c>
      <c r="C11756" s="1">
        <v>6.92089417952799E-4</v>
      </c>
      <c r="D11756" s="1">
        <v>0</v>
      </c>
      <c r="E11756" s="1">
        <v>0</v>
      </c>
      <c r="F11756" s="1">
        <v>6.000600060006E-4</v>
      </c>
    </row>
    <row r="11757" spans="1:6" x14ac:dyDescent="0.25">
      <c r="A11757" s="2" t="str">
        <f t="shared" si="426"/>
        <v>26020</v>
      </c>
      <c r="B11757" s="2" t="str">
        <f>"88231"</f>
        <v>88231</v>
      </c>
      <c r="C11757" s="1">
        <v>0</v>
      </c>
      <c r="D11757" s="1">
        <v>2.7533039647576997E-4</v>
      </c>
      <c r="E11757" s="1">
        <v>0.16875000000000001</v>
      </c>
      <c r="F11757" s="1">
        <v>4.0804080408040804E-3</v>
      </c>
    </row>
    <row r="11758" spans="1:6" x14ac:dyDescent="0.25">
      <c r="A11758" s="2" t="str">
        <f t="shared" si="426"/>
        <v>26020</v>
      </c>
      <c r="B11758" s="2" t="str">
        <f>"88244"</f>
        <v>88244</v>
      </c>
      <c r="C11758" s="1">
        <v>0</v>
      </c>
      <c r="D11758" s="1">
        <v>2.7533039647576997E-4</v>
      </c>
      <c r="E11758" s="1">
        <v>0</v>
      </c>
      <c r="F11758" s="1">
        <v>3.0003000300030001E-5</v>
      </c>
    </row>
    <row r="11759" spans="1:6" x14ac:dyDescent="0.25">
      <c r="A11759" s="2" t="str">
        <f t="shared" si="426"/>
        <v>26020</v>
      </c>
      <c r="B11759" s="2" t="str">
        <f>"88265"</f>
        <v>88265</v>
      </c>
      <c r="C11759" s="1">
        <v>6.2288047615751904E-4</v>
      </c>
      <c r="D11759" s="1">
        <v>2.7533039647576997E-4</v>
      </c>
      <c r="E11759" s="1">
        <v>0</v>
      </c>
      <c r="F11759" s="1">
        <v>5.7005700570057001E-4</v>
      </c>
    </row>
    <row r="11760" spans="1:6" x14ac:dyDescent="0.25">
      <c r="A11760" s="2" t="str">
        <f t="shared" si="426"/>
        <v>26020</v>
      </c>
      <c r="B11760" s="2" t="str">
        <f>"88267"</f>
        <v>88267</v>
      </c>
      <c r="C11760" s="1">
        <v>1.62641013218907E-3</v>
      </c>
      <c r="D11760" s="1">
        <v>2.7533039647576997E-4</v>
      </c>
      <c r="E11760" s="1">
        <v>2.5000000000000001E-3</v>
      </c>
      <c r="F11760" s="1">
        <v>1.5001500150015E-3</v>
      </c>
    </row>
    <row r="11761" spans="1:6" x14ac:dyDescent="0.25">
      <c r="A11761" s="2" t="str">
        <f t="shared" si="426"/>
        <v>26020</v>
      </c>
      <c r="B11761" s="2" t="str">
        <f>"88242"</f>
        <v>88242</v>
      </c>
      <c r="C11761" s="1">
        <v>0.107654508962557</v>
      </c>
      <c r="D11761" s="1">
        <v>1.3766519823788501E-2</v>
      </c>
      <c r="E11761" s="1">
        <v>9.5000000000000001E-2</v>
      </c>
      <c r="F11761" s="1">
        <v>9.7119711971197106E-2</v>
      </c>
    </row>
    <row r="11762" spans="1:6" x14ac:dyDescent="0.25">
      <c r="A11762" s="2" t="str">
        <f t="shared" si="426"/>
        <v>26020</v>
      </c>
      <c r="B11762" s="2" t="str">
        <f>"88241"</f>
        <v>88241</v>
      </c>
      <c r="C11762" s="1">
        <v>7.9521074122776605E-2</v>
      </c>
      <c r="D11762" s="1">
        <v>0.213381057268722</v>
      </c>
      <c r="E11762" s="1">
        <v>2.5000000000000001E-3</v>
      </c>
      <c r="F11762" s="1">
        <v>9.2259225922592197E-2</v>
      </c>
    </row>
    <row r="11763" spans="1:6" x14ac:dyDescent="0.25">
      <c r="A11763" s="2" t="str">
        <f t="shared" si="426"/>
        <v>26020</v>
      </c>
      <c r="B11763" s="2" t="str">
        <f>"88240"</f>
        <v>88240</v>
      </c>
      <c r="C11763" s="1">
        <v>0.59824209287839902</v>
      </c>
      <c r="D11763" s="1">
        <v>0.59746696035242197</v>
      </c>
      <c r="E11763" s="1">
        <v>0.62</v>
      </c>
      <c r="F11763" s="1">
        <v>0.59867986798679795</v>
      </c>
    </row>
    <row r="11764" spans="1:6" x14ac:dyDescent="0.25">
      <c r="A11764" s="2" t="str">
        <f t="shared" si="426"/>
        <v>26020</v>
      </c>
      <c r="B11764" s="2" t="str">
        <f>"88264"</f>
        <v>88264</v>
      </c>
      <c r="C11764" s="1">
        <v>6.9208941795279898E-5</v>
      </c>
      <c r="D11764" s="1">
        <v>5.5066079295154103E-4</v>
      </c>
      <c r="E11764" s="1">
        <v>0</v>
      </c>
      <c r="F11764" s="1">
        <v>1.2001200120012E-4</v>
      </c>
    </row>
    <row r="11765" spans="1:6" x14ac:dyDescent="0.25">
      <c r="A11765" s="2" t="str">
        <f t="shared" si="426"/>
        <v>26020</v>
      </c>
      <c r="B11765" s="2" t="str">
        <f>"88114"</f>
        <v>88114</v>
      </c>
      <c r="C11765" s="1">
        <v>1.6610146030867101E-3</v>
      </c>
      <c r="D11765" s="1">
        <v>2.2026431718061598E-3</v>
      </c>
      <c r="E11765" s="1">
        <v>2.5000000000000001E-3</v>
      </c>
      <c r="F11765" s="1">
        <v>1.7401740174017399E-3</v>
      </c>
    </row>
    <row r="11766" spans="1:6" x14ac:dyDescent="0.25">
      <c r="A11766" s="2" t="str">
        <f>"31060"</f>
        <v>31060</v>
      </c>
      <c r="B11766" s="2" t="str">
        <f>"87544"</f>
        <v>87544</v>
      </c>
      <c r="C11766" s="1">
        <v>0.76849710982658903</v>
      </c>
      <c r="D11766" s="1">
        <v>0.92595978062157203</v>
      </c>
      <c r="E11766" s="1">
        <v>0.96672504378283697</v>
      </c>
      <c r="F11766" s="1">
        <v>0.80009511731134997</v>
      </c>
    </row>
    <row r="11767" spans="1:6" x14ac:dyDescent="0.25">
      <c r="A11767" s="2" t="str">
        <f>"31060"</f>
        <v>31060</v>
      </c>
      <c r="B11767" s="2" t="str">
        <f>"87547"</f>
        <v>87547</v>
      </c>
      <c r="C11767" s="1">
        <v>0.23150289017341</v>
      </c>
      <c r="D11767" s="1">
        <v>7.4040219378427696E-2</v>
      </c>
      <c r="E11767" s="1">
        <v>3.3274956217162803E-2</v>
      </c>
      <c r="F11767" s="1">
        <v>0.199904882688649</v>
      </c>
    </row>
    <row r="11768" spans="1:6" x14ac:dyDescent="0.25">
      <c r="A11768" s="2" t="str">
        <f t="shared" ref="A11768:A11782" si="427">"24100"</f>
        <v>24100</v>
      </c>
      <c r="B11768" s="2" t="str">
        <f>"12095"</f>
        <v>12095</v>
      </c>
      <c r="C11768" s="1">
        <v>0.22237710931768101</v>
      </c>
      <c r="D11768" s="1">
        <v>0.38855909336211503</v>
      </c>
      <c r="E11768" s="1">
        <v>0.279090909090909</v>
      </c>
      <c r="F11768" s="1">
        <v>0.23463409790487499</v>
      </c>
    </row>
    <row r="11769" spans="1:6" x14ac:dyDescent="0.25">
      <c r="A11769" s="2" t="str">
        <f t="shared" si="427"/>
        <v>24100</v>
      </c>
      <c r="B11769" s="2" t="str">
        <f>"13452"</f>
        <v>13452</v>
      </c>
      <c r="C11769" s="1">
        <v>3.4922964049889899E-2</v>
      </c>
      <c r="D11769" s="1">
        <v>1.1332973556394999E-2</v>
      </c>
      <c r="E11769" s="1">
        <v>3.6363636363636299E-3</v>
      </c>
      <c r="F11769" s="1">
        <v>3.23370734452057E-2</v>
      </c>
    </row>
    <row r="11770" spans="1:6" x14ac:dyDescent="0.25">
      <c r="A11770" s="2" t="str">
        <f t="shared" si="427"/>
        <v>24100</v>
      </c>
      <c r="B11770" s="2" t="str">
        <f>"12078"</f>
        <v>12078</v>
      </c>
      <c r="C11770" s="1">
        <v>0.442773294203961</v>
      </c>
      <c r="D11770" s="1">
        <v>0.45709660010793302</v>
      </c>
      <c r="E11770" s="1">
        <v>0.59090909090909005</v>
      </c>
      <c r="F11770" s="1">
        <v>0.44904511303081401</v>
      </c>
    </row>
    <row r="11771" spans="1:6" x14ac:dyDescent="0.25">
      <c r="A11771" s="2" t="str">
        <f t="shared" si="427"/>
        <v>24100</v>
      </c>
      <c r="B11771" s="2" t="str">
        <f>"12134"</f>
        <v>12134</v>
      </c>
      <c r="C11771" s="1">
        <v>3.9581804842259698E-2</v>
      </c>
      <c r="D11771" s="1">
        <v>1.4031300593631901E-2</v>
      </c>
      <c r="E11771" s="1">
        <v>0.01</v>
      </c>
      <c r="F11771" s="1">
        <v>3.69377420315758E-2</v>
      </c>
    </row>
    <row r="11772" spans="1:6" x14ac:dyDescent="0.25">
      <c r="A11772" s="2" t="str">
        <f t="shared" si="427"/>
        <v>24100</v>
      </c>
      <c r="B11772" s="2" t="str">
        <f>"13339"</f>
        <v>13339</v>
      </c>
      <c r="C11772" s="1">
        <v>7.8503301540719002E-3</v>
      </c>
      <c r="D11772" s="1">
        <v>3.2379924446842901E-3</v>
      </c>
      <c r="E11772" s="1">
        <v>0</v>
      </c>
      <c r="F11772" s="1">
        <v>7.2816337338231802E-3</v>
      </c>
    </row>
    <row r="11773" spans="1:6" x14ac:dyDescent="0.25">
      <c r="A11773" s="2" t="str">
        <f t="shared" si="427"/>
        <v>24100</v>
      </c>
      <c r="B11773" s="2" t="str">
        <f>"12117"</f>
        <v>12117</v>
      </c>
      <c r="C11773" s="1">
        <v>5.1357300073367501E-2</v>
      </c>
      <c r="D11773" s="1">
        <v>2.42849433351322E-2</v>
      </c>
      <c r="E11773" s="1">
        <v>2.0909090909090901E-2</v>
      </c>
      <c r="F11773" s="1">
        <v>4.8588356005692897E-2</v>
      </c>
    </row>
    <row r="11774" spans="1:6" x14ac:dyDescent="0.25">
      <c r="A11774" s="2" t="str">
        <f t="shared" si="427"/>
        <v>24100</v>
      </c>
      <c r="B11774" s="2" t="str">
        <f>"12032"</f>
        <v>12032</v>
      </c>
      <c r="C11774" s="1">
        <v>1.5774027879677101E-2</v>
      </c>
      <c r="D11774" s="1">
        <v>1.6189962223421401E-3</v>
      </c>
      <c r="E11774" s="1">
        <v>2.7272727272727201E-3</v>
      </c>
      <c r="F11774" s="1">
        <v>1.4430874127031401E-2</v>
      </c>
    </row>
    <row r="11775" spans="1:6" x14ac:dyDescent="0.25">
      <c r="A11775" s="2" t="str">
        <f t="shared" si="427"/>
        <v>24100</v>
      </c>
      <c r="B11775" s="2" t="str">
        <f>"13470"</f>
        <v>13470</v>
      </c>
      <c r="C11775" s="1">
        <v>1.0491562729273599E-2</v>
      </c>
      <c r="D11775" s="1">
        <v>5.3966540744738198E-4</v>
      </c>
      <c r="E11775" s="1">
        <v>9.0909090909090898E-4</v>
      </c>
      <c r="F11775" s="1">
        <v>9.53232052427762E-3</v>
      </c>
    </row>
    <row r="11776" spans="1:6" x14ac:dyDescent="0.25">
      <c r="A11776" s="2" t="str">
        <f t="shared" si="427"/>
        <v>24100</v>
      </c>
      <c r="B11776" s="2" t="str">
        <f>"13329"</f>
        <v>13329</v>
      </c>
      <c r="C11776" s="1">
        <v>1.8855465884079201E-2</v>
      </c>
      <c r="D11776" s="1">
        <v>7.5553157042633498E-3</v>
      </c>
      <c r="E11776" s="1">
        <v>8.1818181818181807E-3</v>
      </c>
      <c r="F11776" s="1">
        <v>1.7773805977559301E-2</v>
      </c>
    </row>
    <row r="11777" spans="1:6" x14ac:dyDescent="0.25">
      <c r="A11777" s="2" t="str">
        <f t="shared" si="427"/>
        <v>24100</v>
      </c>
      <c r="B11777" s="2" t="str">
        <f>"12025"</f>
        <v>12025</v>
      </c>
      <c r="C11777" s="1">
        <v>8.3749082905355807E-2</v>
      </c>
      <c r="D11777" s="1">
        <v>2.6443604964921701E-2</v>
      </c>
      <c r="E11777" s="1">
        <v>4.6363636363636301E-2</v>
      </c>
      <c r="F11777" s="1">
        <v>7.8873332671366606E-2</v>
      </c>
    </row>
    <row r="11778" spans="1:6" x14ac:dyDescent="0.25">
      <c r="A11778" s="2" t="str">
        <f t="shared" si="427"/>
        <v>24100</v>
      </c>
      <c r="B11778" s="2" t="str">
        <f>"12010"</f>
        <v>12010</v>
      </c>
      <c r="C11778" s="1">
        <v>6.0308143800440202E-2</v>
      </c>
      <c r="D11778" s="1">
        <v>6.31408526713437E-2</v>
      </c>
      <c r="E11778" s="1">
        <v>2.54545454545454E-2</v>
      </c>
      <c r="F11778" s="1">
        <v>5.9212921590044001E-2</v>
      </c>
    </row>
    <row r="11779" spans="1:6" x14ac:dyDescent="0.25">
      <c r="A11779" s="2" t="str">
        <f t="shared" si="427"/>
        <v>24100</v>
      </c>
      <c r="B11779" s="2" t="str">
        <f>"13454"</f>
        <v>13454</v>
      </c>
      <c r="C11779" s="1">
        <v>7.3367571533382203E-5</v>
      </c>
      <c r="D11779" s="1">
        <v>0</v>
      </c>
      <c r="E11779" s="1">
        <v>0</v>
      </c>
      <c r="F11779" s="1">
        <v>6.6196670307483498E-5</v>
      </c>
    </row>
    <row r="11780" spans="1:6" x14ac:dyDescent="0.25">
      <c r="A11780" s="2" t="str">
        <f t="shared" si="427"/>
        <v>24100</v>
      </c>
      <c r="B11780" s="2" t="str">
        <f>"12068"</f>
        <v>12068</v>
      </c>
      <c r="C11780" s="1">
        <v>4.7688921496698403E-4</v>
      </c>
      <c r="D11780" s="1">
        <v>0</v>
      </c>
      <c r="E11780" s="1">
        <v>0</v>
      </c>
      <c r="F11780" s="1">
        <v>4.30278356998642E-4</v>
      </c>
    </row>
    <row r="11781" spans="1:6" x14ac:dyDescent="0.25">
      <c r="A11781" s="2" t="str">
        <f t="shared" si="427"/>
        <v>24100</v>
      </c>
      <c r="B11781" s="2" t="str">
        <f>"12086"</f>
        <v>12086</v>
      </c>
      <c r="C11781" s="1">
        <v>3.77842993396918E-3</v>
      </c>
      <c r="D11781" s="1">
        <v>1.6189962223421401E-3</v>
      </c>
      <c r="E11781" s="1">
        <v>3.6363636363636299E-3</v>
      </c>
      <c r="F11781" s="1">
        <v>3.6408168669115901E-3</v>
      </c>
    </row>
    <row r="11782" spans="1:6" x14ac:dyDescent="0.25">
      <c r="A11782" s="2" t="str">
        <f t="shared" si="427"/>
        <v>24100</v>
      </c>
      <c r="B11782" s="2" t="str">
        <f>"12070"</f>
        <v>12070</v>
      </c>
      <c r="C11782" s="1">
        <v>7.6302274394717496E-3</v>
      </c>
      <c r="D11782" s="1">
        <v>5.3966540744738198E-4</v>
      </c>
      <c r="E11782" s="1">
        <v>8.1818181818181807E-3</v>
      </c>
      <c r="F11782" s="1">
        <v>7.2154370635157004E-3</v>
      </c>
    </row>
    <row r="11783" spans="1:6" x14ac:dyDescent="0.25">
      <c r="A11783" s="2" t="str">
        <f t="shared" ref="A11783:A11823" si="428">"26460"</f>
        <v>26460</v>
      </c>
      <c r="B11783" s="2" t="str">
        <f>"12583"</f>
        <v>12583</v>
      </c>
      <c r="C11783" s="1">
        <v>9.5904613789528203E-3</v>
      </c>
      <c r="D11783" s="1">
        <v>3.3264033264033201E-3</v>
      </c>
      <c r="E11783" s="1">
        <v>7.7030812324929898E-3</v>
      </c>
      <c r="F11783" s="1">
        <v>9.0785946911836699E-3</v>
      </c>
    </row>
    <row r="11784" spans="1:6" x14ac:dyDescent="0.25">
      <c r="A11784" s="2" t="str">
        <f t="shared" si="428"/>
        <v>26460</v>
      </c>
      <c r="B11784" s="2" t="str">
        <f>"12513"</f>
        <v>12513</v>
      </c>
      <c r="C11784" s="1">
        <v>2.8155780196993201E-2</v>
      </c>
      <c r="D11784" s="1">
        <v>4.5322245322245297E-2</v>
      </c>
      <c r="E11784" s="1">
        <v>7.00280112044817E-3</v>
      </c>
      <c r="F11784" s="1">
        <v>2.8475084301236402E-2</v>
      </c>
    </row>
    <row r="11785" spans="1:6" x14ac:dyDescent="0.25">
      <c r="A11785" s="2" t="str">
        <f t="shared" si="428"/>
        <v>26460</v>
      </c>
      <c r="B11785" s="2" t="str">
        <f>"12029"</f>
        <v>12029</v>
      </c>
      <c r="C11785" s="1">
        <v>1.5033696215655701E-2</v>
      </c>
      <c r="D11785" s="1">
        <v>8.3160083160083095E-3</v>
      </c>
      <c r="E11785" s="1">
        <v>3.5014005602240798E-3</v>
      </c>
      <c r="F11785" s="1">
        <v>1.4093437472980299E-2</v>
      </c>
    </row>
    <row r="11786" spans="1:6" x14ac:dyDescent="0.25">
      <c r="A11786" s="2" t="str">
        <f t="shared" si="428"/>
        <v>26460</v>
      </c>
      <c r="B11786" s="2" t="str">
        <f>"12529"</f>
        <v>12529</v>
      </c>
      <c r="C11786" s="1">
        <v>6.9368843960601306E-2</v>
      </c>
      <c r="D11786" s="1">
        <v>3.8669438669438602E-2</v>
      </c>
      <c r="E11786" s="1">
        <v>2.3809523809523801E-2</v>
      </c>
      <c r="F11786" s="1">
        <v>6.5365881776522403E-2</v>
      </c>
    </row>
    <row r="11787" spans="1:6" x14ac:dyDescent="0.25">
      <c r="A11787" s="2" t="str">
        <f t="shared" si="428"/>
        <v>26460</v>
      </c>
      <c r="B11787" s="2" t="str">
        <f>"12526"</f>
        <v>12526</v>
      </c>
      <c r="C11787" s="1">
        <v>5.7251166407464998E-2</v>
      </c>
      <c r="D11787" s="1">
        <v>3.7422037422037403E-2</v>
      </c>
      <c r="E11787" s="1">
        <v>6.2324929971988699E-2</v>
      </c>
      <c r="F11787" s="1">
        <v>5.60855405366458E-2</v>
      </c>
    </row>
    <row r="11788" spans="1:6" x14ac:dyDescent="0.25">
      <c r="A11788" s="2" t="str">
        <f t="shared" si="428"/>
        <v>26460</v>
      </c>
      <c r="B11788" s="2" t="str">
        <f>"12523"</f>
        <v>12523</v>
      </c>
      <c r="C11788" s="1">
        <v>3.1622602384655203E-2</v>
      </c>
      <c r="D11788" s="1">
        <v>2.9106029106029099E-3</v>
      </c>
      <c r="E11788" s="1">
        <v>1.890756302521E-2</v>
      </c>
      <c r="F11788" s="1">
        <v>2.9109144882842799E-2</v>
      </c>
    </row>
    <row r="11789" spans="1:6" x14ac:dyDescent="0.25">
      <c r="A11789" s="2" t="str">
        <f t="shared" si="428"/>
        <v>26460</v>
      </c>
      <c r="B11789" s="2" t="str">
        <f>"12503"</f>
        <v>12503</v>
      </c>
      <c r="C11789" s="1">
        <v>1.40940902021772E-2</v>
      </c>
      <c r="D11789" s="1">
        <v>5.8212058212058198E-3</v>
      </c>
      <c r="E11789" s="1">
        <v>1.40056022408963E-3</v>
      </c>
      <c r="F11789" s="1">
        <v>1.29982419229328E-2</v>
      </c>
    </row>
    <row r="11790" spans="1:6" x14ac:dyDescent="0.25">
      <c r="A11790" s="2" t="str">
        <f t="shared" si="428"/>
        <v>26460</v>
      </c>
      <c r="B11790" s="2" t="str">
        <f>"12136"</f>
        <v>12136</v>
      </c>
      <c r="C11790" s="1">
        <v>1.31220839813374E-2</v>
      </c>
      <c r="D11790" s="1">
        <v>8.7318087318087306E-3</v>
      </c>
      <c r="E11790" s="1">
        <v>4.9019607843137202E-3</v>
      </c>
      <c r="F11790" s="1">
        <v>1.24794650834366E-2</v>
      </c>
    </row>
    <row r="11791" spans="1:6" x14ac:dyDescent="0.25">
      <c r="A11791" s="2" t="str">
        <f t="shared" si="428"/>
        <v>26460</v>
      </c>
      <c r="B11791" s="2" t="str">
        <f>"12062"</f>
        <v>12062</v>
      </c>
      <c r="C11791" s="1">
        <v>3.5964230171073E-3</v>
      </c>
      <c r="D11791" s="1">
        <v>8.31600831600831E-4</v>
      </c>
      <c r="E11791" s="1">
        <v>2.80112044817927E-3</v>
      </c>
      <c r="F11791" s="1">
        <v>3.37204945672536E-3</v>
      </c>
    </row>
    <row r="11792" spans="1:6" x14ac:dyDescent="0.25">
      <c r="A11792" s="2" t="str">
        <f t="shared" si="428"/>
        <v>26460</v>
      </c>
      <c r="B11792" s="2" t="str">
        <f>"12168"</f>
        <v>12168</v>
      </c>
      <c r="C11792" s="1">
        <v>3.2400207361327099E-5</v>
      </c>
      <c r="D11792" s="1">
        <v>0</v>
      </c>
      <c r="E11792" s="1">
        <v>0</v>
      </c>
      <c r="F11792" s="1">
        <v>2.88209355275672E-5</v>
      </c>
    </row>
    <row r="11793" spans="1:6" x14ac:dyDescent="0.25">
      <c r="A11793" s="2" t="str">
        <f t="shared" si="428"/>
        <v>26460</v>
      </c>
      <c r="B11793" s="2" t="str">
        <f>"12172"</f>
        <v>12172</v>
      </c>
      <c r="C11793" s="1">
        <v>5.3460342146189697E-3</v>
      </c>
      <c r="D11793" s="1">
        <v>0</v>
      </c>
      <c r="E11793" s="1">
        <v>9.1036414565826302E-3</v>
      </c>
      <c r="F11793" s="1">
        <v>5.13012652390696E-3</v>
      </c>
    </row>
    <row r="11794" spans="1:6" x14ac:dyDescent="0.25">
      <c r="A11794" s="2" t="str">
        <f t="shared" si="428"/>
        <v>26460</v>
      </c>
      <c r="B11794" s="2" t="str">
        <f>"12546"</f>
        <v>12546</v>
      </c>
      <c r="C11794" s="1">
        <v>2.9160186625194402E-3</v>
      </c>
      <c r="D11794" s="1">
        <v>4.1580041580041501E-4</v>
      </c>
      <c r="E11794" s="1">
        <v>0</v>
      </c>
      <c r="F11794" s="1">
        <v>2.6227051330086101E-3</v>
      </c>
    </row>
    <row r="11795" spans="1:6" x14ac:dyDescent="0.25">
      <c r="A11795" s="2" t="str">
        <f t="shared" si="428"/>
        <v>26460</v>
      </c>
      <c r="B11795" s="2" t="str">
        <f>"12130"</f>
        <v>12130</v>
      </c>
      <c r="C11795" s="1">
        <v>8.7156557801969896E-3</v>
      </c>
      <c r="D11795" s="1">
        <v>4.1580041580041501E-4</v>
      </c>
      <c r="E11795" s="1">
        <v>1.40056022408963E-3</v>
      </c>
      <c r="F11795" s="1">
        <v>7.8392944634982798E-3</v>
      </c>
    </row>
    <row r="11796" spans="1:6" x14ac:dyDescent="0.25">
      <c r="A11796" s="2" t="str">
        <f t="shared" si="428"/>
        <v>26460</v>
      </c>
      <c r="B11796" s="2" t="str">
        <f>"12060"</f>
        <v>12060</v>
      </c>
      <c r="C11796" s="1">
        <v>2.25829445308449E-2</v>
      </c>
      <c r="D11796" s="1">
        <v>2.4948024948024902E-3</v>
      </c>
      <c r="E11796" s="1">
        <v>2.1008403361344498E-3</v>
      </c>
      <c r="F11796" s="1">
        <v>2.03475804824624E-2</v>
      </c>
    </row>
    <row r="11797" spans="1:6" x14ac:dyDescent="0.25">
      <c r="A11797" s="2" t="str">
        <f t="shared" si="428"/>
        <v>26460</v>
      </c>
      <c r="B11797" s="2" t="str">
        <f>"12571"</f>
        <v>12571</v>
      </c>
      <c r="C11797" s="1">
        <v>1.09836702954898E-2</v>
      </c>
      <c r="D11797" s="1">
        <v>2.07900207900207E-3</v>
      </c>
      <c r="E11797" s="1">
        <v>1.40056022408963E-3</v>
      </c>
      <c r="F11797" s="1">
        <v>9.9720436925382506E-3</v>
      </c>
    </row>
    <row r="11798" spans="1:6" x14ac:dyDescent="0.25">
      <c r="A11798" s="2" t="str">
        <f t="shared" si="428"/>
        <v>26460</v>
      </c>
      <c r="B11798" s="2" t="str">
        <f>"12516"</f>
        <v>12516</v>
      </c>
      <c r="C11798" s="1">
        <v>2.7961378952825199E-2</v>
      </c>
      <c r="D11798" s="1">
        <v>1.45530145530145E-2</v>
      </c>
      <c r="E11798" s="1">
        <v>7.7030812324929898E-3</v>
      </c>
      <c r="F11798" s="1">
        <v>2.6198230394558601E-2</v>
      </c>
    </row>
    <row r="11799" spans="1:6" x14ac:dyDescent="0.25">
      <c r="A11799" s="2" t="str">
        <f t="shared" si="428"/>
        <v>26460</v>
      </c>
      <c r="B11799" s="2" t="str">
        <f>"12132"</f>
        <v>12132</v>
      </c>
      <c r="C11799" s="1">
        <v>0</v>
      </c>
      <c r="D11799" s="1">
        <v>0</v>
      </c>
      <c r="E11799" s="1">
        <v>7.0028011204481696E-4</v>
      </c>
      <c r="F11799" s="1">
        <v>2.88209355275672E-5</v>
      </c>
    </row>
    <row r="11800" spans="1:6" x14ac:dyDescent="0.25">
      <c r="A11800" s="2" t="str">
        <f t="shared" si="428"/>
        <v>26460</v>
      </c>
      <c r="B11800" s="2" t="str">
        <f>"12106"</f>
        <v>12106</v>
      </c>
      <c r="C11800" s="1">
        <v>3.1395800933125897E-2</v>
      </c>
      <c r="D11800" s="1">
        <v>1.49688149688149E-2</v>
      </c>
      <c r="E11800" s="1">
        <v>2.2408963585434101E-2</v>
      </c>
      <c r="F11800" s="1">
        <v>2.98873101420872E-2</v>
      </c>
    </row>
    <row r="11801" spans="1:6" x14ac:dyDescent="0.25">
      <c r="A11801" s="2" t="str">
        <f t="shared" si="428"/>
        <v>26460</v>
      </c>
      <c r="B11801" s="2" t="str">
        <f>"12184"</f>
        <v>12184</v>
      </c>
      <c r="C11801" s="1">
        <v>9.2696993260756796E-2</v>
      </c>
      <c r="D11801" s="1">
        <v>4.4074844074844001E-2</v>
      </c>
      <c r="E11801" s="1">
        <v>8.2633053221288499E-2</v>
      </c>
      <c r="F11801" s="1">
        <v>8.8912586102544794E-2</v>
      </c>
    </row>
    <row r="11802" spans="1:6" x14ac:dyDescent="0.25">
      <c r="A11802" s="2" t="str">
        <f t="shared" si="428"/>
        <v>26460</v>
      </c>
      <c r="B11802" s="2" t="str">
        <f>"12565"</f>
        <v>12565</v>
      </c>
      <c r="C11802" s="1">
        <v>1.2636080870917501E-3</v>
      </c>
      <c r="D11802" s="1">
        <v>4.1580041580041501E-4</v>
      </c>
      <c r="E11802" s="1">
        <v>2.1008403361344498E-3</v>
      </c>
      <c r="F11802" s="1">
        <v>1.2393002276853899E-3</v>
      </c>
    </row>
    <row r="11803" spans="1:6" x14ac:dyDescent="0.25">
      <c r="A11803" s="2" t="str">
        <f t="shared" si="428"/>
        <v>26460</v>
      </c>
      <c r="B11803" s="2" t="str">
        <f>"12567"</f>
        <v>12567</v>
      </c>
      <c r="C11803" s="1">
        <v>6.8688439606013401E-3</v>
      </c>
      <c r="D11803" s="1">
        <v>1.66320166320166E-3</v>
      </c>
      <c r="E11803" s="1">
        <v>1.40056022408963E-3</v>
      </c>
      <c r="F11803" s="1">
        <v>6.2829639450096503E-3</v>
      </c>
    </row>
    <row r="11804" spans="1:6" x14ac:dyDescent="0.25">
      <c r="A11804" s="2" t="str">
        <f t="shared" si="428"/>
        <v>26460</v>
      </c>
      <c r="B11804" s="2" t="str">
        <f>"12544"</f>
        <v>12544</v>
      </c>
      <c r="C11804" s="1">
        <v>3.2400207361327099E-5</v>
      </c>
      <c r="D11804" s="1">
        <v>0</v>
      </c>
      <c r="E11804" s="1">
        <v>7.0028011204481696E-4</v>
      </c>
      <c r="F11804" s="1">
        <v>5.76418710551344E-5</v>
      </c>
    </row>
    <row r="11805" spans="1:6" x14ac:dyDescent="0.25">
      <c r="A11805" s="2" t="str">
        <f t="shared" si="428"/>
        <v>26460</v>
      </c>
      <c r="B11805" s="2" t="str">
        <f>"12530"</f>
        <v>12530</v>
      </c>
      <c r="C11805" s="1">
        <v>1.23120787973043E-3</v>
      </c>
      <c r="D11805" s="1">
        <v>4.1580041580041501E-4</v>
      </c>
      <c r="E11805" s="1">
        <v>7.0028011204481696E-4</v>
      </c>
      <c r="F11805" s="1">
        <v>1.1528374211026799E-3</v>
      </c>
    </row>
    <row r="11806" spans="1:6" x14ac:dyDescent="0.25">
      <c r="A11806" s="2" t="str">
        <f t="shared" si="428"/>
        <v>26460</v>
      </c>
      <c r="B11806" s="2" t="str">
        <f>"12502"</f>
        <v>12502</v>
      </c>
      <c r="C11806" s="1">
        <v>2.1546137895282501E-2</v>
      </c>
      <c r="D11806" s="1">
        <v>9.9792099792099694E-3</v>
      </c>
      <c r="E11806" s="1">
        <v>1.05042016806722E-2</v>
      </c>
      <c r="F11806" s="1">
        <v>2.02899386114073E-2</v>
      </c>
    </row>
    <row r="11807" spans="1:6" x14ac:dyDescent="0.25">
      <c r="A11807" s="2" t="str">
        <f t="shared" si="428"/>
        <v>26460</v>
      </c>
      <c r="B11807" s="2" t="str">
        <f>"12123"</f>
        <v>12123</v>
      </c>
      <c r="C11807" s="1">
        <v>9.0720580611715904E-4</v>
      </c>
      <c r="D11807" s="1">
        <v>4.1580041580041501E-4</v>
      </c>
      <c r="E11807" s="1">
        <v>0</v>
      </c>
      <c r="F11807" s="1">
        <v>8.3580713029944901E-4</v>
      </c>
    </row>
    <row r="11808" spans="1:6" x14ac:dyDescent="0.25">
      <c r="A11808" s="2" t="str">
        <f t="shared" si="428"/>
        <v>26460</v>
      </c>
      <c r="B11808" s="2" t="str">
        <f>"12195"</f>
        <v>12195</v>
      </c>
      <c r="C11808" s="1">
        <v>1.94401244167962E-4</v>
      </c>
      <c r="D11808" s="1">
        <v>0</v>
      </c>
      <c r="E11808" s="1">
        <v>7.0028011204481696E-4</v>
      </c>
      <c r="F11808" s="1">
        <v>2.0174654869297001E-4</v>
      </c>
    </row>
    <row r="11809" spans="1:6" x14ac:dyDescent="0.25">
      <c r="A11809" s="2" t="str">
        <f t="shared" si="428"/>
        <v>26460</v>
      </c>
      <c r="B11809" s="2" t="str">
        <f>"12156"</f>
        <v>12156</v>
      </c>
      <c r="C11809" s="1">
        <v>2.62441679626749E-3</v>
      </c>
      <c r="D11809" s="1">
        <v>0</v>
      </c>
      <c r="E11809" s="1">
        <v>0</v>
      </c>
      <c r="F11809" s="1">
        <v>2.3344957777329399E-3</v>
      </c>
    </row>
    <row r="11810" spans="1:6" x14ac:dyDescent="0.25">
      <c r="A11810" s="2" t="str">
        <f t="shared" si="428"/>
        <v>26460</v>
      </c>
      <c r="B11810" s="2" t="str">
        <f>"12534"</f>
        <v>12534</v>
      </c>
      <c r="C11810" s="1">
        <v>0.32465007776049698</v>
      </c>
      <c r="D11810" s="1">
        <v>0.60665280665280596</v>
      </c>
      <c r="E11810" s="1">
        <v>0.53781512605042003</v>
      </c>
      <c r="F11810" s="1">
        <v>0.35296999740611501</v>
      </c>
    </row>
    <row r="11811" spans="1:6" x14ac:dyDescent="0.25">
      <c r="A11811" s="2" t="str">
        <f t="shared" si="428"/>
        <v>26460</v>
      </c>
      <c r="B11811" s="2" t="str">
        <f>"12521"</f>
        <v>12521</v>
      </c>
      <c r="C11811" s="1">
        <v>3.0002592016588898E-2</v>
      </c>
      <c r="D11811" s="1">
        <v>8.7318087318087306E-3</v>
      </c>
      <c r="E11811" s="1">
        <v>1.54061624649859E-2</v>
      </c>
      <c r="F11811" s="1">
        <v>2.7927486526212599E-2</v>
      </c>
    </row>
    <row r="11812" spans="1:6" x14ac:dyDescent="0.25">
      <c r="A11812" s="2" t="str">
        <f t="shared" si="428"/>
        <v>26460</v>
      </c>
      <c r="B11812" s="2" t="str">
        <f>"12115"</f>
        <v>12115</v>
      </c>
      <c r="C11812" s="1">
        <v>1.03680663556246E-3</v>
      </c>
      <c r="D11812" s="1">
        <v>0</v>
      </c>
      <c r="E11812" s="1">
        <v>7.0028011204481696E-4</v>
      </c>
      <c r="F11812" s="1">
        <v>9.5109087240971796E-4</v>
      </c>
    </row>
    <row r="11813" spans="1:6" x14ac:dyDescent="0.25">
      <c r="A11813" s="2" t="str">
        <f t="shared" si="428"/>
        <v>26460</v>
      </c>
      <c r="B11813" s="2" t="str">
        <f>"12125"</f>
        <v>12125</v>
      </c>
      <c r="C11813" s="1">
        <v>1.63621047174701E-2</v>
      </c>
      <c r="D11813" s="1">
        <v>1.03950103950103E-2</v>
      </c>
      <c r="E11813" s="1">
        <v>2.03081232492997E-2</v>
      </c>
      <c r="F11813" s="1">
        <v>1.6110902959909999E-2</v>
      </c>
    </row>
    <row r="11814" spans="1:6" x14ac:dyDescent="0.25">
      <c r="A11814" s="2" t="str">
        <f t="shared" si="428"/>
        <v>26460</v>
      </c>
      <c r="B11814" s="2" t="str">
        <f>"12075"</f>
        <v>12075</v>
      </c>
      <c r="C11814" s="1">
        <v>4.2962674961119697E-2</v>
      </c>
      <c r="D11814" s="1">
        <v>2.7027027027027001E-2</v>
      </c>
      <c r="E11814" s="1">
        <v>1.6806722689075598E-2</v>
      </c>
      <c r="F11814" s="1">
        <v>4.0781623771507597E-2</v>
      </c>
    </row>
    <row r="11815" spans="1:6" x14ac:dyDescent="0.25">
      <c r="A11815" s="2" t="str">
        <f t="shared" si="428"/>
        <v>26460</v>
      </c>
      <c r="B11815" s="2" t="str">
        <f>"12173"</f>
        <v>12173</v>
      </c>
      <c r="C11815" s="1">
        <v>2.54665629860031E-2</v>
      </c>
      <c r="D11815" s="1">
        <v>8.3160083160083095E-3</v>
      </c>
      <c r="E11815" s="1">
        <v>1.40056022408963E-2</v>
      </c>
      <c r="F11815" s="1">
        <v>2.3806092745770498E-2</v>
      </c>
    </row>
    <row r="11816" spans="1:6" x14ac:dyDescent="0.25">
      <c r="A11816" s="2" t="str">
        <f t="shared" si="428"/>
        <v>26460</v>
      </c>
      <c r="B11816" s="2" t="str">
        <f>"12017"</f>
        <v>12017</v>
      </c>
      <c r="C11816" s="1">
        <v>4.6980300673924299E-3</v>
      </c>
      <c r="D11816" s="1">
        <v>0</v>
      </c>
      <c r="E11816" s="1">
        <v>3.5014005602240798E-3</v>
      </c>
      <c r="F11816" s="1">
        <v>4.3231403291350799E-3</v>
      </c>
    </row>
    <row r="11817" spans="1:6" x14ac:dyDescent="0.25">
      <c r="A11817" s="2" t="str">
        <f t="shared" si="428"/>
        <v>26460</v>
      </c>
      <c r="B11817" s="2" t="str">
        <f>"12541"</f>
        <v>12541</v>
      </c>
      <c r="C11817" s="1">
        <v>3.2400207361327099E-5</v>
      </c>
      <c r="D11817" s="1">
        <v>0</v>
      </c>
      <c r="E11817" s="1">
        <v>7.0028011204481696E-4</v>
      </c>
      <c r="F11817" s="1">
        <v>5.76418710551344E-5</v>
      </c>
    </row>
    <row r="11818" spans="1:6" x14ac:dyDescent="0.25">
      <c r="A11818" s="2" t="str">
        <f t="shared" si="428"/>
        <v>26460</v>
      </c>
      <c r="B11818" s="2" t="str">
        <f>"12517"</f>
        <v>12517</v>
      </c>
      <c r="C11818" s="1">
        <v>5.7672369103162202E-3</v>
      </c>
      <c r="D11818" s="1">
        <v>1.66320166320166E-3</v>
      </c>
      <c r="E11818" s="1">
        <v>7.0028011204481696E-4</v>
      </c>
      <c r="F11818" s="1">
        <v>5.2742312015447998E-3</v>
      </c>
    </row>
    <row r="11819" spans="1:6" x14ac:dyDescent="0.25">
      <c r="A11819" s="2" t="str">
        <f t="shared" si="428"/>
        <v>26460</v>
      </c>
      <c r="B11819" s="2" t="str">
        <f>"12050"</f>
        <v>12050</v>
      </c>
      <c r="C11819" s="1">
        <v>3.2400207361327099E-5</v>
      </c>
      <c r="D11819" s="1">
        <v>0</v>
      </c>
      <c r="E11819" s="1">
        <v>7.0028011204481696E-4</v>
      </c>
      <c r="F11819" s="1">
        <v>5.76418710551344E-5</v>
      </c>
    </row>
    <row r="11820" spans="1:6" x14ac:dyDescent="0.25">
      <c r="A11820" s="2" t="str">
        <f t="shared" si="428"/>
        <v>26460</v>
      </c>
      <c r="B11820" s="2" t="str">
        <f>"12037"</f>
        <v>12037</v>
      </c>
      <c r="C11820" s="1">
        <v>6.17871954380508E-2</v>
      </c>
      <c r="D11820" s="1">
        <v>9.18918918918918E-2</v>
      </c>
      <c r="E11820" s="1">
        <v>0.111344537815126</v>
      </c>
      <c r="F11820" s="1">
        <v>6.5913479551546195E-2</v>
      </c>
    </row>
    <row r="11821" spans="1:6" x14ac:dyDescent="0.25">
      <c r="A11821" s="2" t="str">
        <f t="shared" si="428"/>
        <v>26460</v>
      </c>
      <c r="B11821" s="2" t="str">
        <f>"12024"</f>
        <v>12024</v>
      </c>
      <c r="C11821" s="1">
        <v>1.9440124416796199E-3</v>
      </c>
      <c r="D11821" s="1">
        <v>8.31600831600831E-4</v>
      </c>
      <c r="E11821" s="1">
        <v>0</v>
      </c>
      <c r="F11821" s="1">
        <v>1.78689800270916E-3</v>
      </c>
    </row>
    <row r="11822" spans="1:6" x14ac:dyDescent="0.25">
      <c r="A11822" s="2" t="str">
        <f t="shared" si="428"/>
        <v>26460</v>
      </c>
      <c r="B11822" s="2" t="str">
        <f>"12174"</f>
        <v>12174</v>
      </c>
      <c r="C11822" s="1">
        <v>3.4992223950233198E-3</v>
      </c>
      <c r="D11822" s="1">
        <v>0</v>
      </c>
      <c r="E11822" s="1">
        <v>1.40056022408963E-3</v>
      </c>
      <c r="F11822" s="1">
        <v>3.17030290803239E-3</v>
      </c>
    </row>
    <row r="11823" spans="1:6" x14ac:dyDescent="0.25">
      <c r="A11823" s="2" t="str">
        <f t="shared" si="428"/>
        <v>26460</v>
      </c>
      <c r="B11823" s="2" t="str">
        <f>"12165"</f>
        <v>12165</v>
      </c>
      <c r="C11823" s="1">
        <v>2.62441679626749E-3</v>
      </c>
      <c r="D11823" s="1">
        <v>1.2474012474012401E-3</v>
      </c>
      <c r="E11823" s="1">
        <v>7.0028011204481696E-4</v>
      </c>
      <c r="F11823" s="1">
        <v>2.4497795198432102E-3</v>
      </c>
    </row>
    <row r="11824" spans="1:6" x14ac:dyDescent="0.25">
      <c r="A11824" s="2" t="str">
        <f t="shared" ref="A11824:A11869" si="429">"43740"</f>
        <v>43740</v>
      </c>
      <c r="B11824" s="2" t="str">
        <f>"15953"</f>
        <v>15953</v>
      </c>
      <c r="C11824" s="1">
        <v>1.6370439663236599E-3</v>
      </c>
      <c r="D11824" s="1">
        <v>0</v>
      </c>
      <c r="E11824" s="1">
        <v>1.1534025374855799E-3</v>
      </c>
      <c r="F11824" s="1">
        <v>1.50809609482484E-3</v>
      </c>
    </row>
    <row r="11825" spans="1:6" x14ac:dyDescent="0.25">
      <c r="A11825" s="2" t="str">
        <f t="shared" si="429"/>
        <v>43740</v>
      </c>
      <c r="B11825" s="2" t="str">
        <f>"15936"</f>
        <v>15936</v>
      </c>
      <c r="C11825" s="1">
        <v>1.57273152478952E-2</v>
      </c>
      <c r="D11825" s="1">
        <v>6.2477030503491297E-3</v>
      </c>
      <c r="E11825" s="1">
        <v>1.73010380622837E-2</v>
      </c>
      <c r="F11825" s="1">
        <v>1.5080960948248401E-2</v>
      </c>
    </row>
    <row r="11826" spans="1:6" x14ac:dyDescent="0.25">
      <c r="A11826" s="2" t="str">
        <f t="shared" si="429"/>
        <v>43740</v>
      </c>
      <c r="B11826" s="2" t="str">
        <f>"15904"</f>
        <v>15904</v>
      </c>
      <c r="C11826" s="1">
        <v>2.9232927970065401E-5</v>
      </c>
      <c r="D11826" s="1">
        <v>0</v>
      </c>
      <c r="E11826" s="1">
        <v>0</v>
      </c>
      <c r="F11826" s="1">
        <v>2.6457826224997301E-5</v>
      </c>
    </row>
    <row r="11827" spans="1:6" x14ac:dyDescent="0.25">
      <c r="A11827" s="2" t="str">
        <f t="shared" si="429"/>
        <v>43740</v>
      </c>
      <c r="B11827" s="2" t="str">
        <f>"15926"</f>
        <v>15926</v>
      </c>
      <c r="C11827" s="1">
        <v>4.4521749298409699E-2</v>
      </c>
      <c r="D11827" s="1">
        <v>3.2708563028298401E-2</v>
      </c>
      <c r="E11827" s="1">
        <v>1.73010380622837E-2</v>
      </c>
      <c r="F11827" s="1">
        <v>4.3046883268070602E-2</v>
      </c>
    </row>
    <row r="11828" spans="1:6" x14ac:dyDescent="0.25">
      <c r="A11828" s="2" t="str">
        <f t="shared" si="429"/>
        <v>43740</v>
      </c>
      <c r="B11828" s="2" t="str">
        <f>"15561"</f>
        <v>15561</v>
      </c>
      <c r="C11828" s="1">
        <v>0</v>
      </c>
      <c r="D11828" s="1">
        <v>3.6751194413818397E-4</v>
      </c>
      <c r="E11828" s="1">
        <v>5.7670126874279099E-3</v>
      </c>
      <c r="F11828" s="1">
        <v>1.5874695734998401E-4</v>
      </c>
    </row>
    <row r="11829" spans="1:6" x14ac:dyDescent="0.25">
      <c r="A11829" s="2" t="str">
        <f t="shared" si="429"/>
        <v>43740</v>
      </c>
      <c r="B11829" s="2" t="str">
        <f>"15424"</f>
        <v>15424</v>
      </c>
      <c r="C11829" s="1">
        <v>3.2507015902712801E-2</v>
      </c>
      <c r="D11829" s="1">
        <v>3.4178610804851101E-2</v>
      </c>
      <c r="E11829" s="1">
        <v>1.73010380622837E-2</v>
      </c>
      <c r="F11829" s="1">
        <v>3.2278547994496698E-2</v>
      </c>
    </row>
    <row r="11830" spans="1:6" x14ac:dyDescent="0.25">
      <c r="A11830" s="2" t="str">
        <f t="shared" si="429"/>
        <v>43740</v>
      </c>
      <c r="B11830" s="2" t="str">
        <f>"15520"</f>
        <v>15520</v>
      </c>
      <c r="C11830" s="1">
        <v>0</v>
      </c>
      <c r="D11830" s="1">
        <v>3.6751194413818397E-4</v>
      </c>
      <c r="E11830" s="1">
        <v>1.1534025374855799E-3</v>
      </c>
      <c r="F11830" s="1">
        <v>5.2915652449994697E-5</v>
      </c>
    </row>
    <row r="11831" spans="1:6" x14ac:dyDescent="0.25">
      <c r="A11831" s="2" t="str">
        <f t="shared" si="429"/>
        <v>43740</v>
      </c>
      <c r="B11831" s="2" t="str">
        <f>"15510"</f>
        <v>15510</v>
      </c>
      <c r="C11831" s="1">
        <v>0</v>
      </c>
      <c r="D11831" s="1">
        <v>7.3502388827636795E-4</v>
      </c>
      <c r="E11831" s="1">
        <v>0</v>
      </c>
      <c r="F11831" s="1">
        <v>5.2915652449994697E-5</v>
      </c>
    </row>
    <row r="11832" spans="1:6" x14ac:dyDescent="0.25">
      <c r="A11832" s="2" t="str">
        <f t="shared" si="429"/>
        <v>43740</v>
      </c>
      <c r="B11832" s="2" t="str">
        <f>"15544"</f>
        <v>15544</v>
      </c>
      <c r="C11832" s="1">
        <v>0</v>
      </c>
      <c r="D11832" s="1">
        <v>3.6751194413818397E-4</v>
      </c>
      <c r="E11832" s="1">
        <v>0</v>
      </c>
      <c r="F11832" s="1">
        <v>2.6457826224997301E-5</v>
      </c>
    </row>
    <row r="11833" spans="1:6" x14ac:dyDescent="0.25">
      <c r="A11833" s="2" t="str">
        <f t="shared" si="429"/>
        <v>43740</v>
      </c>
      <c r="B11833" s="2" t="str">
        <f>"15557"</f>
        <v>15557</v>
      </c>
      <c r="C11833" s="1">
        <v>5.62149204864359E-2</v>
      </c>
      <c r="D11833" s="1">
        <v>4.5203969128996602E-2</v>
      </c>
      <c r="E11833" s="1">
        <v>2.8835063437139499E-2</v>
      </c>
      <c r="F11833" s="1">
        <v>5.4794158111969499E-2</v>
      </c>
    </row>
    <row r="11834" spans="1:6" x14ac:dyDescent="0.25">
      <c r="A11834" s="2" t="str">
        <f t="shared" si="429"/>
        <v>43740</v>
      </c>
      <c r="B11834" s="2" t="str">
        <f>"15552"</f>
        <v>15552</v>
      </c>
      <c r="C11834" s="1">
        <v>8.4512394761459303E-2</v>
      </c>
      <c r="D11834" s="1">
        <v>8.4895259095920605E-2</v>
      </c>
      <c r="E11834" s="1">
        <v>7.9584775086505105E-2</v>
      </c>
      <c r="F11834" s="1">
        <v>8.4426923483966507E-2</v>
      </c>
    </row>
    <row r="11835" spans="1:6" x14ac:dyDescent="0.25">
      <c r="A11835" s="2" t="str">
        <f t="shared" si="429"/>
        <v>43740</v>
      </c>
      <c r="B11835" s="2" t="str">
        <f>"15538"</f>
        <v>15538</v>
      </c>
      <c r="C11835" s="1">
        <v>1.11377455565949E-2</v>
      </c>
      <c r="D11835" s="1">
        <v>6.2477030503491297E-3</v>
      </c>
      <c r="E11835" s="1">
        <v>2.3068050749711598E-3</v>
      </c>
      <c r="F11835" s="1">
        <v>1.05831304899989E-2</v>
      </c>
    </row>
    <row r="11836" spans="1:6" x14ac:dyDescent="0.25">
      <c r="A11836" s="2" t="str">
        <f t="shared" si="429"/>
        <v>43740</v>
      </c>
      <c r="B11836" s="2" t="str">
        <f>"15542"</f>
        <v>15542</v>
      </c>
      <c r="C11836" s="1">
        <v>1.28332553788587E-2</v>
      </c>
      <c r="D11836" s="1">
        <v>6.6152149944873201E-3</v>
      </c>
      <c r="E11836" s="1">
        <v>0.131487889273356</v>
      </c>
      <c r="F11836" s="1">
        <v>1.51074187744734E-2</v>
      </c>
    </row>
    <row r="11837" spans="1:6" x14ac:dyDescent="0.25">
      <c r="A11837" s="2" t="str">
        <f t="shared" si="429"/>
        <v>43740</v>
      </c>
      <c r="B11837" s="2" t="str">
        <f>"15541"</f>
        <v>15541</v>
      </c>
      <c r="C11837" s="1">
        <v>4.96959775491113E-2</v>
      </c>
      <c r="D11837" s="1">
        <v>2.16832047041528E-2</v>
      </c>
      <c r="E11837" s="1">
        <v>9.2272202998846496E-3</v>
      </c>
      <c r="F11837" s="1">
        <v>4.6750978939570302E-2</v>
      </c>
    </row>
    <row r="11838" spans="1:6" x14ac:dyDescent="0.25">
      <c r="A11838" s="2" t="str">
        <f t="shared" si="429"/>
        <v>43740</v>
      </c>
      <c r="B11838" s="2" t="str">
        <f>"15540"</f>
        <v>15540</v>
      </c>
      <c r="C11838" s="1">
        <v>5.1449953227315198E-3</v>
      </c>
      <c r="D11838" s="1">
        <v>2.9400955531054701E-3</v>
      </c>
      <c r="E11838" s="1">
        <v>0</v>
      </c>
      <c r="F11838" s="1">
        <v>4.86824002539951E-3</v>
      </c>
    </row>
    <row r="11839" spans="1:6" x14ac:dyDescent="0.25">
      <c r="A11839" s="2" t="str">
        <f t="shared" si="429"/>
        <v>43740</v>
      </c>
      <c r="B11839" s="2" t="str">
        <f>"15534"</f>
        <v>15534</v>
      </c>
      <c r="C11839" s="1">
        <v>1.46164639850327E-4</v>
      </c>
      <c r="D11839" s="1">
        <v>3.6751194413818397E-4</v>
      </c>
      <c r="E11839" s="1">
        <v>0</v>
      </c>
      <c r="F11839" s="1">
        <v>1.5874695734998401E-4</v>
      </c>
    </row>
    <row r="11840" spans="1:6" x14ac:dyDescent="0.25">
      <c r="A11840" s="2" t="str">
        <f t="shared" si="429"/>
        <v>43740</v>
      </c>
      <c r="B11840" s="2" t="str">
        <f>"15559"</f>
        <v>15559</v>
      </c>
      <c r="C11840" s="1">
        <v>2.6309635173058898E-4</v>
      </c>
      <c r="D11840" s="1">
        <v>3.6751194413818397E-4</v>
      </c>
      <c r="E11840" s="1">
        <v>0</v>
      </c>
      <c r="F11840" s="1">
        <v>2.64578262249973E-4</v>
      </c>
    </row>
    <row r="11841" spans="1:6" x14ac:dyDescent="0.25">
      <c r="A11841" s="2" t="str">
        <f t="shared" si="429"/>
        <v>43740</v>
      </c>
      <c r="B11841" s="2" t="str">
        <f>"15532"</f>
        <v>15532</v>
      </c>
      <c r="C11841" s="1">
        <v>0</v>
      </c>
      <c r="D11841" s="1">
        <v>3.6751194413818397E-4</v>
      </c>
      <c r="E11841" s="1">
        <v>0</v>
      </c>
      <c r="F11841" s="1">
        <v>2.6457826224997301E-5</v>
      </c>
    </row>
    <row r="11842" spans="1:6" x14ac:dyDescent="0.25">
      <c r="A11842" s="2" t="str">
        <f t="shared" si="429"/>
        <v>43740</v>
      </c>
      <c r="B11842" s="2" t="str">
        <f>"15548"</f>
        <v>15548</v>
      </c>
      <c r="C11842" s="1">
        <v>5.8465855940130896E-4</v>
      </c>
      <c r="D11842" s="1">
        <v>7.3502388827636795E-4</v>
      </c>
      <c r="E11842" s="1">
        <v>0</v>
      </c>
      <c r="F11842" s="1">
        <v>5.8207217694994102E-4</v>
      </c>
    </row>
    <row r="11843" spans="1:6" x14ac:dyDescent="0.25">
      <c r="A11843" s="2" t="str">
        <f t="shared" si="429"/>
        <v>43740</v>
      </c>
      <c r="B11843" s="2" t="str">
        <f>"15531"</f>
        <v>15531</v>
      </c>
      <c r="C11843" s="1">
        <v>5.6858044901777302E-2</v>
      </c>
      <c r="D11843" s="1">
        <v>4.3733921352443902E-2</v>
      </c>
      <c r="E11843" s="1">
        <v>2.42214532871972E-2</v>
      </c>
      <c r="F11843" s="1">
        <v>5.5164567679119397E-2</v>
      </c>
    </row>
    <row r="11844" spans="1:6" x14ac:dyDescent="0.25">
      <c r="A11844" s="2" t="str">
        <f t="shared" si="429"/>
        <v>43740</v>
      </c>
      <c r="B11844" s="2" t="str">
        <f>"15937"</f>
        <v>15937</v>
      </c>
      <c r="C11844" s="1">
        <v>0</v>
      </c>
      <c r="D11844" s="1">
        <v>3.6751194413818397E-4</v>
      </c>
      <c r="E11844" s="1">
        <v>1.1534025374855799E-3</v>
      </c>
      <c r="F11844" s="1">
        <v>5.2915652449994697E-5</v>
      </c>
    </row>
    <row r="11845" spans="1:6" x14ac:dyDescent="0.25">
      <c r="A11845" s="2" t="str">
        <f t="shared" si="429"/>
        <v>43740</v>
      </c>
      <c r="B11845" s="2" t="str">
        <f>"15963"</f>
        <v>15963</v>
      </c>
      <c r="C11845" s="1">
        <v>0.12125818521983101</v>
      </c>
      <c r="D11845" s="1">
        <v>9.8493201029033403E-2</v>
      </c>
      <c r="E11845" s="1">
        <v>7.3817762399077197E-2</v>
      </c>
      <c r="F11845" s="1">
        <v>0.118531061487988</v>
      </c>
    </row>
    <row r="11846" spans="1:6" x14ac:dyDescent="0.25">
      <c r="A11846" s="2" t="str">
        <f t="shared" si="429"/>
        <v>43740</v>
      </c>
      <c r="B11846" s="2" t="str">
        <f>"15924"</f>
        <v>15924</v>
      </c>
      <c r="C11846" s="1">
        <v>1.0757717492984001E-2</v>
      </c>
      <c r="D11846" s="1">
        <v>6.9827269386255001E-3</v>
      </c>
      <c r="E11846" s="1">
        <v>2.3068050749711598E-3</v>
      </c>
      <c r="F11846" s="1">
        <v>1.0292094401523901E-2</v>
      </c>
    </row>
    <row r="11847" spans="1:6" x14ac:dyDescent="0.25">
      <c r="A11847" s="2" t="str">
        <f t="shared" si="429"/>
        <v>43740</v>
      </c>
      <c r="B11847" s="2" t="str">
        <f>"15485"</f>
        <v>15485</v>
      </c>
      <c r="C11847" s="1">
        <v>0</v>
      </c>
      <c r="D11847" s="1">
        <v>0</v>
      </c>
      <c r="E11847" s="1">
        <v>1.1534025374855799E-3</v>
      </c>
      <c r="F11847" s="1">
        <v>2.6457826224997301E-5</v>
      </c>
    </row>
    <row r="11848" spans="1:6" x14ac:dyDescent="0.25">
      <c r="A11848" s="2" t="str">
        <f t="shared" si="429"/>
        <v>43740</v>
      </c>
      <c r="B11848" s="2" t="str">
        <f>"15502"</f>
        <v>15502</v>
      </c>
      <c r="C11848" s="1">
        <v>0</v>
      </c>
      <c r="D11848" s="1">
        <v>0</v>
      </c>
      <c r="E11848" s="1">
        <v>2.3068050749711598E-3</v>
      </c>
      <c r="F11848" s="1">
        <v>5.2915652449994697E-5</v>
      </c>
    </row>
    <row r="11849" spans="1:6" x14ac:dyDescent="0.25">
      <c r="A11849" s="2" t="str">
        <f t="shared" si="429"/>
        <v>43740</v>
      </c>
      <c r="B11849" s="2" t="str">
        <f>"15558"</f>
        <v>15558</v>
      </c>
      <c r="C11849" s="1">
        <v>1.6165809167446199E-2</v>
      </c>
      <c r="D11849" s="1">
        <v>8.0852627710400506E-3</v>
      </c>
      <c r="E11849" s="1">
        <v>1.1534025374855799E-3</v>
      </c>
      <c r="F11849" s="1">
        <v>1.52397079055984E-2</v>
      </c>
    </row>
    <row r="11850" spans="1:6" x14ac:dyDescent="0.25">
      <c r="A11850" s="2" t="str">
        <f t="shared" si="429"/>
        <v>43740</v>
      </c>
      <c r="B11850" s="2" t="str">
        <f>"15551"</f>
        <v>15551</v>
      </c>
      <c r="C11850" s="1">
        <v>1.04361552853133E-2</v>
      </c>
      <c r="D11850" s="1">
        <v>4.7776552737963896E-3</v>
      </c>
      <c r="E11850" s="1">
        <v>0</v>
      </c>
      <c r="F11850" s="1">
        <v>9.7893957032490209E-3</v>
      </c>
    </row>
    <row r="11851" spans="1:6" x14ac:dyDescent="0.25">
      <c r="A11851" s="2" t="str">
        <f t="shared" si="429"/>
        <v>43740</v>
      </c>
      <c r="B11851" s="2" t="str">
        <f>"15547"</f>
        <v>15547</v>
      </c>
      <c r="C11851" s="1">
        <v>0</v>
      </c>
      <c r="D11851" s="1">
        <v>3.6751194413818397E-4</v>
      </c>
      <c r="E11851" s="1">
        <v>9.2272202998846496E-3</v>
      </c>
      <c r="F11851" s="1">
        <v>2.38120436024976E-4</v>
      </c>
    </row>
    <row r="11852" spans="1:6" x14ac:dyDescent="0.25">
      <c r="A11852" s="2" t="str">
        <f t="shared" si="429"/>
        <v>43740</v>
      </c>
      <c r="B11852" s="2" t="str">
        <f>"15546"</f>
        <v>15546</v>
      </c>
      <c r="C11852" s="1">
        <v>5.1449953227315198E-3</v>
      </c>
      <c r="D11852" s="1">
        <v>2.57258360896729E-3</v>
      </c>
      <c r="E11852" s="1">
        <v>3.4602076124567401E-3</v>
      </c>
      <c r="F11852" s="1">
        <v>4.9211556778494996E-3</v>
      </c>
    </row>
    <row r="11853" spans="1:6" x14ac:dyDescent="0.25">
      <c r="A11853" s="2" t="str">
        <f t="shared" si="429"/>
        <v>43740</v>
      </c>
      <c r="B11853" s="2" t="str">
        <f>"15935"</f>
        <v>15935</v>
      </c>
      <c r="C11853" s="1">
        <v>3.1220767072029899E-2</v>
      </c>
      <c r="D11853" s="1">
        <v>1.212789415656E-2</v>
      </c>
      <c r="E11853" s="1">
        <v>1.1534025374855801E-2</v>
      </c>
      <c r="F11853" s="1">
        <v>2.9394644935971999E-2</v>
      </c>
    </row>
    <row r="11854" spans="1:6" x14ac:dyDescent="0.25">
      <c r="A11854" s="2" t="str">
        <f t="shared" si="429"/>
        <v>43740</v>
      </c>
      <c r="B11854" s="2" t="str">
        <f>"15905"</f>
        <v>15905</v>
      </c>
      <c r="C11854" s="1">
        <v>3.2799345182413397E-2</v>
      </c>
      <c r="D11854" s="1">
        <v>2.02131569276001E-2</v>
      </c>
      <c r="E11854" s="1">
        <v>2.3068050749711601E-2</v>
      </c>
      <c r="F11854" s="1">
        <v>3.1670017991321797E-2</v>
      </c>
    </row>
    <row r="11855" spans="1:6" x14ac:dyDescent="0.25">
      <c r="A11855" s="2" t="str">
        <f t="shared" si="429"/>
        <v>43740</v>
      </c>
      <c r="B11855" s="2" t="str">
        <f>"15564"</f>
        <v>15564</v>
      </c>
      <c r="C11855" s="1">
        <v>1.75397567820392E-3</v>
      </c>
      <c r="D11855" s="1">
        <v>7.3502388827636795E-4</v>
      </c>
      <c r="E11855" s="1">
        <v>2.3068050749711598E-3</v>
      </c>
      <c r="F11855" s="1">
        <v>1.6933008783998301E-3</v>
      </c>
    </row>
    <row r="11856" spans="1:6" x14ac:dyDescent="0.25">
      <c r="A11856" s="2" t="str">
        <f t="shared" si="429"/>
        <v>43740</v>
      </c>
      <c r="B11856" s="2" t="str">
        <f>"15562"</f>
        <v>15562</v>
      </c>
      <c r="C11856" s="1">
        <v>1.40318054256314E-3</v>
      </c>
      <c r="D11856" s="1">
        <v>2.9400955531054701E-3</v>
      </c>
      <c r="E11856" s="1">
        <v>0</v>
      </c>
      <c r="F11856" s="1">
        <v>1.48163826859985E-3</v>
      </c>
    </row>
    <row r="11857" spans="1:6" x14ac:dyDescent="0.25">
      <c r="A11857" s="2" t="str">
        <f t="shared" si="429"/>
        <v>43740</v>
      </c>
      <c r="B11857" s="2" t="str">
        <f>"15555"</f>
        <v>15555</v>
      </c>
      <c r="C11857" s="1">
        <v>1.8416744621141199E-3</v>
      </c>
      <c r="D11857" s="1">
        <v>0</v>
      </c>
      <c r="E11857" s="1">
        <v>0</v>
      </c>
      <c r="F11857" s="1">
        <v>1.6668430521748301E-3</v>
      </c>
    </row>
    <row r="11858" spans="1:6" x14ac:dyDescent="0.25">
      <c r="A11858" s="2" t="str">
        <f t="shared" si="429"/>
        <v>43740</v>
      </c>
      <c r="B11858" s="2" t="str">
        <f>"15550"</f>
        <v>15550</v>
      </c>
      <c r="C11858" s="1">
        <v>1.1693171188026099E-4</v>
      </c>
      <c r="D11858" s="1">
        <v>0</v>
      </c>
      <c r="E11858" s="1">
        <v>0</v>
      </c>
      <c r="F11858" s="1">
        <v>1.05831304899989E-4</v>
      </c>
    </row>
    <row r="11859" spans="1:6" x14ac:dyDescent="0.25">
      <c r="A11859" s="2" t="str">
        <f t="shared" si="429"/>
        <v>43740</v>
      </c>
      <c r="B11859" s="2" t="str">
        <f>"15928"</f>
        <v>15928</v>
      </c>
      <c r="C11859" s="1">
        <v>2.1690832553788501E-2</v>
      </c>
      <c r="D11859" s="1">
        <v>8.4527747151782393E-3</v>
      </c>
      <c r="E11859" s="1">
        <v>4.6136101499423203E-2</v>
      </c>
      <c r="F11859" s="1">
        <v>2.1298550111122801E-2</v>
      </c>
    </row>
    <row r="11860" spans="1:6" x14ac:dyDescent="0.25">
      <c r="A11860" s="2" t="str">
        <f t="shared" si="429"/>
        <v>43740</v>
      </c>
      <c r="B11860" s="2" t="str">
        <f>"15622"</f>
        <v>15622</v>
      </c>
      <c r="C11860" s="1">
        <v>9.6760991580916705E-3</v>
      </c>
      <c r="D11860" s="1">
        <v>6.9827269386255001E-3</v>
      </c>
      <c r="E11860" s="1">
        <v>1.6147635524798101E-2</v>
      </c>
      <c r="F11860" s="1">
        <v>9.6306487458990304E-3</v>
      </c>
    </row>
    <row r="11861" spans="1:6" x14ac:dyDescent="0.25">
      <c r="A11861" s="2" t="str">
        <f t="shared" si="429"/>
        <v>43740</v>
      </c>
      <c r="B11861" s="2" t="str">
        <f>"15563"</f>
        <v>15563</v>
      </c>
      <c r="C11861" s="1">
        <v>4.41417212347988E-2</v>
      </c>
      <c r="D11861" s="1">
        <v>3.2708563028298401E-2</v>
      </c>
      <c r="E11861" s="1">
        <v>4.6136101499423196E-3</v>
      </c>
      <c r="F11861" s="1">
        <v>4.2411895438670702E-2</v>
      </c>
    </row>
    <row r="11862" spans="1:6" x14ac:dyDescent="0.25">
      <c r="A11862" s="2" t="str">
        <f t="shared" si="429"/>
        <v>43740</v>
      </c>
      <c r="B11862" s="2" t="str">
        <f>"15501"</f>
        <v>15501</v>
      </c>
      <c r="C11862" s="1">
        <v>0.231261693171188</v>
      </c>
      <c r="D11862" s="1">
        <v>0.44836457184858503</v>
      </c>
      <c r="E11862" s="1">
        <v>0.41176470588235198</v>
      </c>
      <c r="F11862" s="1">
        <v>0.25103185522277399</v>
      </c>
    </row>
    <row r="11863" spans="1:6" x14ac:dyDescent="0.25">
      <c r="A11863" s="2" t="str">
        <f t="shared" si="429"/>
        <v>43740</v>
      </c>
      <c r="B11863" s="2" t="str">
        <f>"15560"</f>
        <v>15560</v>
      </c>
      <c r="C11863" s="1">
        <v>0</v>
      </c>
      <c r="D11863" s="1">
        <v>3.6751194413818397E-4</v>
      </c>
      <c r="E11863" s="1">
        <v>2.3068050749711598E-3</v>
      </c>
      <c r="F11863" s="1">
        <v>7.9373478674992005E-5</v>
      </c>
    </row>
    <row r="11864" spans="1:6" x14ac:dyDescent="0.25">
      <c r="A11864" s="2" t="str">
        <f t="shared" si="429"/>
        <v>43740</v>
      </c>
      <c r="B11864" s="2" t="str">
        <f>"15565"</f>
        <v>15565</v>
      </c>
      <c r="C11864" s="1">
        <v>6.1389148737137501E-4</v>
      </c>
      <c r="D11864" s="1">
        <v>1.47004777655273E-3</v>
      </c>
      <c r="E11864" s="1">
        <v>1.1534025374855799E-3</v>
      </c>
      <c r="F11864" s="1">
        <v>6.8790348184993096E-4</v>
      </c>
    </row>
    <row r="11865" spans="1:6" x14ac:dyDescent="0.25">
      <c r="A11865" s="2" t="str">
        <f t="shared" si="429"/>
        <v>43740</v>
      </c>
      <c r="B11865" s="2" t="str">
        <f>"15411"</f>
        <v>15411</v>
      </c>
      <c r="C11865" s="1">
        <v>1.2277829747427501E-2</v>
      </c>
      <c r="D11865" s="1">
        <v>5.1451672179345801E-3</v>
      </c>
      <c r="E11865" s="1">
        <v>2.3068050749711598E-3</v>
      </c>
      <c r="F11865" s="1">
        <v>1.15356122340988E-2</v>
      </c>
    </row>
    <row r="11866" spans="1:6" x14ac:dyDescent="0.25">
      <c r="A11866" s="2" t="str">
        <f t="shared" si="429"/>
        <v>43740</v>
      </c>
      <c r="B11866" s="2" t="str">
        <f>"15553"</f>
        <v>15553</v>
      </c>
      <c r="C11866" s="1">
        <v>0</v>
      </c>
      <c r="D11866" s="1">
        <v>3.6751194413818397E-4</v>
      </c>
      <c r="E11866" s="1">
        <v>0</v>
      </c>
      <c r="F11866" s="1">
        <v>2.6457826224997301E-5</v>
      </c>
    </row>
    <row r="11867" spans="1:6" x14ac:dyDescent="0.25">
      <c r="A11867" s="2" t="str">
        <f t="shared" si="429"/>
        <v>43740</v>
      </c>
      <c r="B11867" s="2" t="str">
        <f>"15545"</f>
        <v>15545</v>
      </c>
      <c r="C11867" s="1">
        <v>7.8636576239476102E-3</v>
      </c>
      <c r="D11867" s="1">
        <v>2.2050716648291E-3</v>
      </c>
      <c r="E11867" s="1">
        <v>0</v>
      </c>
      <c r="F11867" s="1">
        <v>7.2759022118742698E-3</v>
      </c>
    </row>
    <row r="11868" spans="1:6" x14ac:dyDescent="0.25">
      <c r="A11868" s="2" t="str">
        <f t="shared" si="429"/>
        <v>43740</v>
      </c>
      <c r="B11868" s="2" t="str">
        <f>"15549"</f>
        <v>15549</v>
      </c>
      <c r="C11868" s="1">
        <v>0</v>
      </c>
      <c r="D11868" s="1">
        <v>3.6751194413818397E-4</v>
      </c>
      <c r="E11868" s="1">
        <v>1.1534025374855799E-3</v>
      </c>
      <c r="F11868" s="1">
        <v>5.2915652449994697E-5</v>
      </c>
    </row>
    <row r="11869" spans="1:6" x14ac:dyDescent="0.25">
      <c r="A11869" s="2" t="str">
        <f t="shared" si="429"/>
        <v>43740</v>
      </c>
      <c r="B11869" s="2" t="str">
        <f>"15530"</f>
        <v>15530</v>
      </c>
      <c r="C11869" s="1">
        <v>6.7761927034611702E-2</v>
      </c>
      <c r="D11869" s="1">
        <v>4.7776552737963898E-2</v>
      </c>
      <c r="E11869" s="1">
        <v>4.7289504036908799E-2</v>
      </c>
      <c r="F11869" s="1">
        <v>6.5853529474018402E-2</v>
      </c>
    </row>
    <row r="11870" spans="1:6" x14ac:dyDescent="0.25">
      <c r="A11870" s="2" t="str">
        <f t="shared" ref="A11870:A11901" si="430">"26860"</f>
        <v>26860</v>
      </c>
      <c r="B11870" s="2" t="str">
        <f>"16211"</f>
        <v>16211</v>
      </c>
      <c r="C11870" s="1">
        <v>0</v>
      </c>
      <c r="D11870" s="1">
        <v>0</v>
      </c>
      <c r="E11870" s="1">
        <v>8.3125519534497005E-4</v>
      </c>
      <c r="F11870" s="1">
        <v>2.41068415216238E-5</v>
      </c>
    </row>
    <row r="11871" spans="1:6" x14ac:dyDescent="0.25">
      <c r="A11871" s="2" t="str">
        <f t="shared" si="430"/>
        <v>26860</v>
      </c>
      <c r="B11871" s="2" t="str">
        <f>"15741"</f>
        <v>15741</v>
      </c>
      <c r="C11871" s="1">
        <v>0</v>
      </c>
      <c r="D11871" s="1">
        <v>3.3046926635822802E-4</v>
      </c>
      <c r="E11871" s="1">
        <v>0</v>
      </c>
      <c r="F11871" s="1">
        <v>2.41068415216238E-5</v>
      </c>
    </row>
    <row r="11872" spans="1:6" x14ac:dyDescent="0.25">
      <c r="A11872" s="2" t="str">
        <f t="shared" si="430"/>
        <v>26860</v>
      </c>
      <c r="B11872" s="2" t="str">
        <f>"15754"</f>
        <v>15754</v>
      </c>
      <c r="C11872" s="1">
        <v>0</v>
      </c>
      <c r="D11872" s="1">
        <v>3.3046926635822802E-4</v>
      </c>
      <c r="E11872" s="1">
        <v>0</v>
      </c>
      <c r="F11872" s="1">
        <v>2.41068415216238E-5</v>
      </c>
    </row>
    <row r="11873" spans="1:6" x14ac:dyDescent="0.25">
      <c r="A11873" s="2" t="str">
        <f t="shared" si="430"/>
        <v>26860</v>
      </c>
      <c r="B11873" s="2" t="str">
        <f>"15748"</f>
        <v>15748</v>
      </c>
      <c r="C11873" s="1">
        <v>8.7912382895337204E-2</v>
      </c>
      <c r="D11873" s="1">
        <v>5.8823529411764698E-2</v>
      </c>
      <c r="E11873" s="1">
        <v>3.9068994181213602E-2</v>
      </c>
      <c r="F11873" s="1">
        <v>8.4373945325683403E-2</v>
      </c>
    </row>
    <row r="11874" spans="1:6" x14ac:dyDescent="0.25">
      <c r="A11874" s="2" t="str">
        <f t="shared" si="430"/>
        <v>26860</v>
      </c>
      <c r="B11874" s="2" t="str">
        <f>"15732"</f>
        <v>15732</v>
      </c>
      <c r="C11874" s="1">
        <v>1.47102246798915E-2</v>
      </c>
      <c r="D11874" s="1">
        <v>4.6265697290152003E-3</v>
      </c>
      <c r="E11874" s="1">
        <v>0.19118869492934301</v>
      </c>
      <c r="F11874" s="1">
        <v>1.9092618485126001E-2</v>
      </c>
    </row>
    <row r="11875" spans="1:6" x14ac:dyDescent="0.25">
      <c r="A11875" s="2" t="str">
        <f t="shared" si="430"/>
        <v>26860</v>
      </c>
      <c r="B11875" s="2" t="str">
        <f>"15724"</f>
        <v>15724</v>
      </c>
      <c r="C11875" s="1">
        <v>1.8683059082489999E-2</v>
      </c>
      <c r="D11875" s="1">
        <v>7.2703238598810296E-3</v>
      </c>
      <c r="E11875" s="1">
        <v>2.4937655860349101E-3</v>
      </c>
      <c r="F11875" s="1">
        <v>1.7381032737090699E-2</v>
      </c>
    </row>
    <row r="11876" spans="1:6" x14ac:dyDescent="0.25">
      <c r="A11876" s="2" t="str">
        <f t="shared" si="430"/>
        <v>26860</v>
      </c>
      <c r="B11876" s="2" t="str">
        <f>"15929"</f>
        <v>15929</v>
      </c>
      <c r="C11876" s="1">
        <v>2.6843475693232699E-5</v>
      </c>
      <c r="D11876" s="1">
        <v>6.6093853271645701E-4</v>
      </c>
      <c r="E11876" s="1">
        <v>8.3125519534497005E-4</v>
      </c>
      <c r="F11876" s="1">
        <v>9.6427366086495296E-5</v>
      </c>
    </row>
    <row r="11877" spans="1:6" x14ac:dyDescent="0.25">
      <c r="A11877" s="2" t="str">
        <f t="shared" si="430"/>
        <v>26860</v>
      </c>
      <c r="B11877" s="2" t="str">
        <f>"15705"</f>
        <v>15705</v>
      </c>
      <c r="C11877" s="1">
        <v>0</v>
      </c>
      <c r="D11877" s="1">
        <v>0</v>
      </c>
      <c r="E11877" s="1">
        <v>5.8187863674147897E-2</v>
      </c>
      <c r="F11877" s="1">
        <v>1.68747890651366E-3</v>
      </c>
    </row>
    <row r="11878" spans="1:6" x14ac:dyDescent="0.25">
      <c r="A11878" s="2" t="str">
        <f t="shared" si="430"/>
        <v>26860</v>
      </c>
      <c r="B11878" s="2" t="str">
        <f>"15745"</f>
        <v>15745</v>
      </c>
      <c r="C11878" s="1">
        <v>0</v>
      </c>
      <c r="D11878" s="1">
        <v>3.3046926635822802E-4</v>
      </c>
      <c r="E11878" s="1">
        <v>0</v>
      </c>
      <c r="F11878" s="1">
        <v>2.41068415216238E-5</v>
      </c>
    </row>
    <row r="11879" spans="1:6" x14ac:dyDescent="0.25">
      <c r="A11879" s="2" t="str">
        <f t="shared" si="430"/>
        <v>26860</v>
      </c>
      <c r="B11879" s="2" t="str">
        <f>"15757"</f>
        <v>15757</v>
      </c>
      <c r="C11879" s="1">
        <v>2.14747805545862E-4</v>
      </c>
      <c r="D11879" s="1">
        <v>0</v>
      </c>
      <c r="E11879" s="1">
        <v>0</v>
      </c>
      <c r="F11879" s="1">
        <v>1.9285473217299E-4</v>
      </c>
    </row>
    <row r="11880" spans="1:6" x14ac:dyDescent="0.25">
      <c r="A11880" s="2" t="str">
        <f t="shared" si="430"/>
        <v>26860</v>
      </c>
      <c r="B11880" s="2" t="str">
        <f>"15731"</f>
        <v>15731</v>
      </c>
      <c r="C11880" s="1">
        <v>0</v>
      </c>
      <c r="D11880" s="1">
        <v>3.3046926635822802E-4</v>
      </c>
      <c r="E11880" s="1">
        <v>8.3125519534497005E-4</v>
      </c>
      <c r="F11880" s="1">
        <v>4.8213683043247601E-5</v>
      </c>
    </row>
    <row r="11881" spans="1:6" x14ac:dyDescent="0.25">
      <c r="A11881" s="2" t="str">
        <f t="shared" si="430"/>
        <v>26860</v>
      </c>
      <c r="B11881" s="2" t="str">
        <f>"15783"</f>
        <v>15783</v>
      </c>
      <c r="C11881" s="1">
        <v>1.36901726035487E-3</v>
      </c>
      <c r="D11881" s="1">
        <v>1.3218770654329099E-3</v>
      </c>
      <c r="E11881" s="1">
        <v>0</v>
      </c>
      <c r="F11881" s="1">
        <v>1.32587628368931E-3</v>
      </c>
    </row>
    <row r="11882" spans="1:6" x14ac:dyDescent="0.25">
      <c r="A11882" s="2" t="str">
        <f t="shared" si="430"/>
        <v>26860</v>
      </c>
      <c r="B11882" s="2" t="str">
        <f>"15747"</f>
        <v>15747</v>
      </c>
      <c r="C11882" s="1">
        <v>2.3139076047566601E-2</v>
      </c>
      <c r="D11882" s="1">
        <v>1.25578321216126E-2</v>
      </c>
      <c r="E11882" s="1">
        <v>2.4937655860349101E-3</v>
      </c>
      <c r="F11882" s="1">
        <v>2.1768477894026299E-2</v>
      </c>
    </row>
    <row r="11883" spans="1:6" x14ac:dyDescent="0.25">
      <c r="A11883" s="2" t="str">
        <f t="shared" si="430"/>
        <v>26860</v>
      </c>
      <c r="B11883" s="2" t="str">
        <f>"15728"</f>
        <v>15728</v>
      </c>
      <c r="C11883" s="1">
        <v>4.6304995570826499E-2</v>
      </c>
      <c r="D11883" s="1">
        <v>4.5274289491077299E-2</v>
      </c>
      <c r="E11883" s="1">
        <v>3.07564422277639E-2</v>
      </c>
      <c r="F11883" s="1">
        <v>4.5778892049563598E-2</v>
      </c>
    </row>
    <row r="11884" spans="1:6" x14ac:dyDescent="0.25">
      <c r="A11884" s="2" t="str">
        <f t="shared" si="430"/>
        <v>26860</v>
      </c>
      <c r="B11884" s="2" t="str">
        <f>"15710"</f>
        <v>15710</v>
      </c>
      <c r="C11884" s="1">
        <v>0</v>
      </c>
      <c r="D11884" s="1">
        <v>3.3046926635822802E-4</v>
      </c>
      <c r="E11884" s="1">
        <v>0</v>
      </c>
      <c r="F11884" s="1">
        <v>2.41068415216238E-5</v>
      </c>
    </row>
    <row r="11885" spans="1:6" x14ac:dyDescent="0.25">
      <c r="A11885" s="2" t="str">
        <f t="shared" si="430"/>
        <v>26860</v>
      </c>
      <c r="B11885" s="2" t="str">
        <f>"16222"</f>
        <v>16222</v>
      </c>
      <c r="C11885" s="1">
        <v>1.8521998228330601E-3</v>
      </c>
      <c r="D11885" s="1">
        <v>0</v>
      </c>
      <c r="E11885" s="1">
        <v>0</v>
      </c>
      <c r="F11885" s="1">
        <v>1.6633720649920399E-3</v>
      </c>
    </row>
    <row r="11886" spans="1:6" x14ac:dyDescent="0.25">
      <c r="A11886" s="2" t="str">
        <f t="shared" si="430"/>
        <v>26860</v>
      </c>
      <c r="B11886" s="2" t="str">
        <f>"15723"</f>
        <v>15723</v>
      </c>
      <c r="C11886" s="1">
        <v>0</v>
      </c>
      <c r="D11886" s="1">
        <v>3.3046926635822802E-4</v>
      </c>
      <c r="E11886" s="1">
        <v>0</v>
      </c>
      <c r="F11886" s="1">
        <v>2.41068415216238E-5</v>
      </c>
    </row>
    <row r="11887" spans="1:6" x14ac:dyDescent="0.25">
      <c r="A11887" s="2" t="str">
        <f t="shared" si="430"/>
        <v>26860</v>
      </c>
      <c r="B11887" s="2" t="str">
        <f>"15759"</f>
        <v>15759</v>
      </c>
      <c r="C11887" s="1">
        <v>3.01183797278071E-2</v>
      </c>
      <c r="D11887" s="1">
        <v>7.6007931262392497E-3</v>
      </c>
      <c r="E11887" s="1">
        <v>8.3125519534497005E-4</v>
      </c>
      <c r="F11887" s="1">
        <v>2.7626440383780902E-2</v>
      </c>
    </row>
    <row r="11888" spans="1:6" x14ac:dyDescent="0.25">
      <c r="A11888" s="2" t="str">
        <f t="shared" si="430"/>
        <v>26860</v>
      </c>
      <c r="B11888" s="2" t="str">
        <f>"15717"</f>
        <v>15717</v>
      </c>
      <c r="C11888" s="1">
        <v>0.109494537352696</v>
      </c>
      <c r="D11888" s="1">
        <v>0.122604097818902</v>
      </c>
      <c r="E11888" s="1">
        <v>9.5594347464671603E-2</v>
      </c>
      <c r="F11888" s="1">
        <v>0.110047731546212</v>
      </c>
    </row>
    <row r="11889" spans="1:6" x14ac:dyDescent="0.25">
      <c r="A11889" s="2" t="str">
        <f t="shared" si="430"/>
        <v>26860</v>
      </c>
      <c r="B11889" s="2" t="str">
        <f>"15761"</f>
        <v>15761</v>
      </c>
      <c r="C11889" s="1">
        <v>9.6636512495637897E-4</v>
      </c>
      <c r="D11889" s="1">
        <v>3.3046926635822802E-4</v>
      </c>
      <c r="E11889" s="1">
        <v>0</v>
      </c>
      <c r="F11889" s="1">
        <v>8.9195313630008105E-4</v>
      </c>
    </row>
    <row r="11890" spans="1:6" x14ac:dyDescent="0.25">
      <c r="A11890" s="2" t="str">
        <f t="shared" si="430"/>
        <v>26860</v>
      </c>
      <c r="B11890" s="2" t="str">
        <f>"15752"</f>
        <v>15752</v>
      </c>
      <c r="C11890" s="1">
        <v>0</v>
      </c>
      <c r="D11890" s="1">
        <v>3.3046926635822802E-4</v>
      </c>
      <c r="E11890" s="1">
        <v>0</v>
      </c>
      <c r="F11890" s="1">
        <v>2.41068415216238E-5</v>
      </c>
    </row>
    <row r="11891" spans="1:6" x14ac:dyDescent="0.25">
      <c r="A11891" s="2" t="str">
        <f t="shared" si="430"/>
        <v>26860</v>
      </c>
      <c r="B11891" s="2" t="str">
        <f>"15750"</f>
        <v>15750</v>
      </c>
      <c r="C11891" s="1">
        <v>3.3822779373473199E-3</v>
      </c>
      <c r="D11891" s="1">
        <v>9.914077990746859E-4</v>
      </c>
      <c r="E11891" s="1">
        <v>4.1562759767248504E-3</v>
      </c>
      <c r="F11891" s="1">
        <v>3.2303167638975902E-3</v>
      </c>
    </row>
    <row r="11892" spans="1:6" x14ac:dyDescent="0.25">
      <c r="A11892" s="2" t="str">
        <f t="shared" si="430"/>
        <v>26860</v>
      </c>
      <c r="B11892" s="2" t="str">
        <f>"15742"</f>
        <v>15742</v>
      </c>
      <c r="C11892" s="1">
        <v>1.1596381499476499E-2</v>
      </c>
      <c r="D11892" s="1">
        <v>4.6265697290152003E-3</v>
      </c>
      <c r="E11892" s="1">
        <v>0</v>
      </c>
      <c r="F11892" s="1">
        <v>1.0751651318644201E-2</v>
      </c>
    </row>
    <row r="11893" spans="1:6" x14ac:dyDescent="0.25">
      <c r="A11893" s="2" t="str">
        <f t="shared" si="430"/>
        <v>26860</v>
      </c>
      <c r="B11893" s="2" t="str">
        <f>"15725"</f>
        <v>15725</v>
      </c>
      <c r="C11893" s="1">
        <v>1.7018763589509499E-2</v>
      </c>
      <c r="D11893" s="1">
        <v>9.5836087243886293E-3</v>
      </c>
      <c r="E11893" s="1">
        <v>0</v>
      </c>
      <c r="F11893" s="1">
        <v>1.5982835928836599E-2</v>
      </c>
    </row>
    <row r="11894" spans="1:6" x14ac:dyDescent="0.25">
      <c r="A11894" s="2" t="str">
        <f t="shared" si="430"/>
        <v>26860</v>
      </c>
      <c r="B11894" s="2" t="str">
        <f>"16246"</f>
        <v>16246</v>
      </c>
      <c r="C11894" s="1">
        <v>0</v>
      </c>
      <c r="D11894" s="1">
        <v>0</v>
      </c>
      <c r="E11894" s="1">
        <v>2.4937655860349101E-3</v>
      </c>
      <c r="F11894" s="1">
        <v>7.2320524564871506E-5</v>
      </c>
    </row>
    <row r="11895" spans="1:6" x14ac:dyDescent="0.25">
      <c r="A11895" s="2" t="str">
        <f t="shared" si="430"/>
        <v>26860</v>
      </c>
      <c r="B11895" s="2" t="str">
        <f>"15734"</f>
        <v>15734</v>
      </c>
      <c r="C11895" s="1">
        <v>0</v>
      </c>
      <c r="D11895" s="1">
        <v>3.3046926635822802E-4</v>
      </c>
      <c r="E11895" s="1">
        <v>0</v>
      </c>
      <c r="F11895" s="1">
        <v>2.41068415216238E-5</v>
      </c>
    </row>
    <row r="11896" spans="1:6" x14ac:dyDescent="0.25">
      <c r="A11896" s="2" t="str">
        <f t="shared" si="430"/>
        <v>26860</v>
      </c>
      <c r="B11896" s="2" t="str">
        <f>"15756"</f>
        <v>15756</v>
      </c>
      <c r="C11896" s="1">
        <v>0</v>
      </c>
      <c r="D11896" s="1">
        <v>3.3046926635822802E-4</v>
      </c>
      <c r="E11896" s="1">
        <v>0</v>
      </c>
      <c r="F11896" s="1">
        <v>2.41068415216238E-5</v>
      </c>
    </row>
    <row r="11897" spans="1:6" x14ac:dyDescent="0.25">
      <c r="A11897" s="2" t="str">
        <f t="shared" si="430"/>
        <v>26860</v>
      </c>
      <c r="B11897" s="2" t="str">
        <f>"15765"</f>
        <v>15765</v>
      </c>
      <c r="C11897" s="1">
        <v>2.0588945856709499E-2</v>
      </c>
      <c r="D11897" s="1">
        <v>1.28883013879709E-2</v>
      </c>
      <c r="E11897" s="1">
        <v>0</v>
      </c>
      <c r="F11897" s="1">
        <v>1.9430114266428801E-2</v>
      </c>
    </row>
    <row r="11898" spans="1:6" x14ac:dyDescent="0.25">
      <c r="A11898" s="2" t="str">
        <f t="shared" si="430"/>
        <v>26860</v>
      </c>
      <c r="B11898" s="2" t="str">
        <f>"15957"</f>
        <v>15957</v>
      </c>
      <c r="C11898" s="1">
        <v>2.2548519582315501E-3</v>
      </c>
      <c r="D11898" s="1">
        <v>3.3046926635822802E-4</v>
      </c>
      <c r="E11898" s="1">
        <v>8.3125519534497005E-4</v>
      </c>
      <c r="F11898" s="1">
        <v>2.07318837085964E-3</v>
      </c>
    </row>
    <row r="11899" spans="1:6" x14ac:dyDescent="0.25">
      <c r="A11899" s="2" t="str">
        <f t="shared" si="430"/>
        <v>26860</v>
      </c>
      <c r="B11899" s="2" t="str">
        <f>"15954"</f>
        <v>15954</v>
      </c>
      <c r="C11899" s="1">
        <v>1.5434998523608801E-2</v>
      </c>
      <c r="D11899" s="1">
        <v>6.2789160608063398E-3</v>
      </c>
      <c r="E11899" s="1">
        <v>0</v>
      </c>
      <c r="F11899" s="1">
        <v>1.43194638638445E-2</v>
      </c>
    </row>
    <row r="11900" spans="1:6" x14ac:dyDescent="0.25">
      <c r="A11900" s="2" t="str">
        <f t="shared" si="430"/>
        <v>26860</v>
      </c>
      <c r="B11900" s="2" t="str">
        <f>"15701"</f>
        <v>15701</v>
      </c>
      <c r="C11900" s="1">
        <v>0.42605964620298997</v>
      </c>
      <c r="D11900" s="1">
        <v>0.59748843357567705</v>
      </c>
      <c r="E11900" s="1">
        <v>0.51953449709060595</v>
      </c>
      <c r="F11900" s="1">
        <v>0.44127573405332399</v>
      </c>
    </row>
    <row r="11901" spans="1:6" x14ac:dyDescent="0.25">
      <c r="A11901" s="2" t="str">
        <f t="shared" si="430"/>
        <v>26860</v>
      </c>
      <c r="B11901" s="2" t="str">
        <f>"15920"</f>
        <v>15920</v>
      </c>
      <c r="C11901" s="1">
        <v>8.4825383190615493E-3</v>
      </c>
      <c r="D11901" s="1">
        <v>3.30469266358228E-3</v>
      </c>
      <c r="E11901" s="1">
        <v>5.8187863674147898E-3</v>
      </c>
      <c r="F11901" s="1">
        <v>8.0275782267007299E-3</v>
      </c>
    </row>
    <row r="11902" spans="1:6" x14ac:dyDescent="0.25">
      <c r="A11902" s="2" t="str">
        <f t="shared" ref="A11902:A11923" si="431">"26860"</f>
        <v>26860</v>
      </c>
      <c r="B11902" s="2" t="str">
        <f>"15777"</f>
        <v>15777</v>
      </c>
      <c r="C11902" s="1">
        <v>1.8253563471398199E-3</v>
      </c>
      <c r="D11902" s="1">
        <v>9.914077990746859E-4</v>
      </c>
      <c r="E11902" s="1">
        <v>0</v>
      </c>
      <c r="F11902" s="1">
        <v>1.71158574803529E-3</v>
      </c>
    </row>
    <row r="11903" spans="1:6" x14ac:dyDescent="0.25">
      <c r="A11903" s="2" t="str">
        <f t="shared" si="431"/>
        <v>26860</v>
      </c>
      <c r="B11903" s="2" t="str">
        <f>"15716"</f>
        <v>15716</v>
      </c>
      <c r="C11903" s="1">
        <v>0</v>
      </c>
      <c r="D11903" s="1">
        <v>3.3046926635822802E-4</v>
      </c>
      <c r="E11903" s="1">
        <v>4.1562759767248504E-3</v>
      </c>
      <c r="F11903" s="1">
        <v>1.4464104912974301E-4</v>
      </c>
    </row>
    <row r="11904" spans="1:6" x14ac:dyDescent="0.25">
      <c r="A11904" s="2" t="str">
        <f t="shared" si="431"/>
        <v>26860</v>
      </c>
      <c r="B11904" s="2" t="str">
        <f>"15771"</f>
        <v>15771</v>
      </c>
      <c r="C11904" s="1">
        <v>1.1569538023783301E-2</v>
      </c>
      <c r="D11904" s="1">
        <v>4.9570389953734299E-3</v>
      </c>
      <c r="E11904" s="1">
        <v>1.6625103906899401E-3</v>
      </c>
      <c r="F11904" s="1">
        <v>1.0799865001687401E-2</v>
      </c>
    </row>
    <row r="11905" spans="1:6" x14ac:dyDescent="0.25">
      <c r="A11905" s="2" t="str">
        <f t="shared" si="431"/>
        <v>26860</v>
      </c>
      <c r="B11905" s="2" t="str">
        <f>"15949"</f>
        <v>15949</v>
      </c>
      <c r="C11905" s="1">
        <v>4.2412691595307703E-3</v>
      </c>
      <c r="D11905" s="1">
        <v>9.914077990746859E-4</v>
      </c>
      <c r="E11905" s="1">
        <v>6.6500415627597604E-3</v>
      </c>
      <c r="F11905" s="1">
        <v>4.0740562171544198E-3</v>
      </c>
    </row>
    <row r="11906" spans="1:6" x14ac:dyDescent="0.25">
      <c r="A11906" s="2" t="str">
        <f t="shared" si="431"/>
        <v>26860</v>
      </c>
      <c r="B11906" s="2" t="str">
        <f>"15712"</f>
        <v>15712</v>
      </c>
      <c r="C11906" s="1">
        <v>0</v>
      </c>
      <c r="D11906" s="1">
        <v>3.3046926635822802E-4</v>
      </c>
      <c r="E11906" s="1">
        <v>3.3250207813798802E-3</v>
      </c>
      <c r="F11906" s="1">
        <v>1.20534207608119E-4</v>
      </c>
    </row>
    <row r="11907" spans="1:6" x14ac:dyDescent="0.25">
      <c r="A11907" s="2" t="str">
        <f t="shared" si="431"/>
        <v>26860</v>
      </c>
      <c r="B11907" s="2" t="str">
        <f>"15746"</f>
        <v>15746</v>
      </c>
      <c r="C11907" s="1">
        <v>0</v>
      </c>
      <c r="D11907" s="1">
        <v>3.3046926635822802E-4</v>
      </c>
      <c r="E11907" s="1">
        <v>0</v>
      </c>
      <c r="F11907" s="1">
        <v>2.41068415216238E-5</v>
      </c>
    </row>
    <row r="11908" spans="1:6" x14ac:dyDescent="0.25">
      <c r="A11908" s="2" t="str">
        <f t="shared" si="431"/>
        <v>26860</v>
      </c>
      <c r="B11908" s="2" t="str">
        <f>"15739"</f>
        <v>15739</v>
      </c>
      <c r="C11908" s="1">
        <v>0</v>
      </c>
      <c r="D11908" s="1">
        <v>3.3046926635822802E-4</v>
      </c>
      <c r="E11908" s="1">
        <v>0</v>
      </c>
      <c r="F11908" s="1">
        <v>2.41068415216238E-5</v>
      </c>
    </row>
    <row r="11909" spans="1:6" x14ac:dyDescent="0.25">
      <c r="A11909" s="2" t="str">
        <f t="shared" si="431"/>
        <v>26860</v>
      </c>
      <c r="B11909" s="2" t="str">
        <f>"15772"</f>
        <v>15772</v>
      </c>
      <c r="C11909" s="1">
        <v>1.47102246798915E-2</v>
      </c>
      <c r="D11909" s="1">
        <v>6.6093853271645703E-3</v>
      </c>
      <c r="E11909" s="1">
        <v>0</v>
      </c>
      <c r="F11909" s="1">
        <v>1.3692685984282299E-2</v>
      </c>
    </row>
    <row r="11910" spans="1:6" x14ac:dyDescent="0.25">
      <c r="A11910" s="2" t="str">
        <f t="shared" si="431"/>
        <v>26860</v>
      </c>
      <c r="B11910" s="2" t="str">
        <f>"15767"</f>
        <v>15767</v>
      </c>
      <c r="C11910" s="1">
        <v>8.0798861836630601E-3</v>
      </c>
      <c r="D11910" s="1">
        <v>4.9570389953734299E-3</v>
      </c>
      <c r="E11910" s="1">
        <v>0</v>
      </c>
      <c r="F11910" s="1">
        <v>7.61776192083313E-3</v>
      </c>
    </row>
    <row r="11911" spans="1:6" x14ac:dyDescent="0.25">
      <c r="A11911" s="2" t="str">
        <f t="shared" si="431"/>
        <v>26860</v>
      </c>
      <c r="B11911" s="2" t="str">
        <f>"15729"</f>
        <v>15729</v>
      </c>
      <c r="C11911" s="1">
        <v>1.36364856521622E-2</v>
      </c>
      <c r="D11911" s="1">
        <v>6.9398545935228E-3</v>
      </c>
      <c r="E11911" s="1">
        <v>0</v>
      </c>
      <c r="F11911" s="1">
        <v>1.2752519164939E-2</v>
      </c>
    </row>
    <row r="11912" spans="1:6" x14ac:dyDescent="0.25">
      <c r="A11912" s="2" t="str">
        <f t="shared" si="431"/>
        <v>26860</v>
      </c>
      <c r="B11912" s="2" t="str">
        <f>"15714"</f>
        <v>15714</v>
      </c>
      <c r="C11912" s="1">
        <v>7.3819558156389999E-3</v>
      </c>
      <c r="D11912" s="1">
        <v>9.914077990746859E-4</v>
      </c>
      <c r="E11912" s="1">
        <v>0</v>
      </c>
      <c r="F11912" s="1">
        <v>6.7017019430114198E-3</v>
      </c>
    </row>
    <row r="11913" spans="1:6" x14ac:dyDescent="0.25">
      <c r="A11913" s="2" t="str">
        <f t="shared" si="431"/>
        <v>26860</v>
      </c>
      <c r="B11913" s="2" t="str">
        <f>"15961"</f>
        <v>15961</v>
      </c>
      <c r="C11913" s="1">
        <v>5.0197299546345204E-3</v>
      </c>
      <c r="D11913" s="1">
        <v>6.6093853271645701E-4</v>
      </c>
      <c r="E11913" s="1">
        <v>0</v>
      </c>
      <c r="F11913" s="1">
        <v>4.5561930475868997E-3</v>
      </c>
    </row>
    <row r="11914" spans="1:6" x14ac:dyDescent="0.25">
      <c r="A11914" s="2" t="str">
        <f t="shared" si="431"/>
        <v>26860</v>
      </c>
      <c r="B11914" s="2" t="str">
        <f>"15944"</f>
        <v>15944</v>
      </c>
      <c r="C11914" s="1">
        <v>1.61329288916328E-2</v>
      </c>
      <c r="D11914" s="1">
        <v>5.28750826173165E-3</v>
      </c>
      <c r="E11914" s="1">
        <v>0</v>
      </c>
      <c r="F11914" s="1">
        <v>1.4873921218841899E-2</v>
      </c>
    </row>
    <row r="11915" spans="1:6" x14ac:dyDescent="0.25">
      <c r="A11915" s="2" t="str">
        <f t="shared" si="431"/>
        <v>26860</v>
      </c>
      <c r="B11915" s="2" t="str">
        <f>"15713"</f>
        <v>15713</v>
      </c>
      <c r="C11915" s="1">
        <v>2.7917214720961999E-3</v>
      </c>
      <c r="D11915" s="1">
        <v>9.914077990746859E-4</v>
      </c>
      <c r="E11915" s="1">
        <v>0</v>
      </c>
      <c r="F11915" s="1">
        <v>2.5794320428137499E-3</v>
      </c>
    </row>
    <row r="11916" spans="1:6" x14ac:dyDescent="0.25">
      <c r="A11916" s="2" t="str">
        <f t="shared" si="431"/>
        <v>26860</v>
      </c>
      <c r="B11916" s="2" t="str">
        <f>"16256"</f>
        <v>16256</v>
      </c>
      <c r="C11916" s="1">
        <v>1.7394572249214799E-2</v>
      </c>
      <c r="D11916" s="1">
        <v>1.38797091870456E-2</v>
      </c>
      <c r="E11916" s="1">
        <v>8.3125519534497005E-4</v>
      </c>
      <c r="F11916" s="1">
        <v>1.6657827491442002E-2</v>
      </c>
    </row>
    <row r="11917" spans="1:6" x14ac:dyDescent="0.25">
      <c r="A11917" s="2" t="str">
        <f t="shared" si="431"/>
        <v>26860</v>
      </c>
      <c r="B11917" s="2" t="str">
        <f>"15727"</f>
        <v>15727</v>
      </c>
      <c r="C11917" s="1">
        <v>0</v>
      </c>
      <c r="D11917" s="1">
        <v>3.3046926635822802E-4</v>
      </c>
      <c r="E11917" s="1">
        <v>8.3125519534497005E-4</v>
      </c>
      <c r="F11917" s="1">
        <v>4.8213683043247601E-5</v>
      </c>
    </row>
    <row r="11918" spans="1:6" x14ac:dyDescent="0.25">
      <c r="A11918" s="2" t="str">
        <f t="shared" si="431"/>
        <v>26860</v>
      </c>
      <c r="B11918" s="2" t="str">
        <f>"15758"</f>
        <v>15758</v>
      </c>
      <c r="C11918" s="1">
        <v>3.2212170831879302E-4</v>
      </c>
      <c r="D11918" s="1">
        <v>1.3218770654329099E-3</v>
      </c>
      <c r="E11918" s="1">
        <v>0</v>
      </c>
      <c r="F11918" s="1">
        <v>3.8570946434598102E-4</v>
      </c>
    </row>
    <row r="11919" spans="1:6" x14ac:dyDescent="0.25">
      <c r="A11919" s="2" t="str">
        <f t="shared" si="431"/>
        <v>26860</v>
      </c>
      <c r="B11919" s="2" t="str">
        <f>"15720"</f>
        <v>15720</v>
      </c>
      <c r="C11919" s="1">
        <v>0</v>
      </c>
      <c r="D11919" s="1">
        <v>3.3046926635822802E-4</v>
      </c>
      <c r="E11919" s="1">
        <v>0</v>
      </c>
      <c r="F11919" s="1">
        <v>2.41068415216238E-5</v>
      </c>
    </row>
    <row r="11920" spans="1:6" x14ac:dyDescent="0.25">
      <c r="A11920" s="2" t="str">
        <f t="shared" si="431"/>
        <v>26860</v>
      </c>
      <c r="B11920" s="2" t="str">
        <f>"15763"</f>
        <v>15763</v>
      </c>
      <c r="C11920" s="1">
        <v>4.5633908678495601E-4</v>
      </c>
      <c r="D11920" s="1">
        <v>0</v>
      </c>
      <c r="E11920" s="1">
        <v>8.3125519534497005E-4</v>
      </c>
      <c r="F11920" s="1">
        <v>4.3392314738922898E-4</v>
      </c>
    </row>
    <row r="11921" spans="1:6" x14ac:dyDescent="0.25">
      <c r="A11921" s="2" t="str">
        <f t="shared" si="431"/>
        <v>26860</v>
      </c>
      <c r="B11921" s="2" t="str">
        <f>"15774"</f>
        <v>15774</v>
      </c>
      <c r="C11921" s="1">
        <v>2.0105763294231301E-2</v>
      </c>
      <c r="D11921" s="1">
        <v>8.9226701916721701E-3</v>
      </c>
      <c r="E11921" s="1">
        <v>8.3125519534497005E-4</v>
      </c>
      <c r="F11921" s="1">
        <v>1.8731015862301699E-2</v>
      </c>
    </row>
    <row r="11922" spans="1:6" x14ac:dyDescent="0.25">
      <c r="A11922" s="2" t="str">
        <f t="shared" si="431"/>
        <v>26860</v>
      </c>
      <c r="B11922" s="2" t="str">
        <f>"15681"</f>
        <v>15681</v>
      </c>
      <c r="C11922" s="1">
        <v>3.6399753040023602E-2</v>
      </c>
      <c r="D11922" s="1">
        <v>4.0978189028420299E-2</v>
      </c>
      <c r="E11922" s="1">
        <v>2.4937655860349101E-2</v>
      </c>
      <c r="F11922" s="1">
        <v>3.6401330697651897E-2</v>
      </c>
    </row>
    <row r="11923" spans="1:6" x14ac:dyDescent="0.25">
      <c r="A11923" s="2" t="str">
        <f t="shared" si="431"/>
        <v>26860</v>
      </c>
      <c r="B11923" s="2" t="str">
        <f>"15618"</f>
        <v>15618</v>
      </c>
      <c r="C11923" s="1">
        <v>3.2212170831879302E-4</v>
      </c>
      <c r="D11923" s="1">
        <v>0</v>
      </c>
      <c r="E11923" s="1">
        <v>0</v>
      </c>
      <c r="F11923" s="1">
        <v>2.8928209825948602E-4</v>
      </c>
    </row>
    <row r="11924" spans="1:6" x14ac:dyDescent="0.25">
      <c r="A11924" s="2" t="str">
        <f t="shared" ref="A11924:A11941" si="432">"41260"</f>
        <v>41260</v>
      </c>
      <c r="B11924" s="2" t="str">
        <f>"15828"</f>
        <v>15828</v>
      </c>
      <c r="C11924" s="1">
        <v>1.3183915622939999E-4</v>
      </c>
      <c r="D11924" s="1">
        <v>0</v>
      </c>
      <c r="E11924" s="1">
        <v>0</v>
      </c>
      <c r="F11924" s="1">
        <v>1.1536021226279001E-4</v>
      </c>
    </row>
    <row r="11925" spans="1:6" x14ac:dyDescent="0.25">
      <c r="A11925" s="2" t="str">
        <f t="shared" si="432"/>
        <v>41260</v>
      </c>
      <c r="B11925" s="2" t="str">
        <f>"15823"</f>
        <v>15823</v>
      </c>
      <c r="C11925" s="1">
        <v>3.55306526038233E-2</v>
      </c>
      <c r="D11925" s="1">
        <v>1.4331210191082799E-2</v>
      </c>
      <c r="E11925" s="1">
        <v>6.5861690450054796E-3</v>
      </c>
      <c r="F11925" s="1">
        <v>3.2473899751975503E-2</v>
      </c>
    </row>
    <row r="11926" spans="1:6" x14ac:dyDescent="0.25">
      <c r="A11926" s="2" t="str">
        <f t="shared" si="432"/>
        <v>41260</v>
      </c>
      <c r="B11926" s="2" t="str">
        <f>"15827"</f>
        <v>15827</v>
      </c>
      <c r="C11926" s="1">
        <v>6.9874752801582004E-3</v>
      </c>
      <c r="D11926" s="1">
        <v>3.1847133757961698E-3</v>
      </c>
      <c r="E11926" s="1">
        <v>0</v>
      </c>
      <c r="F11926" s="1">
        <v>6.3448116744534797E-3</v>
      </c>
    </row>
    <row r="11927" spans="1:6" x14ac:dyDescent="0.25">
      <c r="A11927" s="2" t="str">
        <f t="shared" si="432"/>
        <v>41260</v>
      </c>
      <c r="B11927" s="2" t="str">
        <f>"15832"</f>
        <v>15832</v>
      </c>
      <c r="C11927" s="1">
        <v>2.3731048121291998E-3</v>
      </c>
      <c r="D11927" s="1">
        <v>1.5923566878980799E-3</v>
      </c>
      <c r="E11927" s="1">
        <v>0</v>
      </c>
      <c r="F11927" s="1">
        <v>2.1918440329930199E-3</v>
      </c>
    </row>
    <row r="11928" spans="1:6" x14ac:dyDescent="0.25">
      <c r="A11928" s="2" t="str">
        <f t="shared" si="432"/>
        <v>41260</v>
      </c>
      <c r="B11928" s="2" t="str">
        <f>"15821"</f>
        <v>15821</v>
      </c>
      <c r="C11928" s="1">
        <v>5.5372445616347996E-3</v>
      </c>
      <c r="D11928" s="1">
        <v>4.7770700636942604E-3</v>
      </c>
      <c r="E11928" s="1">
        <v>0</v>
      </c>
      <c r="F11928" s="1">
        <v>5.1912095518255701E-3</v>
      </c>
    </row>
    <row r="11929" spans="1:6" x14ac:dyDescent="0.25">
      <c r="A11929" s="2" t="str">
        <f t="shared" si="432"/>
        <v>41260</v>
      </c>
      <c r="B11929" s="2" t="str">
        <f>"15870"</f>
        <v>15870</v>
      </c>
      <c r="C11929" s="1">
        <v>3.2168754119973601E-2</v>
      </c>
      <c r="D11929" s="1">
        <v>1.3535031847133699E-2</v>
      </c>
      <c r="E11929" s="1">
        <v>0</v>
      </c>
      <c r="F11929" s="1">
        <v>2.91284535963546E-2</v>
      </c>
    </row>
    <row r="11930" spans="1:6" x14ac:dyDescent="0.25">
      <c r="A11930" s="2" t="str">
        <f t="shared" si="432"/>
        <v>41260</v>
      </c>
      <c r="B11930" s="2" t="str">
        <f>"15860"</f>
        <v>15860</v>
      </c>
      <c r="C11930" s="1">
        <v>7.2511535926170004E-3</v>
      </c>
      <c r="D11930" s="1">
        <v>2.3885350318471302E-3</v>
      </c>
      <c r="E11930" s="1">
        <v>0</v>
      </c>
      <c r="F11930" s="1">
        <v>6.5178519928476598E-3</v>
      </c>
    </row>
    <row r="11931" spans="1:6" x14ac:dyDescent="0.25">
      <c r="A11931" s="2" t="str">
        <f t="shared" si="432"/>
        <v>41260</v>
      </c>
      <c r="B11931" s="2" t="str">
        <f>"15857"</f>
        <v>15857</v>
      </c>
      <c r="C11931" s="1">
        <v>0.41239288068556301</v>
      </c>
      <c r="D11931" s="1">
        <v>0.49363057324840698</v>
      </c>
      <c r="E11931" s="1">
        <v>0.543358946212952</v>
      </c>
      <c r="F11931" s="1">
        <v>0.42516006229451397</v>
      </c>
    </row>
    <row r="11932" spans="1:6" x14ac:dyDescent="0.25">
      <c r="A11932" s="2" t="str">
        <f t="shared" si="432"/>
        <v>41260</v>
      </c>
      <c r="B11932" s="2" t="str">
        <f>"15841"</f>
        <v>15841</v>
      </c>
      <c r="C11932" s="1">
        <v>0</v>
      </c>
      <c r="D11932" s="1">
        <v>7.9617834394904398E-4</v>
      </c>
      <c r="E11932" s="1">
        <v>0</v>
      </c>
      <c r="F11932" s="1">
        <v>5.76801061313952E-5</v>
      </c>
    </row>
    <row r="11933" spans="1:6" x14ac:dyDescent="0.25">
      <c r="A11933" s="2" t="str">
        <f t="shared" si="432"/>
        <v>41260</v>
      </c>
      <c r="B11933" s="2" t="str">
        <f>"16735"</f>
        <v>16735</v>
      </c>
      <c r="C11933" s="1">
        <v>1.1140408701384301E-2</v>
      </c>
      <c r="D11933" s="1">
        <v>4.7770700636942604E-3</v>
      </c>
      <c r="E11933" s="1">
        <v>0</v>
      </c>
      <c r="F11933" s="1">
        <v>1.00940185729941E-2</v>
      </c>
    </row>
    <row r="11934" spans="1:6" x14ac:dyDescent="0.25">
      <c r="A11934" s="2" t="str">
        <f t="shared" si="432"/>
        <v>41260</v>
      </c>
      <c r="B11934" s="2" t="str">
        <f>"15853"</f>
        <v>15853</v>
      </c>
      <c r="C11934" s="1">
        <v>0.22386288727752099</v>
      </c>
      <c r="D11934" s="1">
        <v>0.28662420382165599</v>
      </c>
      <c r="E11934" s="1">
        <v>0.25356750823271101</v>
      </c>
      <c r="F11934" s="1">
        <v>0.22997058314587199</v>
      </c>
    </row>
    <row r="11935" spans="1:6" x14ac:dyDescent="0.25">
      <c r="A11935" s="2" t="str">
        <f t="shared" si="432"/>
        <v>41260</v>
      </c>
      <c r="B11935" s="2" t="str">
        <f>"15868"</f>
        <v>15868</v>
      </c>
      <c r="C11935" s="1">
        <v>4.8582729070533903E-2</v>
      </c>
      <c r="D11935" s="1">
        <v>1.7515923566878901E-2</v>
      </c>
      <c r="E11935" s="1">
        <v>2.1953896816684902E-3</v>
      </c>
      <c r="F11935" s="1">
        <v>4.3894560765991797E-2</v>
      </c>
    </row>
    <row r="11936" spans="1:6" x14ac:dyDescent="0.25">
      <c r="A11936" s="2" t="str">
        <f t="shared" si="432"/>
        <v>41260</v>
      </c>
      <c r="B11936" s="2" t="str">
        <f>"15822"</f>
        <v>15822</v>
      </c>
      <c r="C11936" s="1">
        <v>0</v>
      </c>
      <c r="D11936" s="1">
        <v>0</v>
      </c>
      <c r="E11936" s="1">
        <v>1.0976948408342401E-3</v>
      </c>
      <c r="F11936" s="1">
        <v>5.76801061313952E-5</v>
      </c>
    </row>
    <row r="11937" spans="1:6" x14ac:dyDescent="0.25">
      <c r="A11937" s="2" t="str">
        <f t="shared" si="432"/>
        <v>41260</v>
      </c>
      <c r="B11937" s="2" t="str">
        <f>"15831"</f>
        <v>15831</v>
      </c>
      <c r="C11937" s="1">
        <v>0</v>
      </c>
      <c r="D11937" s="1">
        <v>7.9617834394904398E-4</v>
      </c>
      <c r="E11937" s="1">
        <v>8.4522502744237102E-2</v>
      </c>
      <c r="F11937" s="1">
        <v>4.4990482782488296E-3</v>
      </c>
    </row>
    <row r="11938" spans="1:6" x14ac:dyDescent="0.25">
      <c r="A11938" s="2" t="str">
        <f t="shared" si="432"/>
        <v>41260</v>
      </c>
      <c r="B11938" s="2" t="str">
        <f>"15845"</f>
        <v>15845</v>
      </c>
      <c r="C11938" s="1">
        <v>0.113579433091628</v>
      </c>
      <c r="D11938" s="1">
        <v>9.0764331210190993E-2</v>
      </c>
      <c r="E11938" s="1">
        <v>8.3424807903402801E-2</v>
      </c>
      <c r="F11938" s="1">
        <v>0.110342043029359</v>
      </c>
    </row>
    <row r="11939" spans="1:6" x14ac:dyDescent="0.25">
      <c r="A11939" s="2" t="str">
        <f t="shared" si="432"/>
        <v>41260</v>
      </c>
      <c r="B11939" s="2" t="str">
        <f>"16734"</f>
        <v>16734</v>
      </c>
      <c r="C11939" s="1">
        <v>0</v>
      </c>
      <c r="D11939" s="1">
        <v>7.9617834394904398E-4</v>
      </c>
      <c r="E11939" s="1">
        <v>0</v>
      </c>
      <c r="F11939" s="1">
        <v>5.76801061313952E-5</v>
      </c>
    </row>
    <row r="11940" spans="1:6" x14ac:dyDescent="0.25">
      <c r="A11940" s="2" t="str">
        <f t="shared" si="432"/>
        <v>41260</v>
      </c>
      <c r="B11940" s="2" t="str">
        <f>"15834"</f>
        <v>15834</v>
      </c>
      <c r="C11940" s="1">
        <v>7.2511535926169995E-4</v>
      </c>
      <c r="D11940" s="1">
        <v>0</v>
      </c>
      <c r="E11940" s="1">
        <v>0</v>
      </c>
      <c r="F11940" s="1">
        <v>6.3448116744534795E-4</v>
      </c>
    </row>
    <row r="11941" spans="1:6" x14ac:dyDescent="0.25">
      <c r="A11941" s="2" t="str">
        <f t="shared" si="432"/>
        <v>41260</v>
      </c>
      <c r="B11941" s="2" t="str">
        <f>"15846"</f>
        <v>15846</v>
      </c>
      <c r="C11941" s="1">
        <v>9.9736321687541096E-2</v>
      </c>
      <c r="D11941" s="1">
        <v>6.4490445859872597E-2</v>
      </c>
      <c r="E11941" s="1">
        <v>2.52469813391877E-2</v>
      </c>
      <c r="F11941" s="1">
        <v>9.3268731614466097E-2</v>
      </c>
    </row>
    <row r="11942" spans="1:6" x14ac:dyDescent="0.25">
      <c r="A11942" s="2" t="str">
        <f t="shared" ref="A11942:A11964" si="433">"36340"</f>
        <v>36340</v>
      </c>
      <c r="B11942" s="2" t="str">
        <f>"16317"</f>
        <v>16317</v>
      </c>
      <c r="C11942" s="1">
        <v>2.3221064534367099E-2</v>
      </c>
      <c r="D11942" s="1">
        <v>4.9477735019241298E-3</v>
      </c>
      <c r="E11942" s="1">
        <v>9.6618357487922703E-4</v>
      </c>
      <c r="F11942" s="1">
        <v>2.1183371958284999E-2</v>
      </c>
    </row>
    <row r="11943" spans="1:6" x14ac:dyDescent="0.25">
      <c r="A11943" s="2" t="str">
        <f t="shared" si="433"/>
        <v>36340</v>
      </c>
      <c r="B11943" s="2" t="str">
        <f>"16364"</f>
        <v>16364</v>
      </c>
      <c r="C11943" s="1">
        <v>1.52249414425329E-2</v>
      </c>
      <c r="D11943" s="1">
        <v>4.9477735019241298E-3</v>
      </c>
      <c r="E11943" s="1">
        <v>9.6618357487922703E-4</v>
      </c>
      <c r="F11943" s="1">
        <v>1.40136152954808E-2</v>
      </c>
    </row>
    <row r="11944" spans="1:6" x14ac:dyDescent="0.25">
      <c r="A11944" s="2" t="str">
        <f t="shared" si="433"/>
        <v>36340</v>
      </c>
      <c r="B11944" s="2" t="str">
        <f>"16353"</f>
        <v>16353</v>
      </c>
      <c r="C11944" s="1">
        <v>4.1595993861561998E-3</v>
      </c>
      <c r="D11944" s="1">
        <v>5.4975261132490295E-4</v>
      </c>
      <c r="E11944" s="1">
        <v>9.6618357487922703E-4</v>
      </c>
      <c r="F11944" s="1">
        <v>3.8021436848203901E-3</v>
      </c>
    </row>
    <row r="11945" spans="1:6" x14ac:dyDescent="0.25">
      <c r="A11945" s="2" t="str">
        <f t="shared" si="433"/>
        <v>36340</v>
      </c>
      <c r="B11945" s="2" t="str">
        <f>"16319"</f>
        <v>16319</v>
      </c>
      <c r="C11945" s="1">
        <v>1.74057022857604E-2</v>
      </c>
      <c r="D11945" s="1">
        <v>6.8169323804288001E-2</v>
      </c>
      <c r="E11945" s="1">
        <v>6.7632850241545802E-3</v>
      </c>
      <c r="F11945" s="1">
        <v>2.03505214368482E-2</v>
      </c>
    </row>
    <row r="11946" spans="1:6" x14ac:dyDescent="0.25">
      <c r="A11946" s="2" t="str">
        <f t="shared" si="433"/>
        <v>36340</v>
      </c>
      <c r="B11946" s="2" t="str">
        <f>"16232"</f>
        <v>16232</v>
      </c>
      <c r="C11946" s="1">
        <v>2.4230676035861401E-4</v>
      </c>
      <c r="D11946" s="1">
        <v>0</v>
      </c>
      <c r="E11946" s="1">
        <v>0</v>
      </c>
      <c r="F11946" s="1">
        <v>2.1726535341830801E-4</v>
      </c>
    </row>
    <row r="11947" spans="1:6" x14ac:dyDescent="0.25">
      <c r="A11947" s="2" t="str">
        <f t="shared" si="433"/>
        <v>36340</v>
      </c>
      <c r="B11947" s="2" t="str">
        <f>"16373"</f>
        <v>16373</v>
      </c>
      <c r="C11947" s="1">
        <v>3.7396010015346003E-2</v>
      </c>
      <c r="D11947" s="1">
        <v>1.9241341396371601E-2</v>
      </c>
      <c r="E11947" s="1">
        <v>6.7632850241545802E-3</v>
      </c>
      <c r="F11947" s="1">
        <v>3.5052143684820299E-2</v>
      </c>
    </row>
    <row r="11948" spans="1:6" x14ac:dyDescent="0.25">
      <c r="A11948" s="2" t="str">
        <f t="shared" si="433"/>
        <v>36340</v>
      </c>
      <c r="B11948" s="2" t="str">
        <f>"16153"</f>
        <v>16153</v>
      </c>
      <c r="C11948" s="1">
        <v>2.8672966642435899E-3</v>
      </c>
      <c r="D11948" s="1">
        <v>1.0995052226498E-3</v>
      </c>
      <c r="E11948" s="1">
        <v>0</v>
      </c>
      <c r="F11948" s="1">
        <v>2.64339513325608E-3</v>
      </c>
    </row>
    <row r="11949" spans="1:6" x14ac:dyDescent="0.25">
      <c r="A11949" s="2" t="str">
        <f t="shared" si="433"/>
        <v>36340</v>
      </c>
      <c r="B11949" s="2" t="str">
        <f>"16327"</f>
        <v>16327</v>
      </c>
      <c r="C11949" s="1">
        <v>1.61537840239076E-4</v>
      </c>
      <c r="D11949" s="1">
        <v>0</v>
      </c>
      <c r="E11949" s="1">
        <v>0</v>
      </c>
      <c r="F11949" s="1">
        <v>1.44843568945538E-4</v>
      </c>
    </row>
    <row r="11950" spans="1:6" x14ac:dyDescent="0.25">
      <c r="A11950" s="2" t="str">
        <f t="shared" si="433"/>
        <v>36340</v>
      </c>
      <c r="B11950" s="2" t="str">
        <f>"16372"</f>
        <v>16372</v>
      </c>
      <c r="C11950" s="1">
        <v>0</v>
      </c>
      <c r="D11950" s="1">
        <v>0</v>
      </c>
      <c r="E11950" s="1">
        <v>1.9323671497584499E-3</v>
      </c>
      <c r="F11950" s="1">
        <v>7.2421784472769394E-5</v>
      </c>
    </row>
    <row r="11951" spans="1:6" x14ac:dyDescent="0.25">
      <c r="A11951" s="2" t="str">
        <f t="shared" si="433"/>
        <v>36340</v>
      </c>
      <c r="B11951" s="2" t="str">
        <f>"16362"</f>
        <v>16362</v>
      </c>
      <c r="C11951" s="1">
        <v>1.6961473225102899E-2</v>
      </c>
      <c r="D11951" s="1">
        <v>1.6492578339747099E-3</v>
      </c>
      <c r="E11951" s="1">
        <v>9.6618357487922703E-4</v>
      </c>
      <c r="F11951" s="1">
        <v>1.5353418308227101E-2</v>
      </c>
    </row>
    <row r="11952" spans="1:6" x14ac:dyDescent="0.25">
      <c r="A11952" s="2" t="str">
        <f t="shared" si="433"/>
        <v>36340</v>
      </c>
      <c r="B11952" s="2" t="str">
        <f>"16311"</f>
        <v>16311</v>
      </c>
      <c r="C11952" s="1">
        <v>6.0576690089653498E-4</v>
      </c>
      <c r="D11952" s="1">
        <v>0</v>
      </c>
      <c r="E11952" s="1">
        <v>0</v>
      </c>
      <c r="F11952" s="1">
        <v>5.4316338354576995E-4</v>
      </c>
    </row>
    <row r="11953" spans="1:6" x14ac:dyDescent="0.25">
      <c r="A11953" s="2" t="str">
        <f t="shared" si="433"/>
        <v>36340</v>
      </c>
      <c r="B11953" s="2" t="str">
        <f>"16344"</f>
        <v>16344</v>
      </c>
      <c r="C11953" s="1">
        <v>8.5211210726112499E-3</v>
      </c>
      <c r="D11953" s="1">
        <v>0</v>
      </c>
      <c r="E11953" s="1">
        <v>9.6618357487922703E-4</v>
      </c>
      <c r="F11953" s="1">
        <v>7.6767091541135504E-3</v>
      </c>
    </row>
    <row r="11954" spans="1:6" x14ac:dyDescent="0.25">
      <c r="A11954" s="2" t="str">
        <f t="shared" si="433"/>
        <v>36340</v>
      </c>
      <c r="B11954" s="2" t="str">
        <f>"16374"</f>
        <v>16374</v>
      </c>
      <c r="C11954" s="1">
        <v>3.8849850577497701E-2</v>
      </c>
      <c r="D11954" s="1">
        <v>1.2094557449147799E-2</v>
      </c>
      <c r="E11954" s="1">
        <v>2.8985507246376799E-3</v>
      </c>
      <c r="F11954" s="1">
        <v>3.5740150637311702E-2</v>
      </c>
    </row>
    <row r="11955" spans="1:6" x14ac:dyDescent="0.25">
      <c r="A11955" s="2" t="str">
        <f t="shared" si="433"/>
        <v>36340</v>
      </c>
      <c r="B11955" s="2" t="str">
        <f>"16354"</f>
        <v>16354</v>
      </c>
      <c r="C11955" s="1">
        <v>4.9753654793635402E-2</v>
      </c>
      <c r="D11955" s="1">
        <v>3.1335898845519503E-2</v>
      </c>
      <c r="E11955" s="1">
        <v>1.0628019323671399E-2</v>
      </c>
      <c r="F11955" s="1">
        <v>4.70741599073001E-2</v>
      </c>
    </row>
    <row r="11956" spans="1:6" x14ac:dyDescent="0.25">
      <c r="A11956" s="2" t="str">
        <f t="shared" si="433"/>
        <v>36340</v>
      </c>
      <c r="B11956" s="2" t="str">
        <f>"16341"</f>
        <v>16341</v>
      </c>
      <c r="C11956" s="1">
        <v>3.1661416686858797E-2</v>
      </c>
      <c r="D11956" s="1">
        <v>1.0995052226498001E-2</v>
      </c>
      <c r="E11956" s="1">
        <v>6.7632850241545802E-3</v>
      </c>
      <c r="F11956" s="1">
        <v>2.93670336037079E-2</v>
      </c>
    </row>
    <row r="11957" spans="1:6" x14ac:dyDescent="0.25">
      <c r="A11957" s="2" t="str">
        <f t="shared" si="433"/>
        <v>36340</v>
      </c>
      <c r="B11957" s="2" t="str">
        <f>"16323"</f>
        <v>16323</v>
      </c>
      <c r="C11957" s="1">
        <v>0.30958727081818899</v>
      </c>
      <c r="D11957" s="1">
        <v>0.42111050027487601</v>
      </c>
      <c r="E11957" s="1">
        <v>0.39903381642511998</v>
      </c>
      <c r="F11957" s="1">
        <v>0.32028534183082202</v>
      </c>
    </row>
    <row r="11958" spans="1:6" x14ac:dyDescent="0.25">
      <c r="A11958" s="2" t="str">
        <f t="shared" si="433"/>
        <v>36340</v>
      </c>
      <c r="B11958" s="2" t="str">
        <f>"16127"</f>
        <v>16127</v>
      </c>
      <c r="C11958" s="1">
        <v>3.39229464502059E-3</v>
      </c>
      <c r="D11958" s="1">
        <v>7.1467839472237399E-3</v>
      </c>
      <c r="E11958" s="1">
        <v>0</v>
      </c>
      <c r="F11958" s="1">
        <v>3.5124565469293102E-3</v>
      </c>
    </row>
    <row r="11959" spans="1:6" x14ac:dyDescent="0.25">
      <c r="A11959" s="2" t="str">
        <f t="shared" si="433"/>
        <v>36340</v>
      </c>
      <c r="B11959" s="2" t="str">
        <f>"16314"</f>
        <v>16314</v>
      </c>
      <c r="C11959" s="1">
        <v>6.8249737501009603E-3</v>
      </c>
      <c r="D11959" s="1">
        <v>0</v>
      </c>
      <c r="E11959" s="1">
        <v>0</v>
      </c>
      <c r="F11959" s="1">
        <v>6.1196407879490098E-3</v>
      </c>
    </row>
    <row r="11960" spans="1:6" x14ac:dyDescent="0.25">
      <c r="A11960" s="2" t="str">
        <f t="shared" si="433"/>
        <v>36340</v>
      </c>
      <c r="B11960" s="2" t="str">
        <f>"16301"</f>
        <v>16301</v>
      </c>
      <c r="C11960" s="1">
        <v>0.31576609320733301</v>
      </c>
      <c r="D11960" s="1">
        <v>0.290269378779549</v>
      </c>
      <c r="E11960" s="1">
        <v>0.47632850241545799</v>
      </c>
      <c r="F11960" s="1">
        <v>0.32010428736963997</v>
      </c>
    </row>
    <row r="11961" spans="1:6" x14ac:dyDescent="0.25">
      <c r="A11961" s="2" t="str">
        <f t="shared" si="433"/>
        <v>36340</v>
      </c>
      <c r="B11961" s="2" t="str">
        <f>"16343"</f>
        <v>16343</v>
      </c>
      <c r="C11961" s="1">
        <v>4.0384460059768999E-5</v>
      </c>
      <c r="D11961" s="1">
        <v>1.6492578339747099E-3</v>
      </c>
      <c r="E11961" s="1">
        <v>9.6618357487922703E-4</v>
      </c>
      <c r="F11961" s="1">
        <v>1.8105446118192299E-4</v>
      </c>
    </row>
    <row r="11962" spans="1:6" x14ac:dyDescent="0.25">
      <c r="A11962" s="2" t="str">
        <f t="shared" si="433"/>
        <v>36340</v>
      </c>
      <c r="B11962" s="2" t="str">
        <f>"16346"</f>
        <v>16346</v>
      </c>
      <c r="C11962" s="1">
        <v>5.9001696147322501E-2</v>
      </c>
      <c r="D11962" s="1">
        <v>8.9059923034634406E-2</v>
      </c>
      <c r="E11962" s="1">
        <v>7.82608695652173E-2</v>
      </c>
      <c r="F11962" s="1">
        <v>6.1703360370799501E-2</v>
      </c>
    </row>
    <row r="11963" spans="1:6" x14ac:dyDescent="0.25">
      <c r="A11963" s="2" t="str">
        <f t="shared" si="433"/>
        <v>36340</v>
      </c>
      <c r="B11963" s="2" t="str">
        <f>"16342"</f>
        <v>16342</v>
      </c>
      <c r="C11963" s="1">
        <v>3.80421613763023E-2</v>
      </c>
      <c r="D11963" s="1">
        <v>1.15448048378229E-2</v>
      </c>
      <c r="E11963" s="1">
        <v>4.8309178743961298E-3</v>
      </c>
      <c r="F11963" s="1">
        <v>3.5052143684820299E-2</v>
      </c>
    </row>
    <row r="11964" spans="1:6" x14ac:dyDescent="0.25">
      <c r="A11964" s="2" t="str">
        <f t="shared" si="433"/>
        <v>36340</v>
      </c>
      <c r="B11964" s="2" t="str">
        <f>"16038"</f>
        <v>16038</v>
      </c>
      <c r="C11964" s="1">
        <v>2.03133834100638E-2</v>
      </c>
      <c r="D11964" s="1">
        <v>2.4189114898295699E-2</v>
      </c>
      <c r="E11964" s="1">
        <v>0</v>
      </c>
      <c r="F11964" s="1">
        <v>1.9807358053302401E-2</v>
      </c>
    </row>
    <row r="11965" spans="1:6" x14ac:dyDescent="0.25">
      <c r="A11965" s="2" t="str">
        <f t="shared" ref="A11965:A12001" si="434">"26500"</f>
        <v>26500</v>
      </c>
      <c r="B11965" s="2" t="str">
        <f>"17066"</f>
        <v>17066</v>
      </c>
      <c r="C11965" s="1">
        <v>0.112927674317886</v>
      </c>
      <c r="D11965" s="1">
        <v>0.139109697933227</v>
      </c>
      <c r="E11965" s="1">
        <v>0.21748878923766801</v>
      </c>
      <c r="F11965" s="1">
        <v>0.116871530531324</v>
      </c>
    </row>
    <row r="11966" spans="1:6" x14ac:dyDescent="0.25">
      <c r="A11966" s="2" t="str">
        <f t="shared" si="434"/>
        <v>26500</v>
      </c>
      <c r="B11966" s="2" t="str">
        <f>"17260"</f>
        <v>17260</v>
      </c>
      <c r="C11966" s="1">
        <v>2.7988306626245098E-2</v>
      </c>
      <c r="D11966" s="1">
        <v>2.06677265500794E-2</v>
      </c>
      <c r="E11966" s="1">
        <v>4.4843049327354199E-3</v>
      </c>
      <c r="F11966" s="1">
        <v>2.7012291831879399E-2</v>
      </c>
    </row>
    <row r="11967" spans="1:6" x14ac:dyDescent="0.25">
      <c r="A11967" s="2" t="str">
        <f t="shared" si="434"/>
        <v>26500</v>
      </c>
      <c r="B11967" s="2" t="str">
        <f>"17255"</f>
        <v>17255</v>
      </c>
      <c r="C11967" s="1">
        <v>2.3711563447379801E-2</v>
      </c>
      <c r="D11967" s="1">
        <v>1.82829888712241E-2</v>
      </c>
      <c r="E11967" s="1">
        <v>4.4843049327354199E-3</v>
      </c>
      <c r="F11967" s="1">
        <v>2.2948057097541601E-2</v>
      </c>
    </row>
    <row r="11968" spans="1:6" x14ac:dyDescent="0.25">
      <c r="A11968" s="2" t="str">
        <f t="shared" si="434"/>
        <v>26500</v>
      </c>
      <c r="B11968" s="2" t="str">
        <f>"17253"</f>
        <v>17253</v>
      </c>
      <c r="C11968" s="1">
        <v>3.7895192724122899E-4</v>
      </c>
      <c r="D11968" s="1">
        <v>1.5898251192368799E-3</v>
      </c>
      <c r="E11968" s="1">
        <v>0</v>
      </c>
      <c r="F11968" s="1">
        <v>4.46074544012688E-4</v>
      </c>
    </row>
    <row r="11969" spans="1:6" x14ac:dyDescent="0.25">
      <c r="A11969" s="2" t="str">
        <f t="shared" si="434"/>
        <v>26500</v>
      </c>
      <c r="B11969" s="2" t="str">
        <f>"17229"</f>
        <v>17229</v>
      </c>
      <c r="C11969" s="1">
        <v>4.0060632308358502E-3</v>
      </c>
      <c r="D11969" s="1">
        <v>1.5898251192368799E-3</v>
      </c>
      <c r="E11969" s="1">
        <v>0</v>
      </c>
      <c r="F11969" s="1">
        <v>3.7668517049960302E-3</v>
      </c>
    </row>
    <row r="11970" spans="1:6" x14ac:dyDescent="0.25">
      <c r="A11970" s="2" t="str">
        <f t="shared" si="434"/>
        <v>26500</v>
      </c>
      <c r="B11970" s="2" t="str">
        <f>"17213"</f>
        <v>17213</v>
      </c>
      <c r="C11970" s="1">
        <v>1.47791251624079E-2</v>
      </c>
      <c r="D11970" s="1">
        <v>6.3593004769475301E-3</v>
      </c>
      <c r="E11970" s="1">
        <v>0</v>
      </c>
      <c r="F11970" s="1">
        <v>1.39274385408406E-2</v>
      </c>
    </row>
    <row r="11971" spans="1:6" x14ac:dyDescent="0.25">
      <c r="A11971" s="2" t="str">
        <f t="shared" si="434"/>
        <v>26500</v>
      </c>
      <c r="B11971" s="2" t="str">
        <f>"16654"</f>
        <v>16654</v>
      </c>
      <c r="C11971" s="1">
        <v>0</v>
      </c>
      <c r="D11971" s="1">
        <v>7.9491255961844105E-4</v>
      </c>
      <c r="E11971" s="1">
        <v>0</v>
      </c>
      <c r="F11971" s="1">
        <v>4.9563838223631998E-5</v>
      </c>
    </row>
    <row r="11972" spans="1:6" x14ac:dyDescent="0.25">
      <c r="A11972" s="2" t="str">
        <f t="shared" si="434"/>
        <v>26500</v>
      </c>
      <c r="B11972" s="2" t="str">
        <f>"16652"</f>
        <v>16652</v>
      </c>
      <c r="C11972" s="1">
        <v>0.37700303161541698</v>
      </c>
      <c r="D11972" s="1">
        <v>0.57710651828298798</v>
      </c>
      <c r="E11972" s="1">
        <v>0.594170403587443</v>
      </c>
      <c r="F11972" s="1">
        <v>0.39428033306899202</v>
      </c>
    </row>
    <row r="11973" spans="1:6" x14ac:dyDescent="0.25">
      <c r="A11973" s="2" t="str">
        <f t="shared" si="434"/>
        <v>26500</v>
      </c>
      <c r="B11973" s="2" t="str">
        <f>"17021"</f>
        <v>17021</v>
      </c>
      <c r="C11973" s="1">
        <v>4.8722390645300901E-4</v>
      </c>
      <c r="D11973" s="1">
        <v>0</v>
      </c>
      <c r="E11973" s="1">
        <v>0</v>
      </c>
      <c r="F11973" s="1">
        <v>4.46074544012688E-4</v>
      </c>
    </row>
    <row r="11974" spans="1:6" x14ac:dyDescent="0.25">
      <c r="A11974" s="2" t="str">
        <f t="shared" si="434"/>
        <v>26500</v>
      </c>
      <c r="B11974" s="2" t="str">
        <f>"17002"</f>
        <v>17002</v>
      </c>
      <c r="C11974" s="1">
        <v>2.7609354699003798E-3</v>
      </c>
      <c r="D11974" s="1">
        <v>2.3847376788553201E-3</v>
      </c>
      <c r="E11974" s="1">
        <v>0</v>
      </c>
      <c r="F11974" s="1">
        <v>2.6764472640761301E-3</v>
      </c>
    </row>
    <row r="11975" spans="1:6" x14ac:dyDescent="0.25">
      <c r="A11975" s="2" t="str">
        <f t="shared" si="434"/>
        <v>26500</v>
      </c>
      <c r="B11975" s="2" t="str">
        <f>"16621"</f>
        <v>16621</v>
      </c>
      <c r="C11975" s="1">
        <v>8.6076223473365004E-3</v>
      </c>
      <c r="D11975" s="1">
        <v>2.3847376788553201E-3</v>
      </c>
      <c r="E11975" s="1">
        <v>4.4843049327354202E-2</v>
      </c>
      <c r="F11975" s="1">
        <v>9.0206185567010301E-3</v>
      </c>
    </row>
    <row r="11976" spans="1:6" x14ac:dyDescent="0.25">
      <c r="A11976" s="2" t="str">
        <f t="shared" si="434"/>
        <v>26500</v>
      </c>
      <c r="B11976" s="2" t="str">
        <f>"16669"</f>
        <v>16669</v>
      </c>
      <c r="C11976" s="1">
        <v>4.5799047206582899E-2</v>
      </c>
      <c r="D11976" s="1">
        <v>2.8616852146263898E-2</v>
      </c>
      <c r="E11976" s="1">
        <v>1.5695067264573901E-2</v>
      </c>
      <c r="F11976" s="1">
        <v>4.4062252180808802E-2</v>
      </c>
    </row>
    <row r="11977" spans="1:6" x14ac:dyDescent="0.25">
      <c r="A11977" s="2" t="str">
        <f t="shared" si="434"/>
        <v>26500</v>
      </c>
      <c r="B11977" s="2" t="str">
        <f>"16634"</f>
        <v>16634</v>
      </c>
      <c r="C11977" s="1">
        <v>0</v>
      </c>
      <c r="D11977" s="1">
        <v>1.5898251192368799E-3</v>
      </c>
      <c r="E11977" s="1">
        <v>4.4843049327354199E-3</v>
      </c>
      <c r="F11977" s="1">
        <v>1.9825535289452799E-4</v>
      </c>
    </row>
    <row r="11978" spans="1:6" x14ac:dyDescent="0.25">
      <c r="A11978" s="2" t="str">
        <f t="shared" si="434"/>
        <v>26500</v>
      </c>
      <c r="B11978" s="2" t="str">
        <f>"16623"</f>
        <v>16623</v>
      </c>
      <c r="C11978" s="1">
        <v>6.8752706799480199E-3</v>
      </c>
      <c r="D11978" s="1">
        <v>5.5643879173290899E-3</v>
      </c>
      <c r="E11978" s="1">
        <v>4.4843049327354199E-3</v>
      </c>
      <c r="F11978" s="1">
        <v>6.7406819984139497E-3</v>
      </c>
    </row>
    <row r="11979" spans="1:6" x14ac:dyDescent="0.25">
      <c r="A11979" s="2" t="str">
        <f t="shared" si="434"/>
        <v>26500</v>
      </c>
      <c r="B11979" s="2" t="str">
        <f>"17239"</f>
        <v>17239</v>
      </c>
      <c r="C11979" s="1">
        <v>5.8466868774361101E-3</v>
      </c>
      <c r="D11979" s="1">
        <v>1.5898251192368799E-3</v>
      </c>
      <c r="E11979" s="1">
        <v>0</v>
      </c>
      <c r="F11979" s="1">
        <v>5.4520222045995204E-3</v>
      </c>
    </row>
    <row r="11980" spans="1:6" x14ac:dyDescent="0.25">
      <c r="A11980" s="2" t="str">
        <f t="shared" si="434"/>
        <v>26500</v>
      </c>
      <c r="B11980" s="2" t="str">
        <f>"17060"</f>
        <v>17060</v>
      </c>
      <c r="C11980" s="1">
        <v>2.3386747509744399E-2</v>
      </c>
      <c r="D11980" s="1">
        <v>4.7694753577106497E-3</v>
      </c>
      <c r="E11980" s="1">
        <v>1.3452914798206201E-2</v>
      </c>
      <c r="F11980" s="1">
        <v>2.2006344171292599E-2</v>
      </c>
    </row>
    <row r="11981" spans="1:6" x14ac:dyDescent="0.25">
      <c r="A11981" s="2" t="str">
        <f t="shared" si="434"/>
        <v>26500</v>
      </c>
      <c r="B11981" s="2" t="str">
        <f>"16674"</f>
        <v>16674</v>
      </c>
      <c r="C11981" s="1">
        <v>6.1173668254655596E-3</v>
      </c>
      <c r="D11981" s="1">
        <v>1.5898251192368799E-3</v>
      </c>
      <c r="E11981" s="1">
        <v>8.9686098654708502E-3</v>
      </c>
      <c r="F11981" s="1">
        <v>5.8980967486122098E-3</v>
      </c>
    </row>
    <row r="11982" spans="1:6" x14ac:dyDescent="0.25">
      <c r="A11982" s="2" t="str">
        <f t="shared" si="434"/>
        <v>26500</v>
      </c>
      <c r="B11982" s="2" t="str">
        <f>"16678"</f>
        <v>16678</v>
      </c>
      <c r="C11982" s="1">
        <v>1.46708531831961E-2</v>
      </c>
      <c r="D11982" s="1">
        <v>7.9491255961844105E-3</v>
      </c>
      <c r="E11982" s="1">
        <v>0</v>
      </c>
      <c r="F11982" s="1">
        <v>1.39274385408406E-2</v>
      </c>
    </row>
    <row r="11983" spans="1:6" x14ac:dyDescent="0.25">
      <c r="A11983" s="2" t="str">
        <f t="shared" si="434"/>
        <v>26500</v>
      </c>
      <c r="B11983" s="2" t="str">
        <f>"17249"</f>
        <v>17249</v>
      </c>
      <c r="C11983" s="1">
        <v>1.07189259419662E-2</v>
      </c>
      <c r="D11983" s="1">
        <v>7.9491255961844105E-4</v>
      </c>
      <c r="E11983" s="1">
        <v>0</v>
      </c>
      <c r="F11983" s="1">
        <v>9.86320380650277E-3</v>
      </c>
    </row>
    <row r="11984" spans="1:6" x14ac:dyDescent="0.25">
      <c r="A11984" s="2" t="str">
        <f t="shared" si="434"/>
        <v>26500</v>
      </c>
      <c r="B11984" s="2" t="str">
        <f>"17052"</f>
        <v>17052</v>
      </c>
      <c r="C11984" s="1">
        <v>3.0749242096145501E-2</v>
      </c>
      <c r="D11984" s="1">
        <v>7.1542130365659703E-3</v>
      </c>
      <c r="E11984" s="1">
        <v>0</v>
      </c>
      <c r="F11984" s="1">
        <v>2.8598334655035602E-2</v>
      </c>
    </row>
    <row r="11985" spans="1:6" x14ac:dyDescent="0.25">
      <c r="A11985" s="2" t="str">
        <f t="shared" si="434"/>
        <v>26500</v>
      </c>
      <c r="B11985" s="2" t="str">
        <f>"16694"</f>
        <v>16694</v>
      </c>
      <c r="C11985" s="1">
        <v>0</v>
      </c>
      <c r="D11985" s="1">
        <v>7.9491255961844105E-4</v>
      </c>
      <c r="E11985" s="1">
        <v>0</v>
      </c>
      <c r="F11985" s="1">
        <v>4.9563838223631998E-5</v>
      </c>
    </row>
    <row r="11986" spans="1:6" x14ac:dyDescent="0.25">
      <c r="A11986" s="2" t="str">
        <f t="shared" si="434"/>
        <v>26500</v>
      </c>
      <c r="B11986" s="2" t="str">
        <f>"16683"</f>
        <v>16683</v>
      </c>
      <c r="C11986" s="1">
        <v>9.5820701602425205E-3</v>
      </c>
      <c r="D11986" s="1">
        <v>7.9491255961844105E-3</v>
      </c>
      <c r="E11986" s="1">
        <v>0</v>
      </c>
      <c r="F11986" s="1">
        <v>9.2684377478191894E-3</v>
      </c>
    </row>
    <row r="11987" spans="1:6" x14ac:dyDescent="0.25">
      <c r="A11987" s="2" t="str">
        <f t="shared" si="434"/>
        <v>26500</v>
      </c>
      <c r="B11987" s="2" t="str">
        <f>"16686"</f>
        <v>16686</v>
      </c>
      <c r="C11987" s="1">
        <v>2.83131225638804E-2</v>
      </c>
      <c r="D11987" s="1">
        <v>5.5643879173290899E-3</v>
      </c>
      <c r="E11987" s="1">
        <v>0</v>
      </c>
      <c r="F11987" s="1">
        <v>2.6268834258524901E-2</v>
      </c>
    </row>
    <row r="11988" spans="1:6" x14ac:dyDescent="0.25">
      <c r="A11988" s="2" t="str">
        <f t="shared" si="434"/>
        <v>26500</v>
      </c>
      <c r="B11988" s="2" t="str">
        <f>"16638"</f>
        <v>16638</v>
      </c>
      <c r="C11988" s="1">
        <v>2.3278475530532599E-3</v>
      </c>
      <c r="D11988" s="1">
        <v>0</v>
      </c>
      <c r="E11988" s="1">
        <v>0</v>
      </c>
      <c r="F11988" s="1">
        <v>2.1312450436161701E-3</v>
      </c>
    </row>
    <row r="11989" spans="1:6" x14ac:dyDescent="0.25">
      <c r="A11989" s="2" t="str">
        <f t="shared" si="434"/>
        <v>26500</v>
      </c>
      <c r="B11989" s="2" t="str">
        <f>"17215"</f>
        <v>17215</v>
      </c>
      <c r="C11989" s="1">
        <v>4.06019922044174E-3</v>
      </c>
      <c r="D11989" s="1">
        <v>0</v>
      </c>
      <c r="E11989" s="1">
        <v>0</v>
      </c>
      <c r="F11989" s="1">
        <v>3.7172878667724001E-3</v>
      </c>
    </row>
    <row r="11990" spans="1:6" x14ac:dyDescent="0.25">
      <c r="A11990" s="2" t="str">
        <f t="shared" si="434"/>
        <v>26500</v>
      </c>
      <c r="B11990" s="2" t="str">
        <f>"16877"</f>
        <v>16877</v>
      </c>
      <c r="C11990" s="1">
        <v>2.3711563447379801E-2</v>
      </c>
      <c r="D11990" s="1">
        <v>3.9745627980922E-3</v>
      </c>
      <c r="E11990" s="1">
        <v>1.5695067264573901E-2</v>
      </c>
      <c r="F11990" s="1">
        <v>2.23037272006344E-2</v>
      </c>
    </row>
    <row r="11991" spans="1:6" x14ac:dyDescent="0.25">
      <c r="A11991" s="2" t="str">
        <f t="shared" si="434"/>
        <v>26500</v>
      </c>
      <c r="B11991" s="2" t="str">
        <f>"16622"</f>
        <v>16622</v>
      </c>
      <c r="C11991" s="1">
        <v>3.6812472932005102E-3</v>
      </c>
      <c r="D11991" s="1">
        <v>2.3847376788553201E-3</v>
      </c>
      <c r="E11991" s="1">
        <v>2.2421524663677099E-3</v>
      </c>
      <c r="F11991" s="1">
        <v>3.5685963521015001E-3</v>
      </c>
    </row>
    <row r="11992" spans="1:6" x14ac:dyDescent="0.25">
      <c r="A11992" s="2" t="str">
        <f t="shared" si="434"/>
        <v>26500</v>
      </c>
      <c r="B11992" s="2" t="str">
        <f>"17264"</f>
        <v>17264</v>
      </c>
      <c r="C11992" s="1">
        <v>5.9874404504114298E-2</v>
      </c>
      <c r="D11992" s="1">
        <v>2.8616852146263898E-2</v>
      </c>
      <c r="E11992" s="1">
        <v>1.79372197309417E-2</v>
      </c>
      <c r="F11992" s="1">
        <v>5.6998413957176801E-2</v>
      </c>
    </row>
    <row r="11993" spans="1:6" x14ac:dyDescent="0.25">
      <c r="A11993" s="2" t="str">
        <f t="shared" si="434"/>
        <v>26500</v>
      </c>
      <c r="B11993" s="2" t="str">
        <f>"17243"</f>
        <v>17243</v>
      </c>
      <c r="C11993" s="1">
        <v>3.0803378085751398E-2</v>
      </c>
      <c r="D11993" s="1">
        <v>3.5771065182829798E-2</v>
      </c>
      <c r="E11993" s="1">
        <v>1.79372197309417E-2</v>
      </c>
      <c r="F11993" s="1">
        <v>3.0828707375099101E-2</v>
      </c>
    </row>
    <row r="11994" spans="1:6" x14ac:dyDescent="0.25">
      <c r="A11994" s="2" t="str">
        <f t="shared" si="434"/>
        <v>26500</v>
      </c>
      <c r="B11994" s="2" t="str">
        <f>"16689"</f>
        <v>16689</v>
      </c>
      <c r="C11994" s="1">
        <v>2.7067994802944901E-4</v>
      </c>
      <c r="D11994" s="1">
        <v>0</v>
      </c>
      <c r="E11994" s="1">
        <v>0</v>
      </c>
      <c r="F11994" s="1">
        <v>2.4781919111816001E-4</v>
      </c>
    </row>
    <row r="11995" spans="1:6" x14ac:dyDescent="0.25">
      <c r="A11995" s="2" t="str">
        <f t="shared" si="434"/>
        <v>26500</v>
      </c>
      <c r="B11995" s="2" t="str">
        <f>"16660"</f>
        <v>16660</v>
      </c>
      <c r="C11995" s="1">
        <v>0</v>
      </c>
      <c r="D11995" s="1">
        <v>7.9491255961844105E-4</v>
      </c>
      <c r="E11995" s="1">
        <v>0</v>
      </c>
      <c r="F11995" s="1">
        <v>4.9563838223631998E-5</v>
      </c>
    </row>
    <row r="11996" spans="1:6" x14ac:dyDescent="0.25">
      <c r="A11996" s="2" t="str">
        <f t="shared" si="434"/>
        <v>26500</v>
      </c>
      <c r="B11996" s="2" t="str">
        <f>"16685"</f>
        <v>16685</v>
      </c>
      <c r="C11996" s="1">
        <v>9.3113902122130693E-3</v>
      </c>
      <c r="D11996" s="1">
        <v>7.9491255961844105E-4</v>
      </c>
      <c r="E11996" s="1">
        <v>2.2421524663677099E-3</v>
      </c>
      <c r="F11996" s="1">
        <v>8.62410785091197E-3</v>
      </c>
    </row>
    <row r="11997" spans="1:6" x14ac:dyDescent="0.25">
      <c r="A11997" s="2" t="str">
        <f t="shared" si="434"/>
        <v>26500</v>
      </c>
      <c r="B11997" s="2" t="str">
        <f>"16693"</f>
        <v>16693</v>
      </c>
      <c r="C11997" s="1">
        <v>5.41359896058899E-4</v>
      </c>
      <c r="D11997" s="1">
        <v>0</v>
      </c>
      <c r="E11997" s="1">
        <v>0</v>
      </c>
      <c r="F11997" s="1">
        <v>4.9563838223632003E-4</v>
      </c>
    </row>
    <row r="11998" spans="1:6" x14ac:dyDescent="0.25">
      <c r="A11998" s="2" t="str">
        <f t="shared" si="434"/>
        <v>26500</v>
      </c>
      <c r="B11998" s="2" t="str">
        <f>"16657"</f>
        <v>16657</v>
      </c>
      <c r="C11998" s="1">
        <v>3.23191857947163E-2</v>
      </c>
      <c r="D11998" s="1">
        <v>2.30524642289348E-2</v>
      </c>
      <c r="E11998" s="1">
        <v>2.2421524663677099E-3</v>
      </c>
      <c r="F11998" s="1">
        <v>3.1076526566217198E-2</v>
      </c>
    </row>
    <row r="11999" spans="1:6" x14ac:dyDescent="0.25">
      <c r="A11999" s="2" t="str">
        <f t="shared" si="434"/>
        <v>26500</v>
      </c>
      <c r="B11999" s="2" t="str">
        <f>"16647"</f>
        <v>16647</v>
      </c>
      <c r="C11999" s="1">
        <v>2.1925075790385402E-2</v>
      </c>
      <c r="D11999" s="1">
        <v>1.2718600953894999E-2</v>
      </c>
      <c r="E11999" s="1">
        <v>4.4843049327354199E-3</v>
      </c>
      <c r="F11999" s="1">
        <v>2.0965503568596298E-2</v>
      </c>
    </row>
    <row r="12000" spans="1:6" x14ac:dyDescent="0.25">
      <c r="A12000" s="2" t="str">
        <f t="shared" si="434"/>
        <v>26500</v>
      </c>
      <c r="B12000" s="2" t="str">
        <f>"16611"</f>
        <v>16611</v>
      </c>
      <c r="C12000" s="1">
        <v>5.3919445647466403E-2</v>
      </c>
      <c r="D12000" s="1">
        <v>4.7694753577106501E-2</v>
      </c>
      <c r="E12000" s="1">
        <v>2.46636771300448E-2</v>
      </c>
      <c r="F12000" s="1">
        <v>5.2884615384615301E-2</v>
      </c>
    </row>
    <row r="12001" spans="1:6" x14ac:dyDescent="0.25">
      <c r="A12001" s="2" t="str">
        <f t="shared" si="434"/>
        <v>26500</v>
      </c>
      <c r="B12001" s="2" t="str">
        <f>"16865"</f>
        <v>16865</v>
      </c>
      <c r="C12001" s="1">
        <v>2.5443915114768201E-3</v>
      </c>
      <c r="D12001" s="1">
        <v>0</v>
      </c>
      <c r="E12001" s="1">
        <v>0</v>
      </c>
      <c r="F12001" s="1">
        <v>2.3295003965107001E-3</v>
      </c>
    </row>
    <row r="12002" spans="1:6" x14ac:dyDescent="0.25">
      <c r="A12002" s="2" t="str">
        <f t="shared" ref="A12002:A12033" si="435">"39740"</f>
        <v>39740</v>
      </c>
      <c r="B12002" s="2" t="str">
        <f>"19605"</f>
        <v>19605</v>
      </c>
      <c r="C12002" s="1">
        <v>4.7881125811129299E-2</v>
      </c>
      <c r="D12002" s="1">
        <v>7.7935144338673407E-2</v>
      </c>
      <c r="E12002" s="1">
        <v>2.85237445000758E-2</v>
      </c>
      <c r="F12002" s="1">
        <v>4.9197207766970598E-2</v>
      </c>
    </row>
    <row r="12003" spans="1:6" x14ac:dyDescent="0.25">
      <c r="A12003" s="2" t="str">
        <f t="shared" si="435"/>
        <v>39740</v>
      </c>
      <c r="B12003" s="2" t="str">
        <f>"19559"</f>
        <v>19559</v>
      </c>
      <c r="C12003" s="1">
        <v>1.2317408417268999E-4</v>
      </c>
      <c r="D12003" s="1">
        <v>0</v>
      </c>
      <c r="E12003" s="1">
        <v>1.5172204521316901E-4</v>
      </c>
      <c r="F12003" s="1">
        <v>1.16090671862144E-4</v>
      </c>
    </row>
    <row r="12004" spans="1:6" x14ac:dyDescent="0.25">
      <c r="A12004" s="2" t="str">
        <f t="shared" si="435"/>
        <v>39740</v>
      </c>
      <c r="B12004" s="2" t="str">
        <f>"19554"</f>
        <v>19554</v>
      </c>
      <c r="C12004" s="1">
        <v>3.2473167645527301E-4</v>
      </c>
      <c r="D12004" s="1">
        <v>0</v>
      </c>
      <c r="E12004" s="1">
        <v>1.5172204521316901E-4</v>
      </c>
      <c r="F12004" s="1">
        <v>2.9779781042897998E-4</v>
      </c>
    </row>
    <row r="12005" spans="1:6" x14ac:dyDescent="0.25">
      <c r="A12005" s="2" t="str">
        <f t="shared" si="435"/>
        <v>39740</v>
      </c>
      <c r="B12005" s="2" t="str">
        <f>"19540"</f>
        <v>19540</v>
      </c>
      <c r="C12005" s="1">
        <v>2.57713777021314E-2</v>
      </c>
      <c r="D12005" s="1">
        <v>1.0912468075226301E-2</v>
      </c>
      <c r="E12005" s="1">
        <v>1.27446517979062E-2</v>
      </c>
      <c r="F12005" s="1">
        <v>2.43689462500189E-2</v>
      </c>
    </row>
    <row r="12006" spans="1:6" x14ac:dyDescent="0.25">
      <c r="A12006" s="2" t="str">
        <f t="shared" si="435"/>
        <v>39740</v>
      </c>
      <c r="B12006" s="2" t="str">
        <f>"19562"</f>
        <v>19562</v>
      </c>
      <c r="C12006" s="1">
        <v>6.3770582669406299E-3</v>
      </c>
      <c r="D12006" s="1">
        <v>6.1140778577509396E-3</v>
      </c>
      <c r="E12006" s="1">
        <v>9.8619329388560106E-3</v>
      </c>
      <c r="F12006" s="1">
        <v>6.4758405217013801E-3</v>
      </c>
    </row>
    <row r="12007" spans="1:6" x14ac:dyDescent="0.25">
      <c r="A12007" s="2" t="str">
        <f t="shared" si="435"/>
        <v>39740</v>
      </c>
      <c r="B12007" s="2" t="str">
        <f>"19505"</f>
        <v>19505</v>
      </c>
      <c r="C12007" s="1">
        <v>8.5717964940176493E-3</v>
      </c>
      <c r="D12007" s="1">
        <v>5.9592910765420603E-3</v>
      </c>
      <c r="E12007" s="1">
        <v>4.8551054468214203E-3</v>
      </c>
      <c r="F12007" s="1">
        <v>8.2777696458225004E-3</v>
      </c>
    </row>
    <row r="12008" spans="1:6" x14ac:dyDescent="0.25">
      <c r="A12008" s="2" t="str">
        <f t="shared" si="435"/>
        <v>39740</v>
      </c>
      <c r="B12008" s="2" t="str">
        <f>"19607"</f>
        <v>19607</v>
      </c>
      <c r="C12008" s="1">
        <v>6.0534463548869301E-2</v>
      </c>
      <c r="D12008" s="1">
        <v>6.1450352139927202E-2</v>
      </c>
      <c r="E12008" s="1">
        <v>4.96131087847064E-2</v>
      </c>
      <c r="F12008" s="1">
        <v>6.02308690143901E-2</v>
      </c>
    </row>
    <row r="12009" spans="1:6" x14ac:dyDescent="0.25">
      <c r="A12009" s="2" t="str">
        <f t="shared" si="435"/>
        <v>39740</v>
      </c>
      <c r="B12009" s="2" t="str">
        <f>"18011"</f>
        <v>18011</v>
      </c>
      <c r="C12009" s="1">
        <v>4.0983377097458598E-3</v>
      </c>
      <c r="D12009" s="1">
        <v>3.8696695302221099E-4</v>
      </c>
      <c r="E12009" s="1">
        <v>3.0344409042633801E-4</v>
      </c>
      <c r="F12009" s="1">
        <v>3.7300437611358702E-3</v>
      </c>
    </row>
    <row r="12010" spans="1:6" x14ac:dyDescent="0.25">
      <c r="A12010" s="2" t="str">
        <f t="shared" si="435"/>
        <v>39740</v>
      </c>
      <c r="B12010" s="2" t="str">
        <f>"18062"</f>
        <v>18062</v>
      </c>
      <c r="C12010" s="1">
        <v>4.1655235738400596E-3</v>
      </c>
      <c r="D12010" s="1">
        <v>7.7393390604442295E-4</v>
      </c>
      <c r="E12010" s="1">
        <v>0</v>
      </c>
      <c r="F12010" s="1">
        <v>3.8057550688720501E-3</v>
      </c>
    </row>
    <row r="12011" spans="1:6" x14ac:dyDescent="0.25">
      <c r="A12011" s="2" t="str">
        <f t="shared" si="435"/>
        <v>39740</v>
      </c>
      <c r="B12011" s="2" t="str">
        <f>"19606"</f>
        <v>19606</v>
      </c>
      <c r="C12011" s="1">
        <v>8.6568985885369695E-2</v>
      </c>
      <c r="D12011" s="1">
        <v>9.4652116709233E-2</v>
      </c>
      <c r="E12011" s="1">
        <v>4.0206341981489903E-2</v>
      </c>
      <c r="F12011" s="1">
        <v>8.5553777741884995E-2</v>
      </c>
    </row>
    <row r="12012" spans="1:6" x14ac:dyDescent="0.25">
      <c r="A12012" s="2" t="str">
        <f t="shared" si="435"/>
        <v>39740</v>
      </c>
      <c r="B12012" s="2" t="str">
        <f>"19550"</f>
        <v>19550</v>
      </c>
      <c r="C12012" s="1">
        <v>2.7994110039247699E-5</v>
      </c>
      <c r="D12012" s="1">
        <v>7.7393390604442301E-5</v>
      </c>
      <c r="E12012" s="1">
        <v>1.5172204521316901E-4</v>
      </c>
      <c r="F12012" s="1">
        <v>3.5331943610217901E-5</v>
      </c>
    </row>
    <row r="12013" spans="1:6" x14ac:dyDescent="0.25">
      <c r="A12013" s="2" t="str">
        <f t="shared" si="435"/>
        <v>39740</v>
      </c>
      <c r="B12013" s="2" t="str">
        <f>"19525"</f>
        <v>19525</v>
      </c>
      <c r="C12013" s="1">
        <v>1.2317408417268999E-4</v>
      </c>
      <c r="D12013" s="1">
        <v>4.6436034362665402E-4</v>
      </c>
      <c r="E12013" s="1">
        <v>0</v>
      </c>
      <c r="F12013" s="1">
        <v>1.4132777444087101E-4</v>
      </c>
    </row>
    <row r="12014" spans="1:6" x14ac:dyDescent="0.25">
      <c r="A12014" s="2" t="str">
        <f t="shared" si="435"/>
        <v>39740</v>
      </c>
      <c r="B12014" s="2" t="str">
        <f>"19516"</f>
        <v>19516</v>
      </c>
      <c r="C12014" s="1">
        <v>5.5988220078495397E-6</v>
      </c>
      <c r="D12014" s="1">
        <v>0</v>
      </c>
      <c r="E12014" s="1">
        <v>1.5172204521316901E-4</v>
      </c>
      <c r="F12014" s="1">
        <v>1.00948410314908E-5</v>
      </c>
    </row>
    <row r="12015" spans="1:6" x14ac:dyDescent="0.25">
      <c r="A12015" s="2" t="str">
        <f t="shared" si="435"/>
        <v>39740</v>
      </c>
      <c r="B12015" s="2" t="str">
        <f>"19608"</f>
        <v>19608</v>
      </c>
      <c r="C12015" s="1">
        <v>5.1509162472215798E-2</v>
      </c>
      <c r="D12015" s="1">
        <v>3.4130485256558998E-2</v>
      </c>
      <c r="E12015" s="1">
        <v>2.12410863298437E-2</v>
      </c>
      <c r="F12015" s="1">
        <v>4.9368820064505999E-2</v>
      </c>
    </row>
    <row r="12016" spans="1:6" x14ac:dyDescent="0.25">
      <c r="A12016" s="2" t="str">
        <f t="shared" si="435"/>
        <v>39740</v>
      </c>
      <c r="B12016" s="2" t="str">
        <f>"19523"</f>
        <v>19523</v>
      </c>
      <c r="C12016" s="1">
        <v>5.5988220078495397E-6</v>
      </c>
      <c r="D12016" s="1">
        <v>7.7393390604442301E-5</v>
      </c>
      <c r="E12016" s="1">
        <v>0</v>
      </c>
      <c r="F12016" s="1">
        <v>1.00948410314908E-5</v>
      </c>
    </row>
    <row r="12017" spans="1:6" x14ac:dyDescent="0.25">
      <c r="A12017" s="2" t="str">
        <f t="shared" si="435"/>
        <v>39740</v>
      </c>
      <c r="B12017" s="2" t="str">
        <f>"19555"</f>
        <v>19555</v>
      </c>
      <c r="C12017" s="1">
        <v>9.0644928307084104E-3</v>
      </c>
      <c r="D12017" s="1">
        <v>1.0138534169181901E-2</v>
      </c>
      <c r="E12017" s="1">
        <v>4.7033834016082503E-3</v>
      </c>
      <c r="F12017" s="1">
        <v>8.9894559385425999E-3</v>
      </c>
    </row>
    <row r="12018" spans="1:6" x14ac:dyDescent="0.25">
      <c r="A12018" s="2" t="str">
        <f t="shared" si="435"/>
        <v>39740</v>
      </c>
      <c r="B12018" s="2" t="str">
        <f>"19543"</f>
        <v>19543</v>
      </c>
      <c r="C12018" s="1">
        <v>9.6467703195247702E-3</v>
      </c>
      <c r="D12018" s="1">
        <v>1.02159275597863E-2</v>
      </c>
      <c r="E12018" s="1">
        <v>6.8274920345926197E-3</v>
      </c>
      <c r="F12018" s="1">
        <v>9.5900989799163096E-3</v>
      </c>
    </row>
    <row r="12019" spans="1:6" x14ac:dyDescent="0.25">
      <c r="A12019" s="2" t="str">
        <f t="shared" si="435"/>
        <v>39740</v>
      </c>
      <c r="B12019" s="2" t="str">
        <f>"19533"</f>
        <v>19533</v>
      </c>
      <c r="C12019" s="1">
        <v>1.7983416289212701E-2</v>
      </c>
      <c r="D12019" s="1">
        <v>2.6081572633696998E-2</v>
      </c>
      <c r="E12019" s="1">
        <v>6.6757699893794497E-3</v>
      </c>
      <c r="F12019" s="1">
        <v>1.81353819130733E-2</v>
      </c>
    </row>
    <row r="12020" spans="1:6" x14ac:dyDescent="0.25">
      <c r="A12020" s="2" t="str">
        <f t="shared" si="435"/>
        <v>39740</v>
      </c>
      <c r="B12020" s="2" t="str">
        <f>"19511"</f>
        <v>19511</v>
      </c>
      <c r="C12020" s="1">
        <v>0</v>
      </c>
      <c r="D12020" s="1">
        <v>0</v>
      </c>
      <c r="E12020" s="1">
        <v>1.5172204521316901E-4</v>
      </c>
      <c r="F12020" s="1">
        <v>5.0474205157454196E-6</v>
      </c>
    </row>
    <row r="12021" spans="1:6" x14ac:dyDescent="0.25">
      <c r="A12021" s="2" t="str">
        <f t="shared" si="435"/>
        <v>39740</v>
      </c>
      <c r="B12021" s="2" t="str">
        <f>"19610"</f>
        <v>19610</v>
      </c>
      <c r="C12021" s="1">
        <v>4.1621642806353498E-2</v>
      </c>
      <c r="D12021" s="1">
        <v>0.11121430229858301</v>
      </c>
      <c r="E12021" s="1">
        <v>4.4909725383098099E-2</v>
      </c>
      <c r="F12021" s="1">
        <v>4.6269703867838297E-2</v>
      </c>
    </row>
    <row r="12022" spans="1:6" x14ac:dyDescent="0.25">
      <c r="A12022" s="2" t="str">
        <f t="shared" si="435"/>
        <v>39740</v>
      </c>
      <c r="B12022" s="2" t="str">
        <f>"18056"</f>
        <v>18056</v>
      </c>
      <c r="C12022" s="1">
        <v>2.60905105565788E-3</v>
      </c>
      <c r="D12022" s="1">
        <v>6.96540515439981E-4</v>
      </c>
      <c r="E12022" s="1">
        <v>0</v>
      </c>
      <c r="F12022" s="1">
        <v>2.39752474497907E-3</v>
      </c>
    </row>
    <row r="12023" spans="1:6" x14ac:dyDescent="0.25">
      <c r="A12023" s="2" t="str">
        <f t="shared" si="435"/>
        <v>39740</v>
      </c>
      <c r="B12023" s="2" t="str">
        <f>"17073"</f>
        <v>17073</v>
      </c>
      <c r="C12023" s="1">
        <v>1.1197644015699E-5</v>
      </c>
      <c r="D12023" s="1">
        <v>0</v>
      </c>
      <c r="E12023" s="1">
        <v>0</v>
      </c>
      <c r="F12023" s="1">
        <v>1.00948410314908E-5</v>
      </c>
    </row>
    <row r="12024" spans="1:6" x14ac:dyDescent="0.25">
      <c r="A12024" s="2" t="str">
        <f t="shared" si="435"/>
        <v>39740</v>
      </c>
      <c r="B12024" s="2" t="str">
        <f>"19603"</f>
        <v>19603</v>
      </c>
      <c r="C12024" s="1">
        <v>8.2974542156330298E-3</v>
      </c>
      <c r="D12024" s="1">
        <v>1.33890565745685E-2</v>
      </c>
      <c r="E12024" s="1">
        <v>1.5172204521316901E-4</v>
      </c>
      <c r="F12024" s="1">
        <v>8.3585283740744195E-3</v>
      </c>
    </row>
    <row r="12025" spans="1:6" x14ac:dyDescent="0.25">
      <c r="A12025" s="2" t="str">
        <f t="shared" si="435"/>
        <v>39740</v>
      </c>
      <c r="B12025" s="2" t="str">
        <f>"19567"</f>
        <v>19567</v>
      </c>
      <c r="C12025" s="1">
        <v>1.39074738674982E-2</v>
      </c>
      <c r="D12025" s="1">
        <v>8.8228465289064296E-3</v>
      </c>
      <c r="E12025" s="1">
        <v>8.6481565771506508E-3</v>
      </c>
      <c r="F12025" s="1">
        <v>1.3400901469304101E-2</v>
      </c>
    </row>
    <row r="12026" spans="1:6" x14ac:dyDescent="0.25">
      <c r="A12026" s="2" t="str">
        <f t="shared" si="435"/>
        <v>39740</v>
      </c>
      <c r="B12026" s="2" t="str">
        <f>"19565"</f>
        <v>19565</v>
      </c>
      <c r="C12026" s="1">
        <v>2.0654054386956899E-2</v>
      </c>
      <c r="D12026" s="1">
        <v>8.2810927946753293E-3</v>
      </c>
      <c r="E12026" s="1">
        <v>1.31998179335457E-2</v>
      </c>
      <c r="F12026" s="1">
        <v>1.9599133862639399E-2</v>
      </c>
    </row>
    <row r="12027" spans="1:6" x14ac:dyDescent="0.25">
      <c r="A12027" s="2" t="str">
        <f t="shared" si="435"/>
        <v>39740</v>
      </c>
      <c r="B12027" s="2" t="str">
        <f>"19564"</f>
        <v>19564</v>
      </c>
      <c r="C12027" s="1">
        <v>0</v>
      </c>
      <c r="D12027" s="1">
        <v>7.7393390604442301E-5</v>
      </c>
      <c r="E12027" s="1">
        <v>0</v>
      </c>
      <c r="F12027" s="1">
        <v>5.0474205157454196E-6</v>
      </c>
    </row>
    <row r="12028" spans="1:6" x14ac:dyDescent="0.25">
      <c r="A12028" s="2" t="str">
        <f t="shared" si="435"/>
        <v>39740</v>
      </c>
      <c r="B12028" s="2" t="str">
        <f>"19548"</f>
        <v>19548</v>
      </c>
      <c r="C12028" s="1">
        <v>0</v>
      </c>
      <c r="D12028" s="1">
        <v>0</v>
      </c>
      <c r="E12028" s="1">
        <v>1.5172204521316901E-4</v>
      </c>
      <c r="F12028" s="1">
        <v>5.0474205157454196E-6</v>
      </c>
    </row>
    <row r="12029" spans="1:6" x14ac:dyDescent="0.25">
      <c r="A12029" s="2" t="str">
        <f t="shared" si="435"/>
        <v>39740</v>
      </c>
      <c r="B12029" s="2" t="str">
        <f>"19541"</f>
        <v>19541</v>
      </c>
      <c r="C12029" s="1">
        <v>9.7979385137366998E-3</v>
      </c>
      <c r="D12029" s="1">
        <v>9.2872068725330804E-4</v>
      </c>
      <c r="E12029" s="1">
        <v>3.1861629494765501E-3</v>
      </c>
      <c r="F12029" s="1">
        <v>8.9995507795740896E-3</v>
      </c>
    </row>
    <row r="12030" spans="1:6" x14ac:dyDescent="0.25">
      <c r="A12030" s="2" t="str">
        <f t="shared" si="435"/>
        <v>39740</v>
      </c>
      <c r="B12030" s="2" t="str">
        <f>"19534"</f>
        <v>19534</v>
      </c>
      <c r="C12030" s="1">
        <v>5.84517017619492E-3</v>
      </c>
      <c r="D12030" s="1">
        <v>2.4765884993421501E-3</v>
      </c>
      <c r="E12030" s="1">
        <v>1.3654984069185201E-3</v>
      </c>
      <c r="F12030" s="1">
        <v>5.4764512595837801E-3</v>
      </c>
    </row>
    <row r="12031" spans="1:6" x14ac:dyDescent="0.25">
      <c r="A12031" s="2" t="str">
        <f t="shared" si="435"/>
        <v>39740</v>
      </c>
      <c r="B12031" s="2" t="str">
        <f>"19530"</f>
        <v>19530</v>
      </c>
      <c r="C12031" s="1">
        <v>4.3026947130323699E-2</v>
      </c>
      <c r="D12031" s="1">
        <v>3.6142713412274499E-2</v>
      </c>
      <c r="E12031" s="1">
        <v>3.6868456986800101E-2</v>
      </c>
      <c r="F12031" s="1">
        <v>4.23730952296828E-2</v>
      </c>
    </row>
    <row r="12032" spans="1:6" x14ac:dyDescent="0.25">
      <c r="A12032" s="2" t="str">
        <f t="shared" si="435"/>
        <v>39740</v>
      </c>
      <c r="B12032" s="2" t="str">
        <f>"19520"</f>
        <v>19520</v>
      </c>
      <c r="C12032" s="1">
        <v>2.3459064212889599E-3</v>
      </c>
      <c r="D12032" s="1">
        <v>6.9654051543998098E-3</v>
      </c>
      <c r="E12032" s="1">
        <v>6.06888180852677E-4</v>
      </c>
      <c r="F12032" s="1">
        <v>2.5893267245774001E-3</v>
      </c>
    </row>
    <row r="12033" spans="1:6" x14ac:dyDescent="0.25">
      <c r="A12033" s="2" t="str">
        <f t="shared" si="435"/>
        <v>39740</v>
      </c>
      <c r="B12033" s="2" t="str">
        <f>"19464"</f>
        <v>19464</v>
      </c>
      <c r="C12033" s="1">
        <v>2.7994110039247701E-4</v>
      </c>
      <c r="D12033" s="1">
        <v>1.54786781208884E-4</v>
      </c>
      <c r="E12033" s="1">
        <v>0</v>
      </c>
      <c r="F12033" s="1">
        <v>2.6246586681876198E-4</v>
      </c>
    </row>
    <row r="12034" spans="1:6" x14ac:dyDescent="0.25">
      <c r="A12034" s="2" t="str">
        <f t="shared" ref="A12034:A12070" si="436">"39740"</f>
        <v>39740</v>
      </c>
      <c r="B12034" s="2" t="str">
        <f>"19512"</f>
        <v>19512</v>
      </c>
      <c r="C12034" s="1">
        <v>3.7265759284246497E-2</v>
      </c>
      <c r="D12034" s="1">
        <v>2.5307638727652602E-2</v>
      </c>
      <c r="E12034" s="1">
        <v>3.0951297223486499E-2</v>
      </c>
      <c r="F12034" s="1">
        <v>3.62758112466623E-2</v>
      </c>
    </row>
    <row r="12035" spans="1:6" x14ac:dyDescent="0.25">
      <c r="A12035" s="2" t="str">
        <f t="shared" si="436"/>
        <v>39740</v>
      </c>
      <c r="B12035" s="2" t="str">
        <f>"19510"</f>
        <v>19510</v>
      </c>
      <c r="C12035" s="1">
        <v>1.5900654502292701E-2</v>
      </c>
      <c r="D12035" s="1">
        <v>9.9063539973686197E-3</v>
      </c>
      <c r="E12035" s="1">
        <v>4.2482172659687404E-3</v>
      </c>
      <c r="F12035" s="1">
        <v>1.51220718651733E-2</v>
      </c>
    </row>
    <row r="12036" spans="1:6" x14ac:dyDescent="0.25">
      <c r="A12036" s="2" t="str">
        <f t="shared" si="436"/>
        <v>39740</v>
      </c>
      <c r="B12036" s="2" t="str">
        <f>"19506"</f>
        <v>19506</v>
      </c>
      <c r="C12036" s="1">
        <v>1.6499728457132601E-2</v>
      </c>
      <c r="D12036" s="1">
        <v>6.5010448107731501E-3</v>
      </c>
      <c r="E12036" s="1">
        <v>2.1241086329843702E-3</v>
      </c>
      <c r="F12036" s="1">
        <v>1.53693954704448E-2</v>
      </c>
    </row>
    <row r="12037" spans="1:6" x14ac:dyDescent="0.25">
      <c r="A12037" s="2" t="str">
        <f t="shared" si="436"/>
        <v>39740</v>
      </c>
      <c r="B12037" s="2" t="str">
        <f>"19503"</f>
        <v>19503</v>
      </c>
      <c r="C12037" s="1">
        <v>3.3760896707332698E-3</v>
      </c>
      <c r="D12037" s="1">
        <v>1.85744137450661E-3</v>
      </c>
      <c r="E12037" s="1">
        <v>9.1033227127901599E-4</v>
      </c>
      <c r="F12037" s="1">
        <v>3.1950171864668499E-3</v>
      </c>
    </row>
    <row r="12038" spans="1:6" x14ac:dyDescent="0.25">
      <c r="A12038" s="2" t="str">
        <f t="shared" si="436"/>
        <v>39740</v>
      </c>
      <c r="B12038" s="2" t="str">
        <f>"19609"</f>
        <v>19609</v>
      </c>
      <c r="C12038" s="1">
        <v>2.4298887514066999E-2</v>
      </c>
      <c r="D12038" s="1">
        <v>2.0044888166550499E-2</v>
      </c>
      <c r="E12038" s="1">
        <v>1.8813533606433001E-2</v>
      </c>
      <c r="F12038" s="1">
        <v>2.3838967095865599E-2</v>
      </c>
    </row>
    <row r="12039" spans="1:6" x14ac:dyDescent="0.25">
      <c r="A12039" s="2" t="str">
        <f t="shared" si="436"/>
        <v>39740</v>
      </c>
      <c r="B12039" s="2" t="str">
        <f>"19545"</f>
        <v>19545</v>
      </c>
      <c r="C12039" s="1">
        <v>0</v>
      </c>
      <c r="D12039" s="1">
        <v>0</v>
      </c>
      <c r="E12039" s="1">
        <v>1.5172204521316901E-4</v>
      </c>
      <c r="F12039" s="1">
        <v>5.0474205157454196E-6</v>
      </c>
    </row>
    <row r="12040" spans="1:6" x14ac:dyDescent="0.25">
      <c r="A12040" s="2" t="str">
        <f t="shared" si="436"/>
        <v>39740</v>
      </c>
      <c r="B12040" s="2" t="str">
        <f>"19544"</f>
        <v>19544</v>
      </c>
      <c r="C12040" s="1">
        <v>3.3592932047097203E-5</v>
      </c>
      <c r="D12040" s="1">
        <v>0</v>
      </c>
      <c r="E12040" s="1">
        <v>1.5172204521316901E-4</v>
      </c>
      <c r="F12040" s="1">
        <v>3.5331943610217901E-5</v>
      </c>
    </row>
    <row r="12041" spans="1:6" x14ac:dyDescent="0.25">
      <c r="A12041" s="2" t="str">
        <f t="shared" si="436"/>
        <v>39740</v>
      </c>
      <c r="B12041" s="2" t="str">
        <f>"19547"</f>
        <v>19547</v>
      </c>
      <c r="C12041" s="1">
        <v>1.06153665268827E-2</v>
      </c>
      <c r="D12041" s="1">
        <v>7.0427985450042504E-3</v>
      </c>
      <c r="E12041" s="1">
        <v>1.66894249734486E-3</v>
      </c>
      <c r="F12041" s="1">
        <v>1.00847461904593E-2</v>
      </c>
    </row>
    <row r="12042" spans="1:6" x14ac:dyDescent="0.25">
      <c r="A12042" s="2" t="str">
        <f t="shared" si="436"/>
        <v>39740</v>
      </c>
      <c r="B12042" s="2" t="str">
        <f>"19539"</f>
        <v>19539</v>
      </c>
      <c r="C12042" s="1">
        <v>1.0564977128812001E-2</v>
      </c>
      <c r="D12042" s="1">
        <v>3.0957356241776901E-3</v>
      </c>
      <c r="E12042" s="1">
        <v>5.0068274920345903E-3</v>
      </c>
      <c r="F12042" s="1">
        <v>9.8929442108610308E-3</v>
      </c>
    </row>
    <row r="12043" spans="1:6" x14ac:dyDescent="0.25">
      <c r="A12043" s="2" t="str">
        <f t="shared" si="436"/>
        <v>39740</v>
      </c>
      <c r="B12043" s="2" t="str">
        <f>"19501"</f>
        <v>19501</v>
      </c>
      <c r="C12043" s="1">
        <v>5.5988220078495397E-6</v>
      </c>
      <c r="D12043" s="1">
        <v>0</v>
      </c>
      <c r="E12043" s="1">
        <v>0</v>
      </c>
      <c r="F12043" s="1">
        <v>5.0474205157454196E-6</v>
      </c>
    </row>
    <row r="12044" spans="1:6" x14ac:dyDescent="0.25">
      <c r="A12044" s="2" t="str">
        <f t="shared" si="436"/>
        <v>39740</v>
      </c>
      <c r="B12044" s="2" t="str">
        <f>"18092"</f>
        <v>18092</v>
      </c>
      <c r="C12044" s="1">
        <v>3.4152814247882199E-4</v>
      </c>
      <c r="D12044" s="1">
        <v>0</v>
      </c>
      <c r="E12044" s="1">
        <v>0</v>
      </c>
      <c r="F12044" s="1">
        <v>3.07892651460471E-4</v>
      </c>
    </row>
    <row r="12045" spans="1:6" x14ac:dyDescent="0.25">
      <c r="A12045" s="2" t="str">
        <f t="shared" si="436"/>
        <v>39740</v>
      </c>
      <c r="B12045" s="2" t="str">
        <f>"17067"</f>
        <v>17067</v>
      </c>
      <c r="C12045" s="1">
        <v>4.7198069526171596E-3</v>
      </c>
      <c r="D12045" s="1">
        <v>4.024456311431E-3</v>
      </c>
      <c r="E12045" s="1">
        <v>1.2137763617053501E-3</v>
      </c>
      <c r="F12045" s="1">
        <v>4.5578207257181199E-3</v>
      </c>
    </row>
    <row r="12046" spans="1:6" x14ac:dyDescent="0.25">
      <c r="A12046" s="2" t="str">
        <f t="shared" si="436"/>
        <v>39740</v>
      </c>
      <c r="B12046" s="2" t="str">
        <f>"19601"</f>
        <v>19601</v>
      </c>
      <c r="C12046" s="1">
        <v>7.5180981921403697E-2</v>
      </c>
      <c r="D12046" s="1">
        <v>0.11129169568918799</v>
      </c>
      <c r="E12046" s="1">
        <v>0.24776209983310499</v>
      </c>
      <c r="F12046" s="1">
        <v>8.3277391089283795E-2</v>
      </c>
    </row>
    <row r="12047" spans="1:6" x14ac:dyDescent="0.25">
      <c r="A12047" s="2" t="str">
        <f t="shared" si="436"/>
        <v>39740</v>
      </c>
      <c r="B12047" s="2" t="str">
        <f>"19519"</f>
        <v>19519</v>
      </c>
      <c r="C12047" s="1">
        <v>0</v>
      </c>
      <c r="D12047" s="1">
        <v>0</v>
      </c>
      <c r="E12047" s="1">
        <v>1.5172204521316901E-4</v>
      </c>
      <c r="F12047" s="1">
        <v>5.0474205157454196E-6</v>
      </c>
    </row>
    <row r="12048" spans="1:6" x14ac:dyDescent="0.25">
      <c r="A12048" s="2" t="str">
        <f t="shared" si="436"/>
        <v>39740</v>
      </c>
      <c r="B12048" s="2" t="str">
        <f>"19560"</f>
        <v>19560</v>
      </c>
      <c r="C12048" s="1">
        <v>2.10515707495143E-2</v>
      </c>
      <c r="D12048" s="1">
        <v>1.95805278229239E-2</v>
      </c>
      <c r="E12048" s="1">
        <v>2.01790320133515E-2</v>
      </c>
      <c r="F12048" s="1">
        <v>2.0926605458280501E-2</v>
      </c>
    </row>
    <row r="12049" spans="1:6" x14ac:dyDescent="0.25">
      <c r="A12049" s="2" t="str">
        <f t="shared" si="436"/>
        <v>39740</v>
      </c>
      <c r="B12049" s="2" t="str">
        <f>"19551"</f>
        <v>19551</v>
      </c>
      <c r="C12049" s="1">
        <v>1.07665347210946E-2</v>
      </c>
      <c r="D12049" s="1">
        <v>7.6619456698397903E-3</v>
      </c>
      <c r="E12049" s="1">
        <v>4.2482172659687404E-3</v>
      </c>
      <c r="F12049" s="1">
        <v>1.03472120572781E-2</v>
      </c>
    </row>
    <row r="12050" spans="1:6" x14ac:dyDescent="0.25">
      <c r="A12050" s="2" t="str">
        <f t="shared" si="436"/>
        <v>39740</v>
      </c>
      <c r="B12050" s="2" t="str">
        <f>"19526"</f>
        <v>19526</v>
      </c>
      <c r="C12050" s="1">
        <v>2.84924051979463E-2</v>
      </c>
      <c r="D12050" s="1">
        <v>2.8016407398808101E-2</v>
      </c>
      <c r="E12050" s="1">
        <v>3.2468517675618203E-2</v>
      </c>
      <c r="F12050" s="1">
        <v>2.8593637221697801E-2</v>
      </c>
    </row>
    <row r="12051" spans="1:6" x14ac:dyDescent="0.25">
      <c r="A12051" s="2" t="str">
        <f t="shared" si="436"/>
        <v>39740</v>
      </c>
      <c r="B12051" s="2" t="str">
        <f>"19522"</f>
        <v>19522</v>
      </c>
      <c r="C12051" s="1">
        <v>3.2971462804225901E-2</v>
      </c>
      <c r="D12051" s="1">
        <v>2.4069344477981501E-2</v>
      </c>
      <c r="E12051" s="1">
        <v>2.0482476103777798E-2</v>
      </c>
      <c r="F12051" s="1">
        <v>3.1975408967247203E-2</v>
      </c>
    </row>
    <row r="12052" spans="1:6" x14ac:dyDescent="0.25">
      <c r="A12052" s="2" t="str">
        <f t="shared" si="436"/>
        <v>39740</v>
      </c>
      <c r="B12052" s="2" t="str">
        <f>"19504"</f>
        <v>19504</v>
      </c>
      <c r="C12052" s="1">
        <v>8.1462860214210897E-3</v>
      </c>
      <c r="D12052" s="1">
        <v>1.85744137450661E-3</v>
      </c>
      <c r="E12052" s="1">
        <v>7.5861022606584698E-4</v>
      </c>
      <c r="F12052" s="1">
        <v>7.4903720453662103E-3</v>
      </c>
    </row>
    <row r="12053" spans="1:6" x14ac:dyDescent="0.25">
      <c r="A12053" s="2" t="str">
        <f t="shared" si="436"/>
        <v>39740</v>
      </c>
      <c r="B12053" s="2" t="str">
        <f>"19518"</f>
        <v>19518</v>
      </c>
      <c r="C12053" s="1">
        <v>3.5832460850237099E-2</v>
      </c>
      <c r="D12053" s="1">
        <v>2.0741428681990502E-2</v>
      </c>
      <c r="E12053" s="1">
        <v>1.04688211197086E-2</v>
      </c>
      <c r="F12053" s="1">
        <v>3.4004472014576903E-2</v>
      </c>
    </row>
    <row r="12054" spans="1:6" x14ac:dyDescent="0.25">
      <c r="A12054" s="2" t="str">
        <f t="shared" si="436"/>
        <v>39740</v>
      </c>
      <c r="B12054" s="2" t="str">
        <f>"18031"</f>
        <v>18031</v>
      </c>
      <c r="C12054" s="1">
        <v>1.1757526216484001E-4</v>
      </c>
      <c r="D12054" s="1">
        <v>7.7393390604442301E-5</v>
      </c>
      <c r="E12054" s="1">
        <v>0</v>
      </c>
      <c r="F12054" s="1">
        <v>1.11043251346399E-4</v>
      </c>
    </row>
    <row r="12055" spans="1:6" x14ac:dyDescent="0.25">
      <c r="A12055" s="2" t="str">
        <f t="shared" si="436"/>
        <v>39740</v>
      </c>
      <c r="B12055" s="2" t="str">
        <f>"18070"</f>
        <v>18070</v>
      </c>
      <c r="C12055" s="1">
        <v>5.6548102279280405E-4</v>
      </c>
      <c r="D12055" s="1">
        <v>1.3930810308799601E-3</v>
      </c>
      <c r="E12055" s="1">
        <v>9.1033227127901599E-4</v>
      </c>
      <c r="F12055" s="1">
        <v>6.3092756446817802E-4</v>
      </c>
    </row>
    <row r="12056" spans="1:6" x14ac:dyDescent="0.25">
      <c r="A12056" s="2" t="str">
        <f t="shared" si="436"/>
        <v>39740</v>
      </c>
      <c r="B12056" s="2" t="str">
        <f>"19604"</f>
        <v>19604</v>
      </c>
      <c r="C12056" s="1">
        <v>5.21810211131577E-2</v>
      </c>
      <c r="D12056" s="1">
        <v>3.8619301911616701E-2</v>
      </c>
      <c r="E12056" s="1">
        <v>9.5281444393870401E-2</v>
      </c>
      <c r="F12056" s="1">
        <v>5.2730402127992397E-2</v>
      </c>
    </row>
    <row r="12057" spans="1:6" x14ac:dyDescent="0.25">
      <c r="A12057" s="2" t="str">
        <f t="shared" si="436"/>
        <v>39740</v>
      </c>
      <c r="B12057" s="2" t="str">
        <f>"19538"</f>
        <v>19538</v>
      </c>
      <c r="C12057" s="1">
        <v>5.5988220078495397E-6</v>
      </c>
      <c r="D12057" s="1">
        <v>0</v>
      </c>
      <c r="E12057" s="1">
        <v>1.5172204521316901E-4</v>
      </c>
      <c r="F12057" s="1">
        <v>1.00948410314908E-5</v>
      </c>
    </row>
    <row r="12058" spans="1:6" x14ac:dyDescent="0.25">
      <c r="A12058" s="2" t="str">
        <f t="shared" si="436"/>
        <v>39740</v>
      </c>
      <c r="B12058" s="2" t="str">
        <f>"19535"</f>
        <v>19535</v>
      </c>
      <c r="C12058" s="1">
        <v>0</v>
      </c>
      <c r="D12058" s="1">
        <v>0</v>
      </c>
      <c r="E12058" s="1">
        <v>1.5172204521316901E-4</v>
      </c>
      <c r="F12058" s="1">
        <v>5.0474205157454196E-6</v>
      </c>
    </row>
    <row r="12059" spans="1:6" x14ac:dyDescent="0.25">
      <c r="A12059" s="2" t="str">
        <f t="shared" si="436"/>
        <v>39740</v>
      </c>
      <c r="B12059" s="2" t="str">
        <f>"19507"</f>
        <v>19507</v>
      </c>
      <c r="C12059" s="1">
        <v>7.4968226685105397E-3</v>
      </c>
      <c r="D12059" s="1">
        <v>5.8818976859376197E-3</v>
      </c>
      <c r="E12059" s="1">
        <v>2.2758306781975402E-3</v>
      </c>
      <c r="F12059" s="1">
        <v>7.2178113375159598E-3</v>
      </c>
    </row>
    <row r="12060" spans="1:6" x14ac:dyDescent="0.25">
      <c r="A12060" s="2" t="str">
        <f t="shared" si="436"/>
        <v>39740</v>
      </c>
      <c r="B12060" s="2" t="str">
        <f>"19612"</f>
        <v>19612</v>
      </c>
      <c r="C12060" s="1">
        <v>8.0007166492169993E-3</v>
      </c>
      <c r="D12060" s="1">
        <v>2.46110982122126E-2</v>
      </c>
      <c r="E12060" s="1">
        <v>3.0344409042633801E-4</v>
      </c>
      <c r="F12060" s="1">
        <v>8.8279384820387496E-3</v>
      </c>
    </row>
    <row r="12061" spans="1:6" x14ac:dyDescent="0.25">
      <c r="A12061" s="2" t="str">
        <f t="shared" si="436"/>
        <v>39740</v>
      </c>
      <c r="B12061" s="2" t="str">
        <f>"19611"</f>
        <v>19611</v>
      </c>
      <c r="C12061" s="1">
        <v>2.5015536731071701E-2</v>
      </c>
      <c r="D12061" s="1">
        <v>4.163764414519E-2</v>
      </c>
      <c r="E12061" s="1">
        <v>2.9737520861781198E-2</v>
      </c>
      <c r="F12061" s="1">
        <v>2.62566815229077E-2</v>
      </c>
    </row>
    <row r="12062" spans="1:6" x14ac:dyDescent="0.25">
      <c r="A12062" s="2" t="str">
        <f t="shared" si="436"/>
        <v>39740</v>
      </c>
      <c r="B12062" s="2" t="str">
        <f>"17555"</f>
        <v>17555</v>
      </c>
      <c r="C12062" s="1">
        <v>3.3592932047097203E-5</v>
      </c>
      <c r="D12062" s="1">
        <v>0</v>
      </c>
      <c r="E12062" s="1">
        <v>0</v>
      </c>
      <c r="F12062" s="1">
        <v>3.0284523094472499E-5</v>
      </c>
    </row>
    <row r="12063" spans="1:6" x14ac:dyDescent="0.25">
      <c r="A12063" s="2" t="str">
        <f t="shared" si="436"/>
        <v>39740</v>
      </c>
      <c r="B12063" s="2" t="str">
        <f>"17026"</f>
        <v>17026</v>
      </c>
      <c r="C12063" s="1">
        <v>5.7667866680850301E-4</v>
      </c>
      <c r="D12063" s="1">
        <v>1.54786781208884E-4</v>
      </c>
      <c r="E12063" s="1">
        <v>0</v>
      </c>
      <c r="F12063" s="1">
        <v>5.2997915415326901E-4</v>
      </c>
    </row>
    <row r="12064" spans="1:6" x14ac:dyDescent="0.25">
      <c r="A12064" s="2" t="str">
        <f t="shared" si="436"/>
        <v>39740</v>
      </c>
      <c r="B12064" s="2" t="str">
        <f>"19602"</f>
        <v>19602</v>
      </c>
      <c r="C12064" s="1">
        <v>4.4073926845791603E-2</v>
      </c>
      <c r="D12064" s="1">
        <v>4.1792430926398803E-2</v>
      </c>
      <c r="E12064" s="1">
        <v>0.15581854043392501</v>
      </c>
      <c r="F12064" s="1">
        <v>4.7642602248121002E-2</v>
      </c>
    </row>
    <row r="12065" spans="1:6" x14ac:dyDescent="0.25">
      <c r="A12065" s="2" t="str">
        <f t="shared" si="436"/>
        <v>39740</v>
      </c>
      <c r="B12065" s="2" t="str">
        <f>"19536"</f>
        <v>19536</v>
      </c>
      <c r="C12065" s="1">
        <v>6.7185864094194503E-4</v>
      </c>
      <c r="D12065" s="1">
        <v>3.0957356241776899E-4</v>
      </c>
      <c r="E12065" s="1">
        <v>3.0344409042633801E-4</v>
      </c>
      <c r="F12065" s="1">
        <v>6.3597498498392296E-4</v>
      </c>
    </row>
    <row r="12066" spans="1:6" x14ac:dyDescent="0.25">
      <c r="A12066" s="2" t="str">
        <f t="shared" si="436"/>
        <v>39740</v>
      </c>
      <c r="B12066" s="2" t="str">
        <f>"19529"</f>
        <v>19529</v>
      </c>
      <c r="C12066" s="1">
        <v>3.8911812954554302E-3</v>
      </c>
      <c r="D12066" s="1">
        <v>2.5539818899465898E-3</v>
      </c>
      <c r="E12066" s="1">
        <v>4.5516613563950799E-4</v>
      </c>
      <c r="F12066" s="1">
        <v>3.6896643970098998E-3</v>
      </c>
    </row>
    <row r="12067" spans="1:6" x14ac:dyDescent="0.25">
      <c r="A12067" s="2" t="str">
        <f t="shared" si="436"/>
        <v>39740</v>
      </c>
      <c r="B12067" s="2" t="str">
        <f>"19508"</f>
        <v>19508</v>
      </c>
      <c r="C12067" s="1">
        <v>3.58212632062214E-2</v>
      </c>
      <c r="D12067" s="1">
        <v>2.2134509712870499E-2</v>
      </c>
      <c r="E12067" s="1">
        <v>1.6841147018661799E-2</v>
      </c>
      <c r="F12067" s="1">
        <v>3.4297222404490103E-2</v>
      </c>
    </row>
    <row r="12068" spans="1:6" x14ac:dyDescent="0.25">
      <c r="A12068" s="2" t="str">
        <f t="shared" si="436"/>
        <v>39740</v>
      </c>
      <c r="B12068" s="2" t="str">
        <f>"18041"</f>
        <v>18041</v>
      </c>
      <c r="C12068" s="1">
        <v>2.01557592282583E-4</v>
      </c>
      <c r="D12068" s="1">
        <v>0</v>
      </c>
      <c r="E12068" s="1">
        <v>0</v>
      </c>
      <c r="F12068" s="1">
        <v>1.8170713856683501E-4</v>
      </c>
    </row>
    <row r="12069" spans="1:6" x14ac:dyDescent="0.25">
      <c r="A12069" s="2" t="str">
        <f t="shared" si="436"/>
        <v>39740</v>
      </c>
      <c r="B12069" s="2" t="str">
        <f>"17569"</f>
        <v>17569</v>
      </c>
      <c r="C12069" s="1">
        <v>2.66503927573638E-3</v>
      </c>
      <c r="D12069" s="1">
        <v>6.96540515439981E-4</v>
      </c>
      <c r="E12069" s="1">
        <v>3.0344409042633801E-4</v>
      </c>
      <c r="F12069" s="1">
        <v>2.4580937911680202E-3</v>
      </c>
    </row>
    <row r="12070" spans="1:6" x14ac:dyDescent="0.25">
      <c r="A12070" s="2" t="str">
        <f t="shared" si="436"/>
        <v>39740</v>
      </c>
      <c r="B12070" s="2" t="str">
        <f>"17087"</f>
        <v>17087</v>
      </c>
      <c r="C12070" s="1">
        <v>1.4388972560173299E-3</v>
      </c>
      <c r="D12070" s="1">
        <v>6.1914712483553895E-4</v>
      </c>
      <c r="E12070" s="1">
        <v>3.0344409042633801E-4</v>
      </c>
      <c r="F12070" s="1">
        <v>1.3476612777040199E-3</v>
      </c>
    </row>
    <row r="12071" spans="1:6" x14ac:dyDescent="0.25">
      <c r="A12071" s="2" t="str">
        <f t="shared" ref="A12071:A12101" si="437">"38700"</f>
        <v>38700</v>
      </c>
      <c r="B12071" s="2" t="str">
        <f>"61311"</f>
        <v>61311</v>
      </c>
      <c r="C12071" s="1">
        <v>1.01602415234556E-2</v>
      </c>
      <c r="D12071" s="1">
        <v>1.4947683109118E-3</v>
      </c>
      <c r="E12071" s="1">
        <v>4.1208791208791201E-3</v>
      </c>
      <c r="F12071" s="1">
        <v>9.3312597200622006E-3</v>
      </c>
    </row>
    <row r="12072" spans="1:6" x14ac:dyDescent="0.25">
      <c r="A12072" s="2" t="str">
        <f t="shared" si="437"/>
        <v>38700</v>
      </c>
      <c r="B12072" s="2" t="str">
        <f>"60952"</f>
        <v>60952</v>
      </c>
      <c r="C12072" s="1">
        <v>5.8058522991175099E-5</v>
      </c>
      <c r="D12072" s="1">
        <v>0</v>
      </c>
      <c r="E12072" s="1">
        <v>0</v>
      </c>
      <c r="F12072" s="1">
        <v>5.1840331778123297E-5</v>
      </c>
    </row>
    <row r="12073" spans="1:6" x14ac:dyDescent="0.25">
      <c r="A12073" s="2" t="str">
        <f t="shared" si="437"/>
        <v>38700</v>
      </c>
      <c r="B12073" s="2" t="str">
        <f>"60920"</f>
        <v>60920</v>
      </c>
      <c r="C12073" s="1">
        <v>4.2963307013469502E-3</v>
      </c>
      <c r="D12073" s="1">
        <v>7.4738415545590403E-4</v>
      </c>
      <c r="E12073" s="1">
        <v>0</v>
      </c>
      <c r="F12073" s="1">
        <v>3.8880248833592498E-3</v>
      </c>
    </row>
    <row r="12074" spans="1:6" x14ac:dyDescent="0.25">
      <c r="A12074" s="2" t="str">
        <f t="shared" si="437"/>
        <v>38700</v>
      </c>
      <c r="B12074" s="2" t="str">
        <f>"61728"</f>
        <v>61728</v>
      </c>
      <c r="C12074" s="1">
        <v>5.8058522991175099E-5</v>
      </c>
      <c r="D12074" s="1">
        <v>0</v>
      </c>
      <c r="E12074" s="1">
        <v>0</v>
      </c>
      <c r="F12074" s="1">
        <v>5.1840331778123297E-5</v>
      </c>
    </row>
    <row r="12075" spans="1:6" x14ac:dyDescent="0.25">
      <c r="A12075" s="2" t="str">
        <f t="shared" si="437"/>
        <v>38700</v>
      </c>
      <c r="B12075" s="2" t="str">
        <f>"61739"</f>
        <v>61739</v>
      </c>
      <c r="C12075" s="1">
        <v>0.15089410125406399</v>
      </c>
      <c r="D12075" s="1">
        <v>0.208520179372197</v>
      </c>
      <c r="E12075" s="1">
        <v>0.164835164835164</v>
      </c>
      <c r="F12075" s="1">
        <v>0.15541731467081299</v>
      </c>
    </row>
    <row r="12076" spans="1:6" x14ac:dyDescent="0.25">
      <c r="A12076" s="2" t="str">
        <f t="shared" si="437"/>
        <v>38700</v>
      </c>
      <c r="B12076" s="2" t="str">
        <f>"61726"</f>
        <v>61726</v>
      </c>
      <c r="C12076" s="1">
        <v>6.7928471899674804E-3</v>
      </c>
      <c r="D12076" s="1">
        <v>3.7369207772795202E-3</v>
      </c>
      <c r="E12076" s="1">
        <v>2.7472527472527401E-3</v>
      </c>
      <c r="F12076" s="1">
        <v>6.4282011404872899E-3</v>
      </c>
    </row>
    <row r="12077" spans="1:6" x14ac:dyDescent="0.25">
      <c r="A12077" s="2" t="str">
        <f t="shared" si="437"/>
        <v>38700</v>
      </c>
      <c r="B12077" s="2" t="str">
        <f>"61364"</f>
        <v>61364</v>
      </c>
      <c r="C12077" s="1">
        <v>6.43869019972131E-2</v>
      </c>
      <c r="D12077" s="1">
        <v>3.43796711509715E-2</v>
      </c>
      <c r="E12077" s="1">
        <v>4.1208791208791201E-2</v>
      </c>
      <c r="F12077" s="1">
        <v>6.1430793157076197E-2</v>
      </c>
    </row>
    <row r="12078" spans="1:6" x14ac:dyDescent="0.25">
      <c r="A12078" s="2" t="str">
        <f t="shared" si="437"/>
        <v>38700</v>
      </c>
      <c r="B12078" s="2" t="str">
        <f>"61319"</f>
        <v>61319</v>
      </c>
      <c r="C12078" s="1">
        <v>3.4718996748722697E-2</v>
      </c>
      <c r="D12078" s="1">
        <v>6.7264573991031298E-3</v>
      </c>
      <c r="E12078" s="1">
        <v>5.0824175824175803E-2</v>
      </c>
      <c r="F12078" s="1">
        <v>3.3385173665111401E-2</v>
      </c>
    </row>
    <row r="12079" spans="1:6" x14ac:dyDescent="0.25">
      <c r="A12079" s="2" t="str">
        <f t="shared" si="437"/>
        <v>38700</v>
      </c>
      <c r="B12079" s="2" t="str">
        <f>"61775"</f>
        <v>61775</v>
      </c>
      <c r="C12079" s="1">
        <v>7.4895494658615801E-3</v>
      </c>
      <c r="D12079" s="1">
        <v>5.2316890881913304E-3</v>
      </c>
      <c r="E12079" s="1">
        <v>0</v>
      </c>
      <c r="F12079" s="1">
        <v>7.0502851218247698E-3</v>
      </c>
    </row>
    <row r="12080" spans="1:6" x14ac:dyDescent="0.25">
      <c r="A12080" s="2" t="str">
        <f t="shared" si="437"/>
        <v>38700</v>
      </c>
      <c r="B12080" s="2" t="str">
        <f>"61744"</f>
        <v>61744</v>
      </c>
      <c r="C12080" s="1">
        <v>4.7607988852763497E-3</v>
      </c>
      <c r="D12080" s="1">
        <v>1.4947683109118E-3</v>
      </c>
      <c r="E12080" s="1">
        <v>0</v>
      </c>
      <c r="F12080" s="1">
        <v>4.3545878693623599E-3</v>
      </c>
    </row>
    <row r="12081" spans="1:6" x14ac:dyDescent="0.25">
      <c r="A12081" s="2" t="str">
        <f t="shared" si="437"/>
        <v>38700</v>
      </c>
      <c r="B12081" s="2" t="str">
        <f>"61333"</f>
        <v>61333</v>
      </c>
      <c r="C12081" s="1">
        <v>1.01021830004644E-2</v>
      </c>
      <c r="D12081" s="1">
        <v>0</v>
      </c>
      <c r="E12081" s="1">
        <v>6.8681318681318602E-3</v>
      </c>
      <c r="F12081" s="1">
        <v>9.2794193882840808E-3</v>
      </c>
    </row>
    <row r="12082" spans="1:6" x14ac:dyDescent="0.25">
      <c r="A12082" s="2" t="str">
        <f t="shared" si="437"/>
        <v>38700</v>
      </c>
      <c r="B12082" s="2" t="str">
        <f>"60470"</f>
        <v>60470</v>
      </c>
      <c r="C12082" s="1">
        <v>1.74175568973525E-4</v>
      </c>
      <c r="D12082" s="1">
        <v>0</v>
      </c>
      <c r="E12082" s="1">
        <v>0</v>
      </c>
      <c r="F12082" s="1">
        <v>1.5552099533436999E-4</v>
      </c>
    </row>
    <row r="12083" spans="1:6" x14ac:dyDescent="0.25">
      <c r="A12083" s="2" t="str">
        <f t="shared" si="437"/>
        <v>38700</v>
      </c>
      <c r="B12083" s="2" t="str">
        <f>"61760"</f>
        <v>61760</v>
      </c>
      <c r="C12083" s="1">
        <v>5.8058522991175096E-3</v>
      </c>
      <c r="D12083" s="1">
        <v>8.2212257100149396E-3</v>
      </c>
      <c r="E12083" s="1">
        <v>2.7472527472527401E-3</v>
      </c>
      <c r="F12083" s="1">
        <v>5.8579574909279402E-3</v>
      </c>
    </row>
    <row r="12084" spans="1:6" x14ac:dyDescent="0.25">
      <c r="A12084" s="2" t="str">
        <f t="shared" si="437"/>
        <v>38700</v>
      </c>
      <c r="B12084" s="2" t="str">
        <f>"60917"</f>
        <v>60917</v>
      </c>
      <c r="C12084" s="1">
        <v>8.1281932187645095E-4</v>
      </c>
      <c r="D12084" s="1">
        <v>0</v>
      </c>
      <c r="E12084" s="1">
        <v>0</v>
      </c>
      <c r="F12084" s="1">
        <v>7.2576464489372701E-4</v>
      </c>
    </row>
    <row r="12085" spans="1:6" x14ac:dyDescent="0.25">
      <c r="A12085" s="2" t="str">
        <f t="shared" si="437"/>
        <v>38700</v>
      </c>
      <c r="B12085" s="2" t="str">
        <f>"60921"</f>
        <v>60921</v>
      </c>
      <c r="C12085" s="1">
        <v>3.9479795633998997E-2</v>
      </c>
      <c r="D12085" s="1">
        <v>2.61584454409566E-2</v>
      </c>
      <c r="E12085" s="1">
        <v>4.2582417582417501E-2</v>
      </c>
      <c r="F12085" s="1">
        <v>3.867288750648E-2</v>
      </c>
    </row>
    <row r="12086" spans="1:6" x14ac:dyDescent="0.25">
      <c r="A12086" s="2" t="str">
        <f t="shared" si="437"/>
        <v>38700</v>
      </c>
      <c r="B12086" s="2" t="str">
        <f>"60420"</f>
        <v>60420</v>
      </c>
      <c r="C12086" s="1">
        <v>0.12883186251741699</v>
      </c>
      <c r="D12086" s="1">
        <v>0.14349775784753299</v>
      </c>
      <c r="E12086" s="1">
        <v>0.149725274725274</v>
      </c>
      <c r="F12086" s="1">
        <v>0.13063763608087001</v>
      </c>
    </row>
    <row r="12087" spans="1:6" x14ac:dyDescent="0.25">
      <c r="A12087" s="2" t="str">
        <f t="shared" si="437"/>
        <v>38700</v>
      </c>
      <c r="B12087" s="2" t="str">
        <f>"61769"</f>
        <v>61769</v>
      </c>
      <c r="C12087" s="1">
        <v>1.6082210868555501E-2</v>
      </c>
      <c r="D12087" s="1">
        <v>4.4843049327354199E-3</v>
      </c>
      <c r="E12087" s="1">
        <v>4.1208791208791201E-3</v>
      </c>
      <c r="F12087" s="1">
        <v>1.4826334888543201E-2</v>
      </c>
    </row>
    <row r="12088" spans="1:6" x14ac:dyDescent="0.25">
      <c r="A12088" s="2" t="str">
        <f t="shared" si="437"/>
        <v>38700</v>
      </c>
      <c r="B12088" s="2" t="str">
        <f>"61741"</f>
        <v>61741</v>
      </c>
      <c r="C12088" s="1">
        <v>4.0640966093822499E-2</v>
      </c>
      <c r="D12088" s="1">
        <v>3.9611360239162903E-2</v>
      </c>
      <c r="E12088" s="1">
        <v>2.7472527472527399E-2</v>
      </c>
      <c r="F12088" s="1">
        <v>4.00725764644893E-2</v>
      </c>
    </row>
    <row r="12089" spans="1:6" x14ac:dyDescent="0.25">
      <c r="A12089" s="2" t="str">
        <f t="shared" si="437"/>
        <v>38700</v>
      </c>
      <c r="B12089" s="2" t="str">
        <f>"60961"</f>
        <v>60961</v>
      </c>
      <c r="C12089" s="1">
        <v>2.7287505805852199E-3</v>
      </c>
      <c r="D12089" s="1">
        <v>1.4947683109118E-3</v>
      </c>
      <c r="E12089" s="1">
        <v>0</v>
      </c>
      <c r="F12089" s="1">
        <v>2.5401762571280401E-3</v>
      </c>
    </row>
    <row r="12090" spans="1:6" x14ac:dyDescent="0.25">
      <c r="A12090" s="2" t="str">
        <f t="shared" si="437"/>
        <v>38700</v>
      </c>
      <c r="B12090" s="2" t="str">
        <f>"60946"</f>
        <v>60946</v>
      </c>
      <c r="C12090" s="1">
        <v>1.10311193683232E-3</v>
      </c>
      <c r="D12090" s="1">
        <v>0</v>
      </c>
      <c r="E12090" s="1">
        <v>0</v>
      </c>
      <c r="F12090" s="1">
        <v>9.8496630378434391E-4</v>
      </c>
    </row>
    <row r="12091" spans="1:6" x14ac:dyDescent="0.25">
      <c r="A12091" s="2" t="str">
        <f t="shared" si="437"/>
        <v>38700</v>
      </c>
      <c r="B12091" s="2" t="str">
        <f>"60919"</f>
        <v>60919</v>
      </c>
      <c r="C12091" s="1">
        <v>1.8578727357175999E-3</v>
      </c>
      <c r="D12091" s="1">
        <v>0</v>
      </c>
      <c r="E12091" s="1">
        <v>0</v>
      </c>
      <c r="F12091" s="1">
        <v>1.6588906168999401E-3</v>
      </c>
    </row>
    <row r="12092" spans="1:6" x14ac:dyDescent="0.25">
      <c r="A12092" s="2" t="str">
        <f t="shared" si="437"/>
        <v>38700</v>
      </c>
      <c r="B12092" s="2" t="str">
        <f>"60460"</f>
        <v>60460</v>
      </c>
      <c r="C12092" s="1">
        <v>3.9131444496051999E-2</v>
      </c>
      <c r="D12092" s="1">
        <v>1.9431988041853501E-2</v>
      </c>
      <c r="E12092" s="1">
        <v>9.6153846153846107E-3</v>
      </c>
      <c r="F12092" s="1">
        <v>3.66511145671332E-2</v>
      </c>
    </row>
    <row r="12093" spans="1:6" x14ac:dyDescent="0.25">
      <c r="A12093" s="2" t="str">
        <f t="shared" si="437"/>
        <v>38700</v>
      </c>
      <c r="B12093" s="2" t="str">
        <f>"61313"</f>
        <v>61313</v>
      </c>
      <c r="C12093" s="1">
        <v>7.1992568509057098E-3</v>
      </c>
      <c r="D12093" s="1">
        <v>1.19581464872944E-2</v>
      </c>
      <c r="E12093" s="1">
        <v>1.37362637362637E-3</v>
      </c>
      <c r="F12093" s="1">
        <v>7.3094867807153904E-3</v>
      </c>
    </row>
    <row r="12094" spans="1:6" x14ac:dyDescent="0.25">
      <c r="A12094" s="2" t="str">
        <f t="shared" si="437"/>
        <v>38700</v>
      </c>
      <c r="B12094" s="2" t="str">
        <f>"60929"</f>
        <v>60929</v>
      </c>
      <c r="C12094" s="1">
        <v>2.2352531351602398E-2</v>
      </c>
      <c r="D12094" s="1">
        <v>6.7264573991031298E-3</v>
      </c>
      <c r="E12094" s="1">
        <v>1.37362637362637E-2</v>
      </c>
      <c r="F12094" s="1">
        <v>2.09434940383618E-2</v>
      </c>
    </row>
    <row r="12095" spans="1:6" x14ac:dyDescent="0.25">
      <c r="A12095" s="2" t="str">
        <f t="shared" si="437"/>
        <v>38700</v>
      </c>
      <c r="B12095" s="2" t="str">
        <f>"61743"</f>
        <v>61743</v>
      </c>
      <c r="C12095" s="1">
        <v>6.5606130980027802E-3</v>
      </c>
      <c r="D12095" s="1">
        <v>2.9895366218236101E-3</v>
      </c>
      <c r="E12095" s="1">
        <v>1.37362637362637E-3</v>
      </c>
      <c r="F12095" s="1">
        <v>6.1171591498185504E-3</v>
      </c>
    </row>
    <row r="12096" spans="1:6" x14ac:dyDescent="0.25">
      <c r="A12096" s="2" t="str">
        <f t="shared" si="437"/>
        <v>38700</v>
      </c>
      <c r="B12096" s="2" t="str">
        <f>"60959"</f>
        <v>60959</v>
      </c>
      <c r="C12096" s="1">
        <v>5.8058522991175099E-4</v>
      </c>
      <c r="D12096" s="1">
        <v>0</v>
      </c>
      <c r="E12096" s="1">
        <v>0</v>
      </c>
      <c r="F12096" s="1">
        <v>5.1840331778123304E-4</v>
      </c>
    </row>
    <row r="12097" spans="1:6" x14ac:dyDescent="0.25">
      <c r="A12097" s="2" t="str">
        <f t="shared" si="437"/>
        <v>38700</v>
      </c>
      <c r="B12097" s="2" t="str">
        <f>"60934"</f>
        <v>60934</v>
      </c>
      <c r="C12097" s="1">
        <v>7.6056665118439297E-3</v>
      </c>
      <c r="D12097" s="1">
        <v>2.2421524663677099E-3</v>
      </c>
      <c r="E12097" s="1">
        <v>4.1208791208791201E-3</v>
      </c>
      <c r="F12097" s="1">
        <v>7.1021254536029E-3</v>
      </c>
    </row>
    <row r="12098" spans="1:6" x14ac:dyDescent="0.25">
      <c r="A12098" s="2" t="str">
        <f t="shared" si="437"/>
        <v>38700</v>
      </c>
      <c r="B12098" s="2" t="str">
        <f>"61764"</f>
        <v>61764</v>
      </c>
      <c r="C12098" s="1">
        <v>0.338132837900603</v>
      </c>
      <c r="D12098" s="1">
        <v>0.42825112107623298</v>
      </c>
      <c r="E12098" s="1">
        <v>0.44368131868131799</v>
      </c>
      <c r="F12098" s="1">
        <v>0.34836702954898902</v>
      </c>
    </row>
    <row r="12099" spans="1:6" x14ac:dyDescent="0.25">
      <c r="A12099" s="2" t="str">
        <f t="shared" si="437"/>
        <v>38700</v>
      </c>
      <c r="B12099" s="2" t="str">
        <f>"61731"</f>
        <v>61731</v>
      </c>
      <c r="C12099" s="1">
        <v>2.84486762656758E-3</v>
      </c>
      <c r="D12099" s="1">
        <v>1.4947683109118E-3</v>
      </c>
      <c r="E12099" s="1">
        <v>0</v>
      </c>
      <c r="F12099" s="1">
        <v>2.6438569206842901E-3</v>
      </c>
    </row>
    <row r="12100" spans="1:6" x14ac:dyDescent="0.25">
      <c r="A12100" s="2" t="str">
        <f t="shared" si="437"/>
        <v>38700</v>
      </c>
      <c r="B12100" s="2" t="str">
        <f>"61740"</f>
        <v>61740</v>
      </c>
      <c r="C12100" s="1">
        <v>4.42986530422666E-2</v>
      </c>
      <c r="D12100" s="1">
        <v>4.11061285500747E-2</v>
      </c>
      <c r="E12100" s="1">
        <v>2.8846153846153799E-2</v>
      </c>
      <c r="F12100" s="1">
        <v>4.3494038361845497E-2</v>
      </c>
    </row>
    <row r="12101" spans="1:6" x14ac:dyDescent="0.25">
      <c r="A12101" s="2" t="str">
        <f t="shared" si="437"/>
        <v>38700</v>
      </c>
      <c r="B12101" s="2" t="str">
        <f>"60962"</f>
        <v>60962</v>
      </c>
      <c r="C12101" s="1">
        <v>5.8058522991175099E-5</v>
      </c>
      <c r="D12101" s="1">
        <v>0</v>
      </c>
      <c r="E12101" s="1">
        <v>0</v>
      </c>
      <c r="F12101" s="1">
        <v>5.1840331778123297E-5</v>
      </c>
    </row>
    <row r="12102" spans="1:6" x14ac:dyDescent="0.25">
      <c r="A12102" s="2" t="str">
        <f t="shared" ref="A12102:A12125" si="438">"19940"</f>
        <v>19940</v>
      </c>
      <c r="B12102" s="2" t="str">
        <f>"61367"</f>
        <v>61367</v>
      </c>
      <c r="C12102" s="1">
        <v>2.0702789040422599E-2</v>
      </c>
      <c r="D12102" s="1">
        <v>2.4606971975393001E-2</v>
      </c>
      <c r="E12102" s="1">
        <v>1.7341040462427699E-2</v>
      </c>
      <c r="F12102" s="1">
        <v>2.0920043811610001E-2</v>
      </c>
    </row>
    <row r="12103" spans="1:6" x14ac:dyDescent="0.25">
      <c r="A12103" s="2" t="str">
        <f t="shared" si="438"/>
        <v>19940</v>
      </c>
      <c r="B12103" s="2" t="str">
        <f>"61310"</f>
        <v>61310</v>
      </c>
      <c r="C12103" s="1">
        <v>0.111868779948396</v>
      </c>
      <c r="D12103" s="1">
        <v>9.9111414900888498E-2</v>
      </c>
      <c r="E12103" s="1">
        <v>9.4412331406551003E-2</v>
      </c>
      <c r="F12103" s="1">
        <v>0.11035049288061299</v>
      </c>
    </row>
    <row r="12104" spans="1:6" x14ac:dyDescent="0.25">
      <c r="A12104" s="2" t="str">
        <f t="shared" si="438"/>
        <v>19940</v>
      </c>
      <c r="B12104" s="2" t="str">
        <f>"61243"</f>
        <v>61243</v>
      </c>
      <c r="C12104" s="1">
        <v>1.8429782528566101E-4</v>
      </c>
      <c r="D12104" s="1">
        <v>0</v>
      </c>
      <c r="E12104" s="1">
        <v>0</v>
      </c>
      <c r="F12104" s="1">
        <v>1.6429353778751299E-4</v>
      </c>
    </row>
    <row r="12105" spans="1:6" x14ac:dyDescent="0.25">
      <c r="A12105" s="2" t="str">
        <f t="shared" si="438"/>
        <v>19940</v>
      </c>
      <c r="B12105" s="2" t="str">
        <f>"61071"</f>
        <v>61071</v>
      </c>
      <c r="C12105" s="1">
        <v>3.13306302985624E-3</v>
      </c>
      <c r="D12105" s="1">
        <v>1.36705399863294E-3</v>
      </c>
      <c r="E12105" s="1">
        <v>0</v>
      </c>
      <c r="F12105" s="1">
        <v>2.9025191675794001E-3</v>
      </c>
    </row>
    <row r="12106" spans="1:6" x14ac:dyDescent="0.25">
      <c r="A12106" s="2" t="str">
        <f t="shared" si="438"/>
        <v>19940</v>
      </c>
      <c r="B12106" s="2" t="str">
        <f>"61064"</f>
        <v>61064</v>
      </c>
      <c r="C12106" s="1">
        <v>1.8429782528566101E-4</v>
      </c>
      <c r="D12106" s="1">
        <v>0</v>
      </c>
      <c r="E12106" s="1">
        <v>0</v>
      </c>
      <c r="F12106" s="1">
        <v>1.6429353778751299E-4</v>
      </c>
    </row>
    <row r="12107" spans="1:6" x14ac:dyDescent="0.25">
      <c r="A12107" s="2" t="str">
        <f t="shared" si="438"/>
        <v>19940</v>
      </c>
      <c r="B12107" s="2" t="str">
        <f>"61324"</f>
        <v>61324</v>
      </c>
      <c r="C12107" s="1">
        <v>2.70303477085637E-3</v>
      </c>
      <c r="D12107" s="1">
        <v>0</v>
      </c>
      <c r="E12107" s="1">
        <v>0</v>
      </c>
      <c r="F12107" s="1">
        <v>2.4096385542168599E-3</v>
      </c>
    </row>
    <row r="12108" spans="1:6" x14ac:dyDescent="0.25">
      <c r="A12108" s="2" t="str">
        <f t="shared" si="438"/>
        <v>19940</v>
      </c>
      <c r="B12108" s="2" t="str">
        <f>"61318"</f>
        <v>61318</v>
      </c>
      <c r="C12108" s="1">
        <v>2.0518491215136901E-2</v>
      </c>
      <c r="D12108" s="1">
        <v>8.8858509911141394E-3</v>
      </c>
      <c r="E12108" s="1">
        <v>7.7071290944123296E-3</v>
      </c>
      <c r="F12108" s="1">
        <v>1.9222343921139098E-2</v>
      </c>
    </row>
    <row r="12109" spans="1:6" x14ac:dyDescent="0.25">
      <c r="A12109" s="2" t="str">
        <f t="shared" si="438"/>
        <v>19940</v>
      </c>
      <c r="B12109" s="2" t="str">
        <f>"61057"</f>
        <v>61057</v>
      </c>
      <c r="C12109" s="1">
        <v>1.8429782528566101E-4</v>
      </c>
      <c r="D12109" s="1">
        <v>0</v>
      </c>
      <c r="E12109" s="1">
        <v>1.92678227360308E-3</v>
      </c>
      <c r="F12109" s="1">
        <v>2.19058050383351E-4</v>
      </c>
    </row>
    <row r="12110" spans="1:6" x14ac:dyDescent="0.25">
      <c r="A12110" s="2" t="str">
        <f t="shared" si="438"/>
        <v>19940</v>
      </c>
      <c r="B12110" s="2" t="str">
        <f>"61376"</f>
        <v>61376</v>
      </c>
      <c r="C12110" s="1">
        <v>2.08870868657083E-3</v>
      </c>
      <c r="D12110" s="1">
        <v>0</v>
      </c>
      <c r="E12110" s="1">
        <v>0</v>
      </c>
      <c r="F12110" s="1">
        <v>1.86199342825848E-3</v>
      </c>
    </row>
    <row r="12111" spans="1:6" x14ac:dyDescent="0.25">
      <c r="A12111" s="2" t="str">
        <f t="shared" si="438"/>
        <v>19940</v>
      </c>
      <c r="B12111" s="2" t="str">
        <f>"61349"</f>
        <v>61349</v>
      </c>
      <c r="C12111" s="1">
        <v>3.7473891141417801E-3</v>
      </c>
      <c r="D12111" s="1">
        <v>0</v>
      </c>
      <c r="E12111" s="1">
        <v>0</v>
      </c>
      <c r="F12111" s="1">
        <v>3.3406352683461099E-3</v>
      </c>
    </row>
    <row r="12112" spans="1:6" x14ac:dyDescent="0.25">
      <c r="A12112" s="2" t="str">
        <f t="shared" si="438"/>
        <v>19940</v>
      </c>
      <c r="B12112" s="2" t="str">
        <f>"61342"</f>
        <v>61342</v>
      </c>
      <c r="C12112" s="1">
        <v>1.5358152107138401E-3</v>
      </c>
      <c r="D12112" s="1">
        <v>6.8352699931647305E-4</v>
      </c>
      <c r="E12112" s="1">
        <v>0</v>
      </c>
      <c r="F12112" s="1">
        <v>1.42387732749178E-3</v>
      </c>
    </row>
    <row r="12113" spans="1:6" x14ac:dyDescent="0.25">
      <c r="A12113" s="2" t="str">
        <f t="shared" si="438"/>
        <v>19940</v>
      </c>
      <c r="B12113" s="2" t="str">
        <f>"61353"</f>
        <v>61353</v>
      </c>
      <c r="C12113" s="1">
        <v>3.8026784617274802E-2</v>
      </c>
      <c r="D12113" s="1">
        <v>1.43540669856459E-2</v>
      </c>
      <c r="E12113" s="1">
        <v>2.11946050096339E-2</v>
      </c>
      <c r="F12113" s="1">
        <v>3.5651697699890399E-2</v>
      </c>
    </row>
    <row r="12114" spans="1:6" x14ac:dyDescent="0.25">
      <c r="A12114" s="2" t="str">
        <f t="shared" si="438"/>
        <v>19940</v>
      </c>
      <c r="B12114" s="2" t="str">
        <f>"61068"</f>
        <v>61068</v>
      </c>
      <c r="C12114" s="1">
        <v>2.5801695539992599E-3</v>
      </c>
      <c r="D12114" s="1">
        <v>4.78468899521531E-3</v>
      </c>
      <c r="E12114" s="1">
        <v>0</v>
      </c>
      <c r="F12114" s="1">
        <v>2.68346111719605E-3</v>
      </c>
    </row>
    <row r="12115" spans="1:6" x14ac:dyDescent="0.25">
      <c r="A12115" s="2" t="str">
        <f t="shared" si="438"/>
        <v>19940</v>
      </c>
      <c r="B12115" s="2" t="str">
        <f>"61042"</f>
        <v>61042</v>
      </c>
      <c r="C12115" s="1">
        <v>1.52967194987099E-2</v>
      </c>
      <c r="D12115" s="1">
        <v>5.4682159945317801E-3</v>
      </c>
      <c r="E12115" s="1">
        <v>7.7071290944123296E-3</v>
      </c>
      <c r="F12115" s="1">
        <v>1.42935377875136E-2</v>
      </c>
    </row>
    <row r="12116" spans="1:6" x14ac:dyDescent="0.25">
      <c r="A12116" s="2" t="str">
        <f t="shared" si="438"/>
        <v>19940</v>
      </c>
      <c r="B12116" s="2" t="str">
        <f>"61031"</f>
        <v>61031</v>
      </c>
      <c r="C12116" s="1">
        <v>4.2265634598844998E-2</v>
      </c>
      <c r="D12116" s="1">
        <v>2.5290498974709499E-2</v>
      </c>
      <c r="E12116" s="1">
        <v>3.4682080924855398E-2</v>
      </c>
      <c r="F12116" s="1">
        <v>4.0690032858707502E-2</v>
      </c>
    </row>
    <row r="12117" spans="1:6" x14ac:dyDescent="0.25">
      <c r="A12117" s="2" t="str">
        <f t="shared" si="438"/>
        <v>19940</v>
      </c>
      <c r="B12117" s="2" t="str">
        <f>"60518"</f>
        <v>60518</v>
      </c>
      <c r="C12117" s="1">
        <v>4.3617151984273201E-3</v>
      </c>
      <c r="D12117" s="1">
        <v>0</v>
      </c>
      <c r="E12117" s="1">
        <v>0</v>
      </c>
      <c r="F12117" s="1">
        <v>3.8882803943044901E-3</v>
      </c>
    </row>
    <row r="12118" spans="1:6" x14ac:dyDescent="0.25">
      <c r="A12118" s="2" t="str">
        <f t="shared" si="438"/>
        <v>19940</v>
      </c>
      <c r="B12118" s="2" t="str">
        <f>"60553"</f>
        <v>60553</v>
      </c>
      <c r="C12118" s="1">
        <v>1.97198673055657E-2</v>
      </c>
      <c r="D12118" s="1">
        <v>7.5187969924812E-3</v>
      </c>
      <c r="E12118" s="1">
        <v>5.7803468208092396E-3</v>
      </c>
      <c r="F12118" s="1">
        <v>1.8346111719605599E-2</v>
      </c>
    </row>
    <row r="12119" spans="1:6" x14ac:dyDescent="0.25">
      <c r="A12119" s="2" t="str">
        <f t="shared" si="438"/>
        <v>19940</v>
      </c>
      <c r="B12119" s="2" t="str">
        <f>"61331"</f>
        <v>61331</v>
      </c>
      <c r="C12119" s="1">
        <v>0</v>
      </c>
      <c r="D12119" s="1">
        <v>6.8352699931647305E-4</v>
      </c>
      <c r="E12119" s="1">
        <v>0</v>
      </c>
      <c r="F12119" s="1">
        <v>5.4764512595837798E-5</v>
      </c>
    </row>
    <row r="12120" spans="1:6" x14ac:dyDescent="0.25">
      <c r="A12120" s="2" t="str">
        <f t="shared" si="438"/>
        <v>19940</v>
      </c>
      <c r="B12120" s="2" t="str">
        <f>"61330"</f>
        <v>61330</v>
      </c>
      <c r="C12120" s="1">
        <v>1.2900847769996299E-3</v>
      </c>
      <c r="D12120" s="1">
        <v>0</v>
      </c>
      <c r="E12120" s="1">
        <v>0</v>
      </c>
      <c r="F12120" s="1">
        <v>1.1500547645125899E-3</v>
      </c>
    </row>
    <row r="12121" spans="1:6" x14ac:dyDescent="0.25">
      <c r="A12121" s="2" t="str">
        <f t="shared" si="438"/>
        <v>19940</v>
      </c>
      <c r="B12121" s="2" t="str">
        <f>"60530"</f>
        <v>60530</v>
      </c>
      <c r="C12121" s="1">
        <v>1.0996436908711099E-2</v>
      </c>
      <c r="D12121" s="1">
        <v>6.1517429938482502E-3</v>
      </c>
      <c r="E12121" s="1">
        <v>5.7803468208092396E-3</v>
      </c>
      <c r="F12121" s="1">
        <v>1.0460021905805E-2</v>
      </c>
    </row>
    <row r="12122" spans="1:6" x14ac:dyDescent="0.25">
      <c r="A12122" s="2" t="str">
        <f t="shared" si="438"/>
        <v>19940</v>
      </c>
      <c r="B12122" s="2" t="str">
        <f>"61378"</f>
        <v>61378</v>
      </c>
      <c r="C12122" s="1">
        <v>1.4559528197567201E-2</v>
      </c>
      <c r="D12122" s="1">
        <v>1.3670539986329401E-2</v>
      </c>
      <c r="E12122" s="1">
        <v>0</v>
      </c>
      <c r="F12122" s="1">
        <v>1.40744797371303E-2</v>
      </c>
    </row>
    <row r="12123" spans="1:6" x14ac:dyDescent="0.25">
      <c r="A12123" s="2" t="str">
        <f t="shared" si="438"/>
        <v>19940</v>
      </c>
      <c r="B12123" s="2" t="str">
        <f>"61081"</f>
        <v>61081</v>
      </c>
      <c r="C12123" s="1">
        <v>1.3822336896424601E-2</v>
      </c>
      <c r="D12123" s="1">
        <v>6.8352699931647305E-4</v>
      </c>
      <c r="E12123" s="1">
        <v>3.85356454720616E-3</v>
      </c>
      <c r="F12123" s="1">
        <v>1.2486308871850999E-2</v>
      </c>
    </row>
    <row r="12124" spans="1:6" x14ac:dyDescent="0.25">
      <c r="A12124" s="2" t="str">
        <f t="shared" si="438"/>
        <v>19940</v>
      </c>
      <c r="B12124" s="2" t="str">
        <f>"61006"</f>
        <v>61006</v>
      </c>
      <c r="C12124" s="1">
        <v>4.1835606339845101E-2</v>
      </c>
      <c r="D12124" s="1">
        <v>5.4682159945317801E-3</v>
      </c>
      <c r="E12124" s="1">
        <v>6.5510597302504803E-2</v>
      </c>
      <c r="F12124" s="1">
        <v>3.9594742606790703E-2</v>
      </c>
    </row>
    <row r="12125" spans="1:6" x14ac:dyDescent="0.25">
      <c r="A12125" s="2" t="str">
        <f t="shared" si="438"/>
        <v>19940</v>
      </c>
      <c r="B12125" s="2" t="str">
        <f>"61021"</f>
        <v>61021</v>
      </c>
      <c r="C12125" s="1">
        <v>0.62839415161567702</v>
      </c>
      <c r="D12125" s="1">
        <v>0.78127136021872801</v>
      </c>
      <c r="E12125" s="1">
        <v>0.73410404624277403</v>
      </c>
      <c r="F12125" s="1">
        <v>0.64364731653888196</v>
      </c>
    </row>
    <row r="12126" spans="1:6" x14ac:dyDescent="0.25">
      <c r="A12126" s="2" t="str">
        <f t="shared" ref="A12126:A12161" si="439">"39500"</f>
        <v>39500</v>
      </c>
      <c r="B12126" s="2" t="str">
        <f>"62380"</f>
        <v>62380</v>
      </c>
      <c r="C12126" s="1">
        <v>2.64956812039637E-5</v>
      </c>
      <c r="D12126" s="1">
        <v>0</v>
      </c>
      <c r="E12126" s="1">
        <v>0</v>
      </c>
      <c r="F12126" s="1">
        <v>2.3592695701410801E-5</v>
      </c>
    </row>
    <row r="12127" spans="1:6" x14ac:dyDescent="0.25">
      <c r="A12127" s="2" t="str">
        <f t="shared" si="439"/>
        <v>39500</v>
      </c>
      <c r="B12127" s="2" t="str">
        <f>"62314"</f>
        <v>62314</v>
      </c>
      <c r="C12127" s="1">
        <v>9.8034020454665794E-4</v>
      </c>
      <c r="D12127" s="1">
        <v>0</v>
      </c>
      <c r="E12127" s="1">
        <v>0</v>
      </c>
      <c r="F12127" s="1">
        <v>8.7292974095220101E-4</v>
      </c>
    </row>
    <row r="12128" spans="1:6" x14ac:dyDescent="0.25">
      <c r="A12128" s="2" t="str">
        <f t="shared" si="439"/>
        <v>39500</v>
      </c>
      <c r="B12128" s="2" t="str">
        <f>"62325"</f>
        <v>62325</v>
      </c>
      <c r="C12128" s="1">
        <v>4.8222139791214E-3</v>
      </c>
      <c r="D12128" s="1">
        <v>1.39198218262806E-3</v>
      </c>
      <c r="E12128" s="1">
        <v>9.5057034220532297E-4</v>
      </c>
      <c r="F12128" s="1">
        <v>4.4354267918652298E-3</v>
      </c>
    </row>
    <row r="12129" spans="1:6" x14ac:dyDescent="0.25">
      <c r="A12129" s="2" t="str">
        <f t="shared" si="439"/>
        <v>39500</v>
      </c>
      <c r="B12129" s="2" t="str">
        <f>"63438"</f>
        <v>63438</v>
      </c>
      <c r="C12129" s="1">
        <v>4.1598219490223002E-3</v>
      </c>
      <c r="D12129" s="1">
        <v>1.94877505567928E-3</v>
      </c>
      <c r="E12129" s="1">
        <v>9.5057034220532297E-4</v>
      </c>
      <c r="F12129" s="1">
        <v>3.8927947907327798E-3</v>
      </c>
    </row>
    <row r="12130" spans="1:6" x14ac:dyDescent="0.25">
      <c r="A12130" s="2" t="str">
        <f t="shared" si="439"/>
        <v>39500</v>
      </c>
      <c r="B12130" s="2" t="str">
        <f>"62365"</f>
        <v>62365</v>
      </c>
      <c r="C12130" s="1">
        <v>7.0478512002543504E-3</v>
      </c>
      <c r="D12130" s="1">
        <v>2.5055679287305098E-3</v>
      </c>
      <c r="E12130" s="1">
        <v>2.8517110266159601E-3</v>
      </c>
      <c r="F12130" s="1">
        <v>6.5587694049922098E-3</v>
      </c>
    </row>
    <row r="12131" spans="1:6" x14ac:dyDescent="0.25">
      <c r="A12131" s="2" t="str">
        <f t="shared" si="439"/>
        <v>39500</v>
      </c>
      <c r="B12131" s="2" t="str">
        <f>"62316"</f>
        <v>62316</v>
      </c>
      <c r="C12131" s="1">
        <v>1.85469768427746E-4</v>
      </c>
      <c r="D12131" s="1">
        <v>0</v>
      </c>
      <c r="E12131" s="1">
        <v>0</v>
      </c>
      <c r="F12131" s="1">
        <v>1.6514886990987501E-4</v>
      </c>
    </row>
    <row r="12132" spans="1:6" x14ac:dyDescent="0.25">
      <c r="A12132" s="2" t="str">
        <f t="shared" si="439"/>
        <v>39500</v>
      </c>
      <c r="B12132" s="2" t="str">
        <f>"62359"</f>
        <v>62359</v>
      </c>
      <c r="C12132" s="1">
        <v>2.06666313390917E-3</v>
      </c>
      <c r="D12132" s="1">
        <v>1.6703786191536701E-3</v>
      </c>
      <c r="E12132" s="1">
        <v>9.5057034220532297E-4</v>
      </c>
      <c r="F12132" s="1">
        <v>2.0053791346199201E-3</v>
      </c>
    </row>
    <row r="12133" spans="1:6" x14ac:dyDescent="0.25">
      <c r="A12133" s="2" t="str">
        <f t="shared" si="439"/>
        <v>39500</v>
      </c>
      <c r="B12133" s="2" t="str">
        <f>"62306"</f>
        <v>62306</v>
      </c>
      <c r="C12133" s="1">
        <v>1.34068146892056E-2</v>
      </c>
      <c r="D12133" s="1">
        <v>6.5144766146993299E-2</v>
      </c>
      <c r="E12133" s="1">
        <v>1.9011406844106401E-3</v>
      </c>
      <c r="F12133" s="1">
        <v>1.7505780210446801E-2</v>
      </c>
    </row>
    <row r="12134" spans="1:6" x14ac:dyDescent="0.25">
      <c r="A12134" s="2" t="str">
        <f t="shared" si="439"/>
        <v>39500</v>
      </c>
      <c r="B12134" s="2" t="str">
        <f>"63446"</f>
        <v>63446</v>
      </c>
      <c r="C12134" s="1">
        <v>2.38461130835673E-4</v>
      </c>
      <c r="D12134" s="1">
        <v>0</v>
      </c>
      <c r="E12134" s="1">
        <v>0</v>
      </c>
      <c r="F12134" s="1">
        <v>2.1233426131269699E-4</v>
      </c>
    </row>
    <row r="12135" spans="1:6" x14ac:dyDescent="0.25">
      <c r="A12135" s="2" t="str">
        <f t="shared" si="439"/>
        <v>39500</v>
      </c>
      <c r="B12135" s="2" t="str">
        <f>"62373"</f>
        <v>62373</v>
      </c>
      <c r="C12135" s="1">
        <v>3.4444385565152798E-4</v>
      </c>
      <c r="D12135" s="1">
        <v>0</v>
      </c>
      <c r="E12135" s="1">
        <v>0</v>
      </c>
      <c r="F12135" s="1">
        <v>3.0670504411834E-4</v>
      </c>
    </row>
    <row r="12136" spans="1:6" x14ac:dyDescent="0.25">
      <c r="A12136" s="2" t="str">
        <f t="shared" si="439"/>
        <v>39500</v>
      </c>
      <c r="B12136" s="2" t="str">
        <f>"62311"</f>
        <v>62311</v>
      </c>
      <c r="C12136" s="1">
        <v>3.1794817444756498E-4</v>
      </c>
      <c r="D12136" s="1">
        <v>0</v>
      </c>
      <c r="E12136" s="1">
        <v>0</v>
      </c>
      <c r="F12136" s="1">
        <v>2.8311234841692999E-4</v>
      </c>
    </row>
    <row r="12137" spans="1:6" x14ac:dyDescent="0.25">
      <c r="A12137" s="2" t="str">
        <f t="shared" si="439"/>
        <v>39500</v>
      </c>
      <c r="B12137" s="2" t="str">
        <f>"62349"</f>
        <v>62349</v>
      </c>
      <c r="C12137" s="1">
        <v>8.0281914048010092E-3</v>
      </c>
      <c r="D12137" s="1">
        <v>3.0623608017817301E-3</v>
      </c>
      <c r="E12137" s="1">
        <v>1.9011406844106401E-3</v>
      </c>
      <c r="F12137" s="1">
        <v>7.4552918416458201E-3</v>
      </c>
    </row>
    <row r="12138" spans="1:6" x14ac:dyDescent="0.25">
      <c r="A12138" s="2" t="str">
        <f t="shared" si="439"/>
        <v>39500</v>
      </c>
      <c r="B12138" s="2" t="str">
        <f>"62347"</f>
        <v>62347</v>
      </c>
      <c r="C12138" s="1">
        <v>2.7158073234062802E-2</v>
      </c>
      <c r="D12138" s="1">
        <v>7.5167037861915299E-3</v>
      </c>
      <c r="E12138" s="1">
        <v>6.6539923954372603E-3</v>
      </c>
      <c r="F12138" s="1">
        <v>2.4984664747794001E-2</v>
      </c>
    </row>
    <row r="12139" spans="1:6" x14ac:dyDescent="0.25">
      <c r="A12139" s="2" t="str">
        <f t="shared" si="439"/>
        <v>39500</v>
      </c>
      <c r="B12139" s="2" t="str">
        <f>"62343"</f>
        <v>62343</v>
      </c>
      <c r="C12139" s="1">
        <v>5.8290498648720201E-4</v>
      </c>
      <c r="D12139" s="1">
        <v>0</v>
      </c>
      <c r="E12139" s="1">
        <v>0</v>
      </c>
      <c r="F12139" s="1">
        <v>5.1903930543103799E-4</v>
      </c>
    </row>
    <row r="12140" spans="1:6" x14ac:dyDescent="0.25">
      <c r="A12140" s="2" t="str">
        <f t="shared" si="439"/>
        <v>39500</v>
      </c>
      <c r="B12140" s="2" t="str">
        <f>"62312"</f>
        <v>62312</v>
      </c>
      <c r="C12140" s="1">
        <v>2.3051242647448402E-3</v>
      </c>
      <c r="D12140" s="1">
        <v>8.35189309576837E-4</v>
      </c>
      <c r="E12140" s="1">
        <v>0</v>
      </c>
      <c r="F12140" s="1">
        <v>2.1233426131269701E-3</v>
      </c>
    </row>
    <row r="12141" spans="1:6" x14ac:dyDescent="0.25">
      <c r="A12141" s="2" t="str">
        <f t="shared" si="439"/>
        <v>39500</v>
      </c>
      <c r="B12141" s="2" t="str">
        <f>"63454"</f>
        <v>63454</v>
      </c>
      <c r="C12141" s="1">
        <v>4.8222139791214E-3</v>
      </c>
      <c r="D12141" s="1">
        <v>2.7839643652561203E-4</v>
      </c>
      <c r="E12141" s="1">
        <v>9.5057034220532297E-4</v>
      </c>
      <c r="F12141" s="1">
        <v>4.3410560090595901E-3</v>
      </c>
    </row>
    <row r="12142" spans="1:6" x14ac:dyDescent="0.25">
      <c r="A12142" s="2" t="str">
        <f t="shared" si="439"/>
        <v>39500</v>
      </c>
      <c r="B12142" s="2" t="str">
        <f>"63448"</f>
        <v>63448</v>
      </c>
      <c r="C12142" s="1">
        <v>2.13820147315987E-2</v>
      </c>
      <c r="D12142" s="1">
        <v>9.1870824053452097E-3</v>
      </c>
      <c r="E12142" s="1">
        <v>1.42585551330798E-2</v>
      </c>
      <c r="F12142" s="1">
        <v>2.0171754824706199E-2</v>
      </c>
    </row>
    <row r="12143" spans="1:6" x14ac:dyDescent="0.25">
      <c r="A12143" s="2" t="str">
        <f t="shared" si="439"/>
        <v>39500</v>
      </c>
      <c r="B12143" s="2" t="str">
        <f>"62339"</f>
        <v>62339</v>
      </c>
      <c r="C12143" s="1">
        <v>8.7700704785120005E-3</v>
      </c>
      <c r="D12143" s="1">
        <v>3.89755011135857E-3</v>
      </c>
      <c r="E12143" s="1">
        <v>9.5057034220532297E-4</v>
      </c>
      <c r="F12143" s="1">
        <v>8.1630727126881502E-3</v>
      </c>
    </row>
    <row r="12144" spans="1:6" x14ac:dyDescent="0.25">
      <c r="A12144" s="2" t="str">
        <f t="shared" si="439"/>
        <v>39500</v>
      </c>
      <c r="B12144" s="2" t="str">
        <f>"62305"</f>
        <v>62305</v>
      </c>
      <c r="C12144" s="1">
        <v>0.24145514281172101</v>
      </c>
      <c r="D12144" s="1">
        <v>0.23440979955456501</v>
      </c>
      <c r="E12144" s="1">
        <v>0.130228136882129</v>
      </c>
      <c r="F12144" s="1">
        <v>0.23809748501863801</v>
      </c>
    </row>
    <row r="12145" spans="1:6" x14ac:dyDescent="0.25">
      <c r="A12145" s="2" t="str">
        <f t="shared" si="439"/>
        <v>39500</v>
      </c>
      <c r="B12145" s="2" t="str">
        <f>"63435"</f>
        <v>63435</v>
      </c>
      <c r="C12145" s="1">
        <v>5.2143500609400602E-2</v>
      </c>
      <c r="D12145" s="1">
        <v>5.7071269487750501E-2</v>
      </c>
      <c r="E12145" s="1">
        <v>8.6501901140684401E-2</v>
      </c>
      <c r="F12145" s="1">
        <v>5.3413863067994102E-2</v>
      </c>
    </row>
    <row r="12146" spans="1:6" x14ac:dyDescent="0.25">
      <c r="A12146" s="2" t="str">
        <f t="shared" si="439"/>
        <v>39500</v>
      </c>
      <c r="B12146" s="2" t="str">
        <f>"63452"</f>
        <v>63452</v>
      </c>
      <c r="C12146" s="1">
        <v>1.61623655344178E-2</v>
      </c>
      <c r="D12146" s="1">
        <v>3.89755011135857E-3</v>
      </c>
      <c r="E12146" s="1">
        <v>7.6045627376425803E-3</v>
      </c>
      <c r="F12146" s="1">
        <v>1.49105836832916E-2</v>
      </c>
    </row>
    <row r="12147" spans="1:6" x14ac:dyDescent="0.25">
      <c r="A12147" s="2" t="str">
        <f t="shared" si="439"/>
        <v>39500</v>
      </c>
      <c r="B12147" s="2" t="str">
        <f>"62376"</f>
        <v>62376</v>
      </c>
      <c r="C12147" s="1">
        <v>1.5235016692279099E-2</v>
      </c>
      <c r="D12147" s="1">
        <v>2.7839643652561199E-3</v>
      </c>
      <c r="E12147" s="1">
        <v>6.6539923954372603E-3</v>
      </c>
      <c r="F12147" s="1">
        <v>1.39668758552352E-2</v>
      </c>
    </row>
    <row r="12148" spans="1:6" x14ac:dyDescent="0.25">
      <c r="A12148" s="2" t="str">
        <f t="shared" si="439"/>
        <v>39500</v>
      </c>
      <c r="B12148" s="2" t="str">
        <f>"62324"</f>
        <v>62324</v>
      </c>
      <c r="C12148" s="1">
        <v>1.8229028668326999E-2</v>
      </c>
      <c r="D12148" s="1">
        <v>8.6302895322939808E-3</v>
      </c>
      <c r="E12148" s="1">
        <v>2.0912547528517102E-2</v>
      </c>
      <c r="F12148" s="1">
        <v>1.7482187514745399E-2</v>
      </c>
    </row>
    <row r="12149" spans="1:6" x14ac:dyDescent="0.25">
      <c r="A12149" s="2" t="str">
        <f t="shared" si="439"/>
        <v>39500</v>
      </c>
      <c r="B12149" s="2" t="str">
        <f>"62320"</f>
        <v>62320</v>
      </c>
      <c r="C12149" s="1">
        <v>2.6283715754331999E-2</v>
      </c>
      <c r="D12149" s="1">
        <v>2.19933184855233E-2</v>
      </c>
      <c r="E12149" s="1">
        <v>2.85171102661596E-2</v>
      </c>
      <c r="F12149" s="1">
        <v>2.5975557967253302E-2</v>
      </c>
    </row>
    <row r="12150" spans="1:6" x14ac:dyDescent="0.25">
      <c r="A12150" s="2" t="str">
        <f t="shared" si="439"/>
        <v>39500</v>
      </c>
      <c r="B12150" s="2" t="str">
        <f>"63471"</f>
        <v>63471</v>
      </c>
      <c r="C12150" s="1">
        <v>4.5042658046738301E-4</v>
      </c>
      <c r="D12150" s="1">
        <v>1.1135857461024401E-3</v>
      </c>
      <c r="E12150" s="1">
        <v>0</v>
      </c>
      <c r="F12150" s="1">
        <v>4.95446609729627E-4</v>
      </c>
    </row>
    <row r="12151" spans="1:6" x14ac:dyDescent="0.25">
      <c r="A12151" s="2" t="str">
        <f t="shared" si="439"/>
        <v>39500</v>
      </c>
      <c r="B12151" s="2" t="str">
        <f>"63447"</f>
        <v>63447</v>
      </c>
      <c r="C12151" s="1">
        <v>1.39102326320809E-2</v>
      </c>
      <c r="D12151" s="1">
        <v>9.4654788418708207E-3</v>
      </c>
      <c r="E12151" s="1">
        <v>2.2813688212927698E-2</v>
      </c>
      <c r="F12151" s="1">
        <v>1.37545415939225E-2</v>
      </c>
    </row>
    <row r="12152" spans="1:6" x14ac:dyDescent="0.25">
      <c r="A12152" s="2" t="str">
        <f t="shared" si="439"/>
        <v>39500</v>
      </c>
      <c r="B12152" s="2" t="str">
        <f>"63440"</f>
        <v>63440</v>
      </c>
      <c r="C12152" s="1">
        <v>1.5526469185522701E-2</v>
      </c>
      <c r="D12152" s="1">
        <v>3.6191536748329599E-3</v>
      </c>
      <c r="E12152" s="1">
        <v>6.6539923954372603E-3</v>
      </c>
      <c r="F12152" s="1">
        <v>1.4297173595054899E-2</v>
      </c>
    </row>
    <row r="12153" spans="1:6" x14ac:dyDescent="0.25">
      <c r="A12153" s="2" t="str">
        <f t="shared" si="439"/>
        <v>39500</v>
      </c>
      <c r="B12153" s="2" t="str">
        <f>"62348"</f>
        <v>62348</v>
      </c>
      <c r="C12153" s="1">
        <v>0</v>
      </c>
      <c r="D12153" s="1">
        <v>0</v>
      </c>
      <c r="E12153" s="1">
        <v>9.5057034220532297E-4</v>
      </c>
      <c r="F12153" s="1">
        <v>2.3592695701410801E-5</v>
      </c>
    </row>
    <row r="12154" spans="1:6" x14ac:dyDescent="0.25">
      <c r="A12154" s="2" t="str">
        <f t="shared" si="439"/>
        <v>39500</v>
      </c>
      <c r="B12154" s="2" t="str">
        <f>"62360"</f>
        <v>62360</v>
      </c>
      <c r="C12154" s="1">
        <v>1.97657781781569E-2</v>
      </c>
      <c r="D12154" s="1">
        <v>4.7327394209354104E-3</v>
      </c>
      <c r="E12154" s="1">
        <v>1.7110266159695801E-2</v>
      </c>
      <c r="F12154" s="1">
        <v>1.8425895342801799E-2</v>
      </c>
    </row>
    <row r="12155" spans="1:6" x14ac:dyDescent="0.25">
      <c r="A12155" s="2" t="str">
        <f t="shared" si="439"/>
        <v>39500</v>
      </c>
      <c r="B12155" s="2" t="str">
        <f>"63473"</f>
        <v>63473</v>
      </c>
      <c r="C12155" s="1">
        <v>6.88887711303057E-3</v>
      </c>
      <c r="D12155" s="1">
        <v>2.5055679287305098E-3</v>
      </c>
      <c r="E12155" s="1">
        <v>2.8517110266159601E-3</v>
      </c>
      <c r="F12155" s="1">
        <v>6.4172132307837399E-3</v>
      </c>
    </row>
    <row r="12156" spans="1:6" x14ac:dyDescent="0.25">
      <c r="A12156" s="2" t="str">
        <f t="shared" si="439"/>
        <v>39500</v>
      </c>
      <c r="B12156" s="2" t="str">
        <f>"63457"</f>
        <v>63457</v>
      </c>
      <c r="C12156" s="1">
        <v>4.0803349054104104E-3</v>
      </c>
      <c r="D12156" s="1">
        <v>4.1759465478841797E-3</v>
      </c>
      <c r="E12156" s="1">
        <v>9.5057034220532297E-4</v>
      </c>
      <c r="F12156" s="1">
        <v>4.0107582692398402E-3</v>
      </c>
    </row>
    <row r="12157" spans="1:6" x14ac:dyDescent="0.25">
      <c r="A12157" s="2" t="str">
        <f t="shared" si="439"/>
        <v>39500</v>
      </c>
      <c r="B12157" s="2" t="str">
        <f>"62338"</f>
        <v>62338</v>
      </c>
      <c r="C12157" s="1">
        <v>1.5764930316358401E-2</v>
      </c>
      <c r="D12157" s="1">
        <v>2.7839643652561199E-3</v>
      </c>
      <c r="E12157" s="1">
        <v>9.5057034220532297E-4</v>
      </c>
      <c r="F12157" s="1">
        <v>1.4297173595054899E-2</v>
      </c>
    </row>
    <row r="12158" spans="1:6" x14ac:dyDescent="0.25">
      <c r="A12158" s="2" t="str">
        <f t="shared" si="439"/>
        <v>39500</v>
      </c>
      <c r="B12158" s="2" t="str">
        <f>"62379"</f>
        <v>62379</v>
      </c>
      <c r="C12158" s="1">
        <v>9.8034020454665794E-4</v>
      </c>
      <c r="D12158" s="1">
        <v>8.35189309576837E-4</v>
      </c>
      <c r="E12158" s="1">
        <v>9.5057034220532297E-4</v>
      </c>
      <c r="F12158" s="1">
        <v>9.6730052375784399E-4</v>
      </c>
    </row>
    <row r="12159" spans="1:6" x14ac:dyDescent="0.25">
      <c r="A12159" s="2" t="str">
        <f t="shared" si="439"/>
        <v>39500</v>
      </c>
      <c r="B12159" s="2" t="str">
        <f>"62351"</f>
        <v>62351</v>
      </c>
      <c r="C12159" s="1">
        <v>1.9792273859360901E-2</v>
      </c>
      <c r="D12159" s="1">
        <v>7.5167037861915299E-3</v>
      </c>
      <c r="E12159" s="1">
        <v>1.1406844106463801E-2</v>
      </c>
      <c r="F12159" s="1">
        <v>1.8543858821308899E-2</v>
      </c>
    </row>
    <row r="12160" spans="1:6" x14ac:dyDescent="0.25">
      <c r="A12160" s="2" t="str">
        <f t="shared" si="439"/>
        <v>39500</v>
      </c>
      <c r="B12160" s="2" t="str">
        <f>"62346"</f>
        <v>62346</v>
      </c>
      <c r="C12160" s="1">
        <v>2.6760638016003302E-3</v>
      </c>
      <c r="D12160" s="1">
        <v>8.35189309576837E-4</v>
      </c>
      <c r="E12160" s="1">
        <v>9.5057034220532297E-4</v>
      </c>
      <c r="F12160" s="1">
        <v>2.4772330486481299E-3</v>
      </c>
    </row>
    <row r="12161" spans="1:6" x14ac:dyDescent="0.25">
      <c r="A12161" s="2" t="str">
        <f t="shared" si="439"/>
        <v>39500</v>
      </c>
      <c r="B12161" s="2" t="str">
        <f>"62301"</f>
        <v>62301</v>
      </c>
      <c r="C12161" s="1">
        <v>0.42401038630703097</v>
      </c>
      <c r="D12161" s="1">
        <v>0.53619153674832898</v>
      </c>
      <c r="E12161" s="1">
        <v>0.62167300380228097</v>
      </c>
      <c r="F12161" s="1">
        <v>0.43842306421931698</v>
      </c>
    </row>
    <row r="12162" spans="1:6" x14ac:dyDescent="0.25">
      <c r="A12162" s="2" t="str">
        <f t="shared" ref="A12162:A12175" si="440">"20820"</f>
        <v>20820</v>
      </c>
      <c r="B12162" s="2" t="str">
        <f>"62462"</f>
        <v>62462</v>
      </c>
      <c r="C12162" s="1">
        <v>3.5982008995502201E-4</v>
      </c>
      <c r="D12162" s="1">
        <v>0</v>
      </c>
      <c r="E12162" s="1">
        <v>0</v>
      </c>
      <c r="F12162" s="1">
        <v>3.1657257426264898E-4</v>
      </c>
    </row>
    <row r="12163" spans="1:6" x14ac:dyDescent="0.25">
      <c r="A12163" s="2" t="str">
        <f t="shared" si="440"/>
        <v>20820</v>
      </c>
      <c r="B12163" s="2" t="str">
        <f>"62414"</f>
        <v>62414</v>
      </c>
      <c r="C12163" s="1">
        <v>6.0629685157421197E-2</v>
      </c>
      <c r="D12163" s="1">
        <v>1.43020594965675E-2</v>
      </c>
      <c r="E12163" s="1">
        <v>1.6981132075471601E-2</v>
      </c>
      <c r="F12163" s="1">
        <v>5.5136390017411399E-2</v>
      </c>
    </row>
    <row r="12164" spans="1:6" x14ac:dyDescent="0.25">
      <c r="A12164" s="2" t="str">
        <f t="shared" si="440"/>
        <v>20820</v>
      </c>
      <c r="B12164" s="2" t="str">
        <f>"62424"</f>
        <v>62424</v>
      </c>
      <c r="C12164" s="1">
        <v>5.4512743628185902E-2</v>
      </c>
      <c r="D12164" s="1">
        <v>2.9176201372997701E-2</v>
      </c>
      <c r="E12164" s="1">
        <v>3.20754716981132E-2</v>
      </c>
      <c r="F12164" s="1">
        <v>5.1548567509101403E-2</v>
      </c>
    </row>
    <row r="12165" spans="1:6" x14ac:dyDescent="0.25">
      <c r="A12165" s="2" t="str">
        <f t="shared" si="440"/>
        <v>20820</v>
      </c>
      <c r="B12165" s="2" t="str">
        <f>"62467"</f>
        <v>62467</v>
      </c>
      <c r="C12165" s="1">
        <v>8.3538230884557696E-2</v>
      </c>
      <c r="D12165" s="1">
        <v>6.0068649885583497E-2</v>
      </c>
      <c r="E12165" s="1">
        <v>2.6415094339622601E-2</v>
      </c>
      <c r="F12165" s="1">
        <v>7.9776288714187696E-2</v>
      </c>
    </row>
    <row r="12166" spans="1:6" x14ac:dyDescent="0.25">
      <c r="A12166" s="2" t="str">
        <f t="shared" si="440"/>
        <v>20820</v>
      </c>
      <c r="B12166" s="2" t="str">
        <f>"62411"</f>
        <v>62411</v>
      </c>
      <c r="C12166" s="1">
        <v>0.118680659670164</v>
      </c>
      <c r="D12166" s="1">
        <v>9.7254004576659003E-2</v>
      </c>
      <c r="E12166" s="1">
        <v>4.15094339622641E-2</v>
      </c>
      <c r="F12166" s="1">
        <v>0.11454650978736799</v>
      </c>
    </row>
    <row r="12167" spans="1:6" x14ac:dyDescent="0.25">
      <c r="A12167" s="2" t="str">
        <f t="shared" si="440"/>
        <v>20820</v>
      </c>
      <c r="B12167" s="2" t="str">
        <f>"62838"</f>
        <v>62838</v>
      </c>
      <c r="C12167" s="1">
        <v>2.3988005997001398E-3</v>
      </c>
      <c r="D12167" s="1">
        <v>0</v>
      </c>
      <c r="E12167" s="1">
        <v>0</v>
      </c>
      <c r="F12167" s="1">
        <v>2.1104838284176598E-3</v>
      </c>
    </row>
    <row r="12168" spans="1:6" x14ac:dyDescent="0.25">
      <c r="A12168" s="2" t="str">
        <f t="shared" si="440"/>
        <v>20820</v>
      </c>
      <c r="B12168" s="2" t="str">
        <f>"62473"</f>
        <v>62473</v>
      </c>
      <c r="C12168" s="1">
        <v>3.4062968515742101E-2</v>
      </c>
      <c r="D12168" s="1">
        <v>6.2929061784896996E-3</v>
      </c>
      <c r="E12168" s="1">
        <v>9.4339622641509396E-3</v>
      </c>
      <c r="F12168" s="1">
        <v>3.08130638948979E-2</v>
      </c>
    </row>
    <row r="12169" spans="1:6" x14ac:dyDescent="0.25">
      <c r="A12169" s="2" t="str">
        <f t="shared" si="440"/>
        <v>20820</v>
      </c>
      <c r="B12169" s="2" t="str">
        <f>"62401"</f>
        <v>62401</v>
      </c>
      <c r="C12169" s="1">
        <v>0.55556221889055402</v>
      </c>
      <c r="D12169" s="1">
        <v>0.76372997711670398</v>
      </c>
      <c r="E12169" s="1">
        <v>0.85849056603773499</v>
      </c>
      <c r="F12169" s="1">
        <v>0.58323220598322101</v>
      </c>
    </row>
    <row r="12170" spans="1:6" x14ac:dyDescent="0.25">
      <c r="A12170" s="2" t="str">
        <f t="shared" si="440"/>
        <v>20820</v>
      </c>
      <c r="B12170" s="2" t="str">
        <f>"62458"</f>
        <v>62458</v>
      </c>
      <c r="C12170" s="1">
        <v>2.0989505247376301E-3</v>
      </c>
      <c r="D12170" s="1">
        <v>0</v>
      </c>
      <c r="E12170" s="1">
        <v>0</v>
      </c>
      <c r="F12170" s="1">
        <v>1.84667334986545E-3</v>
      </c>
    </row>
    <row r="12171" spans="1:6" x14ac:dyDescent="0.25">
      <c r="A12171" s="2" t="str">
        <f t="shared" si="440"/>
        <v>20820</v>
      </c>
      <c r="B12171" s="2" t="str">
        <f>"62461"</f>
        <v>62461</v>
      </c>
      <c r="C12171" s="1">
        <v>2.34482758620689E-2</v>
      </c>
      <c r="D12171" s="1">
        <v>9.7254004576659003E-3</v>
      </c>
      <c r="E12171" s="1">
        <v>1.88679245283018E-3</v>
      </c>
      <c r="F12171" s="1">
        <v>2.1579697145570599E-2</v>
      </c>
    </row>
    <row r="12172" spans="1:6" x14ac:dyDescent="0.25">
      <c r="A12172" s="2" t="str">
        <f t="shared" si="440"/>
        <v>20820</v>
      </c>
      <c r="B12172" s="2" t="str">
        <f>"62443"</f>
        <v>62443</v>
      </c>
      <c r="C12172" s="1">
        <v>3.4602698650674599E-2</v>
      </c>
      <c r="D12172" s="1">
        <v>3.4324942791761999E-3</v>
      </c>
      <c r="E12172" s="1">
        <v>9.4339622641509396E-3</v>
      </c>
      <c r="F12172" s="1">
        <v>3.1024112277739602E-2</v>
      </c>
    </row>
    <row r="12173" spans="1:6" x14ac:dyDescent="0.25">
      <c r="A12173" s="2" t="str">
        <f t="shared" si="440"/>
        <v>20820</v>
      </c>
      <c r="B12173" s="2" t="str">
        <f>"62426"</f>
        <v>62426</v>
      </c>
      <c r="C12173" s="1">
        <v>2.26086956521739E-2</v>
      </c>
      <c r="D12173" s="1">
        <v>6.8649885583523997E-3</v>
      </c>
      <c r="E12173" s="1">
        <v>1.88679245283018E-3</v>
      </c>
      <c r="F12173" s="1">
        <v>2.0577217327072201E-2</v>
      </c>
    </row>
    <row r="12174" spans="1:6" x14ac:dyDescent="0.25">
      <c r="A12174" s="2" t="str">
        <f t="shared" si="440"/>
        <v>20820</v>
      </c>
      <c r="B12174" s="2" t="str">
        <f>"62479"</f>
        <v>62479</v>
      </c>
      <c r="C12174" s="1">
        <v>7.1964017991004402E-4</v>
      </c>
      <c r="D12174" s="1">
        <v>5.7208237986270001E-4</v>
      </c>
      <c r="E12174" s="1">
        <v>0</v>
      </c>
      <c r="F12174" s="1">
        <v>6.8590724423574104E-4</v>
      </c>
    </row>
    <row r="12175" spans="1:6" x14ac:dyDescent="0.25">
      <c r="A12175" s="2" t="str">
        <f t="shared" si="440"/>
        <v>20820</v>
      </c>
      <c r="B12175" s="2" t="str">
        <f>"62445"</f>
        <v>62445</v>
      </c>
      <c r="C12175" s="1">
        <v>6.7766116941529201E-3</v>
      </c>
      <c r="D12175" s="1">
        <v>8.5812356979405001E-3</v>
      </c>
      <c r="E12175" s="1">
        <v>1.88679245283018E-3</v>
      </c>
      <c r="F12175" s="1">
        <v>6.8063103466469597E-3</v>
      </c>
    </row>
    <row r="12176" spans="1:6" x14ac:dyDescent="0.25">
      <c r="A12176" s="2" t="str">
        <f t="shared" ref="A12176:A12188" si="441">"33620"</f>
        <v>33620</v>
      </c>
      <c r="B12176" s="2" t="str">
        <f>"65244"</f>
        <v>65244</v>
      </c>
      <c r="C12176" s="1">
        <v>2.4214279791027402E-2</v>
      </c>
      <c r="D12176" s="1">
        <v>4.0727902946273799E-2</v>
      </c>
      <c r="E12176" s="1">
        <v>5.1413881748071898E-3</v>
      </c>
      <c r="F12176" s="1">
        <v>2.5069842670195502E-2</v>
      </c>
    </row>
    <row r="12177" spans="1:6" x14ac:dyDescent="0.25">
      <c r="A12177" s="2" t="str">
        <f t="shared" si="441"/>
        <v>33620</v>
      </c>
      <c r="B12177" s="2" t="str">
        <f>"65239"</f>
        <v>65239</v>
      </c>
      <c r="C12177" s="1">
        <v>5.6306493075710999E-2</v>
      </c>
      <c r="D12177" s="1">
        <v>1.9930675909878601E-2</v>
      </c>
      <c r="E12177" s="1">
        <v>5.1413881748071898E-2</v>
      </c>
      <c r="F12177" s="1">
        <v>5.3080429348625197E-2</v>
      </c>
    </row>
    <row r="12178" spans="1:6" x14ac:dyDescent="0.25">
      <c r="A12178" s="2" t="str">
        <f t="shared" si="441"/>
        <v>33620</v>
      </c>
      <c r="B12178" s="2" t="str">
        <f>"65257"</f>
        <v>65257</v>
      </c>
      <c r="C12178" s="1">
        <v>5.5062608839870603E-2</v>
      </c>
      <c r="D12178" s="1">
        <v>1.55979202772963E-2</v>
      </c>
      <c r="E12178" s="1">
        <v>1.79948586118251E-2</v>
      </c>
      <c r="F12178" s="1">
        <v>5.0654315541832001E-2</v>
      </c>
    </row>
    <row r="12179" spans="1:6" x14ac:dyDescent="0.25">
      <c r="A12179" s="2" t="str">
        <f t="shared" si="441"/>
        <v>33620</v>
      </c>
      <c r="B12179" s="2" t="str">
        <f>"65263"</f>
        <v>65263</v>
      </c>
      <c r="C12179" s="1">
        <v>2.6536197031262901E-3</v>
      </c>
      <c r="D12179" s="1">
        <v>0</v>
      </c>
      <c r="E12179" s="1">
        <v>0</v>
      </c>
      <c r="F12179" s="1">
        <v>2.3525952065872602E-3</v>
      </c>
    </row>
    <row r="12180" spans="1:6" x14ac:dyDescent="0.25">
      <c r="A12180" s="2" t="str">
        <f t="shared" si="441"/>
        <v>33620</v>
      </c>
      <c r="B12180" s="2" t="str">
        <f>"65243"</f>
        <v>65243</v>
      </c>
      <c r="C12180" s="1">
        <v>4.5443237416037799E-2</v>
      </c>
      <c r="D12180" s="1">
        <v>1.73310225303292E-3</v>
      </c>
      <c r="E12180" s="1">
        <v>7.7120822622107899E-3</v>
      </c>
      <c r="F12180" s="1">
        <v>4.0655785913836201E-2</v>
      </c>
    </row>
    <row r="12181" spans="1:6" x14ac:dyDescent="0.25">
      <c r="A12181" s="2" t="str">
        <f t="shared" si="441"/>
        <v>33620</v>
      </c>
      <c r="B12181" s="2" t="str">
        <f>"65260"</f>
        <v>65260</v>
      </c>
      <c r="C12181" s="1">
        <v>1.8989966000497498E-2</v>
      </c>
      <c r="D12181" s="1">
        <v>4.3327556325823196E-3</v>
      </c>
      <c r="E12181" s="1">
        <v>2.5706940874035901E-3</v>
      </c>
      <c r="F12181" s="1">
        <v>1.7276871048375199E-2</v>
      </c>
    </row>
    <row r="12182" spans="1:6" x14ac:dyDescent="0.25">
      <c r="A12182" s="2" t="str">
        <f t="shared" si="441"/>
        <v>33620</v>
      </c>
      <c r="B12182" s="2" t="str">
        <f>"65278"</f>
        <v>65278</v>
      </c>
      <c r="C12182" s="1">
        <v>1.65851231445393E-4</v>
      </c>
      <c r="D12182" s="1">
        <v>0</v>
      </c>
      <c r="E12182" s="1">
        <v>2.5706940874035901E-3</v>
      </c>
      <c r="F12182" s="1">
        <v>2.2055580061755599E-4</v>
      </c>
    </row>
    <row r="12183" spans="1:6" x14ac:dyDescent="0.25">
      <c r="A12183" s="2" t="str">
        <f t="shared" si="441"/>
        <v>33620</v>
      </c>
      <c r="B12183" s="2" t="str">
        <f>"63534"</f>
        <v>63534</v>
      </c>
      <c r="C12183" s="1">
        <v>4.1462807861348302E-4</v>
      </c>
      <c r="D12183" s="1">
        <v>0</v>
      </c>
      <c r="E12183" s="1">
        <v>0</v>
      </c>
      <c r="F12183" s="1">
        <v>3.6759300102926E-4</v>
      </c>
    </row>
    <row r="12184" spans="1:6" x14ac:dyDescent="0.25">
      <c r="A12184" s="2" t="str">
        <f t="shared" si="441"/>
        <v>33620</v>
      </c>
      <c r="B12184" s="2" t="str">
        <f>"65230"</f>
        <v>65230</v>
      </c>
      <c r="C12184" s="1">
        <v>3.1511733974624698E-3</v>
      </c>
      <c r="D12184" s="1">
        <v>8.6655112651646399E-4</v>
      </c>
      <c r="E12184" s="1">
        <v>0</v>
      </c>
      <c r="F12184" s="1">
        <v>2.8672254080282298E-3</v>
      </c>
    </row>
    <row r="12185" spans="1:6" x14ac:dyDescent="0.25">
      <c r="A12185" s="2" t="str">
        <f t="shared" si="441"/>
        <v>33620</v>
      </c>
      <c r="B12185" s="2" t="str">
        <f>"65259"</f>
        <v>65259</v>
      </c>
      <c r="C12185" s="1">
        <v>0.114603200928766</v>
      </c>
      <c r="D12185" s="1">
        <v>8.8388214904679296E-2</v>
      </c>
      <c r="E12185" s="1">
        <v>9.2544987146529506E-2</v>
      </c>
      <c r="F12185" s="1">
        <v>0.111748272312895</v>
      </c>
    </row>
    <row r="12186" spans="1:6" x14ac:dyDescent="0.25">
      <c r="A12186" s="2" t="str">
        <f t="shared" si="441"/>
        <v>33620</v>
      </c>
      <c r="B12186" s="2" t="str">
        <f>"65247"</f>
        <v>65247</v>
      </c>
      <c r="C12186" s="1">
        <v>2.4877684716809E-4</v>
      </c>
      <c r="D12186" s="1">
        <v>0</v>
      </c>
      <c r="E12186" s="1">
        <v>0</v>
      </c>
      <c r="F12186" s="1">
        <v>2.2055580061755599E-4</v>
      </c>
    </row>
    <row r="12187" spans="1:6" x14ac:dyDescent="0.25">
      <c r="A12187" s="2" t="str">
        <f t="shared" si="441"/>
        <v>33620</v>
      </c>
      <c r="B12187" s="2" t="str">
        <f>"65281"</f>
        <v>65281</v>
      </c>
      <c r="C12187" s="1">
        <v>2.4877684716809E-4</v>
      </c>
      <c r="D12187" s="1">
        <v>0</v>
      </c>
      <c r="E12187" s="1">
        <v>0</v>
      </c>
      <c r="F12187" s="1">
        <v>2.2055580061755599E-4</v>
      </c>
    </row>
    <row r="12188" spans="1:6" x14ac:dyDescent="0.25">
      <c r="A12188" s="2" t="str">
        <f t="shared" si="441"/>
        <v>33620</v>
      </c>
      <c r="B12188" s="2" t="str">
        <f>"65270"</f>
        <v>65270</v>
      </c>
      <c r="C12188" s="1">
        <v>0.67849738784310398</v>
      </c>
      <c r="D12188" s="1">
        <v>0.82842287694974004</v>
      </c>
      <c r="E12188" s="1">
        <v>0.82005141388174796</v>
      </c>
      <c r="F12188" s="1">
        <v>0.69526540214674304</v>
      </c>
    </row>
    <row r="12189" spans="1:6" x14ac:dyDescent="0.25">
      <c r="A12189" s="2" t="str">
        <f t="shared" ref="A12189:A12206" si="442">"42740"</f>
        <v>42740</v>
      </c>
      <c r="B12189" s="2" t="str">
        <f>"65347"</f>
        <v>65347</v>
      </c>
      <c r="C12189" s="1">
        <v>2.3003614853762699E-3</v>
      </c>
      <c r="D12189" s="1">
        <v>0</v>
      </c>
      <c r="E12189" s="1">
        <v>0</v>
      </c>
      <c r="F12189" s="1">
        <v>2.0566631689401798E-3</v>
      </c>
    </row>
    <row r="12190" spans="1:6" x14ac:dyDescent="0.25">
      <c r="A12190" s="2" t="str">
        <f t="shared" si="442"/>
        <v>42740</v>
      </c>
      <c r="B12190" s="2" t="str">
        <f>"65340"</f>
        <v>65340</v>
      </c>
      <c r="C12190" s="1">
        <v>2.4881460964273901E-3</v>
      </c>
      <c r="D12190" s="1">
        <v>0</v>
      </c>
      <c r="E12190" s="1">
        <v>0</v>
      </c>
      <c r="F12190" s="1">
        <v>2.2245540398740798E-3</v>
      </c>
    </row>
    <row r="12191" spans="1:6" x14ac:dyDescent="0.25">
      <c r="A12191" s="2" t="str">
        <f t="shared" si="442"/>
        <v>42740</v>
      </c>
      <c r="B12191" s="2" t="str">
        <f>"65360"</f>
        <v>65360</v>
      </c>
      <c r="C12191" s="1">
        <v>1.10792920520163E-2</v>
      </c>
      <c r="D12191" s="1">
        <v>4.9140049140049104E-3</v>
      </c>
      <c r="E12191" s="1">
        <v>0</v>
      </c>
      <c r="F12191" s="1">
        <v>1.03252885624344E-2</v>
      </c>
    </row>
    <row r="12192" spans="1:6" x14ac:dyDescent="0.25">
      <c r="A12192" s="2" t="str">
        <f t="shared" si="442"/>
        <v>42740</v>
      </c>
      <c r="B12192" s="2" t="str">
        <f>"65348"</f>
        <v>65348</v>
      </c>
      <c r="C12192" s="1">
        <v>5.1640768039059096E-4</v>
      </c>
      <c r="D12192" s="1">
        <v>0</v>
      </c>
      <c r="E12192" s="1">
        <v>0</v>
      </c>
      <c r="F12192" s="1">
        <v>4.6169989506820498E-4</v>
      </c>
    </row>
    <row r="12193" spans="1:6" x14ac:dyDescent="0.25">
      <c r="A12193" s="2" t="str">
        <f t="shared" si="442"/>
        <v>42740</v>
      </c>
      <c r="B12193" s="2" t="str">
        <f>"65335"</f>
        <v>65335</v>
      </c>
      <c r="C12193" s="1">
        <v>2.7698230130040798E-3</v>
      </c>
      <c r="D12193" s="1">
        <v>0</v>
      </c>
      <c r="E12193" s="1">
        <v>0</v>
      </c>
      <c r="F12193" s="1">
        <v>2.47639034627492E-3</v>
      </c>
    </row>
    <row r="12194" spans="1:6" x14ac:dyDescent="0.25">
      <c r="A12194" s="2" t="str">
        <f t="shared" si="442"/>
        <v>42740</v>
      </c>
      <c r="B12194" s="2" t="str">
        <f>"65332"</f>
        <v>65332</v>
      </c>
      <c r="C12194" s="1">
        <v>3.6524106849443599E-2</v>
      </c>
      <c r="D12194" s="1">
        <v>7.8624078624078605E-3</v>
      </c>
      <c r="E12194" s="1">
        <v>1.43149284253578E-2</v>
      </c>
      <c r="F12194" s="1">
        <v>3.3620146904511997E-2</v>
      </c>
    </row>
    <row r="12195" spans="1:6" x14ac:dyDescent="0.25">
      <c r="A12195" s="2" t="str">
        <f t="shared" si="442"/>
        <v>42740</v>
      </c>
      <c r="B12195" s="2" t="str">
        <f>"65078"</f>
        <v>65078</v>
      </c>
      <c r="C12195" s="1">
        <v>9.38923055255621E-5</v>
      </c>
      <c r="D12195" s="1">
        <v>0</v>
      </c>
      <c r="E12195" s="1">
        <v>0</v>
      </c>
      <c r="F12195" s="1">
        <v>8.3945435466946394E-5</v>
      </c>
    </row>
    <row r="12196" spans="1:6" x14ac:dyDescent="0.25">
      <c r="A12196" s="2" t="str">
        <f t="shared" si="442"/>
        <v>42740</v>
      </c>
      <c r="B12196" s="2" t="str">
        <f>"64020"</f>
        <v>64020</v>
      </c>
      <c r="C12196" s="1">
        <v>4.6946152762781002E-5</v>
      </c>
      <c r="D12196" s="1">
        <v>0</v>
      </c>
      <c r="E12196" s="1">
        <v>0</v>
      </c>
      <c r="F12196" s="1">
        <v>4.1972717733473197E-5</v>
      </c>
    </row>
    <row r="12197" spans="1:6" x14ac:dyDescent="0.25">
      <c r="A12197" s="2" t="str">
        <f t="shared" si="442"/>
        <v>42740</v>
      </c>
      <c r="B12197" s="2" t="str">
        <f>"65351"</f>
        <v>65351</v>
      </c>
      <c r="C12197" s="1">
        <v>3.7087460682597002E-3</v>
      </c>
      <c r="D12197" s="1">
        <v>1.47420147420147E-3</v>
      </c>
      <c r="E12197" s="1">
        <v>0</v>
      </c>
      <c r="F12197" s="1">
        <v>3.4417628541448001E-3</v>
      </c>
    </row>
    <row r="12198" spans="1:6" x14ac:dyDescent="0.25">
      <c r="A12198" s="2" t="str">
        <f t="shared" si="442"/>
        <v>42740</v>
      </c>
      <c r="B12198" s="2" t="str">
        <f>"65350"</f>
        <v>65350</v>
      </c>
      <c r="C12198" s="1">
        <v>3.2392845406318899E-2</v>
      </c>
      <c r="D12198" s="1">
        <v>3.9312039312039302E-3</v>
      </c>
      <c r="E12198" s="1">
        <v>1.6359918200408899E-2</v>
      </c>
      <c r="F12198" s="1">
        <v>2.9632738719832099E-2</v>
      </c>
    </row>
    <row r="12199" spans="1:6" x14ac:dyDescent="0.25">
      <c r="A12199" s="2" t="str">
        <f t="shared" si="442"/>
        <v>42740</v>
      </c>
      <c r="B12199" s="2" t="str">
        <f>"65334"</f>
        <v>65334</v>
      </c>
      <c r="C12199" s="1">
        <v>1.94357072437913E-2</v>
      </c>
      <c r="D12199" s="1">
        <v>6.8796068796068699E-3</v>
      </c>
      <c r="E12199" s="1">
        <v>2.0449897750511202E-3</v>
      </c>
      <c r="F12199" s="1">
        <v>1.8006295907660001E-2</v>
      </c>
    </row>
    <row r="12200" spans="1:6" x14ac:dyDescent="0.25">
      <c r="A12200" s="2" t="str">
        <f t="shared" si="442"/>
        <v>42740</v>
      </c>
      <c r="B12200" s="2" t="str">
        <f>"65325"</f>
        <v>65325</v>
      </c>
      <c r="C12200" s="1">
        <v>6.1029998591615397E-4</v>
      </c>
      <c r="D12200" s="1">
        <v>9.8280098280098191E-4</v>
      </c>
      <c r="E12200" s="1">
        <v>0</v>
      </c>
      <c r="F12200" s="1">
        <v>6.2959076600209798E-4</v>
      </c>
    </row>
    <row r="12201" spans="1:6" x14ac:dyDescent="0.25">
      <c r="A12201" s="2" t="str">
        <f t="shared" si="442"/>
        <v>42740</v>
      </c>
      <c r="B12201" s="2" t="str">
        <f>"65336"</f>
        <v>65336</v>
      </c>
      <c r="C12201" s="1">
        <v>2.15952302708793E-3</v>
      </c>
      <c r="D12201" s="1">
        <v>1.47420147420147E-3</v>
      </c>
      <c r="E12201" s="1">
        <v>0</v>
      </c>
      <c r="F12201" s="1">
        <v>2.0566631689401798E-3</v>
      </c>
    </row>
    <row r="12202" spans="1:6" x14ac:dyDescent="0.25">
      <c r="A12202" s="2" t="str">
        <f t="shared" si="442"/>
        <v>42740</v>
      </c>
      <c r="B12202" s="2" t="str">
        <f>"65337"</f>
        <v>65337</v>
      </c>
      <c r="C12202" s="1">
        <v>4.1735129806112298E-2</v>
      </c>
      <c r="D12202" s="1">
        <v>1.7199017199017098E-2</v>
      </c>
      <c r="E12202" s="1">
        <v>7.3619631901840399E-2</v>
      </c>
      <c r="F12202" s="1">
        <v>4.0293809024134299E-2</v>
      </c>
    </row>
    <row r="12203" spans="1:6" x14ac:dyDescent="0.25">
      <c r="A12203" s="2" t="str">
        <f t="shared" si="442"/>
        <v>42740</v>
      </c>
      <c r="B12203" s="2" t="str">
        <f>"65333"</f>
        <v>65333</v>
      </c>
      <c r="C12203" s="1">
        <v>1.3849115065020399E-2</v>
      </c>
      <c r="D12203" s="1">
        <v>2.9484029484029401E-3</v>
      </c>
      <c r="E12203" s="1">
        <v>2.0449897750511202E-3</v>
      </c>
      <c r="F12203" s="1">
        <v>1.26757607555089E-2</v>
      </c>
    </row>
    <row r="12204" spans="1:6" x14ac:dyDescent="0.25">
      <c r="A12204" s="2" t="str">
        <f t="shared" si="442"/>
        <v>42740</v>
      </c>
      <c r="B12204" s="2" t="str">
        <f>"65345"</f>
        <v>65345</v>
      </c>
      <c r="C12204" s="1">
        <v>5.0701844983803502E-3</v>
      </c>
      <c r="D12204" s="1">
        <v>9.8280098280098191E-4</v>
      </c>
      <c r="E12204" s="1">
        <v>0</v>
      </c>
      <c r="F12204" s="1">
        <v>4.6169989506820502E-3</v>
      </c>
    </row>
    <row r="12205" spans="1:6" x14ac:dyDescent="0.25">
      <c r="A12205" s="2" t="str">
        <f t="shared" si="442"/>
        <v>42740</v>
      </c>
      <c r="B12205" s="2" t="str">
        <f>"65302"</f>
        <v>65302</v>
      </c>
      <c r="C12205" s="1">
        <v>5.99502370780714E-2</v>
      </c>
      <c r="D12205" s="1">
        <v>0.119410319410319</v>
      </c>
      <c r="E12205" s="1">
        <v>4.0899795501022403E-3</v>
      </c>
      <c r="F12205" s="1">
        <v>6.3882476390346193E-2</v>
      </c>
    </row>
    <row r="12206" spans="1:6" x14ac:dyDescent="0.25">
      <c r="A12206" s="2" t="str">
        <f t="shared" si="442"/>
        <v>42740</v>
      </c>
      <c r="B12206" s="2" t="str">
        <f>"65301"</f>
        <v>65301</v>
      </c>
      <c r="C12206" s="1">
        <v>0.76526923618609399</v>
      </c>
      <c r="D12206" s="1">
        <v>0.83194103194103097</v>
      </c>
      <c r="E12206" s="1">
        <v>0.88752556237218805</v>
      </c>
      <c r="F12206" s="1">
        <v>0.77347324239244397</v>
      </c>
    </row>
    <row r="12207" spans="1:6" x14ac:dyDescent="0.25">
      <c r="A12207" s="2" t="str">
        <f t="shared" ref="A12207:A12224" si="443">"21380"</f>
        <v>21380</v>
      </c>
      <c r="B12207" s="2" t="str">
        <f>"66850"</f>
        <v>66850</v>
      </c>
      <c r="C12207" s="1">
        <v>6.66887125220458E-3</v>
      </c>
      <c r="D12207" s="1">
        <v>2.0161290322580601E-3</v>
      </c>
      <c r="E12207" s="1">
        <v>0</v>
      </c>
      <c r="F12207" s="1">
        <v>5.9955516874576897E-3</v>
      </c>
    </row>
    <row r="12208" spans="1:6" x14ac:dyDescent="0.25">
      <c r="A12208" s="2" t="str">
        <f t="shared" si="443"/>
        <v>21380</v>
      </c>
      <c r="B12208" s="2" t="str">
        <f>"66869"</f>
        <v>66869</v>
      </c>
      <c r="C12208" s="1">
        <v>1.99514991181657E-2</v>
      </c>
      <c r="D12208" s="1">
        <v>6.7204301075268801E-3</v>
      </c>
      <c r="E12208" s="1">
        <v>3.8095238095238E-3</v>
      </c>
      <c r="F12208" s="1">
        <v>1.81800599555168E-2</v>
      </c>
    </row>
    <row r="12209" spans="1:6" x14ac:dyDescent="0.25">
      <c r="A12209" s="2" t="str">
        <f t="shared" si="443"/>
        <v>21380</v>
      </c>
      <c r="B12209" s="2" t="str">
        <f>"66860"</f>
        <v>66860</v>
      </c>
      <c r="C12209" s="1">
        <v>3.4171075837742498E-3</v>
      </c>
      <c r="D12209" s="1">
        <v>6.7204301075268801E-4</v>
      </c>
      <c r="E12209" s="1">
        <v>3.8095238095238E-3</v>
      </c>
      <c r="F12209" s="1">
        <v>3.2395319601585901E-3</v>
      </c>
    </row>
    <row r="12210" spans="1:6" x14ac:dyDescent="0.25">
      <c r="A12210" s="2" t="str">
        <f t="shared" si="443"/>
        <v>21380</v>
      </c>
      <c r="B12210" s="2" t="str">
        <f>"66858"</f>
        <v>66858</v>
      </c>
      <c r="C12210" s="1">
        <v>2.7557319223985802E-4</v>
      </c>
      <c r="D12210" s="1">
        <v>0</v>
      </c>
      <c r="E12210" s="1">
        <v>0</v>
      </c>
      <c r="F12210" s="1">
        <v>2.41756116429745E-4</v>
      </c>
    </row>
    <row r="12211" spans="1:6" x14ac:dyDescent="0.25">
      <c r="A12211" s="2" t="str">
        <f t="shared" si="443"/>
        <v>21380</v>
      </c>
      <c r="B12211" s="2" t="str">
        <f>"66845"</f>
        <v>66845</v>
      </c>
      <c r="C12211" s="1">
        <v>2.9431216931216898E-2</v>
      </c>
      <c r="D12211" s="1">
        <v>1.2768817204301E-2</v>
      </c>
      <c r="E12211" s="1">
        <v>3.8095238095238E-3</v>
      </c>
      <c r="F12211" s="1">
        <v>2.6931631370273601E-2</v>
      </c>
    </row>
    <row r="12212" spans="1:6" x14ac:dyDescent="0.25">
      <c r="A12212" s="2" t="str">
        <f t="shared" si="443"/>
        <v>21380</v>
      </c>
      <c r="B12212" s="2" t="str">
        <f>"66840"</f>
        <v>66840</v>
      </c>
      <c r="C12212" s="1">
        <v>1.1574074074074E-3</v>
      </c>
      <c r="D12212" s="1">
        <v>0</v>
      </c>
      <c r="E12212" s="1">
        <v>0</v>
      </c>
      <c r="F12212" s="1">
        <v>1.0153756890049299E-3</v>
      </c>
    </row>
    <row r="12213" spans="1:6" x14ac:dyDescent="0.25">
      <c r="A12213" s="2" t="str">
        <f t="shared" si="443"/>
        <v>21380</v>
      </c>
      <c r="B12213" s="2" t="str">
        <f>"66843"</f>
        <v>66843</v>
      </c>
      <c r="C12213" s="1">
        <v>7.8262786596119908E-3</v>
      </c>
      <c r="D12213" s="1">
        <v>2.0161290322580601E-3</v>
      </c>
      <c r="E12213" s="1">
        <v>2.8571428571428502E-3</v>
      </c>
      <c r="F12213" s="1">
        <v>7.1559810463204697E-3</v>
      </c>
    </row>
    <row r="12214" spans="1:6" x14ac:dyDescent="0.25">
      <c r="A12214" s="2" t="str">
        <f t="shared" si="443"/>
        <v>21380</v>
      </c>
      <c r="B12214" s="2" t="str">
        <f>"66801"</f>
        <v>66801</v>
      </c>
      <c r="C12214" s="1">
        <v>0.78323412698412598</v>
      </c>
      <c r="D12214" s="1">
        <v>0.94354838709677402</v>
      </c>
      <c r="E12214" s="1">
        <v>0.93142857142857105</v>
      </c>
      <c r="F12214" s="1">
        <v>0.80229184798375297</v>
      </c>
    </row>
    <row r="12215" spans="1:6" x14ac:dyDescent="0.25">
      <c r="A12215" s="2" t="str">
        <f t="shared" si="443"/>
        <v>21380</v>
      </c>
      <c r="B12215" s="2" t="str">
        <f>"66523"</f>
        <v>66523</v>
      </c>
      <c r="C12215" s="1">
        <v>8.2671957671957602E-4</v>
      </c>
      <c r="D12215" s="1">
        <v>0</v>
      </c>
      <c r="E12215" s="1">
        <v>0</v>
      </c>
      <c r="F12215" s="1">
        <v>7.2526834928923702E-4</v>
      </c>
    </row>
    <row r="12216" spans="1:6" x14ac:dyDescent="0.25">
      <c r="A12216" s="2" t="str">
        <f t="shared" si="443"/>
        <v>21380</v>
      </c>
      <c r="B12216" s="2" t="str">
        <f>"66865"</f>
        <v>66865</v>
      </c>
      <c r="C12216" s="1">
        <v>2.8714726631393201E-2</v>
      </c>
      <c r="D12216" s="1">
        <v>3.36021505376344E-3</v>
      </c>
      <c r="E12216" s="1">
        <v>1.9047619047619001E-2</v>
      </c>
      <c r="F12216" s="1">
        <v>2.6399767914128201E-2</v>
      </c>
    </row>
    <row r="12217" spans="1:6" x14ac:dyDescent="0.25">
      <c r="A12217" s="2" t="str">
        <f t="shared" si="443"/>
        <v>21380</v>
      </c>
      <c r="B12217" s="2" t="str">
        <f>"66864"</f>
        <v>66864</v>
      </c>
      <c r="C12217" s="1">
        <v>1.1574074074074001E-2</v>
      </c>
      <c r="D12217" s="1">
        <v>3.36021505376344E-3</v>
      </c>
      <c r="E12217" s="1">
        <v>1.9047619047619E-3</v>
      </c>
      <c r="F12217" s="1">
        <v>1.04922154530509E-2</v>
      </c>
    </row>
    <row r="12218" spans="1:6" x14ac:dyDescent="0.25">
      <c r="A12218" s="2" t="str">
        <f t="shared" si="443"/>
        <v>21380</v>
      </c>
      <c r="B12218" s="2" t="str">
        <f>"66854"</f>
        <v>66854</v>
      </c>
      <c r="C12218" s="1">
        <v>2.1935626102292698E-2</v>
      </c>
      <c r="D12218" s="1">
        <v>9.4086021505376295E-3</v>
      </c>
      <c r="E12218" s="1">
        <v>6.6666666666666602E-3</v>
      </c>
      <c r="F12218" s="1">
        <v>2.02591625568126E-2</v>
      </c>
    </row>
    <row r="12219" spans="1:6" x14ac:dyDescent="0.25">
      <c r="A12219" s="2" t="str">
        <f t="shared" si="443"/>
        <v>21380</v>
      </c>
      <c r="B12219" s="2" t="str">
        <f>"66846"</f>
        <v>66846</v>
      </c>
      <c r="C12219" s="1">
        <v>3.7477954144620801E-3</v>
      </c>
      <c r="D12219" s="1">
        <v>0</v>
      </c>
      <c r="E12219" s="1">
        <v>0</v>
      </c>
      <c r="F12219" s="1">
        <v>3.2878831834445401E-3</v>
      </c>
    </row>
    <row r="12220" spans="1:6" x14ac:dyDescent="0.25">
      <c r="A12220" s="2" t="str">
        <f t="shared" si="443"/>
        <v>21380</v>
      </c>
      <c r="B12220" s="2" t="str">
        <f>"66835"</f>
        <v>66835</v>
      </c>
      <c r="C12220" s="1">
        <v>3.2462522045855299E-2</v>
      </c>
      <c r="D12220" s="1">
        <v>1.3440860215053699E-3</v>
      </c>
      <c r="E12220" s="1">
        <v>1.0476190476190399E-2</v>
      </c>
      <c r="F12220" s="1">
        <v>2.91074364181413E-2</v>
      </c>
    </row>
    <row r="12221" spans="1:6" x14ac:dyDescent="0.25">
      <c r="A12221" s="2" t="str">
        <f t="shared" si="443"/>
        <v>21380</v>
      </c>
      <c r="B12221" s="2" t="str">
        <f>"66862"</f>
        <v>66862</v>
      </c>
      <c r="C12221" s="1">
        <v>5.0705467372134001E-3</v>
      </c>
      <c r="D12221" s="1">
        <v>1.3440860215053699E-3</v>
      </c>
      <c r="E12221" s="1">
        <v>9.5238095238095195E-4</v>
      </c>
      <c r="F12221" s="1">
        <v>4.5933662121651602E-3</v>
      </c>
    </row>
    <row r="12222" spans="1:6" x14ac:dyDescent="0.25">
      <c r="A12222" s="2" t="str">
        <f t="shared" si="443"/>
        <v>21380</v>
      </c>
      <c r="B12222" s="2" t="str">
        <f>"66868"</f>
        <v>66868</v>
      </c>
      <c r="C12222" s="1">
        <v>1.9345238095237999E-2</v>
      </c>
      <c r="D12222" s="1">
        <v>7.3924731182795599E-3</v>
      </c>
      <c r="E12222" s="1">
        <v>4.7619047619047597E-3</v>
      </c>
      <c r="F12222" s="1">
        <v>1.7744898945943301E-2</v>
      </c>
    </row>
    <row r="12223" spans="1:6" x14ac:dyDescent="0.25">
      <c r="A12223" s="2" t="str">
        <f t="shared" si="443"/>
        <v>21380</v>
      </c>
      <c r="B12223" s="2" t="str">
        <f>"66833"</f>
        <v>66833</v>
      </c>
      <c r="C12223" s="1">
        <v>1.6148589065255702E-2</v>
      </c>
      <c r="D12223" s="1">
        <v>6.7204301075268801E-4</v>
      </c>
      <c r="E12223" s="1">
        <v>5.7142857142857099E-3</v>
      </c>
      <c r="F12223" s="1">
        <v>1.4505366985784701E-2</v>
      </c>
    </row>
    <row r="12224" spans="1:6" x14ac:dyDescent="0.25">
      <c r="A12224" s="2" t="str">
        <f t="shared" si="443"/>
        <v>21380</v>
      </c>
      <c r="B12224" s="2" t="str">
        <f>"66830"</f>
        <v>66830</v>
      </c>
      <c r="C12224" s="1">
        <v>8.2120811287477898E-3</v>
      </c>
      <c r="D12224" s="1">
        <v>5.3763440860214997E-3</v>
      </c>
      <c r="E12224" s="1">
        <v>4.7619047619047597E-3</v>
      </c>
      <c r="F12224" s="1">
        <v>7.8328981723237504E-3</v>
      </c>
    </row>
    <row r="12225" spans="1:6" x14ac:dyDescent="0.25">
      <c r="A12225" s="2" t="str">
        <f t="shared" ref="A12225:A12239" si="444">"49060"</f>
        <v>49060</v>
      </c>
      <c r="B12225" s="2" t="str">
        <f>"67024"</f>
        <v>67024</v>
      </c>
      <c r="C12225" s="1">
        <v>2.1726365237815601E-3</v>
      </c>
      <c r="D12225" s="1">
        <v>0</v>
      </c>
      <c r="E12225" s="1">
        <v>0</v>
      </c>
      <c r="F12225" s="1">
        <v>1.9633855133987699E-3</v>
      </c>
    </row>
    <row r="12226" spans="1:6" x14ac:dyDescent="0.25">
      <c r="A12226" s="2" t="str">
        <f t="shared" si="444"/>
        <v>49060</v>
      </c>
      <c r="B12226" s="2" t="str">
        <f>"67039"</f>
        <v>67039</v>
      </c>
      <c r="C12226" s="1">
        <v>1.4092777451556E-3</v>
      </c>
      <c r="D12226" s="1">
        <v>0</v>
      </c>
      <c r="E12226" s="1">
        <v>0</v>
      </c>
      <c r="F12226" s="1">
        <v>1.2735473600424499E-3</v>
      </c>
    </row>
    <row r="12227" spans="1:6" x14ac:dyDescent="0.25">
      <c r="A12227" s="2" t="str">
        <f t="shared" si="444"/>
        <v>49060</v>
      </c>
      <c r="B12227" s="2" t="str">
        <f>"67038"</f>
        <v>67038</v>
      </c>
      <c r="C12227" s="1">
        <v>1.6206694069289401E-2</v>
      </c>
      <c r="D12227" s="1">
        <v>1.3484740951029001E-2</v>
      </c>
      <c r="E12227" s="1">
        <v>7.38916256157635E-3</v>
      </c>
      <c r="F12227" s="1">
        <v>1.5813213053860398E-2</v>
      </c>
    </row>
    <row r="12228" spans="1:6" x14ac:dyDescent="0.25">
      <c r="A12228" s="2" t="str">
        <f t="shared" si="444"/>
        <v>49060</v>
      </c>
      <c r="B12228" s="2" t="str">
        <f>"67102"</f>
        <v>67102</v>
      </c>
      <c r="C12228" s="1">
        <v>1.8790369935408099E-3</v>
      </c>
      <c r="D12228" s="1">
        <v>7.0972320794889898E-4</v>
      </c>
      <c r="E12228" s="1">
        <v>2.46305418719211E-3</v>
      </c>
      <c r="F12228" s="1">
        <v>1.8041920933934701E-3</v>
      </c>
    </row>
    <row r="12229" spans="1:6" x14ac:dyDescent="0.25">
      <c r="A12229" s="2" t="str">
        <f t="shared" si="444"/>
        <v>49060</v>
      </c>
      <c r="B12229" s="2" t="str">
        <f>"67019"</f>
        <v>67019</v>
      </c>
      <c r="C12229" s="1">
        <v>2.57193188490898E-2</v>
      </c>
      <c r="D12229" s="1">
        <v>1.06458481192334E-2</v>
      </c>
      <c r="E12229" s="1">
        <v>1.23152709359605E-2</v>
      </c>
      <c r="F12229" s="1">
        <v>2.43035287874767E-2</v>
      </c>
    </row>
    <row r="12230" spans="1:6" x14ac:dyDescent="0.25">
      <c r="A12230" s="2" t="str">
        <f t="shared" si="444"/>
        <v>49060</v>
      </c>
      <c r="B12230" s="2" t="str">
        <f>"67072"</f>
        <v>67072</v>
      </c>
      <c r="C12230" s="1">
        <v>9.9823840281855502E-4</v>
      </c>
      <c r="D12230" s="1">
        <v>0</v>
      </c>
      <c r="E12230" s="1">
        <v>0</v>
      </c>
      <c r="F12230" s="1">
        <v>9.0209604669673601E-4</v>
      </c>
    </row>
    <row r="12231" spans="1:6" x14ac:dyDescent="0.25">
      <c r="A12231" s="2" t="str">
        <f t="shared" si="444"/>
        <v>49060</v>
      </c>
      <c r="B12231" s="2" t="str">
        <f>"67110"</f>
        <v>67110</v>
      </c>
      <c r="C12231" s="1">
        <v>1.0569583088667E-3</v>
      </c>
      <c r="D12231" s="1">
        <v>0</v>
      </c>
      <c r="E12231" s="1">
        <v>0</v>
      </c>
      <c r="F12231" s="1">
        <v>9.5516052003183805E-4</v>
      </c>
    </row>
    <row r="12232" spans="1:6" x14ac:dyDescent="0.25">
      <c r="A12232" s="2" t="str">
        <f t="shared" si="444"/>
        <v>49060</v>
      </c>
      <c r="B12232" s="2" t="str">
        <f>"67008"</f>
        <v>67008</v>
      </c>
      <c r="C12232" s="1">
        <v>1.13916617733411E-2</v>
      </c>
      <c r="D12232" s="1">
        <v>7.0972320794889898E-4</v>
      </c>
      <c r="E12232" s="1">
        <v>2.46305418719211E-3</v>
      </c>
      <c r="F12232" s="1">
        <v>1.040063677368E-2</v>
      </c>
    </row>
    <row r="12233" spans="1:6" x14ac:dyDescent="0.25">
      <c r="A12233" s="2" t="str">
        <f t="shared" si="444"/>
        <v>49060</v>
      </c>
      <c r="B12233" s="2" t="str">
        <f>"67023"</f>
        <v>67023</v>
      </c>
      <c r="C12233" s="1">
        <v>7.9859072225484402E-3</v>
      </c>
      <c r="D12233" s="1">
        <v>5.6777856635911901E-3</v>
      </c>
      <c r="E12233" s="1">
        <v>7.38916256157635E-3</v>
      </c>
      <c r="F12233" s="1">
        <v>7.8004775802600103E-3</v>
      </c>
    </row>
    <row r="12234" spans="1:6" x14ac:dyDescent="0.25">
      <c r="A12234" s="2" t="str">
        <f t="shared" si="444"/>
        <v>49060</v>
      </c>
      <c r="B12234" s="2" t="str">
        <f>"67119"</f>
        <v>67119</v>
      </c>
      <c r="C12234" s="1">
        <v>3.69935408103347E-3</v>
      </c>
      <c r="D12234" s="1">
        <v>1.4194464158977899E-3</v>
      </c>
      <c r="E12234" s="1">
        <v>0</v>
      </c>
      <c r="F12234" s="1">
        <v>3.4491907667816299E-3</v>
      </c>
    </row>
    <row r="12235" spans="1:6" x14ac:dyDescent="0.25">
      <c r="A12235" s="2" t="str">
        <f t="shared" si="444"/>
        <v>49060</v>
      </c>
      <c r="B12235" s="2" t="str">
        <f>"67051"</f>
        <v>67051</v>
      </c>
      <c r="C12235" s="1">
        <v>2.11391661773341E-3</v>
      </c>
      <c r="D12235" s="1">
        <v>1.4194464158977899E-3</v>
      </c>
      <c r="E12235" s="1">
        <v>0</v>
      </c>
      <c r="F12235" s="1">
        <v>2.01644998673388E-3</v>
      </c>
    </row>
    <row r="12236" spans="1:6" x14ac:dyDescent="0.25">
      <c r="A12236" s="2" t="str">
        <f t="shared" si="444"/>
        <v>49060</v>
      </c>
      <c r="B12236" s="2" t="str">
        <f>"67005"</f>
        <v>67005</v>
      </c>
      <c r="C12236" s="1">
        <v>0.451145038167938</v>
      </c>
      <c r="D12236" s="1">
        <v>0.43364088005677698</v>
      </c>
      <c r="E12236" s="1">
        <v>0.35714285714285698</v>
      </c>
      <c r="F12236" s="1">
        <v>0.44781109047492701</v>
      </c>
    </row>
    <row r="12237" spans="1:6" x14ac:dyDescent="0.25">
      <c r="A12237" s="2" t="str">
        <f t="shared" si="444"/>
        <v>49060</v>
      </c>
      <c r="B12237" s="2" t="str">
        <f>"67146"</f>
        <v>67146</v>
      </c>
      <c r="C12237" s="1">
        <v>4.6682325308279503E-2</v>
      </c>
      <c r="D12237" s="1">
        <v>1.6323633782824601E-2</v>
      </c>
      <c r="E12237" s="1">
        <v>4.9261083743842296E-3</v>
      </c>
      <c r="F12237" s="1">
        <v>4.3512868134783701E-2</v>
      </c>
    </row>
    <row r="12238" spans="1:6" x14ac:dyDescent="0.25">
      <c r="A12238" s="2" t="str">
        <f t="shared" si="444"/>
        <v>49060</v>
      </c>
      <c r="B12238" s="2" t="str">
        <f>"67131"</f>
        <v>67131</v>
      </c>
      <c r="C12238" s="1">
        <v>7.4574280681150903E-3</v>
      </c>
      <c r="D12238" s="1">
        <v>7.0972320794889898E-4</v>
      </c>
      <c r="E12238" s="1">
        <v>2.46305418719211E-3</v>
      </c>
      <c r="F12238" s="1">
        <v>6.8453170602281697E-3</v>
      </c>
    </row>
    <row r="12239" spans="1:6" x14ac:dyDescent="0.25">
      <c r="A12239" s="2" t="str">
        <f t="shared" si="444"/>
        <v>49060</v>
      </c>
      <c r="B12239" s="2" t="str">
        <f>"67156"</f>
        <v>67156</v>
      </c>
      <c r="C12239" s="1">
        <v>0.42008220786846701</v>
      </c>
      <c r="D12239" s="1">
        <v>0.51525904897090102</v>
      </c>
      <c r="E12239" s="1">
        <v>0.60344827586206795</v>
      </c>
      <c r="F12239" s="1">
        <v>0.43114884584770402</v>
      </c>
    </row>
    <row r="12240" spans="1:6" x14ac:dyDescent="0.25">
      <c r="A12240" s="2" t="str">
        <f t="shared" ref="A12240:A12247" si="445">"30580"</f>
        <v>30580</v>
      </c>
      <c r="B12240" s="2" t="str">
        <f>"67901"</f>
        <v>67901</v>
      </c>
      <c r="C12240" s="1">
        <v>0.95587058420029702</v>
      </c>
      <c r="D12240" s="1">
        <v>0.98161764705882304</v>
      </c>
      <c r="E12240" s="1">
        <v>0.99337748344370802</v>
      </c>
      <c r="F12240" s="1">
        <v>0.96024494556765105</v>
      </c>
    </row>
    <row r="12241" spans="1:6" x14ac:dyDescent="0.25">
      <c r="A12241" s="2" t="str">
        <f t="shared" si="445"/>
        <v>30580</v>
      </c>
      <c r="B12241" s="2" t="str">
        <f>"67870"</f>
        <v>67870</v>
      </c>
      <c r="C12241" s="1">
        <v>1.7148736709729001E-3</v>
      </c>
      <c r="D12241" s="1">
        <v>0</v>
      </c>
      <c r="E12241" s="1">
        <v>0</v>
      </c>
      <c r="F12241" s="1">
        <v>1.4580093312597201E-3</v>
      </c>
    </row>
    <row r="12242" spans="1:6" x14ac:dyDescent="0.25">
      <c r="A12242" s="2" t="str">
        <f t="shared" si="445"/>
        <v>30580</v>
      </c>
      <c r="B12242" s="2" t="str">
        <f>"67869"</f>
        <v>67869</v>
      </c>
      <c r="C12242" s="1">
        <v>5.0302961015205204E-3</v>
      </c>
      <c r="D12242" s="1">
        <v>9.1911764705882297E-4</v>
      </c>
      <c r="E12242" s="1">
        <v>0</v>
      </c>
      <c r="F12242" s="1">
        <v>4.3740279937791596E-3</v>
      </c>
    </row>
    <row r="12243" spans="1:6" x14ac:dyDescent="0.25">
      <c r="A12243" s="2" t="str">
        <f t="shared" si="445"/>
        <v>30580</v>
      </c>
      <c r="B12243" s="2" t="str">
        <f>"67952"</f>
        <v>67952</v>
      </c>
      <c r="C12243" s="1">
        <v>9.1459929118554897E-4</v>
      </c>
      <c r="D12243" s="1">
        <v>0</v>
      </c>
      <c r="E12243" s="1">
        <v>0</v>
      </c>
      <c r="F12243" s="1">
        <v>7.7760497667185005E-4</v>
      </c>
    </row>
    <row r="12244" spans="1:6" x14ac:dyDescent="0.25">
      <c r="A12244" s="2" t="str">
        <f t="shared" si="445"/>
        <v>30580</v>
      </c>
      <c r="B12244" s="2" t="str">
        <f>"67877"</f>
        <v>67877</v>
      </c>
      <c r="C12244" s="1">
        <v>3.4297473419457998E-4</v>
      </c>
      <c r="D12244" s="1">
        <v>0</v>
      </c>
      <c r="E12244" s="1">
        <v>0</v>
      </c>
      <c r="F12244" s="1">
        <v>2.9160186625194398E-4</v>
      </c>
    </row>
    <row r="12245" spans="1:6" x14ac:dyDescent="0.25">
      <c r="A12245" s="2" t="str">
        <f t="shared" si="445"/>
        <v>30580</v>
      </c>
      <c r="B12245" s="2" t="str">
        <f>"67954"</f>
        <v>67954</v>
      </c>
      <c r="C12245" s="1">
        <v>2.7437978735566399E-3</v>
      </c>
      <c r="D12245" s="1">
        <v>9.1911764705882297E-4</v>
      </c>
      <c r="E12245" s="1">
        <v>0</v>
      </c>
      <c r="F12245" s="1">
        <v>2.4300155520995299E-3</v>
      </c>
    </row>
    <row r="12246" spans="1:6" x14ac:dyDescent="0.25">
      <c r="A12246" s="2" t="str">
        <f t="shared" si="445"/>
        <v>30580</v>
      </c>
      <c r="B12246" s="2" t="str">
        <f>"67951"</f>
        <v>67951</v>
      </c>
      <c r="C12246" s="1">
        <v>9.1459929118554897E-4</v>
      </c>
      <c r="D12246" s="1">
        <v>0</v>
      </c>
      <c r="E12246" s="1">
        <v>0</v>
      </c>
      <c r="F12246" s="1">
        <v>7.7760497667185005E-4</v>
      </c>
    </row>
    <row r="12247" spans="1:6" x14ac:dyDescent="0.25">
      <c r="A12247" s="2" t="str">
        <f t="shared" si="445"/>
        <v>30580</v>
      </c>
      <c r="B12247" s="2" t="str">
        <f>"67859"</f>
        <v>67859</v>
      </c>
      <c r="C12247" s="1">
        <v>3.2468274837087002E-2</v>
      </c>
      <c r="D12247" s="1">
        <v>1.6544117647058799E-2</v>
      </c>
      <c r="E12247" s="1">
        <v>6.6225165562913899E-3</v>
      </c>
      <c r="F12247" s="1">
        <v>2.9646189735614299E-2</v>
      </c>
    </row>
    <row r="12248" spans="1:6" x14ac:dyDescent="0.25">
      <c r="A12248" s="2" t="str">
        <f t="shared" ref="A12248:A12279" si="446">"37100"</f>
        <v>37100</v>
      </c>
      <c r="B12248" s="2" t="str">
        <f>"93061"</f>
        <v>93061</v>
      </c>
      <c r="C12248" s="1">
        <v>1.59026920305611E-3</v>
      </c>
      <c r="D12248" s="1">
        <v>5.7750678234709503E-3</v>
      </c>
      <c r="E12248" s="1">
        <v>1.2285012285012201E-4</v>
      </c>
      <c r="F12248" s="1">
        <v>1.9481752815086099E-3</v>
      </c>
    </row>
    <row r="12249" spans="1:6" x14ac:dyDescent="0.25">
      <c r="A12249" s="2" t="str">
        <f t="shared" si="446"/>
        <v>37100</v>
      </c>
      <c r="B12249" s="2" t="str">
        <f>"93043"</f>
        <v>93043</v>
      </c>
      <c r="C12249" s="1">
        <v>0</v>
      </c>
      <c r="D12249" s="1">
        <v>0</v>
      </c>
      <c r="E12249" s="1">
        <v>5.77395577395577E-3</v>
      </c>
      <c r="F12249" s="1">
        <v>2.5505358838692099E-4</v>
      </c>
    </row>
    <row r="12250" spans="1:6" x14ac:dyDescent="0.25">
      <c r="A12250" s="2" t="str">
        <f t="shared" si="446"/>
        <v>37100</v>
      </c>
      <c r="B12250" s="2" t="str">
        <f>"93063"</f>
        <v>93063</v>
      </c>
      <c r="C12250" s="1">
        <v>6.1684034776425901E-2</v>
      </c>
      <c r="D12250" s="1">
        <v>3.53756480163313E-2</v>
      </c>
      <c r="E12250" s="1">
        <v>8.4889434889434803E-2</v>
      </c>
      <c r="F12250" s="1">
        <v>6.0051553384886699E-2</v>
      </c>
    </row>
    <row r="12251" spans="1:6" x14ac:dyDescent="0.25">
      <c r="A12251" s="2" t="str">
        <f t="shared" si="446"/>
        <v>37100</v>
      </c>
      <c r="B12251" s="2" t="str">
        <f>"93042"</f>
        <v>93042</v>
      </c>
      <c r="C12251" s="1">
        <v>0</v>
      </c>
      <c r="D12251" s="1">
        <v>2.6860780574283399E-5</v>
      </c>
      <c r="E12251" s="1">
        <v>2.0884520884520801E-3</v>
      </c>
      <c r="F12251" s="1">
        <v>9.4966761633428294E-5</v>
      </c>
    </row>
    <row r="12252" spans="1:6" x14ac:dyDescent="0.25">
      <c r="A12252" s="2" t="str">
        <f t="shared" si="446"/>
        <v>37100</v>
      </c>
      <c r="B12252" s="2" t="str">
        <f>"93031"</f>
        <v>93031</v>
      </c>
      <c r="C12252" s="1">
        <v>8.6623645811180101E-3</v>
      </c>
      <c r="D12252" s="1">
        <v>1.4558543071261599E-2</v>
      </c>
      <c r="E12252" s="1">
        <v>1.2285012285012201E-4</v>
      </c>
      <c r="F12252" s="1">
        <v>8.8807488807488792E-3</v>
      </c>
    </row>
    <row r="12253" spans="1:6" x14ac:dyDescent="0.25">
      <c r="A12253" s="2" t="str">
        <f t="shared" si="446"/>
        <v>37100</v>
      </c>
      <c r="B12253" s="2" t="str">
        <f>"91360"</f>
        <v>91360</v>
      </c>
      <c r="C12253" s="1">
        <v>4.9282474344609098E-2</v>
      </c>
      <c r="D12253" s="1">
        <v>4.29503881382792E-2</v>
      </c>
      <c r="E12253" s="1">
        <v>4.3304668304668302E-2</v>
      </c>
      <c r="F12253" s="1">
        <v>4.8378781712115002E-2</v>
      </c>
    </row>
    <row r="12254" spans="1:6" x14ac:dyDescent="0.25">
      <c r="A12254" s="2" t="str">
        <f t="shared" si="446"/>
        <v>37100</v>
      </c>
      <c r="B12254" s="2" t="str">
        <f>"93099"</f>
        <v>93099</v>
      </c>
      <c r="C12254" s="1">
        <v>0</v>
      </c>
      <c r="D12254" s="1">
        <v>0</v>
      </c>
      <c r="E12254" s="1">
        <v>6.1425061425061396E-5</v>
      </c>
      <c r="F12254" s="1">
        <v>2.7133360466693801E-6</v>
      </c>
    </row>
    <row r="12255" spans="1:6" x14ac:dyDescent="0.25">
      <c r="A12255" s="2" t="str">
        <f t="shared" si="446"/>
        <v>37100</v>
      </c>
      <c r="B12255" s="2" t="str">
        <f>"93040"</f>
        <v>93040</v>
      </c>
      <c r="C12255" s="1">
        <v>9.4908281779196898E-4</v>
      </c>
      <c r="D12255" s="1">
        <v>4.5663326976281898E-4</v>
      </c>
      <c r="E12255" s="1">
        <v>4.9140049140049095E-4</v>
      </c>
      <c r="F12255" s="1">
        <v>8.7912087912087901E-4</v>
      </c>
    </row>
    <row r="12256" spans="1:6" x14ac:dyDescent="0.25">
      <c r="A12256" s="2" t="str">
        <f t="shared" si="446"/>
        <v>37100</v>
      </c>
      <c r="B12256" s="2" t="str">
        <f>"93009"</f>
        <v>93009</v>
      </c>
      <c r="C12256" s="1">
        <v>0</v>
      </c>
      <c r="D12256" s="1">
        <v>0</v>
      </c>
      <c r="E12256" s="1">
        <v>1.2285012285012201E-4</v>
      </c>
      <c r="F12256" s="1">
        <v>5.4266720933387602E-6</v>
      </c>
    </row>
    <row r="12257" spans="1:6" x14ac:dyDescent="0.25">
      <c r="A12257" s="2" t="str">
        <f t="shared" si="446"/>
        <v>37100</v>
      </c>
      <c r="B12257" s="2" t="str">
        <f>"93007"</f>
        <v>93007</v>
      </c>
      <c r="C12257" s="1">
        <v>1.5204370224827801E-3</v>
      </c>
      <c r="D12257" s="1">
        <v>4.9155228450938702E-3</v>
      </c>
      <c r="E12257" s="1">
        <v>1.2285012285012201E-4</v>
      </c>
      <c r="F12257" s="1">
        <v>1.80165513498846E-3</v>
      </c>
    </row>
    <row r="12258" spans="1:6" x14ac:dyDescent="0.25">
      <c r="A12258" s="2" t="str">
        <f t="shared" si="446"/>
        <v>37100</v>
      </c>
      <c r="B12258" s="2" t="str">
        <f>"93002"</f>
        <v>93002</v>
      </c>
      <c r="C12258" s="1">
        <v>6.9736954872540299E-3</v>
      </c>
      <c r="D12258" s="1">
        <v>1.6062746783421501E-2</v>
      </c>
      <c r="E12258" s="1">
        <v>1.2285012285012201E-4</v>
      </c>
      <c r="F12258" s="1">
        <v>7.5892009225342503E-3</v>
      </c>
    </row>
    <row r="12259" spans="1:6" x14ac:dyDescent="0.25">
      <c r="A12259" s="2" t="str">
        <f t="shared" si="446"/>
        <v>37100</v>
      </c>
      <c r="B12259" s="2" t="str">
        <f>"93094"</f>
        <v>93094</v>
      </c>
      <c r="C12259" s="1">
        <v>3.9677375325751201E-3</v>
      </c>
      <c r="D12259" s="1">
        <v>1.0636869107416199E-2</v>
      </c>
      <c r="E12259" s="1">
        <v>1.2285012285012201E-4</v>
      </c>
      <c r="F12259" s="1">
        <v>4.47157780491113E-3</v>
      </c>
    </row>
    <row r="12260" spans="1:6" x14ac:dyDescent="0.25">
      <c r="A12260" s="2" t="str">
        <f t="shared" si="446"/>
        <v>37100</v>
      </c>
      <c r="B12260" s="2" t="str">
        <f>"93044"</f>
        <v>93044</v>
      </c>
      <c r="C12260" s="1">
        <v>4.6724077183604596E-3</v>
      </c>
      <c r="D12260" s="1">
        <v>2.7935211797254799E-3</v>
      </c>
      <c r="E12260" s="1">
        <v>1.2285012285012201E-4</v>
      </c>
      <c r="F12260" s="1">
        <v>4.2816442816442802E-3</v>
      </c>
    </row>
    <row r="12261" spans="1:6" x14ac:dyDescent="0.25">
      <c r="A12261" s="2" t="str">
        <f t="shared" si="446"/>
        <v>37100</v>
      </c>
      <c r="B12261" s="2" t="str">
        <f>"93016"</f>
        <v>93016</v>
      </c>
      <c r="C12261" s="1">
        <v>2.2346297783463098E-3</v>
      </c>
      <c r="D12261" s="1">
        <v>3.6799269386768299E-3</v>
      </c>
      <c r="E12261" s="1">
        <v>6.1425061425061396E-5</v>
      </c>
      <c r="F12261" s="1">
        <v>2.2846289512956099E-3</v>
      </c>
    </row>
    <row r="12262" spans="1:6" x14ac:dyDescent="0.25">
      <c r="A12262" s="2" t="str">
        <f t="shared" si="446"/>
        <v>37100</v>
      </c>
      <c r="B12262" s="2" t="str">
        <f>"93013"</f>
        <v>93013</v>
      </c>
      <c r="C12262" s="1">
        <v>1.5870950130300501E-4</v>
      </c>
      <c r="D12262" s="1">
        <v>0</v>
      </c>
      <c r="E12262" s="1">
        <v>0</v>
      </c>
      <c r="F12262" s="1">
        <v>1.35666802333469E-4</v>
      </c>
    </row>
    <row r="12263" spans="1:6" x14ac:dyDescent="0.25">
      <c r="A12263" s="2" t="str">
        <f t="shared" si="446"/>
        <v>37100</v>
      </c>
      <c r="B12263" s="2" t="str">
        <f>"93011"</f>
        <v>93011</v>
      </c>
      <c r="C12263" s="1">
        <v>6.8467278862116296E-3</v>
      </c>
      <c r="D12263" s="1">
        <v>1.9581509038652599E-2</v>
      </c>
      <c r="E12263" s="1">
        <v>1.2285012285012201E-4</v>
      </c>
      <c r="F12263" s="1">
        <v>7.8361145027811604E-3</v>
      </c>
    </row>
    <row r="12264" spans="1:6" x14ac:dyDescent="0.25">
      <c r="A12264" s="2" t="str">
        <f t="shared" si="446"/>
        <v>37100</v>
      </c>
      <c r="B12264" s="2" t="str">
        <f>"91377"</f>
        <v>91377</v>
      </c>
      <c r="C12264" s="1">
        <v>1.6797813617909999E-2</v>
      </c>
      <c r="D12264" s="1">
        <v>2.20258400709124E-3</v>
      </c>
      <c r="E12264" s="1">
        <v>1.6891891891891799E-2</v>
      </c>
      <c r="F12264" s="1">
        <v>1.53276353276353E-2</v>
      </c>
    </row>
    <row r="12265" spans="1:6" x14ac:dyDescent="0.25">
      <c r="A12265" s="2" t="str">
        <f t="shared" si="446"/>
        <v>37100</v>
      </c>
      <c r="B12265" s="2" t="str">
        <f>"93066"</f>
        <v>93066</v>
      </c>
      <c r="C12265" s="1">
        <v>6.5610507838662199E-3</v>
      </c>
      <c r="D12265" s="1">
        <v>6.8226382658680002E-3</v>
      </c>
      <c r="E12265" s="1">
        <v>7.9852579852579802E-4</v>
      </c>
      <c r="F12265" s="1">
        <v>6.3329263329263297E-3</v>
      </c>
    </row>
    <row r="12266" spans="1:6" x14ac:dyDescent="0.25">
      <c r="A12266" s="2" t="str">
        <f t="shared" si="446"/>
        <v>37100</v>
      </c>
      <c r="B12266" s="2" t="str">
        <f>"93060"</f>
        <v>93060</v>
      </c>
      <c r="C12266" s="1">
        <v>3.3135369682041303E-2</v>
      </c>
      <c r="D12266" s="1">
        <v>2.7102527599452E-2</v>
      </c>
      <c r="E12266" s="1">
        <v>6.6400491400491396E-2</v>
      </c>
      <c r="F12266" s="1">
        <v>3.3995387328720601E-2</v>
      </c>
    </row>
    <row r="12267" spans="1:6" x14ac:dyDescent="0.25">
      <c r="A12267" s="2" t="str">
        <f t="shared" si="446"/>
        <v>37100</v>
      </c>
      <c r="B12267" s="2" t="str">
        <f>"93036"</f>
        <v>93036</v>
      </c>
      <c r="C12267" s="1">
        <v>4.5908310346907198E-2</v>
      </c>
      <c r="D12267" s="1">
        <v>4.95312793789787E-2</v>
      </c>
      <c r="E12267" s="1">
        <v>4.4840294840294802E-2</v>
      </c>
      <c r="F12267" s="1">
        <v>4.6227106227106199E-2</v>
      </c>
    </row>
    <row r="12268" spans="1:6" x14ac:dyDescent="0.25">
      <c r="A12268" s="2" t="str">
        <f t="shared" si="446"/>
        <v>37100</v>
      </c>
      <c r="B12268" s="2" t="str">
        <f>"93004"</f>
        <v>93004</v>
      </c>
      <c r="C12268" s="1">
        <v>3.7449093927457003E-2</v>
      </c>
      <c r="D12268" s="1">
        <v>1.0663729887990501E-2</v>
      </c>
      <c r="E12268" s="1">
        <v>2.37714987714987E-2</v>
      </c>
      <c r="F12268" s="1">
        <v>3.4139194139194098E-2</v>
      </c>
    </row>
    <row r="12269" spans="1:6" x14ac:dyDescent="0.25">
      <c r="A12269" s="2" t="str">
        <f t="shared" si="446"/>
        <v>37100</v>
      </c>
      <c r="B12269" s="2" t="str">
        <f>"93015"</f>
        <v>93015</v>
      </c>
      <c r="C12269" s="1">
        <v>1.7889734986874701E-2</v>
      </c>
      <c r="D12269" s="1">
        <v>9.4818555427220695E-3</v>
      </c>
      <c r="E12269" s="1">
        <v>1.13636363636363E-2</v>
      </c>
      <c r="F12269" s="1">
        <v>1.6752136752136701E-2</v>
      </c>
    </row>
    <row r="12270" spans="1:6" x14ac:dyDescent="0.25">
      <c r="A12270" s="2" t="str">
        <f t="shared" si="446"/>
        <v>37100</v>
      </c>
      <c r="B12270" s="2" t="str">
        <f>"91358"</f>
        <v>91358</v>
      </c>
      <c r="C12270" s="1">
        <v>2.4346037499880899E-3</v>
      </c>
      <c r="D12270" s="1">
        <v>5.6139031400252396E-3</v>
      </c>
      <c r="E12270" s="1">
        <v>1.2285012285012201E-4</v>
      </c>
      <c r="F12270" s="1">
        <v>2.6536426536426499E-3</v>
      </c>
    </row>
    <row r="12271" spans="1:6" x14ac:dyDescent="0.25">
      <c r="A12271" s="2" t="str">
        <f t="shared" si="446"/>
        <v>37100</v>
      </c>
      <c r="B12271" s="2" t="str">
        <f>"91359"</f>
        <v>91359</v>
      </c>
      <c r="C12271" s="1">
        <v>4.9358654905234502E-3</v>
      </c>
      <c r="D12271" s="1">
        <v>1.6492519272610001E-2</v>
      </c>
      <c r="E12271" s="1">
        <v>6.1425061425061396E-5</v>
      </c>
      <c r="F12271" s="1">
        <v>5.8879392212725498E-3</v>
      </c>
    </row>
    <row r="12272" spans="1:6" x14ac:dyDescent="0.25">
      <c r="A12272" s="2" t="str">
        <f t="shared" si="446"/>
        <v>37100</v>
      </c>
      <c r="B12272" s="2" t="str">
        <f>"90265"</f>
        <v>90265</v>
      </c>
      <c r="C12272" s="1">
        <v>1.44425646185734E-3</v>
      </c>
      <c r="D12272" s="1">
        <v>1.07443122297133E-4</v>
      </c>
      <c r="E12272" s="1">
        <v>1.22850122850122E-3</v>
      </c>
      <c r="F12272" s="1">
        <v>1.2996879663546301E-3</v>
      </c>
    </row>
    <row r="12273" spans="1:6" x14ac:dyDescent="0.25">
      <c r="A12273" s="2" t="str">
        <f t="shared" si="446"/>
        <v>37100</v>
      </c>
      <c r="B12273" s="2" t="str">
        <f>"93252"</f>
        <v>93252</v>
      </c>
      <c r="C12273" s="1">
        <v>1.8092883148542499E-4</v>
      </c>
      <c r="D12273" s="1">
        <v>8.0582341722850397E-5</v>
      </c>
      <c r="E12273" s="1">
        <v>0</v>
      </c>
      <c r="F12273" s="1">
        <v>1.62800162800162E-4</v>
      </c>
    </row>
    <row r="12274" spans="1:6" x14ac:dyDescent="0.25">
      <c r="A12274" s="2" t="str">
        <f t="shared" si="446"/>
        <v>37100</v>
      </c>
      <c r="B12274" s="2" t="str">
        <f>"93034"</f>
        <v>93034</v>
      </c>
      <c r="C12274" s="1">
        <v>4.61844648791744E-3</v>
      </c>
      <c r="D12274" s="1">
        <v>2.9278250825969E-3</v>
      </c>
      <c r="E12274" s="1">
        <v>1.84275184275184E-4</v>
      </c>
      <c r="F12274" s="1">
        <v>4.2517975851309097E-3</v>
      </c>
    </row>
    <row r="12275" spans="1:6" x14ac:dyDescent="0.25">
      <c r="A12275" s="2" t="str">
        <f t="shared" si="446"/>
        <v>37100</v>
      </c>
      <c r="B12275" s="2" t="str">
        <f>"93006"</f>
        <v>93006</v>
      </c>
      <c r="C12275" s="1">
        <v>4.9041235902628497E-3</v>
      </c>
      <c r="D12275" s="1">
        <v>1.3967605898627399E-2</v>
      </c>
      <c r="E12275" s="1">
        <v>1.2285012285012201E-4</v>
      </c>
      <c r="F12275" s="1">
        <v>5.6084656084655999E-3</v>
      </c>
    </row>
    <row r="12276" spans="1:6" x14ac:dyDescent="0.25">
      <c r="A12276" s="2" t="str">
        <f t="shared" si="446"/>
        <v>37100</v>
      </c>
      <c r="B12276" s="2" t="str">
        <f>"93005"</f>
        <v>93005</v>
      </c>
      <c r="C12276" s="1">
        <v>2.0346558067045198E-3</v>
      </c>
      <c r="D12276" s="1">
        <v>4.3783072336082002E-3</v>
      </c>
      <c r="E12276" s="1">
        <v>1.2285012285012201E-4</v>
      </c>
      <c r="F12276" s="1">
        <v>2.18694885361552E-3</v>
      </c>
    </row>
    <row r="12277" spans="1:6" x14ac:dyDescent="0.25">
      <c r="A12277" s="2" t="str">
        <f t="shared" si="446"/>
        <v>37100</v>
      </c>
      <c r="B12277" s="2" t="str">
        <f>"91361"</f>
        <v>91361</v>
      </c>
      <c r="C12277" s="1">
        <v>1.8473785951669701E-2</v>
      </c>
      <c r="D12277" s="1">
        <v>3.6745547825619798E-2</v>
      </c>
      <c r="E12277" s="1">
        <v>2.1928746928746901E-2</v>
      </c>
      <c r="F12277" s="1">
        <v>2.0472120472120402E-2</v>
      </c>
    </row>
    <row r="12278" spans="1:6" x14ac:dyDescent="0.25">
      <c r="A12278" s="2" t="str">
        <f t="shared" si="446"/>
        <v>37100</v>
      </c>
      <c r="B12278" s="2" t="str">
        <f>"91319"</f>
        <v>91319</v>
      </c>
      <c r="C12278" s="1">
        <v>2.2251072082681302E-3</v>
      </c>
      <c r="D12278" s="1">
        <v>6.2585618738080504E-3</v>
      </c>
      <c r="E12278" s="1">
        <v>1.2285012285012201E-4</v>
      </c>
      <c r="F12278" s="1">
        <v>2.5396825396825301E-3</v>
      </c>
    </row>
    <row r="12279" spans="1:6" x14ac:dyDescent="0.25">
      <c r="A12279" s="2" t="str">
        <f t="shared" si="446"/>
        <v>37100</v>
      </c>
      <c r="B12279" s="2" t="str">
        <f>"93062"</f>
        <v>93062</v>
      </c>
      <c r="C12279" s="1">
        <v>3.6725378601515299E-3</v>
      </c>
      <c r="D12279" s="1">
        <v>1.4101909801498801E-2</v>
      </c>
      <c r="E12279" s="1">
        <v>1.2285012285012201E-4</v>
      </c>
      <c r="F12279" s="1">
        <v>4.5692579025912302E-3</v>
      </c>
    </row>
    <row r="12280" spans="1:6" x14ac:dyDescent="0.25">
      <c r="A12280" s="2" t="str">
        <f t="shared" ref="A12280:A12301" si="447">"37100"</f>
        <v>37100</v>
      </c>
      <c r="B12280" s="2" t="str">
        <f>"93041"</f>
        <v>93041</v>
      </c>
      <c r="C12280" s="1">
        <v>2.8389955593081499E-2</v>
      </c>
      <c r="D12280" s="1">
        <v>1.18993257944075E-2</v>
      </c>
      <c r="E12280" s="1">
        <v>4.2874692874692803E-2</v>
      </c>
      <c r="F12280" s="1">
        <v>2.7363994030660602E-2</v>
      </c>
    </row>
    <row r="12281" spans="1:6" x14ac:dyDescent="0.25">
      <c r="A12281" s="2" t="str">
        <f t="shared" si="447"/>
        <v>37100</v>
      </c>
      <c r="B12281" s="2" t="str">
        <f>"93024"</f>
        <v>93024</v>
      </c>
      <c r="C12281" s="1">
        <v>3.58048634939579E-3</v>
      </c>
      <c r="D12281" s="1">
        <v>1.04757044239705E-2</v>
      </c>
      <c r="E12281" s="1">
        <v>6.1425061425061396E-5</v>
      </c>
      <c r="F12281" s="1">
        <v>4.1215574548907801E-3</v>
      </c>
    </row>
    <row r="12282" spans="1:6" x14ac:dyDescent="0.25">
      <c r="A12282" s="2" t="str">
        <f t="shared" si="447"/>
        <v>37100</v>
      </c>
      <c r="B12282" s="2" t="str">
        <f>"93035"</f>
        <v>93035</v>
      </c>
      <c r="C12282" s="1">
        <v>3.8775905358350099E-2</v>
      </c>
      <c r="D12282" s="1">
        <v>8.8640575895135507E-3</v>
      </c>
      <c r="E12282" s="1">
        <v>2.54299754299754E-2</v>
      </c>
      <c r="F12282" s="1">
        <v>3.5164835164835102E-2</v>
      </c>
    </row>
    <row r="12283" spans="1:6" x14ac:dyDescent="0.25">
      <c r="A12283" s="2" t="str">
        <f t="shared" si="447"/>
        <v>37100</v>
      </c>
      <c r="B12283" s="2" t="str">
        <f>"93003"</f>
        <v>93003</v>
      </c>
      <c r="C12283" s="1">
        <v>6.6702429207626895E-2</v>
      </c>
      <c r="D12283" s="1">
        <v>0.123640172983426</v>
      </c>
      <c r="E12283" s="1">
        <v>8.0466830466830397E-2</v>
      </c>
      <c r="F12283" s="1">
        <v>7.3061999728666296E-2</v>
      </c>
    </row>
    <row r="12284" spans="1:6" x14ac:dyDescent="0.25">
      <c r="A12284" s="2" t="str">
        <f t="shared" si="447"/>
        <v>37100</v>
      </c>
      <c r="B12284" s="2" t="str">
        <f>"93020"</f>
        <v>93020</v>
      </c>
      <c r="C12284" s="1">
        <v>2.36477156941477E-3</v>
      </c>
      <c r="D12284" s="1">
        <v>5.4527384565795402E-3</v>
      </c>
      <c r="E12284" s="1">
        <v>1.2285012285012201E-4</v>
      </c>
      <c r="F12284" s="1">
        <v>2.5776692443359099E-3</v>
      </c>
    </row>
    <row r="12285" spans="1:6" x14ac:dyDescent="0.25">
      <c r="A12285" s="2" t="str">
        <f t="shared" si="447"/>
        <v>37100</v>
      </c>
      <c r="B12285" s="2" t="str">
        <f>"93023"</f>
        <v>93023</v>
      </c>
      <c r="C12285" s="1">
        <v>2.7618627416748899E-2</v>
      </c>
      <c r="D12285" s="1">
        <v>2.2536194901823799E-2</v>
      </c>
      <c r="E12285" s="1">
        <v>2.5859950859950801E-2</v>
      </c>
      <c r="F12285" s="1">
        <v>2.7027540360873601E-2</v>
      </c>
    </row>
    <row r="12286" spans="1:6" x14ac:dyDescent="0.25">
      <c r="A12286" s="2" t="str">
        <f t="shared" si="447"/>
        <v>37100</v>
      </c>
      <c r="B12286" s="2" t="str">
        <f>"93001"</f>
        <v>93001</v>
      </c>
      <c r="C12286" s="1">
        <v>4.5397265752711503E-2</v>
      </c>
      <c r="D12286" s="1">
        <v>5.48765747132611E-2</v>
      </c>
      <c r="E12286" s="1">
        <v>6.8980343980343903E-2</v>
      </c>
      <c r="F12286" s="1">
        <v>4.73965540632207E-2</v>
      </c>
    </row>
    <row r="12287" spans="1:6" x14ac:dyDescent="0.25">
      <c r="A12287" s="2" t="str">
        <f t="shared" si="447"/>
        <v>37100</v>
      </c>
      <c r="B12287" s="2" t="str">
        <f>"91311"</f>
        <v>91311</v>
      </c>
      <c r="C12287" s="1">
        <v>3.74554423075091E-4</v>
      </c>
      <c r="D12287" s="1">
        <v>2.6860780574283399E-5</v>
      </c>
      <c r="E12287" s="1">
        <v>1.84275184275184E-4</v>
      </c>
      <c r="F12287" s="1">
        <v>3.3102699769366401E-4</v>
      </c>
    </row>
    <row r="12288" spans="1:6" x14ac:dyDescent="0.25">
      <c r="A12288" s="2" t="str">
        <f t="shared" si="447"/>
        <v>37100</v>
      </c>
      <c r="B12288" s="2" t="str">
        <f>"93225"</f>
        <v>93225</v>
      </c>
      <c r="C12288" s="1">
        <v>5.3643811440415605E-4</v>
      </c>
      <c r="D12288" s="1">
        <v>5.37215611485669E-5</v>
      </c>
      <c r="E12288" s="1">
        <v>0</v>
      </c>
      <c r="F12288" s="1">
        <v>4.63980463980463E-4</v>
      </c>
    </row>
    <row r="12289" spans="1:6" x14ac:dyDescent="0.25">
      <c r="A12289" s="2" t="str">
        <f t="shared" si="447"/>
        <v>37100</v>
      </c>
      <c r="B12289" s="2" t="str">
        <f>"93065"</f>
        <v>93065</v>
      </c>
      <c r="C12289" s="1">
        <v>7.9186518580121296E-2</v>
      </c>
      <c r="D12289" s="1">
        <v>6.81189395363829E-2</v>
      </c>
      <c r="E12289" s="1">
        <v>0.102579852579852</v>
      </c>
      <c r="F12289" s="1">
        <v>7.9101885768552399E-2</v>
      </c>
    </row>
    <row r="12290" spans="1:6" x14ac:dyDescent="0.25">
      <c r="A12290" s="2" t="str">
        <f t="shared" si="447"/>
        <v>37100</v>
      </c>
      <c r="B12290" s="2" t="str">
        <f>"93022"</f>
        <v>93022</v>
      </c>
      <c r="C12290" s="1">
        <v>1.0430388425633401E-2</v>
      </c>
      <c r="D12290" s="1">
        <v>7.0643852910365502E-3</v>
      </c>
      <c r="E12290" s="1">
        <v>1.3513513513513499E-3</v>
      </c>
      <c r="F12290" s="1">
        <v>9.6893230226563504E-3</v>
      </c>
    </row>
    <row r="12291" spans="1:6" x14ac:dyDescent="0.25">
      <c r="A12291" s="2" t="str">
        <f t="shared" si="447"/>
        <v>37100</v>
      </c>
      <c r="B12291" s="2" t="str">
        <f>"93021"</f>
        <v>93021</v>
      </c>
      <c r="C12291" s="1">
        <v>3.8956834189835601E-2</v>
      </c>
      <c r="D12291" s="1">
        <v>2.6672755110263499E-2</v>
      </c>
      <c r="E12291" s="1">
        <v>3.1388206388206302E-2</v>
      </c>
      <c r="F12291" s="1">
        <v>3.7381630714963997E-2</v>
      </c>
    </row>
    <row r="12292" spans="1:6" x14ac:dyDescent="0.25">
      <c r="A12292" s="2" t="str">
        <f t="shared" si="447"/>
        <v>37100</v>
      </c>
      <c r="B12292" s="2" t="str">
        <f>"91307"</f>
        <v>91307</v>
      </c>
      <c r="C12292" s="1">
        <v>2.27589424868509E-3</v>
      </c>
      <c r="D12292" s="1">
        <v>3.4919014746568499E-4</v>
      </c>
      <c r="E12292" s="1">
        <v>1.2285012285012201E-4</v>
      </c>
      <c r="F12292" s="1">
        <v>1.9861619861619799E-3</v>
      </c>
    </row>
    <row r="12293" spans="1:6" x14ac:dyDescent="0.25">
      <c r="A12293" s="2" t="str">
        <f t="shared" si="447"/>
        <v>37100</v>
      </c>
      <c r="B12293" s="2" t="str">
        <f>"91320"</f>
        <v>91320</v>
      </c>
      <c r="C12293" s="1">
        <v>5.03236086731568E-2</v>
      </c>
      <c r="D12293" s="1">
        <v>4.1983400037605E-2</v>
      </c>
      <c r="E12293" s="1">
        <v>2.2113022113022102E-2</v>
      </c>
      <c r="F12293" s="1">
        <v>4.8234974901641497E-2</v>
      </c>
    </row>
    <row r="12294" spans="1:6" x14ac:dyDescent="0.25">
      <c r="A12294" s="2" t="str">
        <f t="shared" si="447"/>
        <v>37100</v>
      </c>
      <c r="B12294" s="2" t="str">
        <f>"93064"</f>
        <v>93064</v>
      </c>
      <c r="C12294" s="1">
        <v>0</v>
      </c>
      <c r="D12294" s="1">
        <v>0</v>
      </c>
      <c r="E12294" s="1">
        <v>1.2285012285012201E-4</v>
      </c>
      <c r="F12294" s="1">
        <v>5.4266720933387602E-6</v>
      </c>
    </row>
    <row r="12295" spans="1:6" x14ac:dyDescent="0.25">
      <c r="A12295" s="2" t="str">
        <f t="shared" si="447"/>
        <v>37100</v>
      </c>
      <c r="B12295" s="2" t="str">
        <f>"93033"</f>
        <v>93033</v>
      </c>
      <c r="C12295" s="1">
        <v>5.5069022762116601E-2</v>
      </c>
      <c r="D12295" s="1">
        <v>3.7793118268016797E-2</v>
      </c>
      <c r="E12295" s="1">
        <v>7.0823095823095802E-2</v>
      </c>
      <c r="F12295" s="1">
        <v>5.4019807353140603E-2</v>
      </c>
    </row>
    <row r="12296" spans="1:6" x14ac:dyDescent="0.25">
      <c r="A12296" s="2" t="str">
        <f t="shared" si="447"/>
        <v>37100</v>
      </c>
      <c r="B12296" s="2" t="str">
        <f>"93032"</f>
        <v>93032</v>
      </c>
      <c r="C12296" s="1">
        <v>2.9837386244964902E-3</v>
      </c>
      <c r="D12296" s="1">
        <v>5.1304090896881404E-3</v>
      </c>
      <c r="E12296" s="1">
        <v>1.2285012285012201E-4</v>
      </c>
      <c r="F12296" s="1">
        <v>3.0742097408764002E-3</v>
      </c>
    </row>
    <row r="12297" spans="1:6" x14ac:dyDescent="0.25">
      <c r="A12297" s="2" t="str">
        <f t="shared" si="447"/>
        <v>37100</v>
      </c>
      <c r="B12297" s="2" t="str">
        <f>"93030"</f>
        <v>93030</v>
      </c>
      <c r="C12297" s="1">
        <v>5.0447402084173101E-2</v>
      </c>
      <c r="D12297" s="1">
        <v>6.8011496414085701E-2</v>
      </c>
      <c r="E12297" s="1">
        <v>7.2604422604422597E-2</v>
      </c>
      <c r="F12297" s="1">
        <v>5.3200379867046503E-2</v>
      </c>
    </row>
    <row r="12298" spans="1:6" x14ac:dyDescent="0.25">
      <c r="A12298" s="2" t="str">
        <f t="shared" si="447"/>
        <v>37100</v>
      </c>
      <c r="B12298" s="2" t="str">
        <f>"93012"</f>
        <v>93012</v>
      </c>
      <c r="C12298" s="1">
        <v>4.56480267647702E-2</v>
      </c>
      <c r="D12298" s="1">
        <v>4.2359450965645001E-2</v>
      </c>
      <c r="E12298" s="1">
        <v>3.3046683046682998E-2</v>
      </c>
      <c r="F12298" s="1">
        <v>4.4759191425857998E-2</v>
      </c>
    </row>
    <row r="12299" spans="1:6" x14ac:dyDescent="0.25">
      <c r="A12299" s="2" t="str">
        <f t="shared" si="447"/>
        <v>37100</v>
      </c>
      <c r="B12299" s="2" t="str">
        <f>"93010"</f>
        <v>93010</v>
      </c>
      <c r="C12299" s="1">
        <v>5.5659422106963799E-2</v>
      </c>
      <c r="D12299" s="1">
        <v>5.9120578043997903E-2</v>
      </c>
      <c r="E12299" s="1">
        <v>5.22727272727272E-2</v>
      </c>
      <c r="F12299" s="1">
        <v>5.5859449192782497E-2</v>
      </c>
    </row>
    <row r="12300" spans="1:6" x14ac:dyDescent="0.25">
      <c r="A12300" s="2" t="str">
        <f t="shared" si="447"/>
        <v>37100</v>
      </c>
      <c r="B12300" s="2" t="str">
        <f>"91362"</f>
        <v>91362</v>
      </c>
      <c r="C12300" s="1">
        <v>4.3714945038899597E-2</v>
      </c>
      <c r="D12300" s="1">
        <v>4.2278868623922203E-2</v>
      </c>
      <c r="E12300" s="1">
        <v>4.3734643734643697E-2</v>
      </c>
      <c r="F12300" s="1">
        <v>4.3570750237416897E-2</v>
      </c>
    </row>
    <row r="12301" spans="1:6" x14ac:dyDescent="0.25">
      <c r="A12301" s="2" t="str">
        <f t="shared" si="447"/>
        <v>37100</v>
      </c>
      <c r="B12301" s="2" t="str">
        <f>"91304"</f>
        <v>91304</v>
      </c>
      <c r="C12301" s="1">
        <v>3.5550928291873098E-4</v>
      </c>
      <c r="D12301" s="1">
        <v>0</v>
      </c>
      <c r="E12301" s="1">
        <v>0</v>
      </c>
      <c r="F12301" s="1">
        <v>3.0389363722696999E-4</v>
      </c>
    </row>
    <row r="12302" spans="1:6" x14ac:dyDescent="0.25">
      <c r="A12302" s="2" t="str">
        <f t="shared" ref="A12302:A12342" si="448">"42200"</f>
        <v>42200</v>
      </c>
      <c r="B12302" s="2" t="str">
        <f>"93458"</f>
        <v>93458</v>
      </c>
      <c r="C12302" s="1">
        <v>8.0120583546005097E-2</v>
      </c>
      <c r="D12302" s="1">
        <v>4.62137385407509E-2</v>
      </c>
      <c r="E12302" s="1">
        <v>8.4724197290621903E-2</v>
      </c>
      <c r="F12302" s="1">
        <v>7.6734095546617295E-2</v>
      </c>
    </row>
    <row r="12303" spans="1:6" x14ac:dyDescent="0.25">
      <c r="A12303" s="2" t="str">
        <f t="shared" si="448"/>
        <v>42200</v>
      </c>
      <c r="B12303" s="2" t="str">
        <f>"93438"</f>
        <v>93438</v>
      </c>
      <c r="C12303" s="1">
        <v>1.1617593444085901E-2</v>
      </c>
      <c r="D12303" s="1">
        <v>1.19301770689438E-2</v>
      </c>
      <c r="E12303" s="1">
        <v>1.4968939450639901E-4</v>
      </c>
      <c r="F12303" s="1">
        <v>1.0958135578650101E-2</v>
      </c>
    </row>
    <row r="12304" spans="1:6" x14ac:dyDescent="0.25">
      <c r="A12304" s="2" t="str">
        <f t="shared" si="448"/>
        <v>42200</v>
      </c>
      <c r="B12304" s="2" t="str">
        <f>"93140"</f>
        <v>93140</v>
      </c>
      <c r="C12304" s="1">
        <v>6.8834921343178803E-3</v>
      </c>
      <c r="D12304" s="1">
        <v>1.1176692201431601E-2</v>
      </c>
      <c r="E12304" s="1">
        <v>7.4844697253199599E-5</v>
      </c>
      <c r="F12304" s="1">
        <v>6.9359297448681797E-3</v>
      </c>
    </row>
    <row r="12305" spans="1:6" x14ac:dyDescent="0.25">
      <c r="A12305" s="2" t="str">
        <f t="shared" si="448"/>
        <v>42200</v>
      </c>
      <c r="B12305" s="2" t="str">
        <f>"93118"</f>
        <v>93118</v>
      </c>
      <c r="C12305" s="1">
        <v>4.5599734455006903E-3</v>
      </c>
      <c r="D12305" s="1">
        <v>5.6929967767591697E-3</v>
      </c>
      <c r="E12305" s="1">
        <v>1.4968939450639901E-4</v>
      </c>
      <c r="F12305" s="1">
        <v>4.4158300267392904E-3</v>
      </c>
    </row>
    <row r="12306" spans="1:6" x14ac:dyDescent="0.25">
      <c r="A12306" s="2" t="str">
        <f t="shared" si="448"/>
        <v>42200</v>
      </c>
      <c r="B12306" s="2" t="str">
        <f>"93110"</f>
        <v>93110</v>
      </c>
      <c r="C12306" s="1">
        <v>3.6229478759121303E-2</v>
      </c>
      <c r="D12306" s="1">
        <v>1.22231989618652E-2</v>
      </c>
      <c r="E12306" s="1">
        <v>3.1060549360077801E-2</v>
      </c>
      <c r="F12306" s="1">
        <v>3.3322323921039801E-2</v>
      </c>
    </row>
    <row r="12307" spans="1:6" x14ac:dyDescent="0.25">
      <c r="A12307" s="2" t="str">
        <f t="shared" si="448"/>
        <v>42200</v>
      </c>
      <c r="B12307" s="2" t="str">
        <f>"93101"</f>
        <v>93101</v>
      </c>
      <c r="C12307" s="1">
        <v>7.1702589607831393E-2</v>
      </c>
      <c r="D12307" s="1">
        <v>0.16384109841349501</v>
      </c>
      <c r="E12307" s="1">
        <v>0.18988099693136701</v>
      </c>
      <c r="F12307" s="1">
        <v>8.8805237463974299E-2</v>
      </c>
    </row>
    <row r="12308" spans="1:6" x14ac:dyDescent="0.25">
      <c r="A12308" s="2" t="str">
        <f t="shared" si="448"/>
        <v>42200</v>
      </c>
      <c r="B12308" s="2" t="str">
        <f>"93254"</f>
        <v>93254</v>
      </c>
      <c r="C12308" s="1">
        <v>6.3665500372742405E-4</v>
      </c>
      <c r="D12308" s="1">
        <v>3.3488216333877501E-4</v>
      </c>
      <c r="E12308" s="1">
        <v>2.24534091759598E-4</v>
      </c>
      <c r="F12308" s="1">
        <v>5.7912524940843205E-4</v>
      </c>
    </row>
    <row r="12309" spans="1:6" x14ac:dyDescent="0.25">
      <c r="A12309" s="2" t="str">
        <f t="shared" si="448"/>
        <v>42200</v>
      </c>
      <c r="B12309" s="2" t="str">
        <f>"93454"</f>
        <v>93454</v>
      </c>
      <c r="C12309" s="1">
        <v>6.9340980448705694E-2</v>
      </c>
      <c r="D12309" s="1">
        <v>9.4855372765708004E-2</v>
      </c>
      <c r="E12309" s="1">
        <v>6.5414265399296401E-2</v>
      </c>
      <c r="F12309" s="1">
        <v>7.1861299502766596E-2</v>
      </c>
    </row>
    <row r="12310" spans="1:6" x14ac:dyDescent="0.25">
      <c r="A12310" s="2" t="str">
        <f t="shared" si="448"/>
        <v>42200</v>
      </c>
      <c r="B12310" s="2" t="str">
        <f>"93464"</f>
        <v>93464</v>
      </c>
      <c r="C12310" s="1">
        <v>5.9965283257061696E-3</v>
      </c>
      <c r="D12310" s="1">
        <v>1.0883670308510099E-2</v>
      </c>
      <c r="E12310" s="1">
        <v>1.4968939450639901E-4</v>
      </c>
      <c r="F12310" s="1">
        <v>6.1713034390085998E-3</v>
      </c>
    </row>
    <row r="12311" spans="1:6" x14ac:dyDescent="0.25">
      <c r="A12311" s="2" t="str">
        <f t="shared" si="448"/>
        <v>42200</v>
      </c>
      <c r="B12311" s="2" t="str">
        <f>"93460"</f>
        <v>93460</v>
      </c>
      <c r="C12311" s="1">
        <v>1.7788249634059401E-2</v>
      </c>
      <c r="D12311" s="1">
        <v>1.8962702499058098E-2</v>
      </c>
      <c r="E12311" s="1">
        <v>2.1704962203427801E-3</v>
      </c>
      <c r="F12311" s="1">
        <v>1.6971084457273598E-2</v>
      </c>
    </row>
    <row r="12312" spans="1:6" x14ac:dyDescent="0.25">
      <c r="A12312" s="2" t="str">
        <f t="shared" si="448"/>
        <v>42200</v>
      </c>
      <c r="B12312" s="2" t="str">
        <f>"93441"</f>
        <v>93441</v>
      </c>
      <c r="C12312" s="1">
        <v>4.6960108394595501E-3</v>
      </c>
      <c r="D12312" s="1">
        <v>8.9580978693122298E-3</v>
      </c>
      <c r="E12312" s="1">
        <v>2.9937878901279801E-4</v>
      </c>
      <c r="F12312" s="1">
        <v>4.8908937078946503E-3</v>
      </c>
    </row>
    <row r="12313" spans="1:6" x14ac:dyDescent="0.25">
      <c r="A12313" s="2" t="str">
        <f t="shared" si="448"/>
        <v>42200</v>
      </c>
      <c r="B12313" s="2" t="str">
        <f>"93436"</f>
        <v>93436</v>
      </c>
      <c r="C12313" s="1">
        <v>0.105102490572608</v>
      </c>
      <c r="D12313" s="1">
        <v>6.3711331575201896E-2</v>
      </c>
      <c r="E12313" s="1">
        <v>0.11862884514632099</v>
      </c>
      <c r="F12313" s="1">
        <v>0.101446455798717</v>
      </c>
    </row>
    <row r="12314" spans="1:6" x14ac:dyDescent="0.25">
      <c r="A12314" s="2" t="str">
        <f t="shared" si="448"/>
        <v>42200</v>
      </c>
      <c r="B12314" s="2" t="str">
        <f>"93434"</f>
        <v>93434</v>
      </c>
      <c r="C12314" s="1">
        <v>1.1263896219792799E-2</v>
      </c>
      <c r="D12314" s="1">
        <v>8.1627527313826408E-3</v>
      </c>
      <c r="E12314" s="1">
        <v>1.10021704962203E-2</v>
      </c>
      <c r="F12314" s="1">
        <v>1.0912891418540099E-2</v>
      </c>
    </row>
    <row r="12315" spans="1:6" x14ac:dyDescent="0.25">
      <c r="A12315" s="2" t="str">
        <f t="shared" si="448"/>
        <v>42200</v>
      </c>
      <c r="B12315" s="2" t="str">
        <f>"93109"</f>
        <v>93109</v>
      </c>
      <c r="C12315" s="1">
        <v>2.56893014751895E-2</v>
      </c>
      <c r="D12315" s="1">
        <v>7.4092678638704003E-3</v>
      </c>
      <c r="E12315" s="1">
        <v>3.0237257690292601E-2</v>
      </c>
      <c r="F12315" s="1">
        <v>2.39884536903399E-2</v>
      </c>
    </row>
    <row r="12316" spans="1:6" x14ac:dyDescent="0.25">
      <c r="A12316" s="2" t="str">
        <f t="shared" si="448"/>
        <v>42200</v>
      </c>
      <c r="B12316" s="2" t="str">
        <f>"93067"</f>
        <v>93067</v>
      </c>
      <c r="C12316" s="1">
        <v>6.8127526894592701E-3</v>
      </c>
      <c r="D12316" s="1">
        <v>4.5627694754908103E-3</v>
      </c>
      <c r="E12316" s="1">
        <v>1.4968939450639901E-4</v>
      </c>
      <c r="F12316" s="1">
        <v>6.1667790229976002E-3</v>
      </c>
    </row>
    <row r="12317" spans="1:6" x14ac:dyDescent="0.25">
      <c r="A12317" s="2" t="str">
        <f t="shared" si="448"/>
        <v>42200</v>
      </c>
      <c r="B12317" s="2" t="str">
        <f>"93130"</f>
        <v>93130</v>
      </c>
      <c r="C12317" s="1">
        <v>6.5461193972999199E-3</v>
      </c>
      <c r="D12317" s="1">
        <v>1.91301435807275E-2</v>
      </c>
      <c r="E12317" s="1">
        <v>1.4968939450639901E-4</v>
      </c>
      <c r="F12317" s="1">
        <v>7.5195794102876096E-3</v>
      </c>
    </row>
    <row r="12318" spans="1:6" x14ac:dyDescent="0.25">
      <c r="A12318" s="2" t="str">
        <f t="shared" si="448"/>
        <v>42200</v>
      </c>
      <c r="B12318" s="2" t="str">
        <f>"93103"</f>
        <v>93103</v>
      </c>
      <c r="C12318" s="1">
        <v>4.1975698279943102E-2</v>
      </c>
      <c r="D12318" s="1">
        <v>3.8260287161454999E-2</v>
      </c>
      <c r="E12318" s="1">
        <v>5.6208367637152902E-2</v>
      </c>
      <c r="F12318" s="1">
        <v>4.2434497767200603E-2</v>
      </c>
    </row>
    <row r="12319" spans="1:6" x14ac:dyDescent="0.25">
      <c r="A12319" s="2" t="str">
        <f t="shared" si="448"/>
        <v>42200</v>
      </c>
      <c r="B12319" s="2" t="str">
        <f>"93455"</f>
        <v>93455</v>
      </c>
      <c r="C12319" s="1">
        <v>8.9844536466183803E-2</v>
      </c>
      <c r="D12319" s="1">
        <v>6.9571769433630498E-2</v>
      </c>
      <c r="E12319" s="1">
        <v>4.2212409250804502E-2</v>
      </c>
      <c r="F12319" s="1">
        <v>8.4773982798170305E-2</v>
      </c>
    </row>
    <row r="12320" spans="1:6" x14ac:dyDescent="0.25">
      <c r="A12320" s="2" t="str">
        <f t="shared" si="448"/>
        <v>42200</v>
      </c>
      <c r="B12320" s="2" t="str">
        <f>"93117"</f>
        <v>93117</v>
      </c>
      <c r="C12320" s="1">
        <v>9.5471043080321893E-2</v>
      </c>
      <c r="D12320" s="1">
        <v>7.4301979990790704E-2</v>
      </c>
      <c r="E12320" s="1">
        <v>0.154180076341591</v>
      </c>
      <c r="F12320" s="1">
        <v>9.6732014315252204E-2</v>
      </c>
    </row>
    <row r="12321" spans="1:6" x14ac:dyDescent="0.25">
      <c r="A12321" s="2" t="str">
        <f t="shared" si="448"/>
        <v>42200</v>
      </c>
      <c r="B12321" s="2" t="str">
        <f>"93116"</f>
        <v>93116</v>
      </c>
      <c r="C12321" s="1">
        <v>7.0793859816186203E-3</v>
      </c>
      <c r="D12321" s="1">
        <v>1.10092511197622E-2</v>
      </c>
      <c r="E12321" s="1">
        <v>1.4968939450639901E-4</v>
      </c>
      <c r="F12321" s="1">
        <v>7.0852354732312897E-3</v>
      </c>
    </row>
    <row r="12322" spans="1:6" x14ac:dyDescent="0.25">
      <c r="A12322" s="2" t="str">
        <f t="shared" si="448"/>
        <v>42200</v>
      </c>
      <c r="B12322" s="2" t="str">
        <f>"93111"</f>
        <v>93111</v>
      </c>
      <c r="C12322" s="1">
        <v>3.91515619813574E-2</v>
      </c>
      <c r="D12322" s="1">
        <v>2.8967307128804E-2</v>
      </c>
      <c r="E12322" s="1">
        <v>2.3725769029264199E-2</v>
      </c>
      <c r="F12322" s="1">
        <v>3.7118308954271699E-2</v>
      </c>
    </row>
    <row r="12323" spans="1:6" x14ac:dyDescent="0.25">
      <c r="A12323" s="2" t="str">
        <f t="shared" si="448"/>
        <v>42200</v>
      </c>
      <c r="B12323" s="2" t="str">
        <f>"93457"</f>
        <v>93457</v>
      </c>
      <c r="C12323" s="1">
        <v>3.1506260440869898E-3</v>
      </c>
      <c r="D12323" s="1">
        <v>1.34371468039683E-2</v>
      </c>
      <c r="E12323" s="1">
        <v>1.4968939450639901E-4</v>
      </c>
      <c r="F12323" s="1">
        <v>4.0810232419250404E-3</v>
      </c>
    </row>
    <row r="12324" spans="1:6" x14ac:dyDescent="0.25">
      <c r="A12324" s="2" t="str">
        <f t="shared" si="448"/>
        <v>42200</v>
      </c>
      <c r="B12324" s="2" t="str">
        <f>"93427"</f>
        <v>93427</v>
      </c>
      <c r="C12324" s="1">
        <v>1.76576537358589E-2</v>
      </c>
      <c r="D12324" s="1">
        <v>2.82138222612918E-2</v>
      </c>
      <c r="E12324" s="1">
        <v>1.04782576154479E-2</v>
      </c>
      <c r="F12324" s="1">
        <v>1.8364604588662702E-2</v>
      </c>
    </row>
    <row r="12325" spans="1:6" x14ac:dyDescent="0.25">
      <c r="A12325" s="2" t="str">
        <f t="shared" si="448"/>
        <v>42200</v>
      </c>
      <c r="B12325" s="2" t="str">
        <f>"93014"</f>
        <v>93014</v>
      </c>
      <c r="C12325" s="1">
        <v>4.6851278479428399E-3</v>
      </c>
      <c r="D12325" s="1">
        <v>1.00046046297459E-2</v>
      </c>
      <c r="E12325" s="1">
        <v>1.4968939450639901E-4</v>
      </c>
      <c r="F12325" s="1">
        <v>4.9859064441257197E-3</v>
      </c>
    </row>
    <row r="12326" spans="1:6" x14ac:dyDescent="0.25">
      <c r="A12326" s="2" t="str">
        <f t="shared" si="448"/>
        <v>42200</v>
      </c>
      <c r="B12326" s="2" t="str">
        <f>"93463"</f>
        <v>93463</v>
      </c>
      <c r="C12326" s="1">
        <v>1.9845135030717199E-2</v>
      </c>
      <c r="D12326" s="1">
        <v>3.3362635522625403E-2</v>
      </c>
      <c r="E12326" s="1">
        <v>1.8336950827033901E-2</v>
      </c>
      <c r="F12326" s="1">
        <v>2.1214986675594801E-2</v>
      </c>
    </row>
    <row r="12327" spans="1:6" x14ac:dyDescent="0.25">
      <c r="A12327" s="2" t="str">
        <f t="shared" si="448"/>
        <v>42200</v>
      </c>
      <c r="B12327" s="2" t="str">
        <f>"93190"</f>
        <v>93190</v>
      </c>
      <c r="C12327" s="1">
        <v>5.4251712710789903E-3</v>
      </c>
      <c r="D12327" s="1">
        <v>8.6650759763907993E-3</v>
      </c>
      <c r="E12327" s="1">
        <v>1.4968939450639901E-4</v>
      </c>
      <c r="F12327" s="1">
        <v>5.4564457092700696E-3</v>
      </c>
    </row>
    <row r="12328" spans="1:6" x14ac:dyDescent="0.25">
      <c r="A12328" s="2" t="str">
        <f t="shared" si="448"/>
        <v>42200</v>
      </c>
      <c r="B12328" s="2" t="str">
        <f>"93120"</f>
        <v>93120</v>
      </c>
      <c r="C12328" s="1">
        <v>3.8144885266061901E-3</v>
      </c>
      <c r="D12328" s="1">
        <v>6.9488048892795799E-3</v>
      </c>
      <c r="E12328" s="1">
        <v>1.4968939450639901E-4</v>
      </c>
      <c r="F12328" s="1">
        <v>3.9317175135619303E-3</v>
      </c>
    </row>
    <row r="12329" spans="1:6" x14ac:dyDescent="0.25">
      <c r="A12329" s="2" t="str">
        <f t="shared" si="448"/>
        <v>42200</v>
      </c>
      <c r="B12329" s="2" t="str">
        <f>"93108"</f>
        <v>93108</v>
      </c>
      <c r="C12329" s="1">
        <v>2.81815065325156E-2</v>
      </c>
      <c r="D12329" s="1">
        <v>2.2730126836619301E-2</v>
      </c>
      <c r="E12329" s="1">
        <v>9.3555871566499502E-3</v>
      </c>
      <c r="F12329" s="1">
        <v>2.6454260416336702E-2</v>
      </c>
    </row>
    <row r="12330" spans="1:6" x14ac:dyDescent="0.25">
      <c r="A12330" s="2" t="str">
        <f t="shared" si="448"/>
        <v>42200</v>
      </c>
      <c r="B12330" s="2" t="str">
        <f>"93106"</f>
        <v>93106</v>
      </c>
      <c r="C12330" s="1">
        <v>1.8794926349354899E-2</v>
      </c>
      <c r="D12330" s="1">
        <v>1.2558081125203999E-4</v>
      </c>
      <c r="E12330" s="1">
        <v>7.4844697253199599E-5</v>
      </c>
      <c r="F12330" s="1">
        <v>1.5645430566049601E-2</v>
      </c>
    </row>
    <row r="12331" spans="1:6" x14ac:dyDescent="0.25">
      <c r="A12331" s="2" t="str">
        <f t="shared" si="448"/>
        <v>42200</v>
      </c>
      <c r="B12331" s="2" t="str">
        <f>"93150"</f>
        <v>93150</v>
      </c>
      <c r="C12331" s="1">
        <v>4.6143884030842297E-3</v>
      </c>
      <c r="D12331" s="1">
        <v>1.22231989618652E-2</v>
      </c>
      <c r="E12331" s="1">
        <v>1.4968939450639901E-4</v>
      </c>
      <c r="F12331" s="1">
        <v>5.1668830845658497E-3</v>
      </c>
    </row>
    <row r="12332" spans="1:6" x14ac:dyDescent="0.25">
      <c r="A12332" s="2" t="str">
        <f t="shared" si="448"/>
        <v>42200</v>
      </c>
      <c r="B12332" s="2" t="str">
        <f>"93105"</f>
        <v>93105</v>
      </c>
      <c r="C12332" s="1">
        <v>6.5891072137909207E-2</v>
      </c>
      <c r="D12332" s="1">
        <v>4.7260245301184597E-2</v>
      </c>
      <c r="E12332" s="1">
        <v>7.9784447271910697E-2</v>
      </c>
      <c r="F12332" s="1">
        <v>6.4717246621392305E-2</v>
      </c>
    </row>
    <row r="12333" spans="1:6" x14ac:dyDescent="0.25">
      <c r="A12333" s="2" t="str">
        <f t="shared" si="448"/>
        <v>42200</v>
      </c>
      <c r="B12333" s="2" t="str">
        <f>"93456"</f>
        <v>93456</v>
      </c>
      <c r="C12333" s="1">
        <v>1.9121416094856101E-2</v>
      </c>
      <c r="D12333" s="1">
        <v>3.4869605257649899E-2</v>
      </c>
      <c r="E12333" s="1">
        <v>7.4844697253199599E-5</v>
      </c>
      <c r="F12333" s="1">
        <v>1.9672160815842599E-2</v>
      </c>
    </row>
    <row r="12334" spans="1:6" x14ac:dyDescent="0.25">
      <c r="A12334" s="2" t="str">
        <f t="shared" si="448"/>
        <v>42200</v>
      </c>
      <c r="B12334" s="2" t="str">
        <f>"93440"</f>
        <v>93440</v>
      </c>
      <c r="C12334" s="1">
        <v>1.6650977020563401E-3</v>
      </c>
      <c r="D12334" s="1">
        <v>1.04650676043367E-3</v>
      </c>
      <c r="E12334" s="1">
        <v>1.6465833395703899E-3</v>
      </c>
      <c r="F12334" s="1">
        <v>1.5971188518841899E-3</v>
      </c>
    </row>
    <row r="12335" spans="1:6" x14ac:dyDescent="0.25">
      <c r="A12335" s="2" t="str">
        <f t="shared" si="448"/>
        <v>42200</v>
      </c>
      <c r="B12335" s="2" t="str">
        <f>"93121"</f>
        <v>93121</v>
      </c>
      <c r="C12335" s="1">
        <v>6.6767152955004199E-3</v>
      </c>
      <c r="D12335" s="1">
        <v>7.7022897567918204E-3</v>
      </c>
      <c r="E12335" s="1">
        <v>1.4968939450639901E-4</v>
      </c>
      <c r="F12335" s="1">
        <v>6.3929998235477698E-3</v>
      </c>
    </row>
    <row r="12336" spans="1:6" x14ac:dyDescent="0.25">
      <c r="A12336" s="2" t="str">
        <f t="shared" si="448"/>
        <v>42200</v>
      </c>
      <c r="B12336" s="2" t="str">
        <f>"93102"</f>
        <v>93102</v>
      </c>
      <c r="C12336" s="1">
        <v>4.8701387037268801E-3</v>
      </c>
      <c r="D12336" s="1">
        <v>1.44417932939846E-2</v>
      </c>
      <c r="E12336" s="1">
        <v>2.24534091759598E-4</v>
      </c>
      <c r="F12336" s="1">
        <v>5.6238491016771999E-3</v>
      </c>
    </row>
    <row r="12337" spans="1:6" x14ac:dyDescent="0.25">
      <c r="A12337" s="2" t="str">
        <f t="shared" si="448"/>
        <v>42200</v>
      </c>
      <c r="B12337" s="2" t="str">
        <f>"93429"</f>
        <v>93429</v>
      </c>
      <c r="C12337" s="1">
        <v>0</v>
      </c>
      <c r="D12337" s="1">
        <v>4.1860270417346802E-5</v>
      </c>
      <c r="E12337" s="1">
        <v>0</v>
      </c>
      <c r="F12337" s="1">
        <v>4.5244160110033703E-6</v>
      </c>
    </row>
    <row r="12338" spans="1:6" x14ac:dyDescent="0.25">
      <c r="A12338" s="2" t="str">
        <f t="shared" si="448"/>
        <v>42200</v>
      </c>
      <c r="B12338" s="2" t="str">
        <f>"93437"</f>
        <v>93437</v>
      </c>
      <c r="C12338" s="1">
        <v>1.15142050246771E-2</v>
      </c>
      <c r="D12338" s="1">
        <v>4.1441667713173402E-3</v>
      </c>
      <c r="E12338" s="1">
        <v>1.1975151560511901E-3</v>
      </c>
      <c r="F12338" s="1">
        <v>1.00939721205485E-2</v>
      </c>
    </row>
    <row r="12339" spans="1:6" x14ac:dyDescent="0.25">
      <c r="A12339" s="2" t="str">
        <f t="shared" si="448"/>
        <v>42200</v>
      </c>
      <c r="B12339" s="2" t="str">
        <f>"93160"</f>
        <v>93160</v>
      </c>
      <c r="C12339" s="1">
        <v>7.2099818798191202E-3</v>
      </c>
      <c r="D12339" s="1">
        <v>1.3897609778559099E-2</v>
      </c>
      <c r="E12339" s="1">
        <v>1.4968939450639901E-4</v>
      </c>
      <c r="F12339" s="1">
        <v>7.5060061622546003E-3</v>
      </c>
    </row>
    <row r="12340" spans="1:6" x14ac:dyDescent="0.25">
      <c r="A12340" s="2" t="str">
        <f t="shared" si="448"/>
        <v>42200</v>
      </c>
      <c r="B12340" s="2" t="str">
        <f>"93199"</f>
        <v>93199</v>
      </c>
      <c r="C12340" s="1">
        <v>0</v>
      </c>
      <c r="D12340" s="1">
        <v>0</v>
      </c>
      <c r="E12340" s="1">
        <v>7.4844697253199599E-5</v>
      </c>
      <c r="F12340" s="1">
        <v>4.5244160110033703E-6</v>
      </c>
    </row>
    <row r="12341" spans="1:6" x14ac:dyDescent="0.25">
      <c r="A12341" s="2" t="str">
        <f t="shared" si="448"/>
        <v>42200</v>
      </c>
      <c r="B12341" s="2" t="str">
        <f>"93252"</f>
        <v>93252</v>
      </c>
      <c r="C12341" s="1">
        <v>4.5164414794338602E-4</v>
      </c>
      <c r="D12341" s="1">
        <v>3.3488216333877501E-4</v>
      </c>
      <c r="E12341" s="1">
        <v>0</v>
      </c>
      <c r="F12341" s="1">
        <v>4.1172185700130698E-4</v>
      </c>
    </row>
    <row r="12342" spans="1:6" x14ac:dyDescent="0.25">
      <c r="A12342" s="2" t="str">
        <f t="shared" si="448"/>
        <v>42200</v>
      </c>
      <c r="B12342" s="2" t="str">
        <f>"93013"</f>
        <v>93013</v>
      </c>
      <c r="C12342" s="1">
        <v>3.7921783939969402E-2</v>
      </c>
      <c r="D12342" s="1">
        <v>3.0390556322993801E-2</v>
      </c>
      <c r="E12342" s="1">
        <v>6.6761469949854005E-2</v>
      </c>
      <c r="F12342" s="1">
        <v>3.8851160286485997E-2</v>
      </c>
    </row>
    <row r="12343" spans="1:6" x14ac:dyDescent="0.25">
      <c r="A12343" s="2" t="str">
        <f t="shared" ref="A12343:A12361" si="449">"31460"</f>
        <v>31460</v>
      </c>
      <c r="B12343" s="2" t="str">
        <f>"93614"</f>
        <v>93614</v>
      </c>
      <c r="C12343" s="1">
        <v>9.1928251121076193E-2</v>
      </c>
      <c r="D12343" s="1">
        <v>3.4244946492271097E-2</v>
      </c>
      <c r="E12343" s="1">
        <v>2.1255561047948499E-2</v>
      </c>
      <c r="F12343" s="1">
        <v>8.55234741004086E-2</v>
      </c>
    </row>
    <row r="12344" spans="1:6" x14ac:dyDescent="0.25">
      <c r="A12344" s="2" t="str">
        <f t="shared" si="449"/>
        <v>31460</v>
      </c>
      <c r="B12344" s="2" t="str">
        <f>"93720"</f>
        <v>93720</v>
      </c>
      <c r="C12344" s="1">
        <v>0</v>
      </c>
      <c r="D12344" s="1">
        <v>2.3781212841854899E-4</v>
      </c>
      <c r="E12344" s="1">
        <v>0</v>
      </c>
      <c r="F12344" s="1">
        <v>1.6612951456955801E-5</v>
      </c>
    </row>
    <row r="12345" spans="1:6" x14ac:dyDescent="0.25">
      <c r="A12345" s="2" t="str">
        <f t="shared" si="449"/>
        <v>31460</v>
      </c>
      <c r="B12345" s="2" t="str">
        <f>"93626"</f>
        <v>93626</v>
      </c>
      <c r="C12345" s="1">
        <v>2.4459845087647699E-3</v>
      </c>
      <c r="D12345" s="1">
        <v>2.3781212841854899E-4</v>
      </c>
      <c r="E12345" s="1">
        <v>0</v>
      </c>
      <c r="F12345" s="1">
        <v>2.2095225437751202E-3</v>
      </c>
    </row>
    <row r="12346" spans="1:6" x14ac:dyDescent="0.25">
      <c r="A12346" s="2" t="str">
        <f t="shared" si="449"/>
        <v>31460</v>
      </c>
      <c r="B12346" s="2" t="str">
        <f>"93620"</f>
        <v>93620</v>
      </c>
      <c r="C12346" s="1">
        <v>1.2971129970722301E-4</v>
      </c>
      <c r="D12346" s="1">
        <v>2.3781212841854899E-4</v>
      </c>
      <c r="E12346" s="1">
        <v>0</v>
      </c>
      <c r="F12346" s="1">
        <v>1.32903611655646E-4</v>
      </c>
    </row>
    <row r="12347" spans="1:6" x14ac:dyDescent="0.25">
      <c r="A12347" s="2" t="str">
        <f t="shared" si="449"/>
        <v>31460</v>
      </c>
      <c r="B12347" s="2" t="str">
        <f>"93610"</f>
        <v>93610</v>
      </c>
      <c r="C12347" s="1">
        <v>0.11809287329059</v>
      </c>
      <c r="D12347" s="1">
        <v>0.102497027348394</v>
      </c>
      <c r="E12347" s="1">
        <v>6.4755313890261901E-2</v>
      </c>
      <c r="F12347" s="1">
        <v>0.115210818353988</v>
      </c>
    </row>
    <row r="12348" spans="1:6" x14ac:dyDescent="0.25">
      <c r="A12348" s="2" t="str">
        <f t="shared" si="449"/>
        <v>31460</v>
      </c>
      <c r="B12348" s="2" t="str">
        <f>"93643"</f>
        <v>93643</v>
      </c>
      <c r="C12348" s="1">
        <v>2.6201682540859E-2</v>
      </c>
      <c r="D12348" s="1">
        <v>1.3555291319857299E-2</v>
      </c>
      <c r="E12348" s="1">
        <v>1.08749382105783E-2</v>
      </c>
      <c r="F12348" s="1">
        <v>2.4803136525235001E-2</v>
      </c>
    </row>
    <row r="12349" spans="1:6" x14ac:dyDescent="0.25">
      <c r="A12349" s="2" t="str">
        <f t="shared" si="449"/>
        <v>31460</v>
      </c>
      <c r="B12349" s="2" t="str">
        <f>"93636"</f>
        <v>93636</v>
      </c>
      <c r="C12349" s="1">
        <v>9.2261794463180502E-2</v>
      </c>
      <c r="D12349" s="1">
        <v>6.9678953626634899E-2</v>
      </c>
      <c r="E12349" s="1">
        <v>4.30054374691052E-2</v>
      </c>
      <c r="F12349" s="1">
        <v>8.9028806857826298E-2</v>
      </c>
    </row>
    <row r="12350" spans="1:6" x14ac:dyDescent="0.25">
      <c r="A12350" s="2" t="str">
        <f t="shared" si="449"/>
        <v>31460</v>
      </c>
      <c r="B12350" s="2" t="str">
        <f>"93639"</f>
        <v>93639</v>
      </c>
      <c r="C12350" s="1">
        <v>1.3786458140310501E-2</v>
      </c>
      <c r="D12350" s="1">
        <v>6.4209274673008299E-2</v>
      </c>
      <c r="E12350" s="1">
        <v>9.8863074641621302E-4</v>
      </c>
      <c r="F12350" s="1">
        <v>1.68787586802671E-2</v>
      </c>
    </row>
    <row r="12351" spans="1:6" x14ac:dyDescent="0.25">
      <c r="A12351" s="2" t="str">
        <f t="shared" si="449"/>
        <v>31460</v>
      </c>
      <c r="B12351" s="2" t="str">
        <f>"93630"</f>
        <v>93630</v>
      </c>
      <c r="C12351" s="1">
        <v>3.7060371344920797E-5</v>
      </c>
      <c r="D12351" s="1">
        <v>0</v>
      </c>
      <c r="E12351" s="1">
        <v>0</v>
      </c>
      <c r="F12351" s="1">
        <v>3.3225902913911601E-5</v>
      </c>
    </row>
    <row r="12352" spans="1:6" x14ac:dyDescent="0.25">
      <c r="A12352" s="2" t="str">
        <f t="shared" si="449"/>
        <v>31460</v>
      </c>
      <c r="B12352" s="2" t="str">
        <f>"93645"</f>
        <v>93645</v>
      </c>
      <c r="C12352" s="1">
        <v>1.7418374532112799E-3</v>
      </c>
      <c r="D12352" s="1">
        <v>2.3781212841854899E-4</v>
      </c>
      <c r="E12352" s="1">
        <v>0</v>
      </c>
      <c r="F12352" s="1">
        <v>1.5782303884108E-3</v>
      </c>
    </row>
    <row r="12353" spans="1:6" x14ac:dyDescent="0.25">
      <c r="A12353" s="2" t="str">
        <f t="shared" si="449"/>
        <v>31460</v>
      </c>
      <c r="B12353" s="2" t="str">
        <f>"93622"</f>
        <v>93622</v>
      </c>
      <c r="C12353" s="1">
        <v>3.4651447207501001E-3</v>
      </c>
      <c r="D12353" s="1">
        <v>1.90249702734839E-3</v>
      </c>
      <c r="E12353" s="1">
        <v>4.9431537320810603E-3</v>
      </c>
      <c r="F12353" s="1">
        <v>3.4056550486759401E-3</v>
      </c>
    </row>
    <row r="12354" spans="1:6" x14ac:dyDescent="0.25">
      <c r="A12354" s="2" t="str">
        <f t="shared" si="449"/>
        <v>31460</v>
      </c>
      <c r="B12354" s="2" t="str">
        <f>"93604"</f>
        <v>93604</v>
      </c>
      <c r="C12354" s="1">
        <v>8.8018381944186992E-3</v>
      </c>
      <c r="D12354" s="1">
        <v>1.42687277051129E-3</v>
      </c>
      <c r="E12354" s="1">
        <v>7.4147305981215996E-3</v>
      </c>
      <c r="F12354" s="1">
        <v>8.2400239226500908E-3</v>
      </c>
    </row>
    <row r="12355" spans="1:6" x14ac:dyDescent="0.25">
      <c r="A12355" s="2" t="str">
        <f t="shared" si="449"/>
        <v>31460</v>
      </c>
      <c r="B12355" s="2" t="str">
        <f>"93601"</f>
        <v>93601</v>
      </c>
      <c r="C12355" s="1">
        <v>1.3174962013119299E-2</v>
      </c>
      <c r="D12355" s="1">
        <v>3.3293697978596902E-3</v>
      </c>
      <c r="E12355" s="1">
        <v>4.9431537320810597E-4</v>
      </c>
      <c r="F12355" s="1">
        <v>1.2061002757749901E-2</v>
      </c>
    </row>
    <row r="12356" spans="1:6" x14ac:dyDescent="0.25">
      <c r="A12356" s="2" t="str">
        <f t="shared" si="449"/>
        <v>31460</v>
      </c>
      <c r="B12356" s="2" t="str">
        <f>"93669"</f>
        <v>93669</v>
      </c>
      <c r="C12356" s="1">
        <v>4.3175332616832802E-3</v>
      </c>
      <c r="D12356" s="1">
        <v>1.90249702734839E-3</v>
      </c>
      <c r="E12356" s="1">
        <v>2.4715768660405302E-3</v>
      </c>
      <c r="F12356" s="1">
        <v>4.0867860584111303E-3</v>
      </c>
    </row>
    <row r="12357" spans="1:6" x14ac:dyDescent="0.25">
      <c r="A12357" s="2" t="str">
        <f t="shared" si="449"/>
        <v>31460</v>
      </c>
      <c r="B12357" s="2" t="str">
        <f>"93653"</f>
        <v>93653</v>
      </c>
      <c r="C12357" s="1">
        <v>7.2638327836044899E-3</v>
      </c>
      <c r="D12357" s="1">
        <v>7.1343638525564804E-4</v>
      </c>
      <c r="E12357" s="1">
        <v>4.9431537320810597E-4</v>
      </c>
      <c r="F12357" s="1">
        <v>6.5787287769545101E-3</v>
      </c>
    </row>
    <row r="12358" spans="1:6" x14ac:dyDescent="0.25">
      <c r="A12358" s="2" t="str">
        <f t="shared" si="449"/>
        <v>31460</v>
      </c>
      <c r="B12358" s="2" t="str">
        <f>"93638"</f>
        <v>93638</v>
      </c>
      <c r="C12358" s="1">
        <v>0.247007375013897</v>
      </c>
      <c r="D12358" s="1">
        <v>0.17954815695600401</v>
      </c>
      <c r="E12358" s="1">
        <v>0.339100346020761</v>
      </c>
      <c r="F12358" s="1">
        <v>0.24538990597069399</v>
      </c>
    </row>
    <row r="12359" spans="1:6" x14ac:dyDescent="0.25">
      <c r="A12359" s="2" t="str">
        <f t="shared" si="449"/>
        <v>31460</v>
      </c>
      <c r="B12359" s="2" t="str">
        <f>"93644"</f>
        <v>93644</v>
      </c>
      <c r="C12359" s="1">
        <v>0.13063780899084601</v>
      </c>
      <c r="D12359" s="1">
        <v>0.23876337693222299</v>
      </c>
      <c r="E12359" s="1">
        <v>0.14384577360355899</v>
      </c>
      <c r="F12359" s="1">
        <v>0.13863507990829599</v>
      </c>
    </row>
    <row r="12360" spans="1:6" x14ac:dyDescent="0.25">
      <c r="A12360" s="2" t="str">
        <f t="shared" si="449"/>
        <v>31460</v>
      </c>
      <c r="B12360" s="2" t="str">
        <f>"93602"</f>
        <v>93602</v>
      </c>
      <c r="C12360" s="1">
        <v>1.11181114034762E-4</v>
      </c>
      <c r="D12360" s="1">
        <v>0</v>
      </c>
      <c r="E12360" s="1">
        <v>0</v>
      </c>
      <c r="F12360" s="1">
        <v>9.9677708741735007E-5</v>
      </c>
    </row>
    <row r="12361" spans="1:6" x14ac:dyDescent="0.25">
      <c r="A12361" s="2" t="str">
        <f t="shared" si="449"/>
        <v>31460</v>
      </c>
      <c r="B12361" s="2" t="str">
        <f>"93637"</f>
        <v>93637</v>
      </c>
      <c r="C12361" s="1">
        <v>0.23859467071859999</v>
      </c>
      <c r="D12361" s="1">
        <v>0.287277051129607</v>
      </c>
      <c r="E12361" s="1">
        <v>0.36035590706870901</v>
      </c>
      <c r="F12361" s="1">
        <v>0.246087649931886</v>
      </c>
    </row>
    <row r="12362" spans="1:6" x14ac:dyDescent="0.25">
      <c r="A12362" s="2" t="str">
        <f t="shared" ref="A12362:A12393" si="450">"25900"</f>
        <v>25900</v>
      </c>
      <c r="B12362" s="2" t="str">
        <f>"96773"</f>
        <v>96773</v>
      </c>
      <c r="C12362" s="1">
        <v>0</v>
      </c>
      <c r="D12362" s="1">
        <v>1.01347927434883E-4</v>
      </c>
      <c r="E12362" s="1">
        <v>0</v>
      </c>
      <c r="F12362" s="1">
        <v>1.00278774994484E-5</v>
      </c>
    </row>
    <row r="12363" spans="1:6" x14ac:dyDescent="0.25">
      <c r="A12363" s="2" t="str">
        <f t="shared" si="450"/>
        <v>25900</v>
      </c>
      <c r="B12363" s="2" t="str">
        <f>"96718"</f>
        <v>96718</v>
      </c>
      <c r="C12363" s="1">
        <v>0</v>
      </c>
      <c r="D12363" s="1">
        <v>1.01347927434883E-4</v>
      </c>
      <c r="E12363" s="1">
        <v>0</v>
      </c>
      <c r="F12363" s="1">
        <v>1.00278774994484E-5</v>
      </c>
    </row>
    <row r="12364" spans="1:6" x14ac:dyDescent="0.25">
      <c r="A12364" s="2" t="str">
        <f t="shared" si="450"/>
        <v>25900</v>
      </c>
      <c r="B12364" s="2" t="str">
        <f>"96704"</f>
        <v>96704</v>
      </c>
      <c r="C12364" s="1">
        <v>2.3043931841891699E-2</v>
      </c>
      <c r="D12364" s="1">
        <v>4.7633525894395399E-3</v>
      </c>
      <c r="E12364" s="1">
        <v>4.5188284518828399E-2</v>
      </c>
      <c r="F12364" s="1">
        <v>2.2031246866288198E-2</v>
      </c>
    </row>
    <row r="12365" spans="1:6" x14ac:dyDescent="0.25">
      <c r="A12365" s="2" t="str">
        <f t="shared" si="450"/>
        <v>25900</v>
      </c>
      <c r="B12365" s="2" t="str">
        <f>"96750"</f>
        <v>96750</v>
      </c>
      <c r="C12365" s="1">
        <v>3.1980989915381897E-2</v>
      </c>
      <c r="D12365" s="1">
        <v>3.8106820715516299E-2</v>
      </c>
      <c r="E12365" s="1">
        <v>2.0083682008368201E-2</v>
      </c>
      <c r="F12365" s="1">
        <v>3.2159403140731201E-2</v>
      </c>
    </row>
    <row r="12366" spans="1:6" x14ac:dyDescent="0.25">
      <c r="A12366" s="2" t="str">
        <f t="shared" si="450"/>
        <v>25900</v>
      </c>
      <c r="B12366" s="2" t="str">
        <f>"96727"</f>
        <v>96727</v>
      </c>
      <c r="C12366" s="1">
        <v>6.5376144662107304E-3</v>
      </c>
      <c r="D12366" s="1">
        <v>1.0540184453227901E-2</v>
      </c>
      <c r="E12366" s="1">
        <v>1.6457461645746099E-2</v>
      </c>
      <c r="F12366" s="1">
        <v>7.29026694209903E-3</v>
      </c>
    </row>
    <row r="12367" spans="1:6" x14ac:dyDescent="0.25">
      <c r="A12367" s="2" t="str">
        <f t="shared" si="450"/>
        <v>25900</v>
      </c>
      <c r="B12367" s="2" t="str">
        <f>"96725"</f>
        <v>96725</v>
      </c>
      <c r="C12367" s="1">
        <v>2.08531355048104E-2</v>
      </c>
      <c r="D12367" s="1">
        <v>1.0540184453227901E-2</v>
      </c>
      <c r="E12367" s="1">
        <v>4.5188284518828399E-2</v>
      </c>
      <c r="F12367" s="1">
        <v>2.0707567036361001E-2</v>
      </c>
    </row>
    <row r="12368" spans="1:6" x14ac:dyDescent="0.25">
      <c r="A12368" s="2" t="str">
        <f t="shared" si="450"/>
        <v>25900</v>
      </c>
      <c r="B12368" s="2" t="str">
        <f>"96778"</f>
        <v>96778</v>
      </c>
      <c r="C12368" s="1">
        <v>9.4366523704648098E-2</v>
      </c>
      <c r="D12368" s="1">
        <v>1.34792743488395E-2</v>
      </c>
      <c r="E12368" s="1">
        <v>1.7573221757322101E-2</v>
      </c>
      <c r="F12368" s="1">
        <v>8.3602414712901807E-2</v>
      </c>
    </row>
    <row r="12369" spans="1:6" x14ac:dyDescent="0.25">
      <c r="A12369" s="2" t="str">
        <f t="shared" si="450"/>
        <v>25900</v>
      </c>
      <c r="B12369" s="2" t="str">
        <f>"96721"</f>
        <v>96721</v>
      </c>
      <c r="C12369" s="1">
        <v>2.5165179088906899E-2</v>
      </c>
      <c r="D12369" s="1">
        <v>2.5336981858720901E-2</v>
      </c>
      <c r="E12369" s="1">
        <v>2.7894002789400198E-4</v>
      </c>
      <c r="F12369" s="1">
        <v>2.4287519303664101E-2</v>
      </c>
    </row>
    <row r="12370" spans="1:6" x14ac:dyDescent="0.25">
      <c r="A12370" s="2" t="str">
        <f t="shared" si="450"/>
        <v>25900</v>
      </c>
      <c r="B12370" s="2" t="str">
        <f>"96749"</f>
        <v>96749</v>
      </c>
      <c r="C12370" s="1">
        <v>6.5097948301842998E-2</v>
      </c>
      <c r="D12370" s="1">
        <v>3.1823249214553498E-2</v>
      </c>
      <c r="E12370" s="1">
        <v>2.0083682008368201E-2</v>
      </c>
      <c r="F12370" s="1">
        <v>6.0187320751689602E-2</v>
      </c>
    </row>
    <row r="12371" spans="1:6" x14ac:dyDescent="0.25">
      <c r="A12371" s="2" t="str">
        <f t="shared" si="450"/>
        <v>25900</v>
      </c>
      <c r="B12371" s="2" t="str">
        <f>"96777"</f>
        <v>96777</v>
      </c>
      <c r="C12371" s="1">
        <v>1.1591515011011899E-5</v>
      </c>
      <c r="D12371" s="1">
        <v>0</v>
      </c>
      <c r="E12371" s="1">
        <v>2.7894002789400198E-4</v>
      </c>
      <c r="F12371" s="1">
        <v>2.0055754998896901E-5</v>
      </c>
    </row>
    <row r="12372" spans="1:6" x14ac:dyDescent="0.25">
      <c r="A12372" s="2" t="str">
        <f t="shared" si="450"/>
        <v>25900</v>
      </c>
      <c r="B12372" s="2" t="str">
        <f>"96772"</f>
        <v>96772</v>
      </c>
      <c r="C12372" s="1">
        <v>1.1591515011011899E-5</v>
      </c>
      <c r="D12372" s="1">
        <v>1.01347927434883E-4</v>
      </c>
      <c r="E12372" s="1">
        <v>0</v>
      </c>
      <c r="F12372" s="1">
        <v>2.0055754998896901E-5</v>
      </c>
    </row>
    <row r="12373" spans="1:6" x14ac:dyDescent="0.25">
      <c r="A12373" s="2" t="str">
        <f t="shared" si="450"/>
        <v>25900</v>
      </c>
      <c r="B12373" s="2" t="str">
        <f>"96781"</f>
        <v>96781</v>
      </c>
      <c r="C12373" s="1">
        <v>2.38785209226845E-3</v>
      </c>
      <c r="D12373" s="1">
        <v>1.31752305665349E-3</v>
      </c>
      <c r="E12373" s="1">
        <v>3.3472803347280298E-3</v>
      </c>
      <c r="F12373" s="1">
        <v>2.3164397023725902E-3</v>
      </c>
    </row>
    <row r="12374" spans="1:6" x14ac:dyDescent="0.25">
      <c r="A12374" s="2" t="str">
        <f t="shared" si="450"/>
        <v>25900</v>
      </c>
      <c r="B12374" s="2" t="str">
        <f>"96739"</f>
        <v>96739</v>
      </c>
      <c r="C12374" s="1">
        <v>1.1151037440593399E-2</v>
      </c>
      <c r="D12374" s="1">
        <v>8.0064862673558303E-3</v>
      </c>
      <c r="E12374" s="1">
        <v>5.5788005578800504E-4</v>
      </c>
      <c r="F12374" s="1">
        <v>1.0459076231924699E-2</v>
      </c>
    </row>
    <row r="12375" spans="1:6" x14ac:dyDescent="0.25">
      <c r="A12375" s="2" t="str">
        <f t="shared" si="450"/>
        <v>25900</v>
      </c>
      <c r="B12375" s="2" t="str">
        <f>"96719"</f>
        <v>96719</v>
      </c>
      <c r="C12375" s="1">
        <v>0</v>
      </c>
      <c r="D12375" s="1">
        <v>0</v>
      </c>
      <c r="E12375" s="1">
        <v>5.5788005578800504E-4</v>
      </c>
      <c r="F12375" s="1">
        <v>2.0055754998896901E-5</v>
      </c>
    </row>
    <row r="12376" spans="1:6" x14ac:dyDescent="0.25">
      <c r="A12376" s="2" t="str">
        <f t="shared" si="450"/>
        <v>25900</v>
      </c>
      <c r="B12376" s="2" t="str">
        <f>"96760"</f>
        <v>96760</v>
      </c>
      <c r="C12376" s="1">
        <v>1.5335574359568701E-2</v>
      </c>
      <c r="D12376" s="1">
        <v>4.4593088071348897E-3</v>
      </c>
      <c r="E12376" s="1">
        <v>1.39470013947001E-3</v>
      </c>
      <c r="F12376" s="1">
        <v>1.3758247929243199E-2</v>
      </c>
    </row>
    <row r="12377" spans="1:6" x14ac:dyDescent="0.25">
      <c r="A12377" s="2" t="str">
        <f t="shared" si="450"/>
        <v>25900</v>
      </c>
      <c r="B12377" s="2" t="str">
        <f>"96726"</f>
        <v>96726</v>
      </c>
      <c r="C12377" s="1">
        <v>0</v>
      </c>
      <c r="D12377" s="1">
        <v>0</v>
      </c>
      <c r="E12377" s="1">
        <v>2.7894002789400198E-4</v>
      </c>
      <c r="F12377" s="1">
        <v>1.00278774994484E-5</v>
      </c>
    </row>
    <row r="12378" spans="1:6" x14ac:dyDescent="0.25">
      <c r="A12378" s="2" t="str">
        <f t="shared" si="450"/>
        <v>25900</v>
      </c>
      <c r="B12378" s="2" t="str">
        <f>"96745"</f>
        <v>96745</v>
      </c>
      <c r="C12378" s="1">
        <v>4.21119740350063E-2</v>
      </c>
      <c r="D12378" s="1">
        <v>7.3477247390290795E-2</v>
      </c>
      <c r="E12378" s="1">
        <v>5.5788005578800504E-4</v>
      </c>
      <c r="F12378" s="1">
        <v>4.3721545897595297E-2</v>
      </c>
    </row>
    <row r="12379" spans="1:6" x14ac:dyDescent="0.25">
      <c r="A12379" s="2" t="str">
        <f t="shared" si="450"/>
        <v>25900</v>
      </c>
      <c r="B12379" s="2" t="str">
        <f>"96764"</f>
        <v>96764</v>
      </c>
      <c r="C12379" s="1">
        <v>0</v>
      </c>
      <c r="D12379" s="1">
        <v>1.01347927434883E-4</v>
      </c>
      <c r="E12379" s="1">
        <v>0</v>
      </c>
      <c r="F12379" s="1">
        <v>1.00278774994484E-5</v>
      </c>
    </row>
    <row r="12380" spans="1:6" x14ac:dyDescent="0.25">
      <c r="A12380" s="2" t="str">
        <f t="shared" si="450"/>
        <v>25900</v>
      </c>
      <c r="B12380" s="2" t="str">
        <f>"96783"</f>
        <v>96783</v>
      </c>
      <c r="C12380" s="1">
        <v>3.0369769328851201E-3</v>
      </c>
      <c r="D12380" s="1">
        <v>4.05391709739535E-4</v>
      </c>
      <c r="E12380" s="1">
        <v>2.2315202231520202E-3</v>
      </c>
      <c r="F12380" s="1">
        <v>2.7476384348488702E-3</v>
      </c>
    </row>
    <row r="12381" spans="1:6" x14ac:dyDescent="0.25">
      <c r="A12381" s="2" t="str">
        <f t="shared" si="450"/>
        <v>25900</v>
      </c>
      <c r="B12381" s="2" t="str">
        <f>"96780"</f>
        <v>96780</v>
      </c>
      <c r="C12381" s="1">
        <v>0</v>
      </c>
      <c r="D12381" s="1">
        <v>1.01347927434883E-4</v>
      </c>
      <c r="E12381" s="1">
        <v>0</v>
      </c>
      <c r="F12381" s="1">
        <v>1.00278774994484E-5</v>
      </c>
    </row>
    <row r="12382" spans="1:6" x14ac:dyDescent="0.25">
      <c r="A12382" s="2" t="str">
        <f t="shared" si="450"/>
        <v>25900</v>
      </c>
      <c r="B12382" s="2" t="str">
        <f>"96728"</f>
        <v>96728</v>
      </c>
      <c r="C12382" s="1">
        <v>0</v>
      </c>
      <c r="D12382" s="1">
        <v>1.01347927434883E-4</v>
      </c>
      <c r="E12382" s="1">
        <v>0</v>
      </c>
      <c r="F12382" s="1">
        <v>1.00278774994484E-5</v>
      </c>
    </row>
    <row r="12383" spans="1:6" x14ac:dyDescent="0.25">
      <c r="A12383" s="2" t="str">
        <f t="shared" si="450"/>
        <v>25900</v>
      </c>
      <c r="B12383" s="2" t="str">
        <f>"96738"</f>
        <v>96738</v>
      </c>
      <c r="C12383" s="1">
        <v>6.6732351918395702E-2</v>
      </c>
      <c r="D12383" s="1">
        <v>2.6249113205634899E-2</v>
      </c>
      <c r="E12383" s="1">
        <v>1.6457461645746099E-2</v>
      </c>
      <c r="F12383" s="1">
        <v>6.0919355809149402E-2</v>
      </c>
    </row>
    <row r="12384" spans="1:6" x14ac:dyDescent="0.25">
      <c r="A12384" s="2" t="str">
        <f t="shared" si="450"/>
        <v>25900</v>
      </c>
      <c r="B12384" s="2" t="str">
        <f>"96720"</f>
        <v>96720</v>
      </c>
      <c r="C12384" s="1">
        <v>0.26276805378462897</v>
      </c>
      <c r="D12384" s="1">
        <v>0.35623796493361698</v>
      </c>
      <c r="E12384" s="1">
        <v>0.45495118549511798</v>
      </c>
      <c r="F12384" s="1">
        <v>0.27892541264715898</v>
      </c>
    </row>
    <row r="12385" spans="1:6" x14ac:dyDescent="0.25">
      <c r="A12385" s="2" t="str">
        <f t="shared" si="450"/>
        <v>25900</v>
      </c>
      <c r="B12385" s="2" t="str">
        <f>"96710"</f>
        <v>96710</v>
      </c>
      <c r="C12385" s="1">
        <v>0</v>
      </c>
      <c r="D12385" s="1">
        <v>1.01347927434883E-4</v>
      </c>
      <c r="E12385" s="1">
        <v>0</v>
      </c>
      <c r="F12385" s="1">
        <v>1.00278774994484E-5</v>
      </c>
    </row>
    <row r="12386" spans="1:6" x14ac:dyDescent="0.25">
      <c r="A12386" s="2" t="str">
        <f t="shared" si="450"/>
        <v>25900</v>
      </c>
      <c r="B12386" s="2" t="str">
        <f>"96755"</f>
        <v>96755</v>
      </c>
      <c r="C12386" s="1">
        <v>1.7155442216297601E-2</v>
      </c>
      <c r="D12386" s="1">
        <v>9.7294010337488496E-3</v>
      </c>
      <c r="E12386" s="1">
        <v>8.3682008368200799E-4</v>
      </c>
      <c r="F12386" s="1">
        <v>1.58340185716291E-2</v>
      </c>
    </row>
    <row r="12387" spans="1:6" x14ac:dyDescent="0.25">
      <c r="A12387" s="2" t="str">
        <f t="shared" si="450"/>
        <v>25900</v>
      </c>
      <c r="B12387" s="2" t="str">
        <f>"96743"</f>
        <v>96743</v>
      </c>
      <c r="C12387" s="1">
        <v>9.9536339399559498E-2</v>
      </c>
      <c r="D12387" s="1">
        <v>9.2733353602918803E-2</v>
      </c>
      <c r="E12387" s="1">
        <v>6.1924686192468603E-2</v>
      </c>
      <c r="F12387" s="1">
        <v>9.7511080804636802E-2</v>
      </c>
    </row>
    <row r="12388" spans="1:6" x14ac:dyDescent="0.25">
      <c r="A12388" s="2" t="str">
        <f t="shared" si="450"/>
        <v>25900</v>
      </c>
      <c r="B12388" s="2" t="str">
        <f>"96776"</f>
        <v>96776</v>
      </c>
      <c r="C12388" s="1">
        <v>0</v>
      </c>
      <c r="D12388" s="1">
        <v>0</v>
      </c>
      <c r="E12388" s="1">
        <v>2.7894002789400198E-4</v>
      </c>
      <c r="F12388" s="1">
        <v>1.00278774994484E-5</v>
      </c>
    </row>
    <row r="12389" spans="1:6" x14ac:dyDescent="0.25">
      <c r="A12389" s="2" t="str">
        <f t="shared" si="450"/>
        <v>25900</v>
      </c>
      <c r="B12389" s="2" t="str">
        <f>"96771"</f>
        <v>96771</v>
      </c>
      <c r="C12389" s="1">
        <v>2.0656079749623201E-2</v>
      </c>
      <c r="D12389" s="1">
        <v>2.2296544035674401E-3</v>
      </c>
      <c r="E12389" s="1">
        <v>5.5788005578800504E-4</v>
      </c>
      <c r="F12389" s="1">
        <v>1.8110346764003901E-2</v>
      </c>
    </row>
    <row r="12390" spans="1:6" x14ac:dyDescent="0.25">
      <c r="A12390" s="2" t="str">
        <f t="shared" si="450"/>
        <v>25900</v>
      </c>
      <c r="B12390" s="2" t="str">
        <f>"96774"</f>
        <v>96774</v>
      </c>
      <c r="C12390" s="1">
        <v>0</v>
      </c>
      <c r="D12390" s="1">
        <v>1.01347927434883E-4</v>
      </c>
      <c r="E12390" s="1">
        <v>2.7894002789400198E-4</v>
      </c>
      <c r="F12390" s="1">
        <v>2.0055754998896901E-5</v>
      </c>
    </row>
    <row r="12391" spans="1:6" x14ac:dyDescent="0.25">
      <c r="A12391" s="2" t="str">
        <f t="shared" si="450"/>
        <v>25900</v>
      </c>
      <c r="B12391" s="2" t="str">
        <f>"96785"</f>
        <v>96785</v>
      </c>
      <c r="C12391" s="1">
        <v>1.1591515011011899E-5</v>
      </c>
      <c r="D12391" s="1">
        <v>1.01347927434883E-4</v>
      </c>
      <c r="E12391" s="1">
        <v>0</v>
      </c>
      <c r="F12391" s="1">
        <v>2.0055754998896901E-5</v>
      </c>
    </row>
    <row r="12392" spans="1:6" x14ac:dyDescent="0.25">
      <c r="A12392" s="2" t="str">
        <f t="shared" si="450"/>
        <v>25900</v>
      </c>
      <c r="B12392" s="2" t="str">
        <f>"96737"</f>
        <v>96737</v>
      </c>
      <c r="C12392" s="1">
        <v>0</v>
      </c>
      <c r="D12392" s="1">
        <v>2.0269585486976701E-4</v>
      </c>
      <c r="E12392" s="1">
        <v>0</v>
      </c>
      <c r="F12392" s="1">
        <v>2.0055754998896901E-5</v>
      </c>
    </row>
    <row r="12393" spans="1:6" x14ac:dyDescent="0.25">
      <c r="A12393" s="2" t="str">
        <f t="shared" si="450"/>
        <v>25900</v>
      </c>
      <c r="B12393" s="2" t="str">
        <f>"96740"</f>
        <v>96740</v>
      </c>
      <c r="C12393" s="1">
        <v>0.19204822070244501</v>
      </c>
      <c r="D12393" s="1">
        <v>0.28944968075402799</v>
      </c>
      <c r="E12393" s="1">
        <v>0.29065550906554999</v>
      </c>
      <c r="F12393" s="1">
        <v>0.20523054090371201</v>
      </c>
    </row>
    <row r="12394" spans="1:6" x14ac:dyDescent="0.25">
      <c r="A12394" s="2" t="str">
        <f t="shared" ref="A12394:A12425" si="451">"46520"</f>
        <v>46520</v>
      </c>
      <c r="B12394" s="2" t="str">
        <f>"96850"</f>
        <v>96850</v>
      </c>
      <c r="C12394" s="1">
        <v>0</v>
      </c>
      <c r="D12394" s="1">
        <v>5.3140845382281896E-3</v>
      </c>
      <c r="E12394" s="1">
        <v>8.2999031677963701E-5</v>
      </c>
      <c r="F12394" s="1">
        <v>4.9950871365200399E-4</v>
      </c>
    </row>
    <row r="12395" spans="1:6" x14ac:dyDescent="0.25">
      <c r="A12395" s="2" t="str">
        <f t="shared" si="451"/>
        <v>46520</v>
      </c>
      <c r="B12395" s="2" t="str">
        <f>"96825"</f>
        <v>96825</v>
      </c>
      <c r="C12395" s="1">
        <v>3.1557124170101397E-2</v>
      </c>
      <c r="D12395" s="1">
        <v>1.9130704337621499E-2</v>
      </c>
      <c r="E12395" s="1">
        <v>1.11218702448471E-2</v>
      </c>
      <c r="F12395" s="1">
        <v>2.8885170552419601E-2</v>
      </c>
    </row>
    <row r="12396" spans="1:6" x14ac:dyDescent="0.25">
      <c r="A12396" s="2" t="str">
        <f t="shared" si="451"/>
        <v>46520</v>
      </c>
      <c r="B12396" s="2" t="str">
        <f>"96815"</f>
        <v>96815</v>
      </c>
      <c r="C12396" s="1">
        <v>6.6075968112150399E-2</v>
      </c>
      <c r="D12396" s="1">
        <v>6.1311250359807799E-2</v>
      </c>
      <c r="E12396" s="1">
        <v>3.4887259648637398E-2</v>
      </c>
      <c r="F12396" s="1">
        <v>6.3316326740366399E-2</v>
      </c>
    </row>
    <row r="12397" spans="1:6" x14ac:dyDescent="0.25">
      <c r="A12397" s="2" t="str">
        <f t="shared" si="451"/>
        <v>46520</v>
      </c>
      <c r="B12397" s="2" t="str">
        <f>"96701"</f>
        <v>96701</v>
      </c>
      <c r="C12397" s="1">
        <v>4.1614630895673403E-2</v>
      </c>
      <c r="D12397" s="1">
        <v>5.0660939264442102E-2</v>
      </c>
      <c r="E12397" s="1">
        <v>4.0199197676027101E-2</v>
      </c>
      <c r="F12397" s="1">
        <v>4.2349294315467502E-2</v>
      </c>
    </row>
    <row r="12398" spans="1:6" x14ac:dyDescent="0.25">
      <c r="A12398" s="2" t="str">
        <f t="shared" si="451"/>
        <v>46520</v>
      </c>
      <c r="B12398" s="2" t="str">
        <f>"96744"</f>
        <v>96744</v>
      </c>
      <c r="C12398" s="1">
        <v>5.1294518350321998E-2</v>
      </c>
      <c r="D12398" s="1">
        <v>4.0608462679627103E-2</v>
      </c>
      <c r="E12398" s="1">
        <v>3.9950200580993203E-2</v>
      </c>
      <c r="F12398" s="1">
        <v>4.94595850172053E-2</v>
      </c>
    </row>
    <row r="12399" spans="1:6" x14ac:dyDescent="0.25">
      <c r="A12399" s="2" t="str">
        <f t="shared" si="451"/>
        <v>46520</v>
      </c>
      <c r="B12399" s="2" t="str">
        <f>"96782"</f>
        <v>96782</v>
      </c>
      <c r="C12399" s="1">
        <v>3.4624972233877102E-2</v>
      </c>
      <c r="D12399" s="1">
        <v>2.55740318402231E-2</v>
      </c>
      <c r="E12399" s="1">
        <v>2.7279015078157401E-2</v>
      </c>
      <c r="F12399" s="1">
        <v>3.3238913167707398E-2</v>
      </c>
    </row>
    <row r="12400" spans="1:6" x14ac:dyDescent="0.25">
      <c r="A12400" s="2" t="str">
        <f t="shared" si="451"/>
        <v>46520</v>
      </c>
      <c r="B12400" s="2" t="str">
        <f>"96731"</f>
        <v>96731</v>
      </c>
      <c r="C12400" s="1">
        <v>2.33482242021867E-3</v>
      </c>
      <c r="D12400" s="1">
        <v>6.8640258618780795E-4</v>
      </c>
      <c r="E12400" s="1">
        <v>9.6832203624291002E-4</v>
      </c>
      <c r="F12400" s="1">
        <v>2.08025851117625E-3</v>
      </c>
    </row>
    <row r="12401" spans="1:6" x14ac:dyDescent="0.25">
      <c r="A12401" s="2" t="str">
        <f t="shared" si="451"/>
        <v>46520</v>
      </c>
      <c r="B12401" s="2" t="str">
        <f>"96839"</f>
        <v>96839</v>
      </c>
      <c r="C12401" s="1">
        <v>1.88069205518671E-3</v>
      </c>
      <c r="D12401" s="1">
        <v>7.4840023913380401E-3</v>
      </c>
      <c r="E12401" s="1">
        <v>5.5332687785309098E-5</v>
      </c>
      <c r="F12401" s="1">
        <v>2.2652617384547702E-3</v>
      </c>
    </row>
    <row r="12402" spans="1:6" x14ac:dyDescent="0.25">
      <c r="A12402" s="2" t="str">
        <f t="shared" si="451"/>
        <v>46520</v>
      </c>
      <c r="B12402" s="2" t="str">
        <f>"96863"</f>
        <v>96863</v>
      </c>
      <c r="C12402" s="1">
        <v>0</v>
      </c>
      <c r="D12402" s="1">
        <v>1.4613732480127501E-3</v>
      </c>
      <c r="E12402" s="1">
        <v>8.2999031677963701E-5</v>
      </c>
      <c r="F12402" s="1">
        <v>1.4183580758019801E-4</v>
      </c>
    </row>
    <row r="12403" spans="1:6" x14ac:dyDescent="0.25">
      <c r="A12403" s="2" t="str">
        <f t="shared" si="451"/>
        <v>46520</v>
      </c>
      <c r="B12403" s="2" t="str">
        <f>"96860"</f>
        <v>96860</v>
      </c>
      <c r="C12403" s="1">
        <v>4.3018979687538504E-3</v>
      </c>
      <c r="D12403" s="1">
        <v>2.3691960232933998E-3</v>
      </c>
      <c r="E12403" s="1">
        <v>9.4701895144556597E-2</v>
      </c>
      <c r="F12403" s="1">
        <v>1.0839133527106999E-2</v>
      </c>
    </row>
    <row r="12404" spans="1:6" x14ac:dyDescent="0.25">
      <c r="A12404" s="2" t="str">
        <f t="shared" si="451"/>
        <v>46520</v>
      </c>
      <c r="B12404" s="2" t="str">
        <f>"96836"</f>
        <v>96836</v>
      </c>
      <c r="C12404" s="1">
        <v>1.23651800478811E-3</v>
      </c>
      <c r="D12404" s="1">
        <v>1.3949471912848999E-3</v>
      </c>
      <c r="E12404" s="1">
        <v>5.5332687785309098E-5</v>
      </c>
      <c r="F12404" s="1">
        <v>1.1634647404404699E-3</v>
      </c>
    </row>
    <row r="12405" spans="1:6" x14ac:dyDescent="0.25">
      <c r="A12405" s="2" t="str">
        <f t="shared" si="451"/>
        <v>46520</v>
      </c>
      <c r="B12405" s="2" t="str">
        <f>"96824"</f>
        <v>96824</v>
      </c>
      <c r="C12405" s="1">
        <v>1.54009428141274E-3</v>
      </c>
      <c r="D12405" s="1">
        <v>6.7311737484223796E-3</v>
      </c>
      <c r="E12405" s="1">
        <v>5.5332687785309098E-5</v>
      </c>
      <c r="F12405" s="1">
        <v>1.91170001521137E-3</v>
      </c>
    </row>
    <row r="12406" spans="1:6" x14ac:dyDescent="0.25">
      <c r="A12406" s="2" t="str">
        <f t="shared" si="451"/>
        <v>46520</v>
      </c>
      <c r="B12406" s="2" t="str">
        <f>"96822"</f>
        <v>96822</v>
      </c>
      <c r="C12406" s="1">
        <v>4.8759779845496898E-2</v>
      </c>
      <c r="D12406" s="1">
        <v>1.05396010008192E-2</v>
      </c>
      <c r="E12406" s="1">
        <v>4.7005118273620097E-2</v>
      </c>
      <c r="F12406" s="1">
        <v>4.5081175304946902E-2</v>
      </c>
    </row>
    <row r="12407" spans="1:6" x14ac:dyDescent="0.25">
      <c r="A12407" s="2" t="str">
        <f t="shared" si="451"/>
        <v>46520</v>
      </c>
      <c r="B12407" s="2" t="str">
        <f>"96816"</f>
        <v>96816</v>
      </c>
      <c r="C12407" s="1">
        <v>5.15413283313177E-2</v>
      </c>
      <c r="D12407" s="1">
        <v>3.9169231450523603E-2</v>
      </c>
      <c r="E12407" s="1">
        <v>6.6814220500760801E-2</v>
      </c>
      <c r="F12407" s="1">
        <v>5.1527509979896302E-2</v>
      </c>
    </row>
    <row r="12408" spans="1:6" x14ac:dyDescent="0.25">
      <c r="A12408" s="2" t="str">
        <f t="shared" si="451"/>
        <v>46520</v>
      </c>
      <c r="B12408" s="2" t="str">
        <f>"96709"</f>
        <v>96709</v>
      </c>
      <c r="C12408" s="1">
        <v>2.9296344744181402E-3</v>
      </c>
      <c r="D12408" s="1">
        <v>3.2991608174833299E-3</v>
      </c>
      <c r="E12408" s="1">
        <v>5.5332687785309098E-5</v>
      </c>
      <c r="F12408" s="1">
        <v>2.75038131220733E-3</v>
      </c>
    </row>
    <row r="12409" spans="1:6" x14ac:dyDescent="0.25">
      <c r="A12409" s="2" t="str">
        <f t="shared" si="451"/>
        <v>46520</v>
      </c>
      <c r="B12409" s="2" t="str">
        <f>"96730"</f>
        <v>96730</v>
      </c>
      <c r="C12409" s="1">
        <v>8.12004837475627E-4</v>
      </c>
      <c r="D12409" s="1">
        <v>1.1071009454642E-4</v>
      </c>
      <c r="E12409" s="1">
        <v>2.2133075114123601E-4</v>
      </c>
      <c r="F12409" s="1">
        <v>7.0301226365837696E-4</v>
      </c>
    </row>
    <row r="12410" spans="1:6" x14ac:dyDescent="0.25">
      <c r="A12410" s="2" t="str">
        <f t="shared" si="451"/>
        <v>46520</v>
      </c>
      <c r="B12410" s="2" t="str">
        <f>"96734"</f>
        <v>96734</v>
      </c>
      <c r="C12410" s="1">
        <v>4.7624453932916998E-2</v>
      </c>
      <c r="D12410" s="1">
        <v>3.7774284259238698E-2</v>
      </c>
      <c r="E12410" s="1">
        <v>3.4831926960852098E-2</v>
      </c>
      <c r="F12410" s="1">
        <v>4.5759520471634799E-2</v>
      </c>
    </row>
    <row r="12411" spans="1:6" x14ac:dyDescent="0.25">
      <c r="A12411" s="2" t="str">
        <f t="shared" si="451"/>
        <v>46520</v>
      </c>
      <c r="B12411" s="2" t="str">
        <f>"96821"</f>
        <v>96821</v>
      </c>
      <c r="C12411" s="1">
        <v>1.7913468420662899E-2</v>
      </c>
      <c r="D12411" s="1">
        <v>2.8341784203883701E-3</v>
      </c>
      <c r="E12411" s="1">
        <v>6.1142620002766603E-3</v>
      </c>
      <c r="F12411" s="1">
        <v>1.5636883887863301E-2</v>
      </c>
    </row>
    <row r="12412" spans="1:6" x14ac:dyDescent="0.25">
      <c r="A12412" s="2" t="str">
        <f t="shared" si="451"/>
        <v>46520</v>
      </c>
      <c r="B12412" s="2" t="str">
        <f>"96819"</f>
        <v>96819</v>
      </c>
      <c r="C12412" s="1">
        <v>3.08018856282548E-2</v>
      </c>
      <c r="D12412" s="1">
        <v>6.9171667072603596E-2</v>
      </c>
      <c r="E12412" s="1">
        <v>4.58431318301286E-2</v>
      </c>
      <c r="F12412" s="1">
        <v>3.5481563400605903E-2</v>
      </c>
    </row>
    <row r="12413" spans="1:6" x14ac:dyDescent="0.25">
      <c r="A12413" s="2" t="str">
        <f t="shared" si="451"/>
        <v>46520</v>
      </c>
      <c r="B12413" s="2" t="str">
        <f>"96805"</f>
        <v>96805</v>
      </c>
      <c r="C12413" s="1">
        <v>3.40597773773971E-4</v>
      </c>
      <c r="D12413" s="1">
        <v>1.3949471912848999E-3</v>
      </c>
      <c r="E12413" s="1">
        <v>5.5332687785309098E-5</v>
      </c>
      <c r="F12413" s="1">
        <v>4.1728505708377303E-4</v>
      </c>
    </row>
    <row r="12414" spans="1:6" x14ac:dyDescent="0.25">
      <c r="A12414" s="2" t="str">
        <f t="shared" si="451"/>
        <v>46520</v>
      </c>
      <c r="B12414" s="2" t="str">
        <f>"96759"</f>
        <v>96759</v>
      </c>
      <c r="C12414" s="1">
        <v>0</v>
      </c>
      <c r="D12414" s="1">
        <v>1.1071009454642E-4</v>
      </c>
      <c r="E12414" s="1">
        <v>2.7666343892654502E-5</v>
      </c>
      <c r="F12414" s="1">
        <v>1.23335484852346E-5</v>
      </c>
    </row>
    <row r="12415" spans="1:6" x14ac:dyDescent="0.25">
      <c r="A12415" s="2" t="str">
        <f t="shared" si="451"/>
        <v>46520</v>
      </c>
      <c r="B12415" s="2" t="str">
        <f>"96848"</f>
        <v>96848</v>
      </c>
      <c r="C12415" s="1">
        <v>0</v>
      </c>
      <c r="D12415" s="1">
        <v>2.21420189092841E-4</v>
      </c>
      <c r="E12415" s="1">
        <v>1.9366440724858199E-4</v>
      </c>
      <c r="F12415" s="1">
        <v>3.4945054041498197E-5</v>
      </c>
    </row>
    <row r="12416" spans="1:6" x14ac:dyDescent="0.25">
      <c r="A12416" s="2" t="str">
        <f t="shared" si="451"/>
        <v>46520</v>
      </c>
      <c r="B12416" s="2" t="str">
        <f>"96853"</f>
        <v>96853</v>
      </c>
      <c r="C12416" s="1">
        <v>2.2089493299108998E-3</v>
      </c>
      <c r="D12416" s="1">
        <v>1.5942253614684499E-3</v>
      </c>
      <c r="E12416" s="1">
        <v>4.0088532300456399E-2</v>
      </c>
      <c r="F12416" s="1">
        <v>4.9663088567211602E-3</v>
      </c>
    </row>
    <row r="12417" spans="1:6" x14ac:dyDescent="0.25">
      <c r="A12417" s="2" t="str">
        <f t="shared" si="451"/>
        <v>46520</v>
      </c>
      <c r="B12417" s="2" t="str">
        <f>"96707"</f>
        <v>96707</v>
      </c>
      <c r="C12417" s="1">
        <v>3.9948663523952897E-2</v>
      </c>
      <c r="D12417" s="1">
        <v>3.6401479086863101E-2</v>
      </c>
      <c r="E12417" s="1">
        <v>5.3506709088393903E-2</v>
      </c>
      <c r="F12417" s="1">
        <v>4.0626708710363002E-2</v>
      </c>
    </row>
    <row r="12418" spans="1:6" x14ac:dyDescent="0.25">
      <c r="A12418" s="2" t="str">
        <f t="shared" si="451"/>
        <v>46520</v>
      </c>
      <c r="B12418" s="2" t="str">
        <f>"96810"</f>
        <v>96810</v>
      </c>
      <c r="C12418" s="1">
        <v>3.85023570353185E-4</v>
      </c>
      <c r="D12418" s="1">
        <v>9.7424883200850196E-4</v>
      </c>
      <c r="E12418" s="1">
        <v>5.5332687785309098E-5</v>
      </c>
      <c r="F12418" s="1">
        <v>4.1522946566956701E-4</v>
      </c>
    </row>
    <row r="12419" spans="1:6" x14ac:dyDescent="0.25">
      <c r="A12419" s="2" t="str">
        <f t="shared" si="451"/>
        <v>46520</v>
      </c>
      <c r="B12419" s="2" t="str">
        <f>"96809"</f>
        <v>96809</v>
      </c>
      <c r="C12419" s="1">
        <v>4.0230026902287903E-4</v>
      </c>
      <c r="D12419" s="1">
        <v>1.70493545601487E-3</v>
      </c>
      <c r="E12419" s="1">
        <v>5.5332687785309098E-5</v>
      </c>
      <c r="F12419" s="1">
        <v>4.9745312223779901E-4</v>
      </c>
    </row>
    <row r="12420" spans="1:6" x14ac:dyDescent="0.25">
      <c r="A12420" s="2" t="str">
        <f t="shared" si="451"/>
        <v>46520</v>
      </c>
      <c r="B12420" s="2" t="str">
        <f>"96762"</f>
        <v>96762</v>
      </c>
      <c r="C12420" s="1">
        <v>2.4755041093861801E-3</v>
      </c>
      <c r="D12420" s="1">
        <v>1.7270774749241599E-3</v>
      </c>
      <c r="E12420" s="1">
        <v>5.7269331857794899E-3</v>
      </c>
      <c r="F12420" s="1">
        <v>2.6476017414970398E-3</v>
      </c>
    </row>
    <row r="12421" spans="1:6" x14ac:dyDescent="0.25">
      <c r="A12421" s="2" t="str">
        <f t="shared" si="451"/>
        <v>46520</v>
      </c>
      <c r="B12421" s="2" t="str">
        <f>"96789"</f>
        <v>96789</v>
      </c>
      <c r="C12421" s="1">
        <v>5.3658957968260201E-2</v>
      </c>
      <c r="D12421" s="1">
        <v>2.05477935478156E-2</v>
      </c>
      <c r="E12421" s="1">
        <v>4.9107760409461798E-2</v>
      </c>
      <c r="F12421" s="1">
        <v>5.0246876528846102E-2</v>
      </c>
    </row>
    <row r="12422" spans="1:6" x14ac:dyDescent="0.25">
      <c r="A12422" s="2" t="str">
        <f t="shared" si="451"/>
        <v>46520</v>
      </c>
      <c r="B12422" s="2" t="str">
        <f>"96717"</f>
        <v>96717</v>
      </c>
      <c r="C12422" s="1">
        <v>3.4701483327985701E-3</v>
      </c>
      <c r="D12422" s="1">
        <v>3.5427230254854599E-4</v>
      </c>
      <c r="E12422" s="1">
        <v>1.6599806335592701E-3</v>
      </c>
      <c r="F12422" s="1">
        <v>3.0463864758529598E-3</v>
      </c>
    </row>
    <row r="12423" spans="1:6" x14ac:dyDescent="0.25">
      <c r="A12423" s="2" t="str">
        <f t="shared" si="451"/>
        <v>46520</v>
      </c>
      <c r="B12423" s="2" t="str">
        <f>"96823"</f>
        <v>96823</v>
      </c>
      <c r="C12423" s="1">
        <v>4.2253868746452098E-3</v>
      </c>
      <c r="D12423" s="1">
        <v>1.3373779421207601E-2</v>
      </c>
      <c r="E12423" s="1">
        <v>5.5332687785309098E-5</v>
      </c>
      <c r="F12423" s="1">
        <v>4.7648608981290001E-3</v>
      </c>
    </row>
    <row r="12424" spans="1:6" x14ac:dyDescent="0.25">
      <c r="A12424" s="2" t="str">
        <f t="shared" si="451"/>
        <v>46520</v>
      </c>
      <c r="B12424" s="2" t="str">
        <f>"96837"</f>
        <v>96837</v>
      </c>
      <c r="C12424" s="1">
        <v>2.3002690228792798E-3</v>
      </c>
      <c r="D12424" s="1">
        <v>6.37690144587383E-3</v>
      </c>
      <c r="E12424" s="1">
        <v>5.5332687785309098E-5</v>
      </c>
      <c r="F12424" s="1">
        <v>2.51193270815946E-3</v>
      </c>
    </row>
    <row r="12425" spans="1:6" x14ac:dyDescent="0.25">
      <c r="A12425" s="2" t="str">
        <f t="shared" si="451"/>
        <v>46520</v>
      </c>
      <c r="B12425" s="2" t="str">
        <f>"96861"</f>
        <v>96861</v>
      </c>
      <c r="C12425" s="1">
        <v>2.4680998099563101E-6</v>
      </c>
      <c r="D12425" s="1">
        <v>2.21420189092841E-4</v>
      </c>
      <c r="E12425" s="1">
        <v>1.1066537557061801E-4</v>
      </c>
      <c r="F12425" s="1">
        <v>3.08338712130867E-5</v>
      </c>
    </row>
    <row r="12426" spans="1:6" x14ac:dyDescent="0.25">
      <c r="A12426" s="2" t="str">
        <f t="shared" ref="A12426:A12454" si="452">"46520"</f>
        <v>46520</v>
      </c>
      <c r="B12426" s="2" t="str">
        <f>"96830"</f>
        <v>96830</v>
      </c>
      <c r="C12426" s="1">
        <v>6.9254880667374103E-3</v>
      </c>
      <c r="D12426" s="1">
        <v>9.3660739986271904E-3</v>
      </c>
      <c r="E12426" s="1">
        <v>5.5332687785309098E-5</v>
      </c>
      <c r="F12426" s="1">
        <v>6.6416158592988699E-3</v>
      </c>
    </row>
    <row r="12427" spans="1:6" x14ac:dyDescent="0.25">
      <c r="A12427" s="2" t="str">
        <f t="shared" si="452"/>
        <v>46520</v>
      </c>
      <c r="B12427" s="2" t="str">
        <f>"96826"</f>
        <v>96826</v>
      </c>
      <c r="C12427" s="1">
        <v>4.1503566404225298E-2</v>
      </c>
      <c r="D12427" s="1">
        <v>3.1773797134822701E-2</v>
      </c>
      <c r="E12427" s="1">
        <v>6.17789459122976E-2</v>
      </c>
      <c r="F12427" s="1">
        <v>4.2106734528591198E-2</v>
      </c>
    </row>
    <row r="12428" spans="1:6" x14ac:dyDescent="0.25">
      <c r="A12428" s="2" t="str">
        <f t="shared" si="452"/>
        <v>46520</v>
      </c>
      <c r="B12428" s="2" t="str">
        <f>"96818"</f>
        <v>96818</v>
      </c>
      <c r="C12428" s="1">
        <v>4.49416294394945E-2</v>
      </c>
      <c r="D12428" s="1">
        <v>6.6868897106038098E-3</v>
      </c>
      <c r="E12428" s="1">
        <v>1.8481117720293198E-2</v>
      </c>
      <c r="F12428" s="1">
        <v>3.9424187733052597E-2</v>
      </c>
    </row>
    <row r="12429" spans="1:6" x14ac:dyDescent="0.25">
      <c r="A12429" s="2" t="str">
        <f t="shared" si="452"/>
        <v>46520</v>
      </c>
      <c r="B12429" s="2" t="str">
        <f>"96706"</f>
        <v>96706</v>
      </c>
      <c r="C12429" s="1">
        <v>6.09546610064911E-2</v>
      </c>
      <c r="D12429" s="1">
        <v>1.36173416292097E-2</v>
      </c>
      <c r="E12429" s="1">
        <v>4.4293816572139898E-2</v>
      </c>
      <c r="F12429" s="1">
        <v>5.5322131730520099E-2</v>
      </c>
    </row>
    <row r="12430" spans="1:6" x14ac:dyDescent="0.25">
      <c r="A12430" s="2" t="str">
        <f t="shared" si="452"/>
        <v>46520</v>
      </c>
      <c r="B12430" s="2" t="str">
        <f>"96807"</f>
        <v>96807</v>
      </c>
      <c r="C12430" s="1">
        <v>3.2332107510427702E-4</v>
      </c>
      <c r="D12430" s="1">
        <v>1.57208334255917E-3</v>
      </c>
      <c r="E12430" s="1">
        <v>5.5332687785309098E-5</v>
      </c>
      <c r="F12430" s="1">
        <v>4.1934064849797898E-4</v>
      </c>
    </row>
    <row r="12431" spans="1:6" x14ac:dyDescent="0.25">
      <c r="A12431" s="2" t="str">
        <f t="shared" si="452"/>
        <v>46520</v>
      </c>
      <c r="B12431" s="2" t="str">
        <f>"96795"</f>
        <v>96795</v>
      </c>
      <c r="C12431" s="1">
        <v>7.6980033072537399E-3</v>
      </c>
      <c r="D12431" s="1">
        <v>4.5833979142218097E-3</v>
      </c>
      <c r="E12431" s="1">
        <v>3.4582929865818201E-3</v>
      </c>
      <c r="F12431" s="1">
        <v>7.0938459704241504E-3</v>
      </c>
    </row>
    <row r="12432" spans="1:6" x14ac:dyDescent="0.25">
      <c r="A12432" s="2" t="str">
        <f t="shared" si="452"/>
        <v>46520</v>
      </c>
      <c r="B12432" s="2" t="str">
        <f>"96792"</f>
        <v>96792</v>
      </c>
      <c r="C12432" s="1">
        <v>4.2192166251203103E-2</v>
      </c>
      <c r="D12432" s="1">
        <v>1.5942253614684501E-2</v>
      </c>
      <c r="E12432" s="1">
        <v>2.37377230598976E-2</v>
      </c>
      <c r="F12432" s="1">
        <v>3.8384058477464497E-2</v>
      </c>
    </row>
    <row r="12433" spans="1:6" x14ac:dyDescent="0.25">
      <c r="A12433" s="2" t="str">
        <f t="shared" si="452"/>
        <v>46520</v>
      </c>
      <c r="B12433" s="2" t="str">
        <f>"96791"</f>
        <v>96791</v>
      </c>
      <c r="C12433" s="1">
        <v>8.2014956684848296E-3</v>
      </c>
      <c r="D12433" s="1">
        <v>3.89699532803401E-3</v>
      </c>
      <c r="E12433" s="1">
        <v>9.1022271406833496E-3</v>
      </c>
      <c r="F12433" s="1">
        <v>7.8688039335797298E-3</v>
      </c>
    </row>
    <row r="12434" spans="1:6" x14ac:dyDescent="0.25">
      <c r="A12434" s="2" t="str">
        <f t="shared" si="452"/>
        <v>46520</v>
      </c>
      <c r="B12434" s="2" t="str">
        <f>"96854"</f>
        <v>96854</v>
      </c>
      <c r="C12434" s="1">
        <v>0</v>
      </c>
      <c r="D12434" s="1">
        <v>6.4211854836924E-4</v>
      </c>
      <c r="E12434" s="1">
        <v>5.5332687785309098E-5</v>
      </c>
      <c r="F12434" s="1">
        <v>6.3723333840379196E-5</v>
      </c>
    </row>
    <row r="12435" spans="1:6" x14ac:dyDescent="0.25">
      <c r="A12435" s="2" t="str">
        <f t="shared" si="452"/>
        <v>46520</v>
      </c>
      <c r="B12435" s="2" t="str">
        <f>"96898"</f>
        <v>96898</v>
      </c>
      <c r="C12435" s="1">
        <v>0</v>
      </c>
      <c r="D12435" s="1">
        <v>2.2142018909284101E-5</v>
      </c>
      <c r="E12435" s="1">
        <v>0</v>
      </c>
      <c r="F12435" s="1">
        <v>2.0555914142057801E-6</v>
      </c>
    </row>
    <row r="12436" spans="1:6" x14ac:dyDescent="0.25">
      <c r="A12436" s="2" t="str">
        <f t="shared" si="452"/>
        <v>46520</v>
      </c>
      <c r="B12436" s="2" t="str">
        <f>"96808"</f>
        <v>96808</v>
      </c>
      <c r="C12436" s="1">
        <v>3.1344867586445102E-4</v>
      </c>
      <c r="D12436" s="1">
        <v>1.7492194938334401E-3</v>
      </c>
      <c r="E12436" s="1">
        <v>5.5332687785309098E-5</v>
      </c>
      <c r="F12436" s="1">
        <v>4.27563014154802E-4</v>
      </c>
    </row>
    <row r="12437" spans="1:6" x14ac:dyDescent="0.25">
      <c r="A12437" s="2" t="str">
        <f t="shared" si="452"/>
        <v>46520</v>
      </c>
      <c r="B12437" s="2" t="str">
        <f>"96804"</f>
        <v>96804</v>
      </c>
      <c r="C12437" s="1">
        <v>3.92427869783054E-4</v>
      </c>
      <c r="D12437" s="1">
        <v>1.15138498328277E-3</v>
      </c>
      <c r="E12437" s="1">
        <v>5.5332687785309098E-5</v>
      </c>
      <c r="F12437" s="1">
        <v>4.3784097122583098E-4</v>
      </c>
    </row>
    <row r="12438" spans="1:6" x14ac:dyDescent="0.25">
      <c r="A12438" s="2" t="str">
        <f t="shared" si="452"/>
        <v>46520</v>
      </c>
      <c r="B12438" s="2" t="str">
        <f>"96813"</f>
        <v>96813</v>
      </c>
      <c r="C12438" s="1">
        <v>3.5335784979144497E-2</v>
      </c>
      <c r="D12438" s="1">
        <v>0.13763478954010999</v>
      </c>
      <c r="E12438" s="1">
        <v>3.30059482639369E-2</v>
      </c>
      <c r="F12438" s="1">
        <v>4.4659779065034801E-2</v>
      </c>
    </row>
    <row r="12439" spans="1:6" x14ac:dyDescent="0.25">
      <c r="A12439" s="2" t="str">
        <f t="shared" si="452"/>
        <v>46520</v>
      </c>
      <c r="B12439" s="2" t="str">
        <f>"96859"</f>
        <v>96859</v>
      </c>
      <c r="C12439" s="1">
        <v>0</v>
      </c>
      <c r="D12439" s="1">
        <v>6.64260567278524E-5</v>
      </c>
      <c r="E12439" s="1">
        <v>8.2999031677963701E-5</v>
      </c>
      <c r="F12439" s="1">
        <v>1.23335484852346E-5</v>
      </c>
    </row>
    <row r="12440" spans="1:6" x14ac:dyDescent="0.25">
      <c r="A12440" s="2" t="str">
        <f t="shared" si="452"/>
        <v>46520</v>
      </c>
      <c r="B12440" s="2" t="str">
        <f>"96858"</f>
        <v>96858</v>
      </c>
      <c r="C12440" s="1">
        <v>0</v>
      </c>
      <c r="D12440" s="1">
        <v>9.7424883200850196E-4</v>
      </c>
      <c r="E12440" s="1">
        <v>5.5332687785309098E-5</v>
      </c>
      <c r="F12440" s="1">
        <v>9.4557205053465902E-5</v>
      </c>
    </row>
    <row r="12441" spans="1:6" x14ac:dyDescent="0.25">
      <c r="A12441" s="2" t="str">
        <f t="shared" si="452"/>
        <v>46520</v>
      </c>
      <c r="B12441" s="2" t="str">
        <f>"96857"</f>
        <v>96857</v>
      </c>
      <c r="C12441" s="1">
        <v>2.4680998099563101E-6</v>
      </c>
      <c r="D12441" s="1">
        <v>3.7420011956690201E-3</v>
      </c>
      <c r="E12441" s="1">
        <v>8.2999031677963699E-4</v>
      </c>
      <c r="F12441" s="1">
        <v>4.1111828284115602E-4</v>
      </c>
    </row>
    <row r="12442" spans="1:6" x14ac:dyDescent="0.25">
      <c r="A12442" s="2" t="str">
        <f t="shared" si="452"/>
        <v>46520</v>
      </c>
      <c r="B12442" s="2" t="str">
        <f>"96820"</f>
        <v>96820</v>
      </c>
      <c r="C12442" s="1">
        <v>3.14929535750425E-3</v>
      </c>
      <c r="D12442" s="1">
        <v>1.29087970241126E-2</v>
      </c>
      <c r="E12442" s="1">
        <v>2.7666343892654502E-5</v>
      </c>
      <c r="F12442" s="1">
        <v>3.8234000304227501E-3</v>
      </c>
    </row>
    <row r="12443" spans="1:6" x14ac:dyDescent="0.25">
      <c r="A12443" s="2" t="str">
        <f t="shared" si="452"/>
        <v>46520</v>
      </c>
      <c r="B12443" s="2" t="str">
        <f>"96814"</f>
        <v>96814</v>
      </c>
      <c r="C12443" s="1">
        <v>3.62218328109188E-2</v>
      </c>
      <c r="D12443" s="1">
        <v>9.5852799858290996E-2</v>
      </c>
      <c r="E12443" s="1">
        <v>2.71960160464794E-2</v>
      </c>
      <c r="F12443" s="1">
        <v>4.1087161187145102E-2</v>
      </c>
    </row>
    <row r="12444" spans="1:6" x14ac:dyDescent="0.25">
      <c r="A12444" s="2" t="str">
        <f t="shared" si="452"/>
        <v>46520</v>
      </c>
      <c r="B12444" s="2" t="str">
        <f>"96806"</f>
        <v>96806</v>
      </c>
      <c r="C12444" s="1">
        <v>3.0604437643458299E-4</v>
      </c>
      <c r="D12444" s="1">
        <v>1.8156455505613E-3</v>
      </c>
      <c r="E12444" s="1">
        <v>5.5332687785309098E-5</v>
      </c>
      <c r="F12444" s="1">
        <v>4.27563014154802E-4</v>
      </c>
    </row>
    <row r="12445" spans="1:6" x14ac:dyDescent="0.25">
      <c r="A12445" s="2" t="str">
        <f t="shared" si="452"/>
        <v>46520</v>
      </c>
      <c r="B12445" s="2" t="str">
        <f>"96802"</f>
        <v>96802</v>
      </c>
      <c r="C12445" s="1">
        <v>3.3566157415405802E-4</v>
      </c>
      <c r="D12445" s="1">
        <v>1.4170892101941801E-3</v>
      </c>
      <c r="E12445" s="1">
        <v>5.5332687785309098E-5</v>
      </c>
      <c r="F12445" s="1">
        <v>4.1522946566956701E-4</v>
      </c>
    </row>
    <row r="12446" spans="1:6" x14ac:dyDescent="0.25">
      <c r="A12446" s="2" t="str">
        <f t="shared" si="452"/>
        <v>46520</v>
      </c>
      <c r="B12446" s="2" t="str">
        <f>"96812"</f>
        <v>96812</v>
      </c>
      <c r="C12446" s="1">
        <v>1.1155811141002499E-3</v>
      </c>
      <c r="D12446" s="1">
        <v>3.89699532803401E-3</v>
      </c>
      <c r="E12446" s="1">
        <v>5.5332687785309098E-5</v>
      </c>
      <c r="F12446" s="1">
        <v>1.29502259094964E-3</v>
      </c>
    </row>
    <row r="12447" spans="1:6" x14ac:dyDescent="0.25">
      <c r="A12447" s="2" t="str">
        <f t="shared" si="452"/>
        <v>46520</v>
      </c>
      <c r="B12447" s="2" t="str">
        <f>"96712"</f>
        <v>96712</v>
      </c>
      <c r="C12447" s="1">
        <v>8.9369894118518107E-3</v>
      </c>
      <c r="D12447" s="1">
        <v>1.2089542324469099E-2</v>
      </c>
      <c r="E12447" s="1">
        <v>1.3860838290219901E-2</v>
      </c>
      <c r="F12447" s="1">
        <v>9.5955007215125804E-3</v>
      </c>
    </row>
    <row r="12448" spans="1:6" x14ac:dyDescent="0.25">
      <c r="A12448" s="2" t="str">
        <f t="shared" si="452"/>
        <v>46520</v>
      </c>
      <c r="B12448" s="2" t="str">
        <f>"96828"</f>
        <v>96828</v>
      </c>
      <c r="C12448" s="1">
        <v>2.58410050102426E-3</v>
      </c>
      <c r="D12448" s="1">
        <v>8.61324535571153E-3</v>
      </c>
      <c r="E12448" s="1">
        <v>5.5332687785309098E-5</v>
      </c>
      <c r="F12448" s="1">
        <v>2.9559404536279102E-3</v>
      </c>
    </row>
    <row r="12449" spans="1:6" x14ac:dyDescent="0.25">
      <c r="A12449" s="2" t="str">
        <f t="shared" si="452"/>
        <v>46520</v>
      </c>
      <c r="B12449" s="2" t="str">
        <f>"96817"</f>
        <v>96817</v>
      </c>
      <c r="C12449" s="1">
        <v>5.7417873978823697E-2</v>
      </c>
      <c r="D12449" s="1">
        <v>8.8900205920775799E-2</v>
      </c>
      <c r="E12449" s="1">
        <v>5.3340711025037998E-2</v>
      </c>
      <c r="F12449" s="1">
        <v>6.0037658434708201E-2</v>
      </c>
    </row>
    <row r="12450" spans="1:6" x14ac:dyDescent="0.25">
      <c r="A12450" s="2" t="str">
        <f t="shared" si="452"/>
        <v>46520</v>
      </c>
      <c r="B12450" s="2" t="str">
        <f>"96811"</f>
        <v>96811</v>
      </c>
      <c r="C12450" s="1">
        <v>1.7276698669694201E-4</v>
      </c>
      <c r="D12450" s="1">
        <v>4.8712441600425098E-4</v>
      </c>
      <c r="E12450" s="1">
        <v>5.5332687785309098E-5</v>
      </c>
      <c r="F12450" s="1">
        <v>1.9322559293534299E-4</v>
      </c>
    </row>
    <row r="12451" spans="1:6" x14ac:dyDescent="0.25">
      <c r="A12451" s="2" t="str">
        <f t="shared" si="452"/>
        <v>46520</v>
      </c>
      <c r="B12451" s="2" t="str">
        <f>"96803"</f>
        <v>96803</v>
      </c>
      <c r="C12451" s="1">
        <v>3.62810672063578E-4</v>
      </c>
      <c r="D12451" s="1">
        <v>1.28423709673848E-3</v>
      </c>
      <c r="E12451" s="1">
        <v>5.5332687785309098E-5</v>
      </c>
      <c r="F12451" s="1">
        <v>4.2550742274059599E-4</v>
      </c>
    </row>
    <row r="12452" spans="1:6" x14ac:dyDescent="0.25">
      <c r="A12452" s="2" t="str">
        <f t="shared" si="452"/>
        <v>46520</v>
      </c>
      <c r="B12452" s="2" t="str">
        <f>"96801"</f>
        <v>96801</v>
      </c>
      <c r="C12452" s="1">
        <v>2.4434188118567502E-4</v>
      </c>
      <c r="D12452" s="1">
        <v>1.4170892101941801E-3</v>
      </c>
      <c r="E12452" s="1">
        <v>5.5332687785309098E-5</v>
      </c>
      <c r="F12452" s="1">
        <v>3.39172583343953E-4</v>
      </c>
    </row>
    <row r="12453" spans="1:6" x14ac:dyDescent="0.25">
      <c r="A12453" s="2" t="str">
        <f t="shared" si="452"/>
        <v>46520</v>
      </c>
      <c r="B12453" s="2" t="str">
        <f>"96797"</f>
        <v>96797</v>
      </c>
      <c r="C12453" s="1">
        <v>5.5292840042451302E-2</v>
      </c>
      <c r="D12453" s="1">
        <v>4.88674357327901E-2</v>
      </c>
      <c r="E12453" s="1">
        <v>4.9190759441139799E-2</v>
      </c>
      <c r="F12453" s="1">
        <v>5.4242946238062098E-2</v>
      </c>
    </row>
    <row r="12454" spans="1:6" x14ac:dyDescent="0.25">
      <c r="A12454" s="2" t="str">
        <f t="shared" si="452"/>
        <v>46520</v>
      </c>
      <c r="B12454" s="2" t="str">
        <f>"96786"</f>
        <v>96786</v>
      </c>
      <c r="C12454" s="1">
        <v>3.8813337611372997E-2</v>
      </c>
      <c r="D12454" s="1">
        <v>1.8400017713615099E-2</v>
      </c>
      <c r="E12454" s="1">
        <v>5.9869968183704499E-2</v>
      </c>
      <c r="F12454" s="1">
        <v>3.8482726865346401E-2</v>
      </c>
    </row>
    <row r="12455" spans="1:6" x14ac:dyDescent="0.25">
      <c r="A12455" s="2" t="str">
        <f t="shared" ref="A12455:A12471" si="453">"28180"</f>
        <v>28180</v>
      </c>
      <c r="B12455" s="2" t="str">
        <f>"96716"</f>
        <v>96716</v>
      </c>
      <c r="C12455" s="1">
        <v>0</v>
      </c>
      <c r="D12455" s="1">
        <v>2.3239600278875201E-4</v>
      </c>
      <c r="E12455" s="1">
        <v>0</v>
      </c>
      <c r="F12455" s="1">
        <v>2.85551113649343E-5</v>
      </c>
    </row>
    <row r="12456" spans="1:6" x14ac:dyDescent="0.25">
      <c r="A12456" s="2" t="str">
        <f t="shared" si="453"/>
        <v>28180</v>
      </c>
      <c r="B12456" s="2" t="str">
        <f>"96703"</f>
        <v>96703</v>
      </c>
      <c r="C12456" s="1">
        <v>0</v>
      </c>
      <c r="D12456" s="1">
        <v>2.3239600278875201E-4</v>
      </c>
      <c r="E12456" s="1">
        <v>0</v>
      </c>
      <c r="F12456" s="1">
        <v>2.85551113649343E-5</v>
      </c>
    </row>
    <row r="12457" spans="1:6" x14ac:dyDescent="0.25">
      <c r="A12457" s="2" t="str">
        <f t="shared" si="453"/>
        <v>28180</v>
      </c>
      <c r="B12457" s="2" t="str">
        <f>"96747"</f>
        <v>96747</v>
      </c>
      <c r="C12457" s="1">
        <v>0</v>
      </c>
      <c r="D12457" s="1">
        <v>2.3239600278875201E-4</v>
      </c>
      <c r="E12457" s="1">
        <v>0</v>
      </c>
      <c r="F12457" s="1">
        <v>2.85551113649343E-5</v>
      </c>
    </row>
    <row r="12458" spans="1:6" x14ac:dyDescent="0.25">
      <c r="A12458" s="2" t="str">
        <f t="shared" si="453"/>
        <v>28180</v>
      </c>
      <c r="B12458" s="2" t="str">
        <f>"96715"</f>
        <v>96715</v>
      </c>
      <c r="C12458" s="1">
        <v>1.09072022160664E-2</v>
      </c>
      <c r="D12458" s="1">
        <v>1.1619800139437599E-3</v>
      </c>
      <c r="E12458" s="1">
        <v>1.08873162765378E-3</v>
      </c>
      <c r="F12458" s="1">
        <v>9.1947458595088502E-3</v>
      </c>
    </row>
    <row r="12459" spans="1:6" x14ac:dyDescent="0.25">
      <c r="A12459" s="2" t="str">
        <f t="shared" si="453"/>
        <v>28180</v>
      </c>
      <c r="B12459" s="2" t="str">
        <f>"96765"</f>
        <v>96765</v>
      </c>
      <c r="C12459" s="1">
        <v>0</v>
      </c>
      <c r="D12459" s="1">
        <v>2.3239600278875201E-4</v>
      </c>
      <c r="E12459" s="1">
        <v>0</v>
      </c>
      <c r="F12459" s="1">
        <v>2.85551113649343E-5</v>
      </c>
    </row>
    <row r="12460" spans="1:6" x14ac:dyDescent="0.25">
      <c r="A12460" s="2" t="str">
        <f t="shared" si="453"/>
        <v>28180</v>
      </c>
      <c r="B12460" s="2" t="str">
        <f>"96751"</f>
        <v>96751</v>
      </c>
      <c r="C12460" s="1">
        <v>0</v>
      </c>
      <c r="D12460" s="1">
        <v>2.3239600278875201E-4</v>
      </c>
      <c r="E12460" s="1">
        <v>0</v>
      </c>
      <c r="F12460" s="1">
        <v>2.85551113649343E-5</v>
      </c>
    </row>
    <row r="12461" spans="1:6" x14ac:dyDescent="0.25">
      <c r="A12461" s="2" t="str">
        <f t="shared" si="453"/>
        <v>28180</v>
      </c>
      <c r="B12461" s="2" t="str">
        <f>"96756"</f>
        <v>96756</v>
      </c>
      <c r="C12461" s="1">
        <v>0.13213296398891899</v>
      </c>
      <c r="D12461" s="1">
        <v>8.0176620962119402E-2</v>
      </c>
      <c r="E12461" s="1">
        <v>6.4779531845400098E-2</v>
      </c>
      <c r="F12461" s="1">
        <v>0.12221587664191801</v>
      </c>
    </row>
    <row r="12462" spans="1:6" x14ac:dyDescent="0.25">
      <c r="A12462" s="2" t="str">
        <f t="shared" si="453"/>
        <v>28180</v>
      </c>
      <c r="B12462" s="2" t="str">
        <f>"96766"</f>
        <v>96766</v>
      </c>
      <c r="C12462" s="1">
        <v>0.25197368421052602</v>
      </c>
      <c r="D12462" s="1">
        <v>0.52219381826632505</v>
      </c>
      <c r="E12462" s="1">
        <v>0.330430048992923</v>
      </c>
      <c r="F12462" s="1">
        <v>0.289291833238149</v>
      </c>
    </row>
    <row r="12463" spans="1:6" x14ac:dyDescent="0.25">
      <c r="A12463" s="2" t="str">
        <f t="shared" si="453"/>
        <v>28180</v>
      </c>
      <c r="B12463" s="2" t="str">
        <f>"96722"</f>
        <v>96722</v>
      </c>
      <c r="C12463" s="1">
        <v>6.9909972299168899E-2</v>
      </c>
      <c r="D12463" s="1">
        <v>2.9281896351382699E-2</v>
      </c>
      <c r="E12463" s="1">
        <v>2.2863364180729401E-2</v>
      </c>
      <c r="F12463" s="1">
        <v>6.2450028555111302E-2</v>
      </c>
    </row>
    <row r="12464" spans="1:6" x14ac:dyDescent="0.25">
      <c r="A12464" s="2" t="str">
        <f t="shared" si="453"/>
        <v>28180</v>
      </c>
      <c r="B12464" s="2" t="str">
        <f>"96705"</f>
        <v>96705</v>
      </c>
      <c r="C12464" s="1">
        <v>0</v>
      </c>
      <c r="D12464" s="1">
        <v>6.9718800836625599E-4</v>
      </c>
      <c r="E12464" s="1">
        <v>5.4436581382689097E-4</v>
      </c>
      <c r="F12464" s="1">
        <v>1.14220445459737E-4</v>
      </c>
    </row>
    <row r="12465" spans="1:6" x14ac:dyDescent="0.25">
      <c r="A12465" s="2" t="str">
        <f t="shared" si="453"/>
        <v>28180</v>
      </c>
      <c r="B12465" s="2" t="str">
        <f>"96752"</f>
        <v>96752</v>
      </c>
      <c r="C12465" s="1">
        <v>6.9252077562326794E-5</v>
      </c>
      <c r="D12465" s="1">
        <v>0</v>
      </c>
      <c r="E12465" s="1">
        <v>5.4436581382689097E-4</v>
      </c>
      <c r="F12465" s="1">
        <v>8.5665334094802903E-5</v>
      </c>
    </row>
    <row r="12466" spans="1:6" x14ac:dyDescent="0.25">
      <c r="A12466" s="2" t="str">
        <f t="shared" si="453"/>
        <v>28180</v>
      </c>
      <c r="B12466" s="2" t="str">
        <f>"96796"</f>
        <v>96796</v>
      </c>
      <c r="C12466" s="1">
        <v>0</v>
      </c>
      <c r="D12466" s="1">
        <v>2.3239600278875201E-4</v>
      </c>
      <c r="E12466" s="1">
        <v>0</v>
      </c>
      <c r="F12466" s="1">
        <v>2.85551113649343E-5</v>
      </c>
    </row>
    <row r="12467" spans="1:6" x14ac:dyDescent="0.25">
      <c r="A12467" s="2" t="str">
        <f t="shared" si="453"/>
        <v>28180</v>
      </c>
      <c r="B12467" s="2" t="str">
        <f>"96754"</f>
        <v>96754</v>
      </c>
      <c r="C12467" s="1">
        <v>7.6142659279778299E-2</v>
      </c>
      <c r="D12467" s="1">
        <v>5.62398326748779E-2</v>
      </c>
      <c r="E12467" s="1">
        <v>4.30048992923244E-2</v>
      </c>
      <c r="F12467" s="1">
        <v>7.1958880639634404E-2</v>
      </c>
    </row>
    <row r="12468" spans="1:6" x14ac:dyDescent="0.25">
      <c r="A12468" s="2" t="str">
        <f t="shared" si="453"/>
        <v>28180</v>
      </c>
      <c r="B12468" s="2" t="str">
        <f>"96714"</f>
        <v>96714</v>
      </c>
      <c r="C12468" s="1">
        <v>4.4529085872576098E-2</v>
      </c>
      <c r="D12468" s="1">
        <v>4.7176388566116598E-2</v>
      </c>
      <c r="E12468" s="1">
        <v>5.4436581382689097E-4</v>
      </c>
      <c r="F12468" s="1">
        <v>4.25471159337521E-2</v>
      </c>
    </row>
    <row r="12469" spans="1:6" x14ac:dyDescent="0.25">
      <c r="A12469" s="2" t="str">
        <f t="shared" si="453"/>
        <v>28180</v>
      </c>
      <c r="B12469" s="2" t="str">
        <f>"96746"</f>
        <v>96746</v>
      </c>
      <c r="C12469" s="1">
        <v>0.32548476454293601</v>
      </c>
      <c r="D12469" s="1">
        <v>0.226818498721821</v>
      </c>
      <c r="E12469" s="1">
        <v>0.46379967338051098</v>
      </c>
      <c r="F12469" s="1">
        <v>0.32061679040548202</v>
      </c>
    </row>
    <row r="12470" spans="1:6" x14ac:dyDescent="0.25">
      <c r="A12470" s="2" t="str">
        <f t="shared" si="453"/>
        <v>28180</v>
      </c>
      <c r="B12470" s="2" t="str">
        <f>"96741"</f>
        <v>96741</v>
      </c>
      <c r="C12470" s="1">
        <v>8.8850415512465294E-2</v>
      </c>
      <c r="D12470" s="1">
        <v>3.4627004415524E-2</v>
      </c>
      <c r="E12470" s="1">
        <v>7.2400653238976501E-2</v>
      </c>
      <c r="F12470" s="1">
        <v>8.1324957167332901E-2</v>
      </c>
    </row>
    <row r="12471" spans="1:6" x14ac:dyDescent="0.25">
      <c r="A12471" s="2" t="str">
        <f t="shared" si="453"/>
        <v>28180</v>
      </c>
      <c r="B12471" s="2" t="str">
        <f>"96769"</f>
        <v>96769</v>
      </c>
      <c r="C12471" s="1">
        <v>0</v>
      </c>
      <c r="D12471" s="1">
        <v>2.3239600278875201E-4</v>
      </c>
      <c r="E12471" s="1">
        <v>0</v>
      </c>
      <c r="F12471" s="1">
        <v>2.85551113649343E-5</v>
      </c>
    </row>
    <row r="12472" spans="1:6" x14ac:dyDescent="0.25">
      <c r="A12472" s="2" t="str">
        <f t="shared" ref="A12472:A12481" si="454">"18300"</f>
        <v>18300</v>
      </c>
      <c r="B12472" s="2" t="str">
        <f>"97423"</f>
        <v>97423</v>
      </c>
      <c r="C12472" s="1">
        <v>8.9671737389911896E-2</v>
      </c>
      <c r="D12472" s="1">
        <v>7.0147845234350401E-2</v>
      </c>
      <c r="E12472" s="1">
        <v>7.9743354720439905E-2</v>
      </c>
      <c r="F12472" s="1">
        <v>8.7871378824924004E-2</v>
      </c>
    </row>
    <row r="12473" spans="1:6" x14ac:dyDescent="0.25">
      <c r="A12473" s="2" t="str">
        <f t="shared" si="454"/>
        <v>18300</v>
      </c>
      <c r="B12473" s="2" t="str">
        <f>"97466"</f>
        <v>97466</v>
      </c>
      <c r="C12473" s="1">
        <v>1.3390022362717699E-2</v>
      </c>
      <c r="D12473" s="1">
        <v>6.2912865681031703E-4</v>
      </c>
      <c r="E12473" s="1">
        <v>6.4161319890009101E-3</v>
      </c>
      <c r="F12473" s="1">
        <v>1.2200242029092799E-2</v>
      </c>
    </row>
    <row r="12474" spans="1:6" x14ac:dyDescent="0.25">
      <c r="A12474" s="2" t="str">
        <f t="shared" si="454"/>
        <v>18300</v>
      </c>
      <c r="B12474" s="2" t="str">
        <f>"97414"</f>
        <v>97414</v>
      </c>
      <c r="C12474" s="1">
        <v>3.0921288755142002E-3</v>
      </c>
      <c r="D12474" s="1">
        <v>0</v>
      </c>
      <c r="E12474" s="1">
        <v>9.1659028414298801E-4</v>
      </c>
      <c r="F12474" s="1">
        <v>2.7907436220394599E-3</v>
      </c>
    </row>
    <row r="12475" spans="1:6" x14ac:dyDescent="0.25">
      <c r="A12475" s="2" t="str">
        <f t="shared" si="454"/>
        <v>18300</v>
      </c>
      <c r="B12475" s="2" t="str">
        <f>"97450"</f>
        <v>97450</v>
      </c>
      <c r="C12475" s="1">
        <v>1.10433174125507E-4</v>
      </c>
      <c r="D12475" s="1">
        <v>0</v>
      </c>
      <c r="E12475" s="1">
        <v>0</v>
      </c>
      <c r="F12475" s="1">
        <v>9.8787384850954505E-5</v>
      </c>
    </row>
    <row r="12476" spans="1:6" x14ac:dyDescent="0.25">
      <c r="A12476" s="2" t="str">
        <f t="shared" si="454"/>
        <v>18300</v>
      </c>
      <c r="B12476" s="2" t="str">
        <f>"97458"</f>
        <v>97458</v>
      </c>
      <c r="C12476" s="1">
        <v>6.1704536042627198E-2</v>
      </c>
      <c r="D12476" s="1">
        <v>5.0959421201635699E-2</v>
      </c>
      <c r="E12476" s="1">
        <v>8.5242896425297796E-2</v>
      </c>
      <c r="F12476" s="1">
        <v>6.1495147069719099E-2</v>
      </c>
    </row>
    <row r="12477" spans="1:6" x14ac:dyDescent="0.25">
      <c r="A12477" s="2" t="str">
        <f t="shared" si="454"/>
        <v>18300</v>
      </c>
      <c r="B12477" s="2" t="str">
        <f>"97449"</f>
        <v>97449</v>
      </c>
      <c r="C12477" s="1">
        <v>4.7182573645122898E-2</v>
      </c>
      <c r="D12477" s="1">
        <v>5.97672223969801E-3</v>
      </c>
      <c r="E12477" s="1">
        <v>3.6663611365719499E-3</v>
      </c>
      <c r="F12477" s="1">
        <v>4.2774937640463299E-2</v>
      </c>
    </row>
    <row r="12478" spans="1:6" x14ac:dyDescent="0.25">
      <c r="A12478" s="2" t="str">
        <f t="shared" si="454"/>
        <v>18300</v>
      </c>
      <c r="B12478" s="2" t="str">
        <f>"97459"</f>
        <v>97459</v>
      </c>
      <c r="C12478" s="1">
        <v>0.21399188316170101</v>
      </c>
      <c r="D12478" s="1">
        <v>0.26329034287511699</v>
      </c>
      <c r="E12478" s="1">
        <v>0.26397800183317999</v>
      </c>
      <c r="F12478" s="1">
        <v>0.21920920698426799</v>
      </c>
    </row>
    <row r="12479" spans="1:6" x14ac:dyDescent="0.25">
      <c r="A12479" s="2" t="str">
        <f t="shared" si="454"/>
        <v>18300</v>
      </c>
      <c r="B12479" s="2" t="str">
        <f>"97420"</f>
        <v>97420</v>
      </c>
      <c r="C12479" s="1">
        <v>0.41718892355263498</v>
      </c>
      <c r="D12479" s="1">
        <v>0.45486001887385902</v>
      </c>
      <c r="E12479" s="1">
        <v>0.45004582951420702</v>
      </c>
      <c r="F12479" s="1">
        <v>0.42103183423476798</v>
      </c>
    </row>
    <row r="12480" spans="1:6" x14ac:dyDescent="0.25">
      <c r="A12480" s="2" t="str">
        <f t="shared" si="454"/>
        <v>18300</v>
      </c>
      <c r="B12480" s="2" t="str">
        <f>"97407"</f>
        <v>97407</v>
      </c>
      <c r="C12480" s="1">
        <v>0</v>
      </c>
      <c r="D12480" s="1">
        <v>0</v>
      </c>
      <c r="E12480" s="1">
        <v>9.1659028414298801E-4</v>
      </c>
      <c r="F12480" s="1">
        <v>2.4696846212738599E-5</v>
      </c>
    </row>
    <row r="12481" spans="1:6" x14ac:dyDescent="0.25">
      <c r="A12481" s="2" t="str">
        <f t="shared" si="454"/>
        <v>18300</v>
      </c>
      <c r="B12481" s="2" t="str">
        <f>"97411"</f>
        <v>97411</v>
      </c>
      <c r="C12481" s="1">
        <v>0.15366776179564301</v>
      </c>
      <c r="D12481" s="1">
        <v>0.154136520918527</v>
      </c>
      <c r="E12481" s="1">
        <v>0.109074243813015</v>
      </c>
      <c r="F12481" s="1">
        <v>0.152503025363661</v>
      </c>
    </row>
    <row r="12482" spans="1:6" x14ac:dyDescent="0.25">
      <c r="A12482" s="2" t="str">
        <f t="shared" ref="A12482:A12511" si="455">"40700"</f>
        <v>40700</v>
      </c>
      <c r="B12482" s="2" t="str">
        <f>"97493"</f>
        <v>97493</v>
      </c>
      <c r="C12482" s="1">
        <v>2.2478404675508099E-4</v>
      </c>
      <c r="D12482" s="1">
        <v>4.5987583352494801E-4</v>
      </c>
      <c r="E12482" s="1">
        <v>0</v>
      </c>
      <c r="F12482" s="1">
        <v>2.3551577955722999E-4</v>
      </c>
    </row>
    <row r="12483" spans="1:6" x14ac:dyDescent="0.25">
      <c r="A12483" s="2" t="str">
        <f t="shared" si="455"/>
        <v>40700</v>
      </c>
      <c r="B12483" s="2" t="str">
        <f>"97443"</f>
        <v>97443</v>
      </c>
      <c r="C12483" s="1">
        <v>1.7501043640216998E-2</v>
      </c>
      <c r="D12483" s="1">
        <v>4.8286962520119499E-3</v>
      </c>
      <c r="E12483" s="1">
        <v>8.4291187739463595E-3</v>
      </c>
      <c r="F12483" s="1">
        <v>1.6515544041450701E-2</v>
      </c>
    </row>
    <row r="12484" spans="1:6" x14ac:dyDescent="0.25">
      <c r="A12484" s="2" t="str">
        <f t="shared" si="455"/>
        <v>40700</v>
      </c>
      <c r="B12484" s="2" t="str">
        <f>"97417"</f>
        <v>97417</v>
      </c>
      <c r="C12484" s="1">
        <v>1.97649401111075E-2</v>
      </c>
      <c r="D12484" s="1">
        <v>5.0586341687744304E-3</v>
      </c>
      <c r="E12484" s="1">
        <v>1.4559386973180001E-2</v>
      </c>
      <c r="F12484" s="1">
        <v>1.8723504474799799E-2</v>
      </c>
    </row>
    <row r="12485" spans="1:6" x14ac:dyDescent="0.25">
      <c r="A12485" s="2" t="str">
        <f t="shared" si="455"/>
        <v>40700</v>
      </c>
      <c r="B12485" s="2" t="str">
        <f>"97469"</f>
        <v>97469</v>
      </c>
      <c r="C12485" s="1">
        <v>1.9524100061012802E-2</v>
      </c>
      <c r="D12485" s="1">
        <v>1.8395033340997901E-3</v>
      </c>
      <c r="E12485" s="1">
        <v>1.99233716475095E-2</v>
      </c>
      <c r="F12485" s="1">
        <v>1.8399670277908599E-2</v>
      </c>
    </row>
    <row r="12486" spans="1:6" x14ac:dyDescent="0.25">
      <c r="A12486" s="2" t="str">
        <f t="shared" si="455"/>
        <v>40700</v>
      </c>
      <c r="B12486" s="2" t="str">
        <f>"97432"</f>
        <v>97432</v>
      </c>
      <c r="C12486" s="1">
        <v>8.8308018368067794E-3</v>
      </c>
      <c r="D12486" s="1">
        <v>4.13888250172453E-3</v>
      </c>
      <c r="E12486" s="1">
        <v>1.5325670498084201E-3</v>
      </c>
      <c r="F12486" s="1">
        <v>8.3902496467263294E-3</v>
      </c>
    </row>
    <row r="12487" spans="1:6" x14ac:dyDescent="0.25">
      <c r="A12487" s="2" t="str">
        <f t="shared" si="455"/>
        <v>40700</v>
      </c>
      <c r="B12487" s="2" t="str">
        <f>"97416"</f>
        <v>97416</v>
      </c>
      <c r="C12487" s="1">
        <v>7.6747695963520698E-3</v>
      </c>
      <c r="D12487" s="1">
        <v>9.1975166704989602E-4</v>
      </c>
      <c r="E12487" s="1">
        <v>7.6628352490421404E-4</v>
      </c>
      <c r="F12487" s="1">
        <v>7.10963259538389E-3</v>
      </c>
    </row>
    <row r="12488" spans="1:6" x14ac:dyDescent="0.25">
      <c r="A12488" s="2" t="str">
        <f t="shared" si="455"/>
        <v>40700</v>
      </c>
      <c r="B12488" s="2" t="str">
        <f>"97494"</f>
        <v>97494</v>
      </c>
      <c r="C12488" s="1">
        <v>1.6056003339648601E-4</v>
      </c>
      <c r="D12488" s="1">
        <v>0</v>
      </c>
      <c r="E12488" s="1">
        <v>7.6628352490421404E-4</v>
      </c>
      <c r="F12488" s="1">
        <v>1.6191709844559499E-4</v>
      </c>
    </row>
    <row r="12489" spans="1:6" x14ac:dyDescent="0.25">
      <c r="A12489" s="2" t="str">
        <f t="shared" si="455"/>
        <v>40700</v>
      </c>
      <c r="B12489" s="2" t="str">
        <f>"97496"</f>
        <v>97496</v>
      </c>
      <c r="C12489" s="1">
        <v>9.9065540605632399E-2</v>
      </c>
      <c r="D12489" s="1">
        <v>2.59829845941595E-2</v>
      </c>
      <c r="E12489" s="1">
        <v>2.3754789272030601E-2</v>
      </c>
      <c r="F12489" s="1">
        <v>9.2940414507772004E-2</v>
      </c>
    </row>
    <row r="12490" spans="1:6" x14ac:dyDescent="0.25">
      <c r="A12490" s="2" t="str">
        <f t="shared" si="455"/>
        <v>40700</v>
      </c>
      <c r="B12490" s="2" t="str">
        <f>"97436"</f>
        <v>97436</v>
      </c>
      <c r="C12490" s="1">
        <v>1.01152821039786E-2</v>
      </c>
      <c r="D12490" s="1">
        <v>6.8981375028742198E-4</v>
      </c>
      <c r="E12490" s="1">
        <v>1.5325670498084201E-3</v>
      </c>
      <c r="F12490" s="1">
        <v>9.3470325011775698E-3</v>
      </c>
    </row>
    <row r="12491" spans="1:6" x14ac:dyDescent="0.25">
      <c r="A12491" s="2" t="str">
        <f t="shared" si="455"/>
        <v>40700</v>
      </c>
      <c r="B12491" s="2" t="str">
        <f>"97435"</f>
        <v>97435</v>
      </c>
      <c r="C12491" s="1">
        <v>1.88658039240872E-2</v>
      </c>
      <c r="D12491" s="1">
        <v>1.60956541733731E-3</v>
      </c>
      <c r="E12491" s="1">
        <v>1.91570881226053E-2</v>
      </c>
      <c r="F12491" s="1">
        <v>1.7766721620348501E-2</v>
      </c>
    </row>
    <row r="12492" spans="1:6" x14ac:dyDescent="0.25">
      <c r="A12492" s="2" t="str">
        <f t="shared" si="455"/>
        <v>40700</v>
      </c>
      <c r="B12492" s="2" t="str">
        <f>"97462"</f>
        <v>97462</v>
      </c>
      <c r="C12492" s="1">
        <v>4.1472656626312498E-2</v>
      </c>
      <c r="D12492" s="1">
        <v>1.93147850080478E-2</v>
      </c>
      <c r="E12492" s="1">
        <v>3.83141762452107E-3</v>
      </c>
      <c r="F12492" s="1">
        <v>3.9331135186057402E-2</v>
      </c>
    </row>
    <row r="12493" spans="1:6" x14ac:dyDescent="0.25">
      <c r="A12493" s="2" t="str">
        <f t="shared" si="455"/>
        <v>40700</v>
      </c>
      <c r="B12493" s="2" t="str">
        <f>"97486"</f>
        <v>97486</v>
      </c>
      <c r="C12493" s="1">
        <v>6.7435214026524502E-3</v>
      </c>
      <c r="D12493" s="1">
        <v>9.1975166704989602E-4</v>
      </c>
      <c r="E12493" s="1">
        <v>9.1954022988505694E-3</v>
      </c>
      <c r="F12493" s="1">
        <v>6.4178049929345202E-3</v>
      </c>
    </row>
    <row r="12494" spans="1:6" x14ac:dyDescent="0.25">
      <c r="A12494" s="2" t="str">
        <f t="shared" si="455"/>
        <v>40700</v>
      </c>
      <c r="B12494" s="2" t="str">
        <f>"97499"</f>
        <v>97499</v>
      </c>
      <c r="C12494" s="1">
        <v>1.7404707620179101E-2</v>
      </c>
      <c r="D12494" s="1">
        <v>2.52931708438721E-3</v>
      </c>
      <c r="E12494" s="1">
        <v>4.5977011494252804E-3</v>
      </c>
      <c r="F12494" s="1">
        <v>1.62064295807819E-2</v>
      </c>
    </row>
    <row r="12495" spans="1:6" x14ac:dyDescent="0.25">
      <c r="A12495" s="2" t="str">
        <f t="shared" si="455"/>
        <v>40700</v>
      </c>
      <c r="B12495" s="2" t="str">
        <f>"97479"</f>
        <v>97479</v>
      </c>
      <c r="C12495" s="1">
        <v>0.100928036993031</v>
      </c>
      <c r="D12495" s="1">
        <v>0.105771441710738</v>
      </c>
      <c r="E12495" s="1">
        <v>0.10957854406130201</v>
      </c>
      <c r="F12495" s="1">
        <v>0.10140426283560899</v>
      </c>
    </row>
    <row r="12496" spans="1:6" x14ac:dyDescent="0.25">
      <c r="A12496" s="2" t="str">
        <f t="shared" si="455"/>
        <v>40700</v>
      </c>
      <c r="B12496" s="2" t="str">
        <f>"97447"</f>
        <v>97447</v>
      </c>
      <c r="C12496" s="1">
        <v>7.6747695963520698E-3</v>
      </c>
      <c r="D12496" s="1">
        <v>5.0586341687744304E-3</v>
      </c>
      <c r="E12496" s="1">
        <v>1.30268199233716E-2</v>
      </c>
      <c r="F12496" s="1">
        <v>7.6101036269430001E-3</v>
      </c>
    </row>
    <row r="12497" spans="1:6" x14ac:dyDescent="0.25">
      <c r="A12497" s="2" t="str">
        <f t="shared" si="455"/>
        <v>40700</v>
      </c>
      <c r="B12497" s="2" t="str">
        <f>"97470"</f>
        <v>97470</v>
      </c>
      <c r="C12497" s="1">
        <v>0.196220416813846</v>
      </c>
      <c r="D12497" s="1">
        <v>0.46286502644285998</v>
      </c>
      <c r="E12497" s="1">
        <v>0.35862068965517202</v>
      </c>
      <c r="F12497" s="1">
        <v>0.21640956194065</v>
      </c>
    </row>
    <row r="12498" spans="1:6" x14ac:dyDescent="0.25">
      <c r="A12498" s="2" t="str">
        <f t="shared" si="455"/>
        <v>40700</v>
      </c>
      <c r="B12498" s="2" t="str">
        <f>"97457"</f>
        <v>97457</v>
      </c>
      <c r="C12498" s="1">
        <v>8.1981953052246204E-2</v>
      </c>
      <c r="D12498" s="1">
        <v>3.1501494596458901E-2</v>
      </c>
      <c r="E12498" s="1">
        <v>5.2873563218390797E-2</v>
      </c>
      <c r="F12498" s="1">
        <v>7.8191238813000399E-2</v>
      </c>
    </row>
    <row r="12499" spans="1:6" x14ac:dyDescent="0.25">
      <c r="A12499" s="2" t="str">
        <f t="shared" si="455"/>
        <v>40700</v>
      </c>
      <c r="B12499" s="2" t="str">
        <f>"97731"</f>
        <v>97731</v>
      </c>
      <c r="C12499" s="1">
        <v>2.3923444976076502E-3</v>
      </c>
      <c r="D12499" s="1">
        <v>1.3796275005748401E-3</v>
      </c>
      <c r="E12499" s="1">
        <v>2.2988505747126402E-3</v>
      </c>
      <c r="F12499" s="1">
        <v>2.3257183231276402E-3</v>
      </c>
    </row>
    <row r="12500" spans="1:6" x14ac:dyDescent="0.25">
      <c r="A12500" s="2" t="str">
        <f t="shared" si="455"/>
        <v>40700</v>
      </c>
      <c r="B12500" s="2" t="str">
        <f>"97484"</f>
        <v>97484</v>
      </c>
      <c r="C12500" s="1">
        <v>3.43598471468482E-3</v>
      </c>
      <c r="D12500" s="1">
        <v>1.1496895838123699E-3</v>
      </c>
      <c r="E12500" s="1">
        <v>7.6628352490421404E-4</v>
      </c>
      <c r="F12500" s="1">
        <v>3.23834196891191E-3</v>
      </c>
    </row>
    <row r="12501" spans="1:6" x14ac:dyDescent="0.25">
      <c r="A12501" s="2" t="str">
        <f t="shared" si="455"/>
        <v>40700</v>
      </c>
      <c r="B12501" s="2" t="str">
        <f>"97473"</f>
        <v>97473</v>
      </c>
      <c r="C12501" s="1">
        <v>3.77316078481744E-3</v>
      </c>
      <c r="D12501" s="1">
        <v>9.1975166704989602E-4</v>
      </c>
      <c r="E12501" s="1">
        <v>7.6628352490421404E-4</v>
      </c>
      <c r="F12501" s="1">
        <v>3.5327366933584499E-3</v>
      </c>
    </row>
    <row r="12502" spans="1:6" x14ac:dyDescent="0.25">
      <c r="A12502" s="2" t="str">
        <f t="shared" si="455"/>
        <v>40700</v>
      </c>
      <c r="B12502" s="2" t="str">
        <f>"97429"</f>
        <v>97429</v>
      </c>
      <c r="C12502" s="1">
        <v>5.8925532256510699E-3</v>
      </c>
      <c r="D12502" s="1">
        <v>2.9891929179121598E-3</v>
      </c>
      <c r="E12502" s="1">
        <v>7.6628352490421404E-4</v>
      </c>
      <c r="F12502" s="1">
        <v>5.6082195007065398E-3</v>
      </c>
    </row>
    <row r="12503" spans="1:6" x14ac:dyDescent="0.25">
      <c r="A12503" s="2" t="str">
        <f t="shared" si="455"/>
        <v>40700</v>
      </c>
      <c r="B12503" s="2" t="str">
        <f>"97424"</f>
        <v>97424</v>
      </c>
      <c r="C12503" s="1">
        <v>2.2960084775697602E-3</v>
      </c>
      <c r="D12503" s="1">
        <v>1.3796275005748401E-3</v>
      </c>
      <c r="E12503" s="1">
        <v>0</v>
      </c>
      <c r="F12503" s="1">
        <v>2.1932406971267001E-3</v>
      </c>
    </row>
    <row r="12504" spans="1:6" x14ac:dyDescent="0.25">
      <c r="A12504" s="2" t="str">
        <f t="shared" si="455"/>
        <v>40700</v>
      </c>
      <c r="B12504" s="2" t="str">
        <f>"97467"</f>
        <v>97467</v>
      </c>
      <c r="C12504" s="1">
        <v>4.5695385504640099E-2</v>
      </c>
      <c r="D12504" s="1">
        <v>6.4612554610255196E-2</v>
      </c>
      <c r="E12504" s="1">
        <v>6.3601532567049798E-2</v>
      </c>
      <c r="F12504" s="1">
        <v>4.7250353273669297E-2</v>
      </c>
    </row>
    <row r="12505" spans="1:6" x14ac:dyDescent="0.25">
      <c r="A12505" s="2" t="str">
        <f t="shared" si="455"/>
        <v>40700</v>
      </c>
      <c r="B12505" s="2" t="str">
        <f>"97481"</f>
        <v>97481</v>
      </c>
      <c r="C12505" s="1">
        <v>5.2824250987444201E-3</v>
      </c>
      <c r="D12505" s="1">
        <v>2.29937916762474E-4</v>
      </c>
      <c r="E12505" s="1">
        <v>7.6628352490421404E-4</v>
      </c>
      <c r="F12505" s="1">
        <v>4.8722326895901998E-3</v>
      </c>
    </row>
    <row r="12506" spans="1:6" x14ac:dyDescent="0.25">
      <c r="A12506" s="2" t="str">
        <f t="shared" si="455"/>
        <v>40700</v>
      </c>
      <c r="B12506" s="2" t="str">
        <f>"97471"</f>
        <v>97471</v>
      </c>
      <c r="C12506" s="1">
        <v>0.22568318294210199</v>
      </c>
      <c r="D12506" s="1">
        <v>0.22464934467693701</v>
      </c>
      <c r="E12506" s="1">
        <v>0.26206896551724101</v>
      </c>
      <c r="F12506" s="1">
        <v>0.22631594441827599</v>
      </c>
    </row>
    <row r="12507" spans="1:6" x14ac:dyDescent="0.25">
      <c r="A12507" s="2" t="str">
        <f t="shared" si="455"/>
        <v>40700</v>
      </c>
      <c r="B12507" s="2" t="str">
        <f>"97441"</f>
        <v>97441</v>
      </c>
      <c r="C12507" s="1">
        <v>2.56896053434379E-3</v>
      </c>
      <c r="D12507" s="1">
        <v>1.60956541733731E-3</v>
      </c>
      <c r="E12507" s="1">
        <v>3.0651340996168501E-3</v>
      </c>
      <c r="F12507" s="1">
        <v>2.5170748940178899E-3</v>
      </c>
    </row>
    <row r="12508" spans="1:6" x14ac:dyDescent="0.25">
      <c r="A12508" s="2" t="str">
        <f t="shared" si="455"/>
        <v>40700</v>
      </c>
      <c r="B12508" s="2" t="str">
        <f>"97495"</f>
        <v>97495</v>
      </c>
      <c r="C12508" s="1">
        <v>2.3891332969397199E-2</v>
      </c>
      <c r="D12508" s="1">
        <v>2.43734191768222E-2</v>
      </c>
      <c r="E12508" s="1">
        <v>6.1302681992337097E-3</v>
      </c>
      <c r="F12508" s="1">
        <v>2.3581017428167601E-2</v>
      </c>
    </row>
    <row r="12509" spans="1:6" x14ac:dyDescent="0.25">
      <c r="A12509" s="2" t="str">
        <f t="shared" si="455"/>
        <v>40700</v>
      </c>
      <c r="B12509" s="2" t="str">
        <f>"97442"</f>
        <v>97442</v>
      </c>
      <c r="C12509" s="1">
        <v>1.71799235734241E-2</v>
      </c>
      <c r="D12509" s="1">
        <v>2.52931708438721E-3</v>
      </c>
      <c r="E12509" s="1">
        <v>1.6858237547892702E-2</v>
      </c>
      <c r="F12509" s="1">
        <v>1.62358690532265E-2</v>
      </c>
    </row>
    <row r="12510" spans="1:6" x14ac:dyDescent="0.25">
      <c r="A12510" s="2" t="str">
        <f t="shared" si="455"/>
        <v>40700</v>
      </c>
      <c r="B12510" s="2" t="str">
        <f>"97459"</f>
        <v>97459</v>
      </c>
      <c r="C12510" s="1">
        <v>8.8308018368067804E-4</v>
      </c>
      <c r="D12510" s="1">
        <v>0</v>
      </c>
      <c r="E12510" s="1">
        <v>0</v>
      </c>
      <c r="F12510" s="1">
        <v>8.0958549222797901E-4</v>
      </c>
    </row>
    <row r="12511" spans="1:6" x14ac:dyDescent="0.25">
      <c r="A12511" s="2" t="str">
        <f t="shared" si="455"/>
        <v>40700</v>
      </c>
      <c r="B12511" s="2" t="str">
        <f>"97410"</f>
        <v>97410</v>
      </c>
      <c r="C12511" s="1">
        <v>6.87196942936964E-3</v>
      </c>
      <c r="D12511" s="1">
        <v>6.8981375028742198E-4</v>
      </c>
      <c r="E12511" s="1">
        <v>7.6628352490421404E-4</v>
      </c>
      <c r="F12511" s="1">
        <v>6.3589260480452102E-3</v>
      </c>
    </row>
    <row r="12512" spans="1:6" x14ac:dyDescent="0.25">
      <c r="A12512" s="2" t="str">
        <f t="shared" ref="A12512:A12522" si="456">"13460"</f>
        <v>13460</v>
      </c>
      <c r="B12512" s="2" t="str">
        <f>"97702"</f>
        <v>97702</v>
      </c>
      <c r="C12512" s="1">
        <v>0.21387762097926</v>
      </c>
      <c r="D12512" s="1">
        <v>0.198153530518037</v>
      </c>
      <c r="E12512" s="1">
        <v>0.23273302988323699</v>
      </c>
      <c r="F12512" s="1">
        <v>0.21314948796491701</v>
      </c>
    </row>
    <row r="12513" spans="1:6" x14ac:dyDescent="0.25">
      <c r="A12513" s="2" t="str">
        <f t="shared" si="456"/>
        <v>13460</v>
      </c>
      <c r="B12513" s="2" t="str">
        <f>"97760"</f>
        <v>97760</v>
      </c>
      <c r="C12513" s="1">
        <v>2.2034317926450699E-2</v>
      </c>
      <c r="D12513" s="1">
        <v>1.0087194392203701E-2</v>
      </c>
      <c r="E12513" s="1">
        <v>1.3853156540668901E-3</v>
      </c>
      <c r="F12513" s="1">
        <v>2.0029728420205398E-2</v>
      </c>
    </row>
    <row r="12514" spans="1:6" x14ac:dyDescent="0.25">
      <c r="A12514" s="2" t="str">
        <f t="shared" si="456"/>
        <v>13460</v>
      </c>
      <c r="B12514" s="2" t="str">
        <f>"97712"</f>
        <v>97712</v>
      </c>
      <c r="C12514" s="1">
        <v>3.8088708602334801E-4</v>
      </c>
      <c r="D12514" s="1">
        <v>1.7096939647803E-4</v>
      </c>
      <c r="E12514" s="1">
        <v>3.9580447259053998E-4</v>
      </c>
      <c r="F12514" s="1">
        <v>3.6133991409964701E-4</v>
      </c>
    </row>
    <row r="12515" spans="1:6" x14ac:dyDescent="0.25">
      <c r="A12515" s="2" t="str">
        <f t="shared" si="456"/>
        <v>13460</v>
      </c>
      <c r="B12515" s="2" t="str">
        <f>"97701"</f>
        <v>97701</v>
      </c>
      <c r="C12515" s="1">
        <v>0.17773143651564399</v>
      </c>
      <c r="D12515" s="1">
        <v>0.182509830740297</v>
      </c>
      <c r="E12515" s="1">
        <v>0.33247575697605303</v>
      </c>
      <c r="F12515" s="1">
        <v>0.18461184702182001</v>
      </c>
    </row>
    <row r="12516" spans="1:6" x14ac:dyDescent="0.25">
      <c r="A12516" s="2" t="str">
        <f t="shared" si="456"/>
        <v>13460</v>
      </c>
      <c r="B12516" s="2" t="str">
        <f>"97709"</f>
        <v>97709</v>
      </c>
      <c r="C12516" s="1">
        <v>9.6745319849930404E-3</v>
      </c>
      <c r="D12516" s="1">
        <v>6.5481278851085595E-2</v>
      </c>
      <c r="E12516" s="1">
        <v>3.9580447259053998E-4</v>
      </c>
      <c r="F12516" s="1">
        <v>1.4650691062585699E-2</v>
      </c>
    </row>
    <row r="12517" spans="1:6" x14ac:dyDescent="0.25">
      <c r="A12517" s="2" t="str">
        <f t="shared" si="456"/>
        <v>13460</v>
      </c>
      <c r="B12517" s="2" t="str">
        <f>"97707"</f>
        <v>97707</v>
      </c>
      <c r="C12517" s="1">
        <v>5.7047363309147003E-2</v>
      </c>
      <c r="D12517" s="1">
        <v>2.4876047187553402E-2</v>
      </c>
      <c r="E12517" s="1">
        <v>3.1664357807243198E-3</v>
      </c>
      <c r="F12517" s="1">
        <v>5.1720881340899499E-2</v>
      </c>
    </row>
    <row r="12518" spans="1:6" x14ac:dyDescent="0.25">
      <c r="A12518" s="2" t="str">
        <f t="shared" si="456"/>
        <v>13460</v>
      </c>
      <c r="B12518" s="2" t="str">
        <f>"97739"</f>
        <v>97739</v>
      </c>
      <c r="C12518" s="1">
        <v>9.6373954941057702E-2</v>
      </c>
      <c r="D12518" s="1">
        <v>2.51325012822704E-2</v>
      </c>
      <c r="E12518" s="1">
        <v>1.12804274688303E-2</v>
      </c>
      <c r="F12518" s="1">
        <v>8.5998899555716102E-2</v>
      </c>
    </row>
    <row r="12519" spans="1:6" x14ac:dyDescent="0.25">
      <c r="A12519" s="2" t="str">
        <f t="shared" si="456"/>
        <v>13460</v>
      </c>
      <c r="B12519" s="2" t="str">
        <f>"97708"</f>
        <v>97708</v>
      </c>
      <c r="C12519" s="1">
        <v>1.53497495667409E-2</v>
      </c>
      <c r="D12519" s="1">
        <v>8.3176611386561794E-2</v>
      </c>
      <c r="E12519" s="1">
        <v>5.9370670888581002E-4</v>
      </c>
      <c r="F12519" s="1">
        <v>2.1253356765679202E-2</v>
      </c>
    </row>
    <row r="12520" spans="1:6" x14ac:dyDescent="0.25">
      <c r="A12520" s="2" t="str">
        <f t="shared" si="456"/>
        <v>13460</v>
      </c>
      <c r="B12520" s="2" t="str">
        <f>"97759"</f>
        <v>97759</v>
      </c>
      <c r="C12520" s="1">
        <v>7.1825782246852904E-2</v>
      </c>
      <c r="D12520" s="1">
        <v>4.5990767652590102E-2</v>
      </c>
      <c r="E12520" s="1">
        <v>2.0977637047298599E-2</v>
      </c>
      <c r="F12520" s="1">
        <v>6.7233860834859396E-2</v>
      </c>
    </row>
    <row r="12521" spans="1:6" x14ac:dyDescent="0.25">
      <c r="A12521" s="2" t="str">
        <f t="shared" si="456"/>
        <v>13460</v>
      </c>
      <c r="B12521" s="2" t="str">
        <f>"97756"</f>
        <v>97756</v>
      </c>
      <c r="C12521" s="1">
        <v>0.18871050677026699</v>
      </c>
      <c r="D12521" s="1">
        <v>0.19524705077790999</v>
      </c>
      <c r="E12521" s="1">
        <v>0.12606372452008699</v>
      </c>
      <c r="F12521" s="1">
        <v>0.186738825152542</v>
      </c>
    </row>
    <row r="12522" spans="1:6" x14ac:dyDescent="0.25">
      <c r="A12522" s="2" t="str">
        <f t="shared" si="456"/>
        <v>13460</v>
      </c>
      <c r="B12522" s="2" t="str">
        <f>"97703"</f>
        <v>97703</v>
      </c>
      <c r="C12522" s="1">
        <v>0.14699384867356</v>
      </c>
      <c r="D12522" s="1">
        <v>0.16917421781501099</v>
      </c>
      <c r="E12522" s="1">
        <v>0.270532357015634</v>
      </c>
      <c r="F12522" s="1">
        <v>0.154251081966674</v>
      </c>
    </row>
    <row r="12523" spans="1:6" x14ac:dyDescent="0.25">
      <c r="A12523" s="2" t="str">
        <f t="shared" ref="A12523:A12586" si="457">"42660"</f>
        <v>42660</v>
      </c>
      <c r="B12523" s="2" t="str">
        <f>"98490"</f>
        <v>98490</v>
      </c>
      <c r="C12523" s="1">
        <v>2.9610095849187402E-4</v>
      </c>
      <c r="D12523" s="1">
        <v>3.9523642913605198E-4</v>
      </c>
      <c r="E12523" s="1">
        <v>6.7620567471802197E-6</v>
      </c>
      <c r="F12523" s="1">
        <v>2.82768531888093E-4</v>
      </c>
    </row>
    <row r="12524" spans="1:6" x14ac:dyDescent="0.25">
      <c r="A12524" s="2" t="str">
        <f t="shared" si="457"/>
        <v>42660</v>
      </c>
      <c r="B12524" s="2" t="str">
        <f>"98467"</f>
        <v>98467</v>
      </c>
      <c r="C12524" s="1">
        <v>3.83112583722403E-3</v>
      </c>
      <c r="D12524" s="1">
        <v>1.06260285866086E-3</v>
      </c>
      <c r="E12524" s="1">
        <v>9.9537475318492805E-3</v>
      </c>
      <c r="F12524" s="1">
        <v>4.0630394367522403E-3</v>
      </c>
    </row>
    <row r="12525" spans="1:6" x14ac:dyDescent="0.25">
      <c r="A12525" s="2" t="str">
        <f t="shared" si="457"/>
        <v>42660</v>
      </c>
      <c r="B12525" s="2" t="str">
        <f>"98446"</f>
        <v>98446</v>
      </c>
      <c r="C12525" s="1">
        <v>2.6995768768452999E-3</v>
      </c>
      <c r="D12525" s="1">
        <v>1.0690821443843999E-3</v>
      </c>
      <c r="E12525" s="1">
        <v>7.1677801520110302E-4</v>
      </c>
      <c r="F12525" s="1">
        <v>2.4353015413552601E-3</v>
      </c>
    </row>
    <row r="12526" spans="1:6" x14ac:dyDescent="0.25">
      <c r="A12526" s="2" t="str">
        <f t="shared" si="457"/>
        <v>42660</v>
      </c>
      <c r="B12526" s="2" t="str">
        <f>"98411"</f>
        <v>98411</v>
      </c>
      <c r="C12526" s="1">
        <v>7.0927830364272298E-4</v>
      </c>
      <c r="D12526" s="1">
        <v>2.5722764322461001E-3</v>
      </c>
      <c r="E12526" s="1">
        <v>6.7620567471802197E-6</v>
      </c>
      <c r="F12526" s="1">
        <v>7.9834820495334796E-4</v>
      </c>
    </row>
    <row r="12527" spans="1:6" x14ac:dyDescent="0.25">
      <c r="A12527" s="2" t="str">
        <f t="shared" si="457"/>
        <v>42660</v>
      </c>
      <c r="B12527" s="2" t="str">
        <f>"98401"</f>
        <v>98401</v>
      </c>
      <c r="C12527" s="1">
        <v>5.5980699446160403E-4</v>
      </c>
      <c r="D12527" s="1">
        <v>2.4945250035636E-3</v>
      </c>
      <c r="E12527" s="1">
        <v>6.7620567471802197E-6</v>
      </c>
      <c r="F12527" s="1">
        <v>6.6496682198726603E-4</v>
      </c>
    </row>
    <row r="12528" spans="1:6" x14ac:dyDescent="0.25">
      <c r="A12528" s="2" t="str">
        <f t="shared" si="457"/>
        <v>42660</v>
      </c>
      <c r="B12528" s="2" t="str">
        <f>"98395"</f>
        <v>98395</v>
      </c>
      <c r="C12528" s="1">
        <v>4.1317734515084901E-4</v>
      </c>
      <c r="D12528" s="1">
        <v>1.0366857157666899E-3</v>
      </c>
      <c r="E12528" s="1">
        <v>6.7620567471802197E-6</v>
      </c>
      <c r="F12528" s="1">
        <v>4.3070061117774698E-4</v>
      </c>
    </row>
    <row r="12529" spans="1:6" x14ac:dyDescent="0.25">
      <c r="A12529" s="2" t="str">
        <f t="shared" si="457"/>
        <v>42660</v>
      </c>
      <c r="B12529" s="2" t="str">
        <f>"98391"</f>
        <v>98391</v>
      </c>
      <c r="C12529" s="1">
        <v>1.20662561415373E-2</v>
      </c>
      <c r="D12529" s="1">
        <v>5.5009135792870104E-3</v>
      </c>
      <c r="E12529" s="1">
        <v>1.73108652727813E-3</v>
      </c>
      <c r="F12529" s="1">
        <v>1.0833478436110501E-2</v>
      </c>
    </row>
    <row r="12530" spans="1:6" x14ac:dyDescent="0.25">
      <c r="A12530" s="2" t="str">
        <f t="shared" si="457"/>
        <v>42660</v>
      </c>
      <c r="B12530" s="2" t="str">
        <f>"98388"</f>
        <v>98388</v>
      </c>
      <c r="C12530" s="1">
        <v>2.20740138729834E-3</v>
      </c>
      <c r="D12530" s="1">
        <v>9.5245500136065004E-4</v>
      </c>
      <c r="E12530" s="1">
        <v>1.45384220064374E-3</v>
      </c>
      <c r="F12530" s="1">
        <v>2.0594085529963002E-3</v>
      </c>
    </row>
    <row r="12531" spans="1:6" x14ac:dyDescent="0.25">
      <c r="A12531" s="2" t="str">
        <f t="shared" si="457"/>
        <v>42660</v>
      </c>
      <c r="B12531" s="2" t="str">
        <f>"98404"</f>
        <v>98404</v>
      </c>
      <c r="C12531" s="1">
        <v>7.10869633170127E-3</v>
      </c>
      <c r="D12531" s="1">
        <v>2.8249685754642398E-3</v>
      </c>
      <c r="E12531" s="1">
        <v>5.2405939790646696E-3</v>
      </c>
      <c r="F12531" s="1">
        <v>6.65403342876973E-3</v>
      </c>
    </row>
    <row r="12532" spans="1:6" x14ac:dyDescent="0.25">
      <c r="A12532" s="2" t="str">
        <f t="shared" si="457"/>
        <v>42660</v>
      </c>
      <c r="B12532" s="2" t="str">
        <f>"98351"</f>
        <v>98351</v>
      </c>
      <c r="C12532" s="1">
        <v>4.1374567712492197E-4</v>
      </c>
      <c r="D12532" s="1">
        <v>5.1834285788334599E-5</v>
      </c>
      <c r="E12532" s="1">
        <v>1.3524113494360401E-5</v>
      </c>
      <c r="F12532" s="1">
        <v>3.5794712955988502E-4</v>
      </c>
    </row>
    <row r="12533" spans="1:6" x14ac:dyDescent="0.25">
      <c r="A12533" s="2" t="str">
        <f t="shared" si="457"/>
        <v>42660</v>
      </c>
      <c r="B12533" s="2" t="str">
        <f>"98272"</f>
        <v>98272</v>
      </c>
      <c r="C12533" s="1">
        <v>6.4551145615176697E-3</v>
      </c>
      <c r="D12533" s="1">
        <v>1.00428928714898E-2</v>
      </c>
      <c r="E12533" s="1">
        <v>3.15788050093316E-3</v>
      </c>
      <c r="F12533" s="1">
        <v>6.4871854442594299E-3</v>
      </c>
    </row>
    <row r="12534" spans="1:6" x14ac:dyDescent="0.25">
      <c r="A12534" s="2" t="str">
        <f t="shared" si="457"/>
        <v>42660</v>
      </c>
      <c r="B12534" s="2" t="str">
        <f>"98294"</f>
        <v>98294</v>
      </c>
      <c r="C12534" s="1">
        <v>2.1141949435504199E-3</v>
      </c>
      <c r="D12534" s="1">
        <v>1.55502857365004E-3</v>
      </c>
      <c r="E12534" s="1">
        <v>7.0325390170674295E-4</v>
      </c>
      <c r="F12534" s="1">
        <v>1.9711343286332901E-3</v>
      </c>
    </row>
    <row r="12535" spans="1:6" x14ac:dyDescent="0.25">
      <c r="A12535" s="2" t="str">
        <f t="shared" si="457"/>
        <v>42660</v>
      </c>
      <c r="B12535" s="2" t="str">
        <f>"98332"</f>
        <v>98332</v>
      </c>
      <c r="C12535" s="1">
        <v>4.7558019590403103E-3</v>
      </c>
      <c r="D12535" s="1">
        <v>2.5528385750754798E-3</v>
      </c>
      <c r="E12535" s="1">
        <v>1.1968840442508899E-3</v>
      </c>
      <c r="F12535" s="1">
        <v>4.33562248121383E-3</v>
      </c>
    </row>
    <row r="12536" spans="1:6" x14ac:dyDescent="0.25">
      <c r="A12536" s="2" t="str">
        <f t="shared" si="457"/>
        <v>42660</v>
      </c>
      <c r="B12536" s="2" t="str">
        <f>"98282"</f>
        <v>98282</v>
      </c>
      <c r="C12536" s="1">
        <v>1.13666394814539E-6</v>
      </c>
      <c r="D12536" s="1">
        <v>0</v>
      </c>
      <c r="E12536" s="1">
        <v>0</v>
      </c>
      <c r="F12536" s="1">
        <v>9.700464215715039E-7</v>
      </c>
    </row>
    <row r="12537" spans="1:6" x14ac:dyDescent="0.25">
      <c r="A12537" s="2" t="str">
        <f t="shared" si="457"/>
        <v>42660</v>
      </c>
      <c r="B12537" s="2" t="str">
        <f>"98290"</f>
        <v>98290</v>
      </c>
      <c r="C12537" s="1">
        <v>8.2572952513021904E-3</v>
      </c>
      <c r="D12537" s="1">
        <v>6.2330728660472401E-3</v>
      </c>
      <c r="E12537" s="1">
        <v>4.0234237645722301E-3</v>
      </c>
      <c r="F12537" s="1">
        <v>7.8020833686996E-3</v>
      </c>
    </row>
    <row r="12538" spans="1:6" x14ac:dyDescent="0.25">
      <c r="A12538" s="2" t="str">
        <f t="shared" si="457"/>
        <v>42660</v>
      </c>
      <c r="B12538" s="2" t="str">
        <f>"98131"</f>
        <v>98131</v>
      </c>
      <c r="C12538" s="1">
        <v>0</v>
      </c>
      <c r="D12538" s="1">
        <v>6.47928572354183E-6</v>
      </c>
      <c r="E12538" s="1">
        <v>1.3524113494360401E-5</v>
      </c>
      <c r="F12538" s="1">
        <v>1.4550696323572499E-6</v>
      </c>
    </row>
    <row r="12539" spans="1:6" x14ac:dyDescent="0.25">
      <c r="A12539" s="2" t="str">
        <f t="shared" si="457"/>
        <v>42660</v>
      </c>
      <c r="B12539" s="2" t="str">
        <f>"98129"</f>
        <v>98129</v>
      </c>
      <c r="C12539" s="1">
        <v>0</v>
      </c>
      <c r="D12539" s="1">
        <v>6.47928572354183E-6</v>
      </c>
      <c r="E12539" s="1">
        <v>0</v>
      </c>
      <c r="F12539" s="1">
        <v>4.8502321078575195E-7</v>
      </c>
    </row>
    <row r="12540" spans="1:6" x14ac:dyDescent="0.25">
      <c r="A12540" s="2" t="str">
        <f t="shared" si="457"/>
        <v>42660</v>
      </c>
      <c r="B12540" s="2" t="str">
        <f>"98134"</f>
        <v>98134</v>
      </c>
      <c r="C12540" s="1">
        <v>1.2560136627006501E-4</v>
      </c>
      <c r="D12540" s="1">
        <v>1.16303178737575E-2</v>
      </c>
      <c r="E12540" s="1">
        <v>3.3066457493711198E-3</v>
      </c>
      <c r="F12540" s="1">
        <v>1.2149831430183001E-3</v>
      </c>
    </row>
    <row r="12541" spans="1:6" x14ac:dyDescent="0.25">
      <c r="A12541" s="2" t="str">
        <f t="shared" si="457"/>
        <v>42660</v>
      </c>
      <c r="B12541" s="2" t="str">
        <f>"98195"</f>
        <v>98195</v>
      </c>
      <c r="C12541" s="1">
        <v>0</v>
      </c>
      <c r="D12541" s="1">
        <v>6.47928572354183E-6</v>
      </c>
      <c r="E12541" s="1">
        <v>9.4668794460523093E-5</v>
      </c>
      <c r="F12541" s="1">
        <v>7.2753481617862797E-6</v>
      </c>
    </row>
    <row r="12542" spans="1:6" x14ac:dyDescent="0.25">
      <c r="A12542" s="2" t="str">
        <f t="shared" si="457"/>
        <v>42660</v>
      </c>
      <c r="B12542" s="2" t="str">
        <f>"98198"</f>
        <v>98198</v>
      </c>
      <c r="C12542" s="1">
        <v>9.2660845052812205E-3</v>
      </c>
      <c r="D12542" s="1">
        <v>5.98686000855265E-3</v>
      </c>
      <c r="E12542" s="1">
        <v>9.7711719996754192E-3</v>
      </c>
      <c r="F12542" s="1">
        <v>9.0568384150023409E-3</v>
      </c>
    </row>
    <row r="12543" spans="1:6" x14ac:dyDescent="0.25">
      <c r="A12543" s="2" t="str">
        <f t="shared" si="457"/>
        <v>42660</v>
      </c>
      <c r="B12543" s="2" t="str">
        <f>"98206"</f>
        <v>98206</v>
      </c>
      <c r="C12543" s="1">
        <v>1.41685161136322E-3</v>
      </c>
      <c r="D12543" s="1">
        <v>3.2266842903238301E-3</v>
      </c>
      <c r="E12543" s="1">
        <v>0</v>
      </c>
      <c r="F12543" s="1">
        <v>1.45070442346018E-3</v>
      </c>
    </row>
    <row r="12544" spans="1:6" x14ac:dyDescent="0.25">
      <c r="A12544" s="2" t="str">
        <f t="shared" si="457"/>
        <v>42660</v>
      </c>
      <c r="B12544" s="2" t="str">
        <f>"98203"</f>
        <v>98203</v>
      </c>
      <c r="C12544" s="1">
        <v>8.4630314259164993E-3</v>
      </c>
      <c r="D12544" s="1">
        <v>5.5268307221811802E-3</v>
      </c>
      <c r="E12544" s="1">
        <v>8.8447702253117294E-3</v>
      </c>
      <c r="F12544" s="1">
        <v>8.2706157903186407E-3</v>
      </c>
    </row>
    <row r="12545" spans="1:6" x14ac:dyDescent="0.25">
      <c r="A12545" s="2" t="str">
        <f t="shared" si="457"/>
        <v>42660</v>
      </c>
      <c r="B12545" s="2" t="str">
        <f>"98178"</f>
        <v>98178</v>
      </c>
      <c r="C12545" s="1">
        <v>5.8094894389710897E-3</v>
      </c>
      <c r="D12545" s="1">
        <v>1.7494071453562901E-3</v>
      </c>
      <c r="E12545" s="1">
        <v>2.6980606421249001E-3</v>
      </c>
      <c r="F12545" s="1">
        <v>5.2823877886676203E-3</v>
      </c>
    </row>
    <row r="12546" spans="1:6" x14ac:dyDescent="0.25">
      <c r="A12546" s="2" t="str">
        <f t="shared" si="457"/>
        <v>42660</v>
      </c>
      <c r="B12546" s="2" t="str">
        <f>"98168"</f>
        <v>98168</v>
      </c>
      <c r="C12546" s="1">
        <v>8.0163224942953592E-3</v>
      </c>
      <c r="D12546" s="1">
        <v>7.4511785820731103E-3</v>
      </c>
      <c r="E12546" s="1">
        <v>6.5659571015119897E-3</v>
      </c>
      <c r="F12546" s="1">
        <v>7.8699866182096092E-3</v>
      </c>
    </row>
    <row r="12547" spans="1:6" x14ac:dyDescent="0.25">
      <c r="A12547" s="2" t="str">
        <f t="shared" si="457"/>
        <v>42660</v>
      </c>
      <c r="B12547" s="2" t="str">
        <f>"98119"</f>
        <v>98119</v>
      </c>
      <c r="C12547" s="1">
        <v>8.0299624616731093E-3</v>
      </c>
      <c r="D12547" s="1">
        <v>7.3475100104964403E-3</v>
      </c>
      <c r="E12547" s="1">
        <v>1.05893808660842E-2</v>
      </c>
      <c r="F12547" s="1">
        <v>8.1624556143134203E-3</v>
      </c>
    </row>
    <row r="12548" spans="1:6" x14ac:dyDescent="0.25">
      <c r="A12548" s="2" t="str">
        <f t="shared" si="457"/>
        <v>42660</v>
      </c>
      <c r="B12548" s="2" t="str">
        <f>"98110"</f>
        <v>98110</v>
      </c>
      <c r="C12548" s="1">
        <v>0</v>
      </c>
      <c r="D12548" s="1">
        <v>0</v>
      </c>
      <c r="E12548" s="1">
        <v>6.7620567471802197E-6</v>
      </c>
      <c r="F12548" s="1">
        <v>4.8502321078575195E-7</v>
      </c>
    </row>
    <row r="12549" spans="1:6" x14ac:dyDescent="0.25">
      <c r="A12549" s="2" t="str">
        <f t="shared" si="457"/>
        <v>42660</v>
      </c>
      <c r="B12549" s="2" t="str">
        <f>"98113"</f>
        <v>98113</v>
      </c>
      <c r="C12549" s="1">
        <v>1.9152787526249799E-4</v>
      </c>
      <c r="D12549" s="1">
        <v>1.0172478585960599E-3</v>
      </c>
      <c r="E12549" s="1">
        <v>6.7620567471802197E-6</v>
      </c>
      <c r="F12549" s="1">
        <v>2.40086489338947E-4</v>
      </c>
    </row>
    <row r="12550" spans="1:6" x14ac:dyDescent="0.25">
      <c r="A12550" s="2" t="str">
        <f t="shared" si="457"/>
        <v>42660</v>
      </c>
      <c r="B12550" s="2" t="str">
        <f>"98114"</f>
        <v>98114</v>
      </c>
      <c r="C12550" s="1">
        <v>2.0346284671802399E-4</v>
      </c>
      <c r="D12550" s="1">
        <v>8.7470357267814699E-4</v>
      </c>
      <c r="E12550" s="1">
        <v>1.3524113494360401E-5</v>
      </c>
      <c r="F12550" s="1">
        <v>2.40086489338947E-4</v>
      </c>
    </row>
    <row r="12551" spans="1:6" x14ac:dyDescent="0.25">
      <c r="A12551" s="2" t="str">
        <f t="shared" si="457"/>
        <v>42660</v>
      </c>
      <c r="B12551" s="2" t="str">
        <f>"98087"</f>
        <v>98087</v>
      </c>
      <c r="C12551" s="1">
        <v>9.1694680696888606E-3</v>
      </c>
      <c r="D12551" s="1">
        <v>3.8746128626780101E-3</v>
      </c>
      <c r="E12551" s="1">
        <v>4.7266776662789698E-3</v>
      </c>
      <c r="F12551" s="1">
        <v>8.4544395872064408E-3</v>
      </c>
    </row>
    <row r="12552" spans="1:6" x14ac:dyDescent="0.25">
      <c r="A12552" s="2" t="str">
        <f t="shared" si="457"/>
        <v>42660</v>
      </c>
      <c r="B12552" s="2" t="str">
        <f>"98077"</f>
        <v>98077</v>
      </c>
      <c r="C12552" s="1">
        <v>2.7086701884304599E-3</v>
      </c>
      <c r="D12552" s="1">
        <v>2.0085785742979601E-4</v>
      </c>
      <c r="E12552" s="1">
        <v>1.3524113494360401E-4</v>
      </c>
      <c r="F12552" s="1">
        <v>2.3363568063549602E-3</v>
      </c>
    </row>
    <row r="12553" spans="1:6" x14ac:dyDescent="0.25">
      <c r="A12553" s="2" t="str">
        <f t="shared" si="457"/>
        <v>42660</v>
      </c>
      <c r="B12553" s="2" t="str">
        <f>"98045"</f>
        <v>98045</v>
      </c>
      <c r="C12553" s="1">
        <v>3.4617100540767802E-3</v>
      </c>
      <c r="D12553" s="1">
        <v>2.1252057173217201E-3</v>
      </c>
      <c r="E12553" s="1">
        <v>1.1495496470206299E-3</v>
      </c>
      <c r="F12553" s="1">
        <v>3.1958179358673199E-3</v>
      </c>
    </row>
    <row r="12554" spans="1:6" x14ac:dyDescent="0.25">
      <c r="A12554" s="2" t="str">
        <f t="shared" si="457"/>
        <v>42660</v>
      </c>
      <c r="B12554" s="2" t="str">
        <f>"98043"</f>
        <v>98043</v>
      </c>
      <c r="C12554" s="1">
        <v>5.3980170897424597E-3</v>
      </c>
      <c r="D12554" s="1">
        <v>4.9890500071272104E-3</v>
      </c>
      <c r="E12554" s="1">
        <v>7.5532173866002996E-3</v>
      </c>
      <c r="F12554" s="1">
        <v>5.5219892547957797E-3</v>
      </c>
    </row>
    <row r="12555" spans="1:6" x14ac:dyDescent="0.25">
      <c r="A12555" s="2" t="str">
        <f t="shared" si="457"/>
        <v>42660</v>
      </c>
      <c r="B12555" s="2" t="str">
        <f>"98042"</f>
        <v>98042</v>
      </c>
      <c r="C12555" s="1">
        <v>1.08397957414885E-2</v>
      </c>
      <c r="D12555" s="1">
        <v>5.53978929362827E-3</v>
      </c>
      <c r="E12555" s="1">
        <v>3.1916907846690598E-3</v>
      </c>
      <c r="F12555" s="1">
        <v>9.89447350002934E-3</v>
      </c>
    </row>
    <row r="12556" spans="1:6" x14ac:dyDescent="0.25">
      <c r="A12556" s="2" t="str">
        <f t="shared" si="457"/>
        <v>42660</v>
      </c>
      <c r="B12556" s="2" t="str">
        <f>"98011"</f>
        <v>98011</v>
      </c>
      <c r="C12556" s="1">
        <v>7.2342976979713298E-3</v>
      </c>
      <c r="D12556" s="1">
        <v>5.3389314361984696E-3</v>
      </c>
      <c r="E12556" s="1">
        <v>8.1550404370993399E-3</v>
      </c>
      <c r="F12556" s="1">
        <v>7.1584575679869101E-3</v>
      </c>
    </row>
    <row r="12557" spans="1:6" x14ac:dyDescent="0.25">
      <c r="A12557" s="2" t="str">
        <f t="shared" si="457"/>
        <v>42660</v>
      </c>
      <c r="B12557" s="2" t="str">
        <f>"98032"</f>
        <v>98032</v>
      </c>
      <c r="C12557" s="1">
        <v>8.9887385019337407E-3</v>
      </c>
      <c r="D12557" s="1">
        <v>2.32541564617916E-2</v>
      </c>
      <c r="E12557" s="1">
        <v>1.35443996646019E-2</v>
      </c>
      <c r="F12557" s="1">
        <v>1.03833768965013E-2</v>
      </c>
    </row>
    <row r="12558" spans="1:6" x14ac:dyDescent="0.25">
      <c r="A12558" s="2" t="str">
        <f t="shared" si="457"/>
        <v>42660</v>
      </c>
      <c r="B12558" s="2" t="str">
        <f>"98001"</f>
        <v>98001</v>
      </c>
      <c r="C12558" s="1">
        <v>6.9700233300275301E-3</v>
      </c>
      <c r="D12558" s="1">
        <v>9.0904378701291907E-3</v>
      </c>
      <c r="E12558" s="1">
        <v>3.0970219902085399E-3</v>
      </c>
      <c r="F12558" s="1">
        <v>6.8509528523487398E-3</v>
      </c>
    </row>
    <row r="12559" spans="1:6" x14ac:dyDescent="0.25">
      <c r="A12559" s="2" t="str">
        <f t="shared" si="457"/>
        <v>42660</v>
      </c>
      <c r="B12559" s="2" t="str">
        <f>"98528"</f>
        <v>98528</v>
      </c>
      <c r="C12559" s="1">
        <v>1.7049959222180801E-6</v>
      </c>
      <c r="D12559" s="1">
        <v>0</v>
      </c>
      <c r="E12559" s="1">
        <v>0</v>
      </c>
      <c r="F12559" s="1">
        <v>1.4550696323572499E-6</v>
      </c>
    </row>
    <row r="12560" spans="1:6" x14ac:dyDescent="0.25">
      <c r="A12560" s="2" t="str">
        <f t="shared" si="457"/>
        <v>42660</v>
      </c>
      <c r="B12560" s="2" t="str">
        <f>"98580"</f>
        <v>98580</v>
      </c>
      <c r="C12560" s="1">
        <v>3.0911576069813798E-3</v>
      </c>
      <c r="D12560" s="1">
        <v>5.7665642939522298E-4</v>
      </c>
      <c r="E12560" s="1">
        <v>2.56958156392848E-4</v>
      </c>
      <c r="F12560" s="1">
        <v>2.6996391912334902E-3</v>
      </c>
    </row>
    <row r="12561" spans="1:6" x14ac:dyDescent="0.25">
      <c r="A12561" s="2" t="str">
        <f t="shared" si="457"/>
        <v>42660</v>
      </c>
      <c r="B12561" s="2" t="str">
        <f>"98447"</f>
        <v>98447</v>
      </c>
      <c r="C12561" s="1">
        <v>0</v>
      </c>
      <c r="D12561" s="1">
        <v>1.9437857170625498E-5</v>
      </c>
      <c r="E12561" s="1">
        <v>6.7620567471802197E-6</v>
      </c>
      <c r="F12561" s="1">
        <v>1.9400928431430002E-6</v>
      </c>
    </row>
    <row r="12562" spans="1:6" x14ac:dyDescent="0.25">
      <c r="A12562" s="2" t="str">
        <f t="shared" si="457"/>
        <v>42660</v>
      </c>
      <c r="B12562" s="2" t="str">
        <f>"98445"</f>
        <v>98445</v>
      </c>
      <c r="C12562" s="1">
        <v>6.9808216375349102E-3</v>
      </c>
      <c r="D12562" s="1">
        <v>2.28718786041026E-3</v>
      </c>
      <c r="E12562" s="1">
        <v>9.0205837007384104E-3</v>
      </c>
      <c r="F12562" s="1">
        <v>6.7757742546769497E-3</v>
      </c>
    </row>
    <row r="12563" spans="1:6" x14ac:dyDescent="0.25">
      <c r="A12563" s="2" t="str">
        <f t="shared" si="457"/>
        <v>42660</v>
      </c>
      <c r="B12563" s="2" t="str">
        <f>"98439"</f>
        <v>98439</v>
      </c>
      <c r="C12563" s="1">
        <v>1.22475540412665E-3</v>
      </c>
      <c r="D12563" s="1">
        <v>1.1014785730021101E-4</v>
      </c>
      <c r="E12563" s="1">
        <v>3.9760893673419697E-3</v>
      </c>
      <c r="F12563" s="1">
        <v>1.3386640617686701E-3</v>
      </c>
    </row>
    <row r="12564" spans="1:6" x14ac:dyDescent="0.25">
      <c r="A12564" s="2" t="str">
        <f t="shared" si="457"/>
        <v>42660</v>
      </c>
      <c r="B12564" s="2" t="str">
        <f>"98396"</f>
        <v>98396</v>
      </c>
      <c r="C12564" s="1">
        <v>0</v>
      </c>
      <c r="D12564" s="1">
        <v>0</v>
      </c>
      <c r="E12564" s="1">
        <v>1.31860106570014E-3</v>
      </c>
      <c r="F12564" s="1">
        <v>9.4579526103221606E-5</v>
      </c>
    </row>
    <row r="12565" spans="1:6" x14ac:dyDescent="0.25">
      <c r="A12565" s="2" t="str">
        <f t="shared" si="457"/>
        <v>42660</v>
      </c>
      <c r="B12565" s="2" t="str">
        <f>"98402"</f>
        <v>98402</v>
      </c>
      <c r="C12565" s="1">
        <v>2.61091708888996E-3</v>
      </c>
      <c r="D12565" s="1">
        <v>1.33084528761549E-2</v>
      </c>
      <c r="E12565" s="1">
        <v>4.8416326309810298E-3</v>
      </c>
      <c r="F12565" s="1">
        <v>3.5717109242262698E-3</v>
      </c>
    </row>
    <row r="12566" spans="1:6" x14ac:dyDescent="0.25">
      <c r="A12566" s="2" t="str">
        <f t="shared" si="457"/>
        <v>42660</v>
      </c>
      <c r="B12566" s="2" t="str">
        <f>"98252"</f>
        <v>98252</v>
      </c>
      <c r="C12566" s="1">
        <v>3.0365977374704101E-3</v>
      </c>
      <c r="D12566" s="1">
        <v>1.3800878591144099E-3</v>
      </c>
      <c r="E12566" s="1">
        <v>6.6944361797084196E-4</v>
      </c>
      <c r="F12566" s="1">
        <v>2.74280625699342E-3</v>
      </c>
    </row>
    <row r="12567" spans="1:6" x14ac:dyDescent="0.25">
      <c r="A12567" s="2" t="str">
        <f t="shared" si="457"/>
        <v>42660</v>
      </c>
      <c r="B12567" s="2" t="str">
        <f>"98161"</f>
        <v>98161</v>
      </c>
      <c r="C12567" s="1">
        <v>0</v>
      </c>
      <c r="D12567" s="1">
        <v>2.8508857183583998E-4</v>
      </c>
      <c r="E12567" s="1">
        <v>4.7334397230261499E-5</v>
      </c>
      <c r="F12567" s="1">
        <v>2.4736183750073302E-5</v>
      </c>
    </row>
    <row r="12568" spans="1:6" x14ac:dyDescent="0.25">
      <c r="A12568" s="2" t="str">
        <f t="shared" si="457"/>
        <v>42660</v>
      </c>
      <c r="B12568" s="2" t="str">
        <f>"98165"</f>
        <v>98165</v>
      </c>
      <c r="C12568" s="1">
        <v>5.4787202300607797E-4</v>
      </c>
      <c r="D12568" s="1">
        <v>2.2288742888983901E-3</v>
      </c>
      <c r="E12568" s="1">
        <v>6.7620567471802197E-6</v>
      </c>
      <c r="F12568" s="1">
        <v>6.3489538291854899E-4</v>
      </c>
    </row>
    <row r="12569" spans="1:6" x14ac:dyDescent="0.25">
      <c r="A12569" s="2" t="str">
        <f t="shared" si="457"/>
        <v>42660</v>
      </c>
      <c r="B12569" s="2" t="str">
        <f>"98158"</f>
        <v>98158</v>
      </c>
      <c r="C12569" s="1">
        <v>0</v>
      </c>
      <c r="D12569" s="1">
        <v>5.3130142933043001E-4</v>
      </c>
      <c r="E12569" s="1">
        <v>1.0143085120770301E-4</v>
      </c>
      <c r="F12569" s="1">
        <v>4.7047251446217897E-5</v>
      </c>
    </row>
    <row r="12570" spans="1:6" x14ac:dyDescent="0.25">
      <c r="A12570" s="2" t="str">
        <f t="shared" si="457"/>
        <v>42660</v>
      </c>
      <c r="B12570" s="2" t="str">
        <f>"98201"</f>
        <v>98201</v>
      </c>
      <c r="C12570" s="1">
        <v>8.2959418255391295E-3</v>
      </c>
      <c r="D12570" s="1">
        <v>1.5679871450971199E-2</v>
      </c>
      <c r="E12570" s="1">
        <v>1.17254063996105E-2</v>
      </c>
      <c r="F12570" s="1">
        <v>9.0946702254436299E-3</v>
      </c>
    </row>
    <row r="12571" spans="1:6" x14ac:dyDescent="0.25">
      <c r="A12571" s="2" t="str">
        <f t="shared" si="457"/>
        <v>42660</v>
      </c>
      <c r="B12571" s="2" t="str">
        <f>"98125"</f>
        <v>98125</v>
      </c>
      <c r="C12571" s="1">
        <v>1.15541890328978E-2</v>
      </c>
      <c r="D12571" s="1">
        <v>8.1509414402156297E-3</v>
      </c>
      <c r="E12571" s="1">
        <v>1.2374563847339801E-2</v>
      </c>
      <c r="F12571" s="1">
        <v>1.13582735501807E-2</v>
      </c>
    </row>
    <row r="12572" spans="1:6" x14ac:dyDescent="0.25">
      <c r="A12572" s="2" t="str">
        <f t="shared" si="457"/>
        <v>42660</v>
      </c>
      <c r="B12572" s="2" t="str">
        <f>"98174"</f>
        <v>98174</v>
      </c>
      <c r="C12572" s="1">
        <v>0</v>
      </c>
      <c r="D12572" s="1">
        <v>6.8680428669543395E-4</v>
      </c>
      <c r="E12572" s="1">
        <v>5.4096453977441697E-5</v>
      </c>
      <c r="F12572" s="1">
        <v>5.5292646029575699E-5</v>
      </c>
    </row>
    <row r="12573" spans="1:6" x14ac:dyDescent="0.25">
      <c r="A12573" s="2" t="str">
        <f t="shared" si="457"/>
        <v>42660</v>
      </c>
      <c r="B12573" s="2" t="str">
        <f>"98070"</f>
        <v>98070</v>
      </c>
      <c r="C12573" s="1">
        <v>3.9436555680904296E-3</v>
      </c>
      <c r="D12573" s="1">
        <v>3.7579857196542599E-3</v>
      </c>
      <c r="E12573" s="1">
        <v>1.20364610099807E-3</v>
      </c>
      <c r="F12573" s="1">
        <v>3.7332236534179299E-3</v>
      </c>
    </row>
    <row r="12574" spans="1:6" x14ac:dyDescent="0.25">
      <c r="A12574" s="2" t="str">
        <f t="shared" si="457"/>
        <v>42660</v>
      </c>
      <c r="B12574" s="2" t="str">
        <f>"98109"</f>
        <v>98109</v>
      </c>
      <c r="C12574" s="1">
        <v>1.33802396655934E-2</v>
      </c>
      <c r="D12574" s="1">
        <v>1.6275965737537E-2</v>
      </c>
      <c r="E12574" s="1">
        <v>1.35646858348435E-2</v>
      </c>
      <c r="F12574" s="1">
        <v>1.36102363178589E-2</v>
      </c>
    </row>
    <row r="12575" spans="1:6" x14ac:dyDescent="0.25">
      <c r="A12575" s="2" t="str">
        <f t="shared" si="457"/>
        <v>42660</v>
      </c>
      <c r="B12575" s="2" t="str">
        <f>"98053"</f>
        <v>98053</v>
      </c>
      <c r="C12575" s="1">
        <v>4.8882233089992504E-3</v>
      </c>
      <c r="D12575" s="1">
        <v>1.0820407158314801E-3</v>
      </c>
      <c r="E12575" s="1">
        <v>1.16983581726217E-3</v>
      </c>
      <c r="F12575" s="1">
        <v>4.3365925276354E-3</v>
      </c>
    </row>
    <row r="12576" spans="1:6" x14ac:dyDescent="0.25">
      <c r="A12576" s="2" t="str">
        <f t="shared" si="457"/>
        <v>42660</v>
      </c>
      <c r="B12576" s="2" t="str">
        <f>"98051"</f>
        <v>98051</v>
      </c>
      <c r="C12576" s="1">
        <v>1.3890033446336599E-3</v>
      </c>
      <c r="D12576" s="1">
        <v>8.7470357267814699E-4</v>
      </c>
      <c r="E12576" s="1">
        <v>6.0858510724622003E-5</v>
      </c>
      <c r="F12576" s="1">
        <v>1.2552400695135201E-3</v>
      </c>
    </row>
    <row r="12577" spans="1:6" x14ac:dyDescent="0.25">
      <c r="A12577" s="2" t="str">
        <f t="shared" si="457"/>
        <v>42660</v>
      </c>
      <c r="B12577" s="2" t="str">
        <f>"98014"</f>
        <v>98014</v>
      </c>
      <c r="C12577" s="1">
        <v>1.4935764278630401E-3</v>
      </c>
      <c r="D12577" s="1">
        <v>2.1381642887688E-4</v>
      </c>
      <c r="E12577" s="1">
        <v>2.5019609964566799E-3</v>
      </c>
      <c r="F12577" s="1">
        <v>1.47010535189161E-3</v>
      </c>
    </row>
    <row r="12578" spans="1:6" x14ac:dyDescent="0.25">
      <c r="A12578" s="2" t="str">
        <f t="shared" si="457"/>
        <v>42660</v>
      </c>
      <c r="B12578" s="2" t="str">
        <f>"98010"</f>
        <v>98010</v>
      </c>
      <c r="C12578" s="1">
        <v>1.8857254899732E-3</v>
      </c>
      <c r="D12578" s="1">
        <v>1.57446643082066E-3</v>
      </c>
      <c r="E12578" s="1">
        <v>1.8257553217386599E-4</v>
      </c>
      <c r="F12578" s="1">
        <v>1.74026328029927E-3</v>
      </c>
    </row>
    <row r="12579" spans="1:6" x14ac:dyDescent="0.25">
      <c r="A12579" s="2" t="str">
        <f t="shared" si="457"/>
        <v>42660</v>
      </c>
      <c r="B12579" s="2" t="str">
        <f>"98009"</f>
        <v>98009</v>
      </c>
      <c r="C12579" s="1">
        <v>8.3317467399057104E-4</v>
      </c>
      <c r="D12579" s="1">
        <v>4.61973072088532E-3</v>
      </c>
      <c r="E12579" s="1">
        <v>2.02861702415406E-5</v>
      </c>
      <c r="F12579" s="1">
        <v>1.0583206459345101E-3</v>
      </c>
    </row>
    <row r="12580" spans="1:6" x14ac:dyDescent="0.25">
      <c r="A12580" s="2" t="str">
        <f t="shared" si="457"/>
        <v>42660</v>
      </c>
      <c r="B12580" s="2" t="str">
        <f>"98008"</f>
        <v>98008</v>
      </c>
      <c r="C12580" s="1">
        <v>5.7367429462897796E-3</v>
      </c>
      <c r="D12580" s="1">
        <v>4.1208257201726002E-3</v>
      </c>
      <c r="E12580" s="1">
        <v>2.74539503935517E-3</v>
      </c>
      <c r="F12580" s="1">
        <v>5.40121847531013E-3</v>
      </c>
    </row>
    <row r="12581" spans="1:6" x14ac:dyDescent="0.25">
      <c r="A12581" s="2" t="str">
        <f t="shared" si="457"/>
        <v>42660</v>
      </c>
      <c r="B12581" s="2" t="str">
        <f>"98038"</f>
        <v>98038</v>
      </c>
      <c r="C12581" s="1">
        <v>8.0180274902175806E-3</v>
      </c>
      <c r="D12581" s="1">
        <v>5.6564164366520201E-3</v>
      </c>
      <c r="E12581" s="1">
        <v>9.872602850883119E-4</v>
      </c>
      <c r="F12581" s="1">
        <v>7.3369461095560704E-3</v>
      </c>
    </row>
    <row r="12582" spans="1:6" x14ac:dyDescent="0.25">
      <c r="A12582" s="2" t="str">
        <f t="shared" si="457"/>
        <v>42660</v>
      </c>
      <c r="B12582" s="2" t="str">
        <f>"98040"</f>
        <v>98040</v>
      </c>
      <c r="C12582" s="1">
        <v>6.7034756341874399E-3</v>
      </c>
      <c r="D12582" s="1">
        <v>7.9954385828506207E-3</v>
      </c>
      <c r="E12582" s="1">
        <v>2.9820670255064699E-3</v>
      </c>
      <c r="F12582" s="1">
        <v>6.5332626492840802E-3</v>
      </c>
    </row>
    <row r="12583" spans="1:6" x14ac:dyDescent="0.25">
      <c r="A12583" s="2" t="str">
        <f t="shared" si="457"/>
        <v>42660</v>
      </c>
      <c r="B12583" s="2" t="str">
        <f>"98025"</f>
        <v>98025</v>
      </c>
      <c r="C12583" s="1">
        <v>1.9777952697729701E-4</v>
      </c>
      <c r="D12583" s="1">
        <v>6.2849071518355799E-4</v>
      </c>
      <c r="E12583" s="1">
        <v>6.7620567471802197E-6</v>
      </c>
      <c r="F12583" s="1">
        <v>2.1632035201044501E-4</v>
      </c>
    </row>
    <row r="12584" spans="1:6" x14ac:dyDescent="0.25">
      <c r="A12584" s="2" t="str">
        <f t="shared" si="457"/>
        <v>42660</v>
      </c>
      <c r="B12584" s="2" t="str">
        <f>"98496"</f>
        <v>98496</v>
      </c>
      <c r="C12584" s="1">
        <v>9.7127934369023602E-4</v>
      </c>
      <c r="D12584" s="1">
        <v>2.9286371470409098E-3</v>
      </c>
      <c r="E12584" s="1">
        <v>6.7620567471802197E-6</v>
      </c>
      <c r="F12584" s="1">
        <v>1.0486201817187901E-3</v>
      </c>
    </row>
    <row r="12585" spans="1:6" x14ac:dyDescent="0.25">
      <c r="A12585" s="2" t="str">
        <f t="shared" si="457"/>
        <v>42660</v>
      </c>
      <c r="B12585" s="2" t="str">
        <f>"98430"</f>
        <v>98430</v>
      </c>
      <c r="C12585" s="1">
        <v>0</v>
      </c>
      <c r="D12585" s="1">
        <v>6.47928572354183E-6</v>
      </c>
      <c r="E12585" s="1">
        <v>2.0962375916258599E-4</v>
      </c>
      <c r="F12585" s="1">
        <v>1.5520742745144001E-5</v>
      </c>
    </row>
    <row r="12586" spans="1:6" x14ac:dyDescent="0.25">
      <c r="A12586" s="2" t="str">
        <f t="shared" si="457"/>
        <v>42660</v>
      </c>
      <c r="B12586" s="2" t="str">
        <f>"98422"</f>
        <v>98422</v>
      </c>
      <c r="C12586" s="1">
        <v>4.6910121139960197E-3</v>
      </c>
      <c r="D12586" s="1">
        <v>1.12739571589627E-3</v>
      </c>
      <c r="E12586" s="1">
        <v>1.0481187958129301E-3</v>
      </c>
      <c r="F12586" s="1">
        <v>4.1629542181741098E-3</v>
      </c>
    </row>
    <row r="12587" spans="1:6" x14ac:dyDescent="0.25">
      <c r="A12587" s="2" t="str">
        <f t="shared" ref="A12587:A12650" si="458">"42660"</f>
        <v>42660</v>
      </c>
      <c r="B12587" s="2" t="str">
        <f>"98387"</f>
        <v>98387</v>
      </c>
      <c r="C12587" s="1">
        <v>1.10455319161028E-2</v>
      </c>
      <c r="D12587" s="1">
        <v>5.5073928650105604E-3</v>
      </c>
      <c r="E12587" s="1">
        <v>1.99480674041816E-3</v>
      </c>
      <c r="F12587" s="1">
        <v>9.9817776779707705E-3</v>
      </c>
    </row>
    <row r="12588" spans="1:6" x14ac:dyDescent="0.25">
      <c r="A12588" s="2" t="str">
        <f t="shared" si="458"/>
        <v>42660</v>
      </c>
      <c r="B12588" s="2" t="str">
        <f>"98352"</f>
        <v>98352</v>
      </c>
      <c r="C12588" s="1">
        <v>0</v>
      </c>
      <c r="D12588" s="1">
        <v>6.47928572354183E-6</v>
      </c>
      <c r="E12588" s="1">
        <v>6.7620567471802197E-6</v>
      </c>
      <c r="F12588" s="1">
        <v>9.700464215715039E-7</v>
      </c>
    </row>
    <row r="12589" spans="1:6" x14ac:dyDescent="0.25">
      <c r="A12589" s="2" t="str">
        <f t="shared" si="458"/>
        <v>42660</v>
      </c>
      <c r="B12589" s="2" t="str">
        <f>"98338"</f>
        <v>98338</v>
      </c>
      <c r="C12589" s="1">
        <v>6.7392805485540202E-3</v>
      </c>
      <c r="D12589" s="1">
        <v>2.9804714328292401E-3</v>
      </c>
      <c r="E12589" s="1">
        <v>9.3992588785804998E-4</v>
      </c>
      <c r="F12589" s="1">
        <v>6.0419341367581097E-3</v>
      </c>
    </row>
    <row r="12590" spans="1:6" x14ac:dyDescent="0.25">
      <c r="A12590" s="2" t="str">
        <f t="shared" si="458"/>
        <v>42660</v>
      </c>
      <c r="B12590" s="2" t="str">
        <f>"98291"</f>
        <v>98291</v>
      </c>
      <c r="C12590" s="1">
        <v>8.2010303858689895E-4</v>
      </c>
      <c r="D12590" s="1">
        <v>3.3368321476240398E-3</v>
      </c>
      <c r="E12590" s="1">
        <v>6.7620567471802197E-6</v>
      </c>
      <c r="F12590" s="1">
        <v>9.50160469929288E-4</v>
      </c>
    </row>
    <row r="12591" spans="1:6" x14ac:dyDescent="0.25">
      <c r="A12591" s="2" t="str">
        <f t="shared" si="458"/>
        <v>42660</v>
      </c>
      <c r="B12591" s="2" t="str">
        <f>"98145"</f>
        <v>98145</v>
      </c>
      <c r="C12591" s="1">
        <v>1.04857249216412E-3</v>
      </c>
      <c r="D12591" s="1">
        <v>1.3736085733908601E-3</v>
      </c>
      <c r="E12591" s="1">
        <v>6.7620567471802197E-6</v>
      </c>
      <c r="F12591" s="1">
        <v>9.9817776779707705E-4</v>
      </c>
    </row>
    <row r="12592" spans="1:6" x14ac:dyDescent="0.25">
      <c r="A12592" s="2" t="str">
        <f t="shared" si="458"/>
        <v>42660</v>
      </c>
      <c r="B12592" s="2" t="str">
        <f>"98146"</f>
        <v>98146</v>
      </c>
      <c r="C12592" s="1">
        <v>6.7301872369688502E-3</v>
      </c>
      <c r="D12592" s="1">
        <v>3.1294950044706998E-3</v>
      </c>
      <c r="E12592" s="1">
        <v>3.8408482323983601E-3</v>
      </c>
      <c r="F12592" s="1">
        <v>6.2534042566607002E-3</v>
      </c>
    </row>
    <row r="12593" spans="1:6" x14ac:dyDescent="0.25">
      <c r="A12593" s="2" t="str">
        <f t="shared" si="458"/>
        <v>42660</v>
      </c>
      <c r="B12593" s="2" t="str">
        <f>"98224"</f>
        <v>98224</v>
      </c>
      <c r="C12593" s="1">
        <v>0</v>
      </c>
      <c r="D12593" s="1">
        <v>6.47928572354183E-6</v>
      </c>
      <c r="E12593" s="1">
        <v>1.08192907954883E-4</v>
      </c>
      <c r="F12593" s="1">
        <v>8.2453945833577802E-6</v>
      </c>
    </row>
    <row r="12594" spans="1:6" x14ac:dyDescent="0.25">
      <c r="A12594" s="2" t="str">
        <f t="shared" si="458"/>
        <v>42660</v>
      </c>
      <c r="B12594" s="2" t="str">
        <f>"98124"</f>
        <v>98124</v>
      </c>
      <c r="C12594" s="1">
        <v>5.4900868695422302E-4</v>
      </c>
      <c r="D12594" s="1">
        <v>7.83345643976208E-3</v>
      </c>
      <c r="E12594" s="1">
        <v>6.7620567471802197E-6</v>
      </c>
      <c r="F12594" s="1">
        <v>1.05541050666979E-3</v>
      </c>
    </row>
    <row r="12595" spans="1:6" x14ac:dyDescent="0.25">
      <c r="A12595" s="2" t="str">
        <f t="shared" si="458"/>
        <v>42660</v>
      </c>
      <c r="B12595" s="2" t="str">
        <f>"98122"</f>
        <v>98122</v>
      </c>
      <c r="C12595" s="1">
        <v>1.4383913931805801E-2</v>
      </c>
      <c r="D12595" s="1">
        <v>1.0930555015615E-2</v>
      </c>
      <c r="E12595" s="1">
        <v>1.9839874496226699E-2</v>
      </c>
      <c r="F12595" s="1">
        <v>1.45167446988175E-2</v>
      </c>
    </row>
    <row r="12596" spans="1:6" x14ac:dyDescent="0.25">
      <c r="A12596" s="2" t="str">
        <f t="shared" si="458"/>
        <v>42660</v>
      </c>
      <c r="B12596" s="2" t="str">
        <f>"98188"</f>
        <v>98188</v>
      </c>
      <c r="C12596" s="1">
        <v>6.1385536519591799E-3</v>
      </c>
      <c r="D12596" s="1">
        <v>1.4792209306846001E-2</v>
      </c>
      <c r="E12596" s="1">
        <v>7.8169375997403298E-3</v>
      </c>
      <c r="F12596" s="1">
        <v>6.9067305215891103E-3</v>
      </c>
    </row>
    <row r="12597" spans="1:6" x14ac:dyDescent="0.25">
      <c r="A12597" s="2" t="str">
        <f t="shared" si="458"/>
        <v>42660</v>
      </c>
      <c r="B12597" s="2" t="str">
        <f>"98064"</f>
        <v>98064</v>
      </c>
      <c r="C12597" s="1">
        <v>5.1434043653578903E-4</v>
      </c>
      <c r="D12597" s="1">
        <v>1.9956200028508802E-3</v>
      </c>
      <c r="E12597" s="1">
        <v>6.7620567471802197E-6</v>
      </c>
      <c r="F12597" s="1">
        <v>5.8881817789390302E-4</v>
      </c>
    </row>
    <row r="12598" spans="1:6" x14ac:dyDescent="0.25">
      <c r="A12598" s="2" t="str">
        <f t="shared" si="458"/>
        <v>42660</v>
      </c>
      <c r="B12598" s="2" t="str">
        <f>"98092"</f>
        <v>98092</v>
      </c>
      <c r="C12598" s="1">
        <v>1.0115740806519899E-2</v>
      </c>
      <c r="D12598" s="1">
        <v>1.5485492879264899E-3</v>
      </c>
      <c r="E12598" s="1">
        <v>4.4359092261502201E-3</v>
      </c>
      <c r="F12598" s="1">
        <v>9.0670239024288508E-3</v>
      </c>
    </row>
    <row r="12599" spans="1:6" x14ac:dyDescent="0.25">
      <c r="A12599" s="2" t="str">
        <f t="shared" si="458"/>
        <v>42660</v>
      </c>
      <c r="B12599" s="2" t="str">
        <f>"98041"</f>
        <v>98041</v>
      </c>
      <c r="C12599" s="1">
        <v>5.5241867879865904E-4</v>
      </c>
      <c r="D12599" s="1">
        <v>2.83792714691132E-3</v>
      </c>
      <c r="E12599" s="1">
        <v>6.7620567471802197E-6</v>
      </c>
      <c r="F12599" s="1">
        <v>6.84367750418696E-4</v>
      </c>
    </row>
    <row r="12600" spans="1:6" x14ac:dyDescent="0.25">
      <c r="A12600" s="2" t="str">
        <f t="shared" si="458"/>
        <v>42660</v>
      </c>
      <c r="B12600" s="2" t="str">
        <f>"98050"</f>
        <v>98050</v>
      </c>
      <c r="C12600" s="1">
        <v>2.3813109713645899E-4</v>
      </c>
      <c r="D12600" s="1">
        <v>4.9242571498917898E-4</v>
      </c>
      <c r="E12600" s="1">
        <v>6.9649184495956199E-4</v>
      </c>
      <c r="F12600" s="1">
        <v>2.9004388004987897E-4</v>
      </c>
    </row>
    <row r="12601" spans="1:6" x14ac:dyDescent="0.25">
      <c r="A12601" s="2" t="str">
        <f t="shared" si="458"/>
        <v>42660</v>
      </c>
      <c r="B12601" s="2" t="str">
        <f>"98037"</f>
        <v>98037</v>
      </c>
      <c r="C12601" s="1">
        <v>6.5846942516062396E-3</v>
      </c>
      <c r="D12601" s="1">
        <v>7.4641371535201896E-3</v>
      </c>
      <c r="E12601" s="1">
        <v>6.1872819236699003E-3</v>
      </c>
      <c r="F12601" s="1">
        <v>6.6220218968578697E-3</v>
      </c>
    </row>
    <row r="12602" spans="1:6" x14ac:dyDescent="0.25">
      <c r="A12602" s="2" t="str">
        <f t="shared" si="458"/>
        <v>42660</v>
      </c>
      <c r="B12602" s="2" t="str">
        <f>"98036"</f>
        <v>98036</v>
      </c>
      <c r="C12602" s="1">
        <v>9.7144984328245802E-3</v>
      </c>
      <c r="D12602" s="1">
        <v>1.5394782879135401E-2</v>
      </c>
      <c r="E12602" s="1">
        <v>9.2302074599009999E-3</v>
      </c>
      <c r="F12602" s="1">
        <v>1.01049735735103E-2</v>
      </c>
    </row>
    <row r="12603" spans="1:6" x14ac:dyDescent="0.25">
      <c r="A12603" s="2" t="str">
        <f t="shared" si="458"/>
        <v>42660</v>
      </c>
      <c r="B12603" s="2" t="str">
        <f>"98005"</f>
        <v>98005</v>
      </c>
      <c r="C12603" s="1">
        <v>5.2798040391353303E-3</v>
      </c>
      <c r="D12603" s="1">
        <v>1.5031942878617E-2</v>
      </c>
      <c r="E12603" s="1">
        <v>1.5363392929593401E-2</v>
      </c>
      <c r="F12603" s="1">
        <v>6.7330922121278097E-3</v>
      </c>
    </row>
    <row r="12604" spans="1:6" x14ac:dyDescent="0.25">
      <c r="A12604" s="2" t="str">
        <f t="shared" si="458"/>
        <v>42660</v>
      </c>
      <c r="B12604" s="2" t="str">
        <f>"98024"</f>
        <v>98024</v>
      </c>
      <c r="C12604" s="1">
        <v>1.5339279980222001E-3</v>
      </c>
      <c r="D12604" s="1">
        <v>1.43840143062628E-3</v>
      </c>
      <c r="E12604" s="1">
        <v>1.4741283708852801E-3</v>
      </c>
      <c r="F12604" s="1">
        <v>1.52248785865647E-3</v>
      </c>
    </row>
    <row r="12605" spans="1:6" x14ac:dyDescent="0.25">
      <c r="A12605" s="2" t="str">
        <f t="shared" si="458"/>
        <v>42660</v>
      </c>
      <c r="B12605" s="2" t="str">
        <f>"98028"</f>
        <v>98028</v>
      </c>
      <c r="C12605" s="1">
        <v>5.9032642146930802E-3</v>
      </c>
      <c r="D12605" s="1">
        <v>3.86813357695447E-3</v>
      </c>
      <c r="E12605" s="1">
        <v>5.2744042628005703E-3</v>
      </c>
      <c r="F12605" s="1">
        <v>5.7058130516835798E-3</v>
      </c>
    </row>
    <row r="12606" spans="1:6" x14ac:dyDescent="0.25">
      <c r="A12606" s="2" t="str">
        <f t="shared" si="458"/>
        <v>42660</v>
      </c>
      <c r="B12606" s="2" t="str">
        <f>"98558"</f>
        <v>98558</v>
      </c>
      <c r="C12606" s="1">
        <v>4.5125558741372E-4</v>
      </c>
      <c r="D12606" s="1">
        <v>4.2115357203021899E-4</v>
      </c>
      <c r="E12606" s="1">
        <v>1.6228936193232499E-4</v>
      </c>
      <c r="F12606" s="1">
        <v>4.2827549512381899E-4</v>
      </c>
    </row>
    <row r="12607" spans="1:6" x14ac:dyDescent="0.25">
      <c r="A12607" s="2" t="str">
        <f t="shared" si="458"/>
        <v>42660</v>
      </c>
      <c r="B12607" s="2" t="str">
        <f>"98493"</f>
        <v>98493</v>
      </c>
      <c r="C12607" s="1">
        <v>0</v>
      </c>
      <c r="D12607" s="1">
        <v>2.59171428941673E-5</v>
      </c>
      <c r="E12607" s="1">
        <v>0</v>
      </c>
      <c r="F12607" s="1">
        <v>1.9400928431430002E-6</v>
      </c>
    </row>
    <row r="12608" spans="1:6" x14ac:dyDescent="0.25">
      <c r="A12608" s="2" t="str">
        <f t="shared" si="458"/>
        <v>42660</v>
      </c>
      <c r="B12608" s="2" t="str">
        <f>"98374"</f>
        <v>98374</v>
      </c>
      <c r="C12608" s="1">
        <v>9.32632769453293E-3</v>
      </c>
      <c r="D12608" s="1">
        <v>2.83792714691132E-3</v>
      </c>
      <c r="E12608" s="1">
        <v>5.10535284412106E-3</v>
      </c>
      <c r="F12608" s="1">
        <v>8.5378635794615895E-3</v>
      </c>
    </row>
    <row r="12609" spans="1:6" x14ac:dyDescent="0.25">
      <c r="A12609" s="2" t="str">
        <f t="shared" si="458"/>
        <v>42660</v>
      </c>
      <c r="B12609" s="2" t="str">
        <f>"98375"</f>
        <v>98375</v>
      </c>
      <c r="C12609" s="1">
        <v>6.2164151324071402E-3</v>
      </c>
      <c r="D12609" s="1">
        <v>3.2266842903238301E-3</v>
      </c>
      <c r="E12609" s="1">
        <v>1.4470801438965599E-3</v>
      </c>
      <c r="F12609" s="1">
        <v>5.6505204056540104E-3</v>
      </c>
    </row>
    <row r="12610" spans="1:6" x14ac:dyDescent="0.25">
      <c r="A12610" s="2" t="str">
        <f t="shared" si="458"/>
        <v>42660</v>
      </c>
      <c r="B12610" s="2" t="str">
        <f>"98466"</f>
        <v>98466</v>
      </c>
      <c r="C12610" s="1">
        <v>7.2348660299454103E-3</v>
      </c>
      <c r="D12610" s="1">
        <v>6.4857650092653698E-3</v>
      </c>
      <c r="E12610" s="1">
        <v>1.7912688323280399E-2</v>
      </c>
      <c r="F12610" s="1">
        <v>7.9446801926706199E-3</v>
      </c>
    </row>
    <row r="12611" spans="1:6" x14ac:dyDescent="0.25">
      <c r="A12611" s="2" t="str">
        <f t="shared" si="458"/>
        <v>42660</v>
      </c>
      <c r="B12611" s="2" t="str">
        <f>"98413"</f>
        <v>98413</v>
      </c>
      <c r="C12611" s="1">
        <v>0</v>
      </c>
      <c r="D12611" s="1">
        <v>6.47928572354183E-6</v>
      </c>
      <c r="E12611" s="1">
        <v>0</v>
      </c>
      <c r="F12611" s="1">
        <v>4.8502321078575195E-7</v>
      </c>
    </row>
    <row r="12612" spans="1:6" x14ac:dyDescent="0.25">
      <c r="A12612" s="2" t="str">
        <f t="shared" si="458"/>
        <v>42660</v>
      </c>
      <c r="B12612" s="2" t="str">
        <f>"98443"</f>
        <v>98443</v>
      </c>
      <c r="C12612" s="1">
        <v>1.2992068927301799E-3</v>
      </c>
      <c r="D12612" s="1">
        <v>2.1381642887688E-4</v>
      </c>
      <c r="E12612" s="1">
        <v>1.14954964702063E-4</v>
      </c>
      <c r="F12612" s="1">
        <v>1.1330142203955099E-3</v>
      </c>
    </row>
    <row r="12613" spans="1:6" x14ac:dyDescent="0.25">
      <c r="A12613" s="2" t="str">
        <f t="shared" si="458"/>
        <v>42660</v>
      </c>
      <c r="B12613" s="2" t="str">
        <f>"98416"</f>
        <v>98416</v>
      </c>
      <c r="C12613" s="1">
        <v>0</v>
      </c>
      <c r="D12613" s="1">
        <v>6.47928572354183E-6</v>
      </c>
      <c r="E12613" s="1">
        <v>6.8161532011576601E-3</v>
      </c>
      <c r="F12613" s="1">
        <v>4.89388419682823E-4</v>
      </c>
    </row>
    <row r="12614" spans="1:6" x14ac:dyDescent="0.25">
      <c r="A12614" s="2" t="str">
        <f t="shared" si="458"/>
        <v>42660</v>
      </c>
      <c r="B12614" s="2" t="str">
        <f>"98371"</f>
        <v>98371</v>
      </c>
      <c r="C12614" s="1">
        <v>6.5386593617063503E-3</v>
      </c>
      <c r="D12614" s="1">
        <v>7.1596107245137201E-3</v>
      </c>
      <c r="E12614" s="1">
        <v>5.3149766032836504E-3</v>
      </c>
      <c r="F12614" s="1">
        <v>6.4973709316859304E-3</v>
      </c>
    </row>
    <row r="12615" spans="1:6" x14ac:dyDescent="0.25">
      <c r="A12615" s="2" t="str">
        <f t="shared" si="458"/>
        <v>42660</v>
      </c>
      <c r="B12615" s="2" t="str">
        <f>"98126"</f>
        <v>98126</v>
      </c>
      <c r="C12615" s="1">
        <v>6.1834518779109197E-3</v>
      </c>
      <c r="D12615" s="1">
        <v>2.4232528606046399E-3</v>
      </c>
      <c r="E12615" s="1">
        <v>3.9693273105947903E-3</v>
      </c>
      <c r="F12615" s="1">
        <v>5.7431598389140904E-3</v>
      </c>
    </row>
    <row r="12616" spans="1:6" x14ac:dyDescent="0.25">
      <c r="A12616" s="2" t="str">
        <f t="shared" si="458"/>
        <v>42660</v>
      </c>
      <c r="B12616" s="2" t="str">
        <f>"98136"</f>
        <v>98136</v>
      </c>
      <c r="C12616" s="1">
        <v>4.4437877052743999E-3</v>
      </c>
      <c r="D12616" s="1">
        <v>1.36712928766732E-3</v>
      </c>
      <c r="E12616" s="1">
        <v>4.3412404316897002E-3</v>
      </c>
      <c r="F12616" s="1">
        <v>4.2061212839340396E-3</v>
      </c>
    </row>
    <row r="12617" spans="1:6" x14ac:dyDescent="0.25">
      <c r="A12617" s="2" t="str">
        <f t="shared" si="458"/>
        <v>42660</v>
      </c>
      <c r="B12617" s="2" t="str">
        <f>"98213"</f>
        <v>98213</v>
      </c>
      <c r="C12617" s="1">
        <v>6.3596347898734601E-4</v>
      </c>
      <c r="D12617" s="1">
        <v>1.4060050020085701E-3</v>
      </c>
      <c r="E12617" s="1">
        <v>0</v>
      </c>
      <c r="F12617" s="1">
        <v>6.4799100960976404E-4</v>
      </c>
    </row>
    <row r="12618" spans="1:6" x14ac:dyDescent="0.25">
      <c r="A12618" s="2" t="str">
        <f t="shared" si="458"/>
        <v>42660</v>
      </c>
      <c r="B12618" s="2" t="str">
        <f>"98118"</f>
        <v>98118</v>
      </c>
      <c r="C12618" s="1">
        <v>1.13081012881244E-2</v>
      </c>
      <c r="D12618" s="1">
        <v>8.7340771553343893E-3</v>
      </c>
      <c r="E12618" s="1">
        <v>1.2083795407211001E-2</v>
      </c>
      <c r="F12618" s="1">
        <v>1.11710545908174E-2</v>
      </c>
    </row>
    <row r="12619" spans="1:6" x14ac:dyDescent="0.25">
      <c r="A12619" s="2" t="str">
        <f t="shared" si="458"/>
        <v>42660</v>
      </c>
      <c r="B12619" s="2" t="str">
        <f>"98072"</f>
        <v>98072</v>
      </c>
      <c r="C12619" s="1">
        <v>6.3295131952476004E-3</v>
      </c>
      <c r="D12619" s="1">
        <v>1.5362386450517599E-2</v>
      </c>
      <c r="E12619" s="1">
        <v>2.9482567417705701E-3</v>
      </c>
      <c r="F12619" s="1">
        <v>6.7631636511965203E-3</v>
      </c>
    </row>
    <row r="12620" spans="1:6" x14ac:dyDescent="0.25">
      <c r="A12620" s="2" t="str">
        <f t="shared" si="458"/>
        <v>42660</v>
      </c>
      <c r="B12620" s="2" t="str">
        <f>"98111"</f>
        <v>98111</v>
      </c>
      <c r="C12620" s="1">
        <v>1.48164145640751E-3</v>
      </c>
      <c r="D12620" s="1">
        <v>2.9351164327644499E-3</v>
      </c>
      <c r="E12620" s="1">
        <v>6.7620567471802197E-6</v>
      </c>
      <c r="F12620" s="1">
        <v>1.4846560482151799E-3</v>
      </c>
    </row>
    <row r="12621" spans="1:6" x14ac:dyDescent="0.25">
      <c r="A12621" s="2" t="str">
        <f t="shared" si="458"/>
        <v>42660</v>
      </c>
      <c r="B12621" s="2" t="str">
        <f>"98104"</f>
        <v>98104</v>
      </c>
      <c r="C12621" s="1">
        <v>6.4193096471510903E-3</v>
      </c>
      <c r="D12621" s="1">
        <v>2.34874107478391E-2</v>
      </c>
      <c r="E12621" s="1">
        <v>1.9021665629817899E-2</v>
      </c>
      <c r="F12621" s="1">
        <v>8.6009165968637408E-3</v>
      </c>
    </row>
    <row r="12622" spans="1:6" x14ac:dyDescent="0.25">
      <c r="A12622" s="2" t="str">
        <f t="shared" si="458"/>
        <v>42660</v>
      </c>
      <c r="B12622" s="2" t="str">
        <f>"98101"</f>
        <v>98101</v>
      </c>
      <c r="C12622" s="1">
        <v>7.1342712705345403E-3</v>
      </c>
      <c r="D12622" s="1">
        <v>2.64030893234329E-2</v>
      </c>
      <c r="E12622" s="1">
        <v>8.6824808633794003E-3</v>
      </c>
      <c r="F12622" s="1">
        <v>8.6877357515943894E-3</v>
      </c>
    </row>
    <row r="12623" spans="1:6" x14ac:dyDescent="0.25">
      <c r="A12623" s="2" t="str">
        <f t="shared" si="458"/>
        <v>42660</v>
      </c>
      <c r="B12623" s="2" t="str">
        <f>"98021"</f>
        <v>98021</v>
      </c>
      <c r="C12623" s="1">
        <v>7.1024446799864702E-3</v>
      </c>
      <c r="D12623" s="1">
        <v>4.1920978631315598E-3</v>
      </c>
      <c r="E12623" s="1">
        <v>6.1128992994509204E-3</v>
      </c>
      <c r="F12623" s="1">
        <v>6.8136060651182396E-3</v>
      </c>
    </row>
    <row r="12624" spans="1:6" x14ac:dyDescent="0.25">
      <c r="A12624" s="2" t="str">
        <f t="shared" si="458"/>
        <v>42660</v>
      </c>
      <c r="B12624" s="2" t="str">
        <f>"98033"</f>
        <v>98033</v>
      </c>
      <c r="C12624" s="1">
        <v>1.09466421526141E-2</v>
      </c>
      <c r="D12624" s="1">
        <v>1.1649755730928199E-2</v>
      </c>
      <c r="E12624" s="1">
        <v>1.30304833518162E-2</v>
      </c>
      <c r="F12624" s="1">
        <v>1.11487435231212E-2</v>
      </c>
    </row>
    <row r="12625" spans="1:6" x14ac:dyDescent="0.25">
      <c r="A12625" s="2" t="str">
        <f t="shared" si="458"/>
        <v>42660</v>
      </c>
      <c r="B12625" s="2" t="str">
        <f>"98499"</f>
        <v>98499</v>
      </c>
      <c r="C12625" s="1">
        <v>7.9447126655622004E-3</v>
      </c>
      <c r="D12625" s="1">
        <v>1.6437947880625602E-2</v>
      </c>
      <c r="E12625" s="1">
        <v>2.55132401071109E-2</v>
      </c>
      <c r="F12625" s="1">
        <v>9.8406359236321208E-3</v>
      </c>
    </row>
    <row r="12626" spans="1:6" x14ac:dyDescent="0.25">
      <c r="A12626" s="2" t="str">
        <f t="shared" si="458"/>
        <v>42660</v>
      </c>
      <c r="B12626" s="2" t="str">
        <f>"98405"</f>
        <v>98405</v>
      </c>
      <c r="C12626" s="1">
        <v>6.6966556504985597E-3</v>
      </c>
      <c r="D12626" s="1">
        <v>6.9911492957016397E-3</v>
      </c>
      <c r="E12626" s="1">
        <v>7.6952205782910904E-3</v>
      </c>
      <c r="F12626" s="1">
        <v>6.7903249510005304E-3</v>
      </c>
    </row>
    <row r="12627" spans="1:6" x14ac:dyDescent="0.25">
      <c r="A12627" s="2" t="str">
        <f t="shared" si="458"/>
        <v>42660</v>
      </c>
      <c r="B12627" s="2" t="str">
        <f>"98431"</f>
        <v>98431</v>
      </c>
      <c r="C12627" s="1">
        <v>0</v>
      </c>
      <c r="D12627" s="1">
        <v>6.47928572354183E-6</v>
      </c>
      <c r="E12627" s="1">
        <v>0</v>
      </c>
      <c r="F12627" s="1">
        <v>4.8502321078575195E-7</v>
      </c>
    </row>
    <row r="12628" spans="1:6" x14ac:dyDescent="0.25">
      <c r="A12628" s="2" t="str">
        <f t="shared" si="458"/>
        <v>42660</v>
      </c>
      <c r="B12628" s="2" t="str">
        <f>"98438"</f>
        <v>98438</v>
      </c>
      <c r="C12628" s="1">
        <v>2.7848266729561999E-5</v>
      </c>
      <c r="D12628" s="1">
        <v>4.9242571498917898E-4</v>
      </c>
      <c r="E12628" s="1">
        <v>6.7620567471802197E-6</v>
      </c>
      <c r="F12628" s="1">
        <v>6.1112924559004694E-5</v>
      </c>
    </row>
    <row r="12629" spans="1:6" x14ac:dyDescent="0.25">
      <c r="A12629" s="2" t="str">
        <f t="shared" si="458"/>
        <v>42660</v>
      </c>
      <c r="B12629" s="2" t="str">
        <f>"98433"</f>
        <v>98433</v>
      </c>
      <c r="C12629" s="1">
        <v>3.0275044258852401E-3</v>
      </c>
      <c r="D12629" s="1">
        <v>3.6931928624188399E-4</v>
      </c>
      <c r="E12629" s="1">
        <v>3.7123691542019399E-3</v>
      </c>
      <c r="F12629" s="1">
        <v>2.8776427095918598E-3</v>
      </c>
    </row>
    <row r="12630" spans="1:6" x14ac:dyDescent="0.25">
      <c r="A12630" s="2" t="str">
        <f t="shared" si="458"/>
        <v>42660</v>
      </c>
      <c r="B12630" s="2" t="str">
        <f>"98444"</f>
        <v>98444</v>
      </c>
      <c r="C12630" s="1">
        <v>8.0731556917026295E-3</v>
      </c>
      <c r="D12630" s="1">
        <v>6.63478858090684E-3</v>
      </c>
      <c r="E12630" s="1">
        <v>2.3836250033810201E-2</v>
      </c>
      <c r="F12630" s="1">
        <v>9.0961252950759897E-3</v>
      </c>
    </row>
    <row r="12631" spans="1:6" x14ac:dyDescent="0.25">
      <c r="A12631" s="2" t="str">
        <f t="shared" si="458"/>
        <v>42660</v>
      </c>
      <c r="B12631" s="2" t="str">
        <f>"98397"</f>
        <v>98397</v>
      </c>
      <c r="C12631" s="1">
        <v>0</v>
      </c>
      <c r="D12631" s="1">
        <v>6.47928572354183E-6</v>
      </c>
      <c r="E12631" s="1">
        <v>0</v>
      </c>
      <c r="F12631" s="1">
        <v>4.8502321078575195E-7</v>
      </c>
    </row>
    <row r="12632" spans="1:6" x14ac:dyDescent="0.25">
      <c r="A12632" s="2" t="str">
        <f t="shared" si="458"/>
        <v>42660</v>
      </c>
      <c r="B12632" s="2" t="str">
        <f>"98403"</f>
        <v>98403</v>
      </c>
      <c r="C12632" s="1">
        <v>2.77175503755253E-3</v>
      </c>
      <c r="D12632" s="1">
        <v>1.6846142881208699E-3</v>
      </c>
      <c r="E12632" s="1">
        <v>4.9498255389359199E-3</v>
      </c>
      <c r="F12632" s="1">
        <v>2.84660122410157E-3</v>
      </c>
    </row>
    <row r="12633" spans="1:6" x14ac:dyDescent="0.25">
      <c r="A12633" s="2" t="str">
        <f t="shared" si="458"/>
        <v>42660</v>
      </c>
      <c r="B12633" s="2" t="str">
        <f>"98360"</f>
        <v>98360</v>
      </c>
      <c r="C12633" s="1">
        <v>3.5617364815135801E-3</v>
      </c>
      <c r="D12633" s="1">
        <v>1.93082714561546E-3</v>
      </c>
      <c r="E12633" s="1">
        <v>1.5755592220929901E-3</v>
      </c>
      <c r="F12633" s="1">
        <v>3.2971877869215401E-3</v>
      </c>
    </row>
    <row r="12634" spans="1:6" x14ac:dyDescent="0.25">
      <c r="A12634" s="2" t="str">
        <f t="shared" si="458"/>
        <v>42660</v>
      </c>
      <c r="B12634" s="2" t="str">
        <f>"98259"</f>
        <v>98259</v>
      </c>
      <c r="C12634" s="1">
        <v>1.1366639481453901E-4</v>
      </c>
      <c r="D12634" s="1">
        <v>3.56360714794801E-4</v>
      </c>
      <c r="E12634" s="1">
        <v>6.7620567471802197E-6</v>
      </c>
      <c r="F12634" s="1">
        <v>1.2416594196115201E-4</v>
      </c>
    </row>
    <row r="12635" spans="1:6" x14ac:dyDescent="0.25">
      <c r="A12635" s="2" t="str">
        <f t="shared" si="458"/>
        <v>42660</v>
      </c>
      <c r="B12635" s="2" t="str">
        <f>"98270"</f>
        <v>98270</v>
      </c>
      <c r="C12635" s="1">
        <v>1.1260929734276301E-2</v>
      </c>
      <c r="D12635" s="1">
        <v>8.7146392981637694E-3</v>
      </c>
      <c r="E12635" s="1">
        <v>5.1932595818344101E-3</v>
      </c>
      <c r="F12635" s="1">
        <v>1.0635103942899101E-2</v>
      </c>
    </row>
    <row r="12636" spans="1:6" x14ac:dyDescent="0.25">
      <c r="A12636" s="2" t="str">
        <f t="shared" si="458"/>
        <v>42660</v>
      </c>
      <c r="B12636" s="2" t="str">
        <f>"98348"</f>
        <v>98348</v>
      </c>
      <c r="C12636" s="1">
        <v>0</v>
      </c>
      <c r="D12636" s="1">
        <v>6.47928572354183E-6</v>
      </c>
      <c r="E12636" s="1">
        <v>0</v>
      </c>
      <c r="F12636" s="1">
        <v>4.8502321078575195E-7</v>
      </c>
    </row>
    <row r="12637" spans="1:6" x14ac:dyDescent="0.25">
      <c r="A12637" s="2" t="str">
        <f t="shared" si="458"/>
        <v>42660</v>
      </c>
      <c r="B12637" s="2" t="str">
        <f>"98335"</f>
        <v>98335</v>
      </c>
      <c r="C12637" s="1">
        <v>7.6724816499813796E-3</v>
      </c>
      <c r="D12637" s="1">
        <v>1.3224222161748799E-2</v>
      </c>
      <c r="E12637" s="1">
        <v>6.1940439804170798E-3</v>
      </c>
      <c r="F12637" s="1">
        <v>7.98202697990112E-3</v>
      </c>
    </row>
    <row r="12638" spans="1:6" x14ac:dyDescent="0.25">
      <c r="A12638" s="2" t="str">
        <f t="shared" si="458"/>
        <v>42660</v>
      </c>
      <c r="B12638" s="2" t="str">
        <f>"98293"</f>
        <v>98293</v>
      </c>
      <c r="C12638" s="1">
        <v>2.2733278962907799E-6</v>
      </c>
      <c r="D12638" s="1">
        <v>6.47928572354183E-6</v>
      </c>
      <c r="E12638" s="1">
        <v>0</v>
      </c>
      <c r="F12638" s="1">
        <v>2.4251160539287602E-6</v>
      </c>
    </row>
    <row r="12639" spans="1:6" x14ac:dyDescent="0.25">
      <c r="A12639" s="2" t="str">
        <f t="shared" si="458"/>
        <v>42660</v>
      </c>
      <c r="B12639" s="2" t="str">
        <f>"98296"</f>
        <v>98296</v>
      </c>
      <c r="C12639" s="1">
        <v>5.4593969429423102E-3</v>
      </c>
      <c r="D12639" s="1">
        <v>1.81420000259171E-3</v>
      </c>
      <c r="E12639" s="1">
        <v>6.62681561223661E-4</v>
      </c>
      <c r="F12639" s="1">
        <v>4.84247173648494E-3</v>
      </c>
    </row>
    <row r="12640" spans="1:6" x14ac:dyDescent="0.25">
      <c r="A12640" s="2" t="str">
        <f t="shared" si="458"/>
        <v>42660</v>
      </c>
      <c r="B12640" s="2" t="str">
        <f>"98327"</f>
        <v>98327</v>
      </c>
      <c r="C12640" s="1">
        <v>2.5688605228085799E-3</v>
      </c>
      <c r="D12640" s="1">
        <v>1.5809457165441999E-3</v>
      </c>
      <c r="E12640" s="1">
        <v>1.35241134943604E-3</v>
      </c>
      <c r="F12640" s="1">
        <v>2.4076552183404701E-3</v>
      </c>
    </row>
    <row r="12641" spans="1:6" x14ac:dyDescent="0.25">
      <c r="A12641" s="2" t="str">
        <f t="shared" si="458"/>
        <v>42660</v>
      </c>
      <c r="B12641" s="2" t="str">
        <f>"98251"</f>
        <v>98251</v>
      </c>
      <c r="C12641" s="1">
        <v>9.7525766750874499E-4</v>
      </c>
      <c r="D12641" s="1">
        <v>3.8875714341250997E-5</v>
      </c>
      <c r="E12641" s="1">
        <v>6.4915744772930104E-4</v>
      </c>
      <c r="F12641" s="1">
        <v>8.81772197208497E-4</v>
      </c>
    </row>
    <row r="12642" spans="1:6" x14ac:dyDescent="0.25">
      <c r="A12642" s="2" t="str">
        <f t="shared" si="458"/>
        <v>42660</v>
      </c>
      <c r="B12642" s="2" t="str">
        <f>"98258"</f>
        <v>98258</v>
      </c>
      <c r="C12642" s="1">
        <v>1.0895492274947601E-2</v>
      </c>
      <c r="D12642" s="1">
        <v>4.6974821495678297E-3</v>
      </c>
      <c r="E12642" s="1">
        <v>2.4816748262151398E-3</v>
      </c>
      <c r="F12642" s="1">
        <v>9.8280253201516905E-3</v>
      </c>
    </row>
    <row r="12643" spans="1:6" x14ac:dyDescent="0.25">
      <c r="A12643" s="2" t="str">
        <f t="shared" si="458"/>
        <v>42660</v>
      </c>
      <c r="B12643" s="2" t="str">
        <f>"98138"</f>
        <v>98138</v>
      </c>
      <c r="C12643" s="1">
        <v>4.6944221058404601E-4</v>
      </c>
      <c r="D12643" s="1">
        <v>2.0280164314685901E-3</v>
      </c>
      <c r="E12643" s="1">
        <v>6.7620567471802197E-6</v>
      </c>
      <c r="F12643" s="1">
        <v>5.5292646029575705E-4</v>
      </c>
    </row>
    <row r="12644" spans="1:6" x14ac:dyDescent="0.25">
      <c r="A12644" s="2" t="str">
        <f t="shared" si="458"/>
        <v>42660</v>
      </c>
      <c r="B12644" s="2" t="str">
        <f>"98148"</f>
        <v>98148</v>
      </c>
      <c r="C12644" s="1">
        <v>2.76266172596737E-3</v>
      </c>
      <c r="D12644" s="1">
        <v>4.1208257201726002E-3</v>
      </c>
      <c r="E12644" s="1">
        <v>2.8468258905628699E-3</v>
      </c>
      <c r="F12644" s="1">
        <v>2.8703673614300798E-3</v>
      </c>
    </row>
    <row r="12645" spans="1:6" x14ac:dyDescent="0.25">
      <c r="A12645" s="2" t="str">
        <f t="shared" si="458"/>
        <v>42660</v>
      </c>
      <c r="B12645" s="2" t="str">
        <f>"98127"</f>
        <v>98127</v>
      </c>
      <c r="C12645" s="1">
        <v>4.8876549770251695E-4</v>
      </c>
      <c r="D12645" s="1">
        <v>2.5528385750754798E-3</v>
      </c>
      <c r="E12645" s="1">
        <v>6.7620567471802197E-6</v>
      </c>
      <c r="F12645" s="1">
        <v>6.08704129536118E-4</v>
      </c>
    </row>
    <row r="12646" spans="1:6" x14ac:dyDescent="0.25">
      <c r="A12646" s="2" t="str">
        <f t="shared" si="458"/>
        <v>42660</v>
      </c>
      <c r="B12646" s="2" t="str">
        <f>"98191"</f>
        <v>98191</v>
      </c>
      <c r="C12646" s="1">
        <v>0</v>
      </c>
      <c r="D12646" s="1">
        <v>6.47928572354183E-6</v>
      </c>
      <c r="E12646" s="1">
        <v>0</v>
      </c>
      <c r="F12646" s="1">
        <v>4.8502321078575195E-7</v>
      </c>
    </row>
    <row r="12647" spans="1:6" x14ac:dyDescent="0.25">
      <c r="A12647" s="2" t="str">
        <f t="shared" si="458"/>
        <v>42660</v>
      </c>
      <c r="B12647" s="2" t="str">
        <f>"98177"</f>
        <v>98177</v>
      </c>
      <c r="C12647" s="1">
        <v>4.95983313773241E-3</v>
      </c>
      <c r="D12647" s="1">
        <v>2.0668921458098402E-3</v>
      </c>
      <c r="E12647" s="1">
        <v>1.64994184631197E-3</v>
      </c>
      <c r="F12647" s="1">
        <v>4.5058656281996299E-3</v>
      </c>
    </row>
    <row r="12648" spans="1:6" x14ac:dyDescent="0.25">
      <c r="A12648" s="2" t="str">
        <f t="shared" si="458"/>
        <v>42660</v>
      </c>
      <c r="B12648" s="2" t="str">
        <f>"98116"</f>
        <v>98116</v>
      </c>
      <c r="C12648" s="1">
        <v>8.3021934772539302E-3</v>
      </c>
      <c r="D12648" s="1">
        <v>5.3518900076455498E-3</v>
      </c>
      <c r="E12648" s="1">
        <v>8.7365773173568393E-3</v>
      </c>
      <c r="F12648" s="1">
        <v>8.1124982236024899E-3</v>
      </c>
    </row>
    <row r="12649" spans="1:6" x14ac:dyDescent="0.25">
      <c r="A12649" s="2" t="str">
        <f t="shared" si="458"/>
        <v>42660</v>
      </c>
      <c r="B12649" s="2" t="str">
        <f>"98068"</f>
        <v>98068</v>
      </c>
      <c r="C12649" s="1">
        <v>0</v>
      </c>
      <c r="D12649" s="1">
        <v>0</v>
      </c>
      <c r="E12649" s="1">
        <v>6.7620567471802197E-6</v>
      </c>
      <c r="F12649" s="1">
        <v>4.8502321078575195E-7</v>
      </c>
    </row>
    <row r="12650" spans="1:6" x14ac:dyDescent="0.25">
      <c r="A12650" s="2" t="str">
        <f t="shared" si="458"/>
        <v>42660</v>
      </c>
      <c r="B12650" s="2" t="str">
        <f>"98074"</f>
        <v>98074</v>
      </c>
      <c r="C12650" s="1">
        <v>5.8526826690006098E-3</v>
      </c>
      <c r="D12650" s="1">
        <v>9.8485142997835904E-4</v>
      </c>
      <c r="E12650" s="1">
        <v>1.501176597874E-3</v>
      </c>
      <c r="F12650" s="1">
        <v>5.17616770550554E-3</v>
      </c>
    </row>
    <row r="12651" spans="1:6" x14ac:dyDescent="0.25">
      <c r="A12651" s="2" t="str">
        <f t="shared" ref="A12651:A12714" si="459">"42660"</f>
        <v>42660</v>
      </c>
      <c r="B12651" s="2" t="str">
        <f>"98073"</f>
        <v>98073</v>
      </c>
      <c r="C12651" s="1">
        <v>6.6665340558727103E-4</v>
      </c>
      <c r="D12651" s="1">
        <v>3.6024828622892601E-3</v>
      </c>
      <c r="E12651" s="1">
        <v>1.3524113494360401E-5</v>
      </c>
      <c r="F12651" s="1">
        <v>8.39575177870136E-4</v>
      </c>
    </row>
    <row r="12652" spans="1:6" x14ac:dyDescent="0.25">
      <c r="A12652" s="2" t="str">
        <f t="shared" si="459"/>
        <v>42660</v>
      </c>
      <c r="B12652" s="2" t="str">
        <f>"98059"</f>
        <v>98059</v>
      </c>
      <c r="C12652" s="1">
        <v>9.1961796724702796E-3</v>
      </c>
      <c r="D12652" s="1">
        <v>2.1835192888335899E-3</v>
      </c>
      <c r="E12652" s="1">
        <v>4.8822049714641203E-3</v>
      </c>
      <c r="F12652" s="1">
        <v>8.36180015394636E-3</v>
      </c>
    </row>
    <row r="12653" spans="1:6" x14ac:dyDescent="0.25">
      <c r="A12653" s="2" t="str">
        <f t="shared" si="459"/>
        <v>42660</v>
      </c>
      <c r="B12653" s="2" t="str">
        <f>"98108"</f>
        <v>98108</v>
      </c>
      <c r="C12653" s="1">
        <v>5.2201291818577003E-3</v>
      </c>
      <c r="D12653" s="1">
        <v>1.6872060024102901E-2</v>
      </c>
      <c r="E12653" s="1">
        <v>5.9032755402883301E-3</v>
      </c>
      <c r="F12653" s="1">
        <v>6.1413638949691903E-3</v>
      </c>
    </row>
    <row r="12654" spans="1:6" x14ac:dyDescent="0.25">
      <c r="A12654" s="2" t="str">
        <f t="shared" si="459"/>
        <v>42660</v>
      </c>
      <c r="B12654" s="2" t="str">
        <f>"98107"</f>
        <v>98107</v>
      </c>
      <c r="C12654" s="1">
        <v>9.0199967605077407E-3</v>
      </c>
      <c r="D12654" s="1">
        <v>1.28419443040599E-2</v>
      </c>
      <c r="E12654" s="1">
        <v>1.0149847177517501E-2</v>
      </c>
      <c r="F12654" s="1">
        <v>9.3871392215474393E-3</v>
      </c>
    </row>
    <row r="12655" spans="1:6" x14ac:dyDescent="0.25">
      <c r="A12655" s="2" t="str">
        <f t="shared" si="459"/>
        <v>42660</v>
      </c>
      <c r="B12655" s="2" t="str">
        <f>"98015"</f>
        <v>98015</v>
      </c>
      <c r="C12655" s="1">
        <v>1.1605338910564401E-3</v>
      </c>
      <c r="D12655" s="1">
        <v>3.4793764335419599E-3</v>
      </c>
      <c r="E12655" s="1">
        <v>6.7620567471802197E-6</v>
      </c>
      <c r="F12655" s="1">
        <v>1.25135988382724E-3</v>
      </c>
    </row>
    <row r="12656" spans="1:6" x14ac:dyDescent="0.25">
      <c r="A12656" s="2" t="str">
        <f t="shared" si="459"/>
        <v>42660</v>
      </c>
      <c r="B12656" s="2" t="str">
        <f>"98020"</f>
        <v>98020</v>
      </c>
      <c r="C12656" s="1">
        <v>5.96862239171144E-3</v>
      </c>
      <c r="D12656" s="1">
        <v>8.8960592984229404E-3</v>
      </c>
      <c r="E12656" s="1">
        <v>8.1212301533634401E-3</v>
      </c>
      <c r="F12656" s="1">
        <v>6.3421635042344897E-3</v>
      </c>
    </row>
    <row r="12657" spans="1:6" x14ac:dyDescent="0.25">
      <c r="A12657" s="2" t="str">
        <f t="shared" si="459"/>
        <v>42660</v>
      </c>
      <c r="B12657" s="2" t="str">
        <f>"98030"</f>
        <v>98030</v>
      </c>
      <c r="C12657" s="1">
        <v>8.6153443949679807E-3</v>
      </c>
      <c r="D12657" s="1">
        <v>4.2180150060257297E-3</v>
      </c>
      <c r="E12657" s="1">
        <v>7.3165454004490002E-3</v>
      </c>
      <c r="F12657" s="1">
        <v>8.1930120765929208E-3</v>
      </c>
    </row>
    <row r="12658" spans="1:6" x14ac:dyDescent="0.25">
      <c r="A12658" s="2" t="str">
        <f t="shared" si="459"/>
        <v>42660</v>
      </c>
      <c r="B12658" s="2" t="str">
        <f>"98022"</f>
        <v>98022</v>
      </c>
      <c r="C12658" s="1">
        <v>5.7986911314637096E-3</v>
      </c>
      <c r="D12658" s="1">
        <v>6.1229250087470304E-3</v>
      </c>
      <c r="E12658" s="1">
        <v>2.19766844283357E-3</v>
      </c>
      <c r="F12658" s="1">
        <v>5.5646712973449301E-3</v>
      </c>
    </row>
    <row r="12659" spans="1:6" x14ac:dyDescent="0.25">
      <c r="A12659" s="2" t="str">
        <f t="shared" si="459"/>
        <v>42660</v>
      </c>
      <c r="B12659" s="2" t="str">
        <f>"98004"</f>
        <v>98004</v>
      </c>
      <c r="C12659" s="1">
        <v>1.1978164685556099E-2</v>
      </c>
      <c r="D12659" s="1">
        <v>2.1323329316176101E-2</v>
      </c>
      <c r="E12659" s="1">
        <v>1.1698358172621701E-2</v>
      </c>
      <c r="F12659" s="1">
        <v>1.26576507318757E-2</v>
      </c>
    </row>
    <row r="12660" spans="1:6" x14ac:dyDescent="0.25">
      <c r="A12660" s="2" t="str">
        <f t="shared" si="459"/>
        <v>42660</v>
      </c>
      <c r="B12660" s="2" t="str">
        <f>"98498"</f>
        <v>98498</v>
      </c>
      <c r="C12660" s="1">
        <v>7.1973561196566104E-3</v>
      </c>
      <c r="D12660" s="1">
        <v>2.0280164314685901E-3</v>
      </c>
      <c r="E12660" s="1">
        <v>7.5870276703362003E-3</v>
      </c>
      <c r="F12660" s="1">
        <v>6.8383422488683104E-3</v>
      </c>
    </row>
    <row r="12661" spans="1:6" x14ac:dyDescent="0.25">
      <c r="A12661" s="2" t="str">
        <f t="shared" si="459"/>
        <v>42660</v>
      </c>
      <c r="B12661" s="2" t="str">
        <f>"98385"</f>
        <v>98385</v>
      </c>
      <c r="C12661" s="1">
        <v>3.1428758166220002E-4</v>
      </c>
      <c r="D12661" s="1">
        <v>3.1100571473000797E-4</v>
      </c>
      <c r="E12661" s="1">
        <v>2.02861702415406E-5</v>
      </c>
      <c r="F12661" s="1">
        <v>2.9295401931459398E-4</v>
      </c>
    </row>
    <row r="12662" spans="1:6" x14ac:dyDescent="0.25">
      <c r="A12662" s="2" t="str">
        <f t="shared" si="459"/>
        <v>42660</v>
      </c>
      <c r="B12662" s="2" t="str">
        <f>"98372"</f>
        <v>98372</v>
      </c>
      <c r="C12662" s="1">
        <v>6.2732483298144097E-3</v>
      </c>
      <c r="D12662" s="1">
        <v>5.5981028651401398E-3</v>
      </c>
      <c r="E12662" s="1">
        <v>6.8702496551351E-3</v>
      </c>
      <c r="F12662" s="1">
        <v>6.2655298369303399E-3</v>
      </c>
    </row>
    <row r="12663" spans="1:6" x14ac:dyDescent="0.25">
      <c r="A12663" s="2" t="str">
        <f t="shared" si="459"/>
        <v>42660</v>
      </c>
      <c r="B12663" s="2" t="str">
        <f>"98448"</f>
        <v>98448</v>
      </c>
      <c r="C12663" s="1">
        <v>5.6037532643567699E-4</v>
      </c>
      <c r="D12663" s="1">
        <v>1.8401171454858799E-3</v>
      </c>
      <c r="E12663" s="1">
        <v>6.7620567471802197E-6</v>
      </c>
      <c r="F12663" s="1">
        <v>6.1646450090869001E-4</v>
      </c>
    </row>
    <row r="12664" spans="1:6" x14ac:dyDescent="0.25">
      <c r="A12664" s="2" t="str">
        <f t="shared" si="459"/>
        <v>42660</v>
      </c>
      <c r="B12664" s="2" t="str">
        <f>"98408"</f>
        <v>98408</v>
      </c>
      <c r="C12664" s="1">
        <v>4.5517707803482098E-3</v>
      </c>
      <c r="D12664" s="1">
        <v>2.7148207181640202E-3</v>
      </c>
      <c r="E12664" s="1">
        <v>2.3329095777771701E-3</v>
      </c>
      <c r="F12664" s="1">
        <v>4.2551086282234E-3</v>
      </c>
    </row>
    <row r="12665" spans="1:6" x14ac:dyDescent="0.25">
      <c r="A12665" s="2" t="str">
        <f t="shared" si="459"/>
        <v>42660</v>
      </c>
      <c r="B12665" s="2" t="str">
        <f>"98407"</f>
        <v>98407</v>
      </c>
      <c r="C12665" s="1">
        <v>5.91917750996712E-3</v>
      </c>
      <c r="D12665" s="1">
        <v>2.4102942891575602E-3</v>
      </c>
      <c r="E12665" s="1">
        <v>5.0647805036379799E-3</v>
      </c>
      <c r="F12665" s="1">
        <v>5.5952277596244297E-3</v>
      </c>
    </row>
    <row r="12666" spans="1:6" x14ac:dyDescent="0.25">
      <c r="A12666" s="2" t="str">
        <f t="shared" si="459"/>
        <v>42660</v>
      </c>
      <c r="B12666" s="2" t="str">
        <f>"98406"</f>
        <v>98406</v>
      </c>
      <c r="C12666" s="1">
        <v>5.8788259398079596E-3</v>
      </c>
      <c r="D12666" s="1">
        <v>3.8486957197838502E-3</v>
      </c>
      <c r="E12666" s="1">
        <v>1.1671309945633E-2</v>
      </c>
      <c r="F12666" s="1">
        <v>6.1423339413907603E-3</v>
      </c>
    </row>
    <row r="12667" spans="1:6" x14ac:dyDescent="0.25">
      <c r="A12667" s="2" t="str">
        <f t="shared" si="459"/>
        <v>42660</v>
      </c>
      <c r="B12667" s="2" t="str">
        <f>"98419"</f>
        <v>98419</v>
      </c>
      <c r="C12667" s="1">
        <v>4.6830554663589998E-4</v>
      </c>
      <c r="D12667" s="1">
        <v>8.5526571550752196E-4</v>
      </c>
      <c r="E12667" s="1">
        <v>6.7620567471802197E-6</v>
      </c>
      <c r="F12667" s="1">
        <v>4.6416721272196399E-4</v>
      </c>
    </row>
    <row r="12668" spans="1:6" x14ac:dyDescent="0.25">
      <c r="A12668" s="2" t="str">
        <f t="shared" si="459"/>
        <v>42660</v>
      </c>
      <c r="B12668" s="2" t="str">
        <f>"98418"</f>
        <v>98418</v>
      </c>
      <c r="C12668" s="1">
        <v>2.4864523865680398E-3</v>
      </c>
      <c r="D12668" s="1">
        <v>1.82715857403879E-3</v>
      </c>
      <c r="E12668" s="1">
        <v>2.1570961023504899E-3</v>
      </c>
      <c r="F12668" s="1">
        <v>2.4134754968698998E-3</v>
      </c>
    </row>
    <row r="12669" spans="1:6" x14ac:dyDescent="0.25">
      <c r="A12669" s="2" t="str">
        <f t="shared" si="459"/>
        <v>42660</v>
      </c>
      <c r="B12669" s="2" t="str">
        <f>"98390"</f>
        <v>98390</v>
      </c>
      <c r="C12669" s="1">
        <v>3.6072030394393899E-3</v>
      </c>
      <c r="D12669" s="1">
        <v>8.7470357267814703E-3</v>
      </c>
      <c r="E12669" s="1">
        <v>4.3682886586784197E-3</v>
      </c>
      <c r="F12669" s="1">
        <v>4.04654864758553E-3</v>
      </c>
    </row>
    <row r="12670" spans="1:6" x14ac:dyDescent="0.25">
      <c r="A12670" s="2" t="str">
        <f t="shared" si="459"/>
        <v>42660</v>
      </c>
      <c r="B12670" s="2" t="str">
        <f>"98359"</f>
        <v>98359</v>
      </c>
      <c r="C12670" s="1">
        <v>2.84165987036347E-6</v>
      </c>
      <c r="D12670" s="1">
        <v>0</v>
      </c>
      <c r="E12670" s="1">
        <v>0</v>
      </c>
      <c r="F12670" s="1">
        <v>2.4251160539287602E-6</v>
      </c>
    </row>
    <row r="12671" spans="1:6" x14ac:dyDescent="0.25">
      <c r="A12671" s="2" t="str">
        <f t="shared" si="459"/>
        <v>42660</v>
      </c>
      <c r="B12671" s="2" t="str">
        <f>"98304"</f>
        <v>98304</v>
      </c>
      <c r="C12671" s="1">
        <v>1.09119739021957E-4</v>
      </c>
      <c r="D12671" s="1">
        <v>6.4792857235418296E-5</v>
      </c>
      <c r="E12671" s="1">
        <v>6.0858510724622003E-5</v>
      </c>
      <c r="F12671" s="1">
        <v>1.0233989747579299E-4</v>
      </c>
    </row>
    <row r="12672" spans="1:6" x14ac:dyDescent="0.25">
      <c r="A12672" s="2" t="str">
        <f t="shared" si="459"/>
        <v>42660</v>
      </c>
      <c r="B12672" s="2" t="str">
        <f>"98323"</f>
        <v>98323</v>
      </c>
      <c r="C12672" s="1">
        <v>1.1366639481453901E-5</v>
      </c>
      <c r="D12672" s="1">
        <v>6.47928572354183E-6</v>
      </c>
      <c r="E12672" s="1">
        <v>1.78518298125557E-3</v>
      </c>
      <c r="F12672" s="1">
        <v>1.3823161507393899E-4</v>
      </c>
    </row>
    <row r="12673" spans="1:6" x14ac:dyDescent="0.25">
      <c r="A12673" s="2" t="str">
        <f t="shared" si="459"/>
        <v>42660</v>
      </c>
      <c r="B12673" s="2" t="str">
        <f>"98328"</f>
        <v>98328</v>
      </c>
      <c r="C12673" s="1">
        <v>2.9354346460854701E-3</v>
      </c>
      <c r="D12673" s="1">
        <v>1.2375435731964901E-3</v>
      </c>
      <c r="E12673" s="1">
        <v>1.7919450380027499E-3</v>
      </c>
      <c r="F12673" s="1">
        <v>2.7263154678267101E-3</v>
      </c>
    </row>
    <row r="12674" spans="1:6" x14ac:dyDescent="0.25">
      <c r="A12674" s="2" t="str">
        <f t="shared" si="459"/>
        <v>42660</v>
      </c>
      <c r="B12674" s="2" t="str">
        <f>"98241"</f>
        <v>98241</v>
      </c>
      <c r="C12674" s="1">
        <v>2.4608774477347703E-4</v>
      </c>
      <c r="D12674" s="1">
        <v>3.2396428617709101E-5</v>
      </c>
      <c r="E12674" s="1">
        <v>3.4959833382921701E-3</v>
      </c>
      <c r="F12674" s="1">
        <v>4.6319716630039299E-4</v>
      </c>
    </row>
    <row r="12675" spans="1:6" x14ac:dyDescent="0.25">
      <c r="A12675" s="2" t="str">
        <f t="shared" si="459"/>
        <v>42660</v>
      </c>
      <c r="B12675" s="2" t="str">
        <f>"98139"</f>
        <v>98139</v>
      </c>
      <c r="C12675" s="1">
        <v>2.5802271622900298E-4</v>
      </c>
      <c r="D12675" s="1">
        <v>1.1014785730021101E-3</v>
      </c>
      <c r="E12675" s="1">
        <v>6.7620567471802197E-6</v>
      </c>
      <c r="F12675" s="1">
        <v>3.0313950674109501E-4</v>
      </c>
    </row>
    <row r="12676" spans="1:6" x14ac:dyDescent="0.25">
      <c r="A12676" s="2" t="str">
        <f t="shared" si="459"/>
        <v>42660</v>
      </c>
      <c r="B12676" s="2" t="str">
        <f>"98155"</f>
        <v>98155</v>
      </c>
      <c r="C12676" s="1">
        <v>8.8063039382564098E-3</v>
      </c>
      <c r="D12676" s="1">
        <v>6.4922442949889199E-3</v>
      </c>
      <c r="E12676" s="1">
        <v>4.990397879419E-3</v>
      </c>
      <c r="F12676" s="1">
        <v>8.3593750378924293E-3</v>
      </c>
    </row>
    <row r="12677" spans="1:6" x14ac:dyDescent="0.25">
      <c r="A12677" s="2" t="str">
        <f t="shared" si="459"/>
        <v>42660</v>
      </c>
      <c r="B12677" s="2" t="str">
        <f>"98208"</f>
        <v>98208</v>
      </c>
      <c r="C12677" s="1">
        <v>1.2690284649069201E-2</v>
      </c>
      <c r="D12677" s="1">
        <v>7.5807642965439398E-3</v>
      </c>
      <c r="E12677" s="1">
        <v>5.2946904330421103E-3</v>
      </c>
      <c r="F12677" s="1">
        <v>1.1777333604299599E-2</v>
      </c>
    </row>
    <row r="12678" spans="1:6" x14ac:dyDescent="0.25">
      <c r="A12678" s="2" t="str">
        <f t="shared" si="459"/>
        <v>42660</v>
      </c>
      <c r="B12678" s="2" t="str">
        <f>"98121"</f>
        <v>98121</v>
      </c>
      <c r="C12678" s="1">
        <v>8.9427036120338609E-3</v>
      </c>
      <c r="D12678" s="1">
        <v>1.0969430729956301E-2</v>
      </c>
      <c r="E12678" s="1">
        <v>1.7371723783505901E-2</v>
      </c>
      <c r="F12678" s="1">
        <v>9.6990091460826804E-3</v>
      </c>
    </row>
    <row r="12679" spans="1:6" x14ac:dyDescent="0.25">
      <c r="A12679" s="2" t="str">
        <f t="shared" si="459"/>
        <v>42660</v>
      </c>
      <c r="B12679" s="2" t="str">
        <f>"98185"</f>
        <v>98185</v>
      </c>
      <c r="C12679" s="1">
        <v>0</v>
      </c>
      <c r="D12679" s="1">
        <v>1.2958571447083601E-5</v>
      </c>
      <c r="E12679" s="1">
        <v>2.2314787265694701E-4</v>
      </c>
      <c r="F12679" s="1">
        <v>1.6975812377501301E-5</v>
      </c>
    </row>
    <row r="12680" spans="1:6" x14ac:dyDescent="0.25">
      <c r="A12680" s="2" t="str">
        <f t="shared" si="459"/>
        <v>42660</v>
      </c>
      <c r="B12680" s="2" t="str">
        <f>"98063"</f>
        <v>98063</v>
      </c>
      <c r="C12680" s="1">
        <v>6.0754688028371098E-4</v>
      </c>
      <c r="D12680" s="1">
        <v>2.0928092887040101E-3</v>
      </c>
      <c r="E12680" s="1">
        <v>6.7620567471802197E-6</v>
      </c>
      <c r="F12680" s="1">
        <v>6.7563733262455202E-4</v>
      </c>
    </row>
    <row r="12681" spans="1:6" x14ac:dyDescent="0.25">
      <c r="A12681" s="2" t="str">
        <f t="shared" si="459"/>
        <v>42660</v>
      </c>
      <c r="B12681" s="2" t="str">
        <f>"98058"</f>
        <v>98058</v>
      </c>
      <c r="C12681" s="1">
        <v>1.0000369415783099E-2</v>
      </c>
      <c r="D12681" s="1">
        <v>3.5376900050538402E-3</v>
      </c>
      <c r="E12681" s="1">
        <v>7.7763652592572497E-3</v>
      </c>
      <c r="F12681" s="1">
        <v>9.3570677824787295E-3</v>
      </c>
    </row>
    <row r="12682" spans="1:6" x14ac:dyDescent="0.25">
      <c r="A12682" s="2" t="str">
        <f t="shared" si="459"/>
        <v>42660</v>
      </c>
      <c r="B12682" s="2" t="str">
        <f>"98057"</f>
        <v>98057</v>
      </c>
      <c r="C12682" s="1">
        <v>4.45515434475585E-3</v>
      </c>
      <c r="D12682" s="1">
        <v>1.6088066451554299E-2</v>
      </c>
      <c r="E12682" s="1">
        <v>5.4434556814800701E-3</v>
      </c>
      <c r="F12682" s="1">
        <v>5.3968532664130601E-3</v>
      </c>
    </row>
    <row r="12683" spans="1:6" x14ac:dyDescent="0.25">
      <c r="A12683" s="2" t="str">
        <f t="shared" si="459"/>
        <v>42660</v>
      </c>
      <c r="B12683" s="2" t="str">
        <f>"98105"</f>
        <v>98105</v>
      </c>
      <c r="C12683" s="1">
        <v>1.14115377074056E-2</v>
      </c>
      <c r="D12683" s="1">
        <v>1.07037800152911E-2</v>
      </c>
      <c r="E12683" s="1">
        <v>1.5566254632008799E-2</v>
      </c>
      <c r="F12683" s="1">
        <v>1.16565628248139E-2</v>
      </c>
    </row>
    <row r="12684" spans="1:6" x14ac:dyDescent="0.25">
      <c r="A12684" s="2" t="str">
        <f t="shared" si="459"/>
        <v>42660</v>
      </c>
      <c r="B12684" s="2" t="str">
        <f>"98102"</f>
        <v>98102</v>
      </c>
      <c r="C12684" s="1">
        <v>1.02618021238565E-2</v>
      </c>
      <c r="D12684" s="1">
        <v>6.1618007230882796E-3</v>
      </c>
      <c r="E12684" s="1">
        <v>1.7155337967596201E-2</v>
      </c>
      <c r="F12684" s="1">
        <v>1.04493400531682E-2</v>
      </c>
    </row>
    <row r="12685" spans="1:6" x14ac:dyDescent="0.25">
      <c r="A12685" s="2" t="str">
        <f t="shared" si="459"/>
        <v>42660</v>
      </c>
      <c r="B12685" s="2" t="str">
        <f>"98006"</f>
        <v>98006</v>
      </c>
      <c r="C12685" s="1">
        <v>8.54941788597555E-3</v>
      </c>
      <c r="D12685" s="1">
        <v>3.7320685767600901E-3</v>
      </c>
      <c r="E12685" s="1">
        <v>5.3420248302723699E-3</v>
      </c>
      <c r="F12685" s="1">
        <v>7.9587458657833995E-3</v>
      </c>
    </row>
    <row r="12686" spans="1:6" x14ac:dyDescent="0.25">
      <c r="A12686" s="2" t="str">
        <f t="shared" si="459"/>
        <v>42660</v>
      </c>
      <c r="B12686" s="2" t="str">
        <f>"98003"</f>
        <v>98003</v>
      </c>
      <c r="C12686" s="1">
        <v>1.13404962106465E-2</v>
      </c>
      <c r="D12686" s="1">
        <v>1.61463800230662E-2</v>
      </c>
      <c r="E12686" s="1">
        <v>1.7750398961347998E-2</v>
      </c>
      <c r="F12686" s="1">
        <v>1.21600169176095E-2</v>
      </c>
    </row>
    <row r="12687" spans="1:6" x14ac:dyDescent="0.25">
      <c r="A12687" s="2" t="str">
        <f t="shared" si="459"/>
        <v>42660</v>
      </c>
      <c r="B12687" s="2" t="str">
        <f>"98373"</f>
        <v>98373</v>
      </c>
      <c r="C12687" s="1">
        <v>7.2979508790674804E-3</v>
      </c>
      <c r="D12687" s="1">
        <v>9.9521828713602604E-3</v>
      </c>
      <c r="E12687" s="1">
        <v>1.5600064915744701E-2</v>
      </c>
      <c r="F12687" s="1">
        <v>8.0921272487494804E-3</v>
      </c>
    </row>
    <row r="12688" spans="1:6" x14ac:dyDescent="0.25">
      <c r="A12688" s="2" t="str">
        <f t="shared" si="459"/>
        <v>42660</v>
      </c>
      <c r="B12688" s="2" t="str">
        <f>"98424"</f>
        <v>98424</v>
      </c>
      <c r="C12688" s="1">
        <v>2.6262620521899198E-3</v>
      </c>
      <c r="D12688" s="1">
        <v>6.9328357241897603E-3</v>
      </c>
      <c r="E12688" s="1">
        <v>8.9529631332666108E-3</v>
      </c>
      <c r="F12688" s="1">
        <v>3.4024378236620499E-3</v>
      </c>
    </row>
    <row r="12689" spans="1:6" x14ac:dyDescent="0.25">
      <c r="A12689" s="2" t="str">
        <f t="shared" si="459"/>
        <v>42660</v>
      </c>
      <c r="B12689" s="2" t="str">
        <f>"98409"</f>
        <v>98409</v>
      </c>
      <c r="C12689" s="1">
        <v>6.6011758788543503E-3</v>
      </c>
      <c r="D12689" s="1">
        <v>1.41896357345566E-2</v>
      </c>
      <c r="E12689" s="1">
        <v>1.78788780395445E-2</v>
      </c>
      <c r="F12689" s="1">
        <v>7.9781467942148295E-3</v>
      </c>
    </row>
    <row r="12690" spans="1:6" x14ac:dyDescent="0.25">
      <c r="A12690" s="2" t="str">
        <f t="shared" si="459"/>
        <v>42660</v>
      </c>
      <c r="B12690" s="2" t="str">
        <f>"98394"</f>
        <v>98394</v>
      </c>
      <c r="C12690" s="1">
        <v>2.8246099111412898E-4</v>
      </c>
      <c r="D12690" s="1">
        <v>3.2396428617709101E-5</v>
      </c>
      <c r="E12690" s="1">
        <v>2.7048226988720801E-5</v>
      </c>
      <c r="F12690" s="1">
        <v>2.4542174465758999E-4</v>
      </c>
    </row>
    <row r="12691" spans="1:6" x14ac:dyDescent="0.25">
      <c r="A12691" s="2" t="str">
        <f t="shared" si="459"/>
        <v>42660</v>
      </c>
      <c r="B12691" s="2" t="str">
        <f>"98354"</f>
        <v>98354</v>
      </c>
      <c r="C12691" s="1">
        <v>3.0138644585075E-3</v>
      </c>
      <c r="D12691" s="1">
        <v>3.7709442911013401E-3</v>
      </c>
      <c r="E12691" s="1">
        <v>2.7859673798382501E-3</v>
      </c>
      <c r="F12691" s="1">
        <v>3.05419115831788E-3</v>
      </c>
    </row>
    <row r="12692" spans="1:6" x14ac:dyDescent="0.25">
      <c r="A12692" s="2" t="str">
        <f t="shared" si="459"/>
        <v>42660</v>
      </c>
      <c r="B12692" s="2" t="str">
        <f>"98333"</f>
        <v>98333</v>
      </c>
      <c r="C12692" s="1">
        <v>1.28499859337836E-3</v>
      </c>
      <c r="D12692" s="1">
        <v>3.62840000518342E-4</v>
      </c>
      <c r="E12692" s="1">
        <v>1.69051418679505E-4</v>
      </c>
      <c r="F12692" s="1">
        <v>1.1359243596602299E-3</v>
      </c>
    </row>
    <row r="12693" spans="1:6" x14ac:dyDescent="0.25">
      <c r="A12693" s="2" t="str">
        <f t="shared" si="459"/>
        <v>42660</v>
      </c>
      <c r="B12693" s="2" t="str">
        <f>"98349"</f>
        <v>98349</v>
      </c>
      <c r="C12693" s="1">
        <v>1.2759052817932E-3</v>
      </c>
      <c r="D12693" s="1">
        <v>3.4340214334771697E-4</v>
      </c>
      <c r="E12693" s="1">
        <v>1.6228936193232499E-4</v>
      </c>
      <c r="F12693" s="1">
        <v>1.12622389544451E-3</v>
      </c>
    </row>
    <row r="12694" spans="1:6" x14ac:dyDescent="0.25">
      <c r="A12694" s="2" t="str">
        <f t="shared" si="459"/>
        <v>42660</v>
      </c>
      <c r="B12694" s="2" t="str">
        <f>"98303"</f>
        <v>98303</v>
      </c>
      <c r="C12694" s="1">
        <v>6.1209353607629205E-4</v>
      </c>
      <c r="D12694" s="1">
        <v>1.6846142881208701E-4</v>
      </c>
      <c r="E12694" s="1">
        <v>3.3810283735901097E-5</v>
      </c>
      <c r="F12694" s="1">
        <v>5.3740571755061303E-4</v>
      </c>
    </row>
    <row r="12695" spans="1:6" x14ac:dyDescent="0.25">
      <c r="A12695" s="2" t="str">
        <f t="shared" si="459"/>
        <v>42660</v>
      </c>
      <c r="B12695" s="2" t="str">
        <f>"98330"</f>
        <v>98330</v>
      </c>
      <c r="C12695" s="1">
        <v>2.3301610936980499E-5</v>
      </c>
      <c r="D12695" s="1">
        <v>0</v>
      </c>
      <c r="E12695" s="1">
        <v>6.7620567471802197E-6</v>
      </c>
      <c r="F12695" s="1">
        <v>2.0370974853001501E-5</v>
      </c>
    </row>
    <row r="12696" spans="1:6" x14ac:dyDescent="0.25">
      <c r="A12696" s="2" t="str">
        <f t="shared" si="459"/>
        <v>42660</v>
      </c>
      <c r="B12696" s="2" t="str">
        <f>"98329"</f>
        <v>98329</v>
      </c>
      <c r="C12696" s="1">
        <v>2.4733807511643701E-3</v>
      </c>
      <c r="D12696" s="1">
        <v>4.6002928637146998E-4</v>
      </c>
      <c r="E12696" s="1">
        <v>1.4200319169078399E-4</v>
      </c>
      <c r="F12696" s="1">
        <v>2.1554431487318801E-3</v>
      </c>
    </row>
    <row r="12697" spans="1:6" x14ac:dyDescent="0.25">
      <c r="A12697" s="2" t="str">
        <f t="shared" si="459"/>
        <v>42660</v>
      </c>
      <c r="B12697" s="2" t="str">
        <f>"98321"</f>
        <v>98321</v>
      </c>
      <c r="C12697" s="1">
        <v>4.05334363908646E-3</v>
      </c>
      <c r="D12697" s="1">
        <v>2.5139628607342302E-3</v>
      </c>
      <c r="E12697" s="1">
        <v>5.7139379513672798E-3</v>
      </c>
      <c r="F12697" s="1">
        <v>4.0572191582228098E-3</v>
      </c>
    </row>
    <row r="12698" spans="1:6" x14ac:dyDescent="0.25">
      <c r="A12698" s="2" t="str">
        <f t="shared" si="459"/>
        <v>42660</v>
      </c>
      <c r="B12698" s="2" t="str">
        <f>"98288"</f>
        <v>98288</v>
      </c>
      <c r="C12698" s="1">
        <v>0</v>
      </c>
      <c r="D12698" s="1">
        <v>6.47928572354183E-6</v>
      </c>
      <c r="E12698" s="1">
        <v>5.0715425603851602E-4</v>
      </c>
      <c r="F12698" s="1">
        <v>3.6861764019717099E-5</v>
      </c>
    </row>
    <row r="12699" spans="1:6" x14ac:dyDescent="0.25">
      <c r="A12699" s="2" t="str">
        <f t="shared" si="459"/>
        <v>42660</v>
      </c>
      <c r="B12699" s="2" t="str">
        <f>"98292"</f>
        <v>98292</v>
      </c>
      <c r="C12699" s="1">
        <v>6.090245434163E-3</v>
      </c>
      <c r="D12699" s="1">
        <v>5.1121564358745002E-3</v>
      </c>
      <c r="E12699" s="1">
        <v>2.1706202158448501E-3</v>
      </c>
      <c r="F12699" s="1">
        <v>5.7358844907523E-3</v>
      </c>
    </row>
    <row r="12700" spans="1:6" x14ac:dyDescent="0.25">
      <c r="A12700" s="2" t="str">
        <f t="shared" si="459"/>
        <v>42660</v>
      </c>
      <c r="B12700" s="2" t="str">
        <f>"98154"</f>
        <v>98154</v>
      </c>
      <c r="C12700" s="1">
        <v>0</v>
      </c>
      <c r="D12700" s="1">
        <v>4.0819500058313503E-4</v>
      </c>
      <c r="E12700" s="1">
        <v>6.1534716399340005E-4</v>
      </c>
      <c r="F12700" s="1">
        <v>7.4693574461005794E-5</v>
      </c>
    </row>
    <row r="12701" spans="1:6" x14ac:dyDescent="0.25">
      <c r="A12701" s="2" t="str">
        <f t="shared" si="459"/>
        <v>42660</v>
      </c>
      <c r="B12701" s="2" t="str">
        <f>"98133"</f>
        <v>98133</v>
      </c>
      <c r="C12701" s="1">
        <v>1.4695928185571701E-2</v>
      </c>
      <c r="D12701" s="1">
        <v>1.07815314439736E-2</v>
      </c>
      <c r="E12701" s="1">
        <v>1.3348300018933701E-2</v>
      </c>
      <c r="F12701" s="1">
        <v>1.4306244625336501E-2</v>
      </c>
    </row>
    <row r="12702" spans="1:6" x14ac:dyDescent="0.25">
      <c r="A12702" s="2" t="str">
        <f t="shared" si="459"/>
        <v>42660</v>
      </c>
      <c r="B12702" s="2" t="str">
        <f>"98223"</f>
        <v>98223</v>
      </c>
      <c r="C12702" s="1">
        <v>1.0275442091234301E-2</v>
      </c>
      <c r="D12702" s="1">
        <v>1.06325078723321E-2</v>
      </c>
      <c r="E12702" s="1">
        <v>4.6658191555543497E-3</v>
      </c>
      <c r="F12702" s="1">
        <v>9.8998087553479799E-3</v>
      </c>
    </row>
    <row r="12703" spans="1:6" x14ac:dyDescent="0.25">
      <c r="A12703" s="2" t="str">
        <f t="shared" si="459"/>
        <v>42660</v>
      </c>
      <c r="B12703" s="2" t="str">
        <f>"98204"</f>
        <v>98204</v>
      </c>
      <c r="C12703" s="1">
        <v>1.0659066173733399E-2</v>
      </c>
      <c r="D12703" s="1">
        <v>9.0904378701291907E-3</v>
      </c>
      <c r="E12703" s="1">
        <v>1.17862649103351E-2</v>
      </c>
      <c r="F12703" s="1">
        <v>1.06224933394187E-2</v>
      </c>
    </row>
    <row r="12704" spans="1:6" x14ac:dyDescent="0.25">
      <c r="A12704" s="2" t="str">
        <f t="shared" si="459"/>
        <v>42660</v>
      </c>
      <c r="B12704" s="2" t="str">
        <f>"98181"</f>
        <v>98181</v>
      </c>
      <c r="C12704" s="1">
        <v>0</v>
      </c>
      <c r="D12704" s="1">
        <v>6.47928572354183E-6</v>
      </c>
      <c r="E12704" s="1">
        <v>0</v>
      </c>
      <c r="F12704" s="1">
        <v>4.8502321078575195E-7</v>
      </c>
    </row>
    <row r="12705" spans="1:6" x14ac:dyDescent="0.25">
      <c r="A12705" s="2" t="str">
        <f t="shared" si="459"/>
        <v>42660</v>
      </c>
      <c r="B12705" s="2" t="str">
        <f>"98175"</f>
        <v>98175</v>
      </c>
      <c r="C12705" s="1">
        <v>1.6538460445515401E-4</v>
      </c>
      <c r="D12705" s="1">
        <v>1.1338750016198201E-3</v>
      </c>
      <c r="E12705" s="1">
        <v>6.7620567471802197E-6</v>
      </c>
      <c r="F12705" s="1">
        <v>2.2650583943694601E-4</v>
      </c>
    </row>
    <row r="12706" spans="1:6" x14ac:dyDescent="0.25">
      <c r="A12706" s="2" t="str">
        <f t="shared" si="459"/>
        <v>42660</v>
      </c>
      <c r="B12706" s="2" t="str">
        <f>"98065"</f>
        <v>98065</v>
      </c>
      <c r="C12706" s="1">
        <v>3.7794076275834199E-3</v>
      </c>
      <c r="D12706" s="1">
        <v>2.59819357514027E-3</v>
      </c>
      <c r="E12706" s="1">
        <v>4.9227773119472004E-3</v>
      </c>
      <c r="F12706" s="1">
        <v>3.7729955567023599E-3</v>
      </c>
    </row>
    <row r="12707" spans="1:6" x14ac:dyDescent="0.25">
      <c r="A12707" s="2" t="str">
        <f t="shared" si="459"/>
        <v>42660</v>
      </c>
      <c r="B12707" s="2" t="str">
        <f>"98112"</f>
        <v>98112</v>
      </c>
      <c r="C12707" s="1">
        <v>6.5210410705101004E-3</v>
      </c>
      <c r="D12707" s="1">
        <v>3.86165429123093E-3</v>
      </c>
      <c r="E12707" s="1">
        <v>9.5885964675015492E-3</v>
      </c>
      <c r="F12707" s="1">
        <v>6.54199306707822E-3</v>
      </c>
    </row>
    <row r="12708" spans="1:6" x14ac:dyDescent="0.25">
      <c r="A12708" s="2" t="str">
        <f t="shared" si="459"/>
        <v>42660</v>
      </c>
      <c r="B12708" s="2" t="str">
        <f>"98106"</f>
        <v>98106</v>
      </c>
      <c r="C12708" s="1">
        <v>6.3590664578993799E-3</v>
      </c>
      <c r="D12708" s="1">
        <v>3.6478378623540498E-3</v>
      </c>
      <c r="E12708" s="1">
        <v>7.4720727056341403E-3</v>
      </c>
      <c r="F12708" s="1">
        <v>6.2359434210724103E-3</v>
      </c>
    </row>
    <row r="12709" spans="1:6" x14ac:dyDescent="0.25">
      <c r="A12709" s="2" t="str">
        <f t="shared" si="459"/>
        <v>42660</v>
      </c>
      <c r="B12709" s="2" t="str">
        <f>"98055"</f>
        <v>98055</v>
      </c>
      <c r="C12709" s="1">
        <v>5.8805309357301697E-3</v>
      </c>
      <c r="D12709" s="1">
        <v>2.3778978605398498E-3</v>
      </c>
      <c r="E12709" s="1">
        <v>3.8814205728814402E-3</v>
      </c>
      <c r="F12709" s="1">
        <v>5.4749420033495698E-3</v>
      </c>
    </row>
    <row r="12710" spans="1:6" x14ac:dyDescent="0.25">
      <c r="A12710" s="2" t="str">
        <f t="shared" si="459"/>
        <v>42660</v>
      </c>
      <c r="B12710" s="2" t="str">
        <f>"98056"</f>
        <v>98056</v>
      </c>
      <c r="C12710" s="1">
        <v>9.0944482491112696E-3</v>
      </c>
      <c r="D12710" s="1">
        <v>5.16399072166284E-3</v>
      </c>
      <c r="E12710" s="1">
        <v>7.6343620675664702E-3</v>
      </c>
      <c r="F12710" s="1">
        <v>8.69549612296696E-3</v>
      </c>
    </row>
    <row r="12711" spans="1:6" x14ac:dyDescent="0.25">
      <c r="A12711" s="2" t="str">
        <f t="shared" si="459"/>
        <v>42660</v>
      </c>
      <c r="B12711" s="2" t="str">
        <f>"98089"</f>
        <v>98089</v>
      </c>
      <c r="C12711" s="1">
        <v>6.1209353607629205E-4</v>
      </c>
      <c r="D12711" s="1">
        <v>4.7946714354209501E-4</v>
      </c>
      <c r="E12711" s="1">
        <v>6.7620567471802197E-6</v>
      </c>
      <c r="F12711" s="1">
        <v>5.5874673882518597E-4</v>
      </c>
    </row>
    <row r="12712" spans="1:6" x14ac:dyDescent="0.25">
      <c r="A12712" s="2" t="str">
        <f t="shared" si="459"/>
        <v>42660</v>
      </c>
      <c r="B12712" s="2" t="str">
        <f>"98082"</f>
        <v>98082</v>
      </c>
      <c r="C12712" s="1">
        <v>8.5761294887569698E-4</v>
      </c>
      <c r="D12712" s="1">
        <v>4.5678964350969898E-3</v>
      </c>
      <c r="E12712" s="1">
        <v>6.7620567471802197E-6</v>
      </c>
      <c r="F12712" s="1">
        <v>1.07432641189044E-3</v>
      </c>
    </row>
    <row r="12713" spans="1:6" x14ac:dyDescent="0.25">
      <c r="A12713" s="2" t="str">
        <f t="shared" si="459"/>
        <v>42660</v>
      </c>
      <c r="B12713" s="2" t="str">
        <f>"98046"</f>
        <v>98046</v>
      </c>
      <c r="C12713" s="1">
        <v>9.9969594239387094E-4</v>
      </c>
      <c r="D12713" s="1">
        <v>3.7644650053778E-3</v>
      </c>
      <c r="E12713" s="1">
        <v>6.7620567471802197E-6</v>
      </c>
      <c r="F12713" s="1">
        <v>1.1354393364494399E-3</v>
      </c>
    </row>
    <row r="12714" spans="1:6" x14ac:dyDescent="0.25">
      <c r="A12714" s="2" t="str">
        <f t="shared" si="459"/>
        <v>42660</v>
      </c>
      <c r="B12714" s="2" t="str">
        <f>"98019"</f>
        <v>98019</v>
      </c>
      <c r="C12714" s="1">
        <v>3.0900209430332398E-3</v>
      </c>
      <c r="D12714" s="1">
        <v>2.6500278609286102E-3</v>
      </c>
      <c r="E12714" s="1">
        <v>3.13759433069162E-3</v>
      </c>
      <c r="F12714" s="1">
        <v>3.0604964600580899E-3</v>
      </c>
    </row>
    <row r="12715" spans="1:6" x14ac:dyDescent="0.25">
      <c r="A12715" s="2" t="str">
        <f t="shared" ref="A12715:A12751" si="460">"42660"</f>
        <v>42660</v>
      </c>
      <c r="B12715" s="2" t="str">
        <f>"98464"</f>
        <v>98464</v>
      </c>
      <c r="C12715" s="1">
        <v>7.03594983901996E-4</v>
      </c>
      <c r="D12715" s="1">
        <v>2.70186214671694E-3</v>
      </c>
      <c r="E12715" s="1">
        <v>6.7620567471802197E-6</v>
      </c>
      <c r="F12715" s="1">
        <v>8.0319843706120502E-4</v>
      </c>
    </row>
    <row r="12716" spans="1:6" x14ac:dyDescent="0.25">
      <c r="A12716" s="2" t="str">
        <f t="shared" si="460"/>
        <v>42660</v>
      </c>
      <c r="B12716" s="2" t="str">
        <f>"98465"</f>
        <v>98465</v>
      </c>
      <c r="C12716" s="1">
        <v>1.9908669051766502E-3</v>
      </c>
      <c r="D12716" s="1">
        <v>7.3863857248376895E-4</v>
      </c>
      <c r="E12716" s="1">
        <v>2.6710124151361802E-3</v>
      </c>
      <c r="F12716" s="1">
        <v>1.94591312167243E-3</v>
      </c>
    </row>
    <row r="12717" spans="1:6" x14ac:dyDescent="0.25">
      <c r="A12717" s="2" t="str">
        <f t="shared" si="460"/>
        <v>42660</v>
      </c>
      <c r="B12717" s="2" t="str">
        <f>"98417"</f>
        <v>98417</v>
      </c>
      <c r="C12717" s="1">
        <v>3.42704180365835E-4</v>
      </c>
      <c r="D12717" s="1">
        <v>1.9632235742331702E-3</v>
      </c>
      <c r="E12717" s="1">
        <v>6.7620567471802197E-6</v>
      </c>
      <c r="F12717" s="1">
        <v>4.3991605218267701E-4</v>
      </c>
    </row>
    <row r="12718" spans="1:6" x14ac:dyDescent="0.25">
      <c r="A12718" s="2" t="str">
        <f t="shared" si="460"/>
        <v>42660</v>
      </c>
      <c r="B12718" s="2" t="str">
        <f>"98421"</f>
        <v>98421</v>
      </c>
      <c r="C12718" s="1">
        <v>2.8984930677707402E-5</v>
      </c>
      <c r="D12718" s="1">
        <v>4.8400264354857498E-3</v>
      </c>
      <c r="E12718" s="1">
        <v>9.3992588785804998E-4</v>
      </c>
      <c r="F12718" s="1">
        <v>4.54466748506249E-4</v>
      </c>
    </row>
    <row r="12719" spans="1:6" x14ac:dyDescent="0.25">
      <c r="A12719" s="2" t="str">
        <f t="shared" si="460"/>
        <v>42660</v>
      </c>
      <c r="B12719" s="2" t="str">
        <f>"98398"</f>
        <v>98398</v>
      </c>
      <c r="C12719" s="1">
        <v>0</v>
      </c>
      <c r="D12719" s="1">
        <v>1.2958571447083601E-5</v>
      </c>
      <c r="E12719" s="1">
        <v>0</v>
      </c>
      <c r="F12719" s="1">
        <v>9.700464215715039E-7</v>
      </c>
    </row>
    <row r="12720" spans="1:6" x14ac:dyDescent="0.25">
      <c r="A12720" s="2" t="str">
        <f t="shared" si="460"/>
        <v>42660</v>
      </c>
      <c r="B12720" s="2" t="str">
        <f>"98275"</f>
        <v>98275</v>
      </c>
      <c r="C12720" s="1">
        <v>5.6890030604676801E-3</v>
      </c>
      <c r="D12720" s="1">
        <v>6.6153507237362097E-3</v>
      </c>
      <c r="E12720" s="1">
        <v>4.1857131265045497E-3</v>
      </c>
      <c r="F12720" s="1">
        <v>5.6505204056540104E-3</v>
      </c>
    </row>
    <row r="12721" spans="1:6" x14ac:dyDescent="0.25">
      <c r="A12721" s="2" t="str">
        <f t="shared" si="460"/>
        <v>42660</v>
      </c>
      <c r="B12721" s="2" t="str">
        <f>"98271"</f>
        <v>98271</v>
      </c>
      <c r="C12721" s="1">
        <v>7.0035549164978199E-3</v>
      </c>
      <c r="D12721" s="1">
        <v>5.1834285788334598E-3</v>
      </c>
      <c r="E12721" s="1">
        <v>2.19766844283357E-3</v>
      </c>
      <c r="F12721" s="1">
        <v>6.52259213864679E-3</v>
      </c>
    </row>
    <row r="12722" spans="1:6" x14ac:dyDescent="0.25">
      <c r="A12722" s="2" t="str">
        <f t="shared" si="460"/>
        <v>42660</v>
      </c>
      <c r="B12722" s="2" t="str">
        <f>"98344"</f>
        <v>98344</v>
      </c>
      <c r="C12722" s="1">
        <v>0</v>
      </c>
      <c r="D12722" s="1">
        <v>0</v>
      </c>
      <c r="E12722" s="1">
        <v>6.7620567471802197E-6</v>
      </c>
      <c r="F12722" s="1">
        <v>4.8502321078575195E-7</v>
      </c>
    </row>
    <row r="12723" spans="1:6" x14ac:dyDescent="0.25">
      <c r="A12723" s="2" t="str">
        <f t="shared" si="460"/>
        <v>42660</v>
      </c>
      <c r="B12723" s="2" t="str">
        <f>"98256"</f>
        <v>98256</v>
      </c>
      <c r="C12723" s="1">
        <v>0</v>
      </c>
      <c r="D12723" s="1">
        <v>6.47928572354183E-6</v>
      </c>
      <c r="E12723" s="1">
        <v>4.7334397230261499E-5</v>
      </c>
      <c r="F12723" s="1">
        <v>3.8801856862860097E-6</v>
      </c>
    </row>
    <row r="12724" spans="1:6" x14ac:dyDescent="0.25">
      <c r="A12724" s="2" t="str">
        <f t="shared" si="460"/>
        <v>42660</v>
      </c>
      <c r="B12724" s="2" t="str">
        <f>"98287"</f>
        <v>98287</v>
      </c>
      <c r="C12724" s="1">
        <v>1.5799628879220899E-4</v>
      </c>
      <c r="D12724" s="1">
        <v>5.3778071505397205E-4</v>
      </c>
      <c r="E12724" s="1">
        <v>1.6228936193232499E-4</v>
      </c>
      <c r="F12724" s="1">
        <v>1.86733936152514E-4</v>
      </c>
    </row>
    <row r="12725" spans="1:6" x14ac:dyDescent="0.25">
      <c r="A12725" s="2" t="str">
        <f t="shared" si="460"/>
        <v>42660</v>
      </c>
      <c r="B12725" s="2" t="str">
        <f>"98164"</f>
        <v>98164</v>
      </c>
      <c r="C12725" s="1">
        <v>7.1609828733159596E-5</v>
      </c>
      <c r="D12725" s="1">
        <v>1.11443714444919E-3</v>
      </c>
      <c r="E12725" s="1">
        <v>8.1144680966162603E-5</v>
      </c>
      <c r="F12725" s="1">
        <v>1.5035719534358299E-4</v>
      </c>
    </row>
    <row r="12726" spans="1:6" x14ac:dyDescent="0.25">
      <c r="A12726" s="2" t="str">
        <f t="shared" si="460"/>
        <v>42660</v>
      </c>
      <c r="B12726" s="2" t="str">
        <f>"98144"</f>
        <v>98144</v>
      </c>
      <c r="C12726" s="1">
        <v>8.4653047538127899E-3</v>
      </c>
      <c r="D12726" s="1">
        <v>6.5959128665655804E-3</v>
      </c>
      <c r="E12726" s="1">
        <v>1.0548808525601101E-2</v>
      </c>
      <c r="F12726" s="1">
        <v>8.4748105620594399E-3</v>
      </c>
    </row>
    <row r="12727" spans="1:6" x14ac:dyDescent="0.25">
      <c r="A12727" s="2" t="str">
        <f t="shared" si="460"/>
        <v>42660</v>
      </c>
      <c r="B12727" s="2" t="str">
        <f>"98199"</f>
        <v>98199</v>
      </c>
      <c r="C12727" s="1">
        <v>5.8060794471266504E-3</v>
      </c>
      <c r="D12727" s="1">
        <v>3.9329264341898904E-3</v>
      </c>
      <c r="E12727" s="1">
        <v>4.5576262475994604E-3</v>
      </c>
      <c r="F12727" s="1">
        <v>5.5763118544037904E-3</v>
      </c>
    </row>
    <row r="12728" spans="1:6" x14ac:dyDescent="0.25">
      <c r="A12728" s="2" t="str">
        <f t="shared" si="460"/>
        <v>42660</v>
      </c>
      <c r="B12728" s="2" t="str">
        <f>"98194"</f>
        <v>98194</v>
      </c>
      <c r="C12728" s="1">
        <v>1.97211195003225E-4</v>
      </c>
      <c r="D12728" s="1">
        <v>8.8766214412523096E-4</v>
      </c>
      <c r="E12728" s="1">
        <v>1.3524113494360401E-5</v>
      </c>
      <c r="F12728" s="1">
        <v>2.3572128044187501E-4</v>
      </c>
    </row>
    <row r="12729" spans="1:6" x14ac:dyDescent="0.25">
      <c r="A12729" s="2" t="str">
        <f t="shared" si="460"/>
        <v>42660</v>
      </c>
      <c r="B12729" s="2" t="str">
        <f>"98207"</f>
        <v>98207</v>
      </c>
      <c r="C12729" s="1">
        <v>0</v>
      </c>
      <c r="D12729" s="1">
        <v>6.47928572354183E-6</v>
      </c>
      <c r="E12729" s="1">
        <v>0</v>
      </c>
      <c r="F12729" s="1">
        <v>4.8502321078575195E-7</v>
      </c>
    </row>
    <row r="12730" spans="1:6" x14ac:dyDescent="0.25">
      <c r="A12730" s="2" t="str">
        <f t="shared" si="460"/>
        <v>42660</v>
      </c>
      <c r="B12730" s="2" t="str">
        <f>"98166"</f>
        <v>98166</v>
      </c>
      <c r="C12730" s="1">
        <v>5.8015327913340702E-3</v>
      </c>
      <c r="D12730" s="1">
        <v>6.8874807241249697E-3</v>
      </c>
      <c r="E12730" s="1">
        <v>5.4096453977441703E-3</v>
      </c>
      <c r="F12730" s="1">
        <v>5.8547151773948097E-3</v>
      </c>
    </row>
    <row r="12731" spans="1:6" x14ac:dyDescent="0.25">
      <c r="A12731" s="2" t="str">
        <f t="shared" si="460"/>
        <v>42660</v>
      </c>
      <c r="B12731" s="2" t="str">
        <f>"98117"</f>
        <v>98117</v>
      </c>
      <c r="C12731" s="1">
        <v>8.5664678451977307E-3</v>
      </c>
      <c r="D12731" s="1">
        <v>3.11653643302362E-3</v>
      </c>
      <c r="E12731" s="1">
        <v>3.59741418949987E-3</v>
      </c>
      <c r="F12731" s="1">
        <v>7.8020833686996E-3</v>
      </c>
    </row>
    <row r="12732" spans="1:6" x14ac:dyDescent="0.25">
      <c r="A12732" s="2" t="str">
        <f t="shared" si="460"/>
        <v>42660</v>
      </c>
      <c r="B12732" s="2" t="str">
        <f>"98071"</f>
        <v>98071</v>
      </c>
      <c r="C12732" s="1">
        <v>6.9734333218719703E-4</v>
      </c>
      <c r="D12732" s="1">
        <v>3.3238735761769601E-3</v>
      </c>
      <c r="E12732" s="1">
        <v>6.7620567471802197E-6</v>
      </c>
      <c r="F12732" s="1">
        <v>8.4442540997799404E-4</v>
      </c>
    </row>
    <row r="12733" spans="1:6" x14ac:dyDescent="0.25">
      <c r="A12733" s="2" t="str">
        <f t="shared" si="460"/>
        <v>42660</v>
      </c>
      <c r="B12733" s="2" t="str">
        <f>"98062"</f>
        <v>98062</v>
      </c>
      <c r="C12733" s="1">
        <v>2.0687283856246099E-4</v>
      </c>
      <c r="D12733" s="1">
        <v>5.9609428656584801E-4</v>
      </c>
      <c r="E12733" s="1">
        <v>1.3524113494360401E-5</v>
      </c>
      <c r="F12733" s="1">
        <v>2.2214063053987399E-4</v>
      </c>
    </row>
    <row r="12734" spans="1:6" x14ac:dyDescent="0.25">
      <c r="A12734" s="2" t="str">
        <f t="shared" si="460"/>
        <v>42660</v>
      </c>
      <c r="B12734" s="2" t="str">
        <f>"98115"</f>
        <v>98115</v>
      </c>
      <c r="C12734" s="1">
        <v>1.4005404837073399E-2</v>
      </c>
      <c r="D12734" s="1">
        <v>9.5763842993948304E-3</v>
      </c>
      <c r="E12734" s="1">
        <v>9.75088582943388E-3</v>
      </c>
      <c r="F12734" s="1">
        <v>1.3368694758887601E-2</v>
      </c>
    </row>
    <row r="12735" spans="1:6" x14ac:dyDescent="0.25">
      <c r="A12735" s="2" t="str">
        <f t="shared" si="460"/>
        <v>42660</v>
      </c>
      <c r="B12735" s="2" t="str">
        <f>"98103"</f>
        <v>98103</v>
      </c>
      <c r="C12735" s="1">
        <v>1.5339279980222E-2</v>
      </c>
      <c r="D12735" s="1">
        <v>1.7558864310798301E-2</v>
      </c>
      <c r="E12735" s="1">
        <v>1.92177652754861E-2</v>
      </c>
      <c r="F12735" s="1">
        <v>1.5783625325389902E-2</v>
      </c>
    </row>
    <row r="12736" spans="1:6" x14ac:dyDescent="0.25">
      <c r="A12736" s="2" t="str">
        <f t="shared" si="460"/>
        <v>42660</v>
      </c>
      <c r="B12736" s="2" t="str">
        <f>"98083"</f>
        <v>98083</v>
      </c>
      <c r="C12736" s="1">
        <v>5.87655261191166E-4</v>
      </c>
      <c r="D12736" s="1">
        <v>3.7579857196542599E-3</v>
      </c>
      <c r="E12736" s="1">
        <v>6.7620567471802197E-6</v>
      </c>
      <c r="F12736" s="1">
        <v>7.8331248541898895E-4</v>
      </c>
    </row>
    <row r="12737" spans="1:6" x14ac:dyDescent="0.25">
      <c r="A12737" s="2" t="str">
        <f t="shared" si="460"/>
        <v>42660</v>
      </c>
      <c r="B12737" s="2" t="str">
        <f>"98093"</f>
        <v>98093</v>
      </c>
      <c r="C12737" s="1">
        <v>1.52199302656667E-3</v>
      </c>
      <c r="D12737" s="1">
        <v>3.01286786144695E-3</v>
      </c>
      <c r="E12737" s="1">
        <v>6.7620567471802197E-6</v>
      </c>
      <c r="F12737" s="1">
        <v>1.5249129747104001E-3</v>
      </c>
    </row>
    <row r="12738" spans="1:6" x14ac:dyDescent="0.25">
      <c r="A12738" s="2" t="str">
        <f t="shared" si="460"/>
        <v>42660</v>
      </c>
      <c r="B12738" s="2" t="str">
        <f>"98075"</f>
        <v>98075</v>
      </c>
      <c r="C12738" s="1">
        <v>4.9234598913917502E-3</v>
      </c>
      <c r="D12738" s="1">
        <v>6.1553214373647402E-4</v>
      </c>
      <c r="E12738" s="1">
        <v>7.6411241243136505E-4</v>
      </c>
      <c r="F12738" s="1">
        <v>4.3026409028803997E-3</v>
      </c>
    </row>
    <row r="12739" spans="1:6" x14ac:dyDescent="0.25">
      <c r="A12739" s="2" t="str">
        <f t="shared" si="460"/>
        <v>42660</v>
      </c>
      <c r="B12739" s="2" t="str">
        <f>"98047"</f>
        <v>98047</v>
      </c>
      <c r="C12739" s="1">
        <v>1.40718996780399E-3</v>
      </c>
      <c r="D12739" s="1">
        <v>1.59390428799129E-3</v>
      </c>
      <c r="E12739" s="1">
        <v>1.2442184414811601E-3</v>
      </c>
      <c r="F12739" s="1">
        <v>1.40947745054339E-3</v>
      </c>
    </row>
    <row r="12740" spans="1:6" x14ac:dyDescent="0.25">
      <c r="A12740" s="2" t="str">
        <f t="shared" si="460"/>
        <v>42660</v>
      </c>
      <c r="B12740" s="2" t="str">
        <f>"98052"</f>
        <v>98052</v>
      </c>
      <c r="C12740" s="1">
        <v>1.80621584680043E-2</v>
      </c>
      <c r="D12740" s="1">
        <v>2.0299602171856501E-2</v>
      </c>
      <c r="E12740" s="1">
        <v>5.1743258229423002E-2</v>
      </c>
      <c r="F12740" s="1">
        <v>2.0645497990306301E-2</v>
      </c>
    </row>
    <row r="12741" spans="1:6" x14ac:dyDescent="0.25">
      <c r="A12741" s="2" t="str">
        <f t="shared" si="460"/>
        <v>42660</v>
      </c>
      <c r="B12741" s="2" t="str">
        <f>"98012"</f>
        <v>98012</v>
      </c>
      <c r="C12741" s="1">
        <v>1.5678574168743398E-2</v>
      </c>
      <c r="D12741" s="1">
        <v>5.7406471510580599E-3</v>
      </c>
      <c r="E12741" s="1">
        <v>8.7568634875983802E-3</v>
      </c>
      <c r="F12741" s="1">
        <v>1.4438170938670201E-2</v>
      </c>
    </row>
    <row r="12742" spans="1:6" x14ac:dyDescent="0.25">
      <c r="A12742" s="2" t="str">
        <f t="shared" si="460"/>
        <v>42660</v>
      </c>
      <c r="B12742" s="2" t="str">
        <f>"98035"</f>
        <v>98035</v>
      </c>
      <c r="C12742" s="1">
        <v>5.3139039575796998E-4</v>
      </c>
      <c r="D12742" s="1">
        <v>1.6716557166737899E-3</v>
      </c>
      <c r="E12742" s="1">
        <v>6.7620567471802197E-6</v>
      </c>
      <c r="F12742" s="1">
        <v>5.7911771367818803E-4</v>
      </c>
    </row>
    <row r="12743" spans="1:6" x14ac:dyDescent="0.25">
      <c r="A12743" s="2" t="str">
        <f t="shared" si="460"/>
        <v>42660</v>
      </c>
      <c r="B12743" s="2" t="str">
        <f>"98039"</f>
        <v>98039</v>
      </c>
      <c r="C12743" s="1">
        <v>9.3433776537551105E-4</v>
      </c>
      <c r="D12743" s="1">
        <v>8.0991071544272899E-4</v>
      </c>
      <c r="E12743" s="1">
        <v>5.4096453977441697E-5</v>
      </c>
      <c r="F12743" s="1">
        <v>8.6188624556628104E-4</v>
      </c>
    </row>
    <row r="12744" spans="1:6" x14ac:dyDescent="0.25">
      <c r="A12744" s="2" t="str">
        <f t="shared" si="460"/>
        <v>42660</v>
      </c>
      <c r="B12744" s="2" t="str">
        <f>"98031"</f>
        <v>98031</v>
      </c>
      <c r="C12744" s="1">
        <v>8.9211069970190904E-3</v>
      </c>
      <c r="D12744" s="1">
        <v>3.34979071907112E-3</v>
      </c>
      <c r="E12744" s="1">
        <v>4.1789510697573702E-3</v>
      </c>
      <c r="F12744" s="1">
        <v>8.1639106839457801E-3</v>
      </c>
    </row>
    <row r="12745" spans="1:6" x14ac:dyDescent="0.25">
      <c r="A12745" s="2" t="str">
        <f t="shared" si="460"/>
        <v>42660</v>
      </c>
      <c r="B12745" s="2" t="str">
        <f>"98029"</f>
        <v>98029</v>
      </c>
      <c r="C12745" s="1">
        <v>7.1706445168751897E-3</v>
      </c>
      <c r="D12745" s="1">
        <v>1.8854721455506701E-3</v>
      </c>
      <c r="E12745" s="1">
        <v>2.4951989397095E-3</v>
      </c>
      <c r="F12745" s="1">
        <v>6.4396531696024302E-3</v>
      </c>
    </row>
    <row r="12746" spans="1:6" x14ac:dyDescent="0.25">
      <c r="A12746" s="2" t="str">
        <f t="shared" si="460"/>
        <v>42660</v>
      </c>
      <c r="B12746" s="2" t="str">
        <f>"98034"</f>
        <v>98034</v>
      </c>
      <c r="C12746" s="1">
        <v>1.28232743310022E-2</v>
      </c>
      <c r="D12746" s="1">
        <v>8.8571835840816904E-3</v>
      </c>
      <c r="E12746" s="1">
        <v>2.9868004652294999E-2</v>
      </c>
      <c r="F12746" s="1">
        <v>1.3748952956143701E-2</v>
      </c>
    </row>
    <row r="12747" spans="1:6" x14ac:dyDescent="0.25">
      <c r="A12747" s="2" t="str">
        <f t="shared" si="460"/>
        <v>42660</v>
      </c>
      <c r="B12747" s="2" t="str">
        <f>"98007"</f>
        <v>98007</v>
      </c>
      <c r="C12747" s="1">
        <v>7.4423072004819396E-3</v>
      </c>
      <c r="D12747" s="1">
        <v>6.9587528670839302E-3</v>
      </c>
      <c r="E12747" s="1">
        <v>1.94950096021205E-2</v>
      </c>
      <c r="F12747" s="1">
        <v>8.2706157903186407E-3</v>
      </c>
    </row>
    <row r="12748" spans="1:6" x14ac:dyDescent="0.25">
      <c r="A12748" s="2" t="str">
        <f t="shared" si="460"/>
        <v>42660</v>
      </c>
      <c r="B12748" s="2" t="str">
        <f>"98027"</f>
        <v>98027</v>
      </c>
      <c r="C12748" s="1">
        <v>8.1095289380432797E-3</v>
      </c>
      <c r="D12748" s="1">
        <v>1.36648135909497E-2</v>
      </c>
      <c r="E12748" s="1">
        <v>7.8439858267290493E-3</v>
      </c>
      <c r="F12748" s="1">
        <v>8.5063370707605199E-3</v>
      </c>
    </row>
    <row r="12749" spans="1:6" x14ac:dyDescent="0.25">
      <c r="A12749" s="2" t="str">
        <f t="shared" si="460"/>
        <v>42660</v>
      </c>
      <c r="B12749" s="2" t="str">
        <f>"98026"</f>
        <v>98026</v>
      </c>
      <c r="C12749" s="1">
        <v>9.0540966789521005E-3</v>
      </c>
      <c r="D12749" s="1">
        <v>5.1056771501509597E-3</v>
      </c>
      <c r="E12749" s="1">
        <v>1.17727407968407E-2</v>
      </c>
      <c r="F12749" s="1">
        <v>8.9535284711049802E-3</v>
      </c>
    </row>
    <row r="12750" spans="1:6" x14ac:dyDescent="0.25">
      <c r="A12750" s="2" t="str">
        <f t="shared" si="460"/>
        <v>42660</v>
      </c>
      <c r="B12750" s="2" t="str">
        <f>"98023"</f>
        <v>98023</v>
      </c>
      <c r="C12750" s="1">
        <v>1.0552219762607701E-2</v>
      </c>
      <c r="D12750" s="1">
        <v>1.7558864310798299E-3</v>
      </c>
      <c r="E12750" s="1">
        <v>6.7147223499499599E-3</v>
      </c>
      <c r="F12750" s="1">
        <v>9.6184952930922496E-3</v>
      </c>
    </row>
    <row r="12751" spans="1:6" x14ac:dyDescent="0.25">
      <c r="A12751" s="2" t="str">
        <f t="shared" si="460"/>
        <v>42660</v>
      </c>
      <c r="B12751" s="2" t="str">
        <f>"98002"</f>
        <v>98002</v>
      </c>
      <c r="C12751" s="1">
        <v>8.5829494724458406E-3</v>
      </c>
      <c r="D12751" s="1">
        <v>9.9197864427425508E-3</v>
      </c>
      <c r="E12751" s="1">
        <v>1.02918503692082E-2</v>
      </c>
      <c r="F12751" s="1">
        <v>8.8055963918153308E-3</v>
      </c>
    </row>
    <row r="12752" spans="1:6" x14ac:dyDescent="0.25">
      <c r="A12752" s="2" t="str">
        <f t="shared" ref="A12752:A12768" si="461">"34580"</f>
        <v>34580</v>
      </c>
      <c r="B12752" s="2" t="str">
        <f>"98257"</f>
        <v>98257</v>
      </c>
      <c r="C12752" s="1">
        <v>3.8044215380442101E-2</v>
      </c>
      <c r="D12752" s="1">
        <v>5.0180335580994103E-3</v>
      </c>
      <c r="E12752" s="1">
        <v>7.0028011204481697E-2</v>
      </c>
      <c r="F12752" s="1">
        <v>3.6295937962677903E-2</v>
      </c>
    </row>
    <row r="12753" spans="1:6" x14ac:dyDescent="0.25">
      <c r="A12753" s="2" t="str">
        <f t="shared" si="461"/>
        <v>34580</v>
      </c>
      <c r="B12753" s="2" t="str">
        <f>"98221"</f>
        <v>98221</v>
      </c>
      <c r="C12753" s="1">
        <v>0.21887291468872899</v>
      </c>
      <c r="D12753" s="1">
        <v>0.21530500235220301</v>
      </c>
      <c r="E12753" s="1">
        <v>0.140406162464985</v>
      </c>
      <c r="F12753" s="1">
        <v>0.21525426213407201</v>
      </c>
    </row>
    <row r="12754" spans="1:6" x14ac:dyDescent="0.25">
      <c r="A12754" s="2" t="str">
        <f t="shared" si="461"/>
        <v>34580</v>
      </c>
      <c r="B12754" s="2" t="str">
        <f>"98274"</f>
        <v>98274</v>
      </c>
      <c r="C12754" s="1">
        <v>0.134409331344093</v>
      </c>
      <c r="D12754" s="1">
        <v>3.49694213580053E-2</v>
      </c>
      <c r="E12754" s="1">
        <v>8.1932773109243601E-2</v>
      </c>
      <c r="F12754" s="1">
        <v>0.122916575047275</v>
      </c>
    </row>
    <row r="12755" spans="1:6" x14ac:dyDescent="0.25">
      <c r="A12755" s="2" t="str">
        <f t="shared" si="461"/>
        <v>34580</v>
      </c>
      <c r="B12755" s="2" t="str">
        <f>"98292"</f>
        <v>98292</v>
      </c>
      <c r="C12755" s="1">
        <v>4.5775125457751201E-4</v>
      </c>
      <c r="D12755" s="1">
        <v>0</v>
      </c>
      <c r="E12755" s="1">
        <v>0</v>
      </c>
      <c r="F12755" s="1">
        <v>3.9579576938299801E-4</v>
      </c>
    </row>
    <row r="12756" spans="1:6" x14ac:dyDescent="0.25">
      <c r="A12756" s="2" t="str">
        <f t="shared" si="461"/>
        <v>34580</v>
      </c>
      <c r="B12756" s="2" t="str">
        <f>"98255"</f>
        <v>98255</v>
      </c>
      <c r="C12756" s="1">
        <v>8.4768750847687504E-5</v>
      </c>
      <c r="D12756" s="1">
        <v>1.56813548690606E-4</v>
      </c>
      <c r="E12756" s="1">
        <v>0</v>
      </c>
      <c r="F12756" s="1">
        <v>8.7954615418443994E-5</v>
      </c>
    </row>
    <row r="12757" spans="1:6" x14ac:dyDescent="0.25">
      <c r="A12757" s="2" t="str">
        <f t="shared" si="461"/>
        <v>34580</v>
      </c>
      <c r="B12757" s="2" t="str">
        <f>"98283"</f>
        <v>98283</v>
      </c>
      <c r="C12757" s="1">
        <v>3.7976400379763999E-3</v>
      </c>
      <c r="D12757" s="1">
        <v>9.4088129214364095E-4</v>
      </c>
      <c r="E12757" s="1">
        <v>1.40056022408963E-3</v>
      </c>
      <c r="F12757" s="1">
        <v>3.4302300013193099E-3</v>
      </c>
    </row>
    <row r="12758" spans="1:6" x14ac:dyDescent="0.25">
      <c r="A12758" s="2" t="str">
        <f t="shared" si="461"/>
        <v>34580</v>
      </c>
      <c r="B12758" s="2" t="str">
        <f>"98273"</f>
        <v>98273</v>
      </c>
      <c r="C12758" s="1">
        <v>0.22750237352502301</v>
      </c>
      <c r="D12758" s="1">
        <v>0.35486906068684299</v>
      </c>
      <c r="E12758" s="1">
        <v>0.38410364145658199</v>
      </c>
      <c r="F12758" s="1">
        <v>0.245965082017678</v>
      </c>
    </row>
    <row r="12759" spans="1:6" x14ac:dyDescent="0.25">
      <c r="A12759" s="2" t="str">
        <f t="shared" si="461"/>
        <v>34580</v>
      </c>
      <c r="B12759" s="2" t="str">
        <f>"98263"</f>
        <v>98263</v>
      </c>
      <c r="C12759" s="1">
        <v>0</v>
      </c>
      <c r="D12759" s="1">
        <v>1.56813548690606E-4</v>
      </c>
      <c r="E12759" s="1">
        <v>0</v>
      </c>
      <c r="F12759" s="1">
        <v>1.46591025697406E-5</v>
      </c>
    </row>
    <row r="12760" spans="1:6" x14ac:dyDescent="0.25">
      <c r="A12760" s="2" t="str">
        <f t="shared" si="461"/>
        <v>34580</v>
      </c>
      <c r="B12760" s="2" t="str">
        <f>"98284"</f>
        <v>98284</v>
      </c>
      <c r="C12760" s="1">
        <v>0.17655635426556299</v>
      </c>
      <c r="D12760" s="1">
        <v>0.120746432491767</v>
      </c>
      <c r="E12760" s="1">
        <v>0.102591036414565</v>
      </c>
      <c r="F12760" s="1">
        <v>0.168242520192913</v>
      </c>
    </row>
    <row r="12761" spans="1:6" x14ac:dyDescent="0.25">
      <c r="A12761" s="2" t="str">
        <f t="shared" si="461"/>
        <v>34580</v>
      </c>
      <c r="B12761" s="2" t="str">
        <f>"98238"</f>
        <v>98238</v>
      </c>
      <c r="C12761" s="1">
        <v>0</v>
      </c>
      <c r="D12761" s="1">
        <v>1.56813548690606E-4</v>
      </c>
      <c r="E12761" s="1">
        <v>1.1904761904761901E-2</v>
      </c>
      <c r="F12761" s="1">
        <v>5.1306858994092303E-4</v>
      </c>
    </row>
    <row r="12762" spans="1:6" x14ac:dyDescent="0.25">
      <c r="A12762" s="2" t="str">
        <f t="shared" si="461"/>
        <v>34580</v>
      </c>
      <c r="B12762" s="2" t="str">
        <f>"98235"</f>
        <v>98235</v>
      </c>
      <c r="C12762" s="1">
        <v>0</v>
      </c>
      <c r="D12762" s="1">
        <v>1.56813548690606E-4</v>
      </c>
      <c r="E12762" s="1">
        <v>2.62605042016806E-2</v>
      </c>
      <c r="F12762" s="1">
        <v>1.11409179530029E-3</v>
      </c>
    </row>
    <row r="12763" spans="1:6" x14ac:dyDescent="0.25">
      <c r="A12763" s="2" t="str">
        <f t="shared" si="461"/>
        <v>34580</v>
      </c>
      <c r="B12763" s="2" t="str">
        <f>"98233"</f>
        <v>98233</v>
      </c>
      <c r="C12763" s="1">
        <v>0.121236267462362</v>
      </c>
      <c r="D12763" s="1">
        <v>0.23192723851340699</v>
      </c>
      <c r="E12763" s="1">
        <v>0.123949579831932</v>
      </c>
      <c r="F12763" s="1">
        <v>0.13169737748655</v>
      </c>
    </row>
    <row r="12764" spans="1:6" x14ac:dyDescent="0.25">
      <c r="A12764" s="2" t="str">
        <f t="shared" si="461"/>
        <v>34580</v>
      </c>
      <c r="B12764" s="2" t="str">
        <f>"98229"</f>
        <v>98229</v>
      </c>
      <c r="C12764" s="1">
        <v>3.3737962837379599E-3</v>
      </c>
      <c r="D12764" s="1">
        <v>1.56813548690606E-3</v>
      </c>
      <c r="E12764" s="1">
        <v>1.40056022408963E-3</v>
      </c>
      <c r="F12764" s="1">
        <v>3.12238884735476E-3</v>
      </c>
    </row>
    <row r="12765" spans="1:6" x14ac:dyDescent="0.25">
      <c r="A12765" s="2" t="str">
        <f t="shared" si="461"/>
        <v>34580</v>
      </c>
      <c r="B12765" s="2" t="str">
        <f>"98232"</f>
        <v>98232</v>
      </c>
      <c r="C12765" s="1">
        <v>3.55011528550115E-2</v>
      </c>
      <c r="D12765" s="1">
        <v>2.4776540693115801E-2</v>
      </c>
      <c r="E12765" s="1">
        <v>5.2521008403361297E-3</v>
      </c>
      <c r="F12765" s="1">
        <v>3.3232185525602101E-2</v>
      </c>
    </row>
    <row r="12766" spans="1:6" x14ac:dyDescent="0.25">
      <c r="A12766" s="2" t="str">
        <f t="shared" si="461"/>
        <v>34580</v>
      </c>
      <c r="B12766" s="2" t="str">
        <f>"98267"</f>
        <v>98267</v>
      </c>
      <c r="C12766" s="1">
        <v>4.3910212939102097E-3</v>
      </c>
      <c r="D12766" s="1">
        <v>7.84067743453034E-4</v>
      </c>
      <c r="E12766" s="1">
        <v>0</v>
      </c>
      <c r="F12766" s="1">
        <v>3.8700030784115302E-3</v>
      </c>
    </row>
    <row r="12767" spans="1:6" x14ac:dyDescent="0.25">
      <c r="A12767" s="2" t="str">
        <f t="shared" si="461"/>
        <v>34580</v>
      </c>
      <c r="B12767" s="2" t="str">
        <f>"98241"</f>
        <v>98241</v>
      </c>
      <c r="C12767" s="1">
        <v>2.1870337718703299E-3</v>
      </c>
      <c r="D12767" s="1">
        <v>4.7044064607181999E-4</v>
      </c>
      <c r="E12767" s="1">
        <v>0</v>
      </c>
      <c r="F12767" s="1">
        <v>1.9350015392057599E-3</v>
      </c>
    </row>
    <row r="12768" spans="1:6" x14ac:dyDescent="0.25">
      <c r="A12768" s="2" t="str">
        <f t="shared" si="461"/>
        <v>34580</v>
      </c>
      <c r="B12768" s="2" t="str">
        <f>"98237"</f>
        <v>98237</v>
      </c>
      <c r="C12768" s="1">
        <v>3.3585379085853698E-2</v>
      </c>
      <c r="D12768" s="1">
        <v>7.9974909832209503E-3</v>
      </c>
      <c r="E12768" s="1">
        <v>5.0770308123249203E-2</v>
      </c>
      <c r="F12768" s="1">
        <v>3.1912866294325402E-2</v>
      </c>
    </row>
    <row r="12769" spans="1:6" x14ac:dyDescent="0.25">
      <c r="A12769" s="2" t="str">
        <f t="shared" ref="A12769:A12789" si="462">"36500"</f>
        <v>36500</v>
      </c>
      <c r="B12769" s="2" t="str">
        <f>"98516"</f>
        <v>98516</v>
      </c>
      <c r="C12769" s="1">
        <v>9.0753091045335299E-2</v>
      </c>
      <c r="D12769" s="1">
        <v>9.5934172313649493E-2</v>
      </c>
      <c r="E12769" s="1">
        <v>8.9853519113969202E-2</v>
      </c>
      <c r="F12769" s="1">
        <v>9.1077668733012804E-2</v>
      </c>
    </row>
    <row r="12770" spans="1:6" x14ac:dyDescent="0.25">
      <c r="A12770" s="2" t="str">
        <f t="shared" si="462"/>
        <v>36500</v>
      </c>
      <c r="B12770" s="2" t="str">
        <f>"98508"</f>
        <v>98508</v>
      </c>
      <c r="C12770" s="1">
        <v>1.09853877856875E-2</v>
      </c>
      <c r="D12770" s="1">
        <v>2.89448209099709E-2</v>
      </c>
      <c r="E12770" s="1">
        <v>1.78635226866738E-4</v>
      </c>
      <c r="F12770" s="1">
        <v>1.18223567058067E-2</v>
      </c>
    </row>
    <row r="12771" spans="1:6" x14ac:dyDescent="0.25">
      <c r="A12771" s="2" t="str">
        <f t="shared" si="462"/>
        <v>36500</v>
      </c>
      <c r="B12771" s="2" t="str">
        <f>"98502"</f>
        <v>98502</v>
      </c>
      <c r="C12771" s="1">
        <v>0.12316972648932099</v>
      </c>
      <c r="D12771" s="1">
        <v>0.12110358180058001</v>
      </c>
      <c r="E12771" s="1">
        <v>0.17399071096820201</v>
      </c>
      <c r="F12771" s="1">
        <v>0.124931382131237</v>
      </c>
    </row>
    <row r="12772" spans="1:6" x14ac:dyDescent="0.25">
      <c r="A12772" s="2" t="str">
        <f t="shared" si="462"/>
        <v>36500</v>
      </c>
      <c r="B12772" s="2" t="str">
        <f>"98501"</f>
        <v>98501</v>
      </c>
      <c r="C12772" s="1">
        <v>0.147920569501686</v>
      </c>
      <c r="D12772" s="1">
        <v>0.227879961277831</v>
      </c>
      <c r="E12772" s="1">
        <v>0.21329046087888501</v>
      </c>
      <c r="F12772" s="1">
        <v>0.155899797828328</v>
      </c>
    </row>
    <row r="12773" spans="1:6" x14ac:dyDescent="0.25">
      <c r="A12773" s="2" t="str">
        <f t="shared" si="462"/>
        <v>36500</v>
      </c>
      <c r="B12773" s="2" t="str">
        <f>"98509"</f>
        <v>98509</v>
      </c>
      <c r="C12773" s="1">
        <v>1.2139378044211301E-2</v>
      </c>
      <c r="D12773" s="1">
        <v>5.42110358180058E-2</v>
      </c>
      <c r="E12773" s="1">
        <v>1.78635226866738E-4</v>
      </c>
      <c r="F12773" s="1">
        <v>1.4600543587409099E-2</v>
      </c>
    </row>
    <row r="12774" spans="1:6" x14ac:dyDescent="0.25">
      <c r="A12774" s="2" t="str">
        <f t="shared" si="462"/>
        <v>36500</v>
      </c>
      <c r="B12774" s="2" t="str">
        <f>"98568"</f>
        <v>98568</v>
      </c>
      <c r="C12774" s="1">
        <v>1.4237542150618201E-4</v>
      </c>
      <c r="D12774" s="1">
        <v>3.8722168441432701E-4</v>
      </c>
      <c r="E12774" s="1">
        <v>0</v>
      </c>
      <c r="F12774" s="1">
        <v>1.5397180307675799E-4</v>
      </c>
    </row>
    <row r="12775" spans="1:6" x14ac:dyDescent="0.25">
      <c r="A12775" s="2" t="str">
        <f t="shared" si="462"/>
        <v>36500</v>
      </c>
      <c r="B12775" s="2" t="str">
        <f>"98513"</f>
        <v>98513</v>
      </c>
      <c r="C12775" s="1">
        <v>0.105260397152491</v>
      </c>
      <c r="D12775" s="1">
        <v>1.1616650532429801E-2</v>
      </c>
      <c r="E12775" s="1">
        <v>9.1997141836370103E-2</v>
      </c>
      <c r="F12775" s="1">
        <v>9.8287565772737603E-2</v>
      </c>
    </row>
    <row r="12776" spans="1:6" x14ac:dyDescent="0.25">
      <c r="A12776" s="2" t="str">
        <f t="shared" si="462"/>
        <v>36500</v>
      </c>
      <c r="B12776" s="2" t="str">
        <f>"98579"</f>
        <v>98579</v>
      </c>
      <c r="C12776" s="1">
        <v>4.49456725365305E-2</v>
      </c>
      <c r="D12776" s="1">
        <v>2.2846079380445299E-2</v>
      </c>
      <c r="E12776" s="1">
        <v>1.6255805644873101E-2</v>
      </c>
      <c r="F12776" s="1">
        <v>4.2342245846108503E-2</v>
      </c>
    </row>
    <row r="12777" spans="1:6" x14ac:dyDescent="0.25">
      <c r="A12777" s="2" t="str">
        <f t="shared" si="462"/>
        <v>36500</v>
      </c>
      <c r="B12777" s="2" t="str">
        <f>"98556"</f>
        <v>98556</v>
      </c>
      <c r="C12777" s="1">
        <v>0</v>
      </c>
      <c r="D12777" s="1">
        <v>9.6805421103581806E-5</v>
      </c>
      <c r="E12777" s="1">
        <v>0</v>
      </c>
      <c r="F12777" s="1">
        <v>6.6944262207286199E-6</v>
      </c>
    </row>
    <row r="12778" spans="1:6" x14ac:dyDescent="0.25">
      <c r="A12778" s="2" t="str">
        <f t="shared" si="462"/>
        <v>36500</v>
      </c>
      <c r="B12778" s="2" t="str">
        <f>"98597"</f>
        <v>98597</v>
      </c>
      <c r="C12778" s="1">
        <v>9.4057699512926099E-2</v>
      </c>
      <c r="D12778" s="1">
        <v>8.3059051306873105E-2</v>
      </c>
      <c r="E12778" s="1">
        <v>2.8938906752411502E-2</v>
      </c>
      <c r="F12778" s="1">
        <v>9.0856752667728802E-2</v>
      </c>
    </row>
    <row r="12779" spans="1:6" x14ac:dyDescent="0.25">
      <c r="A12779" s="2" t="str">
        <f t="shared" si="462"/>
        <v>36500</v>
      </c>
      <c r="B12779" s="2" t="str">
        <f>"98530"</f>
        <v>98530</v>
      </c>
      <c r="C12779" s="1">
        <v>7.4934432371674696E-6</v>
      </c>
      <c r="D12779" s="1">
        <v>0</v>
      </c>
      <c r="E12779" s="1">
        <v>3.0010718113612E-2</v>
      </c>
      <c r="F12779" s="1">
        <v>1.1313580313031301E-3</v>
      </c>
    </row>
    <row r="12780" spans="1:6" x14ac:dyDescent="0.25">
      <c r="A12780" s="2" t="str">
        <f t="shared" si="462"/>
        <v>36500</v>
      </c>
      <c r="B12780" s="2" t="str">
        <f>"98512"</f>
        <v>98512</v>
      </c>
      <c r="C12780" s="1">
        <v>0.10302735106781501</v>
      </c>
      <c r="D12780" s="1">
        <v>6.7666989351403597E-2</v>
      </c>
      <c r="E12780" s="1">
        <v>0.114147909967845</v>
      </c>
      <c r="F12780" s="1">
        <v>0.100998808392132</v>
      </c>
    </row>
    <row r="12781" spans="1:6" x14ac:dyDescent="0.25">
      <c r="A12781" s="2" t="str">
        <f t="shared" si="462"/>
        <v>36500</v>
      </c>
      <c r="B12781" s="2" t="str">
        <f>"98511"</f>
        <v>98511</v>
      </c>
      <c r="C12781" s="1">
        <v>5.0056200824278698E-3</v>
      </c>
      <c r="D12781" s="1">
        <v>1.6650532429816001E-2</v>
      </c>
      <c r="E12781" s="1">
        <v>1.78635226866738E-4</v>
      </c>
      <c r="F12781" s="1">
        <v>5.6300124516327696E-3</v>
      </c>
    </row>
    <row r="12782" spans="1:6" x14ac:dyDescent="0.25">
      <c r="A12782" s="2" t="str">
        <f t="shared" si="462"/>
        <v>36500</v>
      </c>
      <c r="B12782" s="2" t="str">
        <f>"98507"</f>
        <v>98507</v>
      </c>
      <c r="C12782" s="1">
        <v>1.6245784938178999E-2</v>
      </c>
      <c r="D12782" s="1">
        <v>6.5150048402710506E-2</v>
      </c>
      <c r="E12782" s="1">
        <v>1.78635226866738E-4</v>
      </c>
      <c r="F12782" s="1">
        <v>1.90255593193107E-2</v>
      </c>
    </row>
    <row r="12783" spans="1:6" x14ac:dyDescent="0.25">
      <c r="A12783" s="2" t="str">
        <f t="shared" si="462"/>
        <v>36500</v>
      </c>
      <c r="B12783" s="2" t="str">
        <f>"98589"</f>
        <v>98589</v>
      </c>
      <c r="C12783" s="1">
        <v>2.4743349569127E-2</v>
      </c>
      <c r="D12783" s="1">
        <v>5.6147144240077402E-3</v>
      </c>
      <c r="E12783" s="1">
        <v>6.7881386209360404E-3</v>
      </c>
      <c r="F12783" s="1">
        <v>2.27476602980358E-2</v>
      </c>
    </row>
    <row r="12784" spans="1:6" x14ac:dyDescent="0.25">
      <c r="A12784" s="2" t="str">
        <f t="shared" si="462"/>
        <v>36500</v>
      </c>
      <c r="B12784" s="2" t="str">
        <f>"98576"</f>
        <v>98576</v>
      </c>
      <c r="C12784" s="1">
        <v>1.3900337204945599E-2</v>
      </c>
      <c r="D12784" s="1">
        <v>1.2584704743465599E-3</v>
      </c>
      <c r="E12784" s="1">
        <v>3.9299749910682302E-3</v>
      </c>
      <c r="F12784" s="1">
        <v>1.2652465557177001E-2</v>
      </c>
    </row>
    <row r="12785" spans="1:6" x14ac:dyDescent="0.25">
      <c r="A12785" s="2" t="str">
        <f t="shared" si="462"/>
        <v>36500</v>
      </c>
      <c r="B12785" s="2" t="str">
        <f>"98531"</f>
        <v>98531</v>
      </c>
      <c r="C12785" s="1">
        <v>6.4143874110153603E-3</v>
      </c>
      <c r="D12785" s="1">
        <v>3.7754114230396899E-3</v>
      </c>
      <c r="E12785" s="1">
        <v>6.4308681672025697E-3</v>
      </c>
      <c r="F12785" s="1">
        <v>6.23251081149834E-3</v>
      </c>
    </row>
    <row r="12786" spans="1:6" x14ac:dyDescent="0.25">
      <c r="A12786" s="2" t="str">
        <f t="shared" si="462"/>
        <v>36500</v>
      </c>
      <c r="B12786" s="2" t="str">
        <f>"98505"</f>
        <v>98505</v>
      </c>
      <c r="C12786" s="1">
        <v>0</v>
      </c>
      <c r="D12786" s="1">
        <v>9.6805421103581806E-5</v>
      </c>
      <c r="E12786" s="1">
        <v>0</v>
      </c>
      <c r="F12786" s="1">
        <v>6.6944262207286199E-6</v>
      </c>
    </row>
    <row r="12787" spans="1:6" x14ac:dyDescent="0.25">
      <c r="A12787" s="2" t="str">
        <f t="shared" si="462"/>
        <v>36500</v>
      </c>
      <c r="B12787" s="2" t="str">
        <f>"98503"</f>
        <v>98503</v>
      </c>
      <c r="C12787" s="1">
        <v>0.12922442862495301</v>
      </c>
      <c r="D12787" s="1">
        <v>0.111810261374636</v>
      </c>
      <c r="E12787" s="1">
        <v>0.160593068953197</v>
      </c>
      <c r="F12787" s="1">
        <v>0.12919573163384099</v>
      </c>
    </row>
    <row r="12788" spans="1:6" x14ac:dyDescent="0.25">
      <c r="A12788" s="2" t="str">
        <f t="shared" si="462"/>
        <v>36500</v>
      </c>
      <c r="B12788" s="2" t="str">
        <f>"98540"</f>
        <v>98540</v>
      </c>
      <c r="C12788" s="1">
        <v>4.8182840014986796E-3</v>
      </c>
      <c r="D12788" s="1">
        <v>1.1616650532429801E-2</v>
      </c>
      <c r="E12788" s="1">
        <v>1.78635226866738E-4</v>
      </c>
      <c r="F12788" s="1">
        <v>5.1145416326366603E-3</v>
      </c>
    </row>
    <row r="12789" spans="1:6" x14ac:dyDescent="0.25">
      <c r="A12789" s="2" t="str">
        <f t="shared" si="462"/>
        <v>36500</v>
      </c>
      <c r="B12789" s="2" t="str">
        <f>"98506"</f>
        <v>98506</v>
      </c>
      <c r="C12789" s="1">
        <v>6.7238666167103694E-2</v>
      </c>
      <c r="D12789" s="1">
        <v>7.0280735721200305E-2</v>
      </c>
      <c r="E12789" s="1">
        <v>6.2879599857091795E-2</v>
      </c>
      <c r="F12789" s="1">
        <v>6.7285677944543307E-2</v>
      </c>
    </row>
    <row r="12790" spans="1:6" x14ac:dyDescent="0.25">
      <c r="A12790" s="2" t="str">
        <f t="shared" ref="A12790:A12821" si="463">"44060"</f>
        <v>44060</v>
      </c>
      <c r="B12790" s="2" t="str">
        <f>"99212"</f>
        <v>99212</v>
      </c>
      <c r="C12790" s="1">
        <v>3.5855889547374703E-2</v>
      </c>
      <c r="D12790" s="1">
        <v>6.2103034580098797E-2</v>
      </c>
      <c r="E12790" s="1">
        <v>3.6750831161829402E-2</v>
      </c>
      <c r="F12790" s="1">
        <v>3.7900963326009798E-2</v>
      </c>
    </row>
    <row r="12791" spans="1:6" x14ac:dyDescent="0.25">
      <c r="A12791" s="2" t="str">
        <f t="shared" si="463"/>
        <v>44060</v>
      </c>
      <c r="B12791" s="2" t="str">
        <f>"99207"</f>
        <v>99207</v>
      </c>
      <c r="C12791" s="1">
        <v>5.1467473640425997E-2</v>
      </c>
      <c r="D12791" s="1">
        <v>5.9456598447424097E-2</v>
      </c>
      <c r="E12791" s="1">
        <v>5.4092910414233003E-2</v>
      </c>
      <c r="F12791" s="1">
        <v>5.2178468818658098E-2</v>
      </c>
    </row>
    <row r="12792" spans="1:6" x14ac:dyDescent="0.25">
      <c r="A12792" s="2" t="str">
        <f t="shared" si="463"/>
        <v>44060</v>
      </c>
      <c r="B12792" s="2" t="str">
        <f>"99160"</f>
        <v>99160</v>
      </c>
      <c r="C12792" s="1">
        <v>1.5264320794965798E-5</v>
      </c>
      <c r="D12792" s="1">
        <v>0</v>
      </c>
      <c r="E12792" s="1">
        <v>0</v>
      </c>
      <c r="F12792" s="1">
        <v>1.3520365049856299E-5</v>
      </c>
    </row>
    <row r="12793" spans="1:6" x14ac:dyDescent="0.25">
      <c r="A12793" s="2" t="str">
        <f t="shared" si="463"/>
        <v>44060</v>
      </c>
      <c r="B12793" s="2" t="str">
        <f>"99181"</f>
        <v>99181</v>
      </c>
      <c r="C12793" s="1">
        <v>3.3276219333025501E-3</v>
      </c>
      <c r="D12793" s="1">
        <v>5.2928722653493201E-4</v>
      </c>
      <c r="E12793" s="1">
        <v>2.3362386557642099E-3</v>
      </c>
      <c r="F12793" s="1">
        <v>3.0758830488423101E-3</v>
      </c>
    </row>
    <row r="12794" spans="1:6" x14ac:dyDescent="0.25">
      <c r="A12794" s="2" t="str">
        <f t="shared" si="463"/>
        <v>44060</v>
      </c>
      <c r="B12794" s="2" t="str">
        <f>"99141"</f>
        <v>99141</v>
      </c>
      <c r="C12794" s="1">
        <v>8.1435151441142592E-3</v>
      </c>
      <c r="D12794" s="1">
        <v>2.2935779816513702E-3</v>
      </c>
      <c r="E12794" s="1">
        <v>7.18842663312067E-3</v>
      </c>
      <c r="F12794" s="1">
        <v>7.6592868007436202E-3</v>
      </c>
    </row>
    <row r="12795" spans="1:6" x14ac:dyDescent="0.25">
      <c r="A12795" s="2" t="str">
        <f t="shared" si="463"/>
        <v>44060</v>
      </c>
      <c r="B12795" s="2" t="str">
        <f>"99037"</f>
        <v>99037</v>
      </c>
      <c r="C12795" s="1">
        <v>2.9280783364943101E-2</v>
      </c>
      <c r="D12795" s="1">
        <v>2.9463655610444599E-2</v>
      </c>
      <c r="E12795" s="1">
        <v>1.8959475244855702E-2</v>
      </c>
      <c r="F12795" s="1">
        <v>2.8906540476592801E-2</v>
      </c>
    </row>
    <row r="12796" spans="1:6" x14ac:dyDescent="0.25">
      <c r="A12796" s="2" t="str">
        <f t="shared" si="463"/>
        <v>44060</v>
      </c>
      <c r="B12796" s="2" t="str">
        <f>"99036"</f>
        <v>99036</v>
      </c>
      <c r="C12796" s="1">
        <v>2.1026601895065399E-3</v>
      </c>
      <c r="D12796" s="1">
        <v>8.8214537755822097E-5</v>
      </c>
      <c r="E12796" s="1">
        <v>2.2463833228502099E-3</v>
      </c>
      <c r="F12796" s="1">
        <v>1.95369274970424E-3</v>
      </c>
    </row>
    <row r="12797" spans="1:6" x14ac:dyDescent="0.25">
      <c r="A12797" s="2" t="str">
        <f t="shared" si="463"/>
        <v>44060</v>
      </c>
      <c r="B12797" s="2" t="str">
        <f>"99001"</f>
        <v>99001</v>
      </c>
      <c r="C12797" s="1">
        <v>1.5699353937622298E-2</v>
      </c>
      <c r="D12797" s="1">
        <v>1.44671841919548E-2</v>
      </c>
      <c r="E12797" s="1">
        <v>3.0730523856590801E-2</v>
      </c>
      <c r="F12797" s="1">
        <v>1.6170356599628101E-2</v>
      </c>
    </row>
    <row r="12798" spans="1:6" x14ac:dyDescent="0.25">
      <c r="A12798" s="2" t="str">
        <f t="shared" si="463"/>
        <v>44060</v>
      </c>
      <c r="B12798" s="2" t="str">
        <f>"99167"</f>
        <v>99167</v>
      </c>
      <c r="C12798" s="1">
        <v>1.56459288148399E-3</v>
      </c>
      <c r="D12798" s="1">
        <v>3.9696541990119898E-4</v>
      </c>
      <c r="E12798" s="1">
        <v>3.59421331656033E-4</v>
      </c>
      <c r="F12798" s="1">
        <v>1.4297786040223001E-3</v>
      </c>
    </row>
    <row r="12799" spans="1:6" x14ac:dyDescent="0.25">
      <c r="A12799" s="2" t="str">
        <f t="shared" si="463"/>
        <v>44060</v>
      </c>
      <c r="B12799" s="2" t="str">
        <f>"99156"</f>
        <v>99156</v>
      </c>
      <c r="C12799" s="1">
        <v>2.5567737331567698E-4</v>
      </c>
      <c r="D12799" s="1">
        <v>0</v>
      </c>
      <c r="E12799" s="1">
        <v>8.9855332914008399E-5</v>
      </c>
      <c r="F12799" s="1">
        <v>2.2984620584755701E-4</v>
      </c>
    </row>
    <row r="12800" spans="1:6" x14ac:dyDescent="0.25">
      <c r="A12800" s="2" t="str">
        <f t="shared" si="463"/>
        <v>44060</v>
      </c>
      <c r="B12800" s="2" t="str">
        <f>"99201"</f>
        <v>99201</v>
      </c>
      <c r="C12800" s="1">
        <v>3.3730332876675699E-2</v>
      </c>
      <c r="D12800" s="1">
        <v>0.125396965419901</v>
      </c>
      <c r="E12800" s="1">
        <v>0.13073950938988199</v>
      </c>
      <c r="F12800" s="1">
        <v>4.4404258914990703E-2</v>
      </c>
    </row>
    <row r="12801" spans="1:6" x14ac:dyDescent="0.25">
      <c r="A12801" s="2" t="str">
        <f t="shared" si="463"/>
        <v>44060</v>
      </c>
      <c r="B12801" s="2" t="str">
        <f>"99260"</f>
        <v>99260</v>
      </c>
      <c r="C12801" s="1">
        <v>0</v>
      </c>
      <c r="D12801" s="1">
        <v>4.4107268877911001E-5</v>
      </c>
      <c r="E12801" s="1">
        <v>1.3478299937101201E-3</v>
      </c>
      <c r="F12801" s="1">
        <v>5.4081460199425299E-5</v>
      </c>
    </row>
    <row r="12802" spans="1:6" x14ac:dyDescent="0.25">
      <c r="A12802" s="2" t="str">
        <f t="shared" si="463"/>
        <v>44060</v>
      </c>
      <c r="B12802" s="2" t="str">
        <f>"99251"</f>
        <v>99251</v>
      </c>
      <c r="C12802" s="1">
        <v>0</v>
      </c>
      <c r="D12802" s="1">
        <v>4.4107268877911001E-5</v>
      </c>
      <c r="E12802" s="1">
        <v>0</v>
      </c>
      <c r="F12802" s="1">
        <v>3.3800912624640799E-6</v>
      </c>
    </row>
    <row r="12803" spans="1:6" x14ac:dyDescent="0.25">
      <c r="A12803" s="2" t="str">
        <f t="shared" si="463"/>
        <v>44060</v>
      </c>
      <c r="B12803" s="2" t="str">
        <f>"99220"</f>
        <v>99220</v>
      </c>
      <c r="C12803" s="1">
        <v>4.6479856820670898E-3</v>
      </c>
      <c r="D12803" s="1">
        <v>2.08627381792519E-2</v>
      </c>
      <c r="E12803" s="1">
        <v>8.9855332914008399E-5</v>
      </c>
      <c r="F12803" s="1">
        <v>5.7191144160892299E-3</v>
      </c>
    </row>
    <row r="12804" spans="1:6" x14ac:dyDescent="0.25">
      <c r="A12804" s="2" t="str">
        <f t="shared" si="463"/>
        <v>44060</v>
      </c>
      <c r="B12804" s="2" t="str">
        <f>"99218"</f>
        <v>99218</v>
      </c>
      <c r="C12804" s="1">
        <v>2.3468893222259899E-2</v>
      </c>
      <c r="D12804" s="1">
        <v>3.4139026111503101E-2</v>
      </c>
      <c r="E12804" s="1">
        <v>2.82145745349986E-2</v>
      </c>
      <c r="F12804" s="1">
        <v>2.4465100557714999E-2</v>
      </c>
    </row>
    <row r="12805" spans="1:6" x14ac:dyDescent="0.25">
      <c r="A12805" s="2" t="str">
        <f t="shared" si="463"/>
        <v>44060</v>
      </c>
      <c r="B12805" s="2" t="str">
        <f>"99027"</f>
        <v>99027</v>
      </c>
      <c r="C12805" s="1">
        <v>1.2577800335051801E-2</v>
      </c>
      <c r="D12805" s="1">
        <v>6.6601976005645699E-3</v>
      </c>
      <c r="E12805" s="1">
        <v>1.8869619911941701E-3</v>
      </c>
      <c r="F12805" s="1">
        <v>1.1722156498225399E-2</v>
      </c>
    </row>
    <row r="12806" spans="1:6" x14ac:dyDescent="0.25">
      <c r="A12806" s="2" t="str">
        <f t="shared" si="463"/>
        <v>44060</v>
      </c>
      <c r="B12806" s="2" t="str">
        <f>"99020"</f>
        <v>99020</v>
      </c>
      <c r="C12806" s="1">
        <v>0</v>
      </c>
      <c r="D12806" s="1">
        <v>0</v>
      </c>
      <c r="E12806" s="1">
        <v>8.9855332914008399E-5</v>
      </c>
      <c r="F12806" s="1">
        <v>3.3800912624640799E-6</v>
      </c>
    </row>
    <row r="12807" spans="1:6" x14ac:dyDescent="0.25">
      <c r="A12807" s="2" t="str">
        <f t="shared" si="463"/>
        <v>44060</v>
      </c>
      <c r="B12807" s="2" t="str">
        <f>"99022"</f>
        <v>99022</v>
      </c>
      <c r="C12807" s="1">
        <v>1.0940701929791701E-2</v>
      </c>
      <c r="D12807" s="1">
        <v>1.67607621736062E-3</v>
      </c>
      <c r="E12807" s="1">
        <v>5.4811753077545098E-3</v>
      </c>
      <c r="F12807" s="1">
        <v>1.0025350684468399E-2</v>
      </c>
    </row>
    <row r="12808" spans="1:6" x14ac:dyDescent="0.25">
      <c r="A12808" s="2" t="str">
        <f t="shared" si="463"/>
        <v>44060</v>
      </c>
      <c r="B12808" s="2" t="str">
        <f>"99013"</f>
        <v>99013</v>
      </c>
      <c r="C12808" s="1">
        <v>1.6790752874462399E-3</v>
      </c>
      <c r="D12808" s="1">
        <v>1.32321806633733E-4</v>
      </c>
      <c r="E12808" s="1">
        <v>6.2898733039805897E-4</v>
      </c>
      <c r="F12808" s="1">
        <v>1.5210410681088301E-3</v>
      </c>
    </row>
    <row r="12809" spans="1:6" x14ac:dyDescent="0.25">
      <c r="A12809" s="2" t="str">
        <f t="shared" si="463"/>
        <v>44060</v>
      </c>
      <c r="B12809" s="2" t="str">
        <f>"99003"</f>
        <v>99003</v>
      </c>
      <c r="C12809" s="1">
        <v>8.4526176402123197E-3</v>
      </c>
      <c r="D12809" s="1">
        <v>1.72018348623853E-3</v>
      </c>
      <c r="E12809" s="1">
        <v>2.5159493215922298E-3</v>
      </c>
      <c r="F12809" s="1">
        <v>7.7133682609430397E-3</v>
      </c>
    </row>
    <row r="12810" spans="1:6" x14ac:dyDescent="0.25">
      <c r="A12810" s="2" t="str">
        <f t="shared" si="463"/>
        <v>44060</v>
      </c>
      <c r="B12810" s="2" t="str">
        <f>"99209"</f>
        <v>99209</v>
      </c>
      <c r="C12810" s="1">
        <v>4.9838007395563398E-3</v>
      </c>
      <c r="D12810" s="1">
        <v>1.79516584333098E-2</v>
      </c>
      <c r="E12810" s="1">
        <v>8.9855332914008399E-5</v>
      </c>
      <c r="F12810" s="1">
        <v>5.7934764238634397E-3</v>
      </c>
    </row>
    <row r="12811" spans="1:6" x14ac:dyDescent="0.25">
      <c r="A12811" s="2" t="str">
        <f t="shared" si="463"/>
        <v>44060</v>
      </c>
      <c r="B12811" s="2" t="str">
        <f>"99208"</f>
        <v>99208</v>
      </c>
      <c r="C12811" s="1">
        <v>9.2078199115432594E-2</v>
      </c>
      <c r="D12811" s="1">
        <v>3.2595271700776203E-2</v>
      </c>
      <c r="E12811" s="1">
        <v>7.8803126965585404E-2</v>
      </c>
      <c r="F12811" s="1">
        <v>8.7020449552137905E-2</v>
      </c>
    </row>
    <row r="12812" spans="1:6" x14ac:dyDescent="0.25">
      <c r="A12812" s="2" t="str">
        <f t="shared" si="463"/>
        <v>44060</v>
      </c>
      <c r="B12812" s="2" t="str">
        <f>"99203"</f>
        <v>99203</v>
      </c>
      <c r="C12812" s="1">
        <v>3.8202778869600697E-2</v>
      </c>
      <c r="D12812" s="1">
        <v>1.7907551164431799E-2</v>
      </c>
      <c r="E12812" s="1">
        <v>2.69565998742025E-2</v>
      </c>
      <c r="F12812" s="1">
        <v>3.6224438059827599E-2</v>
      </c>
    </row>
    <row r="12813" spans="1:6" x14ac:dyDescent="0.25">
      <c r="A12813" s="2" t="str">
        <f t="shared" si="463"/>
        <v>44060</v>
      </c>
      <c r="B12813" s="2" t="str">
        <f>"99256"</f>
        <v>99256</v>
      </c>
      <c r="C12813" s="1">
        <v>0</v>
      </c>
      <c r="D12813" s="1">
        <v>4.4107268877911001E-5</v>
      </c>
      <c r="E12813" s="1">
        <v>0</v>
      </c>
      <c r="F12813" s="1">
        <v>3.3800912624640799E-6</v>
      </c>
    </row>
    <row r="12814" spans="1:6" x14ac:dyDescent="0.25">
      <c r="A12814" s="2" t="str">
        <f t="shared" si="463"/>
        <v>44060</v>
      </c>
      <c r="B12814" s="2" t="str">
        <f>"99109"</f>
        <v>99109</v>
      </c>
      <c r="C12814" s="1">
        <v>8.0061362569595704E-3</v>
      </c>
      <c r="D12814" s="1">
        <v>2.6905434015525699E-3</v>
      </c>
      <c r="E12814" s="1">
        <v>5.3913199748405003E-3</v>
      </c>
      <c r="F12814" s="1">
        <v>7.5004225114078003E-3</v>
      </c>
    </row>
    <row r="12815" spans="1:6" x14ac:dyDescent="0.25">
      <c r="A12815" s="2" t="str">
        <f t="shared" si="463"/>
        <v>44060</v>
      </c>
      <c r="B12815" s="2" t="str">
        <f>"99026"</f>
        <v>99026</v>
      </c>
      <c r="C12815" s="1">
        <v>1.6405328774389501E-2</v>
      </c>
      <c r="D12815" s="1">
        <v>7.4541284403669703E-3</v>
      </c>
      <c r="E12815" s="1">
        <v>2.6058046545062402E-3</v>
      </c>
      <c r="F12815" s="1">
        <v>1.52002704073009E-2</v>
      </c>
    </row>
    <row r="12816" spans="1:6" x14ac:dyDescent="0.25">
      <c r="A12816" s="2" t="str">
        <f t="shared" si="463"/>
        <v>44060</v>
      </c>
      <c r="B12816" s="2" t="str">
        <f>"99009"</f>
        <v>99009</v>
      </c>
      <c r="C12816" s="1">
        <v>5.0181454613450098E-3</v>
      </c>
      <c r="D12816" s="1">
        <v>2.1171489061397302E-3</v>
      </c>
      <c r="E12816" s="1">
        <v>1.97681732410818E-3</v>
      </c>
      <c r="F12816" s="1">
        <v>4.6814263985127504E-3</v>
      </c>
    </row>
    <row r="12817" spans="1:6" x14ac:dyDescent="0.25">
      <c r="A12817" s="2" t="str">
        <f t="shared" si="463"/>
        <v>44060</v>
      </c>
      <c r="B12817" s="2" t="str">
        <f>"99004"</f>
        <v>99004</v>
      </c>
      <c r="C12817" s="1">
        <v>3.6893863361432397E-2</v>
      </c>
      <c r="D12817" s="1">
        <v>2.66407904022582E-2</v>
      </c>
      <c r="E12817" s="1">
        <v>3.0101536526192799E-2</v>
      </c>
      <c r="F12817" s="1">
        <v>3.5852628020956498E-2</v>
      </c>
    </row>
    <row r="12818" spans="1:6" x14ac:dyDescent="0.25">
      <c r="A12818" s="2" t="str">
        <f t="shared" si="463"/>
        <v>44060</v>
      </c>
      <c r="B12818" s="2" t="str">
        <f>"99206"</f>
        <v>99206</v>
      </c>
      <c r="C12818" s="1">
        <v>6.2121969555312101E-2</v>
      </c>
      <c r="D12818" s="1">
        <v>7.4232533521524299E-2</v>
      </c>
      <c r="E12818" s="1">
        <v>6.4426273699344005E-2</v>
      </c>
      <c r="F12818" s="1">
        <v>6.3136724691566601E-2</v>
      </c>
    </row>
    <row r="12819" spans="1:6" x14ac:dyDescent="0.25">
      <c r="A12819" s="2" t="str">
        <f t="shared" si="463"/>
        <v>44060</v>
      </c>
      <c r="B12819" s="2" t="str">
        <f>"99202"</f>
        <v>99202</v>
      </c>
      <c r="C12819" s="1">
        <v>3.3871527844029102E-2</v>
      </c>
      <c r="D12819" s="1">
        <v>8.6847212420606903E-2</v>
      </c>
      <c r="E12819" s="1">
        <v>6.7211789019678295E-2</v>
      </c>
      <c r="F12819" s="1">
        <v>3.9185398005746101E-2</v>
      </c>
    </row>
    <row r="12820" spans="1:6" x14ac:dyDescent="0.25">
      <c r="A12820" s="2" t="str">
        <f t="shared" si="463"/>
        <v>44060</v>
      </c>
      <c r="B12820" s="2" t="str">
        <f>"99034"</f>
        <v>99034</v>
      </c>
      <c r="C12820" s="1">
        <v>6.7544619517723701E-4</v>
      </c>
      <c r="D12820" s="1">
        <v>8.8214537755822097E-5</v>
      </c>
      <c r="E12820" s="1">
        <v>3.59421331656033E-4</v>
      </c>
      <c r="F12820" s="1">
        <v>6.1855670103092703E-4</v>
      </c>
    </row>
    <row r="12821" spans="1:6" x14ac:dyDescent="0.25">
      <c r="A12821" s="2" t="str">
        <f t="shared" si="463"/>
        <v>44060</v>
      </c>
      <c r="B12821" s="2" t="str">
        <f>"99148"</f>
        <v>99148</v>
      </c>
      <c r="C12821" s="1">
        <v>5.0372258623387197E-3</v>
      </c>
      <c r="D12821" s="1">
        <v>1.4555398729710601E-3</v>
      </c>
      <c r="E12821" s="1">
        <v>4.4927666457004198E-3</v>
      </c>
      <c r="F12821" s="1">
        <v>4.7422680412371101E-3</v>
      </c>
    </row>
    <row r="12822" spans="1:6" x14ac:dyDescent="0.25">
      <c r="A12822" s="2" t="str">
        <f t="shared" ref="A12822:A12853" si="464">"44060"</f>
        <v>44060</v>
      </c>
      <c r="B12822" s="2" t="str">
        <f>"99101"</f>
        <v>99101</v>
      </c>
      <c r="C12822" s="1">
        <v>2.6063827757404098E-3</v>
      </c>
      <c r="D12822" s="1">
        <v>5.2928722653493201E-4</v>
      </c>
      <c r="E12822" s="1">
        <v>1.52754065953814E-3</v>
      </c>
      <c r="F12822" s="1">
        <v>2.4066249788744199E-3</v>
      </c>
    </row>
    <row r="12823" spans="1:6" x14ac:dyDescent="0.25">
      <c r="A12823" s="2" t="str">
        <f t="shared" si="464"/>
        <v>44060</v>
      </c>
      <c r="B12823" s="2" t="str">
        <f>"99025"</f>
        <v>99025</v>
      </c>
      <c r="C12823" s="1">
        <v>9.3799251285064996E-3</v>
      </c>
      <c r="D12823" s="1">
        <v>4.3666196189131902E-3</v>
      </c>
      <c r="E12823" s="1">
        <v>5.8405966394105401E-3</v>
      </c>
      <c r="F12823" s="1">
        <v>8.8625992901808295E-3</v>
      </c>
    </row>
    <row r="12824" spans="1:6" x14ac:dyDescent="0.25">
      <c r="A12824" s="2" t="str">
        <f t="shared" si="464"/>
        <v>44060</v>
      </c>
      <c r="B12824" s="2" t="str">
        <f>"99014"</f>
        <v>99014</v>
      </c>
      <c r="C12824" s="1">
        <v>3.8160801987414496E-6</v>
      </c>
      <c r="D12824" s="1">
        <v>0</v>
      </c>
      <c r="E12824" s="1">
        <v>1.7971066582801601E-4</v>
      </c>
      <c r="F12824" s="1">
        <v>1.01402737873922E-5</v>
      </c>
    </row>
    <row r="12825" spans="1:6" x14ac:dyDescent="0.25">
      <c r="A12825" s="2" t="str">
        <f t="shared" si="464"/>
        <v>44060</v>
      </c>
      <c r="B12825" s="2" t="str">
        <f>"99011"</f>
        <v>99011</v>
      </c>
      <c r="C12825" s="1">
        <v>4.9227434563764699E-3</v>
      </c>
      <c r="D12825" s="1">
        <v>2.51411432604093E-3</v>
      </c>
      <c r="E12825" s="1">
        <v>6.2898733039805897E-4</v>
      </c>
      <c r="F12825" s="1">
        <v>4.5766435693763699E-3</v>
      </c>
    </row>
    <row r="12826" spans="1:6" x14ac:dyDescent="0.25">
      <c r="A12826" s="2" t="str">
        <f t="shared" si="464"/>
        <v>44060</v>
      </c>
      <c r="B12826" s="2" t="str">
        <f>"99006"</f>
        <v>99006</v>
      </c>
      <c r="C12826" s="1">
        <v>1.7771485485538901E-2</v>
      </c>
      <c r="D12826" s="1">
        <v>3.9255469301340802E-3</v>
      </c>
      <c r="E12826" s="1">
        <v>1.40174319345853E-2</v>
      </c>
      <c r="F12826" s="1">
        <v>1.65692073685989E-2</v>
      </c>
    </row>
    <row r="12827" spans="1:6" x14ac:dyDescent="0.25">
      <c r="A12827" s="2" t="str">
        <f t="shared" si="464"/>
        <v>44060</v>
      </c>
      <c r="B12827" s="2" t="str">
        <f>"99023"</f>
        <v>99023</v>
      </c>
      <c r="C12827" s="1">
        <v>8.85330606108017E-4</v>
      </c>
      <c r="D12827" s="1">
        <v>4.4107268877911001E-5</v>
      </c>
      <c r="E12827" s="1">
        <v>1.7971066582801601E-4</v>
      </c>
      <c r="F12827" s="1">
        <v>7.9432144667906002E-4</v>
      </c>
    </row>
    <row r="12828" spans="1:6" x14ac:dyDescent="0.25">
      <c r="A12828" s="2" t="str">
        <f t="shared" si="464"/>
        <v>44060</v>
      </c>
      <c r="B12828" s="2" t="str">
        <f>"99214"</f>
        <v>99214</v>
      </c>
      <c r="C12828" s="1">
        <v>4.2358490206030096E-3</v>
      </c>
      <c r="D12828" s="1">
        <v>1.7290049400141099E-2</v>
      </c>
      <c r="E12828" s="1">
        <v>8.9855332914008399E-5</v>
      </c>
      <c r="F12828" s="1">
        <v>5.0802771674835203E-3</v>
      </c>
    </row>
    <row r="12829" spans="1:6" x14ac:dyDescent="0.25">
      <c r="A12829" s="2" t="str">
        <f t="shared" si="464"/>
        <v>44060</v>
      </c>
      <c r="B12829" s="2" t="str">
        <f>"99204"</f>
        <v>99204</v>
      </c>
      <c r="C12829" s="1">
        <v>1.7149464413144098E-2</v>
      </c>
      <c r="D12829" s="1">
        <v>2.4082568807339399E-2</v>
      </c>
      <c r="E12829" s="1">
        <v>7.1165423667894606E-2</v>
      </c>
      <c r="F12829" s="1">
        <v>1.97126922426905E-2</v>
      </c>
    </row>
    <row r="12830" spans="1:6" x14ac:dyDescent="0.25">
      <c r="A12830" s="2" t="str">
        <f t="shared" si="464"/>
        <v>44060</v>
      </c>
      <c r="B12830" s="2" t="str">
        <f>"99170"</f>
        <v>99170</v>
      </c>
      <c r="C12830" s="1">
        <v>4.4648138325274999E-4</v>
      </c>
      <c r="D12830" s="1">
        <v>1.32321806633733E-4</v>
      </c>
      <c r="E12830" s="1">
        <v>0</v>
      </c>
      <c r="F12830" s="1">
        <v>4.0561095149569001E-4</v>
      </c>
    </row>
    <row r="12831" spans="1:6" x14ac:dyDescent="0.25">
      <c r="A12831" s="2" t="str">
        <f t="shared" si="464"/>
        <v>44060</v>
      </c>
      <c r="B12831" s="2" t="str">
        <f>"99258"</f>
        <v>99258</v>
      </c>
      <c r="C12831" s="1">
        <v>0</v>
      </c>
      <c r="D12831" s="1">
        <v>4.4107268877911001E-5</v>
      </c>
      <c r="E12831" s="1">
        <v>0</v>
      </c>
      <c r="F12831" s="1">
        <v>3.3800912624640799E-6</v>
      </c>
    </row>
    <row r="12832" spans="1:6" x14ac:dyDescent="0.25">
      <c r="A12832" s="2" t="str">
        <f t="shared" si="464"/>
        <v>44060</v>
      </c>
      <c r="B12832" s="2" t="str">
        <f>"99131"</f>
        <v>99131</v>
      </c>
      <c r="C12832" s="1">
        <v>4.0450450106659401E-4</v>
      </c>
      <c r="D12832" s="1">
        <v>8.8214537755822097E-5</v>
      </c>
      <c r="E12832" s="1">
        <v>8.9855332914008399E-5</v>
      </c>
      <c r="F12832" s="1">
        <v>3.68429947608585E-4</v>
      </c>
    </row>
    <row r="12833" spans="1:6" x14ac:dyDescent="0.25">
      <c r="A12833" s="2" t="str">
        <f t="shared" si="464"/>
        <v>44060</v>
      </c>
      <c r="B12833" s="2" t="str">
        <f>"99032"</f>
        <v>99032</v>
      </c>
      <c r="C12833" s="1">
        <v>7.6321603974829093E-6</v>
      </c>
      <c r="D12833" s="1">
        <v>4.4107268877911001E-5</v>
      </c>
      <c r="E12833" s="1">
        <v>0</v>
      </c>
      <c r="F12833" s="1">
        <v>1.01402737873922E-5</v>
      </c>
    </row>
    <row r="12834" spans="1:6" x14ac:dyDescent="0.25">
      <c r="A12834" s="2" t="str">
        <f t="shared" si="464"/>
        <v>44060</v>
      </c>
      <c r="B12834" s="2" t="str">
        <f>"99110"</f>
        <v>99110</v>
      </c>
      <c r="C12834" s="1">
        <v>2.60256669554167E-3</v>
      </c>
      <c r="D12834" s="1">
        <v>8.8214537755822099E-4</v>
      </c>
      <c r="E12834" s="1">
        <v>1.97681732410818E-3</v>
      </c>
      <c r="F12834" s="1">
        <v>2.4471860740239901E-3</v>
      </c>
    </row>
    <row r="12835" spans="1:6" x14ac:dyDescent="0.25">
      <c r="A12835" s="2" t="str">
        <f t="shared" si="464"/>
        <v>44060</v>
      </c>
      <c r="B12835" s="2" t="str">
        <f>"99040"</f>
        <v>99040</v>
      </c>
      <c r="C12835" s="1">
        <v>2.02252250533297E-4</v>
      </c>
      <c r="D12835" s="1">
        <v>1.32321806633733E-4</v>
      </c>
      <c r="E12835" s="1">
        <v>6.1101626381525704E-3</v>
      </c>
      <c r="F12835" s="1">
        <v>4.1913131654554601E-4</v>
      </c>
    </row>
    <row r="12836" spans="1:6" x14ac:dyDescent="0.25">
      <c r="A12836" s="2" t="str">
        <f t="shared" si="464"/>
        <v>44060</v>
      </c>
      <c r="B12836" s="2" t="str">
        <f>"99114"</f>
        <v>99114</v>
      </c>
      <c r="C12836" s="1">
        <v>2.4987693141358999E-2</v>
      </c>
      <c r="D12836" s="1">
        <v>2.8934368383909601E-2</v>
      </c>
      <c r="E12836" s="1">
        <v>3.2887051846527002E-2</v>
      </c>
      <c r="F12836" s="1">
        <v>2.5587290856853101E-2</v>
      </c>
    </row>
    <row r="12837" spans="1:6" x14ac:dyDescent="0.25">
      <c r="A12837" s="2" t="str">
        <f t="shared" si="464"/>
        <v>44060</v>
      </c>
      <c r="B12837" s="2" t="str">
        <f>"99031"</f>
        <v>99031</v>
      </c>
      <c r="C12837" s="1">
        <v>1.4768230369129401E-3</v>
      </c>
      <c r="D12837" s="1">
        <v>3.5285815102328801E-4</v>
      </c>
      <c r="E12837" s="1">
        <v>4.4927666457004198E-4</v>
      </c>
      <c r="F12837" s="1">
        <v>1.35203650498563E-3</v>
      </c>
    </row>
    <row r="12838" spans="1:6" x14ac:dyDescent="0.25">
      <c r="A12838" s="2" t="str">
        <f t="shared" si="464"/>
        <v>44060</v>
      </c>
      <c r="B12838" s="2" t="str">
        <f>"99012"</f>
        <v>99012</v>
      </c>
      <c r="C12838" s="1">
        <v>1.00744517246774E-3</v>
      </c>
      <c r="D12838" s="1">
        <v>2.20536344389555E-4</v>
      </c>
      <c r="E12838" s="1">
        <v>4.4927666457004198E-3</v>
      </c>
      <c r="F12838" s="1">
        <v>1.07824911272604E-3</v>
      </c>
    </row>
    <row r="12839" spans="1:6" x14ac:dyDescent="0.25">
      <c r="A12839" s="2" t="str">
        <f t="shared" si="464"/>
        <v>44060</v>
      </c>
      <c r="B12839" s="2" t="str">
        <f>"99008"</f>
        <v>99008</v>
      </c>
      <c r="C12839" s="1">
        <v>4.1976882186155998E-4</v>
      </c>
      <c r="D12839" s="1">
        <v>0</v>
      </c>
      <c r="E12839" s="1">
        <v>8.9855332914008399E-5</v>
      </c>
      <c r="F12839" s="1">
        <v>3.7519013013351298E-4</v>
      </c>
    </row>
    <row r="12840" spans="1:6" x14ac:dyDescent="0.25">
      <c r="A12840" s="2" t="str">
        <f t="shared" si="464"/>
        <v>44060</v>
      </c>
      <c r="B12840" s="2" t="str">
        <f>"99213"</f>
        <v>99213</v>
      </c>
      <c r="C12840" s="1">
        <v>1.4920873577079E-3</v>
      </c>
      <c r="D12840" s="1">
        <v>5.95448129851799E-3</v>
      </c>
      <c r="E12840" s="1">
        <v>1.7971066582801601E-4</v>
      </c>
      <c r="F12840" s="1">
        <v>1.7846881865810299E-3</v>
      </c>
    </row>
    <row r="12841" spans="1:6" x14ac:dyDescent="0.25">
      <c r="A12841" s="2" t="str">
        <f t="shared" si="464"/>
        <v>44060</v>
      </c>
      <c r="B12841" s="2" t="str">
        <f>"99157"</f>
        <v>99157</v>
      </c>
      <c r="C12841" s="1">
        <v>4.5983766394834501E-3</v>
      </c>
      <c r="D12841" s="1">
        <v>2.6905434015525699E-3</v>
      </c>
      <c r="E12841" s="1">
        <v>1.61739599245215E-3</v>
      </c>
      <c r="F12841" s="1">
        <v>4.34003718100388E-3</v>
      </c>
    </row>
    <row r="12842" spans="1:6" x14ac:dyDescent="0.25">
      <c r="A12842" s="2" t="str">
        <f t="shared" si="464"/>
        <v>44060</v>
      </c>
      <c r="B12842" s="2" t="str">
        <f>"99219"</f>
        <v>99219</v>
      </c>
      <c r="C12842" s="1">
        <v>1.2745707863796401E-3</v>
      </c>
      <c r="D12842" s="1">
        <v>5.4693013408609699E-3</v>
      </c>
      <c r="E12842" s="1">
        <v>8.9855332914008399E-5</v>
      </c>
      <c r="F12842" s="1">
        <v>1.5514618894710099E-3</v>
      </c>
    </row>
    <row r="12843" spans="1:6" x14ac:dyDescent="0.25">
      <c r="A12843" s="2" t="str">
        <f t="shared" si="464"/>
        <v>44060</v>
      </c>
      <c r="B12843" s="2" t="str">
        <f>"99228"</f>
        <v>99228</v>
      </c>
      <c r="C12843" s="1">
        <v>5.6020057317524496E-3</v>
      </c>
      <c r="D12843" s="1">
        <v>1.20853916725476E-2</v>
      </c>
      <c r="E12843" s="1">
        <v>8.9855332914008399E-5</v>
      </c>
      <c r="F12843" s="1">
        <v>5.8914990704748999E-3</v>
      </c>
    </row>
    <row r="12844" spans="1:6" x14ac:dyDescent="0.25">
      <c r="A12844" s="2" t="str">
        <f t="shared" si="464"/>
        <v>44060</v>
      </c>
      <c r="B12844" s="2" t="str">
        <f>"99223"</f>
        <v>99223</v>
      </c>
      <c r="C12844" s="1">
        <v>6.1095443981850697E-2</v>
      </c>
      <c r="D12844" s="1">
        <v>3.5550458715596298E-2</v>
      </c>
      <c r="E12844" s="1">
        <v>7.3950938988228895E-2</v>
      </c>
      <c r="F12844" s="1">
        <v>5.9621429778603997E-2</v>
      </c>
    </row>
    <row r="12845" spans="1:6" x14ac:dyDescent="0.25">
      <c r="A12845" s="2" t="str">
        <f t="shared" si="464"/>
        <v>44060</v>
      </c>
      <c r="B12845" s="2" t="str">
        <f>"99126"</f>
        <v>99126</v>
      </c>
      <c r="C12845" s="1">
        <v>1.49590343790665E-3</v>
      </c>
      <c r="D12845" s="1">
        <v>8.8214537755822097E-5</v>
      </c>
      <c r="E12845" s="1">
        <v>7.1884266331206698E-4</v>
      </c>
      <c r="F12845" s="1">
        <v>1.35879668751056E-3</v>
      </c>
    </row>
    <row r="12846" spans="1:6" x14ac:dyDescent="0.25">
      <c r="A12846" s="2" t="str">
        <f t="shared" si="464"/>
        <v>44060</v>
      </c>
      <c r="B12846" s="2" t="str">
        <f>"99129"</f>
        <v>99129</v>
      </c>
      <c r="C12846" s="1">
        <v>1.5455124804902799E-3</v>
      </c>
      <c r="D12846" s="1">
        <v>3.5285815102328801E-4</v>
      </c>
      <c r="E12846" s="1">
        <v>8.9855332914008399E-5</v>
      </c>
      <c r="F12846" s="1">
        <v>1.39935778266013E-3</v>
      </c>
    </row>
    <row r="12847" spans="1:6" x14ac:dyDescent="0.25">
      <c r="A12847" s="2" t="str">
        <f t="shared" si="464"/>
        <v>44060</v>
      </c>
      <c r="B12847" s="2" t="str">
        <f>"99039"</f>
        <v>99039</v>
      </c>
      <c r="C12847" s="1">
        <v>0</v>
      </c>
      <c r="D12847" s="1">
        <v>0</v>
      </c>
      <c r="E12847" s="1">
        <v>4.4927666457004198E-3</v>
      </c>
      <c r="F12847" s="1">
        <v>1.6900456312320399E-4</v>
      </c>
    </row>
    <row r="12848" spans="1:6" x14ac:dyDescent="0.25">
      <c r="A12848" s="2" t="str">
        <f t="shared" si="464"/>
        <v>44060</v>
      </c>
      <c r="B12848" s="2" t="str">
        <f>"99016"</f>
        <v>99016</v>
      </c>
      <c r="C12848" s="1">
        <v>2.9151036638185902E-2</v>
      </c>
      <c r="D12848" s="1">
        <v>1.09827099505998E-2</v>
      </c>
      <c r="E12848" s="1">
        <v>7.9072692964327392E-3</v>
      </c>
      <c r="F12848" s="1">
        <v>2.6959607909413499E-2</v>
      </c>
    </row>
    <row r="12849" spans="1:6" x14ac:dyDescent="0.25">
      <c r="A12849" s="2" t="str">
        <f t="shared" si="464"/>
        <v>44060</v>
      </c>
      <c r="B12849" s="2" t="str">
        <f>"99005"</f>
        <v>99005</v>
      </c>
      <c r="C12849" s="1">
        <v>1.33448324549988E-2</v>
      </c>
      <c r="D12849" s="1">
        <v>1.1467889908256799E-3</v>
      </c>
      <c r="E12849" s="1">
        <v>2.6956599874202502E-3</v>
      </c>
      <c r="F12849" s="1">
        <v>1.2009464255534801E-2</v>
      </c>
    </row>
    <row r="12850" spans="1:6" x14ac:dyDescent="0.25">
      <c r="A12850" s="2" t="str">
        <f t="shared" si="464"/>
        <v>44060</v>
      </c>
      <c r="B12850" s="2" t="str">
        <f>"99173"</f>
        <v>99173</v>
      </c>
      <c r="C12850" s="1">
        <v>2.6063827757404098E-3</v>
      </c>
      <c r="D12850" s="1">
        <v>1.32321806633733E-4</v>
      </c>
      <c r="E12850" s="1">
        <v>4.5826219786144302E-3</v>
      </c>
      <c r="F12850" s="1">
        <v>2.49112726043603E-3</v>
      </c>
    </row>
    <row r="12851" spans="1:6" x14ac:dyDescent="0.25">
      <c r="A12851" s="2" t="str">
        <f t="shared" si="464"/>
        <v>44060</v>
      </c>
      <c r="B12851" s="2" t="str">
        <f>"99252"</f>
        <v>99252</v>
      </c>
      <c r="C12851" s="1">
        <v>0</v>
      </c>
      <c r="D12851" s="1">
        <v>4.4107268877911001E-5</v>
      </c>
      <c r="E12851" s="1">
        <v>0</v>
      </c>
      <c r="F12851" s="1">
        <v>3.3800912624640799E-6</v>
      </c>
    </row>
    <row r="12852" spans="1:6" x14ac:dyDescent="0.25">
      <c r="A12852" s="2" t="str">
        <f t="shared" si="464"/>
        <v>44060</v>
      </c>
      <c r="B12852" s="2" t="str">
        <f>"99224"</f>
        <v>99224</v>
      </c>
      <c r="C12852" s="1">
        <v>4.0210037054138698E-2</v>
      </c>
      <c r="D12852" s="1">
        <v>1.9451305575158701E-2</v>
      </c>
      <c r="E12852" s="1">
        <v>1.7521789918231601E-2</v>
      </c>
      <c r="F12852" s="1">
        <v>3.7765759675511199E-2</v>
      </c>
    </row>
    <row r="12853" spans="1:6" x14ac:dyDescent="0.25">
      <c r="A12853" s="2" t="str">
        <f t="shared" si="464"/>
        <v>44060</v>
      </c>
      <c r="B12853" s="2" t="str">
        <f>"99151"</f>
        <v>99151</v>
      </c>
      <c r="C12853" s="1">
        <v>0</v>
      </c>
      <c r="D12853" s="1">
        <v>0</v>
      </c>
      <c r="E12853" s="1">
        <v>7.4579926318627003E-3</v>
      </c>
      <c r="F12853" s="1">
        <v>2.8054757478451899E-4</v>
      </c>
    </row>
    <row r="12854" spans="1:6" x14ac:dyDescent="0.25">
      <c r="A12854" s="2" t="str">
        <f t="shared" ref="A12854:A12866" si="465">"44060"</f>
        <v>44060</v>
      </c>
      <c r="B12854" s="2" t="str">
        <f>"99018"</f>
        <v>99018</v>
      </c>
      <c r="C12854" s="1">
        <v>3.4344721788673099E-4</v>
      </c>
      <c r="D12854" s="1">
        <v>4.4107268877911001E-5</v>
      </c>
      <c r="E12854" s="1">
        <v>8.9855332914008399E-5</v>
      </c>
      <c r="F12854" s="1">
        <v>3.1096839614669499E-4</v>
      </c>
    </row>
    <row r="12855" spans="1:6" x14ac:dyDescent="0.25">
      <c r="A12855" s="2" t="str">
        <f t="shared" si="465"/>
        <v>44060</v>
      </c>
      <c r="B12855" s="2" t="str">
        <f>"99019"</f>
        <v>99019</v>
      </c>
      <c r="C12855" s="1">
        <v>2.2526321413170802E-2</v>
      </c>
      <c r="D12855" s="1">
        <v>2.80963302752293E-2</v>
      </c>
      <c r="E12855" s="1">
        <v>1.5634827927037399E-2</v>
      </c>
      <c r="F12855" s="1">
        <v>2.2693932736183801E-2</v>
      </c>
    </row>
    <row r="12856" spans="1:6" x14ac:dyDescent="0.25">
      <c r="A12856" s="2" t="str">
        <f t="shared" si="465"/>
        <v>44060</v>
      </c>
      <c r="B12856" s="2" t="str">
        <f>"99211"</f>
        <v>99211</v>
      </c>
      <c r="C12856" s="1">
        <v>1.3508923903544699E-3</v>
      </c>
      <c r="D12856" s="1">
        <v>7.9834156669019007E-3</v>
      </c>
      <c r="E12856" s="1">
        <v>8.9855332914008399E-5</v>
      </c>
      <c r="F12856" s="1">
        <v>1.8117289166807501E-3</v>
      </c>
    </row>
    <row r="12857" spans="1:6" x14ac:dyDescent="0.25">
      <c r="A12857" s="2" t="str">
        <f t="shared" si="465"/>
        <v>44060</v>
      </c>
      <c r="B12857" s="2" t="str">
        <f>"99210"</f>
        <v>99210</v>
      </c>
      <c r="C12857" s="1">
        <v>4.6975947246507303E-3</v>
      </c>
      <c r="D12857" s="1">
        <v>1.6804869442484101E-2</v>
      </c>
      <c r="E12857" s="1">
        <v>8.9855332914008399E-5</v>
      </c>
      <c r="F12857" s="1">
        <v>5.4520872063545701E-3</v>
      </c>
    </row>
    <row r="12858" spans="1:6" x14ac:dyDescent="0.25">
      <c r="A12858" s="2" t="str">
        <f t="shared" si="465"/>
        <v>44060</v>
      </c>
      <c r="B12858" s="2" t="str">
        <f>"99205"</f>
        <v>99205</v>
      </c>
      <c r="C12858" s="1">
        <v>7.1856790142301605E-2</v>
      </c>
      <c r="D12858" s="1">
        <v>3.9784756527875699E-2</v>
      </c>
      <c r="E12858" s="1">
        <v>4.12435978075298E-2</v>
      </c>
      <c r="F12858" s="1">
        <v>6.8247422680412298E-2</v>
      </c>
    </row>
    <row r="12859" spans="1:6" x14ac:dyDescent="0.25">
      <c r="A12859" s="2" t="str">
        <f t="shared" si="465"/>
        <v>44060</v>
      </c>
      <c r="B12859" s="2" t="str">
        <f>"99217"</f>
        <v>99217</v>
      </c>
      <c r="C12859" s="1">
        <v>3.2673278661624297E-2</v>
      </c>
      <c r="D12859" s="1">
        <v>3.22424135497529E-2</v>
      </c>
      <c r="E12859" s="1">
        <v>1.72522239194896E-2</v>
      </c>
      <c r="F12859" s="1">
        <v>3.2060165624471802E-2</v>
      </c>
    </row>
    <row r="12860" spans="1:6" x14ac:dyDescent="0.25">
      <c r="A12860" s="2" t="str">
        <f t="shared" si="465"/>
        <v>44060</v>
      </c>
      <c r="B12860" s="2" t="str">
        <f>"99216"</f>
        <v>99216</v>
      </c>
      <c r="C12860" s="1">
        <v>4.83115753160668E-2</v>
      </c>
      <c r="D12860" s="1">
        <v>5.6104446012702799E-2</v>
      </c>
      <c r="E12860" s="1">
        <v>5.3913199748405E-2</v>
      </c>
      <c r="F12860" s="1">
        <v>4.9119486226128099E-2</v>
      </c>
    </row>
    <row r="12861" spans="1:6" x14ac:dyDescent="0.25">
      <c r="A12861" s="2" t="str">
        <f t="shared" si="465"/>
        <v>44060</v>
      </c>
      <c r="B12861" s="2" t="str">
        <f>"99122"</f>
        <v>99122</v>
      </c>
      <c r="C12861" s="1">
        <v>6.1057283179863302E-5</v>
      </c>
      <c r="D12861" s="1">
        <v>0</v>
      </c>
      <c r="E12861" s="1">
        <v>8.9855332914008399E-5</v>
      </c>
      <c r="F12861" s="1">
        <v>5.7461551461889402E-5</v>
      </c>
    </row>
    <row r="12862" spans="1:6" x14ac:dyDescent="0.25">
      <c r="A12862" s="2" t="str">
        <f t="shared" si="465"/>
        <v>44060</v>
      </c>
      <c r="B12862" s="2" t="str">
        <f>"99137"</f>
        <v>99137</v>
      </c>
      <c r="C12862" s="1">
        <v>6.4873363378604705E-4</v>
      </c>
      <c r="D12862" s="1">
        <v>4.4107268877911001E-5</v>
      </c>
      <c r="E12862" s="1">
        <v>2.6956599874202499E-4</v>
      </c>
      <c r="F12862" s="1">
        <v>5.8813587966875097E-4</v>
      </c>
    </row>
    <row r="12863" spans="1:6" x14ac:dyDescent="0.25">
      <c r="A12863" s="2" t="str">
        <f t="shared" si="465"/>
        <v>44060</v>
      </c>
      <c r="B12863" s="2" t="str">
        <f>"99033"</f>
        <v>99033</v>
      </c>
      <c r="C12863" s="1">
        <v>4.9609042583638898E-5</v>
      </c>
      <c r="D12863" s="1">
        <v>0</v>
      </c>
      <c r="E12863" s="1">
        <v>8.9855332914008399E-5</v>
      </c>
      <c r="F12863" s="1">
        <v>4.7321277674497202E-5</v>
      </c>
    </row>
    <row r="12864" spans="1:6" x14ac:dyDescent="0.25">
      <c r="A12864" s="2" t="str">
        <f t="shared" si="465"/>
        <v>44060</v>
      </c>
      <c r="B12864" s="2" t="str">
        <f>"99030"</f>
        <v>99030</v>
      </c>
      <c r="C12864" s="1">
        <v>1.20206526260355E-3</v>
      </c>
      <c r="D12864" s="1">
        <v>3.9696541990119898E-4</v>
      </c>
      <c r="E12864" s="1">
        <v>6.2898733039805897E-4</v>
      </c>
      <c r="F12864" s="1">
        <v>1.11881020787561E-3</v>
      </c>
    </row>
    <row r="12865" spans="1:6" x14ac:dyDescent="0.25">
      <c r="A12865" s="2" t="str">
        <f t="shared" si="465"/>
        <v>44060</v>
      </c>
      <c r="B12865" s="2" t="str">
        <f>"99029"</f>
        <v>99029</v>
      </c>
      <c r="C12865" s="1">
        <v>5.9530851100366702E-4</v>
      </c>
      <c r="D12865" s="1">
        <v>0</v>
      </c>
      <c r="E12865" s="1">
        <v>1.7971066582801601E-4</v>
      </c>
      <c r="F12865" s="1">
        <v>5.34054419469325E-4</v>
      </c>
    </row>
    <row r="12866" spans="1:6" x14ac:dyDescent="0.25">
      <c r="A12866" s="2" t="str">
        <f t="shared" si="465"/>
        <v>44060</v>
      </c>
      <c r="B12866" s="2" t="str">
        <f>"99021"</f>
        <v>99021</v>
      </c>
      <c r="C12866" s="1">
        <v>1.82523115905803E-2</v>
      </c>
      <c r="D12866" s="1">
        <v>1.14678899082568E-2</v>
      </c>
      <c r="E12866" s="1">
        <v>3.14493665199029E-3</v>
      </c>
      <c r="F12866" s="1">
        <v>1.71641034307926E-2</v>
      </c>
    </row>
    <row r="12867" spans="1:6" x14ac:dyDescent="0.25">
      <c r="A12867" s="2" t="str">
        <f t="shared" ref="A12867:A12879" si="466">"21820"</f>
        <v>21820</v>
      </c>
      <c r="B12867" s="2" t="str">
        <f>"99703"</f>
        <v>99703</v>
      </c>
      <c r="C12867" s="1">
        <v>4.1957160856782798E-2</v>
      </c>
      <c r="D12867" s="1">
        <v>1.2917777322124201E-2</v>
      </c>
      <c r="E12867" s="1">
        <v>0.217107217107217</v>
      </c>
      <c r="F12867" s="1">
        <v>4.9978519261062497E-2</v>
      </c>
    </row>
    <row r="12868" spans="1:6" x14ac:dyDescent="0.25">
      <c r="A12868" s="2" t="str">
        <f t="shared" si="466"/>
        <v>21820</v>
      </c>
      <c r="B12868" s="2" t="str">
        <f>"99702"</f>
        <v>99702</v>
      </c>
      <c r="C12868" s="1">
        <v>3.5762284754304902E-2</v>
      </c>
      <c r="D12868" s="1">
        <v>4.7570227598933701E-2</v>
      </c>
      <c r="E12868" s="1">
        <v>0.13335313335313301</v>
      </c>
      <c r="F12868" s="1">
        <v>4.2675068022339897E-2</v>
      </c>
    </row>
    <row r="12869" spans="1:6" x14ac:dyDescent="0.25">
      <c r="A12869" s="2" t="str">
        <f t="shared" si="466"/>
        <v>21820</v>
      </c>
      <c r="B12869" s="2" t="str">
        <f>"99701"</f>
        <v>99701</v>
      </c>
      <c r="C12869" s="1">
        <v>0.18683326333473299</v>
      </c>
      <c r="D12869" s="1">
        <v>0.45109698585195801</v>
      </c>
      <c r="E12869" s="1">
        <v>0.33382833382833299</v>
      </c>
      <c r="F12869" s="1">
        <v>0.218763425461835</v>
      </c>
    </row>
    <row r="12870" spans="1:6" x14ac:dyDescent="0.25">
      <c r="A12870" s="2" t="str">
        <f t="shared" si="466"/>
        <v>21820</v>
      </c>
      <c r="B12870" s="2" t="str">
        <f>"99709"</f>
        <v>99709</v>
      </c>
      <c r="C12870" s="1">
        <v>0.250482990340193</v>
      </c>
      <c r="D12870" s="1">
        <v>0.18453967603034599</v>
      </c>
      <c r="E12870" s="1">
        <v>0.18621918621918601</v>
      </c>
      <c r="F12870" s="1">
        <v>0.240852785335815</v>
      </c>
    </row>
    <row r="12871" spans="1:6" x14ac:dyDescent="0.25">
      <c r="A12871" s="2" t="str">
        <f t="shared" si="466"/>
        <v>21820</v>
      </c>
      <c r="B12871" s="2" t="str">
        <f>"99790"</f>
        <v>99790</v>
      </c>
      <c r="C12871" s="1">
        <v>2.0999580008399799E-5</v>
      </c>
      <c r="D12871" s="1">
        <v>0</v>
      </c>
      <c r="E12871" s="1">
        <v>2.9700029700029698E-4</v>
      </c>
      <c r="F12871" s="1">
        <v>3.5801231562365703E-5</v>
      </c>
    </row>
    <row r="12872" spans="1:6" x14ac:dyDescent="0.25">
      <c r="A12872" s="2" t="str">
        <f t="shared" si="466"/>
        <v>21820</v>
      </c>
      <c r="B12872" s="2" t="str">
        <f>"99725"</f>
        <v>99725</v>
      </c>
      <c r="C12872" s="1">
        <v>0</v>
      </c>
      <c r="D12872" s="1">
        <v>0</v>
      </c>
      <c r="E12872" s="1">
        <v>2.9700029700029698E-4</v>
      </c>
      <c r="F12872" s="1">
        <v>1.79006157811828E-5</v>
      </c>
    </row>
    <row r="12873" spans="1:6" x14ac:dyDescent="0.25">
      <c r="A12873" s="2" t="str">
        <f t="shared" si="466"/>
        <v>21820</v>
      </c>
      <c r="B12873" s="2" t="str">
        <f>"99712"</f>
        <v>99712</v>
      </c>
      <c r="C12873" s="1">
        <v>0.106131877362452</v>
      </c>
      <c r="D12873" s="1">
        <v>8.6118515480828293E-3</v>
      </c>
      <c r="E12873" s="1">
        <v>2.1681021681021598E-2</v>
      </c>
      <c r="F12873" s="1">
        <v>9.2528282972934195E-2</v>
      </c>
    </row>
    <row r="12874" spans="1:6" x14ac:dyDescent="0.25">
      <c r="A12874" s="2" t="str">
        <f t="shared" si="466"/>
        <v>21820</v>
      </c>
      <c r="B12874" s="2" t="str">
        <f>"99708"</f>
        <v>99708</v>
      </c>
      <c r="C12874" s="1">
        <v>8.8681226375472405E-2</v>
      </c>
      <c r="D12874" s="1">
        <v>0.108468320688948</v>
      </c>
      <c r="E12874" s="1">
        <v>2.9700029700029698E-4</v>
      </c>
      <c r="F12874" s="1">
        <v>8.5081626807962094E-2</v>
      </c>
    </row>
    <row r="12875" spans="1:6" x14ac:dyDescent="0.25">
      <c r="A12875" s="2" t="str">
        <f t="shared" si="466"/>
        <v>21820</v>
      </c>
      <c r="B12875" s="2" t="str">
        <f>"99714"</f>
        <v>99714</v>
      </c>
      <c r="C12875" s="1">
        <v>1.2116757664846701E-2</v>
      </c>
      <c r="D12875" s="1">
        <v>1.4353085913471301E-3</v>
      </c>
      <c r="E12875" s="1">
        <v>1.1880011880011801E-3</v>
      </c>
      <c r="F12875" s="1">
        <v>1.05255620793355E-2</v>
      </c>
    </row>
    <row r="12876" spans="1:6" x14ac:dyDescent="0.25">
      <c r="A12876" s="2" t="str">
        <f t="shared" si="466"/>
        <v>21820</v>
      </c>
      <c r="B12876" s="2" t="str">
        <f>"99706"</f>
        <v>99706</v>
      </c>
      <c r="C12876" s="1">
        <v>2.5325493490130101E-2</v>
      </c>
      <c r="D12876" s="1">
        <v>2.9116259995899101E-2</v>
      </c>
      <c r="E12876" s="1">
        <v>2.9700029700029698E-4</v>
      </c>
      <c r="F12876" s="1">
        <v>2.41479306888156E-2</v>
      </c>
    </row>
    <row r="12877" spans="1:6" x14ac:dyDescent="0.25">
      <c r="A12877" s="2" t="str">
        <f t="shared" si="466"/>
        <v>21820</v>
      </c>
      <c r="B12877" s="2" t="str">
        <f>"99707"</f>
        <v>99707</v>
      </c>
      <c r="C12877" s="1">
        <v>8.1331373372532503E-2</v>
      </c>
      <c r="D12877" s="1">
        <v>0.104367438999384</v>
      </c>
      <c r="E12877" s="1">
        <v>2.9700029700029698E-4</v>
      </c>
      <c r="F12877" s="1">
        <v>7.8458398968924495E-2</v>
      </c>
    </row>
    <row r="12878" spans="1:6" x14ac:dyDescent="0.25">
      <c r="A12878" s="2" t="str">
        <f t="shared" si="466"/>
        <v>21820</v>
      </c>
      <c r="B12878" s="2" t="str">
        <f>"99705"</f>
        <v>99705</v>
      </c>
      <c r="C12878" s="1">
        <v>0.171356572868542</v>
      </c>
      <c r="D12878" s="1">
        <v>5.1876153372975103E-2</v>
      </c>
      <c r="E12878" s="1">
        <v>0.104841104841104</v>
      </c>
      <c r="F12878" s="1">
        <v>0.15691679793784899</v>
      </c>
    </row>
    <row r="12879" spans="1:6" x14ac:dyDescent="0.25">
      <c r="A12879" s="2" t="str">
        <f t="shared" si="466"/>
        <v>21820</v>
      </c>
      <c r="B12879" s="2" t="str">
        <f>"99775"</f>
        <v>99775</v>
      </c>
      <c r="C12879" s="1">
        <v>0</v>
      </c>
      <c r="D12879" s="1">
        <v>0</v>
      </c>
      <c r="E12879" s="1">
        <v>2.9700029700029698E-4</v>
      </c>
      <c r="F12879" s="1">
        <v>1.79006157811828E-5</v>
      </c>
    </row>
    <row r="12880" spans="1:6" x14ac:dyDescent="0.25">
      <c r="A12880" s="2" t="str">
        <f>"27940"</f>
        <v>27940</v>
      </c>
      <c r="B12880" s="2" t="str">
        <f>"99811"</f>
        <v>99811</v>
      </c>
      <c r="C12880" s="1">
        <v>0</v>
      </c>
      <c r="D12880" s="1">
        <v>1.1422044545973699E-3</v>
      </c>
      <c r="E12880" s="1">
        <v>0</v>
      </c>
      <c r="F12880" s="1">
        <v>1.3008130081300801E-4</v>
      </c>
    </row>
    <row r="12881" spans="1:6" x14ac:dyDescent="0.25">
      <c r="A12881" s="2" t="str">
        <f>"27940"</f>
        <v>27940</v>
      </c>
      <c r="B12881" s="2" t="str">
        <f>"99824"</f>
        <v>99824</v>
      </c>
      <c r="C12881" s="1">
        <v>7.1456739490495996E-2</v>
      </c>
      <c r="D12881" s="1">
        <v>1.37064534551684E-2</v>
      </c>
      <c r="E12881" s="1">
        <v>0.15026455026454999</v>
      </c>
      <c r="F12881" s="1">
        <v>6.9723577235772299E-2</v>
      </c>
    </row>
    <row r="12882" spans="1:6" x14ac:dyDescent="0.25">
      <c r="A12882" s="2" t="str">
        <f>"27940"</f>
        <v>27940</v>
      </c>
      <c r="B12882" s="2" t="str">
        <f>"99801"</f>
        <v>99801</v>
      </c>
      <c r="C12882" s="1">
        <v>0.92854326050950298</v>
      </c>
      <c r="D12882" s="1">
        <v>0.98515134209023403</v>
      </c>
      <c r="E12882" s="1">
        <v>0.84973544973544901</v>
      </c>
      <c r="F12882" s="1">
        <v>0.93014634146341402</v>
      </c>
    </row>
    <row r="12883" spans="1:6" x14ac:dyDescent="0.25">
      <c r="A12883" s="2" t="str">
        <f t="shared" ref="A12883:A12946" si="467">"14460"</f>
        <v>14460</v>
      </c>
      <c r="B12883" s="2" t="str">
        <f>"03874"</f>
        <v>03874</v>
      </c>
      <c r="C12883" s="1">
        <v>3.1912994902914302E-3</v>
      </c>
      <c r="D12883" s="1">
        <v>2.8000283547175101E-3</v>
      </c>
      <c r="E12883" s="1">
        <v>7.7251592403107495E-4</v>
      </c>
      <c r="F12883" s="1">
        <v>3.0245539655902398E-3</v>
      </c>
    </row>
    <row r="12884" spans="1:6" x14ac:dyDescent="0.25">
      <c r="A12884" s="2" t="str">
        <f t="shared" si="467"/>
        <v>14460</v>
      </c>
      <c r="B12884" s="2" t="str">
        <f>"03857"</f>
        <v>03857</v>
      </c>
      <c r="C12884" s="1">
        <v>2.2696981848441002E-3</v>
      </c>
      <c r="D12884" s="1">
        <v>8.6836322393138096E-4</v>
      </c>
      <c r="E12884" s="1">
        <v>1.82197151894121E-3</v>
      </c>
      <c r="F12884" s="1">
        <v>2.1198067809214201E-3</v>
      </c>
    </row>
    <row r="12885" spans="1:6" x14ac:dyDescent="0.25">
      <c r="A12885" s="2" t="str">
        <f t="shared" si="467"/>
        <v>14460</v>
      </c>
      <c r="B12885" s="2" t="str">
        <f>"03866"</f>
        <v>03866</v>
      </c>
      <c r="C12885" s="1">
        <v>5.4007319962078905E-4</v>
      </c>
      <c r="D12885" s="1">
        <v>1.79432196781739E-3</v>
      </c>
      <c r="E12885" s="1">
        <v>7.2878860757648603E-6</v>
      </c>
      <c r="F12885" s="1">
        <v>6.2340255575206904E-4</v>
      </c>
    </row>
    <row r="12886" spans="1:6" x14ac:dyDescent="0.25">
      <c r="A12886" s="2" t="str">
        <f t="shared" si="467"/>
        <v>14460</v>
      </c>
      <c r="B12886" s="2" t="str">
        <f>"03861"</f>
        <v>03861</v>
      </c>
      <c r="C12886" s="1">
        <v>8.9888578031305699E-4</v>
      </c>
      <c r="D12886" s="1">
        <v>3.8101651662295299E-4</v>
      </c>
      <c r="E12886" s="1">
        <v>4.8100048100048102E-4</v>
      </c>
      <c r="F12886" s="1">
        <v>8.2974840488706295E-4</v>
      </c>
    </row>
    <row r="12887" spans="1:6" x14ac:dyDescent="0.25">
      <c r="A12887" s="2" t="str">
        <f t="shared" si="467"/>
        <v>14460</v>
      </c>
      <c r="B12887" s="2" t="str">
        <f>"03844"</f>
        <v>03844</v>
      </c>
      <c r="C12887" s="1">
        <v>6.2583589655628E-4</v>
      </c>
      <c r="D12887" s="1">
        <v>8.7279364854327601E-4</v>
      </c>
      <c r="E12887" s="1">
        <v>1.4575772151529699E-4</v>
      </c>
      <c r="F12887" s="1">
        <v>6.2181527998949205E-4</v>
      </c>
    </row>
    <row r="12888" spans="1:6" x14ac:dyDescent="0.25">
      <c r="A12888" s="2" t="str">
        <f t="shared" si="467"/>
        <v>14460</v>
      </c>
      <c r="B12888" s="2" t="str">
        <f>"03843"</f>
        <v>03843</v>
      </c>
      <c r="C12888" s="1">
        <v>6.7080336467921205E-4</v>
      </c>
      <c r="D12888" s="1">
        <v>1.9759693769050798E-3</v>
      </c>
      <c r="E12888" s="1">
        <v>7.2878860757648603E-6</v>
      </c>
      <c r="F12888" s="1">
        <v>7.5157507358015205E-4</v>
      </c>
    </row>
    <row r="12889" spans="1:6" x14ac:dyDescent="0.25">
      <c r="A12889" s="2" t="str">
        <f t="shared" si="467"/>
        <v>14460</v>
      </c>
      <c r="B12889" s="2" t="str">
        <f>"03833"</f>
        <v>03833</v>
      </c>
      <c r="C12889" s="1">
        <v>5.0590719549027203E-3</v>
      </c>
      <c r="D12889" s="1">
        <v>5.4006876018997596E-3</v>
      </c>
      <c r="E12889" s="1">
        <v>3.7532613290189002E-3</v>
      </c>
      <c r="F12889" s="1">
        <v>5.0185691423274403E-3</v>
      </c>
    </row>
    <row r="12890" spans="1:6" x14ac:dyDescent="0.25">
      <c r="A12890" s="2" t="str">
        <f t="shared" si="467"/>
        <v>14460</v>
      </c>
      <c r="B12890" s="2" t="str">
        <f>"03819"</f>
        <v>03819</v>
      </c>
      <c r="C12890" s="1">
        <v>7.2828755073327104E-4</v>
      </c>
      <c r="D12890" s="1">
        <v>6.2025944566527198E-5</v>
      </c>
      <c r="E12890" s="1">
        <v>2.1863658227294499E-5</v>
      </c>
      <c r="F12890" s="1">
        <v>6.3014847774302003E-4</v>
      </c>
    </row>
    <row r="12891" spans="1:6" x14ac:dyDescent="0.25">
      <c r="A12891" s="2" t="str">
        <f t="shared" si="467"/>
        <v>14460</v>
      </c>
      <c r="B12891" s="2" t="str">
        <f>"03053"</f>
        <v>03053</v>
      </c>
      <c r="C12891" s="1">
        <v>4.9515208971241597E-3</v>
      </c>
      <c r="D12891" s="1">
        <v>5.8968951584319803E-3</v>
      </c>
      <c r="E12891" s="1">
        <v>2.07704753159298E-3</v>
      </c>
      <c r="F12891" s="1">
        <v>4.87968251310196E-3</v>
      </c>
    </row>
    <row r="12892" spans="1:6" x14ac:dyDescent="0.25">
      <c r="A12892" s="2" t="str">
        <f t="shared" si="467"/>
        <v>14460</v>
      </c>
      <c r="B12892" s="2" t="str">
        <f>"02767"</f>
        <v>02767</v>
      </c>
      <c r="C12892" s="1">
        <v>7.4173143295559102E-6</v>
      </c>
      <c r="D12892" s="1">
        <v>4.4304246118948001E-6</v>
      </c>
      <c r="E12892" s="1">
        <v>0</v>
      </c>
      <c r="F12892" s="1">
        <v>6.74592199095173E-6</v>
      </c>
    </row>
    <row r="12893" spans="1:6" x14ac:dyDescent="0.25">
      <c r="A12893" s="2" t="str">
        <f t="shared" si="467"/>
        <v>14460</v>
      </c>
      <c r="B12893" s="2" t="str">
        <f>"02494"</f>
        <v>02494</v>
      </c>
      <c r="C12893" s="1">
        <v>2.35963312108997E-3</v>
      </c>
      <c r="D12893" s="1">
        <v>4.78485858084638E-3</v>
      </c>
      <c r="E12893" s="1">
        <v>1.6251985948955599E-3</v>
      </c>
      <c r="F12893" s="1">
        <v>2.5368634875384899E-3</v>
      </c>
    </row>
    <row r="12894" spans="1:6" x14ac:dyDescent="0.25">
      <c r="A12894" s="2" t="str">
        <f t="shared" si="467"/>
        <v>14460</v>
      </c>
      <c r="B12894" s="2" t="str">
        <f>"02474"</f>
        <v>02474</v>
      </c>
      <c r="C12894" s="1">
        <v>5.7683526376665099E-3</v>
      </c>
      <c r="D12894" s="1">
        <v>2.2107818813355E-3</v>
      </c>
      <c r="E12894" s="1">
        <v>3.0682000378969999E-3</v>
      </c>
      <c r="F12894" s="1">
        <v>5.3026915038287001E-3</v>
      </c>
    </row>
    <row r="12895" spans="1:6" x14ac:dyDescent="0.25">
      <c r="A12895" s="2" t="str">
        <f t="shared" si="467"/>
        <v>14460</v>
      </c>
      <c r="B12895" s="2" t="str">
        <f>"02478"</f>
        <v>02478</v>
      </c>
      <c r="C12895" s="1">
        <v>5.0182767260901701E-3</v>
      </c>
      <c r="D12895" s="1">
        <v>4.4658680087899597E-3</v>
      </c>
      <c r="E12895" s="1">
        <v>1.3045316075619099E-3</v>
      </c>
      <c r="F12895" s="1">
        <v>4.7665891150183602E-3</v>
      </c>
    </row>
    <row r="12896" spans="1:6" x14ac:dyDescent="0.25">
      <c r="A12896" s="2" t="str">
        <f t="shared" si="467"/>
        <v>14460</v>
      </c>
      <c r="B12896" s="2" t="str">
        <f>"02467"</f>
        <v>02467</v>
      </c>
      <c r="C12896" s="1">
        <v>3.4444153417875199E-3</v>
      </c>
      <c r="D12896" s="1">
        <v>2.9905366130289898E-3</v>
      </c>
      <c r="E12896" s="1">
        <v>3.4471701138367801E-3</v>
      </c>
      <c r="F12896" s="1">
        <v>3.4039128728461099E-3</v>
      </c>
    </row>
    <row r="12897" spans="1:6" x14ac:dyDescent="0.25">
      <c r="A12897" s="2" t="str">
        <f t="shared" si="467"/>
        <v>14460</v>
      </c>
      <c r="B12897" s="2" t="str">
        <f>"02458"</f>
        <v>02458</v>
      </c>
      <c r="C12897" s="1">
        <v>2.4593032823933799E-3</v>
      </c>
      <c r="D12897" s="1">
        <v>2.8797759977316202E-3</v>
      </c>
      <c r="E12897" s="1">
        <v>3.1556546708061801E-3</v>
      </c>
      <c r="F12897" s="1">
        <v>2.5348793928352698E-3</v>
      </c>
    </row>
    <row r="12898" spans="1:6" x14ac:dyDescent="0.25">
      <c r="A12898" s="2" t="str">
        <f t="shared" si="467"/>
        <v>14460</v>
      </c>
      <c r="B12898" s="2" t="str">
        <f>"02462"</f>
        <v>02462</v>
      </c>
      <c r="C12898" s="1">
        <v>3.0364630536619498E-4</v>
      </c>
      <c r="D12898" s="1">
        <v>6.7342454100801003E-4</v>
      </c>
      <c r="E12898" s="1">
        <v>3.4253064556094798E-4</v>
      </c>
      <c r="F12898" s="1">
        <v>3.3888337531016299E-4</v>
      </c>
    </row>
    <row r="12899" spans="1:6" x14ac:dyDescent="0.25">
      <c r="A12899" s="2" t="str">
        <f t="shared" si="467"/>
        <v>14460</v>
      </c>
      <c r="B12899" s="2" t="str">
        <f>"02465"</f>
        <v>02465</v>
      </c>
      <c r="C12899" s="1">
        <v>2.1227426446897798E-3</v>
      </c>
      <c r="D12899" s="1">
        <v>1.1917842205997E-3</v>
      </c>
      <c r="E12899" s="1">
        <v>3.8625796201553699E-4</v>
      </c>
      <c r="F12899" s="1">
        <v>1.9448096280973201E-3</v>
      </c>
    </row>
    <row r="12900" spans="1:6" x14ac:dyDescent="0.25">
      <c r="A12900" s="2" t="str">
        <f t="shared" si="467"/>
        <v>14460</v>
      </c>
      <c r="B12900" s="2" t="str">
        <f>"02452"</f>
        <v>02452</v>
      </c>
      <c r="C12900" s="1">
        <v>2.53533075427132E-3</v>
      </c>
      <c r="D12900" s="1">
        <v>2.1221733890976098E-3</v>
      </c>
      <c r="E12900" s="1">
        <v>3.33056393662454E-3</v>
      </c>
      <c r="F12900" s="1">
        <v>2.5416253148262198E-3</v>
      </c>
    </row>
    <row r="12901" spans="1:6" x14ac:dyDescent="0.25">
      <c r="A12901" s="2" t="str">
        <f t="shared" si="467"/>
        <v>14460</v>
      </c>
      <c r="B12901" s="2" t="str">
        <f>"02367"</f>
        <v>02367</v>
      </c>
      <c r="C12901" s="1">
        <v>5.0159588153621802E-4</v>
      </c>
      <c r="D12901" s="1">
        <v>1.6835613525200199E-4</v>
      </c>
      <c r="E12901" s="1">
        <v>5.1015202530353997E-5</v>
      </c>
      <c r="F12901" s="1">
        <v>4.4721494610603502E-4</v>
      </c>
    </row>
    <row r="12902" spans="1:6" x14ac:dyDescent="0.25">
      <c r="A12902" s="2" t="str">
        <f t="shared" si="467"/>
        <v>14460</v>
      </c>
      <c r="B12902" s="2" t="str">
        <f>"02368"</f>
        <v>02368</v>
      </c>
      <c r="C12902" s="1">
        <v>6.3932613699315896E-3</v>
      </c>
      <c r="D12902" s="1">
        <v>5.0728361806195504E-3</v>
      </c>
      <c r="E12902" s="1">
        <v>2.71109362018452E-3</v>
      </c>
      <c r="F12902" s="1">
        <v>6.0745043433817099E-3</v>
      </c>
    </row>
    <row r="12903" spans="1:6" x14ac:dyDescent="0.25">
      <c r="A12903" s="2" t="str">
        <f t="shared" si="467"/>
        <v>14460</v>
      </c>
      <c r="B12903" s="2" t="str">
        <f>"02169"</f>
        <v>02169</v>
      </c>
      <c r="C12903" s="1">
        <v>1.32955359357289E-2</v>
      </c>
      <c r="D12903" s="1">
        <v>9.6051605585879309E-3</v>
      </c>
      <c r="E12903" s="1">
        <v>1.7170259594502E-2</v>
      </c>
      <c r="F12903" s="1">
        <v>1.3175976105150601E-2</v>
      </c>
    </row>
    <row r="12904" spans="1:6" x14ac:dyDescent="0.25">
      <c r="A12904" s="2" t="str">
        <f t="shared" si="467"/>
        <v>14460</v>
      </c>
      <c r="B12904" s="2" t="str">
        <f>"02133"</f>
        <v>02133</v>
      </c>
      <c r="C12904" s="1">
        <v>0</v>
      </c>
      <c r="D12904" s="1">
        <v>6.1582902105337695E-4</v>
      </c>
      <c r="E12904" s="1">
        <v>2.1863658227294499E-5</v>
      </c>
      <c r="F12904" s="1">
        <v>5.6348289571479103E-5</v>
      </c>
    </row>
    <row r="12905" spans="1:6" x14ac:dyDescent="0.25">
      <c r="A12905" s="2" t="str">
        <f t="shared" si="467"/>
        <v>14460</v>
      </c>
      <c r="B12905" s="2" t="str">
        <f>"02124"</f>
        <v>02124</v>
      </c>
      <c r="C12905" s="1">
        <v>8.8544189809073599E-3</v>
      </c>
      <c r="D12905" s="1">
        <v>4.6696675409371204E-3</v>
      </c>
      <c r="E12905" s="1">
        <v>3.1090121999212902E-2</v>
      </c>
      <c r="F12905" s="1">
        <v>9.6903185305318405E-3</v>
      </c>
    </row>
    <row r="12906" spans="1:6" x14ac:dyDescent="0.25">
      <c r="A12906" s="2" t="str">
        <f t="shared" si="467"/>
        <v>14460</v>
      </c>
      <c r="B12906" s="2" t="str">
        <f>"02120"</f>
        <v>02120</v>
      </c>
      <c r="C12906" s="1">
        <v>3.05176126446666E-3</v>
      </c>
      <c r="D12906" s="1">
        <v>1.33798823279223E-3</v>
      </c>
      <c r="E12906" s="1">
        <v>3.8334280758523099E-3</v>
      </c>
      <c r="F12906" s="1">
        <v>2.94082516911431E-3</v>
      </c>
    </row>
    <row r="12907" spans="1:6" x14ac:dyDescent="0.25">
      <c r="A12907" s="2" t="str">
        <f t="shared" si="467"/>
        <v>14460</v>
      </c>
      <c r="B12907" s="2" t="str">
        <f>"02054"</f>
        <v>02054</v>
      </c>
      <c r="C12907" s="1">
        <v>1.9266473971021401E-3</v>
      </c>
      <c r="D12907" s="1">
        <v>1.15634082370454E-3</v>
      </c>
      <c r="E12907" s="1">
        <v>3.7824128733219601E-3</v>
      </c>
      <c r="F12907" s="1">
        <v>1.9586982910198602E-3</v>
      </c>
    </row>
    <row r="12908" spans="1:6" x14ac:dyDescent="0.25">
      <c r="A12908" s="2" t="str">
        <f t="shared" si="467"/>
        <v>14460</v>
      </c>
      <c r="B12908" s="2" t="str">
        <f>"02061"</f>
        <v>02061</v>
      </c>
      <c r="C12908" s="1">
        <v>2.18161757718063E-3</v>
      </c>
      <c r="D12908" s="1">
        <v>4.6120720209824901E-3</v>
      </c>
      <c r="E12908" s="1">
        <v>9.5471307592519695E-4</v>
      </c>
      <c r="F12908" s="1">
        <v>2.3325017331067201E-3</v>
      </c>
    </row>
    <row r="12909" spans="1:6" x14ac:dyDescent="0.25">
      <c r="A12909" s="2" t="str">
        <f t="shared" si="467"/>
        <v>14460</v>
      </c>
      <c r="B12909" s="2" t="str">
        <f>"02050"</f>
        <v>02050</v>
      </c>
      <c r="C12909" s="1">
        <v>5.44152722502045E-3</v>
      </c>
      <c r="D12909" s="1">
        <v>4.1335861628978496E-3</v>
      </c>
      <c r="E12909" s="1">
        <v>2.0114565569111001E-3</v>
      </c>
      <c r="F12909" s="1">
        <v>5.1376148245207099E-3</v>
      </c>
    </row>
    <row r="12910" spans="1:6" x14ac:dyDescent="0.25">
      <c r="A12910" s="2" t="str">
        <f t="shared" si="467"/>
        <v>14460</v>
      </c>
      <c r="B12910" s="2" t="str">
        <f>"02044"</f>
        <v>02044</v>
      </c>
      <c r="C12910" s="1">
        <v>0</v>
      </c>
      <c r="D12910" s="1">
        <v>4.4304246118948001E-6</v>
      </c>
      <c r="E12910" s="1">
        <v>0</v>
      </c>
      <c r="F12910" s="1">
        <v>3.96818940644219E-7</v>
      </c>
    </row>
    <row r="12911" spans="1:6" x14ac:dyDescent="0.25">
      <c r="A12911" s="2" t="str">
        <f t="shared" si="467"/>
        <v>14460</v>
      </c>
      <c r="B12911" s="2" t="str">
        <f>"02038"</f>
        <v>02038</v>
      </c>
      <c r="C12911" s="1">
        <v>6.08776073598301E-3</v>
      </c>
      <c r="D12911" s="1">
        <v>5.6355001063301902E-3</v>
      </c>
      <c r="E12911" s="1">
        <v>2.55804801259346E-3</v>
      </c>
      <c r="F12911" s="1">
        <v>5.8550634692054598E-3</v>
      </c>
    </row>
    <row r="12912" spans="1:6" x14ac:dyDescent="0.25">
      <c r="A12912" s="2" t="str">
        <f t="shared" si="467"/>
        <v>14460</v>
      </c>
      <c r="B12912" s="2" t="str">
        <f>"01971"</f>
        <v>01971</v>
      </c>
      <c r="C12912" s="1">
        <v>2.9854690176462501E-4</v>
      </c>
      <c r="D12912" s="1">
        <v>2.6582547671368803E-4</v>
      </c>
      <c r="E12912" s="1">
        <v>7.2878860757648603E-6</v>
      </c>
      <c r="F12912" s="1">
        <v>2.7975735315417398E-4</v>
      </c>
    </row>
    <row r="12913" spans="1:6" x14ac:dyDescent="0.25">
      <c r="A12913" s="2" t="str">
        <f t="shared" si="467"/>
        <v>14460</v>
      </c>
      <c r="B12913" s="2" t="str">
        <f>"01951"</f>
        <v>01951</v>
      </c>
      <c r="C12913" s="1">
        <v>8.8034249448916695E-4</v>
      </c>
      <c r="D12913" s="1">
        <v>3.8101651662295299E-4</v>
      </c>
      <c r="E12913" s="1">
        <v>1.82197151894121E-4</v>
      </c>
      <c r="F12913" s="1">
        <v>7.9760607069488101E-4</v>
      </c>
    </row>
    <row r="12914" spans="1:6" x14ac:dyDescent="0.25">
      <c r="A12914" s="2" t="str">
        <f t="shared" si="467"/>
        <v>14460</v>
      </c>
      <c r="B12914" s="2" t="str">
        <f>"01949"</f>
        <v>01949</v>
      </c>
      <c r="C12914" s="1">
        <v>1.8334673858371E-3</v>
      </c>
      <c r="D12914" s="1">
        <v>2.9772453391933001E-3</v>
      </c>
      <c r="E12914" s="1">
        <v>1.1587738860466101E-3</v>
      </c>
      <c r="F12914" s="1">
        <v>1.8991754499232301E-3</v>
      </c>
    </row>
    <row r="12915" spans="1:6" x14ac:dyDescent="0.25">
      <c r="A12915" s="2" t="str">
        <f t="shared" si="467"/>
        <v>14460</v>
      </c>
      <c r="B12915" s="2" t="str">
        <f>"01945"</f>
        <v>01945</v>
      </c>
      <c r="C12915" s="1">
        <v>4.5514495054737401E-3</v>
      </c>
      <c r="D12915" s="1">
        <v>4.6342241440419599E-3</v>
      </c>
      <c r="E12915" s="1">
        <v>4.3581558733073802E-3</v>
      </c>
      <c r="F12915" s="1">
        <v>4.5483386976640401E-3</v>
      </c>
    </row>
    <row r="12916" spans="1:6" x14ac:dyDescent="0.25">
      <c r="A12916" s="2" t="str">
        <f t="shared" si="467"/>
        <v>14460</v>
      </c>
      <c r="B12916" s="2" t="str">
        <f>"01929"</f>
        <v>01929</v>
      </c>
      <c r="C12916" s="1">
        <v>6.8656515762951901E-4</v>
      </c>
      <c r="D12916" s="1">
        <v>6.4684199333664102E-4</v>
      </c>
      <c r="E12916" s="1">
        <v>4.4456105062165601E-4</v>
      </c>
      <c r="F12916" s="1">
        <v>6.6983037180744199E-4</v>
      </c>
    </row>
    <row r="12917" spans="1:6" x14ac:dyDescent="0.25">
      <c r="A12917" s="2" t="str">
        <f t="shared" si="467"/>
        <v>14460</v>
      </c>
      <c r="B12917" s="2" t="str">
        <f>"01907"</f>
        <v>01907</v>
      </c>
      <c r="C12917" s="1">
        <v>3.05083410017546E-3</v>
      </c>
      <c r="D12917" s="1">
        <v>1.88736088466718E-3</v>
      </c>
      <c r="E12917" s="1">
        <v>1.5450318480621499E-3</v>
      </c>
      <c r="F12917" s="1">
        <v>2.8646359325106199E-3</v>
      </c>
    </row>
    <row r="12918" spans="1:6" x14ac:dyDescent="0.25">
      <c r="A12918" s="2" t="str">
        <f t="shared" si="467"/>
        <v>14460</v>
      </c>
      <c r="B12918" s="2" t="str">
        <f>"01903"</f>
        <v>01903</v>
      </c>
      <c r="C12918" s="1">
        <v>5.5583499257109601E-4</v>
      </c>
      <c r="D12918" s="1">
        <v>6.4241156872474597E-4</v>
      </c>
      <c r="E12918" s="1">
        <v>1.45757721515297E-5</v>
      </c>
      <c r="F12918" s="1">
        <v>5.3411829410711896E-4</v>
      </c>
    </row>
    <row r="12919" spans="1:6" x14ac:dyDescent="0.25">
      <c r="A12919" s="2" t="str">
        <f t="shared" si="467"/>
        <v>14460</v>
      </c>
      <c r="B12919" s="2" t="str">
        <f>"01888"</f>
        <v>01888</v>
      </c>
      <c r="C12919" s="1">
        <v>2.14638533411524E-4</v>
      </c>
      <c r="D12919" s="1">
        <v>1.1873537959877999E-3</v>
      </c>
      <c r="E12919" s="1">
        <v>1.45757721515297E-5</v>
      </c>
      <c r="F12919" s="1">
        <v>2.90868283492213E-4</v>
      </c>
    </row>
    <row r="12920" spans="1:6" x14ac:dyDescent="0.25">
      <c r="A12920" s="2" t="str">
        <f t="shared" si="467"/>
        <v>14460</v>
      </c>
      <c r="B12920" s="2" t="str">
        <f>"01879"</f>
        <v>01879</v>
      </c>
      <c r="C12920" s="1">
        <v>2.1612199627743501E-3</v>
      </c>
      <c r="D12920" s="1">
        <v>2.0158431984121298E-3</v>
      </c>
      <c r="E12920" s="1">
        <v>1.26809217718308E-3</v>
      </c>
      <c r="F12920" s="1">
        <v>2.0995690149485601E-3</v>
      </c>
    </row>
    <row r="12921" spans="1:6" x14ac:dyDescent="0.25">
      <c r="A12921" s="2" t="str">
        <f t="shared" si="467"/>
        <v>14460</v>
      </c>
      <c r="B12921" s="2" t="str">
        <f>"01851"</f>
        <v>01851</v>
      </c>
      <c r="C12921" s="1">
        <v>5.2551672024903602E-3</v>
      </c>
      <c r="D12921" s="1">
        <v>4.3418161196568999E-3</v>
      </c>
      <c r="E12921" s="1">
        <v>7.47008322765898E-3</v>
      </c>
      <c r="F12921" s="1">
        <v>5.2939614871345296E-3</v>
      </c>
    </row>
    <row r="12922" spans="1:6" x14ac:dyDescent="0.25">
      <c r="A12922" s="2" t="str">
        <f t="shared" si="467"/>
        <v>14460</v>
      </c>
      <c r="B12922" s="2" t="str">
        <f>"01831"</f>
        <v>01831</v>
      </c>
      <c r="C12922" s="1">
        <v>6.6802187180562897E-4</v>
      </c>
      <c r="D12922" s="1">
        <v>1.0012759622882201E-3</v>
      </c>
      <c r="E12922" s="1">
        <v>1.45757721515297E-5</v>
      </c>
      <c r="F12922" s="1">
        <v>6.6229081193520196E-4</v>
      </c>
    </row>
    <row r="12923" spans="1:6" x14ac:dyDescent="0.25">
      <c r="A12923" s="2" t="str">
        <f t="shared" si="467"/>
        <v>14460</v>
      </c>
      <c r="B12923" s="2" t="str">
        <f>"01824"</f>
        <v>01824</v>
      </c>
      <c r="C12923" s="1">
        <v>4.8708576037902402E-3</v>
      </c>
      <c r="D12923" s="1">
        <v>6.2070248812646197E-3</v>
      </c>
      <c r="E12923" s="1">
        <v>2.7183815062602899E-3</v>
      </c>
      <c r="F12923" s="1">
        <v>4.8733334100516598E-3</v>
      </c>
    </row>
    <row r="12924" spans="1:6" x14ac:dyDescent="0.25">
      <c r="A12924" s="2" t="str">
        <f t="shared" si="467"/>
        <v>14460</v>
      </c>
      <c r="B12924" s="2" t="str">
        <f>"01773"</f>
        <v>01773</v>
      </c>
      <c r="C12924" s="1">
        <v>1.3355801614656599E-3</v>
      </c>
      <c r="D12924" s="1">
        <v>8.1962855320053798E-4</v>
      </c>
      <c r="E12924" s="1">
        <v>3.8625796201553699E-4</v>
      </c>
      <c r="F12924" s="1">
        <v>1.2376782758693201E-3</v>
      </c>
    </row>
    <row r="12925" spans="1:6" x14ac:dyDescent="0.25">
      <c r="A12925" s="2" t="str">
        <f t="shared" si="467"/>
        <v>14460</v>
      </c>
      <c r="B12925" s="2" t="str">
        <f>"01752"</f>
        <v>01752</v>
      </c>
      <c r="C12925" s="1">
        <v>8.7306425480329006E-3</v>
      </c>
      <c r="D12925" s="1">
        <v>1.0965300914439599E-2</v>
      </c>
      <c r="E12925" s="1">
        <v>1.12962234174355E-2</v>
      </c>
      <c r="F12925" s="1">
        <v>9.0704873452455703E-3</v>
      </c>
    </row>
    <row r="12926" spans="1:6" x14ac:dyDescent="0.25">
      <c r="A12926" s="2" t="str">
        <f t="shared" si="467"/>
        <v>14460</v>
      </c>
      <c r="B12926" s="2" t="str">
        <f>"01731"</f>
        <v>01731</v>
      </c>
      <c r="C12926" s="1">
        <v>3.4351436988755798E-4</v>
      </c>
      <c r="D12926" s="1">
        <v>2.3038207981852899E-4</v>
      </c>
      <c r="E12926" s="1">
        <v>5.1015202530353997E-5</v>
      </c>
      <c r="F12926" s="1">
        <v>3.1745515251537502E-4</v>
      </c>
    </row>
    <row r="12927" spans="1:6" x14ac:dyDescent="0.25">
      <c r="A12927" s="2" t="str">
        <f t="shared" si="467"/>
        <v>14460</v>
      </c>
      <c r="B12927" s="2" t="str">
        <f>"01704"</f>
        <v>01704</v>
      </c>
      <c r="C12927" s="1">
        <v>2.6238749440804E-4</v>
      </c>
      <c r="D12927" s="1">
        <v>4.8734670730842802E-4</v>
      </c>
      <c r="E12927" s="1">
        <v>1.45757721515297E-5</v>
      </c>
      <c r="F12927" s="1">
        <v>2.6904324175678002E-4</v>
      </c>
    </row>
    <row r="12928" spans="1:6" x14ac:dyDescent="0.25">
      <c r="A12928" s="2" t="str">
        <f t="shared" si="467"/>
        <v>14460</v>
      </c>
      <c r="B12928" s="2" t="str">
        <f>"01702"</f>
        <v>01702</v>
      </c>
      <c r="C12928" s="1">
        <v>7.3357238719307903E-3</v>
      </c>
      <c r="D12928" s="1">
        <v>7.4342524987594796E-3</v>
      </c>
      <c r="E12928" s="1">
        <v>8.7673269491451294E-3</v>
      </c>
      <c r="F12928" s="1">
        <v>7.4224982847501198E-3</v>
      </c>
    </row>
    <row r="12929" spans="1:6" x14ac:dyDescent="0.25">
      <c r="A12929" s="2" t="str">
        <f t="shared" si="467"/>
        <v>14460</v>
      </c>
      <c r="B12929" s="2" t="str">
        <f>"01472"</f>
        <v>01472</v>
      </c>
      <c r="C12929" s="1">
        <v>0</v>
      </c>
      <c r="D12929" s="1">
        <v>0</v>
      </c>
      <c r="E12929" s="1">
        <v>7.2878860757648603E-6</v>
      </c>
      <c r="F12929" s="1">
        <v>3.96818940644219E-7</v>
      </c>
    </row>
    <row r="12930" spans="1:6" x14ac:dyDescent="0.25">
      <c r="A12930" s="2" t="str">
        <f t="shared" si="467"/>
        <v>14460</v>
      </c>
      <c r="B12930" s="2" t="str">
        <f>"05501"</f>
        <v>05501</v>
      </c>
      <c r="C12930" s="1">
        <v>0</v>
      </c>
      <c r="D12930" s="1">
        <v>4.4304246118948001E-6</v>
      </c>
      <c r="E12930" s="1">
        <v>0</v>
      </c>
      <c r="F12930" s="1">
        <v>3.96818940644219E-7</v>
      </c>
    </row>
    <row r="12931" spans="1:6" x14ac:dyDescent="0.25">
      <c r="A12931" s="2" t="str">
        <f t="shared" si="467"/>
        <v>14460</v>
      </c>
      <c r="B12931" s="2" t="str">
        <f>"03885"</f>
        <v>03885</v>
      </c>
      <c r="C12931" s="1">
        <v>1.6684321420044801E-3</v>
      </c>
      <c r="D12931" s="1">
        <v>3.22977954207131E-3</v>
      </c>
      <c r="E12931" s="1">
        <v>5.0286413922777504E-4</v>
      </c>
      <c r="F12931" s="1">
        <v>1.7448128820126299E-3</v>
      </c>
    </row>
    <row r="12932" spans="1:6" x14ac:dyDescent="0.25">
      <c r="A12932" s="2" t="str">
        <f t="shared" si="467"/>
        <v>14460</v>
      </c>
      <c r="B12932" s="2" t="str">
        <f>"03884"</f>
        <v>03884</v>
      </c>
      <c r="C12932" s="1">
        <v>7.6166546521627199E-4</v>
      </c>
      <c r="D12932" s="1">
        <v>5.7595519954632403E-5</v>
      </c>
      <c r="E12932" s="1">
        <v>1.6033349366682701E-4</v>
      </c>
      <c r="F12932" s="1">
        <v>6.6586218240100004E-4</v>
      </c>
    </row>
    <row r="12933" spans="1:6" x14ac:dyDescent="0.25">
      <c r="A12933" s="2" t="str">
        <f t="shared" si="467"/>
        <v>14460</v>
      </c>
      <c r="B12933" s="2" t="str">
        <f>"03870"</f>
        <v>03870</v>
      </c>
      <c r="C12933" s="1">
        <v>1.4579658479033301E-3</v>
      </c>
      <c r="D12933" s="1">
        <v>1.74115687247465E-3</v>
      </c>
      <c r="E12933" s="1">
        <v>3.7897007593977201E-4</v>
      </c>
      <c r="F12933" s="1">
        <v>1.4245799969127399E-3</v>
      </c>
    </row>
    <row r="12934" spans="1:6" x14ac:dyDescent="0.25">
      <c r="A12934" s="2" t="str">
        <f t="shared" si="467"/>
        <v>14460</v>
      </c>
      <c r="B12934" s="2" t="str">
        <f>"03851"</f>
        <v>03851</v>
      </c>
      <c r="C12934" s="1">
        <v>1.26697000391726E-3</v>
      </c>
      <c r="D12934" s="1">
        <v>4.9620755653221802E-4</v>
      </c>
      <c r="E12934" s="1">
        <v>2.9151544303059398E-4</v>
      </c>
      <c r="F12934" s="1">
        <v>1.1448226437585701E-3</v>
      </c>
    </row>
    <row r="12935" spans="1:6" x14ac:dyDescent="0.25">
      <c r="A12935" s="2" t="str">
        <f t="shared" si="467"/>
        <v>14460</v>
      </c>
      <c r="B12935" s="2" t="str">
        <f>"03839"</f>
        <v>03839</v>
      </c>
      <c r="C12935" s="1">
        <v>8.3073920491026198E-4</v>
      </c>
      <c r="D12935" s="1">
        <v>6.2468987027716695E-4</v>
      </c>
      <c r="E12935" s="1">
        <v>6.8506129112189704E-4</v>
      </c>
      <c r="F12935" s="1">
        <v>8.0435199268583297E-4</v>
      </c>
    </row>
    <row r="12936" spans="1:6" x14ac:dyDescent="0.25">
      <c r="A12936" s="2" t="str">
        <f t="shared" si="467"/>
        <v>14460</v>
      </c>
      <c r="B12936" s="2" t="str">
        <f>"03842"</f>
        <v>03842</v>
      </c>
      <c r="C12936" s="1">
        <v>4.1889282676167003E-3</v>
      </c>
      <c r="D12936" s="1">
        <v>3.51332671723257E-3</v>
      </c>
      <c r="E12936" s="1">
        <v>4.5184893669742102E-3</v>
      </c>
      <c r="F12936" s="1">
        <v>4.1463611107914501E-3</v>
      </c>
    </row>
    <row r="12937" spans="1:6" x14ac:dyDescent="0.25">
      <c r="A12937" s="2" t="str">
        <f t="shared" si="467"/>
        <v>14460</v>
      </c>
      <c r="B12937" s="2" t="str">
        <f>"03815"</f>
        <v>03815</v>
      </c>
      <c r="C12937" s="1">
        <v>4.6358214559724397E-6</v>
      </c>
      <c r="D12937" s="1">
        <v>0</v>
      </c>
      <c r="E12937" s="1">
        <v>0</v>
      </c>
      <c r="F12937" s="1">
        <v>3.9681894064421896E-6</v>
      </c>
    </row>
    <row r="12938" spans="1:6" x14ac:dyDescent="0.25">
      <c r="A12938" s="2" t="str">
        <f t="shared" si="467"/>
        <v>14460</v>
      </c>
      <c r="B12938" s="2" t="str">
        <f>"03044"</f>
        <v>03044</v>
      </c>
      <c r="C12938" s="1">
        <v>8.4001084782220597E-4</v>
      </c>
      <c r="D12938" s="1">
        <v>1.63925710640107E-4</v>
      </c>
      <c r="E12938" s="1">
        <v>5.6116722783389401E-4</v>
      </c>
      <c r="F12938" s="1">
        <v>7.6427327968076704E-4</v>
      </c>
    </row>
    <row r="12939" spans="1:6" x14ac:dyDescent="0.25">
      <c r="A12939" s="2" t="str">
        <f t="shared" si="467"/>
        <v>14460</v>
      </c>
      <c r="B12939" s="2" t="str">
        <f>"03037"</f>
        <v>03037</v>
      </c>
      <c r="C12939" s="1">
        <v>8.2471263701749703E-4</v>
      </c>
      <c r="D12939" s="1">
        <v>2.2152123059473999E-4</v>
      </c>
      <c r="E12939" s="1">
        <v>1.89485037969886E-4</v>
      </c>
      <c r="F12939" s="1">
        <v>7.3609913489502705E-4</v>
      </c>
    </row>
    <row r="12940" spans="1:6" x14ac:dyDescent="0.25">
      <c r="A12940" s="2" t="str">
        <f t="shared" si="467"/>
        <v>14460</v>
      </c>
      <c r="B12940" s="2" t="str">
        <f>"02762"</f>
        <v>02762</v>
      </c>
      <c r="C12940" s="1">
        <v>2.2571814669129801E-3</v>
      </c>
      <c r="D12940" s="1">
        <v>2.7601545332104601E-3</v>
      </c>
      <c r="E12940" s="1">
        <v>1.58147127844097E-3</v>
      </c>
      <c r="F12940" s="1">
        <v>2.2654393321378499E-3</v>
      </c>
    </row>
    <row r="12941" spans="1:6" x14ac:dyDescent="0.25">
      <c r="A12941" s="2" t="str">
        <f t="shared" si="467"/>
        <v>14460</v>
      </c>
      <c r="B12941" s="2" t="str">
        <f>"02477"</f>
        <v>02477</v>
      </c>
      <c r="C12941" s="1">
        <v>0</v>
      </c>
      <c r="D12941" s="1">
        <v>4.4304246118948001E-6</v>
      </c>
      <c r="E12941" s="1">
        <v>0</v>
      </c>
      <c r="F12941" s="1">
        <v>3.96818940644219E-7</v>
      </c>
    </row>
    <row r="12942" spans="1:6" x14ac:dyDescent="0.25">
      <c r="A12942" s="2" t="str">
        <f t="shared" si="467"/>
        <v>14460</v>
      </c>
      <c r="B12942" s="2" t="str">
        <f>"02461"</f>
        <v>02461</v>
      </c>
      <c r="C12942" s="1">
        <v>1.30822881487542E-3</v>
      </c>
      <c r="D12942" s="1">
        <v>1.40887502658254E-3</v>
      </c>
      <c r="E12942" s="1">
        <v>6.0489454428848302E-4</v>
      </c>
      <c r="F12942" s="1">
        <v>1.27894744569632E-3</v>
      </c>
    </row>
    <row r="12943" spans="1:6" x14ac:dyDescent="0.25">
      <c r="A12943" s="2" t="str">
        <f t="shared" si="467"/>
        <v>14460</v>
      </c>
      <c r="B12943" s="2" t="str">
        <f>"02453"</f>
        <v>02453</v>
      </c>
      <c r="C12943" s="1">
        <v>5.9955078890091603E-3</v>
      </c>
      <c r="D12943" s="1">
        <v>5.4937265187495503E-3</v>
      </c>
      <c r="E12943" s="1">
        <v>7.7543107846138101E-3</v>
      </c>
      <c r="F12943" s="1">
        <v>6.0463301985959703E-3</v>
      </c>
    </row>
    <row r="12944" spans="1:6" x14ac:dyDescent="0.25">
      <c r="A12944" s="2" t="str">
        <f t="shared" si="467"/>
        <v>14460</v>
      </c>
      <c r="B12944" s="2" t="str">
        <f>"02421"</f>
        <v>02421</v>
      </c>
      <c r="C12944" s="1">
        <v>3.1871272509810498E-3</v>
      </c>
      <c r="D12944" s="1">
        <v>2.6139505210179301E-3</v>
      </c>
      <c r="E12944" s="1">
        <v>1.9458655822292099E-3</v>
      </c>
      <c r="F12944" s="1">
        <v>3.0682040490611E-3</v>
      </c>
    </row>
    <row r="12945" spans="1:6" x14ac:dyDescent="0.25">
      <c r="A12945" s="2" t="str">
        <f t="shared" si="467"/>
        <v>14460</v>
      </c>
      <c r="B12945" s="2" t="str">
        <f>"02381"</f>
        <v>02381</v>
      </c>
      <c r="C12945" s="1">
        <v>0</v>
      </c>
      <c r="D12945" s="1">
        <v>0</v>
      </c>
      <c r="E12945" s="1">
        <v>7.2878860757648603E-6</v>
      </c>
      <c r="F12945" s="1">
        <v>3.96818940644219E-7</v>
      </c>
    </row>
    <row r="12946" spans="1:6" x14ac:dyDescent="0.25">
      <c r="A12946" s="2" t="str">
        <f t="shared" si="467"/>
        <v>14460</v>
      </c>
      <c r="B12946" s="2" t="str">
        <f>"02350"</f>
        <v>02350</v>
      </c>
      <c r="C12946" s="1">
        <v>6.5828664674808703E-5</v>
      </c>
      <c r="D12946" s="1">
        <v>0</v>
      </c>
      <c r="E12946" s="1">
        <v>7.2878860757648603E-6</v>
      </c>
      <c r="F12946" s="1">
        <v>5.6745108512123399E-5</v>
      </c>
    </row>
    <row r="12947" spans="1:6" x14ac:dyDescent="0.25">
      <c r="A12947" s="2" t="str">
        <f t="shared" ref="A12947:A13010" si="468">"14460"</f>
        <v>14460</v>
      </c>
      <c r="B12947" s="2" t="str">
        <f>"02349"</f>
        <v>02349</v>
      </c>
      <c r="C12947" s="1">
        <v>0</v>
      </c>
      <c r="D12947" s="1">
        <v>4.4304246118948001E-6</v>
      </c>
      <c r="E12947" s="1">
        <v>0</v>
      </c>
      <c r="F12947" s="1">
        <v>3.96818940644219E-7</v>
      </c>
    </row>
    <row r="12948" spans="1:6" x14ac:dyDescent="0.25">
      <c r="A12948" s="2" t="str">
        <f t="shared" si="468"/>
        <v>14460</v>
      </c>
      <c r="B12948" s="2" t="str">
        <f>"02347"</f>
        <v>02347</v>
      </c>
      <c r="C12948" s="1">
        <v>2.1037357767202899E-3</v>
      </c>
      <c r="D12948" s="1">
        <v>1.4620401219252799E-3</v>
      </c>
      <c r="E12948" s="1">
        <v>6.4862186074307203E-4</v>
      </c>
      <c r="F12948" s="1">
        <v>1.96703148877339E-3</v>
      </c>
    </row>
    <row r="12949" spans="1:6" x14ac:dyDescent="0.25">
      <c r="A12949" s="2" t="str">
        <f t="shared" si="468"/>
        <v>14460</v>
      </c>
      <c r="B12949" s="2" t="str">
        <f>"02358"</f>
        <v>02358</v>
      </c>
      <c r="C12949" s="1">
        <v>0</v>
      </c>
      <c r="D12949" s="1">
        <v>0</v>
      </c>
      <c r="E12949" s="1">
        <v>7.2878860757648603E-6</v>
      </c>
      <c r="F12949" s="1">
        <v>3.96818940644219E-7</v>
      </c>
    </row>
    <row r="12950" spans="1:6" x14ac:dyDescent="0.25">
      <c r="A12950" s="2" t="str">
        <f t="shared" si="468"/>
        <v>14460</v>
      </c>
      <c r="B12950" s="2" t="str">
        <f>"02356"</f>
        <v>02356</v>
      </c>
      <c r="C12950" s="1">
        <v>3.70865716477795E-6</v>
      </c>
      <c r="D12950" s="1">
        <v>0</v>
      </c>
      <c r="E12950" s="1">
        <v>0</v>
      </c>
      <c r="F12950" s="1">
        <v>3.1745515251537499E-6</v>
      </c>
    </row>
    <row r="12951" spans="1:6" x14ac:dyDescent="0.25">
      <c r="A12951" s="2" t="str">
        <f t="shared" si="468"/>
        <v>14460</v>
      </c>
      <c r="B12951" s="2" t="str">
        <f>"02351"</f>
        <v>02351</v>
      </c>
      <c r="C12951" s="1">
        <v>3.21540576186248E-3</v>
      </c>
      <c r="D12951" s="1">
        <v>1.9848302261288699E-3</v>
      </c>
      <c r="E12951" s="1">
        <v>3.3815791391548899E-3</v>
      </c>
      <c r="F12951" s="1">
        <v>3.11423504617583E-3</v>
      </c>
    </row>
    <row r="12952" spans="1:6" x14ac:dyDescent="0.25">
      <c r="A12952" s="2" t="str">
        <f t="shared" si="468"/>
        <v>14460</v>
      </c>
      <c r="B12952" s="2" t="str">
        <f>"02325"</f>
        <v>02325</v>
      </c>
      <c r="C12952" s="1">
        <v>0</v>
      </c>
      <c r="D12952" s="1">
        <v>1.9050825831147601E-4</v>
      </c>
      <c r="E12952" s="1">
        <v>0</v>
      </c>
      <c r="F12952" s="1">
        <v>1.70632144477014E-5</v>
      </c>
    </row>
    <row r="12953" spans="1:6" x14ac:dyDescent="0.25">
      <c r="A12953" s="2" t="str">
        <f t="shared" si="468"/>
        <v>14460</v>
      </c>
      <c r="B12953" s="2" t="str">
        <f>"02330"</f>
        <v>02330</v>
      </c>
      <c r="C12953" s="1">
        <v>2.14777608055203E-3</v>
      </c>
      <c r="D12953" s="1">
        <v>1.0588714822428499E-3</v>
      </c>
      <c r="E12953" s="1">
        <v>6.0489454428848302E-4</v>
      </c>
      <c r="F12953" s="1">
        <v>1.9662378508920999E-3</v>
      </c>
    </row>
    <row r="12954" spans="1:6" x14ac:dyDescent="0.25">
      <c r="A12954" s="2" t="str">
        <f t="shared" si="468"/>
        <v>14460</v>
      </c>
      <c r="B12954" s="2" t="str">
        <f>"02322"</f>
        <v>02322</v>
      </c>
      <c r="C12954" s="1">
        <v>8.2424905487189998E-4</v>
      </c>
      <c r="D12954" s="1">
        <v>1.8164740908768601E-3</v>
      </c>
      <c r="E12954" s="1">
        <v>1.33368315186497E-3</v>
      </c>
      <c r="F12954" s="1">
        <v>9.4085770826744396E-4</v>
      </c>
    </row>
    <row r="12955" spans="1:6" x14ac:dyDescent="0.25">
      <c r="A12955" s="2" t="str">
        <f t="shared" si="468"/>
        <v>14460</v>
      </c>
      <c r="B12955" s="2" t="str">
        <f>"02222"</f>
        <v>02222</v>
      </c>
      <c r="C12955" s="1">
        <v>0</v>
      </c>
      <c r="D12955" s="1">
        <v>3.72155667399163E-4</v>
      </c>
      <c r="E12955" s="1">
        <v>2.9151544303059401E-5</v>
      </c>
      <c r="F12955" s="1">
        <v>3.4920066776691298E-5</v>
      </c>
    </row>
    <row r="12956" spans="1:6" x14ac:dyDescent="0.25">
      <c r="A12956" s="2" t="str">
        <f t="shared" si="468"/>
        <v>14460</v>
      </c>
      <c r="B12956" s="2" t="str">
        <f>"02199"</f>
        <v>02199</v>
      </c>
      <c r="C12956" s="1">
        <v>7.2272456498610402E-4</v>
      </c>
      <c r="D12956" s="1">
        <v>2.3259729212447701E-3</v>
      </c>
      <c r="E12956" s="1">
        <v>2.0406081012141599E-4</v>
      </c>
      <c r="F12956" s="1">
        <v>8.3808160264059104E-4</v>
      </c>
    </row>
    <row r="12957" spans="1:6" x14ac:dyDescent="0.25">
      <c r="A12957" s="2" t="str">
        <f t="shared" si="468"/>
        <v>14460</v>
      </c>
      <c r="B12957" s="2" t="str">
        <f>"02176"</f>
        <v>02176</v>
      </c>
      <c r="C12957" s="1">
        <v>5.8944469812689604E-3</v>
      </c>
      <c r="D12957" s="1">
        <v>3.5709222371872098E-3</v>
      </c>
      <c r="E12957" s="1">
        <v>4.6132318859591504E-3</v>
      </c>
      <c r="F12957" s="1">
        <v>5.6165752858782798E-3</v>
      </c>
    </row>
    <row r="12958" spans="1:6" x14ac:dyDescent="0.25">
      <c r="A12958" s="2" t="str">
        <f t="shared" si="468"/>
        <v>14460</v>
      </c>
      <c r="B12958" s="2" t="str">
        <f>"02144"</f>
        <v>02144</v>
      </c>
      <c r="C12958" s="1">
        <v>5.5972908259411197E-3</v>
      </c>
      <c r="D12958" s="1">
        <v>3.58864393563479E-3</v>
      </c>
      <c r="E12958" s="1">
        <v>3.9354584809130197E-3</v>
      </c>
      <c r="F12958" s="1">
        <v>5.3268974592080003E-3</v>
      </c>
    </row>
    <row r="12959" spans="1:6" x14ac:dyDescent="0.25">
      <c r="A12959" s="2" t="str">
        <f t="shared" si="468"/>
        <v>14460</v>
      </c>
      <c r="B12959" s="2" t="str">
        <f>"02141"</f>
        <v>02141</v>
      </c>
      <c r="C12959" s="1">
        <v>3.42401772738124E-3</v>
      </c>
      <c r="D12959" s="1">
        <v>2.9772453391933001E-3</v>
      </c>
      <c r="E12959" s="1">
        <v>7.30974973399215E-3</v>
      </c>
      <c r="F12959" s="1">
        <v>3.5955764211772702E-3</v>
      </c>
    </row>
    <row r="12960" spans="1:6" x14ac:dyDescent="0.25">
      <c r="A12960" s="2" t="str">
        <f t="shared" si="468"/>
        <v>14460</v>
      </c>
      <c r="B12960" s="2" t="str">
        <f>"02126"</f>
        <v>02126</v>
      </c>
      <c r="C12960" s="1">
        <v>4.2876712646289098E-3</v>
      </c>
      <c r="D12960" s="1">
        <v>2.4898986318848699E-3</v>
      </c>
      <c r="E12960" s="1">
        <v>3.2139577594122999E-3</v>
      </c>
      <c r="F12960" s="1">
        <v>4.0681877794845403E-3</v>
      </c>
    </row>
    <row r="12961" spans="1:6" x14ac:dyDescent="0.25">
      <c r="A12961" s="2" t="str">
        <f t="shared" si="468"/>
        <v>14460</v>
      </c>
      <c r="B12961" s="2" t="str">
        <f>"02127"</f>
        <v>02127</v>
      </c>
      <c r="C12961" s="1">
        <v>8.5962037258097007E-3</v>
      </c>
      <c r="D12961" s="1">
        <v>5.3696746296165001E-3</v>
      </c>
      <c r="E12961" s="1">
        <v>1.6740274316031801E-2</v>
      </c>
      <c r="F12961" s="1">
        <v>8.7506512790863304E-3</v>
      </c>
    </row>
    <row r="12962" spans="1:6" x14ac:dyDescent="0.25">
      <c r="A12962" s="2" t="str">
        <f t="shared" si="468"/>
        <v>14460</v>
      </c>
      <c r="B12962" s="2" t="str">
        <f>"02117"</f>
        <v>02117</v>
      </c>
      <c r="C12962" s="1">
        <v>5.1318543517614901E-4</v>
      </c>
      <c r="D12962" s="1">
        <v>9.8798468845254098E-4</v>
      </c>
      <c r="E12962" s="1">
        <v>1.45757721515297E-5</v>
      </c>
      <c r="F12962" s="1">
        <v>5.2856282893810002E-4</v>
      </c>
    </row>
    <row r="12963" spans="1:6" x14ac:dyDescent="0.25">
      <c r="A12963" s="2" t="str">
        <f t="shared" si="468"/>
        <v>14460</v>
      </c>
      <c r="B12963" s="2" t="str">
        <f>"02116"</f>
        <v>02116</v>
      </c>
      <c r="C12963" s="1">
        <v>6.1280923826499698E-3</v>
      </c>
      <c r="D12963" s="1">
        <v>1.28127879775997E-2</v>
      </c>
      <c r="E12963" s="1">
        <v>1.8533094290669998E-2</v>
      </c>
      <c r="F12963" s="1">
        <v>7.4022605187772702E-3</v>
      </c>
    </row>
    <row r="12964" spans="1:6" x14ac:dyDescent="0.25">
      <c r="A12964" s="2" t="str">
        <f t="shared" si="468"/>
        <v>14460</v>
      </c>
      <c r="B12964" s="2" t="str">
        <f>"02112"</f>
        <v>02112</v>
      </c>
      <c r="C12964" s="1">
        <v>4.45502441918951E-4</v>
      </c>
      <c r="D12964" s="1">
        <v>6.3355071950095597E-4</v>
      </c>
      <c r="E12964" s="1">
        <v>1.45757721515297E-5</v>
      </c>
      <c r="F12964" s="1">
        <v>4.3888174835250601E-4</v>
      </c>
    </row>
    <row r="12965" spans="1:6" x14ac:dyDescent="0.25">
      <c r="A12965" s="2" t="str">
        <f t="shared" si="468"/>
        <v>14460</v>
      </c>
      <c r="B12965" s="2" t="str">
        <f>"02110"</f>
        <v>02110</v>
      </c>
      <c r="C12965" s="1">
        <v>8.1961323341592804E-4</v>
      </c>
      <c r="D12965" s="1">
        <v>1.02298504288651E-2</v>
      </c>
      <c r="E12965" s="1">
        <v>1.9823050126080398E-3</v>
      </c>
      <c r="F12965" s="1">
        <v>1.7257655728617101E-3</v>
      </c>
    </row>
    <row r="12966" spans="1:6" x14ac:dyDescent="0.25">
      <c r="A12966" s="2" t="str">
        <f t="shared" si="468"/>
        <v>14460</v>
      </c>
      <c r="B12966" s="2" t="str">
        <f>"02093"</f>
        <v>02093</v>
      </c>
      <c r="C12966" s="1">
        <v>2.4583761181021799E-3</v>
      </c>
      <c r="D12966" s="1">
        <v>2.7601545332104601E-3</v>
      </c>
      <c r="E12966" s="1">
        <v>7.2878860757648605E-4</v>
      </c>
      <c r="F12966" s="1">
        <v>2.3912309363220601E-3</v>
      </c>
    </row>
    <row r="12967" spans="1:6" x14ac:dyDescent="0.25">
      <c r="A12967" s="2" t="str">
        <f t="shared" si="468"/>
        <v>14460</v>
      </c>
      <c r="B12967" s="2" t="str">
        <f>"02081"</f>
        <v>02081</v>
      </c>
      <c r="C12967" s="1">
        <v>3.8481953906027199E-3</v>
      </c>
      <c r="D12967" s="1">
        <v>4.5456156518040598E-3</v>
      </c>
      <c r="E12967" s="1">
        <v>2.37585086069934E-3</v>
      </c>
      <c r="F12967" s="1">
        <v>3.8304932340386499E-3</v>
      </c>
    </row>
    <row r="12968" spans="1:6" x14ac:dyDescent="0.25">
      <c r="A12968" s="2" t="str">
        <f t="shared" si="468"/>
        <v>14460</v>
      </c>
      <c r="B12968" s="2" t="str">
        <f>"02070"</f>
        <v>02070</v>
      </c>
      <c r="C12968" s="1">
        <v>0</v>
      </c>
      <c r="D12968" s="1">
        <v>0</v>
      </c>
      <c r="E12968" s="1">
        <v>7.2878860757648603E-6</v>
      </c>
      <c r="F12968" s="1">
        <v>3.96818940644219E-7</v>
      </c>
    </row>
    <row r="12969" spans="1:6" x14ac:dyDescent="0.25">
      <c r="A12969" s="2" t="str">
        <f t="shared" si="468"/>
        <v>14460</v>
      </c>
      <c r="B12969" s="2" t="str">
        <f>"02060"</f>
        <v>02060</v>
      </c>
      <c r="C12969" s="1">
        <v>2.2854599777944099E-4</v>
      </c>
      <c r="D12969" s="1">
        <v>5.0949883036790198E-4</v>
      </c>
      <c r="E12969" s="1">
        <v>1.45757721515297E-5</v>
      </c>
      <c r="F12969" s="1">
        <v>2.42059553792974E-4</v>
      </c>
    </row>
    <row r="12970" spans="1:6" x14ac:dyDescent="0.25">
      <c r="A12970" s="2" t="str">
        <f t="shared" si="468"/>
        <v>14460</v>
      </c>
      <c r="B12970" s="2" t="str">
        <f>"02059"</f>
        <v>02059</v>
      </c>
      <c r="C12970" s="1">
        <v>0</v>
      </c>
      <c r="D12970" s="1">
        <v>0</v>
      </c>
      <c r="E12970" s="1">
        <v>7.2878860757648603E-6</v>
      </c>
      <c r="F12970" s="1">
        <v>3.96818940644219E-7</v>
      </c>
    </row>
    <row r="12971" spans="1:6" x14ac:dyDescent="0.25">
      <c r="A12971" s="2" t="str">
        <f t="shared" si="468"/>
        <v>14460</v>
      </c>
      <c r="B12971" s="2" t="str">
        <f>"02051"</f>
        <v>02051</v>
      </c>
      <c r="C12971" s="1">
        <v>2.23446594177871E-4</v>
      </c>
      <c r="D12971" s="1">
        <v>1.8164740908768601E-4</v>
      </c>
      <c r="E12971" s="1">
        <v>1.45757721515297E-5</v>
      </c>
      <c r="F12971" s="1">
        <v>2.0832994383821501E-4</v>
      </c>
    </row>
    <row r="12972" spans="1:6" x14ac:dyDescent="0.25">
      <c r="A12972" s="2" t="str">
        <f t="shared" si="468"/>
        <v>14460</v>
      </c>
      <c r="B12972" s="2" t="str">
        <f>"02020"</f>
        <v>02020</v>
      </c>
      <c r="C12972" s="1">
        <v>3.2218959119008399E-4</v>
      </c>
      <c r="D12972" s="1">
        <v>6.2025944566527198E-5</v>
      </c>
      <c r="E12972" s="1">
        <v>7.2878860757648603E-6</v>
      </c>
      <c r="F12972" s="1">
        <v>2.8174144785739501E-4</v>
      </c>
    </row>
    <row r="12973" spans="1:6" x14ac:dyDescent="0.25">
      <c r="A12973" s="2" t="str">
        <f t="shared" si="468"/>
        <v>14460</v>
      </c>
      <c r="B12973" s="2" t="str">
        <f>"01937"</f>
        <v>01937</v>
      </c>
      <c r="C12973" s="1">
        <v>0</v>
      </c>
      <c r="D12973" s="1">
        <v>0</v>
      </c>
      <c r="E12973" s="1">
        <v>7.2878860757648603E-6</v>
      </c>
      <c r="F12973" s="1">
        <v>3.96818940644219E-7</v>
      </c>
    </row>
    <row r="12974" spans="1:6" x14ac:dyDescent="0.25">
      <c r="A12974" s="2" t="str">
        <f t="shared" si="468"/>
        <v>14460</v>
      </c>
      <c r="B12974" s="2" t="str">
        <f>"01936"</f>
        <v>01936</v>
      </c>
      <c r="C12974" s="1">
        <v>2.10466294101148E-4</v>
      </c>
      <c r="D12974" s="1">
        <v>2.4367335365421401E-4</v>
      </c>
      <c r="E12974" s="1">
        <v>1.45757721515297E-5</v>
      </c>
      <c r="F12974" s="1">
        <v>2.0277447866919599E-4</v>
      </c>
    </row>
    <row r="12975" spans="1:6" x14ac:dyDescent="0.25">
      <c r="A12975" s="2" t="str">
        <f t="shared" si="468"/>
        <v>14460</v>
      </c>
      <c r="B12975" s="2" t="str">
        <f>"01904"</f>
        <v>01904</v>
      </c>
      <c r="C12975" s="1">
        <v>3.4342165345843802E-3</v>
      </c>
      <c r="D12975" s="1">
        <v>2.0822995675905502E-3</v>
      </c>
      <c r="E12975" s="1">
        <v>1.2972437214861399E-3</v>
      </c>
      <c r="F12975" s="1">
        <v>3.1967733858298299E-3</v>
      </c>
    </row>
    <row r="12976" spans="1:6" x14ac:dyDescent="0.25">
      <c r="A12976" s="2" t="str">
        <f t="shared" si="468"/>
        <v>14460</v>
      </c>
      <c r="B12976" s="2" t="str">
        <f>"01905"</f>
        <v>01905</v>
      </c>
      <c r="C12976" s="1">
        <v>4.6552919060875199E-3</v>
      </c>
      <c r="D12976" s="1">
        <v>2.7778762316580398E-3</v>
      </c>
      <c r="E12976" s="1">
        <v>3.6075036075036001E-3</v>
      </c>
      <c r="F12976" s="1">
        <v>4.4300866533520597E-3</v>
      </c>
    </row>
    <row r="12977" spans="1:6" x14ac:dyDescent="0.25">
      <c r="A12977" s="2" t="str">
        <f t="shared" si="468"/>
        <v>14460</v>
      </c>
      <c r="B12977" s="2" t="str">
        <f>"01889"</f>
        <v>01889</v>
      </c>
      <c r="C12977" s="1">
        <v>0</v>
      </c>
      <c r="D12977" s="1">
        <v>4.4304246118948001E-6</v>
      </c>
      <c r="E12977" s="1">
        <v>7.2878860757648603E-6</v>
      </c>
      <c r="F12977" s="1">
        <v>7.9363788128843896E-7</v>
      </c>
    </row>
    <row r="12978" spans="1:6" x14ac:dyDescent="0.25">
      <c r="A12978" s="2" t="str">
        <f t="shared" si="468"/>
        <v>14460</v>
      </c>
      <c r="B12978" s="2" t="str">
        <f>"01890"</f>
        <v>01890</v>
      </c>
      <c r="C12978" s="1">
        <v>4.0776685526733598E-3</v>
      </c>
      <c r="D12978" s="1">
        <v>3.9209257815269001E-3</v>
      </c>
      <c r="E12978" s="1">
        <v>1.4867287594560301E-3</v>
      </c>
      <c r="F12978" s="1">
        <v>3.9225552282681096E-3</v>
      </c>
    </row>
    <row r="12979" spans="1:6" x14ac:dyDescent="0.25">
      <c r="A12979" s="2" t="str">
        <f t="shared" si="468"/>
        <v>14460</v>
      </c>
      <c r="B12979" s="2" t="str">
        <f>"01880"</f>
        <v>01880</v>
      </c>
      <c r="C12979" s="1">
        <v>5.4151030427214098E-3</v>
      </c>
      <c r="D12979" s="1">
        <v>7.1196923513149497E-3</v>
      </c>
      <c r="E12979" s="1">
        <v>4.76627749355022E-3</v>
      </c>
      <c r="F12979" s="1">
        <v>5.5324496704617096E-3</v>
      </c>
    </row>
    <row r="12980" spans="1:6" x14ac:dyDescent="0.25">
      <c r="A12980" s="2" t="str">
        <f t="shared" si="468"/>
        <v>14460</v>
      </c>
      <c r="B12980" s="2" t="str">
        <f>"01867"</f>
        <v>01867</v>
      </c>
      <c r="C12980" s="1">
        <v>4.7517169923717503E-3</v>
      </c>
      <c r="D12980" s="1">
        <v>4.0449776706599503E-3</v>
      </c>
      <c r="E12980" s="1">
        <v>1.9823050126080398E-3</v>
      </c>
      <c r="F12980" s="1">
        <v>4.5376245862666503E-3</v>
      </c>
    </row>
    <row r="12981" spans="1:6" x14ac:dyDescent="0.25">
      <c r="A12981" s="2" t="str">
        <f t="shared" si="468"/>
        <v>14460</v>
      </c>
      <c r="B12981" s="2" t="str">
        <f>"01863"</f>
        <v>01863</v>
      </c>
      <c r="C12981" s="1">
        <v>2.1041993588658899E-3</v>
      </c>
      <c r="D12981" s="1">
        <v>2.3082512227971899E-3</v>
      </c>
      <c r="E12981" s="1">
        <v>1.11504656959202E-3</v>
      </c>
      <c r="F12981" s="1">
        <v>2.0686171375783099E-3</v>
      </c>
    </row>
    <row r="12982" spans="1:6" x14ac:dyDescent="0.25">
      <c r="A12982" s="2" t="str">
        <f t="shared" si="468"/>
        <v>14460</v>
      </c>
      <c r="B12982" s="2" t="str">
        <f>"01833"</f>
        <v>01833</v>
      </c>
      <c r="C12982" s="1">
        <v>1.6179016881343799E-3</v>
      </c>
      <c r="D12982" s="1">
        <v>1.4531792727014901E-3</v>
      </c>
      <c r="E12982" s="1">
        <v>9.6200096200096204E-4</v>
      </c>
      <c r="F12982" s="1">
        <v>1.5674348155446599E-3</v>
      </c>
    </row>
    <row r="12983" spans="1:6" x14ac:dyDescent="0.25">
      <c r="A12983" s="2" t="str">
        <f t="shared" si="468"/>
        <v>14460</v>
      </c>
      <c r="B12983" s="2" t="str">
        <f>"01812"</f>
        <v>01812</v>
      </c>
      <c r="C12983" s="1">
        <v>0</v>
      </c>
      <c r="D12983" s="1">
        <v>4.4304246118948001E-6</v>
      </c>
      <c r="E12983" s="1">
        <v>0</v>
      </c>
      <c r="F12983" s="1">
        <v>3.96818940644219E-7</v>
      </c>
    </row>
    <row r="12984" spans="1:6" x14ac:dyDescent="0.25">
      <c r="A12984" s="2" t="str">
        <f t="shared" si="468"/>
        <v>14460</v>
      </c>
      <c r="B12984" s="2" t="str">
        <f>"01784"</f>
        <v>01784</v>
      </c>
      <c r="C12984" s="1">
        <v>0</v>
      </c>
      <c r="D12984" s="1">
        <v>0</v>
      </c>
      <c r="E12984" s="1">
        <v>7.2878860757648603E-6</v>
      </c>
      <c r="F12984" s="1">
        <v>3.96818940644219E-7</v>
      </c>
    </row>
    <row r="12985" spans="1:6" x14ac:dyDescent="0.25">
      <c r="A12985" s="2" t="str">
        <f t="shared" si="468"/>
        <v>14460</v>
      </c>
      <c r="B12985" s="2" t="str">
        <f>"01778"</f>
        <v>01778</v>
      </c>
      <c r="C12985" s="1">
        <v>2.5742716545014898E-3</v>
      </c>
      <c r="D12985" s="1">
        <v>1.35570993123981E-3</v>
      </c>
      <c r="E12985" s="1">
        <v>6.9234917719766201E-4</v>
      </c>
      <c r="F12985" s="1">
        <v>2.3626599725956798E-3</v>
      </c>
    </row>
    <row r="12986" spans="1:6" x14ac:dyDescent="0.25">
      <c r="A12986" s="2" t="str">
        <f t="shared" si="468"/>
        <v>14460</v>
      </c>
      <c r="B12986" s="2" t="str">
        <f>"01754"</f>
        <v>01754</v>
      </c>
      <c r="C12986" s="1">
        <v>2.2636716169513399E-3</v>
      </c>
      <c r="D12986" s="1">
        <v>2.13989508754519E-3</v>
      </c>
      <c r="E12986" s="1">
        <v>2.8204119113210001E-3</v>
      </c>
      <c r="F12986" s="1">
        <v>2.2828993655261902E-3</v>
      </c>
    </row>
    <row r="12987" spans="1:6" x14ac:dyDescent="0.25">
      <c r="A12987" s="2" t="str">
        <f t="shared" si="468"/>
        <v>14460</v>
      </c>
      <c r="B12987" s="2" t="str">
        <f>"01748"</f>
        <v>01748</v>
      </c>
      <c r="C12987" s="1">
        <v>3.6215037214056699E-3</v>
      </c>
      <c r="D12987" s="1">
        <v>3.1057276529382499E-3</v>
      </c>
      <c r="E12987" s="1">
        <v>1.1733496581981401E-3</v>
      </c>
      <c r="F12987" s="1">
        <v>3.4420074911479599E-3</v>
      </c>
    </row>
    <row r="12988" spans="1:6" x14ac:dyDescent="0.25">
      <c r="A12988" s="2" t="str">
        <f t="shared" si="468"/>
        <v>14460</v>
      </c>
      <c r="B12988" s="2" t="str">
        <f>"01532"</f>
        <v>01532</v>
      </c>
      <c r="C12988" s="1">
        <v>7.8808964751531506E-6</v>
      </c>
      <c r="D12988" s="1">
        <v>4.4304246118948001E-6</v>
      </c>
      <c r="E12988" s="1">
        <v>0</v>
      </c>
      <c r="F12988" s="1">
        <v>7.1427409315959501E-6</v>
      </c>
    </row>
    <row r="12989" spans="1:6" x14ac:dyDescent="0.25">
      <c r="A12989" s="2" t="str">
        <f t="shared" si="468"/>
        <v>14460</v>
      </c>
      <c r="B12989" s="2" t="str">
        <f>"01463"</f>
        <v>01463</v>
      </c>
      <c r="C12989" s="1">
        <v>2.7156642089086499E-3</v>
      </c>
      <c r="D12989" s="1">
        <v>1.51963564187991E-3</v>
      </c>
      <c r="E12989" s="1">
        <v>1.2243648607284899E-3</v>
      </c>
      <c r="F12989" s="1">
        <v>2.5273398329630301E-3</v>
      </c>
    </row>
    <row r="12990" spans="1:6" x14ac:dyDescent="0.25">
      <c r="A12990" s="2" t="str">
        <f t="shared" si="468"/>
        <v>14460</v>
      </c>
      <c r="B12990" s="2" t="str">
        <f>"01469"</f>
        <v>01469</v>
      </c>
      <c r="C12990" s="1">
        <v>1.2563076145685301E-3</v>
      </c>
      <c r="D12990" s="1">
        <v>5.0506840575600704E-4</v>
      </c>
      <c r="E12990" s="1">
        <v>4.00833734167067E-4</v>
      </c>
      <c r="F12990" s="1">
        <v>1.1424417301146999E-3</v>
      </c>
    </row>
    <row r="12991" spans="1:6" x14ac:dyDescent="0.25">
      <c r="A12991" s="2" t="str">
        <f t="shared" si="468"/>
        <v>14460</v>
      </c>
      <c r="B12991" s="2" t="str">
        <f>"01460"</f>
        <v>01460</v>
      </c>
      <c r="C12991" s="1">
        <v>2.1375772733488898E-3</v>
      </c>
      <c r="D12991" s="1">
        <v>2.7247111363153001E-3</v>
      </c>
      <c r="E12991" s="1">
        <v>9.0369787339484296E-4</v>
      </c>
      <c r="F12991" s="1">
        <v>2.1229813324465702E-3</v>
      </c>
    </row>
    <row r="12992" spans="1:6" x14ac:dyDescent="0.25">
      <c r="A12992" s="2" t="str">
        <f t="shared" si="468"/>
        <v>14460</v>
      </c>
      <c r="B12992" s="2" t="str">
        <f>"03868"</f>
        <v>03868</v>
      </c>
      <c r="C12992" s="1">
        <v>1.4148527083627899E-3</v>
      </c>
      <c r="D12992" s="1">
        <v>5.5380307648685001E-4</v>
      </c>
      <c r="E12992" s="1">
        <v>5.4659145568236405E-4</v>
      </c>
      <c r="F12992" s="1">
        <v>1.2904551949749999E-3</v>
      </c>
    </row>
    <row r="12993" spans="1:6" x14ac:dyDescent="0.25">
      <c r="A12993" s="2" t="str">
        <f t="shared" si="468"/>
        <v>14460</v>
      </c>
      <c r="B12993" s="2" t="str">
        <f>"03822"</f>
        <v>03822</v>
      </c>
      <c r="C12993" s="1">
        <v>0</v>
      </c>
      <c r="D12993" s="1">
        <v>0</v>
      </c>
      <c r="E12993" s="1">
        <v>7.2878860757648603E-6</v>
      </c>
      <c r="F12993" s="1">
        <v>3.96818940644219E-7</v>
      </c>
    </row>
    <row r="12994" spans="1:6" x14ac:dyDescent="0.25">
      <c r="A12994" s="2" t="str">
        <f t="shared" si="468"/>
        <v>14460</v>
      </c>
      <c r="B12994" s="2" t="str">
        <f>"03811"</f>
        <v>03811</v>
      </c>
      <c r="C12994" s="1">
        <v>1.6744587098972399E-3</v>
      </c>
      <c r="D12994" s="1">
        <v>1.30254483589707E-3</v>
      </c>
      <c r="E12994" s="1">
        <v>9.4742518984943205E-5</v>
      </c>
      <c r="F12994" s="1">
        <v>1.5551334283846899E-3</v>
      </c>
    </row>
    <row r="12995" spans="1:6" x14ac:dyDescent="0.25">
      <c r="A12995" s="2" t="str">
        <f t="shared" si="468"/>
        <v>14460</v>
      </c>
      <c r="B12995" s="2" t="str">
        <f>"03076"</f>
        <v>03076</v>
      </c>
      <c r="C12995" s="1">
        <v>4.6358214559724401E-7</v>
      </c>
      <c r="D12995" s="1">
        <v>0</v>
      </c>
      <c r="E12995" s="1">
        <v>0</v>
      </c>
      <c r="F12995" s="1">
        <v>3.96818940644219E-7</v>
      </c>
    </row>
    <row r="12996" spans="1:6" x14ac:dyDescent="0.25">
      <c r="A12996" s="2" t="str">
        <f t="shared" si="468"/>
        <v>14460</v>
      </c>
      <c r="B12996" s="2" t="str">
        <f>"02779"</f>
        <v>02779</v>
      </c>
      <c r="C12996" s="1">
        <v>1.2980300076722799E-5</v>
      </c>
      <c r="D12996" s="1">
        <v>8.8608492237896002E-6</v>
      </c>
      <c r="E12996" s="1">
        <v>0</v>
      </c>
      <c r="F12996" s="1">
        <v>1.19045682193265E-5</v>
      </c>
    </row>
    <row r="12997" spans="1:6" x14ac:dyDescent="0.25">
      <c r="A12997" s="2" t="str">
        <f t="shared" si="468"/>
        <v>14460</v>
      </c>
      <c r="B12997" s="2" t="str">
        <f>"02558"</f>
        <v>02558</v>
      </c>
      <c r="C12997" s="1">
        <v>2.3642689425459401E-5</v>
      </c>
      <c r="D12997" s="1">
        <v>0</v>
      </c>
      <c r="E12997" s="1">
        <v>7.2878860757648603E-6</v>
      </c>
      <c r="F12997" s="1">
        <v>2.0634584913499399E-5</v>
      </c>
    </row>
    <row r="12998" spans="1:6" x14ac:dyDescent="0.25">
      <c r="A12998" s="2" t="str">
        <f t="shared" si="468"/>
        <v>14460</v>
      </c>
      <c r="B12998" s="2" t="str">
        <f>"02366"</f>
        <v>02366</v>
      </c>
      <c r="C12998" s="1">
        <v>0</v>
      </c>
      <c r="D12998" s="1">
        <v>0</v>
      </c>
      <c r="E12998" s="1">
        <v>7.2878860757648603E-6</v>
      </c>
      <c r="F12998" s="1">
        <v>3.96818940644219E-7</v>
      </c>
    </row>
    <row r="12999" spans="1:6" x14ac:dyDescent="0.25">
      <c r="A12999" s="2" t="str">
        <f t="shared" si="468"/>
        <v>14460</v>
      </c>
      <c r="B12999" s="2" t="str">
        <f>"02370"</f>
        <v>02370</v>
      </c>
      <c r="C12999" s="1">
        <v>3.71375656837952E-3</v>
      </c>
      <c r="D12999" s="1">
        <v>4.09814276600269E-3</v>
      </c>
      <c r="E12999" s="1">
        <v>2.6819420758814601E-3</v>
      </c>
      <c r="F12999" s="1">
        <v>3.6920034237538099E-3</v>
      </c>
    </row>
    <row r="13000" spans="1:6" x14ac:dyDescent="0.25">
      <c r="A13000" s="2" t="str">
        <f t="shared" si="468"/>
        <v>14460</v>
      </c>
      <c r="B13000" s="2" t="str">
        <f>"02360"</f>
        <v>02360</v>
      </c>
      <c r="C13000" s="1">
        <v>1.2337775222925E-2</v>
      </c>
      <c r="D13000" s="1">
        <v>9.9861770752108798E-3</v>
      </c>
      <c r="E13000" s="1">
        <v>6.0562333289606004E-3</v>
      </c>
      <c r="F13000" s="1">
        <v>1.17851257181926E-2</v>
      </c>
    </row>
    <row r="13001" spans="1:6" x14ac:dyDescent="0.25">
      <c r="A13001" s="2" t="str">
        <f t="shared" si="468"/>
        <v>14460</v>
      </c>
      <c r="B13001" s="2" t="str">
        <f>"02344"</f>
        <v>02344</v>
      </c>
      <c r="C13001" s="1">
        <v>0</v>
      </c>
      <c r="D13001" s="1">
        <v>4.4304246118948001E-6</v>
      </c>
      <c r="E13001" s="1">
        <v>0</v>
      </c>
      <c r="F13001" s="1">
        <v>3.96818940644219E-7</v>
      </c>
    </row>
    <row r="13002" spans="1:6" x14ac:dyDescent="0.25">
      <c r="A13002" s="2" t="str">
        <f t="shared" si="468"/>
        <v>14460</v>
      </c>
      <c r="B13002" s="2" t="str">
        <f>"02327"</f>
        <v>02327</v>
      </c>
      <c r="C13002" s="1">
        <v>2.69804808737596E-4</v>
      </c>
      <c r="D13002" s="1">
        <v>2.3481250443042401E-4</v>
      </c>
      <c r="E13002" s="1">
        <v>1.45757721515297E-5</v>
      </c>
      <c r="F13002" s="1">
        <v>2.5277366519036701E-4</v>
      </c>
    </row>
    <row r="13003" spans="1:6" x14ac:dyDescent="0.25">
      <c r="A13003" s="2" t="str">
        <f t="shared" si="468"/>
        <v>14460</v>
      </c>
      <c r="B13003" s="2" t="str">
        <f>"02333"</f>
        <v>02333</v>
      </c>
      <c r="C13003" s="1">
        <v>2.4032098427761101E-3</v>
      </c>
      <c r="D13003" s="1">
        <v>1.4576096973133901E-3</v>
      </c>
      <c r="E13003" s="1">
        <v>1.5377439619863799E-3</v>
      </c>
      <c r="F13003" s="1">
        <v>2.2713916162475098E-3</v>
      </c>
    </row>
    <row r="13004" spans="1:6" x14ac:dyDescent="0.25">
      <c r="A13004" s="2" t="str">
        <f t="shared" si="468"/>
        <v>14460</v>
      </c>
      <c r="B13004" s="2" t="str">
        <f>"02339"</f>
        <v>02339</v>
      </c>
      <c r="C13004" s="1">
        <v>2.9024878135843401E-3</v>
      </c>
      <c r="D13004" s="1">
        <v>5.1392925497979703E-3</v>
      </c>
      <c r="E13004" s="1">
        <v>1.66163802527438E-3</v>
      </c>
      <c r="F13004" s="1">
        <v>3.0352680769876301E-3</v>
      </c>
    </row>
    <row r="13005" spans="1:6" x14ac:dyDescent="0.25">
      <c r="A13005" s="2" t="str">
        <f t="shared" si="468"/>
        <v>14460</v>
      </c>
      <c r="B13005" s="2" t="str">
        <f>"02238"</f>
        <v>02238</v>
      </c>
      <c r="C13005" s="1">
        <v>8.8868697310991705E-4</v>
      </c>
      <c r="D13005" s="1">
        <v>1.9981214999645501E-3</v>
      </c>
      <c r="E13005" s="1">
        <v>1.45757721515297E-5</v>
      </c>
      <c r="F13005" s="1">
        <v>9.4046088932679998E-4</v>
      </c>
    </row>
    <row r="13006" spans="1:6" x14ac:dyDescent="0.25">
      <c r="A13006" s="2" t="str">
        <f t="shared" si="468"/>
        <v>14460</v>
      </c>
      <c r="B13006" s="2" t="str">
        <f>"02203"</f>
        <v>02203</v>
      </c>
      <c r="C13006" s="1">
        <v>1.3907464367917299E-6</v>
      </c>
      <c r="D13006" s="1">
        <v>2.9240802438505699E-4</v>
      </c>
      <c r="E13006" s="1">
        <v>8.0166746833413503E-5</v>
      </c>
      <c r="F13006" s="1">
        <v>3.1745515251537503E-5</v>
      </c>
    </row>
    <row r="13007" spans="1:6" x14ac:dyDescent="0.25">
      <c r="A13007" s="2" t="str">
        <f t="shared" si="468"/>
        <v>14460</v>
      </c>
      <c r="B13007" s="2" t="str">
        <f>"02205"</f>
        <v>02205</v>
      </c>
      <c r="C13007" s="1">
        <v>4.3854870973499297E-4</v>
      </c>
      <c r="D13007" s="1">
        <v>1.7278655986389701E-3</v>
      </c>
      <c r="E13007" s="1">
        <v>4.5184893669742099E-4</v>
      </c>
      <c r="F13007" s="1">
        <v>5.5475287902061903E-4</v>
      </c>
    </row>
    <row r="13008" spans="1:6" x14ac:dyDescent="0.25">
      <c r="A13008" s="2" t="str">
        <f t="shared" si="468"/>
        <v>14460</v>
      </c>
      <c r="B13008" s="2" t="str">
        <f>"02185"</f>
        <v>02185</v>
      </c>
      <c r="C13008" s="1">
        <v>2.20665101304288E-4</v>
      </c>
      <c r="D13008" s="1">
        <v>1.2582405897781201E-3</v>
      </c>
      <c r="E13008" s="1">
        <v>1.45757721515297E-5</v>
      </c>
      <c r="F13008" s="1">
        <v>3.0237603277089503E-4</v>
      </c>
    </row>
    <row r="13009" spans="1:6" x14ac:dyDescent="0.25">
      <c r="A13009" s="2" t="str">
        <f t="shared" si="468"/>
        <v>14460</v>
      </c>
      <c r="B13009" s="2" t="str">
        <f>"02180"</f>
        <v>02180</v>
      </c>
      <c r="C13009" s="1">
        <v>4.8050289391154298E-3</v>
      </c>
      <c r="D13009" s="1">
        <v>4.5456156518040598E-3</v>
      </c>
      <c r="E13009" s="1">
        <v>3.9427463669887896E-3</v>
      </c>
      <c r="F13009" s="1">
        <v>4.7348435997668203E-3</v>
      </c>
    </row>
    <row r="13010" spans="1:6" x14ac:dyDescent="0.25">
      <c r="A13010" s="2" t="str">
        <f t="shared" si="468"/>
        <v>14460</v>
      </c>
      <c r="B13010" s="2" t="str">
        <f>"02150"</f>
        <v>02150</v>
      </c>
      <c r="C13010" s="1">
        <v>6.5471706422698802E-3</v>
      </c>
      <c r="D13010" s="1">
        <v>5.25891401431913E-3</v>
      </c>
      <c r="E13010" s="1">
        <v>2.25560074044922E-2</v>
      </c>
      <c r="F13010" s="1">
        <v>7.3034526025568597E-3</v>
      </c>
    </row>
    <row r="13011" spans="1:6" x14ac:dyDescent="0.25">
      <c r="A13011" s="2" t="str">
        <f t="shared" ref="A13011:A13074" si="469">"14460"</f>
        <v>14460</v>
      </c>
      <c r="B13011" s="2" t="str">
        <f>"02148"</f>
        <v>02148</v>
      </c>
      <c r="C13011" s="1">
        <v>1.2592745403003499E-2</v>
      </c>
      <c r="D13011" s="1">
        <v>7.3234918834621096E-3</v>
      </c>
      <c r="E13011" s="1">
        <v>1.48818633667118E-2</v>
      </c>
      <c r="F13011" s="1">
        <v>1.22454356893399E-2</v>
      </c>
    </row>
    <row r="13012" spans="1:6" x14ac:dyDescent="0.25">
      <c r="A13012" s="2" t="str">
        <f t="shared" si="469"/>
        <v>14460</v>
      </c>
      <c r="B13012" s="2" t="str">
        <f>"02121"</f>
        <v>02121</v>
      </c>
      <c r="C13012" s="1">
        <v>4.5769465234815898E-3</v>
      </c>
      <c r="D13012" s="1">
        <v>2.1221733890976098E-3</v>
      </c>
      <c r="E13012" s="1">
        <v>1.1143177809844401E-2</v>
      </c>
      <c r="F13012" s="1">
        <v>4.7146058337939698E-3</v>
      </c>
    </row>
    <row r="13013" spans="1:6" x14ac:dyDescent="0.25">
      <c r="A13013" s="2" t="str">
        <f t="shared" si="469"/>
        <v>14460</v>
      </c>
      <c r="B13013" s="2" t="str">
        <f>"02115"</f>
        <v>02115</v>
      </c>
      <c r="C13013" s="1">
        <v>5.4030499069358797E-3</v>
      </c>
      <c r="D13013" s="1">
        <v>3.8367477139008999E-3</v>
      </c>
      <c r="E13013" s="1">
        <v>1.12670718731324E-2</v>
      </c>
      <c r="F13013" s="1">
        <v>5.5820520380422296E-3</v>
      </c>
    </row>
    <row r="13014" spans="1:6" x14ac:dyDescent="0.25">
      <c r="A13014" s="2" t="str">
        <f t="shared" si="469"/>
        <v>14460</v>
      </c>
      <c r="B13014" s="2" t="str">
        <f>"02062"</f>
        <v>02062</v>
      </c>
      <c r="C13014" s="1">
        <v>6.4206127165218297E-3</v>
      </c>
      <c r="D13014" s="1">
        <v>8.9317360175799193E-3</v>
      </c>
      <c r="E13014" s="1">
        <v>8.3956447592811196E-3</v>
      </c>
      <c r="F13014" s="1">
        <v>6.7530647318833296E-3</v>
      </c>
    </row>
    <row r="13015" spans="1:6" x14ac:dyDescent="0.25">
      <c r="A13015" s="2" t="str">
        <f t="shared" si="469"/>
        <v>14460</v>
      </c>
      <c r="B13015" s="2" t="str">
        <f>"02027"</f>
        <v>02027</v>
      </c>
      <c r="C13015" s="1">
        <v>2.0722121908196801E-4</v>
      </c>
      <c r="D13015" s="1">
        <v>7.4874175941022105E-4</v>
      </c>
      <c r="E13015" s="1">
        <v>2.1863658227294499E-5</v>
      </c>
      <c r="F13015" s="1">
        <v>2.4563092425877102E-4</v>
      </c>
    </row>
    <row r="13016" spans="1:6" x14ac:dyDescent="0.25">
      <c r="A13016" s="2" t="str">
        <f t="shared" si="469"/>
        <v>14460</v>
      </c>
      <c r="B13016" s="2" t="str">
        <f>"02026"</f>
        <v>02026</v>
      </c>
      <c r="C13016" s="1">
        <v>4.87502984310062E-3</v>
      </c>
      <c r="D13016" s="1">
        <v>5.43613099879492E-3</v>
      </c>
      <c r="E13016" s="1">
        <v>1.90942615185039E-3</v>
      </c>
      <c r="F13016" s="1">
        <v>4.76381138243385E-3</v>
      </c>
    </row>
    <row r="13017" spans="1:6" x14ac:dyDescent="0.25">
      <c r="A13017" s="2" t="str">
        <f t="shared" si="469"/>
        <v>14460</v>
      </c>
      <c r="B13017" s="2" t="str">
        <f>"02018"</f>
        <v>02018</v>
      </c>
      <c r="C13017" s="1">
        <v>1.4463762942633999E-4</v>
      </c>
      <c r="D13017" s="1">
        <v>5.5823350109874496E-4</v>
      </c>
      <c r="E13017" s="1">
        <v>1.45757721515297E-5</v>
      </c>
      <c r="F13017" s="1">
        <v>1.74600333883456E-4</v>
      </c>
    </row>
    <row r="13018" spans="1:6" x14ac:dyDescent="0.25">
      <c r="A13018" s="2" t="str">
        <f t="shared" si="469"/>
        <v>14460</v>
      </c>
      <c r="B13018" s="2" t="str">
        <f>"01982"</f>
        <v>01982</v>
      </c>
      <c r="C13018" s="1">
        <v>1.47697271587282E-3</v>
      </c>
      <c r="D13018" s="1">
        <v>7.3102006096264203E-4</v>
      </c>
      <c r="E13018" s="1">
        <v>5.3930356960659896E-4</v>
      </c>
      <c r="F13018" s="1">
        <v>1.3591048717064499E-3</v>
      </c>
    </row>
    <row r="13019" spans="1:6" x14ac:dyDescent="0.25">
      <c r="A13019" s="2" t="str">
        <f t="shared" si="469"/>
        <v>14460</v>
      </c>
      <c r="B13019" s="2" t="str">
        <f>"01966"</f>
        <v>01966</v>
      </c>
      <c r="C13019" s="1">
        <v>2.4546674609374E-3</v>
      </c>
      <c r="D13019" s="1">
        <v>1.98926065074076E-3</v>
      </c>
      <c r="E13019" s="1">
        <v>1.42842567084991E-3</v>
      </c>
      <c r="F13019" s="1">
        <v>2.3571045074266602E-3</v>
      </c>
    </row>
    <row r="13020" spans="1:6" x14ac:dyDescent="0.25">
      <c r="A13020" s="2" t="str">
        <f t="shared" si="469"/>
        <v>14460</v>
      </c>
      <c r="B13020" s="2" t="str">
        <f>"01960"</f>
        <v>01960</v>
      </c>
      <c r="C13020" s="1">
        <v>1.0623448448506399E-2</v>
      </c>
      <c r="D13020" s="1">
        <v>1.06020060962642E-2</v>
      </c>
      <c r="E13020" s="1">
        <v>8.1478566327051107E-3</v>
      </c>
      <c r="F13020" s="1">
        <v>1.0486734144404699E-2</v>
      </c>
    </row>
    <row r="13021" spans="1:6" x14ac:dyDescent="0.25">
      <c r="A13021" s="2" t="str">
        <f t="shared" si="469"/>
        <v>14460</v>
      </c>
      <c r="B13021" s="2" t="str">
        <f>"01923"</f>
        <v>01923</v>
      </c>
      <c r="C13021" s="1">
        <v>5.6343773975888996E-3</v>
      </c>
      <c r="D13021" s="1">
        <v>8.3823633657049597E-3</v>
      </c>
      <c r="E13021" s="1">
        <v>5.0505050505050501E-3</v>
      </c>
      <c r="F13021" s="1">
        <v>5.8487143661551501E-3</v>
      </c>
    </row>
    <row r="13022" spans="1:6" x14ac:dyDescent="0.25">
      <c r="A13022" s="2" t="str">
        <f t="shared" si="469"/>
        <v>14460</v>
      </c>
      <c r="B13022" s="2" t="str">
        <f>"01885"</f>
        <v>01885</v>
      </c>
      <c r="C13022" s="1">
        <v>0</v>
      </c>
      <c r="D13022" s="1">
        <v>0</v>
      </c>
      <c r="E13022" s="1">
        <v>7.2878860757648603E-6</v>
      </c>
      <c r="F13022" s="1">
        <v>3.96818940644219E-7</v>
      </c>
    </row>
    <row r="13023" spans="1:6" x14ac:dyDescent="0.25">
      <c r="A13023" s="2" t="str">
        <f t="shared" si="469"/>
        <v>14460</v>
      </c>
      <c r="B13023" s="2" t="str">
        <f>"01876"</f>
        <v>01876</v>
      </c>
      <c r="C13023" s="1">
        <v>6.1355096969795296E-3</v>
      </c>
      <c r="D13023" s="1">
        <v>5.5114482171971296E-3</v>
      </c>
      <c r="E13023" s="1">
        <v>1.52316818983485E-3</v>
      </c>
      <c r="F13023" s="1">
        <v>5.8284766001822901E-3</v>
      </c>
    </row>
    <row r="13024" spans="1:6" x14ac:dyDescent="0.25">
      <c r="A13024" s="2" t="str">
        <f t="shared" si="469"/>
        <v>14460</v>
      </c>
      <c r="B13024" s="2" t="str">
        <f>"01865"</f>
        <v>01865</v>
      </c>
      <c r="C13024" s="1">
        <v>2.99474066055819E-4</v>
      </c>
      <c r="D13024" s="1">
        <v>2.3924292904231901E-4</v>
      </c>
      <c r="E13024" s="1">
        <v>1.45757721515297E-5</v>
      </c>
      <c r="F13024" s="1">
        <v>2.7856689633224199E-4</v>
      </c>
    </row>
    <row r="13025" spans="1:6" x14ac:dyDescent="0.25">
      <c r="A13025" s="2" t="str">
        <f t="shared" si="469"/>
        <v>14460</v>
      </c>
      <c r="B13025" s="2" t="str">
        <f>"01852"</f>
        <v>01852</v>
      </c>
      <c r="C13025" s="1">
        <v>7.0608196595916299E-3</v>
      </c>
      <c r="D13025" s="1">
        <v>6.8095626284823104E-3</v>
      </c>
      <c r="E13025" s="1">
        <v>6.4716428352791901E-3</v>
      </c>
      <c r="F13025" s="1">
        <v>7.0062352160143396E-3</v>
      </c>
    </row>
    <row r="13026" spans="1:6" x14ac:dyDescent="0.25">
      <c r="A13026" s="2" t="str">
        <f t="shared" si="469"/>
        <v>14460</v>
      </c>
      <c r="B13026" s="2" t="str">
        <f>"01843"</f>
        <v>01843</v>
      </c>
      <c r="C13026" s="1">
        <v>4.2737638002609902E-3</v>
      </c>
      <c r="D13026" s="1">
        <v>3.8899128092436301E-3</v>
      </c>
      <c r="E13026" s="1">
        <v>6.6757036454006104E-3</v>
      </c>
      <c r="F13026" s="1">
        <v>4.3701669933147898E-3</v>
      </c>
    </row>
    <row r="13027" spans="1:6" x14ac:dyDescent="0.25">
      <c r="A13027" s="2" t="str">
        <f t="shared" si="469"/>
        <v>14460</v>
      </c>
      <c r="B13027" s="2" t="str">
        <f>"01827"</f>
        <v>01827</v>
      </c>
      <c r="C13027" s="1">
        <v>5.4517260322235902E-4</v>
      </c>
      <c r="D13027" s="1">
        <v>4.4304246118947997E-5</v>
      </c>
      <c r="E13027" s="1">
        <v>3.6439430378824302E-5</v>
      </c>
      <c r="F13027" s="1">
        <v>4.7261135830726499E-4</v>
      </c>
    </row>
    <row r="13028" spans="1:6" x14ac:dyDescent="0.25">
      <c r="A13028" s="2" t="str">
        <f t="shared" si="469"/>
        <v>14460</v>
      </c>
      <c r="B13028" s="2" t="str">
        <f>"01810"</f>
        <v>01810</v>
      </c>
      <c r="C13028" s="1">
        <v>6.8823405335366903E-3</v>
      </c>
      <c r="D13028" s="1">
        <v>6.9823491883462098E-3</v>
      </c>
      <c r="E13028" s="1">
        <v>4.5695045695045601E-3</v>
      </c>
      <c r="F13028" s="1">
        <v>6.7653661190432996E-3</v>
      </c>
    </row>
    <row r="13029" spans="1:6" x14ac:dyDescent="0.25">
      <c r="A13029" s="2" t="str">
        <f t="shared" si="469"/>
        <v>14460</v>
      </c>
      <c r="B13029" s="2" t="str">
        <f>"01803"</f>
        <v>01803</v>
      </c>
      <c r="C13029" s="1">
        <v>5.18238480563159E-3</v>
      </c>
      <c r="D13029" s="1">
        <v>9.9330119798681504E-3</v>
      </c>
      <c r="E13029" s="1">
        <v>3.4617458859883101E-3</v>
      </c>
      <c r="F13029" s="1">
        <v>5.5141959991920697E-3</v>
      </c>
    </row>
    <row r="13030" spans="1:6" x14ac:dyDescent="0.25">
      <c r="A13030" s="2" t="str">
        <f t="shared" si="469"/>
        <v>14460</v>
      </c>
      <c r="B13030" s="2" t="str">
        <f>"01730"</f>
        <v>01730</v>
      </c>
      <c r="C13030" s="1">
        <v>2.92242184584502E-3</v>
      </c>
      <c r="D13030" s="1">
        <v>3.6462394555894198E-3</v>
      </c>
      <c r="E13030" s="1">
        <v>1.33368315186497E-3</v>
      </c>
      <c r="F13030" s="1">
        <v>2.9007464561092398E-3</v>
      </c>
    </row>
    <row r="13031" spans="1:6" x14ac:dyDescent="0.25">
      <c r="A13031" s="2" t="str">
        <f t="shared" si="469"/>
        <v>14460</v>
      </c>
      <c r="B13031" s="2" t="str">
        <f>"01719"</f>
        <v>01719</v>
      </c>
      <c r="C13031" s="1">
        <v>1.12372312092772E-3</v>
      </c>
      <c r="D13031" s="1">
        <v>7.4431133479832697E-4</v>
      </c>
      <c r="E13031" s="1">
        <v>1.2389406328800201E-3</v>
      </c>
      <c r="F13031" s="1">
        <v>1.09601391405933E-3</v>
      </c>
    </row>
    <row r="13032" spans="1:6" x14ac:dyDescent="0.25">
      <c r="A13032" s="2" t="str">
        <f t="shared" si="469"/>
        <v>14460</v>
      </c>
      <c r="B13032" s="2" t="str">
        <f>"01701"</f>
        <v>01701</v>
      </c>
      <c r="C13032" s="1">
        <v>6.5888930353736304E-3</v>
      </c>
      <c r="D13032" s="1">
        <v>6.9380449422272597E-3</v>
      </c>
      <c r="E13032" s="1">
        <v>3.4398822277610101E-3</v>
      </c>
      <c r="F13032" s="1">
        <v>6.4487046044092097E-3</v>
      </c>
    </row>
    <row r="13033" spans="1:6" x14ac:dyDescent="0.25">
      <c r="A13033" s="2" t="str">
        <f t="shared" si="469"/>
        <v>14460</v>
      </c>
      <c r="B13033" s="2" t="str">
        <f>"03887"</f>
        <v>03887</v>
      </c>
      <c r="C13033" s="1">
        <v>3.6437556643943399E-4</v>
      </c>
      <c r="D13033" s="1">
        <v>1.77216984475792E-5</v>
      </c>
      <c r="E13033" s="1">
        <v>0</v>
      </c>
      <c r="F13033" s="1">
        <v>3.1348696310893302E-4</v>
      </c>
    </row>
    <row r="13034" spans="1:6" x14ac:dyDescent="0.25">
      <c r="A13034" s="2" t="str">
        <f t="shared" si="469"/>
        <v>14460</v>
      </c>
      <c r="B13034" s="2" t="str">
        <f>"03869"</f>
        <v>03869</v>
      </c>
      <c r="C13034" s="1">
        <v>3.6808422360421199E-4</v>
      </c>
      <c r="D13034" s="1">
        <v>1.1519103990926401E-4</v>
      </c>
      <c r="E13034" s="1">
        <v>2.11348696197181E-4</v>
      </c>
      <c r="F13034" s="1">
        <v>3.3689928060694202E-4</v>
      </c>
    </row>
    <row r="13035" spans="1:6" x14ac:dyDescent="0.25">
      <c r="A13035" s="2" t="str">
        <f t="shared" si="469"/>
        <v>14460</v>
      </c>
      <c r="B13035" s="2" t="str">
        <f>"03871"</f>
        <v>03871</v>
      </c>
      <c r="C13035" s="1">
        <v>3.3424272697561301E-4</v>
      </c>
      <c r="D13035" s="1">
        <v>2.9240802438505699E-4</v>
      </c>
      <c r="E13035" s="1">
        <v>1.45757721515297E-5</v>
      </c>
      <c r="F13035" s="1">
        <v>3.1309014416828899E-4</v>
      </c>
    </row>
    <row r="13036" spans="1:6" x14ac:dyDescent="0.25">
      <c r="A13036" s="2" t="str">
        <f t="shared" si="469"/>
        <v>14460</v>
      </c>
      <c r="B13036" s="2" t="str">
        <f>"03852"</f>
        <v>03852</v>
      </c>
      <c r="C13036" s="1">
        <v>6.6292246820405905E-5</v>
      </c>
      <c r="D13036" s="1">
        <v>0</v>
      </c>
      <c r="E13036" s="1">
        <v>7.2878860757648603E-6</v>
      </c>
      <c r="F13036" s="1">
        <v>5.7141927452767601E-5</v>
      </c>
    </row>
    <row r="13037" spans="1:6" x14ac:dyDescent="0.25">
      <c r="A13037" s="2" t="str">
        <f t="shared" si="469"/>
        <v>14460</v>
      </c>
      <c r="B13037" s="2" t="str">
        <f>"03855"</f>
        <v>03855</v>
      </c>
      <c r="C13037" s="1">
        <v>5.6788812835662395E-4</v>
      </c>
      <c r="D13037" s="1">
        <v>2.6582547671368801E-5</v>
      </c>
      <c r="E13037" s="1">
        <v>7.2878860757648603E-6</v>
      </c>
      <c r="F13037" s="1">
        <v>4.8888093487367795E-4</v>
      </c>
    </row>
    <row r="13038" spans="1:6" x14ac:dyDescent="0.25">
      <c r="A13038" s="2" t="str">
        <f t="shared" si="469"/>
        <v>14460</v>
      </c>
      <c r="B13038" s="2" t="str">
        <f>"03867"</f>
        <v>03867</v>
      </c>
      <c r="C13038" s="1">
        <v>4.95662030072573E-3</v>
      </c>
      <c r="D13038" s="1">
        <v>3.6418090309775198E-3</v>
      </c>
      <c r="E13038" s="1">
        <v>5.0650808226565796E-3</v>
      </c>
      <c r="F13038" s="1">
        <v>4.84476244632527E-3</v>
      </c>
    </row>
    <row r="13039" spans="1:6" x14ac:dyDescent="0.25">
      <c r="A13039" s="2" t="str">
        <f t="shared" si="469"/>
        <v>14460</v>
      </c>
      <c r="B13039" s="2" t="str">
        <f>"03824"</f>
        <v>03824</v>
      </c>
      <c r="C13039" s="1">
        <v>4.1819745354327396E-3</v>
      </c>
      <c r="D13039" s="1">
        <v>3.1464875593676798E-2</v>
      </c>
      <c r="E13039" s="1">
        <v>1.6980774556532099E-3</v>
      </c>
      <c r="F13039" s="1">
        <v>6.4903705931768502E-3</v>
      </c>
    </row>
    <row r="13040" spans="1:6" x14ac:dyDescent="0.25">
      <c r="A13040" s="2" t="str">
        <f t="shared" si="469"/>
        <v>14460</v>
      </c>
      <c r="B13040" s="2" t="str">
        <f>"03802"</f>
        <v>03802</v>
      </c>
      <c r="C13040" s="1">
        <v>7.45903672265966E-4</v>
      </c>
      <c r="D13040" s="1">
        <v>2.8974976961792E-3</v>
      </c>
      <c r="E13040" s="1">
        <v>1.45757721515297E-5</v>
      </c>
      <c r="F13040" s="1">
        <v>8.9879490055915705E-4</v>
      </c>
    </row>
    <row r="13041" spans="1:6" x14ac:dyDescent="0.25">
      <c r="A13041" s="2" t="str">
        <f t="shared" si="469"/>
        <v>14460</v>
      </c>
      <c r="B13041" s="2" t="str">
        <f>"03290"</f>
        <v>03290</v>
      </c>
      <c r="C13041" s="1">
        <v>8.77561001615583E-4</v>
      </c>
      <c r="D13041" s="1">
        <v>8.8608492237896002E-6</v>
      </c>
      <c r="E13041" s="1">
        <v>1.3118194936376701E-4</v>
      </c>
      <c r="F13041" s="1">
        <v>7.5911463345239196E-4</v>
      </c>
    </row>
    <row r="13042" spans="1:6" x14ac:dyDescent="0.25">
      <c r="A13042" s="2" t="str">
        <f t="shared" si="469"/>
        <v>14460</v>
      </c>
      <c r="B13042" s="2" t="str">
        <f>"03261"</f>
        <v>03261</v>
      </c>
      <c r="C13042" s="1">
        <v>9.2670070904889103E-4</v>
      </c>
      <c r="D13042" s="1">
        <v>4.1645991351811097E-4</v>
      </c>
      <c r="E13042" s="1">
        <v>2.5507601265177001E-4</v>
      </c>
      <c r="F13042" s="1">
        <v>8.4443070569089902E-4</v>
      </c>
    </row>
    <row r="13043" spans="1:6" x14ac:dyDescent="0.25">
      <c r="A13043" s="2" t="str">
        <f t="shared" si="469"/>
        <v>14460</v>
      </c>
      <c r="B13043" s="2" t="str">
        <f>"03077"</f>
        <v>03077</v>
      </c>
      <c r="C13043" s="1">
        <v>2.1079080160306702E-3</v>
      </c>
      <c r="D13043" s="1">
        <v>7.4874175941022105E-4</v>
      </c>
      <c r="E13043" s="1">
        <v>8.9640998731907798E-4</v>
      </c>
      <c r="F13043" s="1">
        <v>1.92020685377737E-3</v>
      </c>
    </row>
    <row r="13044" spans="1:6" x14ac:dyDescent="0.25">
      <c r="A13044" s="2" t="str">
        <f t="shared" si="469"/>
        <v>14460</v>
      </c>
      <c r="B13044" s="2" t="str">
        <f>"03042"</f>
        <v>03042</v>
      </c>
      <c r="C13044" s="1">
        <v>1.34067956506723E-3</v>
      </c>
      <c r="D13044" s="1">
        <v>9.3481959310980295E-4</v>
      </c>
      <c r="E13044" s="1">
        <v>7.3607649365225103E-4</v>
      </c>
      <c r="F13044" s="1">
        <v>1.2714078858240699E-3</v>
      </c>
    </row>
    <row r="13045" spans="1:6" x14ac:dyDescent="0.25">
      <c r="A13045" s="2" t="str">
        <f t="shared" si="469"/>
        <v>14460</v>
      </c>
      <c r="B13045" s="2" t="str">
        <f>"03038"</f>
        <v>03038</v>
      </c>
      <c r="C13045" s="1">
        <v>7.1934041532324402E-3</v>
      </c>
      <c r="D13045" s="1">
        <v>5.9633515276104002E-3</v>
      </c>
      <c r="E13045" s="1">
        <v>5.40761146821752E-3</v>
      </c>
      <c r="F13045" s="1">
        <v>6.9859974500414796E-3</v>
      </c>
    </row>
    <row r="13046" spans="1:6" x14ac:dyDescent="0.25">
      <c r="A13046" s="2" t="str">
        <f t="shared" si="469"/>
        <v>14460</v>
      </c>
      <c r="B13046" s="2" t="str">
        <f>"02538"</f>
        <v>02538</v>
      </c>
      <c r="C13046" s="1">
        <v>9.6007862353189295E-4</v>
      </c>
      <c r="D13046" s="1">
        <v>8.9494577160274997E-4</v>
      </c>
      <c r="E13046" s="1">
        <v>2.9880332910635902E-4</v>
      </c>
      <c r="F13046" s="1">
        <v>9.1823902865072399E-4</v>
      </c>
    </row>
    <row r="13047" spans="1:6" x14ac:dyDescent="0.25">
      <c r="A13047" s="2" t="str">
        <f t="shared" si="469"/>
        <v>14460</v>
      </c>
      <c r="B13047" s="2" t="str">
        <f>"02492"</f>
        <v>02492</v>
      </c>
      <c r="C13047" s="1">
        <v>3.7976649367326199E-3</v>
      </c>
      <c r="D13047" s="1">
        <v>3.5620613879634201E-3</v>
      </c>
      <c r="E13047" s="1">
        <v>1.26809217718308E-3</v>
      </c>
      <c r="F13047" s="1">
        <v>3.63882968570749E-3</v>
      </c>
    </row>
    <row r="13048" spans="1:6" x14ac:dyDescent="0.25">
      <c r="A13048" s="2" t="str">
        <f t="shared" si="469"/>
        <v>14460</v>
      </c>
      <c r="B13048" s="2" t="str">
        <f>"02459"</f>
        <v>02459</v>
      </c>
      <c r="C13048" s="1">
        <v>3.3656063770359898E-3</v>
      </c>
      <c r="D13048" s="1">
        <v>3.9209257815269001E-3</v>
      </c>
      <c r="E13048" s="1">
        <v>1.12233445566778E-3</v>
      </c>
      <c r="F13048" s="1">
        <v>3.29320038840637E-3</v>
      </c>
    </row>
    <row r="13049" spans="1:6" x14ac:dyDescent="0.25">
      <c r="A13049" s="2" t="str">
        <f t="shared" si="469"/>
        <v>14460</v>
      </c>
      <c r="B13049" s="2" t="str">
        <f>"02447"</f>
        <v>02447</v>
      </c>
      <c r="C13049" s="1">
        <v>1.25630761456853E-4</v>
      </c>
      <c r="D13049" s="1">
        <v>5.4494222726306002E-4</v>
      </c>
      <c r="E13049" s="1">
        <v>1.45757721515297E-5</v>
      </c>
      <c r="F13049" s="1">
        <v>1.5714030049511E-4</v>
      </c>
    </row>
    <row r="13050" spans="1:6" x14ac:dyDescent="0.25">
      <c r="A13050" s="2" t="str">
        <f t="shared" si="469"/>
        <v>14460</v>
      </c>
      <c r="B13050" s="2" t="str">
        <f>"02375"</f>
        <v>02375</v>
      </c>
      <c r="C13050" s="1">
        <v>0</v>
      </c>
      <c r="D13050" s="1">
        <v>1.77216984475792E-5</v>
      </c>
      <c r="E13050" s="1">
        <v>0</v>
      </c>
      <c r="F13050" s="1">
        <v>1.5872757625768701E-6</v>
      </c>
    </row>
    <row r="13051" spans="1:6" x14ac:dyDescent="0.25">
      <c r="A13051" s="2" t="str">
        <f t="shared" si="469"/>
        <v>14460</v>
      </c>
      <c r="B13051" s="2" t="str">
        <f>"02382"</f>
        <v>02382</v>
      </c>
      <c r="C13051" s="1">
        <v>2.87328213841172E-3</v>
      </c>
      <c r="D13051" s="1">
        <v>2.3702771673637202E-3</v>
      </c>
      <c r="E13051" s="1">
        <v>1.68350168350168E-3</v>
      </c>
      <c r="F13051" s="1">
        <v>2.7634471026463398E-3</v>
      </c>
    </row>
    <row r="13052" spans="1:6" x14ac:dyDescent="0.25">
      <c r="A13052" s="2" t="str">
        <f t="shared" si="469"/>
        <v>14460</v>
      </c>
      <c r="B13052" s="2" t="str">
        <f>"02355"</f>
        <v>02355</v>
      </c>
      <c r="C13052" s="1">
        <v>0</v>
      </c>
      <c r="D13052" s="1">
        <v>4.4304246118948001E-6</v>
      </c>
      <c r="E13052" s="1">
        <v>0</v>
      </c>
      <c r="F13052" s="1">
        <v>3.96818940644219E-7</v>
      </c>
    </row>
    <row r="13053" spans="1:6" x14ac:dyDescent="0.25">
      <c r="A13053" s="2" t="str">
        <f t="shared" si="469"/>
        <v>14460</v>
      </c>
      <c r="B13053" s="2" t="str">
        <f>"02345"</f>
        <v>02345</v>
      </c>
      <c r="C13053" s="1">
        <v>9.8974788085011596E-4</v>
      </c>
      <c r="D13053" s="1">
        <v>4.7848585808463802E-4</v>
      </c>
      <c r="E13053" s="1">
        <v>2.1863658227294499E-5</v>
      </c>
      <c r="F13053" s="1">
        <v>8.9125534068691702E-4</v>
      </c>
    </row>
    <row r="13054" spans="1:6" x14ac:dyDescent="0.25">
      <c r="A13054" s="2" t="str">
        <f t="shared" si="469"/>
        <v>14460</v>
      </c>
      <c r="B13054" s="2" t="str">
        <f>"02332"</f>
        <v>02332</v>
      </c>
      <c r="C13054" s="1">
        <v>2.8361955667639402E-3</v>
      </c>
      <c r="D13054" s="1">
        <v>1.1031757283618E-3</v>
      </c>
      <c r="E13054" s="1">
        <v>7.5794015187954499E-4</v>
      </c>
      <c r="F13054" s="1">
        <v>2.5678153649087401E-3</v>
      </c>
    </row>
    <row r="13055" spans="1:6" x14ac:dyDescent="0.25">
      <c r="A13055" s="2" t="str">
        <f t="shared" si="469"/>
        <v>14460</v>
      </c>
      <c r="B13055" s="2" t="str">
        <f>"02304"</f>
        <v>02304</v>
      </c>
      <c r="C13055" s="1">
        <v>2.16029279848315E-4</v>
      </c>
      <c r="D13055" s="1">
        <v>5.4937265187495496E-4</v>
      </c>
      <c r="E13055" s="1">
        <v>7.2878860757648603E-6</v>
      </c>
      <c r="F13055" s="1">
        <v>2.34519993920733E-4</v>
      </c>
    </row>
    <row r="13056" spans="1:6" x14ac:dyDescent="0.25">
      <c r="A13056" s="2" t="str">
        <f t="shared" si="469"/>
        <v>14460</v>
      </c>
      <c r="B13056" s="2" t="str">
        <f>"02190"</f>
        <v>02190</v>
      </c>
      <c r="C13056" s="1">
        <v>3.89269927658006E-3</v>
      </c>
      <c r="D13056" s="1">
        <v>2.7601545332104601E-3</v>
      </c>
      <c r="E13056" s="1">
        <v>2.7693967087906398E-3</v>
      </c>
      <c r="F13056" s="1">
        <v>3.73009804205566E-3</v>
      </c>
    </row>
    <row r="13057" spans="1:6" x14ac:dyDescent="0.25">
      <c r="A13057" s="2" t="str">
        <f t="shared" si="469"/>
        <v>14460</v>
      </c>
      <c r="B13057" s="2" t="str">
        <f>"02186"</f>
        <v>02186</v>
      </c>
      <c r="C13057" s="1">
        <v>4.6756895204938002E-3</v>
      </c>
      <c r="D13057" s="1">
        <v>2.4810377826610902E-3</v>
      </c>
      <c r="E13057" s="1">
        <v>9.5471307592519695E-4</v>
      </c>
      <c r="F13057" s="1">
        <v>4.2765177233227503E-3</v>
      </c>
    </row>
    <row r="13058" spans="1:6" x14ac:dyDescent="0.25">
      <c r="A13058" s="2" t="str">
        <f t="shared" si="469"/>
        <v>14460</v>
      </c>
      <c r="B13058" s="2" t="str">
        <f>"02184"</f>
        <v>02184</v>
      </c>
      <c r="C13058" s="1">
        <v>6.8976387443414004E-3</v>
      </c>
      <c r="D13058" s="1">
        <v>9.0646487559367592E-3</v>
      </c>
      <c r="E13058" s="1">
        <v>6.3404608859154296E-3</v>
      </c>
      <c r="F13058" s="1">
        <v>7.0613930487638801E-3</v>
      </c>
    </row>
    <row r="13059" spans="1:6" x14ac:dyDescent="0.25">
      <c r="A13059" s="2" t="str">
        <f t="shared" si="469"/>
        <v>14460</v>
      </c>
      <c r="B13059" s="2" t="str">
        <f>"02170"</f>
        <v>02170</v>
      </c>
      <c r="C13059" s="1">
        <v>3.7160744791075099E-3</v>
      </c>
      <c r="D13059" s="1">
        <v>1.41330545119444E-3</v>
      </c>
      <c r="E13059" s="1">
        <v>3.4107306834579498E-3</v>
      </c>
      <c r="F13059" s="1">
        <v>3.4931971344910602E-3</v>
      </c>
    </row>
    <row r="13060" spans="1:6" x14ac:dyDescent="0.25">
      <c r="A13060" s="2" t="str">
        <f t="shared" si="469"/>
        <v>14460</v>
      </c>
      <c r="B13060" s="2" t="str">
        <f>"02155"</f>
        <v>02155</v>
      </c>
      <c r="C13060" s="1">
        <v>1.1956247117098501E-2</v>
      </c>
      <c r="D13060" s="1">
        <v>8.3646416672573803E-3</v>
      </c>
      <c r="E13060" s="1">
        <v>8.2790385820688799E-3</v>
      </c>
      <c r="F13060" s="1">
        <v>1.14343377746631E-2</v>
      </c>
    </row>
    <row r="13061" spans="1:6" x14ac:dyDescent="0.25">
      <c r="A13061" s="2" t="str">
        <f t="shared" si="469"/>
        <v>14460</v>
      </c>
      <c r="B13061" s="2" t="str">
        <f>"02152"</f>
        <v>02152</v>
      </c>
      <c r="C13061" s="1">
        <v>3.8894542015608801E-3</v>
      </c>
      <c r="D13061" s="1">
        <v>2.2550861274544501E-3</v>
      </c>
      <c r="E13061" s="1">
        <v>5.4440508985963499E-3</v>
      </c>
      <c r="F13061" s="1">
        <v>3.8277155014541401E-3</v>
      </c>
    </row>
    <row r="13062" spans="1:6" x14ac:dyDescent="0.25">
      <c r="A13062" s="2" t="str">
        <f t="shared" si="469"/>
        <v>14460</v>
      </c>
      <c r="B13062" s="2" t="str">
        <f>"02142"</f>
        <v>02142</v>
      </c>
      <c r="C13062" s="1">
        <v>1.54094705196524E-3</v>
      </c>
      <c r="D13062" s="1">
        <v>3.3095271850854101E-3</v>
      </c>
      <c r="E13062" s="1">
        <v>6.9963706327342602E-4</v>
      </c>
      <c r="F13062" s="1">
        <v>1.6535445256644599E-3</v>
      </c>
    </row>
    <row r="13063" spans="1:6" x14ac:dyDescent="0.25">
      <c r="A13063" s="2" t="str">
        <f t="shared" si="469"/>
        <v>14460</v>
      </c>
      <c r="B13063" s="2" t="str">
        <f>"02138"</f>
        <v>02138</v>
      </c>
      <c r="C13063" s="1">
        <v>1.1644719915257101E-2</v>
      </c>
      <c r="D13063" s="1">
        <v>1.44609059332246E-2</v>
      </c>
      <c r="E13063" s="1">
        <v>1.2141618202224201E-2</v>
      </c>
      <c r="F13063" s="1">
        <v>1.1924012347418101E-2</v>
      </c>
    </row>
    <row r="13064" spans="1:6" x14ac:dyDescent="0.25">
      <c r="A13064" s="2" t="str">
        <f t="shared" si="469"/>
        <v>14460</v>
      </c>
      <c r="B13064" s="2" t="str">
        <f>"02136"</f>
        <v>02136</v>
      </c>
      <c r="C13064" s="1">
        <v>6.3904798770580097E-3</v>
      </c>
      <c r="D13064" s="1">
        <v>4.8158715531296499E-3</v>
      </c>
      <c r="E13064" s="1">
        <v>6.0708091011121299E-3</v>
      </c>
      <c r="F13064" s="1">
        <v>6.2320414628174699E-3</v>
      </c>
    </row>
    <row r="13065" spans="1:6" x14ac:dyDescent="0.25">
      <c r="A13065" s="2" t="str">
        <f t="shared" si="469"/>
        <v>14460</v>
      </c>
      <c r="B13065" s="2" t="str">
        <f>"02135"</f>
        <v>02135</v>
      </c>
      <c r="C13065" s="1">
        <v>1.04426514117235E-2</v>
      </c>
      <c r="D13065" s="1">
        <v>4.8690366484723802E-3</v>
      </c>
      <c r="E13065" s="1">
        <v>1.41384989869838E-2</v>
      </c>
      <c r="F13065" s="1">
        <v>1.01446762175694E-2</v>
      </c>
    </row>
    <row r="13066" spans="1:6" x14ac:dyDescent="0.25">
      <c r="A13066" s="2" t="str">
        <f t="shared" si="469"/>
        <v>14460</v>
      </c>
      <c r="B13066" s="2" t="str">
        <f>"02128"</f>
        <v>02128</v>
      </c>
      <c r="C13066" s="1">
        <v>8.0644750048096594E-3</v>
      </c>
      <c r="D13066" s="1">
        <v>5.9722123768341899E-3</v>
      </c>
      <c r="E13066" s="1">
        <v>1.45611963793781E-2</v>
      </c>
      <c r="F13066" s="1">
        <v>8.2308184668424007E-3</v>
      </c>
    </row>
    <row r="13067" spans="1:6" x14ac:dyDescent="0.25">
      <c r="A13067" s="2" t="str">
        <f t="shared" si="469"/>
        <v>14460</v>
      </c>
      <c r="B13067" s="2" t="str">
        <f>"02125"</f>
        <v>02125</v>
      </c>
      <c r="C13067" s="1">
        <v>6.9430697946099296E-3</v>
      </c>
      <c r="D13067" s="1">
        <v>3.1766144467285698E-3</v>
      </c>
      <c r="E13067" s="1">
        <v>2.65206174297083E-2</v>
      </c>
      <c r="F13067" s="1">
        <v>7.6717005794746896E-3</v>
      </c>
    </row>
    <row r="13068" spans="1:6" x14ac:dyDescent="0.25">
      <c r="A13068" s="2" t="str">
        <f t="shared" si="469"/>
        <v>14460</v>
      </c>
      <c r="B13068" s="2" t="str">
        <f>"02114"</f>
        <v>02114</v>
      </c>
      <c r="C13068" s="1">
        <v>5.3747713960544501E-3</v>
      </c>
      <c r="D13068" s="1">
        <v>6.4462678103069304E-3</v>
      </c>
      <c r="E13068" s="1">
        <v>9.0442666200241904E-3</v>
      </c>
      <c r="F13068" s="1">
        <v>5.6705426618058902E-3</v>
      </c>
    </row>
    <row r="13069" spans="1:6" x14ac:dyDescent="0.25">
      <c r="A13069" s="2" t="str">
        <f t="shared" si="469"/>
        <v>14460</v>
      </c>
      <c r="B13069" s="2" t="str">
        <f>"02052"</f>
        <v>02052</v>
      </c>
      <c r="C13069" s="1">
        <v>2.3480435674500398E-3</v>
      </c>
      <c r="D13069" s="1">
        <v>2.4101509888707698E-3</v>
      </c>
      <c r="E13069" s="1">
        <v>7.1421283542495598E-4</v>
      </c>
      <c r="F13069" s="1">
        <v>2.2646456942565598E-3</v>
      </c>
    </row>
    <row r="13070" spans="1:6" x14ac:dyDescent="0.25">
      <c r="A13070" s="2" t="str">
        <f t="shared" si="469"/>
        <v>14460</v>
      </c>
      <c r="B13070" s="2" t="str">
        <f>"02041"</f>
        <v>02041</v>
      </c>
      <c r="C13070" s="1">
        <v>3.3887854843158501E-4</v>
      </c>
      <c r="D13070" s="1">
        <v>9.7469341461685599E-5</v>
      </c>
      <c r="E13070" s="1">
        <v>1.45757721515297E-5</v>
      </c>
      <c r="F13070" s="1">
        <v>2.9959830018638501E-4</v>
      </c>
    </row>
    <row r="13071" spans="1:6" x14ac:dyDescent="0.25">
      <c r="A13071" s="2" t="str">
        <f t="shared" si="469"/>
        <v>14460</v>
      </c>
      <c r="B13071" s="2" t="str">
        <f>"02025"</f>
        <v>02025</v>
      </c>
      <c r="C13071" s="1">
        <v>1.73611513526168E-3</v>
      </c>
      <c r="D13071" s="1">
        <v>2.2240731551711902E-3</v>
      </c>
      <c r="E13071" s="1">
        <v>6.7048551897036697E-4</v>
      </c>
      <c r="F13071" s="1">
        <v>1.7217973834552599E-3</v>
      </c>
    </row>
    <row r="13072" spans="1:6" x14ac:dyDescent="0.25">
      <c r="A13072" s="2" t="str">
        <f t="shared" si="469"/>
        <v>14460</v>
      </c>
      <c r="B13072" s="2" t="str">
        <f>"01931"</f>
        <v>01931</v>
      </c>
      <c r="C13072" s="1">
        <v>4.3484005257021498E-4</v>
      </c>
      <c r="D13072" s="1">
        <v>1.15634082370454E-3</v>
      </c>
      <c r="E13072" s="1">
        <v>7.2878860757648603E-6</v>
      </c>
      <c r="F13072" s="1">
        <v>4.7618272877306302E-4</v>
      </c>
    </row>
    <row r="13073" spans="1:6" x14ac:dyDescent="0.25">
      <c r="A13073" s="2" t="str">
        <f t="shared" si="469"/>
        <v>14460</v>
      </c>
      <c r="B13073" s="2" t="str">
        <f>"01910"</f>
        <v>01910</v>
      </c>
      <c r="C13073" s="1">
        <v>0</v>
      </c>
      <c r="D13073" s="1">
        <v>4.4304246118948001E-6</v>
      </c>
      <c r="E13073" s="1">
        <v>0</v>
      </c>
      <c r="F13073" s="1">
        <v>3.96818940644219E-7</v>
      </c>
    </row>
    <row r="13074" spans="1:6" x14ac:dyDescent="0.25">
      <c r="A13074" s="2" t="str">
        <f t="shared" si="469"/>
        <v>14460</v>
      </c>
      <c r="B13074" s="2" t="str">
        <f>"01906"</f>
        <v>01906</v>
      </c>
      <c r="C13074" s="1">
        <v>5.3455657208818204E-3</v>
      </c>
      <c r="D13074" s="1">
        <v>4.8823279223080699E-3</v>
      </c>
      <c r="E13074" s="1">
        <v>2.3612750885478101E-3</v>
      </c>
      <c r="F13074" s="1">
        <v>5.1415830139271501E-3</v>
      </c>
    </row>
    <row r="13075" spans="1:6" x14ac:dyDescent="0.25">
      <c r="A13075" s="2" t="str">
        <f t="shared" ref="A13075:A13138" si="470">"14460"</f>
        <v>14460</v>
      </c>
      <c r="B13075" s="2" t="str">
        <f>"01908"</f>
        <v>01908</v>
      </c>
      <c r="C13075" s="1">
        <v>7.9179830468009303E-4</v>
      </c>
      <c r="D13075" s="1">
        <v>1.9493868292337101E-4</v>
      </c>
      <c r="E13075" s="1">
        <v>5.4659145568236405E-4</v>
      </c>
      <c r="F13075" s="1">
        <v>7.2498820455698895E-4</v>
      </c>
    </row>
    <row r="13076" spans="1:6" x14ac:dyDescent="0.25">
      <c r="A13076" s="2" t="str">
        <f t="shared" si="470"/>
        <v>14460</v>
      </c>
      <c r="B13076" s="2" t="str">
        <f>"01901"</f>
        <v>01901</v>
      </c>
      <c r="C13076" s="1">
        <v>6.3464395732262704E-4</v>
      </c>
      <c r="D13076" s="1">
        <v>3.3582618558162598E-3</v>
      </c>
      <c r="E13076" s="1">
        <v>1.02030405060708E-3</v>
      </c>
      <c r="F13076" s="1">
        <v>8.9958853844044598E-4</v>
      </c>
    </row>
    <row r="13077" spans="1:6" x14ac:dyDescent="0.25">
      <c r="A13077" s="2" t="str">
        <f t="shared" si="470"/>
        <v>14460</v>
      </c>
      <c r="B13077" s="2" t="str">
        <f>"01864"</f>
        <v>01864</v>
      </c>
      <c r="C13077" s="1">
        <v>2.8630833312085799E-3</v>
      </c>
      <c r="D13077" s="1">
        <v>3.4513007726660501E-3</v>
      </c>
      <c r="E13077" s="1">
        <v>1.51588030375909E-3</v>
      </c>
      <c r="F13077" s="1">
        <v>2.8424140718345402E-3</v>
      </c>
    </row>
    <row r="13078" spans="1:6" x14ac:dyDescent="0.25">
      <c r="A13078" s="2" t="str">
        <f t="shared" si="470"/>
        <v>14460</v>
      </c>
      <c r="B13078" s="2" t="str">
        <f>"01860"</f>
        <v>01860</v>
      </c>
      <c r="C13078" s="1">
        <v>1.2711422432276399E-3</v>
      </c>
      <c r="D13078" s="1">
        <v>5.7152477493442903E-4</v>
      </c>
      <c r="E13078" s="1">
        <v>6.3404608859154304E-4</v>
      </c>
      <c r="F13078" s="1">
        <v>1.1737904264256E-3</v>
      </c>
    </row>
    <row r="13079" spans="1:6" x14ac:dyDescent="0.25">
      <c r="A13079" s="2" t="str">
        <f t="shared" si="470"/>
        <v>14460</v>
      </c>
      <c r="B13079" s="2" t="str">
        <f>"01854"</f>
        <v>01854</v>
      </c>
      <c r="C13079" s="1">
        <v>4.8105919248626E-3</v>
      </c>
      <c r="D13079" s="1">
        <v>2.8842064223435098E-3</v>
      </c>
      <c r="E13079" s="1">
        <v>8.0968414301747609E-3</v>
      </c>
      <c r="F13079" s="1">
        <v>4.8169851204801798E-3</v>
      </c>
    </row>
    <row r="13080" spans="1:6" x14ac:dyDescent="0.25">
      <c r="A13080" s="2" t="str">
        <f t="shared" si="470"/>
        <v>14460</v>
      </c>
      <c r="B13080" s="2" t="str">
        <f>"01845"</f>
        <v>01845</v>
      </c>
      <c r="C13080" s="1">
        <v>5.6464305333744297E-3</v>
      </c>
      <c r="D13080" s="1">
        <v>6.3000637981144103E-3</v>
      </c>
      <c r="E13080" s="1">
        <v>4.2196860378678498E-3</v>
      </c>
      <c r="F13080" s="1">
        <v>5.6272893972756704E-3</v>
      </c>
    </row>
    <row r="13081" spans="1:6" x14ac:dyDescent="0.25">
      <c r="A13081" s="2" t="str">
        <f t="shared" si="470"/>
        <v>14460</v>
      </c>
      <c r="B13081" s="2" t="str">
        <f>"01841"</f>
        <v>01841</v>
      </c>
      <c r="C13081" s="1">
        <v>6.8563799333832397E-3</v>
      </c>
      <c r="D13081" s="1">
        <v>3.26079251435457E-3</v>
      </c>
      <c r="E13081" s="1">
        <v>5.9104756074452999E-3</v>
      </c>
      <c r="F13081" s="1">
        <v>6.4828310333046096E-3</v>
      </c>
    </row>
    <row r="13082" spans="1:6" x14ac:dyDescent="0.25">
      <c r="A13082" s="2" t="str">
        <f t="shared" si="470"/>
        <v>14460</v>
      </c>
      <c r="B13082" s="2" t="str">
        <f>"01830"</f>
        <v>01830</v>
      </c>
      <c r="C13082" s="1">
        <v>5.1063573337536399E-3</v>
      </c>
      <c r="D13082" s="1">
        <v>3.7968738923938399E-3</v>
      </c>
      <c r="E13082" s="1">
        <v>6.50079437958225E-3</v>
      </c>
      <c r="F13082" s="1">
        <v>5.0649969583828102E-3</v>
      </c>
    </row>
    <row r="13083" spans="1:6" x14ac:dyDescent="0.25">
      <c r="A13083" s="2" t="str">
        <f t="shared" si="470"/>
        <v>14460</v>
      </c>
      <c r="B13083" s="2" t="str">
        <f>"01821"</f>
        <v>01821</v>
      </c>
      <c r="C13083" s="1">
        <v>5.5022564860936901E-3</v>
      </c>
      <c r="D13083" s="1">
        <v>4.6120720209824901E-3</v>
      </c>
      <c r="E13083" s="1">
        <v>1.83654729109274E-3</v>
      </c>
      <c r="F13083" s="1">
        <v>5.2229308967592101E-3</v>
      </c>
    </row>
    <row r="13084" spans="1:6" x14ac:dyDescent="0.25">
      <c r="A13084" s="2" t="str">
        <f t="shared" si="470"/>
        <v>14460</v>
      </c>
      <c r="B13084" s="2" t="str">
        <f>"01746"</f>
        <v>01746</v>
      </c>
      <c r="C13084" s="1">
        <v>2.9354021459217501E-3</v>
      </c>
      <c r="D13084" s="1">
        <v>3.2342099666832001E-3</v>
      </c>
      <c r="E13084" s="1">
        <v>1.8073957467896801E-3</v>
      </c>
      <c r="F13084" s="1">
        <v>2.9007464561092398E-3</v>
      </c>
    </row>
    <row r="13085" spans="1:6" x14ac:dyDescent="0.25">
      <c r="A13085" s="2" t="str">
        <f t="shared" si="470"/>
        <v>14460</v>
      </c>
      <c r="B13085" s="2" t="str">
        <f>"01749"</f>
        <v>01749</v>
      </c>
      <c r="C13085" s="1">
        <v>4.3099232076175796E-3</v>
      </c>
      <c r="D13085" s="1">
        <v>4.2487772028071101E-3</v>
      </c>
      <c r="E13085" s="1">
        <v>3.7241097847158398E-3</v>
      </c>
      <c r="F13085" s="1">
        <v>4.2725495339163101E-3</v>
      </c>
    </row>
    <row r="13086" spans="1:6" x14ac:dyDescent="0.25">
      <c r="A13086" s="2" t="str">
        <f t="shared" si="470"/>
        <v>14460</v>
      </c>
      <c r="B13086" s="2" t="str">
        <f>"01474"</f>
        <v>01474</v>
      </c>
      <c r="C13086" s="1">
        <v>3.6669347716742002E-4</v>
      </c>
      <c r="D13086" s="1">
        <v>8.8608492237895995E-5</v>
      </c>
      <c r="E13086" s="1">
        <v>4.3727316454589099E-5</v>
      </c>
      <c r="F13086" s="1">
        <v>3.2420107450632698E-4</v>
      </c>
    </row>
    <row r="13087" spans="1:6" x14ac:dyDescent="0.25">
      <c r="A13087" s="2" t="str">
        <f t="shared" si="470"/>
        <v>14460</v>
      </c>
      <c r="B13087" s="2" t="str">
        <f>"03858"</f>
        <v>03858</v>
      </c>
      <c r="C13087" s="1">
        <v>1.0310066918082701E-3</v>
      </c>
      <c r="D13087" s="1">
        <v>5.8924647338200805E-4</v>
      </c>
      <c r="E13087" s="1">
        <v>1.82197151894121E-4</v>
      </c>
      <c r="F13087" s="1">
        <v>9.4522271661453096E-4</v>
      </c>
    </row>
    <row r="13088" spans="1:6" x14ac:dyDescent="0.25">
      <c r="A13088" s="2" t="str">
        <f t="shared" si="470"/>
        <v>14460</v>
      </c>
      <c r="B13088" s="2" t="str">
        <f>"03848"</f>
        <v>03848</v>
      </c>
      <c r="C13088" s="1">
        <v>1.17100849977863E-3</v>
      </c>
      <c r="D13088" s="1">
        <v>6.5127241794853596E-4</v>
      </c>
      <c r="E13088" s="1">
        <v>3.5710641771247799E-4</v>
      </c>
      <c r="F13088" s="1">
        <v>1.0801411564335601E-3</v>
      </c>
    </row>
    <row r="13089" spans="1:6" x14ac:dyDescent="0.25">
      <c r="A13089" s="2" t="str">
        <f t="shared" si="470"/>
        <v>14460</v>
      </c>
      <c r="B13089" s="2" t="str">
        <f>"03823"</f>
        <v>03823</v>
      </c>
      <c r="C13089" s="1">
        <v>3.3516989126680701E-4</v>
      </c>
      <c r="D13089" s="1">
        <v>1.2405188913305399E-4</v>
      </c>
      <c r="E13089" s="1">
        <v>6.5590974681883706E-5</v>
      </c>
      <c r="F13089" s="1">
        <v>3.0158239488960599E-4</v>
      </c>
    </row>
    <row r="13090" spans="1:6" x14ac:dyDescent="0.25">
      <c r="A13090" s="2" t="str">
        <f t="shared" si="470"/>
        <v>14460</v>
      </c>
      <c r="B13090" s="2" t="str">
        <f>"03821"</f>
        <v>03821</v>
      </c>
      <c r="C13090" s="1">
        <v>5.6186156046385998E-4</v>
      </c>
      <c r="D13090" s="1">
        <v>1.79432196781739E-3</v>
      </c>
      <c r="E13090" s="1">
        <v>7.2878860757648603E-6</v>
      </c>
      <c r="F13090" s="1">
        <v>6.4205304596234695E-4</v>
      </c>
    </row>
    <row r="13091" spans="1:6" x14ac:dyDescent="0.25">
      <c r="A13091" s="2" t="str">
        <f t="shared" si="470"/>
        <v>14460</v>
      </c>
      <c r="B13091" s="2" t="str">
        <f>"03291"</f>
        <v>03291</v>
      </c>
      <c r="C13091" s="1">
        <v>7.4173143295559102E-6</v>
      </c>
      <c r="D13091" s="1">
        <v>4.4304246118948001E-6</v>
      </c>
      <c r="E13091" s="1">
        <v>7.2878860757648603E-6</v>
      </c>
      <c r="F13091" s="1">
        <v>7.1427409315959501E-6</v>
      </c>
    </row>
    <row r="13092" spans="1:6" x14ac:dyDescent="0.25">
      <c r="A13092" s="2" t="str">
        <f t="shared" si="470"/>
        <v>14460</v>
      </c>
      <c r="B13092" s="2" t="str">
        <f>"03041"</f>
        <v>03041</v>
      </c>
      <c r="C13092" s="1">
        <v>0</v>
      </c>
      <c r="D13092" s="1">
        <v>0</v>
      </c>
      <c r="E13092" s="1">
        <v>7.2878860757648603E-6</v>
      </c>
      <c r="F13092" s="1">
        <v>3.96818940644219E-7</v>
      </c>
    </row>
    <row r="13093" spans="1:6" x14ac:dyDescent="0.25">
      <c r="A13093" s="2" t="str">
        <f t="shared" si="470"/>
        <v>14460</v>
      </c>
      <c r="B13093" s="2" t="str">
        <f>"02739"</f>
        <v>02739</v>
      </c>
      <c r="C13093" s="1">
        <v>2.0810202515860301E-3</v>
      </c>
      <c r="D13093" s="1">
        <v>1.6082441341178099E-3</v>
      </c>
      <c r="E13093" s="1">
        <v>2.2956841138659298E-3</v>
      </c>
      <c r="F13093" s="1">
        <v>2.05036346630868E-3</v>
      </c>
    </row>
    <row r="13094" spans="1:6" x14ac:dyDescent="0.25">
      <c r="A13094" s="2" t="str">
        <f t="shared" si="470"/>
        <v>14460</v>
      </c>
      <c r="B13094" s="2" t="str">
        <f>"02481"</f>
        <v>02481</v>
      </c>
      <c r="C13094" s="1">
        <v>5.4443087178940299E-3</v>
      </c>
      <c r="D13094" s="1">
        <v>4.3418161196568999E-3</v>
      </c>
      <c r="E13094" s="1">
        <v>1.3919862404710799E-3</v>
      </c>
      <c r="F13094" s="1">
        <v>5.1249166184200896E-3</v>
      </c>
    </row>
    <row r="13095" spans="1:6" x14ac:dyDescent="0.25">
      <c r="A13095" s="2" t="str">
        <f t="shared" si="470"/>
        <v>14460</v>
      </c>
      <c r="B13095" s="2" t="str">
        <f>"02476"</f>
        <v>02476</v>
      </c>
      <c r="C13095" s="1">
        <v>3.6465371572679201E-3</v>
      </c>
      <c r="D13095" s="1">
        <v>3.4956050187850002E-3</v>
      </c>
      <c r="E13095" s="1">
        <v>2.06247175944145E-3</v>
      </c>
      <c r="F13095" s="1">
        <v>3.5467676914780299E-3</v>
      </c>
    </row>
    <row r="13096" spans="1:6" x14ac:dyDescent="0.25">
      <c r="A13096" s="2" t="str">
        <f t="shared" si="470"/>
        <v>14460</v>
      </c>
      <c r="B13096" s="2" t="str">
        <f>"02468"</f>
        <v>02468</v>
      </c>
      <c r="C13096" s="1">
        <v>9.1742906613694595E-4</v>
      </c>
      <c r="D13096" s="1">
        <v>2.2152123059473999E-4</v>
      </c>
      <c r="E13096" s="1">
        <v>2.2592446834871001E-4</v>
      </c>
      <c r="F13096" s="1">
        <v>8.1744701772709205E-4</v>
      </c>
    </row>
    <row r="13097" spans="1:6" x14ac:dyDescent="0.25">
      <c r="A13097" s="2" t="str">
        <f t="shared" si="470"/>
        <v>14460</v>
      </c>
      <c r="B13097" s="2" t="str">
        <f>"02472"</f>
        <v>02472</v>
      </c>
      <c r="C13097" s="1">
        <v>7.7376495921636004E-3</v>
      </c>
      <c r="D13097" s="1">
        <v>5.9677819522223003E-3</v>
      </c>
      <c r="E13097" s="1">
        <v>6.4716428352791901E-3</v>
      </c>
      <c r="F13097" s="1">
        <v>7.5101952706324998E-3</v>
      </c>
    </row>
    <row r="13098" spans="1:6" x14ac:dyDescent="0.25">
      <c r="A13098" s="2" t="str">
        <f t="shared" si="470"/>
        <v>14460</v>
      </c>
      <c r="B13098" s="2" t="str">
        <f>"02464"</f>
        <v>02464</v>
      </c>
      <c r="C13098" s="1">
        <v>6.0961052146037598E-4</v>
      </c>
      <c r="D13098" s="1">
        <v>1.3291273835684401E-3</v>
      </c>
      <c r="E13098" s="1">
        <v>6.5590974681883701E-4</v>
      </c>
      <c r="F13098" s="1">
        <v>6.7657629379839395E-4</v>
      </c>
    </row>
    <row r="13099" spans="1:6" x14ac:dyDescent="0.25">
      <c r="A13099" s="2" t="str">
        <f t="shared" si="470"/>
        <v>14460</v>
      </c>
      <c r="B13099" s="2" t="str">
        <f>"02460"</f>
        <v>02460</v>
      </c>
      <c r="C13099" s="1">
        <v>1.9985026296697201E-3</v>
      </c>
      <c r="D13099" s="1">
        <v>2.1620472106046599E-3</v>
      </c>
      <c r="E13099" s="1">
        <v>2.05518387336569E-3</v>
      </c>
      <c r="F13099" s="1">
        <v>2.0162370374132801E-3</v>
      </c>
    </row>
    <row r="13100" spans="1:6" x14ac:dyDescent="0.25">
      <c r="A13100" s="2" t="str">
        <f t="shared" si="470"/>
        <v>14460</v>
      </c>
      <c r="B13100" s="2" t="str">
        <f>"02451"</f>
        <v>02451</v>
      </c>
      <c r="C13100" s="1">
        <v>3.6780607431685301E-3</v>
      </c>
      <c r="D13100" s="1">
        <v>6.5880413978875703E-3</v>
      </c>
      <c r="E13100" s="1">
        <v>4.2561254682466796E-3</v>
      </c>
      <c r="F13100" s="1">
        <v>3.9701735011454103E-3</v>
      </c>
    </row>
    <row r="13101" spans="1:6" x14ac:dyDescent="0.25">
      <c r="A13101" s="2" t="str">
        <f t="shared" si="470"/>
        <v>14460</v>
      </c>
      <c r="B13101" s="2" t="str">
        <f>"02379"</f>
        <v>02379</v>
      </c>
      <c r="C13101" s="1">
        <v>1.35690494016313E-3</v>
      </c>
      <c r="D13101" s="1">
        <v>2.38799886581129E-3</v>
      </c>
      <c r="E13101" s="1">
        <v>9.2556153162213703E-4</v>
      </c>
      <c r="F13101" s="1">
        <v>1.4257704537346801E-3</v>
      </c>
    </row>
    <row r="13102" spans="1:6" x14ac:dyDescent="0.25">
      <c r="A13102" s="2" t="str">
        <f t="shared" si="470"/>
        <v>14460</v>
      </c>
      <c r="B13102" s="2" t="str">
        <f>"02348"</f>
        <v>02348</v>
      </c>
      <c r="C13102" s="1">
        <v>0</v>
      </c>
      <c r="D13102" s="1">
        <v>4.4304246118948001E-6</v>
      </c>
      <c r="E13102" s="1">
        <v>0</v>
      </c>
      <c r="F13102" s="1">
        <v>3.96818940644219E-7</v>
      </c>
    </row>
    <row r="13103" spans="1:6" x14ac:dyDescent="0.25">
      <c r="A13103" s="2" t="str">
        <f t="shared" si="470"/>
        <v>14460</v>
      </c>
      <c r="B13103" s="2" t="str">
        <f>"02346"</f>
        <v>02346</v>
      </c>
      <c r="C13103" s="1">
        <v>4.5769465234815898E-3</v>
      </c>
      <c r="D13103" s="1">
        <v>3.1234493513858301E-3</v>
      </c>
      <c r="E13103" s="1">
        <v>4.2269739239436197E-3</v>
      </c>
      <c r="F13103" s="1">
        <v>4.4277057397081997E-3</v>
      </c>
    </row>
    <row r="13104" spans="1:6" x14ac:dyDescent="0.25">
      <c r="A13104" s="2" t="str">
        <f t="shared" si="470"/>
        <v>14460</v>
      </c>
      <c r="B13104" s="2" t="str">
        <f>"02331"</f>
        <v>02331</v>
      </c>
      <c r="C13104" s="1">
        <v>8.3491144422063698E-4</v>
      </c>
      <c r="D13104" s="1">
        <v>1.7677394201460199E-3</v>
      </c>
      <c r="E13104" s="1">
        <v>2.9151544303059401E-5</v>
      </c>
      <c r="F13104" s="1">
        <v>8.7458894517985998E-4</v>
      </c>
    </row>
    <row r="13105" spans="1:6" x14ac:dyDescent="0.25">
      <c r="A13105" s="2" t="str">
        <f t="shared" si="470"/>
        <v>14460</v>
      </c>
      <c r="B13105" s="2" t="str">
        <f>"02201"</f>
        <v>02201</v>
      </c>
      <c r="C13105" s="1">
        <v>0</v>
      </c>
      <c r="D13105" s="1">
        <v>1.77216984475792E-5</v>
      </c>
      <c r="E13105" s="1">
        <v>3.8625796201553699E-4</v>
      </c>
      <c r="F13105" s="1">
        <v>2.2618679616720501E-5</v>
      </c>
    </row>
    <row r="13106" spans="1:6" x14ac:dyDescent="0.25">
      <c r="A13106" s="2" t="str">
        <f t="shared" si="470"/>
        <v>14460</v>
      </c>
      <c r="B13106" s="2" t="str">
        <f>"02189"</f>
        <v>02189</v>
      </c>
      <c r="C13106" s="1">
        <v>3.00401230347014E-3</v>
      </c>
      <c r="D13106" s="1">
        <v>2.6139505210179301E-3</v>
      </c>
      <c r="E13106" s="1">
        <v>3.4034427973821898E-3</v>
      </c>
      <c r="F13106" s="1">
        <v>2.9908243556354798E-3</v>
      </c>
    </row>
    <row r="13107" spans="1:6" x14ac:dyDescent="0.25">
      <c r="A13107" s="2" t="str">
        <f t="shared" si="470"/>
        <v>14460</v>
      </c>
      <c r="B13107" s="2" t="str">
        <f>"02139"</f>
        <v>02139</v>
      </c>
      <c r="C13107" s="1">
        <v>7.8873866251915094E-3</v>
      </c>
      <c r="D13107" s="1">
        <v>8.3336286949741208E-3</v>
      </c>
      <c r="E13107" s="1">
        <v>1.8117684784351398E-2</v>
      </c>
      <c r="F13107" s="1">
        <v>8.4843857699140601E-3</v>
      </c>
    </row>
    <row r="13108" spans="1:6" x14ac:dyDescent="0.25">
      <c r="A13108" s="2" t="str">
        <f t="shared" si="470"/>
        <v>14460</v>
      </c>
      <c r="B13108" s="2" t="str">
        <f>"02132"</f>
        <v>02132</v>
      </c>
      <c r="C13108" s="1">
        <v>5.5291442505383303E-3</v>
      </c>
      <c r="D13108" s="1">
        <v>3.7924434677819498E-3</v>
      </c>
      <c r="E13108" s="1">
        <v>4.3508679872316198E-3</v>
      </c>
      <c r="F13108" s="1">
        <v>5.3094374258196497E-3</v>
      </c>
    </row>
    <row r="13109" spans="1:6" x14ac:dyDescent="0.25">
      <c r="A13109" s="2" t="str">
        <f t="shared" si="470"/>
        <v>14460</v>
      </c>
      <c r="B13109" s="2" t="str">
        <f>"02131"</f>
        <v>02131</v>
      </c>
      <c r="C13109" s="1">
        <v>5.7122591980492401E-3</v>
      </c>
      <c r="D13109" s="1">
        <v>2.9285106684624599E-3</v>
      </c>
      <c r="E13109" s="1">
        <v>9.6564490503884392E-3</v>
      </c>
      <c r="F13109" s="1">
        <v>5.6776854027374901E-3</v>
      </c>
    </row>
    <row r="13110" spans="1:6" x14ac:dyDescent="0.25">
      <c r="A13110" s="2" t="str">
        <f t="shared" si="470"/>
        <v>14460</v>
      </c>
      <c r="B13110" s="2" t="str">
        <f>"02123"</f>
        <v>02123</v>
      </c>
      <c r="C13110" s="1">
        <v>4.6265498130604901E-4</v>
      </c>
      <c r="D13110" s="1">
        <v>7.4874175941022105E-4</v>
      </c>
      <c r="E13110" s="1">
        <v>1.45757721515297E-5</v>
      </c>
      <c r="F13110" s="1">
        <v>4.6388134161309201E-4</v>
      </c>
    </row>
    <row r="13111" spans="1:6" x14ac:dyDescent="0.25">
      <c r="A13111" s="2" t="str">
        <f t="shared" si="470"/>
        <v>14460</v>
      </c>
      <c r="B13111" s="2" t="str">
        <f>"02119"</f>
        <v>02119</v>
      </c>
      <c r="C13111" s="1">
        <v>5.9727923638748896E-3</v>
      </c>
      <c r="D13111" s="1">
        <v>5.2987878358261801E-3</v>
      </c>
      <c r="E13111" s="1">
        <v>9.0807060504030195E-3</v>
      </c>
      <c r="F13111" s="1">
        <v>6.0816470843133097E-3</v>
      </c>
    </row>
    <row r="13112" spans="1:6" x14ac:dyDescent="0.25">
      <c r="A13112" s="2" t="str">
        <f t="shared" si="470"/>
        <v>14460</v>
      </c>
      <c r="B13112" s="2" t="str">
        <f>"02071"</f>
        <v>02071</v>
      </c>
      <c r="C13112" s="1">
        <v>1.5159136161029801E-4</v>
      </c>
      <c r="D13112" s="1">
        <v>5.3165095342737601E-5</v>
      </c>
      <c r="E13112" s="1">
        <v>5.1015202530353997E-5</v>
      </c>
      <c r="F13112" s="1">
        <v>1.372993534629E-4</v>
      </c>
    </row>
    <row r="13113" spans="1:6" x14ac:dyDescent="0.25">
      <c r="A13113" s="2" t="str">
        <f t="shared" si="470"/>
        <v>14460</v>
      </c>
      <c r="B13113" s="2" t="str">
        <f>"02045"</f>
        <v>02045</v>
      </c>
      <c r="C13113" s="1">
        <v>2.72957167327657E-3</v>
      </c>
      <c r="D13113" s="1">
        <v>9.9684553767633E-4</v>
      </c>
      <c r="E13113" s="1">
        <v>1.52316818983485E-3</v>
      </c>
      <c r="F13113" s="1">
        <v>2.5086893427527499E-3</v>
      </c>
    </row>
    <row r="13114" spans="1:6" x14ac:dyDescent="0.25">
      <c r="A13114" s="2" t="str">
        <f t="shared" si="470"/>
        <v>14460</v>
      </c>
      <c r="B13114" s="2" t="str">
        <f>"02035"</f>
        <v>02035</v>
      </c>
      <c r="C13114" s="1">
        <v>3.8648843478442199E-3</v>
      </c>
      <c r="D13114" s="1">
        <v>4.6253632948181703E-3</v>
      </c>
      <c r="E13114" s="1">
        <v>3.8552917340796099E-3</v>
      </c>
      <c r="F13114" s="1">
        <v>3.9324757017842101E-3</v>
      </c>
    </row>
    <row r="13115" spans="1:6" x14ac:dyDescent="0.25">
      <c r="A13115" s="2" t="str">
        <f t="shared" si="470"/>
        <v>14460</v>
      </c>
      <c r="B13115" s="2" t="str">
        <f>"01985"</f>
        <v>01985</v>
      </c>
      <c r="C13115" s="1">
        <v>1.0555765455249201E-3</v>
      </c>
      <c r="D13115" s="1">
        <v>5.8481604877011397E-4</v>
      </c>
      <c r="E13115" s="1">
        <v>2.5507601265177001E-4</v>
      </c>
      <c r="F13115" s="1">
        <v>9.6982549093447201E-4</v>
      </c>
    </row>
    <row r="13116" spans="1:6" x14ac:dyDescent="0.25">
      <c r="A13116" s="2" t="str">
        <f t="shared" si="470"/>
        <v>14460</v>
      </c>
      <c r="B13116" s="2" t="str">
        <f>"01983"</f>
        <v>01983</v>
      </c>
      <c r="C13116" s="1">
        <v>1.0963717743374801E-3</v>
      </c>
      <c r="D13116" s="1">
        <v>1.48419224498475E-3</v>
      </c>
      <c r="E13116" s="1">
        <v>6.5590974681883701E-4</v>
      </c>
      <c r="F13116" s="1">
        <v>1.1071248443973701E-3</v>
      </c>
    </row>
    <row r="13117" spans="1:6" x14ac:dyDescent="0.25">
      <c r="A13117" s="2" t="str">
        <f t="shared" si="470"/>
        <v>14460</v>
      </c>
      <c r="B13117" s="2" t="str">
        <f>"01969"</f>
        <v>01969</v>
      </c>
      <c r="C13117" s="1">
        <v>1.3276992649904999E-3</v>
      </c>
      <c r="D13117" s="1">
        <v>1.6082441341178099E-3</v>
      </c>
      <c r="E13117" s="1">
        <v>6.7048551897036697E-4</v>
      </c>
      <c r="F13117" s="1">
        <v>1.3170420639981599E-3</v>
      </c>
    </row>
    <row r="13118" spans="1:6" x14ac:dyDescent="0.25">
      <c r="A13118" s="2" t="str">
        <f t="shared" si="470"/>
        <v>14460</v>
      </c>
      <c r="B13118" s="2" t="str">
        <f>"01952"</f>
        <v>01952</v>
      </c>
      <c r="C13118" s="1">
        <v>2.4514223859182201E-3</v>
      </c>
      <c r="D13118" s="1">
        <v>2.2019210321117099E-3</v>
      </c>
      <c r="E13118" s="1">
        <v>1.8875624936230901E-3</v>
      </c>
      <c r="F13118" s="1">
        <v>2.3983736772536599E-3</v>
      </c>
    </row>
    <row r="13119" spans="1:6" x14ac:dyDescent="0.25">
      <c r="A13119" s="2" t="str">
        <f t="shared" si="470"/>
        <v>14460</v>
      </c>
      <c r="B13119" s="2" t="str">
        <f>"01940"</f>
        <v>01940</v>
      </c>
      <c r="C13119" s="1">
        <v>2.5798346402486601E-3</v>
      </c>
      <c r="D13119" s="1">
        <v>2.53863330261572E-3</v>
      </c>
      <c r="E13119" s="1">
        <v>7.3607649365225103E-4</v>
      </c>
      <c r="F13119" s="1">
        <v>2.47575337067928E-3</v>
      </c>
    </row>
    <row r="13120" spans="1:6" x14ac:dyDescent="0.25">
      <c r="A13120" s="2" t="str">
        <f t="shared" si="470"/>
        <v>14460</v>
      </c>
      <c r="B13120" s="2" t="str">
        <f>"01902"</f>
        <v>01902</v>
      </c>
      <c r="C13120" s="1">
        <v>8.0195075366867302E-3</v>
      </c>
      <c r="D13120" s="1">
        <v>2.5209116041681398E-3</v>
      </c>
      <c r="E13120" s="1">
        <v>7.7397350124622797E-3</v>
      </c>
      <c r="F13120" s="1">
        <v>7.5117825463950696E-3</v>
      </c>
    </row>
    <row r="13121" spans="1:6" x14ac:dyDescent="0.25">
      <c r="A13121" s="2" t="str">
        <f t="shared" si="470"/>
        <v>14460</v>
      </c>
      <c r="B13121" s="2" t="str">
        <f>"01887"</f>
        <v>01887</v>
      </c>
      <c r="C13121" s="1">
        <v>4.1235631850874803E-3</v>
      </c>
      <c r="D13121" s="1">
        <v>5.72853902317998E-3</v>
      </c>
      <c r="E13121" s="1">
        <v>1.7199411138805001E-3</v>
      </c>
      <c r="F13121" s="1">
        <v>4.13644063727534E-3</v>
      </c>
    </row>
    <row r="13122" spans="1:6" x14ac:dyDescent="0.25">
      <c r="A13122" s="2" t="str">
        <f t="shared" si="470"/>
        <v>14460</v>
      </c>
      <c r="B13122" s="2" t="str">
        <f>"01866"</f>
        <v>01866</v>
      </c>
      <c r="C13122" s="1">
        <v>0</v>
      </c>
      <c r="D13122" s="1">
        <v>0</v>
      </c>
      <c r="E13122" s="1">
        <v>7.2878860757648603E-6</v>
      </c>
      <c r="F13122" s="1">
        <v>3.96818940644219E-7</v>
      </c>
    </row>
    <row r="13123" spans="1:6" x14ac:dyDescent="0.25">
      <c r="A13123" s="2" t="str">
        <f t="shared" si="470"/>
        <v>14460</v>
      </c>
      <c r="B13123" s="2" t="str">
        <f>"01862"</f>
        <v>01862</v>
      </c>
      <c r="C13123" s="1">
        <v>1.9901581510489699E-3</v>
      </c>
      <c r="D13123" s="1">
        <v>2.6272417948536098E-3</v>
      </c>
      <c r="E13123" s="1">
        <v>7.5065226580378001E-4</v>
      </c>
      <c r="F13123" s="1">
        <v>1.9797296948740098E-3</v>
      </c>
    </row>
    <row r="13124" spans="1:6" x14ac:dyDescent="0.25">
      <c r="A13124" s="2" t="str">
        <f t="shared" si="470"/>
        <v>14460</v>
      </c>
      <c r="B13124" s="2" t="str">
        <f>"01834"</f>
        <v>01834</v>
      </c>
      <c r="C13124" s="1">
        <v>1.177498649817E-3</v>
      </c>
      <c r="D13124" s="1">
        <v>5.5380307648685001E-4</v>
      </c>
      <c r="E13124" s="1">
        <v>4.5184893669742099E-4</v>
      </c>
      <c r="F13124" s="1">
        <v>1.08212525113678E-3</v>
      </c>
    </row>
    <row r="13125" spans="1:6" x14ac:dyDescent="0.25">
      <c r="A13125" s="2" t="str">
        <f t="shared" si="470"/>
        <v>14460</v>
      </c>
      <c r="B13125" s="2" t="str">
        <f>"01832"</f>
        <v>01832</v>
      </c>
      <c r="C13125" s="1">
        <v>4.55191308761934E-3</v>
      </c>
      <c r="D13125" s="1">
        <v>2.4323031119302401E-3</v>
      </c>
      <c r="E13125" s="1">
        <v>5.4294751264448203E-3</v>
      </c>
      <c r="F13125" s="1">
        <v>4.4098488873792101E-3</v>
      </c>
    </row>
    <row r="13126" spans="1:6" x14ac:dyDescent="0.25">
      <c r="A13126" s="2" t="str">
        <f t="shared" si="470"/>
        <v>14460</v>
      </c>
      <c r="B13126" s="2" t="str">
        <f>"01805"</f>
        <v>01805</v>
      </c>
      <c r="C13126" s="1">
        <v>0</v>
      </c>
      <c r="D13126" s="1">
        <v>4.4304246118948001E-6</v>
      </c>
      <c r="E13126" s="1">
        <v>0</v>
      </c>
      <c r="F13126" s="1">
        <v>3.96818940644219E-7</v>
      </c>
    </row>
    <row r="13127" spans="1:6" x14ac:dyDescent="0.25">
      <c r="A13127" s="2" t="str">
        <f t="shared" si="470"/>
        <v>14460</v>
      </c>
      <c r="B13127" s="2" t="str">
        <f>"01776"</f>
        <v>01776</v>
      </c>
      <c r="C13127" s="1">
        <v>3.4318986238564002E-3</v>
      </c>
      <c r="D13127" s="1">
        <v>3.4247182249946802E-3</v>
      </c>
      <c r="E13127" s="1">
        <v>1.10047079744049E-3</v>
      </c>
      <c r="F13127" s="1">
        <v>3.3043113187444101E-3</v>
      </c>
    </row>
    <row r="13128" spans="1:6" x14ac:dyDescent="0.25">
      <c r="A13128" s="2" t="str">
        <f t="shared" si="470"/>
        <v>14460</v>
      </c>
      <c r="B13128" s="2" t="str">
        <f>"01756"</f>
        <v>01756</v>
      </c>
      <c r="C13128" s="1">
        <v>1.3907464367917299E-6</v>
      </c>
      <c r="D13128" s="1">
        <v>0</v>
      </c>
      <c r="E13128" s="1">
        <v>0</v>
      </c>
      <c r="F13128" s="1">
        <v>1.19045682193265E-6</v>
      </c>
    </row>
    <row r="13129" spans="1:6" x14ac:dyDescent="0.25">
      <c r="A13129" s="2" t="str">
        <f t="shared" si="470"/>
        <v>14460</v>
      </c>
      <c r="B13129" s="2" t="str">
        <f>"01504"</f>
        <v>01504</v>
      </c>
      <c r="C13129" s="1">
        <v>2.7814928735834599E-6</v>
      </c>
      <c r="D13129" s="1">
        <v>0</v>
      </c>
      <c r="E13129" s="1">
        <v>0</v>
      </c>
      <c r="F13129" s="1">
        <v>2.3809136438653102E-6</v>
      </c>
    </row>
    <row r="13130" spans="1:6" x14ac:dyDescent="0.25">
      <c r="A13130" s="2" t="str">
        <f t="shared" si="470"/>
        <v>14460</v>
      </c>
      <c r="B13130" s="2" t="str">
        <f>"01431"</f>
        <v>01431</v>
      </c>
      <c r="C13130" s="1">
        <v>5.3451021387362202E-4</v>
      </c>
      <c r="D13130" s="1">
        <v>1.8164740908768601E-4</v>
      </c>
      <c r="E13130" s="1">
        <v>1.09318291136472E-4</v>
      </c>
      <c r="F13130" s="1">
        <v>4.7975409923886099E-4</v>
      </c>
    </row>
    <row r="13131" spans="1:6" x14ac:dyDescent="0.25">
      <c r="A13131" s="2" t="str">
        <f t="shared" si="470"/>
        <v>14460</v>
      </c>
      <c r="B13131" s="2" t="str">
        <f>"01434"</f>
        <v>01434</v>
      </c>
      <c r="C13131" s="1">
        <v>2.3642689425459401E-5</v>
      </c>
      <c r="D13131" s="1">
        <v>1.55064861416318E-4</v>
      </c>
      <c r="E13131" s="1">
        <v>1.23894063288002E-4</v>
      </c>
      <c r="F13131" s="1">
        <v>4.0872350886354597E-5</v>
      </c>
    </row>
    <row r="13132" spans="1:6" x14ac:dyDescent="0.25">
      <c r="A13132" s="2" t="str">
        <f t="shared" si="470"/>
        <v>14460</v>
      </c>
      <c r="B13132" s="2" t="str">
        <f>"01450"</f>
        <v>01450</v>
      </c>
      <c r="C13132" s="1">
        <v>2.3197650565686101E-3</v>
      </c>
      <c r="D13132" s="1">
        <v>1.53735734032749E-3</v>
      </c>
      <c r="E13132" s="1">
        <v>7.9437958225837E-4</v>
      </c>
      <c r="F13132" s="1">
        <v>2.1666314159174299E-3</v>
      </c>
    </row>
    <row r="13133" spans="1:6" x14ac:dyDescent="0.25">
      <c r="A13133" s="2" t="str">
        <f t="shared" si="470"/>
        <v>14460</v>
      </c>
      <c r="B13133" s="2" t="str">
        <f>"03873"</f>
        <v>03873</v>
      </c>
      <c r="C13133" s="1">
        <v>1.0945174457550901E-3</v>
      </c>
      <c r="D13133" s="1">
        <v>4.4304246118947997E-5</v>
      </c>
      <c r="E13133" s="1">
        <v>4.1540950631859701E-4</v>
      </c>
      <c r="F13133" s="1">
        <v>9.63476387884165E-4</v>
      </c>
    </row>
    <row r="13134" spans="1:6" x14ac:dyDescent="0.25">
      <c r="A13134" s="2" t="str">
        <f t="shared" si="470"/>
        <v>14460</v>
      </c>
      <c r="B13134" s="2" t="str">
        <f>"03854"</f>
        <v>03854</v>
      </c>
      <c r="C13134" s="1">
        <v>2.3828122283698299E-4</v>
      </c>
      <c r="D13134" s="1">
        <v>8.8608492237896002E-6</v>
      </c>
      <c r="E13134" s="1">
        <v>7.2878860757648603E-6</v>
      </c>
      <c r="F13134" s="1">
        <v>2.0515539231306099E-4</v>
      </c>
    </row>
    <row r="13135" spans="1:6" x14ac:dyDescent="0.25">
      <c r="A13135" s="2" t="str">
        <f t="shared" si="470"/>
        <v>14460</v>
      </c>
      <c r="B13135" s="2" t="str">
        <f>"03862"</f>
        <v>03862</v>
      </c>
      <c r="C13135" s="1">
        <v>1.4162434547995799E-3</v>
      </c>
      <c r="D13135" s="1">
        <v>2.86205429928404E-3</v>
      </c>
      <c r="E13135" s="1">
        <v>5.3201568353083495E-4</v>
      </c>
      <c r="F13135" s="1">
        <v>1.49759468199128E-3</v>
      </c>
    </row>
    <row r="13136" spans="1:6" x14ac:dyDescent="0.25">
      <c r="A13136" s="2" t="str">
        <f t="shared" si="470"/>
        <v>14460</v>
      </c>
      <c r="B13136" s="2" t="str">
        <f>"03827"</f>
        <v>03827</v>
      </c>
      <c r="C13136" s="1">
        <v>5.75769024831777E-4</v>
      </c>
      <c r="D13136" s="1">
        <v>1.55064861416318E-4</v>
      </c>
      <c r="E13136" s="1">
        <v>6.5590974681883706E-5</v>
      </c>
      <c r="F13136" s="1">
        <v>5.1030915766846598E-4</v>
      </c>
    </row>
    <row r="13137" spans="1:6" x14ac:dyDescent="0.25">
      <c r="A13137" s="2" t="str">
        <f t="shared" si="470"/>
        <v>14460</v>
      </c>
      <c r="B13137" s="2" t="str">
        <f>"03820"</f>
        <v>03820</v>
      </c>
      <c r="C13137" s="1">
        <v>7.2091659461827398E-3</v>
      </c>
      <c r="D13137" s="1">
        <v>6.2646204012192499E-3</v>
      </c>
      <c r="E13137" s="1">
        <v>6.68299153147637E-3</v>
      </c>
      <c r="F13137" s="1">
        <v>7.0959162965999302E-3</v>
      </c>
    </row>
    <row r="13138" spans="1:6" x14ac:dyDescent="0.25">
      <c r="A13138" s="2" t="str">
        <f t="shared" si="470"/>
        <v>14460</v>
      </c>
      <c r="B13138" s="2" t="str">
        <f>"03809"</f>
        <v>03809</v>
      </c>
      <c r="C13138" s="1">
        <v>1.3907464367917299E-6</v>
      </c>
      <c r="D13138" s="1">
        <v>0</v>
      </c>
      <c r="E13138" s="1">
        <v>0</v>
      </c>
      <c r="F13138" s="1">
        <v>1.19045682193265E-6</v>
      </c>
    </row>
    <row r="13139" spans="1:6" x14ac:dyDescent="0.25">
      <c r="A13139" s="2" t="str">
        <f t="shared" ref="A13139:A13202" si="471">"14460"</f>
        <v>14460</v>
      </c>
      <c r="B13139" s="2" t="str">
        <f>"03803"</f>
        <v>03803</v>
      </c>
      <c r="C13139" s="1">
        <v>0</v>
      </c>
      <c r="D13139" s="1">
        <v>0</v>
      </c>
      <c r="E13139" s="1">
        <v>7.2878860757648603E-6</v>
      </c>
      <c r="F13139" s="1">
        <v>3.96818940644219E-7</v>
      </c>
    </row>
    <row r="13140" spans="1:6" x14ac:dyDescent="0.25">
      <c r="A13140" s="2" t="str">
        <f t="shared" si="471"/>
        <v>14460</v>
      </c>
      <c r="B13140" s="2" t="str">
        <f>"03801"</f>
        <v>03801</v>
      </c>
      <c r="C13140" s="1">
        <v>5.3882152782767697E-3</v>
      </c>
      <c r="D13140" s="1">
        <v>1.32602608634011E-2</v>
      </c>
      <c r="E13140" s="1">
        <v>1.01520253035404E-2</v>
      </c>
      <c r="F13140" s="1">
        <v>6.3526744207733103E-3</v>
      </c>
    </row>
    <row r="13141" spans="1:6" x14ac:dyDescent="0.25">
      <c r="A13141" s="2" t="str">
        <f t="shared" si="471"/>
        <v>14460</v>
      </c>
      <c r="B13141" s="2" t="str">
        <f>"03032"</f>
        <v>03032</v>
      </c>
      <c r="C13141" s="1">
        <v>1.22153895364873E-3</v>
      </c>
      <c r="D13141" s="1">
        <v>1.4177358758063301E-3</v>
      </c>
      <c r="E13141" s="1">
        <v>2.3321235442447499E-4</v>
      </c>
      <c r="F13141" s="1">
        <v>1.1852981757042799E-3</v>
      </c>
    </row>
    <row r="13142" spans="1:6" x14ac:dyDescent="0.25">
      <c r="A13142" s="2" t="str">
        <f t="shared" si="471"/>
        <v>14460</v>
      </c>
      <c r="B13142" s="2" t="str">
        <f>"02770"</f>
        <v>02770</v>
      </c>
      <c r="C13142" s="1">
        <v>1.25120821096696E-3</v>
      </c>
      <c r="D13142" s="1">
        <v>6.4241156872474597E-4</v>
      </c>
      <c r="E13142" s="1">
        <v>1.0203040506070799E-4</v>
      </c>
      <c r="F13142" s="1">
        <v>1.1341085323611699E-3</v>
      </c>
    </row>
    <row r="13143" spans="1:6" x14ac:dyDescent="0.25">
      <c r="A13143" s="2" t="str">
        <f t="shared" si="471"/>
        <v>14460</v>
      </c>
      <c r="B13143" s="2" t="str">
        <f>"02576"</f>
        <v>02576</v>
      </c>
      <c r="C13143" s="1">
        <v>8.7524309088759698E-4</v>
      </c>
      <c r="D13143" s="1">
        <v>3.3671227050400502E-4</v>
      </c>
      <c r="E13143" s="1">
        <v>1.23894063288002E-4</v>
      </c>
      <c r="F13143" s="1">
        <v>7.8609832141619904E-4</v>
      </c>
    </row>
    <row r="13144" spans="1:6" x14ac:dyDescent="0.25">
      <c r="A13144" s="2" t="str">
        <f t="shared" si="471"/>
        <v>14460</v>
      </c>
      <c r="B13144" s="2" t="str">
        <f>"02302"</f>
        <v>02302</v>
      </c>
      <c r="C13144" s="1">
        <v>5.6459669512288401E-3</v>
      </c>
      <c r="D13144" s="1">
        <v>2.64939391791309E-3</v>
      </c>
      <c r="E13144" s="1">
        <v>5.4294751264448203E-3</v>
      </c>
      <c r="F13144" s="1">
        <v>5.3657857153911297E-3</v>
      </c>
    </row>
    <row r="13145" spans="1:6" x14ac:dyDescent="0.25">
      <c r="A13145" s="2" t="str">
        <f t="shared" si="471"/>
        <v>14460</v>
      </c>
      <c r="B13145" s="2" t="str">
        <f>"02301"</f>
        <v>02301</v>
      </c>
      <c r="C13145" s="1">
        <v>1.09975592400034E-2</v>
      </c>
      <c r="D13145" s="1">
        <v>1.15634082370454E-2</v>
      </c>
      <c r="E13145" s="1">
        <v>2.3037007885492702E-2</v>
      </c>
      <c r="F13145" s="1">
        <v>1.17037778353606E-2</v>
      </c>
    </row>
    <row r="13146" spans="1:6" x14ac:dyDescent="0.25">
      <c r="A13146" s="2" t="str">
        <f t="shared" si="471"/>
        <v>14460</v>
      </c>
      <c r="B13146" s="2" t="str">
        <f>"02210"</f>
        <v>02210</v>
      </c>
      <c r="C13146" s="1">
        <v>2.0249268119687598E-3</v>
      </c>
      <c r="D13146" s="1">
        <v>7.1950095697171602E-3</v>
      </c>
      <c r="E13146" s="1">
        <v>2.1863658227294501E-3</v>
      </c>
      <c r="F13146" s="1">
        <v>2.4967847745334302E-3</v>
      </c>
    </row>
    <row r="13147" spans="1:6" x14ac:dyDescent="0.25">
      <c r="A13147" s="2" t="str">
        <f t="shared" si="471"/>
        <v>14460</v>
      </c>
      <c r="B13147" s="2" t="str">
        <f>"02196"</f>
        <v>02196</v>
      </c>
      <c r="C13147" s="1">
        <v>6.9212814337668495E-4</v>
      </c>
      <c r="D13147" s="1">
        <v>1.24937974055433E-3</v>
      </c>
      <c r="E13147" s="1">
        <v>1.45757721515297E-5</v>
      </c>
      <c r="F13147" s="1">
        <v>7.0514725752477802E-4</v>
      </c>
    </row>
    <row r="13148" spans="1:6" x14ac:dyDescent="0.25">
      <c r="A13148" s="2" t="str">
        <f t="shared" si="471"/>
        <v>14460</v>
      </c>
      <c r="B13148" s="2" t="str">
        <f>"02188"</f>
        <v>02188</v>
      </c>
      <c r="C13148" s="1">
        <v>3.2214323297552498E-3</v>
      </c>
      <c r="D13148" s="1">
        <v>2.3481250443042399E-3</v>
      </c>
      <c r="E13148" s="1">
        <v>2.23009313918404E-3</v>
      </c>
      <c r="F13148" s="1">
        <v>3.0892354529152501E-3</v>
      </c>
    </row>
    <row r="13149" spans="1:6" x14ac:dyDescent="0.25">
      <c r="A13149" s="2" t="str">
        <f t="shared" si="471"/>
        <v>14460</v>
      </c>
      <c r="B13149" s="2" t="str">
        <f>"02149"</f>
        <v>02149</v>
      </c>
      <c r="C13149" s="1">
        <v>8.1789797947721798E-3</v>
      </c>
      <c r="D13149" s="1">
        <v>6.4329765364712502E-3</v>
      </c>
      <c r="E13149" s="1">
        <v>5.4804903289751702E-3</v>
      </c>
      <c r="F13149" s="1">
        <v>7.8756655149658204E-3</v>
      </c>
    </row>
    <row r="13150" spans="1:6" x14ac:dyDescent="0.25">
      <c r="A13150" s="2" t="str">
        <f t="shared" si="471"/>
        <v>14460</v>
      </c>
      <c r="B13150" s="2" t="str">
        <f>"02134"</f>
        <v>02134</v>
      </c>
      <c r="C13150" s="1">
        <v>5.0576812084659299E-3</v>
      </c>
      <c r="D13150" s="1">
        <v>4.5190331041327003E-3</v>
      </c>
      <c r="E13150" s="1">
        <v>1.1441981138950799E-2</v>
      </c>
      <c r="F13150" s="1">
        <v>5.35705569869696E-3</v>
      </c>
    </row>
    <row r="13151" spans="1:6" x14ac:dyDescent="0.25">
      <c r="A13151" s="2" t="str">
        <f t="shared" si="471"/>
        <v>14460</v>
      </c>
      <c r="B13151" s="2" t="str">
        <f>"02118"</f>
        <v>02118</v>
      </c>
      <c r="C13151" s="1">
        <v>6.9875736805872597E-3</v>
      </c>
      <c r="D13151" s="1">
        <v>6.9158928191677804E-3</v>
      </c>
      <c r="E13151" s="1">
        <v>1.9210867695716099E-2</v>
      </c>
      <c r="F13151" s="1">
        <v>7.6467009862141097E-3</v>
      </c>
    </row>
    <row r="13152" spans="1:6" x14ac:dyDescent="0.25">
      <c r="A13152" s="2" t="str">
        <f t="shared" si="471"/>
        <v>14460</v>
      </c>
      <c r="B13152" s="2" t="str">
        <f>"02066"</f>
        <v>02066</v>
      </c>
      <c r="C13152" s="1">
        <v>3.8625664371162399E-3</v>
      </c>
      <c r="D13152" s="1">
        <v>3.0348408591479399E-3</v>
      </c>
      <c r="E13152" s="1">
        <v>1.20978908857696E-3</v>
      </c>
      <c r="F13152" s="1">
        <v>3.6439883319358598E-3</v>
      </c>
    </row>
    <row r="13153" spans="1:6" x14ac:dyDescent="0.25">
      <c r="A13153" s="2" t="str">
        <f t="shared" si="471"/>
        <v>14460</v>
      </c>
      <c r="B13153" s="2" t="str">
        <f>"02056"</f>
        <v>02056</v>
      </c>
      <c r="C13153" s="1">
        <v>2.0096286011640498E-3</v>
      </c>
      <c r="D13153" s="1">
        <v>1.6126745587297E-3</v>
      </c>
      <c r="E13153" s="1">
        <v>3.35242759485183E-4</v>
      </c>
      <c r="F13153" s="1">
        <v>1.8829058733568201E-3</v>
      </c>
    </row>
    <row r="13154" spans="1:6" x14ac:dyDescent="0.25">
      <c r="A13154" s="2" t="str">
        <f t="shared" si="471"/>
        <v>14460</v>
      </c>
      <c r="B13154" s="2" t="str">
        <f>"02043"</f>
        <v>02043</v>
      </c>
      <c r="C13154" s="1">
        <v>4.8490692429471703E-3</v>
      </c>
      <c r="D13154" s="1">
        <v>6.0608208690720901E-3</v>
      </c>
      <c r="E13154" s="1">
        <v>2.1280627341233398E-3</v>
      </c>
      <c r="F13154" s="1">
        <v>4.8094455606079401E-3</v>
      </c>
    </row>
    <row r="13155" spans="1:6" x14ac:dyDescent="0.25">
      <c r="A13155" s="2" t="str">
        <f t="shared" si="471"/>
        <v>14460</v>
      </c>
      <c r="B13155" s="2" t="str">
        <f>"01965"</f>
        <v>01965</v>
      </c>
      <c r="C13155" s="1">
        <v>1.78015543909341E-4</v>
      </c>
      <c r="D13155" s="1">
        <v>2.0379953214716E-4</v>
      </c>
      <c r="E13155" s="1">
        <v>4.3727316454589099E-5</v>
      </c>
      <c r="F13155" s="1">
        <v>1.7301305812087901E-4</v>
      </c>
    </row>
    <row r="13156" spans="1:6" x14ac:dyDescent="0.25">
      <c r="A13156" s="2" t="str">
        <f t="shared" si="471"/>
        <v>14460</v>
      </c>
      <c r="B13156" s="2" t="str">
        <f>"01970"</f>
        <v>01970</v>
      </c>
      <c r="C13156" s="1">
        <v>9.0570043785333596E-3</v>
      </c>
      <c r="D13156" s="1">
        <v>9.5032607925143505E-3</v>
      </c>
      <c r="E13156" s="1">
        <v>1.84675033159881E-2</v>
      </c>
      <c r="F13156" s="1">
        <v>9.6093674666404196E-3</v>
      </c>
    </row>
    <row r="13157" spans="1:6" x14ac:dyDescent="0.25">
      <c r="A13157" s="2" t="str">
        <f t="shared" si="471"/>
        <v>14460</v>
      </c>
      <c r="B13157" s="2" t="str">
        <f>"01922"</f>
        <v>01922</v>
      </c>
      <c r="C13157" s="1">
        <v>8.8729622667312502E-4</v>
      </c>
      <c r="D13157" s="1">
        <v>5.6709435032253398E-4</v>
      </c>
      <c r="E13157" s="1">
        <v>1.3846983543953201E-4</v>
      </c>
      <c r="F13157" s="1">
        <v>8.1784383666773602E-4</v>
      </c>
    </row>
    <row r="13158" spans="1:6" x14ac:dyDescent="0.25">
      <c r="A13158" s="2" t="str">
        <f t="shared" si="471"/>
        <v>14460</v>
      </c>
      <c r="B13158" s="2" t="str">
        <f>"01921"</f>
        <v>01921</v>
      </c>
      <c r="C13158" s="1">
        <v>1.43895897993384E-3</v>
      </c>
      <c r="D13158" s="1">
        <v>6.0696817182958804E-4</v>
      </c>
      <c r="E13158" s="1">
        <v>1.6762137974259101E-4</v>
      </c>
      <c r="F13158" s="1">
        <v>1.2952170222627301E-3</v>
      </c>
    </row>
    <row r="13159" spans="1:6" x14ac:dyDescent="0.25">
      <c r="A13159" s="2" t="str">
        <f t="shared" si="471"/>
        <v>14460</v>
      </c>
      <c r="B13159" s="2" t="str">
        <f>"01930"</f>
        <v>01930</v>
      </c>
      <c r="C13159" s="1">
        <v>6.8424724690153201E-3</v>
      </c>
      <c r="D13159" s="1">
        <v>6.5304458779329401E-3</v>
      </c>
      <c r="E13159" s="1">
        <v>1.0589298468086299E-2</v>
      </c>
      <c r="F13159" s="1">
        <v>7.0185366031743097E-3</v>
      </c>
    </row>
    <row r="13160" spans="1:6" x14ac:dyDescent="0.25">
      <c r="A13160" s="2" t="str">
        <f t="shared" si="471"/>
        <v>14460</v>
      </c>
      <c r="B13160" s="2" t="str">
        <f>"01913"</f>
        <v>01913</v>
      </c>
      <c r="C13160" s="1">
        <v>3.9307130125190298E-3</v>
      </c>
      <c r="D13160" s="1">
        <v>3.47788332033742E-3</v>
      </c>
      <c r="E13160" s="1">
        <v>3.0390484935939399E-3</v>
      </c>
      <c r="F13160" s="1">
        <v>3.84160416437669E-3</v>
      </c>
    </row>
    <row r="13161" spans="1:6" x14ac:dyDescent="0.25">
      <c r="A13161" s="2" t="str">
        <f t="shared" si="471"/>
        <v>14460</v>
      </c>
      <c r="B13161" s="2" t="str">
        <f>"01915"</f>
        <v>01915</v>
      </c>
      <c r="C13161" s="1">
        <v>8.5229577468053305E-3</v>
      </c>
      <c r="D13161" s="1">
        <v>1.03539023179981E-2</v>
      </c>
      <c r="E13161" s="1">
        <v>1.29505735566341E-2</v>
      </c>
      <c r="F13161" s="1">
        <v>8.9280293455542906E-3</v>
      </c>
    </row>
    <row r="13162" spans="1:6" x14ac:dyDescent="0.25">
      <c r="A13162" s="2" t="str">
        <f t="shared" si="471"/>
        <v>14460</v>
      </c>
      <c r="B13162" s="2" t="str">
        <f>"01886"</f>
        <v>01886</v>
      </c>
      <c r="C13162" s="1">
        <v>4.7044316135208299E-3</v>
      </c>
      <c r="D13162" s="1">
        <v>4.7494151839512196E-3</v>
      </c>
      <c r="E13162" s="1">
        <v>1.2389406328800201E-3</v>
      </c>
      <c r="F13162" s="1">
        <v>4.5197677339376598E-3</v>
      </c>
    </row>
    <row r="13163" spans="1:6" x14ac:dyDescent="0.25">
      <c r="A13163" s="2" t="str">
        <f t="shared" si="471"/>
        <v>14460</v>
      </c>
      <c r="B13163" s="2" t="str">
        <f>"01853"</f>
        <v>01853</v>
      </c>
      <c r="C13163" s="1">
        <v>1.12325953878212E-3</v>
      </c>
      <c r="D13163" s="1">
        <v>2.1886297582760302E-3</v>
      </c>
      <c r="E13163" s="1">
        <v>1.45757721515297E-5</v>
      </c>
      <c r="F13163" s="1">
        <v>1.1583144877404701E-3</v>
      </c>
    </row>
    <row r="13164" spans="1:6" x14ac:dyDescent="0.25">
      <c r="A13164" s="2" t="str">
        <f t="shared" si="471"/>
        <v>14460</v>
      </c>
      <c r="B13164" s="2" t="str">
        <f>"01850"</f>
        <v>01850</v>
      </c>
      <c r="C13164" s="1">
        <v>2.7342074947325399E-3</v>
      </c>
      <c r="D13164" s="1">
        <v>8.5507195009569699E-4</v>
      </c>
      <c r="E13164" s="1">
        <v>3.7095340125643098E-3</v>
      </c>
      <c r="F13164" s="1">
        <v>2.61900500825184E-3</v>
      </c>
    </row>
    <row r="13165" spans="1:6" x14ac:dyDescent="0.25">
      <c r="A13165" s="2" t="str">
        <f t="shared" si="471"/>
        <v>14460</v>
      </c>
      <c r="B13165" s="2" t="str">
        <f>"01840"</f>
        <v>01840</v>
      </c>
      <c r="C13165" s="1">
        <v>1.20531357855283E-3</v>
      </c>
      <c r="D13165" s="1">
        <v>4.4127029134472199E-3</v>
      </c>
      <c r="E13165" s="1">
        <v>2.3029719999416898E-3</v>
      </c>
      <c r="F13165" s="1">
        <v>1.5523556958001799E-3</v>
      </c>
    </row>
    <row r="13166" spans="1:6" x14ac:dyDescent="0.25">
      <c r="A13166" s="2" t="str">
        <f t="shared" si="471"/>
        <v>14460</v>
      </c>
      <c r="B13166" s="2" t="str">
        <f>"01826"</f>
        <v>01826</v>
      </c>
      <c r="C13166" s="1">
        <v>6.1100126789716798E-3</v>
      </c>
      <c r="D13166" s="1">
        <v>4.0626993691075296E-3</v>
      </c>
      <c r="E13166" s="1">
        <v>4.4601862783680904E-3</v>
      </c>
      <c r="F13166" s="1">
        <v>5.8368097979358199E-3</v>
      </c>
    </row>
    <row r="13167" spans="1:6" x14ac:dyDescent="0.25">
      <c r="A13167" s="2" t="str">
        <f t="shared" si="471"/>
        <v>14460</v>
      </c>
      <c r="B13167" s="2" t="str">
        <f>"01770"</f>
        <v>01770</v>
      </c>
      <c r="C13167" s="1">
        <v>7.4173143295559101E-4</v>
      </c>
      <c r="D13167" s="1">
        <v>3.1899057205642502E-4</v>
      </c>
      <c r="E13167" s="1">
        <v>1.6033349366682701E-4</v>
      </c>
      <c r="F13167" s="1">
        <v>6.7221128545130802E-4</v>
      </c>
    </row>
    <row r="13168" spans="1:6" x14ac:dyDescent="0.25">
      <c r="A13168" s="2" t="str">
        <f t="shared" si="471"/>
        <v>14460</v>
      </c>
      <c r="B13168" s="2" t="str">
        <f>"01720"</f>
        <v>01720</v>
      </c>
      <c r="C13168" s="1">
        <v>4.69794146348247E-3</v>
      </c>
      <c r="D13168" s="1">
        <v>6.2070248812646197E-3</v>
      </c>
      <c r="E13168" s="1">
        <v>3.6876703543370199E-3</v>
      </c>
      <c r="F13168" s="1">
        <v>4.7780968642970401E-3</v>
      </c>
    </row>
    <row r="13169" spans="1:6" x14ac:dyDescent="0.25">
      <c r="A13169" s="2" t="str">
        <f t="shared" si="471"/>
        <v>14460</v>
      </c>
      <c r="B13169" s="2" t="str">
        <f>"01451"</f>
        <v>01451</v>
      </c>
      <c r="C13169" s="1">
        <v>1.48346286591118E-5</v>
      </c>
      <c r="D13169" s="1">
        <v>0</v>
      </c>
      <c r="E13169" s="1">
        <v>0</v>
      </c>
      <c r="F13169" s="1">
        <v>1.2698206100615E-5</v>
      </c>
    </row>
    <row r="13170" spans="1:6" x14ac:dyDescent="0.25">
      <c r="A13170" s="2" t="str">
        <f t="shared" si="471"/>
        <v>14460</v>
      </c>
      <c r="B13170" s="2" t="str">
        <f>"03856"</f>
        <v>03856</v>
      </c>
      <c r="C13170" s="1">
        <v>5.0947677801137096E-4</v>
      </c>
      <c r="D13170" s="1">
        <v>8.1519812858864304E-4</v>
      </c>
      <c r="E13170" s="1">
        <v>5.8303088606118903E-5</v>
      </c>
      <c r="F13170" s="1">
        <v>5.1229325237168695E-4</v>
      </c>
    </row>
    <row r="13171" spans="1:6" x14ac:dyDescent="0.25">
      <c r="A13171" s="2" t="str">
        <f t="shared" si="471"/>
        <v>14460</v>
      </c>
      <c r="B13171" s="2" t="str">
        <f>"03826"</f>
        <v>03826</v>
      </c>
      <c r="C13171" s="1">
        <v>1.0208078846051299E-3</v>
      </c>
      <c r="D13171" s="1">
        <v>1.01456723612391E-3</v>
      </c>
      <c r="E13171" s="1">
        <v>8.7454632909178307E-5</v>
      </c>
      <c r="F13171" s="1">
        <v>9.6942867199382803E-4</v>
      </c>
    </row>
    <row r="13172" spans="1:6" x14ac:dyDescent="0.25">
      <c r="A13172" s="2" t="str">
        <f t="shared" si="471"/>
        <v>14460</v>
      </c>
      <c r="B13172" s="2" t="str">
        <f>"03825"</f>
        <v>03825</v>
      </c>
      <c r="C13172" s="1">
        <v>1.9966483010873302E-3</v>
      </c>
      <c r="D13172" s="1">
        <v>2.2107818813355E-3</v>
      </c>
      <c r="E13172" s="1">
        <v>5.3201568353083495E-4</v>
      </c>
      <c r="F13172" s="1">
        <v>1.93607961140314E-3</v>
      </c>
    </row>
    <row r="13173" spans="1:6" x14ac:dyDescent="0.25">
      <c r="A13173" s="2" t="str">
        <f t="shared" si="471"/>
        <v>14460</v>
      </c>
      <c r="B13173" s="2" t="str">
        <f>"03835"</f>
        <v>03835</v>
      </c>
      <c r="C13173" s="1">
        <v>1.6651870669852999E-3</v>
      </c>
      <c r="D13173" s="1">
        <v>1.30697526050896E-3</v>
      </c>
      <c r="E13173" s="1">
        <v>1.3263952657892001E-3</v>
      </c>
      <c r="F13173" s="1">
        <v>1.61465626948132E-3</v>
      </c>
    </row>
    <row r="13174" spans="1:6" x14ac:dyDescent="0.25">
      <c r="A13174" s="2" t="str">
        <f t="shared" si="471"/>
        <v>14460</v>
      </c>
      <c r="B13174" s="2" t="str">
        <f>"03104"</f>
        <v>03104</v>
      </c>
      <c r="C13174" s="1">
        <v>1.3907464367917299E-6</v>
      </c>
      <c r="D13174" s="1">
        <v>0</v>
      </c>
      <c r="E13174" s="1">
        <v>0</v>
      </c>
      <c r="F13174" s="1">
        <v>1.19045682193265E-6</v>
      </c>
    </row>
    <row r="13175" spans="1:6" x14ac:dyDescent="0.25">
      <c r="A13175" s="2" t="str">
        <f t="shared" si="471"/>
        <v>14460</v>
      </c>
      <c r="B13175" s="2" t="str">
        <f>"03079"</f>
        <v>03079</v>
      </c>
      <c r="C13175" s="1">
        <v>6.6009461711591597E-3</v>
      </c>
      <c r="D13175" s="1">
        <v>1.0287445948819701E-2</v>
      </c>
      <c r="E13175" s="1">
        <v>4.4601862783680904E-3</v>
      </c>
      <c r="F13175" s="1">
        <v>6.8145716676831797E-3</v>
      </c>
    </row>
    <row r="13176" spans="1:6" x14ac:dyDescent="0.25">
      <c r="A13176" s="2" t="str">
        <f t="shared" si="471"/>
        <v>14460</v>
      </c>
      <c r="B13176" s="2" t="str">
        <f>"03036"</f>
        <v>03036</v>
      </c>
      <c r="C13176" s="1">
        <v>8.6689861226684698E-4</v>
      </c>
      <c r="D13176" s="1">
        <v>6.2025944566527198E-5</v>
      </c>
      <c r="E13176" s="1">
        <v>5.1015202530353997E-5</v>
      </c>
      <c r="F13176" s="1">
        <v>7.5038461675821903E-4</v>
      </c>
    </row>
    <row r="13177" spans="1:6" x14ac:dyDescent="0.25">
      <c r="A13177" s="2" t="str">
        <f t="shared" si="471"/>
        <v>14460</v>
      </c>
      <c r="B13177" s="2" t="str">
        <f>"03034"</f>
        <v>03034</v>
      </c>
      <c r="C13177" s="1">
        <v>7.3477770077163196E-4</v>
      </c>
      <c r="D13177" s="1">
        <v>2.6582547671368803E-4</v>
      </c>
      <c r="E13177" s="1">
        <v>1.0203040506070799E-4</v>
      </c>
      <c r="F13177" s="1">
        <v>6.5832262252876002E-4</v>
      </c>
    </row>
    <row r="13178" spans="1:6" x14ac:dyDescent="0.25">
      <c r="A13178" s="2" t="str">
        <f t="shared" si="471"/>
        <v>14460</v>
      </c>
      <c r="B13178" s="2" t="str">
        <f>"02571"</f>
        <v>02571</v>
      </c>
      <c r="C13178" s="1">
        <v>2.7981818308249599E-3</v>
      </c>
      <c r="D13178" s="1">
        <v>2.0601474445310799E-3</v>
      </c>
      <c r="E13178" s="1">
        <v>1.2243648607284899E-3</v>
      </c>
      <c r="F13178" s="1">
        <v>2.6463855151562998E-3</v>
      </c>
    </row>
    <row r="13179" spans="1:6" x14ac:dyDescent="0.25">
      <c r="A13179" s="2" t="str">
        <f t="shared" si="471"/>
        <v>14460</v>
      </c>
      <c r="B13179" s="2" t="str">
        <f>"02493"</f>
        <v>02493</v>
      </c>
      <c r="C13179" s="1">
        <v>1.97068770093388E-3</v>
      </c>
      <c r="D13179" s="1">
        <v>1.6924222017438101E-3</v>
      </c>
      <c r="E13179" s="1">
        <v>2.11348696197181E-4</v>
      </c>
      <c r="F13179" s="1">
        <v>1.84996990128335E-3</v>
      </c>
    </row>
    <row r="13180" spans="1:6" x14ac:dyDescent="0.25">
      <c r="A13180" s="2" t="str">
        <f t="shared" si="471"/>
        <v>14460</v>
      </c>
      <c r="B13180" s="2" t="str">
        <f>"02466"</f>
        <v>02466</v>
      </c>
      <c r="C13180" s="1">
        <v>1.4398861442250399E-3</v>
      </c>
      <c r="D13180" s="1">
        <v>1.21393634365917E-3</v>
      </c>
      <c r="E13180" s="1">
        <v>1.3191073797134401E-3</v>
      </c>
      <c r="F13180" s="1">
        <v>1.41307224763406E-3</v>
      </c>
    </row>
    <row r="13181" spans="1:6" x14ac:dyDescent="0.25">
      <c r="A13181" s="2" t="str">
        <f t="shared" si="471"/>
        <v>14460</v>
      </c>
      <c r="B13181" s="2" t="str">
        <f>"02455"</f>
        <v>02455</v>
      </c>
      <c r="C13181" s="1">
        <v>6.9537321839586606E-5</v>
      </c>
      <c r="D13181" s="1">
        <v>3.14560147444531E-4</v>
      </c>
      <c r="E13181" s="1">
        <v>7.2878860757648603E-6</v>
      </c>
      <c r="F13181" s="1">
        <v>8.8093804823016701E-5</v>
      </c>
    </row>
    <row r="13182" spans="1:6" x14ac:dyDescent="0.25">
      <c r="A13182" s="2" t="str">
        <f t="shared" si="471"/>
        <v>14460</v>
      </c>
      <c r="B13182" s="2" t="str">
        <f>"02454"</f>
        <v>02454</v>
      </c>
      <c r="C13182" s="1">
        <v>3.8152810582653201E-4</v>
      </c>
      <c r="D13182" s="1">
        <v>1.3158361097327499E-3</v>
      </c>
      <c r="E13182" s="1">
        <v>1.45757721515297E-5</v>
      </c>
      <c r="F13182" s="1">
        <v>4.4523085140281399E-4</v>
      </c>
    </row>
    <row r="13183" spans="1:6" x14ac:dyDescent="0.25">
      <c r="A13183" s="2" t="str">
        <f t="shared" si="471"/>
        <v>14460</v>
      </c>
      <c r="B13183" s="2" t="str">
        <f>"02445"</f>
        <v>02445</v>
      </c>
      <c r="C13183" s="1">
        <v>4.1147551243211396E-3</v>
      </c>
      <c r="D13183" s="1">
        <v>2.7867370808818299E-3</v>
      </c>
      <c r="E13183" s="1">
        <v>6.2748699112335398E-3</v>
      </c>
      <c r="F13183" s="1">
        <v>4.1134251387179802E-3</v>
      </c>
    </row>
    <row r="13184" spans="1:6" x14ac:dyDescent="0.25">
      <c r="A13184" s="2" t="str">
        <f t="shared" si="471"/>
        <v>14460</v>
      </c>
      <c r="B13184" s="2" t="str">
        <f>"02420"</f>
        <v>02420</v>
      </c>
      <c r="C13184" s="1">
        <v>2.6994388338127499E-3</v>
      </c>
      <c r="D13184" s="1">
        <v>3.7392783724392101E-3</v>
      </c>
      <c r="E13184" s="1">
        <v>8.4539478478872399E-4</v>
      </c>
      <c r="F13184" s="1">
        <v>2.6916228743897402E-3</v>
      </c>
    </row>
    <row r="13185" spans="1:6" x14ac:dyDescent="0.25">
      <c r="A13185" s="2" t="str">
        <f t="shared" si="471"/>
        <v>14460</v>
      </c>
      <c r="B13185" s="2" t="str">
        <f>"02362"</f>
        <v>02362</v>
      </c>
      <c r="C13185" s="1">
        <v>2.9020242314387501E-4</v>
      </c>
      <c r="D13185" s="1">
        <v>1.2936839866732801E-3</v>
      </c>
      <c r="E13185" s="1">
        <v>2.1863658227294499E-5</v>
      </c>
      <c r="F13185" s="1">
        <v>3.6547024433332599E-4</v>
      </c>
    </row>
    <row r="13186" spans="1:6" x14ac:dyDescent="0.25">
      <c r="A13186" s="2" t="str">
        <f t="shared" si="471"/>
        <v>14460</v>
      </c>
      <c r="B13186" s="2" t="str">
        <f>"02361"</f>
        <v>02361</v>
      </c>
      <c r="C13186" s="1">
        <v>3.2218959119008399E-4</v>
      </c>
      <c r="D13186" s="1">
        <v>7.0886793790316796E-4</v>
      </c>
      <c r="E13186" s="1">
        <v>2.1863658227294499E-5</v>
      </c>
      <c r="F13186" s="1">
        <v>3.4047065107273999E-4</v>
      </c>
    </row>
    <row r="13187" spans="1:6" x14ac:dyDescent="0.25">
      <c r="A13187" s="2" t="str">
        <f t="shared" si="471"/>
        <v>14460</v>
      </c>
      <c r="B13187" s="2" t="str">
        <f>"02364"</f>
        <v>02364</v>
      </c>
      <c r="C13187" s="1">
        <v>2.6081131511300898E-3</v>
      </c>
      <c r="D13187" s="1">
        <v>3.0215495853122502E-3</v>
      </c>
      <c r="E13187" s="1">
        <v>8.9640998731907798E-4</v>
      </c>
      <c r="F13187" s="1">
        <v>2.5519426072829702E-3</v>
      </c>
    </row>
    <row r="13188" spans="1:6" x14ac:dyDescent="0.25">
      <c r="A13188" s="2" t="str">
        <f t="shared" si="471"/>
        <v>14460</v>
      </c>
      <c r="B13188" s="2" t="str">
        <f>"02337"</f>
        <v>02337</v>
      </c>
      <c r="C13188" s="1">
        <v>0</v>
      </c>
      <c r="D13188" s="1">
        <v>0</v>
      </c>
      <c r="E13188" s="1">
        <v>7.2878860757648603E-6</v>
      </c>
      <c r="F13188" s="1">
        <v>3.96818940644219E-7</v>
      </c>
    </row>
    <row r="13189" spans="1:6" x14ac:dyDescent="0.25">
      <c r="A13189" s="2" t="str">
        <f t="shared" si="471"/>
        <v>14460</v>
      </c>
      <c r="B13189" s="2" t="str">
        <f>"02338"</f>
        <v>02338</v>
      </c>
      <c r="C13189" s="1">
        <v>1.4820721194743901E-3</v>
      </c>
      <c r="D13189" s="1">
        <v>6.2025944566527201E-4</v>
      </c>
      <c r="E13189" s="1">
        <v>2.4050024050023999E-4</v>
      </c>
      <c r="F13189" s="1">
        <v>1.3372798299710201E-3</v>
      </c>
    </row>
    <row r="13190" spans="1:6" x14ac:dyDescent="0.25">
      <c r="A13190" s="2" t="str">
        <f t="shared" si="471"/>
        <v>14460</v>
      </c>
      <c r="B13190" s="2" t="str">
        <f>"02305"</f>
        <v>02305</v>
      </c>
      <c r="C13190" s="1">
        <v>4.6775438490761898E-4</v>
      </c>
      <c r="D13190" s="1">
        <v>5.9810732260579804E-4</v>
      </c>
      <c r="E13190" s="1">
        <v>7.2878860757648603E-6</v>
      </c>
      <c r="F13190" s="1">
        <v>4.5435768703763101E-4</v>
      </c>
    </row>
    <row r="13191" spans="1:6" x14ac:dyDescent="0.25">
      <c r="A13191" s="2" t="str">
        <f t="shared" si="471"/>
        <v>14460</v>
      </c>
      <c r="B13191" s="2" t="str">
        <f>"02303"</f>
        <v>02303</v>
      </c>
      <c r="C13191" s="1">
        <v>1.03378818468185E-3</v>
      </c>
      <c r="D13191" s="1">
        <v>2.0158431984121298E-3</v>
      </c>
      <c r="E13191" s="1">
        <v>7.2878860757648603E-6</v>
      </c>
      <c r="F13191" s="1">
        <v>1.0658556745703699E-3</v>
      </c>
    </row>
    <row r="13192" spans="1:6" x14ac:dyDescent="0.25">
      <c r="A13192" s="2" t="str">
        <f t="shared" si="471"/>
        <v>14460</v>
      </c>
      <c r="B13192" s="2" t="str">
        <f>"02324"</f>
        <v>02324</v>
      </c>
      <c r="C13192" s="1">
        <v>4.4587330763542904E-3</v>
      </c>
      <c r="D13192" s="1">
        <v>2.9816757638052001E-3</v>
      </c>
      <c r="E13192" s="1">
        <v>2.8860028860028799E-3</v>
      </c>
      <c r="F13192" s="1">
        <v>4.2408040186647702E-3</v>
      </c>
    </row>
    <row r="13193" spans="1:6" x14ac:dyDescent="0.25">
      <c r="A13193" s="2" t="str">
        <f t="shared" si="471"/>
        <v>14460</v>
      </c>
      <c r="B13193" s="2" t="str">
        <f>"02215"</f>
        <v>02215</v>
      </c>
      <c r="C13193" s="1">
        <v>5.5013293218024997E-3</v>
      </c>
      <c r="D13193" s="1">
        <v>5.8570213369249302E-3</v>
      </c>
      <c r="E13193" s="1">
        <v>7.4919468858862699E-3</v>
      </c>
      <c r="F13193" s="1">
        <v>5.6415748791388701E-3</v>
      </c>
    </row>
    <row r="13194" spans="1:6" x14ac:dyDescent="0.25">
      <c r="A13194" s="2" t="str">
        <f t="shared" si="471"/>
        <v>14460</v>
      </c>
      <c r="B13194" s="2" t="str">
        <f>"02191"</f>
        <v>02191</v>
      </c>
      <c r="C13194" s="1">
        <v>1.8682360467568899E-3</v>
      </c>
      <c r="D13194" s="1">
        <v>7.4431133479832697E-4</v>
      </c>
      <c r="E13194" s="1">
        <v>6.9963706327342602E-4</v>
      </c>
      <c r="F13194" s="1">
        <v>1.7039405311262701E-3</v>
      </c>
    </row>
    <row r="13195" spans="1:6" x14ac:dyDescent="0.25">
      <c r="A13195" s="2" t="str">
        <f t="shared" si="471"/>
        <v>14460</v>
      </c>
      <c r="B13195" s="2" t="str">
        <f>"02151"</f>
        <v>02151</v>
      </c>
      <c r="C13195" s="1">
        <v>1.06141768055945E-2</v>
      </c>
      <c r="D13195" s="1">
        <v>5.1658750974693402E-3</v>
      </c>
      <c r="E13195" s="1">
        <v>1.38032562274986E-2</v>
      </c>
      <c r="F13195" s="1">
        <v>1.0299832423361299E-2</v>
      </c>
    </row>
    <row r="13196" spans="1:6" x14ac:dyDescent="0.25">
      <c r="A13196" s="2" t="str">
        <f t="shared" si="471"/>
        <v>14460</v>
      </c>
      <c r="B13196" s="2" t="str">
        <f>"02140"</f>
        <v>02140</v>
      </c>
      <c r="C13196" s="1">
        <v>5.0933770336769203E-3</v>
      </c>
      <c r="D13196" s="1">
        <v>3.7215566739916299E-3</v>
      </c>
      <c r="E13196" s="1">
        <v>6.6319763289460201E-3</v>
      </c>
      <c r="F13196" s="1">
        <v>5.0542828469854204E-3</v>
      </c>
    </row>
    <row r="13197" spans="1:6" x14ac:dyDescent="0.25">
      <c r="A13197" s="2" t="str">
        <f t="shared" si="471"/>
        <v>14460</v>
      </c>
      <c r="B13197" s="2" t="str">
        <f>"02122"</f>
        <v>02122</v>
      </c>
      <c r="C13197" s="1">
        <v>4.4235008332889E-3</v>
      </c>
      <c r="D13197" s="1">
        <v>4.1557382859573203E-3</v>
      </c>
      <c r="E13197" s="1">
        <v>1.15512994300873E-2</v>
      </c>
      <c r="F13197" s="1">
        <v>4.7876205188725103E-3</v>
      </c>
    </row>
    <row r="13198" spans="1:6" x14ac:dyDescent="0.25">
      <c r="A13198" s="2" t="str">
        <f t="shared" si="471"/>
        <v>14460</v>
      </c>
      <c r="B13198" s="2" t="str">
        <f>"02111"</f>
        <v>02111</v>
      </c>
      <c r="C13198" s="1">
        <v>2.3545337174884001E-3</v>
      </c>
      <c r="D13198" s="1">
        <v>6.3266463457857802E-3</v>
      </c>
      <c r="E13198" s="1">
        <v>3.3742912530791299E-3</v>
      </c>
      <c r="F13198" s="1">
        <v>2.7658280162902102E-3</v>
      </c>
    </row>
    <row r="13199" spans="1:6" x14ac:dyDescent="0.25">
      <c r="A13199" s="2" t="str">
        <f t="shared" si="471"/>
        <v>14460</v>
      </c>
      <c r="B13199" s="2" t="str">
        <f>"02109"</f>
        <v>02109</v>
      </c>
      <c r="C13199" s="1">
        <v>1.1649819318858699E-3</v>
      </c>
      <c r="D13199" s="1">
        <v>7.17728787126958E-3</v>
      </c>
      <c r="E13199" s="1">
        <v>3.5783520632005402E-3</v>
      </c>
      <c r="F13199" s="1">
        <v>1.8348907815388699E-3</v>
      </c>
    </row>
    <row r="13200" spans="1:6" x14ac:dyDescent="0.25">
      <c r="A13200" s="2" t="str">
        <f t="shared" si="471"/>
        <v>14460</v>
      </c>
      <c r="B13200" s="2" t="str">
        <f>"02065"</f>
        <v>02065</v>
      </c>
      <c r="C13200" s="1">
        <v>2.5775167295206697E-4</v>
      </c>
      <c r="D13200" s="1">
        <v>6.6456369178422006E-5</v>
      </c>
      <c r="E13200" s="1">
        <v>2.1863658227294499E-5</v>
      </c>
      <c r="F13200" s="1">
        <v>2.2777407192978199E-4</v>
      </c>
    </row>
    <row r="13201" spans="1:6" x14ac:dyDescent="0.25">
      <c r="A13201" s="2" t="str">
        <f t="shared" si="471"/>
        <v>14460</v>
      </c>
      <c r="B13201" s="2" t="str">
        <f>"02047"</f>
        <v>02047</v>
      </c>
      <c r="C13201" s="1">
        <v>2.99474066055819E-4</v>
      </c>
      <c r="D13201" s="1">
        <v>9.7469341461685599E-5</v>
      </c>
      <c r="E13201" s="1">
        <v>1.45757721515297E-5</v>
      </c>
      <c r="F13201" s="1">
        <v>2.65868690231627E-4</v>
      </c>
    </row>
    <row r="13202" spans="1:6" x14ac:dyDescent="0.25">
      <c r="A13202" s="2" t="str">
        <f t="shared" si="471"/>
        <v>14460</v>
      </c>
      <c r="B13202" s="2" t="str">
        <f>"02048"</f>
        <v>02048</v>
      </c>
      <c r="C13202" s="1">
        <v>4.6358214559724397E-6</v>
      </c>
      <c r="D13202" s="1">
        <v>0</v>
      </c>
      <c r="E13202" s="1">
        <v>0</v>
      </c>
      <c r="F13202" s="1">
        <v>3.9681894064421896E-6</v>
      </c>
    </row>
    <row r="13203" spans="1:6" x14ac:dyDescent="0.25">
      <c r="A13203" s="2" t="str">
        <f t="shared" ref="A13203:A13258" si="472">"14460"</f>
        <v>14460</v>
      </c>
      <c r="B13203" s="2" t="str">
        <f>"02032"</f>
        <v>02032</v>
      </c>
      <c r="C13203" s="1">
        <v>8.6411711939326304E-4</v>
      </c>
      <c r="D13203" s="1">
        <v>6.7342454100801003E-4</v>
      </c>
      <c r="E13203" s="1">
        <v>3.06091215182124E-4</v>
      </c>
      <c r="F13203" s="1">
        <v>8.1665337984580398E-4</v>
      </c>
    </row>
    <row r="13204" spans="1:6" x14ac:dyDescent="0.25">
      <c r="A13204" s="2" t="str">
        <f t="shared" si="472"/>
        <v>14460</v>
      </c>
      <c r="B13204" s="2" t="str">
        <f>"02021"</f>
        <v>02021</v>
      </c>
      <c r="C13204" s="1">
        <v>4.9070170111468296E-3</v>
      </c>
      <c r="D13204" s="1">
        <v>6.1804423335932498E-3</v>
      </c>
      <c r="E13204" s="1">
        <v>3.64394303788243E-3</v>
      </c>
      <c r="F13204" s="1">
        <v>4.9523003792398598E-3</v>
      </c>
    </row>
    <row r="13205" spans="1:6" x14ac:dyDescent="0.25">
      <c r="A13205" s="2" t="str">
        <f t="shared" si="472"/>
        <v>14460</v>
      </c>
      <c r="B13205" s="2" t="str">
        <f>"01984"</f>
        <v>01984</v>
      </c>
      <c r="C13205" s="1">
        <v>6.6894903609682297E-4</v>
      </c>
      <c r="D13205" s="1">
        <v>3.8544694123484702E-4</v>
      </c>
      <c r="E13205" s="1">
        <v>1.4575772151529699E-4</v>
      </c>
      <c r="F13205" s="1">
        <v>6.1506935799853998E-4</v>
      </c>
    </row>
    <row r="13206" spans="1:6" x14ac:dyDescent="0.25">
      <c r="A13206" s="2" t="str">
        <f t="shared" si="472"/>
        <v>14460</v>
      </c>
      <c r="B13206" s="2" t="str">
        <f>"02019"</f>
        <v>02019</v>
      </c>
      <c r="C13206" s="1">
        <v>3.61779506424089E-3</v>
      </c>
      <c r="D13206" s="1">
        <v>3.1588927482809901E-3</v>
      </c>
      <c r="E13206" s="1">
        <v>6.7777340504613195E-4</v>
      </c>
      <c r="F13206" s="1">
        <v>3.4166110789467302E-3</v>
      </c>
    </row>
    <row r="13207" spans="1:6" x14ac:dyDescent="0.25">
      <c r="A13207" s="2" t="str">
        <f t="shared" si="472"/>
        <v>14460</v>
      </c>
      <c r="B13207" s="2" t="str">
        <f>"01944"</f>
        <v>01944</v>
      </c>
      <c r="C13207" s="1">
        <v>1.1575646175563099E-3</v>
      </c>
      <c r="D13207" s="1">
        <v>7.8418515630537995E-4</v>
      </c>
      <c r="E13207" s="1">
        <v>1.19521331642543E-3</v>
      </c>
      <c r="F13207" s="1">
        <v>1.1261721535482899E-3</v>
      </c>
    </row>
    <row r="13208" spans="1:6" x14ac:dyDescent="0.25">
      <c r="A13208" s="2" t="str">
        <f t="shared" si="472"/>
        <v>14460</v>
      </c>
      <c r="B13208" s="2" t="str">
        <f>"01950"</f>
        <v>01950</v>
      </c>
      <c r="C13208" s="1">
        <v>4.4689318835574301E-3</v>
      </c>
      <c r="D13208" s="1">
        <v>6.8804494222726303E-3</v>
      </c>
      <c r="E13208" s="1">
        <v>4.28527701254973E-3</v>
      </c>
      <c r="F13208" s="1">
        <v>4.6749239397295504E-3</v>
      </c>
    </row>
    <row r="13209" spans="1:6" x14ac:dyDescent="0.25">
      <c r="A13209" s="2" t="str">
        <f t="shared" si="472"/>
        <v>14460</v>
      </c>
      <c r="B13209" s="2" t="str">
        <f>"01938"</f>
        <v>01938</v>
      </c>
      <c r="C13209" s="1">
        <v>3.2974598016331899E-3</v>
      </c>
      <c r="D13209" s="1">
        <v>3.5088962926206799E-3</v>
      </c>
      <c r="E13209" s="1">
        <v>3.4398822277610101E-3</v>
      </c>
      <c r="F13209" s="1">
        <v>3.3241522657766198E-3</v>
      </c>
    </row>
    <row r="13210" spans="1:6" x14ac:dyDescent="0.25">
      <c r="A13210" s="2" t="str">
        <f t="shared" si="472"/>
        <v>14460</v>
      </c>
      <c r="B13210" s="2" t="str">
        <f>"01899"</f>
        <v>01899</v>
      </c>
      <c r="C13210" s="1">
        <v>0</v>
      </c>
      <c r="D13210" s="1">
        <v>4.4304246118948001E-6</v>
      </c>
      <c r="E13210" s="1">
        <v>0</v>
      </c>
      <c r="F13210" s="1">
        <v>3.96818940644219E-7</v>
      </c>
    </row>
    <row r="13211" spans="1:6" x14ac:dyDescent="0.25">
      <c r="A13211" s="2" t="str">
        <f t="shared" si="472"/>
        <v>14460</v>
      </c>
      <c r="B13211" s="2" t="str">
        <f>"01822"</f>
        <v>01822</v>
      </c>
      <c r="C13211" s="1">
        <v>1.2192210429207501E-4</v>
      </c>
      <c r="D13211" s="1">
        <v>2.0379953214716E-4</v>
      </c>
      <c r="E13211" s="1">
        <v>1.45757721515297E-5</v>
      </c>
      <c r="F13211" s="1">
        <v>1.2341069054035199E-4</v>
      </c>
    </row>
    <row r="13212" spans="1:6" x14ac:dyDescent="0.25">
      <c r="A13212" s="2" t="str">
        <f t="shared" si="472"/>
        <v>14460</v>
      </c>
      <c r="B13212" s="2" t="str">
        <f>"01775"</f>
        <v>01775</v>
      </c>
      <c r="C13212" s="1">
        <v>1.6053849702032501E-3</v>
      </c>
      <c r="D13212" s="1">
        <v>1.3291273835684401E-3</v>
      </c>
      <c r="E13212" s="1">
        <v>4.5184893669742099E-4</v>
      </c>
      <c r="F13212" s="1">
        <v>1.5178324479641399E-3</v>
      </c>
    </row>
    <row r="13213" spans="1:6" x14ac:dyDescent="0.25">
      <c r="A13213" s="2" t="str">
        <f t="shared" si="472"/>
        <v>14460</v>
      </c>
      <c r="B13213" s="2" t="str">
        <f>"01760"</f>
        <v>01760</v>
      </c>
      <c r="C13213" s="1">
        <v>7.2592328179072498E-3</v>
      </c>
      <c r="D13213" s="1">
        <v>8.55958035018076E-3</v>
      </c>
      <c r="E13213" s="1">
        <v>6.5445216960368403E-3</v>
      </c>
      <c r="F13213" s="1">
        <v>7.3367853935709703E-3</v>
      </c>
    </row>
    <row r="13214" spans="1:6" x14ac:dyDescent="0.25">
      <c r="A13214" s="2" t="str">
        <f t="shared" si="472"/>
        <v>14460</v>
      </c>
      <c r="B13214" s="2" t="str">
        <f>"01741"</f>
        <v>01741</v>
      </c>
      <c r="C13214" s="1">
        <v>1.1000804315022599E-3</v>
      </c>
      <c r="D13214" s="1">
        <v>8.3291982703622303E-4</v>
      </c>
      <c r="E13214" s="1">
        <v>1.4575772151529699E-4</v>
      </c>
      <c r="F13214" s="1">
        <v>1.0241896858027299E-3</v>
      </c>
    </row>
    <row r="13215" spans="1:6" x14ac:dyDescent="0.25">
      <c r="A13215" s="2" t="str">
        <f t="shared" si="472"/>
        <v>14460</v>
      </c>
      <c r="B13215" s="2" t="str">
        <f>"01721"</f>
        <v>01721</v>
      </c>
      <c r="C13215" s="1">
        <v>3.6507093965783E-3</v>
      </c>
      <c r="D13215" s="1">
        <v>2.5873679733465602E-3</v>
      </c>
      <c r="E13215" s="1">
        <v>1.69078956957744E-3</v>
      </c>
      <c r="F13215" s="1">
        <v>3.4487534131389099E-3</v>
      </c>
    </row>
    <row r="13216" spans="1:6" x14ac:dyDescent="0.25">
      <c r="A13216" s="2" t="str">
        <f t="shared" si="472"/>
        <v>14460</v>
      </c>
      <c r="B13216" s="2" t="str">
        <f>"01464"</f>
        <v>01464</v>
      </c>
      <c r="C13216" s="1">
        <v>1.1830616355641599E-3</v>
      </c>
      <c r="D13216" s="1">
        <v>6.2468987027716695E-4</v>
      </c>
      <c r="E13216" s="1">
        <v>4.4456105062165601E-4</v>
      </c>
      <c r="F13216" s="1">
        <v>1.0928393625341799E-3</v>
      </c>
    </row>
    <row r="13217" spans="1:6" x14ac:dyDescent="0.25">
      <c r="A13217" s="2" t="str">
        <f t="shared" si="472"/>
        <v>14460</v>
      </c>
      <c r="B13217" s="2" t="str">
        <f>"03878"</f>
        <v>03878</v>
      </c>
      <c r="C13217" s="1">
        <v>2.7369889876061298E-3</v>
      </c>
      <c r="D13217" s="1">
        <v>2.3968597150350801E-3</v>
      </c>
      <c r="E13217" s="1">
        <v>2.6163511011995798E-3</v>
      </c>
      <c r="F13217" s="1">
        <v>2.69995607214327E-3</v>
      </c>
    </row>
    <row r="13218" spans="1:6" x14ac:dyDescent="0.25">
      <c r="A13218" s="2" t="str">
        <f t="shared" si="472"/>
        <v>14460</v>
      </c>
      <c r="B13218" s="2" t="str">
        <f>"03859"</f>
        <v>03859</v>
      </c>
      <c r="C13218" s="1">
        <v>0</v>
      </c>
      <c r="D13218" s="1">
        <v>0</v>
      </c>
      <c r="E13218" s="1">
        <v>7.2878860757648603E-6</v>
      </c>
      <c r="F13218" s="1">
        <v>3.96818940644219E-7</v>
      </c>
    </row>
    <row r="13219" spans="1:6" x14ac:dyDescent="0.25">
      <c r="A13219" s="2" t="str">
        <f t="shared" si="472"/>
        <v>14460</v>
      </c>
      <c r="B13219" s="2" t="str">
        <f>"03865"</f>
        <v>03865</v>
      </c>
      <c r="C13219" s="1">
        <v>2.0156551690568101E-3</v>
      </c>
      <c r="D13219" s="1">
        <v>3.1677535975047802E-3</v>
      </c>
      <c r="E13219" s="1">
        <v>1.68350168350168E-3</v>
      </c>
      <c r="F13219" s="1">
        <v>2.1007594717704901E-3</v>
      </c>
    </row>
    <row r="13220" spans="1:6" x14ac:dyDescent="0.25">
      <c r="A13220" s="2" t="str">
        <f t="shared" si="472"/>
        <v>14460</v>
      </c>
      <c r="B13220" s="2" t="str">
        <f>"03841"</f>
        <v>03841</v>
      </c>
      <c r="C13220" s="1">
        <v>1.2419365680550101E-3</v>
      </c>
      <c r="D13220" s="1">
        <v>1.2538101651662201E-3</v>
      </c>
      <c r="E13220" s="1">
        <v>6.4862186074307203E-4</v>
      </c>
      <c r="F13220" s="1">
        <v>1.2106945879055101E-3</v>
      </c>
    </row>
    <row r="13221" spans="1:6" x14ac:dyDescent="0.25">
      <c r="A13221" s="2" t="str">
        <f t="shared" si="472"/>
        <v>14460</v>
      </c>
      <c r="B13221" s="2" t="str">
        <f>"03840"</f>
        <v>03840</v>
      </c>
      <c r="C13221" s="1">
        <v>1.1255774495100999E-3</v>
      </c>
      <c r="D13221" s="1">
        <v>1.7898915432054999E-3</v>
      </c>
      <c r="E13221" s="1">
        <v>3.2795487340941802E-4</v>
      </c>
      <c r="F13221" s="1">
        <v>1.14164809223342E-3</v>
      </c>
    </row>
    <row r="13222" spans="1:6" x14ac:dyDescent="0.25">
      <c r="A13222" s="2" t="str">
        <f t="shared" si="472"/>
        <v>14460</v>
      </c>
      <c r="B13222" s="2" t="str">
        <f>"03103"</f>
        <v>03103</v>
      </c>
      <c r="C13222" s="1">
        <v>2.7814928735834599E-6</v>
      </c>
      <c r="D13222" s="1">
        <v>3.0126887360884601E-4</v>
      </c>
      <c r="E13222" s="1">
        <v>5.8303088606118903E-5</v>
      </c>
      <c r="F13222" s="1">
        <v>3.2539153132826001E-5</v>
      </c>
    </row>
    <row r="13223" spans="1:6" x14ac:dyDescent="0.25">
      <c r="A13223" s="2" t="str">
        <f t="shared" si="472"/>
        <v>14460</v>
      </c>
      <c r="B13223" s="2" t="str">
        <f>"03087"</f>
        <v>03087</v>
      </c>
      <c r="C13223" s="1">
        <v>2.92427617442741E-3</v>
      </c>
      <c r="D13223" s="1">
        <v>3.8013043170057399E-3</v>
      </c>
      <c r="E13223" s="1">
        <v>5.9031877213695295E-4</v>
      </c>
      <c r="F13223" s="1">
        <v>2.8757468628486599E-3</v>
      </c>
    </row>
    <row r="13224" spans="1:6" x14ac:dyDescent="0.25">
      <c r="A13224" s="2" t="str">
        <f t="shared" si="472"/>
        <v>14460</v>
      </c>
      <c r="B13224" s="2" t="str">
        <f>"03073"</f>
        <v>03073</v>
      </c>
      <c r="C13224" s="1">
        <v>2.19274354867496E-4</v>
      </c>
      <c r="D13224" s="1">
        <v>4.8291628269653302E-4</v>
      </c>
      <c r="E13224" s="1">
        <v>1.45757721515297E-5</v>
      </c>
      <c r="F13224" s="1">
        <v>2.3174226133622399E-4</v>
      </c>
    </row>
    <row r="13225" spans="1:6" x14ac:dyDescent="0.25">
      <c r="A13225" s="2" t="str">
        <f t="shared" si="472"/>
        <v>14460</v>
      </c>
      <c r="B13225" s="2" t="str">
        <f>"02738"</f>
        <v>02738</v>
      </c>
      <c r="C13225" s="1">
        <v>1.7087637886714401E-3</v>
      </c>
      <c r="D13225" s="1">
        <v>1.3158361097327499E-3</v>
      </c>
      <c r="E13225" s="1">
        <v>8.89122101243313E-4</v>
      </c>
      <c r="F13225" s="1">
        <v>1.6289417513445201E-3</v>
      </c>
    </row>
    <row r="13226" spans="1:6" x14ac:dyDescent="0.25">
      <c r="A13226" s="2" t="str">
        <f t="shared" si="472"/>
        <v>14460</v>
      </c>
      <c r="B13226" s="2" t="str">
        <f>"02532"</f>
        <v>02532</v>
      </c>
      <c r="C13226" s="1">
        <v>5.6927887479341598E-4</v>
      </c>
      <c r="D13226" s="1">
        <v>5.3165095342737601E-5</v>
      </c>
      <c r="E13226" s="1">
        <v>7.2878860757648605E-5</v>
      </c>
      <c r="F13226" s="1">
        <v>4.96023675805274E-4</v>
      </c>
    </row>
    <row r="13227" spans="1:6" x14ac:dyDescent="0.25">
      <c r="A13227" s="2" t="str">
        <f t="shared" si="472"/>
        <v>14460</v>
      </c>
      <c r="B13227" s="2" t="str">
        <f>"02482"</f>
        <v>02482</v>
      </c>
      <c r="C13227" s="1">
        <v>2.2687710205529098E-3</v>
      </c>
      <c r="D13227" s="1">
        <v>3.6152264833061599E-3</v>
      </c>
      <c r="E13227" s="1">
        <v>1.50130453160756E-3</v>
      </c>
      <c r="F13227" s="1">
        <v>2.3475808528512E-3</v>
      </c>
    </row>
    <row r="13228" spans="1:6" x14ac:dyDescent="0.25">
      <c r="A13228" s="2" t="str">
        <f t="shared" si="472"/>
        <v>14460</v>
      </c>
      <c r="B13228" s="2" t="str">
        <f>"02471"</f>
        <v>02471</v>
      </c>
      <c r="C13228" s="1">
        <v>3.1940809831650102E-4</v>
      </c>
      <c r="D13228" s="1">
        <v>8.9051534699085503E-4</v>
      </c>
      <c r="E13228" s="1">
        <v>1.45757721515297E-5</v>
      </c>
      <c r="F13228" s="1">
        <v>3.5396249505464299E-4</v>
      </c>
    </row>
    <row r="13229" spans="1:6" x14ac:dyDescent="0.25">
      <c r="A13229" s="2" t="str">
        <f t="shared" si="472"/>
        <v>14460</v>
      </c>
      <c r="B13229" s="2" t="str">
        <f>"02446"</f>
        <v>02446</v>
      </c>
      <c r="C13229" s="1">
        <v>7.3394325290955702E-3</v>
      </c>
      <c r="D13229" s="1">
        <v>5.9279081307152398E-3</v>
      </c>
      <c r="E13229" s="1">
        <v>1.2994300873088701E-2</v>
      </c>
      <c r="F13229" s="1">
        <v>7.5209093820298896E-3</v>
      </c>
    </row>
    <row r="13230" spans="1:6" x14ac:dyDescent="0.25">
      <c r="A13230" s="2" t="str">
        <f t="shared" si="472"/>
        <v>14460</v>
      </c>
      <c r="B13230" s="2" t="str">
        <f>"02359"</f>
        <v>02359</v>
      </c>
      <c r="C13230" s="1">
        <v>3.69799477542921E-3</v>
      </c>
      <c r="D13230" s="1">
        <v>3.84117813851279E-3</v>
      </c>
      <c r="E13230" s="1">
        <v>1.5450318480621499E-3</v>
      </c>
      <c r="F13230" s="1">
        <v>3.5935923264740501E-3</v>
      </c>
    </row>
    <row r="13231" spans="1:6" x14ac:dyDescent="0.25">
      <c r="A13231" s="2" t="str">
        <f t="shared" si="472"/>
        <v>14460</v>
      </c>
      <c r="B13231" s="2" t="str">
        <f>"02341"</f>
        <v>02341</v>
      </c>
      <c r="C13231" s="1">
        <v>2.1709551878318898E-3</v>
      </c>
      <c r="D13231" s="1">
        <v>1.6436875310129699E-3</v>
      </c>
      <c r="E13231" s="1">
        <v>6.8506129112189704E-4</v>
      </c>
      <c r="F13231" s="1">
        <v>2.0428239064364398E-3</v>
      </c>
    </row>
    <row r="13232" spans="1:6" x14ac:dyDescent="0.25">
      <c r="A13232" s="2" t="str">
        <f t="shared" si="472"/>
        <v>14460</v>
      </c>
      <c r="B13232" s="2" t="str">
        <f>"02343"</f>
        <v>02343</v>
      </c>
      <c r="C13232" s="1">
        <v>2.19691578798534E-3</v>
      </c>
      <c r="D13232" s="1">
        <v>2.0822995675905502E-3</v>
      </c>
      <c r="E13232" s="1">
        <v>1.26080429110732E-3</v>
      </c>
      <c r="F13232" s="1">
        <v>2.1356795385471901E-3</v>
      </c>
    </row>
    <row r="13233" spans="1:6" x14ac:dyDescent="0.25">
      <c r="A13233" s="2" t="str">
        <f t="shared" si="472"/>
        <v>14460</v>
      </c>
      <c r="B13233" s="2" t="str">
        <f>"02269"</f>
        <v>02269</v>
      </c>
      <c r="C13233" s="1">
        <v>3.97753480922435E-4</v>
      </c>
      <c r="D13233" s="1">
        <v>9.8355426384064593E-4</v>
      </c>
      <c r="E13233" s="1">
        <v>1.45757721515297E-5</v>
      </c>
      <c r="F13233" s="1">
        <v>4.2935809377704501E-4</v>
      </c>
    </row>
    <row r="13234" spans="1:6" x14ac:dyDescent="0.25">
      <c r="A13234" s="2" t="str">
        <f t="shared" si="472"/>
        <v>14460</v>
      </c>
      <c r="B13234" s="2" t="str">
        <f>"02217"</f>
        <v>02217</v>
      </c>
      <c r="C13234" s="1">
        <v>0</v>
      </c>
      <c r="D13234" s="1">
        <v>4.4304246118948001E-6</v>
      </c>
      <c r="E13234" s="1">
        <v>6.5590974681883706E-5</v>
      </c>
      <c r="F13234" s="1">
        <v>3.9681894064421896E-6</v>
      </c>
    </row>
    <row r="13235" spans="1:6" x14ac:dyDescent="0.25">
      <c r="A13235" s="2" t="str">
        <f t="shared" si="472"/>
        <v>14460</v>
      </c>
      <c r="B13235" s="2" t="str">
        <f>"02171"</f>
        <v>02171</v>
      </c>
      <c r="C13235" s="1">
        <v>4.1434972173481702E-3</v>
      </c>
      <c r="D13235" s="1">
        <v>2.3968597150350801E-3</v>
      </c>
      <c r="E13235" s="1">
        <v>3.6220793796551301E-3</v>
      </c>
      <c r="F13235" s="1">
        <v>3.9586657518667296E-3</v>
      </c>
    </row>
    <row r="13236" spans="1:6" x14ac:dyDescent="0.25">
      <c r="A13236" s="2" t="str">
        <f t="shared" si="472"/>
        <v>14460</v>
      </c>
      <c r="B13236" s="2" t="str">
        <f>"02163"</f>
        <v>02163</v>
      </c>
      <c r="C13236" s="1">
        <v>3.3516989126680701E-4</v>
      </c>
      <c r="D13236" s="1">
        <v>1.50634436804423E-4</v>
      </c>
      <c r="E13236" s="1">
        <v>1.40656201262261E-2</v>
      </c>
      <c r="F13236" s="1">
        <v>1.06625249351101E-3</v>
      </c>
    </row>
    <row r="13237" spans="1:6" x14ac:dyDescent="0.25">
      <c r="A13237" s="2" t="str">
        <f t="shared" si="472"/>
        <v>14460</v>
      </c>
      <c r="B13237" s="2" t="str">
        <f>"02143"</f>
        <v>02143</v>
      </c>
      <c r="C13237" s="1">
        <v>5.5004021575112997E-3</v>
      </c>
      <c r="D13237" s="1">
        <v>4.8734670730842802E-3</v>
      </c>
      <c r="E13237" s="1">
        <v>7.5866894048712196E-3</v>
      </c>
      <c r="F13237" s="1">
        <v>5.5578460826629398E-3</v>
      </c>
    </row>
    <row r="13238" spans="1:6" x14ac:dyDescent="0.25">
      <c r="A13238" s="2" t="str">
        <f t="shared" si="472"/>
        <v>14460</v>
      </c>
      <c r="B13238" s="2" t="str">
        <f>"02145"</f>
        <v>02145</v>
      </c>
      <c r="C13238" s="1">
        <v>5.5949729152131398E-3</v>
      </c>
      <c r="D13238" s="1">
        <v>3.2076274190118298E-3</v>
      </c>
      <c r="E13238" s="1">
        <v>5.8521725188391801E-3</v>
      </c>
      <c r="F13238" s="1">
        <v>5.3951503169988096E-3</v>
      </c>
    </row>
    <row r="13239" spans="1:6" x14ac:dyDescent="0.25">
      <c r="A13239" s="2" t="str">
        <f t="shared" si="472"/>
        <v>14460</v>
      </c>
      <c r="B13239" s="2" t="str">
        <f>"02137"</f>
        <v>02137</v>
      </c>
      <c r="C13239" s="1">
        <v>1.4649195800872899E-4</v>
      </c>
      <c r="D13239" s="1">
        <v>4.7848585808463802E-4</v>
      </c>
      <c r="E13239" s="1">
        <v>1.45757721515297E-5</v>
      </c>
      <c r="F13239" s="1">
        <v>1.69044868714437E-4</v>
      </c>
    </row>
    <row r="13240" spans="1:6" x14ac:dyDescent="0.25">
      <c r="A13240" s="2" t="str">
        <f t="shared" si="472"/>
        <v>14460</v>
      </c>
      <c r="B13240" s="2" t="str">
        <f>"02130"</f>
        <v>02130</v>
      </c>
      <c r="C13240" s="1">
        <v>9.07369333577486E-3</v>
      </c>
      <c r="D13240" s="1">
        <v>5.3165095342737603E-3</v>
      </c>
      <c r="E13240" s="1">
        <v>1.45466206072266E-2</v>
      </c>
      <c r="F13240" s="1">
        <v>9.0351704595282301E-3</v>
      </c>
    </row>
    <row r="13241" spans="1:6" x14ac:dyDescent="0.25">
      <c r="A13241" s="2" t="str">
        <f t="shared" si="472"/>
        <v>14460</v>
      </c>
      <c r="B13241" s="2" t="str">
        <f>"02129"</f>
        <v>02129</v>
      </c>
      <c r="C13241" s="1">
        <v>4.2987972361232399E-3</v>
      </c>
      <c r="D13241" s="1">
        <v>3.87662153540795E-3</v>
      </c>
      <c r="E13241" s="1">
        <v>9.5471307592519695E-3</v>
      </c>
      <c r="F13241" s="1">
        <v>4.5467514219014599E-3</v>
      </c>
    </row>
    <row r="13242" spans="1:6" x14ac:dyDescent="0.25">
      <c r="A13242" s="2" t="str">
        <f t="shared" si="472"/>
        <v>14460</v>
      </c>
      <c r="B13242" s="2" t="str">
        <f>"02113"</f>
        <v>02113</v>
      </c>
      <c r="C13242" s="1">
        <v>2.3142020708214399E-3</v>
      </c>
      <c r="D13242" s="1">
        <v>1.88293046005529E-3</v>
      </c>
      <c r="E13242" s="1">
        <v>9.5689944174792603E-3</v>
      </c>
      <c r="F13242" s="1">
        <v>2.67059147053559E-3</v>
      </c>
    </row>
    <row r="13243" spans="1:6" x14ac:dyDescent="0.25">
      <c r="A13243" s="2" t="str">
        <f t="shared" si="472"/>
        <v>14460</v>
      </c>
      <c r="B13243" s="2" t="str">
        <f>"02108"</f>
        <v>02108</v>
      </c>
      <c r="C13243" s="1">
        <v>1.08292789211516E-3</v>
      </c>
      <c r="D13243" s="1">
        <v>7.7399517969802198E-3</v>
      </c>
      <c r="E13243" s="1">
        <v>3.4544579999125401E-3</v>
      </c>
      <c r="F13243" s="1">
        <v>1.8083039125157E-3</v>
      </c>
    </row>
    <row r="13244" spans="1:6" x14ac:dyDescent="0.25">
      <c r="A13244" s="2" t="str">
        <f t="shared" si="472"/>
        <v>14460</v>
      </c>
      <c r="B13244" s="2" t="str">
        <f>"02090"</f>
        <v>02090</v>
      </c>
      <c r="C13244" s="1">
        <v>2.8871896027796301E-3</v>
      </c>
      <c r="D13244" s="1">
        <v>2.9816757638052001E-3</v>
      </c>
      <c r="E13244" s="1">
        <v>5.6845511390965899E-4</v>
      </c>
      <c r="F13244" s="1">
        <v>2.7693993867560001E-3</v>
      </c>
    </row>
    <row r="13245" spans="1:6" x14ac:dyDescent="0.25">
      <c r="A13245" s="2" t="str">
        <f t="shared" si="472"/>
        <v>14460</v>
      </c>
      <c r="B13245" s="2" t="str">
        <f>"02067"</f>
        <v>02067</v>
      </c>
      <c r="C13245" s="1">
        <v>3.1454048578773001E-3</v>
      </c>
      <c r="D13245" s="1">
        <v>2.0822995675905502E-3</v>
      </c>
      <c r="E13245" s="1">
        <v>1.36283469616802E-3</v>
      </c>
      <c r="F13245" s="1">
        <v>2.95312655627428E-3</v>
      </c>
    </row>
    <row r="13246" spans="1:6" x14ac:dyDescent="0.25">
      <c r="A13246" s="2" t="str">
        <f t="shared" si="472"/>
        <v>14460</v>
      </c>
      <c r="B13246" s="2" t="str">
        <f>"02072"</f>
        <v>02072</v>
      </c>
      <c r="C13246" s="1">
        <v>5.7275574088539501E-3</v>
      </c>
      <c r="D13246" s="1">
        <v>6.6456369178421997E-3</v>
      </c>
      <c r="E13246" s="1">
        <v>5.4440508985963499E-3</v>
      </c>
      <c r="F13246" s="1">
        <v>5.7943501712868902E-3</v>
      </c>
    </row>
    <row r="13247" spans="1:6" x14ac:dyDescent="0.25">
      <c r="A13247" s="2" t="str">
        <f t="shared" si="472"/>
        <v>14460</v>
      </c>
      <c r="B13247" s="2" t="str">
        <f>"02053"</f>
        <v>02053</v>
      </c>
      <c r="C13247" s="1">
        <v>2.2650623633881299E-3</v>
      </c>
      <c r="D13247" s="1">
        <v>1.7455872970865501E-3</v>
      </c>
      <c r="E13247" s="1">
        <v>7.8709169618260502E-4</v>
      </c>
      <c r="F13247" s="1">
        <v>2.13806045219105E-3</v>
      </c>
    </row>
    <row r="13248" spans="1:6" x14ac:dyDescent="0.25">
      <c r="A13248" s="2" t="str">
        <f t="shared" si="472"/>
        <v>14460</v>
      </c>
      <c r="B13248" s="2" t="str">
        <f>"02030"</f>
        <v>02030</v>
      </c>
      <c r="C13248" s="1">
        <v>1.19604193564089E-3</v>
      </c>
      <c r="D13248" s="1">
        <v>7.7532430708158995E-4</v>
      </c>
      <c r="E13248" s="1">
        <v>6.5590974681883706E-5</v>
      </c>
      <c r="F13248" s="1">
        <v>1.0968075519406199E-3</v>
      </c>
    </row>
    <row r="13249" spans="1:6" x14ac:dyDescent="0.25">
      <c r="A13249" s="2" t="str">
        <f t="shared" si="472"/>
        <v>14460</v>
      </c>
      <c r="B13249" s="2" t="str">
        <f>"01961"</f>
        <v>01961</v>
      </c>
      <c r="C13249" s="1">
        <v>4.3252214184222901E-4</v>
      </c>
      <c r="D13249" s="1">
        <v>1.12089742680938E-3</v>
      </c>
      <c r="E13249" s="1">
        <v>1.45757721515297E-5</v>
      </c>
      <c r="F13249" s="1">
        <v>4.7142090148533198E-4</v>
      </c>
    </row>
    <row r="13250" spans="1:6" x14ac:dyDescent="0.25">
      <c r="A13250" s="2" t="str">
        <f t="shared" si="472"/>
        <v>14460</v>
      </c>
      <c r="B13250" s="2" t="str">
        <f>"01844"</f>
        <v>01844</v>
      </c>
      <c r="C13250" s="1">
        <v>9.0954816966179308E-3</v>
      </c>
      <c r="D13250" s="1">
        <v>6.1582902105337704E-3</v>
      </c>
      <c r="E13250" s="1">
        <v>5.2035506580961101E-3</v>
      </c>
      <c r="F13250" s="1">
        <v>8.6204946665550206E-3</v>
      </c>
    </row>
    <row r="13251" spans="1:6" x14ac:dyDescent="0.25">
      <c r="A13251" s="2" t="str">
        <f t="shared" si="472"/>
        <v>14460</v>
      </c>
      <c r="B13251" s="2" t="str">
        <f>"01842"</f>
        <v>01842</v>
      </c>
      <c r="C13251" s="1">
        <v>5.8457708559812502E-4</v>
      </c>
      <c r="D13251" s="1">
        <v>6.7342454100801003E-4</v>
      </c>
      <c r="E13251" s="1">
        <v>1.45757721515297E-5</v>
      </c>
      <c r="F13251" s="1">
        <v>5.6149880101157002E-4</v>
      </c>
    </row>
    <row r="13252" spans="1:6" x14ac:dyDescent="0.25">
      <c r="A13252" s="2" t="str">
        <f t="shared" si="472"/>
        <v>14460</v>
      </c>
      <c r="B13252" s="2" t="str">
        <f>"01835"</f>
        <v>01835</v>
      </c>
      <c r="C13252" s="1">
        <v>2.68228629442565E-3</v>
      </c>
      <c r="D13252" s="1">
        <v>1.6038137095059099E-3</v>
      </c>
      <c r="E13252" s="1">
        <v>2.55804801259346E-3</v>
      </c>
      <c r="F13252" s="1">
        <v>2.5789262952467802E-3</v>
      </c>
    </row>
    <row r="13253" spans="1:6" x14ac:dyDescent="0.25">
      <c r="A13253" s="2" t="str">
        <f t="shared" si="472"/>
        <v>14460</v>
      </c>
      <c r="B13253" s="2" t="str">
        <f>"01801"</f>
        <v>01801</v>
      </c>
      <c r="C13253" s="1">
        <v>8.2165299485655596E-3</v>
      </c>
      <c r="D13253" s="1">
        <v>1.60159849719997E-2</v>
      </c>
      <c r="E13253" s="1">
        <v>6.82146136691591E-3</v>
      </c>
      <c r="F13253" s="1">
        <v>8.8391419028499892E-3</v>
      </c>
    </row>
    <row r="13254" spans="1:6" x14ac:dyDescent="0.25">
      <c r="A13254" s="2" t="str">
        <f t="shared" si="472"/>
        <v>14460</v>
      </c>
      <c r="B13254" s="2" t="str">
        <f>"01742"</f>
        <v>01742</v>
      </c>
      <c r="C13254" s="1">
        <v>3.8783282300665399E-3</v>
      </c>
      <c r="D13254" s="1">
        <v>6.6988020131849403E-3</v>
      </c>
      <c r="E13254" s="1">
        <v>2.4924570379115801E-3</v>
      </c>
      <c r="F13254" s="1">
        <v>4.05548957338392E-3</v>
      </c>
    </row>
    <row r="13255" spans="1:6" x14ac:dyDescent="0.25">
      <c r="A13255" s="2" t="str">
        <f t="shared" si="472"/>
        <v>14460</v>
      </c>
      <c r="B13255" s="2" t="str">
        <f>"01703"</f>
        <v>01703</v>
      </c>
      <c r="C13255" s="1">
        <v>2.4106271571056699E-4</v>
      </c>
      <c r="D13255" s="1">
        <v>1.05001063301906E-3</v>
      </c>
      <c r="E13255" s="1">
        <v>1.45757721515297E-5</v>
      </c>
      <c r="F13255" s="1">
        <v>3.0118557594896201E-4</v>
      </c>
    </row>
    <row r="13256" spans="1:6" x14ac:dyDescent="0.25">
      <c r="A13256" s="2" t="str">
        <f t="shared" si="472"/>
        <v>14460</v>
      </c>
      <c r="B13256" s="2" t="str">
        <f>"01718"</f>
        <v>01718</v>
      </c>
      <c r="C13256" s="1">
        <v>1.30730165058422E-4</v>
      </c>
      <c r="D13256" s="1">
        <v>4.4304246118948001E-6</v>
      </c>
      <c r="E13256" s="1">
        <v>0</v>
      </c>
      <c r="F13256" s="1">
        <v>1.12299760202314E-4</v>
      </c>
    </row>
    <row r="13257" spans="1:6" x14ac:dyDescent="0.25">
      <c r="A13257" s="2" t="str">
        <f t="shared" si="472"/>
        <v>14460</v>
      </c>
      <c r="B13257" s="2" t="str">
        <f>"01462"</f>
        <v>01462</v>
      </c>
      <c r="C13257" s="1">
        <v>3.24507501918071E-6</v>
      </c>
      <c r="D13257" s="1">
        <v>0</v>
      </c>
      <c r="E13257" s="1">
        <v>0</v>
      </c>
      <c r="F13257" s="1">
        <v>2.7777325845095298E-6</v>
      </c>
    </row>
    <row r="13258" spans="1:6" x14ac:dyDescent="0.25">
      <c r="A13258" s="2" t="str">
        <f t="shared" si="472"/>
        <v>14460</v>
      </c>
      <c r="B13258" s="2" t="str">
        <f>"01432"</f>
        <v>01432</v>
      </c>
      <c r="C13258" s="1">
        <v>2.0610862193253402E-3</v>
      </c>
      <c r="D13258" s="1">
        <v>2.3481250443042399E-3</v>
      </c>
      <c r="E13258" s="1">
        <v>2.6600784176541701E-3</v>
      </c>
      <c r="F13258" s="1">
        <v>2.1194099619807698E-3</v>
      </c>
    </row>
    <row r="13259" spans="1:6" x14ac:dyDescent="0.25">
      <c r="A13259" s="2" t="str">
        <f t="shared" ref="A13259:A13298" si="473">"18180"</f>
        <v>18180</v>
      </c>
      <c r="B13259" s="2" t="str">
        <f>"03280"</f>
        <v>03280</v>
      </c>
      <c r="C13259" s="1">
        <v>1.4842741157436901E-5</v>
      </c>
      <c r="D13259" s="1">
        <v>0</v>
      </c>
      <c r="E13259" s="1">
        <v>0</v>
      </c>
      <c r="F13259" s="1">
        <v>1.28917479921102E-5</v>
      </c>
    </row>
    <row r="13260" spans="1:6" x14ac:dyDescent="0.25">
      <c r="A13260" s="2" t="str">
        <f t="shared" si="473"/>
        <v>18180</v>
      </c>
      <c r="B13260" s="2" t="str">
        <f>"03278"</f>
        <v>03278</v>
      </c>
      <c r="C13260" s="1">
        <v>1.9325248986982901E-2</v>
      </c>
      <c r="D13260" s="1">
        <v>5.2631578947368403E-3</v>
      </c>
      <c r="E13260" s="1">
        <v>1.1760752688172E-2</v>
      </c>
      <c r="F13260" s="1">
        <v>1.7726153489151499E-2</v>
      </c>
    </row>
    <row r="13261" spans="1:6" x14ac:dyDescent="0.25">
      <c r="A13261" s="2" t="str">
        <f t="shared" si="473"/>
        <v>18180</v>
      </c>
      <c r="B13261" s="2" t="str">
        <f>"03275"</f>
        <v>03275</v>
      </c>
      <c r="C13261" s="1">
        <v>7.5297225891677602E-2</v>
      </c>
      <c r="D13261" s="1">
        <v>3.8919667590027698E-2</v>
      </c>
      <c r="E13261" s="1">
        <v>9.0053763440860204E-2</v>
      </c>
      <c r="F13261" s="1">
        <v>7.2477407211643793E-2</v>
      </c>
    </row>
    <row r="13262" spans="1:6" x14ac:dyDescent="0.25">
      <c r="A13262" s="2" t="str">
        <f t="shared" si="473"/>
        <v>18180</v>
      </c>
      <c r="B13262" s="2" t="str">
        <f>"03243"</f>
        <v>03243</v>
      </c>
      <c r="C13262" s="1">
        <v>6.7386044854763696E-3</v>
      </c>
      <c r="D13262" s="1">
        <v>1.38504155124653E-3</v>
      </c>
      <c r="E13262" s="1">
        <v>2.3521505376344E-3</v>
      </c>
      <c r="F13262" s="1">
        <v>6.0720133042839203E-3</v>
      </c>
    </row>
    <row r="13263" spans="1:6" x14ac:dyDescent="0.25">
      <c r="A13263" s="2" t="str">
        <f t="shared" si="473"/>
        <v>18180</v>
      </c>
      <c r="B13263" s="2" t="str">
        <f>"03224"</f>
        <v>03224</v>
      </c>
      <c r="C13263" s="1">
        <v>1.4174817805352199E-2</v>
      </c>
      <c r="D13263" s="1">
        <v>2.21606648199445E-3</v>
      </c>
      <c r="E13263" s="1">
        <v>1.68010752688172E-3</v>
      </c>
      <c r="F13263" s="1">
        <v>1.25823460402996E-2</v>
      </c>
    </row>
    <row r="13264" spans="1:6" x14ac:dyDescent="0.25">
      <c r="A13264" s="2" t="str">
        <f t="shared" si="473"/>
        <v>18180</v>
      </c>
      <c r="B13264" s="2" t="str">
        <f>"03307"</f>
        <v>03307</v>
      </c>
      <c r="C13264" s="1">
        <v>3.3455538568862797E-2</v>
      </c>
      <c r="D13264" s="1">
        <v>1.44044321329639E-2</v>
      </c>
      <c r="E13264" s="1">
        <v>1.1760752688172E-2</v>
      </c>
      <c r="F13264" s="1">
        <v>3.0849952945119798E-2</v>
      </c>
    </row>
    <row r="13265" spans="1:6" x14ac:dyDescent="0.25">
      <c r="A13265" s="2" t="str">
        <f t="shared" si="473"/>
        <v>18180</v>
      </c>
      <c r="B13265" s="2" t="str">
        <f>"03281"</f>
        <v>03281</v>
      </c>
      <c r="C13265" s="1">
        <v>4.4528223472310797E-5</v>
      </c>
      <c r="D13265" s="1">
        <v>0</v>
      </c>
      <c r="E13265" s="1">
        <v>0</v>
      </c>
      <c r="F13265" s="1">
        <v>3.86752439763307E-5</v>
      </c>
    </row>
    <row r="13266" spans="1:6" x14ac:dyDescent="0.25">
      <c r="A13266" s="2" t="str">
        <f t="shared" si="473"/>
        <v>18180</v>
      </c>
      <c r="B13266" s="2" t="str">
        <f>"03229"</f>
        <v>03229</v>
      </c>
      <c r="C13266" s="1">
        <v>3.4301574814836797E-2</v>
      </c>
      <c r="D13266" s="1">
        <v>8.7257617728531793E-3</v>
      </c>
      <c r="E13266" s="1">
        <v>1.14247311827956E-2</v>
      </c>
      <c r="F13266" s="1">
        <v>3.1043329165001399E-2</v>
      </c>
    </row>
    <row r="13267" spans="1:6" x14ac:dyDescent="0.25">
      <c r="A13267" s="2" t="str">
        <f t="shared" si="473"/>
        <v>18180</v>
      </c>
      <c r="B13267" s="2" t="str">
        <f>"03221"</f>
        <v>03221</v>
      </c>
      <c r="C13267" s="1">
        <v>2.1848514983747101E-2</v>
      </c>
      <c r="D13267" s="1">
        <v>3.1855955678670299E-2</v>
      </c>
      <c r="E13267" s="1">
        <v>4.7043010752688104E-3</v>
      </c>
      <c r="F13267" s="1">
        <v>2.21222395544611E-2</v>
      </c>
    </row>
    <row r="13268" spans="1:6" x14ac:dyDescent="0.25">
      <c r="A13268" s="2" t="str">
        <f t="shared" si="473"/>
        <v>18180</v>
      </c>
      <c r="B13268" s="2" t="str">
        <f>"03216"</f>
        <v>03216</v>
      </c>
      <c r="C13268" s="1">
        <v>1.28389711011829E-2</v>
      </c>
      <c r="D13268" s="1">
        <v>5.6786703601107999E-3</v>
      </c>
      <c r="E13268" s="1">
        <v>4.0322580645161202E-3</v>
      </c>
      <c r="F13268" s="1">
        <v>1.1834624656757199E-2</v>
      </c>
    </row>
    <row r="13269" spans="1:6" x14ac:dyDescent="0.25">
      <c r="A13269" s="2" t="str">
        <f t="shared" si="473"/>
        <v>18180</v>
      </c>
      <c r="B13269" s="2" t="str">
        <f>"03257"</f>
        <v>03257</v>
      </c>
      <c r="C13269" s="1">
        <v>4.4053255755272802E-2</v>
      </c>
      <c r="D13269" s="1">
        <v>9.1551246537396103E-2</v>
      </c>
      <c r="E13269" s="1">
        <v>9.4086021505376295E-3</v>
      </c>
      <c r="F13269" s="1">
        <v>4.7145122407147098E-2</v>
      </c>
    </row>
    <row r="13270" spans="1:6" x14ac:dyDescent="0.25">
      <c r="A13270" s="2" t="str">
        <f t="shared" si="473"/>
        <v>18180</v>
      </c>
      <c r="B13270" s="2" t="str">
        <f>"03104"</f>
        <v>03104</v>
      </c>
      <c r="C13270" s="1">
        <v>5.6402416398260396E-4</v>
      </c>
      <c r="D13270" s="1">
        <v>0</v>
      </c>
      <c r="E13270" s="1">
        <v>0</v>
      </c>
      <c r="F13270" s="1">
        <v>4.8988642370018901E-4</v>
      </c>
    </row>
    <row r="13271" spans="1:6" x14ac:dyDescent="0.25">
      <c r="A13271" s="2" t="str">
        <f t="shared" si="473"/>
        <v>18180</v>
      </c>
      <c r="B13271" s="2" t="str">
        <f>"03102"</f>
        <v>03102</v>
      </c>
      <c r="C13271" s="1">
        <v>5.1949594051029304E-4</v>
      </c>
      <c r="D13271" s="1">
        <v>1.3850415512465299E-4</v>
      </c>
      <c r="E13271" s="1">
        <v>0</v>
      </c>
      <c r="F13271" s="1">
        <v>4.6410292771596902E-4</v>
      </c>
    </row>
    <row r="13272" spans="1:6" x14ac:dyDescent="0.25">
      <c r="A13272" s="2" t="str">
        <f t="shared" si="473"/>
        <v>18180</v>
      </c>
      <c r="B13272" s="2" t="str">
        <f>"03046"</f>
        <v>03046</v>
      </c>
      <c r="C13272" s="1">
        <v>1.7098837813367299E-2</v>
      </c>
      <c r="D13272" s="1">
        <v>1.93905817174515E-3</v>
      </c>
      <c r="E13272" s="1">
        <v>5.3763440860214997E-3</v>
      </c>
      <c r="F13272" s="1">
        <v>1.5238046126674299E-2</v>
      </c>
    </row>
    <row r="13273" spans="1:6" x14ac:dyDescent="0.25">
      <c r="A13273" s="2" t="str">
        <f t="shared" si="473"/>
        <v>18180</v>
      </c>
      <c r="B13273" s="2" t="str">
        <f>"03302"</f>
        <v>03302</v>
      </c>
      <c r="C13273" s="1">
        <v>2.42678817924094E-2</v>
      </c>
      <c r="D13273" s="1">
        <v>0.10457063711911301</v>
      </c>
      <c r="E13273" s="1">
        <v>6.7204301075268801E-4</v>
      </c>
      <c r="F13273" s="1">
        <v>3.0837061197127699E-2</v>
      </c>
    </row>
    <row r="13274" spans="1:6" x14ac:dyDescent="0.25">
      <c r="A13274" s="2" t="str">
        <f t="shared" si="473"/>
        <v>18180</v>
      </c>
      <c r="B13274" s="2" t="str">
        <f>"03242"</f>
        <v>03242</v>
      </c>
      <c r="C13274" s="1">
        <v>2.2635180265091301E-2</v>
      </c>
      <c r="D13274" s="1">
        <v>1.1772853185595501E-2</v>
      </c>
      <c r="E13274" s="1">
        <v>1.9153225806451599E-2</v>
      </c>
      <c r="F13274" s="1">
        <v>2.14905439028477E-2</v>
      </c>
    </row>
    <row r="13275" spans="1:6" x14ac:dyDescent="0.25">
      <c r="A13275" s="2" t="str">
        <f t="shared" si="473"/>
        <v>18180</v>
      </c>
      <c r="B13275" s="2" t="str">
        <f>"03220"</f>
        <v>03220</v>
      </c>
      <c r="C13275" s="1">
        <v>5.0465319935285604E-4</v>
      </c>
      <c r="D13275" s="1">
        <v>0</v>
      </c>
      <c r="E13275" s="1">
        <v>0</v>
      </c>
      <c r="F13275" s="1">
        <v>4.3831943173174801E-4</v>
      </c>
    </row>
    <row r="13276" spans="1:6" x14ac:dyDescent="0.25">
      <c r="A13276" s="2" t="str">
        <f t="shared" si="473"/>
        <v>18180</v>
      </c>
      <c r="B13276" s="2" t="str">
        <f>"03260"</f>
        <v>03260</v>
      </c>
      <c r="C13276" s="1">
        <v>4.3934513826013304E-3</v>
      </c>
      <c r="D13276" s="1">
        <v>0</v>
      </c>
      <c r="E13276" s="1">
        <v>3.36021505376344E-4</v>
      </c>
      <c r="F13276" s="1">
        <v>3.8288491536567402E-3</v>
      </c>
    </row>
    <row r="13277" spans="1:6" x14ac:dyDescent="0.25">
      <c r="A13277" s="2" t="str">
        <f t="shared" si="473"/>
        <v>18180</v>
      </c>
      <c r="B13277" s="2" t="str">
        <f>"03263"</f>
        <v>03263</v>
      </c>
      <c r="C13277" s="1">
        <v>2.7132530835794699E-2</v>
      </c>
      <c r="D13277" s="1">
        <v>1.21883656509695E-2</v>
      </c>
      <c r="E13277" s="1">
        <v>5.6451612903225798E-2</v>
      </c>
      <c r="F13277" s="1">
        <v>2.6866402815557699E-2</v>
      </c>
    </row>
    <row r="13278" spans="1:6" x14ac:dyDescent="0.25">
      <c r="A13278" s="2" t="str">
        <f t="shared" si="473"/>
        <v>18180</v>
      </c>
      <c r="B13278" s="2" t="str">
        <f>"03301"</f>
        <v>03301</v>
      </c>
      <c r="C13278" s="1">
        <v>0.21057396880055801</v>
      </c>
      <c r="D13278" s="1">
        <v>0.37243767313019299</v>
      </c>
      <c r="E13278" s="1">
        <v>0.40961021505376299</v>
      </c>
      <c r="F13278" s="1">
        <v>0.23327617991723401</v>
      </c>
    </row>
    <row r="13279" spans="1:6" x14ac:dyDescent="0.25">
      <c r="A13279" s="2" t="str">
        <f t="shared" si="473"/>
        <v>18180</v>
      </c>
      <c r="B13279" s="2" t="str">
        <f>"03258"</f>
        <v>03258</v>
      </c>
      <c r="C13279" s="1">
        <v>1.5748148368040601E-2</v>
      </c>
      <c r="D13279" s="1">
        <v>1.30193905817174E-2</v>
      </c>
      <c r="E13279" s="1">
        <v>9.7446236559139698E-3</v>
      </c>
      <c r="F13279" s="1">
        <v>1.5263829622658501E-2</v>
      </c>
    </row>
    <row r="13280" spans="1:6" x14ac:dyDescent="0.25">
      <c r="A13280" s="2" t="str">
        <f t="shared" si="473"/>
        <v>18180</v>
      </c>
      <c r="B13280" s="2" t="str">
        <f>"03255"</f>
        <v>03255</v>
      </c>
      <c r="C13280" s="1">
        <v>2.33921600641206E-2</v>
      </c>
      <c r="D13280" s="1">
        <v>1.1634349030470901E-2</v>
      </c>
      <c r="E13280" s="1">
        <v>1.3440860215053699E-3</v>
      </c>
      <c r="F13280" s="1">
        <v>2.1451868658871401E-2</v>
      </c>
    </row>
    <row r="13281" spans="1:6" x14ac:dyDescent="0.25">
      <c r="A13281" s="2" t="str">
        <f t="shared" si="473"/>
        <v>18180</v>
      </c>
      <c r="B13281" s="2" t="str">
        <f>"03237"</f>
        <v>03237</v>
      </c>
      <c r="C13281" s="1">
        <v>2.96854823148739E-5</v>
      </c>
      <c r="D13281" s="1">
        <v>0</v>
      </c>
      <c r="E13281" s="1">
        <v>0</v>
      </c>
      <c r="F13281" s="1">
        <v>2.5783495984220498E-5</v>
      </c>
    </row>
    <row r="13282" spans="1:6" x14ac:dyDescent="0.25">
      <c r="A13282" s="2" t="str">
        <f t="shared" si="473"/>
        <v>18180</v>
      </c>
      <c r="B13282" s="2" t="str">
        <f>"03234"</f>
        <v>03234</v>
      </c>
      <c r="C13282" s="1">
        <v>2.8141837234500401E-2</v>
      </c>
      <c r="D13282" s="1">
        <v>1.4958448753462601E-2</v>
      </c>
      <c r="E13282" s="1">
        <v>9.7446236559139698E-3</v>
      </c>
      <c r="F13282" s="1">
        <v>2.6208923667960099E-2</v>
      </c>
    </row>
    <row r="13283" spans="1:6" x14ac:dyDescent="0.25">
      <c r="A13283" s="2" t="str">
        <f t="shared" si="473"/>
        <v>18180</v>
      </c>
      <c r="B13283" s="2" t="str">
        <f>"03230"</f>
        <v>03230</v>
      </c>
      <c r="C13283" s="1">
        <v>8.0447657073308195E-3</v>
      </c>
      <c r="D13283" s="1">
        <v>1.8005540166204899E-3</v>
      </c>
      <c r="E13283" s="1">
        <v>2.3521505376344E-3</v>
      </c>
      <c r="F13283" s="1">
        <v>7.2451623715659597E-3</v>
      </c>
    </row>
    <row r="13284" spans="1:6" x14ac:dyDescent="0.25">
      <c r="A13284" s="2" t="str">
        <f t="shared" si="473"/>
        <v>18180</v>
      </c>
      <c r="B13284" s="2" t="str">
        <f>"03106"</f>
        <v>03106</v>
      </c>
      <c r="C13284" s="1">
        <v>9.85558012853813E-2</v>
      </c>
      <c r="D13284" s="1">
        <v>0.114127423822714</v>
      </c>
      <c r="E13284" s="1">
        <v>6.5188172043010695E-2</v>
      </c>
      <c r="F13284" s="1">
        <v>9.8725006123580206E-2</v>
      </c>
    </row>
    <row r="13285" spans="1:6" x14ac:dyDescent="0.25">
      <c r="A13285" s="2" t="str">
        <f t="shared" si="473"/>
        <v>18180</v>
      </c>
      <c r="B13285" s="2" t="str">
        <f>"03045"</f>
        <v>03045</v>
      </c>
      <c r="C13285" s="1">
        <v>4.4528223472310797E-5</v>
      </c>
      <c r="D13285" s="1">
        <v>0</v>
      </c>
      <c r="E13285" s="1">
        <v>0</v>
      </c>
      <c r="F13285" s="1">
        <v>3.86752439763307E-5</v>
      </c>
    </row>
    <row r="13286" spans="1:6" x14ac:dyDescent="0.25">
      <c r="A13286" s="2" t="str">
        <f t="shared" si="473"/>
        <v>18180</v>
      </c>
      <c r="B13286" s="2" t="str">
        <f>"03034"</f>
        <v>03034</v>
      </c>
      <c r="C13286" s="1">
        <v>1.4842741157436901E-5</v>
      </c>
      <c r="D13286" s="1">
        <v>0</v>
      </c>
      <c r="E13286" s="1">
        <v>0</v>
      </c>
      <c r="F13286" s="1">
        <v>1.28917479921102E-5</v>
      </c>
    </row>
    <row r="13287" spans="1:6" x14ac:dyDescent="0.25">
      <c r="A13287" s="2" t="str">
        <f t="shared" si="473"/>
        <v>18180</v>
      </c>
      <c r="B13287" s="2" t="str">
        <f>"03782"</f>
        <v>03782</v>
      </c>
      <c r="C13287" s="1">
        <v>1.4842741157436901E-5</v>
      </c>
      <c r="D13287" s="1">
        <v>0</v>
      </c>
      <c r="E13287" s="1">
        <v>0</v>
      </c>
      <c r="F13287" s="1">
        <v>1.28917479921102E-5</v>
      </c>
    </row>
    <row r="13288" spans="1:6" x14ac:dyDescent="0.25">
      <c r="A13288" s="2" t="str">
        <f t="shared" si="473"/>
        <v>18180</v>
      </c>
      <c r="B13288" s="2" t="str">
        <f>"03305"</f>
        <v>03305</v>
      </c>
      <c r="C13288" s="1">
        <v>0</v>
      </c>
      <c r="D13288" s="1">
        <v>0</v>
      </c>
      <c r="E13288" s="1">
        <v>1.3440860215053699E-3</v>
      </c>
      <c r="F13288" s="1">
        <v>5.1566991968440997E-5</v>
      </c>
    </row>
    <row r="13289" spans="1:6" x14ac:dyDescent="0.25">
      <c r="A13289" s="2" t="str">
        <f t="shared" si="473"/>
        <v>18180</v>
      </c>
      <c r="B13289" s="2" t="str">
        <f>"03304"</f>
        <v>03304</v>
      </c>
      <c r="C13289" s="1">
        <v>4.7630356374215102E-2</v>
      </c>
      <c r="D13289" s="1">
        <v>5.4432132963988897E-2</v>
      </c>
      <c r="E13289" s="1">
        <v>2.4193548387096701E-2</v>
      </c>
      <c r="F13289" s="1">
        <v>4.7364282123013003E-2</v>
      </c>
    </row>
    <row r="13290" spans="1:6" x14ac:dyDescent="0.25">
      <c r="A13290" s="2" t="str">
        <f t="shared" si="473"/>
        <v>18180</v>
      </c>
      <c r="B13290" s="2" t="str">
        <f>"03303"</f>
        <v>03303</v>
      </c>
      <c r="C13290" s="1">
        <v>0.101910260786962</v>
      </c>
      <c r="D13290" s="1">
        <v>3.3379501385041498E-2</v>
      </c>
      <c r="E13290" s="1">
        <v>9.0725806451612906E-2</v>
      </c>
      <c r="F13290" s="1">
        <v>9.5102424937797303E-2</v>
      </c>
    </row>
    <row r="13291" spans="1:6" x14ac:dyDescent="0.25">
      <c r="A13291" s="2" t="str">
        <f t="shared" si="473"/>
        <v>18180</v>
      </c>
      <c r="B13291" s="2" t="str">
        <f>"03273"</f>
        <v>03273</v>
      </c>
      <c r="C13291" s="1">
        <v>1.1280483279651999E-3</v>
      </c>
      <c r="D13291" s="1">
        <v>0</v>
      </c>
      <c r="E13291" s="1">
        <v>3.36021505376344E-4</v>
      </c>
      <c r="F13291" s="1">
        <v>9.9266459539248909E-4</v>
      </c>
    </row>
    <row r="13292" spans="1:6" x14ac:dyDescent="0.25">
      <c r="A13292" s="2" t="str">
        <f t="shared" si="473"/>
        <v>18180</v>
      </c>
      <c r="B13292" s="2" t="str">
        <f>"03268"</f>
        <v>03268</v>
      </c>
      <c r="C13292" s="1">
        <v>6.3230077330681403E-3</v>
      </c>
      <c r="D13292" s="1">
        <v>8.3102493074792196E-4</v>
      </c>
      <c r="E13292" s="1">
        <v>3.36021505376344E-4</v>
      </c>
      <c r="F13292" s="1">
        <v>5.5821268805837298E-3</v>
      </c>
    </row>
    <row r="13293" spans="1:6" x14ac:dyDescent="0.25">
      <c r="A13293" s="2" t="str">
        <f t="shared" si="473"/>
        <v>18180</v>
      </c>
      <c r="B13293" s="2" t="str">
        <f>"03276"</f>
        <v>03276</v>
      </c>
      <c r="C13293" s="1">
        <v>3.00268653614949E-2</v>
      </c>
      <c r="D13293" s="1">
        <v>1.13573407202216E-2</v>
      </c>
      <c r="E13293" s="1">
        <v>3.7298387096774098E-2</v>
      </c>
      <c r="F13293" s="1">
        <v>2.8568113550516298E-2</v>
      </c>
    </row>
    <row r="13294" spans="1:6" x14ac:dyDescent="0.25">
      <c r="A13294" s="2" t="str">
        <f t="shared" si="473"/>
        <v>18180</v>
      </c>
      <c r="B13294" s="2" t="str">
        <f>"03233"</f>
        <v>03233</v>
      </c>
      <c r="C13294" s="1">
        <v>8.9056446944621703E-5</v>
      </c>
      <c r="D13294" s="1">
        <v>0</v>
      </c>
      <c r="E13294" s="1">
        <v>3.36021505376344E-4</v>
      </c>
      <c r="F13294" s="1">
        <v>9.0242235944771703E-5</v>
      </c>
    </row>
    <row r="13295" spans="1:6" x14ac:dyDescent="0.25">
      <c r="A13295" s="2" t="str">
        <f t="shared" si="473"/>
        <v>18180</v>
      </c>
      <c r="B13295" s="2" t="str">
        <f>"03287"</f>
        <v>03287</v>
      </c>
      <c r="C13295" s="1">
        <v>7.0503020497825501E-3</v>
      </c>
      <c r="D13295" s="1">
        <v>2.4930747922437598E-3</v>
      </c>
      <c r="E13295" s="1">
        <v>2.3521505376344E-3</v>
      </c>
      <c r="F13295" s="1">
        <v>6.4458739960551199E-3</v>
      </c>
    </row>
    <row r="13296" spans="1:6" x14ac:dyDescent="0.25">
      <c r="A13296" s="2" t="str">
        <f t="shared" si="473"/>
        <v>18180</v>
      </c>
      <c r="B13296" s="2" t="str">
        <f>"03272"</f>
        <v>03272</v>
      </c>
      <c r="C13296" s="1">
        <v>4.0075401125079703E-4</v>
      </c>
      <c r="D13296" s="1">
        <v>0</v>
      </c>
      <c r="E13296" s="1">
        <v>3.36021505376344E-4</v>
      </c>
      <c r="F13296" s="1">
        <v>3.6096894377908698E-4</v>
      </c>
    </row>
    <row r="13297" spans="1:6" x14ac:dyDescent="0.25">
      <c r="A13297" s="2" t="str">
        <f t="shared" si="473"/>
        <v>18180</v>
      </c>
      <c r="B13297" s="2" t="str">
        <f>"03231"</f>
        <v>03231</v>
      </c>
      <c r="C13297" s="1">
        <v>0</v>
      </c>
      <c r="D13297" s="1">
        <v>0</v>
      </c>
      <c r="E13297" s="1">
        <v>3.36021505376344E-4</v>
      </c>
      <c r="F13297" s="1">
        <v>1.28917479921102E-5</v>
      </c>
    </row>
    <row r="13298" spans="1:6" x14ac:dyDescent="0.25">
      <c r="A13298" s="2" t="str">
        <f t="shared" si="473"/>
        <v>18180</v>
      </c>
      <c r="B13298" s="2" t="str">
        <f>"03235"</f>
        <v>03235</v>
      </c>
      <c r="C13298" s="1">
        <v>6.1671589509150498E-2</v>
      </c>
      <c r="D13298" s="1">
        <v>3.8919667590027698E-2</v>
      </c>
      <c r="E13298" s="1">
        <v>0.115255376344086</v>
      </c>
      <c r="F13298" s="1">
        <v>6.1609663654294801E-2</v>
      </c>
    </row>
    <row r="13299" spans="1:6" x14ac:dyDescent="0.25">
      <c r="A13299" s="2" t="str">
        <f t="shared" ref="A13299:A13330" si="474">"12620"</f>
        <v>12620</v>
      </c>
      <c r="B13299" s="2" t="str">
        <f>"04930"</f>
        <v>04930</v>
      </c>
      <c r="C13299" s="1">
        <v>2.7919020083985099E-2</v>
      </c>
      <c r="D13299" s="1">
        <v>2.4263721552878099E-2</v>
      </c>
      <c r="E13299" s="1">
        <v>2.9645093945720201E-2</v>
      </c>
      <c r="F13299" s="1">
        <v>2.7759867765494699E-2</v>
      </c>
    </row>
    <row r="13300" spans="1:6" x14ac:dyDescent="0.25">
      <c r="A13300" s="2" t="str">
        <f t="shared" si="474"/>
        <v>12620</v>
      </c>
      <c r="B13300" s="2" t="str">
        <f>"04495"</f>
        <v>04495</v>
      </c>
      <c r="C13300" s="1">
        <v>2.1197526060882498E-3</v>
      </c>
      <c r="D13300" s="1">
        <v>3.3467202141900898E-4</v>
      </c>
      <c r="E13300" s="1">
        <v>2.08768267223382E-4</v>
      </c>
      <c r="F13300" s="1">
        <v>1.8873896580425E-3</v>
      </c>
    </row>
    <row r="13301" spans="1:6" x14ac:dyDescent="0.25">
      <c r="A13301" s="2" t="str">
        <f t="shared" si="474"/>
        <v>12620</v>
      </c>
      <c r="B13301" s="2" t="str">
        <f>"04497"</f>
        <v>04497</v>
      </c>
      <c r="C13301" s="1">
        <v>3.2198773763365802E-4</v>
      </c>
      <c r="D13301" s="1">
        <v>5.0200803212851401E-4</v>
      </c>
      <c r="E13301" s="1">
        <v>0</v>
      </c>
      <c r="F13301" s="1">
        <v>3.1651876252886699E-4</v>
      </c>
    </row>
    <row r="13302" spans="1:6" x14ac:dyDescent="0.25">
      <c r="A13302" s="2" t="str">
        <f t="shared" si="474"/>
        <v>12620</v>
      </c>
      <c r="B13302" s="2" t="str">
        <f>"04488"</f>
        <v>04488</v>
      </c>
      <c r="C13302" s="1">
        <v>7.32522103116572E-3</v>
      </c>
      <c r="D13302" s="1">
        <v>1.6733601070950399E-3</v>
      </c>
      <c r="E13302" s="1">
        <v>1.2526096033402901E-3</v>
      </c>
      <c r="F13302" s="1">
        <v>6.5882794274527198E-3</v>
      </c>
    </row>
    <row r="13303" spans="1:6" x14ac:dyDescent="0.25">
      <c r="A13303" s="2" t="str">
        <f t="shared" si="474"/>
        <v>12620</v>
      </c>
      <c r="B13303" s="2" t="str">
        <f>"04457"</f>
        <v>04457</v>
      </c>
      <c r="C13303" s="1">
        <v>4.0275299515676703E-2</v>
      </c>
      <c r="D13303" s="1">
        <v>3.5809906291833997E-2</v>
      </c>
      <c r="E13303" s="1">
        <v>2.48434237995824E-2</v>
      </c>
      <c r="F13303" s="1">
        <v>3.9095928630880503E-2</v>
      </c>
    </row>
    <row r="13304" spans="1:6" x14ac:dyDescent="0.25">
      <c r="A13304" s="2" t="str">
        <f t="shared" si="474"/>
        <v>12620</v>
      </c>
      <c r="B13304" s="2" t="str">
        <f>"04429"</f>
        <v>04429</v>
      </c>
      <c r="C13304" s="1">
        <v>1.9507090438305799E-2</v>
      </c>
      <c r="D13304" s="1">
        <v>1.0542168674698701E-2</v>
      </c>
      <c r="E13304" s="1">
        <v>5.2192066805845502E-3</v>
      </c>
      <c r="F13304" s="1">
        <v>1.8076738215537499E-2</v>
      </c>
    </row>
    <row r="13305" spans="1:6" x14ac:dyDescent="0.25">
      <c r="A13305" s="2" t="str">
        <f t="shared" si="474"/>
        <v>12620</v>
      </c>
      <c r="B13305" s="2" t="str">
        <f>"04422"</f>
        <v>04422</v>
      </c>
      <c r="C13305" s="1">
        <v>7.3386371869004598E-3</v>
      </c>
      <c r="D13305" s="1">
        <v>1.3386880856760301E-3</v>
      </c>
      <c r="E13305" s="1">
        <v>5.8455114822546896E-3</v>
      </c>
      <c r="F13305" s="1">
        <v>6.8344606871974002E-3</v>
      </c>
    </row>
    <row r="13306" spans="1:6" x14ac:dyDescent="0.25">
      <c r="A13306" s="2" t="str">
        <f t="shared" si="474"/>
        <v>12620</v>
      </c>
      <c r="B13306" s="2" t="str">
        <f>"04418"</f>
        <v>04418</v>
      </c>
      <c r="C13306" s="1">
        <v>1.0598763030441201E-2</v>
      </c>
      <c r="D13306" s="1">
        <v>6.6934404283801796E-4</v>
      </c>
      <c r="E13306" s="1">
        <v>1.46137787056367E-3</v>
      </c>
      <c r="F13306" s="1">
        <v>9.3900566216897404E-3</v>
      </c>
    </row>
    <row r="13307" spans="1:6" x14ac:dyDescent="0.25">
      <c r="A13307" s="2" t="str">
        <f t="shared" si="474"/>
        <v>12620</v>
      </c>
      <c r="B13307" s="2" t="str">
        <f>"04411"</f>
        <v>04411</v>
      </c>
      <c r="C13307" s="1">
        <v>6.8824878919194398E-3</v>
      </c>
      <c r="D13307" s="1">
        <v>8.3668005354752299E-4</v>
      </c>
      <c r="E13307" s="1">
        <v>3.7578288100208702E-3</v>
      </c>
      <c r="F13307" s="1">
        <v>6.2834835820545498E-3</v>
      </c>
    </row>
    <row r="13308" spans="1:6" x14ac:dyDescent="0.25">
      <c r="A13308" s="2" t="str">
        <f t="shared" si="474"/>
        <v>12620</v>
      </c>
      <c r="B13308" s="2" t="str">
        <f>"04412"</f>
        <v>04412</v>
      </c>
      <c r="C13308" s="1">
        <v>8.0657928277231394E-2</v>
      </c>
      <c r="D13308" s="1">
        <v>0.12416331994645199</v>
      </c>
      <c r="E13308" s="1">
        <v>0.115866388308977</v>
      </c>
      <c r="F13308" s="1">
        <v>8.5682801308277504E-2</v>
      </c>
    </row>
    <row r="13309" spans="1:6" x14ac:dyDescent="0.25">
      <c r="A13309" s="2" t="str">
        <f t="shared" si="474"/>
        <v>12620</v>
      </c>
      <c r="B13309" s="2" t="str">
        <f>"04939"</f>
        <v>04939</v>
      </c>
      <c r="C13309" s="1">
        <v>6.2385124166521302E-3</v>
      </c>
      <c r="D13309" s="1">
        <v>0</v>
      </c>
      <c r="E13309" s="1">
        <v>2.7139874739039601E-3</v>
      </c>
      <c r="F13309" s="1">
        <v>5.6035543884740196E-3</v>
      </c>
    </row>
    <row r="13310" spans="1:6" x14ac:dyDescent="0.25">
      <c r="A13310" s="2" t="str">
        <f t="shared" si="474"/>
        <v>12620</v>
      </c>
      <c r="B13310" s="2" t="str">
        <f>"04460"</f>
        <v>04460</v>
      </c>
      <c r="C13310" s="1">
        <v>7.1105625394099498E-3</v>
      </c>
      <c r="D13310" s="1">
        <v>2.34270414993306E-3</v>
      </c>
      <c r="E13310" s="1">
        <v>6.2630480167014601E-4</v>
      </c>
      <c r="F13310" s="1">
        <v>6.41243567049224E-3</v>
      </c>
    </row>
    <row r="13311" spans="1:6" x14ac:dyDescent="0.25">
      <c r="A13311" s="2" t="str">
        <f t="shared" si="474"/>
        <v>12620</v>
      </c>
      <c r="B13311" s="2" t="str">
        <f>"04453"</f>
        <v>04453</v>
      </c>
      <c r="C13311" s="1">
        <v>5.08472302346485E-3</v>
      </c>
      <c r="D13311" s="1">
        <v>1.00401606425702E-3</v>
      </c>
      <c r="E13311" s="1">
        <v>1.8789144050104299E-3</v>
      </c>
      <c r="F13311" s="1">
        <v>4.6188293494953203E-3</v>
      </c>
    </row>
    <row r="13312" spans="1:6" x14ac:dyDescent="0.25">
      <c r="A13312" s="2" t="str">
        <f t="shared" si="474"/>
        <v>12620</v>
      </c>
      <c r="B13312" s="2" t="str">
        <f>"04448"</f>
        <v>04448</v>
      </c>
      <c r="C13312" s="1">
        <v>4.50782832687121E-3</v>
      </c>
      <c r="D13312" s="1">
        <v>3.3467202141900898E-4</v>
      </c>
      <c r="E13312" s="1">
        <v>1.2526096033402901E-3</v>
      </c>
      <c r="F13312" s="1">
        <v>4.0326834929603804E-3</v>
      </c>
    </row>
    <row r="13313" spans="1:6" x14ac:dyDescent="0.25">
      <c r="A13313" s="2" t="str">
        <f t="shared" si="474"/>
        <v>12620</v>
      </c>
      <c r="B13313" s="2" t="str">
        <f>"04444"</f>
        <v>04444</v>
      </c>
      <c r="C13313" s="1">
        <v>5.3678039094677797E-2</v>
      </c>
      <c r="D13313" s="1">
        <v>3.12918340026773E-2</v>
      </c>
      <c r="E13313" s="1">
        <v>2.3173277661795399E-2</v>
      </c>
      <c r="F13313" s="1">
        <v>5.0396820744874102E-2</v>
      </c>
    </row>
    <row r="13314" spans="1:6" x14ac:dyDescent="0.25">
      <c r="A13314" s="2" t="str">
        <f t="shared" si="474"/>
        <v>12620</v>
      </c>
      <c r="B13314" s="2" t="str">
        <f>"04434"</f>
        <v>04434</v>
      </c>
      <c r="C13314" s="1">
        <v>7.0971463836752204E-3</v>
      </c>
      <c r="D13314" s="1">
        <v>1.3386880856760301E-3</v>
      </c>
      <c r="E13314" s="1">
        <v>1.46137787056367E-3</v>
      </c>
      <c r="F13314" s="1">
        <v>6.3772669191001401E-3</v>
      </c>
    </row>
    <row r="13315" spans="1:6" x14ac:dyDescent="0.25">
      <c r="A13315" s="2" t="str">
        <f t="shared" si="474"/>
        <v>12620</v>
      </c>
      <c r="B13315" s="2" t="str">
        <f>"04419"</f>
        <v>04419</v>
      </c>
      <c r="C13315" s="1">
        <v>1.65689523323986E-2</v>
      </c>
      <c r="D13315" s="1">
        <v>4.5180722891566202E-3</v>
      </c>
      <c r="E13315" s="1">
        <v>6.05427974947807E-3</v>
      </c>
      <c r="F13315" s="1">
        <v>1.51342860157321E-2</v>
      </c>
    </row>
    <row r="13316" spans="1:6" x14ac:dyDescent="0.25">
      <c r="A13316" s="2" t="str">
        <f t="shared" si="474"/>
        <v>12620</v>
      </c>
      <c r="B13316" s="2" t="str">
        <f>"04969"</f>
        <v>04969</v>
      </c>
      <c r="C13316" s="1">
        <v>7.7545380146772699E-3</v>
      </c>
      <c r="D13316" s="1">
        <v>1.8406961178045499E-3</v>
      </c>
      <c r="E13316" s="1">
        <v>6.2630480167014601E-4</v>
      </c>
      <c r="F13316" s="1">
        <v>6.9399669413736896E-3</v>
      </c>
    </row>
    <row r="13317" spans="1:6" x14ac:dyDescent="0.25">
      <c r="A13317" s="2" t="str">
        <f t="shared" si="474"/>
        <v>12620</v>
      </c>
      <c r="B13317" s="2" t="str">
        <f>"04765"</f>
        <v>04765</v>
      </c>
      <c r="C13317" s="1">
        <v>7.8216187933509498E-3</v>
      </c>
      <c r="D13317" s="1">
        <v>5.1874163319946404E-3</v>
      </c>
      <c r="E13317" s="1">
        <v>3.9665970772442497E-3</v>
      </c>
      <c r="F13317" s="1">
        <v>7.4206065437323401E-3</v>
      </c>
    </row>
    <row r="13318" spans="1:6" x14ac:dyDescent="0.25">
      <c r="A13318" s="2" t="str">
        <f t="shared" si="474"/>
        <v>12620</v>
      </c>
      <c r="B13318" s="2" t="str">
        <f>"04462"</f>
        <v>04462</v>
      </c>
      <c r="C13318" s="1">
        <v>4.0597287253310403E-2</v>
      </c>
      <c r="D13318" s="1">
        <v>3.3969210174029402E-2</v>
      </c>
      <c r="E13318" s="1">
        <v>3.6116910229645E-2</v>
      </c>
      <c r="F13318" s="1">
        <v>3.9881364078637301E-2</v>
      </c>
    </row>
    <row r="13319" spans="1:6" x14ac:dyDescent="0.25">
      <c r="A13319" s="2" t="str">
        <f t="shared" si="474"/>
        <v>12620</v>
      </c>
      <c r="B13319" s="2" t="str">
        <f>"04475"</f>
        <v>04475</v>
      </c>
      <c r="C13319" s="1">
        <v>2.1868333847619298E-3</v>
      </c>
      <c r="D13319" s="1">
        <v>5.0200803212851401E-4</v>
      </c>
      <c r="E13319" s="1">
        <v>8.3507306889352801E-4</v>
      </c>
      <c r="F13319" s="1">
        <v>1.9928959122187898E-3</v>
      </c>
    </row>
    <row r="13320" spans="1:6" x14ac:dyDescent="0.25">
      <c r="A13320" s="2" t="str">
        <f t="shared" si="474"/>
        <v>12620</v>
      </c>
      <c r="B13320" s="2" t="str">
        <f>"04469"</f>
        <v>04469</v>
      </c>
      <c r="C13320" s="1">
        <v>0</v>
      </c>
      <c r="D13320" s="1">
        <v>1.6900937081659899E-2</v>
      </c>
      <c r="E13320" s="1">
        <v>0</v>
      </c>
      <c r="F13320" s="1">
        <v>1.1840146302005701E-3</v>
      </c>
    </row>
    <row r="13321" spans="1:6" x14ac:dyDescent="0.25">
      <c r="A13321" s="2" t="str">
        <f t="shared" si="474"/>
        <v>12620</v>
      </c>
      <c r="B13321" s="2" t="str">
        <f>"04402"</f>
        <v>04402</v>
      </c>
      <c r="C13321" s="1">
        <v>2.0674295987227798E-2</v>
      </c>
      <c r="D13321" s="1">
        <v>6.5763052208835299E-2</v>
      </c>
      <c r="E13321" s="1">
        <v>2.08768267223382E-4</v>
      </c>
      <c r="F13321" s="1">
        <v>2.2683844647902102E-2</v>
      </c>
    </row>
    <row r="13322" spans="1:6" x14ac:dyDescent="0.25">
      <c r="A13322" s="2" t="str">
        <f t="shared" si="474"/>
        <v>12620</v>
      </c>
      <c r="B13322" s="2" t="str">
        <f>"04461"</f>
        <v>04461</v>
      </c>
      <c r="C13322" s="1">
        <v>1.4247957390289299E-2</v>
      </c>
      <c r="D13322" s="1">
        <v>2.34270414993306E-3</v>
      </c>
      <c r="E13322" s="1">
        <v>7.3068893528183696E-3</v>
      </c>
      <c r="F13322" s="1">
        <v>1.30241609322063E-2</v>
      </c>
    </row>
    <row r="13323" spans="1:6" x14ac:dyDescent="0.25">
      <c r="A13323" s="2" t="str">
        <f t="shared" si="474"/>
        <v>12620</v>
      </c>
      <c r="B13323" s="2" t="str">
        <f>"04474"</f>
        <v>04474</v>
      </c>
      <c r="C13323" s="1">
        <v>2.2794048593316001E-2</v>
      </c>
      <c r="D13323" s="1">
        <v>7.3627844712181997E-3</v>
      </c>
      <c r="E13323" s="1">
        <v>1.10647181628392E-2</v>
      </c>
      <c r="F13323" s="1">
        <v>2.1054359166734999E-2</v>
      </c>
    </row>
    <row r="13324" spans="1:6" x14ac:dyDescent="0.25">
      <c r="A13324" s="2" t="str">
        <f t="shared" si="474"/>
        <v>12620</v>
      </c>
      <c r="B13324" s="2" t="str">
        <f>"04473"</f>
        <v>04473</v>
      </c>
      <c r="C13324" s="1">
        <v>4.8083502153292899E-2</v>
      </c>
      <c r="D13324" s="1">
        <v>2.5602409638554199E-2</v>
      </c>
      <c r="E13324" s="1">
        <v>7.9331941544885098E-2</v>
      </c>
      <c r="F13324" s="1">
        <v>4.82632498270869E-2</v>
      </c>
    </row>
    <row r="13325" spans="1:6" x14ac:dyDescent="0.25">
      <c r="A13325" s="2" t="str">
        <f t="shared" si="474"/>
        <v>12620</v>
      </c>
      <c r="B13325" s="2" t="str">
        <f>"04468"</f>
        <v>04468</v>
      </c>
      <c r="C13325" s="1">
        <v>6.0775185478352999E-2</v>
      </c>
      <c r="D13325" s="1">
        <v>3.3132530120481903E-2</v>
      </c>
      <c r="E13325" s="1">
        <v>7.5782881002087604E-2</v>
      </c>
      <c r="F13325" s="1">
        <v>5.9681371112387603E-2</v>
      </c>
    </row>
    <row r="13326" spans="1:6" x14ac:dyDescent="0.25">
      <c r="A13326" s="2" t="str">
        <f t="shared" si="474"/>
        <v>12620</v>
      </c>
      <c r="B13326" s="2" t="str">
        <f>"04451"</f>
        <v>04451</v>
      </c>
      <c r="C13326" s="1">
        <v>1.56969022096408E-3</v>
      </c>
      <c r="D13326" s="1">
        <v>1.67336010709504E-4</v>
      </c>
      <c r="E13326" s="1">
        <v>4.1753653444676401E-4</v>
      </c>
      <c r="F13326" s="1">
        <v>1.4067500556838499E-3</v>
      </c>
    </row>
    <row r="13327" spans="1:6" x14ac:dyDescent="0.25">
      <c r="A13327" s="2" t="str">
        <f t="shared" si="474"/>
        <v>12620</v>
      </c>
      <c r="B13327" s="2" t="str">
        <f>"04435"</f>
        <v>04435</v>
      </c>
      <c r="C13327" s="1">
        <v>6.5605001542857902E-3</v>
      </c>
      <c r="D13327" s="1">
        <v>1.00401606425702E-3</v>
      </c>
      <c r="E13327" s="1">
        <v>2.08768267223382E-4</v>
      </c>
      <c r="F13327" s="1">
        <v>5.8145668968266001E-3</v>
      </c>
    </row>
    <row r="13328" spans="1:6" x14ac:dyDescent="0.25">
      <c r="A13328" s="2" t="str">
        <f t="shared" si="474"/>
        <v>12620</v>
      </c>
      <c r="B13328" s="2" t="str">
        <f>"04456"</f>
        <v>04456</v>
      </c>
      <c r="C13328" s="1">
        <v>1.5911560701396599E-2</v>
      </c>
      <c r="D13328" s="1">
        <v>1.6733601070950399E-3</v>
      </c>
      <c r="E13328" s="1">
        <v>8.76826722338204E-3</v>
      </c>
      <c r="F13328" s="1">
        <v>1.45129714078051E-2</v>
      </c>
    </row>
    <row r="13329" spans="1:6" x14ac:dyDescent="0.25">
      <c r="A13329" s="2" t="str">
        <f t="shared" si="474"/>
        <v>12620</v>
      </c>
      <c r="B13329" s="2" t="str">
        <f>"04427"</f>
        <v>04427</v>
      </c>
      <c r="C13329" s="1">
        <v>1.65689523323986E-2</v>
      </c>
      <c r="D13329" s="1">
        <v>4.3507362784471204E-3</v>
      </c>
      <c r="E13329" s="1">
        <v>1.08559498956158E-2</v>
      </c>
      <c r="F13329" s="1">
        <v>1.5392190192607499E-2</v>
      </c>
    </row>
    <row r="13330" spans="1:6" x14ac:dyDescent="0.25">
      <c r="A13330" s="2" t="str">
        <f t="shared" si="474"/>
        <v>12620</v>
      </c>
      <c r="B13330" s="2" t="str">
        <f>"04410"</f>
        <v>04410</v>
      </c>
      <c r="C13330" s="1">
        <v>7.5801279901257001E-3</v>
      </c>
      <c r="D13330" s="1">
        <v>1.00401606425702E-3</v>
      </c>
      <c r="E13330" s="1">
        <v>3.3402922755741099E-3</v>
      </c>
      <c r="F13330" s="1">
        <v>6.8813523557201897E-3</v>
      </c>
    </row>
    <row r="13331" spans="1:6" x14ac:dyDescent="0.25">
      <c r="A13331" s="2" t="str">
        <f t="shared" ref="A13331:A13348" si="475">"12620"</f>
        <v>12620</v>
      </c>
      <c r="B13331" s="2" t="str">
        <f>"04933"</f>
        <v>04933</v>
      </c>
      <c r="C13331" s="1">
        <v>1.34161557347357E-5</v>
      </c>
      <c r="D13331" s="1">
        <v>0</v>
      </c>
      <c r="E13331" s="1">
        <v>2.08768267223382E-4</v>
      </c>
      <c r="F13331" s="1">
        <v>2.3445834261397601E-5</v>
      </c>
    </row>
    <row r="13332" spans="1:6" x14ac:dyDescent="0.25">
      <c r="A13332" s="2" t="str">
        <f t="shared" si="475"/>
        <v>12620</v>
      </c>
      <c r="B13332" s="2" t="str">
        <f>"04489"</f>
        <v>04489</v>
      </c>
      <c r="C13332" s="1">
        <v>1.2879509505346299E-3</v>
      </c>
      <c r="D13332" s="1">
        <v>0</v>
      </c>
      <c r="E13332" s="1">
        <v>2.08768267223382E-4</v>
      </c>
      <c r="F13332" s="1">
        <v>1.1371229616777799E-3</v>
      </c>
    </row>
    <row r="13333" spans="1:6" x14ac:dyDescent="0.25">
      <c r="A13333" s="2" t="str">
        <f t="shared" si="475"/>
        <v>12620</v>
      </c>
      <c r="B13333" s="2" t="str">
        <f>"04493"</f>
        <v>04493</v>
      </c>
      <c r="C13333" s="1">
        <v>1.14573969974643E-2</v>
      </c>
      <c r="D13333" s="1">
        <v>2.1753681392235602E-3</v>
      </c>
      <c r="E13333" s="1">
        <v>3.3402922755741099E-3</v>
      </c>
      <c r="F13333" s="1">
        <v>1.0351335826407E-2</v>
      </c>
    </row>
    <row r="13334" spans="1:6" x14ac:dyDescent="0.25">
      <c r="A13334" s="2" t="str">
        <f t="shared" si="475"/>
        <v>12620</v>
      </c>
      <c r="B13334" s="2" t="str">
        <f>"04487"</f>
        <v>04487</v>
      </c>
      <c r="C13334" s="1">
        <v>7.8350349490856792E-3</v>
      </c>
      <c r="D13334" s="1">
        <v>1.8406961178045499E-3</v>
      </c>
      <c r="E13334" s="1">
        <v>4.1753653444676401E-4</v>
      </c>
      <c r="F13334" s="1">
        <v>6.99858152702718E-3</v>
      </c>
    </row>
    <row r="13335" spans="1:6" x14ac:dyDescent="0.25">
      <c r="A13335" s="2" t="str">
        <f t="shared" si="475"/>
        <v>12620</v>
      </c>
      <c r="B13335" s="2" t="str">
        <f>"04455"</f>
        <v>04455</v>
      </c>
      <c r="C13335" s="1">
        <v>4.82981606450487E-3</v>
      </c>
      <c r="D13335" s="1">
        <v>1.8406961178045499E-3</v>
      </c>
      <c r="E13335" s="1">
        <v>8.3507306889352801E-4</v>
      </c>
      <c r="F13335" s="1">
        <v>4.3960939240120503E-3</v>
      </c>
    </row>
    <row r="13336" spans="1:6" x14ac:dyDescent="0.25">
      <c r="A13336" s="2" t="str">
        <f t="shared" si="475"/>
        <v>12620</v>
      </c>
      <c r="B13336" s="2" t="str">
        <f>"04430"</f>
        <v>04430</v>
      </c>
      <c r="C13336" s="1">
        <v>1.14171485302601E-2</v>
      </c>
      <c r="D13336" s="1">
        <v>1.0207496653279699E-2</v>
      </c>
      <c r="E13336" s="1">
        <v>1.00208768267223E-2</v>
      </c>
      <c r="F13336" s="1">
        <v>1.1254000445470799E-2</v>
      </c>
    </row>
    <row r="13337" spans="1:6" x14ac:dyDescent="0.25">
      <c r="A13337" s="2" t="str">
        <f t="shared" si="475"/>
        <v>12620</v>
      </c>
      <c r="B13337" s="2" t="str">
        <f>"04417"</f>
        <v>04417</v>
      </c>
      <c r="C13337" s="1">
        <v>2.01242336021036E-3</v>
      </c>
      <c r="D13337" s="1">
        <v>0</v>
      </c>
      <c r="E13337" s="1">
        <v>2.08768267223382E-4</v>
      </c>
      <c r="F13337" s="1">
        <v>1.77016048673551E-3</v>
      </c>
    </row>
    <row r="13338" spans="1:6" x14ac:dyDescent="0.25">
      <c r="A13338" s="2" t="str">
        <f t="shared" si="475"/>
        <v>12620</v>
      </c>
      <c r="B13338" s="2" t="str">
        <f>"04932"</f>
        <v>04932</v>
      </c>
      <c r="C13338" s="1">
        <v>7.6740410802688501E-3</v>
      </c>
      <c r="D13338" s="1">
        <v>6.6934404283801796E-4</v>
      </c>
      <c r="E13338" s="1">
        <v>8.3507306889352801E-4</v>
      </c>
      <c r="F13338" s="1">
        <v>6.7992919358053003E-3</v>
      </c>
    </row>
    <row r="13339" spans="1:6" x14ac:dyDescent="0.25">
      <c r="A13339" s="2" t="str">
        <f t="shared" si="475"/>
        <v>12620</v>
      </c>
      <c r="B13339" s="2" t="str">
        <f>"04921"</f>
        <v>04921</v>
      </c>
      <c r="C13339" s="1">
        <v>2.6832311469471501E-5</v>
      </c>
      <c r="D13339" s="1">
        <v>0</v>
      </c>
      <c r="E13339" s="1">
        <v>0</v>
      </c>
      <c r="F13339" s="1">
        <v>2.3445834261397601E-5</v>
      </c>
    </row>
    <row r="13340" spans="1:6" x14ac:dyDescent="0.25">
      <c r="A13340" s="2" t="str">
        <f t="shared" si="475"/>
        <v>12620</v>
      </c>
      <c r="B13340" s="2" t="str">
        <f>"04777"</f>
        <v>04777</v>
      </c>
      <c r="C13340" s="1">
        <v>1.9990072044756202E-3</v>
      </c>
      <c r="D13340" s="1">
        <v>5.0200803212851401E-4</v>
      </c>
      <c r="E13340" s="1">
        <v>2.08768267223382E-4</v>
      </c>
      <c r="F13340" s="1">
        <v>1.7936063209969099E-3</v>
      </c>
    </row>
    <row r="13341" spans="1:6" x14ac:dyDescent="0.25">
      <c r="A13341" s="2" t="str">
        <f t="shared" si="475"/>
        <v>12620</v>
      </c>
      <c r="B13341" s="2" t="str">
        <f>"04733"</f>
        <v>04733</v>
      </c>
      <c r="C13341" s="1">
        <v>6.7080778673678801E-5</v>
      </c>
      <c r="D13341" s="1">
        <v>0</v>
      </c>
      <c r="E13341" s="1">
        <v>0</v>
      </c>
      <c r="F13341" s="1">
        <v>5.8614585653494001E-5</v>
      </c>
    </row>
    <row r="13342" spans="1:6" x14ac:dyDescent="0.25">
      <c r="A13342" s="2" t="str">
        <f t="shared" si="475"/>
        <v>12620</v>
      </c>
      <c r="B13342" s="2" t="str">
        <f>"04459"</f>
        <v>04459</v>
      </c>
      <c r="C13342" s="1">
        <v>3.5150328025007698E-3</v>
      </c>
      <c r="D13342" s="1">
        <v>5.0200803212851401E-4</v>
      </c>
      <c r="E13342" s="1">
        <v>3.5490605427974898E-3</v>
      </c>
      <c r="F13342" s="1">
        <v>3.3058626308570599E-3</v>
      </c>
    </row>
    <row r="13343" spans="1:6" x14ac:dyDescent="0.25">
      <c r="A13343" s="2" t="str">
        <f t="shared" si="475"/>
        <v>12620</v>
      </c>
      <c r="B13343" s="2" t="str">
        <f>"04450"</f>
        <v>04450</v>
      </c>
      <c r="C13343" s="1">
        <v>7.5398795229214997E-3</v>
      </c>
      <c r="D13343" s="1">
        <v>1.17135207496653E-3</v>
      </c>
      <c r="E13343" s="1">
        <v>1.67014613778705E-3</v>
      </c>
      <c r="F13343" s="1">
        <v>6.7641231844132003E-3</v>
      </c>
    </row>
    <row r="13344" spans="1:6" x14ac:dyDescent="0.25">
      <c r="A13344" s="2" t="str">
        <f t="shared" si="475"/>
        <v>12620</v>
      </c>
      <c r="B13344" s="2" t="str">
        <f>"04449"</f>
        <v>04449</v>
      </c>
      <c r="C13344" s="1">
        <v>8.3180165555361701E-3</v>
      </c>
      <c r="D13344" s="1">
        <v>1.00401606425702E-3</v>
      </c>
      <c r="E13344" s="1">
        <v>5.6367432150313101E-3</v>
      </c>
      <c r="F13344" s="1">
        <v>7.6550648863463102E-3</v>
      </c>
    </row>
    <row r="13345" spans="1:6" x14ac:dyDescent="0.25">
      <c r="A13345" s="2" t="str">
        <f t="shared" si="475"/>
        <v>12620</v>
      </c>
      <c r="B13345" s="2" t="str">
        <f>"04401"</f>
        <v>04401</v>
      </c>
      <c r="C13345" s="1">
        <v>0.29952909293370999</v>
      </c>
      <c r="D13345" s="1">
        <v>0.50184069611780402</v>
      </c>
      <c r="E13345" s="1">
        <v>0.46638830897703498</v>
      </c>
      <c r="F13345" s="1">
        <v>0.32307187320492797</v>
      </c>
    </row>
    <row r="13346" spans="1:6" x14ac:dyDescent="0.25">
      <c r="A13346" s="2" t="str">
        <f t="shared" si="475"/>
        <v>12620</v>
      </c>
      <c r="B13346" s="2" t="str">
        <f>"04953"</f>
        <v>04953</v>
      </c>
      <c r="C13346" s="1">
        <v>2.2700135503172899E-2</v>
      </c>
      <c r="D13346" s="1">
        <v>2.81124497991967E-2</v>
      </c>
      <c r="E13346" s="1">
        <v>2.7557411273486401E-2</v>
      </c>
      <c r="F13346" s="1">
        <v>2.3352050924352E-2</v>
      </c>
    </row>
    <row r="13347" spans="1:6" x14ac:dyDescent="0.25">
      <c r="A13347" s="2" t="str">
        <f t="shared" si="475"/>
        <v>12620</v>
      </c>
      <c r="B13347" s="2" t="str">
        <f>"04928"</f>
        <v>04928</v>
      </c>
      <c r="C13347" s="1">
        <v>1.37381434723694E-2</v>
      </c>
      <c r="D13347" s="1">
        <v>4.1834002677376102E-3</v>
      </c>
      <c r="E13347" s="1">
        <v>4.38413361169102E-3</v>
      </c>
      <c r="F13347" s="1">
        <v>1.25435213298477E-2</v>
      </c>
    </row>
    <row r="13348" spans="1:6" x14ac:dyDescent="0.25">
      <c r="A13348" s="2" t="str">
        <f t="shared" si="475"/>
        <v>12620</v>
      </c>
      <c r="B13348" s="2" t="str">
        <f>"04428"</f>
        <v>04428</v>
      </c>
      <c r="C13348" s="1">
        <v>1.9681500462857299E-2</v>
      </c>
      <c r="D13348" s="1">
        <v>4.1834002677376102E-3</v>
      </c>
      <c r="E13348" s="1">
        <v>1.04384133611691E-2</v>
      </c>
      <c r="F13348" s="1">
        <v>1.8076738215537499E-2</v>
      </c>
    </row>
    <row r="13349" spans="1:6" x14ac:dyDescent="0.25">
      <c r="A13349" s="2" t="str">
        <f t="shared" ref="A13349:A13380" si="476">"10900"</f>
        <v>10900</v>
      </c>
      <c r="B13349" s="2" t="str">
        <f>"19530"</f>
        <v>19530</v>
      </c>
      <c r="C13349" s="1">
        <v>1.1135827723137101E-3</v>
      </c>
      <c r="D13349" s="1">
        <v>8.1970012637043595E-4</v>
      </c>
      <c r="E13349" s="1">
        <v>6.9060773480662905E-4</v>
      </c>
      <c r="F13349" s="1">
        <v>1.07702645386657E-3</v>
      </c>
    </row>
    <row r="13350" spans="1:6" x14ac:dyDescent="0.25">
      <c r="A13350" s="2" t="str">
        <f t="shared" si="476"/>
        <v>10900</v>
      </c>
      <c r="B13350" s="2" t="str">
        <f>"19529"</f>
        <v>19529</v>
      </c>
      <c r="C13350" s="1">
        <v>1.48744749203534E-3</v>
      </c>
      <c r="D13350" s="1">
        <v>5.1231257898152202E-4</v>
      </c>
      <c r="E13350" s="1">
        <v>1.2556504269211401E-4</v>
      </c>
      <c r="F13350" s="1">
        <v>1.36772828433498E-3</v>
      </c>
    </row>
    <row r="13351" spans="1:6" x14ac:dyDescent="0.25">
      <c r="A13351" s="2" t="str">
        <f t="shared" si="476"/>
        <v>10900</v>
      </c>
      <c r="B13351" s="2" t="str">
        <f>"18252"</f>
        <v>18252</v>
      </c>
      <c r="C13351" s="1">
        <v>1.0681849134903701E-5</v>
      </c>
      <c r="D13351" s="1">
        <v>0</v>
      </c>
      <c r="E13351" s="1">
        <v>0</v>
      </c>
      <c r="F13351" s="1">
        <v>9.5312075563413502E-6</v>
      </c>
    </row>
    <row r="13352" spans="1:6" x14ac:dyDescent="0.25">
      <c r="A13352" s="2" t="str">
        <f t="shared" si="476"/>
        <v>10900</v>
      </c>
      <c r="B13352" s="2" t="str">
        <f>"18043"</f>
        <v>18043</v>
      </c>
      <c r="C13352" s="1">
        <v>3.08438393770345E-3</v>
      </c>
      <c r="D13352" s="1">
        <v>6.6259093548276899E-3</v>
      </c>
      <c r="E13352" s="1">
        <v>6.2782521346057196E-5</v>
      </c>
      <c r="F13352" s="1">
        <v>3.2167825502651998E-3</v>
      </c>
    </row>
    <row r="13353" spans="1:6" x14ac:dyDescent="0.25">
      <c r="A13353" s="2" t="str">
        <f t="shared" si="476"/>
        <v>10900</v>
      </c>
      <c r="B13353" s="2" t="str">
        <f>"18230"</f>
        <v>18230</v>
      </c>
      <c r="C13353" s="1">
        <v>2.6704622837259299E-6</v>
      </c>
      <c r="D13353" s="1">
        <v>3.4154171932101503E-5</v>
      </c>
      <c r="E13353" s="1">
        <v>0</v>
      </c>
      <c r="F13353" s="1">
        <v>4.76560377817067E-6</v>
      </c>
    </row>
    <row r="13354" spans="1:6" x14ac:dyDescent="0.25">
      <c r="A13354" s="2" t="str">
        <f t="shared" si="476"/>
        <v>10900</v>
      </c>
      <c r="B13354" s="2" t="str">
        <f>"18088"</f>
        <v>18088</v>
      </c>
      <c r="C13354" s="1">
        <v>1.0364064123140299E-2</v>
      </c>
      <c r="D13354" s="1">
        <v>5.08897161788312E-3</v>
      </c>
      <c r="E13354" s="1">
        <v>2.2601707684580599E-3</v>
      </c>
      <c r="F13354" s="1">
        <v>9.68847248102098E-3</v>
      </c>
    </row>
    <row r="13355" spans="1:6" x14ac:dyDescent="0.25">
      <c r="A13355" s="2" t="str">
        <f t="shared" si="476"/>
        <v>10900</v>
      </c>
      <c r="B13355" s="2" t="str">
        <f>"18083"</f>
        <v>18083</v>
      </c>
      <c r="C13355" s="1">
        <v>1.7544937204079299E-3</v>
      </c>
      <c r="D13355" s="1">
        <v>2.3566378633150002E-3</v>
      </c>
      <c r="E13355" s="1">
        <v>1.8834756403817099E-4</v>
      </c>
      <c r="F13355" s="1">
        <v>1.7370625771432099E-3</v>
      </c>
    </row>
    <row r="13356" spans="1:6" x14ac:dyDescent="0.25">
      <c r="A13356" s="2" t="str">
        <f t="shared" si="476"/>
        <v>10900</v>
      </c>
      <c r="B13356" s="2" t="str">
        <f>"18011"</f>
        <v>18011</v>
      </c>
      <c r="C13356" s="1">
        <v>4.3021147390824802E-3</v>
      </c>
      <c r="D13356" s="1">
        <v>1.9467878001297801E-3</v>
      </c>
      <c r="E13356" s="1">
        <v>1.4439979909593101E-3</v>
      </c>
      <c r="F13356" s="1">
        <v>4.0293179944433004E-3</v>
      </c>
    </row>
    <row r="13357" spans="1:6" x14ac:dyDescent="0.25">
      <c r="A13357" s="2" t="str">
        <f t="shared" si="476"/>
        <v>10900</v>
      </c>
      <c r="B13357" s="2" t="str">
        <f>"18013"</f>
        <v>18013</v>
      </c>
      <c r="C13357" s="1">
        <v>2.08776741341693E-2</v>
      </c>
      <c r="D13357" s="1">
        <v>1.32518187096553E-2</v>
      </c>
      <c r="E13357" s="1">
        <v>1.1677548970366601E-2</v>
      </c>
      <c r="F13357" s="1">
        <v>1.99964734532041E-2</v>
      </c>
    </row>
    <row r="13358" spans="1:6" x14ac:dyDescent="0.25">
      <c r="A13358" s="2" t="str">
        <f t="shared" si="476"/>
        <v>10900</v>
      </c>
      <c r="B13358" s="2" t="str">
        <f>"08808"</f>
        <v>08808</v>
      </c>
      <c r="C13358" s="1">
        <v>0</v>
      </c>
      <c r="D13358" s="1">
        <v>3.4154171932101503E-5</v>
      </c>
      <c r="E13358" s="1">
        <v>0</v>
      </c>
      <c r="F13358" s="1">
        <v>2.3828018890853299E-6</v>
      </c>
    </row>
    <row r="13359" spans="1:6" x14ac:dyDescent="0.25">
      <c r="A13359" s="2" t="str">
        <f t="shared" si="476"/>
        <v>10900</v>
      </c>
      <c r="B13359" s="2" t="str">
        <f>"07846"</f>
        <v>07846</v>
      </c>
      <c r="C13359" s="1">
        <v>0</v>
      </c>
      <c r="D13359" s="1">
        <v>1.0246251579630401E-4</v>
      </c>
      <c r="E13359" s="1">
        <v>6.2782521346057196E-5</v>
      </c>
      <c r="F13359" s="1">
        <v>9.5312075563413502E-6</v>
      </c>
    </row>
    <row r="13360" spans="1:6" x14ac:dyDescent="0.25">
      <c r="A13360" s="2" t="str">
        <f t="shared" si="476"/>
        <v>10900</v>
      </c>
      <c r="B13360" s="2" t="str">
        <f>"07821"</f>
        <v>07821</v>
      </c>
      <c r="C13360" s="1">
        <v>7.4772943944326198E-4</v>
      </c>
      <c r="D13360" s="1">
        <v>1.3661668772840601E-4</v>
      </c>
      <c r="E13360" s="1">
        <v>1.8834756403817099E-4</v>
      </c>
      <c r="F13360" s="1">
        <v>6.8386414216749095E-4</v>
      </c>
    </row>
    <row r="13361" spans="1:6" x14ac:dyDescent="0.25">
      <c r="A13361" s="2" t="str">
        <f t="shared" si="476"/>
        <v>10900</v>
      </c>
      <c r="B13361" s="2" t="str">
        <f>"07832"</f>
        <v>07832</v>
      </c>
      <c r="C13361" s="1">
        <v>3.89887493423986E-3</v>
      </c>
      <c r="D13361" s="1">
        <v>1.67355442467297E-3</v>
      </c>
      <c r="E13361" s="1">
        <v>2.1973882471119999E-3</v>
      </c>
      <c r="F13361" s="1">
        <v>3.6790461167477599E-3</v>
      </c>
    </row>
    <row r="13362" spans="1:6" x14ac:dyDescent="0.25">
      <c r="A13362" s="2" t="str">
        <f t="shared" si="476"/>
        <v>10900</v>
      </c>
      <c r="B13362" s="2" t="str">
        <f>"18254"</f>
        <v>18254</v>
      </c>
      <c r="C13362" s="1">
        <v>1.2017080276766701E-3</v>
      </c>
      <c r="D13362" s="1">
        <v>5.1231257898152202E-4</v>
      </c>
      <c r="E13362" s="1">
        <v>6.2782521346057196E-5</v>
      </c>
      <c r="F13362" s="1">
        <v>1.1103856803137599E-3</v>
      </c>
    </row>
    <row r="13363" spans="1:6" x14ac:dyDescent="0.25">
      <c r="A13363" s="2" t="str">
        <f t="shared" si="476"/>
        <v>10900</v>
      </c>
      <c r="B13363" s="2" t="str">
        <f>"18035"</f>
        <v>18035</v>
      </c>
      <c r="C13363" s="1">
        <v>2.0295513356317099E-4</v>
      </c>
      <c r="D13363" s="1">
        <v>1.0246251579630401E-4</v>
      </c>
      <c r="E13363" s="1">
        <v>0</v>
      </c>
      <c r="F13363" s="1">
        <v>1.8824134923774101E-4</v>
      </c>
    </row>
    <row r="13364" spans="1:6" x14ac:dyDescent="0.25">
      <c r="A13364" s="2" t="str">
        <f t="shared" si="476"/>
        <v>10900</v>
      </c>
      <c r="B13364" s="2" t="str">
        <f>"18040"</f>
        <v>18040</v>
      </c>
      <c r="C13364" s="1">
        <v>1.91338622628963E-2</v>
      </c>
      <c r="D13364" s="1">
        <v>9.7339390006489206E-3</v>
      </c>
      <c r="E13364" s="1">
        <v>3.5786037167252599E-3</v>
      </c>
      <c r="F13364" s="1">
        <v>1.7887693781363598E-2</v>
      </c>
    </row>
    <row r="13365" spans="1:6" x14ac:dyDescent="0.25">
      <c r="A13365" s="2" t="str">
        <f t="shared" si="476"/>
        <v>10900</v>
      </c>
      <c r="B13365" s="2" t="str">
        <f>"18032"</f>
        <v>18032</v>
      </c>
      <c r="C13365" s="1">
        <v>1.08714519570482E-2</v>
      </c>
      <c r="D13365" s="1">
        <v>6.5576010109634798E-3</v>
      </c>
      <c r="E13365" s="1">
        <v>1.34354595680562E-2</v>
      </c>
      <c r="F13365" s="1">
        <v>1.0667804057435001E-2</v>
      </c>
    </row>
    <row r="13366" spans="1:6" x14ac:dyDescent="0.25">
      <c r="A13366" s="2" t="str">
        <f t="shared" si="476"/>
        <v>10900</v>
      </c>
      <c r="B13366" s="2" t="str">
        <f>"18017"</f>
        <v>18017</v>
      </c>
      <c r="C13366" s="1">
        <v>4.5451268069015401E-2</v>
      </c>
      <c r="D13366" s="1">
        <v>4.60739779364049E-2</v>
      </c>
      <c r="E13366" s="1">
        <v>2.6808136614766401E-2</v>
      </c>
      <c r="F13366" s="1">
        <v>4.4787144307247999E-2</v>
      </c>
    </row>
    <row r="13367" spans="1:6" x14ac:dyDescent="0.25">
      <c r="A13367" s="2" t="str">
        <f t="shared" si="476"/>
        <v>10900</v>
      </c>
      <c r="B13367" s="2" t="str">
        <f>"18014"</f>
        <v>18014</v>
      </c>
      <c r="C13367" s="1">
        <v>1.35606074767603E-2</v>
      </c>
      <c r="D13367" s="1">
        <v>1.15441101130503E-2</v>
      </c>
      <c r="E13367" s="1">
        <v>6.9688598694123503E-3</v>
      </c>
      <c r="F13367" s="1">
        <v>1.31697460409746E-2</v>
      </c>
    </row>
    <row r="13368" spans="1:6" x14ac:dyDescent="0.25">
      <c r="A13368" s="2" t="str">
        <f t="shared" si="476"/>
        <v>10900</v>
      </c>
      <c r="B13368" s="2" t="str">
        <f>"18079"</f>
        <v>18079</v>
      </c>
      <c r="C13368" s="1">
        <v>3.9522841799143798E-4</v>
      </c>
      <c r="D13368" s="1">
        <v>1.0246251579630401E-4</v>
      </c>
      <c r="E13368" s="1">
        <v>6.2782521346057196E-5</v>
      </c>
      <c r="F13368" s="1">
        <v>3.6218588714097098E-4</v>
      </c>
    </row>
    <row r="13369" spans="1:6" x14ac:dyDescent="0.25">
      <c r="A13369" s="2" t="str">
        <f t="shared" si="476"/>
        <v>10900</v>
      </c>
      <c r="B13369" s="2" t="str">
        <f>"18068"</f>
        <v>18068</v>
      </c>
      <c r="C13369" s="1">
        <v>0</v>
      </c>
      <c r="D13369" s="1">
        <v>3.4154171932101503E-5</v>
      </c>
      <c r="E13369" s="1">
        <v>0</v>
      </c>
      <c r="F13369" s="1">
        <v>2.3828018890853299E-6</v>
      </c>
    </row>
    <row r="13370" spans="1:6" x14ac:dyDescent="0.25">
      <c r="A13370" s="2" t="str">
        <f t="shared" si="476"/>
        <v>10900</v>
      </c>
      <c r="B13370" s="2" t="str">
        <f>"18092"</f>
        <v>18092</v>
      </c>
      <c r="C13370" s="1">
        <v>3.1431341079454201E-3</v>
      </c>
      <c r="D13370" s="1">
        <v>7.51391782506233E-4</v>
      </c>
      <c r="E13370" s="1">
        <v>6.2782521346057196E-4</v>
      </c>
      <c r="F13370" s="1">
        <v>2.8808074839041702E-3</v>
      </c>
    </row>
    <row r="13371" spans="1:6" x14ac:dyDescent="0.25">
      <c r="A13371" s="2" t="str">
        <f t="shared" si="476"/>
        <v>10900</v>
      </c>
      <c r="B13371" s="2" t="str">
        <f>"18104"</f>
        <v>18104</v>
      </c>
      <c r="C13371" s="1">
        <v>5.1777593219162102E-2</v>
      </c>
      <c r="D13371" s="1">
        <v>5.0787253663034902E-2</v>
      </c>
      <c r="E13371" s="1">
        <v>4.5956805625313901E-2</v>
      </c>
      <c r="F13371" s="1">
        <v>5.1487583219355898E-2</v>
      </c>
    </row>
    <row r="13372" spans="1:6" x14ac:dyDescent="0.25">
      <c r="A13372" s="2" t="str">
        <f t="shared" si="476"/>
        <v>10900</v>
      </c>
      <c r="B13372" s="2" t="str">
        <f>"18002"</f>
        <v>18002</v>
      </c>
      <c r="C13372" s="1">
        <v>3.5143283653833301E-3</v>
      </c>
      <c r="D13372" s="1">
        <v>1.34567437412479E-2</v>
      </c>
      <c r="E13372" s="1">
        <v>1.8834756403817099E-4</v>
      </c>
      <c r="F13372" s="1">
        <v>4.0817396360031798E-3</v>
      </c>
    </row>
    <row r="13373" spans="1:6" x14ac:dyDescent="0.25">
      <c r="A13373" s="2" t="str">
        <f t="shared" si="476"/>
        <v>10900</v>
      </c>
      <c r="B13373" s="2" t="str">
        <f>"18046"</f>
        <v>18046</v>
      </c>
      <c r="C13373" s="1">
        <v>2.6704622837259299E-6</v>
      </c>
      <c r="D13373" s="1">
        <v>3.4154171932101503E-5</v>
      </c>
      <c r="E13373" s="1">
        <v>0</v>
      </c>
      <c r="F13373" s="1">
        <v>4.76560377817067E-6</v>
      </c>
    </row>
    <row r="13374" spans="1:6" x14ac:dyDescent="0.25">
      <c r="A13374" s="2" t="str">
        <f t="shared" si="476"/>
        <v>10900</v>
      </c>
      <c r="B13374" s="2" t="str">
        <f>"18045"</f>
        <v>18045</v>
      </c>
      <c r="C13374" s="1">
        <v>3.4002996258682298E-2</v>
      </c>
      <c r="D13374" s="1">
        <v>2.8621196079101002E-2</v>
      </c>
      <c r="E13374" s="1">
        <v>1.26820693119035E-2</v>
      </c>
      <c r="F13374" s="1">
        <v>3.2818330418372302E-2</v>
      </c>
    </row>
    <row r="13375" spans="1:6" x14ac:dyDescent="0.25">
      <c r="A13375" s="2" t="str">
        <f t="shared" si="476"/>
        <v>10900</v>
      </c>
      <c r="B13375" s="2" t="str">
        <f>"08802"</f>
        <v>08802</v>
      </c>
      <c r="C13375" s="1">
        <v>1.2524468110674601E-3</v>
      </c>
      <c r="D13375" s="1">
        <v>3.4154171932101503E-4</v>
      </c>
      <c r="E13375" s="1">
        <v>6.2782521346057196E-5</v>
      </c>
      <c r="F13375" s="1">
        <v>1.1437449067609601E-3</v>
      </c>
    </row>
    <row r="13376" spans="1:6" x14ac:dyDescent="0.25">
      <c r="A13376" s="2" t="str">
        <f t="shared" si="476"/>
        <v>10900</v>
      </c>
      <c r="B13376" s="2" t="str">
        <f>"08848"</f>
        <v>08848</v>
      </c>
      <c r="C13376" s="1">
        <v>7.4772943944326195E-5</v>
      </c>
      <c r="D13376" s="1">
        <v>3.4154171932101503E-5</v>
      </c>
      <c r="E13376" s="1">
        <v>0</v>
      </c>
      <c r="F13376" s="1">
        <v>6.9101254783474701E-5</v>
      </c>
    </row>
    <row r="13377" spans="1:6" x14ac:dyDescent="0.25">
      <c r="A13377" s="2" t="str">
        <f t="shared" si="476"/>
        <v>10900</v>
      </c>
      <c r="B13377" s="2" t="str">
        <f>"08827"</f>
        <v>08827</v>
      </c>
      <c r="C13377" s="1">
        <v>2.8840992664240099E-4</v>
      </c>
      <c r="D13377" s="1">
        <v>7.51391782506233E-4</v>
      </c>
      <c r="E13377" s="1">
        <v>1.8834756403817099E-4</v>
      </c>
      <c r="F13377" s="1">
        <v>3.1691265124834901E-4</v>
      </c>
    </row>
    <row r="13378" spans="1:6" x14ac:dyDescent="0.25">
      <c r="A13378" s="2" t="str">
        <f t="shared" si="476"/>
        <v>10900</v>
      </c>
      <c r="B13378" s="2" t="str">
        <f>"07882"</f>
        <v>07882</v>
      </c>
      <c r="C13378" s="1">
        <v>1.59960690795183E-2</v>
      </c>
      <c r="D13378" s="1">
        <v>1.8443252843334802E-2</v>
      </c>
      <c r="E13378" s="1">
        <v>2.05926670015067E-2</v>
      </c>
      <c r="F13378" s="1">
        <v>1.6341255355347199E-2</v>
      </c>
    </row>
    <row r="13379" spans="1:6" x14ac:dyDescent="0.25">
      <c r="A13379" s="2" t="str">
        <f t="shared" si="476"/>
        <v>10900</v>
      </c>
      <c r="B13379" s="2" t="str">
        <f>"19539"</f>
        <v>19539</v>
      </c>
      <c r="C13379" s="1">
        <v>1.14829878200215E-4</v>
      </c>
      <c r="D13379" s="1">
        <v>0</v>
      </c>
      <c r="E13379" s="1">
        <v>0</v>
      </c>
      <c r="F13379" s="1">
        <v>1.0246048123066899E-4</v>
      </c>
    </row>
    <row r="13380" spans="1:6" x14ac:dyDescent="0.25">
      <c r="A13380" s="2" t="str">
        <f t="shared" si="476"/>
        <v>10900</v>
      </c>
      <c r="B13380" s="2" t="str">
        <f>"18951"</f>
        <v>18951</v>
      </c>
      <c r="C13380" s="1">
        <v>6.94320193768743E-5</v>
      </c>
      <c r="D13380" s="1">
        <v>0</v>
      </c>
      <c r="E13380" s="1">
        <v>0</v>
      </c>
      <c r="F13380" s="1">
        <v>6.1952849116218695E-5</v>
      </c>
    </row>
    <row r="13381" spans="1:6" x14ac:dyDescent="0.25">
      <c r="A13381" s="2" t="str">
        <f t="shared" ref="A13381:A13412" si="477">"10900"</f>
        <v>10900</v>
      </c>
      <c r="B13381" s="2" t="str">
        <f>"18044"</f>
        <v>18044</v>
      </c>
      <c r="C13381" s="1">
        <v>3.2499525992944599E-3</v>
      </c>
      <c r="D13381" s="1">
        <v>6.1819051197103698E-3</v>
      </c>
      <c r="E13381" s="1">
        <v>6.2782521346057196E-5</v>
      </c>
      <c r="F13381" s="1">
        <v>3.3335398428303801E-3</v>
      </c>
    </row>
    <row r="13382" spans="1:6" x14ac:dyDescent="0.25">
      <c r="A13382" s="2" t="str">
        <f t="shared" si="477"/>
        <v>10900</v>
      </c>
      <c r="B13382" s="2" t="str">
        <f>"18034"</f>
        <v>18034</v>
      </c>
      <c r="C13382" s="1">
        <v>9.7658805715857399E-3</v>
      </c>
      <c r="D13382" s="1">
        <v>1.0690255814747701E-2</v>
      </c>
      <c r="E13382" s="1">
        <v>3.76695128076343E-3</v>
      </c>
      <c r="F13382" s="1">
        <v>9.6026916130139105E-3</v>
      </c>
    </row>
    <row r="13383" spans="1:6" x14ac:dyDescent="0.25">
      <c r="A13383" s="2" t="str">
        <f t="shared" si="477"/>
        <v>10900</v>
      </c>
      <c r="B13383" s="2" t="str">
        <f>"18020"</f>
        <v>18020</v>
      </c>
      <c r="C13383" s="1">
        <v>2.2164836954925202E-2</v>
      </c>
      <c r="D13383" s="1">
        <v>2.2439290959390599E-2</v>
      </c>
      <c r="E13383" s="1">
        <v>1.3812154696132501E-2</v>
      </c>
      <c r="F13383" s="1">
        <v>2.1866972936136101E-2</v>
      </c>
    </row>
    <row r="13384" spans="1:6" x14ac:dyDescent="0.25">
      <c r="A13384" s="2" t="str">
        <f t="shared" si="477"/>
        <v>10900</v>
      </c>
      <c r="B13384" s="2" t="str">
        <f>"18195"</f>
        <v>18195</v>
      </c>
      <c r="C13384" s="1">
        <v>0</v>
      </c>
      <c r="D13384" s="1">
        <v>2.4591003791113002E-3</v>
      </c>
      <c r="E13384" s="1">
        <v>4.3947764942239999E-4</v>
      </c>
      <c r="F13384" s="1">
        <v>1.8824134923774101E-4</v>
      </c>
    </row>
    <row r="13385" spans="1:6" x14ac:dyDescent="0.25">
      <c r="A13385" s="2" t="str">
        <f t="shared" si="477"/>
        <v>10900</v>
      </c>
      <c r="B13385" s="2" t="str">
        <f>"18201"</f>
        <v>18201</v>
      </c>
      <c r="C13385" s="1">
        <v>1.78920973009637E-4</v>
      </c>
      <c r="D13385" s="1">
        <v>2.0492503159260899E-4</v>
      </c>
      <c r="E13385" s="1">
        <v>0</v>
      </c>
      <c r="F13385" s="1">
        <v>1.73944537903229E-4</v>
      </c>
    </row>
    <row r="13386" spans="1:6" x14ac:dyDescent="0.25">
      <c r="A13386" s="2" t="str">
        <f t="shared" si="477"/>
        <v>10900</v>
      </c>
      <c r="B13386" s="2" t="str">
        <f>"18212"</f>
        <v>18212</v>
      </c>
      <c r="C13386" s="1">
        <v>0</v>
      </c>
      <c r="D13386" s="1">
        <v>0</v>
      </c>
      <c r="E13386" s="1">
        <v>6.2782521346057196E-5</v>
      </c>
      <c r="F13386" s="1">
        <v>2.3828018890853299E-6</v>
      </c>
    </row>
    <row r="13387" spans="1:6" x14ac:dyDescent="0.25">
      <c r="A13387" s="2" t="str">
        <f t="shared" si="477"/>
        <v>10900</v>
      </c>
      <c r="B13387" s="2" t="str">
        <f>"18229"</f>
        <v>18229</v>
      </c>
      <c r="C13387" s="1">
        <v>1.2097194145278401E-2</v>
      </c>
      <c r="D13387" s="1">
        <v>1.10659517060008E-2</v>
      </c>
      <c r="E13387" s="1">
        <v>8.3500753390256099E-3</v>
      </c>
      <c r="F13387" s="1">
        <v>1.1883033020868501E-2</v>
      </c>
    </row>
    <row r="13388" spans="1:6" x14ac:dyDescent="0.25">
      <c r="A13388" s="2" t="str">
        <f t="shared" si="477"/>
        <v>10900</v>
      </c>
      <c r="B13388" s="2" t="str">
        <f>"18091"</f>
        <v>18091</v>
      </c>
      <c r="C13388" s="1">
        <v>6.7963265120824998E-3</v>
      </c>
      <c r="D13388" s="1">
        <v>8.9142388742784896E-3</v>
      </c>
      <c r="E13388" s="1">
        <v>3.82973380210949E-3</v>
      </c>
      <c r="F13388" s="1">
        <v>6.8314930160076597E-3</v>
      </c>
    </row>
    <row r="13389" spans="1:6" x14ac:dyDescent="0.25">
      <c r="A13389" s="2" t="str">
        <f t="shared" si="477"/>
        <v>10900</v>
      </c>
      <c r="B13389" s="2" t="str">
        <f>"18080"</f>
        <v>18080</v>
      </c>
      <c r="C13389" s="1">
        <v>1.3787596770877E-2</v>
      </c>
      <c r="D13389" s="1">
        <v>5.6354383687967401E-3</v>
      </c>
      <c r="E13389" s="1">
        <v>1.098694123556E-2</v>
      </c>
      <c r="F13389" s="1">
        <v>1.31125587956366E-2</v>
      </c>
    </row>
    <row r="13390" spans="1:6" x14ac:dyDescent="0.25">
      <c r="A13390" s="2" t="str">
        <f t="shared" si="477"/>
        <v>10900</v>
      </c>
      <c r="B13390" s="2" t="str">
        <f>"18071"</f>
        <v>18071</v>
      </c>
      <c r="C13390" s="1">
        <v>1.25244681106746E-2</v>
      </c>
      <c r="D13390" s="1">
        <v>9.49485979712421E-3</v>
      </c>
      <c r="E13390" s="1">
        <v>1.03591160220994E-2</v>
      </c>
      <c r="F13390" s="1">
        <v>1.2230922096675E-2</v>
      </c>
    </row>
    <row r="13391" spans="1:6" x14ac:dyDescent="0.25">
      <c r="A13391" s="2" t="str">
        <f t="shared" si="477"/>
        <v>10900</v>
      </c>
      <c r="B13391" s="2" t="str">
        <f>"18067"</f>
        <v>18067</v>
      </c>
      <c r="C13391" s="1">
        <v>2.2990009800596501E-2</v>
      </c>
      <c r="D13391" s="1">
        <v>1.22271935516923E-2</v>
      </c>
      <c r="E13391" s="1">
        <v>1.8206931190356601E-2</v>
      </c>
      <c r="F13391" s="1">
        <v>2.20575970872629E-2</v>
      </c>
    </row>
    <row r="13392" spans="1:6" x14ac:dyDescent="0.25">
      <c r="A13392" s="2" t="str">
        <f t="shared" si="477"/>
        <v>10900</v>
      </c>
      <c r="B13392" s="2" t="str">
        <f>"07874"</f>
        <v>07874</v>
      </c>
      <c r="C13392" s="1">
        <v>8.5454793079229905E-5</v>
      </c>
      <c r="D13392" s="1">
        <v>0</v>
      </c>
      <c r="E13392" s="1">
        <v>0</v>
      </c>
      <c r="F13392" s="1">
        <v>7.6249660450730802E-5</v>
      </c>
    </row>
    <row r="13393" spans="1:6" x14ac:dyDescent="0.25">
      <c r="A13393" s="2" t="str">
        <f t="shared" si="477"/>
        <v>10900</v>
      </c>
      <c r="B13393" s="2" t="str">
        <f>"07863"</f>
        <v>07863</v>
      </c>
      <c r="C13393" s="1">
        <v>4.6012065148597799E-3</v>
      </c>
      <c r="D13393" s="1">
        <v>2.4591003791113002E-3</v>
      </c>
      <c r="E13393" s="1">
        <v>1.88347564038171E-3</v>
      </c>
      <c r="F13393" s="1">
        <v>4.3486134475807401E-3</v>
      </c>
    </row>
    <row r="13394" spans="1:6" x14ac:dyDescent="0.25">
      <c r="A13394" s="2" t="str">
        <f t="shared" si="477"/>
        <v>10900</v>
      </c>
      <c r="B13394" s="2" t="str">
        <f>"07840"</f>
        <v>07840</v>
      </c>
      <c r="C13394" s="1">
        <v>2.9254914318217601E-2</v>
      </c>
      <c r="D13394" s="1">
        <v>3.9413914409645097E-2</v>
      </c>
      <c r="E13394" s="1">
        <v>4.5894023103967799E-2</v>
      </c>
      <c r="F13394" s="1">
        <v>3.0595176255855699E-2</v>
      </c>
    </row>
    <row r="13395" spans="1:6" x14ac:dyDescent="0.25">
      <c r="A13395" s="2" t="str">
        <f t="shared" si="477"/>
        <v>10900</v>
      </c>
      <c r="B13395" s="2" t="str">
        <f>"18661"</f>
        <v>18661</v>
      </c>
      <c r="C13395" s="1">
        <v>1.05750306435547E-3</v>
      </c>
      <c r="D13395" s="1">
        <v>2.7323337545681202E-4</v>
      </c>
      <c r="E13395" s="1">
        <v>3.1391260673028598E-4</v>
      </c>
      <c r="F13395" s="1">
        <v>9.7456597263590296E-4</v>
      </c>
    </row>
    <row r="13396" spans="1:6" x14ac:dyDescent="0.25">
      <c r="A13396" s="2" t="str">
        <f t="shared" si="477"/>
        <v>10900</v>
      </c>
      <c r="B13396" s="2" t="str">
        <f>"18041"</f>
        <v>18041</v>
      </c>
      <c r="C13396" s="1">
        <v>4.0323980484261601E-4</v>
      </c>
      <c r="D13396" s="1">
        <v>3.4154171932101503E-5</v>
      </c>
      <c r="E13396" s="1">
        <v>6.2782521346057196E-5</v>
      </c>
      <c r="F13396" s="1">
        <v>3.64568689030056E-4</v>
      </c>
    </row>
    <row r="13397" spans="1:6" x14ac:dyDescent="0.25">
      <c r="A13397" s="2" t="str">
        <f t="shared" si="477"/>
        <v>10900</v>
      </c>
      <c r="B13397" s="2" t="str">
        <f>"18037"</f>
        <v>18037</v>
      </c>
      <c r="C13397" s="1">
        <v>8.2170124470246995E-3</v>
      </c>
      <c r="D13397" s="1">
        <v>4.9523549301547102E-3</v>
      </c>
      <c r="E13397" s="1">
        <v>4.8342541436464E-3</v>
      </c>
      <c r="F13397" s="1">
        <v>7.8608634320925207E-3</v>
      </c>
    </row>
    <row r="13398" spans="1:6" x14ac:dyDescent="0.25">
      <c r="A13398" s="2" t="str">
        <f t="shared" si="477"/>
        <v>10900</v>
      </c>
      <c r="B13398" s="2" t="str">
        <f>"18031"</f>
        <v>18031</v>
      </c>
      <c r="C13398" s="1">
        <v>1.20598076733063E-2</v>
      </c>
      <c r="D13398" s="1">
        <v>4.9523549301547102E-3</v>
      </c>
      <c r="E13398" s="1">
        <v>2.0090406830738298E-3</v>
      </c>
      <c r="F13398" s="1">
        <v>1.1182489265477401E-2</v>
      </c>
    </row>
    <row r="13399" spans="1:6" x14ac:dyDescent="0.25">
      <c r="A13399" s="2" t="str">
        <f t="shared" si="477"/>
        <v>10900</v>
      </c>
      <c r="B13399" s="2" t="str">
        <f>"18211"</f>
        <v>18211</v>
      </c>
      <c r="C13399" s="1">
        <v>9.8807104497859602E-5</v>
      </c>
      <c r="D13399" s="1">
        <v>0</v>
      </c>
      <c r="E13399" s="1">
        <v>0</v>
      </c>
      <c r="F13399" s="1">
        <v>8.8163669896157402E-5</v>
      </c>
    </row>
    <row r="13400" spans="1:6" x14ac:dyDescent="0.25">
      <c r="A13400" s="2" t="str">
        <f t="shared" si="477"/>
        <v>10900</v>
      </c>
      <c r="B13400" s="2" t="str">
        <f>"18210"</f>
        <v>18210</v>
      </c>
      <c r="C13400" s="1">
        <v>6.6734852470311098E-3</v>
      </c>
      <c r="D13400" s="1">
        <v>9.904709860309429E-4</v>
      </c>
      <c r="E13400" s="1">
        <v>2.51130085384229E-4</v>
      </c>
      <c r="F13400" s="1">
        <v>6.03325438316407E-3</v>
      </c>
    </row>
    <row r="13401" spans="1:6" x14ac:dyDescent="0.25">
      <c r="A13401" s="2" t="str">
        <f t="shared" si="477"/>
        <v>10900</v>
      </c>
      <c r="B13401" s="2" t="str">
        <f>"18066"</f>
        <v>18066</v>
      </c>
      <c r="C13401" s="1">
        <v>6.5292802837099099E-3</v>
      </c>
      <c r="D13401" s="1">
        <v>3.4837255370743499E-3</v>
      </c>
      <c r="E13401" s="1">
        <v>3.64138623807132E-3</v>
      </c>
      <c r="F13401" s="1">
        <v>6.2071989210673003E-3</v>
      </c>
    </row>
    <row r="13402" spans="1:6" x14ac:dyDescent="0.25">
      <c r="A13402" s="2" t="str">
        <f t="shared" si="477"/>
        <v>10900</v>
      </c>
      <c r="B13402" s="2" t="str">
        <f>"18103"</f>
        <v>18103</v>
      </c>
      <c r="C13402" s="1">
        <v>5.2685550395628902E-2</v>
      </c>
      <c r="D13402" s="1">
        <v>5.0411557771781801E-2</v>
      </c>
      <c r="E13402" s="1">
        <v>7.64691109994977E-2</v>
      </c>
      <c r="F13402" s="1">
        <v>5.3429566758960503E-2</v>
      </c>
    </row>
    <row r="13403" spans="1:6" x14ac:dyDescent="0.25">
      <c r="A13403" s="2" t="str">
        <f t="shared" si="477"/>
        <v>10900</v>
      </c>
      <c r="B13403" s="2" t="str">
        <f>"08804"</f>
        <v>08804</v>
      </c>
      <c r="C13403" s="1">
        <v>9.0528671418309205E-4</v>
      </c>
      <c r="D13403" s="1">
        <v>3.0738754738891301E-4</v>
      </c>
      <c r="E13403" s="1">
        <v>1.8834756403817099E-4</v>
      </c>
      <c r="F13403" s="1">
        <v>8.3636346306895299E-4</v>
      </c>
    </row>
    <row r="13404" spans="1:6" x14ac:dyDescent="0.25">
      <c r="A13404" s="2" t="str">
        <f t="shared" si="477"/>
        <v>10900</v>
      </c>
      <c r="B13404" s="2" t="str">
        <f>"07833"</f>
        <v>07833</v>
      </c>
      <c r="C13404" s="1">
        <v>0</v>
      </c>
      <c r="D13404" s="1">
        <v>0</v>
      </c>
      <c r="E13404" s="1">
        <v>6.2782521346057196E-5</v>
      </c>
      <c r="F13404" s="1">
        <v>2.3828018890853299E-6</v>
      </c>
    </row>
    <row r="13405" spans="1:6" x14ac:dyDescent="0.25">
      <c r="A13405" s="2" t="str">
        <f t="shared" si="477"/>
        <v>10900</v>
      </c>
      <c r="B13405" s="2" t="str">
        <f>"07838"</f>
        <v>07838</v>
      </c>
      <c r="C13405" s="1">
        <v>3.4529077328576299E-3</v>
      </c>
      <c r="D13405" s="1">
        <v>1.9467878001297801E-3</v>
      </c>
      <c r="E13405" s="1">
        <v>6.2782521346057196E-4</v>
      </c>
      <c r="F13405" s="1">
        <v>3.2406105691560501E-3</v>
      </c>
    </row>
    <row r="13406" spans="1:6" x14ac:dyDescent="0.25">
      <c r="A13406" s="2" t="str">
        <f t="shared" si="477"/>
        <v>10900</v>
      </c>
      <c r="B13406" s="2" t="str">
        <f>"18333"</f>
        <v>18333</v>
      </c>
      <c r="C13406" s="1">
        <v>1.0681849134903701E-5</v>
      </c>
      <c r="D13406" s="1">
        <v>3.4154171932101503E-5</v>
      </c>
      <c r="E13406" s="1">
        <v>0</v>
      </c>
      <c r="F13406" s="1">
        <v>1.19140094454266E-5</v>
      </c>
    </row>
    <row r="13407" spans="1:6" x14ac:dyDescent="0.25">
      <c r="A13407" s="2" t="str">
        <f t="shared" si="477"/>
        <v>10900</v>
      </c>
      <c r="B13407" s="2" t="str">
        <f>"18237"</f>
        <v>18237</v>
      </c>
      <c r="C13407" s="1">
        <v>1.6022773702355601E-5</v>
      </c>
      <c r="D13407" s="1">
        <v>2.7323337545681202E-4</v>
      </c>
      <c r="E13407" s="1">
        <v>0</v>
      </c>
      <c r="F13407" s="1">
        <v>3.3359226447194699E-5</v>
      </c>
    </row>
    <row r="13408" spans="1:6" x14ac:dyDescent="0.25">
      <c r="A13408" s="2" t="str">
        <f t="shared" si="477"/>
        <v>10900</v>
      </c>
      <c r="B13408" s="2" t="str">
        <f>"18240"</f>
        <v>18240</v>
      </c>
      <c r="C13408" s="1">
        <v>4.7454114781809798E-3</v>
      </c>
      <c r="D13408" s="1">
        <v>3.9960381160558701E-3</v>
      </c>
      <c r="E13408" s="1">
        <v>3.0763435459568002E-3</v>
      </c>
      <c r="F13408" s="1">
        <v>4.62978407049281E-3</v>
      </c>
    </row>
    <row r="13409" spans="1:6" x14ac:dyDescent="0.25">
      <c r="A13409" s="2" t="str">
        <f t="shared" si="477"/>
        <v>10900</v>
      </c>
      <c r="B13409" s="2" t="str">
        <f>"18030"</f>
        <v>18030</v>
      </c>
      <c r="C13409" s="1">
        <v>0</v>
      </c>
      <c r="D13409" s="1">
        <v>1.0246251579630401E-4</v>
      </c>
      <c r="E13409" s="1">
        <v>0</v>
      </c>
      <c r="F13409" s="1">
        <v>7.1484056672560101E-6</v>
      </c>
    </row>
    <row r="13410" spans="1:6" x14ac:dyDescent="0.25">
      <c r="A13410" s="2" t="str">
        <f t="shared" si="477"/>
        <v>10900</v>
      </c>
      <c r="B13410" s="2" t="str">
        <f>"18016"</f>
        <v>18016</v>
      </c>
      <c r="C13410" s="1">
        <v>2.6597804345910299E-3</v>
      </c>
      <c r="D13410" s="1">
        <v>8.7776221865500798E-3</v>
      </c>
      <c r="E13410" s="1">
        <v>6.2782521346057196E-5</v>
      </c>
      <c r="F13410" s="1">
        <v>2.9880335689130102E-3</v>
      </c>
    </row>
    <row r="13411" spans="1:6" x14ac:dyDescent="0.25">
      <c r="A13411" s="2" t="str">
        <f t="shared" si="477"/>
        <v>10900</v>
      </c>
      <c r="B13411" s="2" t="str">
        <f>"18015"</f>
        <v>18015</v>
      </c>
      <c r="C13411" s="1">
        <v>3.3896177767333301E-2</v>
      </c>
      <c r="D13411" s="1">
        <v>3.39150927285767E-2</v>
      </c>
      <c r="E13411" s="1">
        <v>6.0522350577599103E-2</v>
      </c>
      <c r="F13411" s="1">
        <v>3.4908047675100098E-2</v>
      </c>
    </row>
    <row r="13412" spans="1:6" x14ac:dyDescent="0.25">
      <c r="A13412" s="2" t="str">
        <f t="shared" si="477"/>
        <v>10900</v>
      </c>
      <c r="B13412" s="2" t="str">
        <f>"18085"</f>
        <v>18085</v>
      </c>
      <c r="C13412" s="1">
        <v>2.2885861771531199E-3</v>
      </c>
      <c r="D13412" s="1">
        <v>1.3320127053519501E-3</v>
      </c>
      <c r="E13412" s="1">
        <v>6.2782521346057196E-5</v>
      </c>
      <c r="F13412" s="1">
        <v>2.1373732945095402E-3</v>
      </c>
    </row>
    <row r="13413" spans="1:6" x14ac:dyDescent="0.25">
      <c r="A13413" s="2" t="str">
        <f t="shared" ref="A13413:A13444" si="478">"10900"</f>
        <v>10900</v>
      </c>
      <c r="B13413" s="2" t="str">
        <f>"18065"</f>
        <v>18065</v>
      </c>
      <c r="C13413" s="1">
        <v>9.61366422141336E-5</v>
      </c>
      <c r="D13413" s="1">
        <v>2.0492503159260899E-4</v>
      </c>
      <c r="E13413" s="1">
        <v>1.2556504269211401E-4</v>
      </c>
      <c r="F13413" s="1">
        <v>1.04843283119754E-4</v>
      </c>
    </row>
    <row r="13414" spans="1:6" x14ac:dyDescent="0.25">
      <c r="A13414" s="2" t="str">
        <f t="shared" si="478"/>
        <v>10900</v>
      </c>
      <c r="B13414" s="2" t="str">
        <f>"18053"</f>
        <v>18053</v>
      </c>
      <c r="C13414" s="1">
        <v>2.4594957633115801E-3</v>
      </c>
      <c r="D13414" s="1">
        <v>4.7815840704942098E-4</v>
      </c>
      <c r="E13414" s="1">
        <v>2.51130085384229E-4</v>
      </c>
      <c r="F13414" s="1">
        <v>2.2374509738511301E-3</v>
      </c>
    </row>
    <row r="13415" spans="1:6" x14ac:dyDescent="0.25">
      <c r="A13415" s="2" t="str">
        <f t="shared" si="478"/>
        <v>10900</v>
      </c>
      <c r="B13415" s="2" t="str">
        <f>"08865"</f>
        <v>08865</v>
      </c>
      <c r="C13415" s="1">
        <v>3.7354426424758301E-2</v>
      </c>
      <c r="D13415" s="1">
        <v>4.6859523890843198E-2</v>
      </c>
      <c r="E13415" s="1">
        <v>3.9239075841285699E-2</v>
      </c>
      <c r="F13415" s="1">
        <v>3.8089088197029101E-2</v>
      </c>
    </row>
    <row r="13416" spans="1:6" x14ac:dyDescent="0.25">
      <c r="A13416" s="2" t="str">
        <f t="shared" si="478"/>
        <v>10900</v>
      </c>
      <c r="B13416" s="2" t="str">
        <f>"07844"</f>
        <v>07844</v>
      </c>
      <c r="C13416" s="1">
        <v>0</v>
      </c>
      <c r="D13416" s="1">
        <v>1.3661668772840601E-4</v>
      </c>
      <c r="E13416" s="1">
        <v>6.2782521346057196E-5</v>
      </c>
      <c r="F13416" s="1">
        <v>1.19140094454266E-5</v>
      </c>
    </row>
    <row r="13417" spans="1:6" x14ac:dyDescent="0.25">
      <c r="A13417" s="2" t="str">
        <f t="shared" si="478"/>
        <v>10900</v>
      </c>
      <c r="B13417" s="2" t="str">
        <f>"07860"</f>
        <v>07860</v>
      </c>
      <c r="C13417" s="1">
        <v>4.4329673909850498E-4</v>
      </c>
      <c r="D13417" s="1">
        <v>1.70770859660507E-4</v>
      </c>
      <c r="E13417" s="1">
        <v>3.7669512807634301E-4</v>
      </c>
      <c r="F13417" s="1">
        <v>4.21755934368104E-4</v>
      </c>
    </row>
    <row r="13418" spans="1:6" x14ac:dyDescent="0.25">
      <c r="A13418" s="2" t="str">
        <f t="shared" si="478"/>
        <v>10900</v>
      </c>
      <c r="B13418" s="2" t="str">
        <f>"18624"</f>
        <v>18624</v>
      </c>
      <c r="C13418" s="1">
        <v>2.6170530380514103E-4</v>
      </c>
      <c r="D13418" s="1">
        <v>0</v>
      </c>
      <c r="E13418" s="1">
        <v>6.2782521346057196E-5</v>
      </c>
      <c r="F13418" s="1">
        <v>2.3589738701944801E-4</v>
      </c>
    </row>
    <row r="13419" spans="1:6" x14ac:dyDescent="0.25">
      <c r="A13419" s="2" t="str">
        <f t="shared" si="478"/>
        <v>10900</v>
      </c>
      <c r="B13419" s="2" t="str">
        <f>"18250"</f>
        <v>18250</v>
      </c>
      <c r="C13419" s="1">
        <v>4.0190457370075303E-3</v>
      </c>
      <c r="D13419" s="1">
        <v>2.8006420984323199E-3</v>
      </c>
      <c r="E13419" s="1">
        <v>1.94625816172777E-3</v>
      </c>
      <c r="F13419" s="1">
        <v>3.8553734565400701E-3</v>
      </c>
    </row>
    <row r="13420" spans="1:6" x14ac:dyDescent="0.25">
      <c r="A13420" s="2" t="str">
        <f t="shared" si="478"/>
        <v>10900</v>
      </c>
      <c r="B13420" s="2" t="str">
        <f>"18042"</f>
        <v>18042</v>
      </c>
      <c r="C13420" s="1">
        <v>4.7211102713990802E-2</v>
      </c>
      <c r="D13420" s="1">
        <v>5.2119266368386798E-2</v>
      </c>
      <c r="E13420" s="1">
        <v>6.8119035660472102E-2</v>
      </c>
      <c r="F13420" s="1">
        <v>4.8347050329541501E-2</v>
      </c>
    </row>
    <row r="13421" spans="1:6" x14ac:dyDescent="0.25">
      <c r="A13421" s="2" t="str">
        <f t="shared" si="478"/>
        <v>10900</v>
      </c>
      <c r="B13421" s="2" t="str">
        <f>"18036"</f>
        <v>18036</v>
      </c>
      <c r="C13421" s="1">
        <v>1.39905519044401E-2</v>
      </c>
      <c r="D13421" s="1">
        <v>1.0280405751562499E-2</v>
      </c>
      <c r="E13421" s="1">
        <v>5.9643395278754299E-3</v>
      </c>
      <c r="F13421" s="1">
        <v>1.34270886449958E-2</v>
      </c>
    </row>
    <row r="13422" spans="1:6" x14ac:dyDescent="0.25">
      <c r="A13422" s="2" t="str">
        <f t="shared" si="478"/>
        <v>10900</v>
      </c>
      <c r="B13422" s="2" t="str">
        <f>"18232"</f>
        <v>18232</v>
      </c>
      <c r="C13422" s="1">
        <v>6.2275180456488801E-3</v>
      </c>
      <c r="D13422" s="1">
        <v>5.6695925407288499E-3</v>
      </c>
      <c r="E13422" s="1">
        <v>8.2245102963335003E-3</v>
      </c>
      <c r="F13422" s="1">
        <v>6.2643861664053498E-3</v>
      </c>
    </row>
    <row r="13423" spans="1:6" x14ac:dyDescent="0.25">
      <c r="A13423" s="2" t="str">
        <f t="shared" si="478"/>
        <v>10900</v>
      </c>
      <c r="B13423" s="2" t="str">
        <f>"18109"</f>
        <v>18109</v>
      </c>
      <c r="C13423" s="1">
        <v>2.25226789009445E-2</v>
      </c>
      <c r="D13423" s="1">
        <v>5.1538645445541098E-2</v>
      </c>
      <c r="E13423" s="1">
        <v>4.4136112506278198E-2</v>
      </c>
      <c r="F13423" s="1">
        <v>2.53673089112025E-2</v>
      </c>
    </row>
    <row r="13424" spans="1:6" x14ac:dyDescent="0.25">
      <c r="A13424" s="2" t="str">
        <f t="shared" si="478"/>
        <v>10900</v>
      </c>
      <c r="B13424" s="2" t="str">
        <f>"18098"</f>
        <v>18098</v>
      </c>
      <c r="C13424" s="1">
        <v>0</v>
      </c>
      <c r="D13424" s="1">
        <v>3.4154171932101503E-5</v>
      </c>
      <c r="E13424" s="1">
        <v>6.2782521346057196E-5</v>
      </c>
      <c r="F13424" s="1">
        <v>4.76560377817067E-6</v>
      </c>
    </row>
    <row r="13425" spans="1:6" x14ac:dyDescent="0.25">
      <c r="A13425" s="2" t="str">
        <f t="shared" si="478"/>
        <v>10900</v>
      </c>
      <c r="B13425" s="2" t="str">
        <f>"18078"</f>
        <v>18078</v>
      </c>
      <c r="C13425" s="1">
        <v>7.6028061217677297E-3</v>
      </c>
      <c r="D13425" s="1">
        <v>4.8840465862905096E-3</v>
      </c>
      <c r="E13425" s="1">
        <v>2.9507785032646902E-3</v>
      </c>
      <c r="F13425" s="1">
        <v>7.2365693371521699E-3</v>
      </c>
    </row>
    <row r="13426" spans="1:6" x14ac:dyDescent="0.25">
      <c r="A13426" s="2" t="str">
        <f t="shared" si="478"/>
        <v>10900</v>
      </c>
      <c r="B13426" s="2" t="str">
        <f>"18012"</f>
        <v>18012</v>
      </c>
      <c r="C13426" s="1">
        <v>0</v>
      </c>
      <c r="D13426" s="1">
        <v>3.4154171932101503E-5</v>
      </c>
      <c r="E13426" s="1">
        <v>0</v>
      </c>
      <c r="F13426" s="1">
        <v>2.3828018890853299E-6</v>
      </c>
    </row>
    <row r="13427" spans="1:6" x14ac:dyDescent="0.25">
      <c r="A13427" s="2" t="str">
        <f t="shared" si="478"/>
        <v>10900</v>
      </c>
      <c r="B13427" s="2" t="str">
        <f>"18055"</f>
        <v>18055</v>
      </c>
      <c r="C13427" s="1">
        <v>1.3961176819319099E-2</v>
      </c>
      <c r="D13427" s="1">
        <v>1.3525052085112101E-2</v>
      </c>
      <c r="E13427" s="1">
        <v>1.0233550979407299E-2</v>
      </c>
      <c r="F13427" s="1">
        <v>1.3789274532136801E-2</v>
      </c>
    </row>
    <row r="13428" spans="1:6" x14ac:dyDescent="0.25">
      <c r="A13428" s="2" t="str">
        <f t="shared" si="478"/>
        <v>10900</v>
      </c>
      <c r="B13428" s="2" t="str">
        <f>"18052"</f>
        <v>18052</v>
      </c>
      <c r="C13428" s="1">
        <v>3.4985726379093397E-2</v>
      </c>
      <c r="D13428" s="1">
        <v>3.9277297721916703E-2</v>
      </c>
      <c r="E13428" s="1">
        <v>3.4342039176293297E-2</v>
      </c>
      <c r="F13428" s="1">
        <v>3.52607023546848E-2</v>
      </c>
    </row>
    <row r="13429" spans="1:6" x14ac:dyDescent="0.25">
      <c r="A13429" s="2" t="str">
        <f t="shared" si="478"/>
        <v>10900</v>
      </c>
      <c r="B13429" s="2" t="str">
        <f>"18064"</f>
        <v>18064</v>
      </c>
      <c r="C13429" s="1">
        <v>2.8934458844170501E-2</v>
      </c>
      <c r="D13429" s="1">
        <v>2.45568496191809E-2</v>
      </c>
      <c r="E13429" s="1">
        <v>1.9902059266700099E-2</v>
      </c>
      <c r="F13429" s="1">
        <v>2.8286241225332E-2</v>
      </c>
    </row>
    <row r="13430" spans="1:6" x14ac:dyDescent="0.25">
      <c r="A13430" s="2" t="str">
        <f t="shared" si="478"/>
        <v>10900</v>
      </c>
      <c r="B13430" s="2" t="str">
        <f>"07880"</f>
        <v>07880</v>
      </c>
      <c r="C13430" s="1">
        <v>0</v>
      </c>
      <c r="D13430" s="1">
        <v>0</v>
      </c>
      <c r="E13430" s="1">
        <v>6.2782521346057196E-5</v>
      </c>
      <c r="F13430" s="1">
        <v>2.3828018890853299E-6</v>
      </c>
    </row>
    <row r="13431" spans="1:6" x14ac:dyDescent="0.25">
      <c r="A13431" s="2" t="str">
        <f t="shared" si="478"/>
        <v>10900</v>
      </c>
      <c r="B13431" s="2" t="str">
        <f>"18255"</f>
        <v>18255</v>
      </c>
      <c r="C13431" s="1">
        <v>5.1780263681445804E-3</v>
      </c>
      <c r="D13431" s="1">
        <v>2.8347962703644202E-3</v>
      </c>
      <c r="E13431" s="1">
        <v>2.2601707684580599E-3</v>
      </c>
      <c r="F13431" s="1">
        <v>4.9038062877376203E-3</v>
      </c>
    </row>
    <row r="13432" spans="1:6" x14ac:dyDescent="0.25">
      <c r="A13432" s="2" t="str">
        <f t="shared" si="478"/>
        <v>10900</v>
      </c>
      <c r="B13432" s="2" t="str">
        <f>"18235"</f>
        <v>18235</v>
      </c>
      <c r="C13432" s="1">
        <v>2.3048759970838498E-2</v>
      </c>
      <c r="D13432" s="1">
        <v>2.23368284435943E-2</v>
      </c>
      <c r="E13432" s="1">
        <v>1.5256152687091899E-2</v>
      </c>
      <c r="F13432" s="1">
        <v>2.2703336399205E-2</v>
      </c>
    </row>
    <row r="13433" spans="1:6" x14ac:dyDescent="0.25">
      <c r="A13433" s="2" t="str">
        <f t="shared" si="478"/>
        <v>10900</v>
      </c>
      <c r="B13433" s="2" t="str">
        <f>"18077"</f>
        <v>18077</v>
      </c>
      <c r="C13433" s="1">
        <v>2.3233021868415601E-4</v>
      </c>
      <c r="D13433" s="1">
        <v>0</v>
      </c>
      <c r="E13433" s="1">
        <v>0</v>
      </c>
      <c r="F13433" s="1">
        <v>2.0730376435042401E-4</v>
      </c>
    </row>
    <row r="13434" spans="1:6" x14ac:dyDescent="0.25">
      <c r="A13434" s="2" t="str">
        <f t="shared" si="478"/>
        <v>10900</v>
      </c>
      <c r="B13434" s="2" t="str">
        <f>"18072"</f>
        <v>18072</v>
      </c>
      <c r="C13434" s="1">
        <v>7.7737157079261904E-3</v>
      </c>
      <c r="D13434" s="1">
        <v>6.5917551828955897E-3</v>
      </c>
      <c r="E13434" s="1">
        <v>3.70416875941737E-3</v>
      </c>
      <c r="F13434" s="1">
        <v>7.5368023751769203E-3</v>
      </c>
    </row>
    <row r="13435" spans="1:6" x14ac:dyDescent="0.25">
      <c r="A13435" s="2" t="str">
        <f t="shared" si="478"/>
        <v>10900</v>
      </c>
      <c r="B13435" s="2" t="str">
        <f>"18105"</f>
        <v>18105</v>
      </c>
      <c r="C13435" s="1">
        <v>5.5625729370011199E-3</v>
      </c>
      <c r="D13435" s="1">
        <v>1.09976433621366E-2</v>
      </c>
      <c r="E13435" s="1">
        <v>6.2782521346057196E-5</v>
      </c>
      <c r="F13435" s="1">
        <v>5.7330213451393204E-3</v>
      </c>
    </row>
    <row r="13436" spans="1:6" x14ac:dyDescent="0.25">
      <c r="A13436" s="2" t="str">
        <f t="shared" si="478"/>
        <v>10900</v>
      </c>
      <c r="B13436" s="2" t="str">
        <f>"18058"</f>
        <v>18058</v>
      </c>
      <c r="C13436" s="1">
        <v>1.3752880761188501E-3</v>
      </c>
      <c r="D13436" s="1">
        <v>1.70770859660507E-4</v>
      </c>
      <c r="E13436" s="1">
        <v>2.51130085384229E-4</v>
      </c>
      <c r="F13436" s="1">
        <v>1.24858818988071E-3</v>
      </c>
    </row>
    <row r="13437" spans="1:6" x14ac:dyDescent="0.25">
      <c r="A13437" s="2" t="str">
        <f t="shared" si="478"/>
        <v>10900</v>
      </c>
      <c r="B13437" s="2" t="str">
        <f>"18051"</f>
        <v>18051</v>
      </c>
      <c r="C13437" s="1">
        <v>4.89495736606964E-3</v>
      </c>
      <c r="D13437" s="1">
        <v>7.8213053724512406E-3</v>
      </c>
      <c r="E13437" s="1">
        <v>1.25565042692114E-3</v>
      </c>
      <c r="F13437" s="1">
        <v>4.9609935330756699E-3</v>
      </c>
    </row>
    <row r="13438" spans="1:6" x14ac:dyDescent="0.25">
      <c r="A13438" s="2" t="str">
        <f t="shared" si="478"/>
        <v>10900</v>
      </c>
      <c r="B13438" s="2" t="str">
        <f>"07825"</f>
        <v>07825</v>
      </c>
      <c r="C13438" s="1">
        <v>8.8312187722816606E-3</v>
      </c>
      <c r="D13438" s="1">
        <v>5.4305133372041297E-3</v>
      </c>
      <c r="E13438" s="1">
        <v>6.7177297840281197E-3</v>
      </c>
      <c r="F13438" s="1">
        <v>8.5137511497019105E-3</v>
      </c>
    </row>
    <row r="13439" spans="1:6" x14ac:dyDescent="0.25">
      <c r="A13439" s="2" t="str">
        <f t="shared" si="478"/>
        <v>10900</v>
      </c>
      <c r="B13439" s="2" t="str">
        <f>"18351"</f>
        <v>18351</v>
      </c>
      <c r="C13439" s="1">
        <v>1.36193576470022E-4</v>
      </c>
      <c r="D13439" s="1">
        <v>6.8308343864203005E-5</v>
      </c>
      <c r="E13439" s="1">
        <v>0</v>
      </c>
      <c r="F13439" s="1">
        <v>1.26288500121522E-4</v>
      </c>
    </row>
    <row r="13440" spans="1:6" x14ac:dyDescent="0.25">
      <c r="A13440" s="2" t="str">
        <f t="shared" si="478"/>
        <v>10900</v>
      </c>
      <c r="B13440" s="2" t="str">
        <f>"18343"</f>
        <v>18343</v>
      </c>
      <c r="C13440" s="1">
        <v>4.71336593077627E-3</v>
      </c>
      <c r="D13440" s="1">
        <v>2.8006420984323199E-3</v>
      </c>
      <c r="E13440" s="1">
        <v>5.02260170768458E-4</v>
      </c>
      <c r="F13440" s="1">
        <v>4.4200975042533001E-3</v>
      </c>
    </row>
    <row r="13441" spans="1:6" x14ac:dyDescent="0.25">
      <c r="A13441" s="2" t="str">
        <f t="shared" si="478"/>
        <v>10900</v>
      </c>
      <c r="B13441" s="2" t="str">
        <f>"18244"</f>
        <v>18244</v>
      </c>
      <c r="C13441" s="1">
        <v>0</v>
      </c>
      <c r="D13441" s="1">
        <v>3.4154171932101503E-5</v>
      </c>
      <c r="E13441" s="1">
        <v>0</v>
      </c>
      <c r="F13441" s="1">
        <v>2.3828018890853299E-6</v>
      </c>
    </row>
    <row r="13442" spans="1:6" x14ac:dyDescent="0.25">
      <c r="A13442" s="2" t="str">
        <f t="shared" si="478"/>
        <v>10900</v>
      </c>
      <c r="B13442" s="2" t="str">
        <f>"18038"</f>
        <v>18038</v>
      </c>
      <c r="C13442" s="1">
        <v>3.3914871003319302E-3</v>
      </c>
      <c r="D13442" s="1">
        <v>3.0738754738891301E-4</v>
      </c>
      <c r="E13442" s="1">
        <v>3.7669512807634301E-4</v>
      </c>
      <c r="F13442" s="1">
        <v>3.0619004274746501E-3</v>
      </c>
    </row>
    <row r="13443" spans="1:6" x14ac:dyDescent="0.25">
      <c r="A13443" s="2" t="str">
        <f t="shared" si="478"/>
        <v>10900</v>
      </c>
      <c r="B13443" s="2" t="str">
        <f>"18018"</f>
        <v>18018</v>
      </c>
      <c r="C13443" s="1">
        <v>4.2714044228196302E-2</v>
      </c>
      <c r="D13443" s="1">
        <v>4.7747532361077899E-2</v>
      </c>
      <c r="E13443" s="1">
        <v>7.5087895529884402E-2</v>
      </c>
      <c r="F13443" s="1">
        <v>4.4293904316207298E-2</v>
      </c>
    </row>
    <row r="13444" spans="1:6" x14ac:dyDescent="0.25">
      <c r="A13444" s="2" t="str">
        <f t="shared" si="478"/>
        <v>10900</v>
      </c>
      <c r="B13444" s="2" t="str">
        <f>"18216"</f>
        <v>18216</v>
      </c>
      <c r="C13444" s="1">
        <v>6.1153586297323895E-4</v>
      </c>
      <c r="D13444" s="1">
        <v>1.70770859660507E-4</v>
      </c>
      <c r="E13444" s="1">
        <v>6.2782521346057196E-5</v>
      </c>
      <c r="F13444" s="1">
        <v>5.5995844393505402E-4</v>
      </c>
    </row>
    <row r="13445" spans="1:6" x14ac:dyDescent="0.25">
      <c r="A13445" s="2" t="str">
        <f t="shared" ref="A13445:A13459" si="479">"10900"</f>
        <v>10900</v>
      </c>
      <c r="B13445" s="2" t="str">
        <f>"18086"</f>
        <v>18086</v>
      </c>
      <c r="C13445" s="1">
        <v>2.6704622837259299E-6</v>
      </c>
      <c r="D13445" s="1">
        <v>3.4154171932101503E-5</v>
      </c>
      <c r="E13445" s="1">
        <v>0</v>
      </c>
      <c r="F13445" s="1">
        <v>4.76560377817067E-6</v>
      </c>
    </row>
    <row r="13446" spans="1:6" x14ac:dyDescent="0.25">
      <c r="A13446" s="2" t="str">
        <f t="shared" si="479"/>
        <v>10900</v>
      </c>
      <c r="B13446" s="2" t="str">
        <f>"18087"</f>
        <v>18087</v>
      </c>
      <c r="C13446" s="1">
        <v>2.9268266629636202E-3</v>
      </c>
      <c r="D13446" s="1">
        <v>6.9332969022166003E-3</v>
      </c>
      <c r="E13446" s="1">
        <v>5.02260170768458E-4</v>
      </c>
      <c r="F13446" s="1">
        <v>3.1143220690345299E-3</v>
      </c>
    </row>
    <row r="13447" spans="1:6" x14ac:dyDescent="0.25">
      <c r="A13447" s="2" t="str">
        <f t="shared" si="479"/>
        <v>10900</v>
      </c>
      <c r="B13447" s="2" t="str">
        <f>"18069"</f>
        <v>18069</v>
      </c>
      <c r="C13447" s="1">
        <v>8.1368985785129199E-3</v>
      </c>
      <c r="D13447" s="1">
        <v>4.4741965231052897E-3</v>
      </c>
      <c r="E13447" s="1">
        <v>1.5067805123053701E-3</v>
      </c>
      <c r="F13447" s="1">
        <v>7.6297316488512503E-3</v>
      </c>
    </row>
    <row r="13448" spans="1:6" x14ac:dyDescent="0.25">
      <c r="A13448" s="2" t="str">
        <f t="shared" si="479"/>
        <v>10900</v>
      </c>
      <c r="B13448" s="2" t="str">
        <f>"18102"</f>
        <v>18102</v>
      </c>
      <c r="C13448" s="1">
        <v>5.2354413072446898E-2</v>
      </c>
      <c r="D13448" s="1">
        <v>4.6996140578571599E-2</v>
      </c>
      <c r="E13448" s="1">
        <v>0.159655951783023</v>
      </c>
      <c r="F13448" s="1">
        <v>5.6053031638843398E-2</v>
      </c>
    </row>
    <row r="13449" spans="1:6" x14ac:dyDescent="0.25">
      <c r="A13449" s="2" t="str">
        <f t="shared" si="479"/>
        <v>10900</v>
      </c>
      <c r="B13449" s="2" t="str">
        <f>"18101"</f>
        <v>18101</v>
      </c>
      <c r="C13449" s="1">
        <v>5.4370612096659998E-3</v>
      </c>
      <c r="D13449" s="1">
        <v>2.5479012261347699E-2</v>
      </c>
      <c r="E13449" s="1">
        <v>3.2835258663987898E-2</v>
      </c>
      <c r="F13449" s="1">
        <v>7.8751602434270398E-3</v>
      </c>
    </row>
    <row r="13450" spans="1:6" x14ac:dyDescent="0.25">
      <c r="A13450" s="2" t="str">
        <f t="shared" si="479"/>
        <v>10900</v>
      </c>
      <c r="B13450" s="2" t="str">
        <f>"18106"</f>
        <v>18106</v>
      </c>
      <c r="C13450" s="1">
        <v>9.1463333217613307E-3</v>
      </c>
      <c r="D13450" s="1">
        <v>3.54861846374534E-2</v>
      </c>
      <c r="E13450" s="1">
        <v>9.91963837267704E-3</v>
      </c>
      <c r="F13450" s="1">
        <v>1.10133103313524E-2</v>
      </c>
    </row>
    <row r="13451" spans="1:6" x14ac:dyDescent="0.25">
      <c r="A13451" s="2" t="str">
        <f t="shared" si="479"/>
        <v>10900</v>
      </c>
      <c r="B13451" s="2" t="str">
        <f>"18063"</f>
        <v>18063</v>
      </c>
      <c r="C13451" s="1">
        <v>1.2711400470535399E-3</v>
      </c>
      <c r="D13451" s="1">
        <v>1.0246251579630399E-3</v>
      </c>
      <c r="E13451" s="1">
        <v>6.2782521346057196E-5</v>
      </c>
      <c r="F13451" s="1">
        <v>1.2080805577662601E-3</v>
      </c>
    </row>
    <row r="13452" spans="1:6" x14ac:dyDescent="0.25">
      <c r="A13452" s="2" t="str">
        <f t="shared" si="479"/>
        <v>10900</v>
      </c>
      <c r="B13452" s="2" t="str">
        <f>"18060"</f>
        <v>18060</v>
      </c>
      <c r="C13452" s="1">
        <v>0</v>
      </c>
      <c r="D13452" s="1">
        <v>3.4154171932101503E-5</v>
      </c>
      <c r="E13452" s="1">
        <v>0</v>
      </c>
      <c r="F13452" s="1">
        <v>2.3828018890853299E-6</v>
      </c>
    </row>
    <row r="13453" spans="1:6" x14ac:dyDescent="0.25">
      <c r="A13453" s="2" t="str">
        <f t="shared" si="479"/>
        <v>10900</v>
      </c>
      <c r="B13453" s="2" t="str">
        <f>"18062"</f>
        <v>18062</v>
      </c>
      <c r="C13453" s="1">
        <v>2.6878202885701499E-2</v>
      </c>
      <c r="D13453" s="1">
        <v>1.1134260049864999E-2</v>
      </c>
      <c r="E13453" s="1">
        <v>4.6459065796082303E-3</v>
      </c>
      <c r="F13453" s="1">
        <v>2.4936021769278002E-2</v>
      </c>
    </row>
    <row r="13454" spans="1:6" x14ac:dyDescent="0.25">
      <c r="A13454" s="2" t="str">
        <f t="shared" si="479"/>
        <v>10900</v>
      </c>
      <c r="B13454" s="2" t="str">
        <f>"18059"</f>
        <v>18059</v>
      </c>
      <c r="C13454" s="1">
        <v>1.41000408580729E-3</v>
      </c>
      <c r="D13454" s="1">
        <v>8.8800847023463901E-4</v>
      </c>
      <c r="E13454" s="1">
        <v>3.7669512807634301E-4</v>
      </c>
      <c r="F13454" s="1">
        <v>1.33436905788778E-3</v>
      </c>
    </row>
    <row r="13455" spans="1:6" x14ac:dyDescent="0.25">
      <c r="A13455" s="2" t="str">
        <f t="shared" si="479"/>
        <v>10900</v>
      </c>
      <c r="B13455" s="2" t="str">
        <f>"18049"</f>
        <v>18049</v>
      </c>
      <c r="C13455" s="1">
        <v>2.3363874520318201E-2</v>
      </c>
      <c r="D13455" s="1">
        <v>2.5991324840329198E-2</v>
      </c>
      <c r="E13455" s="1">
        <v>1.68257157207433E-2</v>
      </c>
      <c r="F13455" s="1">
        <v>2.32990368714764E-2</v>
      </c>
    </row>
    <row r="13456" spans="1:6" x14ac:dyDescent="0.25">
      <c r="A13456" s="2" t="str">
        <f t="shared" si="479"/>
        <v>10900</v>
      </c>
      <c r="B13456" s="2" t="str">
        <f>"08886"</f>
        <v>08886</v>
      </c>
      <c r="C13456" s="1">
        <v>6.7188831058544504E-3</v>
      </c>
      <c r="D13456" s="1">
        <v>2.1517128317223898E-3</v>
      </c>
      <c r="E13456" s="1">
        <v>8.7895529884480096E-4</v>
      </c>
      <c r="F13456" s="1">
        <v>6.1786052983982803E-3</v>
      </c>
    </row>
    <row r="13457" spans="1:6" x14ac:dyDescent="0.25">
      <c r="A13457" s="2" t="str">
        <f t="shared" si="479"/>
        <v>10900</v>
      </c>
      <c r="B13457" s="2" t="str">
        <f>"07865"</f>
        <v>07865</v>
      </c>
      <c r="C13457" s="1">
        <v>1.74915279584048E-3</v>
      </c>
      <c r="D13457" s="1">
        <v>1.29785853341985E-3</v>
      </c>
      <c r="E13457" s="1">
        <v>1.0673028628829699E-3</v>
      </c>
      <c r="F13457" s="1">
        <v>1.6917893412505801E-3</v>
      </c>
    </row>
    <row r="13458" spans="1:6" x14ac:dyDescent="0.25">
      <c r="A13458" s="2" t="str">
        <f t="shared" si="479"/>
        <v>10900</v>
      </c>
      <c r="B13458" s="2" t="str">
        <f>"07820"</f>
        <v>07820</v>
      </c>
      <c r="C13458" s="1">
        <v>8.9460486504818804E-4</v>
      </c>
      <c r="D13458" s="1">
        <v>3.0055671300249298E-3</v>
      </c>
      <c r="E13458" s="1">
        <v>1.8834756403817099E-4</v>
      </c>
      <c r="F13458" s="1">
        <v>1.0150736047503501E-3</v>
      </c>
    </row>
    <row r="13459" spans="1:6" x14ac:dyDescent="0.25">
      <c r="A13459" s="2" t="str">
        <f t="shared" si="479"/>
        <v>10900</v>
      </c>
      <c r="B13459" s="2" t="str">
        <f>"07823"</f>
        <v>07823</v>
      </c>
      <c r="C13459" s="1">
        <v>9.2825268982313497E-3</v>
      </c>
      <c r="D13459" s="1">
        <v>7.75299702858704E-3</v>
      </c>
      <c r="E13459" s="1">
        <v>9.9824208940230991E-3</v>
      </c>
      <c r="F13459" s="1">
        <v>9.2023808956475696E-3</v>
      </c>
    </row>
    <row r="13460" spans="1:6" x14ac:dyDescent="0.25">
      <c r="A13460" s="2" t="str">
        <f t="shared" ref="A13460:A13481" si="480">"36140"</f>
        <v>36140</v>
      </c>
      <c r="B13460" s="2" t="str">
        <f>"08270"</f>
        <v>08270</v>
      </c>
      <c r="C13460" s="1">
        <v>3.66077610861908E-2</v>
      </c>
      <c r="D13460" s="1">
        <v>3.1078610603290601E-2</v>
      </c>
      <c r="E13460" s="1">
        <v>2.36282488842215E-3</v>
      </c>
      <c r="F13460" s="1">
        <v>3.5072487361062103E-2</v>
      </c>
    </row>
    <row r="13461" spans="1:6" x14ac:dyDescent="0.25">
      <c r="A13461" s="2" t="str">
        <f t="shared" si="480"/>
        <v>36140</v>
      </c>
      <c r="B13461" s="2" t="str">
        <f>"08247"</f>
        <v>08247</v>
      </c>
      <c r="C13461" s="1">
        <v>3.2413121795064698E-2</v>
      </c>
      <c r="D13461" s="1">
        <v>3.44536633384896E-2</v>
      </c>
      <c r="E13461" s="1">
        <v>3.22919401417694E-2</v>
      </c>
      <c r="F13461" s="1">
        <v>3.2540177804306701E-2</v>
      </c>
    </row>
    <row r="13462" spans="1:6" x14ac:dyDescent="0.25">
      <c r="A13462" s="2" t="str">
        <f t="shared" si="480"/>
        <v>36140</v>
      </c>
      <c r="B13462" s="2" t="str">
        <f>"08230"</f>
        <v>08230</v>
      </c>
      <c r="C13462" s="1">
        <v>2.9804016015895399E-2</v>
      </c>
      <c r="D13462" s="1">
        <v>3.90943608493882E-2</v>
      </c>
      <c r="E13462" s="1">
        <v>1.9952743502231501E-2</v>
      </c>
      <c r="F13462" s="1">
        <v>3.00621320237675E-2</v>
      </c>
    </row>
    <row r="13463" spans="1:6" x14ac:dyDescent="0.25">
      <c r="A13463" s="2" t="str">
        <f t="shared" si="480"/>
        <v>36140</v>
      </c>
      <c r="B13463" s="2" t="str">
        <f>"08248"</f>
        <v>08248</v>
      </c>
      <c r="C13463" s="1">
        <v>5.1178613360628497E-4</v>
      </c>
      <c r="D13463" s="1">
        <v>0</v>
      </c>
      <c r="E13463" s="1">
        <v>2.6253609871357302E-4</v>
      </c>
      <c r="F13463" s="1">
        <v>4.7028606054028599E-4</v>
      </c>
    </row>
    <row r="13464" spans="1:6" x14ac:dyDescent="0.25">
      <c r="A13464" s="2" t="str">
        <f t="shared" si="480"/>
        <v>36140</v>
      </c>
      <c r="B13464" s="2" t="str">
        <f>"08219"</f>
        <v>08219</v>
      </c>
      <c r="C13464" s="1">
        <v>3.21120711282375E-4</v>
      </c>
      <c r="D13464" s="1">
        <v>2.8125439459991501E-4</v>
      </c>
      <c r="E13464" s="1">
        <v>4.9881858755578797E-3</v>
      </c>
      <c r="F13464" s="1">
        <v>4.7933002324298401E-4</v>
      </c>
    </row>
    <row r="13465" spans="1:6" x14ac:dyDescent="0.25">
      <c r="A13465" s="2" t="str">
        <f t="shared" si="480"/>
        <v>36140</v>
      </c>
      <c r="B13465" s="2" t="str">
        <f>"08212"</f>
        <v>08212</v>
      </c>
      <c r="C13465" s="1">
        <v>3.6527480908370201E-3</v>
      </c>
      <c r="D13465" s="1">
        <v>1.4062719729995699E-4</v>
      </c>
      <c r="E13465" s="1">
        <v>5.2507219742714605E-4</v>
      </c>
      <c r="F13465" s="1">
        <v>3.3191343118900902E-3</v>
      </c>
    </row>
    <row r="13466" spans="1:6" x14ac:dyDescent="0.25">
      <c r="A13466" s="2" t="str">
        <f t="shared" si="480"/>
        <v>36140</v>
      </c>
      <c r="B13466" s="2" t="str">
        <f>"08210"</f>
        <v>08210</v>
      </c>
      <c r="C13466" s="1">
        <v>8.6812977290744595E-2</v>
      </c>
      <c r="D13466" s="1">
        <v>0.118267472929264</v>
      </c>
      <c r="E13466" s="1">
        <v>5.0406930953006003E-2</v>
      </c>
      <c r="F13466" s="1">
        <v>8.7581734812925596E-2</v>
      </c>
    </row>
    <row r="13467" spans="1:6" x14ac:dyDescent="0.25">
      <c r="A13467" s="2" t="str">
        <f t="shared" si="480"/>
        <v>36140</v>
      </c>
      <c r="B13467" s="2" t="str">
        <f>"08204"</f>
        <v>08204</v>
      </c>
      <c r="C13467" s="1">
        <v>0.13498108398310099</v>
      </c>
      <c r="D13467" s="1">
        <v>0.122626916045563</v>
      </c>
      <c r="E13467" s="1">
        <v>0.103701758991861</v>
      </c>
      <c r="F13467" s="1">
        <v>0.13310904305830601</v>
      </c>
    </row>
    <row r="13468" spans="1:6" x14ac:dyDescent="0.25">
      <c r="A13468" s="2" t="str">
        <f t="shared" si="480"/>
        <v>36140</v>
      </c>
      <c r="B13468" s="2" t="str">
        <f>"08252"</f>
        <v>08252</v>
      </c>
      <c r="C13468" s="1">
        <v>0</v>
      </c>
      <c r="D13468" s="1">
        <v>0</v>
      </c>
      <c r="E13468" s="1">
        <v>2.6253609871357302E-4</v>
      </c>
      <c r="F13468" s="1">
        <v>9.0439627026978092E-6</v>
      </c>
    </row>
    <row r="13469" spans="1:6" x14ac:dyDescent="0.25">
      <c r="A13469" s="2" t="str">
        <f t="shared" si="480"/>
        <v>36140</v>
      </c>
      <c r="B13469" s="2" t="str">
        <f>"08246"</f>
        <v>08246</v>
      </c>
      <c r="C13469" s="1">
        <v>2.3080551123420701E-4</v>
      </c>
      <c r="D13469" s="1">
        <v>0</v>
      </c>
      <c r="E13469" s="1">
        <v>2.6253609871357302E-4</v>
      </c>
      <c r="F13469" s="1">
        <v>2.17055104864747E-4</v>
      </c>
    </row>
    <row r="13470" spans="1:6" x14ac:dyDescent="0.25">
      <c r="A13470" s="2" t="str">
        <f t="shared" si="480"/>
        <v>36140</v>
      </c>
      <c r="B13470" s="2" t="str">
        <f>"08260"</f>
        <v>08260</v>
      </c>
      <c r="C13470" s="1">
        <v>0.21963653149491699</v>
      </c>
      <c r="D13470" s="1">
        <v>0.25312895513992401</v>
      </c>
      <c r="E13470" s="1">
        <v>0.419007613546862</v>
      </c>
      <c r="F13470" s="1">
        <v>0.228658509012308</v>
      </c>
    </row>
    <row r="13471" spans="1:6" x14ac:dyDescent="0.25">
      <c r="A13471" s="2" t="str">
        <f t="shared" si="480"/>
        <v>36140</v>
      </c>
      <c r="B13471" s="2" t="str">
        <f>"08251"</f>
        <v>08251</v>
      </c>
      <c r="C13471" s="1">
        <v>6.4645613190033202E-2</v>
      </c>
      <c r="D13471" s="1">
        <v>2.22190971733933E-2</v>
      </c>
      <c r="E13471" s="1">
        <v>1.470202152796E-2</v>
      </c>
      <c r="F13471" s="1">
        <v>6.01966157491566E-2</v>
      </c>
    </row>
    <row r="13472" spans="1:6" x14ac:dyDescent="0.25">
      <c r="A13472" s="2" t="str">
        <f t="shared" si="480"/>
        <v>36140</v>
      </c>
      <c r="B13472" s="2" t="str">
        <f>"08242"</f>
        <v>08242</v>
      </c>
      <c r="C13472" s="1">
        <v>2.7455820814643098E-2</v>
      </c>
      <c r="D13472" s="1">
        <v>5.6250878919983101E-2</v>
      </c>
      <c r="E13472" s="1">
        <v>2.6516145970070799E-2</v>
      </c>
      <c r="F13472" s="1">
        <v>2.92753072686328E-2</v>
      </c>
    </row>
    <row r="13473" spans="1:6" x14ac:dyDescent="0.25">
      <c r="A13473" s="2" t="str">
        <f t="shared" si="480"/>
        <v>36140</v>
      </c>
      <c r="B13473" s="2" t="str">
        <f>"08223"</f>
        <v>08223</v>
      </c>
      <c r="C13473" s="1">
        <v>2.6482423658568399E-2</v>
      </c>
      <c r="D13473" s="1">
        <v>7.1579243425678493E-2</v>
      </c>
      <c r="E13473" s="1">
        <v>1.33893410343922E-2</v>
      </c>
      <c r="F13473" s="1">
        <v>2.8931636685930299E-2</v>
      </c>
    </row>
    <row r="13474" spans="1:6" x14ac:dyDescent="0.25">
      <c r="A13474" s="2" t="str">
        <f t="shared" si="480"/>
        <v>36140</v>
      </c>
      <c r="B13474" s="2" t="str">
        <f>"08250"</f>
        <v>08250</v>
      </c>
      <c r="C13474" s="1">
        <v>3.0105066682722699E-5</v>
      </c>
      <c r="D13474" s="1">
        <v>0</v>
      </c>
      <c r="E13474" s="1">
        <v>2.6253609871357302E-4</v>
      </c>
      <c r="F13474" s="1">
        <v>3.6175850810791203E-5</v>
      </c>
    </row>
    <row r="13475" spans="1:6" x14ac:dyDescent="0.25">
      <c r="A13475" s="2" t="str">
        <f t="shared" si="480"/>
        <v>36140</v>
      </c>
      <c r="B13475" s="2" t="str">
        <f>"08245"</f>
        <v>08245</v>
      </c>
      <c r="C13475" s="1">
        <v>1.00350222275742E-5</v>
      </c>
      <c r="D13475" s="1">
        <v>0</v>
      </c>
      <c r="E13475" s="1">
        <v>2.6253609871357302E-4</v>
      </c>
      <c r="F13475" s="1">
        <v>1.8087925405395601E-5</v>
      </c>
    </row>
    <row r="13476" spans="1:6" x14ac:dyDescent="0.25">
      <c r="A13476" s="2" t="str">
        <f t="shared" si="480"/>
        <v>36140</v>
      </c>
      <c r="B13476" s="2" t="str">
        <f>"08314"</f>
        <v>08314</v>
      </c>
      <c r="C13476" s="1">
        <v>6.0210133365445397E-5</v>
      </c>
      <c r="D13476" s="1">
        <v>2.8125439459991501E-4</v>
      </c>
      <c r="E13476" s="1">
        <v>0</v>
      </c>
      <c r="F13476" s="1">
        <v>7.2351701621582501E-5</v>
      </c>
    </row>
    <row r="13477" spans="1:6" x14ac:dyDescent="0.25">
      <c r="A13477" s="2" t="str">
        <f t="shared" si="480"/>
        <v>36140</v>
      </c>
      <c r="B13477" s="2" t="str">
        <f>"08243"</f>
        <v>08243</v>
      </c>
      <c r="C13477" s="1">
        <v>6.8308396303097804E-2</v>
      </c>
      <c r="D13477" s="1">
        <v>3.8250597665588498E-2</v>
      </c>
      <c r="E13477" s="1">
        <v>7.9285901811498999E-2</v>
      </c>
      <c r="F13477" s="1">
        <v>6.6753488708612502E-2</v>
      </c>
    </row>
    <row r="13478" spans="1:6" x14ac:dyDescent="0.25">
      <c r="A13478" s="2" t="str">
        <f t="shared" si="480"/>
        <v>36140</v>
      </c>
      <c r="B13478" s="2" t="str">
        <f>"08218"</f>
        <v>08218</v>
      </c>
      <c r="C13478" s="1">
        <v>0</v>
      </c>
      <c r="D13478" s="1">
        <v>0</v>
      </c>
      <c r="E13478" s="1">
        <v>2.6253609871357302E-4</v>
      </c>
      <c r="F13478" s="1">
        <v>9.0439627026978092E-6</v>
      </c>
    </row>
    <row r="13479" spans="1:6" x14ac:dyDescent="0.25">
      <c r="A13479" s="2" t="str">
        <f t="shared" si="480"/>
        <v>36140</v>
      </c>
      <c r="B13479" s="2" t="str">
        <f>"08214"</f>
        <v>08214</v>
      </c>
      <c r="C13479" s="1">
        <v>1.4049031118603899E-4</v>
      </c>
      <c r="D13479" s="1">
        <v>0</v>
      </c>
      <c r="E13479" s="1">
        <v>2.6253609871357302E-4</v>
      </c>
      <c r="F13479" s="1">
        <v>1.35659440540467E-4</v>
      </c>
    </row>
    <row r="13480" spans="1:6" x14ac:dyDescent="0.25">
      <c r="A13480" s="2" t="str">
        <f t="shared" si="480"/>
        <v>36140</v>
      </c>
      <c r="B13480" s="2" t="str">
        <f>"08202"</f>
        <v>08202</v>
      </c>
      <c r="C13480" s="1">
        <v>5.6276404652236302E-2</v>
      </c>
      <c r="D13480" s="1">
        <v>3.44536633384896E-2</v>
      </c>
      <c r="E13480" s="1">
        <v>3.5704909425045901E-2</v>
      </c>
      <c r="F13480" s="1">
        <v>5.4164292626457201E-2</v>
      </c>
    </row>
    <row r="13481" spans="1:6" x14ac:dyDescent="0.25">
      <c r="A13481" s="2" t="str">
        <f t="shared" si="480"/>
        <v>36140</v>
      </c>
      <c r="B13481" s="2" t="str">
        <f>"08226"</f>
        <v>08226</v>
      </c>
      <c r="C13481" s="1">
        <v>0.21161854873508501</v>
      </c>
      <c r="D13481" s="1">
        <v>0.177893404584446</v>
      </c>
      <c r="E13481" s="1">
        <v>0.19532685744289799</v>
      </c>
      <c r="F13481" s="1">
        <v>0.20888840654421101</v>
      </c>
    </row>
    <row r="13482" spans="1:6" x14ac:dyDescent="0.25">
      <c r="A13482" s="2" t="str">
        <f t="shared" ref="A13482:A13499" si="481">"40660"</f>
        <v>40660</v>
      </c>
      <c r="B13482" s="2" t="str">
        <f>"30173"</f>
        <v>30173</v>
      </c>
      <c r="C13482" s="1">
        <v>5.6342053198505097E-2</v>
      </c>
      <c r="D13482" s="1">
        <v>8.1504702194357299E-3</v>
      </c>
      <c r="E13482" s="1">
        <v>6.2264150943396199E-2</v>
      </c>
      <c r="F13482" s="1">
        <v>5.1972338560436301E-2</v>
      </c>
    </row>
    <row r="13483" spans="1:6" x14ac:dyDescent="0.25">
      <c r="A13483" s="2" t="str">
        <f t="shared" si="481"/>
        <v>40660</v>
      </c>
      <c r="B13483" s="2" t="str">
        <f>"30105"</f>
        <v>30105</v>
      </c>
      <c r="C13483" s="1">
        <v>2.1323367773136901E-2</v>
      </c>
      <c r="D13483" s="1">
        <v>8.3594566353186999E-3</v>
      </c>
      <c r="E13483" s="1">
        <v>1.88679245283018E-3</v>
      </c>
      <c r="F13483" s="1">
        <v>1.9713645660855102E-2</v>
      </c>
    </row>
    <row r="13484" spans="1:6" x14ac:dyDescent="0.25">
      <c r="A13484" s="2" t="str">
        <f t="shared" si="481"/>
        <v>40660</v>
      </c>
      <c r="B13484" s="2" t="str">
        <f>"30165"</f>
        <v>30165</v>
      </c>
      <c r="C13484" s="1">
        <v>0.39129479006375001</v>
      </c>
      <c r="D13484" s="1">
        <v>0.36677115987460801</v>
      </c>
      <c r="E13484" s="1">
        <v>0.4</v>
      </c>
      <c r="F13484" s="1">
        <v>0.38918866270575603</v>
      </c>
    </row>
    <row r="13485" spans="1:6" x14ac:dyDescent="0.25">
      <c r="A13485" s="2" t="str">
        <f t="shared" si="481"/>
        <v>40660</v>
      </c>
      <c r="B13485" s="2" t="str">
        <f>"30161"</f>
        <v>30161</v>
      </c>
      <c r="C13485" s="1">
        <v>0.37359859309738402</v>
      </c>
      <c r="D13485" s="1">
        <v>0.440334378265412</v>
      </c>
      <c r="E13485" s="1">
        <v>0.49811320754716898</v>
      </c>
      <c r="F13485" s="1">
        <v>0.38239018213694298</v>
      </c>
    </row>
    <row r="13486" spans="1:6" x14ac:dyDescent="0.25">
      <c r="A13486" s="2" t="str">
        <f t="shared" si="481"/>
        <v>40660</v>
      </c>
      <c r="B13486" s="2" t="str">
        <f>"30747"</f>
        <v>30747</v>
      </c>
      <c r="C13486" s="1">
        <v>2.1982853374367899E-5</v>
      </c>
      <c r="D13486" s="1">
        <v>0</v>
      </c>
      <c r="E13486" s="1">
        <v>0</v>
      </c>
      <c r="F13486" s="1">
        <v>1.9479887016655301E-5</v>
      </c>
    </row>
    <row r="13487" spans="1:6" x14ac:dyDescent="0.25">
      <c r="A13487" s="2" t="str">
        <f t="shared" si="481"/>
        <v>40660</v>
      </c>
      <c r="B13487" s="2" t="str">
        <f>"30162"</f>
        <v>30162</v>
      </c>
      <c r="C13487" s="1">
        <v>2.0048362277423602E-2</v>
      </c>
      <c r="D13487" s="1">
        <v>0.11327063740856801</v>
      </c>
      <c r="E13487" s="1">
        <v>9.4339622641509402E-4</v>
      </c>
      <c r="F13487" s="1">
        <v>2.8343235609233401E-2</v>
      </c>
    </row>
    <row r="13488" spans="1:6" x14ac:dyDescent="0.25">
      <c r="A13488" s="2" t="str">
        <f t="shared" si="481"/>
        <v>40660</v>
      </c>
      <c r="B13488" s="2" t="str">
        <f>"30103"</f>
        <v>30103</v>
      </c>
      <c r="C13488" s="1">
        <v>8.0457243350186801E-3</v>
      </c>
      <c r="D13488" s="1">
        <v>2.0898641588296702E-3</v>
      </c>
      <c r="E13488" s="1">
        <v>1.88679245283018E-3</v>
      </c>
      <c r="F13488" s="1">
        <v>7.3633972922956996E-3</v>
      </c>
    </row>
    <row r="13489" spans="1:6" x14ac:dyDescent="0.25">
      <c r="A13489" s="2" t="str">
        <f t="shared" si="481"/>
        <v>40660</v>
      </c>
      <c r="B13489" s="2" t="str">
        <f>"30733"</f>
        <v>30733</v>
      </c>
      <c r="C13489" s="1">
        <v>7.6939986810287901E-4</v>
      </c>
      <c r="D13489" s="1">
        <v>2.0898641588296699E-4</v>
      </c>
      <c r="E13489" s="1">
        <v>0</v>
      </c>
      <c r="F13489" s="1">
        <v>7.0127593259959001E-4</v>
      </c>
    </row>
    <row r="13490" spans="1:6" x14ac:dyDescent="0.25">
      <c r="A13490" s="2" t="str">
        <f t="shared" si="481"/>
        <v>40660</v>
      </c>
      <c r="B13490" s="2" t="str">
        <f>"30104"</f>
        <v>30104</v>
      </c>
      <c r="C13490" s="1">
        <v>1.1101340954055801E-2</v>
      </c>
      <c r="D13490" s="1">
        <v>6.2695924764890199E-4</v>
      </c>
      <c r="E13490" s="1">
        <v>0</v>
      </c>
      <c r="F13490" s="1">
        <v>9.8957826044608899E-3</v>
      </c>
    </row>
    <row r="13491" spans="1:6" x14ac:dyDescent="0.25">
      <c r="A13491" s="2" t="str">
        <f t="shared" si="481"/>
        <v>40660</v>
      </c>
      <c r="B13491" s="2" t="str">
        <f>"30172"</f>
        <v>30172</v>
      </c>
      <c r="C13491" s="1">
        <v>0</v>
      </c>
      <c r="D13491" s="1">
        <v>0</v>
      </c>
      <c r="E13491" s="1">
        <v>9.4339622641509402E-4</v>
      </c>
      <c r="F13491" s="1">
        <v>1.9479887016655301E-5</v>
      </c>
    </row>
    <row r="13492" spans="1:6" x14ac:dyDescent="0.25">
      <c r="A13492" s="2" t="str">
        <f t="shared" si="481"/>
        <v>40660</v>
      </c>
      <c r="B13492" s="2" t="str">
        <f>"30164"</f>
        <v>30164</v>
      </c>
      <c r="C13492" s="1">
        <v>1.9344910969443799E-2</v>
      </c>
      <c r="D13492" s="1">
        <v>3.2601880877742899E-2</v>
      </c>
      <c r="E13492" s="1">
        <v>9.4339622641509402E-4</v>
      </c>
      <c r="F13492" s="1">
        <v>2.0200642836271501E-2</v>
      </c>
    </row>
    <row r="13493" spans="1:6" x14ac:dyDescent="0.25">
      <c r="A13493" s="2" t="str">
        <f t="shared" si="481"/>
        <v>40660</v>
      </c>
      <c r="B13493" s="2" t="str">
        <f>"30701"</f>
        <v>30701</v>
      </c>
      <c r="C13493" s="1">
        <v>3.8250164871400298E-3</v>
      </c>
      <c r="D13493" s="1">
        <v>1.0449320794148299E-3</v>
      </c>
      <c r="E13493" s="1">
        <v>0</v>
      </c>
      <c r="F13493" s="1">
        <v>3.48689977598129E-3</v>
      </c>
    </row>
    <row r="13494" spans="1:6" x14ac:dyDescent="0.25">
      <c r="A13494" s="2" t="str">
        <f t="shared" si="481"/>
        <v>40660</v>
      </c>
      <c r="B13494" s="2" t="str">
        <f>"30124"</f>
        <v>30124</v>
      </c>
      <c r="C13494" s="1">
        <v>3.0204440536381601E-2</v>
      </c>
      <c r="D13494" s="1">
        <v>1.06583072100313E-2</v>
      </c>
      <c r="E13494" s="1">
        <v>1.5094339622641499E-2</v>
      </c>
      <c r="F13494" s="1">
        <v>2.8070517191000201E-2</v>
      </c>
    </row>
    <row r="13495" spans="1:6" x14ac:dyDescent="0.25">
      <c r="A13495" s="2" t="str">
        <f t="shared" si="481"/>
        <v>40660</v>
      </c>
      <c r="B13495" s="2" t="str">
        <f>"30149"</f>
        <v>30149</v>
      </c>
      <c r="C13495" s="1">
        <v>0</v>
      </c>
      <c r="D13495" s="1">
        <v>0</v>
      </c>
      <c r="E13495" s="1">
        <v>9.4339622641509402E-4</v>
      </c>
      <c r="F13495" s="1">
        <v>1.9479887016655301E-5</v>
      </c>
    </row>
    <row r="13496" spans="1:6" x14ac:dyDescent="0.25">
      <c r="A13496" s="2" t="str">
        <f t="shared" si="481"/>
        <v>40660</v>
      </c>
      <c r="B13496" s="2" t="str">
        <f>"30147"</f>
        <v>30147</v>
      </c>
      <c r="C13496" s="1">
        <v>4.2646735546273899E-2</v>
      </c>
      <c r="D13496" s="1">
        <v>1.5464994775339601E-2</v>
      </c>
      <c r="E13496" s="1">
        <v>1.32075471698113E-2</v>
      </c>
      <c r="F13496" s="1">
        <v>3.9505210869776902E-2</v>
      </c>
    </row>
    <row r="13497" spans="1:6" x14ac:dyDescent="0.25">
      <c r="A13497" s="2" t="str">
        <f t="shared" si="481"/>
        <v>40660</v>
      </c>
      <c r="B13497" s="2" t="str">
        <f>"30145"</f>
        <v>30145</v>
      </c>
      <c r="C13497" s="1">
        <v>1.7652231259617401E-2</v>
      </c>
      <c r="D13497" s="1">
        <v>4.1797283176593501E-4</v>
      </c>
      <c r="E13497" s="1">
        <v>0</v>
      </c>
      <c r="F13497" s="1">
        <v>1.5681309048407501E-2</v>
      </c>
    </row>
    <row r="13498" spans="1:6" x14ac:dyDescent="0.25">
      <c r="A13498" s="2" t="str">
        <f t="shared" si="481"/>
        <v>40660</v>
      </c>
      <c r="B13498" s="2" t="str">
        <f>"30125"</f>
        <v>30125</v>
      </c>
      <c r="C13498" s="1">
        <v>3.78105078039129E-3</v>
      </c>
      <c r="D13498" s="1">
        <v>0</v>
      </c>
      <c r="E13498" s="1">
        <v>2.8301886792452798E-3</v>
      </c>
      <c r="F13498" s="1">
        <v>3.40898022791467E-3</v>
      </c>
    </row>
    <row r="13499" spans="1:6" x14ac:dyDescent="0.25">
      <c r="A13499" s="2" t="str">
        <f t="shared" si="481"/>
        <v>40660</v>
      </c>
      <c r="B13499" s="2" t="str">
        <f>"30129"</f>
        <v>30129</v>
      </c>
      <c r="C13499" s="1">
        <v>0</v>
      </c>
      <c r="D13499" s="1">
        <v>0</v>
      </c>
      <c r="E13499" s="1">
        <v>9.4339622641509402E-4</v>
      </c>
      <c r="F13499" s="1">
        <v>1.9479887016655301E-5</v>
      </c>
    </row>
    <row r="13500" spans="1:6" x14ac:dyDescent="0.25">
      <c r="A13500" s="2" t="str">
        <f t="shared" ref="A13500:A13531" si="482">"12260"</f>
        <v>12260</v>
      </c>
      <c r="B13500" s="2" t="str">
        <f>"29851"</f>
        <v>29851</v>
      </c>
      <c r="C13500" s="1">
        <v>1.38400825295976E-2</v>
      </c>
      <c r="D13500" s="1">
        <v>5.1609921429671803E-3</v>
      </c>
      <c r="E13500" s="1">
        <v>2.3702923360547799E-3</v>
      </c>
      <c r="F13500" s="1">
        <v>1.2918150621269201E-2</v>
      </c>
    </row>
    <row r="13501" spans="1:6" x14ac:dyDescent="0.25">
      <c r="A13501" s="2" t="str">
        <f t="shared" si="482"/>
        <v>12260</v>
      </c>
      <c r="B13501" s="2" t="str">
        <f>"29834"</f>
        <v>29834</v>
      </c>
      <c r="C13501" s="1">
        <v>0</v>
      </c>
      <c r="D13501" s="1">
        <v>3.8514866738561E-5</v>
      </c>
      <c r="E13501" s="1">
        <v>0</v>
      </c>
      <c r="F13501" s="1">
        <v>2.9506968070509799E-6</v>
      </c>
    </row>
    <row r="13502" spans="1:6" x14ac:dyDescent="0.25">
      <c r="A13502" s="2" t="str">
        <f t="shared" si="482"/>
        <v>12260</v>
      </c>
      <c r="B13502" s="2" t="str">
        <f>"30830"</f>
        <v>30830</v>
      </c>
      <c r="C13502" s="1">
        <v>2.5040527927426299E-2</v>
      </c>
      <c r="D13502" s="1">
        <v>2.3417038977045099E-2</v>
      </c>
      <c r="E13502" s="1">
        <v>2.9628654200684699E-2</v>
      </c>
      <c r="F13502" s="1">
        <v>2.5018958226985299E-2</v>
      </c>
    </row>
    <row r="13503" spans="1:6" x14ac:dyDescent="0.25">
      <c r="A13503" s="2" t="str">
        <f t="shared" si="482"/>
        <v>12260</v>
      </c>
      <c r="B13503" s="2" t="str">
        <f>"30906"</f>
        <v>30906</v>
      </c>
      <c r="C13503" s="1">
        <v>8.5847156495112001E-2</v>
      </c>
      <c r="D13503" s="1">
        <v>7.2677553535664699E-2</v>
      </c>
      <c r="E13503" s="1">
        <v>6.55780879641822E-2</v>
      </c>
      <c r="F13503" s="1">
        <v>8.4384027288044006E-2</v>
      </c>
    </row>
    <row r="13504" spans="1:6" x14ac:dyDescent="0.25">
      <c r="A13504" s="2" t="str">
        <f t="shared" si="482"/>
        <v>12260</v>
      </c>
      <c r="B13504" s="2" t="str">
        <f>"30805"</f>
        <v>30805</v>
      </c>
      <c r="C13504" s="1">
        <v>4.3524537817878099E-3</v>
      </c>
      <c r="D13504" s="1">
        <v>1.6946541364966799E-3</v>
      </c>
      <c r="E13504" s="1">
        <v>6.1890966552541398E-3</v>
      </c>
      <c r="F13504" s="1">
        <v>4.18998946601239E-3</v>
      </c>
    </row>
    <row r="13505" spans="1:6" x14ac:dyDescent="0.25">
      <c r="A13505" s="2" t="str">
        <f t="shared" si="482"/>
        <v>12260</v>
      </c>
      <c r="B13505" s="2" t="str">
        <f>"29856"</f>
        <v>29856</v>
      </c>
      <c r="C13505" s="1">
        <v>5.6919222518790197E-3</v>
      </c>
      <c r="D13505" s="1">
        <v>4.2366353412417101E-4</v>
      </c>
      <c r="E13505" s="1">
        <v>1.3168290755859801E-4</v>
      </c>
      <c r="F13505" s="1">
        <v>5.1637194123392198E-3</v>
      </c>
    </row>
    <row r="13506" spans="1:6" x14ac:dyDescent="0.25">
      <c r="A13506" s="2" t="str">
        <f t="shared" si="482"/>
        <v>12260</v>
      </c>
      <c r="B13506" s="2" t="str">
        <f>"29816"</f>
        <v>29816</v>
      </c>
      <c r="C13506" s="1">
        <v>0</v>
      </c>
      <c r="D13506" s="1">
        <v>3.8514866738561E-5</v>
      </c>
      <c r="E13506" s="1">
        <v>0</v>
      </c>
      <c r="F13506" s="1">
        <v>2.9506968070509799E-6</v>
      </c>
    </row>
    <row r="13507" spans="1:6" x14ac:dyDescent="0.25">
      <c r="A13507" s="2" t="str">
        <f t="shared" si="482"/>
        <v>12260</v>
      </c>
      <c r="B13507" s="2" t="str">
        <f>"29803"</f>
        <v>29803</v>
      </c>
      <c r="C13507" s="1">
        <v>6.6727799701976398E-2</v>
      </c>
      <c r="D13507" s="1">
        <v>4.7450315821907202E-2</v>
      </c>
      <c r="E13507" s="1">
        <v>6.12325520147484E-2</v>
      </c>
      <c r="F13507" s="1">
        <v>6.5127779925229307E-2</v>
      </c>
    </row>
    <row r="13508" spans="1:6" x14ac:dyDescent="0.25">
      <c r="A13508" s="2" t="str">
        <f t="shared" si="482"/>
        <v>12260</v>
      </c>
      <c r="B13508" s="2" t="str">
        <f>"29835"</f>
        <v>29835</v>
      </c>
      <c r="C13508" s="1">
        <v>5.9932207830486802E-4</v>
      </c>
      <c r="D13508" s="1">
        <v>1.9257433369280501E-4</v>
      </c>
      <c r="E13508" s="1">
        <v>0</v>
      </c>
      <c r="F13508" s="1">
        <v>5.54730999725585E-4</v>
      </c>
    </row>
    <row r="13509" spans="1:6" x14ac:dyDescent="0.25">
      <c r="A13509" s="2" t="str">
        <f t="shared" si="482"/>
        <v>12260</v>
      </c>
      <c r="B13509" s="2" t="str">
        <f>"29801"</f>
        <v>29801</v>
      </c>
      <c r="C13509" s="1">
        <v>5.0012281190129099E-2</v>
      </c>
      <c r="D13509" s="1">
        <v>6.9981512863965395E-2</v>
      </c>
      <c r="E13509" s="1">
        <v>6.3734527258361803E-2</v>
      </c>
      <c r="F13509" s="1">
        <v>5.1849644293499898E-2</v>
      </c>
    </row>
    <row r="13510" spans="1:6" x14ac:dyDescent="0.25">
      <c r="A13510" s="2" t="str">
        <f t="shared" si="482"/>
        <v>12260</v>
      </c>
      <c r="B13510" s="2" t="str">
        <f>"29138"</f>
        <v>29138</v>
      </c>
      <c r="C13510" s="1">
        <v>1.30999361378113E-5</v>
      </c>
      <c r="D13510" s="1">
        <v>0</v>
      </c>
      <c r="E13510" s="1">
        <v>0</v>
      </c>
      <c r="F13510" s="1">
        <v>1.1802787228203899E-5</v>
      </c>
    </row>
    <row r="13511" spans="1:6" x14ac:dyDescent="0.25">
      <c r="A13511" s="2" t="str">
        <f t="shared" si="482"/>
        <v>12260</v>
      </c>
      <c r="B13511" s="2" t="str">
        <f>"29137"</f>
        <v>29137</v>
      </c>
      <c r="C13511" s="1">
        <v>3.83500630434426E-3</v>
      </c>
      <c r="D13511" s="1">
        <v>1.5791095362810001E-3</v>
      </c>
      <c r="E13511" s="1">
        <v>5.2673163023439495E-4</v>
      </c>
      <c r="F13511" s="1">
        <v>3.58804731737399E-3</v>
      </c>
    </row>
    <row r="13512" spans="1:6" x14ac:dyDescent="0.25">
      <c r="A13512" s="2" t="str">
        <f t="shared" si="482"/>
        <v>12260</v>
      </c>
      <c r="B13512" s="2" t="str">
        <f>"30909"</f>
        <v>30909</v>
      </c>
      <c r="C13512" s="1">
        <v>8.3138744698619496E-2</v>
      </c>
      <c r="D13512" s="1">
        <v>9.1780927437991003E-2</v>
      </c>
      <c r="E13512" s="1">
        <v>0.113247300500395</v>
      </c>
      <c r="F13512" s="1">
        <v>8.4475498889062597E-2</v>
      </c>
    </row>
    <row r="13513" spans="1:6" x14ac:dyDescent="0.25">
      <c r="A13513" s="2" t="str">
        <f t="shared" si="482"/>
        <v>12260</v>
      </c>
      <c r="B13513" s="2" t="str">
        <f>"30828"</f>
        <v>30828</v>
      </c>
      <c r="C13513" s="1">
        <v>2.61998722756226E-5</v>
      </c>
      <c r="D13513" s="1">
        <v>3.8514866738561E-5</v>
      </c>
      <c r="E13513" s="1">
        <v>0</v>
      </c>
      <c r="F13513" s="1">
        <v>2.6556271263458799E-5</v>
      </c>
    </row>
    <row r="13514" spans="1:6" x14ac:dyDescent="0.25">
      <c r="A13514" s="2" t="str">
        <f t="shared" si="482"/>
        <v>12260</v>
      </c>
      <c r="B13514" s="2" t="str">
        <f>"30824"</f>
        <v>30824</v>
      </c>
      <c r="C13514" s="1">
        <v>2.7326466783474401E-2</v>
      </c>
      <c r="D13514" s="1">
        <v>3.3276844862116697E-2</v>
      </c>
      <c r="E13514" s="1">
        <v>2.4888069528575099E-2</v>
      </c>
      <c r="F13514" s="1">
        <v>2.7727697895858099E-2</v>
      </c>
    </row>
    <row r="13515" spans="1:6" x14ac:dyDescent="0.25">
      <c r="A13515" s="2" t="str">
        <f t="shared" si="482"/>
        <v>12260</v>
      </c>
      <c r="B13515" s="2" t="str">
        <f>"30816"</f>
        <v>30816</v>
      </c>
      <c r="C13515" s="1">
        <v>3.0097103276621501E-3</v>
      </c>
      <c r="D13515" s="1">
        <v>1.5020798028038799E-3</v>
      </c>
      <c r="E13515" s="1">
        <v>2.50197524361337E-3</v>
      </c>
      <c r="F13515" s="1">
        <v>2.8828307804888102E-3</v>
      </c>
    </row>
    <row r="13516" spans="1:6" x14ac:dyDescent="0.25">
      <c r="A13516" s="2" t="str">
        <f t="shared" si="482"/>
        <v>12260</v>
      </c>
      <c r="B13516" s="2" t="str">
        <f>"30806"</f>
        <v>30806</v>
      </c>
      <c r="C13516" s="1">
        <v>0</v>
      </c>
      <c r="D13516" s="1">
        <v>3.8514866738561E-5</v>
      </c>
      <c r="E13516" s="1">
        <v>0</v>
      </c>
      <c r="F13516" s="1">
        <v>2.9506968070509799E-6</v>
      </c>
    </row>
    <row r="13517" spans="1:6" x14ac:dyDescent="0.25">
      <c r="A13517" s="2" t="str">
        <f t="shared" si="482"/>
        <v>12260</v>
      </c>
      <c r="B13517" s="2" t="str">
        <f>"30426"</f>
        <v>30426</v>
      </c>
      <c r="C13517" s="1">
        <v>1.77504134667343E-3</v>
      </c>
      <c r="D13517" s="1">
        <v>6.9326760129409905E-4</v>
      </c>
      <c r="E13517" s="1">
        <v>1.31682907558598E-3</v>
      </c>
      <c r="F13517" s="1">
        <v>1.6818971800190599E-3</v>
      </c>
    </row>
    <row r="13518" spans="1:6" x14ac:dyDescent="0.25">
      <c r="A13518" s="2" t="str">
        <f t="shared" si="482"/>
        <v>12260</v>
      </c>
      <c r="B13518" s="2" t="str">
        <f>"29802"</f>
        <v>29802</v>
      </c>
      <c r="C13518" s="1">
        <v>6.9134912967299201E-3</v>
      </c>
      <c r="D13518" s="1">
        <v>2.10291172392543E-2</v>
      </c>
      <c r="E13518" s="1">
        <v>2.6336581511719699E-4</v>
      </c>
      <c r="F13518" s="1">
        <v>7.8459028099485597E-3</v>
      </c>
    </row>
    <row r="13519" spans="1:6" x14ac:dyDescent="0.25">
      <c r="A13519" s="2" t="str">
        <f t="shared" si="482"/>
        <v>12260</v>
      </c>
      <c r="B13519" s="2" t="str">
        <f>"29822"</f>
        <v>29822</v>
      </c>
      <c r="C13519" s="1">
        <v>0</v>
      </c>
      <c r="D13519" s="1">
        <v>7.7029733477122095E-5</v>
      </c>
      <c r="E13519" s="1">
        <v>0</v>
      </c>
      <c r="F13519" s="1">
        <v>5.9013936141019699E-6</v>
      </c>
    </row>
    <row r="13520" spans="1:6" x14ac:dyDescent="0.25">
      <c r="A13520" s="2" t="str">
        <f t="shared" si="482"/>
        <v>12260</v>
      </c>
      <c r="B13520" s="2" t="str">
        <f>"29164"</f>
        <v>29164</v>
      </c>
      <c r="C13520" s="1">
        <v>7.0379406900391303E-3</v>
      </c>
      <c r="D13520" s="1">
        <v>1.81019873671237E-3</v>
      </c>
      <c r="E13520" s="1">
        <v>9.2178035291019204E-4</v>
      </c>
      <c r="F13520" s="1">
        <v>6.5003850659333196E-3</v>
      </c>
    </row>
    <row r="13521" spans="1:6" x14ac:dyDescent="0.25">
      <c r="A13521" s="2" t="str">
        <f t="shared" si="482"/>
        <v>12260</v>
      </c>
      <c r="B13521" s="2" t="str">
        <f>"30917"</f>
        <v>30917</v>
      </c>
      <c r="C13521" s="1">
        <v>5.9277211023596203E-3</v>
      </c>
      <c r="D13521" s="1">
        <v>1.8179017100600801E-2</v>
      </c>
      <c r="E13521" s="1">
        <v>2.6336581511719699E-4</v>
      </c>
      <c r="F13521" s="1">
        <v>6.7393915073044397E-3</v>
      </c>
    </row>
    <row r="13522" spans="1:6" x14ac:dyDescent="0.25">
      <c r="A13522" s="2" t="str">
        <f t="shared" si="482"/>
        <v>12260</v>
      </c>
      <c r="B13522" s="2" t="str">
        <f>"30907"</f>
        <v>30907</v>
      </c>
      <c r="C13522" s="1">
        <v>7.4168563428253204E-2</v>
      </c>
      <c r="D13522" s="1">
        <v>9.7789246649206504E-2</v>
      </c>
      <c r="E13522" s="1">
        <v>0.121938372399262</v>
      </c>
      <c r="F13522" s="1">
        <v>7.7048595025715302E-2</v>
      </c>
    </row>
    <row r="13523" spans="1:6" x14ac:dyDescent="0.25">
      <c r="A13523" s="2" t="str">
        <f t="shared" si="482"/>
        <v>12260</v>
      </c>
      <c r="B13523" s="2" t="str">
        <f>"30904"</f>
        <v>30904</v>
      </c>
      <c r="C13523" s="1">
        <v>4.5227529515793598E-2</v>
      </c>
      <c r="D13523" s="1">
        <v>5.2688337698351503E-2</v>
      </c>
      <c r="E13523" s="1">
        <v>8.7305767711350998E-2</v>
      </c>
      <c r="F13523" s="1">
        <v>4.6741988120494599E-2</v>
      </c>
    </row>
    <row r="13524" spans="1:6" x14ac:dyDescent="0.25">
      <c r="A13524" s="2" t="str">
        <f t="shared" si="482"/>
        <v>12260</v>
      </c>
      <c r="B13524" s="2" t="str">
        <f>"30901"</f>
        <v>30901</v>
      </c>
      <c r="C13524" s="1">
        <v>3.1109073343267402E-2</v>
      </c>
      <c r="D13524" s="1">
        <v>9.3629641041441905E-2</v>
      </c>
      <c r="E13524" s="1">
        <v>6.7421648670002596E-2</v>
      </c>
      <c r="F13524" s="1">
        <v>3.6712569673328303E-2</v>
      </c>
    </row>
    <row r="13525" spans="1:6" x14ac:dyDescent="0.25">
      <c r="A13525" s="2" t="str">
        <f t="shared" si="482"/>
        <v>12260</v>
      </c>
      <c r="B13525" s="2" t="str">
        <f>"29850"</f>
        <v>29850</v>
      </c>
      <c r="C13525" s="1">
        <v>0</v>
      </c>
      <c r="D13525" s="1">
        <v>7.7029733477122095E-5</v>
      </c>
      <c r="E13525" s="1">
        <v>0</v>
      </c>
      <c r="F13525" s="1">
        <v>5.9013936141019699E-6</v>
      </c>
    </row>
    <row r="13526" spans="1:6" x14ac:dyDescent="0.25">
      <c r="A13526" s="2" t="str">
        <f t="shared" si="482"/>
        <v>12260</v>
      </c>
      <c r="B13526" s="2" t="str">
        <f>"29839"</f>
        <v>29839</v>
      </c>
      <c r="C13526" s="1">
        <v>1.4770177995382201E-3</v>
      </c>
      <c r="D13526" s="1">
        <v>1.1554460021568299E-3</v>
      </c>
      <c r="E13526" s="1">
        <v>1.3168290755859801E-4</v>
      </c>
      <c r="F13526" s="1">
        <v>1.42223586099857E-3</v>
      </c>
    </row>
    <row r="13527" spans="1:6" x14ac:dyDescent="0.25">
      <c r="A13527" s="2" t="str">
        <f t="shared" si="482"/>
        <v>12260</v>
      </c>
      <c r="B13527" s="2" t="str">
        <f>"29006"</f>
        <v>29006</v>
      </c>
      <c r="C13527" s="1">
        <v>3.1963844176259599E-3</v>
      </c>
      <c r="D13527" s="1">
        <v>1.0399014019411401E-3</v>
      </c>
      <c r="E13527" s="1">
        <v>5.2673163023439495E-4</v>
      </c>
      <c r="F13527" s="1">
        <v>2.9713516847003399E-3</v>
      </c>
    </row>
    <row r="13528" spans="1:6" x14ac:dyDescent="0.25">
      <c r="A13528" s="2" t="str">
        <f t="shared" si="482"/>
        <v>12260</v>
      </c>
      <c r="B13528" s="2" t="str">
        <f>"30914"</f>
        <v>30914</v>
      </c>
      <c r="C13528" s="1">
        <v>3.5599076454502199E-3</v>
      </c>
      <c r="D13528" s="1">
        <v>1.6137729163457001E-2</v>
      </c>
      <c r="E13528" s="1">
        <v>2.6336581511719699E-4</v>
      </c>
      <c r="F13528" s="1">
        <v>4.4496507850328802E-3</v>
      </c>
    </row>
    <row r="13529" spans="1:6" x14ac:dyDescent="0.25">
      <c r="A13529" s="2" t="str">
        <f t="shared" si="482"/>
        <v>12260</v>
      </c>
      <c r="B13529" s="2" t="str">
        <f>"30802"</f>
        <v>30802</v>
      </c>
      <c r="C13529" s="1">
        <v>1.0633873159868299E-2</v>
      </c>
      <c r="D13529" s="1">
        <v>4.2751502079802798E-3</v>
      </c>
      <c r="E13529" s="1">
        <v>2.6336581511719699E-4</v>
      </c>
      <c r="F13529" s="1">
        <v>9.9143412716912998E-3</v>
      </c>
    </row>
    <row r="13530" spans="1:6" x14ac:dyDescent="0.25">
      <c r="A13530" s="2" t="str">
        <f t="shared" si="482"/>
        <v>12260</v>
      </c>
      <c r="B13530" s="2" t="str">
        <f>"30668"</f>
        <v>30668</v>
      </c>
      <c r="C13530" s="1">
        <v>1.54906744829618E-3</v>
      </c>
      <c r="D13530" s="1">
        <v>3.08118933908488E-4</v>
      </c>
      <c r="E13530" s="1">
        <v>3.95048722675796E-4</v>
      </c>
      <c r="F13530" s="1">
        <v>1.42813725461267E-3</v>
      </c>
    </row>
    <row r="13531" spans="1:6" x14ac:dyDescent="0.25">
      <c r="A13531" s="2" t="str">
        <f t="shared" si="482"/>
        <v>12260</v>
      </c>
      <c r="B13531" s="2" t="str">
        <f>"29847"</f>
        <v>29847</v>
      </c>
      <c r="C13531" s="1">
        <v>8.3381093517169106E-3</v>
      </c>
      <c r="D13531" s="1">
        <v>3.5433677399476101E-3</v>
      </c>
      <c r="E13531" s="1">
        <v>2.76534105873057E-3</v>
      </c>
      <c r="F13531" s="1">
        <v>7.8459028099485597E-3</v>
      </c>
    </row>
    <row r="13532" spans="1:6" x14ac:dyDescent="0.25">
      <c r="A13532" s="2" t="str">
        <f t="shared" ref="A13532:A13568" si="483">"12260"</f>
        <v>12260</v>
      </c>
      <c r="B13532" s="2" t="str">
        <f>"29809"</f>
        <v>29809</v>
      </c>
      <c r="C13532" s="1">
        <v>4.8175015146801102E-3</v>
      </c>
      <c r="D13532" s="1">
        <v>8.3962409490063103E-3</v>
      </c>
      <c r="E13532" s="1">
        <v>3.2920726889649702E-3</v>
      </c>
      <c r="F13532" s="1">
        <v>5.0574943272853803E-3</v>
      </c>
    </row>
    <row r="13533" spans="1:6" x14ac:dyDescent="0.25">
      <c r="A13533" s="2" t="str">
        <f t="shared" si="483"/>
        <v>12260</v>
      </c>
      <c r="B13533" s="2" t="str">
        <f>"29845"</f>
        <v>29845</v>
      </c>
      <c r="C13533" s="1">
        <v>2.9474856310075398E-5</v>
      </c>
      <c r="D13533" s="1">
        <v>0</v>
      </c>
      <c r="E13533" s="1">
        <v>0</v>
      </c>
      <c r="F13533" s="1">
        <v>2.6556271263458799E-5</v>
      </c>
    </row>
    <row r="13534" spans="1:6" x14ac:dyDescent="0.25">
      <c r="A13534" s="2" t="str">
        <f t="shared" si="483"/>
        <v>12260</v>
      </c>
      <c r="B13534" s="2" t="str">
        <f>"29828"</f>
        <v>29828</v>
      </c>
      <c r="C13534" s="1">
        <v>9.9559514647365997E-4</v>
      </c>
      <c r="D13534" s="1">
        <v>7.7029733477122103E-4</v>
      </c>
      <c r="E13534" s="1">
        <v>5.2673163023439495E-4</v>
      </c>
      <c r="F13534" s="1">
        <v>9.6782855271272303E-4</v>
      </c>
    </row>
    <row r="13535" spans="1:6" x14ac:dyDescent="0.25">
      <c r="A13535" s="2" t="str">
        <f t="shared" si="483"/>
        <v>12260</v>
      </c>
      <c r="B13535" s="2" t="str">
        <f>"29838"</f>
        <v>29838</v>
      </c>
      <c r="C13535" s="1">
        <v>4.09373004306604E-4</v>
      </c>
      <c r="D13535" s="1">
        <v>0</v>
      </c>
      <c r="E13535" s="1">
        <v>0</v>
      </c>
      <c r="F13535" s="1">
        <v>3.6883710088137298E-4</v>
      </c>
    </row>
    <row r="13536" spans="1:6" x14ac:dyDescent="0.25">
      <c r="A13536" s="2" t="str">
        <f t="shared" si="483"/>
        <v>12260</v>
      </c>
      <c r="B13536" s="2" t="str">
        <f>"29842"</f>
        <v>29842</v>
      </c>
      <c r="C13536" s="1">
        <v>1.3217835563051601E-2</v>
      </c>
      <c r="D13536" s="1">
        <v>1.05145586196271E-2</v>
      </c>
      <c r="E13536" s="1">
        <v>2.2386094284961799E-3</v>
      </c>
      <c r="F13536" s="1">
        <v>1.2764714387302501E-2</v>
      </c>
    </row>
    <row r="13537" spans="1:6" x14ac:dyDescent="0.25">
      <c r="A13537" s="2" t="str">
        <f t="shared" si="483"/>
        <v>12260</v>
      </c>
      <c r="B13537" s="2" t="str">
        <f>"29821"</f>
        <v>29821</v>
      </c>
      <c r="C13537" s="1">
        <v>1.0217950187492799E-3</v>
      </c>
      <c r="D13537" s="1">
        <v>3.4663380064704898E-4</v>
      </c>
      <c r="E13537" s="1">
        <v>0</v>
      </c>
      <c r="F13537" s="1">
        <v>9.4717367506336604E-4</v>
      </c>
    </row>
    <row r="13538" spans="1:6" x14ac:dyDescent="0.25">
      <c r="A13538" s="2" t="str">
        <f t="shared" si="483"/>
        <v>12260</v>
      </c>
      <c r="B13538" s="2" t="str">
        <f>"29146"</f>
        <v>29146</v>
      </c>
      <c r="C13538" s="1">
        <v>8.3839591281992503E-4</v>
      </c>
      <c r="D13538" s="1">
        <v>1.9257433369280501E-4</v>
      </c>
      <c r="E13538" s="1">
        <v>1.3168290755859801E-4</v>
      </c>
      <c r="F13538" s="1">
        <v>7.7308256344735802E-4</v>
      </c>
    </row>
    <row r="13539" spans="1:6" x14ac:dyDescent="0.25">
      <c r="A13539" s="2" t="str">
        <f t="shared" si="483"/>
        <v>12260</v>
      </c>
      <c r="B13539" s="2" t="str">
        <f>"29105"</f>
        <v>29105</v>
      </c>
      <c r="C13539" s="1">
        <v>2.0108401971540299E-3</v>
      </c>
      <c r="D13539" s="1">
        <v>7.7029733477122103E-4</v>
      </c>
      <c r="E13539" s="1">
        <v>9.2178035291019204E-4</v>
      </c>
      <c r="F13539" s="1">
        <v>1.8913966533196801E-3</v>
      </c>
    </row>
    <row r="13540" spans="1:6" x14ac:dyDescent="0.25">
      <c r="A13540" s="2" t="str">
        <f t="shared" si="483"/>
        <v>12260</v>
      </c>
      <c r="B13540" s="2" t="str">
        <f>"29129"</f>
        <v>29129</v>
      </c>
      <c r="C13540" s="1">
        <v>3.1472596571091699E-3</v>
      </c>
      <c r="D13540" s="1">
        <v>5.7772300107841604E-4</v>
      </c>
      <c r="E13540" s="1">
        <v>1.31682907558598E-3</v>
      </c>
      <c r="F13540" s="1">
        <v>2.9093870517522698E-3</v>
      </c>
    </row>
    <row r="13541" spans="1:6" x14ac:dyDescent="0.25">
      <c r="A13541" s="2" t="str">
        <f t="shared" si="483"/>
        <v>12260</v>
      </c>
      <c r="B13541" s="2" t="str">
        <f>"30912"</f>
        <v>30912</v>
      </c>
      <c r="C13541" s="1">
        <v>0</v>
      </c>
      <c r="D13541" s="1">
        <v>1.07841626867971E-3</v>
      </c>
      <c r="E13541" s="1">
        <v>1.3168290755859801E-4</v>
      </c>
      <c r="F13541" s="1">
        <v>8.5570207404478502E-5</v>
      </c>
    </row>
    <row r="13542" spans="1:6" x14ac:dyDescent="0.25">
      <c r="A13542" s="2" t="str">
        <f t="shared" si="483"/>
        <v>12260</v>
      </c>
      <c r="B13542" s="2" t="str">
        <f>"30815"</f>
        <v>30815</v>
      </c>
      <c r="C13542" s="1">
        <v>6.3089292439699296E-2</v>
      </c>
      <c r="D13542" s="1">
        <v>2.2492682175319599E-2</v>
      </c>
      <c r="E13542" s="1">
        <v>6.5051356333947805E-2</v>
      </c>
      <c r="F13542" s="1">
        <v>6.00230744490311E-2</v>
      </c>
    </row>
    <row r="13543" spans="1:6" x14ac:dyDescent="0.25">
      <c r="A13543" s="2" t="str">
        <f t="shared" si="483"/>
        <v>12260</v>
      </c>
      <c r="B13543" s="2" t="str">
        <f>"30808"</f>
        <v>30808</v>
      </c>
      <c r="C13543" s="1">
        <v>6.4517185478720701E-3</v>
      </c>
      <c r="D13543" s="1">
        <v>2.0027730704051702E-3</v>
      </c>
      <c r="E13543" s="1">
        <v>5.9257308401369502E-3</v>
      </c>
      <c r="F13543" s="1">
        <v>6.0990903001743799E-3</v>
      </c>
    </row>
    <row r="13544" spans="1:6" x14ac:dyDescent="0.25">
      <c r="A13544" s="2" t="str">
        <f t="shared" si="483"/>
        <v>12260</v>
      </c>
      <c r="B13544" s="2" t="str">
        <f>"30813"</f>
        <v>30813</v>
      </c>
      <c r="C13544" s="1">
        <v>6.1874273362917301E-2</v>
      </c>
      <c r="D13544" s="1">
        <v>2.2415652441842501E-2</v>
      </c>
      <c r="E13544" s="1">
        <v>3.88464577297866E-2</v>
      </c>
      <c r="F13544" s="1">
        <v>5.8335275875397899E-2</v>
      </c>
    </row>
    <row r="13545" spans="1:6" x14ac:dyDescent="0.25">
      <c r="A13545" s="2" t="str">
        <f t="shared" si="483"/>
        <v>12260</v>
      </c>
      <c r="B13545" s="2" t="str">
        <f>"30442"</f>
        <v>30442</v>
      </c>
      <c r="C13545" s="1">
        <v>3.6679821185871698E-4</v>
      </c>
      <c r="D13545" s="1">
        <v>1.9257433369280501E-4</v>
      </c>
      <c r="E13545" s="1">
        <v>0</v>
      </c>
      <c r="F13545" s="1">
        <v>3.4523152642496502E-4</v>
      </c>
    </row>
    <row r="13546" spans="1:6" x14ac:dyDescent="0.25">
      <c r="A13546" s="2" t="str">
        <f t="shared" si="483"/>
        <v>12260</v>
      </c>
      <c r="B13546" s="2" t="str">
        <f>"30434"</f>
        <v>30434</v>
      </c>
      <c r="C13546" s="1">
        <v>5.5347230182252796E-4</v>
      </c>
      <c r="D13546" s="1">
        <v>1.9257433369280501E-4</v>
      </c>
      <c r="E13546" s="1">
        <v>0</v>
      </c>
      <c r="F13546" s="1">
        <v>5.1342124442687101E-4</v>
      </c>
    </row>
    <row r="13547" spans="1:6" x14ac:dyDescent="0.25">
      <c r="A13547" s="2" t="str">
        <f t="shared" si="483"/>
        <v>12260</v>
      </c>
      <c r="B13547" s="2" t="str">
        <f>"30456"</f>
        <v>30456</v>
      </c>
      <c r="C13547" s="1">
        <v>3.14398467307471E-3</v>
      </c>
      <c r="D13547" s="1">
        <v>1.5405946695424401E-3</v>
      </c>
      <c r="E13547" s="1">
        <v>1.5801948907031801E-3</v>
      </c>
      <c r="F13547" s="1">
        <v>2.9861051687355899E-3</v>
      </c>
    </row>
    <row r="13548" spans="1:6" x14ac:dyDescent="0.25">
      <c r="A13548" s="2" t="str">
        <f t="shared" si="483"/>
        <v>12260</v>
      </c>
      <c r="B13548" s="2" t="str">
        <f>"30441"</f>
        <v>30441</v>
      </c>
      <c r="C13548" s="1">
        <v>1.39186821464245E-3</v>
      </c>
      <c r="D13548" s="1">
        <v>1.11693113541827E-3</v>
      </c>
      <c r="E13548" s="1">
        <v>2.6336581511719699E-4</v>
      </c>
      <c r="F13548" s="1">
        <v>1.3455177440152399E-3</v>
      </c>
    </row>
    <row r="13549" spans="1:6" x14ac:dyDescent="0.25">
      <c r="A13549" s="2" t="str">
        <f t="shared" si="483"/>
        <v>12260</v>
      </c>
      <c r="B13549" s="2" t="str">
        <f>"29832"</f>
        <v>29832</v>
      </c>
      <c r="C13549" s="1">
        <v>7.1853149715895102E-3</v>
      </c>
      <c r="D13549" s="1">
        <v>7.8185179479278999E-3</v>
      </c>
      <c r="E13549" s="1">
        <v>5.1356333947853499E-3</v>
      </c>
      <c r="F13549" s="1">
        <v>7.1878974219761896E-3</v>
      </c>
    </row>
    <row r="13550" spans="1:6" x14ac:dyDescent="0.25">
      <c r="A13550" s="2" t="str">
        <f t="shared" si="483"/>
        <v>12260</v>
      </c>
      <c r="B13550" s="2" t="str">
        <f>"30903"</f>
        <v>30903</v>
      </c>
      <c r="C13550" s="1">
        <v>6.4418935957687197E-3</v>
      </c>
      <c r="D13550" s="1">
        <v>2.1337236173162799E-2</v>
      </c>
      <c r="E13550" s="1">
        <v>2.6336581511719699E-4</v>
      </c>
      <c r="F13550" s="1">
        <v>7.4446080441896304E-3</v>
      </c>
    </row>
    <row r="13551" spans="1:6" x14ac:dyDescent="0.25">
      <c r="A13551" s="2" t="str">
        <f t="shared" si="483"/>
        <v>12260</v>
      </c>
      <c r="B13551" s="2" t="str">
        <f>"30821"</f>
        <v>30821</v>
      </c>
      <c r="C13551" s="1">
        <v>9.8249521033584893E-6</v>
      </c>
      <c r="D13551" s="1">
        <v>0</v>
      </c>
      <c r="E13551" s="1">
        <v>0</v>
      </c>
      <c r="F13551" s="1">
        <v>8.8520904211529506E-6</v>
      </c>
    </row>
    <row r="13552" spans="1:6" x14ac:dyDescent="0.25">
      <c r="A13552" s="2" t="str">
        <f t="shared" si="483"/>
        <v>12260</v>
      </c>
      <c r="B13552" s="2" t="str">
        <f>"29860"</f>
        <v>29860</v>
      </c>
      <c r="C13552" s="1">
        <v>2.5191177193011099E-2</v>
      </c>
      <c r="D13552" s="1">
        <v>8.1266368818363795E-3</v>
      </c>
      <c r="E13552" s="1">
        <v>4.2138530418751596E-3</v>
      </c>
      <c r="F13552" s="1">
        <v>2.3413779163949499E-2</v>
      </c>
    </row>
    <row r="13553" spans="1:6" x14ac:dyDescent="0.25">
      <c r="A13553" s="2" t="str">
        <f t="shared" si="483"/>
        <v>12260</v>
      </c>
      <c r="B13553" s="2" t="str">
        <f>"29804"</f>
        <v>29804</v>
      </c>
      <c r="C13553" s="1">
        <v>4.4867281272003698E-3</v>
      </c>
      <c r="D13553" s="1">
        <v>1.05145586196271E-2</v>
      </c>
      <c r="E13553" s="1">
        <v>2.6336581511719699E-4</v>
      </c>
      <c r="F13553" s="1">
        <v>4.8538962475988701E-3</v>
      </c>
    </row>
    <row r="13554" spans="1:6" x14ac:dyDescent="0.25">
      <c r="A13554" s="2" t="str">
        <f t="shared" si="483"/>
        <v>12260</v>
      </c>
      <c r="B13554" s="2" t="str">
        <f>"29841"</f>
        <v>29841</v>
      </c>
      <c r="C13554" s="1">
        <v>5.3575463819613797E-2</v>
      </c>
      <c r="D13554" s="1">
        <v>4.4869819750423597E-2</v>
      </c>
      <c r="E13554" s="1">
        <v>2.7258361864629901E-2</v>
      </c>
      <c r="F13554" s="1">
        <v>5.2318805085820999E-2</v>
      </c>
    </row>
    <row r="13555" spans="1:6" x14ac:dyDescent="0.25">
      <c r="A13555" s="2" t="str">
        <f t="shared" si="483"/>
        <v>12260</v>
      </c>
      <c r="B13555" s="2" t="str">
        <f>"29831"</f>
        <v>29831</v>
      </c>
      <c r="C13555" s="1">
        <v>6.97899097741898E-3</v>
      </c>
      <c r="D13555" s="1">
        <v>3.1582190725620001E-3</v>
      </c>
      <c r="E13555" s="1">
        <v>2.1069265209375798E-3</v>
      </c>
      <c r="F13555" s="1">
        <v>6.5771031829166401E-3</v>
      </c>
    </row>
    <row r="13556" spans="1:6" x14ac:dyDescent="0.25">
      <c r="A13556" s="2" t="str">
        <f t="shared" si="483"/>
        <v>12260</v>
      </c>
      <c r="B13556" s="2" t="str">
        <f>"29824"</f>
        <v>29824</v>
      </c>
      <c r="C13556" s="1">
        <v>1.06797229363506E-2</v>
      </c>
      <c r="D13556" s="1">
        <v>1.2940995224156499E-2</v>
      </c>
      <c r="E13556" s="1">
        <v>1.3563339478535601E-2</v>
      </c>
      <c r="F13556" s="1">
        <v>1.09175781860886E-2</v>
      </c>
    </row>
    <row r="13557" spans="1:6" x14ac:dyDescent="0.25">
      <c r="A13557" s="2" t="str">
        <f t="shared" si="483"/>
        <v>12260</v>
      </c>
      <c r="B13557" s="2" t="str">
        <f>"30919"</f>
        <v>30919</v>
      </c>
      <c r="C13557" s="1">
        <v>3.7531317034829401E-3</v>
      </c>
      <c r="D13557" s="1">
        <v>1.3326143891542099E-2</v>
      </c>
      <c r="E13557" s="1">
        <v>2.6336581511719699E-4</v>
      </c>
      <c r="F13557" s="1">
        <v>4.4083410297341696E-3</v>
      </c>
    </row>
    <row r="13558" spans="1:6" x14ac:dyDescent="0.25">
      <c r="A13558" s="2" t="str">
        <f t="shared" si="483"/>
        <v>12260</v>
      </c>
      <c r="B13558" s="2" t="str">
        <f>"30916"</f>
        <v>30916</v>
      </c>
      <c r="C13558" s="1">
        <v>7.6667376246540696E-3</v>
      </c>
      <c r="D13558" s="1">
        <v>1.1053766753967E-2</v>
      </c>
      <c r="E13558" s="1">
        <v>1.3168290755859801E-4</v>
      </c>
      <c r="F13558" s="1">
        <v>7.7573819057370303E-3</v>
      </c>
    </row>
    <row r="13559" spans="1:6" x14ac:dyDescent="0.25">
      <c r="A13559" s="2" t="str">
        <f t="shared" si="483"/>
        <v>12260</v>
      </c>
      <c r="B13559" s="2" t="str">
        <f>"30817"</f>
        <v>30817</v>
      </c>
      <c r="C13559" s="1">
        <v>1.3967806906941301E-2</v>
      </c>
      <c r="D13559" s="1">
        <v>8.1651517485749406E-3</v>
      </c>
      <c r="E13559" s="1">
        <v>7.3742428232815302E-3</v>
      </c>
      <c r="F13559" s="1">
        <v>1.3375508626362101E-2</v>
      </c>
    </row>
    <row r="13560" spans="1:6" x14ac:dyDescent="0.25">
      <c r="A13560" s="2" t="str">
        <f t="shared" si="483"/>
        <v>12260</v>
      </c>
      <c r="B13560" s="2" t="str">
        <f>"30812"</f>
        <v>30812</v>
      </c>
      <c r="C13560" s="1">
        <v>0</v>
      </c>
      <c r="D13560" s="1">
        <v>3.8514866738561E-5</v>
      </c>
      <c r="E13560" s="1">
        <v>0</v>
      </c>
      <c r="F13560" s="1">
        <v>2.9506968070509799E-6</v>
      </c>
    </row>
    <row r="13561" spans="1:6" x14ac:dyDescent="0.25">
      <c r="A13561" s="2" t="str">
        <f t="shared" si="483"/>
        <v>12260</v>
      </c>
      <c r="B13561" s="2" t="str">
        <f>"30809"</f>
        <v>30809</v>
      </c>
      <c r="C13561" s="1">
        <v>7.1551851184725401E-2</v>
      </c>
      <c r="D13561" s="1">
        <v>6.98659682637498E-2</v>
      </c>
      <c r="E13561" s="1">
        <v>4.5167237292599402E-2</v>
      </c>
      <c r="F13561" s="1">
        <v>7.0831476853258801E-2</v>
      </c>
    </row>
    <row r="13562" spans="1:6" x14ac:dyDescent="0.25">
      <c r="A13562" s="2" t="str">
        <f t="shared" si="483"/>
        <v>12260</v>
      </c>
      <c r="B13562" s="2" t="str">
        <f>"29861"</f>
        <v>29861</v>
      </c>
      <c r="C13562" s="1">
        <v>3.9889305539635399E-3</v>
      </c>
      <c r="D13562" s="1">
        <v>1.30565398243722E-2</v>
      </c>
      <c r="E13562" s="1">
        <v>2.6336581511719699E-4</v>
      </c>
      <c r="F13562" s="1">
        <v>4.6001363221924796E-3</v>
      </c>
    </row>
    <row r="13563" spans="1:6" x14ac:dyDescent="0.25">
      <c r="A13563" s="2" t="str">
        <f t="shared" si="483"/>
        <v>12260</v>
      </c>
      <c r="B13563" s="2" t="str">
        <f>"29853"</f>
        <v>29853</v>
      </c>
      <c r="C13563" s="1">
        <v>2.4038382812883699E-3</v>
      </c>
      <c r="D13563" s="1">
        <v>4.6217840086273297E-4</v>
      </c>
      <c r="E13563" s="1">
        <v>0</v>
      </c>
      <c r="F13563" s="1">
        <v>2.2012198180600298E-3</v>
      </c>
    </row>
    <row r="13564" spans="1:6" x14ac:dyDescent="0.25">
      <c r="A13564" s="2" t="str">
        <f t="shared" si="483"/>
        <v>12260</v>
      </c>
      <c r="B13564" s="2" t="str">
        <f>"29805"</f>
        <v>29805</v>
      </c>
      <c r="C13564" s="1">
        <v>1.0588023383386E-2</v>
      </c>
      <c r="D13564" s="1">
        <v>4.6217840086273301E-3</v>
      </c>
      <c r="E13564" s="1">
        <v>1.84356070582038E-3</v>
      </c>
      <c r="F13564" s="1">
        <v>9.9349961493406594E-3</v>
      </c>
    </row>
    <row r="13565" spans="1:6" x14ac:dyDescent="0.25">
      <c r="A13565" s="2" t="str">
        <f t="shared" si="483"/>
        <v>12260</v>
      </c>
      <c r="B13565" s="2" t="str">
        <f>"29829"</f>
        <v>29829</v>
      </c>
      <c r="C13565" s="1">
        <v>1.69775172346034E-2</v>
      </c>
      <c r="D13565" s="1">
        <v>7.5103990140194098E-3</v>
      </c>
      <c r="E13565" s="1">
        <v>4.4772188569923597E-3</v>
      </c>
      <c r="F13565" s="1">
        <v>1.59721218165669E-2</v>
      </c>
    </row>
    <row r="13566" spans="1:6" x14ac:dyDescent="0.25">
      <c r="A13566" s="2" t="str">
        <f t="shared" si="483"/>
        <v>12260</v>
      </c>
      <c r="B13566" s="2" t="str">
        <f>"30905"</f>
        <v>30905</v>
      </c>
      <c r="C13566" s="1">
        <v>7.3883639817255804E-3</v>
      </c>
      <c r="D13566" s="1">
        <v>2.3956247111384901E-2</v>
      </c>
      <c r="E13566" s="1">
        <v>0.11140373979457401</v>
      </c>
      <c r="F13566" s="1">
        <v>1.0988394909457799E-2</v>
      </c>
    </row>
    <row r="13567" spans="1:6" x14ac:dyDescent="0.25">
      <c r="A13567" s="2" t="str">
        <f t="shared" si="483"/>
        <v>12260</v>
      </c>
      <c r="B13567" s="2" t="str">
        <f>"30814"</f>
        <v>30814</v>
      </c>
      <c r="C13567" s="1">
        <v>1.3427434541256601E-2</v>
      </c>
      <c r="D13567" s="1">
        <v>4.8528732090586902E-3</v>
      </c>
      <c r="E13567" s="1">
        <v>2.2386094284961799E-3</v>
      </c>
      <c r="F13567" s="1">
        <v>1.2519806552317299E-2</v>
      </c>
    </row>
    <row r="13568" spans="1:6" x14ac:dyDescent="0.25">
      <c r="A13568" s="2" t="str">
        <f t="shared" si="483"/>
        <v>12260</v>
      </c>
      <c r="B13568" s="2" t="str">
        <f>"30467"</f>
        <v>30467</v>
      </c>
      <c r="C13568" s="1">
        <v>3.27498403445283E-6</v>
      </c>
      <c r="D13568" s="1">
        <v>0</v>
      </c>
      <c r="E13568" s="1">
        <v>0</v>
      </c>
      <c r="F13568" s="1">
        <v>2.9506968070509799E-6</v>
      </c>
    </row>
    <row r="13569" spans="1:6" x14ac:dyDescent="0.25">
      <c r="A13569" s="2" t="str">
        <f t="shared" ref="A13569:A13590" si="484">"15260"</f>
        <v>15260</v>
      </c>
      <c r="B13569" s="2" t="str">
        <f>"31542"</f>
        <v>31542</v>
      </c>
      <c r="C13569" s="1">
        <v>1.8670866719677E-2</v>
      </c>
      <c r="D13569" s="1">
        <v>8.02752293577981E-3</v>
      </c>
      <c r="E13569" s="1">
        <v>1.4450867052023099E-3</v>
      </c>
      <c r="F13569" s="1">
        <v>1.7340962091219599E-2</v>
      </c>
    </row>
    <row r="13570" spans="1:6" x14ac:dyDescent="0.25">
      <c r="A13570" s="2" t="str">
        <f t="shared" si="484"/>
        <v>15260</v>
      </c>
      <c r="B13570" s="2" t="str">
        <f>"31524"</f>
        <v>31524</v>
      </c>
      <c r="C13570" s="1">
        <v>0</v>
      </c>
      <c r="D13570" s="1">
        <v>2.8669724770642198E-4</v>
      </c>
      <c r="E13570" s="1">
        <v>0</v>
      </c>
      <c r="F13570" s="1">
        <v>2.7116437984706299E-5</v>
      </c>
    </row>
    <row r="13571" spans="1:6" x14ac:dyDescent="0.25">
      <c r="A13571" s="2" t="str">
        <f t="shared" si="484"/>
        <v>15260</v>
      </c>
      <c r="B13571" s="2" t="str">
        <f>"31553"</f>
        <v>31553</v>
      </c>
      <c r="C13571" s="1">
        <v>3.3671784206985099E-2</v>
      </c>
      <c r="D13571" s="1">
        <v>2.06422018348623E-2</v>
      </c>
      <c r="E13571" s="1">
        <v>4.1907514450867003E-2</v>
      </c>
      <c r="F13571" s="1">
        <v>3.2593958457616999E-2</v>
      </c>
    </row>
    <row r="13572" spans="1:6" x14ac:dyDescent="0.25">
      <c r="A13572" s="2" t="str">
        <f t="shared" si="484"/>
        <v>15260</v>
      </c>
      <c r="B13572" s="2" t="str">
        <f>"31305"</f>
        <v>31305</v>
      </c>
      <c r="C13572" s="1">
        <v>2.9787754602727898E-2</v>
      </c>
      <c r="D13572" s="1">
        <v>2.9386467889908199E-2</v>
      </c>
      <c r="E13572" s="1">
        <v>2.0231213872832301E-2</v>
      </c>
      <c r="F13572" s="1">
        <v>2.95704756223222E-2</v>
      </c>
    </row>
    <row r="13573" spans="1:6" x14ac:dyDescent="0.25">
      <c r="A13573" s="2" t="str">
        <f t="shared" si="484"/>
        <v>15260</v>
      </c>
      <c r="B13573" s="2" t="str">
        <f>"31566"</f>
        <v>31566</v>
      </c>
      <c r="C13573" s="1">
        <v>2.4466328215793001E-2</v>
      </c>
      <c r="D13573" s="1">
        <v>7.4541284403669703E-3</v>
      </c>
      <c r="E13573" s="1">
        <v>4.3352601156069299E-3</v>
      </c>
      <c r="F13573" s="1">
        <v>2.2479527089321501E-2</v>
      </c>
    </row>
    <row r="13574" spans="1:6" x14ac:dyDescent="0.25">
      <c r="A13574" s="2" t="str">
        <f t="shared" si="484"/>
        <v>15260</v>
      </c>
      <c r="B13574" s="2" t="str">
        <f>"31503"</f>
        <v>31503</v>
      </c>
      <c r="C13574" s="1">
        <v>1.8135665789956502E-2</v>
      </c>
      <c r="D13574" s="1">
        <v>3.0103211009174301E-3</v>
      </c>
      <c r="E13574" s="1">
        <v>0</v>
      </c>
      <c r="F13574" s="1">
        <v>1.6364770323770199E-2</v>
      </c>
    </row>
    <row r="13575" spans="1:6" x14ac:dyDescent="0.25">
      <c r="A13575" s="2" t="str">
        <f t="shared" si="484"/>
        <v>15260</v>
      </c>
      <c r="B13575" s="2" t="str">
        <f>"31537"</f>
        <v>31537</v>
      </c>
      <c r="C13575" s="1">
        <v>1.22331641078965E-4</v>
      </c>
      <c r="D13575" s="1">
        <v>0</v>
      </c>
      <c r="E13575" s="1">
        <v>0</v>
      </c>
      <c r="F13575" s="1">
        <v>1.0846575193882501E-4</v>
      </c>
    </row>
    <row r="13576" spans="1:6" x14ac:dyDescent="0.25">
      <c r="A13576" s="2" t="str">
        <f t="shared" si="484"/>
        <v>15260</v>
      </c>
      <c r="B13576" s="2" t="str">
        <f>"31525"</f>
        <v>31525</v>
      </c>
      <c r="C13576" s="1">
        <v>0.23047281179276999</v>
      </c>
      <c r="D13576" s="1">
        <v>0.14922591743119201</v>
      </c>
      <c r="E13576" s="1">
        <v>0.12138728323699401</v>
      </c>
      <c r="F13576" s="1">
        <v>0.22074136341450101</v>
      </c>
    </row>
    <row r="13577" spans="1:6" x14ac:dyDescent="0.25">
      <c r="A13577" s="2" t="str">
        <f t="shared" si="484"/>
        <v>15260</v>
      </c>
      <c r="B13577" s="2" t="str">
        <f>"31557"</f>
        <v>31557</v>
      </c>
      <c r="C13577" s="1">
        <v>1.1927335005198999E-3</v>
      </c>
      <c r="D13577" s="1">
        <v>1.4334862385321099E-4</v>
      </c>
      <c r="E13577" s="1">
        <v>0</v>
      </c>
      <c r="F13577" s="1">
        <v>1.0710993003958901E-3</v>
      </c>
    </row>
    <row r="13578" spans="1:6" x14ac:dyDescent="0.25">
      <c r="A13578" s="2" t="str">
        <f t="shared" si="484"/>
        <v>15260</v>
      </c>
      <c r="B13578" s="2" t="str">
        <f>"31323"</f>
        <v>31323</v>
      </c>
      <c r="C13578" s="1">
        <v>1.97259771239831E-3</v>
      </c>
      <c r="D13578" s="1">
        <v>7.1674311926605498E-4</v>
      </c>
      <c r="E13578" s="1">
        <v>0</v>
      </c>
      <c r="F13578" s="1">
        <v>1.8168013449753201E-3</v>
      </c>
    </row>
    <row r="13579" spans="1:6" x14ac:dyDescent="0.25">
      <c r="A13579" s="2" t="str">
        <f t="shared" si="484"/>
        <v>15260</v>
      </c>
      <c r="B13579" s="2" t="str">
        <f>"31319"</f>
        <v>31319</v>
      </c>
      <c r="C13579" s="1">
        <v>0</v>
      </c>
      <c r="D13579" s="1">
        <v>2.8669724770642198E-4</v>
      </c>
      <c r="E13579" s="1">
        <v>0</v>
      </c>
      <c r="F13579" s="1">
        <v>2.7116437984706299E-5</v>
      </c>
    </row>
    <row r="13580" spans="1:6" x14ac:dyDescent="0.25">
      <c r="A13580" s="2" t="str">
        <f t="shared" si="484"/>
        <v>15260</v>
      </c>
      <c r="B13580" s="2" t="str">
        <f>"31304"</f>
        <v>31304</v>
      </c>
      <c r="C13580" s="1">
        <v>0</v>
      </c>
      <c r="D13580" s="1">
        <v>2.8669724770642198E-4</v>
      </c>
      <c r="E13580" s="1">
        <v>0</v>
      </c>
      <c r="F13580" s="1">
        <v>2.7116437984706299E-5</v>
      </c>
    </row>
    <row r="13581" spans="1:6" x14ac:dyDescent="0.25">
      <c r="A13581" s="2" t="str">
        <f t="shared" si="484"/>
        <v>15260</v>
      </c>
      <c r="B13581" s="2" t="str">
        <f>"31527"</f>
        <v>31527</v>
      </c>
      <c r="C13581" s="1">
        <v>1.42210532754296E-2</v>
      </c>
      <c r="D13581" s="1">
        <v>2.0212155963302701E-2</v>
      </c>
      <c r="E13581" s="1">
        <v>0.140895953757225</v>
      </c>
      <c r="F13581" s="1">
        <v>1.7164705244319099E-2</v>
      </c>
    </row>
    <row r="13582" spans="1:6" x14ac:dyDescent="0.25">
      <c r="A13582" s="2" t="str">
        <f t="shared" si="484"/>
        <v>15260</v>
      </c>
      <c r="B13582" s="2" t="str">
        <f>"31521"</f>
        <v>31521</v>
      </c>
      <c r="C13582" s="1">
        <v>2.5597895895773399E-2</v>
      </c>
      <c r="D13582" s="1">
        <v>6.5940366972477002E-2</v>
      </c>
      <c r="E13582" s="1">
        <v>1.4450867052023099E-3</v>
      </c>
      <c r="F13582" s="1">
        <v>2.8960355767666299E-2</v>
      </c>
    </row>
    <row r="13583" spans="1:6" x14ac:dyDescent="0.25">
      <c r="A13583" s="2" t="str">
        <f t="shared" si="484"/>
        <v>15260</v>
      </c>
      <c r="B13583" s="2" t="str">
        <f>"31522"</f>
        <v>31522</v>
      </c>
      <c r="C13583" s="1">
        <v>0.21736803474218599</v>
      </c>
      <c r="D13583" s="1">
        <v>0.247993119266055</v>
      </c>
      <c r="E13583" s="1">
        <v>0.32514450867052003</v>
      </c>
      <c r="F13583" s="1">
        <v>0.22228700037963001</v>
      </c>
    </row>
    <row r="13584" spans="1:6" x14ac:dyDescent="0.25">
      <c r="A13584" s="2" t="str">
        <f t="shared" si="484"/>
        <v>15260</v>
      </c>
      <c r="B13584" s="2" t="str">
        <f>"31331"</f>
        <v>31331</v>
      </c>
      <c r="C13584" s="1">
        <v>5.5874977062817202E-2</v>
      </c>
      <c r="D13584" s="1">
        <v>2.1932339449541201E-2</v>
      </c>
      <c r="E13584" s="1">
        <v>1.01156069364161E-2</v>
      </c>
      <c r="F13584" s="1">
        <v>5.18059547697814E-2</v>
      </c>
    </row>
    <row r="13585" spans="1:6" x14ac:dyDescent="0.25">
      <c r="A13585" s="2" t="str">
        <f t="shared" si="484"/>
        <v>15260</v>
      </c>
      <c r="B13585" s="2" t="str">
        <f>"31327"</f>
        <v>31327</v>
      </c>
      <c r="C13585" s="1">
        <v>4.7403510918098898E-3</v>
      </c>
      <c r="D13585" s="1">
        <v>3.0103211009174301E-3</v>
      </c>
      <c r="E13585" s="1">
        <v>0</v>
      </c>
      <c r="F13585" s="1">
        <v>4.4877704864688898E-3</v>
      </c>
    </row>
    <row r="13586" spans="1:6" x14ac:dyDescent="0.25">
      <c r="A13586" s="2" t="str">
        <f t="shared" si="484"/>
        <v>15260</v>
      </c>
      <c r="B13586" s="2" t="str">
        <f>"31565"</f>
        <v>31565</v>
      </c>
      <c r="C13586" s="1">
        <v>7.64572756743531E-5</v>
      </c>
      <c r="D13586" s="1">
        <v>0</v>
      </c>
      <c r="E13586" s="1">
        <v>0</v>
      </c>
      <c r="F13586" s="1">
        <v>6.7791094961765802E-5</v>
      </c>
    </row>
    <row r="13587" spans="1:6" x14ac:dyDescent="0.25">
      <c r="A13587" s="2" t="str">
        <f t="shared" si="484"/>
        <v>15260</v>
      </c>
      <c r="B13587" s="2" t="str">
        <f>"31561"</f>
        <v>31561</v>
      </c>
      <c r="C13587" s="1">
        <v>5.9177931371949301E-3</v>
      </c>
      <c r="D13587" s="1">
        <v>4.30045871559633E-4</v>
      </c>
      <c r="E13587" s="1">
        <v>0</v>
      </c>
      <c r="F13587" s="1">
        <v>5.2877054070177296E-3</v>
      </c>
    </row>
    <row r="13588" spans="1:6" x14ac:dyDescent="0.25">
      <c r="A13588" s="2" t="str">
        <f t="shared" si="484"/>
        <v>15260</v>
      </c>
      <c r="B13588" s="2" t="str">
        <f>"31520"</f>
        <v>31520</v>
      </c>
      <c r="C13588" s="1">
        <v>0.176860970089913</v>
      </c>
      <c r="D13588" s="1">
        <v>0.36095183486238502</v>
      </c>
      <c r="E13588" s="1">
        <v>0.30997109826589497</v>
      </c>
      <c r="F13588" s="1">
        <v>0.196770432236021</v>
      </c>
    </row>
    <row r="13589" spans="1:6" x14ac:dyDescent="0.25">
      <c r="A13589" s="2" t="str">
        <f t="shared" si="484"/>
        <v>15260</v>
      </c>
      <c r="B13589" s="2" t="str">
        <f>"31543"</f>
        <v>31543</v>
      </c>
      <c r="C13589" s="1">
        <v>3.2876628539971801E-2</v>
      </c>
      <c r="D13589" s="1">
        <v>5.5905963302752201E-3</v>
      </c>
      <c r="E13589" s="1">
        <v>0</v>
      </c>
      <c r="F13589" s="1">
        <v>2.9678941374261001E-2</v>
      </c>
    </row>
    <row r="13590" spans="1:6" x14ac:dyDescent="0.25">
      <c r="A13590" s="2" t="str">
        <f t="shared" si="484"/>
        <v>15260</v>
      </c>
      <c r="B13590" s="2" t="str">
        <f>"31523"</f>
        <v>31523</v>
      </c>
      <c r="C13590" s="1">
        <v>0.107972964707321</v>
      </c>
      <c r="D13590" s="1">
        <v>5.44724770642201E-2</v>
      </c>
      <c r="E13590" s="1">
        <v>2.3121387283236899E-2</v>
      </c>
      <c r="F13590" s="1">
        <v>0.10132057052985501</v>
      </c>
    </row>
    <row r="13591" spans="1:6" x14ac:dyDescent="0.25">
      <c r="A13591" s="2" t="str">
        <f t="shared" ref="A13591:A13598" si="485">"27700"</f>
        <v>27700</v>
      </c>
      <c r="B13591" s="2" t="str">
        <f>"31518"</f>
        <v>31518</v>
      </c>
      <c r="C13591" s="1">
        <v>3.8197097020626399E-3</v>
      </c>
      <c r="D13591" s="1">
        <v>6.8212824010913998E-4</v>
      </c>
      <c r="E13591" s="1">
        <v>0</v>
      </c>
      <c r="F13591" s="1">
        <v>3.5059486177366501E-3</v>
      </c>
    </row>
    <row r="13592" spans="1:6" x14ac:dyDescent="0.25">
      <c r="A13592" s="2" t="str">
        <f t="shared" si="485"/>
        <v>27700</v>
      </c>
      <c r="B13592" s="2" t="str">
        <f>"31546"</f>
        <v>31546</v>
      </c>
      <c r="C13592" s="1">
        <v>0.20766488413547199</v>
      </c>
      <c r="D13592" s="1">
        <v>0.17871759890859401</v>
      </c>
      <c r="E13592" s="1">
        <v>0.24444444444444399</v>
      </c>
      <c r="F13592" s="1">
        <v>0.20570147709638401</v>
      </c>
    </row>
    <row r="13593" spans="1:6" x14ac:dyDescent="0.25">
      <c r="A13593" s="2" t="str">
        <f t="shared" si="485"/>
        <v>27700</v>
      </c>
      <c r="B13593" s="2" t="str">
        <f>"31543"</f>
        <v>31543</v>
      </c>
      <c r="C13593" s="1">
        <v>2.0753756047873599E-2</v>
      </c>
      <c r="D13593" s="1">
        <v>5.4570259208731198E-3</v>
      </c>
      <c r="E13593" s="1">
        <v>8.8888888888888802E-3</v>
      </c>
      <c r="F13593" s="1">
        <v>1.9311454681303498E-2</v>
      </c>
    </row>
    <row r="13594" spans="1:6" x14ac:dyDescent="0.25">
      <c r="A13594" s="2" t="str">
        <f t="shared" si="485"/>
        <v>27700</v>
      </c>
      <c r="B13594" s="2" t="str">
        <f>"31560"</f>
        <v>31560</v>
      </c>
      <c r="C13594" s="1">
        <v>9.2882607588489902E-2</v>
      </c>
      <c r="D13594" s="1">
        <v>4.2291950886766697E-2</v>
      </c>
      <c r="E13594" s="1">
        <v>1.7777777777777701E-2</v>
      </c>
      <c r="F13594" s="1">
        <v>8.7648715443416195E-2</v>
      </c>
    </row>
    <row r="13595" spans="1:6" x14ac:dyDescent="0.25">
      <c r="A13595" s="2" t="str">
        <f t="shared" si="485"/>
        <v>27700</v>
      </c>
      <c r="B13595" s="2" t="str">
        <f>"31545"</f>
        <v>31545</v>
      </c>
      <c r="C13595" s="1">
        <v>0.50897631779984698</v>
      </c>
      <c r="D13595" s="1">
        <v>0.57912687585265998</v>
      </c>
      <c r="E13595" s="1">
        <v>0.72</v>
      </c>
      <c r="F13595" s="1">
        <v>0.51761595493993895</v>
      </c>
    </row>
    <row r="13596" spans="1:6" x14ac:dyDescent="0.25">
      <c r="A13596" s="2" t="str">
        <f t="shared" si="485"/>
        <v>27700</v>
      </c>
      <c r="B13596" s="2" t="str">
        <f>"31598"</f>
        <v>31598</v>
      </c>
      <c r="C13596" s="1">
        <v>8.18691112808759E-2</v>
      </c>
      <c r="D13596" s="1">
        <v>0.16371077762619299</v>
      </c>
      <c r="E13596" s="1">
        <v>8.8888888888888802E-3</v>
      </c>
      <c r="F13596" s="1">
        <v>8.7821139145927901E-2</v>
      </c>
    </row>
    <row r="13597" spans="1:6" x14ac:dyDescent="0.25">
      <c r="A13597" s="2" t="str">
        <f t="shared" si="485"/>
        <v>27700</v>
      </c>
      <c r="B13597" s="2" t="str">
        <f>"31555"</f>
        <v>31555</v>
      </c>
      <c r="C13597" s="1">
        <v>8.4033613445378103E-2</v>
      </c>
      <c r="D13597" s="1">
        <v>2.7967257844474701E-2</v>
      </c>
      <c r="E13597" s="1">
        <v>0</v>
      </c>
      <c r="F13597" s="1">
        <v>7.8222886372780007E-2</v>
      </c>
    </row>
    <row r="13598" spans="1:6" x14ac:dyDescent="0.25">
      <c r="A13598" s="2" t="str">
        <f t="shared" si="485"/>
        <v>27700</v>
      </c>
      <c r="B13598" s="2" t="str">
        <f>"31599"</f>
        <v>31599</v>
      </c>
      <c r="C13598" s="1">
        <v>0</v>
      </c>
      <c r="D13598" s="1">
        <v>2.0463847203274202E-3</v>
      </c>
      <c r="E13598" s="1">
        <v>0</v>
      </c>
      <c r="F13598" s="1">
        <v>1.72423702511638E-4</v>
      </c>
    </row>
    <row r="13599" spans="1:6" x14ac:dyDescent="0.25">
      <c r="A13599" s="2" t="str">
        <f t="shared" ref="A13599:A13608" si="486">"45700"</f>
        <v>45700</v>
      </c>
      <c r="B13599" s="2" t="str">
        <f>"31714"</f>
        <v>31714</v>
      </c>
      <c r="C13599" s="1">
        <v>4.3358866888278602E-4</v>
      </c>
      <c r="D13599" s="1">
        <v>0</v>
      </c>
      <c r="E13599" s="1">
        <v>0</v>
      </c>
      <c r="F13599" s="1">
        <v>3.7062965860890302E-4</v>
      </c>
    </row>
    <row r="13600" spans="1:6" x14ac:dyDescent="0.25">
      <c r="A13600" s="2" t="str">
        <f t="shared" si="486"/>
        <v>45700</v>
      </c>
      <c r="B13600" s="2" t="str">
        <f>"31727"</f>
        <v>31727</v>
      </c>
      <c r="C13600" s="1">
        <v>9.6353037529508097E-5</v>
      </c>
      <c r="D13600" s="1">
        <v>0</v>
      </c>
      <c r="E13600" s="1">
        <v>1.29032258064516E-3</v>
      </c>
      <c r="F13600" s="1">
        <v>1.23543219536301E-4</v>
      </c>
    </row>
    <row r="13601" spans="1:6" x14ac:dyDescent="0.25">
      <c r="A13601" s="2" t="str">
        <f t="shared" si="486"/>
        <v>45700</v>
      </c>
      <c r="B13601" s="2" t="str">
        <f>"31637"</f>
        <v>31637</v>
      </c>
      <c r="C13601" s="1">
        <v>5.2512405453581899E-3</v>
      </c>
      <c r="D13601" s="1">
        <v>1.4540167211922899E-3</v>
      </c>
      <c r="E13601" s="1">
        <v>0</v>
      </c>
      <c r="F13601" s="1">
        <v>4.6534612692006698E-3</v>
      </c>
    </row>
    <row r="13602" spans="1:6" x14ac:dyDescent="0.25">
      <c r="A13602" s="2" t="str">
        <f t="shared" si="486"/>
        <v>45700</v>
      </c>
      <c r="B13602" s="2" t="str">
        <f>"31794"</f>
        <v>31794</v>
      </c>
      <c r="C13602" s="1">
        <v>0.605530664354193</v>
      </c>
      <c r="D13602" s="1">
        <v>0.64340239912758901</v>
      </c>
      <c r="E13602" s="1">
        <v>0.83354838709677403</v>
      </c>
      <c r="F13602" s="1">
        <v>0.61709838158382402</v>
      </c>
    </row>
    <row r="13603" spans="1:6" x14ac:dyDescent="0.25">
      <c r="A13603" s="2" t="str">
        <f t="shared" si="486"/>
        <v>45700</v>
      </c>
      <c r="B13603" s="2" t="str">
        <f>"31795"</f>
        <v>31795</v>
      </c>
      <c r="C13603" s="1">
        <v>3.4735270029387602E-2</v>
      </c>
      <c r="D13603" s="1">
        <v>1.30861504907306E-2</v>
      </c>
      <c r="E13603" s="1">
        <v>5.16129032258064E-3</v>
      </c>
      <c r="F13603" s="1">
        <v>3.1338796689041701E-2</v>
      </c>
    </row>
    <row r="13604" spans="1:6" x14ac:dyDescent="0.25">
      <c r="A13604" s="2" t="str">
        <f t="shared" si="486"/>
        <v>45700</v>
      </c>
      <c r="B13604" s="2" t="str">
        <f>"31793"</f>
        <v>31793</v>
      </c>
      <c r="C13604" s="1">
        <v>0.285542226718697</v>
      </c>
      <c r="D13604" s="1">
        <v>0.31915667030170802</v>
      </c>
      <c r="E13604" s="1">
        <v>0.12645161290322501</v>
      </c>
      <c r="F13604" s="1">
        <v>0.284272948153028</v>
      </c>
    </row>
    <row r="13605" spans="1:6" x14ac:dyDescent="0.25">
      <c r="A13605" s="2" t="str">
        <f t="shared" si="486"/>
        <v>45700</v>
      </c>
      <c r="B13605" s="2" t="str">
        <f>"31790"</f>
        <v>31790</v>
      </c>
      <c r="C13605" s="1">
        <v>1.3007660066483499E-3</v>
      </c>
      <c r="D13605" s="1">
        <v>0</v>
      </c>
      <c r="E13605" s="1">
        <v>0</v>
      </c>
      <c r="F13605" s="1">
        <v>1.1118889758267099E-3</v>
      </c>
    </row>
    <row r="13606" spans="1:6" x14ac:dyDescent="0.25">
      <c r="A13606" s="2" t="str">
        <f t="shared" si="486"/>
        <v>45700</v>
      </c>
      <c r="B13606" s="2" t="str">
        <f>"31775"</f>
        <v>31775</v>
      </c>
      <c r="C13606" s="1">
        <v>3.5746976923447499E-2</v>
      </c>
      <c r="D13606" s="1">
        <v>1.1268629589240201E-2</v>
      </c>
      <c r="E13606" s="1">
        <v>2.7096774193548299E-2</v>
      </c>
      <c r="F13606" s="1">
        <v>3.2697772103941002E-2</v>
      </c>
    </row>
    <row r="13607" spans="1:6" x14ac:dyDescent="0.25">
      <c r="A13607" s="2" t="str">
        <f t="shared" si="486"/>
        <v>45700</v>
      </c>
      <c r="B13607" s="2" t="str">
        <f>"31749"</f>
        <v>31749</v>
      </c>
      <c r="C13607" s="1">
        <v>7.9491255961844105E-3</v>
      </c>
      <c r="D13607" s="1">
        <v>1.4540167211922899E-3</v>
      </c>
      <c r="E13607" s="1">
        <v>0</v>
      </c>
      <c r="F13607" s="1">
        <v>6.9596013672116198E-3</v>
      </c>
    </row>
    <row r="13608" spans="1:6" x14ac:dyDescent="0.25">
      <c r="A13608" s="2" t="str">
        <f t="shared" si="486"/>
        <v>45700</v>
      </c>
      <c r="B13608" s="2" t="str">
        <f>"31733"</f>
        <v>31733</v>
      </c>
      <c r="C13608" s="1">
        <v>2.34137881196704E-2</v>
      </c>
      <c r="D13608" s="1">
        <v>1.0178117048345999E-2</v>
      </c>
      <c r="E13608" s="1">
        <v>6.4516129032258004E-3</v>
      </c>
      <c r="F13608" s="1">
        <v>2.1372976979779999E-2</v>
      </c>
    </row>
    <row r="13609" spans="1:6" x14ac:dyDescent="0.25">
      <c r="A13609" s="2" t="str">
        <f t="shared" ref="A13609:A13637" si="487">"18880"</f>
        <v>18880</v>
      </c>
      <c r="B13609" s="2" t="str">
        <f>"32578"</f>
        <v>32578</v>
      </c>
      <c r="C13609" s="1">
        <v>8.5348729223659894E-2</v>
      </c>
      <c r="D13609" s="1">
        <v>4.8682046938063599E-2</v>
      </c>
      <c r="E13609" s="1">
        <v>6.4876584389592998E-2</v>
      </c>
      <c r="F13609" s="1">
        <v>8.1156561563174301E-2</v>
      </c>
    </row>
    <row r="13610" spans="1:6" x14ac:dyDescent="0.25">
      <c r="A13610" s="2" t="str">
        <f t="shared" si="487"/>
        <v>18880</v>
      </c>
      <c r="B13610" s="2" t="str">
        <f>"32569"</f>
        <v>32569</v>
      </c>
      <c r="C13610" s="1">
        <v>3.8333081583673101E-2</v>
      </c>
      <c r="D13610" s="1">
        <v>3.5078977527530003E-2</v>
      </c>
      <c r="E13610" s="1">
        <v>2.1847898599065999E-2</v>
      </c>
      <c r="F13610" s="1">
        <v>3.7531614049820798E-2</v>
      </c>
    </row>
    <row r="13611" spans="1:6" x14ac:dyDescent="0.25">
      <c r="A13611" s="2" t="str">
        <f t="shared" si="487"/>
        <v>18880</v>
      </c>
      <c r="B13611" s="2" t="str">
        <f>"32564"</f>
        <v>32564</v>
      </c>
      <c r="C13611" s="1">
        <v>7.1776625323778003E-3</v>
      </c>
      <c r="D13611" s="1">
        <v>2.0927799093128701E-3</v>
      </c>
      <c r="E13611" s="1">
        <v>4.33622414943295E-3</v>
      </c>
      <c r="F13611" s="1">
        <v>6.5962287734236897E-3</v>
      </c>
    </row>
    <row r="13612" spans="1:6" x14ac:dyDescent="0.25">
      <c r="A13612" s="2" t="str">
        <f t="shared" si="487"/>
        <v>18880</v>
      </c>
      <c r="B13612" s="2" t="str">
        <f>"32541"</f>
        <v>32541</v>
      </c>
      <c r="C13612" s="1">
        <v>9.5262071396203601E-2</v>
      </c>
      <c r="D13612" s="1">
        <v>0.106183666351088</v>
      </c>
      <c r="E13612" s="1">
        <v>0.13509006004002599</v>
      </c>
      <c r="F13612" s="1">
        <v>9.7498217895261002E-2</v>
      </c>
    </row>
    <row r="13613" spans="1:6" x14ac:dyDescent="0.25">
      <c r="A13613" s="2" t="str">
        <f t="shared" si="487"/>
        <v>18880</v>
      </c>
      <c r="B13613" s="2" t="str">
        <f>"32588"</f>
        <v>32588</v>
      </c>
      <c r="C13613" s="1">
        <v>6.2433915714213703E-3</v>
      </c>
      <c r="D13613" s="1">
        <v>1.3603069410533601E-2</v>
      </c>
      <c r="E13613" s="1">
        <v>3.33555703802535E-4</v>
      </c>
      <c r="F13613" s="1">
        <v>6.7915279228958902E-3</v>
      </c>
    </row>
    <row r="13614" spans="1:6" x14ac:dyDescent="0.25">
      <c r="A13614" s="2" t="str">
        <f t="shared" si="487"/>
        <v>18880</v>
      </c>
      <c r="B13614" s="2" t="str">
        <f>"32548"</f>
        <v>32548</v>
      </c>
      <c r="C13614" s="1">
        <v>7.8187850001958006E-2</v>
      </c>
      <c r="D13614" s="1">
        <v>0.101898450346305</v>
      </c>
      <c r="E13614" s="1">
        <v>0.15093395597064699</v>
      </c>
      <c r="F13614" s="1">
        <v>8.2640835099163104E-2</v>
      </c>
    </row>
    <row r="13615" spans="1:6" x14ac:dyDescent="0.25">
      <c r="A13615" s="2" t="str">
        <f t="shared" si="487"/>
        <v>18880</v>
      </c>
      <c r="B13615" s="2" t="str">
        <f>"32547"</f>
        <v>32547</v>
      </c>
      <c r="C13615" s="1">
        <v>9.4814516444847202E-2</v>
      </c>
      <c r="D13615" s="1">
        <v>8.2116697393990704E-2</v>
      </c>
      <c r="E13615" s="1">
        <v>0.18562374916610999</v>
      </c>
      <c r="F13615" s="1">
        <v>9.6228773423691696E-2</v>
      </c>
    </row>
    <row r="13616" spans="1:6" x14ac:dyDescent="0.25">
      <c r="A13616" s="2" t="str">
        <f t="shared" si="487"/>
        <v>18880</v>
      </c>
      <c r="B13616" s="2" t="str">
        <f>"32542"</f>
        <v>32542</v>
      </c>
      <c r="C13616" s="1">
        <v>1.6788905112755801E-2</v>
      </c>
      <c r="D13616" s="1">
        <v>0.21411131595993799</v>
      </c>
      <c r="E13616" s="1">
        <v>9.5063375583722392E-3</v>
      </c>
      <c r="F13616" s="1">
        <v>3.59106311092015E-2</v>
      </c>
    </row>
    <row r="13617" spans="1:6" x14ac:dyDescent="0.25">
      <c r="A13617" s="2" t="str">
        <f t="shared" si="487"/>
        <v>18880</v>
      </c>
      <c r="B13617" s="2" t="str">
        <f>"32539"</f>
        <v>32539</v>
      </c>
      <c r="C13617" s="1">
        <v>7.3320689905957498E-2</v>
      </c>
      <c r="D13617" s="1">
        <v>1.82370820668693E-2</v>
      </c>
      <c r="E13617" s="1">
        <v>1.9179452968645701E-2</v>
      </c>
      <c r="F13617" s="1">
        <v>6.6338238596970897E-2</v>
      </c>
    </row>
    <row r="13618" spans="1:6" x14ac:dyDescent="0.25">
      <c r="A13618" s="2" t="str">
        <f t="shared" si="487"/>
        <v>18880</v>
      </c>
      <c r="B13618" s="2" t="str">
        <f>"32536"</f>
        <v>32536</v>
      </c>
      <c r="C13618" s="1">
        <v>7.17150865179665E-2</v>
      </c>
      <c r="D13618" s="1">
        <v>7.0556579799691002E-2</v>
      </c>
      <c r="E13618" s="1">
        <v>4.2528352234823201E-2</v>
      </c>
      <c r="F13618" s="1">
        <v>7.0747116896305903E-2</v>
      </c>
    </row>
    <row r="13619" spans="1:6" x14ac:dyDescent="0.25">
      <c r="A13619" s="2" t="str">
        <f t="shared" si="487"/>
        <v>18880</v>
      </c>
      <c r="B13619" s="2" t="str">
        <f>"32459"</f>
        <v>32459</v>
      </c>
      <c r="C13619" s="1">
        <v>0.102176795394659</v>
      </c>
      <c r="D13619" s="1">
        <v>6.3032537744780501E-2</v>
      </c>
      <c r="E13619" s="1">
        <v>0.10090060040026599</v>
      </c>
      <c r="F13619" s="1">
        <v>9.8303826886833895E-2</v>
      </c>
    </row>
    <row r="13620" spans="1:6" x14ac:dyDescent="0.25">
      <c r="A13620" s="2" t="str">
        <f t="shared" si="487"/>
        <v>18880</v>
      </c>
      <c r="B13620" s="2" t="str">
        <f>"32549"</f>
        <v>32549</v>
      </c>
      <c r="C13620" s="1">
        <v>1.27888827350083E-2</v>
      </c>
      <c r="D13620" s="1">
        <v>2.6359061238726299E-2</v>
      </c>
      <c r="E13620" s="1">
        <v>3.33555703802535E-4</v>
      </c>
      <c r="F13620" s="1">
        <v>1.37539426015799E-2</v>
      </c>
    </row>
    <row r="13621" spans="1:6" x14ac:dyDescent="0.25">
      <c r="A13621" s="2" t="str">
        <f t="shared" si="487"/>
        <v>18880</v>
      </c>
      <c r="B13621" s="2" t="str">
        <f>"32531"</f>
        <v>32531</v>
      </c>
      <c r="C13621" s="1">
        <v>2.0498016772121801E-2</v>
      </c>
      <c r="D13621" s="1">
        <v>7.5240420549105499E-3</v>
      </c>
      <c r="E13621" s="1">
        <v>6.3375583722481603E-3</v>
      </c>
      <c r="F13621" s="1">
        <v>1.881219057291E-2</v>
      </c>
    </row>
    <row r="13622" spans="1:6" x14ac:dyDescent="0.25">
      <c r="A13622" s="2" t="str">
        <f t="shared" si="487"/>
        <v>18880</v>
      </c>
      <c r="B13622" s="2" t="str">
        <f>"32413"</f>
        <v>32413</v>
      </c>
      <c r="C13622" s="1">
        <v>1.17483174731047E-4</v>
      </c>
      <c r="D13622" s="1">
        <v>0</v>
      </c>
      <c r="E13622" s="1">
        <v>0</v>
      </c>
      <c r="F13622" s="1">
        <v>1.02532053472907E-4</v>
      </c>
    </row>
    <row r="13623" spans="1:6" x14ac:dyDescent="0.25">
      <c r="A13623" s="2" t="str">
        <f t="shared" si="487"/>
        <v>18880</v>
      </c>
      <c r="B13623" s="2" t="str">
        <f>"32567"</f>
        <v>32567</v>
      </c>
      <c r="C13623" s="1">
        <v>1.2671399560277199E-2</v>
      </c>
      <c r="D13623" s="1">
        <v>2.7405451193382802E-3</v>
      </c>
      <c r="E13623" s="1">
        <v>5.0033355570380203E-4</v>
      </c>
      <c r="F13623" s="1">
        <v>1.1341998105598199E-2</v>
      </c>
    </row>
    <row r="13624" spans="1:6" x14ac:dyDescent="0.25">
      <c r="A13624" s="2" t="str">
        <f t="shared" si="487"/>
        <v>18880</v>
      </c>
      <c r="B13624" s="2" t="str">
        <f>"32439"</f>
        <v>32439</v>
      </c>
      <c r="C13624" s="1">
        <v>3.5116280370799197E-2</v>
      </c>
      <c r="D13624" s="1">
        <v>1.8386566346105901E-2</v>
      </c>
      <c r="E13624" s="1">
        <v>1.58438959306204E-2</v>
      </c>
      <c r="F13624" s="1">
        <v>3.29127891648031E-2</v>
      </c>
    </row>
    <row r="13625" spans="1:6" x14ac:dyDescent="0.25">
      <c r="A13625" s="2" t="str">
        <f t="shared" si="487"/>
        <v>18880</v>
      </c>
      <c r="B13625" s="2" t="str">
        <f>"32544"</f>
        <v>32544</v>
      </c>
      <c r="C13625" s="1">
        <v>1.4573508103541801E-2</v>
      </c>
      <c r="D13625" s="1">
        <v>1.6592754995266301E-2</v>
      </c>
      <c r="E13625" s="1">
        <v>6.5043362241494302E-3</v>
      </c>
      <c r="F13625" s="1">
        <v>1.4535139199468699E-2</v>
      </c>
    </row>
    <row r="13626" spans="1:6" x14ac:dyDescent="0.25">
      <c r="A13626" s="2" t="str">
        <f t="shared" si="487"/>
        <v>18880</v>
      </c>
      <c r="B13626" s="2" t="str">
        <f>"32433"</f>
        <v>32433</v>
      </c>
      <c r="C13626" s="1">
        <v>4.64394206401154E-2</v>
      </c>
      <c r="D13626" s="1">
        <v>2.1725048582390698E-2</v>
      </c>
      <c r="E13626" s="1">
        <v>1.66777851901267E-2</v>
      </c>
      <c r="F13626" s="1">
        <v>4.3146464597146598E-2</v>
      </c>
    </row>
    <row r="13627" spans="1:6" x14ac:dyDescent="0.25">
      <c r="A13627" s="2" t="str">
        <f t="shared" si="487"/>
        <v>18880</v>
      </c>
      <c r="B13627" s="2" t="str">
        <f>"32580"</f>
        <v>32580</v>
      </c>
      <c r="C13627" s="1">
        <v>1.0965096308231E-2</v>
      </c>
      <c r="D13627" s="1">
        <v>9.8161343365389397E-3</v>
      </c>
      <c r="E13627" s="1">
        <v>1.1340893929286101E-2</v>
      </c>
      <c r="F13627" s="1">
        <v>1.08635151893913E-2</v>
      </c>
    </row>
    <row r="13628" spans="1:6" x14ac:dyDescent="0.25">
      <c r="A13628" s="2" t="str">
        <f t="shared" si="487"/>
        <v>18880</v>
      </c>
      <c r="B13628" s="2" t="str">
        <f>"32462"</f>
        <v>32462</v>
      </c>
      <c r="C13628" s="1">
        <v>8.0559891244146801E-4</v>
      </c>
      <c r="D13628" s="1">
        <v>9.9656186157755697E-5</v>
      </c>
      <c r="E13628" s="1">
        <v>0</v>
      </c>
      <c r="F13628" s="1">
        <v>7.1284189557354401E-4</v>
      </c>
    </row>
    <row r="13629" spans="1:6" x14ac:dyDescent="0.25">
      <c r="A13629" s="2" t="str">
        <f t="shared" si="487"/>
        <v>18880</v>
      </c>
      <c r="B13629" s="2" t="str">
        <f>"32461"</f>
        <v>32461</v>
      </c>
      <c r="C13629" s="1">
        <v>2.6965185819221301E-2</v>
      </c>
      <c r="D13629" s="1">
        <v>1.1410633315063E-2</v>
      </c>
      <c r="E13629" s="1">
        <v>6.1040693795863903E-2</v>
      </c>
      <c r="F13629" s="1">
        <v>2.6438622359799598E-2</v>
      </c>
    </row>
    <row r="13630" spans="1:6" x14ac:dyDescent="0.25">
      <c r="A13630" s="2" t="str">
        <f t="shared" si="487"/>
        <v>18880</v>
      </c>
      <c r="B13630" s="2" t="str">
        <f>"32455"</f>
        <v>32455</v>
      </c>
      <c r="C13630" s="1">
        <v>8.5986495029342792E-3</v>
      </c>
      <c r="D13630" s="1">
        <v>1.49484279236633E-3</v>
      </c>
      <c r="E13630" s="1">
        <v>1.5010006671113999E-3</v>
      </c>
      <c r="F13630" s="1">
        <v>7.6947864892048298E-3</v>
      </c>
    </row>
    <row r="13631" spans="1:6" x14ac:dyDescent="0.25">
      <c r="A13631" s="2" t="str">
        <f t="shared" si="487"/>
        <v>18880</v>
      </c>
      <c r="B13631" s="2" t="str">
        <f>"32422"</f>
        <v>32422</v>
      </c>
      <c r="C13631" s="1">
        <v>0</v>
      </c>
      <c r="D13631" s="1">
        <v>0</v>
      </c>
      <c r="E13631" s="1">
        <v>1.6677785190126701E-4</v>
      </c>
      <c r="F13631" s="1">
        <v>4.8824787368050999E-6</v>
      </c>
    </row>
    <row r="13632" spans="1:6" x14ac:dyDescent="0.25">
      <c r="A13632" s="2" t="str">
        <f t="shared" si="487"/>
        <v>18880</v>
      </c>
      <c r="B13632" s="2" t="str">
        <f>"32464"</f>
        <v>32464</v>
      </c>
      <c r="C13632" s="1">
        <v>1.91329741704848E-3</v>
      </c>
      <c r="D13632" s="1">
        <v>6.9759330310428997E-4</v>
      </c>
      <c r="E13632" s="1">
        <v>0</v>
      </c>
      <c r="F13632" s="1">
        <v>1.7381624303026101E-3</v>
      </c>
    </row>
    <row r="13633" spans="1:6" x14ac:dyDescent="0.25">
      <c r="A13633" s="2" t="str">
        <f t="shared" si="487"/>
        <v>18880</v>
      </c>
      <c r="B13633" s="2" t="str">
        <f>"32550"</f>
        <v>32550</v>
      </c>
      <c r="C13633" s="1">
        <v>7.5004615410435793E-2</v>
      </c>
      <c r="D13633" s="1">
        <v>6.1039414021625299E-2</v>
      </c>
      <c r="E13633" s="1">
        <v>0.111741160773849</v>
      </c>
      <c r="F13633" s="1">
        <v>7.4711689630591605E-2</v>
      </c>
    </row>
    <row r="13634" spans="1:6" x14ac:dyDescent="0.25">
      <c r="A13634" s="2" t="str">
        <f t="shared" si="487"/>
        <v>18880</v>
      </c>
      <c r="B13634" s="2" t="str">
        <f>"32540"</f>
        <v>32540</v>
      </c>
      <c r="C13634" s="1">
        <v>9.4322205998355196E-3</v>
      </c>
      <c r="D13634" s="1">
        <v>2.4017140864019099E-2</v>
      </c>
      <c r="E13634" s="1">
        <v>3.33555703802535E-4</v>
      </c>
      <c r="F13634" s="1">
        <v>1.0594978858867E-2</v>
      </c>
    </row>
    <row r="13635" spans="1:6" x14ac:dyDescent="0.25">
      <c r="A13635" s="2" t="str">
        <f t="shared" si="487"/>
        <v>18880</v>
      </c>
      <c r="B13635" s="2" t="str">
        <f>"32579"</f>
        <v>32579</v>
      </c>
      <c r="C13635" s="1">
        <v>3.4512081186468098E-2</v>
      </c>
      <c r="D13635" s="1">
        <v>2.4017140864019099E-2</v>
      </c>
      <c r="E13635" s="1">
        <v>2.01801200800533E-2</v>
      </c>
      <c r="F13635" s="1">
        <v>3.3064146005644099E-2</v>
      </c>
    </row>
    <row r="13636" spans="1:6" x14ac:dyDescent="0.25">
      <c r="A13636" s="2" t="str">
        <f t="shared" si="487"/>
        <v>18880</v>
      </c>
      <c r="B13636" s="2" t="str">
        <f>"32435"</f>
        <v>32435</v>
      </c>
      <c r="C13636" s="1">
        <v>2.0229483801307901E-2</v>
      </c>
      <c r="D13636" s="1">
        <v>1.8436394439184801E-2</v>
      </c>
      <c r="E13636" s="1">
        <v>1.2341561040693699E-2</v>
      </c>
      <c r="F13636" s="1">
        <v>1.98228636714287E-2</v>
      </c>
    </row>
    <row r="13637" spans="1:6" x14ac:dyDescent="0.25">
      <c r="A13637" s="2" t="str">
        <f t="shared" si="487"/>
        <v>18880</v>
      </c>
      <c r="B13637" s="2" t="str">
        <f>"32538"</f>
        <v>32538</v>
      </c>
      <c r="C13637" s="1">
        <v>0</v>
      </c>
      <c r="D13637" s="1">
        <v>4.9828093078877801E-5</v>
      </c>
      <c r="E13637" s="1">
        <v>0</v>
      </c>
      <c r="F13637" s="1">
        <v>4.8824787368050999E-6</v>
      </c>
    </row>
    <row r="13638" spans="1:6" x14ac:dyDescent="0.25">
      <c r="A13638" s="2" t="str">
        <f t="shared" ref="A13638:A13701" si="488">"33100"</f>
        <v>33100</v>
      </c>
      <c r="B13638" s="2" t="str">
        <f>"33460"</f>
        <v>33460</v>
      </c>
      <c r="C13638" s="1">
        <v>5.5277455440593103E-3</v>
      </c>
      <c r="D13638" s="1">
        <v>5.24467432684185E-3</v>
      </c>
      <c r="E13638" s="1">
        <v>1.2471864506844701E-2</v>
      </c>
      <c r="F13638" s="1">
        <v>5.9362508872744897E-3</v>
      </c>
    </row>
    <row r="13639" spans="1:6" x14ac:dyDescent="0.25">
      <c r="A13639" s="2" t="str">
        <f t="shared" si="488"/>
        <v>33100</v>
      </c>
      <c r="B13639" s="2" t="str">
        <f>"33462"</f>
        <v>33462</v>
      </c>
      <c r="C13639" s="1">
        <v>5.5537560162222102E-3</v>
      </c>
      <c r="D13639" s="1">
        <v>4.31318776686222E-3</v>
      </c>
      <c r="E13639" s="1">
        <v>4.9121803623482499E-3</v>
      </c>
      <c r="F13639" s="1">
        <v>5.3889410919381701E-3</v>
      </c>
    </row>
    <row r="13640" spans="1:6" x14ac:dyDescent="0.25">
      <c r="A13640" s="2" t="str">
        <f t="shared" si="488"/>
        <v>33100</v>
      </c>
      <c r="B13640" s="2" t="str">
        <f>"33474"</f>
        <v>33474</v>
      </c>
      <c r="C13640" s="1">
        <v>6.9083814064659901E-4</v>
      </c>
      <c r="D13640" s="1">
        <v>1.02405665289686E-3</v>
      </c>
      <c r="E13640" s="1">
        <v>9.2247518541751201E-6</v>
      </c>
      <c r="F13640" s="1">
        <v>6.8138038146854304E-4</v>
      </c>
    </row>
    <row r="13641" spans="1:6" x14ac:dyDescent="0.25">
      <c r="A13641" s="2" t="str">
        <f t="shared" si="488"/>
        <v>33100</v>
      </c>
      <c r="B13641" s="2" t="str">
        <f>"33444"</f>
        <v>33444</v>
      </c>
      <c r="C13641" s="1">
        <v>4.0812164855066101E-3</v>
      </c>
      <c r="D13641" s="1">
        <v>3.93133613357864E-3</v>
      </c>
      <c r="E13641" s="1">
        <v>5.13818678277554E-3</v>
      </c>
      <c r="F13641" s="1">
        <v>4.1326822881147798E-3</v>
      </c>
    </row>
    <row r="13642" spans="1:6" x14ac:dyDescent="0.25">
      <c r="A13642" s="2" t="str">
        <f t="shared" si="488"/>
        <v>33100</v>
      </c>
      <c r="B13642" s="2" t="str">
        <f>"33412"</f>
        <v>33412</v>
      </c>
      <c r="C13642" s="1">
        <v>2.30903631547442E-3</v>
      </c>
      <c r="D13642" s="1">
        <v>4.5706483377882601E-4</v>
      </c>
      <c r="E13642" s="1">
        <v>1.98332164864765E-4</v>
      </c>
      <c r="F13642" s="1">
        <v>1.99045487073796E-3</v>
      </c>
    </row>
    <row r="13643" spans="1:6" x14ac:dyDescent="0.25">
      <c r="A13643" s="2" t="str">
        <f t="shared" si="488"/>
        <v>33100</v>
      </c>
      <c r="B13643" s="2" t="str">
        <f>"33407"</f>
        <v>33407</v>
      </c>
      <c r="C13643" s="1">
        <v>5.6838083770366999E-3</v>
      </c>
      <c r="D13643" s="1">
        <v>9.2078314298607907E-3</v>
      </c>
      <c r="E13643" s="1">
        <v>8.5882439762370293E-3</v>
      </c>
      <c r="F13643" s="1">
        <v>6.2200626475284199E-3</v>
      </c>
    </row>
    <row r="13644" spans="1:6" x14ac:dyDescent="0.25">
      <c r="A13644" s="2" t="str">
        <f t="shared" si="488"/>
        <v>33100</v>
      </c>
      <c r="B13644" s="2" t="str">
        <f>"33427"</f>
        <v>33427</v>
      </c>
      <c r="C13644" s="1">
        <v>4.7859268779734302E-4</v>
      </c>
      <c r="D13644" s="1">
        <v>1.1600189768690399E-3</v>
      </c>
      <c r="E13644" s="1">
        <v>9.2247518541751201E-6</v>
      </c>
      <c r="F13644" s="1">
        <v>5.1741959972675098E-4</v>
      </c>
    </row>
    <row r="13645" spans="1:6" x14ac:dyDescent="0.25">
      <c r="A13645" s="2" t="str">
        <f t="shared" si="488"/>
        <v>33100</v>
      </c>
      <c r="B13645" s="2" t="str">
        <f>"33420"</f>
        <v>33420</v>
      </c>
      <c r="C13645" s="1">
        <v>5.8714305829050799E-4</v>
      </c>
      <c r="D13645" s="1">
        <v>1.73858205760174E-3</v>
      </c>
      <c r="E13645" s="1">
        <v>9.2247518541751201E-6</v>
      </c>
      <c r="F13645" s="1">
        <v>6.6629018562681995E-4</v>
      </c>
    </row>
    <row r="13646" spans="1:6" x14ac:dyDescent="0.25">
      <c r="A13646" s="2" t="str">
        <f t="shared" si="488"/>
        <v>33100</v>
      </c>
      <c r="B13646" s="2" t="str">
        <f>"33419"</f>
        <v>33419</v>
      </c>
      <c r="C13646" s="1">
        <v>7.08178455421865E-4</v>
      </c>
      <c r="D13646" s="1">
        <v>9.6330752941993199E-4</v>
      </c>
      <c r="E13646" s="1">
        <v>9.2247518541751201E-6</v>
      </c>
      <c r="F13646" s="1">
        <v>6.8979606761104199E-4</v>
      </c>
    </row>
    <row r="13647" spans="1:6" x14ac:dyDescent="0.25">
      <c r="A13647" s="2" t="str">
        <f t="shared" si="488"/>
        <v>33100</v>
      </c>
      <c r="B13647" s="2" t="str">
        <f>"33348"</f>
        <v>33348</v>
      </c>
      <c r="C13647" s="1">
        <v>1.7999246736726099E-4</v>
      </c>
      <c r="D13647" s="1">
        <v>2.4010367850406701E-4</v>
      </c>
      <c r="E13647" s="1">
        <v>9.2247518541751201E-6</v>
      </c>
      <c r="F13647" s="1">
        <v>1.75278428623083E-4</v>
      </c>
    </row>
    <row r="13648" spans="1:6" x14ac:dyDescent="0.25">
      <c r="A13648" s="2" t="str">
        <f t="shared" si="488"/>
        <v>33100</v>
      </c>
      <c r="B13648" s="2" t="str">
        <f>"33330"</f>
        <v>33330</v>
      </c>
      <c r="C13648" s="1">
        <v>1.6976168164985401E-3</v>
      </c>
      <c r="D13648" s="1">
        <v>1.4001226553731099E-3</v>
      </c>
      <c r="E13648" s="1">
        <v>5.2581085568798101E-4</v>
      </c>
      <c r="F13648" s="1">
        <v>1.5940470338188699E-3</v>
      </c>
    </row>
    <row r="13649" spans="1:6" x14ac:dyDescent="0.25">
      <c r="A13649" s="2" t="str">
        <f t="shared" si="488"/>
        <v>33100</v>
      </c>
      <c r="B13649" s="2" t="str">
        <f>"33316"</f>
        <v>33316</v>
      </c>
      <c r="C13649" s="1">
        <v>3.2537366644309201E-3</v>
      </c>
      <c r="D13649" s="1">
        <v>5.88687934645514E-3</v>
      </c>
      <c r="E13649" s="1">
        <v>6.3696911553079204E-3</v>
      </c>
      <c r="F13649" s="1">
        <v>3.7139293535069901E-3</v>
      </c>
    </row>
    <row r="13650" spans="1:6" x14ac:dyDescent="0.25">
      <c r="A13650" s="2" t="str">
        <f t="shared" si="488"/>
        <v>33100</v>
      </c>
      <c r="B13650" s="2" t="str">
        <f>"33318"</f>
        <v>33318</v>
      </c>
      <c r="C13650" s="1">
        <v>5.3338808248718297E-4</v>
      </c>
      <c r="D13650" s="1">
        <v>1.47822867127202E-3</v>
      </c>
      <c r="E13650" s="1">
        <v>9.2247518541751201E-6</v>
      </c>
      <c r="F13650" s="1">
        <v>5.9519214752639705E-4</v>
      </c>
    </row>
    <row r="13651" spans="1:6" x14ac:dyDescent="0.25">
      <c r="A13651" s="2" t="str">
        <f t="shared" si="488"/>
        <v>33100</v>
      </c>
      <c r="B13651" s="2" t="str">
        <f>"33175"</f>
        <v>33175</v>
      </c>
      <c r="C13651" s="1">
        <v>6.0930398057329801E-3</v>
      </c>
      <c r="D13651" s="1">
        <v>3.5436988694877401E-3</v>
      </c>
      <c r="E13651" s="1">
        <v>3.75447400464927E-3</v>
      </c>
      <c r="F13651" s="1">
        <v>5.6901646166248598E-3</v>
      </c>
    </row>
    <row r="13652" spans="1:6" x14ac:dyDescent="0.25">
      <c r="A13652" s="2" t="str">
        <f t="shared" si="488"/>
        <v>33100</v>
      </c>
      <c r="B13652" s="2" t="str">
        <f>"33195"</f>
        <v>33195</v>
      </c>
      <c r="C13652" s="1">
        <v>0</v>
      </c>
      <c r="D13652" s="1">
        <v>9.5462908320894196E-5</v>
      </c>
      <c r="E13652" s="1">
        <v>4.1511383343787997E-5</v>
      </c>
      <c r="F13652" s="1">
        <v>1.2188235102929599E-5</v>
      </c>
    </row>
    <row r="13653" spans="1:6" x14ac:dyDescent="0.25">
      <c r="A13653" s="2" t="str">
        <f t="shared" si="488"/>
        <v>33100</v>
      </c>
      <c r="B13653" s="2" t="str">
        <f>"33187"</f>
        <v>33187</v>
      </c>
      <c r="C13653" s="1">
        <v>2.0586421701195802E-3</v>
      </c>
      <c r="D13653" s="1">
        <v>7.4345355874150905E-4</v>
      </c>
      <c r="E13653" s="1">
        <v>1.84495037083502E-4</v>
      </c>
      <c r="F13653" s="1">
        <v>1.80879212848953E-3</v>
      </c>
    </row>
    <row r="13654" spans="1:6" x14ac:dyDescent="0.25">
      <c r="A13654" s="2" t="str">
        <f t="shared" si="488"/>
        <v>33100</v>
      </c>
      <c r="B13654" s="2" t="str">
        <f>"33169"</f>
        <v>33169</v>
      </c>
      <c r="C13654" s="1">
        <v>5.0411763114653401E-3</v>
      </c>
      <c r="D13654" s="1">
        <v>6.4770136888024901E-3</v>
      </c>
      <c r="E13654" s="1">
        <v>5.3134570680048697E-3</v>
      </c>
      <c r="F13654" s="1">
        <v>5.2023450164338002E-3</v>
      </c>
    </row>
    <row r="13655" spans="1:6" x14ac:dyDescent="0.25">
      <c r="A13655" s="2" t="str">
        <f t="shared" si="488"/>
        <v>33100</v>
      </c>
      <c r="B13655" s="2" t="str">
        <f>"33178"</f>
        <v>33178</v>
      </c>
      <c r="C13655" s="1">
        <v>7.9709958958942909E-3</v>
      </c>
      <c r="D13655" s="1">
        <v>1.00207125582902E-2</v>
      </c>
      <c r="E13655" s="1">
        <v>1.06176893841555E-2</v>
      </c>
      <c r="F13655" s="1">
        <v>8.3431371240292197E-3</v>
      </c>
    </row>
    <row r="13656" spans="1:6" x14ac:dyDescent="0.25">
      <c r="A13656" s="2" t="str">
        <f t="shared" si="488"/>
        <v>33100</v>
      </c>
      <c r="B13656" s="2" t="str">
        <f>"33162"</f>
        <v>33162</v>
      </c>
      <c r="C13656" s="1">
        <v>5.4507545464571299E-3</v>
      </c>
      <c r="D13656" s="1">
        <v>6.7055461056919003E-3</v>
      </c>
      <c r="E13656" s="1">
        <v>5.6732223903177004E-3</v>
      </c>
      <c r="F13656" s="1">
        <v>5.5906273632842698E-3</v>
      </c>
    </row>
    <row r="13657" spans="1:6" x14ac:dyDescent="0.25">
      <c r="A13657" s="2" t="str">
        <f t="shared" si="488"/>
        <v>33100</v>
      </c>
      <c r="B13657" s="2" t="str">
        <f>"33161"</f>
        <v>33161</v>
      </c>
      <c r="C13657" s="1">
        <v>6.7256144887346903E-3</v>
      </c>
      <c r="D13657" s="1">
        <v>5.36327975839205E-3</v>
      </c>
      <c r="E13657" s="1">
        <v>7.6011955278402999E-3</v>
      </c>
      <c r="F13657" s="1">
        <v>6.64403911146605E-3</v>
      </c>
    </row>
    <row r="13658" spans="1:6" x14ac:dyDescent="0.25">
      <c r="A13658" s="2" t="str">
        <f t="shared" si="488"/>
        <v>33100</v>
      </c>
      <c r="B13658" s="2" t="str">
        <f>"33145"</f>
        <v>33145</v>
      </c>
      <c r="C13658" s="1">
        <v>4.1308097857638698E-3</v>
      </c>
      <c r="D13658" s="1">
        <v>3.7461959477441799E-3</v>
      </c>
      <c r="E13658" s="1">
        <v>4.3725323788790004E-3</v>
      </c>
      <c r="F13658" s="1">
        <v>4.1074352296872896E-3</v>
      </c>
    </row>
    <row r="13659" spans="1:6" x14ac:dyDescent="0.25">
      <c r="A13659" s="2" t="str">
        <f t="shared" si="488"/>
        <v>33100</v>
      </c>
      <c r="B13659" s="2" t="str">
        <f>"33133"</f>
        <v>33133</v>
      </c>
      <c r="C13659" s="1">
        <v>5.9456471301432201E-3</v>
      </c>
      <c r="D13659" s="1">
        <v>4.9206790016315402E-3</v>
      </c>
      <c r="E13659" s="1">
        <v>6.6372089590789997E-3</v>
      </c>
      <c r="F13659" s="1">
        <v>5.8863371625672602E-3</v>
      </c>
    </row>
    <row r="13660" spans="1:6" x14ac:dyDescent="0.25">
      <c r="A13660" s="2" t="str">
        <f t="shared" si="488"/>
        <v>33100</v>
      </c>
      <c r="B13660" s="2" t="str">
        <f>"33127"</f>
        <v>33127</v>
      </c>
      <c r="C13660" s="1">
        <v>3.9515109309876204E-3</v>
      </c>
      <c r="D13660" s="1">
        <v>6.2831950567570297E-3</v>
      </c>
      <c r="E13660" s="1">
        <v>5.1843105420464096E-3</v>
      </c>
      <c r="F13660" s="1">
        <v>4.2629803252865802E-3</v>
      </c>
    </row>
    <row r="13661" spans="1:6" x14ac:dyDescent="0.25">
      <c r="A13661" s="2" t="str">
        <f t="shared" si="488"/>
        <v>33100</v>
      </c>
      <c r="B13661" s="2" t="str">
        <f>"33010"</f>
        <v>33010</v>
      </c>
      <c r="C13661" s="1">
        <v>5.4074037595189597E-3</v>
      </c>
      <c r="D13661" s="1">
        <v>8.4499137941009706E-3</v>
      </c>
      <c r="E13661" s="1">
        <v>1.08206339249474E-2</v>
      </c>
      <c r="F13661" s="1">
        <v>6.0531999050478401E-3</v>
      </c>
    </row>
    <row r="13662" spans="1:6" x14ac:dyDescent="0.25">
      <c r="A13662" s="2" t="str">
        <f t="shared" si="488"/>
        <v>33100</v>
      </c>
      <c r="B13662" s="2" t="str">
        <f>"33028"</f>
        <v>33028</v>
      </c>
      <c r="C13662" s="1">
        <v>3.3054108024612098E-3</v>
      </c>
      <c r="D13662" s="1">
        <v>1.49269274829034E-3</v>
      </c>
      <c r="E13662" s="1">
        <v>4.0035423047120001E-3</v>
      </c>
      <c r="F13662" s="1">
        <v>3.16749014639231E-3</v>
      </c>
    </row>
    <row r="13663" spans="1:6" x14ac:dyDescent="0.25">
      <c r="A13663" s="2" t="str">
        <f t="shared" si="488"/>
        <v>33100</v>
      </c>
      <c r="B13663" s="2" t="str">
        <f>"33022"</f>
        <v>33022</v>
      </c>
      <c r="C13663" s="1">
        <v>1.01510202694407E-3</v>
      </c>
      <c r="D13663" s="1">
        <v>1.1744830538873601E-3</v>
      </c>
      <c r="E13663" s="1">
        <v>6.4573262979225805E-5</v>
      </c>
      <c r="F13663" s="1">
        <v>9.7128625927394099E-4</v>
      </c>
    </row>
    <row r="13664" spans="1:6" x14ac:dyDescent="0.25">
      <c r="A13664" s="2" t="str">
        <f t="shared" si="488"/>
        <v>33100</v>
      </c>
      <c r="B13664" s="2" t="str">
        <f>"33008"</f>
        <v>33008</v>
      </c>
      <c r="C13664" s="1">
        <v>8.4031165400939205E-4</v>
      </c>
      <c r="D13664" s="1">
        <v>1.2120896541349901E-3</v>
      </c>
      <c r="E13664" s="1">
        <v>9.2247518541751201E-6</v>
      </c>
      <c r="F13664" s="1">
        <v>8.2531763411266396E-4</v>
      </c>
    </row>
    <row r="13665" spans="1:6" x14ac:dyDescent="0.25">
      <c r="A13665" s="2" t="str">
        <f t="shared" si="488"/>
        <v>33100</v>
      </c>
      <c r="B13665" s="2" t="str">
        <f>"33484"</f>
        <v>33484</v>
      </c>
      <c r="C13665" s="1">
        <v>6.6919742780706696E-3</v>
      </c>
      <c r="D13665" s="1">
        <v>2.02786359796808E-3</v>
      </c>
      <c r="E13665" s="1">
        <v>1.33113169255747E-2</v>
      </c>
      <c r="F13665" s="1">
        <v>6.6405567585795001E-3</v>
      </c>
    </row>
    <row r="13666" spans="1:6" x14ac:dyDescent="0.25">
      <c r="A13666" s="2" t="str">
        <f t="shared" si="488"/>
        <v>33100</v>
      </c>
      <c r="B13666" s="2" t="str">
        <f>"33448"</f>
        <v>33448</v>
      </c>
      <c r="C13666" s="1">
        <v>1.71322309979628E-4</v>
      </c>
      <c r="D13666" s="1">
        <v>4.1367260272387398E-4</v>
      </c>
      <c r="E13666" s="1">
        <v>9.2247518541751201E-6</v>
      </c>
      <c r="F13666" s="1">
        <v>1.8543529120885799E-4</v>
      </c>
    </row>
    <row r="13667" spans="1:6" x14ac:dyDescent="0.25">
      <c r="A13667" s="2" t="str">
        <f t="shared" si="488"/>
        <v>33100</v>
      </c>
      <c r="B13667" s="2" t="str">
        <f>"33445"</f>
        <v>33445</v>
      </c>
      <c r="C13667" s="1">
        <v>6.1408990745127102E-3</v>
      </c>
      <c r="D13667" s="1">
        <v>3.88505108712002E-3</v>
      </c>
      <c r="E13667" s="1">
        <v>1.6715250359765298E-2</v>
      </c>
      <c r="F13667" s="1">
        <v>6.5799057791387297E-3</v>
      </c>
    </row>
    <row r="13668" spans="1:6" x14ac:dyDescent="0.25">
      <c r="A13668" s="2" t="str">
        <f t="shared" si="488"/>
        <v>33100</v>
      </c>
      <c r="B13668" s="2" t="str">
        <f>"33402"</f>
        <v>33402</v>
      </c>
      <c r="C13668" s="1">
        <v>8.5869238767117401E-4</v>
      </c>
      <c r="D13668" s="1">
        <v>1.83693778132629E-3</v>
      </c>
      <c r="E13668" s="1">
        <v>9.2247518541751201E-6</v>
      </c>
      <c r="F13668" s="1">
        <v>9.0338037798619005E-4</v>
      </c>
    </row>
    <row r="13669" spans="1:6" x14ac:dyDescent="0.25">
      <c r="A13669" s="2" t="str">
        <f t="shared" si="488"/>
        <v>33100</v>
      </c>
      <c r="B13669" s="2" t="str">
        <f>"33401"</f>
        <v>33401</v>
      </c>
      <c r="C13669" s="1">
        <v>7.3883613194453499E-3</v>
      </c>
      <c r="D13669" s="1">
        <v>1.21613959570011E-2</v>
      </c>
      <c r="E13669" s="1">
        <v>1.02533116859156E-2</v>
      </c>
      <c r="F13669" s="1">
        <v>8.0474273247462293E-3</v>
      </c>
    </row>
    <row r="13670" spans="1:6" x14ac:dyDescent="0.25">
      <c r="A13670" s="2" t="str">
        <f t="shared" si="488"/>
        <v>33100</v>
      </c>
      <c r="B13670" s="2" t="str">
        <f>"33415"</f>
        <v>33415</v>
      </c>
      <c r="C13670" s="1">
        <v>7.2510260264252498E-3</v>
      </c>
      <c r="D13670" s="1">
        <v>3.3093808217909901E-3</v>
      </c>
      <c r="E13670" s="1">
        <v>1.1484816058448E-2</v>
      </c>
      <c r="F13670" s="1">
        <v>7.1219920451452198E-3</v>
      </c>
    </row>
    <row r="13671" spans="1:6" x14ac:dyDescent="0.25">
      <c r="A13671" s="2" t="str">
        <f t="shared" si="488"/>
        <v>33100</v>
      </c>
      <c r="B13671" s="2" t="str">
        <f>"33345"</f>
        <v>33345</v>
      </c>
      <c r="C13671" s="1">
        <v>7.6366746270271598E-4</v>
      </c>
      <c r="D13671" s="1">
        <v>1.21787528494231E-3</v>
      </c>
      <c r="E13671" s="1">
        <v>1.38371277812626E-5</v>
      </c>
      <c r="F13671" s="1">
        <v>7.6205489000698203E-4</v>
      </c>
    </row>
    <row r="13672" spans="1:6" x14ac:dyDescent="0.25">
      <c r="A13672" s="2" t="str">
        <f t="shared" si="488"/>
        <v>33100</v>
      </c>
      <c r="B13672" s="2" t="str">
        <f>"33338"</f>
        <v>33338</v>
      </c>
      <c r="C13672" s="1">
        <v>4.1928881126593299E-4</v>
      </c>
      <c r="D13672" s="1">
        <v>5.5831337290704797E-4</v>
      </c>
      <c r="E13672" s="1">
        <v>9.2247518541751201E-6</v>
      </c>
      <c r="F13672" s="1">
        <v>4.0743528772650499E-4</v>
      </c>
    </row>
    <row r="13673" spans="1:6" x14ac:dyDescent="0.25">
      <c r="A13673" s="2" t="str">
        <f t="shared" si="488"/>
        <v>33100</v>
      </c>
      <c r="B13673" s="2" t="str">
        <f>"33334"</f>
        <v>33334</v>
      </c>
      <c r="C13673" s="1">
        <v>5.14313736234391E-3</v>
      </c>
      <c r="D13673" s="1">
        <v>8.9995487207970206E-3</v>
      </c>
      <c r="E13673" s="1">
        <v>5.9222906903804197E-3</v>
      </c>
      <c r="F13673" s="1">
        <v>5.5790195203291003E-3</v>
      </c>
    </row>
    <row r="13674" spans="1:6" x14ac:dyDescent="0.25">
      <c r="A13674" s="2" t="str">
        <f t="shared" si="488"/>
        <v>33100</v>
      </c>
      <c r="B13674" s="2" t="str">
        <f>"33305"</f>
        <v>33305</v>
      </c>
      <c r="C13674" s="1">
        <v>3.1382501680276499E-3</v>
      </c>
      <c r="D13674" s="1">
        <v>2.0365420441790698E-3</v>
      </c>
      <c r="E13674" s="1">
        <v>2.6705656617836901E-3</v>
      </c>
      <c r="F13674" s="1">
        <v>2.9983058353206899E-3</v>
      </c>
    </row>
    <row r="13675" spans="1:6" x14ac:dyDescent="0.25">
      <c r="A13675" s="2" t="str">
        <f t="shared" si="488"/>
        <v>33100</v>
      </c>
      <c r="B13675" s="2" t="str">
        <f>"33302"</f>
        <v>33302</v>
      </c>
      <c r="C13675" s="1">
        <v>5.6217300501412498E-4</v>
      </c>
      <c r="D13675" s="1">
        <v>7.3477511253051899E-4</v>
      </c>
      <c r="E13675" s="1">
        <v>9.2247518541751201E-6</v>
      </c>
      <c r="F13675" s="1">
        <v>5.4469803067140295E-4</v>
      </c>
    </row>
    <row r="13676" spans="1:6" x14ac:dyDescent="0.25">
      <c r="A13676" s="2" t="str">
        <f t="shared" si="488"/>
        <v>33100</v>
      </c>
      <c r="B13676" s="2" t="str">
        <f>"33296"</f>
        <v>33296</v>
      </c>
      <c r="C13676" s="1">
        <v>2.7779184269976202E-4</v>
      </c>
      <c r="D13676" s="1">
        <v>1.07034169935548E-3</v>
      </c>
      <c r="E13676" s="1">
        <v>9.2247518541751201E-6</v>
      </c>
      <c r="F13676" s="1">
        <v>3.4039999466039199E-4</v>
      </c>
    </row>
    <row r="13677" spans="1:6" x14ac:dyDescent="0.25">
      <c r="A13677" s="2" t="str">
        <f t="shared" si="488"/>
        <v>33100</v>
      </c>
      <c r="B13677" s="2" t="str">
        <f>"33261"</f>
        <v>33261</v>
      </c>
      <c r="C13677" s="1">
        <v>7.6713552565776998E-4</v>
      </c>
      <c r="D13677" s="1">
        <v>1.2901956700338999E-3</v>
      </c>
      <c r="E13677" s="1">
        <v>1.38371277812626E-5</v>
      </c>
      <c r="F13677" s="1">
        <v>7.7221175259275599E-4</v>
      </c>
    </row>
    <row r="13678" spans="1:6" x14ac:dyDescent="0.25">
      <c r="A13678" s="2" t="str">
        <f t="shared" si="488"/>
        <v>33100</v>
      </c>
      <c r="B13678" s="2" t="str">
        <f>"33231"</f>
        <v>33231</v>
      </c>
      <c r="C13678" s="1">
        <v>1.63345765183006E-4</v>
      </c>
      <c r="D13678" s="1">
        <v>6.6534754284259601E-4</v>
      </c>
      <c r="E13678" s="1">
        <v>9.2247518541751201E-6</v>
      </c>
      <c r="F13678" s="1">
        <v>2.04007839937131E-4</v>
      </c>
    </row>
    <row r="13679" spans="1:6" x14ac:dyDescent="0.25">
      <c r="A13679" s="2" t="str">
        <f t="shared" si="488"/>
        <v>33100</v>
      </c>
      <c r="B13679" s="2" t="str">
        <f>"33222"</f>
        <v>33222</v>
      </c>
      <c r="C13679" s="1">
        <v>3.9501237058055998E-4</v>
      </c>
      <c r="D13679" s="1">
        <v>1.3075525624558801E-3</v>
      </c>
      <c r="E13679" s="1">
        <v>9.2247518541751201E-6</v>
      </c>
      <c r="F13679" s="1">
        <v>4.6228234568968798E-4</v>
      </c>
    </row>
    <row r="13680" spans="1:6" x14ac:dyDescent="0.25">
      <c r="A13680" s="2" t="str">
        <f t="shared" si="488"/>
        <v>33100</v>
      </c>
      <c r="B13680" s="2" t="str">
        <f>"33149"</f>
        <v>33149</v>
      </c>
      <c r="C13680" s="1">
        <v>2.8847347660132601E-3</v>
      </c>
      <c r="D13680" s="1">
        <v>2.36053736938938E-3</v>
      </c>
      <c r="E13680" s="1">
        <v>3.3393601712113901E-3</v>
      </c>
      <c r="F13680" s="1">
        <v>2.8607528963019101E-3</v>
      </c>
    </row>
    <row r="13681" spans="1:6" x14ac:dyDescent="0.25">
      <c r="A13681" s="2" t="str">
        <f t="shared" si="488"/>
        <v>33100</v>
      </c>
      <c r="B13681" s="2" t="str">
        <f>"33132"</f>
        <v>33132</v>
      </c>
      <c r="C13681" s="1">
        <v>4.0274615097032904E-3</v>
      </c>
      <c r="D13681" s="1">
        <v>7.72381712778144E-3</v>
      </c>
      <c r="E13681" s="1">
        <v>4.6631120622855201E-3</v>
      </c>
      <c r="F13681" s="1">
        <v>4.43825875390966E-3</v>
      </c>
    </row>
    <row r="13682" spans="1:6" x14ac:dyDescent="0.25">
      <c r="A13682" s="2" t="str">
        <f t="shared" si="488"/>
        <v>33100</v>
      </c>
      <c r="B13682" s="2" t="str">
        <f>"33077"</f>
        <v>33077</v>
      </c>
      <c r="C13682" s="1">
        <v>6.7661908253088105E-4</v>
      </c>
      <c r="D13682" s="1">
        <v>1.33358790108885E-3</v>
      </c>
      <c r="E13682" s="1">
        <v>9.2247518541751201E-6</v>
      </c>
      <c r="F13682" s="1">
        <v>7.0053332234457501E-4</v>
      </c>
    </row>
    <row r="13683" spans="1:6" x14ac:dyDescent="0.25">
      <c r="A13683" s="2" t="str">
        <f t="shared" si="488"/>
        <v>33100</v>
      </c>
      <c r="B13683" s="2" t="str">
        <f>"33075"</f>
        <v>33075</v>
      </c>
      <c r="C13683" s="1">
        <v>3.4056378218622502E-4</v>
      </c>
      <c r="D13683" s="1">
        <v>1.4608717788500401E-3</v>
      </c>
      <c r="E13683" s="1">
        <v>9.2247518541751201E-6</v>
      </c>
      <c r="F13683" s="1">
        <v>4.3210195400624298E-4</v>
      </c>
    </row>
    <row r="13684" spans="1:6" x14ac:dyDescent="0.25">
      <c r="A13684" s="2" t="str">
        <f t="shared" si="488"/>
        <v>33100</v>
      </c>
      <c r="B13684" s="2" t="str">
        <f>"33122"</f>
        <v>33122</v>
      </c>
      <c r="C13684" s="1">
        <v>4.04376140559204E-4</v>
      </c>
      <c r="D13684" s="1">
        <v>7.4027146179747897E-3</v>
      </c>
      <c r="E13684" s="1">
        <v>1.89568650603298E-3</v>
      </c>
      <c r="F13684" s="1">
        <v>1.20025096156469E-3</v>
      </c>
    </row>
    <row r="13685" spans="1:6" x14ac:dyDescent="0.25">
      <c r="A13685" s="2" t="str">
        <f t="shared" si="488"/>
        <v>33100</v>
      </c>
      <c r="B13685" s="2" t="str">
        <f>"33055"</f>
        <v>33055</v>
      </c>
      <c r="C13685" s="1">
        <v>4.6368001709061399E-3</v>
      </c>
      <c r="D13685" s="1">
        <v>1.60840536443688E-3</v>
      </c>
      <c r="E13685" s="1">
        <v>4.7968709641710598E-4</v>
      </c>
      <c r="F13685" s="1">
        <v>4.0714509165262602E-3</v>
      </c>
    </row>
    <row r="13686" spans="1:6" x14ac:dyDescent="0.25">
      <c r="A13686" s="2" t="str">
        <f t="shared" si="488"/>
        <v>33100</v>
      </c>
      <c r="B13686" s="2" t="str">
        <f>"33067"</f>
        <v>33067</v>
      </c>
      <c r="C13686" s="1">
        <v>3.5384646330407902E-3</v>
      </c>
      <c r="D13686" s="1">
        <v>2.7915668645352399E-3</v>
      </c>
      <c r="E13686" s="1">
        <v>2.2462270764916398E-3</v>
      </c>
      <c r="F13686" s="1">
        <v>3.3822352410629699E-3</v>
      </c>
    </row>
    <row r="13687" spans="1:6" x14ac:dyDescent="0.25">
      <c r="A13687" s="2" t="str">
        <f t="shared" si="488"/>
        <v>33100</v>
      </c>
      <c r="B13687" s="2" t="str">
        <f>"33065"</f>
        <v>33065</v>
      </c>
      <c r="C13687" s="1">
        <v>7.4060484405161298E-3</v>
      </c>
      <c r="D13687" s="1">
        <v>6.7489383367468504E-3</v>
      </c>
      <c r="E13687" s="1">
        <v>7.8410390760488505E-3</v>
      </c>
      <c r="F13687" s="1">
        <v>7.36749792364709E-3</v>
      </c>
    </row>
    <row r="13688" spans="1:6" x14ac:dyDescent="0.25">
      <c r="A13688" s="2" t="str">
        <f t="shared" si="488"/>
        <v>33100</v>
      </c>
      <c r="B13688" s="2" t="str">
        <f>"33009"</f>
        <v>33009</v>
      </c>
      <c r="C13688" s="1">
        <v>1.0695506153384099E-2</v>
      </c>
      <c r="D13688" s="1">
        <v>8.0507052683954101E-3</v>
      </c>
      <c r="E13688" s="1">
        <v>9.0448691930187005E-3</v>
      </c>
      <c r="F13688" s="1">
        <v>1.0326337092920201E-2</v>
      </c>
    </row>
    <row r="13689" spans="1:6" x14ac:dyDescent="0.25">
      <c r="A13689" s="2" t="str">
        <f t="shared" si="488"/>
        <v>33100</v>
      </c>
      <c r="B13689" s="2" t="str">
        <f>"33020"</f>
        <v>33020</v>
      </c>
      <c r="C13689" s="1">
        <v>7.9533087748235205E-3</v>
      </c>
      <c r="D13689" s="1">
        <v>8.9272283357054397E-3</v>
      </c>
      <c r="E13689" s="1">
        <v>1.2439577875355099E-2</v>
      </c>
      <c r="F13689" s="1">
        <v>8.3332704575173194E-3</v>
      </c>
    </row>
    <row r="13690" spans="1:6" x14ac:dyDescent="0.25">
      <c r="A13690" s="2" t="str">
        <f t="shared" si="488"/>
        <v>33100</v>
      </c>
      <c r="B13690" s="2" t="str">
        <f>"33021"</f>
        <v>33021</v>
      </c>
      <c r="C13690" s="1">
        <v>8.4787203125140792E-3</v>
      </c>
      <c r="D13690" s="1">
        <v>6.3497298110412898E-3</v>
      </c>
      <c r="E13690" s="1">
        <v>6.8447658757979403E-3</v>
      </c>
      <c r="F13690" s="1">
        <v>8.1623449700024293E-3</v>
      </c>
    </row>
    <row r="13691" spans="1:6" x14ac:dyDescent="0.25">
      <c r="A13691" s="2" t="str">
        <f t="shared" si="488"/>
        <v>33100</v>
      </c>
      <c r="B13691" s="2" t="str">
        <f>"33466"</f>
        <v>33466</v>
      </c>
      <c r="C13691" s="1">
        <v>4.6437362968162398E-4</v>
      </c>
      <c r="D13691" s="1">
        <v>7.17418220108538E-4</v>
      </c>
      <c r="E13691" s="1">
        <v>9.2247518541751201E-6</v>
      </c>
      <c r="F13691" s="1">
        <v>4.61121561394171E-4</v>
      </c>
    </row>
    <row r="13692" spans="1:6" x14ac:dyDescent="0.25">
      <c r="A13692" s="2" t="str">
        <f t="shared" si="488"/>
        <v>33100</v>
      </c>
      <c r="B13692" s="2" t="str">
        <f>"33497"</f>
        <v>33497</v>
      </c>
      <c r="C13692" s="1">
        <v>1.8796901216388401E-4</v>
      </c>
      <c r="D13692" s="1">
        <v>7.4634637414517301E-4</v>
      </c>
      <c r="E13692" s="1">
        <v>9.2247518541751201E-6</v>
      </c>
      <c r="F13692" s="1">
        <v>2.3273725125118E-4</v>
      </c>
    </row>
    <row r="13693" spans="1:6" x14ac:dyDescent="0.25">
      <c r="A13693" s="2" t="str">
        <f t="shared" si="488"/>
        <v>33100</v>
      </c>
      <c r="B13693" s="2" t="str">
        <f>"33446"</f>
        <v>33446</v>
      </c>
      <c r="C13693" s="1">
        <v>7.1729946099365503E-3</v>
      </c>
      <c r="D13693" s="1">
        <v>1.8542946737482701E-3</v>
      </c>
      <c r="E13693" s="1">
        <v>6.7525183572561803E-3</v>
      </c>
      <c r="F13693" s="1">
        <v>6.6129881315609698E-3</v>
      </c>
    </row>
    <row r="13694" spans="1:6" x14ac:dyDescent="0.25">
      <c r="A13694" s="2" t="str">
        <f t="shared" si="488"/>
        <v>33100</v>
      </c>
      <c r="B13694" s="2" t="str">
        <f>"33473"</f>
        <v>33473</v>
      </c>
      <c r="C13694" s="1">
        <v>1.5914940900739101E-3</v>
      </c>
      <c r="D13694" s="1">
        <v>1.18605431550201E-4</v>
      </c>
      <c r="E13694" s="1">
        <v>4.1511383343787997E-5</v>
      </c>
      <c r="F13694" s="1">
        <v>1.34621958672596E-3</v>
      </c>
    </row>
    <row r="13695" spans="1:6" x14ac:dyDescent="0.25">
      <c r="A13695" s="2" t="str">
        <f t="shared" si="488"/>
        <v>33100</v>
      </c>
      <c r="B13695" s="2" t="str">
        <f>"33440"</f>
        <v>33440</v>
      </c>
      <c r="C13695" s="1">
        <v>1.1791414047180899E-5</v>
      </c>
      <c r="D13695" s="1">
        <v>8.6784462109903801E-6</v>
      </c>
      <c r="E13695" s="1">
        <v>2.1216929264602699E-4</v>
      </c>
      <c r="F13695" s="1">
        <v>2.4086274131980001E-5</v>
      </c>
    </row>
    <row r="13696" spans="1:6" x14ac:dyDescent="0.25">
      <c r="A13696" s="2" t="str">
        <f t="shared" si="488"/>
        <v>33100</v>
      </c>
      <c r="B13696" s="2" t="str">
        <f>"33441"</f>
        <v>33441</v>
      </c>
      <c r="C13696" s="1">
        <v>5.3227830234156602E-3</v>
      </c>
      <c r="D13696" s="1">
        <v>6.5869406741417003E-3</v>
      </c>
      <c r="E13696" s="1">
        <v>8.2515405335596408E-3</v>
      </c>
      <c r="F13696" s="1">
        <v>5.6338665782922799E-3</v>
      </c>
    </row>
    <row r="13697" spans="1:6" x14ac:dyDescent="0.25">
      <c r="A13697" s="2" t="str">
        <f t="shared" si="488"/>
        <v>33100</v>
      </c>
      <c r="B13697" s="2" t="str">
        <f>"33438"</f>
        <v>33438</v>
      </c>
      <c r="C13697" s="1">
        <v>7.8378222784202504E-5</v>
      </c>
      <c r="D13697" s="1">
        <v>8.0998831302576905E-5</v>
      </c>
      <c r="E13697" s="1">
        <v>9.2247518541751201E-6</v>
      </c>
      <c r="F13697" s="1">
        <v>7.4290194913094896E-5</v>
      </c>
    </row>
    <row r="13698" spans="1:6" x14ac:dyDescent="0.25">
      <c r="A13698" s="2" t="str">
        <f t="shared" si="488"/>
        <v>33100</v>
      </c>
      <c r="B13698" s="2" t="str">
        <f>"33410"</f>
        <v>33410</v>
      </c>
      <c r="C13698" s="1">
        <v>6.4242398179405599E-3</v>
      </c>
      <c r="D13698" s="1">
        <v>8.2503095312481903E-3</v>
      </c>
      <c r="E13698" s="1">
        <v>6.1713589904431503E-3</v>
      </c>
      <c r="F13698" s="1">
        <v>6.5915136220939001E-3</v>
      </c>
    </row>
    <row r="13699" spans="1:6" x14ac:dyDescent="0.25">
      <c r="A13699" s="2" t="str">
        <f t="shared" si="488"/>
        <v>33100</v>
      </c>
      <c r="B13699" s="2" t="str">
        <f>"33437"</f>
        <v>33437</v>
      </c>
      <c r="C13699" s="1">
        <v>7.4261632056554297E-3</v>
      </c>
      <c r="D13699" s="1">
        <v>1.5534418717672699E-3</v>
      </c>
      <c r="E13699" s="1">
        <v>1.0304047821113599E-2</v>
      </c>
      <c r="F13699" s="1">
        <v>7.0181018506964401E-3</v>
      </c>
    </row>
    <row r="13700" spans="1:6" x14ac:dyDescent="0.25">
      <c r="A13700" s="2" t="str">
        <f t="shared" si="488"/>
        <v>33100</v>
      </c>
      <c r="B13700" s="2" t="str">
        <f>"33433"</f>
        <v>33433</v>
      </c>
      <c r="C13700" s="1">
        <v>8.41421434155009E-3</v>
      </c>
      <c r="D13700" s="1">
        <v>3.2110250980664401E-3</v>
      </c>
      <c r="E13700" s="1">
        <v>1.16185749603335E-2</v>
      </c>
      <c r="F13700" s="1">
        <v>8.0938586965669194E-3</v>
      </c>
    </row>
    <row r="13701" spans="1:6" x14ac:dyDescent="0.25">
      <c r="A13701" s="2" t="str">
        <f t="shared" si="488"/>
        <v>33100</v>
      </c>
      <c r="B13701" s="2" t="str">
        <f>"33388"</f>
        <v>33388</v>
      </c>
      <c r="C13701" s="1">
        <v>0</v>
      </c>
      <c r="D13701" s="1">
        <v>8.3023802085141301E-4</v>
      </c>
      <c r="E13701" s="1">
        <v>9.2247518541751204E-5</v>
      </c>
      <c r="F13701" s="1">
        <v>8.9090194680938094E-5</v>
      </c>
    </row>
    <row r="13702" spans="1:6" x14ac:dyDescent="0.25">
      <c r="A13702" s="2" t="str">
        <f t="shared" ref="A13702:A13765" si="489">"33100"</f>
        <v>33100</v>
      </c>
      <c r="B13702" s="2" t="str">
        <f>"33346"</f>
        <v>33346</v>
      </c>
      <c r="C13702" s="1">
        <v>1.9351791289196901E-4</v>
      </c>
      <c r="D13702" s="1">
        <v>3.9342289489823E-4</v>
      </c>
      <c r="E13702" s="1">
        <v>9.2247518541751201E-6</v>
      </c>
      <c r="F13702" s="1">
        <v>2.0197646741997599E-4</v>
      </c>
    </row>
    <row r="13703" spans="1:6" x14ac:dyDescent="0.25">
      <c r="A13703" s="2" t="str">
        <f t="shared" si="489"/>
        <v>33100</v>
      </c>
      <c r="B13703" s="2" t="str">
        <f>"33332"</f>
        <v>33332</v>
      </c>
      <c r="C13703" s="1">
        <v>1.20307103910795E-3</v>
      </c>
      <c r="D13703" s="1">
        <v>8.2155957464042305E-4</v>
      </c>
      <c r="E13703" s="1">
        <v>1.24534150031364E-4</v>
      </c>
      <c r="F13703" s="1">
        <v>1.0969411592636599E-3</v>
      </c>
    </row>
    <row r="13704" spans="1:6" x14ac:dyDescent="0.25">
      <c r="A13704" s="2" t="str">
        <f t="shared" si="489"/>
        <v>33100</v>
      </c>
      <c r="B13704" s="2" t="str">
        <f>"33314"</f>
        <v>33314</v>
      </c>
      <c r="C13704" s="1">
        <v>4.2806301054221698E-3</v>
      </c>
      <c r="D13704" s="1">
        <v>7.1365756008377502E-3</v>
      </c>
      <c r="E13704" s="1">
        <v>5.6363233829009899E-3</v>
      </c>
      <c r="F13704" s="1">
        <v>4.6524234564325698E-3</v>
      </c>
    </row>
    <row r="13705" spans="1:6" x14ac:dyDescent="0.25">
      <c r="A13705" s="2" t="str">
        <f t="shared" si="489"/>
        <v>33100</v>
      </c>
      <c r="B13705" s="2" t="str">
        <f>"33312"</f>
        <v>33312</v>
      </c>
      <c r="C13705" s="1">
        <v>7.9498407118684701E-3</v>
      </c>
      <c r="D13705" s="1">
        <v>8.7334097036599907E-3</v>
      </c>
      <c r="E13705" s="1">
        <v>8.3806870595180896E-3</v>
      </c>
      <c r="F13705" s="1">
        <v>8.0555528148148498E-3</v>
      </c>
    </row>
    <row r="13706" spans="1:6" x14ac:dyDescent="0.25">
      <c r="A13706" s="2" t="str">
        <f t="shared" si="489"/>
        <v>33100</v>
      </c>
      <c r="B13706" s="2" t="str">
        <f>"33313"</f>
        <v>33313</v>
      </c>
      <c r="C13706" s="1">
        <v>9.8260627705522591E-3</v>
      </c>
      <c r="D13706" s="1">
        <v>5.5484199442265101E-3</v>
      </c>
      <c r="E13706" s="1">
        <v>9.2155271023209393E-3</v>
      </c>
      <c r="F13706" s="1">
        <v>9.3585331865328105E-3</v>
      </c>
    </row>
    <row r="13707" spans="1:6" x14ac:dyDescent="0.25">
      <c r="A13707" s="2" t="str">
        <f t="shared" si="489"/>
        <v>33100</v>
      </c>
      <c r="B13707" s="2" t="str">
        <f>"33172"</f>
        <v>33172</v>
      </c>
      <c r="C13707" s="1">
        <v>6.54943689061798E-3</v>
      </c>
      <c r="D13707" s="1">
        <v>1.2725494960715501E-2</v>
      </c>
      <c r="E13707" s="1">
        <v>1.12495848861665E-2</v>
      </c>
      <c r="F13707" s="1">
        <v>7.4647136083966399E-3</v>
      </c>
    </row>
    <row r="13708" spans="1:6" x14ac:dyDescent="0.25">
      <c r="A13708" s="2" t="str">
        <f t="shared" si="489"/>
        <v>33100</v>
      </c>
      <c r="B13708" s="2" t="str">
        <f>"33239"</f>
        <v>33239</v>
      </c>
      <c r="C13708" s="1">
        <v>1.7166911627513299E-4</v>
      </c>
      <c r="D13708" s="1">
        <v>3.8763726409090298E-4</v>
      </c>
      <c r="E13708" s="1">
        <v>4.61237592708756E-6</v>
      </c>
      <c r="F13708" s="1">
        <v>1.8282352654394401E-4</v>
      </c>
    </row>
    <row r="13709" spans="1:6" x14ac:dyDescent="0.25">
      <c r="A13709" s="2" t="str">
        <f t="shared" si="489"/>
        <v>33100</v>
      </c>
      <c r="B13709" s="2" t="str">
        <f>"33307"</f>
        <v>33307</v>
      </c>
      <c r="C13709" s="1">
        <v>4.9523938998159798E-4</v>
      </c>
      <c r="D13709" s="1">
        <v>1.3306950856851901E-3</v>
      </c>
      <c r="E13709" s="1">
        <v>9.2247518541751201E-6</v>
      </c>
      <c r="F13709" s="1">
        <v>5.4847057963183397E-4</v>
      </c>
    </row>
    <row r="13710" spans="1:6" x14ac:dyDescent="0.25">
      <c r="A13710" s="2" t="str">
        <f t="shared" si="489"/>
        <v>33100</v>
      </c>
      <c r="B13710" s="2" t="str">
        <f>"33247"</f>
        <v>33247</v>
      </c>
      <c r="C13710" s="1">
        <v>6.7974033919042897E-4</v>
      </c>
      <c r="D13710" s="1">
        <v>6.0749123476932598E-4</v>
      </c>
      <c r="E13710" s="1">
        <v>9.2247518541751201E-6</v>
      </c>
      <c r="F13710" s="1">
        <v>6.3030587246578999E-4</v>
      </c>
    </row>
    <row r="13711" spans="1:6" x14ac:dyDescent="0.25">
      <c r="A13711" s="2" t="str">
        <f t="shared" si="489"/>
        <v>33100</v>
      </c>
      <c r="B13711" s="2" t="str">
        <f>"33238"</f>
        <v>33238</v>
      </c>
      <c r="C13711" s="1">
        <v>4.5223540933893801E-4</v>
      </c>
      <c r="D13711" s="1">
        <v>5.3227803427407605E-4</v>
      </c>
      <c r="E13711" s="1">
        <v>9.2247518541751201E-6</v>
      </c>
      <c r="F13711" s="1">
        <v>4.32392150080123E-4</v>
      </c>
    </row>
    <row r="13712" spans="1:6" x14ac:dyDescent="0.25">
      <c r="A13712" s="2" t="str">
        <f t="shared" si="489"/>
        <v>33100</v>
      </c>
      <c r="B13712" s="2" t="str">
        <f>"33166"</f>
        <v>33166</v>
      </c>
      <c r="C13712" s="1">
        <v>3.9525513498741404E-3</v>
      </c>
      <c r="D13712" s="1">
        <v>2.6101873387255399E-2</v>
      </c>
      <c r="E13712" s="1">
        <v>5.8300431718386701E-3</v>
      </c>
      <c r="F13712" s="1">
        <v>6.2926116659982401E-3</v>
      </c>
    </row>
    <row r="13713" spans="1:6" x14ac:dyDescent="0.25">
      <c r="A13713" s="2" t="str">
        <f t="shared" si="489"/>
        <v>33100</v>
      </c>
      <c r="B13713" s="2" t="str">
        <f>"33179"</f>
        <v>33179</v>
      </c>
      <c r="C13713" s="1">
        <v>7.1296438229983897E-3</v>
      </c>
      <c r="D13713" s="1">
        <v>3.6623043010379401E-3</v>
      </c>
      <c r="E13713" s="1">
        <v>6.7986421165270603E-3</v>
      </c>
      <c r="F13713" s="1">
        <v>6.7609881292394003E-3</v>
      </c>
    </row>
    <row r="13714" spans="1:6" x14ac:dyDescent="0.25">
      <c r="A13714" s="2" t="str">
        <f t="shared" si="489"/>
        <v>33100</v>
      </c>
      <c r="B13714" s="2" t="str">
        <f>"33084"</f>
        <v>33084</v>
      </c>
      <c r="C13714" s="1">
        <v>3.5686367807497498E-4</v>
      </c>
      <c r="D13714" s="1">
        <v>9.60414714016269E-4</v>
      </c>
      <c r="E13714" s="1">
        <v>9.2247518541751201E-6</v>
      </c>
      <c r="F13714" s="1">
        <v>3.9553724869745402E-4</v>
      </c>
    </row>
    <row r="13715" spans="1:6" x14ac:dyDescent="0.25">
      <c r="A13715" s="2" t="str">
        <f t="shared" si="489"/>
        <v>33100</v>
      </c>
      <c r="B13715" s="2" t="str">
        <f>"33109"</f>
        <v>33109</v>
      </c>
      <c r="C13715" s="1">
        <v>2.8125990565481499E-4</v>
      </c>
      <c r="D13715" s="1">
        <v>7.5213200495249905E-5</v>
      </c>
      <c r="E13715" s="1">
        <v>4.6123759270875602E-5</v>
      </c>
      <c r="F13715" s="1">
        <v>2.45796074575747E-4</v>
      </c>
    </row>
    <row r="13716" spans="1:6" x14ac:dyDescent="0.25">
      <c r="A13716" s="2" t="str">
        <f t="shared" si="489"/>
        <v>33100</v>
      </c>
      <c r="B13716" s="2" t="str">
        <f>"33093"</f>
        <v>33093</v>
      </c>
      <c r="C13716" s="1">
        <v>4.5639708488500201E-4</v>
      </c>
      <c r="D13716" s="1">
        <v>8.0420268221844196E-4</v>
      </c>
      <c r="E13716" s="1">
        <v>9.2247518541751201E-6</v>
      </c>
      <c r="F13716" s="1">
        <v>4.6315293391132603E-4</v>
      </c>
    </row>
    <row r="13717" spans="1:6" x14ac:dyDescent="0.25">
      <c r="A13717" s="2" t="str">
        <f t="shared" si="489"/>
        <v>33100</v>
      </c>
      <c r="B13717" s="2" t="str">
        <f>"33071"</f>
        <v>33071</v>
      </c>
      <c r="C13717" s="1">
        <v>4.8795645777598602E-3</v>
      </c>
      <c r="D13717" s="1">
        <v>3.2283819904884198E-3</v>
      </c>
      <c r="E13717" s="1">
        <v>2.49529537655437E-3</v>
      </c>
      <c r="F13717" s="1">
        <v>4.5639136538993897E-3</v>
      </c>
    </row>
    <row r="13718" spans="1:6" x14ac:dyDescent="0.25">
      <c r="A13718" s="2" t="str">
        <f t="shared" si="489"/>
        <v>33100</v>
      </c>
      <c r="B13718" s="2" t="str">
        <f>"33126"</f>
        <v>33126</v>
      </c>
      <c r="C13718" s="1">
        <v>7.0696463338759596E-3</v>
      </c>
      <c r="D13718" s="1">
        <v>1.44872195415466E-2</v>
      </c>
      <c r="E13718" s="1">
        <v>1.0230249806280199E-2</v>
      </c>
      <c r="F13718" s="1">
        <v>8.0126037958807208E-3</v>
      </c>
    </row>
    <row r="13719" spans="1:6" x14ac:dyDescent="0.25">
      <c r="A13719" s="2" t="str">
        <f t="shared" si="489"/>
        <v>33100</v>
      </c>
      <c r="B13719" s="2" t="str">
        <f>"33124"</f>
        <v>33124</v>
      </c>
      <c r="C13719" s="1">
        <v>2.8195351824582602E-4</v>
      </c>
      <c r="D13719" s="1">
        <v>4.7152891079714401E-4</v>
      </c>
      <c r="E13719" s="1">
        <v>9.2247518541751201E-6</v>
      </c>
      <c r="F13719" s="1">
        <v>2.8381176025393302E-4</v>
      </c>
    </row>
    <row r="13720" spans="1:6" x14ac:dyDescent="0.25">
      <c r="A13720" s="2" t="str">
        <f t="shared" si="489"/>
        <v>33100</v>
      </c>
      <c r="B13720" s="2" t="str">
        <f>"33119"</f>
        <v>33119</v>
      </c>
      <c r="C13720" s="1">
        <v>5.32000857305162E-4</v>
      </c>
      <c r="D13720" s="1">
        <v>4.2235104893486501E-4</v>
      </c>
      <c r="E13720" s="1">
        <v>1.38371277812626E-5</v>
      </c>
      <c r="F13720" s="1">
        <v>4.8839999233882302E-4</v>
      </c>
    </row>
    <row r="13721" spans="1:6" x14ac:dyDescent="0.25">
      <c r="A13721" s="2" t="str">
        <f t="shared" si="489"/>
        <v>33100</v>
      </c>
      <c r="B13721" s="2" t="str">
        <f>"33039"</f>
        <v>33039</v>
      </c>
      <c r="C13721" s="1">
        <v>0</v>
      </c>
      <c r="D13721" s="1">
        <v>5.7856308073269198E-6</v>
      </c>
      <c r="E13721" s="1">
        <v>0</v>
      </c>
      <c r="F13721" s="1">
        <v>5.8039214775855398E-7</v>
      </c>
    </row>
    <row r="13722" spans="1:6" x14ac:dyDescent="0.25">
      <c r="A13722" s="2" t="str">
        <f t="shared" si="489"/>
        <v>33100</v>
      </c>
      <c r="B13722" s="2" t="str">
        <f>"33066"</f>
        <v>33066</v>
      </c>
      <c r="C13722" s="1">
        <v>4.1308097857638698E-3</v>
      </c>
      <c r="D13722" s="1">
        <v>1.1860543155020099E-3</v>
      </c>
      <c r="E13722" s="1">
        <v>2.1493671820228002E-3</v>
      </c>
      <c r="F13722" s="1">
        <v>3.7107371966943101E-3</v>
      </c>
    </row>
    <row r="13723" spans="1:6" x14ac:dyDescent="0.25">
      <c r="A13723" s="2" t="str">
        <f t="shared" si="489"/>
        <v>33100</v>
      </c>
      <c r="B13723" s="2" t="str">
        <f>"33069"</f>
        <v>33069</v>
      </c>
      <c r="C13723" s="1">
        <v>5.7281995828613796E-3</v>
      </c>
      <c r="D13723" s="1">
        <v>1.1258837551058099E-2</v>
      </c>
      <c r="E13723" s="1">
        <v>8.4821593299140192E-3</v>
      </c>
      <c r="F13723" s="1">
        <v>6.45628225166616E-3</v>
      </c>
    </row>
    <row r="13724" spans="1:6" x14ac:dyDescent="0.25">
      <c r="A13724" s="2" t="str">
        <f t="shared" si="489"/>
        <v>33100</v>
      </c>
      <c r="B13724" s="2" t="str">
        <f>"33011"</f>
        <v>33011</v>
      </c>
      <c r="C13724" s="1">
        <v>6.8043395178143896E-4</v>
      </c>
      <c r="D13724" s="1">
        <v>4.8599298781546103E-4</v>
      </c>
      <c r="E13724" s="1">
        <v>9.2247518541751201E-6</v>
      </c>
      <c r="F13724" s="1">
        <v>6.1869802951061898E-4</v>
      </c>
    </row>
    <row r="13725" spans="1:6" x14ac:dyDescent="0.25">
      <c r="A13725" s="2" t="str">
        <f t="shared" si="489"/>
        <v>33100</v>
      </c>
      <c r="B13725" s="2" t="str">
        <f>"33030"</f>
        <v>33030</v>
      </c>
      <c r="C13725" s="1">
        <v>3.9834171101741098E-3</v>
      </c>
      <c r="D13725" s="1">
        <v>4.4462572754307402E-3</v>
      </c>
      <c r="E13725" s="1">
        <v>3.6714512379616899E-3</v>
      </c>
      <c r="F13725" s="1">
        <v>4.0102195449377301E-3</v>
      </c>
    </row>
    <row r="13726" spans="1:6" x14ac:dyDescent="0.25">
      <c r="A13726" s="2" t="str">
        <f t="shared" si="489"/>
        <v>33100</v>
      </c>
      <c r="B13726" s="2" t="str">
        <f>"33023"</f>
        <v>33023</v>
      </c>
      <c r="C13726" s="1">
        <v>7.5624580797890298E-3</v>
      </c>
      <c r="D13726" s="1">
        <v>9.4305782159428801E-3</v>
      </c>
      <c r="E13726" s="1">
        <v>5.2165971735360301E-3</v>
      </c>
      <c r="F13726" s="1">
        <v>7.6022665474154202E-3</v>
      </c>
    </row>
    <row r="13727" spans="1:6" x14ac:dyDescent="0.25">
      <c r="A13727" s="2" t="str">
        <f t="shared" si="489"/>
        <v>33100</v>
      </c>
      <c r="B13727" s="2" t="str">
        <f>"33499"</f>
        <v>33499</v>
      </c>
      <c r="C13727" s="1">
        <v>0</v>
      </c>
      <c r="D13727" s="1">
        <v>2.8928154036634599E-6</v>
      </c>
      <c r="E13727" s="1">
        <v>0</v>
      </c>
      <c r="F13727" s="1">
        <v>2.9019607387927699E-7</v>
      </c>
    </row>
    <row r="13728" spans="1:6" x14ac:dyDescent="0.25">
      <c r="A13728" s="2" t="str">
        <f t="shared" si="489"/>
        <v>33100</v>
      </c>
      <c r="B13728" s="2" t="str">
        <f>"33454"</f>
        <v>33454</v>
      </c>
      <c r="C13728" s="1">
        <v>5.3824337062425805E-4</v>
      </c>
      <c r="D13728" s="1">
        <v>1.1253051920250799E-3</v>
      </c>
      <c r="E13728" s="1">
        <v>9.2247518541751201E-6</v>
      </c>
      <c r="F13728" s="1">
        <v>5.6385097154743502E-4</v>
      </c>
    </row>
    <row r="13729" spans="1:6" x14ac:dyDescent="0.25">
      <c r="A13729" s="2" t="str">
        <f t="shared" si="489"/>
        <v>33100</v>
      </c>
      <c r="B13729" s="2" t="str">
        <f>"33480"</f>
        <v>33480</v>
      </c>
      <c r="C13729" s="1">
        <v>4.7779503331767999E-3</v>
      </c>
      <c r="D13729" s="1">
        <v>5.3169947119334404E-3</v>
      </c>
      <c r="E13729" s="1">
        <v>5.4333788421091402E-3</v>
      </c>
      <c r="F13729" s="1">
        <v>4.8732626686546999E-3</v>
      </c>
    </row>
    <row r="13730" spans="1:6" x14ac:dyDescent="0.25">
      <c r="A13730" s="2" t="str">
        <f t="shared" si="489"/>
        <v>33100</v>
      </c>
      <c r="B13730" s="2" t="str">
        <f>"33408"</f>
        <v>33408</v>
      </c>
      <c r="C13730" s="1">
        <v>5.0113509700518803E-3</v>
      </c>
      <c r="D13730" s="1">
        <v>6.5551197047014004E-3</v>
      </c>
      <c r="E13730" s="1">
        <v>8.0116969853510894E-3</v>
      </c>
      <c r="F13730" s="1">
        <v>5.3549881512942998E-3</v>
      </c>
    </row>
    <row r="13731" spans="1:6" x14ac:dyDescent="0.25">
      <c r="A13731" s="2" t="str">
        <f t="shared" si="489"/>
        <v>33100</v>
      </c>
      <c r="B13731" s="2" t="str">
        <f>"33409"</f>
        <v>33409</v>
      </c>
      <c r="C13731" s="1">
        <v>4.7755226891082704E-3</v>
      </c>
      <c r="D13731" s="1">
        <v>8.2792376852848203E-3</v>
      </c>
      <c r="E13731" s="1">
        <v>5.8346555477657601E-3</v>
      </c>
      <c r="F13731" s="1">
        <v>5.1936391342174201E-3</v>
      </c>
    </row>
    <row r="13732" spans="1:6" x14ac:dyDescent="0.25">
      <c r="A13732" s="2" t="str">
        <f t="shared" si="489"/>
        <v>33100</v>
      </c>
      <c r="B13732" s="2" t="str">
        <f>"33422"</f>
        <v>33422</v>
      </c>
      <c r="C13732" s="1">
        <v>5.9303876531409795E-4</v>
      </c>
      <c r="D13732" s="1">
        <v>7.8395297439279798E-4</v>
      </c>
      <c r="E13732" s="1">
        <v>9.2247518541751201E-6</v>
      </c>
      <c r="F13732" s="1">
        <v>5.7545881450260603E-4</v>
      </c>
    </row>
    <row r="13733" spans="1:6" x14ac:dyDescent="0.25">
      <c r="A13733" s="2" t="str">
        <f t="shared" si="489"/>
        <v>33100</v>
      </c>
      <c r="B13733" s="2" t="str">
        <f>"33432"</f>
        <v>33432</v>
      </c>
      <c r="C13733" s="1">
        <v>6.0788207476172602E-3</v>
      </c>
      <c r="D13733" s="1">
        <v>8.7334097036599907E-3</v>
      </c>
      <c r="E13733" s="1">
        <v>6.8124792443083199E-3</v>
      </c>
      <c r="F13733" s="1">
        <v>6.3912783311171999E-3</v>
      </c>
    </row>
    <row r="13734" spans="1:6" x14ac:dyDescent="0.25">
      <c r="A13734" s="2" t="str">
        <f t="shared" si="489"/>
        <v>33100</v>
      </c>
      <c r="B13734" s="2" t="str">
        <f>"33404"</f>
        <v>33404</v>
      </c>
      <c r="C13734" s="1">
        <v>6.5601878857786504E-3</v>
      </c>
      <c r="D13734" s="1">
        <v>7.6514967426898504E-3</v>
      </c>
      <c r="E13734" s="1">
        <v>9.6444780635400896E-3</v>
      </c>
      <c r="F13734" s="1">
        <v>6.86371753939266E-3</v>
      </c>
    </row>
    <row r="13735" spans="1:6" x14ac:dyDescent="0.25">
      <c r="A13735" s="2" t="str">
        <f t="shared" si="489"/>
        <v>33100</v>
      </c>
      <c r="B13735" s="2" t="str">
        <f>"33339"</f>
        <v>33339</v>
      </c>
      <c r="C13735" s="1">
        <v>3.5894451584800698E-4</v>
      </c>
      <c r="D13735" s="1">
        <v>7.52132004952499E-4</v>
      </c>
      <c r="E13735" s="1">
        <v>9.2247518541751201E-6</v>
      </c>
      <c r="F13735" s="1">
        <v>3.76384307821422E-4</v>
      </c>
    </row>
    <row r="13736" spans="1:6" x14ac:dyDescent="0.25">
      <c r="A13736" s="2" t="str">
        <f t="shared" si="489"/>
        <v>33100</v>
      </c>
      <c r="B13736" s="2" t="str">
        <f>"33329"</f>
        <v>33329</v>
      </c>
      <c r="C13736" s="1">
        <v>5.6078577983210401E-4</v>
      </c>
      <c r="D13736" s="1">
        <v>1.194732761713E-3</v>
      </c>
      <c r="E13736" s="1">
        <v>9.2247518541751201E-6</v>
      </c>
      <c r="F13736" s="1">
        <v>5.8967842212269102E-4</v>
      </c>
    </row>
    <row r="13737" spans="1:6" x14ac:dyDescent="0.25">
      <c r="A13737" s="2" t="str">
        <f t="shared" si="489"/>
        <v>33100</v>
      </c>
      <c r="B13737" s="2" t="str">
        <f>"33328"</f>
        <v>33328</v>
      </c>
      <c r="C13737" s="1">
        <v>3.7080529115428901E-3</v>
      </c>
      <c r="D13737" s="1">
        <v>3.7317318707258602E-3</v>
      </c>
      <c r="E13737" s="1">
        <v>2.0432825356997801E-3</v>
      </c>
      <c r="F13737" s="1">
        <v>3.6056862179500199E-3</v>
      </c>
    </row>
    <row r="13738" spans="1:6" x14ac:dyDescent="0.25">
      <c r="A13738" s="2" t="str">
        <f t="shared" si="489"/>
        <v>33100</v>
      </c>
      <c r="B13738" s="2" t="str">
        <f>"33351"</f>
        <v>33351</v>
      </c>
      <c r="C13738" s="1">
        <v>4.9090431128778096E-3</v>
      </c>
      <c r="D13738" s="1">
        <v>8.5251269945962205E-3</v>
      </c>
      <c r="E13738" s="1">
        <v>4.2110992214309398E-3</v>
      </c>
      <c r="F13738" s="1">
        <v>5.2278822709351802E-3</v>
      </c>
    </row>
    <row r="13739" spans="1:6" x14ac:dyDescent="0.25">
      <c r="A13739" s="2" t="str">
        <f t="shared" si="489"/>
        <v>33100</v>
      </c>
      <c r="B13739" s="2" t="str">
        <f>"33310"</f>
        <v>33310</v>
      </c>
      <c r="C13739" s="1">
        <v>9.5579815041266399E-4</v>
      </c>
      <c r="D13739" s="1">
        <v>2.0538989366010499E-3</v>
      </c>
      <c r="E13739" s="1">
        <v>2.7674255562525301E-5</v>
      </c>
      <c r="F13739" s="1">
        <v>1.0075607685088501E-3</v>
      </c>
    </row>
    <row r="13740" spans="1:6" x14ac:dyDescent="0.25">
      <c r="A13740" s="2" t="str">
        <f t="shared" si="489"/>
        <v>33100</v>
      </c>
      <c r="B13740" s="2" t="str">
        <f>"33309"</f>
        <v>33309</v>
      </c>
      <c r="C13740" s="1">
        <v>5.5319072196053703E-3</v>
      </c>
      <c r="D13740" s="1">
        <v>1.26965668066789E-2</v>
      </c>
      <c r="E13740" s="1">
        <v>8.5328954651119806E-3</v>
      </c>
      <c r="F13740" s="1">
        <v>6.4394508793811601E-3</v>
      </c>
    </row>
    <row r="13741" spans="1:6" x14ac:dyDescent="0.25">
      <c r="A13741" s="2" t="str">
        <f t="shared" si="489"/>
        <v>33100</v>
      </c>
      <c r="B13741" s="2" t="str">
        <f>"33326"</f>
        <v>33326</v>
      </c>
      <c r="C13741" s="1">
        <v>4.7446569288082897E-3</v>
      </c>
      <c r="D13741" s="1">
        <v>5.3141018965297696E-3</v>
      </c>
      <c r="E13741" s="1">
        <v>4.6907863178480402E-3</v>
      </c>
      <c r="F13741" s="1">
        <v>4.7983920815938396E-3</v>
      </c>
    </row>
    <row r="13742" spans="1:6" x14ac:dyDescent="0.25">
      <c r="A13742" s="2" t="str">
        <f t="shared" si="489"/>
        <v>33100</v>
      </c>
      <c r="B13742" s="2" t="str">
        <f>"33327"</f>
        <v>33327</v>
      </c>
      <c r="C13742" s="1">
        <v>2.3471850079800102E-3</v>
      </c>
      <c r="D13742" s="1">
        <v>7.7816734358547102E-4</v>
      </c>
      <c r="E13742" s="1">
        <v>1.84495037083502E-4</v>
      </c>
      <c r="F13742" s="1">
        <v>2.05371761484364E-3</v>
      </c>
    </row>
    <row r="13743" spans="1:6" x14ac:dyDescent="0.25">
      <c r="A13743" s="2" t="str">
        <f t="shared" si="489"/>
        <v>33100</v>
      </c>
      <c r="B13743" s="2" t="str">
        <f>"33319"</f>
        <v>33319</v>
      </c>
      <c r="C13743" s="1">
        <v>9.5649176300367494E-3</v>
      </c>
      <c r="D13743" s="1">
        <v>4.5561842607699504E-3</v>
      </c>
      <c r="E13743" s="1">
        <v>7.4074757389026198E-3</v>
      </c>
      <c r="F13743" s="1">
        <v>8.9267214286004402E-3</v>
      </c>
    </row>
    <row r="13744" spans="1:6" x14ac:dyDescent="0.25">
      <c r="A13744" s="2" t="str">
        <f t="shared" si="489"/>
        <v>33100</v>
      </c>
      <c r="B13744" s="2" t="str">
        <f>"33301"</f>
        <v>33301</v>
      </c>
      <c r="C13744" s="1">
        <v>4.6014259287645897E-3</v>
      </c>
      <c r="D13744" s="1">
        <v>7.7035674199557903E-3</v>
      </c>
      <c r="E13744" s="1">
        <v>7.0338732888085304E-3</v>
      </c>
      <c r="F13744" s="1">
        <v>5.0656626656366598E-3</v>
      </c>
    </row>
    <row r="13745" spans="1:6" x14ac:dyDescent="0.25">
      <c r="A13745" s="2" t="str">
        <f t="shared" si="489"/>
        <v>33100</v>
      </c>
      <c r="B13745" s="2" t="str">
        <f>"33269"</f>
        <v>33269</v>
      </c>
      <c r="C13745" s="1">
        <v>4.2241006792548101E-4</v>
      </c>
      <c r="D13745" s="1">
        <v>9.45950636997951E-4</v>
      </c>
      <c r="E13745" s="1">
        <v>9.2247518541751201E-6</v>
      </c>
      <c r="F13745" s="1">
        <v>4.4893332629124098E-4</v>
      </c>
    </row>
    <row r="13746" spans="1:6" x14ac:dyDescent="0.25">
      <c r="A13746" s="2" t="str">
        <f t="shared" si="489"/>
        <v>33100</v>
      </c>
      <c r="B13746" s="2" t="str">
        <f>"33185"</f>
        <v>33185</v>
      </c>
      <c r="C13746" s="1">
        <v>2.9624193762064501E-3</v>
      </c>
      <c r="D13746" s="1">
        <v>9.0834403675032604E-4</v>
      </c>
      <c r="E13746" s="1">
        <v>1.5128593040847199E-3</v>
      </c>
      <c r="F13746" s="1">
        <v>2.6651607425072798E-3</v>
      </c>
    </row>
    <row r="13747" spans="1:6" x14ac:dyDescent="0.25">
      <c r="A13747" s="2" t="str">
        <f t="shared" si="489"/>
        <v>33100</v>
      </c>
      <c r="B13747" s="2" t="str">
        <f>"33198"</f>
        <v>33198</v>
      </c>
      <c r="C13747" s="1">
        <v>0</v>
      </c>
      <c r="D13747" s="1">
        <v>2.6035338632971101E-5</v>
      </c>
      <c r="E13747" s="1">
        <v>1.38371277812626E-5</v>
      </c>
      <c r="F13747" s="1">
        <v>3.4823528865513201E-6</v>
      </c>
    </row>
    <row r="13748" spans="1:6" x14ac:dyDescent="0.25">
      <c r="A13748" s="2" t="str">
        <f t="shared" si="489"/>
        <v>33100</v>
      </c>
      <c r="B13748" s="2" t="str">
        <f>"33193"</f>
        <v>33193</v>
      </c>
      <c r="C13748" s="1">
        <v>5.6897040840602903E-3</v>
      </c>
      <c r="D13748" s="1">
        <v>7.17418220108538E-4</v>
      </c>
      <c r="E13748" s="1">
        <v>4.7322977011918302E-3</v>
      </c>
      <c r="F13748" s="1">
        <v>5.1306665861856199E-3</v>
      </c>
    </row>
    <row r="13749" spans="1:6" x14ac:dyDescent="0.25">
      <c r="A13749" s="2" t="str">
        <f t="shared" si="489"/>
        <v>33100</v>
      </c>
      <c r="B13749" s="2" t="str">
        <f>"33167"</f>
        <v>33167</v>
      </c>
      <c r="C13749" s="1">
        <v>2.2473047948744799E-3</v>
      </c>
      <c r="D13749" s="1">
        <v>1.0095925758785401E-3</v>
      </c>
      <c r="E13749" s="1">
        <v>1.0562340873030501E-3</v>
      </c>
      <c r="F13749" s="1">
        <v>2.0482038894399299E-3</v>
      </c>
    </row>
    <row r="13750" spans="1:6" x14ac:dyDescent="0.25">
      <c r="A13750" s="2" t="str">
        <f t="shared" si="489"/>
        <v>33100</v>
      </c>
      <c r="B13750" s="2" t="str">
        <f>"33182"</f>
        <v>33182</v>
      </c>
      <c r="C13750" s="1">
        <v>1.41219523529766E-3</v>
      </c>
      <c r="D13750" s="1">
        <v>6.5956191203526905E-4</v>
      </c>
      <c r="E13750" s="1">
        <v>2.7674255562525302E-4</v>
      </c>
      <c r="F13750" s="1">
        <v>1.2652548821136401E-3</v>
      </c>
    </row>
    <row r="13751" spans="1:6" x14ac:dyDescent="0.25">
      <c r="A13751" s="2" t="str">
        <f t="shared" si="489"/>
        <v>33100</v>
      </c>
      <c r="B13751" s="2" t="str">
        <f>"33181"</f>
        <v>33181</v>
      </c>
      <c r="C13751" s="1">
        <v>3.3220575046454702E-3</v>
      </c>
      <c r="D13751" s="1">
        <v>4.7760382314483698E-3</v>
      </c>
      <c r="E13751" s="1">
        <v>3.0395557359506999E-3</v>
      </c>
      <c r="F13751" s="1">
        <v>3.4501411223507202E-3</v>
      </c>
    </row>
    <row r="13752" spans="1:6" x14ac:dyDescent="0.25">
      <c r="A13752" s="2" t="str">
        <f t="shared" si="489"/>
        <v>33100</v>
      </c>
      <c r="B13752" s="2" t="str">
        <f>"33140"</f>
        <v>33140</v>
      </c>
      <c r="C13752" s="1">
        <v>5.9123537257747098E-3</v>
      </c>
      <c r="D13752" s="1">
        <v>3.5147707154510998E-3</v>
      </c>
      <c r="E13752" s="1">
        <v>4.1511383343788002E-3</v>
      </c>
      <c r="F13752" s="1">
        <v>5.5610273637485899E-3</v>
      </c>
    </row>
    <row r="13753" spans="1:6" x14ac:dyDescent="0.25">
      <c r="A13753" s="2" t="str">
        <f t="shared" si="489"/>
        <v>33100</v>
      </c>
      <c r="B13753" s="2" t="str">
        <f>"33158"</f>
        <v>33158</v>
      </c>
      <c r="C13753" s="1">
        <v>8.04590605572344E-4</v>
      </c>
      <c r="D13753" s="1">
        <v>6.3641938880596094E-5</v>
      </c>
      <c r="E13753" s="1">
        <v>3.0441681118777901E-4</v>
      </c>
      <c r="F13753" s="1">
        <v>6.9879214590129902E-4</v>
      </c>
    </row>
    <row r="13754" spans="1:6" x14ac:dyDescent="0.25">
      <c r="A13754" s="2" t="str">
        <f t="shared" si="489"/>
        <v>33100</v>
      </c>
      <c r="B13754" s="2" t="str">
        <f>"33160"</f>
        <v>33160</v>
      </c>
      <c r="C13754" s="1">
        <v>1.2249198357247901E-2</v>
      </c>
      <c r="D13754" s="1">
        <v>4.6661112461091597E-3</v>
      </c>
      <c r="E13754" s="1">
        <v>8.8834360355706399E-3</v>
      </c>
      <c r="F13754" s="1">
        <v>1.1276729234874799E-2</v>
      </c>
    </row>
    <row r="13755" spans="1:6" x14ac:dyDescent="0.25">
      <c r="A13755" s="2" t="str">
        <f t="shared" si="489"/>
        <v>33100</v>
      </c>
      <c r="B13755" s="2" t="str">
        <f>"33064"</f>
        <v>33064</v>
      </c>
      <c r="C13755" s="1">
        <v>9.2892066251100205E-3</v>
      </c>
      <c r="D13755" s="1">
        <v>9.1557607525948499E-3</v>
      </c>
      <c r="E13755" s="1">
        <v>8.0209217372052607E-3</v>
      </c>
      <c r="F13755" s="1">
        <v>9.1960233851604099E-3</v>
      </c>
    </row>
    <row r="13756" spans="1:6" x14ac:dyDescent="0.25">
      <c r="A13756" s="2" t="str">
        <f t="shared" si="489"/>
        <v>33100</v>
      </c>
      <c r="B13756" s="2" t="str">
        <f>"33060"</f>
        <v>33060</v>
      </c>
      <c r="C13756" s="1">
        <v>5.50763077892E-3</v>
      </c>
      <c r="D13756" s="1">
        <v>5.9273787621064297E-3</v>
      </c>
      <c r="E13756" s="1">
        <v>9.2385889819563798E-3</v>
      </c>
      <c r="F13756" s="1">
        <v>5.78447834063563E-3</v>
      </c>
    </row>
    <row r="13757" spans="1:6" x14ac:dyDescent="0.25">
      <c r="A13757" s="2" t="str">
        <f t="shared" si="489"/>
        <v>33100</v>
      </c>
      <c r="B13757" s="2" t="str">
        <f>"33062"</f>
        <v>33062</v>
      </c>
      <c r="C13757" s="1">
        <v>8.2564174770951692E-3</v>
      </c>
      <c r="D13757" s="1">
        <v>4.1511901042570604E-3</v>
      </c>
      <c r="E13757" s="1">
        <v>9.3169993727168707E-3</v>
      </c>
      <c r="F13757" s="1">
        <v>7.9113253660968493E-3</v>
      </c>
    </row>
    <row r="13758" spans="1:6" x14ac:dyDescent="0.25">
      <c r="A13758" s="2" t="str">
        <f t="shared" si="489"/>
        <v>33100</v>
      </c>
      <c r="B13758" s="2" t="str">
        <f>"33097"</f>
        <v>33097</v>
      </c>
      <c r="C13758" s="1">
        <v>2.02534876575107E-4</v>
      </c>
      <c r="D13758" s="1">
        <v>7.8106015898913401E-4</v>
      </c>
      <c r="E13758" s="1">
        <v>9.2247518541751201E-6</v>
      </c>
      <c r="F13758" s="1">
        <v>2.4840783924066098E-4</v>
      </c>
    </row>
    <row r="13759" spans="1:6" x14ac:dyDescent="0.25">
      <c r="A13759" s="2" t="str">
        <f t="shared" si="489"/>
        <v>33100</v>
      </c>
      <c r="B13759" s="2" t="str">
        <f>"33101"</f>
        <v>33101</v>
      </c>
      <c r="C13759" s="1">
        <v>1.11983752818668E-3</v>
      </c>
      <c r="D13759" s="1">
        <v>1.4840143020793499E-3</v>
      </c>
      <c r="E13759" s="1">
        <v>4.61237592708756E-6</v>
      </c>
      <c r="F13759" s="1">
        <v>1.08620390453013E-3</v>
      </c>
    </row>
    <row r="13760" spans="1:6" x14ac:dyDescent="0.25">
      <c r="A13760" s="2" t="str">
        <f t="shared" si="489"/>
        <v>33100</v>
      </c>
      <c r="B13760" s="2" t="str">
        <f>"33090"</f>
        <v>33090</v>
      </c>
      <c r="C13760" s="1">
        <v>5.3928378951077403E-4</v>
      </c>
      <c r="D13760" s="1">
        <v>6.9138288147556695E-4</v>
      </c>
      <c r="E13760" s="1">
        <v>9.2247518541751201E-6</v>
      </c>
      <c r="F13760" s="1">
        <v>5.2119214868718102E-4</v>
      </c>
    </row>
    <row r="13761" spans="1:6" x14ac:dyDescent="0.25">
      <c r="A13761" s="2" t="str">
        <f t="shared" si="489"/>
        <v>33100</v>
      </c>
      <c r="B13761" s="2" t="str">
        <f>"33082"</f>
        <v>33082</v>
      </c>
      <c r="C13761" s="1">
        <v>5.7881970719837999E-4</v>
      </c>
      <c r="D13761" s="1">
        <v>1.8051168118859899E-3</v>
      </c>
      <c r="E13761" s="1">
        <v>9.2247518541751201E-6</v>
      </c>
      <c r="F13761" s="1">
        <v>6.6599998955294102E-4</v>
      </c>
    </row>
    <row r="13762" spans="1:6" x14ac:dyDescent="0.25">
      <c r="A13762" s="2" t="str">
        <f t="shared" si="489"/>
        <v>33100</v>
      </c>
      <c r="B13762" s="2" t="str">
        <f>"33073"</f>
        <v>33073</v>
      </c>
      <c r="C13762" s="1">
        <v>4.5147243548882597E-3</v>
      </c>
      <c r="D13762" s="1">
        <v>4.6776825077238099E-3</v>
      </c>
      <c r="E13762" s="1">
        <v>4.0635031917641397E-3</v>
      </c>
      <c r="F13762" s="1">
        <v>4.5026822823108596E-3</v>
      </c>
    </row>
    <row r="13763" spans="1:6" x14ac:dyDescent="0.25">
      <c r="A13763" s="2" t="str">
        <f t="shared" si="489"/>
        <v>33100</v>
      </c>
      <c r="B13763" s="2" t="str">
        <f>"33128"</f>
        <v>33128</v>
      </c>
      <c r="C13763" s="1">
        <v>1.30191083332697E-3</v>
      </c>
      <c r="D13763" s="1">
        <v>2.5861769708751302E-3</v>
      </c>
      <c r="E13763" s="1">
        <v>3.7221873731596599E-3</v>
      </c>
      <c r="F13763" s="1">
        <v>1.5830195830114501E-3</v>
      </c>
    </row>
    <row r="13764" spans="1:6" x14ac:dyDescent="0.25">
      <c r="A13764" s="2" t="str">
        <f t="shared" si="489"/>
        <v>33100</v>
      </c>
      <c r="B13764" s="2" t="str">
        <f>"33029"</f>
        <v>33029</v>
      </c>
      <c r="C13764" s="1">
        <v>5.2770045924089596E-3</v>
      </c>
      <c r="D13764" s="1">
        <v>2.4126080466553199E-3</v>
      </c>
      <c r="E13764" s="1">
        <v>7.2875539647983397E-4</v>
      </c>
      <c r="F13764" s="1">
        <v>4.7034979654353203E-3</v>
      </c>
    </row>
    <row r="13765" spans="1:6" x14ac:dyDescent="0.25">
      <c r="A13765" s="2" t="str">
        <f t="shared" si="489"/>
        <v>33100</v>
      </c>
      <c r="B13765" s="2" t="str">
        <f>"33031"</f>
        <v>33031</v>
      </c>
      <c r="C13765" s="1">
        <v>7.9834809225324903E-4</v>
      </c>
      <c r="D13765" s="1">
        <v>4.7152891079714401E-4</v>
      </c>
      <c r="E13765" s="1">
        <v>5.5348511125050703E-5</v>
      </c>
      <c r="F13765" s="1">
        <v>7.1881567499896897E-4</v>
      </c>
    </row>
    <row r="13766" spans="1:6" x14ac:dyDescent="0.25">
      <c r="A13766" s="2" t="str">
        <f t="shared" ref="A13766:A13829" si="490">"33100"</f>
        <v>33100</v>
      </c>
      <c r="B13766" s="2" t="str">
        <f>"33027"</f>
        <v>33027</v>
      </c>
      <c r="C13766" s="1">
        <v>1.26317257011903E-2</v>
      </c>
      <c r="D13766" s="1">
        <v>4.8917508475949103E-3</v>
      </c>
      <c r="E13766" s="1">
        <v>4.51551603261872E-3</v>
      </c>
      <c r="F13766" s="1">
        <v>1.13446351161625E-2</v>
      </c>
    </row>
    <row r="13767" spans="1:6" x14ac:dyDescent="0.25">
      <c r="A13767" s="2" t="str">
        <f t="shared" si="490"/>
        <v>33100</v>
      </c>
      <c r="B13767" s="2" t="str">
        <f>"33018"</f>
        <v>33018</v>
      </c>
      <c r="C13767" s="1">
        <v>5.9858766604218398E-3</v>
      </c>
      <c r="D13767" s="1">
        <v>4.9004292938059002E-3</v>
      </c>
      <c r="E13767" s="1">
        <v>6.5357366886830701E-3</v>
      </c>
      <c r="F13767" s="1">
        <v>5.9115842209947504E-3</v>
      </c>
    </row>
    <row r="13768" spans="1:6" x14ac:dyDescent="0.25">
      <c r="A13768" s="2" t="str">
        <f t="shared" si="490"/>
        <v>33100</v>
      </c>
      <c r="B13768" s="2" t="str">
        <f>"33017"</f>
        <v>33017</v>
      </c>
      <c r="C13768" s="1">
        <v>6.8078075807694505E-4</v>
      </c>
      <c r="D13768" s="1">
        <v>9.3437937538329795E-4</v>
      </c>
      <c r="E13768" s="1">
        <v>9.2247518541751201E-6</v>
      </c>
      <c r="F13768" s="1">
        <v>6.6396861703578599E-4</v>
      </c>
    </row>
    <row r="13769" spans="1:6" x14ac:dyDescent="0.25">
      <c r="A13769" s="2" t="str">
        <f t="shared" si="490"/>
        <v>33100</v>
      </c>
      <c r="B13769" s="2" t="str">
        <f>"33465"</f>
        <v>33465</v>
      </c>
      <c r="C13769" s="1">
        <v>2.6946849160763403E-4</v>
      </c>
      <c r="D13769" s="1">
        <v>5.1781395725575903E-4</v>
      </c>
      <c r="E13769" s="1">
        <v>9.2247518541751201E-6</v>
      </c>
      <c r="F13769" s="1">
        <v>2.7800783877634703E-4</v>
      </c>
    </row>
    <row r="13770" spans="1:6" x14ac:dyDescent="0.25">
      <c r="A13770" s="2" t="str">
        <f t="shared" si="490"/>
        <v>33100</v>
      </c>
      <c r="B13770" s="2" t="str">
        <f>"33463"</f>
        <v>33463</v>
      </c>
      <c r="C13770" s="1">
        <v>7.8676476198337106E-3</v>
      </c>
      <c r="D13770" s="1">
        <v>3.5436988694877401E-3</v>
      </c>
      <c r="E13770" s="1">
        <v>5.3226818198590401E-3</v>
      </c>
      <c r="F13770" s="1">
        <v>7.2737645917840803E-3</v>
      </c>
    </row>
    <row r="13771" spans="1:6" x14ac:dyDescent="0.25">
      <c r="A13771" s="2" t="str">
        <f t="shared" si="490"/>
        <v>33100</v>
      </c>
      <c r="B13771" s="2" t="str">
        <f>"33486"</f>
        <v>33486</v>
      </c>
      <c r="C13771" s="1">
        <v>3.6220449502575702E-3</v>
      </c>
      <c r="D13771" s="1">
        <v>2.16961155274759E-3</v>
      </c>
      <c r="E13771" s="1">
        <v>3.0303309840965199E-3</v>
      </c>
      <c r="F13771" s="1">
        <v>3.4391136715433098E-3</v>
      </c>
    </row>
    <row r="13772" spans="1:6" x14ac:dyDescent="0.25">
      <c r="A13772" s="2" t="str">
        <f t="shared" si="490"/>
        <v>33100</v>
      </c>
      <c r="B13772" s="2" t="str">
        <f>"33458"</f>
        <v>33458</v>
      </c>
      <c r="C13772" s="1">
        <v>8.1499479443750394E-3</v>
      </c>
      <c r="D13772" s="1">
        <v>9.22229550687911E-3</v>
      </c>
      <c r="E13772" s="1">
        <v>1.6904357772775901E-2</v>
      </c>
      <c r="F13772" s="1">
        <v>8.8083214304576999E-3</v>
      </c>
    </row>
    <row r="13773" spans="1:6" x14ac:dyDescent="0.25">
      <c r="A13773" s="2" t="str">
        <f t="shared" si="490"/>
        <v>33100</v>
      </c>
      <c r="B13773" s="2" t="str">
        <f>"33476"</f>
        <v>33476</v>
      </c>
      <c r="C13773" s="1">
        <v>1.0577592012912199E-3</v>
      </c>
      <c r="D13773" s="1">
        <v>6.5377628122794199E-4</v>
      </c>
      <c r="E13773" s="1">
        <v>1.1484816058447999E-3</v>
      </c>
      <c r="F13773" s="1">
        <v>1.0229411604244501E-3</v>
      </c>
    </row>
    <row r="13774" spans="1:6" x14ac:dyDescent="0.25">
      <c r="A13774" s="2" t="str">
        <f t="shared" si="490"/>
        <v>33100</v>
      </c>
      <c r="B13774" s="2" t="str">
        <f>"33442"</f>
        <v>33442</v>
      </c>
      <c r="C13774" s="1">
        <v>7.29472361965892E-3</v>
      </c>
      <c r="D13774" s="1">
        <v>5.84059429999652E-3</v>
      </c>
      <c r="E13774" s="1">
        <v>4.7738090845356202E-3</v>
      </c>
      <c r="F13774" s="1">
        <v>6.9902430276040303E-3</v>
      </c>
    </row>
    <row r="13775" spans="1:6" x14ac:dyDescent="0.25">
      <c r="A13775" s="2" t="str">
        <f t="shared" si="490"/>
        <v>33100</v>
      </c>
      <c r="B13775" s="2" t="str">
        <f>"33426"</f>
        <v>33426</v>
      </c>
      <c r="C13775" s="1">
        <v>4.6128705365162696E-3</v>
      </c>
      <c r="D13775" s="1">
        <v>6.2803022413533702E-3</v>
      </c>
      <c r="E13775" s="1">
        <v>6.0975609756097502E-3</v>
      </c>
      <c r="F13775" s="1">
        <v>4.8735528647285802E-3</v>
      </c>
    </row>
    <row r="13776" spans="1:6" x14ac:dyDescent="0.25">
      <c r="A13776" s="2" t="str">
        <f t="shared" si="490"/>
        <v>33100</v>
      </c>
      <c r="B13776" s="2" t="str">
        <f>"33418"</f>
        <v>33418</v>
      </c>
      <c r="C13776" s="1">
        <v>7.9137728571359207E-3</v>
      </c>
      <c r="D13776" s="1">
        <v>2.9998495735990001E-3</v>
      </c>
      <c r="E13776" s="1">
        <v>5.0274897605254399E-3</v>
      </c>
      <c r="F13776" s="1">
        <v>7.2392312589924504E-3</v>
      </c>
    </row>
    <row r="13777" spans="1:6" x14ac:dyDescent="0.25">
      <c r="A13777" s="2" t="str">
        <f t="shared" si="490"/>
        <v>33100</v>
      </c>
      <c r="B13777" s="2" t="str">
        <f>"33325"</f>
        <v>33325</v>
      </c>
      <c r="C13777" s="1">
        <v>3.87382632079443E-3</v>
      </c>
      <c r="D13777" s="1">
        <v>2.097291167656E-3</v>
      </c>
      <c r="E13777" s="1">
        <v>1.97870927272056E-3</v>
      </c>
      <c r="F13777" s="1">
        <v>3.5763764144882098E-3</v>
      </c>
    </row>
    <row r="13778" spans="1:6" x14ac:dyDescent="0.25">
      <c r="A13778" s="2" t="str">
        <f t="shared" si="490"/>
        <v>33100</v>
      </c>
      <c r="B13778" s="2" t="str">
        <f>"33322"</f>
        <v>33322</v>
      </c>
      <c r="C13778" s="1">
        <v>7.1632840336623999E-3</v>
      </c>
      <c r="D13778" s="1">
        <v>2.6613901713703801E-3</v>
      </c>
      <c r="E13778" s="1">
        <v>4.2895096121914299E-3</v>
      </c>
      <c r="F13778" s="1">
        <v>6.5308626426531296E-3</v>
      </c>
    </row>
    <row r="13779" spans="1:6" x14ac:dyDescent="0.25">
      <c r="A13779" s="2" t="str">
        <f t="shared" si="490"/>
        <v>33100</v>
      </c>
      <c r="B13779" s="2" t="str">
        <f>"33174"</f>
        <v>33174</v>
      </c>
      <c r="C13779" s="1">
        <v>3.9095473692314798E-3</v>
      </c>
      <c r="D13779" s="1">
        <v>3.1849897594334702E-3</v>
      </c>
      <c r="E13779" s="1">
        <v>4.8568318512232003E-3</v>
      </c>
      <c r="F13779" s="1">
        <v>3.8964626839770502E-3</v>
      </c>
    </row>
    <row r="13780" spans="1:6" x14ac:dyDescent="0.25">
      <c r="A13780" s="2" t="str">
        <f t="shared" si="490"/>
        <v>33100</v>
      </c>
      <c r="B13780" s="2" t="str">
        <f>"33234"</f>
        <v>33234</v>
      </c>
      <c r="C13780" s="1">
        <v>2.1397948432678299E-4</v>
      </c>
      <c r="D13780" s="1">
        <v>3.0663843278832598E-4</v>
      </c>
      <c r="E13780" s="1">
        <v>1.8449503708350199E-5</v>
      </c>
      <c r="F13780" s="1">
        <v>2.10972545710234E-4</v>
      </c>
    </row>
    <row r="13781" spans="1:6" x14ac:dyDescent="0.25">
      <c r="A13781" s="2" t="str">
        <f t="shared" si="490"/>
        <v>33100</v>
      </c>
      <c r="B13781" s="2" t="str">
        <f>"33245"</f>
        <v>33245</v>
      </c>
      <c r="C13781" s="1">
        <v>4.31080225313114E-4</v>
      </c>
      <c r="D13781" s="1">
        <v>9.8934286805290304E-4</v>
      </c>
      <c r="E13781" s="1">
        <v>9.2247518541751201E-6</v>
      </c>
      <c r="F13781" s="1">
        <v>4.6054116924641302E-4</v>
      </c>
    </row>
    <row r="13782" spans="1:6" x14ac:dyDescent="0.25">
      <c r="A13782" s="2" t="str">
        <f t="shared" si="490"/>
        <v>33100</v>
      </c>
      <c r="B13782" s="2" t="str">
        <f>"33280"</f>
        <v>33280</v>
      </c>
      <c r="C13782" s="1">
        <v>2.0808377730319199E-4</v>
      </c>
      <c r="D13782" s="1">
        <v>8.0998831302576903E-4</v>
      </c>
      <c r="E13782" s="1">
        <v>1.38371277812626E-5</v>
      </c>
      <c r="F13782" s="1">
        <v>2.5624313323540098E-4</v>
      </c>
    </row>
    <row r="13783" spans="1:6" x14ac:dyDescent="0.25">
      <c r="A13783" s="2" t="str">
        <f t="shared" si="490"/>
        <v>33100</v>
      </c>
      <c r="B13783" s="2" t="str">
        <f>"33242"</f>
        <v>33242</v>
      </c>
      <c r="C13783" s="1">
        <v>5.6668148685569397E-4</v>
      </c>
      <c r="D13783" s="1">
        <v>3.2110250980664398E-4</v>
      </c>
      <c r="E13783" s="1">
        <v>9.2247518541751201E-6</v>
      </c>
      <c r="F13783" s="1">
        <v>5.0697254106709701E-4</v>
      </c>
    </row>
    <row r="13784" spans="1:6" x14ac:dyDescent="0.25">
      <c r="A13784" s="2" t="str">
        <f t="shared" si="490"/>
        <v>33100</v>
      </c>
      <c r="B13784" s="2" t="str">
        <f>"33194"</f>
        <v>33194</v>
      </c>
      <c r="C13784" s="1">
        <v>9.5441092523064301E-4</v>
      </c>
      <c r="D13784" s="1">
        <v>1.2468034389789501E-3</v>
      </c>
      <c r="E13784" s="1">
        <v>6.9185638906313403E-5</v>
      </c>
      <c r="F13784" s="1">
        <v>9.2804704426592804E-4</v>
      </c>
    </row>
    <row r="13785" spans="1:6" x14ac:dyDescent="0.25">
      <c r="A13785" s="2" t="str">
        <f t="shared" si="490"/>
        <v>33100</v>
      </c>
      <c r="B13785" s="2" t="str">
        <f>"33189"</f>
        <v>33189</v>
      </c>
      <c r="C13785" s="1">
        <v>3.2502686014758602E-3</v>
      </c>
      <c r="D13785" s="1">
        <v>1.82536651971164E-3</v>
      </c>
      <c r="E13785" s="1">
        <v>1.23150437253237E-3</v>
      </c>
      <c r="F13785" s="1">
        <v>2.98031367874017E-3</v>
      </c>
    </row>
    <row r="13786" spans="1:6" x14ac:dyDescent="0.25">
      <c r="A13786" s="2" t="str">
        <f t="shared" si="490"/>
        <v>33100</v>
      </c>
      <c r="B13786" s="2" t="str">
        <f>"33170"</f>
        <v>33170</v>
      </c>
      <c r="C13786" s="1">
        <v>1.8810773468208601E-3</v>
      </c>
      <c r="D13786" s="1">
        <v>1.45508614804272E-3</v>
      </c>
      <c r="E13786" s="1">
        <v>5.3042323161506895E-4</v>
      </c>
      <c r="F13786" s="1">
        <v>1.7533646783785899E-3</v>
      </c>
    </row>
    <row r="13787" spans="1:6" x14ac:dyDescent="0.25">
      <c r="A13787" s="2" t="str">
        <f t="shared" si="490"/>
        <v>33100</v>
      </c>
      <c r="B13787" s="2" t="str">
        <f>"33183"</f>
        <v>33183</v>
      </c>
      <c r="C13787" s="1">
        <v>4.62015346872188E-3</v>
      </c>
      <c r="D13787" s="1">
        <v>2.26218164566482E-3</v>
      </c>
      <c r="E13787" s="1">
        <v>4.39559425851444E-3</v>
      </c>
      <c r="F13787" s="1">
        <v>4.3694822844002699E-3</v>
      </c>
    </row>
    <row r="13788" spans="1:6" x14ac:dyDescent="0.25">
      <c r="A13788" s="2" t="str">
        <f t="shared" si="490"/>
        <v>33100</v>
      </c>
      <c r="B13788" s="2" t="str">
        <f>"33164"</f>
        <v>33164</v>
      </c>
      <c r="C13788" s="1">
        <v>2.6149194681101201E-4</v>
      </c>
      <c r="D13788" s="1">
        <v>3.9920852570555701E-4</v>
      </c>
      <c r="E13788" s="1">
        <v>9.2247518541751201E-6</v>
      </c>
      <c r="F13788" s="1">
        <v>2.5943529004807299E-4</v>
      </c>
    </row>
    <row r="13789" spans="1:6" x14ac:dyDescent="0.25">
      <c r="A13789" s="2" t="str">
        <f t="shared" si="490"/>
        <v>33100</v>
      </c>
      <c r="B13789" s="2" t="str">
        <f>"33163"</f>
        <v>33163</v>
      </c>
      <c r="C13789" s="1">
        <v>1.4739267558976099E-4</v>
      </c>
      <c r="D13789" s="1">
        <v>4.5706483377882601E-4</v>
      </c>
      <c r="E13789" s="1">
        <v>9.2247518541751201E-6</v>
      </c>
      <c r="F13789" s="1">
        <v>1.69764703219377E-4</v>
      </c>
    </row>
    <row r="13790" spans="1:6" x14ac:dyDescent="0.25">
      <c r="A13790" s="2" t="str">
        <f t="shared" si="490"/>
        <v>33100</v>
      </c>
      <c r="B13790" s="2" t="str">
        <f>"33144"</f>
        <v>33144</v>
      </c>
      <c r="C13790" s="1">
        <v>3.73059532075073E-3</v>
      </c>
      <c r="D13790" s="1">
        <v>7.1452540470487401E-3</v>
      </c>
      <c r="E13790" s="1">
        <v>2.8642854507213698E-3</v>
      </c>
      <c r="F13790" s="1">
        <v>4.01863523108023E-3</v>
      </c>
    </row>
    <row r="13791" spans="1:6" x14ac:dyDescent="0.25">
      <c r="A13791" s="2" t="str">
        <f t="shared" si="490"/>
        <v>33100</v>
      </c>
      <c r="B13791" s="2" t="str">
        <f>"33155"</f>
        <v>33155</v>
      </c>
      <c r="C13791" s="1">
        <v>5.6338682704839401E-3</v>
      </c>
      <c r="D13791" s="1">
        <v>1.0211638374932001E-2</v>
      </c>
      <c r="E13791" s="1">
        <v>3.9205195380244201E-3</v>
      </c>
      <c r="F13791" s="1">
        <v>5.9852940237600898E-3</v>
      </c>
    </row>
    <row r="13792" spans="1:6" x14ac:dyDescent="0.25">
      <c r="A13792" s="2" t="str">
        <f t="shared" si="490"/>
        <v>33100</v>
      </c>
      <c r="B13792" s="2" t="str">
        <f>"33154"</f>
        <v>33154</v>
      </c>
      <c r="C13792" s="1">
        <v>4.0569400448212398E-3</v>
      </c>
      <c r="D13792" s="1">
        <v>2.6440332789484E-3</v>
      </c>
      <c r="E13792" s="1">
        <v>5.17969816611933E-3</v>
      </c>
      <c r="F13792" s="1">
        <v>3.9858430747318702E-3</v>
      </c>
    </row>
    <row r="13793" spans="1:6" x14ac:dyDescent="0.25">
      <c r="A13793" s="2" t="str">
        <f t="shared" si="490"/>
        <v>33100</v>
      </c>
      <c r="B13793" s="2" t="str">
        <f>"33142"</f>
        <v>33142</v>
      </c>
      <c r="C13793" s="1">
        <v>7.3266297988454103E-3</v>
      </c>
      <c r="D13793" s="1">
        <v>1.2251073234514701E-2</v>
      </c>
      <c r="E13793" s="1">
        <v>8.1777425187262408E-3</v>
      </c>
      <c r="F13793" s="1">
        <v>7.8741802686403007E-3</v>
      </c>
    </row>
    <row r="13794" spans="1:6" x14ac:dyDescent="0.25">
      <c r="A13794" s="2" t="str">
        <f t="shared" si="490"/>
        <v>33100</v>
      </c>
      <c r="B13794" s="2" t="str">
        <f>"33131"</f>
        <v>33131</v>
      </c>
      <c r="C13794" s="1">
        <v>6.3489828518159099E-3</v>
      </c>
      <c r="D13794" s="1">
        <v>1.3217273579338299E-2</v>
      </c>
      <c r="E13794" s="1">
        <v>9.7275008302276592E-3</v>
      </c>
      <c r="F13794" s="1">
        <v>7.2505489058737396E-3</v>
      </c>
    </row>
    <row r="13795" spans="1:6" x14ac:dyDescent="0.25">
      <c r="A13795" s="2" t="str">
        <f t="shared" si="490"/>
        <v>33100</v>
      </c>
      <c r="B13795" s="2" t="str">
        <f>"33130"</f>
        <v>33130</v>
      </c>
      <c r="C13795" s="1">
        <v>6.9753150214985201E-3</v>
      </c>
      <c r="D13795" s="1">
        <v>7.6659608197081697E-3</v>
      </c>
      <c r="E13795" s="1">
        <v>1.3080698129220299E-2</v>
      </c>
      <c r="F13795" s="1">
        <v>7.4287292952356096E-3</v>
      </c>
    </row>
    <row r="13796" spans="1:6" x14ac:dyDescent="0.25">
      <c r="A13796" s="2" t="str">
        <f t="shared" si="490"/>
        <v>33100</v>
      </c>
      <c r="B13796" s="2" t="str">
        <f>"33092"</f>
        <v>33092</v>
      </c>
      <c r="C13796" s="1">
        <v>3.1177885965928302E-4</v>
      </c>
      <c r="D13796" s="1">
        <v>5.6120618831071096E-4</v>
      </c>
      <c r="E13796" s="1">
        <v>9.2247518541751201E-6</v>
      </c>
      <c r="F13796" s="1">
        <v>3.17764700897808E-4</v>
      </c>
    </row>
    <row r="13797" spans="1:6" x14ac:dyDescent="0.25">
      <c r="A13797" s="2" t="str">
        <f t="shared" si="490"/>
        <v>33100</v>
      </c>
      <c r="B13797" s="2" t="str">
        <f>"33054"</f>
        <v>33054</v>
      </c>
      <c r="C13797" s="1">
        <v>3.9712788898314299E-3</v>
      </c>
      <c r="D13797" s="1">
        <v>8.9330139665127605E-3</v>
      </c>
      <c r="E13797" s="1">
        <v>4.1557507103058902E-3</v>
      </c>
      <c r="F13797" s="1">
        <v>4.4806273806960398E-3</v>
      </c>
    </row>
    <row r="13798" spans="1:6" x14ac:dyDescent="0.25">
      <c r="A13798" s="2" t="str">
        <f t="shared" si="490"/>
        <v>33100</v>
      </c>
      <c r="B13798" s="2" t="str">
        <f>"33035"</f>
        <v>33035</v>
      </c>
      <c r="C13798" s="1">
        <v>2.1449969377004101E-3</v>
      </c>
      <c r="D13798" s="1">
        <v>1.21498246953865E-4</v>
      </c>
      <c r="E13798" s="1">
        <v>1.01011032803217E-3</v>
      </c>
      <c r="F13798" s="1">
        <v>1.8706038922258199E-3</v>
      </c>
    </row>
    <row r="13799" spans="1:6" x14ac:dyDescent="0.25">
      <c r="A13799" s="2" t="str">
        <f t="shared" si="490"/>
        <v>33100</v>
      </c>
      <c r="B13799" s="2" t="str">
        <f>"33002"</f>
        <v>33002</v>
      </c>
      <c r="C13799" s="1">
        <v>3.39523363299709E-4</v>
      </c>
      <c r="D13799" s="1">
        <v>4.9756424943011505E-4</v>
      </c>
      <c r="E13799" s="1">
        <v>9.2247518541751201E-6</v>
      </c>
      <c r="F13799" s="1">
        <v>3.34596073182806E-4</v>
      </c>
    </row>
    <row r="13800" spans="1:6" x14ac:dyDescent="0.25">
      <c r="A13800" s="2" t="str">
        <f t="shared" si="490"/>
        <v>33100</v>
      </c>
      <c r="B13800" s="2" t="str">
        <f>"33004"</f>
        <v>33004</v>
      </c>
      <c r="C13800" s="1">
        <v>3.4410120640037899E-3</v>
      </c>
      <c r="D13800" s="1">
        <v>5.8839865310514796E-3</v>
      </c>
      <c r="E13800" s="1">
        <v>4.3448581233164803E-3</v>
      </c>
      <c r="F13800" s="1">
        <v>3.7429489608949099E-3</v>
      </c>
    </row>
    <row r="13801" spans="1:6" x14ac:dyDescent="0.25">
      <c r="A13801" s="2" t="str">
        <f t="shared" si="490"/>
        <v>33100</v>
      </c>
      <c r="B13801" s="2" t="str">
        <f>"33019"</f>
        <v>33019</v>
      </c>
      <c r="C13801" s="1">
        <v>4.5740282314196698E-3</v>
      </c>
      <c r="D13801" s="1">
        <v>1.9034725356105501E-3</v>
      </c>
      <c r="E13801" s="1">
        <v>4.6584996863584301E-3</v>
      </c>
      <c r="F13801" s="1">
        <v>4.3114430696244198E-3</v>
      </c>
    </row>
    <row r="13802" spans="1:6" x14ac:dyDescent="0.25">
      <c r="A13802" s="2" t="str">
        <f t="shared" si="490"/>
        <v>33100</v>
      </c>
      <c r="B13802" s="2" t="str">
        <f>"33469"</f>
        <v>33469</v>
      </c>
      <c r="C13802" s="1">
        <v>2.4005931774878299E-3</v>
      </c>
      <c r="D13802" s="1">
        <v>3.69412527047824E-3</v>
      </c>
      <c r="E13802" s="1">
        <v>2.3984354820855299E-3</v>
      </c>
      <c r="F13802" s="1">
        <v>2.53021956815341E-3</v>
      </c>
    </row>
    <row r="13803" spans="1:6" x14ac:dyDescent="0.25">
      <c r="A13803" s="2" t="str">
        <f t="shared" si="490"/>
        <v>33100</v>
      </c>
      <c r="B13803" s="2" t="str">
        <f>"33467"</f>
        <v>33467</v>
      </c>
      <c r="C13803" s="1">
        <v>8.7218315256633108E-3</v>
      </c>
      <c r="D13803" s="1">
        <v>2.81181657236088E-3</v>
      </c>
      <c r="E13803" s="1">
        <v>5.2212095494631097E-3</v>
      </c>
      <c r="F13803" s="1">
        <v>7.9087136014319402E-3</v>
      </c>
    </row>
    <row r="13804" spans="1:6" x14ac:dyDescent="0.25">
      <c r="A13804" s="2" t="str">
        <f t="shared" si="490"/>
        <v>33100</v>
      </c>
      <c r="B13804" s="2" t="str">
        <f>"33461"</f>
        <v>33461</v>
      </c>
      <c r="C13804" s="1">
        <v>7.1761158665960998E-3</v>
      </c>
      <c r="D13804" s="1">
        <v>5.9331643929137496E-3</v>
      </c>
      <c r="E13804" s="1">
        <v>6.3973654108704396E-3</v>
      </c>
      <c r="F13804" s="1">
        <v>7.0024312627069603E-3</v>
      </c>
    </row>
    <row r="13805" spans="1:6" x14ac:dyDescent="0.25">
      <c r="A13805" s="2" t="str">
        <f t="shared" si="490"/>
        <v>33100</v>
      </c>
      <c r="B13805" s="2" t="str">
        <f>"33483"</f>
        <v>33483</v>
      </c>
      <c r="C13805" s="1">
        <v>3.6789211827204398E-3</v>
      </c>
      <c r="D13805" s="1">
        <v>5.2273174344198703E-3</v>
      </c>
      <c r="E13805" s="1">
        <v>6.7894173646728898E-3</v>
      </c>
      <c r="F13805" s="1">
        <v>4.0299528779615202E-3</v>
      </c>
    </row>
    <row r="13806" spans="1:6" x14ac:dyDescent="0.25">
      <c r="A13806" s="2" t="str">
        <f t="shared" si="490"/>
        <v>33100</v>
      </c>
      <c r="B13806" s="2" t="str">
        <f>"33498"</f>
        <v>33498</v>
      </c>
      <c r="C13806" s="1">
        <v>2.01737222095445E-3</v>
      </c>
      <c r="D13806" s="1">
        <v>1.0645560685481499E-3</v>
      </c>
      <c r="E13806" s="1">
        <v>9.0402568170916203E-4</v>
      </c>
      <c r="F13806" s="1">
        <v>1.8517411474236599E-3</v>
      </c>
    </row>
    <row r="13807" spans="1:6" x14ac:dyDescent="0.25">
      <c r="A13807" s="2" t="str">
        <f t="shared" si="490"/>
        <v>33100</v>
      </c>
      <c r="B13807" s="2" t="str">
        <f>"33488"</f>
        <v>33488</v>
      </c>
      <c r="C13807" s="1">
        <v>2.1536670950880399E-4</v>
      </c>
      <c r="D13807" s="1">
        <v>8.0709549762210495E-4</v>
      </c>
      <c r="E13807" s="1">
        <v>9.2247518541751201E-6</v>
      </c>
      <c r="F13807" s="1">
        <v>2.6175685863910798E-4</v>
      </c>
    </row>
    <row r="13808" spans="1:6" x14ac:dyDescent="0.25">
      <c r="A13808" s="2" t="str">
        <f t="shared" si="490"/>
        <v>33100</v>
      </c>
      <c r="B13808" s="2" t="str">
        <f>"33478"</f>
        <v>33478</v>
      </c>
      <c r="C13808" s="1">
        <v>1.9185324267354299E-3</v>
      </c>
      <c r="D13808" s="1">
        <v>7.8973860520012396E-4</v>
      </c>
      <c r="E13808" s="1">
        <v>1.3744880262720901E-3</v>
      </c>
      <c r="F13808" s="1">
        <v>1.7710666388852201E-3</v>
      </c>
    </row>
    <row r="13809" spans="1:6" x14ac:dyDescent="0.25">
      <c r="A13809" s="2" t="str">
        <f t="shared" si="490"/>
        <v>33100</v>
      </c>
      <c r="B13809" s="2" t="str">
        <f>"33477"</f>
        <v>33477</v>
      </c>
      <c r="C13809" s="1">
        <v>4.1294225605818498E-3</v>
      </c>
      <c r="D13809" s="1">
        <v>3.19366820564446E-3</v>
      </c>
      <c r="E13809" s="1">
        <v>2.8596730747942798E-3</v>
      </c>
      <c r="F13809" s="1">
        <v>3.9556626830484203E-3</v>
      </c>
    </row>
    <row r="13810" spans="1:6" x14ac:dyDescent="0.25">
      <c r="A13810" s="2" t="str">
        <f t="shared" si="490"/>
        <v>33100</v>
      </c>
      <c r="B13810" s="2" t="str">
        <f>"33470"</f>
        <v>33470</v>
      </c>
      <c r="C13810" s="1">
        <v>3.9969425556988201E-3</v>
      </c>
      <c r="D13810" s="1">
        <v>1.88611564318857E-3</v>
      </c>
      <c r="E13810" s="1">
        <v>5.2119847976089405E-4</v>
      </c>
      <c r="F13810" s="1">
        <v>3.5665097479763101E-3</v>
      </c>
    </row>
    <row r="13811" spans="1:6" x14ac:dyDescent="0.25">
      <c r="A13811" s="2" t="str">
        <f t="shared" si="490"/>
        <v>33100</v>
      </c>
      <c r="B13811" s="2" t="str">
        <f>"33411"</f>
        <v>33411</v>
      </c>
      <c r="C13811" s="1">
        <v>1.04215291799348E-2</v>
      </c>
      <c r="D13811" s="1">
        <v>7.5010703416993497E-3</v>
      </c>
      <c r="E13811" s="1">
        <v>8.0163093612781802E-3</v>
      </c>
      <c r="F13811" s="1">
        <v>9.9772312160434293E-3</v>
      </c>
    </row>
    <row r="13812" spans="1:6" x14ac:dyDescent="0.25">
      <c r="A13812" s="2" t="str">
        <f t="shared" si="490"/>
        <v>33100</v>
      </c>
      <c r="B13812" s="2" t="str">
        <f>"33406"</f>
        <v>33406</v>
      </c>
      <c r="C13812" s="1">
        <v>3.43407593809368E-3</v>
      </c>
      <c r="D13812" s="1">
        <v>3.9226576873676502E-3</v>
      </c>
      <c r="E13812" s="1">
        <v>5.10128777535884E-3</v>
      </c>
      <c r="F13812" s="1">
        <v>3.5879842574433802E-3</v>
      </c>
    </row>
    <row r="13813" spans="1:6" x14ac:dyDescent="0.25">
      <c r="A13813" s="2" t="str">
        <f t="shared" si="490"/>
        <v>33100</v>
      </c>
      <c r="B13813" s="2" t="str">
        <f>"33421"</f>
        <v>33421</v>
      </c>
      <c r="C13813" s="1">
        <v>6.2702578227362003E-4</v>
      </c>
      <c r="D13813" s="1">
        <v>1.27573159301558E-3</v>
      </c>
      <c r="E13813" s="1">
        <v>1.38371277812626E-5</v>
      </c>
      <c r="F13813" s="1">
        <v>6.5352155837613201E-4</v>
      </c>
    </row>
    <row r="13814" spans="1:6" x14ac:dyDescent="0.25">
      <c r="A13814" s="2" t="str">
        <f t="shared" si="490"/>
        <v>33100</v>
      </c>
      <c r="B13814" s="2" t="str">
        <f>"33429"</f>
        <v>33429</v>
      </c>
      <c r="C13814" s="1">
        <v>5.69455937219737E-4</v>
      </c>
      <c r="D13814" s="1">
        <v>1.0414135453188399E-3</v>
      </c>
      <c r="E13814" s="1">
        <v>9.2247518541751201E-6</v>
      </c>
      <c r="F13814" s="1">
        <v>5.8155293205407101E-4</v>
      </c>
    </row>
    <row r="13815" spans="1:6" x14ac:dyDescent="0.25">
      <c r="A13815" s="2" t="str">
        <f t="shared" si="490"/>
        <v>33100</v>
      </c>
      <c r="B13815" s="2" t="str">
        <f>"33413"</f>
        <v>33413</v>
      </c>
      <c r="C13815" s="1">
        <v>2.0499720127319502E-3</v>
      </c>
      <c r="D13815" s="1">
        <v>1.45219333263905E-3</v>
      </c>
      <c r="E13815" s="1">
        <v>5.9038411866720703E-4</v>
      </c>
      <c r="F13815" s="1">
        <v>1.89817251924435E-3</v>
      </c>
    </row>
    <row r="13816" spans="1:6" x14ac:dyDescent="0.25">
      <c r="A13816" s="2" t="str">
        <f t="shared" si="490"/>
        <v>33100</v>
      </c>
      <c r="B13816" s="2" t="str">
        <f>"33416"</f>
        <v>33416</v>
      </c>
      <c r="C13816" s="1">
        <v>1.18781156210572E-3</v>
      </c>
      <c r="D13816" s="1">
        <v>1.8919012739959001E-3</v>
      </c>
      <c r="E13816" s="1">
        <v>9.2247518541751201E-6</v>
      </c>
      <c r="F13816" s="1">
        <v>1.18429017750133E-3</v>
      </c>
    </row>
    <row r="13817" spans="1:6" x14ac:dyDescent="0.25">
      <c r="A13817" s="2" t="str">
        <f t="shared" si="490"/>
        <v>33100</v>
      </c>
      <c r="B13817" s="2" t="str">
        <f>"33323"</f>
        <v>33323</v>
      </c>
      <c r="C13817" s="1">
        <v>3.4070250470442701E-3</v>
      </c>
      <c r="D13817" s="1">
        <v>2.81181657236088E-3</v>
      </c>
      <c r="E13817" s="1">
        <v>3.0487804878048699E-3</v>
      </c>
      <c r="F13817" s="1">
        <v>3.3247764184348699E-3</v>
      </c>
    </row>
    <row r="13818" spans="1:6" x14ac:dyDescent="0.25">
      <c r="A13818" s="2" t="str">
        <f t="shared" si="490"/>
        <v>33100</v>
      </c>
      <c r="B13818" s="2" t="str">
        <f>"33311"</f>
        <v>33311</v>
      </c>
      <c r="C13818" s="1">
        <v>1.0409737765887699E-2</v>
      </c>
      <c r="D13818" s="1">
        <v>1.0795987086472E-2</v>
      </c>
      <c r="E13818" s="1">
        <v>1.21582229438028E-2</v>
      </c>
      <c r="F13818" s="1">
        <v>1.0558493952023599E-2</v>
      </c>
    </row>
    <row r="13819" spans="1:6" x14ac:dyDescent="0.25">
      <c r="A13819" s="2" t="str">
        <f t="shared" si="490"/>
        <v>33100</v>
      </c>
      <c r="B13819" s="2" t="str">
        <f>"33306"</f>
        <v>33306</v>
      </c>
      <c r="C13819" s="1">
        <v>8.2054369516558901E-4</v>
      </c>
      <c r="D13819" s="1">
        <v>2.6440332789484E-3</v>
      </c>
      <c r="E13819" s="1">
        <v>1.7619276041474399E-3</v>
      </c>
      <c r="F13819" s="1">
        <v>1.06269802254591E-3</v>
      </c>
    </row>
    <row r="13820" spans="1:6" x14ac:dyDescent="0.25">
      <c r="A13820" s="2" t="str">
        <f t="shared" si="490"/>
        <v>33100</v>
      </c>
      <c r="B13820" s="2" t="str">
        <f>"33266"</f>
        <v>33266</v>
      </c>
      <c r="C13820" s="1">
        <v>3.66921060644629E-4</v>
      </c>
      <c r="D13820" s="1">
        <v>6.5088346582427802E-4</v>
      </c>
      <c r="E13820" s="1">
        <v>9.2247518541751201E-6</v>
      </c>
      <c r="F13820" s="1">
        <v>3.7290195493487101E-4</v>
      </c>
    </row>
    <row r="13821" spans="1:6" x14ac:dyDescent="0.25">
      <c r="A13821" s="2" t="str">
        <f t="shared" si="490"/>
        <v>33100</v>
      </c>
      <c r="B13821" s="2" t="str">
        <f>"33233"</f>
        <v>33233</v>
      </c>
      <c r="C13821" s="1">
        <v>4.6159917931758198E-4</v>
      </c>
      <c r="D13821" s="1">
        <v>9.1702248296131697E-4</v>
      </c>
      <c r="E13821" s="1">
        <v>9.2247518541751201E-6</v>
      </c>
      <c r="F13821" s="1">
        <v>4.7882352190080699E-4</v>
      </c>
    </row>
    <row r="13822" spans="1:6" x14ac:dyDescent="0.25">
      <c r="A13822" s="2" t="str">
        <f t="shared" si="490"/>
        <v>33100</v>
      </c>
      <c r="B13822" s="2" t="str">
        <f>"33308"</f>
        <v>33308</v>
      </c>
      <c r="C13822" s="1">
        <v>8.7859906903317991E-3</v>
      </c>
      <c r="D13822" s="1">
        <v>7.4750350030663801E-3</v>
      </c>
      <c r="E13822" s="1">
        <v>9.6998265746651401E-3</v>
      </c>
      <c r="F13822" s="1">
        <v>8.7119763339297794E-3</v>
      </c>
    </row>
    <row r="13823" spans="1:6" x14ac:dyDescent="0.25">
      <c r="A13823" s="2" t="str">
        <f t="shared" si="490"/>
        <v>33100</v>
      </c>
      <c r="B13823" s="2" t="str">
        <f>"33184"</f>
        <v>33184</v>
      </c>
      <c r="C13823" s="1">
        <v>2.2892683566306201E-3</v>
      </c>
      <c r="D13823" s="1">
        <v>1.5302993485379699E-3</v>
      </c>
      <c r="E13823" s="1">
        <v>1.1761558614073199E-3</v>
      </c>
      <c r="F13823" s="1">
        <v>2.14309800559846E-3</v>
      </c>
    </row>
    <row r="13824" spans="1:6" x14ac:dyDescent="0.25">
      <c r="A13824" s="2" t="str">
        <f t="shared" si="490"/>
        <v>33100</v>
      </c>
      <c r="B13824" s="2" t="str">
        <f>"33206"</f>
        <v>33206</v>
      </c>
      <c r="C13824" s="1">
        <v>0</v>
      </c>
      <c r="D13824" s="1">
        <v>2.8928154036634599E-6</v>
      </c>
      <c r="E13824" s="1">
        <v>0</v>
      </c>
      <c r="F13824" s="1">
        <v>2.9019607387927699E-7</v>
      </c>
    </row>
    <row r="13825" spans="1:6" x14ac:dyDescent="0.25">
      <c r="A13825" s="2" t="str">
        <f t="shared" si="490"/>
        <v>33100</v>
      </c>
      <c r="B13825" s="2" t="str">
        <f>"33196"</f>
        <v>33196</v>
      </c>
      <c r="C13825" s="1">
        <v>6.0632144643195203E-3</v>
      </c>
      <c r="D13825" s="1">
        <v>2.1117552446743202E-3</v>
      </c>
      <c r="E13825" s="1">
        <v>4.1972620936496802E-3</v>
      </c>
      <c r="F13825" s="1">
        <v>5.54941952079341E-3</v>
      </c>
    </row>
    <row r="13826" spans="1:6" x14ac:dyDescent="0.25">
      <c r="A13826" s="2" t="str">
        <f t="shared" si="490"/>
        <v>33100</v>
      </c>
      <c r="B13826" s="2" t="str">
        <f>"33168"</f>
        <v>33168</v>
      </c>
      <c r="C13826" s="1">
        <v>2.8639263882829398E-3</v>
      </c>
      <c r="D13826" s="1">
        <v>2.7597458950949401E-3</v>
      </c>
      <c r="E13826" s="1">
        <v>4.4278808900040498E-4</v>
      </c>
      <c r="F13826" s="1">
        <v>2.7011450556683101E-3</v>
      </c>
    </row>
    <row r="13827" spans="1:6" x14ac:dyDescent="0.25">
      <c r="A13827" s="2" t="str">
        <f t="shared" si="490"/>
        <v>33100</v>
      </c>
      <c r="B13827" s="2" t="str">
        <f>"33165"</f>
        <v>33165</v>
      </c>
      <c r="C13827" s="1">
        <v>6.1932668251340204E-3</v>
      </c>
      <c r="D13827" s="1">
        <v>4.2148320431376601E-3</v>
      </c>
      <c r="E13827" s="1">
        <v>2.1124681746061001E-3</v>
      </c>
      <c r="F13827" s="1">
        <v>5.7380469688149398E-3</v>
      </c>
    </row>
    <row r="13828" spans="1:6" x14ac:dyDescent="0.25">
      <c r="A13828" s="2" t="str">
        <f t="shared" si="490"/>
        <v>33100</v>
      </c>
      <c r="B13828" s="2" t="str">
        <f>"33137"</f>
        <v>33137</v>
      </c>
      <c r="C13828" s="1">
        <v>5.8461137233331902E-3</v>
      </c>
      <c r="D13828" s="1">
        <v>7.1857534627000298E-3</v>
      </c>
      <c r="E13828" s="1">
        <v>6.3143426441828699E-3</v>
      </c>
      <c r="F13828" s="1">
        <v>6.0099606900398299E-3</v>
      </c>
    </row>
    <row r="13829" spans="1:6" x14ac:dyDescent="0.25">
      <c r="A13829" s="2" t="str">
        <f t="shared" si="490"/>
        <v>33100</v>
      </c>
      <c r="B13829" s="2" t="str">
        <f>"33135"</f>
        <v>33135</v>
      </c>
      <c r="C13829" s="1">
        <v>5.8253053456028703E-3</v>
      </c>
      <c r="D13829" s="1">
        <v>6.8299371680494297E-3</v>
      </c>
      <c r="E13829" s="1">
        <v>1.2619460536511499E-2</v>
      </c>
      <c r="F13829" s="1">
        <v>6.3535528415128899E-3</v>
      </c>
    </row>
    <row r="13830" spans="1:6" x14ac:dyDescent="0.25">
      <c r="A13830" s="2" t="str">
        <f t="shared" ref="A13830:A13893" si="491">"33100"</f>
        <v>33100</v>
      </c>
      <c r="B13830" s="2" t="str">
        <f>"33147"</f>
        <v>33147</v>
      </c>
      <c r="C13830" s="1">
        <v>5.6362959145524697E-3</v>
      </c>
      <c r="D13830" s="1">
        <v>5.0682125872183797E-3</v>
      </c>
      <c r="E13830" s="1">
        <v>4.4970665289103696E-3</v>
      </c>
      <c r="F13830" s="1">
        <v>5.5076312861548002E-3</v>
      </c>
    </row>
    <row r="13831" spans="1:6" x14ac:dyDescent="0.25">
      <c r="A13831" s="2" t="str">
        <f t="shared" si="491"/>
        <v>33100</v>
      </c>
      <c r="B13831" s="2" t="str">
        <f>"33141"</f>
        <v>33141</v>
      </c>
      <c r="C13831" s="1">
        <v>8.6965146660914292E-3</v>
      </c>
      <c r="D13831" s="1">
        <v>3.3064880063873301E-3</v>
      </c>
      <c r="E13831" s="1">
        <v>1.4422899524002801E-2</v>
      </c>
      <c r="F13831" s="1">
        <v>8.5160939840612706E-3</v>
      </c>
    </row>
    <row r="13832" spans="1:6" x14ac:dyDescent="0.25">
      <c r="A13832" s="2" t="str">
        <f t="shared" si="491"/>
        <v>33100</v>
      </c>
      <c r="B13832" s="2" t="str">
        <f>"33143"</f>
        <v>33143</v>
      </c>
      <c r="C13832" s="1">
        <v>5.5055499411469696E-3</v>
      </c>
      <c r="D13832" s="1">
        <v>5.5165989747862198E-3</v>
      </c>
      <c r="E13832" s="1">
        <v>6.6787203424227802E-3</v>
      </c>
      <c r="F13832" s="1">
        <v>5.5804705006984997E-3</v>
      </c>
    </row>
    <row r="13833" spans="1:6" x14ac:dyDescent="0.25">
      <c r="A13833" s="2" t="str">
        <f t="shared" si="491"/>
        <v>33100</v>
      </c>
      <c r="B13833" s="2" t="str">
        <f>"33106"</f>
        <v>33106</v>
      </c>
      <c r="C13833" s="1">
        <v>0</v>
      </c>
      <c r="D13833" s="1">
        <v>2.8928154036634599E-6</v>
      </c>
      <c r="E13833" s="1">
        <v>4.61237592708756E-6</v>
      </c>
      <c r="F13833" s="1">
        <v>5.8039214775855398E-7</v>
      </c>
    </row>
    <row r="13834" spans="1:6" x14ac:dyDescent="0.25">
      <c r="A13834" s="2" t="str">
        <f t="shared" si="491"/>
        <v>33100</v>
      </c>
      <c r="B13834" s="2" t="str">
        <f>"33081"</f>
        <v>33081</v>
      </c>
      <c r="C13834" s="1">
        <v>5.5003478467143896E-4</v>
      </c>
      <c r="D13834" s="1">
        <v>1.0674488839518101E-3</v>
      </c>
      <c r="E13834" s="1">
        <v>1.38371277812626E-5</v>
      </c>
      <c r="F13834" s="1">
        <v>5.6820391265562402E-4</v>
      </c>
    </row>
    <row r="13835" spans="1:6" x14ac:dyDescent="0.25">
      <c r="A13835" s="2" t="str">
        <f t="shared" si="491"/>
        <v>33100</v>
      </c>
      <c r="B13835" s="2" t="str">
        <f>"33114"</f>
        <v>33114</v>
      </c>
      <c r="C13835" s="1">
        <v>7.7337803897686505E-4</v>
      </c>
      <c r="D13835" s="1">
        <v>2.14646902951828E-3</v>
      </c>
      <c r="E13835" s="1">
        <v>9.2247518541751201E-6</v>
      </c>
      <c r="F13835" s="1">
        <v>8.6304312371697002E-4</v>
      </c>
    </row>
    <row r="13836" spans="1:6" x14ac:dyDescent="0.25">
      <c r="A13836" s="2" t="str">
        <f t="shared" si="491"/>
        <v>33100</v>
      </c>
      <c r="B13836" s="2" t="str">
        <f>"33116"</f>
        <v>33116</v>
      </c>
      <c r="C13836" s="1">
        <v>8.6805615764981798E-4</v>
      </c>
      <c r="D13836" s="1">
        <v>2.45310746230661E-3</v>
      </c>
      <c r="E13836" s="1">
        <v>1.38371277812626E-5</v>
      </c>
      <c r="F13836" s="1">
        <v>9.7331763179109505E-4</v>
      </c>
    </row>
    <row r="13837" spans="1:6" x14ac:dyDescent="0.25">
      <c r="A13837" s="2" t="str">
        <f t="shared" si="491"/>
        <v>33100</v>
      </c>
      <c r="B13837" s="2" t="str">
        <f>"33026"</f>
        <v>33026</v>
      </c>
      <c r="C13837" s="1">
        <v>4.4238611054658698E-3</v>
      </c>
      <c r="D13837" s="1">
        <v>3.2573101445250502E-3</v>
      </c>
      <c r="E13837" s="1">
        <v>1.3883251540533501E-3</v>
      </c>
      <c r="F13837" s="1">
        <v>4.11585091582978E-3</v>
      </c>
    </row>
    <row r="13838" spans="1:6" x14ac:dyDescent="0.25">
      <c r="A13838" s="2" t="str">
        <f t="shared" si="491"/>
        <v>33100</v>
      </c>
      <c r="B13838" s="2" t="str">
        <f>"33464"</f>
        <v>33464</v>
      </c>
      <c r="C13838" s="1">
        <v>0</v>
      </c>
      <c r="D13838" s="1">
        <v>5.7856308073269198E-6</v>
      </c>
      <c r="E13838" s="1">
        <v>0</v>
      </c>
      <c r="F13838" s="1">
        <v>5.8039214775855398E-7</v>
      </c>
    </row>
    <row r="13839" spans="1:6" x14ac:dyDescent="0.25">
      <c r="A13839" s="2" t="str">
        <f t="shared" si="491"/>
        <v>33100</v>
      </c>
      <c r="B13839" s="2" t="str">
        <f>"33496"</f>
        <v>33496</v>
      </c>
      <c r="C13839" s="1">
        <v>4.2019050763424598E-3</v>
      </c>
      <c r="D13839" s="1">
        <v>8.3602365165873996E-4</v>
      </c>
      <c r="E13839" s="1">
        <v>5.0228773845983499E-3</v>
      </c>
      <c r="F13839" s="1">
        <v>3.91590582092696E-3</v>
      </c>
    </row>
    <row r="13840" spans="1:6" x14ac:dyDescent="0.25">
      <c r="A13840" s="2" t="str">
        <f t="shared" si="491"/>
        <v>33100</v>
      </c>
      <c r="B13840" s="2" t="str">
        <f>"33493"</f>
        <v>33493</v>
      </c>
      <c r="C13840" s="1">
        <v>4.8483520111643799E-4</v>
      </c>
      <c r="D13840" s="1">
        <v>3.8185163328357602E-4</v>
      </c>
      <c r="E13840" s="1">
        <v>5.7654699088594496E-4</v>
      </c>
      <c r="F13840" s="1">
        <v>4.8027450227020301E-4</v>
      </c>
    </row>
    <row r="13841" spans="1:6" x14ac:dyDescent="0.25">
      <c r="A13841" s="2" t="str">
        <f t="shared" si="491"/>
        <v>33100</v>
      </c>
      <c r="B13841" s="2" t="str">
        <f>"33487"</f>
        <v>33487</v>
      </c>
      <c r="C13841" s="1">
        <v>4.8649987133486403E-3</v>
      </c>
      <c r="D13841" s="1">
        <v>6.8588653220860597E-3</v>
      </c>
      <c r="E13841" s="1">
        <v>7.70266779823622E-3</v>
      </c>
      <c r="F13841" s="1">
        <v>5.24355285892466E-3</v>
      </c>
    </row>
    <row r="13842" spans="1:6" x14ac:dyDescent="0.25">
      <c r="A13842" s="2" t="str">
        <f t="shared" si="491"/>
        <v>33100</v>
      </c>
      <c r="B13842" s="2" t="str">
        <f>"33472"</f>
        <v>33472</v>
      </c>
      <c r="C13842" s="1">
        <v>2.98947026725586E-3</v>
      </c>
      <c r="D13842" s="1">
        <v>9.3148655997963398E-4</v>
      </c>
      <c r="E13842" s="1">
        <v>9.27087561344599E-4</v>
      </c>
      <c r="F13842" s="1">
        <v>2.6532627034782301E-3</v>
      </c>
    </row>
    <row r="13843" spans="1:6" x14ac:dyDescent="0.25">
      <c r="A13843" s="2" t="str">
        <f t="shared" si="491"/>
        <v>33100</v>
      </c>
      <c r="B13843" s="2" t="str">
        <f>"33443"</f>
        <v>33443</v>
      </c>
      <c r="C13843" s="1">
        <v>3.9744001464909697E-4</v>
      </c>
      <c r="D13843" s="1">
        <v>9.3437937538329795E-4</v>
      </c>
      <c r="E13843" s="1">
        <v>9.2247518541751201E-6</v>
      </c>
      <c r="F13843" s="1">
        <v>4.26878424676416E-4</v>
      </c>
    </row>
    <row r="13844" spans="1:6" x14ac:dyDescent="0.25">
      <c r="A13844" s="2" t="str">
        <f t="shared" si="491"/>
        <v>33100</v>
      </c>
      <c r="B13844" s="2" t="str">
        <f>"33435"</f>
        <v>33435</v>
      </c>
      <c r="C13844" s="1">
        <v>7.4937904332789702E-3</v>
      </c>
      <c r="D13844" s="1">
        <v>3.6160192545793201E-3</v>
      </c>
      <c r="E13844" s="1">
        <v>1.10835393527914E-2</v>
      </c>
      <c r="F13844" s="1">
        <v>7.3306430222644199E-3</v>
      </c>
    </row>
    <row r="13845" spans="1:6" x14ac:dyDescent="0.25">
      <c r="A13845" s="2" t="str">
        <f t="shared" si="491"/>
        <v>33100</v>
      </c>
      <c r="B13845" s="2" t="str">
        <f>"33430"</f>
        <v>33430</v>
      </c>
      <c r="C13845" s="1">
        <v>2.7460122478111301E-3</v>
      </c>
      <c r="D13845" s="1">
        <v>2.1377905833072901E-3</v>
      </c>
      <c r="E13845" s="1">
        <v>6.2313198774952899E-3</v>
      </c>
      <c r="F13845" s="1">
        <v>2.9042823073838001E-3</v>
      </c>
    </row>
    <row r="13846" spans="1:6" x14ac:dyDescent="0.25">
      <c r="A13846" s="2" t="str">
        <f t="shared" si="491"/>
        <v>33100</v>
      </c>
      <c r="B13846" s="2" t="str">
        <f>"33425"</f>
        <v>33425</v>
      </c>
      <c r="C13846" s="1">
        <v>4.1373991053784802E-4</v>
      </c>
      <c r="D13846" s="1">
        <v>5.9881278855833603E-4</v>
      </c>
      <c r="E13846" s="1">
        <v>9.2247518541751201E-6</v>
      </c>
      <c r="F13846" s="1">
        <v>4.0685489557874599E-4</v>
      </c>
    </row>
    <row r="13847" spans="1:6" x14ac:dyDescent="0.25">
      <c r="A13847" s="2" t="str">
        <f t="shared" si="491"/>
        <v>33100</v>
      </c>
      <c r="B13847" s="2" t="str">
        <f>"33394"</f>
        <v>33394</v>
      </c>
      <c r="C13847" s="1">
        <v>0</v>
      </c>
      <c r="D13847" s="1">
        <v>4.6863609539347998E-4</v>
      </c>
      <c r="E13847" s="1">
        <v>9.6859894468838694E-5</v>
      </c>
      <c r="F13847" s="1">
        <v>5.3105881519907702E-5</v>
      </c>
    </row>
    <row r="13848" spans="1:6" x14ac:dyDescent="0.25">
      <c r="A13848" s="2" t="str">
        <f t="shared" si="491"/>
        <v>33100</v>
      </c>
      <c r="B13848" s="2" t="str">
        <f>"33355"</f>
        <v>33355</v>
      </c>
      <c r="C13848" s="1">
        <v>4.5188860304343301E-4</v>
      </c>
      <c r="D13848" s="1">
        <v>8.6205899029171101E-4</v>
      </c>
      <c r="E13848" s="1">
        <v>2.3061879635437801E-5</v>
      </c>
      <c r="F13848" s="1">
        <v>4.66054894650119E-4</v>
      </c>
    </row>
    <row r="13849" spans="1:6" x14ac:dyDescent="0.25">
      <c r="A13849" s="2" t="str">
        <f t="shared" si="491"/>
        <v>33100</v>
      </c>
      <c r="B13849" s="2" t="str">
        <f>"33331"</f>
        <v>33331</v>
      </c>
      <c r="C13849" s="1">
        <v>2.68393392091567E-3</v>
      </c>
      <c r="D13849" s="1">
        <v>1.6980826419504499E-3</v>
      </c>
      <c r="E13849" s="1">
        <v>1.1761558614073199E-3</v>
      </c>
      <c r="F13849" s="1">
        <v>2.4901725099580698E-3</v>
      </c>
    </row>
    <row r="13850" spans="1:6" x14ac:dyDescent="0.25">
      <c r="A13850" s="2" t="str">
        <f t="shared" si="491"/>
        <v>33100</v>
      </c>
      <c r="B13850" s="2" t="str">
        <f>"33324"</f>
        <v>33324</v>
      </c>
      <c r="C13850" s="1">
        <v>7.7601376682270599E-3</v>
      </c>
      <c r="D13850" s="1">
        <v>6.9340785225813096E-3</v>
      </c>
      <c r="E13850" s="1">
        <v>7.2829415888712497E-3</v>
      </c>
      <c r="F13850" s="1">
        <v>7.64724693886671E-3</v>
      </c>
    </row>
    <row r="13851" spans="1:6" x14ac:dyDescent="0.25">
      <c r="A13851" s="2" t="str">
        <f t="shared" si="491"/>
        <v>33100</v>
      </c>
      <c r="B13851" s="2" t="str">
        <f>"33315"</f>
        <v>33315</v>
      </c>
      <c r="C13851" s="1">
        <v>2.5611644923067898E-3</v>
      </c>
      <c r="D13851" s="1">
        <v>4.1425116580460697E-3</v>
      </c>
      <c r="E13851" s="1">
        <v>3.27017453230508E-3</v>
      </c>
      <c r="F13851" s="1">
        <v>2.7644077997739901E-3</v>
      </c>
    </row>
    <row r="13852" spans="1:6" x14ac:dyDescent="0.25">
      <c r="A13852" s="2" t="str">
        <f t="shared" si="491"/>
        <v>33100</v>
      </c>
      <c r="B13852" s="2" t="str">
        <f>"33320"</f>
        <v>33320</v>
      </c>
      <c r="C13852" s="1">
        <v>3.1490011631883099E-4</v>
      </c>
      <c r="D13852" s="1">
        <v>1.03852072991518E-3</v>
      </c>
      <c r="E13852" s="1">
        <v>9.2247518541751201E-6</v>
      </c>
      <c r="F13852" s="1">
        <v>3.6825881775280199E-4</v>
      </c>
    </row>
    <row r="13853" spans="1:6" x14ac:dyDescent="0.25">
      <c r="A13853" s="2" t="str">
        <f t="shared" si="491"/>
        <v>33100</v>
      </c>
      <c r="B13853" s="2" t="str">
        <f>"33317"</f>
        <v>33317</v>
      </c>
      <c r="C13853" s="1">
        <v>4.9437237424283503E-3</v>
      </c>
      <c r="D13853" s="1">
        <v>5.3314587889517501E-3</v>
      </c>
      <c r="E13853" s="1">
        <v>3.6760636138887799E-3</v>
      </c>
      <c r="F13853" s="1">
        <v>4.9028626681903798E-3</v>
      </c>
    </row>
    <row r="13854" spans="1:6" x14ac:dyDescent="0.25">
      <c r="A13854" s="2" t="str">
        <f t="shared" si="491"/>
        <v>33100</v>
      </c>
      <c r="B13854" s="2" t="str">
        <f>"33177"</f>
        <v>33177</v>
      </c>
      <c r="C13854" s="1">
        <v>6.17696692924527E-3</v>
      </c>
      <c r="D13854" s="1">
        <v>3.00274238900267E-3</v>
      </c>
      <c r="E13854" s="1">
        <v>1.2591786280949E-3</v>
      </c>
      <c r="F13854" s="1">
        <v>5.5491293247195402E-3</v>
      </c>
    </row>
    <row r="13855" spans="1:6" x14ac:dyDescent="0.25">
      <c r="A13855" s="2" t="str">
        <f t="shared" si="491"/>
        <v>33100</v>
      </c>
      <c r="B13855" s="2" t="str">
        <f>"33176"</f>
        <v>33176</v>
      </c>
      <c r="C13855" s="1">
        <v>7.0301104161883598E-3</v>
      </c>
      <c r="D13855" s="1">
        <v>6.4683352425914898E-3</v>
      </c>
      <c r="E13855" s="1">
        <v>8.5928563521641202E-3</v>
      </c>
      <c r="F13855" s="1">
        <v>7.0720783204379798E-3</v>
      </c>
    </row>
    <row r="13856" spans="1:6" x14ac:dyDescent="0.25">
      <c r="A13856" s="2" t="str">
        <f t="shared" si="491"/>
        <v>33100</v>
      </c>
      <c r="B13856" s="2" t="str">
        <f>"33255"</f>
        <v>33255</v>
      </c>
      <c r="C13856" s="1">
        <v>3.0935121559074602E-4</v>
      </c>
      <c r="D13856" s="1">
        <v>8.7652306731002803E-4</v>
      </c>
      <c r="E13856" s="1">
        <v>9.2247518541751201E-6</v>
      </c>
      <c r="F13856" s="1">
        <v>3.4736470043349399E-4</v>
      </c>
    </row>
    <row r="13857" spans="1:6" x14ac:dyDescent="0.25">
      <c r="A13857" s="2" t="str">
        <f t="shared" si="491"/>
        <v>33100</v>
      </c>
      <c r="B13857" s="2" t="str">
        <f>"33304"</f>
        <v>33304</v>
      </c>
      <c r="C13857" s="1">
        <v>5.0394422799878201E-3</v>
      </c>
      <c r="D13857" s="1">
        <v>5.6670253757767197E-3</v>
      </c>
      <c r="E13857" s="1">
        <v>8.5928563521641202E-3</v>
      </c>
      <c r="F13857" s="1">
        <v>5.32596854390637E-3</v>
      </c>
    </row>
    <row r="13858" spans="1:6" x14ac:dyDescent="0.25">
      <c r="A13858" s="2" t="str">
        <f t="shared" si="491"/>
        <v>33100</v>
      </c>
      <c r="B13858" s="2" t="str">
        <f>"33265"</f>
        <v>33265</v>
      </c>
      <c r="C13858" s="1">
        <v>7.2066348206005699E-4</v>
      </c>
      <c r="D13858" s="1">
        <v>1.5187280869233099E-3</v>
      </c>
      <c r="E13858" s="1">
        <v>9.2247518541751201E-6</v>
      </c>
      <c r="F13858" s="1">
        <v>7.5596077245551705E-4</v>
      </c>
    </row>
    <row r="13859" spans="1:6" x14ac:dyDescent="0.25">
      <c r="A13859" s="2" t="str">
        <f t="shared" si="491"/>
        <v>33100</v>
      </c>
      <c r="B13859" s="2" t="str">
        <f>"33257"</f>
        <v>33257</v>
      </c>
      <c r="C13859" s="1">
        <v>3.28772368139044E-4</v>
      </c>
      <c r="D13859" s="1">
        <v>4.4260075676050899E-4</v>
      </c>
      <c r="E13859" s="1">
        <v>4.61237592708756E-6</v>
      </c>
      <c r="F13859" s="1">
        <v>3.1979607341496298E-4</v>
      </c>
    </row>
    <row r="13860" spans="1:6" x14ac:dyDescent="0.25">
      <c r="A13860" s="2" t="str">
        <f t="shared" si="491"/>
        <v>33100</v>
      </c>
      <c r="B13860" s="2" t="str">
        <f>"33256"</f>
        <v>33256</v>
      </c>
      <c r="C13860" s="1">
        <v>9.2181113345314299E-4</v>
      </c>
      <c r="D13860" s="1">
        <v>2.16961155274759E-3</v>
      </c>
      <c r="E13860" s="1">
        <v>2.3061879635437801E-5</v>
      </c>
      <c r="F13860" s="1">
        <v>9.9043920014997306E-4</v>
      </c>
    </row>
    <row r="13861" spans="1:6" x14ac:dyDescent="0.25">
      <c r="A13861" s="2" t="str">
        <f t="shared" si="491"/>
        <v>33100</v>
      </c>
      <c r="B13861" s="2" t="str">
        <f>"33243"</f>
        <v>33243</v>
      </c>
      <c r="C13861" s="1">
        <v>5.1119247957484299E-4</v>
      </c>
      <c r="D13861" s="1">
        <v>9.0545122134666305E-4</v>
      </c>
      <c r="E13861" s="1">
        <v>9.2247518541751201E-6</v>
      </c>
      <c r="F13861" s="1">
        <v>5.1916077617002697E-4</v>
      </c>
    </row>
    <row r="13862" spans="1:6" x14ac:dyDescent="0.25">
      <c r="A13862" s="2" t="str">
        <f t="shared" si="491"/>
        <v>33100</v>
      </c>
      <c r="B13862" s="2" t="str">
        <f>"33197"</f>
        <v>33197</v>
      </c>
      <c r="C13862" s="1">
        <v>6.9777426655670495E-4</v>
      </c>
      <c r="D13862" s="1">
        <v>1.05877043774082E-3</v>
      </c>
      <c r="E13862" s="1">
        <v>9.2247518541751201E-6</v>
      </c>
      <c r="F13862" s="1">
        <v>6.9066665583267901E-4</v>
      </c>
    </row>
    <row r="13863" spans="1:6" x14ac:dyDescent="0.25">
      <c r="A13863" s="2" t="str">
        <f t="shared" si="491"/>
        <v>33100</v>
      </c>
      <c r="B13863" s="2" t="str">
        <f>"33180"</f>
        <v>33180</v>
      </c>
      <c r="C13863" s="1">
        <v>7.3536806898948197E-3</v>
      </c>
      <c r="D13863" s="1">
        <v>7.2291456937549903E-3</v>
      </c>
      <c r="E13863" s="1">
        <v>9.4599830264565799E-3</v>
      </c>
      <c r="F13863" s="1">
        <v>7.4737096866869003E-3</v>
      </c>
    </row>
    <row r="13864" spans="1:6" x14ac:dyDescent="0.25">
      <c r="A13864" s="2" t="str">
        <f t="shared" si="491"/>
        <v>33100</v>
      </c>
      <c r="B13864" s="2" t="str">
        <f>"33136"</f>
        <v>33136</v>
      </c>
      <c r="C13864" s="1">
        <v>2.8861219911952801E-3</v>
      </c>
      <c r="D13864" s="1">
        <v>3.1849897594334702E-3</v>
      </c>
      <c r="E13864" s="1">
        <v>5.2488838050256401E-3</v>
      </c>
      <c r="F13864" s="1">
        <v>3.0647607362390399E-3</v>
      </c>
    </row>
    <row r="13865" spans="1:6" x14ac:dyDescent="0.25">
      <c r="A13865" s="2" t="str">
        <f t="shared" si="491"/>
        <v>33100</v>
      </c>
      <c r="B13865" s="2" t="str">
        <f>"33138"</f>
        <v>33138</v>
      </c>
      <c r="C13865" s="1">
        <v>5.0120445826428899E-3</v>
      </c>
      <c r="D13865" s="1">
        <v>5.9939135163906898E-3</v>
      </c>
      <c r="E13865" s="1">
        <v>7.4904985055901903E-3</v>
      </c>
      <c r="F13865" s="1">
        <v>5.2664783487611196E-3</v>
      </c>
    </row>
    <row r="13866" spans="1:6" x14ac:dyDescent="0.25">
      <c r="A13866" s="2" t="str">
        <f t="shared" si="491"/>
        <v>33100</v>
      </c>
      <c r="B13866" s="2" t="str">
        <f>"33157"</f>
        <v>33157</v>
      </c>
      <c r="C13866" s="1">
        <v>8.4270461744837908E-3</v>
      </c>
      <c r="D13866" s="1">
        <v>9.5028986010344697E-3</v>
      </c>
      <c r="E13866" s="1">
        <v>4.1280764547433598E-3</v>
      </c>
      <c r="F13866" s="1">
        <v>8.2644939880079302E-3</v>
      </c>
    </row>
    <row r="13867" spans="1:6" x14ac:dyDescent="0.25">
      <c r="A13867" s="2" t="str">
        <f t="shared" si="491"/>
        <v>33100</v>
      </c>
      <c r="B13867" s="2" t="str">
        <f>"33153"</f>
        <v>33153</v>
      </c>
      <c r="C13867" s="1">
        <v>2.7640461751774002E-4</v>
      </c>
      <c r="D13867" s="1">
        <v>8.7073743650270096E-4</v>
      </c>
      <c r="E13867" s="1">
        <v>9.2247518541751201E-6</v>
      </c>
      <c r="F13867" s="1">
        <v>3.1921568126720403E-4</v>
      </c>
    </row>
    <row r="13868" spans="1:6" x14ac:dyDescent="0.25">
      <c r="A13868" s="2" t="str">
        <f t="shared" si="491"/>
        <v>33100</v>
      </c>
      <c r="B13868" s="2" t="str">
        <f>"33150"</f>
        <v>33150</v>
      </c>
      <c r="C13868" s="1">
        <v>3.80273103021584E-3</v>
      </c>
      <c r="D13868" s="1">
        <v>3.1618472362041601E-3</v>
      </c>
      <c r="E13868" s="1">
        <v>3.6852883657429599E-3</v>
      </c>
      <c r="F13868" s="1">
        <v>3.7310509218658602E-3</v>
      </c>
    </row>
    <row r="13869" spans="1:6" x14ac:dyDescent="0.25">
      <c r="A13869" s="2" t="str">
        <f t="shared" si="491"/>
        <v>33100</v>
      </c>
      <c r="B13869" s="2" t="str">
        <f>"33156"</f>
        <v>33156</v>
      </c>
      <c r="C13869" s="1">
        <v>5.1899562122371201E-3</v>
      </c>
      <c r="D13869" s="1">
        <v>7.0729336619571601E-3</v>
      </c>
      <c r="E13869" s="1">
        <v>4.8199328438065002E-3</v>
      </c>
      <c r="F13869" s="1">
        <v>5.3555685434420602E-3</v>
      </c>
    </row>
    <row r="13870" spans="1:6" x14ac:dyDescent="0.25">
      <c r="A13870" s="2" t="str">
        <f t="shared" si="491"/>
        <v>33100</v>
      </c>
      <c r="B13870" s="2" t="str">
        <f>"33061"</f>
        <v>33061</v>
      </c>
      <c r="C13870" s="1">
        <v>7.1407416244545605E-4</v>
      </c>
      <c r="D13870" s="1">
        <v>1.3769801321437999E-3</v>
      </c>
      <c r="E13870" s="1">
        <v>9.2247518541751201E-6</v>
      </c>
      <c r="F13870" s="1">
        <v>7.3622743943172603E-4</v>
      </c>
    </row>
    <row r="13871" spans="1:6" x14ac:dyDescent="0.25">
      <c r="A13871" s="2" t="str">
        <f t="shared" si="491"/>
        <v>33100</v>
      </c>
      <c r="B13871" s="2" t="str">
        <f>"33129"</f>
        <v>33129</v>
      </c>
      <c r="C13871" s="1">
        <v>2.9721299524806E-3</v>
      </c>
      <c r="D13871" s="1">
        <v>1.14555489985073E-3</v>
      </c>
      <c r="E13871" s="1">
        <v>2.9380834655547698E-3</v>
      </c>
      <c r="F13871" s="1">
        <v>2.7867528974626901E-3</v>
      </c>
    </row>
    <row r="13872" spans="1:6" x14ac:dyDescent="0.25">
      <c r="A13872" s="2" t="str">
        <f t="shared" si="491"/>
        <v>33100</v>
      </c>
      <c r="B13872" s="2" t="str">
        <f>"33074"</f>
        <v>33074</v>
      </c>
      <c r="C13872" s="1">
        <v>4.0715059092324599E-4</v>
      </c>
      <c r="D13872" s="1">
        <v>7.6370326656715302E-4</v>
      </c>
      <c r="E13872" s="1">
        <v>9.2247518541751201E-6</v>
      </c>
      <c r="F13872" s="1">
        <v>4.1788234638615902E-4</v>
      </c>
    </row>
    <row r="13873" spans="1:6" x14ac:dyDescent="0.25">
      <c r="A13873" s="2" t="str">
        <f t="shared" si="491"/>
        <v>33100</v>
      </c>
      <c r="B13873" s="2" t="str">
        <f>"33083"</f>
        <v>33083</v>
      </c>
      <c r="C13873" s="1">
        <v>5.2194347473550804E-4</v>
      </c>
      <c r="D13873" s="1">
        <v>2.6903183254070102E-4</v>
      </c>
      <c r="E13873" s="1">
        <v>9.2247518541751201E-6</v>
      </c>
      <c r="F13873" s="1">
        <v>4.6431371820684301E-4</v>
      </c>
    </row>
    <row r="13874" spans="1:6" x14ac:dyDescent="0.25">
      <c r="A13874" s="2" t="str">
        <f t="shared" si="491"/>
        <v>33100</v>
      </c>
      <c r="B13874" s="2" t="str">
        <f>"33076"</f>
        <v>33076</v>
      </c>
      <c r="C13874" s="1">
        <v>5.0866079361765399E-3</v>
      </c>
      <c r="D13874" s="1">
        <v>1.81090244269332E-3</v>
      </c>
      <c r="E13874" s="1">
        <v>1.30069001143869E-3</v>
      </c>
      <c r="F13874" s="1">
        <v>4.5198038506697397E-3</v>
      </c>
    </row>
    <row r="13875" spans="1:6" x14ac:dyDescent="0.25">
      <c r="A13875" s="2" t="str">
        <f t="shared" si="491"/>
        <v>33100</v>
      </c>
      <c r="B13875" s="2" t="str">
        <f>"33125"</f>
        <v>33125</v>
      </c>
      <c r="C13875" s="1">
        <v>6.9881468544322096E-3</v>
      </c>
      <c r="D13875" s="1">
        <v>4.6776825077238099E-3</v>
      </c>
      <c r="E13875" s="1">
        <v>9.7228884543005701E-3</v>
      </c>
      <c r="F13875" s="1">
        <v>6.9284312638677398E-3</v>
      </c>
    </row>
    <row r="13876" spans="1:6" x14ac:dyDescent="0.25">
      <c r="A13876" s="2" t="str">
        <f t="shared" si="491"/>
        <v>33100</v>
      </c>
      <c r="B13876" s="2" t="str">
        <f>"33068"</f>
        <v>33068</v>
      </c>
      <c r="C13876" s="1">
        <v>6.7405271594414102E-3</v>
      </c>
      <c r="D13876" s="1">
        <v>2.69610395621434E-3</v>
      </c>
      <c r="E13876" s="1">
        <v>4.3264086196081299E-3</v>
      </c>
      <c r="F13876" s="1">
        <v>6.18291755007188E-3</v>
      </c>
    </row>
    <row r="13877" spans="1:6" x14ac:dyDescent="0.25">
      <c r="A13877" s="2" t="str">
        <f t="shared" si="491"/>
        <v>33100</v>
      </c>
      <c r="B13877" s="2" t="str">
        <f>"33014"</f>
        <v>33014</v>
      </c>
      <c r="C13877" s="1">
        <v>5.9071516313421299E-3</v>
      </c>
      <c r="D13877" s="1">
        <v>9.3177584152E-3</v>
      </c>
      <c r="E13877" s="1">
        <v>5.3134570680048697E-3</v>
      </c>
      <c r="F13877" s="1">
        <v>6.2119371574598002E-3</v>
      </c>
    </row>
    <row r="13878" spans="1:6" x14ac:dyDescent="0.25">
      <c r="A13878" s="2" t="str">
        <f t="shared" si="491"/>
        <v>33100</v>
      </c>
      <c r="B13878" s="2" t="str">
        <f>"33013"</f>
        <v>33013</v>
      </c>
      <c r="C13878" s="1">
        <v>3.51037332310485E-3</v>
      </c>
      <c r="D13878" s="1">
        <v>4.5156848451186598E-3</v>
      </c>
      <c r="E13878" s="1">
        <v>2.2877384598354298E-3</v>
      </c>
      <c r="F13878" s="1">
        <v>3.5342979837757098E-3</v>
      </c>
    </row>
    <row r="13879" spans="1:6" x14ac:dyDescent="0.25">
      <c r="A13879" s="2" t="str">
        <f t="shared" si="491"/>
        <v>33100</v>
      </c>
      <c r="B13879" s="2" t="str">
        <f>"33468"</f>
        <v>33468</v>
      </c>
      <c r="C13879" s="1">
        <v>9.5649176300367496E-4</v>
      </c>
      <c r="D13879" s="1">
        <v>2.59774823248978E-3</v>
      </c>
      <c r="E13879" s="1">
        <v>9.2247518541751201E-6</v>
      </c>
      <c r="F13879" s="1">
        <v>1.0615372382503901E-3</v>
      </c>
    </row>
    <row r="13880" spans="1:6" x14ac:dyDescent="0.25">
      <c r="A13880" s="2" t="str">
        <f t="shared" si="491"/>
        <v>33100</v>
      </c>
      <c r="B13880" s="2" t="str">
        <f>"33459"</f>
        <v>33459</v>
      </c>
      <c r="C13880" s="1">
        <v>0</v>
      </c>
      <c r="D13880" s="1">
        <v>2.8928154036634599E-6</v>
      </c>
      <c r="E13880" s="1">
        <v>0</v>
      </c>
      <c r="F13880" s="1">
        <v>2.9019607387927699E-7</v>
      </c>
    </row>
    <row r="13881" spans="1:6" x14ac:dyDescent="0.25">
      <c r="A13881" s="2" t="str">
        <f t="shared" si="491"/>
        <v>33100</v>
      </c>
      <c r="B13881" s="2" t="str">
        <f>"33482"</f>
        <v>33482</v>
      </c>
      <c r="C13881" s="1">
        <v>5.1084567327933702E-4</v>
      </c>
      <c r="D13881" s="1">
        <v>1.09637703798845E-3</v>
      </c>
      <c r="E13881" s="1">
        <v>9.2247518541751201E-6</v>
      </c>
      <c r="F13881" s="1">
        <v>5.3802352097218E-4</v>
      </c>
    </row>
    <row r="13882" spans="1:6" x14ac:dyDescent="0.25">
      <c r="A13882" s="2" t="str">
        <f t="shared" si="491"/>
        <v>33100</v>
      </c>
      <c r="B13882" s="2" t="str">
        <f>"33481"</f>
        <v>33481</v>
      </c>
      <c r="C13882" s="1">
        <v>4.3281425679063997E-4</v>
      </c>
      <c r="D13882" s="1">
        <v>1.27862440841924E-3</v>
      </c>
      <c r="E13882" s="1">
        <v>9.2247518541751201E-6</v>
      </c>
      <c r="F13882" s="1">
        <v>4.91011757003737E-4</v>
      </c>
    </row>
    <row r="13883" spans="1:6" x14ac:dyDescent="0.25">
      <c r="A13883" s="2" t="str">
        <f t="shared" si="491"/>
        <v>33100</v>
      </c>
      <c r="B13883" s="2" t="str">
        <f>"33449"</f>
        <v>33449</v>
      </c>
      <c r="C13883" s="1">
        <v>1.33451062510447E-3</v>
      </c>
      <c r="D13883" s="1">
        <v>6.5956191203526905E-4</v>
      </c>
      <c r="E13883" s="1">
        <v>4.7507472049001799E-4</v>
      </c>
      <c r="F13883" s="1">
        <v>1.21272939274149E-3</v>
      </c>
    </row>
    <row r="13884" spans="1:6" x14ac:dyDescent="0.25">
      <c r="A13884" s="2" t="str">
        <f t="shared" si="491"/>
        <v>33100</v>
      </c>
      <c r="B13884" s="2" t="str">
        <f>"33405"</f>
        <v>33405</v>
      </c>
      <c r="C13884" s="1">
        <v>3.3664487104701499E-3</v>
      </c>
      <c r="D13884" s="1">
        <v>4.6140405688432197E-3</v>
      </c>
      <c r="E13884" s="1">
        <v>4.40020663444153E-3</v>
      </c>
      <c r="F13884" s="1">
        <v>3.5566430814644198E-3</v>
      </c>
    </row>
    <row r="13885" spans="1:6" x14ac:dyDescent="0.25">
      <c r="A13885" s="2" t="str">
        <f t="shared" si="491"/>
        <v>33100</v>
      </c>
      <c r="B13885" s="2" t="str">
        <f>"33436"</f>
        <v>33436</v>
      </c>
      <c r="C13885" s="1">
        <v>7.7563227989764999E-3</v>
      </c>
      <c r="D13885" s="1">
        <v>1.6720473033174799E-3</v>
      </c>
      <c r="E13885" s="1">
        <v>1.47872772222427E-2</v>
      </c>
      <c r="F13885" s="1">
        <v>7.5883371358692201E-3</v>
      </c>
    </row>
    <row r="13886" spans="1:6" x14ac:dyDescent="0.25">
      <c r="A13886" s="2" t="str">
        <f t="shared" si="491"/>
        <v>33100</v>
      </c>
      <c r="B13886" s="2" t="str">
        <f>"33424"</f>
        <v>33424</v>
      </c>
      <c r="C13886" s="1">
        <v>3.32934043685108E-4</v>
      </c>
      <c r="D13886" s="1">
        <v>8.4470209786973002E-4</v>
      </c>
      <c r="E13886" s="1">
        <v>9.2247518541751201E-6</v>
      </c>
      <c r="F13886" s="1">
        <v>3.63905876644613E-4</v>
      </c>
    </row>
    <row r="13887" spans="1:6" x14ac:dyDescent="0.25">
      <c r="A13887" s="2" t="str">
        <f t="shared" si="491"/>
        <v>33100</v>
      </c>
      <c r="B13887" s="2" t="str">
        <f>"33428"</f>
        <v>33428</v>
      </c>
      <c r="C13887" s="1">
        <v>5.8478477548107198E-3</v>
      </c>
      <c r="D13887" s="1">
        <v>1.6460119646845E-3</v>
      </c>
      <c r="E13887" s="1">
        <v>4.9121803623482499E-3</v>
      </c>
      <c r="F13887" s="1">
        <v>5.36746658247111E-3</v>
      </c>
    </row>
    <row r="13888" spans="1:6" x14ac:dyDescent="0.25">
      <c r="A13888" s="2" t="str">
        <f t="shared" si="491"/>
        <v>33100</v>
      </c>
      <c r="B13888" s="2" t="str">
        <f>"33431"</f>
        <v>33431</v>
      </c>
      <c r="C13888" s="1">
        <v>3.7437739599799399E-3</v>
      </c>
      <c r="D13888" s="1">
        <v>1.43136506173268E-2</v>
      </c>
      <c r="E13888" s="1">
        <v>5.6916718940260499E-3</v>
      </c>
      <c r="F13888" s="1">
        <v>4.9266587462484896E-3</v>
      </c>
    </row>
    <row r="13889" spans="1:6" x14ac:dyDescent="0.25">
      <c r="A13889" s="2" t="str">
        <f t="shared" si="491"/>
        <v>33100</v>
      </c>
      <c r="B13889" s="2" t="str">
        <f>"33434"</f>
        <v>33434</v>
      </c>
      <c r="C13889" s="1">
        <v>4.8282372460250701E-3</v>
      </c>
      <c r="D13889" s="1">
        <v>2.5196422165908701E-3</v>
      </c>
      <c r="E13889" s="1">
        <v>3.5653665916386798E-3</v>
      </c>
      <c r="F13889" s="1">
        <v>4.5171920860048297E-3</v>
      </c>
    </row>
    <row r="13890" spans="1:6" x14ac:dyDescent="0.25">
      <c r="A13890" s="2" t="str">
        <f t="shared" si="491"/>
        <v>33100</v>
      </c>
      <c r="B13890" s="2" t="str">
        <f>"33359"</f>
        <v>33359</v>
      </c>
      <c r="C13890" s="1">
        <v>1.8068607995827199E-4</v>
      </c>
      <c r="D13890" s="1">
        <v>4.1077978732021098E-4</v>
      </c>
      <c r="E13890" s="1">
        <v>9.2247518541751201E-6</v>
      </c>
      <c r="F13890" s="1">
        <v>1.9298038912971899E-4</v>
      </c>
    </row>
    <row r="13891" spans="1:6" x14ac:dyDescent="0.25">
      <c r="A13891" s="2" t="str">
        <f t="shared" si="491"/>
        <v>33100</v>
      </c>
      <c r="B13891" s="2" t="str">
        <f>"33403"</f>
        <v>33403</v>
      </c>
      <c r="C13891" s="1">
        <v>2.4241760055821902E-3</v>
      </c>
      <c r="D13891" s="1">
        <v>5.4298145126763101E-3</v>
      </c>
      <c r="E13891" s="1">
        <v>4.5247407844728896E-3</v>
      </c>
      <c r="F13891" s="1">
        <v>2.8578509355631199E-3</v>
      </c>
    </row>
    <row r="13892" spans="1:6" x14ac:dyDescent="0.25">
      <c r="A13892" s="2" t="str">
        <f t="shared" si="491"/>
        <v>33100</v>
      </c>
      <c r="B13892" s="2" t="str">
        <f>"33417"</f>
        <v>33417</v>
      </c>
      <c r="C13892" s="1">
        <v>6.6569468422246298E-3</v>
      </c>
      <c r="D13892" s="1">
        <v>1.3914442091621201E-3</v>
      </c>
      <c r="E13892" s="1">
        <v>5.0782258957234004E-3</v>
      </c>
      <c r="F13892" s="1">
        <v>6.0294038269897397E-3</v>
      </c>
    </row>
    <row r="13893" spans="1:6" x14ac:dyDescent="0.25">
      <c r="A13893" s="2" t="str">
        <f t="shared" si="491"/>
        <v>33100</v>
      </c>
      <c r="B13893" s="2" t="str">
        <f>"33414"</f>
        <v>33414</v>
      </c>
      <c r="C13893" s="1">
        <v>8.2210432349536303E-3</v>
      </c>
      <c r="D13893" s="1">
        <v>6.2629453489313897E-3</v>
      </c>
      <c r="E13893" s="1">
        <v>4.9167927382753399E-3</v>
      </c>
      <c r="F13893" s="1">
        <v>7.8167214460122102E-3</v>
      </c>
    </row>
    <row r="13894" spans="1:6" x14ac:dyDescent="0.25">
      <c r="A13894" s="2" t="str">
        <f t="shared" ref="A13894:A13918" si="492">"33100"</f>
        <v>33100</v>
      </c>
      <c r="B13894" s="2" t="str">
        <f>"33335"</f>
        <v>33335</v>
      </c>
      <c r="C13894" s="1">
        <v>4.2726535606255501E-4</v>
      </c>
      <c r="D13894" s="1">
        <v>8.8230869811735499E-4</v>
      </c>
      <c r="E13894" s="1">
        <v>9.2247518541751201E-6</v>
      </c>
      <c r="F13894" s="1">
        <v>4.4661175770020702E-4</v>
      </c>
    </row>
    <row r="13895" spans="1:6" x14ac:dyDescent="0.25">
      <c r="A13895" s="2" t="str">
        <f t="shared" si="492"/>
        <v>33100</v>
      </c>
      <c r="B13895" s="2" t="str">
        <f>"33321"</f>
        <v>33321</v>
      </c>
      <c r="C13895" s="1">
        <v>9.3599551093931001E-3</v>
      </c>
      <c r="D13895" s="1">
        <v>3.57551983892803E-3</v>
      </c>
      <c r="E13895" s="1">
        <v>4.0773403195454002E-3</v>
      </c>
      <c r="F13895" s="1">
        <v>8.4473175145518796E-3</v>
      </c>
    </row>
    <row r="13896" spans="1:6" x14ac:dyDescent="0.25">
      <c r="A13896" s="2" t="str">
        <f t="shared" si="492"/>
        <v>33100</v>
      </c>
      <c r="B13896" s="2" t="str">
        <f>"33173"</f>
        <v>33173</v>
      </c>
      <c r="C13896" s="1">
        <v>4.4731075994276304E-3</v>
      </c>
      <c r="D13896" s="1">
        <v>4.2379745663669701E-3</v>
      </c>
      <c r="E13896" s="1">
        <v>4.2433858529205499E-3</v>
      </c>
      <c r="F13896" s="1">
        <v>4.4350665970969896E-3</v>
      </c>
    </row>
    <row r="13897" spans="1:6" x14ac:dyDescent="0.25">
      <c r="A13897" s="2" t="str">
        <f t="shared" si="492"/>
        <v>33100</v>
      </c>
      <c r="B13897" s="2" t="str">
        <f>"33303"</f>
        <v>33303</v>
      </c>
      <c r="C13897" s="1">
        <v>2.5212817683236799E-4</v>
      </c>
      <c r="D13897" s="1">
        <v>4.8599298781546103E-4</v>
      </c>
      <c r="E13897" s="1">
        <v>4.61237592708756E-6</v>
      </c>
      <c r="F13897" s="1">
        <v>2.6001568219583199E-4</v>
      </c>
    </row>
    <row r="13898" spans="1:6" x14ac:dyDescent="0.25">
      <c r="A13898" s="2" t="str">
        <f t="shared" si="492"/>
        <v>33100</v>
      </c>
      <c r="B13898" s="2" t="str">
        <f>"33283"</f>
        <v>33283</v>
      </c>
      <c r="C13898" s="1">
        <v>1.1347501988934099E-3</v>
      </c>
      <c r="D13898" s="1">
        <v>1.3769801321437999E-3</v>
      </c>
      <c r="E13898" s="1">
        <v>2.3061879635437801E-5</v>
      </c>
      <c r="F13898" s="1">
        <v>1.08910586526892E-3</v>
      </c>
    </row>
    <row r="13899" spans="1:6" x14ac:dyDescent="0.25">
      <c r="A13899" s="2" t="str">
        <f t="shared" si="492"/>
        <v>33100</v>
      </c>
      <c r="B13899" s="2" t="str">
        <f>"33186"</f>
        <v>33186</v>
      </c>
      <c r="C13899" s="1">
        <v>9.2437750003988208E-3</v>
      </c>
      <c r="D13899" s="1">
        <v>1.8945048078592E-2</v>
      </c>
      <c r="E13899" s="1">
        <v>8.0024722334969094E-3</v>
      </c>
      <c r="F13899" s="1">
        <v>1.01388704291941E-2</v>
      </c>
    </row>
    <row r="13900" spans="1:6" x14ac:dyDescent="0.25">
      <c r="A13900" s="2" t="str">
        <f t="shared" si="492"/>
        <v>33100</v>
      </c>
      <c r="B13900" s="2" t="str">
        <f>"33199"</f>
        <v>33199</v>
      </c>
      <c r="C13900" s="1">
        <v>0</v>
      </c>
      <c r="D13900" s="1">
        <v>2.8928154036634599E-6</v>
      </c>
      <c r="E13900" s="1">
        <v>0</v>
      </c>
      <c r="F13900" s="1">
        <v>2.9019607387927699E-7</v>
      </c>
    </row>
    <row r="13901" spans="1:6" x14ac:dyDescent="0.25">
      <c r="A13901" s="2" t="str">
        <f t="shared" si="492"/>
        <v>33100</v>
      </c>
      <c r="B13901" s="2" t="str">
        <f>"33192"</f>
        <v>33192</v>
      </c>
      <c r="C13901" s="1">
        <v>0</v>
      </c>
      <c r="D13901" s="1">
        <v>4.0499415651288398E-5</v>
      </c>
      <c r="E13901" s="1">
        <v>4.6123759270875602E-5</v>
      </c>
      <c r="F13901" s="1">
        <v>6.9647057731026503E-6</v>
      </c>
    </row>
    <row r="13902" spans="1:6" x14ac:dyDescent="0.25">
      <c r="A13902" s="2" t="str">
        <f t="shared" si="492"/>
        <v>33100</v>
      </c>
      <c r="B13902" s="2" t="str">
        <f>"33191"</f>
        <v>33191</v>
      </c>
      <c r="C13902" s="1">
        <v>0</v>
      </c>
      <c r="D13902" s="1">
        <v>3.1820969440298E-5</v>
      </c>
      <c r="E13902" s="1">
        <v>4.61237592708756E-6</v>
      </c>
      <c r="F13902" s="1">
        <v>3.4823528865513201E-6</v>
      </c>
    </row>
    <row r="13903" spans="1:6" x14ac:dyDescent="0.25">
      <c r="A13903" s="2" t="str">
        <f t="shared" si="492"/>
        <v>33100</v>
      </c>
      <c r="B13903" s="2" t="str">
        <f>"33190"</f>
        <v>33190</v>
      </c>
      <c r="C13903" s="1">
        <v>1.8137969254928201E-3</v>
      </c>
      <c r="D13903" s="1">
        <v>5.2070677265942297E-5</v>
      </c>
      <c r="E13903" s="1">
        <v>1.5036345522305399E-3</v>
      </c>
      <c r="F13903" s="1">
        <v>1.61755291580309E-3</v>
      </c>
    </row>
    <row r="13904" spans="1:6" x14ac:dyDescent="0.25">
      <c r="A13904" s="2" t="str">
        <f t="shared" si="492"/>
        <v>33100</v>
      </c>
      <c r="B13904" s="2" t="str">
        <f>"33139"</f>
        <v>33139</v>
      </c>
      <c r="C13904" s="1">
        <v>1.1065895276983701E-2</v>
      </c>
      <c r="D13904" s="1">
        <v>1.0061211973941501E-2</v>
      </c>
      <c r="E13904" s="1">
        <v>2.03913139736541E-2</v>
      </c>
      <c r="F13904" s="1">
        <v>1.1551835112912299E-2</v>
      </c>
    </row>
    <row r="13905" spans="1:6" x14ac:dyDescent="0.25">
      <c r="A13905" s="2" t="str">
        <f t="shared" si="492"/>
        <v>33100</v>
      </c>
      <c r="B13905" s="2" t="str">
        <f>"33146"</f>
        <v>33146</v>
      </c>
      <c r="C13905" s="1">
        <v>2.0735548408263101E-3</v>
      </c>
      <c r="D13905" s="1">
        <v>4.40865067518311E-3</v>
      </c>
      <c r="E13905" s="1">
        <v>2.1124681746061001E-3</v>
      </c>
      <c r="F13905" s="1">
        <v>2.3102509441529201E-3</v>
      </c>
    </row>
    <row r="13906" spans="1:6" x14ac:dyDescent="0.25">
      <c r="A13906" s="2" t="str">
        <f t="shared" si="492"/>
        <v>33100</v>
      </c>
      <c r="B13906" s="2" t="str">
        <f>"33152"</f>
        <v>33152</v>
      </c>
      <c r="C13906" s="1">
        <v>9.2493239011269101E-4</v>
      </c>
      <c r="D13906" s="1">
        <v>2.8262806493792002E-3</v>
      </c>
      <c r="E13906" s="1">
        <v>2.3061879635437801E-5</v>
      </c>
      <c r="F13906" s="1">
        <v>1.0589254735854799E-3</v>
      </c>
    </row>
    <row r="13907" spans="1:6" x14ac:dyDescent="0.25">
      <c r="A13907" s="2" t="str">
        <f t="shared" si="492"/>
        <v>33100</v>
      </c>
      <c r="B13907" s="2" t="str">
        <f>"33063"</f>
        <v>33063</v>
      </c>
      <c r="C13907" s="1">
        <v>9.00690630056869E-3</v>
      </c>
      <c r="D13907" s="1">
        <v>7.3998218025711302E-3</v>
      </c>
      <c r="E13907" s="1">
        <v>8.7127781262683994E-3</v>
      </c>
      <c r="F13907" s="1">
        <v>8.8271841752598501E-3</v>
      </c>
    </row>
    <row r="13908" spans="1:6" x14ac:dyDescent="0.25">
      <c r="A13908" s="2" t="str">
        <f t="shared" si="492"/>
        <v>33100</v>
      </c>
      <c r="B13908" s="2" t="str">
        <f>"33056"</f>
        <v>33056</v>
      </c>
      <c r="C13908" s="1">
        <v>4.0357848607954199E-3</v>
      </c>
      <c r="D13908" s="1">
        <v>1.7009754573541101E-3</v>
      </c>
      <c r="E13908" s="1">
        <v>1.31452713921995E-3</v>
      </c>
      <c r="F13908" s="1">
        <v>3.6303528842297501E-3</v>
      </c>
    </row>
    <row r="13909" spans="1:6" x14ac:dyDescent="0.25">
      <c r="A13909" s="2" t="str">
        <f t="shared" si="492"/>
        <v>33100</v>
      </c>
      <c r="B13909" s="2" t="str">
        <f>"33134"</f>
        <v>33134</v>
      </c>
      <c r="C13909" s="1">
        <v>6.2726854668047399E-3</v>
      </c>
      <c r="D13909" s="1">
        <v>1.2901956700338999E-2</v>
      </c>
      <c r="E13909" s="1">
        <v>1.2517988266115601E-2</v>
      </c>
      <c r="F13909" s="1">
        <v>7.3306430222644199E-3</v>
      </c>
    </row>
    <row r="13910" spans="1:6" x14ac:dyDescent="0.25">
      <c r="A13910" s="2" t="str">
        <f t="shared" si="492"/>
        <v>33100</v>
      </c>
      <c r="B13910" s="2" t="str">
        <f>"33112"</f>
        <v>33112</v>
      </c>
      <c r="C13910" s="1">
        <v>0</v>
      </c>
      <c r="D13910" s="1">
        <v>2.8928154036634599E-6</v>
      </c>
      <c r="E13910" s="1">
        <v>0</v>
      </c>
      <c r="F13910" s="1">
        <v>2.9019607387927699E-7</v>
      </c>
    </row>
    <row r="13911" spans="1:6" x14ac:dyDescent="0.25">
      <c r="A13911" s="2" t="str">
        <f t="shared" si="492"/>
        <v>33100</v>
      </c>
      <c r="B13911" s="2" t="str">
        <f>"33034"</f>
        <v>33034</v>
      </c>
      <c r="C13911" s="1">
        <v>2.8954857611739201E-3</v>
      </c>
      <c r="D13911" s="1">
        <v>2.6903183254070101E-3</v>
      </c>
      <c r="E13911" s="1">
        <v>2.61982952658573E-3</v>
      </c>
      <c r="F13911" s="1">
        <v>2.8575607394892401E-3</v>
      </c>
    </row>
    <row r="13912" spans="1:6" x14ac:dyDescent="0.25">
      <c r="A13912" s="2" t="str">
        <f t="shared" si="492"/>
        <v>33100</v>
      </c>
      <c r="B13912" s="2" t="str">
        <f>"33033"</f>
        <v>33033</v>
      </c>
      <c r="C13912" s="1">
        <v>7.4955244647564997E-3</v>
      </c>
      <c r="D13912" s="1">
        <v>2.3431804769673999E-3</v>
      </c>
      <c r="E13912" s="1">
        <v>4.4555551455665804E-3</v>
      </c>
      <c r="F13912" s="1">
        <v>6.7873959719624097E-3</v>
      </c>
    </row>
    <row r="13913" spans="1:6" x14ac:dyDescent="0.25">
      <c r="A13913" s="2" t="str">
        <f t="shared" si="492"/>
        <v>33100</v>
      </c>
      <c r="B13913" s="2" t="str">
        <f>"33032"</f>
        <v>33032</v>
      </c>
      <c r="C13913" s="1">
        <v>6.33476379370019E-3</v>
      </c>
      <c r="D13913" s="1">
        <v>2.4357505698846299E-3</v>
      </c>
      <c r="E13913" s="1">
        <v>3.0856794952215699E-3</v>
      </c>
      <c r="F13913" s="1">
        <v>5.7392077531104599E-3</v>
      </c>
    </row>
    <row r="13914" spans="1:6" x14ac:dyDescent="0.25">
      <c r="A13914" s="2" t="str">
        <f t="shared" si="492"/>
        <v>33100</v>
      </c>
      <c r="B13914" s="2" t="str">
        <f>"33015"</f>
        <v>33015</v>
      </c>
      <c r="C13914" s="1">
        <v>8.33236805581084E-3</v>
      </c>
      <c r="D13914" s="1">
        <v>3.47716411520348E-3</v>
      </c>
      <c r="E13914" s="1">
        <v>8.32995092432013E-3</v>
      </c>
      <c r="F13914" s="1">
        <v>7.8451606612523796E-3</v>
      </c>
    </row>
    <row r="13915" spans="1:6" x14ac:dyDescent="0.25">
      <c r="A13915" s="2" t="str">
        <f t="shared" si="492"/>
        <v>33100</v>
      </c>
      <c r="B13915" s="2" t="str">
        <f>"33012"</f>
        <v>33012</v>
      </c>
      <c r="C13915" s="1">
        <v>9.2108284023258193E-3</v>
      </c>
      <c r="D13915" s="1">
        <v>1.14410849214889E-2</v>
      </c>
      <c r="E13915" s="1">
        <v>7.3152282203608702E-3</v>
      </c>
      <c r="F13915" s="1">
        <v>9.3152939715248004E-3</v>
      </c>
    </row>
    <row r="13916" spans="1:6" x14ac:dyDescent="0.25">
      <c r="A13916" s="2" t="str">
        <f t="shared" si="492"/>
        <v>33100</v>
      </c>
      <c r="B13916" s="2" t="str">
        <f>"33025"</f>
        <v>33025</v>
      </c>
      <c r="C13916" s="1">
        <v>1.05647601799785E-2</v>
      </c>
      <c r="D13916" s="1">
        <v>4.64586153828351E-3</v>
      </c>
      <c r="E13916" s="1">
        <v>8.28843954097634E-3</v>
      </c>
      <c r="F13916" s="1">
        <v>9.8277802379956002E-3</v>
      </c>
    </row>
    <row r="13917" spans="1:6" x14ac:dyDescent="0.25">
      <c r="A13917" s="2" t="str">
        <f t="shared" si="492"/>
        <v>33100</v>
      </c>
      <c r="B13917" s="2" t="str">
        <f>"33024"</f>
        <v>33024</v>
      </c>
      <c r="C13917" s="1">
        <v>9.6353193080243298E-3</v>
      </c>
      <c r="D13917" s="1">
        <v>8.0449196375880806E-3</v>
      </c>
      <c r="E13917" s="1">
        <v>6.0007010811409097E-3</v>
      </c>
      <c r="F13917" s="1">
        <v>9.2470978941631699E-3</v>
      </c>
    </row>
    <row r="13918" spans="1:6" x14ac:dyDescent="0.25">
      <c r="A13918" s="2" t="str">
        <f t="shared" si="492"/>
        <v>33100</v>
      </c>
      <c r="B13918" s="2" t="str">
        <f>"33016"</f>
        <v>33016</v>
      </c>
      <c r="C13918" s="1">
        <v>5.9158217887297602E-3</v>
      </c>
      <c r="D13918" s="1">
        <v>1.2589532636743299E-2</v>
      </c>
      <c r="E13918" s="1">
        <v>9.4738201542378508E-3</v>
      </c>
      <c r="F13918" s="1">
        <v>6.8091606775033597E-3</v>
      </c>
    </row>
    <row r="13919" spans="1:6" x14ac:dyDescent="0.25">
      <c r="A13919" s="2" t="str">
        <f t="shared" ref="A13919:A13925" si="493">"17500"</f>
        <v>17500</v>
      </c>
      <c r="B13919" s="2" t="str">
        <f>"33936"</f>
        <v>33936</v>
      </c>
      <c r="C13919" s="1">
        <v>1.5003750937734399E-3</v>
      </c>
      <c r="D13919" s="1">
        <v>2.15982721382289E-3</v>
      </c>
      <c r="E13919" s="1">
        <v>0</v>
      </c>
      <c r="F13919" s="1">
        <v>1.50227932034811E-3</v>
      </c>
    </row>
    <row r="13920" spans="1:6" x14ac:dyDescent="0.25">
      <c r="A13920" s="2" t="str">
        <f t="shared" si="493"/>
        <v>17500</v>
      </c>
      <c r="B13920" s="2" t="str">
        <f>"33440"</f>
        <v>33440</v>
      </c>
      <c r="C13920" s="1">
        <v>0.48173581857002701</v>
      </c>
      <c r="D13920" s="1">
        <v>0.45428365730741499</v>
      </c>
      <c r="E13920" s="1">
        <v>0.78327645051194505</v>
      </c>
      <c r="F13920" s="1">
        <v>0.48891421467053398</v>
      </c>
    </row>
    <row r="13921" spans="1:6" x14ac:dyDescent="0.25">
      <c r="A13921" s="2" t="str">
        <f t="shared" si="493"/>
        <v>17500</v>
      </c>
      <c r="B13921" s="2" t="str">
        <f>"33930"</f>
        <v>33930</v>
      </c>
      <c r="C13921" s="1">
        <v>0</v>
      </c>
      <c r="D13921" s="1">
        <v>0</v>
      </c>
      <c r="E13921" s="1">
        <v>1.7064846416382201E-3</v>
      </c>
      <c r="F13921" s="1">
        <v>5.1802735184417701E-5</v>
      </c>
    </row>
    <row r="13922" spans="1:6" x14ac:dyDescent="0.25">
      <c r="A13922" s="2" t="str">
        <f t="shared" si="493"/>
        <v>17500</v>
      </c>
      <c r="B13922" s="2" t="str">
        <f>"34142"</f>
        <v>34142</v>
      </c>
      <c r="C13922" s="1">
        <v>6.0015003750937702E-3</v>
      </c>
      <c r="D13922" s="1">
        <v>5.75953923686105E-3</v>
      </c>
      <c r="E13922" s="1">
        <v>8.5324232081911196E-3</v>
      </c>
      <c r="F13922" s="1">
        <v>6.0609200165768701E-3</v>
      </c>
    </row>
    <row r="13923" spans="1:6" x14ac:dyDescent="0.25">
      <c r="A13923" s="2" t="str">
        <f t="shared" si="493"/>
        <v>17500</v>
      </c>
      <c r="B13923" s="2" t="str">
        <f>"33975"</f>
        <v>33975</v>
      </c>
      <c r="C13923" s="1">
        <v>0.13093658029892</v>
      </c>
      <c r="D13923" s="1">
        <v>0.16198704103671699</v>
      </c>
      <c r="E13923" s="1">
        <v>3.4129692832764501E-3</v>
      </c>
      <c r="F13923" s="1">
        <v>0.12929962702030601</v>
      </c>
    </row>
    <row r="13924" spans="1:6" x14ac:dyDescent="0.25">
      <c r="A13924" s="2" t="str">
        <f t="shared" si="493"/>
        <v>17500</v>
      </c>
      <c r="B13924" s="2" t="str">
        <f>"33935"</f>
        <v>33935</v>
      </c>
      <c r="C13924" s="1">
        <v>0.37907553811529798</v>
      </c>
      <c r="D13924" s="1">
        <v>0.37580993520518302</v>
      </c>
      <c r="E13924" s="1">
        <v>0.19112627986348099</v>
      </c>
      <c r="F13924" s="1">
        <v>0.37313510153335999</v>
      </c>
    </row>
    <row r="13925" spans="1:6" x14ac:dyDescent="0.25">
      <c r="A13925" s="2" t="str">
        <f t="shared" si="493"/>
        <v>17500</v>
      </c>
      <c r="B13925" s="2" t="str">
        <f>"33471"</f>
        <v>33471</v>
      </c>
      <c r="C13925" s="1">
        <v>7.5018754688672095E-4</v>
      </c>
      <c r="D13925" s="1">
        <v>0</v>
      </c>
      <c r="E13925" s="1">
        <v>1.1945392491467499E-2</v>
      </c>
      <c r="F13925" s="1">
        <v>1.03605470368835E-3</v>
      </c>
    </row>
    <row r="13926" spans="1:6" x14ac:dyDescent="0.25">
      <c r="A13926" s="2" t="str">
        <f t="shared" ref="A13926:A13989" si="494">"45300"</f>
        <v>45300</v>
      </c>
      <c r="B13926" s="2" t="str">
        <f>"34697"</f>
        <v>34697</v>
      </c>
      <c r="C13926" s="1">
        <v>1.0029303983724099E-3</v>
      </c>
      <c r="D13926" s="1">
        <v>2.8943560057887101E-3</v>
      </c>
      <c r="E13926" s="1">
        <v>2.5911770421714E-5</v>
      </c>
      <c r="F13926" s="1">
        <v>1.1217696133047001E-3</v>
      </c>
    </row>
    <row r="13927" spans="1:6" x14ac:dyDescent="0.25">
      <c r="A13927" s="2" t="str">
        <f t="shared" si="494"/>
        <v>45300</v>
      </c>
      <c r="B13927" s="2" t="str">
        <f>"34695"</f>
        <v>34695</v>
      </c>
      <c r="C13927" s="1">
        <v>6.0337586869824303E-3</v>
      </c>
      <c r="D13927" s="1">
        <v>7.8790802379803803E-3</v>
      </c>
      <c r="E13927" s="1">
        <v>5.4803394441925203E-3</v>
      </c>
      <c r="F13927" s="1">
        <v>6.1664719149976902E-3</v>
      </c>
    </row>
    <row r="13928" spans="1:6" x14ac:dyDescent="0.25">
      <c r="A13928" s="2" t="str">
        <f t="shared" si="494"/>
        <v>45300</v>
      </c>
      <c r="B13928" s="2" t="str">
        <f>"34684"</f>
        <v>34684</v>
      </c>
      <c r="C13928" s="1">
        <v>9.1819149002358002E-3</v>
      </c>
      <c r="D13928" s="1">
        <v>7.8919440424505497E-3</v>
      </c>
      <c r="E13928" s="1">
        <v>1.1919414393988401E-2</v>
      </c>
      <c r="F13928" s="1">
        <v>9.1877496671105095E-3</v>
      </c>
    </row>
    <row r="13929" spans="1:6" x14ac:dyDescent="0.25">
      <c r="A13929" s="2" t="str">
        <f t="shared" si="494"/>
        <v>45300</v>
      </c>
      <c r="B13929" s="2" t="str">
        <f>"34637"</f>
        <v>34637</v>
      </c>
      <c r="C13929" s="1">
        <v>2.3685831430544499E-3</v>
      </c>
      <c r="D13929" s="1">
        <v>2.31548480463096E-4</v>
      </c>
      <c r="E13929" s="1">
        <v>6.2188249012113696E-4</v>
      </c>
      <c r="F13929" s="1">
        <v>2.1147313785700602E-3</v>
      </c>
    </row>
    <row r="13930" spans="1:6" x14ac:dyDescent="0.25">
      <c r="A13930" s="2" t="str">
        <f t="shared" si="494"/>
        <v>45300</v>
      </c>
      <c r="B13930" s="2" t="str">
        <f>"34614"</f>
        <v>34614</v>
      </c>
      <c r="C13930" s="1">
        <v>2.1159840476827401E-3</v>
      </c>
      <c r="D13930" s="1">
        <v>3.0873130728412899E-4</v>
      </c>
      <c r="E13930" s="1">
        <v>1.2955885210857E-5</v>
      </c>
      <c r="F13930" s="1">
        <v>1.8750509524715301E-3</v>
      </c>
    </row>
    <row r="13931" spans="1:6" x14ac:dyDescent="0.25">
      <c r="A13931" s="2" t="str">
        <f t="shared" si="494"/>
        <v>45300</v>
      </c>
      <c r="B13931" s="2" t="str">
        <f>"33809"</f>
        <v>33809</v>
      </c>
      <c r="C13931" s="1">
        <v>6.2216525953623803E-6</v>
      </c>
      <c r="D13931" s="1">
        <v>0</v>
      </c>
      <c r="E13931" s="1">
        <v>0</v>
      </c>
      <c r="F13931" s="1">
        <v>5.43493029701894E-6</v>
      </c>
    </row>
    <row r="13932" spans="1:6" x14ac:dyDescent="0.25">
      <c r="A13932" s="2" t="str">
        <f t="shared" si="494"/>
        <v>45300</v>
      </c>
      <c r="B13932" s="2" t="str">
        <f>"33708"</f>
        <v>33708</v>
      </c>
      <c r="C13932" s="1">
        <v>8.1702741882298709E-3</v>
      </c>
      <c r="D13932" s="1">
        <v>6.3225598970895599E-3</v>
      </c>
      <c r="E13932" s="1">
        <v>1.52102092375461E-2</v>
      </c>
      <c r="F13932" s="1">
        <v>8.3094649311122506E-3</v>
      </c>
    </row>
    <row r="13933" spans="1:6" x14ac:dyDescent="0.25">
      <c r="A13933" s="2" t="str">
        <f t="shared" si="494"/>
        <v>45300</v>
      </c>
      <c r="B13933" s="2" t="str">
        <f>"33709"</f>
        <v>33709</v>
      </c>
      <c r="C13933" s="1">
        <v>9.0693029882597392E-3</v>
      </c>
      <c r="D13933" s="1">
        <v>6.7470654446052398E-3</v>
      </c>
      <c r="E13933" s="1">
        <v>9.7557815637753405E-3</v>
      </c>
      <c r="F13933" s="1">
        <v>8.9018723334873193E-3</v>
      </c>
    </row>
    <row r="13934" spans="1:6" x14ac:dyDescent="0.25">
      <c r="A13934" s="2" t="str">
        <f t="shared" si="494"/>
        <v>45300</v>
      </c>
      <c r="B13934" s="2" t="str">
        <f>"33779"</f>
        <v>33779</v>
      </c>
      <c r="C13934" s="1">
        <v>1.1485170691038901E-3</v>
      </c>
      <c r="D13934" s="1">
        <v>3.28027013989387E-3</v>
      </c>
      <c r="E13934" s="1">
        <v>2.5911770421714E-5</v>
      </c>
      <c r="F13934" s="1">
        <v>1.28155656403706E-3</v>
      </c>
    </row>
    <row r="13935" spans="1:6" x14ac:dyDescent="0.25">
      <c r="A13935" s="2" t="str">
        <f t="shared" si="494"/>
        <v>45300</v>
      </c>
      <c r="B13935" s="2" t="str">
        <f>"33703"</f>
        <v>33703</v>
      </c>
      <c r="C13935" s="1">
        <v>7.6022373062732901E-3</v>
      </c>
      <c r="D13935" s="1">
        <v>2.3026210001607901E-3</v>
      </c>
      <c r="E13935" s="1">
        <v>3.3685301548228202E-3</v>
      </c>
      <c r="F13935" s="1">
        <v>6.9768200222832099E-3</v>
      </c>
    </row>
    <row r="13936" spans="1:6" x14ac:dyDescent="0.25">
      <c r="A13936" s="2" t="str">
        <f t="shared" si="494"/>
        <v>45300</v>
      </c>
      <c r="B13936" s="2" t="str">
        <f>"33681"</f>
        <v>33681</v>
      </c>
      <c r="C13936" s="1">
        <v>7.0366890853548498E-4</v>
      </c>
      <c r="D13936" s="1">
        <v>2.3347805113362202E-3</v>
      </c>
      <c r="E13936" s="1">
        <v>2.5911770421714E-5</v>
      </c>
      <c r="F13936" s="1">
        <v>8.1306557243403298E-4</v>
      </c>
    </row>
    <row r="13937" spans="1:6" x14ac:dyDescent="0.25">
      <c r="A13937" s="2" t="str">
        <f t="shared" si="494"/>
        <v>45300</v>
      </c>
      <c r="B13937" s="2" t="str">
        <f>"33734"</f>
        <v>33734</v>
      </c>
      <c r="C13937" s="1">
        <v>5.3319562742255497E-4</v>
      </c>
      <c r="D13937" s="1">
        <v>2.0903682264029502E-3</v>
      </c>
      <c r="E13937" s="1">
        <v>2.5911770421714E-5</v>
      </c>
      <c r="F13937" s="1">
        <v>6.43495747167042E-4</v>
      </c>
    </row>
    <row r="13938" spans="1:6" x14ac:dyDescent="0.25">
      <c r="A13938" s="2" t="str">
        <f t="shared" si="494"/>
        <v>45300</v>
      </c>
      <c r="B13938" s="2" t="str">
        <f>"33637"</f>
        <v>33637</v>
      </c>
      <c r="C13938" s="1">
        <v>4.9810550678471201E-3</v>
      </c>
      <c r="D13938" s="1">
        <v>3.79482231870075E-3</v>
      </c>
      <c r="E13938" s="1">
        <v>6.3742955237416502E-3</v>
      </c>
      <c r="F13938" s="1">
        <v>4.9392646539308102E-3</v>
      </c>
    </row>
    <row r="13939" spans="1:6" x14ac:dyDescent="0.25">
      <c r="A13939" s="2" t="str">
        <f t="shared" si="494"/>
        <v>45300</v>
      </c>
      <c r="B13939" s="2" t="str">
        <f>"33634"</f>
        <v>33634</v>
      </c>
      <c r="C13939" s="1">
        <v>5.1876139340131496E-3</v>
      </c>
      <c r="D13939" s="1">
        <v>1.49863322077504E-2</v>
      </c>
      <c r="E13939" s="1">
        <v>8.5508842391656403E-3</v>
      </c>
      <c r="F13939" s="1">
        <v>6.1566890404630504E-3</v>
      </c>
    </row>
    <row r="13940" spans="1:6" x14ac:dyDescent="0.25">
      <c r="A13940" s="2" t="str">
        <f t="shared" si="494"/>
        <v>45300</v>
      </c>
      <c r="B13940" s="2" t="str">
        <f>"33601"</f>
        <v>33601</v>
      </c>
      <c r="C13940" s="1">
        <v>5.5932656832307704E-4</v>
      </c>
      <c r="D13940" s="1">
        <v>2.2190062711046699E-3</v>
      </c>
      <c r="E13940" s="1">
        <v>2.5911770421714E-5</v>
      </c>
      <c r="F13940" s="1">
        <v>6.7719231500856E-4</v>
      </c>
    </row>
    <row r="13941" spans="1:6" x14ac:dyDescent="0.25">
      <c r="A13941" s="2" t="str">
        <f t="shared" si="494"/>
        <v>45300</v>
      </c>
      <c r="B13941" s="2" t="str">
        <f>"33579"</f>
        <v>33579</v>
      </c>
      <c r="C13941" s="1">
        <v>8.6723615526756205E-3</v>
      </c>
      <c r="D13941" s="1">
        <v>1.27994854478211E-3</v>
      </c>
      <c r="E13941" s="1">
        <v>5.1823540843428103E-5</v>
      </c>
      <c r="F13941" s="1">
        <v>7.6860784260441798E-3</v>
      </c>
    </row>
    <row r="13942" spans="1:6" x14ac:dyDescent="0.25">
      <c r="A13942" s="2" t="str">
        <f t="shared" si="494"/>
        <v>45300</v>
      </c>
      <c r="B13942" s="2" t="str">
        <f>"33572"</f>
        <v>33572</v>
      </c>
      <c r="C13942" s="1">
        <v>6.62668217932047E-3</v>
      </c>
      <c r="D13942" s="1">
        <v>4.0328027013989296E-3</v>
      </c>
      <c r="E13942" s="1">
        <v>1.51583856967027E-3</v>
      </c>
      <c r="F13942" s="1">
        <v>6.1931030734530797E-3</v>
      </c>
    </row>
    <row r="13943" spans="1:6" x14ac:dyDescent="0.25">
      <c r="A13943" s="2" t="str">
        <f t="shared" si="494"/>
        <v>45300</v>
      </c>
      <c r="B13943" s="2" t="str">
        <f>"33618"</f>
        <v>33618</v>
      </c>
      <c r="C13943" s="1">
        <v>7.7621337779741001E-3</v>
      </c>
      <c r="D13943" s="1">
        <v>1.0683389612477801E-2</v>
      </c>
      <c r="E13943" s="1">
        <v>1.07274729545896E-2</v>
      </c>
      <c r="F13943" s="1">
        <v>8.1333731894888406E-3</v>
      </c>
    </row>
    <row r="13944" spans="1:6" x14ac:dyDescent="0.25">
      <c r="A13944" s="2" t="str">
        <f t="shared" si="494"/>
        <v>45300</v>
      </c>
      <c r="B13944" s="2" t="str">
        <f>"33619"</f>
        <v>33619</v>
      </c>
      <c r="C13944" s="1">
        <v>9.67280329000989E-3</v>
      </c>
      <c r="D13944" s="1">
        <v>2.4987940183309201E-2</v>
      </c>
      <c r="E13944" s="1">
        <v>2.11051370084861E-2</v>
      </c>
      <c r="F13944" s="1">
        <v>1.14465066985515E-2</v>
      </c>
    </row>
    <row r="13945" spans="1:6" x14ac:dyDescent="0.25">
      <c r="A13945" s="2" t="str">
        <f t="shared" si="494"/>
        <v>45300</v>
      </c>
      <c r="B13945" s="2" t="str">
        <f>"33614"</f>
        <v>33614</v>
      </c>
      <c r="C13945" s="1">
        <v>1.2988944123338E-2</v>
      </c>
      <c r="D13945" s="1">
        <v>1.6909470976041101E-2</v>
      </c>
      <c r="E13945" s="1">
        <v>3.4592213512988197E-2</v>
      </c>
      <c r="F13945" s="1">
        <v>1.42264735454767E-2</v>
      </c>
    </row>
    <row r="13946" spans="1:6" x14ac:dyDescent="0.25">
      <c r="A13946" s="2" t="str">
        <f t="shared" si="494"/>
        <v>45300</v>
      </c>
      <c r="B13946" s="2" t="str">
        <f>"33604"</f>
        <v>33604</v>
      </c>
      <c r="C13946" s="1">
        <v>1.0393892825812301E-2</v>
      </c>
      <c r="D13946" s="1">
        <v>9.73146808168515E-3</v>
      </c>
      <c r="E13946" s="1">
        <v>2.1636328302131198E-2</v>
      </c>
      <c r="F13946" s="1">
        <v>1.08095328677409E-2</v>
      </c>
    </row>
    <row r="13947" spans="1:6" x14ac:dyDescent="0.25">
      <c r="A13947" s="2" t="str">
        <f t="shared" si="494"/>
        <v>45300</v>
      </c>
      <c r="B13947" s="2" t="str">
        <f>"33607"</f>
        <v>33607</v>
      </c>
      <c r="C13947" s="1">
        <v>8.2244025658095299E-3</v>
      </c>
      <c r="D13947" s="1">
        <v>2.1829876185881902E-2</v>
      </c>
      <c r="E13947" s="1">
        <v>1.42385178467318E-2</v>
      </c>
      <c r="F13947" s="1">
        <v>9.6263485420799398E-3</v>
      </c>
    </row>
    <row r="13948" spans="1:6" x14ac:dyDescent="0.25">
      <c r="A13948" s="2" t="str">
        <f t="shared" si="494"/>
        <v>45300</v>
      </c>
      <c r="B13948" s="2" t="str">
        <f>"33508"</f>
        <v>33508</v>
      </c>
      <c r="C13948" s="1">
        <v>4.2742753330139499E-4</v>
      </c>
      <c r="D13948" s="1">
        <v>1.4729056118346999E-3</v>
      </c>
      <c r="E13948" s="1">
        <v>2.5911770421714E-5</v>
      </c>
      <c r="F13948" s="1">
        <v>4.9892660126633795E-4</v>
      </c>
    </row>
    <row r="13949" spans="1:6" x14ac:dyDescent="0.25">
      <c r="A13949" s="2" t="str">
        <f t="shared" si="494"/>
        <v>45300</v>
      </c>
      <c r="B13949" s="2" t="str">
        <f>"33503"</f>
        <v>33503</v>
      </c>
      <c r="C13949" s="1">
        <v>0</v>
      </c>
      <c r="D13949" s="1">
        <v>0</v>
      </c>
      <c r="E13949" s="1">
        <v>1.2955885210857E-5</v>
      </c>
      <c r="F13949" s="1">
        <v>5.4349302970189404E-7</v>
      </c>
    </row>
    <row r="13950" spans="1:6" x14ac:dyDescent="0.25">
      <c r="A13950" s="2" t="str">
        <f t="shared" si="494"/>
        <v>45300</v>
      </c>
      <c r="B13950" s="2" t="str">
        <f>"34692"</f>
        <v>34692</v>
      </c>
      <c r="C13950" s="1">
        <v>4.3987083849212E-4</v>
      </c>
      <c r="D13950" s="1">
        <v>9.5835343302781695E-4</v>
      </c>
      <c r="E13950" s="1">
        <v>2.5911770421714E-5</v>
      </c>
      <c r="F13950" s="1">
        <v>4.66317019484225E-4</v>
      </c>
    </row>
    <row r="13951" spans="1:6" x14ac:dyDescent="0.25">
      <c r="A13951" s="2" t="str">
        <f t="shared" si="494"/>
        <v>45300</v>
      </c>
      <c r="B13951" s="2" t="str">
        <f>"34689"</f>
        <v>34689</v>
      </c>
      <c r="C13951" s="1">
        <v>9.0220184285349798E-3</v>
      </c>
      <c r="D13951" s="1">
        <v>1.3024602026049201E-2</v>
      </c>
      <c r="E13951" s="1">
        <v>8.9395607954913508E-3</v>
      </c>
      <c r="F13951" s="1">
        <v>9.3567759993478002E-3</v>
      </c>
    </row>
    <row r="13952" spans="1:6" x14ac:dyDescent="0.25">
      <c r="A13952" s="2" t="str">
        <f t="shared" si="494"/>
        <v>45300</v>
      </c>
      <c r="B13952" s="2" t="str">
        <f>"34683"</f>
        <v>34683</v>
      </c>
      <c r="C13952" s="1">
        <v>9.3573655034250094E-3</v>
      </c>
      <c r="D13952" s="1">
        <v>5.1455217880688204E-3</v>
      </c>
      <c r="E13952" s="1">
        <v>9.8335168750404798E-3</v>
      </c>
      <c r="F13952" s="1">
        <v>9.0214408000217298E-3</v>
      </c>
    </row>
    <row r="13953" spans="1:6" x14ac:dyDescent="0.25">
      <c r="A13953" s="2" t="str">
        <f t="shared" si="494"/>
        <v>45300</v>
      </c>
      <c r="B13953" s="2" t="str">
        <f>"34668"</f>
        <v>34668</v>
      </c>
      <c r="C13953" s="1">
        <v>1.4950009021396199E-2</v>
      </c>
      <c r="D13953" s="1">
        <v>1.1680334458916201E-2</v>
      </c>
      <c r="E13953" s="1">
        <v>1.11938848221804E-2</v>
      </c>
      <c r="F13953" s="1">
        <v>1.45161553303078E-2</v>
      </c>
    </row>
    <row r="13954" spans="1:6" x14ac:dyDescent="0.25">
      <c r="A13954" s="2" t="str">
        <f t="shared" si="494"/>
        <v>45300</v>
      </c>
      <c r="B13954" s="2" t="str">
        <f>"34638"</f>
        <v>34638</v>
      </c>
      <c r="C13954" s="1">
        <v>7.6103254546472602E-3</v>
      </c>
      <c r="D13954" s="1">
        <v>3.4089081845955901E-3</v>
      </c>
      <c r="E13954" s="1">
        <v>2.7984712055451099E-3</v>
      </c>
      <c r="F13954" s="1">
        <v>7.0534525394711804E-3</v>
      </c>
    </row>
    <row r="13955" spans="1:6" x14ac:dyDescent="0.25">
      <c r="A13955" s="2" t="str">
        <f t="shared" si="494"/>
        <v>45300</v>
      </c>
      <c r="B13955" s="2" t="str">
        <f>"34604"</f>
        <v>34604</v>
      </c>
      <c r="C13955" s="1">
        <v>3.5133672206011301E-3</v>
      </c>
      <c r="D13955" s="1">
        <v>3.20951921530792E-3</v>
      </c>
      <c r="E13955" s="1">
        <v>1.16602966897713E-4</v>
      </c>
      <c r="F13955" s="1">
        <v>3.3451995978151499E-3</v>
      </c>
    </row>
    <row r="13956" spans="1:6" x14ac:dyDescent="0.25">
      <c r="A13956" s="2" t="str">
        <f t="shared" si="494"/>
        <v>45300</v>
      </c>
      <c r="B13956" s="2" t="str">
        <f>"33849"</f>
        <v>33849</v>
      </c>
      <c r="C13956" s="1">
        <v>1.6176296747942099E-5</v>
      </c>
      <c r="D13956" s="1">
        <v>0</v>
      </c>
      <c r="E13956" s="1">
        <v>0</v>
      </c>
      <c r="F13956" s="1">
        <v>1.4130818772249201E-5</v>
      </c>
    </row>
    <row r="13957" spans="1:6" x14ac:dyDescent="0.25">
      <c r="A13957" s="2" t="str">
        <f t="shared" si="494"/>
        <v>45300</v>
      </c>
      <c r="B13957" s="2" t="str">
        <f>"33711"</f>
        <v>33711</v>
      </c>
      <c r="C13957" s="1">
        <v>5.7662276253818501E-3</v>
      </c>
      <c r="D13957" s="1">
        <v>4.4187168355041004E-3</v>
      </c>
      <c r="E13957" s="1">
        <v>7.9937811750987794E-3</v>
      </c>
      <c r="F13957" s="1">
        <v>5.7458083100084198E-3</v>
      </c>
    </row>
    <row r="13958" spans="1:6" x14ac:dyDescent="0.25">
      <c r="A13958" s="2" t="str">
        <f t="shared" si="494"/>
        <v>45300</v>
      </c>
      <c r="B13958" s="2" t="str">
        <f>"33774"</f>
        <v>33774</v>
      </c>
      <c r="C13958" s="1">
        <v>6.2216525953623803E-3</v>
      </c>
      <c r="D13958" s="1">
        <v>3.8269818298761801E-3</v>
      </c>
      <c r="E13958" s="1">
        <v>4.39204508648053E-3</v>
      </c>
      <c r="F13958" s="1">
        <v>5.9425527867604999E-3</v>
      </c>
    </row>
    <row r="13959" spans="1:6" x14ac:dyDescent="0.25">
      <c r="A13959" s="2" t="str">
        <f t="shared" si="494"/>
        <v>45300</v>
      </c>
      <c r="B13959" s="2" t="str">
        <f>"33764"</f>
        <v>33764</v>
      </c>
      <c r="C13959" s="1">
        <v>9.5608135432933596E-3</v>
      </c>
      <c r="D13959" s="1">
        <v>6.2003537546229202E-3</v>
      </c>
      <c r="E13959" s="1">
        <v>5.4414717885599498E-3</v>
      </c>
      <c r="F13959" s="1">
        <v>9.1040517405364205E-3</v>
      </c>
    </row>
    <row r="13960" spans="1:6" x14ac:dyDescent="0.25">
      <c r="A13960" s="2" t="str">
        <f t="shared" si="494"/>
        <v>45300</v>
      </c>
      <c r="B13960" s="2" t="str">
        <f>"33765"</f>
        <v>33765</v>
      </c>
      <c r="C13960" s="1">
        <v>4.3340031979294301E-3</v>
      </c>
      <c r="D13960" s="1">
        <v>1.23749799003055E-2</v>
      </c>
      <c r="E13960" s="1">
        <v>6.8536632765433597E-3</v>
      </c>
      <c r="F13960" s="1">
        <v>5.1191608467621398E-3</v>
      </c>
    </row>
    <row r="13961" spans="1:6" x14ac:dyDescent="0.25">
      <c r="A13961" s="2" t="str">
        <f t="shared" si="494"/>
        <v>45300</v>
      </c>
      <c r="B13961" s="2" t="str">
        <f>"33687"</f>
        <v>33687</v>
      </c>
      <c r="C13961" s="1">
        <v>1.34138829956012E-3</v>
      </c>
      <c r="D13961" s="1">
        <v>3.0101302460202599E-3</v>
      </c>
      <c r="E13961" s="1">
        <v>2.5911770421714E-5</v>
      </c>
      <c r="F13961" s="1">
        <v>1.42721269599717E-3</v>
      </c>
    </row>
    <row r="13962" spans="1:6" x14ac:dyDescent="0.25">
      <c r="A13962" s="2" t="str">
        <f t="shared" si="494"/>
        <v>45300</v>
      </c>
      <c r="B13962" s="2" t="str">
        <f>"33675"</f>
        <v>33675</v>
      </c>
      <c r="C13962" s="1">
        <v>1.2704614599729901E-3</v>
      </c>
      <c r="D13962" s="1">
        <v>3.5632738382376499E-3</v>
      </c>
      <c r="E13962" s="1">
        <v>2.5911770421714E-5</v>
      </c>
      <c r="F13962" s="1">
        <v>1.41199489116552E-3</v>
      </c>
    </row>
    <row r="13963" spans="1:6" x14ac:dyDescent="0.25">
      <c r="A13963" s="2" t="str">
        <f t="shared" si="494"/>
        <v>45300</v>
      </c>
      <c r="B13963" s="2" t="str">
        <f>"33714"</f>
        <v>33714</v>
      </c>
      <c r="C13963" s="1">
        <v>6.8799034399517102E-3</v>
      </c>
      <c r="D13963" s="1">
        <v>5.5700273355844898E-3</v>
      </c>
      <c r="E13963" s="1">
        <v>1.1349355444710701E-2</v>
      </c>
      <c r="F13963" s="1">
        <v>6.9567107801842398E-3</v>
      </c>
    </row>
    <row r="13964" spans="1:6" x14ac:dyDescent="0.25">
      <c r="A13964" s="2" t="str">
        <f t="shared" si="494"/>
        <v>45300</v>
      </c>
      <c r="B13964" s="2" t="str">
        <f>"33586"</f>
        <v>33586</v>
      </c>
      <c r="C13964" s="1">
        <v>0</v>
      </c>
      <c r="D13964" s="1">
        <v>0</v>
      </c>
      <c r="E13964" s="1">
        <v>3.8867655632570999E-5</v>
      </c>
      <c r="F13964" s="1">
        <v>1.63047908910568E-6</v>
      </c>
    </row>
    <row r="13965" spans="1:6" x14ac:dyDescent="0.25">
      <c r="A13965" s="2" t="str">
        <f t="shared" si="494"/>
        <v>45300</v>
      </c>
      <c r="B13965" s="2" t="str">
        <f>"33573"</f>
        <v>33573</v>
      </c>
      <c r="C13965" s="1">
        <v>1.11927530190569E-2</v>
      </c>
      <c r="D13965" s="1">
        <v>3.2674063354237001E-3</v>
      </c>
      <c r="E13965" s="1">
        <v>6.4779426054285098E-3</v>
      </c>
      <c r="F13965" s="1">
        <v>1.0325280578276501E-2</v>
      </c>
    </row>
    <row r="13966" spans="1:6" x14ac:dyDescent="0.25">
      <c r="A13966" s="2" t="str">
        <f t="shared" si="494"/>
        <v>45300</v>
      </c>
      <c r="B13966" s="2" t="str">
        <f>"33568"</f>
        <v>33568</v>
      </c>
      <c r="C13966" s="1">
        <v>1.26610630315624E-3</v>
      </c>
      <c r="D13966" s="1">
        <v>4.5859462936163296E-3</v>
      </c>
      <c r="E13966" s="1">
        <v>2.5911770421714E-5</v>
      </c>
      <c r="F13966" s="1">
        <v>1.4946058316801999E-3</v>
      </c>
    </row>
    <row r="13967" spans="1:6" x14ac:dyDescent="0.25">
      <c r="A13967" s="2" t="str">
        <f t="shared" si="494"/>
        <v>45300</v>
      </c>
      <c r="B13967" s="2" t="str">
        <f>"33612"</f>
        <v>33612</v>
      </c>
      <c r="C13967" s="1">
        <v>1.2973389991849601E-2</v>
      </c>
      <c r="D13967" s="1">
        <v>1.7224634185560299E-2</v>
      </c>
      <c r="E13967" s="1">
        <v>3.7248169981213899E-2</v>
      </c>
      <c r="F13967" s="1">
        <v>1.43509334492785E-2</v>
      </c>
    </row>
    <row r="13968" spans="1:6" x14ac:dyDescent="0.25">
      <c r="A13968" s="2" t="str">
        <f t="shared" si="494"/>
        <v>45300</v>
      </c>
      <c r="B13968" s="2" t="str">
        <f>"33548"</f>
        <v>33548</v>
      </c>
      <c r="C13968" s="1">
        <v>3.03865512757498E-3</v>
      </c>
      <c r="D13968" s="1">
        <v>5.1455217880688204E-3</v>
      </c>
      <c r="E13968" s="1">
        <v>1.8656474703634099E-3</v>
      </c>
      <c r="F13968" s="1">
        <v>3.1674773771026301E-3</v>
      </c>
    </row>
    <row r="13969" spans="1:6" x14ac:dyDescent="0.25">
      <c r="A13969" s="2" t="str">
        <f t="shared" si="494"/>
        <v>45300</v>
      </c>
      <c r="B13969" s="2" t="str">
        <f>"33545"</f>
        <v>33545</v>
      </c>
      <c r="C13969" s="1">
        <v>5.2243216843257901E-3</v>
      </c>
      <c r="D13969" s="1">
        <v>2.2061424666345E-3</v>
      </c>
      <c r="E13969" s="1">
        <v>8.0326488307313495E-4</v>
      </c>
      <c r="F13969" s="1">
        <v>4.7838256474360703E-3</v>
      </c>
    </row>
    <row r="13970" spans="1:6" x14ac:dyDescent="0.25">
      <c r="A13970" s="2" t="str">
        <f t="shared" si="494"/>
        <v>45300</v>
      </c>
      <c r="B13970" s="2" t="str">
        <f>"33543"</f>
        <v>33543</v>
      </c>
      <c r="C13970" s="1">
        <v>8.6978703283165995E-3</v>
      </c>
      <c r="D13970" s="1">
        <v>2.3669400225116502E-3</v>
      </c>
      <c r="E13970" s="1">
        <v>1.7490445034656901E-3</v>
      </c>
      <c r="F13970" s="1">
        <v>7.8714095491725297E-3</v>
      </c>
    </row>
    <row r="13971" spans="1:6" x14ac:dyDescent="0.25">
      <c r="A13971" s="2" t="str">
        <f t="shared" si="494"/>
        <v>45300</v>
      </c>
      <c r="B13971" s="2" t="str">
        <f>"34688"</f>
        <v>34688</v>
      </c>
      <c r="C13971" s="1">
        <v>3.35222641838125E-3</v>
      </c>
      <c r="D13971" s="1">
        <v>3.83341373211127E-3</v>
      </c>
      <c r="E13971" s="1">
        <v>2.2025004858456901E-3</v>
      </c>
      <c r="F13971" s="1">
        <v>3.34465610478545E-3</v>
      </c>
    </row>
    <row r="13972" spans="1:6" x14ac:dyDescent="0.25">
      <c r="A13972" s="2" t="str">
        <f t="shared" si="494"/>
        <v>45300</v>
      </c>
      <c r="B13972" s="2" t="str">
        <f>"34679"</f>
        <v>34679</v>
      </c>
      <c r="C13972" s="1">
        <v>0</v>
      </c>
      <c r="D13972" s="1">
        <v>0</v>
      </c>
      <c r="E13972" s="1">
        <v>1.2955885210857E-5</v>
      </c>
      <c r="F13972" s="1">
        <v>5.4349302970189404E-7</v>
      </c>
    </row>
    <row r="13973" spans="1:6" x14ac:dyDescent="0.25">
      <c r="A13973" s="2" t="str">
        <f t="shared" si="494"/>
        <v>45300</v>
      </c>
      <c r="B13973" s="2" t="str">
        <f>"33775"</f>
        <v>33775</v>
      </c>
      <c r="C13973" s="1">
        <v>1.4832419787343899E-3</v>
      </c>
      <c r="D13973" s="1">
        <v>3.0937449750763702E-3</v>
      </c>
      <c r="E13973" s="1">
        <v>2.5911770421714E-5</v>
      </c>
      <c r="F13973" s="1">
        <v>1.55819451615533E-3</v>
      </c>
    </row>
    <row r="13974" spans="1:6" x14ac:dyDescent="0.25">
      <c r="A13974" s="2" t="str">
        <f t="shared" si="494"/>
        <v>45300</v>
      </c>
      <c r="B13974" s="2" t="str">
        <f>"33763"</f>
        <v>33763</v>
      </c>
      <c r="C13974" s="1">
        <v>7.3203964437033699E-3</v>
      </c>
      <c r="D13974" s="1">
        <v>3.6983437851744599E-3</v>
      </c>
      <c r="E13974" s="1">
        <v>1.0416531709528999E-2</v>
      </c>
      <c r="F13974" s="1">
        <v>7.1442158754313903E-3</v>
      </c>
    </row>
    <row r="13975" spans="1:6" x14ac:dyDescent="0.25">
      <c r="A13975" s="2" t="str">
        <f t="shared" si="494"/>
        <v>45300</v>
      </c>
      <c r="B13975" s="2" t="str">
        <f>"33761"</f>
        <v>33761</v>
      </c>
      <c r="C13975" s="1">
        <v>6.6223270225037097E-3</v>
      </c>
      <c r="D13975" s="1">
        <v>8.9789355201800904E-3</v>
      </c>
      <c r="E13975" s="1">
        <v>6.5168102610610804E-3</v>
      </c>
      <c r="F13975" s="1">
        <v>6.8170330715508496E-3</v>
      </c>
    </row>
    <row r="13976" spans="1:6" x14ac:dyDescent="0.25">
      <c r="A13976" s="2" t="str">
        <f t="shared" si="494"/>
        <v>45300</v>
      </c>
      <c r="B13976" s="2" t="str">
        <f>"33757"</f>
        <v>33757</v>
      </c>
      <c r="C13976" s="1">
        <v>8.51122075045573E-4</v>
      </c>
      <c r="D13976" s="1">
        <v>2.59205660073966E-3</v>
      </c>
      <c r="E13976" s="1">
        <v>2.5911770421714E-5</v>
      </c>
      <c r="F13976" s="1">
        <v>9.6361314166145795E-4</v>
      </c>
    </row>
    <row r="13977" spans="1:6" x14ac:dyDescent="0.25">
      <c r="A13977" s="2" t="str">
        <f t="shared" si="494"/>
        <v>45300</v>
      </c>
      <c r="B13977" s="2" t="str">
        <f>"33770"</f>
        <v>33770</v>
      </c>
      <c r="C13977" s="1">
        <v>8.8614997915746306E-3</v>
      </c>
      <c r="D13977" s="1">
        <v>8.4450876346679506E-3</v>
      </c>
      <c r="E13977" s="1">
        <v>1.15825613785061E-2</v>
      </c>
      <c r="F13977" s="1">
        <v>8.9404603385961501E-3</v>
      </c>
    </row>
    <row r="13978" spans="1:6" x14ac:dyDescent="0.25">
      <c r="A13978" s="2" t="str">
        <f t="shared" si="494"/>
        <v>45300</v>
      </c>
      <c r="B13978" s="2" t="str">
        <f>"33773"</f>
        <v>33773</v>
      </c>
      <c r="C13978" s="1">
        <v>5.4501676735374399E-3</v>
      </c>
      <c r="D13978" s="1">
        <v>1.1641743045505699E-2</v>
      </c>
      <c r="E13978" s="1">
        <v>5.0657511174450904E-3</v>
      </c>
      <c r="F13978" s="1">
        <v>5.9572270985624601E-3</v>
      </c>
    </row>
    <row r="13979" spans="1:6" x14ac:dyDescent="0.25">
      <c r="A13979" s="2" t="str">
        <f t="shared" si="494"/>
        <v>45300</v>
      </c>
      <c r="B13979" s="2" t="str">
        <f>"33677"</f>
        <v>33677</v>
      </c>
      <c r="C13979" s="1">
        <v>4.2493887226324999E-4</v>
      </c>
      <c r="D13979" s="1">
        <v>1.60154365653642E-3</v>
      </c>
      <c r="E13979" s="1">
        <v>2.5911770421714E-5</v>
      </c>
      <c r="F13979" s="1">
        <v>5.0762248974156902E-4</v>
      </c>
    </row>
    <row r="13980" spans="1:6" x14ac:dyDescent="0.25">
      <c r="A13980" s="2" t="str">
        <f t="shared" si="494"/>
        <v>45300</v>
      </c>
      <c r="B13980" s="2" t="str">
        <f>"33694"</f>
        <v>33694</v>
      </c>
      <c r="C13980" s="1">
        <v>7.3602150203136896E-4</v>
      </c>
      <c r="D13980" s="1">
        <v>2.7592860588519E-3</v>
      </c>
      <c r="E13980" s="1">
        <v>2.5911770421714E-5</v>
      </c>
      <c r="F13980" s="1">
        <v>8.7719774993885702E-4</v>
      </c>
    </row>
    <row r="13981" spans="1:6" x14ac:dyDescent="0.25">
      <c r="A13981" s="2" t="str">
        <f t="shared" si="494"/>
        <v>45300</v>
      </c>
      <c r="B13981" s="2" t="str">
        <f>"33738"</f>
        <v>33738</v>
      </c>
      <c r="C13981" s="1">
        <v>6.0847762382644E-4</v>
      </c>
      <c r="D13981" s="1">
        <v>1.40215468724875E-3</v>
      </c>
      <c r="E13981" s="1">
        <v>2.5911770421714E-5</v>
      </c>
      <c r="F13981" s="1">
        <v>6.5110464958286905E-4</v>
      </c>
    </row>
    <row r="13982" spans="1:6" x14ac:dyDescent="0.25">
      <c r="A13982" s="2" t="str">
        <f t="shared" si="494"/>
        <v>45300</v>
      </c>
      <c r="B13982" s="2" t="str">
        <f>"33646"</f>
        <v>33646</v>
      </c>
      <c r="C13982" s="1">
        <v>8.2561329940458695E-4</v>
      </c>
      <c r="D13982" s="1">
        <v>3.5375462292973098E-3</v>
      </c>
      <c r="E13982" s="1">
        <v>2.5911770421714E-5</v>
      </c>
      <c r="F13982" s="1">
        <v>1.0212234028098501E-3</v>
      </c>
    </row>
    <row r="13983" spans="1:6" x14ac:dyDescent="0.25">
      <c r="A13983" s="2" t="str">
        <f t="shared" si="494"/>
        <v>45300</v>
      </c>
      <c r="B13983" s="2" t="str">
        <f>"33623"</f>
        <v>33623</v>
      </c>
      <c r="C13983" s="1">
        <v>1.04648196653995E-3</v>
      </c>
      <c r="D13983" s="1">
        <v>2.86862839684836E-3</v>
      </c>
      <c r="E13983" s="1">
        <v>2.5911770421714E-5</v>
      </c>
      <c r="F13983" s="1">
        <v>1.1576401532650299E-3</v>
      </c>
    </row>
    <row r="13984" spans="1:6" x14ac:dyDescent="0.25">
      <c r="A13984" s="2" t="str">
        <f t="shared" si="494"/>
        <v>45300</v>
      </c>
      <c r="B13984" s="2" t="str">
        <f>"33622"</f>
        <v>33622</v>
      </c>
      <c r="C13984" s="1">
        <v>9.1520509677780603E-4</v>
      </c>
      <c r="D13984" s="1">
        <v>4.8367904807846904E-3</v>
      </c>
      <c r="E13984" s="1">
        <v>2.5911770421714E-5</v>
      </c>
      <c r="F13984" s="1">
        <v>1.2092719910867099E-3</v>
      </c>
    </row>
    <row r="13985" spans="1:6" x14ac:dyDescent="0.25">
      <c r="A13985" s="2" t="str">
        <f t="shared" si="494"/>
        <v>45300</v>
      </c>
      <c r="B13985" s="2" t="str">
        <f>"33578"</f>
        <v>33578</v>
      </c>
      <c r="C13985" s="1">
        <v>1.5674831548755899E-2</v>
      </c>
      <c r="D13985" s="1">
        <v>7.4352789837594403E-3</v>
      </c>
      <c r="E13985" s="1">
        <v>1.58450476128781E-2</v>
      </c>
      <c r="F13985" s="1">
        <v>1.49857333079703E-2</v>
      </c>
    </row>
    <row r="13986" spans="1:6" x14ac:dyDescent="0.25">
      <c r="A13986" s="2" t="str">
        <f t="shared" si="494"/>
        <v>45300</v>
      </c>
      <c r="B13986" s="2" t="str">
        <f>"33550"</f>
        <v>33550</v>
      </c>
      <c r="C13986" s="1">
        <v>9.7928811851003797E-4</v>
      </c>
      <c r="D13986" s="1">
        <v>1.27994854478211E-3</v>
      </c>
      <c r="E13986" s="1">
        <v>3.8867655632570999E-5</v>
      </c>
      <c r="F13986" s="1">
        <v>9.65243620750563E-4</v>
      </c>
    </row>
    <row r="13987" spans="1:6" x14ac:dyDescent="0.25">
      <c r="A13987" s="2" t="str">
        <f t="shared" si="494"/>
        <v>45300</v>
      </c>
      <c r="B13987" s="2" t="str">
        <f>"33564"</f>
        <v>33564</v>
      </c>
      <c r="C13987" s="1">
        <v>2.03448039868349E-4</v>
      </c>
      <c r="D13987" s="1">
        <v>7.5253256150506498E-4</v>
      </c>
      <c r="E13987" s="1">
        <v>2.5911770421714E-5</v>
      </c>
      <c r="F13987" s="1">
        <v>2.4239789124704401E-4</v>
      </c>
    </row>
    <row r="13988" spans="1:6" x14ac:dyDescent="0.25">
      <c r="A13988" s="2" t="str">
        <f t="shared" si="494"/>
        <v>45300</v>
      </c>
      <c r="B13988" s="2" t="str">
        <f>"33559"</f>
        <v>33559</v>
      </c>
      <c r="C13988" s="1">
        <v>4.5810028059653203E-3</v>
      </c>
      <c r="D13988" s="1">
        <v>4.1164174304550499E-3</v>
      </c>
      <c r="E13988" s="1">
        <v>3.6535596294616801E-3</v>
      </c>
      <c r="F13988" s="1">
        <v>4.50283975108019E-3</v>
      </c>
    </row>
    <row r="13989" spans="1:6" x14ac:dyDescent="0.25">
      <c r="A13989" s="2" t="str">
        <f t="shared" si="494"/>
        <v>45300</v>
      </c>
      <c r="B13989" s="2" t="str">
        <f>"33524"</f>
        <v>33524</v>
      </c>
      <c r="C13989" s="1">
        <v>6.3149773842928101E-4</v>
      </c>
      <c r="D13989" s="1">
        <v>2.63707991638527E-4</v>
      </c>
      <c r="E13989" s="1">
        <v>2.5911770421714E-5</v>
      </c>
      <c r="F13989" s="1">
        <v>5.7501562542460296E-4</v>
      </c>
    </row>
    <row r="13990" spans="1:6" x14ac:dyDescent="0.25">
      <c r="A13990" s="2" t="str">
        <f t="shared" ref="A13990:A14053" si="495">"45300"</f>
        <v>45300</v>
      </c>
      <c r="B13990" s="2" t="str">
        <f>"33534"</f>
        <v>33534</v>
      </c>
      <c r="C13990" s="1">
        <v>5.3257346216301904E-3</v>
      </c>
      <c r="D13990" s="1">
        <v>2.28332529345553E-3</v>
      </c>
      <c r="E13990" s="1">
        <v>1.8008680443091199E-3</v>
      </c>
      <c r="F13990" s="1">
        <v>4.9207858909209399E-3</v>
      </c>
    </row>
    <row r="13991" spans="1:6" x14ac:dyDescent="0.25">
      <c r="A13991" s="2" t="str">
        <f t="shared" si="495"/>
        <v>45300</v>
      </c>
      <c r="B13991" s="2" t="str">
        <f>"33525"</f>
        <v>33525</v>
      </c>
      <c r="C13991" s="1">
        <v>5.6685476796346597E-3</v>
      </c>
      <c r="D13991" s="1">
        <v>4.48946776009004E-3</v>
      </c>
      <c r="E13991" s="1">
        <v>2.81142709075597E-3</v>
      </c>
      <c r="F13991" s="1">
        <v>5.4490611157911803E-3</v>
      </c>
    </row>
    <row r="13992" spans="1:6" x14ac:dyDescent="0.25">
      <c r="A13992" s="2" t="str">
        <f t="shared" si="495"/>
        <v>45300</v>
      </c>
      <c r="B13992" s="2" t="str">
        <f>"33509"</f>
        <v>33509</v>
      </c>
      <c r="C13992" s="1">
        <v>1.90569218995949E-3</v>
      </c>
      <c r="D13992" s="1">
        <v>4.0392346036340204E-3</v>
      </c>
      <c r="E13992" s="1">
        <v>2.5911770421714E-5</v>
      </c>
      <c r="F13992" s="1">
        <v>2.0071197586890902E-3</v>
      </c>
    </row>
    <row r="13993" spans="1:6" x14ac:dyDescent="0.25">
      <c r="A13993" s="2" t="str">
        <f t="shared" si="495"/>
        <v>45300</v>
      </c>
      <c r="B13993" s="2" t="str">
        <f>"33523"</f>
        <v>33523</v>
      </c>
      <c r="C13993" s="1">
        <v>5.6281069377647997E-3</v>
      </c>
      <c r="D13993" s="1">
        <v>3.7883904164656601E-3</v>
      </c>
      <c r="E13993" s="1">
        <v>1.3344561767182699E-3</v>
      </c>
      <c r="F13993" s="1">
        <v>5.2925351232370396E-3</v>
      </c>
    </row>
    <row r="13994" spans="1:6" x14ac:dyDescent="0.25">
      <c r="A13994" s="2" t="str">
        <f t="shared" si="495"/>
        <v>45300</v>
      </c>
      <c r="B13994" s="2" t="str">
        <f>"34691"</f>
        <v>34691</v>
      </c>
      <c r="C13994" s="1">
        <v>8.0974808528641307E-3</v>
      </c>
      <c r="D13994" s="1">
        <v>4.0778260170445399E-3</v>
      </c>
      <c r="E13994" s="1">
        <v>2.6948241238582602E-3</v>
      </c>
      <c r="F13994" s="1">
        <v>7.5311829125791398E-3</v>
      </c>
    </row>
    <row r="13995" spans="1:6" x14ac:dyDescent="0.25">
      <c r="A13995" s="2" t="str">
        <f t="shared" si="495"/>
        <v>45300</v>
      </c>
      <c r="B13995" s="2" t="str">
        <f>"34677"</f>
        <v>34677</v>
      </c>
      <c r="C13995" s="1">
        <v>7.3004871553982104E-3</v>
      </c>
      <c r="D13995" s="1">
        <v>1.15324007075092E-2</v>
      </c>
      <c r="E13995" s="1">
        <v>6.5815896871153703E-3</v>
      </c>
      <c r="F13995" s="1">
        <v>7.6279246718660796E-3</v>
      </c>
    </row>
    <row r="13996" spans="1:6" x14ac:dyDescent="0.25">
      <c r="A13996" s="2" t="str">
        <f t="shared" si="495"/>
        <v>45300</v>
      </c>
      <c r="B13996" s="2" t="str">
        <f>"34669"</f>
        <v>34669</v>
      </c>
      <c r="C13996" s="1">
        <v>4.2313459301059498E-3</v>
      </c>
      <c r="D13996" s="1">
        <v>2.2575976845151898E-3</v>
      </c>
      <c r="E13996" s="1">
        <v>5.4414717885599504E-4</v>
      </c>
      <c r="F13996" s="1">
        <v>3.9098888556754197E-3</v>
      </c>
    </row>
    <row r="13997" spans="1:6" x14ac:dyDescent="0.25">
      <c r="A13997" s="2" t="str">
        <f t="shared" si="495"/>
        <v>45300</v>
      </c>
      <c r="B13997" s="2" t="str">
        <f>"34636"</f>
        <v>34636</v>
      </c>
      <c r="C13997" s="1">
        <v>0</v>
      </c>
      <c r="D13997" s="1">
        <v>0</v>
      </c>
      <c r="E13997" s="1">
        <v>1.2955885210857E-5</v>
      </c>
      <c r="F13997" s="1">
        <v>5.4349302970189404E-7</v>
      </c>
    </row>
    <row r="13998" spans="1:6" x14ac:dyDescent="0.25">
      <c r="A13998" s="2" t="str">
        <f t="shared" si="495"/>
        <v>45300</v>
      </c>
      <c r="B13998" s="2" t="str">
        <f>"34660"</f>
        <v>34660</v>
      </c>
      <c r="C13998" s="1">
        <v>4.84666737178729E-4</v>
      </c>
      <c r="D13998" s="1">
        <v>2.63707991638527E-4</v>
      </c>
      <c r="E13998" s="1">
        <v>3.8867655632570999E-5</v>
      </c>
      <c r="F13998" s="1">
        <v>4.4729476344465801E-4</v>
      </c>
    </row>
    <row r="13999" spans="1:6" x14ac:dyDescent="0.25">
      <c r="A13999" s="2" t="str">
        <f t="shared" si="495"/>
        <v>45300</v>
      </c>
      <c r="B13999" s="2" t="str">
        <f>"34656"</f>
        <v>34656</v>
      </c>
      <c r="C13999" s="1">
        <v>8.1503648999247096E-4</v>
      </c>
      <c r="D13999" s="1">
        <v>2.17398295545907E-3</v>
      </c>
      <c r="E13999" s="1">
        <v>2.5911770421714E-5</v>
      </c>
      <c r="F13999" s="1">
        <v>8.9676349900812504E-4</v>
      </c>
    </row>
    <row r="14000" spans="1:6" x14ac:dyDescent="0.25">
      <c r="A14000" s="2" t="str">
        <f t="shared" si="495"/>
        <v>45300</v>
      </c>
      <c r="B14000" s="2" t="str">
        <f>"34602"</f>
        <v>34602</v>
      </c>
      <c r="C14000" s="1">
        <v>2.25348257004025E-3</v>
      </c>
      <c r="D14000" s="1">
        <v>6.7534973468403204E-4</v>
      </c>
      <c r="E14000" s="1">
        <v>2.5911770421714E-5</v>
      </c>
      <c r="F14000" s="1">
        <v>2.02668550775836E-3</v>
      </c>
    </row>
    <row r="14001" spans="1:6" x14ac:dyDescent="0.25">
      <c r="A14001" s="2" t="str">
        <f t="shared" si="495"/>
        <v>45300</v>
      </c>
      <c r="B14001" s="2" t="str">
        <f>"33712"</f>
        <v>33712</v>
      </c>
      <c r="C14001" s="1">
        <v>7.6756528068985599E-3</v>
      </c>
      <c r="D14001" s="1">
        <v>5.6343463579353499E-3</v>
      </c>
      <c r="E14001" s="1">
        <v>1.69074302001684E-2</v>
      </c>
      <c r="F14001" s="1">
        <v>7.8904318052120895E-3</v>
      </c>
    </row>
    <row r="14002" spans="1:6" x14ac:dyDescent="0.25">
      <c r="A14002" s="2" t="str">
        <f t="shared" si="495"/>
        <v>45300</v>
      </c>
      <c r="B14002" s="2" t="str">
        <f>"33710"</f>
        <v>33710</v>
      </c>
      <c r="C14002" s="1">
        <v>9.7959920113980595E-3</v>
      </c>
      <c r="D14002" s="1">
        <v>1.00401993889692E-2</v>
      </c>
      <c r="E14002" s="1">
        <v>6.1540454751570902E-3</v>
      </c>
      <c r="F14002" s="1">
        <v>9.6638495611293708E-3</v>
      </c>
    </row>
    <row r="14003" spans="1:6" x14ac:dyDescent="0.25">
      <c r="A14003" s="2" t="str">
        <f t="shared" si="495"/>
        <v>45300</v>
      </c>
      <c r="B14003" s="2" t="str">
        <f>"33707"</f>
        <v>33707</v>
      </c>
      <c r="C14003" s="1">
        <v>1.01052081453875E-2</v>
      </c>
      <c r="D14003" s="1">
        <v>8.0591735005627902E-3</v>
      </c>
      <c r="E14003" s="1">
        <v>1.1738032001036401E-2</v>
      </c>
      <c r="F14003" s="1">
        <v>1.00008152395445E-2</v>
      </c>
    </row>
    <row r="14004" spans="1:6" x14ac:dyDescent="0.25">
      <c r="A14004" s="2" t="str">
        <f t="shared" si="495"/>
        <v>45300</v>
      </c>
      <c r="B14004" s="2" t="str">
        <f>"33782"</f>
        <v>33782</v>
      </c>
      <c r="C14004" s="1">
        <v>6.6385033192516499E-3</v>
      </c>
      <c r="D14004" s="1">
        <v>4.3994211287988402E-3</v>
      </c>
      <c r="E14004" s="1">
        <v>4.4050009716913897E-3</v>
      </c>
      <c r="F14004" s="1">
        <v>6.3556074893339398E-3</v>
      </c>
    </row>
    <row r="14005" spans="1:6" x14ac:dyDescent="0.25">
      <c r="A14005" s="2" t="str">
        <f t="shared" si="495"/>
        <v>45300</v>
      </c>
      <c r="B14005" s="2" t="str">
        <f>"33781"</f>
        <v>33781</v>
      </c>
      <c r="C14005" s="1">
        <v>7.8461260880114906E-3</v>
      </c>
      <c r="D14005" s="1">
        <v>1.40922977970734E-2</v>
      </c>
      <c r="E14005" s="1">
        <v>8.4342812722679201E-3</v>
      </c>
      <c r="F14005" s="1">
        <v>8.3985977879833598E-3</v>
      </c>
    </row>
    <row r="14006" spans="1:6" x14ac:dyDescent="0.25">
      <c r="A14006" s="2" t="str">
        <f t="shared" si="495"/>
        <v>45300</v>
      </c>
      <c r="B14006" s="2" t="str">
        <f>"33777"</f>
        <v>33777</v>
      </c>
      <c r="C14006" s="1">
        <v>5.3910619738814997E-3</v>
      </c>
      <c r="D14006" s="1">
        <v>4.5988100980864999E-3</v>
      </c>
      <c r="E14006" s="1">
        <v>4.2624862343719604E-3</v>
      </c>
      <c r="F14006" s="1">
        <v>5.2767738253756804E-3</v>
      </c>
    </row>
    <row r="14007" spans="1:6" x14ac:dyDescent="0.25">
      <c r="A14007" s="2" t="str">
        <f t="shared" si="495"/>
        <v>45300</v>
      </c>
      <c r="B14007" s="2" t="str">
        <f>"33776"</f>
        <v>33776</v>
      </c>
      <c r="C14007" s="1">
        <v>3.4853697839220001E-3</v>
      </c>
      <c r="D14007" s="1">
        <v>1.27994854478211E-3</v>
      </c>
      <c r="E14007" s="1">
        <v>1.2048973246096999E-3</v>
      </c>
      <c r="F14007" s="1">
        <v>3.2033479170629599E-3</v>
      </c>
    </row>
    <row r="14008" spans="1:6" x14ac:dyDescent="0.25">
      <c r="A14008" s="2" t="str">
        <f t="shared" si="495"/>
        <v>45300</v>
      </c>
      <c r="B14008" s="2" t="str">
        <f>"33762"</f>
        <v>33762</v>
      </c>
      <c r="C14008" s="1">
        <v>2.35676200312326E-3</v>
      </c>
      <c r="D14008" s="1">
        <v>1.3609905129442001E-2</v>
      </c>
      <c r="E14008" s="1">
        <v>5.5969424110902301E-3</v>
      </c>
      <c r="F14008" s="1">
        <v>3.4435718361911999E-3</v>
      </c>
    </row>
    <row r="14009" spans="1:6" x14ac:dyDescent="0.25">
      <c r="A14009" s="2" t="str">
        <f t="shared" si="495"/>
        <v>45300</v>
      </c>
      <c r="B14009" s="2" t="str">
        <f>"33758"</f>
        <v>33758</v>
      </c>
      <c r="C14009" s="1">
        <v>1.5547909835810501E-3</v>
      </c>
      <c r="D14009" s="1">
        <v>4.2643511818620302E-3</v>
      </c>
      <c r="E14009" s="1">
        <v>2.5911770421714E-5</v>
      </c>
      <c r="F14009" s="1">
        <v>1.71961194597679E-3</v>
      </c>
    </row>
    <row r="14010" spans="1:6" x14ac:dyDescent="0.25">
      <c r="A14010" s="2" t="str">
        <f t="shared" si="495"/>
        <v>45300</v>
      </c>
      <c r="B14010" s="2" t="str">
        <f>"33772"</f>
        <v>33772</v>
      </c>
      <c r="C14010" s="1">
        <v>8.4813568179979894E-3</v>
      </c>
      <c r="D14010" s="1">
        <v>4.9461328187811503E-3</v>
      </c>
      <c r="E14010" s="1">
        <v>5.7135453779879504E-3</v>
      </c>
      <c r="F14010" s="1">
        <v>8.06652354683551E-3</v>
      </c>
    </row>
    <row r="14011" spans="1:6" x14ac:dyDescent="0.25">
      <c r="A14011" s="2" t="str">
        <f t="shared" si="495"/>
        <v>45300</v>
      </c>
      <c r="B14011" s="2" t="str">
        <f>"33674"</f>
        <v>33674</v>
      </c>
      <c r="C14011" s="1">
        <v>8.0321535006128305E-4</v>
      </c>
      <c r="D14011" s="1">
        <v>1.20919762019617E-3</v>
      </c>
      <c r="E14011" s="1">
        <v>2.5911770421714E-5</v>
      </c>
      <c r="F14011" s="1">
        <v>8.04913176988505E-4</v>
      </c>
    </row>
    <row r="14012" spans="1:6" x14ac:dyDescent="0.25">
      <c r="A14012" s="2" t="str">
        <f t="shared" si="495"/>
        <v>45300</v>
      </c>
      <c r="B14012" s="2" t="str">
        <f>"33682"</f>
        <v>33682</v>
      </c>
      <c r="C14012" s="1">
        <v>1.0645247590665E-3</v>
      </c>
      <c r="D14012" s="1">
        <v>2.2897571956906199E-3</v>
      </c>
      <c r="E14012" s="1">
        <v>2.5911770421714E-5</v>
      </c>
      <c r="F14012" s="1">
        <v>1.12448707845321E-3</v>
      </c>
    </row>
    <row r="14013" spans="1:6" x14ac:dyDescent="0.25">
      <c r="A14013" s="2" t="str">
        <f t="shared" si="495"/>
        <v>45300</v>
      </c>
      <c r="B14013" s="2" t="str">
        <f>"33729"</f>
        <v>33729</v>
      </c>
      <c r="C14013" s="1">
        <v>0</v>
      </c>
      <c r="D14013" s="1">
        <v>6.4319022350860204E-6</v>
      </c>
      <c r="E14013" s="1">
        <v>0</v>
      </c>
      <c r="F14013" s="1">
        <v>5.4349302970189404E-7</v>
      </c>
    </row>
    <row r="14014" spans="1:6" x14ac:dyDescent="0.25">
      <c r="A14014" s="2" t="str">
        <f t="shared" si="495"/>
        <v>45300</v>
      </c>
      <c r="B14014" s="2" t="str">
        <f>"33742"</f>
        <v>33742</v>
      </c>
      <c r="C14014" s="1">
        <v>1.08878920418841E-3</v>
      </c>
      <c r="D14014" s="1">
        <v>2.0324811062871801E-3</v>
      </c>
      <c r="E14014" s="1">
        <v>2.5911770421714E-5</v>
      </c>
      <c r="F14014" s="1">
        <v>1.1239435854235101E-3</v>
      </c>
    </row>
    <row r="14015" spans="1:6" x14ac:dyDescent="0.25">
      <c r="A14015" s="2" t="str">
        <f t="shared" si="495"/>
        <v>45300</v>
      </c>
      <c r="B14015" s="2" t="str">
        <f>"33741"</f>
        <v>33741</v>
      </c>
      <c r="C14015" s="1">
        <v>7.5281996403884694E-5</v>
      </c>
      <c r="D14015" s="1">
        <v>1.47933751406978E-4</v>
      </c>
      <c r="E14015" s="1">
        <v>1.2955885210857E-5</v>
      </c>
      <c r="F14015" s="1">
        <v>7.88064893067746E-5</v>
      </c>
    </row>
    <row r="14016" spans="1:6" x14ac:dyDescent="0.25">
      <c r="A14016" s="2" t="str">
        <f t="shared" si="495"/>
        <v>45300</v>
      </c>
      <c r="B14016" s="2" t="str">
        <f>"33733"</f>
        <v>33733</v>
      </c>
      <c r="C14016" s="1">
        <v>2.3766712914284199E-3</v>
      </c>
      <c r="D14016" s="1">
        <v>4.93326901431098E-3</v>
      </c>
      <c r="E14016" s="1">
        <v>2.5911770421714E-5</v>
      </c>
      <c r="F14016" s="1">
        <v>2.49408951330199E-3</v>
      </c>
    </row>
    <row r="14017" spans="1:6" x14ac:dyDescent="0.25">
      <c r="A14017" s="2" t="str">
        <f t="shared" si="495"/>
        <v>45300</v>
      </c>
      <c r="B14017" s="2" t="str">
        <f>"33715"</f>
        <v>33715</v>
      </c>
      <c r="C14017" s="1">
        <v>4.33898052000572E-3</v>
      </c>
      <c r="D14017" s="1">
        <v>1.20919762019617E-3</v>
      </c>
      <c r="E14017" s="1">
        <v>6.8018397356999398E-3</v>
      </c>
      <c r="F14017" s="1">
        <v>4.1778309193184499E-3</v>
      </c>
    </row>
    <row r="14018" spans="1:6" x14ac:dyDescent="0.25">
      <c r="A14018" s="2" t="str">
        <f t="shared" si="495"/>
        <v>45300</v>
      </c>
      <c r="B14018" s="2" t="str">
        <f>"33625"</f>
        <v>33625</v>
      </c>
      <c r="C14018" s="1">
        <v>7.1872530781626198E-3</v>
      </c>
      <c r="D14018" s="1">
        <v>4.5795143913812501E-3</v>
      </c>
      <c r="E14018" s="1">
        <v>4.3661333160588097E-3</v>
      </c>
      <c r="F14018" s="1">
        <v>6.8485556672735603E-3</v>
      </c>
    </row>
    <row r="14019" spans="1:6" x14ac:dyDescent="0.25">
      <c r="A14019" s="2" t="str">
        <f t="shared" si="495"/>
        <v>45300</v>
      </c>
      <c r="B14019" s="2" t="str">
        <f>"33624"</f>
        <v>33624</v>
      </c>
      <c r="C14019" s="1">
        <v>1.04094469573007E-2</v>
      </c>
      <c r="D14019" s="1">
        <v>4.8818137964302902E-3</v>
      </c>
      <c r="E14019" s="1">
        <v>4.8066334132279504E-3</v>
      </c>
      <c r="F14019" s="1">
        <v>9.7073290035055299E-3</v>
      </c>
    </row>
    <row r="14020" spans="1:6" x14ac:dyDescent="0.25">
      <c r="A14020" s="2" t="str">
        <f t="shared" si="495"/>
        <v>45300</v>
      </c>
      <c r="B14020" s="2" t="str">
        <f>"33620"</f>
        <v>33620</v>
      </c>
      <c r="C14020" s="1">
        <v>0</v>
      </c>
      <c r="D14020" s="1">
        <v>4.7525325615050601E-2</v>
      </c>
      <c r="E14020" s="1">
        <v>1.2955885210857E-5</v>
      </c>
      <c r="F14020" s="1">
        <v>4.0164134894969897E-3</v>
      </c>
    </row>
    <row r="14021" spans="1:6" x14ac:dyDescent="0.25">
      <c r="A14021" s="2" t="str">
        <f t="shared" si="495"/>
        <v>45300</v>
      </c>
      <c r="B14021" s="2" t="str">
        <f>"33583"</f>
        <v>33583</v>
      </c>
      <c r="C14021" s="1">
        <v>1.05332578439485E-3</v>
      </c>
      <c r="D14021" s="1">
        <v>2.0775044219327799E-3</v>
      </c>
      <c r="E14021" s="1">
        <v>2.5911770421714E-5</v>
      </c>
      <c r="F14021" s="1">
        <v>1.09676893393842E-3</v>
      </c>
    </row>
    <row r="14022" spans="1:6" x14ac:dyDescent="0.25">
      <c r="A14022" s="2" t="str">
        <f t="shared" si="495"/>
        <v>45300</v>
      </c>
      <c r="B14022" s="2" t="str">
        <f>"33598"</f>
        <v>33598</v>
      </c>
      <c r="C14022" s="1">
        <v>6.4543424024289297E-3</v>
      </c>
      <c r="D14022" s="1">
        <v>1.5179289274803E-3</v>
      </c>
      <c r="E14022" s="1">
        <v>2.4616181900628299E-4</v>
      </c>
      <c r="F14022" s="1">
        <v>5.7767874127014297E-3</v>
      </c>
    </row>
    <row r="14023" spans="1:6" x14ac:dyDescent="0.25">
      <c r="A14023" s="2" t="str">
        <f t="shared" si="495"/>
        <v>45300</v>
      </c>
      <c r="B14023" s="2" t="str">
        <f>"33596"</f>
        <v>33596</v>
      </c>
      <c r="C14023" s="1">
        <v>6.6310373361372198E-3</v>
      </c>
      <c r="D14023" s="1">
        <v>2.4312590448625098E-3</v>
      </c>
      <c r="E14023" s="1">
        <v>3.3685301548228198E-4</v>
      </c>
      <c r="F14023" s="1">
        <v>6.0121198945623502E-3</v>
      </c>
    </row>
    <row r="14024" spans="1:6" x14ac:dyDescent="0.25">
      <c r="A14024" s="2" t="str">
        <f t="shared" si="495"/>
        <v>45300</v>
      </c>
      <c r="B14024" s="2" t="str">
        <f>"33592"</f>
        <v>33592</v>
      </c>
      <c r="C14024" s="1">
        <v>3.9364395970857696E-3</v>
      </c>
      <c r="D14024" s="1">
        <v>2.8943560057887101E-3</v>
      </c>
      <c r="E14024" s="1">
        <v>4.2365744639502401E-3</v>
      </c>
      <c r="F14024" s="1">
        <v>3.8609744830022498E-3</v>
      </c>
    </row>
    <row r="14025" spans="1:6" x14ac:dyDescent="0.25">
      <c r="A14025" s="2" t="str">
        <f t="shared" si="495"/>
        <v>45300</v>
      </c>
      <c r="B14025" s="2" t="str">
        <f>"33576"</f>
        <v>33576</v>
      </c>
      <c r="C14025" s="1">
        <v>2.05874484380541E-3</v>
      </c>
      <c r="D14025" s="1">
        <v>1.8716835504100299E-3</v>
      </c>
      <c r="E14025" s="1">
        <v>1.8138239295199799E-4</v>
      </c>
      <c r="F14025" s="1">
        <v>1.9641838093426402E-3</v>
      </c>
    </row>
    <row r="14026" spans="1:6" x14ac:dyDescent="0.25">
      <c r="A14026" s="2" t="str">
        <f t="shared" si="495"/>
        <v>45300</v>
      </c>
      <c r="B14026" s="2" t="str">
        <f>"33613"</f>
        <v>33613</v>
      </c>
      <c r="C14026" s="1">
        <v>1.20420085983238E-2</v>
      </c>
      <c r="D14026" s="1">
        <v>8.2456986653802796E-3</v>
      </c>
      <c r="E14026" s="1">
        <v>4.4140700913389903E-2</v>
      </c>
      <c r="F14026" s="1">
        <v>1.3067746406152299E-2</v>
      </c>
    </row>
    <row r="14027" spans="1:6" x14ac:dyDescent="0.25">
      <c r="A14027" s="2" t="str">
        <f t="shared" si="495"/>
        <v>45300</v>
      </c>
      <c r="B14027" s="2" t="str">
        <f>"33558"</f>
        <v>33558</v>
      </c>
      <c r="C14027" s="1">
        <v>7.0404220769120602E-3</v>
      </c>
      <c r="D14027" s="1">
        <v>2.7785817655571598E-3</v>
      </c>
      <c r="E14027" s="1">
        <v>1.14400466411867E-2</v>
      </c>
      <c r="F14027" s="1">
        <v>6.8648604581646204E-3</v>
      </c>
    </row>
    <row r="14028" spans="1:6" x14ac:dyDescent="0.25">
      <c r="A14028" s="2" t="str">
        <f t="shared" si="495"/>
        <v>45300</v>
      </c>
      <c r="B14028" s="2" t="str">
        <f>"33556"</f>
        <v>33556</v>
      </c>
      <c r="C14028" s="1">
        <v>8.0041560639337005E-3</v>
      </c>
      <c r="D14028" s="1">
        <v>4.7338800450233099E-3</v>
      </c>
      <c r="E14028" s="1">
        <v>2.0858975189479798E-3</v>
      </c>
      <c r="F14028" s="1">
        <v>7.4795510747574599E-3</v>
      </c>
    </row>
    <row r="14029" spans="1:6" x14ac:dyDescent="0.25">
      <c r="A14029" s="2" t="str">
        <f t="shared" si="495"/>
        <v>45300</v>
      </c>
      <c r="B14029" s="2" t="str">
        <f>"33566"</f>
        <v>33566</v>
      </c>
      <c r="C14029" s="1">
        <v>5.1714376372652103E-3</v>
      </c>
      <c r="D14029" s="1">
        <v>3.4667953047113598E-3</v>
      </c>
      <c r="E14029" s="1">
        <v>3.5369566625639598E-3</v>
      </c>
      <c r="F14029" s="1">
        <v>4.9588304030000804E-3</v>
      </c>
    </row>
    <row r="14030" spans="1:6" x14ac:dyDescent="0.25">
      <c r="A14030" s="2" t="str">
        <f t="shared" si="495"/>
        <v>45300</v>
      </c>
      <c r="B14030" s="2" t="str">
        <f>"33547"</f>
        <v>33547</v>
      </c>
      <c r="C14030" s="1">
        <v>6.8151982529599496E-3</v>
      </c>
      <c r="D14030" s="1">
        <v>3.1644958996623201E-3</v>
      </c>
      <c r="E14030" s="1">
        <v>9.71691390814277E-4</v>
      </c>
      <c r="F14030" s="1">
        <v>6.2615831951955197E-3</v>
      </c>
    </row>
    <row r="14031" spans="1:6" x14ac:dyDescent="0.25">
      <c r="A14031" s="2" t="str">
        <f t="shared" si="495"/>
        <v>45300</v>
      </c>
      <c r="B14031" s="2" t="str">
        <f>"33542"</f>
        <v>33542</v>
      </c>
      <c r="C14031" s="1">
        <v>8.8210590497047794E-3</v>
      </c>
      <c r="D14031" s="1">
        <v>6.0717157099212E-3</v>
      </c>
      <c r="E14031" s="1">
        <v>2.29319168232169E-3</v>
      </c>
      <c r="F14031" s="1">
        <v>8.3148998614092692E-3</v>
      </c>
    </row>
    <row r="14032" spans="1:6" x14ac:dyDescent="0.25">
      <c r="A14032" s="2" t="str">
        <f t="shared" si="495"/>
        <v>45300</v>
      </c>
      <c r="B14032" s="2" t="str">
        <f>"33537"</f>
        <v>33537</v>
      </c>
      <c r="C14032" s="1">
        <v>0</v>
      </c>
      <c r="D14032" s="1">
        <v>0</v>
      </c>
      <c r="E14032" s="1">
        <v>1.2955885210857E-5</v>
      </c>
      <c r="F14032" s="1">
        <v>5.4349302970189404E-7</v>
      </c>
    </row>
    <row r="14033" spans="1:6" x14ac:dyDescent="0.25">
      <c r="A14033" s="2" t="str">
        <f t="shared" si="495"/>
        <v>45300</v>
      </c>
      <c r="B14033" s="2" t="str">
        <f>"33530"</f>
        <v>33530</v>
      </c>
      <c r="C14033" s="1">
        <v>5.0333169496481604E-4</v>
      </c>
      <c r="D14033" s="1">
        <v>3.2802701398938701E-4</v>
      </c>
      <c r="E14033" s="1">
        <v>2.5911770421714E-5</v>
      </c>
      <c r="F14033" s="1">
        <v>4.6849099160303201E-4</v>
      </c>
    </row>
    <row r="14034" spans="1:6" x14ac:dyDescent="0.25">
      <c r="A14034" s="2" t="str">
        <f t="shared" si="495"/>
        <v>45300</v>
      </c>
      <c r="B14034" s="2" t="str">
        <f>"33539"</f>
        <v>33539</v>
      </c>
      <c r="C14034" s="1">
        <v>1.79059161694529E-3</v>
      </c>
      <c r="D14034" s="1">
        <v>1.8781154526451101E-3</v>
      </c>
      <c r="E14034" s="1">
        <v>2.5911770421714E-5</v>
      </c>
      <c r="F14034" s="1">
        <v>1.7239598902144E-3</v>
      </c>
    </row>
    <row r="14035" spans="1:6" x14ac:dyDescent="0.25">
      <c r="A14035" s="2" t="str">
        <f t="shared" si="495"/>
        <v>45300</v>
      </c>
      <c r="B14035" s="2" t="str">
        <f>"33527"</f>
        <v>33527</v>
      </c>
      <c r="C14035" s="1">
        <v>4.7583199049331401E-3</v>
      </c>
      <c r="D14035" s="1">
        <v>2.2383019778099301E-3</v>
      </c>
      <c r="E14035" s="1">
        <v>5.18235408434281E-4</v>
      </c>
      <c r="F14035" s="1">
        <v>4.3675099866844203E-3</v>
      </c>
    </row>
    <row r="14036" spans="1:6" x14ac:dyDescent="0.25">
      <c r="A14036" s="2" t="str">
        <f t="shared" si="495"/>
        <v>45300</v>
      </c>
      <c r="B14036" s="2" t="str">
        <f>"34673"</f>
        <v>34673</v>
      </c>
      <c r="C14036" s="1">
        <v>7.7148492182493498E-4</v>
      </c>
      <c r="D14036" s="1">
        <v>1.3378356648978899E-3</v>
      </c>
      <c r="E14036" s="1">
        <v>2.5911770421714E-5</v>
      </c>
      <c r="F14036" s="1">
        <v>7.8806489306774605E-4</v>
      </c>
    </row>
    <row r="14037" spans="1:6" x14ac:dyDescent="0.25">
      <c r="A14037" s="2" t="str">
        <f t="shared" si="495"/>
        <v>45300</v>
      </c>
      <c r="B14037" s="2" t="str">
        <f>"34680"</f>
        <v>34680</v>
      </c>
      <c r="C14037" s="1">
        <v>7.3477717151229703E-4</v>
      </c>
      <c r="D14037" s="1">
        <v>2.03891300852227E-3</v>
      </c>
      <c r="E14037" s="1">
        <v>2.5911770421714E-5</v>
      </c>
      <c r="F14037" s="1">
        <v>8.1523954455284102E-4</v>
      </c>
    </row>
    <row r="14038" spans="1:6" x14ac:dyDescent="0.25">
      <c r="A14038" s="2" t="str">
        <f t="shared" si="495"/>
        <v>45300</v>
      </c>
      <c r="B14038" s="2" t="str">
        <f>"34661"</f>
        <v>34661</v>
      </c>
      <c r="C14038" s="1">
        <v>8.7103136335073299E-5</v>
      </c>
      <c r="D14038" s="1">
        <v>0</v>
      </c>
      <c r="E14038" s="1">
        <v>2.5911770421714E-5</v>
      </c>
      <c r="F14038" s="1">
        <v>7.7176010217668895E-5</v>
      </c>
    </row>
    <row r="14039" spans="1:6" x14ac:dyDescent="0.25">
      <c r="A14039" s="2" t="str">
        <f t="shared" si="495"/>
        <v>45300</v>
      </c>
      <c r="B14039" s="2" t="str">
        <f>"34655"</f>
        <v>34655</v>
      </c>
      <c r="C14039" s="1">
        <v>1.2710836252325299E-2</v>
      </c>
      <c r="D14039" s="1">
        <v>5.9559414696896597E-3</v>
      </c>
      <c r="E14039" s="1">
        <v>4.3790892012696703E-3</v>
      </c>
      <c r="F14039" s="1">
        <v>1.1790537786352801E-2</v>
      </c>
    </row>
    <row r="14040" spans="1:6" x14ac:dyDescent="0.25">
      <c r="A14040" s="2" t="str">
        <f t="shared" si="495"/>
        <v>45300</v>
      </c>
      <c r="B14040" s="2" t="str">
        <f>"34654"</f>
        <v>34654</v>
      </c>
      <c r="C14040" s="1">
        <v>7.0273566064618003E-3</v>
      </c>
      <c r="D14040" s="1">
        <v>3.24811062871844E-3</v>
      </c>
      <c r="E14040" s="1">
        <v>1.9174710112068399E-3</v>
      </c>
      <c r="F14040" s="1">
        <v>6.4936547188782301E-3</v>
      </c>
    </row>
    <row r="14041" spans="1:6" x14ac:dyDescent="0.25">
      <c r="A14041" s="2" t="str">
        <f t="shared" si="495"/>
        <v>45300</v>
      </c>
      <c r="B14041" s="2" t="str">
        <f>"34606"</f>
        <v>34606</v>
      </c>
      <c r="C14041" s="1">
        <v>8.5933465647145095E-3</v>
      </c>
      <c r="D14041" s="1">
        <v>7.9498311625663207E-3</v>
      </c>
      <c r="E14041" s="1">
        <v>1.37332383235084E-3</v>
      </c>
      <c r="F14041" s="1">
        <v>8.2360933721024997E-3</v>
      </c>
    </row>
    <row r="14042" spans="1:6" x14ac:dyDescent="0.25">
      <c r="A14042" s="2" t="str">
        <f t="shared" si="495"/>
        <v>45300</v>
      </c>
      <c r="B14042" s="2" t="str">
        <f>"33810"</f>
        <v>33810</v>
      </c>
      <c r="C14042" s="1">
        <v>2.1278051876139301E-4</v>
      </c>
      <c r="D14042" s="1">
        <v>1.2863804470172E-5</v>
      </c>
      <c r="E14042" s="1">
        <v>5.1823540843428103E-5</v>
      </c>
      <c r="F14042" s="1">
        <v>1.89135574336259E-4</v>
      </c>
    </row>
    <row r="14043" spans="1:6" x14ac:dyDescent="0.25">
      <c r="A14043" s="2" t="str">
        <f t="shared" si="495"/>
        <v>45300</v>
      </c>
      <c r="B14043" s="2" t="str">
        <f>"33784"</f>
        <v>33784</v>
      </c>
      <c r="C14043" s="1">
        <v>1.86027412601335E-4</v>
      </c>
      <c r="D14043" s="1">
        <v>2.5084418716835499E-4</v>
      </c>
      <c r="E14043" s="1">
        <v>1.2955885210857E-5</v>
      </c>
      <c r="F14043" s="1">
        <v>1.8424413706894199E-4</v>
      </c>
    </row>
    <row r="14044" spans="1:6" x14ac:dyDescent="0.25">
      <c r="A14044" s="2" t="str">
        <f t="shared" si="495"/>
        <v>45300</v>
      </c>
      <c r="B14044" s="2" t="str">
        <f>"33780"</f>
        <v>33780</v>
      </c>
      <c r="C14044" s="1">
        <v>1.13731809443224E-3</v>
      </c>
      <c r="D14044" s="1">
        <v>2.72712654767647E-3</v>
      </c>
      <c r="E14044" s="1">
        <v>2.5911770421714E-5</v>
      </c>
      <c r="F14044" s="1">
        <v>1.2250332889480601E-3</v>
      </c>
    </row>
    <row r="14045" spans="1:6" x14ac:dyDescent="0.25">
      <c r="A14045" s="2" t="str">
        <f t="shared" si="495"/>
        <v>45300</v>
      </c>
      <c r="B14045" s="2" t="str">
        <f>"33760"</f>
        <v>33760</v>
      </c>
      <c r="C14045" s="1">
        <v>5.1658381499293804E-3</v>
      </c>
      <c r="D14045" s="1">
        <v>8.0205820871522698E-3</v>
      </c>
      <c r="E14045" s="1">
        <v>1.5495238712185E-2</v>
      </c>
      <c r="F14045" s="1">
        <v>5.8403760971765502E-3</v>
      </c>
    </row>
    <row r="14046" spans="1:6" x14ac:dyDescent="0.25">
      <c r="A14046" s="2" t="str">
        <f t="shared" si="495"/>
        <v>45300</v>
      </c>
      <c r="B14046" s="2" t="str">
        <f>"33767"</f>
        <v>33767</v>
      </c>
      <c r="C14046" s="1">
        <v>5.5777115517423696E-3</v>
      </c>
      <c r="D14046" s="1">
        <v>4.4444444444444401E-3</v>
      </c>
      <c r="E14046" s="1">
        <v>5.3896482477165204E-3</v>
      </c>
      <c r="F14046" s="1">
        <v>5.4740617951574699E-3</v>
      </c>
    </row>
    <row r="14047" spans="1:6" x14ac:dyDescent="0.25">
      <c r="A14047" s="2" t="str">
        <f t="shared" si="495"/>
        <v>45300</v>
      </c>
      <c r="B14047" s="2" t="str">
        <f>"33701"</f>
        <v>33701</v>
      </c>
      <c r="C14047" s="1">
        <v>8.5379738566157895E-3</v>
      </c>
      <c r="D14047" s="1">
        <v>1.6002572760894E-2</v>
      </c>
      <c r="E14047" s="1">
        <v>2.0690548681738599E-2</v>
      </c>
      <c r="F14047" s="1">
        <v>9.6785238729313206E-3</v>
      </c>
    </row>
    <row r="14048" spans="1:6" x14ac:dyDescent="0.25">
      <c r="A14048" s="2" t="str">
        <f t="shared" si="495"/>
        <v>45300</v>
      </c>
      <c r="B14048" s="2" t="str">
        <f>"33684"</f>
        <v>33684</v>
      </c>
      <c r="C14048" s="1">
        <v>1.01848452986082E-3</v>
      </c>
      <c r="D14048" s="1">
        <v>2.7721498633220699E-3</v>
      </c>
      <c r="E14048" s="1">
        <v>2.5911770421714E-5</v>
      </c>
      <c r="F14048" s="1">
        <v>1.12503057148292E-3</v>
      </c>
    </row>
    <row r="14049" spans="1:6" x14ac:dyDescent="0.25">
      <c r="A14049" s="2" t="str">
        <f t="shared" si="495"/>
        <v>45300</v>
      </c>
      <c r="B14049" s="2" t="str">
        <f>"33755"</f>
        <v>33755</v>
      </c>
      <c r="C14049" s="1">
        <v>7.8143956597751408E-3</v>
      </c>
      <c r="D14049" s="1">
        <v>9.4677600900466303E-3</v>
      </c>
      <c r="E14049" s="1">
        <v>9.9889874975707706E-3</v>
      </c>
      <c r="F14049" s="1">
        <v>8.0453273186771295E-3</v>
      </c>
    </row>
    <row r="14050" spans="1:6" x14ac:dyDescent="0.25">
      <c r="A14050" s="2" t="str">
        <f t="shared" si="495"/>
        <v>45300</v>
      </c>
      <c r="B14050" s="2" t="str">
        <f>"33635"</f>
        <v>33635</v>
      </c>
      <c r="C14050" s="1">
        <v>5.1079767807925098E-3</v>
      </c>
      <c r="D14050" s="1">
        <v>2.3283486091011398E-3</v>
      </c>
      <c r="E14050" s="1">
        <v>4.8195892984388101E-3</v>
      </c>
      <c r="F14050" s="1">
        <v>4.8610016576537398E-3</v>
      </c>
    </row>
    <row r="14051" spans="1:6" x14ac:dyDescent="0.25">
      <c r="A14051" s="2" t="str">
        <f t="shared" si="495"/>
        <v>45300</v>
      </c>
      <c r="B14051" s="2" t="str">
        <f>"33593"</f>
        <v>33593</v>
      </c>
      <c r="C14051" s="1">
        <v>0</v>
      </c>
      <c r="D14051" s="1">
        <v>0</v>
      </c>
      <c r="E14051" s="1">
        <v>2.5911770421714E-5</v>
      </c>
      <c r="F14051" s="1">
        <v>1.08698605940378E-6</v>
      </c>
    </row>
    <row r="14052" spans="1:6" x14ac:dyDescent="0.25">
      <c r="A14052" s="2" t="str">
        <f t="shared" si="495"/>
        <v>45300</v>
      </c>
      <c r="B14052" s="2" t="str">
        <f>"33570"</f>
        <v>33570</v>
      </c>
      <c r="C14052" s="1">
        <v>8.9324266311617603E-3</v>
      </c>
      <c r="D14052" s="1">
        <v>3.4732272069464502E-3</v>
      </c>
      <c r="E14052" s="1">
        <v>4.9491481505473797E-3</v>
      </c>
      <c r="F14052" s="1">
        <v>8.3040300008152303E-3</v>
      </c>
    </row>
    <row r="14053" spans="1:6" x14ac:dyDescent="0.25">
      <c r="A14053" s="2" t="str">
        <f t="shared" si="495"/>
        <v>45300</v>
      </c>
      <c r="B14053" s="2" t="str">
        <f>"33567"</f>
        <v>33567</v>
      </c>
      <c r="C14053" s="1">
        <v>2.6896204169751499E-3</v>
      </c>
      <c r="D14053" s="1">
        <v>7.0750924585946196E-4</v>
      </c>
      <c r="E14053" s="1">
        <v>5.9597071969942302E-4</v>
      </c>
      <c r="F14053" s="1">
        <v>2.43430528003478E-3</v>
      </c>
    </row>
    <row r="14054" spans="1:6" x14ac:dyDescent="0.25">
      <c r="A14054" s="2" t="str">
        <f t="shared" ref="A14054:A14117" si="496">"45300"</f>
        <v>45300</v>
      </c>
      <c r="B14054" s="2" t="str">
        <f>"33609"</f>
        <v>33609</v>
      </c>
      <c r="C14054" s="1">
        <v>5.8309328123736202E-3</v>
      </c>
      <c r="D14054" s="1">
        <v>1.37835664897893E-2</v>
      </c>
      <c r="E14054" s="1">
        <v>1.36684588974541E-2</v>
      </c>
      <c r="F14054" s="1">
        <v>6.8317073833528003E-3</v>
      </c>
    </row>
    <row r="14055" spans="1:6" x14ac:dyDescent="0.25">
      <c r="A14055" s="2" t="str">
        <f t="shared" si="496"/>
        <v>45300</v>
      </c>
      <c r="B14055" s="2" t="str">
        <f>"33615"</f>
        <v>33615</v>
      </c>
      <c r="C14055" s="1">
        <v>1.25061438819379E-2</v>
      </c>
      <c r="D14055" s="1">
        <v>6.25180897250361E-3</v>
      </c>
      <c r="E14055" s="1">
        <v>2.1869534235926601E-2</v>
      </c>
      <c r="F14055" s="1">
        <v>1.2370444849044799E-2</v>
      </c>
    </row>
    <row r="14056" spans="1:6" x14ac:dyDescent="0.25">
      <c r="A14056" s="2" t="str">
        <f t="shared" si="496"/>
        <v>45300</v>
      </c>
      <c r="B14056" s="2" t="str">
        <f>"33565"</f>
        <v>33565</v>
      </c>
      <c r="C14056" s="1">
        <v>4.8485338675658997E-3</v>
      </c>
      <c r="D14056" s="1">
        <v>7.0750924585946196E-4</v>
      </c>
      <c r="E14056" s="1">
        <v>2.7207358942799698E-4</v>
      </c>
      <c r="F14056" s="1">
        <v>4.3066387673578004E-3</v>
      </c>
    </row>
    <row r="14057" spans="1:6" x14ac:dyDescent="0.25">
      <c r="A14057" s="2" t="str">
        <f t="shared" si="496"/>
        <v>45300</v>
      </c>
      <c r="B14057" s="2" t="str">
        <f>"33603"</f>
        <v>33603</v>
      </c>
      <c r="C14057" s="1">
        <v>5.6872126374207504E-3</v>
      </c>
      <c r="D14057" s="1">
        <v>5.6472101624055297E-3</v>
      </c>
      <c r="E14057" s="1">
        <v>8.3435900757919193E-3</v>
      </c>
      <c r="F14057" s="1">
        <v>5.7952661757112896E-3</v>
      </c>
    </row>
    <row r="14058" spans="1:6" x14ac:dyDescent="0.25">
      <c r="A14058" s="2" t="str">
        <f t="shared" si="496"/>
        <v>45300</v>
      </c>
      <c r="B14058" s="2" t="str">
        <f>"33544"</f>
        <v>33544</v>
      </c>
      <c r="C14058" s="1">
        <v>6.4263449657498001E-3</v>
      </c>
      <c r="D14058" s="1">
        <v>5.7758482071072498E-3</v>
      </c>
      <c r="E14058" s="1">
        <v>6.4649867202176501E-3</v>
      </c>
      <c r="F14058" s="1">
        <v>6.3729992662843998E-3</v>
      </c>
    </row>
    <row r="14059" spans="1:6" x14ac:dyDescent="0.25">
      <c r="A14059" s="2" t="str">
        <f t="shared" si="496"/>
        <v>45300</v>
      </c>
      <c r="B14059" s="2" t="str">
        <f>"33526"</f>
        <v>33526</v>
      </c>
      <c r="C14059" s="1">
        <v>1.1516278954015701E-3</v>
      </c>
      <c r="D14059" s="1">
        <v>2.00032159511175E-3</v>
      </c>
      <c r="E14059" s="1">
        <v>2.5911770421714E-5</v>
      </c>
      <c r="F14059" s="1">
        <v>1.17611891627489E-3</v>
      </c>
    </row>
    <row r="14060" spans="1:6" x14ac:dyDescent="0.25">
      <c r="A14060" s="2" t="str">
        <f t="shared" si="496"/>
        <v>45300</v>
      </c>
      <c r="B14060" s="2" t="str">
        <f>"34685"</f>
        <v>34685</v>
      </c>
      <c r="C14060" s="1">
        <v>4.8976849230692602E-3</v>
      </c>
      <c r="D14060" s="1">
        <v>1.6658626788872801E-3</v>
      </c>
      <c r="E14060" s="1">
        <v>5.4673835589816597E-3</v>
      </c>
      <c r="F14060" s="1">
        <v>4.6484958830402996E-3</v>
      </c>
    </row>
    <row r="14061" spans="1:6" x14ac:dyDescent="0.25">
      <c r="A14061" s="2" t="str">
        <f t="shared" si="496"/>
        <v>45300</v>
      </c>
      <c r="B14061" s="2" t="str">
        <f>"34674"</f>
        <v>34674</v>
      </c>
      <c r="C14061" s="1">
        <v>9.5502367338812504E-4</v>
      </c>
      <c r="D14061" s="1">
        <v>1.45360990512944E-3</v>
      </c>
      <c r="E14061" s="1">
        <v>2.5911770421714E-5</v>
      </c>
      <c r="F14061" s="1">
        <v>9.5817821136443904E-4</v>
      </c>
    </row>
    <row r="14062" spans="1:6" x14ac:dyDescent="0.25">
      <c r="A14062" s="2" t="str">
        <f t="shared" si="496"/>
        <v>45300</v>
      </c>
      <c r="B14062" s="2" t="str">
        <f>"34682"</f>
        <v>34682</v>
      </c>
      <c r="C14062" s="1">
        <v>7.6464110397003596E-4</v>
      </c>
      <c r="D14062" s="1">
        <v>3.0615854639009401E-3</v>
      </c>
      <c r="E14062" s="1">
        <v>2.5911770421714E-5</v>
      </c>
      <c r="F14062" s="1">
        <v>9.2774260170113299E-4</v>
      </c>
    </row>
    <row r="14063" spans="1:6" x14ac:dyDescent="0.25">
      <c r="A14063" s="2" t="str">
        <f t="shared" si="496"/>
        <v>45300</v>
      </c>
      <c r="B14063" s="2" t="str">
        <f>"34639"</f>
        <v>34639</v>
      </c>
      <c r="C14063" s="1">
        <v>7.9693148093996705E-3</v>
      </c>
      <c r="D14063" s="1">
        <v>6.0138285898054299E-3</v>
      </c>
      <c r="E14063" s="1">
        <v>1.51583856967027E-3</v>
      </c>
      <c r="F14063" s="1">
        <v>7.53335688469795E-3</v>
      </c>
    </row>
    <row r="14064" spans="1:6" x14ac:dyDescent="0.25">
      <c r="A14064" s="2" t="str">
        <f t="shared" si="496"/>
        <v>45300</v>
      </c>
      <c r="B14064" s="2" t="str">
        <f>"34613"</f>
        <v>34613</v>
      </c>
      <c r="C14064" s="1">
        <v>6.7448935786323496E-3</v>
      </c>
      <c r="D14064" s="1">
        <v>5.2870236372407099E-3</v>
      </c>
      <c r="E14064" s="1">
        <v>3.49808900693139E-4</v>
      </c>
      <c r="F14064" s="1">
        <v>6.35343351721514E-3</v>
      </c>
    </row>
    <row r="14065" spans="1:6" x14ac:dyDescent="0.25">
      <c r="A14065" s="2" t="str">
        <f t="shared" si="496"/>
        <v>45300</v>
      </c>
      <c r="B14065" s="2" t="str">
        <f>"34611"</f>
        <v>34611</v>
      </c>
      <c r="C14065" s="1">
        <v>1.4197811222616901E-3</v>
      </c>
      <c r="D14065" s="1">
        <v>2.8943560057887101E-3</v>
      </c>
      <c r="E14065" s="1">
        <v>5.1823540843428103E-5</v>
      </c>
      <c r="F14065" s="1">
        <v>1.48699692926438E-3</v>
      </c>
    </row>
    <row r="14066" spans="1:6" x14ac:dyDescent="0.25">
      <c r="A14066" s="2" t="str">
        <f t="shared" si="496"/>
        <v>45300</v>
      </c>
      <c r="B14066" s="2" t="str">
        <f>"34610"</f>
        <v>34610</v>
      </c>
      <c r="C14066" s="1">
        <v>4.1249556707252501E-3</v>
      </c>
      <c r="D14066" s="1">
        <v>1.4278822961890901E-3</v>
      </c>
      <c r="E14066" s="1">
        <v>1.55470622530284E-4</v>
      </c>
      <c r="F14066" s="1">
        <v>3.7305361558738E-3</v>
      </c>
    </row>
    <row r="14067" spans="1:6" x14ac:dyDescent="0.25">
      <c r="A14067" s="2" t="str">
        <f t="shared" si="496"/>
        <v>45300</v>
      </c>
      <c r="B14067" s="2" t="str">
        <f>"34653"</f>
        <v>34653</v>
      </c>
      <c r="C14067" s="1">
        <v>1.09407760889447E-2</v>
      </c>
      <c r="D14067" s="1">
        <v>5.58932304228975E-3</v>
      </c>
      <c r="E14067" s="1">
        <v>1.1491870182030101E-2</v>
      </c>
      <c r="F14067" s="1">
        <v>1.0511698687464301E-2</v>
      </c>
    </row>
    <row r="14068" spans="1:6" x14ac:dyDescent="0.25">
      <c r="A14068" s="2" t="str">
        <f t="shared" si="496"/>
        <v>45300</v>
      </c>
      <c r="B14068" s="2" t="str">
        <f>"34667"</f>
        <v>34667</v>
      </c>
      <c r="C14068" s="1">
        <v>1.2339403592382199E-2</v>
      </c>
      <c r="D14068" s="1">
        <v>1.0175269335906E-2</v>
      </c>
      <c r="E14068" s="1">
        <v>7.6180605039839304E-3</v>
      </c>
      <c r="F14068" s="1">
        <v>1.19584771325307E-2</v>
      </c>
    </row>
    <row r="14069" spans="1:6" x14ac:dyDescent="0.25">
      <c r="A14069" s="2" t="str">
        <f t="shared" si="496"/>
        <v>45300</v>
      </c>
      <c r="B14069" s="2" t="str">
        <f>"34608"</f>
        <v>34608</v>
      </c>
      <c r="C14069" s="1">
        <v>8.9734895382911593E-3</v>
      </c>
      <c r="D14069" s="1">
        <v>2.2254381733397598E-3</v>
      </c>
      <c r="E14069" s="1">
        <v>7.6439722744056399E-4</v>
      </c>
      <c r="F14069" s="1">
        <v>8.0589146444196794E-3</v>
      </c>
    </row>
    <row r="14070" spans="1:6" x14ac:dyDescent="0.25">
      <c r="A14070" s="2" t="str">
        <f t="shared" si="496"/>
        <v>45300</v>
      </c>
      <c r="B14070" s="2" t="str">
        <f>"33786"</f>
        <v>33786</v>
      </c>
      <c r="C14070" s="1">
        <v>7.6526326922957198E-4</v>
      </c>
      <c r="D14070" s="1">
        <v>5.7887120115774203E-5</v>
      </c>
      <c r="E14070" s="1">
        <v>4.0163244153656699E-4</v>
      </c>
      <c r="F14070" s="1">
        <v>6.9023614772140498E-4</v>
      </c>
    </row>
    <row r="14071" spans="1:6" x14ac:dyDescent="0.25">
      <c r="A14071" s="2" t="str">
        <f t="shared" si="496"/>
        <v>45300</v>
      </c>
      <c r="B14071" s="2" t="str">
        <f>"33706"</f>
        <v>33706</v>
      </c>
      <c r="C14071" s="1">
        <v>8.6661399000802497E-3</v>
      </c>
      <c r="D14071" s="1">
        <v>6.0652838076861197E-3</v>
      </c>
      <c r="E14071" s="1">
        <v>1.8293709917730099E-2</v>
      </c>
      <c r="F14071" s="1">
        <v>8.8502404956656393E-3</v>
      </c>
    </row>
    <row r="14072" spans="1:6" x14ac:dyDescent="0.25">
      <c r="A14072" s="2" t="str">
        <f t="shared" si="496"/>
        <v>45300</v>
      </c>
      <c r="B14072" s="2" t="str">
        <f>"33705"</f>
        <v>33705</v>
      </c>
      <c r="C14072" s="1">
        <v>9.5489924033621797E-3</v>
      </c>
      <c r="D14072" s="1">
        <v>5.4285254864126003E-3</v>
      </c>
      <c r="E14072" s="1">
        <v>1.4044179568569E-2</v>
      </c>
      <c r="F14072" s="1">
        <v>9.3893855811299203E-3</v>
      </c>
    </row>
    <row r="14073" spans="1:6" x14ac:dyDescent="0.25">
      <c r="A14073" s="2" t="str">
        <f t="shared" si="496"/>
        <v>45300</v>
      </c>
      <c r="B14073" s="2" t="str">
        <f>"33778"</f>
        <v>33778</v>
      </c>
      <c r="C14073" s="1">
        <v>4.9798107373280401E-3</v>
      </c>
      <c r="D14073" s="1">
        <v>3.4667953047113598E-3</v>
      </c>
      <c r="E14073" s="1">
        <v>1.9304268964176899E-3</v>
      </c>
      <c r="F14073" s="1">
        <v>4.7240414141688598E-3</v>
      </c>
    </row>
    <row r="14074" spans="1:6" x14ac:dyDescent="0.25">
      <c r="A14074" s="2" t="str">
        <f t="shared" si="496"/>
        <v>45300</v>
      </c>
      <c r="B14074" s="2" t="str">
        <f>"33759"</f>
        <v>33759</v>
      </c>
      <c r="C14074" s="1">
        <v>5.9802524746623096E-3</v>
      </c>
      <c r="D14074" s="1">
        <v>6.1296028300369797E-3</v>
      </c>
      <c r="E14074" s="1">
        <v>7.48850165187536E-3</v>
      </c>
      <c r="F14074" s="1">
        <v>6.0561428299681997E-3</v>
      </c>
    </row>
    <row r="14075" spans="1:6" x14ac:dyDescent="0.25">
      <c r="A14075" s="2" t="str">
        <f t="shared" si="496"/>
        <v>45300</v>
      </c>
      <c r="B14075" s="2" t="str">
        <f>"33680"</f>
        <v>33680</v>
      </c>
      <c r="C14075" s="1">
        <v>1.0726129074404699E-3</v>
      </c>
      <c r="D14075" s="1">
        <v>2.1804148576941599E-3</v>
      </c>
      <c r="E14075" s="1">
        <v>2.5911770421714E-5</v>
      </c>
      <c r="F14075" s="1">
        <v>1.12231310633441E-3</v>
      </c>
    </row>
    <row r="14076" spans="1:6" x14ac:dyDescent="0.25">
      <c r="A14076" s="2" t="str">
        <f t="shared" si="496"/>
        <v>45300</v>
      </c>
      <c r="B14076" s="2" t="str">
        <f>"33685"</f>
        <v>33685</v>
      </c>
      <c r="C14076" s="1">
        <v>1.14291758176806E-3</v>
      </c>
      <c r="D14076" s="1">
        <v>2.65637562309052E-3</v>
      </c>
      <c r="E14076" s="1">
        <v>2.5911770421714E-5</v>
      </c>
      <c r="F14076" s="1">
        <v>1.22394630288866E-3</v>
      </c>
    </row>
    <row r="14077" spans="1:6" x14ac:dyDescent="0.25">
      <c r="A14077" s="2" t="str">
        <f t="shared" si="496"/>
        <v>45300</v>
      </c>
      <c r="B14077" s="2" t="str">
        <f>"33673"</f>
        <v>33673</v>
      </c>
      <c r="C14077" s="1">
        <v>5.9105699655942598E-4</v>
      </c>
      <c r="D14077" s="1">
        <v>5.9173500562791396E-4</v>
      </c>
      <c r="E14077" s="1">
        <v>2.5911770421714E-5</v>
      </c>
      <c r="F14077" s="1">
        <v>5.6740672300877699E-4</v>
      </c>
    </row>
    <row r="14078" spans="1:6" x14ac:dyDescent="0.25">
      <c r="A14078" s="2" t="str">
        <f t="shared" si="496"/>
        <v>45300</v>
      </c>
      <c r="B14078" s="2" t="str">
        <f>"33688"</f>
        <v>33688</v>
      </c>
      <c r="C14078" s="1">
        <v>1.39365018136117E-3</v>
      </c>
      <c r="D14078" s="1">
        <v>4.8239266763145201E-3</v>
      </c>
      <c r="E14078" s="1">
        <v>3.8867655632570999E-5</v>
      </c>
      <c r="F14078" s="1">
        <v>1.62667463789776E-3</v>
      </c>
    </row>
    <row r="14079" spans="1:6" x14ac:dyDescent="0.25">
      <c r="A14079" s="2" t="str">
        <f t="shared" si="496"/>
        <v>45300</v>
      </c>
      <c r="B14079" s="2" t="str">
        <f>"33744"</f>
        <v>33744</v>
      </c>
      <c r="C14079" s="1">
        <v>5.7052554299473002E-4</v>
      </c>
      <c r="D14079" s="1">
        <v>3.0873130728412899E-4</v>
      </c>
      <c r="E14079" s="1">
        <v>3.8867655632570999E-5</v>
      </c>
      <c r="F14079" s="1">
        <v>5.2610125275143302E-4</v>
      </c>
    </row>
    <row r="14080" spans="1:6" x14ac:dyDescent="0.25">
      <c r="A14080" s="2" t="str">
        <f t="shared" si="496"/>
        <v>45300</v>
      </c>
      <c r="B14080" s="2" t="str">
        <f>"33736"</f>
        <v>33736</v>
      </c>
      <c r="C14080" s="1">
        <v>4.6351311835449703E-4</v>
      </c>
      <c r="D14080" s="1">
        <v>1.4793375140697801E-3</v>
      </c>
      <c r="E14080" s="1">
        <v>2.5911770421714E-5</v>
      </c>
      <c r="F14080" s="1">
        <v>5.3099269001875002E-4</v>
      </c>
    </row>
    <row r="14081" spans="1:6" x14ac:dyDescent="0.25">
      <c r="A14081" s="2" t="str">
        <f t="shared" si="496"/>
        <v>45300</v>
      </c>
      <c r="B14081" s="2" t="str">
        <f>"33732"</f>
        <v>33732</v>
      </c>
      <c r="C14081" s="1">
        <v>7.1797870950481805E-4</v>
      </c>
      <c r="D14081" s="1">
        <v>1.5758160475960699E-3</v>
      </c>
      <c r="E14081" s="1">
        <v>2.5911770421714E-5</v>
      </c>
      <c r="F14081" s="1">
        <v>7.6143373461235299E-4</v>
      </c>
    </row>
    <row r="14082" spans="1:6" x14ac:dyDescent="0.25">
      <c r="A14082" s="2" t="str">
        <f t="shared" si="496"/>
        <v>45300</v>
      </c>
      <c r="B14082" s="2" t="str">
        <f>"33597"</f>
        <v>33597</v>
      </c>
      <c r="C14082" s="1">
        <v>4.1249556707252498E-4</v>
      </c>
      <c r="D14082" s="1">
        <v>7.0750924585946201E-5</v>
      </c>
      <c r="E14082" s="1">
        <v>0</v>
      </c>
      <c r="F14082" s="1">
        <v>3.66314302019076E-4</v>
      </c>
    </row>
    <row r="14083" spans="1:6" x14ac:dyDescent="0.25">
      <c r="A14083" s="2" t="str">
        <f t="shared" si="496"/>
        <v>45300</v>
      </c>
      <c r="B14083" s="2" t="str">
        <f>"33594"</f>
        <v>33594</v>
      </c>
      <c r="C14083" s="1">
        <v>8.2928407443585098E-3</v>
      </c>
      <c r="D14083" s="1">
        <v>1.83309213699951E-3</v>
      </c>
      <c r="E14083" s="1">
        <v>1.69722096262227E-3</v>
      </c>
      <c r="F14083" s="1">
        <v>7.4703116932525303E-3</v>
      </c>
    </row>
    <row r="14084" spans="1:6" x14ac:dyDescent="0.25">
      <c r="A14084" s="2" t="str">
        <f t="shared" si="496"/>
        <v>45300</v>
      </c>
      <c r="B14084" s="2" t="str">
        <f>"33584"</f>
        <v>33584</v>
      </c>
      <c r="C14084" s="1">
        <v>6.6702337474879997E-3</v>
      </c>
      <c r="D14084" s="1">
        <v>3.48609101141662E-3</v>
      </c>
      <c r="E14084" s="1">
        <v>5.9467513117833701E-3</v>
      </c>
      <c r="F14084" s="1">
        <v>6.3708252941656E-3</v>
      </c>
    </row>
    <row r="14085" spans="1:6" x14ac:dyDescent="0.25">
      <c r="A14085" s="2" t="str">
        <f t="shared" si="496"/>
        <v>45300</v>
      </c>
      <c r="B14085" s="2" t="str">
        <f>"33571"</f>
        <v>33571</v>
      </c>
      <c r="C14085" s="1">
        <v>5.0146519918620701E-4</v>
      </c>
      <c r="D14085" s="1">
        <v>1.26065283807686E-3</v>
      </c>
      <c r="E14085" s="1">
        <v>2.5911770421714E-5</v>
      </c>
      <c r="F14085" s="1">
        <v>5.4566700182070104E-4</v>
      </c>
    </row>
    <row r="14086" spans="1:6" x14ac:dyDescent="0.25">
      <c r="A14086" s="2" t="str">
        <f t="shared" si="496"/>
        <v>45300</v>
      </c>
      <c r="B14086" s="2" t="str">
        <f>"33617"</f>
        <v>33617</v>
      </c>
      <c r="C14086" s="1">
        <v>1.25254310049835E-2</v>
      </c>
      <c r="D14086" s="1">
        <v>9.9179932465026498E-3</v>
      </c>
      <c r="E14086" s="1">
        <v>4.2624862343719601E-2</v>
      </c>
      <c r="F14086" s="1">
        <v>1.3567759993478E-2</v>
      </c>
    </row>
    <row r="14087" spans="1:6" x14ac:dyDescent="0.25">
      <c r="A14087" s="2" t="str">
        <f t="shared" si="496"/>
        <v>45300</v>
      </c>
      <c r="B14087" s="2" t="str">
        <f>"33611"</f>
        <v>33611</v>
      </c>
      <c r="C14087" s="1">
        <v>1.16376011796253E-2</v>
      </c>
      <c r="D14087" s="1">
        <v>6.1167390255668103E-3</v>
      </c>
      <c r="E14087" s="1">
        <v>7.7476193560925E-3</v>
      </c>
      <c r="F14087" s="1">
        <v>1.1007907823582099E-2</v>
      </c>
    </row>
    <row r="14088" spans="1:6" x14ac:dyDescent="0.25">
      <c r="A14088" s="2" t="str">
        <f t="shared" si="496"/>
        <v>45300</v>
      </c>
      <c r="B14088" s="2" t="str">
        <f>"33610"</f>
        <v>33610</v>
      </c>
      <c r="C14088" s="1">
        <v>1.12804783206515E-2</v>
      </c>
      <c r="D14088" s="1">
        <v>1.4883421771989E-2</v>
      </c>
      <c r="E14088" s="1">
        <v>1.74127097233918E-2</v>
      </c>
      <c r="F14088" s="1">
        <v>1.18421696241745E-2</v>
      </c>
    </row>
    <row r="14089" spans="1:6" x14ac:dyDescent="0.25">
      <c r="A14089" s="2" t="str">
        <f t="shared" si="496"/>
        <v>45300</v>
      </c>
      <c r="B14089" s="2" t="str">
        <f>"33563"</f>
        <v>33563</v>
      </c>
      <c r="C14089" s="1">
        <v>7.8399044354161302E-3</v>
      </c>
      <c r="D14089" s="1">
        <v>1.30760572439298E-2</v>
      </c>
      <c r="E14089" s="1">
        <v>8.8618254842261993E-3</v>
      </c>
      <c r="F14089" s="1">
        <v>8.3252262289736107E-3</v>
      </c>
    </row>
    <row r="14090" spans="1:6" x14ac:dyDescent="0.25">
      <c r="A14090" s="2" t="str">
        <f t="shared" si="496"/>
        <v>45300</v>
      </c>
      <c r="B14090" s="2" t="str">
        <f>"33605"</f>
        <v>33605</v>
      </c>
      <c r="C14090" s="1">
        <v>5.21498920543274E-3</v>
      </c>
      <c r="D14090" s="1">
        <v>1.1493809294098699E-2</v>
      </c>
      <c r="E14090" s="1">
        <v>2.1895446006348299E-2</v>
      </c>
      <c r="F14090" s="1">
        <v>6.4452838392347602E-3</v>
      </c>
    </row>
    <row r="14091" spans="1:6" x14ac:dyDescent="0.25">
      <c r="A14091" s="2" t="str">
        <f t="shared" si="496"/>
        <v>45300</v>
      </c>
      <c r="B14091" s="2" t="str">
        <f>"33602"</f>
        <v>33602</v>
      </c>
      <c r="C14091" s="1">
        <v>7.8479925837900994E-3</v>
      </c>
      <c r="D14091" s="1">
        <v>1.7758482071072501E-2</v>
      </c>
      <c r="E14091" s="1">
        <v>8.33063419058107E-3</v>
      </c>
      <c r="F14091" s="1">
        <v>8.7056713497649305E-3</v>
      </c>
    </row>
    <row r="14092" spans="1:6" x14ac:dyDescent="0.25">
      <c r="A14092" s="2" t="str">
        <f t="shared" si="496"/>
        <v>45300</v>
      </c>
      <c r="B14092" s="2" t="str">
        <f>"33540"</f>
        <v>33540</v>
      </c>
      <c r="C14092" s="1">
        <v>3.48972494073875E-3</v>
      </c>
      <c r="D14092" s="1">
        <v>6.36758321273516E-4</v>
      </c>
      <c r="E14092" s="1">
        <v>4.1458832674742498E-4</v>
      </c>
      <c r="F14092" s="1">
        <v>3.1196499904888701E-3</v>
      </c>
    </row>
    <row r="14093" spans="1:6" x14ac:dyDescent="0.25">
      <c r="A14093" s="2" t="str">
        <f t="shared" si="496"/>
        <v>45300</v>
      </c>
      <c r="B14093" s="2" t="str">
        <f>"33510"</f>
        <v>33510</v>
      </c>
      <c r="C14093" s="1">
        <v>7.5151341699382099E-3</v>
      </c>
      <c r="D14093" s="1">
        <v>2.7592860588519E-3</v>
      </c>
      <c r="E14093" s="1">
        <v>1.07145170693787E-2</v>
      </c>
      <c r="F14093" s="1">
        <v>7.2474795510747503E-3</v>
      </c>
    </row>
    <row r="14094" spans="1:6" x14ac:dyDescent="0.25">
      <c r="A14094" s="2" t="str">
        <f t="shared" si="496"/>
        <v>45300</v>
      </c>
      <c r="B14094" s="2" t="str">
        <f>"34601"</f>
        <v>34601</v>
      </c>
      <c r="C14094" s="1">
        <v>8.1733850145275493E-3</v>
      </c>
      <c r="D14094" s="1">
        <v>8.2199710564399408E-3</v>
      </c>
      <c r="E14094" s="1">
        <v>1.3603679471399801E-3</v>
      </c>
      <c r="F14094" s="1">
        <v>7.8915187912714999E-3</v>
      </c>
    </row>
    <row r="14095" spans="1:6" x14ac:dyDescent="0.25">
      <c r="A14095" s="2" t="str">
        <f t="shared" si="496"/>
        <v>45300</v>
      </c>
      <c r="B14095" s="2" t="str">
        <f>"34652"</f>
        <v>34652</v>
      </c>
      <c r="C14095" s="1">
        <v>9.6118310945753401E-3</v>
      </c>
      <c r="D14095" s="1">
        <v>1.24200032159511E-2</v>
      </c>
      <c r="E14095" s="1">
        <v>5.77832480404223E-3</v>
      </c>
      <c r="F14095" s="1">
        <v>9.6883067474659596E-3</v>
      </c>
    </row>
    <row r="14096" spans="1:6" x14ac:dyDescent="0.25">
      <c r="A14096" s="2" t="str">
        <f t="shared" si="496"/>
        <v>45300</v>
      </c>
      <c r="B14096" s="2" t="str">
        <f>"34603"</f>
        <v>34603</v>
      </c>
      <c r="C14096" s="1">
        <v>5.8670183974267201E-4</v>
      </c>
      <c r="D14096" s="1">
        <v>1.5307927319504701E-3</v>
      </c>
      <c r="E14096" s="1">
        <v>2.5911770421714E-5</v>
      </c>
      <c r="F14096" s="1">
        <v>6.4295225413733999E-4</v>
      </c>
    </row>
    <row r="14097" spans="1:6" x14ac:dyDescent="0.25">
      <c r="A14097" s="2" t="str">
        <f t="shared" si="496"/>
        <v>45300</v>
      </c>
      <c r="B14097" s="2" t="str">
        <f>"34609"</f>
        <v>34609</v>
      </c>
      <c r="C14097" s="1">
        <v>1.1414243851451801E-2</v>
      </c>
      <c r="D14097" s="1">
        <v>5.7372567936967303E-3</v>
      </c>
      <c r="E14097" s="1">
        <v>1.3603679471399801E-3</v>
      </c>
      <c r="F14097" s="1">
        <v>1.0512785673523701E-2</v>
      </c>
    </row>
    <row r="14098" spans="1:6" x14ac:dyDescent="0.25">
      <c r="A14098" s="2" t="str">
        <f t="shared" si="496"/>
        <v>45300</v>
      </c>
      <c r="B14098" s="2" t="str">
        <f>"33860"</f>
        <v>33860</v>
      </c>
      <c r="C14098" s="1">
        <v>6.8438178548986098E-6</v>
      </c>
      <c r="D14098" s="1">
        <v>6.4319022350860204E-6</v>
      </c>
      <c r="E14098" s="1">
        <v>0</v>
      </c>
      <c r="F14098" s="1">
        <v>6.5219163564227201E-6</v>
      </c>
    </row>
    <row r="14099" spans="1:6" x14ac:dyDescent="0.25">
      <c r="A14099" s="2" t="str">
        <f t="shared" si="496"/>
        <v>45300</v>
      </c>
      <c r="B14099" s="2" t="str">
        <f>"33785"</f>
        <v>33785</v>
      </c>
      <c r="C14099" s="1">
        <v>4.0241648986803803E-3</v>
      </c>
      <c r="D14099" s="1">
        <v>3.6983437851744599E-3</v>
      </c>
      <c r="E14099" s="1">
        <v>9.6650903672993397E-3</v>
      </c>
      <c r="F14099" s="1">
        <v>4.2332672083480504E-3</v>
      </c>
    </row>
    <row r="14100" spans="1:6" x14ac:dyDescent="0.25">
      <c r="A14100" s="2" t="str">
        <f t="shared" si="496"/>
        <v>45300</v>
      </c>
      <c r="B14100" s="2" t="str">
        <f>"33679"</f>
        <v>33679</v>
      </c>
      <c r="C14100" s="1">
        <v>7.1735654424528203E-4</v>
      </c>
      <c r="D14100" s="1">
        <v>4.3736935198584901E-3</v>
      </c>
      <c r="E14100" s="1">
        <v>2.5911770421714E-5</v>
      </c>
      <c r="F14100" s="1">
        <v>9.9730970950297508E-4</v>
      </c>
    </row>
    <row r="14101" spans="1:6" x14ac:dyDescent="0.25">
      <c r="A14101" s="2" t="str">
        <f t="shared" si="496"/>
        <v>45300</v>
      </c>
      <c r="B14101" s="2" t="str">
        <f>"33672"</f>
        <v>33672</v>
      </c>
      <c r="C14101" s="1">
        <v>5.8048018714730999E-4</v>
      </c>
      <c r="D14101" s="1">
        <v>1.50506512301013E-3</v>
      </c>
      <c r="E14101" s="1">
        <v>2.5911770421714E-5</v>
      </c>
      <c r="F14101" s="1">
        <v>6.3534335172151402E-4</v>
      </c>
    </row>
    <row r="14102" spans="1:6" x14ac:dyDescent="0.25">
      <c r="A14102" s="2" t="str">
        <f t="shared" si="496"/>
        <v>45300</v>
      </c>
      <c r="B14102" s="2" t="str">
        <f>"33704"</f>
        <v>33704</v>
      </c>
      <c r="C14102" s="1">
        <v>5.4171929147820196E-3</v>
      </c>
      <c r="D14102" s="1">
        <v>3.4603634024762799E-3</v>
      </c>
      <c r="E14102" s="1">
        <v>8.0067370603096408E-3</v>
      </c>
      <c r="F14102" s="1">
        <v>5.3604717519497797E-3</v>
      </c>
    </row>
    <row r="14103" spans="1:6" x14ac:dyDescent="0.25">
      <c r="A14103" s="2" t="str">
        <f t="shared" si="496"/>
        <v>45300</v>
      </c>
      <c r="B14103" s="2" t="str">
        <f>"33747"</f>
        <v>33747</v>
      </c>
      <c r="C14103" s="1">
        <v>6.7318281081820905E-4</v>
      </c>
      <c r="D14103" s="1">
        <v>1.4600418073645201E-3</v>
      </c>
      <c r="E14103" s="1">
        <v>2.5911770421714E-5</v>
      </c>
      <c r="F14103" s="1">
        <v>7.1251936193918305E-4</v>
      </c>
    </row>
    <row r="14104" spans="1:6" x14ac:dyDescent="0.25">
      <c r="A14104" s="2" t="str">
        <f t="shared" si="496"/>
        <v>45300</v>
      </c>
      <c r="B14104" s="2" t="str">
        <f>"33743"</f>
        <v>33743</v>
      </c>
      <c r="C14104" s="1">
        <v>1.31090220184285E-3</v>
      </c>
      <c r="D14104" s="1">
        <v>3.31886155330438E-3</v>
      </c>
      <c r="E14104" s="1">
        <v>2.5911770421714E-5</v>
      </c>
      <c r="F14104" s="1">
        <v>1.4266692029674701E-3</v>
      </c>
    </row>
    <row r="14105" spans="1:6" x14ac:dyDescent="0.25">
      <c r="A14105" s="2" t="str">
        <f t="shared" si="496"/>
        <v>45300</v>
      </c>
      <c r="B14105" s="2" t="str">
        <f>"33713"</f>
        <v>33713</v>
      </c>
      <c r="C14105" s="1">
        <v>9.6653373068954496E-3</v>
      </c>
      <c r="D14105" s="1">
        <v>1.1776812992442501E-2</v>
      </c>
      <c r="E14105" s="1">
        <v>1.01574140053119E-2</v>
      </c>
      <c r="F14105" s="1">
        <v>9.8643984890893696E-3</v>
      </c>
    </row>
    <row r="14106" spans="1:6" x14ac:dyDescent="0.25">
      <c r="A14106" s="2" t="str">
        <f t="shared" si="496"/>
        <v>45300</v>
      </c>
      <c r="B14106" s="2" t="str">
        <f>"33756"</f>
        <v>33756</v>
      </c>
      <c r="C14106" s="1">
        <v>1.0099608658051699E-2</v>
      </c>
      <c r="D14106" s="1">
        <v>1.1963338157260001E-2</v>
      </c>
      <c r="E14106" s="1">
        <v>1.2839282243959299E-2</v>
      </c>
      <c r="F14106" s="1">
        <v>1.0372020978830899E-2</v>
      </c>
    </row>
    <row r="14107" spans="1:6" x14ac:dyDescent="0.25">
      <c r="A14107" s="2" t="str">
        <f t="shared" si="496"/>
        <v>45300</v>
      </c>
      <c r="B14107" s="2" t="str">
        <f>"33629"</f>
        <v>33629</v>
      </c>
      <c r="C14107" s="1">
        <v>7.1754319382314304E-3</v>
      </c>
      <c r="D14107" s="1">
        <v>7.2873452323524599E-3</v>
      </c>
      <c r="E14107" s="1">
        <v>9.9112521863056208E-3</v>
      </c>
      <c r="F14107" s="1">
        <v>7.2996548819261303E-3</v>
      </c>
    </row>
    <row r="14108" spans="1:6" x14ac:dyDescent="0.25">
      <c r="A14108" s="2" t="str">
        <f t="shared" si="496"/>
        <v>45300</v>
      </c>
      <c r="B14108" s="2" t="str">
        <f>"33626"</f>
        <v>33626</v>
      </c>
      <c r="C14108" s="1">
        <v>8.0595287720324205E-3</v>
      </c>
      <c r="D14108" s="1">
        <v>5.8980543495738801E-3</v>
      </c>
      <c r="E14108" s="1">
        <v>5.0916628878668099E-3</v>
      </c>
      <c r="F14108" s="1">
        <v>7.7523845756678096E-3</v>
      </c>
    </row>
    <row r="14109" spans="1:6" x14ac:dyDescent="0.25">
      <c r="A14109" s="2" t="str">
        <f t="shared" si="496"/>
        <v>45300</v>
      </c>
      <c r="B14109" s="2" t="str">
        <f>"33595"</f>
        <v>33595</v>
      </c>
      <c r="C14109" s="1">
        <v>9.0711694840383498E-4</v>
      </c>
      <c r="D14109" s="1">
        <v>3.6018652516481699E-3</v>
      </c>
      <c r="E14109" s="1">
        <v>2.5911770421714E-5</v>
      </c>
      <c r="F14109" s="1">
        <v>1.0978559199978199E-3</v>
      </c>
    </row>
    <row r="14110" spans="1:6" x14ac:dyDescent="0.25">
      <c r="A14110" s="2" t="str">
        <f t="shared" si="496"/>
        <v>45300</v>
      </c>
      <c r="B14110" s="2" t="str">
        <f>"33569"</f>
        <v>33569</v>
      </c>
      <c r="C14110" s="1">
        <v>6.5140702673444099E-3</v>
      </c>
      <c r="D14110" s="1">
        <v>1.5951117543013299E-3</v>
      </c>
      <c r="E14110" s="1">
        <v>4.7936775280170999E-4</v>
      </c>
      <c r="F14110" s="1">
        <v>5.8452675344438697E-3</v>
      </c>
    </row>
    <row r="14111" spans="1:6" x14ac:dyDescent="0.25">
      <c r="A14111" s="2" t="str">
        <f t="shared" si="496"/>
        <v>45300</v>
      </c>
      <c r="B14111" s="2" t="str">
        <f>"33616"</f>
        <v>33616</v>
      </c>
      <c r="C14111" s="1">
        <v>4.6152218952398103E-3</v>
      </c>
      <c r="D14111" s="1">
        <v>8.6830680173661298E-4</v>
      </c>
      <c r="E14111" s="1">
        <v>4.9750599209691E-3</v>
      </c>
      <c r="F14111" s="1">
        <v>4.3137041767439301E-3</v>
      </c>
    </row>
    <row r="14112" spans="1:6" x14ac:dyDescent="0.25">
      <c r="A14112" s="2" t="str">
        <f t="shared" si="496"/>
        <v>45300</v>
      </c>
      <c r="B14112" s="2" t="str">
        <f>"33549"</f>
        <v>33549</v>
      </c>
      <c r="C14112" s="1">
        <v>4.5785141449271698E-3</v>
      </c>
      <c r="D14112" s="1">
        <v>5.2034089081845897E-3</v>
      </c>
      <c r="E14112" s="1">
        <v>4.9491481505473797E-3</v>
      </c>
      <c r="F14112" s="1">
        <v>4.6468654039511902E-3</v>
      </c>
    </row>
    <row r="14113" spans="1:6" x14ac:dyDescent="0.25">
      <c r="A14113" s="2" t="str">
        <f t="shared" si="496"/>
        <v>45300</v>
      </c>
      <c r="B14113" s="2" t="str">
        <f>"33541"</f>
        <v>33541</v>
      </c>
      <c r="C14113" s="1">
        <v>7.9431838684991506E-3</v>
      </c>
      <c r="D14113" s="1">
        <v>3.1001768773114601E-3</v>
      </c>
      <c r="E14113" s="1">
        <v>1.3603679471399801E-3</v>
      </c>
      <c r="F14113" s="1">
        <v>7.2578059186390901E-3</v>
      </c>
    </row>
    <row r="14114" spans="1:6" x14ac:dyDescent="0.25">
      <c r="A14114" s="2" t="str">
        <f t="shared" si="496"/>
        <v>45300</v>
      </c>
      <c r="B14114" s="2" t="str">
        <f>"34690"</f>
        <v>34690</v>
      </c>
      <c r="C14114" s="1">
        <v>4.5909574501179001E-3</v>
      </c>
      <c r="D14114" s="1">
        <v>2.27689339122045E-3</v>
      </c>
      <c r="E14114" s="1">
        <v>6.0892660491028005E-4</v>
      </c>
      <c r="F14114" s="1">
        <v>4.22837577108073E-3</v>
      </c>
    </row>
    <row r="14115" spans="1:6" x14ac:dyDescent="0.25">
      <c r="A14115" s="2" t="str">
        <f t="shared" si="496"/>
        <v>45300</v>
      </c>
      <c r="B14115" s="2" t="str">
        <f>"34698"</f>
        <v>34698</v>
      </c>
      <c r="C14115" s="1">
        <v>1.47689589308712E-2</v>
      </c>
      <c r="D14115" s="1">
        <v>8.9917993246502598E-3</v>
      </c>
      <c r="E14115" s="1">
        <v>2.0353695666256302E-2</v>
      </c>
      <c r="F14115" s="1">
        <v>1.45150683442484E-2</v>
      </c>
    </row>
    <row r="14116" spans="1:6" x14ac:dyDescent="0.25">
      <c r="A14116" s="2" t="str">
        <f t="shared" si="496"/>
        <v>45300</v>
      </c>
      <c r="B14116" s="2" t="str">
        <f>"34681"</f>
        <v>34681</v>
      </c>
      <c r="C14116" s="1">
        <v>0</v>
      </c>
      <c r="D14116" s="1">
        <v>0</v>
      </c>
      <c r="E14116" s="1">
        <v>2.5911770421714E-5</v>
      </c>
      <c r="F14116" s="1">
        <v>1.08698605940378E-6</v>
      </c>
    </row>
    <row r="14117" spans="1:6" x14ac:dyDescent="0.25">
      <c r="A14117" s="2" t="str">
        <f t="shared" si="496"/>
        <v>45300</v>
      </c>
      <c r="B14117" s="2" t="str">
        <f>"34607"</f>
        <v>34607</v>
      </c>
      <c r="C14117" s="1">
        <v>3.1406902301389199E-3</v>
      </c>
      <c r="D14117" s="1">
        <v>1.39572278501366E-3</v>
      </c>
      <c r="E14117" s="1">
        <v>3.8867655632570999E-5</v>
      </c>
      <c r="F14117" s="1">
        <v>2.86312128046957E-3</v>
      </c>
    </row>
    <row r="14118" spans="1:6" x14ac:dyDescent="0.25">
      <c r="A14118" s="2" t="str">
        <f t="shared" ref="A14118:A14132" si="497">"45300"</f>
        <v>45300</v>
      </c>
      <c r="B14118" s="2" t="str">
        <f>"34605"</f>
        <v>34605</v>
      </c>
      <c r="C14118" s="1">
        <v>7.3975449358858701E-4</v>
      </c>
      <c r="D14118" s="1">
        <v>1.6337031677118501E-3</v>
      </c>
      <c r="E14118" s="1">
        <v>2.5911770421714E-5</v>
      </c>
      <c r="F14118" s="1">
        <v>7.85347427919236E-4</v>
      </c>
    </row>
    <row r="14119" spans="1:6" x14ac:dyDescent="0.25">
      <c r="A14119" s="2" t="str">
        <f t="shared" si="497"/>
        <v>45300</v>
      </c>
      <c r="B14119" s="2" t="str">
        <f>"33771"</f>
        <v>33771</v>
      </c>
      <c r="C14119" s="1">
        <v>1.0578675907894601E-2</v>
      </c>
      <c r="D14119" s="1">
        <v>1.27737578388808E-2</v>
      </c>
      <c r="E14119" s="1">
        <v>1.29688410960678E-2</v>
      </c>
      <c r="F14119" s="1">
        <v>1.0864425663740801E-2</v>
      </c>
    </row>
    <row r="14120" spans="1:6" x14ac:dyDescent="0.25">
      <c r="A14120" s="2" t="str">
        <f t="shared" si="497"/>
        <v>45300</v>
      </c>
      <c r="B14120" s="2" t="str">
        <f>"33766"</f>
        <v>33766</v>
      </c>
      <c r="C14120" s="1">
        <v>5.5061625468956997E-4</v>
      </c>
      <c r="D14120" s="1">
        <v>1.65943077665219E-3</v>
      </c>
      <c r="E14120" s="1">
        <v>1.2955885210857E-5</v>
      </c>
      <c r="F14120" s="1">
        <v>6.2175602597896605E-4</v>
      </c>
    </row>
    <row r="14121" spans="1:6" x14ac:dyDescent="0.25">
      <c r="A14121" s="2" t="str">
        <f t="shared" si="497"/>
        <v>45300</v>
      </c>
      <c r="B14121" s="2" t="str">
        <f>"33689"</f>
        <v>33689</v>
      </c>
      <c r="C14121" s="1">
        <v>3.3285841385188701E-4</v>
      </c>
      <c r="D14121" s="1">
        <v>1.4214503939540099E-3</v>
      </c>
      <c r="E14121" s="1">
        <v>2.5911770421714E-5</v>
      </c>
      <c r="F14121" s="1">
        <v>4.1196771651403502E-4</v>
      </c>
    </row>
    <row r="14122" spans="1:6" x14ac:dyDescent="0.25">
      <c r="A14122" s="2" t="str">
        <f t="shared" si="497"/>
        <v>45300</v>
      </c>
      <c r="B14122" s="2" t="str">
        <f>"33702"</f>
        <v>33702</v>
      </c>
      <c r="C14122" s="1">
        <v>1.0557522289070399E-2</v>
      </c>
      <c r="D14122" s="1">
        <v>7.3709599614085802E-3</v>
      </c>
      <c r="E14122" s="1">
        <v>1.0144458120101001E-2</v>
      </c>
      <c r="F14122" s="1">
        <v>1.0270931275306301E-2</v>
      </c>
    </row>
    <row r="14123" spans="1:6" x14ac:dyDescent="0.25">
      <c r="A14123" s="2" t="str">
        <f t="shared" si="497"/>
        <v>45300</v>
      </c>
      <c r="B14123" s="2" t="str">
        <f>"33730"</f>
        <v>33730</v>
      </c>
      <c r="C14123" s="1">
        <v>0</v>
      </c>
      <c r="D14123" s="1">
        <v>6.4319022350860204E-6</v>
      </c>
      <c r="E14123" s="1">
        <v>1.2955885210857E-5</v>
      </c>
      <c r="F14123" s="1">
        <v>1.08698605940378E-6</v>
      </c>
    </row>
    <row r="14124" spans="1:6" x14ac:dyDescent="0.25">
      <c r="A14124" s="2" t="str">
        <f t="shared" si="497"/>
        <v>45300</v>
      </c>
      <c r="B14124" s="2" t="str">
        <f>"33731"</f>
        <v>33731</v>
      </c>
      <c r="C14124" s="1">
        <v>1.2717057904920699E-3</v>
      </c>
      <c r="D14124" s="1">
        <v>3.0551535616658602E-3</v>
      </c>
      <c r="E14124" s="1">
        <v>2.5911770421714E-5</v>
      </c>
      <c r="F14124" s="1">
        <v>1.3701459278784699E-3</v>
      </c>
    </row>
    <row r="14125" spans="1:6" x14ac:dyDescent="0.25">
      <c r="A14125" s="2" t="str">
        <f t="shared" si="497"/>
        <v>45300</v>
      </c>
      <c r="B14125" s="2" t="str">
        <f>"33716"</f>
        <v>33716</v>
      </c>
      <c r="C14125" s="1">
        <v>6.7672915279756597E-3</v>
      </c>
      <c r="D14125" s="1">
        <v>5.5121402154687197E-3</v>
      </c>
      <c r="E14125" s="1">
        <v>1.0390619939107301E-2</v>
      </c>
      <c r="F14125" s="1">
        <v>6.8132286203429404E-3</v>
      </c>
    </row>
    <row r="14126" spans="1:6" x14ac:dyDescent="0.25">
      <c r="A14126" s="2" t="str">
        <f t="shared" si="497"/>
        <v>45300</v>
      </c>
      <c r="B14126" s="2" t="str">
        <f>"33630"</f>
        <v>33630</v>
      </c>
      <c r="C14126" s="1">
        <v>0</v>
      </c>
      <c r="D14126" s="1">
        <v>1.2863804470172E-5</v>
      </c>
      <c r="E14126" s="1">
        <v>1.03647081686856E-4</v>
      </c>
      <c r="F14126" s="1">
        <v>5.43493029701894E-6</v>
      </c>
    </row>
    <row r="14127" spans="1:6" x14ac:dyDescent="0.25">
      <c r="A14127" s="2" t="str">
        <f t="shared" si="497"/>
        <v>45300</v>
      </c>
      <c r="B14127" s="2" t="str">
        <f>"33621"</f>
        <v>33621</v>
      </c>
      <c r="C14127" s="1">
        <v>8.4676691822881903E-4</v>
      </c>
      <c r="D14127" s="1">
        <v>9.0689821514712901E-4</v>
      </c>
      <c r="E14127" s="1">
        <v>5.18235408434281E-4</v>
      </c>
      <c r="F14127" s="1">
        <v>8.3806625180032001E-4</v>
      </c>
    </row>
    <row r="14128" spans="1:6" x14ac:dyDescent="0.25">
      <c r="A14128" s="2" t="str">
        <f t="shared" si="497"/>
        <v>45300</v>
      </c>
      <c r="B14128" s="2" t="str">
        <f>"33647"</f>
        <v>33647</v>
      </c>
      <c r="C14128" s="1">
        <v>1.6749310951974999E-2</v>
      </c>
      <c r="D14128" s="1">
        <v>6.00739668757034E-3</v>
      </c>
      <c r="E14128" s="1">
        <v>6.2317807864222304E-3</v>
      </c>
      <c r="F14128" s="1">
        <v>1.54004184896328E-2</v>
      </c>
    </row>
    <row r="14129" spans="1:6" x14ac:dyDescent="0.25">
      <c r="A14129" s="2" t="str">
        <f t="shared" si="497"/>
        <v>45300</v>
      </c>
      <c r="B14129" s="2" t="str">
        <f>"33587"</f>
        <v>33587</v>
      </c>
      <c r="C14129" s="1">
        <v>6.0847762382644E-4</v>
      </c>
      <c r="D14129" s="1">
        <v>1.80093262582408E-4</v>
      </c>
      <c r="E14129" s="1">
        <v>3.8867655632570999E-5</v>
      </c>
      <c r="F14129" s="1">
        <v>5.4838446696921098E-4</v>
      </c>
    </row>
    <row r="14130" spans="1:6" x14ac:dyDescent="0.25">
      <c r="A14130" s="2" t="str">
        <f t="shared" si="497"/>
        <v>45300</v>
      </c>
      <c r="B14130" s="2" t="str">
        <f>"33574"</f>
        <v>33574</v>
      </c>
      <c r="C14130" s="1">
        <v>0</v>
      </c>
      <c r="D14130" s="1">
        <v>6.4319022350860204E-6</v>
      </c>
      <c r="E14130" s="1">
        <v>1.2955885210857E-5</v>
      </c>
      <c r="F14130" s="1">
        <v>1.08698605940378E-6</v>
      </c>
    </row>
    <row r="14131" spans="1:6" x14ac:dyDescent="0.25">
      <c r="A14131" s="2" t="str">
        <f t="shared" si="497"/>
        <v>45300</v>
      </c>
      <c r="B14131" s="2" t="str">
        <f>"33606"</f>
        <v>33606</v>
      </c>
      <c r="C14131" s="1">
        <v>6.6577904422972798E-3</v>
      </c>
      <c r="D14131" s="1">
        <v>9.7443318861553298E-3</v>
      </c>
      <c r="E14131" s="1">
        <v>1.82677981473084E-2</v>
      </c>
      <c r="F14131" s="1">
        <v>7.4056360227180004E-3</v>
      </c>
    </row>
    <row r="14132" spans="1:6" x14ac:dyDescent="0.25">
      <c r="A14132" s="2" t="str">
        <f t="shared" si="497"/>
        <v>45300</v>
      </c>
      <c r="B14132" s="2" t="str">
        <f>"33511"</f>
        <v>33511</v>
      </c>
      <c r="C14132" s="1">
        <v>1.46134176159871E-2</v>
      </c>
      <c r="D14132" s="1">
        <v>1.9707348448303501E-2</v>
      </c>
      <c r="E14132" s="1">
        <v>2.3489019887283701E-2</v>
      </c>
      <c r="F14132" s="1">
        <v>1.54161797874942E-2</v>
      </c>
    </row>
    <row r="14133" spans="1:6" x14ac:dyDescent="0.25">
      <c r="A14133" s="2" t="str">
        <f t="shared" ref="A14133:A14164" si="498">"29460"</f>
        <v>29460</v>
      </c>
      <c r="B14133" s="2" t="str">
        <f>"34714"</f>
        <v>34714</v>
      </c>
      <c r="C14133" s="1">
        <v>0</v>
      </c>
      <c r="D14133" s="1">
        <v>1.6697658532883E-3</v>
      </c>
      <c r="E14133" s="1">
        <v>1.5622287797257401E-3</v>
      </c>
      <c r="F14133" s="1">
        <v>1.35291745161405E-4</v>
      </c>
    </row>
    <row r="14134" spans="1:6" x14ac:dyDescent="0.25">
      <c r="A14134" s="2" t="str">
        <f t="shared" si="498"/>
        <v>29460</v>
      </c>
      <c r="B14134" s="2" t="str">
        <f>"34759"</f>
        <v>34759</v>
      </c>
      <c r="C14134" s="1">
        <v>4.2468175978911803E-2</v>
      </c>
      <c r="D14134" s="1">
        <v>3.1118363629463702E-3</v>
      </c>
      <c r="E14134" s="1">
        <v>1.3886478042006501E-3</v>
      </c>
      <c r="F14134" s="1">
        <v>3.9216737375748503E-2</v>
      </c>
    </row>
    <row r="14135" spans="1:6" x14ac:dyDescent="0.25">
      <c r="A14135" s="2" t="str">
        <f t="shared" si="498"/>
        <v>29460</v>
      </c>
      <c r="B14135" s="2" t="str">
        <f>"33844"</f>
        <v>33844</v>
      </c>
      <c r="C14135" s="1">
        <v>5.7981169744796002E-2</v>
      </c>
      <c r="D14135" s="1">
        <v>4.0605669614056303E-2</v>
      </c>
      <c r="E14135" s="1">
        <v>6.97795521610831E-2</v>
      </c>
      <c r="F14135" s="1">
        <v>5.6985904131758802E-2</v>
      </c>
    </row>
    <row r="14136" spans="1:6" x14ac:dyDescent="0.25">
      <c r="A14136" s="2" t="str">
        <f t="shared" si="498"/>
        <v>29460</v>
      </c>
      <c r="B14136" s="2" t="str">
        <f>"33830"</f>
        <v>33830</v>
      </c>
      <c r="C14136" s="1">
        <v>3.48270741920952E-2</v>
      </c>
      <c r="D14136" s="1">
        <v>5.3394558081287201E-2</v>
      </c>
      <c r="E14136" s="1">
        <v>3.99236243707689E-2</v>
      </c>
      <c r="F14136" s="1">
        <v>3.6150975376902303E-2</v>
      </c>
    </row>
    <row r="14137" spans="1:6" x14ac:dyDescent="0.25">
      <c r="A14137" s="2" t="str">
        <f t="shared" si="498"/>
        <v>29460</v>
      </c>
      <c r="B14137" s="2" t="str">
        <f>"33882"</f>
        <v>33882</v>
      </c>
      <c r="C14137" s="1">
        <v>2.1104789869700801E-3</v>
      </c>
      <c r="D14137" s="1">
        <v>1.1802208644833201E-2</v>
      </c>
      <c r="E14137" s="1">
        <v>3.4716195105016399E-4</v>
      </c>
      <c r="F14137" s="1">
        <v>2.7364669964721998E-3</v>
      </c>
    </row>
    <row r="14138" spans="1:6" x14ac:dyDescent="0.25">
      <c r="A14138" s="2" t="str">
        <f t="shared" si="498"/>
        <v>29460</v>
      </c>
      <c r="B14138" s="2" t="str">
        <f>"33811"</f>
        <v>33811</v>
      </c>
      <c r="C14138" s="1">
        <v>2.80396180561348E-2</v>
      </c>
      <c r="D14138" s="1">
        <v>3.2294789571553198E-2</v>
      </c>
      <c r="E14138" s="1">
        <v>2.62107273042874E-2</v>
      </c>
      <c r="F14138" s="1">
        <v>2.8298948808666801E-2</v>
      </c>
    </row>
    <row r="14139" spans="1:6" x14ac:dyDescent="0.25">
      <c r="A14139" s="2" t="str">
        <f t="shared" si="498"/>
        <v>29460</v>
      </c>
      <c r="B14139" s="2" t="str">
        <f>"33809"</f>
        <v>33809</v>
      </c>
      <c r="C14139" s="1">
        <v>3.8350100379830603E-2</v>
      </c>
      <c r="D14139" s="1">
        <v>3.7379985579294901E-2</v>
      </c>
      <c r="E14139" s="1">
        <v>3.4889776080541501E-2</v>
      </c>
      <c r="F14139" s="1">
        <v>3.82339577175006E-2</v>
      </c>
    </row>
    <row r="14140" spans="1:6" x14ac:dyDescent="0.25">
      <c r="A14140" s="2" t="str">
        <f t="shared" si="498"/>
        <v>29460</v>
      </c>
      <c r="B14140" s="2" t="str">
        <f>"33803"</f>
        <v>33803</v>
      </c>
      <c r="C14140" s="1">
        <v>4.2840777012184597E-2</v>
      </c>
      <c r="D14140" s="1">
        <v>6.2312625706804202E-2</v>
      </c>
      <c r="E14140" s="1">
        <v>7.8458600937337197E-2</v>
      </c>
      <c r="F14140" s="1">
        <v>4.4674355322070897E-2</v>
      </c>
    </row>
    <row r="14141" spans="1:6" x14ac:dyDescent="0.25">
      <c r="A14141" s="2" t="str">
        <f t="shared" si="498"/>
        <v>29460</v>
      </c>
      <c r="B14141" s="2" t="str">
        <f>"33802"</f>
        <v>33802</v>
      </c>
      <c r="C14141" s="1">
        <v>7.9330652830377508E-3</v>
      </c>
      <c r="D14141" s="1">
        <v>1.8215627490417802E-2</v>
      </c>
      <c r="E14141" s="1">
        <v>3.4716195105016399E-4</v>
      </c>
      <c r="F14141" s="1">
        <v>8.5131692474205208E-3</v>
      </c>
    </row>
    <row r="14142" spans="1:6" x14ac:dyDescent="0.25">
      <c r="A14142" s="2" t="str">
        <f t="shared" si="498"/>
        <v>29460</v>
      </c>
      <c r="B14142" s="2" t="str">
        <f>"33810"</f>
        <v>33810</v>
      </c>
      <c r="C14142" s="1">
        <v>6.0631086048593803E-2</v>
      </c>
      <c r="D14142" s="1">
        <v>1.22575993320936E-2</v>
      </c>
      <c r="E14142" s="1">
        <v>3.1244575594514799E-2</v>
      </c>
      <c r="F14142" s="1">
        <v>5.6945061340766698E-2</v>
      </c>
    </row>
    <row r="14143" spans="1:6" x14ac:dyDescent="0.25">
      <c r="A14143" s="2" t="str">
        <f t="shared" si="498"/>
        <v>29460</v>
      </c>
      <c r="B14143" s="2" t="str">
        <f>"33898"</f>
        <v>33898</v>
      </c>
      <c r="C14143" s="1">
        <v>2.8242602201126701E-2</v>
      </c>
      <c r="D14143" s="1">
        <v>9.8667982239763093E-3</v>
      </c>
      <c r="E14143" s="1">
        <v>5.9017531678528003E-3</v>
      </c>
      <c r="F14143" s="1">
        <v>2.66780005411669E-2</v>
      </c>
    </row>
    <row r="14144" spans="1:6" x14ac:dyDescent="0.25">
      <c r="A14144" s="2" t="str">
        <f t="shared" si="498"/>
        <v>29460</v>
      </c>
      <c r="B14144" s="2" t="str">
        <f>"33897"</f>
        <v>33897</v>
      </c>
      <c r="C14144" s="1">
        <v>3.6648370287570099E-2</v>
      </c>
      <c r="D14144" s="1">
        <v>9.1078137452089095E-3</v>
      </c>
      <c r="E14144" s="1">
        <v>1.5795868772782499E-2</v>
      </c>
      <c r="F14144" s="1">
        <v>3.4489184318410297E-2</v>
      </c>
    </row>
    <row r="14145" spans="1:6" x14ac:dyDescent="0.25">
      <c r="A14145" s="2" t="str">
        <f t="shared" si="498"/>
        <v>29460</v>
      </c>
      <c r="B14145" s="2" t="str">
        <f>"33806"</f>
        <v>33806</v>
      </c>
      <c r="C14145" s="1">
        <v>2.01593842628894E-3</v>
      </c>
      <c r="D14145" s="1">
        <v>9.6391028803460895E-3</v>
      </c>
      <c r="E14145" s="1">
        <v>3.4716195105016399E-4</v>
      </c>
      <c r="F14145" s="1">
        <v>2.5041736227045001E-3</v>
      </c>
    </row>
    <row r="14146" spans="1:6" x14ac:dyDescent="0.25">
      <c r="A14146" s="2" t="str">
        <f t="shared" si="498"/>
        <v>29460</v>
      </c>
      <c r="B14146" s="2" t="str">
        <f>"33849"</f>
        <v>33849</v>
      </c>
      <c r="C14146" s="1">
        <v>8.4252323195248497E-4</v>
      </c>
      <c r="D14146" s="1">
        <v>1.5179689575348099E-4</v>
      </c>
      <c r="E14146" s="1">
        <v>3.4716195105016399E-4</v>
      </c>
      <c r="F14146" s="1">
        <v>7.8877640103536403E-4</v>
      </c>
    </row>
    <row r="14147" spans="1:6" x14ac:dyDescent="0.25">
      <c r="A14147" s="2" t="str">
        <f t="shared" si="498"/>
        <v>29460</v>
      </c>
      <c r="B14147" s="2" t="str">
        <f>"33846"</f>
        <v>33846</v>
      </c>
      <c r="C14147" s="1">
        <v>3.21437906315865E-3</v>
      </c>
      <c r="D14147" s="1">
        <v>7.6277940116124604E-3</v>
      </c>
      <c r="E14147" s="1">
        <v>6.9432390210032895E-4</v>
      </c>
      <c r="F14147" s="1">
        <v>3.4741899087674102E-3</v>
      </c>
    </row>
    <row r="14148" spans="1:6" x14ac:dyDescent="0.25">
      <c r="A14148" s="2" t="str">
        <f t="shared" si="498"/>
        <v>29460</v>
      </c>
      <c r="B14148" s="2" t="str">
        <f>"33838"</f>
        <v>33838</v>
      </c>
      <c r="C14148" s="1">
        <v>1.00796921314447E-2</v>
      </c>
      <c r="D14148" s="1">
        <v>1.42309589768889E-2</v>
      </c>
      <c r="E14148" s="1">
        <v>2.6037146328762302E-3</v>
      </c>
      <c r="F14148" s="1">
        <v>1.0248987864585699E-2</v>
      </c>
    </row>
    <row r="14149" spans="1:6" x14ac:dyDescent="0.25">
      <c r="A14149" s="2" t="str">
        <f t="shared" si="498"/>
        <v>29460</v>
      </c>
      <c r="B14149" s="2" t="str">
        <f>"33837"</f>
        <v>33837</v>
      </c>
      <c r="C14149" s="1">
        <v>4.6066278494246903E-2</v>
      </c>
      <c r="D14149" s="1">
        <v>1.89746119691852E-2</v>
      </c>
      <c r="E14149" s="1">
        <v>1.4927963895157E-2</v>
      </c>
      <c r="F14149" s="1">
        <v>4.3786024617992199E-2</v>
      </c>
    </row>
    <row r="14150" spans="1:6" x14ac:dyDescent="0.25">
      <c r="A14150" s="2" t="str">
        <f t="shared" si="498"/>
        <v>29460</v>
      </c>
      <c r="B14150" s="2" t="str">
        <f>"33883"</f>
        <v>33883</v>
      </c>
      <c r="C14150" s="1">
        <v>3.64815340040151E-3</v>
      </c>
      <c r="D14150" s="1">
        <v>1.5786877158362099E-2</v>
      </c>
      <c r="E14150" s="1">
        <v>3.4716195105016399E-4</v>
      </c>
      <c r="F14150" s="1">
        <v>4.4161267760232303E-3</v>
      </c>
    </row>
    <row r="14151" spans="1:6" x14ac:dyDescent="0.25">
      <c r="A14151" s="2" t="str">
        <f t="shared" si="498"/>
        <v>29460</v>
      </c>
      <c r="B14151" s="2" t="str">
        <f>"33860"</f>
        <v>33860</v>
      </c>
      <c r="C14151" s="1">
        <v>2.9532802793951599E-2</v>
      </c>
      <c r="D14151" s="1">
        <v>2.70577966680581E-2</v>
      </c>
      <c r="E14151" s="1">
        <v>9.8941156049296899E-3</v>
      </c>
      <c r="F14151" s="1">
        <v>2.9077514511954099E-2</v>
      </c>
    </row>
    <row r="14152" spans="1:6" x14ac:dyDescent="0.25">
      <c r="A14152" s="2" t="str">
        <f t="shared" si="498"/>
        <v>29460</v>
      </c>
      <c r="B14152" s="2" t="str">
        <f>"33547"</f>
        <v>33547</v>
      </c>
      <c r="C14152" s="1">
        <v>1.7795870245861E-4</v>
      </c>
      <c r="D14152" s="1">
        <v>3.7949223938370403E-5</v>
      </c>
      <c r="E14152" s="1">
        <v>1.7358097552508199E-4</v>
      </c>
      <c r="F14152" s="1">
        <v>1.6847651284250501E-4</v>
      </c>
    </row>
    <row r="14153" spans="1:6" x14ac:dyDescent="0.25">
      <c r="A14153" s="2" t="str">
        <f t="shared" si="498"/>
        <v>29460</v>
      </c>
      <c r="B14153" s="2" t="str">
        <f>"33858"</f>
        <v>33858</v>
      </c>
      <c r="C14153" s="1">
        <v>2.39966187846532E-3</v>
      </c>
      <c r="D14153" s="1">
        <v>3.2256840347614801E-3</v>
      </c>
      <c r="E14153" s="1">
        <v>5.2074292657524701E-4</v>
      </c>
      <c r="F14153" s="1">
        <v>2.4275933895942701E-3</v>
      </c>
    </row>
    <row r="14154" spans="1:6" x14ac:dyDescent="0.25">
      <c r="A14154" s="2" t="str">
        <f t="shared" si="498"/>
        <v>29460</v>
      </c>
      <c r="B14154" s="2" t="str">
        <f>"33841"</f>
        <v>33841</v>
      </c>
      <c r="C14154" s="1">
        <v>1.12892551872181E-2</v>
      </c>
      <c r="D14154" s="1">
        <v>9.6391028803460895E-3</v>
      </c>
      <c r="E14154" s="1">
        <v>1.0762020482555101E-2</v>
      </c>
      <c r="F14154" s="1">
        <v>1.1170503336345399E-2</v>
      </c>
    </row>
    <row r="14155" spans="1:6" x14ac:dyDescent="0.25">
      <c r="A14155" s="2" t="str">
        <f t="shared" si="498"/>
        <v>29460</v>
      </c>
      <c r="B14155" s="2" t="str">
        <f>"33885"</f>
        <v>33885</v>
      </c>
      <c r="C14155" s="1">
        <v>4.7882013380269898E-3</v>
      </c>
      <c r="D14155" s="1">
        <v>6.8688095328450502E-3</v>
      </c>
      <c r="E14155" s="1">
        <v>3.4716195105016399E-4</v>
      </c>
      <c r="F14155" s="1">
        <v>4.8628448024995701E-3</v>
      </c>
    </row>
    <row r="14156" spans="1:6" x14ac:dyDescent="0.25">
      <c r="A14156" s="2" t="str">
        <f t="shared" si="498"/>
        <v>29460</v>
      </c>
      <c r="B14156" s="2" t="str">
        <f>"33881"</f>
        <v>33881</v>
      </c>
      <c r="C14156" s="1">
        <v>5.3379268923405401E-2</v>
      </c>
      <c r="D14156" s="1">
        <v>4.9182194224128097E-2</v>
      </c>
      <c r="E14156" s="1">
        <v>6.7002256552681799E-2</v>
      </c>
      <c r="F14156" s="1">
        <v>5.3297289570282701E-2</v>
      </c>
    </row>
    <row r="14157" spans="1:6" x14ac:dyDescent="0.25">
      <c r="A14157" s="2" t="str">
        <f t="shared" si="498"/>
        <v>29460</v>
      </c>
      <c r="B14157" s="2" t="str">
        <f>"33820"</f>
        <v>33820</v>
      </c>
      <c r="C14157" s="1">
        <v>3.6147861436905198E-5</v>
      </c>
      <c r="D14157" s="1">
        <v>0</v>
      </c>
      <c r="E14157" s="1">
        <v>1.7358097552508199E-4</v>
      </c>
      <c r="F14157" s="1">
        <v>3.5737442118107099E-5</v>
      </c>
    </row>
    <row r="14158" spans="1:6" x14ac:dyDescent="0.25">
      <c r="A14158" s="2" t="str">
        <f t="shared" si="498"/>
        <v>29460</v>
      </c>
      <c r="B14158" s="2" t="str">
        <f>"33823"</f>
        <v>33823</v>
      </c>
      <c r="C14158" s="1">
        <v>4.1870345962839901E-2</v>
      </c>
      <c r="D14158" s="1">
        <v>3.4761489127547299E-2</v>
      </c>
      <c r="E14158" s="1">
        <v>8.2971706300989406E-2</v>
      </c>
      <c r="F14158" s="1">
        <v>4.1996599837649903E-2</v>
      </c>
    </row>
    <row r="14159" spans="1:6" x14ac:dyDescent="0.25">
      <c r="A14159" s="2" t="str">
        <f t="shared" si="498"/>
        <v>29460</v>
      </c>
      <c r="B14159" s="2" t="str">
        <f>"33812"</f>
        <v>33812</v>
      </c>
      <c r="C14159" s="1">
        <v>1.5943987498401101E-2</v>
      </c>
      <c r="D14159" s="1">
        <v>5.3508405753102299E-3</v>
      </c>
      <c r="E14159" s="1">
        <v>1.12827634091303E-2</v>
      </c>
      <c r="F14159" s="1">
        <v>1.51628861558254E-2</v>
      </c>
    </row>
    <row r="14160" spans="1:6" x14ac:dyDescent="0.25">
      <c r="A14160" s="2" t="str">
        <f t="shared" si="498"/>
        <v>29460</v>
      </c>
      <c r="B14160" s="2" t="str">
        <f>"33867"</f>
        <v>33867</v>
      </c>
      <c r="C14160" s="1">
        <v>1.64889860246806E-3</v>
      </c>
      <c r="D14160" s="1">
        <v>0</v>
      </c>
      <c r="E14160" s="1">
        <v>1.7358097552508199E-4</v>
      </c>
      <c r="F14160" s="1">
        <v>1.51628861558254E-3</v>
      </c>
    </row>
    <row r="14161" spans="1:6" x14ac:dyDescent="0.25">
      <c r="A14161" s="2" t="str">
        <f t="shared" si="498"/>
        <v>29460</v>
      </c>
      <c r="B14161" s="2" t="str">
        <f>"33863"</f>
        <v>33863</v>
      </c>
      <c r="C14161" s="1">
        <v>0</v>
      </c>
      <c r="D14161" s="1">
        <v>0</v>
      </c>
      <c r="E14161" s="1">
        <v>1.7358097552508199E-4</v>
      </c>
      <c r="F14161" s="1">
        <v>2.55267443700765E-6</v>
      </c>
    </row>
    <row r="14162" spans="1:6" x14ac:dyDescent="0.25">
      <c r="A14162" s="2" t="str">
        <f t="shared" si="498"/>
        <v>29460</v>
      </c>
      <c r="B14162" s="2" t="str">
        <f>"33847"</f>
        <v>33847</v>
      </c>
      <c r="C14162" s="1">
        <v>0</v>
      </c>
      <c r="D14162" s="1">
        <v>0</v>
      </c>
      <c r="E14162" s="1">
        <v>3.4716195105016399E-4</v>
      </c>
      <c r="F14162" s="1">
        <v>5.1053488740153001E-6</v>
      </c>
    </row>
    <row r="14163" spans="1:6" x14ac:dyDescent="0.25">
      <c r="A14163" s="2" t="str">
        <f t="shared" si="498"/>
        <v>29460</v>
      </c>
      <c r="B14163" s="2" t="str">
        <f>"33896"</f>
        <v>33896</v>
      </c>
      <c r="C14163" s="1">
        <v>1.93724731254553E-2</v>
      </c>
      <c r="D14163" s="1">
        <v>3.41543015445334E-3</v>
      </c>
      <c r="E14163" s="1">
        <v>1.24978302378059E-2</v>
      </c>
      <c r="F14163" s="1">
        <v>1.8198016061427499E-2</v>
      </c>
    </row>
    <row r="14164" spans="1:6" x14ac:dyDescent="0.25">
      <c r="A14164" s="2" t="str">
        <f t="shared" si="498"/>
        <v>29460</v>
      </c>
      <c r="B14164" s="2" t="str">
        <f>"33805"</f>
        <v>33805</v>
      </c>
      <c r="C14164" s="1">
        <v>3.2758304276013901E-2</v>
      </c>
      <c r="D14164" s="1">
        <v>2.84619179537778E-2</v>
      </c>
      <c r="E14164" s="1">
        <v>6.3704218017705205E-2</v>
      </c>
      <c r="F14164" s="1">
        <v>3.2924394888524701E-2</v>
      </c>
    </row>
    <row r="14165" spans="1:6" x14ac:dyDescent="0.25">
      <c r="A14165" s="2" t="str">
        <f t="shared" ref="A14165:A14190" si="499">"29460"</f>
        <v>29460</v>
      </c>
      <c r="B14165" s="2" t="str">
        <f>"33856"</f>
        <v>33856</v>
      </c>
      <c r="C14165" s="1">
        <v>9.4818621153728504E-4</v>
      </c>
      <c r="D14165" s="1">
        <v>3.7949223938370403E-5</v>
      </c>
      <c r="E14165" s="1">
        <v>1.7358097552508199E-4</v>
      </c>
      <c r="F14165" s="1">
        <v>8.7556733189362397E-4</v>
      </c>
    </row>
    <row r="14166" spans="1:6" x14ac:dyDescent="0.25">
      <c r="A14166" s="2" t="str">
        <f t="shared" si="499"/>
        <v>29460</v>
      </c>
      <c r="B14166" s="2" t="str">
        <f>"33853"</f>
        <v>33853</v>
      </c>
      <c r="C14166" s="1">
        <v>1.6697531379124299E-2</v>
      </c>
      <c r="D14166" s="1">
        <v>3.9922583583165701E-2</v>
      </c>
      <c r="E14166" s="1">
        <v>5.6934559972227003E-2</v>
      </c>
      <c r="F14166" s="1">
        <v>1.88515007173015E-2</v>
      </c>
    </row>
    <row r="14167" spans="1:6" x14ac:dyDescent="0.25">
      <c r="A14167" s="2" t="str">
        <f t="shared" si="499"/>
        <v>29460</v>
      </c>
      <c r="B14167" s="2" t="str">
        <f>"33850"</f>
        <v>33850</v>
      </c>
      <c r="C14167" s="1">
        <v>1.1439407842417501E-2</v>
      </c>
      <c r="D14167" s="1">
        <v>9.8667982239763093E-3</v>
      </c>
      <c r="E14167" s="1">
        <v>7.4639819475785397E-3</v>
      </c>
      <c r="F14167" s="1">
        <v>1.12751629882628E-2</v>
      </c>
    </row>
    <row r="14168" spans="1:6" x14ac:dyDescent="0.25">
      <c r="A14168" s="2" t="str">
        <f t="shared" si="499"/>
        <v>29460</v>
      </c>
      <c r="B14168" s="2" t="str">
        <f>"33836"</f>
        <v>33836</v>
      </c>
      <c r="C14168" s="1">
        <v>6.9681954431449703E-3</v>
      </c>
      <c r="D14168" s="1">
        <v>8.0072862509961602E-3</v>
      </c>
      <c r="E14168" s="1">
        <v>1.7358097552508199E-4</v>
      </c>
      <c r="F14168" s="1">
        <v>6.9381691197868004E-3</v>
      </c>
    </row>
    <row r="14169" spans="1:6" x14ac:dyDescent="0.25">
      <c r="A14169" s="2" t="str">
        <f t="shared" si="499"/>
        <v>29460</v>
      </c>
      <c r="B14169" s="2" t="str">
        <f>"33868"</f>
        <v>33868</v>
      </c>
      <c r="C14169" s="1">
        <v>1.5226591479114799E-2</v>
      </c>
      <c r="D14169" s="1">
        <v>5.1610944556183796E-3</v>
      </c>
      <c r="E14169" s="1">
        <v>2.0829717063009798E-3</v>
      </c>
      <c r="F14169" s="1">
        <v>1.4356241033730999E-2</v>
      </c>
    </row>
    <row r="14170" spans="1:6" x14ac:dyDescent="0.25">
      <c r="A14170" s="2" t="str">
        <f t="shared" si="499"/>
        <v>29460</v>
      </c>
      <c r="B14170" s="2" t="str">
        <f>"33855"</f>
        <v>33855</v>
      </c>
      <c r="C14170" s="1">
        <v>0</v>
      </c>
      <c r="D14170" s="1">
        <v>0</v>
      </c>
      <c r="E14170" s="1">
        <v>3.4716195105016399E-4</v>
      </c>
      <c r="F14170" s="1">
        <v>5.1053488740153001E-6</v>
      </c>
    </row>
    <row r="14171" spans="1:6" x14ac:dyDescent="0.25">
      <c r="A14171" s="2" t="str">
        <f t="shared" si="499"/>
        <v>29460</v>
      </c>
      <c r="B14171" s="2" t="str">
        <f>"33843"</f>
        <v>33843</v>
      </c>
      <c r="C14171" s="1">
        <v>1.94419882436032E-2</v>
      </c>
      <c r="D14171" s="1">
        <v>1.11191226139425E-2</v>
      </c>
      <c r="E14171" s="1">
        <v>1.3712897066481501E-2</v>
      </c>
      <c r="F14171" s="1">
        <v>1.8797894554124301E-2</v>
      </c>
    </row>
    <row r="14172" spans="1:6" x14ac:dyDescent="0.25">
      <c r="A14172" s="2" t="str">
        <f t="shared" si="499"/>
        <v>29460</v>
      </c>
      <c r="B14172" s="2" t="str">
        <f>"33840"</f>
        <v>33840</v>
      </c>
      <c r="C14172" s="1">
        <v>5.7336069448383599E-3</v>
      </c>
      <c r="D14172" s="1">
        <v>7.6277940116124604E-3</v>
      </c>
      <c r="E14172" s="1">
        <v>1.3886478042006501E-3</v>
      </c>
      <c r="F14172" s="1">
        <v>5.7971236464443698E-3</v>
      </c>
    </row>
    <row r="14173" spans="1:6" x14ac:dyDescent="0.25">
      <c r="A14173" s="2" t="str">
        <f t="shared" si="499"/>
        <v>29460</v>
      </c>
      <c r="B14173" s="2" t="str">
        <f>"33839"</f>
        <v>33839</v>
      </c>
      <c r="C14173" s="1">
        <v>9.6931880745424505E-3</v>
      </c>
      <c r="D14173" s="1">
        <v>1.1308868733634301E-2</v>
      </c>
      <c r="E14173" s="1">
        <v>4.33952438812706E-3</v>
      </c>
      <c r="F14173" s="1">
        <v>9.7231369305621398E-3</v>
      </c>
    </row>
    <row r="14174" spans="1:6" x14ac:dyDescent="0.25">
      <c r="A14174" s="2" t="str">
        <f t="shared" si="499"/>
        <v>29460</v>
      </c>
      <c r="B14174" s="2" t="str">
        <f>"33831"</f>
        <v>33831</v>
      </c>
      <c r="C14174" s="1">
        <v>3.8956272210080201E-3</v>
      </c>
      <c r="D14174" s="1">
        <v>1.1460665629387801E-2</v>
      </c>
      <c r="E14174" s="1">
        <v>3.4716195105016399E-4</v>
      </c>
      <c r="F14174" s="1">
        <v>4.3523099150980403E-3</v>
      </c>
    </row>
    <row r="14175" spans="1:6" x14ac:dyDescent="0.25">
      <c r="A14175" s="2" t="str">
        <f t="shared" si="499"/>
        <v>29460</v>
      </c>
      <c r="B14175" s="2" t="str">
        <f>"33884"</f>
        <v>33884</v>
      </c>
      <c r="C14175" s="1">
        <v>4.5348882474960599E-2</v>
      </c>
      <c r="D14175" s="1">
        <v>2.6792152100489498E-2</v>
      </c>
      <c r="E14175" s="1">
        <v>1.52751258462072E-2</v>
      </c>
      <c r="F14175" s="1">
        <v>4.3658390896141798E-2</v>
      </c>
    </row>
    <row r="14176" spans="1:6" x14ac:dyDescent="0.25">
      <c r="A14176" s="2" t="str">
        <f t="shared" si="499"/>
        <v>29460</v>
      </c>
      <c r="B14176" s="2" t="str">
        <f>"33825"</f>
        <v>33825</v>
      </c>
      <c r="C14176" s="1">
        <v>1.6683628355494701E-4</v>
      </c>
      <c r="D14176" s="1">
        <v>3.03593791506963E-4</v>
      </c>
      <c r="E14176" s="1">
        <v>0</v>
      </c>
      <c r="F14176" s="1">
        <v>1.7358186171651999E-4</v>
      </c>
    </row>
    <row r="14177" spans="1:6" x14ac:dyDescent="0.25">
      <c r="A14177" s="2" t="str">
        <f t="shared" si="499"/>
        <v>29460</v>
      </c>
      <c r="B14177" s="2" t="str">
        <f>"33815"</f>
        <v>33815</v>
      </c>
      <c r="C14177" s="1">
        <v>2.3245855508655999E-2</v>
      </c>
      <c r="D14177" s="1">
        <v>3.4230199992410101E-2</v>
      </c>
      <c r="E14177" s="1">
        <v>3.6799166811317403E-2</v>
      </c>
      <c r="F14177" s="1">
        <v>2.4184037616210501E-2</v>
      </c>
    </row>
    <row r="14178" spans="1:6" x14ac:dyDescent="0.25">
      <c r="A14178" s="2" t="str">
        <f t="shared" si="499"/>
        <v>29460</v>
      </c>
      <c r="B14178" s="2" t="str">
        <f>"33813"</f>
        <v>33813</v>
      </c>
      <c r="C14178" s="1">
        <v>4.2337487556793799E-2</v>
      </c>
      <c r="D14178" s="1">
        <v>5.0776061629539598E-2</v>
      </c>
      <c r="E14178" s="1">
        <v>4.3568824856795599E-2</v>
      </c>
      <c r="F14178" s="1">
        <v>4.2923220658283599E-2</v>
      </c>
    </row>
    <row r="14179" spans="1:6" x14ac:dyDescent="0.25">
      <c r="A14179" s="2" t="str">
        <f t="shared" si="499"/>
        <v>29460</v>
      </c>
      <c r="B14179" s="2" t="str">
        <f>"33859"</f>
        <v>33859</v>
      </c>
      <c r="C14179" s="1">
        <v>1.99258134659125E-2</v>
      </c>
      <c r="D14179" s="1">
        <v>2.94865470001138E-2</v>
      </c>
      <c r="E14179" s="1">
        <v>6.4224960944280502E-3</v>
      </c>
      <c r="F14179" s="1">
        <v>2.0370342007321001E-2</v>
      </c>
    </row>
    <row r="14180" spans="1:6" x14ac:dyDescent="0.25">
      <c r="A14180" s="2" t="str">
        <f t="shared" si="499"/>
        <v>29460</v>
      </c>
      <c r="B14180" s="2" t="str">
        <f>"33804"</f>
        <v>33804</v>
      </c>
      <c r="C14180" s="1">
        <v>5.4583270769726997E-3</v>
      </c>
      <c r="D14180" s="1">
        <v>2.0378733254904899E-2</v>
      </c>
      <c r="E14180" s="1">
        <v>3.4716195105016399E-4</v>
      </c>
      <c r="F14180" s="1">
        <v>6.3867914413931401E-3</v>
      </c>
    </row>
    <row r="14181" spans="1:6" x14ac:dyDescent="0.25">
      <c r="A14181" s="2" t="str">
        <f t="shared" si="499"/>
        <v>29460</v>
      </c>
      <c r="B14181" s="2" t="str">
        <f>"33851"</f>
        <v>33851</v>
      </c>
      <c r="C14181" s="1">
        <v>5.5612094518315804E-6</v>
      </c>
      <c r="D14181" s="1">
        <v>0</v>
      </c>
      <c r="E14181" s="1">
        <v>1.7358097552508199E-4</v>
      </c>
      <c r="F14181" s="1">
        <v>7.6580233110229493E-6</v>
      </c>
    </row>
    <row r="14182" spans="1:6" x14ac:dyDescent="0.25">
      <c r="A14182" s="2" t="str">
        <f t="shared" si="499"/>
        <v>29460</v>
      </c>
      <c r="B14182" s="2" t="str">
        <f>"33854"</f>
        <v>33854</v>
      </c>
      <c r="C14182" s="1">
        <v>9.0369653592263196E-4</v>
      </c>
      <c r="D14182" s="1">
        <v>0</v>
      </c>
      <c r="E14182" s="1">
        <v>1.7358097552508199E-4</v>
      </c>
      <c r="F14182" s="1">
        <v>8.3217186646449405E-4</v>
      </c>
    </row>
    <row r="14183" spans="1:6" x14ac:dyDescent="0.25">
      <c r="A14183" s="2" t="str">
        <f t="shared" si="499"/>
        <v>29460</v>
      </c>
      <c r="B14183" s="2" t="str">
        <f>"33845"</f>
        <v>33845</v>
      </c>
      <c r="C14183" s="1">
        <v>8.37796203918428E-3</v>
      </c>
      <c r="D14183" s="1">
        <v>7.5898447876740901E-3</v>
      </c>
      <c r="E14183" s="1">
        <v>3.4716195105016399E-4</v>
      </c>
      <c r="F14183" s="1">
        <v>8.2068483149796007E-3</v>
      </c>
    </row>
    <row r="14184" spans="1:6" x14ac:dyDescent="0.25">
      <c r="A14184" s="2" t="str">
        <f t="shared" si="499"/>
        <v>29460</v>
      </c>
      <c r="B14184" s="2" t="str">
        <f>"33834"</f>
        <v>33834</v>
      </c>
      <c r="C14184" s="1">
        <v>2.8084107731749501E-4</v>
      </c>
      <c r="D14184" s="1">
        <v>3.03593791506963E-4</v>
      </c>
      <c r="E14184" s="1">
        <v>0</v>
      </c>
      <c r="F14184" s="1">
        <v>2.7824151363383401E-4</v>
      </c>
    </row>
    <row r="14185" spans="1:6" x14ac:dyDescent="0.25">
      <c r="A14185" s="2" t="str">
        <f t="shared" si="499"/>
        <v>29460</v>
      </c>
      <c r="B14185" s="2" t="str">
        <f>"33835"</f>
        <v>33835</v>
      </c>
      <c r="C14185" s="1">
        <v>8.3418141777473706E-6</v>
      </c>
      <c r="D14185" s="1">
        <v>0</v>
      </c>
      <c r="E14185" s="1">
        <v>1.7358097552508199E-4</v>
      </c>
      <c r="F14185" s="1">
        <v>1.02106977480306E-5</v>
      </c>
    </row>
    <row r="14186" spans="1:6" x14ac:dyDescent="0.25">
      <c r="A14186" s="2" t="str">
        <f t="shared" si="499"/>
        <v>29460</v>
      </c>
      <c r="B14186" s="2" t="str">
        <f>"33827"</f>
        <v>33827</v>
      </c>
      <c r="C14186" s="1">
        <v>3.9985095958669E-3</v>
      </c>
      <c r="D14186" s="1">
        <v>1.17642594208948E-3</v>
      </c>
      <c r="E14186" s="1">
        <v>2.4301336573511502E-3</v>
      </c>
      <c r="F14186" s="1">
        <v>3.78561619008234E-3</v>
      </c>
    </row>
    <row r="14187" spans="1:6" x14ac:dyDescent="0.25">
      <c r="A14187" s="2" t="str">
        <f t="shared" si="499"/>
        <v>29460</v>
      </c>
      <c r="B14187" s="2" t="str">
        <f>"33877"</f>
        <v>33877</v>
      </c>
      <c r="C14187" s="1">
        <v>2.7806047259157902E-6</v>
      </c>
      <c r="D14187" s="1">
        <v>0</v>
      </c>
      <c r="E14187" s="1">
        <v>1.7358097552508199E-4</v>
      </c>
      <c r="F14187" s="1">
        <v>5.1053488740153001E-6</v>
      </c>
    </row>
    <row r="14188" spans="1:6" x14ac:dyDescent="0.25">
      <c r="A14188" s="2" t="str">
        <f t="shared" si="499"/>
        <v>29460</v>
      </c>
      <c r="B14188" s="2" t="str">
        <f>"33880"</f>
        <v>33880</v>
      </c>
      <c r="C14188" s="1">
        <v>5.2447766340223599E-2</v>
      </c>
      <c r="D14188" s="1">
        <v>7.9921065614208101E-2</v>
      </c>
      <c r="E14188" s="1">
        <v>6.2489151189029597E-2</v>
      </c>
      <c r="F14188" s="1">
        <v>5.4443440392499202E-2</v>
      </c>
    </row>
    <row r="14189" spans="1:6" x14ac:dyDescent="0.25">
      <c r="A14189" s="2" t="str">
        <f t="shared" si="499"/>
        <v>29460</v>
      </c>
      <c r="B14189" s="2" t="str">
        <f>"33807"</f>
        <v>33807</v>
      </c>
      <c r="C14189" s="1">
        <v>3.4118019986986701E-3</v>
      </c>
      <c r="D14189" s="1">
        <v>2.4287503320557E-2</v>
      </c>
      <c r="E14189" s="1">
        <v>3.4716195105016399E-4</v>
      </c>
      <c r="F14189" s="1">
        <v>4.7709485227672996E-3</v>
      </c>
    </row>
    <row r="14190" spans="1:6" x14ac:dyDescent="0.25">
      <c r="A14190" s="2" t="str">
        <f t="shared" si="499"/>
        <v>29460</v>
      </c>
      <c r="B14190" s="2" t="str">
        <f>"33801"</f>
        <v>33801</v>
      </c>
      <c r="C14190" s="1">
        <v>4.4898424509362198E-2</v>
      </c>
      <c r="D14190" s="1">
        <v>9.3810481575651694E-2</v>
      </c>
      <c r="E14190" s="1">
        <v>0.15917375455650001</v>
      </c>
      <c r="F14190" s="1">
        <v>4.9869047801381503E-2</v>
      </c>
    </row>
    <row r="14191" spans="1:6" x14ac:dyDescent="0.25">
      <c r="A14191" s="2" t="str">
        <f>"11580"</f>
        <v>11580</v>
      </c>
      <c r="B14191" s="2" t="str">
        <f>"34267"</f>
        <v>34267</v>
      </c>
      <c r="C14191" s="1">
        <v>0</v>
      </c>
      <c r="D14191" s="1">
        <v>0</v>
      </c>
      <c r="E14191" s="1">
        <v>8.4388185654008397E-3</v>
      </c>
      <c r="F14191" s="1">
        <v>1.01999184006527E-4</v>
      </c>
    </row>
    <row r="14192" spans="1:6" x14ac:dyDescent="0.25">
      <c r="A14192" s="2" t="str">
        <f>"11580"</f>
        <v>11580</v>
      </c>
      <c r="B14192" s="2" t="str">
        <f>"34268"</f>
        <v>34268</v>
      </c>
      <c r="C14192" s="1">
        <v>0</v>
      </c>
      <c r="D14192" s="1">
        <v>0</v>
      </c>
      <c r="E14192" s="1">
        <v>8.4388185654008397E-3</v>
      </c>
      <c r="F14192" s="1">
        <v>1.01999184006527E-4</v>
      </c>
    </row>
    <row r="14193" spans="1:6" x14ac:dyDescent="0.25">
      <c r="A14193" s="2" t="str">
        <f>"11580"</f>
        <v>11580</v>
      </c>
      <c r="B14193" s="2" t="str">
        <f>"34269"</f>
        <v>34269</v>
      </c>
      <c r="C14193" s="1">
        <v>0.25880883513016001</v>
      </c>
      <c r="D14193" s="1">
        <v>2.1399374849723402E-2</v>
      </c>
      <c r="E14193" s="1">
        <v>0.14345991561181401</v>
      </c>
      <c r="F14193" s="1">
        <v>0.207058343533251</v>
      </c>
    </row>
    <row r="14194" spans="1:6" x14ac:dyDescent="0.25">
      <c r="A14194" s="2" t="str">
        <f>"11580"</f>
        <v>11580</v>
      </c>
      <c r="B14194" s="2" t="str">
        <f>"34266"</f>
        <v>34266</v>
      </c>
      <c r="C14194" s="1">
        <v>0.74059952668945495</v>
      </c>
      <c r="D14194" s="1">
        <v>0.97860062515027602</v>
      </c>
      <c r="E14194" s="1">
        <v>0.83966244725738304</v>
      </c>
      <c r="F14194" s="1">
        <v>0.79227866177070505</v>
      </c>
    </row>
    <row r="14195" spans="1:6" x14ac:dyDescent="0.25">
      <c r="A14195" s="2" t="str">
        <f>"11580"</f>
        <v>11580</v>
      </c>
      <c r="B14195" s="2" t="str">
        <f>"33865"</f>
        <v>33865</v>
      </c>
      <c r="C14195" s="1">
        <v>5.9163818038390705E-4</v>
      </c>
      <c r="D14195" s="1">
        <v>0</v>
      </c>
      <c r="E14195" s="1">
        <v>0</v>
      </c>
      <c r="F14195" s="1">
        <v>4.5899632802937502E-4</v>
      </c>
    </row>
    <row r="14196" spans="1:6" x14ac:dyDescent="0.25">
      <c r="A14196" s="2" t="str">
        <f t="shared" ref="A14196:A14216" si="500">"39460"</f>
        <v>39460</v>
      </c>
      <c r="B14196" s="2" t="str">
        <f>"34224"</f>
        <v>34224</v>
      </c>
      <c r="C14196" s="1">
        <v>9.3072208002155404E-2</v>
      </c>
      <c r="D14196" s="1">
        <v>9.1128199242511101E-2</v>
      </c>
      <c r="E14196" s="1">
        <v>0.17104111986001699</v>
      </c>
      <c r="F14196" s="1">
        <v>9.5643415901191103E-2</v>
      </c>
    </row>
    <row r="14197" spans="1:6" x14ac:dyDescent="0.25">
      <c r="A14197" s="2" t="str">
        <f t="shared" si="500"/>
        <v>39460</v>
      </c>
      <c r="B14197" s="2" t="str">
        <f>"34223"</f>
        <v>34223</v>
      </c>
      <c r="C14197" s="1">
        <v>2.88208945170416E-2</v>
      </c>
      <c r="D14197" s="1">
        <v>3.8218753586594698E-2</v>
      </c>
      <c r="E14197" s="1">
        <v>9.2738407699037601E-2</v>
      </c>
      <c r="F14197" s="1">
        <v>3.1653957123276198E-2</v>
      </c>
    </row>
    <row r="14198" spans="1:6" x14ac:dyDescent="0.25">
      <c r="A14198" s="2" t="str">
        <f t="shared" si="500"/>
        <v>39460</v>
      </c>
      <c r="B14198" s="2" t="str">
        <f>"33955"</f>
        <v>33955</v>
      </c>
      <c r="C14198" s="1">
        <v>4.5492051731106001E-2</v>
      </c>
      <c r="D14198" s="1">
        <v>1.5264547228279499E-2</v>
      </c>
      <c r="E14198" s="1">
        <v>3.08398950131233E-2</v>
      </c>
      <c r="F14198" s="1">
        <v>4.29903144949376E-2</v>
      </c>
    </row>
    <row r="14199" spans="1:6" x14ac:dyDescent="0.25">
      <c r="A14199" s="2" t="str">
        <f t="shared" si="500"/>
        <v>39460</v>
      </c>
      <c r="B14199" s="2" t="str">
        <f>"33981"</f>
        <v>33981</v>
      </c>
      <c r="C14199" s="1">
        <v>6.0664488751178698E-2</v>
      </c>
      <c r="D14199" s="1">
        <v>1.61827154826121E-2</v>
      </c>
      <c r="E14199" s="1">
        <v>1.02799650043744E-2</v>
      </c>
      <c r="F14199" s="1">
        <v>5.5985096892914199E-2</v>
      </c>
    </row>
    <row r="14200" spans="1:6" x14ac:dyDescent="0.25">
      <c r="A14200" s="2" t="str">
        <f t="shared" si="500"/>
        <v>39460</v>
      </c>
      <c r="B14200" s="2" t="str">
        <f>"33982"</f>
        <v>33982</v>
      </c>
      <c r="C14200" s="1">
        <v>5.8281692038259399E-2</v>
      </c>
      <c r="D14200" s="1">
        <v>5.0843567083668002E-2</v>
      </c>
      <c r="E14200" s="1">
        <v>2.6902887139107601E-2</v>
      </c>
      <c r="F14200" s="1">
        <v>5.6704505009352299E-2</v>
      </c>
    </row>
    <row r="14201" spans="1:6" x14ac:dyDescent="0.25">
      <c r="A14201" s="2" t="str">
        <f t="shared" si="500"/>
        <v>39460</v>
      </c>
      <c r="B14201" s="2" t="str">
        <f>"33946"</f>
        <v>33946</v>
      </c>
      <c r="C14201" s="1">
        <v>3.4908392833086298E-2</v>
      </c>
      <c r="D14201" s="1">
        <v>6.1976357167450903E-3</v>
      </c>
      <c r="E14201" s="1">
        <v>2.4278215223097099E-2</v>
      </c>
      <c r="F14201" s="1">
        <v>3.2645983052259298E-2</v>
      </c>
    </row>
    <row r="14202" spans="1:6" x14ac:dyDescent="0.25">
      <c r="A14202" s="2" t="str">
        <f t="shared" si="500"/>
        <v>39460</v>
      </c>
      <c r="B14202" s="2" t="str">
        <f>"33938"</f>
        <v>33938</v>
      </c>
      <c r="C14202" s="1">
        <v>5.6749292738784802E-3</v>
      </c>
      <c r="D14202" s="1">
        <v>2.58234821531045E-2</v>
      </c>
      <c r="E14202" s="1">
        <v>4.3744531933508302E-4</v>
      </c>
      <c r="F14202" s="1">
        <v>6.8230180306392101E-3</v>
      </c>
    </row>
    <row r="14203" spans="1:6" x14ac:dyDescent="0.25">
      <c r="A14203" s="2" t="str">
        <f t="shared" si="500"/>
        <v>39460</v>
      </c>
      <c r="B14203" s="2" t="str">
        <f>"33917"</f>
        <v>33917</v>
      </c>
      <c r="C14203" s="1">
        <v>9.0091607166913599E-4</v>
      </c>
      <c r="D14203" s="1">
        <v>0</v>
      </c>
      <c r="E14203" s="1">
        <v>6.5616797900262401E-4</v>
      </c>
      <c r="F14203" s="1">
        <v>8.3299887166516404E-4</v>
      </c>
    </row>
    <row r="14204" spans="1:6" x14ac:dyDescent="0.25">
      <c r="A14204" s="2" t="str">
        <f t="shared" si="500"/>
        <v>39460</v>
      </c>
      <c r="B14204" s="2" t="str">
        <f>"34266"</f>
        <v>34266</v>
      </c>
      <c r="C14204" s="1">
        <v>0</v>
      </c>
      <c r="D14204" s="1">
        <v>1.14771031791575E-4</v>
      </c>
      <c r="E14204" s="1">
        <v>0</v>
      </c>
      <c r="F14204" s="1">
        <v>7.5727170151378596E-6</v>
      </c>
    </row>
    <row r="14205" spans="1:6" x14ac:dyDescent="0.25">
      <c r="A14205" s="2" t="str">
        <f t="shared" si="500"/>
        <v>39460</v>
      </c>
      <c r="B14205" s="2" t="str">
        <f>"33952"</f>
        <v>33952</v>
      </c>
      <c r="C14205" s="1">
        <v>0.14000404149265699</v>
      </c>
      <c r="D14205" s="1">
        <v>0.124985653621026</v>
      </c>
      <c r="E14205" s="1">
        <v>6.3867016622922101E-2</v>
      </c>
      <c r="F14205" s="1">
        <v>0.13637706072561701</v>
      </c>
    </row>
    <row r="14206" spans="1:6" x14ac:dyDescent="0.25">
      <c r="A14206" s="2" t="str">
        <f t="shared" si="500"/>
        <v>39460</v>
      </c>
      <c r="B14206" s="2" t="str">
        <f>"33947"</f>
        <v>33947</v>
      </c>
      <c r="C14206" s="1">
        <v>5.6690354304189602E-2</v>
      </c>
      <c r="D14206" s="1">
        <v>6.6567198439113897E-3</v>
      </c>
      <c r="E14206" s="1">
        <v>6.71478565179352E-2</v>
      </c>
      <c r="F14206" s="1">
        <v>5.3751145373448501E-2</v>
      </c>
    </row>
    <row r="14207" spans="1:6" x14ac:dyDescent="0.25">
      <c r="A14207" s="2" t="str">
        <f t="shared" si="500"/>
        <v>39460</v>
      </c>
      <c r="B14207" s="2" t="str">
        <f>"33983"</f>
        <v>33983</v>
      </c>
      <c r="C14207" s="1">
        <v>7.2839485383268204E-2</v>
      </c>
      <c r="D14207" s="1">
        <v>3.5349477791805299E-2</v>
      </c>
      <c r="E14207" s="1">
        <v>8.2677165354330701E-2</v>
      </c>
      <c r="F14207" s="1">
        <v>7.0706458770342206E-2</v>
      </c>
    </row>
    <row r="14208" spans="1:6" x14ac:dyDescent="0.25">
      <c r="A14208" s="2" t="str">
        <f t="shared" si="500"/>
        <v>39460</v>
      </c>
      <c r="B14208" s="2" t="str">
        <f>"34269"</f>
        <v>34269</v>
      </c>
      <c r="C14208" s="1">
        <v>9.2617540078135505E-5</v>
      </c>
      <c r="D14208" s="1">
        <v>1.14771031791575E-4</v>
      </c>
      <c r="E14208" s="1">
        <v>0</v>
      </c>
      <c r="F14208" s="1">
        <v>9.0872604181654299E-5</v>
      </c>
    </row>
    <row r="14209" spans="1:6" x14ac:dyDescent="0.25">
      <c r="A14209" s="2" t="str">
        <f t="shared" si="500"/>
        <v>39460</v>
      </c>
      <c r="B14209" s="2" t="str">
        <f>"34287"</f>
        <v>34287</v>
      </c>
      <c r="C14209" s="1">
        <v>0</v>
      </c>
      <c r="D14209" s="1">
        <v>2.2954206358315101E-4</v>
      </c>
      <c r="E14209" s="1">
        <v>0</v>
      </c>
      <c r="F14209" s="1">
        <v>1.5145434030275701E-5</v>
      </c>
    </row>
    <row r="14210" spans="1:6" x14ac:dyDescent="0.25">
      <c r="A14210" s="2" t="str">
        <f t="shared" si="500"/>
        <v>39460</v>
      </c>
      <c r="B14210" s="2" t="str">
        <f>"33954"</f>
        <v>33954</v>
      </c>
      <c r="C14210" s="1">
        <v>4.1719991917014601E-2</v>
      </c>
      <c r="D14210" s="1">
        <v>4.5219786525880802E-2</v>
      </c>
      <c r="E14210" s="1">
        <v>2.3840769903762001E-2</v>
      </c>
      <c r="F14210" s="1">
        <v>4.1331889468622401E-2</v>
      </c>
    </row>
    <row r="14211" spans="1:6" x14ac:dyDescent="0.25">
      <c r="A14211" s="2" t="str">
        <f t="shared" si="500"/>
        <v>39460</v>
      </c>
      <c r="B14211" s="2" t="str">
        <f>"33951"</f>
        <v>33951</v>
      </c>
      <c r="C14211" s="1">
        <v>1.6898491176074299E-2</v>
      </c>
      <c r="D14211" s="1">
        <v>3.8677837713761001E-2</v>
      </c>
      <c r="E14211" s="1">
        <v>4.3744531933508302E-4</v>
      </c>
      <c r="F14211" s="1">
        <v>1.7765594117513401E-2</v>
      </c>
    </row>
    <row r="14212" spans="1:6" x14ac:dyDescent="0.25">
      <c r="A14212" s="2" t="str">
        <f t="shared" si="500"/>
        <v>39460</v>
      </c>
      <c r="B14212" s="2" t="str">
        <f>"33980"</f>
        <v>33980</v>
      </c>
      <c r="C14212" s="1">
        <v>6.8393843459517698E-2</v>
      </c>
      <c r="D14212" s="1">
        <v>8.9406633765637497E-2</v>
      </c>
      <c r="E14212" s="1">
        <v>9.6237970253718205E-2</v>
      </c>
      <c r="F14212" s="1">
        <v>7.0744322355417902E-2</v>
      </c>
    </row>
    <row r="14213" spans="1:6" x14ac:dyDescent="0.25">
      <c r="A14213" s="2" t="str">
        <f t="shared" si="500"/>
        <v>39460</v>
      </c>
      <c r="B14213" s="2" t="str">
        <f>"33953"</f>
        <v>33953</v>
      </c>
      <c r="C14213" s="1">
        <v>3.3973797655934203E-2</v>
      </c>
      <c r="D14213" s="1">
        <v>7.8847698840812497E-2</v>
      </c>
      <c r="E14213" s="1">
        <v>5.2274715660542398E-2</v>
      </c>
      <c r="F14213" s="1">
        <v>3.7568249112098898E-2</v>
      </c>
    </row>
    <row r="14214" spans="1:6" x14ac:dyDescent="0.25">
      <c r="A14214" s="2" t="str">
        <f t="shared" si="500"/>
        <v>39460</v>
      </c>
      <c r="B14214" s="2" t="str">
        <f>"33949"</f>
        <v>33949</v>
      </c>
      <c r="C14214" s="1">
        <v>1.87592617540078E-2</v>
      </c>
      <c r="D14214" s="1">
        <v>4.6137954780213403E-2</v>
      </c>
      <c r="E14214" s="1">
        <v>4.3744531933508302E-4</v>
      </c>
      <c r="F14214" s="1">
        <v>1.9931391183842798E-2</v>
      </c>
    </row>
    <row r="14215" spans="1:6" x14ac:dyDescent="0.25">
      <c r="A14215" s="2" t="str">
        <f t="shared" si="500"/>
        <v>39460</v>
      </c>
      <c r="B14215" s="2" t="str">
        <f>"33948"</f>
        <v>33948</v>
      </c>
      <c r="C14215" s="1">
        <v>7.6401050788090993E-2</v>
      </c>
      <c r="D14215" s="1">
        <v>9.1702054401469002E-2</v>
      </c>
      <c r="E14215" s="1">
        <v>4.4838145231845997E-2</v>
      </c>
      <c r="F14215" s="1">
        <v>7.6317842078559295E-2</v>
      </c>
    </row>
    <row r="14216" spans="1:6" x14ac:dyDescent="0.25">
      <c r="A14216" s="2" t="str">
        <f t="shared" si="500"/>
        <v>39460</v>
      </c>
      <c r="B14216" s="2" t="str">
        <f>"33950"</f>
        <v>33950</v>
      </c>
      <c r="C14216" s="1">
        <v>0.14641149131079001</v>
      </c>
      <c r="D14216" s="1">
        <v>0.1988981980948</v>
      </c>
      <c r="E14216" s="1">
        <v>0.21106736657917699</v>
      </c>
      <c r="F14216" s="1">
        <v>0.15211316668307401</v>
      </c>
    </row>
    <row r="14217" spans="1:6" x14ac:dyDescent="0.25">
      <c r="A14217" s="2" t="str">
        <f t="shared" ref="A14217:A14240" si="501">"19460"</f>
        <v>19460</v>
      </c>
      <c r="B14217" s="2" t="str">
        <f>"35650"</f>
        <v>35650</v>
      </c>
      <c r="C14217" s="1">
        <v>8.7455305815613504E-2</v>
      </c>
      <c r="D14217" s="1">
        <v>9.1382381148102404E-2</v>
      </c>
      <c r="E14217" s="1">
        <v>6.9288389513108603E-2</v>
      </c>
      <c r="F14217" s="1">
        <v>8.7340829043619603E-2</v>
      </c>
    </row>
    <row r="14218" spans="1:6" x14ac:dyDescent="0.25">
      <c r="A14218" s="2" t="str">
        <f t="shared" si="501"/>
        <v>19460</v>
      </c>
      <c r="B14218" s="2" t="str">
        <f>"35643"</f>
        <v>35643</v>
      </c>
      <c r="C14218" s="1">
        <v>2.1971218840414902E-2</v>
      </c>
      <c r="D14218" s="1">
        <v>1.1097410604192301E-2</v>
      </c>
      <c r="E14218" s="1">
        <v>7.4906367041198503E-3</v>
      </c>
      <c r="F14218" s="1">
        <v>2.0726090490382001E-2</v>
      </c>
    </row>
    <row r="14219" spans="1:6" x14ac:dyDescent="0.25">
      <c r="A14219" s="2" t="str">
        <f t="shared" si="501"/>
        <v>19460</v>
      </c>
      <c r="B14219" s="2" t="str">
        <f>"35640"</f>
        <v>35640</v>
      </c>
      <c r="C14219" s="1">
        <v>0.16444932974516399</v>
      </c>
      <c r="D14219" s="1">
        <v>0.14686943416906401</v>
      </c>
      <c r="E14219" s="1">
        <v>9.4101123595505598E-2</v>
      </c>
      <c r="F14219" s="1">
        <v>0.16130452451909999</v>
      </c>
    </row>
    <row r="14220" spans="1:6" x14ac:dyDescent="0.25">
      <c r="A14220" s="2" t="str">
        <f t="shared" si="501"/>
        <v>19460</v>
      </c>
      <c r="B14220" s="2" t="str">
        <f>"35087"</f>
        <v>35087</v>
      </c>
      <c r="C14220" s="1">
        <v>5.9760704494055501E-3</v>
      </c>
      <c r="D14220" s="1">
        <v>1.09604055350047E-3</v>
      </c>
      <c r="E14220" s="1">
        <v>9.3632958801498096E-4</v>
      </c>
      <c r="F14220" s="1">
        <v>5.4524519100514696E-3</v>
      </c>
    </row>
    <row r="14221" spans="1:6" x14ac:dyDescent="0.25">
      <c r="A14221" s="2" t="str">
        <f t="shared" si="501"/>
        <v>19460</v>
      </c>
      <c r="B14221" s="2" t="str">
        <f>"35651"</f>
        <v>35651</v>
      </c>
      <c r="C14221" s="1">
        <v>8.1239181796358695E-3</v>
      </c>
      <c r="D14221" s="1">
        <v>3.97314700643923E-3</v>
      </c>
      <c r="E14221" s="1">
        <v>9.3632958801498096E-4</v>
      </c>
      <c r="F14221" s="1">
        <v>7.6085974893885999E-3</v>
      </c>
    </row>
    <row r="14222" spans="1:6" x14ac:dyDescent="0.25">
      <c r="A14222" s="2" t="str">
        <f t="shared" si="501"/>
        <v>19460</v>
      </c>
      <c r="B14222" s="2" t="str">
        <f>"35619"</f>
        <v>35619</v>
      </c>
      <c r="C14222" s="1">
        <v>3.4807767628144297E-2</v>
      </c>
      <c r="D14222" s="1">
        <v>9.7273599123167496E-3</v>
      </c>
      <c r="E14222" s="1">
        <v>8.4269662921348295E-3</v>
      </c>
      <c r="F14222" s="1">
        <v>3.2105120563532902E-2</v>
      </c>
    </row>
    <row r="14223" spans="1:6" x14ac:dyDescent="0.25">
      <c r="A14223" s="2" t="str">
        <f t="shared" si="501"/>
        <v>19460</v>
      </c>
      <c r="B14223" s="2" t="str">
        <f>"35016"</f>
        <v>35016</v>
      </c>
      <c r="C14223" s="1">
        <v>1.51612780957434E-4</v>
      </c>
      <c r="D14223" s="1">
        <v>0</v>
      </c>
      <c r="E14223" s="1">
        <v>0</v>
      </c>
      <c r="F14223" s="1">
        <v>1.35464643727986E-4</v>
      </c>
    </row>
    <row r="14224" spans="1:6" x14ac:dyDescent="0.25">
      <c r="A14224" s="2" t="str">
        <f t="shared" si="501"/>
        <v>19460</v>
      </c>
      <c r="B14224" s="2" t="str">
        <f>"35058"</f>
        <v>35058</v>
      </c>
      <c r="C14224" s="1">
        <v>2.5268796826239102E-5</v>
      </c>
      <c r="D14224" s="1">
        <v>0</v>
      </c>
      <c r="E14224" s="1">
        <v>0</v>
      </c>
      <c r="F14224" s="1">
        <v>2.2577440621331099E-5</v>
      </c>
    </row>
    <row r="14225" spans="1:6" x14ac:dyDescent="0.25">
      <c r="A14225" s="2" t="str">
        <f t="shared" si="501"/>
        <v>19460</v>
      </c>
      <c r="B14225" s="2" t="str">
        <f>"35673"</f>
        <v>35673</v>
      </c>
      <c r="C14225" s="1">
        <v>5.1598883119180199E-2</v>
      </c>
      <c r="D14225" s="1">
        <v>2.90450746677627E-2</v>
      </c>
      <c r="E14225" s="1">
        <v>2.2003745318351999E-2</v>
      </c>
      <c r="F14225" s="1">
        <v>4.9026912309220599E-2</v>
      </c>
    </row>
    <row r="14226" spans="1:6" x14ac:dyDescent="0.25">
      <c r="A14226" s="2" t="str">
        <f t="shared" si="501"/>
        <v>19460</v>
      </c>
      <c r="B14226" s="2" t="str">
        <f>"35670"</f>
        <v>35670</v>
      </c>
      <c r="C14226" s="1">
        <v>5.2735978976361002E-2</v>
      </c>
      <c r="D14226" s="1">
        <v>2.76750239758871E-2</v>
      </c>
      <c r="E14226" s="1">
        <v>1.7790262172284601E-2</v>
      </c>
      <c r="F14226" s="1">
        <v>4.9828411451277803E-2</v>
      </c>
    </row>
    <row r="14227" spans="1:6" x14ac:dyDescent="0.25">
      <c r="A14227" s="2" t="str">
        <f t="shared" si="501"/>
        <v>19460</v>
      </c>
      <c r="B14227" s="2" t="str">
        <f>"35654"</f>
        <v>35654</v>
      </c>
      <c r="C14227" s="1">
        <v>1.8446221683154501E-3</v>
      </c>
      <c r="D14227" s="1">
        <v>6.8502534593779904E-4</v>
      </c>
      <c r="E14227" s="1">
        <v>0</v>
      </c>
      <c r="F14227" s="1">
        <v>1.7045967669105E-3</v>
      </c>
    </row>
    <row r="14228" spans="1:6" x14ac:dyDescent="0.25">
      <c r="A14228" s="2" t="str">
        <f t="shared" si="501"/>
        <v>19460</v>
      </c>
      <c r="B14228" s="2" t="str">
        <f>"35754"</f>
        <v>35754</v>
      </c>
      <c r="C14228" s="1">
        <v>3.5148896385298598E-2</v>
      </c>
      <c r="D14228" s="1">
        <v>1.9454719824633499E-2</v>
      </c>
      <c r="E14228" s="1">
        <v>1.7790262172284601E-2</v>
      </c>
      <c r="F14228" s="1">
        <v>3.3437189560191399E-2</v>
      </c>
    </row>
    <row r="14229" spans="1:6" x14ac:dyDescent="0.25">
      <c r="A14229" s="2" t="str">
        <f t="shared" si="501"/>
        <v>19460</v>
      </c>
      <c r="B14229" s="2" t="str">
        <f>"35618"</f>
        <v>35618</v>
      </c>
      <c r="C14229" s="1">
        <v>1.31903119432968E-2</v>
      </c>
      <c r="D14229" s="1">
        <v>1.06863953966296E-2</v>
      </c>
      <c r="E14229" s="1">
        <v>9.8314606741572996E-3</v>
      </c>
      <c r="F14229" s="1">
        <v>1.2903007315090699E-2</v>
      </c>
    </row>
    <row r="14230" spans="1:6" x14ac:dyDescent="0.25">
      <c r="A14230" s="2" t="str">
        <f t="shared" si="501"/>
        <v>19460</v>
      </c>
      <c r="B14230" s="2" t="str">
        <f>"35019"</f>
        <v>35019</v>
      </c>
      <c r="C14230" s="1">
        <v>2.6405892683419802E-3</v>
      </c>
      <c r="D14230" s="1">
        <v>0</v>
      </c>
      <c r="E14230" s="1">
        <v>4.6816479400748999E-4</v>
      </c>
      <c r="F14230" s="1">
        <v>2.37063126523977E-3</v>
      </c>
    </row>
    <row r="14231" spans="1:6" x14ac:dyDescent="0.25">
      <c r="A14231" s="2" t="str">
        <f t="shared" si="501"/>
        <v>19460</v>
      </c>
      <c r="B14231" s="2" t="str">
        <f>"35621"</f>
        <v>35621</v>
      </c>
      <c r="C14231" s="1">
        <v>1.8926328822853E-2</v>
      </c>
      <c r="D14231" s="1">
        <v>6.1652281134401904E-3</v>
      </c>
      <c r="E14231" s="1">
        <v>5.1498127340823896E-3</v>
      </c>
      <c r="F14231" s="1">
        <v>1.7542671362774299E-2</v>
      </c>
    </row>
    <row r="14232" spans="1:6" x14ac:dyDescent="0.25">
      <c r="A14232" s="2" t="str">
        <f t="shared" si="501"/>
        <v>19460</v>
      </c>
      <c r="B14232" s="2" t="str">
        <f>"35540"</f>
        <v>35540</v>
      </c>
      <c r="C14232" s="1">
        <v>5.0537593652478203E-5</v>
      </c>
      <c r="D14232" s="1">
        <v>0</v>
      </c>
      <c r="E14232" s="1">
        <v>0</v>
      </c>
      <c r="F14232" s="1">
        <v>4.51548812426623E-5</v>
      </c>
    </row>
    <row r="14233" spans="1:6" x14ac:dyDescent="0.25">
      <c r="A14233" s="2" t="str">
        <f t="shared" si="501"/>
        <v>19460</v>
      </c>
      <c r="B14233" s="2" t="str">
        <f>"35179"</f>
        <v>35179</v>
      </c>
      <c r="C14233" s="1">
        <v>8.21235896852771E-4</v>
      </c>
      <c r="D14233" s="1">
        <v>0</v>
      </c>
      <c r="E14233" s="1">
        <v>0</v>
      </c>
      <c r="F14233" s="1">
        <v>7.33766820193262E-4</v>
      </c>
    </row>
    <row r="14234" spans="1:6" x14ac:dyDescent="0.25">
      <c r="A14234" s="2" t="str">
        <f t="shared" si="501"/>
        <v>19460</v>
      </c>
      <c r="B14234" s="2" t="str">
        <f>"35175"</f>
        <v>35175</v>
      </c>
      <c r="C14234" s="1">
        <v>7.8712302113734794E-3</v>
      </c>
      <c r="D14234" s="1">
        <v>3.56213179887655E-3</v>
      </c>
      <c r="E14234" s="1">
        <v>1.87265917602996E-3</v>
      </c>
      <c r="F14234" s="1">
        <v>7.3715343628646202E-3</v>
      </c>
    </row>
    <row r="14235" spans="1:6" x14ac:dyDescent="0.25">
      <c r="A14235" s="2" t="str">
        <f t="shared" si="501"/>
        <v>19460</v>
      </c>
      <c r="B14235" s="2" t="str">
        <f>"35601"</f>
        <v>35601</v>
      </c>
      <c r="C14235" s="1">
        <v>0.202996879303591</v>
      </c>
      <c r="D14235" s="1">
        <v>0.40923414166324101</v>
      </c>
      <c r="E14235" s="1">
        <v>0.42977528089887601</v>
      </c>
      <c r="F14235" s="1">
        <v>0.225458322044613</v>
      </c>
    </row>
    <row r="14236" spans="1:6" x14ac:dyDescent="0.25">
      <c r="A14236" s="2" t="str">
        <f t="shared" si="501"/>
        <v>19460</v>
      </c>
      <c r="B14236" s="2" t="str">
        <f>"35603"</f>
        <v>35603</v>
      </c>
      <c r="C14236" s="1">
        <v>0.19055199686666899</v>
      </c>
      <c r="D14236" s="1">
        <v>0.110289080695985</v>
      </c>
      <c r="E14236" s="1">
        <v>0.27949438202247101</v>
      </c>
      <c r="F14236" s="1">
        <v>0.18608326560101099</v>
      </c>
    </row>
    <row r="14237" spans="1:6" x14ac:dyDescent="0.25">
      <c r="A14237" s="2" t="str">
        <f t="shared" si="501"/>
        <v>19460</v>
      </c>
      <c r="B14237" s="2" t="str">
        <f>"35775"</f>
        <v>35775</v>
      </c>
      <c r="C14237" s="1">
        <v>4.2577922652212901E-3</v>
      </c>
      <c r="D14237" s="1">
        <v>2.7401013837511902E-4</v>
      </c>
      <c r="E14237" s="1">
        <v>4.6816479400748999E-4</v>
      </c>
      <c r="F14237" s="1">
        <v>3.8381649056262899E-3</v>
      </c>
    </row>
    <row r="14238" spans="1:6" x14ac:dyDescent="0.25">
      <c r="A14238" s="2" t="str">
        <f t="shared" si="501"/>
        <v>19460</v>
      </c>
      <c r="B14238" s="2" t="str">
        <f>"35672"</f>
        <v>35672</v>
      </c>
      <c r="C14238" s="1">
        <v>4.2236793895058598E-2</v>
      </c>
      <c r="D14238" s="1">
        <v>1.9865735032196099E-2</v>
      </c>
      <c r="E14238" s="1">
        <v>2.15355805243445E-2</v>
      </c>
      <c r="F14238" s="1">
        <v>3.9894337577892097E-2</v>
      </c>
    </row>
    <row r="14239" spans="1:6" x14ac:dyDescent="0.25">
      <c r="A14239" s="2" t="str">
        <f t="shared" si="501"/>
        <v>19460</v>
      </c>
      <c r="B14239" s="2" t="str">
        <f>"35602"</f>
        <v>35602</v>
      </c>
      <c r="C14239" s="1">
        <v>1.7448104208518101E-2</v>
      </c>
      <c r="D14239" s="1">
        <v>8.1655021235785705E-2</v>
      </c>
      <c r="E14239" s="1">
        <v>9.3632958801498096E-4</v>
      </c>
      <c r="F14239" s="1">
        <v>2.23403774948071E-2</v>
      </c>
    </row>
    <row r="14240" spans="1:6" x14ac:dyDescent="0.25">
      <c r="A14240" s="2" t="str">
        <f t="shared" si="501"/>
        <v>19460</v>
      </c>
      <c r="B14240" s="2" t="str">
        <f>"35622"</f>
        <v>35622</v>
      </c>
      <c r="C14240" s="1">
        <v>3.4719326839252503E-2</v>
      </c>
      <c r="D14240" s="1">
        <v>1.7262638717632499E-2</v>
      </c>
      <c r="E14240" s="1">
        <v>1.1704119850187201E-2</v>
      </c>
      <c r="F14240" s="1">
        <v>3.2726000180619497E-2</v>
      </c>
    </row>
    <row r="14241" spans="1:6" x14ac:dyDescent="0.25">
      <c r="A14241" s="2" t="str">
        <f t="shared" ref="A14241:A14257" si="502">"23460"</f>
        <v>23460</v>
      </c>
      <c r="B14241" s="2" t="str">
        <f>"35905"</f>
        <v>35905</v>
      </c>
      <c r="C14241" s="1">
        <v>5.3056662279831898E-2</v>
      </c>
      <c r="D14241" s="1">
        <v>2.9640889226676799E-2</v>
      </c>
      <c r="E14241" s="1">
        <v>4.5933014354066902E-2</v>
      </c>
      <c r="F14241" s="1">
        <v>5.0941288829175903E-2</v>
      </c>
    </row>
    <row r="14242" spans="1:6" x14ac:dyDescent="0.25">
      <c r="A14242" s="2" t="str">
        <f t="shared" si="502"/>
        <v>23460</v>
      </c>
      <c r="B14242" s="2" t="str">
        <f>"35903"</f>
        <v>35903</v>
      </c>
      <c r="C14242" s="1">
        <v>0.16928374407326599</v>
      </c>
      <c r="D14242" s="1">
        <v>0.14801444043321199</v>
      </c>
      <c r="E14242" s="1">
        <v>0.111004784688995</v>
      </c>
      <c r="F14242" s="1">
        <v>0.166485908995257</v>
      </c>
    </row>
    <row r="14243" spans="1:6" x14ac:dyDescent="0.25">
      <c r="A14243" s="2" t="str">
        <f t="shared" si="502"/>
        <v>23460</v>
      </c>
      <c r="B14243" s="2" t="str">
        <f>"35956"</f>
        <v>35956</v>
      </c>
      <c r="C14243" s="1">
        <v>7.9035136743045603E-2</v>
      </c>
      <c r="D14243" s="1">
        <v>3.4201026030780901E-2</v>
      </c>
      <c r="E14243" s="1">
        <v>1.6267942583732001E-2</v>
      </c>
      <c r="F14243" s="1">
        <v>7.4153811288990998E-2</v>
      </c>
    </row>
    <row r="14244" spans="1:6" x14ac:dyDescent="0.25">
      <c r="A14244" s="2" t="str">
        <f t="shared" si="502"/>
        <v>23460</v>
      </c>
      <c r="B14244" s="2" t="str">
        <f>"35901"</f>
        <v>35901</v>
      </c>
      <c r="C14244" s="1">
        <v>0.18900647208350599</v>
      </c>
      <c r="D14244" s="1">
        <v>0.30894926847805398</v>
      </c>
      <c r="E14244" s="1">
        <v>0.406698564593301</v>
      </c>
      <c r="F14244" s="1">
        <v>0.202907230846431</v>
      </c>
    </row>
    <row r="14245" spans="1:6" x14ac:dyDescent="0.25">
      <c r="A14245" s="2" t="str">
        <f t="shared" si="502"/>
        <v>23460</v>
      </c>
      <c r="B14245" s="2" t="str">
        <f>"35952"</f>
        <v>35952</v>
      </c>
      <c r="C14245" s="1">
        <v>4.1284320972074399E-2</v>
      </c>
      <c r="D14245" s="1">
        <v>8.9302679080372396E-3</v>
      </c>
      <c r="E14245" s="1">
        <v>7.65550239234449E-3</v>
      </c>
      <c r="F14245" s="1">
        <v>3.7959110996001702E-2</v>
      </c>
    </row>
    <row r="14246" spans="1:6" x14ac:dyDescent="0.25">
      <c r="A14246" s="2" t="str">
        <f t="shared" si="502"/>
        <v>23460</v>
      </c>
      <c r="B14246" s="2" t="str">
        <f>"35907"</f>
        <v>35907</v>
      </c>
      <c r="C14246" s="1">
        <v>7.1679676936667297E-2</v>
      </c>
      <c r="D14246" s="1">
        <v>2.45107353220596E-2</v>
      </c>
      <c r="E14246" s="1">
        <v>4.4976076555023899E-2</v>
      </c>
      <c r="F14246" s="1">
        <v>6.7209479256033697E-2</v>
      </c>
    </row>
    <row r="14247" spans="1:6" x14ac:dyDescent="0.25">
      <c r="A14247" s="2" t="str">
        <f t="shared" si="502"/>
        <v>23460</v>
      </c>
      <c r="B14247" s="2" t="str">
        <f>"35972"</f>
        <v>35972</v>
      </c>
      <c r="C14247" s="1">
        <v>8.4732012475436692E-3</v>
      </c>
      <c r="D14247" s="1">
        <v>2.2800684020520602E-3</v>
      </c>
      <c r="E14247" s="1">
        <v>0</v>
      </c>
      <c r="F14247" s="1">
        <v>7.8022565032293502E-3</v>
      </c>
    </row>
    <row r="14248" spans="1:6" x14ac:dyDescent="0.25">
      <c r="A14248" s="2" t="str">
        <f t="shared" si="502"/>
        <v>23460</v>
      </c>
      <c r="B14248" s="2" t="str">
        <f>"35954"</f>
        <v>35954</v>
      </c>
      <c r="C14248" s="1">
        <v>0.119796643170058</v>
      </c>
      <c r="D14248" s="1">
        <v>0.111153334600038</v>
      </c>
      <c r="E14248" s="1">
        <v>9.6650717703349195E-2</v>
      </c>
      <c r="F14248" s="1">
        <v>0.11866876021820399</v>
      </c>
    </row>
    <row r="14249" spans="1:6" x14ac:dyDescent="0.25">
      <c r="A14249" s="2" t="str">
        <f t="shared" si="502"/>
        <v>23460</v>
      </c>
      <c r="B14249" s="2" t="str">
        <f>"35121"</f>
        <v>35121</v>
      </c>
      <c r="C14249" s="1">
        <v>2.8844940417169901E-4</v>
      </c>
      <c r="D14249" s="1">
        <v>0</v>
      </c>
      <c r="E14249" s="1">
        <v>0</v>
      </c>
      <c r="F14249" s="1">
        <v>2.5899606649724E-4</v>
      </c>
    </row>
    <row r="14250" spans="1:6" x14ac:dyDescent="0.25">
      <c r="A14250" s="2" t="str">
        <f t="shared" si="502"/>
        <v>23460</v>
      </c>
      <c r="B14250" s="2" t="str">
        <f>"35957"</f>
        <v>35957</v>
      </c>
      <c r="C14250" s="1">
        <v>4.1464601849681802E-4</v>
      </c>
      <c r="D14250" s="1">
        <v>0</v>
      </c>
      <c r="E14250" s="1">
        <v>0</v>
      </c>
      <c r="F14250" s="1">
        <v>3.7230684558978199E-4</v>
      </c>
    </row>
    <row r="14251" spans="1:6" x14ac:dyDescent="0.25">
      <c r="A14251" s="2" t="str">
        <f t="shared" si="502"/>
        <v>23460</v>
      </c>
      <c r="B14251" s="2" t="str">
        <f>"35906"</f>
        <v>35906</v>
      </c>
      <c r="C14251" s="1">
        <v>9.5008022499053504E-2</v>
      </c>
      <c r="D14251" s="1">
        <v>0.13015390461713799</v>
      </c>
      <c r="E14251" s="1">
        <v>0.15502392344497601</v>
      </c>
      <c r="F14251" s="1">
        <v>9.9017433672726002E-2</v>
      </c>
    </row>
    <row r="14252" spans="1:6" x14ac:dyDescent="0.25">
      <c r="A14252" s="2" t="str">
        <f t="shared" si="502"/>
        <v>23460</v>
      </c>
      <c r="B14252" s="2" t="str">
        <f>"35902"</f>
        <v>35902</v>
      </c>
      <c r="C14252" s="1">
        <v>2.3761019668643701E-2</v>
      </c>
      <c r="D14252" s="1">
        <v>9.0822724681740394E-2</v>
      </c>
      <c r="E14252" s="1">
        <v>1.9138755980861199E-3</v>
      </c>
      <c r="F14252" s="1">
        <v>2.9104682972627301E-2</v>
      </c>
    </row>
    <row r="14253" spans="1:6" x14ac:dyDescent="0.25">
      <c r="A14253" s="2" t="str">
        <f t="shared" si="502"/>
        <v>23460</v>
      </c>
      <c r="B14253" s="2" t="str">
        <f>"36271"</f>
        <v>36271</v>
      </c>
      <c r="C14253" s="1">
        <v>7.2112351042924794E-5</v>
      </c>
      <c r="D14253" s="1">
        <v>0</v>
      </c>
      <c r="E14253" s="1">
        <v>0</v>
      </c>
      <c r="F14253" s="1">
        <v>6.4749016624310001E-5</v>
      </c>
    </row>
    <row r="14254" spans="1:6" x14ac:dyDescent="0.25">
      <c r="A14254" s="2" t="str">
        <f t="shared" si="502"/>
        <v>23460</v>
      </c>
      <c r="B14254" s="2" t="str">
        <f>"36272"</f>
        <v>36272</v>
      </c>
      <c r="C14254" s="1">
        <v>1.1231498674935499E-2</v>
      </c>
      <c r="D14254" s="1">
        <v>3.6101083032490898E-3</v>
      </c>
      <c r="E14254" s="1">
        <v>0</v>
      </c>
      <c r="F14254" s="1">
        <v>1.03922171682017E-2</v>
      </c>
    </row>
    <row r="14255" spans="1:6" x14ac:dyDescent="0.25">
      <c r="A14255" s="2" t="str">
        <f t="shared" si="502"/>
        <v>23460</v>
      </c>
      <c r="B14255" s="2" t="str">
        <f>"35990"</f>
        <v>35990</v>
      </c>
      <c r="C14255" s="1">
        <v>1.8028087760731199E-5</v>
      </c>
      <c r="D14255" s="1">
        <v>1.90005700171005E-4</v>
      </c>
      <c r="E14255" s="1">
        <v>0</v>
      </c>
      <c r="F14255" s="1">
        <v>3.2374508312155001E-5</v>
      </c>
    </row>
    <row r="14256" spans="1:6" x14ac:dyDescent="0.25">
      <c r="A14256" s="2" t="str">
        <f t="shared" si="502"/>
        <v>23460</v>
      </c>
      <c r="B14256" s="2" t="str">
        <f>"35961"</f>
        <v>35961</v>
      </c>
      <c r="C14256" s="1">
        <v>4.5791342912257201E-3</v>
      </c>
      <c r="D14256" s="1">
        <v>7.6002280068402002E-4</v>
      </c>
      <c r="E14256" s="1">
        <v>0</v>
      </c>
      <c r="F14256" s="1">
        <v>4.1763115722679902E-3</v>
      </c>
    </row>
    <row r="14257" spans="1:6" x14ac:dyDescent="0.25">
      <c r="A14257" s="2" t="str">
        <f t="shared" si="502"/>
        <v>23460</v>
      </c>
      <c r="B14257" s="2" t="str">
        <f>"35904"</f>
        <v>35904</v>
      </c>
      <c r="C14257" s="1">
        <v>0.133011231498674</v>
      </c>
      <c r="D14257" s="1">
        <v>0.106783203496104</v>
      </c>
      <c r="E14257" s="1">
        <v>0.11387559808612401</v>
      </c>
      <c r="F14257" s="1">
        <v>0.13045308124382801</v>
      </c>
    </row>
    <row r="14258" spans="1:6" x14ac:dyDescent="0.25">
      <c r="A14258" s="2" t="str">
        <f t="shared" ref="A14258:A14265" si="503">"45980"</f>
        <v>45980</v>
      </c>
      <c r="B14258" s="2" t="str">
        <f>"36082"</f>
        <v>36082</v>
      </c>
      <c r="C14258" s="1">
        <v>0</v>
      </c>
      <c r="D14258" s="1">
        <v>5.1229508196721303E-4</v>
      </c>
      <c r="E14258" s="1">
        <v>0</v>
      </c>
      <c r="F14258" s="1">
        <v>4.1045848212453302E-5</v>
      </c>
    </row>
    <row r="14259" spans="1:6" x14ac:dyDescent="0.25">
      <c r="A14259" s="2" t="str">
        <f t="shared" si="503"/>
        <v>45980</v>
      </c>
      <c r="B14259" s="2" t="str">
        <f>"36005"</f>
        <v>36005</v>
      </c>
      <c r="C14259" s="1">
        <v>6.3446751692066802E-2</v>
      </c>
      <c r="D14259" s="1">
        <v>2.4077868852459001E-2</v>
      </c>
      <c r="E14259" s="1">
        <v>1.44508670520231E-2</v>
      </c>
      <c r="F14259" s="1">
        <v>5.8900792184870501E-2</v>
      </c>
    </row>
    <row r="14260" spans="1:6" x14ac:dyDescent="0.25">
      <c r="A14260" s="2" t="str">
        <f t="shared" si="503"/>
        <v>45980</v>
      </c>
      <c r="B14260" s="2" t="str">
        <f>"36079"</f>
        <v>36079</v>
      </c>
      <c r="C14260" s="1">
        <v>0.26469911137713498</v>
      </c>
      <c r="D14260" s="1">
        <v>9.6823770491803199E-2</v>
      </c>
      <c r="E14260" s="1">
        <v>0.13872832369942101</v>
      </c>
      <c r="F14260" s="1">
        <v>0.24767064811394299</v>
      </c>
    </row>
    <row r="14261" spans="1:6" x14ac:dyDescent="0.25">
      <c r="A14261" s="2" t="str">
        <f t="shared" si="503"/>
        <v>45980</v>
      </c>
      <c r="B14261" s="2" t="str">
        <f>"36034"</f>
        <v>36034</v>
      </c>
      <c r="C14261" s="1">
        <v>2.1363782862930999E-2</v>
      </c>
      <c r="D14261" s="1">
        <v>4.6106557377049101E-3</v>
      </c>
      <c r="E14261" s="1">
        <v>1.4450867052023099E-3</v>
      </c>
      <c r="F14261" s="1">
        <v>1.94557320527028E-2</v>
      </c>
    </row>
    <row r="14262" spans="1:6" x14ac:dyDescent="0.25">
      <c r="A14262" s="2" t="str">
        <f t="shared" si="503"/>
        <v>45980</v>
      </c>
      <c r="B14262" s="2" t="str">
        <f>"36081"</f>
        <v>36081</v>
      </c>
      <c r="C14262" s="1">
        <v>0.456374602882268</v>
      </c>
      <c r="D14262" s="1">
        <v>0.68698770491803196</v>
      </c>
      <c r="E14262" s="1">
        <v>0.58381502890173398</v>
      </c>
      <c r="F14262" s="1">
        <v>0.47847145261256802</v>
      </c>
    </row>
    <row r="14263" spans="1:6" x14ac:dyDescent="0.25">
      <c r="A14263" s="2" t="str">
        <f t="shared" si="503"/>
        <v>45980</v>
      </c>
      <c r="B14263" s="2" t="str">
        <f>"36049"</f>
        <v>36049</v>
      </c>
      <c r="C14263" s="1">
        <v>2.3481744095031898E-3</v>
      </c>
      <c r="D14263" s="1">
        <v>0</v>
      </c>
      <c r="E14263" s="1">
        <v>0</v>
      </c>
      <c r="F14263" s="1">
        <v>2.0933382588351102E-3</v>
      </c>
    </row>
    <row r="14264" spans="1:6" x14ac:dyDescent="0.25">
      <c r="A14264" s="2" t="str">
        <f t="shared" si="503"/>
        <v>45980</v>
      </c>
      <c r="B14264" s="2" t="str">
        <f>"36035"</f>
        <v>36035</v>
      </c>
      <c r="C14264" s="1">
        <v>6.5196371840324105E-2</v>
      </c>
      <c r="D14264" s="1">
        <v>2.3565573770491802E-2</v>
      </c>
      <c r="E14264" s="1">
        <v>0.15317919075144501</v>
      </c>
      <c r="F14264" s="1">
        <v>6.4359889997126704E-2</v>
      </c>
    </row>
    <row r="14265" spans="1:6" x14ac:dyDescent="0.25">
      <c r="A14265" s="2" t="str">
        <f t="shared" si="503"/>
        <v>45980</v>
      </c>
      <c r="B14265" s="2" t="str">
        <f>"36010"</f>
        <v>36010</v>
      </c>
      <c r="C14265" s="1">
        <v>0.12657120493577001</v>
      </c>
      <c r="D14265" s="1">
        <v>0.16342213114754001</v>
      </c>
      <c r="E14265" s="1">
        <v>0.108381502890173</v>
      </c>
      <c r="F14265" s="1">
        <v>0.12900710093174</v>
      </c>
    </row>
    <row r="14266" spans="1:6" x14ac:dyDescent="0.25">
      <c r="A14266" s="2" t="str">
        <f t="shared" ref="A14266:A14275" si="504">"42820"</f>
        <v>42820</v>
      </c>
      <c r="B14266" s="2" t="str">
        <f>"36773"</f>
        <v>36773</v>
      </c>
      <c r="C14266" s="1">
        <v>8.5445389251217595E-3</v>
      </c>
      <c r="D14266" s="1">
        <v>1.81488203266787E-3</v>
      </c>
      <c r="E14266" s="1">
        <v>2.3323615160349802E-3</v>
      </c>
      <c r="F14266" s="1">
        <v>7.6390122579498999E-3</v>
      </c>
    </row>
    <row r="14267" spans="1:6" x14ac:dyDescent="0.25">
      <c r="A14267" s="2" t="str">
        <f t="shared" si="504"/>
        <v>42820</v>
      </c>
      <c r="B14267" s="2" t="str">
        <f>"36749"</f>
        <v>36749</v>
      </c>
      <c r="C14267" s="1">
        <v>1.07735490795013E-2</v>
      </c>
      <c r="D14267" s="1">
        <v>3.62976406533575E-3</v>
      </c>
      <c r="E14267" s="1">
        <v>6.4139941690961998E-3</v>
      </c>
      <c r="F14267" s="1">
        <v>9.9484810801207992E-3</v>
      </c>
    </row>
    <row r="14268" spans="1:6" x14ac:dyDescent="0.25">
      <c r="A14268" s="2" t="str">
        <f t="shared" si="504"/>
        <v>42820</v>
      </c>
      <c r="B14268" s="2" t="str">
        <f>"36703"</f>
        <v>36703</v>
      </c>
      <c r="C14268" s="1">
        <v>0.28873937092379998</v>
      </c>
      <c r="D14268" s="1">
        <v>0.34664246823956402</v>
      </c>
      <c r="E14268" s="1">
        <v>0.33177842565597598</v>
      </c>
      <c r="F14268" s="1">
        <v>0.29589625155444998</v>
      </c>
    </row>
    <row r="14269" spans="1:6" x14ac:dyDescent="0.25">
      <c r="A14269" s="2" t="str">
        <f t="shared" si="504"/>
        <v>42820</v>
      </c>
      <c r="B14269" s="2" t="str">
        <f>"36701"</f>
        <v>36701</v>
      </c>
      <c r="C14269" s="1">
        <v>0.55333113184182203</v>
      </c>
      <c r="D14269" s="1">
        <v>0.60027223230490001</v>
      </c>
      <c r="E14269" s="1">
        <v>0.63673469387755099</v>
      </c>
      <c r="F14269" s="1">
        <v>0.56208918102682504</v>
      </c>
    </row>
    <row r="14270" spans="1:6" x14ac:dyDescent="0.25">
      <c r="A14270" s="2" t="str">
        <f t="shared" si="504"/>
        <v>42820</v>
      </c>
      <c r="B14270" s="2" t="str">
        <f>"36785"</f>
        <v>36785</v>
      </c>
      <c r="C14270" s="1">
        <v>6.5631965656732403E-3</v>
      </c>
      <c r="D14270" s="1">
        <v>2.2686025408348398E-3</v>
      </c>
      <c r="E14270" s="1">
        <v>0</v>
      </c>
      <c r="F14270" s="1">
        <v>5.8269674897850404E-3</v>
      </c>
    </row>
    <row r="14271" spans="1:6" x14ac:dyDescent="0.25">
      <c r="A14271" s="2" t="str">
        <f t="shared" si="504"/>
        <v>42820</v>
      </c>
      <c r="B14271" s="2" t="str">
        <f>"36775"</f>
        <v>36775</v>
      </c>
      <c r="C14271" s="1">
        <v>1.9441921902088599E-2</v>
      </c>
      <c r="D14271" s="1">
        <v>7.2595281306715E-3</v>
      </c>
      <c r="E14271" s="1">
        <v>2.91545189504373E-3</v>
      </c>
      <c r="F14271" s="1">
        <v>1.7480902469355099E-2</v>
      </c>
    </row>
    <row r="14272" spans="1:6" x14ac:dyDescent="0.25">
      <c r="A14272" s="2" t="str">
        <f t="shared" si="504"/>
        <v>42820</v>
      </c>
      <c r="B14272" s="2" t="str">
        <f>"36759"</f>
        <v>36759</v>
      </c>
      <c r="C14272" s="1">
        <v>4.0741352266160297E-2</v>
      </c>
      <c r="D14272" s="1">
        <v>1.3611615245009E-2</v>
      </c>
      <c r="E14272" s="1">
        <v>1.7492711370262299E-3</v>
      </c>
      <c r="F14272" s="1">
        <v>3.62408953632972E-2</v>
      </c>
    </row>
    <row r="14273" spans="1:6" x14ac:dyDescent="0.25">
      <c r="A14273" s="2" t="str">
        <f t="shared" si="504"/>
        <v>42820</v>
      </c>
      <c r="B14273" s="2" t="str">
        <f>"36758"</f>
        <v>36758</v>
      </c>
      <c r="C14273" s="1">
        <v>1.7254189713530901E-2</v>
      </c>
      <c r="D14273" s="1">
        <v>5.8983666061705898E-3</v>
      </c>
      <c r="E14273" s="1">
        <v>5.8309037900874602E-4</v>
      </c>
      <c r="F14273" s="1">
        <v>1.5349085095043499E-2</v>
      </c>
    </row>
    <row r="14274" spans="1:6" x14ac:dyDescent="0.25">
      <c r="A14274" s="2" t="str">
        <f t="shared" si="504"/>
        <v>42820</v>
      </c>
      <c r="B14274" s="2" t="str">
        <f>"36761"</f>
        <v>36761</v>
      </c>
      <c r="C14274" s="1">
        <v>1.59745727730537E-2</v>
      </c>
      <c r="D14274" s="1">
        <v>1.17967332123411E-2</v>
      </c>
      <c r="E14274" s="1">
        <v>1.7492711370262299E-3</v>
      </c>
      <c r="F14274" s="1">
        <v>1.47806004618937E-2</v>
      </c>
    </row>
    <row r="14275" spans="1:6" x14ac:dyDescent="0.25">
      <c r="A14275" s="2" t="str">
        <f t="shared" si="504"/>
        <v>42820</v>
      </c>
      <c r="B14275" s="2" t="str">
        <f>"36767"</f>
        <v>36767</v>
      </c>
      <c r="C14275" s="1">
        <v>3.8636176009246202E-2</v>
      </c>
      <c r="D14275" s="1">
        <v>6.8058076225045302E-3</v>
      </c>
      <c r="E14275" s="1">
        <v>1.5743440233236101E-2</v>
      </c>
      <c r="F14275" s="1">
        <v>3.4748623201279E-2</v>
      </c>
    </row>
    <row r="14276" spans="1:6" x14ac:dyDescent="0.25">
      <c r="A14276" s="2" t="str">
        <f t="shared" ref="A14276:A14287" si="505">"30280"</f>
        <v>30280</v>
      </c>
      <c r="B14276" s="2" t="str">
        <f>"37144"</f>
        <v>37144</v>
      </c>
      <c r="C14276" s="1">
        <v>2.9396325459317502E-2</v>
      </c>
      <c r="D14276" s="1">
        <v>1.1406844106463801E-2</v>
      </c>
      <c r="E14276" s="1">
        <v>0</v>
      </c>
      <c r="F14276" s="1">
        <v>2.7927873231740601E-2</v>
      </c>
    </row>
    <row r="14277" spans="1:6" x14ac:dyDescent="0.25">
      <c r="A14277" s="2" t="str">
        <f t="shared" si="505"/>
        <v>30280</v>
      </c>
      <c r="B14277" s="2" t="str">
        <f>"37047"</f>
        <v>37047</v>
      </c>
      <c r="C14277" s="1">
        <v>6.2598425196850299E-2</v>
      </c>
      <c r="D14277" s="1">
        <v>3.04182509505703E-2</v>
      </c>
      <c r="E14277" s="1">
        <v>1.1173184357541799E-2</v>
      </c>
      <c r="F14277" s="1">
        <v>5.9984214680347203E-2</v>
      </c>
    </row>
    <row r="14278" spans="1:6" x14ac:dyDescent="0.25">
      <c r="A14278" s="2" t="str">
        <f t="shared" si="505"/>
        <v>30280</v>
      </c>
      <c r="B14278" s="2" t="str">
        <f>"37091"</f>
        <v>37091</v>
      </c>
      <c r="C14278" s="1">
        <v>0.65721784776902803</v>
      </c>
      <c r="D14278" s="1">
        <v>0.81653992395437203</v>
      </c>
      <c r="E14278" s="1">
        <v>0.95530726256983201</v>
      </c>
      <c r="F14278" s="1">
        <v>0.670633234169145</v>
      </c>
    </row>
    <row r="14279" spans="1:6" x14ac:dyDescent="0.25">
      <c r="A14279" s="2" t="str">
        <f t="shared" si="505"/>
        <v>30280</v>
      </c>
      <c r="B14279" s="2" t="str">
        <f>"37060"</f>
        <v>37060</v>
      </c>
      <c r="C14279" s="1">
        <v>9.1863517060367399E-4</v>
      </c>
      <c r="D14279" s="1">
        <v>0</v>
      </c>
      <c r="E14279" s="1">
        <v>0</v>
      </c>
      <c r="F14279" s="1">
        <v>8.4997875053123605E-4</v>
      </c>
    </row>
    <row r="14280" spans="1:6" x14ac:dyDescent="0.25">
      <c r="A14280" s="2" t="str">
        <f t="shared" si="505"/>
        <v>30280</v>
      </c>
      <c r="B14280" s="2" t="str">
        <f>"37046"</f>
        <v>37046</v>
      </c>
      <c r="C14280" s="1">
        <v>1.50918635170603E-3</v>
      </c>
      <c r="D14280" s="1">
        <v>0</v>
      </c>
      <c r="E14280" s="1">
        <v>0</v>
      </c>
      <c r="F14280" s="1">
        <v>1.3963936615870301E-3</v>
      </c>
    </row>
    <row r="14281" spans="1:6" x14ac:dyDescent="0.25">
      <c r="A14281" s="2" t="str">
        <f t="shared" si="505"/>
        <v>30280</v>
      </c>
      <c r="B14281" s="2" t="str">
        <f>"38472"</f>
        <v>38472</v>
      </c>
      <c r="C14281" s="1">
        <v>3.01837270341207E-3</v>
      </c>
      <c r="D14281" s="1">
        <v>9.5057034220532297E-4</v>
      </c>
      <c r="E14281" s="1">
        <v>0</v>
      </c>
      <c r="F14281" s="1">
        <v>2.8535000910691502E-3</v>
      </c>
    </row>
    <row r="14282" spans="1:6" x14ac:dyDescent="0.25">
      <c r="A14282" s="2" t="str">
        <f t="shared" si="505"/>
        <v>30280</v>
      </c>
      <c r="B14282" s="2" t="str">
        <f>"38451"</f>
        <v>38451</v>
      </c>
      <c r="C14282" s="1">
        <v>1.3779527559055101E-2</v>
      </c>
      <c r="D14282" s="1">
        <v>4.7528517110266098E-3</v>
      </c>
      <c r="E14282" s="1">
        <v>0</v>
      </c>
      <c r="F14282" s="1">
        <v>1.30532450974439E-2</v>
      </c>
    </row>
    <row r="14283" spans="1:6" x14ac:dyDescent="0.25">
      <c r="A14283" s="2" t="str">
        <f t="shared" si="505"/>
        <v>30280</v>
      </c>
      <c r="B14283" s="2" t="str">
        <f>"38401"</f>
        <v>38401</v>
      </c>
      <c r="C14283" s="1">
        <v>1.30577427821522E-2</v>
      </c>
      <c r="D14283" s="1">
        <v>9.5057034220532297E-4</v>
      </c>
      <c r="E14283" s="1">
        <v>0</v>
      </c>
      <c r="F14283" s="1">
        <v>1.21425535790176E-2</v>
      </c>
    </row>
    <row r="14284" spans="1:6" x14ac:dyDescent="0.25">
      <c r="A14284" s="2" t="str">
        <f t="shared" si="505"/>
        <v>30280</v>
      </c>
      <c r="B14284" s="2" t="str">
        <f>"37174"</f>
        <v>37174</v>
      </c>
      <c r="C14284" s="1">
        <v>1.7716535433070801E-3</v>
      </c>
      <c r="D14284" s="1">
        <v>0</v>
      </c>
      <c r="E14284" s="1">
        <v>0</v>
      </c>
      <c r="F14284" s="1">
        <v>1.6392447331673801E-3</v>
      </c>
    </row>
    <row r="14285" spans="1:6" x14ac:dyDescent="0.25">
      <c r="A14285" s="2" t="str">
        <f t="shared" si="505"/>
        <v>30280</v>
      </c>
      <c r="B14285" s="2" t="str">
        <f>"37180"</f>
        <v>37180</v>
      </c>
      <c r="C14285" s="1">
        <v>3.2808398950131201E-4</v>
      </c>
      <c r="D14285" s="1">
        <v>0</v>
      </c>
      <c r="E14285" s="1">
        <v>0</v>
      </c>
      <c r="F14285" s="1">
        <v>3.03563839475441E-4</v>
      </c>
    </row>
    <row r="14286" spans="1:6" x14ac:dyDescent="0.25">
      <c r="A14286" s="2" t="str">
        <f t="shared" si="505"/>
        <v>30280</v>
      </c>
      <c r="B14286" s="2" t="str">
        <f>"37034"</f>
        <v>37034</v>
      </c>
      <c r="C14286" s="1">
        <v>0.188779527559055</v>
      </c>
      <c r="D14286" s="1">
        <v>0.118821292775665</v>
      </c>
      <c r="E14286" s="1">
        <v>2.2346368715083699E-2</v>
      </c>
      <c r="F14286" s="1">
        <v>0.182502580292635</v>
      </c>
    </row>
    <row r="14287" spans="1:6" x14ac:dyDescent="0.25">
      <c r="A14287" s="2" t="str">
        <f t="shared" si="505"/>
        <v>30280</v>
      </c>
      <c r="B14287" s="2" t="str">
        <f>"37019"</f>
        <v>37019</v>
      </c>
      <c r="C14287" s="1">
        <v>2.7624671916010399E-2</v>
      </c>
      <c r="D14287" s="1">
        <v>1.61596958174904E-2</v>
      </c>
      <c r="E14287" s="1">
        <v>1.1173184357541799E-2</v>
      </c>
      <c r="F14287" s="1">
        <v>2.6713617873838798E-2</v>
      </c>
    </row>
    <row r="14288" spans="1:6" x14ac:dyDescent="0.25">
      <c r="A14288" s="2" t="str">
        <f t="shared" ref="A14288:A14319" si="506">"27140"</f>
        <v>27140</v>
      </c>
      <c r="B14288" s="2" t="str">
        <f>"39654"</f>
        <v>39654</v>
      </c>
      <c r="C14288" s="1">
        <v>6.8045958240195403E-6</v>
      </c>
      <c r="D14288" s="1">
        <v>0</v>
      </c>
      <c r="E14288" s="1">
        <v>0</v>
      </c>
      <c r="F14288" s="1">
        <v>5.9913066141029299E-6</v>
      </c>
    </row>
    <row r="14289" spans="1:6" x14ac:dyDescent="0.25">
      <c r="A14289" s="2" t="str">
        <f t="shared" si="506"/>
        <v>27140</v>
      </c>
      <c r="B14289" s="2" t="str">
        <f>"39159"</f>
        <v>39159</v>
      </c>
      <c r="C14289" s="1">
        <v>1.3609191648038999E-5</v>
      </c>
      <c r="D14289" s="1">
        <v>0</v>
      </c>
      <c r="E14289" s="1">
        <v>0</v>
      </c>
      <c r="F14289" s="1">
        <v>1.1982613228205801E-5</v>
      </c>
    </row>
    <row r="14290" spans="1:6" x14ac:dyDescent="0.25">
      <c r="A14290" s="2" t="str">
        <f t="shared" si="506"/>
        <v>27140</v>
      </c>
      <c r="B14290" s="2" t="str">
        <f>"39145"</f>
        <v>39145</v>
      </c>
      <c r="C14290" s="1">
        <v>8.0396299660790808E-3</v>
      </c>
      <c r="D14290" s="1">
        <v>2.7240224731854001E-3</v>
      </c>
      <c r="E14290" s="1">
        <v>1.2886597938144299E-3</v>
      </c>
      <c r="F14290" s="1">
        <v>7.3842854018818602E-3</v>
      </c>
    </row>
    <row r="14291" spans="1:6" x14ac:dyDescent="0.25">
      <c r="A14291" s="2" t="str">
        <f t="shared" si="506"/>
        <v>27140</v>
      </c>
      <c r="B14291" s="2" t="str">
        <f>"39272"</f>
        <v>39272</v>
      </c>
      <c r="C14291" s="1">
        <v>2.0519258707330901E-2</v>
      </c>
      <c r="D14291" s="1">
        <v>1.6230633902729601E-2</v>
      </c>
      <c r="E14291" s="1">
        <v>1.37457044673539E-2</v>
      </c>
      <c r="F14291" s="1">
        <v>1.9972020598112102E-2</v>
      </c>
    </row>
    <row r="14292" spans="1:6" x14ac:dyDescent="0.25">
      <c r="A14292" s="2" t="str">
        <f t="shared" si="506"/>
        <v>27140</v>
      </c>
      <c r="B14292" s="2" t="str">
        <f>"39201"</f>
        <v>39201</v>
      </c>
      <c r="C14292" s="1">
        <v>1.4629881021642E-3</v>
      </c>
      <c r="D14292" s="1">
        <v>3.6008172067419499E-2</v>
      </c>
      <c r="E14292" s="1">
        <v>2.53436426116838E-2</v>
      </c>
      <c r="F14292" s="1">
        <v>5.4431020589125103E-3</v>
      </c>
    </row>
    <row r="14293" spans="1:6" x14ac:dyDescent="0.25">
      <c r="A14293" s="2" t="str">
        <f t="shared" si="506"/>
        <v>27140</v>
      </c>
      <c r="B14293" s="2" t="str">
        <f>"39217"</f>
        <v>39217</v>
      </c>
      <c r="C14293" s="1">
        <v>0</v>
      </c>
      <c r="D14293" s="1">
        <v>2.83752340956812E-5</v>
      </c>
      <c r="E14293" s="1">
        <v>0</v>
      </c>
      <c r="F14293" s="1">
        <v>2.9956533070514599E-6</v>
      </c>
    </row>
    <row r="14294" spans="1:6" x14ac:dyDescent="0.25">
      <c r="A14294" s="2" t="str">
        <f t="shared" si="506"/>
        <v>27140</v>
      </c>
      <c r="B14294" s="2" t="str">
        <f>"39215"</f>
        <v>39215</v>
      </c>
      <c r="C14294" s="1">
        <v>1.88487304325341E-3</v>
      </c>
      <c r="D14294" s="1">
        <v>7.37756086487713E-3</v>
      </c>
      <c r="E14294" s="1">
        <v>2.1477663230240501E-4</v>
      </c>
      <c r="F14294" s="1">
        <v>2.4414574452469402E-3</v>
      </c>
    </row>
    <row r="14295" spans="1:6" x14ac:dyDescent="0.25">
      <c r="A14295" s="2" t="str">
        <f t="shared" si="506"/>
        <v>27140</v>
      </c>
      <c r="B14295" s="2" t="str">
        <f>"39213"</f>
        <v>39213</v>
      </c>
      <c r="C14295" s="1">
        <v>3.8265644616373801E-2</v>
      </c>
      <c r="D14295" s="1">
        <v>2.7495601838715099E-2</v>
      </c>
      <c r="E14295" s="1">
        <v>4.9613402061855598E-2</v>
      </c>
      <c r="F14295" s="1">
        <v>3.7286896712869597E-2</v>
      </c>
    </row>
    <row r="14296" spans="1:6" x14ac:dyDescent="0.25">
      <c r="A14296" s="2" t="str">
        <f t="shared" si="506"/>
        <v>27140</v>
      </c>
      <c r="B14296" s="2" t="str">
        <f>"39212"</f>
        <v>39212</v>
      </c>
      <c r="C14296" s="1">
        <v>4.50804473341294E-2</v>
      </c>
      <c r="D14296" s="1">
        <v>1.5719879689007399E-2</v>
      </c>
      <c r="E14296" s="1">
        <v>2.29810996563573E-2</v>
      </c>
      <c r="F14296" s="1">
        <v>4.1672533154392899E-2</v>
      </c>
    </row>
    <row r="14297" spans="1:6" x14ac:dyDescent="0.25">
      <c r="A14297" s="2" t="str">
        <f t="shared" si="506"/>
        <v>27140</v>
      </c>
      <c r="B14297" s="2" t="str">
        <f>"39208"</f>
        <v>39208</v>
      </c>
      <c r="C14297" s="1">
        <v>4.5240355335993902E-2</v>
      </c>
      <c r="D14297" s="1">
        <v>4.22507235684694E-2</v>
      </c>
      <c r="E14297" s="1">
        <v>4.1881443298969E-2</v>
      </c>
      <c r="F14297" s="1">
        <v>4.4877882192938E-2</v>
      </c>
    </row>
    <row r="14298" spans="1:6" x14ac:dyDescent="0.25">
      <c r="A14298" s="2" t="str">
        <f t="shared" si="506"/>
        <v>27140</v>
      </c>
      <c r="B14298" s="2" t="str">
        <f>"39078"</f>
        <v>39078</v>
      </c>
      <c r="C14298" s="1">
        <v>1.33370078150783E-3</v>
      </c>
      <c r="D14298" s="1">
        <v>2.2700187276545E-4</v>
      </c>
      <c r="E14298" s="1">
        <v>4.2955326460481001E-4</v>
      </c>
      <c r="F14298" s="1">
        <v>1.20425262943469E-3</v>
      </c>
    </row>
    <row r="14299" spans="1:6" x14ac:dyDescent="0.25">
      <c r="A14299" s="2" t="str">
        <f t="shared" si="506"/>
        <v>27140</v>
      </c>
      <c r="B14299" s="2" t="str">
        <f>"39088"</f>
        <v>39088</v>
      </c>
      <c r="C14299" s="1">
        <v>1.9393098098455599E-4</v>
      </c>
      <c r="D14299" s="1">
        <v>2.83752340956812E-5</v>
      </c>
      <c r="E14299" s="1">
        <v>0</v>
      </c>
      <c r="F14299" s="1">
        <v>1.7374789180898501E-4</v>
      </c>
    </row>
    <row r="14300" spans="1:6" x14ac:dyDescent="0.25">
      <c r="A14300" s="2" t="str">
        <f t="shared" si="506"/>
        <v>27140</v>
      </c>
      <c r="B14300" s="2" t="str">
        <f>"39083"</f>
        <v>39083</v>
      </c>
      <c r="C14300" s="1">
        <v>1.6810753983240199E-2</v>
      </c>
      <c r="D14300" s="1">
        <v>1.37336133023097E-2</v>
      </c>
      <c r="E14300" s="1">
        <v>1.18127147766323E-2</v>
      </c>
      <c r="F14300" s="1">
        <v>1.6416180122642E-2</v>
      </c>
    </row>
    <row r="14301" spans="1:6" x14ac:dyDescent="0.25">
      <c r="A14301" s="2" t="str">
        <f t="shared" si="506"/>
        <v>27140</v>
      </c>
      <c r="B14301" s="2" t="str">
        <f>"39095"</f>
        <v>39095</v>
      </c>
      <c r="C14301" s="1">
        <v>1.1972686352362301E-2</v>
      </c>
      <c r="D14301" s="1">
        <v>8.1153169513648402E-3</v>
      </c>
      <c r="E14301" s="1">
        <v>1.50343642611683E-2</v>
      </c>
      <c r="F14301" s="1">
        <v>1.16081565648244E-2</v>
      </c>
    </row>
    <row r="14302" spans="1:6" x14ac:dyDescent="0.25">
      <c r="A14302" s="2" t="str">
        <f t="shared" si="506"/>
        <v>27140</v>
      </c>
      <c r="B14302" s="2" t="str">
        <f>"39046"</f>
        <v>39046</v>
      </c>
      <c r="C14302" s="1">
        <v>4.5628217297963E-2</v>
      </c>
      <c r="D14302" s="1">
        <v>3.5894671131036802E-2</v>
      </c>
      <c r="E14302" s="1">
        <v>1.9974226804123699E-2</v>
      </c>
      <c r="F14302" s="1">
        <v>4.4242803691843101E-2</v>
      </c>
    </row>
    <row r="14303" spans="1:6" x14ac:dyDescent="0.25">
      <c r="A14303" s="2" t="str">
        <f t="shared" si="506"/>
        <v>27140</v>
      </c>
      <c r="B14303" s="2" t="str">
        <f>"39130"</f>
        <v>39130</v>
      </c>
      <c r="C14303" s="1">
        <v>3.4907576577220198E-3</v>
      </c>
      <c r="D14303" s="1">
        <v>2.47999545996254E-2</v>
      </c>
      <c r="E14303" s="1">
        <v>4.2955326460481001E-4</v>
      </c>
      <c r="F14303" s="1">
        <v>5.6977325900118897E-3</v>
      </c>
    </row>
    <row r="14304" spans="1:6" x14ac:dyDescent="0.25">
      <c r="A14304" s="2" t="str">
        <f t="shared" si="506"/>
        <v>27140</v>
      </c>
      <c r="B14304" s="2" t="str">
        <f>"39298"</f>
        <v>39298</v>
      </c>
      <c r="C14304" s="1">
        <v>1.3949421439240001E-4</v>
      </c>
      <c r="D14304" s="1">
        <v>2.7240224731854001E-3</v>
      </c>
      <c r="E14304" s="1">
        <v>4.2955326460481001E-4</v>
      </c>
      <c r="F14304" s="1">
        <v>4.1639580968015399E-4</v>
      </c>
    </row>
    <row r="14305" spans="1:6" x14ac:dyDescent="0.25">
      <c r="A14305" s="2" t="str">
        <f t="shared" si="506"/>
        <v>27140</v>
      </c>
      <c r="B14305" s="2" t="str">
        <f>"39284"</f>
        <v>39284</v>
      </c>
      <c r="C14305" s="1">
        <v>3.9806885570514297E-3</v>
      </c>
      <c r="D14305" s="1">
        <v>9.3354520174791407E-3</v>
      </c>
      <c r="E14305" s="1">
        <v>4.2955326460481001E-4</v>
      </c>
      <c r="F14305" s="1">
        <v>4.4964756138842496E-3</v>
      </c>
    </row>
    <row r="14306" spans="1:6" x14ac:dyDescent="0.25">
      <c r="A14306" s="2" t="str">
        <f t="shared" si="506"/>
        <v>27140</v>
      </c>
      <c r="B14306" s="2" t="str">
        <f>"39193"</f>
        <v>39193</v>
      </c>
      <c r="C14306" s="1">
        <v>0</v>
      </c>
      <c r="D14306" s="1">
        <v>2.83752340956812E-5</v>
      </c>
      <c r="E14306" s="1">
        <v>0</v>
      </c>
      <c r="F14306" s="1">
        <v>2.9956533070514599E-6</v>
      </c>
    </row>
    <row r="14307" spans="1:6" x14ac:dyDescent="0.25">
      <c r="A14307" s="2" t="str">
        <f t="shared" si="506"/>
        <v>27140</v>
      </c>
      <c r="B14307" s="2" t="str">
        <f>"39205"</f>
        <v>39205</v>
      </c>
      <c r="C14307" s="1">
        <v>1.7079535518289E-3</v>
      </c>
      <c r="D14307" s="1">
        <v>7.6329379717382604E-3</v>
      </c>
      <c r="E14307" s="1">
        <v>2.1477663230240501E-4</v>
      </c>
      <c r="F14307" s="1">
        <v>2.3126443530437301E-3</v>
      </c>
    </row>
    <row r="14308" spans="1:6" x14ac:dyDescent="0.25">
      <c r="A14308" s="2" t="str">
        <f t="shared" si="506"/>
        <v>27140</v>
      </c>
      <c r="B14308" s="2" t="str">
        <f>"39206"</f>
        <v>39206</v>
      </c>
      <c r="C14308" s="1">
        <v>3.8884862836359599E-2</v>
      </c>
      <c r="D14308" s="1">
        <v>3.9782078202145098E-2</v>
      </c>
      <c r="E14308" s="1">
        <v>6.9372852233676896E-2</v>
      </c>
      <c r="F14308" s="1">
        <v>3.9404823600955E-2</v>
      </c>
    </row>
    <row r="14309" spans="1:6" x14ac:dyDescent="0.25">
      <c r="A14309" s="2" t="str">
        <f t="shared" si="506"/>
        <v>27140</v>
      </c>
      <c r="B14309" s="2" t="str">
        <f>"39191"</f>
        <v>39191</v>
      </c>
      <c r="C14309" s="1">
        <v>8.0634460514631499E-3</v>
      </c>
      <c r="D14309" s="1">
        <v>1.19175983201861E-3</v>
      </c>
      <c r="E14309" s="1">
        <v>1.93298969072164E-3</v>
      </c>
      <c r="F14309" s="1">
        <v>7.2524766563716002E-3</v>
      </c>
    </row>
    <row r="14310" spans="1:6" x14ac:dyDescent="0.25">
      <c r="A14310" s="2" t="str">
        <f t="shared" si="506"/>
        <v>27140</v>
      </c>
      <c r="B14310" s="2" t="str">
        <f>"39086"</f>
        <v>39086</v>
      </c>
      <c r="C14310" s="1">
        <v>5.3075847427352398E-4</v>
      </c>
      <c r="D14310" s="1">
        <v>5.6750468191362501E-5</v>
      </c>
      <c r="E14310" s="1">
        <v>0</v>
      </c>
      <c r="F14310" s="1">
        <v>4.7331322251413098E-4</v>
      </c>
    </row>
    <row r="14311" spans="1:6" x14ac:dyDescent="0.25">
      <c r="A14311" s="2" t="str">
        <f t="shared" si="506"/>
        <v>27140</v>
      </c>
      <c r="B14311" s="2" t="str">
        <f>"39167"</f>
        <v>39167</v>
      </c>
      <c r="C14311" s="1">
        <v>0</v>
      </c>
      <c r="D14311" s="1">
        <v>2.83752340956812E-5</v>
      </c>
      <c r="E14311" s="1">
        <v>0</v>
      </c>
      <c r="F14311" s="1">
        <v>2.9956533070514599E-6</v>
      </c>
    </row>
    <row r="14312" spans="1:6" x14ac:dyDescent="0.25">
      <c r="A14312" s="2" t="str">
        <f t="shared" si="506"/>
        <v>27140</v>
      </c>
      <c r="B14312" s="2" t="str">
        <f>"39169"</f>
        <v>39169</v>
      </c>
      <c r="C14312" s="1">
        <v>3.4022979120097701E-3</v>
      </c>
      <c r="D14312" s="1">
        <v>1.13500936382725E-3</v>
      </c>
      <c r="E14312" s="1">
        <v>1.2457044673539501E-2</v>
      </c>
      <c r="F14312" s="1">
        <v>3.2892273311425102E-3</v>
      </c>
    </row>
    <row r="14313" spans="1:6" x14ac:dyDescent="0.25">
      <c r="A14313" s="2" t="str">
        <f t="shared" si="506"/>
        <v>27140</v>
      </c>
      <c r="B14313" s="2" t="str">
        <f>"39062"</f>
        <v>39062</v>
      </c>
      <c r="C14313" s="1">
        <v>3.4022979120097702E-6</v>
      </c>
      <c r="D14313" s="1">
        <v>5.6750468191362501E-5</v>
      </c>
      <c r="E14313" s="1">
        <v>0</v>
      </c>
      <c r="F14313" s="1">
        <v>8.9869599211544E-6</v>
      </c>
    </row>
    <row r="14314" spans="1:6" x14ac:dyDescent="0.25">
      <c r="A14314" s="2" t="str">
        <f t="shared" si="506"/>
        <v>27140</v>
      </c>
      <c r="B14314" s="2" t="str">
        <f>"39041"</f>
        <v>39041</v>
      </c>
      <c r="C14314" s="1">
        <v>5.1068491659266597E-3</v>
      </c>
      <c r="D14314" s="1">
        <v>1.47551217297542E-3</v>
      </c>
      <c r="E14314" s="1">
        <v>2.1477663230240501E-4</v>
      </c>
      <c r="F14314" s="1">
        <v>4.6552452391579796E-3</v>
      </c>
    </row>
    <row r="14315" spans="1:6" x14ac:dyDescent="0.25">
      <c r="A14315" s="2" t="str">
        <f t="shared" si="506"/>
        <v>27140</v>
      </c>
      <c r="B14315" s="2" t="str">
        <f>"39047"</f>
        <v>39047</v>
      </c>
      <c r="C14315" s="1">
        <v>6.04588338964136E-2</v>
      </c>
      <c r="D14315" s="1">
        <v>2.8488735032063998E-2</v>
      </c>
      <c r="E14315" s="1">
        <v>2.2766323024054898E-2</v>
      </c>
      <c r="F14315" s="1">
        <v>5.6557934437131703E-2</v>
      </c>
    </row>
    <row r="14316" spans="1:6" x14ac:dyDescent="0.25">
      <c r="A14316" s="2" t="str">
        <f t="shared" si="506"/>
        <v>27140</v>
      </c>
      <c r="B14316" s="2" t="str">
        <f>"38954"</f>
        <v>38954</v>
      </c>
      <c r="C14316" s="1">
        <v>6.8045958240195403E-6</v>
      </c>
      <c r="D14316" s="1">
        <v>0</v>
      </c>
      <c r="E14316" s="1">
        <v>0</v>
      </c>
      <c r="F14316" s="1">
        <v>5.9913066141029299E-6</v>
      </c>
    </row>
    <row r="14317" spans="1:6" x14ac:dyDescent="0.25">
      <c r="A14317" s="2" t="str">
        <f t="shared" si="506"/>
        <v>27140</v>
      </c>
      <c r="B14317" s="2" t="str">
        <f>"39151"</f>
        <v>39151</v>
      </c>
      <c r="C14317" s="1">
        <v>0</v>
      </c>
      <c r="D14317" s="1">
        <v>2.83752340956812E-5</v>
      </c>
      <c r="E14317" s="1">
        <v>0</v>
      </c>
      <c r="F14317" s="1">
        <v>2.9956533070514599E-6</v>
      </c>
    </row>
    <row r="14318" spans="1:6" x14ac:dyDescent="0.25">
      <c r="A14318" s="2" t="str">
        <f t="shared" si="506"/>
        <v>27140</v>
      </c>
      <c r="B14318" s="2" t="str">
        <f>"39144"</f>
        <v>39144</v>
      </c>
      <c r="C14318" s="1">
        <v>1.8032178933651699E-4</v>
      </c>
      <c r="D14318" s="1">
        <v>2.83752340956812E-5</v>
      </c>
      <c r="E14318" s="1">
        <v>0</v>
      </c>
      <c r="F14318" s="1">
        <v>1.6176527858077899E-4</v>
      </c>
    </row>
    <row r="14319" spans="1:6" x14ac:dyDescent="0.25">
      <c r="A14319" s="2" t="str">
        <f t="shared" si="506"/>
        <v>27140</v>
      </c>
      <c r="B14319" s="2" t="str">
        <f>"39154"</f>
        <v>39154</v>
      </c>
      <c r="C14319" s="1">
        <v>1.5939765717765699E-2</v>
      </c>
      <c r="D14319" s="1">
        <v>7.1505589921116797E-3</v>
      </c>
      <c r="E14319" s="1">
        <v>4.2955326460480999E-3</v>
      </c>
      <c r="F14319" s="1">
        <v>1.4849453443054101E-2</v>
      </c>
    </row>
    <row r="14320" spans="1:6" x14ac:dyDescent="0.25">
      <c r="A14320" s="2" t="str">
        <f t="shared" ref="A14320:A14351" si="507">"27140"</f>
        <v>27140</v>
      </c>
      <c r="B14320" s="2" t="str">
        <f>"39149"</f>
        <v>39149</v>
      </c>
      <c r="C14320" s="1">
        <v>2.76266590455193E-3</v>
      </c>
      <c r="D14320" s="1">
        <v>5.9587991600930704E-4</v>
      </c>
      <c r="E14320" s="1">
        <v>0</v>
      </c>
      <c r="F14320" s="1">
        <v>2.49537920477387E-3</v>
      </c>
    </row>
    <row r="14321" spans="1:6" x14ac:dyDescent="0.25">
      <c r="A14321" s="2" t="str">
        <f t="shared" si="507"/>
        <v>27140</v>
      </c>
      <c r="B14321" s="2" t="str">
        <f>"39146"</f>
        <v>39146</v>
      </c>
      <c r="C14321" s="1">
        <v>3.5996311909063301E-3</v>
      </c>
      <c r="D14321" s="1">
        <v>5.3912944781794403E-4</v>
      </c>
      <c r="E14321" s="1">
        <v>3.65120274914089E-3</v>
      </c>
      <c r="F14321" s="1">
        <v>3.2772447179143E-3</v>
      </c>
    </row>
    <row r="14322" spans="1:6" x14ac:dyDescent="0.25">
      <c r="A14322" s="2" t="str">
        <f t="shared" si="507"/>
        <v>27140</v>
      </c>
      <c r="B14322" s="2" t="str">
        <f>"39110"</f>
        <v>39110</v>
      </c>
      <c r="C14322" s="1">
        <v>6.2850649328556496E-2</v>
      </c>
      <c r="D14322" s="1">
        <v>3.3653027637478003E-2</v>
      </c>
      <c r="E14322" s="1">
        <v>4.1666666666666602E-2</v>
      </c>
      <c r="F14322" s="1">
        <v>5.9472705104892797E-2</v>
      </c>
    </row>
    <row r="14323" spans="1:6" x14ac:dyDescent="0.25">
      <c r="A14323" s="2" t="str">
        <f t="shared" si="507"/>
        <v>27140</v>
      </c>
      <c r="B14323" s="2" t="str">
        <f>"39269"</f>
        <v>39269</v>
      </c>
      <c r="C14323" s="1">
        <v>0</v>
      </c>
      <c r="D14323" s="1">
        <v>1.9862663866976899E-3</v>
      </c>
      <c r="E14323" s="1">
        <v>2.1477663230240501E-4</v>
      </c>
      <c r="F14323" s="1">
        <v>2.12691384800654E-4</v>
      </c>
    </row>
    <row r="14324" spans="1:6" x14ac:dyDescent="0.25">
      <c r="A14324" s="2" t="str">
        <f t="shared" si="507"/>
        <v>27140</v>
      </c>
      <c r="B14324" s="2" t="str">
        <f>"39225"</f>
        <v>39225</v>
      </c>
      <c r="C14324" s="1">
        <v>2.98721756674457E-3</v>
      </c>
      <c r="D14324" s="1">
        <v>1.5833380625390098E-2</v>
      </c>
      <c r="E14324" s="1">
        <v>2.1477663230240501E-4</v>
      </c>
      <c r="F14324" s="1">
        <v>4.3047538022329499E-3</v>
      </c>
    </row>
    <row r="14325" spans="1:6" x14ac:dyDescent="0.25">
      <c r="A14325" s="2" t="str">
        <f t="shared" si="507"/>
        <v>27140</v>
      </c>
      <c r="B14325" s="2" t="str">
        <f>"39211"</f>
        <v>39211</v>
      </c>
      <c r="C14325" s="1">
        <v>4.0858195625325298E-2</v>
      </c>
      <c r="D14325" s="1">
        <v>3.5837920662845399E-2</v>
      </c>
      <c r="E14325" s="1">
        <v>3.8015463917525701E-2</v>
      </c>
      <c r="F14325" s="1">
        <v>4.0288541326535102E-2</v>
      </c>
    </row>
    <row r="14326" spans="1:6" x14ac:dyDescent="0.25">
      <c r="A14326" s="2" t="str">
        <f t="shared" si="507"/>
        <v>27140</v>
      </c>
      <c r="B14326" s="2" t="str">
        <f>"39079"</f>
        <v>39079</v>
      </c>
      <c r="C14326" s="1">
        <v>1.8610569578693401E-3</v>
      </c>
      <c r="D14326" s="1">
        <v>1.7025140457408699E-4</v>
      </c>
      <c r="E14326" s="1">
        <v>7.51718213058419E-3</v>
      </c>
      <c r="F14326" s="1">
        <v>1.76144414454626E-3</v>
      </c>
    </row>
    <row r="14327" spans="1:6" x14ac:dyDescent="0.25">
      <c r="A14327" s="2" t="str">
        <f t="shared" si="507"/>
        <v>27140</v>
      </c>
      <c r="B14327" s="2" t="str">
        <f>"39175"</f>
        <v>39175</v>
      </c>
      <c r="C14327" s="1">
        <v>7.56671055630973E-3</v>
      </c>
      <c r="D14327" s="1">
        <v>1.5890131093581499E-3</v>
      </c>
      <c r="E14327" s="1">
        <v>4.2955326460481001E-4</v>
      </c>
      <c r="F14327" s="1">
        <v>6.83608084669145E-3</v>
      </c>
    </row>
    <row r="14328" spans="1:6" x14ac:dyDescent="0.25">
      <c r="A14328" s="2" t="str">
        <f t="shared" si="507"/>
        <v>27140</v>
      </c>
      <c r="B14328" s="2" t="str">
        <f>"39170"</f>
        <v>39170</v>
      </c>
      <c r="C14328" s="1">
        <v>1.36262031375991E-2</v>
      </c>
      <c r="D14328" s="1">
        <v>2.9226491118551699E-3</v>
      </c>
      <c r="E14328" s="1">
        <v>4.2955326460481001E-4</v>
      </c>
      <c r="F14328" s="1">
        <v>1.2312135091981501E-2</v>
      </c>
    </row>
    <row r="14329" spans="1:6" x14ac:dyDescent="0.25">
      <c r="A14329" s="2" t="str">
        <f t="shared" si="507"/>
        <v>27140</v>
      </c>
      <c r="B14329" s="2" t="str">
        <f>"39066"</f>
        <v>39066</v>
      </c>
      <c r="C14329" s="1">
        <v>7.5054691938935504E-3</v>
      </c>
      <c r="D14329" s="1">
        <v>1.27688553430565E-3</v>
      </c>
      <c r="E14329" s="1">
        <v>2.14776632302405E-3</v>
      </c>
      <c r="F14329" s="1">
        <v>6.77317212724336E-3</v>
      </c>
    </row>
    <row r="14330" spans="1:6" x14ac:dyDescent="0.25">
      <c r="A14330" s="2" t="str">
        <f t="shared" si="507"/>
        <v>27140</v>
      </c>
      <c r="B14330" s="2" t="str">
        <f>"39056"</f>
        <v>39056</v>
      </c>
      <c r="C14330" s="1">
        <v>4.0160724553363301E-2</v>
      </c>
      <c r="D14330" s="1">
        <v>2.5225583111060601E-2</v>
      </c>
      <c r="E14330" s="1">
        <v>3.4149484536082401E-2</v>
      </c>
      <c r="F14330" s="1">
        <v>3.8500136302225402E-2</v>
      </c>
    </row>
    <row r="14331" spans="1:6" x14ac:dyDescent="0.25">
      <c r="A14331" s="2" t="str">
        <f t="shared" si="507"/>
        <v>27140</v>
      </c>
      <c r="B14331" s="2" t="str">
        <f>"39038"</f>
        <v>39038</v>
      </c>
      <c r="C14331" s="1">
        <v>4.55907920209309E-4</v>
      </c>
      <c r="D14331" s="1">
        <v>1.7025140457408699E-4</v>
      </c>
      <c r="E14331" s="1">
        <v>0</v>
      </c>
      <c r="F14331" s="1">
        <v>4.1939146298720502E-4</v>
      </c>
    </row>
    <row r="14332" spans="1:6" x14ac:dyDescent="0.25">
      <c r="A14332" s="2" t="str">
        <f t="shared" si="507"/>
        <v>27140</v>
      </c>
      <c r="B14332" s="2" t="str">
        <f>"39044"</f>
        <v>39044</v>
      </c>
      <c r="C14332" s="1">
        <v>6.3044580309541002E-3</v>
      </c>
      <c r="D14332" s="1">
        <v>6.8100561829635003E-4</v>
      </c>
      <c r="E14332" s="1">
        <v>0</v>
      </c>
      <c r="F14332" s="1">
        <v>5.6228412573355998E-3</v>
      </c>
    </row>
    <row r="14333" spans="1:6" x14ac:dyDescent="0.25">
      <c r="A14333" s="2" t="str">
        <f t="shared" si="507"/>
        <v>27140</v>
      </c>
      <c r="B14333" s="2" t="str">
        <f>"39148"</f>
        <v>39148</v>
      </c>
      <c r="C14333" s="1">
        <v>0</v>
      </c>
      <c r="D14333" s="1">
        <v>2.83752340956812E-5</v>
      </c>
      <c r="E14333" s="1">
        <v>0</v>
      </c>
      <c r="F14333" s="1">
        <v>2.9956533070514599E-6</v>
      </c>
    </row>
    <row r="14334" spans="1:6" x14ac:dyDescent="0.25">
      <c r="A14334" s="2" t="str">
        <f t="shared" si="507"/>
        <v>27140</v>
      </c>
      <c r="B14334" s="2" t="str">
        <f>"39097"</f>
        <v>39097</v>
      </c>
      <c r="C14334" s="1">
        <v>2.3816085384068299E-5</v>
      </c>
      <c r="D14334" s="1">
        <v>0</v>
      </c>
      <c r="E14334" s="1">
        <v>0</v>
      </c>
      <c r="F14334" s="1">
        <v>2.0969573149360199E-5</v>
      </c>
    </row>
    <row r="14335" spans="1:6" x14ac:dyDescent="0.25">
      <c r="A14335" s="2" t="str">
        <f t="shared" si="507"/>
        <v>27140</v>
      </c>
      <c r="B14335" s="2" t="str">
        <f>"39204"</f>
        <v>39204</v>
      </c>
      <c r="C14335" s="1">
        <v>2.9640819409429101E-2</v>
      </c>
      <c r="D14335" s="1">
        <v>4.3272231995913901E-2</v>
      </c>
      <c r="E14335" s="1">
        <v>4.7465635738831599E-2</v>
      </c>
      <c r="F14335" s="1">
        <v>3.1328542285144201E-2</v>
      </c>
    </row>
    <row r="14336" spans="1:6" x14ac:dyDescent="0.25">
      <c r="A14336" s="2" t="str">
        <f t="shared" si="507"/>
        <v>27140</v>
      </c>
      <c r="B14336" s="2" t="str">
        <f>"39202"</f>
        <v>39202</v>
      </c>
      <c r="C14336" s="1">
        <v>1.6045236953038E-2</v>
      </c>
      <c r="D14336" s="1">
        <v>3.15248850803019E-2</v>
      </c>
      <c r="E14336" s="1">
        <v>8.3118556701030896E-2</v>
      </c>
      <c r="F14336" s="1">
        <v>1.8614989650017798E-2</v>
      </c>
    </row>
    <row r="14337" spans="1:6" x14ac:dyDescent="0.25">
      <c r="A14337" s="2" t="str">
        <f t="shared" si="507"/>
        <v>27140</v>
      </c>
      <c r="B14337" s="2" t="str">
        <f>"39094"</f>
        <v>39094</v>
      </c>
      <c r="C14337" s="1">
        <v>7.4510324273013905E-4</v>
      </c>
      <c r="D14337" s="1">
        <v>5.6750468191362501E-5</v>
      </c>
      <c r="E14337" s="1">
        <v>0</v>
      </c>
      <c r="F14337" s="1">
        <v>6.6203938085837404E-4</v>
      </c>
    </row>
    <row r="14338" spans="1:6" x14ac:dyDescent="0.25">
      <c r="A14338" s="2" t="str">
        <f t="shared" si="507"/>
        <v>27140</v>
      </c>
      <c r="B14338" s="2" t="str">
        <f>"39173"</f>
        <v>39173</v>
      </c>
      <c r="C14338" s="1">
        <v>4.4229872856127003E-5</v>
      </c>
      <c r="D14338" s="1">
        <v>5.6750468191362501E-5</v>
      </c>
      <c r="E14338" s="1">
        <v>0</v>
      </c>
      <c r="F14338" s="1">
        <v>4.4934799605771997E-5</v>
      </c>
    </row>
    <row r="14339" spans="1:6" x14ac:dyDescent="0.25">
      <c r="A14339" s="2" t="str">
        <f t="shared" si="507"/>
        <v>27140</v>
      </c>
      <c r="B14339" s="2" t="str">
        <f>"39162"</f>
        <v>39162</v>
      </c>
      <c r="C14339" s="1">
        <v>4.0827574944117198E-4</v>
      </c>
      <c r="D14339" s="1">
        <v>3.4050280914817502E-4</v>
      </c>
      <c r="E14339" s="1">
        <v>0</v>
      </c>
      <c r="F14339" s="1">
        <v>3.9542623653079299E-4</v>
      </c>
    </row>
    <row r="14340" spans="1:6" x14ac:dyDescent="0.25">
      <c r="A14340" s="2" t="str">
        <f t="shared" si="507"/>
        <v>27140</v>
      </c>
      <c r="B14340" s="2" t="str">
        <f>"39045"</f>
        <v>39045</v>
      </c>
      <c r="C14340" s="1">
        <v>2.0277695555578198E-3</v>
      </c>
      <c r="D14340" s="1">
        <v>3.12127575052494E-4</v>
      </c>
      <c r="E14340" s="1">
        <v>0</v>
      </c>
      <c r="F14340" s="1">
        <v>1.8183615573802399E-3</v>
      </c>
    </row>
    <row r="14341" spans="1:6" x14ac:dyDescent="0.25">
      <c r="A14341" s="2" t="str">
        <f t="shared" si="507"/>
        <v>27140</v>
      </c>
      <c r="B14341" s="2" t="str">
        <f>"39039"</f>
        <v>39039</v>
      </c>
      <c r="C14341" s="1">
        <v>4.0419299194675998E-3</v>
      </c>
      <c r="D14341" s="1">
        <v>1.19175983201861E-3</v>
      </c>
      <c r="E14341" s="1">
        <v>4.2955326460481001E-4</v>
      </c>
      <c r="F14341" s="1">
        <v>3.6906448742874002E-3</v>
      </c>
    </row>
    <row r="14342" spans="1:6" x14ac:dyDescent="0.25">
      <c r="A14342" s="2" t="str">
        <f t="shared" si="507"/>
        <v>27140</v>
      </c>
      <c r="B14342" s="2" t="str">
        <f>"39158"</f>
        <v>39158</v>
      </c>
      <c r="C14342" s="1">
        <v>4.5148493292369602E-3</v>
      </c>
      <c r="D14342" s="1">
        <v>1.8897905907723701E-2</v>
      </c>
      <c r="E14342" s="1">
        <v>2.1477663230240501E-4</v>
      </c>
      <c r="F14342" s="1">
        <v>5.9733326942606199E-3</v>
      </c>
    </row>
    <row r="14343" spans="1:6" x14ac:dyDescent="0.25">
      <c r="A14343" s="2" t="str">
        <f t="shared" si="507"/>
        <v>27140</v>
      </c>
      <c r="B14343" s="2" t="str">
        <f>"39117"</f>
        <v>39117</v>
      </c>
      <c r="C14343" s="1">
        <v>9.7645950074680399E-4</v>
      </c>
      <c r="D14343" s="1">
        <v>8.5125702287043795E-5</v>
      </c>
      <c r="E14343" s="1">
        <v>0</v>
      </c>
      <c r="F14343" s="1">
        <v>8.68739459044925E-4</v>
      </c>
    </row>
    <row r="14344" spans="1:6" x14ac:dyDescent="0.25">
      <c r="A14344" s="2" t="str">
        <f t="shared" si="507"/>
        <v>27140</v>
      </c>
      <c r="B14344" s="2" t="str">
        <f>"39286"</f>
        <v>39286</v>
      </c>
      <c r="C14344" s="1">
        <v>5.6069869589920997E-3</v>
      </c>
      <c r="D14344" s="1">
        <v>1.3506611429544201E-2</v>
      </c>
      <c r="E14344" s="1">
        <v>2.1477663230240501E-4</v>
      </c>
      <c r="F14344" s="1">
        <v>6.3657632774843697E-3</v>
      </c>
    </row>
    <row r="14345" spans="1:6" x14ac:dyDescent="0.25">
      <c r="A14345" s="2" t="str">
        <f t="shared" si="507"/>
        <v>27140</v>
      </c>
      <c r="B14345" s="2" t="str">
        <f>"39192"</f>
        <v>39192</v>
      </c>
      <c r="C14345" s="1">
        <v>1.5480455499644399E-3</v>
      </c>
      <c r="D14345" s="1">
        <v>4.2562851143521899E-4</v>
      </c>
      <c r="E14345" s="1">
        <v>0</v>
      </c>
      <c r="F14345" s="1">
        <v>1.4079570543141899E-3</v>
      </c>
    </row>
    <row r="14346" spans="1:6" x14ac:dyDescent="0.25">
      <c r="A14346" s="2" t="str">
        <f t="shared" si="507"/>
        <v>27140</v>
      </c>
      <c r="B14346" s="2" t="str">
        <f>"39210"</f>
        <v>39210</v>
      </c>
      <c r="C14346" s="1">
        <v>0</v>
      </c>
      <c r="D14346" s="1">
        <v>2.83752340956812E-5</v>
      </c>
      <c r="E14346" s="1">
        <v>0</v>
      </c>
      <c r="F14346" s="1">
        <v>2.9956533070514599E-6</v>
      </c>
    </row>
    <row r="14347" spans="1:6" x14ac:dyDescent="0.25">
      <c r="A14347" s="2" t="str">
        <f t="shared" si="507"/>
        <v>27140</v>
      </c>
      <c r="B14347" s="2" t="str">
        <f>"39216"</f>
        <v>39216</v>
      </c>
      <c r="C14347" s="1">
        <v>8.2403655428876597E-3</v>
      </c>
      <c r="D14347" s="1">
        <v>2.76942284773849E-2</v>
      </c>
      <c r="E14347" s="1">
        <v>4.7465635738831599E-2</v>
      </c>
      <c r="F14347" s="1">
        <v>1.08412693182192E-2</v>
      </c>
    </row>
    <row r="14348" spans="1:6" x14ac:dyDescent="0.25">
      <c r="A14348" s="2" t="str">
        <f t="shared" si="507"/>
        <v>27140</v>
      </c>
      <c r="B14348" s="2" t="str">
        <f>"39073"</f>
        <v>39073</v>
      </c>
      <c r="C14348" s="1">
        <v>3.5152542026884899E-2</v>
      </c>
      <c r="D14348" s="1">
        <v>1.5521253050337599E-2</v>
      </c>
      <c r="E14348" s="1">
        <v>7.7319587628865904E-3</v>
      </c>
      <c r="F14348" s="1">
        <v>3.2697555846466698E-2</v>
      </c>
    </row>
    <row r="14349" spans="1:6" x14ac:dyDescent="0.25">
      <c r="A14349" s="2" t="str">
        <f t="shared" si="507"/>
        <v>27140</v>
      </c>
      <c r="B14349" s="2" t="str">
        <f>"39179"</f>
        <v>39179</v>
      </c>
      <c r="C14349" s="1">
        <v>2.0379764492938499E-3</v>
      </c>
      <c r="D14349" s="1">
        <v>3.12127575052494E-4</v>
      </c>
      <c r="E14349" s="1">
        <v>6.4432989690721605E-4</v>
      </c>
      <c r="F14349" s="1">
        <v>1.83633547722255E-3</v>
      </c>
    </row>
    <row r="14350" spans="1:6" x14ac:dyDescent="0.25">
      <c r="A14350" s="2" t="str">
        <f t="shared" si="507"/>
        <v>27140</v>
      </c>
      <c r="B14350" s="2" t="str">
        <f>"39043"</f>
        <v>39043</v>
      </c>
      <c r="C14350" s="1">
        <v>3.9398609821073103E-3</v>
      </c>
      <c r="D14350" s="1">
        <v>1.36768628341183E-2</v>
      </c>
      <c r="E14350" s="1">
        <v>4.2955326460481001E-4</v>
      </c>
      <c r="F14350" s="1">
        <v>4.9188627301785101E-3</v>
      </c>
    </row>
    <row r="14351" spans="1:6" x14ac:dyDescent="0.25">
      <c r="A14351" s="2" t="str">
        <f t="shared" si="507"/>
        <v>27140</v>
      </c>
      <c r="B14351" s="2" t="str">
        <f>"39042"</f>
        <v>39042</v>
      </c>
      <c r="C14351" s="1">
        <v>5.55833409885036E-2</v>
      </c>
      <c r="D14351" s="1">
        <v>2.6899721922705799E-2</v>
      </c>
      <c r="E14351" s="1">
        <v>3.5867697594501702E-2</v>
      </c>
      <c r="F14351" s="1">
        <v>5.2280141514662197E-2</v>
      </c>
    </row>
    <row r="14352" spans="1:6" x14ac:dyDescent="0.25">
      <c r="A14352" s="2" t="str">
        <f t="shared" ref="A14352:A14381" si="508">"27140"</f>
        <v>27140</v>
      </c>
      <c r="B14352" s="2" t="str">
        <f>"38924"</f>
        <v>38924</v>
      </c>
      <c r="C14352" s="1">
        <v>1.0002755861308701E-3</v>
      </c>
      <c r="D14352" s="1">
        <v>4.8237897962658102E-4</v>
      </c>
      <c r="E14352" s="1">
        <v>4.2955326460481001E-4</v>
      </c>
      <c r="F14352" s="1">
        <v>9.3763948510710898E-4</v>
      </c>
    </row>
    <row r="14353" spans="1:6" x14ac:dyDescent="0.25">
      <c r="A14353" s="2" t="str">
        <f t="shared" si="508"/>
        <v>27140</v>
      </c>
      <c r="B14353" s="2" t="str">
        <f>"39140"</f>
        <v>39140</v>
      </c>
      <c r="C14353" s="1">
        <v>8.5057447800244198E-4</v>
      </c>
      <c r="D14353" s="1">
        <v>2.2700187276545E-4</v>
      </c>
      <c r="E14353" s="1">
        <v>0</v>
      </c>
      <c r="F14353" s="1">
        <v>7.7287855321927796E-4</v>
      </c>
    </row>
    <row r="14354" spans="1:6" x14ac:dyDescent="0.25">
      <c r="A14354" s="2" t="str">
        <f t="shared" si="508"/>
        <v>27140</v>
      </c>
      <c r="B14354" s="2" t="str">
        <f>"39119"</f>
        <v>39119</v>
      </c>
      <c r="C14354" s="1">
        <v>1.52422946458037E-3</v>
      </c>
      <c r="D14354" s="1">
        <v>1.9862663866976901E-4</v>
      </c>
      <c r="E14354" s="1">
        <v>2.1477663230240501E-4</v>
      </c>
      <c r="F14354" s="1">
        <v>1.3660179080154601E-3</v>
      </c>
    </row>
    <row r="14355" spans="1:6" x14ac:dyDescent="0.25">
      <c r="A14355" s="2" t="str">
        <f t="shared" si="508"/>
        <v>27140</v>
      </c>
      <c r="B14355" s="2" t="str">
        <f>"39111"</f>
        <v>39111</v>
      </c>
      <c r="C14355" s="1">
        <v>1.54940646912924E-2</v>
      </c>
      <c r="D14355" s="1">
        <v>1.58617558594858E-2</v>
      </c>
      <c r="E14355" s="1">
        <v>1.9974226804123699E-2</v>
      </c>
      <c r="F14355" s="1">
        <v>1.5595371116509899E-2</v>
      </c>
    </row>
    <row r="14356" spans="1:6" x14ac:dyDescent="0.25">
      <c r="A14356" s="2" t="str">
        <f t="shared" si="508"/>
        <v>27140</v>
      </c>
      <c r="B14356" s="2" t="str">
        <f>"39209"</f>
        <v>39209</v>
      </c>
      <c r="C14356" s="1">
        <v>4.7812492557473302E-2</v>
      </c>
      <c r="D14356" s="1">
        <v>3.9526701095284E-2</v>
      </c>
      <c r="E14356" s="1">
        <v>4.5103092783505098E-2</v>
      </c>
      <c r="F14356" s="1">
        <v>4.68999481751977E-2</v>
      </c>
    </row>
    <row r="14357" spans="1:6" x14ac:dyDescent="0.25">
      <c r="A14357" s="2" t="str">
        <f t="shared" si="508"/>
        <v>27140</v>
      </c>
      <c r="B14357" s="2" t="str">
        <f>"39058"</f>
        <v>39058</v>
      </c>
      <c r="C14357" s="1">
        <v>0</v>
      </c>
      <c r="D14357" s="1">
        <v>2.83752340956812E-5</v>
      </c>
      <c r="E14357" s="1">
        <v>0</v>
      </c>
      <c r="F14357" s="1">
        <v>2.9956533070514599E-6</v>
      </c>
    </row>
    <row r="14358" spans="1:6" x14ac:dyDescent="0.25">
      <c r="A14358" s="2" t="str">
        <f t="shared" si="508"/>
        <v>27140</v>
      </c>
      <c r="B14358" s="2" t="str">
        <f>"39060"</f>
        <v>39060</v>
      </c>
      <c r="C14358" s="1">
        <v>3.26280369761737E-3</v>
      </c>
      <c r="D14358" s="1">
        <v>9.9597071675841305E-3</v>
      </c>
      <c r="E14358" s="1">
        <v>4.2955326460481001E-4</v>
      </c>
      <c r="F14358" s="1">
        <v>3.9302971388515198E-3</v>
      </c>
    </row>
    <row r="14359" spans="1:6" x14ac:dyDescent="0.25">
      <c r="A14359" s="2" t="str">
        <f t="shared" si="508"/>
        <v>27140</v>
      </c>
      <c r="B14359" s="2" t="str">
        <f>"39071"</f>
        <v>39071</v>
      </c>
      <c r="C14359" s="1">
        <v>7.2945267233489397E-3</v>
      </c>
      <c r="D14359" s="1">
        <v>3.3766528573860701E-3</v>
      </c>
      <c r="E14359" s="1">
        <v>1.2886597938144299E-3</v>
      </c>
      <c r="F14359" s="1">
        <v>6.7971373536997804E-3</v>
      </c>
    </row>
    <row r="14360" spans="1:6" x14ac:dyDescent="0.25">
      <c r="A14360" s="2" t="str">
        <f t="shared" si="508"/>
        <v>27140</v>
      </c>
      <c r="B14360" s="2" t="str">
        <f>"39668"</f>
        <v>39668</v>
      </c>
      <c r="C14360" s="1">
        <v>6.8045958240195393E-5</v>
      </c>
      <c r="D14360" s="1">
        <v>0</v>
      </c>
      <c r="E14360" s="1">
        <v>0</v>
      </c>
      <c r="F14360" s="1">
        <v>5.9913066141029299E-5</v>
      </c>
    </row>
    <row r="14361" spans="1:6" x14ac:dyDescent="0.25">
      <c r="A14361" s="2" t="str">
        <f t="shared" si="508"/>
        <v>27140</v>
      </c>
      <c r="B14361" s="2" t="str">
        <f>"39288"</f>
        <v>39288</v>
      </c>
      <c r="C14361" s="1">
        <v>5.0319986118624498E-3</v>
      </c>
      <c r="D14361" s="1">
        <v>1.103796606322E-2</v>
      </c>
      <c r="E14361" s="1">
        <v>2.1477663230240501E-4</v>
      </c>
      <c r="F14361" s="1">
        <v>5.5988760308791899E-3</v>
      </c>
    </row>
    <row r="14362" spans="1:6" x14ac:dyDescent="0.25">
      <c r="A14362" s="2" t="str">
        <f t="shared" si="508"/>
        <v>27140</v>
      </c>
      <c r="B14362" s="2" t="str">
        <f>"39236"</f>
        <v>39236</v>
      </c>
      <c r="C14362" s="1">
        <v>5.2191249970229801E-3</v>
      </c>
      <c r="D14362" s="1">
        <v>2.43743260881902E-2</v>
      </c>
      <c r="E14362" s="1">
        <v>4.2955326460481001E-4</v>
      </c>
      <c r="F14362" s="1">
        <v>7.17458967038826E-3</v>
      </c>
    </row>
    <row r="14363" spans="1:6" x14ac:dyDescent="0.25">
      <c r="A14363" s="2" t="str">
        <f t="shared" si="508"/>
        <v>27140</v>
      </c>
      <c r="B14363" s="2" t="str">
        <f>"39207"</f>
        <v>39207</v>
      </c>
      <c r="C14363" s="1">
        <v>2.8000911815840401E-3</v>
      </c>
      <c r="D14363" s="1">
        <v>9.5340786561489092E-3</v>
      </c>
      <c r="E14363" s="1">
        <v>2.1477663230240501E-4</v>
      </c>
      <c r="F14363" s="1">
        <v>3.4749578361797E-3</v>
      </c>
    </row>
    <row r="14364" spans="1:6" x14ac:dyDescent="0.25">
      <c r="A14364" s="2" t="str">
        <f t="shared" si="508"/>
        <v>27140</v>
      </c>
      <c r="B14364" s="2" t="str">
        <f>"39203"</f>
        <v>39203</v>
      </c>
      <c r="C14364" s="1">
        <v>1.0781882083158899E-2</v>
      </c>
      <c r="D14364" s="1">
        <v>1.16338459792293E-2</v>
      </c>
      <c r="E14364" s="1">
        <v>3.4579037800687197E-2</v>
      </c>
      <c r="F14364" s="1">
        <v>1.1203743368372401E-2</v>
      </c>
    </row>
    <row r="14365" spans="1:6" x14ac:dyDescent="0.25">
      <c r="A14365" s="2" t="str">
        <f t="shared" si="508"/>
        <v>27140</v>
      </c>
      <c r="B14365" s="2" t="str">
        <f>"39232"</f>
        <v>39232</v>
      </c>
      <c r="C14365" s="1">
        <v>1.8682017834845601E-2</v>
      </c>
      <c r="D14365" s="1">
        <v>5.8765109812155901E-2</v>
      </c>
      <c r="E14365" s="1">
        <v>5.7560137457044601E-2</v>
      </c>
      <c r="F14365" s="1">
        <v>2.3455965394212901E-2</v>
      </c>
    </row>
    <row r="14366" spans="1:6" x14ac:dyDescent="0.25">
      <c r="A14366" s="2" t="str">
        <f t="shared" si="508"/>
        <v>27140</v>
      </c>
      <c r="B14366" s="2" t="str">
        <f>"39077"</f>
        <v>39077</v>
      </c>
      <c r="C14366" s="1">
        <v>0</v>
      </c>
      <c r="D14366" s="1">
        <v>2.83752340956812E-5</v>
      </c>
      <c r="E14366" s="1">
        <v>0</v>
      </c>
      <c r="F14366" s="1">
        <v>2.9956533070514599E-6</v>
      </c>
    </row>
    <row r="14367" spans="1:6" x14ac:dyDescent="0.25">
      <c r="A14367" s="2" t="str">
        <f t="shared" si="508"/>
        <v>27140</v>
      </c>
      <c r="B14367" s="2" t="str">
        <f>"39161"</f>
        <v>39161</v>
      </c>
      <c r="C14367" s="1">
        <v>0</v>
      </c>
      <c r="D14367" s="1">
        <v>2.83752340956812E-5</v>
      </c>
      <c r="E14367" s="1">
        <v>0</v>
      </c>
      <c r="F14367" s="1">
        <v>2.9956533070514599E-6</v>
      </c>
    </row>
    <row r="14368" spans="1:6" x14ac:dyDescent="0.25">
      <c r="A14368" s="2" t="str">
        <f t="shared" si="508"/>
        <v>27140</v>
      </c>
      <c r="B14368" s="2" t="str">
        <f>"39166"</f>
        <v>39166</v>
      </c>
      <c r="C14368" s="1">
        <v>6.8045958240195403E-6</v>
      </c>
      <c r="D14368" s="1">
        <v>0</v>
      </c>
      <c r="E14368" s="1">
        <v>0</v>
      </c>
      <c r="F14368" s="1">
        <v>5.9913066141029299E-6</v>
      </c>
    </row>
    <row r="14369" spans="1:6" x14ac:dyDescent="0.25">
      <c r="A14369" s="2" t="str">
        <f t="shared" si="508"/>
        <v>27140</v>
      </c>
      <c r="B14369" s="2" t="str">
        <f>"39063"</f>
        <v>39063</v>
      </c>
      <c r="C14369" s="1">
        <v>6.1853776040337602E-3</v>
      </c>
      <c r="D14369" s="1">
        <v>5.1075421372226296E-3</v>
      </c>
      <c r="E14369" s="1">
        <v>1.07388316151202E-2</v>
      </c>
      <c r="F14369" s="1">
        <v>6.1350979728414003E-3</v>
      </c>
    </row>
    <row r="14370" spans="1:6" x14ac:dyDescent="0.25">
      <c r="A14370" s="2" t="str">
        <f t="shared" si="508"/>
        <v>27140</v>
      </c>
      <c r="B14370" s="2" t="str">
        <f>"39051"</f>
        <v>39051</v>
      </c>
      <c r="C14370" s="1">
        <v>2.7218383296078098E-4</v>
      </c>
      <c r="D14370" s="1">
        <v>2.83752340956812E-5</v>
      </c>
      <c r="E14370" s="1">
        <v>0</v>
      </c>
      <c r="F14370" s="1">
        <v>2.4264791787116801E-4</v>
      </c>
    </row>
    <row r="14371" spans="1:6" x14ac:dyDescent="0.25">
      <c r="A14371" s="2" t="str">
        <f t="shared" si="508"/>
        <v>27140</v>
      </c>
      <c r="B14371" s="2" t="str">
        <f>"39157"</f>
        <v>39157</v>
      </c>
      <c r="C14371" s="1">
        <v>4.4012125789758397E-2</v>
      </c>
      <c r="D14371" s="1">
        <v>7.9365529765620502E-2</v>
      </c>
      <c r="E14371" s="1">
        <v>0.11168384879725</v>
      </c>
      <c r="F14371" s="1">
        <v>4.8688353199507498E-2</v>
      </c>
    </row>
    <row r="14372" spans="1:6" x14ac:dyDescent="0.25">
      <c r="A14372" s="2" t="str">
        <f t="shared" si="508"/>
        <v>27140</v>
      </c>
      <c r="B14372" s="2" t="str">
        <f>"39114"</f>
        <v>39114</v>
      </c>
      <c r="C14372" s="1">
        <v>1.6348041467206899E-2</v>
      </c>
      <c r="D14372" s="1">
        <v>1.0754213722263199E-2</v>
      </c>
      <c r="E14372" s="1">
        <v>1.15979381443298E-2</v>
      </c>
      <c r="F14372" s="1">
        <v>1.5691232022335501E-2</v>
      </c>
    </row>
    <row r="14373" spans="1:6" x14ac:dyDescent="0.25">
      <c r="A14373" s="2" t="str">
        <f t="shared" si="508"/>
        <v>27140</v>
      </c>
      <c r="B14373" s="2" t="str">
        <f>"39283"</f>
        <v>39283</v>
      </c>
      <c r="C14373" s="1">
        <v>1.89848223490145E-3</v>
      </c>
      <c r="D14373" s="1">
        <v>4.8805402644571802E-3</v>
      </c>
      <c r="E14373" s="1">
        <v>4.2955326460481001E-4</v>
      </c>
      <c r="F14373" s="1">
        <v>2.1928182207616698E-3</v>
      </c>
    </row>
    <row r="14374" spans="1:6" x14ac:dyDescent="0.25">
      <c r="A14374" s="2" t="str">
        <f t="shared" si="508"/>
        <v>27140</v>
      </c>
      <c r="B14374" s="2" t="str">
        <f>"39296"</f>
        <v>39296</v>
      </c>
      <c r="C14374" s="1">
        <v>2.9463899918004601E-3</v>
      </c>
      <c r="D14374" s="1">
        <v>1.1491969808750901E-2</v>
      </c>
      <c r="E14374" s="1">
        <v>2.1477663230240501E-4</v>
      </c>
      <c r="F14374" s="1">
        <v>3.81047100656946E-3</v>
      </c>
    </row>
    <row r="14375" spans="1:6" x14ac:dyDescent="0.25">
      <c r="A14375" s="2" t="str">
        <f t="shared" si="508"/>
        <v>27140</v>
      </c>
      <c r="B14375" s="2" t="str">
        <f>"39194"</f>
        <v>39194</v>
      </c>
      <c r="C14375" s="1">
        <v>2.6946199463117299E-2</v>
      </c>
      <c r="D14375" s="1">
        <v>2.63322172407922E-2</v>
      </c>
      <c r="E14375" s="1">
        <v>2.0403780068728498E-2</v>
      </c>
      <c r="F14375" s="1">
        <v>2.67901275249612E-2</v>
      </c>
    </row>
    <row r="14376" spans="1:6" x14ac:dyDescent="0.25">
      <c r="A14376" s="2" t="str">
        <f t="shared" si="508"/>
        <v>27140</v>
      </c>
      <c r="B14376" s="2" t="str">
        <f>"39218"</f>
        <v>39218</v>
      </c>
      <c r="C14376" s="1">
        <v>1.2551076997403999E-2</v>
      </c>
      <c r="D14376" s="1">
        <v>1.8415526928097101E-2</v>
      </c>
      <c r="E14376" s="1">
        <v>9.0206185567010301E-3</v>
      </c>
      <c r="F14376" s="1">
        <v>1.31209614848854E-2</v>
      </c>
    </row>
    <row r="14377" spans="1:6" x14ac:dyDescent="0.25">
      <c r="A14377" s="2" t="str">
        <f t="shared" si="508"/>
        <v>27140</v>
      </c>
      <c r="B14377" s="2" t="str">
        <f>"39082"</f>
        <v>39082</v>
      </c>
      <c r="C14377" s="1">
        <v>2.2795396010465399E-3</v>
      </c>
      <c r="D14377" s="1">
        <v>1.41876170478406E-4</v>
      </c>
      <c r="E14377" s="1">
        <v>0</v>
      </c>
      <c r="F14377" s="1">
        <v>2.0220659822597401E-3</v>
      </c>
    </row>
    <row r="14378" spans="1:6" x14ac:dyDescent="0.25">
      <c r="A14378" s="2" t="str">
        <f t="shared" si="508"/>
        <v>27140</v>
      </c>
      <c r="B14378" s="2" t="str">
        <f>"39163"</f>
        <v>39163</v>
      </c>
      <c r="C14378" s="1">
        <v>0</v>
      </c>
      <c r="D14378" s="1">
        <v>2.83752340956812E-5</v>
      </c>
      <c r="E14378" s="1">
        <v>0</v>
      </c>
      <c r="F14378" s="1">
        <v>2.9956533070514599E-6</v>
      </c>
    </row>
    <row r="14379" spans="1:6" x14ac:dyDescent="0.25">
      <c r="A14379" s="2" t="str">
        <f t="shared" si="508"/>
        <v>27140</v>
      </c>
      <c r="B14379" s="2" t="str">
        <f>"39174"</f>
        <v>39174</v>
      </c>
      <c r="C14379" s="1">
        <v>2.1298384929181102E-3</v>
      </c>
      <c r="D14379" s="1">
        <v>1.8443902162192799E-3</v>
      </c>
      <c r="E14379" s="1">
        <v>2.1477663230240501E-4</v>
      </c>
      <c r="F14379" s="1">
        <v>2.07299208847961E-3</v>
      </c>
    </row>
    <row r="14380" spans="1:6" x14ac:dyDescent="0.25">
      <c r="A14380" s="2" t="str">
        <f t="shared" si="508"/>
        <v>27140</v>
      </c>
      <c r="B14380" s="2" t="str">
        <f>"39059"</f>
        <v>39059</v>
      </c>
      <c r="C14380" s="1">
        <v>2.0107580659977701E-2</v>
      </c>
      <c r="D14380" s="1">
        <v>1.15487202769422E-2</v>
      </c>
      <c r="E14380" s="1">
        <v>7.9467353951889995E-3</v>
      </c>
      <c r="F14380" s="1">
        <v>1.9034381113005001E-2</v>
      </c>
    </row>
    <row r="14381" spans="1:6" x14ac:dyDescent="0.25">
      <c r="A14381" s="2" t="str">
        <f t="shared" si="508"/>
        <v>27140</v>
      </c>
      <c r="B14381" s="2" t="str">
        <f>"39040"</f>
        <v>39040</v>
      </c>
      <c r="C14381" s="1">
        <v>5.0285963139504401E-3</v>
      </c>
      <c r="D14381" s="1">
        <v>9.0800749106180099E-4</v>
      </c>
      <c r="E14381" s="1">
        <v>4.2955326460481001E-4</v>
      </c>
      <c r="F14381" s="1">
        <v>4.5294278002618203E-3</v>
      </c>
    </row>
    <row r="14382" spans="1:6" x14ac:dyDescent="0.25">
      <c r="A14382" s="2" t="str">
        <f t="shared" ref="A14382:A14413" si="509">"26580"</f>
        <v>26580</v>
      </c>
      <c r="B14382" s="2" t="str">
        <f>"25709"</f>
        <v>25709</v>
      </c>
      <c r="C14382" s="1">
        <v>1.20485083422824E-4</v>
      </c>
      <c r="D14382" s="1">
        <v>1.8070112034694601E-3</v>
      </c>
      <c r="E14382" s="1">
        <v>3.6934441366574301E-4</v>
      </c>
      <c r="F14382" s="1">
        <v>2.3793095243760201E-4</v>
      </c>
    </row>
    <row r="14383" spans="1:6" x14ac:dyDescent="0.25">
      <c r="A14383" s="2" t="str">
        <f t="shared" si="509"/>
        <v>26580</v>
      </c>
      <c r="B14383" s="2" t="str">
        <f>"25557"</f>
        <v>25557</v>
      </c>
      <c r="C14383" s="1">
        <v>3.1430891327693201E-5</v>
      </c>
      <c r="D14383" s="1">
        <v>0</v>
      </c>
      <c r="E14383" s="1">
        <v>0</v>
      </c>
      <c r="F14383" s="1">
        <v>2.8551714292512299E-5</v>
      </c>
    </row>
    <row r="14384" spans="1:6" x14ac:dyDescent="0.25">
      <c r="A14384" s="2" t="str">
        <f t="shared" si="509"/>
        <v>26580</v>
      </c>
      <c r="B14384" s="2" t="str">
        <f>"25535"</f>
        <v>25535</v>
      </c>
      <c r="C14384" s="1">
        <v>6.1185468451242803E-3</v>
      </c>
      <c r="D14384" s="1">
        <v>3.39718106252258E-3</v>
      </c>
      <c r="E14384" s="1">
        <v>3.32409972299168E-3</v>
      </c>
      <c r="F14384" s="1">
        <v>5.8673772871112801E-3</v>
      </c>
    </row>
    <row r="14385" spans="1:6" x14ac:dyDescent="0.25">
      <c r="A14385" s="2" t="str">
        <f t="shared" si="509"/>
        <v>26580</v>
      </c>
      <c r="B14385" s="2" t="str">
        <f>"25512"</f>
        <v>25512</v>
      </c>
      <c r="C14385" s="1">
        <v>2.9335498572513599E-3</v>
      </c>
      <c r="D14385" s="1">
        <v>5.0596313697144895E-4</v>
      </c>
      <c r="E14385" s="1">
        <v>5.5401662049861403E-4</v>
      </c>
      <c r="F14385" s="1">
        <v>2.71241285778866E-3</v>
      </c>
    </row>
    <row r="14386" spans="1:6" x14ac:dyDescent="0.25">
      <c r="A14386" s="2" t="str">
        <f t="shared" si="509"/>
        <v>26580</v>
      </c>
      <c r="B14386" s="2" t="str">
        <f>"25248"</f>
        <v>25248</v>
      </c>
      <c r="C14386" s="1">
        <v>4.1907855103590899E-5</v>
      </c>
      <c r="D14386" s="1">
        <v>0</v>
      </c>
      <c r="E14386" s="1">
        <v>0</v>
      </c>
      <c r="F14386" s="1">
        <v>3.8068952390016401E-5</v>
      </c>
    </row>
    <row r="14387" spans="1:6" x14ac:dyDescent="0.25">
      <c r="A14387" s="2" t="str">
        <f t="shared" si="509"/>
        <v>26580</v>
      </c>
      <c r="B14387" s="2" t="str">
        <f>"25109"</f>
        <v>25109</v>
      </c>
      <c r="C14387" s="1">
        <v>0</v>
      </c>
      <c r="D14387" s="1">
        <v>0</v>
      </c>
      <c r="E14387" s="1">
        <v>1.8467220683287099E-4</v>
      </c>
      <c r="F14387" s="1">
        <v>4.7586190487520502E-6</v>
      </c>
    </row>
    <row r="14388" spans="1:6" x14ac:dyDescent="0.25">
      <c r="A14388" s="2" t="str">
        <f t="shared" si="509"/>
        <v>26580</v>
      </c>
      <c r="B14388" s="2" t="str">
        <f>"45696"</f>
        <v>45696</v>
      </c>
      <c r="C14388" s="1">
        <v>3.8240917782026698E-3</v>
      </c>
      <c r="D14388" s="1">
        <v>7.9508492952656297E-4</v>
      </c>
      <c r="E14388" s="1">
        <v>0</v>
      </c>
      <c r="F14388" s="1">
        <v>3.5261367151252698E-3</v>
      </c>
    </row>
    <row r="14389" spans="1:6" x14ac:dyDescent="0.25">
      <c r="A14389" s="2" t="str">
        <f t="shared" si="509"/>
        <v>26580</v>
      </c>
      <c r="B14389" s="2" t="str">
        <f>"45629"</f>
        <v>45629</v>
      </c>
      <c r="C14389" s="1">
        <v>1.5715445663846601E-5</v>
      </c>
      <c r="D14389" s="1">
        <v>0</v>
      </c>
      <c r="E14389" s="1">
        <v>0</v>
      </c>
      <c r="F14389" s="1">
        <v>1.4275857146256101E-5</v>
      </c>
    </row>
    <row r="14390" spans="1:6" x14ac:dyDescent="0.25">
      <c r="A14390" s="2" t="str">
        <f t="shared" si="509"/>
        <v>26580</v>
      </c>
      <c r="B14390" s="2" t="str">
        <f>"45638"</f>
        <v>45638</v>
      </c>
      <c r="C14390" s="1">
        <v>5.8456219387621397E-2</v>
      </c>
      <c r="D14390" s="1">
        <v>6.77267799060354E-2</v>
      </c>
      <c r="E14390" s="1">
        <v>4.63527239150507E-2</v>
      </c>
      <c r="F14390" s="1">
        <v>5.8754669394941499E-2</v>
      </c>
    </row>
    <row r="14391" spans="1:6" x14ac:dyDescent="0.25">
      <c r="A14391" s="2" t="str">
        <f t="shared" si="509"/>
        <v>26580</v>
      </c>
      <c r="B14391" s="2" t="str">
        <f>"41146"</f>
        <v>41146</v>
      </c>
      <c r="C14391" s="1">
        <v>8.3291862018386995E-4</v>
      </c>
      <c r="D14391" s="1">
        <v>0</v>
      </c>
      <c r="E14391" s="1">
        <v>1.8467220683287099E-4</v>
      </c>
      <c r="F14391" s="1">
        <v>7.61379047800328E-4</v>
      </c>
    </row>
    <row r="14392" spans="1:6" x14ac:dyDescent="0.25">
      <c r="A14392" s="2" t="str">
        <f t="shared" si="509"/>
        <v>26580</v>
      </c>
      <c r="B14392" s="2" t="str">
        <f>"41230"</f>
        <v>41230</v>
      </c>
      <c r="C14392" s="1">
        <v>1.5715445663846601E-5</v>
      </c>
      <c r="D14392" s="1">
        <v>0</v>
      </c>
      <c r="E14392" s="1">
        <v>0</v>
      </c>
      <c r="F14392" s="1">
        <v>1.4275857146256101E-5</v>
      </c>
    </row>
    <row r="14393" spans="1:6" x14ac:dyDescent="0.25">
      <c r="A14393" s="2" t="str">
        <f t="shared" si="509"/>
        <v>26580</v>
      </c>
      <c r="B14393" s="2" t="str">
        <f>"41164"</f>
        <v>41164</v>
      </c>
      <c r="C14393" s="1">
        <v>2.79473008722072E-2</v>
      </c>
      <c r="D14393" s="1">
        <v>3.5417419588001401E-3</v>
      </c>
      <c r="E14393" s="1">
        <v>7.2022160664819901E-3</v>
      </c>
      <c r="F14393" s="1">
        <v>2.5805991101382299E-2</v>
      </c>
    </row>
    <row r="14394" spans="1:6" x14ac:dyDescent="0.25">
      <c r="A14394" s="2" t="str">
        <f t="shared" si="509"/>
        <v>26580</v>
      </c>
      <c r="B14394" s="2" t="str">
        <f>"25724"</f>
        <v>25724</v>
      </c>
      <c r="C14394" s="1">
        <v>2.35731684957699E-4</v>
      </c>
      <c r="D14394" s="1">
        <v>3.2526201662450298E-3</v>
      </c>
      <c r="E14394" s="1">
        <v>3.6934441366574301E-4</v>
      </c>
      <c r="F14394" s="1">
        <v>4.37792952485188E-4</v>
      </c>
    </row>
    <row r="14395" spans="1:6" x14ac:dyDescent="0.25">
      <c r="A14395" s="2" t="str">
        <f t="shared" si="509"/>
        <v>26580</v>
      </c>
      <c r="B14395" s="2" t="str">
        <f>"25721"</f>
        <v>25721</v>
      </c>
      <c r="C14395" s="1">
        <v>1.15246601534875E-4</v>
      </c>
      <c r="D14395" s="1">
        <v>2.0238525478857902E-3</v>
      </c>
      <c r="E14395" s="1">
        <v>3.6934441366574301E-4</v>
      </c>
      <c r="F14395" s="1">
        <v>2.4744819053510602E-4</v>
      </c>
    </row>
    <row r="14396" spans="1:6" x14ac:dyDescent="0.25">
      <c r="A14396" s="2" t="str">
        <f t="shared" si="509"/>
        <v>26580</v>
      </c>
      <c r="B14396" s="2" t="str">
        <f>"25717"</f>
        <v>25717</v>
      </c>
      <c r="C14396" s="1">
        <v>1.9382382985410799E-4</v>
      </c>
      <c r="D14396" s="1">
        <v>2.6743765811348E-3</v>
      </c>
      <c r="E14396" s="1">
        <v>3.6934441366574301E-4</v>
      </c>
      <c r="F14396" s="1">
        <v>3.6165504770515499E-4</v>
      </c>
    </row>
    <row r="14397" spans="1:6" x14ac:dyDescent="0.25">
      <c r="A14397" s="2" t="str">
        <f t="shared" si="509"/>
        <v>26580</v>
      </c>
      <c r="B14397" s="2" t="str">
        <f>"25776"</f>
        <v>25776</v>
      </c>
      <c r="C14397" s="1">
        <v>2.9859346761308502E-4</v>
      </c>
      <c r="D14397" s="1">
        <v>1.73473075533068E-3</v>
      </c>
      <c r="E14397" s="1">
        <v>3.6934441366574301E-4</v>
      </c>
      <c r="F14397" s="1">
        <v>3.9496538104642E-4</v>
      </c>
    </row>
    <row r="14398" spans="1:6" x14ac:dyDescent="0.25">
      <c r="A14398" s="2" t="str">
        <f t="shared" si="509"/>
        <v>26580</v>
      </c>
      <c r="B14398" s="2" t="str">
        <f>"25727"</f>
        <v>25727</v>
      </c>
      <c r="C14398" s="1">
        <v>1.67631420414363E-4</v>
      </c>
      <c r="D14398" s="1">
        <v>2.8912179255511298E-3</v>
      </c>
      <c r="E14398" s="1">
        <v>3.6934441366574301E-4</v>
      </c>
      <c r="F14398" s="1">
        <v>3.5213780960765097E-4</v>
      </c>
    </row>
    <row r="14399" spans="1:6" x14ac:dyDescent="0.25">
      <c r="A14399" s="2" t="str">
        <f t="shared" si="509"/>
        <v>26580</v>
      </c>
      <c r="B14399" s="2" t="str">
        <f>"25569"</f>
        <v>25569</v>
      </c>
      <c r="C14399" s="1">
        <v>0</v>
      </c>
      <c r="D14399" s="1">
        <v>0</v>
      </c>
      <c r="E14399" s="1">
        <v>1.8467220683287099E-4</v>
      </c>
      <c r="F14399" s="1">
        <v>4.7586190487520502E-6</v>
      </c>
    </row>
    <row r="14400" spans="1:6" x14ac:dyDescent="0.25">
      <c r="A14400" s="2" t="str">
        <f t="shared" si="509"/>
        <v>26580</v>
      </c>
      <c r="B14400" s="2" t="str">
        <f>"25699"</f>
        <v>25699</v>
      </c>
      <c r="C14400" s="1">
        <v>4.1384006914795999E-4</v>
      </c>
      <c r="D14400" s="1">
        <v>7.2280448138778398E-5</v>
      </c>
      <c r="E14400" s="1">
        <v>0</v>
      </c>
      <c r="F14400" s="1">
        <v>3.80689523900164E-4</v>
      </c>
    </row>
    <row r="14401" spans="1:6" x14ac:dyDescent="0.25">
      <c r="A14401" s="2" t="str">
        <f t="shared" si="509"/>
        <v>26580</v>
      </c>
      <c r="B14401" s="2" t="str">
        <f>"25520"</f>
        <v>25520</v>
      </c>
      <c r="C14401" s="1">
        <v>1.1419890515728501E-3</v>
      </c>
      <c r="D14401" s="1">
        <v>7.2280448138778398E-5</v>
      </c>
      <c r="E14401" s="1">
        <v>0</v>
      </c>
      <c r="F14401" s="1">
        <v>1.04213757167669E-3</v>
      </c>
    </row>
    <row r="14402" spans="1:6" x14ac:dyDescent="0.25">
      <c r="A14402" s="2" t="str">
        <f t="shared" si="509"/>
        <v>26580</v>
      </c>
      <c r="B14402" s="2" t="str">
        <f>"25511"</f>
        <v>25511</v>
      </c>
      <c r="C14402" s="1">
        <v>2.2001623929385201E-3</v>
      </c>
      <c r="D14402" s="1">
        <v>5.7824358511022697E-4</v>
      </c>
      <c r="E14402" s="1">
        <v>1.8467220683287099E-4</v>
      </c>
      <c r="F14402" s="1">
        <v>2.0414475719146299E-3</v>
      </c>
    </row>
    <row r="14403" spans="1:6" x14ac:dyDescent="0.25">
      <c r="A14403" s="2" t="str">
        <f t="shared" si="509"/>
        <v>26580</v>
      </c>
      <c r="B14403" s="2" t="str">
        <f>"25510"</f>
        <v>25510</v>
      </c>
      <c r="C14403" s="1">
        <v>1.3001912045889101E-2</v>
      </c>
      <c r="D14403" s="1">
        <v>2.4575352367184602E-3</v>
      </c>
      <c r="E14403" s="1">
        <v>1.20036934441366E-2</v>
      </c>
      <c r="F14403" s="1">
        <v>1.2281995764828999E-2</v>
      </c>
    </row>
    <row r="14404" spans="1:6" x14ac:dyDescent="0.25">
      <c r="A14404" s="2" t="str">
        <f t="shared" si="509"/>
        <v>26580</v>
      </c>
      <c r="B14404" s="2" t="str">
        <f>"25213"</f>
        <v>25213</v>
      </c>
      <c r="C14404" s="1">
        <v>1.47725189240158E-2</v>
      </c>
      <c r="D14404" s="1">
        <v>1.02638236357065E-2</v>
      </c>
      <c r="E14404" s="1">
        <v>1.1634349030470901E-2</v>
      </c>
      <c r="F14404" s="1">
        <v>1.43948226224749E-2</v>
      </c>
    </row>
    <row r="14405" spans="1:6" x14ac:dyDescent="0.25">
      <c r="A14405" s="2" t="str">
        <f t="shared" si="509"/>
        <v>26580</v>
      </c>
      <c r="B14405" s="2" t="str">
        <f>"25011"</f>
        <v>25011</v>
      </c>
      <c r="C14405" s="1">
        <v>3.1430891327693201E-5</v>
      </c>
      <c r="D14405" s="1">
        <v>0</v>
      </c>
      <c r="E14405" s="1">
        <v>1.8467220683287099E-4</v>
      </c>
      <c r="F14405" s="1">
        <v>3.3310333341264298E-5</v>
      </c>
    </row>
    <row r="14406" spans="1:6" x14ac:dyDescent="0.25">
      <c r="A14406" s="2" t="str">
        <f t="shared" si="509"/>
        <v>26580</v>
      </c>
      <c r="B14406" s="2" t="str">
        <f>"45659"</f>
        <v>45659</v>
      </c>
      <c r="C14406" s="1">
        <v>6.9147960920925098E-3</v>
      </c>
      <c r="D14406" s="1">
        <v>1.0119262739428901E-3</v>
      </c>
      <c r="E14406" s="1">
        <v>1.10803324099722E-3</v>
      </c>
      <c r="F14406" s="1">
        <v>6.3765495253277401E-3</v>
      </c>
    </row>
    <row r="14407" spans="1:6" x14ac:dyDescent="0.25">
      <c r="A14407" s="2" t="str">
        <f t="shared" si="509"/>
        <v>26580</v>
      </c>
      <c r="B14407" s="2" t="str">
        <f>"45645"</f>
        <v>45645</v>
      </c>
      <c r="C14407" s="1">
        <v>7.5853217737499598E-3</v>
      </c>
      <c r="D14407" s="1">
        <v>7.2280448138778398E-4</v>
      </c>
      <c r="E14407" s="1">
        <v>9.2336103416435801E-4</v>
      </c>
      <c r="F14407" s="1">
        <v>6.96185966832425E-3</v>
      </c>
    </row>
    <row r="14408" spans="1:6" x14ac:dyDescent="0.25">
      <c r="A14408" s="2" t="str">
        <f t="shared" si="509"/>
        <v>26580</v>
      </c>
      <c r="B14408" s="2" t="str">
        <f>"41121"</f>
        <v>41121</v>
      </c>
      <c r="C14408" s="1">
        <v>4.1750700646952504E-3</v>
      </c>
      <c r="D14408" s="1">
        <v>7.2280448138778398E-4</v>
      </c>
      <c r="E14408" s="1">
        <v>1.8467220683287099E-4</v>
      </c>
      <c r="F14408" s="1">
        <v>3.8449641913916501E-3</v>
      </c>
    </row>
    <row r="14409" spans="1:6" x14ac:dyDescent="0.25">
      <c r="A14409" s="2" t="str">
        <f t="shared" si="509"/>
        <v>26580</v>
      </c>
      <c r="B14409" s="2" t="str">
        <f>"41180"</f>
        <v>41180</v>
      </c>
      <c r="C14409" s="1">
        <v>3.1430891327693201E-4</v>
      </c>
      <c r="D14409" s="1">
        <v>7.2280448138778398E-5</v>
      </c>
      <c r="E14409" s="1">
        <v>0</v>
      </c>
      <c r="F14409" s="1">
        <v>2.90275761973875E-4</v>
      </c>
    </row>
    <row r="14410" spans="1:6" x14ac:dyDescent="0.25">
      <c r="A14410" s="2" t="str">
        <f t="shared" si="509"/>
        <v>26580</v>
      </c>
      <c r="B14410" s="2" t="str">
        <f>"41168"</f>
        <v>41168</v>
      </c>
      <c r="C14410" s="1">
        <v>8.1720317452002398E-3</v>
      </c>
      <c r="D14410" s="1">
        <v>1.30104806649801E-3</v>
      </c>
      <c r="E14410" s="1">
        <v>2.0313942751615799E-3</v>
      </c>
      <c r="F14410" s="1">
        <v>7.56144566846701E-3</v>
      </c>
    </row>
    <row r="14411" spans="1:6" x14ac:dyDescent="0.25">
      <c r="A14411" s="2" t="str">
        <f t="shared" si="509"/>
        <v>26580</v>
      </c>
      <c r="B14411" s="2" t="str">
        <f>"25726"</f>
        <v>25726</v>
      </c>
      <c r="C14411" s="1">
        <v>2.6192409439744301E-4</v>
      </c>
      <c r="D14411" s="1">
        <v>3.75858330321647E-3</v>
      </c>
      <c r="E14411" s="1">
        <v>3.6934441366574301E-4</v>
      </c>
      <c r="F14411" s="1">
        <v>4.9489638107021302E-4</v>
      </c>
    </row>
    <row r="14412" spans="1:6" x14ac:dyDescent="0.25">
      <c r="A14412" s="2" t="str">
        <f t="shared" si="509"/>
        <v>26580</v>
      </c>
      <c r="B14412" s="2" t="str">
        <f>"25714"</f>
        <v>25714</v>
      </c>
      <c r="C14412" s="1">
        <v>4.4003247858770498E-4</v>
      </c>
      <c r="D14412" s="1">
        <v>2.1684134441633499E-3</v>
      </c>
      <c r="E14412" s="1">
        <v>3.6934441366574301E-4</v>
      </c>
      <c r="F14412" s="1">
        <v>5.5199980965523799E-4</v>
      </c>
    </row>
    <row r="14413" spans="1:6" x14ac:dyDescent="0.25">
      <c r="A14413" s="2" t="str">
        <f t="shared" si="509"/>
        <v>26580</v>
      </c>
      <c r="B14413" s="2" t="str">
        <f>"25713"</f>
        <v>25713</v>
      </c>
      <c r="C14413" s="1">
        <v>5.60517562010529E-4</v>
      </c>
      <c r="D14413" s="1">
        <v>1.87929165160823E-3</v>
      </c>
      <c r="E14413" s="1">
        <v>3.6934441366574301E-4</v>
      </c>
      <c r="F14413" s="1">
        <v>6.42413571581527E-4</v>
      </c>
    </row>
    <row r="14414" spans="1:6" x14ac:dyDescent="0.25">
      <c r="A14414" s="2" t="str">
        <f t="shared" ref="A14414:A14445" si="510">"26580"</f>
        <v>26580</v>
      </c>
      <c r="B14414" s="2" t="str">
        <f>"25712"</f>
        <v>25712</v>
      </c>
      <c r="C14414" s="1">
        <v>5.2908667068283599E-4</v>
      </c>
      <c r="D14414" s="1">
        <v>2.31297434044091E-3</v>
      </c>
      <c r="E14414" s="1">
        <v>3.6934441366574301E-4</v>
      </c>
      <c r="F14414" s="1">
        <v>6.42413571581527E-4</v>
      </c>
    </row>
    <row r="14415" spans="1:6" x14ac:dyDescent="0.25">
      <c r="A14415" s="2" t="str">
        <f t="shared" si="510"/>
        <v>26580</v>
      </c>
      <c r="B14415" s="2" t="str">
        <f>"25711"</f>
        <v>25711</v>
      </c>
      <c r="C14415" s="1">
        <v>2.82878021949239E-4</v>
      </c>
      <c r="D14415" s="1">
        <v>1.5901698590531201E-3</v>
      </c>
      <c r="E14415" s="1">
        <v>3.6934441366574301E-4</v>
      </c>
      <c r="F14415" s="1">
        <v>3.7117228580265998E-4</v>
      </c>
    </row>
    <row r="14416" spans="1:6" x14ac:dyDescent="0.25">
      <c r="A14416" s="2" t="str">
        <f t="shared" si="510"/>
        <v>26580</v>
      </c>
      <c r="B14416" s="2" t="str">
        <f>"25773"</f>
        <v>25773</v>
      </c>
      <c r="C14416" s="1">
        <v>3.3526284082872697E-4</v>
      </c>
      <c r="D14416" s="1">
        <v>1.2287676183592301E-3</v>
      </c>
      <c r="E14416" s="1">
        <v>3.6934441366574301E-4</v>
      </c>
      <c r="F14416" s="1">
        <v>3.9496538104642E-4</v>
      </c>
    </row>
    <row r="14417" spans="1:6" x14ac:dyDescent="0.25">
      <c r="A14417" s="2" t="str">
        <f t="shared" si="510"/>
        <v>26580</v>
      </c>
      <c r="B14417" s="2" t="str">
        <f>"25534"</f>
        <v>25534</v>
      </c>
      <c r="C14417" s="1">
        <v>7.5434139186463705E-4</v>
      </c>
      <c r="D14417" s="1">
        <v>2.8912179255511299E-4</v>
      </c>
      <c r="E14417" s="1">
        <v>0</v>
      </c>
      <c r="F14417" s="1">
        <v>7.0427561921530303E-4</v>
      </c>
    </row>
    <row r="14418" spans="1:6" x14ac:dyDescent="0.25">
      <c r="A14418" s="2" t="str">
        <f t="shared" si="510"/>
        <v>26580</v>
      </c>
      <c r="B14418" s="2" t="str">
        <f>"25245"</f>
        <v>25245</v>
      </c>
      <c r="C14418" s="1">
        <v>2.20016239293852E-4</v>
      </c>
      <c r="D14418" s="1">
        <v>7.2280448138778398E-5</v>
      </c>
      <c r="E14418" s="1">
        <v>0</v>
      </c>
      <c r="F14418" s="1">
        <v>2.04620619096338E-4</v>
      </c>
    </row>
    <row r="14419" spans="1:6" x14ac:dyDescent="0.25">
      <c r="A14419" s="2" t="str">
        <f t="shared" si="510"/>
        <v>26580</v>
      </c>
      <c r="B14419" s="2" t="str">
        <f>"25070"</f>
        <v>25070</v>
      </c>
      <c r="C14419" s="1">
        <v>1.68679116791953E-3</v>
      </c>
      <c r="D14419" s="1">
        <v>4.3368268883267001E-4</v>
      </c>
      <c r="E14419" s="1">
        <v>1.8467220683287099E-4</v>
      </c>
      <c r="F14419" s="1">
        <v>1.56558566703942E-3</v>
      </c>
    </row>
    <row r="14420" spans="1:6" x14ac:dyDescent="0.25">
      <c r="A14420" s="2" t="str">
        <f t="shared" si="510"/>
        <v>26580</v>
      </c>
      <c r="B14420" s="2" t="str">
        <f>"25082"</f>
        <v>25082</v>
      </c>
      <c r="C14420" s="1">
        <v>4.4265171953167901E-3</v>
      </c>
      <c r="D14420" s="1">
        <v>1.30104806649801E-3</v>
      </c>
      <c r="E14420" s="1">
        <v>1.8467220683287099E-4</v>
      </c>
      <c r="F14420" s="1">
        <v>4.1114468581217702E-3</v>
      </c>
    </row>
    <row r="14421" spans="1:6" x14ac:dyDescent="0.25">
      <c r="A14421" s="2" t="str">
        <f t="shared" si="510"/>
        <v>26580</v>
      </c>
      <c r="B14421" s="2" t="str">
        <f>"45678"</f>
        <v>45678</v>
      </c>
      <c r="C14421" s="1">
        <v>3.09070431388983E-3</v>
      </c>
      <c r="D14421" s="1">
        <v>1.0119262739428901E-3</v>
      </c>
      <c r="E14421" s="1">
        <v>0</v>
      </c>
      <c r="F14421" s="1">
        <v>2.87420590544623E-3</v>
      </c>
    </row>
    <row r="14422" spans="1:6" x14ac:dyDescent="0.25">
      <c r="A14422" s="2" t="str">
        <f t="shared" si="510"/>
        <v>26580</v>
      </c>
      <c r="B14422" s="2" t="str">
        <f>"45656"</f>
        <v>45656</v>
      </c>
      <c r="C14422" s="1">
        <v>4.7146336991539799E-4</v>
      </c>
      <c r="D14422" s="1">
        <v>3.6140224069389199E-4</v>
      </c>
      <c r="E14422" s="1">
        <v>0</v>
      </c>
      <c r="F14422" s="1">
        <v>4.52068809631444E-4</v>
      </c>
    </row>
    <row r="14423" spans="1:6" x14ac:dyDescent="0.25">
      <c r="A14423" s="2" t="str">
        <f t="shared" si="510"/>
        <v>26580</v>
      </c>
      <c r="B14423" s="2" t="str">
        <f>"45669"</f>
        <v>45669</v>
      </c>
      <c r="C14423" s="1">
        <v>3.4783519735980498E-2</v>
      </c>
      <c r="D14423" s="1">
        <v>2.3635706541380499E-2</v>
      </c>
      <c r="E14423" s="1">
        <v>4.0997229916897499E-2</v>
      </c>
      <c r="F14423" s="1">
        <v>3.4209712341478501E-2</v>
      </c>
    </row>
    <row r="14424" spans="1:6" x14ac:dyDescent="0.25">
      <c r="A14424" s="2" t="str">
        <f t="shared" si="510"/>
        <v>26580</v>
      </c>
      <c r="B14424" s="2" t="str">
        <f>"41132"</f>
        <v>41132</v>
      </c>
      <c r="C14424" s="1">
        <v>9.6388066738259197E-4</v>
      </c>
      <c r="D14424" s="1">
        <v>0</v>
      </c>
      <c r="E14424" s="1">
        <v>1.8467220683287099E-4</v>
      </c>
      <c r="F14424" s="1">
        <v>8.8034452401912901E-4</v>
      </c>
    </row>
    <row r="14425" spans="1:6" x14ac:dyDescent="0.25">
      <c r="A14425" s="2" t="str">
        <f t="shared" si="510"/>
        <v>26580</v>
      </c>
      <c r="B14425" s="2" t="str">
        <f>"41179"</f>
        <v>41179</v>
      </c>
      <c r="C14425" s="1">
        <v>6.8100264543335305E-5</v>
      </c>
      <c r="D14425" s="1">
        <v>0</v>
      </c>
      <c r="E14425" s="1">
        <v>0</v>
      </c>
      <c r="F14425" s="1">
        <v>6.1862047633776601E-5</v>
      </c>
    </row>
    <row r="14426" spans="1:6" x14ac:dyDescent="0.25">
      <c r="A14426" s="2" t="str">
        <f t="shared" si="510"/>
        <v>26580</v>
      </c>
      <c r="B14426" s="2" t="str">
        <f>"25722"</f>
        <v>25722</v>
      </c>
      <c r="C14426" s="1">
        <v>1.2572356531077199E-4</v>
      </c>
      <c r="D14426" s="1">
        <v>2.0961329960245698E-3</v>
      </c>
      <c r="E14426" s="1">
        <v>3.6934441366574301E-4</v>
      </c>
      <c r="F14426" s="1">
        <v>2.6172404768136202E-4</v>
      </c>
    </row>
    <row r="14427" spans="1:6" x14ac:dyDescent="0.25">
      <c r="A14427" s="2" t="str">
        <f t="shared" si="510"/>
        <v>26580</v>
      </c>
      <c r="B14427" s="2" t="str">
        <f>"25716"</f>
        <v>25716</v>
      </c>
      <c r="C14427" s="1">
        <v>4.2955551481180698E-4</v>
      </c>
      <c r="D14427" s="1">
        <v>2.0238525478857902E-3</v>
      </c>
      <c r="E14427" s="1">
        <v>3.6934441366574301E-4</v>
      </c>
      <c r="F14427" s="1">
        <v>5.3296533346022898E-4</v>
      </c>
    </row>
    <row r="14428" spans="1:6" x14ac:dyDescent="0.25">
      <c r="A14428" s="2" t="str">
        <f t="shared" si="510"/>
        <v>26580</v>
      </c>
      <c r="B14428" s="2" t="str">
        <f>"25715"</f>
        <v>25715</v>
      </c>
      <c r="C14428" s="1">
        <v>2.0953927551795401E-4</v>
      </c>
      <c r="D14428" s="1">
        <v>1.2287676183592301E-3</v>
      </c>
      <c r="E14428" s="1">
        <v>3.6934441366574301E-4</v>
      </c>
      <c r="F14428" s="1">
        <v>2.8075852387637098E-4</v>
      </c>
    </row>
    <row r="14429" spans="1:6" x14ac:dyDescent="0.25">
      <c r="A14429" s="2" t="str">
        <f t="shared" si="510"/>
        <v>26580</v>
      </c>
      <c r="B14429" s="2" t="str">
        <f>"25777"</f>
        <v>25777</v>
      </c>
      <c r="C14429" s="1">
        <v>3.1954739516488101E-4</v>
      </c>
      <c r="D14429" s="1">
        <v>1.4456089627755599E-3</v>
      </c>
      <c r="E14429" s="1">
        <v>3.6934441366574301E-4</v>
      </c>
      <c r="F14429" s="1">
        <v>3.9496538104642E-4</v>
      </c>
    </row>
    <row r="14430" spans="1:6" x14ac:dyDescent="0.25">
      <c r="A14430" s="2" t="str">
        <f t="shared" si="510"/>
        <v>26580</v>
      </c>
      <c r="B14430" s="2" t="str">
        <f>"25772"</f>
        <v>25772</v>
      </c>
      <c r="C14430" s="1">
        <v>2.8811650383718702E-4</v>
      </c>
      <c r="D14430" s="1">
        <v>1.87929165160823E-3</v>
      </c>
      <c r="E14430" s="1">
        <v>3.6934441366574301E-4</v>
      </c>
      <c r="F14430" s="1">
        <v>3.9496538104642E-4</v>
      </c>
    </row>
    <row r="14431" spans="1:6" x14ac:dyDescent="0.25">
      <c r="A14431" s="2" t="str">
        <f t="shared" si="510"/>
        <v>26580</v>
      </c>
      <c r="B14431" s="2" t="str">
        <f>"25707"</f>
        <v>25707</v>
      </c>
      <c r="C14431" s="1">
        <v>2.82878021949239E-4</v>
      </c>
      <c r="D14431" s="1">
        <v>1.0119262739428901E-3</v>
      </c>
      <c r="E14431" s="1">
        <v>3.6934441366574301E-4</v>
      </c>
      <c r="F14431" s="1">
        <v>3.3310333341264299E-4</v>
      </c>
    </row>
    <row r="14432" spans="1:6" x14ac:dyDescent="0.25">
      <c r="A14432" s="2" t="str">
        <f t="shared" si="510"/>
        <v>26580</v>
      </c>
      <c r="B14432" s="2" t="str">
        <f>"25729"</f>
        <v>25729</v>
      </c>
      <c r="C14432" s="1">
        <v>8.0672621074412605E-4</v>
      </c>
      <c r="D14432" s="1">
        <v>1.30104806649801E-3</v>
      </c>
      <c r="E14432" s="1">
        <v>3.6934441366574301E-4</v>
      </c>
      <c r="F14432" s="1">
        <v>8.2799971448285705E-4</v>
      </c>
    </row>
    <row r="14433" spans="1:6" x14ac:dyDescent="0.25">
      <c r="A14433" s="2" t="str">
        <f t="shared" si="510"/>
        <v>26580</v>
      </c>
      <c r="B14433" s="2" t="str">
        <f>"25703"</f>
        <v>25703</v>
      </c>
      <c r="C14433" s="1">
        <v>1.44163021556352E-2</v>
      </c>
      <c r="D14433" s="1">
        <v>2.0093964582580399E-2</v>
      </c>
      <c r="E14433" s="1">
        <v>5.0230840258541E-2</v>
      </c>
      <c r="F14433" s="1">
        <v>1.5712960098979201E-2</v>
      </c>
    </row>
    <row r="14434" spans="1:6" x14ac:dyDescent="0.25">
      <c r="A14434" s="2" t="str">
        <f t="shared" si="510"/>
        <v>26580</v>
      </c>
      <c r="B14434" s="2" t="str">
        <f>"25570"</f>
        <v>25570</v>
      </c>
      <c r="C14434" s="1">
        <v>2.1666361088556501E-2</v>
      </c>
      <c r="D14434" s="1">
        <v>8.1676906396819602E-3</v>
      </c>
      <c r="E14434" s="1">
        <v>9.0489381348107106E-3</v>
      </c>
      <c r="F14434" s="1">
        <v>2.0452544671536298E-2</v>
      </c>
    </row>
    <row r="14435" spans="1:6" x14ac:dyDescent="0.25">
      <c r="A14435" s="2" t="str">
        <f t="shared" si="510"/>
        <v>26580</v>
      </c>
      <c r="B14435" s="2" t="str">
        <f>"25560"</f>
        <v>25560</v>
      </c>
      <c r="C14435" s="1">
        <v>2.2169255349799601E-2</v>
      </c>
      <c r="D14435" s="1">
        <v>1.25767979761474E-2</v>
      </c>
      <c r="E14435" s="1">
        <v>1.1449676823638E-2</v>
      </c>
      <c r="F14435" s="1">
        <v>2.1261509909824099E-2</v>
      </c>
    </row>
    <row r="14436" spans="1:6" x14ac:dyDescent="0.25">
      <c r="A14436" s="2" t="str">
        <f t="shared" si="510"/>
        <v>26580</v>
      </c>
      <c r="B14436" s="2" t="str">
        <f>"25177"</f>
        <v>25177</v>
      </c>
      <c r="C14436" s="1">
        <v>6.3385630844181302E-4</v>
      </c>
      <c r="D14436" s="1">
        <v>2.4575352367184602E-3</v>
      </c>
      <c r="E14436" s="1">
        <v>0</v>
      </c>
      <c r="F14436" s="1">
        <v>7.3758595255656804E-4</v>
      </c>
    </row>
    <row r="14437" spans="1:6" x14ac:dyDescent="0.25">
      <c r="A14437" s="2" t="str">
        <f t="shared" si="510"/>
        <v>26580</v>
      </c>
      <c r="B14437" s="2" t="str">
        <f>"25168"</f>
        <v>25168</v>
      </c>
      <c r="C14437" s="1">
        <v>7.26053589669713E-3</v>
      </c>
      <c r="D14437" s="1">
        <v>1.87929165160823E-3</v>
      </c>
      <c r="E14437" s="1">
        <v>3.6934441366574301E-4</v>
      </c>
      <c r="F14437" s="1">
        <v>6.7286873349354003E-3</v>
      </c>
    </row>
    <row r="14438" spans="1:6" x14ac:dyDescent="0.25">
      <c r="A14438" s="2" t="str">
        <f t="shared" si="510"/>
        <v>26580</v>
      </c>
      <c r="B14438" s="2" t="str">
        <f>"41144"</f>
        <v>41144</v>
      </c>
      <c r="C14438" s="1">
        <v>2.6328609968831001E-2</v>
      </c>
      <c r="D14438" s="1">
        <v>2.32743043006866E-2</v>
      </c>
      <c r="E14438" s="1">
        <v>1.0526315789473601E-2</v>
      </c>
      <c r="F14438" s="1">
        <v>2.57203359585048E-2</v>
      </c>
    </row>
    <row r="14439" spans="1:6" x14ac:dyDescent="0.25">
      <c r="A14439" s="2" t="str">
        <f t="shared" si="510"/>
        <v>26580</v>
      </c>
      <c r="B14439" s="2" t="str">
        <f>"41102"</f>
        <v>41102</v>
      </c>
      <c r="C14439" s="1">
        <v>4.9797008826841897E-2</v>
      </c>
      <c r="D14439" s="1">
        <v>5.1463679074810198E-2</v>
      </c>
      <c r="E14439" s="1">
        <v>4.6168051708217903E-2</v>
      </c>
      <c r="F14439" s="1">
        <v>4.9813224202336401E-2</v>
      </c>
    </row>
    <row r="14440" spans="1:6" x14ac:dyDescent="0.25">
      <c r="A14440" s="2" t="str">
        <f t="shared" si="510"/>
        <v>26580</v>
      </c>
      <c r="B14440" s="2" t="str">
        <f>"41174"</f>
        <v>41174</v>
      </c>
      <c r="C14440" s="1">
        <v>1.9487152623169799E-3</v>
      </c>
      <c r="D14440" s="1">
        <v>5.0596313697144895E-4</v>
      </c>
      <c r="E14440" s="1">
        <v>7.3868882733148602E-4</v>
      </c>
      <c r="F14440" s="1">
        <v>1.8225510956720299E-3</v>
      </c>
    </row>
    <row r="14441" spans="1:6" x14ac:dyDescent="0.25">
      <c r="A14441" s="2" t="str">
        <f t="shared" si="510"/>
        <v>26580</v>
      </c>
      <c r="B14441" s="2" t="str">
        <f>"25778"</f>
        <v>25778</v>
      </c>
      <c r="C14441" s="1">
        <v>3.6145525026847202E-4</v>
      </c>
      <c r="D14441" s="1">
        <v>2.24069389230213E-3</v>
      </c>
      <c r="E14441" s="1">
        <v>3.6934441366574301E-4</v>
      </c>
      <c r="F14441" s="1">
        <v>4.8537914297270901E-4</v>
      </c>
    </row>
    <row r="14442" spans="1:6" x14ac:dyDescent="0.25">
      <c r="A14442" s="2" t="str">
        <f t="shared" si="510"/>
        <v>26580</v>
      </c>
      <c r="B14442" s="2" t="str">
        <f>"25755"</f>
        <v>25755</v>
      </c>
      <c r="C14442" s="1">
        <v>0</v>
      </c>
      <c r="D14442" s="1">
        <v>0</v>
      </c>
      <c r="E14442" s="1">
        <v>1.8467220683287099E-4</v>
      </c>
      <c r="F14442" s="1">
        <v>4.7586190487520502E-6</v>
      </c>
    </row>
    <row r="14443" spans="1:6" x14ac:dyDescent="0.25">
      <c r="A14443" s="2" t="str">
        <f t="shared" si="510"/>
        <v>26580</v>
      </c>
      <c r="B14443" s="2" t="str">
        <f>"25706"</f>
        <v>25706</v>
      </c>
      <c r="C14443" s="1">
        <v>3.9812462348411403E-4</v>
      </c>
      <c r="D14443" s="1">
        <v>1.87929165160823E-3</v>
      </c>
      <c r="E14443" s="1">
        <v>3.6934441366574301E-4</v>
      </c>
      <c r="F14443" s="1">
        <v>4.9489638107021302E-4</v>
      </c>
    </row>
    <row r="14444" spans="1:6" x14ac:dyDescent="0.25">
      <c r="A14444" s="2" t="str">
        <f t="shared" si="510"/>
        <v>26580</v>
      </c>
      <c r="B14444" s="2" t="str">
        <f>"25559"</f>
        <v>25559</v>
      </c>
      <c r="C14444" s="1">
        <v>4.9870347573273202E-3</v>
      </c>
      <c r="D14444" s="1">
        <v>1.8070112034694601E-3</v>
      </c>
      <c r="E14444" s="1">
        <v>3.6934441366574301E-4</v>
      </c>
      <c r="F14444" s="1">
        <v>4.65868804872825E-3</v>
      </c>
    </row>
    <row r="14445" spans="1:6" x14ac:dyDescent="0.25">
      <c r="A14445" s="2" t="str">
        <f t="shared" si="510"/>
        <v>26580</v>
      </c>
      <c r="B14445" s="2" t="str">
        <f>"25537"</f>
        <v>25537</v>
      </c>
      <c r="C14445" s="1">
        <v>5.1022813588621997E-3</v>
      </c>
      <c r="D14445" s="1">
        <v>1.8070112034694601E-3</v>
      </c>
      <c r="E14445" s="1">
        <v>1.10803324099722E-3</v>
      </c>
      <c r="F14445" s="1">
        <v>4.7824121439958098E-3</v>
      </c>
    </row>
    <row r="14446" spans="1:6" x14ac:dyDescent="0.25">
      <c r="A14446" s="2" t="str">
        <f t="shared" ref="A14446:A14477" si="511">"26580"</f>
        <v>26580</v>
      </c>
      <c r="B14446" s="2" t="str">
        <f>"25545"</f>
        <v>25545</v>
      </c>
      <c r="C14446" s="1">
        <v>1.4835380706671199E-2</v>
      </c>
      <c r="D14446" s="1">
        <v>6.2883989880737198E-3</v>
      </c>
      <c r="E14446" s="1">
        <v>4.2474607571560399E-3</v>
      </c>
      <c r="F14446" s="1">
        <v>1.39998572414285E-2</v>
      </c>
    </row>
    <row r="14447" spans="1:6" x14ac:dyDescent="0.25">
      <c r="A14447" s="2" t="str">
        <f t="shared" si="511"/>
        <v>26580</v>
      </c>
      <c r="B14447" s="2" t="str">
        <f>"25526"</f>
        <v>25526</v>
      </c>
      <c r="C14447" s="1">
        <v>5.3374891956311003E-2</v>
      </c>
      <c r="D14447" s="1">
        <v>6.5124683773039302E-2</v>
      </c>
      <c r="E14447" s="1">
        <v>3.8227146814404402E-2</v>
      </c>
      <c r="F14447" s="1">
        <v>5.3758119393751899E-2</v>
      </c>
    </row>
    <row r="14448" spans="1:6" x14ac:dyDescent="0.25">
      <c r="A14448" s="2" t="str">
        <f t="shared" si="511"/>
        <v>26580</v>
      </c>
      <c r="B14448" s="2" t="str">
        <f>"25504"</f>
        <v>25504</v>
      </c>
      <c r="C14448" s="1">
        <v>3.4175855836978401E-2</v>
      </c>
      <c r="D14448" s="1">
        <v>5.8330321647994197E-2</v>
      </c>
      <c r="E14448" s="1">
        <v>2.89935364727608E-2</v>
      </c>
      <c r="F14448" s="1">
        <v>3.5632539437055299E-2</v>
      </c>
    </row>
    <row r="14449" spans="1:6" x14ac:dyDescent="0.25">
      <c r="A14449" s="2" t="str">
        <f t="shared" si="511"/>
        <v>26580</v>
      </c>
      <c r="B14449" s="2" t="str">
        <f>"25312"</f>
        <v>25312</v>
      </c>
      <c r="C14449" s="1">
        <v>1.5715445663846601E-5</v>
      </c>
      <c r="D14449" s="1">
        <v>0</v>
      </c>
      <c r="E14449" s="1">
        <v>0</v>
      </c>
      <c r="F14449" s="1">
        <v>1.4275857146256101E-5</v>
      </c>
    </row>
    <row r="14450" spans="1:6" x14ac:dyDescent="0.25">
      <c r="A14450" s="2" t="str">
        <f t="shared" si="511"/>
        <v>26580</v>
      </c>
      <c r="B14450" s="2" t="str">
        <f>"45675"</f>
        <v>45675</v>
      </c>
      <c r="C14450" s="1">
        <v>0</v>
      </c>
      <c r="D14450" s="1">
        <v>7.2280448138778398E-5</v>
      </c>
      <c r="E14450" s="1">
        <v>0</v>
      </c>
      <c r="F14450" s="1">
        <v>4.7586190487520502E-6</v>
      </c>
    </row>
    <row r="14451" spans="1:6" x14ac:dyDescent="0.25">
      <c r="A14451" s="2" t="str">
        <f t="shared" si="511"/>
        <v>26580</v>
      </c>
      <c r="B14451" s="2" t="str">
        <f>"45688"</f>
        <v>45688</v>
      </c>
      <c r="C14451" s="1">
        <v>1.19961235234029E-3</v>
      </c>
      <c r="D14451" s="1">
        <v>1.4456089627755601E-4</v>
      </c>
      <c r="E14451" s="1">
        <v>0</v>
      </c>
      <c r="F14451" s="1">
        <v>1.09924100026172E-3</v>
      </c>
    </row>
    <row r="14452" spans="1:6" x14ac:dyDescent="0.25">
      <c r="A14452" s="2" t="str">
        <f t="shared" si="511"/>
        <v>26580</v>
      </c>
      <c r="B14452" s="2" t="str">
        <f>"45680"</f>
        <v>45680</v>
      </c>
      <c r="C14452" s="1">
        <v>3.3112444013724797E-2</v>
      </c>
      <c r="D14452" s="1">
        <v>2.1467293097217201E-2</v>
      </c>
      <c r="E14452" s="1">
        <v>6.0572483841181898E-2</v>
      </c>
      <c r="F14452" s="1">
        <v>3.30533679126317E-2</v>
      </c>
    </row>
    <row r="14453" spans="1:6" x14ac:dyDescent="0.25">
      <c r="A14453" s="2" t="str">
        <f t="shared" si="511"/>
        <v>26580</v>
      </c>
      <c r="B14453" s="2" t="str">
        <f>"45619"</f>
        <v>45619</v>
      </c>
      <c r="C14453" s="1">
        <v>2.3698892061080602E-2</v>
      </c>
      <c r="D14453" s="1">
        <v>1.7058185760751701E-2</v>
      </c>
      <c r="E14453" s="1">
        <v>2.6223453370267699E-2</v>
      </c>
      <c r="F14453" s="1">
        <v>2.33267505769825E-2</v>
      </c>
    </row>
    <row r="14454" spans="1:6" x14ac:dyDescent="0.25">
      <c r="A14454" s="2" t="str">
        <f t="shared" si="511"/>
        <v>26580</v>
      </c>
      <c r="B14454" s="2" t="str">
        <f>"41139"</f>
        <v>41139</v>
      </c>
      <c r="C14454" s="1">
        <v>2.5663322769061501E-2</v>
      </c>
      <c r="D14454" s="1">
        <v>2.37079869895193E-2</v>
      </c>
      <c r="E14454" s="1">
        <v>2.5300092336103398E-2</v>
      </c>
      <c r="F14454" s="1">
        <v>2.5525232577506E-2</v>
      </c>
    </row>
    <row r="14455" spans="1:6" x14ac:dyDescent="0.25">
      <c r="A14455" s="2" t="str">
        <f t="shared" si="511"/>
        <v>26580</v>
      </c>
      <c r="B14455" s="2" t="str">
        <f>"41101"</f>
        <v>41101</v>
      </c>
      <c r="C14455" s="1">
        <v>4.9068859844417001E-2</v>
      </c>
      <c r="D14455" s="1">
        <v>0.107842428623057</v>
      </c>
      <c r="E14455" s="1">
        <v>9.0858725761772799E-2</v>
      </c>
      <c r="F14455" s="1">
        <v>5.4015084822384499E-2</v>
      </c>
    </row>
    <row r="14456" spans="1:6" x14ac:dyDescent="0.25">
      <c r="A14456" s="2" t="str">
        <f t="shared" si="511"/>
        <v>26580</v>
      </c>
      <c r="B14456" s="2" t="str">
        <f>"25720"</f>
        <v>25720</v>
      </c>
      <c r="C14456" s="1">
        <v>3.5621676838052302E-4</v>
      </c>
      <c r="D14456" s="1">
        <v>1.2287676183592301E-3</v>
      </c>
      <c r="E14456" s="1">
        <v>3.6934441366574301E-4</v>
      </c>
      <c r="F14456" s="1">
        <v>4.1399985724142798E-4</v>
      </c>
    </row>
    <row r="14457" spans="1:6" x14ac:dyDescent="0.25">
      <c r="A14457" s="2" t="str">
        <f t="shared" si="511"/>
        <v>26580</v>
      </c>
      <c r="B14457" s="2" t="str">
        <f>"25719"</f>
        <v>25719</v>
      </c>
      <c r="C14457" s="1">
        <v>1.5191597475051701E-4</v>
      </c>
      <c r="D14457" s="1">
        <v>1.87929165160823E-3</v>
      </c>
      <c r="E14457" s="1">
        <v>3.6934441366574301E-4</v>
      </c>
      <c r="F14457" s="1">
        <v>2.7124128577886599E-4</v>
      </c>
    </row>
    <row r="14458" spans="1:6" x14ac:dyDescent="0.25">
      <c r="A14458" s="2" t="str">
        <f t="shared" si="511"/>
        <v>26580</v>
      </c>
      <c r="B14458" s="2" t="str">
        <f>"25718"</f>
        <v>25718</v>
      </c>
      <c r="C14458" s="1">
        <v>2.25254721181801E-4</v>
      </c>
      <c r="D14458" s="1">
        <v>2.31297434044091E-3</v>
      </c>
      <c r="E14458" s="1">
        <v>1.8467220683287099E-4</v>
      </c>
      <c r="F14458" s="1">
        <v>3.6165504770515499E-4</v>
      </c>
    </row>
    <row r="14459" spans="1:6" x14ac:dyDescent="0.25">
      <c r="A14459" s="2" t="str">
        <f t="shared" si="511"/>
        <v>26580</v>
      </c>
      <c r="B14459" s="2" t="str">
        <f>"25775"</f>
        <v>25775</v>
      </c>
      <c r="C14459" s="1">
        <v>4.97655779355142E-4</v>
      </c>
      <c r="D14459" s="1">
        <v>9.3964582580411901E-4</v>
      </c>
      <c r="E14459" s="1">
        <v>3.6934441366574301E-4</v>
      </c>
      <c r="F14459" s="1">
        <v>5.2344809536272502E-4</v>
      </c>
    </row>
    <row r="14460" spans="1:6" x14ac:dyDescent="0.25">
      <c r="A14460" s="2" t="str">
        <f t="shared" si="511"/>
        <v>26580</v>
      </c>
      <c r="B14460" s="2" t="str">
        <f>"25774"</f>
        <v>25774</v>
      </c>
      <c r="C14460" s="1">
        <v>5.02894261243091E-4</v>
      </c>
      <c r="D14460" s="1">
        <v>8.6736537766534099E-4</v>
      </c>
      <c r="E14460" s="1">
        <v>3.6934441366574301E-4</v>
      </c>
      <c r="F14460" s="1">
        <v>5.2344809536272502E-4</v>
      </c>
    </row>
    <row r="14461" spans="1:6" x14ac:dyDescent="0.25">
      <c r="A14461" s="2" t="str">
        <f t="shared" si="511"/>
        <v>26580</v>
      </c>
      <c r="B14461" s="2" t="str">
        <f>"25705"</f>
        <v>25705</v>
      </c>
      <c r="C14461" s="1">
        <v>5.5868409334974702E-2</v>
      </c>
      <c r="D14461" s="1">
        <v>3.1152873147813499E-2</v>
      </c>
      <c r="E14461" s="1">
        <v>5.37396121883656E-2</v>
      </c>
      <c r="F14461" s="1">
        <v>5.41863951081396E-2</v>
      </c>
    </row>
    <row r="14462" spans="1:6" x14ac:dyDescent="0.25">
      <c r="A14462" s="2" t="str">
        <f t="shared" si="511"/>
        <v>26580</v>
      </c>
      <c r="B14462" s="2" t="str">
        <f>"25562"</f>
        <v>25562</v>
      </c>
      <c r="C14462" s="1">
        <v>0</v>
      </c>
      <c r="D14462" s="1">
        <v>0</v>
      </c>
      <c r="E14462" s="1">
        <v>1.8467220683287099E-4</v>
      </c>
      <c r="F14462" s="1">
        <v>4.7586190487520502E-6</v>
      </c>
    </row>
    <row r="14463" spans="1:6" x14ac:dyDescent="0.25">
      <c r="A14463" s="2" t="str">
        <f t="shared" si="511"/>
        <v>26580</v>
      </c>
      <c r="B14463" s="2" t="str">
        <f>"25523"</f>
        <v>25523</v>
      </c>
      <c r="C14463" s="1">
        <v>4.97655779355142E-4</v>
      </c>
      <c r="D14463" s="1">
        <v>7.2280448138778398E-5</v>
      </c>
      <c r="E14463" s="1">
        <v>0</v>
      </c>
      <c r="F14463" s="1">
        <v>4.5682742868019701E-4</v>
      </c>
    </row>
    <row r="14464" spans="1:6" x14ac:dyDescent="0.25">
      <c r="A14464" s="2" t="str">
        <f t="shared" si="511"/>
        <v>26580</v>
      </c>
      <c r="B14464" s="2" t="str">
        <f>"25541"</f>
        <v>25541</v>
      </c>
      <c r="C14464" s="1">
        <v>2.4070824275125E-2</v>
      </c>
      <c r="D14464" s="1">
        <v>1.6696783520057799E-2</v>
      </c>
      <c r="E14464" s="1">
        <v>1.6435826408125499E-2</v>
      </c>
      <c r="F14464" s="1">
        <v>2.3388612624616299E-2</v>
      </c>
    </row>
    <row r="14465" spans="1:6" x14ac:dyDescent="0.25">
      <c r="A14465" s="2" t="str">
        <f t="shared" si="511"/>
        <v>26580</v>
      </c>
      <c r="B14465" s="2" t="str">
        <f>"25507"</f>
        <v>25507</v>
      </c>
      <c r="C14465" s="1">
        <v>2.0430079363000601E-4</v>
      </c>
      <c r="D14465" s="1">
        <v>0</v>
      </c>
      <c r="E14465" s="1">
        <v>1.8467220683287099E-4</v>
      </c>
      <c r="F14465" s="1">
        <v>1.90344761950082E-4</v>
      </c>
    </row>
    <row r="14466" spans="1:6" x14ac:dyDescent="0.25">
      <c r="A14466" s="2" t="str">
        <f t="shared" si="511"/>
        <v>26580</v>
      </c>
      <c r="B14466" s="2" t="str">
        <f>"25159"</f>
        <v>25159</v>
      </c>
      <c r="C14466" s="1">
        <v>1.29966735640011E-2</v>
      </c>
      <c r="D14466" s="1">
        <v>5.7824358511022701E-3</v>
      </c>
      <c r="E14466" s="1">
        <v>2.5854108956601999E-3</v>
      </c>
      <c r="F14466" s="1">
        <v>1.2253444050536501E-2</v>
      </c>
    </row>
    <row r="14467" spans="1:6" x14ac:dyDescent="0.25">
      <c r="A14467" s="2" t="str">
        <f t="shared" si="511"/>
        <v>26580</v>
      </c>
      <c r="B14467" s="2" t="str">
        <f>"25124"</f>
        <v>25124</v>
      </c>
      <c r="C14467" s="1">
        <v>2.81830325571649E-3</v>
      </c>
      <c r="D14467" s="1">
        <v>5.0596313697144895E-4</v>
      </c>
      <c r="E14467" s="1">
        <v>0</v>
      </c>
      <c r="F14467" s="1">
        <v>2.5934473815698599E-3</v>
      </c>
    </row>
    <row r="14468" spans="1:6" x14ac:dyDescent="0.25">
      <c r="A14468" s="2" t="str">
        <f t="shared" si="511"/>
        <v>26580</v>
      </c>
      <c r="B14468" s="2" t="str">
        <f>"45682"</f>
        <v>45682</v>
      </c>
      <c r="C14468" s="1">
        <v>2.6716257628539201E-4</v>
      </c>
      <c r="D14468" s="1">
        <v>0</v>
      </c>
      <c r="E14468" s="1">
        <v>0</v>
      </c>
      <c r="F14468" s="1">
        <v>2.4268957148635399E-4</v>
      </c>
    </row>
    <row r="14469" spans="1:6" x14ac:dyDescent="0.25">
      <c r="A14469" s="2" t="str">
        <f t="shared" si="511"/>
        <v>26580</v>
      </c>
      <c r="B14469" s="2" t="str">
        <f>"41173"</f>
        <v>41173</v>
      </c>
      <c r="C14469" s="1">
        <v>0</v>
      </c>
      <c r="D14469" s="1">
        <v>0</v>
      </c>
      <c r="E14469" s="1">
        <v>1.8467220683287099E-4</v>
      </c>
      <c r="F14469" s="1">
        <v>4.7586190487520502E-6</v>
      </c>
    </row>
    <row r="14470" spans="1:6" x14ac:dyDescent="0.25">
      <c r="A14470" s="2" t="str">
        <f t="shared" si="511"/>
        <v>26580</v>
      </c>
      <c r="B14470" s="2" t="str">
        <f>"41169"</f>
        <v>41169</v>
      </c>
      <c r="C14470" s="1">
        <v>1.46782262500327E-2</v>
      </c>
      <c r="D14470" s="1">
        <v>1.5178894109143399E-2</v>
      </c>
      <c r="E14470" s="1">
        <v>1.7543859649122799E-2</v>
      </c>
      <c r="F14470" s="1">
        <v>1.4785029384472599E-2</v>
      </c>
    </row>
    <row r="14471" spans="1:6" x14ac:dyDescent="0.25">
      <c r="A14471" s="2" t="str">
        <f t="shared" si="511"/>
        <v>26580</v>
      </c>
      <c r="B14471" s="2" t="str">
        <f>"25725"</f>
        <v>25725</v>
      </c>
      <c r="C14471" s="1">
        <v>2.82878021949239E-4</v>
      </c>
      <c r="D14471" s="1">
        <v>2.6020961329960199E-3</v>
      </c>
      <c r="E14471" s="1">
        <v>3.6934441366574301E-4</v>
      </c>
      <c r="F14471" s="1">
        <v>4.37792952485188E-4</v>
      </c>
    </row>
    <row r="14472" spans="1:6" x14ac:dyDescent="0.25">
      <c r="A14472" s="2" t="str">
        <f t="shared" si="511"/>
        <v>26580</v>
      </c>
      <c r="B14472" s="2" t="str">
        <f>"25779"</f>
        <v>25779</v>
      </c>
      <c r="C14472" s="1">
        <v>1.4143901097461901E-4</v>
      </c>
      <c r="D14472" s="1">
        <v>1.37332851463679E-3</v>
      </c>
      <c r="E14472" s="1">
        <v>1.8467220683287099E-4</v>
      </c>
      <c r="F14472" s="1">
        <v>2.2365509529134601E-4</v>
      </c>
    </row>
    <row r="14473" spans="1:6" x14ac:dyDescent="0.25">
      <c r="A14473" s="2" t="str">
        <f t="shared" si="511"/>
        <v>26580</v>
      </c>
      <c r="B14473" s="2" t="str">
        <f>"25728"</f>
        <v>25728</v>
      </c>
      <c r="C14473" s="1">
        <v>2.0953927551795401E-4</v>
      </c>
      <c r="D14473" s="1">
        <v>3.9031441994940301E-3</v>
      </c>
      <c r="E14473" s="1">
        <v>3.6934441366574301E-4</v>
      </c>
      <c r="F14473" s="1">
        <v>4.5682742868019701E-4</v>
      </c>
    </row>
    <row r="14474" spans="1:6" x14ac:dyDescent="0.25">
      <c r="A14474" s="2" t="str">
        <f t="shared" si="511"/>
        <v>26580</v>
      </c>
      <c r="B14474" s="2" t="str">
        <f>"25671"</f>
        <v>25671</v>
      </c>
      <c r="C14474" s="1">
        <v>1.5715445663846601E-5</v>
      </c>
      <c r="D14474" s="1">
        <v>0</v>
      </c>
      <c r="E14474" s="1">
        <v>0</v>
      </c>
      <c r="F14474" s="1">
        <v>1.4275857146256101E-5</v>
      </c>
    </row>
    <row r="14475" spans="1:6" x14ac:dyDescent="0.25">
      <c r="A14475" s="2" t="str">
        <f t="shared" si="511"/>
        <v>26580</v>
      </c>
      <c r="B14475" s="2" t="str">
        <f>"25669"</f>
        <v>25669</v>
      </c>
      <c r="C14475" s="1">
        <v>1.39867466408234E-3</v>
      </c>
      <c r="D14475" s="1">
        <v>3.6140224069389199E-4</v>
      </c>
      <c r="E14475" s="1">
        <v>0</v>
      </c>
      <c r="F14475" s="1">
        <v>1.29434438126055E-3</v>
      </c>
    </row>
    <row r="14476" spans="1:6" x14ac:dyDescent="0.25">
      <c r="A14476" s="2" t="str">
        <f t="shared" si="511"/>
        <v>26580</v>
      </c>
      <c r="B14476" s="2" t="str">
        <f>"25555"</f>
        <v>25555</v>
      </c>
      <c r="C14476" s="1">
        <v>4.6989182534901298E-3</v>
      </c>
      <c r="D14476" s="1">
        <v>1.37332851463679E-3</v>
      </c>
      <c r="E14476" s="1">
        <v>0</v>
      </c>
      <c r="F14476" s="1">
        <v>4.35889504865687E-3</v>
      </c>
    </row>
    <row r="14477" spans="1:6" x14ac:dyDescent="0.25">
      <c r="A14477" s="2" t="str">
        <f t="shared" si="511"/>
        <v>26580</v>
      </c>
      <c r="B14477" s="2" t="str">
        <f>"25524"</f>
        <v>25524</v>
      </c>
      <c r="C14477" s="1">
        <v>1.5715445663846601E-5</v>
      </c>
      <c r="D14477" s="1">
        <v>0</v>
      </c>
      <c r="E14477" s="1">
        <v>0</v>
      </c>
      <c r="F14477" s="1">
        <v>1.4275857146256101E-5</v>
      </c>
    </row>
    <row r="14478" spans="1:6" x14ac:dyDescent="0.25">
      <c r="A14478" s="2" t="str">
        <f t="shared" ref="A14478:A14502" si="512">"26580"</f>
        <v>26580</v>
      </c>
      <c r="B14478" s="2" t="str">
        <f>"25517"</f>
        <v>25517</v>
      </c>
      <c r="C14478" s="1">
        <v>4.2693627386783299E-3</v>
      </c>
      <c r="D14478" s="1">
        <v>5.0596313697144895E-4</v>
      </c>
      <c r="E14478" s="1">
        <v>3.6934441366574301E-4</v>
      </c>
      <c r="F14478" s="1">
        <v>3.9211020961716896E-3</v>
      </c>
    </row>
    <row r="14479" spans="1:6" x14ac:dyDescent="0.25">
      <c r="A14479" s="2" t="str">
        <f t="shared" si="512"/>
        <v>26580</v>
      </c>
      <c r="B14479" s="2" t="str">
        <f>"25514"</f>
        <v>25514</v>
      </c>
      <c r="C14479" s="1">
        <v>7.5276984729825197E-3</v>
      </c>
      <c r="D14479" s="1">
        <v>1.4456089627755599E-3</v>
      </c>
      <c r="E14479" s="1">
        <v>3.6934441366574299E-3</v>
      </c>
      <c r="F14479" s="1">
        <v>7.0284803350067803E-3</v>
      </c>
    </row>
    <row r="14480" spans="1:6" x14ac:dyDescent="0.25">
      <c r="A14480" s="2" t="str">
        <f t="shared" si="512"/>
        <v>26580</v>
      </c>
      <c r="B14480" s="2" t="str">
        <f>"25506"</f>
        <v>25506</v>
      </c>
      <c r="C14480" s="1">
        <v>1.88061499777364E-3</v>
      </c>
      <c r="D14480" s="1">
        <v>0</v>
      </c>
      <c r="E14480" s="1">
        <v>0</v>
      </c>
      <c r="F14480" s="1">
        <v>1.70834423850198E-3</v>
      </c>
    </row>
    <row r="14481" spans="1:6" x14ac:dyDescent="0.25">
      <c r="A14481" s="2" t="str">
        <f t="shared" si="512"/>
        <v>26580</v>
      </c>
      <c r="B14481" s="2" t="str">
        <f>"25143"</f>
        <v>25143</v>
      </c>
      <c r="C14481" s="1">
        <v>5.7832840042955497E-3</v>
      </c>
      <c r="D14481" s="1">
        <v>9.54101915431875E-3</v>
      </c>
      <c r="E14481" s="1">
        <v>5.5401662049861401E-3</v>
      </c>
      <c r="F14481" s="1">
        <v>6.0244117157200903E-3</v>
      </c>
    </row>
    <row r="14482" spans="1:6" x14ac:dyDescent="0.25">
      <c r="A14482" s="2" t="str">
        <f t="shared" si="512"/>
        <v>26580</v>
      </c>
      <c r="B14482" s="2" t="str">
        <f>"45658"</f>
        <v>45658</v>
      </c>
      <c r="C14482" s="1">
        <v>5.23848188794887E-6</v>
      </c>
      <c r="D14482" s="1">
        <v>0</v>
      </c>
      <c r="E14482" s="1">
        <v>0</v>
      </c>
      <c r="F14482" s="1">
        <v>4.7586190487520502E-6</v>
      </c>
    </row>
    <row r="14483" spans="1:6" x14ac:dyDescent="0.25">
      <c r="A14483" s="2" t="str">
        <f t="shared" si="512"/>
        <v>26580</v>
      </c>
      <c r="B14483" s="2" t="str">
        <f>"41142"</f>
        <v>41142</v>
      </c>
      <c r="C14483" s="1">
        <v>0</v>
      </c>
      <c r="D14483" s="1">
        <v>0</v>
      </c>
      <c r="E14483" s="1">
        <v>1.8467220683287099E-4</v>
      </c>
      <c r="F14483" s="1">
        <v>4.7586190487520502E-6</v>
      </c>
    </row>
    <row r="14484" spans="1:6" x14ac:dyDescent="0.25">
      <c r="A14484" s="2" t="str">
        <f t="shared" si="512"/>
        <v>26580</v>
      </c>
      <c r="B14484" s="2" t="str">
        <f>"41143"</f>
        <v>41143</v>
      </c>
      <c r="C14484" s="1">
        <v>3.3814400586709897E-2</v>
      </c>
      <c r="D14484" s="1">
        <v>3.7368991687748397E-2</v>
      </c>
      <c r="E14484" s="1">
        <v>4.3397968605724799E-2</v>
      </c>
      <c r="F14484" s="1">
        <v>3.4295367484356E-2</v>
      </c>
    </row>
    <row r="14485" spans="1:6" x14ac:dyDescent="0.25">
      <c r="A14485" s="2" t="str">
        <f t="shared" si="512"/>
        <v>26580</v>
      </c>
      <c r="B14485" s="2" t="str">
        <f>"41105"</f>
        <v>41105</v>
      </c>
      <c r="C14485" s="1">
        <v>7.4229288352235497E-3</v>
      </c>
      <c r="D14485" s="1">
        <v>2.79002529815684E-2</v>
      </c>
      <c r="E14485" s="1">
        <v>3.6934441366574301E-4</v>
      </c>
      <c r="F14485" s="1">
        <v>8.5893073829974506E-3</v>
      </c>
    </row>
    <row r="14486" spans="1:6" x14ac:dyDescent="0.25">
      <c r="A14486" s="2" t="str">
        <f t="shared" si="512"/>
        <v>26580</v>
      </c>
      <c r="B14486" s="2" t="str">
        <f>"41166"</f>
        <v>41166</v>
      </c>
      <c r="C14486" s="1">
        <v>2.6192409439744302E-5</v>
      </c>
      <c r="D14486" s="1">
        <v>0</v>
      </c>
      <c r="E14486" s="1">
        <v>0</v>
      </c>
      <c r="F14486" s="1">
        <v>2.3793095243760199E-5</v>
      </c>
    </row>
    <row r="14487" spans="1:6" x14ac:dyDescent="0.25">
      <c r="A14487" s="2" t="str">
        <f t="shared" si="512"/>
        <v>26580</v>
      </c>
      <c r="B14487" s="2" t="str">
        <f>"41175"</f>
        <v>41175</v>
      </c>
      <c r="C14487" s="1">
        <v>1.96128761884805E-2</v>
      </c>
      <c r="D14487" s="1">
        <v>1.06252258764004E-2</v>
      </c>
      <c r="E14487" s="1">
        <v>1.6620498614958401E-2</v>
      </c>
      <c r="F14487" s="1">
        <v>1.8944062433081901E-2</v>
      </c>
    </row>
    <row r="14488" spans="1:6" x14ac:dyDescent="0.25">
      <c r="A14488" s="2" t="str">
        <f t="shared" si="512"/>
        <v>26580</v>
      </c>
      <c r="B14488" s="2" t="str">
        <f>"40351"</f>
        <v>40351</v>
      </c>
      <c r="C14488" s="1">
        <v>2.4620864873359699E-4</v>
      </c>
      <c r="D14488" s="1">
        <v>0</v>
      </c>
      <c r="E14488" s="1">
        <v>1.2927054478300999E-3</v>
      </c>
      <c r="F14488" s="1">
        <v>2.5696542863260999E-4</v>
      </c>
    </row>
    <row r="14489" spans="1:6" x14ac:dyDescent="0.25">
      <c r="A14489" s="2" t="str">
        <f t="shared" si="512"/>
        <v>26580</v>
      </c>
      <c r="B14489" s="2" t="str">
        <f>"25723"</f>
        <v>25723</v>
      </c>
      <c r="C14489" s="1">
        <v>7.8577228319233003E-5</v>
      </c>
      <c r="D14489" s="1">
        <v>1.0842067220816699E-3</v>
      </c>
      <c r="E14489" s="1">
        <v>3.6934441366574301E-4</v>
      </c>
      <c r="F14489" s="1">
        <v>1.5227580956006501E-4</v>
      </c>
    </row>
    <row r="14490" spans="1:6" x14ac:dyDescent="0.25">
      <c r="A14490" s="2" t="str">
        <f t="shared" si="512"/>
        <v>26580</v>
      </c>
      <c r="B14490" s="2" t="str">
        <f>"25710"</f>
        <v>25710</v>
      </c>
      <c r="C14490" s="1">
        <v>1.9906231174205701E-4</v>
      </c>
      <c r="D14490" s="1">
        <v>2.8912179255511298E-3</v>
      </c>
      <c r="E14490" s="1">
        <v>3.6934441366574301E-4</v>
      </c>
      <c r="F14490" s="1">
        <v>3.80689523900164E-4</v>
      </c>
    </row>
    <row r="14491" spans="1:6" x14ac:dyDescent="0.25">
      <c r="A14491" s="2" t="str">
        <f t="shared" si="512"/>
        <v>26580</v>
      </c>
      <c r="B14491" s="2" t="str">
        <f>"25708"</f>
        <v>25708</v>
      </c>
      <c r="C14491" s="1">
        <v>2.6192409439744301E-4</v>
      </c>
      <c r="D14491" s="1">
        <v>2.4575352367184602E-3</v>
      </c>
      <c r="E14491" s="1">
        <v>3.6934441366574301E-4</v>
      </c>
      <c r="F14491" s="1">
        <v>4.09241238192676E-4</v>
      </c>
    </row>
    <row r="14492" spans="1:6" x14ac:dyDescent="0.25">
      <c r="A14492" s="2" t="str">
        <f t="shared" si="512"/>
        <v>26580</v>
      </c>
      <c r="B14492" s="2" t="str">
        <f>"25704"</f>
        <v>25704</v>
      </c>
      <c r="C14492" s="1">
        <v>4.40346787500982E-2</v>
      </c>
      <c r="D14492" s="1">
        <v>3.8742320202385203E-2</v>
      </c>
      <c r="E14492" s="1">
        <v>5.37396121883656E-2</v>
      </c>
      <c r="F14492" s="1">
        <v>4.39363296771276E-2</v>
      </c>
    </row>
    <row r="14493" spans="1:6" x14ac:dyDescent="0.25">
      <c r="A14493" s="2" t="str">
        <f t="shared" si="512"/>
        <v>26580</v>
      </c>
      <c r="B14493" s="2" t="str">
        <f>"25702"</f>
        <v>25702</v>
      </c>
      <c r="C14493" s="1">
        <v>2.27769192488016E-2</v>
      </c>
      <c r="D14493" s="1">
        <v>2.2985182508131499E-2</v>
      </c>
      <c r="E14493" s="1">
        <v>2.1791320406278802E-2</v>
      </c>
      <c r="F14493" s="1">
        <v>2.2765233529229802E-2</v>
      </c>
    </row>
    <row r="14494" spans="1:6" x14ac:dyDescent="0.25">
      <c r="A14494" s="2" t="str">
        <f t="shared" si="512"/>
        <v>26580</v>
      </c>
      <c r="B14494" s="2" t="str">
        <f>"25674"</f>
        <v>25674</v>
      </c>
      <c r="C14494" s="1">
        <v>3.4993059011498399E-3</v>
      </c>
      <c r="D14494" s="1">
        <v>2.16841344416335E-4</v>
      </c>
      <c r="E14494" s="1">
        <v>3.6934441366574301E-4</v>
      </c>
      <c r="F14494" s="1">
        <v>3.2025506198101301E-3</v>
      </c>
    </row>
    <row r="14495" spans="1:6" x14ac:dyDescent="0.25">
      <c r="A14495" s="2" t="str">
        <f t="shared" si="512"/>
        <v>26580</v>
      </c>
      <c r="B14495" s="2" t="str">
        <f>"25701"</f>
        <v>25701</v>
      </c>
      <c r="C14495" s="1">
        <v>7.1976741140417494E-2</v>
      </c>
      <c r="D14495" s="1">
        <v>0.124972894831947</v>
      </c>
      <c r="E14495" s="1">
        <v>0.18393351800554</v>
      </c>
      <c r="F14495" s="1">
        <v>7.8350662637702503E-2</v>
      </c>
    </row>
    <row r="14496" spans="1:6" x14ac:dyDescent="0.25">
      <c r="A14496" s="2" t="str">
        <f t="shared" si="512"/>
        <v>26580</v>
      </c>
      <c r="B14496" s="2" t="str">
        <f>"25530"</f>
        <v>25530</v>
      </c>
      <c r="C14496" s="1">
        <v>1.5731161109510401E-2</v>
      </c>
      <c r="D14496" s="1">
        <v>1.4672930972172E-2</v>
      </c>
      <c r="E14496" s="1">
        <v>1.6805170821791299E-2</v>
      </c>
      <c r="F14496" s="1">
        <v>1.5689167003735498E-2</v>
      </c>
    </row>
    <row r="14497" spans="1:6" x14ac:dyDescent="0.25">
      <c r="A14497" s="2" t="str">
        <f t="shared" si="512"/>
        <v>26580</v>
      </c>
      <c r="B14497" s="2" t="str">
        <f>"25123"</f>
        <v>25123</v>
      </c>
      <c r="C14497" s="1">
        <v>1.2886665444354201E-3</v>
      </c>
      <c r="D14497" s="1">
        <v>2.16841344416335E-4</v>
      </c>
      <c r="E14497" s="1">
        <v>0</v>
      </c>
      <c r="F14497" s="1">
        <v>1.1848961431392599E-3</v>
      </c>
    </row>
    <row r="14498" spans="1:6" x14ac:dyDescent="0.25">
      <c r="A14498" s="2" t="str">
        <f t="shared" si="512"/>
        <v>26580</v>
      </c>
      <c r="B14498" s="2" t="str">
        <f>"25033"</f>
        <v>25033</v>
      </c>
      <c r="C14498" s="1">
        <v>5.51612142801016E-3</v>
      </c>
      <c r="D14498" s="1">
        <v>3.75858330321647E-3</v>
      </c>
      <c r="E14498" s="1">
        <v>1.4773776546629701E-3</v>
      </c>
      <c r="F14498" s="1">
        <v>5.2963430012610297E-3</v>
      </c>
    </row>
    <row r="14499" spans="1:6" x14ac:dyDescent="0.25">
      <c r="A14499" s="2" t="str">
        <f t="shared" si="512"/>
        <v>26580</v>
      </c>
      <c r="B14499" s="2" t="str">
        <f>"45623"</f>
        <v>45623</v>
      </c>
      <c r="C14499" s="1">
        <v>1.93823829854108E-3</v>
      </c>
      <c r="D14499" s="1">
        <v>2.8912179255511299E-4</v>
      </c>
      <c r="E14499" s="1">
        <v>0</v>
      </c>
      <c r="F14499" s="1">
        <v>1.7797235242332601E-3</v>
      </c>
    </row>
    <row r="14500" spans="1:6" x14ac:dyDescent="0.25">
      <c r="A14500" s="2" t="str">
        <f t="shared" si="512"/>
        <v>26580</v>
      </c>
      <c r="B14500" s="2" t="str">
        <f>"41141"</f>
        <v>41141</v>
      </c>
      <c r="C14500" s="1">
        <v>1.65536027659184E-3</v>
      </c>
      <c r="D14500" s="1">
        <v>2.16841344416335E-4</v>
      </c>
      <c r="E14500" s="1">
        <v>1.8467220683287099E-4</v>
      </c>
      <c r="F14500" s="1">
        <v>1.5227580956006499E-3</v>
      </c>
    </row>
    <row r="14501" spans="1:6" x14ac:dyDescent="0.25">
      <c r="A14501" s="2" t="str">
        <f t="shared" si="512"/>
        <v>26580</v>
      </c>
      <c r="B14501" s="2" t="str">
        <f>"41129"</f>
        <v>41129</v>
      </c>
      <c r="C14501" s="1">
        <v>2.3541737604442201E-2</v>
      </c>
      <c r="D14501" s="1">
        <v>2.47199132634622E-2</v>
      </c>
      <c r="E14501" s="1">
        <v>1.45891043397968E-2</v>
      </c>
      <c r="F14501" s="1">
        <v>2.3388612624616299E-2</v>
      </c>
    </row>
    <row r="14502" spans="1:6" x14ac:dyDescent="0.25">
      <c r="A14502" s="2" t="str">
        <f t="shared" si="512"/>
        <v>26580</v>
      </c>
      <c r="B14502" s="2" t="str">
        <f>"41183"</f>
        <v>41183</v>
      </c>
      <c r="C14502" s="1">
        <v>5.3903978626993797E-3</v>
      </c>
      <c r="D14502" s="1">
        <v>2.31297434044091E-3</v>
      </c>
      <c r="E14502" s="1">
        <v>9.2336103416435801E-4</v>
      </c>
      <c r="F14502" s="1">
        <v>5.0726879059696797E-3</v>
      </c>
    </row>
    <row r="14503" spans="1:6" x14ac:dyDescent="0.25">
      <c r="A14503" s="2" t="str">
        <f t="shared" ref="A14503:A14514" si="513">"40080"</f>
        <v>40080</v>
      </c>
      <c r="B14503" s="2" t="str">
        <f>"40312"</f>
        <v>40312</v>
      </c>
      <c r="C14503" s="1">
        <v>3.9850957419251897E-5</v>
      </c>
      <c r="D14503" s="1">
        <v>0</v>
      </c>
      <c r="E14503" s="1">
        <v>0</v>
      </c>
      <c r="F14503" s="1">
        <v>3.2525613920962703E-5</v>
      </c>
    </row>
    <row r="14504" spans="1:6" x14ac:dyDescent="0.25">
      <c r="A14504" s="2" t="str">
        <f t="shared" si="513"/>
        <v>40080</v>
      </c>
      <c r="B14504" s="2" t="str">
        <f>"40476"</f>
        <v>40476</v>
      </c>
      <c r="C14504" s="1">
        <v>2.1041305517365001E-2</v>
      </c>
      <c r="D14504" s="1">
        <v>5.3593328427765499E-2</v>
      </c>
      <c r="E14504" s="1">
        <v>6.3512226103524898E-4</v>
      </c>
      <c r="F14504" s="1">
        <v>2.4312896405919601E-2</v>
      </c>
    </row>
    <row r="14505" spans="1:6" x14ac:dyDescent="0.25">
      <c r="A14505" s="2" t="str">
        <f t="shared" si="513"/>
        <v>40080</v>
      </c>
      <c r="B14505" s="2" t="str">
        <f>"40475"</f>
        <v>40475</v>
      </c>
      <c r="C14505" s="1">
        <v>0.56205790344113005</v>
      </c>
      <c r="D14505" s="1">
        <v>0.79862644101054603</v>
      </c>
      <c r="E14505" s="1">
        <v>0.69164814226738602</v>
      </c>
      <c r="F14505" s="1">
        <v>0.60006505122784104</v>
      </c>
    </row>
    <row r="14506" spans="1:6" x14ac:dyDescent="0.25">
      <c r="A14506" s="2" t="str">
        <f t="shared" si="513"/>
        <v>40080</v>
      </c>
      <c r="B14506" s="2" t="str">
        <f>"40403"</f>
        <v>40403</v>
      </c>
      <c r="C14506" s="1">
        <v>0.22886404845876401</v>
      </c>
      <c r="D14506" s="1">
        <v>9.6149129261711999E-2</v>
      </c>
      <c r="E14506" s="1">
        <v>0.24420450936805299</v>
      </c>
      <c r="F14506" s="1">
        <v>0.21205073995771601</v>
      </c>
    </row>
    <row r="14507" spans="1:6" x14ac:dyDescent="0.25">
      <c r="A14507" s="2" t="str">
        <f t="shared" si="513"/>
        <v>40080</v>
      </c>
      <c r="B14507" s="2" t="str">
        <f>"40447"</f>
        <v>40447</v>
      </c>
      <c r="C14507" s="1">
        <v>1.9925478709625899E-4</v>
      </c>
      <c r="D14507" s="1">
        <v>0</v>
      </c>
      <c r="E14507" s="1">
        <v>0</v>
      </c>
      <c r="F14507" s="1">
        <v>1.6262806960481299E-4</v>
      </c>
    </row>
    <row r="14508" spans="1:6" x14ac:dyDescent="0.25">
      <c r="A14508" s="2" t="str">
        <f t="shared" si="513"/>
        <v>40080</v>
      </c>
      <c r="B14508" s="2" t="str">
        <f>"40472"</f>
        <v>40472</v>
      </c>
      <c r="C14508" s="1">
        <v>1.6219339669635499E-2</v>
      </c>
      <c r="D14508" s="1">
        <v>5.5187637969094901E-3</v>
      </c>
      <c r="E14508" s="1">
        <v>4.1282946967291199E-3</v>
      </c>
      <c r="F14508" s="1">
        <v>1.4181167669539699E-2</v>
      </c>
    </row>
    <row r="14509" spans="1:6" x14ac:dyDescent="0.25">
      <c r="A14509" s="2" t="str">
        <f t="shared" si="513"/>
        <v>40080</v>
      </c>
      <c r="B14509" s="2" t="str">
        <f>"40461"</f>
        <v>40461</v>
      </c>
      <c r="C14509" s="1">
        <v>1.15368521728734E-2</v>
      </c>
      <c r="D14509" s="1">
        <v>1.47167034584253E-3</v>
      </c>
      <c r="E14509" s="1">
        <v>0</v>
      </c>
      <c r="F14509" s="1">
        <v>9.6113189136444906E-3</v>
      </c>
    </row>
    <row r="14510" spans="1:6" x14ac:dyDescent="0.25">
      <c r="A14510" s="2" t="str">
        <f t="shared" si="513"/>
        <v>40080</v>
      </c>
      <c r="B14510" s="2" t="str">
        <f>"40380"</f>
        <v>40380</v>
      </c>
      <c r="C14510" s="1">
        <v>5.9776436128877904E-4</v>
      </c>
      <c r="D14510" s="1">
        <v>0</v>
      </c>
      <c r="E14510" s="1">
        <v>0</v>
      </c>
      <c r="F14510" s="1">
        <v>4.8788420881444101E-4</v>
      </c>
    </row>
    <row r="14511" spans="1:6" x14ac:dyDescent="0.25">
      <c r="A14511" s="2" t="str">
        <f t="shared" si="513"/>
        <v>40080</v>
      </c>
      <c r="B14511" s="2" t="str">
        <f>"40385"</f>
        <v>40385</v>
      </c>
      <c r="C14511" s="1">
        <v>3.02468766812122E-2</v>
      </c>
      <c r="D14511" s="1">
        <v>2.9433406916850599E-3</v>
      </c>
      <c r="E14511" s="1">
        <v>4.7634169577643604E-3</v>
      </c>
      <c r="F14511" s="1">
        <v>2.5321190437469498E-2</v>
      </c>
    </row>
    <row r="14512" spans="1:6" x14ac:dyDescent="0.25">
      <c r="A14512" s="2" t="str">
        <f t="shared" si="513"/>
        <v>40080</v>
      </c>
      <c r="B14512" s="2" t="str">
        <f>"40336"</f>
        <v>40336</v>
      </c>
      <c r="C14512" s="1">
        <v>0.12857911411321599</v>
      </c>
      <c r="D14512" s="1">
        <v>4.1697326465538302E-2</v>
      </c>
      <c r="E14512" s="1">
        <v>5.43029533185138E-2</v>
      </c>
      <c r="F14512" s="1">
        <v>0.11325418767279199</v>
      </c>
    </row>
    <row r="14513" spans="1:6" x14ac:dyDescent="0.25">
      <c r="A14513" s="2" t="str">
        <f t="shared" si="513"/>
        <v>40080</v>
      </c>
      <c r="B14513" s="2" t="str">
        <f>"40456"</f>
        <v>40456</v>
      </c>
      <c r="C14513" s="1">
        <v>6.1768983999840497E-4</v>
      </c>
      <c r="D14513" s="1">
        <v>0</v>
      </c>
      <c r="E14513" s="1">
        <v>0</v>
      </c>
      <c r="F14513" s="1">
        <v>5.0414701577492199E-4</v>
      </c>
    </row>
    <row r="14514" spans="1:6" x14ac:dyDescent="0.25">
      <c r="A14514" s="2" t="str">
        <f t="shared" si="513"/>
        <v>40080</v>
      </c>
      <c r="B14514" s="2" t="str">
        <f>"40405"</f>
        <v>40405</v>
      </c>
      <c r="C14514" s="1">
        <v>0</v>
      </c>
      <c r="D14514" s="1">
        <v>0</v>
      </c>
      <c r="E14514" s="1">
        <v>3.17561130517624E-4</v>
      </c>
      <c r="F14514" s="1">
        <v>1.62628069604813E-5</v>
      </c>
    </row>
    <row r="14515" spans="1:6" x14ac:dyDescent="0.25">
      <c r="A14515" s="2" t="str">
        <f t="shared" ref="A14515:A14529" si="514">"43700"</f>
        <v>43700</v>
      </c>
      <c r="B14515" s="2" t="str">
        <f>"42544"</f>
        <v>42544</v>
      </c>
      <c r="C14515" s="1">
        <v>7.2874832663989197E-2</v>
      </c>
      <c r="D14515" s="1">
        <v>2.06414734836456E-2</v>
      </c>
      <c r="E14515" s="1">
        <v>5.2550231839258103E-2</v>
      </c>
      <c r="F14515" s="1">
        <v>6.8140648651331195E-2</v>
      </c>
    </row>
    <row r="14516" spans="1:6" x14ac:dyDescent="0.25">
      <c r="A14516" s="2" t="str">
        <f t="shared" si="514"/>
        <v>43700</v>
      </c>
      <c r="B14516" s="2" t="str">
        <f>"42519"</f>
        <v>42519</v>
      </c>
      <c r="C14516" s="1">
        <v>8.8548639000446197E-2</v>
      </c>
      <c r="D14516" s="1">
        <v>3.4296602095903399E-2</v>
      </c>
      <c r="E14516" s="1">
        <v>1.0046367851622801E-2</v>
      </c>
      <c r="F14516" s="1">
        <v>8.1788629990818595E-2</v>
      </c>
    </row>
    <row r="14517" spans="1:6" x14ac:dyDescent="0.25">
      <c r="A14517" s="2" t="str">
        <f t="shared" si="514"/>
        <v>43700</v>
      </c>
      <c r="B14517" s="2" t="str">
        <f>"42501"</f>
        <v>42501</v>
      </c>
      <c r="C14517" s="1">
        <v>0.25870147255689402</v>
      </c>
      <c r="D14517" s="1">
        <v>0.46681486186090798</v>
      </c>
      <c r="E14517" s="1">
        <v>0.47063369397217902</v>
      </c>
      <c r="F14517" s="1">
        <v>0.28176877838159697</v>
      </c>
    </row>
    <row r="14518" spans="1:6" x14ac:dyDescent="0.25">
      <c r="A14518" s="2" t="str">
        <f t="shared" si="514"/>
        <v>43700</v>
      </c>
      <c r="B14518" s="2" t="str">
        <f>"42502"</f>
        <v>42502</v>
      </c>
      <c r="C14518" s="1">
        <v>3.0678268630075799E-2</v>
      </c>
      <c r="D14518" s="1">
        <v>0.11622737376945</v>
      </c>
      <c r="E14518" s="1">
        <v>1.5455950540958199E-3</v>
      </c>
      <c r="F14518" s="1">
        <v>3.6427702920667999E-2</v>
      </c>
    </row>
    <row r="14519" spans="1:6" x14ac:dyDescent="0.25">
      <c r="A14519" s="2" t="str">
        <f t="shared" si="514"/>
        <v>43700</v>
      </c>
      <c r="B14519" s="2" t="str">
        <f>"42642"</f>
        <v>42642</v>
      </c>
      <c r="C14519" s="1">
        <v>6.9723337795626905E-4</v>
      </c>
      <c r="D14519" s="1">
        <v>0</v>
      </c>
      <c r="E14519" s="1">
        <v>0</v>
      </c>
      <c r="F14519" s="1">
        <v>6.2036278815851497E-4</v>
      </c>
    </row>
    <row r="14520" spans="1:6" x14ac:dyDescent="0.25">
      <c r="A14520" s="2" t="str">
        <f t="shared" si="514"/>
        <v>43700</v>
      </c>
      <c r="B14520" s="2" t="str">
        <f>"42564"</f>
        <v>42564</v>
      </c>
      <c r="C14520" s="1">
        <v>2.1363230700580001E-2</v>
      </c>
      <c r="D14520" s="1">
        <v>3.2391235312797702E-2</v>
      </c>
      <c r="E14520" s="1">
        <v>1.5455950540958199E-3</v>
      </c>
      <c r="F14520" s="1">
        <v>2.1588625027916301E-2</v>
      </c>
    </row>
    <row r="14521" spans="1:6" x14ac:dyDescent="0.25">
      <c r="A14521" s="2" t="str">
        <f t="shared" si="514"/>
        <v>43700</v>
      </c>
      <c r="B14521" s="2" t="str">
        <f>"42533"</f>
        <v>42533</v>
      </c>
      <c r="C14521" s="1">
        <v>1.0793172690763001E-2</v>
      </c>
      <c r="D14521" s="1">
        <v>2.85805017465862E-3</v>
      </c>
      <c r="E14521" s="1">
        <v>5.4095826893353896E-3</v>
      </c>
      <c r="F14521" s="1">
        <v>1.0000248145115199E-2</v>
      </c>
    </row>
    <row r="14522" spans="1:6" x14ac:dyDescent="0.25">
      <c r="A14522" s="2" t="str">
        <f t="shared" si="514"/>
        <v>43700</v>
      </c>
      <c r="B14522" s="2" t="str">
        <f>"42553"</f>
        <v>42553</v>
      </c>
      <c r="C14522" s="1">
        <v>6.4954261490406007E-2</v>
      </c>
      <c r="D14522" s="1">
        <v>1.81009844395046E-2</v>
      </c>
      <c r="E14522" s="1">
        <v>4.2503863987635199E-2</v>
      </c>
      <c r="F14522" s="1">
        <v>6.0572222635797403E-2</v>
      </c>
    </row>
    <row r="14523" spans="1:6" x14ac:dyDescent="0.25">
      <c r="A14523" s="2" t="str">
        <f t="shared" si="514"/>
        <v>43700</v>
      </c>
      <c r="B14523" s="2" t="str">
        <f>"42503"</f>
        <v>42503</v>
      </c>
      <c r="C14523" s="1">
        <v>0.32326528335564397</v>
      </c>
      <c r="D14523" s="1">
        <v>0.26230549380755702</v>
      </c>
      <c r="E14523" s="1">
        <v>0.331530139103554</v>
      </c>
      <c r="F14523" s="1">
        <v>0.31876721506737099</v>
      </c>
    </row>
    <row r="14524" spans="1:6" x14ac:dyDescent="0.25">
      <c r="A14524" s="2" t="str">
        <f t="shared" si="514"/>
        <v>43700</v>
      </c>
      <c r="B14524" s="2" t="str">
        <f>"40456"</f>
        <v>40456</v>
      </c>
      <c r="C14524" s="1">
        <v>1.9522534582775501E-4</v>
      </c>
      <c r="D14524" s="1">
        <v>0</v>
      </c>
      <c r="E14524" s="1">
        <v>0</v>
      </c>
      <c r="F14524" s="1">
        <v>1.73701580684384E-4</v>
      </c>
    </row>
    <row r="14525" spans="1:6" x14ac:dyDescent="0.25">
      <c r="A14525" s="2" t="str">
        <f t="shared" si="514"/>
        <v>43700</v>
      </c>
      <c r="B14525" s="2" t="str">
        <f>"42518"</f>
        <v>42518</v>
      </c>
      <c r="C14525" s="1">
        <v>4.2029228023203899E-2</v>
      </c>
      <c r="D14525" s="1">
        <v>1.81009844395046E-2</v>
      </c>
      <c r="E14525" s="1">
        <v>3.8639876352395602E-2</v>
      </c>
      <c r="F14525" s="1">
        <v>4.0050621603513699E-2</v>
      </c>
    </row>
    <row r="14526" spans="1:6" x14ac:dyDescent="0.25">
      <c r="A14526" s="2" t="str">
        <f t="shared" si="514"/>
        <v>43700</v>
      </c>
      <c r="B14526" s="2" t="str">
        <f>"40419"</f>
        <v>40419</v>
      </c>
      <c r="C14526" s="1">
        <v>3.29094154395359E-3</v>
      </c>
      <c r="D14526" s="1">
        <v>3.17561130517624E-4</v>
      </c>
      <c r="E14526" s="1">
        <v>0</v>
      </c>
      <c r="F14526" s="1">
        <v>2.95292687163453E-3</v>
      </c>
    </row>
    <row r="14527" spans="1:6" x14ac:dyDescent="0.25">
      <c r="A14527" s="2" t="str">
        <f t="shared" si="514"/>
        <v>43700</v>
      </c>
      <c r="B14527" s="2" t="str">
        <f>"40409"</f>
        <v>40409</v>
      </c>
      <c r="C14527" s="1">
        <v>2.2311468094600599E-4</v>
      </c>
      <c r="D14527" s="1">
        <v>0</v>
      </c>
      <c r="E14527" s="1">
        <v>1.5455950540958199E-3</v>
      </c>
      <c r="F14527" s="1">
        <v>2.4814511526340599E-4</v>
      </c>
    </row>
    <row r="14528" spans="1:6" x14ac:dyDescent="0.25">
      <c r="A14528" s="2" t="str">
        <f t="shared" si="514"/>
        <v>43700</v>
      </c>
      <c r="B14528" s="2" t="str">
        <f>"42558"</f>
        <v>42558</v>
      </c>
      <c r="C14528" s="1">
        <v>9.1198125836680008E-3</v>
      </c>
      <c r="D14528" s="1">
        <v>1.5878056525881199E-3</v>
      </c>
      <c r="E14528" s="1">
        <v>2.3183925811437402E-3</v>
      </c>
      <c r="F14528" s="1">
        <v>8.3128613613241004E-3</v>
      </c>
    </row>
    <row r="14529" spans="1:6" x14ac:dyDescent="0.25">
      <c r="A14529" s="2" t="str">
        <f t="shared" si="514"/>
        <v>43700</v>
      </c>
      <c r="B14529" s="2" t="str">
        <f>"42567"</f>
        <v>42567</v>
      </c>
      <c r="C14529" s="1">
        <v>7.3265283355644806E-2</v>
      </c>
      <c r="D14529" s="1">
        <v>2.6357573832962802E-2</v>
      </c>
      <c r="E14529" s="1">
        <v>4.1731066460587302E-2</v>
      </c>
      <c r="F14529" s="1">
        <v>6.8587309858805401E-2</v>
      </c>
    </row>
    <row r="14530" spans="1:6" x14ac:dyDescent="0.25">
      <c r="A14530" s="2" t="str">
        <f t="shared" ref="A14530:A14552" si="515">"44220"</f>
        <v>44220</v>
      </c>
      <c r="B14530" s="2" t="str">
        <f>"45505"</f>
        <v>45505</v>
      </c>
      <c r="C14530" s="1">
        <v>0.15104142648528099</v>
      </c>
      <c r="D14530" s="1">
        <v>0.142465753424657</v>
      </c>
      <c r="E14530" s="1">
        <v>0.21117318435754101</v>
      </c>
      <c r="F14530" s="1">
        <v>0.15197653303534001</v>
      </c>
    </row>
    <row r="14531" spans="1:6" x14ac:dyDescent="0.25">
      <c r="A14531" s="2" t="str">
        <f t="shared" si="515"/>
        <v>44220</v>
      </c>
      <c r="B14531" s="2" t="str">
        <f>"45369"</f>
        <v>45369</v>
      </c>
      <c r="C14531" s="1">
        <v>2.1397279225270901E-2</v>
      </c>
      <c r="D14531" s="1">
        <v>4.2149631190727E-3</v>
      </c>
      <c r="E14531" s="1">
        <v>3.9106145251396598E-3</v>
      </c>
      <c r="F14531" s="1">
        <v>1.98212040787819E-2</v>
      </c>
    </row>
    <row r="14532" spans="1:6" x14ac:dyDescent="0.25">
      <c r="A14532" s="2" t="str">
        <f t="shared" si="515"/>
        <v>44220</v>
      </c>
      <c r="B14532" s="2" t="str">
        <f>"45324"</f>
        <v>45324</v>
      </c>
      <c r="C14532" s="1">
        <v>1.27276919529628E-2</v>
      </c>
      <c r="D14532" s="1">
        <v>1.1591148577449899E-2</v>
      </c>
      <c r="E14532" s="1">
        <v>8.9385474860335101E-3</v>
      </c>
      <c r="F14532" s="1">
        <v>1.2557619779298699E-2</v>
      </c>
    </row>
    <row r="14533" spans="1:6" x14ac:dyDescent="0.25">
      <c r="A14533" s="2" t="str">
        <f t="shared" si="515"/>
        <v>44220</v>
      </c>
      <c r="B14533" s="2" t="str">
        <f>"43078"</f>
        <v>43078</v>
      </c>
      <c r="C14533" s="1">
        <v>4.3040504188763298E-4</v>
      </c>
      <c r="D14533" s="1">
        <v>8.4299262381454102E-4</v>
      </c>
      <c r="E14533" s="1">
        <v>5.5865921787709395E-4</v>
      </c>
      <c r="F14533" s="1">
        <v>4.6095823439027702E-4</v>
      </c>
    </row>
    <row r="14534" spans="1:6" x14ac:dyDescent="0.25">
      <c r="A14534" s="2" t="str">
        <f t="shared" si="515"/>
        <v>44220</v>
      </c>
      <c r="B14534" s="2" t="str">
        <f>"45503"</f>
        <v>45503</v>
      </c>
      <c r="C14534" s="1">
        <v>0.23927446007224601</v>
      </c>
      <c r="D14534" s="1">
        <v>0.164383561643835</v>
      </c>
      <c r="E14534" s="1">
        <v>0.28826815642458098</v>
      </c>
      <c r="F14534" s="1">
        <v>0.23553568934208599</v>
      </c>
    </row>
    <row r="14535" spans="1:6" x14ac:dyDescent="0.25">
      <c r="A14535" s="2" t="str">
        <f t="shared" si="515"/>
        <v>44220</v>
      </c>
      <c r="B14535" s="2" t="str">
        <f>"45501"</f>
        <v>45501</v>
      </c>
      <c r="C14535" s="1">
        <v>2.31035277841826E-2</v>
      </c>
      <c r="D14535" s="1">
        <v>0.105374077976817</v>
      </c>
      <c r="E14535" s="1">
        <v>5.5865921787709395E-4</v>
      </c>
      <c r="F14535" s="1">
        <v>2.7992736415700499E-2</v>
      </c>
    </row>
    <row r="14536" spans="1:6" x14ac:dyDescent="0.25">
      <c r="A14536" s="2" t="str">
        <f t="shared" si="515"/>
        <v>44220</v>
      </c>
      <c r="B14536" s="2" t="str">
        <f>"45372"</f>
        <v>45372</v>
      </c>
      <c r="C14536" s="1">
        <v>0</v>
      </c>
      <c r="D14536" s="1">
        <v>4.2149631190727002E-4</v>
      </c>
      <c r="E14536" s="1">
        <v>0</v>
      </c>
      <c r="F14536" s="1">
        <v>2.79368626903198E-5</v>
      </c>
    </row>
    <row r="14537" spans="1:6" x14ac:dyDescent="0.25">
      <c r="A14537" s="2" t="str">
        <f t="shared" si="515"/>
        <v>44220</v>
      </c>
      <c r="B14537" s="2" t="str">
        <f>"45344"</f>
        <v>45344</v>
      </c>
      <c r="C14537" s="1">
        <v>0.103466297748059</v>
      </c>
      <c r="D14537" s="1">
        <v>9.6944151738672199E-2</v>
      </c>
      <c r="E14537" s="1">
        <v>6.03351955307262E-2</v>
      </c>
      <c r="F14537" s="1">
        <v>0.101955580388322</v>
      </c>
    </row>
    <row r="14538" spans="1:6" x14ac:dyDescent="0.25">
      <c r="A14538" s="2" t="str">
        <f t="shared" si="515"/>
        <v>44220</v>
      </c>
      <c r="B14538" s="2" t="str">
        <f>"45314"</f>
        <v>45314</v>
      </c>
      <c r="C14538" s="1">
        <v>1.07601260471908E-4</v>
      </c>
      <c r="D14538" s="1">
        <v>0</v>
      </c>
      <c r="E14538" s="1">
        <v>0</v>
      </c>
      <c r="F14538" s="1">
        <v>9.7779019416119496E-5</v>
      </c>
    </row>
    <row r="14539" spans="1:6" x14ac:dyDescent="0.25">
      <c r="A14539" s="2" t="str">
        <f t="shared" si="515"/>
        <v>44220</v>
      </c>
      <c r="B14539" s="2" t="str">
        <f>"45319"</f>
        <v>45319</v>
      </c>
      <c r="C14539" s="1">
        <v>1.56790408116209E-3</v>
      </c>
      <c r="D14539" s="1">
        <v>2.7397260273972599E-3</v>
      </c>
      <c r="E14539" s="1">
        <v>3.3519553072625598E-3</v>
      </c>
      <c r="F14539" s="1">
        <v>1.6901801927643499E-3</v>
      </c>
    </row>
    <row r="14540" spans="1:6" x14ac:dyDescent="0.25">
      <c r="A14540" s="2" t="str">
        <f t="shared" si="515"/>
        <v>44220</v>
      </c>
      <c r="B14540" s="2" t="str">
        <f>"45506"</f>
        <v>45506</v>
      </c>
      <c r="C14540" s="1">
        <v>0.101575589885481</v>
      </c>
      <c r="D14540" s="1">
        <v>7.2708113804004201E-2</v>
      </c>
      <c r="E14540" s="1">
        <v>5.6983240223463599E-2</v>
      </c>
      <c r="F14540" s="1">
        <v>9.8547283140103303E-2</v>
      </c>
    </row>
    <row r="14541" spans="1:6" x14ac:dyDescent="0.25">
      <c r="A14541" s="2" t="str">
        <f t="shared" si="515"/>
        <v>44220</v>
      </c>
      <c r="B14541" s="2" t="str">
        <f>"43153"</f>
        <v>43153</v>
      </c>
      <c r="C14541" s="1">
        <v>4.1503343324878899E-4</v>
      </c>
      <c r="D14541" s="1">
        <v>6.3224446786090596E-4</v>
      </c>
      <c r="E14541" s="1">
        <v>0</v>
      </c>
      <c r="F14541" s="1">
        <v>4.1905294035479799E-4</v>
      </c>
    </row>
    <row r="14542" spans="1:6" x14ac:dyDescent="0.25">
      <c r="A14542" s="2" t="str">
        <f t="shared" si="515"/>
        <v>44220</v>
      </c>
      <c r="B14542" s="2" t="str">
        <f>"45341"</f>
        <v>45341</v>
      </c>
      <c r="C14542" s="1">
        <v>2.8329874721389502E-2</v>
      </c>
      <c r="D14542" s="1">
        <v>1.24341412012644E-2</v>
      </c>
      <c r="E14542" s="1">
        <v>1.8994413407821199E-2</v>
      </c>
      <c r="F14542" s="1">
        <v>2.7042883084229599E-2</v>
      </c>
    </row>
    <row r="14543" spans="1:6" x14ac:dyDescent="0.25">
      <c r="A14543" s="2" t="str">
        <f t="shared" si="515"/>
        <v>44220</v>
      </c>
      <c r="B14543" s="2" t="str">
        <f>"45349"</f>
        <v>45349</v>
      </c>
      <c r="C14543" s="1">
        <v>7.6858043194220202E-5</v>
      </c>
      <c r="D14543" s="1">
        <v>2.1074815595363501E-4</v>
      </c>
      <c r="E14543" s="1">
        <v>0</v>
      </c>
      <c r="F14543" s="1">
        <v>8.3810588070959603E-5</v>
      </c>
    </row>
    <row r="14544" spans="1:6" x14ac:dyDescent="0.25">
      <c r="A14544" s="2" t="str">
        <f t="shared" si="515"/>
        <v>44220</v>
      </c>
      <c r="B14544" s="2" t="str">
        <f>"43010"</f>
        <v>43010</v>
      </c>
      <c r="C14544" s="1">
        <v>1.70624855891169E-3</v>
      </c>
      <c r="D14544" s="1">
        <v>2.1074815595363501E-4</v>
      </c>
      <c r="E14544" s="1">
        <v>0</v>
      </c>
      <c r="F14544" s="1">
        <v>1.56446431065791E-3</v>
      </c>
    </row>
    <row r="14545" spans="1:6" x14ac:dyDescent="0.25">
      <c r="A14545" s="2" t="str">
        <f t="shared" si="515"/>
        <v>44220</v>
      </c>
      <c r="B14545" s="2" t="str">
        <f>"45323"</f>
        <v>45323</v>
      </c>
      <c r="C14545" s="1">
        <v>4.0704019675659002E-2</v>
      </c>
      <c r="D14545" s="1">
        <v>3.8566912539515198E-2</v>
      </c>
      <c r="E14545" s="1">
        <v>4.4692737430167502E-2</v>
      </c>
      <c r="F14545" s="1">
        <v>4.0662103645760499E-2</v>
      </c>
    </row>
    <row r="14546" spans="1:6" x14ac:dyDescent="0.25">
      <c r="A14546" s="2" t="str">
        <f t="shared" si="515"/>
        <v>44220</v>
      </c>
      <c r="B14546" s="2" t="str">
        <f>"45387"</f>
        <v>45387</v>
      </c>
      <c r="C14546" s="1">
        <v>1.84459303666128E-3</v>
      </c>
      <c r="D14546" s="1">
        <v>6.3224446786090596E-4</v>
      </c>
      <c r="E14546" s="1">
        <v>0</v>
      </c>
      <c r="F14546" s="1">
        <v>1.7181170554546701E-3</v>
      </c>
    </row>
    <row r="14547" spans="1:6" x14ac:dyDescent="0.25">
      <c r="A14547" s="2" t="str">
        <f t="shared" si="515"/>
        <v>44220</v>
      </c>
      <c r="B14547" s="2" t="str">
        <f>"45312"</f>
        <v>45312</v>
      </c>
      <c r="C14547" s="1">
        <v>3.0743217277688097E-5</v>
      </c>
      <c r="D14547" s="1">
        <v>0</v>
      </c>
      <c r="E14547" s="1">
        <v>0</v>
      </c>
      <c r="F14547" s="1">
        <v>2.79368626903198E-5</v>
      </c>
    </row>
    <row r="14548" spans="1:6" x14ac:dyDescent="0.25">
      <c r="A14548" s="2" t="str">
        <f t="shared" si="515"/>
        <v>44220</v>
      </c>
      <c r="B14548" s="2" t="str">
        <f>"45504"</f>
        <v>45504</v>
      </c>
      <c r="C14548" s="1">
        <v>0.12265006532933601</v>
      </c>
      <c r="D14548" s="1">
        <v>0.19768177028451001</v>
      </c>
      <c r="E14548" s="1">
        <v>0.20726256983240199</v>
      </c>
      <c r="F14548" s="1">
        <v>0.129738790333845</v>
      </c>
    </row>
    <row r="14549" spans="1:6" x14ac:dyDescent="0.25">
      <c r="A14549" s="2" t="str">
        <f t="shared" si="515"/>
        <v>44220</v>
      </c>
      <c r="B14549" s="2" t="str">
        <f>"45502"</f>
        <v>45502</v>
      </c>
      <c r="C14549" s="1">
        <v>0.11224348628083899</v>
      </c>
      <c r="D14549" s="1">
        <v>0.13656480505795501</v>
      </c>
      <c r="E14549" s="1">
        <v>7.82122905027932E-2</v>
      </c>
      <c r="F14549" s="1">
        <v>0.113004609582343</v>
      </c>
    </row>
    <row r="14550" spans="1:6" x14ac:dyDescent="0.25">
      <c r="A14550" s="2" t="str">
        <f t="shared" si="515"/>
        <v>44220</v>
      </c>
      <c r="B14550" s="2" t="str">
        <f>"45368"</f>
        <v>45368</v>
      </c>
      <c r="C14550" s="1">
        <v>3.2126662055183997E-2</v>
      </c>
      <c r="D14550" s="1">
        <v>1.11696522655426E-2</v>
      </c>
      <c r="E14550" s="1">
        <v>1.3407821229050199E-2</v>
      </c>
      <c r="F14550" s="1">
        <v>3.02695907249615E-2</v>
      </c>
    </row>
    <row r="14551" spans="1:6" x14ac:dyDescent="0.25">
      <c r="A14551" s="2" t="str">
        <f t="shared" si="515"/>
        <v>44220</v>
      </c>
      <c r="B14551" s="2" t="str">
        <f>"43140"</f>
        <v>43140</v>
      </c>
      <c r="C14551" s="1">
        <v>8.1469525785873398E-4</v>
      </c>
      <c r="D14551" s="1">
        <v>0</v>
      </c>
      <c r="E14551" s="1">
        <v>0</v>
      </c>
      <c r="F14551" s="1">
        <v>7.4032686129347602E-4</v>
      </c>
    </row>
    <row r="14552" spans="1:6" x14ac:dyDescent="0.25">
      <c r="A14552" s="2" t="str">
        <f t="shared" si="515"/>
        <v>44220</v>
      </c>
      <c r="B14552" s="2" t="str">
        <f>"43044"</f>
        <v>43044</v>
      </c>
      <c r="C14552" s="1">
        <v>4.3655368534317096E-3</v>
      </c>
      <c r="D14552" s="1">
        <v>2.1074815595363501E-4</v>
      </c>
      <c r="E14552" s="1">
        <v>3.3519553072625598E-3</v>
      </c>
      <c r="F14552" s="1">
        <v>4.0648135214415397E-3</v>
      </c>
    </row>
    <row r="14553" spans="1:6" x14ac:dyDescent="0.25">
      <c r="A14553" s="2" t="str">
        <f t="shared" ref="A14553:A14571" si="516">"18740"</f>
        <v>18740</v>
      </c>
      <c r="B14553" s="2" t="str">
        <f>"43803"</f>
        <v>43803</v>
      </c>
      <c r="C14553" s="1">
        <v>0</v>
      </c>
      <c r="D14553" s="1">
        <v>7.5357950263752805E-4</v>
      </c>
      <c r="E14553" s="1">
        <v>0</v>
      </c>
      <c r="F14553" s="1">
        <v>4.96894409937888E-5</v>
      </c>
    </row>
    <row r="14554" spans="1:6" x14ac:dyDescent="0.25">
      <c r="A14554" s="2" t="str">
        <f t="shared" si="516"/>
        <v>18740</v>
      </c>
      <c r="B14554" s="2" t="str">
        <f>"43006"</f>
        <v>43006</v>
      </c>
      <c r="C14554" s="1">
        <v>4.88122356003904E-3</v>
      </c>
      <c r="D14554" s="1">
        <v>1.50715900527505E-3</v>
      </c>
      <c r="E14554" s="1">
        <v>0</v>
      </c>
      <c r="F14554" s="1">
        <v>4.57142857142857E-3</v>
      </c>
    </row>
    <row r="14555" spans="1:6" x14ac:dyDescent="0.25">
      <c r="A14555" s="2" t="str">
        <f t="shared" si="516"/>
        <v>18740</v>
      </c>
      <c r="B14555" s="2" t="str">
        <f>"43844"</f>
        <v>43844</v>
      </c>
      <c r="C14555" s="1">
        <v>9.5509274324763999E-2</v>
      </c>
      <c r="D14555" s="1">
        <v>1.28108515448379E-2</v>
      </c>
      <c r="E14555" s="1">
        <v>3.0555555555555499E-2</v>
      </c>
      <c r="F14555" s="1">
        <v>8.8894409937888094E-2</v>
      </c>
    </row>
    <row r="14556" spans="1:6" x14ac:dyDescent="0.25">
      <c r="A14556" s="2" t="str">
        <f t="shared" si="516"/>
        <v>18740</v>
      </c>
      <c r="B14556" s="2" t="str">
        <f>"43821"</f>
        <v>43821</v>
      </c>
      <c r="C14556" s="1">
        <v>1.6433452652131399E-2</v>
      </c>
      <c r="D14556" s="1">
        <v>1.50715900527505E-3</v>
      </c>
      <c r="E14556" s="1">
        <v>0</v>
      </c>
      <c r="F14556" s="1">
        <v>1.5155279503105501E-2</v>
      </c>
    </row>
    <row r="14557" spans="1:6" x14ac:dyDescent="0.25">
      <c r="A14557" s="2" t="str">
        <f t="shared" si="516"/>
        <v>18740</v>
      </c>
      <c r="B14557" s="2" t="str">
        <f>"43822"</f>
        <v>43822</v>
      </c>
      <c r="C14557" s="1">
        <v>1.25827096214339E-2</v>
      </c>
      <c r="D14557" s="1">
        <v>2.26073850791258E-3</v>
      </c>
      <c r="E14557" s="1">
        <v>0</v>
      </c>
      <c r="F14557" s="1">
        <v>1.1677018633540299E-2</v>
      </c>
    </row>
    <row r="14558" spans="1:6" x14ac:dyDescent="0.25">
      <c r="A14558" s="2" t="str">
        <f t="shared" si="516"/>
        <v>18740</v>
      </c>
      <c r="B14558" s="2" t="str">
        <f>"43843"</f>
        <v>43843</v>
      </c>
      <c r="C14558" s="1">
        <v>1.5240264670788499E-2</v>
      </c>
      <c r="D14558" s="1">
        <v>7.5357950263752801E-3</v>
      </c>
      <c r="E14558" s="1">
        <v>0</v>
      </c>
      <c r="F14558" s="1">
        <v>1.4459627329192501E-2</v>
      </c>
    </row>
    <row r="14559" spans="1:6" x14ac:dyDescent="0.25">
      <c r="A14559" s="2" t="str">
        <f t="shared" si="516"/>
        <v>18740</v>
      </c>
      <c r="B14559" s="2" t="str">
        <f>"43811"</f>
        <v>43811</v>
      </c>
      <c r="C14559" s="1">
        <v>2.1802798568174402E-2</v>
      </c>
      <c r="D14559" s="1">
        <v>9.0429540316503305E-3</v>
      </c>
      <c r="E14559" s="1">
        <v>0</v>
      </c>
      <c r="F14559" s="1">
        <v>2.0571428571428501E-2</v>
      </c>
    </row>
    <row r="14560" spans="1:6" x14ac:dyDescent="0.25">
      <c r="A14560" s="2" t="str">
        <f t="shared" si="516"/>
        <v>18740</v>
      </c>
      <c r="B14560" s="2" t="str">
        <f>"44637"</f>
        <v>44637</v>
      </c>
      <c r="C14560" s="1">
        <v>6.8337129840546603E-3</v>
      </c>
      <c r="D14560" s="1">
        <v>1.50715900527505E-3</v>
      </c>
      <c r="E14560" s="1">
        <v>0</v>
      </c>
      <c r="F14560" s="1">
        <v>6.3602484472049603E-3</v>
      </c>
    </row>
    <row r="14561" spans="1:6" x14ac:dyDescent="0.25">
      <c r="A14561" s="2" t="str">
        <f t="shared" si="516"/>
        <v>18740</v>
      </c>
      <c r="B14561" s="2" t="str">
        <f>"43845"</f>
        <v>43845</v>
      </c>
      <c r="C14561" s="1">
        <v>0.119264562316954</v>
      </c>
      <c r="D14561" s="1">
        <v>7.3850791258477697E-2</v>
      </c>
      <c r="E14561" s="1">
        <v>0.141666666666666</v>
      </c>
      <c r="F14561" s="1">
        <v>0.116670807453416</v>
      </c>
    </row>
    <row r="14562" spans="1:6" x14ac:dyDescent="0.25">
      <c r="A14562" s="2" t="str">
        <f t="shared" si="516"/>
        <v>18740</v>
      </c>
      <c r="B14562" s="2" t="str">
        <f>"43824"</f>
        <v>43824</v>
      </c>
      <c r="C14562" s="1">
        <v>7.9075821672632607E-2</v>
      </c>
      <c r="D14562" s="1">
        <v>3.2403918613413699E-2</v>
      </c>
      <c r="E14562" s="1">
        <v>8.3333333333333297E-3</v>
      </c>
      <c r="F14562" s="1">
        <v>7.4732919254658303E-2</v>
      </c>
    </row>
    <row r="14563" spans="1:6" x14ac:dyDescent="0.25">
      <c r="A14563" s="2" t="str">
        <f t="shared" si="516"/>
        <v>18740</v>
      </c>
      <c r="B14563" s="2" t="str">
        <f>"44654"</f>
        <v>44654</v>
      </c>
      <c r="C14563" s="1">
        <v>8.4065516867339093E-3</v>
      </c>
      <c r="D14563" s="1">
        <v>3.76789751318764E-3</v>
      </c>
      <c r="E14563" s="1">
        <v>0</v>
      </c>
      <c r="F14563" s="1">
        <v>7.9503105590062097E-3</v>
      </c>
    </row>
    <row r="14564" spans="1:6" x14ac:dyDescent="0.25">
      <c r="A14564" s="2" t="str">
        <f t="shared" si="516"/>
        <v>18740</v>
      </c>
      <c r="B14564" s="2" t="str">
        <f>"43804"</f>
        <v>43804</v>
      </c>
      <c r="C14564" s="1">
        <v>8.4065516867339093E-3</v>
      </c>
      <c r="D14564" s="1">
        <v>9.0429540316503305E-3</v>
      </c>
      <c r="E14564" s="1">
        <v>0</v>
      </c>
      <c r="F14564" s="1">
        <v>8.2981366459627306E-3</v>
      </c>
    </row>
    <row r="14565" spans="1:6" x14ac:dyDescent="0.25">
      <c r="A14565" s="2" t="str">
        <f t="shared" si="516"/>
        <v>18740</v>
      </c>
      <c r="B14565" s="2" t="str">
        <f>"43805"</f>
        <v>43805</v>
      </c>
      <c r="C14565" s="1">
        <v>1.41013125067794E-3</v>
      </c>
      <c r="D14565" s="1">
        <v>7.5357950263752805E-4</v>
      </c>
      <c r="E14565" s="1">
        <v>0</v>
      </c>
      <c r="F14565" s="1">
        <v>1.3416149068322899E-3</v>
      </c>
    </row>
    <row r="14566" spans="1:6" x14ac:dyDescent="0.25">
      <c r="A14566" s="2" t="str">
        <f t="shared" si="516"/>
        <v>18740</v>
      </c>
      <c r="B14566" s="2" t="str">
        <f>"43836"</f>
        <v>43836</v>
      </c>
      <c r="C14566" s="1">
        <v>4.88122356003904E-4</v>
      </c>
      <c r="D14566" s="1">
        <v>0</v>
      </c>
      <c r="E14566" s="1">
        <v>2.7777777777777701E-3</v>
      </c>
      <c r="F14566" s="1">
        <v>4.96894409937888E-4</v>
      </c>
    </row>
    <row r="14567" spans="1:6" x14ac:dyDescent="0.25">
      <c r="A14567" s="2" t="str">
        <f t="shared" si="516"/>
        <v>18740</v>
      </c>
      <c r="B14567" s="2" t="str">
        <f>"43749"</f>
        <v>43749</v>
      </c>
      <c r="C14567" s="1">
        <v>3.6880355786961701E-3</v>
      </c>
      <c r="D14567" s="1">
        <v>7.5357950263752805E-4</v>
      </c>
      <c r="E14567" s="1">
        <v>0</v>
      </c>
      <c r="F14567" s="1">
        <v>3.4285714285714202E-3</v>
      </c>
    </row>
    <row r="14568" spans="1:6" x14ac:dyDescent="0.25">
      <c r="A14568" s="2" t="str">
        <f t="shared" si="516"/>
        <v>18740</v>
      </c>
      <c r="B14568" s="2" t="str">
        <f>"43828"</f>
        <v>43828</v>
      </c>
      <c r="C14568" s="1">
        <v>0</v>
      </c>
      <c r="D14568" s="1">
        <v>7.5357950263752805E-4</v>
      </c>
      <c r="E14568" s="1">
        <v>0</v>
      </c>
      <c r="F14568" s="1">
        <v>4.96894409937888E-5</v>
      </c>
    </row>
    <row r="14569" spans="1:6" x14ac:dyDescent="0.25">
      <c r="A14569" s="2" t="str">
        <f t="shared" si="516"/>
        <v>18740</v>
      </c>
      <c r="B14569" s="2" t="str">
        <f>"43832"</f>
        <v>43832</v>
      </c>
      <c r="C14569" s="1">
        <v>3.1022887514914801E-2</v>
      </c>
      <c r="D14569" s="1">
        <v>7.5357950263752801E-3</v>
      </c>
      <c r="E14569" s="1">
        <v>3.0555555555555499E-2</v>
      </c>
      <c r="F14569" s="1">
        <v>2.9465838509316701E-2</v>
      </c>
    </row>
    <row r="14570" spans="1:6" x14ac:dyDescent="0.25">
      <c r="A14570" s="2" t="str">
        <f t="shared" si="516"/>
        <v>18740</v>
      </c>
      <c r="B14570" s="2" t="str">
        <f>"43840"</f>
        <v>43840</v>
      </c>
      <c r="C14570" s="1">
        <v>1.62707452001301E-4</v>
      </c>
      <c r="D14570" s="1">
        <v>0</v>
      </c>
      <c r="E14570" s="1">
        <v>0</v>
      </c>
      <c r="F14570" s="1">
        <v>1.4906832298136599E-4</v>
      </c>
    </row>
    <row r="14571" spans="1:6" x14ac:dyDescent="0.25">
      <c r="A14571" s="2" t="str">
        <f t="shared" si="516"/>
        <v>18740</v>
      </c>
      <c r="B14571" s="2" t="str">
        <f>"43812"</f>
        <v>43812</v>
      </c>
      <c r="C14571" s="1">
        <v>0.57479119210326401</v>
      </c>
      <c r="D14571" s="1">
        <v>0.83421250941974301</v>
      </c>
      <c r="E14571" s="1">
        <v>0.78611111111111098</v>
      </c>
      <c r="F14571" s="1">
        <v>0.59567701863353995</v>
      </c>
    </row>
    <row r="14572" spans="1:6" x14ac:dyDescent="0.25">
      <c r="A14572" s="2" t="str">
        <f t="shared" ref="A14572:A14590" si="517">"13340"</f>
        <v>13340</v>
      </c>
      <c r="B14572" s="2" t="str">
        <f>"43347"</f>
        <v>43347</v>
      </c>
      <c r="C14572" s="1">
        <v>2.0775326622403001E-2</v>
      </c>
      <c r="D14572" s="1">
        <v>2.1201413427561801E-3</v>
      </c>
      <c r="E14572" s="1">
        <v>0</v>
      </c>
      <c r="F14572" s="1">
        <v>1.9242902208201799E-2</v>
      </c>
    </row>
    <row r="14573" spans="1:6" x14ac:dyDescent="0.25">
      <c r="A14573" s="2" t="str">
        <f t="shared" si="517"/>
        <v>13340</v>
      </c>
      <c r="B14573" s="2" t="str">
        <f>"43067"</f>
        <v>43067</v>
      </c>
      <c r="C14573" s="1">
        <v>8.5671449989291001E-5</v>
      </c>
      <c r="D14573" s="1">
        <v>7.0671378091872702E-4</v>
      </c>
      <c r="E14573" s="1">
        <v>0</v>
      </c>
      <c r="F14573" s="1">
        <v>1.18296529968454E-4</v>
      </c>
    </row>
    <row r="14574" spans="1:6" x14ac:dyDescent="0.25">
      <c r="A14574" s="2" t="str">
        <f t="shared" si="517"/>
        <v>13340</v>
      </c>
      <c r="B14574" s="2" t="str">
        <f>"43324"</f>
        <v>43324</v>
      </c>
      <c r="C14574" s="1">
        <v>7.7832512315270899E-2</v>
      </c>
      <c r="D14574" s="1">
        <v>3.53356890459363E-2</v>
      </c>
      <c r="E14574" s="1">
        <v>8.8333333333333305E-2</v>
      </c>
      <c r="F14574" s="1">
        <v>7.5709779179810699E-2</v>
      </c>
    </row>
    <row r="14575" spans="1:6" x14ac:dyDescent="0.25">
      <c r="A14575" s="2" t="str">
        <f t="shared" si="517"/>
        <v>13340</v>
      </c>
      <c r="B14575" s="2" t="str">
        <f>"43310"</f>
        <v>43310</v>
      </c>
      <c r="C14575" s="1">
        <v>5.3501820518312197E-2</v>
      </c>
      <c r="D14575" s="1">
        <v>1.90812720848056E-2</v>
      </c>
      <c r="E14575" s="1">
        <v>3.5000000000000003E-2</v>
      </c>
      <c r="F14575" s="1">
        <v>5.1143533123028301E-2</v>
      </c>
    </row>
    <row r="14576" spans="1:6" x14ac:dyDescent="0.25">
      <c r="A14576" s="2" t="str">
        <f t="shared" si="517"/>
        <v>13340</v>
      </c>
      <c r="B14576" s="2" t="str">
        <f>"43345"</f>
        <v>43345</v>
      </c>
      <c r="C14576" s="1">
        <v>7.1964017991004402E-3</v>
      </c>
      <c r="D14576" s="1">
        <v>7.0671378091872702E-4</v>
      </c>
      <c r="E14576" s="1">
        <v>0</v>
      </c>
      <c r="F14576" s="1">
        <v>6.6640378548895804E-3</v>
      </c>
    </row>
    <row r="14577" spans="1:6" x14ac:dyDescent="0.25">
      <c r="A14577" s="2" t="str">
        <f t="shared" si="517"/>
        <v>13340</v>
      </c>
      <c r="B14577" s="2" t="str">
        <f>"43348"</f>
        <v>43348</v>
      </c>
      <c r="C14577" s="1">
        <v>6.3268365817091402E-2</v>
      </c>
      <c r="D14577" s="1">
        <v>5.4416961130742E-2</v>
      </c>
      <c r="E14577" s="1">
        <v>7.6666666666666605E-2</v>
      </c>
      <c r="F14577" s="1">
        <v>6.3091482649842198E-2</v>
      </c>
    </row>
    <row r="14578" spans="1:6" x14ac:dyDescent="0.25">
      <c r="A14578" s="2" t="str">
        <f t="shared" si="517"/>
        <v>13340</v>
      </c>
      <c r="B14578" s="2" t="str">
        <f>"43318"</f>
        <v>43318</v>
      </c>
      <c r="C14578" s="1">
        <v>4.86613835939173E-2</v>
      </c>
      <c r="D14578" s="1">
        <v>9.1872791519434591E-3</v>
      </c>
      <c r="E14578" s="1">
        <v>0.01</v>
      </c>
      <c r="F14578" s="1">
        <v>4.5544164037854801E-2</v>
      </c>
    </row>
    <row r="14579" spans="1:6" x14ac:dyDescent="0.25">
      <c r="A14579" s="2" t="str">
        <f t="shared" si="517"/>
        <v>13340</v>
      </c>
      <c r="B14579" s="2" t="str">
        <f>"43319"</f>
        <v>43319</v>
      </c>
      <c r="C14579" s="1">
        <v>1.7391304347826E-2</v>
      </c>
      <c r="D14579" s="1">
        <v>1.34275618374558E-2</v>
      </c>
      <c r="E14579" s="1">
        <v>0</v>
      </c>
      <c r="F14579" s="1">
        <v>1.6758675078864301E-2</v>
      </c>
    </row>
    <row r="14580" spans="1:6" x14ac:dyDescent="0.25">
      <c r="A14580" s="2" t="str">
        <f t="shared" si="517"/>
        <v>13340</v>
      </c>
      <c r="B14580" s="2" t="str">
        <f>"45334"</f>
        <v>45334</v>
      </c>
      <c r="C14580" s="1">
        <v>2.57014349967873E-4</v>
      </c>
      <c r="D14580" s="1">
        <v>0</v>
      </c>
      <c r="E14580" s="1">
        <v>0</v>
      </c>
      <c r="F14580" s="1">
        <v>2.3659305993690801E-4</v>
      </c>
    </row>
    <row r="14581" spans="1:6" x14ac:dyDescent="0.25">
      <c r="A14581" s="2" t="str">
        <f t="shared" si="517"/>
        <v>13340</v>
      </c>
      <c r="B14581" s="2" t="str">
        <f>"43336"</f>
        <v>43336</v>
      </c>
      <c r="C14581" s="1">
        <v>0</v>
      </c>
      <c r="D14581" s="1">
        <v>7.0671378091872702E-4</v>
      </c>
      <c r="E14581" s="1">
        <v>0</v>
      </c>
      <c r="F14581" s="1">
        <v>3.9432176656151402E-5</v>
      </c>
    </row>
    <row r="14582" spans="1:6" x14ac:dyDescent="0.25">
      <c r="A14582" s="2" t="str">
        <f t="shared" si="517"/>
        <v>13340</v>
      </c>
      <c r="B14582" s="2" t="str">
        <f>"43358"</f>
        <v>43358</v>
      </c>
      <c r="C14582" s="1">
        <v>2.00042835724994E-2</v>
      </c>
      <c r="D14582" s="1">
        <v>7.7738515901059997E-3</v>
      </c>
      <c r="E14582" s="1">
        <v>0.01</v>
      </c>
      <c r="F14582" s="1">
        <v>1.90851735015772E-2</v>
      </c>
    </row>
    <row r="14583" spans="1:6" x14ac:dyDescent="0.25">
      <c r="A14583" s="2" t="str">
        <f t="shared" si="517"/>
        <v>13340</v>
      </c>
      <c r="B14583" s="2" t="str">
        <f>"43360"</f>
        <v>43360</v>
      </c>
      <c r="C14583" s="1">
        <v>3.7267080745341602E-2</v>
      </c>
      <c r="D14583" s="1">
        <v>4.2402826855123602E-3</v>
      </c>
      <c r="E14583" s="1">
        <v>8.3333333333333297E-3</v>
      </c>
      <c r="F14583" s="1">
        <v>3.4739747634069403E-2</v>
      </c>
    </row>
    <row r="14584" spans="1:6" x14ac:dyDescent="0.25">
      <c r="A14584" s="2" t="str">
        <f t="shared" si="517"/>
        <v>13340</v>
      </c>
      <c r="B14584" s="2" t="str">
        <f>"43357"</f>
        <v>43357</v>
      </c>
      <c r="C14584" s="1">
        <v>7.0164917541229305E-2</v>
      </c>
      <c r="D14584" s="1">
        <v>2.7561837455830299E-2</v>
      </c>
      <c r="E14584" s="1">
        <v>0.118333333333333</v>
      </c>
      <c r="F14584" s="1">
        <v>6.8927444794952594E-2</v>
      </c>
    </row>
    <row r="14585" spans="1:6" x14ac:dyDescent="0.25">
      <c r="A14585" s="2" t="str">
        <f t="shared" si="517"/>
        <v>13340</v>
      </c>
      <c r="B14585" s="2" t="str">
        <f>"43331"</f>
        <v>43331</v>
      </c>
      <c r="C14585" s="1">
        <v>0.138702077532662</v>
      </c>
      <c r="D14585" s="1">
        <v>4.5936395759717301E-2</v>
      </c>
      <c r="E14585" s="1">
        <v>9.5000000000000001E-2</v>
      </c>
      <c r="F14585" s="1">
        <v>0.132492113564668</v>
      </c>
    </row>
    <row r="14586" spans="1:6" x14ac:dyDescent="0.25">
      <c r="A14586" s="2" t="str">
        <f t="shared" si="517"/>
        <v>13340</v>
      </c>
      <c r="B14586" s="2" t="str">
        <f>"45895"</f>
        <v>45895</v>
      </c>
      <c r="C14586" s="1">
        <v>1.2850717498393599E-3</v>
      </c>
      <c r="D14586" s="1">
        <v>7.0671378091872702E-4</v>
      </c>
      <c r="E14586" s="1">
        <v>0</v>
      </c>
      <c r="F14586" s="1">
        <v>1.22239747634069E-3</v>
      </c>
    </row>
    <row r="14587" spans="1:6" x14ac:dyDescent="0.25">
      <c r="A14587" s="2" t="str">
        <f t="shared" si="517"/>
        <v>13340</v>
      </c>
      <c r="B14587" s="2" t="str">
        <f>"43333"</f>
        <v>43333</v>
      </c>
      <c r="C14587" s="1">
        <v>1.59348896980081E-2</v>
      </c>
      <c r="D14587" s="1">
        <v>7.7738515901059997E-3</v>
      </c>
      <c r="E14587" s="1">
        <v>5.0000000000000001E-3</v>
      </c>
      <c r="F14587" s="1">
        <v>1.5220820189274399E-2</v>
      </c>
    </row>
    <row r="14588" spans="1:6" x14ac:dyDescent="0.25">
      <c r="A14588" s="2" t="str">
        <f t="shared" si="517"/>
        <v>13340</v>
      </c>
      <c r="B14588" s="2" t="str">
        <f>"43343"</f>
        <v>43343</v>
      </c>
      <c r="C14588" s="1">
        <v>1.85907046476761E-2</v>
      </c>
      <c r="D14588" s="1">
        <v>1.27208480565371E-2</v>
      </c>
      <c r="E14588" s="1">
        <v>6.6666666666666602E-3</v>
      </c>
      <c r="F14588" s="1">
        <v>1.7981072555205001E-2</v>
      </c>
    </row>
    <row r="14589" spans="1:6" x14ac:dyDescent="0.25">
      <c r="A14589" s="2" t="str">
        <f t="shared" si="517"/>
        <v>13340</v>
      </c>
      <c r="B14589" s="2" t="str">
        <f>"43311"</f>
        <v>43311</v>
      </c>
      <c r="C14589" s="1">
        <v>0.405911330049261</v>
      </c>
      <c r="D14589" s="1">
        <v>0.75759717314487596</v>
      </c>
      <c r="E14589" s="1">
        <v>0.54666666666666597</v>
      </c>
      <c r="F14589" s="1">
        <v>0.42886435331230199</v>
      </c>
    </row>
    <row r="14590" spans="1:6" x14ac:dyDescent="0.25">
      <c r="A14590" s="2" t="str">
        <f t="shared" si="517"/>
        <v>13340</v>
      </c>
      <c r="B14590" s="2" t="str">
        <f>"43060"</f>
        <v>43060</v>
      </c>
      <c r="C14590" s="1">
        <v>3.16984364960376E-3</v>
      </c>
      <c r="D14590" s="1">
        <v>0</v>
      </c>
      <c r="E14590" s="1">
        <v>0</v>
      </c>
      <c r="F14590" s="1">
        <v>2.9179810725552002E-3</v>
      </c>
    </row>
    <row r="14591" spans="1:6" x14ac:dyDescent="0.25">
      <c r="A14591" s="2" t="str">
        <f t="shared" ref="A14591:A14605" si="518">"41780"</f>
        <v>41780</v>
      </c>
      <c r="B14591" s="2" t="str">
        <f>"44816"</f>
        <v>44816</v>
      </c>
      <c r="C14591" s="1">
        <v>0</v>
      </c>
      <c r="D14591" s="1">
        <v>0</v>
      </c>
      <c r="E14591" s="1">
        <v>7.23065798987707E-4</v>
      </c>
      <c r="F14591" s="1">
        <v>2.28880089720995E-5</v>
      </c>
    </row>
    <row r="14592" spans="1:6" x14ac:dyDescent="0.25">
      <c r="A14592" s="2" t="str">
        <f t="shared" si="518"/>
        <v>41780</v>
      </c>
      <c r="B14592" s="2" t="str">
        <f>"44824"</f>
        <v>44824</v>
      </c>
      <c r="C14592" s="1">
        <v>4.12845208594129E-2</v>
      </c>
      <c r="D14592" s="1">
        <v>1.7377567140600299E-2</v>
      </c>
      <c r="E14592" s="1">
        <v>1.2292118582791001E-2</v>
      </c>
      <c r="F14592" s="1">
        <v>3.8634959144903898E-2</v>
      </c>
    </row>
    <row r="14593" spans="1:6" x14ac:dyDescent="0.25">
      <c r="A14593" s="2" t="str">
        <f t="shared" si="518"/>
        <v>41780</v>
      </c>
      <c r="B14593" s="2" t="str">
        <f>"44811"</f>
        <v>44811</v>
      </c>
      <c r="C14593" s="1">
        <v>6.9233323965970902E-3</v>
      </c>
      <c r="D14593" s="1">
        <v>6.3191153238546598E-4</v>
      </c>
      <c r="E14593" s="1">
        <v>0</v>
      </c>
      <c r="F14593" s="1">
        <v>6.2484264493831597E-3</v>
      </c>
    </row>
    <row r="14594" spans="1:6" x14ac:dyDescent="0.25">
      <c r="A14594" s="2" t="str">
        <f t="shared" si="518"/>
        <v>41780</v>
      </c>
      <c r="B14594" s="2" t="str">
        <f>"44826"</f>
        <v>44826</v>
      </c>
      <c r="C14594" s="1">
        <v>1.63503052908566E-3</v>
      </c>
      <c r="D14594" s="1">
        <v>0</v>
      </c>
      <c r="E14594" s="1">
        <v>0</v>
      </c>
      <c r="F14594" s="1">
        <v>1.46483257421436E-3</v>
      </c>
    </row>
    <row r="14595" spans="1:6" x14ac:dyDescent="0.25">
      <c r="A14595" s="2" t="str">
        <f t="shared" si="518"/>
        <v>41780</v>
      </c>
      <c r="B14595" s="2" t="str">
        <f>"44814"</f>
        <v>44814</v>
      </c>
      <c r="C14595" s="1">
        <v>2.87152236670669E-2</v>
      </c>
      <c r="D14595" s="1">
        <v>6.9510268562401204E-3</v>
      </c>
      <c r="E14595" s="1">
        <v>6.5075921908893698E-3</v>
      </c>
      <c r="F14595" s="1">
        <v>2.6435650362774898E-2</v>
      </c>
    </row>
    <row r="14596" spans="1:6" x14ac:dyDescent="0.25">
      <c r="A14596" s="2" t="str">
        <f t="shared" si="518"/>
        <v>41780</v>
      </c>
      <c r="B14596" s="2" t="str">
        <f>"44846"</f>
        <v>44846</v>
      </c>
      <c r="C14596" s="1">
        <v>3.1934190021204303E-2</v>
      </c>
      <c r="D14596" s="1">
        <v>4.0442338072669802E-2</v>
      </c>
      <c r="E14596" s="1">
        <v>1.51843817787418E-2</v>
      </c>
      <c r="F14596" s="1">
        <v>3.2020324551967197E-2</v>
      </c>
    </row>
    <row r="14597" spans="1:6" x14ac:dyDescent="0.25">
      <c r="A14597" s="2" t="str">
        <f t="shared" si="518"/>
        <v>41780</v>
      </c>
      <c r="B14597" s="2" t="str">
        <f>"44839"</f>
        <v>44839</v>
      </c>
      <c r="C14597" s="1">
        <v>0.17351761489921499</v>
      </c>
      <c r="D14597" s="1">
        <v>0.105845181674565</v>
      </c>
      <c r="E14597" s="1">
        <v>0.20318148951554499</v>
      </c>
      <c r="F14597" s="1">
        <v>0.16955437046531299</v>
      </c>
    </row>
    <row r="14598" spans="1:6" x14ac:dyDescent="0.25">
      <c r="A14598" s="2" t="str">
        <f t="shared" si="518"/>
        <v>41780</v>
      </c>
      <c r="B14598" s="2" t="str">
        <f>"44871"</f>
        <v>44871</v>
      </c>
      <c r="C14598" s="1">
        <v>3.7835628337122798E-2</v>
      </c>
      <c r="D14598" s="1">
        <v>0.10647709320695101</v>
      </c>
      <c r="E14598" s="1">
        <v>1.4461315979754101E-3</v>
      </c>
      <c r="F14598" s="1">
        <v>4.1656176329221098E-2</v>
      </c>
    </row>
    <row r="14599" spans="1:6" x14ac:dyDescent="0.25">
      <c r="A14599" s="2" t="str">
        <f t="shared" si="518"/>
        <v>41780</v>
      </c>
      <c r="B14599" s="2" t="str">
        <f>"44089"</f>
        <v>44089</v>
      </c>
      <c r="C14599" s="1">
        <v>0.122806121145543</v>
      </c>
      <c r="D14599" s="1">
        <v>8.97314375987361E-2</v>
      </c>
      <c r="E14599" s="1">
        <v>8.2429501084598594E-2</v>
      </c>
      <c r="F14599" s="1">
        <v>0.119132086699777</v>
      </c>
    </row>
    <row r="14600" spans="1:6" x14ac:dyDescent="0.25">
      <c r="A14600" s="2" t="str">
        <f t="shared" si="518"/>
        <v>41780</v>
      </c>
      <c r="B14600" s="2" t="str">
        <f>"44847"</f>
        <v>44847</v>
      </c>
      <c r="C14600" s="1">
        <v>7.8941317732417002E-3</v>
      </c>
      <c r="D14600" s="1">
        <v>9.4786729857819897E-4</v>
      </c>
      <c r="E14600" s="1">
        <v>0</v>
      </c>
      <c r="F14600" s="1">
        <v>7.1410587992950404E-3</v>
      </c>
    </row>
    <row r="14601" spans="1:6" x14ac:dyDescent="0.25">
      <c r="A14601" s="2" t="str">
        <f t="shared" si="518"/>
        <v>41780</v>
      </c>
      <c r="B14601" s="2" t="str">
        <f>"44870"</f>
        <v>44870</v>
      </c>
      <c r="C14601" s="1">
        <v>0.51442148021357503</v>
      </c>
      <c r="D14601" s="1">
        <v>0.62274881516587599</v>
      </c>
      <c r="E14601" s="1">
        <v>0.66883586406362905</v>
      </c>
      <c r="F14601" s="1">
        <v>0.52715662264539598</v>
      </c>
    </row>
    <row r="14602" spans="1:6" x14ac:dyDescent="0.25">
      <c r="A14602" s="2" t="str">
        <f t="shared" si="518"/>
        <v>41780</v>
      </c>
      <c r="B14602" s="2" t="str">
        <f>"43438"</f>
        <v>43438</v>
      </c>
      <c r="C14602" s="1">
        <v>5.7737015558337297E-3</v>
      </c>
      <c r="D14602" s="1">
        <v>0</v>
      </c>
      <c r="E14602" s="1">
        <v>5.06146059291395E-3</v>
      </c>
      <c r="F14602" s="1">
        <v>5.3329060904991803E-3</v>
      </c>
    </row>
    <row r="14603" spans="1:6" x14ac:dyDescent="0.25">
      <c r="A14603" s="2" t="str">
        <f t="shared" si="518"/>
        <v>41780</v>
      </c>
      <c r="B14603" s="2" t="str">
        <f>"44857"</f>
        <v>44857</v>
      </c>
      <c r="C14603" s="1">
        <v>3.4233451702730998E-3</v>
      </c>
      <c r="D14603" s="1">
        <v>3.1595576619273299E-4</v>
      </c>
      <c r="E14603" s="1">
        <v>0</v>
      </c>
      <c r="F14603" s="1">
        <v>3.0898812112334301E-3</v>
      </c>
    </row>
    <row r="14604" spans="1:6" x14ac:dyDescent="0.25">
      <c r="A14604" s="2" t="str">
        <f t="shared" si="518"/>
        <v>41780</v>
      </c>
      <c r="B14604" s="2" t="str">
        <f>"44889"</f>
        <v>44889</v>
      </c>
      <c r="C14604" s="1">
        <v>1.87262090284342E-2</v>
      </c>
      <c r="D14604" s="1">
        <v>7.8988941548183197E-3</v>
      </c>
      <c r="E14604" s="1">
        <v>2.8922631959508302E-3</v>
      </c>
      <c r="F14604" s="1">
        <v>1.7440662836739802E-2</v>
      </c>
    </row>
    <row r="14605" spans="1:6" x14ac:dyDescent="0.25">
      <c r="A14605" s="2" t="str">
        <f t="shared" si="518"/>
        <v>41780</v>
      </c>
      <c r="B14605" s="2" t="str">
        <f>"43464"</f>
        <v>43464</v>
      </c>
      <c r="C14605" s="1">
        <v>5.10947040339268E-3</v>
      </c>
      <c r="D14605" s="1">
        <v>6.3191153238546598E-4</v>
      </c>
      <c r="E14605" s="1">
        <v>1.4461315979754101E-3</v>
      </c>
      <c r="F14605" s="1">
        <v>4.6691538303083001E-3</v>
      </c>
    </row>
    <row r="14606" spans="1:6" x14ac:dyDescent="0.25">
      <c r="A14606" s="2" t="str">
        <f t="shared" ref="A14606:A14621" si="519">"15340"</f>
        <v>15340</v>
      </c>
      <c r="B14606" s="2" t="str">
        <f>"44818"</f>
        <v>44818</v>
      </c>
      <c r="C14606" s="1">
        <v>1.54438273409334E-2</v>
      </c>
      <c r="D14606" s="1">
        <v>3.6873156342182799E-3</v>
      </c>
      <c r="E14606" s="1">
        <v>0</v>
      </c>
      <c r="F14606" s="1">
        <v>1.4438814402941501E-2</v>
      </c>
    </row>
    <row r="14607" spans="1:6" x14ac:dyDescent="0.25">
      <c r="A14607" s="2" t="str">
        <f t="shared" si="519"/>
        <v>15340</v>
      </c>
      <c r="B14607" s="2" t="str">
        <f>"44881"</f>
        <v>44881</v>
      </c>
      <c r="C14607" s="1">
        <v>0</v>
      </c>
      <c r="D14607" s="1">
        <v>0</v>
      </c>
      <c r="E14607" s="1">
        <v>2.38663484486873E-3</v>
      </c>
      <c r="F14607" s="1">
        <v>4.4841038518451998E-5</v>
      </c>
    </row>
    <row r="14608" spans="1:6" x14ac:dyDescent="0.25">
      <c r="A14608" s="2" t="str">
        <f t="shared" si="519"/>
        <v>15340</v>
      </c>
      <c r="B14608" s="2" t="str">
        <f>"44849"</f>
        <v>44849</v>
      </c>
      <c r="C14608" s="1">
        <v>7.4539608301666099E-3</v>
      </c>
      <c r="D14608" s="1">
        <v>0</v>
      </c>
      <c r="E14608" s="1">
        <v>0</v>
      </c>
      <c r="F14608" s="1">
        <v>6.8606788933231596E-3</v>
      </c>
    </row>
    <row r="14609" spans="1:6" x14ac:dyDescent="0.25">
      <c r="A14609" s="2" t="str">
        <f t="shared" si="519"/>
        <v>15340</v>
      </c>
      <c r="B14609" s="2" t="str">
        <f>"44827"</f>
        <v>44827</v>
      </c>
      <c r="C14609" s="1">
        <v>0.14961512228393201</v>
      </c>
      <c r="D14609" s="1">
        <v>0.116519174041297</v>
      </c>
      <c r="E14609" s="1">
        <v>0.12887828162291101</v>
      </c>
      <c r="F14609" s="1">
        <v>0.14721312945607801</v>
      </c>
    </row>
    <row r="14610" spans="1:6" x14ac:dyDescent="0.25">
      <c r="A14610" s="2" t="str">
        <f t="shared" si="519"/>
        <v>15340</v>
      </c>
      <c r="B14610" s="2" t="str">
        <f>"44860"</f>
        <v>44860</v>
      </c>
      <c r="C14610" s="1">
        <v>0</v>
      </c>
      <c r="D14610" s="1">
        <v>0</v>
      </c>
      <c r="E14610" s="1">
        <v>2.38663484486873E-3</v>
      </c>
      <c r="F14610" s="1">
        <v>4.4841038518451998E-5</v>
      </c>
    </row>
    <row r="14611" spans="1:6" x14ac:dyDescent="0.25">
      <c r="A14611" s="2" t="str">
        <f t="shared" si="519"/>
        <v>15340</v>
      </c>
      <c r="B14611" s="2" t="str">
        <f>"44856"</f>
        <v>44856</v>
      </c>
      <c r="C14611" s="1">
        <v>0</v>
      </c>
      <c r="D14611" s="1">
        <v>0</v>
      </c>
      <c r="E14611" s="1">
        <v>2.38663484486873E-3</v>
      </c>
      <c r="F14611" s="1">
        <v>4.4841038518451998E-5</v>
      </c>
    </row>
    <row r="14612" spans="1:6" x14ac:dyDescent="0.25">
      <c r="A14612" s="2" t="str">
        <f t="shared" si="519"/>
        <v>15340</v>
      </c>
      <c r="B14612" s="2" t="str">
        <f>"44854"</f>
        <v>44854</v>
      </c>
      <c r="C14612" s="1">
        <v>3.6880054564941998E-2</v>
      </c>
      <c r="D14612" s="1">
        <v>3.1710914454277199E-2</v>
      </c>
      <c r="E14612" s="1">
        <v>7.1599045346062004E-3</v>
      </c>
      <c r="F14612" s="1">
        <v>3.6007353930317003E-2</v>
      </c>
    </row>
    <row r="14613" spans="1:6" x14ac:dyDescent="0.25">
      <c r="A14613" s="2" t="str">
        <f t="shared" si="519"/>
        <v>15340</v>
      </c>
      <c r="B14613" s="2" t="str">
        <f>"44833"</f>
        <v>44833</v>
      </c>
      <c r="C14613" s="1">
        <v>0.330312774042677</v>
      </c>
      <c r="D14613" s="1">
        <v>0.37168141592920301</v>
      </c>
      <c r="E14613" s="1">
        <v>0.41766109785202798</v>
      </c>
      <c r="F14613" s="1">
        <v>0.33446930630913402</v>
      </c>
    </row>
    <row r="14614" spans="1:6" x14ac:dyDescent="0.25">
      <c r="A14614" s="2" t="str">
        <f t="shared" si="519"/>
        <v>15340</v>
      </c>
      <c r="B14614" s="2" t="str">
        <f>"44820"</f>
        <v>44820</v>
      </c>
      <c r="C14614" s="1">
        <v>0.41157556270096401</v>
      </c>
      <c r="D14614" s="1">
        <v>0.459439528023598</v>
      </c>
      <c r="E14614" s="1">
        <v>0.42482100238663401</v>
      </c>
      <c r="F14614" s="1">
        <v>0.41473476525716302</v>
      </c>
    </row>
    <row r="14615" spans="1:6" x14ac:dyDescent="0.25">
      <c r="A14615" s="2" t="str">
        <f t="shared" si="519"/>
        <v>15340</v>
      </c>
      <c r="B14615" s="2" t="str">
        <f>"44825"</f>
        <v>44825</v>
      </c>
      <c r="C14615" s="1">
        <v>7.7949917178212901E-4</v>
      </c>
      <c r="D14615" s="1">
        <v>0</v>
      </c>
      <c r="E14615" s="1">
        <v>2.38663484486873E-3</v>
      </c>
      <c r="F14615" s="1">
        <v>7.6229765481368504E-4</v>
      </c>
    </row>
    <row r="14616" spans="1:6" x14ac:dyDescent="0.25">
      <c r="A14616" s="2" t="str">
        <f t="shared" si="519"/>
        <v>15340</v>
      </c>
      <c r="B14616" s="2" t="str">
        <f>"44887"</f>
        <v>44887</v>
      </c>
      <c r="C14616" s="1">
        <v>2.1972132904608699E-2</v>
      </c>
      <c r="D14616" s="1">
        <v>5.1622418879056003E-3</v>
      </c>
      <c r="E14616" s="1">
        <v>7.1599045346062004E-3</v>
      </c>
      <c r="F14616" s="1">
        <v>2.0671718757006401E-2</v>
      </c>
    </row>
    <row r="14617" spans="1:6" x14ac:dyDescent="0.25">
      <c r="A14617" s="2" t="str">
        <f t="shared" si="519"/>
        <v>15340</v>
      </c>
      <c r="B14617" s="2" t="str">
        <f>"43314"</f>
        <v>43314</v>
      </c>
      <c r="C14617" s="1">
        <v>1.60771704180064E-3</v>
      </c>
      <c r="D14617" s="1">
        <v>1.47492625368731E-3</v>
      </c>
      <c r="E14617" s="1">
        <v>0</v>
      </c>
      <c r="F14617" s="1">
        <v>1.5694363481458199E-3</v>
      </c>
    </row>
    <row r="14618" spans="1:6" x14ac:dyDescent="0.25">
      <c r="A14618" s="2" t="str">
        <f t="shared" si="519"/>
        <v>15340</v>
      </c>
      <c r="B14618" s="2" t="str">
        <f>"43302"</f>
        <v>43302</v>
      </c>
      <c r="C14618" s="1">
        <v>4.5795576342200096E-3</v>
      </c>
      <c r="D14618" s="1">
        <v>2.21238938053097E-3</v>
      </c>
      <c r="E14618" s="1">
        <v>4.7732696897374704E-3</v>
      </c>
      <c r="F14618" s="1">
        <v>4.4392628133267499E-3</v>
      </c>
    </row>
    <row r="14619" spans="1:6" x14ac:dyDescent="0.25">
      <c r="A14619" s="2" t="str">
        <f t="shared" si="519"/>
        <v>15340</v>
      </c>
      <c r="B14619" s="2" t="str">
        <f>"44865"</f>
        <v>44865</v>
      </c>
      <c r="C14619" s="1">
        <v>2.28977881711E-3</v>
      </c>
      <c r="D14619" s="1">
        <v>1.47492625368731E-3</v>
      </c>
      <c r="E14619" s="1">
        <v>0</v>
      </c>
      <c r="F14619" s="1">
        <v>2.19721088740415E-3</v>
      </c>
    </row>
    <row r="14620" spans="1:6" x14ac:dyDescent="0.25">
      <c r="A14620" s="2" t="str">
        <f t="shared" si="519"/>
        <v>15340</v>
      </c>
      <c r="B14620" s="2" t="str">
        <f>"44875"</f>
        <v>44875</v>
      </c>
      <c r="C14620" s="1">
        <v>2.7769657994738302E-3</v>
      </c>
      <c r="D14620" s="1">
        <v>3.6873156342182799E-3</v>
      </c>
      <c r="E14620" s="1">
        <v>0</v>
      </c>
      <c r="F14620" s="1">
        <v>2.78014438814402E-3</v>
      </c>
    </row>
    <row r="14621" spans="1:6" x14ac:dyDescent="0.25">
      <c r="A14621" s="2" t="str">
        <f t="shared" si="519"/>
        <v>15340</v>
      </c>
      <c r="B14621" s="2" t="str">
        <f>"44882"</f>
        <v>44882</v>
      </c>
      <c r="C14621" s="1">
        <v>1.47130468673877E-2</v>
      </c>
      <c r="D14621" s="1">
        <v>2.9498525073746299E-3</v>
      </c>
      <c r="E14621" s="1">
        <v>0</v>
      </c>
      <c r="F14621" s="1">
        <v>1.37213577866463E-2</v>
      </c>
    </row>
    <row r="14622" spans="1:6" x14ac:dyDescent="0.25">
      <c r="A14622" s="2" t="str">
        <f t="shared" ref="A14622:A14653" si="520">"15940"</f>
        <v>15940</v>
      </c>
      <c r="B14622" s="2" t="str">
        <f>"44767"</f>
        <v>44767</v>
      </c>
      <c r="C14622" s="1">
        <v>0</v>
      </c>
      <c r="D14622" s="1">
        <v>6.8334016673499997E-5</v>
      </c>
      <c r="E14622" s="1">
        <v>1.87020759304282E-4</v>
      </c>
      <c r="F14622" s="1">
        <v>9.6614156872406507E-6</v>
      </c>
    </row>
    <row r="14623" spans="1:6" x14ac:dyDescent="0.25">
      <c r="A14623" s="2" t="str">
        <f t="shared" si="520"/>
        <v>15940</v>
      </c>
      <c r="B14623" s="2" t="str">
        <f>"44730"</f>
        <v>44730</v>
      </c>
      <c r="C14623" s="1">
        <v>1.4575357700451199E-2</v>
      </c>
      <c r="D14623" s="1">
        <v>8.3367500341669995E-3</v>
      </c>
      <c r="E14623" s="1">
        <v>9.1640172059098499E-3</v>
      </c>
      <c r="F14623" s="1">
        <v>1.3994560622968E-2</v>
      </c>
    </row>
    <row r="14624" spans="1:6" x14ac:dyDescent="0.25">
      <c r="A14624" s="2" t="str">
        <f t="shared" si="520"/>
        <v>15940</v>
      </c>
      <c r="B14624" s="2" t="str">
        <f>"44711"</f>
        <v>44711</v>
      </c>
      <c r="C14624" s="1">
        <v>5.5178903693564501E-3</v>
      </c>
      <c r="D14624" s="1">
        <v>1.9680196801967999E-2</v>
      </c>
      <c r="E14624" s="1">
        <v>1.87020759304282E-4</v>
      </c>
      <c r="F14624" s="1">
        <v>6.3813650614224504E-3</v>
      </c>
    </row>
    <row r="14625" spans="1:6" x14ac:dyDescent="0.25">
      <c r="A14625" s="2" t="str">
        <f t="shared" si="520"/>
        <v>15940</v>
      </c>
      <c r="B14625" s="2" t="str">
        <f>"44706"</f>
        <v>44706</v>
      </c>
      <c r="C14625" s="1">
        <v>4.1731719314755E-2</v>
      </c>
      <c r="D14625" s="1">
        <v>3.92920595872625E-2</v>
      </c>
      <c r="E14625" s="1">
        <v>2.03852627641668E-2</v>
      </c>
      <c r="F14625" s="1">
        <v>4.10078788844929E-2</v>
      </c>
    </row>
    <row r="14626" spans="1:6" x14ac:dyDescent="0.25">
      <c r="A14626" s="2" t="str">
        <f t="shared" si="520"/>
        <v>15940</v>
      </c>
      <c r="B14626" s="2" t="str">
        <f>"44703"</f>
        <v>44703</v>
      </c>
      <c r="C14626" s="1">
        <v>2.4188891502876501E-2</v>
      </c>
      <c r="D14626" s="1">
        <v>1.230012300123E-2</v>
      </c>
      <c r="E14626" s="1">
        <v>6.95717224611931E-2</v>
      </c>
      <c r="F14626" s="1">
        <v>2.4520673014216701E-2</v>
      </c>
    </row>
    <row r="14627" spans="1:6" x14ac:dyDescent="0.25">
      <c r="A14627" s="2" t="str">
        <f t="shared" si="520"/>
        <v>15940</v>
      </c>
      <c r="B14627" s="2" t="str">
        <f>"44670"</f>
        <v>44670</v>
      </c>
      <c r="C14627" s="1">
        <v>0</v>
      </c>
      <c r="D14627" s="1">
        <v>0</v>
      </c>
      <c r="E14627" s="1">
        <v>1.87020759304282E-4</v>
      </c>
      <c r="F14627" s="1">
        <v>4.8307078436203203E-6</v>
      </c>
    </row>
    <row r="14628" spans="1:6" x14ac:dyDescent="0.25">
      <c r="A14628" s="2" t="str">
        <f t="shared" si="520"/>
        <v>15940</v>
      </c>
      <c r="B14628" s="2" t="str">
        <f>"44607"</f>
        <v>44607</v>
      </c>
      <c r="C14628" s="1">
        <v>0</v>
      </c>
      <c r="D14628" s="1">
        <v>0</v>
      </c>
      <c r="E14628" s="1">
        <v>1.87020759304282E-4</v>
      </c>
      <c r="F14628" s="1">
        <v>4.8307078436203203E-6</v>
      </c>
    </row>
    <row r="14629" spans="1:6" x14ac:dyDescent="0.25">
      <c r="A14629" s="2" t="str">
        <f t="shared" si="520"/>
        <v>15940</v>
      </c>
      <c r="B14629" s="2" t="str">
        <f>"43903"</f>
        <v>43903</v>
      </c>
      <c r="C14629" s="1">
        <v>2.1761447483799202E-3</v>
      </c>
      <c r="D14629" s="1">
        <v>4.1000410004100001E-4</v>
      </c>
      <c r="E14629" s="1">
        <v>0</v>
      </c>
      <c r="F14629" s="1">
        <v>1.99508233941519E-3</v>
      </c>
    </row>
    <row r="14630" spans="1:6" x14ac:dyDescent="0.25">
      <c r="A14630" s="2" t="str">
        <f t="shared" si="520"/>
        <v>15940</v>
      </c>
      <c r="B14630" s="2" t="str">
        <f>"44750"</f>
        <v>44750</v>
      </c>
      <c r="C14630" s="1">
        <v>0</v>
      </c>
      <c r="D14630" s="1">
        <v>0</v>
      </c>
      <c r="E14630" s="1">
        <v>1.87020759304282E-4</v>
      </c>
      <c r="F14630" s="1">
        <v>4.8307078436203203E-6</v>
      </c>
    </row>
    <row r="14631" spans="1:6" x14ac:dyDescent="0.25">
      <c r="A14631" s="2" t="str">
        <f t="shared" si="520"/>
        <v>15940</v>
      </c>
      <c r="B14631" s="2" t="str">
        <f>"44710"</f>
        <v>44710</v>
      </c>
      <c r="C14631" s="1">
        <v>2.2857540047479499E-2</v>
      </c>
      <c r="D14631" s="1">
        <v>9.2934262675959996E-3</v>
      </c>
      <c r="E14631" s="1">
        <v>1.6644847578081101E-2</v>
      </c>
      <c r="F14631" s="1">
        <v>2.1738185296291401E-2</v>
      </c>
    </row>
    <row r="14632" spans="1:6" x14ac:dyDescent="0.25">
      <c r="A14632" s="2" t="str">
        <f t="shared" si="520"/>
        <v>15940</v>
      </c>
      <c r="B14632" s="2" t="str">
        <f>"44615"</f>
        <v>44615</v>
      </c>
      <c r="C14632" s="1">
        <v>2.7391620506020401E-2</v>
      </c>
      <c r="D14632" s="1">
        <v>2.7060270602706001E-2</v>
      </c>
      <c r="E14632" s="1">
        <v>1.4587619225734001E-2</v>
      </c>
      <c r="F14632" s="1">
        <v>2.7037471800742899E-2</v>
      </c>
    </row>
    <row r="14633" spans="1:6" x14ac:dyDescent="0.25">
      <c r="A14633" s="2" t="str">
        <f t="shared" si="520"/>
        <v>15940</v>
      </c>
      <c r="B14633" s="2" t="str">
        <f>"44614"</f>
        <v>44614</v>
      </c>
      <c r="C14633" s="1">
        <v>2.8749705926385299E-2</v>
      </c>
      <c r="D14633" s="1">
        <v>2.2755227552275499E-2</v>
      </c>
      <c r="E14633" s="1">
        <v>1.30914531512997E-2</v>
      </c>
      <c r="F14633" s="1">
        <v>2.7921491336125401E-2</v>
      </c>
    </row>
    <row r="14634" spans="1:6" x14ac:dyDescent="0.25">
      <c r="A14634" s="2" t="str">
        <f t="shared" si="520"/>
        <v>15940</v>
      </c>
      <c r="B14634" s="2" t="str">
        <f>"44651"</f>
        <v>44651</v>
      </c>
      <c r="C14634" s="1">
        <v>1.90345830570823E-3</v>
      </c>
      <c r="D14634" s="1">
        <v>4.7833811671450002E-4</v>
      </c>
      <c r="E14634" s="1">
        <v>1.87020759304282E-4</v>
      </c>
      <c r="F14634" s="1">
        <v>1.75837765507779E-3</v>
      </c>
    </row>
    <row r="14635" spans="1:6" x14ac:dyDescent="0.25">
      <c r="A14635" s="2" t="str">
        <f t="shared" si="520"/>
        <v>15940</v>
      </c>
      <c r="B14635" s="2" t="str">
        <f>"44201"</f>
        <v>44201</v>
      </c>
      <c r="C14635" s="1">
        <v>2.7268644267168502E-4</v>
      </c>
      <c r="D14635" s="1">
        <v>0</v>
      </c>
      <c r="E14635" s="1">
        <v>0</v>
      </c>
      <c r="F14635" s="1">
        <v>2.4636610002463601E-4</v>
      </c>
    </row>
    <row r="14636" spans="1:6" x14ac:dyDescent="0.25">
      <c r="A14636" s="2" t="str">
        <f t="shared" si="520"/>
        <v>15940</v>
      </c>
      <c r="B14636" s="2" t="str">
        <f>"43908"</f>
        <v>43908</v>
      </c>
      <c r="C14636" s="1">
        <v>7.4855101909874407E-5</v>
      </c>
      <c r="D14636" s="1">
        <v>6.8334016673499997E-5</v>
      </c>
      <c r="E14636" s="1">
        <v>0</v>
      </c>
      <c r="F14636" s="1">
        <v>7.2460617654304798E-5</v>
      </c>
    </row>
    <row r="14637" spans="1:6" x14ac:dyDescent="0.25">
      <c r="A14637" s="2" t="str">
        <f t="shared" si="520"/>
        <v>15940</v>
      </c>
      <c r="B14637" s="2" t="str">
        <f>"44675"</f>
        <v>44675</v>
      </c>
      <c r="C14637" s="1">
        <v>4.1598049489915898E-3</v>
      </c>
      <c r="D14637" s="1">
        <v>8.8834221675550002E-4</v>
      </c>
      <c r="E14637" s="1">
        <v>1.87020759304282E-4</v>
      </c>
      <c r="F14637" s="1">
        <v>3.8259206121472899E-3</v>
      </c>
    </row>
    <row r="14638" spans="1:6" x14ac:dyDescent="0.25">
      <c r="A14638" s="2" t="str">
        <f t="shared" si="520"/>
        <v>15940</v>
      </c>
      <c r="B14638" s="2" t="str">
        <f>"44624"</f>
        <v>44624</v>
      </c>
      <c r="C14638" s="1">
        <v>4.2774343948499599E-5</v>
      </c>
      <c r="D14638" s="1">
        <v>0</v>
      </c>
      <c r="E14638" s="1">
        <v>0</v>
      </c>
      <c r="F14638" s="1">
        <v>3.8645662748962603E-5</v>
      </c>
    </row>
    <row r="14639" spans="1:6" x14ac:dyDescent="0.25">
      <c r="A14639" s="2" t="str">
        <f t="shared" si="520"/>
        <v>15940</v>
      </c>
      <c r="B14639" s="2" t="str">
        <f>"44630"</f>
        <v>44630</v>
      </c>
      <c r="C14639" s="1">
        <v>5.34679299356246E-6</v>
      </c>
      <c r="D14639" s="1">
        <v>0</v>
      </c>
      <c r="E14639" s="1">
        <v>1.87020759304282E-4</v>
      </c>
      <c r="F14639" s="1">
        <v>9.6614156872406507E-6</v>
      </c>
    </row>
    <row r="14640" spans="1:6" x14ac:dyDescent="0.25">
      <c r="A14640" s="2" t="str">
        <f t="shared" si="520"/>
        <v>15940</v>
      </c>
      <c r="B14640" s="2" t="str">
        <f>"44618"</f>
        <v>44618</v>
      </c>
      <c r="C14640" s="1">
        <v>1.10678614966742E-3</v>
      </c>
      <c r="D14640" s="1">
        <v>1.3666803334699999E-4</v>
      </c>
      <c r="E14640" s="1">
        <v>0</v>
      </c>
      <c r="F14640" s="1">
        <v>1.0096179393166401E-3</v>
      </c>
    </row>
    <row r="14641" spans="1:6" x14ac:dyDescent="0.25">
      <c r="A14641" s="2" t="str">
        <f t="shared" si="520"/>
        <v>15940</v>
      </c>
      <c r="B14641" s="2" t="str">
        <f>"44626"</f>
        <v>44626</v>
      </c>
      <c r="C14641" s="1">
        <v>7.23955771328357E-3</v>
      </c>
      <c r="D14641" s="1">
        <v>1.9133524668580001E-3</v>
      </c>
      <c r="E14641" s="1">
        <v>2.8053113895642398E-3</v>
      </c>
      <c r="F14641" s="1">
        <v>6.7484988575375899E-3</v>
      </c>
    </row>
    <row r="14642" spans="1:6" x14ac:dyDescent="0.25">
      <c r="A14642" s="2" t="str">
        <f t="shared" si="520"/>
        <v>15940</v>
      </c>
      <c r="B14642" s="2" t="str">
        <f>"44657"</f>
        <v>44657</v>
      </c>
      <c r="C14642" s="1">
        <v>2.06011934041961E-2</v>
      </c>
      <c r="D14642" s="1">
        <v>1.8860188601885999E-2</v>
      </c>
      <c r="E14642" s="1">
        <v>1.8515055171123899E-2</v>
      </c>
      <c r="F14642" s="1">
        <v>2.0424232762826702E-2</v>
      </c>
    </row>
    <row r="14643" spans="1:6" x14ac:dyDescent="0.25">
      <c r="A14643" s="2" t="str">
        <f t="shared" si="520"/>
        <v>15940</v>
      </c>
      <c r="B14643" s="2" t="str">
        <f>"44652"</f>
        <v>44652</v>
      </c>
      <c r="C14643" s="1">
        <v>5.34679299356246E-5</v>
      </c>
      <c r="D14643" s="1">
        <v>0</v>
      </c>
      <c r="E14643" s="1">
        <v>1.87020759304282E-4</v>
      </c>
      <c r="F14643" s="1">
        <v>5.31377862798235E-5</v>
      </c>
    </row>
    <row r="14644" spans="1:6" x14ac:dyDescent="0.25">
      <c r="A14644" s="2" t="str">
        <f t="shared" si="520"/>
        <v>15940</v>
      </c>
      <c r="B14644" s="2" t="str">
        <f>"44641"</f>
        <v>44641</v>
      </c>
      <c r="C14644" s="1">
        <v>4.6950189276471897E-2</v>
      </c>
      <c r="D14644" s="1">
        <v>2.4941916085827499E-2</v>
      </c>
      <c r="E14644" s="1">
        <v>3.0484383766598001E-2</v>
      </c>
      <c r="F14644" s="1">
        <v>4.4969059316261599E-2</v>
      </c>
    </row>
    <row r="14645" spans="1:6" x14ac:dyDescent="0.25">
      <c r="A14645" s="2" t="str">
        <f t="shared" si="520"/>
        <v>15940</v>
      </c>
      <c r="B14645" s="2" t="str">
        <f>"44718"</f>
        <v>44718</v>
      </c>
      <c r="C14645" s="1">
        <v>3.2016596445452003E-2</v>
      </c>
      <c r="D14645" s="1">
        <v>9.9425994259942502E-2</v>
      </c>
      <c r="E14645" s="1">
        <v>9.5380587245184195E-2</v>
      </c>
      <c r="F14645" s="1">
        <v>3.8418619480312402E-2</v>
      </c>
    </row>
    <row r="14646" spans="1:6" x14ac:dyDescent="0.25">
      <c r="A14646" s="2" t="str">
        <f t="shared" si="520"/>
        <v>15940</v>
      </c>
      <c r="B14646" s="2" t="str">
        <f>"44707"</f>
        <v>44707</v>
      </c>
      <c r="C14646" s="1">
        <v>2.5145967448724198E-2</v>
      </c>
      <c r="D14646" s="1">
        <v>4.0248735820691502E-2</v>
      </c>
      <c r="E14646" s="1">
        <v>2.73050308584252E-2</v>
      </c>
      <c r="F14646" s="1">
        <v>2.6269389253607299E-2</v>
      </c>
    </row>
    <row r="14647" spans="1:6" x14ac:dyDescent="0.25">
      <c r="A14647" s="2" t="str">
        <f t="shared" si="520"/>
        <v>15940</v>
      </c>
      <c r="B14647" s="2" t="str">
        <f>"44704"</f>
        <v>44704</v>
      </c>
      <c r="C14647" s="1">
        <v>1.01482131017815E-2</v>
      </c>
      <c r="D14647" s="1">
        <v>9.4300943009429997E-3</v>
      </c>
      <c r="E14647" s="1">
        <v>9.5380587245184195E-3</v>
      </c>
      <c r="F14647" s="1">
        <v>1.0081687269635599E-2</v>
      </c>
    </row>
    <row r="14648" spans="1:6" x14ac:dyDescent="0.25">
      <c r="A14648" s="2" t="str">
        <f t="shared" si="520"/>
        <v>15940</v>
      </c>
      <c r="B14648" s="2" t="str">
        <f>"44695"</f>
        <v>44695</v>
      </c>
      <c r="C14648" s="1">
        <v>1.6842397929721701E-3</v>
      </c>
      <c r="D14648" s="1">
        <v>4.7833811671450002E-4</v>
      </c>
      <c r="E14648" s="1">
        <v>0</v>
      </c>
      <c r="F14648" s="1">
        <v>1.5554879256457401E-3</v>
      </c>
    </row>
    <row r="14649" spans="1:6" x14ac:dyDescent="0.25">
      <c r="A14649" s="2" t="str">
        <f t="shared" si="520"/>
        <v>15940</v>
      </c>
      <c r="B14649" s="2" t="str">
        <f>"44669"</f>
        <v>44669</v>
      </c>
      <c r="C14649" s="1">
        <v>3.3417456209765299E-3</v>
      </c>
      <c r="D14649" s="1">
        <v>1.1616782834495E-3</v>
      </c>
      <c r="E14649" s="1">
        <v>7.4808303721713104E-4</v>
      </c>
      <c r="F14649" s="1">
        <v>3.1206372669787298E-3</v>
      </c>
    </row>
    <row r="14650" spans="1:6" x14ac:dyDescent="0.25">
      <c r="A14650" s="2" t="str">
        <f t="shared" si="520"/>
        <v>15940</v>
      </c>
      <c r="B14650" s="2" t="str">
        <f>"44645"</f>
        <v>44645</v>
      </c>
      <c r="C14650" s="1">
        <v>7.4855101909874407E-5</v>
      </c>
      <c r="D14650" s="1">
        <v>0</v>
      </c>
      <c r="E14650" s="1">
        <v>0</v>
      </c>
      <c r="F14650" s="1">
        <v>6.7629909810684499E-5</v>
      </c>
    </row>
    <row r="14651" spans="1:6" x14ac:dyDescent="0.25">
      <c r="A14651" s="2" t="str">
        <f t="shared" si="520"/>
        <v>15940</v>
      </c>
      <c r="B14651" s="2" t="str">
        <f>"44643"</f>
        <v>44643</v>
      </c>
      <c r="C14651" s="1">
        <v>4.6410163184122102E-3</v>
      </c>
      <c r="D14651" s="1">
        <v>1.9816864835314999E-3</v>
      </c>
      <c r="E14651" s="1">
        <v>1.87020759304282E-3</v>
      </c>
      <c r="F14651" s="1">
        <v>4.3814520141636304E-3</v>
      </c>
    </row>
    <row r="14652" spans="1:6" x14ac:dyDescent="0.25">
      <c r="A14652" s="2" t="str">
        <f t="shared" si="520"/>
        <v>15940</v>
      </c>
      <c r="B14652" s="2" t="str">
        <f>"44260"</f>
        <v>44260</v>
      </c>
      <c r="C14652" s="1">
        <v>1.6949333789593E-3</v>
      </c>
      <c r="D14652" s="1">
        <v>0</v>
      </c>
      <c r="E14652" s="1">
        <v>0</v>
      </c>
      <c r="F14652" s="1">
        <v>1.53133438642764E-3</v>
      </c>
    </row>
    <row r="14653" spans="1:6" x14ac:dyDescent="0.25">
      <c r="A14653" s="2" t="str">
        <f t="shared" si="520"/>
        <v>15940</v>
      </c>
      <c r="B14653" s="2" t="str">
        <f>"43986"</f>
        <v>43986</v>
      </c>
      <c r="C14653" s="1">
        <v>1.6575058280043599E-4</v>
      </c>
      <c r="D14653" s="1">
        <v>0</v>
      </c>
      <c r="E14653" s="1">
        <v>0</v>
      </c>
      <c r="F14653" s="1">
        <v>1.4975194315223E-4</v>
      </c>
    </row>
    <row r="14654" spans="1:6" x14ac:dyDescent="0.25">
      <c r="A14654" s="2" t="str">
        <f t="shared" ref="A14654:A14689" si="521">"15940"</f>
        <v>15940</v>
      </c>
      <c r="B14654" s="2" t="str">
        <f>"44735"</f>
        <v>44735</v>
      </c>
      <c r="C14654" s="1">
        <v>4.5019997005795896E-3</v>
      </c>
      <c r="D14654" s="1">
        <v>2.3370233702337002E-2</v>
      </c>
      <c r="E14654" s="1">
        <v>3.7404151860856498E-4</v>
      </c>
      <c r="F14654" s="1">
        <v>5.7292195025337002E-3</v>
      </c>
    </row>
    <row r="14655" spans="1:6" x14ac:dyDescent="0.25">
      <c r="A14655" s="2" t="str">
        <f t="shared" si="521"/>
        <v>15940</v>
      </c>
      <c r="B14655" s="2" t="str">
        <f>"44709"</f>
        <v>44709</v>
      </c>
      <c r="C14655" s="1">
        <v>4.8147870907029898E-2</v>
      </c>
      <c r="D14655" s="1">
        <v>3.3757004236709E-2</v>
      </c>
      <c r="E14655" s="1">
        <v>9.3510379652141304E-2</v>
      </c>
      <c r="F14655" s="1">
        <v>4.8302247728359601E-2</v>
      </c>
    </row>
    <row r="14656" spans="1:6" x14ac:dyDescent="0.25">
      <c r="A14656" s="2" t="str">
        <f t="shared" si="521"/>
        <v>15940</v>
      </c>
      <c r="B14656" s="2" t="str">
        <f>"44689"</f>
        <v>44689</v>
      </c>
      <c r="C14656" s="1">
        <v>2.9942040763949698E-4</v>
      </c>
      <c r="D14656" s="1">
        <v>6.1500615006149998E-4</v>
      </c>
      <c r="E14656" s="1">
        <v>3.7404151860856498E-4</v>
      </c>
      <c r="F14656" s="1">
        <v>3.2365742552256102E-4</v>
      </c>
    </row>
    <row r="14657" spans="1:6" x14ac:dyDescent="0.25">
      <c r="A14657" s="2" t="str">
        <f t="shared" si="521"/>
        <v>15940</v>
      </c>
      <c r="B14657" s="2" t="str">
        <f>"44639"</f>
        <v>44639</v>
      </c>
      <c r="C14657" s="1">
        <v>0</v>
      </c>
      <c r="D14657" s="1">
        <v>0</v>
      </c>
      <c r="E14657" s="1">
        <v>1.87020759304282E-4</v>
      </c>
      <c r="F14657" s="1">
        <v>4.8307078436203203E-6</v>
      </c>
    </row>
    <row r="14658" spans="1:6" x14ac:dyDescent="0.25">
      <c r="A14658" s="2" t="str">
        <f t="shared" si="521"/>
        <v>15940</v>
      </c>
      <c r="B14658" s="2" t="str">
        <f>"44634"</f>
        <v>44634</v>
      </c>
      <c r="C14658" s="1">
        <v>1.12817332164167E-3</v>
      </c>
      <c r="D14658" s="1">
        <v>2.7333606669399999E-4</v>
      </c>
      <c r="E14658" s="1">
        <v>0</v>
      </c>
      <c r="F14658" s="1">
        <v>1.03860218637837E-3</v>
      </c>
    </row>
    <row r="14659" spans="1:6" x14ac:dyDescent="0.25">
      <c r="A14659" s="2" t="str">
        <f t="shared" si="521"/>
        <v>15940</v>
      </c>
      <c r="B14659" s="2" t="str">
        <f>"44632"</f>
        <v>44632</v>
      </c>
      <c r="C14659" s="1">
        <v>2.0708129264067399E-2</v>
      </c>
      <c r="D14659" s="1">
        <v>2.6786934536012001E-2</v>
      </c>
      <c r="E14659" s="1">
        <v>2.4686740228165301E-2</v>
      </c>
      <c r="F14659" s="1">
        <v>2.1240622388398502E-2</v>
      </c>
    </row>
    <row r="14660" spans="1:6" x14ac:dyDescent="0.25">
      <c r="A14660" s="2" t="str">
        <f t="shared" si="521"/>
        <v>15940</v>
      </c>
      <c r="B14660" s="2" t="str">
        <f>"44608"</f>
        <v>44608</v>
      </c>
      <c r="C14660" s="1">
        <v>3.6411660286160301E-3</v>
      </c>
      <c r="D14660" s="1">
        <v>1.230012300123E-3</v>
      </c>
      <c r="E14660" s="1">
        <v>9.3510379652141302E-4</v>
      </c>
      <c r="F14660" s="1">
        <v>3.4008183219087001E-3</v>
      </c>
    </row>
    <row r="14661" spans="1:6" x14ac:dyDescent="0.25">
      <c r="A14661" s="2" t="str">
        <f t="shared" si="521"/>
        <v>15940</v>
      </c>
      <c r="B14661" s="2" t="str">
        <f>"44650"</f>
        <v>44650</v>
      </c>
      <c r="C14661" s="1">
        <v>0</v>
      </c>
      <c r="D14661" s="1">
        <v>0</v>
      </c>
      <c r="E14661" s="1">
        <v>1.87020759304282E-4</v>
      </c>
      <c r="F14661" s="1">
        <v>4.8307078436203203E-6</v>
      </c>
    </row>
    <row r="14662" spans="1:6" x14ac:dyDescent="0.25">
      <c r="A14662" s="2" t="str">
        <f t="shared" si="521"/>
        <v>15940</v>
      </c>
      <c r="B14662" s="2" t="str">
        <f>"44662"</f>
        <v>44662</v>
      </c>
      <c r="C14662" s="1">
        <v>2.12909297003657E-2</v>
      </c>
      <c r="D14662" s="1">
        <v>1.1138444717780501E-2</v>
      </c>
      <c r="E14662" s="1">
        <v>7.2938096128670202E-3</v>
      </c>
      <c r="F14662" s="1">
        <v>2.0211681617707401E-2</v>
      </c>
    </row>
    <row r="14663" spans="1:6" x14ac:dyDescent="0.25">
      <c r="A14663" s="2" t="str">
        <f t="shared" si="521"/>
        <v>15940</v>
      </c>
      <c r="B14663" s="2" t="str">
        <f>"43988"</f>
        <v>43988</v>
      </c>
      <c r="C14663" s="1">
        <v>1.3260046624034899E-3</v>
      </c>
      <c r="D14663" s="1">
        <v>3.416700833675E-4</v>
      </c>
      <c r="E14663" s="1">
        <v>1.87020759304282E-4</v>
      </c>
      <c r="F14663" s="1">
        <v>1.22699979227956E-3</v>
      </c>
    </row>
    <row r="14664" spans="1:6" x14ac:dyDescent="0.25">
      <c r="A14664" s="2" t="str">
        <f t="shared" si="521"/>
        <v>15940</v>
      </c>
      <c r="B14664" s="2" t="str">
        <f>"44799"</f>
        <v>44799</v>
      </c>
      <c r="C14664" s="1">
        <v>0</v>
      </c>
      <c r="D14664" s="1">
        <v>0</v>
      </c>
      <c r="E14664" s="1">
        <v>1.87020759304282E-4</v>
      </c>
      <c r="F14664" s="1">
        <v>4.8307078436203203E-6</v>
      </c>
    </row>
    <row r="14665" spans="1:6" x14ac:dyDescent="0.25">
      <c r="A14665" s="2" t="str">
        <f t="shared" si="521"/>
        <v>15940</v>
      </c>
      <c r="B14665" s="2" t="str">
        <f>"44720"</f>
        <v>44720</v>
      </c>
      <c r="C14665" s="1">
        <v>9.0874093718587498E-2</v>
      </c>
      <c r="D14665" s="1">
        <v>0.11780784474511399</v>
      </c>
      <c r="E14665" s="1">
        <v>0.12623901253038999</v>
      </c>
      <c r="F14665" s="1">
        <v>9.36915786270162E-2</v>
      </c>
    </row>
    <row r="14666" spans="1:6" x14ac:dyDescent="0.25">
      <c r="A14666" s="2" t="str">
        <f t="shared" si="521"/>
        <v>15940</v>
      </c>
      <c r="B14666" s="2" t="str">
        <f>"44680"</f>
        <v>44680</v>
      </c>
      <c r="C14666" s="1">
        <v>1.06935859871249E-5</v>
      </c>
      <c r="D14666" s="1">
        <v>0</v>
      </c>
      <c r="E14666" s="1">
        <v>0</v>
      </c>
      <c r="F14666" s="1">
        <v>9.6614156872406507E-6</v>
      </c>
    </row>
    <row r="14667" spans="1:6" x14ac:dyDescent="0.25">
      <c r="A14667" s="2" t="str">
        <f t="shared" si="521"/>
        <v>15940</v>
      </c>
      <c r="B14667" s="2" t="str">
        <f>"44688"</f>
        <v>44688</v>
      </c>
      <c r="C14667" s="1">
        <v>6.2824817674358904E-3</v>
      </c>
      <c r="D14667" s="1">
        <v>4.4417110837774998E-3</v>
      </c>
      <c r="E14667" s="1">
        <v>1.3091453151299699E-3</v>
      </c>
      <c r="F14667" s="1">
        <v>6.0238926809945397E-3</v>
      </c>
    </row>
    <row r="14668" spans="1:6" x14ac:dyDescent="0.25">
      <c r="A14668" s="2" t="str">
        <f t="shared" si="521"/>
        <v>15940</v>
      </c>
      <c r="B14668" s="2" t="str">
        <f>"44640"</f>
        <v>44640</v>
      </c>
      <c r="C14668" s="1">
        <v>2.4595247770387301E-4</v>
      </c>
      <c r="D14668" s="1">
        <v>0</v>
      </c>
      <c r="E14668" s="1">
        <v>1.87020759304282E-4</v>
      </c>
      <c r="F14668" s="1">
        <v>2.2704326865015501E-4</v>
      </c>
    </row>
    <row r="14669" spans="1:6" x14ac:dyDescent="0.25">
      <c r="A14669" s="2" t="str">
        <f t="shared" si="521"/>
        <v>15940</v>
      </c>
      <c r="B14669" s="2" t="str">
        <f>"44620"</f>
        <v>44620</v>
      </c>
      <c r="C14669" s="1">
        <v>3.49145582479628E-3</v>
      </c>
      <c r="D14669" s="1">
        <v>8.2000820008200001E-4</v>
      </c>
      <c r="E14669" s="1">
        <v>9.3510379652141302E-4</v>
      </c>
      <c r="F14669" s="1">
        <v>3.2365742552256101E-3</v>
      </c>
    </row>
    <row r="14670" spans="1:6" x14ac:dyDescent="0.25">
      <c r="A14670" s="2" t="str">
        <f t="shared" si="521"/>
        <v>15940</v>
      </c>
      <c r="B14670" s="2" t="str">
        <f>"44656"</f>
        <v>44656</v>
      </c>
      <c r="C14670" s="1">
        <v>3.2080757961374702E-4</v>
      </c>
      <c r="D14670" s="1">
        <v>6.8334016673499997E-5</v>
      </c>
      <c r="E14670" s="1">
        <v>0</v>
      </c>
      <c r="F14670" s="1">
        <v>2.94673178460839E-4</v>
      </c>
    </row>
    <row r="14671" spans="1:6" x14ac:dyDescent="0.25">
      <c r="A14671" s="2" t="str">
        <f t="shared" si="521"/>
        <v>15940</v>
      </c>
      <c r="B14671" s="2" t="str">
        <f>"44647"</f>
        <v>44647</v>
      </c>
      <c r="C14671" s="1">
        <v>4.4613640738285103E-2</v>
      </c>
      <c r="D14671" s="1">
        <v>2.7060270602706001E-2</v>
      </c>
      <c r="E14671" s="1">
        <v>2.2255470357209602E-2</v>
      </c>
      <c r="F14671" s="1">
        <v>4.2795240786632403E-2</v>
      </c>
    </row>
    <row r="14672" spans="1:6" x14ac:dyDescent="0.25">
      <c r="A14672" s="2" t="str">
        <f t="shared" si="521"/>
        <v>15940</v>
      </c>
      <c r="B14672" s="2" t="str">
        <f>"44427"</f>
        <v>44427</v>
      </c>
      <c r="C14672" s="1">
        <v>1.4329405222747299E-3</v>
      </c>
      <c r="D14672" s="1">
        <v>2.050020500205E-4</v>
      </c>
      <c r="E14672" s="1">
        <v>0</v>
      </c>
      <c r="F14672" s="1">
        <v>1.3091218256211E-3</v>
      </c>
    </row>
    <row r="14673" spans="1:6" x14ac:dyDescent="0.25">
      <c r="A14673" s="2" t="str">
        <f t="shared" si="521"/>
        <v>15940</v>
      </c>
      <c r="B14673" s="2" t="str">
        <f>"44601"</f>
        <v>44601</v>
      </c>
      <c r="C14673" s="1">
        <v>7.8020403362063395E-2</v>
      </c>
      <c r="D14673" s="1">
        <v>9.0952576192428497E-2</v>
      </c>
      <c r="E14673" s="1">
        <v>9.0331026743968507E-2</v>
      </c>
      <c r="F14673" s="1">
        <v>7.9252592882434997E-2</v>
      </c>
    </row>
    <row r="14674" spans="1:6" x14ac:dyDescent="0.25">
      <c r="A14674" s="2" t="str">
        <f t="shared" si="521"/>
        <v>15940</v>
      </c>
      <c r="B14674" s="2" t="str">
        <f>"44705"</f>
        <v>44705</v>
      </c>
      <c r="C14674" s="1">
        <v>4.37795410312894E-2</v>
      </c>
      <c r="D14674" s="1">
        <v>3.4645346453464503E-2</v>
      </c>
      <c r="E14674" s="1">
        <v>2.7492051617729499E-2</v>
      </c>
      <c r="F14674" s="1">
        <v>4.2713118753290903E-2</v>
      </c>
    </row>
    <row r="14675" spans="1:6" x14ac:dyDescent="0.25">
      <c r="A14675" s="2" t="str">
        <f t="shared" si="521"/>
        <v>15940</v>
      </c>
      <c r="B14675" s="2" t="str">
        <f>"44708"</f>
        <v>44708</v>
      </c>
      <c r="C14675" s="1">
        <v>6.7829415916333305E-2</v>
      </c>
      <c r="D14675" s="1">
        <v>7.30490638239715E-2</v>
      </c>
      <c r="E14675" s="1">
        <v>7.6678511314755907E-2</v>
      </c>
      <c r="F14675" s="1">
        <v>6.8426976604881895E-2</v>
      </c>
    </row>
    <row r="14676" spans="1:6" x14ac:dyDescent="0.25">
      <c r="A14676" s="2" t="str">
        <f t="shared" si="521"/>
        <v>15940</v>
      </c>
      <c r="B14676" s="2" t="str">
        <f>"44685"</f>
        <v>44685</v>
      </c>
      <c r="C14676" s="1">
        <v>3.1973822101503499E-2</v>
      </c>
      <c r="D14676" s="1">
        <v>2.60352603526035E-2</v>
      </c>
      <c r="E14676" s="1">
        <v>9.7250794838227E-3</v>
      </c>
      <c r="F14676" s="1">
        <v>3.0979329401137099E-2</v>
      </c>
    </row>
    <row r="14677" spans="1:6" x14ac:dyDescent="0.25">
      <c r="A14677" s="2" t="str">
        <f t="shared" si="521"/>
        <v>15940</v>
      </c>
      <c r="B14677" s="2" t="str">
        <f>"44612"</f>
        <v>44612</v>
      </c>
      <c r="C14677" s="1">
        <v>5.2398571336912097E-4</v>
      </c>
      <c r="D14677" s="1">
        <v>0</v>
      </c>
      <c r="E14677" s="1">
        <v>0</v>
      </c>
      <c r="F14677" s="1">
        <v>4.7340936867479099E-4</v>
      </c>
    </row>
    <row r="14678" spans="1:6" x14ac:dyDescent="0.25">
      <c r="A14678" s="2" t="str">
        <f t="shared" si="521"/>
        <v>15940</v>
      </c>
      <c r="B14678" s="2" t="str">
        <f>"44613"</f>
        <v>44613</v>
      </c>
      <c r="C14678" s="1">
        <v>4.4913061145924601E-3</v>
      </c>
      <c r="D14678" s="1">
        <v>3.6900369003690001E-3</v>
      </c>
      <c r="E14678" s="1">
        <v>9.3510379652141302E-4</v>
      </c>
      <c r="F14678" s="1">
        <v>4.3428063514146702E-3</v>
      </c>
    </row>
    <row r="14679" spans="1:6" x14ac:dyDescent="0.25">
      <c r="A14679" s="2" t="str">
        <f t="shared" si="521"/>
        <v>15940</v>
      </c>
      <c r="B14679" s="2" t="str">
        <f>"44648"</f>
        <v>44648</v>
      </c>
      <c r="C14679" s="1">
        <v>4.6035887674572701E-3</v>
      </c>
      <c r="D14679" s="1">
        <v>1.60584939182725E-2</v>
      </c>
      <c r="E14679" s="1">
        <v>3.7404151860856498E-4</v>
      </c>
      <c r="F14679" s="1">
        <v>5.30411721229511E-3</v>
      </c>
    </row>
    <row r="14680" spans="1:6" x14ac:dyDescent="0.25">
      <c r="A14680" s="2" t="str">
        <f t="shared" si="521"/>
        <v>15940</v>
      </c>
      <c r="B14680" s="2" t="str">
        <f>"44216"</f>
        <v>44216</v>
      </c>
      <c r="C14680" s="1">
        <v>1.36877900635199E-3</v>
      </c>
      <c r="D14680" s="1">
        <v>0</v>
      </c>
      <c r="E14680" s="1">
        <v>0</v>
      </c>
      <c r="F14680" s="1">
        <v>1.2366612079668E-3</v>
      </c>
    </row>
    <row r="14681" spans="1:6" x14ac:dyDescent="0.25">
      <c r="A14681" s="2" t="str">
        <f t="shared" si="521"/>
        <v>15940</v>
      </c>
      <c r="B14681" s="2" t="str">
        <f>"44714"</f>
        <v>44714</v>
      </c>
      <c r="C14681" s="1">
        <v>2.36221314455589E-2</v>
      </c>
      <c r="D14681" s="1">
        <v>1.2163454967883E-2</v>
      </c>
      <c r="E14681" s="1">
        <v>3.5346923508509397E-2</v>
      </c>
      <c r="F14681" s="1">
        <v>2.3114937031723199E-2</v>
      </c>
    </row>
    <row r="14682" spans="1:6" x14ac:dyDescent="0.25">
      <c r="A14682" s="2" t="str">
        <f t="shared" si="521"/>
        <v>15940</v>
      </c>
      <c r="B14682" s="2" t="str">
        <f>"44721"</f>
        <v>44721</v>
      </c>
      <c r="C14682" s="1">
        <v>3.1080907671578499E-2</v>
      </c>
      <c r="D14682" s="1">
        <v>1.1206778734454E-2</v>
      </c>
      <c r="E14682" s="1">
        <v>2.1133345801383902E-2</v>
      </c>
      <c r="F14682" s="1">
        <v>2.9419010767647701E-2</v>
      </c>
    </row>
    <row r="14683" spans="1:6" x14ac:dyDescent="0.25">
      <c r="A14683" s="2" t="str">
        <f t="shared" si="521"/>
        <v>15940</v>
      </c>
      <c r="B14683" s="2" t="str">
        <f>"44702"</f>
        <v>44702</v>
      </c>
      <c r="C14683" s="1">
        <v>3.6625532005902799E-3</v>
      </c>
      <c r="D14683" s="1">
        <v>5.1182178488451503E-2</v>
      </c>
      <c r="E14683" s="1">
        <v>2.2068449597905299E-2</v>
      </c>
      <c r="F14683" s="1">
        <v>7.4972585732987398E-3</v>
      </c>
    </row>
    <row r="14684" spans="1:6" x14ac:dyDescent="0.25">
      <c r="A14684" s="2" t="str">
        <f t="shared" si="521"/>
        <v>15940</v>
      </c>
      <c r="B14684" s="2" t="str">
        <f>"44666"</f>
        <v>44666</v>
      </c>
      <c r="C14684" s="1">
        <v>5.0634129649036498E-3</v>
      </c>
      <c r="D14684" s="1">
        <v>1.7083504168375E-3</v>
      </c>
      <c r="E14684" s="1">
        <v>9.3510379652141302E-4</v>
      </c>
      <c r="F14684" s="1">
        <v>4.7196015632170497E-3</v>
      </c>
    </row>
    <row r="14685" spans="1:6" x14ac:dyDescent="0.25">
      <c r="A14685" s="2" t="str">
        <f t="shared" si="521"/>
        <v>15940</v>
      </c>
      <c r="B14685" s="2" t="str">
        <f>"44625"</f>
        <v>44625</v>
      </c>
      <c r="C14685" s="1">
        <v>5.7745364330474499E-4</v>
      </c>
      <c r="D14685" s="1">
        <v>0</v>
      </c>
      <c r="E14685" s="1">
        <v>0</v>
      </c>
      <c r="F14685" s="1">
        <v>5.2171644711099501E-4</v>
      </c>
    </row>
    <row r="14686" spans="1:6" x14ac:dyDescent="0.25">
      <c r="A14686" s="2" t="str">
        <f t="shared" si="521"/>
        <v>15940</v>
      </c>
      <c r="B14686" s="2" t="str">
        <f>"44621"</f>
        <v>44621</v>
      </c>
      <c r="C14686" s="1">
        <v>1.6575058280043599E-4</v>
      </c>
      <c r="D14686" s="1">
        <v>1.3666803334699999E-4</v>
      </c>
      <c r="E14686" s="1">
        <v>0</v>
      </c>
      <c r="F14686" s="1">
        <v>1.5941335883947001E-4</v>
      </c>
    </row>
    <row r="14687" spans="1:6" x14ac:dyDescent="0.25">
      <c r="A14687" s="2" t="str">
        <f t="shared" si="521"/>
        <v>15940</v>
      </c>
      <c r="B14687" s="2" t="str">
        <f>"44646"</f>
        <v>44646</v>
      </c>
      <c r="C14687" s="1">
        <v>0.114073828517655</v>
      </c>
      <c r="D14687" s="1">
        <v>8.7809211425447495E-2</v>
      </c>
      <c r="E14687" s="1">
        <v>0.100804189265008</v>
      </c>
      <c r="F14687" s="1">
        <v>0.111874362950403</v>
      </c>
    </row>
    <row r="14688" spans="1:6" x14ac:dyDescent="0.25">
      <c r="A14688" s="2" t="str">
        <f t="shared" si="521"/>
        <v>15940</v>
      </c>
      <c r="B14688" s="2" t="str">
        <f>"44644"</f>
        <v>44644</v>
      </c>
      <c r="C14688" s="1">
        <v>1.1121329426609899E-2</v>
      </c>
      <c r="D14688" s="1">
        <v>3.8267049337160001E-3</v>
      </c>
      <c r="E14688" s="1">
        <v>3.5533944267813699E-3</v>
      </c>
      <c r="F14688" s="1">
        <v>1.0410175403001799E-2</v>
      </c>
    </row>
    <row r="14689" spans="1:6" x14ac:dyDescent="0.25">
      <c r="A14689" s="2" t="str">
        <f t="shared" si="521"/>
        <v>15940</v>
      </c>
      <c r="B14689" s="2" t="str">
        <f>"43945"</f>
        <v>43945</v>
      </c>
      <c r="C14689" s="1">
        <v>1.21372200953867E-3</v>
      </c>
      <c r="D14689" s="1">
        <v>4.1000410004100001E-4</v>
      </c>
      <c r="E14689" s="1">
        <v>0</v>
      </c>
      <c r="F14689" s="1">
        <v>1.1255549275635301E-3</v>
      </c>
    </row>
    <row r="14690" spans="1:6" x14ac:dyDescent="0.25">
      <c r="A14690" s="2" t="str">
        <f t="shared" ref="A14690:A14717" si="522">"41400"</f>
        <v>41400</v>
      </c>
      <c r="B14690" s="2" t="str">
        <f>"44634"</f>
        <v>44634</v>
      </c>
      <c r="C14690" s="1">
        <v>1.28508969067952E-2</v>
      </c>
      <c r="D14690" s="1">
        <v>3.6591740721379998E-3</v>
      </c>
      <c r="E14690" s="1">
        <v>1.2746972594008901E-3</v>
      </c>
      <c r="F14690" s="1">
        <v>1.18694908080454E-2</v>
      </c>
    </row>
    <row r="14691" spans="1:6" x14ac:dyDescent="0.25">
      <c r="A14691" s="2" t="str">
        <f t="shared" si="522"/>
        <v>41400</v>
      </c>
      <c r="B14691" s="2" t="str">
        <f>"44657"</f>
        <v>44657</v>
      </c>
      <c r="C14691" s="1">
        <v>1.6834879254688798E-2</v>
      </c>
      <c r="D14691" s="1">
        <v>3.92054364871928E-3</v>
      </c>
      <c r="E14691" s="1">
        <v>3.8240917782026698E-3</v>
      </c>
      <c r="F14691" s="1">
        <v>1.55499530741061E-2</v>
      </c>
    </row>
    <row r="14692" spans="1:6" x14ac:dyDescent="0.25">
      <c r="A14692" s="2" t="str">
        <f t="shared" si="522"/>
        <v>41400</v>
      </c>
      <c r="B14692" s="2" t="str">
        <f>"44427"</f>
        <v>44427</v>
      </c>
      <c r="C14692" s="1">
        <v>8.3152862338086806E-3</v>
      </c>
      <c r="D14692" s="1">
        <v>3.3978044955567102E-3</v>
      </c>
      <c r="E14692" s="1">
        <v>0</v>
      </c>
      <c r="F14692" s="1">
        <v>7.7289707587272901E-3</v>
      </c>
    </row>
    <row r="14693" spans="1:6" x14ac:dyDescent="0.25">
      <c r="A14693" s="2" t="str">
        <f t="shared" si="522"/>
        <v>41400</v>
      </c>
      <c r="B14693" s="2" t="str">
        <f>"43920"</f>
        <v>43920</v>
      </c>
      <c r="C14693" s="1">
        <v>0.22739345401054201</v>
      </c>
      <c r="D14693" s="1">
        <v>0.26215368531102901</v>
      </c>
      <c r="E14693" s="1">
        <v>0.24028043339706801</v>
      </c>
      <c r="F14693" s="1">
        <v>0.23021291474209099</v>
      </c>
    </row>
    <row r="14694" spans="1:6" x14ac:dyDescent="0.25">
      <c r="A14694" s="2" t="str">
        <f t="shared" si="522"/>
        <v>41400</v>
      </c>
      <c r="B14694" s="2" t="str">
        <f>"44460"</f>
        <v>44460</v>
      </c>
      <c r="C14694" s="1">
        <v>0.216769501082825</v>
      </c>
      <c r="D14694" s="1">
        <v>0.28567694720334502</v>
      </c>
      <c r="E14694" s="1">
        <v>0.43275971956660197</v>
      </c>
      <c r="F14694" s="1">
        <v>0.22785741889181199</v>
      </c>
    </row>
    <row r="14695" spans="1:6" x14ac:dyDescent="0.25">
      <c r="A14695" s="2" t="str">
        <f t="shared" si="522"/>
        <v>41400</v>
      </c>
      <c r="B14695" s="2" t="str">
        <f>"44432"</f>
        <v>44432</v>
      </c>
      <c r="C14695" s="1">
        <v>0.10164262656805401</v>
      </c>
      <c r="D14695" s="1">
        <v>9.5661265028750594E-2</v>
      </c>
      <c r="E14695" s="1">
        <v>8.2855321861057901E-2</v>
      </c>
      <c r="F14695" s="1">
        <v>0.10067904528808801</v>
      </c>
    </row>
    <row r="14696" spans="1:6" x14ac:dyDescent="0.25">
      <c r="A14696" s="2" t="str">
        <f t="shared" si="522"/>
        <v>41400</v>
      </c>
      <c r="B14696" s="2" t="str">
        <f>"43968"</f>
        <v>43968</v>
      </c>
      <c r="C14696" s="1">
        <v>7.17116822620847E-2</v>
      </c>
      <c r="D14696" s="1">
        <v>4.7046523784631401E-2</v>
      </c>
      <c r="E14696" s="1">
        <v>4.52517527087316E-2</v>
      </c>
      <c r="F14696" s="1">
        <v>6.9211092913269906E-2</v>
      </c>
    </row>
    <row r="14697" spans="1:6" x14ac:dyDescent="0.25">
      <c r="A14697" s="2" t="str">
        <f t="shared" si="522"/>
        <v>41400</v>
      </c>
      <c r="B14697" s="2" t="str">
        <f>"44492"</f>
        <v>44492</v>
      </c>
      <c r="C14697" s="1">
        <v>0</v>
      </c>
      <c r="D14697" s="1">
        <v>0</v>
      </c>
      <c r="E14697" s="1">
        <v>6.3734862970044601E-4</v>
      </c>
      <c r="F14697" s="1">
        <v>1.8402311330303E-5</v>
      </c>
    </row>
    <row r="14698" spans="1:6" x14ac:dyDescent="0.25">
      <c r="A14698" s="2" t="str">
        <f t="shared" si="522"/>
        <v>41400</v>
      </c>
      <c r="B14698" s="2" t="str">
        <f>"44454"</f>
        <v>44454</v>
      </c>
      <c r="C14698" s="1">
        <v>8.1722714828586602E-4</v>
      </c>
      <c r="D14698" s="1">
        <v>5.2273915316257099E-4</v>
      </c>
      <c r="E14698" s="1">
        <v>0</v>
      </c>
      <c r="F14698" s="1">
        <v>7.7289707587272904E-4</v>
      </c>
    </row>
    <row r="14699" spans="1:6" x14ac:dyDescent="0.25">
      <c r="A14699" s="2" t="str">
        <f t="shared" si="522"/>
        <v>41400</v>
      </c>
      <c r="B14699" s="2" t="str">
        <f>"44443"</f>
        <v>44443</v>
      </c>
      <c r="C14699" s="1">
        <v>6.7421239733583902E-4</v>
      </c>
      <c r="D14699" s="1">
        <v>0</v>
      </c>
      <c r="E14699" s="1">
        <v>0</v>
      </c>
      <c r="F14699" s="1">
        <v>6.0727627390000101E-4</v>
      </c>
    </row>
    <row r="14700" spans="1:6" x14ac:dyDescent="0.25">
      <c r="A14700" s="2" t="str">
        <f t="shared" si="522"/>
        <v>41400</v>
      </c>
      <c r="B14700" s="2" t="str">
        <f>"44415"</f>
        <v>44415</v>
      </c>
      <c r="C14700" s="1">
        <v>0</v>
      </c>
      <c r="D14700" s="1">
        <v>0</v>
      </c>
      <c r="E14700" s="1">
        <v>6.3734862970044601E-4</v>
      </c>
      <c r="F14700" s="1">
        <v>1.8402311330303E-5</v>
      </c>
    </row>
    <row r="14701" spans="1:6" x14ac:dyDescent="0.25">
      <c r="A14701" s="2" t="str">
        <f t="shared" si="522"/>
        <v>41400</v>
      </c>
      <c r="B14701" s="2" t="str">
        <f>"44408"</f>
        <v>44408</v>
      </c>
      <c r="C14701" s="1">
        <v>8.6564785682180304E-2</v>
      </c>
      <c r="D14701" s="1">
        <v>0.12310507056978499</v>
      </c>
      <c r="E14701" s="1">
        <v>8.7954110898661494E-2</v>
      </c>
      <c r="F14701" s="1">
        <v>8.9177600706648694E-2</v>
      </c>
    </row>
    <row r="14702" spans="1:6" x14ac:dyDescent="0.25">
      <c r="A14702" s="2" t="str">
        <f t="shared" si="522"/>
        <v>41400</v>
      </c>
      <c r="B14702" s="2" t="str">
        <f>"43962"</f>
        <v>43962</v>
      </c>
      <c r="C14702" s="1">
        <v>4.0861357414293298E-5</v>
      </c>
      <c r="D14702" s="1">
        <v>0</v>
      </c>
      <c r="E14702" s="1">
        <v>6.3734862970044601E-4</v>
      </c>
      <c r="F14702" s="1">
        <v>5.5206933990909203E-5</v>
      </c>
    </row>
    <row r="14703" spans="1:6" x14ac:dyDescent="0.25">
      <c r="A14703" s="2" t="str">
        <f t="shared" si="522"/>
        <v>41400</v>
      </c>
      <c r="B14703" s="2" t="str">
        <f>"44455"</f>
        <v>44455</v>
      </c>
      <c r="C14703" s="1">
        <v>1.4873534098802699E-2</v>
      </c>
      <c r="D14703" s="1">
        <v>5.2273915316257101E-3</v>
      </c>
      <c r="E14703" s="1">
        <v>7.0108349267049E-3</v>
      </c>
      <c r="F14703" s="1">
        <v>1.39673542997E-2</v>
      </c>
    </row>
    <row r="14704" spans="1:6" x14ac:dyDescent="0.25">
      <c r="A14704" s="2" t="str">
        <f t="shared" si="522"/>
        <v>41400</v>
      </c>
      <c r="B14704" s="2" t="str">
        <f>"44431"</f>
        <v>44431</v>
      </c>
      <c r="C14704" s="1">
        <v>4.2924855963715099E-2</v>
      </c>
      <c r="D14704" s="1">
        <v>3.3455305802404599E-2</v>
      </c>
      <c r="E14704" s="1">
        <v>1.21096239643084E-2</v>
      </c>
      <c r="F14704" s="1">
        <v>4.1368395870521303E-2</v>
      </c>
    </row>
    <row r="14705" spans="1:6" x14ac:dyDescent="0.25">
      <c r="A14705" s="2" t="str">
        <f t="shared" si="522"/>
        <v>41400</v>
      </c>
      <c r="B14705" s="2" t="str">
        <f>"44601"</f>
        <v>44601</v>
      </c>
      <c r="C14705" s="1">
        <v>1.23605606178237E-2</v>
      </c>
      <c r="D14705" s="1">
        <v>9.4093047569262893E-3</v>
      </c>
      <c r="E14705" s="1">
        <v>1.2746972594008901E-3</v>
      </c>
      <c r="F14705" s="1">
        <v>1.18326861853848E-2</v>
      </c>
    </row>
    <row r="14706" spans="1:6" x14ac:dyDescent="0.25">
      <c r="A14706" s="2" t="str">
        <f t="shared" si="522"/>
        <v>41400</v>
      </c>
      <c r="B14706" s="2" t="str">
        <f>"43945"</f>
        <v>43945</v>
      </c>
      <c r="C14706" s="1">
        <v>2.3903894087361498E-2</v>
      </c>
      <c r="D14706" s="1">
        <v>2.0125457396759E-2</v>
      </c>
      <c r="E14706" s="1">
        <v>1.9757807520713801E-2</v>
      </c>
      <c r="F14706" s="1">
        <v>2.3518153880127301E-2</v>
      </c>
    </row>
    <row r="14707" spans="1:6" x14ac:dyDescent="0.25">
      <c r="A14707" s="2" t="str">
        <f t="shared" si="522"/>
        <v>41400</v>
      </c>
      <c r="B14707" s="2" t="str">
        <f>"44493"</f>
        <v>44493</v>
      </c>
      <c r="C14707" s="1">
        <v>7.5593511216442597E-4</v>
      </c>
      <c r="D14707" s="1">
        <v>0</v>
      </c>
      <c r="E14707" s="1">
        <v>1.9120458891013299E-3</v>
      </c>
      <c r="F14707" s="1">
        <v>7.3609245321212304E-4</v>
      </c>
    </row>
    <row r="14708" spans="1:6" x14ac:dyDescent="0.25">
      <c r="A14708" s="2" t="str">
        <f t="shared" si="522"/>
        <v>41400</v>
      </c>
      <c r="B14708" s="2" t="str">
        <f>"44445"</f>
        <v>44445</v>
      </c>
      <c r="C14708" s="1">
        <v>2.9665345482776901E-2</v>
      </c>
      <c r="D14708" s="1">
        <v>8.6251960271824298E-3</v>
      </c>
      <c r="E14708" s="1">
        <v>1.7208413001912001E-2</v>
      </c>
      <c r="F14708" s="1">
        <v>2.78242947314182E-2</v>
      </c>
    </row>
    <row r="14709" spans="1:6" x14ac:dyDescent="0.25">
      <c r="A14709" s="2" t="str">
        <f t="shared" si="522"/>
        <v>41400</v>
      </c>
      <c r="B14709" s="2" t="str">
        <f>"44413"</f>
        <v>44413</v>
      </c>
      <c r="C14709" s="1">
        <v>6.8177174845748298E-2</v>
      </c>
      <c r="D14709" s="1">
        <v>7.8410872974385704E-2</v>
      </c>
      <c r="E14709" s="1">
        <v>3.1867431485022302E-2</v>
      </c>
      <c r="F14709" s="1">
        <v>6.7849321874827395E-2</v>
      </c>
    </row>
    <row r="14710" spans="1:6" x14ac:dyDescent="0.25">
      <c r="A14710" s="2" t="str">
        <f t="shared" si="522"/>
        <v>41400</v>
      </c>
      <c r="B14710" s="2" t="str">
        <f>"44665"</f>
        <v>44665</v>
      </c>
      <c r="C14710" s="1">
        <v>0</v>
      </c>
      <c r="D14710" s="1">
        <v>0</v>
      </c>
      <c r="E14710" s="1">
        <v>6.3734862970044601E-4</v>
      </c>
      <c r="F14710" s="1">
        <v>1.8402311330303E-5</v>
      </c>
    </row>
    <row r="14711" spans="1:6" x14ac:dyDescent="0.25">
      <c r="A14711" s="2" t="str">
        <f t="shared" si="522"/>
        <v>41400</v>
      </c>
      <c r="B14711" s="2" t="str">
        <f>"44625"</f>
        <v>44625</v>
      </c>
      <c r="C14711" s="1">
        <v>8.2131328402729499E-3</v>
      </c>
      <c r="D14711" s="1">
        <v>1.8295870360689999E-3</v>
      </c>
      <c r="E14711" s="1">
        <v>1.9120458891013299E-3</v>
      </c>
      <c r="F14711" s="1">
        <v>7.58175226808487E-3</v>
      </c>
    </row>
    <row r="14712" spans="1:6" x14ac:dyDescent="0.25">
      <c r="A14712" s="2" t="str">
        <f t="shared" si="522"/>
        <v>41400</v>
      </c>
      <c r="B14712" s="2" t="str">
        <f>"44423"</f>
        <v>44423</v>
      </c>
      <c r="C14712" s="1">
        <v>2.24533158991541E-2</v>
      </c>
      <c r="D14712" s="1">
        <v>6.5342394145321402E-3</v>
      </c>
      <c r="E14712" s="1">
        <v>3.1867431485022302E-3</v>
      </c>
      <c r="F14712" s="1">
        <v>2.0776209491912102E-2</v>
      </c>
    </row>
    <row r="14713" spans="1:6" x14ac:dyDescent="0.25">
      <c r="A14713" s="2" t="str">
        <f t="shared" si="522"/>
        <v>41400</v>
      </c>
      <c r="B14713" s="2" t="str">
        <f>"43930"</f>
        <v>43930</v>
      </c>
      <c r="C14713" s="1">
        <v>2.0839292281289502E-3</v>
      </c>
      <c r="D14713" s="1">
        <v>0</v>
      </c>
      <c r="E14713" s="1">
        <v>2.5493945188017801E-3</v>
      </c>
      <c r="F14713" s="1">
        <v>1.9506450010121201E-3</v>
      </c>
    </row>
    <row r="14714" spans="1:6" x14ac:dyDescent="0.25">
      <c r="A14714" s="2" t="str">
        <f t="shared" si="522"/>
        <v>41400</v>
      </c>
      <c r="B14714" s="2" t="str">
        <f>"44490"</f>
        <v>44490</v>
      </c>
      <c r="C14714" s="1">
        <v>2.6355575532219099E-3</v>
      </c>
      <c r="D14714" s="1">
        <v>1.04547830632514E-3</v>
      </c>
      <c r="E14714" s="1">
        <v>1.9120458891013299E-3</v>
      </c>
      <c r="F14714" s="1">
        <v>2.5027143409212102E-3</v>
      </c>
    </row>
    <row r="14715" spans="1:6" x14ac:dyDescent="0.25">
      <c r="A14715" s="2" t="str">
        <f t="shared" si="522"/>
        <v>41400</v>
      </c>
      <c r="B14715" s="2" t="str">
        <f>"44441"</f>
        <v>44441</v>
      </c>
      <c r="C14715" s="1">
        <v>1.4628365954317E-2</v>
      </c>
      <c r="D14715" s="1">
        <v>4.96602195504443E-3</v>
      </c>
      <c r="E14715" s="1">
        <v>1.9120458891013299E-3</v>
      </c>
      <c r="F14715" s="1">
        <v>1.3580905761763599E-2</v>
      </c>
    </row>
    <row r="14716" spans="1:6" x14ac:dyDescent="0.25">
      <c r="A14716" s="2" t="str">
        <f t="shared" si="522"/>
        <v>41400</v>
      </c>
      <c r="B14716" s="2" t="str">
        <f>"44609"</f>
        <v>44609</v>
      </c>
      <c r="C14716" s="1">
        <v>1.31777877661095E-2</v>
      </c>
      <c r="D14716" s="1">
        <v>5.2273915316257101E-3</v>
      </c>
      <c r="E14716" s="1">
        <v>6.3734862970044601E-4</v>
      </c>
      <c r="F14716" s="1">
        <v>1.2255939345981799E-2</v>
      </c>
    </row>
    <row r="14717" spans="1:6" x14ac:dyDescent="0.25">
      <c r="A14717" s="2" t="str">
        <f t="shared" si="522"/>
        <v>41400</v>
      </c>
      <c r="B14717" s="2" t="str">
        <f>"43932"</f>
        <v>43932</v>
      </c>
      <c r="C14717" s="1">
        <v>5.3119764638581203E-4</v>
      </c>
      <c r="D14717" s="1">
        <v>0</v>
      </c>
      <c r="E14717" s="1">
        <v>0</v>
      </c>
      <c r="F14717" s="1">
        <v>4.7846009458788001E-4</v>
      </c>
    </row>
    <row r="14718" spans="1:6" x14ac:dyDescent="0.25">
      <c r="A14718" s="2" t="str">
        <f t="shared" ref="A14718:A14749" si="523">"49660"</f>
        <v>49660</v>
      </c>
      <c r="B14718" s="2" t="str">
        <f>"16362"</f>
        <v>16362</v>
      </c>
      <c r="C14718" s="1">
        <v>1.67268834470761E-4</v>
      </c>
      <c r="D14718" s="1">
        <v>0</v>
      </c>
      <c r="E14718" s="1">
        <v>0</v>
      </c>
      <c r="F14718" s="1">
        <v>1.4824673527745201E-4</v>
      </c>
    </row>
    <row r="14719" spans="1:6" x14ac:dyDescent="0.25">
      <c r="A14719" s="2" t="str">
        <f t="shared" si="523"/>
        <v>49660</v>
      </c>
      <c r="B14719" s="2" t="str">
        <f>"16153"</f>
        <v>16153</v>
      </c>
      <c r="C14719" s="1">
        <v>3.64274350625213E-3</v>
      </c>
      <c r="D14719" s="1">
        <v>1.5142337976983601E-3</v>
      </c>
      <c r="E14719" s="1">
        <v>1.1397510082412699E-3</v>
      </c>
      <c r="F14719" s="1">
        <v>3.3866143081160102E-3</v>
      </c>
    </row>
    <row r="14720" spans="1:6" x14ac:dyDescent="0.25">
      <c r="A14720" s="2" t="str">
        <f t="shared" si="523"/>
        <v>49660</v>
      </c>
      <c r="B14720" s="2" t="str">
        <f>"16121"</f>
        <v>16121</v>
      </c>
      <c r="C14720" s="1">
        <v>9.7982366147761502E-3</v>
      </c>
      <c r="D14720" s="1">
        <v>8.6527645582763595E-3</v>
      </c>
      <c r="E14720" s="1">
        <v>2.45484832544274E-3</v>
      </c>
      <c r="F14720" s="1">
        <v>9.4350811074360493E-3</v>
      </c>
    </row>
    <row r="14721" spans="1:6" x14ac:dyDescent="0.25">
      <c r="A14721" s="2" t="str">
        <f t="shared" si="523"/>
        <v>49660</v>
      </c>
      <c r="B14721" s="2" t="str">
        <f>"16114"</f>
        <v>16114</v>
      </c>
      <c r="C14721" s="1">
        <v>1.01476426245595E-3</v>
      </c>
      <c r="D14721" s="1">
        <v>6.4895734187072696E-4</v>
      </c>
      <c r="E14721" s="1">
        <v>2.6301946344029398E-4</v>
      </c>
      <c r="F14721" s="1">
        <v>9.5866222146085605E-4</v>
      </c>
    </row>
    <row r="14722" spans="1:6" x14ac:dyDescent="0.25">
      <c r="A14722" s="2" t="str">
        <f t="shared" si="523"/>
        <v>49660</v>
      </c>
      <c r="B14722" s="2" t="str">
        <f>"16038"</f>
        <v>16038</v>
      </c>
      <c r="C14722" s="1">
        <v>3.7170852104613601E-6</v>
      </c>
      <c r="D14722" s="1">
        <v>0</v>
      </c>
      <c r="E14722" s="1">
        <v>0</v>
      </c>
      <c r="F14722" s="1">
        <v>3.2943718950544799E-6</v>
      </c>
    </row>
    <row r="14723" spans="1:6" x14ac:dyDescent="0.25">
      <c r="A14723" s="2" t="str">
        <f t="shared" si="523"/>
        <v>49660</v>
      </c>
      <c r="B14723" s="2" t="str">
        <f>"44491"</f>
        <v>44491</v>
      </c>
      <c r="C14723" s="1">
        <v>3.9363932378785804E-3</v>
      </c>
      <c r="D14723" s="1">
        <v>2.1631911395690899E-4</v>
      </c>
      <c r="E14723" s="1">
        <v>1.7534630896019599E-4</v>
      </c>
      <c r="F14723" s="1">
        <v>3.5118004401280801E-3</v>
      </c>
    </row>
    <row r="14724" spans="1:6" x14ac:dyDescent="0.25">
      <c r="A14724" s="2" t="str">
        <f t="shared" si="523"/>
        <v>49660</v>
      </c>
      <c r="B14724" s="2" t="str">
        <f>"44484"</f>
        <v>44484</v>
      </c>
      <c r="C14724" s="1">
        <v>4.0724385565814702E-2</v>
      </c>
      <c r="D14724" s="1">
        <v>3.8288483170372901E-2</v>
      </c>
      <c r="E14724" s="1">
        <v>2.8581448360512001E-2</v>
      </c>
      <c r="F14724" s="1">
        <v>4.0082622847127901E-2</v>
      </c>
    </row>
    <row r="14725" spans="1:6" x14ac:dyDescent="0.25">
      <c r="A14725" s="2" t="str">
        <f t="shared" si="523"/>
        <v>49660</v>
      </c>
      <c r="B14725" s="2" t="str">
        <f>"44471"</f>
        <v>44471</v>
      </c>
      <c r="C14725" s="1">
        <v>1.8945983317721501E-2</v>
      </c>
      <c r="D14725" s="1">
        <v>1.4450116812321501E-2</v>
      </c>
      <c r="E14725" s="1">
        <v>1.4290724180256001E-2</v>
      </c>
      <c r="F14725" s="1">
        <v>1.8428716380934799E-2</v>
      </c>
    </row>
    <row r="14726" spans="1:6" x14ac:dyDescent="0.25">
      <c r="A14726" s="2" t="str">
        <f t="shared" si="523"/>
        <v>49660</v>
      </c>
      <c r="B14726" s="2" t="str">
        <f>"44454"</f>
        <v>44454</v>
      </c>
      <c r="C14726" s="1">
        <v>1.42736072081716E-3</v>
      </c>
      <c r="D14726" s="1">
        <v>9.0854027861901805E-4</v>
      </c>
      <c r="E14726" s="1">
        <v>2.6301946344029398E-4</v>
      </c>
      <c r="F14726" s="1">
        <v>1.3441037331822299E-3</v>
      </c>
    </row>
    <row r="14727" spans="1:6" x14ac:dyDescent="0.25">
      <c r="A14727" s="2" t="str">
        <f t="shared" si="523"/>
        <v>49660</v>
      </c>
      <c r="B14727" s="2" t="str">
        <f>"44452"</f>
        <v>44452</v>
      </c>
      <c r="C14727" s="1">
        <v>6.89519306540583E-3</v>
      </c>
      <c r="D14727" s="1">
        <v>1.44068529895301E-2</v>
      </c>
      <c r="E14727" s="1">
        <v>2.98088725232333E-3</v>
      </c>
      <c r="F14727" s="1">
        <v>7.3200943508110704E-3</v>
      </c>
    </row>
    <row r="14728" spans="1:6" x14ac:dyDescent="0.25">
      <c r="A14728" s="2" t="str">
        <f t="shared" si="523"/>
        <v>49660</v>
      </c>
      <c r="B14728" s="2" t="str">
        <f>"44451"</f>
        <v>44451</v>
      </c>
      <c r="C14728" s="1">
        <v>5.0180650341228403E-3</v>
      </c>
      <c r="D14728" s="1">
        <v>5.8838798996279302E-3</v>
      </c>
      <c r="E14728" s="1">
        <v>1.1397510082412699E-3</v>
      </c>
      <c r="F14728" s="1">
        <v>4.9382634706866702E-3</v>
      </c>
    </row>
    <row r="14729" spans="1:6" x14ac:dyDescent="0.25">
      <c r="A14729" s="2" t="str">
        <f t="shared" si="523"/>
        <v>49660</v>
      </c>
      <c r="B14729" s="2" t="str">
        <f>"44483"</f>
        <v>44483</v>
      </c>
      <c r="C14729" s="1">
        <v>4.7422573115066001E-2</v>
      </c>
      <c r="D14729" s="1">
        <v>4.9839923855671799E-2</v>
      </c>
      <c r="E14729" s="1">
        <v>6.2423285989829901E-2</v>
      </c>
      <c r="F14729" s="1">
        <v>4.81703058494867E-2</v>
      </c>
    </row>
    <row r="14730" spans="1:6" x14ac:dyDescent="0.25">
      <c r="A14730" s="2" t="str">
        <f t="shared" si="523"/>
        <v>49660</v>
      </c>
      <c r="B14730" s="2" t="str">
        <f>"44609"</f>
        <v>44609</v>
      </c>
      <c r="C14730" s="1">
        <v>3.3565279450466102E-3</v>
      </c>
      <c r="D14730" s="1">
        <v>1.3844423293242101E-3</v>
      </c>
      <c r="E14730" s="1">
        <v>8.7673154480098097E-4</v>
      </c>
      <c r="F14730" s="1">
        <v>3.1131814408264899E-3</v>
      </c>
    </row>
    <row r="14731" spans="1:6" x14ac:dyDescent="0.25">
      <c r="A14731" s="2" t="str">
        <f t="shared" si="523"/>
        <v>49660</v>
      </c>
      <c r="B14731" s="2" t="str">
        <f>"44430"</f>
        <v>44430</v>
      </c>
      <c r="C14731" s="1">
        <v>5.9175996550544898E-3</v>
      </c>
      <c r="D14731" s="1">
        <v>2.07666349398632E-3</v>
      </c>
      <c r="E14731" s="1">
        <v>4.3836577240049E-4</v>
      </c>
      <c r="F14731" s="1">
        <v>5.4192417673646302E-3</v>
      </c>
    </row>
    <row r="14732" spans="1:6" x14ac:dyDescent="0.25">
      <c r="A14732" s="2" t="str">
        <f t="shared" si="523"/>
        <v>49660</v>
      </c>
      <c r="B14732" s="2" t="str">
        <f>"44514"</f>
        <v>44514</v>
      </c>
      <c r="C14732" s="1">
        <v>4.1646222698009099E-2</v>
      </c>
      <c r="D14732" s="1">
        <v>4.1836116639266202E-2</v>
      </c>
      <c r="E14732" s="1">
        <v>3.6121339645800402E-2</v>
      </c>
      <c r="F14732" s="1">
        <v>4.1453081555470603E-2</v>
      </c>
    </row>
    <row r="14733" spans="1:6" x14ac:dyDescent="0.25">
      <c r="A14733" s="2" t="str">
        <f t="shared" si="523"/>
        <v>49660</v>
      </c>
      <c r="B14733" s="2" t="str">
        <f>"44076"</f>
        <v>44076</v>
      </c>
      <c r="C14733" s="1">
        <v>8.9953462093164997E-4</v>
      </c>
      <c r="D14733" s="1">
        <v>0</v>
      </c>
      <c r="E14733" s="1">
        <v>1.7534630896019599E-4</v>
      </c>
      <c r="F14733" s="1">
        <v>8.0382674239329495E-4</v>
      </c>
    </row>
    <row r="14734" spans="1:6" x14ac:dyDescent="0.25">
      <c r="A14734" s="2" t="str">
        <f t="shared" si="523"/>
        <v>49660</v>
      </c>
      <c r="B14734" s="2" t="str">
        <f>"44062"</f>
        <v>44062</v>
      </c>
      <c r="C14734" s="1">
        <v>2.7209063740577101E-3</v>
      </c>
      <c r="D14734" s="1">
        <v>7.7874881024487305E-4</v>
      </c>
      <c r="E14734" s="1">
        <v>1.7534630896019599E-4</v>
      </c>
      <c r="F14734" s="1">
        <v>2.4773676650809702E-3</v>
      </c>
    </row>
    <row r="14735" spans="1:6" x14ac:dyDescent="0.25">
      <c r="A14735" s="2" t="str">
        <f t="shared" si="523"/>
        <v>49660</v>
      </c>
      <c r="B14735" s="2" t="str">
        <f>"16311"</f>
        <v>16311</v>
      </c>
      <c r="C14735" s="1">
        <v>9.2555421740487902E-4</v>
      </c>
      <c r="D14735" s="1">
        <v>2.5958293674829098E-4</v>
      </c>
      <c r="E14735" s="1">
        <v>2.6301946344029398E-4</v>
      </c>
      <c r="F14735" s="1">
        <v>8.4994794892405802E-4</v>
      </c>
    </row>
    <row r="14736" spans="1:6" x14ac:dyDescent="0.25">
      <c r="A14736" s="2" t="str">
        <f t="shared" si="523"/>
        <v>49660</v>
      </c>
      <c r="B14736" s="2" t="str">
        <f>"16342"</f>
        <v>16342</v>
      </c>
      <c r="C14736" s="1">
        <v>8.9210045051072703E-5</v>
      </c>
      <c r="D14736" s="1">
        <v>0</v>
      </c>
      <c r="E14736" s="1">
        <v>0</v>
      </c>
      <c r="F14736" s="1">
        <v>7.9064925481307706E-5</v>
      </c>
    </row>
    <row r="14737" spans="1:6" x14ac:dyDescent="0.25">
      <c r="A14737" s="2" t="str">
        <f t="shared" si="523"/>
        <v>49660</v>
      </c>
      <c r="B14737" s="2" t="str">
        <f>"16125"</f>
        <v>16125</v>
      </c>
      <c r="C14737" s="1">
        <v>3.0030331415317298E-2</v>
      </c>
      <c r="D14737" s="1">
        <v>2.6520723371117001E-2</v>
      </c>
      <c r="E14737" s="1">
        <v>2.2093634928984699E-2</v>
      </c>
      <c r="F14737" s="1">
        <v>2.9464862229367301E-2</v>
      </c>
    </row>
    <row r="14738" spans="1:6" x14ac:dyDescent="0.25">
      <c r="A14738" s="2" t="str">
        <f t="shared" si="523"/>
        <v>49660</v>
      </c>
      <c r="B14738" s="2" t="str">
        <f>"16134"</f>
        <v>16134</v>
      </c>
      <c r="C14738" s="1">
        <v>2.4978812614300299E-3</v>
      </c>
      <c r="D14738" s="1">
        <v>1.0815955697845399E-3</v>
      </c>
      <c r="E14738" s="1">
        <v>1.22742416272137E-3</v>
      </c>
      <c r="F14738" s="1">
        <v>2.34229841738374E-3</v>
      </c>
    </row>
    <row r="14739" spans="1:6" x14ac:dyDescent="0.25">
      <c r="A14739" s="2" t="str">
        <f t="shared" si="523"/>
        <v>49660</v>
      </c>
      <c r="B14739" s="2" t="str">
        <f>"44501"</f>
        <v>44501</v>
      </c>
      <c r="C14739" s="1">
        <v>5.0069137784914501E-3</v>
      </c>
      <c r="D14739" s="1">
        <v>1.5921086787228499E-2</v>
      </c>
      <c r="E14739" s="1">
        <v>8.7673154480098105E-5</v>
      </c>
      <c r="F14739" s="1">
        <v>5.6531421719134998E-3</v>
      </c>
    </row>
    <row r="14740" spans="1:6" x14ac:dyDescent="0.25">
      <c r="A14740" s="2" t="str">
        <f t="shared" si="523"/>
        <v>49660</v>
      </c>
      <c r="B14740" s="2" t="str">
        <f>"44439"</f>
        <v>44439</v>
      </c>
      <c r="C14740" s="1">
        <v>0</v>
      </c>
      <c r="D14740" s="1">
        <v>0</v>
      </c>
      <c r="E14740" s="1">
        <v>8.7673154480098105E-5</v>
      </c>
      <c r="F14740" s="1">
        <v>3.2943718950544799E-6</v>
      </c>
    </row>
    <row r="14741" spans="1:6" x14ac:dyDescent="0.25">
      <c r="A14741" s="2" t="str">
        <f t="shared" si="523"/>
        <v>49660</v>
      </c>
      <c r="B14741" s="2" t="str">
        <f>"44440"</f>
        <v>44440</v>
      </c>
      <c r="C14741" s="1">
        <v>8.1738703778045391E-3</v>
      </c>
      <c r="D14741" s="1">
        <v>5.7108246084624E-3</v>
      </c>
      <c r="E14741" s="1">
        <v>6.4001402770471599E-3</v>
      </c>
      <c r="F14741" s="1">
        <v>7.9196700357109899E-3</v>
      </c>
    </row>
    <row r="14742" spans="1:6" x14ac:dyDescent="0.25">
      <c r="A14742" s="2" t="str">
        <f t="shared" si="523"/>
        <v>49660</v>
      </c>
      <c r="B14742" s="2" t="str">
        <f>"44412"</f>
        <v>44412</v>
      </c>
      <c r="C14742" s="1">
        <v>8.7351502445842005E-4</v>
      </c>
      <c r="D14742" s="1">
        <v>1.68728908886389E-3</v>
      </c>
      <c r="E14742" s="1">
        <v>1.7534630896019599E-4</v>
      </c>
      <c r="F14742" s="1">
        <v>9.0924664303503803E-4</v>
      </c>
    </row>
    <row r="14743" spans="1:6" x14ac:dyDescent="0.25">
      <c r="A14743" s="2" t="str">
        <f t="shared" si="523"/>
        <v>49660</v>
      </c>
      <c r="B14743" s="2" t="str">
        <f>"44410"</f>
        <v>44410</v>
      </c>
      <c r="C14743" s="1">
        <v>2.9517373656273601E-2</v>
      </c>
      <c r="D14743" s="1">
        <v>1.9944622306827E-2</v>
      </c>
      <c r="E14743" s="1">
        <v>5.16394879887778E-2</v>
      </c>
      <c r="F14743" s="1">
        <v>2.9619697708434901E-2</v>
      </c>
    </row>
    <row r="14744" spans="1:6" x14ac:dyDescent="0.25">
      <c r="A14744" s="2" t="str">
        <f t="shared" si="523"/>
        <v>49660</v>
      </c>
      <c r="B14744" s="2" t="str">
        <f>"44511"</f>
        <v>44511</v>
      </c>
      <c r="C14744" s="1">
        <v>3.7981176680494201E-2</v>
      </c>
      <c r="D14744" s="1">
        <v>1.51423379769836E-2</v>
      </c>
      <c r="E14744" s="1">
        <v>2.2356654392424999E-2</v>
      </c>
      <c r="F14744" s="1">
        <v>3.5654987020174701E-2</v>
      </c>
    </row>
    <row r="14745" spans="1:6" x14ac:dyDescent="0.25">
      <c r="A14745" s="2" t="str">
        <f t="shared" si="523"/>
        <v>49660</v>
      </c>
      <c r="B14745" s="2" t="str">
        <f>"16150"</f>
        <v>16150</v>
      </c>
      <c r="C14745" s="1">
        <v>1.2738451016251E-2</v>
      </c>
      <c r="D14745" s="1">
        <v>7.8307519252401106E-3</v>
      </c>
      <c r="E14745" s="1">
        <v>1.0082412765211201E-2</v>
      </c>
      <c r="F14745" s="1">
        <v>1.22649465652878E-2</v>
      </c>
    </row>
    <row r="14746" spans="1:6" x14ac:dyDescent="0.25">
      <c r="A14746" s="2" t="str">
        <f t="shared" si="523"/>
        <v>49660</v>
      </c>
      <c r="B14746" s="2" t="str">
        <f>"16146"</f>
        <v>16146</v>
      </c>
      <c r="C14746" s="1">
        <v>2.9532241997115499E-2</v>
      </c>
      <c r="D14746" s="1">
        <v>3.3140088258198398E-2</v>
      </c>
      <c r="E14746" s="1">
        <v>5.3217604769419599E-2</v>
      </c>
      <c r="F14746" s="1">
        <v>3.0696957318117699E-2</v>
      </c>
    </row>
    <row r="14747" spans="1:6" x14ac:dyDescent="0.25">
      <c r="A14747" s="2" t="str">
        <f t="shared" si="523"/>
        <v>49660</v>
      </c>
      <c r="B14747" s="2" t="str">
        <f>"16130"</f>
        <v>16130</v>
      </c>
      <c r="C14747" s="1">
        <v>3.3528108598361501E-3</v>
      </c>
      <c r="D14747" s="1">
        <v>1.55749762048974E-3</v>
      </c>
      <c r="E14747" s="1">
        <v>1.31509731720147E-3</v>
      </c>
      <c r="F14747" s="1">
        <v>3.1395364159869199E-3</v>
      </c>
    </row>
    <row r="14748" spans="1:6" x14ac:dyDescent="0.25">
      <c r="A14748" s="2" t="str">
        <f t="shared" si="523"/>
        <v>49660</v>
      </c>
      <c r="B14748" s="2" t="str">
        <f>"16127"</f>
        <v>16127</v>
      </c>
      <c r="C14748" s="1">
        <v>2.1659455521358301E-2</v>
      </c>
      <c r="D14748" s="1">
        <v>2.2626979319892701E-2</v>
      </c>
      <c r="E14748" s="1">
        <v>2.7792389970191098E-2</v>
      </c>
      <c r="F14748" s="1">
        <v>2.1963577424328199E-2</v>
      </c>
    </row>
    <row r="14749" spans="1:6" x14ac:dyDescent="0.25">
      <c r="A14749" s="2" t="str">
        <f t="shared" si="523"/>
        <v>49660</v>
      </c>
      <c r="B14749" s="2" t="str">
        <f>"44510"</f>
        <v>44510</v>
      </c>
      <c r="C14749" s="1">
        <v>4.4158972300281001E-3</v>
      </c>
      <c r="D14749" s="1">
        <v>4.2398546335554203E-3</v>
      </c>
      <c r="E14749" s="1">
        <v>1.6657899351218599E-3</v>
      </c>
      <c r="F14749" s="1">
        <v>4.2991553230461001E-3</v>
      </c>
    </row>
    <row r="14750" spans="1:6" x14ac:dyDescent="0.25">
      <c r="A14750" s="2" t="str">
        <f t="shared" ref="A14750:A14781" si="524">"49660"</f>
        <v>49660</v>
      </c>
      <c r="B14750" s="2" t="str">
        <f>"44509"</f>
        <v>44509</v>
      </c>
      <c r="C14750" s="1">
        <v>2.12394248925762E-2</v>
      </c>
      <c r="D14750" s="1">
        <v>2.1848230509647799E-2</v>
      </c>
      <c r="E14750" s="1">
        <v>1.13975100824127E-2</v>
      </c>
      <c r="F14750" s="1">
        <v>2.09159671617009E-2</v>
      </c>
    </row>
    <row r="14751" spans="1:6" x14ac:dyDescent="0.25">
      <c r="A14751" s="2" t="str">
        <f t="shared" si="524"/>
        <v>49660</v>
      </c>
      <c r="B14751" s="2" t="str">
        <f>"44416"</f>
        <v>44416</v>
      </c>
      <c r="C14751" s="1">
        <v>0</v>
      </c>
      <c r="D14751" s="1">
        <v>0</v>
      </c>
      <c r="E14751" s="1">
        <v>8.7673154480098105E-5</v>
      </c>
      <c r="F14751" s="1">
        <v>3.2943718950544799E-6</v>
      </c>
    </row>
    <row r="14752" spans="1:6" x14ac:dyDescent="0.25">
      <c r="A14752" s="2" t="str">
        <f t="shared" si="524"/>
        <v>49660</v>
      </c>
      <c r="B14752" s="2" t="str">
        <f>"44436"</f>
        <v>44436</v>
      </c>
      <c r="C14752" s="1">
        <v>6.6089775042002998E-3</v>
      </c>
      <c r="D14752" s="1">
        <v>4.8888119754261399E-3</v>
      </c>
      <c r="E14752" s="1">
        <v>2.1918288620024502E-3</v>
      </c>
      <c r="F14752" s="1">
        <v>6.3120165509244E-3</v>
      </c>
    </row>
    <row r="14753" spans="1:6" x14ac:dyDescent="0.25">
      <c r="A14753" s="2" t="str">
        <f t="shared" si="524"/>
        <v>49660</v>
      </c>
      <c r="B14753" s="2" t="str">
        <f>"44403"</f>
        <v>44403</v>
      </c>
      <c r="C14753" s="1">
        <v>7.24831616039966E-3</v>
      </c>
      <c r="D14753" s="1">
        <v>5.2781863805485803E-3</v>
      </c>
      <c r="E14753" s="1">
        <v>2.54252147992284E-3</v>
      </c>
      <c r="F14753" s="1">
        <v>6.9214753515094802E-3</v>
      </c>
    </row>
    <row r="14754" spans="1:6" x14ac:dyDescent="0.25">
      <c r="A14754" s="2" t="str">
        <f t="shared" si="524"/>
        <v>49660</v>
      </c>
      <c r="B14754" s="2" t="str">
        <f>"16151"</f>
        <v>16151</v>
      </c>
      <c r="C14754" s="1">
        <v>3.7170852104613601E-6</v>
      </c>
      <c r="D14754" s="1">
        <v>0</v>
      </c>
      <c r="E14754" s="1">
        <v>8.7673154480098105E-5</v>
      </c>
      <c r="F14754" s="1">
        <v>6.5887437901089699E-6</v>
      </c>
    </row>
    <row r="14755" spans="1:6" x14ac:dyDescent="0.25">
      <c r="A14755" s="2" t="str">
        <f t="shared" si="524"/>
        <v>49660</v>
      </c>
      <c r="B14755" s="2" t="str">
        <f>"16110"</f>
        <v>16110</v>
      </c>
      <c r="C14755" s="1">
        <v>1.3753215278706999E-4</v>
      </c>
      <c r="D14755" s="1">
        <v>0</v>
      </c>
      <c r="E14755" s="1">
        <v>0</v>
      </c>
      <c r="F14755" s="1">
        <v>1.21891760117016E-4</v>
      </c>
    </row>
    <row r="14756" spans="1:6" x14ac:dyDescent="0.25">
      <c r="A14756" s="2" t="str">
        <f t="shared" si="524"/>
        <v>49660</v>
      </c>
      <c r="B14756" s="2" t="str">
        <f>"16133"</f>
        <v>16133</v>
      </c>
      <c r="C14756" s="1">
        <v>2.5945254769020299E-3</v>
      </c>
      <c r="D14756" s="1">
        <v>1.55749762048974E-3</v>
      </c>
      <c r="E14756" s="1">
        <v>4.3836577240049E-4</v>
      </c>
      <c r="F14756" s="1">
        <v>2.4345408304452601E-3</v>
      </c>
    </row>
    <row r="14757" spans="1:6" x14ac:dyDescent="0.25">
      <c r="A14757" s="2" t="str">
        <f t="shared" si="524"/>
        <v>49660</v>
      </c>
      <c r="B14757" s="2" t="str">
        <f>"44507"</f>
        <v>44507</v>
      </c>
      <c r="C14757" s="1">
        <v>1.1039743075070199E-2</v>
      </c>
      <c r="D14757" s="1">
        <v>1.3930950938824901E-2</v>
      </c>
      <c r="E14757" s="1">
        <v>6.57548658600736E-3</v>
      </c>
      <c r="F14757" s="1">
        <v>1.10921501706484E-2</v>
      </c>
    </row>
    <row r="14758" spans="1:6" x14ac:dyDescent="0.25">
      <c r="A14758" s="2" t="str">
        <f t="shared" si="524"/>
        <v>49660</v>
      </c>
      <c r="B14758" s="2" t="str">
        <f>"44506"</f>
        <v>44506</v>
      </c>
      <c r="C14758" s="1">
        <v>4.7318494729173101E-3</v>
      </c>
      <c r="D14758" s="1">
        <v>5.3214502033399596E-3</v>
      </c>
      <c r="E14758" s="1">
        <v>1.6657899351218599E-3</v>
      </c>
      <c r="F14758" s="1">
        <v>4.6615362315020996E-3</v>
      </c>
    </row>
    <row r="14759" spans="1:6" x14ac:dyDescent="0.25">
      <c r="A14759" s="2" t="str">
        <f t="shared" si="524"/>
        <v>49660</v>
      </c>
      <c r="B14759" s="2" t="str">
        <f>"44504"</f>
        <v>44504</v>
      </c>
      <c r="C14759" s="1">
        <v>8.4563688537995993E-3</v>
      </c>
      <c r="D14759" s="1">
        <v>6.4030457731245102E-3</v>
      </c>
      <c r="E14759" s="1">
        <v>1.8323689286340501E-2</v>
      </c>
      <c r="F14759" s="1">
        <v>8.6707868277834093E-3</v>
      </c>
    </row>
    <row r="14760" spans="1:6" x14ac:dyDescent="0.25">
      <c r="A14760" s="2" t="str">
        <f t="shared" si="524"/>
        <v>49660</v>
      </c>
      <c r="B14760" s="2" t="str">
        <f>"44449"</f>
        <v>44449</v>
      </c>
      <c r="C14760" s="1">
        <v>1.02219843287687E-3</v>
      </c>
      <c r="D14760" s="1">
        <v>4.7590205070520002E-4</v>
      </c>
      <c r="E14760" s="1">
        <v>8.7673154480098105E-5</v>
      </c>
      <c r="F14760" s="1">
        <v>9.4548473388063803E-4</v>
      </c>
    </row>
    <row r="14761" spans="1:6" x14ac:dyDescent="0.25">
      <c r="A14761" s="2" t="str">
        <f t="shared" si="524"/>
        <v>49660</v>
      </c>
      <c r="B14761" s="2" t="str">
        <f>"44444"</f>
        <v>44444</v>
      </c>
      <c r="C14761" s="1">
        <v>1.65521804421844E-2</v>
      </c>
      <c r="D14761" s="1">
        <v>1.2892619191831701E-2</v>
      </c>
      <c r="E14761" s="1">
        <v>3.2877432930036803E-2</v>
      </c>
      <c r="F14761" s="1">
        <v>1.68869503340493E-2</v>
      </c>
    </row>
    <row r="14762" spans="1:6" x14ac:dyDescent="0.25">
      <c r="A14762" s="2" t="str">
        <f t="shared" si="524"/>
        <v>49660</v>
      </c>
      <c r="B14762" s="2" t="str">
        <f>"44672"</f>
        <v>44672</v>
      </c>
      <c r="C14762" s="1">
        <v>9.8316903816703001E-3</v>
      </c>
      <c r="D14762" s="1">
        <v>6.4895734187072696E-3</v>
      </c>
      <c r="E14762" s="1">
        <v>4.8220234964054002E-3</v>
      </c>
      <c r="F14762" s="1">
        <v>9.3889599009052901E-3</v>
      </c>
    </row>
    <row r="14763" spans="1:6" x14ac:dyDescent="0.25">
      <c r="A14763" s="2" t="str">
        <f t="shared" si="524"/>
        <v>49660</v>
      </c>
      <c r="B14763" s="2" t="str">
        <f>"44420"</f>
        <v>44420</v>
      </c>
      <c r="C14763" s="1">
        <v>2.8651292802236099E-2</v>
      </c>
      <c r="D14763" s="1">
        <v>2.8683914510686099E-2</v>
      </c>
      <c r="E14763" s="1">
        <v>2.6564965807469702E-2</v>
      </c>
      <c r="F14763" s="1">
        <v>2.85753818177026E-2</v>
      </c>
    </row>
    <row r="14764" spans="1:6" x14ac:dyDescent="0.25">
      <c r="A14764" s="2" t="str">
        <f t="shared" si="524"/>
        <v>49660</v>
      </c>
      <c r="B14764" s="2" t="str">
        <f>"44404"</f>
        <v>44404</v>
      </c>
      <c r="C14764" s="1">
        <v>2.3380465973801899E-3</v>
      </c>
      <c r="D14764" s="1">
        <v>3.4611058233105399E-4</v>
      </c>
      <c r="E14764" s="1">
        <v>2.6301946344029398E-4</v>
      </c>
      <c r="F14764" s="1">
        <v>2.1083980128348699E-3</v>
      </c>
    </row>
    <row r="14765" spans="1:6" x14ac:dyDescent="0.25">
      <c r="A14765" s="2" t="str">
        <f t="shared" si="524"/>
        <v>49660</v>
      </c>
      <c r="B14765" s="2" t="str">
        <f>"44601"</f>
        <v>44601</v>
      </c>
      <c r="C14765" s="1">
        <v>2.5313350283241798E-3</v>
      </c>
      <c r="D14765" s="1">
        <v>2.6390931902742902E-3</v>
      </c>
      <c r="E14765" s="1">
        <v>1.7534630896019599E-4</v>
      </c>
      <c r="F14765" s="1">
        <v>2.4510126899205298E-3</v>
      </c>
    </row>
    <row r="14766" spans="1:6" x14ac:dyDescent="0.25">
      <c r="A14766" s="2" t="str">
        <f t="shared" si="524"/>
        <v>49660</v>
      </c>
      <c r="B14766" s="2" t="str">
        <f>"16154"</f>
        <v>16154</v>
      </c>
      <c r="C14766" s="1">
        <v>5.0069137784914501E-3</v>
      </c>
      <c r="D14766" s="1">
        <v>1.94687202561218E-3</v>
      </c>
      <c r="E14766" s="1">
        <v>2.2795020164825498E-3</v>
      </c>
      <c r="F14766" s="1">
        <v>4.6714193471872603E-3</v>
      </c>
    </row>
    <row r="14767" spans="1:6" x14ac:dyDescent="0.25">
      <c r="A14767" s="2" t="str">
        <f t="shared" si="524"/>
        <v>49660</v>
      </c>
      <c r="B14767" s="2" t="str">
        <f>"16142"</f>
        <v>16142</v>
      </c>
      <c r="C14767" s="1">
        <v>3.5721188872533702E-3</v>
      </c>
      <c r="D14767" s="1">
        <v>9.0854027861901805E-4</v>
      </c>
      <c r="E14767" s="1">
        <v>1.5781167806417601E-3</v>
      </c>
      <c r="F14767" s="1">
        <v>3.2943718950544801E-3</v>
      </c>
    </row>
    <row r="14768" spans="1:6" x14ac:dyDescent="0.25">
      <c r="A14768" s="2" t="str">
        <f t="shared" si="524"/>
        <v>49660</v>
      </c>
      <c r="B14768" s="2" t="str">
        <f>"16137"</f>
        <v>16137</v>
      </c>
      <c r="C14768" s="1">
        <v>2.0555481213851302E-2</v>
      </c>
      <c r="D14768" s="1">
        <v>1.9814830838452799E-2</v>
      </c>
      <c r="E14768" s="1">
        <v>1.29756268630545E-2</v>
      </c>
      <c r="F14768" s="1">
        <v>2.02142659480543E-2</v>
      </c>
    </row>
    <row r="14769" spans="1:6" x14ac:dyDescent="0.25">
      <c r="A14769" s="2" t="str">
        <f t="shared" si="524"/>
        <v>49660</v>
      </c>
      <c r="B14769" s="2" t="str">
        <f>"16113"</f>
        <v>16113</v>
      </c>
      <c r="C14769" s="1">
        <v>0</v>
      </c>
      <c r="D14769" s="1">
        <v>0</v>
      </c>
      <c r="E14769" s="1">
        <v>1.7534630896019599E-4</v>
      </c>
      <c r="F14769" s="1">
        <v>6.5887437901089699E-6</v>
      </c>
    </row>
    <row r="14770" spans="1:6" x14ac:dyDescent="0.25">
      <c r="A14770" s="2" t="str">
        <f t="shared" si="524"/>
        <v>49660</v>
      </c>
      <c r="B14770" s="2" t="str">
        <f>"44470"</f>
        <v>44470</v>
      </c>
      <c r="C14770" s="1">
        <v>5.84697503605572E-3</v>
      </c>
      <c r="D14770" s="1">
        <v>1.1248593925759201E-3</v>
      </c>
      <c r="E14770" s="1">
        <v>6.1371208136068705E-4</v>
      </c>
      <c r="F14770" s="1">
        <v>5.2907612634575003E-3</v>
      </c>
    </row>
    <row r="14771" spans="1:6" x14ac:dyDescent="0.25">
      <c r="A14771" s="2" t="str">
        <f t="shared" si="524"/>
        <v>49660</v>
      </c>
      <c r="B14771" s="2" t="str">
        <f>"44473"</f>
        <v>44473</v>
      </c>
      <c r="C14771" s="1">
        <v>7.2892040977147301E-3</v>
      </c>
      <c r="D14771" s="1">
        <v>5.1483949121744303E-3</v>
      </c>
      <c r="E14771" s="1">
        <v>7.7152375942486397E-3</v>
      </c>
      <c r="F14771" s="1">
        <v>7.1421982684781301E-3</v>
      </c>
    </row>
    <row r="14772" spans="1:6" x14ac:dyDescent="0.25">
      <c r="A14772" s="2" t="str">
        <f t="shared" si="524"/>
        <v>49660</v>
      </c>
      <c r="B14772" s="2" t="str">
        <f>"44619"</f>
        <v>44619</v>
      </c>
      <c r="C14772" s="1">
        <v>0</v>
      </c>
      <c r="D14772" s="1">
        <v>0</v>
      </c>
      <c r="E14772" s="1">
        <v>8.7673154480098105E-5</v>
      </c>
      <c r="F14772" s="1">
        <v>3.2943718950544799E-6</v>
      </c>
    </row>
    <row r="14773" spans="1:6" x14ac:dyDescent="0.25">
      <c r="A14773" s="2" t="str">
        <f t="shared" si="524"/>
        <v>49660</v>
      </c>
      <c r="B14773" s="2" t="str">
        <f>"44424"</f>
        <v>44424</v>
      </c>
      <c r="C14773" s="1">
        <v>7.4341704209227202E-6</v>
      </c>
      <c r="D14773" s="1">
        <v>0</v>
      </c>
      <c r="E14773" s="1">
        <v>8.7673154480098105E-5</v>
      </c>
      <c r="F14773" s="1">
        <v>9.8831156851634599E-6</v>
      </c>
    </row>
    <row r="14774" spans="1:6" x14ac:dyDescent="0.25">
      <c r="A14774" s="2" t="str">
        <f t="shared" si="524"/>
        <v>49660</v>
      </c>
      <c r="B14774" s="2" t="str">
        <f>"44408"</f>
        <v>44408</v>
      </c>
      <c r="C14774" s="1">
        <v>3.9847153456145801E-3</v>
      </c>
      <c r="D14774" s="1">
        <v>4.1533269879726496E-3</v>
      </c>
      <c r="E14774" s="1">
        <v>5.2603892688058904E-4</v>
      </c>
      <c r="F14774" s="1">
        <v>3.8675926047939601E-3</v>
      </c>
    </row>
    <row r="14775" spans="1:6" x14ac:dyDescent="0.25">
      <c r="A14775" s="2" t="str">
        <f t="shared" si="524"/>
        <v>49660</v>
      </c>
      <c r="B14775" s="2" t="str">
        <f>"44405"</f>
        <v>44405</v>
      </c>
      <c r="C14775" s="1">
        <v>1.4760545370742E-2</v>
      </c>
      <c r="D14775" s="1">
        <v>5.9271437224193103E-3</v>
      </c>
      <c r="E14775" s="1">
        <v>6.7508328949675601E-3</v>
      </c>
      <c r="F14775" s="1">
        <v>1.3786946380803E-2</v>
      </c>
    </row>
    <row r="14776" spans="1:6" x14ac:dyDescent="0.25">
      <c r="A14776" s="2" t="str">
        <f t="shared" si="524"/>
        <v>49660</v>
      </c>
      <c r="B14776" s="2" t="str">
        <f>"44402"</f>
        <v>44402</v>
      </c>
      <c r="C14776" s="1">
        <v>5.0552358862274499E-3</v>
      </c>
      <c r="D14776" s="1">
        <v>1.3844423293242101E-3</v>
      </c>
      <c r="E14776" s="1">
        <v>1.1397510082412699E-3</v>
      </c>
      <c r="F14776" s="1">
        <v>4.6285925125515498E-3</v>
      </c>
    </row>
    <row r="14777" spans="1:6" x14ac:dyDescent="0.25">
      <c r="A14777" s="2" t="str">
        <f t="shared" si="524"/>
        <v>49660</v>
      </c>
      <c r="B14777" s="2" t="str">
        <f>"44401"</f>
        <v>44401</v>
      </c>
      <c r="C14777" s="1">
        <v>4.5757318940779302E-3</v>
      </c>
      <c r="D14777" s="1">
        <v>1.2546508609500701E-3</v>
      </c>
      <c r="E14777" s="1">
        <v>9.6440469928107996E-4</v>
      </c>
      <c r="F14777" s="1">
        <v>4.18714667861425E-3</v>
      </c>
    </row>
    <row r="14778" spans="1:6" x14ac:dyDescent="0.25">
      <c r="A14778" s="2" t="str">
        <f t="shared" si="524"/>
        <v>49660</v>
      </c>
      <c r="B14778" s="2" t="str">
        <f>"44288"</f>
        <v>44288</v>
      </c>
      <c r="C14778" s="1">
        <v>1.15229641524302E-4</v>
      </c>
      <c r="D14778" s="1">
        <v>4.3263822791381803E-5</v>
      </c>
      <c r="E14778" s="1">
        <v>0</v>
      </c>
      <c r="F14778" s="1">
        <v>1.05419900641743E-4</v>
      </c>
    </row>
    <row r="14779" spans="1:6" x14ac:dyDescent="0.25">
      <c r="A14779" s="2" t="str">
        <f t="shared" si="524"/>
        <v>49660</v>
      </c>
      <c r="B14779" s="2" t="str">
        <f>"44231"</f>
        <v>44231</v>
      </c>
      <c r="C14779" s="1">
        <v>2.9736681683690901E-5</v>
      </c>
      <c r="D14779" s="1">
        <v>0</v>
      </c>
      <c r="E14779" s="1">
        <v>0</v>
      </c>
      <c r="F14779" s="1">
        <v>2.63549751604359E-5</v>
      </c>
    </row>
    <row r="14780" spans="1:6" x14ac:dyDescent="0.25">
      <c r="A14780" s="2" t="str">
        <f t="shared" si="524"/>
        <v>49660</v>
      </c>
      <c r="B14780" s="2" t="str">
        <f>"16314"</f>
        <v>16314</v>
      </c>
      <c r="C14780" s="1">
        <v>6.5420699704119999E-4</v>
      </c>
      <c r="D14780" s="1">
        <v>8.6527645582763605E-5</v>
      </c>
      <c r="E14780" s="1">
        <v>0</v>
      </c>
      <c r="F14780" s="1">
        <v>5.8639819731969901E-4</v>
      </c>
    </row>
    <row r="14781" spans="1:6" x14ac:dyDescent="0.25">
      <c r="A14781" s="2" t="str">
        <f t="shared" si="524"/>
        <v>49660</v>
      </c>
      <c r="B14781" s="2" t="str">
        <f>"16159"</f>
        <v>16159</v>
      </c>
      <c r="C14781" s="1">
        <v>7.2520332456101197E-3</v>
      </c>
      <c r="D14781" s="1">
        <v>3.6774249372674502E-3</v>
      </c>
      <c r="E14781" s="1">
        <v>1.13975100824127E-2</v>
      </c>
      <c r="F14781" s="1">
        <v>7.1356095246880198E-3</v>
      </c>
    </row>
    <row r="14782" spans="1:6" x14ac:dyDescent="0.25">
      <c r="A14782" s="2" t="str">
        <f t="shared" ref="A14782:A14814" si="525">"49660"</f>
        <v>49660</v>
      </c>
      <c r="B14782" s="2" t="str">
        <f>"16124"</f>
        <v>16124</v>
      </c>
      <c r="C14782" s="1">
        <v>2.5536375395869499E-3</v>
      </c>
      <c r="D14782" s="1">
        <v>7.7874881024487305E-4</v>
      </c>
      <c r="E14782" s="1">
        <v>2.6301946344029398E-4</v>
      </c>
      <c r="F14782" s="1">
        <v>2.3324153016985702E-3</v>
      </c>
    </row>
    <row r="14783" spans="1:6" x14ac:dyDescent="0.25">
      <c r="A14783" s="2" t="str">
        <f t="shared" si="525"/>
        <v>49660</v>
      </c>
      <c r="B14783" s="2" t="str">
        <f>"16057"</f>
        <v>16057</v>
      </c>
      <c r="C14783" s="1">
        <v>1.9700551615445201E-4</v>
      </c>
      <c r="D14783" s="1">
        <v>1.7305529116552699E-4</v>
      </c>
      <c r="E14783" s="1">
        <v>0</v>
      </c>
      <c r="F14783" s="1">
        <v>1.8777919801810501E-4</v>
      </c>
    </row>
    <row r="14784" spans="1:6" x14ac:dyDescent="0.25">
      <c r="A14784" s="2" t="str">
        <f t="shared" si="525"/>
        <v>49660</v>
      </c>
      <c r="B14784" s="2" t="str">
        <f>"44490"</f>
        <v>44490</v>
      </c>
      <c r="C14784" s="1">
        <v>7.5456829772365698E-4</v>
      </c>
      <c r="D14784" s="1">
        <v>3.8937440512243598E-4</v>
      </c>
      <c r="E14784" s="1">
        <v>1.4027704716815699E-3</v>
      </c>
      <c r="F14784" s="1">
        <v>7.5111679207242297E-4</v>
      </c>
    </row>
    <row r="14785" spans="1:6" x14ac:dyDescent="0.25">
      <c r="A14785" s="2" t="str">
        <f t="shared" si="525"/>
        <v>49660</v>
      </c>
      <c r="B14785" s="2" t="str">
        <f>"44502"</f>
        <v>44502</v>
      </c>
      <c r="C14785" s="1">
        <v>1.8306644661522199E-2</v>
      </c>
      <c r="D14785" s="1">
        <v>2.8078220991606801E-2</v>
      </c>
      <c r="E14785" s="1">
        <v>9.4687006838505994E-3</v>
      </c>
      <c r="F14785" s="1">
        <v>1.87186211076996E-2</v>
      </c>
    </row>
    <row r="14786" spans="1:6" x14ac:dyDescent="0.25">
      <c r="A14786" s="2" t="str">
        <f t="shared" si="525"/>
        <v>49660</v>
      </c>
      <c r="B14786" s="2" t="str">
        <f>"44460"</f>
        <v>44460</v>
      </c>
      <c r="C14786" s="1">
        <v>7.5531171476574902E-3</v>
      </c>
      <c r="D14786" s="1">
        <v>5.19165873496582E-3</v>
      </c>
      <c r="E14786" s="1">
        <v>1.49044362616166E-3</v>
      </c>
      <c r="F14786" s="1">
        <v>7.1454926403731796E-3</v>
      </c>
    </row>
    <row r="14787" spans="1:6" x14ac:dyDescent="0.25">
      <c r="A14787" s="2" t="str">
        <f t="shared" si="525"/>
        <v>49660</v>
      </c>
      <c r="B14787" s="2" t="str">
        <f>"44450"</f>
        <v>44450</v>
      </c>
      <c r="C14787" s="1">
        <v>2.7617943113727901E-3</v>
      </c>
      <c r="D14787" s="1">
        <v>7.3548498745349105E-4</v>
      </c>
      <c r="E14787" s="1">
        <v>6.1371208136068705E-4</v>
      </c>
      <c r="F14787" s="1">
        <v>2.5267832435067901E-3</v>
      </c>
    </row>
    <row r="14788" spans="1:6" x14ac:dyDescent="0.25">
      <c r="A14788" s="2" t="str">
        <f t="shared" si="525"/>
        <v>49660</v>
      </c>
      <c r="B14788" s="2" t="str">
        <f>"44438"</f>
        <v>44438</v>
      </c>
      <c r="C14788" s="1">
        <v>8.9953462093164994E-3</v>
      </c>
      <c r="D14788" s="1">
        <v>5.4945054945054897E-3</v>
      </c>
      <c r="E14788" s="1">
        <v>5.2603892688058897E-3</v>
      </c>
      <c r="F14788" s="1">
        <v>8.5884275304070508E-3</v>
      </c>
    </row>
    <row r="14789" spans="1:6" x14ac:dyDescent="0.25">
      <c r="A14789" s="2" t="str">
        <f t="shared" si="525"/>
        <v>49660</v>
      </c>
      <c r="B14789" s="2" t="str">
        <f>"44418"</f>
        <v>44418</v>
      </c>
      <c r="C14789" s="1">
        <v>2.3380465973801899E-3</v>
      </c>
      <c r="D14789" s="1">
        <v>3.4611058233105399E-4</v>
      </c>
      <c r="E14789" s="1">
        <v>1.7534630896019599E-4</v>
      </c>
      <c r="F14789" s="1">
        <v>2.10510364093981E-3</v>
      </c>
    </row>
    <row r="14790" spans="1:6" x14ac:dyDescent="0.25">
      <c r="A14790" s="2" t="str">
        <f t="shared" si="525"/>
        <v>49660</v>
      </c>
      <c r="B14790" s="2" t="str">
        <f>"44417"</f>
        <v>44417</v>
      </c>
      <c r="C14790" s="1">
        <v>2.5685058804288002E-3</v>
      </c>
      <c r="D14790" s="1">
        <v>6.4895734187072696E-4</v>
      </c>
      <c r="E14790" s="1">
        <v>2.6301946344029398E-4</v>
      </c>
      <c r="F14790" s="1">
        <v>2.3357096735936301E-3</v>
      </c>
    </row>
    <row r="14791" spans="1:6" x14ac:dyDescent="0.25">
      <c r="A14791" s="2" t="str">
        <f t="shared" si="525"/>
        <v>49660</v>
      </c>
      <c r="B14791" s="2" t="str">
        <f>"16161"</f>
        <v>16161</v>
      </c>
      <c r="C14791" s="1">
        <v>3.7170852104613601E-6</v>
      </c>
      <c r="D14791" s="1">
        <v>0</v>
      </c>
      <c r="E14791" s="1">
        <v>6.1371208136068705E-4</v>
      </c>
      <c r="F14791" s="1">
        <v>2.63549751604359E-5</v>
      </c>
    </row>
    <row r="14792" spans="1:6" x14ac:dyDescent="0.25">
      <c r="A14792" s="2" t="str">
        <f t="shared" si="525"/>
        <v>49660</v>
      </c>
      <c r="B14792" s="2" t="str">
        <f>"16143"</f>
        <v>16143</v>
      </c>
      <c r="C14792" s="1">
        <v>9.5900798429903204E-4</v>
      </c>
      <c r="D14792" s="1">
        <v>1.7305529116552699E-4</v>
      </c>
      <c r="E14792" s="1">
        <v>3.5069261792039199E-4</v>
      </c>
      <c r="F14792" s="1">
        <v>8.7630292408449396E-4</v>
      </c>
    </row>
    <row r="14793" spans="1:6" x14ac:dyDescent="0.25">
      <c r="A14793" s="2" t="str">
        <f t="shared" si="525"/>
        <v>49660</v>
      </c>
      <c r="B14793" s="2" t="str">
        <f>"44505"</f>
        <v>44505</v>
      </c>
      <c r="C14793" s="1">
        <v>3.2803276982321501E-2</v>
      </c>
      <c r="D14793" s="1">
        <v>4.2398546335554198E-2</v>
      </c>
      <c r="E14793" s="1">
        <v>4.5677713484131098E-2</v>
      </c>
      <c r="F14793" s="1">
        <v>3.4017684188332599E-2</v>
      </c>
    </row>
    <row r="14794" spans="1:6" x14ac:dyDescent="0.25">
      <c r="A14794" s="2" t="str">
        <f t="shared" si="525"/>
        <v>49660</v>
      </c>
      <c r="B14794" s="2" t="str">
        <f>"44485"</f>
        <v>44485</v>
      </c>
      <c r="C14794" s="1">
        <v>3.0323981146943801E-2</v>
      </c>
      <c r="D14794" s="1">
        <v>1.6570044129099199E-2</v>
      </c>
      <c r="E14794" s="1">
        <v>2.5512887953708499E-2</v>
      </c>
      <c r="F14794" s="1">
        <v>2.90958925771212E-2</v>
      </c>
    </row>
    <row r="14795" spans="1:6" x14ac:dyDescent="0.25">
      <c r="A14795" s="2" t="str">
        <f t="shared" si="525"/>
        <v>49660</v>
      </c>
      <c r="B14795" s="2" t="str">
        <f>"44453"</f>
        <v>44453</v>
      </c>
      <c r="C14795" s="1">
        <v>0</v>
      </c>
      <c r="D14795" s="1">
        <v>0</v>
      </c>
      <c r="E14795" s="1">
        <v>8.7673154480098105E-5</v>
      </c>
      <c r="F14795" s="1">
        <v>3.2943718950544799E-6</v>
      </c>
    </row>
    <row r="14796" spans="1:6" x14ac:dyDescent="0.25">
      <c r="A14796" s="2" t="str">
        <f t="shared" si="525"/>
        <v>49660</v>
      </c>
      <c r="B14796" s="2" t="str">
        <f>"44481"</f>
        <v>44481</v>
      </c>
      <c r="C14796" s="1">
        <v>1.8299210491101201E-2</v>
      </c>
      <c r="D14796" s="1">
        <v>2.71264168901964E-2</v>
      </c>
      <c r="E14796" s="1">
        <v>1.0783798001051999E-2</v>
      </c>
      <c r="F14796" s="1">
        <v>1.8688971760644098E-2</v>
      </c>
    </row>
    <row r="14797" spans="1:6" x14ac:dyDescent="0.25">
      <c r="A14797" s="2" t="str">
        <f t="shared" si="525"/>
        <v>49660</v>
      </c>
      <c r="B14797" s="2" t="str">
        <f>"44446"</f>
        <v>44446</v>
      </c>
      <c r="C14797" s="1">
        <v>4.0646326776395E-2</v>
      </c>
      <c r="D14797" s="1">
        <v>4.8022843298433801E-2</v>
      </c>
      <c r="E14797" s="1">
        <v>4.2872172540768E-2</v>
      </c>
      <c r="F14797" s="1">
        <v>4.1291657332612898E-2</v>
      </c>
    </row>
    <row r="14798" spans="1:6" x14ac:dyDescent="0.25">
      <c r="A14798" s="2" t="str">
        <f t="shared" si="525"/>
        <v>49660</v>
      </c>
      <c r="B14798" s="2" t="str">
        <f>"44422"</f>
        <v>44422</v>
      </c>
      <c r="C14798" s="1">
        <v>0</v>
      </c>
      <c r="D14798" s="1">
        <v>0</v>
      </c>
      <c r="E14798" s="1">
        <v>8.7673154480098105E-5</v>
      </c>
      <c r="F14798" s="1">
        <v>3.2943718950544799E-6</v>
      </c>
    </row>
    <row r="14799" spans="1:6" x14ac:dyDescent="0.25">
      <c r="A14799" s="2" t="str">
        <f t="shared" si="525"/>
        <v>49660</v>
      </c>
      <c r="B14799" s="2" t="str">
        <f>"44425"</f>
        <v>44425</v>
      </c>
      <c r="C14799" s="1">
        <v>2.5830025127495999E-2</v>
      </c>
      <c r="D14799" s="1">
        <v>2.0160941420783899E-2</v>
      </c>
      <c r="E14799" s="1">
        <v>1.788532351394E-2</v>
      </c>
      <c r="F14799" s="1">
        <v>2.50998194684201E-2</v>
      </c>
    </row>
    <row r="14800" spans="1:6" x14ac:dyDescent="0.25">
      <c r="A14800" s="2" t="str">
        <f t="shared" si="525"/>
        <v>49660</v>
      </c>
      <c r="B14800" s="2" t="str">
        <f>"44437"</f>
        <v>44437</v>
      </c>
      <c r="C14800" s="1">
        <v>6.9583835139836701E-3</v>
      </c>
      <c r="D14800" s="1">
        <v>2.2929826079432299E-3</v>
      </c>
      <c r="E14800" s="1">
        <v>1.8411362440820601E-3</v>
      </c>
      <c r="F14800" s="1">
        <v>6.4108477077760304E-3</v>
      </c>
    </row>
    <row r="14801" spans="1:6" x14ac:dyDescent="0.25">
      <c r="A14801" s="2" t="str">
        <f t="shared" si="525"/>
        <v>49660</v>
      </c>
      <c r="B14801" s="2" t="str">
        <f>"44555"</f>
        <v>44555</v>
      </c>
      <c r="C14801" s="1">
        <v>0</v>
      </c>
      <c r="D14801" s="1">
        <v>4.3263822791381803E-5</v>
      </c>
      <c r="E14801" s="1">
        <v>0</v>
      </c>
      <c r="F14801" s="1">
        <v>3.2943718950544799E-6</v>
      </c>
    </row>
    <row r="14802" spans="1:6" x14ac:dyDescent="0.25">
      <c r="A14802" s="2" t="str">
        <f t="shared" si="525"/>
        <v>49660</v>
      </c>
      <c r="B14802" s="2" t="str">
        <f>"44515"</f>
        <v>44515</v>
      </c>
      <c r="C14802" s="1">
        <v>5.21284029915101E-2</v>
      </c>
      <c r="D14802" s="1">
        <v>5.6026650514839398E-2</v>
      </c>
      <c r="E14802" s="1">
        <v>6.8998772575837197E-2</v>
      </c>
      <c r="F14802" s="1">
        <v>5.3059153741747501E-2</v>
      </c>
    </row>
    <row r="14803" spans="1:6" x14ac:dyDescent="0.25">
      <c r="A14803" s="2" t="str">
        <f t="shared" si="525"/>
        <v>49660</v>
      </c>
      <c r="B14803" s="2" t="str">
        <f>"44513"</f>
        <v>44513</v>
      </c>
      <c r="C14803" s="1">
        <v>2.1001531439106698E-3</v>
      </c>
      <c r="D14803" s="1">
        <v>1.48827550402353E-2</v>
      </c>
      <c r="E14803" s="1">
        <v>1.7534630896019599E-4</v>
      </c>
      <c r="F14803" s="1">
        <v>3.0011727963946298E-3</v>
      </c>
    </row>
    <row r="14804" spans="1:6" x14ac:dyDescent="0.25">
      <c r="A14804" s="2" t="str">
        <f t="shared" si="525"/>
        <v>49660</v>
      </c>
      <c r="B14804" s="2" t="str">
        <f>"16156"</f>
        <v>16156</v>
      </c>
      <c r="C14804" s="1">
        <v>1.3716044426602401E-3</v>
      </c>
      <c r="D14804" s="1">
        <v>7.3548498745349105E-4</v>
      </c>
      <c r="E14804" s="1">
        <v>1.22742416272137E-3</v>
      </c>
      <c r="F14804" s="1">
        <v>1.31774875802179E-3</v>
      </c>
    </row>
    <row r="14805" spans="1:6" x14ac:dyDescent="0.25">
      <c r="A14805" s="2" t="str">
        <f t="shared" si="525"/>
        <v>49660</v>
      </c>
      <c r="B14805" s="2" t="str">
        <f>"16148"</f>
        <v>16148</v>
      </c>
      <c r="C14805" s="1">
        <v>3.2427851376064902E-2</v>
      </c>
      <c r="D14805" s="1">
        <v>4.34801419053387E-2</v>
      </c>
      <c r="E14805" s="1">
        <v>2.6827985270910001E-2</v>
      </c>
      <c r="F14805" s="1">
        <v>3.3059021966871702E-2</v>
      </c>
    </row>
    <row r="14806" spans="1:6" x14ac:dyDescent="0.25">
      <c r="A14806" s="2" t="str">
        <f t="shared" si="525"/>
        <v>49660</v>
      </c>
      <c r="B14806" s="2" t="str">
        <f>"16145"</f>
        <v>16145</v>
      </c>
      <c r="C14806" s="1">
        <v>4.2300429695050299E-3</v>
      </c>
      <c r="D14806" s="1">
        <v>1.1681232153673E-3</v>
      </c>
      <c r="E14806" s="1">
        <v>2.3671751709626499E-3</v>
      </c>
      <c r="F14806" s="1">
        <v>3.9268912989049503E-3</v>
      </c>
    </row>
    <row r="14807" spans="1:6" x14ac:dyDescent="0.25">
      <c r="A14807" s="2" t="str">
        <f t="shared" si="525"/>
        <v>49660</v>
      </c>
      <c r="B14807" s="2" t="str">
        <f>"44503"</f>
        <v>44503</v>
      </c>
      <c r="C14807" s="1">
        <v>2.1967973593826598E-3</v>
      </c>
      <c r="D14807" s="1">
        <v>2.84675953967292E-2</v>
      </c>
      <c r="E14807" s="1">
        <v>7.10152551288795E-3</v>
      </c>
      <c r="F14807" s="1">
        <v>4.3815146204224699E-3</v>
      </c>
    </row>
    <row r="14808" spans="1:6" x14ac:dyDescent="0.25">
      <c r="A14808" s="2" t="str">
        <f t="shared" si="525"/>
        <v>49660</v>
      </c>
      <c r="B14808" s="2" t="str">
        <f>"44443"</f>
        <v>44443</v>
      </c>
      <c r="C14808" s="1">
        <v>2.8621556120552501E-3</v>
      </c>
      <c r="D14808" s="1">
        <v>1.81708055723803E-3</v>
      </c>
      <c r="E14808" s="1">
        <v>1.31509731720147E-3</v>
      </c>
      <c r="F14808" s="1">
        <v>2.72444555721006E-3</v>
      </c>
    </row>
    <row r="14809" spans="1:6" x14ac:dyDescent="0.25">
      <c r="A14809" s="2" t="str">
        <f t="shared" si="525"/>
        <v>49660</v>
      </c>
      <c r="B14809" s="2" t="str">
        <f>"44442"</f>
        <v>44442</v>
      </c>
      <c r="C14809" s="1">
        <v>7.0178568773510497E-3</v>
      </c>
      <c r="D14809" s="1">
        <v>3.4611058233105399E-3</v>
      </c>
      <c r="E14809" s="1">
        <v>6.2247939680869701E-3</v>
      </c>
      <c r="F14809" s="1">
        <v>6.7172242940160996E-3</v>
      </c>
    </row>
    <row r="14810" spans="1:6" x14ac:dyDescent="0.25">
      <c r="A14810" s="2" t="str">
        <f t="shared" si="525"/>
        <v>49660</v>
      </c>
      <c r="B14810" s="2" t="str">
        <f>"44429"</f>
        <v>44429</v>
      </c>
      <c r="C14810" s="1">
        <v>5.4827006854305102E-3</v>
      </c>
      <c r="D14810" s="1">
        <v>2.4227740763173799E-3</v>
      </c>
      <c r="E14810" s="1">
        <v>1.31509731720147E-3</v>
      </c>
      <c r="F14810" s="1">
        <v>5.09309894975423E-3</v>
      </c>
    </row>
    <row r="14811" spans="1:6" x14ac:dyDescent="0.25">
      <c r="A14811" s="2" t="str">
        <f t="shared" si="525"/>
        <v>49660</v>
      </c>
      <c r="B14811" s="2" t="str">
        <f>"44428"</f>
        <v>44428</v>
      </c>
      <c r="C14811" s="1">
        <v>5.31914893617021E-3</v>
      </c>
      <c r="D14811" s="1">
        <v>3.9802716968071203E-3</v>
      </c>
      <c r="E14811" s="1">
        <v>2.3671751709626499E-3</v>
      </c>
      <c r="F14811" s="1">
        <v>5.1062764373344498E-3</v>
      </c>
    </row>
    <row r="14812" spans="1:6" x14ac:dyDescent="0.25">
      <c r="A14812" s="2" t="str">
        <f t="shared" si="525"/>
        <v>49660</v>
      </c>
      <c r="B14812" s="2" t="str">
        <f>"44406"</f>
        <v>44406</v>
      </c>
      <c r="C14812" s="1">
        <v>3.8858408790163099E-2</v>
      </c>
      <c r="D14812" s="1">
        <v>4.45184736523319E-2</v>
      </c>
      <c r="E14812" s="1">
        <v>4.84832544274943E-2</v>
      </c>
      <c r="F14812" s="1">
        <v>3.9651060128875801E-2</v>
      </c>
    </row>
    <row r="14813" spans="1:6" x14ac:dyDescent="0.25">
      <c r="A14813" s="2" t="str">
        <f t="shared" si="525"/>
        <v>49660</v>
      </c>
      <c r="B14813" s="2" t="str">
        <f>"44512"</f>
        <v>44512</v>
      </c>
      <c r="C14813" s="1">
        <v>6.2105059696388402E-2</v>
      </c>
      <c r="D14813" s="1">
        <v>0.107597127282166</v>
      </c>
      <c r="E14813" s="1">
        <v>0.164650184113624</v>
      </c>
      <c r="F14813" s="1">
        <v>6.9422298944483193E-2</v>
      </c>
    </row>
    <row r="14814" spans="1:6" x14ac:dyDescent="0.25">
      <c r="A14814" s="2" t="str">
        <f t="shared" si="525"/>
        <v>49660</v>
      </c>
      <c r="B14814" s="2" t="str">
        <f>"44093"</f>
        <v>44093</v>
      </c>
      <c r="C14814" s="1">
        <v>2.2302511262768101E-5</v>
      </c>
      <c r="D14814" s="1">
        <v>4.3263822791381803E-5</v>
      </c>
      <c r="E14814" s="1">
        <v>0</v>
      </c>
      <c r="F14814" s="1">
        <v>2.3060603265381401E-5</v>
      </c>
    </row>
    <row r="14815" spans="1:6" x14ac:dyDescent="0.25">
      <c r="A14815" s="2" t="str">
        <f t="shared" ref="A14815:A14834" si="526">"11740"</f>
        <v>11740</v>
      </c>
      <c r="B14815" s="2" t="str">
        <f>"44848"</f>
        <v>44848</v>
      </c>
      <c r="C14815" s="1">
        <v>0</v>
      </c>
      <c r="D14815" s="1">
        <v>0</v>
      </c>
      <c r="E14815" s="1">
        <v>1.87265917602996E-3</v>
      </c>
      <c r="F14815" s="1">
        <v>3.8758187667144598E-5</v>
      </c>
    </row>
    <row r="14816" spans="1:6" x14ac:dyDescent="0.25">
      <c r="A14816" s="2" t="str">
        <f t="shared" si="526"/>
        <v>11740</v>
      </c>
      <c r="B14816" s="2" t="str">
        <f>"44866"</f>
        <v>44866</v>
      </c>
      <c r="C14816" s="1">
        <v>3.6359013475718197E-2</v>
      </c>
      <c r="D14816" s="1">
        <v>1.0185739964050301E-2</v>
      </c>
      <c r="E14816" s="1">
        <v>2.05992509363295E-2</v>
      </c>
      <c r="F14816" s="1">
        <v>3.4339754273090099E-2</v>
      </c>
    </row>
    <row r="14817" spans="1:6" x14ac:dyDescent="0.25">
      <c r="A14817" s="2" t="str">
        <f t="shared" si="526"/>
        <v>11740</v>
      </c>
      <c r="B14817" s="2" t="str">
        <f>"44822"</f>
        <v>44822</v>
      </c>
      <c r="C14817" s="1">
        <v>2.5425883549453298E-4</v>
      </c>
      <c r="D14817" s="1">
        <v>0</v>
      </c>
      <c r="E14817" s="1">
        <v>0</v>
      </c>
      <c r="F14817" s="1">
        <v>2.32549126002868E-4</v>
      </c>
    </row>
    <row r="14818" spans="1:6" x14ac:dyDescent="0.25">
      <c r="A14818" s="2" t="str">
        <f t="shared" si="526"/>
        <v>11740</v>
      </c>
      <c r="B14818" s="2" t="str">
        <f>"44691"</f>
        <v>44691</v>
      </c>
      <c r="C14818" s="1">
        <v>5.5089414357148902E-4</v>
      </c>
      <c r="D14818" s="1">
        <v>0</v>
      </c>
      <c r="E14818" s="1">
        <v>0</v>
      </c>
      <c r="F14818" s="1">
        <v>5.0385643967288004E-4</v>
      </c>
    </row>
    <row r="14819" spans="1:6" x14ac:dyDescent="0.25">
      <c r="A14819" s="2" t="str">
        <f t="shared" si="526"/>
        <v>11740</v>
      </c>
      <c r="B14819" s="2" t="str">
        <f>"44843"</f>
        <v>44843</v>
      </c>
      <c r="C14819" s="1">
        <v>1.86456479362657E-3</v>
      </c>
      <c r="D14819" s="1">
        <v>0</v>
      </c>
      <c r="E14819" s="1">
        <v>0</v>
      </c>
      <c r="F14819" s="1">
        <v>1.70536025735436E-3</v>
      </c>
    </row>
    <row r="14820" spans="1:6" x14ac:dyDescent="0.25">
      <c r="A14820" s="2" t="str">
        <f t="shared" si="526"/>
        <v>11740</v>
      </c>
      <c r="B14820" s="2" t="str">
        <f>"44864"</f>
        <v>44864</v>
      </c>
      <c r="C14820" s="1">
        <v>4.69107551487414E-2</v>
      </c>
      <c r="D14820" s="1">
        <v>1.43798681845416E-2</v>
      </c>
      <c r="E14820" s="1">
        <v>3.5580524344569202E-2</v>
      </c>
      <c r="F14820" s="1">
        <v>4.4571915817216298E-2</v>
      </c>
    </row>
    <row r="14821" spans="1:6" x14ac:dyDescent="0.25">
      <c r="A14821" s="2" t="str">
        <f t="shared" si="526"/>
        <v>11740</v>
      </c>
      <c r="B14821" s="2" t="str">
        <f>"44851"</f>
        <v>44851</v>
      </c>
      <c r="C14821" s="1">
        <v>3.9833884227476902E-3</v>
      </c>
      <c r="D14821" s="1">
        <v>1.7974835230676999E-3</v>
      </c>
      <c r="E14821" s="1">
        <v>0</v>
      </c>
      <c r="F14821" s="1">
        <v>3.75954420371303E-3</v>
      </c>
    </row>
    <row r="14822" spans="1:6" x14ac:dyDescent="0.25">
      <c r="A14822" s="2" t="str">
        <f t="shared" si="526"/>
        <v>11740</v>
      </c>
      <c r="B14822" s="2" t="str">
        <f>"44903"</f>
        <v>44903</v>
      </c>
      <c r="C14822" s="1">
        <v>1.1441647597254E-3</v>
      </c>
      <c r="D14822" s="1">
        <v>0</v>
      </c>
      <c r="E14822" s="1">
        <v>3.7453183520599199E-3</v>
      </c>
      <c r="F14822" s="1">
        <v>1.12398744234719E-3</v>
      </c>
    </row>
    <row r="14823" spans="1:6" x14ac:dyDescent="0.25">
      <c r="A14823" s="2" t="str">
        <f t="shared" si="526"/>
        <v>11740</v>
      </c>
      <c r="B14823" s="2" t="str">
        <f>"44874"</f>
        <v>44874</v>
      </c>
      <c r="C14823" s="1">
        <v>1.6950589032968801E-4</v>
      </c>
      <c r="D14823" s="1">
        <v>5.9916117435590099E-4</v>
      </c>
      <c r="E14823" s="1">
        <v>1.87265917602996E-3</v>
      </c>
      <c r="F14823" s="1">
        <v>2.32549126002868E-4</v>
      </c>
    </row>
    <row r="14824" spans="1:6" x14ac:dyDescent="0.25">
      <c r="A14824" s="2" t="str">
        <f t="shared" si="526"/>
        <v>11740</v>
      </c>
      <c r="B14824" s="2" t="str">
        <f>"44287"</f>
        <v>44287</v>
      </c>
      <c r="C14824" s="1">
        <v>4.5088566827697199E-2</v>
      </c>
      <c r="D14824" s="1">
        <v>6.5907729179149098E-3</v>
      </c>
      <c r="E14824" s="1">
        <v>1.31086142322097E-2</v>
      </c>
      <c r="F14824" s="1">
        <v>4.1936359055850497E-2</v>
      </c>
    </row>
    <row r="14825" spans="1:6" x14ac:dyDescent="0.25">
      <c r="A14825" s="2" t="str">
        <f t="shared" si="526"/>
        <v>11740</v>
      </c>
      <c r="B14825" s="2" t="str">
        <f>"44840"</f>
        <v>44840</v>
      </c>
      <c r="C14825" s="1">
        <v>5.1360284769895702E-2</v>
      </c>
      <c r="D14825" s="1">
        <v>2.3367285799880101E-2</v>
      </c>
      <c r="E14825" s="1">
        <v>1.8726591760299598E-2</v>
      </c>
      <c r="F14825" s="1">
        <v>4.88740746482694E-2</v>
      </c>
    </row>
    <row r="14826" spans="1:6" x14ac:dyDescent="0.25">
      <c r="A14826" s="2" t="str">
        <f t="shared" si="526"/>
        <v>11740</v>
      </c>
      <c r="B14826" s="2" t="str">
        <f>"44837"</f>
        <v>44837</v>
      </c>
      <c r="C14826" s="1">
        <v>7.9667768454953804E-3</v>
      </c>
      <c r="D14826" s="1">
        <v>2.9958058717795E-3</v>
      </c>
      <c r="E14826" s="1">
        <v>0</v>
      </c>
      <c r="F14826" s="1">
        <v>7.4803302197589197E-3</v>
      </c>
    </row>
    <row r="14827" spans="1:6" x14ac:dyDescent="0.25">
      <c r="A14827" s="2" t="str">
        <f t="shared" si="526"/>
        <v>11740</v>
      </c>
      <c r="B14827" s="2" t="str">
        <f>"44805"</f>
        <v>44805</v>
      </c>
      <c r="C14827" s="1">
        <v>0.62390880583100194</v>
      </c>
      <c r="D14827" s="1">
        <v>0.81066506890353496</v>
      </c>
      <c r="E14827" s="1">
        <v>0.79588014981273403</v>
      </c>
      <c r="F14827" s="1">
        <v>0.639548854695554</v>
      </c>
    </row>
    <row r="14828" spans="1:6" x14ac:dyDescent="0.25">
      <c r="A14828" s="2" t="str">
        <f t="shared" si="526"/>
        <v>11740</v>
      </c>
      <c r="B14828" s="2" t="str">
        <f>"44878"</f>
        <v>44878</v>
      </c>
      <c r="C14828" s="1">
        <v>1.10178828714297E-3</v>
      </c>
      <c r="D14828" s="1">
        <v>0</v>
      </c>
      <c r="E14828" s="1">
        <v>0</v>
      </c>
      <c r="F14828" s="1">
        <v>1.0077128793457601E-3</v>
      </c>
    </row>
    <row r="14829" spans="1:6" x14ac:dyDescent="0.25">
      <c r="A14829" s="2" t="str">
        <f t="shared" si="526"/>
        <v>11740</v>
      </c>
      <c r="B14829" s="2" t="str">
        <f>"44842"</f>
        <v>44842</v>
      </c>
      <c r="C14829" s="1">
        <v>9.9118569370285597E-2</v>
      </c>
      <c r="D14829" s="1">
        <v>0.10665068903534999</v>
      </c>
      <c r="E14829" s="1">
        <v>9.1760299625468097E-2</v>
      </c>
      <c r="F14829" s="1">
        <v>9.9453509553893205E-2</v>
      </c>
    </row>
    <row r="14830" spans="1:6" x14ac:dyDescent="0.25">
      <c r="A14830" s="2" t="str">
        <f t="shared" si="526"/>
        <v>11740</v>
      </c>
      <c r="B14830" s="2" t="str">
        <f>"44880"</f>
        <v>44880</v>
      </c>
      <c r="C14830" s="1">
        <v>4.22493431646749E-2</v>
      </c>
      <c r="D14830" s="1">
        <v>1.0784901138406199E-2</v>
      </c>
      <c r="E14830" s="1">
        <v>1.12359550561797E-2</v>
      </c>
      <c r="F14830" s="1">
        <v>3.9572109608154701E-2</v>
      </c>
    </row>
    <row r="14831" spans="1:6" x14ac:dyDescent="0.25">
      <c r="A14831" s="2" t="str">
        <f t="shared" si="526"/>
        <v>11740</v>
      </c>
      <c r="B14831" s="2" t="str">
        <f>"44235"</f>
        <v>44235</v>
      </c>
      <c r="C14831" s="1">
        <v>3.8138825324180001E-4</v>
      </c>
      <c r="D14831" s="1">
        <v>0</v>
      </c>
      <c r="E14831" s="1">
        <v>0</v>
      </c>
      <c r="F14831" s="1">
        <v>3.4882368900430202E-4</v>
      </c>
    </row>
    <row r="14832" spans="1:6" x14ac:dyDescent="0.25">
      <c r="A14832" s="2" t="str">
        <f t="shared" si="526"/>
        <v>11740</v>
      </c>
      <c r="B14832" s="2" t="str">
        <f>"44859"</f>
        <v>44859</v>
      </c>
      <c r="C14832" s="1">
        <v>3.0087295533519701E-2</v>
      </c>
      <c r="D14832" s="1">
        <v>7.7890952666267201E-3</v>
      </c>
      <c r="E14832" s="1">
        <v>5.6179775280898797E-3</v>
      </c>
      <c r="F14832" s="1">
        <v>2.8138444246347E-2</v>
      </c>
    </row>
    <row r="14833" spans="1:6" x14ac:dyDescent="0.25">
      <c r="A14833" s="2" t="str">
        <f t="shared" si="526"/>
        <v>11740</v>
      </c>
      <c r="B14833" s="2" t="str">
        <f>"44838"</f>
        <v>44838</v>
      </c>
      <c r="C14833" s="1">
        <v>2.5849648275277498E-3</v>
      </c>
      <c r="D14833" s="1">
        <v>5.9916117435590099E-4</v>
      </c>
      <c r="E14833" s="1">
        <v>0</v>
      </c>
      <c r="F14833" s="1">
        <v>2.4030076353629701E-3</v>
      </c>
    </row>
    <row r="14834" spans="1:6" x14ac:dyDescent="0.25">
      <c r="A14834" s="2" t="str">
        <f t="shared" si="526"/>
        <v>11740</v>
      </c>
      <c r="B14834" s="2" t="str">
        <f>"44638"</f>
        <v>44638</v>
      </c>
      <c r="C14834" s="1">
        <v>4.9156708195609699E-3</v>
      </c>
      <c r="D14834" s="1">
        <v>3.5949670461354099E-3</v>
      </c>
      <c r="E14834" s="1">
        <v>0</v>
      </c>
      <c r="F14834" s="1">
        <v>4.72849889539165E-3</v>
      </c>
    </row>
    <row r="14835" spans="1:6" x14ac:dyDescent="0.25">
      <c r="A14835" s="2" t="str">
        <f t="shared" ref="A14835:A14850" si="527">"35940"</f>
        <v>35940</v>
      </c>
      <c r="B14835" s="2" t="str">
        <f>"44857"</f>
        <v>44857</v>
      </c>
      <c r="C14835" s="1">
        <v>0.40383885896365901</v>
      </c>
      <c r="D14835" s="1">
        <v>0.49678550555230799</v>
      </c>
      <c r="E14835" s="1">
        <v>0.68787878787878698</v>
      </c>
      <c r="F14835" s="1">
        <v>0.41898634001995599</v>
      </c>
    </row>
    <row r="14836" spans="1:6" x14ac:dyDescent="0.25">
      <c r="A14836" s="2" t="str">
        <f t="shared" si="527"/>
        <v>35940</v>
      </c>
      <c r="B14836" s="2" t="str">
        <f>"44888"</f>
        <v>44888</v>
      </c>
      <c r="C14836" s="1">
        <v>0</v>
      </c>
      <c r="D14836" s="1">
        <v>5.8445353594389199E-4</v>
      </c>
      <c r="E14836" s="1">
        <v>0</v>
      </c>
      <c r="F14836" s="1">
        <v>3.4408010184771002E-5</v>
      </c>
    </row>
    <row r="14837" spans="1:6" x14ac:dyDescent="0.25">
      <c r="A14837" s="2" t="str">
        <f t="shared" si="527"/>
        <v>35940</v>
      </c>
      <c r="B14837" s="2" t="str">
        <f>"44878"</f>
        <v>44878</v>
      </c>
      <c r="C14837" s="1">
        <v>1.70700250360367E-3</v>
      </c>
      <c r="D14837" s="1">
        <v>0</v>
      </c>
      <c r="E14837" s="1">
        <v>0</v>
      </c>
      <c r="F14837" s="1">
        <v>1.5483604583146899E-3</v>
      </c>
    </row>
    <row r="14838" spans="1:6" x14ac:dyDescent="0.25">
      <c r="A14838" s="2" t="str">
        <f t="shared" si="527"/>
        <v>35940</v>
      </c>
      <c r="B14838" s="2" t="str">
        <f>"44855"</f>
        <v>44855</v>
      </c>
      <c r="C14838" s="1">
        <v>1.96874288748956E-2</v>
      </c>
      <c r="D14838" s="1">
        <v>5.8445353594389201E-3</v>
      </c>
      <c r="E14838" s="1">
        <v>3.0303030303030299E-3</v>
      </c>
      <c r="F14838" s="1">
        <v>1.8305061418298098E-2</v>
      </c>
    </row>
    <row r="14839" spans="1:6" x14ac:dyDescent="0.25">
      <c r="A14839" s="2" t="str">
        <f t="shared" si="527"/>
        <v>35940</v>
      </c>
      <c r="B14839" s="2" t="str">
        <f>"44847"</f>
        <v>44847</v>
      </c>
      <c r="C14839" s="1">
        <v>4.7227069266368202E-2</v>
      </c>
      <c r="D14839" s="1">
        <v>3.3313851548801801E-2</v>
      </c>
      <c r="E14839" s="1">
        <v>2.8282828282828201E-2</v>
      </c>
      <c r="F14839" s="1">
        <v>4.5762653545745401E-2</v>
      </c>
    </row>
    <row r="14840" spans="1:6" x14ac:dyDescent="0.25">
      <c r="A14840" s="2" t="str">
        <f t="shared" si="527"/>
        <v>35940</v>
      </c>
      <c r="B14840" s="2" t="str">
        <f>"44850"</f>
        <v>44850</v>
      </c>
      <c r="C14840" s="1">
        <v>7.20734390410439E-4</v>
      </c>
      <c r="D14840" s="1">
        <v>0</v>
      </c>
      <c r="E14840" s="1">
        <v>1.0101010101010101E-3</v>
      </c>
      <c r="F14840" s="1">
        <v>6.8816020369541996E-4</v>
      </c>
    </row>
    <row r="14841" spans="1:6" x14ac:dyDescent="0.25">
      <c r="A14841" s="2" t="str">
        <f t="shared" si="527"/>
        <v>35940</v>
      </c>
      <c r="B14841" s="2" t="str">
        <f>"44851"</f>
        <v>44851</v>
      </c>
      <c r="C14841" s="1">
        <v>7.6511645550413399E-2</v>
      </c>
      <c r="D14841" s="1">
        <v>7.7732320280537601E-2</v>
      </c>
      <c r="E14841" s="1">
        <v>6.2626262626262599E-2</v>
      </c>
      <c r="F14841" s="1">
        <v>7.6110518528713395E-2</v>
      </c>
    </row>
    <row r="14842" spans="1:6" x14ac:dyDescent="0.25">
      <c r="A14842" s="2" t="str">
        <f t="shared" si="527"/>
        <v>35940</v>
      </c>
      <c r="B14842" s="2" t="str">
        <f>"44890"</f>
        <v>44890</v>
      </c>
      <c r="C14842" s="1">
        <v>0.186290873226614</v>
      </c>
      <c r="D14842" s="1">
        <v>0.17241379310344801</v>
      </c>
      <c r="E14842" s="1">
        <v>7.7777777777777696E-2</v>
      </c>
      <c r="F14842" s="1">
        <v>0.18177751780614501</v>
      </c>
    </row>
    <row r="14843" spans="1:6" x14ac:dyDescent="0.25">
      <c r="A14843" s="2" t="str">
        <f t="shared" si="527"/>
        <v>35940</v>
      </c>
      <c r="B14843" s="2" t="str">
        <f>"44846"</f>
        <v>44846</v>
      </c>
      <c r="C14843" s="1">
        <v>5.5762081784386597E-3</v>
      </c>
      <c r="D14843" s="1">
        <v>5.8445353594389199E-4</v>
      </c>
      <c r="E14843" s="1">
        <v>0</v>
      </c>
      <c r="F14843" s="1">
        <v>5.0923855073461101E-3</v>
      </c>
    </row>
    <row r="14844" spans="1:6" x14ac:dyDescent="0.25">
      <c r="A14844" s="2" t="str">
        <f t="shared" si="527"/>
        <v>35940</v>
      </c>
      <c r="B14844" s="2" t="str">
        <f>"44865"</f>
        <v>44865</v>
      </c>
      <c r="C14844" s="1">
        <v>2.8070707837038099E-2</v>
      </c>
      <c r="D14844" s="1">
        <v>2.57159555815312E-2</v>
      </c>
      <c r="E14844" s="1">
        <v>4.0404040404040404E-3</v>
      </c>
      <c r="F14844" s="1">
        <v>2.7113512025599501E-2</v>
      </c>
    </row>
    <row r="14845" spans="1:6" x14ac:dyDescent="0.25">
      <c r="A14845" s="2" t="str">
        <f t="shared" si="527"/>
        <v>35940</v>
      </c>
      <c r="B14845" s="2" t="str">
        <f>"44837"</f>
        <v>44837</v>
      </c>
      <c r="C14845" s="1">
        <v>5.0375540550792797E-2</v>
      </c>
      <c r="D14845" s="1">
        <v>4.0911747516072398E-2</v>
      </c>
      <c r="E14845" s="1">
        <v>2.9292929292929201E-2</v>
      </c>
      <c r="F14845" s="1">
        <v>4.9100230533668202E-2</v>
      </c>
    </row>
    <row r="14846" spans="1:6" x14ac:dyDescent="0.25">
      <c r="A14846" s="2" t="str">
        <f t="shared" si="527"/>
        <v>35940</v>
      </c>
      <c r="B14846" s="2" t="str">
        <f>"44807"</f>
        <v>44807</v>
      </c>
      <c r="C14846" s="1">
        <v>3.1105378954555799E-3</v>
      </c>
      <c r="D14846" s="1">
        <v>5.8445353594389199E-4</v>
      </c>
      <c r="E14846" s="1">
        <v>0</v>
      </c>
      <c r="F14846" s="1">
        <v>2.8558648453359901E-3</v>
      </c>
    </row>
    <row r="14847" spans="1:6" x14ac:dyDescent="0.25">
      <c r="A14847" s="2" t="str">
        <f t="shared" si="527"/>
        <v>35940</v>
      </c>
      <c r="B14847" s="2" t="str">
        <f>"44811"</f>
        <v>44811</v>
      </c>
      <c r="C14847" s="1">
        <v>8.2353387451634896E-2</v>
      </c>
      <c r="D14847" s="1">
        <v>0.115137346580946</v>
      </c>
      <c r="E14847" s="1">
        <v>6.7676767676767599E-2</v>
      </c>
      <c r="F14847" s="1">
        <v>8.3783504799917405E-2</v>
      </c>
    </row>
    <row r="14848" spans="1:6" x14ac:dyDescent="0.25">
      <c r="A14848" s="2" t="str">
        <f t="shared" si="527"/>
        <v>35940</v>
      </c>
      <c r="B14848" s="2" t="str">
        <f>"44826"</f>
        <v>44826</v>
      </c>
      <c r="C14848" s="1">
        <v>2.39739018283893E-2</v>
      </c>
      <c r="D14848" s="1">
        <v>7.5978959672705999E-3</v>
      </c>
      <c r="E14848" s="1">
        <v>5.0505050505050501E-3</v>
      </c>
      <c r="F14848" s="1">
        <v>2.2365206620101101E-2</v>
      </c>
    </row>
    <row r="14849" spans="1:6" x14ac:dyDescent="0.25">
      <c r="A14849" s="2" t="str">
        <f t="shared" si="527"/>
        <v>35940</v>
      </c>
      <c r="B14849" s="2" t="str">
        <f>"44854"</f>
        <v>44854</v>
      </c>
      <c r="C14849" s="1">
        <v>3.79333889689704E-5</v>
      </c>
      <c r="D14849" s="1">
        <v>0</v>
      </c>
      <c r="E14849" s="1">
        <v>0</v>
      </c>
      <c r="F14849" s="1">
        <v>3.4408010184771002E-5</v>
      </c>
    </row>
    <row r="14850" spans="1:6" x14ac:dyDescent="0.25">
      <c r="A14850" s="2" t="str">
        <f t="shared" si="527"/>
        <v>35940</v>
      </c>
      <c r="B14850" s="2" t="str">
        <f>"44889"</f>
        <v>44889</v>
      </c>
      <c r="C14850" s="1">
        <v>7.0518170093316096E-2</v>
      </c>
      <c r="D14850" s="1">
        <v>2.2793687901811799E-2</v>
      </c>
      <c r="E14850" s="1">
        <v>3.3333333333333298E-2</v>
      </c>
      <c r="F14850" s="1">
        <v>6.6441867666792803E-2</v>
      </c>
    </row>
    <row r="14851" spans="1:6" x14ac:dyDescent="0.25">
      <c r="A14851" s="2" t="str">
        <f t="shared" ref="A14851:A14873" si="528">"35220"</f>
        <v>35220</v>
      </c>
      <c r="B14851" s="2" t="str">
        <f>"47360"</f>
        <v>47360</v>
      </c>
      <c r="C14851" s="1">
        <v>2.2300140252454401E-2</v>
      </c>
      <c r="D14851" s="1">
        <v>1.29032258064516E-3</v>
      </c>
      <c r="E14851" s="1">
        <v>1.8264840182648401E-2</v>
      </c>
      <c r="F14851" s="1">
        <v>2.0831551030883699E-2</v>
      </c>
    </row>
    <row r="14852" spans="1:6" x14ac:dyDescent="0.25">
      <c r="A14852" s="2" t="str">
        <f t="shared" si="528"/>
        <v>35220</v>
      </c>
      <c r="B14852" s="2" t="str">
        <f>"47356"</f>
        <v>47356</v>
      </c>
      <c r="C14852" s="1">
        <v>0.114773258532024</v>
      </c>
      <c r="D14852" s="1">
        <v>8.6451612903225797E-2</v>
      </c>
      <c r="E14852" s="1">
        <v>0.116438356164383</v>
      </c>
      <c r="F14852" s="1">
        <v>0.112926683206433</v>
      </c>
    </row>
    <row r="14853" spans="1:6" x14ac:dyDescent="0.25">
      <c r="A14853" s="2" t="str">
        <f t="shared" si="528"/>
        <v>35220</v>
      </c>
      <c r="B14853" s="2" t="str">
        <f>"47344"</f>
        <v>47344</v>
      </c>
      <c r="C14853" s="1">
        <v>0</v>
      </c>
      <c r="D14853" s="1">
        <v>0</v>
      </c>
      <c r="E14853" s="1">
        <v>4.5662100456621002E-3</v>
      </c>
      <c r="F14853" s="1">
        <v>8.55505175806313E-5</v>
      </c>
    </row>
    <row r="14854" spans="1:6" x14ac:dyDescent="0.25">
      <c r="A14854" s="2" t="str">
        <f t="shared" si="528"/>
        <v>35220</v>
      </c>
      <c r="B14854" s="2" t="str">
        <f>"47334"</f>
        <v>47334</v>
      </c>
      <c r="C14854" s="1">
        <v>2.1972884525479101E-3</v>
      </c>
      <c r="D14854" s="1">
        <v>0</v>
      </c>
      <c r="E14854" s="1">
        <v>0</v>
      </c>
      <c r="F14854" s="1">
        <v>2.01043716314483E-3</v>
      </c>
    </row>
    <row r="14855" spans="1:6" x14ac:dyDescent="0.25">
      <c r="A14855" s="2" t="str">
        <f t="shared" si="528"/>
        <v>35220</v>
      </c>
      <c r="B14855" s="2" t="str">
        <f>"47351"</f>
        <v>47351</v>
      </c>
      <c r="C14855" s="1">
        <v>6.8256194483403403E-3</v>
      </c>
      <c r="D14855" s="1">
        <v>6.4516129032257999E-4</v>
      </c>
      <c r="E14855" s="1">
        <v>0</v>
      </c>
      <c r="F14855" s="1">
        <v>6.2879630421764001E-3</v>
      </c>
    </row>
    <row r="14856" spans="1:6" x14ac:dyDescent="0.25">
      <c r="A14856" s="2" t="str">
        <f t="shared" si="528"/>
        <v>35220</v>
      </c>
      <c r="B14856" s="2" t="str">
        <f>"46148"</f>
        <v>46148</v>
      </c>
      <c r="C14856" s="1">
        <v>9.8644226273959704E-2</v>
      </c>
      <c r="D14856" s="1">
        <v>0.15161290322580601</v>
      </c>
      <c r="E14856" s="1">
        <v>0.13470319634703101</v>
      </c>
      <c r="F14856" s="1">
        <v>0.102831722131918</v>
      </c>
    </row>
    <row r="14857" spans="1:6" x14ac:dyDescent="0.25">
      <c r="A14857" s="2" t="str">
        <f t="shared" si="528"/>
        <v>35220</v>
      </c>
      <c r="B14857" s="2" t="str">
        <f>"47387"</f>
        <v>47387</v>
      </c>
      <c r="C14857" s="1">
        <v>1.50070126227208E-2</v>
      </c>
      <c r="D14857" s="1">
        <v>1.03225806451612E-2</v>
      </c>
      <c r="E14857" s="1">
        <v>2.2831050228310501E-3</v>
      </c>
      <c r="F14857" s="1">
        <v>1.44580374711267E-2</v>
      </c>
    </row>
    <row r="14858" spans="1:6" x14ac:dyDescent="0.25">
      <c r="A14858" s="2" t="str">
        <f t="shared" si="528"/>
        <v>35220</v>
      </c>
      <c r="B14858" s="2" t="str">
        <f>"47302"</f>
        <v>47302</v>
      </c>
      <c r="C14858" s="1">
        <v>1.5427769985974699E-3</v>
      </c>
      <c r="D14858" s="1">
        <v>0</v>
      </c>
      <c r="E14858" s="1">
        <v>0</v>
      </c>
      <c r="F14858" s="1">
        <v>1.41158354008041E-3</v>
      </c>
    </row>
    <row r="14859" spans="1:6" x14ac:dyDescent="0.25">
      <c r="A14859" s="2" t="str">
        <f t="shared" si="528"/>
        <v>35220</v>
      </c>
      <c r="B14859" s="2" t="str">
        <f>"47361"</f>
        <v>47361</v>
      </c>
      <c r="C14859" s="1">
        <v>0</v>
      </c>
      <c r="D14859" s="1">
        <v>6.4516129032257999E-4</v>
      </c>
      <c r="E14859" s="1">
        <v>2.2831050228310501E-3</v>
      </c>
      <c r="F14859" s="1">
        <v>8.55505175806313E-5</v>
      </c>
    </row>
    <row r="14860" spans="1:6" x14ac:dyDescent="0.25">
      <c r="A14860" s="2" t="str">
        <f t="shared" si="528"/>
        <v>35220</v>
      </c>
      <c r="B14860" s="2" t="str">
        <f>"47362"</f>
        <v>47362</v>
      </c>
      <c r="C14860" s="1">
        <v>0.63856942496493596</v>
      </c>
      <c r="D14860" s="1">
        <v>0.70580645161290301</v>
      </c>
      <c r="E14860" s="1">
        <v>0.61187214611872098</v>
      </c>
      <c r="F14860" s="1">
        <v>0.64252716228933104</v>
      </c>
    </row>
    <row r="14861" spans="1:6" x14ac:dyDescent="0.25">
      <c r="A14861" s="2" t="str">
        <f t="shared" si="528"/>
        <v>35220</v>
      </c>
      <c r="B14861" s="2" t="str">
        <f>"47386"</f>
        <v>47386</v>
      </c>
      <c r="C14861" s="1">
        <v>2.41701729780271E-2</v>
      </c>
      <c r="D14861" s="1">
        <v>3.2258064516129002E-3</v>
      </c>
      <c r="E14861" s="1">
        <v>6.8493150684931503E-3</v>
      </c>
      <c r="F14861" s="1">
        <v>2.2457010864915701E-2</v>
      </c>
    </row>
    <row r="14862" spans="1:6" x14ac:dyDescent="0.25">
      <c r="A14862" s="2" t="str">
        <f t="shared" si="528"/>
        <v>35220</v>
      </c>
      <c r="B14862" s="2" t="str">
        <f>"47337"</f>
        <v>47337</v>
      </c>
      <c r="C14862" s="1">
        <v>4.67508181393174E-5</v>
      </c>
      <c r="D14862" s="1">
        <v>0</v>
      </c>
      <c r="E14862" s="1">
        <v>2.2831050228310501E-3</v>
      </c>
      <c r="F14862" s="1">
        <v>8.55505175806313E-5</v>
      </c>
    </row>
    <row r="14863" spans="1:6" x14ac:dyDescent="0.25">
      <c r="A14863" s="2" t="str">
        <f t="shared" si="528"/>
        <v>35220</v>
      </c>
      <c r="B14863" s="2" t="str">
        <f>"47352"</f>
        <v>47352</v>
      </c>
      <c r="C14863" s="1">
        <v>1.164095371669E-2</v>
      </c>
      <c r="D14863" s="1">
        <v>4.5161290322580597E-3</v>
      </c>
      <c r="E14863" s="1">
        <v>2.2831050228310501E-2</v>
      </c>
      <c r="F14863" s="1">
        <v>1.1378218838223901E-2</v>
      </c>
    </row>
    <row r="14864" spans="1:6" x14ac:dyDescent="0.25">
      <c r="A14864" s="2" t="str">
        <f t="shared" si="528"/>
        <v>35220</v>
      </c>
      <c r="B14864" s="2" t="str">
        <f>"46186"</f>
        <v>46186</v>
      </c>
      <c r="C14864" s="1">
        <v>4.2075736325385599E-4</v>
      </c>
      <c r="D14864" s="1">
        <v>0</v>
      </c>
      <c r="E14864" s="1">
        <v>0</v>
      </c>
      <c r="F14864" s="1">
        <v>3.8497732911284098E-4</v>
      </c>
    </row>
    <row r="14865" spans="1:6" x14ac:dyDescent="0.25">
      <c r="A14865" s="2" t="str">
        <f t="shared" si="528"/>
        <v>35220</v>
      </c>
      <c r="B14865" s="2" t="str">
        <f>"46117"</f>
        <v>46117</v>
      </c>
      <c r="C14865" s="1">
        <v>8.4151472650771295E-4</v>
      </c>
      <c r="D14865" s="1">
        <v>0</v>
      </c>
      <c r="E14865" s="1">
        <v>0</v>
      </c>
      <c r="F14865" s="1">
        <v>7.6995465822568196E-4</v>
      </c>
    </row>
    <row r="14866" spans="1:6" x14ac:dyDescent="0.25">
      <c r="A14866" s="2" t="str">
        <f t="shared" si="528"/>
        <v>35220</v>
      </c>
      <c r="B14866" s="2" t="str">
        <f>"47366"</f>
        <v>47366</v>
      </c>
      <c r="C14866" s="1">
        <v>4.67508181393174E-5</v>
      </c>
      <c r="D14866" s="1">
        <v>0</v>
      </c>
      <c r="E14866" s="1">
        <v>2.2831050228310501E-3</v>
      </c>
      <c r="F14866" s="1">
        <v>8.55505175806313E-5</v>
      </c>
    </row>
    <row r="14867" spans="1:6" x14ac:dyDescent="0.25">
      <c r="A14867" s="2" t="str">
        <f t="shared" si="528"/>
        <v>35220</v>
      </c>
      <c r="B14867" s="2" t="str">
        <f>"47346"</f>
        <v>47346</v>
      </c>
      <c r="C14867" s="1">
        <v>3.3660589060308501E-3</v>
      </c>
      <c r="D14867" s="1">
        <v>6.4516129032257999E-4</v>
      </c>
      <c r="E14867" s="1">
        <v>0</v>
      </c>
      <c r="F14867" s="1">
        <v>3.12259389169304E-3</v>
      </c>
    </row>
    <row r="14868" spans="1:6" x14ac:dyDescent="0.25">
      <c r="A14868" s="2" t="str">
        <f t="shared" si="528"/>
        <v>35220</v>
      </c>
      <c r="B14868" s="2" t="str">
        <f>"46056"</f>
        <v>46056</v>
      </c>
      <c r="C14868" s="1">
        <v>3.2725572697522197E-4</v>
      </c>
      <c r="D14868" s="1">
        <v>0</v>
      </c>
      <c r="E14868" s="1">
        <v>0</v>
      </c>
      <c r="F14868" s="1">
        <v>2.9942681153220899E-4</v>
      </c>
    </row>
    <row r="14869" spans="1:6" x14ac:dyDescent="0.25">
      <c r="A14869" s="2" t="str">
        <f t="shared" si="528"/>
        <v>35220</v>
      </c>
      <c r="B14869" s="2" t="str">
        <f>"47388"</f>
        <v>47388</v>
      </c>
      <c r="C14869" s="1">
        <v>4.67508181393174E-5</v>
      </c>
      <c r="D14869" s="1">
        <v>0</v>
      </c>
      <c r="E14869" s="1">
        <v>2.2831050228310501E-3</v>
      </c>
      <c r="F14869" s="1">
        <v>8.55505175806313E-5</v>
      </c>
    </row>
    <row r="14870" spans="1:6" x14ac:dyDescent="0.25">
      <c r="A14870" s="2" t="str">
        <f t="shared" si="528"/>
        <v>35220</v>
      </c>
      <c r="B14870" s="2" t="str">
        <f>"47385"</f>
        <v>47385</v>
      </c>
      <c r="C14870" s="1">
        <v>1.8560074801309001E-2</v>
      </c>
      <c r="D14870" s="1">
        <v>2.3870967741935398E-2</v>
      </c>
      <c r="E14870" s="1">
        <v>5.7077625570776197E-2</v>
      </c>
      <c r="F14870" s="1">
        <v>1.9633843784754801E-2</v>
      </c>
    </row>
    <row r="14871" spans="1:6" x14ac:dyDescent="0.25">
      <c r="A14871" s="2" t="str">
        <f t="shared" si="528"/>
        <v>35220</v>
      </c>
      <c r="B14871" s="2" t="str">
        <f>"47354"</f>
        <v>47354</v>
      </c>
      <c r="C14871" s="1">
        <v>8.5553997194950902E-3</v>
      </c>
      <c r="D14871" s="1">
        <v>2.58064516129032E-3</v>
      </c>
      <c r="E14871" s="1">
        <v>0</v>
      </c>
      <c r="F14871" s="1">
        <v>7.9989733937890304E-3</v>
      </c>
    </row>
    <row r="14872" spans="1:6" x14ac:dyDescent="0.25">
      <c r="A14872" s="2" t="str">
        <f t="shared" si="528"/>
        <v>35220</v>
      </c>
      <c r="B14872" s="2" t="str">
        <f>"47327"</f>
        <v>47327</v>
      </c>
      <c r="C14872" s="1">
        <v>6.4983637213651196E-3</v>
      </c>
      <c r="D14872" s="1">
        <v>2.58064516129032E-3</v>
      </c>
      <c r="E14872" s="1">
        <v>2.2831050228310501E-3</v>
      </c>
      <c r="F14872" s="1">
        <v>6.1596372658054496E-3</v>
      </c>
    </row>
    <row r="14873" spans="1:6" x14ac:dyDescent="0.25">
      <c r="A14873" s="2" t="str">
        <f t="shared" si="528"/>
        <v>35220</v>
      </c>
      <c r="B14873" s="2" t="str">
        <f>"47384"</f>
        <v>47384</v>
      </c>
      <c r="C14873" s="1">
        <v>2.56194483403459E-2</v>
      </c>
      <c r="D14873" s="1">
        <v>5.8064516129032202E-3</v>
      </c>
      <c r="E14873" s="1">
        <v>1.3698630136986301E-2</v>
      </c>
      <c r="F14873" s="1">
        <v>2.40824706989477E-2</v>
      </c>
    </row>
    <row r="14874" spans="1:6" x14ac:dyDescent="0.25">
      <c r="A14874" s="2" t="str">
        <f t="shared" ref="A14874:A14889" si="529">"38500"</f>
        <v>38500</v>
      </c>
      <c r="B14874" s="2" t="str">
        <f>"46550"</f>
        <v>46550</v>
      </c>
      <c r="C14874" s="1">
        <v>5.972254878909E-3</v>
      </c>
      <c r="D14874" s="1">
        <v>7.6009501187648404E-3</v>
      </c>
      <c r="E14874" s="1">
        <v>1.26315789473684E-2</v>
      </c>
      <c r="F14874" s="1">
        <v>6.2486894527154502E-3</v>
      </c>
    </row>
    <row r="14875" spans="1:6" x14ac:dyDescent="0.25">
      <c r="A14875" s="2" t="str">
        <f t="shared" si="529"/>
        <v>38500</v>
      </c>
      <c r="B14875" s="2" t="str">
        <f>"46574"</f>
        <v>46574</v>
      </c>
      <c r="C14875" s="1">
        <v>3.6068657418292897E-2</v>
      </c>
      <c r="D14875" s="1">
        <v>4.2755344418052201E-3</v>
      </c>
      <c r="E14875" s="1">
        <v>0</v>
      </c>
      <c r="F14875" s="1">
        <v>3.2543510169846898E-2</v>
      </c>
    </row>
    <row r="14876" spans="1:6" x14ac:dyDescent="0.25">
      <c r="A14876" s="2" t="str">
        <f t="shared" si="529"/>
        <v>38500</v>
      </c>
      <c r="B14876" s="2" t="str">
        <f>"46524"</f>
        <v>46524</v>
      </c>
      <c r="C14876" s="1">
        <v>5.6430754761344895E-4</v>
      </c>
      <c r="D14876" s="1">
        <v>0</v>
      </c>
      <c r="E14876" s="1">
        <v>0</v>
      </c>
      <c r="F14876" s="1">
        <v>5.0325015726567402E-4</v>
      </c>
    </row>
    <row r="14877" spans="1:6" x14ac:dyDescent="0.25">
      <c r="A14877" s="2" t="str">
        <f t="shared" si="529"/>
        <v>38500</v>
      </c>
      <c r="B14877" s="2" t="str">
        <f>"46975"</f>
        <v>46975</v>
      </c>
      <c r="C14877" s="1">
        <v>1.50482012696919E-3</v>
      </c>
      <c r="D14877" s="1">
        <v>4.7505938242280198E-4</v>
      </c>
      <c r="E14877" s="1">
        <v>0</v>
      </c>
      <c r="F14877" s="1">
        <v>1.3839379324805999E-3</v>
      </c>
    </row>
    <row r="14878" spans="1:6" x14ac:dyDescent="0.25">
      <c r="A14878" s="2" t="str">
        <f t="shared" si="529"/>
        <v>38500</v>
      </c>
      <c r="B14878" s="2" t="str">
        <f>"46572"</f>
        <v>46572</v>
      </c>
      <c r="C14878" s="1">
        <v>4.1852809781330802E-3</v>
      </c>
      <c r="D14878" s="1">
        <v>2.37529691211401E-3</v>
      </c>
      <c r="E14878" s="1">
        <v>8.4210526315789402E-3</v>
      </c>
      <c r="F14878" s="1">
        <v>4.1098762843363298E-3</v>
      </c>
    </row>
    <row r="14879" spans="1:6" x14ac:dyDescent="0.25">
      <c r="A14879" s="2" t="str">
        <f t="shared" si="529"/>
        <v>38500</v>
      </c>
      <c r="B14879" s="2" t="str">
        <f>"46536"</f>
        <v>46536</v>
      </c>
      <c r="C14879" s="1">
        <v>5.54902421819891E-3</v>
      </c>
      <c r="D14879" s="1">
        <v>4.7505938242280198E-4</v>
      </c>
      <c r="E14879" s="1">
        <v>0</v>
      </c>
      <c r="F14879" s="1">
        <v>4.99056405955126E-3</v>
      </c>
    </row>
    <row r="14880" spans="1:6" x14ac:dyDescent="0.25">
      <c r="A14880" s="2" t="str">
        <f t="shared" si="529"/>
        <v>38500</v>
      </c>
      <c r="B14880" s="2" t="str">
        <f>"46506"</f>
        <v>46506</v>
      </c>
      <c r="C14880" s="1">
        <v>0.17009169997648699</v>
      </c>
      <c r="D14880" s="1">
        <v>0.13634204275534401</v>
      </c>
      <c r="E14880" s="1">
        <v>0.26736842105263098</v>
      </c>
      <c r="F14880" s="1">
        <v>0.169050115328161</v>
      </c>
    </row>
    <row r="14881" spans="1:6" x14ac:dyDescent="0.25">
      <c r="A14881" s="2" t="str">
        <f t="shared" si="529"/>
        <v>38500</v>
      </c>
      <c r="B14881" s="2" t="str">
        <f>"46501"</f>
        <v>46501</v>
      </c>
      <c r="C14881" s="1">
        <v>8.3000235128144806E-2</v>
      </c>
      <c r="D14881" s="1">
        <v>6.7458432304038002E-2</v>
      </c>
      <c r="E14881" s="1">
        <v>2.73684210526315E-2</v>
      </c>
      <c r="F14881" s="1">
        <v>8.0520025162507794E-2</v>
      </c>
    </row>
    <row r="14882" spans="1:6" x14ac:dyDescent="0.25">
      <c r="A14882" s="2" t="str">
        <f t="shared" si="529"/>
        <v>38500</v>
      </c>
      <c r="B14882" s="2" t="str">
        <f>"46539"</f>
        <v>46539</v>
      </c>
      <c r="C14882" s="1">
        <v>8.9348695038796101E-4</v>
      </c>
      <c r="D14882" s="1">
        <v>0</v>
      </c>
      <c r="E14882" s="1">
        <v>0</v>
      </c>
      <c r="F14882" s="1">
        <v>7.9681274900398398E-4</v>
      </c>
    </row>
    <row r="14883" spans="1:6" x14ac:dyDescent="0.25">
      <c r="A14883" s="2" t="str">
        <f t="shared" si="529"/>
        <v>38500</v>
      </c>
      <c r="B14883" s="2" t="str">
        <f>"46504"</f>
        <v>46504</v>
      </c>
      <c r="C14883" s="1">
        <v>6.4095932283094195E-2</v>
      </c>
      <c r="D14883" s="1">
        <v>5.8907363420427503E-2</v>
      </c>
      <c r="E14883" s="1">
        <v>3.1578947368420998E-2</v>
      </c>
      <c r="F14883" s="1">
        <v>6.2990144684420199E-2</v>
      </c>
    </row>
    <row r="14884" spans="1:6" x14ac:dyDescent="0.25">
      <c r="A14884" s="2" t="str">
        <f t="shared" si="529"/>
        <v>38500</v>
      </c>
      <c r="B14884" s="2" t="str">
        <f>"46570"</f>
        <v>46570</v>
      </c>
      <c r="C14884" s="1">
        <v>2.1020456148600899E-2</v>
      </c>
      <c r="D14884" s="1">
        <v>5.2256532066508304E-3</v>
      </c>
      <c r="E14884" s="1">
        <v>4.2105263157894701E-3</v>
      </c>
      <c r="F14884" s="1">
        <v>1.9291256028517501E-2</v>
      </c>
    </row>
    <row r="14885" spans="1:6" x14ac:dyDescent="0.25">
      <c r="A14885" s="2" t="str">
        <f t="shared" si="529"/>
        <v>38500</v>
      </c>
      <c r="B14885" s="2" t="str">
        <f>"46563"</f>
        <v>46563</v>
      </c>
      <c r="C14885" s="1">
        <v>0.50656007524100599</v>
      </c>
      <c r="D14885" s="1">
        <v>0.64750593824227998</v>
      </c>
      <c r="E14885" s="1">
        <v>0.54315789473684195</v>
      </c>
      <c r="F14885" s="1">
        <v>0.51973159991612405</v>
      </c>
    </row>
    <row r="14886" spans="1:6" x14ac:dyDescent="0.25">
      <c r="A14886" s="2" t="str">
        <f t="shared" si="529"/>
        <v>38500</v>
      </c>
      <c r="B14886" s="2" t="str">
        <f>"46531"</f>
        <v>46531</v>
      </c>
      <c r="C14886" s="1">
        <v>8.4646132142017299E-4</v>
      </c>
      <c r="D14886" s="1">
        <v>9.5011876484560505E-4</v>
      </c>
      <c r="E14886" s="1">
        <v>0</v>
      </c>
      <c r="F14886" s="1">
        <v>8.3875026210945597E-4</v>
      </c>
    </row>
    <row r="14887" spans="1:6" x14ac:dyDescent="0.25">
      <c r="A14887" s="2" t="str">
        <f t="shared" si="529"/>
        <v>38500</v>
      </c>
      <c r="B14887" s="2" t="str">
        <f>"46537"</f>
        <v>46537</v>
      </c>
      <c r="C14887" s="1">
        <v>0</v>
      </c>
      <c r="D14887" s="1">
        <v>0</v>
      </c>
      <c r="E14887" s="1">
        <v>2.1052631578947299E-3</v>
      </c>
      <c r="F14887" s="1">
        <v>4.1937513105472799E-5</v>
      </c>
    </row>
    <row r="14888" spans="1:6" x14ac:dyDescent="0.25">
      <c r="A14888" s="2" t="str">
        <f t="shared" si="529"/>
        <v>38500</v>
      </c>
      <c r="B14888" s="2" t="str">
        <f>"46513"</f>
        <v>46513</v>
      </c>
      <c r="C14888" s="1">
        <v>0</v>
      </c>
      <c r="D14888" s="1">
        <v>0</v>
      </c>
      <c r="E14888" s="1">
        <v>2.1052631578947299E-3</v>
      </c>
      <c r="F14888" s="1">
        <v>4.1937513105472799E-5</v>
      </c>
    </row>
    <row r="14889" spans="1:6" x14ac:dyDescent="0.25">
      <c r="A14889" s="2" t="str">
        <f t="shared" si="529"/>
        <v>38500</v>
      </c>
      <c r="B14889" s="2" t="str">
        <f>"46511"</f>
        <v>46511</v>
      </c>
      <c r="C14889" s="1">
        <v>9.9647307782741501E-2</v>
      </c>
      <c r="D14889" s="1">
        <v>6.8408551068883605E-2</v>
      </c>
      <c r="E14889" s="1">
        <v>0.10105263157894701</v>
      </c>
      <c r="F14889" s="1">
        <v>9.6917592786747706E-2</v>
      </c>
    </row>
    <row r="14890" spans="1:6" x14ac:dyDescent="0.25">
      <c r="A14890" s="2" t="str">
        <f t="shared" ref="A14890:A14903" si="530">"35860"</f>
        <v>35860</v>
      </c>
      <c r="B14890" s="2" t="str">
        <f>"47274"</f>
        <v>47274</v>
      </c>
      <c r="C14890" s="1">
        <v>1.1782147315855101E-2</v>
      </c>
      <c r="D14890" s="1">
        <v>5.9171597633135998E-3</v>
      </c>
      <c r="E14890" s="1">
        <v>0</v>
      </c>
      <c r="F14890" s="1">
        <v>1.1395383031907E-2</v>
      </c>
    </row>
    <row r="14891" spans="1:6" x14ac:dyDescent="0.25">
      <c r="A14891" s="2" t="str">
        <f t="shared" si="530"/>
        <v>35860</v>
      </c>
      <c r="B14891" s="2" t="str">
        <f>"47229"</f>
        <v>47229</v>
      </c>
      <c r="C14891" s="1">
        <v>7.8027465667915097E-3</v>
      </c>
      <c r="D14891" s="1">
        <v>1.4792899408283999E-3</v>
      </c>
      <c r="E14891" s="1">
        <v>0</v>
      </c>
      <c r="F14891" s="1">
        <v>7.4253786207910599E-3</v>
      </c>
    </row>
    <row r="14892" spans="1:6" x14ac:dyDescent="0.25">
      <c r="A14892" s="2" t="str">
        <f t="shared" si="530"/>
        <v>35860</v>
      </c>
      <c r="B14892" s="2" t="str">
        <f>"47245"</f>
        <v>47245</v>
      </c>
      <c r="C14892" s="1">
        <v>0</v>
      </c>
      <c r="D14892" s="1">
        <v>0</v>
      </c>
      <c r="E14892" s="1">
        <v>9.0909090909090905E-3</v>
      </c>
      <c r="F14892" s="1">
        <v>7.3518600205852003E-5</v>
      </c>
    </row>
    <row r="14893" spans="1:6" x14ac:dyDescent="0.25">
      <c r="A14893" s="2" t="str">
        <f t="shared" si="530"/>
        <v>35860</v>
      </c>
      <c r="B14893" s="2" t="str">
        <f>"47232"</f>
        <v>47232</v>
      </c>
      <c r="C14893" s="1">
        <v>3.4332084893882599E-2</v>
      </c>
      <c r="D14893" s="1">
        <v>5.9171597633135998E-3</v>
      </c>
      <c r="E14893" s="1">
        <v>9.0909090909090905E-3</v>
      </c>
      <c r="F14893" s="1">
        <v>3.2715777091604101E-2</v>
      </c>
    </row>
    <row r="14894" spans="1:6" x14ac:dyDescent="0.25">
      <c r="A14894" s="2" t="str">
        <f t="shared" si="530"/>
        <v>35860</v>
      </c>
      <c r="B14894" s="2" t="str">
        <f>"47273"</f>
        <v>47273</v>
      </c>
      <c r="C14894" s="1">
        <v>5.9847066167290797E-2</v>
      </c>
      <c r="D14894" s="1">
        <v>1.7751479289940801E-2</v>
      </c>
      <c r="E14894" s="1">
        <v>9.0909090909090905E-3</v>
      </c>
      <c r="F14894" s="1">
        <v>5.7344508160564599E-2</v>
      </c>
    </row>
    <row r="14895" spans="1:6" x14ac:dyDescent="0.25">
      <c r="A14895" s="2" t="str">
        <f t="shared" si="530"/>
        <v>35860</v>
      </c>
      <c r="B14895" s="2" t="str">
        <f>"47270"</f>
        <v>47270</v>
      </c>
      <c r="C14895" s="1">
        <v>2.54369538077403E-2</v>
      </c>
      <c r="D14895" s="1">
        <v>1.03550295857988E-2</v>
      </c>
      <c r="E14895" s="1">
        <v>9.0909090909090905E-3</v>
      </c>
      <c r="F14895" s="1">
        <v>2.45552124687545E-2</v>
      </c>
    </row>
    <row r="14896" spans="1:6" x14ac:dyDescent="0.25">
      <c r="A14896" s="2" t="str">
        <f t="shared" si="530"/>
        <v>35860</v>
      </c>
      <c r="B14896" s="2" t="str">
        <f>"47265"</f>
        <v>47265</v>
      </c>
      <c r="C14896" s="1">
        <v>0.73213171036204705</v>
      </c>
      <c r="D14896" s="1">
        <v>0.91568047337278102</v>
      </c>
      <c r="E14896" s="1">
        <v>0.91818181818181799</v>
      </c>
      <c r="F14896" s="1">
        <v>0.74275841787972297</v>
      </c>
    </row>
    <row r="14897" spans="1:6" x14ac:dyDescent="0.25">
      <c r="A14897" s="2" t="str">
        <f t="shared" si="530"/>
        <v>35860</v>
      </c>
      <c r="B14897" s="2" t="str">
        <f>"47283"</f>
        <v>47283</v>
      </c>
      <c r="C14897" s="1">
        <v>8.9731585518102296E-3</v>
      </c>
      <c r="D14897" s="1">
        <v>1.4792899408283999E-3</v>
      </c>
      <c r="E14897" s="1">
        <v>0</v>
      </c>
      <c r="F14897" s="1">
        <v>8.5281576238788407E-3</v>
      </c>
    </row>
    <row r="14898" spans="1:6" x14ac:dyDescent="0.25">
      <c r="A14898" s="2" t="str">
        <f t="shared" si="530"/>
        <v>35860</v>
      </c>
      <c r="B14898" s="2" t="str">
        <f>"47230"</f>
        <v>47230</v>
      </c>
      <c r="C14898" s="1">
        <v>9.7534332084893809E-3</v>
      </c>
      <c r="D14898" s="1">
        <v>1.4792899408283999E-3</v>
      </c>
      <c r="E14898" s="1">
        <v>0</v>
      </c>
      <c r="F14898" s="1">
        <v>9.2633436259373595E-3</v>
      </c>
    </row>
    <row r="14899" spans="1:6" x14ac:dyDescent="0.25">
      <c r="A14899" s="2" t="str">
        <f t="shared" si="530"/>
        <v>35860</v>
      </c>
      <c r="B14899" s="2" t="str">
        <f>"47282"</f>
        <v>47282</v>
      </c>
      <c r="C14899" s="1">
        <v>3.9013732833957502E-4</v>
      </c>
      <c r="D14899" s="1">
        <v>0</v>
      </c>
      <c r="E14899" s="1">
        <v>9.0909090909090905E-3</v>
      </c>
      <c r="F14899" s="1">
        <v>4.4111160123511199E-4</v>
      </c>
    </row>
    <row r="14900" spans="1:6" x14ac:dyDescent="0.25">
      <c r="A14900" s="2" t="str">
        <f t="shared" si="530"/>
        <v>35860</v>
      </c>
      <c r="B14900" s="2" t="str">
        <f>"47231"</f>
        <v>47231</v>
      </c>
      <c r="C14900" s="1">
        <v>7.8807740324594207E-3</v>
      </c>
      <c r="D14900" s="1">
        <v>2.9585798816567999E-3</v>
      </c>
      <c r="E14900" s="1">
        <v>0</v>
      </c>
      <c r="F14900" s="1">
        <v>7.5724158212027602E-3</v>
      </c>
    </row>
    <row r="14901" spans="1:6" x14ac:dyDescent="0.25">
      <c r="A14901" s="2" t="str">
        <f t="shared" si="530"/>
        <v>35860</v>
      </c>
      <c r="B14901" s="2" t="str">
        <f>"47227"</f>
        <v>47227</v>
      </c>
      <c r="C14901" s="1">
        <v>4.1978776529338298E-2</v>
      </c>
      <c r="D14901" s="1">
        <v>4.4378698224852003E-3</v>
      </c>
      <c r="E14901" s="1">
        <v>2.7272727272727199E-2</v>
      </c>
      <c r="F14901" s="1">
        <v>3.9994118511983499E-2</v>
      </c>
    </row>
    <row r="14902" spans="1:6" x14ac:dyDescent="0.25">
      <c r="A14902" s="2" t="str">
        <f t="shared" si="530"/>
        <v>35860</v>
      </c>
      <c r="B14902" s="2" t="str">
        <f>"47223"</f>
        <v>47223</v>
      </c>
      <c r="C14902" s="1">
        <v>5.8988764044943798E-2</v>
      </c>
      <c r="D14902" s="1">
        <v>3.2544378698224803E-2</v>
      </c>
      <c r="E14902" s="1">
        <v>9.0909090909090905E-3</v>
      </c>
      <c r="F14902" s="1">
        <v>5.7270989560358698E-2</v>
      </c>
    </row>
    <row r="14903" spans="1:6" x14ac:dyDescent="0.25">
      <c r="A14903" s="2" t="str">
        <f t="shared" si="530"/>
        <v>35860</v>
      </c>
      <c r="B14903" s="2" t="str">
        <f>"47037"</f>
        <v>47037</v>
      </c>
      <c r="C14903" s="1">
        <v>7.0224719101123496E-4</v>
      </c>
      <c r="D14903" s="1">
        <v>0</v>
      </c>
      <c r="E14903" s="1">
        <v>0</v>
      </c>
      <c r="F14903" s="1">
        <v>6.6166740185266801E-4</v>
      </c>
    </row>
    <row r="14904" spans="1:6" x14ac:dyDescent="0.25">
      <c r="A14904" s="2" t="str">
        <f t="shared" ref="A14904:A14924" si="531">"33220"</f>
        <v>33220</v>
      </c>
      <c r="B14904" s="2" t="str">
        <f>"48641"</f>
        <v>48641</v>
      </c>
      <c r="C14904" s="1">
        <v>2.28478478478478E-2</v>
      </c>
      <c r="D14904" s="1">
        <v>0.11177844511177799</v>
      </c>
      <c r="E14904" s="1">
        <v>2.2271714922048901E-3</v>
      </c>
      <c r="F14904" s="1">
        <v>2.8503021320259898E-2</v>
      </c>
    </row>
    <row r="14905" spans="1:6" x14ac:dyDescent="0.25">
      <c r="A14905" s="2" t="str">
        <f t="shared" si="531"/>
        <v>33220</v>
      </c>
      <c r="B14905" s="2" t="str">
        <f>"48657"</f>
        <v>48657</v>
      </c>
      <c r="C14905" s="1">
        <v>0.107457457457457</v>
      </c>
      <c r="D14905" s="1">
        <v>8.2082082082081995E-2</v>
      </c>
      <c r="E14905" s="1">
        <v>4.78841870824053E-2</v>
      </c>
      <c r="F14905" s="1">
        <v>0.10450347736860099</v>
      </c>
    </row>
    <row r="14906" spans="1:6" x14ac:dyDescent="0.25">
      <c r="A14906" s="2" t="str">
        <f t="shared" si="531"/>
        <v>33220</v>
      </c>
      <c r="B14906" s="2" t="str">
        <f>"48618"</f>
        <v>48618</v>
      </c>
      <c r="C14906" s="1">
        <v>5.6681681681681598E-2</v>
      </c>
      <c r="D14906" s="1">
        <v>1.66833500166833E-2</v>
      </c>
      <c r="E14906" s="1">
        <v>3.2293986636971E-2</v>
      </c>
      <c r="F14906" s="1">
        <v>5.3448865579751398E-2</v>
      </c>
    </row>
    <row r="14907" spans="1:6" x14ac:dyDescent="0.25">
      <c r="A14907" s="2" t="str">
        <f t="shared" si="531"/>
        <v>33220</v>
      </c>
      <c r="B14907" s="2" t="str">
        <f>"48628"</f>
        <v>48628</v>
      </c>
      <c r="C14907" s="1">
        <v>2.0145145145145101E-2</v>
      </c>
      <c r="D14907" s="1">
        <v>7.6743410076743398E-3</v>
      </c>
      <c r="E14907" s="1">
        <v>0</v>
      </c>
      <c r="F14907" s="1">
        <v>1.88804013225401E-2</v>
      </c>
    </row>
    <row r="14908" spans="1:6" x14ac:dyDescent="0.25">
      <c r="A14908" s="2" t="str">
        <f t="shared" si="531"/>
        <v>33220</v>
      </c>
      <c r="B14908" s="2" t="str">
        <f>"48623"</f>
        <v>48623</v>
      </c>
      <c r="C14908" s="1">
        <v>1.1286286286286199E-2</v>
      </c>
      <c r="D14908" s="1">
        <v>3.3366700033366698E-3</v>
      </c>
      <c r="E14908" s="1">
        <v>2.2271714922048901E-3</v>
      </c>
      <c r="F14908" s="1">
        <v>1.0557519097024201E-2</v>
      </c>
    </row>
    <row r="14909" spans="1:6" x14ac:dyDescent="0.25">
      <c r="A14909" s="2" t="str">
        <f t="shared" si="531"/>
        <v>33220</v>
      </c>
      <c r="B14909" s="2" t="str">
        <f>"48640"</f>
        <v>48640</v>
      </c>
      <c r="C14909" s="1">
        <v>0.36003503503503498</v>
      </c>
      <c r="D14909" s="1">
        <v>0.47981314647981299</v>
      </c>
      <c r="E14909" s="1">
        <v>0.46325167037861897</v>
      </c>
      <c r="F14909" s="1">
        <v>0.37033405540987302</v>
      </c>
    </row>
    <row r="14910" spans="1:6" x14ac:dyDescent="0.25">
      <c r="A14910" s="2" t="str">
        <f t="shared" si="531"/>
        <v>33220</v>
      </c>
      <c r="B14910" s="2" t="str">
        <f>"48883"</f>
        <v>48883</v>
      </c>
      <c r="C14910" s="1">
        <v>2.0670670670670601E-2</v>
      </c>
      <c r="D14910" s="1">
        <v>6.3396730063396698E-3</v>
      </c>
      <c r="E14910" s="1">
        <v>0</v>
      </c>
      <c r="F14910" s="1">
        <v>1.92680424124957E-2</v>
      </c>
    </row>
    <row r="14911" spans="1:6" x14ac:dyDescent="0.25">
      <c r="A14911" s="2" t="str">
        <f t="shared" si="531"/>
        <v>33220</v>
      </c>
      <c r="B14911" s="2" t="str">
        <f>"48674"</f>
        <v>48674</v>
      </c>
      <c r="C14911" s="1">
        <v>0</v>
      </c>
      <c r="D14911" s="1">
        <v>2.3356690023356602E-3</v>
      </c>
      <c r="E14911" s="1">
        <v>0</v>
      </c>
      <c r="F14911" s="1">
        <v>1.5961691939345499E-4</v>
      </c>
    </row>
    <row r="14912" spans="1:6" x14ac:dyDescent="0.25">
      <c r="A14912" s="2" t="str">
        <f t="shared" si="531"/>
        <v>33220</v>
      </c>
      <c r="B14912" s="2" t="str">
        <f>"48667"</f>
        <v>48667</v>
      </c>
      <c r="C14912" s="1">
        <v>0</v>
      </c>
      <c r="D14912" s="1">
        <v>3.3366700033366702E-4</v>
      </c>
      <c r="E14912" s="1">
        <v>0</v>
      </c>
      <c r="F14912" s="1">
        <v>2.28024170562079E-5</v>
      </c>
    </row>
    <row r="14913" spans="1:6" x14ac:dyDescent="0.25">
      <c r="A14913" s="2" t="str">
        <f t="shared" si="531"/>
        <v>33220</v>
      </c>
      <c r="B14913" s="2" t="str">
        <f>"48880"</f>
        <v>48880</v>
      </c>
      <c r="C14913" s="1">
        <v>9.5345345345345302E-3</v>
      </c>
      <c r="D14913" s="1">
        <v>3.3366700033366702E-4</v>
      </c>
      <c r="E14913" s="1">
        <v>0</v>
      </c>
      <c r="F14913" s="1">
        <v>8.7105233154714298E-3</v>
      </c>
    </row>
    <row r="14914" spans="1:6" x14ac:dyDescent="0.25">
      <c r="A14914" s="2" t="str">
        <f t="shared" si="531"/>
        <v>33220</v>
      </c>
      <c r="B14914" s="2" t="str">
        <f>"48670"</f>
        <v>48670</v>
      </c>
      <c r="C14914" s="1">
        <v>0</v>
      </c>
      <c r="D14914" s="1">
        <v>1.0010010010009999E-3</v>
      </c>
      <c r="E14914" s="1">
        <v>0</v>
      </c>
      <c r="F14914" s="1">
        <v>6.8407251168623806E-5</v>
      </c>
    </row>
    <row r="14915" spans="1:6" x14ac:dyDescent="0.25">
      <c r="A14915" s="2" t="str">
        <f t="shared" si="531"/>
        <v>33220</v>
      </c>
      <c r="B14915" s="2" t="str">
        <f>"48642"</f>
        <v>48642</v>
      </c>
      <c r="C14915" s="1">
        <v>0.36061061061061001</v>
      </c>
      <c r="D14915" s="1">
        <v>0.27961294627961197</v>
      </c>
      <c r="E14915" s="1">
        <v>0.45211581291759401</v>
      </c>
      <c r="F14915" s="1">
        <v>0.35694903659787902</v>
      </c>
    </row>
    <row r="14916" spans="1:6" x14ac:dyDescent="0.25">
      <c r="A14916" s="2" t="str">
        <f t="shared" si="531"/>
        <v>33220</v>
      </c>
      <c r="B14916" s="2" t="str">
        <f>"48620"</f>
        <v>48620</v>
      </c>
      <c r="C14916" s="1">
        <v>3.7537537537537499E-4</v>
      </c>
      <c r="D14916" s="1">
        <v>1.6683350016683299E-3</v>
      </c>
      <c r="E14916" s="1">
        <v>0</v>
      </c>
      <c r="F14916" s="1">
        <v>4.56048341124159E-4</v>
      </c>
    </row>
    <row r="14917" spans="1:6" x14ac:dyDescent="0.25">
      <c r="A14917" s="2" t="str">
        <f t="shared" si="531"/>
        <v>33220</v>
      </c>
      <c r="B14917" s="2" t="str">
        <f>"48634"</f>
        <v>48634</v>
      </c>
      <c r="C14917" s="1">
        <v>7.5075075075075004E-5</v>
      </c>
      <c r="D14917" s="1">
        <v>0</v>
      </c>
      <c r="E14917" s="1">
        <v>0</v>
      </c>
      <c r="F14917" s="1">
        <v>6.8407251168623806E-5</v>
      </c>
    </row>
    <row r="14918" spans="1:6" x14ac:dyDescent="0.25">
      <c r="A14918" s="2" t="str">
        <f t="shared" si="531"/>
        <v>33220</v>
      </c>
      <c r="B14918" s="2" t="str">
        <f>"48626"</f>
        <v>48626</v>
      </c>
      <c r="C14918" s="1">
        <v>4.5045045045045001E-3</v>
      </c>
      <c r="D14918" s="1">
        <v>2.6693360026693301E-3</v>
      </c>
      <c r="E14918" s="1">
        <v>0</v>
      </c>
      <c r="F14918" s="1">
        <v>4.2868544065670904E-3</v>
      </c>
    </row>
    <row r="14919" spans="1:6" x14ac:dyDescent="0.25">
      <c r="A14919" s="2" t="str">
        <f t="shared" si="531"/>
        <v>33220</v>
      </c>
      <c r="B14919" s="2" t="str">
        <f>"48858"</f>
        <v>48858</v>
      </c>
      <c r="C14919" s="1">
        <v>2.7777777777777701E-3</v>
      </c>
      <c r="D14919" s="1">
        <v>2.0020020020019998E-3</v>
      </c>
      <c r="E14919" s="1">
        <v>0</v>
      </c>
      <c r="F14919" s="1">
        <v>2.66788279557633E-3</v>
      </c>
    </row>
    <row r="14920" spans="1:6" x14ac:dyDescent="0.25">
      <c r="A14920" s="2" t="str">
        <f t="shared" si="531"/>
        <v>33220</v>
      </c>
      <c r="B14920" s="2" t="str">
        <f>"48652"</f>
        <v>48652</v>
      </c>
      <c r="C14920" s="1">
        <v>3.4534534534534501E-3</v>
      </c>
      <c r="D14920" s="1">
        <v>6.6733400066733403E-4</v>
      </c>
      <c r="E14920" s="1">
        <v>0</v>
      </c>
      <c r="F14920" s="1">
        <v>3.19233838786911E-3</v>
      </c>
    </row>
    <row r="14921" spans="1:6" x14ac:dyDescent="0.25">
      <c r="A14921" s="2" t="str">
        <f t="shared" si="531"/>
        <v>33220</v>
      </c>
      <c r="B14921" s="2" t="str">
        <f>"48615"</f>
        <v>48615</v>
      </c>
      <c r="C14921" s="1">
        <v>9.8348348348348304E-3</v>
      </c>
      <c r="D14921" s="1">
        <v>1.0010010010009999E-3</v>
      </c>
      <c r="E14921" s="1">
        <v>0</v>
      </c>
      <c r="F14921" s="1">
        <v>9.0297571542583503E-3</v>
      </c>
    </row>
    <row r="14922" spans="1:6" x14ac:dyDescent="0.25">
      <c r="A14922" s="2" t="str">
        <f t="shared" si="531"/>
        <v>33220</v>
      </c>
      <c r="B14922" s="2" t="str">
        <f>"48637"</f>
        <v>48637</v>
      </c>
      <c r="C14922" s="1">
        <v>4.8048048048048003E-3</v>
      </c>
      <c r="D14922" s="1">
        <v>3.3366700033366702E-4</v>
      </c>
      <c r="E14922" s="1">
        <v>0</v>
      </c>
      <c r="F14922" s="1">
        <v>4.4008664918481297E-3</v>
      </c>
    </row>
    <row r="14923" spans="1:6" x14ac:dyDescent="0.25">
      <c r="A14923" s="2" t="str">
        <f t="shared" si="531"/>
        <v>33220</v>
      </c>
      <c r="B14923" s="2" t="str">
        <f>"48662"</f>
        <v>48662</v>
      </c>
      <c r="C14923" s="1">
        <v>2.9529529529529501E-3</v>
      </c>
      <c r="D14923" s="1">
        <v>3.3366700033366702E-4</v>
      </c>
      <c r="E14923" s="1">
        <v>0</v>
      </c>
      <c r="F14923" s="1">
        <v>2.7134876296887401E-3</v>
      </c>
    </row>
    <row r="14924" spans="1:6" x14ac:dyDescent="0.25">
      <c r="A14924" s="2" t="str">
        <f t="shared" si="531"/>
        <v>33220</v>
      </c>
      <c r="B14924" s="2" t="str">
        <f>"48612"</f>
        <v>48612</v>
      </c>
      <c r="C14924" s="1">
        <v>1.9519519519519499E-3</v>
      </c>
      <c r="D14924" s="1">
        <v>0</v>
      </c>
      <c r="E14924" s="1">
        <v>0</v>
      </c>
      <c r="F14924" s="1">
        <v>1.7785885303842201E-3</v>
      </c>
    </row>
    <row r="14925" spans="1:6" x14ac:dyDescent="0.25">
      <c r="A14925" s="2" t="str">
        <f t="shared" ref="A14925:A14943" si="532">"34380"</f>
        <v>34380</v>
      </c>
      <c r="B14925" s="2" t="str">
        <f>"49305"</f>
        <v>49305</v>
      </c>
      <c r="C14925" s="1">
        <v>2.3389259651967801E-3</v>
      </c>
      <c r="D14925" s="1">
        <v>4.1271151465125798E-4</v>
      </c>
      <c r="E14925" s="1">
        <v>0</v>
      </c>
      <c r="F14925" s="1">
        <v>2.1216012506281002E-3</v>
      </c>
    </row>
    <row r="14926" spans="1:6" x14ac:dyDescent="0.25">
      <c r="A14926" s="2" t="str">
        <f t="shared" si="532"/>
        <v>34380</v>
      </c>
      <c r="B14926" s="2" t="str">
        <f>"48829"</f>
        <v>48829</v>
      </c>
      <c r="C14926" s="1">
        <v>8.1082766793488402E-4</v>
      </c>
      <c r="D14926" s="1">
        <v>0</v>
      </c>
      <c r="E14926" s="1">
        <v>0</v>
      </c>
      <c r="F14926" s="1">
        <v>7.2581095416224598E-4</v>
      </c>
    </row>
    <row r="14927" spans="1:6" x14ac:dyDescent="0.25">
      <c r="A14927" s="2" t="str">
        <f t="shared" si="532"/>
        <v>34380</v>
      </c>
      <c r="B14927" s="2" t="str">
        <f>"48859"</f>
        <v>48859</v>
      </c>
      <c r="C14927" s="1">
        <v>3.1185679535956998E-5</v>
      </c>
      <c r="D14927" s="1">
        <v>4.1271151465125798E-4</v>
      </c>
      <c r="E14927" s="1">
        <v>7.5018754688672095E-4</v>
      </c>
      <c r="F14927" s="1">
        <v>8.3747417787951502E-5</v>
      </c>
    </row>
    <row r="14928" spans="1:6" x14ac:dyDescent="0.25">
      <c r="A14928" s="2" t="str">
        <f t="shared" si="532"/>
        <v>34380</v>
      </c>
      <c r="B14928" s="2" t="str">
        <f>"48877"</f>
        <v>48877</v>
      </c>
      <c r="C14928" s="1">
        <v>2.5260400424125199E-3</v>
      </c>
      <c r="D14928" s="1">
        <v>0</v>
      </c>
      <c r="E14928" s="1">
        <v>0</v>
      </c>
      <c r="F14928" s="1">
        <v>2.26118028027469E-3</v>
      </c>
    </row>
    <row r="14929" spans="1:6" x14ac:dyDescent="0.25">
      <c r="A14929" s="2" t="str">
        <f t="shared" si="532"/>
        <v>34380</v>
      </c>
      <c r="B14929" s="2" t="str">
        <f>"49310"</f>
        <v>49310</v>
      </c>
      <c r="C14929" s="1">
        <v>2.4699058192478002E-2</v>
      </c>
      <c r="D14929" s="1">
        <v>1.36194799834915E-2</v>
      </c>
      <c r="E14929" s="1">
        <v>3.0007501875468799E-3</v>
      </c>
      <c r="F14929" s="1">
        <v>2.3142203115403898E-2</v>
      </c>
    </row>
    <row r="14930" spans="1:6" x14ac:dyDescent="0.25">
      <c r="A14930" s="2" t="str">
        <f t="shared" si="532"/>
        <v>34380</v>
      </c>
      <c r="B14930" s="2" t="str">
        <f>"48618"</f>
        <v>48618</v>
      </c>
      <c r="C14930" s="1">
        <v>8.4513191542443696E-3</v>
      </c>
      <c r="D14930" s="1">
        <v>4.1271151465125798E-4</v>
      </c>
      <c r="E14930" s="1">
        <v>0</v>
      </c>
      <c r="F14930" s="1">
        <v>7.5930992127742703E-3</v>
      </c>
    </row>
    <row r="14931" spans="1:6" x14ac:dyDescent="0.25">
      <c r="A14931" s="2" t="str">
        <f t="shared" si="532"/>
        <v>34380</v>
      </c>
      <c r="B14931" s="2" t="str">
        <f>"48858"</f>
        <v>48858</v>
      </c>
      <c r="C14931" s="1">
        <v>0.662103162227904</v>
      </c>
      <c r="D14931" s="1">
        <v>0.74824597606273202</v>
      </c>
      <c r="E14931" s="1">
        <v>0.93548387096774099</v>
      </c>
      <c r="F14931" s="1">
        <v>0.67810284182904301</v>
      </c>
    </row>
    <row r="14932" spans="1:6" x14ac:dyDescent="0.25">
      <c r="A14932" s="2" t="str">
        <f t="shared" si="532"/>
        <v>34380</v>
      </c>
      <c r="B14932" s="2" t="str">
        <f>"48878"</f>
        <v>48878</v>
      </c>
      <c r="C14932" s="1">
        <v>2.28591030998565E-2</v>
      </c>
      <c r="D14932" s="1">
        <v>9.9050763516302098E-3</v>
      </c>
      <c r="E14932" s="1">
        <v>4.5011252813203298E-3</v>
      </c>
      <c r="F14932" s="1">
        <v>2.1299759924069E-2</v>
      </c>
    </row>
    <row r="14933" spans="1:6" x14ac:dyDescent="0.25">
      <c r="A14933" s="2" t="str">
        <f t="shared" si="532"/>
        <v>34380</v>
      </c>
      <c r="B14933" s="2" t="str">
        <f>"48893"</f>
        <v>48893</v>
      </c>
      <c r="C14933" s="1">
        <v>8.4887419696875105E-2</v>
      </c>
      <c r="D14933" s="1">
        <v>3.1778786628146899E-2</v>
      </c>
      <c r="E14933" s="1">
        <v>1.12528132033008E-2</v>
      </c>
      <c r="F14933" s="1">
        <v>7.8555077885098495E-2</v>
      </c>
    </row>
    <row r="14934" spans="1:6" x14ac:dyDescent="0.25">
      <c r="A14934" s="2" t="str">
        <f t="shared" si="532"/>
        <v>34380</v>
      </c>
      <c r="B14934" s="2" t="str">
        <f>"48883"</f>
        <v>48883</v>
      </c>
      <c r="C14934" s="1">
        <v>7.1009792303374203E-2</v>
      </c>
      <c r="D14934" s="1">
        <v>3.5080478745356899E-2</v>
      </c>
      <c r="E14934" s="1">
        <v>4.0510127531882899E-2</v>
      </c>
      <c r="F14934" s="1">
        <v>6.7444587125230299E-2</v>
      </c>
    </row>
    <row r="14935" spans="1:6" x14ac:dyDescent="0.25">
      <c r="A14935" s="2" t="str">
        <f t="shared" si="532"/>
        <v>34380</v>
      </c>
      <c r="B14935" s="2" t="str">
        <f>"48804"</f>
        <v>48804</v>
      </c>
      <c r="C14935" s="1">
        <v>3.73292584045406E-2</v>
      </c>
      <c r="D14935" s="1">
        <v>0.124226165910028</v>
      </c>
      <c r="E14935" s="1">
        <v>1.5003750937734399E-3</v>
      </c>
      <c r="F14935" s="1">
        <v>4.1873708893975702E-2</v>
      </c>
    </row>
    <row r="14936" spans="1:6" x14ac:dyDescent="0.25">
      <c r="A14936" s="2" t="str">
        <f t="shared" si="532"/>
        <v>34380</v>
      </c>
      <c r="B14936" s="2" t="str">
        <f>"48891"</f>
        <v>48891</v>
      </c>
      <c r="C14936" s="1">
        <v>6.2371359071914105E-5</v>
      </c>
      <c r="D14936" s="1">
        <v>4.1271151465125798E-4</v>
      </c>
      <c r="E14936" s="1">
        <v>0</v>
      </c>
      <c r="F14936" s="1">
        <v>8.3747417787951502E-5</v>
      </c>
    </row>
    <row r="14937" spans="1:6" x14ac:dyDescent="0.25">
      <c r="A14937" s="2" t="str">
        <f t="shared" si="532"/>
        <v>34380</v>
      </c>
      <c r="B14937" s="2" t="str">
        <f>"48617"</f>
        <v>48617</v>
      </c>
      <c r="C14937" s="1">
        <v>2.87843822116883E-2</v>
      </c>
      <c r="D14937" s="1">
        <v>2.9715229054890602E-2</v>
      </c>
      <c r="E14937" s="1">
        <v>1.5003750937734399E-3</v>
      </c>
      <c r="F14937" s="1">
        <v>2.7832058511529201E-2</v>
      </c>
    </row>
    <row r="14938" spans="1:6" x14ac:dyDescent="0.25">
      <c r="A14938" s="2" t="str">
        <f t="shared" si="532"/>
        <v>34380</v>
      </c>
      <c r="B14938" s="2" t="str">
        <f>"49340"</f>
        <v>49340</v>
      </c>
      <c r="C14938" s="1">
        <v>1.19753009418075E-2</v>
      </c>
      <c r="D14938" s="1">
        <v>1.65084605860503E-3</v>
      </c>
      <c r="E14938" s="1">
        <v>1.5003750937734399E-3</v>
      </c>
      <c r="F14938" s="1">
        <v>1.0887164312433599E-2</v>
      </c>
    </row>
    <row r="14939" spans="1:6" x14ac:dyDescent="0.25">
      <c r="A14939" s="2" t="str">
        <f t="shared" si="532"/>
        <v>34380</v>
      </c>
      <c r="B14939" s="2" t="str">
        <f>"48622"</f>
        <v>48622</v>
      </c>
      <c r="C14939" s="1">
        <v>1.5935882242874001E-2</v>
      </c>
      <c r="D14939" s="1">
        <v>2.0635575732562898E-3</v>
      </c>
      <c r="E14939" s="1">
        <v>0</v>
      </c>
      <c r="F14939" s="1">
        <v>1.44045558595276E-2</v>
      </c>
    </row>
    <row r="14940" spans="1:6" x14ac:dyDescent="0.25">
      <c r="A14940" s="2" t="str">
        <f t="shared" si="532"/>
        <v>34380</v>
      </c>
      <c r="B14940" s="2" t="str">
        <f>"48801"</f>
        <v>48801</v>
      </c>
      <c r="C14940" s="1">
        <v>2.1829975675169899E-4</v>
      </c>
      <c r="D14940" s="1">
        <v>0</v>
      </c>
      <c r="E14940" s="1">
        <v>0</v>
      </c>
      <c r="F14940" s="1">
        <v>1.9541064150522001E-4</v>
      </c>
    </row>
    <row r="14941" spans="1:6" x14ac:dyDescent="0.25">
      <c r="A14941" s="2" t="str">
        <f t="shared" si="532"/>
        <v>34380</v>
      </c>
      <c r="B14941" s="2" t="str">
        <f>"48896"</f>
        <v>48896</v>
      </c>
      <c r="C14941" s="1">
        <v>3.1185679535956998E-5</v>
      </c>
      <c r="D14941" s="1">
        <v>8.2542302930251705E-4</v>
      </c>
      <c r="E14941" s="1">
        <v>0</v>
      </c>
      <c r="F14941" s="1">
        <v>8.3747417787951502E-5</v>
      </c>
    </row>
    <row r="14942" spans="1:6" x14ac:dyDescent="0.25">
      <c r="A14942" s="2" t="str">
        <f t="shared" si="532"/>
        <v>34380</v>
      </c>
      <c r="B14942" s="2" t="str">
        <f>"48880"</f>
        <v>48880</v>
      </c>
      <c r="C14942" s="1">
        <v>3.0561965945237902E-3</v>
      </c>
      <c r="D14942" s="1">
        <v>8.2542302930251705E-4</v>
      </c>
      <c r="E14942" s="1">
        <v>0</v>
      </c>
      <c r="F14942" s="1">
        <v>2.7915805929317099E-3</v>
      </c>
    </row>
    <row r="14943" spans="1:6" x14ac:dyDescent="0.25">
      <c r="A14943" s="2" t="str">
        <f t="shared" si="532"/>
        <v>34380</v>
      </c>
      <c r="B14943" s="2" t="str">
        <f>"48632"</f>
        <v>48632</v>
      </c>
      <c r="C14943" s="1">
        <v>2.28902887793925E-2</v>
      </c>
      <c r="D14943" s="1">
        <v>4.1271151465125798E-4</v>
      </c>
      <c r="E14943" s="1">
        <v>0</v>
      </c>
      <c r="F14943" s="1">
        <v>2.05181173580481E-2</v>
      </c>
    </row>
    <row r="14944" spans="1:6" x14ac:dyDescent="0.25">
      <c r="A14944" s="2" t="str">
        <f t="shared" ref="A14944:A14979" si="533">"45900"</f>
        <v>45900</v>
      </c>
      <c r="B14944" s="2" t="str">
        <f>"49696"</f>
        <v>49696</v>
      </c>
      <c r="C14944" s="1">
        <v>5.9931127782560503E-2</v>
      </c>
      <c r="D14944" s="1">
        <v>6.5361242403781203E-2</v>
      </c>
      <c r="E14944" s="1">
        <v>2.8333333333333301E-2</v>
      </c>
      <c r="F14944" s="1">
        <v>5.9540141579322803E-2</v>
      </c>
    </row>
    <row r="14945" spans="1:6" x14ac:dyDescent="0.25">
      <c r="A14945" s="2" t="str">
        <f t="shared" si="533"/>
        <v>45900</v>
      </c>
      <c r="B14945" s="2" t="str">
        <f>"49659"</f>
        <v>49659</v>
      </c>
      <c r="C14945" s="1">
        <v>1.16836797441889E-2</v>
      </c>
      <c r="D14945" s="1">
        <v>2.0256583389601599E-3</v>
      </c>
      <c r="E14945" s="1">
        <v>0</v>
      </c>
      <c r="F14945" s="1">
        <v>1.05910113592712E-2</v>
      </c>
    </row>
    <row r="14946" spans="1:6" x14ac:dyDescent="0.25">
      <c r="A14946" s="2" t="str">
        <f t="shared" si="533"/>
        <v>45900</v>
      </c>
      <c r="B14946" s="2" t="str">
        <f>"49683"</f>
        <v>49683</v>
      </c>
      <c r="C14946" s="1">
        <v>9.8265895953757194E-3</v>
      </c>
      <c r="D14946" s="1">
        <v>2.2957461174881802E-3</v>
      </c>
      <c r="E14946" s="1">
        <v>1.6666666666666601E-3</v>
      </c>
      <c r="F14946" s="1">
        <v>8.9996158700543193E-3</v>
      </c>
    </row>
    <row r="14947" spans="1:6" x14ac:dyDescent="0.25">
      <c r="A14947" s="2" t="str">
        <f t="shared" si="533"/>
        <v>45900</v>
      </c>
      <c r="B14947" s="2" t="str">
        <f>"49680"</f>
        <v>49680</v>
      </c>
      <c r="C14947" s="1">
        <v>1.2237117205755699E-2</v>
      </c>
      <c r="D14947" s="1">
        <v>2.4307900067521899E-3</v>
      </c>
      <c r="E14947" s="1">
        <v>1.6666666666666601E-3</v>
      </c>
      <c r="F14947" s="1">
        <v>1.11617187071283E-2</v>
      </c>
    </row>
    <row r="14948" spans="1:6" x14ac:dyDescent="0.25">
      <c r="A14948" s="2" t="str">
        <f t="shared" si="533"/>
        <v>45900</v>
      </c>
      <c r="B14948" s="2" t="str">
        <f>"49670"</f>
        <v>49670</v>
      </c>
      <c r="C14948" s="1">
        <v>1.8177345959906499E-2</v>
      </c>
      <c r="D14948" s="1">
        <v>3.7812288993923E-3</v>
      </c>
      <c r="E14948" s="1">
        <v>2.9166666666666599E-3</v>
      </c>
      <c r="F14948" s="1">
        <v>1.6605388794380699E-2</v>
      </c>
    </row>
    <row r="14949" spans="1:6" x14ac:dyDescent="0.25">
      <c r="A14949" s="2" t="str">
        <f t="shared" si="533"/>
        <v>45900</v>
      </c>
      <c r="B14949" s="2" t="str">
        <f>"49635"</f>
        <v>49635</v>
      </c>
      <c r="C14949" s="1">
        <v>3.3169351863239403E-2</v>
      </c>
      <c r="D14949" s="1">
        <v>1.90411883862255E-2</v>
      </c>
      <c r="E14949" s="1">
        <v>1.4999999999999999E-2</v>
      </c>
      <c r="F14949" s="1">
        <v>3.1542556110409903E-2</v>
      </c>
    </row>
    <row r="14950" spans="1:6" x14ac:dyDescent="0.25">
      <c r="A14950" s="2" t="str">
        <f t="shared" si="533"/>
        <v>45900</v>
      </c>
      <c r="B14950" s="2" t="str">
        <f>"49628"</f>
        <v>49628</v>
      </c>
      <c r="C14950" s="1">
        <v>2.4597220514081901E-5</v>
      </c>
      <c r="D14950" s="1">
        <v>1.3504388926401E-4</v>
      </c>
      <c r="E14950" s="1">
        <v>0</v>
      </c>
      <c r="F14950" s="1">
        <v>3.2925423914832898E-5</v>
      </c>
    </row>
    <row r="14951" spans="1:6" x14ac:dyDescent="0.25">
      <c r="A14951" s="2" t="str">
        <f t="shared" si="533"/>
        <v>45900</v>
      </c>
      <c r="B14951" s="2" t="str">
        <f>"49738"</f>
        <v>49738</v>
      </c>
      <c r="C14951" s="1">
        <v>1.79559709752797E-3</v>
      </c>
      <c r="D14951" s="1">
        <v>6.7521944632005395E-4</v>
      </c>
      <c r="E14951" s="1">
        <v>0</v>
      </c>
      <c r="F14951" s="1">
        <v>1.6572463370465799E-3</v>
      </c>
    </row>
    <row r="14952" spans="1:6" x14ac:dyDescent="0.25">
      <c r="A14952" s="2" t="str">
        <f t="shared" si="533"/>
        <v>45900</v>
      </c>
      <c r="B14952" s="2" t="str">
        <f>"49654"</f>
        <v>49654</v>
      </c>
      <c r="C14952" s="1">
        <v>4.0708399950805498E-3</v>
      </c>
      <c r="D14952" s="1">
        <v>2.2957461174881802E-3</v>
      </c>
      <c r="E14952" s="1">
        <v>1.25E-3</v>
      </c>
      <c r="F14952" s="1">
        <v>3.8522745980354399E-3</v>
      </c>
    </row>
    <row r="14953" spans="1:6" x14ac:dyDescent="0.25">
      <c r="A14953" s="2" t="str">
        <f t="shared" si="533"/>
        <v>45900</v>
      </c>
      <c r="B14953" s="2" t="str">
        <f>"49650"</f>
        <v>49650</v>
      </c>
      <c r="C14953" s="1">
        <v>1.6799901611117898E-2</v>
      </c>
      <c r="D14953" s="1">
        <v>2.1607022282241701E-3</v>
      </c>
      <c r="E14953" s="1">
        <v>2.0833333333333298E-3</v>
      </c>
      <c r="F14953" s="1">
        <v>1.5222520989957701E-2</v>
      </c>
    </row>
    <row r="14954" spans="1:6" x14ac:dyDescent="0.25">
      <c r="A14954" s="2" t="str">
        <f t="shared" si="533"/>
        <v>45900</v>
      </c>
      <c r="B14954" s="2" t="str">
        <f>"49684"</f>
        <v>49684</v>
      </c>
      <c r="C14954" s="1">
        <v>0.14177837904316801</v>
      </c>
      <c r="D14954" s="1">
        <v>0.32329507089804099</v>
      </c>
      <c r="E14954" s="1">
        <v>0.39874999999999999</v>
      </c>
      <c r="F14954" s="1">
        <v>0.16329912747626599</v>
      </c>
    </row>
    <row r="14955" spans="1:6" x14ac:dyDescent="0.25">
      <c r="A14955" s="2" t="str">
        <f t="shared" si="533"/>
        <v>45900</v>
      </c>
      <c r="B14955" s="2" t="str">
        <f>"49613"</f>
        <v>49613</v>
      </c>
      <c r="C14955" s="1">
        <v>1.4020415693026601E-3</v>
      </c>
      <c r="D14955" s="1">
        <v>4.0513166779203199E-4</v>
      </c>
      <c r="E14955" s="1">
        <v>0</v>
      </c>
      <c r="F14955" s="1">
        <v>1.2840915326784799E-3</v>
      </c>
    </row>
    <row r="14956" spans="1:6" x14ac:dyDescent="0.25">
      <c r="A14956" s="2" t="str">
        <f t="shared" si="533"/>
        <v>45900</v>
      </c>
      <c r="B14956" s="2" t="str">
        <f>"49621"</f>
        <v>49621</v>
      </c>
      <c r="C14956" s="1">
        <v>2.1313491575451898E-2</v>
      </c>
      <c r="D14956" s="1">
        <v>3.5111411208642801E-3</v>
      </c>
      <c r="E14956" s="1">
        <v>1.25E-3</v>
      </c>
      <c r="F14956" s="1">
        <v>1.9338198979311799E-2</v>
      </c>
    </row>
    <row r="14957" spans="1:6" x14ac:dyDescent="0.25">
      <c r="A14957" s="2" t="str">
        <f t="shared" si="533"/>
        <v>45900</v>
      </c>
      <c r="B14957" s="2" t="str">
        <f>"49640"</f>
        <v>49640</v>
      </c>
      <c r="C14957" s="1">
        <v>1.3676054605829499E-2</v>
      </c>
      <c r="D14957" s="1">
        <v>6.2120189061444899E-3</v>
      </c>
      <c r="E14957" s="1">
        <v>1.6666666666666601E-3</v>
      </c>
      <c r="F14957" s="1">
        <v>1.27531141963452E-2</v>
      </c>
    </row>
    <row r="14958" spans="1:6" x14ac:dyDescent="0.25">
      <c r="A14958" s="2" t="str">
        <f t="shared" si="533"/>
        <v>45900</v>
      </c>
      <c r="B14958" s="2" t="str">
        <f>"49676"</f>
        <v>49676</v>
      </c>
      <c r="C14958" s="1">
        <v>1.6972082154716499E-2</v>
      </c>
      <c r="D14958" s="1">
        <v>4.3214044564483401E-3</v>
      </c>
      <c r="E14958" s="1">
        <v>8.3333333333333295E-4</v>
      </c>
      <c r="F14958" s="1">
        <v>1.55188498051912E-2</v>
      </c>
    </row>
    <row r="14959" spans="1:6" x14ac:dyDescent="0.25">
      <c r="A14959" s="2" t="str">
        <f t="shared" si="533"/>
        <v>45900</v>
      </c>
      <c r="B14959" s="2" t="str">
        <f>"49649"</f>
        <v>49649</v>
      </c>
      <c r="C14959" s="1">
        <v>3.2935678268355598E-2</v>
      </c>
      <c r="D14959" s="1">
        <v>8.7778528021606999E-3</v>
      </c>
      <c r="E14959" s="1">
        <v>5.4166666666666599E-3</v>
      </c>
      <c r="F14959" s="1">
        <v>3.0247489436426401E-2</v>
      </c>
    </row>
    <row r="14960" spans="1:6" x14ac:dyDescent="0.25">
      <c r="A14960" s="2" t="str">
        <f t="shared" si="533"/>
        <v>45900</v>
      </c>
      <c r="B14960" s="2" t="str">
        <f>"49612"</f>
        <v>49612</v>
      </c>
      <c r="C14960" s="1">
        <v>2.6564998155208402E-3</v>
      </c>
      <c r="D14960" s="1">
        <v>0</v>
      </c>
      <c r="E14960" s="1">
        <v>0</v>
      </c>
      <c r="F14960" s="1">
        <v>2.3706305218679602E-3</v>
      </c>
    </row>
    <row r="14961" spans="1:6" x14ac:dyDescent="0.25">
      <c r="A14961" s="2" t="str">
        <f t="shared" si="533"/>
        <v>45900</v>
      </c>
      <c r="B14961" s="2" t="str">
        <f>"49630"</f>
        <v>49630</v>
      </c>
      <c r="C14961" s="1">
        <v>1.2077235272414199E-2</v>
      </c>
      <c r="D14961" s="1">
        <v>6.8872383524645501E-3</v>
      </c>
      <c r="E14961" s="1">
        <v>7.4999999999999997E-3</v>
      </c>
      <c r="F14961" s="1">
        <v>1.15348735114964E-2</v>
      </c>
    </row>
    <row r="14962" spans="1:6" x14ac:dyDescent="0.25">
      <c r="A14962" s="2" t="str">
        <f t="shared" si="533"/>
        <v>45900</v>
      </c>
      <c r="B14962" s="2" t="str">
        <f>"49610"</f>
        <v>49610</v>
      </c>
      <c r="C14962" s="1">
        <v>3.7879719591686102E-3</v>
      </c>
      <c r="D14962" s="1">
        <v>1.6745442268737299E-2</v>
      </c>
      <c r="E14962" s="1">
        <v>4.1666666666666599E-4</v>
      </c>
      <c r="F14962" s="1">
        <v>4.7522361850408801E-3</v>
      </c>
    </row>
    <row r="14963" spans="1:6" x14ac:dyDescent="0.25">
      <c r="A14963" s="2" t="str">
        <f t="shared" si="533"/>
        <v>45900</v>
      </c>
      <c r="B14963" s="2" t="str">
        <f>"49690"</f>
        <v>49690</v>
      </c>
      <c r="C14963" s="1">
        <v>4.0253351371295001E-2</v>
      </c>
      <c r="D14963" s="1">
        <v>2.67386900742741E-2</v>
      </c>
      <c r="E14963" s="1">
        <v>1.8749999999999999E-2</v>
      </c>
      <c r="F14963" s="1">
        <v>3.85885968281841E-2</v>
      </c>
    </row>
    <row r="14964" spans="1:6" x14ac:dyDescent="0.25">
      <c r="A14964" s="2" t="str">
        <f t="shared" si="533"/>
        <v>45900</v>
      </c>
      <c r="B14964" s="2" t="str">
        <f>"49643"</f>
        <v>49643</v>
      </c>
      <c r="C14964" s="1">
        <v>4.0855983273889999E-2</v>
      </c>
      <c r="D14964" s="1">
        <v>1.75557056043214E-2</v>
      </c>
      <c r="E14964" s="1">
        <v>5.4166666666666599E-3</v>
      </c>
      <c r="F14964" s="1">
        <v>3.8028864621631998E-2</v>
      </c>
    </row>
    <row r="14965" spans="1:6" x14ac:dyDescent="0.25">
      <c r="A14965" s="2" t="str">
        <f t="shared" si="533"/>
        <v>45900</v>
      </c>
      <c r="B14965" s="2" t="str">
        <f>"49666"</f>
        <v>49666</v>
      </c>
      <c r="C14965" s="1">
        <v>0</v>
      </c>
      <c r="D14965" s="1">
        <v>1.3504388926401E-4</v>
      </c>
      <c r="E14965" s="1">
        <v>0</v>
      </c>
      <c r="F14965" s="1">
        <v>1.09751413049443E-5</v>
      </c>
    </row>
    <row r="14966" spans="1:6" x14ac:dyDescent="0.25">
      <c r="A14966" s="2" t="str">
        <f t="shared" si="533"/>
        <v>45900</v>
      </c>
      <c r="B14966" s="2" t="str">
        <f>"49674"</f>
        <v>49674</v>
      </c>
      <c r="C14966" s="1">
        <v>2.4597220514081901E-5</v>
      </c>
      <c r="D14966" s="1">
        <v>4.0513166779203199E-4</v>
      </c>
      <c r="E14966" s="1">
        <v>0</v>
      </c>
      <c r="F14966" s="1">
        <v>5.4875706524721498E-5</v>
      </c>
    </row>
    <row r="14967" spans="1:6" x14ac:dyDescent="0.25">
      <c r="A14967" s="2" t="str">
        <f t="shared" si="533"/>
        <v>45900</v>
      </c>
      <c r="B14967" s="2" t="str">
        <f>"49633"</f>
        <v>49633</v>
      </c>
      <c r="C14967" s="1">
        <v>2.5765588488500701E-2</v>
      </c>
      <c r="D14967" s="1">
        <v>4.7265361242403697E-3</v>
      </c>
      <c r="E14967" s="1">
        <v>3.7499999999999999E-3</v>
      </c>
      <c r="F14967" s="1">
        <v>2.34758272512758E-2</v>
      </c>
    </row>
    <row r="14968" spans="1:6" x14ac:dyDescent="0.25">
      <c r="A14968" s="2" t="str">
        <f t="shared" si="533"/>
        <v>45900</v>
      </c>
      <c r="B14968" s="2" t="str">
        <f>"49637"</f>
        <v>49637</v>
      </c>
      <c r="C14968" s="1">
        <v>2.0354199975402699E-2</v>
      </c>
      <c r="D14968" s="1">
        <v>8.5077650236326796E-3</v>
      </c>
      <c r="E14968" s="1">
        <v>3.3333333333333301E-3</v>
      </c>
      <c r="F14968" s="1">
        <v>1.8943093892333802E-2</v>
      </c>
    </row>
    <row r="14969" spans="1:6" x14ac:dyDescent="0.25">
      <c r="A14969" s="2" t="str">
        <f t="shared" si="533"/>
        <v>45900</v>
      </c>
      <c r="B14969" s="2" t="str">
        <f>"49686"</f>
        <v>49686</v>
      </c>
      <c r="C14969" s="1">
        <v>0.16397737055712699</v>
      </c>
      <c r="D14969" s="1">
        <v>0.24848075624577901</v>
      </c>
      <c r="E14969" s="1">
        <v>0.322083333333333</v>
      </c>
      <c r="F14969" s="1">
        <v>0.17500960324864101</v>
      </c>
    </row>
    <row r="14970" spans="1:6" x14ac:dyDescent="0.25">
      <c r="A14970" s="2" t="str">
        <f t="shared" si="533"/>
        <v>45900</v>
      </c>
      <c r="B14970" s="2" t="str">
        <f>"49673"</f>
        <v>49673</v>
      </c>
      <c r="C14970" s="1">
        <v>0</v>
      </c>
      <c r="D14970" s="1">
        <v>1.3504388926401E-4</v>
      </c>
      <c r="E14970" s="1">
        <v>0</v>
      </c>
      <c r="F14970" s="1">
        <v>1.09751413049443E-5</v>
      </c>
    </row>
    <row r="14971" spans="1:6" x14ac:dyDescent="0.25">
      <c r="A14971" s="2" t="str">
        <f t="shared" si="533"/>
        <v>45900</v>
      </c>
      <c r="B14971" s="2" t="str">
        <f>"49636"</f>
        <v>49636</v>
      </c>
      <c r="C14971" s="1">
        <v>5.8541384823514904E-3</v>
      </c>
      <c r="D14971" s="1">
        <v>2.2957461174881802E-3</v>
      </c>
      <c r="E14971" s="1">
        <v>4.1666666666666599E-4</v>
      </c>
      <c r="F14971" s="1">
        <v>5.4217198046424796E-3</v>
      </c>
    </row>
    <row r="14972" spans="1:6" x14ac:dyDescent="0.25">
      <c r="A14972" s="2" t="str">
        <f t="shared" si="533"/>
        <v>45900</v>
      </c>
      <c r="B14972" s="2" t="str">
        <f>"49620"</f>
        <v>49620</v>
      </c>
      <c r="C14972" s="1">
        <v>5.6327634977247501E-3</v>
      </c>
      <c r="D14972" s="1">
        <v>8.1026333558406399E-4</v>
      </c>
      <c r="E14972" s="1">
        <v>4.1666666666666599E-4</v>
      </c>
      <c r="F14972" s="1">
        <v>5.1034407067991E-3</v>
      </c>
    </row>
    <row r="14973" spans="1:6" x14ac:dyDescent="0.25">
      <c r="A14973" s="2" t="str">
        <f t="shared" si="533"/>
        <v>45900</v>
      </c>
      <c r="B14973" s="2" t="str">
        <f>"49616"</f>
        <v>49616</v>
      </c>
      <c r="C14973" s="1">
        <v>1.33808879596605E-2</v>
      </c>
      <c r="D14973" s="1">
        <v>1.37744767049291E-2</v>
      </c>
      <c r="E14973" s="1">
        <v>1.7083333333333301E-2</v>
      </c>
      <c r="F14973" s="1">
        <v>1.35103989463864E-2</v>
      </c>
    </row>
    <row r="14974" spans="1:6" x14ac:dyDescent="0.25">
      <c r="A14974" s="2" t="str">
        <f t="shared" si="533"/>
        <v>45900</v>
      </c>
      <c r="B14974" s="2" t="str">
        <f>"49682"</f>
        <v>49682</v>
      </c>
      <c r="C14974" s="1">
        <v>2.7536588365514598E-2</v>
      </c>
      <c r="D14974" s="1">
        <v>1.10735989196488E-2</v>
      </c>
      <c r="E14974" s="1">
        <v>5.0416666666666603E-2</v>
      </c>
      <c r="F14974" s="1">
        <v>2.6801295066673898E-2</v>
      </c>
    </row>
    <row r="14975" spans="1:6" x14ac:dyDescent="0.25">
      <c r="A14975" s="2" t="str">
        <f t="shared" si="533"/>
        <v>45900</v>
      </c>
      <c r="B14975" s="2" t="str">
        <f>"49685"</f>
        <v>49685</v>
      </c>
      <c r="C14975" s="1">
        <v>0.12173164432419099</v>
      </c>
      <c r="D14975" s="1">
        <v>0.140445644834571</v>
      </c>
      <c r="E14975" s="1">
        <v>6.5416666666666595E-2</v>
      </c>
      <c r="F14975" s="1">
        <v>0.121769192778357</v>
      </c>
    </row>
    <row r="14976" spans="1:6" x14ac:dyDescent="0.25">
      <c r="A14976" s="2" t="str">
        <f t="shared" si="533"/>
        <v>45900</v>
      </c>
      <c r="B14976" s="2" t="str">
        <f>"49617"</f>
        <v>49617</v>
      </c>
      <c r="C14976" s="1">
        <v>2.70815397860041E-2</v>
      </c>
      <c r="D14976" s="1">
        <v>8.5077650236326796E-3</v>
      </c>
      <c r="E14976" s="1">
        <v>4.5833333333333299E-3</v>
      </c>
      <c r="F14976" s="1">
        <v>2.4979421610053201E-2</v>
      </c>
    </row>
    <row r="14977" spans="1:6" x14ac:dyDescent="0.25">
      <c r="A14977" s="2" t="str">
        <f t="shared" si="533"/>
        <v>45900</v>
      </c>
      <c r="B14977" s="2" t="str">
        <f>"49653"</f>
        <v>49653</v>
      </c>
      <c r="C14977" s="1">
        <v>1.4290985118681499E-2</v>
      </c>
      <c r="D14977" s="1">
        <v>6.8872383524645501E-3</v>
      </c>
      <c r="E14977" s="1">
        <v>6.6666666666666602E-3</v>
      </c>
      <c r="F14977" s="1">
        <v>1.3488448663776499E-2</v>
      </c>
    </row>
    <row r="14978" spans="1:6" x14ac:dyDescent="0.25">
      <c r="A14978" s="2" t="str">
        <f t="shared" si="533"/>
        <v>45900</v>
      </c>
      <c r="B14978" s="2" t="str">
        <f>"49646"</f>
        <v>49646</v>
      </c>
      <c r="C14978" s="1">
        <v>6.3350141434017904E-2</v>
      </c>
      <c r="D14978" s="1">
        <v>3.3760972316002703E-2</v>
      </c>
      <c r="E14978" s="1">
        <v>3.125E-2</v>
      </c>
      <c r="F14978" s="1">
        <v>6.0099873785874898E-2</v>
      </c>
    </row>
    <row r="14979" spans="1:6" x14ac:dyDescent="0.25">
      <c r="A14979" s="2" t="str">
        <f t="shared" si="533"/>
        <v>45900</v>
      </c>
      <c r="B14979" s="2" t="str">
        <f>"49664"</f>
        <v>49664</v>
      </c>
      <c r="C14979" s="1">
        <v>1.5594637805927901E-2</v>
      </c>
      <c r="D14979" s="1">
        <v>5.4017555705604299E-3</v>
      </c>
      <c r="E14979" s="1">
        <v>1.6666666666666601E-3</v>
      </c>
      <c r="F14979" s="1">
        <v>1.43993853920869E-2</v>
      </c>
    </row>
    <row r="14980" spans="1:6" x14ac:dyDescent="0.25">
      <c r="A14980" s="2" t="str">
        <f t="shared" ref="A14980:A15008" si="534">"15680"</f>
        <v>15680</v>
      </c>
      <c r="B14980" s="2" t="str">
        <f>"20653"</f>
        <v>20653</v>
      </c>
      <c r="C14980" s="1">
        <v>0.246206798232215</v>
      </c>
      <c r="D14980" s="1">
        <v>0.30128205128205099</v>
      </c>
      <c r="E14980" s="1">
        <v>0.34949832775919698</v>
      </c>
      <c r="F14980" s="1">
        <v>0.25401230623162702</v>
      </c>
    </row>
    <row r="14981" spans="1:6" x14ac:dyDescent="0.25">
      <c r="A14981" s="2" t="str">
        <f t="shared" si="534"/>
        <v>15680</v>
      </c>
      <c r="B14981" s="2" t="str">
        <f>"20620"</f>
        <v>20620</v>
      </c>
      <c r="C14981" s="1">
        <v>1.00812610741125E-2</v>
      </c>
      <c r="D14981" s="1">
        <v>1.37362637362637E-2</v>
      </c>
      <c r="E14981" s="1">
        <v>1.0451505016722399E-2</v>
      </c>
      <c r="F14981" s="1">
        <v>1.03160547024776E-2</v>
      </c>
    </row>
    <row r="14982" spans="1:6" x14ac:dyDescent="0.25">
      <c r="A14982" s="2" t="str">
        <f t="shared" si="534"/>
        <v>15680</v>
      </c>
      <c r="B14982" s="2" t="str">
        <f>"20686"</f>
        <v>20686</v>
      </c>
      <c r="C14982" s="1">
        <v>2.03661839881061E-5</v>
      </c>
      <c r="D14982" s="1">
        <v>1.2210012210012199E-3</v>
      </c>
      <c r="E14982" s="1">
        <v>4.1806020066889599E-4</v>
      </c>
      <c r="F14982" s="1">
        <v>1.0955102338914299E-4</v>
      </c>
    </row>
    <row r="14983" spans="1:6" x14ac:dyDescent="0.25">
      <c r="A14983" s="2" t="str">
        <f t="shared" si="534"/>
        <v>15680</v>
      </c>
      <c r="B14983" s="2" t="str">
        <f>"20684"</f>
        <v>20684</v>
      </c>
      <c r="C14983" s="1">
        <v>9.2055151626239708E-3</v>
      </c>
      <c r="D14983" s="1">
        <v>2.5641025641025599E-2</v>
      </c>
      <c r="E14983" s="1">
        <v>2.0903010033444799E-2</v>
      </c>
      <c r="F14983" s="1">
        <v>1.06994832843396E-2</v>
      </c>
    </row>
    <row r="14984" spans="1:6" x14ac:dyDescent="0.25">
      <c r="A14984" s="2" t="str">
        <f t="shared" si="534"/>
        <v>15680</v>
      </c>
      <c r="B14984" s="2" t="str">
        <f>"20656"</f>
        <v>20656</v>
      </c>
      <c r="C14984" s="1">
        <v>1.30343577523879E-3</v>
      </c>
      <c r="D14984" s="1">
        <v>1.2210012210012199E-3</v>
      </c>
      <c r="E14984" s="1">
        <v>4.1806020066889599E-4</v>
      </c>
      <c r="F14984" s="1">
        <v>1.2598367689751499E-3</v>
      </c>
    </row>
    <row r="14985" spans="1:6" x14ac:dyDescent="0.25">
      <c r="A14985" s="2" t="str">
        <f t="shared" si="534"/>
        <v>15680</v>
      </c>
      <c r="B14985" s="2" t="str">
        <f>"20630"</f>
        <v>20630</v>
      </c>
      <c r="C14985" s="1">
        <v>5.7432638846459296E-3</v>
      </c>
      <c r="D14985" s="1">
        <v>9.1575091575091499E-4</v>
      </c>
      <c r="E14985" s="1">
        <v>2.0903010033444802E-3</v>
      </c>
      <c r="F14985" s="1">
        <v>5.2949661304752598E-3</v>
      </c>
    </row>
    <row r="14986" spans="1:6" x14ac:dyDescent="0.25">
      <c r="A14986" s="2" t="str">
        <f t="shared" si="534"/>
        <v>15680</v>
      </c>
      <c r="B14986" s="2" t="str">
        <f>"20627"</f>
        <v>20627</v>
      </c>
      <c r="C14986" s="1">
        <v>1.0183091994053E-4</v>
      </c>
      <c r="D14986" s="1">
        <v>0</v>
      </c>
      <c r="E14986" s="1">
        <v>4.1806020066889599E-4</v>
      </c>
      <c r="F14986" s="1">
        <v>1.0955102338914299E-4</v>
      </c>
    </row>
    <row r="14987" spans="1:6" x14ac:dyDescent="0.25">
      <c r="A14987" s="2" t="str">
        <f t="shared" si="534"/>
        <v>15680</v>
      </c>
      <c r="B14987" s="2" t="str">
        <f>"20680"</f>
        <v>20680</v>
      </c>
      <c r="C14987" s="1">
        <v>9.0018533227429094E-3</v>
      </c>
      <c r="D14987" s="1">
        <v>3.9682539682539602E-3</v>
      </c>
      <c r="E14987" s="1">
        <v>5.8528428093645403E-3</v>
      </c>
      <c r="F14987" s="1">
        <v>8.56323832825138E-3</v>
      </c>
    </row>
    <row r="14988" spans="1:6" x14ac:dyDescent="0.25">
      <c r="A14988" s="2" t="str">
        <f t="shared" si="534"/>
        <v>15680</v>
      </c>
      <c r="B14988" s="2" t="str">
        <f>"20635"</f>
        <v>20635</v>
      </c>
      <c r="C14988" s="1">
        <v>0</v>
      </c>
      <c r="D14988" s="1">
        <v>0</v>
      </c>
      <c r="E14988" s="1">
        <v>4.1806020066889599E-4</v>
      </c>
      <c r="F14988" s="1">
        <v>1.8258503898190501E-5</v>
      </c>
    </row>
    <row r="14989" spans="1:6" x14ac:dyDescent="0.25">
      <c r="A14989" s="2" t="str">
        <f t="shared" si="534"/>
        <v>15680</v>
      </c>
      <c r="B14989" s="2" t="str">
        <f>"20618"</f>
        <v>20618</v>
      </c>
      <c r="C14989" s="1">
        <v>9.3073460825644997E-3</v>
      </c>
      <c r="D14989" s="1">
        <v>1.83150183150183E-3</v>
      </c>
      <c r="E14989" s="1">
        <v>8.3612040133779198E-4</v>
      </c>
      <c r="F14989" s="1">
        <v>8.4902043126586207E-3</v>
      </c>
    </row>
    <row r="14990" spans="1:6" x14ac:dyDescent="0.25">
      <c r="A14990" s="2" t="str">
        <f t="shared" si="534"/>
        <v>15680</v>
      </c>
      <c r="B14990" s="2" t="str">
        <f>"20628"</f>
        <v>20628</v>
      </c>
      <c r="C14990" s="1">
        <v>4.7860532372049399E-3</v>
      </c>
      <c r="D14990" s="1">
        <v>3.0525030525030498E-4</v>
      </c>
      <c r="E14990" s="1">
        <v>1.2541806020066801E-3</v>
      </c>
      <c r="F14990" s="1">
        <v>4.3637824316675403E-3</v>
      </c>
    </row>
    <row r="14991" spans="1:6" x14ac:dyDescent="0.25">
      <c r="A14991" s="2" t="str">
        <f t="shared" si="534"/>
        <v>15680</v>
      </c>
      <c r="B14991" s="2" t="str">
        <f>"20619"</f>
        <v>20619</v>
      </c>
      <c r="C14991" s="1">
        <v>0.122298934848577</v>
      </c>
      <c r="D14991" s="1">
        <v>0.19169719169719099</v>
      </c>
      <c r="E14991" s="1">
        <v>0.16137123745819301</v>
      </c>
      <c r="F14991" s="1">
        <v>0.12815643886139899</v>
      </c>
    </row>
    <row r="14992" spans="1:6" x14ac:dyDescent="0.25">
      <c r="A14992" s="2" t="str">
        <f t="shared" si="534"/>
        <v>15680</v>
      </c>
      <c r="B14992" s="2" t="str">
        <f>"20659"</f>
        <v>20659</v>
      </c>
      <c r="C14992" s="1">
        <v>0.17852996883973801</v>
      </c>
      <c r="D14992" s="1">
        <v>7.6007326007326001E-2</v>
      </c>
      <c r="E14992" s="1">
        <v>4.76588628762541E-2</v>
      </c>
      <c r="F14992" s="1">
        <v>0.166681882086581</v>
      </c>
    </row>
    <row r="14993" spans="1:6" x14ac:dyDescent="0.25">
      <c r="A14993" s="2" t="str">
        <f t="shared" si="534"/>
        <v>15680</v>
      </c>
      <c r="B14993" s="2" t="str">
        <f>"20636"</f>
        <v>20636</v>
      </c>
      <c r="C14993" s="1">
        <v>9.9183316022076903E-2</v>
      </c>
      <c r="D14993" s="1">
        <v>0.10561660561660501</v>
      </c>
      <c r="E14993" s="1">
        <v>5.1421404682274199E-2</v>
      </c>
      <c r="F14993" s="1">
        <v>9.7482152312439493E-2</v>
      </c>
    </row>
    <row r="14994" spans="1:6" x14ac:dyDescent="0.25">
      <c r="A14994" s="2" t="str">
        <f t="shared" si="534"/>
        <v>15680</v>
      </c>
      <c r="B14994" s="2" t="str">
        <f>"20690"</f>
        <v>20690</v>
      </c>
      <c r="C14994" s="1">
        <v>9.4091770025050408E-3</v>
      </c>
      <c r="D14994" s="1">
        <v>9.1575091575091499E-4</v>
      </c>
      <c r="E14994" s="1">
        <v>4.5986622073578504E-3</v>
      </c>
      <c r="F14994" s="1">
        <v>8.6910478555387097E-3</v>
      </c>
    </row>
    <row r="14995" spans="1:6" x14ac:dyDescent="0.25">
      <c r="A14995" s="2" t="str">
        <f t="shared" si="534"/>
        <v>15680</v>
      </c>
      <c r="B14995" s="2" t="str">
        <f>"20692"</f>
        <v>20692</v>
      </c>
      <c r="C14995" s="1">
        <v>5.4174049408362299E-3</v>
      </c>
      <c r="D14995" s="1">
        <v>3.0525030525030498E-4</v>
      </c>
      <c r="E14995" s="1">
        <v>2.9264214046822701E-3</v>
      </c>
      <c r="F14995" s="1">
        <v>5.0028300681042104E-3</v>
      </c>
    </row>
    <row r="14996" spans="1:6" x14ac:dyDescent="0.25">
      <c r="A14996" s="2" t="str">
        <f t="shared" si="534"/>
        <v>15680</v>
      </c>
      <c r="B14996" s="2" t="str">
        <f>"20667"</f>
        <v>20667</v>
      </c>
      <c r="C14996" s="1">
        <v>3.7473778538115298E-3</v>
      </c>
      <c r="D14996" s="1">
        <v>6.1050061050060996E-4</v>
      </c>
      <c r="E14996" s="1">
        <v>5.8528428093645403E-3</v>
      </c>
      <c r="F14996" s="1">
        <v>3.6517007796381101E-3</v>
      </c>
    </row>
    <row r="14997" spans="1:6" x14ac:dyDescent="0.25">
      <c r="A14997" s="2" t="str">
        <f t="shared" si="534"/>
        <v>15680</v>
      </c>
      <c r="B14997" s="2" t="str">
        <f>"20670"</f>
        <v>20670</v>
      </c>
      <c r="C14997" s="1">
        <v>3.7657074194008197E-2</v>
      </c>
      <c r="D14997" s="1">
        <v>7.1123321123321107E-2</v>
      </c>
      <c r="E14997" s="1">
        <v>0.17391304347826</v>
      </c>
      <c r="F14997" s="1">
        <v>4.5609742737680002E-2</v>
      </c>
    </row>
    <row r="14998" spans="1:6" x14ac:dyDescent="0.25">
      <c r="A14998" s="2" t="str">
        <f t="shared" si="534"/>
        <v>15680</v>
      </c>
      <c r="B14998" s="2" t="str">
        <f>"20624"</f>
        <v>20624</v>
      </c>
      <c r="C14998" s="1">
        <v>7.291093867742E-3</v>
      </c>
      <c r="D14998" s="1">
        <v>2.4420024420024398E-3</v>
      </c>
      <c r="E14998" s="1">
        <v>1.2541806020066801E-3</v>
      </c>
      <c r="F14998" s="1">
        <v>6.7373879384323198E-3</v>
      </c>
    </row>
    <row r="14999" spans="1:6" x14ac:dyDescent="0.25">
      <c r="A14999" s="2" t="str">
        <f t="shared" si="534"/>
        <v>15680</v>
      </c>
      <c r="B14999" s="2" t="str">
        <f>"20621"</f>
        <v>20621</v>
      </c>
      <c r="C14999" s="1">
        <v>8.4316001710759408E-3</v>
      </c>
      <c r="D14999" s="1">
        <v>9.1575091575091499E-4</v>
      </c>
      <c r="E14999" s="1">
        <v>8.3612040133779198E-4</v>
      </c>
      <c r="F14999" s="1">
        <v>7.6503131333418503E-3</v>
      </c>
    </row>
    <row r="15000" spans="1:6" x14ac:dyDescent="0.25">
      <c r="A15000" s="2" t="str">
        <f t="shared" si="534"/>
        <v>15680</v>
      </c>
      <c r="B15000" s="2" t="str">
        <f>"20606"</f>
        <v>20606</v>
      </c>
      <c r="C15000" s="1">
        <v>3.1974908861326602E-3</v>
      </c>
      <c r="D15000" s="1">
        <v>0</v>
      </c>
      <c r="E15000" s="1">
        <v>4.1806020066889599E-4</v>
      </c>
      <c r="F15000" s="1">
        <v>2.8848436159141099E-3</v>
      </c>
    </row>
    <row r="15001" spans="1:6" x14ac:dyDescent="0.25">
      <c r="A15001" s="2" t="str">
        <f t="shared" si="534"/>
        <v>15680</v>
      </c>
      <c r="B15001" s="2" t="str">
        <f>"20660"</f>
        <v>20660</v>
      </c>
      <c r="C15001" s="1">
        <v>0</v>
      </c>
      <c r="D15001" s="1">
        <v>3.0525030525030498E-4</v>
      </c>
      <c r="E15001" s="1">
        <v>4.1806020066889599E-4</v>
      </c>
      <c r="F15001" s="1">
        <v>3.6517007796381097E-5</v>
      </c>
    </row>
    <row r="15002" spans="1:6" x14ac:dyDescent="0.25">
      <c r="A15002" s="2" t="str">
        <f t="shared" si="534"/>
        <v>15680</v>
      </c>
      <c r="B15002" s="2" t="str">
        <f>"20674"</f>
        <v>20674</v>
      </c>
      <c r="C15002" s="1">
        <v>8.6759943789332106E-3</v>
      </c>
      <c r="D15002" s="1">
        <v>1.2210012210012199E-3</v>
      </c>
      <c r="E15002" s="1">
        <v>3.3444816053511701E-3</v>
      </c>
      <c r="F15002" s="1">
        <v>7.9972247074074701E-3</v>
      </c>
    </row>
    <row r="15003" spans="1:6" x14ac:dyDescent="0.25">
      <c r="A15003" s="2" t="str">
        <f t="shared" si="534"/>
        <v>15680</v>
      </c>
      <c r="B15003" s="2" t="str">
        <f>"20650"</f>
        <v>20650</v>
      </c>
      <c r="C15003" s="1">
        <v>0.116331642940062</v>
      </c>
      <c r="D15003" s="1">
        <v>9.5543345543345495E-2</v>
      </c>
      <c r="E15003" s="1">
        <v>7.6086956521739094E-2</v>
      </c>
      <c r="F15003" s="1">
        <v>0.11333053369606801</v>
      </c>
    </row>
    <row r="15004" spans="1:6" x14ac:dyDescent="0.25">
      <c r="A15004" s="2" t="str">
        <f t="shared" si="534"/>
        <v>15680</v>
      </c>
      <c r="B15004" s="2" t="str">
        <f>"20626"</f>
        <v>20626</v>
      </c>
      <c r="C15004" s="1">
        <v>3.84920877375206E-3</v>
      </c>
      <c r="D15004" s="1">
        <v>6.1050061050060996E-4</v>
      </c>
      <c r="E15004" s="1">
        <v>4.1806020066889599E-4</v>
      </c>
      <c r="F15004" s="1">
        <v>3.5056327484525901E-3</v>
      </c>
    </row>
    <row r="15005" spans="1:6" x14ac:dyDescent="0.25">
      <c r="A15005" s="2" t="str">
        <f t="shared" si="534"/>
        <v>15680</v>
      </c>
      <c r="B15005" s="2" t="str">
        <f>"20634"</f>
        <v>20634</v>
      </c>
      <c r="C15005" s="1">
        <v>7.5619641147838104E-2</v>
      </c>
      <c r="D15005" s="1">
        <v>4.1208791208791201E-2</v>
      </c>
      <c r="E15005" s="1">
        <v>5.4347826086956499E-2</v>
      </c>
      <c r="F15005" s="1">
        <v>7.2632328507002103E-2</v>
      </c>
    </row>
    <row r="15006" spans="1:6" x14ac:dyDescent="0.25">
      <c r="A15006" s="2" t="str">
        <f t="shared" si="534"/>
        <v>15680</v>
      </c>
      <c r="B15006" s="2" t="str">
        <f>"20622"</f>
        <v>20622</v>
      </c>
      <c r="C15006" s="1">
        <v>1.06922465937557E-2</v>
      </c>
      <c r="D15006" s="1">
        <v>5.8608058608058601E-2</v>
      </c>
      <c r="E15006" s="1">
        <v>1.9230769230769201E-2</v>
      </c>
      <c r="F15006" s="1">
        <v>1.39312384743194E-2</v>
      </c>
    </row>
    <row r="15007" spans="1:6" x14ac:dyDescent="0.25">
      <c r="A15007" s="2" t="str">
        <f t="shared" si="534"/>
        <v>15680</v>
      </c>
      <c r="B15007" s="2" t="str">
        <f>"20609"</f>
        <v>20609</v>
      </c>
      <c r="C15007" s="1">
        <v>1.01423596260768E-2</v>
      </c>
      <c r="D15007" s="1">
        <v>1.83150183150183E-3</v>
      </c>
      <c r="E15007" s="1">
        <v>2.9264214046822701E-3</v>
      </c>
      <c r="F15007" s="1">
        <v>9.3300954919753806E-3</v>
      </c>
    </row>
    <row r="15008" spans="1:6" x14ac:dyDescent="0.25">
      <c r="A15008" s="2" t="str">
        <f t="shared" si="534"/>
        <v>15680</v>
      </c>
      <c r="B15008" s="2" t="str">
        <f>"20687"</f>
        <v>20687</v>
      </c>
      <c r="C15008" s="1">
        <v>3.7677440377996301E-3</v>
      </c>
      <c r="D15008" s="1">
        <v>9.1575091575091499E-4</v>
      </c>
      <c r="E15008" s="1">
        <v>4.1806020066889599E-4</v>
      </c>
      <c r="F15008" s="1">
        <v>3.4508572367580202E-3</v>
      </c>
    </row>
    <row r="15009" spans="1:6" x14ac:dyDescent="0.25">
      <c r="A15009" s="2" t="str">
        <f t="shared" ref="A15009:A15049" si="535">"25180"</f>
        <v>25180</v>
      </c>
      <c r="B15009" s="2" t="str">
        <f>"25403"</f>
        <v>25403</v>
      </c>
      <c r="C15009" s="1">
        <v>4.5952454940957101E-2</v>
      </c>
      <c r="D15009" s="1">
        <v>2.17574101324364E-2</v>
      </c>
      <c r="E15009" s="1">
        <v>1.06014712245781E-2</v>
      </c>
      <c r="F15009" s="1">
        <v>4.3197345578764597E-2</v>
      </c>
    </row>
    <row r="15010" spans="1:6" x14ac:dyDescent="0.25">
      <c r="A15010" s="2" t="str">
        <f t="shared" si="535"/>
        <v>25180</v>
      </c>
      <c r="B15010" s="2" t="str">
        <f>"21769"</f>
        <v>21769</v>
      </c>
      <c r="C15010" s="1">
        <v>1.24300807955251E-4</v>
      </c>
      <c r="D15010" s="1">
        <v>2.1021652301870901E-4</v>
      </c>
      <c r="E15010" s="1">
        <v>0</v>
      </c>
      <c r="F15010" s="1">
        <v>1.2600100800806401E-4</v>
      </c>
    </row>
    <row r="15011" spans="1:6" x14ac:dyDescent="0.25">
      <c r="A15011" s="2" t="str">
        <f t="shared" si="535"/>
        <v>25180</v>
      </c>
      <c r="B15011" s="2" t="str">
        <f>"21711"</f>
        <v>21711</v>
      </c>
      <c r="C15011" s="1">
        <v>3.6202610316967E-3</v>
      </c>
      <c r="D15011" s="1">
        <v>9.4597435358419104E-4</v>
      </c>
      <c r="E15011" s="1">
        <v>0</v>
      </c>
      <c r="F15011" s="1">
        <v>3.3250266002128001E-3</v>
      </c>
    </row>
    <row r="15012" spans="1:6" x14ac:dyDescent="0.25">
      <c r="A15012" s="2" t="str">
        <f t="shared" si="535"/>
        <v>25180</v>
      </c>
      <c r="B15012" s="2" t="str">
        <f>"25422"</f>
        <v>25422</v>
      </c>
      <c r="C15012" s="1">
        <v>6.2305779987569896E-3</v>
      </c>
      <c r="D15012" s="1">
        <v>3.1532478452806298E-4</v>
      </c>
      <c r="E15012" s="1">
        <v>2.16356555603634E-4</v>
      </c>
      <c r="F15012" s="1">
        <v>5.64204513636109E-3</v>
      </c>
    </row>
    <row r="15013" spans="1:6" x14ac:dyDescent="0.25">
      <c r="A15013" s="2" t="str">
        <f t="shared" si="535"/>
        <v>25180</v>
      </c>
      <c r="B15013" s="2" t="str">
        <f>"21741"</f>
        <v>21741</v>
      </c>
      <c r="C15013" s="1">
        <v>0</v>
      </c>
      <c r="D15013" s="1">
        <v>1.05108261509354E-4</v>
      </c>
      <c r="E15013" s="1">
        <v>0</v>
      </c>
      <c r="F15013" s="1">
        <v>7.0000560004479997E-6</v>
      </c>
    </row>
    <row r="15014" spans="1:6" x14ac:dyDescent="0.25">
      <c r="A15014" s="2" t="str">
        <f t="shared" si="535"/>
        <v>25180</v>
      </c>
      <c r="B15014" s="2" t="str">
        <f>"21758"</f>
        <v>21758</v>
      </c>
      <c r="C15014" s="1">
        <v>5.86544437538844E-3</v>
      </c>
      <c r="D15014" s="1">
        <v>1.8919487071683799E-3</v>
      </c>
      <c r="E15014" s="1">
        <v>4.3271311120726902E-4</v>
      </c>
      <c r="F15014" s="1">
        <v>5.4250434003471999E-3</v>
      </c>
    </row>
    <row r="15015" spans="1:6" x14ac:dyDescent="0.25">
      <c r="A15015" s="2" t="str">
        <f t="shared" si="535"/>
        <v>25180</v>
      </c>
      <c r="B15015" s="2" t="str">
        <f>"21742"</f>
        <v>21742</v>
      </c>
      <c r="C15015" s="1">
        <v>0.11902579241765</v>
      </c>
      <c r="D15015" s="1">
        <v>0.12907294513348699</v>
      </c>
      <c r="E15015" s="1">
        <v>0.14322803980960599</v>
      </c>
      <c r="F15015" s="1">
        <v>0.12047796382371</v>
      </c>
    </row>
    <row r="15016" spans="1:6" x14ac:dyDescent="0.25">
      <c r="A15016" s="2" t="str">
        <f t="shared" si="535"/>
        <v>25180</v>
      </c>
      <c r="B15016" s="2" t="str">
        <f>"21734"</f>
        <v>21734</v>
      </c>
      <c r="C15016" s="1">
        <v>5.6712243629583499E-3</v>
      </c>
      <c r="D15016" s="1">
        <v>9.4597435358419104E-3</v>
      </c>
      <c r="E15016" s="1">
        <v>8.6542622241453902E-4</v>
      </c>
      <c r="F15016" s="1">
        <v>5.7680461443691501E-3</v>
      </c>
    </row>
    <row r="15017" spans="1:6" x14ac:dyDescent="0.25">
      <c r="A15017" s="2" t="str">
        <f t="shared" si="535"/>
        <v>25180</v>
      </c>
      <c r="B15017" s="2" t="str">
        <f>"25430"</f>
        <v>25430</v>
      </c>
      <c r="C15017" s="1">
        <v>5.3216283405842103E-3</v>
      </c>
      <c r="D15017" s="1">
        <v>1.9970569686777301E-3</v>
      </c>
      <c r="E15017" s="1">
        <v>2.1635655560363399E-3</v>
      </c>
      <c r="F15017" s="1">
        <v>4.9980399843198697E-3</v>
      </c>
    </row>
    <row r="15018" spans="1:6" x14ac:dyDescent="0.25">
      <c r="A15018" s="2" t="str">
        <f t="shared" si="535"/>
        <v>25180</v>
      </c>
      <c r="B15018" s="2" t="str">
        <f>"25401"</f>
        <v>25401</v>
      </c>
      <c r="C15018" s="1">
        <v>5.6642324425108699E-2</v>
      </c>
      <c r="D15018" s="1">
        <v>0.114673113306705</v>
      </c>
      <c r="E15018" s="1">
        <v>0.10363479013414099</v>
      </c>
      <c r="F15018" s="1">
        <v>6.2027496219969697E-2</v>
      </c>
    </row>
    <row r="15019" spans="1:6" x14ac:dyDescent="0.25">
      <c r="A15019" s="2" t="str">
        <f t="shared" si="535"/>
        <v>25180</v>
      </c>
      <c r="B15019" s="2" t="str">
        <f>"21733"</f>
        <v>21733</v>
      </c>
      <c r="C15019" s="1">
        <v>3.66687383467992E-3</v>
      </c>
      <c r="D15019" s="1">
        <v>1.3664073996216099E-3</v>
      </c>
      <c r="E15019" s="1">
        <v>0</v>
      </c>
      <c r="F15019" s="1">
        <v>3.3950271602172801E-3</v>
      </c>
    </row>
    <row r="15020" spans="1:6" x14ac:dyDescent="0.25">
      <c r="A15020" s="2" t="str">
        <f t="shared" si="535"/>
        <v>25180</v>
      </c>
      <c r="B15020" s="2" t="str">
        <f>"21756"</f>
        <v>21756</v>
      </c>
      <c r="C15020" s="1">
        <v>1.1427905531385899E-2</v>
      </c>
      <c r="D15020" s="1">
        <v>1.1561908766028999E-3</v>
      </c>
      <c r="E15020" s="1">
        <v>6.4906966681090397E-4</v>
      </c>
      <c r="F15020" s="1">
        <v>1.0395083160665199E-2</v>
      </c>
    </row>
    <row r="15021" spans="1:6" x14ac:dyDescent="0.25">
      <c r="A15021" s="2" t="str">
        <f t="shared" si="535"/>
        <v>25180</v>
      </c>
      <c r="B15021" s="2" t="str">
        <f>"21715"</f>
        <v>21715</v>
      </c>
      <c r="C15021" s="1">
        <v>2.8744561839651899E-4</v>
      </c>
      <c r="D15021" s="1">
        <v>1.05108261509354E-4</v>
      </c>
      <c r="E15021" s="1">
        <v>0</v>
      </c>
      <c r="F15021" s="1">
        <v>2.66002128017024E-4</v>
      </c>
    </row>
    <row r="15022" spans="1:6" x14ac:dyDescent="0.25">
      <c r="A15022" s="2" t="str">
        <f t="shared" si="535"/>
        <v>25180</v>
      </c>
      <c r="B15022" s="2" t="str">
        <f>"21713"</f>
        <v>21713</v>
      </c>
      <c r="C15022" s="1">
        <v>3.12849596022374E-2</v>
      </c>
      <c r="D15022" s="1">
        <v>1.8604162287155699E-2</v>
      </c>
      <c r="E15022" s="1">
        <v>1.3630463003028901E-2</v>
      </c>
      <c r="F15022" s="1">
        <v>2.9869238953911598E-2</v>
      </c>
    </row>
    <row r="15023" spans="1:6" x14ac:dyDescent="0.25">
      <c r="A15023" s="2" t="str">
        <f t="shared" si="535"/>
        <v>25180</v>
      </c>
      <c r="B15023" s="2" t="str">
        <f>"25427"</f>
        <v>25427</v>
      </c>
      <c r="C15023" s="1">
        <v>5.2221876942200103E-2</v>
      </c>
      <c r="D15023" s="1">
        <v>1.1456800504519599E-2</v>
      </c>
      <c r="E15023" s="1">
        <v>3.46170488965815E-3</v>
      </c>
      <c r="F15023" s="1">
        <v>4.7929383435067398E-2</v>
      </c>
    </row>
    <row r="15024" spans="1:6" x14ac:dyDescent="0.25">
      <c r="A15024" s="2" t="str">
        <f t="shared" si="535"/>
        <v>25180</v>
      </c>
      <c r="B15024" s="2" t="str">
        <f>"25420"</f>
        <v>25420</v>
      </c>
      <c r="C15024" s="1">
        <v>1.2888440024860099E-2</v>
      </c>
      <c r="D15024" s="1">
        <v>7.3575783056548203E-4</v>
      </c>
      <c r="E15024" s="1">
        <v>1.08178277801817E-3</v>
      </c>
      <c r="F15024" s="1">
        <v>1.1697093576748601E-2</v>
      </c>
    </row>
    <row r="15025" spans="1:6" x14ac:dyDescent="0.25">
      <c r="A15025" s="2" t="str">
        <f t="shared" si="535"/>
        <v>25180</v>
      </c>
      <c r="B15025" s="2" t="str">
        <f>"25413"</f>
        <v>25413</v>
      </c>
      <c r="C15025" s="1">
        <v>2.8115288999378402E-2</v>
      </c>
      <c r="D15025" s="1">
        <v>7.6729030901828803E-3</v>
      </c>
      <c r="E15025" s="1">
        <v>7.5724794461272098E-3</v>
      </c>
      <c r="F15025" s="1">
        <v>2.6089208713669699E-2</v>
      </c>
    </row>
    <row r="15026" spans="1:6" x14ac:dyDescent="0.25">
      <c r="A15026" s="2" t="str">
        <f t="shared" si="535"/>
        <v>25180</v>
      </c>
      <c r="B15026" s="2" t="str">
        <f>"25411"</f>
        <v>25411</v>
      </c>
      <c r="C15026" s="1">
        <v>5.1250776880049698E-2</v>
      </c>
      <c r="D15026" s="1">
        <v>4.3830145049400797E-2</v>
      </c>
      <c r="E15026" s="1">
        <v>3.5482475118996097E-2</v>
      </c>
      <c r="F15026" s="1">
        <v>5.0246401971215701E-2</v>
      </c>
    </row>
    <row r="15027" spans="1:6" x14ac:dyDescent="0.25">
      <c r="A15027" s="2" t="str">
        <f t="shared" si="535"/>
        <v>25180</v>
      </c>
      <c r="B15027" s="2" t="str">
        <f>"21755"</f>
        <v>21755</v>
      </c>
      <c r="C15027" s="1">
        <v>7.7688004972032299E-6</v>
      </c>
      <c r="D15027" s="1">
        <v>0</v>
      </c>
      <c r="E15027" s="1">
        <v>0</v>
      </c>
      <c r="F15027" s="1">
        <v>7.0000560004479997E-6</v>
      </c>
    </row>
    <row r="15028" spans="1:6" x14ac:dyDescent="0.25">
      <c r="A15028" s="2" t="str">
        <f t="shared" si="535"/>
        <v>25180</v>
      </c>
      <c r="B15028" s="2" t="str">
        <f>"21750"</f>
        <v>21750</v>
      </c>
      <c r="C15028" s="1">
        <v>1.5599751398384E-2</v>
      </c>
      <c r="D15028" s="1">
        <v>2.60668488543199E-2</v>
      </c>
      <c r="E15028" s="1">
        <v>1.8606663781912499E-2</v>
      </c>
      <c r="F15028" s="1">
        <v>1.6394131153049201E-2</v>
      </c>
    </row>
    <row r="15029" spans="1:6" x14ac:dyDescent="0.25">
      <c r="A15029" s="2" t="str">
        <f t="shared" si="535"/>
        <v>25180</v>
      </c>
      <c r="B15029" s="2" t="str">
        <f>"21721"</f>
        <v>21721</v>
      </c>
      <c r="C15029" s="1">
        <v>0</v>
      </c>
      <c r="D15029" s="1">
        <v>1.05108261509354E-4</v>
      </c>
      <c r="E15029" s="1">
        <v>0</v>
      </c>
      <c r="F15029" s="1">
        <v>7.0000560004479997E-6</v>
      </c>
    </row>
    <row r="15030" spans="1:6" x14ac:dyDescent="0.25">
      <c r="A15030" s="2" t="str">
        <f t="shared" si="535"/>
        <v>25180</v>
      </c>
      <c r="B15030" s="2" t="str">
        <f>"21720"</f>
        <v>21720</v>
      </c>
      <c r="C15030" s="1">
        <v>1.5537600994406399E-5</v>
      </c>
      <c r="D15030" s="1">
        <v>1.05108261509354E-4</v>
      </c>
      <c r="E15030" s="1">
        <v>0</v>
      </c>
      <c r="F15030" s="1">
        <v>2.1000168001343999E-5</v>
      </c>
    </row>
    <row r="15031" spans="1:6" x14ac:dyDescent="0.25">
      <c r="A15031" s="2" t="str">
        <f t="shared" si="535"/>
        <v>25180</v>
      </c>
      <c r="B15031" s="2" t="str">
        <f>"21780"</f>
        <v>21780</v>
      </c>
      <c r="C15031" s="1">
        <v>2.4860161591050298E-4</v>
      </c>
      <c r="D15031" s="1">
        <v>0</v>
      </c>
      <c r="E15031" s="1">
        <v>0</v>
      </c>
      <c r="F15031" s="1">
        <v>2.2400179201433599E-4</v>
      </c>
    </row>
    <row r="15032" spans="1:6" x14ac:dyDescent="0.25">
      <c r="A15032" s="2" t="str">
        <f t="shared" si="535"/>
        <v>25180</v>
      </c>
      <c r="B15032" s="2" t="str">
        <f>"25443"</f>
        <v>25443</v>
      </c>
      <c r="C15032" s="1">
        <v>8.8564325668116805E-4</v>
      </c>
      <c r="D15032" s="1">
        <v>2.1021652301870901E-4</v>
      </c>
      <c r="E15032" s="1">
        <v>0</v>
      </c>
      <c r="F15032" s="1">
        <v>8.1200649605196805E-4</v>
      </c>
    </row>
    <row r="15033" spans="1:6" x14ac:dyDescent="0.25">
      <c r="A15033" s="2" t="str">
        <f t="shared" si="535"/>
        <v>25180</v>
      </c>
      <c r="B15033" s="2" t="str">
        <f>"25402"</f>
        <v>25402</v>
      </c>
      <c r="C15033" s="1">
        <v>1.6702921068986899E-2</v>
      </c>
      <c r="D15033" s="1">
        <v>3.8259407189405001E-2</v>
      </c>
      <c r="E15033" s="1">
        <v>2.16356555603634E-4</v>
      </c>
      <c r="F15033" s="1">
        <v>1.7605140841126701E-2</v>
      </c>
    </row>
    <row r="15034" spans="1:6" x14ac:dyDescent="0.25">
      <c r="A15034" s="2" t="str">
        <f t="shared" si="535"/>
        <v>25180</v>
      </c>
      <c r="B15034" s="2" t="str">
        <f>"21722"</f>
        <v>21722</v>
      </c>
      <c r="C15034" s="1">
        <v>1.80236171535114E-2</v>
      </c>
      <c r="D15034" s="1">
        <v>4.72987176792095E-3</v>
      </c>
      <c r="E15034" s="1">
        <v>2.1635655560363399E-3</v>
      </c>
      <c r="F15034" s="1">
        <v>1.6625133001064E-2</v>
      </c>
    </row>
    <row r="15035" spans="1:6" x14ac:dyDescent="0.25">
      <c r="A15035" s="2" t="str">
        <f t="shared" si="535"/>
        <v>25180</v>
      </c>
      <c r="B15035" s="2" t="str">
        <f>"21782"</f>
        <v>21782</v>
      </c>
      <c r="C15035" s="1">
        <v>1.3098197638284599E-2</v>
      </c>
      <c r="D15035" s="1">
        <v>2.9430313222619199E-3</v>
      </c>
      <c r="E15035" s="1">
        <v>6.4906966681090397E-4</v>
      </c>
      <c r="F15035" s="1">
        <v>1.20190961527692E-2</v>
      </c>
    </row>
    <row r="15036" spans="1:6" x14ac:dyDescent="0.25">
      <c r="A15036" s="2" t="str">
        <f t="shared" si="535"/>
        <v>25180</v>
      </c>
      <c r="B15036" s="2" t="str">
        <f>"25421"</f>
        <v>25421</v>
      </c>
      <c r="C15036" s="1">
        <v>5.7489123679303896E-4</v>
      </c>
      <c r="D15036" s="1">
        <v>0</v>
      </c>
      <c r="E15036" s="1">
        <v>0</v>
      </c>
      <c r="F15036" s="1">
        <v>5.1800414403315202E-4</v>
      </c>
    </row>
    <row r="15037" spans="1:6" x14ac:dyDescent="0.25">
      <c r="A15037" s="2" t="str">
        <f t="shared" si="535"/>
        <v>25180</v>
      </c>
      <c r="B15037" s="2" t="str">
        <f>"25405"</f>
        <v>25405</v>
      </c>
      <c r="C15037" s="1">
        <v>4.3163455562461102E-2</v>
      </c>
      <c r="D15037" s="1">
        <v>2.6382173638848001E-2</v>
      </c>
      <c r="E15037" s="1">
        <v>1.9255733448723399E-2</v>
      </c>
      <c r="F15037" s="1">
        <v>4.1272330178641403E-2</v>
      </c>
    </row>
    <row r="15038" spans="1:6" x14ac:dyDescent="0.25">
      <c r="A15038" s="2" t="str">
        <f t="shared" si="535"/>
        <v>25180</v>
      </c>
      <c r="B15038" s="2" t="str">
        <f>"21719"</f>
        <v>21719</v>
      </c>
      <c r="C15038" s="1">
        <v>5.7333747669359803E-3</v>
      </c>
      <c r="D15038" s="1">
        <v>1.8919487071683799E-3</v>
      </c>
      <c r="E15038" s="1">
        <v>1.8823020337516198E-2</v>
      </c>
      <c r="F15038" s="1">
        <v>5.9010472083776602E-3</v>
      </c>
    </row>
    <row r="15039" spans="1:6" x14ac:dyDescent="0.25">
      <c r="A15039" s="2" t="str">
        <f t="shared" si="535"/>
        <v>25180</v>
      </c>
      <c r="B15039" s="2" t="str">
        <f>"21779"</f>
        <v>21779</v>
      </c>
      <c r="C15039" s="1">
        <v>3.0764449968924698E-3</v>
      </c>
      <c r="D15039" s="1">
        <v>1.05108261509354E-3</v>
      </c>
      <c r="E15039" s="1">
        <v>0</v>
      </c>
      <c r="F15039" s="1">
        <v>2.8420227361818798E-3</v>
      </c>
    </row>
    <row r="15040" spans="1:6" x14ac:dyDescent="0.25">
      <c r="A15040" s="2" t="str">
        <f t="shared" si="535"/>
        <v>25180</v>
      </c>
      <c r="B15040" s="2" t="str">
        <f>"21783"</f>
        <v>21783</v>
      </c>
      <c r="C15040" s="1">
        <v>2.3135487880671199E-2</v>
      </c>
      <c r="D15040" s="1">
        <v>7.98822787471095E-3</v>
      </c>
      <c r="E15040" s="1">
        <v>2.3799221116399798E-3</v>
      </c>
      <c r="F15040" s="1">
        <v>2.1455171641373099E-2</v>
      </c>
    </row>
    <row r="15041" spans="1:6" x14ac:dyDescent="0.25">
      <c r="A15041" s="2" t="str">
        <f t="shared" si="535"/>
        <v>25180</v>
      </c>
      <c r="B15041" s="2" t="str">
        <f>"21767"</f>
        <v>21767</v>
      </c>
      <c r="C15041" s="1">
        <v>8.2193909260410095E-3</v>
      </c>
      <c r="D15041" s="1">
        <v>9.1444187513138493E-3</v>
      </c>
      <c r="E15041" s="1">
        <v>9.7360450021635597E-3</v>
      </c>
      <c r="F15041" s="1">
        <v>8.3300666405331202E-3</v>
      </c>
    </row>
    <row r="15042" spans="1:6" x14ac:dyDescent="0.25">
      <c r="A15042" s="2" t="str">
        <f t="shared" si="535"/>
        <v>25180</v>
      </c>
      <c r="B15042" s="2" t="str">
        <f>"21795"</f>
        <v>21795</v>
      </c>
      <c r="C15042" s="1">
        <v>3.8447793660658702E-2</v>
      </c>
      <c r="D15042" s="1">
        <v>4.3409712003363403E-2</v>
      </c>
      <c r="E15042" s="1">
        <v>3.5266118563392401E-2</v>
      </c>
      <c r="F15042" s="1">
        <v>3.8675309402475197E-2</v>
      </c>
    </row>
    <row r="15043" spans="1:6" x14ac:dyDescent="0.25">
      <c r="A15043" s="2" t="str">
        <f t="shared" si="535"/>
        <v>25180</v>
      </c>
      <c r="B15043" s="2" t="str">
        <f>"21746"</f>
        <v>21746</v>
      </c>
      <c r="C15043" s="1">
        <v>0</v>
      </c>
      <c r="D15043" s="1">
        <v>3.1532478452806298E-4</v>
      </c>
      <c r="E15043" s="1">
        <v>0</v>
      </c>
      <c r="F15043" s="1">
        <v>2.1000168001343999E-5</v>
      </c>
    </row>
    <row r="15044" spans="1:6" x14ac:dyDescent="0.25">
      <c r="A15044" s="2" t="str">
        <f t="shared" si="535"/>
        <v>25180</v>
      </c>
      <c r="B15044" s="2" t="str">
        <f>"21740"</f>
        <v>21740</v>
      </c>
      <c r="C15044" s="1">
        <v>0.217883778744561</v>
      </c>
      <c r="D15044" s="1">
        <v>0.36840445659028698</v>
      </c>
      <c r="E15044" s="1">
        <v>0.46170488965815598</v>
      </c>
      <c r="F15044" s="1">
        <v>0.235796886375091</v>
      </c>
    </row>
    <row r="15045" spans="1:6" x14ac:dyDescent="0.25">
      <c r="A15045" s="2" t="str">
        <f t="shared" si="535"/>
        <v>25180</v>
      </c>
      <c r="B15045" s="2" t="str">
        <f>"25434"</f>
        <v>25434</v>
      </c>
      <c r="C15045" s="1">
        <v>2.24518334369173E-3</v>
      </c>
      <c r="D15045" s="1">
        <v>1.4715156611309599E-3</v>
      </c>
      <c r="E15045" s="1">
        <v>2.16356555603634E-4</v>
      </c>
      <c r="F15045" s="1">
        <v>2.1280170241361899E-3</v>
      </c>
    </row>
    <row r="15046" spans="1:6" x14ac:dyDescent="0.25">
      <c r="A15046" s="2" t="str">
        <f t="shared" si="535"/>
        <v>25180</v>
      </c>
      <c r="B15046" s="2" t="str">
        <f>"25419"</f>
        <v>25419</v>
      </c>
      <c r="C15046" s="1">
        <v>3.7290242386575502E-2</v>
      </c>
      <c r="D15046" s="1">
        <v>1.0615934412444799E-2</v>
      </c>
      <c r="E15046" s="1">
        <v>1.31977498918217E-2</v>
      </c>
      <c r="F15046" s="1">
        <v>3.4734277874222903E-2</v>
      </c>
    </row>
    <row r="15047" spans="1:6" x14ac:dyDescent="0.25">
      <c r="A15047" s="2" t="str">
        <f t="shared" si="535"/>
        <v>25180</v>
      </c>
      <c r="B15047" s="2" t="str">
        <f>"25428"</f>
        <v>25428</v>
      </c>
      <c r="C15047" s="1">
        <v>3.8012740832815403E-2</v>
      </c>
      <c r="D15047" s="1">
        <v>2.0180786209795999E-2</v>
      </c>
      <c r="E15047" s="1">
        <v>8.0051925573344802E-3</v>
      </c>
      <c r="F15047" s="1">
        <v>3.5854286834294598E-2</v>
      </c>
    </row>
    <row r="15048" spans="1:6" x14ac:dyDescent="0.25">
      <c r="A15048" s="2" t="str">
        <f t="shared" si="535"/>
        <v>25180</v>
      </c>
      <c r="B15048" s="2" t="str">
        <f>"25404"</f>
        <v>25404</v>
      </c>
      <c r="C15048" s="1">
        <v>7.8037600994406403E-2</v>
      </c>
      <c r="D15048" s="1">
        <v>7.1263401303342397E-2</v>
      </c>
      <c r="E15048" s="1">
        <v>8.6758978797057504E-2</v>
      </c>
      <c r="F15048" s="1">
        <v>7.7868622948983501E-2</v>
      </c>
    </row>
    <row r="15049" spans="1:6" x14ac:dyDescent="0.25">
      <c r="A15049" s="2" t="str">
        <f t="shared" si="535"/>
        <v>25180</v>
      </c>
      <c r="B15049" s="2" t="str">
        <f>"21781"</f>
        <v>21781</v>
      </c>
      <c r="C15049" s="1">
        <v>0</v>
      </c>
      <c r="D15049" s="1">
        <v>1.05108261509354E-4</v>
      </c>
      <c r="E15049" s="1">
        <v>0</v>
      </c>
      <c r="F15049" s="1">
        <v>7.0000560004479997E-6</v>
      </c>
    </row>
    <row r="15050" spans="1:6" x14ac:dyDescent="0.25">
      <c r="A15050" s="2" t="str">
        <f t="shared" ref="A15050:A15065" si="536">"20660"</f>
        <v>20660</v>
      </c>
      <c r="B15050" s="2" t="str">
        <f>"21657"</f>
        <v>21657</v>
      </c>
      <c r="C15050" s="1">
        <v>6.0528246515040296E-3</v>
      </c>
      <c r="D15050" s="1">
        <v>1.0159160176092101E-3</v>
      </c>
      <c r="E15050" s="1">
        <v>0</v>
      </c>
      <c r="F15050" s="1">
        <v>5.2645946262137797E-3</v>
      </c>
    </row>
    <row r="15051" spans="1:6" x14ac:dyDescent="0.25">
      <c r="A15051" s="2" t="str">
        <f t="shared" si="536"/>
        <v>20660</v>
      </c>
      <c r="B15051" s="2" t="str">
        <f>"21625"</f>
        <v>21625</v>
      </c>
      <c r="C15051" s="1">
        <v>4.4708363903154802E-2</v>
      </c>
      <c r="D15051" s="1">
        <v>7.7886894683372801E-3</v>
      </c>
      <c r="E15051" s="1">
        <v>0</v>
      </c>
      <c r="F15051" s="1">
        <v>3.8919003236750703E-2</v>
      </c>
    </row>
    <row r="15052" spans="1:6" x14ac:dyDescent="0.25">
      <c r="A15052" s="2" t="str">
        <f t="shared" si="536"/>
        <v>20660</v>
      </c>
      <c r="B15052" s="2" t="str">
        <f>"21671"</f>
        <v>21671</v>
      </c>
      <c r="C15052" s="1">
        <v>1.76540719002201E-2</v>
      </c>
      <c r="D15052" s="1">
        <v>3.0477480528276302E-3</v>
      </c>
      <c r="E15052" s="1">
        <v>0</v>
      </c>
      <c r="F15052" s="1">
        <v>1.5364816909097899E-2</v>
      </c>
    </row>
    <row r="15053" spans="1:6" x14ac:dyDescent="0.25">
      <c r="A15053" s="2" t="str">
        <f t="shared" si="536"/>
        <v>20660</v>
      </c>
      <c r="B15053" s="2" t="str">
        <f>"21662"</f>
        <v>21662</v>
      </c>
      <c r="C15053" s="1">
        <v>3.0539251650770299E-2</v>
      </c>
      <c r="D15053" s="1">
        <v>8.1273281408736804E-3</v>
      </c>
      <c r="E15053" s="1">
        <v>1.13378684807256E-3</v>
      </c>
      <c r="F15053" s="1">
        <v>2.6946925086768301E-2</v>
      </c>
    </row>
    <row r="15054" spans="1:6" x14ac:dyDescent="0.25">
      <c r="A15054" s="2" t="str">
        <f t="shared" si="536"/>
        <v>20660</v>
      </c>
      <c r="B15054" s="2" t="str">
        <f>"21647"</f>
        <v>21647</v>
      </c>
      <c r="C15054" s="1">
        <v>8.0704328686720395E-3</v>
      </c>
      <c r="D15054" s="1">
        <v>2.7091093802912199E-3</v>
      </c>
      <c r="E15054" s="1">
        <v>0</v>
      </c>
      <c r="F15054" s="1">
        <v>7.1754474905432204E-3</v>
      </c>
    </row>
    <row r="15055" spans="1:6" x14ac:dyDescent="0.25">
      <c r="A15055" s="2" t="str">
        <f t="shared" si="536"/>
        <v>20660</v>
      </c>
      <c r="B15055" s="2" t="str">
        <f>"21652"</f>
        <v>21652</v>
      </c>
      <c r="C15055" s="1">
        <v>5.8694057226705704E-3</v>
      </c>
      <c r="D15055" s="1">
        <v>1.0159160176092101E-3</v>
      </c>
      <c r="E15055" s="1">
        <v>0</v>
      </c>
      <c r="F15055" s="1">
        <v>5.1086066372889203E-3</v>
      </c>
    </row>
    <row r="15056" spans="1:6" x14ac:dyDescent="0.25">
      <c r="A15056" s="2" t="str">
        <f t="shared" si="536"/>
        <v>20660</v>
      </c>
      <c r="B15056" s="2" t="str">
        <f>"21665"</f>
        <v>21665</v>
      </c>
      <c r="C15056" s="1">
        <v>7.9787234042553098E-3</v>
      </c>
      <c r="D15056" s="1">
        <v>6.7727734507280703E-4</v>
      </c>
      <c r="E15056" s="1">
        <v>1.13378684807256E-3</v>
      </c>
      <c r="F15056" s="1">
        <v>6.9024685099247302E-3</v>
      </c>
    </row>
    <row r="15057" spans="1:6" x14ac:dyDescent="0.25">
      <c r="A15057" s="2" t="str">
        <f t="shared" si="536"/>
        <v>20660</v>
      </c>
      <c r="B15057" s="2" t="str">
        <f>"21654"</f>
        <v>21654</v>
      </c>
      <c r="C15057" s="1">
        <v>3.59959647835656E-2</v>
      </c>
      <c r="D15057" s="1">
        <v>1.1175076193701301E-2</v>
      </c>
      <c r="E15057" s="1">
        <v>3.40136054421768E-3</v>
      </c>
      <c r="F15057" s="1">
        <v>3.2016534726826001E-2</v>
      </c>
    </row>
    <row r="15058" spans="1:6" x14ac:dyDescent="0.25">
      <c r="A15058" s="2" t="str">
        <f t="shared" si="536"/>
        <v>20660</v>
      </c>
      <c r="B15058" s="2" t="str">
        <f>"21624"</f>
        <v>21624</v>
      </c>
      <c r="C15058" s="1">
        <v>4.49376375641966E-3</v>
      </c>
      <c r="D15058" s="1">
        <v>6.7727734507280703E-4</v>
      </c>
      <c r="E15058" s="1">
        <v>0</v>
      </c>
      <c r="F15058" s="1">
        <v>3.8996997231213102E-3</v>
      </c>
    </row>
    <row r="15059" spans="1:6" x14ac:dyDescent="0.25">
      <c r="A15059" s="2" t="str">
        <f t="shared" si="536"/>
        <v>20660</v>
      </c>
      <c r="B15059" s="2" t="str">
        <f>"21679"</f>
        <v>21679</v>
      </c>
      <c r="C15059" s="1">
        <v>9.6294937637564099E-3</v>
      </c>
      <c r="D15059" s="1">
        <v>2.7091093802912199E-3</v>
      </c>
      <c r="E15059" s="1">
        <v>4.53514739229024E-3</v>
      </c>
      <c r="F15059" s="1">
        <v>8.6573333853293202E-3</v>
      </c>
    </row>
    <row r="15060" spans="1:6" x14ac:dyDescent="0.25">
      <c r="A15060" s="2" t="str">
        <f t="shared" si="536"/>
        <v>20660</v>
      </c>
      <c r="B15060" s="2" t="str">
        <f>"21612"</f>
        <v>21612</v>
      </c>
      <c r="C15060" s="1">
        <v>8.7582538517974994E-3</v>
      </c>
      <c r="D15060" s="1">
        <v>1.0159160176092101E-3</v>
      </c>
      <c r="E15060" s="1">
        <v>0</v>
      </c>
      <c r="F15060" s="1">
        <v>7.5654174628553596E-3</v>
      </c>
    </row>
    <row r="15061" spans="1:6" x14ac:dyDescent="0.25">
      <c r="A15061" s="2" t="str">
        <f t="shared" si="536"/>
        <v>20660</v>
      </c>
      <c r="B15061" s="2" t="str">
        <f>"21601"</f>
        <v>21601</v>
      </c>
      <c r="C15061" s="1">
        <v>0.62733859134262604</v>
      </c>
      <c r="D15061" s="1">
        <v>0.84930579072129997</v>
      </c>
      <c r="E15061" s="1">
        <v>0.87301587301587302</v>
      </c>
      <c r="F15061" s="1">
        <v>0.66135007604414398</v>
      </c>
    </row>
    <row r="15062" spans="1:6" x14ac:dyDescent="0.25">
      <c r="A15062" s="2" t="str">
        <f t="shared" si="536"/>
        <v>20660</v>
      </c>
      <c r="B15062" s="2" t="str">
        <f>"21653"</f>
        <v>21653</v>
      </c>
      <c r="C15062" s="1">
        <v>4.5854732208363899E-5</v>
      </c>
      <c r="D15062" s="1">
        <v>3.3863867253640303E-4</v>
      </c>
      <c r="E15062" s="1">
        <v>0</v>
      </c>
      <c r="F15062" s="1">
        <v>7.7993994462426303E-5</v>
      </c>
    </row>
    <row r="15063" spans="1:6" x14ac:dyDescent="0.25">
      <c r="A15063" s="2" t="str">
        <f t="shared" si="536"/>
        <v>20660</v>
      </c>
      <c r="B15063" s="2" t="str">
        <f>"21676"</f>
        <v>21676</v>
      </c>
      <c r="C15063" s="1">
        <v>5.5484225972120297E-3</v>
      </c>
      <c r="D15063" s="1">
        <v>6.7727734507280703E-4</v>
      </c>
      <c r="E15063" s="1">
        <v>1.13378684807256E-3</v>
      </c>
      <c r="F15063" s="1">
        <v>4.8356276566704302E-3</v>
      </c>
    </row>
    <row r="15064" spans="1:6" x14ac:dyDescent="0.25">
      <c r="A15064" s="2" t="str">
        <f t="shared" si="536"/>
        <v>20660</v>
      </c>
      <c r="B15064" s="2" t="str">
        <f>"21663"</f>
        <v>21663</v>
      </c>
      <c r="C15064" s="1">
        <v>0.121744314013206</v>
      </c>
      <c r="D15064" s="1">
        <v>9.1771080257365301E-2</v>
      </c>
      <c r="E15064" s="1">
        <v>7.4829931972789102E-2</v>
      </c>
      <c r="F15064" s="1">
        <v>0.11667901571578899</v>
      </c>
    </row>
    <row r="15065" spans="1:6" x14ac:dyDescent="0.25">
      <c r="A15065" s="2" t="str">
        <f t="shared" si="536"/>
        <v>20660</v>
      </c>
      <c r="B15065" s="2" t="str">
        <f>"21673"</f>
        <v>21673</v>
      </c>
      <c r="C15065" s="1">
        <v>6.5572267057960307E-2</v>
      </c>
      <c r="D15065" s="1">
        <v>1.79478496444293E-2</v>
      </c>
      <c r="E15065" s="1">
        <v>4.08163265306122E-2</v>
      </c>
      <c r="F15065" s="1">
        <v>5.9236438794212802E-2</v>
      </c>
    </row>
    <row r="15066" spans="1:6" x14ac:dyDescent="0.25">
      <c r="A15066" s="2" t="str">
        <f t="shared" ref="A15066:A15091" si="537">"25500"</f>
        <v>25500</v>
      </c>
      <c r="B15066" s="2" t="str">
        <f>"24486"</f>
        <v>24486</v>
      </c>
      <c r="C15066" s="1">
        <v>1.7073344241303201E-3</v>
      </c>
      <c r="D15066" s="1">
        <v>2.13447171824973E-4</v>
      </c>
      <c r="E15066" s="1">
        <v>0</v>
      </c>
      <c r="F15066" s="1">
        <v>1.5256369927650201E-3</v>
      </c>
    </row>
    <row r="15067" spans="1:6" x14ac:dyDescent="0.25">
      <c r="A15067" s="2" t="str">
        <f t="shared" si="537"/>
        <v>25500</v>
      </c>
      <c r="B15067" s="2" t="str">
        <f>"22853"</f>
        <v>22853</v>
      </c>
      <c r="C15067" s="1">
        <v>3.3293021270541297E-2</v>
      </c>
      <c r="D15067" s="1">
        <v>1.0885805763073599E-2</v>
      </c>
      <c r="E15067" s="1">
        <v>2.3622047244094401E-2</v>
      </c>
      <c r="F15067" s="1">
        <v>3.12362378106322E-2</v>
      </c>
    </row>
    <row r="15068" spans="1:6" x14ac:dyDescent="0.25">
      <c r="A15068" s="2" t="str">
        <f t="shared" si="537"/>
        <v>25500</v>
      </c>
      <c r="B15068" s="2" t="str">
        <f>"22833"</f>
        <v>22833</v>
      </c>
      <c r="C15068" s="1">
        <v>0</v>
      </c>
      <c r="D15068" s="1">
        <v>0</v>
      </c>
      <c r="E15068" s="1">
        <v>3.7495313085864198E-4</v>
      </c>
      <c r="F15068" s="1">
        <v>1.5728216420257901E-5</v>
      </c>
    </row>
    <row r="15069" spans="1:6" x14ac:dyDescent="0.25">
      <c r="A15069" s="2" t="str">
        <f t="shared" si="537"/>
        <v>25500</v>
      </c>
      <c r="B15069" s="2" t="str">
        <f>"22850"</f>
        <v>22850</v>
      </c>
      <c r="C15069" s="1">
        <v>6.7759834957672304E-3</v>
      </c>
      <c r="D15069" s="1">
        <v>1.4941302027748099E-3</v>
      </c>
      <c r="E15069" s="1">
        <v>3.7495313085864198E-4</v>
      </c>
      <c r="F15069" s="1">
        <v>6.1182761874803296E-3</v>
      </c>
    </row>
    <row r="15070" spans="1:6" x14ac:dyDescent="0.25">
      <c r="A15070" s="2" t="str">
        <f t="shared" si="537"/>
        <v>25500</v>
      </c>
      <c r="B15070" s="2" t="str">
        <f>"22803"</f>
        <v>22803</v>
      </c>
      <c r="C15070" s="1">
        <v>1.48502525432169E-2</v>
      </c>
      <c r="D15070" s="1">
        <v>8.5805763073639199E-2</v>
      </c>
      <c r="E15070" s="1">
        <v>7.4990626171728505E-4</v>
      </c>
      <c r="F15070" s="1">
        <v>1.9487260144699502E-2</v>
      </c>
    </row>
    <row r="15071" spans="1:6" x14ac:dyDescent="0.25">
      <c r="A15071" s="2" t="str">
        <f t="shared" si="537"/>
        <v>25500</v>
      </c>
      <c r="B15071" s="2" t="str">
        <f>"22827"</f>
        <v>22827</v>
      </c>
      <c r="C15071" s="1">
        <v>8.2147684427687204E-2</v>
      </c>
      <c r="D15071" s="1">
        <v>6.3820704375667003E-2</v>
      </c>
      <c r="E15071" s="1">
        <v>2.9246344206974102E-2</v>
      </c>
      <c r="F15071" s="1">
        <v>7.8578169235608605E-2</v>
      </c>
    </row>
    <row r="15072" spans="1:6" x14ac:dyDescent="0.25">
      <c r="A15072" s="2" t="str">
        <f t="shared" si="537"/>
        <v>25500</v>
      </c>
      <c r="B15072" s="2" t="str">
        <f>"22820"</f>
        <v>22820</v>
      </c>
      <c r="C15072" s="1">
        <v>2.3653695667638802E-3</v>
      </c>
      <c r="D15072" s="1">
        <v>8.5378868729989296E-4</v>
      </c>
      <c r="E15072" s="1">
        <v>3.7495313085864198E-4</v>
      </c>
      <c r="F15072" s="1">
        <v>2.1704938659955898E-3</v>
      </c>
    </row>
    <row r="15073" spans="1:6" x14ac:dyDescent="0.25">
      <c r="A15073" s="2" t="str">
        <f t="shared" si="537"/>
        <v>25500</v>
      </c>
      <c r="B15073" s="2" t="str">
        <f>"22811"</f>
        <v>22811</v>
      </c>
      <c r="C15073" s="1">
        <v>4.7663086006971599E-3</v>
      </c>
      <c r="D15073" s="1">
        <v>1.7075773745997801E-3</v>
      </c>
      <c r="E15073" s="1">
        <v>3.7495313085864198E-4</v>
      </c>
      <c r="F15073" s="1">
        <v>4.3567159484114498E-3</v>
      </c>
    </row>
    <row r="15074" spans="1:6" x14ac:dyDescent="0.25">
      <c r="A15074" s="2" t="str">
        <f t="shared" si="537"/>
        <v>25500</v>
      </c>
      <c r="B15074" s="2" t="str">
        <f>"22840"</f>
        <v>22840</v>
      </c>
      <c r="C15074" s="1">
        <v>3.8984136017642397E-2</v>
      </c>
      <c r="D15074" s="1">
        <v>1.4514407684098099E-2</v>
      </c>
      <c r="E15074" s="1">
        <v>6.3742032245969202E-3</v>
      </c>
      <c r="F15074" s="1">
        <v>3.5813148788927301E-2</v>
      </c>
    </row>
    <row r="15075" spans="1:6" x14ac:dyDescent="0.25">
      <c r="A15075" s="2" t="str">
        <f t="shared" si="537"/>
        <v>25500</v>
      </c>
      <c r="B15075" s="2" t="str">
        <f>"22815"</f>
        <v>22815</v>
      </c>
      <c r="C15075" s="1">
        <v>6.7208508216546906E-2</v>
      </c>
      <c r="D15075" s="1">
        <v>2.1985058697972199E-2</v>
      </c>
      <c r="E15075" s="1">
        <v>1.9122609673790699E-2</v>
      </c>
      <c r="F15075" s="1">
        <v>6.1859075180874398E-2</v>
      </c>
    </row>
    <row r="15076" spans="1:6" x14ac:dyDescent="0.25">
      <c r="A15076" s="2" t="str">
        <f t="shared" si="537"/>
        <v>25500</v>
      </c>
      <c r="B15076" s="2" t="str">
        <f>"22812"</f>
        <v>22812</v>
      </c>
      <c r="C15076" s="1">
        <v>5.6928932204595502E-2</v>
      </c>
      <c r="D15076" s="1">
        <v>3.1590181430096002E-2</v>
      </c>
      <c r="E15076" s="1">
        <v>6.9366329208848804E-2</v>
      </c>
      <c r="F15076" s="1">
        <v>5.55835168291915E-2</v>
      </c>
    </row>
    <row r="15077" spans="1:6" x14ac:dyDescent="0.25">
      <c r="A15077" s="2" t="str">
        <f t="shared" si="537"/>
        <v>25500</v>
      </c>
      <c r="B15077" s="2" t="str">
        <f>"22801"</f>
        <v>22801</v>
      </c>
      <c r="C15077" s="1">
        <v>0.32133456640819502</v>
      </c>
      <c r="D15077" s="1">
        <v>0.51654215581643503</v>
      </c>
      <c r="E15077" s="1">
        <v>0.55343082114735598</v>
      </c>
      <c r="F15077" s="1">
        <v>0.34545454545454501</v>
      </c>
    </row>
    <row r="15078" spans="1:6" x14ac:dyDescent="0.25">
      <c r="A15078" s="2" t="str">
        <f t="shared" si="537"/>
        <v>25500</v>
      </c>
      <c r="B15078" s="2" t="str">
        <f>"22848"</f>
        <v>22848</v>
      </c>
      <c r="C15078" s="1">
        <v>0</v>
      </c>
      <c r="D15078" s="1">
        <v>0</v>
      </c>
      <c r="E15078" s="1">
        <v>3.7495313085864198E-4</v>
      </c>
      <c r="F15078" s="1">
        <v>1.5728216420257901E-5</v>
      </c>
    </row>
    <row r="15079" spans="1:6" x14ac:dyDescent="0.25">
      <c r="A15079" s="2" t="str">
        <f t="shared" si="537"/>
        <v>25500</v>
      </c>
      <c r="B15079" s="2" t="str">
        <f>"22834"</f>
        <v>22834</v>
      </c>
      <c r="C15079" s="1">
        <v>9.9594508074268995E-3</v>
      </c>
      <c r="D15079" s="1">
        <v>4.6958377801494099E-3</v>
      </c>
      <c r="E15079" s="1">
        <v>1.4998125234345701E-3</v>
      </c>
      <c r="F15079" s="1">
        <v>9.2167348222711495E-3</v>
      </c>
    </row>
    <row r="15080" spans="1:6" x14ac:dyDescent="0.25">
      <c r="A15080" s="2" t="str">
        <f t="shared" si="537"/>
        <v>25500</v>
      </c>
      <c r="B15080" s="2" t="str">
        <f>"24441"</f>
        <v>24441</v>
      </c>
      <c r="C15080" s="1">
        <v>3.2546062459984301E-2</v>
      </c>
      <c r="D15080" s="1">
        <v>1.10992529348986E-2</v>
      </c>
      <c r="E15080" s="1">
        <v>2.4746906636670399E-2</v>
      </c>
      <c r="F15080" s="1">
        <v>3.0638565586662399E-2</v>
      </c>
    </row>
    <row r="15081" spans="1:6" x14ac:dyDescent="0.25">
      <c r="A15081" s="2" t="str">
        <f t="shared" si="537"/>
        <v>25500</v>
      </c>
      <c r="B15081" s="2" t="str">
        <f>"22831"</f>
        <v>22831</v>
      </c>
      <c r="C15081" s="1">
        <v>6.2780109553958801E-3</v>
      </c>
      <c r="D15081" s="1">
        <v>8.5378868729989296E-4</v>
      </c>
      <c r="E15081" s="1">
        <v>3.7495313085864198E-4</v>
      </c>
      <c r="F15081" s="1">
        <v>5.6307014784523404E-3</v>
      </c>
    </row>
    <row r="15082" spans="1:6" x14ac:dyDescent="0.25">
      <c r="A15082" s="2" t="str">
        <f t="shared" si="537"/>
        <v>25500</v>
      </c>
      <c r="B15082" s="2" t="str">
        <f>"22841"</f>
        <v>22841</v>
      </c>
      <c r="C15082" s="1">
        <v>1.96343458774987E-2</v>
      </c>
      <c r="D15082" s="1">
        <v>1.6008537886872901E-2</v>
      </c>
      <c r="E15082" s="1">
        <v>1.4998125234345701E-3</v>
      </c>
      <c r="F15082" s="1">
        <v>1.8606480025165101E-2</v>
      </c>
    </row>
    <row r="15083" spans="1:6" x14ac:dyDescent="0.25">
      <c r="A15083" s="2" t="str">
        <f t="shared" si="537"/>
        <v>25500</v>
      </c>
      <c r="B15083" s="2" t="str">
        <f>"22821"</f>
        <v>22821</v>
      </c>
      <c r="C15083" s="1">
        <v>3.9357615422920898E-2</v>
      </c>
      <c r="D15083" s="1">
        <v>2.4759871931696899E-2</v>
      </c>
      <c r="E15083" s="1">
        <v>5.6242969628796397E-3</v>
      </c>
      <c r="F15083" s="1">
        <v>3.6866939289084598E-2</v>
      </c>
    </row>
    <row r="15084" spans="1:6" x14ac:dyDescent="0.25">
      <c r="A15084" s="2" t="str">
        <f t="shared" si="537"/>
        <v>25500</v>
      </c>
      <c r="B15084" s="2" t="str">
        <f>"24471"</f>
        <v>24471</v>
      </c>
      <c r="C15084" s="1">
        <v>1.0813118019492E-2</v>
      </c>
      <c r="D15084" s="1">
        <v>1.2806830309498301E-3</v>
      </c>
      <c r="E15084" s="1">
        <v>1.1248593925759201E-3</v>
      </c>
      <c r="F15084" s="1">
        <v>9.70430953129915E-3</v>
      </c>
    </row>
    <row r="15085" spans="1:6" x14ac:dyDescent="0.25">
      <c r="A15085" s="2" t="str">
        <f t="shared" si="537"/>
        <v>25500</v>
      </c>
      <c r="B15085" s="2" t="str">
        <f>"22844"</f>
        <v>22844</v>
      </c>
      <c r="C15085" s="1">
        <v>2.1341680301629E-3</v>
      </c>
      <c r="D15085" s="1">
        <v>8.5378868729989296E-4</v>
      </c>
      <c r="E15085" s="1">
        <v>0</v>
      </c>
      <c r="F15085" s="1">
        <v>1.95029883611198E-3</v>
      </c>
    </row>
    <row r="15086" spans="1:6" x14ac:dyDescent="0.25">
      <c r="A15086" s="2" t="str">
        <f t="shared" si="537"/>
        <v>25500</v>
      </c>
      <c r="B15086" s="2" t="str">
        <f>"22846"</f>
        <v>22846</v>
      </c>
      <c r="C15086" s="1">
        <v>1.5081454079817799E-2</v>
      </c>
      <c r="D15086" s="1">
        <v>1.0032017075773701E-2</v>
      </c>
      <c r="E15086" s="1">
        <v>4.1244844394450596E-3</v>
      </c>
      <c r="F15086" s="1">
        <v>1.42497640767536E-2</v>
      </c>
    </row>
    <row r="15087" spans="1:6" x14ac:dyDescent="0.25">
      <c r="A15087" s="2" t="str">
        <f t="shared" si="537"/>
        <v>25500</v>
      </c>
      <c r="B15087" s="2" t="str">
        <f>"22832"</f>
        <v>22832</v>
      </c>
      <c r="C15087" s="1">
        <v>8.9279362595148307E-3</v>
      </c>
      <c r="D15087" s="1">
        <v>3.2017075773745898E-3</v>
      </c>
      <c r="E15087" s="1">
        <v>1.1248593925759201E-3</v>
      </c>
      <c r="F15087" s="1">
        <v>8.1786725385341302E-3</v>
      </c>
    </row>
    <row r="15088" spans="1:6" x14ac:dyDescent="0.25">
      <c r="A15088" s="2" t="str">
        <f t="shared" si="537"/>
        <v>25500</v>
      </c>
      <c r="B15088" s="2" t="str">
        <f>"22849"</f>
        <v>22849</v>
      </c>
      <c r="C15088" s="1">
        <v>1.38720921960589E-3</v>
      </c>
      <c r="D15088" s="1">
        <v>0</v>
      </c>
      <c r="E15088" s="1">
        <v>0</v>
      </c>
      <c r="F15088" s="1">
        <v>1.22680088078011E-3</v>
      </c>
    </row>
    <row r="15089" spans="1:6" x14ac:dyDescent="0.25">
      <c r="A15089" s="2" t="str">
        <f t="shared" si="537"/>
        <v>25500</v>
      </c>
      <c r="B15089" s="2" t="str">
        <f>"22830"</f>
        <v>22830</v>
      </c>
      <c r="C15089" s="1">
        <v>1.38898769296435E-2</v>
      </c>
      <c r="D15089" s="1">
        <v>4.9092849519743803E-3</v>
      </c>
      <c r="E15089" s="1">
        <v>0</v>
      </c>
      <c r="F15089" s="1">
        <v>1.26454860018873E-2</v>
      </c>
    </row>
    <row r="15090" spans="1:6" x14ac:dyDescent="0.25">
      <c r="A15090" s="2" t="str">
        <f t="shared" si="537"/>
        <v>25500</v>
      </c>
      <c r="B15090" s="2" t="str">
        <f>"22807"</f>
        <v>22807</v>
      </c>
      <c r="C15090" s="1">
        <v>4.62403073201963E-4</v>
      </c>
      <c r="D15090" s="1">
        <v>1.21664887940234E-2</v>
      </c>
      <c r="E15090" s="1">
        <v>0</v>
      </c>
      <c r="F15090" s="1">
        <v>1.3054419628813999E-3</v>
      </c>
    </row>
    <row r="15091" spans="1:6" x14ac:dyDescent="0.25">
      <c r="A15091" s="2" t="str">
        <f t="shared" si="537"/>
        <v>25500</v>
      </c>
      <c r="B15091" s="2" t="str">
        <f>"22802"</f>
        <v>22802</v>
      </c>
      <c r="C15091" s="1">
        <v>0.209166251689549</v>
      </c>
      <c r="D15091" s="1">
        <v>0.16072572038420399</v>
      </c>
      <c r="E15091" s="1">
        <v>0.256092988376452</v>
      </c>
      <c r="F15091" s="1">
        <v>0.20756527209814399</v>
      </c>
    </row>
    <row r="15092" spans="1:6" x14ac:dyDescent="0.25">
      <c r="A15092" s="2" t="str">
        <f t="shared" ref="A15092:A15125" si="538">"34350"</f>
        <v>34350</v>
      </c>
      <c r="B15092" s="2" t="str">
        <f>"25649"</f>
        <v>25649</v>
      </c>
      <c r="C15092" s="1">
        <v>0</v>
      </c>
      <c r="D15092" s="1">
        <v>7.3260073260073195E-4</v>
      </c>
      <c r="E15092" s="1">
        <v>0</v>
      </c>
      <c r="F15092" s="1">
        <v>6.6431940476981301E-5</v>
      </c>
    </row>
    <row r="15093" spans="1:6" x14ac:dyDescent="0.25">
      <c r="A15093" s="2" t="str">
        <f t="shared" si="538"/>
        <v>34350</v>
      </c>
      <c r="B15093" s="2" t="str">
        <f>"25635"</f>
        <v>25635</v>
      </c>
      <c r="C15093" s="1">
        <v>4.3604219283910201E-2</v>
      </c>
      <c r="D15093" s="1">
        <v>8.7179487179487106E-2</v>
      </c>
      <c r="E15093" s="1">
        <v>0.119469026548672</v>
      </c>
      <c r="F15093" s="1">
        <v>4.8694612369627299E-2</v>
      </c>
    </row>
    <row r="15094" spans="1:6" x14ac:dyDescent="0.25">
      <c r="A15094" s="2" t="str">
        <f t="shared" si="538"/>
        <v>34350</v>
      </c>
      <c r="B15094" s="2" t="str">
        <f>"25625"</f>
        <v>25625</v>
      </c>
      <c r="C15094" s="1">
        <v>4.0112910414499998E-3</v>
      </c>
      <c r="D15094" s="1">
        <v>2.19780219780219E-3</v>
      </c>
      <c r="E15094" s="1">
        <v>8.8495575221238902E-3</v>
      </c>
      <c r="F15094" s="1">
        <v>3.9194844881418897E-3</v>
      </c>
    </row>
    <row r="15095" spans="1:6" x14ac:dyDescent="0.25">
      <c r="A15095" s="2" t="str">
        <f t="shared" si="538"/>
        <v>34350</v>
      </c>
      <c r="B15095" s="2" t="str">
        <f>"25607"</f>
        <v>25607</v>
      </c>
      <c r="C15095" s="1">
        <v>1.01767939384935E-2</v>
      </c>
      <c r="D15095" s="1">
        <v>7.3260073260073195E-4</v>
      </c>
      <c r="E15095" s="1">
        <v>0</v>
      </c>
      <c r="F15095" s="1">
        <v>9.1676077858234197E-3</v>
      </c>
    </row>
    <row r="15096" spans="1:6" x14ac:dyDescent="0.25">
      <c r="A15096" s="2" t="str">
        <f t="shared" si="538"/>
        <v>34350</v>
      </c>
      <c r="B15096" s="2" t="str">
        <f>"25637"</f>
        <v>25637</v>
      </c>
      <c r="C15096" s="1">
        <v>7.3911751597088002E-2</v>
      </c>
      <c r="D15096" s="1">
        <v>3.44322344322344E-2</v>
      </c>
      <c r="E15096" s="1">
        <v>8.8495575221238902E-3</v>
      </c>
      <c r="F15096" s="1">
        <v>6.9354945857968503E-2</v>
      </c>
    </row>
    <row r="15097" spans="1:6" x14ac:dyDescent="0.25">
      <c r="A15097" s="2" t="str">
        <f t="shared" si="538"/>
        <v>34350</v>
      </c>
      <c r="B15097" s="2" t="str">
        <f>"25653"</f>
        <v>25653</v>
      </c>
      <c r="C15097" s="1">
        <v>0</v>
      </c>
      <c r="D15097" s="1">
        <v>7.3260073260073195E-4</v>
      </c>
      <c r="E15097" s="1">
        <v>0</v>
      </c>
      <c r="F15097" s="1">
        <v>6.6431940476981301E-5</v>
      </c>
    </row>
    <row r="15098" spans="1:6" x14ac:dyDescent="0.25">
      <c r="A15098" s="2" t="str">
        <f t="shared" si="538"/>
        <v>34350</v>
      </c>
      <c r="B15098" s="2" t="str">
        <f>"25022"</f>
        <v>25022</v>
      </c>
      <c r="C15098" s="1">
        <v>0</v>
      </c>
      <c r="D15098" s="1">
        <v>7.3260073260073195E-4</v>
      </c>
      <c r="E15098" s="1">
        <v>0</v>
      </c>
      <c r="F15098" s="1">
        <v>6.6431940476981301E-5</v>
      </c>
    </row>
    <row r="15099" spans="1:6" x14ac:dyDescent="0.25">
      <c r="A15099" s="2" t="str">
        <f t="shared" si="538"/>
        <v>34350</v>
      </c>
      <c r="B15099" s="2" t="str">
        <f>"25614"</f>
        <v>25614</v>
      </c>
      <c r="C15099" s="1">
        <v>1.18853067894815E-3</v>
      </c>
      <c r="D15099" s="1">
        <v>7.3260073260073195E-4</v>
      </c>
      <c r="E15099" s="1">
        <v>4.4247787610619399E-3</v>
      </c>
      <c r="F15099" s="1">
        <v>1.1957749285856599E-3</v>
      </c>
    </row>
    <row r="15100" spans="1:6" x14ac:dyDescent="0.25">
      <c r="A15100" s="2" t="str">
        <f t="shared" si="538"/>
        <v>34350</v>
      </c>
      <c r="B15100" s="2" t="str">
        <f>"25630"</f>
        <v>25630</v>
      </c>
      <c r="C15100" s="1">
        <v>0</v>
      </c>
      <c r="D15100" s="1">
        <v>7.3260073260073195E-4</v>
      </c>
      <c r="E15100" s="1">
        <v>0</v>
      </c>
      <c r="F15100" s="1">
        <v>6.6431940476981301E-5</v>
      </c>
    </row>
    <row r="15101" spans="1:6" x14ac:dyDescent="0.25">
      <c r="A15101" s="2" t="str">
        <f t="shared" si="538"/>
        <v>34350</v>
      </c>
      <c r="B15101" s="2" t="str">
        <f>"25601"</f>
        <v>25601</v>
      </c>
      <c r="C15101" s="1">
        <v>0.375055712375575</v>
      </c>
      <c r="D15101" s="1">
        <v>0.76043956043955996</v>
      </c>
      <c r="E15101" s="1">
        <v>0.69469026548672497</v>
      </c>
      <c r="F15101" s="1">
        <v>0.41480103633827098</v>
      </c>
    </row>
    <row r="15102" spans="1:6" x14ac:dyDescent="0.25">
      <c r="A15102" s="2" t="str">
        <f t="shared" si="538"/>
        <v>34350</v>
      </c>
      <c r="B15102" s="2" t="str">
        <f>"25547"</f>
        <v>25547</v>
      </c>
      <c r="C15102" s="1">
        <v>1.08453424454018E-2</v>
      </c>
      <c r="D15102" s="1">
        <v>2.19780219780219E-3</v>
      </c>
      <c r="E15102" s="1">
        <v>0</v>
      </c>
      <c r="F15102" s="1">
        <v>9.8983591310702092E-3</v>
      </c>
    </row>
    <row r="15103" spans="1:6" x14ac:dyDescent="0.25">
      <c r="A15103" s="2" t="str">
        <f t="shared" si="538"/>
        <v>34350</v>
      </c>
      <c r="B15103" s="2" t="str">
        <f>"25508"</f>
        <v>25508</v>
      </c>
      <c r="C15103" s="1">
        <v>0.257836874164314</v>
      </c>
      <c r="D15103" s="1">
        <v>4.5421245421245399E-2</v>
      </c>
      <c r="E15103" s="1">
        <v>0.12831858407079599</v>
      </c>
      <c r="F15103" s="1">
        <v>0.236630571979007</v>
      </c>
    </row>
    <row r="15104" spans="1:6" x14ac:dyDescent="0.25">
      <c r="A15104" s="2" t="str">
        <f t="shared" si="538"/>
        <v>34350</v>
      </c>
      <c r="B15104" s="2" t="str">
        <f>"25183"</f>
        <v>25183</v>
      </c>
      <c r="C15104" s="1">
        <v>0</v>
      </c>
      <c r="D15104" s="1">
        <v>7.3260073260073195E-4</v>
      </c>
      <c r="E15104" s="1">
        <v>0</v>
      </c>
      <c r="F15104" s="1">
        <v>6.6431940476981301E-5</v>
      </c>
    </row>
    <row r="15105" spans="1:6" x14ac:dyDescent="0.25">
      <c r="A15105" s="2" t="str">
        <f t="shared" si="538"/>
        <v>34350</v>
      </c>
      <c r="B15105" s="2" t="str">
        <f>"25644"</f>
        <v>25644</v>
      </c>
      <c r="C15105" s="1">
        <v>0</v>
      </c>
      <c r="D15105" s="1">
        <v>7.3260073260073195E-4</v>
      </c>
      <c r="E15105" s="1">
        <v>0</v>
      </c>
      <c r="F15105" s="1">
        <v>6.6431940476981301E-5</v>
      </c>
    </row>
    <row r="15106" spans="1:6" x14ac:dyDescent="0.25">
      <c r="A15106" s="2" t="str">
        <f t="shared" si="538"/>
        <v>34350</v>
      </c>
      <c r="B15106" s="2" t="str">
        <f>"25524"</f>
        <v>25524</v>
      </c>
      <c r="C15106" s="1">
        <v>2.72619224483731E-2</v>
      </c>
      <c r="D15106" s="1">
        <v>1.46520146520146E-3</v>
      </c>
      <c r="E15106" s="1">
        <v>0</v>
      </c>
      <c r="F15106" s="1">
        <v>2.4513386036006099E-2</v>
      </c>
    </row>
    <row r="15107" spans="1:6" x14ac:dyDescent="0.25">
      <c r="A15107" s="2" t="str">
        <f t="shared" si="538"/>
        <v>34350</v>
      </c>
      <c r="B15107" s="2" t="str">
        <f>"25505"</f>
        <v>25505</v>
      </c>
      <c r="C15107" s="1">
        <v>4.0112910414499998E-3</v>
      </c>
      <c r="D15107" s="1">
        <v>2.19780219780219E-3</v>
      </c>
      <c r="E15107" s="1">
        <v>4.4247787610619399E-3</v>
      </c>
      <c r="F15107" s="1">
        <v>3.85305254766491E-3</v>
      </c>
    </row>
    <row r="15108" spans="1:6" x14ac:dyDescent="0.25">
      <c r="A15108" s="2" t="str">
        <f t="shared" si="538"/>
        <v>34350</v>
      </c>
      <c r="B15108" s="2" t="str">
        <f>"25076"</f>
        <v>25076</v>
      </c>
      <c r="C15108" s="1">
        <v>0</v>
      </c>
      <c r="D15108" s="1">
        <v>7.3260073260073195E-4</v>
      </c>
      <c r="E15108" s="1">
        <v>0</v>
      </c>
      <c r="F15108" s="1">
        <v>6.6431940476981301E-5</v>
      </c>
    </row>
    <row r="15109" spans="1:6" x14ac:dyDescent="0.25">
      <c r="A15109" s="2" t="str">
        <f t="shared" si="538"/>
        <v>34350</v>
      </c>
      <c r="B15109" s="2" t="str">
        <f>"25634"</f>
        <v>25634</v>
      </c>
      <c r="C15109" s="1">
        <v>0</v>
      </c>
      <c r="D15109" s="1">
        <v>1.46520146520146E-3</v>
      </c>
      <c r="E15109" s="1">
        <v>0</v>
      </c>
      <c r="F15109" s="1">
        <v>1.3286388095396201E-4</v>
      </c>
    </row>
    <row r="15110" spans="1:6" x14ac:dyDescent="0.25">
      <c r="A15110" s="2" t="str">
        <f t="shared" si="538"/>
        <v>34350</v>
      </c>
      <c r="B15110" s="2" t="str">
        <f>"25652"</f>
        <v>25652</v>
      </c>
      <c r="C15110" s="1">
        <v>0</v>
      </c>
      <c r="D15110" s="1">
        <v>7.3260073260073195E-4</v>
      </c>
      <c r="E15110" s="1">
        <v>0</v>
      </c>
      <c r="F15110" s="1">
        <v>6.6431940476981301E-5</v>
      </c>
    </row>
    <row r="15111" spans="1:6" x14ac:dyDescent="0.25">
      <c r="A15111" s="2" t="str">
        <f t="shared" si="538"/>
        <v>34350</v>
      </c>
      <c r="B15111" s="2" t="str">
        <f>"25612"</f>
        <v>25612</v>
      </c>
      <c r="C15111" s="1">
        <v>1.09939087802703E-2</v>
      </c>
      <c r="D15111" s="1">
        <v>7.3260073260073195E-4</v>
      </c>
      <c r="E15111" s="1">
        <v>4.4247787610619399E-3</v>
      </c>
      <c r="F15111" s="1">
        <v>9.9647910715471907E-3</v>
      </c>
    </row>
    <row r="15112" spans="1:6" x14ac:dyDescent="0.25">
      <c r="A15112" s="2" t="str">
        <f t="shared" si="538"/>
        <v>34350</v>
      </c>
      <c r="B15112" s="2" t="str">
        <f>"25638"</f>
        <v>25638</v>
      </c>
      <c r="C15112" s="1">
        <v>7.0569009062546404E-3</v>
      </c>
      <c r="D15112" s="1">
        <v>0</v>
      </c>
      <c r="E15112" s="1">
        <v>4.4247787610619399E-3</v>
      </c>
      <c r="F15112" s="1">
        <v>6.3774662857901997E-3</v>
      </c>
    </row>
    <row r="15113" spans="1:6" x14ac:dyDescent="0.25">
      <c r="A15113" s="2" t="str">
        <f t="shared" si="538"/>
        <v>34350</v>
      </c>
      <c r="B15113" s="2" t="str">
        <f>"25121"</f>
        <v>25121</v>
      </c>
      <c r="C15113" s="1">
        <v>2.32506314069231E-2</v>
      </c>
      <c r="D15113" s="1">
        <v>7.3260073260073195E-4</v>
      </c>
      <c r="E15113" s="1">
        <v>0</v>
      </c>
      <c r="F15113" s="1">
        <v>2.0859629309772101E-2</v>
      </c>
    </row>
    <row r="15114" spans="1:6" x14ac:dyDescent="0.25">
      <c r="A15114" s="2" t="str">
        <f t="shared" si="538"/>
        <v>34350</v>
      </c>
      <c r="B15114" s="2" t="str">
        <f>"25617"</f>
        <v>25617</v>
      </c>
      <c r="C15114" s="1">
        <v>5.4226712227009302E-3</v>
      </c>
      <c r="D15114" s="1">
        <v>7.3260073260073195E-4</v>
      </c>
      <c r="E15114" s="1">
        <v>0</v>
      </c>
      <c r="F15114" s="1">
        <v>4.9159635952966104E-3</v>
      </c>
    </row>
    <row r="15115" spans="1:6" x14ac:dyDescent="0.25">
      <c r="A15115" s="2" t="str">
        <f t="shared" si="538"/>
        <v>34350</v>
      </c>
      <c r="B15115" s="2" t="str">
        <f>"25654"</f>
        <v>25654</v>
      </c>
      <c r="C15115" s="1">
        <v>6.9826177388203799E-3</v>
      </c>
      <c r="D15115" s="1">
        <v>1.46520146520146E-3</v>
      </c>
      <c r="E15115" s="1">
        <v>4.4247787610619399E-3</v>
      </c>
      <c r="F15115" s="1">
        <v>6.4438982262671803E-3</v>
      </c>
    </row>
    <row r="15116" spans="1:6" x14ac:dyDescent="0.25">
      <c r="A15116" s="2" t="str">
        <f t="shared" si="538"/>
        <v>34350</v>
      </c>
      <c r="B15116" s="2" t="str">
        <f>"25639"</f>
        <v>25639</v>
      </c>
      <c r="C15116" s="1">
        <v>7.4283167434259295E-5</v>
      </c>
      <c r="D15116" s="1">
        <v>7.3260073260073195E-4</v>
      </c>
      <c r="E15116" s="1">
        <v>0</v>
      </c>
      <c r="F15116" s="1">
        <v>1.3286388095396201E-4</v>
      </c>
    </row>
    <row r="15117" spans="1:6" x14ac:dyDescent="0.25">
      <c r="A15117" s="2" t="str">
        <f t="shared" si="538"/>
        <v>34350</v>
      </c>
      <c r="B15117" s="2" t="str">
        <f>"25611"</f>
        <v>25611</v>
      </c>
      <c r="C15117" s="1">
        <v>0</v>
      </c>
      <c r="D15117" s="1">
        <v>7.3260073260073195E-4</v>
      </c>
      <c r="E15117" s="1">
        <v>0</v>
      </c>
      <c r="F15117" s="1">
        <v>6.6431940476981301E-5</v>
      </c>
    </row>
    <row r="15118" spans="1:6" x14ac:dyDescent="0.25">
      <c r="A15118" s="2" t="str">
        <f t="shared" si="538"/>
        <v>34350</v>
      </c>
      <c r="B15118" s="2" t="str">
        <f>"25628"</f>
        <v>25628</v>
      </c>
      <c r="C15118" s="1">
        <v>0</v>
      </c>
      <c r="D15118" s="1">
        <v>7.3260073260073195E-4</v>
      </c>
      <c r="E15118" s="1">
        <v>0</v>
      </c>
      <c r="F15118" s="1">
        <v>6.6431940476981301E-5</v>
      </c>
    </row>
    <row r="15119" spans="1:6" x14ac:dyDescent="0.25">
      <c r="A15119" s="2" t="str">
        <f t="shared" si="538"/>
        <v>34350</v>
      </c>
      <c r="B15119" s="2" t="str">
        <f>"25624"</f>
        <v>25624</v>
      </c>
      <c r="C15119" s="1">
        <v>0</v>
      </c>
      <c r="D15119" s="1">
        <v>7.3260073260073195E-4</v>
      </c>
      <c r="E15119" s="1">
        <v>0</v>
      </c>
      <c r="F15119" s="1">
        <v>6.6431940476981301E-5</v>
      </c>
    </row>
    <row r="15120" spans="1:6" x14ac:dyDescent="0.25">
      <c r="A15120" s="2" t="str">
        <f t="shared" si="538"/>
        <v>34350</v>
      </c>
      <c r="B15120" s="2" t="str">
        <f>"25647"</f>
        <v>25647</v>
      </c>
      <c r="C15120" s="1">
        <v>5.5043827068786202E-2</v>
      </c>
      <c r="D15120" s="1">
        <v>1.0256410256410199E-2</v>
      </c>
      <c r="E15120" s="1">
        <v>8.8495575221238902E-3</v>
      </c>
      <c r="F15120" s="1">
        <v>5.0288978941074799E-2</v>
      </c>
    </row>
    <row r="15121" spans="1:6" x14ac:dyDescent="0.25">
      <c r="A15121" s="2" t="str">
        <f t="shared" si="538"/>
        <v>34350</v>
      </c>
      <c r="B15121" s="2" t="str">
        <f>"25646"</f>
        <v>25646</v>
      </c>
      <c r="C15121" s="1">
        <v>5.6529490417471399E-2</v>
      </c>
      <c r="D15121" s="1">
        <v>3.44322344322344E-2</v>
      </c>
      <c r="E15121" s="1">
        <v>8.8495575221238902E-3</v>
      </c>
      <c r="F15121" s="1">
        <v>5.3809871786354803E-2</v>
      </c>
    </row>
    <row r="15122" spans="1:6" x14ac:dyDescent="0.25">
      <c r="A15122" s="2" t="str">
        <f t="shared" si="538"/>
        <v>34350</v>
      </c>
      <c r="B15122" s="2" t="str">
        <f>"25606"</f>
        <v>25606</v>
      </c>
      <c r="C15122" s="1">
        <v>0</v>
      </c>
      <c r="D15122" s="1">
        <v>1.46520146520146E-3</v>
      </c>
      <c r="E15122" s="1">
        <v>0</v>
      </c>
      <c r="F15122" s="1">
        <v>1.3286388095396201E-4</v>
      </c>
    </row>
    <row r="15123" spans="1:6" x14ac:dyDescent="0.25">
      <c r="A15123" s="2" t="str">
        <f t="shared" si="538"/>
        <v>34350</v>
      </c>
      <c r="B15123" s="2" t="str">
        <f>"25632"</f>
        <v>25632</v>
      </c>
      <c r="C15123" s="1">
        <v>2.1393552221066699E-2</v>
      </c>
      <c r="D15123" s="1">
        <v>1.46520146520146E-3</v>
      </c>
      <c r="E15123" s="1">
        <v>0</v>
      </c>
      <c r="F15123" s="1">
        <v>1.9265262738324501E-2</v>
      </c>
    </row>
    <row r="15124" spans="1:6" x14ac:dyDescent="0.25">
      <c r="A15124" s="2" t="str">
        <f t="shared" si="538"/>
        <v>34350</v>
      </c>
      <c r="B15124" s="2" t="str">
        <f>"25108"</f>
        <v>25108</v>
      </c>
      <c r="C15124" s="1">
        <v>2.67419402763333E-3</v>
      </c>
      <c r="D15124" s="1">
        <v>0</v>
      </c>
      <c r="E15124" s="1">
        <v>0</v>
      </c>
      <c r="F15124" s="1">
        <v>2.3915498571713198E-3</v>
      </c>
    </row>
    <row r="15125" spans="1:6" x14ac:dyDescent="0.25">
      <c r="A15125" s="2" t="str">
        <f t="shared" si="538"/>
        <v>34350</v>
      </c>
      <c r="B15125" s="2" t="str">
        <f>"25047"</f>
        <v>25047</v>
      </c>
      <c r="C15125" s="1">
        <v>2.67419402763333E-3</v>
      </c>
      <c r="D15125" s="1">
        <v>1.46520146520146E-3</v>
      </c>
      <c r="E15125" s="1">
        <v>0</v>
      </c>
      <c r="F15125" s="1">
        <v>2.5244137381252901E-3</v>
      </c>
    </row>
    <row r="15126" spans="1:6" x14ac:dyDescent="0.25">
      <c r="A15126" s="2" t="str">
        <f t="shared" ref="A15126:A15164" si="539">"34060"</f>
        <v>34060</v>
      </c>
      <c r="B15126" s="2" t="str">
        <f>"26764"</f>
        <v>26764</v>
      </c>
      <c r="C15126" s="1">
        <v>3.21142489621703E-2</v>
      </c>
      <c r="D15126" s="1">
        <v>2.0311575626109201E-2</v>
      </c>
      <c r="E15126" s="1">
        <v>2.5258799171842601E-2</v>
      </c>
      <c r="F15126" s="1">
        <v>3.1107539065588E-2</v>
      </c>
    </row>
    <row r="15127" spans="1:6" x14ac:dyDescent="0.25">
      <c r="A15127" s="2" t="str">
        <f t="shared" si="539"/>
        <v>34060</v>
      </c>
      <c r="B15127" s="2" t="str">
        <f>"26354"</f>
        <v>26354</v>
      </c>
      <c r="C15127" s="1">
        <v>2.3387709758521799E-4</v>
      </c>
      <c r="D15127" s="1">
        <v>0</v>
      </c>
      <c r="E15127" s="1">
        <v>0</v>
      </c>
      <c r="F15127" s="1">
        <v>2.1080924398534799E-4</v>
      </c>
    </row>
    <row r="15128" spans="1:6" x14ac:dyDescent="0.25">
      <c r="A15128" s="2" t="str">
        <f t="shared" si="539"/>
        <v>34060</v>
      </c>
      <c r="B15128" s="2" t="str">
        <f>"26537"</f>
        <v>26537</v>
      </c>
      <c r="C15128" s="1">
        <v>3.9861427819680703E-2</v>
      </c>
      <c r="D15128" s="1">
        <v>6.6456320252415602E-2</v>
      </c>
      <c r="E15128" s="1">
        <v>5.0517598343685299E-2</v>
      </c>
      <c r="F15128" s="1">
        <v>4.1977390708582502E-2</v>
      </c>
    </row>
    <row r="15129" spans="1:6" x14ac:dyDescent="0.25">
      <c r="A15129" s="2" t="str">
        <f t="shared" si="539"/>
        <v>34060</v>
      </c>
      <c r="B15129" s="2" t="str">
        <f>"26525"</f>
        <v>26525</v>
      </c>
      <c r="C15129" s="1">
        <v>3.5110799274980897E-2</v>
      </c>
      <c r="D15129" s="1">
        <v>1.1634786038256699E-2</v>
      </c>
      <c r="E15129" s="1">
        <v>4.5548654244306399E-3</v>
      </c>
      <c r="F15129" s="1">
        <v>3.2570028195736303E-2</v>
      </c>
    </row>
    <row r="15130" spans="1:6" x14ac:dyDescent="0.25">
      <c r="A15130" s="2" t="str">
        <f t="shared" si="539"/>
        <v>34060</v>
      </c>
      <c r="B15130" s="2" t="str">
        <f>"26562"</f>
        <v>26562</v>
      </c>
      <c r="C15130" s="1">
        <v>1.92948605507805E-3</v>
      </c>
      <c r="D15130" s="1">
        <v>1.9719976336028301E-4</v>
      </c>
      <c r="E15130" s="1">
        <v>0</v>
      </c>
      <c r="F15130" s="1">
        <v>1.7523518406282099E-3</v>
      </c>
    </row>
    <row r="15131" spans="1:6" x14ac:dyDescent="0.25">
      <c r="A15131" s="2" t="str">
        <f t="shared" si="539"/>
        <v>34060</v>
      </c>
      <c r="B15131" s="2" t="str">
        <f>"26590"</f>
        <v>26590</v>
      </c>
      <c r="C15131" s="1">
        <v>4.4582821727182304E-3</v>
      </c>
      <c r="D15131" s="1">
        <v>9.859988168014189E-4</v>
      </c>
      <c r="E15131" s="1">
        <v>4.1407867494824E-4</v>
      </c>
      <c r="F15131" s="1">
        <v>4.0976046799652104E-3</v>
      </c>
    </row>
    <row r="15132" spans="1:6" x14ac:dyDescent="0.25">
      <c r="A15132" s="2" t="str">
        <f t="shared" si="539"/>
        <v>34060</v>
      </c>
      <c r="B15132" s="2" t="str">
        <f>"26287"</f>
        <v>26287</v>
      </c>
      <c r="C15132" s="1">
        <v>1.02321230193533E-4</v>
      </c>
      <c r="D15132" s="1">
        <v>0</v>
      </c>
      <c r="E15132" s="1">
        <v>0</v>
      </c>
      <c r="F15132" s="1">
        <v>9.2229044243589994E-5</v>
      </c>
    </row>
    <row r="15133" spans="1:6" x14ac:dyDescent="0.25">
      <c r="A15133" s="2" t="str">
        <f t="shared" si="539"/>
        <v>34060</v>
      </c>
      <c r="B15133" s="2" t="str">
        <f>"26410"</f>
        <v>26410</v>
      </c>
      <c r="C15133" s="1">
        <v>6.2269777232064503E-3</v>
      </c>
      <c r="D15133" s="1">
        <v>3.9439952672056704E-3</v>
      </c>
      <c r="E15133" s="1">
        <v>0</v>
      </c>
      <c r="F15133" s="1">
        <v>5.8763076760915897E-3</v>
      </c>
    </row>
    <row r="15134" spans="1:6" x14ac:dyDescent="0.25">
      <c r="A15134" s="2" t="str">
        <f t="shared" si="539"/>
        <v>34060</v>
      </c>
      <c r="B15134" s="2" t="str">
        <f>"26520"</f>
        <v>26520</v>
      </c>
      <c r="C15134" s="1">
        <v>2.4849441618429502E-4</v>
      </c>
      <c r="D15134" s="1">
        <v>1.9719976336028301E-4</v>
      </c>
      <c r="E15134" s="1">
        <v>0</v>
      </c>
      <c r="F15134" s="1">
        <v>2.37160399483517E-4</v>
      </c>
    </row>
    <row r="15135" spans="1:6" x14ac:dyDescent="0.25">
      <c r="A15135" s="2" t="str">
        <f t="shared" si="539"/>
        <v>34060</v>
      </c>
      <c r="B15135" s="2" t="str">
        <f>"26541"</f>
        <v>26541</v>
      </c>
      <c r="C15135" s="1">
        <v>2.3826229316494099E-2</v>
      </c>
      <c r="D15135" s="1">
        <v>7.4935910076907898E-3</v>
      </c>
      <c r="E15135" s="1">
        <v>4.1407867494824E-4</v>
      </c>
      <c r="F15135" s="1">
        <v>2.19900392632216E-2</v>
      </c>
    </row>
    <row r="15136" spans="1:6" x14ac:dyDescent="0.25">
      <c r="A15136" s="2" t="str">
        <f t="shared" si="539"/>
        <v>34060</v>
      </c>
      <c r="B15136" s="2" t="str">
        <f>"26519"</f>
        <v>26519</v>
      </c>
      <c r="C15136" s="1">
        <v>1.2453955446412901E-2</v>
      </c>
      <c r="D15136" s="1">
        <v>5.3243936107276596E-3</v>
      </c>
      <c r="E15136" s="1">
        <v>7.0393374741200797E-3</v>
      </c>
      <c r="F15136" s="1">
        <v>1.18053176631795E-2</v>
      </c>
    </row>
    <row r="15137" spans="1:6" x14ac:dyDescent="0.25">
      <c r="A15137" s="2" t="str">
        <f t="shared" si="539"/>
        <v>34060</v>
      </c>
      <c r="B15137" s="2" t="str">
        <f>"26504"</f>
        <v>26504</v>
      </c>
      <c r="C15137" s="1">
        <v>6.8262877857685703E-3</v>
      </c>
      <c r="D15137" s="1">
        <v>3.7862354565174498E-2</v>
      </c>
      <c r="E15137" s="1">
        <v>4.1407867494824E-4</v>
      </c>
      <c r="F15137" s="1">
        <v>8.6958813143956301E-3</v>
      </c>
    </row>
    <row r="15138" spans="1:6" x14ac:dyDescent="0.25">
      <c r="A15138" s="2" t="str">
        <f t="shared" si="539"/>
        <v>34060</v>
      </c>
      <c r="B15138" s="2" t="str">
        <f>"26405"</f>
        <v>26405</v>
      </c>
      <c r="C15138" s="1">
        <v>9.0627375314272297E-4</v>
      </c>
      <c r="D15138" s="1">
        <v>0</v>
      </c>
      <c r="E15138" s="1">
        <v>0</v>
      </c>
      <c r="F15138" s="1">
        <v>8.1688582044322599E-4</v>
      </c>
    </row>
    <row r="15139" spans="1:6" x14ac:dyDescent="0.25">
      <c r="A15139" s="2" t="str">
        <f t="shared" si="539"/>
        <v>34060</v>
      </c>
      <c r="B15139" s="2" t="str">
        <f>"26524"</f>
        <v>26524</v>
      </c>
      <c r="C15139" s="1">
        <v>8.6242179734549403E-4</v>
      </c>
      <c r="D15139" s="1">
        <v>1.9719976336028301E-4</v>
      </c>
      <c r="E15139" s="1">
        <v>8.2815734989648E-4</v>
      </c>
      <c r="F15139" s="1">
        <v>8.1688582044322599E-4</v>
      </c>
    </row>
    <row r="15140" spans="1:6" x14ac:dyDescent="0.25">
      <c r="A15140" s="2" t="str">
        <f t="shared" si="539"/>
        <v>34060</v>
      </c>
      <c r="B15140" s="2" t="str">
        <f>"26531"</f>
        <v>26531</v>
      </c>
      <c r="C15140" s="1">
        <v>2.07419750920891E-2</v>
      </c>
      <c r="D15140" s="1">
        <v>3.8256754091895002E-2</v>
      </c>
      <c r="E15140" s="1">
        <v>8.2815734989648E-4</v>
      </c>
      <c r="F15140" s="1">
        <v>2.1278558064771101E-2</v>
      </c>
    </row>
    <row r="15141" spans="1:6" x14ac:dyDescent="0.25">
      <c r="A15141" s="2" t="str">
        <f t="shared" si="539"/>
        <v>34060</v>
      </c>
      <c r="B15141" s="2" t="str">
        <f>"26444"</f>
        <v>26444</v>
      </c>
      <c r="C15141" s="1">
        <v>2.0142665029526899E-2</v>
      </c>
      <c r="D15141" s="1">
        <v>6.3103924275290796E-3</v>
      </c>
      <c r="E15141" s="1">
        <v>8.2815734989648E-4</v>
      </c>
      <c r="F15141" s="1">
        <v>1.8603915781707E-2</v>
      </c>
    </row>
    <row r="15142" spans="1:6" x14ac:dyDescent="0.25">
      <c r="A15142" s="2" t="str">
        <f t="shared" si="539"/>
        <v>34060</v>
      </c>
      <c r="B15142" s="2" t="str">
        <f>"26716"</f>
        <v>26716</v>
      </c>
      <c r="C15142" s="1">
        <v>4.32672630532655E-3</v>
      </c>
      <c r="D15142" s="1">
        <v>1.5775981068822699E-3</v>
      </c>
      <c r="E15142" s="1">
        <v>0</v>
      </c>
      <c r="F15142" s="1">
        <v>4.0053756357216197E-3</v>
      </c>
    </row>
    <row r="15143" spans="1:6" x14ac:dyDescent="0.25">
      <c r="A15143" s="2" t="str">
        <f t="shared" si="539"/>
        <v>34060</v>
      </c>
      <c r="B15143" s="2" t="str">
        <f>"26547"</f>
        <v>26547</v>
      </c>
      <c r="C15143" s="1">
        <v>1.39303046249196E-2</v>
      </c>
      <c r="D15143" s="1">
        <v>8.4795898244922098E-3</v>
      </c>
      <c r="E15143" s="1">
        <v>2.8985507246376799E-3</v>
      </c>
      <c r="F15143" s="1">
        <v>1.3215104482331499E-2</v>
      </c>
    </row>
    <row r="15144" spans="1:6" x14ac:dyDescent="0.25">
      <c r="A15144" s="2" t="str">
        <f t="shared" si="539"/>
        <v>34060</v>
      </c>
      <c r="B15144" s="2" t="str">
        <f>"26542"</f>
        <v>26542</v>
      </c>
      <c r="C15144" s="1">
        <v>1.14745951002748E-2</v>
      </c>
      <c r="D15144" s="1">
        <v>7.2963912443304996E-3</v>
      </c>
      <c r="E15144" s="1">
        <v>1.65631469979296E-3</v>
      </c>
      <c r="F15144" s="1">
        <v>1.08830272207436E-2</v>
      </c>
    </row>
    <row r="15145" spans="1:6" x14ac:dyDescent="0.25">
      <c r="A15145" s="2" t="str">
        <f t="shared" si="539"/>
        <v>34060</v>
      </c>
      <c r="B15145" s="2" t="str">
        <f>"26582"</f>
        <v>26582</v>
      </c>
      <c r="C15145" s="1">
        <v>8.7703911594457103E-5</v>
      </c>
      <c r="D15145" s="1">
        <v>0</v>
      </c>
      <c r="E15145" s="1">
        <v>0</v>
      </c>
      <c r="F15145" s="1">
        <v>7.9053466494505693E-5</v>
      </c>
    </row>
    <row r="15146" spans="1:6" x14ac:dyDescent="0.25">
      <c r="A15146" s="2" t="str">
        <f t="shared" si="539"/>
        <v>34060</v>
      </c>
      <c r="B15146" s="2" t="str">
        <f>"26554"</f>
        <v>26554</v>
      </c>
      <c r="C15146" s="1">
        <v>5.1306788282757402E-3</v>
      </c>
      <c r="D15146" s="1">
        <v>1.3803983435219801E-3</v>
      </c>
      <c r="E15146" s="1">
        <v>0</v>
      </c>
      <c r="F15146" s="1">
        <v>4.7168568341721699E-3</v>
      </c>
    </row>
    <row r="15147" spans="1:6" x14ac:dyDescent="0.25">
      <c r="A15147" s="2" t="str">
        <f t="shared" si="539"/>
        <v>34060</v>
      </c>
      <c r="B15147" s="2" t="str">
        <f>"26501"</f>
        <v>26501</v>
      </c>
      <c r="C15147" s="1">
        <v>0.144945331228439</v>
      </c>
      <c r="D15147" s="1">
        <v>0.203904555314533</v>
      </c>
      <c r="E15147" s="1">
        <v>0.188405797101449</v>
      </c>
      <c r="F15147" s="1">
        <v>0.150267464228306</v>
      </c>
    </row>
    <row r="15148" spans="1:6" x14ac:dyDescent="0.25">
      <c r="A15148" s="2" t="str">
        <f t="shared" si="539"/>
        <v>34060</v>
      </c>
      <c r="B15148" s="2" t="str">
        <f>"26507"</f>
        <v>26507</v>
      </c>
      <c r="C15148" s="1">
        <v>1.54505057592235E-2</v>
      </c>
      <c r="D15148" s="1">
        <v>6.4287122855452503E-2</v>
      </c>
      <c r="E15148" s="1">
        <v>4.1407867494824E-4</v>
      </c>
      <c r="F15148" s="1">
        <v>1.8234999604732599E-2</v>
      </c>
    </row>
    <row r="15149" spans="1:6" x14ac:dyDescent="0.25">
      <c r="A15149" s="2" t="str">
        <f t="shared" si="539"/>
        <v>34060</v>
      </c>
      <c r="B15149" s="2" t="str">
        <f>"26508"</f>
        <v>26508</v>
      </c>
      <c r="C15149" s="1">
        <v>0.25152020113430301</v>
      </c>
      <c r="D15149" s="1">
        <v>0.15480181423782199</v>
      </c>
      <c r="E15149" s="1">
        <v>5.7556935817805299E-2</v>
      </c>
      <c r="F15149" s="1">
        <v>0.23888640016864701</v>
      </c>
    </row>
    <row r="15150" spans="1:6" x14ac:dyDescent="0.25">
      <c r="A15150" s="2" t="str">
        <f t="shared" si="539"/>
        <v>34060</v>
      </c>
      <c r="B15150" s="2" t="str">
        <f>"26425"</f>
        <v>26425</v>
      </c>
      <c r="C15150" s="1">
        <v>5.23300005846927E-3</v>
      </c>
      <c r="D15150" s="1">
        <v>2.1691973969631198E-3</v>
      </c>
      <c r="E15150" s="1">
        <v>8.2815734989648E-4</v>
      </c>
      <c r="F15150" s="1">
        <v>4.8881393449102702E-3</v>
      </c>
    </row>
    <row r="15151" spans="1:6" x14ac:dyDescent="0.25">
      <c r="A15151" s="2" t="str">
        <f t="shared" si="539"/>
        <v>34060</v>
      </c>
      <c r="B15151" s="2" t="str">
        <f>"26521"</f>
        <v>26521</v>
      </c>
      <c r="C15151" s="1">
        <v>9.5012570893995201E-4</v>
      </c>
      <c r="D15151" s="1">
        <v>1.5775981068822699E-3</v>
      </c>
      <c r="E15151" s="1">
        <v>4.1407867494824E-4</v>
      </c>
      <c r="F15151" s="1">
        <v>9.7499275343223798E-4</v>
      </c>
    </row>
    <row r="15152" spans="1:6" x14ac:dyDescent="0.25">
      <c r="A15152" s="2" t="str">
        <f t="shared" si="539"/>
        <v>34060</v>
      </c>
      <c r="B15152" s="2" t="str">
        <f>"26588"</f>
        <v>26588</v>
      </c>
      <c r="C15152" s="1">
        <v>3.2596620475939799E-3</v>
      </c>
      <c r="D15152" s="1">
        <v>9.859988168014189E-4</v>
      </c>
      <c r="E15152" s="1">
        <v>0</v>
      </c>
      <c r="F15152" s="1">
        <v>3.00403172679121E-3</v>
      </c>
    </row>
    <row r="15153" spans="1:6" x14ac:dyDescent="0.25">
      <c r="A15153" s="2" t="str">
        <f t="shared" si="539"/>
        <v>34060</v>
      </c>
      <c r="B15153" s="2" t="str">
        <f>"26440"</f>
        <v>26440</v>
      </c>
      <c r="C15153" s="1">
        <v>2.8211424896217E-3</v>
      </c>
      <c r="D15153" s="1">
        <v>1.97199763360283E-3</v>
      </c>
      <c r="E15153" s="1">
        <v>4.1407867494824E-4</v>
      </c>
      <c r="F15153" s="1">
        <v>2.6878178608131902E-3</v>
      </c>
    </row>
    <row r="15154" spans="1:6" x14ac:dyDescent="0.25">
      <c r="A15154" s="2" t="str">
        <f t="shared" si="539"/>
        <v>34060</v>
      </c>
      <c r="B15154" s="2" t="str">
        <f>"26527"</f>
        <v>26527</v>
      </c>
      <c r="C15154" s="1">
        <v>0</v>
      </c>
      <c r="D15154" s="1">
        <v>0</v>
      </c>
      <c r="E15154" s="1">
        <v>4.1407867494824E-4</v>
      </c>
      <c r="F15154" s="1">
        <v>1.31755777490842E-5</v>
      </c>
    </row>
    <row r="15155" spans="1:6" x14ac:dyDescent="0.25">
      <c r="A15155" s="2" t="str">
        <f t="shared" si="539"/>
        <v>34060</v>
      </c>
      <c r="B15155" s="2" t="str">
        <f>"26544"</f>
        <v>26544</v>
      </c>
      <c r="C15155" s="1">
        <v>0</v>
      </c>
      <c r="D15155" s="1">
        <v>0</v>
      </c>
      <c r="E15155" s="1">
        <v>4.1407867494824E-4</v>
      </c>
      <c r="F15155" s="1">
        <v>1.31755777490842E-5</v>
      </c>
    </row>
    <row r="15156" spans="1:6" x14ac:dyDescent="0.25">
      <c r="A15156" s="2" t="str">
        <f t="shared" si="539"/>
        <v>34060</v>
      </c>
      <c r="B15156" s="2" t="str">
        <f>"26543"</f>
        <v>26543</v>
      </c>
      <c r="C15156" s="1">
        <v>6.8701397415658005E-4</v>
      </c>
      <c r="D15156" s="1">
        <v>5.9159929008085099E-4</v>
      </c>
      <c r="E15156" s="1">
        <v>1.2422360248447199E-3</v>
      </c>
      <c r="F15156" s="1">
        <v>6.9830562070146698E-4</v>
      </c>
    </row>
    <row r="15157" spans="1:6" x14ac:dyDescent="0.25">
      <c r="A15157" s="2" t="str">
        <f t="shared" si="539"/>
        <v>34060</v>
      </c>
      <c r="B15157" s="2" t="str">
        <f>"26534"</f>
        <v>26534</v>
      </c>
      <c r="C15157" s="1">
        <v>0</v>
      </c>
      <c r="D15157" s="1">
        <v>0</v>
      </c>
      <c r="E15157" s="1">
        <v>4.1407867494824E-4</v>
      </c>
      <c r="F15157" s="1">
        <v>1.31755777490842E-5</v>
      </c>
    </row>
    <row r="15158" spans="1:6" x14ac:dyDescent="0.25">
      <c r="A15158" s="2" t="str">
        <f t="shared" si="539"/>
        <v>34060</v>
      </c>
      <c r="B15158" s="2" t="str">
        <f>"26506"</f>
        <v>26506</v>
      </c>
      <c r="C15158" s="1">
        <v>2.92346371981523E-5</v>
      </c>
      <c r="D15158" s="1">
        <v>2.95799645040425E-3</v>
      </c>
      <c r="E15158" s="1">
        <v>1.65631469979296E-3</v>
      </c>
      <c r="F15158" s="1">
        <v>2.7668713273077002E-4</v>
      </c>
    </row>
    <row r="15159" spans="1:6" x14ac:dyDescent="0.25">
      <c r="A15159" s="2" t="str">
        <f t="shared" si="539"/>
        <v>34060</v>
      </c>
      <c r="B15159" s="2" t="str">
        <f>"26505"</f>
        <v>26505</v>
      </c>
      <c r="C15159" s="1">
        <v>0.30488803133953102</v>
      </c>
      <c r="D15159" s="1">
        <v>0.33898639321632801</v>
      </c>
      <c r="E15159" s="1">
        <v>0.649689440993788</v>
      </c>
      <c r="F15159" s="1">
        <v>0.31813750032938898</v>
      </c>
    </row>
    <row r="15160" spans="1:6" x14ac:dyDescent="0.25">
      <c r="A15160" s="2" t="str">
        <f t="shared" si="539"/>
        <v>34060</v>
      </c>
      <c r="B15160" s="2" t="str">
        <f>"26374"</f>
        <v>26374</v>
      </c>
      <c r="C15160" s="1">
        <v>8.9311816640355399E-3</v>
      </c>
      <c r="D15160" s="1">
        <v>1.97199763360283E-3</v>
      </c>
      <c r="E15160" s="1">
        <v>1.2422360248447199E-3</v>
      </c>
      <c r="F15160" s="1">
        <v>8.2215605154286001E-3</v>
      </c>
    </row>
    <row r="15161" spans="1:6" x14ac:dyDescent="0.25">
      <c r="A15161" s="2" t="str">
        <f t="shared" si="539"/>
        <v>34060</v>
      </c>
      <c r="B15161" s="2" t="str">
        <f>"26705"</f>
        <v>26705</v>
      </c>
      <c r="C15161" s="1">
        <v>6.6801145997778099E-3</v>
      </c>
      <c r="D15161" s="1">
        <v>3.5495957404851099E-3</v>
      </c>
      <c r="E15161" s="1">
        <v>8.2815734989648E-4</v>
      </c>
      <c r="F15161" s="1">
        <v>6.2847505863131998E-3</v>
      </c>
    </row>
    <row r="15162" spans="1:6" x14ac:dyDescent="0.25">
      <c r="A15162" s="2" t="str">
        <f t="shared" si="539"/>
        <v>34060</v>
      </c>
      <c r="B15162" s="2" t="str">
        <f>"26546"</f>
        <v>26546</v>
      </c>
      <c r="C15162" s="1">
        <v>4.53136876571361E-4</v>
      </c>
      <c r="D15162" s="1">
        <v>0</v>
      </c>
      <c r="E15162" s="1">
        <v>4.1407867494824E-4</v>
      </c>
      <c r="F15162" s="1">
        <v>4.2161848797069701E-4</v>
      </c>
    </row>
    <row r="15163" spans="1:6" x14ac:dyDescent="0.25">
      <c r="A15163" s="2" t="str">
        <f t="shared" si="539"/>
        <v>34060</v>
      </c>
      <c r="B15163" s="2" t="str">
        <f>"26585"</f>
        <v>26585</v>
      </c>
      <c r="C15163" s="1">
        <v>1.4617318599076099E-5</v>
      </c>
      <c r="D15163" s="1">
        <v>0</v>
      </c>
      <c r="E15163" s="1">
        <v>0</v>
      </c>
      <c r="F15163" s="1">
        <v>1.31755777490842E-5</v>
      </c>
    </row>
    <row r="15164" spans="1:6" x14ac:dyDescent="0.25">
      <c r="A15164" s="2" t="str">
        <f t="shared" si="539"/>
        <v>34060</v>
      </c>
      <c r="B15164" s="2" t="str">
        <f>"26570"</f>
        <v>26570</v>
      </c>
      <c r="C15164" s="1">
        <v>1.3140969420569399E-2</v>
      </c>
      <c r="D15164" s="1">
        <v>4.3383947939262396E-3</v>
      </c>
      <c r="E15164" s="1">
        <v>0</v>
      </c>
      <c r="F15164" s="1">
        <v>1.21347071069066E-2</v>
      </c>
    </row>
    <row r="15165" spans="1:6" x14ac:dyDescent="0.25">
      <c r="A15165" s="2" t="str">
        <f t="shared" ref="A15165:A15182" si="540">"43140"</f>
        <v>43140</v>
      </c>
      <c r="B15165" s="2" t="str">
        <f>"28090"</f>
        <v>28090</v>
      </c>
      <c r="C15165" s="1">
        <v>7.1882682037806206E-2</v>
      </c>
      <c r="D15165" s="1">
        <v>2.8921568627450898E-2</v>
      </c>
      <c r="E15165" s="1">
        <v>1.5696533682145099E-2</v>
      </c>
      <c r="F15165" s="1">
        <v>6.6935621342121707E-2</v>
      </c>
    </row>
    <row r="15166" spans="1:6" x14ac:dyDescent="0.25">
      <c r="A15166" s="2" t="str">
        <f t="shared" si="540"/>
        <v>43140</v>
      </c>
      <c r="B15166" s="2" t="str">
        <f>"28040"</f>
        <v>28040</v>
      </c>
      <c r="C15166" s="1">
        <v>1.1867423921335901E-3</v>
      </c>
      <c r="D15166" s="1">
        <v>0</v>
      </c>
      <c r="E15166" s="1">
        <v>0</v>
      </c>
      <c r="F15166" s="1">
        <v>1.0606663257381999E-3</v>
      </c>
    </row>
    <row r="15167" spans="1:6" x14ac:dyDescent="0.25">
      <c r="A15167" s="2" t="str">
        <f t="shared" si="540"/>
        <v>43140</v>
      </c>
      <c r="B15167" s="2" t="str">
        <f>"28021"</f>
        <v>28021</v>
      </c>
      <c r="C15167" s="1">
        <v>2.4370602695600499E-2</v>
      </c>
      <c r="D15167" s="1">
        <v>6.1274509803921498E-3</v>
      </c>
      <c r="E15167" s="1">
        <v>1.4388489208633001E-2</v>
      </c>
      <c r="F15167" s="1">
        <v>2.2671742712654101E-2</v>
      </c>
    </row>
    <row r="15168" spans="1:6" x14ac:dyDescent="0.25">
      <c r="A15168" s="2" t="str">
        <f t="shared" si="540"/>
        <v>43140</v>
      </c>
      <c r="B15168" s="2" t="str">
        <f>"28612"</f>
        <v>28612</v>
      </c>
      <c r="C15168" s="1">
        <v>8.6886496566923696E-4</v>
      </c>
      <c r="D15168" s="1">
        <v>0</v>
      </c>
      <c r="E15168" s="1">
        <v>0</v>
      </c>
      <c r="F15168" s="1">
        <v>7.7655927420118499E-4</v>
      </c>
    </row>
    <row r="15169" spans="1:6" x14ac:dyDescent="0.25">
      <c r="A15169" s="2" t="str">
        <f t="shared" si="540"/>
        <v>43140</v>
      </c>
      <c r="B15169" s="2" t="str">
        <f>"28089"</f>
        <v>28089</v>
      </c>
      <c r="C15169" s="1">
        <v>0</v>
      </c>
      <c r="D15169" s="1">
        <v>0</v>
      </c>
      <c r="E15169" s="1">
        <v>6.5402223675604899E-4</v>
      </c>
      <c r="F15169" s="1">
        <v>1.8940470102467901E-5</v>
      </c>
    </row>
    <row r="15170" spans="1:6" x14ac:dyDescent="0.25">
      <c r="A15170" s="2" t="str">
        <f t="shared" si="540"/>
        <v>43140</v>
      </c>
      <c r="B15170" s="2" t="str">
        <f>"28136"</f>
        <v>28136</v>
      </c>
      <c r="C15170" s="1">
        <v>1.0807832499788001E-2</v>
      </c>
      <c r="D15170" s="1">
        <v>1.1274509803921501E-2</v>
      </c>
      <c r="E15170" s="1">
        <v>6.5402223675604899E-4</v>
      </c>
      <c r="F15170" s="1">
        <v>1.05498418470746E-2</v>
      </c>
    </row>
    <row r="15171" spans="1:6" x14ac:dyDescent="0.25">
      <c r="A15171" s="2" t="str">
        <f t="shared" si="540"/>
        <v>43140</v>
      </c>
      <c r="B15171" s="2" t="str">
        <f>"28017"</f>
        <v>28017</v>
      </c>
      <c r="C15171" s="1">
        <v>4.2383656861914E-5</v>
      </c>
      <c r="D15171" s="1">
        <v>0</v>
      </c>
      <c r="E15171" s="1">
        <v>1.30804447351209E-3</v>
      </c>
      <c r="F15171" s="1">
        <v>7.5761880409871697E-5</v>
      </c>
    </row>
    <row r="15172" spans="1:6" x14ac:dyDescent="0.25">
      <c r="A15172" s="2" t="str">
        <f t="shared" si="540"/>
        <v>43140</v>
      </c>
      <c r="B15172" s="2" t="str">
        <f>"28086"</f>
        <v>28086</v>
      </c>
      <c r="C15172" s="1">
        <v>0.22031024836822899</v>
      </c>
      <c r="D15172" s="1">
        <v>0.19142156862745</v>
      </c>
      <c r="E15172" s="1">
        <v>0.182472204054937</v>
      </c>
      <c r="F15172" s="1">
        <v>0.21698202549387199</v>
      </c>
    </row>
    <row r="15173" spans="1:6" x14ac:dyDescent="0.25">
      <c r="A15173" s="2" t="str">
        <f t="shared" si="540"/>
        <v>43140</v>
      </c>
      <c r="B15173" s="2" t="str">
        <f>"28042"</f>
        <v>28042</v>
      </c>
      <c r="C15173" s="1">
        <v>0</v>
      </c>
      <c r="D15173" s="1">
        <v>0</v>
      </c>
      <c r="E15173" s="1">
        <v>6.5402223675604899E-4</v>
      </c>
      <c r="F15173" s="1">
        <v>1.8940470102467901E-5</v>
      </c>
    </row>
    <row r="15174" spans="1:6" x14ac:dyDescent="0.25">
      <c r="A15174" s="2" t="str">
        <f t="shared" si="540"/>
        <v>43140</v>
      </c>
      <c r="B15174" s="2" t="str">
        <f>"28038"</f>
        <v>28038</v>
      </c>
      <c r="C15174" s="1">
        <v>0</v>
      </c>
      <c r="D15174" s="1">
        <v>0</v>
      </c>
      <c r="E15174" s="1">
        <v>6.5402223675604899E-4</v>
      </c>
      <c r="F15174" s="1">
        <v>1.8940470102467901E-5</v>
      </c>
    </row>
    <row r="15175" spans="1:6" x14ac:dyDescent="0.25">
      <c r="A15175" s="2" t="str">
        <f t="shared" si="540"/>
        <v>43140</v>
      </c>
      <c r="B15175" s="2" t="str">
        <f>"28150"</f>
        <v>28150</v>
      </c>
      <c r="C15175" s="1">
        <v>0.292892260744257</v>
      </c>
      <c r="D15175" s="1">
        <v>0.335049019607843</v>
      </c>
      <c r="E15175" s="1">
        <v>0.44669718770438099</v>
      </c>
      <c r="F15175" s="1">
        <v>0.300604200996268</v>
      </c>
    </row>
    <row r="15176" spans="1:6" x14ac:dyDescent="0.25">
      <c r="A15176" s="2" t="str">
        <f t="shared" si="540"/>
        <v>43140</v>
      </c>
      <c r="B15176" s="2" t="str">
        <f>"28151"</f>
        <v>28151</v>
      </c>
      <c r="C15176" s="1">
        <v>3.7318809866915298E-2</v>
      </c>
      <c r="D15176" s="1">
        <v>0.143872549019607</v>
      </c>
      <c r="E15176" s="1">
        <v>6.5402223675604899E-4</v>
      </c>
      <c r="F15176" s="1">
        <v>4.4491164270697103E-2</v>
      </c>
    </row>
    <row r="15177" spans="1:6" x14ac:dyDescent="0.25">
      <c r="A15177" s="2" t="str">
        <f t="shared" si="540"/>
        <v>43140</v>
      </c>
      <c r="B15177" s="2" t="str">
        <f>"28152"</f>
        <v>28152</v>
      </c>
      <c r="C15177" s="1">
        <v>0.238153767907095</v>
      </c>
      <c r="D15177" s="1">
        <v>0.248529411764705</v>
      </c>
      <c r="E15177" s="1">
        <v>0.27011118378024801</v>
      </c>
      <c r="F15177" s="1">
        <v>0.23988105384775599</v>
      </c>
    </row>
    <row r="15178" spans="1:6" x14ac:dyDescent="0.25">
      <c r="A15178" s="2" t="str">
        <f t="shared" si="540"/>
        <v>43140</v>
      </c>
      <c r="B15178" s="2" t="str">
        <f>"28073"</f>
        <v>28073</v>
      </c>
      <c r="C15178" s="1">
        <v>4.9398152072560798E-2</v>
      </c>
      <c r="D15178" s="1">
        <v>2.1078431372549E-2</v>
      </c>
      <c r="E15178" s="1">
        <v>4.3819489862655298E-2</v>
      </c>
      <c r="F15178" s="1">
        <v>4.70481277345303E-2</v>
      </c>
    </row>
    <row r="15179" spans="1:6" x14ac:dyDescent="0.25">
      <c r="A15179" s="2" t="str">
        <f t="shared" si="540"/>
        <v>43140</v>
      </c>
      <c r="B15179" s="2" t="str">
        <f>"28020"</f>
        <v>28020</v>
      </c>
      <c r="C15179" s="1">
        <v>2.30567093328812E-2</v>
      </c>
      <c r="D15179" s="1">
        <v>4.1666666666666597E-3</v>
      </c>
      <c r="E15179" s="1">
        <v>1.96206671026814E-3</v>
      </c>
      <c r="F15179" s="1">
        <v>2.0986040873534399E-2</v>
      </c>
    </row>
    <row r="15180" spans="1:6" x14ac:dyDescent="0.25">
      <c r="A15180" s="2" t="str">
        <f t="shared" si="540"/>
        <v>43140</v>
      </c>
      <c r="B15180" s="2" t="str">
        <f>"28169"</f>
        <v>28169</v>
      </c>
      <c r="C15180" s="1">
        <v>0</v>
      </c>
      <c r="D15180" s="1">
        <v>0</v>
      </c>
      <c r="E15180" s="1">
        <v>6.5402223675604899E-4</v>
      </c>
      <c r="F15180" s="1">
        <v>1.8940470102467901E-5</v>
      </c>
    </row>
    <row r="15181" spans="1:6" x14ac:dyDescent="0.25">
      <c r="A15181" s="2" t="str">
        <f t="shared" si="540"/>
        <v>43140</v>
      </c>
      <c r="B15181" s="2" t="str">
        <f>"28168"</f>
        <v>28168</v>
      </c>
      <c r="C15181" s="1">
        <v>8.9005679410019399E-4</v>
      </c>
      <c r="D15181" s="1">
        <v>0</v>
      </c>
      <c r="E15181" s="1">
        <v>1.30804447351209E-3</v>
      </c>
      <c r="F15181" s="1">
        <v>8.3338068450858902E-4</v>
      </c>
    </row>
    <row r="15182" spans="1:6" x14ac:dyDescent="0.25">
      <c r="A15182" s="2" t="str">
        <f t="shared" si="540"/>
        <v>43140</v>
      </c>
      <c r="B15182" s="2" t="str">
        <f>"28114"</f>
        <v>28114</v>
      </c>
      <c r="C15182" s="1">
        <v>2.8820886666101501E-2</v>
      </c>
      <c r="D15182" s="1">
        <v>9.5588235294117602E-3</v>
      </c>
      <c r="E15182" s="1">
        <v>1.8312622629169301E-2</v>
      </c>
      <c r="F15182" s="1">
        <v>2.7028050836221701E-2</v>
      </c>
    </row>
    <row r="15183" spans="1:6" x14ac:dyDescent="0.25">
      <c r="A15183" s="2" t="str">
        <f t="shared" ref="A15183:A15199" si="541">"31300"</f>
        <v>31300</v>
      </c>
      <c r="B15183" s="2" t="str">
        <f>"28352"</f>
        <v>28352</v>
      </c>
      <c r="C15183" s="1">
        <v>1.71197699102924E-5</v>
      </c>
      <c r="D15183" s="1">
        <v>0</v>
      </c>
      <c r="E15183" s="1">
        <v>0</v>
      </c>
      <c r="F15183" s="1">
        <v>1.57383654133681E-5</v>
      </c>
    </row>
    <row r="15184" spans="1:6" x14ac:dyDescent="0.25">
      <c r="A15184" s="2" t="str">
        <f t="shared" si="541"/>
        <v>31300</v>
      </c>
      <c r="B15184" s="2" t="str">
        <f>"28378"</f>
        <v>28378</v>
      </c>
      <c r="C15184" s="1">
        <v>0</v>
      </c>
      <c r="D15184" s="1">
        <v>0</v>
      </c>
      <c r="E15184" s="1">
        <v>1.2135922330097E-3</v>
      </c>
      <c r="F15184" s="1">
        <v>1.57383654133681E-5</v>
      </c>
    </row>
    <row r="15185" spans="1:6" x14ac:dyDescent="0.25">
      <c r="A15185" s="2" t="str">
        <f t="shared" si="541"/>
        <v>31300</v>
      </c>
      <c r="B15185" s="2" t="str">
        <f>"28358"</f>
        <v>28358</v>
      </c>
      <c r="C15185" s="1">
        <v>0.291686639731562</v>
      </c>
      <c r="D15185" s="1">
        <v>0.45572856146874202</v>
      </c>
      <c r="E15185" s="1">
        <v>0.38713592233009703</v>
      </c>
      <c r="F15185" s="1">
        <v>0.304033743055446</v>
      </c>
    </row>
    <row r="15186" spans="1:6" x14ac:dyDescent="0.25">
      <c r="A15186" s="2" t="str">
        <f t="shared" si="541"/>
        <v>31300</v>
      </c>
      <c r="B15186" s="2" t="str">
        <f>"28372"</f>
        <v>28372</v>
      </c>
      <c r="C15186" s="1">
        <v>8.3647195781688596E-2</v>
      </c>
      <c r="D15186" s="1">
        <v>4.1134092493609102E-2</v>
      </c>
      <c r="E15186" s="1">
        <v>0.245145631067961</v>
      </c>
      <c r="F15186" s="1">
        <v>8.2862493901383394E-2</v>
      </c>
    </row>
    <row r="15187" spans="1:6" x14ac:dyDescent="0.25">
      <c r="A15187" s="2" t="str">
        <f t="shared" si="541"/>
        <v>31300</v>
      </c>
      <c r="B15187" s="2" t="str">
        <f>"28364"</f>
        <v>28364</v>
      </c>
      <c r="C15187" s="1">
        <v>0.10942956926658901</v>
      </c>
      <c r="D15187" s="1">
        <v>8.6218917034627002E-2</v>
      </c>
      <c r="E15187" s="1">
        <v>5.7038834951456299E-2</v>
      </c>
      <c r="F15187" s="1">
        <v>0.107178268465037</v>
      </c>
    </row>
    <row r="15188" spans="1:6" x14ac:dyDescent="0.25">
      <c r="A15188" s="2" t="str">
        <f t="shared" si="541"/>
        <v>31300</v>
      </c>
      <c r="B15188" s="2" t="str">
        <f>"28384"</f>
        <v>28384</v>
      </c>
      <c r="C15188" s="1">
        <v>7.8922139286447895E-2</v>
      </c>
      <c r="D15188" s="1">
        <v>7.08807808505693E-2</v>
      </c>
      <c r="E15188" s="1">
        <v>4.0048543689320301E-2</v>
      </c>
      <c r="F15188" s="1">
        <v>7.7873432065345596E-2</v>
      </c>
    </row>
    <row r="15189" spans="1:6" x14ac:dyDescent="0.25">
      <c r="A15189" s="2" t="str">
        <f t="shared" si="541"/>
        <v>31300</v>
      </c>
      <c r="B15189" s="2" t="str">
        <f>"28362"</f>
        <v>28362</v>
      </c>
      <c r="C15189" s="1">
        <v>0</v>
      </c>
      <c r="D15189" s="1">
        <v>0</v>
      </c>
      <c r="E15189" s="1">
        <v>1.2135922330097E-3</v>
      </c>
      <c r="F15189" s="1">
        <v>1.57383654133681E-5</v>
      </c>
    </row>
    <row r="15190" spans="1:6" x14ac:dyDescent="0.25">
      <c r="A15190" s="2" t="str">
        <f t="shared" si="541"/>
        <v>31300</v>
      </c>
      <c r="B15190" s="2" t="str">
        <f>"28340"</f>
        <v>28340</v>
      </c>
      <c r="C15190" s="1">
        <v>8.0685475587208094E-2</v>
      </c>
      <c r="D15190" s="1">
        <v>7.1810364861724305E-2</v>
      </c>
      <c r="E15190" s="1">
        <v>3.7621359223300899E-2</v>
      </c>
      <c r="F15190" s="1">
        <v>7.9525960433749293E-2</v>
      </c>
    </row>
    <row r="15191" spans="1:6" x14ac:dyDescent="0.25">
      <c r="A15191" s="2" t="str">
        <f t="shared" si="541"/>
        <v>31300</v>
      </c>
      <c r="B15191" s="2" t="str">
        <f>"28375"</f>
        <v>28375</v>
      </c>
      <c r="C15191" s="1">
        <v>0</v>
      </c>
      <c r="D15191" s="1">
        <v>0</v>
      </c>
      <c r="E15191" s="1">
        <v>1.2135922330097E-3</v>
      </c>
      <c r="F15191" s="1">
        <v>1.57383654133681E-5</v>
      </c>
    </row>
    <row r="15192" spans="1:6" x14ac:dyDescent="0.25">
      <c r="A15192" s="2" t="str">
        <f t="shared" si="541"/>
        <v>31300</v>
      </c>
      <c r="B15192" s="2" t="str">
        <f>"28377"</f>
        <v>28377</v>
      </c>
      <c r="C15192" s="1">
        <v>6.3993699924673006E-2</v>
      </c>
      <c r="D15192" s="1">
        <v>6.6000464792005498E-2</v>
      </c>
      <c r="E15192" s="1">
        <v>0.115291262135922</v>
      </c>
      <c r="F15192" s="1">
        <v>6.4794850406836704E-2</v>
      </c>
    </row>
    <row r="15193" spans="1:6" x14ac:dyDescent="0.25">
      <c r="A15193" s="2" t="str">
        <f t="shared" si="541"/>
        <v>31300</v>
      </c>
      <c r="B15193" s="2" t="str">
        <f>"28371"</f>
        <v>28371</v>
      </c>
      <c r="C15193" s="1">
        <v>2.8418818051085301E-2</v>
      </c>
      <c r="D15193" s="1">
        <v>5.5775040669300401E-3</v>
      </c>
      <c r="E15193" s="1">
        <v>3.6407766990291198E-3</v>
      </c>
      <c r="F15193" s="1">
        <v>2.6550622452351999E-2</v>
      </c>
    </row>
    <row r="15194" spans="1:6" x14ac:dyDescent="0.25">
      <c r="A15194" s="2" t="str">
        <f t="shared" si="541"/>
        <v>31300</v>
      </c>
      <c r="B15194" s="2" t="str">
        <f>"28369"</f>
        <v>28369</v>
      </c>
      <c r="C15194" s="1">
        <v>1.8763267821680401E-2</v>
      </c>
      <c r="D15194" s="1">
        <v>2.5563560306762702E-3</v>
      </c>
      <c r="E15194" s="1">
        <v>0</v>
      </c>
      <c r="F15194" s="1">
        <v>1.7422370512598501E-2</v>
      </c>
    </row>
    <row r="15195" spans="1:6" x14ac:dyDescent="0.25">
      <c r="A15195" s="2" t="str">
        <f t="shared" si="541"/>
        <v>31300</v>
      </c>
      <c r="B15195" s="2" t="str">
        <f>"28386"</f>
        <v>28386</v>
      </c>
      <c r="C15195" s="1">
        <v>3.1654454564130602E-2</v>
      </c>
      <c r="D15195" s="1">
        <v>9.2958401115500796E-3</v>
      </c>
      <c r="E15195" s="1">
        <v>7.2815533980582501E-3</v>
      </c>
      <c r="F15195" s="1">
        <v>2.9824202458332599E-2</v>
      </c>
    </row>
    <row r="15196" spans="1:6" x14ac:dyDescent="0.25">
      <c r="A15196" s="2" t="str">
        <f t="shared" si="541"/>
        <v>31300</v>
      </c>
      <c r="B15196" s="2" t="str">
        <f>"28383"</f>
        <v>28383</v>
      </c>
      <c r="C15196" s="1">
        <v>5.20098609874683E-2</v>
      </c>
      <c r="D15196" s="1">
        <v>1.3943760167325099E-2</v>
      </c>
      <c r="E15196" s="1">
        <v>6.0679611650485401E-3</v>
      </c>
      <c r="F15196" s="1">
        <v>4.8836147877681403E-2</v>
      </c>
    </row>
    <row r="15197" spans="1:6" x14ac:dyDescent="0.25">
      <c r="A15197" s="2" t="str">
        <f t="shared" si="541"/>
        <v>31300</v>
      </c>
      <c r="B15197" s="2" t="str">
        <f>"28360"</f>
        <v>28360</v>
      </c>
      <c r="C15197" s="1">
        <v>0.101640073957406</v>
      </c>
      <c r="D15197" s="1">
        <v>5.7169416686033002E-2</v>
      </c>
      <c r="E15197" s="1">
        <v>9.3446601941747504E-2</v>
      </c>
      <c r="F15197" s="1">
        <v>9.8522167487684706E-2</v>
      </c>
    </row>
    <row r="15198" spans="1:6" x14ac:dyDescent="0.25">
      <c r="A15198" s="2" t="str">
        <f t="shared" si="541"/>
        <v>31300</v>
      </c>
      <c r="B15198" s="2" t="str">
        <f>"28359"</f>
        <v>28359</v>
      </c>
      <c r="C15198" s="1">
        <v>4.71136067931247E-2</v>
      </c>
      <c r="D15198" s="1">
        <v>0.118289565419474</v>
      </c>
      <c r="E15198" s="1">
        <v>1.2135922330097E-3</v>
      </c>
      <c r="F15198" s="1">
        <v>5.1338547978406902E-2</v>
      </c>
    </row>
    <row r="15199" spans="1:6" x14ac:dyDescent="0.25">
      <c r="A15199" s="2" t="str">
        <f t="shared" si="541"/>
        <v>31300</v>
      </c>
      <c r="B15199" s="2" t="str">
        <f>"28357"</f>
        <v>28357</v>
      </c>
      <c r="C15199" s="1">
        <v>1.20180784770252E-2</v>
      </c>
      <c r="D15199" s="1">
        <v>1.39437601673251E-3</v>
      </c>
      <c r="E15199" s="1">
        <v>2.4271844660194099E-3</v>
      </c>
      <c r="F15199" s="1">
        <v>1.11742394434913E-2</v>
      </c>
    </row>
    <row r="15200" spans="1:6" x14ac:dyDescent="0.25">
      <c r="A15200" s="2" t="str">
        <f t="shared" ref="A15200:A15211" si="542">"14820"</f>
        <v>14820</v>
      </c>
      <c r="B15200" s="2" t="str">
        <f>"28774"</f>
        <v>28774</v>
      </c>
      <c r="C15200" s="1">
        <v>2.54127102951026E-2</v>
      </c>
      <c r="D15200" s="1">
        <v>1.51591712986356E-2</v>
      </c>
      <c r="E15200" s="1">
        <v>9.5969289827255201E-3</v>
      </c>
      <c r="F15200" s="1">
        <v>2.4389369104408001E-2</v>
      </c>
    </row>
    <row r="15201" spans="1:6" x14ac:dyDescent="0.25">
      <c r="A15201" s="2" t="str">
        <f t="shared" si="542"/>
        <v>14820</v>
      </c>
      <c r="B15201" s="2" t="str">
        <f>"28768"</f>
        <v>28768</v>
      </c>
      <c r="C15201" s="1">
        <v>0.24002206374847301</v>
      </c>
      <c r="D15201" s="1">
        <v>0.17685699848408201</v>
      </c>
      <c r="E15201" s="1">
        <v>0.12859884836852201</v>
      </c>
      <c r="F15201" s="1">
        <v>0.23345647573616399</v>
      </c>
    </row>
    <row r="15202" spans="1:6" x14ac:dyDescent="0.25">
      <c r="A15202" s="2" t="str">
        <f t="shared" si="542"/>
        <v>14820</v>
      </c>
      <c r="B15202" s="2" t="str">
        <f>"28718"</f>
        <v>28718</v>
      </c>
      <c r="C15202" s="1">
        <v>1.59568180922737E-2</v>
      </c>
      <c r="D15202" s="1">
        <v>1.21273370389085E-2</v>
      </c>
      <c r="E15202" s="1">
        <v>5.75815738963531E-3</v>
      </c>
      <c r="F15202" s="1">
        <v>1.5494422725153299E-2</v>
      </c>
    </row>
    <row r="15203" spans="1:6" x14ac:dyDescent="0.25">
      <c r="A15203" s="2" t="str">
        <f t="shared" si="542"/>
        <v>14820</v>
      </c>
      <c r="B15203" s="2" t="str">
        <f>"28759"</f>
        <v>28759</v>
      </c>
      <c r="C15203" s="1">
        <v>1.96997754225601E-4</v>
      </c>
      <c r="D15203" s="1">
        <v>0</v>
      </c>
      <c r="E15203" s="1">
        <v>0</v>
      </c>
      <c r="F15203" s="1">
        <v>1.79333596355941E-4</v>
      </c>
    </row>
    <row r="15204" spans="1:6" x14ac:dyDescent="0.25">
      <c r="A15204" s="2" t="str">
        <f t="shared" si="542"/>
        <v>14820</v>
      </c>
      <c r="B15204" s="2" t="str">
        <f>"28772"</f>
        <v>28772</v>
      </c>
      <c r="C15204" s="1">
        <v>3.2977424057365701E-2</v>
      </c>
      <c r="D15204" s="1">
        <v>2.5265285497726098E-2</v>
      </c>
      <c r="E15204" s="1">
        <v>3.8387715930902101E-3</v>
      </c>
      <c r="F15204" s="1">
        <v>3.1885513432086302E-2</v>
      </c>
    </row>
    <row r="15205" spans="1:6" x14ac:dyDescent="0.25">
      <c r="A15205" s="2" t="str">
        <f t="shared" si="542"/>
        <v>14820</v>
      </c>
      <c r="B15205" s="2" t="str">
        <f>"28708"</f>
        <v>28708</v>
      </c>
      <c r="C15205" s="1">
        <v>1.7493400575233398E-2</v>
      </c>
      <c r="D15205" s="1">
        <v>2.5265285497726099E-3</v>
      </c>
      <c r="E15205" s="1">
        <v>0</v>
      </c>
      <c r="F15205" s="1">
        <v>1.6104156952763501E-2</v>
      </c>
    </row>
    <row r="15206" spans="1:6" x14ac:dyDescent="0.25">
      <c r="A15206" s="2" t="str">
        <f t="shared" si="542"/>
        <v>14820</v>
      </c>
      <c r="B15206" s="2" t="str">
        <f>"28739"</f>
        <v>28739</v>
      </c>
      <c r="C15206" s="1">
        <v>4.0975532878925096E-3</v>
      </c>
      <c r="D15206" s="1">
        <v>5.0530570995452198E-4</v>
      </c>
      <c r="E15206" s="1">
        <v>0</v>
      </c>
      <c r="F15206" s="1">
        <v>3.7660055234747599E-3</v>
      </c>
    </row>
    <row r="15207" spans="1:6" x14ac:dyDescent="0.25">
      <c r="A15207" s="2" t="str">
        <f t="shared" si="542"/>
        <v>14820</v>
      </c>
      <c r="B15207" s="2" t="str">
        <f>"28747"</f>
        <v>28747</v>
      </c>
      <c r="C15207" s="1">
        <v>7.7065521453055397E-2</v>
      </c>
      <c r="D15207" s="1">
        <v>2.9307731177362299E-2</v>
      </c>
      <c r="E15207" s="1">
        <v>6.9097888675623803E-2</v>
      </c>
      <c r="F15207" s="1">
        <v>7.3526774505935893E-2</v>
      </c>
    </row>
    <row r="15208" spans="1:6" x14ac:dyDescent="0.25">
      <c r="A15208" s="2" t="str">
        <f t="shared" si="542"/>
        <v>14820</v>
      </c>
      <c r="B15208" s="2" t="str">
        <f>"28742"</f>
        <v>28742</v>
      </c>
      <c r="C15208" s="1">
        <v>5.9099326267680503E-3</v>
      </c>
      <c r="D15208" s="1">
        <v>0</v>
      </c>
      <c r="E15208" s="1">
        <v>0</v>
      </c>
      <c r="F15208" s="1">
        <v>5.38000789067823E-3</v>
      </c>
    </row>
    <row r="15209" spans="1:6" x14ac:dyDescent="0.25">
      <c r="A15209" s="2" t="str">
        <f t="shared" si="542"/>
        <v>14820</v>
      </c>
      <c r="B15209" s="2" t="str">
        <f>"28766"</f>
        <v>28766</v>
      </c>
      <c r="C15209" s="1">
        <v>2.7816082896654899E-2</v>
      </c>
      <c r="D15209" s="1">
        <v>8.5901970692268802E-3</v>
      </c>
      <c r="E15209" s="1">
        <v>9.5969289827255201E-3</v>
      </c>
      <c r="F15209" s="1">
        <v>2.6110971629424998E-2</v>
      </c>
    </row>
    <row r="15210" spans="1:6" x14ac:dyDescent="0.25">
      <c r="A15210" s="2" t="str">
        <f t="shared" si="542"/>
        <v>14820</v>
      </c>
      <c r="B15210" s="2" t="str">
        <f>"28783"</f>
        <v>28783</v>
      </c>
      <c r="C15210" s="1">
        <v>1.18198652535361E-4</v>
      </c>
      <c r="D15210" s="1">
        <v>0</v>
      </c>
      <c r="E15210" s="1">
        <v>0</v>
      </c>
      <c r="F15210" s="1">
        <v>1.07600157813564E-4</v>
      </c>
    </row>
    <row r="15211" spans="1:6" x14ac:dyDescent="0.25">
      <c r="A15211" s="2" t="str">
        <f t="shared" si="542"/>
        <v>14820</v>
      </c>
      <c r="B15211" s="2" t="str">
        <f>"28712"</f>
        <v>28712</v>
      </c>
      <c r="C15211" s="1">
        <v>0.55293329656041901</v>
      </c>
      <c r="D15211" s="1">
        <v>0.72966144517432996</v>
      </c>
      <c r="E15211" s="1">
        <v>0.77351247600767703</v>
      </c>
      <c r="F15211" s="1">
        <v>0.56959936874574002</v>
      </c>
    </row>
    <row r="15212" spans="1:6" x14ac:dyDescent="0.25">
      <c r="A15212" s="2" t="str">
        <f t="shared" ref="A15212:A15243" si="543">"17900"</f>
        <v>17900</v>
      </c>
      <c r="B15212" s="2" t="str">
        <f>"29290"</f>
        <v>29290</v>
      </c>
      <c r="C15212" s="1">
        <v>2.1724382006235599E-3</v>
      </c>
      <c r="D15212" s="1">
        <v>7.4349442379182101E-3</v>
      </c>
      <c r="E15212" s="1">
        <v>1.8582179689677499E-4</v>
      </c>
      <c r="F15212" s="1">
        <v>2.5652913672368702E-3</v>
      </c>
    </row>
    <row r="15213" spans="1:6" x14ac:dyDescent="0.25">
      <c r="A15213" s="2" t="str">
        <f t="shared" si="543"/>
        <v>17900</v>
      </c>
      <c r="B15213" s="2" t="str">
        <f>"29225"</f>
        <v>29225</v>
      </c>
      <c r="C15213" s="1">
        <v>0</v>
      </c>
      <c r="D15213" s="1">
        <v>5.2358762238860601E-5</v>
      </c>
      <c r="E15213" s="1">
        <v>9.2910898448387902E-5</v>
      </c>
      <c r="F15213" s="1">
        <v>6.5608474865393199E-6</v>
      </c>
    </row>
    <row r="15214" spans="1:6" x14ac:dyDescent="0.25">
      <c r="A15214" s="2" t="str">
        <f t="shared" si="543"/>
        <v>17900</v>
      </c>
      <c r="B15214" s="2" t="str">
        <f>"29052"</f>
        <v>29052</v>
      </c>
      <c r="C15214" s="1">
        <v>2.3634756072172902E-3</v>
      </c>
      <c r="D15214" s="1">
        <v>7.3302267134404899E-4</v>
      </c>
      <c r="E15214" s="1">
        <v>9.2910898448387896E-4</v>
      </c>
      <c r="F15214" s="1">
        <v>2.1935100096663099E-3</v>
      </c>
    </row>
    <row r="15215" spans="1:6" x14ac:dyDescent="0.25">
      <c r="A15215" s="2" t="str">
        <f t="shared" si="543"/>
        <v>17900</v>
      </c>
      <c r="B15215" s="2" t="str">
        <f>"29030"</f>
        <v>29030</v>
      </c>
      <c r="C15215" s="1">
        <v>1.81975375768129E-3</v>
      </c>
      <c r="D15215" s="1">
        <v>1.15189276925493E-3</v>
      </c>
      <c r="E15215" s="1">
        <v>0</v>
      </c>
      <c r="F15215" s="1">
        <v>1.7211289906354801E-3</v>
      </c>
    </row>
    <row r="15216" spans="1:6" x14ac:dyDescent="0.25">
      <c r="A15216" s="2" t="str">
        <f t="shared" si="543"/>
        <v>17900</v>
      </c>
      <c r="B15216" s="2" t="str">
        <f>"29128"</f>
        <v>29128</v>
      </c>
      <c r="C15216" s="1">
        <v>4.1391438095307999E-4</v>
      </c>
      <c r="D15216" s="1">
        <v>2.6179381119430299E-4</v>
      </c>
      <c r="E15216" s="1">
        <v>1.8582179689677499E-4</v>
      </c>
      <c r="F15216" s="1">
        <v>3.9583779835453901E-4</v>
      </c>
    </row>
    <row r="15217" spans="1:6" x14ac:dyDescent="0.25">
      <c r="A15217" s="2" t="str">
        <f t="shared" si="543"/>
        <v>17900</v>
      </c>
      <c r="B15217" s="2" t="str">
        <f>"29067"</f>
        <v>29067</v>
      </c>
      <c r="C15217" s="1">
        <v>3.52929362694313E-3</v>
      </c>
      <c r="D15217" s="1">
        <v>8.1156081470234E-4</v>
      </c>
      <c r="E15217" s="1">
        <v>0</v>
      </c>
      <c r="F15217" s="1">
        <v>3.2191891667286299E-3</v>
      </c>
    </row>
    <row r="15218" spans="1:6" x14ac:dyDescent="0.25">
      <c r="A15218" s="2" t="str">
        <f t="shared" si="543"/>
        <v>17900</v>
      </c>
      <c r="B15218" s="2" t="str">
        <f>"29065"</f>
        <v>29065</v>
      </c>
      <c r="C15218" s="1">
        <v>9.2334746520302598E-4</v>
      </c>
      <c r="D15218" s="1">
        <v>2.35614430074873E-4</v>
      </c>
      <c r="E15218" s="1">
        <v>1.8582179689677499E-4</v>
      </c>
      <c r="F15218" s="1">
        <v>8.4853627492575295E-4</v>
      </c>
    </row>
    <row r="15219" spans="1:6" x14ac:dyDescent="0.25">
      <c r="A15219" s="2" t="str">
        <f t="shared" si="543"/>
        <v>17900</v>
      </c>
      <c r="B15219" s="2" t="str">
        <f>"29666"</f>
        <v>29666</v>
      </c>
      <c r="C15219" s="1">
        <v>2.7186092476799901E-4</v>
      </c>
      <c r="D15219" s="1">
        <v>0</v>
      </c>
      <c r="E15219" s="1">
        <v>0</v>
      </c>
      <c r="F15219" s="1">
        <v>2.42751357001955E-4</v>
      </c>
    </row>
    <row r="15220" spans="1:6" x14ac:dyDescent="0.25">
      <c r="A15220" s="2" t="str">
        <f t="shared" si="543"/>
        <v>17900</v>
      </c>
      <c r="B15220" s="2" t="str">
        <f>"29227"</f>
        <v>29227</v>
      </c>
      <c r="C15220" s="1">
        <v>0</v>
      </c>
      <c r="D15220" s="1">
        <v>0</v>
      </c>
      <c r="E15220" s="1">
        <v>9.2910898448387902E-5</v>
      </c>
      <c r="F15220" s="1">
        <v>2.18694916217977E-6</v>
      </c>
    </row>
    <row r="15221" spans="1:6" x14ac:dyDescent="0.25">
      <c r="A15221" s="2" t="str">
        <f t="shared" si="543"/>
        <v>17900</v>
      </c>
      <c r="B15221" s="2" t="str">
        <f>"29226"</f>
        <v>29226</v>
      </c>
      <c r="C15221" s="1">
        <v>0</v>
      </c>
      <c r="D15221" s="1">
        <v>2.6179381119430301E-5</v>
      </c>
      <c r="E15221" s="1">
        <v>9.2910898448387902E-5</v>
      </c>
      <c r="F15221" s="1">
        <v>4.3738983243595503E-6</v>
      </c>
    </row>
    <row r="15222" spans="1:6" x14ac:dyDescent="0.25">
      <c r="A15222" s="2" t="str">
        <f t="shared" si="543"/>
        <v>17900</v>
      </c>
      <c r="B15222" s="2" t="str">
        <f>"29222"</f>
        <v>29222</v>
      </c>
      <c r="C15222" s="1">
        <v>0</v>
      </c>
      <c r="D15222" s="1">
        <v>0</v>
      </c>
      <c r="E15222" s="1">
        <v>9.2910898448387902E-5</v>
      </c>
      <c r="F15222" s="1">
        <v>2.18694916217977E-6</v>
      </c>
    </row>
    <row r="15223" spans="1:6" x14ac:dyDescent="0.25">
      <c r="A15223" s="2" t="str">
        <f t="shared" si="543"/>
        <v>17900</v>
      </c>
      <c r="B15223" s="2" t="str">
        <f>"29205"</f>
        <v>29205</v>
      </c>
      <c r="C15223" s="1">
        <v>3.2444519553168398E-2</v>
      </c>
      <c r="D15223" s="1">
        <v>2.8169014084507001E-2</v>
      </c>
      <c r="E15223" s="1">
        <v>7.8509709188887805E-2</v>
      </c>
      <c r="F15223" s="1">
        <v>3.3171644891942798E-2</v>
      </c>
    </row>
    <row r="15224" spans="1:6" x14ac:dyDescent="0.25">
      <c r="A15224" s="2" t="str">
        <f t="shared" si="543"/>
        <v>17900</v>
      </c>
      <c r="B15224" s="2" t="str">
        <f>"29177"</f>
        <v>29177</v>
      </c>
      <c r="C15224" s="1">
        <v>8.3272715694702602E-4</v>
      </c>
      <c r="D15224" s="1">
        <v>2.5655793497041698E-3</v>
      </c>
      <c r="E15224" s="1">
        <v>9.2910898448387902E-5</v>
      </c>
      <c r="F15224" s="1">
        <v>9.6007068219692096E-4</v>
      </c>
    </row>
    <row r="15225" spans="1:6" x14ac:dyDescent="0.25">
      <c r="A15225" s="2" t="str">
        <f t="shared" si="543"/>
        <v>17900</v>
      </c>
      <c r="B15225" s="2" t="str">
        <f>"29201"</f>
        <v>29201</v>
      </c>
      <c r="C15225" s="1">
        <v>3.1183182830145699E-2</v>
      </c>
      <c r="D15225" s="1">
        <v>0.108618252264516</v>
      </c>
      <c r="E15225" s="1">
        <v>0.123385673139459</v>
      </c>
      <c r="F15225" s="1">
        <v>3.9822157294131501E-2</v>
      </c>
    </row>
    <row r="15226" spans="1:6" x14ac:dyDescent="0.25">
      <c r="A15226" s="2" t="str">
        <f t="shared" si="543"/>
        <v>17900</v>
      </c>
      <c r="B15226" s="2" t="str">
        <f>"29180"</f>
        <v>29180</v>
      </c>
      <c r="C15226" s="1">
        <v>1.72668425190486E-2</v>
      </c>
      <c r="D15226" s="1">
        <v>1.28802555107597E-2</v>
      </c>
      <c r="E15226" s="1">
        <v>1.4215367462603301E-2</v>
      </c>
      <c r="F15226" s="1">
        <v>1.6828573802973298E-2</v>
      </c>
    </row>
    <row r="15227" spans="1:6" x14ac:dyDescent="0.25">
      <c r="A15227" s="2" t="str">
        <f t="shared" si="543"/>
        <v>17900</v>
      </c>
      <c r="B15227" s="2" t="str">
        <f>"29170"</f>
        <v>29170</v>
      </c>
      <c r="C15227" s="1">
        <v>2.4805472486939598E-2</v>
      </c>
      <c r="D15227" s="1">
        <v>1.8744436881512099E-2</v>
      </c>
      <c r="E15227" s="1">
        <v>2.6015051565548598E-2</v>
      </c>
      <c r="F15227" s="1">
        <v>2.43276224800878E-2</v>
      </c>
    </row>
    <row r="15228" spans="1:6" x14ac:dyDescent="0.25">
      <c r="A15228" s="2" t="str">
        <f t="shared" si="543"/>
        <v>17900</v>
      </c>
      <c r="B15228" s="2" t="str">
        <f>"29061"</f>
        <v>29061</v>
      </c>
      <c r="C15228" s="1">
        <v>1.6301858695998199E-2</v>
      </c>
      <c r="D15228" s="1">
        <v>4.5552123147808701E-3</v>
      </c>
      <c r="E15228" s="1">
        <v>6.4108519929387698E-3</v>
      </c>
      <c r="F15228" s="1">
        <v>1.5087762269878201E-2</v>
      </c>
    </row>
    <row r="15229" spans="1:6" x14ac:dyDescent="0.25">
      <c r="A15229" s="2" t="str">
        <f t="shared" si="543"/>
        <v>17900</v>
      </c>
      <c r="B15229" s="2" t="str">
        <f>"29037"</f>
        <v>29037</v>
      </c>
      <c r="C15229" s="1">
        <v>4.0411759087135099E-4</v>
      </c>
      <c r="D15229" s="1">
        <v>1.3089690559715101E-4</v>
      </c>
      <c r="E15229" s="1">
        <v>0</v>
      </c>
      <c r="F15229" s="1">
        <v>3.7178135757056101E-4</v>
      </c>
    </row>
    <row r="15230" spans="1:6" x14ac:dyDescent="0.25">
      <c r="A15230" s="2" t="str">
        <f t="shared" si="543"/>
        <v>17900</v>
      </c>
      <c r="B15230" s="2" t="str">
        <f>"29010"</f>
        <v>29010</v>
      </c>
      <c r="C15230" s="1">
        <v>1.17561480980756E-4</v>
      </c>
      <c r="D15230" s="1">
        <v>0</v>
      </c>
      <c r="E15230" s="1">
        <v>0</v>
      </c>
      <c r="F15230" s="1">
        <v>1.04973559784629E-4</v>
      </c>
    </row>
    <row r="15231" spans="1:6" x14ac:dyDescent="0.25">
      <c r="A15231" s="2" t="str">
        <f t="shared" si="543"/>
        <v>17900</v>
      </c>
      <c r="B15231" s="2" t="str">
        <f>"29014"</f>
        <v>29014</v>
      </c>
      <c r="C15231" s="1">
        <v>7.2741166356843096E-4</v>
      </c>
      <c r="D15231" s="1">
        <v>5.2358762238860598E-4</v>
      </c>
      <c r="E15231" s="1">
        <v>0</v>
      </c>
      <c r="F15231" s="1">
        <v>6.9326288441098796E-4</v>
      </c>
    </row>
    <row r="15232" spans="1:6" x14ac:dyDescent="0.25">
      <c r="A15232" s="2" t="str">
        <f t="shared" si="543"/>
        <v>17900</v>
      </c>
      <c r="B15232" s="2" t="str">
        <f>"29105"</f>
        <v>29105</v>
      </c>
      <c r="C15232" s="1">
        <v>3.35540060299242E-4</v>
      </c>
      <c r="D15232" s="1">
        <v>2.8797319231373299E-4</v>
      </c>
      <c r="E15232" s="1">
        <v>3.7164359379355101E-4</v>
      </c>
      <c r="F15232" s="1">
        <v>3.32416272651325E-4</v>
      </c>
    </row>
    <row r="15233" spans="1:6" x14ac:dyDescent="0.25">
      <c r="A15233" s="2" t="str">
        <f t="shared" si="543"/>
        <v>17900</v>
      </c>
      <c r="B15233" s="2" t="str">
        <f>"29075"</f>
        <v>29075</v>
      </c>
      <c r="C15233" s="1">
        <v>1.2466415379001001E-3</v>
      </c>
      <c r="D15233" s="1">
        <v>7.8538143358291003E-5</v>
      </c>
      <c r="E15233" s="1">
        <v>9.2910898448387902E-5</v>
      </c>
      <c r="F15233" s="1">
        <v>1.1219049201982201E-3</v>
      </c>
    </row>
    <row r="15234" spans="1:6" x14ac:dyDescent="0.25">
      <c r="A15234" s="2" t="str">
        <f t="shared" si="543"/>
        <v>17900</v>
      </c>
      <c r="B15234" s="2" t="str">
        <f>"29129"</f>
        <v>29129</v>
      </c>
      <c r="C15234" s="1">
        <v>1.14132604452151E-3</v>
      </c>
      <c r="D15234" s="1">
        <v>9.1627833918006096E-4</v>
      </c>
      <c r="E15234" s="1">
        <v>9.2910898448387896E-4</v>
      </c>
      <c r="F15234" s="1">
        <v>1.1175310218738601E-3</v>
      </c>
    </row>
    <row r="15235" spans="1:6" x14ac:dyDescent="0.25">
      <c r="A15235" s="2" t="str">
        <f t="shared" si="543"/>
        <v>17900</v>
      </c>
      <c r="B15235" s="2" t="str">
        <f>"29112"</f>
        <v>29112</v>
      </c>
      <c r="C15235" s="1">
        <v>5.65764627219891E-4</v>
      </c>
      <c r="D15235" s="1">
        <v>5.2358762238860601E-5</v>
      </c>
      <c r="E15235" s="1">
        <v>0</v>
      </c>
      <c r="F15235" s="1">
        <v>5.0955915478788697E-4</v>
      </c>
    </row>
    <row r="15236" spans="1:6" x14ac:dyDescent="0.25">
      <c r="A15236" s="2" t="str">
        <f t="shared" si="543"/>
        <v>17900</v>
      </c>
      <c r="B15236" s="2" t="str">
        <f>"29006"</f>
        <v>29006</v>
      </c>
      <c r="C15236" s="1">
        <v>9.7943408842092808E-3</v>
      </c>
      <c r="D15236" s="1">
        <v>1.02361380176972E-2</v>
      </c>
      <c r="E15236" s="1">
        <v>3.99516863328068E-3</v>
      </c>
      <c r="F15236" s="1">
        <v>9.6947456359429401E-3</v>
      </c>
    </row>
    <row r="15237" spans="1:6" x14ac:dyDescent="0.25">
      <c r="A15237" s="2" t="str">
        <f t="shared" si="543"/>
        <v>17900</v>
      </c>
      <c r="B15237" s="2" t="str">
        <f>"29240"</f>
        <v>29240</v>
      </c>
      <c r="C15237" s="1">
        <v>1.7732190047930699E-3</v>
      </c>
      <c r="D15237" s="1">
        <v>4.8693648882140398E-3</v>
      </c>
      <c r="E15237" s="1">
        <v>1.8582179689677499E-4</v>
      </c>
      <c r="F15237" s="1">
        <v>1.99449763590795E-3</v>
      </c>
    </row>
    <row r="15238" spans="1:6" x14ac:dyDescent="0.25">
      <c r="A15238" s="2" t="str">
        <f t="shared" si="543"/>
        <v>17900</v>
      </c>
      <c r="B15238" s="2" t="str">
        <f>"29260"</f>
        <v>29260</v>
      </c>
      <c r="C15238" s="1">
        <v>1.13642764948064E-3</v>
      </c>
      <c r="D15238" s="1">
        <v>7.9585318603068202E-3</v>
      </c>
      <c r="E15238" s="1">
        <v>1.8582179689677499E-4</v>
      </c>
      <c r="F15238" s="1">
        <v>1.68395085487842E-3</v>
      </c>
    </row>
    <row r="15239" spans="1:6" x14ac:dyDescent="0.25">
      <c r="A15239" s="2" t="str">
        <f t="shared" si="543"/>
        <v>17900</v>
      </c>
      <c r="B15239" s="2" t="str">
        <f>"29219"</f>
        <v>29219</v>
      </c>
      <c r="C15239" s="1">
        <v>0</v>
      </c>
      <c r="D15239" s="1">
        <v>5.2358762238860601E-5</v>
      </c>
      <c r="E15239" s="1">
        <v>0</v>
      </c>
      <c r="F15239" s="1">
        <v>4.3738983243595503E-6</v>
      </c>
    </row>
    <row r="15240" spans="1:6" x14ac:dyDescent="0.25">
      <c r="A15240" s="2" t="str">
        <f t="shared" si="543"/>
        <v>17900</v>
      </c>
      <c r="B15240" s="2" t="str">
        <f>"29209"</f>
        <v>29209</v>
      </c>
      <c r="C15240" s="1">
        <v>4.1161213528387398E-2</v>
      </c>
      <c r="D15240" s="1">
        <v>2.93470862348814E-2</v>
      </c>
      <c r="E15240" s="1">
        <v>4.0230419028151998E-2</v>
      </c>
      <c r="F15240" s="1">
        <v>4.0152386617620599E-2</v>
      </c>
    </row>
    <row r="15241" spans="1:6" x14ac:dyDescent="0.25">
      <c r="A15241" s="2" t="str">
        <f t="shared" si="543"/>
        <v>17900</v>
      </c>
      <c r="B15241" s="2" t="str">
        <f>"29020"</f>
        <v>29020</v>
      </c>
      <c r="C15241" s="1">
        <v>2.9593653639385001E-2</v>
      </c>
      <c r="D15241" s="1">
        <v>3.3352531546154203E-2</v>
      </c>
      <c r="E15241" s="1">
        <v>1.9325466877264701E-2</v>
      </c>
      <c r="F15241" s="1">
        <v>2.9665965384968601E-2</v>
      </c>
    </row>
    <row r="15242" spans="1:6" x14ac:dyDescent="0.25">
      <c r="A15242" s="2" t="str">
        <f t="shared" si="543"/>
        <v>17900</v>
      </c>
      <c r="B15242" s="2" t="str">
        <f>"29016"</f>
        <v>29016</v>
      </c>
      <c r="C15242" s="1">
        <v>2.6857900009062002E-2</v>
      </c>
      <c r="D15242" s="1">
        <v>6.8589978532907396E-3</v>
      </c>
      <c r="E15242" s="1">
        <v>2.6015051565548598E-3</v>
      </c>
      <c r="F15242" s="1">
        <v>2.46162997694955E-2</v>
      </c>
    </row>
    <row r="15243" spans="1:6" x14ac:dyDescent="0.25">
      <c r="A15243" s="2" t="str">
        <f t="shared" si="543"/>
        <v>17900</v>
      </c>
      <c r="B15243" s="2" t="str">
        <f>"29147"</f>
        <v>29147</v>
      </c>
      <c r="C15243" s="1">
        <v>0</v>
      </c>
      <c r="D15243" s="1">
        <v>2.6179381119430301E-5</v>
      </c>
      <c r="E15243" s="1">
        <v>0</v>
      </c>
      <c r="F15243" s="1">
        <v>2.18694916217977E-6</v>
      </c>
    </row>
    <row r="15244" spans="1:6" x14ac:dyDescent="0.25">
      <c r="A15244" s="2" t="str">
        <f t="shared" ref="A15244:A15275" si="544">"17900"</f>
        <v>17900</v>
      </c>
      <c r="B15244" s="2" t="str">
        <f>"29135"</f>
        <v>29135</v>
      </c>
      <c r="C15244" s="1">
        <v>1.06980947692488E-2</v>
      </c>
      <c r="D15244" s="1">
        <v>8.2726844337399803E-3</v>
      </c>
      <c r="E15244" s="1">
        <v>3.62352503948713E-3</v>
      </c>
      <c r="F15244" s="1">
        <v>1.0328960892974999E-2</v>
      </c>
    </row>
    <row r="15245" spans="1:6" x14ac:dyDescent="0.25">
      <c r="A15245" s="2" t="str">
        <f t="shared" si="544"/>
        <v>17900</v>
      </c>
      <c r="B15245" s="2" t="str">
        <f>"29127"</f>
        <v>29127</v>
      </c>
      <c r="C15245" s="1">
        <v>6.5393573795545805E-4</v>
      </c>
      <c r="D15245" s="1">
        <v>1.83255667836012E-4</v>
      </c>
      <c r="E15245" s="1">
        <v>0</v>
      </c>
      <c r="F15245" s="1">
        <v>5.99224070437258E-4</v>
      </c>
    </row>
    <row r="15246" spans="1:6" x14ac:dyDescent="0.25">
      <c r="A15246" s="2" t="str">
        <f t="shared" si="544"/>
        <v>17900</v>
      </c>
      <c r="B15246" s="2" t="str">
        <f>"29072"</f>
        <v>29072</v>
      </c>
      <c r="C15246" s="1">
        <v>6.5677680707916006E-2</v>
      </c>
      <c r="D15246" s="1">
        <v>6.0526729148122897E-2</v>
      </c>
      <c r="E15246" s="1">
        <v>4.8127845396264898E-2</v>
      </c>
      <c r="F15246" s="1">
        <v>6.4834294861981598E-2</v>
      </c>
    </row>
    <row r="15247" spans="1:6" x14ac:dyDescent="0.25">
      <c r="A15247" s="2" t="str">
        <f t="shared" si="544"/>
        <v>17900</v>
      </c>
      <c r="B15247" s="2" t="str">
        <f>"29824"</f>
        <v>29824</v>
      </c>
      <c r="C15247" s="1">
        <v>3.4288765286053997E-5</v>
      </c>
      <c r="D15247" s="1">
        <v>0</v>
      </c>
      <c r="E15247" s="1">
        <v>0</v>
      </c>
      <c r="F15247" s="1">
        <v>3.06172882705168E-5</v>
      </c>
    </row>
    <row r="15248" spans="1:6" x14ac:dyDescent="0.25">
      <c r="A15248" s="2" t="str">
        <f t="shared" si="544"/>
        <v>17900</v>
      </c>
      <c r="B15248" s="2" t="str">
        <f>"29217"</f>
        <v>29217</v>
      </c>
      <c r="C15248" s="1">
        <v>0</v>
      </c>
      <c r="D15248" s="1">
        <v>2.6179381119430301E-5</v>
      </c>
      <c r="E15248" s="1">
        <v>9.2910898448387902E-5</v>
      </c>
      <c r="F15248" s="1">
        <v>4.3738983243595503E-6</v>
      </c>
    </row>
    <row r="15249" spans="1:6" x14ac:dyDescent="0.25">
      <c r="A15249" s="2" t="str">
        <f t="shared" si="544"/>
        <v>17900</v>
      </c>
      <c r="B15249" s="2" t="str">
        <f>"29223"</f>
        <v>29223</v>
      </c>
      <c r="C15249" s="1">
        <v>5.9699189560540399E-2</v>
      </c>
      <c r="D15249" s="1">
        <v>5.2934708623488098E-2</v>
      </c>
      <c r="E15249" s="1">
        <v>8.7614977236829802E-2</v>
      </c>
      <c r="F15249" s="1">
        <v>5.9791190093995E-2</v>
      </c>
    </row>
    <row r="15250" spans="1:6" x14ac:dyDescent="0.25">
      <c r="A15250" s="2" t="str">
        <f t="shared" si="544"/>
        <v>17900</v>
      </c>
      <c r="B15250" s="2" t="str">
        <f>"29212"</f>
        <v>29212</v>
      </c>
      <c r="C15250" s="1">
        <v>3.42397813356453E-2</v>
      </c>
      <c r="D15250" s="1">
        <v>2.8561704801298399E-2</v>
      </c>
      <c r="E15250" s="1">
        <v>2.4900120784167899E-2</v>
      </c>
      <c r="F15250" s="1">
        <v>3.3545613198675502E-2</v>
      </c>
    </row>
    <row r="15251" spans="1:6" x14ac:dyDescent="0.25">
      <c r="A15251" s="2" t="str">
        <f t="shared" si="544"/>
        <v>17900</v>
      </c>
      <c r="B15251" s="2" t="str">
        <f>"29203"</f>
        <v>29203</v>
      </c>
      <c r="C15251" s="1">
        <v>4.73160468972341E-2</v>
      </c>
      <c r="D15251" s="1">
        <v>4.4923818000942403E-2</v>
      </c>
      <c r="E15251" s="1">
        <v>6.5595094304561896E-2</v>
      </c>
      <c r="F15251" s="1">
        <v>4.7546461734950501E-2</v>
      </c>
    </row>
    <row r="15252" spans="1:6" x14ac:dyDescent="0.25">
      <c r="A15252" s="2" t="str">
        <f t="shared" si="544"/>
        <v>17900</v>
      </c>
      <c r="B15252" s="2" t="str">
        <f>"29171"</f>
        <v>29171</v>
      </c>
      <c r="C15252" s="1">
        <v>7.2128866976734997E-3</v>
      </c>
      <c r="D15252" s="1">
        <v>1.4974606000314101E-2</v>
      </c>
      <c r="E15252" s="1">
        <v>9.2910898448387902E-5</v>
      </c>
      <c r="F15252" s="1">
        <v>7.6936871525484498E-3</v>
      </c>
    </row>
    <row r="15253" spans="1:6" x14ac:dyDescent="0.25">
      <c r="A15253" s="2" t="str">
        <f t="shared" si="544"/>
        <v>17900</v>
      </c>
      <c r="B15253" s="2" t="str">
        <f>"29058"</f>
        <v>29058</v>
      </c>
      <c r="C15253" s="1">
        <v>1.07764690899026E-4</v>
      </c>
      <c r="D15253" s="1">
        <v>5.2358762238860601E-5</v>
      </c>
      <c r="E15253" s="1">
        <v>0</v>
      </c>
      <c r="F15253" s="1">
        <v>1.0059966146026899E-4</v>
      </c>
    </row>
    <row r="15254" spans="1:6" x14ac:dyDescent="0.25">
      <c r="A15254" s="2" t="str">
        <f t="shared" si="544"/>
        <v>17900</v>
      </c>
      <c r="B15254" s="2" t="str">
        <f>"29054"</f>
        <v>29054</v>
      </c>
      <c r="C15254" s="1">
        <v>1.2478661366603199E-2</v>
      </c>
      <c r="D15254" s="1">
        <v>4.6337504581391601E-3</v>
      </c>
      <c r="E15254" s="1">
        <v>5.2030103131097197E-3</v>
      </c>
      <c r="F15254" s="1">
        <v>1.1652065136093801E-2</v>
      </c>
    </row>
    <row r="15255" spans="1:6" x14ac:dyDescent="0.25">
      <c r="A15255" s="2" t="str">
        <f t="shared" si="544"/>
        <v>17900</v>
      </c>
      <c r="B15255" s="2" t="str">
        <f>"29071"</f>
        <v>29071</v>
      </c>
      <c r="C15255" s="1">
        <v>2.84596751874248E-3</v>
      </c>
      <c r="D15255" s="1">
        <v>2.1283836850096799E-2</v>
      </c>
      <c r="E15255" s="1">
        <v>9.2910898448387902E-5</v>
      </c>
      <c r="F15255" s="1">
        <v>4.3214115444672298E-3</v>
      </c>
    </row>
    <row r="15256" spans="1:6" x14ac:dyDescent="0.25">
      <c r="A15256" s="2" t="str">
        <f t="shared" si="544"/>
        <v>17900</v>
      </c>
      <c r="B15256" s="2" t="str">
        <f>"29718"</f>
        <v>29718</v>
      </c>
      <c r="C15256" s="1">
        <v>3.1594648013578302E-4</v>
      </c>
      <c r="D15256" s="1">
        <v>1.04717524477721E-4</v>
      </c>
      <c r="E15256" s="1">
        <v>0</v>
      </c>
      <c r="F15256" s="1">
        <v>2.9086423856990997E-4</v>
      </c>
    </row>
    <row r="15257" spans="1:6" x14ac:dyDescent="0.25">
      <c r="A15257" s="2" t="str">
        <f t="shared" si="544"/>
        <v>17900</v>
      </c>
      <c r="B15257" s="2" t="str">
        <f>"29848"</f>
        <v>29848</v>
      </c>
      <c r="C15257" s="1">
        <v>5.3882345449513399E-5</v>
      </c>
      <c r="D15257" s="1">
        <v>0</v>
      </c>
      <c r="E15257" s="1">
        <v>0</v>
      </c>
      <c r="F15257" s="1">
        <v>4.8112881567954998E-5</v>
      </c>
    </row>
    <row r="15258" spans="1:6" x14ac:dyDescent="0.25">
      <c r="A15258" s="2" t="str">
        <f t="shared" si="544"/>
        <v>17900</v>
      </c>
      <c r="B15258" s="2" t="str">
        <f>"29216"</f>
        <v>29216</v>
      </c>
      <c r="C15258" s="1">
        <v>0</v>
      </c>
      <c r="D15258" s="1">
        <v>0</v>
      </c>
      <c r="E15258" s="1">
        <v>9.2910898448387902E-5</v>
      </c>
      <c r="F15258" s="1">
        <v>2.18694916217977E-6</v>
      </c>
    </row>
    <row r="15259" spans="1:6" x14ac:dyDescent="0.25">
      <c r="A15259" s="2" t="str">
        <f t="shared" si="544"/>
        <v>17900</v>
      </c>
      <c r="B15259" s="2" t="str">
        <f>"29250"</f>
        <v>29250</v>
      </c>
      <c r="C15259" s="1">
        <v>2.5741065939744799E-3</v>
      </c>
      <c r="D15259" s="1">
        <v>8.7962720561285904E-3</v>
      </c>
      <c r="E15259" s="1">
        <v>1.8582179689677499E-4</v>
      </c>
      <c r="F15259" s="1">
        <v>3.0376723862677001E-3</v>
      </c>
    </row>
    <row r="15260" spans="1:6" x14ac:dyDescent="0.25">
      <c r="A15260" s="2" t="str">
        <f t="shared" si="544"/>
        <v>17900</v>
      </c>
      <c r="B15260" s="2" t="str">
        <f>"29172"</f>
        <v>29172</v>
      </c>
      <c r="C15260" s="1">
        <v>1.15283727286754E-2</v>
      </c>
      <c r="D15260" s="1">
        <v>8.3774019582176992E-3</v>
      </c>
      <c r="E15260" s="1">
        <v>5.0171885162129497E-3</v>
      </c>
      <c r="F15260" s="1">
        <v>1.11118886930354E-2</v>
      </c>
    </row>
    <row r="15261" spans="1:6" x14ac:dyDescent="0.25">
      <c r="A15261" s="2" t="str">
        <f t="shared" si="544"/>
        <v>17900</v>
      </c>
      <c r="B15261" s="2" t="str">
        <f>"29053"</f>
        <v>29053</v>
      </c>
      <c r="C15261" s="1">
        <v>2.1660702870704401E-2</v>
      </c>
      <c r="D15261" s="1">
        <v>5.8641813707523902E-3</v>
      </c>
      <c r="E15261" s="1">
        <v>6.3179410944903796E-3</v>
      </c>
      <c r="F15261" s="1">
        <v>1.9979967545674399E-2</v>
      </c>
    </row>
    <row r="15262" spans="1:6" x14ac:dyDescent="0.25">
      <c r="A15262" s="2" t="str">
        <f t="shared" si="544"/>
        <v>17900</v>
      </c>
      <c r="B15262" s="2" t="str">
        <f>"29138"</f>
        <v>29138</v>
      </c>
      <c r="C15262" s="1">
        <v>1.15675598890023E-2</v>
      </c>
      <c r="D15262" s="1">
        <v>1.04717524477721E-2</v>
      </c>
      <c r="E15262" s="1">
        <v>6.2250301960419903E-3</v>
      </c>
      <c r="F15262" s="1">
        <v>1.1350266151712999E-2</v>
      </c>
    </row>
    <row r="15263" spans="1:6" x14ac:dyDescent="0.25">
      <c r="A15263" s="2" t="str">
        <f t="shared" si="544"/>
        <v>17900</v>
      </c>
      <c r="B15263" s="2" t="str">
        <f>"29832"</f>
        <v>29832</v>
      </c>
      <c r="C15263" s="1">
        <v>8.1803197182443103E-4</v>
      </c>
      <c r="D15263" s="1">
        <v>3.6651133567202401E-4</v>
      </c>
      <c r="E15263" s="1">
        <v>9.2910898448387902E-5</v>
      </c>
      <c r="F15263" s="1">
        <v>7.6324525760074105E-4</v>
      </c>
    </row>
    <row r="15264" spans="1:6" x14ac:dyDescent="0.25">
      <c r="A15264" s="2" t="str">
        <f t="shared" si="544"/>
        <v>17900</v>
      </c>
      <c r="B15264" s="2" t="str">
        <f>"29230"</f>
        <v>29230</v>
      </c>
      <c r="C15264" s="1">
        <v>3.0590477030201001E-3</v>
      </c>
      <c r="D15264" s="1">
        <v>4.8431855070946101E-3</v>
      </c>
      <c r="E15264" s="1">
        <v>1.8582179689677499E-4</v>
      </c>
      <c r="F15264" s="1">
        <v>3.1404589968901499E-3</v>
      </c>
    </row>
    <row r="15265" spans="1:6" x14ac:dyDescent="0.25">
      <c r="A15265" s="2" t="str">
        <f t="shared" si="544"/>
        <v>17900</v>
      </c>
      <c r="B15265" s="2" t="str">
        <f>"29220"</f>
        <v>29220</v>
      </c>
      <c r="C15265" s="1">
        <v>0</v>
      </c>
      <c r="D15265" s="1">
        <v>2.6179381119430301E-5</v>
      </c>
      <c r="E15265" s="1">
        <v>9.2910898448387902E-5</v>
      </c>
      <c r="F15265" s="1">
        <v>4.3738983243595503E-6</v>
      </c>
    </row>
    <row r="15266" spans="1:6" x14ac:dyDescent="0.25">
      <c r="A15266" s="2" t="str">
        <f t="shared" si="544"/>
        <v>17900</v>
      </c>
      <c r="B15266" s="2" t="str">
        <f>"29215"</f>
        <v>29215</v>
      </c>
      <c r="C15266" s="1">
        <v>0</v>
      </c>
      <c r="D15266" s="1">
        <v>2.6179381119430301E-5</v>
      </c>
      <c r="E15266" s="1">
        <v>9.2910898448387902E-5</v>
      </c>
      <c r="F15266" s="1">
        <v>4.3738983243595503E-6</v>
      </c>
    </row>
    <row r="15267" spans="1:6" x14ac:dyDescent="0.25">
      <c r="A15267" s="2" t="str">
        <f t="shared" si="544"/>
        <v>17900</v>
      </c>
      <c r="B15267" s="2" t="str">
        <f>"29214"</f>
        <v>29214</v>
      </c>
      <c r="C15267" s="1">
        <v>0</v>
      </c>
      <c r="D15267" s="1">
        <v>5.2358762238860601E-5</v>
      </c>
      <c r="E15267" s="1">
        <v>2.7873269534516297E-4</v>
      </c>
      <c r="F15267" s="1">
        <v>1.09347458108988E-5</v>
      </c>
    </row>
    <row r="15268" spans="1:6" x14ac:dyDescent="0.25">
      <c r="A15268" s="2" t="str">
        <f t="shared" si="544"/>
        <v>17900</v>
      </c>
      <c r="B15268" s="2" t="str">
        <f>"29210"</f>
        <v>29210</v>
      </c>
      <c r="C15268" s="1">
        <v>4.7803437203800099E-2</v>
      </c>
      <c r="D15268" s="1">
        <v>5.8196764228493597E-2</v>
      </c>
      <c r="E15268" s="1">
        <v>0.123014029545665</v>
      </c>
      <c r="F15268" s="1">
        <v>5.0441982425676497E-2</v>
      </c>
    </row>
    <row r="15269" spans="1:6" x14ac:dyDescent="0.25">
      <c r="A15269" s="2" t="str">
        <f t="shared" si="544"/>
        <v>17900</v>
      </c>
      <c r="B15269" s="2" t="str">
        <f>"29202"</f>
        <v>29202</v>
      </c>
      <c r="C15269" s="1">
        <v>4.2518068954706901E-3</v>
      </c>
      <c r="D15269" s="1">
        <v>2.9242368710403598E-2</v>
      </c>
      <c r="E15269" s="1">
        <v>1.8582179689677499E-4</v>
      </c>
      <c r="F15269" s="1">
        <v>6.24373985802326E-3</v>
      </c>
    </row>
    <row r="15270" spans="1:6" x14ac:dyDescent="0.25">
      <c r="A15270" s="2" t="str">
        <f t="shared" si="544"/>
        <v>17900</v>
      </c>
      <c r="B15270" s="2" t="str">
        <f>"29175"</f>
        <v>29175</v>
      </c>
      <c r="C15270" s="1">
        <v>3.8452401070789097E-4</v>
      </c>
      <c r="D15270" s="1">
        <v>7.8538143358291003E-5</v>
      </c>
      <c r="E15270" s="1">
        <v>0</v>
      </c>
      <c r="F15270" s="1">
        <v>3.4991186594876398E-4</v>
      </c>
    </row>
    <row r="15271" spans="1:6" x14ac:dyDescent="0.25">
      <c r="A15271" s="2" t="str">
        <f t="shared" si="544"/>
        <v>17900</v>
      </c>
      <c r="B15271" s="2" t="str">
        <f>"29169"</f>
        <v>29169</v>
      </c>
      <c r="C15271" s="1">
        <v>3.0656605363252699E-2</v>
      </c>
      <c r="D15271" s="1">
        <v>5.0552384941619899E-2</v>
      </c>
      <c r="E15271" s="1">
        <v>5.8162222428690798E-2</v>
      </c>
      <c r="F15271" s="1">
        <v>3.29660716706979E-2</v>
      </c>
    </row>
    <row r="15272" spans="1:6" x14ac:dyDescent="0.25">
      <c r="A15272" s="2" t="str">
        <f t="shared" si="544"/>
        <v>17900</v>
      </c>
      <c r="B15272" s="2" t="str">
        <f>"29166"</f>
        <v>29166</v>
      </c>
      <c r="C15272" s="1">
        <v>1.1707164147667E-3</v>
      </c>
      <c r="D15272" s="1">
        <v>3.4033195455259401E-4</v>
      </c>
      <c r="E15272" s="1">
        <v>0</v>
      </c>
      <c r="F15272" s="1">
        <v>1.0737920386302701E-3</v>
      </c>
    </row>
    <row r="15273" spans="1:6" x14ac:dyDescent="0.25">
      <c r="A15273" s="2" t="str">
        <f t="shared" si="544"/>
        <v>17900</v>
      </c>
      <c r="B15273" s="2" t="str">
        <f>"29047"</f>
        <v>29047</v>
      </c>
      <c r="C15273" s="1">
        <v>2.1161066576536099E-3</v>
      </c>
      <c r="D15273" s="1">
        <v>3.4033195455259401E-4</v>
      </c>
      <c r="E15273" s="1">
        <v>9.2910898448387902E-5</v>
      </c>
      <c r="F15273" s="1">
        <v>1.92014136439384E-3</v>
      </c>
    </row>
    <row r="15274" spans="1:6" x14ac:dyDescent="0.25">
      <c r="A15274" s="2" t="str">
        <f t="shared" si="544"/>
        <v>17900</v>
      </c>
      <c r="B15274" s="2" t="str">
        <f>"29036"</f>
        <v>29036</v>
      </c>
      <c r="C15274" s="1">
        <v>2.9517728516251601E-2</v>
      </c>
      <c r="D15274" s="1">
        <v>1.65715482485994E-2</v>
      </c>
      <c r="E15274" s="1">
        <v>4.9242776177645603E-3</v>
      </c>
      <c r="F15274" s="1">
        <v>2.78573584278459E-2</v>
      </c>
    </row>
    <row r="15275" spans="1:6" x14ac:dyDescent="0.25">
      <c r="A15275" s="2" t="str">
        <f t="shared" si="544"/>
        <v>17900</v>
      </c>
      <c r="B15275" s="2" t="str">
        <f>"29130"</f>
        <v>29130</v>
      </c>
      <c r="C15275" s="1">
        <v>8.5868865066360996E-3</v>
      </c>
      <c r="D15275" s="1">
        <v>3.08916697209277E-3</v>
      </c>
      <c r="E15275" s="1">
        <v>2.2298615627613099E-3</v>
      </c>
      <c r="F15275" s="1">
        <v>7.9779905436318192E-3</v>
      </c>
    </row>
    <row r="15276" spans="1:6" x14ac:dyDescent="0.25">
      <c r="A15276" s="2" t="str">
        <f t="shared" ref="A15276:A15304" si="545">"17900"</f>
        <v>17900</v>
      </c>
      <c r="B15276" s="2" t="str">
        <f>"29118"</f>
        <v>29118</v>
      </c>
      <c r="C15276" s="1">
        <v>7.1271647844583705E-4</v>
      </c>
      <c r="D15276" s="1">
        <v>1.5707628671658201E-4</v>
      </c>
      <c r="E15276" s="1">
        <v>2.7873269534516297E-4</v>
      </c>
      <c r="F15276" s="1">
        <v>6.5608474865393195E-4</v>
      </c>
    </row>
    <row r="15277" spans="1:6" x14ac:dyDescent="0.25">
      <c r="A15277" s="2" t="str">
        <f t="shared" si="545"/>
        <v>17900</v>
      </c>
      <c r="B15277" s="2" t="str">
        <f>"29123"</f>
        <v>29123</v>
      </c>
      <c r="C15277" s="1">
        <v>8.3933999025219298E-3</v>
      </c>
      <c r="D15277" s="1">
        <v>1.9896329650766998E-3</v>
      </c>
      <c r="E15277" s="1">
        <v>1.02201988293226E-3</v>
      </c>
      <c r="F15277" s="1">
        <v>7.6849393558997298E-3</v>
      </c>
    </row>
    <row r="15278" spans="1:6" x14ac:dyDescent="0.25">
      <c r="A15278" s="2" t="str">
        <f t="shared" si="545"/>
        <v>17900</v>
      </c>
      <c r="B15278" s="2" t="str">
        <f>"29002"</f>
        <v>29002</v>
      </c>
      <c r="C15278" s="1">
        <v>8.4742234206962004E-4</v>
      </c>
      <c r="D15278" s="1">
        <v>2.8535525420178998E-3</v>
      </c>
      <c r="E15278" s="1">
        <v>1.8582179689677499E-4</v>
      </c>
      <c r="F15278" s="1">
        <v>9.9943576711615696E-4</v>
      </c>
    </row>
    <row r="15279" spans="1:6" x14ac:dyDescent="0.25">
      <c r="A15279" s="2" t="str">
        <f t="shared" si="545"/>
        <v>17900</v>
      </c>
      <c r="B15279" s="2" t="str">
        <f>"29292"</f>
        <v>29292</v>
      </c>
      <c r="C15279" s="1">
        <v>0</v>
      </c>
      <c r="D15279" s="1">
        <v>2.6179381119430301E-5</v>
      </c>
      <c r="E15279" s="1">
        <v>0</v>
      </c>
      <c r="F15279" s="1">
        <v>2.18694916217977E-6</v>
      </c>
    </row>
    <row r="15280" spans="1:6" x14ac:dyDescent="0.25">
      <c r="A15280" s="2" t="str">
        <f t="shared" si="545"/>
        <v>17900</v>
      </c>
      <c r="B15280" s="2" t="str">
        <f>"29218"</f>
        <v>29218</v>
      </c>
      <c r="C15280" s="1">
        <v>0</v>
      </c>
      <c r="D15280" s="1">
        <v>2.6179381119430301E-5</v>
      </c>
      <c r="E15280" s="1">
        <v>9.2910898448387902E-5</v>
      </c>
      <c r="F15280" s="1">
        <v>4.3738983243595503E-6</v>
      </c>
    </row>
    <row r="15281" spans="1:6" x14ac:dyDescent="0.25">
      <c r="A15281" s="2" t="str">
        <f t="shared" si="545"/>
        <v>17900</v>
      </c>
      <c r="B15281" s="2" t="str">
        <f>"29229"</f>
        <v>29229</v>
      </c>
      <c r="C15281" s="1">
        <v>5.3742741190848799E-2</v>
      </c>
      <c r="D15281" s="1">
        <v>3.54730614168281E-2</v>
      </c>
      <c r="E15281" s="1">
        <v>2.26702592214066E-2</v>
      </c>
      <c r="F15281" s="1">
        <v>5.1485157176036203E-2</v>
      </c>
    </row>
    <row r="15282" spans="1:6" x14ac:dyDescent="0.25">
      <c r="A15282" s="2" t="str">
        <f t="shared" si="545"/>
        <v>17900</v>
      </c>
      <c r="B15282" s="2" t="str">
        <f>"29224"</f>
        <v>29224</v>
      </c>
      <c r="C15282" s="1">
        <v>3.0933364683061499E-3</v>
      </c>
      <c r="D15282" s="1">
        <v>1.06550081156081E-2</v>
      </c>
      <c r="E15282" s="1">
        <v>1.8582179689677499E-4</v>
      </c>
      <c r="F15282" s="1">
        <v>3.6565789991645798E-3</v>
      </c>
    </row>
    <row r="15283" spans="1:6" x14ac:dyDescent="0.25">
      <c r="A15283" s="2" t="str">
        <f t="shared" si="545"/>
        <v>17900</v>
      </c>
      <c r="B15283" s="2" t="str">
        <f>"29211"</f>
        <v>29211</v>
      </c>
      <c r="C15283" s="1">
        <v>2.2042777683891801E-3</v>
      </c>
      <c r="D15283" s="1">
        <v>1.13094926435939E-2</v>
      </c>
      <c r="E15283" s="1">
        <v>1.8582179689677499E-4</v>
      </c>
      <c r="F15283" s="1">
        <v>2.9173901823478202E-3</v>
      </c>
    </row>
    <row r="15284" spans="1:6" x14ac:dyDescent="0.25">
      <c r="A15284" s="2" t="str">
        <f t="shared" si="545"/>
        <v>17900</v>
      </c>
      <c r="B15284" s="2" t="str">
        <f>"29055"</f>
        <v>29055</v>
      </c>
      <c r="C15284" s="1">
        <v>1.0360105511429099E-3</v>
      </c>
      <c r="D15284" s="1">
        <v>1.5707628671658201E-4</v>
      </c>
      <c r="E15284" s="1">
        <v>7.43287187587103E-4</v>
      </c>
      <c r="F15284" s="1">
        <v>9.5569678387256204E-4</v>
      </c>
    </row>
    <row r="15285" spans="1:6" x14ac:dyDescent="0.25">
      <c r="A15285" s="2" t="str">
        <f t="shared" si="545"/>
        <v>17900</v>
      </c>
      <c r="B15285" s="2" t="str">
        <f>"29045"</f>
        <v>29045</v>
      </c>
      <c r="C15285" s="1">
        <v>3.0776616041753899E-2</v>
      </c>
      <c r="D15285" s="1">
        <v>1.2723179224043099E-2</v>
      </c>
      <c r="E15285" s="1">
        <v>6.2250301960419903E-3</v>
      </c>
      <c r="F15285" s="1">
        <v>2.8690586058636398E-2</v>
      </c>
    </row>
    <row r="15286" spans="1:6" x14ac:dyDescent="0.25">
      <c r="A15286" s="2" t="str">
        <f t="shared" si="545"/>
        <v>17900</v>
      </c>
      <c r="B15286" s="2" t="str">
        <f>"29021"</f>
        <v>29021</v>
      </c>
      <c r="C15286" s="1">
        <v>2.11120826261275E-3</v>
      </c>
      <c r="D15286" s="1">
        <v>8.3774019582176992E-3</v>
      </c>
      <c r="E15286" s="1">
        <v>1.8582179689677499E-4</v>
      </c>
      <c r="F15286" s="1">
        <v>2.58934780802085E-3</v>
      </c>
    </row>
    <row r="15287" spans="1:6" x14ac:dyDescent="0.25">
      <c r="A15287" s="2" t="str">
        <f t="shared" si="545"/>
        <v>17900</v>
      </c>
      <c r="B15287" s="2" t="str">
        <f>"29031"</f>
        <v>29031</v>
      </c>
      <c r="C15287" s="1">
        <v>1.6409623386897201E-4</v>
      </c>
      <c r="D15287" s="1">
        <v>2.6179381119430301E-5</v>
      </c>
      <c r="E15287" s="1">
        <v>0</v>
      </c>
      <c r="F15287" s="1">
        <v>1.4871254302822401E-4</v>
      </c>
    </row>
    <row r="15288" spans="1:6" x14ac:dyDescent="0.25">
      <c r="A15288" s="2" t="str">
        <f t="shared" si="545"/>
        <v>17900</v>
      </c>
      <c r="B15288" s="2" t="str">
        <f>"29033"</f>
        <v>29033</v>
      </c>
      <c r="C15288" s="1">
        <v>1.6532083262918901E-2</v>
      </c>
      <c r="D15288" s="1">
        <v>1.7749620398973699E-2</v>
      </c>
      <c r="E15288" s="1">
        <v>1.67239617207098E-2</v>
      </c>
      <c r="F15288" s="1">
        <v>1.66383092258637E-2</v>
      </c>
    </row>
    <row r="15289" spans="1:6" x14ac:dyDescent="0.25">
      <c r="A15289" s="2" t="str">
        <f t="shared" si="545"/>
        <v>17900</v>
      </c>
      <c r="B15289" s="2" t="str">
        <f>"29032"</f>
        <v>29032</v>
      </c>
      <c r="C15289" s="1">
        <v>5.0208549168864799E-3</v>
      </c>
      <c r="D15289" s="1">
        <v>7.8538143358290995E-4</v>
      </c>
      <c r="E15289" s="1">
        <v>0</v>
      </c>
      <c r="F15289" s="1">
        <v>4.54885425733393E-3</v>
      </c>
    </row>
    <row r="15290" spans="1:6" x14ac:dyDescent="0.25">
      <c r="A15290" s="2" t="str">
        <f t="shared" si="545"/>
        <v>17900</v>
      </c>
      <c r="B15290" s="2" t="str">
        <f>"29015"</f>
        <v>29015</v>
      </c>
      <c r="C15290" s="1">
        <v>1.99609597915243E-3</v>
      </c>
      <c r="D15290" s="1">
        <v>3.9269071679145498E-4</v>
      </c>
      <c r="E15290" s="1">
        <v>9.2910898448387896E-4</v>
      </c>
      <c r="F15290" s="1">
        <v>1.8370372962310099E-3</v>
      </c>
    </row>
    <row r="15291" spans="1:6" x14ac:dyDescent="0.25">
      <c r="A15291" s="2" t="str">
        <f t="shared" si="545"/>
        <v>17900</v>
      </c>
      <c r="B15291" s="2" t="str">
        <f>"29078"</f>
        <v>29078</v>
      </c>
      <c r="C15291" s="1">
        <v>2.0369975777436499E-2</v>
      </c>
      <c r="D15291" s="1">
        <v>1.67286245353159E-2</v>
      </c>
      <c r="E15291" s="1">
        <v>7.43287187587103E-3</v>
      </c>
      <c r="F15291" s="1">
        <v>1.97612726294564E-2</v>
      </c>
    </row>
    <row r="15292" spans="1:6" x14ac:dyDescent="0.25">
      <c r="A15292" s="2" t="str">
        <f t="shared" si="545"/>
        <v>17900</v>
      </c>
      <c r="B15292" s="2" t="str">
        <f>"29070"</f>
        <v>29070</v>
      </c>
      <c r="C15292" s="1">
        <v>2.0095665655148E-2</v>
      </c>
      <c r="D15292" s="1">
        <v>8.4821194826954199E-3</v>
      </c>
      <c r="E15292" s="1">
        <v>2.1369506643129201E-3</v>
      </c>
      <c r="F15292" s="1">
        <v>1.8702789234961398E-2</v>
      </c>
    </row>
    <row r="15293" spans="1:6" x14ac:dyDescent="0.25">
      <c r="A15293" s="2" t="str">
        <f t="shared" si="545"/>
        <v>17900</v>
      </c>
      <c r="B15293" s="2" t="str">
        <f>"29063"</f>
        <v>29063</v>
      </c>
      <c r="C15293" s="1">
        <v>4.2167833709285098E-2</v>
      </c>
      <c r="D15293" s="1">
        <v>4.3902822137284601E-2</v>
      </c>
      <c r="E15293" s="1">
        <v>1.22642385951872E-2</v>
      </c>
      <c r="F15293" s="1">
        <v>4.1608894759632399E-2</v>
      </c>
    </row>
    <row r="15294" spans="1:6" x14ac:dyDescent="0.25">
      <c r="A15294" s="2" t="str">
        <f t="shared" si="545"/>
        <v>17900</v>
      </c>
      <c r="B15294" s="2" t="str">
        <f>"29221"</f>
        <v>29221</v>
      </c>
      <c r="C15294" s="1">
        <v>4.5359138078408601E-3</v>
      </c>
      <c r="D15294" s="1">
        <v>1.32991256086706E-2</v>
      </c>
      <c r="E15294" s="1">
        <v>1.8582179689677499E-4</v>
      </c>
      <c r="F15294" s="1">
        <v>5.1655739210686299E-3</v>
      </c>
    </row>
    <row r="15295" spans="1:6" x14ac:dyDescent="0.25">
      <c r="A15295" s="2" t="str">
        <f t="shared" si="545"/>
        <v>17900</v>
      </c>
      <c r="B15295" s="2" t="str">
        <f>"29207"</f>
        <v>29207</v>
      </c>
      <c r="C15295" s="1">
        <v>0</v>
      </c>
      <c r="D15295" s="1">
        <v>5.0002617938111902E-3</v>
      </c>
      <c r="E15295" s="1">
        <v>1.02201988293226E-3</v>
      </c>
      <c r="F15295" s="1">
        <v>4.4176373076031399E-4</v>
      </c>
    </row>
    <row r="15296" spans="1:6" x14ac:dyDescent="0.25">
      <c r="A15296" s="2" t="str">
        <f t="shared" si="545"/>
        <v>17900</v>
      </c>
      <c r="B15296" s="2" t="str">
        <f>"29208"</f>
        <v>29208</v>
      </c>
      <c r="C15296" s="1">
        <v>0</v>
      </c>
      <c r="D15296" s="1">
        <v>2.4346824441070199E-3</v>
      </c>
      <c r="E15296" s="1">
        <v>1.8582179689677499E-4</v>
      </c>
      <c r="F15296" s="1">
        <v>2.0776017040707799E-4</v>
      </c>
    </row>
    <row r="15297" spans="1:6" x14ac:dyDescent="0.25">
      <c r="A15297" s="2" t="str">
        <f t="shared" si="545"/>
        <v>17900</v>
      </c>
      <c r="B15297" s="2" t="str">
        <f>"29206"</f>
        <v>29206</v>
      </c>
      <c r="C15297" s="1">
        <v>2.3793953911001E-2</v>
      </c>
      <c r="D15297" s="1">
        <v>2.1336195612335698E-2</v>
      </c>
      <c r="E15297" s="1">
        <v>8.60354919632072E-2</v>
      </c>
      <c r="F15297" s="1">
        <v>2.5053689601931502E-2</v>
      </c>
    </row>
    <row r="15298" spans="1:6" x14ac:dyDescent="0.25">
      <c r="A15298" s="2" t="str">
        <f t="shared" si="545"/>
        <v>17900</v>
      </c>
      <c r="B15298" s="2" t="str">
        <f>"29204"</f>
        <v>29204</v>
      </c>
      <c r="C15298" s="1">
        <v>2.3012659901983101E-2</v>
      </c>
      <c r="D15298" s="1">
        <v>3.6729671710560699E-2</v>
      </c>
      <c r="E15298" s="1">
        <v>5.6582737155068202E-2</v>
      </c>
      <c r="F15298" s="1">
        <v>2.4948716042146799E-2</v>
      </c>
    </row>
    <row r="15299" spans="1:6" x14ac:dyDescent="0.25">
      <c r="A15299" s="2" t="str">
        <f t="shared" si="545"/>
        <v>17900</v>
      </c>
      <c r="B15299" s="2" t="str">
        <f>"29160"</f>
        <v>29160</v>
      </c>
      <c r="C15299" s="1">
        <v>1.00172178585686E-2</v>
      </c>
      <c r="D15299" s="1">
        <v>3.4556783077648E-3</v>
      </c>
      <c r="E15299" s="1">
        <v>9.2910898448387896E-4</v>
      </c>
      <c r="F15299" s="1">
        <v>9.2551688543448096E-3</v>
      </c>
    </row>
    <row r="15300" spans="1:6" x14ac:dyDescent="0.25">
      <c r="A15300" s="2" t="str">
        <f t="shared" si="545"/>
        <v>17900</v>
      </c>
      <c r="B15300" s="2" t="str">
        <f>"29044"</f>
        <v>29044</v>
      </c>
      <c r="C15300" s="1">
        <v>6.9581701555485303E-3</v>
      </c>
      <c r="D15300" s="1">
        <v>3.3247814021676501E-3</v>
      </c>
      <c r="E15300" s="1">
        <v>1.1149307813806499E-3</v>
      </c>
      <c r="F15300" s="1">
        <v>6.5171085032957304E-3</v>
      </c>
    </row>
    <row r="15301" spans="1:6" x14ac:dyDescent="0.25">
      <c r="A15301" s="2" t="str">
        <f t="shared" si="545"/>
        <v>17900</v>
      </c>
      <c r="B15301" s="2" t="str">
        <f>"29132"</f>
        <v>29132</v>
      </c>
      <c r="C15301" s="1">
        <v>0</v>
      </c>
      <c r="D15301" s="1">
        <v>2.6179381119430301E-5</v>
      </c>
      <c r="E15301" s="1">
        <v>0</v>
      </c>
      <c r="F15301" s="1">
        <v>2.18694916217977E-6</v>
      </c>
    </row>
    <row r="15302" spans="1:6" x14ac:dyDescent="0.25">
      <c r="A15302" s="2" t="str">
        <f t="shared" si="545"/>
        <v>17900</v>
      </c>
      <c r="B15302" s="2" t="str">
        <f>"29074"</f>
        <v>29074</v>
      </c>
      <c r="C15302" s="1">
        <v>4.3350796111654E-4</v>
      </c>
      <c r="D15302" s="1">
        <v>7.8538143358291003E-5</v>
      </c>
      <c r="E15302" s="1">
        <v>0</v>
      </c>
      <c r="F15302" s="1">
        <v>3.9365084919235901E-4</v>
      </c>
    </row>
    <row r="15303" spans="1:6" x14ac:dyDescent="0.25">
      <c r="A15303" s="2" t="str">
        <f t="shared" si="545"/>
        <v>17900</v>
      </c>
      <c r="B15303" s="2" t="str">
        <f>"29009"</f>
        <v>29009</v>
      </c>
      <c r="C15303" s="1">
        <v>2.7063632600778302E-3</v>
      </c>
      <c r="D15303" s="1">
        <v>6.5448452798575797E-4</v>
      </c>
      <c r="E15303" s="1">
        <v>3.7164359379355101E-4</v>
      </c>
      <c r="F15303" s="1">
        <v>2.4800003499118599E-3</v>
      </c>
    </row>
    <row r="15304" spans="1:6" x14ac:dyDescent="0.25">
      <c r="A15304" s="2" t="str">
        <f t="shared" si="545"/>
        <v>17900</v>
      </c>
      <c r="B15304" s="2" t="str">
        <f>"29073"</f>
        <v>29073</v>
      </c>
      <c r="C15304" s="1">
        <v>5.3064313477689001E-2</v>
      </c>
      <c r="D15304" s="1">
        <v>2.7200376983088099E-2</v>
      </c>
      <c r="E15304" s="1">
        <v>2.1369506643129199E-2</v>
      </c>
      <c r="F15304" s="1">
        <v>5.0157679034593103E-2</v>
      </c>
    </row>
    <row r="15305" spans="1:6" x14ac:dyDescent="0.25">
      <c r="A15305" s="2" t="str">
        <f t="shared" ref="A15305:A15336" si="546">"33340"</f>
        <v>33340</v>
      </c>
      <c r="B15305" s="2" t="str">
        <f>"53295"</f>
        <v>53295</v>
      </c>
      <c r="C15305" s="1">
        <v>0</v>
      </c>
      <c r="D15305" s="1">
        <v>1.5132484905346299E-5</v>
      </c>
      <c r="E15305" s="1">
        <v>0</v>
      </c>
      <c r="F15305" s="1">
        <v>1.1492760135752401E-6</v>
      </c>
    </row>
    <row r="15306" spans="1:6" x14ac:dyDescent="0.25">
      <c r="A15306" s="2" t="str">
        <f t="shared" si="546"/>
        <v>33340</v>
      </c>
      <c r="B15306" s="2" t="str">
        <f>"53235"</f>
        <v>53235</v>
      </c>
      <c r="C15306" s="1">
        <v>6.4399477806788502E-3</v>
      </c>
      <c r="D15306" s="1">
        <v>4.1765658338755798E-3</v>
      </c>
      <c r="E15306" s="1">
        <v>6.4685774388640498E-3</v>
      </c>
      <c r="F15306" s="1">
        <v>6.26930065405297E-3</v>
      </c>
    </row>
    <row r="15307" spans="1:6" x14ac:dyDescent="0.25">
      <c r="A15307" s="2" t="str">
        <f t="shared" si="546"/>
        <v>33340</v>
      </c>
      <c r="B15307" s="2" t="str">
        <f>"53218"</f>
        <v>53218</v>
      </c>
      <c r="C15307" s="1">
        <v>2.1018276762402002E-2</v>
      </c>
      <c r="D15307" s="1">
        <v>1.27718172601122E-2</v>
      </c>
      <c r="E15307" s="1">
        <v>2.6715750723113298E-2</v>
      </c>
      <c r="F15307" s="1">
        <v>2.06409972038114E-2</v>
      </c>
    </row>
    <row r="15308" spans="1:6" x14ac:dyDescent="0.25">
      <c r="A15308" s="2" t="str">
        <f t="shared" si="546"/>
        <v>33340</v>
      </c>
      <c r="B15308" s="2" t="str">
        <f>"53212"</f>
        <v>53212</v>
      </c>
      <c r="C15308" s="1">
        <v>2.1306788511749299E-2</v>
      </c>
      <c r="D15308" s="1">
        <v>2.2910582146694301E-2</v>
      </c>
      <c r="E15308" s="1">
        <v>2.3113331580331301E-2</v>
      </c>
      <c r="F15308" s="1">
        <v>2.1507551318047099E-2</v>
      </c>
    </row>
    <row r="15309" spans="1:6" x14ac:dyDescent="0.25">
      <c r="A15309" s="2" t="str">
        <f t="shared" si="546"/>
        <v>33340</v>
      </c>
      <c r="B15309" s="2" t="str">
        <f>"53209"</f>
        <v>53209</v>
      </c>
      <c r="C15309" s="1">
        <v>2.86057441253263E-2</v>
      </c>
      <c r="D15309" s="1">
        <v>2.2940847116505E-2</v>
      </c>
      <c r="E15309" s="1">
        <v>3.07651853799631E-2</v>
      </c>
      <c r="F15309" s="1">
        <v>2.8269891381923901E-2</v>
      </c>
    </row>
    <row r="15310" spans="1:6" x14ac:dyDescent="0.25">
      <c r="A15310" s="2" t="str">
        <f t="shared" si="546"/>
        <v>33340</v>
      </c>
      <c r="B15310" s="2" t="str">
        <f>"53118"</f>
        <v>53118</v>
      </c>
      <c r="C15310" s="1">
        <v>4.0248041775456898E-3</v>
      </c>
      <c r="D15310" s="1">
        <v>1.4981160056292801E-3</v>
      </c>
      <c r="E15310" s="1">
        <v>1.07809623981067E-3</v>
      </c>
      <c r="F15310" s="1">
        <v>3.7041165917530202E-3</v>
      </c>
    </row>
    <row r="15311" spans="1:6" x14ac:dyDescent="0.25">
      <c r="A15311" s="2" t="str">
        <f t="shared" si="546"/>
        <v>33340</v>
      </c>
      <c r="B15311" s="2" t="str">
        <f>"53151"</f>
        <v>53151</v>
      </c>
      <c r="C15311" s="1">
        <v>1.9326370757180099E-2</v>
      </c>
      <c r="D15311" s="1">
        <v>2.2532270024060601E-2</v>
      </c>
      <c r="E15311" s="1">
        <v>1.0255061793321E-2</v>
      </c>
      <c r="F15311" s="1">
        <v>1.9173371734475801E-2</v>
      </c>
    </row>
    <row r="15312" spans="1:6" x14ac:dyDescent="0.25">
      <c r="A15312" s="2" t="str">
        <f t="shared" si="546"/>
        <v>33340</v>
      </c>
      <c r="B15312" s="2" t="str">
        <f>"53154"</f>
        <v>53154</v>
      </c>
      <c r="C15312" s="1">
        <v>2.0804177545691901E-2</v>
      </c>
      <c r="D15312" s="1">
        <v>1.7069442973230601E-2</v>
      </c>
      <c r="E15312" s="1">
        <v>2.7530896660531101E-2</v>
      </c>
      <c r="F15312" s="1">
        <v>2.08145378818613E-2</v>
      </c>
    </row>
    <row r="15313" spans="1:6" x14ac:dyDescent="0.25">
      <c r="A15313" s="2" t="str">
        <f t="shared" si="546"/>
        <v>33340</v>
      </c>
      <c r="B15313" s="2" t="str">
        <f>"53089"</f>
        <v>53089</v>
      </c>
      <c r="C15313" s="1">
        <v>1.84556135770234E-2</v>
      </c>
      <c r="D15313" s="1">
        <v>1.15309534978738E-2</v>
      </c>
      <c r="E15313" s="1">
        <v>1.23323691822245E-2</v>
      </c>
      <c r="F15313" s="1">
        <v>1.7662073776624401E-2</v>
      </c>
    </row>
    <row r="15314" spans="1:6" x14ac:dyDescent="0.25">
      <c r="A15314" s="2" t="str">
        <f t="shared" si="546"/>
        <v>33340</v>
      </c>
      <c r="B15314" s="2" t="str">
        <f>"53004"</f>
        <v>53004</v>
      </c>
      <c r="C15314" s="1">
        <v>1.96344647519582E-3</v>
      </c>
      <c r="D15314" s="1">
        <v>1.36192364148116E-3</v>
      </c>
      <c r="E15314" s="1">
        <v>7.6255587693925802E-4</v>
      </c>
      <c r="F15314" s="1">
        <v>1.8652749700326201E-3</v>
      </c>
    </row>
    <row r="15315" spans="1:6" x14ac:dyDescent="0.25">
      <c r="A15315" s="2" t="str">
        <f t="shared" si="546"/>
        <v>33340</v>
      </c>
      <c r="B15315" s="2" t="str">
        <f>"53027"</f>
        <v>53027</v>
      </c>
      <c r="C15315" s="1">
        <v>1.3266318537859E-2</v>
      </c>
      <c r="D15315" s="1">
        <v>9.17028585263986E-3</v>
      </c>
      <c r="E15315" s="1">
        <v>1.1175387851696E-2</v>
      </c>
      <c r="F15315" s="1">
        <v>1.28638464199477E-2</v>
      </c>
    </row>
    <row r="15316" spans="1:6" x14ac:dyDescent="0.25">
      <c r="A15316" s="2" t="str">
        <f t="shared" si="546"/>
        <v>33340</v>
      </c>
      <c r="B15316" s="2" t="str">
        <f>"53008"</f>
        <v>53008</v>
      </c>
      <c r="C15316" s="1">
        <v>1.1853785900783199E-3</v>
      </c>
      <c r="D15316" s="1">
        <v>8.4893240318992692E-3</v>
      </c>
      <c r="E15316" s="1">
        <v>5.2590060478569502E-5</v>
      </c>
      <c r="F15316" s="1">
        <v>1.69058501596919E-3</v>
      </c>
    </row>
    <row r="15317" spans="1:6" x14ac:dyDescent="0.25">
      <c r="A15317" s="2" t="str">
        <f t="shared" si="546"/>
        <v>33340</v>
      </c>
      <c r="B15317" s="2" t="str">
        <f>"53221"</f>
        <v>53221</v>
      </c>
      <c r="C15317" s="1">
        <v>2.23864229765013E-2</v>
      </c>
      <c r="D15317" s="1">
        <v>1.31652618676512E-2</v>
      </c>
      <c r="E15317" s="1">
        <v>2.9923744412306E-2</v>
      </c>
      <c r="F15317" s="1">
        <v>2.2015531316047401E-2</v>
      </c>
    </row>
    <row r="15318" spans="1:6" x14ac:dyDescent="0.25">
      <c r="A15318" s="2" t="str">
        <f t="shared" si="546"/>
        <v>33340</v>
      </c>
      <c r="B15318" s="2" t="str">
        <f>"53210"</f>
        <v>53210</v>
      </c>
      <c r="C15318" s="1">
        <v>1.5550913838120101E-2</v>
      </c>
      <c r="D15318" s="1">
        <v>1.3588971445000901E-2</v>
      </c>
      <c r="E15318" s="1">
        <v>1.3594530633710199E-2</v>
      </c>
      <c r="F15318" s="1">
        <v>1.53164014329173E-2</v>
      </c>
    </row>
    <row r="15319" spans="1:6" x14ac:dyDescent="0.25">
      <c r="A15319" s="2" t="str">
        <f t="shared" si="546"/>
        <v>33340</v>
      </c>
      <c r="B15319" s="2" t="str">
        <f>"53126"</f>
        <v>53126</v>
      </c>
      <c r="C15319" s="1">
        <v>6.5274151436031298E-6</v>
      </c>
      <c r="D15319" s="1">
        <v>0</v>
      </c>
      <c r="E15319" s="1">
        <v>0</v>
      </c>
      <c r="F15319" s="1">
        <v>5.7463800678762399E-6</v>
      </c>
    </row>
    <row r="15320" spans="1:6" x14ac:dyDescent="0.25">
      <c r="A15320" s="2" t="str">
        <f t="shared" si="546"/>
        <v>33340</v>
      </c>
      <c r="B15320" s="2" t="str">
        <f>"53132"</f>
        <v>53132</v>
      </c>
      <c r="C15320" s="1">
        <v>1.9473890339425499E-2</v>
      </c>
      <c r="D15320" s="1">
        <v>1.45574504789431E-2</v>
      </c>
      <c r="E15320" s="1">
        <v>1.5303707599263699E-2</v>
      </c>
      <c r="F15320" s="1">
        <v>1.89182324594621E-2</v>
      </c>
    </row>
    <row r="15321" spans="1:6" x14ac:dyDescent="0.25">
      <c r="A15321" s="2" t="str">
        <f t="shared" si="546"/>
        <v>33340</v>
      </c>
      <c r="B15321" s="2" t="str">
        <f>"53172"</f>
        <v>53172</v>
      </c>
      <c r="C15321" s="1">
        <v>1.2763707571801499E-2</v>
      </c>
      <c r="D15321" s="1">
        <v>6.9912080262699901E-3</v>
      </c>
      <c r="E15321" s="1">
        <v>1.4278201419931601E-2</v>
      </c>
      <c r="F15321" s="1">
        <v>1.23914939783683E-2</v>
      </c>
    </row>
    <row r="15322" spans="1:6" x14ac:dyDescent="0.25">
      <c r="A15322" s="2" t="str">
        <f t="shared" si="546"/>
        <v>33340</v>
      </c>
      <c r="B15322" s="2" t="str">
        <f>"53201"</f>
        <v>53201</v>
      </c>
      <c r="C15322" s="1">
        <v>1.3772845953002599E-3</v>
      </c>
      <c r="D15322" s="1">
        <v>1.06532693733638E-2</v>
      </c>
      <c r="E15322" s="1">
        <v>5.2590060478569502E-5</v>
      </c>
      <c r="F15322" s="1">
        <v>2.0238750599060099E-3</v>
      </c>
    </row>
    <row r="15323" spans="1:6" x14ac:dyDescent="0.25">
      <c r="A15323" s="2" t="str">
        <f t="shared" si="546"/>
        <v>33340</v>
      </c>
      <c r="B15323" s="2" t="str">
        <f>"53188"</f>
        <v>53188</v>
      </c>
      <c r="C15323" s="1">
        <v>2.0804177545691901E-2</v>
      </c>
      <c r="D15323" s="1">
        <v>1.8174114371320899E-2</v>
      </c>
      <c r="E15323" s="1">
        <v>2.2166710491717E-2</v>
      </c>
      <c r="F15323" s="1">
        <v>2.0663982724082899E-2</v>
      </c>
    </row>
    <row r="15324" spans="1:6" x14ac:dyDescent="0.25">
      <c r="A15324" s="2" t="str">
        <f t="shared" si="546"/>
        <v>33340</v>
      </c>
      <c r="B15324" s="2" t="str">
        <f>"53074"</f>
        <v>53074</v>
      </c>
      <c r="C15324" s="1">
        <v>7.8838120104438598E-3</v>
      </c>
      <c r="D15324" s="1">
        <v>7.7478322715373001E-3</v>
      </c>
      <c r="E15324" s="1">
        <v>7.7833289508282902E-3</v>
      </c>
      <c r="F15324" s="1">
        <v>7.8690928649497206E-3</v>
      </c>
    </row>
    <row r="15325" spans="1:6" x14ac:dyDescent="0.25">
      <c r="A15325" s="2" t="str">
        <f t="shared" si="546"/>
        <v>33340</v>
      </c>
      <c r="B15325" s="2" t="str">
        <f>"53021"</f>
        <v>53021</v>
      </c>
      <c r="C15325" s="1">
        <v>2.48302872062663E-3</v>
      </c>
      <c r="D15325" s="1">
        <v>1.1652013377116599E-3</v>
      </c>
      <c r="E15325" s="1">
        <v>7.8885090717854302E-4</v>
      </c>
      <c r="F15325" s="1">
        <v>2.3088955112726701E-3</v>
      </c>
    </row>
    <row r="15326" spans="1:6" x14ac:dyDescent="0.25">
      <c r="A15326" s="2" t="str">
        <f t="shared" si="546"/>
        <v>33340</v>
      </c>
      <c r="B15326" s="2" t="str">
        <f>"53293"</f>
        <v>53293</v>
      </c>
      <c r="C15326" s="1">
        <v>0</v>
      </c>
      <c r="D15326" s="1">
        <v>1.5132484905346299E-5</v>
      </c>
      <c r="E15326" s="1">
        <v>0</v>
      </c>
      <c r="F15326" s="1">
        <v>1.1492760135752401E-6</v>
      </c>
    </row>
    <row r="15327" spans="1:6" x14ac:dyDescent="0.25">
      <c r="A15327" s="2" t="str">
        <f t="shared" si="546"/>
        <v>33340</v>
      </c>
      <c r="B15327" s="2" t="str">
        <f>"53259"</f>
        <v>53259</v>
      </c>
      <c r="C15327" s="1">
        <v>0</v>
      </c>
      <c r="D15327" s="1">
        <v>3.0264969810692599E-5</v>
      </c>
      <c r="E15327" s="1">
        <v>0</v>
      </c>
      <c r="F15327" s="1">
        <v>2.2985520271504898E-6</v>
      </c>
    </row>
    <row r="15328" spans="1:6" x14ac:dyDescent="0.25">
      <c r="A15328" s="2" t="str">
        <f t="shared" si="546"/>
        <v>33340</v>
      </c>
      <c r="B15328" s="2" t="str">
        <f>"53228"</f>
        <v>53228</v>
      </c>
      <c r="C15328" s="1">
        <v>9.9765013054830196E-3</v>
      </c>
      <c r="D15328" s="1">
        <v>4.8726601395215098E-3</v>
      </c>
      <c r="E15328" s="1">
        <v>9.0980804627925297E-3</v>
      </c>
      <c r="F15328" s="1">
        <v>9.5504836728103094E-3</v>
      </c>
    </row>
    <row r="15329" spans="1:6" x14ac:dyDescent="0.25">
      <c r="A15329" s="2" t="str">
        <f t="shared" si="546"/>
        <v>33340</v>
      </c>
      <c r="B15329" s="2" t="str">
        <f>"53226"</f>
        <v>53226</v>
      </c>
      <c r="C15329" s="1">
        <v>1.28707571801566E-2</v>
      </c>
      <c r="D15329" s="1">
        <v>2.61943313711544E-2</v>
      </c>
      <c r="E15329" s="1">
        <v>1.90113068630028E-2</v>
      </c>
      <c r="F15329" s="1">
        <v>1.4151035555152E-2</v>
      </c>
    </row>
    <row r="15330" spans="1:6" x14ac:dyDescent="0.25">
      <c r="A15330" s="2" t="str">
        <f t="shared" si="546"/>
        <v>33340</v>
      </c>
      <c r="B15330" s="2" t="str">
        <f>"53219"</f>
        <v>53219</v>
      </c>
      <c r="C15330" s="1">
        <v>2.10221932114882E-2</v>
      </c>
      <c r="D15330" s="1">
        <v>1.1879000650696799E-2</v>
      </c>
      <c r="E15330" s="1">
        <v>2.5637654483302599E-2</v>
      </c>
      <c r="F15330" s="1">
        <v>2.0529517430494599E-2</v>
      </c>
    </row>
    <row r="15331" spans="1:6" x14ac:dyDescent="0.25">
      <c r="A15331" s="2" t="str">
        <f t="shared" si="546"/>
        <v>33340</v>
      </c>
      <c r="B15331" s="2" t="str">
        <f>"53214"</f>
        <v>53214</v>
      </c>
      <c r="C15331" s="1">
        <v>2.2793733681462099E-2</v>
      </c>
      <c r="D15331" s="1">
        <v>2.6481848584356E-2</v>
      </c>
      <c r="E15331" s="1">
        <v>2.1036024191427801E-2</v>
      </c>
      <c r="F15331" s="1">
        <v>2.2997013031640701E-2</v>
      </c>
    </row>
    <row r="15332" spans="1:6" x14ac:dyDescent="0.25">
      <c r="A15332" s="2" t="str">
        <f t="shared" si="546"/>
        <v>33340</v>
      </c>
      <c r="B15332" s="2" t="str">
        <f>"53211"</f>
        <v>53211</v>
      </c>
      <c r="C15332" s="1">
        <v>2.3087467362924202E-2</v>
      </c>
      <c r="D15332" s="1">
        <v>1.4542317994037801E-2</v>
      </c>
      <c r="E15332" s="1">
        <v>2.7609781751249E-2</v>
      </c>
      <c r="F15332" s="1">
        <v>2.2636140363378E-2</v>
      </c>
    </row>
    <row r="15333" spans="1:6" x14ac:dyDescent="0.25">
      <c r="A15333" s="2" t="str">
        <f t="shared" si="546"/>
        <v>33340</v>
      </c>
      <c r="B15333" s="2" t="str">
        <f>"53203"</f>
        <v>53203</v>
      </c>
      <c r="C15333" s="1">
        <v>3.3642297650130501E-3</v>
      </c>
      <c r="D15333" s="1">
        <v>2.0489384561838801E-2</v>
      </c>
      <c r="E15333" s="1">
        <v>3.8916644754141399E-3</v>
      </c>
      <c r="F15333" s="1">
        <v>4.6878968593734296E-3</v>
      </c>
    </row>
    <row r="15334" spans="1:6" x14ac:dyDescent="0.25">
      <c r="A15334" s="2" t="str">
        <f t="shared" si="546"/>
        <v>33340</v>
      </c>
      <c r="B15334" s="2" t="str">
        <f>"53187"</f>
        <v>53187</v>
      </c>
      <c r="C15334" s="1">
        <v>1.1723237597911201E-3</v>
      </c>
      <c r="D15334" s="1">
        <v>6.4464385696775201E-3</v>
      </c>
      <c r="E15334" s="1">
        <v>5.2590060478569502E-5</v>
      </c>
      <c r="F15334" s="1">
        <v>1.5239399940007699E-3</v>
      </c>
    </row>
    <row r="15335" spans="1:6" x14ac:dyDescent="0.25">
      <c r="A15335" s="2" t="str">
        <f t="shared" si="546"/>
        <v>33340</v>
      </c>
      <c r="B15335" s="2" t="str">
        <f>"53150"</f>
        <v>53150</v>
      </c>
      <c r="C15335" s="1">
        <v>2.3822454308093901E-2</v>
      </c>
      <c r="D15335" s="1">
        <v>1.4966027571387401E-2</v>
      </c>
      <c r="E15335" s="1">
        <v>7.0996581646068802E-3</v>
      </c>
      <c r="F15335" s="1">
        <v>2.2418927196812301E-2</v>
      </c>
    </row>
    <row r="15336" spans="1:6" x14ac:dyDescent="0.25">
      <c r="A15336" s="2" t="str">
        <f t="shared" si="546"/>
        <v>33340</v>
      </c>
      <c r="B15336" s="2" t="str">
        <f>"53090"</f>
        <v>53090</v>
      </c>
      <c r="C15336" s="1">
        <v>1.1924281984334199E-2</v>
      </c>
      <c r="D15336" s="1">
        <v>5.25097226215516E-3</v>
      </c>
      <c r="E15336" s="1">
        <v>9.7554562187746503E-3</v>
      </c>
      <c r="F15336" s="1">
        <v>1.13226672857433E-2</v>
      </c>
    </row>
    <row r="15337" spans="1:6" x14ac:dyDescent="0.25">
      <c r="A15337" s="2" t="str">
        <f t="shared" ref="A15337:A15368" si="547">"33340"</f>
        <v>33340</v>
      </c>
      <c r="B15337" s="2" t="str">
        <f>"53002"</f>
        <v>53002</v>
      </c>
      <c r="C15337" s="1">
        <v>1.2780678851174901E-3</v>
      </c>
      <c r="D15337" s="1">
        <v>7.1122679055127605E-4</v>
      </c>
      <c r="E15337" s="1">
        <v>1.86694714698921E-3</v>
      </c>
      <c r="F15337" s="1">
        <v>1.2607557868920399E-3</v>
      </c>
    </row>
    <row r="15338" spans="1:6" x14ac:dyDescent="0.25">
      <c r="A15338" s="2" t="str">
        <f t="shared" si="547"/>
        <v>33340</v>
      </c>
      <c r="B15338" s="2" t="str">
        <f>"53072"</f>
        <v>53072</v>
      </c>
      <c r="C15338" s="1">
        <v>1.7278067885117401E-2</v>
      </c>
      <c r="D15338" s="1">
        <v>2.2093427961805599E-2</v>
      </c>
      <c r="E15338" s="1">
        <v>3.5603470943991501E-2</v>
      </c>
      <c r="F15338" s="1">
        <v>1.84447307418691E-2</v>
      </c>
    </row>
    <row r="15339" spans="1:6" x14ac:dyDescent="0.25">
      <c r="A15339" s="2" t="str">
        <f t="shared" si="547"/>
        <v>33340</v>
      </c>
      <c r="B15339" s="2" t="str">
        <f>"53018"</f>
        <v>53018</v>
      </c>
      <c r="C15339" s="1">
        <v>4.7532637075718004E-3</v>
      </c>
      <c r="D15339" s="1">
        <v>1.0728931797890501E-2</v>
      </c>
      <c r="E15339" s="1">
        <v>3.4183539311070199E-3</v>
      </c>
      <c r="F15339" s="1">
        <v>5.1487565408171098E-3</v>
      </c>
    </row>
    <row r="15340" spans="1:6" x14ac:dyDescent="0.25">
      <c r="A15340" s="2" t="str">
        <f t="shared" si="547"/>
        <v>33340</v>
      </c>
      <c r="B15340" s="2" t="str">
        <f>"53233"</f>
        <v>53233</v>
      </c>
      <c r="C15340" s="1">
        <v>8.6827676240208793E-3</v>
      </c>
      <c r="D15340" s="1">
        <v>8.8373711847222394E-3</v>
      </c>
      <c r="E15340" s="1">
        <v>1.3357875361556601E-2</v>
      </c>
      <c r="F15340" s="1">
        <v>8.8988441731131396E-3</v>
      </c>
    </row>
    <row r="15341" spans="1:6" x14ac:dyDescent="0.25">
      <c r="A15341" s="2" t="str">
        <f t="shared" si="547"/>
        <v>33340</v>
      </c>
      <c r="B15341" s="2" t="str">
        <f>"53222"</f>
        <v>53222</v>
      </c>
      <c r="C15341" s="1">
        <v>1.52349869451697E-2</v>
      </c>
      <c r="D15341" s="1">
        <v>1.2817214714828299E-2</v>
      </c>
      <c r="E15341" s="1">
        <v>2.0194583223770698E-2</v>
      </c>
      <c r="F15341" s="1">
        <v>1.52681318403471E-2</v>
      </c>
    </row>
    <row r="15342" spans="1:6" x14ac:dyDescent="0.25">
      <c r="A15342" s="2" t="str">
        <f t="shared" si="547"/>
        <v>33340</v>
      </c>
      <c r="B15342" s="2" t="str">
        <f>"53216"</f>
        <v>53216</v>
      </c>
      <c r="C15342" s="1">
        <v>1.9865535248041698E-2</v>
      </c>
      <c r="D15342" s="1">
        <v>1.4300198235552199E-2</v>
      </c>
      <c r="E15342" s="1">
        <v>1.4225611359452999E-2</v>
      </c>
      <c r="F15342" s="1">
        <v>1.91963572547473E-2</v>
      </c>
    </row>
    <row r="15343" spans="1:6" x14ac:dyDescent="0.25">
      <c r="A15343" s="2" t="str">
        <f t="shared" si="547"/>
        <v>33340</v>
      </c>
      <c r="B15343" s="2" t="str">
        <f>"53213"</f>
        <v>53213</v>
      </c>
      <c r="C15343" s="1">
        <v>1.66292428198433E-2</v>
      </c>
      <c r="D15343" s="1">
        <v>1.29534070789764E-2</v>
      </c>
      <c r="E15343" s="1">
        <v>1.37785958453852E-2</v>
      </c>
      <c r="F15343" s="1">
        <v>1.6225478759655299E-2</v>
      </c>
    </row>
    <row r="15344" spans="1:6" x14ac:dyDescent="0.25">
      <c r="A15344" s="2" t="str">
        <f t="shared" si="547"/>
        <v>33340</v>
      </c>
      <c r="B15344" s="2" t="str">
        <f>"53215"</f>
        <v>53215</v>
      </c>
      <c r="C15344" s="1">
        <v>2.7822454308093901E-2</v>
      </c>
      <c r="D15344" s="1">
        <v>2.1488128565591701E-2</v>
      </c>
      <c r="E15344" s="1">
        <v>1.55403628714173E-2</v>
      </c>
      <c r="F15344" s="1">
        <v>2.6804564464615498E-2</v>
      </c>
    </row>
    <row r="15345" spans="1:6" x14ac:dyDescent="0.25">
      <c r="A15345" s="2" t="str">
        <f t="shared" si="547"/>
        <v>33340</v>
      </c>
      <c r="B15345" s="2" t="str">
        <f>"53189"</f>
        <v>53189</v>
      </c>
      <c r="C15345" s="1">
        <v>1.5527415143603099E-2</v>
      </c>
      <c r="D15345" s="1">
        <v>8.2169393036030398E-3</v>
      </c>
      <c r="E15345" s="1">
        <v>1.8196160925585E-2</v>
      </c>
      <c r="F15345" s="1">
        <v>1.50888447822294E-2</v>
      </c>
    </row>
    <row r="15346" spans="1:6" x14ac:dyDescent="0.25">
      <c r="A15346" s="2" t="str">
        <f t="shared" si="547"/>
        <v>33340</v>
      </c>
      <c r="B15346" s="2" t="str">
        <f>"53097"</f>
        <v>53097</v>
      </c>
      <c r="C15346" s="1">
        <v>2.90600522193211E-3</v>
      </c>
      <c r="D15346" s="1">
        <v>1.6343083697774E-3</v>
      </c>
      <c r="E15346" s="1">
        <v>4.4701551406784102E-4</v>
      </c>
      <c r="F15346" s="1">
        <v>2.7019479079154001E-3</v>
      </c>
    </row>
    <row r="15347" spans="1:6" x14ac:dyDescent="0.25">
      <c r="A15347" s="2" t="str">
        <f t="shared" si="547"/>
        <v>33340</v>
      </c>
      <c r="B15347" s="2" t="str">
        <f>"53045"</f>
        <v>53045</v>
      </c>
      <c r="C15347" s="1">
        <v>1.27284595300261E-2</v>
      </c>
      <c r="D15347" s="1">
        <v>1.77201398241605E-2</v>
      </c>
      <c r="E15347" s="1">
        <v>1.9090191953720699E-2</v>
      </c>
      <c r="F15347" s="1">
        <v>1.33856177301109E-2</v>
      </c>
    </row>
    <row r="15348" spans="1:6" x14ac:dyDescent="0.25">
      <c r="A15348" s="2" t="str">
        <f t="shared" si="547"/>
        <v>33340</v>
      </c>
      <c r="B15348" s="2" t="str">
        <f>"53037"</f>
        <v>53037</v>
      </c>
      <c r="C15348" s="1">
        <v>5.91644908616187E-3</v>
      </c>
      <c r="D15348" s="1">
        <v>3.9344460753900296E-3</v>
      </c>
      <c r="E15348" s="1">
        <v>4.6016302918748296E-3</v>
      </c>
      <c r="F15348" s="1">
        <v>5.70845395942825E-3</v>
      </c>
    </row>
    <row r="15349" spans="1:6" x14ac:dyDescent="0.25">
      <c r="A15349" s="2" t="str">
        <f t="shared" si="547"/>
        <v>33340</v>
      </c>
      <c r="B15349" s="2" t="str">
        <f>"53060"</f>
        <v>53060</v>
      </c>
      <c r="C15349" s="1">
        <v>1.3054830287206199E-6</v>
      </c>
      <c r="D15349" s="1">
        <v>0</v>
      </c>
      <c r="E15349" s="1">
        <v>2.62950302392847E-5</v>
      </c>
      <c r="F15349" s="1">
        <v>2.2985520271504898E-6</v>
      </c>
    </row>
    <row r="15350" spans="1:6" x14ac:dyDescent="0.25">
      <c r="A15350" s="2" t="str">
        <f t="shared" si="547"/>
        <v>33340</v>
      </c>
      <c r="B15350" s="2" t="str">
        <f>"53263"</f>
        <v>53263</v>
      </c>
      <c r="C15350" s="1">
        <v>0</v>
      </c>
      <c r="D15350" s="1">
        <v>1.5132484905346299E-5</v>
      </c>
      <c r="E15350" s="1">
        <v>0</v>
      </c>
      <c r="F15350" s="1">
        <v>1.1492760135752401E-6</v>
      </c>
    </row>
    <row r="15351" spans="1:6" x14ac:dyDescent="0.25">
      <c r="A15351" s="2" t="str">
        <f t="shared" si="547"/>
        <v>33340</v>
      </c>
      <c r="B15351" s="2" t="str">
        <f>"53234"</f>
        <v>53234</v>
      </c>
      <c r="C15351" s="1">
        <v>1.94778067885117E-3</v>
      </c>
      <c r="D15351" s="1">
        <v>3.4956040131349899E-3</v>
      </c>
      <c r="E15351" s="1">
        <v>5.2590060478569502E-5</v>
      </c>
      <c r="F15351" s="1">
        <v>1.9825011234173E-3</v>
      </c>
    </row>
    <row r="15352" spans="1:6" x14ac:dyDescent="0.25">
      <c r="A15352" s="2" t="str">
        <f t="shared" si="547"/>
        <v>33340</v>
      </c>
      <c r="B15352" s="2" t="str">
        <f>"53224"</f>
        <v>53224</v>
      </c>
      <c r="C15352" s="1">
        <v>1.3187989556135701E-2</v>
      </c>
      <c r="D15352" s="1">
        <v>1.34073816261368E-2</v>
      </c>
      <c r="E15352" s="1">
        <v>1.44359716013673E-2</v>
      </c>
      <c r="F15352" s="1">
        <v>1.32591973686176E-2</v>
      </c>
    </row>
    <row r="15353" spans="1:6" x14ac:dyDescent="0.25">
      <c r="A15353" s="2" t="str">
        <f t="shared" si="547"/>
        <v>33340</v>
      </c>
      <c r="B15353" s="2" t="str">
        <f>"53223"</f>
        <v>53223</v>
      </c>
      <c r="C15353" s="1">
        <v>1.7378590078328902E-2</v>
      </c>
      <c r="D15353" s="1">
        <v>1.27264198053962E-2</v>
      </c>
      <c r="E15353" s="1">
        <v>1.8985011832763601E-2</v>
      </c>
      <c r="F15353" s="1">
        <v>1.7095480701931801E-2</v>
      </c>
    </row>
    <row r="15354" spans="1:6" x14ac:dyDescent="0.25">
      <c r="A15354" s="2" t="str">
        <f t="shared" si="547"/>
        <v>33340</v>
      </c>
      <c r="B15354" s="2" t="str">
        <f>"53217"</f>
        <v>53217</v>
      </c>
      <c r="C15354" s="1">
        <v>1.7052219321148799E-2</v>
      </c>
      <c r="D15354" s="1">
        <v>2.1276273776916901E-2</v>
      </c>
      <c r="E15354" s="1">
        <v>1.08335524585853E-2</v>
      </c>
      <c r="F15354" s="1">
        <v>1.7101227081999602E-2</v>
      </c>
    </row>
    <row r="15355" spans="1:6" x14ac:dyDescent="0.25">
      <c r="A15355" s="2" t="str">
        <f t="shared" si="547"/>
        <v>33340</v>
      </c>
      <c r="B15355" s="2" t="str">
        <f>"53205"</f>
        <v>53205</v>
      </c>
      <c r="C15355" s="1">
        <v>6.5104438642297601E-3</v>
      </c>
      <c r="D15355" s="1">
        <v>5.7352117791262501E-3</v>
      </c>
      <c r="E15355" s="1">
        <v>9.8080462792532203E-3</v>
      </c>
      <c r="F15355" s="1">
        <v>6.59569504190834E-3</v>
      </c>
    </row>
    <row r="15356" spans="1:6" x14ac:dyDescent="0.25">
      <c r="A15356" s="2" t="str">
        <f t="shared" si="547"/>
        <v>33340</v>
      </c>
      <c r="B15356" s="2" t="str">
        <f>"53202"</f>
        <v>53202</v>
      </c>
      <c r="C15356" s="1">
        <v>2.6691906005221901E-2</v>
      </c>
      <c r="D15356" s="1">
        <v>4.9256238366902197E-2</v>
      </c>
      <c r="E15356" s="1">
        <v>3.6576387062845099E-2</v>
      </c>
      <c r="F15356" s="1">
        <v>2.88376337326301E-2</v>
      </c>
    </row>
    <row r="15357" spans="1:6" x14ac:dyDescent="0.25">
      <c r="A15357" s="2" t="str">
        <f t="shared" si="547"/>
        <v>33340</v>
      </c>
      <c r="B15357" s="2" t="str">
        <f>"53119"</f>
        <v>53119</v>
      </c>
      <c r="C15357" s="1">
        <v>2.7284595300261002E-3</v>
      </c>
      <c r="D15357" s="1">
        <v>9.9874400375285608E-4</v>
      </c>
      <c r="E15357" s="1">
        <v>6.57375755982119E-4</v>
      </c>
      <c r="F15357" s="1">
        <v>2.5065709856076099E-3</v>
      </c>
    </row>
    <row r="15358" spans="1:6" x14ac:dyDescent="0.25">
      <c r="A15358" s="2" t="str">
        <f t="shared" si="547"/>
        <v>33340</v>
      </c>
      <c r="B15358" s="2" t="str">
        <f>"53153"</f>
        <v>53153</v>
      </c>
      <c r="C15358" s="1">
        <v>1.3315926892950301E-3</v>
      </c>
      <c r="D15358" s="1">
        <v>1.04414145846889E-3</v>
      </c>
      <c r="E15358" s="1">
        <v>7.3626084669997302E-4</v>
      </c>
      <c r="F15358" s="1">
        <v>1.2837413071635499E-3</v>
      </c>
    </row>
    <row r="15359" spans="1:6" x14ac:dyDescent="0.25">
      <c r="A15359" s="2" t="str">
        <f t="shared" si="547"/>
        <v>33340</v>
      </c>
      <c r="B15359" s="2" t="str">
        <f>"53086"</f>
        <v>53086</v>
      </c>
      <c r="C15359" s="1">
        <v>4.8825065274151402E-3</v>
      </c>
      <c r="D15359" s="1">
        <v>4.3732881376450797E-3</v>
      </c>
      <c r="E15359" s="1">
        <v>6.4159873783854798E-3</v>
      </c>
      <c r="F15359" s="1">
        <v>4.91085640600703E-3</v>
      </c>
    </row>
    <row r="15360" spans="1:6" x14ac:dyDescent="0.25">
      <c r="A15360" s="2" t="str">
        <f t="shared" si="547"/>
        <v>33340</v>
      </c>
      <c r="B15360" s="2" t="str">
        <f>"53095"</f>
        <v>53095</v>
      </c>
      <c r="C15360" s="1">
        <v>1.6868146214099201E-2</v>
      </c>
      <c r="D15360" s="1">
        <v>2.15183935354024E-2</v>
      </c>
      <c r="E15360" s="1">
        <v>2.2008940310281298E-2</v>
      </c>
      <c r="F15360" s="1">
        <v>1.74460098860722E-2</v>
      </c>
    </row>
    <row r="15361" spans="1:6" x14ac:dyDescent="0.25">
      <c r="A15361" s="2" t="str">
        <f t="shared" si="547"/>
        <v>33340</v>
      </c>
      <c r="B15361" s="2" t="str">
        <f>"53080"</f>
        <v>53080</v>
      </c>
      <c r="C15361" s="1">
        <v>3.2819843342036499E-3</v>
      </c>
      <c r="D15361" s="1">
        <v>3.1778218301227201E-3</v>
      </c>
      <c r="E15361" s="1">
        <v>2.7609781751249001E-3</v>
      </c>
      <c r="F15361" s="1">
        <v>3.2513018424043701E-3</v>
      </c>
    </row>
    <row r="15362" spans="1:6" x14ac:dyDescent="0.25">
      <c r="A15362" s="2" t="str">
        <f t="shared" si="547"/>
        <v>33340</v>
      </c>
      <c r="B15362" s="2" t="str">
        <f>"53076"</f>
        <v>53076</v>
      </c>
      <c r="C15362" s="1">
        <v>1.92819843342036E-3</v>
      </c>
      <c r="D15362" s="1">
        <v>1.5586459452506601E-3</v>
      </c>
      <c r="E15362" s="1">
        <v>1.3147515119642299E-4</v>
      </c>
      <c r="F15362" s="1">
        <v>1.8216024815167599E-3</v>
      </c>
    </row>
    <row r="15363" spans="1:6" x14ac:dyDescent="0.25">
      <c r="A15363" s="2" t="str">
        <f t="shared" si="547"/>
        <v>33340</v>
      </c>
      <c r="B15363" s="2" t="str">
        <f>"53066"</f>
        <v>53066</v>
      </c>
      <c r="C15363" s="1">
        <v>2.2317232375979101E-2</v>
      </c>
      <c r="D15363" s="1">
        <v>1.8779413767534701E-2</v>
      </c>
      <c r="E15363" s="1">
        <v>1.4120431238495899E-2</v>
      </c>
      <c r="F15363" s="1">
        <v>2.16902862042056E-2</v>
      </c>
    </row>
    <row r="15364" spans="1:6" x14ac:dyDescent="0.25">
      <c r="A15364" s="2" t="str">
        <f t="shared" si="547"/>
        <v>33340</v>
      </c>
      <c r="B15364" s="2" t="str">
        <f>"53017"</f>
        <v>53017</v>
      </c>
      <c r="C15364" s="1">
        <v>2.8629242819843302E-3</v>
      </c>
      <c r="D15364" s="1">
        <v>3.93444607539003E-4</v>
      </c>
      <c r="E15364" s="1">
        <v>2.1036024191427801E-4</v>
      </c>
      <c r="F15364" s="1">
        <v>2.5594376822320698E-3</v>
      </c>
    </row>
    <row r="15365" spans="1:6" x14ac:dyDescent="0.25">
      <c r="A15365" s="2" t="str">
        <f t="shared" si="547"/>
        <v>33340</v>
      </c>
      <c r="B15365" s="2" t="str">
        <f>"53012"</f>
        <v>53012</v>
      </c>
      <c r="C15365" s="1">
        <v>1.09569190600522E-2</v>
      </c>
      <c r="D15365" s="1">
        <v>1.38310912034865E-2</v>
      </c>
      <c r="E15365" s="1">
        <v>8.8877202208782497E-3</v>
      </c>
      <c r="F15365" s="1">
        <v>1.1084767150933201E-2</v>
      </c>
    </row>
    <row r="15366" spans="1:6" x14ac:dyDescent="0.25">
      <c r="A15366" s="2" t="str">
        <f t="shared" si="547"/>
        <v>33340</v>
      </c>
      <c r="B15366" s="2" t="str">
        <f>"53278"</f>
        <v>53278</v>
      </c>
      <c r="C15366" s="1">
        <v>0</v>
      </c>
      <c r="D15366" s="1">
        <v>0</v>
      </c>
      <c r="E15366" s="1">
        <v>7.8885090717854304E-5</v>
      </c>
      <c r="F15366" s="1">
        <v>3.4478280407257399E-6</v>
      </c>
    </row>
    <row r="15367" spans="1:6" x14ac:dyDescent="0.25">
      <c r="A15367" s="2" t="str">
        <f t="shared" si="547"/>
        <v>33340</v>
      </c>
      <c r="B15367" s="2" t="str">
        <f>"53227"</f>
        <v>53227</v>
      </c>
      <c r="C15367" s="1">
        <v>1.5665796344647501E-2</v>
      </c>
      <c r="D15367" s="1">
        <v>1.6918118124177099E-2</v>
      </c>
      <c r="E15367" s="1">
        <v>2.19037601893242E-2</v>
      </c>
      <c r="F15367" s="1">
        <v>1.6033549665388201E-2</v>
      </c>
    </row>
    <row r="15368" spans="1:6" x14ac:dyDescent="0.25">
      <c r="A15368" s="2" t="str">
        <f t="shared" si="547"/>
        <v>33340</v>
      </c>
      <c r="B15368" s="2" t="str">
        <f>"53220"</f>
        <v>53220</v>
      </c>
      <c r="C15368" s="1">
        <v>1.6500000000000001E-2</v>
      </c>
      <c r="D15368" s="1">
        <v>1.1546085982779199E-2</v>
      </c>
      <c r="E15368" s="1">
        <v>2.7215356297659699E-2</v>
      </c>
      <c r="F15368" s="1">
        <v>1.65920978079858E-2</v>
      </c>
    </row>
    <row r="15369" spans="1:6" x14ac:dyDescent="0.25">
      <c r="A15369" s="2" t="str">
        <f t="shared" ref="A15369:A15400" si="548">"33340"</f>
        <v>33340</v>
      </c>
      <c r="B15369" s="2" t="str">
        <f>"53129"</f>
        <v>53129</v>
      </c>
      <c r="C15369" s="1">
        <v>8.3381201044386392E-3</v>
      </c>
      <c r="D15369" s="1">
        <v>5.3115022017765504E-3</v>
      </c>
      <c r="E15369" s="1">
        <v>8.5458848277675508E-3</v>
      </c>
      <c r="F15369" s="1">
        <v>8.1173364838819703E-3</v>
      </c>
    </row>
    <row r="15370" spans="1:6" x14ac:dyDescent="0.25">
      <c r="A15370" s="2" t="str">
        <f t="shared" si="548"/>
        <v>33340</v>
      </c>
      <c r="B15370" s="2" t="str">
        <f>"53122"</f>
        <v>53122</v>
      </c>
      <c r="C15370" s="1">
        <v>4.1906005221932097E-3</v>
      </c>
      <c r="D15370" s="1">
        <v>1.01236324016766E-2</v>
      </c>
      <c r="E15370" s="1">
        <v>3.9179595056534301E-3</v>
      </c>
      <c r="F15370" s="1">
        <v>4.6292837826811001E-3</v>
      </c>
    </row>
    <row r="15371" spans="1:6" x14ac:dyDescent="0.25">
      <c r="A15371" s="2" t="str">
        <f t="shared" si="548"/>
        <v>33340</v>
      </c>
      <c r="B15371" s="2" t="str">
        <f>"53208"</f>
        <v>53208</v>
      </c>
      <c r="C15371" s="1">
        <v>1.9883812010443799E-2</v>
      </c>
      <c r="D15371" s="1">
        <v>1.5692386846844101E-2</v>
      </c>
      <c r="E15371" s="1">
        <v>1.76965553510386E-2</v>
      </c>
      <c r="F15371" s="1">
        <v>1.9469884945978198E-2</v>
      </c>
    </row>
    <row r="15372" spans="1:6" x14ac:dyDescent="0.25">
      <c r="A15372" s="2" t="str">
        <f t="shared" si="548"/>
        <v>33340</v>
      </c>
      <c r="B15372" s="2" t="str">
        <f>"53206"</f>
        <v>53206</v>
      </c>
      <c r="C15372" s="1">
        <v>1.58368146214099E-2</v>
      </c>
      <c r="D15372" s="1">
        <v>9.17028585263986E-3</v>
      </c>
      <c r="E15372" s="1">
        <v>5.5745464107283703E-3</v>
      </c>
      <c r="F15372" s="1">
        <v>1.48819750997858E-2</v>
      </c>
    </row>
    <row r="15373" spans="1:6" x14ac:dyDescent="0.25">
      <c r="A15373" s="2" t="str">
        <f t="shared" si="548"/>
        <v>33340</v>
      </c>
      <c r="B15373" s="2" t="str">
        <f>"53204"</f>
        <v>53204</v>
      </c>
      <c r="C15373" s="1">
        <v>2.1494778067885099E-2</v>
      </c>
      <c r="D15373" s="1">
        <v>2.5452839610792401E-2</v>
      </c>
      <c r="E15373" s="1">
        <v>1.7565080199842199E-2</v>
      </c>
      <c r="F15373" s="1">
        <v>2.1623628195418201E-2</v>
      </c>
    </row>
    <row r="15374" spans="1:6" x14ac:dyDescent="0.25">
      <c r="A15374" s="2" t="str">
        <f t="shared" si="548"/>
        <v>33340</v>
      </c>
      <c r="B15374" s="2" t="str">
        <f>"53186"</f>
        <v>53186</v>
      </c>
      <c r="C15374" s="1">
        <v>2.04895561357702E-2</v>
      </c>
      <c r="D15374" s="1">
        <v>2.8131289439038702E-2</v>
      </c>
      <c r="E15374" s="1">
        <v>3.5919011306863001E-2</v>
      </c>
      <c r="F15374" s="1">
        <v>2.1744302176843599E-2</v>
      </c>
    </row>
    <row r="15375" spans="1:6" x14ac:dyDescent="0.25">
      <c r="A15375" s="2" t="str">
        <f t="shared" si="548"/>
        <v>33340</v>
      </c>
      <c r="B15375" s="2" t="str">
        <f>"53108"</f>
        <v>53108</v>
      </c>
      <c r="C15375" s="1">
        <v>9.1383812010443798E-6</v>
      </c>
      <c r="D15375" s="1">
        <v>0</v>
      </c>
      <c r="E15375" s="1">
        <v>0</v>
      </c>
      <c r="F15375" s="1">
        <v>8.0449320950267297E-6</v>
      </c>
    </row>
    <row r="15376" spans="1:6" x14ac:dyDescent="0.25">
      <c r="A15376" s="2" t="str">
        <f t="shared" si="548"/>
        <v>33340</v>
      </c>
      <c r="B15376" s="2" t="str">
        <f>"53110"</f>
        <v>53110</v>
      </c>
      <c r="C15376" s="1">
        <v>1.12271540469973E-2</v>
      </c>
      <c r="D15376" s="1">
        <v>8.4439265771832292E-3</v>
      </c>
      <c r="E15376" s="1">
        <v>1.3726005784906599E-2</v>
      </c>
      <c r="F15376" s="1">
        <v>1.11249918114084E-2</v>
      </c>
    </row>
    <row r="15377" spans="1:6" x14ac:dyDescent="0.25">
      <c r="A15377" s="2" t="str">
        <f t="shared" si="548"/>
        <v>33340</v>
      </c>
      <c r="B15377" s="2" t="str">
        <f>"53091"</f>
        <v>53091</v>
      </c>
      <c r="C15377" s="1">
        <v>2.7415143603133099E-5</v>
      </c>
      <c r="D15377" s="1">
        <v>0</v>
      </c>
      <c r="E15377" s="1">
        <v>0</v>
      </c>
      <c r="F15377" s="1">
        <v>2.4134796285080201E-5</v>
      </c>
    </row>
    <row r="15378" spans="1:6" x14ac:dyDescent="0.25">
      <c r="A15378" s="2" t="str">
        <f t="shared" si="548"/>
        <v>33340</v>
      </c>
      <c r="B15378" s="2" t="str">
        <f>"53036"</f>
        <v>53036</v>
      </c>
      <c r="C15378" s="1">
        <v>2.4804177545691899E-5</v>
      </c>
      <c r="D15378" s="1">
        <v>0</v>
      </c>
      <c r="E15378" s="1">
        <v>0</v>
      </c>
      <c r="F15378" s="1">
        <v>2.1836244257929701E-5</v>
      </c>
    </row>
    <row r="15379" spans="1:6" x14ac:dyDescent="0.25">
      <c r="A15379" s="2" t="str">
        <f t="shared" si="548"/>
        <v>33340</v>
      </c>
      <c r="B15379" s="2" t="str">
        <f>"53029"</f>
        <v>53029</v>
      </c>
      <c r="C15379" s="1">
        <v>1.16579634464751E-2</v>
      </c>
      <c r="D15379" s="1">
        <v>1.0002572522433899E-2</v>
      </c>
      <c r="E15379" s="1">
        <v>9.2558506442282397E-3</v>
      </c>
      <c r="F15379" s="1">
        <v>1.14272514029786E-2</v>
      </c>
    </row>
    <row r="15380" spans="1:6" x14ac:dyDescent="0.25">
      <c r="A15380" s="2" t="str">
        <f t="shared" si="548"/>
        <v>33340</v>
      </c>
      <c r="B15380" s="2" t="str">
        <f>"53069"</f>
        <v>53069</v>
      </c>
      <c r="C15380" s="1">
        <v>6.0835509138381196E-4</v>
      </c>
      <c r="D15380" s="1">
        <v>6.5069685092989098E-4</v>
      </c>
      <c r="E15380" s="1">
        <v>3.41835393110702E-4</v>
      </c>
      <c r="F15380" s="1">
        <v>5.99922079086279E-4</v>
      </c>
    </row>
    <row r="15381" spans="1:6" x14ac:dyDescent="0.25">
      <c r="A15381" s="2" t="str">
        <f t="shared" si="548"/>
        <v>33340</v>
      </c>
      <c r="B15381" s="2" t="str">
        <f>"53056"</f>
        <v>53056</v>
      </c>
      <c r="C15381" s="1">
        <v>8.3550913838120096E-5</v>
      </c>
      <c r="D15381" s="1">
        <v>0</v>
      </c>
      <c r="E15381" s="1">
        <v>2.62950302392847E-5</v>
      </c>
      <c r="F15381" s="1">
        <v>7.47029408823911E-5</v>
      </c>
    </row>
    <row r="15382" spans="1:6" x14ac:dyDescent="0.25">
      <c r="A15382" s="2" t="str">
        <f t="shared" si="548"/>
        <v>33340</v>
      </c>
      <c r="B15382" s="2" t="str">
        <f>"53052"</f>
        <v>53052</v>
      </c>
      <c r="C15382" s="1">
        <v>5.1697127937336805E-4</v>
      </c>
      <c r="D15382" s="1">
        <v>4.7062028055627004E-3</v>
      </c>
      <c r="E15382" s="1">
        <v>5.2590060478569502E-5</v>
      </c>
      <c r="F15382" s="1">
        <v>8.1483669362485101E-4</v>
      </c>
    </row>
    <row r="15383" spans="1:6" x14ac:dyDescent="0.25">
      <c r="A15383" s="2" t="str">
        <f t="shared" si="548"/>
        <v>33340</v>
      </c>
      <c r="B15383" s="2" t="str">
        <f>"53051"</f>
        <v>53051</v>
      </c>
      <c r="C15383" s="1">
        <v>3.7134464751958203E-2</v>
      </c>
      <c r="D15383" s="1">
        <v>3.6333096257736397E-2</v>
      </c>
      <c r="E15383" s="1">
        <v>2.4007362608466899E-2</v>
      </c>
      <c r="F15383" s="1">
        <v>3.6499856915136297E-2</v>
      </c>
    </row>
    <row r="15384" spans="1:6" x14ac:dyDescent="0.25">
      <c r="A15384" s="2" t="str">
        <f t="shared" si="548"/>
        <v>33340</v>
      </c>
      <c r="B15384" s="2" t="str">
        <f>"53022"</f>
        <v>53022</v>
      </c>
      <c r="C15384" s="1">
        <v>1.9041775456919E-2</v>
      </c>
      <c r="D15384" s="1">
        <v>2.16848508693612E-2</v>
      </c>
      <c r="E15384" s="1">
        <v>1.79858006836707E-2</v>
      </c>
      <c r="F15384" s="1">
        <v>1.91963572547473E-2</v>
      </c>
    </row>
    <row r="15385" spans="1:6" x14ac:dyDescent="0.25">
      <c r="A15385" s="2" t="str">
        <f t="shared" si="548"/>
        <v>33340</v>
      </c>
      <c r="B15385" s="2" t="str">
        <f>"53013"</f>
        <v>53013</v>
      </c>
      <c r="C15385" s="1">
        <v>2.5848563968668402E-4</v>
      </c>
      <c r="D15385" s="1">
        <v>0</v>
      </c>
      <c r="E15385" s="1">
        <v>0</v>
      </c>
      <c r="F15385" s="1">
        <v>2.27556650687899E-4</v>
      </c>
    </row>
    <row r="15386" spans="1:6" x14ac:dyDescent="0.25">
      <c r="A15386" s="2" t="str">
        <f t="shared" si="548"/>
        <v>33340</v>
      </c>
      <c r="B15386" s="2" t="str">
        <f>"53024"</f>
        <v>53024</v>
      </c>
      <c r="C15386" s="1">
        <v>1.1331592689294999E-2</v>
      </c>
      <c r="D15386" s="1">
        <v>1.0955919071470701E-2</v>
      </c>
      <c r="E15386" s="1">
        <v>1.24375493031816E-2</v>
      </c>
      <c r="F15386" s="1">
        <v>1.1351399186082699E-2</v>
      </c>
    </row>
    <row r="15387" spans="1:6" x14ac:dyDescent="0.25">
      <c r="A15387" s="2" t="str">
        <f t="shared" si="548"/>
        <v>33340</v>
      </c>
      <c r="B15387" s="2" t="str">
        <f>"53274"</f>
        <v>53274</v>
      </c>
      <c r="C15387" s="1">
        <v>0</v>
      </c>
      <c r="D15387" s="1">
        <v>1.5132484905346299E-5</v>
      </c>
      <c r="E15387" s="1">
        <v>0</v>
      </c>
      <c r="F15387" s="1">
        <v>1.1492760135752401E-6</v>
      </c>
    </row>
    <row r="15388" spans="1:6" x14ac:dyDescent="0.25">
      <c r="A15388" s="2" t="str">
        <f t="shared" si="548"/>
        <v>33340</v>
      </c>
      <c r="B15388" s="2" t="str">
        <f>"53237"</f>
        <v>53237</v>
      </c>
      <c r="C15388" s="1">
        <v>9.90861618798955E-4</v>
      </c>
      <c r="D15388" s="1">
        <v>2.3455351603286702E-3</v>
      </c>
      <c r="E15388" s="1">
        <v>5.2590060478569502E-5</v>
      </c>
      <c r="F15388" s="1">
        <v>1.0527368284349199E-3</v>
      </c>
    </row>
    <row r="15389" spans="1:6" x14ac:dyDescent="0.25">
      <c r="A15389" s="2" t="str">
        <f t="shared" si="548"/>
        <v>33340</v>
      </c>
      <c r="B15389" s="2" t="str">
        <f>"53146"</f>
        <v>53146</v>
      </c>
      <c r="C15389" s="1">
        <v>3.9569190600522103E-3</v>
      </c>
      <c r="D15389" s="1">
        <v>2.2850052207072898E-3</v>
      </c>
      <c r="E15389" s="1">
        <v>3.41835393110702E-4</v>
      </c>
      <c r="F15389" s="1">
        <v>3.6719368633729098E-3</v>
      </c>
    </row>
    <row r="15390" spans="1:6" x14ac:dyDescent="0.25">
      <c r="A15390" s="2" t="str">
        <f t="shared" si="548"/>
        <v>33340</v>
      </c>
      <c r="B15390" s="2" t="str">
        <f>"53103"</f>
        <v>53103</v>
      </c>
      <c r="C15390" s="1">
        <v>2.0248041775456898E-3</v>
      </c>
      <c r="D15390" s="1">
        <v>2.8903046169211398E-3</v>
      </c>
      <c r="E15390" s="1">
        <v>3.41835393110702E-4</v>
      </c>
      <c r="F15390" s="1">
        <v>2.0169794038245601E-3</v>
      </c>
    </row>
    <row r="15391" spans="1:6" x14ac:dyDescent="0.25">
      <c r="A15391" s="2" t="str">
        <f t="shared" si="548"/>
        <v>33340</v>
      </c>
      <c r="B15391" s="2" t="str">
        <f>"53075"</f>
        <v>53075</v>
      </c>
      <c r="C15391" s="1">
        <v>9.7911227154046907E-5</v>
      </c>
      <c r="D15391" s="1">
        <v>6.0529939621385198E-5</v>
      </c>
      <c r="E15391" s="1">
        <v>1.3147515119642299E-4</v>
      </c>
      <c r="F15391" s="1">
        <v>9.6539185140320804E-5</v>
      </c>
    </row>
    <row r="15392" spans="1:6" x14ac:dyDescent="0.25">
      <c r="A15392" s="2" t="str">
        <f t="shared" si="548"/>
        <v>33340</v>
      </c>
      <c r="B15392" s="2" t="str">
        <f>"53040"</f>
        <v>53040</v>
      </c>
      <c r="C15392" s="1">
        <v>4.3394255874673604E-3</v>
      </c>
      <c r="D15392" s="1">
        <v>1.96722303769501E-3</v>
      </c>
      <c r="E15392" s="1">
        <v>3.7864843544569999E-3</v>
      </c>
      <c r="F15392" s="1">
        <v>4.1350950968437397E-3</v>
      </c>
    </row>
    <row r="15393" spans="1:6" x14ac:dyDescent="0.25">
      <c r="A15393" s="2" t="str">
        <f t="shared" si="548"/>
        <v>33340</v>
      </c>
      <c r="B15393" s="2" t="str">
        <f>"53033"</f>
        <v>53033</v>
      </c>
      <c r="C15393" s="1">
        <v>2.9908616187989501E-3</v>
      </c>
      <c r="D15393" s="1">
        <v>1.31652618676512E-3</v>
      </c>
      <c r="E15393" s="1">
        <v>8.1514593741782802E-4</v>
      </c>
      <c r="F15393" s="1">
        <v>2.7686059167027701E-3</v>
      </c>
    </row>
    <row r="15394" spans="1:6" x14ac:dyDescent="0.25">
      <c r="A15394" s="2" t="str">
        <f t="shared" si="548"/>
        <v>33340</v>
      </c>
      <c r="B15394" s="2" t="str">
        <f>"53064"</f>
        <v>53064</v>
      </c>
      <c r="C15394" s="1">
        <v>0</v>
      </c>
      <c r="D15394" s="1">
        <v>0</v>
      </c>
      <c r="E15394" s="1">
        <v>2.62950302392847E-5</v>
      </c>
      <c r="F15394" s="1">
        <v>1.1492760135752401E-6</v>
      </c>
    </row>
    <row r="15395" spans="1:6" x14ac:dyDescent="0.25">
      <c r="A15395" s="2" t="str">
        <f t="shared" si="548"/>
        <v>33340</v>
      </c>
      <c r="B15395" s="2" t="str">
        <f>"53010"</f>
        <v>53010</v>
      </c>
      <c r="C15395" s="1">
        <v>1.38381201044386E-4</v>
      </c>
      <c r="D15395" s="1">
        <v>6.0529939621385198E-5</v>
      </c>
      <c r="E15395" s="1">
        <v>0</v>
      </c>
      <c r="F15395" s="1">
        <v>1.2642036149327699E-4</v>
      </c>
    </row>
    <row r="15396" spans="1:6" x14ac:dyDescent="0.25">
      <c r="A15396" s="2" t="str">
        <f t="shared" si="548"/>
        <v>33340</v>
      </c>
      <c r="B15396" s="2" t="str">
        <f>"53007"</f>
        <v>53007</v>
      </c>
      <c r="C15396" s="1">
        <v>1.44386422976501E-3</v>
      </c>
      <c r="D15396" s="1">
        <v>7.7024348168212697E-3</v>
      </c>
      <c r="E15396" s="1">
        <v>1.73547199579279E-3</v>
      </c>
      <c r="F15396" s="1">
        <v>1.93193297881999E-3</v>
      </c>
    </row>
    <row r="15397" spans="1:6" x14ac:dyDescent="0.25">
      <c r="A15397" s="2" t="str">
        <f t="shared" si="548"/>
        <v>33340</v>
      </c>
      <c r="B15397" s="2" t="str">
        <f>"53005"</f>
        <v>53005</v>
      </c>
      <c r="C15397" s="1">
        <v>1.1167101827676201E-2</v>
      </c>
      <c r="D15397" s="1">
        <v>2.8388541682429599E-2</v>
      </c>
      <c r="E15397" s="1">
        <v>1.3594530633710199E-2</v>
      </c>
      <c r="F15397" s="1">
        <v>1.25811245206082E-2</v>
      </c>
    </row>
    <row r="15398" spans="1:6" x14ac:dyDescent="0.25">
      <c r="A15398" s="2" t="str">
        <f t="shared" si="548"/>
        <v>33340</v>
      </c>
      <c r="B15398" s="2" t="str">
        <f>"53225"</f>
        <v>53225</v>
      </c>
      <c r="C15398" s="1">
        <v>1.5074412532636999E-2</v>
      </c>
      <c r="D15398" s="1">
        <v>1.0940786586565301E-2</v>
      </c>
      <c r="E15398" s="1">
        <v>3.3342098343413E-2</v>
      </c>
      <c r="F15398" s="1">
        <v>1.55588986717817E-2</v>
      </c>
    </row>
    <row r="15399" spans="1:6" x14ac:dyDescent="0.25">
      <c r="A15399" s="2" t="str">
        <f t="shared" si="548"/>
        <v>33340</v>
      </c>
      <c r="B15399" s="2" t="str">
        <f>"53127"</f>
        <v>53127</v>
      </c>
      <c r="C15399" s="1">
        <v>5.2219321148824997E-5</v>
      </c>
      <c r="D15399" s="1">
        <v>1.9672230376950101E-4</v>
      </c>
      <c r="E15399" s="1">
        <v>1.05180120957139E-4</v>
      </c>
      <c r="F15399" s="1">
        <v>6.55087327737891E-5</v>
      </c>
    </row>
    <row r="15400" spans="1:6" x14ac:dyDescent="0.25">
      <c r="A15400" s="2" t="str">
        <f t="shared" si="548"/>
        <v>33340</v>
      </c>
      <c r="B15400" s="2" t="str">
        <f>"53130"</f>
        <v>53130</v>
      </c>
      <c r="C15400" s="1">
        <v>5.3028720626631803E-3</v>
      </c>
      <c r="D15400" s="1">
        <v>8.8071062149115507E-3</v>
      </c>
      <c r="E15400" s="1">
        <v>7.1522482250854502E-3</v>
      </c>
      <c r="F15400" s="1">
        <v>5.6498408827359197E-3</v>
      </c>
    </row>
    <row r="15401" spans="1:6" x14ac:dyDescent="0.25">
      <c r="A15401" s="2" t="str">
        <f t="shared" ref="A15401:A15407" si="549">"33340"</f>
        <v>33340</v>
      </c>
      <c r="B15401" s="2" t="str">
        <f>"53207"</f>
        <v>53207</v>
      </c>
      <c r="C15401" s="1">
        <v>2.3617493472584801E-2</v>
      </c>
      <c r="D15401" s="1">
        <v>2.38941936655418E-2</v>
      </c>
      <c r="E15401" s="1">
        <v>1.5803313173810101E-2</v>
      </c>
      <c r="F15401" s="1">
        <v>2.32969740711838E-2</v>
      </c>
    </row>
    <row r="15402" spans="1:6" x14ac:dyDescent="0.25">
      <c r="A15402" s="2" t="str">
        <f t="shared" si="549"/>
        <v>33340</v>
      </c>
      <c r="B15402" s="2" t="str">
        <f>"53185"</f>
        <v>53185</v>
      </c>
      <c r="C15402" s="1">
        <v>9.1383812010443798E-6</v>
      </c>
      <c r="D15402" s="1">
        <v>0</v>
      </c>
      <c r="E15402" s="1">
        <v>0</v>
      </c>
      <c r="F15402" s="1">
        <v>8.0449320950267297E-6</v>
      </c>
    </row>
    <row r="15403" spans="1:6" x14ac:dyDescent="0.25">
      <c r="A15403" s="2" t="str">
        <f t="shared" si="549"/>
        <v>33340</v>
      </c>
      <c r="B15403" s="2" t="str">
        <f>"53183"</f>
        <v>53183</v>
      </c>
      <c r="C15403" s="1">
        <v>1.6827676240208801E-3</v>
      </c>
      <c r="D15403" s="1">
        <v>2.0277529773164E-3</v>
      </c>
      <c r="E15403" s="1">
        <v>1.07809623981067E-3</v>
      </c>
      <c r="F15403" s="1">
        <v>1.68254008387416E-3</v>
      </c>
    </row>
    <row r="15404" spans="1:6" x14ac:dyDescent="0.25">
      <c r="A15404" s="2" t="str">
        <f t="shared" si="549"/>
        <v>33340</v>
      </c>
      <c r="B15404" s="2" t="str">
        <f>"53149"</f>
        <v>53149</v>
      </c>
      <c r="C15404" s="1">
        <v>9.7467362924281899E-3</v>
      </c>
      <c r="D15404" s="1">
        <v>6.6734258432577199E-3</v>
      </c>
      <c r="E15404" s="1">
        <v>7.0207730738890304E-3</v>
      </c>
      <c r="F15404" s="1">
        <v>9.3941821349640704E-3</v>
      </c>
    </row>
    <row r="15405" spans="1:6" x14ac:dyDescent="0.25">
      <c r="A15405" s="2" t="str">
        <f t="shared" si="549"/>
        <v>33340</v>
      </c>
      <c r="B15405" s="2" t="str">
        <f>"53092"</f>
        <v>53092</v>
      </c>
      <c r="C15405" s="1">
        <v>1.25678851174934E-2</v>
      </c>
      <c r="D15405" s="1">
        <v>2.47718777900519E-2</v>
      </c>
      <c r="E15405" s="1">
        <v>1.01498816723639E-2</v>
      </c>
      <c r="F15405" s="1">
        <v>1.33890655581516E-2</v>
      </c>
    </row>
    <row r="15406" spans="1:6" x14ac:dyDescent="0.25">
      <c r="A15406" s="2" t="str">
        <f t="shared" si="549"/>
        <v>33340</v>
      </c>
      <c r="B15406" s="2" t="str">
        <f>"53046"</f>
        <v>53046</v>
      </c>
      <c r="C15406" s="1">
        <v>8.1070496083550901E-4</v>
      </c>
      <c r="D15406" s="1">
        <v>1.37705612638651E-3</v>
      </c>
      <c r="E15406" s="1">
        <v>3.41835393110702E-4</v>
      </c>
      <c r="F15406" s="1">
        <v>8.3322510984205401E-4</v>
      </c>
    </row>
    <row r="15407" spans="1:6" x14ac:dyDescent="0.25">
      <c r="A15407" s="2" t="str">
        <f t="shared" si="549"/>
        <v>33340</v>
      </c>
      <c r="B15407" s="2" t="str">
        <f>"53058"</f>
        <v>53058</v>
      </c>
      <c r="C15407" s="1">
        <v>1.95300261096605E-3</v>
      </c>
      <c r="D15407" s="1">
        <v>4.5397454716038899E-4</v>
      </c>
      <c r="E15407" s="1">
        <v>3.6287141730212899E-3</v>
      </c>
      <c r="F15407" s="1">
        <v>1.9123952865892099E-3</v>
      </c>
    </row>
    <row r="15408" spans="1:6" x14ac:dyDescent="0.25">
      <c r="A15408" s="2" t="str">
        <f t="shared" ref="A15408:A15448" si="550">"11540"</f>
        <v>11540</v>
      </c>
      <c r="B15408" s="2" t="str">
        <f>"54113"</f>
        <v>54113</v>
      </c>
      <c r="C15408" s="1">
        <v>1.3485932284215499E-2</v>
      </c>
      <c r="D15408" s="1">
        <v>1.6021972991531199E-3</v>
      </c>
      <c r="E15408" s="1">
        <v>1.5868817773075901E-3</v>
      </c>
      <c r="F15408" s="1">
        <v>1.2217876952176399E-2</v>
      </c>
    </row>
    <row r="15409" spans="1:6" x14ac:dyDescent="0.25">
      <c r="A15409" s="2" t="str">
        <f t="shared" si="550"/>
        <v>11540</v>
      </c>
      <c r="B15409" s="2" t="str">
        <f>"54110"</f>
        <v>54110</v>
      </c>
      <c r="C15409" s="1">
        <v>1.9589890319503998E-2</v>
      </c>
      <c r="D15409" s="1">
        <v>1.8425268940260899E-2</v>
      </c>
      <c r="E15409" s="1">
        <v>2.01005025125628E-2</v>
      </c>
      <c r="F15409" s="1">
        <v>1.95196346565106E-2</v>
      </c>
    </row>
    <row r="15410" spans="1:6" x14ac:dyDescent="0.25">
      <c r="A15410" s="2" t="str">
        <f t="shared" si="550"/>
        <v>11540</v>
      </c>
      <c r="B15410" s="2" t="str">
        <f>"53062"</f>
        <v>53062</v>
      </c>
      <c r="C15410" s="1">
        <v>0</v>
      </c>
      <c r="D15410" s="1">
        <v>1.14442664225223E-4</v>
      </c>
      <c r="E15410" s="1">
        <v>0</v>
      </c>
      <c r="F15410" s="1">
        <v>8.5201373446139904E-6</v>
      </c>
    </row>
    <row r="15411" spans="1:6" x14ac:dyDescent="0.25">
      <c r="A15411" s="2" t="str">
        <f t="shared" si="550"/>
        <v>11540</v>
      </c>
      <c r="B15411" s="2" t="str">
        <f>"54169"</f>
        <v>54169</v>
      </c>
      <c r="C15411" s="1">
        <v>1.18931807343824E-2</v>
      </c>
      <c r="D15411" s="1">
        <v>3.7766079194323601E-3</v>
      </c>
      <c r="E15411" s="1">
        <v>3.4382438508331098E-3</v>
      </c>
      <c r="F15411" s="1">
        <v>1.1016537586585801E-2</v>
      </c>
    </row>
    <row r="15412" spans="1:6" x14ac:dyDescent="0.25">
      <c r="A15412" s="2" t="str">
        <f t="shared" si="550"/>
        <v>11540</v>
      </c>
      <c r="B15412" s="2" t="str">
        <f>"54129"</f>
        <v>54129</v>
      </c>
      <c r="C15412" s="1">
        <v>1.47257987601335E-2</v>
      </c>
      <c r="D15412" s="1">
        <v>6.06546120393682E-3</v>
      </c>
      <c r="E15412" s="1">
        <v>4.4961650357048296E-3</v>
      </c>
      <c r="F15412" s="1">
        <v>1.37515016742069E-2</v>
      </c>
    </row>
    <row r="15413" spans="1:6" x14ac:dyDescent="0.25">
      <c r="A15413" s="2" t="str">
        <f t="shared" si="550"/>
        <v>11540</v>
      </c>
      <c r="B15413" s="2" t="str">
        <f>"54130"</f>
        <v>54130</v>
      </c>
      <c r="C15413" s="1">
        <v>0.109375298044825</v>
      </c>
      <c r="D15413" s="1">
        <v>9.9565117875944104E-2</v>
      </c>
      <c r="E15413" s="1">
        <v>9.3097064268711893E-2</v>
      </c>
      <c r="F15413" s="1">
        <v>0.108120542903151</v>
      </c>
    </row>
    <row r="15414" spans="1:6" x14ac:dyDescent="0.25">
      <c r="A15414" s="2" t="str">
        <f t="shared" si="550"/>
        <v>11540</v>
      </c>
      <c r="B15414" s="2" t="str">
        <f>"54115"</f>
        <v>54115</v>
      </c>
      <c r="C15414" s="1">
        <v>6.7811158798283203E-3</v>
      </c>
      <c r="D15414" s="1">
        <v>1.71663996337834E-3</v>
      </c>
      <c r="E15414" s="1">
        <v>5.2896059243586304E-4</v>
      </c>
      <c r="F15414" s="1">
        <v>6.2026599868789797E-3</v>
      </c>
    </row>
    <row r="15415" spans="1:6" x14ac:dyDescent="0.25">
      <c r="A15415" s="2" t="str">
        <f t="shared" si="550"/>
        <v>11540</v>
      </c>
      <c r="B15415" s="2" t="str">
        <f>"54106"</f>
        <v>54106</v>
      </c>
      <c r="C15415" s="1">
        <v>1.7749165474487301E-2</v>
      </c>
      <c r="D15415" s="1">
        <v>5.8365758754863797E-3</v>
      </c>
      <c r="E15415" s="1">
        <v>7.4054482941020797E-3</v>
      </c>
      <c r="F15415" s="1">
        <v>1.6529066448551101E-2</v>
      </c>
    </row>
    <row r="15416" spans="1:6" x14ac:dyDescent="0.25">
      <c r="A15416" s="2" t="str">
        <f t="shared" si="550"/>
        <v>11540</v>
      </c>
      <c r="B15416" s="2" t="str">
        <f>"53014"</f>
        <v>53014</v>
      </c>
      <c r="C15416" s="1">
        <v>3.40772532188841E-2</v>
      </c>
      <c r="D15416" s="1">
        <v>2.8267338063630101E-2</v>
      </c>
      <c r="E15416" s="1">
        <v>2.27453054747421E-2</v>
      </c>
      <c r="F15416" s="1">
        <v>3.3279656468062198E-2</v>
      </c>
    </row>
    <row r="15417" spans="1:6" x14ac:dyDescent="0.25">
      <c r="A15417" s="2" t="str">
        <f t="shared" si="550"/>
        <v>11540</v>
      </c>
      <c r="B15417" s="2" t="str">
        <f>"54961"</f>
        <v>54961</v>
      </c>
      <c r="C15417" s="1">
        <v>1.33619456366237E-2</v>
      </c>
      <c r="D15417" s="1">
        <v>8.9265278095673993E-3</v>
      </c>
      <c r="E15417" s="1">
        <v>1.45464162919862E-2</v>
      </c>
      <c r="F15417" s="1">
        <v>1.3069890686637799E-2</v>
      </c>
    </row>
    <row r="15418" spans="1:6" x14ac:dyDescent="0.25">
      <c r="A15418" s="2" t="str">
        <f t="shared" si="550"/>
        <v>11540</v>
      </c>
      <c r="B15418" s="2" t="str">
        <f>"54912"</f>
        <v>54912</v>
      </c>
      <c r="C15418" s="1">
        <v>9.9761564139246497E-3</v>
      </c>
      <c r="D15418" s="1">
        <v>8.0682078278782293E-2</v>
      </c>
      <c r="E15418" s="1">
        <v>1.05792118487172E-3</v>
      </c>
      <c r="F15418" s="1">
        <v>1.49528410397975E-2</v>
      </c>
    </row>
    <row r="15419" spans="1:6" x14ac:dyDescent="0.25">
      <c r="A15419" s="2" t="str">
        <f t="shared" si="550"/>
        <v>11540</v>
      </c>
      <c r="B15419" s="2" t="str">
        <f>"54919"</f>
        <v>54919</v>
      </c>
      <c r="C15419" s="1">
        <v>0</v>
      </c>
      <c r="D15419" s="1">
        <v>1.14442664225223E-4</v>
      </c>
      <c r="E15419" s="1">
        <v>0</v>
      </c>
      <c r="F15419" s="1">
        <v>8.5201373446139904E-6</v>
      </c>
    </row>
    <row r="15420" spans="1:6" x14ac:dyDescent="0.25">
      <c r="A15420" s="2" t="str">
        <f t="shared" si="550"/>
        <v>11540</v>
      </c>
      <c r="B15420" s="2" t="str">
        <f>"54313"</f>
        <v>54313</v>
      </c>
      <c r="C15420" s="1">
        <v>1.1444921316165899E-4</v>
      </c>
      <c r="D15420" s="1">
        <v>0</v>
      </c>
      <c r="E15420" s="1">
        <v>0</v>
      </c>
      <c r="F15420" s="1">
        <v>1.02241648135367E-4</v>
      </c>
    </row>
    <row r="15421" spans="1:6" x14ac:dyDescent="0.25">
      <c r="A15421" s="2" t="str">
        <f t="shared" si="550"/>
        <v>11540</v>
      </c>
      <c r="B15421" s="2" t="str">
        <f>"54136"</f>
        <v>54136</v>
      </c>
      <c r="C15421" s="1">
        <v>2.9241773962803998E-2</v>
      </c>
      <c r="D15421" s="1">
        <v>2.3346303501945501E-2</v>
      </c>
      <c r="E15421" s="1">
        <v>2.3538746363395899E-2</v>
      </c>
      <c r="F15421" s="1">
        <v>2.8619141340558402E-2</v>
      </c>
    </row>
    <row r="15422" spans="1:6" x14ac:dyDescent="0.25">
      <c r="A15422" s="2" t="str">
        <f t="shared" si="550"/>
        <v>11540</v>
      </c>
      <c r="B15422" s="2" t="str">
        <f>"54107"</f>
        <v>54107</v>
      </c>
      <c r="C15422" s="1">
        <v>2.3843586075345701E-4</v>
      </c>
      <c r="D15422" s="1">
        <v>0</v>
      </c>
      <c r="E15422" s="1">
        <v>0</v>
      </c>
      <c r="F15422" s="1">
        <v>2.13003433615349E-4</v>
      </c>
    </row>
    <row r="15423" spans="1:6" x14ac:dyDescent="0.25">
      <c r="A15423" s="2" t="str">
        <f t="shared" si="550"/>
        <v>11540</v>
      </c>
      <c r="B15423" s="2" t="str">
        <f>"53042"</f>
        <v>53042</v>
      </c>
      <c r="C15423" s="1">
        <v>3.0329041487839698E-3</v>
      </c>
      <c r="D15423" s="1">
        <v>3.2043945983062398E-3</v>
      </c>
      <c r="E15423" s="1">
        <v>5.2896059243586304E-4</v>
      </c>
      <c r="F15423" s="1">
        <v>2.96500779592567E-3</v>
      </c>
    </row>
    <row r="15424" spans="1:6" x14ac:dyDescent="0.25">
      <c r="A15424" s="2" t="str">
        <f t="shared" si="550"/>
        <v>11540</v>
      </c>
      <c r="B15424" s="2" t="str">
        <f>"54956"</f>
        <v>54956</v>
      </c>
      <c r="C15424" s="1">
        <v>5.1502145922746698E-4</v>
      </c>
      <c r="D15424" s="1">
        <v>2.28885328450446E-4</v>
      </c>
      <c r="E15424" s="1">
        <v>0</v>
      </c>
      <c r="F15424" s="1">
        <v>4.77127691298383E-4</v>
      </c>
    </row>
    <row r="15425" spans="1:6" x14ac:dyDescent="0.25">
      <c r="A15425" s="2" t="str">
        <f t="shared" si="550"/>
        <v>11540</v>
      </c>
      <c r="B15425" s="2" t="str">
        <f>"54952"</f>
        <v>54952</v>
      </c>
      <c r="C15425" s="1">
        <v>2.5512637100619899E-2</v>
      </c>
      <c r="D15425" s="1">
        <v>8.12542915999084E-3</v>
      </c>
      <c r="E15425" s="1">
        <v>1.9836022216344801E-2</v>
      </c>
      <c r="F15425" s="1">
        <v>2.4035307449155999E-2</v>
      </c>
    </row>
    <row r="15426" spans="1:6" x14ac:dyDescent="0.25">
      <c r="A15426" s="2" t="str">
        <f t="shared" si="550"/>
        <v>11540</v>
      </c>
      <c r="B15426" s="2" t="str">
        <f>"54911"</f>
        <v>54911</v>
      </c>
      <c r="C15426" s="1">
        <v>0.128946113495469</v>
      </c>
      <c r="D15426" s="1">
        <v>0.17544060425726701</v>
      </c>
      <c r="E15426" s="1">
        <v>0.16291986247024501</v>
      </c>
      <c r="F15426" s="1">
        <v>0.13350203205275599</v>
      </c>
    </row>
    <row r="15427" spans="1:6" x14ac:dyDescent="0.25">
      <c r="A15427" s="2" t="str">
        <f t="shared" si="550"/>
        <v>11540</v>
      </c>
      <c r="B15427" s="2" t="str">
        <f>"54931"</f>
        <v>54931</v>
      </c>
      <c r="C15427" s="1">
        <v>3.8149737720553098E-4</v>
      </c>
      <c r="D15427" s="1">
        <v>0</v>
      </c>
      <c r="E15427" s="1">
        <v>1.05792118487172E-3</v>
      </c>
      <c r="F15427" s="1">
        <v>3.7488604316301499E-4</v>
      </c>
    </row>
    <row r="15428" spans="1:6" x14ac:dyDescent="0.25">
      <c r="A15428" s="2" t="str">
        <f t="shared" si="550"/>
        <v>11540</v>
      </c>
      <c r="B15428" s="2" t="str">
        <f>"54922"</f>
        <v>54922</v>
      </c>
      <c r="C15428" s="1">
        <v>3.4525512637100602E-3</v>
      </c>
      <c r="D15428" s="1">
        <v>1.6021972991531199E-3</v>
      </c>
      <c r="E15428" s="1">
        <v>1.5868817773075901E-3</v>
      </c>
      <c r="F15428" s="1">
        <v>3.2546924656425402E-3</v>
      </c>
    </row>
    <row r="15429" spans="1:6" x14ac:dyDescent="0.25">
      <c r="A15429" s="2" t="str">
        <f t="shared" si="550"/>
        <v>11540</v>
      </c>
      <c r="B15429" s="2" t="str">
        <f>"54915"</f>
        <v>54915</v>
      </c>
      <c r="C15429" s="1">
        <v>0.14950882212684699</v>
      </c>
      <c r="D15429" s="1">
        <v>8.0109864957656193E-2</v>
      </c>
      <c r="E15429" s="1">
        <v>0.16080402010050199</v>
      </c>
      <c r="F15429" s="1">
        <v>0.144706012660924</v>
      </c>
    </row>
    <row r="15430" spans="1:6" x14ac:dyDescent="0.25">
      <c r="A15430" s="2" t="str">
        <f t="shared" si="550"/>
        <v>11540</v>
      </c>
      <c r="B15430" s="2" t="str">
        <f>"54170"</f>
        <v>54170</v>
      </c>
      <c r="C15430" s="1">
        <v>1.4763948497854E-2</v>
      </c>
      <c r="D15430" s="1">
        <v>2.9755092698557999E-3</v>
      </c>
      <c r="E15430" s="1">
        <v>2.38032266596138E-3</v>
      </c>
      <c r="F15430" s="1">
        <v>1.34873774165239E-2</v>
      </c>
    </row>
    <row r="15431" spans="1:6" x14ac:dyDescent="0.25">
      <c r="A15431" s="2" t="str">
        <f t="shared" si="550"/>
        <v>11540</v>
      </c>
      <c r="B15431" s="2" t="str">
        <f>"53088"</f>
        <v>53088</v>
      </c>
      <c r="C15431" s="1">
        <v>7.5345731998092502E-4</v>
      </c>
      <c r="D15431" s="1">
        <v>0</v>
      </c>
      <c r="E15431" s="1">
        <v>7.9344088865379505E-4</v>
      </c>
      <c r="F15431" s="1">
        <v>6.9865126225834699E-4</v>
      </c>
    </row>
    <row r="15432" spans="1:6" x14ac:dyDescent="0.25">
      <c r="A15432" s="2" t="str">
        <f t="shared" si="550"/>
        <v>11540</v>
      </c>
      <c r="B15432" s="2" t="str">
        <f>"53061"</f>
        <v>53061</v>
      </c>
      <c r="C15432" s="1">
        <v>2.2002861230329001E-2</v>
      </c>
      <c r="D15432" s="1">
        <v>1.7395284962233901E-2</v>
      </c>
      <c r="E15432" s="1">
        <v>1.6133298069293801E-2</v>
      </c>
      <c r="F15432" s="1">
        <v>2.14707461084272E-2</v>
      </c>
    </row>
    <row r="15433" spans="1:6" x14ac:dyDescent="0.25">
      <c r="A15433" s="2" t="str">
        <f t="shared" si="550"/>
        <v>11540</v>
      </c>
      <c r="B15433" s="2" t="str">
        <f>"54913"</f>
        <v>54913</v>
      </c>
      <c r="C15433" s="1">
        <v>9.5469718645684307E-2</v>
      </c>
      <c r="D15433" s="1">
        <v>0.125314717326619</v>
      </c>
      <c r="E15433" s="1">
        <v>0.16239090187781</v>
      </c>
      <c r="F15433" s="1">
        <v>9.9847489541531401E-2</v>
      </c>
    </row>
    <row r="15434" spans="1:6" x14ac:dyDescent="0.25">
      <c r="A15434" s="2" t="str">
        <f t="shared" si="550"/>
        <v>11540</v>
      </c>
      <c r="B15434" s="2" t="str">
        <f>"54152"</f>
        <v>54152</v>
      </c>
      <c r="C15434" s="1">
        <v>8.67906533142584E-4</v>
      </c>
      <c r="D15434" s="1">
        <v>0</v>
      </c>
      <c r="E15434" s="1">
        <v>1.05792118487172E-3</v>
      </c>
      <c r="F15434" s="1">
        <v>8.0941304773832895E-4</v>
      </c>
    </row>
    <row r="15435" spans="1:6" x14ac:dyDescent="0.25">
      <c r="A15435" s="2" t="str">
        <f t="shared" si="550"/>
        <v>11540</v>
      </c>
      <c r="B15435" s="2" t="str">
        <f>"54123"</f>
        <v>54123</v>
      </c>
      <c r="C15435" s="1">
        <v>1.4115402956604601E-3</v>
      </c>
      <c r="D15435" s="1">
        <v>1.14442664225223E-4</v>
      </c>
      <c r="E15435" s="1">
        <v>1.8513620735255199E-3</v>
      </c>
      <c r="F15435" s="1">
        <v>1.3291414257597799E-3</v>
      </c>
    </row>
    <row r="15436" spans="1:6" x14ac:dyDescent="0.25">
      <c r="A15436" s="2" t="str">
        <f t="shared" si="550"/>
        <v>11540</v>
      </c>
      <c r="B15436" s="2" t="str">
        <f>"53049"</f>
        <v>53049</v>
      </c>
      <c r="C15436" s="1">
        <v>4.7687172150691402E-4</v>
      </c>
      <c r="D15436" s="1">
        <v>0</v>
      </c>
      <c r="E15436" s="1">
        <v>0</v>
      </c>
      <c r="F15436" s="1">
        <v>4.2600686723069902E-4</v>
      </c>
    </row>
    <row r="15437" spans="1:6" x14ac:dyDescent="0.25">
      <c r="A15437" s="2" t="str">
        <f t="shared" si="550"/>
        <v>11540</v>
      </c>
      <c r="B15437" s="2" t="str">
        <f>"54914"</f>
        <v>54914</v>
      </c>
      <c r="C15437" s="1">
        <v>0.12878397711015699</v>
      </c>
      <c r="D15437" s="1">
        <v>0.195696955825131</v>
      </c>
      <c r="E15437" s="1">
        <v>0.19095477386934601</v>
      </c>
      <c r="F15437" s="1">
        <v>0.13576838858642401</v>
      </c>
    </row>
    <row r="15438" spans="1:6" x14ac:dyDescent="0.25">
      <c r="A15438" s="2" t="str">
        <f t="shared" si="550"/>
        <v>11540</v>
      </c>
      <c r="B15438" s="2" t="str">
        <f>"54929"</f>
        <v>54929</v>
      </c>
      <c r="C15438" s="1">
        <v>1.33524082021936E-4</v>
      </c>
      <c r="D15438" s="1">
        <v>0</v>
      </c>
      <c r="E15438" s="1">
        <v>0</v>
      </c>
      <c r="F15438" s="1">
        <v>1.19281922824595E-4</v>
      </c>
    </row>
    <row r="15439" spans="1:6" x14ac:dyDescent="0.25">
      <c r="A15439" s="2" t="str">
        <f t="shared" si="550"/>
        <v>11540</v>
      </c>
      <c r="B15439" s="2" t="str">
        <f>"54180"</f>
        <v>54180</v>
      </c>
      <c r="C15439" s="1">
        <v>1.0777300906056201E-3</v>
      </c>
      <c r="D15439" s="1">
        <v>4.57770656900892E-4</v>
      </c>
      <c r="E15439" s="1">
        <v>0</v>
      </c>
      <c r="F15439" s="1">
        <v>9.9685606931983694E-4</v>
      </c>
    </row>
    <row r="15440" spans="1:6" x14ac:dyDescent="0.25">
      <c r="A15440" s="2" t="str">
        <f t="shared" si="550"/>
        <v>11540</v>
      </c>
      <c r="B15440" s="2" t="str">
        <f>"54160"</f>
        <v>54160</v>
      </c>
      <c r="C15440" s="1">
        <v>1.0300429184549301E-3</v>
      </c>
      <c r="D15440" s="1">
        <v>1.14442664225223E-4</v>
      </c>
      <c r="E15440" s="1">
        <v>7.9344088865379505E-4</v>
      </c>
      <c r="F15440" s="1">
        <v>9.5425538259676698E-4</v>
      </c>
    </row>
    <row r="15441" spans="1:6" x14ac:dyDescent="0.25">
      <c r="A15441" s="2" t="str">
        <f t="shared" si="550"/>
        <v>11540</v>
      </c>
      <c r="B15441" s="2" t="str">
        <f>"54155"</f>
        <v>54155</v>
      </c>
      <c r="C15441" s="1">
        <v>4.6924177396280402E-3</v>
      </c>
      <c r="D15441" s="1">
        <v>3.3188372625314699E-3</v>
      </c>
      <c r="E15441" s="1">
        <v>1.05792118487172E-3</v>
      </c>
      <c r="F15441" s="1">
        <v>4.4730721059223402E-3</v>
      </c>
    </row>
    <row r="15442" spans="1:6" x14ac:dyDescent="0.25">
      <c r="A15442" s="2" t="str">
        <f t="shared" si="550"/>
        <v>11540</v>
      </c>
      <c r="B15442" s="2" t="str">
        <f>"54140"</f>
        <v>54140</v>
      </c>
      <c r="C15442" s="1">
        <v>3.4420600858369003E-2</v>
      </c>
      <c r="D15442" s="1">
        <v>3.2387273975738103E-2</v>
      </c>
      <c r="E15442" s="1">
        <v>2.6183549325575199E-2</v>
      </c>
      <c r="F15442" s="1">
        <v>3.4003868142354399E-2</v>
      </c>
    </row>
    <row r="15443" spans="1:6" x14ac:dyDescent="0.25">
      <c r="A15443" s="2" t="str">
        <f t="shared" si="550"/>
        <v>11540</v>
      </c>
      <c r="B15443" s="2" t="str">
        <f>"54944"</f>
        <v>54944</v>
      </c>
      <c r="C15443" s="1">
        <v>3.4506437768240299E-2</v>
      </c>
      <c r="D15443" s="1">
        <v>1.9798580910963599E-2</v>
      </c>
      <c r="E15443" s="1">
        <v>1.42819359957683E-2</v>
      </c>
      <c r="F15443" s="1">
        <v>3.2759928090040802E-2</v>
      </c>
    </row>
    <row r="15444" spans="1:6" x14ac:dyDescent="0.25">
      <c r="A15444" s="2" t="str">
        <f t="shared" si="550"/>
        <v>11540</v>
      </c>
      <c r="B15444" s="2" t="str">
        <f>"54940"</f>
        <v>54940</v>
      </c>
      <c r="C15444" s="1">
        <v>2.00286123032904E-3</v>
      </c>
      <c r="D15444" s="1">
        <v>4.57770656900892E-4</v>
      </c>
      <c r="E15444" s="1">
        <v>0</v>
      </c>
      <c r="F15444" s="1">
        <v>1.8233093917473899E-3</v>
      </c>
    </row>
    <row r="15445" spans="1:6" x14ac:dyDescent="0.25">
      <c r="A15445" s="2" t="str">
        <f t="shared" si="550"/>
        <v>11540</v>
      </c>
      <c r="B15445" s="2" t="str">
        <f>"54942"</f>
        <v>54942</v>
      </c>
      <c r="C15445" s="1">
        <v>3.57367668097281E-2</v>
      </c>
      <c r="D15445" s="1">
        <v>3.3073929961089397E-2</v>
      </c>
      <c r="E15445" s="1">
        <v>2.3538746363395899E-2</v>
      </c>
      <c r="F15445" s="1">
        <v>3.5145566546532697E-2</v>
      </c>
    </row>
    <row r="15446" spans="1:6" x14ac:dyDescent="0.25">
      <c r="A15446" s="2" t="str">
        <f t="shared" si="550"/>
        <v>11540</v>
      </c>
      <c r="B15446" s="2" t="str">
        <f>"54165"</f>
        <v>54165</v>
      </c>
      <c r="C15446" s="1">
        <v>2.9537434430138201E-2</v>
      </c>
      <c r="D15446" s="1">
        <v>2.1515220874341899E-2</v>
      </c>
      <c r="E15446" s="1">
        <v>1.9307061623909001E-2</v>
      </c>
      <c r="F15446" s="1">
        <v>2.8610621203213699E-2</v>
      </c>
    </row>
    <row r="15447" spans="1:6" x14ac:dyDescent="0.25">
      <c r="A15447" s="2" t="str">
        <f t="shared" si="550"/>
        <v>11540</v>
      </c>
      <c r="B15447" s="2" t="str">
        <f>"53079"</f>
        <v>53079</v>
      </c>
      <c r="C15447" s="1">
        <v>3.8149737720553099E-5</v>
      </c>
      <c r="D15447" s="1">
        <v>0</v>
      </c>
      <c r="E15447" s="1">
        <v>0</v>
      </c>
      <c r="F15447" s="1">
        <v>3.40805493784559E-5</v>
      </c>
    </row>
    <row r="15448" spans="1:6" x14ac:dyDescent="0.25">
      <c r="A15448" s="2" t="str">
        <f t="shared" si="550"/>
        <v>11540</v>
      </c>
      <c r="B15448" s="2" t="str">
        <f>"53020"</f>
        <v>53020</v>
      </c>
      <c r="C15448" s="1">
        <v>3.3381020505484E-4</v>
      </c>
      <c r="D15448" s="1">
        <v>2.28885328450446E-4</v>
      </c>
      <c r="E15448" s="1">
        <v>0</v>
      </c>
      <c r="F15448" s="1">
        <v>3.15245081750717E-4</v>
      </c>
    </row>
    <row r="15449" spans="1:6" x14ac:dyDescent="0.25">
      <c r="A15449" s="2" t="str">
        <f t="shared" ref="A15449:A15470" si="551">"27500"</f>
        <v>27500</v>
      </c>
      <c r="B15449" s="2" t="str">
        <f>"53537"</f>
        <v>53537</v>
      </c>
      <c r="C15449" s="1">
        <v>3.1798021153189998E-3</v>
      </c>
      <c r="D15449" s="1">
        <v>0</v>
      </c>
      <c r="E15449" s="1">
        <v>1.29645635263612E-3</v>
      </c>
      <c r="F15449" s="1">
        <v>2.8953147427954501E-3</v>
      </c>
    </row>
    <row r="15450" spans="1:6" x14ac:dyDescent="0.25">
      <c r="A15450" s="2" t="str">
        <f t="shared" si="551"/>
        <v>27500</v>
      </c>
      <c r="B15450" s="2" t="str">
        <f>"53511"</f>
        <v>53511</v>
      </c>
      <c r="C15450" s="1">
        <v>0.28102354145342801</v>
      </c>
      <c r="D15450" s="1">
        <v>0.23100303951367701</v>
      </c>
      <c r="E15450" s="1">
        <v>0.226015557476231</v>
      </c>
      <c r="F15450" s="1">
        <v>0.27582780238249999</v>
      </c>
    </row>
    <row r="15451" spans="1:6" x14ac:dyDescent="0.25">
      <c r="A15451" s="2" t="str">
        <f t="shared" si="551"/>
        <v>27500</v>
      </c>
      <c r="B15451" s="2" t="str">
        <f>"53585"</f>
        <v>53585</v>
      </c>
      <c r="C15451" s="1">
        <v>1.6376663254861801E-4</v>
      </c>
      <c r="D15451" s="1">
        <v>0</v>
      </c>
      <c r="E15451" s="1">
        <v>0</v>
      </c>
      <c r="F15451" s="1">
        <v>1.4721939370146301E-4</v>
      </c>
    </row>
    <row r="15452" spans="1:6" x14ac:dyDescent="0.25">
      <c r="A15452" s="2" t="str">
        <f t="shared" si="551"/>
        <v>27500</v>
      </c>
      <c r="B15452" s="2" t="str">
        <f>"53521"</f>
        <v>53521</v>
      </c>
      <c r="C15452" s="1">
        <v>1.77413851927669E-3</v>
      </c>
      <c r="D15452" s="1">
        <v>0</v>
      </c>
      <c r="E15452" s="1">
        <v>1.7286084701815E-3</v>
      </c>
      <c r="F15452" s="1">
        <v>1.64394989633301E-3</v>
      </c>
    </row>
    <row r="15453" spans="1:6" x14ac:dyDescent="0.25">
      <c r="A15453" s="2" t="str">
        <f t="shared" si="551"/>
        <v>27500</v>
      </c>
      <c r="B15453" s="2" t="str">
        <f>"53545"</f>
        <v>53545</v>
      </c>
      <c r="C15453" s="1">
        <v>0.145124530876833</v>
      </c>
      <c r="D15453" s="1">
        <v>0.22661263086795</v>
      </c>
      <c r="E15453" s="1">
        <v>0.25410544511668098</v>
      </c>
      <c r="F15453" s="1">
        <v>0.15413870520543199</v>
      </c>
    </row>
    <row r="15454" spans="1:6" x14ac:dyDescent="0.25">
      <c r="A15454" s="2" t="str">
        <f t="shared" si="551"/>
        <v>27500</v>
      </c>
      <c r="B15454" s="2" t="str">
        <f>"53534"</f>
        <v>53534</v>
      </c>
      <c r="C15454" s="1">
        <v>6.8809280109177695E-2</v>
      </c>
      <c r="D15454" s="1">
        <v>4.2890915231340698E-2</v>
      </c>
      <c r="E15454" s="1">
        <v>6.1365600691443298E-2</v>
      </c>
      <c r="F15454" s="1">
        <v>6.6714921912379904E-2</v>
      </c>
    </row>
    <row r="15455" spans="1:6" x14ac:dyDescent="0.25">
      <c r="A15455" s="2" t="str">
        <f t="shared" si="551"/>
        <v>27500</v>
      </c>
      <c r="B15455" s="2" t="str">
        <f>"53512"</f>
        <v>53512</v>
      </c>
      <c r="C15455" s="1">
        <v>9.0344592289321006E-3</v>
      </c>
      <c r="D15455" s="1">
        <v>3.9682539682539597E-2</v>
      </c>
      <c r="E15455" s="1">
        <v>8.6430423509075099E-4</v>
      </c>
      <c r="F15455" s="1">
        <v>1.1029186244801301E-2</v>
      </c>
    </row>
    <row r="15456" spans="1:6" x14ac:dyDescent="0.25">
      <c r="A15456" s="2" t="str">
        <f t="shared" si="551"/>
        <v>27500</v>
      </c>
      <c r="B15456" s="2" t="str">
        <f>"53501"</f>
        <v>53501</v>
      </c>
      <c r="C15456" s="1">
        <v>9.4165813715455405E-4</v>
      </c>
      <c r="D15456" s="1">
        <v>0</v>
      </c>
      <c r="E15456" s="1">
        <v>4.3215211754537501E-4</v>
      </c>
      <c r="F15456" s="1">
        <v>8.5877979659187097E-4</v>
      </c>
    </row>
    <row r="15457" spans="1:6" x14ac:dyDescent="0.25">
      <c r="A15457" s="2" t="str">
        <f t="shared" si="551"/>
        <v>27500</v>
      </c>
      <c r="B15457" s="2" t="str">
        <f>"53563"</f>
        <v>53563</v>
      </c>
      <c r="C15457" s="1">
        <v>6.8495394063459503E-2</v>
      </c>
      <c r="D15457" s="1">
        <v>5.3360351232691602E-2</v>
      </c>
      <c r="E15457" s="1">
        <v>4.6240276577355202E-2</v>
      </c>
      <c r="F15457" s="1">
        <v>6.6763995043613703E-2</v>
      </c>
    </row>
    <row r="15458" spans="1:6" x14ac:dyDescent="0.25">
      <c r="A15458" s="2" t="str">
        <f t="shared" si="551"/>
        <v>27500</v>
      </c>
      <c r="B15458" s="2" t="str">
        <f>"53547"</f>
        <v>53547</v>
      </c>
      <c r="C15458" s="1">
        <v>1.99112930740361E-2</v>
      </c>
      <c r="D15458" s="1">
        <v>9.3718338399189402E-2</v>
      </c>
      <c r="E15458" s="1">
        <v>8.6430423509075099E-4</v>
      </c>
      <c r="F15458" s="1">
        <v>2.4732858141845799E-2</v>
      </c>
    </row>
    <row r="15459" spans="1:6" x14ac:dyDescent="0.25">
      <c r="A15459" s="2" t="str">
        <f t="shared" si="551"/>
        <v>27500</v>
      </c>
      <c r="B15459" s="2" t="str">
        <f>"53505"</f>
        <v>53505</v>
      </c>
      <c r="C15459" s="1">
        <v>2.2108495394063399E-3</v>
      </c>
      <c r="D15459" s="1">
        <v>2.36406619385342E-3</v>
      </c>
      <c r="E15459" s="1">
        <v>1.7286084701815E-3</v>
      </c>
      <c r="F15459" s="1">
        <v>2.2082909055219499E-3</v>
      </c>
    </row>
    <row r="15460" spans="1:6" x14ac:dyDescent="0.25">
      <c r="A15460" s="2" t="str">
        <f t="shared" si="551"/>
        <v>27500</v>
      </c>
      <c r="B15460" s="2" t="str">
        <f>"53190"</f>
        <v>53190</v>
      </c>
      <c r="C15460" s="1">
        <v>6.5916069600818802E-3</v>
      </c>
      <c r="D15460" s="1">
        <v>1.5197568389057701E-3</v>
      </c>
      <c r="E15460" s="1">
        <v>3.4572169403630001E-3</v>
      </c>
      <c r="F15460" s="1">
        <v>6.1341414042276497E-3</v>
      </c>
    </row>
    <row r="15461" spans="1:6" x14ac:dyDescent="0.25">
      <c r="A15461" s="2" t="str">
        <f t="shared" si="551"/>
        <v>27500</v>
      </c>
      <c r="B15461" s="2" t="str">
        <f>"53589"</f>
        <v>53589</v>
      </c>
      <c r="C15461" s="1">
        <v>3.4118048447628701E-4</v>
      </c>
      <c r="D15461" s="1">
        <v>0</v>
      </c>
      <c r="E15461" s="1">
        <v>0</v>
      </c>
      <c r="F15461" s="1">
        <v>3.0670707021138199E-4</v>
      </c>
    </row>
    <row r="15462" spans="1:6" x14ac:dyDescent="0.25">
      <c r="A15462" s="2" t="str">
        <f t="shared" si="551"/>
        <v>27500</v>
      </c>
      <c r="B15462" s="2" t="str">
        <f>"53546"</f>
        <v>53546</v>
      </c>
      <c r="C15462" s="1">
        <v>0.18411463664278399</v>
      </c>
      <c r="D15462" s="1">
        <v>0.137622424856467</v>
      </c>
      <c r="E15462" s="1">
        <v>0.19187554019014599</v>
      </c>
      <c r="F15462" s="1">
        <v>0.18095717142471501</v>
      </c>
    </row>
    <row r="15463" spans="1:6" x14ac:dyDescent="0.25">
      <c r="A15463" s="2" t="str">
        <f t="shared" si="551"/>
        <v>27500</v>
      </c>
      <c r="B15463" s="2" t="str">
        <f>"53538"</f>
        <v>53538</v>
      </c>
      <c r="C15463" s="1">
        <v>6.6871374957352405E-4</v>
      </c>
      <c r="D15463" s="1">
        <v>0</v>
      </c>
      <c r="E15463" s="1">
        <v>0</v>
      </c>
      <c r="F15463" s="1">
        <v>6.0114585761430897E-4</v>
      </c>
    </row>
    <row r="15464" spans="1:6" x14ac:dyDescent="0.25">
      <c r="A15464" s="2" t="str">
        <f t="shared" si="551"/>
        <v>27500</v>
      </c>
      <c r="B15464" s="2" t="str">
        <f>"53536"</f>
        <v>53536</v>
      </c>
      <c r="C15464" s="1">
        <v>5.1204367110201203E-2</v>
      </c>
      <c r="D15464" s="1">
        <v>4.40729483282674E-2</v>
      </c>
      <c r="E15464" s="1">
        <v>3.8893690579083803E-2</v>
      </c>
      <c r="F15464" s="1">
        <v>5.0336764363092E-2</v>
      </c>
    </row>
    <row r="15465" spans="1:6" x14ac:dyDescent="0.25">
      <c r="A15465" s="2" t="str">
        <f t="shared" si="551"/>
        <v>27500</v>
      </c>
      <c r="B15465" s="2" t="str">
        <f>"53576"</f>
        <v>53576</v>
      </c>
      <c r="C15465" s="1">
        <v>1.3497099965881901E-2</v>
      </c>
      <c r="D15465" s="1">
        <v>6.2478892266126301E-3</v>
      </c>
      <c r="E15465" s="1">
        <v>6.9144338807260097E-3</v>
      </c>
      <c r="F15465" s="1">
        <v>1.27835506864104E-2</v>
      </c>
    </row>
    <row r="15466" spans="1:6" x14ac:dyDescent="0.25">
      <c r="A15466" s="2" t="str">
        <f t="shared" si="551"/>
        <v>27500</v>
      </c>
      <c r="B15466" s="2" t="str">
        <f>"53548"</f>
        <v>53548</v>
      </c>
      <c r="C15466" s="1">
        <v>0.112343909928352</v>
      </c>
      <c r="D15466" s="1">
        <v>0.10047281323877</v>
      </c>
      <c r="E15466" s="1">
        <v>0.13483146067415699</v>
      </c>
      <c r="F15466" s="1">
        <v>0.112119836586472</v>
      </c>
    </row>
    <row r="15467" spans="1:6" x14ac:dyDescent="0.25">
      <c r="A15467" s="2" t="str">
        <f t="shared" si="551"/>
        <v>27500</v>
      </c>
      <c r="B15467" s="2" t="str">
        <f>"53114"</f>
        <v>53114</v>
      </c>
      <c r="C15467" s="1">
        <v>9.8259979529170902E-4</v>
      </c>
      <c r="D15467" s="1">
        <v>1.6886187098953001E-4</v>
      </c>
      <c r="E15467" s="1">
        <v>0</v>
      </c>
      <c r="F15467" s="1">
        <v>8.9558464501723596E-4</v>
      </c>
    </row>
    <row r="15468" spans="1:6" x14ac:dyDescent="0.25">
      <c r="A15468" s="2" t="str">
        <f t="shared" si="551"/>
        <v>27500</v>
      </c>
      <c r="B15468" s="2" t="str">
        <f>"53525"</f>
        <v>53525</v>
      </c>
      <c r="C15468" s="1">
        <v>2.2163084271579599E-2</v>
      </c>
      <c r="D15468" s="1">
        <v>1.6548463356973901E-2</v>
      </c>
      <c r="E15468" s="1">
        <v>2.9386343993085502E-2</v>
      </c>
      <c r="F15468" s="1">
        <v>2.1960226227134901E-2</v>
      </c>
    </row>
    <row r="15469" spans="1:6" x14ac:dyDescent="0.25">
      <c r="A15469" s="2" t="str">
        <f t="shared" si="551"/>
        <v>27500</v>
      </c>
      <c r="B15469" s="2" t="str">
        <f>"53520"</f>
        <v>53520</v>
      </c>
      <c r="C15469" s="1">
        <v>7.3694984646878103E-3</v>
      </c>
      <c r="D15469" s="1">
        <v>3.54609929078014E-3</v>
      </c>
      <c r="E15469" s="1">
        <v>0</v>
      </c>
      <c r="F15469" s="1">
        <v>6.8825066555434199E-3</v>
      </c>
    </row>
    <row r="15470" spans="1:6" x14ac:dyDescent="0.25">
      <c r="A15470" s="2" t="str">
        <f t="shared" si="551"/>
        <v>27500</v>
      </c>
      <c r="B15470" s="2" t="str">
        <f>"53502"</f>
        <v>53502</v>
      </c>
      <c r="C15470" s="1">
        <v>5.4588877516206E-5</v>
      </c>
      <c r="D15470" s="1">
        <v>1.6886187098953001E-4</v>
      </c>
      <c r="E15470" s="1">
        <v>0</v>
      </c>
      <c r="F15470" s="1">
        <v>6.1341414042276506E-5</v>
      </c>
    </row>
    <row r="15471" spans="1:6" x14ac:dyDescent="0.25">
      <c r="A15471" s="2" t="str">
        <f t="shared" ref="A15471:A15494" si="552">"29100"</f>
        <v>29100</v>
      </c>
      <c r="B15471" s="2" t="str">
        <f>"55931"</f>
        <v>55931</v>
      </c>
      <c r="C15471" s="1">
        <v>3.0918865168888402E-3</v>
      </c>
      <c r="D15471" s="1">
        <v>4.3344771536933304E-3</v>
      </c>
      <c r="E15471" s="1">
        <v>3.4364261168384801E-3</v>
      </c>
      <c r="F15471" s="1">
        <v>3.1992057144433102E-3</v>
      </c>
    </row>
    <row r="15472" spans="1:6" x14ac:dyDescent="0.25">
      <c r="A15472" s="2" t="str">
        <f t="shared" si="552"/>
        <v>29100</v>
      </c>
      <c r="B15472" s="2" t="str">
        <f>"54636"</f>
        <v>54636</v>
      </c>
      <c r="C15472" s="1">
        <v>0.104269600074578</v>
      </c>
      <c r="D15472" s="1">
        <v>5.2194329059057201E-2</v>
      </c>
      <c r="E15472" s="1">
        <v>7.0637647957235497E-2</v>
      </c>
      <c r="F15472" s="1">
        <v>9.9078849389117096E-2</v>
      </c>
    </row>
    <row r="15473" spans="1:6" x14ac:dyDescent="0.25">
      <c r="A15473" s="2" t="str">
        <f t="shared" si="552"/>
        <v>29100</v>
      </c>
      <c r="B15473" s="2" t="str">
        <f>"54602"</f>
        <v>54602</v>
      </c>
      <c r="C15473" s="1">
        <v>2.09129610639818E-2</v>
      </c>
      <c r="D15473" s="1">
        <v>0.13382698212028099</v>
      </c>
      <c r="E15473" s="1">
        <v>7.6365024818633004E-4</v>
      </c>
      <c r="F15473" s="1">
        <v>2.8806641109793401E-2</v>
      </c>
    </row>
    <row r="15474" spans="1:6" x14ac:dyDescent="0.25">
      <c r="A15474" s="2" t="str">
        <f t="shared" si="552"/>
        <v>29100</v>
      </c>
      <c r="B15474" s="2" t="str">
        <f>"54619"</f>
        <v>54619</v>
      </c>
      <c r="C15474" s="1">
        <v>2.6413100898045399E-4</v>
      </c>
      <c r="D15474" s="1">
        <v>0</v>
      </c>
      <c r="E15474" s="1">
        <v>0</v>
      </c>
      <c r="F15474" s="1">
        <v>2.34424556661794E-4</v>
      </c>
    </row>
    <row r="15475" spans="1:6" x14ac:dyDescent="0.25">
      <c r="A15475" s="2" t="str">
        <f t="shared" si="552"/>
        <v>29100</v>
      </c>
      <c r="B15475" s="2" t="str">
        <f>"54653"</f>
        <v>54653</v>
      </c>
      <c r="C15475" s="1">
        <v>6.1371616792517299E-3</v>
      </c>
      <c r="D15475" s="1">
        <v>9.0301607368611101E-4</v>
      </c>
      <c r="E15475" s="1">
        <v>2.2909507445589899E-3</v>
      </c>
      <c r="F15475" s="1">
        <v>5.5986100002757902E-3</v>
      </c>
    </row>
    <row r="15476" spans="1:6" x14ac:dyDescent="0.25">
      <c r="A15476" s="2" t="str">
        <f t="shared" si="552"/>
        <v>29100</v>
      </c>
      <c r="B15476" s="2" t="str">
        <f>"54601"</f>
        <v>54601</v>
      </c>
      <c r="C15476" s="1">
        <v>0.35101457381684797</v>
      </c>
      <c r="D15476" s="1">
        <v>0.33357413761964899</v>
      </c>
      <c r="E15476" s="1">
        <v>0.42726231386025199</v>
      </c>
      <c r="F15476" s="1">
        <v>0.35243663642130202</v>
      </c>
    </row>
    <row r="15477" spans="1:6" x14ac:dyDescent="0.25">
      <c r="A15477" s="2" t="str">
        <f t="shared" si="552"/>
        <v>29100</v>
      </c>
      <c r="B15477" s="2" t="str">
        <f>"55943"</f>
        <v>55943</v>
      </c>
      <c r="C15477" s="1">
        <v>2.13013890183648E-2</v>
      </c>
      <c r="D15477" s="1">
        <v>6.5017157305399999E-3</v>
      </c>
      <c r="E15477" s="1">
        <v>1.03092783505154E-2</v>
      </c>
      <c r="F15477" s="1">
        <v>1.97744008384125E-2</v>
      </c>
    </row>
    <row r="15478" spans="1:6" x14ac:dyDescent="0.25">
      <c r="A15478" s="2" t="str">
        <f t="shared" si="552"/>
        <v>29100</v>
      </c>
      <c r="B15478" s="2" t="str">
        <f>"54658"</f>
        <v>54658</v>
      </c>
      <c r="C15478" s="1">
        <v>2.6879214443305001E-3</v>
      </c>
      <c r="D15478" s="1">
        <v>7.2241285894888898E-4</v>
      </c>
      <c r="E15478" s="1">
        <v>1.5273004963726601E-3</v>
      </c>
      <c r="F15478" s="1">
        <v>2.4959320444579202E-3</v>
      </c>
    </row>
    <row r="15479" spans="1:6" x14ac:dyDescent="0.25">
      <c r="A15479" s="2" t="str">
        <f t="shared" si="552"/>
        <v>29100</v>
      </c>
      <c r="B15479" s="2" t="str">
        <f>"54656"</f>
        <v>54656</v>
      </c>
      <c r="C15479" s="1">
        <v>2.0198253627916999E-4</v>
      </c>
      <c r="D15479" s="1">
        <v>1.80603214737222E-4</v>
      </c>
      <c r="E15479" s="1">
        <v>0</v>
      </c>
      <c r="F15479" s="1">
        <v>1.9305551725088901E-4</v>
      </c>
    </row>
    <row r="15480" spans="1:6" x14ac:dyDescent="0.25">
      <c r="A15480" s="2" t="str">
        <f t="shared" si="552"/>
        <v>29100</v>
      </c>
      <c r="B15480" s="2" t="str">
        <f>"55971"</f>
        <v>55971</v>
      </c>
      <c r="C15480" s="1">
        <v>1.07206115409713E-3</v>
      </c>
      <c r="D15480" s="1">
        <v>5.4180964421166598E-4</v>
      </c>
      <c r="E15480" s="1">
        <v>3.8182512409316502E-4</v>
      </c>
      <c r="F15480" s="1">
        <v>1.00664662566535E-3</v>
      </c>
    </row>
    <row r="15481" spans="1:6" x14ac:dyDescent="0.25">
      <c r="A15481" s="2" t="str">
        <f t="shared" si="552"/>
        <v>29100</v>
      </c>
      <c r="B15481" s="2" t="str">
        <f>"55947"</f>
        <v>55947</v>
      </c>
      <c r="C15481" s="1">
        <v>4.9081756315838498E-2</v>
      </c>
      <c r="D15481" s="1">
        <v>3.4314610800072198E-2</v>
      </c>
      <c r="E15481" s="1">
        <v>7.9419625811378305E-2</v>
      </c>
      <c r="F15481" s="1">
        <v>4.9049891061529502E-2</v>
      </c>
    </row>
    <row r="15482" spans="1:6" x14ac:dyDescent="0.25">
      <c r="A15482" s="2" t="str">
        <f t="shared" si="552"/>
        <v>29100</v>
      </c>
      <c r="B15482" s="2" t="str">
        <f>"54623"</f>
        <v>54623</v>
      </c>
      <c r="C15482" s="1">
        <v>4.3970044436157903E-3</v>
      </c>
      <c r="D15482" s="1">
        <v>1.80603214737222E-4</v>
      </c>
      <c r="E15482" s="1">
        <v>0</v>
      </c>
      <c r="F15482" s="1">
        <v>3.91626906423232E-3</v>
      </c>
    </row>
    <row r="15483" spans="1:6" x14ac:dyDescent="0.25">
      <c r="A15483" s="2" t="str">
        <f t="shared" si="552"/>
        <v>29100</v>
      </c>
      <c r="B15483" s="2" t="str">
        <f>"55954"</f>
        <v>55954</v>
      </c>
      <c r="C15483" s="1">
        <v>5.43799136136229E-4</v>
      </c>
      <c r="D15483" s="1">
        <v>1.80603214737222E-4</v>
      </c>
      <c r="E15483" s="1">
        <v>3.8182512409316502E-4</v>
      </c>
      <c r="F15483" s="1">
        <v>5.1021815273449302E-4</v>
      </c>
    </row>
    <row r="15484" spans="1:6" x14ac:dyDescent="0.25">
      <c r="A15484" s="2" t="str">
        <f t="shared" si="552"/>
        <v>29100</v>
      </c>
      <c r="B15484" s="2" t="str">
        <f>"55921"</f>
        <v>55921</v>
      </c>
      <c r="C15484" s="1">
        <v>3.5300332494328901E-2</v>
      </c>
      <c r="D15484" s="1">
        <v>3.9913310456926102E-2</v>
      </c>
      <c r="E15484" s="1">
        <v>3.9327987781595998E-2</v>
      </c>
      <c r="F15484" s="1">
        <v>3.5798008770236298E-2</v>
      </c>
    </row>
    <row r="15485" spans="1:6" x14ac:dyDescent="0.25">
      <c r="A15485" s="2" t="str">
        <f t="shared" si="552"/>
        <v>29100</v>
      </c>
      <c r="B15485" s="2" t="str">
        <f>"54667"</f>
        <v>54667</v>
      </c>
      <c r="C15485" s="1">
        <v>6.2148472701283297E-5</v>
      </c>
      <c r="D15485" s="1">
        <v>0</v>
      </c>
      <c r="E15485" s="1">
        <v>0</v>
      </c>
      <c r="F15485" s="1">
        <v>5.5158719214539801E-5</v>
      </c>
    </row>
    <row r="15486" spans="1:6" x14ac:dyDescent="0.25">
      <c r="A15486" s="2" t="str">
        <f t="shared" si="552"/>
        <v>29100</v>
      </c>
      <c r="B15486" s="2" t="str">
        <f>"54603"</f>
        <v>54603</v>
      </c>
      <c r="C15486" s="1">
        <v>0.109956185326745</v>
      </c>
      <c r="D15486" s="1">
        <v>0.14195412678345601</v>
      </c>
      <c r="E15486" s="1">
        <v>0.12447499045437101</v>
      </c>
      <c r="F15486" s="1">
        <v>0.112923687911966</v>
      </c>
    </row>
    <row r="15487" spans="1:6" x14ac:dyDescent="0.25">
      <c r="A15487" s="2" t="str">
        <f t="shared" si="552"/>
        <v>29100</v>
      </c>
      <c r="B15487" s="2" t="str">
        <f>"55919"</f>
        <v>55919</v>
      </c>
      <c r="C15487" s="1">
        <v>7.1004630061216201E-3</v>
      </c>
      <c r="D15487" s="1">
        <v>1.08361928842333E-3</v>
      </c>
      <c r="E15487" s="1">
        <v>3.4364261168384801E-3</v>
      </c>
      <c r="F15487" s="1">
        <v>6.5087288673157002E-3</v>
      </c>
    </row>
    <row r="15488" spans="1:6" x14ac:dyDescent="0.25">
      <c r="A15488" s="2" t="str">
        <f t="shared" si="552"/>
        <v>29100</v>
      </c>
      <c r="B15488" s="2" t="str">
        <f>"54644"</f>
        <v>54644</v>
      </c>
      <c r="C15488" s="1">
        <v>1.16528386314906E-2</v>
      </c>
      <c r="D15488" s="1">
        <v>3.9732707242188898E-3</v>
      </c>
      <c r="E15488" s="1">
        <v>3.81825124093165E-3</v>
      </c>
      <c r="F15488" s="1">
        <v>1.07835296064425E-2</v>
      </c>
    </row>
    <row r="15489" spans="1:6" x14ac:dyDescent="0.25">
      <c r="A15489" s="2" t="str">
        <f t="shared" si="552"/>
        <v>29100</v>
      </c>
      <c r="B15489" s="2" t="str">
        <f>"54642"</f>
        <v>54642</v>
      </c>
      <c r="C15489" s="1">
        <v>1.3206550449022701E-3</v>
      </c>
      <c r="D15489" s="1">
        <v>0</v>
      </c>
      <c r="E15489" s="1">
        <v>0</v>
      </c>
      <c r="F15489" s="1">
        <v>1.17212278330897E-3</v>
      </c>
    </row>
    <row r="15490" spans="1:6" x14ac:dyDescent="0.25">
      <c r="A15490" s="2" t="str">
        <f t="shared" si="552"/>
        <v>29100</v>
      </c>
      <c r="B15490" s="2" t="str">
        <f>"54669"</f>
        <v>54669</v>
      </c>
      <c r="C15490" s="1">
        <v>5.4457599204499503E-2</v>
      </c>
      <c r="D15490" s="1">
        <v>5.2736138703268903E-2</v>
      </c>
      <c r="E15490" s="1">
        <v>4.0473463153875497E-2</v>
      </c>
      <c r="F15490" s="1">
        <v>5.3821120273587202E-2</v>
      </c>
    </row>
    <row r="15491" spans="1:6" x14ac:dyDescent="0.25">
      <c r="A15491" s="2" t="str">
        <f t="shared" si="552"/>
        <v>29100</v>
      </c>
      <c r="B15491" s="2" t="str">
        <f>"55974"</f>
        <v>55974</v>
      </c>
      <c r="C15491" s="1">
        <v>1.7292812529132E-2</v>
      </c>
      <c r="D15491" s="1">
        <v>9.0301607368611092E-3</v>
      </c>
      <c r="E15491" s="1">
        <v>1.4127529591447099E-2</v>
      </c>
      <c r="F15491" s="1">
        <v>1.6547615764361898E-2</v>
      </c>
    </row>
    <row r="15492" spans="1:6" x14ac:dyDescent="0.25">
      <c r="A15492" s="2" t="str">
        <f t="shared" si="552"/>
        <v>29100</v>
      </c>
      <c r="B15492" s="2" t="str">
        <f>"55941"</f>
        <v>55941</v>
      </c>
      <c r="C15492" s="1">
        <v>7.9705416239395904E-3</v>
      </c>
      <c r="D15492" s="1">
        <v>5.4180964421166598E-4</v>
      </c>
      <c r="E15492" s="1">
        <v>5.3455517373043101E-3</v>
      </c>
      <c r="F15492" s="1">
        <v>7.30853029592652E-3</v>
      </c>
    </row>
    <row r="15493" spans="1:6" x14ac:dyDescent="0.25">
      <c r="A15493" s="2" t="str">
        <f t="shared" si="552"/>
        <v>29100</v>
      </c>
      <c r="B15493" s="2" t="str">
        <f>"54650"</f>
        <v>54650</v>
      </c>
      <c r="C15493" s="1">
        <v>0.17109474534663299</v>
      </c>
      <c r="D15493" s="1">
        <v>0.16145927397507601</v>
      </c>
      <c r="E15493" s="1">
        <v>0.160748377243222</v>
      </c>
      <c r="F15493" s="1">
        <v>0.16998538293940799</v>
      </c>
    </row>
    <row r="15494" spans="1:6" x14ac:dyDescent="0.25">
      <c r="A15494" s="2" t="str">
        <f t="shared" si="552"/>
        <v>29100</v>
      </c>
      <c r="B15494" s="2" t="str">
        <f>"54614"</f>
        <v>54614</v>
      </c>
      <c r="C15494" s="1">
        <v>1.8815450110313499E-2</v>
      </c>
      <c r="D15494" s="1">
        <v>2.1852988983203901E-2</v>
      </c>
      <c r="E15494" s="1">
        <v>1.18365788468881E-2</v>
      </c>
      <c r="F15494" s="1">
        <v>1.8795333572354401E-2</v>
      </c>
    </row>
    <row r="15495" spans="1:6" x14ac:dyDescent="0.25">
      <c r="A15495" s="2" t="str">
        <f t="shared" ref="A15495:A15508" si="553">"49100"</f>
        <v>49100</v>
      </c>
      <c r="B15495" s="2" t="str">
        <f>"55979"</f>
        <v>55979</v>
      </c>
      <c r="C15495" s="1">
        <v>1.6186118784530301E-2</v>
      </c>
      <c r="D15495" s="1">
        <v>1.1437095972153101E-2</v>
      </c>
      <c r="E15495" s="1">
        <v>7.8403421240199507E-3</v>
      </c>
      <c r="F15495" s="1">
        <v>1.53863516665412E-2</v>
      </c>
    </row>
    <row r="15496" spans="1:6" x14ac:dyDescent="0.25">
      <c r="A15496" s="2" t="str">
        <f t="shared" si="553"/>
        <v>49100</v>
      </c>
      <c r="B15496" s="2" t="str">
        <f>"55959"</f>
        <v>55959</v>
      </c>
      <c r="C15496" s="1">
        <v>4.6227555248618699E-2</v>
      </c>
      <c r="D15496" s="1">
        <v>2.03878667329686E-2</v>
      </c>
      <c r="E15496" s="1">
        <v>7.1275837491090498E-3</v>
      </c>
      <c r="F15496" s="1">
        <v>4.2209013618237902E-2</v>
      </c>
    </row>
    <row r="15497" spans="1:6" x14ac:dyDescent="0.25">
      <c r="A15497" s="2" t="str">
        <f t="shared" si="553"/>
        <v>49100</v>
      </c>
      <c r="B15497" s="2" t="str">
        <f>"55962"</f>
        <v>55962</v>
      </c>
      <c r="C15497" s="1">
        <v>6.4744475138121501E-4</v>
      </c>
      <c r="D15497" s="1">
        <v>0</v>
      </c>
      <c r="E15497" s="1">
        <v>0</v>
      </c>
      <c r="F15497" s="1">
        <v>5.6429162591227098E-4</v>
      </c>
    </row>
    <row r="15498" spans="1:6" x14ac:dyDescent="0.25">
      <c r="A15498" s="2" t="str">
        <f t="shared" si="553"/>
        <v>49100</v>
      </c>
      <c r="B15498" s="2" t="str">
        <f>"55947"</f>
        <v>55947</v>
      </c>
      <c r="C15498" s="1">
        <v>1.71357044198895E-2</v>
      </c>
      <c r="D15498" s="1">
        <v>6.4644455494778704E-3</v>
      </c>
      <c r="E15498" s="1">
        <v>0</v>
      </c>
      <c r="F15498" s="1">
        <v>1.5423971108268699E-2</v>
      </c>
    </row>
    <row r="15499" spans="1:6" x14ac:dyDescent="0.25">
      <c r="A15499" s="2" t="str">
        <f t="shared" si="553"/>
        <v>49100</v>
      </c>
      <c r="B15499" s="2" t="str">
        <f>"55971"</f>
        <v>55971</v>
      </c>
      <c r="C15499" s="1">
        <v>6.4312845303867404E-3</v>
      </c>
      <c r="D15499" s="1">
        <v>2.9835902536051698E-3</v>
      </c>
      <c r="E15499" s="1">
        <v>2.1382751247327101E-3</v>
      </c>
      <c r="F15499" s="1">
        <v>5.9438717929425899E-3</v>
      </c>
    </row>
    <row r="15500" spans="1:6" x14ac:dyDescent="0.25">
      <c r="A15500" s="2" t="str">
        <f t="shared" si="553"/>
        <v>49100</v>
      </c>
      <c r="B15500" s="2" t="str">
        <f>"55964"</f>
        <v>55964</v>
      </c>
      <c r="C15500" s="1">
        <v>1.6401933701657399E-3</v>
      </c>
      <c r="D15500" s="1">
        <v>0</v>
      </c>
      <c r="E15500" s="1">
        <v>0</v>
      </c>
      <c r="F15500" s="1">
        <v>1.4295387856444199E-3</v>
      </c>
    </row>
    <row r="15501" spans="1:6" x14ac:dyDescent="0.25">
      <c r="A15501" s="2" t="str">
        <f t="shared" si="553"/>
        <v>49100</v>
      </c>
      <c r="B15501" s="2" t="str">
        <f>"55972"</f>
        <v>55972</v>
      </c>
      <c r="C15501" s="1">
        <v>9.0858080110497202E-2</v>
      </c>
      <c r="D15501" s="1">
        <v>8.6026852312282395E-2</v>
      </c>
      <c r="E15501" s="1">
        <v>6.8424803991446806E-2</v>
      </c>
      <c r="F15501" s="1">
        <v>8.9308554661048797E-2</v>
      </c>
    </row>
    <row r="15502" spans="1:6" x14ac:dyDescent="0.25">
      <c r="A15502" s="2" t="str">
        <f t="shared" si="553"/>
        <v>49100</v>
      </c>
      <c r="B15502" s="2" t="str">
        <f>"55969"</f>
        <v>55969</v>
      </c>
      <c r="C15502" s="1">
        <v>2.3912292817679499E-2</v>
      </c>
      <c r="D15502" s="1">
        <v>6.9617105917454004E-3</v>
      </c>
      <c r="E15502" s="1">
        <v>1.2829650748396201E-2</v>
      </c>
      <c r="F15502" s="1">
        <v>2.2044992852305999E-2</v>
      </c>
    </row>
    <row r="15503" spans="1:6" x14ac:dyDescent="0.25">
      <c r="A15503" s="2" t="str">
        <f t="shared" si="553"/>
        <v>49100</v>
      </c>
      <c r="B15503" s="2" t="str">
        <f>"55923"</f>
        <v>55923</v>
      </c>
      <c r="C15503" s="1">
        <v>7.3377071823204395E-4</v>
      </c>
      <c r="D15503" s="1">
        <v>0</v>
      </c>
      <c r="E15503" s="1">
        <v>0</v>
      </c>
      <c r="F15503" s="1">
        <v>6.3953050936724003E-4</v>
      </c>
    </row>
    <row r="15504" spans="1:6" x14ac:dyDescent="0.25">
      <c r="A15504" s="2" t="str">
        <f t="shared" si="553"/>
        <v>49100</v>
      </c>
      <c r="B15504" s="2" t="str">
        <f>"55943"</f>
        <v>55943</v>
      </c>
      <c r="C15504" s="1">
        <v>6.6470994475138099E-3</v>
      </c>
      <c r="D15504" s="1">
        <v>1.4917951268025799E-3</v>
      </c>
      <c r="E15504" s="1">
        <v>0</v>
      </c>
      <c r="F15504" s="1">
        <v>5.9062523512151003E-3</v>
      </c>
    </row>
    <row r="15505" spans="1:6" x14ac:dyDescent="0.25">
      <c r="A15505" s="2" t="str">
        <f t="shared" si="553"/>
        <v>49100</v>
      </c>
      <c r="B15505" s="2" t="str">
        <f>"55987"</f>
        <v>55987</v>
      </c>
      <c r="C15505" s="1">
        <v>0.70070787292817605</v>
      </c>
      <c r="D15505" s="1">
        <v>0.82446544007956202</v>
      </c>
      <c r="E15505" s="1">
        <v>0.86528866714183805</v>
      </c>
      <c r="F15505" s="1">
        <v>0.71875705364532305</v>
      </c>
    </row>
    <row r="15506" spans="1:6" x14ac:dyDescent="0.25">
      <c r="A15506" s="2" t="str">
        <f t="shared" si="553"/>
        <v>49100</v>
      </c>
      <c r="B15506" s="2" t="str">
        <f>"55952"</f>
        <v>55952</v>
      </c>
      <c r="C15506" s="1">
        <v>4.4328383977900503E-2</v>
      </c>
      <c r="D15506" s="1">
        <v>1.1437095972153101E-2</v>
      </c>
      <c r="E15506" s="1">
        <v>2.2808267997148898E-2</v>
      </c>
      <c r="F15506" s="1">
        <v>4.0704235949138502E-2</v>
      </c>
    </row>
    <row r="15507" spans="1:6" x14ac:dyDescent="0.25">
      <c r="A15507" s="2" t="str">
        <f t="shared" si="553"/>
        <v>49100</v>
      </c>
      <c r="B15507" s="2" t="str">
        <f>"55925"</f>
        <v>55925</v>
      </c>
      <c r="C15507" s="1">
        <v>2.08045580110497E-2</v>
      </c>
      <c r="D15507" s="1">
        <v>1.1934361014420599E-2</v>
      </c>
      <c r="E15507" s="1">
        <v>4.2765502494654297E-3</v>
      </c>
      <c r="F15507" s="1">
        <v>1.9261154164472102E-2</v>
      </c>
    </row>
    <row r="15508" spans="1:6" x14ac:dyDescent="0.25">
      <c r="A15508" s="2" t="str">
        <f t="shared" si="553"/>
        <v>49100</v>
      </c>
      <c r="B15508" s="2" t="str">
        <f>"55910"</f>
        <v>55910</v>
      </c>
      <c r="C15508" s="1">
        <v>2.3739640883977901E-2</v>
      </c>
      <c r="D15508" s="1">
        <v>1.6409746394828399E-2</v>
      </c>
      <c r="E15508" s="1">
        <v>9.2658588738417594E-3</v>
      </c>
      <c r="F15508" s="1">
        <v>2.2421187269580901E-2</v>
      </c>
    </row>
    <row r="15509" spans="1:6" x14ac:dyDescent="0.25">
      <c r="A15509" s="2" t="str">
        <f t="shared" ref="A15509:A15524" si="554">"32140"</f>
        <v>32140</v>
      </c>
      <c r="B15509" s="2" t="str">
        <f>"56297"</f>
        <v>56297</v>
      </c>
      <c r="C15509" s="1">
        <v>1.68321831341524E-4</v>
      </c>
      <c r="D15509" s="1">
        <v>0</v>
      </c>
      <c r="E15509" s="1">
        <v>0</v>
      </c>
      <c r="F15509" s="1">
        <v>1.4456089627755601E-4</v>
      </c>
    </row>
    <row r="15510" spans="1:6" x14ac:dyDescent="0.25">
      <c r="A15510" s="2" t="str">
        <f t="shared" si="554"/>
        <v>32140</v>
      </c>
      <c r="B15510" s="2" t="str">
        <f>"56178"</f>
        <v>56178</v>
      </c>
      <c r="C15510" s="1">
        <v>1.9357010604275299E-3</v>
      </c>
      <c r="D15510" s="1">
        <v>0</v>
      </c>
      <c r="E15510" s="1">
        <v>0</v>
      </c>
      <c r="F15510" s="1">
        <v>1.6624503071919E-3</v>
      </c>
    </row>
    <row r="15511" spans="1:6" x14ac:dyDescent="0.25">
      <c r="A15511" s="2" t="str">
        <f t="shared" si="554"/>
        <v>32140</v>
      </c>
      <c r="B15511" s="2" t="str">
        <f>"56115"</f>
        <v>56115</v>
      </c>
      <c r="C15511" s="1">
        <v>4.7382595522639202E-2</v>
      </c>
      <c r="D15511" s="1">
        <v>7.9872204472843395E-3</v>
      </c>
      <c r="E15511" s="1">
        <v>7.1326676176890098E-3</v>
      </c>
      <c r="F15511" s="1">
        <v>4.1778099024213901E-2</v>
      </c>
    </row>
    <row r="15512" spans="1:6" x14ac:dyDescent="0.25">
      <c r="A15512" s="2" t="str">
        <f t="shared" si="554"/>
        <v>32140</v>
      </c>
      <c r="B15512" s="2" t="str">
        <f>"56291"</f>
        <v>56291</v>
      </c>
      <c r="C15512" s="1">
        <v>1.0604275374516E-2</v>
      </c>
      <c r="D15512" s="1">
        <v>5.5910543130990404E-3</v>
      </c>
      <c r="E15512" s="1">
        <v>5.7061340941512101E-3</v>
      </c>
      <c r="F15512" s="1">
        <v>9.9024213950126404E-3</v>
      </c>
    </row>
    <row r="15513" spans="1:6" x14ac:dyDescent="0.25">
      <c r="A15513" s="2" t="str">
        <f t="shared" si="554"/>
        <v>32140</v>
      </c>
      <c r="B15513" s="2" t="str">
        <f>"56264"</f>
        <v>56264</v>
      </c>
      <c r="C15513" s="1">
        <v>6.9769399091062098E-2</v>
      </c>
      <c r="D15513" s="1">
        <v>3.2747603833865803E-2</v>
      </c>
      <c r="E15513" s="1">
        <v>2.8530670470756001E-2</v>
      </c>
      <c r="F15513" s="1">
        <v>6.4329598843512803E-2</v>
      </c>
    </row>
    <row r="15514" spans="1:6" x14ac:dyDescent="0.25">
      <c r="A15514" s="2" t="str">
        <f t="shared" si="554"/>
        <v>32140</v>
      </c>
      <c r="B15514" s="2" t="str">
        <f>"56229"</f>
        <v>56229</v>
      </c>
      <c r="C15514" s="1">
        <v>5.8660158222521401E-2</v>
      </c>
      <c r="D15514" s="1">
        <v>1.91693290734824E-2</v>
      </c>
      <c r="E15514" s="1">
        <v>1.8544935805991401E-2</v>
      </c>
      <c r="F15514" s="1">
        <v>5.30538489338633E-2</v>
      </c>
    </row>
    <row r="15515" spans="1:6" x14ac:dyDescent="0.25">
      <c r="A15515" s="2" t="str">
        <f t="shared" si="554"/>
        <v>32140</v>
      </c>
      <c r="B15515" s="2" t="str">
        <f>"56132"</f>
        <v>56132</v>
      </c>
      <c r="C15515" s="1">
        <v>1.26241373506143E-2</v>
      </c>
      <c r="D15515" s="1">
        <v>8.7859424920127705E-3</v>
      </c>
      <c r="E15515" s="1">
        <v>1.4265335235377999E-3</v>
      </c>
      <c r="F15515" s="1">
        <v>1.1709432598482099E-2</v>
      </c>
    </row>
    <row r="15516" spans="1:6" x14ac:dyDescent="0.25">
      <c r="A15516" s="2" t="str">
        <f t="shared" si="554"/>
        <v>32140</v>
      </c>
      <c r="B15516" s="2" t="str">
        <f>"56258"</f>
        <v>56258</v>
      </c>
      <c r="C15516" s="1">
        <v>0.61201817875778397</v>
      </c>
      <c r="D15516" s="1">
        <v>0.80111821086261903</v>
      </c>
      <c r="E15516" s="1">
        <v>0.85877318116975698</v>
      </c>
      <c r="F15516" s="1">
        <v>0.641633538127936</v>
      </c>
    </row>
    <row r="15517" spans="1:6" x14ac:dyDescent="0.25">
      <c r="A15517" s="2" t="str">
        <f t="shared" si="554"/>
        <v>32140</v>
      </c>
      <c r="B15517" s="2" t="str">
        <f>"56220"</f>
        <v>56220</v>
      </c>
      <c r="C15517" s="1">
        <v>2.5248274701228699E-4</v>
      </c>
      <c r="D15517" s="1">
        <v>0</v>
      </c>
      <c r="E15517" s="1">
        <v>0</v>
      </c>
      <c r="F15517" s="1">
        <v>2.16841344416335E-4</v>
      </c>
    </row>
    <row r="15518" spans="1:6" x14ac:dyDescent="0.25">
      <c r="A15518" s="2" t="str">
        <f t="shared" si="554"/>
        <v>32140</v>
      </c>
      <c r="B15518" s="2" t="str">
        <f>"56175"</f>
        <v>56175</v>
      </c>
      <c r="C15518" s="1">
        <v>0.105706110082477</v>
      </c>
      <c r="D15518" s="1">
        <v>0.11261980830670899</v>
      </c>
      <c r="E15518" s="1">
        <v>5.5634807417974302E-2</v>
      </c>
      <c r="F15518" s="1">
        <v>0.103794723527285</v>
      </c>
    </row>
    <row r="15519" spans="1:6" x14ac:dyDescent="0.25">
      <c r="A15519" s="2" t="str">
        <f t="shared" si="554"/>
        <v>32140</v>
      </c>
      <c r="B15519" s="2" t="str">
        <f>"56157"</f>
        <v>56157</v>
      </c>
      <c r="C15519" s="1">
        <v>2.6005722942265601E-2</v>
      </c>
      <c r="D15519" s="1">
        <v>3.9936102236421698E-3</v>
      </c>
      <c r="E15519" s="1">
        <v>1.4265335235378001E-2</v>
      </c>
      <c r="F15519" s="1">
        <v>2.3418865196964199E-2</v>
      </c>
    </row>
    <row r="15520" spans="1:6" x14ac:dyDescent="0.25">
      <c r="A15520" s="2" t="str">
        <f t="shared" si="554"/>
        <v>32140</v>
      </c>
      <c r="B15520" s="2" t="str">
        <f>"56239"</f>
        <v>56239</v>
      </c>
      <c r="C15520" s="1">
        <v>2.0619424339336799E-2</v>
      </c>
      <c r="D15520" s="1">
        <v>6.3897763578274697E-3</v>
      </c>
      <c r="E15520" s="1">
        <v>5.7061340941512101E-3</v>
      </c>
      <c r="F15520" s="1">
        <v>1.8576075171665998E-2</v>
      </c>
    </row>
    <row r="15521" spans="1:6" x14ac:dyDescent="0.25">
      <c r="A15521" s="2" t="str">
        <f t="shared" si="554"/>
        <v>32140</v>
      </c>
      <c r="B15521" s="2" t="str">
        <f>"56113"</f>
        <v>56113</v>
      </c>
      <c r="C15521" s="1">
        <v>3.3664366268304897E-4</v>
      </c>
      <c r="D15521" s="1">
        <v>0</v>
      </c>
      <c r="E15521" s="1">
        <v>0</v>
      </c>
      <c r="F15521" s="1">
        <v>2.8912179255511299E-4</v>
      </c>
    </row>
    <row r="15522" spans="1:6" x14ac:dyDescent="0.25">
      <c r="A15522" s="2" t="str">
        <f t="shared" si="554"/>
        <v>32140</v>
      </c>
      <c r="B15522" s="2" t="str">
        <f>"56169"</f>
        <v>56169</v>
      </c>
      <c r="C15522" s="1">
        <v>2.8698872243730002E-2</v>
      </c>
      <c r="D15522" s="1">
        <v>7.9872204472843404E-4</v>
      </c>
      <c r="E15522" s="1">
        <v>4.2796005706134E-3</v>
      </c>
      <c r="F15522" s="1">
        <v>2.4936754607878499E-2</v>
      </c>
    </row>
    <row r="15523" spans="1:6" x14ac:dyDescent="0.25">
      <c r="A15523" s="2" t="str">
        <f t="shared" si="554"/>
        <v>32140</v>
      </c>
      <c r="B15523" s="2" t="str">
        <f>"56170"</f>
        <v>56170</v>
      </c>
      <c r="C15523" s="1">
        <v>3.61891937384278E-3</v>
      </c>
      <c r="D15523" s="1">
        <v>7.9872204472843404E-4</v>
      </c>
      <c r="E15523" s="1">
        <v>0</v>
      </c>
      <c r="F15523" s="1">
        <v>3.1803397181062502E-3</v>
      </c>
    </row>
    <row r="15524" spans="1:6" x14ac:dyDescent="0.25">
      <c r="A15524" s="2" t="str">
        <f t="shared" si="554"/>
        <v>32140</v>
      </c>
      <c r="B15524" s="2" t="str">
        <f>"56263"</f>
        <v>56263</v>
      </c>
      <c r="C15524" s="1">
        <v>1.59905739774448E-3</v>
      </c>
      <c r="D15524" s="1">
        <v>0</v>
      </c>
      <c r="E15524" s="1">
        <v>0</v>
      </c>
      <c r="F15524" s="1">
        <v>1.37332851463679E-3</v>
      </c>
    </row>
    <row r="15525" spans="1:6" x14ac:dyDescent="0.25">
      <c r="A15525" s="2" t="str">
        <f t="shared" ref="A15525:A15542" si="555">"10820"</f>
        <v>10820</v>
      </c>
      <c r="B15525" s="2" t="str">
        <f>"56309"</f>
        <v>56309</v>
      </c>
      <c r="C15525" s="1">
        <v>6.7629583111926904E-4</v>
      </c>
      <c r="D15525" s="1">
        <v>4.8756704046806402E-4</v>
      </c>
      <c r="E15525" s="1">
        <v>0</v>
      </c>
      <c r="F15525" s="1">
        <v>6.4023219087455696E-4</v>
      </c>
    </row>
    <row r="15526" spans="1:6" x14ac:dyDescent="0.25">
      <c r="A15526" s="2" t="str">
        <f t="shared" si="555"/>
        <v>10820</v>
      </c>
      <c r="B15526" s="2" t="str">
        <f>"56355"</f>
        <v>56355</v>
      </c>
      <c r="C15526" s="1">
        <v>1.1497029129027499E-2</v>
      </c>
      <c r="D15526" s="1">
        <v>8.2886396879570893E-3</v>
      </c>
      <c r="E15526" s="1">
        <v>4.4313146233382504E-3</v>
      </c>
      <c r="F15526" s="1">
        <v>1.1011993683042299E-2</v>
      </c>
    </row>
    <row r="15527" spans="1:6" x14ac:dyDescent="0.25">
      <c r="A15527" s="2" t="str">
        <f t="shared" si="555"/>
        <v>10820</v>
      </c>
      <c r="B15527" s="2" t="str">
        <f>"56334"</f>
        <v>56334</v>
      </c>
      <c r="C15527" s="1">
        <v>4.4925365924351401E-3</v>
      </c>
      <c r="D15527" s="1">
        <v>1.4627011214041899E-3</v>
      </c>
      <c r="E15527" s="1">
        <v>1.4771048744460799E-3</v>
      </c>
      <c r="F15527" s="1">
        <v>4.1401681676554603E-3</v>
      </c>
    </row>
    <row r="15528" spans="1:6" x14ac:dyDescent="0.25">
      <c r="A15528" s="2" t="str">
        <f t="shared" si="555"/>
        <v>10820</v>
      </c>
      <c r="B15528" s="2" t="str">
        <f>"56360"</f>
        <v>56360</v>
      </c>
      <c r="C15528" s="1">
        <v>5.5456258151780097E-2</v>
      </c>
      <c r="D15528" s="1">
        <v>1.5114578254509899E-2</v>
      </c>
      <c r="E15528" s="1">
        <v>5.0221565731166901E-2</v>
      </c>
      <c r="F15528" s="1">
        <v>5.1773443168722497E-2</v>
      </c>
    </row>
    <row r="15529" spans="1:6" x14ac:dyDescent="0.25">
      <c r="A15529" s="2" t="str">
        <f t="shared" si="555"/>
        <v>10820</v>
      </c>
      <c r="B15529" s="2" t="str">
        <f>"56354"</f>
        <v>56354</v>
      </c>
      <c r="C15529" s="1">
        <v>4.0481136176996203E-2</v>
      </c>
      <c r="D15529" s="1">
        <v>9.2637737688932194E-3</v>
      </c>
      <c r="E15529" s="1">
        <v>1.6248153618906899E-2</v>
      </c>
      <c r="F15529" s="1">
        <v>3.7048102778607699E-2</v>
      </c>
    </row>
    <row r="15530" spans="1:6" x14ac:dyDescent="0.25">
      <c r="A15530" s="2" t="str">
        <f t="shared" si="555"/>
        <v>10820</v>
      </c>
      <c r="B15530" s="2" t="str">
        <f>"56385"</f>
        <v>56385</v>
      </c>
      <c r="C15530" s="1">
        <v>6.2798898603932105E-4</v>
      </c>
      <c r="D15530" s="1">
        <v>0</v>
      </c>
      <c r="E15530" s="1">
        <v>0</v>
      </c>
      <c r="F15530" s="1">
        <v>5.5486789875794904E-4</v>
      </c>
    </row>
    <row r="15531" spans="1:6" x14ac:dyDescent="0.25">
      <c r="A15531" s="2" t="str">
        <f t="shared" si="555"/>
        <v>10820</v>
      </c>
      <c r="B15531" s="2" t="str">
        <f>"56339"</f>
        <v>56339</v>
      </c>
      <c r="C15531" s="1">
        <v>3.0916380851166601E-3</v>
      </c>
      <c r="D15531" s="1">
        <v>4.8756704046806402E-4</v>
      </c>
      <c r="E15531" s="1">
        <v>0</v>
      </c>
      <c r="F15531" s="1">
        <v>2.7743394937897398E-3</v>
      </c>
    </row>
    <row r="15532" spans="1:6" x14ac:dyDescent="0.25">
      <c r="A15532" s="2" t="str">
        <f t="shared" si="555"/>
        <v>10820</v>
      </c>
      <c r="B15532" s="2" t="str">
        <f>"56332"</f>
        <v>56332</v>
      </c>
      <c r="C15532" s="1">
        <v>3.1785904062605598E-2</v>
      </c>
      <c r="D15532" s="1">
        <v>9.2637737688932194E-3</v>
      </c>
      <c r="E15532" s="1">
        <v>1.47710487444608E-2</v>
      </c>
      <c r="F15532" s="1">
        <v>2.9322634342054701E-2</v>
      </c>
    </row>
    <row r="15533" spans="1:6" x14ac:dyDescent="0.25">
      <c r="A15533" s="2" t="str">
        <f t="shared" si="555"/>
        <v>10820</v>
      </c>
      <c r="B15533" s="2" t="str">
        <f>"56327"</f>
        <v>56327</v>
      </c>
      <c r="C15533" s="1">
        <v>1.6520941017342101E-2</v>
      </c>
      <c r="D15533" s="1">
        <v>2.43783520234032E-3</v>
      </c>
      <c r="E15533" s="1">
        <v>1.4771048744460799E-3</v>
      </c>
      <c r="F15533" s="1">
        <v>1.48533868282897E-2</v>
      </c>
    </row>
    <row r="15534" spans="1:6" x14ac:dyDescent="0.25">
      <c r="A15534" s="2" t="str">
        <f t="shared" si="555"/>
        <v>10820</v>
      </c>
      <c r="B15534" s="2" t="str">
        <f>"56361"</f>
        <v>56361</v>
      </c>
      <c r="C15534" s="1">
        <v>1.0096130621709E-2</v>
      </c>
      <c r="D15534" s="1">
        <v>0</v>
      </c>
      <c r="E15534" s="1">
        <v>2.9542097488921698E-3</v>
      </c>
      <c r="F15534" s="1">
        <v>9.0059328183020992E-3</v>
      </c>
    </row>
    <row r="15535" spans="1:6" x14ac:dyDescent="0.25">
      <c r="A15535" s="2" t="str">
        <f t="shared" si="555"/>
        <v>10820</v>
      </c>
      <c r="B15535" s="2" t="str">
        <f>"56315"</f>
        <v>56315</v>
      </c>
      <c r="C15535" s="1">
        <v>3.3428336795323803E-2</v>
      </c>
      <c r="D15535" s="1">
        <v>1.2676743052169599E-2</v>
      </c>
      <c r="E15535" s="1">
        <v>7.3855243722304202E-3</v>
      </c>
      <c r="F15535" s="1">
        <v>3.0859191600153602E-2</v>
      </c>
    </row>
    <row r="15536" spans="1:6" x14ac:dyDescent="0.25">
      <c r="A15536" s="2" t="str">
        <f t="shared" si="555"/>
        <v>10820</v>
      </c>
      <c r="B15536" s="2" t="str">
        <f>"56319"</f>
        <v>56319</v>
      </c>
      <c r="C15536" s="1">
        <v>2.79696633012897E-2</v>
      </c>
      <c r="D15536" s="1">
        <v>4.3881033642125698E-3</v>
      </c>
      <c r="E15536" s="1">
        <v>1.1816838995568599E-2</v>
      </c>
      <c r="F15536" s="1">
        <v>2.5438559050749002E-2</v>
      </c>
    </row>
    <row r="15537" spans="1:6" x14ac:dyDescent="0.25">
      <c r="A15537" s="2" t="str">
        <f t="shared" si="555"/>
        <v>10820</v>
      </c>
      <c r="B15537" s="2" t="str">
        <f>"56341"</f>
        <v>56341</v>
      </c>
      <c r="C15537" s="1">
        <v>0</v>
      </c>
      <c r="D15537" s="1">
        <v>0</v>
      </c>
      <c r="E15537" s="1">
        <v>1.4771048744460799E-3</v>
      </c>
      <c r="F15537" s="1">
        <v>4.26821460583038E-5</v>
      </c>
    </row>
    <row r="15538" spans="1:6" x14ac:dyDescent="0.25">
      <c r="A15538" s="2" t="str">
        <f t="shared" si="555"/>
        <v>10820</v>
      </c>
      <c r="B15538" s="2" t="str">
        <f>"56349"</f>
        <v>56349</v>
      </c>
      <c r="C15538" s="1">
        <v>2.5119559441572799E-3</v>
      </c>
      <c r="D15538" s="1">
        <v>0</v>
      </c>
      <c r="E15538" s="1">
        <v>0</v>
      </c>
      <c r="F15538" s="1">
        <v>2.2194715950317901E-3</v>
      </c>
    </row>
    <row r="15539" spans="1:6" x14ac:dyDescent="0.25">
      <c r="A15539" s="2" t="str">
        <f t="shared" si="555"/>
        <v>10820</v>
      </c>
      <c r="B15539" s="2" t="str">
        <f>"56343"</f>
        <v>56343</v>
      </c>
      <c r="C15539" s="1">
        <v>1.62310999468624E-2</v>
      </c>
      <c r="D15539" s="1">
        <v>4.87567040468064E-3</v>
      </c>
      <c r="E15539" s="1">
        <v>1.4771048744460799E-3</v>
      </c>
      <c r="F15539" s="1">
        <v>1.4810704682231401E-2</v>
      </c>
    </row>
    <row r="15540" spans="1:6" x14ac:dyDescent="0.25">
      <c r="A15540" s="2" t="str">
        <f t="shared" si="555"/>
        <v>10820</v>
      </c>
      <c r="B15540" s="2" t="str">
        <f>"56446"</f>
        <v>56446</v>
      </c>
      <c r="C15540" s="1">
        <v>1.83566011303801E-3</v>
      </c>
      <c r="D15540" s="1">
        <v>1.4627011214041899E-3</v>
      </c>
      <c r="E15540" s="1">
        <v>0</v>
      </c>
      <c r="F15540" s="1">
        <v>1.7499679883904501E-3</v>
      </c>
    </row>
    <row r="15541" spans="1:6" x14ac:dyDescent="0.25">
      <c r="A15541" s="2" t="str">
        <f t="shared" si="555"/>
        <v>10820</v>
      </c>
      <c r="B15541" s="2" t="str">
        <f>"56326"</f>
        <v>56326</v>
      </c>
      <c r="C15541" s="1">
        <v>3.6519974880440502E-2</v>
      </c>
      <c r="D15541" s="1">
        <v>1.2189176011701599E-2</v>
      </c>
      <c r="E15541" s="1">
        <v>2.5110782865583402E-2</v>
      </c>
      <c r="F15541" s="1">
        <v>3.4060352554526399E-2</v>
      </c>
    </row>
    <row r="15542" spans="1:6" x14ac:dyDescent="0.25">
      <c r="A15542" s="2" t="str">
        <f t="shared" si="555"/>
        <v>10820</v>
      </c>
      <c r="B15542" s="2" t="str">
        <f>"56308"</f>
        <v>56308</v>
      </c>
      <c r="C15542" s="1">
        <v>0.70677745036471595</v>
      </c>
      <c r="D15542" s="1">
        <v>0.91760117016089704</v>
      </c>
      <c r="E15542" s="1">
        <v>0.86115214180206701</v>
      </c>
      <c r="F15542" s="1">
        <v>0.72969396901276096</v>
      </c>
    </row>
    <row r="15543" spans="1:6" x14ac:dyDescent="0.25">
      <c r="A15543" s="2" t="str">
        <f t="shared" ref="A15543:A15574" si="556">"22020"</f>
        <v>22020</v>
      </c>
      <c r="B15543" s="2" t="str">
        <f>"58122"</f>
        <v>58122</v>
      </c>
      <c r="C15543" s="1">
        <v>0</v>
      </c>
      <c r="D15543" s="1">
        <v>8.4509422800642194E-5</v>
      </c>
      <c r="E15543" s="1">
        <v>0</v>
      </c>
      <c r="F15543" s="1">
        <v>7.2200080864090502E-6</v>
      </c>
    </row>
    <row r="15544" spans="1:6" x14ac:dyDescent="0.25">
      <c r="A15544" s="2" t="str">
        <f t="shared" si="556"/>
        <v>22020</v>
      </c>
      <c r="B15544" s="2" t="str">
        <f>"58006"</f>
        <v>58006</v>
      </c>
      <c r="C15544" s="1">
        <v>8.8456062610043501E-4</v>
      </c>
      <c r="D15544" s="1">
        <v>8.4509422800642194E-5</v>
      </c>
      <c r="E15544" s="1">
        <v>1.1295180722891501E-3</v>
      </c>
      <c r="F15544" s="1">
        <v>8.3030092993704096E-4</v>
      </c>
    </row>
    <row r="15545" spans="1:6" x14ac:dyDescent="0.25">
      <c r="A15545" s="2" t="str">
        <f t="shared" si="556"/>
        <v>22020</v>
      </c>
      <c r="B15545" s="2" t="str">
        <f>"58002"</f>
        <v>58002</v>
      </c>
      <c r="C15545" s="1">
        <v>1.3479019064387501E-4</v>
      </c>
      <c r="D15545" s="1">
        <v>0</v>
      </c>
      <c r="E15545" s="1">
        <v>1.2550200803212799E-4</v>
      </c>
      <c r="F15545" s="1">
        <v>1.22740137468953E-4</v>
      </c>
    </row>
    <row r="15546" spans="1:6" x14ac:dyDescent="0.25">
      <c r="A15546" s="2" t="str">
        <f t="shared" si="556"/>
        <v>22020</v>
      </c>
      <c r="B15546" s="2" t="str">
        <f>"58051"</f>
        <v>58051</v>
      </c>
      <c r="C15546" s="1">
        <v>4.9788126669081598E-3</v>
      </c>
      <c r="D15546" s="1">
        <v>1.7746978788134801E-3</v>
      </c>
      <c r="E15546" s="1">
        <v>3.1375502008032098E-3</v>
      </c>
      <c r="F15546" s="1">
        <v>4.5991451510425602E-3</v>
      </c>
    </row>
    <row r="15547" spans="1:6" x14ac:dyDescent="0.25">
      <c r="A15547" s="2" t="str">
        <f t="shared" si="556"/>
        <v>22020</v>
      </c>
      <c r="B15547" s="2" t="str">
        <f>"58103"</f>
        <v>58103</v>
      </c>
      <c r="C15547" s="1">
        <v>0.20539497738052101</v>
      </c>
      <c r="D15547" s="1">
        <v>0.23417561058057901</v>
      </c>
      <c r="E15547" s="1">
        <v>0.30396586345381499</v>
      </c>
      <c r="F15547" s="1">
        <v>0.21352451914746101</v>
      </c>
    </row>
    <row r="15548" spans="1:6" x14ac:dyDescent="0.25">
      <c r="A15548" s="2" t="str">
        <f t="shared" si="556"/>
        <v>22020</v>
      </c>
      <c r="B15548" s="2" t="str">
        <f>"56529"</f>
        <v>56529</v>
      </c>
      <c r="C15548" s="1">
        <v>2.0294348078818501E-2</v>
      </c>
      <c r="D15548" s="1">
        <v>1.0563677850080199E-2</v>
      </c>
      <c r="E15548" s="1">
        <v>7.6556224899598296E-3</v>
      </c>
      <c r="F15548" s="1">
        <v>1.8735920984231502E-2</v>
      </c>
    </row>
    <row r="15549" spans="1:6" x14ac:dyDescent="0.25">
      <c r="A15549" s="2" t="str">
        <f t="shared" si="556"/>
        <v>22020</v>
      </c>
      <c r="B15549" s="2" t="str">
        <f>"58102"</f>
        <v>58102</v>
      </c>
      <c r="C15549" s="1">
        <v>0.14046822742474899</v>
      </c>
      <c r="D15549" s="1">
        <v>0.16386377081044501</v>
      </c>
      <c r="E15549" s="1">
        <v>0.215988955823293</v>
      </c>
      <c r="F15549" s="1">
        <v>0.14681164442904099</v>
      </c>
    </row>
    <row r="15550" spans="1:6" x14ac:dyDescent="0.25">
      <c r="A15550" s="2" t="str">
        <f t="shared" si="556"/>
        <v>22020</v>
      </c>
      <c r="B15550" s="2" t="str">
        <f>"56594"</f>
        <v>56594</v>
      </c>
      <c r="C15550" s="1">
        <v>2.52731607457267E-5</v>
      </c>
      <c r="D15550" s="1">
        <v>8.4509422800642194E-5</v>
      </c>
      <c r="E15550" s="1">
        <v>0</v>
      </c>
      <c r="F15550" s="1">
        <v>2.8880032345636201E-5</v>
      </c>
    </row>
    <row r="15551" spans="1:6" x14ac:dyDescent="0.25">
      <c r="A15551" s="2" t="str">
        <f t="shared" si="556"/>
        <v>22020</v>
      </c>
      <c r="B15551" s="2" t="str">
        <f>"56574"</f>
        <v>56574</v>
      </c>
      <c r="C15551" s="1">
        <v>3.3697547660968902E-5</v>
      </c>
      <c r="D15551" s="1">
        <v>0</v>
      </c>
      <c r="E15551" s="1">
        <v>0</v>
      </c>
      <c r="F15551" s="1">
        <v>2.8880032345636201E-5</v>
      </c>
    </row>
    <row r="15552" spans="1:6" x14ac:dyDescent="0.25">
      <c r="A15552" s="2" t="str">
        <f t="shared" si="556"/>
        <v>22020</v>
      </c>
      <c r="B15552" s="2" t="str">
        <f>"58105"</f>
        <v>58105</v>
      </c>
      <c r="C15552" s="1">
        <v>2.6958038128775102E-3</v>
      </c>
      <c r="D15552" s="1">
        <v>7.9438857432603694E-3</v>
      </c>
      <c r="E15552" s="1">
        <v>2.6355421686746899E-3</v>
      </c>
      <c r="F15552" s="1">
        <v>3.1407035175879299E-3</v>
      </c>
    </row>
    <row r="15553" spans="1:6" x14ac:dyDescent="0.25">
      <c r="A15553" s="2" t="str">
        <f t="shared" si="556"/>
        <v>22020</v>
      </c>
      <c r="B15553" s="2" t="str">
        <f>"58021"</f>
        <v>58021</v>
      </c>
      <c r="C15553" s="1">
        <v>1.55008719240457E-3</v>
      </c>
      <c r="D15553" s="1">
        <v>1.6901884560128401E-4</v>
      </c>
      <c r="E15553" s="1">
        <v>3.7650602409638502E-4</v>
      </c>
      <c r="F15553" s="1">
        <v>1.36458152833131E-3</v>
      </c>
    </row>
    <row r="15554" spans="1:6" x14ac:dyDescent="0.25">
      <c r="A15554" s="2" t="str">
        <f t="shared" si="556"/>
        <v>22020</v>
      </c>
      <c r="B15554" s="2" t="str">
        <f>"58079"</f>
        <v>58079</v>
      </c>
      <c r="C15554" s="1">
        <v>1.9965796989124102E-3</v>
      </c>
      <c r="D15554" s="1">
        <v>9.2960365080706404E-4</v>
      </c>
      <c r="E15554" s="1">
        <v>6.2751004016064202E-4</v>
      </c>
      <c r="F15554" s="1">
        <v>1.8266620458614899E-3</v>
      </c>
    </row>
    <row r="15555" spans="1:6" x14ac:dyDescent="0.25">
      <c r="A15555" s="2" t="str">
        <f t="shared" si="556"/>
        <v>22020</v>
      </c>
      <c r="B15555" s="2" t="str">
        <f>"58071"</f>
        <v>58071</v>
      </c>
      <c r="C15555" s="1">
        <v>1.3815994540997199E-3</v>
      </c>
      <c r="D15555" s="1">
        <v>4.2254711400321101E-4</v>
      </c>
      <c r="E15555" s="1">
        <v>1.1295180722891501E-3</v>
      </c>
      <c r="F15555" s="1">
        <v>1.2851614393808101E-3</v>
      </c>
    </row>
    <row r="15556" spans="1:6" x14ac:dyDescent="0.25">
      <c r="A15556" s="2" t="str">
        <f t="shared" si="556"/>
        <v>22020</v>
      </c>
      <c r="B15556" s="2" t="str">
        <f>"56580"</f>
        <v>56580</v>
      </c>
      <c r="C15556" s="1">
        <v>3.9089155286723999E-3</v>
      </c>
      <c r="D15556" s="1">
        <v>6.7607538240513799E-4</v>
      </c>
      <c r="E15556" s="1">
        <v>3.7650602409638502E-4</v>
      </c>
      <c r="F15556" s="1">
        <v>3.4295038410443002E-3</v>
      </c>
    </row>
    <row r="15557" spans="1:6" x14ac:dyDescent="0.25">
      <c r="A15557" s="2" t="str">
        <f t="shared" si="556"/>
        <v>22020</v>
      </c>
      <c r="B15557" s="2" t="str">
        <f>"56554"</f>
        <v>56554</v>
      </c>
      <c r="C15557" s="1">
        <v>4.5491689342308099E-4</v>
      </c>
      <c r="D15557" s="1">
        <v>2.53528268401926E-4</v>
      </c>
      <c r="E15557" s="1">
        <v>0</v>
      </c>
      <c r="F15557" s="1">
        <v>4.1154046092531599E-4</v>
      </c>
    </row>
    <row r="15558" spans="1:6" x14ac:dyDescent="0.25">
      <c r="A15558" s="2" t="str">
        <f t="shared" si="556"/>
        <v>22020</v>
      </c>
      <c r="B15558" s="2" t="str">
        <f>"56536"</f>
        <v>56536</v>
      </c>
      <c r="C15558" s="1">
        <v>1.3731750671844799E-3</v>
      </c>
      <c r="D15558" s="1">
        <v>3.3803769120256899E-4</v>
      </c>
      <c r="E15558" s="1">
        <v>2.5100401606425701E-4</v>
      </c>
      <c r="F15558" s="1">
        <v>1.2201813666031301E-3</v>
      </c>
    </row>
    <row r="15559" spans="1:6" x14ac:dyDescent="0.25">
      <c r="A15559" s="2" t="str">
        <f t="shared" si="556"/>
        <v>22020</v>
      </c>
      <c r="B15559" s="2" t="str">
        <f>"58106"</f>
        <v>58106</v>
      </c>
      <c r="C15559" s="1">
        <v>1.1204434597272101E-2</v>
      </c>
      <c r="D15559" s="1">
        <v>5.0536634834784003E-2</v>
      </c>
      <c r="E15559" s="1">
        <v>2.5100401606425701E-4</v>
      </c>
      <c r="F15559" s="1">
        <v>1.39346156067694E-2</v>
      </c>
    </row>
    <row r="15560" spans="1:6" x14ac:dyDescent="0.25">
      <c r="A15560" s="2" t="str">
        <f t="shared" si="556"/>
        <v>22020</v>
      </c>
      <c r="B15560" s="2" t="str">
        <f>"58035"</f>
        <v>58035</v>
      </c>
      <c r="C15560" s="1">
        <v>1.2636580372863299E-4</v>
      </c>
      <c r="D15560" s="1">
        <v>0</v>
      </c>
      <c r="E15560" s="1">
        <v>0</v>
      </c>
      <c r="F15560" s="1">
        <v>1.08300121296135E-4</v>
      </c>
    </row>
    <row r="15561" spans="1:6" x14ac:dyDescent="0.25">
      <c r="A15561" s="2" t="str">
        <f t="shared" si="556"/>
        <v>22020</v>
      </c>
      <c r="B15561" s="2" t="str">
        <f>"58052"</f>
        <v>58052</v>
      </c>
      <c r="C15561" s="1">
        <v>1.9291846035904699E-3</v>
      </c>
      <c r="D15561" s="1">
        <v>6.7607538240513799E-4</v>
      </c>
      <c r="E15561" s="1">
        <v>6.2751004016064202E-4</v>
      </c>
      <c r="F15561" s="1">
        <v>1.74724195691099E-3</v>
      </c>
    </row>
    <row r="15562" spans="1:6" x14ac:dyDescent="0.25">
      <c r="A15562" s="2" t="str">
        <f t="shared" si="556"/>
        <v>22020</v>
      </c>
      <c r="B15562" s="2" t="str">
        <f>"58048"</f>
        <v>58048</v>
      </c>
      <c r="C15562" s="1">
        <v>2.1060967288105601E-3</v>
      </c>
      <c r="D15562" s="1">
        <v>8.4509422800642202E-4</v>
      </c>
      <c r="E15562" s="1">
        <v>1.1295180722891501E-3</v>
      </c>
      <c r="F15562" s="1">
        <v>1.94218217524403E-3</v>
      </c>
    </row>
    <row r="15563" spans="1:6" x14ac:dyDescent="0.25">
      <c r="A15563" s="2" t="str">
        <f t="shared" si="556"/>
        <v>22020</v>
      </c>
      <c r="B15563" s="2" t="str">
        <f>"58027"</f>
        <v>58027</v>
      </c>
      <c r="C15563" s="1">
        <v>8.3401430460898203E-4</v>
      </c>
      <c r="D15563" s="1">
        <v>2.53528268401926E-4</v>
      </c>
      <c r="E15563" s="1">
        <v>1.2550200803212799E-4</v>
      </c>
      <c r="F15563" s="1">
        <v>7.4366083290013205E-4</v>
      </c>
    </row>
    <row r="15564" spans="1:6" x14ac:dyDescent="0.25">
      <c r="A15564" s="2" t="str">
        <f t="shared" si="556"/>
        <v>22020</v>
      </c>
      <c r="B15564" s="2" t="str">
        <f>"56563"</f>
        <v>56563</v>
      </c>
      <c r="C15564" s="1">
        <v>0</v>
      </c>
      <c r="D15564" s="1">
        <v>8.6115101833854402E-2</v>
      </c>
      <c r="E15564" s="1">
        <v>1.00401606425702E-3</v>
      </c>
      <c r="F15564" s="1">
        <v>7.4149483047420998E-3</v>
      </c>
    </row>
    <row r="15565" spans="1:6" x14ac:dyDescent="0.25">
      <c r="A15565" s="2" t="str">
        <f t="shared" si="556"/>
        <v>22020</v>
      </c>
      <c r="B15565" s="2" t="str">
        <f>"56552"</f>
        <v>56552</v>
      </c>
      <c r="C15565" s="1">
        <v>8.8456062610043501E-4</v>
      </c>
      <c r="D15565" s="1">
        <v>8.4509422800642194E-5</v>
      </c>
      <c r="E15565" s="1">
        <v>5.0200803212851401E-4</v>
      </c>
      <c r="F15565" s="1">
        <v>7.9420088950499603E-4</v>
      </c>
    </row>
    <row r="15566" spans="1:6" x14ac:dyDescent="0.25">
      <c r="A15566" s="2" t="str">
        <f t="shared" si="556"/>
        <v>22020</v>
      </c>
      <c r="B15566" s="2" t="str">
        <f>"56546"</f>
        <v>56546</v>
      </c>
      <c r="C15566" s="1">
        <v>1.01935081674431E-3</v>
      </c>
      <c r="D15566" s="1">
        <v>1.6901884560128401E-4</v>
      </c>
      <c r="E15566" s="1">
        <v>2.5100401606425701E-4</v>
      </c>
      <c r="F15566" s="1">
        <v>9.0250101080113201E-4</v>
      </c>
    </row>
    <row r="15567" spans="1:6" x14ac:dyDescent="0.25">
      <c r="A15567" s="2" t="str">
        <f t="shared" si="556"/>
        <v>22020</v>
      </c>
      <c r="B15567" s="2" t="str">
        <f>"56519"</f>
        <v>56519</v>
      </c>
      <c r="C15567" s="1">
        <v>3.7067302427065799E-4</v>
      </c>
      <c r="D15567" s="1">
        <v>8.4509422800642194E-5</v>
      </c>
      <c r="E15567" s="1">
        <v>0</v>
      </c>
      <c r="F15567" s="1">
        <v>3.2490036388840702E-4</v>
      </c>
    </row>
    <row r="15568" spans="1:6" x14ac:dyDescent="0.25">
      <c r="A15568" s="2" t="str">
        <f t="shared" si="556"/>
        <v>22020</v>
      </c>
      <c r="B15568" s="2" t="str">
        <f>"56525"</f>
        <v>56525</v>
      </c>
      <c r="C15568" s="1">
        <v>0</v>
      </c>
      <c r="D15568" s="1">
        <v>0</v>
      </c>
      <c r="E15568" s="1">
        <v>1.2550200803212799E-4</v>
      </c>
      <c r="F15568" s="1">
        <v>7.2200080864090502E-6</v>
      </c>
    </row>
    <row r="15569" spans="1:6" x14ac:dyDescent="0.25">
      <c r="A15569" s="2" t="str">
        <f t="shared" si="556"/>
        <v>22020</v>
      </c>
      <c r="B15569" s="2" t="str">
        <f>"58126"</f>
        <v>58126</v>
      </c>
      <c r="C15569" s="1">
        <v>0</v>
      </c>
      <c r="D15569" s="1">
        <v>8.4509422800642194E-5</v>
      </c>
      <c r="E15569" s="1">
        <v>0</v>
      </c>
      <c r="F15569" s="1">
        <v>7.2200080864090502E-6</v>
      </c>
    </row>
    <row r="15570" spans="1:6" x14ac:dyDescent="0.25">
      <c r="A15570" s="2" t="str">
        <f t="shared" si="556"/>
        <v>22020</v>
      </c>
      <c r="B15570" s="2" t="str">
        <f>"58125"</f>
        <v>58125</v>
      </c>
      <c r="C15570" s="1">
        <v>0</v>
      </c>
      <c r="D15570" s="1">
        <v>2.53528268401926E-4</v>
      </c>
      <c r="E15570" s="1">
        <v>0</v>
      </c>
      <c r="F15570" s="1">
        <v>2.16600242592271E-5</v>
      </c>
    </row>
    <row r="15571" spans="1:6" x14ac:dyDescent="0.25">
      <c r="A15571" s="2" t="str">
        <f t="shared" si="556"/>
        <v>22020</v>
      </c>
      <c r="B15571" s="2" t="str">
        <f>"58104"</f>
        <v>58104</v>
      </c>
      <c r="C15571" s="1">
        <v>0.19006259319478</v>
      </c>
      <c r="D15571" s="1">
        <v>9.3805459308712896E-2</v>
      </c>
      <c r="E15571" s="1">
        <v>0.14495481927710799</v>
      </c>
      <c r="F15571" s="1">
        <v>0.17924392075319101</v>
      </c>
    </row>
    <row r="15572" spans="1:6" x14ac:dyDescent="0.25">
      <c r="A15572" s="2" t="str">
        <f t="shared" si="556"/>
        <v>22020</v>
      </c>
      <c r="B15572" s="2" t="str">
        <f>"58046"</f>
        <v>58046</v>
      </c>
      <c r="C15572" s="1">
        <v>7.2449727471083204E-4</v>
      </c>
      <c r="D15572" s="1">
        <v>0</v>
      </c>
      <c r="E15572" s="1">
        <v>0</v>
      </c>
      <c r="F15572" s="1">
        <v>6.2092069543117799E-4</v>
      </c>
    </row>
    <row r="15573" spans="1:6" x14ac:dyDescent="0.25">
      <c r="A15573" s="2" t="str">
        <f t="shared" si="556"/>
        <v>22020</v>
      </c>
      <c r="B15573" s="2" t="str">
        <f>"58042"</f>
        <v>58042</v>
      </c>
      <c r="C15573" s="1">
        <v>4.8861444108404999E-3</v>
      </c>
      <c r="D15573" s="1">
        <v>1.3521507648102699E-3</v>
      </c>
      <c r="E15573" s="1">
        <v>1.00401606425702E-3</v>
      </c>
      <c r="F15573" s="1">
        <v>4.36088488419107E-3</v>
      </c>
    </row>
    <row r="15574" spans="1:6" x14ac:dyDescent="0.25">
      <c r="A15574" s="2" t="str">
        <f t="shared" si="556"/>
        <v>22020</v>
      </c>
      <c r="B15574" s="2" t="str">
        <f>"58036"</f>
        <v>58036</v>
      </c>
      <c r="C15574" s="1">
        <v>1.02777520365955E-3</v>
      </c>
      <c r="D15574" s="1">
        <v>6.7607538240513799E-4</v>
      </c>
      <c r="E15574" s="1">
        <v>1.2550200803212799E-4</v>
      </c>
      <c r="F15574" s="1">
        <v>9.4582105931958604E-4</v>
      </c>
    </row>
    <row r="15575" spans="1:6" x14ac:dyDescent="0.25">
      <c r="A15575" s="2" t="str">
        <f t="shared" ref="A15575:A15602" si="557">"22020"</f>
        <v>22020</v>
      </c>
      <c r="B15575" s="2" t="str">
        <f>"58064"</f>
        <v>58064</v>
      </c>
      <c r="C15575" s="1">
        <v>1.5837847400655401E-3</v>
      </c>
      <c r="D15575" s="1">
        <v>1.6901884560128401E-4</v>
      </c>
      <c r="E15575" s="1">
        <v>1.6315261044176699E-3</v>
      </c>
      <c r="F15575" s="1">
        <v>1.46566164154103E-3</v>
      </c>
    </row>
    <row r="15576" spans="1:6" x14ac:dyDescent="0.25">
      <c r="A15576" s="2" t="str">
        <f t="shared" si="557"/>
        <v>22020</v>
      </c>
      <c r="B15576" s="2" t="str">
        <f>"56584"</f>
        <v>56584</v>
      </c>
      <c r="C15576" s="1">
        <v>8.4243869152422407E-6</v>
      </c>
      <c r="D15576" s="1">
        <v>0</v>
      </c>
      <c r="E15576" s="1">
        <v>0</v>
      </c>
      <c r="F15576" s="1">
        <v>7.2200080864090502E-6</v>
      </c>
    </row>
    <row r="15577" spans="1:6" x14ac:dyDescent="0.25">
      <c r="A15577" s="2" t="str">
        <f t="shared" si="557"/>
        <v>22020</v>
      </c>
      <c r="B15577" s="2" t="str">
        <f>"56572"</f>
        <v>56572</v>
      </c>
      <c r="C15577" s="1">
        <v>1.9376089905057101E-4</v>
      </c>
      <c r="D15577" s="1">
        <v>8.4509422800642194E-5</v>
      </c>
      <c r="E15577" s="1">
        <v>0</v>
      </c>
      <c r="F15577" s="1">
        <v>1.7328019407381699E-4</v>
      </c>
    </row>
    <row r="15578" spans="1:6" x14ac:dyDescent="0.25">
      <c r="A15578" s="2" t="str">
        <f t="shared" si="557"/>
        <v>22020</v>
      </c>
      <c r="B15578" s="2" t="str">
        <f>"58124"</f>
        <v>58124</v>
      </c>
      <c r="C15578" s="1">
        <v>0</v>
      </c>
      <c r="D15578" s="1">
        <v>8.4509422800642194E-5</v>
      </c>
      <c r="E15578" s="1">
        <v>0</v>
      </c>
      <c r="F15578" s="1">
        <v>7.2200080864090502E-6</v>
      </c>
    </row>
    <row r="15579" spans="1:6" x14ac:dyDescent="0.25">
      <c r="A15579" s="2" t="str">
        <f t="shared" si="557"/>
        <v>22020</v>
      </c>
      <c r="B15579" s="2" t="str">
        <f>"58121"</f>
        <v>58121</v>
      </c>
      <c r="C15579" s="1">
        <v>0</v>
      </c>
      <c r="D15579" s="1">
        <v>8.4509422800642194E-5</v>
      </c>
      <c r="E15579" s="1">
        <v>0</v>
      </c>
      <c r="F15579" s="1">
        <v>7.2200080864090502E-6</v>
      </c>
    </row>
    <row r="15580" spans="1:6" x14ac:dyDescent="0.25">
      <c r="A15580" s="2" t="str">
        <f t="shared" si="557"/>
        <v>22020</v>
      </c>
      <c r="B15580" s="2" t="str">
        <f>"58109"</f>
        <v>58109</v>
      </c>
      <c r="C15580" s="1">
        <v>5.5600953640598798E-4</v>
      </c>
      <c r="D15580" s="1">
        <v>5.5776219048423803E-3</v>
      </c>
      <c r="E15580" s="1">
        <v>2.5100401606425701E-4</v>
      </c>
      <c r="F15580" s="1">
        <v>9.6748108357881299E-4</v>
      </c>
    </row>
    <row r="15581" spans="1:6" x14ac:dyDescent="0.25">
      <c r="A15581" s="2" t="str">
        <f t="shared" si="557"/>
        <v>22020</v>
      </c>
      <c r="B15581" s="2" t="str">
        <f>"58031"</f>
        <v>58031</v>
      </c>
      <c r="C15581" s="1">
        <v>8.4243869152422399E-4</v>
      </c>
      <c r="D15581" s="1">
        <v>1.6901884560128401E-4</v>
      </c>
      <c r="E15581" s="1">
        <v>1.2550200803212799E-4</v>
      </c>
      <c r="F15581" s="1">
        <v>7.4366083290013205E-4</v>
      </c>
    </row>
    <row r="15582" spans="1:6" x14ac:dyDescent="0.25">
      <c r="A15582" s="2" t="str">
        <f t="shared" si="557"/>
        <v>22020</v>
      </c>
      <c r="B15582" s="2" t="str">
        <f>"58047"</f>
        <v>58047</v>
      </c>
      <c r="C15582" s="1">
        <v>1.4489945494216601E-2</v>
      </c>
      <c r="D15582" s="1">
        <v>6.08467844164624E-3</v>
      </c>
      <c r="E15582" s="1">
        <v>2.76104417670682E-3</v>
      </c>
      <c r="F15582" s="1">
        <v>1.3097094668746E-2</v>
      </c>
    </row>
    <row r="15583" spans="1:6" x14ac:dyDescent="0.25">
      <c r="A15583" s="2" t="str">
        <f t="shared" si="557"/>
        <v>22020</v>
      </c>
      <c r="B15583" s="2" t="str">
        <f>"58012"</f>
        <v>58012</v>
      </c>
      <c r="C15583" s="1">
        <v>8.6518453619537795E-3</v>
      </c>
      <c r="D15583" s="1">
        <v>2.9578297980224701E-3</v>
      </c>
      <c r="E15583" s="1">
        <v>4.6435742971887503E-3</v>
      </c>
      <c r="F15583" s="1">
        <v>7.9347888869635494E-3</v>
      </c>
    </row>
    <row r="15584" spans="1:6" x14ac:dyDescent="0.25">
      <c r="A15584" s="2" t="str">
        <f t="shared" si="557"/>
        <v>22020</v>
      </c>
      <c r="B15584" s="2" t="str">
        <f>"58011"</f>
        <v>58011</v>
      </c>
      <c r="C15584" s="1">
        <v>1.46584332325215E-3</v>
      </c>
      <c r="D15584" s="1">
        <v>1.0141130736077001E-3</v>
      </c>
      <c r="E15584" s="1">
        <v>1.1295180722891501E-3</v>
      </c>
      <c r="F15584" s="1">
        <v>1.40790157684976E-3</v>
      </c>
    </row>
    <row r="15585" spans="1:6" x14ac:dyDescent="0.25">
      <c r="A15585" s="2" t="str">
        <f t="shared" si="557"/>
        <v>22020</v>
      </c>
      <c r="B15585" s="2" t="str">
        <f>"58005"</f>
        <v>58005</v>
      </c>
      <c r="C15585" s="1">
        <v>2.45992097925073E-3</v>
      </c>
      <c r="D15585" s="1">
        <v>2.53528268401926E-4</v>
      </c>
      <c r="E15585" s="1">
        <v>2.5100401606425701E-4</v>
      </c>
      <c r="F15585" s="1">
        <v>2.1443424016634799E-3</v>
      </c>
    </row>
    <row r="15586" spans="1:6" x14ac:dyDescent="0.25">
      <c r="A15586" s="2" t="str">
        <f t="shared" si="557"/>
        <v>22020</v>
      </c>
      <c r="B15586" s="2" t="str">
        <f>"58068"</f>
        <v>58068</v>
      </c>
      <c r="C15586" s="1">
        <v>1.68487738304844E-5</v>
      </c>
      <c r="D15586" s="1">
        <v>0</v>
      </c>
      <c r="E15586" s="1">
        <v>0</v>
      </c>
      <c r="F15586" s="1">
        <v>1.44400161728181E-5</v>
      </c>
    </row>
    <row r="15587" spans="1:6" x14ac:dyDescent="0.25">
      <c r="A15587" s="2" t="str">
        <f t="shared" si="557"/>
        <v>22020</v>
      </c>
      <c r="B15587" s="2" t="str">
        <f>"56547"</f>
        <v>56547</v>
      </c>
      <c r="C15587" s="1">
        <v>8.8119087133433794E-3</v>
      </c>
      <c r="D15587" s="1">
        <v>2.9578297980224701E-3</v>
      </c>
      <c r="E15587" s="1">
        <v>3.0120481927710802E-3</v>
      </c>
      <c r="F15587" s="1">
        <v>7.9781089354820003E-3</v>
      </c>
    </row>
    <row r="15588" spans="1:6" x14ac:dyDescent="0.25">
      <c r="A15588" s="2" t="str">
        <f t="shared" si="557"/>
        <v>22020</v>
      </c>
      <c r="B15588" s="2" t="str">
        <f>"56514"</f>
        <v>56514</v>
      </c>
      <c r="C15588" s="1">
        <v>1.2173239092525E-2</v>
      </c>
      <c r="D15588" s="1">
        <v>3.2958674892250399E-3</v>
      </c>
      <c r="E15588" s="1">
        <v>6.6516064257028098E-3</v>
      </c>
      <c r="F15588" s="1">
        <v>1.10971524288107E-2</v>
      </c>
    </row>
    <row r="15589" spans="1:6" x14ac:dyDescent="0.25">
      <c r="A15589" s="2" t="str">
        <f t="shared" si="557"/>
        <v>22020</v>
      </c>
      <c r="B15589" s="2" t="str">
        <f>"58107"</f>
        <v>58107</v>
      </c>
      <c r="C15589" s="1">
        <v>6.7563583060242698E-3</v>
      </c>
      <c r="D15589" s="1">
        <v>3.9550409870700499E-2</v>
      </c>
      <c r="E15589" s="1">
        <v>2.5100401606425701E-4</v>
      </c>
      <c r="F15589" s="1">
        <v>9.1838502859123202E-3</v>
      </c>
    </row>
    <row r="15590" spans="1:6" x14ac:dyDescent="0.25">
      <c r="A15590" s="2" t="str">
        <f t="shared" si="557"/>
        <v>22020</v>
      </c>
      <c r="B15590" s="2" t="str">
        <f>"58029"</f>
        <v>58029</v>
      </c>
      <c r="C15590" s="1">
        <v>5.4758514949074504E-4</v>
      </c>
      <c r="D15590" s="1">
        <v>0</v>
      </c>
      <c r="E15590" s="1">
        <v>1.2550200803212799E-4</v>
      </c>
      <c r="F15590" s="1">
        <v>4.7652053370299702E-4</v>
      </c>
    </row>
    <row r="15591" spans="1:6" x14ac:dyDescent="0.25">
      <c r="A15591" s="2" t="str">
        <f t="shared" si="557"/>
        <v>22020</v>
      </c>
      <c r="B15591" s="2" t="str">
        <f>"58015"</f>
        <v>58015</v>
      </c>
      <c r="C15591" s="1">
        <v>8.4243869152422407E-6</v>
      </c>
      <c r="D15591" s="1">
        <v>0</v>
      </c>
      <c r="E15591" s="1">
        <v>0</v>
      </c>
      <c r="F15591" s="1">
        <v>7.2200080864090502E-6</v>
      </c>
    </row>
    <row r="15592" spans="1:6" x14ac:dyDescent="0.25">
      <c r="A15592" s="2" t="str">
        <f t="shared" si="557"/>
        <v>22020</v>
      </c>
      <c r="B15592" s="2" t="str">
        <f>"56562"</f>
        <v>56562</v>
      </c>
      <c r="C15592" s="1">
        <v>0</v>
      </c>
      <c r="D15592" s="1">
        <v>1.6901884560128401E-4</v>
      </c>
      <c r="E15592" s="1">
        <v>1.2550200803212799E-4</v>
      </c>
      <c r="F15592" s="1">
        <v>2.16600242592271E-5</v>
      </c>
    </row>
    <row r="15593" spans="1:6" x14ac:dyDescent="0.25">
      <c r="A15593" s="2" t="str">
        <f t="shared" si="557"/>
        <v>22020</v>
      </c>
      <c r="B15593" s="2" t="str">
        <f>"58108"</f>
        <v>58108</v>
      </c>
      <c r="C15593" s="1">
        <v>2.3251307886068499E-3</v>
      </c>
      <c r="D15593" s="1">
        <v>2.1042846277359899E-2</v>
      </c>
      <c r="E15593" s="1">
        <v>5.0200803212851401E-4</v>
      </c>
      <c r="F15593" s="1">
        <v>3.8193842777103902E-3</v>
      </c>
    </row>
    <row r="15594" spans="1:6" x14ac:dyDescent="0.25">
      <c r="A15594" s="2" t="str">
        <f t="shared" si="557"/>
        <v>22020</v>
      </c>
      <c r="B15594" s="2" t="str">
        <f>"58007"</f>
        <v>58007</v>
      </c>
      <c r="C15594" s="1">
        <v>4.5491689342308099E-4</v>
      </c>
      <c r="D15594" s="1">
        <v>2.53528268401926E-4</v>
      </c>
      <c r="E15594" s="1">
        <v>3.7650602409638502E-4</v>
      </c>
      <c r="F15594" s="1">
        <v>4.33200485184543E-4</v>
      </c>
    </row>
    <row r="15595" spans="1:6" x14ac:dyDescent="0.25">
      <c r="A15595" s="2" t="str">
        <f t="shared" si="557"/>
        <v>22020</v>
      </c>
      <c r="B15595" s="2" t="str">
        <f>"58004"</f>
        <v>58004</v>
      </c>
      <c r="C15595" s="1">
        <v>9.0983378684616199E-4</v>
      </c>
      <c r="D15595" s="1">
        <v>8.4509422800642202E-4</v>
      </c>
      <c r="E15595" s="1">
        <v>1.2550200803212799E-4</v>
      </c>
      <c r="F15595" s="1">
        <v>8.5918096228267701E-4</v>
      </c>
    </row>
    <row r="15596" spans="1:6" x14ac:dyDescent="0.25">
      <c r="A15596" s="2" t="str">
        <f t="shared" si="557"/>
        <v>22020</v>
      </c>
      <c r="B15596" s="2" t="str">
        <f>"58038"</f>
        <v>58038</v>
      </c>
      <c r="C15596" s="1">
        <v>9.1825817376140395E-4</v>
      </c>
      <c r="D15596" s="1">
        <v>7.6058480520578E-4</v>
      </c>
      <c r="E15596" s="1">
        <v>6.2751004016064202E-4</v>
      </c>
      <c r="F15596" s="1">
        <v>8.8806099462831296E-4</v>
      </c>
    </row>
    <row r="15597" spans="1:6" x14ac:dyDescent="0.25">
      <c r="A15597" s="2" t="str">
        <f t="shared" si="557"/>
        <v>22020</v>
      </c>
      <c r="B15597" s="2" t="str">
        <f>"58059"</f>
        <v>58059</v>
      </c>
      <c r="C15597" s="1">
        <v>6.1582268350420704E-3</v>
      </c>
      <c r="D15597" s="1">
        <v>2.0282261472154102E-3</v>
      </c>
      <c r="E15597" s="1">
        <v>1.00401606425702E-3</v>
      </c>
      <c r="F15597" s="1">
        <v>5.5088661699301102E-3</v>
      </c>
    </row>
    <row r="15598" spans="1:6" x14ac:dyDescent="0.25">
      <c r="A15598" s="2" t="str">
        <f t="shared" si="557"/>
        <v>22020</v>
      </c>
      <c r="B15598" s="2" t="str">
        <f>"58078"</f>
        <v>58078</v>
      </c>
      <c r="C15598" s="1">
        <v>0.146120991044876</v>
      </c>
      <c r="D15598" s="1">
        <v>0.13225724668300501</v>
      </c>
      <c r="E15598" s="1">
        <v>0.151857429718875</v>
      </c>
      <c r="F15598" s="1">
        <v>0.14526656269855001</v>
      </c>
    </row>
    <row r="15599" spans="1:6" x14ac:dyDescent="0.25">
      <c r="A15599" s="2" t="str">
        <f t="shared" si="557"/>
        <v>22020</v>
      </c>
      <c r="B15599" s="2" t="str">
        <f>"56585"</f>
        <v>56585</v>
      </c>
      <c r="C15599" s="1">
        <v>1.77754563911611E-3</v>
      </c>
      <c r="D15599" s="1">
        <v>3.3803769120256899E-4</v>
      </c>
      <c r="E15599" s="1">
        <v>1.00401606425702E-3</v>
      </c>
      <c r="F15599" s="1">
        <v>1.6100618032692099E-3</v>
      </c>
    </row>
    <row r="15600" spans="1:6" x14ac:dyDescent="0.25">
      <c r="A15600" s="2" t="str">
        <f t="shared" si="557"/>
        <v>22020</v>
      </c>
      <c r="B15600" s="2" t="str">
        <f>"56561"</f>
        <v>56561</v>
      </c>
      <c r="C15600" s="1">
        <v>5.50954904256842E-3</v>
      </c>
      <c r="D15600" s="1">
        <v>2.1803431082565699E-2</v>
      </c>
      <c r="E15600" s="1">
        <v>2.5100401606425701E-4</v>
      </c>
      <c r="F15600" s="1">
        <v>6.5990873909778699E-3</v>
      </c>
    </row>
    <row r="15601" spans="1:6" x14ac:dyDescent="0.25">
      <c r="A15601" s="2" t="str">
        <f t="shared" si="557"/>
        <v>22020</v>
      </c>
      <c r="B15601" s="2" t="str">
        <f>"56560"</f>
        <v>56560</v>
      </c>
      <c r="C15601" s="1">
        <v>0.162523272368853</v>
      </c>
      <c r="D15601" s="1">
        <v>9.9721118904757794E-2</v>
      </c>
      <c r="E15601" s="1">
        <v>0.12989457831325299</v>
      </c>
      <c r="F15601" s="1">
        <v>0.15528071391439899</v>
      </c>
    </row>
    <row r="15602" spans="1:6" x14ac:dyDescent="0.25">
      <c r="A15602" s="2" t="str">
        <f t="shared" si="557"/>
        <v>22020</v>
      </c>
      <c r="B15602" s="2" t="str">
        <f>"56549"</f>
        <v>56549</v>
      </c>
      <c r="C15602" s="1">
        <v>1.39844822793021E-2</v>
      </c>
      <c r="D15602" s="1">
        <v>2.1972449928166901E-3</v>
      </c>
      <c r="E15602" s="1">
        <v>5.8985943775100398E-3</v>
      </c>
      <c r="F15602" s="1">
        <v>1.2512274013746799E-2</v>
      </c>
    </row>
    <row r="15603" spans="1:6" x14ac:dyDescent="0.25">
      <c r="A15603" s="2" t="str">
        <f t="shared" ref="A15603:A15623" si="558">"27420"</f>
        <v>27420</v>
      </c>
      <c r="B15603" s="2" t="str">
        <f>"58483"</f>
        <v>58483</v>
      </c>
      <c r="C15603" s="1">
        <v>1.21640013610071E-2</v>
      </c>
      <c r="D15603" s="1">
        <v>4.2139384116693596E-3</v>
      </c>
      <c r="E15603" s="1">
        <v>8.3102493074792196E-3</v>
      </c>
      <c r="F15603" s="1">
        <v>1.04093041187431E-2</v>
      </c>
    </row>
    <row r="15604" spans="1:6" x14ac:dyDescent="0.25">
      <c r="A15604" s="2" t="str">
        <f t="shared" si="558"/>
        <v>27420</v>
      </c>
      <c r="B15604" s="2" t="str">
        <f>"58467"</f>
        <v>58467</v>
      </c>
      <c r="C15604" s="1">
        <v>2.6964954066008798E-2</v>
      </c>
      <c r="D15604" s="1">
        <v>2.5931928687196099E-3</v>
      </c>
      <c r="E15604" s="1">
        <v>4.1551246537396098E-3</v>
      </c>
      <c r="F15604" s="1">
        <v>2.10756280922701E-2</v>
      </c>
    </row>
    <row r="15605" spans="1:6" x14ac:dyDescent="0.25">
      <c r="A15605" s="2" t="str">
        <f t="shared" si="558"/>
        <v>27420</v>
      </c>
      <c r="B15605" s="2" t="str">
        <f>"58472"</f>
        <v>58472</v>
      </c>
      <c r="C15605" s="1">
        <v>9.5270500170125793E-3</v>
      </c>
      <c r="D15605" s="1">
        <v>6.4829821717990205E-4</v>
      </c>
      <c r="E15605" s="1">
        <v>4.1551246537396098E-3</v>
      </c>
      <c r="F15605" s="1">
        <v>7.5178307524256197E-3</v>
      </c>
    </row>
    <row r="15606" spans="1:6" x14ac:dyDescent="0.25">
      <c r="A15606" s="2" t="str">
        <f t="shared" si="558"/>
        <v>27420</v>
      </c>
      <c r="B15606" s="2" t="str">
        <f>"58420"</f>
        <v>58420</v>
      </c>
      <c r="C15606" s="1">
        <v>1.1058183055461E-2</v>
      </c>
      <c r="D15606" s="1">
        <v>0</v>
      </c>
      <c r="E15606" s="1">
        <v>1.38504155124653E-3</v>
      </c>
      <c r="F15606" s="1">
        <v>8.4174002441688607E-3</v>
      </c>
    </row>
    <row r="15607" spans="1:6" x14ac:dyDescent="0.25">
      <c r="A15607" s="2" t="str">
        <f t="shared" si="558"/>
        <v>27420</v>
      </c>
      <c r="B15607" s="2" t="str">
        <f>"58476"</f>
        <v>58476</v>
      </c>
      <c r="C15607" s="1">
        <v>1.38652602926165E-2</v>
      </c>
      <c r="D15607" s="1">
        <v>3.5656401944894598E-3</v>
      </c>
      <c r="E15607" s="1">
        <v>2.77008310249307E-3</v>
      </c>
      <c r="F15607" s="1">
        <v>1.13088736104864E-2</v>
      </c>
    </row>
    <row r="15608" spans="1:6" x14ac:dyDescent="0.25">
      <c r="A15608" s="2" t="str">
        <f t="shared" si="558"/>
        <v>27420</v>
      </c>
      <c r="B15608" s="2" t="str">
        <f>"58405"</f>
        <v>58405</v>
      </c>
      <c r="C15608" s="1">
        <v>0</v>
      </c>
      <c r="D15608" s="1">
        <v>0.58282009724473205</v>
      </c>
      <c r="E15608" s="1">
        <v>0</v>
      </c>
      <c r="F15608" s="1">
        <v>0.11553042472531</v>
      </c>
    </row>
    <row r="15609" spans="1:6" x14ac:dyDescent="0.25">
      <c r="A15609" s="2" t="str">
        <f t="shared" si="558"/>
        <v>27420</v>
      </c>
      <c r="B15609" s="2" t="str">
        <f>"58402"</f>
        <v>58402</v>
      </c>
      <c r="C15609" s="1">
        <v>9.5015311330384405E-2</v>
      </c>
      <c r="D15609" s="1">
        <v>0.110534846029173</v>
      </c>
      <c r="E15609" s="1">
        <v>2.77008310249307E-3</v>
      </c>
      <c r="F15609" s="1">
        <v>9.3812246996080401E-2</v>
      </c>
    </row>
    <row r="15610" spans="1:6" x14ac:dyDescent="0.25">
      <c r="A15610" s="2" t="str">
        <f t="shared" si="558"/>
        <v>27420</v>
      </c>
      <c r="B15610" s="2" t="str">
        <f>"58401"</f>
        <v>58401</v>
      </c>
      <c r="C15610" s="1">
        <v>0.759782238856753</v>
      </c>
      <c r="D15610" s="1">
        <v>0.28589951377633699</v>
      </c>
      <c r="E15610" s="1">
        <v>0.945983379501385</v>
      </c>
      <c r="F15610" s="1">
        <v>0.67448435391633998</v>
      </c>
    </row>
    <row r="15611" spans="1:6" x14ac:dyDescent="0.25">
      <c r="A15611" s="2" t="str">
        <f t="shared" si="558"/>
        <v>27420</v>
      </c>
      <c r="B15611" s="2" t="str">
        <f>"58497"</f>
        <v>58497</v>
      </c>
      <c r="C15611" s="1">
        <v>1.14834977883633E-2</v>
      </c>
      <c r="D15611" s="1">
        <v>3.2414910858995103E-4</v>
      </c>
      <c r="E15611" s="1">
        <v>2.77008310249307E-3</v>
      </c>
      <c r="F15611" s="1">
        <v>8.8671849900404803E-3</v>
      </c>
    </row>
    <row r="15612" spans="1:6" x14ac:dyDescent="0.25">
      <c r="A15612" s="2" t="str">
        <f t="shared" si="558"/>
        <v>27420</v>
      </c>
      <c r="B15612" s="2" t="str">
        <f>"58492"</f>
        <v>58492</v>
      </c>
      <c r="C15612" s="1">
        <v>1.87138482477033E-3</v>
      </c>
      <c r="D15612" s="1">
        <v>3.2414910858995103E-4</v>
      </c>
      <c r="E15612" s="1">
        <v>0</v>
      </c>
      <c r="F15612" s="1">
        <v>1.47786416500674E-3</v>
      </c>
    </row>
    <row r="15613" spans="1:6" x14ac:dyDescent="0.25">
      <c r="A15613" s="2" t="str">
        <f t="shared" si="558"/>
        <v>27420</v>
      </c>
      <c r="B15613" s="2" t="str">
        <f>"58455"</f>
        <v>58455</v>
      </c>
      <c r="C15613" s="1">
        <v>1.05478053759782E-2</v>
      </c>
      <c r="D15613" s="1">
        <v>3.2414910858995103E-4</v>
      </c>
      <c r="E15613" s="1">
        <v>8.3102493074792196E-3</v>
      </c>
      <c r="F15613" s="1">
        <v>8.4174002441688607E-3</v>
      </c>
    </row>
    <row r="15614" spans="1:6" x14ac:dyDescent="0.25">
      <c r="A15614" s="2" t="str">
        <f t="shared" si="558"/>
        <v>27420</v>
      </c>
      <c r="B15614" s="2" t="str">
        <f>"58426"</f>
        <v>58426</v>
      </c>
      <c r="C15614" s="1">
        <v>9.1867982306907108E-3</v>
      </c>
      <c r="D15614" s="1">
        <v>3.2414910858995102E-3</v>
      </c>
      <c r="E15614" s="1">
        <v>1.38504155124653E-3</v>
      </c>
      <c r="F15614" s="1">
        <v>7.6463406798175102E-3</v>
      </c>
    </row>
    <row r="15615" spans="1:6" x14ac:dyDescent="0.25">
      <c r="A15615" s="2" t="str">
        <f t="shared" si="558"/>
        <v>27420</v>
      </c>
      <c r="B15615" s="2" t="str">
        <f>"58454"</f>
        <v>58454</v>
      </c>
      <c r="C15615" s="1">
        <v>2.9772031303164298E-3</v>
      </c>
      <c r="D15615" s="1">
        <v>6.4829821717990205E-4</v>
      </c>
      <c r="E15615" s="1">
        <v>0</v>
      </c>
      <c r="F15615" s="1">
        <v>2.3774336567499799E-3</v>
      </c>
    </row>
    <row r="15616" spans="1:6" x14ac:dyDescent="0.25">
      <c r="A15616" s="2" t="str">
        <f t="shared" si="558"/>
        <v>27420</v>
      </c>
      <c r="B15616" s="2" t="str">
        <f>"58442"</f>
        <v>58442</v>
      </c>
      <c r="C15616" s="1">
        <v>2.7220142905750198E-3</v>
      </c>
      <c r="D15616" s="1">
        <v>3.2414910858995103E-4</v>
      </c>
      <c r="E15616" s="1">
        <v>0</v>
      </c>
      <c r="F15616" s="1">
        <v>2.1204138019661999E-3</v>
      </c>
    </row>
    <row r="15617" spans="1:6" x14ac:dyDescent="0.25">
      <c r="A15617" s="2" t="str">
        <f t="shared" si="558"/>
        <v>27420</v>
      </c>
      <c r="B15617" s="2" t="str">
        <f>"58424"</f>
        <v>58424</v>
      </c>
      <c r="C15617" s="1">
        <v>1.29295678802313E-2</v>
      </c>
      <c r="D15617" s="1">
        <v>2.5931928687196099E-3</v>
      </c>
      <c r="E15617" s="1">
        <v>1.38504155124653E-3</v>
      </c>
      <c r="F15617" s="1">
        <v>1.0345049155047199E-2</v>
      </c>
    </row>
    <row r="15618" spans="1:6" x14ac:dyDescent="0.25">
      <c r="A15618" s="2" t="str">
        <f t="shared" si="558"/>
        <v>27420</v>
      </c>
      <c r="B15618" s="2" t="str">
        <f>"58486"</f>
        <v>58486</v>
      </c>
      <c r="C15618" s="1">
        <v>1.1058183055461001E-3</v>
      </c>
      <c r="D15618" s="1">
        <v>3.2414910858995103E-4</v>
      </c>
      <c r="E15618" s="1">
        <v>0</v>
      </c>
      <c r="F15618" s="1">
        <v>8.9956949174323697E-4</v>
      </c>
    </row>
    <row r="15619" spans="1:6" x14ac:dyDescent="0.25">
      <c r="A15619" s="2" t="str">
        <f t="shared" si="558"/>
        <v>27420</v>
      </c>
      <c r="B15619" s="2" t="str">
        <f>"58421"</f>
        <v>58421</v>
      </c>
      <c r="C15619" s="1">
        <v>2.12657366451173E-3</v>
      </c>
      <c r="D15619" s="1">
        <v>3.2414910858995103E-4</v>
      </c>
      <c r="E15619" s="1">
        <v>0</v>
      </c>
      <c r="F15619" s="1">
        <v>1.67062905609458E-3</v>
      </c>
    </row>
    <row r="15620" spans="1:6" x14ac:dyDescent="0.25">
      <c r="A15620" s="2" t="str">
        <f t="shared" si="558"/>
        <v>27420</v>
      </c>
      <c r="B15620" s="2" t="str">
        <f>"58496"</f>
        <v>58496</v>
      </c>
      <c r="C15620" s="1">
        <v>1.20789384144266E-2</v>
      </c>
      <c r="D15620" s="1">
        <v>1.2965964343598E-3</v>
      </c>
      <c r="E15620" s="1">
        <v>6.9252077562326798E-3</v>
      </c>
      <c r="F15620" s="1">
        <v>9.7024995180877704E-3</v>
      </c>
    </row>
    <row r="15621" spans="1:6" x14ac:dyDescent="0.25">
      <c r="A15621" s="2" t="str">
        <f t="shared" si="558"/>
        <v>27420</v>
      </c>
      <c r="B15621" s="2" t="str">
        <f>"58475"</f>
        <v>58475</v>
      </c>
      <c r="C15621" s="1">
        <v>5.1037767948281703E-4</v>
      </c>
      <c r="D15621" s="1">
        <v>0</v>
      </c>
      <c r="E15621" s="1">
        <v>1.38504155124653E-3</v>
      </c>
      <c r="F15621" s="1">
        <v>4.49784745871618E-4</v>
      </c>
    </row>
    <row r="15622" spans="1:6" x14ac:dyDescent="0.25">
      <c r="A15622" s="2" t="str">
        <f t="shared" si="558"/>
        <v>27420</v>
      </c>
      <c r="B15622" s="2" t="str">
        <f>"58466"</f>
        <v>58466</v>
      </c>
      <c r="C15622" s="1">
        <v>1.7012589316093901E-4</v>
      </c>
      <c r="D15622" s="1">
        <v>0</v>
      </c>
      <c r="E15622" s="1">
        <v>0</v>
      </c>
      <c r="F15622" s="1">
        <v>1.28509927391891E-4</v>
      </c>
    </row>
    <row r="15623" spans="1:6" x14ac:dyDescent="0.25">
      <c r="A15623" s="2" t="str">
        <f t="shared" si="558"/>
        <v>27420</v>
      </c>
      <c r="B15623" s="2" t="str">
        <f>"58481"</f>
        <v>58481</v>
      </c>
      <c r="C15623" s="1">
        <v>3.9128955427015898E-3</v>
      </c>
      <c r="D15623" s="1">
        <v>0</v>
      </c>
      <c r="E15623" s="1">
        <v>8.3102493074792196E-3</v>
      </c>
      <c r="F15623" s="1">
        <v>3.34125811218916E-3</v>
      </c>
    </row>
    <row r="15624" spans="1:6" x14ac:dyDescent="0.25">
      <c r="A15624" s="2" t="str">
        <f t="shared" ref="A15624:A15655" si="559">"29180"</f>
        <v>29180</v>
      </c>
      <c r="B15624" s="2" t="str">
        <f>"70582"</f>
        <v>70582</v>
      </c>
      <c r="C15624" s="1">
        <v>3.7776035037647399E-2</v>
      </c>
      <c r="D15624" s="1">
        <v>1.8315170099034501E-2</v>
      </c>
      <c r="E15624" s="1">
        <v>1.7669699090272901E-2</v>
      </c>
      <c r="F15624" s="1">
        <v>3.5554981420831397E-2</v>
      </c>
    </row>
    <row r="15625" spans="1:6" x14ac:dyDescent="0.25">
      <c r="A15625" s="2" t="str">
        <f t="shared" si="559"/>
        <v>29180</v>
      </c>
      <c r="B15625" s="2" t="str">
        <f>"70569"</f>
        <v>70569</v>
      </c>
      <c r="C15625" s="1">
        <v>2.6269664751080901E-3</v>
      </c>
      <c r="D15625" s="1">
        <v>1.4502962748104201E-3</v>
      </c>
      <c r="E15625" s="1">
        <v>3.49895031490552E-4</v>
      </c>
      <c r="F15625" s="1">
        <v>2.4696236293588799E-3</v>
      </c>
    </row>
    <row r="15626" spans="1:6" x14ac:dyDescent="0.25">
      <c r="A15626" s="2" t="str">
        <f t="shared" si="559"/>
        <v>29180</v>
      </c>
      <c r="B15626" s="2" t="str">
        <f>"70552"</f>
        <v>70552</v>
      </c>
      <c r="C15626" s="1">
        <v>1.30705509772915E-3</v>
      </c>
      <c r="D15626" s="1">
        <v>5.3868147350101504E-4</v>
      </c>
      <c r="E15626" s="1">
        <v>3.49895031490552E-4</v>
      </c>
      <c r="F15626" s="1">
        <v>1.2158147098382201E-3</v>
      </c>
    </row>
    <row r="15627" spans="1:6" x14ac:dyDescent="0.25">
      <c r="A15627" s="2" t="str">
        <f t="shared" si="559"/>
        <v>29180</v>
      </c>
      <c r="B15627" s="2" t="str">
        <f>"70521"</f>
        <v>70521</v>
      </c>
      <c r="C15627" s="1">
        <v>4.2854265499316398E-6</v>
      </c>
      <c r="D15627" s="1">
        <v>0</v>
      </c>
      <c r="E15627" s="1">
        <v>0</v>
      </c>
      <c r="F15627" s="1">
        <v>3.7994209682444298E-6</v>
      </c>
    </row>
    <row r="15628" spans="1:6" x14ac:dyDescent="0.25">
      <c r="A15628" s="2" t="str">
        <f t="shared" si="559"/>
        <v>29180</v>
      </c>
      <c r="B15628" s="2" t="str">
        <f>"70508"</f>
        <v>70508</v>
      </c>
      <c r="C15628" s="1">
        <v>8.4260056824755999E-2</v>
      </c>
      <c r="D15628" s="1">
        <v>0.119462976007955</v>
      </c>
      <c r="E15628" s="1">
        <v>0.16777466759972001</v>
      </c>
      <c r="F15628" s="1">
        <v>8.9301590437617304E-2</v>
      </c>
    </row>
    <row r="15629" spans="1:6" x14ac:dyDescent="0.25">
      <c r="A15629" s="2" t="str">
        <f t="shared" si="559"/>
        <v>29180</v>
      </c>
      <c r="B15629" s="2" t="str">
        <f>"70507"</f>
        <v>70507</v>
      </c>
      <c r="C15629" s="1">
        <v>3.4677671642046798E-2</v>
      </c>
      <c r="D15629" s="1">
        <v>2.2790370032735201E-2</v>
      </c>
      <c r="E15629" s="1">
        <v>3.7788663400979701E-2</v>
      </c>
      <c r="F15629" s="1">
        <v>3.3655270936709197E-2</v>
      </c>
    </row>
    <row r="15630" spans="1:6" x14ac:dyDescent="0.25">
      <c r="A15630" s="2" t="str">
        <f t="shared" si="559"/>
        <v>29180</v>
      </c>
      <c r="B15630" s="2" t="str">
        <f>"70543"</f>
        <v>70543</v>
      </c>
      <c r="C15630" s="1">
        <v>5.57533994146107E-3</v>
      </c>
      <c r="D15630" s="1">
        <v>8.2874072846309996E-4</v>
      </c>
      <c r="E15630" s="1">
        <v>1.9244226731980399E-3</v>
      </c>
      <c r="F15630" s="1">
        <v>5.0608287297015898E-3</v>
      </c>
    </row>
    <row r="15631" spans="1:6" x14ac:dyDescent="0.25">
      <c r="A15631" s="2" t="str">
        <f t="shared" si="559"/>
        <v>29180</v>
      </c>
      <c r="B15631" s="2" t="str">
        <f>"70535"</f>
        <v>70535</v>
      </c>
      <c r="C15631" s="1">
        <v>7.4866401827305799E-3</v>
      </c>
      <c r="D15631" s="1">
        <v>2.4447851489661399E-3</v>
      </c>
      <c r="E15631" s="1">
        <v>3.6738978306508001E-3</v>
      </c>
      <c r="F15631" s="1">
        <v>6.9415421089825896E-3</v>
      </c>
    </row>
    <row r="15632" spans="1:6" x14ac:dyDescent="0.25">
      <c r="A15632" s="2" t="str">
        <f t="shared" si="559"/>
        <v>29180</v>
      </c>
      <c r="B15632" s="2" t="str">
        <f>"70520"</f>
        <v>70520</v>
      </c>
      <c r="C15632" s="1">
        <v>3.55604695113328E-2</v>
      </c>
      <c r="D15632" s="1">
        <v>1.32184146189864E-2</v>
      </c>
      <c r="E15632" s="1">
        <v>1.3296011196641E-2</v>
      </c>
      <c r="F15632" s="1">
        <v>3.30283664769489E-2</v>
      </c>
    </row>
    <row r="15633" spans="1:6" x14ac:dyDescent="0.25">
      <c r="A15633" s="2" t="str">
        <f t="shared" si="559"/>
        <v>29180</v>
      </c>
      <c r="B15633" s="2" t="str">
        <f>"70515"</f>
        <v>70515</v>
      </c>
      <c r="C15633" s="1">
        <v>1.9541545067688301E-3</v>
      </c>
      <c r="D15633" s="1">
        <v>9.1161480130941004E-4</v>
      </c>
      <c r="E15633" s="1">
        <v>3.49895031490552E-4</v>
      </c>
      <c r="F15633" s="1">
        <v>1.82372206475733E-3</v>
      </c>
    </row>
    <row r="15634" spans="1:6" x14ac:dyDescent="0.25">
      <c r="A15634" s="2" t="str">
        <f t="shared" si="559"/>
        <v>29180</v>
      </c>
      <c r="B15634" s="2" t="str">
        <f>"70512"</f>
        <v>70512</v>
      </c>
      <c r="C15634" s="1">
        <v>6.9552472905390602E-3</v>
      </c>
      <c r="D15634" s="1">
        <v>5.8011850992416996E-4</v>
      </c>
      <c r="E15634" s="1">
        <v>3.49895031490552E-4</v>
      </c>
      <c r="F15634" s="1">
        <v>6.2272509669526301E-3</v>
      </c>
    </row>
    <row r="15635" spans="1:6" x14ac:dyDescent="0.25">
      <c r="A15635" s="2" t="str">
        <f t="shared" si="559"/>
        <v>29180</v>
      </c>
      <c r="B15635" s="2" t="str">
        <f>"70526"</f>
        <v>70526</v>
      </c>
      <c r="C15635" s="1">
        <v>3.87745394237815E-2</v>
      </c>
      <c r="D15635" s="1">
        <v>3.8743629055649903E-2</v>
      </c>
      <c r="E15635" s="1">
        <v>1.87193841847445E-2</v>
      </c>
      <c r="F15635" s="1">
        <v>3.8336157569586297E-2</v>
      </c>
    </row>
    <row r="15636" spans="1:6" x14ac:dyDescent="0.25">
      <c r="A15636" s="2" t="str">
        <f t="shared" si="559"/>
        <v>29180</v>
      </c>
      <c r="B15636" s="2" t="str">
        <f>"70506"</f>
        <v>70506</v>
      </c>
      <c r="C15636" s="1">
        <v>8.7272711689358004E-2</v>
      </c>
      <c r="D15636" s="1">
        <v>7.1313139684249696E-2</v>
      </c>
      <c r="E15636" s="1">
        <v>0.15955213435969201</v>
      </c>
      <c r="F15636" s="1">
        <v>8.7379083427685605E-2</v>
      </c>
    </row>
    <row r="15637" spans="1:6" x14ac:dyDescent="0.25">
      <c r="A15637" s="2" t="str">
        <f t="shared" si="559"/>
        <v>29180</v>
      </c>
      <c r="B15637" s="2" t="str">
        <f>"70339"</f>
        <v>70339</v>
      </c>
      <c r="C15637" s="1">
        <v>5.9995971699042998E-4</v>
      </c>
      <c r="D15637" s="1">
        <v>2.0718518211577499E-4</v>
      </c>
      <c r="E15637" s="1">
        <v>3.49895031490552E-4</v>
      </c>
      <c r="F15637" s="1">
        <v>5.5851488233193199E-4</v>
      </c>
    </row>
    <row r="15638" spans="1:6" x14ac:dyDescent="0.25">
      <c r="A15638" s="2" t="str">
        <f t="shared" si="559"/>
        <v>29180</v>
      </c>
      <c r="B15638" s="2" t="str">
        <f>"70562"</f>
        <v>70562</v>
      </c>
      <c r="C15638" s="1">
        <v>9.1793836699535798E-3</v>
      </c>
      <c r="D15638" s="1">
        <v>2.0677081175154301E-2</v>
      </c>
      <c r="E15638" s="1">
        <v>3.49895031490552E-4</v>
      </c>
      <c r="F15638" s="1">
        <v>1.004186961907E-2</v>
      </c>
    </row>
    <row r="15639" spans="1:6" x14ac:dyDescent="0.25">
      <c r="A15639" s="2" t="str">
        <f t="shared" si="559"/>
        <v>29180</v>
      </c>
      <c r="B15639" s="2" t="str">
        <f>"70560"</f>
        <v>70560</v>
      </c>
      <c r="C15639" s="1">
        <v>7.8299028493801104E-2</v>
      </c>
      <c r="D15639" s="1">
        <v>8.9876932001823201E-2</v>
      </c>
      <c r="E15639" s="1">
        <v>0.134359692092372</v>
      </c>
      <c r="F15639" s="1">
        <v>8.0578119894527997E-2</v>
      </c>
    </row>
    <row r="15640" spans="1:6" x14ac:dyDescent="0.25">
      <c r="A15640" s="2" t="str">
        <f t="shared" si="559"/>
        <v>29180</v>
      </c>
      <c r="B15640" s="2" t="str">
        <f>"70559"</f>
        <v>70559</v>
      </c>
      <c r="C15640" s="1">
        <v>3.6340417143420302E-3</v>
      </c>
      <c r="D15640" s="1">
        <v>4.1437036423154998E-4</v>
      </c>
      <c r="E15640" s="1">
        <v>8.7473757872638203E-4</v>
      </c>
      <c r="F15640" s="1">
        <v>3.2789002955949499E-3</v>
      </c>
    </row>
    <row r="15641" spans="1:6" x14ac:dyDescent="0.25">
      <c r="A15641" s="2" t="str">
        <f t="shared" si="559"/>
        <v>29180</v>
      </c>
      <c r="B15641" s="2" t="str">
        <f>"70542"</f>
        <v>70542</v>
      </c>
      <c r="C15641" s="1">
        <v>6.3681438531984196E-3</v>
      </c>
      <c r="D15641" s="1">
        <v>5.3868147350101502E-3</v>
      </c>
      <c r="E15641" s="1">
        <v>3.49895031490552E-4</v>
      </c>
      <c r="F15641" s="1">
        <v>6.1474631266195002E-3</v>
      </c>
    </row>
    <row r="15642" spans="1:6" x14ac:dyDescent="0.25">
      <c r="A15642" s="2" t="str">
        <f t="shared" si="559"/>
        <v>29180</v>
      </c>
      <c r="B15642" s="2" t="str">
        <f>"70598"</f>
        <v>70598</v>
      </c>
      <c r="C15642" s="1">
        <v>3.3726306947961999E-3</v>
      </c>
      <c r="D15642" s="1">
        <v>2.32461774333899E-2</v>
      </c>
      <c r="E15642" s="1">
        <v>3.49895031490552E-4</v>
      </c>
      <c r="F15642" s="1">
        <v>5.1292183071299903E-3</v>
      </c>
    </row>
    <row r="15643" spans="1:6" x14ac:dyDescent="0.25">
      <c r="A15643" s="2" t="str">
        <f t="shared" si="559"/>
        <v>29180</v>
      </c>
      <c r="B15643" s="2" t="str">
        <f>"70513"</f>
        <v>70513</v>
      </c>
      <c r="C15643" s="1">
        <v>0</v>
      </c>
      <c r="D15643" s="1">
        <v>4.1437036423155002E-5</v>
      </c>
      <c r="E15643" s="1">
        <v>0</v>
      </c>
      <c r="F15643" s="1">
        <v>3.7994209682444298E-6</v>
      </c>
    </row>
    <row r="15644" spans="1:6" x14ac:dyDescent="0.25">
      <c r="A15644" s="2" t="str">
        <f t="shared" si="559"/>
        <v>29180</v>
      </c>
      <c r="B15644" s="2" t="str">
        <f>"70558"</f>
        <v>70558</v>
      </c>
      <c r="C15644" s="1">
        <v>1.80845000407115E-3</v>
      </c>
      <c r="D15644" s="1">
        <v>2.4447851489661399E-3</v>
      </c>
      <c r="E15644" s="1">
        <v>1.74947515745276E-4</v>
      </c>
      <c r="F15644" s="1">
        <v>1.8313209066938101E-3</v>
      </c>
    </row>
    <row r="15645" spans="1:6" x14ac:dyDescent="0.25">
      <c r="A15645" s="2" t="str">
        <f t="shared" si="559"/>
        <v>29180</v>
      </c>
      <c r="B15645" s="2" t="str">
        <f>"70546"</f>
        <v>70546</v>
      </c>
      <c r="C15645" s="1">
        <v>1.6798872075732001E-3</v>
      </c>
      <c r="D15645" s="1">
        <v>5.3868147350101504E-4</v>
      </c>
      <c r="E15645" s="1">
        <v>5.24842547235829E-4</v>
      </c>
      <c r="F15645" s="1">
        <v>1.55016375504373E-3</v>
      </c>
    </row>
    <row r="15646" spans="1:6" x14ac:dyDescent="0.25">
      <c r="A15646" s="2" t="str">
        <f t="shared" si="559"/>
        <v>29180</v>
      </c>
      <c r="B15646" s="2" t="str">
        <f>"70592"</f>
        <v>70592</v>
      </c>
      <c r="C15646" s="1">
        <v>5.1845090401072998E-2</v>
      </c>
      <c r="D15646" s="1">
        <v>2.4779347781046599E-2</v>
      </c>
      <c r="E15646" s="1">
        <v>4.1987403778866297E-2</v>
      </c>
      <c r="F15646" s="1">
        <v>4.9149309645209999E-2</v>
      </c>
    </row>
    <row r="15647" spans="1:6" x14ac:dyDescent="0.25">
      <c r="A15647" s="2" t="str">
        <f t="shared" si="559"/>
        <v>29180</v>
      </c>
      <c r="B15647" s="2" t="str">
        <f>"70503"</f>
        <v>70503</v>
      </c>
      <c r="C15647" s="1">
        <v>5.5663405457062103E-2</v>
      </c>
      <c r="D15647" s="1">
        <v>9.6589731902374298E-2</v>
      </c>
      <c r="E15647" s="1">
        <v>7.3128061581525503E-2</v>
      </c>
      <c r="F15647" s="1">
        <v>5.9795287198230899E-2</v>
      </c>
    </row>
    <row r="15648" spans="1:6" x14ac:dyDescent="0.25">
      <c r="A15648" s="2" t="str">
        <f t="shared" si="559"/>
        <v>29180</v>
      </c>
      <c r="B15648" s="2" t="str">
        <f>"70555"</f>
        <v>70555</v>
      </c>
      <c r="C15648" s="1">
        <v>1.74716840440713E-2</v>
      </c>
      <c r="D15648" s="1">
        <v>9.8620146687108893E-3</v>
      </c>
      <c r="E15648" s="1">
        <v>3.1490552834149699E-3</v>
      </c>
      <c r="F15648" s="1">
        <v>1.6462891055403099E-2</v>
      </c>
    </row>
    <row r="15649" spans="1:6" x14ac:dyDescent="0.25">
      <c r="A15649" s="2" t="str">
        <f t="shared" si="559"/>
        <v>29180</v>
      </c>
      <c r="B15649" s="2" t="str">
        <f>"70544"</f>
        <v>70544</v>
      </c>
      <c r="C15649" s="1">
        <v>1.6078920415343499E-2</v>
      </c>
      <c r="D15649" s="1">
        <v>8.2874072846309994E-3</v>
      </c>
      <c r="E15649" s="1">
        <v>2.09937018894331E-2</v>
      </c>
      <c r="F15649" s="1">
        <v>1.5471242182691299E-2</v>
      </c>
    </row>
    <row r="15650" spans="1:6" x14ac:dyDescent="0.25">
      <c r="A15650" s="2" t="str">
        <f t="shared" si="559"/>
        <v>29180</v>
      </c>
      <c r="B15650" s="2" t="str">
        <f>"70529"</f>
        <v>70529</v>
      </c>
      <c r="C15650" s="1">
        <v>2.4705484060355901E-2</v>
      </c>
      <c r="D15650" s="1">
        <v>7.6244147018605197E-3</v>
      </c>
      <c r="E15650" s="1">
        <v>5.0209937018894299E-2</v>
      </c>
      <c r="F15650" s="1">
        <v>2.3693189157972298E-2</v>
      </c>
    </row>
    <row r="15651" spans="1:6" x14ac:dyDescent="0.25">
      <c r="A15651" s="2" t="str">
        <f t="shared" si="559"/>
        <v>29180</v>
      </c>
      <c r="B15651" s="2" t="str">
        <f>"70528"</f>
        <v>70528</v>
      </c>
      <c r="C15651" s="1">
        <v>4.8082485890233E-3</v>
      </c>
      <c r="D15651" s="1">
        <v>4.8481332615091296E-3</v>
      </c>
      <c r="E15651" s="1">
        <v>4.8985304408677302E-3</v>
      </c>
      <c r="F15651" s="1">
        <v>4.8138663667657003E-3</v>
      </c>
    </row>
    <row r="15652" spans="1:6" x14ac:dyDescent="0.25">
      <c r="A15652" s="2" t="str">
        <f t="shared" si="559"/>
        <v>29180</v>
      </c>
      <c r="B15652" s="2" t="str">
        <f>"70548"</f>
        <v>70548</v>
      </c>
      <c r="C15652" s="1">
        <v>2.0934308696416E-2</v>
      </c>
      <c r="D15652" s="1">
        <v>1.20581775991381E-2</v>
      </c>
      <c r="E15652" s="1">
        <v>5.9482155353393898E-3</v>
      </c>
      <c r="F15652" s="1">
        <v>1.9794983244553501E-2</v>
      </c>
    </row>
    <row r="15653" spans="1:6" x14ac:dyDescent="0.25">
      <c r="A15653" s="2" t="str">
        <f t="shared" si="559"/>
        <v>29180</v>
      </c>
      <c r="B15653" s="2" t="str">
        <f>"70502"</f>
        <v>70502</v>
      </c>
      <c r="C15653" s="1">
        <v>5.8838906530561501E-3</v>
      </c>
      <c r="D15653" s="1">
        <v>2.2914681142004699E-2</v>
      </c>
      <c r="E15653" s="1">
        <v>3.49895031490552E-4</v>
      </c>
      <c r="F15653" s="1">
        <v>7.3252836267752698E-3</v>
      </c>
    </row>
    <row r="15654" spans="1:6" x14ac:dyDescent="0.25">
      <c r="A15654" s="2" t="str">
        <f t="shared" si="559"/>
        <v>29180</v>
      </c>
      <c r="B15654" s="2" t="str">
        <f>"70583"</f>
        <v>70583</v>
      </c>
      <c r="C15654" s="1">
        <v>2.7880985133855202E-2</v>
      </c>
      <c r="D15654" s="1">
        <v>3.3646873575601803E-2</v>
      </c>
      <c r="E15654" s="1">
        <v>1.34709587123862E-2</v>
      </c>
      <c r="F15654" s="1">
        <v>2.80967180601676E-2</v>
      </c>
    </row>
    <row r="15655" spans="1:6" x14ac:dyDescent="0.25">
      <c r="A15655" s="2" t="str">
        <f t="shared" si="559"/>
        <v>29180</v>
      </c>
      <c r="B15655" s="2" t="str">
        <f>"70596"</f>
        <v>70596</v>
      </c>
      <c r="C15655" s="1">
        <v>7.5680632871792802E-3</v>
      </c>
      <c r="D15655" s="1">
        <v>2.1132888575809E-2</v>
      </c>
      <c r="E15655" s="1">
        <v>3.49895031490552E-4</v>
      </c>
      <c r="F15655" s="1">
        <v>8.6550809656608298E-3</v>
      </c>
    </row>
    <row r="15656" spans="1:6" x14ac:dyDescent="0.25">
      <c r="A15656" s="2" t="str">
        <f t="shared" ref="A15656:A15674" si="560">"29180"</f>
        <v>29180</v>
      </c>
      <c r="B15656" s="2" t="str">
        <f>"70519"</f>
        <v>70519</v>
      </c>
      <c r="C15656" s="1">
        <v>0</v>
      </c>
      <c r="D15656" s="1">
        <v>0</v>
      </c>
      <c r="E15656" s="1">
        <v>1.74947515745276E-4</v>
      </c>
      <c r="F15656" s="1">
        <v>3.7994209682444298E-6</v>
      </c>
    </row>
    <row r="15657" spans="1:6" x14ac:dyDescent="0.25">
      <c r="A15657" s="2" t="str">
        <f t="shared" si="560"/>
        <v>29180</v>
      </c>
      <c r="B15657" s="2" t="str">
        <f>"70525"</f>
        <v>70525</v>
      </c>
      <c r="C15657" s="1">
        <v>1.90872898533955E-2</v>
      </c>
      <c r="D15657" s="1">
        <v>1.05250072514813E-2</v>
      </c>
      <c r="E15657" s="1">
        <v>1.3645906228131501E-2</v>
      </c>
      <c r="F15657" s="1">
        <v>1.8184028754017801E-2</v>
      </c>
    </row>
    <row r="15658" spans="1:6" x14ac:dyDescent="0.25">
      <c r="A15658" s="2" t="str">
        <f t="shared" si="560"/>
        <v>29180</v>
      </c>
      <c r="B15658" s="2" t="str">
        <f>"70517"</f>
        <v>70517</v>
      </c>
      <c r="C15658" s="1">
        <v>5.0169488620049697E-2</v>
      </c>
      <c r="D15658" s="1">
        <v>2.43235403803919E-2</v>
      </c>
      <c r="E15658" s="1">
        <v>1.92442267319804E-2</v>
      </c>
      <c r="F15658" s="1">
        <v>4.7128017690104003E-2</v>
      </c>
    </row>
    <row r="15659" spans="1:6" x14ac:dyDescent="0.25">
      <c r="A15659" s="2" t="str">
        <f t="shared" si="560"/>
        <v>29180</v>
      </c>
      <c r="B15659" s="2" t="str">
        <f>"70510"</f>
        <v>70510</v>
      </c>
      <c r="C15659" s="1">
        <v>4.9710947979207103E-2</v>
      </c>
      <c r="D15659" s="1">
        <v>4.5829362284009398E-2</v>
      </c>
      <c r="E15659" s="1">
        <v>2.6242127361791399E-2</v>
      </c>
      <c r="F15659" s="1">
        <v>4.8845355967750498E-2</v>
      </c>
    </row>
    <row r="15660" spans="1:6" x14ac:dyDescent="0.25">
      <c r="A15660" s="2" t="str">
        <f t="shared" si="560"/>
        <v>29180</v>
      </c>
      <c r="B15660" s="2" t="str">
        <f>"70501"</f>
        <v>70501</v>
      </c>
      <c r="C15660" s="1">
        <v>5.8963183900509503E-2</v>
      </c>
      <c r="D15660" s="1">
        <v>7.3509302614676905E-2</v>
      </c>
      <c r="E15660" s="1">
        <v>8.4324702589223199E-2</v>
      </c>
      <c r="F15660" s="1">
        <v>6.0847726806434597E-2</v>
      </c>
    </row>
    <row r="15661" spans="1:6" x14ac:dyDescent="0.25">
      <c r="A15661" s="2" t="str">
        <f t="shared" si="560"/>
        <v>29180</v>
      </c>
      <c r="B15661" s="2" t="str">
        <f>"70578"</f>
        <v>70578</v>
      </c>
      <c r="C15661" s="1">
        <v>3.3057780406172702E-2</v>
      </c>
      <c r="D15661" s="1">
        <v>1.7693614552687101E-2</v>
      </c>
      <c r="E15661" s="1">
        <v>1.8894331700489798E-2</v>
      </c>
      <c r="F15661" s="1">
        <v>3.1341423567048297E-2</v>
      </c>
    </row>
    <row r="15662" spans="1:6" x14ac:dyDescent="0.25">
      <c r="A15662" s="2" t="str">
        <f t="shared" si="560"/>
        <v>29180</v>
      </c>
      <c r="B15662" s="2" t="str">
        <f>"70563"</f>
        <v>70563</v>
      </c>
      <c r="C15662" s="1">
        <v>3.5089072590840299E-2</v>
      </c>
      <c r="D15662" s="1">
        <v>1.4420088675257899E-2</v>
      </c>
      <c r="E15662" s="1">
        <v>1.67949615115465E-2</v>
      </c>
      <c r="F15662" s="1">
        <v>3.2796601797886002E-2</v>
      </c>
    </row>
    <row r="15663" spans="1:6" x14ac:dyDescent="0.25">
      <c r="A15663" s="2" t="str">
        <f t="shared" si="560"/>
        <v>29180</v>
      </c>
      <c r="B15663" s="2" t="str">
        <f>"70534"</f>
        <v>70534</v>
      </c>
      <c r="C15663" s="1">
        <v>8.9136872238578197E-4</v>
      </c>
      <c r="D15663" s="1">
        <v>1.24311109269465E-4</v>
      </c>
      <c r="E15663" s="1">
        <v>1.74947515745276E-4</v>
      </c>
      <c r="F15663" s="1">
        <v>8.05477245267821E-4</v>
      </c>
    </row>
    <row r="15664" spans="1:6" x14ac:dyDescent="0.25">
      <c r="A15664" s="2" t="str">
        <f t="shared" si="560"/>
        <v>29180</v>
      </c>
      <c r="B15664" s="2" t="str">
        <f>"70518"</f>
        <v>70518</v>
      </c>
      <c r="C15664" s="1">
        <v>3.5864734796377903E-2</v>
      </c>
      <c r="D15664" s="1">
        <v>6.4641776820121802E-2</v>
      </c>
      <c r="E15664" s="1">
        <v>3.8313505948215497E-2</v>
      </c>
      <c r="F15664" s="1">
        <v>3.8556523985744502E-2</v>
      </c>
    </row>
    <row r="15665" spans="1:6" x14ac:dyDescent="0.25">
      <c r="A15665" s="2" t="str">
        <f t="shared" si="560"/>
        <v>29180</v>
      </c>
      <c r="B15665" s="2" t="str">
        <f>"70575"</f>
        <v>70575</v>
      </c>
      <c r="C15665" s="1">
        <v>0</v>
      </c>
      <c r="D15665" s="1">
        <v>0</v>
      </c>
      <c r="E15665" s="1">
        <v>1.74947515745276E-4</v>
      </c>
      <c r="F15665" s="1">
        <v>3.7994209682444298E-6</v>
      </c>
    </row>
    <row r="15666" spans="1:6" x14ac:dyDescent="0.25">
      <c r="A15666" s="2" t="str">
        <f t="shared" si="560"/>
        <v>29180</v>
      </c>
      <c r="B15666" s="2" t="str">
        <f>"70556"</f>
        <v>70556</v>
      </c>
      <c r="C15666" s="1">
        <v>1.7141706199726498E-5</v>
      </c>
      <c r="D15666" s="1">
        <v>4.1437036423155002E-5</v>
      </c>
      <c r="E15666" s="1">
        <v>1.74947515745276E-4</v>
      </c>
      <c r="F15666" s="1">
        <v>2.2796525809466598E-5</v>
      </c>
    </row>
    <row r="15667" spans="1:6" x14ac:dyDescent="0.25">
      <c r="A15667" s="2" t="str">
        <f t="shared" si="560"/>
        <v>29180</v>
      </c>
      <c r="B15667" s="2" t="str">
        <f>"70537"</f>
        <v>70537</v>
      </c>
      <c r="C15667" s="1">
        <v>1.07992749058277E-3</v>
      </c>
      <c r="D15667" s="1">
        <v>3.72933327808395E-4</v>
      </c>
      <c r="E15667" s="1">
        <v>1.74947515745276E-4</v>
      </c>
      <c r="F15667" s="1">
        <v>9.9544829368004308E-4</v>
      </c>
    </row>
    <row r="15668" spans="1:6" x14ac:dyDescent="0.25">
      <c r="A15668" s="2" t="str">
        <f t="shared" si="560"/>
        <v>29180</v>
      </c>
      <c r="B15668" s="2" t="str">
        <f>"70533"</f>
        <v>70533</v>
      </c>
      <c r="C15668" s="1">
        <v>1.42790412643722E-2</v>
      </c>
      <c r="D15668" s="1">
        <v>6.1741184270500899E-3</v>
      </c>
      <c r="E15668" s="1">
        <v>1.9244226731980399E-3</v>
      </c>
      <c r="F15668" s="1">
        <v>1.32675780211095E-2</v>
      </c>
    </row>
    <row r="15669" spans="1:6" x14ac:dyDescent="0.25">
      <c r="A15669" s="2" t="str">
        <f t="shared" si="560"/>
        <v>29180</v>
      </c>
      <c r="B15669" s="2" t="str">
        <f>"70531"</f>
        <v>70531</v>
      </c>
      <c r="C15669" s="1">
        <v>2.2969886307633602E-3</v>
      </c>
      <c r="D15669" s="1">
        <v>6.6299258277048004E-4</v>
      </c>
      <c r="E15669" s="1">
        <v>6.9979006298110497E-4</v>
      </c>
      <c r="F15669" s="1">
        <v>2.1124780583439001E-3</v>
      </c>
    </row>
    <row r="15670" spans="1:6" x14ac:dyDescent="0.25">
      <c r="A15670" s="2" t="str">
        <f t="shared" si="560"/>
        <v>29180</v>
      </c>
      <c r="B15670" s="2" t="str">
        <f>"70516"</f>
        <v>70516</v>
      </c>
      <c r="C15670" s="1">
        <v>2.5712559299589802E-3</v>
      </c>
      <c r="D15670" s="1">
        <v>4.5580740065470502E-4</v>
      </c>
      <c r="E15670" s="1">
        <v>8.7473757872638203E-4</v>
      </c>
      <c r="F15670" s="1">
        <v>2.34044331643857E-3</v>
      </c>
    </row>
    <row r="15671" spans="1:6" x14ac:dyDescent="0.25">
      <c r="A15671" s="2" t="str">
        <f t="shared" si="560"/>
        <v>29180</v>
      </c>
      <c r="B15671" s="2" t="str">
        <f>"70380"</f>
        <v>70380</v>
      </c>
      <c r="C15671" s="1">
        <v>2.5626850768591201E-3</v>
      </c>
      <c r="D15671" s="1">
        <v>7.0442961919363496E-4</v>
      </c>
      <c r="E15671" s="1">
        <v>3.4989503149055199E-3</v>
      </c>
      <c r="F15671" s="1">
        <v>2.41263231483521E-3</v>
      </c>
    </row>
    <row r="15672" spans="1:6" x14ac:dyDescent="0.25">
      <c r="A15672" s="2" t="str">
        <f t="shared" si="560"/>
        <v>29180</v>
      </c>
      <c r="B15672" s="2" t="str">
        <f>"70504"</f>
        <v>70504</v>
      </c>
      <c r="C15672" s="1">
        <v>0</v>
      </c>
      <c r="D15672" s="1">
        <v>0</v>
      </c>
      <c r="E15672" s="1">
        <v>3.49895031490552E-4</v>
      </c>
      <c r="F15672" s="1">
        <v>7.5988419364888698E-6</v>
      </c>
    </row>
    <row r="15673" spans="1:6" x14ac:dyDescent="0.25">
      <c r="A15673" s="2" t="str">
        <f t="shared" si="560"/>
        <v>29180</v>
      </c>
      <c r="B15673" s="2" t="str">
        <f>"70509"</f>
        <v>70509</v>
      </c>
      <c r="C15673" s="1">
        <v>7.82947430672511E-3</v>
      </c>
      <c r="D15673" s="1">
        <v>2.1547258940040601E-2</v>
      </c>
      <c r="E15673" s="1">
        <v>3.49895031490552E-4</v>
      </c>
      <c r="F15673" s="1">
        <v>8.9248398544061799E-3</v>
      </c>
    </row>
    <row r="15674" spans="1:6" x14ac:dyDescent="0.25">
      <c r="A15674" s="2" t="str">
        <f t="shared" si="560"/>
        <v>29180</v>
      </c>
      <c r="B15674" s="2" t="str">
        <f>"70505"</f>
        <v>70505</v>
      </c>
      <c r="C15674" s="1">
        <v>4.5168395836279497E-3</v>
      </c>
      <c r="D15674" s="1">
        <v>4.37989474992748E-2</v>
      </c>
      <c r="E15674" s="1">
        <v>3.49895031490552E-4</v>
      </c>
      <c r="F15674" s="1">
        <v>8.0281765059005E-3</v>
      </c>
    </row>
    <row r="15675" spans="1:6" x14ac:dyDescent="0.25">
      <c r="A15675" s="2" t="str">
        <f t="shared" ref="A15675:A15700" si="561">"29340"</f>
        <v>29340</v>
      </c>
      <c r="B15675" s="2" t="str">
        <f>"70647"</f>
        <v>70647</v>
      </c>
      <c r="C15675" s="1">
        <v>2.6420216225387101E-2</v>
      </c>
      <c r="D15675" s="1">
        <v>1.1000308419862199E-2</v>
      </c>
      <c r="E15675" s="1">
        <v>1.11847555923777E-2</v>
      </c>
      <c r="F15675" s="1">
        <v>2.4840570394302802E-2</v>
      </c>
    </row>
    <row r="15676" spans="1:6" x14ac:dyDescent="0.25">
      <c r="A15676" s="2" t="str">
        <f t="shared" si="561"/>
        <v>29340</v>
      </c>
      <c r="B15676" s="2" t="str">
        <f>"70605"</f>
        <v>70605</v>
      </c>
      <c r="C15676" s="1">
        <v>0.170322264428378</v>
      </c>
      <c r="D15676" s="1">
        <v>0.10661046571399101</v>
      </c>
      <c r="E15676" s="1">
        <v>0.164043082021541</v>
      </c>
      <c r="F15676" s="1">
        <v>0.16495255171947101</v>
      </c>
    </row>
    <row r="15677" spans="1:6" x14ac:dyDescent="0.25">
      <c r="A15677" s="2" t="str">
        <f t="shared" si="561"/>
        <v>29340</v>
      </c>
      <c r="B15677" s="2" t="str">
        <f>"70549"</f>
        <v>70549</v>
      </c>
      <c r="C15677" s="1">
        <v>3.2989923934661E-4</v>
      </c>
      <c r="D15677" s="1">
        <v>1.02806620746376E-4</v>
      </c>
      <c r="E15677" s="1">
        <v>0</v>
      </c>
      <c r="F15677" s="1">
        <v>3.0448094456755198E-4</v>
      </c>
    </row>
    <row r="15678" spans="1:6" x14ac:dyDescent="0.25">
      <c r="A15678" s="2" t="str">
        <f t="shared" si="561"/>
        <v>29340</v>
      </c>
      <c r="B15678" s="2" t="str">
        <f>"70632"</f>
        <v>70632</v>
      </c>
      <c r="C15678" s="1">
        <v>1.9228412807631001E-3</v>
      </c>
      <c r="D15678" s="1">
        <v>8.2245296597100804E-4</v>
      </c>
      <c r="E15678" s="1">
        <v>2.07125103562551E-3</v>
      </c>
      <c r="F15678" s="1">
        <v>1.83534347142108E-3</v>
      </c>
    </row>
    <row r="15679" spans="1:6" x14ac:dyDescent="0.25">
      <c r="A15679" s="2" t="str">
        <f t="shared" si="561"/>
        <v>29340</v>
      </c>
      <c r="B15679" s="2" t="str">
        <f>"70616"</f>
        <v>70616</v>
      </c>
      <c r="C15679" s="1">
        <v>1.0066639646348E-2</v>
      </c>
      <c r="D15679" s="1">
        <v>1.6037832836434601E-2</v>
      </c>
      <c r="E15679" s="1">
        <v>8.2850041425020697E-4</v>
      </c>
      <c r="F15679" s="1">
        <v>1.03692677233283E-2</v>
      </c>
    </row>
    <row r="15680" spans="1:6" x14ac:dyDescent="0.25">
      <c r="A15680" s="2" t="str">
        <f t="shared" si="561"/>
        <v>29340</v>
      </c>
      <c r="B15680" s="2" t="str">
        <f>"70668"</f>
        <v>70668</v>
      </c>
      <c r="C15680" s="1">
        <v>2.78340701083012E-2</v>
      </c>
      <c r="D15680" s="1">
        <v>1.6860285802405599E-2</v>
      </c>
      <c r="E15680" s="1">
        <v>1.6984258492129201E-2</v>
      </c>
      <c r="F15680" s="1">
        <v>2.67097450817869E-2</v>
      </c>
    </row>
    <row r="15681" spans="1:6" x14ac:dyDescent="0.25">
      <c r="A15681" s="2" t="str">
        <f t="shared" si="561"/>
        <v>29340</v>
      </c>
      <c r="B15681" s="2" t="str">
        <f>"70630"</f>
        <v>70630</v>
      </c>
      <c r="C15681" s="1">
        <v>4.73169766148567E-3</v>
      </c>
      <c r="D15681" s="1">
        <v>1.7477125526883901E-3</v>
      </c>
      <c r="E15681" s="1">
        <v>4.14250207125103E-4</v>
      </c>
      <c r="F15681" s="1">
        <v>4.39805808819798E-3</v>
      </c>
    </row>
    <row r="15682" spans="1:6" x14ac:dyDescent="0.25">
      <c r="A15682" s="2" t="str">
        <f t="shared" si="561"/>
        <v>29340</v>
      </c>
      <c r="B15682" s="2" t="str">
        <f>"70542"</f>
        <v>70542</v>
      </c>
      <c r="C15682" s="1">
        <v>9.5199494782879099E-4</v>
      </c>
      <c r="D15682" s="1">
        <v>7.1964634522463198E-4</v>
      </c>
      <c r="E15682" s="1">
        <v>0</v>
      </c>
      <c r="F15682" s="1">
        <v>9.1344283370265703E-4</v>
      </c>
    </row>
    <row r="15683" spans="1:6" x14ac:dyDescent="0.25">
      <c r="A15683" s="2" t="str">
        <f t="shared" si="561"/>
        <v>29340</v>
      </c>
      <c r="B15683" s="2" t="str">
        <f>"70631"</f>
        <v>70631</v>
      </c>
      <c r="C15683" s="1">
        <v>6.9090326411733096E-3</v>
      </c>
      <c r="D15683" s="1">
        <v>8.1217230389636994E-3</v>
      </c>
      <c r="E15683" s="1">
        <v>4.5567522783761302E-3</v>
      </c>
      <c r="F15683" s="1">
        <v>6.9607727049748802E-3</v>
      </c>
    </row>
    <row r="15684" spans="1:6" x14ac:dyDescent="0.25">
      <c r="A15684" s="2" t="str">
        <f t="shared" si="561"/>
        <v>29340</v>
      </c>
      <c r="B15684" s="2" t="str">
        <f>"70663"</f>
        <v>70663</v>
      </c>
      <c r="C15684" s="1">
        <v>0.125917826812325</v>
      </c>
      <c r="D15684" s="1">
        <v>0.11082553716459299</v>
      </c>
      <c r="E15684" s="1">
        <v>0.164871582435791</v>
      </c>
      <c r="F15684" s="1">
        <v>0.125471522573878</v>
      </c>
    </row>
    <row r="15685" spans="1:6" x14ac:dyDescent="0.25">
      <c r="A15685" s="2" t="str">
        <f t="shared" si="561"/>
        <v>29340</v>
      </c>
      <c r="B15685" s="2" t="str">
        <f>"70612"</f>
        <v>70612</v>
      </c>
      <c r="C15685" s="1">
        <v>1.1282553985654E-2</v>
      </c>
      <c r="D15685" s="1">
        <v>1.71687056646448E-2</v>
      </c>
      <c r="E15685" s="1">
        <v>8.2850041425020697E-4</v>
      </c>
      <c r="F15685" s="1">
        <v>1.15533602855354E-2</v>
      </c>
    </row>
    <row r="15686" spans="1:6" x14ac:dyDescent="0.25">
      <c r="A15686" s="2" t="str">
        <f t="shared" si="561"/>
        <v>29340</v>
      </c>
      <c r="B15686" s="2" t="str">
        <f>"70629"</f>
        <v>70629</v>
      </c>
      <c r="C15686" s="1">
        <v>0</v>
      </c>
      <c r="D15686" s="1">
        <v>9.7666289709057198E-3</v>
      </c>
      <c r="E15686" s="1">
        <v>1.2427506213753101E-3</v>
      </c>
      <c r="F15686" s="1">
        <v>8.2886479354500305E-4</v>
      </c>
    </row>
    <row r="15687" spans="1:6" x14ac:dyDescent="0.25">
      <c r="A15687" s="2" t="str">
        <f t="shared" si="561"/>
        <v>29340</v>
      </c>
      <c r="B15687" s="2" t="str">
        <f>"70657"</f>
        <v>70657</v>
      </c>
      <c r="C15687" s="1">
        <v>5.4669016806009802E-4</v>
      </c>
      <c r="D15687" s="1">
        <v>0</v>
      </c>
      <c r="E15687" s="1">
        <v>0</v>
      </c>
      <c r="F15687" s="1">
        <v>4.9055263291438995E-4</v>
      </c>
    </row>
    <row r="15688" spans="1:6" x14ac:dyDescent="0.25">
      <c r="A15688" s="2" t="str">
        <f t="shared" si="561"/>
        <v>29340</v>
      </c>
      <c r="B15688" s="2" t="str">
        <f>"70669"</f>
        <v>70669</v>
      </c>
      <c r="C15688" s="1">
        <v>4.84951881839518E-2</v>
      </c>
      <c r="D15688" s="1">
        <v>4.8113498509303902E-2</v>
      </c>
      <c r="E15688" s="1">
        <v>3.6454018227009097E-2</v>
      </c>
      <c r="F15688" s="1">
        <v>4.8217940693878199E-2</v>
      </c>
    </row>
    <row r="15689" spans="1:6" x14ac:dyDescent="0.25">
      <c r="A15689" s="2" t="str">
        <f t="shared" si="561"/>
        <v>29340</v>
      </c>
      <c r="B15689" s="2" t="str">
        <f>"70611"</f>
        <v>70611</v>
      </c>
      <c r="C15689" s="1">
        <v>8.1899842590934302E-2</v>
      </c>
      <c r="D15689" s="1">
        <v>3.5571090778246099E-2</v>
      </c>
      <c r="E15689" s="1">
        <v>7.4979287489643706E-2</v>
      </c>
      <c r="F15689" s="1">
        <v>7.7947121809293404E-2</v>
      </c>
    </row>
    <row r="15690" spans="1:6" x14ac:dyDescent="0.25">
      <c r="A15690" s="2" t="str">
        <f t="shared" si="561"/>
        <v>29340</v>
      </c>
      <c r="B15690" s="2" t="str">
        <f>"70643"</f>
        <v>70643</v>
      </c>
      <c r="C15690" s="1">
        <v>1.8097329701299799E-3</v>
      </c>
      <c r="D15690" s="1">
        <v>2.9813920016449002E-3</v>
      </c>
      <c r="E15690" s="1">
        <v>2.07125103562551E-3</v>
      </c>
      <c r="F15690" s="1">
        <v>1.91146370756296E-3</v>
      </c>
    </row>
    <row r="15691" spans="1:6" x14ac:dyDescent="0.25">
      <c r="A15691" s="2" t="str">
        <f t="shared" si="561"/>
        <v>29340</v>
      </c>
      <c r="B15691" s="2" t="str">
        <f>"70661"</f>
        <v>70661</v>
      </c>
      <c r="C15691" s="1">
        <v>8.0401157475045396E-3</v>
      </c>
      <c r="D15691" s="1">
        <v>2.8785853808985201E-3</v>
      </c>
      <c r="E15691" s="1">
        <v>1.65700082850041E-3</v>
      </c>
      <c r="F15691" s="1">
        <v>7.4851565539523299E-3</v>
      </c>
    </row>
    <row r="15692" spans="1:6" x14ac:dyDescent="0.25">
      <c r="A15692" s="2" t="str">
        <f t="shared" si="561"/>
        <v>29340</v>
      </c>
      <c r="B15692" s="2" t="str">
        <f>"70633"</f>
        <v>70633</v>
      </c>
      <c r="C15692" s="1">
        <v>2.76644076423515E-2</v>
      </c>
      <c r="D15692" s="1">
        <v>1.9430451321064999E-2</v>
      </c>
      <c r="E15692" s="1">
        <v>1.0356255178127501E-2</v>
      </c>
      <c r="F15692" s="1">
        <v>2.6633624845645E-2</v>
      </c>
    </row>
    <row r="15693" spans="1:6" x14ac:dyDescent="0.25">
      <c r="A15693" s="2" t="str">
        <f t="shared" si="561"/>
        <v>29340</v>
      </c>
      <c r="B15693" s="2" t="str">
        <f>"70607"</f>
        <v>70607</v>
      </c>
      <c r="C15693" s="1">
        <v>0.128830365811127</v>
      </c>
      <c r="D15693" s="1">
        <v>6.4254137966485006E-2</v>
      </c>
      <c r="E15693" s="1">
        <v>0.10853355426677699</v>
      </c>
      <c r="F15693" s="1">
        <v>0.123103337449464</v>
      </c>
    </row>
    <row r="15694" spans="1:6" x14ac:dyDescent="0.25">
      <c r="A15694" s="2" t="str">
        <f t="shared" si="561"/>
        <v>29340</v>
      </c>
      <c r="B15694" s="2" t="str">
        <f>"70606"</f>
        <v>70606</v>
      </c>
      <c r="C15694" s="1">
        <v>1.98693599012187E-2</v>
      </c>
      <c r="D15694" s="1">
        <v>5.4281895754086498E-2</v>
      </c>
      <c r="E15694" s="1">
        <v>1.65700082850041E-3</v>
      </c>
      <c r="F15694" s="1">
        <v>2.2328602601620499E-2</v>
      </c>
    </row>
    <row r="15695" spans="1:6" x14ac:dyDescent="0.25">
      <c r="A15695" s="2" t="str">
        <f t="shared" si="561"/>
        <v>29340</v>
      </c>
      <c r="B15695" s="2" t="str">
        <f>"70615"</f>
        <v>70615</v>
      </c>
      <c r="C15695" s="1">
        <v>6.0494094803615603E-2</v>
      </c>
      <c r="D15695" s="1">
        <v>4.6468592577361897E-2</v>
      </c>
      <c r="E15695" s="1">
        <v>3.3968516984258401E-2</v>
      </c>
      <c r="F15695" s="1">
        <v>5.8798653517600601E-2</v>
      </c>
    </row>
    <row r="15696" spans="1:6" x14ac:dyDescent="0.25">
      <c r="A15696" s="2" t="str">
        <f t="shared" si="561"/>
        <v>29340</v>
      </c>
      <c r="B15696" s="2" t="str">
        <f>"70646"</f>
        <v>70646</v>
      </c>
      <c r="C15696" s="1">
        <v>1.8851385105520599E-5</v>
      </c>
      <c r="D15696" s="1">
        <v>0</v>
      </c>
      <c r="E15696" s="1">
        <v>4.14250207125103E-4</v>
      </c>
      <c r="F15696" s="1">
        <v>2.5373412047295998E-5</v>
      </c>
    </row>
    <row r="15697" spans="1:6" x14ac:dyDescent="0.25">
      <c r="A15697" s="2" t="str">
        <f t="shared" si="561"/>
        <v>29340</v>
      </c>
      <c r="B15697" s="2" t="str">
        <f>"70601"</f>
        <v>70601</v>
      </c>
      <c r="C15697" s="1">
        <v>0.161320728040492</v>
      </c>
      <c r="D15697" s="1">
        <v>0.30389637092628702</v>
      </c>
      <c r="E15697" s="1">
        <v>0.33140016570008202</v>
      </c>
      <c r="F15697" s="1">
        <v>0.176522827613038</v>
      </c>
    </row>
    <row r="15698" spans="1:6" x14ac:dyDescent="0.25">
      <c r="A15698" s="2" t="str">
        <f t="shared" si="561"/>
        <v>29340</v>
      </c>
      <c r="B15698" s="2" t="str">
        <f>"70645"</f>
        <v>70645</v>
      </c>
      <c r="C15698" s="1">
        <v>7.0881207996757499E-3</v>
      </c>
      <c r="D15698" s="1">
        <v>3.0841986223912798E-3</v>
      </c>
      <c r="E15698" s="1">
        <v>1.28417564208782E-2</v>
      </c>
      <c r="F15698" s="1">
        <v>6.8761946648172199E-3</v>
      </c>
    </row>
    <row r="15699" spans="1:6" x14ac:dyDescent="0.25">
      <c r="A15699" s="2" t="str">
        <f t="shared" si="561"/>
        <v>29340</v>
      </c>
      <c r="B15699" s="2" t="str">
        <f>"70665"</f>
        <v>70665</v>
      </c>
      <c r="C15699" s="1">
        <v>5.3519082314573002E-2</v>
      </c>
      <c r="D15699" s="1">
        <v>6.1478359206332801E-2</v>
      </c>
      <c r="E15699" s="1">
        <v>1.78127589063794E-2</v>
      </c>
      <c r="F15699" s="1">
        <v>5.3444863575621199E-2</v>
      </c>
    </row>
    <row r="15700" spans="1:6" x14ac:dyDescent="0.25">
      <c r="A15700" s="2" t="str">
        <f t="shared" si="561"/>
        <v>29340</v>
      </c>
      <c r="B15700" s="2" t="str">
        <f>"70602"</f>
        <v>70602</v>
      </c>
      <c r="C15700" s="1">
        <v>1.37143826642662E-2</v>
      </c>
      <c r="D15700" s="1">
        <v>5.7777320859463299E-2</v>
      </c>
      <c r="E15700" s="1">
        <v>8.2850041425020697E-4</v>
      </c>
      <c r="F15700" s="1">
        <v>1.7076306307830202E-2</v>
      </c>
    </row>
    <row r="15701" spans="1:6" x14ac:dyDescent="0.25">
      <c r="A15701" s="2" t="str">
        <f t="shared" ref="A15701:A15716" si="562">"22860"</f>
        <v>22860</v>
      </c>
      <c r="B15701" s="2" t="str">
        <f>"71447"</f>
        <v>71447</v>
      </c>
      <c r="C15701" s="1">
        <v>2.04658016454504E-4</v>
      </c>
      <c r="D15701" s="1">
        <v>0</v>
      </c>
      <c r="E15701" s="1">
        <v>0</v>
      </c>
      <c r="F15701" s="1">
        <v>1.7272350421445299E-4</v>
      </c>
    </row>
    <row r="15702" spans="1:6" x14ac:dyDescent="0.25">
      <c r="A15702" s="2" t="str">
        <f t="shared" si="562"/>
        <v>22860</v>
      </c>
      <c r="B15702" s="2" t="str">
        <f>"71403"</f>
        <v>71403</v>
      </c>
      <c r="C15702" s="1">
        <v>8.4769350415455705E-2</v>
      </c>
      <c r="D15702" s="1">
        <v>1.9404915912031001E-2</v>
      </c>
      <c r="E15702" s="1">
        <v>1.6829350387075001E-3</v>
      </c>
      <c r="F15702" s="1">
        <v>7.2751139975127804E-2</v>
      </c>
    </row>
    <row r="15703" spans="1:6" x14ac:dyDescent="0.25">
      <c r="A15703" s="2" t="str">
        <f t="shared" si="562"/>
        <v>22860</v>
      </c>
      <c r="B15703" s="2" t="str">
        <f>"70634"</f>
        <v>70634</v>
      </c>
      <c r="C15703" s="1">
        <v>5.8900577135606397E-2</v>
      </c>
      <c r="D15703" s="1">
        <v>2.9754204398447601E-2</v>
      </c>
      <c r="E15703" s="1">
        <v>3.3658700774150101E-3</v>
      </c>
      <c r="F15703" s="1">
        <v>5.1644327760121497E-2</v>
      </c>
    </row>
    <row r="15704" spans="1:6" x14ac:dyDescent="0.25">
      <c r="A15704" s="2" t="str">
        <f t="shared" si="562"/>
        <v>22860</v>
      </c>
      <c r="B15704" s="2" t="str">
        <f>"71443"</f>
        <v>71443</v>
      </c>
      <c r="C15704" s="1">
        <v>2.45589619745405E-3</v>
      </c>
      <c r="D15704" s="1">
        <v>1.9404915912031001E-3</v>
      </c>
      <c r="E15704" s="1">
        <v>6.7317401548300205E-4</v>
      </c>
      <c r="F15704" s="1">
        <v>2.2454055547878899E-3</v>
      </c>
    </row>
    <row r="15705" spans="1:6" x14ac:dyDescent="0.25">
      <c r="A15705" s="2" t="str">
        <f t="shared" si="562"/>
        <v>22860</v>
      </c>
      <c r="B15705" s="2" t="str">
        <f>"70639"</f>
        <v>70639</v>
      </c>
      <c r="C15705" s="1">
        <v>7.7770046252711696E-3</v>
      </c>
      <c r="D15705" s="1">
        <v>2.58732212160413E-3</v>
      </c>
      <c r="E15705" s="1">
        <v>3.3658700774150102E-4</v>
      </c>
      <c r="F15705" s="1">
        <v>6.7362166643636801E-3</v>
      </c>
    </row>
    <row r="15706" spans="1:6" x14ac:dyDescent="0.25">
      <c r="A15706" s="2" t="str">
        <f t="shared" si="562"/>
        <v>22860</v>
      </c>
      <c r="B15706" s="2" t="str">
        <f>"71446"</f>
        <v>71446</v>
      </c>
      <c r="C15706" s="1">
        <v>0.51320044206131499</v>
      </c>
      <c r="D15706" s="1">
        <v>0.72703751617076295</v>
      </c>
      <c r="E15706" s="1">
        <v>0.12790306294177001</v>
      </c>
      <c r="F15706" s="1">
        <v>0.48507668923587099</v>
      </c>
    </row>
    <row r="15707" spans="1:6" x14ac:dyDescent="0.25">
      <c r="A15707" s="2" t="str">
        <f t="shared" si="562"/>
        <v>22860</v>
      </c>
      <c r="B15707" s="2" t="str">
        <f>"71429"</f>
        <v>71429</v>
      </c>
      <c r="C15707" s="1">
        <v>2.04658016454504E-4</v>
      </c>
      <c r="D15707" s="1">
        <v>0</v>
      </c>
      <c r="E15707" s="1">
        <v>0</v>
      </c>
      <c r="F15707" s="1">
        <v>1.7272350421445299E-4</v>
      </c>
    </row>
    <row r="15708" spans="1:6" x14ac:dyDescent="0.25">
      <c r="A15708" s="2" t="str">
        <f t="shared" si="562"/>
        <v>22860</v>
      </c>
      <c r="B15708" s="2" t="str">
        <f>"71475"</f>
        <v>71475</v>
      </c>
      <c r="C15708" s="1">
        <v>0</v>
      </c>
      <c r="D15708" s="1">
        <v>0</v>
      </c>
      <c r="E15708" s="1">
        <v>3.3658700774150102E-4</v>
      </c>
      <c r="F15708" s="1">
        <v>3.45447008428907E-5</v>
      </c>
    </row>
    <row r="15709" spans="1:6" x14ac:dyDescent="0.25">
      <c r="A15709" s="2" t="str">
        <f t="shared" si="562"/>
        <v>22860</v>
      </c>
      <c r="B15709" s="2" t="str">
        <f>"71474"</f>
        <v>71474</v>
      </c>
      <c r="C15709" s="1">
        <v>0</v>
      </c>
      <c r="D15709" s="1">
        <v>0</v>
      </c>
      <c r="E15709" s="1">
        <v>3.3658700774150102E-4</v>
      </c>
      <c r="F15709" s="1">
        <v>3.45447008428907E-5</v>
      </c>
    </row>
    <row r="15710" spans="1:6" x14ac:dyDescent="0.25">
      <c r="A15710" s="2" t="str">
        <f t="shared" si="562"/>
        <v>22860</v>
      </c>
      <c r="B15710" s="2" t="str">
        <f>"71439"</f>
        <v>71439</v>
      </c>
      <c r="C15710" s="1">
        <v>2.4558961974540501E-2</v>
      </c>
      <c r="D15710" s="1">
        <v>3.8809831824062001E-3</v>
      </c>
      <c r="E15710" s="1">
        <v>2.0195220464490002E-3</v>
      </c>
      <c r="F15710" s="1">
        <v>2.1141356915849101E-2</v>
      </c>
    </row>
    <row r="15711" spans="1:6" x14ac:dyDescent="0.25">
      <c r="A15711" s="2" t="str">
        <f t="shared" si="562"/>
        <v>22860</v>
      </c>
      <c r="B15711" s="2" t="str">
        <f>"70656"</f>
        <v>70656</v>
      </c>
      <c r="C15711" s="1">
        <v>4.3305636281773099E-2</v>
      </c>
      <c r="D15711" s="1">
        <v>1.6170763260025801E-2</v>
      </c>
      <c r="E15711" s="1">
        <v>1.6829350387075001E-3</v>
      </c>
      <c r="F15711" s="1">
        <v>3.7584634517065001E-2</v>
      </c>
    </row>
    <row r="15712" spans="1:6" x14ac:dyDescent="0.25">
      <c r="A15712" s="2" t="str">
        <f t="shared" si="562"/>
        <v>22860</v>
      </c>
      <c r="B15712" s="2" t="str">
        <f>"71496"</f>
        <v>71496</v>
      </c>
      <c r="C15712" s="1">
        <v>4.6252711718717997E-2</v>
      </c>
      <c r="D15712" s="1">
        <v>0.117723156532988</v>
      </c>
      <c r="E15712" s="1">
        <v>6.7317401548300205E-4</v>
      </c>
      <c r="F15712" s="1">
        <v>4.5391736907558301E-2</v>
      </c>
    </row>
    <row r="15713" spans="1:6" x14ac:dyDescent="0.25">
      <c r="A15713" s="2" t="str">
        <f t="shared" si="562"/>
        <v>22860</v>
      </c>
      <c r="B15713" s="2" t="str">
        <f>"71438"</f>
        <v>71438</v>
      </c>
      <c r="C15713" s="1">
        <v>1.0110106012852499E-2</v>
      </c>
      <c r="D15713" s="1">
        <v>2.58732212160413E-3</v>
      </c>
      <c r="E15713" s="1">
        <v>0</v>
      </c>
      <c r="F15713" s="1">
        <v>8.6707199115655595E-3</v>
      </c>
    </row>
    <row r="15714" spans="1:6" x14ac:dyDescent="0.25">
      <c r="A15714" s="2" t="str">
        <f t="shared" si="562"/>
        <v>22860</v>
      </c>
      <c r="B15714" s="2" t="str">
        <f>"71459"</f>
        <v>71459</v>
      </c>
      <c r="C15714" s="1">
        <v>0.167819573492693</v>
      </c>
      <c r="D15714" s="1">
        <v>7.3091849935316894E-2</v>
      </c>
      <c r="E15714" s="1">
        <v>0.84651632446987501</v>
      </c>
      <c r="F15714" s="1">
        <v>0.232416747270968</v>
      </c>
    </row>
    <row r="15715" spans="1:6" x14ac:dyDescent="0.25">
      <c r="A15715" s="2" t="str">
        <f t="shared" si="562"/>
        <v>22860</v>
      </c>
      <c r="B15715" s="2" t="str">
        <f>"70659"</f>
        <v>70659</v>
      </c>
      <c r="C15715" s="1">
        <v>4.0931603290900897E-5</v>
      </c>
      <c r="D15715" s="1">
        <v>6.4683053040103401E-4</v>
      </c>
      <c r="E15715" s="1">
        <v>3.3658700774150102E-4</v>
      </c>
      <c r="F15715" s="1">
        <v>1.03634102528672E-4</v>
      </c>
    </row>
    <row r="15716" spans="1:6" x14ac:dyDescent="0.25">
      <c r="A15716" s="2" t="str">
        <f t="shared" si="562"/>
        <v>22860</v>
      </c>
      <c r="B15716" s="2" t="str">
        <f>"71461"</f>
        <v>71461</v>
      </c>
      <c r="C15716" s="1">
        <v>4.03994924481191E-2</v>
      </c>
      <c r="D15716" s="1">
        <v>5.1746442432082703E-3</v>
      </c>
      <c r="E15716" s="1">
        <v>1.4136654325143E-2</v>
      </c>
      <c r="F15716" s="1">
        <v>3.5822854774077602E-2</v>
      </c>
    </row>
    <row r="15717" spans="1:6" x14ac:dyDescent="0.25">
      <c r="A15717" s="2" t="str">
        <f t="shared" ref="A15717:A15748" si="563">"43340"</f>
        <v>43340</v>
      </c>
      <c r="B15717" s="2" t="str">
        <f>"71163"</f>
        <v>71163</v>
      </c>
      <c r="C15717" s="1">
        <v>1.21971336735867E-3</v>
      </c>
      <c r="D15717" s="1">
        <v>4.9532758004391499E-3</v>
      </c>
      <c r="E15717" s="1">
        <v>5.69800569800569E-4</v>
      </c>
      <c r="F15717" s="1">
        <v>1.5371515640405101E-3</v>
      </c>
    </row>
    <row r="15718" spans="1:6" x14ac:dyDescent="0.25">
      <c r="A15718" s="2" t="str">
        <f t="shared" si="563"/>
        <v>43340</v>
      </c>
      <c r="B15718" s="2" t="str">
        <f>"71133"</f>
        <v>71133</v>
      </c>
      <c r="C15718" s="1">
        <v>9.7477092883172401E-3</v>
      </c>
      <c r="D15718" s="1">
        <v>2.2468467548383799E-2</v>
      </c>
      <c r="E15718" s="1">
        <v>5.69800569800569E-4</v>
      </c>
      <c r="F15718" s="1">
        <v>1.07197275253204E-2</v>
      </c>
    </row>
    <row r="15719" spans="1:6" x14ac:dyDescent="0.25">
      <c r="A15719" s="2" t="str">
        <f t="shared" si="563"/>
        <v>43340</v>
      </c>
      <c r="B15719" s="2" t="str">
        <f>"71129"</f>
        <v>71129</v>
      </c>
      <c r="C15719" s="1">
        <v>3.4346928471809098E-2</v>
      </c>
      <c r="D15719" s="1">
        <v>2.8391972629321301E-2</v>
      </c>
      <c r="E15719" s="1">
        <v>2.5925925925925901E-2</v>
      </c>
      <c r="F15719" s="1">
        <v>3.36918526485614E-2</v>
      </c>
    </row>
    <row r="15720" spans="1:6" x14ac:dyDescent="0.25">
      <c r="A15720" s="2" t="str">
        <f t="shared" si="563"/>
        <v>43340</v>
      </c>
      <c r="B15720" s="2" t="str">
        <f>"71112"</f>
        <v>71112</v>
      </c>
      <c r="C15720" s="1">
        <v>7.1123286027783394E-2</v>
      </c>
      <c r="D15720" s="1">
        <v>4.2894347137823599E-2</v>
      </c>
      <c r="E15720" s="1">
        <v>5.9259259259259199E-2</v>
      </c>
      <c r="F15720" s="1">
        <v>6.8459263242807197E-2</v>
      </c>
    </row>
    <row r="15721" spans="1:6" x14ac:dyDescent="0.25">
      <c r="A15721" s="2" t="str">
        <f t="shared" si="563"/>
        <v>43340</v>
      </c>
      <c r="B15721" s="2" t="str">
        <f>"71046"</f>
        <v>71046</v>
      </c>
      <c r="C15721" s="1">
        <v>3.3392152844081602E-3</v>
      </c>
      <c r="D15721" s="1">
        <v>1.1744880763927799E-3</v>
      </c>
      <c r="E15721" s="1">
        <v>8.5470085470085405E-4</v>
      </c>
      <c r="F15721" s="1">
        <v>3.11015505960383E-3</v>
      </c>
    </row>
    <row r="15722" spans="1:6" x14ac:dyDescent="0.25">
      <c r="A15722" s="2" t="str">
        <f t="shared" si="563"/>
        <v>43340</v>
      </c>
      <c r="B15722" s="2" t="str">
        <f>"71033"</f>
        <v>71033</v>
      </c>
      <c r="C15722" s="1">
        <v>8.0181157428004402E-3</v>
      </c>
      <c r="D15722" s="1">
        <v>4.3915641117295602E-3</v>
      </c>
      <c r="E15722" s="1">
        <v>3.1339031339031299E-3</v>
      </c>
      <c r="F15722" s="1">
        <v>7.6230169400376404E-3</v>
      </c>
    </row>
    <row r="15723" spans="1:6" x14ac:dyDescent="0.25">
      <c r="A15723" s="2" t="str">
        <f t="shared" si="563"/>
        <v>43340</v>
      </c>
      <c r="B15723" s="2" t="str">
        <f>"71067"</f>
        <v>71067</v>
      </c>
      <c r="C15723" s="1">
        <v>6.8983788809629703E-3</v>
      </c>
      <c r="D15723" s="1">
        <v>1.53194096920798E-3</v>
      </c>
      <c r="E15723" s="1">
        <v>1.42450142450142E-3</v>
      </c>
      <c r="F15723" s="1">
        <v>6.3413103880971501E-3</v>
      </c>
    </row>
    <row r="15724" spans="1:6" x14ac:dyDescent="0.25">
      <c r="A15724" s="2" t="str">
        <f t="shared" si="563"/>
        <v>43340</v>
      </c>
      <c r="B15724" s="2" t="str">
        <f>"71060"</f>
        <v>71060</v>
      </c>
      <c r="C15724" s="1">
        <v>6.9433683084475098E-3</v>
      </c>
      <c r="D15724" s="1">
        <v>1.6851350661287799E-3</v>
      </c>
      <c r="E15724" s="1">
        <v>3.1339031339031299E-3</v>
      </c>
      <c r="F15724" s="1">
        <v>6.42197723402348E-3</v>
      </c>
    </row>
    <row r="15725" spans="1:6" x14ac:dyDescent="0.25">
      <c r="A15725" s="2" t="str">
        <f t="shared" si="563"/>
        <v>43340</v>
      </c>
      <c r="B15725" s="2" t="str">
        <f>"71105"</f>
        <v>71105</v>
      </c>
      <c r="C15725" s="1">
        <v>5.7491489499967498E-2</v>
      </c>
      <c r="D15725" s="1">
        <v>7.9763059796762403E-2</v>
      </c>
      <c r="E15725" s="1">
        <v>9.4301994301994305E-2</v>
      </c>
      <c r="F15725" s="1">
        <v>6.0025096352065897E-2</v>
      </c>
    </row>
    <row r="15726" spans="1:6" x14ac:dyDescent="0.25">
      <c r="A15726" s="2" t="str">
        <f t="shared" si="563"/>
        <v>43340</v>
      </c>
      <c r="B15726" s="2" t="str">
        <f>"71004"</f>
        <v>71004</v>
      </c>
      <c r="C15726" s="1">
        <v>1.0947427354571599E-3</v>
      </c>
      <c r="D15726" s="1">
        <v>4.59582290762395E-4</v>
      </c>
      <c r="E15726" s="1">
        <v>2.8490028490028401E-4</v>
      </c>
      <c r="F15726" s="1">
        <v>1.02626153984045E-3</v>
      </c>
    </row>
    <row r="15727" spans="1:6" x14ac:dyDescent="0.25">
      <c r="A15727" s="2" t="str">
        <f t="shared" si="563"/>
        <v>43340</v>
      </c>
      <c r="B15727" s="2" t="str">
        <f>"71165"</f>
        <v>71165</v>
      </c>
      <c r="C15727" s="1">
        <v>3.2492364294390799E-4</v>
      </c>
      <c r="D15727" s="1">
        <v>2.65536434662717E-3</v>
      </c>
      <c r="E15727" s="1">
        <v>5.69800569800569E-4</v>
      </c>
      <c r="F15727" s="1">
        <v>5.3329748140180998E-4</v>
      </c>
    </row>
    <row r="15728" spans="1:6" x14ac:dyDescent="0.25">
      <c r="A15728" s="2" t="str">
        <f t="shared" si="563"/>
        <v>43340</v>
      </c>
      <c r="B15728" s="2" t="str">
        <f>"71162"</f>
        <v>71162</v>
      </c>
      <c r="C15728" s="1">
        <v>2.62938209520762E-3</v>
      </c>
      <c r="D15728" s="1">
        <v>6.7916049634887399E-3</v>
      </c>
      <c r="E15728" s="1">
        <v>5.69800569800569E-4</v>
      </c>
      <c r="F15728" s="1">
        <v>2.96226584207224E-3</v>
      </c>
    </row>
    <row r="15729" spans="1:6" x14ac:dyDescent="0.25">
      <c r="A15729" s="2" t="str">
        <f t="shared" si="563"/>
        <v>43340</v>
      </c>
      <c r="B15729" s="2" t="str">
        <f>"71119"</f>
        <v>71119</v>
      </c>
      <c r="C15729" s="1">
        <v>2.6528765740050999E-2</v>
      </c>
      <c r="D15729" s="1">
        <v>7.7107695450135301E-3</v>
      </c>
      <c r="E15729" s="1">
        <v>1.7094017094016999E-2</v>
      </c>
      <c r="F15729" s="1">
        <v>2.4728869767858701E-2</v>
      </c>
    </row>
    <row r="15730" spans="1:6" x14ac:dyDescent="0.25">
      <c r="A15730" s="2" t="str">
        <f t="shared" si="563"/>
        <v>43340</v>
      </c>
      <c r="B15730" s="2" t="str">
        <f>"71044"</f>
        <v>71044</v>
      </c>
      <c r="C15730" s="1">
        <v>1.7145970696886201E-3</v>
      </c>
      <c r="D15730" s="1">
        <v>8.6809988255119196E-4</v>
      </c>
      <c r="E15730" s="1">
        <v>1.7094017094017001E-3</v>
      </c>
      <c r="F15730" s="1">
        <v>1.6402258671685899E-3</v>
      </c>
    </row>
    <row r="15731" spans="1:6" x14ac:dyDescent="0.25">
      <c r="A15731" s="2" t="str">
        <f t="shared" si="563"/>
        <v>43340</v>
      </c>
      <c r="B15731" s="2" t="str">
        <f>"71071"</f>
        <v>71071</v>
      </c>
      <c r="C15731" s="1">
        <v>7.4982379140901801E-5</v>
      </c>
      <c r="D15731" s="1">
        <v>0</v>
      </c>
      <c r="E15731" s="1">
        <v>0</v>
      </c>
      <c r="F15731" s="1">
        <v>6.7222371605270197E-5</v>
      </c>
    </row>
    <row r="15732" spans="1:6" x14ac:dyDescent="0.25">
      <c r="A15732" s="2" t="str">
        <f t="shared" si="563"/>
        <v>43340</v>
      </c>
      <c r="B15732" s="2" t="str">
        <f>"71063"</f>
        <v>71063</v>
      </c>
      <c r="C15732" s="1">
        <v>1.72459472024074E-3</v>
      </c>
      <c r="D15732" s="1">
        <v>7.1490578563039304E-4</v>
      </c>
      <c r="E15732" s="1">
        <v>2.8490028490028401E-4</v>
      </c>
      <c r="F15732" s="1">
        <v>1.6133369185264801E-3</v>
      </c>
    </row>
    <row r="15733" spans="1:6" x14ac:dyDescent="0.25">
      <c r="A15733" s="2" t="str">
        <f t="shared" si="563"/>
        <v>43340</v>
      </c>
      <c r="B15733" s="2" t="str">
        <f>"71419"</f>
        <v>71419</v>
      </c>
      <c r="C15733" s="1">
        <v>7.8981439361749896E-4</v>
      </c>
      <c r="D15733" s="1">
        <v>2.5532349486799701E-4</v>
      </c>
      <c r="E15733" s="1">
        <v>0</v>
      </c>
      <c r="F15733" s="1">
        <v>7.3048310477726898E-4</v>
      </c>
    </row>
    <row r="15734" spans="1:6" x14ac:dyDescent="0.25">
      <c r="A15734" s="2" t="str">
        <f t="shared" si="563"/>
        <v>43340</v>
      </c>
      <c r="B15734" s="2" t="str">
        <f>"71032"</f>
        <v>71032</v>
      </c>
      <c r="C15734" s="1">
        <v>5.4337230750773503E-3</v>
      </c>
      <c r="D15734" s="1">
        <v>1.9915232599703801E-3</v>
      </c>
      <c r="E15734" s="1">
        <v>8.5470085470085405E-4</v>
      </c>
      <c r="F15734" s="1">
        <v>5.0596038361566701E-3</v>
      </c>
    </row>
    <row r="15735" spans="1:6" x14ac:dyDescent="0.25">
      <c r="A15735" s="2" t="str">
        <f t="shared" si="563"/>
        <v>43340</v>
      </c>
      <c r="B15735" s="2" t="str">
        <f>"71103"</f>
        <v>71103</v>
      </c>
      <c r="C15735" s="1">
        <v>1.85556394247351E-2</v>
      </c>
      <c r="D15735" s="1">
        <v>3.6919777357912402E-2</v>
      </c>
      <c r="E15735" s="1">
        <v>2.5641025641025599E-2</v>
      </c>
      <c r="F15735" s="1">
        <v>2.02787487675898E-2</v>
      </c>
    </row>
    <row r="15736" spans="1:6" x14ac:dyDescent="0.25">
      <c r="A15736" s="2" t="str">
        <f t="shared" si="563"/>
        <v>43340</v>
      </c>
      <c r="B15736" s="2" t="str">
        <f>"71061"</f>
        <v>71061</v>
      </c>
      <c r="C15736" s="1">
        <v>2.7293586007288199E-3</v>
      </c>
      <c r="D15736" s="1">
        <v>1.42981157126078E-3</v>
      </c>
      <c r="E15736" s="1">
        <v>1.42450142450142E-3</v>
      </c>
      <c r="F15736" s="1">
        <v>2.5947835439634301E-3</v>
      </c>
    </row>
    <row r="15737" spans="1:6" x14ac:dyDescent="0.25">
      <c r="A15737" s="2" t="str">
        <f t="shared" si="563"/>
        <v>43340</v>
      </c>
      <c r="B15737" s="2" t="str">
        <f>"71166"</f>
        <v>71166</v>
      </c>
      <c r="C15737" s="1">
        <v>1.67460646748014E-3</v>
      </c>
      <c r="D15737" s="1">
        <v>5.3107286932543504E-3</v>
      </c>
      <c r="E15737" s="1">
        <v>5.69800569800569E-4</v>
      </c>
      <c r="F15737" s="1">
        <v>1.97633772519494E-3</v>
      </c>
    </row>
    <row r="15738" spans="1:6" x14ac:dyDescent="0.25">
      <c r="A15738" s="2" t="str">
        <f t="shared" si="563"/>
        <v>43340</v>
      </c>
      <c r="B15738" s="2" t="str">
        <f>"71138"</f>
        <v>71138</v>
      </c>
      <c r="C15738" s="1">
        <v>4.1590226296820201E-3</v>
      </c>
      <c r="D15738" s="1">
        <v>1.0161875095746301E-2</v>
      </c>
      <c r="E15738" s="1">
        <v>5.69800569800569E-4</v>
      </c>
      <c r="F15738" s="1">
        <v>4.6293806578829397E-3</v>
      </c>
    </row>
    <row r="15739" spans="1:6" x14ac:dyDescent="0.25">
      <c r="A15739" s="2" t="str">
        <f t="shared" si="563"/>
        <v>43340</v>
      </c>
      <c r="B15739" s="2" t="str">
        <f>"71137"</f>
        <v>71137</v>
      </c>
      <c r="C15739" s="1">
        <v>3.9490719680874897E-3</v>
      </c>
      <c r="D15739" s="1">
        <v>1.12342337741919E-2</v>
      </c>
      <c r="E15739" s="1">
        <v>2.8490028490028401E-4</v>
      </c>
      <c r="F15739" s="1">
        <v>4.5307878461952099E-3</v>
      </c>
    </row>
    <row r="15740" spans="1:6" x14ac:dyDescent="0.25">
      <c r="A15740" s="2" t="str">
        <f t="shared" si="563"/>
        <v>43340</v>
      </c>
      <c r="B15740" s="2" t="str">
        <f>"71172"</f>
        <v>71172</v>
      </c>
      <c r="C15740" s="1">
        <v>2.0745124895649499E-3</v>
      </c>
      <c r="D15740" s="1">
        <v>3.1660113363631702E-3</v>
      </c>
      <c r="E15740" s="1">
        <v>5.69800569800569E-4</v>
      </c>
      <c r="F15740" s="1">
        <v>2.1466343999282898E-3</v>
      </c>
    </row>
    <row r="15741" spans="1:6" x14ac:dyDescent="0.25">
      <c r="A15741" s="2" t="str">
        <f t="shared" si="563"/>
        <v>43340</v>
      </c>
      <c r="B15741" s="2" t="str">
        <f>"71136"</f>
        <v>71136</v>
      </c>
      <c r="C15741" s="1">
        <v>3.9690672691917303E-3</v>
      </c>
      <c r="D15741" s="1">
        <v>1.00086809988255E-2</v>
      </c>
      <c r="E15741" s="1">
        <v>5.69800569800569E-4</v>
      </c>
      <c r="F15741" s="1">
        <v>4.44563950882853E-3</v>
      </c>
    </row>
    <row r="15742" spans="1:6" x14ac:dyDescent="0.25">
      <c r="A15742" s="2" t="str">
        <f t="shared" si="563"/>
        <v>43340</v>
      </c>
      <c r="B15742" s="2" t="str">
        <f>"71115"</f>
        <v>71115</v>
      </c>
      <c r="C15742" s="1">
        <v>3.8296000439896602E-2</v>
      </c>
      <c r="D15742" s="1">
        <v>1.1591686667007E-2</v>
      </c>
      <c r="E15742" s="1">
        <v>1.7948717948717899E-2</v>
      </c>
      <c r="F15742" s="1">
        <v>3.5632338442233499E-2</v>
      </c>
    </row>
    <row r="15743" spans="1:6" x14ac:dyDescent="0.25">
      <c r="A15743" s="2" t="str">
        <f t="shared" si="563"/>
        <v>43340</v>
      </c>
      <c r="B15743" s="2" t="str">
        <f>"71052"</f>
        <v>71052</v>
      </c>
      <c r="C15743" s="1">
        <v>2.5459017130974201E-2</v>
      </c>
      <c r="D15743" s="1">
        <v>2.2876985140172501E-2</v>
      </c>
      <c r="E15743" s="1">
        <v>1.4529914529914501E-2</v>
      </c>
      <c r="F15743" s="1">
        <v>2.5060500134444701E-2</v>
      </c>
    </row>
    <row r="15744" spans="1:6" x14ac:dyDescent="0.25">
      <c r="A15744" s="2" t="str">
        <f t="shared" si="563"/>
        <v>43340</v>
      </c>
      <c r="B15744" s="2" t="str">
        <f>"71049"</f>
        <v>71049</v>
      </c>
      <c r="C15744" s="1">
        <v>7.6532014976480496E-3</v>
      </c>
      <c r="D15744" s="1">
        <v>2.3489761527855698E-3</v>
      </c>
      <c r="E15744" s="1">
        <v>3.4188034188034101E-3</v>
      </c>
      <c r="F15744" s="1">
        <v>7.1210898987182896E-3</v>
      </c>
    </row>
    <row r="15745" spans="1:6" x14ac:dyDescent="0.25">
      <c r="A15745" s="2" t="str">
        <f t="shared" si="563"/>
        <v>43340</v>
      </c>
      <c r="B15745" s="2" t="str">
        <f>"71030"</f>
        <v>71030</v>
      </c>
      <c r="C15745" s="1">
        <v>3.0742775447769699E-3</v>
      </c>
      <c r="D15745" s="1">
        <v>8.1703518357759196E-4</v>
      </c>
      <c r="E15745" s="1">
        <v>8.5470085470085405E-4</v>
      </c>
      <c r="F15745" s="1">
        <v>2.8412655731827499E-3</v>
      </c>
    </row>
    <row r="15746" spans="1:6" x14ac:dyDescent="0.25">
      <c r="A15746" s="2" t="str">
        <f t="shared" si="563"/>
        <v>43340</v>
      </c>
      <c r="B15746" s="2" t="str">
        <f>"71102"</f>
        <v>71102</v>
      </c>
      <c r="C15746" s="1">
        <v>0</v>
      </c>
      <c r="D15746" s="1">
        <v>2.0425879589439799E-4</v>
      </c>
      <c r="E15746" s="1">
        <v>5.69800569800569E-4</v>
      </c>
      <c r="F15746" s="1">
        <v>2.6888948642108E-5</v>
      </c>
    </row>
    <row r="15747" spans="1:6" x14ac:dyDescent="0.25">
      <c r="A15747" s="2" t="str">
        <f t="shared" si="563"/>
        <v>43340</v>
      </c>
      <c r="B15747" s="2" t="str">
        <f>"71023"</f>
        <v>71023</v>
      </c>
      <c r="C15747" s="1">
        <v>4.6988957594965101E-4</v>
      </c>
      <c r="D15747" s="1">
        <v>1.0212939794719899E-4</v>
      </c>
      <c r="E15747" s="1">
        <v>0</v>
      </c>
      <c r="F15747" s="1">
        <v>4.3022317827372898E-4</v>
      </c>
    </row>
    <row r="15748" spans="1:6" x14ac:dyDescent="0.25">
      <c r="A15748" s="2" t="str">
        <f t="shared" si="563"/>
        <v>43340</v>
      </c>
      <c r="B15748" s="2" t="str">
        <f>"71148"</f>
        <v>71148</v>
      </c>
      <c r="C15748" s="1">
        <v>3.9240778417071898E-3</v>
      </c>
      <c r="D15748" s="1">
        <v>1.02129397947199E-2</v>
      </c>
      <c r="E15748" s="1">
        <v>5.69800569800569E-4</v>
      </c>
      <c r="F15748" s="1">
        <v>4.4232320516267801E-3</v>
      </c>
    </row>
    <row r="15749" spans="1:6" x14ac:dyDescent="0.25">
      <c r="A15749" s="2" t="str">
        <f t="shared" ref="A15749:A15779" si="564">"43340"</f>
        <v>43340</v>
      </c>
      <c r="B15749" s="2" t="str">
        <f>"71135"</f>
        <v>71135</v>
      </c>
      <c r="C15749" s="1">
        <v>5.1537888596179804E-3</v>
      </c>
      <c r="D15749" s="1">
        <v>2.53791553898789E-2</v>
      </c>
      <c r="E15749" s="1">
        <v>5.69800569800569E-4</v>
      </c>
      <c r="F15749" s="1">
        <v>6.8566819037375604E-3</v>
      </c>
    </row>
    <row r="15750" spans="1:6" x14ac:dyDescent="0.25">
      <c r="A15750" s="2" t="str">
        <f t="shared" si="564"/>
        <v>43340</v>
      </c>
      <c r="B15750" s="2" t="str">
        <f>"71113"</f>
        <v>71113</v>
      </c>
      <c r="C15750" s="1">
        <v>3.6991307042844898E-3</v>
      </c>
      <c r="D15750" s="1">
        <v>6.2809579737527401E-3</v>
      </c>
      <c r="E15750" s="1">
        <v>5.69800569800569E-4</v>
      </c>
      <c r="F15750" s="1">
        <v>3.87649009590391E-3</v>
      </c>
    </row>
    <row r="15751" spans="1:6" x14ac:dyDescent="0.25">
      <c r="A15751" s="2" t="str">
        <f t="shared" si="564"/>
        <v>43340</v>
      </c>
      <c r="B15751" s="2" t="str">
        <f>"71161"</f>
        <v>71161</v>
      </c>
      <c r="C15751" s="1">
        <v>4.0990367263693002E-4</v>
      </c>
      <c r="D15751" s="1">
        <v>5.2596639942807501E-3</v>
      </c>
      <c r="E15751" s="1">
        <v>5.69800569800569E-4</v>
      </c>
      <c r="F15751" s="1">
        <v>8.3803889934570201E-4</v>
      </c>
    </row>
    <row r="15752" spans="1:6" x14ac:dyDescent="0.25">
      <c r="A15752" s="2" t="str">
        <f t="shared" si="564"/>
        <v>43340</v>
      </c>
      <c r="B15752" s="2" t="str">
        <f>"71134"</f>
        <v>71134</v>
      </c>
      <c r="C15752" s="1">
        <v>3.7691142581493301E-3</v>
      </c>
      <c r="D15752" s="1">
        <v>1.50130214982382E-2</v>
      </c>
      <c r="E15752" s="1">
        <v>5.69800569800569E-4</v>
      </c>
      <c r="F15752" s="1">
        <v>4.7055660123689102E-3</v>
      </c>
    </row>
    <row r="15753" spans="1:6" x14ac:dyDescent="0.25">
      <c r="A15753" s="2" t="str">
        <f t="shared" si="564"/>
        <v>43340</v>
      </c>
      <c r="B15753" s="2" t="str">
        <f>"71108"</f>
        <v>71108</v>
      </c>
      <c r="C15753" s="1">
        <v>4.0745424825166E-2</v>
      </c>
      <c r="D15753" s="1">
        <v>3.6409130368176397E-2</v>
      </c>
      <c r="E15753" s="1">
        <v>2.6495726495726402E-2</v>
      </c>
      <c r="F15753" s="1">
        <v>4.0140718831227003E-2</v>
      </c>
    </row>
    <row r="15754" spans="1:6" x14ac:dyDescent="0.25">
      <c r="A15754" s="2" t="str">
        <f t="shared" si="564"/>
        <v>43340</v>
      </c>
      <c r="B15754" s="2" t="str">
        <f>"71107"</f>
        <v>71107</v>
      </c>
      <c r="C15754" s="1">
        <v>7.0923333016741003E-2</v>
      </c>
      <c r="D15754" s="1">
        <v>6.4137261910841001E-2</v>
      </c>
      <c r="E15754" s="1">
        <v>6.8660968660968602E-2</v>
      </c>
      <c r="F15754" s="1">
        <v>7.0292193241910897E-2</v>
      </c>
    </row>
    <row r="15755" spans="1:6" x14ac:dyDescent="0.25">
      <c r="A15755" s="2" t="str">
        <f t="shared" si="564"/>
        <v>43340</v>
      </c>
      <c r="B15755" s="2" t="str">
        <f>"71043"</f>
        <v>71043</v>
      </c>
      <c r="C15755" s="1">
        <v>6.8983788809629703E-4</v>
      </c>
      <c r="D15755" s="1">
        <v>3.5745289281519598E-4</v>
      </c>
      <c r="E15755" s="1">
        <v>2.8490028490028401E-4</v>
      </c>
      <c r="F15755" s="1">
        <v>6.5429775029129597E-4</v>
      </c>
    </row>
    <row r="15756" spans="1:6" x14ac:dyDescent="0.25">
      <c r="A15756" s="2" t="str">
        <f t="shared" si="564"/>
        <v>43340</v>
      </c>
      <c r="B15756" s="2" t="str">
        <f>"71051"</f>
        <v>71051</v>
      </c>
      <c r="C15756" s="1">
        <v>5.8186326213339797E-3</v>
      </c>
      <c r="D15756" s="1">
        <v>2.04258795894398E-3</v>
      </c>
      <c r="E15756" s="1">
        <v>2.8490028490028401E-4</v>
      </c>
      <c r="F15756" s="1">
        <v>5.4001971856233698E-3</v>
      </c>
    </row>
    <row r="15757" spans="1:6" x14ac:dyDescent="0.25">
      <c r="A15757" s="2" t="str">
        <f t="shared" si="564"/>
        <v>43340</v>
      </c>
      <c r="B15757" s="2" t="str">
        <f>"71047"</f>
        <v>71047</v>
      </c>
      <c r="C15757" s="1">
        <v>2.53040535474163E-2</v>
      </c>
      <c r="D15757" s="1">
        <v>6.8426696624623298E-3</v>
      </c>
      <c r="E15757" s="1">
        <v>8.5470085470085392E-3</v>
      </c>
      <c r="F15757" s="1">
        <v>2.3420274267276098E-2</v>
      </c>
    </row>
    <row r="15758" spans="1:6" x14ac:dyDescent="0.25">
      <c r="A15758" s="2" t="str">
        <f t="shared" si="564"/>
        <v>43340</v>
      </c>
      <c r="B15758" s="2" t="str">
        <f>"71069"</f>
        <v>71069</v>
      </c>
      <c r="C15758" s="1">
        <v>1.3346863487080499E-3</v>
      </c>
      <c r="D15758" s="1">
        <v>4.59582290762395E-4</v>
      </c>
      <c r="E15758" s="1">
        <v>2.8490028490028401E-4</v>
      </c>
      <c r="F15758" s="1">
        <v>1.24137312897732E-3</v>
      </c>
    </row>
    <row r="15759" spans="1:6" x14ac:dyDescent="0.25">
      <c r="A15759" s="2" t="str">
        <f t="shared" si="564"/>
        <v>43340</v>
      </c>
      <c r="B15759" s="2" t="str">
        <f>"71164"</f>
        <v>71164</v>
      </c>
      <c r="C15759" s="1">
        <v>3.4991776932420801E-4</v>
      </c>
      <c r="D15759" s="1">
        <v>2.6042996476535701E-3</v>
      </c>
      <c r="E15759" s="1">
        <v>5.69800569800569E-4</v>
      </c>
      <c r="F15759" s="1">
        <v>5.5122344716321498E-4</v>
      </c>
    </row>
    <row r="15760" spans="1:6" x14ac:dyDescent="0.25">
      <c r="A15760" s="2" t="str">
        <f t="shared" si="564"/>
        <v>43340</v>
      </c>
      <c r="B15760" s="2" t="str">
        <f>"71106"</f>
        <v>71106</v>
      </c>
      <c r="C15760" s="1">
        <v>7.9646283123465902E-2</v>
      </c>
      <c r="D15760" s="1">
        <v>7.5626819179900898E-2</v>
      </c>
      <c r="E15760" s="1">
        <v>0.116809116809116</v>
      </c>
      <c r="F15760" s="1">
        <v>7.9878103432822395E-2</v>
      </c>
    </row>
    <row r="15761" spans="1:6" x14ac:dyDescent="0.25">
      <c r="A15761" s="2" t="str">
        <f t="shared" si="564"/>
        <v>43340</v>
      </c>
      <c r="B15761" s="2" t="str">
        <f>"71029"</f>
        <v>71029</v>
      </c>
      <c r="C15761" s="1">
        <v>1.59962408833924E-4</v>
      </c>
      <c r="D15761" s="1">
        <v>2.0425879589439799E-4</v>
      </c>
      <c r="E15761" s="1">
        <v>2.8490028490028401E-4</v>
      </c>
      <c r="F15761" s="1">
        <v>1.6581518329299901E-4</v>
      </c>
    </row>
    <row r="15762" spans="1:6" x14ac:dyDescent="0.25">
      <c r="A15762" s="2" t="str">
        <f t="shared" si="564"/>
        <v>43340</v>
      </c>
      <c r="B15762" s="2" t="str">
        <f>"71027"</f>
        <v>71027</v>
      </c>
      <c r="C15762" s="1">
        <v>4.4039650682089699E-3</v>
      </c>
      <c r="D15762" s="1">
        <v>2.1957820558647801E-3</v>
      </c>
      <c r="E15762" s="1">
        <v>1.42450142450142E-3</v>
      </c>
      <c r="F15762" s="1">
        <v>4.1633055480864E-3</v>
      </c>
    </row>
    <row r="15763" spans="1:6" x14ac:dyDescent="0.25">
      <c r="A15763" s="2" t="str">
        <f t="shared" si="564"/>
        <v>43340</v>
      </c>
      <c r="B15763" s="2" t="str">
        <f>"71078"</f>
        <v>71078</v>
      </c>
      <c r="C15763" s="1">
        <v>1.3831749538858301E-2</v>
      </c>
      <c r="D15763" s="1">
        <v>4.5447582086503603E-3</v>
      </c>
      <c r="E15763" s="1">
        <v>4.5584045584045503E-3</v>
      </c>
      <c r="F15763" s="1">
        <v>1.2870843416688999E-2</v>
      </c>
    </row>
    <row r="15764" spans="1:6" x14ac:dyDescent="0.25">
      <c r="A15764" s="2" t="str">
        <f t="shared" si="564"/>
        <v>43340</v>
      </c>
      <c r="B15764" s="2" t="str">
        <f>"71006"</f>
        <v>71006</v>
      </c>
      <c r="C15764" s="1">
        <v>3.0337870600408899E-2</v>
      </c>
      <c r="D15764" s="1">
        <v>8.8341929224327199E-3</v>
      </c>
      <c r="E15764" s="1">
        <v>9.6866096866096794E-3</v>
      </c>
      <c r="F15764" s="1">
        <v>2.8125840279645001E-2</v>
      </c>
    </row>
    <row r="15765" spans="1:6" x14ac:dyDescent="0.25">
      <c r="A15765" s="2" t="str">
        <f t="shared" si="564"/>
        <v>43340</v>
      </c>
      <c r="B15765" s="2" t="str">
        <f>"71149"</f>
        <v>71149</v>
      </c>
      <c r="C15765" s="1">
        <v>4.0690437747129401E-3</v>
      </c>
      <c r="D15765" s="1">
        <v>1.17448807639278E-2</v>
      </c>
      <c r="E15765" s="1">
        <v>5.69800569800569E-4</v>
      </c>
      <c r="F15765" s="1">
        <v>4.6876400466075102E-3</v>
      </c>
    </row>
    <row r="15766" spans="1:6" x14ac:dyDescent="0.25">
      <c r="A15766" s="2" t="str">
        <f t="shared" si="564"/>
        <v>43340</v>
      </c>
      <c r="B15766" s="2" t="str">
        <f>"71118"</f>
        <v>71118</v>
      </c>
      <c r="C15766" s="1">
        <v>5.4092288312246599E-2</v>
      </c>
      <c r="D15766" s="1">
        <v>3.9524077005565997E-2</v>
      </c>
      <c r="E15766" s="1">
        <v>4.2735042735042701E-2</v>
      </c>
      <c r="F15766" s="1">
        <v>5.26351169669265E-2</v>
      </c>
    </row>
    <row r="15767" spans="1:6" x14ac:dyDescent="0.25">
      <c r="A15767" s="2" t="str">
        <f t="shared" si="564"/>
        <v>43340</v>
      </c>
      <c r="B15767" s="2" t="str">
        <f>"71110"</f>
        <v>71110</v>
      </c>
      <c r="C15767" s="1">
        <v>1.60712232625333E-2</v>
      </c>
      <c r="D15767" s="1">
        <v>5.6681815860695501E-3</v>
      </c>
      <c r="E15767" s="1">
        <v>1.05413105413105E-2</v>
      </c>
      <c r="F15767" s="1">
        <v>1.5071255713901501E-2</v>
      </c>
    </row>
    <row r="15768" spans="1:6" x14ac:dyDescent="0.25">
      <c r="A15768" s="2" t="str">
        <f t="shared" si="564"/>
        <v>43340</v>
      </c>
      <c r="B15768" s="2" t="str">
        <f>"71111"</f>
        <v>71111</v>
      </c>
      <c r="C15768" s="1">
        <v>9.6707273790659104E-2</v>
      </c>
      <c r="D15768" s="1">
        <v>0.12812132972476101</v>
      </c>
      <c r="E15768" s="1">
        <v>0.15754985754985701</v>
      </c>
      <c r="F15768" s="1">
        <v>0.10042126019539301</v>
      </c>
    </row>
    <row r="15769" spans="1:6" x14ac:dyDescent="0.25">
      <c r="A15769" s="2" t="str">
        <f t="shared" si="564"/>
        <v>43340</v>
      </c>
      <c r="B15769" s="2" t="str">
        <f>"71104"</f>
        <v>71104</v>
      </c>
      <c r="C15769" s="1">
        <v>4.041050353167E-2</v>
      </c>
      <c r="D15769" s="1">
        <v>3.5847418679466801E-2</v>
      </c>
      <c r="E15769" s="1">
        <v>9.9145299145299098E-2</v>
      </c>
      <c r="F15769" s="1">
        <v>4.0933942816169203E-2</v>
      </c>
    </row>
    <row r="15770" spans="1:6" x14ac:dyDescent="0.25">
      <c r="A15770" s="2" t="str">
        <f t="shared" si="564"/>
        <v>43340</v>
      </c>
      <c r="B15770" s="2" t="str">
        <f>"71101"</f>
        <v>71101</v>
      </c>
      <c r="C15770" s="1">
        <v>2.3244537533679499E-2</v>
      </c>
      <c r="D15770" s="1">
        <v>9.5695245876525503E-2</v>
      </c>
      <c r="E15770" s="1">
        <v>0.106837606837606</v>
      </c>
      <c r="F15770" s="1">
        <v>3.0917809446983899E-2</v>
      </c>
    </row>
    <row r="15771" spans="1:6" x14ac:dyDescent="0.25">
      <c r="A15771" s="2" t="str">
        <f t="shared" si="564"/>
        <v>43340</v>
      </c>
      <c r="B15771" s="2" t="str">
        <f>"71082"</f>
        <v>71082</v>
      </c>
      <c r="C15771" s="1">
        <v>1.1462306358005801E-2</v>
      </c>
      <c r="D15771" s="1">
        <v>1.22555277536638E-2</v>
      </c>
      <c r="E15771" s="1">
        <v>1.4529914529914501E-2</v>
      </c>
      <c r="F15771" s="1">
        <v>1.15801738818678E-2</v>
      </c>
    </row>
    <row r="15772" spans="1:6" x14ac:dyDescent="0.25">
      <c r="A15772" s="2" t="str">
        <f t="shared" si="564"/>
        <v>43340</v>
      </c>
      <c r="B15772" s="2" t="str">
        <f>"71009"</f>
        <v>71009</v>
      </c>
      <c r="C15772" s="1">
        <v>0</v>
      </c>
      <c r="D15772" s="1">
        <v>5.1064698973599497E-5</v>
      </c>
      <c r="E15772" s="1">
        <v>2.8490028490028401E-4</v>
      </c>
      <c r="F15772" s="1">
        <v>8.9629828807026894E-6</v>
      </c>
    </row>
    <row r="15773" spans="1:6" x14ac:dyDescent="0.25">
      <c r="A15773" s="2" t="str">
        <f t="shared" si="564"/>
        <v>43340</v>
      </c>
      <c r="B15773" s="2" t="str">
        <f>"71018"</f>
        <v>71018</v>
      </c>
      <c r="C15773" s="1">
        <v>3.9990602208481E-4</v>
      </c>
      <c r="D15773" s="1">
        <v>5.1064698973599497E-5</v>
      </c>
      <c r="E15773" s="1">
        <v>0</v>
      </c>
      <c r="F15773" s="1">
        <v>3.6300080666845901E-4</v>
      </c>
    </row>
    <row r="15774" spans="1:6" x14ac:dyDescent="0.25">
      <c r="A15774" s="2" t="str">
        <f t="shared" si="564"/>
        <v>43340</v>
      </c>
      <c r="B15774" s="2" t="str">
        <f>"71171"</f>
        <v>71171</v>
      </c>
      <c r="C15774" s="1">
        <v>4.3289826890680599E-3</v>
      </c>
      <c r="D15774" s="1">
        <v>1.6340703671551798E-2</v>
      </c>
      <c r="E15774" s="1">
        <v>5.69800569800569E-4</v>
      </c>
      <c r="F15774" s="1">
        <v>5.3240118311374002E-3</v>
      </c>
    </row>
    <row r="15775" spans="1:6" x14ac:dyDescent="0.25">
      <c r="A15775" s="2" t="str">
        <f t="shared" si="564"/>
        <v>43340</v>
      </c>
      <c r="B15775" s="2" t="str">
        <f>"71109"</f>
        <v>71109</v>
      </c>
      <c r="C15775" s="1">
        <v>4.99182692067364E-2</v>
      </c>
      <c r="D15775" s="1">
        <v>4.42730940101108E-2</v>
      </c>
      <c r="E15775" s="1">
        <v>3.9601139601139597E-2</v>
      </c>
      <c r="F15775" s="1">
        <v>4.9260553912341999E-2</v>
      </c>
    </row>
    <row r="15776" spans="1:6" x14ac:dyDescent="0.25">
      <c r="A15776" s="2" t="str">
        <f t="shared" si="564"/>
        <v>43340</v>
      </c>
      <c r="B15776" s="2" t="str">
        <f>"71037"</f>
        <v>71037</v>
      </c>
      <c r="C15776" s="1">
        <v>4.6444085639874601E-2</v>
      </c>
      <c r="D15776" s="1">
        <v>1.5625797885921399E-2</v>
      </c>
      <c r="E15776" s="1">
        <v>6.55270655270655E-3</v>
      </c>
      <c r="F15776" s="1">
        <v>4.31119476561799E-2</v>
      </c>
    </row>
    <row r="15777" spans="1:6" x14ac:dyDescent="0.25">
      <c r="A15777" s="2" t="str">
        <f t="shared" si="564"/>
        <v>43340</v>
      </c>
      <c r="B15777" s="2" t="str">
        <f>"71075"</f>
        <v>71075</v>
      </c>
      <c r="C15777" s="1">
        <v>4.4489544956935099E-4</v>
      </c>
      <c r="D15777" s="1">
        <v>1.0212939794719899E-4</v>
      </c>
      <c r="E15777" s="1">
        <v>0</v>
      </c>
      <c r="F15777" s="1">
        <v>4.07815721071972E-4</v>
      </c>
    </row>
    <row r="15778" spans="1:6" x14ac:dyDescent="0.25">
      <c r="A15778" s="2" t="str">
        <f t="shared" si="564"/>
        <v>43340</v>
      </c>
      <c r="B15778" s="2" t="str">
        <f>"71064"</f>
        <v>71064</v>
      </c>
      <c r="C15778" s="1">
        <v>7.66819797347623E-3</v>
      </c>
      <c r="D15778" s="1">
        <v>2.9106878414951699E-3</v>
      </c>
      <c r="E15778" s="1">
        <v>1.42450142450142E-3</v>
      </c>
      <c r="F15778" s="1">
        <v>7.1524603388007498E-3</v>
      </c>
    </row>
    <row r="15779" spans="1:6" x14ac:dyDescent="0.25">
      <c r="A15779" s="2" t="str">
        <f t="shared" si="564"/>
        <v>43340</v>
      </c>
      <c r="B15779" s="2" t="str">
        <f>"71007"</f>
        <v>71007</v>
      </c>
      <c r="C15779" s="1">
        <v>2.7293586007288199E-3</v>
      </c>
      <c r="D15779" s="1">
        <v>5.10646989735995E-4</v>
      </c>
      <c r="E15779" s="1">
        <v>1.42450142450142E-3</v>
      </c>
      <c r="F15779" s="1">
        <v>2.5141166980371002E-3</v>
      </c>
    </row>
    <row r="15780" spans="1:6" x14ac:dyDescent="0.25">
      <c r="A15780" s="2" t="str">
        <f t="shared" ref="A15780:A15800" si="565">"26260"</f>
        <v>26260</v>
      </c>
      <c r="B15780" s="2" t="str">
        <f>"71860"</f>
        <v>71860</v>
      </c>
      <c r="C15780" s="1">
        <v>6.3718618580349095E-4</v>
      </c>
      <c r="D15780" s="1">
        <v>0</v>
      </c>
      <c r="E15780" s="1">
        <v>0</v>
      </c>
      <c r="F15780" s="1">
        <v>5.8414627022606398E-4</v>
      </c>
    </row>
    <row r="15781" spans="1:6" x14ac:dyDescent="0.25">
      <c r="A15781" s="2" t="str">
        <f t="shared" si="565"/>
        <v>26260</v>
      </c>
      <c r="B15781" s="2" t="str">
        <f>"71855"</f>
        <v>71855</v>
      </c>
      <c r="C15781" s="1">
        <v>2.17917675544794E-2</v>
      </c>
      <c r="D15781" s="1">
        <v>8.7719298245613996E-3</v>
      </c>
      <c r="E15781" s="1">
        <v>1.1695906432748499E-2</v>
      </c>
      <c r="F15781" s="1">
        <v>2.07371925930252E-2</v>
      </c>
    </row>
    <row r="15782" spans="1:6" x14ac:dyDescent="0.25">
      <c r="A15782" s="2" t="str">
        <f t="shared" si="565"/>
        <v>26260</v>
      </c>
      <c r="B15782" s="2" t="str">
        <f>"71770"</f>
        <v>71770</v>
      </c>
      <c r="C15782" s="1">
        <v>9.7489486427934195E-3</v>
      </c>
      <c r="D15782" s="1">
        <v>1.5948963317384301E-3</v>
      </c>
      <c r="E15782" s="1">
        <v>0</v>
      </c>
      <c r="F15782" s="1">
        <v>9.0542671885040001E-3</v>
      </c>
    </row>
    <row r="15783" spans="1:6" x14ac:dyDescent="0.25">
      <c r="A15783" s="2" t="str">
        <f t="shared" si="565"/>
        <v>26260</v>
      </c>
      <c r="B15783" s="2" t="str">
        <f>"71862"</f>
        <v>71862</v>
      </c>
      <c r="C15783" s="1">
        <v>2.3639607493309501E-2</v>
      </c>
      <c r="D15783" s="1">
        <v>7.1770334928229597E-3</v>
      </c>
      <c r="E15783" s="1">
        <v>5.84795321637426E-3</v>
      </c>
      <c r="F15783" s="1">
        <v>2.2255972895612999E-2</v>
      </c>
    </row>
    <row r="15784" spans="1:6" x14ac:dyDescent="0.25">
      <c r="A15784" s="2" t="str">
        <f t="shared" si="565"/>
        <v>26260</v>
      </c>
      <c r="B15784" s="2" t="str">
        <f>"71822"</f>
        <v>71822</v>
      </c>
      <c r="C15784" s="1">
        <v>1.27437237160698E-4</v>
      </c>
      <c r="D15784" s="1">
        <v>1.5948963317384301E-3</v>
      </c>
      <c r="E15784" s="1">
        <v>0</v>
      </c>
      <c r="F15784" s="1">
        <v>2.3365850809042499E-4</v>
      </c>
    </row>
    <row r="15785" spans="1:6" x14ac:dyDescent="0.25">
      <c r="A15785" s="2" t="str">
        <f t="shared" si="565"/>
        <v>26260</v>
      </c>
      <c r="B15785" s="2" t="str">
        <f>"71835"</f>
        <v>71835</v>
      </c>
      <c r="C15785" s="1">
        <v>4.4794188861985398E-2</v>
      </c>
      <c r="D15785" s="1">
        <v>1.03668261562998E-2</v>
      </c>
      <c r="E15785" s="1">
        <v>5.84795321637426E-3</v>
      </c>
      <c r="F15785" s="1">
        <v>4.1883287575208802E-2</v>
      </c>
    </row>
    <row r="15786" spans="1:6" x14ac:dyDescent="0.25">
      <c r="A15786" s="2" t="str">
        <f t="shared" si="565"/>
        <v>26260</v>
      </c>
      <c r="B15786" s="2" t="str">
        <f>"71858"</f>
        <v>71858</v>
      </c>
      <c r="C15786" s="1">
        <v>6.0787562125653102E-2</v>
      </c>
      <c r="D15786" s="1">
        <v>2.0733652312599601E-2</v>
      </c>
      <c r="E15786" s="1">
        <v>0</v>
      </c>
      <c r="F15786" s="1">
        <v>5.7246334482154299E-2</v>
      </c>
    </row>
    <row r="15787" spans="1:6" x14ac:dyDescent="0.25">
      <c r="A15787" s="2" t="str">
        <f t="shared" si="565"/>
        <v>26260</v>
      </c>
      <c r="B15787" s="2" t="str">
        <f>"71831"</f>
        <v>71831</v>
      </c>
      <c r="C15787" s="1">
        <v>3.3133681661781499E-3</v>
      </c>
      <c r="D15787" s="1">
        <v>2.3923444976076502E-3</v>
      </c>
      <c r="E15787" s="1">
        <v>5.84795321637426E-3</v>
      </c>
      <c r="F15787" s="1">
        <v>3.2712191132659601E-3</v>
      </c>
    </row>
    <row r="15788" spans="1:6" x14ac:dyDescent="0.25">
      <c r="A15788" s="2" t="str">
        <f t="shared" si="565"/>
        <v>26260</v>
      </c>
      <c r="B15788" s="2" t="str">
        <f>"71828"</f>
        <v>71828</v>
      </c>
      <c r="C15788" s="1">
        <v>0</v>
      </c>
      <c r="D15788" s="1">
        <v>0</v>
      </c>
      <c r="E15788" s="1">
        <v>5.84795321637426E-3</v>
      </c>
      <c r="F15788" s="1">
        <v>5.8414627022606403E-5</v>
      </c>
    </row>
    <row r="15789" spans="1:6" x14ac:dyDescent="0.25">
      <c r="A15789" s="2" t="str">
        <f t="shared" si="565"/>
        <v>26260</v>
      </c>
      <c r="B15789" s="2" t="str">
        <f>"71852"</f>
        <v>71852</v>
      </c>
      <c r="C15789" s="1">
        <v>2.6570663948005599E-2</v>
      </c>
      <c r="D15789" s="1">
        <v>5.5821371610845199E-3</v>
      </c>
      <c r="E15789" s="1">
        <v>0</v>
      </c>
      <c r="F15789" s="1">
        <v>2.4767801857585099E-2</v>
      </c>
    </row>
    <row r="15790" spans="1:6" x14ac:dyDescent="0.25">
      <c r="A15790" s="2" t="str">
        <f t="shared" si="565"/>
        <v>26260</v>
      </c>
      <c r="B15790" s="2" t="str">
        <f>"71847"</f>
        <v>71847</v>
      </c>
      <c r="C15790" s="1">
        <v>2.0517395182872399E-2</v>
      </c>
      <c r="D15790" s="1">
        <v>1.5948963317384301E-3</v>
      </c>
      <c r="E15790" s="1">
        <v>5.84795321637426E-3</v>
      </c>
      <c r="F15790" s="1">
        <v>1.8984753782347E-2</v>
      </c>
    </row>
    <row r="15791" spans="1:6" x14ac:dyDescent="0.25">
      <c r="A15791" s="2" t="str">
        <f t="shared" si="565"/>
        <v>26260</v>
      </c>
      <c r="B15791" s="2" t="str">
        <f>"71827"</f>
        <v>71827</v>
      </c>
      <c r="C15791" s="1">
        <v>8.8568879826685307E-3</v>
      </c>
      <c r="D15791" s="1">
        <v>3.9872408293460896E-3</v>
      </c>
      <c r="E15791" s="1">
        <v>0</v>
      </c>
      <c r="F15791" s="1">
        <v>8.4117062912553303E-3</v>
      </c>
    </row>
    <row r="15792" spans="1:6" x14ac:dyDescent="0.25">
      <c r="A15792" s="2" t="str">
        <f t="shared" si="565"/>
        <v>26260</v>
      </c>
      <c r="B15792" s="2" t="str">
        <f>"71825"</f>
        <v>71825</v>
      </c>
      <c r="C15792" s="1">
        <v>1.6885433923792499E-2</v>
      </c>
      <c r="D15792" s="1">
        <v>1.5948963317384301E-3</v>
      </c>
      <c r="E15792" s="1">
        <v>5.84795321637426E-3</v>
      </c>
      <c r="F15792" s="1">
        <v>1.5655120042058501E-2</v>
      </c>
    </row>
    <row r="15793" spans="1:6" x14ac:dyDescent="0.25">
      <c r="A15793" s="2" t="str">
        <f t="shared" si="565"/>
        <v>26260</v>
      </c>
      <c r="B15793" s="2" t="str">
        <f>"71752"</f>
        <v>71752</v>
      </c>
      <c r="C15793" s="1">
        <v>1.9115585574104699E-4</v>
      </c>
      <c r="D15793" s="1">
        <v>0</v>
      </c>
      <c r="E15793" s="1">
        <v>0</v>
      </c>
      <c r="F15793" s="1">
        <v>1.7524388106781899E-4</v>
      </c>
    </row>
    <row r="15794" spans="1:6" x14ac:dyDescent="0.25">
      <c r="A15794" s="2" t="str">
        <f t="shared" si="565"/>
        <v>26260</v>
      </c>
      <c r="B15794" s="2" t="str">
        <f>"71838"</f>
        <v>71838</v>
      </c>
      <c r="C15794" s="1">
        <v>3.4344335414808198E-2</v>
      </c>
      <c r="D15794" s="1">
        <v>1.9138755980861202E-2</v>
      </c>
      <c r="E15794" s="1">
        <v>5.84795321637426E-3</v>
      </c>
      <c r="F15794" s="1">
        <v>3.2945849640750001E-2</v>
      </c>
    </row>
    <row r="15795" spans="1:6" x14ac:dyDescent="0.25">
      <c r="A15795" s="2" t="str">
        <f t="shared" si="565"/>
        <v>26260</v>
      </c>
      <c r="B15795" s="2" t="str">
        <f>"71764"</f>
        <v>71764</v>
      </c>
      <c r="C15795" s="1">
        <v>1.4018096087676801E-3</v>
      </c>
      <c r="D15795" s="1">
        <v>0</v>
      </c>
      <c r="E15795" s="1">
        <v>0</v>
      </c>
      <c r="F15795" s="1">
        <v>1.2851217944973401E-3</v>
      </c>
    </row>
    <row r="15796" spans="1:6" x14ac:dyDescent="0.25">
      <c r="A15796" s="2" t="str">
        <f t="shared" si="565"/>
        <v>26260</v>
      </c>
      <c r="B15796" s="2" t="str">
        <f>"71864"</f>
        <v>71864</v>
      </c>
      <c r="C15796" s="1">
        <v>0</v>
      </c>
      <c r="D15796" s="1">
        <v>0</v>
      </c>
      <c r="E15796" s="1">
        <v>5.84795321637426E-3</v>
      </c>
      <c r="F15796" s="1">
        <v>5.8414627022606403E-5</v>
      </c>
    </row>
    <row r="15797" spans="1:6" x14ac:dyDescent="0.25">
      <c r="A15797" s="2" t="str">
        <f t="shared" si="565"/>
        <v>26260</v>
      </c>
      <c r="B15797" s="2" t="str">
        <f>"71722"</f>
        <v>71722</v>
      </c>
      <c r="C15797" s="1">
        <v>4.84261501210653E-3</v>
      </c>
      <c r="D15797" s="1">
        <v>1.43540669856459E-2</v>
      </c>
      <c r="E15797" s="1">
        <v>1.1695906432748499E-2</v>
      </c>
      <c r="F15797" s="1">
        <v>5.6078041941702199E-3</v>
      </c>
    </row>
    <row r="15798" spans="1:6" x14ac:dyDescent="0.25">
      <c r="A15798" s="2" t="str">
        <f t="shared" si="565"/>
        <v>26260</v>
      </c>
      <c r="B15798" s="2" t="str">
        <f>"71859"</f>
        <v>71859</v>
      </c>
      <c r="C15798" s="1">
        <v>1.15967885816235E-2</v>
      </c>
      <c r="D15798" s="1">
        <v>3.9872408293460896E-3</v>
      </c>
      <c r="E15798" s="1">
        <v>0</v>
      </c>
      <c r="F15798" s="1">
        <v>1.0923535253227401E-2</v>
      </c>
    </row>
    <row r="15799" spans="1:6" x14ac:dyDescent="0.25">
      <c r="A15799" s="2" t="str">
        <f t="shared" si="565"/>
        <v>26260</v>
      </c>
      <c r="B15799" s="2" t="str">
        <f>"71857"</f>
        <v>71857</v>
      </c>
      <c r="C15799" s="1">
        <v>0.212947623295526</v>
      </c>
      <c r="D15799" s="1">
        <v>0.28468899521531099</v>
      </c>
      <c r="E15799" s="1">
        <v>0.41520467836257302</v>
      </c>
      <c r="F15799" s="1">
        <v>0.22022314387522601</v>
      </c>
    </row>
    <row r="15800" spans="1:6" x14ac:dyDescent="0.25">
      <c r="A15800" s="2" t="str">
        <f t="shared" si="565"/>
        <v>26260</v>
      </c>
      <c r="B15800" s="2" t="str">
        <f>"71801"</f>
        <v>71801</v>
      </c>
      <c r="C15800" s="1">
        <v>0.497005224926723</v>
      </c>
      <c r="D15800" s="1">
        <v>0.61244019138755901</v>
      </c>
      <c r="E15800" s="1">
        <v>0.51461988304093498</v>
      </c>
      <c r="F15800" s="1">
        <v>0.50563701150768103</v>
      </c>
    </row>
    <row r="15801" spans="1:6" x14ac:dyDescent="0.25">
      <c r="A15801" s="2" t="str">
        <f t="shared" ref="A15801:A15811" si="566">"11660"</f>
        <v>11660</v>
      </c>
      <c r="B15801" s="2" t="str">
        <f>"71743"</f>
        <v>71743</v>
      </c>
      <c r="C15801" s="1">
        <v>0.18212244897959101</v>
      </c>
      <c r="D15801" s="1">
        <v>0.128980891719745</v>
      </c>
      <c r="E15801" s="1">
        <v>0.100775193798449</v>
      </c>
      <c r="F15801" s="1">
        <v>0.175748328974135</v>
      </c>
    </row>
    <row r="15802" spans="1:6" x14ac:dyDescent="0.25">
      <c r="A15802" s="2" t="str">
        <f t="shared" si="566"/>
        <v>11660</v>
      </c>
      <c r="B15802" s="2" t="str">
        <f>"71763"</f>
        <v>71763</v>
      </c>
      <c r="C15802" s="1">
        <v>1.7959183673469301E-3</v>
      </c>
      <c r="D15802" s="1">
        <v>0</v>
      </c>
      <c r="E15802" s="1">
        <v>0</v>
      </c>
      <c r="F15802" s="1">
        <v>1.5983725661144999E-3</v>
      </c>
    </row>
    <row r="15803" spans="1:6" x14ac:dyDescent="0.25">
      <c r="A15803" s="2" t="str">
        <f t="shared" si="566"/>
        <v>11660</v>
      </c>
      <c r="B15803" s="2" t="str">
        <f>"71721"</f>
        <v>71721</v>
      </c>
      <c r="C15803" s="1">
        <v>0</v>
      </c>
      <c r="D15803" s="1">
        <v>0</v>
      </c>
      <c r="E15803" s="1">
        <v>3.8759689922480598E-3</v>
      </c>
      <c r="F15803" s="1">
        <v>7.2653298459749994E-5</v>
      </c>
    </row>
    <row r="15804" spans="1:6" x14ac:dyDescent="0.25">
      <c r="A15804" s="2" t="str">
        <f t="shared" si="566"/>
        <v>11660</v>
      </c>
      <c r="B15804" s="2" t="str">
        <f>"71772"</f>
        <v>71772</v>
      </c>
      <c r="C15804" s="1">
        <v>0</v>
      </c>
      <c r="D15804" s="1">
        <v>0</v>
      </c>
      <c r="E15804" s="1">
        <v>3.8759689922480598E-3</v>
      </c>
      <c r="F15804" s="1">
        <v>7.2653298459749994E-5</v>
      </c>
    </row>
    <row r="15805" spans="1:6" x14ac:dyDescent="0.25">
      <c r="A15805" s="2" t="str">
        <f t="shared" si="566"/>
        <v>11660</v>
      </c>
      <c r="B15805" s="2" t="str">
        <f>"71999"</f>
        <v>71999</v>
      </c>
      <c r="C15805" s="1">
        <v>0</v>
      </c>
      <c r="D15805" s="1">
        <v>7.9617834394904398E-4</v>
      </c>
      <c r="E15805" s="1">
        <v>0</v>
      </c>
      <c r="F15805" s="1">
        <v>7.2653298459749994E-5</v>
      </c>
    </row>
    <row r="15806" spans="1:6" x14ac:dyDescent="0.25">
      <c r="A15806" s="2" t="str">
        <f t="shared" si="566"/>
        <v>11660</v>
      </c>
      <c r="B15806" s="2" t="str">
        <f>"71962"</f>
        <v>71962</v>
      </c>
      <c r="C15806" s="1">
        <v>3.6653061224489698E-2</v>
      </c>
      <c r="D15806" s="1">
        <v>1.1146496815286599E-2</v>
      </c>
      <c r="E15806" s="1">
        <v>3.8759689922480598E-3</v>
      </c>
      <c r="F15806" s="1">
        <v>3.3711130485324002E-2</v>
      </c>
    </row>
    <row r="15807" spans="1:6" x14ac:dyDescent="0.25">
      <c r="A15807" s="2" t="str">
        <f t="shared" si="566"/>
        <v>11660</v>
      </c>
      <c r="B15807" s="2" t="str">
        <f>"71923"</f>
        <v>71923</v>
      </c>
      <c r="C15807" s="1">
        <v>0.69167346938775498</v>
      </c>
      <c r="D15807" s="1">
        <v>0.83678343949044498</v>
      </c>
      <c r="E15807" s="1">
        <v>0.85658914728682101</v>
      </c>
      <c r="F15807" s="1">
        <v>0.70800639349026395</v>
      </c>
    </row>
    <row r="15808" spans="1:6" x14ac:dyDescent="0.25">
      <c r="A15808" s="2" t="str">
        <f t="shared" si="566"/>
        <v>11660</v>
      </c>
      <c r="B15808" s="2" t="str">
        <f>"71921"</f>
        <v>71921</v>
      </c>
      <c r="C15808" s="1">
        <v>8.7673469387755096E-2</v>
      </c>
      <c r="D15808" s="1">
        <v>2.1496815286624199E-2</v>
      </c>
      <c r="E15808" s="1">
        <v>2.7131782945736399E-2</v>
      </c>
      <c r="F15808" s="1">
        <v>8.0499854693402997E-2</v>
      </c>
    </row>
    <row r="15809" spans="1:6" x14ac:dyDescent="0.25">
      <c r="A15809" s="2" t="str">
        <f t="shared" si="566"/>
        <v>11660</v>
      </c>
      <c r="B15809" s="2" t="str">
        <f>"71728"</f>
        <v>71728</v>
      </c>
      <c r="C15809" s="1">
        <v>0</v>
      </c>
      <c r="D15809" s="1">
        <v>0</v>
      </c>
      <c r="E15809" s="1">
        <v>3.8759689922480598E-3</v>
      </c>
      <c r="F15809" s="1">
        <v>7.2653298459749994E-5</v>
      </c>
    </row>
    <row r="15810" spans="1:6" x14ac:dyDescent="0.25">
      <c r="A15810" s="2" t="str">
        <f t="shared" si="566"/>
        <v>11660</v>
      </c>
      <c r="B15810" s="2" t="str">
        <f>"71929"</f>
        <v>71929</v>
      </c>
      <c r="C15810" s="1">
        <v>8.1632653061224395E-5</v>
      </c>
      <c r="D15810" s="1">
        <v>0</v>
      </c>
      <c r="E15810" s="1">
        <v>0</v>
      </c>
      <c r="F15810" s="1">
        <v>7.2653298459749994E-5</v>
      </c>
    </row>
    <row r="15811" spans="1:6" x14ac:dyDescent="0.25">
      <c r="A15811" s="2" t="str">
        <f t="shared" si="566"/>
        <v>11660</v>
      </c>
      <c r="B15811" s="2" t="str">
        <f>"71998"</f>
        <v>71998</v>
      </c>
      <c r="C15811" s="1">
        <v>0</v>
      </c>
      <c r="D15811" s="1">
        <v>7.9617834394904398E-4</v>
      </c>
      <c r="E15811" s="1">
        <v>0</v>
      </c>
      <c r="F15811" s="1">
        <v>7.2653298459749994E-5</v>
      </c>
    </row>
    <row r="15812" spans="1:6" x14ac:dyDescent="0.25">
      <c r="A15812" s="2" t="str">
        <f t="shared" ref="A15812:A15819" si="567">"31620"</f>
        <v>31620</v>
      </c>
      <c r="B15812" s="2" t="str">
        <f>"71764"</f>
        <v>71764</v>
      </c>
      <c r="C15812" s="1">
        <v>1.6538202499438701E-2</v>
      </c>
      <c r="D15812" s="1">
        <v>2.1186440677966102E-3</v>
      </c>
      <c r="E15812" s="1">
        <v>0</v>
      </c>
      <c r="F15812" s="1">
        <v>1.5051740357478799E-2</v>
      </c>
    </row>
    <row r="15813" spans="1:6" x14ac:dyDescent="0.25">
      <c r="A15813" s="2" t="str">
        <f t="shared" si="567"/>
        <v>31620</v>
      </c>
      <c r="B15813" s="2" t="str">
        <f>"71754"</f>
        <v>71754</v>
      </c>
      <c r="C15813" s="1">
        <v>9.9678215969467895E-2</v>
      </c>
      <c r="D15813" s="1">
        <v>0.237994350282485</v>
      </c>
      <c r="E15813" s="1">
        <v>1.94174757281553E-2</v>
      </c>
      <c r="F15813" s="1">
        <v>0.11228329525601299</v>
      </c>
    </row>
    <row r="15814" spans="1:6" x14ac:dyDescent="0.25">
      <c r="A15814" s="2" t="str">
        <f t="shared" si="567"/>
        <v>31620</v>
      </c>
      <c r="B15814" s="2" t="str">
        <f>"71752"</f>
        <v>71752</v>
      </c>
      <c r="C15814" s="1">
        <v>3.1130734116590501E-2</v>
      </c>
      <c r="D15814" s="1">
        <v>9.8870056497175098E-3</v>
      </c>
      <c r="E15814" s="1">
        <v>2.9126213592233E-2</v>
      </c>
      <c r="F15814" s="1">
        <v>2.90955516731622E-2</v>
      </c>
    </row>
    <row r="15815" spans="1:6" x14ac:dyDescent="0.25">
      <c r="A15815" s="2" t="str">
        <f t="shared" si="567"/>
        <v>31620</v>
      </c>
      <c r="B15815" s="2" t="str">
        <f>"71770"</f>
        <v>71770</v>
      </c>
      <c r="C15815" s="1">
        <v>9.5712040709421506E-2</v>
      </c>
      <c r="D15815" s="1">
        <v>2.0480225988700501E-2</v>
      </c>
      <c r="E15815" s="1">
        <v>5.8252427184466E-2</v>
      </c>
      <c r="F15815" s="1">
        <v>8.8294584061282003E-2</v>
      </c>
    </row>
    <row r="15816" spans="1:6" x14ac:dyDescent="0.25">
      <c r="A15816" s="2" t="str">
        <f t="shared" si="567"/>
        <v>31620</v>
      </c>
      <c r="B15816" s="2" t="str">
        <f>"71740"</f>
        <v>71740</v>
      </c>
      <c r="C15816" s="1">
        <v>6.9071316321185294E-2</v>
      </c>
      <c r="D15816" s="1">
        <v>1.48305084745762E-2</v>
      </c>
      <c r="E15816" s="1">
        <v>9.7087378640776604E-3</v>
      </c>
      <c r="F15816" s="1">
        <v>6.3499529633113797E-2</v>
      </c>
    </row>
    <row r="15817" spans="1:6" x14ac:dyDescent="0.25">
      <c r="A15817" s="2" t="str">
        <f t="shared" si="567"/>
        <v>31620</v>
      </c>
      <c r="B15817" s="2" t="str">
        <f>"71753"</f>
        <v>71753</v>
      </c>
      <c r="C15817" s="1">
        <v>0.63705754695801797</v>
      </c>
      <c r="D15817" s="1">
        <v>0.69774011299435001</v>
      </c>
      <c r="E15817" s="1">
        <v>0.87378640776699001</v>
      </c>
      <c r="F15817" s="1">
        <v>0.64446982932401498</v>
      </c>
    </row>
    <row r="15818" spans="1:6" x14ac:dyDescent="0.25">
      <c r="A15818" s="2" t="str">
        <f t="shared" si="567"/>
        <v>31620</v>
      </c>
      <c r="B15818" s="2" t="str">
        <f>"71860"</f>
        <v>71860</v>
      </c>
      <c r="C15818" s="1">
        <v>6.6601810970590399E-3</v>
      </c>
      <c r="D15818" s="1">
        <v>1.41242937853107E-3</v>
      </c>
      <c r="E15818" s="1">
        <v>0</v>
      </c>
      <c r="F15818" s="1">
        <v>6.1147695202257704E-3</v>
      </c>
    </row>
    <row r="15819" spans="1:6" x14ac:dyDescent="0.25">
      <c r="A15819" s="2" t="str">
        <f t="shared" si="567"/>
        <v>31620</v>
      </c>
      <c r="B15819" s="2" t="str">
        <f>"71861"</f>
        <v>71861</v>
      </c>
      <c r="C15819" s="1">
        <v>4.4151762328818303E-2</v>
      </c>
      <c r="D15819" s="1">
        <v>1.55367231638418E-2</v>
      </c>
      <c r="E15819" s="1">
        <v>9.7087378640776604E-3</v>
      </c>
      <c r="F15819" s="1">
        <v>4.1190700174707703E-2</v>
      </c>
    </row>
    <row r="15820" spans="1:6" x14ac:dyDescent="0.25">
      <c r="A15820" s="2" t="str">
        <f t="shared" ref="A15820:A15831" si="568">"15780"</f>
        <v>15780</v>
      </c>
      <c r="B15820" s="2" t="str">
        <f>"71751"</f>
        <v>71751</v>
      </c>
      <c r="C15820" s="1">
        <v>2.90768961289192E-2</v>
      </c>
      <c r="D15820" s="1">
        <v>5.1325919589392602E-3</v>
      </c>
      <c r="E15820" s="1">
        <v>8.3333333333333297E-3</v>
      </c>
      <c r="F15820" s="1">
        <v>2.7421807124239701E-2</v>
      </c>
    </row>
    <row r="15821" spans="1:6" x14ac:dyDescent="0.25">
      <c r="A15821" s="2" t="str">
        <f t="shared" si="568"/>
        <v>15780</v>
      </c>
      <c r="B15821" s="2" t="str">
        <f>"71857"</f>
        <v>71857</v>
      </c>
      <c r="C15821" s="1">
        <v>7.0064809949202996E-4</v>
      </c>
      <c r="D15821" s="1">
        <v>2.5662959794696301E-3</v>
      </c>
      <c r="E15821" s="1">
        <v>0</v>
      </c>
      <c r="F15821" s="1">
        <v>8.1450912250217197E-4</v>
      </c>
    </row>
    <row r="15822" spans="1:6" x14ac:dyDescent="0.25">
      <c r="A15822" s="2" t="str">
        <f t="shared" si="568"/>
        <v>15780</v>
      </c>
      <c r="B15822" s="2" t="str">
        <f>"71763"</f>
        <v>71763</v>
      </c>
      <c r="C15822" s="1">
        <v>5.8387341624335798E-4</v>
      </c>
      <c r="D15822" s="1">
        <v>0</v>
      </c>
      <c r="E15822" s="1">
        <v>0</v>
      </c>
      <c r="F15822" s="1">
        <v>5.4300608166811396E-4</v>
      </c>
    </row>
    <row r="15823" spans="1:6" x14ac:dyDescent="0.25">
      <c r="A15823" s="2" t="str">
        <f t="shared" si="568"/>
        <v>15780</v>
      </c>
      <c r="B15823" s="2" t="str">
        <f>"71766"</f>
        <v>71766</v>
      </c>
      <c r="C15823" s="1">
        <v>2.8142698662929799E-2</v>
      </c>
      <c r="D15823" s="1">
        <v>4.2771599657827203E-3</v>
      </c>
      <c r="E15823" s="1">
        <v>8.3333333333333297E-3</v>
      </c>
      <c r="F15823" s="1">
        <v>2.64986967854039E-2</v>
      </c>
    </row>
    <row r="15824" spans="1:6" x14ac:dyDescent="0.25">
      <c r="A15824" s="2" t="str">
        <f t="shared" si="568"/>
        <v>15780</v>
      </c>
      <c r="B15824" s="2" t="str">
        <f>"71701"</f>
        <v>71701</v>
      </c>
      <c r="C15824" s="1">
        <v>0.63105038827582105</v>
      </c>
      <c r="D15824" s="1">
        <v>0.89136013686911797</v>
      </c>
      <c r="E15824" s="1">
        <v>0.82499999999999996</v>
      </c>
      <c r="F15824" s="1">
        <v>0.64883796698523</v>
      </c>
    </row>
    <row r="15825" spans="1:6" x14ac:dyDescent="0.25">
      <c r="A15825" s="2" t="str">
        <f t="shared" si="568"/>
        <v>15780</v>
      </c>
      <c r="B15825" s="2" t="str">
        <f>"71762"</f>
        <v>71762</v>
      </c>
      <c r="C15825" s="1">
        <v>3.9119518888305E-3</v>
      </c>
      <c r="D15825" s="1">
        <v>3.42172797262617E-3</v>
      </c>
      <c r="E15825" s="1">
        <v>0</v>
      </c>
      <c r="F15825" s="1">
        <v>3.8553431798436098E-3</v>
      </c>
    </row>
    <row r="15826" spans="1:6" x14ac:dyDescent="0.25">
      <c r="A15826" s="2" t="str">
        <f t="shared" si="568"/>
        <v>15780</v>
      </c>
      <c r="B15826" s="2" t="str">
        <f>"71720"</f>
        <v>71720</v>
      </c>
      <c r="C15826" s="1">
        <v>6.4985111227885695E-2</v>
      </c>
      <c r="D15826" s="1">
        <v>1.9674935842600501E-2</v>
      </c>
      <c r="E15826" s="1">
        <v>5.83333333333333E-2</v>
      </c>
      <c r="F15826" s="1">
        <v>6.2065595134665502E-2</v>
      </c>
    </row>
    <row r="15827" spans="1:6" x14ac:dyDescent="0.25">
      <c r="A15827" s="2" t="str">
        <f t="shared" si="568"/>
        <v>15780</v>
      </c>
      <c r="B15827" s="2" t="str">
        <f>"71726"</f>
        <v>71726</v>
      </c>
      <c r="C15827" s="1">
        <v>5.1906346704034503E-2</v>
      </c>
      <c r="D15827" s="1">
        <v>1.4542343883661201E-2</v>
      </c>
      <c r="E15827" s="1">
        <v>0</v>
      </c>
      <c r="F15827" s="1">
        <v>4.9196350999131097E-2</v>
      </c>
    </row>
    <row r="15828" spans="1:6" x14ac:dyDescent="0.25">
      <c r="A15828" s="2" t="str">
        <f t="shared" si="568"/>
        <v>15780</v>
      </c>
      <c r="B15828" s="2" t="str">
        <f>"71745"</f>
        <v>71745</v>
      </c>
      <c r="C15828" s="1">
        <v>0</v>
      </c>
      <c r="D15828" s="1">
        <v>0</v>
      </c>
      <c r="E15828" s="1">
        <v>8.3333333333333297E-3</v>
      </c>
      <c r="F15828" s="1">
        <v>5.4300608166811397E-5</v>
      </c>
    </row>
    <row r="15829" spans="1:6" x14ac:dyDescent="0.25">
      <c r="A15829" s="2" t="str">
        <f t="shared" si="568"/>
        <v>15780</v>
      </c>
      <c r="B15829" s="2" t="str">
        <f>"71742"</f>
        <v>71742</v>
      </c>
      <c r="C15829" s="1">
        <v>1.54142581888246E-2</v>
      </c>
      <c r="D15829" s="1">
        <v>3.42172797262617E-3</v>
      </c>
      <c r="E15829" s="1">
        <v>0</v>
      </c>
      <c r="F15829" s="1">
        <v>1.45525629887054E-2</v>
      </c>
    </row>
    <row r="15830" spans="1:6" x14ac:dyDescent="0.25">
      <c r="A15830" s="2" t="str">
        <f t="shared" si="568"/>
        <v>15780</v>
      </c>
      <c r="B15830" s="2" t="str">
        <f>"71764"</f>
        <v>71764</v>
      </c>
      <c r="C15830" s="1">
        <v>4.05792024289134E-2</v>
      </c>
      <c r="D15830" s="1">
        <v>1.3686911890504701E-2</v>
      </c>
      <c r="E15830" s="1">
        <v>8.3333333333333297E-3</v>
      </c>
      <c r="F15830" s="1">
        <v>3.8662033014769698E-2</v>
      </c>
    </row>
    <row r="15831" spans="1:6" x14ac:dyDescent="0.25">
      <c r="A15831" s="2" t="str">
        <f t="shared" si="568"/>
        <v>15780</v>
      </c>
      <c r="B15831" s="2" t="str">
        <f>"71744"</f>
        <v>71744</v>
      </c>
      <c r="C15831" s="1">
        <v>0.13364862497810401</v>
      </c>
      <c r="D15831" s="1">
        <v>4.1916167664670601E-2</v>
      </c>
      <c r="E15831" s="1">
        <v>8.3333333333333301E-2</v>
      </c>
      <c r="F15831" s="1">
        <v>0.12749782797567299</v>
      </c>
    </row>
    <row r="15832" spans="1:6" x14ac:dyDescent="0.25">
      <c r="A15832" s="2" t="str">
        <f t="shared" ref="A15832:A15843" si="569">"20980"</f>
        <v>20980</v>
      </c>
      <c r="B15832" s="2" t="str">
        <f>"71750"</f>
        <v>71750</v>
      </c>
      <c r="C15832" s="1">
        <v>0</v>
      </c>
      <c r="D15832" s="1">
        <v>0</v>
      </c>
      <c r="E15832" s="1">
        <v>3.8461538461538399E-3</v>
      </c>
      <c r="F15832" s="1">
        <v>3.3619095646327099E-5</v>
      </c>
    </row>
    <row r="15833" spans="1:6" x14ac:dyDescent="0.25">
      <c r="A15833" s="2" t="str">
        <f t="shared" si="569"/>
        <v>20980</v>
      </c>
      <c r="B15833" s="2" t="str">
        <f>"71764"</f>
        <v>71764</v>
      </c>
      <c r="C15833" s="1">
        <v>4.8729290051728E-4</v>
      </c>
      <c r="D15833" s="1">
        <v>0</v>
      </c>
      <c r="E15833" s="1">
        <v>0</v>
      </c>
      <c r="F15833" s="1">
        <v>4.3704824340225202E-4</v>
      </c>
    </row>
    <row r="15834" spans="1:6" x14ac:dyDescent="0.25">
      <c r="A15834" s="2" t="str">
        <f t="shared" si="569"/>
        <v>20980</v>
      </c>
      <c r="B15834" s="2" t="str">
        <f>"71749"</f>
        <v>71749</v>
      </c>
      <c r="C15834" s="1">
        <v>4.9778843991303598E-2</v>
      </c>
      <c r="D15834" s="1">
        <v>1.1400071250445299E-2</v>
      </c>
      <c r="E15834" s="1">
        <v>7.6923076923076901E-3</v>
      </c>
      <c r="F15834" s="1">
        <v>4.5789208270297498E-2</v>
      </c>
    </row>
    <row r="15835" spans="1:6" x14ac:dyDescent="0.25">
      <c r="A15835" s="2" t="str">
        <f t="shared" si="569"/>
        <v>20980</v>
      </c>
      <c r="B15835" s="2" t="str">
        <f>"71724"</f>
        <v>71724</v>
      </c>
      <c r="C15835" s="1">
        <v>0</v>
      </c>
      <c r="D15835" s="1">
        <v>0</v>
      </c>
      <c r="E15835" s="1">
        <v>3.8461538461538399E-3</v>
      </c>
      <c r="F15835" s="1">
        <v>3.3619095646327099E-5</v>
      </c>
    </row>
    <row r="15836" spans="1:6" x14ac:dyDescent="0.25">
      <c r="A15836" s="2" t="str">
        <f t="shared" si="569"/>
        <v>20980</v>
      </c>
      <c r="B15836" s="2" t="str">
        <f>"71765"</f>
        <v>71765</v>
      </c>
      <c r="C15836" s="1">
        <v>3.5872254291925899E-2</v>
      </c>
      <c r="D15836" s="1">
        <v>9.9750623441396506E-3</v>
      </c>
      <c r="E15836" s="1">
        <v>1.1538461538461499E-2</v>
      </c>
      <c r="F15836" s="1">
        <v>3.3215666498571099E-2</v>
      </c>
    </row>
    <row r="15837" spans="1:6" x14ac:dyDescent="0.25">
      <c r="A15837" s="2" t="str">
        <f t="shared" si="569"/>
        <v>20980</v>
      </c>
      <c r="B15837" s="2" t="str">
        <f>"71753"</f>
        <v>71753</v>
      </c>
      <c r="C15837" s="1">
        <v>5.9974510832896E-3</v>
      </c>
      <c r="D15837" s="1">
        <v>7.1250445315283197E-4</v>
      </c>
      <c r="E15837" s="1">
        <v>0</v>
      </c>
      <c r="F15837" s="1">
        <v>5.4462934947049901E-3</v>
      </c>
    </row>
    <row r="15838" spans="1:6" x14ac:dyDescent="0.25">
      <c r="A15838" s="2" t="str">
        <f t="shared" si="569"/>
        <v>20980</v>
      </c>
      <c r="B15838" s="2" t="str">
        <f>"71762"</f>
        <v>71762</v>
      </c>
      <c r="C15838" s="1">
        <v>5.0528525376714803E-2</v>
      </c>
      <c r="D15838" s="1">
        <v>5.1656572853580301E-2</v>
      </c>
      <c r="E15838" s="1">
        <v>2.69230769230769E-2</v>
      </c>
      <c r="F15838" s="1">
        <v>5.0428643469490601E-2</v>
      </c>
    </row>
    <row r="15839" spans="1:6" x14ac:dyDescent="0.25">
      <c r="A15839" s="2" t="str">
        <f t="shared" si="569"/>
        <v>20980</v>
      </c>
      <c r="B15839" s="2" t="str">
        <f>"71758"</f>
        <v>71758</v>
      </c>
      <c r="C15839" s="1">
        <v>1.3194392383237099E-2</v>
      </c>
      <c r="D15839" s="1">
        <v>1.06875667972924E-3</v>
      </c>
      <c r="E15839" s="1">
        <v>7.6923076923076901E-3</v>
      </c>
      <c r="F15839" s="1">
        <v>1.2002017145738701E-2</v>
      </c>
    </row>
    <row r="15840" spans="1:6" x14ac:dyDescent="0.25">
      <c r="A15840" s="2" t="str">
        <f t="shared" si="569"/>
        <v>20980</v>
      </c>
      <c r="B15840" s="2" t="str">
        <f>"71747"</f>
        <v>71747</v>
      </c>
      <c r="C15840" s="1">
        <v>1.54059524702001E-2</v>
      </c>
      <c r="D15840" s="1">
        <v>3.5625222657641601E-3</v>
      </c>
      <c r="E15840" s="1">
        <v>3.8461538461538399E-3</v>
      </c>
      <c r="F15840" s="1">
        <v>1.418725836275E-2</v>
      </c>
    </row>
    <row r="15841" spans="1:6" x14ac:dyDescent="0.25">
      <c r="A15841" s="2" t="str">
        <f t="shared" si="569"/>
        <v>20980</v>
      </c>
      <c r="B15841" s="2" t="str">
        <f>"71731"</f>
        <v>71731</v>
      </c>
      <c r="C15841" s="1">
        <v>4.3219131868955603E-2</v>
      </c>
      <c r="D15841" s="1">
        <v>0.10117563234770199</v>
      </c>
      <c r="E15841" s="1">
        <v>7.6923076923076901E-3</v>
      </c>
      <c r="F15841" s="1">
        <v>4.8377878635064701E-2</v>
      </c>
    </row>
    <row r="15842" spans="1:6" x14ac:dyDescent="0.25">
      <c r="A15842" s="2" t="str">
        <f t="shared" si="569"/>
        <v>20980</v>
      </c>
      <c r="B15842" s="2" t="str">
        <f>"71759"</f>
        <v>71759</v>
      </c>
      <c r="C15842" s="1">
        <v>0</v>
      </c>
      <c r="D15842" s="1">
        <v>0</v>
      </c>
      <c r="E15842" s="1">
        <v>3.8461538461538399E-3</v>
      </c>
      <c r="F15842" s="1">
        <v>3.3619095646327099E-5</v>
      </c>
    </row>
    <row r="15843" spans="1:6" x14ac:dyDescent="0.25">
      <c r="A15843" s="2" t="str">
        <f t="shared" si="569"/>
        <v>20980</v>
      </c>
      <c r="B15843" s="2" t="str">
        <f>"71730"</f>
        <v>71730</v>
      </c>
      <c r="C15843" s="1">
        <v>0.78551615563385502</v>
      </c>
      <c r="D15843" s="1">
        <v>0.82044887780548603</v>
      </c>
      <c r="E15843" s="1">
        <v>0.92307692307692302</v>
      </c>
      <c r="F15843" s="1">
        <v>0.79001512859304002</v>
      </c>
    </row>
    <row r="15844" spans="1:6" x14ac:dyDescent="0.25">
      <c r="A15844" s="2" t="str">
        <f t="shared" ref="A15844:A15857" si="570">"25760"</f>
        <v>25760</v>
      </c>
      <c r="B15844" s="2" t="str">
        <f>"72367"</f>
        <v>72367</v>
      </c>
      <c r="C15844" s="1">
        <v>4.1360769310309101E-4</v>
      </c>
      <c r="D15844" s="1">
        <v>0</v>
      </c>
      <c r="E15844" s="1">
        <v>9.4339622641509396E-3</v>
      </c>
      <c r="F15844" s="1">
        <v>4.6185109920561599E-4</v>
      </c>
    </row>
    <row r="15845" spans="1:6" x14ac:dyDescent="0.25">
      <c r="A15845" s="2" t="str">
        <f t="shared" si="570"/>
        <v>25760</v>
      </c>
      <c r="B15845" s="2" t="str">
        <f>"72383"</f>
        <v>72383</v>
      </c>
      <c r="C15845" s="1">
        <v>0</v>
      </c>
      <c r="D15845" s="1">
        <v>0</v>
      </c>
      <c r="E15845" s="1">
        <v>9.4339622641509396E-3</v>
      </c>
      <c r="F15845" s="1">
        <v>9.2370219841123196E-5</v>
      </c>
    </row>
    <row r="15846" spans="1:6" x14ac:dyDescent="0.25">
      <c r="A15846" s="2" t="str">
        <f t="shared" si="570"/>
        <v>25760</v>
      </c>
      <c r="B15846" s="2" t="str">
        <f>"72390"</f>
        <v>72390</v>
      </c>
      <c r="C15846" s="1">
        <v>0.455382070106503</v>
      </c>
      <c r="D15846" s="1">
        <v>0.42040038131553797</v>
      </c>
      <c r="E15846" s="1">
        <v>0.22641509433962201</v>
      </c>
      <c r="F15846" s="1">
        <v>0.449750600406428</v>
      </c>
    </row>
    <row r="15847" spans="1:6" x14ac:dyDescent="0.25">
      <c r="A15847" s="2" t="str">
        <f t="shared" si="570"/>
        <v>25760</v>
      </c>
      <c r="B15847" s="2" t="str">
        <f>"72374"</f>
        <v>72374</v>
      </c>
      <c r="C15847" s="1">
        <v>3.45362423741081E-2</v>
      </c>
      <c r="D15847" s="1">
        <v>2.0972354623450901E-2</v>
      </c>
      <c r="E15847" s="1">
        <v>9.4339622641509396E-3</v>
      </c>
      <c r="F15847" s="1">
        <v>3.2976168483280902E-2</v>
      </c>
    </row>
    <row r="15848" spans="1:6" x14ac:dyDescent="0.25">
      <c r="A15848" s="2" t="str">
        <f t="shared" si="570"/>
        <v>25760</v>
      </c>
      <c r="B15848" s="2" t="str">
        <f>"72333"</f>
        <v>72333</v>
      </c>
      <c r="C15848" s="1">
        <v>9.2027711715437898E-3</v>
      </c>
      <c r="D15848" s="1">
        <v>3.8131553860819801E-3</v>
      </c>
      <c r="E15848" s="1">
        <v>9.4339622641509396E-3</v>
      </c>
      <c r="F15848" s="1">
        <v>8.6828006650655799E-3</v>
      </c>
    </row>
    <row r="15849" spans="1:6" x14ac:dyDescent="0.25">
      <c r="A15849" s="2" t="str">
        <f t="shared" si="570"/>
        <v>25760</v>
      </c>
      <c r="B15849" s="2" t="str">
        <f>"72389"</f>
        <v>72389</v>
      </c>
      <c r="C15849" s="1">
        <v>0</v>
      </c>
      <c r="D15849" s="1">
        <v>0</v>
      </c>
      <c r="E15849" s="1">
        <v>9.4339622641509396E-3</v>
      </c>
      <c r="F15849" s="1">
        <v>9.2370219841123196E-5</v>
      </c>
    </row>
    <row r="15850" spans="1:6" x14ac:dyDescent="0.25">
      <c r="A15850" s="2" t="str">
        <f t="shared" si="570"/>
        <v>25760</v>
      </c>
      <c r="B15850" s="2" t="str">
        <f>"72355"</f>
        <v>72355</v>
      </c>
      <c r="C15850" s="1">
        <v>0.11105366559818</v>
      </c>
      <c r="D15850" s="1">
        <v>3.6224976167778797E-2</v>
      </c>
      <c r="E15850" s="1">
        <v>2.83018867924528E-2</v>
      </c>
      <c r="F15850" s="1">
        <v>0.102992795122852</v>
      </c>
    </row>
    <row r="15851" spans="1:6" x14ac:dyDescent="0.25">
      <c r="A15851" s="2" t="str">
        <f t="shared" si="570"/>
        <v>25760</v>
      </c>
      <c r="B15851" s="2" t="str">
        <f>"72312"</f>
        <v>72312</v>
      </c>
      <c r="C15851" s="1">
        <v>0</v>
      </c>
      <c r="D15851" s="1">
        <v>0</v>
      </c>
      <c r="E15851" s="1">
        <v>9.4339622641509396E-3</v>
      </c>
      <c r="F15851" s="1">
        <v>9.2370219841123196E-5</v>
      </c>
    </row>
    <row r="15852" spans="1:6" x14ac:dyDescent="0.25">
      <c r="A15852" s="2" t="str">
        <f t="shared" si="570"/>
        <v>25760</v>
      </c>
      <c r="B15852" s="2" t="str">
        <f>"72353"</f>
        <v>72353</v>
      </c>
      <c r="C15852" s="1">
        <v>0</v>
      </c>
      <c r="D15852" s="1">
        <v>0</v>
      </c>
      <c r="E15852" s="1">
        <v>9.4339622641509396E-3</v>
      </c>
      <c r="F15852" s="1">
        <v>9.2370219841123196E-5</v>
      </c>
    </row>
    <row r="15853" spans="1:6" x14ac:dyDescent="0.25">
      <c r="A15853" s="2" t="str">
        <f t="shared" si="570"/>
        <v>25760</v>
      </c>
      <c r="B15853" s="2" t="str">
        <f>"72342"</f>
        <v>72342</v>
      </c>
      <c r="C15853" s="1">
        <v>0.307310515975597</v>
      </c>
      <c r="D15853" s="1">
        <v>0.48713060057197299</v>
      </c>
      <c r="E15853" s="1">
        <v>0.62264150943396201</v>
      </c>
      <c r="F15853" s="1">
        <v>0.32782191021614598</v>
      </c>
    </row>
    <row r="15854" spans="1:6" x14ac:dyDescent="0.25">
      <c r="A15854" s="2" t="str">
        <f t="shared" si="570"/>
        <v>25760</v>
      </c>
      <c r="B15854" s="2" t="str">
        <f>"72069"</f>
        <v>72069</v>
      </c>
      <c r="C15854" s="1">
        <v>3.6190673146520502E-3</v>
      </c>
      <c r="D15854" s="1">
        <v>9.5328884652049503E-4</v>
      </c>
      <c r="E15854" s="1">
        <v>0</v>
      </c>
      <c r="F15854" s="1">
        <v>3.3253279142804299E-3</v>
      </c>
    </row>
    <row r="15855" spans="1:6" x14ac:dyDescent="0.25">
      <c r="A15855" s="2" t="str">
        <f t="shared" si="570"/>
        <v>25760</v>
      </c>
      <c r="B15855" s="2" t="str">
        <f>"72369"</f>
        <v>72369</v>
      </c>
      <c r="C15855" s="1">
        <v>0</v>
      </c>
      <c r="D15855" s="1">
        <v>0</v>
      </c>
      <c r="E15855" s="1">
        <v>9.4339622641509396E-3</v>
      </c>
      <c r="F15855" s="1">
        <v>9.2370219841123196E-5</v>
      </c>
    </row>
    <row r="15856" spans="1:6" x14ac:dyDescent="0.25">
      <c r="A15856" s="2" t="str">
        <f t="shared" si="570"/>
        <v>25760</v>
      </c>
      <c r="B15856" s="2" t="str">
        <f>"72366"</f>
        <v>72366</v>
      </c>
      <c r="C15856" s="1">
        <v>7.8378657843035798E-2</v>
      </c>
      <c r="D15856" s="1">
        <v>3.0505243088655799E-2</v>
      </c>
      <c r="E15856" s="1">
        <v>3.7735849056603703E-2</v>
      </c>
      <c r="F15856" s="1">
        <v>7.3341954553851799E-2</v>
      </c>
    </row>
    <row r="15857" spans="1:6" x14ac:dyDescent="0.25">
      <c r="A15857" s="2" t="str">
        <f t="shared" si="570"/>
        <v>25760</v>
      </c>
      <c r="B15857" s="2" t="str">
        <f>"72328"</f>
        <v>72328</v>
      </c>
      <c r="C15857" s="1">
        <v>1.0340192327577201E-4</v>
      </c>
      <c r="D15857" s="1">
        <v>0</v>
      </c>
      <c r="E15857" s="1">
        <v>9.4339622641509396E-3</v>
      </c>
      <c r="F15857" s="1">
        <v>1.8474043968224601E-4</v>
      </c>
    </row>
    <row r="15858" spans="1:6" x14ac:dyDescent="0.25">
      <c r="A15858" s="2" t="str">
        <f t="shared" ref="A15858:A15869" si="571">"37500"</f>
        <v>37500</v>
      </c>
      <c r="B15858" s="2" t="str">
        <f>"72451"</f>
        <v>72451</v>
      </c>
      <c r="C15858" s="1">
        <v>3.33668525459365E-2</v>
      </c>
      <c r="D15858" s="1">
        <v>0.156126482213438</v>
      </c>
      <c r="E15858" s="1">
        <v>3.7523452157598399E-3</v>
      </c>
      <c r="F15858" s="1">
        <v>4.2889298137916899E-2</v>
      </c>
    </row>
    <row r="15859" spans="1:6" x14ac:dyDescent="0.25">
      <c r="A15859" s="2" t="str">
        <f t="shared" si="571"/>
        <v>37500</v>
      </c>
      <c r="B15859" s="2" t="str">
        <f>"72425"</f>
        <v>72425</v>
      </c>
      <c r="C15859" s="1">
        <v>8.5931072310083106E-3</v>
      </c>
      <c r="D15859" s="1">
        <v>4.9407114624505904E-3</v>
      </c>
      <c r="E15859" s="1">
        <v>1.87617260787992E-3</v>
      </c>
      <c r="F15859" s="1">
        <v>8.1440556578678096E-3</v>
      </c>
    </row>
    <row r="15860" spans="1:6" x14ac:dyDescent="0.25">
      <c r="A15860" s="2" t="str">
        <f t="shared" si="571"/>
        <v>37500</v>
      </c>
      <c r="B15860" s="2" t="str">
        <f>"72461"</f>
        <v>72461</v>
      </c>
      <c r="C15860" s="1">
        <v>5.2107139592284402E-3</v>
      </c>
      <c r="D15860" s="1">
        <v>1.9762845849802301E-3</v>
      </c>
      <c r="E15860" s="1">
        <v>0</v>
      </c>
      <c r="F15860" s="1">
        <v>4.8291385307959803E-3</v>
      </c>
    </row>
    <row r="15861" spans="1:6" x14ac:dyDescent="0.25">
      <c r="A15861" s="2" t="str">
        <f t="shared" si="571"/>
        <v>37500</v>
      </c>
      <c r="B15861" s="2" t="str">
        <f>"72453"</f>
        <v>72453</v>
      </c>
      <c r="C15861" s="1">
        <v>6.3991224060700195E-4</v>
      </c>
      <c r="D15861" s="1">
        <v>4.9407114624505904E-4</v>
      </c>
      <c r="E15861" s="1">
        <v>0</v>
      </c>
      <c r="F15861" s="1">
        <v>6.1387354205033704E-4</v>
      </c>
    </row>
    <row r="15862" spans="1:6" x14ac:dyDescent="0.25">
      <c r="A15862" s="2" t="str">
        <f t="shared" si="571"/>
        <v>37500</v>
      </c>
      <c r="B15862" s="2" t="str">
        <f>"72416"</f>
        <v>72416</v>
      </c>
      <c r="C15862" s="1">
        <v>1.1244172227808699E-2</v>
      </c>
      <c r="D15862" s="1">
        <v>1.28458498023715E-2</v>
      </c>
      <c r="E15862" s="1">
        <v>0</v>
      </c>
      <c r="F15862" s="1">
        <v>1.11315735625127E-2</v>
      </c>
    </row>
    <row r="15863" spans="1:6" x14ac:dyDescent="0.25">
      <c r="A15863" s="2" t="str">
        <f t="shared" si="571"/>
        <v>37500</v>
      </c>
      <c r="B15863" s="2" t="str">
        <f>"72401"</f>
        <v>72401</v>
      </c>
      <c r="C15863" s="1">
        <v>1.0147179815339601E-2</v>
      </c>
      <c r="D15863" s="1">
        <v>1.48221343873517E-3</v>
      </c>
      <c r="E15863" s="1">
        <v>0</v>
      </c>
      <c r="F15863" s="1">
        <v>9.20810313075506E-3</v>
      </c>
    </row>
    <row r="15864" spans="1:6" x14ac:dyDescent="0.25">
      <c r="A15864" s="2" t="str">
        <f t="shared" si="571"/>
        <v>37500</v>
      </c>
      <c r="B15864" s="2" t="str">
        <f>"72443"</f>
        <v>72443</v>
      </c>
      <c r="C15864" s="1">
        <v>7.0024682329280497E-2</v>
      </c>
      <c r="D15864" s="1">
        <v>2.0750988142292402E-2</v>
      </c>
      <c r="E15864" s="1">
        <v>5.6285178236397698E-2</v>
      </c>
      <c r="F15864" s="1">
        <v>6.5643544096582698E-2</v>
      </c>
    </row>
    <row r="15865" spans="1:6" x14ac:dyDescent="0.25">
      <c r="A15865" s="2" t="str">
        <f t="shared" si="571"/>
        <v>37500</v>
      </c>
      <c r="B15865" s="2" t="str">
        <f>"72417"</f>
        <v>72417</v>
      </c>
      <c r="C15865" s="1">
        <v>2.7424810311728603E-4</v>
      </c>
      <c r="D15865" s="1">
        <v>0</v>
      </c>
      <c r="E15865" s="1">
        <v>0</v>
      </c>
      <c r="F15865" s="1">
        <v>2.4554941682013501E-4</v>
      </c>
    </row>
    <row r="15866" spans="1:6" x14ac:dyDescent="0.25">
      <c r="A15866" s="2" t="str">
        <f t="shared" si="571"/>
        <v>37500</v>
      </c>
      <c r="B15866" s="2" t="str">
        <f>"72436"</f>
        <v>72436</v>
      </c>
      <c r="C15866" s="1">
        <v>2.1574184111893199E-2</v>
      </c>
      <c r="D15866" s="1">
        <v>3.4584980237154098E-3</v>
      </c>
      <c r="E15866" s="1">
        <v>1.87617260787992E-3</v>
      </c>
      <c r="F15866" s="1">
        <v>1.9643953345610799E-2</v>
      </c>
    </row>
    <row r="15867" spans="1:6" x14ac:dyDescent="0.25">
      <c r="A15867" s="2" t="str">
        <f t="shared" si="571"/>
        <v>37500</v>
      </c>
      <c r="B15867" s="2" t="str">
        <f>"72412"</f>
        <v>72412</v>
      </c>
      <c r="C15867" s="1">
        <v>1.48093975683334E-2</v>
      </c>
      <c r="D15867" s="1">
        <v>4.9407114624505904E-3</v>
      </c>
      <c r="E15867" s="1">
        <v>3.7523452157598399E-3</v>
      </c>
      <c r="F15867" s="1">
        <v>1.3750767341927501E-2</v>
      </c>
    </row>
    <row r="15868" spans="1:6" x14ac:dyDescent="0.25">
      <c r="A15868" s="2" t="str">
        <f t="shared" si="571"/>
        <v>37500</v>
      </c>
      <c r="B15868" s="2" t="str">
        <f>"72474"</f>
        <v>72474</v>
      </c>
      <c r="C15868" s="1">
        <v>0</v>
      </c>
      <c r="D15868" s="1">
        <v>0</v>
      </c>
      <c r="E15868" s="1">
        <v>1.87617260787992E-3</v>
      </c>
      <c r="F15868" s="1">
        <v>4.0924902803355799E-5</v>
      </c>
    </row>
    <row r="15869" spans="1:6" x14ac:dyDescent="0.25">
      <c r="A15869" s="2" t="str">
        <f t="shared" si="571"/>
        <v>37500</v>
      </c>
      <c r="B15869" s="2" t="str">
        <f>"72450"</f>
        <v>72450</v>
      </c>
      <c r="C15869" s="1">
        <v>0.82411554986744595</v>
      </c>
      <c r="D15869" s="1">
        <v>0.79298418972331997</v>
      </c>
      <c r="E15869" s="1">
        <v>0.93058161350844204</v>
      </c>
      <c r="F15869" s="1">
        <v>0.82385921833435605</v>
      </c>
    </row>
    <row r="15870" spans="1:6" x14ac:dyDescent="0.25">
      <c r="A15870" s="2" t="str">
        <f t="shared" ref="A15870:A15887" si="572">"43060"</f>
        <v>43060</v>
      </c>
      <c r="B15870" s="2" t="str">
        <f>"74866"</f>
        <v>74866</v>
      </c>
      <c r="C15870" s="1">
        <v>0</v>
      </c>
      <c r="D15870" s="1">
        <v>0</v>
      </c>
      <c r="E15870" s="1">
        <v>1.9920318725099601E-3</v>
      </c>
      <c r="F15870" s="1">
        <v>2.47151578062825E-5</v>
      </c>
    </row>
    <row r="15871" spans="1:6" x14ac:dyDescent="0.25">
      <c r="A15871" s="2" t="str">
        <f t="shared" si="572"/>
        <v>43060</v>
      </c>
      <c r="B15871" s="2" t="str">
        <f>"74804"</f>
        <v>74804</v>
      </c>
      <c r="C15871" s="1">
        <v>0.26621540803566501</v>
      </c>
      <c r="D15871" s="1">
        <v>0.30759533564449998</v>
      </c>
      <c r="E15871" s="1">
        <v>0.34661354581673298</v>
      </c>
      <c r="F15871" s="1">
        <v>0.27045797187414999</v>
      </c>
    </row>
    <row r="15872" spans="1:6" x14ac:dyDescent="0.25">
      <c r="A15872" s="2" t="str">
        <f t="shared" si="572"/>
        <v>43060</v>
      </c>
      <c r="B15872" s="2" t="str">
        <f>"74857"</f>
        <v>74857</v>
      </c>
      <c r="C15872" s="1">
        <v>1.2504757244603899E-3</v>
      </c>
      <c r="D15872" s="1">
        <v>0</v>
      </c>
      <c r="E15872" s="1">
        <v>0</v>
      </c>
      <c r="F15872" s="1">
        <v>1.1368972590889901E-3</v>
      </c>
    </row>
    <row r="15873" spans="1:6" x14ac:dyDescent="0.25">
      <c r="A15873" s="2" t="str">
        <f t="shared" si="572"/>
        <v>43060</v>
      </c>
      <c r="B15873" s="2" t="str">
        <f>"74855"</f>
        <v>74855</v>
      </c>
      <c r="C15873" s="1">
        <v>5.7902462893491997E-3</v>
      </c>
      <c r="D15873" s="1">
        <v>3.1515915537346298E-4</v>
      </c>
      <c r="E15873" s="1">
        <v>0</v>
      </c>
      <c r="F15873" s="1">
        <v>5.2890437705444696E-3</v>
      </c>
    </row>
    <row r="15874" spans="1:6" x14ac:dyDescent="0.25">
      <c r="A15874" s="2" t="str">
        <f t="shared" si="572"/>
        <v>43060</v>
      </c>
      <c r="B15874" s="2" t="str">
        <f>"74854"</f>
        <v>74854</v>
      </c>
      <c r="C15874" s="1">
        <v>1.0221279834719699E-2</v>
      </c>
      <c r="D15874" s="1">
        <v>2.20611408761424E-3</v>
      </c>
      <c r="E15874" s="1">
        <v>1.9920318725099601E-3</v>
      </c>
      <c r="F15874" s="1">
        <v>9.4906205976125098E-3</v>
      </c>
    </row>
    <row r="15875" spans="1:6" x14ac:dyDescent="0.25">
      <c r="A15875" s="2" t="str">
        <f t="shared" si="572"/>
        <v>43060</v>
      </c>
      <c r="B15875" s="2" t="str">
        <f>"74849"</f>
        <v>74849</v>
      </c>
      <c r="C15875" s="1">
        <v>5.3824824661556003E-3</v>
      </c>
      <c r="D15875" s="1">
        <v>6.3031831074692704E-4</v>
      </c>
      <c r="E15875" s="1">
        <v>0</v>
      </c>
      <c r="F15875" s="1">
        <v>4.9430315612565097E-3</v>
      </c>
    </row>
    <row r="15876" spans="1:6" x14ac:dyDescent="0.25">
      <c r="A15876" s="2" t="str">
        <f t="shared" si="572"/>
        <v>43060</v>
      </c>
      <c r="B15876" s="2" t="str">
        <f>"74873"</f>
        <v>74873</v>
      </c>
      <c r="C15876" s="1">
        <v>0.16215408035665699</v>
      </c>
      <c r="D15876" s="1">
        <v>0.118499842420422</v>
      </c>
      <c r="E15876" s="1">
        <v>9.16334661354581E-2</v>
      </c>
      <c r="F15876" s="1">
        <v>0.15785571290872599</v>
      </c>
    </row>
    <row r="15877" spans="1:6" x14ac:dyDescent="0.25">
      <c r="A15877" s="2" t="str">
        <f t="shared" si="572"/>
        <v>43060</v>
      </c>
      <c r="B15877" s="2" t="str">
        <f>"74852"</f>
        <v>74852</v>
      </c>
      <c r="C15877" s="1">
        <v>2.4193986842820599E-2</v>
      </c>
      <c r="D15877" s="1">
        <v>1.2291207059565001E-2</v>
      </c>
      <c r="E15877" s="1">
        <v>1.9920318725099601E-3</v>
      </c>
      <c r="F15877" s="1">
        <v>2.29850967598428E-2</v>
      </c>
    </row>
    <row r="15878" spans="1:6" x14ac:dyDescent="0.25">
      <c r="A15878" s="2" t="str">
        <f t="shared" si="572"/>
        <v>43060</v>
      </c>
      <c r="B15878" s="2" t="str">
        <f>"74802"</f>
        <v>74802</v>
      </c>
      <c r="C15878" s="1">
        <v>3.5149241559288801E-2</v>
      </c>
      <c r="D15878" s="1">
        <v>0.13079104947998699</v>
      </c>
      <c r="E15878" s="1">
        <v>0</v>
      </c>
      <c r="F15878" s="1">
        <v>4.2213489533130602E-2</v>
      </c>
    </row>
    <row r="15879" spans="1:6" x14ac:dyDescent="0.25">
      <c r="A15879" s="2" t="str">
        <f t="shared" si="572"/>
        <v>43060</v>
      </c>
      <c r="B15879" s="2" t="str">
        <f>"74826"</f>
        <v>74826</v>
      </c>
      <c r="C15879" s="1">
        <v>2.1285271570706199E-2</v>
      </c>
      <c r="D15879" s="1">
        <v>6.6183422628427304E-3</v>
      </c>
      <c r="E15879" s="1">
        <v>5.9760956175298804E-3</v>
      </c>
      <c r="F15879" s="1">
        <v>1.9945132349669999E-2</v>
      </c>
    </row>
    <row r="15880" spans="1:6" x14ac:dyDescent="0.25">
      <c r="A15880" s="2" t="str">
        <f t="shared" si="572"/>
        <v>43060</v>
      </c>
      <c r="B15880" s="2" t="str">
        <f>"73051"</f>
        <v>73051</v>
      </c>
      <c r="C15880" s="1">
        <v>1.63105529277442E-4</v>
      </c>
      <c r="D15880" s="1">
        <v>0</v>
      </c>
      <c r="E15880" s="1">
        <v>0</v>
      </c>
      <c r="F15880" s="1">
        <v>1.48290946837695E-4</v>
      </c>
    </row>
    <row r="15881" spans="1:6" x14ac:dyDescent="0.25">
      <c r="A15881" s="2" t="str">
        <f t="shared" si="572"/>
        <v>43060</v>
      </c>
      <c r="B15881" s="2" t="str">
        <f>"74851"</f>
        <v>74851</v>
      </c>
      <c r="C15881" s="1">
        <v>0.123851465231338</v>
      </c>
      <c r="D15881" s="1">
        <v>5.3892215568862201E-2</v>
      </c>
      <c r="E15881" s="1">
        <v>2.78884462151394E-2</v>
      </c>
      <c r="F15881" s="1">
        <v>0.11717456315958499</v>
      </c>
    </row>
    <row r="15882" spans="1:6" x14ac:dyDescent="0.25">
      <c r="A15882" s="2" t="str">
        <f t="shared" si="572"/>
        <v>43060</v>
      </c>
      <c r="B15882" s="2" t="str">
        <f>"74079"</f>
        <v>74079</v>
      </c>
      <c r="C15882" s="1">
        <v>2.7184254879573701E-5</v>
      </c>
      <c r="D15882" s="1">
        <v>0</v>
      </c>
      <c r="E15882" s="1">
        <v>0</v>
      </c>
      <c r="F15882" s="1">
        <v>2.47151578062825E-5</v>
      </c>
    </row>
    <row r="15883" spans="1:6" x14ac:dyDescent="0.25">
      <c r="A15883" s="2" t="str">
        <f t="shared" si="572"/>
        <v>43060</v>
      </c>
      <c r="B15883" s="2" t="str">
        <f>"74840"</f>
        <v>74840</v>
      </c>
      <c r="C15883" s="1">
        <v>1.41086282824987E-2</v>
      </c>
      <c r="D15883" s="1">
        <v>4.4122281752284904E-3</v>
      </c>
      <c r="E15883" s="1">
        <v>1.9920318725099601E-3</v>
      </c>
      <c r="F15883" s="1">
        <v>1.31978942685549E-2</v>
      </c>
    </row>
    <row r="15884" spans="1:6" x14ac:dyDescent="0.25">
      <c r="A15884" s="2" t="str">
        <f t="shared" si="572"/>
        <v>43060</v>
      </c>
      <c r="B15884" s="2" t="str">
        <f>"73045"</f>
        <v>73045</v>
      </c>
      <c r="C15884" s="1">
        <v>4.64850758440711E-3</v>
      </c>
      <c r="D15884" s="1">
        <v>6.3031831074692704E-4</v>
      </c>
      <c r="E15884" s="1">
        <v>5.9760956175298804E-3</v>
      </c>
      <c r="F15884" s="1">
        <v>4.3498677739057297E-3</v>
      </c>
    </row>
    <row r="15885" spans="1:6" x14ac:dyDescent="0.25">
      <c r="A15885" s="2" t="str">
        <f t="shared" si="572"/>
        <v>43060</v>
      </c>
      <c r="B15885" s="2" t="str">
        <f>"74864"</f>
        <v>74864</v>
      </c>
      <c r="C15885" s="1">
        <v>1.1797966617735E-2</v>
      </c>
      <c r="D15885" s="1">
        <v>3.4667507091080902E-3</v>
      </c>
      <c r="E15885" s="1">
        <v>0</v>
      </c>
      <c r="F15885" s="1">
        <v>1.0998245223795699E-2</v>
      </c>
    </row>
    <row r="15886" spans="1:6" x14ac:dyDescent="0.25">
      <c r="A15886" s="2" t="str">
        <f t="shared" si="572"/>
        <v>43060</v>
      </c>
      <c r="B15886" s="2" t="str">
        <f>"74801"</f>
        <v>74801</v>
      </c>
      <c r="C15886" s="1">
        <v>0.29750448540205499</v>
      </c>
      <c r="D15886" s="1">
        <v>0.35518436810589299</v>
      </c>
      <c r="E15886" s="1">
        <v>0.51195219123505897</v>
      </c>
      <c r="F15886" s="1">
        <v>0.30468846543585099</v>
      </c>
    </row>
    <row r="15887" spans="1:6" x14ac:dyDescent="0.25">
      <c r="A15887" s="2" t="str">
        <f t="shared" si="572"/>
        <v>43060</v>
      </c>
      <c r="B15887" s="2" t="str">
        <f>"74878"</f>
        <v>74878</v>
      </c>
      <c r="C15887" s="1">
        <v>1.6256184417985101E-2</v>
      </c>
      <c r="D15887" s="1">
        <v>3.4667507091080902E-3</v>
      </c>
      <c r="E15887" s="1">
        <v>1.9920318725099601E-3</v>
      </c>
      <c r="F15887" s="1">
        <v>1.50762462618323E-2</v>
      </c>
    </row>
    <row r="15888" spans="1:6" x14ac:dyDescent="0.25">
      <c r="A15888" s="2" t="str">
        <f t="shared" ref="A15888:A15897" si="573">"11060"</f>
        <v>11060</v>
      </c>
      <c r="B15888" s="2" t="str">
        <f>"73523"</f>
        <v>73523</v>
      </c>
      <c r="C15888" s="1">
        <v>5.3214920071047903E-2</v>
      </c>
      <c r="D15888" s="1">
        <v>8.09170600134861E-2</v>
      </c>
      <c r="E15888" s="1">
        <v>7.3033707865168496E-2</v>
      </c>
      <c r="F15888" s="1">
        <v>5.6239788865150103E-2</v>
      </c>
    </row>
    <row r="15889" spans="1:6" x14ac:dyDescent="0.25">
      <c r="A15889" s="2" t="str">
        <f t="shared" si="573"/>
        <v>11060</v>
      </c>
      <c r="B15889" s="2" t="str">
        <f>"73556"</f>
        <v>73556</v>
      </c>
      <c r="C15889" s="1">
        <v>0</v>
      </c>
      <c r="D15889" s="1">
        <v>0</v>
      </c>
      <c r="E15889" s="1">
        <v>2.8089887640449398E-3</v>
      </c>
      <c r="F15889" s="1">
        <v>6.2837752921955504E-5</v>
      </c>
    </row>
    <row r="15890" spans="1:6" x14ac:dyDescent="0.25">
      <c r="A15890" s="2" t="str">
        <f t="shared" si="573"/>
        <v>11060</v>
      </c>
      <c r="B15890" s="2" t="str">
        <f>"73526"</f>
        <v>73526</v>
      </c>
      <c r="C15890" s="1">
        <v>4.1278863232681998E-2</v>
      </c>
      <c r="D15890" s="1">
        <v>4.0458530006743003E-3</v>
      </c>
      <c r="E15890" s="1">
        <v>8.4269662921348295E-3</v>
      </c>
      <c r="F15890" s="1">
        <v>3.70742742239537E-2</v>
      </c>
    </row>
    <row r="15891" spans="1:6" x14ac:dyDescent="0.25">
      <c r="A15891" s="2" t="str">
        <f t="shared" si="573"/>
        <v>11060</v>
      </c>
      <c r="B15891" s="2" t="str">
        <f>"73539"</f>
        <v>73539</v>
      </c>
      <c r="C15891" s="1">
        <v>4.7602131438721097E-3</v>
      </c>
      <c r="D15891" s="1">
        <v>2.0229265003371502E-3</v>
      </c>
      <c r="E15891" s="1">
        <v>2.8089887640449398E-3</v>
      </c>
      <c r="F15891" s="1">
        <v>4.4614804574588402E-3</v>
      </c>
    </row>
    <row r="15892" spans="1:6" x14ac:dyDescent="0.25">
      <c r="A15892" s="2" t="str">
        <f t="shared" si="573"/>
        <v>11060</v>
      </c>
      <c r="B15892" s="2" t="str">
        <f>"73532"</f>
        <v>73532</v>
      </c>
      <c r="C15892" s="1">
        <v>1.6625222024866701E-2</v>
      </c>
      <c r="D15892" s="1">
        <v>3.3715441672285901E-3</v>
      </c>
      <c r="E15892" s="1">
        <v>2.8089887640449398E-3</v>
      </c>
      <c r="F15892" s="1">
        <v>1.50810607012693E-2</v>
      </c>
    </row>
    <row r="15893" spans="1:6" x14ac:dyDescent="0.25">
      <c r="A15893" s="2" t="str">
        <f t="shared" si="573"/>
        <v>11060</v>
      </c>
      <c r="B15893" s="2" t="str">
        <f>"73560"</f>
        <v>73560</v>
      </c>
      <c r="C15893" s="1">
        <v>8.3126110124333904E-3</v>
      </c>
      <c r="D15893" s="1">
        <v>1.34861766689143E-3</v>
      </c>
      <c r="E15893" s="1">
        <v>2.8089887640449398E-3</v>
      </c>
      <c r="F15893" s="1">
        <v>7.5405303506346603E-3</v>
      </c>
    </row>
    <row r="15894" spans="1:6" x14ac:dyDescent="0.25">
      <c r="A15894" s="2" t="str">
        <f t="shared" si="573"/>
        <v>11060</v>
      </c>
      <c r="B15894" s="2" t="str">
        <f>"73537"</f>
        <v>73537</v>
      </c>
      <c r="C15894" s="1">
        <v>1.6696269982237999E-2</v>
      </c>
      <c r="D15894" s="1">
        <v>0</v>
      </c>
      <c r="E15894" s="1">
        <v>2.8089887640449398E-3</v>
      </c>
      <c r="F15894" s="1">
        <v>1.4829709689581499E-2</v>
      </c>
    </row>
    <row r="15895" spans="1:6" x14ac:dyDescent="0.25">
      <c r="A15895" s="2" t="str">
        <f t="shared" si="573"/>
        <v>11060</v>
      </c>
      <c r="B15895" s="2" t="str">
        <f>"73522"</f>
        <v>73522</v>
      </c>
      <c r="C15895" s="1">
        <v>9.2149200710479495E-2</v>
      </c>
      <c r="D15895" s="1">
        <v>0.173297370195549</v>
      </c>
      <c r="E15895" s="1">
        <v>0</v>
      </c>
      <c r="F15895" s="1">
        <v>9.7649868040718804E-2</v>
      </c>
    </row>
    <row r="15896" spans="1:6" x14ac:dyDescent="0.25">
      <c r="A15896" s="2" t="str">
        <f t="shared" si="573"/>
        <v>11060</v>
      </c>
      <c r="B15896" s="2" t="str">
        <f>"73521"</f>
        <v>73521</v>
      </c>
      <c r="C15896" s="1">
        <v>0.75772646536412003</v>
      </c>
      <c r="D15896" s="1">
        <v>0.73432231962238703</v>
      </c>
      <c r="E15896" s="1">
        <v>0.901685393258426</v>
      </c>
      <c r="F15896" s="1">
        <v>0.75876586653261202</v>
      </c>
    </row>
    <row r="15897" spans="1:6" x14ac:dyDescent="0.25">
      <c r="A15897" s="2" t="str">
        <f t="shared" si="573"/>
        <v>11060</v>
      </c>
      <c r="B15897" s="2" t="str">
        <f>"73549"</f>
        <v>73549</v>
      </c>
      <c r="C15897" s="1">
        <v>9.2362344582593205E-3</v>
      </c>
      <c r="D15897" s="1">
        <v>6.7430883344571802E-4</v>
      </c>
      <c r="E15897" s="1">
        <v>2.8089887640449398E-3</v>
      </c>
      <c r="F15897" s="1">
        <v>8.2945833856981205E-3</v>
      </c>
    </row>
    <row r="15898" spans="1:6" x14ac:dyDescent="0.25">
      <c r="A15898" s="2" t="str">
        <f t="shared" ref="A15898:A15912" si="574">"20460"</f>
        <v>20460</v>
      </c>
      <c r="B15898" s="2" t="str">
        <f>"74702"</f>
        <v>74702</v>
      </c>
      <c r="C15898" s="1">
        <v>4.8836087852351898E-2</v>
      </c>
      <c r="D15898" s="1">
        <v>0.17558365758754799</v>
      </c>
      <c r="E15898" s="1">
        <v>5.9171597633135998E-3</v>
      </c>
      <c r="F15898" s="1">
        <v>5.8599484229319501E-2</v>
      </c>
    </row>
    <row r="15899" spans="1:6" x14ac:dyDescent="0.25">
      <c r="A15899" s="2" t="str">
        <f t="shared" si="574"/>
        <v>20460</v>
      </c>
      <c r="B15899" s="2" t="str">
        <f>"74701"</f>
        <v>74701</v>
      </c>
      <c r="C15899" s="1">
        <v>0.495506553855595</v>
      </c>
      <c r="D15899" s="1">
        <v>0.68871595330739199</v>
      </c>
      <c r="E15899" s="1">
        <v>0.75443786982248495</v>
      </c>
      <c r="F15899" s="1">
        <v>0.51473913905971003</v>
      </c>
    </row>
    <row r="15900" spans="1:6" x14ac:dyDescent="0.25">
      <c r="A15900" s="2" t="str">
        <f t="shared" si="574"/>
        <v>20460</v>
      </c>
      <c r="B15900" s="2" t="str">
        <f>"74741"</f>
        <v>74741</v>
      </c>
      <c r="C15900" s="1">
        <v>2.2620665468414299E-2</v>
      </c>
      <c r="D15900" s="1">
        <v>8.7548638132295704E-3</v>
      </c>
      <c r="E15900" s="1">
        <v>2.9585798816567999E-3</v>
      </c>
      <c r="F15900" s="1">
        <v>2.1225947232691899E-2</v>
      </c>
    </row>
    <row r="15901" spans="1:6" x14ac:dyDescent="0.25">
      <c r="A15901" s="2" t="str">
        <f t="shared" si="574"/>
        <v>20460</v>
      </c>
      <c r="B15901" s="2" t="str">
        <f>"74731"</f>
        <v>74731</v>
      </c>
      <c r="C15901" s="1">
        <v>3.3361097716014199E-2</v>
      </c>
      <c r="D15901" s="1">
        <v>6.3229571984435703E-3</v>
      </c>
      <c r="E15901" s="1">
        <v>2.07100591715976E-2</v>
      </c>
      <c r="F15901" s="1">
        <v>3.0985915492957702E-2</v>
      </c>
    </row>
    <row r="15902" spans="1:6" x14ac:dyDescent="0.25">
      <c r="A15902" s="2" t="str">
        <f t="shared" si="574"/>
        <v>20460</v>
      </c>
      <c r="B15902" s="2" t="str">
        <f>"74721"</f>
        <v>74721</v>
      </c>
      <c r="C15902" s="1">
        <v>0</v>
      </c>
      <c r="D15902" s="1">
        <v>0</v>
      </c>
      <c r="E15902" s="1">
        <v>2.9585798816567999E-3</v>
      </c>
      <c r="F15902" s="1">
        <v>3.9674667724657799E-5</v>
      </c>
    </row>
    <row r="15903" spans="1:6" x14ac:dyDescent="0.25">
      <c r="A15903" s="2" t="str">
        <f t="shared" si="574"/>
        <v>20460</v>
      </c>
      <c r="B15903" s="2" t="str">
        <f>"74748"</f>
        <v>74748</v>
      </c>
      <c r="C15903" s="1">
        <v>1.57818596291262E-3</v>
      </c>
      <c r="D15903" s="1">
        <v>0</v>
      </c>
      <c r="E15903" s="1">
        <v>2.9585798816567999E-3</v>
      </c>
      <c r="F15903" s="1">
        <v>1.46796270581233E-3</v>
      </c>
    </row>
    <row r="15904" spans="1:6" x14ac:dyDescent="0.25">
      <c r="A15904" s="2" t="str">
        <f t="shared" si="574"/>
        <v>20460</v>
      </c>
      <c r="B15904" s="2" t="str">
        <f>"74720"</f>
        <v>74720</v>
      </c>
      <c r="C15904" s="1">
        <v>1.3151549690938499E-4</v>
      </c>
      <c r="D15904" s="1">
        <v>0</v>
      </c>
      <c r="E15904" s="1">
        <v>2.9585798816567999E-3</v>
      </c>
      <c r="F15904" s="1">
        <v>1.5869867089863101E-4</v>
      </c>
    </row>
    <row r="15905" spans="1:6" x14ac:dyDescent="0.25">
      <c r="A15905" s="2" t="str">
        <f t="shared" si="574"/>
        <v>20460</v>
      </c>
      <c r="B15905" s="2" t="str">
        <f>"74726"</f>
        <v>74726</v>
      </c>
      <c r="C15905" s="1">
        <v>4.4846784446100497E-2</v>
      </c>
      <c r="D15905" s="1">
        <v>6.8093385214007696E-3</v>
      </c>
      <c r="E15905" s="1">
        <v>2.9585798816567999E-3</v>
      </c>
      <c r="F15905" s="1">
        <v>4.1182305098194802E-2</v>
      </c>
    </row>
    <row r="15906" spans="1:6" x14ac:dyDescent="0.25">
      <c r="A15906" s="2" t="str">
        <f t="shared" si="574"/>
        <v>20460</v>
      </c>
      <c r="B15906" s="2" t="str">
        <f>"74727"</f>
        <v>74727</v>
      </c>
      <c r="C15906" s="1">
        <v>9.6444697733549605E-4</v>
      </c>
      <c r="D15906" s="1">
        <v>0</v>
      </c>
      <c r="E15906" s="1">
        <v>0</v>
      </c>
      <c r="F15906" s="1">
        <v>8.7284268994247097E-4</v>
      </c>
    </row>
    <row r="15907" spans="1:6" x14ac:dyDescent="0.25">
      <c r="A15907" s="2" t="str">
        <f t="shared" si="574"/>
        <v>20460</v>
      </c>
      <c r="B15907" s="2" t="str">
        <f>"74730"</f>
        <v>74730</v>
      </c>
      <c r="C15907" s="1">
        <v>0.150848274955065</v>
      </c>
      <c r="D15907" s="1">
        <v>5.4474708171206199E-2</v>
      </c>
      <c r="E15907" s="1">
        <v>0.13905325443786901</v>
      </c>
      <c r="F15907" s="1">
        <v>0.142828803808768</v>
      </c>
    </row>
    <row r="15908" spans="1:6" x14ac:dyDescent="0.25">
      <c r="A15908" s="2" t="str">
        <f t="shared" si="574"/>
        <v>20460</v>
      </c>
      <c r="B15908" s="2" t="str">
        <f>"73449"</f>
        <v>73449</v>
      </c>
      <c r="C15908" s="1">
        <v>7.4832317741440502E-2</v>
      </c>
      <c r="D15908" s="1">
        <v>2.7237354085603099E-2</v>
      </c>
      <c r="E15908" s="1">
        <v>3.2544378698224803E-2</v>
      </c>
      <c r="F15908" s="1">
        <v>7.0382860543542897E-2</v>
      </c>
    </row>
    <row r="15909" spans="1:6" x14ac:dyDescent="0.25">
      <c r="A15909" s="2" t="str">
        <f t="shared" si="574"/>
        <v>20460</v>
      </c>
      <c r="B15909" s="2" t="str">
        <f>"74733"</f>
        <v>74733</v>
      </c>
      <c r="C15909" s="1">
        <v>4.5285169435798502E-2</v>
      </c>
      <c r="D15909" s="1">
        <v>1.2645914396887101E-2</v>
      </c>
      <c r="E15909" s="1">
        <v>1.7751479289940801E-2</v>
      </c>
      <c r="F15909" s="1">
        <v>4.22535211267605E-2</v>
      </c>
    </row>
    <row r="15910" spans="1:6" x14ac:dyDescent="0.25">
      <c r="A15910" s="2" t="str">
        <f t="shared" si="574"/>
        <v>20460</v>
      </c>
      <c r="B15910" s="2" t="str">
        <f>"74723"</f>
        <v>74723</v>
      </c>
      <c r="C15910" s="1">
        <v>3.1870588751041103E-2</v>
      </c>
      <c r="D15910" s="1">
        <v>6.8093385214007696E-3</v>
      </c>
      <c r="E15910" s="1">
        <v>2.9585798816567999E-3</v>
      </c>
      <c r="F15910" s="1">
        <v>2.9438603451696001E-2</v>
      </c>
    </row>
    <row r="15911" spans="1:6" x14ac:dyDescent="0.25">
      <c r="A15911" s="2" t="str">
        <f t="shared" si="574"/>
        <v>20460</v>
      </c>
      <c r="B15911" s="2" t="str">
        <f>"74753"</f>
        <v>74753</v>
      </c>
      <c r="C15911" s="1">
        <v>0</v>
      </c>
      <c r="D15911" s="1">
        <v>0</v>
      </c>
      <c r="E15911" s="1">
        <v>2.9585798816567999E-3</v>
      </c>
      <c r="F15911" s="1">
        <v>3.9674667724657799E-5</v>
      </c>
    </row>
    <row r="15912" spans="1:6" x14ac:dyDescent="0.25">
      <c r="A15912" s="2" t="str">
        <f t="shared" si="574"/>
        <v>20460</v>
      </c>
      <c r="B15912" s="2" t="str">
        <f>"74729"</f>
        <v>74729</v>
      </c>
      <c r="C15912" s="1">
        <v>4.9318311341019598E-2</v>
      </c>
      <c r="D15912" s="1">
        <v>1.2645914396887101E-2</v>
      </c>
      <c r="E15912" s="1">
        <v>8.8757396449704092E-3</v>
      </c>
      <c r="F15912" s="1">
        <v>4.5784566554255099E-2</v>
      </c>
    </row>
    <row r="15913" spans="1:6" x14ac:dyDescent="0.25">
      <c r="A15913" s="2" t="str">
        <f t="shared" ref="A15913:A15924" si="575">"38620"</f>
        <v>38620</v>
      </c>
      <c r="B15913" s="2" t="str">
        <f>"74601"</f>
        <v>74601</v>
      </c>
      <c r="C15913" s="1">
        <v>0.41040586294089898</v>
      </c>
      <c r="D15913" s="1">
        <v>0.53128390596745001</v>
      </c>
      <c r="E15913" s="1">
        <v>0.47346072186836502</v>
      </c>
      <c r="F15913" s="1">
        <v>0.42410327825661398</v>
      </c>
    </row>
    <row r="15914" spans="1:6" x14ac:dyDescent="0.25">
      <c r="A15914" s="2" t="str">
        <f t="shared" si="575"/>
        <v>38620</v>
      </c>
      <c r="B15914" s="2" t="str">
        <f>"74653"</f>
        <v>74653</v>
      </c>
      <c r="C15914" s="1">
        <v>7.0201002871469506E-2</v>
      </c>
      <c r="D15914" s="1">
        <v>6.7269439421338104E-2</v>
      </c>
      <c r="E15914" s="1">
        <v>6.1571125265392698E-2</v>
      </c>
      <c r="F15914" s="1">
        <v>6.9742933493921397E-2</v>
      </c>
    </row>
    <row r="15915" spans="1:6" x14ac:dyDescent="0.25">
      <c r="A15915" s="2" t="str">
        <f t="shared" si="575"/>
        <v>38620</v>
      </c>
      <c r="B15915" s="2" t="str">
        <f>"74632"</f>
        <v>74632</v>
      </c>
      <c r="C15915" s="1">
        <v>1.0114430206145801E-2</v>
      </c>
      <c r="D15915" s="1">
        <v>3.2549728752260302E-3</v>
      </c>
      <c r="E15915" s="1">
        <v>2.1231422505307799E-3</v>
      </c>
      <c r="F15915" s="1">
        <v>9.2589107606609201E-3</v>
      </c>
    </row>
    <row r="15916" spans="1:6" x14ac:dyDescent="0.25">
      <c r="A15916" s="2" t="str">
        <f t="shared" si="575"/>
        <v>38620</v>
      </c>
      <c r="B15916" s="2" t="str">
        <f>"74652"</f>
        <v>74652</v>
      </c>
      <c r="C15916" s="1">
        <v>4.2857755110787198E-4</v>
      </c>
      <c r="D15916" s="1">
        <v>0</v>
      </c>
      <c r="E15916" s="1">
        <v>0</v>
      </c>
      <c r="F15916" s="1">
        <v>3.7637848620572799E-4</v>
      </c>
    </row>
    <row r="15917" spans="1:6" x14ac:dyDescent="0.25">
      <c r="A15917" s="2" t="str">
        <f t="shared" si="575"/>
        <v>38620</v>
      </c>
      <c r="B15917" s="2" t="str">
        <f>"74630"</f>
        <v>74630</v>
      </c>
      <c r="C15917" s="1">
        <v>4.2857755110787198E-5</v>
      </c>
      <c r="D15917" s="1">
        <v>0</v>
      </c>
      <c r="E15917" s="1">
        <v>0</v>
      </c>
      <c r="F15917" s="1">
        <v>3.7637848620572799E-5</v>
      </c>
    </row>
    <row r="15918" spans="1:6" x14ac:dyDescent="0.25">
      <c r="A15918" s="2" t="str">
        <f t="shared" si="575"/>
        <v>38620</v>
      </c>
      <c r="B15918" s="2" t="str">
        <f>"74604"</f>
        <v>74604</v>
      </c>
      <c r="C15918" s="1">
        <v>0.193245617794539</v>
      </c>
      <c r="D15918" s="1">
        <v>4.8101265822784803E-2</v>
      </c>
      <c r="E15918" s="1">
        <v>0.27600849256900201</v>
      </c>
      <c r="F15918" s="1">
        <v>0.17960781361737299</v>
      </c>
    </row>
    <row r="15919" spans="1:6" x14ac:dyDescent="0.25">
      <c r="A15919" s="2" t="str">
        <f t="shared" si="575"/>
        <v>38620</v>
      </c>
      <c r="B15919" s="2" t="str">
        <f>"74646"</f>
        <v>74646</v>
      </c>
      <c r="C15919" s="1">
        <v>4.3286332661895098E-3</v>
      </c>
      <c r="D15919" s="1">
        <v>1.08499095840867E-3</v>
      </c>
      <c r="E15919" s="1">
        <v>4.2462845010615702E-3</v>
      </c>
      <c r="F15919" s="1">
        <v>3.9896119537807199E-3</v>
      </c>
    </row>
    <row r="15920" spans="1:6" x14ac:dyDescent="0.25">
      <c r="A15920" s="2" t="str">
        <f t="shared" si="575"/>
        <v>38620</v>
      </c>
      <c r="B15920" s="2" t="str">
        <f>"74602"</f>
        <v>74602</v>
      </c>
      <c r="C15920" s="1">
        <v>5.4986499807140099E-2</v>
      </c>
      <c r="D15920" s="1">
        <v>0.11790235081374301</v>
      </c>
      <c r="E15920" s="1">
        <v>4.2462845010615702E-3</v>
      </c>
      <c r="F15920" s="1">
        <v>6.0634574127742799E-2</v>
      </c>
    </row>
    <row r="15921" spans="1:6" x14ac:dyDescent="0.25">
      <c r="A15921" s="2" t="str">
        <f t="shared" si="575"/>
        <v>38620</v>
      </c>
      <c r="B15921" s="2" t="str">
        <f>"74643"</f>
        <v>74643</v>
      </c>
      <c r="C15921" s="1">
        <v>6.0000857155102197E-4</v>
      </c>
      <c r="D15921" s="1">
        <v>0</v>
      </c>
      <c r="E15921" s="1">
        <v>0</v>
      </c>
      <c r="F15921" s="1">
        <v>5.2692988068801902E-4</v>
      </c>
    </row>
    <row r="15922" spans="1:6" x14ac:dyDescent="0.25">
      <c r="A15922" s="2" t="str">
        <f t="shared" si="575"/>
        <v>38620</v>
      </c>
      <c r="B15922" s="2" t="str">
        <f>"74647"</f>
        <v>74647</v>
      </c>
      <c r="C15922" s="1">
        <v>7.6286804097201302E-2</v>
      </c>
      <c r="D15922" s="1">
        <v>5.750452079566E-2</v>
      </c>
      <c r="E15922" s="1">
        <v>5.9447983014861899E-2</v>
      </c>
      <c r="F15922" s="1">
        <v>7.4033648236666694E-2</v>
      </c>
    </row>
    <row r="15923" spans="1:6" x14ac:dyDescent="0.25">
      <c r="A15923" s="2" t="str">
        <f t="shared" si="575"/>
        <v>38620</v>
      </c>
      <c r="B15923" s="2" t="str">
        <f>"74631"</f>
        <v>74631</v>
      </c>
      <c r="C15923" s="1">
        <v>0.16255946513521599</v>
      </c>
      <c r="D15923" s="1">
        <v>0.17070524412296501</v>
      </c>
      <c r="E15923" s="1">
        <v>0.112526539278131</v>
      </c>
      <c r="F15923" s="1">
        <v>0.162520230343633</v>
      </c>
    </row>
    <row r="15924" spans="1:6" x14ac:dyDescent="0.25">
      <c r="A15924" s="2" t="str">
        <f t="shared" si="575"/>
        <v>38620</v>
      </c>
      <c r="B15924" s="2" t="str">
        <f>"74641"</f>
        <v>74641</v>
      </c>
      <c r="C15924" s="1">
        <v>1.6800240003428599E-2</v>
      </c>
      <c r="D15924" s="1">
        <v>2.89330922242314E-3</v>
      </c>
      <c r="E15924" s="1">
        <v>6.3694267515923501E-3</v>
      </c>
      <c r="F15924" s="1">
        <v>1.5168052994090801E-2</v>
      </c>
    </row>
    <row r="15925" spans="1:6" x14ac:dyDescent="0.25">
      <c r="A15925" s="2" t="str">
        <f t="shared" ref="A15925:A15988" si="576">"19100"</f>
        <v>19100</v>
      </c>
      <c r="B15925" s="2" t="str">
        <f>"76641"</f>
        <v>76641</v>
      </c>
      <c r="C15925" s="1">
        <v>2.1833373309200099E-6</v>
      </c>
      <c r="D15925" s="1">
        <v>0</v>
      </c>
      <c r="E15925" s="1">
        <v>0</v>
      </c>
      <c r="F15925" s="1">
        <v>1.90413600100973E-6</v>
      </c>
    </row>
    <row r="15926" spans="1:6" x14ac:dyDescent="0.25">
      <c r="A15926" s="2" t="str">
        <f t="shared" si="576"/>
        <v>19100</v>
      </c>
      <c r="B15926" s="2" t="str">
        <f>"76623"</f>
        <v>76623</v>
      </c>
      <c r="C15926" s="1">
        <v>0</v>
      </c>
      <c r="D15926" s="1">
        <v>6.2388869825623097E-6</v>
      </c>
      <c r="E15926" s="1">
        <v>0</v>
      </c>
      <c r="F15926" s="1">
        <v>5.4403885743135304E-7</v>
      </c>
    </row>
    <row r="15927" spans="1:6" x14ac:dyDescent="0.25">
      <c r="A15927" s="2" t="str">
        <f t="shared" si="576"/>
        <v>19100</v>
      </c>
      <c r="B15927" s="2" t="str">
        <f>"76485"</f>
        <v>76485</v>
      </c>
      <c r="C15927" s="1">
        <v>0</v>
      </c>
      <c r="D15927" s="1">
        <v>0</v>
      </c>
      <c r="E15927" s="1">
        <v>6.6873081578472203E-6</v>
      </c>
      <c r="F15927" s="1">
        <v>2.7201942871567599E-7</v>
      </c>
    </row>
    <row r="15928" spans="1:6" x14ac:dyDescent="0.25">
      <c r="A15928" s="2" t="str">
        <f t="shared" si="576"/>
        <v>19100</v>
      </c>
      <c r="B15928" s="2" t="str">
        <f>"76258"</f>
        <v>76258</v>
      </c>
      <c r="C15928" s="1">
        <v>8.1625625643109805E-4</v>
      </c>
      <c r="D15928" s="1">
        <v>6.7379979411672896E-4</v>
      </c>
      <c r="E15928" s="1">
        <v>2.4542420939299299E-3</v>
      </c>
      <c r="F15928" s="1">
        <v>8.7046217189016499E-4</v>
      </c>
    </row>
    <row r="15929" spans="1:6" x14ac:dyDescent="0.25">
      <c r="A15929" s="2" t="str">
        <f t="shared" si="576"/>
        <v>19100</v>
      </c>
      <c r="B15929" s="2" t="str">
        <f>"76244"</f>
        <v>76244</v>
      </c>
      <c r="C15929" s="1">
        <v>8.5427751652240504E-3</v>
      </c>
      <c r="D15929" s="1">
        <v>6.1109897994197802E-3</v>
      </c>
      <c r="E15929" s="1">
        <v>3.7114560276051999E-3</v>
      </c>
      <c r="F15929" s="1">
        <v>8.1341969768848697E-3</v>
      </c>
    </row>
    <row r="15930" spans="1:6" x14ac:dyDescent="0.25">
      <c r="A15930" s="2" t="str">
        <f t="shared" si="576"/>
        <v>19100</v>
      </c>
      <c r="B15930" s="2" t="str">
        <f>"76162"</f>
        <v>76162</v>
      </c>
      <c r="C15930" s="1">
        <v>5.7016294870311296E-4</v>
      </c>
      <c r="D15930" s="1">
        <v>1.21970240509093E-3</v>
      </c>
      <c r="E15930" s="1">
        <v>1.33746163156944E-5</v>
      </c>
      <c r="F15930" s="1">
        <v>6.04155151177517E-4</v>
      </c>
    </row>
    <row r="15931" spans="1:6" x14ac:dyDescent="0.25">
      <c r="A15931" s="2" t="str">
        <f t="shared" si="576"/>
        <v>19100</v>
      </c>
      <c r="B15931" s="2" t="str">
        <f>"76192"</f>
        <v>76192</v>
      </c>
      <c r="C15931" s="1">
        <v>0</v>
      </c>
      <c r="D15931" s="1">
        <v>3.1194434912811502E-6</v>
      </c>
      <c r="E15931" s="1">
        <v>0</v>
      </c>
      <c r="F15931" s="1">
        <v>2.7201942871567599E-7</v>
      </c>
    </row>
    <row r="15932" spans="1:6" x14ac:dyDescent="0.25">
      <c r="A15932" s="2" t="str">
        <f t="shared" si="576"/>
        <v>19100</v>
      </c>
      <c r="B15932" s="2" t="str">
        <f>"76201"</f>
        <v>76201</v>
      </c>
      <c r="C15932" s="1">
        <v>4.72287055211298E-3</v>
      </c>
      <c r="D15932" s="1">
        <v>6.4198147050566097E-3</v>
      </c>
      <c r="E15932" s="1">
        <v>1.01914576325591E-2</v>
      </c>
      <c r="F15932" s="1">
        <v>5.0932917832723201E-3</v>
      </c>
    </row>
    <row r="15933" spans="1:6" x14ac:dyDescent="0.25">
      <c r="A15933" s="2" t="str">
        <f t="shared" si="576"/>
        <v>19100</v>
      </c>
      <c r="B15933" s="2" t="str">
        <f>"76177"</f>
        <v>76177</v>
      </c>
      <c r="C15933" s="1">
        <v>2.9733935393800701E-3</v>
      </c>
      <c r="D15933" s="1">
        <v>3.4407461708831099E-3</v>
      </c>
      <c r="E15933" s="1">
        <v>3.2968429218186799E-3</v>
      </c>
      <c r="F15933" s="1">
        <v>3.0273042221767598E-3</v>
      </c>
    </row>
    <row r="15934" spans="1:6" x14ac:dyDescent="0.25">
      <c r="A15934" s="2" t="str">
        <f t="shared" si="576"/>
        <v>19100</v>
      </c>
      <c r="B15934" s="2" t="str">
        <f>"76104"</f>
        <v>76104</v>
      </c>
      <c r="C15934" s="1">
        <v>3.0339031739798502E-3</v>
      </c>
      <c r="D15934" s="1">
        <v>6.6350563059550099E-3</v>
      </c>
      <c r="E15934" s="1">
        <v>6.3863792907440896E-3</v>
      </c>
      <c r="F15934" s="1">
        <v>3.4842968624191001E-3</v>
      </c>
    </row>
    <row r="15935" spans="1:6" x14ac:dyDescent="0.25">
      <c r="A15935" s="2" t="str">
        <f t="shared" si="576"/>
        <v>19100</v>
      </c>
      <c r="B15935" s="2" t="str">
        <f>"76102"</f>
        <v>76102</v>
      </c>
      <c r="C15935" s="1">
        <v>2.0598228190565398E-3</v>
      </c>
      <c r="D15935" s="1">
        <v>8.9715194809245995E-3</v>
      </c>
      <c r="E15935" s="1">
        <v>5.12916535706881E-3</v>
      </c>
      <c r="F15935" s="1">
        <v>2.78738308604953E-3</v>
      </c>
    </row>
    <row r="15936" spans="1:6" x14ac:dyDescent="0.25">
      <c r="A15936" s="2" t="str">
        <f t="shared" si="576"/>
        <v>19100</v>
      </c>
      <c r="B15936" s="2" t="str">
        <f>"76107"</f>
        <v>76107</v>
      </c>
      <c r="C15936" s="1">
        <v>5.8114201642431099E-3</v>
      </c>
      <c r="D15936" s="1">
        <v>9.1462083164363401E-3</v>
      </c>
      <c r="E15936" s="1">
        <v>9.8905287654560397E-3</v>
      </c>
      <c r="F15936" s="1">
        <v>6.2681436958953304E-3</v>
      </c>
    </row>
    <row r="15937" spans="1:6" x14ac:dyDescent="0.25">
      <c r="A15937" s="2" t="str">
        <f t="shared" si="576"/>
        <v>19100</v>
      </c>
      <c r="B15937" s="2" t="str">
        <f>"76059"</f>
        <v>76059</v>
      </c>
      <c r="C15937" s="1">
        <v>8.41520588403172E-4</v>
      </c>
      <c r="D15937" s="1">
        <v>5.6773871541317003E-4</v>
      </c>
      <c r="E15937" s="1">
        <v>1.4511458702528401E-3</v>
      </c>
      <c r="F15937" s="1">
        <v>8.4244417073245001E-4</v>
      </c>
    </row>
    <row r="15938" spans="1:6" x14ac:dyDescent="0.25">
      <c r="A15938" s="2" t="str">
        <f t="shared" si="576"/>
        <v>19100</v>
      </c>
      <c r="B15938" s="2" t="str">
        <f>"76093"</f>
        <v>76093</v>
      </c>
      <c r="C15938" s="1">
        <v>2.7135763970005899E-4</v>
      </c>
      <c r="D15938" s="1">
        <v>9.04638612471535E-5</v>
      </c>
      <c r="E15938" s="1">
        <v>5.6842119341701304E-4</v>
      </c>
      <c r="F15938" s="1">
        <v>2.6766711785622502E-4</v>
      </c>
    </row>
    <row r="15939" spans="1:6" x14ac:dyDescent="0.25">
      <c r="A15939" s="2" t="str">
        <f t="shared" si="576"/>
        <v>19100</v>
      </c>
      <c r="B15939" s="2" t="str">
        <f>"76050"</f>
        <v>76050</v>
      </c>
      <c r="C15939" s="1">
        <v>8.4588726306501197E-4</v>
      </c>
      <c r="D15939" s="1">
        <v>3.08824905636834E-4</v>
      </c>
      <c r="E15939" s="1">
        <v>6.8210543210041601E-4</v>
      </c>
      <c r="F15939" s="1">
        <v>7.9239259584876502E-4</v>
      </c>
    </row>
    <row r="15940" spans="1:6" x14ac:dyDescent="0.25">
      <c r="A15940" s="2" t="str">
        <f t="shared" si="576"/>
        <v>19100</v>
      </c>
      <c r="B15940" s="2" t="str">
        <f>"76004"</f>
        <v>76004</v>
      </c>
      <c r="C15940" s="1">
        <v>4.5850083949320301E-4</v>
      </c>
      <c r="D15940" s="1">
        <v>1.12923854384377E-3</v>
      </c>
      <c r="E15940" s="1">
        <v>1.33746163156944E-5</v>
      </c>
      <c r="F15940" s="1">
        <v>4.9888363226454995E-4</v>
      </c>
    </row>
    <row r="15941" spans="1:6" x14ac:dyDescent="0.25">
      <c r="A15941" s="2" t="str">
        <f t="shared" si="576"/>
        <v>19100</v>
      </c>
      <c r="B15941" s="2" t="str">
        <f>"75452"</f>
        <v>75452</v>
      </c>
      <c r="C15941" s="1">
        <v>6.4252498595646196E-5</v>
      </c>
      <c r="D15941" s="1">
        <v>6.2388869825623097E-6</v>
      </c>
      <c r="E15941" s="1">
        <v>6.6873081578472203E-6</v>
      </c>
      <c r="F15941" s="1">
        <v>5.68520606015764E-5</v>
      </c>
    </row>
    <row r="15942" spans="1:6" x14ac:dyDescent="0.25">
      <c r="A15942" s="2" t="str">
        <f t="shared" si="576"/>
        <v>19100</v>
      </c>
      <c r="B15942" s="2" t="str">
        <f>"75422"</f>
        <v>75422</v>
      </c>
      <c r="C15942" s="1">
        <v>4.0890789154802E-4</v>
      </c>
      <c r="D15942" s="1">
        <v>1.4973328758149501E-4</v>
      </c>
      <c r="E15942" s="1">
        <v>1.33746163156944E-5</v>
      </c>
      <c r="F15942" s="1">
        <v>3.7021844248203502E-4</v>
      </c>
    </row>
    <row r="15943" spans="1:6" x14ac:dyDescent="0.25">
      <c r="A15943" s="2" t="str">
        <f t="shared" si="576"/>
        <v>19100</v>
      </c>
      <c r="B15943" s="2" t="str">
        <f>"75496"</f>
        <v>75496</v>
      </c>
      <c r="C15943" s="1">
        <v>5.1745094742804403E-4</v>
      </c>
      <c r="D15943" s="1">
        <v>8.7344417755872304E-5</v>
      </c>
      <c r="E15943" s="1">
        <v>3.29015561366083E-3</v>
      </c>
      <c r="F15943" s="1">
        <v>5.9273033517145903E-4</v>
      </c>
    </row>
    <row r="15944" spans="1:6" x14ac:dyDescent="0.25">
      <c r="A15944" s="2" t="str">
        <f t="shared" si="576"/>
        <v>19100</v>
      </c>
      <c r="B15944" s="2" t="str">
        <f>"75404"</f>
        <v>75404</v>
      </c>
      <c r="C15944" s="1">
        <v>2.08976573102344E-4</v>
      </c>
      <c r="D15944" s="1">
        <v>6.7691923760800998E-4</v>
      </c>
      <c r="E15944" s="1">
        <v>1.33746163156944E-5</v>
      </c>
      <c r="F15944" s="1">
        <v>2.41825272128236E-4</v>
      </c>
    </row>
    <row r="15945" spans="1:6" x14ac:dyDescent="0.25">
      <c r="A15945" s="2" t="str">
        <f t="shared" si="576"/>
        <v>19100</v>
      </c>
      <c r="B15945" s="2" t="str">
        <f>"75260"</f>
        <v>75260</v>
      </c>
      <c r="C15945" s="1">
        <v>0</v>
      </c>
      <c r="D15945" s="1">
        <v>6.2388869825623097E-6</v>
      </c>
      <c r="E15945" s="1">
        <v>0</v>
      </c>
      <c r="F15945" s="1">
        <v>5.4403885743135304E-7</v>
      </c>
    </row>
    <row r="15946" spans="1:6" x14ac:dyDescent="0.25">
      <c r="A15946" s="2" t="str">
        <f t="shared" si="576"/>
        <v>19100</v>
      </c>
      <c r="B15946" s="2" t="str">
        <f>"75226"</f>
        <v>75226</v>
      </c>
      <c r="C15946" s="1">
        <v>8.90801631015367E-4</v>
      </c>
      <c r="D15946" s="1">
        <v>3.01026296908631E-3</v>
      </c>
      <c r="E15946" s="1">
        <v>1.9326320576178401E-3</v>
      </c>
      <c r="F15946" s="1">
        <v>1.1179998520214299E-3</v>
      </c>
    </row>
    <row r="15947" spans="1:6" x14ac:dyDescent="0.25">
      <c r="A15947" s="2" t="str">
        <f t="shared" si="576"/>
        <v>19100</v>
      </c>
      <c r="B15947" s="2" t="str">
        <f>"75237"</f>
        <v>75237</v>
      </c>
      <c r="C15947" s="1">
        <v>2.6908073076924201E-3</v>
      </c>
      <c r="D15947" s="1">
        <v>3.2442212309324002E-3</v>
      </c>
      <c r="E15947" s="1">
        <v>4.3066264536536104E-3</v>
      </c>
      <c r="F15947" s="1">
        <v>2.8047923294873402E-3</v>
      </c>
    </row>
    <row r="15948" spans="1:6" x14ac:dyDescent="0.25">
      <c r="A15948" s="2" t="str">
        <f t="shared" si="576"/>
        <v>19100</v>
      </c>
      <c r="B15948" s="2" t="str">
        <f>"75236"</f>
        <v>75236</v>
      </c>
      <c r="C15948" s="1">
        <v>2.22918741486933E-3</v>
      </c>
      <c r="D15948" s="1">
        <v>9.9510247371868807E-4</v>
      </c>
      <c r="E15948" s="1">
        <v>4.9486080368069396E-3</v>
      </c>
      <c r="F15948" s="1">
        <v>2.2321914320408399E-3</v>
      </c>
    </row>
    <row r="15949" spans="1:6" x14ac:dyDescent="0.25">
      <c r="A15949" s="2" t="str">
        <f t="shared" si="576"/>
        <v>19100</v>
      </c>
      <c r="B15949" s="2" t="str">
        <f>"75114"</f>
        <v>75114</v>
      </c>
      <c r="C15949" s="1">
        <v>8.5711585505260097E-4</v>
      </c>
      <c r="D15949" s="1">
        <v>7.1435255950338397E-4</v>
      </c>
      <c r="E15949" s="1">
        <v>1.73870012104027E-4</v>
      </c>
      <c r="F15949" s="1">
        <v>8.1687434443317598E-4</v>
      </c>
    </row>
    <row r="15950" spans="1:6" x14ac:dyDescent="0.25">
      <c r="A15950" s="2" t="str">
        <f t="shared" si="576"/>
        <v>19100</v>
      </c>
      <c r="B15950" s="2" t="str">
        <f>"75119"</f>
        <v>75119</v>
      </c>
      <c r="C15950" s="1">
        <v>3.4846063801483398E-3</v>
      </c>
      <c r="D15950" s="1">
        <v>3.0476962909816801E-3</v>
      </c>
      <c r="E15950" s="1">
        <v>4.4738091575997896E-3</v>
      </c>
      <c r="F15950" s="1">
        <v>3.4867450372775399E-3</v>
      </c>
    </row>
    <row r="15951" spans="1:6" x14ac:dyDescent="0.25">
      <c r="A15951" s="2" t="str">
        <f t="shared" si="576"/>
        <v>19100</v>
      </c>
      <c r="B15951" s="2" t="str">
        <f>"75075"</f>
        <v>75075</v>
      </c>
      <c r="C15951" s="1">
        <v>4.97988054649557E-3</v>
      </c>
      <c r="D15951" s="1">
        <v>6.7535951586237004E-3</v>
      </c>
      <c r="E15951" s="1">
        <v>4.6343045533881197E-3</v>
      </c>
      <c r="F15951" s="1">
        <v>5.1204937261438901E-3</v>
      </c>
    </row>
    <row r="15952" spans="1:6" x14ac:dyDescent="0.25">
      <c r="A15952" s="2" t="str">
        <f t="shared" si="576"/>
        <v>19100</v>
      </c>
      <c r="B15952" s="2" t="str">
        <f>"75074"</f>
        <v>75074</v>
      </c>
      <c r="C15952" s="1">
        <v>6.26960909840332E-3</v>
      </c>
      <c r="D15952" s="1">
        <v>8.5784696010231705E-3</v>
      </c>
      <c r="E15952" s="1">
        <v>8.6667513725699908E-3</v>
      </c>
      <c r="F15952" s="1">
        <v>6.5684531451974401E-3</v>
      </c>
    </row>
    <row r="15953" spans="1:6" x14ac:dyDescent="0.25">
      <c r="A15953" s="2" t="str">
        <f t="shared" si="576"/>
        <v>19100</v>
      </c>
      <c r="B15953" s="2" t="str">
        <f>"75093"</f>
        <v>75093</v>
      </c>
      <c r="C15953" s="1">
        <v>6.6794527059503101E-3</v>
      </c>
      <c r="D15953" s="1">
        <v>1.1070904950556799E-2</v>
      </c>
      <c r="E15953" s="1">
        <v>6.2191965867979104E-3</v>
      </c>
      <c r="F15953" s="1">
        <v>7.0436710871637203E-3</v>
      </c>
    </row>
    <row r="15954" spans="1:6" x14ac:dyDescent="0.25">
      <c r="A15954" s="2" t="str">
        <f t="shared" si="576"/>
        <v>19100</v>
      </c>
      <c r="B15954" s="2" t="str">
        <f>"75006"</f>
        <v>75006</v>
      </c>
      <c r="C15954" s="1">
        <v>5.9998109853681997E-3</v>
      </c>
      <c r="D15954" s="1">
        <v>1.1382849299684901E-2</v>
      </c>
      <c r="E15954" s="1">
        <v>1.6156536509358801E-2</v>
      </c>
      <c r="F15954" s="1">
        <v>6.8823635659353297E-3</v>
      </c>
    </row>
    <row r="15955" spans="1:6" x14ac:dyDescent="0.25">
      <c r="A15955" s="2" t="str">
        <f t="shared" si="576"/>
        <v>19100</v>
      </c>
      <c r="B15955" s="2" t="str">
        <f>"75024"</f>
        <v>75024</v>
      </c>
      <c r="C15955" s="1">
        <v>6.4346070195542802E-3</v>
      </c>
      <c r="D15955" s="1">
        <v>7.6769504320429198E-3</v>
      </c>
      <c r="E15955" s="1">
        <v>6.1055123481145099E-3</v>
      </c>
      <c r="F15955" s="1">
        <v>6.5295543668910999E-3</v>
      </c>
    </row>
    <row r="15956" spans="1:6" x14ac:dyDescent="0.25">
      <c r="A15956" s="2" t="str">
        <f t="shared" si="576"/>
        <v>19100</v>
      </c>
      <c r="B15956" s="2" t="str">
        <f>"76266"</f>
        <v>76266</v>
      </c>
      <c r="C15956" s="1">
        <v>2.5850713998092998E-3</v>
      </c>
      <c r="D15956" s="1">
        <v>1.61899117197491E-3</v>
      </c>
      <c r="E15956" s="1">
        <v>7.5566582183673602E-4</v>
      </c>
      <c r="F15956" s="1">
        <v>2.42641330414383E-3</v>
      </c>
    </row>
    <row r="15957" spans="1:6" x14ac:dyDescent="0.25">
      <c r="A15957" s="2" t="str">
        <f t="shared" si="576"/>
        <v>19100</v>
      </c>
      <c r="B15957" s="2" t="str">
        <f>"76426"</f>
        <v>76426</v>
      </c>
      <c r="C15957" s="1">
        <v>1.7887770846894699E-3</v>
      </c>
      <c r="D15957" s="1">
        <v>2.4768381320772301E-3</v>
      </c>
      <c r="E15957" s="1">
        <v>1.6250158823568699E-3</v>
      </c>
      <c r="F15957" s="1">
        <v>1.8421155712625599E-3</v>
      </c>
    </row>
    <row r="15958" spans="1:6" x14ac:dyDescent="0.25">
      <c r="A15958" s="2" t="str">
        <f t="shared" si="576"/>
        <v>19100</v>
      </c>
      <c r="B15958" s="2" t="str">
        <f>"76161"</f>
        <v>76161</v>
      </c>
      <c r="C15958" s="1">
        <v>6.6591788593060495E-4</v>
      </c>
      <c r="D15958" s="1">
        <v>1.9059799731727799E-3</v>
      </c>
      <c r="E15958" s="1">
        <v>3.3436540789236102E-5</v>
      </c>
      <c r="F15958" s="1">
        <v>7.4832544839682595E-4</v>
      </c>
    </row>
    <row r="15959" spans="1:6" x14ac:dyDescent="0.25">
      <c r="A15959" s="2" t="str">
        <f t="shared" si="576"/>
        <v>19100</v>
      </c>
      <c r="B15959" s="2" t="str">
        <f>"76135"</f>
        <v>76135</v>
      </c>
      <c r="C15959" s="1">
        <v>2.8676576314969398E-3</v>
      </c>
      <c r="D15959" s="1">
        <v>2.4456436971644199E-3</v>
      </c>
      <c r="E15959" s="1">
        <v>3.0092886710312398E-3</v>
      </c>
      <c r="F15959" s="1">
        <v>2.8366186026470698E-3</v>
      </c>
    </row>
    <row r="15960" spans="1:6" x14ac:dyDescent="0.25">
      <c r="A15960" s="2" t="str">
        <f t="shared" si="576"/>
        <v>19100</v>
      </c>
      <c r="B15960" s="2" t="str">
        <f>"76193"</f>
        <v>76193</v>
      </c>
      <c r="C15960" s="1">
        <v>0</v>
      </c>
      <c r="D15960" s="1">
        <v>3.1194434912811502E-6</v>
      </c>
      <c r="E15960" s="1">
        <v>0</v>
      </c>
      <c r="F15960" s="1">
        <v>2.7201942871567599E-7</v>
      </c>
    </row>
    <row r="15961" spans="1:6" x14ac:dyDescent="0.25">
      <c r="A15961" s="2" t="str">
        <f t="shared" si="576"/>
        <v>19100</v>
      </c>
      <c r="B15961" s="2" t="str">
        <f>"76204"</f>
        <v>76204</v>
      </c>
      <c r="C15961" s="1">
        <v>5.1339617809919203E-4</v>
      </c>
      <c r="D15961" s="1">
        <v>2.1212215740711799E-4</v>
      </c>
      <c r="E15961" s="1">
        <v>2.00619244735416E-5</v>
      </c>
      <c r="F15961" s="1">
        <v>4.6705735910481598E-4</v>
      </c>
    </row>
    <row r="15962" spans="1:6" x14ac:dyDescent="0.25">
      <c r="A15962" s="2" t="str">
        <f t="shared" si="576"/>
        <v>19100</v>
      </c>
      <c r="B15962" s="2" t="str">
        <f>"76185"</f>
        <v>76185</v>
      </c>
      <c r="C15962" s="1">
        <v>1.8620748379417801E-4</v>
      </c>
      <c r="D15962" s="1">
        <v>1.6033939545185101E-3</v>
      </c>
      <c r="E15962" s="1">
        <v>1.33746163156944E-5</v>
      </c>
      <c r="F15962" s="1">
        <v>3.0275762416054802E-4</v>
      </c>
    </row>
    <row r="15963" spans="1:6" x14ac:dyDescent="0.25">
      <c r="A15963" s="2" t="str">
        <f t="shared" si="576"/>
        <v>19100</v>
      </c>
      <c r="B15963" s="2" t="str">
        <f>"76207"</f>
        <v>76207</v>
      </c>
      <c r="C15963" s="1">
        <v>2.3258780680957898E-3</v>
      </c>
      <c r="D15963" s="1">
        <v>1.75936612908257E-3</v>
      </c>
      <c r="E15963" s="1">
        <v>1.7119508884088799E-3</v>
      </c>
      <c r="F15963" s="1">
        <v>2.2515048114796501E-3</v>
      </c>
    </row>
    <row r="15964" spans="1:6" x14ac:dyDescent="0.25">
      <c r="A15964" s="2" t="str">
        <f t="shared" si="576"/>
        <v>19100</v>
      </c>
      <c r="B15964" s="2" t="str">
        <f>"76206"</f>
        <v>76206</v>
      </c>
      <c r="C15964" s="1">
        <v>4.1327456620986002E-4</v>
      </c>
      <c r="D15964" s="1">
        <v>8.9528028199769097E-4</v>
      </c>
      <c r="E15964" s="1">
        <v>1.33746163156944E-5</v>
      </c>
      <c r="F15964" s="1">
        <v>4.3903935794710198E-4</v>
      </c>
    </row>
    <row r="15965" spans="1:6" x14ac:dyDescent="0.25">
      <c r="A15965" s="2" t="str">
        <f t="shared" si="576"/>
        <v>19100</v>
      </c>
      <c r="B15965" s="2" t="str">
        <f>"76202"</f>
        <v>76202</v>
      </c>
      <c r="C15965" s="1">
        <v>4.5787702882722601E-4</v>
      </c>
      <c r="D15965" s="1">
        <v>1.7375300246436E-3</v>
      </c>
      <c r="E15965" s="1">
        <v>1.33746163156944E-5</v>
      </c>
      <c r="F15965" s="1">
        <v>5.5138338200667598E-4</v>
      </c>
    </row>
    <row r="15966" spans="1:6" x14ac:dyDescent="0.25">
      <c r="A15966" s="2" t="str">
        <f t="shared" si="576"/>
        <v>19100</v>
      </c>
      <c r="B15966" s="2" t="str">
        <f>"76225"</f>
        <v>76225</v>
      </c>
      <c r="C15966" s="1">
        <v>6.7932981524911399E-4</v>
      </c>
      <c r="D15966" s="1">
        <v>3.89930436410144E-4</v>
      </c>
      <c r="E15966" s="1">
        <v>3.3436540789236099E-4</v>
      </c>
      <c r="F15966" s="1">
        <v>6.4006171576798702E-4</v>
      </c>
    </row>
    <row r="15967" spans="1:6" x14ac:dyDescent="0.25">
      <c r="A15967" s="2" t="str">
        <f t="shared" si="576"/>
        <v>19100</v>
      </c>
      <c r="B15967" s="2" t="str">
        <f>"76116"</f>
        <v>76116</v>
      </c>
      <c r="C15967" s="1">
        <v>8.5009798506035794E-3</v>
      </c>
      <c r="D15967" s="1">
        <v>8.8061889758867008E-3</v>
      </c>
      <c r="E15967" s="1">
        <v>1.84569705156583E-2</v>
      </c>
      <c r="F15967" s="1">
        <v>8.9325740001653803E-3</v>
      </c>
    </row>
    <row r="15968" spans="1:6" x14ac:dyDescent="0.25">
      <c r="A15968" s="2" t="str">
        <f t="shared" si="576"/>
        <v>19100</v>
      </c>
      <c r="B15968" s="2" t="str">
        <f>"76070"</f>
        <v>76070</v>
      </c>
      <c r="C15968" s="1">
        <v>3.11905332988573E-6</v>
      </c>
      <c r="D15968" s="1">
        <v>0</v>
      </c>
      <c r="E15968" s="1">
        <v>0</v>
      </c>
      <c r="F15968" s="1">
        <v>2.7201942871567599E-6</v>
      </c>
    </row>
    <row r="15969" spans="1:6" x14ac:dyDescent="0.25">
      <c r="A15969" s="2" t="str">
        <f t="shared" si="576"/>
        <v>19100</v>
      </c>
      <c r="B15969" s="2" t="str">
        <f>"76114"</f>
        <v>76114</v>
      </c>
      <c r="C15969" s="1">
        <v>3.6436780999725199E-3</v>
      </c>
      <c r="D15969" s="1">
        <v>2.98842686464734E-3</v>
      </c>
      <c r="E15969" s="1">
        <v>2.9424155894527699E-3</v>
      </c>
      <c r="F15969" s="1">
        <v>3.5580141276010399E-3</v>
      </c>
    </row>
    <row r="15970" spans="1:6" x14ac:dyDescent="0.25">
      <c r="A15970" s="2" t="str">
        <f t="shared" si="576"/>
        <v>19100</v>
      </c>
      <c r="B15970" s="2" t="str">
        <f>"76112"</f>
        <v>76112</v>
      </c>
      <c r="C15970" s="1">
        <v>6.3460259049855196E-3</v>
      </c>
      <c r="D15970" s="1">
        <v>3.6871822066943199E-3</v>
      </c>
      <c r="E15970" s="1">
        <v>1.2318021626754499E-2</v>
      </c>
      <c r="F15970" s="1">
        <v>6.3570940490853597E-3</v>
      </c>
    </row>
    <row r="15971" spans="1:6" x14ac:dyDescent="0.25">
      <c r="A15971" s="2" t="str">
        <f t="shared" si="576"/>
        <v>19100</v>
      </c>
      <c r="B15971" s="2" t="str">
        <f>"76105"</f>
        <v>76105</v>
      </c>
      <c r="C15971" s="1">
        <v>2.83771471953004E-3</v>
      </c>
      <c r="D15971" s="1">
        <v>3.0196212995601498E-3</v>
      </c>
      <c r="E15971" s="1">
        <v>2.6080501815604101E-3</v>
      </c>
      <c r="F15971" s="1">
        <v>2.8442351466511102E-3</v>
      </c>
    </row>
    <row r="15972" spans="1:6" x14ac:dyDescent="0.25">
      <c r="A15972" s="2" t="str">
        <f t="shared" si="576"/>
        <v>19100</v>
      </c>
      <c r="B15972" s="2" t="str">
        <f>"76054"</f>
        <v>76054</v>
      </c>
      <c r="C15972" s="1">
        <v>1.7610175100534801E-3</v>
      </c>
      <c r="D15972" s="1">
        <v>3.11008516080731E-3</v>
      </c>
      <c r="E15972" s="1">
        <v>1.82563512709229E-3</v>
      </c>
      <c r="F15972" s="1">
        <v>1.8812863689976101E-3</v>
      </c>
    </row>
    <row r="15973" spans="1:6" x14ac:dyDescent="0.25">
      <c r="A15973" s="2" t="str">
        <f t="shared" si="576"/>
        <v>19100</v>
      </c>
      <c r="B15973" s="2" t="str">
        <f>"76060"</f>
        <v>76060</v>
      </c>
      <c r="C15973" s="1">
        <v>1.37643823447857E-3</v>
      </c>
      <c r="D15973" s="1">
        <v>2.1212215740711799E-3</v>
      </c>
      <c r="E15973" s="1">
        <v>1.6517651149882599E-3</v>
      </c>
      <c r="F15973" s="1">
        <v>1.4525837493417099E-3</v>
      </c>
    </row>
    <row r="15974" spans="1:6" x14ac:dyDescent="0.25">
      <c r="A15974" s="2" t="str">
        <f t="shared" si="576"/>
        <v>19100</v>
      </c>
      <c r="B15974" s="2" t="str">
        <f>"76094"</f>
        <v>76094</v>
      </c>
      <c r="C15974" s="1">
        <v>3.1596010231742499E-4</v>
      </c>
      <c r="D15974" s="1">
        <v>9.2647471691050302E-4</v>
      </c>
      <c r="E15974" s="1">
        <v>1.33746163156944E-5</v>
      </c>
      <c r="F15974" s="1">
        <v>3.56889490474967E-4</v>
      </c>
    </row>
    <row r="15975" spans="1:6" x14ac:dyDescent="0.25">
      <c r="A15975" s="2" t="str">
        <f t="shared" si="576"/>
        <v>19100</v>
      </c>
      <c r="B15975" s="2" t="str">
        <f>"76039"</f>
        <v>76039</v>
      </c>
      <c r="C15975" s="1">
        <v>5.9489704160910701E-3</v>
      </c>
      <c r="D15975" s="1">
        <v>2.64216863711513E-3</v>
      </c>
      <c r="E15975" s="1">
        <v>3.8318275744464499E-3</v>
      </c>
      <c r="F15975" s="1">
        <v>5.57449415267036E-3</v>
      </c>
    </row>
    <row r="15976" spans="1:6" x14ac:dyDescent="0.25">
      <c r="A15976" s="2" t="str">
        <f t="shared" si="576"/>
        <v>19100</v>
      </c>
      <c r="B15976" s="2" t="str">
        <f>"76040"</f>
        <v>76040</v>
      </c>
      <c r="C15976" s="1">
        <v>4.3963056684739503E-3</v>
      </c>
      <c r="D15976" s="1">
        <v>3.4625822753220799E-3</v>
      </c>
      <c r="E15976" s="1">
        <v>8.0849555628372902E-3</v>
      </c>
      <c r="F15976" s="1">
        <v>4.4649269029391099E-3</v>
      </c>
    </row>
    <row r="15977" spans="1:6" x14ac:dyDescent="0.25">
      <c r="A15977" s="2" t="str">
        <f t="shared" si="576"/>
        <v>19100</v>
      </c>
      <c r="B15977" s="2" t="str">
        <f>"76023"</f>
        <v>76023</v>
      </c>
      <c r="C15977" s="1">
        <v>8.6928016303915504E-4</v>
      </c>
      <c r="D15977" s="1">
        <v>3.9304987990142502E-4</v>
      </c>
      <c r="E15977" s="1">
        <v>4.7479887920715198E-4</v>
      </c>
      <c r="F15977" s="1">
        <v>8.1170597528757804E-4</v>
      </c>
    </row>
    <row r="15978" spans="1:6" x14ac:dyDescent="0.25">
      <c r="A15978" s="2" t="str">
        <f t="shared" si="576"/>
        <v>19100</v>
      </c>
      <c r="B15978" s="2" t="str">
        <f>"76028"</f>
        <v>76028</v>
      </c>
      <c r="C15978" s="1">
        <v>9.0493094259974892E-3</v>
      </c>
      <c r="D15978" s="1">
        <v>6.0049287207162199E-3</v>
      </c>
      <c r="E15978" s="1">
        <v>4.6811157104930503E-3</v>
      </c>
      <c r="F15978" s="1">
        <v>8.6061506857065696E-3</v>
      </c>
    </row>
    <row r="15979" spans="1:6" x14ac:dyDescent="0.25">
      <c r="A15979" s="2" t="str">
        <f t="shared" si="576"/>
        <v>19100</v>
      </c>
      <c r="B15979" s="2" t="str">
        <f>"76003"</f>
        <v>76003</v>
      </c>
      <c r="C15979" s="1">
        <v>9.7002558559446497E-4</v>
      </c>
      <c r="D15979" s="1">
        <v>2.58289921078079E-3</v>
      </c>
      <c r="E15979" s="1">
        <v>1.33746163156944E-5</v>
      </c>
      <c r="F15979" s="1">
        <v>1.07175654913976E-3</v>
      </c>
    </row>
    <row r="15980" spans="1:6" x14ac:dyDescent="0.25">
      <c r="A15980" s="2" t="str">
        <f t="shared" si="576"/>
        <v>19100</v>
      </c>
      <c r="B15980" s="2" t="str">
        <f>"76001"</f>
        <v>76001</v>
      </c>
      <c r="C15980" s="1">
        <v>3.5806732227088201E-3</v>
      </c>
      <c r="D15980" s="1">
        <v>1.6096328415010699E-3</v>
      </c>
      <c r="E15980" s="1">
        <v>1.6584524231461101E-3</v>
      </c>
      <c r="F15980" s="1">
        <v>3.3306058851947399E-3</v>
      </c>
    </row>
    <row r="15981" spans="1:6" x14ac:dyDescent="0.25">
      <c r="A15981" s="2" t="str">
        <f t="shared" si="576"/>
        <v>19100</v>
      </c>
      <c r="B15981" s="2" t="str">
        <f>"76015"</f>
        <v>76015</v>
      </c>
      <c r="C15981" s="1">
        <v>2.6898715916934602E-3</v>
      </c>
      <c r="D15981" s="1">
        <v>6.3886202701437999E-3</v>
      </c>
      <c r="E15981" s="1">
        <v>5.3565338344356197E-3</v>
      </c>
      <c r="F15981" s="1">
        <v>3.12087890565495E-3</v>
      </c>
    </row>
    <row r="15982" spans="1:6" x14ac:dyDescent="0.25">
      <c r="A15982" s="2" t="str">
        <f t="shared" si="576"/>
        <v>19100</v>
      </c>
      <c r="B15982" s="2" t="str">
        <f>"75423"</f>
        <v>75423</v>
      </c>
      <c r="C15982" s="1">
        <v>4.08284080882043E-4</v>
      </c>
      <c r="D15982" s="1">
        <v>3.7433321895373799E-5</v>
      </c>
      <c r="E15982" s="1">
        <v>6.0185773420624901E-5</v>
      </c>
      <c r="F15982" s="1">
        <v>3.6178584019184898E-4</v>
      </c>
    </row>
    <row r="15983" spans="1:6" x14ac:dyDescent="0.25">
      <c r="A15983" s="2" t="str">
        <f t="shared" si="576"/>
        <v>19100</v>
      </c>
      <c r="B15983" s="2" t="str">
        <f>"75370"</f>
        <v>75370</v>
      </c>
      <c r="C15983" s="1">
        <v>5.4084384740218699E-4</v>
      </c>
      <c r="D15983" s="1">
        <v>1.9902049474373701E-3</v>
      </c>
      <c r="E15983" s="1">
        <v>2.00619244735416E-5</v>
      </c>
      <c r="F15983" s="1">
        <v>6.4604614319973099E-4</v>
      </c>
    </row>
    <row r="15984" spans="1:6" x14ac:dyDescent="0.25">
      <c r="A15984" s="2" t="str">
        <f t="shared" si="576"/>
        <v>19100</v>
      </c>
      <c r="B15984" s="2" t="str">
        <f>"75225"</f>
        <v>75225</v>
      </c>
      <c r="C15984" s="1">
        <v>3.3542299509591198E-3</v>
      </c>
      <c r="D15984" s="1">
        <v>6.8534173503446904E-3</v>
      </c>
      <c r="E15984" s="1">
        <v>6.0118900339046497E-3</v>
      </c>
      <c r="F15984" s="1">
        <v>3.76746908771212E-3</v>
      </c>
    </row>
    <row r="15985" spans="1:6" x14ac:dyDescent="0.25">
      <c r="A15985" s="2" t="str">
        <f t="shared" si="576"/>
        <v>19100</v>
      </c>
      <c r="B15985" s="2" t="str">
        <f>"75224"</f>
        <v>75224</v>
      </c>
      <c r="C15985" s="1">
        <v>3.8252070037718701E-3</v>
      </c>
      <c r="D15985" s="1">
        <v>2.6764825155192302E-3</v>
      </c>
      <c r="E15985" s="1">
        <v>4.9954191939118701E-3</v>
      </c>
      <c r="F15985" s="1">
        <v>3.7726374568577102E-3</v>
      </c>
    </row>
    <row r="15986" spans="1:6" x14ac:dyDescent="0.25">
      <c r="A15986" s="2" t="str">
        <f t="shared" si="576"/>
        <v>19100</v>
      </c>
      <c r="B15986" s="2" t="str">
        <f>"75244"</f>
        <v>75244</v>
      </c>
      <c r="C15986" s="1">
        <v>1.8761105779262701E-3</v>
      </c>
      <c r="D15986" s="1">
        <v>6.9563589855569704E-3</v>
      </c>
      <c r="E15986" s="1">
        <v>3.0026013628733999E-3</v>
      </c>
      <c r="F15986" s="1">
        <v>2.3649369132540902E-3</v>
      </c>
    </row>
    <row r="15987" spans="1:6" x14ac:dyDescent="0.25">
      <c r="A15987" s="2" t="str">
        <f t="shared" si="576"/>
        <v>19100</v>
      </c>
      <c r="B15987" s="2" t="str">
        <f>"75234"</f>
        <v>75234</v>
      </c>
      <c r="C15987" s="1">
        <v>4.2568839846280496E-3</v>
      </c>
      <c r="D15987" s="1">
        <v>8.9309667155379399E-3</v>
      </c>
      <c r="E15987" s="1">
        <v>6.2392585112714498E-3</v>
      </c>
      <c r="F15987" s="1">
        <v>4.7451069145162603E-3</v>
      </c>
    </row>
    <row r="15988" spans="1:6" x14ac:dyDescent="0.25">
      <c r="A15988" s="2" t="str">
        <f t="shared" si="576"/>
        <v>19100</v>
      </c>
      <c r="B15988" s="2" t="str">
        <f>"75217"</f>
        <v>75217</v>
      </c>
      <c r="C15988" s="1">
        <v>8.1981197722716705E-3</v>
      </c>
      <c r="D15988" s="1">
        <v>5.2531428393174599E-3</v>
      </c>
      <c r="E15988" s="1">
        <v>5.7377103994329104E-3</v>
      </c>
      <c r="F15988" s="1">
        <v>7.8412320521580904E-3</v>
      </c>
    </row>
    <row r="15989" spans="1:6" x14ac:dyDescent="0.25">
      <c r="A15989" s="2" t="str">
        <f t="shared" ref="A15989:A16052" si="577">"19100"</f>
        <v>19100</v>
      </c>
      <c r="B15989" s="2" t="str">
        <f>"75167"</f>
        <v>75167</v>
      </c>
      <c r="C15989" s="1">
        <v>1.29752618523246E-3</v>
      </c>
      <c r="D15989" s="1">
        <v>2.09002713915837E-4</v>
      </c>
      <c r="E15989" s="1">
        <v>4.4136233841791603E-4</v>
      </c>
      <c r="F15989" s="1">
        <v>1.16777940747639E-3</v>
      </c>
    </row>
    <row r="15990" spans="1:6" x14ac:dyDescent="0.25">
      <c r="A15990" s="2" t="str">
        <f t="shared" si="577"/>
        <v>19100</v>
      </c>
      <c r="B15990" s="2" t="str">
        <f>"75211"</f>
        <v>75211</v>
      </c>
      <c r="C15990" s="1">
        <v>7.31386815324907E-3</v>
      </c>
      <c r="D15990" s="1">
        <v>4.5481486102879201E-3</v>
      </c>
      <c r="E15990" s="1">
        <v>6.2459458194292997E-3</v>
      </c>
      <c r="F15990" s="1">
        <v>7.0292540574417896E-3</v>
      </c>
    </row>
    <row r="15991" spans="1:6" x14ac:dyDescent="0.25">
      <c r="A15991" s="2" t="str">
        <f t="shared" si="577"/>
        <v>19100</v>
      </c>
      <c r="B15991" s="2" t="str">
        <f>"75214"</f>
        <v>75214</v>
      </c>
      <c r="C15991" s="1">
        <v>5.8809750534995599E-3</v>
      </c>
      <c r="D15991" s="1">
        <v>3.3284462051969901E-3</v>
      </c>
      <c r="E15991" s="1">
        <v>5.9918281094311103E-3</v>
      </c>
      <c r="F15991" s="1">
        <v>5.6629004670029504E-3</v>
      </c>
    </row>
    <row r="15992" spans="1:6" x14ac:dyDescent="0.25">
      <c r="A15992" s="2" t="str">
        <f t="shared" si="577"/>
        <v>19100</v>
      </c>
      <c r="B15992" s="2" t="str">
        <f>"75173"</f>
        <v>75173</v>
      </c>
      <c r="C15992" s="1">
        <v>8.1376101376718897E-4</v>
      </c>
      <c r="D15992" s="1">
        <v>1.8716660947686899E-4</v>
      </c>
      <c r="E15992" s="1">
        <v>6.0185773420624901E-5</v>
      </c>
      <c r="F15992" s="1">
        <v>7.2846803010058101E-4</v>
      </c>
    </row>
    <row r="15993" spans="1:6" x14ac:dyDescent="0.25">
      <c r="A15993" s="2" t="str">
        <f t="shared" si="577"/>
        <v>19100</v>
      </c>
      <c r="B15993" s="2" t="str">
        <f>"75172"</f>
        <v>75172</v>
      </c>
      <c r="C15993" s="1">
        <v>7.4701327250763401E-4</v>
      </c>
      <c r="D15993" s="1">
        <v>4.8039429765729701E-4</v>
      </c>
      <c r="E15993" s="1">
        <v>1.20371546841249E-4</v>
      </c>
      <c r="F15993" s="1">
        <v>6.9827387351314096E-4</v>
      </c>
    </row>
    <row r="15994" spans="1:6" x14ac:dyDescent="0.25">
      <c r="A15994" s="2" t="str">
        <f t="shared" si="577"/>
        <v>19100</v>
      </c>
      <c r="B15994" s="2" t="str">
        <f>"75089"</f>
        <v>75089</v>
      </c>
      <c r="C15994" s="1">
        <v>3.7257092025485099E-3</v>
      </c>
      <c r="D15994" s="1">
        <v>5.0846928907882804E-4</v>
      </c>
      <c r="E15994" s="1">
        <v>5.0823541999638804E-4</v>
      </c>
      <c r="F15994" s="1">
        <v>3.3142847194718001E-3</v>
      </c>
    </row>
    <row r="15995" spans="1:6" x14ac:dyDescent="0.25">
      <c r="A15995" s="2" t="str">
        <f t="shared" si="577"/>
        <v>19100</v>
      </c>
      <c r="B15995" s="2" t="str">
        <f>"75115"</f>
        <v>75115</v>
      </c>
      <c r="C15995" s="1">
        <v>6.6750860312884703E-3</v>
      </c>
      <c r="D15995" s="1">
        <v>4.2580403655987703E-3</v>
      </c>
      <c r="E15995" s="1">
        <v>2.5946755652447198E-3</v>
      </c>
      <c r="F15995" s="1">
        <v>6.2983378524827703E-3</v>
      </c>
    </row>
    <row r="15996" spans="1:6" x14ac:dyDescent="0.25">
      <c r="A15996" s="2" t="str">
        <f t="shared" si="577"/>
        <v>19100</v>
      </c>
      <c r="B15996" s="2" t="str">
        <f>"75044"</f>
        <v>75044</v>
      </c>
      <c r="C15996" s="1">
        <v>5.6127364671293804E-3</v>
      </c>
      <c r="D15996" s="1">
        <v>1.54412452818417E-3</v>
      </c>
      <c r="E15996" s="1">
        <v>7.0684847228445098E-3</v>
      </c>
      <c r="F15996" s="1">
        <v>5.3171637731053304E-3</v>
      </c>
    </row>
    <row r="15997" spans="1:6" x14ac:dyDescent="0.25">
      <c r="A15997" s="2" t="str">
        <f t="shared" si="577"/>
        <v>19100</v>
      </c>
      <c r="B15997" s="2" t="str">
        <f>"75040"</f>
        <v>75040</v>
      </c>
      <c r="C15997" s="1">
        <v>6.5930549287124699E-3</v>
      </c>
      <c r="D15997" s="1">
        <v>5.5619677449542998E-3</v>
      </c>
      <c r="E15997" s="1">
        <v>4.9887318857540202E-3</v>
      </c>
      <c r="F15997" s="1">
        <v>6.4378838194139101E-3</v>
      </c>
    </row>
    <row r="15998" spans="1:6" x14ac:dyDescent="0.25">
      <c r="A15998" s="2" t="str">
        <f t="shared" si="577"/>
        <v>19100</v>
      </c>
      <c r="B15998" s="2" t="str">
        <f>"75039"</f>
        <v>75039</v>
      </c>
      <c r="C15998" s="1">
        <v>4.3819580231564698E-3</v>
      </c>
      <c r="D15998" s="1">
        <v>3.9960071123311602E-3</v>
      </c>
      <c r="E15998" s="1">
        <v>6.4064412152176299E-3</v>
      </c>
      <c r="F15998" s="1">
        <v>4.4306524549209397E-3</v>
      </c>
    </row>
    <row r="15999" spans="1:6" x14ac:dyDescent="0.25">
      <c r="A15999" s="2" t="str">
        <f t="shared" si="577"/>
        <v>19100</v>
      </c>
      <c r="B15999" s="2" t="str">
        <f>"75052"</f>
        <v>75052</v>
      </c>
      <c r="C15999" s="1">
        <v>1.0152206683445001E-2</v>
      </c>
      <c r="D15999" s="1">
        <v>3.5935989019558901E-3</v>
      </c>
      <c r="E15999" s="1">
        <v>4.0792579762867999E-3</v>
      </c>
      <c r="F15999" s="1">
        <v>9.3332586186635706E-3</v>
      </c>
    </row>
    <row r="16000" spans="1:6" x14ac:dyDescent="0.25">
      <c r="A16000" s="2" t="str">
        <f t="shared" si="577"/>
        <v>19100</v>
      </c>
      <c r="B16000" s="2" t="str">
        <f>"75038"</f>
        <v>75038</v>
      </c>
      <c r="C16000" s="1">
        <v>4.6183822655618103E-3</v>
      </c>
      <c r="D16000" s="1">
        <v>4.49511807093614E-3</v>
      </c>
      <c r="E16000" s="1">
        <v>1.6176598433832401E-2</v>
      </c>
      <c r="F16000" s="1">
        <v>5.0777866758355298E-3</v>
      </c>
    </row>
    <row r="16001" spans="1:6" x14ac:dyDescent="0.25">
      <c r="A16001" s="2" t="str">
        <f t="shared" si="577"/>
        <v>19100</v>
      </c>
      <c r="B16001" s="2" t="str">
        <f>"75029"</f>
        <v>75029</v>
      </c>
      <c r="C16001" s="1">
        <v>6.9461317656555402E-4</v>
      </c>
      <c r="D16001" s="1">
        <v>1.50357176279751E-3</v>
      </c>
      <c r="E16001" s="1">
        <v>1.33746163156944E-5</v>
      </c>
      <c r="F16001" s="1">
        <v>7.3744467124819903E-4</v>
      </c>
    </row>
    <row r="16002" spans="1:6" x14ac:dyDescent="0.25">
      <c r="A16002" s="2" t="str">
        <f t="shared" si="577"/>
        <v>19100</v>
      </c>
      <c r="B16002" s="2" t="str">
        <f>"75014"</f>
        <v>75014</v>
      </c>
      <c r="C16002" s="1">
        <v>4.3292460218814001E-4</v>
      </c>
      <c r="D16002" s="1">
        <v>1.4505412234457301E-3</v>
      </c>
      <c r="E16002" s="1">
        <v>1.33746163156944E-5</v>
      </c>
      <c r="F16002" s="1">
        <v>5.0459604026758002E-4</v>
      </c>
    </row>
    <row r="16003" spans="1:6" x14ac:dyDescent="0.25">
      <c r="A16003" s="2" t="str">
        <f t="shared" si="577"/>
        <v>19100</v>
      </c>
      <c r="B16003" s="2" t="str">
        <f>"76626"</f>
        <v>76626</v>
      </c>
      <c r="C16003" s="1">
        <v>5.3023906608057501E-6</v>
      </c>
      <c r="D16003" s="1">
        <v>0</v>
      </c>
      <c r="E16003" s="1">
        <v>0</v>
      </c>
      <c r="F16003" s="1">
        <v>4.6243302881665001E-6</v>
      </c>
    </row>
    <row r="16004" spans="1:6" x14ac:dyDescent="0.25">
      <c r="A16004" s="2" t="str">
        <f t="shared" si="577"/>
        <v>19100</v>
      </c>
      <c r="B16004" s="2" t="str">
        <f>"76270"</f>
        <v>76270</v>
      </c>
      <c r="C16004" s="1">
        <v>1.17588310536692E-4</v>
      </c>
      <c r="D16004" s="1">
        <v>2.1836104438968001E-5</v>
      </c>
      <c r="E16004" s="1">
        <v>1.33746163156944E-5</v>
      </c>
      <c r="F16004" s="1">
        <v>1.04999499484251E-4</v>
      </c>
    </row>
    <row r="16005" spans="1:6" x14ac:dyDescent="0.25">
      <c r="A16005" s="2" t="str">
        <f t="shared" si="577"/>
        <v>19100</v>
      </c>
      <c r="B16005" s="2" t="str">
        <f>"76155"</f>
        <v>76155</v>
      </c>
      <c r="C16005" s="1">
        <v>1.5557838009469999E-3</v>
      </c>
      <c r="D16005" s="1">
        <v>1.2384190660386101E-3</v>
      </c>
      <c r="E16005" s="1">
        <v>3.0159759791890898E-3</v>
      </c>
      <c r="F16005" s="1">
        <v>1.5875053859846801E-3</v>
      </c>
    </row>
    <row r="16006" spans="1:6" x14ac:dyDescent="0.25">
      <c r="A16006" s="2" t="str">
        <f t="shared" si="577"/>
        <v>19100</v>
      </c>
      <c r="B16006" s="2" t="str">
        <f>"76132"</f>
        <v>76132</v>
      </c>
      <c r="C16006" s="1">
        <v>4.3953699524749796E-3</v>
      </c>
      <c r="D16006" s="1">
        <v>3.7058988676420099E-3</v>
      </c>
      <c r="E16006" s="1">
        <v>9.4157298862488793E-3</v>
      </c>
      <c r="F16006" s="1">
        <v>4.5394602264072102E-3</v>
      </c>
    </row>
    <row r="16007" spans="1:6" x14ac:dyDescent="0.25">
      <c r="A16007" s="2" t="str">
        <f t="shared" si="577"/>
        <v>19100</v>
      </c>
      <c r="B16007" s="2" t="str">
        <f>"76203"</f>
        <v>76203</v>
      </c>
      <c r="C16007" s="1">
        <v>0</v>
      </c>
      <c r="D16007" s="1">
        <v>1.2477773965124601E-5</v>
      </c>
      <c r="E16007" s="1">
        <v>0</v>
      </c>
      <c r="F16007" s="1">
        <v>1.0880777148626999E-6</v>
      </c>
    </row>
    <row r="16008" spans="1:6" x14ac:dyDescent="0.25">
      <c r="A16008" s="2" t="str">
        <f t="shared" si="577"/>
        <v>19100</v>
      </c>
      <c r="B16008" s="2" t="str">
        <f>"76210"</f>
        <v>76210</v>
      </c>
      <c r="C16008" s="1">
        <v>5.3030144714717297E-3</v>
      </c>
      <c r="D16008" s="1">
        <v>2.0993854696322099E-3</v>
      </c>
      <c r="E16008" s="1">
        <v>2.8554805834007601E-3</v>
      </c>
      <c r="F16008" s="1">
        <v>4.9240956986111696E-3</v>
      </c>
    </row>
    <row r="16009" spans="1:6" x14ac:dyDescent="0.25">
      <c r="A16009" s="2" t="str">
        <f t="shared" si="577"/>
        <v>19100</v>
      </c>
      <c r="B16009" s="2" t="str">
        <f>"76126"</f>
        <v>76126</v>
      </c>
      <c r="C16009" s="1">
        <v>3.8214641397759999E-3</v>
      </c>
      <c r="D16009" s="1">
        <v>2.68584084599307E-3</v>
      </c>
      <c r="E16009" s="1">
        <v>3.0092886710312398E-3</v>
      </c>
      <c r="F16009" s="1">
        <v>3.68939951167072E-3</v>
      </c>
    </row>
    <row r="16010" spans="1:6" x14ac:dyDescent="0.25">
      <c r="A16010" s="2" t="str">
        <f t="shared" si="577"/>
        <v>19100</v>
      </c>
      <c r="B16010" s="2" t="str">
        <f>"76120"</f>
        <v>76120</v>
      </c>
      <c r="C16010" s="1">
        <v>2.7644169662777301E-3</v>
      </c>
      <c r="D16010" s="1">
        <v>1.1947468571606799E-3</v>
      </c>
      <c r="E16010" s="1">
        <v>4.3668122270742304E-3</v>
      </c>
      <c r="F16010" s="1">
        <v>2.6927203248564798E-3</v>
      </c>
    </row>
    <row r="16011" spans="1:6" x14ac:dyDescent="0.25">
      <c r="A16011" s="2" t="str">
        <f t="shared" si="577"/>
        <v>19100</v>
      </c>
      <c r="B16011" s="2" t="str">
        <f>"76117"</f>
        <v>76117</v>
      </c>
      <c r="C16011" s="1">
        <v>3.9995620849124797E-3</v>
      </c>
      <c r="D16011" s="1">
        <v>5.69610381507938E-3</v>
      </c>
      <c r="E16011" s="1">
        <v>5.1091034325952698E-3</v>
      </c>
      <c r="F16011" s="1">
        <v>4.1926354547947202E-3</v>
      </c>
    </row>
    <row r="16012" spans="1:6" x14ac:dyDescent="0.25">
      <c r="A16012" s="2" t="str">
        <f t="shared" si="577"/>
        <v>19100</v>
      </c>
      <c r="B16012" s="2" t="str">
        <f>"76082"</f>
        <v>76082</v>
      </c>
      <c r="C16012" s="1">
        <v>2.6437096024111502E-3</v>
      </c>
      <c r="D16012" s="1">
        <v>1.2446579530211799E-3</v>
      </c>
      <c r="E16012" s="1">
        <v>7.4897851367888802E-4</v>
      </c>
      <c r="F16012" s="1">
        <v>2.4446386058677798E-3</v>
      </c>
    </row>
    <row r="16013" spans="1:6" x14ac:dyDescent="0.25">
      <c r="A16013" s="2" t="str">
        <f t="shared" si="577"/>
        <v>19100</v>
      </c>
      <c r="B16013" s="2" t="str">
        <f>"76113"</f>
        <v>76113</v>
      </c>
      <c r="C16013" s="1">
        <v>2.0398608777452701E-4</v>
      </c>
      <c r="D16013" s="1">
        <v>5.8021648937829401E-4</v>
      </c>
      <c r="E16013" s="1">
        <v>1.33746163156944E-5</v>
      </c>
      <c r="F16013" s="1">
        <v>2.2904035897859901E-4</v>
      </c>
    </row>
    <row r="16014" spans="1:6" x14ac:dyDescent="0.25">
      <c r="A16014" s="2" t="str">
        <f t="shared" si="577"/>
        <v>19100</v>
      </c>
      <c r="B16014" s="2" t="str">
        <f>"76101"</f>
        <v>76101</v>
      </c>
      <c r="C16014" s="1">
        <v>2.18957543757978E-4</v>
      </c>
      <c r="D16014" s="1">
        <v>1.5378856412016E-3</v>
      </c>
      <c r="E16014" s="1">
        <v>1.33746163156944E-5</v>
      </c>
      <c r="F16014" s="1">
        <v>3.2560725617266397E-4</v>
      </c>
    </row>
    <row r="16015" spans="1:6" x14ac:dyDescent="0.25">
      <c r="A16015" s="2" t="str">
        <f t="shared" si="577"/>
        <v>19100</v>
      </c>
      <c r="B16015" s="2" t="str">
        <f>"76110"</f>
        <v>76110</v>
      </c>
      <c r="C16015" s="1">
        <v>3.8822856797087798E-3</v>
      </c>
      <c r="D16015" s="1">
        <v>4.6417319150263503E-3</v>
      </c>
      <c r="E16015" s="1">
        <v>5.2963480610149901E-3</v>
      </c>
      <c r="F16015" s="1">
        <v>4.0060301266957596E-3</v>
      </c>
    </row>
    <row r="16016" spans="1:6" x14ac:dyDescent="0.25">
      <c r="A16016" s="2" t="str">
        <f t="shared" si="577"/>
        <v>19100</v>
      </c>
      <c r="B16016" s="2" t="str">
        <f>"76058"</f>
        <v>76058</v>
      </c>
      <c r="C16016" s="1">
        <v>2.5242498598765199E-3</v>
      </c>
      <c r="D16016" s="1">
        <v>8.8904139501512903E-4</v>
      </c>
      <c r="E16016" s="1">
        <v>8.4928813604659697E-4</v>
      </c>
      <c r="F16016" s="1">
        <v>2.3135252412268201E-3</v>
      </c>
    </row>
    <row r="16017" spans="1:6" x14ac:dyDescent="0.25">
      <c r="A16017" s="2" t="str">
        <f t="shared" si="577"/>
        <v>19100</v>
      </c>
      <c r="B16017" s="2" t="str">
        <f>"76052"</f>
        <v>76052</v>
      </c>
      <c r="C16017" s="1">
        <v>3.1664629405E-3</v>
      </c>
      <c r="D16017" s="1">
        <v>2.1617743394578399E-3</v>
      </c>
      <c r="E16017" s="1">
        <v>7.4229120552104101E-4</v>
      </c>
      <c r="F16017" s="1">
        <v>2.9802448610089498E-3</v>
      </c>
    </row>
    <row r="16018" spans="1:6" x14ac:dyDescent="0.25">
      <c r="A16018" s="2" t="str">
        <f t="shared" si="577"/>
        <v>19100</v>
      </c>
      <c r="B16018" s="2" t="str">
        <f>"76097"</f>
        <v>76097</v>
      </c>
      <c r="C16018" s="1">
        <v>5.5955816738150095E-4</v>
      </c>
      <c r="D16018" s="1">
        <v>1.89038275571638E-3</v>
      </c>
      <c r="E16018" s="1">
        <v>1.33746163156944E-5</v>
      </c>
      <c r="F16018" s="1">
        <v>6.5339066777505498E-4</v>
      </c>
    </row>
    <row r="16019" spans="1:6" x14ac:dyDescent="0.25">
      <c r="A16019" s="2" t="str">
        <f t="shared" si="577"/>
        <v>19100</v>
      </c>
      <c r="B16019" s="2" t="str">
        <f>"76051"</f>
        <v>76051</v>
      </c>
      <c r="C16019" s="1">
        <v>6.9611032216389899E-3</v>
      </c>
      <c r="D16019" s="1">
        <v>9.0900583335932796E-3</v>
      </c>
      <c r="E16019" s="1">
        <v>7.6302186081036796E-3</v>
      </c>
      <c r="F16019" s="1">
        <v>7.1739683935185296E-3</v>
      </c>
    </row>
    <row r="16020" spans="1:6" x14ac:dyDescent="0.25">
      <c r="A16020" s="2" t="str">
        <f t="shared" si="577"/>
        <v>19100</v>
      </c>
      <c r="B16020" s="2" t="str">
        <f>"76022"</f>
        <v>76022</v>
      </c>
      <c r="C16020" s="1">
        <v>1.99962508978974E-3</v>
      </c>
      <c r="D16020" s="1">
        <v>2.1992076613532099E-3</v>
      </c>
      <c r="E16020" s="1">
        <v>3.7181433357630499E-3</v>
      </c>
      <c r="F16020" s="1">
        <v>2.0869330571066701E-3</v>
      </c>
    </row>
    <row r="16021" spans="1:6" x14ac:dyDescent="0.25">
      <c r="A16021" s="2" t="str">
        <f t="shared" si="577"/>
        <v>19100</v>
      </c>
      <c r="B16021" s="2" t="str">
        <f>"76020"</f>
        <v>76020</v>
      </c>
      <c r="C16021" s="1">
        <v>4.2958721512516198E-3</v>
      </c>
      <c r="D16021" s="1">
        <v>2.3707770533736702E-3</v>
      </c>
      <c r="E16021" s="1">
        <v>3.2299698402402E-3</v>
      </c>
      <c r="F16021" s="1">
        <v>4.0846437415945902E-3</v>
      </c>
    </row>
    <row r="16022" spans="1:6" x14ac:dyDescent="0.25">
      <c r="A16022" s="2" t="str">
        <f t="shared" si="577"/>
        <v>19100</v>
      </c>
      <c r="B16022" s="2" t="str">
        <f>"76002"</f>
        <v>76002</v>
      </c>
      <c r="C16022" s="1">
        <v>3.21137730845035E-3</v>
      </c>
      <c r="D16022" s="1">
        <v>5.42783167482921E-4</v>
      </c>
      <c r="E16022" s="1">
        <v>3.67801948681597E-4</v>
      </c>
      <c r="F16022" s="1">
        <v>2.8630044872324902E-3</v>
      </c>
    </row>
    <row r="16023" spans="1:6" x14ac:dyDescent="0.25">
      <c r="A16023" s="2" t="str">
        <f t="shared" si="577"/>
        <v>19100</v>
      </c>
      <c r="B16023" s="2" t="str">
        <f>"75469"</f>
        <v>75469</v>
      </c>
      <c r="C16023" s="1">
        <v>4.9904853278171798E-6</v>
      </c>
      <c r="D16023" s="1">
        <v>0</v>
      </c>
      <c r="E16023" s="1">
        <v>0</v>
      </c>
      <c r="F16023" s="1">
        <v>4.3523108594508201E-6</v>
      </c>
    </row>
    <row r="16024" spans="1:6" x14ac:dyDescent="0.25">
      <c r="A16024" s="2" t="str">
        <f t="shared" si="577"/>
        <v>19100</v>
      </c>
      <c r="B16024" s="2" t="str">
        <f>"75495"</f>
        <v>75495</v>
      </c>
      <c r="C16024" s="1">
        <v>4.4290557284377497E-5</v>
      </c>
      <c r="D16024" s="1">
        <v>1.2477773965124601E-5</v>
      </c>
      <c r="E16024" s="1">
        <v>0</v>
      </c>
      <c r="F16024" s="1">
        <v>3.9714836592488698E-5</v>
      </c>
    </row>
    <row r="16025" spans="1:6" x14ac:dyDescent="0.25">
      <c r="A16025" s="2" t="str">
        <f t="shared" si="577"/>
        <v>19100</v>
      </c>
      <c r="B16025" s="2" t="str">
        <f>"75485"</f>
        <v>75485</v>
      </c>
      <c r="C16025" s="1">
        <v>0</v>
      </c>
      <c r="D16025" s="1">
        <v>0</v>
      </c>
      <c r="E16025" s="1">
        <v>6.6873081578472203E-6</v>
      </c>
      <c r="F16025" s="1">
        <v>2.7201942871567599E-7</v>
      </c>
    </row>
    <row r="16026" spans="1:6" x14ac:dyDescent="0.25">
      <c r="A16026" s="2" t="str">
        <f t="shared" si="577"/>
        <v>19100</v>
      </c>
      <c r="B16026" s="2" t="str">
        <f>"75367"</f>
        <v>75367</v>
      </c>
      <c r="C16026" s="1">
        <v>1.34743103851063E-4</v>
      </c>
      <c r="D16026" s="1">
        <v>1.3725551361637E-3</v>
      </c>
      <c r="E16026" s="1">
        <v>1.33746163156944E-5</v>
      </c>
      <c r="F16026" s="1">
        <v>2.3774498069750101E-4</v>
      </c>
    </row>
    <row r="16027" spans="1:6" x14ac:dyDescent="0.25">
      <c r="A16027" s="2" t="str">
        <f t="shared" si="577"/>
        <v>19100</v>
      </c>
      <c r="B16027" s="2" t="str">
        <f>"75357"</f>
        <v>75357</v>
      </c>
      <c r="C16027" s="1">
        <v>4.21384104867563E-4</v>
      </c>
      <c r="D16027" s="1">
        <v>8.3913029915462999E-4</v>
      </c>
      <c r="E16027" s="1">
        <v>1.33746163156944E-5</v>
      </c>
      <c r="F16027" s="1">
        <v>4.4121551337682701E-4</v>
      </c>
    </row>
    <row r="16028" spans="1:6" x14ac:dyDescent="0.25">
      <c r="A16028" s="2" t="str">
        <f t="shared" si="577"/>
        <v>19100</v>
      </c>
      <c r="B16028" s="2" t="str">
        <f>"75380"</f>
        <v>75380</v>
      </c>
      <c r="C16028" s="1">
        <v>4.6692228348389498E-4</v>
      </c>
      <c r="D16028" s="1">
        <v>1.5815578500795401E-3</v>
      </c>
      <c r="E16028" s="1">
        <v>1.33746163156944E-5</v>
      </c>
      <c r="F16028" s="1">
        <v>5.4567097400364699E-4</v>
      </c>
    </row>
    <row r="16029" spans="1:6" x14ac:dyDescent="0.25">
      <c r="A16029" s="2" t="str">
        <f t="shared" si="577"/>
        <v>19100</v>
      </c>
      <c r="B16029" s="2" t="str">
        <f>"75374"</f>
        <v>75374</v>
      </c>
      <c r="C16029" s="1">
        <v>4.7004133681378003E-4</v>
      </c>
      <c r="D16029" s="1">
        <v>1.42558567551548E-3</v>
      </c>
      <c r="E16029" s="1">
        <v>1.33746163156944E-5</v>
      </c>
      <c r="F16029" s="1">
        <v>5.3479019685501996E-4</v>
      </c>
    </row>
    <row r="16030" spans="1:6" x14ac:dyDescent="0.25">
      <c r="A16030" s="2" t="str">
        <f t="shared" si="577"/>
        <v>19100</v>
      </c>
      <c r="B16030" s="2" t="str">
        <f>"75336"</f>
        <v>75336</v>
      </c>
      <c r="C16030" s="1">
        <v>2.3580043173936099E-4</v>
      </c>
      <c r="D16030" s="1">
        <v>3.8057210593630002E-4</v>
      </c>
      <c r="E16030" s="1">
        <v>1.33746163156944E-5</v>
      </c>
      <c r="F16030" s="1">
        <v>2.3937709726979501E-4</v>
      </c>
    </row>
    <row r="16031" spans="1:6" x14ac:dyDescent="0.25">
      <c r="A16031" s="2" t="str">
        <f t="shared" si="577"/>
        <v>19100</v>
      </c>
      <c r="B16031" s="2" t="str">
        <f>"75251"</f>
        <v>75251</v>
      </c>
      <c r="C16031" s="1">
        <v>8.8581114568755004E-4</v>
      </c>
      <c r="D16031" s="1">
        <v>2.4144492622516101E-3</v>
      </c>
      <c r="E16031" s="1">
        <v>3.34365407892361E-3</v>
      </c>
      <c r="F16031" s="1">
        <v>1.1190879297362901E-3</v>
      </c>
    </row>
    <row r="16032" spans="1:6" x14ac:dyDescent="0.25">
      <c r="A16032" s="2" t="str">
        <f t="shared" si="577"/>
        <v>19100</v>
      </c>
      <c r="B16032" s="2" t="str">
        <f>"75250"</f>
        <v>75250</v>
      </c>
      <c r="C16032" s="1">
        <v>8.1095386577029196E-6</v>
      </c>
      <c r="D16032" s="1">
        <v>2.4955547930249202E-5</v>
      </c>
      <c r="E16032" s="1">
        <v>1.33746163156944E-5</v>
      </c>
      <c r="F16032" s="1">
        <v>9.7926994337643501E-6</v>
      </c>
    </row>
    <row r="16033" spans="1:6" x14ac:dyDescent="0.25">
      <c r="A16033" s="2" t="str">
        <f t="shared" si="577"/>
        <v>19100</v>
      </c>
      <c r="B16033" s="2" t="str">
        <f>"75254"</f>
        <v>75254</v>
      </c>
      <c r="C16033" s="1">
        <v>4.0594479088462898E-3</v>
      </c>
      <c r="D16033" s="1">
        <v>4.9911095860498403E-3</v>
      </c>
      <c r="E16033" s="1">
        <v>6.09213773179881E-3</v>
      </c>
      <c r="F16033" s="1">
        <v>4.2233736502395904E-3</v>
      </c>
    </row>
    <row r="16034" spans="1:6" x14ac:dyDescent="0.25">
      <c r="A16034" s="2" t="str">
        <f t="shared" si="577"/>
        <v>19100</v>
      </c>
      <c r="B16034" s="2" t="str">
        <f>"75243"</f>
        <v>75243</v>
      </c>
      <c r="C16034" s="1">
        <v>9.4086243696003304E-3</v>
      </c>
      <c r="D16034" s="1">
        <v>9.8356053280094797E-3</v>
      </c>
      <c r="E16034" s="1">
        <v>9.5762252820372207E-3</v>
      </c>
      <c r="F16034" s="1">
        <v>9.4526751478697605E-3</v>
      </c>
    </row>
    <row r="16035" spans="1:6" x14ac:dyDescent="0.25">
      <c r="A16035" s="2" t="str">
        <f t="shared" si="577"/>
        <v>19100</v>
      </c>
      <c r="B16035" s="2" t="str">
        <f>"75242"</f>
        <v>75242</v>
      </c>
      <c r="C16035" s="1">
        <v>3.11905332988573E-7</v>
      </c>
      <c r="D16035" s="1">
        <v>2.6515269675889803E-4</v>
      </c>
      <c r="E16035" s="1">
        <v>7.3560389736319396E-5</v>
      </c>
      <c r="F16035" s="1">
        <v>2.6385884585420601E-5</v>
      </c>
    </row>
    <row r="16036" spans="1:6" x14ac:dyDescent="0.25">
      <c r="A16036" s="2" t="str">
        <f t="shared" si="577"/>
        <v>19100</v>
      </c>
      <c r="B16036" s="2" t="str">
        <f>"75233"</f>
        <v>75233</v>
      </c>
      <c r="C16036" s="1">
        <v>1.64218157818484E-3</v>
      </c>
      <c r="D16036" s="1">
        <v>7.2059144648594601E-4</v>
      </c>
      <c r="E16036" s="1">
        <v>3.8585768070778402E-3</v>
      </c>
      <c r="F16036" s="1">
        <v>1.6519739905903E-3</v>
      </c>
    </row>
    <row r="16037" spans="1:6" x14ac:dyDescent="0.25">
      <c r="A16037" s="2" t="str">
        <f t="shared" si="577"/>
        <v>19100</v>
      </c>
      <c r="B16037" s="2" t="str">
        <f>"75216"</f>
        <v>75216</v>
      </c>
      <c r="C16037" s="1">
        <v>6.1747898771747902E-3</v>
      </c>
      <c r="D16037" s="1">
        <v>3.9492154599619399E-3</v>
      </c>
      <c r="E16037" s="1">
        <v>2.9491028976106198E-3</v>
      </c>
      <c r="F16037" s="1">
        <v>5.8495057951018998E-3</v>
      </c>
    </row>
    <row r="16038" spans="1:6" x14ac:dyDescent="0.25">
      <c r="A16038" s="2" t="str">
        <f t="shared" si="577"/>
        <v>19100</v>
      </c>
      <c r="B16038" s="2" t="str">
        <f>"75165"</f>
        <v>75165</v>
      </c>
      <c r="C16038" s="1">
        <v>5.93524658143957E-3</v>
      </c>
      <c r="D16038" s="1">
        <v>5.1283650996662104E-3</v>
      </c>
      <c r="E16038" s="1">
        <v>3.5643352481325601E-3</v>
      </c>
      <c r="F16038" s="1">
        <v>5.7684440053446303E-3</v>
      </c>
    </row>
    <row r="16039" spans="1:6" x14ac:dyDescent="0.25">
      <c r="A16039" s="2" t="str">
        <f t="shared" si="577"/>
        <v>19100</v>
      </c>
      <c r="B16039" s="2" t="str">
        <f>"75206"</f>
        <v>75206</v>
      </c>
      <c r="C16039" s="1">
        <v>8.2692341881930708E-3</v>
      </c>
      <c r="D16039" s="1">
        <v>7.9826558941884698E-3</v>
      </c>
      <c r="E16039" s="1">
        <v>1.7975484328293299E-2</v>
      </c>
      <c r="F16039" s="1">
        <v>8.63906503658117E-3</v>
      </c>
    </row>
    <row r="16040" spans="1:6" x14ac:dyDescent="0.25">
      <c r="A16040" s="2" t="str">
        <f t="shared" si="577"/>
        <v>19100</v>
      </c>
      <c r="B16040" s="2" t="str">
        <f>"75147"</f>
        <v>75147</v>
      </c>
      <c r="C16040" s="1">
        <v>1.2192379466523301E-3</v>
      </c>
      <c r="D16040" s="1">
        <v>1.5378856412016E-3</v>
      </c>
      <c r="E16040" s="1">
        <v>4.2798772210222199E-4</v>
      </c>
      <c r="F16040" s="1">
        <v>1.2148387686442099E-3</v>
      </c>
    </row>
    <row r="16041" spans="1:6" x14ac:dyDescent="0.25">
      <c r="A16041" s="2" t="str">
        <f t="shared" si="577"/>
        <v>19100</v>
      </c>
      <c r="B16041" s="2" t="str">
        <f>"75132"</f>
        <v>75132</v>
      </c>
      <c r="C16041" s="1">
        <v>0</v>
      </c>
      <c r="D16041" s="1">
        <v>3.1194434912811502E-6</v>
      </c>
      <c r="E16041" s="1">
        <v>0</v>
      </c>
      <c r="F16041" s="1">
        <v>2.7201942871567599E-7</v>
      </c>
    </row>
    <row r="16042" spans="1:6" x14ac:dyDescent="0.25">
      <c r="A16042" s="2" t="str">
        <f t="shared" si="577"/>
        <v>19100</v>
      </c>
      <c r="B16042" s="2" t="str">
        <f>"75126"</f>
        <v>75126</v>
      </c>
      <c r="C16042" s="1">
        <v>7.2546061399812404E-3</v>
      </c>
      <c r="D16042" s="1">
        <v>4.24868203512493E-3</v>
      </c>
      <c r="E16042" s="1">
        <v>8.5597544420444398E-4</v>
      </c>
      <c r="F16042" s="1">
        <v>6.7322088412842696E-3</v>
      </c>
    </row>
    <row r="16043" spans="1:6" x14ac:dyDescent="0.25">
      <c r="A16043" s="2" t="str">
        <f t="shared" si="577"/>
        <v>19100</v>
      </c>
      <c r="B16043" s="2" t="str">
        <f>"75106"</f>
        <v>75106</v>
      </c>
      <c r="C16043" s="1">
        <v>6.4096545929151895E-4</v>
      </c>
      <c r="D16043" s="1">
        <v>2.36141872289983E-3</v>
      </c>
      <c r="E16043" s="1">
        <v>1.33746163156944E-5</v>
      </c>
      <c r="F16043" s="1">
        <v>7.6546267240591302E-4</v>
      </c>
    </row>
    <row r="16044" spans="1:6" x14ac:dyDescent="0.25">
      <c r="A16044" s="2" t="str">
        <f t="shared" si="577"/>
        <v>19100</v>
      </c>
      <c r="B16044" s="2" t="str">
        <f>"75071"</f>
        <v>75071</v>
      </c>
      <c r="C16044" s="1">
        <v>7.5646400409718796E-3</v>
      </c>
      <c r="D16044" s="1">
        <v>5.0659762298405899E-3</v>
      </c>
      <c r="E16044" s="1">
        <v>2.1265639941954102E-3</v>
      </c>
      <c r="F16044" s="1">
        <v>7.1255489352071398E-3</v>
      </c>
    </row>
    <row r="16045" spans="1:6" x14ac:dyDescent="0.25">
      <c r="A16045" s="2" t="str">
        <f t="shared" si="577"/>
        <v>19100</v>
      </c>
      <c r="B16045" s="2" t="str">
        <f>"75050"</f>
        <v>75050</v>
      </c>
      <c r="C16045" s="1">
        <v>5.2565405768564303E-3</v>
      </c>
      <c r="D16045" s="1">
        <v>7.8797142589761907E-3</v>
      </c>
      <c r="E16045" s="1">
        <v>9.0078040886201992E-3</v>
      </c>
      <c r="F16045" s="1">
        <v>5.6378746795611098E-3</v>
      </c>
    </row>
    <row r="16046" spans="1:6" x14ac:dyDescent="0.25">
      <c r="A16046" s="2" t="str">
        <f t="shared" si="577"/>
        <v>19100</v>
      </c>
      <c r="B16046" s="2" t="str">
        <f>"75048"</f>
        <v>75048</v>
      </c>
      <c r="C16046" s="1">
        <v>2.9344053727564999E-3</v>
      </c>
      <c r="D16046" s="1">
        <v>9.04638612471535E-4</v>
      </c>
      <c r="E16046" s="1">
        <v>9.2953583394076301E-4</v>
      </c>
      <c r="F16046" s="1">
        <v>2.6758551202761098E-3</v>
      </c>
    </row>
    <row r="16047" spans="1:6" x14ac:dyDescent="0.25">
      <c r="A16047" s="2" t="str">
        <f t="shared" si="577"/>
        <v>19100</v>
      </c>
      <c r="B16047" s="2" t="str">
        <f>"75065"</f>
        <v>75065</v>
      </c>
      <c r="C16047" s="1">
        <v>1.98371791780733E-3</v>
      </c>
      <c r="D16047" s="1">
        <v>1.9652493995071202E-3</v>
      </c>
      <c r="E16047" s="1">
        <v>9.0278660130937397E-4</v>
      </c>
      <c r="F16047" s="1">
        <v>1.93813842959919E-3</v>
      </c>
    </row>
    <row r="16048" spans="1:6" x14ac:dyDescent="0.25">
      <c r="A16048" s="2" t="str">
        <f t="shared" si="577"/>
        <v>19100</v>
      </c>
      <c r="B16048" s="2" t="str">
        <f>"75063"</f>
        <v>75063</v>
      </c>
      <c r="C16048" s="1">
        <v>6.2979924837052803E-3</v>
      </c>
      <c r="D16048" s="1">
        <v>6.3667841657048304E-3</v>
      </c>
      <c r="E16048" s="1">
        <v>1.4578331784106901E-2</v>
      </c>
      <c r="F16048" s="1">
        <v>6.6408103132358101E-3</v>
      </c>
    </row>
    <row r="16049" spans="1:6" x14ac:dyDescent="0.25">
      <c r="A16049" s="2" t="str">
        <f t="shared" si="577"/>
        <v>19100</v>
      </c>
      <c r="B16049" s="2" t="str">
        <f>"75060"</f>
        <v>75060</v>
      </c>
      <c r="C16049" s="1">
        <v>4.9580471731863699E-3</v>
      </c>
      <c r="D16049" s="1">
        <v>3.7558099635025101E-3</v>
      </c>
      <c r="E16049" s="1">
        <v>4.2263787557594397E-3</v>
      </c>
      <c r="F16049" s="1">
        <v>4.8234485099863701E-3</v>
      </c>
    </row>
    <row r="16050" spans="1:6" x14ac:dyDescent="0.25">
      <c r="A16050" s="2" t="str">
        <f t="shared" si="577"/>
        <v>19100</v>
      </c>
      <c r="B16050" s="2" t="str">
        <f>"75022"</f>
        <v>75022</v>
      </c>
      <c r="C16050" s="1">
        <v>2.9082053247854599E-3</v>
      </c>
      <c r="D16050" s="1">
        <v>1.4224662320242E-3</v>
      </c>
      <c r="E16050" s="1">
        <v>1.46452048656854E-3</v>
      </c>
      <c r="F16050" s="1">
        <v>2.7199222677280499E-3</v>
      </c>
    </row>
    <row r="16051" spans="1:6" x14ac:dyDescent="0.25">
      <c r="A16051" s="2" t="str">
        <f t="shared" si="577"/>
        <v>19100</v>
      </c>
      <c r="B16051" s="2" t="str">
        <f>"75030"</f>
        <v>75030</v>
      </c>
      <c r="C16051" s="1">
        <v>4.5912465015918001E-4</v>
      </c>
      <c r="D16051" s="1">
        <v>1.8779049817512501E-3</v>
      </c>
      <c r="E16051" s="1">
        <v>1.33746163156944E-5</v>
      </c>
      <c r="F16051" s="1">
        <v>5.6471233401374395E-4</v>
      </c>
    </row>
    <row r="16052" spans="1:6" x14ac:dyDescent="0.25">
      <c r="A16052" s="2" t="str">
        <f t="shared" si="577"/>
        <v>19100</v>
      </c>
      <c r="B16052" s="2" t="str">
        <f>"76651"</f>
        <v>76651</v>
      </c>
      <c r="C16052" s="1">
        <v>3.6212209159973402E-4</v>
      </c>
      <c r="D16052" s="1">
        <v>1.40374957107651E-4</v>
      </c>
      <c r="E16052" s="1">
        <v>2.47430401840347E-4</v>
      </c>
      <c r="F16052" s="1">
        <v>3.3812014989358498E-4</v>
      </c>
    </row>
    <row r="16053" spans="1:6" x14ac:dyDescent="0.25">
      <c r="A16053" s="2" t="str">
        <f t="shared" ref="A16053:A16116" si="578">"19100"</f>
        <v>19100</v>
      </c>
      <c r="B16053" s="2" t="str">
        <f>"76267"</f>
        <v>76267</v>
      </c>
      <c r="C16053" s="1">
        <v>0</v>
      </c>
      <c r="D16053" s="1">
        <v>0</v>
      </c>
      <c r="E16053" s="1">
        <v>6.6873081578472203E-6</v>
      </c>
      <c r="F16053" s="1">
        <v>2.7201942871567599E-7</v>
      </c>
    </row>
    <row r="16054" spans="1:6" x14ac:dyDescent="0.25">
      <c r="A16054" s="2" t="str">
        <f t="shared" si="578"/>
        <v>19100</v>
      </c>
      <c r="B16054" s="2" t="str">
        <f>"76490"</f>
        <v>76490</v>
      </c>
      <c r="C16054" s="1">
        <v>1.5907171982417201E-5</v>
      </c>
      <c r="D16054" s="1">
        <v>3.1194434912811502E-6</v>
      </c>
      <c r="E16054" s="1">
        <v>6.6873081578472203E-6</v>
      </c>
      <c r="F16054" s="1">
        <v>1.4417029721930799E-5</v>
      </c>
    </row>
    <row r="16055" spans="1:6" x14ac:dyDescent="0.25">
      <c r="A16055" s="2" t="str">
        <f t="shared" si="578"/>
        <v>19100</v>
      </c>
      <c r="B16055" s="2" t="str">
        <f>"76458"</f>
        <v>76458</v>
      </c>
      <c r="C16055" s="1">
        <v>7.1738226587372004E-6</v>
      </c>
      <c r="D16055" s="1">
        <v>3.1194434912811502E-6</v>
      </c>
      <c r="E16055" s="1">
        <v>0</v>
      </c>
      <c r="F16055" s="1">
        <v>6.5284662891762297E-6</v>
      </c>
    </row>
    <row r="16056" spans="1:6" x14ac:dyDescent="0.25">
      <c r="A16056" s="2" t="str">
        <f t="shared" si="578"/>
        <v>19100</v>
      </c>
      <c r="B16056" s="2" t="str">
        <f>"76262"</f>
        <v>76262</v>
      </c>
      <c r="C16056" s="1">
        <v>5.4511695046412997E-3</v>
      </c>
      <c r="D16056" s="1">
        <v>4.51383473188383E-3</v>
      </c>
      <c r="E16056" s="1">
        <v>1.8657589760393699E-3</v>
      </c>
      <c r="F16056" s="1">
        <v>5.2235890896271302E-3</v>
      </c>
    </row>
    <row r="16057" spans="1:6" x14ac:dyDescent="0.25">
      <c r="A16057" s="2" t="str">
        <f t="shared" si="578"/>
        <v>19100</v>
      </c>
      <c r="B16057" s="2" t="str">
        <f>"76259"</f>
        <v>76259</v>
      </c>
      <c r="C16057" s="1">
        <v>6.7246789792336505E-4</v>
      </c>
      <c r="D16057" s="1">
        <v>2.6203325326761701E-4</v>
      </c>
      <c r="E16057" s="1">
        <v>7.7572774631027696E-4</v>
      </c>
      <c r="F16057" s="1">
        <v>6.4087777405413403E-4</v>
      </c>
    </row>
    <row r="16058" spans="1:6" x14ac:dyDescent="0.25">
      <c r="A16058" s="2" t="str">
        <f t="shared" si="578"/>
        <v>19100</v>
      </c>
      <c r="B16058" s="2" t="str">
        <f>"76247"</f>
        <v>76247</v>
      </c>
      <c r="C16058" s="1">
        <v>1.82277476598522E-3</v>
      </c>
      <c r="D16058" s="1">
        <v>6.3012758523879305E-4</v>
      </c>
      <c r="E16058" s="1">
        <v>2.7417963447173599E-4</v>
      </c>
      <c r="F16058" s="1">
        <v>1.65578226259232E-3</v>
      </c>
    </row>
    <row r="16059" spans="1:6" x14ac:dyDescent="0.25">
      <c r="A16059" s="2" t="str">
        <f t="shared" si="578"/>
        <v>19100</v>
      </c>
      <c r="B16059" s="2" t="str">
        <f>"76136"</f>
        <v>76136</v>
      </c>
      <c r="C16059" s="1">
        <v>2.3829567440327001E-4</v>
      </c>
      <c r="D16059" s="1">
        <v>8.9216083850641005E-4</v>
      </c>
      <c r="E16059" s="1">
        <v>1.33746163156944E-5</v>
      </c>
      <c r="F16059" s="1">
        <v>2.8616443900889097E-4</v>
      </c>
    </row>
    <row r="16060" spans="1:6" x14ac:dyDescent="0.25">
      <c r="A16060" s="2" t="str">
        <f t="shared" si="578"/>
        <v>19100</v>
      </c>
      <c r="B16060" s="2" t="str">
        <f>"76190"</f>
        <v>76190</v>
      </c>
      <c r="C16060" s="1">
        <v>0</v>
      </c>
      <c r="D16060" s="1">
        <v>3.1194434912811502E-6</v>
      </c>
      <c r="E16060" s="1">
        <v>0</v>
      </c>
      <c r="F16060" s="1">
        <v>2.7201942871567599E-7</v>
      </c>
    </row>
    <row r="16061" spans="1:6" x14ac:dyDescent="0.25">
      <c r="A16061" s="2" t="str">
        <f t="shared" si="578"/>
        <v>19100</v>
      </c>
      <c r="B16061" s="2" t="str">
        <f>"76209"</f>
        <v>76209</v>
      </c>
      <c r="C16061" s="1">
        <v>3.5962684893582498E-3</v>
      </c>
      <c r="D16061" s="1">
        <v>1.25089684000374E-3</v>
      </c>
      <c r="E16061" s="1">
        <v>3.63789563786888E-3</v>
      </c>
      <c r="F16061" s="1">
        <v>3.39344237322806E-3</v>
      </c>
    </row>
    <row r="16062" spans="1:6" x14ac:dyDescent="0.25">
      <c r="A16062" s="2" t="str">
        <f t="shared" si="578"/>
        <v>19100</v>
      </c>
      <c r="B16062" s="2" t="str">
        <f>"76127"</f>
        <v>76127</v>
      </c>
      <c r="C16062" s="1">
        <v>2.9007195967937301E-5</v>
      </c>
      <c r="D16062" s="1">
        <v>6.2388869825623095E-5</v>
      </c>
      <c r="E16062" s="1">
        <v>1.20371546841249E-4</v>
      </c>
      <c r="F16062" s="1">
        <v>3.5634545161753602E-5</v>
      </c>
    </row>
    <row r="16063" spans="1:6" x14ac:dyDescent="0.25">
      <c r="A16063" s="2" t="str">
        <f t="shared" si="578"/>
        <v>19100</v>
      </c>
      <c r="B16063" s="2" t="str">
        <f>"76180"</f>
        <v>76180</v>
      </c>
      <c r="C16063" s="1">
        <v>5.22535004355757E-3</v>
      </c>
      <c r="D16063" s="1">
        <v>4.9162429422591001E-3</v>
      </c>
      <c r="E16063" s="1">
        <v>1.39965359743742E-2</v>
      </c>
      <c r="F16063" s="1">
        <v>5.5551807732315403E-3</v>
      </c>
    </row>
    <row r="16064" spans="1:6" x14ac:dyDescent="0.25">
      <c r="A16064" s="2" t="str">
        <f t="shared" si="578"/>
        <v>19100</v>
      </c>
      <c r="B16064" s="2" t="str">
        <f>"76182"</f>
        <v>76182</v>
      </c>
      <c r="C16064" s="1">
        <v>4.2281886939930999E-3</v>
      </c>
      <c r="D16064" s="1">
        <v>2.9665907602083701E-3</v>
      </c>
      <c r="E16064" s="1">
        <v>1.0632819970977001E-3</v>
      </c>
      <c r="F16064" s="1">
        <v>3.9894369415441099E-3</v>
      </c>
    </row>
    <row r="16065" spans="1:6" x14ac:dyDescent="0.25">
      <c r="A16065" s="2" t="str">
        <f t="shared" si="578"/>
        <v>19100</v>
      </c>
      <c r="B16065" s="2" t="str">
        <f>"76084"</f>
        <v>76084</v>
      </c>
      <c r="C16065" s="1">
        <v>1.1864878866885301E-3</v>
      </c>
      <c r="D16065" s="1">
        <v>2.90108244689147E-4</v>
      </c>
      <c r="E16065" s="1">
        <v>3.4105271605020801E-4</v>
      </c>
      <c r="F16065" s="1">
        <v>1.0739327045694901E-3</v>
      </c>
    </row>
    <row r="16066" spans="1:6" x14ac:dyDescent="0.25">
      <c r="A16066" s="2" t="str">
        <f t="shared" si="578"/>
        <v>19100</v>
      </c>
      <c r="B16066" s="2" t="str">
        <f>"76078"</f>
        <v>76078</v>
      </c>
      <c r="C16066" s="1">
        <v>1.1646545133793299E-3</v>
      </c>
      <c r="D16066" s="1">
        <v>4.5543874972704798E-4</v>
      </c>
      <c r="E16066" s="1">
        <v>2.7417963447173599E-4</v>
      </c>
      <c r="F16066" s="1">
        <v>1.06658817999416E-3</v>
      </c>
    </row>
    <row r="16067" spans="1:6" x14ac:dyDescent="0.25">
      <c r="A16067" s="2" t="str">
        <f t="shared" si="578"/>
        <v>19100</v>
      </c>
      <c r="B16067" s="2" t="str">
        <f>"76073"</f>
        <v>76073</v>
      </c>
      <c r="C16067" s="1">
        <v>7.7290141514568605E-4</v>
      </c>
      <c r="D16067" s="1">
        <v>1.3725551361637E-4</v>
      </c>
      <c r="E16067" s="1">
        <v>5.3498465262777701E-5</v>
      </c>
      <c r="F16067" s="1">
        <v>6.8820915465066105E-4</v>
      </c>
    </row>
    <row r="16068" spans="1:6" x14ac:dyDescent="0.25">
      <c r="A16068" s="2" t="str">
        <f t="shared" si="578"/>
        <v>19100</v>
      </c>
      <c r="B16068" s="2" t="str">
        <f>"76067"</f>
        <v>76067</v>
      </c>
      <c r="C16068" s="1">
        <v>5.1464379943114697E-5</v>
      </c>
      <c r="D16068" s="1">
        <v>2.5267492279377302E-4</v>
      </c>
      <c r="E16068" s="1">
        <v>6.6873081578472203E-5</v>
      </c>
      <c r="F16068" s="1">
        <v>6.9636973751213203E-5</v>
      </c>
    </row>
    <row r="16069" spans="1:6" x14ac:dyDescent="0.25">
      <c r="A16069" s="2" t="str">
        <f t="shared" si="578"/>
        <v>19100</v>
      </c>
      <c r="B16069" s="2" t="str">
        <f>"76061"</f>
        <v>76061</v>
      </c>
      <c r="C16069" s="1">
        <v>3.11905332988573E-7</v>
      </c>
      <c r="D16069" s="1">
        <v>0</v>
      </c>
      <c r="E16069" s="1">
        <v>0</v>
      </c>
      <c r="F16069" s="1">
        <v>2.7201942871567599E-7</v>
      </c>
    </row>
    <row r="16070" spans="1:6" x14ac:dyDescent="0.25">
      <c r="A16070" s="2" t="str">
        <f t="shared" si="578"/>
        <v>19100</v>
      </c>
      <c r="B16070" s="2" t="str">
        <f>"76066"</f>
        <v>76066</v>
      </c>
      <c r="C16070" s="1">
        <v>4.96241384784821E-4</v>
      </c>
      <c r="D16070" s="1">
        <v>2.3083881835480501E-4</v>
      </c>
      <c r="E16070" s="1">
        <v>9.3622314209861098E-5</v>
      </c>
      <c r="F16070" s="1">
        <v>4.5672062081362E-4</v>
      </c>
    </row>
    <row r="16071" spans="1:6" x14ac:dyDescent="0.25">
      <c r="A16071" s="2" t="str">
        <f t="shared" si="578"/>
        <v>19100</v>
      </c>
      <c r="B16071" s="2" t="str">
        <f>"76063"</f>
        <v>76063</v>
      </c>
      <c r="C16071" s="1">
        <v>8.9869283593997807E-3</v>
      </c>
      <c r="D16071" s="1">
        <v>9.1898805253142792E-3</v>
      </c>
      <c r="E16071" s="1">
        <v>4.5005583902311798E-3</v>
      </c>
      <c r="F16071" s="1">
        <v>8.8221341121068192E-3</v>
      </c>
    </row>
    <row r="16072" spans="1:6" x14ac:dyDescent="0.25">
      <c r="A16072" s="2" t="str">
        <f t="shared" si="578"/>
        <v>19100</v>
      </c>
      <c r="B16072" s="2" t="str">
        <f>"76111"</f>
        <v>76111</v>
      </c>
      <c r="C16072" s="1">
        <v>2.7438312143004801E-3</v>
      </c>
      <c r="D16072" s="1">
        <v>4.7010013413606999E-3</v>
      </c>
      <c r="E16072" s="1">
        <v>4.1528183660231198E-3</v>
      </c>
      <c r="F16072" s="1">
        <v>2.9718122587187598E-3</v>
      </c>
    </row>
    <row r="16073" spans="1:6" x14ac:dyDescent="0.25">
      <c r="A16073" s="2" t="str">
        <f t="shared" si="578"/>
        <v>19100</v>
      </c>
      <c r="B16073" s="2" t="str">
        <f>"76053"</f>
        <v>76053</v>
      </c>
      <c r="C16073" s="1">
        <v>4.4228176217779702E-3</v>
      </c>
      <c r="D16073" s="1">
        <v>6.2045731041582104E-3</v>
      </c>
      <c r="E16073" s="1">
        <v>5.7109611668015202E-3</v>
      </c>
      <c r="F16073" s="1">
        <v>4.6305867350269602E-3</v>
      </c>
    </row>
    <row r="16074" spans="1:6" x14ac:dyDescent="0.25">
      <c r="A16074" s="2" t="str">
        <f t="shared" si="578"/>
        <v>19100</v>
      </c>
      <c r="B16074" s="2" t="str">
        <f>"76009"</f>
        <v>76009</v>
      </c>
      <c r="C16074" s="1">
        <v>3.0859913645889499E-3</v>
      </c>
      <c r="D16074" s="1">
        <v>2.2428798702311499E-3</v>
      </c>
      <c r="E16074" s="1">
        <v>1.0298454563084699E-3</v>
      </c>
      <c r="F16074" s="1">
        <v>2.9288331889816802E-3</v>
      </c>
    </row>
    <row r="16075" spans="1:6" x14ac:dyDescent="0.25">
      <c r="A16075" s="2" t="str">
        <f t="shared" si="578"/>
        <v>19100</v>
      </c>
      <c r="B16075" s="2" t="str">
        <f>"76010"</f>
        <v>76010</v>
      </c>
      <c r="C16075" s="1">
        <v>6.6619860073029499E-3</v>
      </c>
      <c r="D16075" s="1">
        <v>6.0236453816639099E-3</v>
      </c>
      <c r="E16075" s="1">
        <v>1.7895236630399099E-2</v>
      </c>
      <c r="F16075" s="1">
        <v>7.0632564860312504E-3</v>
      </c>
    </row>
    <row r="16076" spans="1:6" x14ac:dyDescent="0.25">
      <c r="A16076" s="2" t="str">
        <f t="shared" si="578"/>
        <v>19100</v>
      </c>
      <c r="B16076" s="2" t="str">
        <f>"76036"</f>
        <v>76036</v>
      </c>
      <c r="C16076" s="1">
        <v>3.7160401372258699E-3</v>
      </c>
      <c r="D16076" s="1">
        <v>2.1118632435973401E-3</v>
      </c>
      <c r="E16076" s="1">
        <v>1.52470625998916E-3</v>
      </c>
      <c r="F16076" s="1">
        <v>3.4870170567062502E-3</v>
      </c>
    </row>
    <row r="16077" spans="1:6" x14ac:dyDescent="0.25">
      <c r="A16077" s="2" t="str">
        <f t="shared" si="578"/>
        <v>19100</v>
      </c>
      <c r="B16077" s="2" t="str">
        <f>"76035"</f>
        <v>76035</v>
      </c>
      <c r="C16077" s="1">
        <v>1.99931318445675E-4</v>
      </c>
      <c r="D16077" s="1">
        <v>2.0588327042455601E-4</v>
      </c>
      <c r="E16077" s="1">
        <v>8.6935006052013796E-5</v>
      </c>
      <c r="F16077" s="1">
        <v>1.9585398867528699E-4</v>
      </c>
    </row>
    <row r="16078" spans="1:6" x14ac:dyDescent="0.25">
      <c r="A16078" s="2" t="str">
        <f t="shared" si="578"/>
        <v>19100</v>
      </c>
      <c r="B16078" s="2" t="str">
        <f>"76017"</f>
        <v>76017</v>
      </c>
      <c r="C16078" s="1">
        <v>5.8154749335719604E-3</v>
      </c>
      <c r="D16078" s="1">
        <v>3.1974295785631799E-3</v>
      </c>
      <c r="E16078" s="1">
        <v>5.1559145897002003E-3</v>
      </c>
      <c r="F16078" s="1">
        <v>5.5603491423771396E-3</v>
      </c>
    </row>
    <row r="16079" spans="1:6" x14ac:dyDescent="0.25">
      <c r="A16079" s="2" t="str">
        <f t="shared" si="578"/>
        <v>19100</v>
      </c>
      <c r="B16079" s="2" t="str">
        <f>"76013"</f>
        <v>76013</v>
      </c>
      <c r="C16079" s="1">
        <v>4.6576823375183698E-3</v>
      </c>
      <c r="D16079" s="1">
        <v>6.3543063917397098E-3</v>
      </c>
      <c r="E16079" s="1">
        <v>9.5561633575636708E-3</v>
      </c>
      <c r="F16079" s="1">
        <v>5.0048854689397296E-3</v>
      </c>
    </row>
    <row r="16080" spans="1:6" x14ac:dyDescent="0.25">
      <c r="A16080" s="2" t="str">
        <f t="shared" si="578"/>
        <v>19100</v>
      </c>
      <c r="B16080" s="2" t="str">
        <f>"75454"</f>
        <v>75454</v>
      </c>
      <c r="C16080" s="1">
        <v>1.7688151433781999E-3</v>
      </c>
      <c r="D16080" s="1">
        <v>8.1417475122438096E-4</v>
      </c>
      <c r="E16080" s="1">
        <v>1.06996930525555E-4</v>
      </c>
      <c r="F16080" s="1">
        <v>1.6179715620008399E-3</v>
      </c>
    </row>
    <row r="16081" spans="1:6" x14ac:dyDescent="0.25">
      <c r="A16081" s="2" t="str">
        <f t="shared" si="578"/>
        <v>19100</v>
      </c>
      <c r="B16081" s="2" t="str">
        <f>"75474"</f>
        <v>75474</v>
      </c>
      <c r="C16081" s="1">
        <v>2.3742233947090202E-3</v>
      </c>
      <c r="D16081" s="1">
        <v>1.2384190660386101E-3</v>
      </c>
      <c r="E16081" s="1">
        <v>4.8817349552284699E-4</v>
      </c>
      <c r="F16081" s="1">
        <v>2.1984610228800898E-3</v>
      </c>
    </row>
    <row r="16082" spans="1:6" x14ac:dyDescent="0.25">
      <c r="A16082" s="2" t="str">
        <f t="shared" si="578"/>
        <v>19100</v>
      </c>
      <c r="B16082" s="2" t="str">
        <f>"75372"</f>
        <v>75372</v>
      </c>
      <c r="C16082" s="1">
        <v>1.5345742383037801E-4</v>
      </c>
      <c r="D16082" s="1">
        <v>2.8698880119786598E-4</v>
      </c>
      <c r="E16082" s="1">
        <v>1.33746163156944E-5</v>
      </c>
      <c r="F16082" s="1">
        <v>1.5940338522738601E-4</v>
      </c>
    </row>
    <row r="16083" spans="1:6" x14ac:dyDescent="0.25">
      <c r="A16083" s="2" t="str">
        <f t="shared" si="578"/>
        <v>19100</v>
      </c>
      <c r="B16083" s="2" t="str">
        <f>"75390"</f>
        <v>75390</v>
      </c>
      <c r="C16083" s="1">
        <v>0</v>
      </c>
      <c r="D16083" s="1">
        <v>1.8966216426989401E-3</v>
      </c>
      <c r="E16083" s="1">
        <v>0</v>
      </c>
      <c r="F16083" s="1">
        <v>1.6538781265913101E-4</v>
      </c>
    </row>
    <row r="16084" spans="1:6" x14ac:dyDescent="0.25">
      <c r="A16084" s="2" t="str">
        <f t="shared" si="578"/>
        <v>19100</v>
      </c>
      <c r="B16084" s="2" t="str">
        <f>"75378"</f>
        <v>75378</v>
      </c>
      <c r="C16084" s="1">
        <v>1.27881186525315E-5</v>
      </c>
      <c r="D16084" s="1">
        <v>3.11944349128115E-5</v>
      </c>
      <c r="E16084" s="1">
        <v>1.33746163156944E-5</v>
      </c>
      <c r="F16084" s="1">
        <v>1.4417029721930799E-5</v>
      </c>
    </row>
    <row r="16085" spans="1:6" x14ac:dyDescent="0.25">
      <c r="A16085" s="2" t="str">
        <f t="shared" si="578"/>
        <v>19100</v>
      </c>
      <c r="B16085" s="2" t="str">
        <f>"75270"</f>
        <v>75270</v>
      </c>
      <c r="C16085" s="1">
        <v>0</v>
      </c>
      <c r="D16085" s="1">
        <v>4.7727485416601599E-4</v>
      </c>
      <c r="E16085" s="1">
        <v>2.2068116920895801E-4</v>
      </c>
      <c r="F16085" s="1">
        <v>5.0595613741115803E-5</v>
      </c>
    </row>
    <row r="16086" spans="1:6" x14ac:dyDescent="0.25">
      <c r="A16086" s="2" t="str">
        <f t="shared" si="578"/>
        <v>19100</v>
      </c>
      <c r="B16086" s="2" t="str">
        <f>"75339"</f>
        <v>75339</v>
      </c>
      <c r="C16086" s="1">
        <v>2.95686255673168E-4</v>
      </c>
      <c r="D16086" s="1">
        <v>4.58558193218329E-4</v>
      </c>
      <c r="E16086" s="1">
        <v>1.33746163156944E-5</v>
      </c>
      <c r="F16086" s="1">
        <v>2.9840531330109699E-4</v>
      </c>
    </row>
    <row r="16087" spans="1:6" x14ac:dyDescent="0.25">
      <c r="A16087" s="2" t="str">
        <f t="shared" si="578"/>
        <v>19100</v>
      </c>
      <c r="B16087" s="2" t="str">
        <f>"75381"</f>
        <v>75381</v>
      </c>
      <c r="C16087" s="1">
        <v>4.40410330179866E-4</v>
      </c>
      <c r="D16087" s="1">
        <v>1.8435911033471599E-3</v>
      </c>
      <c r="E16087" s="1">
        <v>1.33746163156944E-5</v>
      </c>
      <c r="F16087" s="1">
        <v>5.4539895457493103E-4</v>
      </c>
    </row>
    <row r="16088" spans="1:6" x14ac:dyDescent="0.25">
      <c r="A16088" s="2" t="str">
        <f t="shared" si="578"/>
        <v>19100</v>
      </c>
      <c r="B16088" s="2" t="str">
        <f>"75355"</f>
        <v>75355</v>
      </c>
      <c r="C16088" s="1">
        <v>2.2332421841981799E-4</v>
      </c>
      <c r="D16088" s="1">
        <v>8.8592195152384801E-4</v>
      </c>
      <c r="E16088" s="1">
        <v>1.33746163156944E-5</v>
      </c>
      <c r="F16088" s="1">
        <v>2.7256346757310699E-4</v>
      </c>
    </row>
    <row r="16089" spans="1:6" x14ac:dyDescent="0.25">
      <c r="A16089" s="2" t="str">
        <f t="shared" si="578"/>
        <v>19100</v>
      </c>
      <c r="B16089" s="2" t="str">
        <f>"75354"</f>
        <v>75354</v>
      </c>
      <c r="C16089" s="1">
        <v>4.4290557284377502E-4</v>
      </c>
      <c r="D16089" s="1">
        <v>1.0637302305268701E-3</v>
      </c>
      <c r="E16089" s="1">
        <v>1.33746163156944E-5</v>
      </c>
      <c r="F16089" s="1">
        <v>4.7957025282573698E-4</v>
      </c>
    </row>
    <row r="16090" spans="1:6" x14ac:dyDescent="0.25">
      <c r="A16090" s="2" t="str">
        <f t="shared" si="578"/>
        <v>19100</v>
      </c>
      <c r="B16090" s="2" t="str">
        <f>"75287"</f>
        <v>75287</v>
      </c>
      <c r="C16090" s="1">
        <v>9.1388262565652092E-3</v>
      </c>
      <c r="D16090" s="1">
        <v>2.2428798702311499E-3</v>
      </c>
      <c r="E16090" s="1">
        <v>4.1528183660231198E-3</v>
      </c>
      <c r="F16090" s="1">
        <v>8.3346752958483299E-3</v>
      </c>
    </row>
    <row r="16091" spans="1:6" x14ac:dyDescent="0.25">
      <c r="A16091" s="2" t="str">
        <f t="shared" si="578"/>
        <v>19100</v>
      </c>
      <c r="B16091" s="2" t="str">
        <f>"75229"</f>
        <v>75229</v>
      </c>
      <c r="C16091" s="1">
        <v>4.17766003004895E-3</v>
      </c>
      <c r="D16091" s="1">
        <v>1.2533923947967599E-2</v>
      </c>
      <c r="E16091" s="1">
        <v>7.0082989494238803E-3</v>
      </c>
      <c r="F16091" s="1">
        <v>5.0214786540913802E-3</v>
      </c>
    </row>
    <row r="16092" spans="1:6" x14ac:dyDescent="0.25">
      <c r="A16092" s="2" t="str">
        <f t="shared" si="578"/>
        <v>19100</v>
      </c>
      <c r="B16092" s="2" t="str">
        <f>"75227"</f>
        <v>75227</v>
      </c>
      <c r="C16092" s="1">
        <v>6.0974373545936303E-3</v>
      </c>
      <c r="D16092" s="1">
        <v>3.62167389337742E-3</v>
      </c>
      <c r="E16092" s="1">
        <v>3.7983910336572202E-3</v>
      </c>
      <c r="F16092" s="1">
        <v>5.7880294042121604E-3</v>
      </c>
    </row>
    <row r="16093" spans="1:6" x14ac:dyDescent="0.25">
      <c r="A16093" s="2" t="str">
        <f t="shared" si="578"/>
        <v>19100</v>
      </c>
      <c r="B16093" s="2" t="str">
        <f>"75249"</f>
        <v>75249</v>
      </c>
      <c r="C16093" s="1">
        <v>1.5214742143182601E-3</v>
      </c>
      <c r="D16093" s="1">
        <v>1.02941635212278E-4</v>
      </c>
      <c r="E16093" s="1">
        <v>4.6811157104930502E-5</v>
      </c>
      <c r="F16093" s="1">
        <v>1.33779155042369E-3</v>
      </c>
    </row>
    <row r="16094" spans="1:6" x14ac:dyDescent="0.25">
      <c r="A16094" s="2" t="str">
        <f t="shared" si="578"/>
        <v>19100</v>
      </c>
      <c r="B16094" s="2" t="str">
        <f>"75238"</f>
        <v>75238</v>
      </c>
      <c r="C16094" s="1">
        <v>4.3230079152216296E-3</v>
      </c>
      <c r="D16094" s="1">
        <v>5.4995788751286698E-3</v>
      </c>
      <c r="E16094" s="1">
        <v>4.8616730307549302E-3</v>
      </c>
      <c r="F16094" s="1">
        <v>4.4475176595013101E-3</v>
      </c>
    </row>
    <row r="16095" spans="1:6" x14ac:dyDescent="0.25">
      <c r="A16095" s="2" t="str">
        <f t="shared" si="578"/>
        <v>19100</v>
      </c>
      <c r="B16095" s="2" t="str">
        <f>"75220"</f>
        <v>75220</v>
      </c>
      <c r="C16095" s="1">
        <v>5.2565405768564303E-3</v>
      </c>
      <c r="D16095" s="1">
        <v>7.2433477867548399E-3</v>
      </c>
      <c r="E16095" s="1">
        <v>1.1261426937814701E-2</v>
      </c>
      <c r="F16095" s="1">
        <v>5.6740532635802896E-3</v>
      </c>
    </row>
    <row r="16096" spans="1:6" x14ac:dyDescent="0.25">
      <c r="A16096" s="2" t="str">
        <f t="shared" si="578"/>
        <v>19100</v>
      </c>
      <c r="B16096" s="2" t="str">
        <f>"75219"</f>
        <v>75219</v>
      </c>
      <c r="C16096" s="1">
        <v>6.9707722869616299E-3</v>
      </c>
      <c r="D16096" s="1">
        <v>8.5285585051626707E-3</v>
      </c>
      <c r="E16096" s="1">
        <v>1.51601275938396E-2</v>
      </c>
      <c r="F16096" s="1">
        <v>7.4397313753737501E-3</v>
      </c>
    </row>
    <row r="16097" spans="1:6" x14ac:dyDescent="0.25">
      <c r="A16097" s="2" t="str">
        <f t="shared" si="578"/>
        <v>19100</v>
      </c>
      <c r="B16097" s="2" t="str">
        <f>"75223"</f>
        <v>75223</v>
      </c>
      <c r="C16097" s="1">
        <v>1.6075600862231101E-3</v>
      </c>
      <c r="D16097" s="1">
        <v>1.7032161462395101E-3</v>
      </c>
      <c r="E16097" s="1">
        <v>1.35083624788513E-3</v>
      </c>
      <c r="F16097" s="1">
        <v>1.60545866827992E-3</v>
      </c>
    </row>
    <row r="16098" spans="1:6" x14ac:dyDescent="0.25">
      <c r="A16098" s="2" t="str">
        <f t="shared" si="578"/>
        <v>19100</v>
      </c>
      <c r="B16098" s="2" t="str">
        <f>"75232"</f>
        <v>75232</v>
      </c>
      <c r="C16098" s="1">
        <v>3.33333229364889E-3</v>
      </c>
      <c r="D16098" s="1">
        <v>1.26337461396886E-3</v>
      </c>
      <c r="E16098" s="1">
        <v>3.4840875502383998E-3</v>
      </c>
      <c r="F16098" s="1">
        <v>3.1589616256751502E-3</v>
      </c>
    </row>
    <row r="16099" spans="1:6" x14ac:dyDescent="0.25">
      <c r="A16099" s="2" t="str">
        <f t="shared" si="578"/>
        <v>19100</v>
      </c>
      <c r="B16099" s="2" t="str">
        <f>"75154"</f>
        <v>75154</v>
      </c>
      <c r="C16099" s="1">
        <v>5.54380538853891E-3</v>
      </c>
      <c r="D16099" s="1">
        <v>3.7651682939763499E-3</v>
      </c>
      <c r="E16099" s="1">
        <v>1.29065047446451E-3</v>
      </c>
      <c r="F16099" s="1">
        <v>5.2157005261943799E-3</v>
      </c>
    </row>
    <row r="16100" spans="1:6" x14ac:dyDescent="0.25">
      <c r="A16100" s="2" t="str">
        <f t="shared" si="578"/>
        <v>19100</v>
      </c>
      <c r="B16100" s="2" t="str">
        <f>"75209"</f>
        <v>75209</v>
      </c>
      <c r="C16100" s="1">
        <v>2.5495141918486001E-3</v>
      </c>
      <c r="D16100" s="1">
        <v>2.1399382350188699E-3</v>
      </c>
      <c r="E16100" s="1">
        <v>2.1399386105111101E-3</v>
      </c>
      <c r="F16100" s="1">
        <v>2.4971383556099099E-3</v>
      </c>
    </row>
    <row r="16101" spans="1:6" x14ac:dyDescent="0.25">
      <c r="A16101" s="2" t="str">
        <f t="shared" si="578"/>
        <v>19100</v>
      </c>
      <c r="B16101" s="2" t="str">
        <f>"75203"</f>
        <v>75203</v>
      </c>
      <c r="C16101" s="1">
        <v>2.2510207881785301E-3</v>
      </c>
      <c r="D16101" s="1">
        <v>2.2678354181614002E-3</v>
      </c>
      <c r="E16101" s="1">
        <v>4.0792579762867999E-3</v>
      </c>
      <c r="F16101" s="1">
        <v>2.32685419323389E-3</v>
      </c>
    </row>
    <row r="16102" spans="1:6" x14ac:dyDescent="0.25">
      <c r="A16102" s="2" t="str">
        <f t="shared" si="578"/>
        <v>19100</v>
      </c>
      <c r="B16102" s="2" t="str">
        <f>"75207"</f>
        <v>75207</v>
      </c>
      <c r="C16102" s="1">
        <v>7.3983944984889701E-4</v>
      </c>
      <c r="D16102" s="1">
        <v>9.5111832049162397E-3</v>
      </c>
      <c r="E16102" s="1">
        <v>1.76544935367166E-3</v>
      </c>
      <c r="F16102" s="1">
        <v>1.54643045224862E-3</v>
      </c>
    </row>
    <row r="16103" spans="1:6" x14ac:dyDescent="0.25">
      <c r="A16103" s="2" t="str">
        <f t="shared" si="578"/>
        <v>19100</v>
      </c>
      <c r="B16103" s="2" t="str">
        <f>"75205"</f>
        <v>75205</v>
      </c>
      <c r="C16103" s="1">
        <v>3.6081208920118201E-3</v>
      </c>
      <c r="D16103" s="1">
        <v>3.49689615372617E-3</v>
      </c>
      <c r="E16103" s="1">
        <v>8.1183921036265191E-3</v>
      </c>
      <c r="F16103" s="1">
        <v>3.7818861174340498E-3</v>
      </c>
    </row>
    <row r="16104" spans="1:6" x14ac:dyDescent="0.25">
      <c r="A16104" s="2" t="str">
        <f t="shared" si="578"/>
        <v>19100</v>
      </c>
      <c r="B16104" s="2" t="str">
        <f>"75149"</f>
        <v>75149</v>
      </c>
      <c r="C16104" s="1">
        <v>6.3216972890124097E-3</v>
      </c>
      <c r="D16104" s="1">
        <v>4.5200736188663899E-3</v>
      </c>
      <c r="E16104" s="1">
        <v>5.0957288162795803E-3</v>
      </c>
      <c r="F16104" s="1">
        <v>6.1147247380996901E-3</v>
      </c>
    </row>
    <row r="16105" spans="1:6" x14ac:dyDescent="0.25">
      <c r="A16105" s="2" t="str">
        <f t="shared" si="578"/>
        <v>19100</v>
      </c>
      <c r="B16105" s="2" t="str">
        <f>"75187"</f>
        <v>75187</v>
      </c>
      <c r="C16105" s="1">
        <v>4.4321747817676298E-4</v>
      </c>
      <c r="D16105" s="1">
        <v>6.2076925476494901E-4</v>
      </c>
      <c r="E16105" s="1">
        <v>1.33746163156944E-5</v>
      </c>
      <c r="F16105" s="1">
        <v>4.4121551337682701E-4</v>
      </c>
    </row>
    <row r="16106" spans="1:6" x14ac:dyDescent="0.25">
      <c r="A16106" s="2" t="str">
        <f t="shared" si="578"/>
        <v>19100</v>
      </c>
      <c r="B16106" s="2" t="str">
        <f>"75201"</f>
        <v>75201</v>
      </c>
      <c r="C16106" s="1">
        <v>4.3083483645711702E-3</v>
      </c>
      <c r="D16106" s="1">
        <v>1.26337461396886E-2</v>
      </c>
      <c r="E16106" s="1">
        <v>7.4229120552104103E-3</v>
      </c>
      <c r="F16106" s="1">
        <v>5.1610246210225296E-3</v>
      </c>
    </row>
    <row r="16107" spans="1:6" x14ac:dyDescent="0.25">
      <c r="A16107" s="2" t="str">
        <f t="shared" si="578"/>
        <v>19100</v>
      </c>
      <c r="B16107" s="2" t="str">
        <f>"75142"</f>
        <v>75142</v>
      </c>
      <c r="C16107" s="1">
        <v>2.5576237305063002E-3</v>
      </c>
      <c r="D16107" s="1">
        <v>1.93093552110303E-3</v>
      </c>
      <c r="E16107" s="1">
        <v>7.4229120552104101E-4</v>
      </c>
      <c r="F16107" s="1">
        <v>2.42913349843099E-3</v>
      </c>
    </row>
    <row r="16108" spans="1:6" x14ac:dyDescent="0.25">
      <c r="A16108" s="2" t="str">
        <f t="shared" si="578"/>
        <v>19100</v>
      </c>
      <c r="B16108" s="2" t="str">
        <f>"75141"</f>
        <v>75141</v>
      </c>
      <c r="C16108" s="1">
        <v>7.86313344464194E-4</v>
      </c>
      <c r="D16108" s="1">
        <v>7.8298031631157E-4</v>
      </c>
      <c r="E16108" s="1">
        <v>7.3560389736319396E-5</v>
      </c>
      <c r="F16108" s="1">
        <v>7.5703007011572703E-4</v>
      </c>
    </row>
    <row r="16109" spans="1:6" x14ac:dyDescent="0.25">
      <c r="A16109" s="2" t="str">
        <f t="shared" si="578"/>
        <v>19100</v>
      </c>
      <c r="B16109" s="2" t="str">
        <f>"75138"</f>
        <v>75138</v>
      </c>
      <c r="C16109" s="1">
        <v>5.7359390736598699E-4</v>
      </c>
      <c r="D16109" s="1">
        <v>1.51293009327136E-3</v>
      </c>
      <c r="E16109" s="1">
        <v>1.33746163156944E-5</v>
      </c>
      <c r="F16109" s="1">
        <v>6.3271719119266303E-4</v>
      </c>
    </row>
    <row r="16110" spans="1:6" x14ac:dyDescent="0.25">
      <c r="A16110" s="2" t="str">
        <f t="shared" si="578"/>
        <v>19100</v>
      </c>
      <c r="B16110" s="2" t="str">
        <f>"75088"</f>
        <v>75088</v>
      </c>
      <c r="C16110" s="1">
        <v>2.9315982247595999E-3</v>
      </c>
      <c r="D16110" s="1">
        <v>3.2910128833016101E-3</v>
      </c>
      <c r="E16110" s="1">
        <v>1.73201281288243E-3</v>
      </c>
      <c r="F16110" s="1">
        <v>2.91414413983104E-3</v>
      </c>
    </row>
    <row r="16111" spans="1:6" x14ac:dyDescent="0.25">
      <c r="A16111" s="2" t="str">
        <f t="shared" si="578"/>
        <v>19100</v>
      </c>
      <c r="B16111" s="2" t="str">
        <f>"75121"</f>
        <v>75121</v>
      </c>
      <c r="C16111" s="1">
        <v>0</v>
      </c>
      <c r="D16111" s="1">
        <v>3.1194434912811502E-6</v>
      </c>
      <c r="E16111" s="1">
        <v>0</v>
      </c>
      <c r="F16111" s="1">
        <v>2.7201942871567599E-7</v>
      </c>
    </row>
    <row r="16112" spans="1:6" x14ac:dyDescent="0.25">
      <c r="A16112" s="2" t="str">
        <f t="shared" si="578"/>
        <v>19100</v>
      </c>
      <c r="B16112" s="2" t="str">
        <f>"75125"</f>
        <v>75125</v>
      </c>
      <c r="C16112" s="1">
        <v>9.9872087622941306E-4</v>
      </c>
      <c r="D16112" s="1">
        <v>7.8609975980285102E-4</v>
      </c>
      <c r="E16112" s="1">
        <v>1.8055732026187401E-4</v>
      </c>
      <c r="F16112" s="1">
        <v>9.4689963135926995E-4</v>
      </c>
    </row>
    <row r="16113" spans="1:6" x14ac:dyDescent="0.25">
      <c r="A16113" s="2" t="str">
        <f t="shared" si="578"/>
        <v>19100</v>
      </c>
      <c r="B16113" s="2" t="str">
        <f>"75123"</f>
        <v>75123</v>
      </c>
      <c r="C16113" s="1">
        <v>6.1008683132564995E-4</v>
      </c>
      <c r="D16113" s="1">
        <v>1.5628411891318501E-3</v>
      </c>
      <c r="E16113" s="1">
        <v>1.33746163156944E-5</v>
      </c>
      <c r="F16113" s="1">
        <v>6.6889577521184803E-4</v>
      </c>
    </row>
    <row r="16114" spans="1:6" x14ac:dyDescent="0.25">
      <c r="A16114" s="2" t="str">
        <f t="shared" si="578"/>
        <v>19100</v>
      </c>
      <c r="B16114" s="2" t="str">
        <f>"75137"</f>
        <v>75137</v>
      </c>
      <c r="C16114" s="1">
        <v>2.2734779721537098E-3</v>
      </c>
      <c r="D16114" s="1">
        <v>1.9090994166640601E-3</v>
      </c>
      <c r="E16114" s="1">
        <v>1.06996930525555E-3</v>
      </c>
      <c r="F16114" s="1">
        <v>2.1927486148770599E-3</v>
      </c>
    </row>
    <row r="16115" spans="1:6" x14ac:dyDescent="0.25">
      <c r="A16115" s="2" t="str">
        <f t="shared" si="578"/>
        <v>19100</v>
      </c>
      <c r="B16115" s="2" t="str">
        <f>"75098"</f>
        <v>75098</v>
      </c>
      <c r="C16115" s="1">
        <v>7.4922780037185296E-3</v>
      </c>
      <c r="D16115" s="1">
        <v>4.83825685497707E-3</v>
      </c>
      <c r="E16115" s="1">
        <v>2.80198211813798E-3</v>
      </c>
      <c r="F16115" s="1">
        <v>7.0700569717491498E-3</v>
      </c>
    </row>
    <row r="16116" spans="1:6" x14ac:dyDescent="0.25">
      <c r="A16116" s="2" t="str">
        <f t="shared" si="578"/>
        <v>19100</v>
      </c>
      <c r="B16116" s="2" t="str">
        <f>"75094"</f>
        <v>75094</v>
      </c>
      <c r="C16116" s="1">
        <v>2.4447139999644401E-3</v>
      </c>
      <c r="D16116" s="1">
        <v>2.2241632092834598E-3</v>
      </c>
      <c r="E16116" s="1">
        <v>5.8179580973270804E-4</v>
      </c>
      <c r="F16116" s="1">
        <v>2.3497038252460098E-3</v>
      </c>
    </row>
    <row r="16117" spans="1:6" x14ac:dyDescent="0.25">
      <c r="A16117" s="2" t="str">
        <f t="shared" ref="A16117:A16180" si="579">"19100"</f>
        <v>19100</v>
      </c>
      <c r="B16117" s="2" t="str">
        <f>"75068"</f>
        <v>75068</v>
      </c>
      <c r="C16117" s="1">
        <v>7.3154276799140099E-3</v>
      </c>
      <c r="D16117" s="1">
        <v>1.9652493995071202E-3</v>
      </c>
      <c r="E16117" s="1">
        <v>9.22848525782916E-4</v>
      </c>
      <c r="F16117" s="1">
        <v>6.5888546023511099E-3</v>
      </c>
    </row>
    <row r="16118" spans="1:6" x14ac:dyDescent="0.25">
      <c r="A16118" s="2" t="str">
        <f t="shared" si="579"/>
        <v>19100</v>
      </c>
      <c r="B16118" s="2" t="str">
        <f>"75056"</f>
        <v>75056</v>
      </c>
      <c r="C16118" s="1">
        <v>8.94606876077827E-3</v>
      </c>
      <c r="D16118" s="1">
        <v>4.7633902111863203E-3</v>
      </c>
      <c r="E16118" s="1">
        <v>4.6075553207567304E-3</v>
      </c>
      <c r="F16118" s="1">
        <v>8.4048563084569705E-3</v>
      </c>
    </row>
    <row r="16119" spans="1:6" x14ac:dyDescent="0.25">
      <c r="A16119" s="2" t="str">
        <f t="shared" si="579"/>
        <v>19100</v>
      </c>
      <c r="B16119" s="2" t="str">
        <f>"75054"</f>
        <v>75054</v>
      </c>
      <c r="C16119" s="1">
        <v>2.0039917644515798E-3</v>
      </c>
      <c r="D16119" s="1">
        <v>1.5628411891318501E-3</v>
      </c>
      <c r="E16119" s="1">
        <v>4.21300413944374E-4</v>
      </c>
      <c r="F16119" s="1">
        <v>1.90114378729386E-3</v>
      </c>
    </row>
    <row r="16120" spans="1:6" x14ac:dyDescent="0.25">
      <c r="A16120" s="2" t="str">
        <f t="shared" si="579"/>
        <v>19100</v>
      </c>
      <c r="B16120" s="2" t="str">
        <f>"75053"</f>
        <v>75053</v>
      </c>
      <c r="C16120" s="1">
        <v>7.6011329649315401E-4</v>
      </c>
      <c r="D16120" s="1">
        <v>1.6938578157656601E-3</v>
      </c>
      <c r="E16120" s="1">
        <v>2.67492326313888E-5</v>
      </c>
      <c r="F16120" s="1">
        <v>8.1170597528757804E-4</v>
      </c>
    </row>
    <row r="16121" spans="1:6" x14ac:dyDescent="0.25">
      <c r="A16121" s="2" t="str">
        <f t="shared" si="579"/>
        <v>19100</v>
      </c>
      <c r="B16121" s="2" t="str">
        <f>"75035"</f>
        <v>75035</v>
      </c>
      <c r="C16121" s="1">
        <v>8.6631706237576406E-3</v>
      </c>
      <c r="D16121" s="1">
        <v>3.0196212995601498E-3</v>
      </c>
      <c r="E16121" s="1">
        <v>1.13684238683402E-3</v>
      </c>
      <c r="F16121" s="1">
        <v>7.8648977424563508E-3</v>
      </c>
    </row>
    <row r="16122" spans="1:6" x14ac:dyDescent="0.25">
      <c r="A16122" s="2" t="str">
        <f t="shared" si="579"/>
        <v>19100</v>
      </c>
      <c r="B16122" s="2" t="str">
        <f>"75015"</f>
        <v>75015</v>
      </c>
      <c r="C16122" s="1">
        <v>3.96431678228477E-4</v>
      </c>
      <c r="D16122" s="1">
        <v>1.0762080044919901E-3</v>
      </c>
      <c r="E16122" s="1">
        <v>1.33746163156944E-5</v>
      </c>
      <c r="F16122" s="1">
        <v>4.4012743566196398E-4</v>
      </c>
    </row>
    <row r="16123" spans="1:6" x14ac:dyDescent="0.25">
      <c r="A16123" s="2" t="str">
        <f t="shared" si="579"/>
        <v>19100</v>
      </c>
      <c r="B16123" s="2" t="str">
        <f>"75011"</f>
        <v>75011</v>
      </c>
      <c r="C16123" s="1">
        <v>9.4413744295641304E-4</v>
      </c>
      <c r="D16123" s="1">
        <v>3.3003712137754599E-3</v>
      </c>
      <c r="E16123" s="1">
        <v>2.67492326313888E-5</v>
      </c>
      <c r="F16123" s="1">
        <v>1.1122874440184E-3</v>
      </c>
    </row>
    <row r="16124" spans="1:6" x14ac:dyDescent="0.25">
      <c r="A16124" s="2" t="str">
        <f t="shared" si="579"/>
        <v>19100</v>
      </c>
      <c r="B16124" s="2" t="str">
        <f>"75010"</f>
        <v>75010</v>
      </c>
      <c r="C16124" s="1">
        <v>4.3435936671988801E-3</v>
      </c>
      <c r="D16124" s="1">
        <v>1.8654272077861299E-3</v>
      </c>
      <c r="E16124" s="1">
        <v>2.62142479787611E-3</v>
      </c>
      <c r="F16124" s="1">
        <v>4.0574417987230297E-3</v>
      </c>
    </row>
    <row r="16125" spans="1:6" x14ac:dyDescent="0.25">
      <c r="A16125" s="2" t="str">
        <f t="shared" si="579"/>
        <v>19100</v>
      </c>
      <c r="B16125" s="2" t="str">
        <f>"76431"</f>
        <v>76431</v>
      </c>
      <c r="C16125" s="1">
        <v>4.8251755013332303E-4</v>
      </c>
      <c r="D16125" s="1">
        <v>1.96524939950712E-4</v>
      </c>
      <c r="E16125" s="1">
        <v>1.8055732026187401E-4</v>
      </c>
      <c r="F16125" s="1">
        <v>4.4529580480756202E-4</v>
      </c>
    </row>
    <row r="16126" spans="1:6" x14ac:dyDescent="0.25">
      <c r="A16126" s="2" t="str">
        <f t="shared" si="579"/>
        <v>19100</v>
      </c>
      <c r="B16126" s="2" t="str">
        <f>"76486"</f>
        <v>76486</v>
      </c>
      <c r="C16126" s="1">
        <v>3.8988166623571698E-5</v>
      </c>
      <c r="D16126" s="1">
        <v>9.3583304738434599E-6</v>
      </c>
      <c r="E16126" s="1">
        <v>6.6873081578472203E-6</v>
      </c>
      <c r="F16126" s="1">
        <v>3.5090506304322203E-5</v>
      </c>
    </row>
    <row r="16127" spans="1:6" x14ac:dyDescent="0.25">
      <c r="A16127" s="2" t="str">
        <f t="shared" si="579"/>
        <v>19100</v>
      </c>
      <c r="B16127" s="2" t="str">
        <f>"76462"</f>
        <v>76462</v>
      </c>
      <c r="C16127" s="1">
        <v>1.40045494511869E-4</v>
      </c>
      <c r="D16127" s="1">
        <v>1.2477773965124601E-5</v>
      </c>
      <c r="E16127" s="1">
        <v>0</v>
      </c>
      <c r="F16127" s="1">
        <v>1.2322480120820101E-4</v>
      </c>
    </row>
    <row r="16128" spans="1:6" x14ac:dyDescent="0.25">
      <c r="A16128" s="2" t="str">
        <f t="shared" si="579"/>
        <v>19100</v>
      </c>
      <c r="B16128" s="2" t="str">
        <f>"76246"</f>
        <v>76246</v>
      </c>
      <c r="C16128" s="1">
        <v>0</v>
      </c>
      <c r="D16128" s="1">
        <v>0</v>
      </c>
      <c r="E16128" s="1">
        <v>6.6873081578472203E-6</v>
      </c>
      <c r="F16128" s="1">
        <v>2.7201942871567599E-7</v>
      </c>
    </row>
    <row r="16129" spans="1:6" x14ac:dyDescent="0.25">
      <c r="A16129" s="2" t="str">
        <f t="shared" si="579"/>
        <v>19100</v>
      </c>
      <c r="B16129" s="2" t="str">
        <f>"76164"</f>
        <v>76164</v>
      </c>
      <c r="C16129" s="1">
        <v>1.93755592852502E-3</v>
      </c>
      <c r="D16129" s="1">
        <v>3.7402127460461E-3</v>
      </c>
      <c r="E16129" s="1">
        <v>4.9954191939118701E-3</v>
      </c>
      <c r="F16129" s="1">
        <v>2.2191344994624798E-3</v>
      </c>
    </row>
    <row r="16130" spans="1:6" x14ac:dyDescent="0.25">
      <c r="A16130" s="2" t="str">
        <f t="shared" si="579"/>
        <v>19100</v>
      </c>
      <c r="B16130" s="2" t="str">
        <f>"76163"</f>
        <v>76163</v>
      </c>
      <c r="C16130" s="1">
        <v>2.9038386501236199E-4</v>
      </c>
      <c r="D16130" s="1">
        <v>8.8592195152384801E-4</v>
      </c>
      <c r="E16130" s="1">
        <v>1.33746163156944E-5</v>
      </c>
      <c r="F16130" s="1">
        <v>3.3104764474697798E-4</v>
      </c>
    </row>
    <row r="16131" spans="1:6" x14ac:dyDescent="0.25">
      <c r="A16131" s="2" t="str">
        <f t="shared" si="579"/>
        <v>19100</v>
      </c>
      <c r="B16131" s="2" t="str">
        <f>"76134"</f>
        <v>76134</v>
      </c>
      <c r="C16131" s="1">
        <v>2.9331577514245398E-3</v>
      </c>
      <c r="D16131" s="1">
        <v>1.21034407461708E-3</v>
      </c>
      <c r="E16131" s="1">
        <v>2.4141182449828398E-3</v>
      </c>
      <c r="F16131" s="1">
        <v>2.76181325975026E-3</v>
      </c>
    </row>
    <row r="16132" spans="1:6" x14ac:dyDescent="0.25">
      <c r="A16132" s="2" t="str">
        <f t="shared" si="579"/>
        <v>19100</v>
      </c>
      <c r="B16132" s="2" t="str">
        <f>"76196"</f>
        <v>76196</v>
      </c>
      <c r="C16132" s="1">
        <v>0</v>
      </c>
      <c r="D16132" s="1">
        <v>4.3672208877936098E-5</v>
      </c>
      <c r="E16132" s="1">
        <v>0</v>
      </c>
      <c r="F16132" s="1">
        <v>3.8082720020194698E-6</v>
      </c>
    </row>
    <row r="16133" spans="1:6" x14ac:dyDescent="0.25">
      <c r="A16133" s="2" t="str">
        <f t="shared" si="579"/>
        <v>19100</v>
      </c>
      <c r="B16133" s="2" t="str">
        <f>"76205"</f>
        <v>76205</v>
      </c>
      <c r="C16133" s="1">
        <v>2.6608643957255198E-3</v>
      </c>
      <c r="D16133" s="1">
        <v>4.3079514614592701E-3</v>
      </c>
      <c r="E16133" s="1">
        <v>3.9321371968141601E-3</v>
      </c>
      <c r="F16133" s="1">
        <v>2.8562040015145999E-3</v>
      </c>
    </row>
    <row r="16134" spans="1:6" x14ac:dyDescent="0.25">
      <c r="A16134" s="2" t="str">
        <f t="shared" si="579"/>
        <v>19100</v>
      </c>
      <c r="B16134" s="2" t="str">
        <f>"76123"</f>
        <v>76123</v>
      </c>
      <c r="C16134" s="1">
        <v>3.8367475010924398E-3</v>
      </c>
      <c r="D16134" s="1">
        <v>2.8698880119786598E-4</v>
      </c>
      <c r="E16134" s="1">
        <v>3.27678099734513E-4</v>
      </c>
      <c r="F16134" s="1">
        <v>3.3844657320804398E-3</v>
      </c>
    </row>
    <row r="16135" spans="1:6" x14ac:dyDescent="0.25">
      <c r="A16135" s="2" t="str">
        <f t="shared" si="579"/>
        <v>19100</v>
      </c>
      <c r="B16135" s="2" t="str">
        <f>"76119"</f>
        <v>76119</v>
      </c>
      <c r="C16135" s="1">
        <v>5.4181075393445102E-3</v>
      </c>
      <c r="D16135" s="1">
        <v>5.0254234644539399E-3</v>
      </c>
      <c r="E16135" s="1">
        <v>4.5406822391782604E-3</v>
      </c>
      <c r="F16135" s="1">
        <v>5.34817398797891E-3</v>
      </c>
    </row>
    <row r="16136" spans="1:6" x14ac:dyDescent="0.25">
      <c r="A16136" s="2" t="str">
        <f t="shared" si="579"/>
        <v>19100</v>
      </c>
      <c r="B16136" s="2" t="str">
        <f>"76065"</f>
        <v>76065</v>
      </c>
      <c r="C16136" s="1">
        <v>5.1342736863249101E-3</v>
      </c>
      <c r="D16136" s="1">
        <v>3.88370714664503E-3</v>
      </c>
      <c r="E16136" s="1">
        <v>2.4542420939299299E-3</v>
      </c>
      <c r="F16136" s="1">
        <v>4.9162071351784202E-3</v>
      </c>
    </row>
    <row r="16137" spans="1:6" x14ac:dyDescent="0.25">
      <c r="A16137" s="2" t="str">
        <f t="shared" si="579"/>
        <v>19100</v>
      </c>
      <c r="B16137" s="2" t="str">
        <f>"76103"</f>
        <v>76103</v>
      </c>
      <c r="C16137" s="1">
        <v>1.83837003263465E-3</v>
      </c>
      <c r="D16137" s="1">
        <v>1.8248744423994699E-3</v>
      </c>
      <c r="E16137" s="1">
        <v>2.1198766860375598E-3</v>
      </c>
      <c r="F16137" s="1">
        <v>1.8486440375517299E-3</v>
      </c>
    </row>
    <row r="16138" spans="1:6" x14ac:dyDescent="0.25">
      <c r="A16138" s="2" t="str">
        <f t="shared" si="579"/>
        <v>19100</v>
      </c>
      <c r="B16138" s="2" t="str">
        <f>"76108"</f>
        <v>76108</v>
      </c>
      <c r="C16138" s="1">
        <v>6.0905754372678799E-3</v>
      </c>
      <c r="D16138" s="1">
        <v>2.8137380291355998E-3</v>
      </c>
      <c r="E16138" s="1">
        <v>5.36990845075131E-3</v>
      </c>
      <c r="F16138" s="1">
        <v>5.7755165104912401E-3</v>
      </c>
    </row>
    <row r="16139" spans="1:6" x14ac:dyDescent="0.25">
      <c r="A16139" s="2" t="str">
        <f t="shared" si="579"/>
        <v>19100</v>
      </c>
      <c r="B16139" s="2" t="str">
        <f>"76092"</f>
        <v>76092</v>
      </c>
      <c r="C16139" s="1">
        <v>3.4559110895133901E-3</v>
      </c>
      <c r="D16139" s="1">
        <v>1.00945191377858E-2</v>
      </c>
      <c r="E16139" s="1">
        <v>5.4234069160140896E-3</v>
      </c>
      <c r="F16139" s="1">
        <v>4.1148378981820301E-3</v>
      </c>
    </row>
    <row r="16140" spans="1:6" x14ac:dyDescent="0.25">
      <c r="A16140" s="2" t="str">
        <f t="shared" si="579"/>
        <v>19100</v>
      </c>
      <c r="B16140" s="2" t="str">
        <f>"76008"</f>
        <v>76008</v>
      </c>
      <c r="C16140" s="1">
        <v>2.4225687213222501E-3</v>
      </c>
      <c r="D16140" s="1">
        <v>1.19786630065196E-3</v>
      </c>
      <c r="E16140" s="1">
        <v>5.8848311789055495E-4</v>
      </c>
      <c r="F16140" s="1">
        <v>2.2411680731884501E-3</v>
      </c>
    </row>
    <row r="16141" spans="1:6" x14ac:dyDescent="0.25">
      <c r="A16141" s="2" t="str">
        <f t="shared" si="579"/>
        <v>19100</v>
      </c>
      <c r="B16141" s="2" t="str">
        <f>"75449"</f>
        <v>75449</v>
      </c>
      <c r="C16141" s="1">
        <v>3.8676261290583097E-5</v>
      </c>
      <c r="D16141" s="1">
        <v>6.2388869825623097E-6</v>
      </c>
      <c r="E16141" s="1">
        <v>0</v>
      </c>
      <c r="F16141" s="1">
        <v>3.4274448018175202E-5</v>
      </c>
    </row>
    <row r="16142" spans="1:6" x14ac:dyDescent="0.25">
      <c r="A16142" s="2" t="str">
        <f t="shared" si="579"/>
        <v>19100</v>
      </c>
      <c r="B16142" s="2" t="str">
        <f>"75428"</f>
        <v>75428</v>
      </c>
      <c r="C16142" s="1">
        <v>1.5389409129656199E-3</v>
      </c>
      <c r="D16142" s="1">
        <v>1.1947468571606799E-3</v>
      </c>
      <c r="E16142" s="1">
        <v>2.44755478577208E-3</v>
      </c>
      <c r="F16142" s="1">
        <v>1.54588641339119E-3</v>
      </c>
    </row>
    <row r="16143" spans="1:6" x14ac:dyDescent="0.25">
      <c r="A16143" s="2" t="str">
        <f t="shared" si="579"/>
        <v>19100</v>
      </c>
      <c r="B16143" s="2" t="str">
        <f>"75424"</f>
        <v>75424</v>
      </c>
      <c r="C16143" s="1">
        <v>5.08717598104364E-4</v>
      </c>
      <c r="D16143" s="1">
        <v>1.2165829615996499E-4</v>
      </c>
      <c r="E16143" s="1">
        <v>1.6049539578833299E-4</v>
      </c>
      <c r="F16143" s="1">
        <v>4.6080091224435599E-4</v>
      </c>
    </row>
    <row r="16144" spans="1:6" x14ac:dyDescent="0.25">
      <c r="A16144" s="2" t="str">
        <f t="shared" si="579"/>
        <v>19100</v>
      </c>
      <c r="B16144" s="2" t="str">
        <f>"75491"</f>
        <v>75491</v>
      </c>
      <c r="C16144" s="1">
        <v>4.9904853278171798E-6</v>
      </c>
      <c r="D16144" s="1">
        <v>0</v>
      </c>
      <c r="E16144" s="1">
        <v>0</v>
      </c>
      <c r="F16144" s="1">
        <v>4.3523108594508201E-6</v>
      </c>
    </row>
    <row r="16145" spans="1:6" x14ac:dyDescent="0.25">
      <c r="A16145" s="2" t="str">
        <f t="shared" si="579"/>
        <v>19100</v>
      </c>
      <c r="B16145" s="2" t="str">
        <f>"75407"</f>
        <v>75407</v>
      </c>
      <c r="C16145" s="1">
        <v>3.1711415204948301E-3</v>
      </c>
      <c r="D16145" s="1">
        <v>1.1729107527217099E-3</v>
      </c>
      <c r="E16145" s="1">
        <v>1.7453874291981199E-3</v>
      </c>
      <c r="F16145" s="1">
        <v>2.9388979078441599E-3</v>
      </c>
    </row>
    <row r="16146" spans="1:6" x14ac:dyDescent="0.25">
      <c r="A16146" s="2" t="str">
        <f t="shared" si="579"/>
        <v>19100</v>
      </c>
      <c r="B16146" s="2" t="str">
        <f>"75342"</f>
        <v>75342</v>
      </c>
      <c r="C16146" s="1">
        <v>9.8250179891400796E-5</v>
      </c>
      <c r="D16146" s="1">
        <v>5.30305393517796E-5</v>
      </c>
      <c r="E16146" s="1">
        <v>1.33746163156944E-5</v>
      </c>
      <c r="F16146" s="1">
        <v>9.08544891910359E-5</v>
      </c>
    </row>
    <row r="16147" spans="1:6" x14ac:dyDescent="0.25">
      <c r="A16147" s="2" t="str">
        <f t="shared" si="579"/>
        <v>19100</v>
      </c>
      <c r="B16147" s="2" t="str">
        <f>"75356"</f>
        <v>75356</v>
      </c>
      <c r="C16147" s="1">
        <v>3.65553050262608E-4</v>
      </c>
      <c r="D16147" s="1">
        <v>4.0958293040521503E-3</v>
      </c>
      <c r="E16147" s="1">
        <v>1.33746163156944E-5</v>
      </c>
      <c r="F16147" s="1">
        <v>6.76512319215887E-4</v>
      </c>
    </row>
    <row r="16148" spans="1:6" x14ac:dyDescent="0.25">
      <c r="A16148" s="2" t="str">
        <f t="shared" si="579"/>
        <v>19100</v>
      </c>
      <c r="B16148" s="2" t="str">
        <f>"75315"</f>
        <v>75315</v>
      </c>
      <c r="C16148" s="1">
        <v>7.6167282315809705E-4</v>
      </c>
      <c r="D16148" s="1">
        <v>6.39485915712636E-4</v>
      </c>
      <c r="E16148" s="1">
        <v>1.33746163156944E-5</v>
      </c>
      <c r="F16148" s="1">
        <v>7.2057946666782705E-4</v>
      </c>
    </row>
    <row r="16149" spans="1:6" x14ac:dyDescent="0.25">
      <c r="A16149" s="2" t="str">
        <f t="shared" si="579"/>
        <v>19100</v>
      </c>
      <c r="B16149" s="2" t="str">
        <f>"75261"</f>
        <v>75261</v>
      </c>
      <c r="C16149" s="1">
        <v>2.23636123752807E-4</v>
      </c>
      <c r="D16149" s="1">
        <v>2.2834326356177999E-3</v>
      </c>
      <c r="E16149" s="1">
        <v>9.3622314209861098E-5</v>
      </c>
      <c r="F16149" s="1">
        <v>3.9796442421103398E-4</v>
      </c>
    </row>
    <row r="16150" spans="1:6" x14ac:dyDescent="0.25">
      <c r="A16150" s="2" t="str">
        <f t="shared" si="579"/>
        <v>19100</v>
      </c>
      <c r="B16150" s="2" t="str">
        <f>"75253"</f>
        <v>75253</v>
      </c>
      <c r="C16150" s="1">
        <v>2.4762164385962798E-3</v>
      </c>
      <c r="D16150" s="1">
        <v>6.7379979411672896E-4</v>
      </c>
      <c r="E16150" s="1">
        <v>8.4928813604659697E-4</v>
      </c>
      <c r="F16150" s="1">
        <v>2.2528649086232299E-3</v>
      </c>
    </row>
    <row r="16151" spans="1:6" x14ac:dyDescent="0.25">
      <c r="A16151" s="2" t="str">
        <f t="shared" si="579"/>
        <v>19100</v>
      </c>
      <c r="B16151" s="2" t="str">
        <f>"75248"</f>
        <v>75248</v>
      </c>
      <c r="C16151" s="1">
        <v>5.8260797148935702E-3</v>
      </c>
      <c r="D16151" s="1">
        <v>4.3578625573197699E-3</v>
      </c>
      <c r="E16151" s="1">
        <v>6.5335000702167302E-3</v>
      </c>
      <c r="F16151" s="1">
        <v>5.7268250327511304E-3</v>
      </c>
    </row>
    <row r="16152" spans="1:6" x14ac:dyDescent="0.25">
      <c r="A16152" s="2" t="str">
        <f t="shared" si="579"/>
        <v>19100</v>
      </c>
      <c r="B16152" s="2" t="str">
        <f>"75235"</f>
        <v>75235</v>
      </c>
      <c r="C16152" s="1">
        <v>3.58971847736549E-3</v>
      </c>
      <c r="D16152" s="1">
        <v>5.9674953988208502E-3</v>
      </c>
      <c r="E16152" s="1">
        <v>6.6538716170579798E-3</v>
      </c>
      <c r="F16152" s="1">
        <v>3.9217041037939004E-3</v>
      </c>
    </row>
    <row r="16153" spans="1:6" x14ac:dyDescent="0.25">
      <c r="A16153" s="2" t="str">
        <f t="shared" si="579"/>
        <v>19100</v>
      </c>
      <c r="B16153" s="2" t="str">
        <f>"75218"</f>
        <v>75218</v>
      </c>
      <c r="C16153" s="1">
        <v>3.7375616052020802E-3</v>
      </c>
      <c r="D16153" s="1">
        <v>3.7339738590635402E-3</v>
      </c>
      <c r="E16153" s="1">
        <v>3.57770986444826E-3</v>
      </c>
      <c r="F16153" s="1">
        <v>3.7307464648355E-3</v>
      </c>
    </row>
    <row r="16154" spans="1:6" x14ac:dyDescent="0.25">
      <c r="A16154" s="2" t="str">
        <f t="shared" si="579"/>
        <v>19100</v>
      </c>
      <c r="B16154" s="2" t="str">
        <f>"75230"</f>
        <v>75230</v>
      </c>
      <c r="C16154" s="1">
        <v>4.6648561601771096E-3</v>
      </c>
      <c r="D16154" s="1">
        <v>5.7304176934834796E-3</v>
      </c>
      <c r="E16154" s="1">
        <v>1.4718765255421699E-2</v>
      </c>
      <c r="F16154" s="1">
        <v>5.16673702902556E-3</v>
      </c>
    </row>
    <row r="16155" spans="1:6" x14ac:dyDescent="0.25">
      <c r="A16155" s="2" t="str">
        <f t="shared" si="579"/>
        <v>19100</v>
      </c>
      <c r="B16155" s="2" t="str">
        <f>"75156"</f>
        <v>75156</v>
      </c>
      <c r="C16155" s="1">
        <v>1.4347645317474401E-5</v>
      </c>
      <c r="D16155" s="1">
        <v>0</v>
      </c>
      <c r="E16155" s="1">
        <v>0</v>
      </c>
      <c r="F16155" s="1">
        <v>1.2512893720921099E-5</v>
      </c>
    </row>
    <row r="16156" spans="1:6" x14ac:dyDescent="0.25">
      <c r="A16156" s="2" t="str">
        <f t="shared" si="579"/>
        <v>19100</v>
      </c>
      <c r="B16156" s="2" t="str">
        <f>"75210"</f>
        <v>75210</v>
      </c>
      <c r="C16156" s="1">
        <v>1.13689493874335E-3</v>
      </c>
      <c r="D16156" s="1">
        <v>1.13859687431762E-3</v>
      </c>
      <c r="E16156" s="1">
        <v>2.38736901235145E-3</v>
      </c>
      <c r="F16156" s="1">
        <v>1.18790884520135E-3</v>
      </c>
    </row>
    <row r="16157" spans="1:6" x14ac:dyDescent="0.25">
      <c r="A16157" s="2" t="str">
        <f t="shared" si="579"/>
        <v>19100</v>
      </c>
      <c r="B16157" s="2" t="str">
        <f>"75150"</f>
        <v>75150</v>
      </c>
      <c r="C16157" s="1">
        <v>7.5434304783286599E-3</v>
      </c>
      <c r="D16157" s="1">
        <v>7.2433477867548399E-3</v>
      </c>
      <c r="E16157" s="1">
        <v>1.20639039167563E-2</v>
      </c>
      <c r="F16157" s="1">
        <v>7.70114204636951E-3</v>
      </c>
    </row>
    <row r="16158" spans="1:6" x14ac:dyDescent="0.25">
      <c r="A16158" s="2" t="str">
        <f t="shared" si="579"/>
        <v>19100</v>
      </c>
      <c r="B16158" s="2" t="str">
        <f>"75182"</f>
        <v>75182</v>
      </c>
      <c r="C16158" s="1">
        <v>8.1407291910017801E-4</v>
      </c>
      <c r="D16158" s="1">
        <v>6.98755342046978E-4</v>
      </c>
      <c r="E16158" s="1">
        <v>2.8086694262958301E-4</v>
      </c>
      <c r="F16158" s="1">
        <v>7.82327876986285E-4</v>
      </c>
    </row>
    <row r="16159" spans="1:6" x14ac:dyDescent="0.25">
      <c r="A16159" s="2" t="str">
        <f t="shared" si="579"/>
        <v>19100</v>
      </c>
      <c r="B16159" s="2" t="str">
        <f>"75180"</f>
        <v>75180</v>
      </c>
      <c r="C16159" s="1">
        <v>2.8579885661742998E-3</v>
      </c>
      <c r="D16159" s="1">
        <v>2.4456436971644199E-3</v>
      </c>
      <c r="E16159" s="1">
        <v>1.9326320576178401E-3</v>
      </c>
      <c r="F16159" s="1">
        <v>2.78439087233366E-3</v>
      </c>
    </row>
    <row r="16160" spans="1:6" x14ac:dyDescent="0.25">
      <c r="A16160" s="2" t="str">
        <f t="shared" si="579"/>
        <v>19100</v>
      </c>
      <c r="B16160" s="2" t="str">
        <f>"75087"</f>
        <v>75087</v>
      </c>
      <c r="C16160" s="1">
        <v>4.8803827452722102E-3</v>
      </c>
      <c r="D16160" s="1">
        <v>6.5633091056555501E-3</v>
      </c>
      <c r="E16160" s="1">
        <v>1.7855112781452001E-3</v>
      </c>
      <c r="F16160" s="1">
        <v>4.9012460665990602E-3</v>
      </c>
    </row>
    <row r="16161" spans="1:6" x14ac:dyDescent="0.25">
      <c r="A16161" s="2" t="str">
        <f t="shared" si="579"/>
        <v>19100</v>
      </c>
      <c r="B16161" s="2" t="str">
        <f>"75077"</f>
        <v>75077</v>
      </c>
      <c r="C16161" s="1">
        <v>4.4986106176941997E-3</v>
      </c>
      <c r="D16161" s="1">
        <v>2.0775493651932399E-3</v>
      </c>
      <c r="E16161" s="1">
        <v>1.3842727886743699E-3</v>
      </c>
      <c r="F16161" s="1">
        <v>4.1608091816349802E-3</v>
      </c>
    </row>
    <row r="16162" spans="1:6" x14ac:dyDescent="0.25">
      <c r="A16162" s="2" t="str">
        <f t="shared" si="579"/>
        <v>19100</v>
      </c>
      <c r="B16162" s="2" t="str">
        <f>"75058"</f>
        <v>75058</v>
      </c>
      <c r="C16162" s="1">
        <v>2.4952426639085899E-6</v>
      </c>
      <c r="D16162" s="1">
        <v>3.1194434912811502E-6</v>
      </c>
      <c r="E16162" s="1">
        <v>0</v>
      </c>
      <c r="F16162" s="1">
        <v>2.4481748584410799E-6</v>
      </c>
    </row>
    <row r="16163" spans="1:6" x14ac:dyDescent="0.25">
      <c r="A16163" s="2" t="str">
        <f t="shared" si="579"/>
        <v>19100</v>
      </c>
      <c r="B16163" s="2" t="str">
        <f>"75057"</f>
        <v>75057</v>
      </c>
      <c r="C16163" s="1">
        <v>2.1917587749107001E-3</v>
      </c>
      <c r="D16163" s="1">
        <v>4.9006457248026896E-3</v>
      </c>
      <c r="E16163" s="1">
        <v>3.8719514233935401E-3</v>
      </c>
      <c r="F16163" s="1">
        <v>2.4963222973237598E-3</v>
      </c>
    </row>
    <row r="16164" spans="1:6" x14ac:dyDescent="0.25">
      <c r="A16164" s="2" t="str">
        <f t="shared" si="579"/>
        <v>19100</v>
      </c>
      <c r="B16164" s="2" t="str">
        <f>"76670"</f>
        <v>76670</v>
      </c>
      <c r="C16164" s="1">
        <v>8.7333493236800699E-5</v>
      </c>
      <c r="D16164" s="1">
        <v>1.5597217456405699E-5</v>
      </c>
      <c r="E16164" s="1">
        <v>1.33746163156944E-5</v>
      </c>
      <c r="F16164" s="1">
        <v>7.8069576041399098E-5</v>
      </c>
    </row>
    <row r="16165" spans="1:6" x14ac:dyDescent="0.25">
      <c r="A16165" s="2" t="str">
        <f t="shared" si="579"/>
        <v>19100</v>
      </c>
      <c r="B16165" s="2" t="str">
        <f>"76272"</f>
        <v>76272</v>
      </c>
      <c r="C16165" s="1">
        <v>9.9809706556343597E-6</v>
      </c>
      <c r="D16165" s="1">
        <v>0</v>
      </c>
      <c r="E16165" s="1">
        <v>0</v>
      </c>
      <c r="F16165" s="1">
        <v>8.7046217189016503E-6</v>
      </c>
    </row>
    <row r="16166" spans="1:6" x14ac:dyDescent="0.25">
      <c r="A16166" s="2" t="str">
        <f t="shared" si="579"/>
        <v>19100</v>
      </c>
      <c r="B16166" s="2" t="str">
        <f>"76439"</f>
        <v>76439</v>
      </c>
      <c r="C16166" s="1">
        <v>0</v>
      </c>
      <c r="D16166" s="1">
        <v>0</v>
      </c>
      <c r="E16166" s="1">
        <v>6.6873081578472203E-6</v>
      </c>
      <c r="F16166" s="1">
        <v>2.7201942871567599E-7</v>
      </c>
    </row>
    <row r="16167" spans="1:6" x14ac:dyDescent="0.25">
      <c r="A16167" s="2" t="str">
        <f t="shared" si="579"/>
        <v>19100</v>
      </c>
      <c r="B16167" s="2" t="str">
        <f>"76487"</f>
        <v>76487</v>
      </c>
      <c r="C16167" s="1">
        <v>4.1140313421192902E-4</v>
      </c>
      <c r="D16167" s="1">
        <v>7.7986087282028795E-5</v>
      </c>
      <c r="E16167" s="1">
        <v>2.67492326313888E-5</v>
      </c>
      <c r="F16167" s="1">
        <v>3.6668218990873198E-4</v>
      </c>
    </row>
    <row r="16168" spans="1:6" x14ac:dyDescent="0.25">
      <c r="A16168" s="2" t="str">
        <f t="shared" si="579"/>
        <v>19100</v>
      </c>
      <c r="B16168" s="2" t="str">
        <f>"76249"</f>
        <v>76249</v>
      </c>
      <c r="C16168" s="1">
        <v>1.24855704795326E-3</v>
      </c>
      <c r="D16168" s="1">
        <v>7.9857753376797499E-4</v>
      </c>
      <c r="E16168" s="1">
        <v>3.27678099734513E-4</v>
      </c>
      <c r="F16168" s="1">
        <v>1.17185969890713E-3</v>
      </c>
    </row>
    <row r="16169" spans="1:6" x14ac:dyDescent="0.25">
      <c r="A16169" s="2" t="str">
        <f t="shared" si="579"/>
        <v>19100</v>
      </c>
      <c r="B16169" s="2" t="str">
        <f>"76140"</f>
        <v>76140</v>
      </c>
      <c r="C16169" s="1">
        <v>3.9665001196156902E-3</v>
      </c>
      <c r="D16169" s="1">
        <v>3.6684655457466298E-3</v>
      </c>
      <c r="E16169" s="1">
        <v>2.0663782207747902E-3</v>
      </c>
      <c r="F16169" s="1">
        <v>3.86321992662003E-3</v>
      </c>
    </row>
    <row r="16170" spans="1:6" x14ac:dyDescent="0.25">
      <c r="A16170" s="2" t="str">
        <f t="shared" si="579"/>
        <v>19100</v>
      </c>
      <c r="B16170" s="2" t="str">
        <f>"76199"</f>
        <v>76199</v>
      </c>
      <c r="C16170" s="1">
        <v>0</v>
      </c>
      <c r="D16170" s="1">
        <v>3.1194434912811502E-6</v>
      </c>
      <c r="E16170" s="1">
        <v>0</v>
      </c>
      <c r="F16170" s="1">
        <v>2.7201942871567599E-7</v>
      </c>
    </row>
    <row r="16171" spans="1:6" x14ac:dyDescent="0.25">
      <c r="A16171" s="2" t="str">
        <f t="shared" si="579"/>
        <v>19100</v>
      </c>
      <c r="B16171" s="2" t="str">
        <f>"76195"</f>
        <v>76195</v>
      </c>
      <c r="C16171" s="1">
        <v>0</v>
      </c>
      <c r="D16171" s="1">
        <v>3.1194434912811502E-6</v>
      </c>
      <c r="E16171" s="1">
        <v>0</v>
      </c>
      <c r="F16171" s="1">
        <v>2.7201942871567599E-7</v>
      </c>
    </row>
    <row r="16172" spans="1:6" x14ac:dyDescent="0.25">
      <c r="A16172" s="2" t="str">
        <f t="shared" si="579"/>
        <v>19100</v>
      </c>
      <c r="B16172" s="2" t="str">
        <f>"76191"</f>
        <v>76191</v>
      </c>
      <c r="C16172" s="1">
        <v>0</v>
      </c>
      <c r="D16172" s="1">
        <v>3.1194434912811502E-6</v>
      </c>
      <c r="E16172" s="1">
        <v>0</v>
      </c>
      <c r="F16172" s="1">
        <v>2.7201942871567599E-7</v>
      </c>
    </row>
    <row r="16173" spans="1:6" x14ac:dyDescent="0.25">
      <c r="A16173" s="2" t="str">
        <f t="shared" si="579"/>
        <v>19100</v>
      </c>
      <c r="B16173" s="2" t="str">
        <f>"76131"</f>
        <v>76131</v>
      </c>
      <c r="C16173" s="1">
        <v>4.8083326133518496E-3</v>
      </c>
      <c r="D16173" s="1">
        <v>1.3787940231462701E-3</v>
      </c>
      <c r="E16173" s="1">
        <v>1.47120779472638E-3</v>
      </c>
      <c r="F16173" s="1">
        <v>4.37352837489064E-3</v>
      </c>
    </row>
    <row r="16174" spans="1:6" x14ac:dyDescent="0.25">
      <c r="A16174" s="2" t="str">
        <f t="shared" si="579"/>
        <v>19100</v>
      </c>
      <c r="B16174" s="2" t="str">
        <f>"76118"</f>
        <v>76118</v>
      </c>
      <c r="C16174" s="1">
        <v>1.95096785784353E-3</v>
      </c>
      <c r="D16174" s="1">
        <v>3.15063792619396E-3</v>
      </c>
      <c r="E16174" s="1">
        <v>1.72532550472458E-3</v>
      </c>
      <c r="F16174" s="1">
        <v>2.0464021622280302E-3</v>
      </c>
    </row>
    <row r="16175" spans="1:6" x14ac:dyDescent="0.25">
      <c r="A16175" s="2" t="str">
        <f t="shared" si="579"/>
        <v>19100</v>
      </c>
      <c r="B16175" s="2" t="str">
        <f>"76085"</f>
        <v>76085</v>
      </c>
      <c r="C16175" s="1">
        <v>1.5280242263110201E-3</v>
      </c>
      <c r="D16175" s="1">
        <v>3.4313878404092701E-4</v>
      </c>
      <c r="E16175" s="1">
        <v>6.0185773420624899E-4</v>
      </c>
      <c r="F16175" s="1">
        <v>1.38702706702123E-3</v>
      </c>
    </row>
    <row r="16176" spans="1:6" x14ac:dyDescent="0.25">
      <c r="A16176" s="2" t="str">
        <f t="shared" si="579"/>
        <v>19100</v>
      </c>
      <c r="B16176" s="2" t="str">
        <f>"76099"</f>
        <v>76099</v>
      </c>
      <c r="C16176" s="1">
        <v>6.3940593262657602E-4</v>
      </c>
      <c r="D16176" s="1">
        <v>2.25535764419627E-3</v>
      </c>
      <c r="E16176" s="1">
        <v>1.33746163156944E-5</v>
      </c>
      <c r="F16176" s="1">
        <v>7.5485391468600195E-4</v>
      </c>
    </row>
    <row r="16177" spans="1:6" x14ac:dyDescent="0.25">
      <c r="A16177" s="2" t="str">
        <f t="shared" si="579"/>
        <v>19100</v>
      </c>
      <c r="B16177" s="2" t="str">
        <f>"76109"</f>
        <v>76109</v>
      </c>
      <c r="C16177" s="1">
        <v>4.04665979019375E-3</v>
      </c>
      <c r="D16177" s="1">
        <v>3.5405683626041099E-3</v>
      </c>
      <c r="E16177" s="1">
        <v>7.16879434521222E-3</v>
      </c>
      <c r="F16177" s="1">
        <v>4.1295269473326799E-3</v>
      </c>
    </row>
    <row r="16178" spans="1:6" x14ac:dyDescent="0.25">
      <c r="A16178" s="2" t="str">
        <f t="shared" si="579"/>
        <v>19100</v>
      </c>
      <c r="B16178" s="2" t="str">
        <f>"76088"</f>
        <v>76088</v>
      </c>
      <c r="C16178" s="1">
        <v>1.8411771806315499E-3</v>
      </c>
      <c r="D16178" s="1">
        <v>9.8574414324484501E-4</v>
      </c>
      <c r="E16178" s="1">
        <v>6.0854504236409698E-4</v>
      </c>
      <c r="F16178" s="1">
        <v>1.71644259519591E-3</v>
      </c>
    </row>
    <row r="16179" spans="1:6" x14ac:dyDescent="0.25">
      <c r="A16179" s="2" t="str">
        <f t="shared" si="579"/>
        <v>19100</v>
      </c>
      <c r="B16179" s="2" t="str">
        <f>"76086"</f>
        <v>76086</v>
      </c>
      <c r="C16179" s="1">
        <v>3.3130584470046302E-3</v>
      </c>
      <c r="D16179" s="1">
        <v>7.5022615965311696E-3</v>
      </c>
      <c r="E16179" s="1">
        <v>6.4398777560068701E-3</v>
      </c>
      <c r="F16179" s="1">
        <v>3.8055518077323102E-3</v>
      </c>
    </row>
    <row r="16180" spans="1:6" x14ac:dyDescent="0.25">
      <c r="A16180" s="2" t="str">
        <f t="shared" si="579"/>
        <v>19100</v>
      </c>
      <c r="B16180" s="2" t="str">
        <f>"76011"</f>
        <v>76011</v>
      </c>
      <c r="C16180" s="1">
        <v>3.8043093464616299E-3</v>
      </c>
      <c r="D16180" s="1">
        <v>9.23043329070093E-3</v>
      </c>
      <c r="E16180" s="1">
        <v>1.47990129533159E-2</v>
      </c>
      <c r="F16180" s="1">
        <v>4.7247054573625802E-3</v>
      </c>
    </row>
    <row r="16181" spans="1:6" x14ac:dyDescent="0.25">
      <c r="A16181" s="2" t="str">
        <f t="shared" ref="A16181:A16244" si="580">"19100"</f>
        <v>19100</v>
      </c>
      <c r="B16181" s="2" t="str">
        <f>"76019"</f>
        <v>76019</v>
      </c>
      <c r="C16181" s="1">
        <v>0</v>
      </c>
      <c r="D16181" s="1">
        <v>9.3583304738434599E-6</v>
      </c>
      <c r="E16181" s="1">
        <v>6.6873081578472203E-6</v>
      </c>
      <c r="F16181" s="1">
        <v>1.0880777148626999E-6</v>
      </c>
    </row>
    <row r="16182" spans="1:6" x14ac:dyDescent="0.25">
      <c r="A16182" s="2" t="str">
        <f t="shared" si="580"/>
        <v>19100</v>
      </c>
      <c r="B16182" s="2" t="str">
        <f>"76021"</f>
        <v>76021</v>
      </c>
      <c r="C16182" s="1">
        <v>5.19914999558653E-3</v>
      </c>
      <c r="D16182" s="1">
        <v>3.6435099978163799E-3</v>
      </c>
      <c r="E16182" s="1">
        <v>9.3421694965125594E-3</v>
      </c>
      <c r="F16182" s="1">
        <v>5.2320216919173202E-3</v>
      </c>
    </row>
    <row r="16183" spans="1:6" x14ac:dyDescent="0.25">
      <c r="A16183" s="2" t="str">
        <f t="shared" si="580"/>
        <v>19100</v>
      </c>
      <c r="B16183" s="2" t="str">
        <f>"76033"</f>
        <v>76033</v>
      </c>
      <c r="C16183" s="1">
        <v>4.2157124806735599E-3</v>
      </c>
      <c r="D16183" s="1">
        <v>5.5588483014630099E-3</v>
      </c>
      <c r="E16183" s="1">
        <v>6.27269505206069E-3</v>
      </c>
      <c r="F16183" s="1">
        <v>4.4165074446277201E-3</v>
      </c>
    </row>
    <row r="16184" spans="1:6" x14ac:dyDescent="0.25">
      <c r="A16184" s="2" t="str">
        <f t="shared" si="580"/>
        <v>19100</v>
      </c>
      <c r="B16184" s="2" t="str">
        <f>"75448"</f>
        <v>75448</v>
      </c>
      <c r="C16184" s="1">
        <v>1.2476213319542901E-6</v>
      </c>
      <c r="D16184" s="1">
        <v>0</v>
      </c>
      <c r="E16184" s="1">
        <v>0</v>
      </c>
      <c r="F16184" s="1">
        <v>1.0880777148626999E-6</v>
      </c>
    </row>
    <row r="16185" spans="1:6" x14ac:dyDescent="0.25">
      <c r="A16185" s="2" t="str">
        <f t="shared" si="580"/>
        <v>19100</v>
      </c>
      <c r="B16185" s="2" t="str">
        <f>"75453"</f>
        <v>75453</v>
      </c>
      <c r="C16185" s="1">
        <v>4.33860318187106E-4</v>
      </c>
      <c r="D16185" s="1">
        <v>1.2165829615996499E-4</v>
      </c>
      <c r="E16185" s="1">
        <v>1.2705885499909701E-4</v>
      </c>
      <c r="F16185" s="1">
        <v>3.9415615220901498E-4</v>
      </c>
    </row>
    <row r="16186" spans="1:6" x14ac:dyDescent="0.25">
      <c r="A16186" s="2" t="str">
        <f t="shared" si="580"/>
        <v>19100</v>
      </c>
      <c r="B16186" s="2" t="str">
        <f>"75376"</f>
        <v>75376</v>
      </c>
      <c r="C16186" s="1">
        <v>3.0816246899271099E-4</v>
      </c>
      <c r="D16186" s="1">
        <v>1.3288829272857701E-3</v>
      </c>
      <c r="E16186" s="1">
        <v>1.33746163156944E-5</v>
      </c>
      <c r="F16186" s="1">
        <v>3.8517951106139799E-4</v>
      </c>
    </row>
    <row r="16187" spans="1:6" x14ac:dyDescent="0.25">
      <c r="A16187" s="2" t="str">
        <f t="shared" si="580"/>
        <v>19100</v>
      </c>
      <c r="B16187" s="2" t="str">
        <f>"75371"</f>
        <v>75371</v>
      </c>
      <c r="C16187" s="1">
        <v>3.4621491961731701E-5</v>
      </c>
      <c r="D16187" s="1">
        <v>6.5508313316904197E-5</v>
      </c>
      <c r="E16187" s="1">
        <v>1.33746163156944E-5</v>
      </c>
      <c r="F16187" s="1">
        <v>3.6450603447900602E-5</v>
      </c>
    </row>
    <row r="16188" spans="1:6" x14ac:dyDescent="0.25">
      <c r="A16188" s="2" t="str">
        <f t="shared" si="580"/>
        <v>19100</v>
      </c>
      <c r="B16188" s="2" t="str">
        <f>"75360"</f>
        <v>75360</v>
      </c>
      <c r="C16188" s="1">
        <v>3.1190533298857298E-4</v>
      </c>
      <c r="D16188" s="1">
        <v>1.2259412920734901E-3</v>
      </c>
      <c r="E16188" s="1">
        <v>1.33746163156944E-5</v>
      </c>
      <c r="F16188" s="1">
        <v>3.7946710305836802E-4</v>
      </c>
    </row>
    <row r="16189" spans="1:6" x14ac:dyDescent="0.25">
      <c r="A16189" s="2" t="str">
        <f t="shared" si="580"/>
        <v>19100</v>
      </c>
      <c r="B16189" s="2" t="str">
        <f>"75402"</f>
        <v>75402</v>
      </c>
      <c r="C16189" s="1">
        <v>2.6742763250440301E-3</v>
      </c>
      <c r="D16189" s="1">
        <v>2.8386935770658502E-3</v>
      </c>
      <c r="E16189" s="1">
        <v>6.3261935173234696E-3</v>
      </c>
      <c r="F16189" s="1">
        <v>2.8371626415045E-3</v>
      </c>
    </row>
    <row r="16190" spans="1:6" x14ac:dyDescent="0.25">
      <c r="A16190" s="2" t="str">
        <f t="shared" si="580"/>
        <v>19100</v>
      </c>
      <c r="B16190" s="2" t="str">
        <f>"75228"</f>
        <v>75228</v>
      </c>
      <c r="C16190" s="1">
        <v>8.3815201080689496E-3</v>
      </c>
      <c r="D16190" s="1">
        <v>4.6323735845525101E-3</v>
      </c>
      <c r="E16190" s="1">
        <v>1.0465637267030901E-2</v>
      </c>
      <c r="F16190" s="1">
        <v>8.1393653460304707E-3</v>
      </c>
    </row>
    <row r="16191" spans="1:6" x14ac:dyDescent="0.25">
      <c r="A16191" s="2" t="str">
        <f t="shared" si="580"/>
        <v>19100</v>
      </c>
      <c r="B16191" s="2" t="str">
        <f>"75252"</f>
        <v>75252</v>
      </c>
      <c r="C16191" s="1">
        <v>4.4649248417314297E-3</v>
      </c>
      <c r="D16191" s="1">
        <v>3.4001934054964499E-3</v>
      </c>
      <c r="E16191" s="1">
        <v>2.9624775139263102E-3</v>
      </c>
      <c r="F16191" s="1">
        <v>4.3109639062860403E-3</v>
      </c>
    </row>
    <row r="16192" spans="1:6" x14ac:dyDescent="0.25">
      <c r="A16192" s="2" t="str">
        <f t="shared" si="580"/>
        <v>19100</v>
      </c>
      <c r="B16192" s="2" t="str">
        <f>"75247"</f>
        <v>75247</v>
      </c>
      <c r="C16192" s="1">
        <v>7.5169185250246293E-5</v>
      </c>
      <c r="D16192" s="1">
        <v>7.9358642418192495E-3</v>
      </c>
      <c r="E16192" s="1">
        <v>1.85907166788152E-3</v>
      </c>
      <c r="F16192" s="1">
        <v>8.3319551015611701E-4</v>
      </c>
    </row>
    <row r="16193" spans="1:6" x14ac:dyDescent="0.25">
      <c r="A16193" s="2" t="str">
        <f t="shared" si="580"/>
        <v>19100</v>
      </c>
      <c r="B16193" s="2" t="str">
        <f>"75240"</f>
        <v>75240</v>
      </c>
      <c r="C16193" s="1">
        <v>3.6402471413096399E-3</v>
      </c>
      <c r="D16193" s="1">
        <v>7.7580559628162302E-3</v>
      </c>
      <c r="E16193" s="1">
        <v>6.8544908617934001E-3</v>
      </c>
      <c r="F16193" s="1">
        <v>4.1300709861901101E-3</v>
      </c>
    </row>
    <row r="16194" spans="1:6" x14ac:dyDescent="0.25">
      <c r="A16194" s="2" t="str">
        <f t="shared" si="580"/>
        <v>19100</v>
      </c>
      <c r="B16194" s="2" t="str">
        <f>"75246"</f>
        <v>75246</v>
      </c>
      <c r="C16194" s="1">
        <v>4.4446509950871697E-4</v>
      </c>
      <c r="D16194" s="1">
        <v>1.4380634494806099E-3</v>
      </c>
      <c r="E16194" s="1">
        <v>1.4110220213057599E-3</v>
      </c>
      <c r="F16194" s="1">
        <v>5.7042474201677304E-4</v>
      </c>
    </row>
    <row r="16195" spans="1:6" x14ac:dyDescent="0.25">
      <c r="A16195" s="2" t="str">
        <f t="shared" si="580"/>
        <v>19100</v>
      </c>
      <c r="B16195" s="2" t="str">
        <f>"75231"</f>
        <v>75231</v>
      </c>
      <c r="C16195" s="1">
        <v>6.8669078110764397E-3</v>
      </c>
      <c r="D16195" s="1">
        <v>7.7923698412203203E-3</v>
      </c>
      <c r="E16195" s="1">
        <v>1.8015608177240398E-2</v>
      </c>
      <c r="F16195" s="1">
        <v>7.4011046164961201E-3</v>
      </c>
    </row>
    <row r="16196" spans="1:6" x14ac:dyDescent="0.25">
      <c r="A16196" s="2" t="str">
        <f t="shared" si="580"/>
        <v>19100</v>
      </c>
      <c r="B16196" s="2" t="str">
        <f>"75164"</f>
        <v>75164</v>
      </c>
      <c r="C16196" s="1">
        <v>0</v>
      </c>
      <c r="D16196" s="1">
        <v>3.1194434912811502E-6</v>
      </c>
      <c r="E16196" s="1">
        <v>0</v>
      </c>
      <c r="F16196" s="1">
        <v>2.7201942871567599E-7</v>
      </c>
    </row>
    <row r="16197" spans="1:6" x14ac:dyDescent="0.25">
      <c r="A16197" s="2" t="str">
        <f t="shared" si="580"/>
        <v>19100</v>
      </c>
      <c r="B16197" s="2" t="str">
        <f>"75158"</f>
        <v>75158</v>
      </c>
      <c r="C16197" s="1">
        <v>6.5125833528014202E-4</v>
      </c>
      <c r="D16197" s="1">
        <v>1.02941635212278E-4</v>
      </c>
      <c r="E16197" s="1">
        <v>9.3622314209861098E-5</v>
      </c>
      <c r="F16197" s="1">
        <v>5.8076148030796902E-4</v>
      </c>
    </row>
    <row r="16198" spans="1:6" x14ac:dyDescent="0.25">
      <c r="A16198" s="2" t="str">
        <f t="shared" si="580"/>
        <v>19100</v>
      </c>
      <c r="B16198" s="2" t="str">
        <f>"75152"</f>
        <v>75152</v>
      </c>
      <c r="C16198" s="1">
        <v>6.2474638197611298E-4</v>
      </c>
      <c r="D16198" s="1">
        <v>2.5579436628505399E-4</v>
      </c>
      <c r="E16198" s="1">
        <v>2.3405578552465199E-4</v>
      </c>
      <c r="F16198" s="1">
        <v>5.7668118887723395E-4</v>
      </c>
    </row>
    <row r="16199" spans="1:6" x14ac:dyDescent="0.25">
      <c r="A16199" s="2" t="str">
        <f t="shared" si="580"/>
        <v>19100</v>
      </c>
      <c r="B16199" s="2" t="str">
        <f>"75212"</f>
        <v>75212</v>
      </c>
      <c r="C16199" s="1">
        <v>2.93690061542041E-3</v>
      </c>
      <c r="D16199" s="1">
        <v>3.3721184140749201E-3</v>
      </c>
      <c r="E16199" s="1">
        <v>1.2170900847281901E-3</v>
      </c>
      <c r="F16199" s="1">
        <v>2.9048954792547099E-3</v>
      </c>
    </row>
    <row r="16200" spans="1:6" x14ac:dyDescent="0.25">
      <c r="A16200" s="2" t="str">
        <f t="shared" si="580"/>
        <v>19100</v>
      </c>
      <c r="B16200" s="2" t="str">
        <f>"75202"</f>
        <v>75202</v>
      </c>
      <c r="C16200" s="1">
        <v>6.5281786194508495E-4</v>
      </c>
      <c r="D16200" s="1">
        <v>4.22996537417724E-3</v>
      </c>
      <c r="E16200" s="1">
        <v>1.9259447494599899E-3</v>
      </c>
      <c r="F16200" s="1">
        <v>1.0165366051104799E-3</v>
      </c>
    </row>
    <row r="16201" spans="1:6" x14ac:dyDescent="0.25">
      <c r="A16201" s="2" t="str">
        <f t="shared" si="580"/>
        <v>19100</v>
      </c>
      <c r="B16201" s="2" t="str">
        <f>"75189"</f>
        <v>75189</v>
      </c>
      <c r="C16201" s="1">
        <v>4.5400940269816796E-3</v>
      </c>
      <c r="D16201" s="1">
        <v>2.3988520447952E-3</v>
      </c>
      <c r="E16201" s="1">
        <v>4.5473695473361098E-4</v>
      </c>
      <c r="F16201" s="1">
        <v>4.1871950662204001E-3</v>
      </c>
    </row>
    <row r="16202" spans="1:6" x14ac:dyDescent="0.25">
      <c r="A16202" s="2" t="str">
        <f t="shared" si="580"/>
        <v>19100</v>
      </c>
      <c r="B16202" s="2" t="str">
        <f>"75143"</f>
        <v>75143</v>
      </c>
      <c r="C16202" s="1">
        <v>1.03084712552723E-3</v>
      </c>
      <c r="D16202" s="1">
        <v>3.89930436410144E-4</v>
      </c>
      <c r="E16202" s="1">
        <v>1.6049539578833299E-4</v>
      </c>
      <c r="F16202" s="1">
        <v>9.3955510678394596E-4</v>
      </c>
    </row>
    <row r="16203" spans="1:6" x14ac:dyDescent="0.25">
      <c r="A16203" s="2" t="str">
        <f t="shared" si="580"/>
        <v>19100</v>
      </c>
      <c r="B16203" s="2" t="str">
        <f>"75081"</f>
        <v>75081</v>
      </c>
      <c r="C16203" s="1">
        <v>5.0198044291180997E-3</v>
      </c>
      <c r="D16203" s="1">
        <v>9.6858720404279803E-3</v>
      </c>
      <c r="E16203" s="1">
        <v>4.8282364899656901E-3</v>
      </c>
      <c r="F16203" s="1">
        <v>5.4188990394449903E-3</v>
      </c>
    </row>
    <row r="16204" spans="1:6" x14ac:dyDescent="0.25">
      <c r="A16204" s="2" t="str">
        <f t="shared" si="580"/>
        <v>19100</v>
      </c>
      <c r="B16204" s="2" t="str">
        <f>"75078"</f>
        <v>75078</v>
      </c>
      <c r="C16204" s="1">
        <v>4.27622211527334E-3</v>
      </c>
      <c r="D16204" s="1">
        <v>2.8043796986617501E-3</v>
      </c>
      <c r="E16204" s="1">
        <v>1.0298454563084699E-3</v>
      </c>
      <c r="F16204" s="1">
        <v>4.0158228261295299E-3</v>
      </c>
    </row>
    <row r="16205" spans="1:6" x14ac:dyDescent="0.25">
      <c r="A16205" s="2" t="str">
        <f t="shared" si="580"/>
        <v>19100</v>
      </c>
      <c r="B16205" s="2" t="str">
        <f>"75135"</f>
        <v>75135</v>
      </c>
      <c r="C16205" s="1">
        <v>8.8113256569272104E-4</v>
      </c>
      <c r="D16205" s="1">
        <v>4.8975262813114105E-4</v>
      </c>
      <c r="E16205" s="1">
        <v>1.6718270394618001E-4</v>
      </c>
      <c r="F16205" s="1">
        <v>8.1796242214803895E-4</v>
      </c>
    </row>
    <row r="16206" spans="1:6" x14ac:dyDescent="0.25">
      <c r="A16206" s="2" t="str">
        <f t="shared" si="580"/>
        <v>19100</v>
      </c>
      <c r="B16206" s="2" t="str">
        <f>"75099"</f>
        <v>75099</v>
      </c>
      <c r="C16206" s="1">
        <v>5.1776285276103203E-5</v>
      </c>
      <c r="D16206" s="1">
        <v>6.8627756808185394E-5</v>
      </c>
      <c r="E16206" s="1">
        <v>2.67492326313888E-5</v>
      </c>
      <c r="F16206" s="1">
        <v>5.2227730313409899E-5</v>
      </c>
    </row>
    <row r="16207" spans="1:6" x14ac:dyDescent="0.25">
      <c r="A16207" s="2" t="str">
        <f t="shared" si="580"/>
        <v>19100</v>
      </c>
      <c r="B16207" s="2" t="str">
        <f>"75104"</f>
        <v>75104</v>
      </c>
      <c r="C16207" s="1">
        <v>5.5356958498812099E-3</v>
      </c>
      <c r="D16207" s="1">
        <v>3.6279127803599798E-3</v>
      </c>
      <c r="E16207" s="1">
        <v>2.2603101573523601E-3</v>
      </c>
      <c r="F16207" s="1">
        <v>5.2361019833480496E-3</v>
      </c>
    </row>
    <row r="16208" spans="1:6" x14ac:dyDescent="0.25">
      <c r="A16208" s="2" t="str">
        <f t="shared" si="580"/>
        <v>19100</v>
      </c>
      <c r="B16208" s="2" t="str">
        <f>"75118"</f>
        <v>75118</v>
      </c>
      <c r="C16208" s="1">
        <v>0</v>
      </c>
      <c r="D16208" s="1">
        <v>0</v>
      </c>
      <c r="E16208" s="1">
        <v>6.6873081578472203E-6</v>
      </c>
      <c r="F16208" s="1">
        <v>2.7201942871567599E-7</v>
      </c>
    </row>
    <row r="16209" spans="1:6" x14ac:dyDescent="0.25">
      <c r="A16209" s="2" t="str">
        <f t="shared" si="580"/>
        <v>19100</v>
      </c>
      <c r="B16209" s="2" t="str">
        <f>"75116"</f>
        <v>75116</v>
      </c>
      <c r="C16209" s="1">
        <v>2.2051707042292099E-3</v>
      </c>
      <c r="D16209" s="1">
        <v>3.43450728390055E-3</v>
      </c>
      <c r="E16209" s="1">
        <v>3.45733831760701E-3</v>
      </c>
      <c r="F16209" s="1">
        <v>2.3633047966817901E-3</v>
      </c>
    </row>
    <row r="16210" spans="1:6" x14ac:dyDescent="0.25">
      <c r="A16210" s="2" t="str">
        <f t="shared" si="580"/>
        <v>19100</v>
      </c>
      <c r="B16210" s="2" t="str">
        <f>"75051"</f>
        <v>75051</v>
      </c>
      <c r="C16210" s="1">
        <v>4.2509577833012699E-3</v>
      </c>
      <c r="D16210" s="1">
        <v>5.2344261783697698E-3</v>
      </c>
      <c r="E16210" s="1">
        <v>7.0350481820552696E-3</v>
      </c>
      <c r="F16210" s="1">
        <v>4.4499658343597499E-3</v>
      </c>
    </row>
    <row r="16211" spans="1:6" x14ac:dyDescent="0.25">
      <c r="A16211" s="2" t="str">
        <f t="shared" si="580"/>
        <v>19100</v>
      </c>
      <c r="B16211" s="2" t="str">
        <f>"75049"</f>
        <v>75049</v>
      </c>
      <c r="C16211" s="1">
        <v>6.8556792190888505E-4</v>
      </c>
      <c r="D16211" s="1">
        <v>1.2571357269863001E-3</v>
      </c>
      <c r="E16211" s="1">
        <v>1.33746163156944E-5</v>
      </c>
      <c r="F16211" s="1">
        <v>7.0806657294690599E-4</v>
      </c>
    </row>
    <row r="16212" spans="1:6" x14ac:dyDescent="0.25">
      <c r="A16212" s="2" t="str">
        <f t="shared" si="580"/>
        <v>19100</v>
      </c>
      <c r="B16212" s="2" t="str">
        <f>"75047"</f>
        <v>75047</v>
      </c>
      <c r="C16212" s="1">
        <v>1.6281458382003499E-4</v>
      </c>
      <c r="D16212" s="1">
        <v>3.2442212309324002E-4</v>
      </c>
      <c r="E16212" s="1">
        <v>1.33746163156944E-5</v>
      </c>
      <c r="F16212" s="1">
        <v>1.7082820123344401E-4</v>
      </c>
    </row>
    <row r="16213" spans="1:6" x14ac:dyDescent="0.25">
      <c r="A16213" s="2" t="str">
        <f t="shared" si="580"/>
        <v>19100</v>
      </c>
      <c r="B16213" s="2" t="str">
        <f>"75045"</f>
        <v>75045</v>
      </c>
      <c r="C16213" s="1">
        <v>5.5456768205368399E-4</v>
      </c>
      <c r="D16213" s="1">
        <v>1.1354774308263401E-3</v>
      </c>
      <c r="E16213" s="1">
        <v>1.33746163156944E-5</v>
      </c>
      <c r="F16213" s="1">
        <v>5.8320965516640995E-4</v>
      </c>
    </row>
    <row r="16214" spans="1:6" x14ac:dyDescent="0.25">
      <c r="A16214" s="2" t="str">
        <f t="shared" si="580"/>
        <v>19100</v>
      </c>
      <c r="B16214" s="2" t="str">
        <f>"75042"</f>
        <v>75042</v>
      </c>
      <c r="C16214" s="1">
        <v>3.9091095383457898E-3</v>
      </c>
      <c r="D16214" s="1">
        <v>5.6524316062014496E-3</v>
      </c>
      <c r="E16214" s="1">
        <v>9.2819837230919394E-3</v>
      </c>
      <c r="F16214" s="1">
        <v>4.2796816719837304E-3</v>
      </c>
    </row>
    <row r="16215" spans="1:6" x14ac:dyDescent="0.25">
      <c r="A16215" s="2" t="str">
        <f t="shared" si="580"/>
        <v>19100</v>
      </c>
      <c r="B16215" s="2" t="str">
        <f>"75061"</f>
        <v>75061</v>
      </c>
      <c r="C16215" s="1">
        <v>6.3700426156256401E-3</v>
      </c>
      <c r="D16215" s="1">
        <v>7.6426365536388296E-3</v>
      </c>
      <c r="E16215" s="1">
        <v>1.4270715608845901E-2</v>
      </c>
      <c r="F16215" s="1">
        <v>6.8023898538929197E-3</v>
      </c>
    </row>
    <row r="16216" spans="1:6" x14ac:dyDescent="0.25">
      <c r="A16216" s="2" t="str">
        <f t="shared" si="580"/>
        <v>19100</v>
      </c>
      <c r="B16216" s="2" t="str">
        <f>"75067"</f>
        <v>75067</v>
      </c>
      <c r="C16216" s="1">
        <v>9.0143760287027704E-3</v>
      </c>
      <c r="D16216" s="1">
        <v>7.0093895249087497E-3</v>
      </c>
      <c r="E16216" s="1">
        <v>6.3997539070597903E-3</v>
      </c>
      <c r="F16216" s="1">
        <v>8.7331837589167908E-3</v>
      </c>
    </row>
    <row r="16217" spans="1:6" x14ac:dyDescent="0.25">
      <c r="A16217" s="2" t="str">
        <f t="shared" si="580"/>
        <v>19100</v>
      </c>
      <c r="B16217" s="2" t="str">
        <f>"75036"</f>
        <v>75036</v>
      </c>
      <c r="C16217" s="1">
        <v>4.0737955541637599E-3</v>
      </c>
      <c r="D16217" s="1">
        <v>1.51604953676264E-3</v>
      </c>
      <c r="E16217" s="1">
        <v>4.4136233841791603E-4</v>
      </c>
      <c r="F16217" s="1">
        <v>3.7030004831064998E-3</v>
      </c>
    </row>
    <row r="16218" spans="1:6" x14ac:dyDescent="0.25">
      <c r="A16218" s="2" t="str">
        <f t="shared" si="580"/>
        <v>19100</v>
      </c>
      <c r="B16218" s="2" t="str">
        <f>"75009"</f>
        <v>75009</v>
      </c>
      <c r="C16218" s="1">
        <v>2.8121384822249801E-3</v>
      </c>
      <c r="D16218" s="1">
        <v>1.38191346663755E-3</v>
      </c>
      <c r="E16218" s="1">
        <v>6.8879274025826303E-4</v>
      </c>
      <c r="F16218" s="1">
        <v>2.6010497773792901E-3</v>
      </c>
    </row>
    <row r="16219" spans="1:6" x14ac:dyDescent="0.25">
      <c r="A16219" s="2" t="str">
        <f t="shared" si="580"/>
        <v>19100</v>
      </c>
      <c r="B16219" s="2" t="str">
        <f>"75007"</f>
        <v>75007</v>
      </c>
      <c r="C16219" s="1">
        <v>6.4760904288417602E-3</v>
      </c>
      <c r="D16219" s="1">
        <v>3.7402127460461E-3</v>
      </c>
      <c r="E16219" s="1">
        <v>4.7279268675979799E-3</v>
      </c>
      <c r="F16219" s="1">
        <v>6.1664084295556696E-3</v>
      </c>
    </row>
    <row r="16220" spans="1:6" x14ac:dyDescent="0.25">
      <c r="A16220" s="2" t="str">
        <f t="shared" si="580"/>
        <v>19100</v>
      </c>
      <c r="B16220" s="2" t="str">
        <f>"75034"</f>
        <v>75034</v>
      </c>
      <c r="C16220" s="1">
        <v>7.4985161103782996E-3</v>
      </c>
      <c r="D16220" s="1">
        <v>1.1554418691705299E-2</v>
      </c>
      <c r="E16220" s="1">
        <v>4.9954191939118701E-3</v>
      </c>
      <c r="F16220" s="1">
        <v>7.7503775629670498E-3</v>
      </c>
    </row>
    <row r="16221" spans="1:6" x14ac:dyDescent="0.25">
      <c r="A16221" s="2" t="str">
        <f t="shared" si="580"/>
        <v>19100</v>
      </c>
      <c r="B16221" s="2" t="str">
        <f>"75027"</f>
        <v>75027</v>
      </c>
      <c r="C16221" s="1">
        <v>3.0441960499684798E-4</v>
      </c>
      <c r="D16221" s="1">
        <v>2.2709548616526801E-3</v>
      </c>
      <c r="E16221" s="1">
        <v>1.33746163156944E-5</v>
      </c>
      <c r="F16221" s="1">
        <v>4.6406514538894399E-4</v>
      </c>
    </row>
    <row r="16222" spans="1:6" x14ac:dyDescent="0.25">
      <c r="A16222" s="2" t="str">
        <f t="shared" si="580"/>
        <v>19100</v>
      </c>
      <c r="B16222" s="2" t="str">
        <f>"75025"</f>
        <v>75025</v>
      </c>
      <c r="C16222" s="1">
        <v>6.2225113931220497E-3</v>
      </c>
      <c r="D16222" s="1">
        <v>2.6484075240976999E-3</v>
      </c>
      <c r="E16222" s="1">
        <v>1.94600667393354E-3</v>
      </c>
      <c r="F16222" s="1">
        <v>5.7368897516136101E-3</v>
      </c>
    </row>
    <row r="16223" spans="1:6" x14ac:dyDescent="0.25">
      <c r="A16223" s="2" t="str">
        <f t="shared" si="580"/>
        <v>19100</v>
      </c>
      <c r="B16223" s="2" t="str">
        <f>"75033"</f>
        <v>75033</v>
      </c>
      <c r="C16223" s="1">
        <v>4.9901734224841897E-3</v>
      </c>
      <c r="D16223" s="1">
        <v>4.7290763327822302E-3</v>
      </c>
      <c r="E16223" s="1">
        <v>1.6049539578833301E-3</v>
      </c>
      <c r="F16223" s="1">
        <v>4.8297049568468298E-3</v>
      </c>
    </row>
    <row r="16224" spans="1:6" x14ac:dyDescent="0.25">
      <c r="A16224" s="2" t="str">
        <f t="shared" si="580"/>
        <v>19100</v>
      </c>
      <c r="B16224" s="2" t="str">
        <f>"76248"</f>
        <v>76248</v>
      </c>
      <c r="C16224" s="1">
        <v>4.6224370348906599E-3</v>
      </c>
      <c r="D16224" s="1">
        <v>3.5935989019558901E-3</v>
      </c>
      <c r="E16224" s="1">
        <v>2.1666878431424899E-3</v>
      </c>
      <c r="F16224" s="1">
        <v>4.4328286103506604E-3</v>
      </c>
    </row>
    <row r="16225" spans="1:6" x14ac:dyDescent="0.25">
      <c r="A16225" s="2" t="str">
        <f t="shared" si="580"/>
        <v>19100</v>
      </c>
      <c r="B16225" s="2" t="str">
        <f>"76148"</f>
        <v>76148</v>
      </c>
      <c r="C16225" s="1">
        <v>2.8386504355290098E-3</v>
      </c>
      <c r="D16225" s="1">
        <v>2.43940481018186E-3</v>
      </c>
      <c r="E16225" s="1">
        <v>9.6297237472999897E-4</v>
      </c>
      <c r="F16225" s="1">
        <v>2.7275388117320798E-3</v>
      </c>
    </row>
    <row r="16226" spans="1:6" x14ac:dyDescent="0.25">
      <c r="A16226" s="2" t="str">
        <f t="shared" si="580"/>
        <v>19100</v>
      </c>
      <c r="B16226" s="2" t="str">
        <f>"76147"</f>
        <v>76147</v>
      </c>
      <c r="C16226" s="1">
        <v>2.9880530900305299E-4</v>
      </c>
      <c r="D16226" s="1">
        <v>1.58467729357082E-3</v>
      </c>
      <c r="E16226" s="1">
        <v>1.33746163156944E-5</v>
      </c>
      <c r="F16226" s="1">
        <v>3.9932452135461302E-4</v>
      </c>
    </row>
    <row r="16227" spans="1:6" x14ac:dyDescent="0.25">
      <c r="A16227" s="2" t="str">
        <f t="shared" si="580"/>
        <v>19100</v>
      </c>
      <c r="B16227" s="2" t="str">
        <f>"76137"</f>
        <v>76137</v>
      </c>
      <c r="C16227" s="1">
        <v>7.1248535214579901E-3</v>
      </c>
      <c r="D16227" s="1">
        <v>3.2910128833016101E-3</v>
      </c>
      <c r="E16227" s="1">
        <v>5.1091034325952698E-3</v>
      </c>
      <c r="F16227" s="1">
        <v>6.7085431509860101E-3</v>
      </c>
    </row>
    <row r="16228" spans="1:6" x14ac:dyDescent="0.25">
      <c r="A16228" s="2" t="str">
        <f t="shared" si="580"/>
        <v>19100</v>
      </c>
      <c r="B16228" s="2" t="str">
        <f>"76197"</f>
        <v>76197</v>
      </c>
      <c r="C16228" s="1">
        <v>0</v>
      </c>
      <c r="D16228" s="1">
        <v>3.1194434912811502E-6</v>
      </c>
      <c r="E16228" s="1">
        <v>0</v>
      </c>
      <c r="F16228" s="1">
        <v>2.7201942871567599E-7</v>
      </c>
    </row>
    <row r="16229" spans="1:6" x14ac:dyDescent="0.25">
      <c r="A16229" s="2" t="str">
        <f t="shared" si="580"/>
        <v>19100</v>
      </c>
      <c r="B16229" s="2" t="str">
        <f>"76208"</f>
        <v>76208</v>
      </c>
      <c r="C16229" s="1">
        <v>3.2406964097512802E-3</v>
      </c>
      <c r="D16229" s="1">
        <v>1.6533050503790101E-3</v>
      </c>
      <c r="E16229" s="1">
        <v>2.1332513023532601E-3</v>
      </c>
      <c r="F16229" s="1">
        <v>3.0572263593354799E-3</v>
      </c>
    </row>
    <row r="16230" spans="1:6" x14ac:dyDescent="0.25">
      <c r="A16230" s="2" t="str">
        <f t="shared" si="580"/>
        <v>19100</v>
      </c>
      <c r="B16230" s="2" t="str">
        <f>"76122"</f>
        <v>76122</v>
      </c>
      <c r="C16230" s="1">
        <v>0</v>
      </c>
      <c r="D16230" s="1">
        <v>3.1194434912811502E-6</v>
      </c>
      <c r="E16230" s="1">
        <v>0</v>
      </c>
      <c r="F16230" s="1">
        <v>2.7201942871567599E-7</v>
      </c>
    </row>
    <row r="16231" spans="1:6" x14ac:dyDescent="0.25">
      <c r="A16231" s="2" t="str">
        <f t="shared" si="580"/>
        <v>19100</v>
      </c>
      <c r="B16231" s="2" t="str">
        <f>"76130"</f>
        <v>76130</v>
      </c>
      <c r="C16231" s="1">
        <v>0</v>
      </c>
      <c r="D16231" s="1">
        <v>3.1194434912811502E-6</v>
      </c>
      <c r="E16231" s="1">
        <v>4.6811157104930502E-5</v>
      </c>
      <c r="F16231" s="1">
        <v>2.17615542972541E-6</v>
      </c>
    </row>
    <row r="16232" spans="1:6" x14ac:dyDescent="0.25">
      <c r="A16232" s="2" t="str">
        <f t="shared" si="580"/>
        <v>19100</v>
      </c>
      <c r="B16232" s="2" t="str">
        <f>"76124"</f>
        <v>76124</v>
      </c>
      <c r="C16232" s="1">
        <v>4.3167698085618602E-4</v>
      </c>
      <c r="D16232" s="1">
        <v>1.6033939545185101E-3</v>
      </c>
      <c r="E16232" s="1">
        <v>1.33746163156944E-5</v>
      </c>
      <c r="F16232" s="1">
        <v>5.1683691455978501E-4</v>
      </c>
    </row>
    <row r="16233" spans="1:6" x14ac:dyDescent="0.25">
      <c r="A16233" s="2" t="str">
        <f t="shared" si="580"/>
        <v>19100</v>
      </c>
      <c r="B16233" s="2" t="str">
        <f>"76115"</f>
        <v>76115</v>
      </c>
      <c r="C16233" s="1">
        <v>2.4646759412757101E-3</v>
      </c>
      <c r="D16233" s="1">
        <v>3.4501045013569502E-3</v>
      </c>
      <c r="E16233" s="1">
        <v>3.7783291091836799E-3</v>
      </c>
      <c r="F16233" s="1">
        <v>2.60404199109517E-3</v>
      </c>
    </row>
    <row r="16234" spans="1:6" x14ac:dyDescent="0.25">
      <c r="A16234" s="2" t="str">
        <f t="shared" si="580"/>
        <v>19100</v>
      </c>
      <c r="B16234" s="2" t="str">
        <f>"76098"</f>
        <v>76098</v>
      </c>
      <c r="C16234" s="1">
        <v>6.2568209797507902E-4</v>
      </c>
      <c r="D16234" s="1">
        <v>1.0013413607012499E-3</v>
      </c>
      <c r="E16234" s="1">
        <v>1.33746163156944E-5</v>
      </c>
      <c r="F16234" s="1">
        <v>6.3353324947881004E-4</v>
      </c>
    </row>
    <row r="16235" spans="1:6" x14ac:dyDescent="0.25">
      <c r="A16235" s="2" t="str">
        <f t="shared" si="580"/>
        <v>19100</v>
      </c>
      <c r="B16235" s="2" t="str">
        <f>"76096"</f>
        <v>76096</v>
      </c>
      <c r="C16235" s="1">
        <v>6.3410354196577002E-4</v>
      </c>
      <c r="D16235" s="1">
        <v>1.5503634151667299E-3</v>
      </c>
      <c r="E16235" s="1">
        <v>1.33746163156944E-5</v>
      </c>
      <c r="F16235" s="1">
        <v>6.8875319350809297E-4</v>
      </c>
    </row>
    <row r="16236" spans="1:6" x14ac:dyDescent="0.25">
      <c r="A16236" s="2" t="str">
        <f t="shared" si="580"/>
        <v>19100</v>
      </c>
      <c r="B16236" s="2" t="str">
        <f>"76012"</f>
        <v>76012</v>
      </c>
      <c r="C16236" s="1">
        <v>3.85234276774187E-3</v>
      </c>
      <c r="D16236" s="1">
        <v>4.6604485759740404E-3</v>
      </c>
      <c r="E16236" s="1">
        <v>7.3426643573162396E-3</v>
      </c>
      <c r="F16236" s="1">
        <v>4.0647863232983498E-3</v>
      </c>
    </row>
    <row r="16237" spans="1:6" x14ac:dyDescent="0.25">
      <c r="A16237" s="2" t="str">
        <f t="shared" si="580"/>
        <v>19100</v>
      </c>
      <c r="B16237" s="2" t="str">
        <f>"76007"</f>
        <v>76007</v>
      </c>
      <c r="C16237" s="1">
        <v>3.8894595023675102E-4</v>
      </c>
      <c r="D16237" s="1">
        <v>4.2736375830551798E-4</v>
      </c>
      <c r="E16237" s="1">
        <v>2.00619244735416E-5</v>
      </c>
      <c r="F16237" s="1">
        <v>3.77290947628643E-4</v>
      </c>
    </row>
    <row r="16238" spans="1:6" x14ac:dyDescent="0.25">
      <c r="A16238" s="2" t="str">
        <f t="shared" si="580"/>
        <v>19100</v>
      </c>
      <c r="B16238" s="2" t="str">
        <f>"76005"</f>
        <v>76005</v>
      </c>
      <c r="C16238" s="1">
        <v>9.6846605892952204E-4</v>
      </c>
      <c r="D16238" s="1">
        <v>4.30483201796799E-4</v>
      </c>
      <c r="E16238" s="1">
        <v>6.0185773420624901E-5</v>
      </c>
      <c r="F16238" s="1">
        <v>8.8460718218337996E-4</v>
      </c>
    </row>
    <row r="16239" spans="1:6" x14ac:dyDescent="0.25">
      <c r="A16239" s="2" t="str">
        <f t="shared" si="580"/>
        <v>19100</v>
      </c>
      <c r="B16239" s="2" t="str">
        <f>"76006"</f>
        <v>76006</v>
      </c>
      <c r="C16239" s="1">
        <v>4.7097705281274596E-3</v>
      </c>
      <c r="D16239" s="1">
        <v>3.5031350407087299E-3</v>
      </c>
      <c r="E16239" s="1">
        <v>1.3260932077011E-2</v>
      </c>
      <c r="F16239" s="1">
        <v>4.9523857191976E-3</v>
      </c>
    </row>
    <row r="16240" spans="1:6" x14ac:dyDescent="0.25">
      <c r="A16240" s="2" t="str">
        <f t="shared" si="580"/>
        <v>19100</v>
      </c>
      <c r="B16240" s="2" t="str">
        <f>"76016"</f>
        <v>76016</v>
      </c>
      <c r="C16240" s="1">
        <v>3.8127307904523202E-3</v>
      </c>
      <c r="D16240" s="1">
        <v>1.76872445955641E-3</v>
      </c>
      <c r="E16240" s="1">
        <v>1.49126971919993E-3</v>
      </c>
      <c r="F16240" s="1">
        <v>3.54006084530581E-3</v>
      </c>
    </row>
    <row r="16241" spans="1:6" x14ac:dyDescent="0.25">
      <c r="A16241" s="2" t="str">
        <f t="shared" si="580"/>
        <v>19100</v>
      </c>
      <c r="B16241" s="2" t="str">
        <f>"76018"</f>
        <v>76018</v>
      </c>
      <c r="C16241" s="1">
        <v>2.8127622928909601E-3</v>
      </c>
      <c r="D16241" s="1">
        <v>2.0369965998065899E-3</v>
      </c>
      <c r="E16241" s="1">
        <v>2.1666878431424899E-3</v>
      </c>
      <c r="F16241" s="1">
        <v>2.7188341900131799E-3</v>
      </c>
    </row>
    <row r="16242" spans="1:6" x14ac:dyDescent="0.25">
      <c r="A16242" s="2" t="str">
        <f t="shared" si="580"/>
        <v>19100</v>
      </c>
      <c r="B16242" s="2" t="str">
        <f>"75409"</f>
        <v>75409</v>
      </c>
      <c r="C16242" s="1">
        <v>2.32774950009372E-3</v>
      </c>
      <c r="D16242" s="1">
        <v>6.5508313316904197E-4</v>
      </c>
      <c r="E16242" s="1">
        <v>7.3560389736319399E-4</v>
      </c>
      <c r="F16242" s="1">
        <v>2.11712721369411E-3</v>
      </c>
    </row>
    <row r="16243" spans="1:6" x14ac:dyDescent="0.25">
      <c r="A16243" s="2" t="str">
        <f t="shared" si="580"/>
        <v>19100</v>
      </c>
      <c r="B16243" s="2" t="str">
        <f>"75382"</f>
        <v>75382</v>
      </c>
      <c r="C16243" s="1">
        <v>7.5044423117050804E-4</v>
      </c>
      <c r="D16243" s="1">
        <v>1.20098574414324E-3</v>
      </c>
      <c r="E16243" s="1">
        <v>1.33746163156944E-5</v>
      </c>
      <c r="F16243" s="1">
        <v>7.5975026440288404E-4</v>
      </c>
    </row>
    <row r="16244" spans="1:6" x14ac:dyDescent="0.25">
      <c r="A16244" s="2" t="str">
        <f t="shared" si="580"/>
        <v>19100</v>
      </c>
      <c r="B16244" s="2" t="str">
        <f>"75241"</f>
        <v>75241</v>
      </c>
      <c r="C16244" s="1">
        <v>4.0385502515360499E-3</v>
      </c>
      <c r="D16244" s="1">
        <v>1.94341329506815E-3</v>
      </c>
      <c r="E16244" s="1">
        <v>3.6512702541845799E-3</v>
      </c>
      <c r="F16244" s="1">
        <v>3.8400982751791999E-3</v>
      </c>
    </row>
    <row r="16245" spans="1:6" x14ac:dyDescent="0.25">
      <c r="A16245" s="2" t="str">
        <f t="shared" ref="A16245:A16310" si="581">"19100"</f>
        <v>19100</v>
      </c>
      <c r="B16245" s="2" t="str">
        <f>"75168"</f>
        <v>75168</v>
      </c>
      <c r="C16245" s="1">
        <v>2.6667905970522999E-4</v>
      </c>
      <c r="D16245" s="1">
        <v>1.39127179711139E-3</v>
      </c>
      <c r="E16245" s="1">
        <v>1.33746163156944E-5</v>
      </c>
      <c r="F16245" s="1">
        <v>3.5444131561652601E-4</v>
      </c>
    </row>
    <row r="16246" spans="1:6" x14ac:dyDescent="0.25">
      <c r="A16246" s="2" t="str">
        <f t="shared" si="581"/>
        <v>19100</v>
      </c>
      <c r="B16246" s="2" t="str">
        <f>"75161"</f>
        <v>75161</v>
      </c>
      <c r="C16246" s="1">
        <v>9.4756840161928696E-4</v>
      </c>
      <c r="D16246" s="1">
        <v>2.4331659231992999E-4</v>
      </c>
      <c r="E16246" s="1">
        <v>4.0123848947083302E-5</v>
      </c>
      <c r="F16246" s="1">
        <v>8.4924465645034198E-4</v>
      </c>
    </row>
    <row r="16247" spans="1:6" x14ac:dyDescent="0.25">
      <c r="A16247" s="2" t="str">
        <f t="shared" si="581"/>
        <v>19100</v>
      </c>
      <c r="B16247" s="2" t="str">
        <f>"75157"</f>
        <v>75157</v>
      </c>
      <c r="C16247" s="1">
        <v>1.12285919875886E-5</v>
      </c>
      <c r="D16247" s="1">
        <v>3.1194434912811502E-6</v>
      </c>
      <c r="E16247" s="1">
        <v>0</v>
      </c>
      <c r="F16247" s="1">
        <v>1.006471886248E-5</v>
      </c>
    </row>
    <row r="16248" spans="1:6" x14ac:dyDescent="0.25">
      <c r="A16248" s="2" t="str">
        <f t="shared" si="581"/>
        <v>19100</v>
      </c>
      <c r="B16248" s="2" t="str">
        <f>"75160"</f>
        <v>75160</v>
      </c>
      <c r="C16248" s="1">
        <v>3.5501065000759402E-3</v>
      </c>
      <c r="D16248" s="1">
        <v>4.6479708020089197E-3</v>
      </c>
      <c r="E16248" s="1">
        <v>1.8925082086707599E-3</v>
      </c>
      <c r="F16248" s="1">
        <v>3.5784155847547201E-3</v>
      </c>
    </row>
    <row r="16249" spans="1:6" x14ac:dyDescent="0.25">
      <c r="A16249" s="2" t="str">
        <f t="shared" si="581"/>
        <v>19100</v>
      </c>
      <c r="B16249" s="2" t="str">
        <f>"75204"</f>
        <v>75204</v>
      </c>
      <c r="C16249" s="1">
        <v>7.6519735342086802E-3</v>
      </c>
      <c r="D16249" s="1">
        <v>4.9755123685934401E-3</v>
      </c>
      <c r="E16249" s="1">
        <v>1.0933748838080201E-2</v>
      </c>
      <c r="F16249" s="1">
        <v>7.5520753994333199E-3</v>
      </c>
    </row>
    <row r="16250" spans="1:6" x14ac:dyDescent="0.25">
      <c r="A16250" s="2" t="str">
        <f t="shared" si="581"/>
        <v>19100</v>
      </c>
      <c r="B16250" s="2" t="str">
        <f>"75181"</f>
        <v>75181</v>
      </c>
      <c r="C16250" s="1">
        <v>2.56136659450216E-3</v>
      </c>
      <c r="D16250" s="1">
        <v>6.0829148079982504E-4</v>
      </c>
      <c r="E16250" s="1">
        <v>2.2068116920895801E-4</v>
      </c>
      <c r="F16250" s="1">
        <v>2.29584397836031E-3</v>
      </c>
    </row>
    <row r="16251" spans="1:6" x14ac:dyDescent="0.25">
      <c r="A16251" s="2" t="str">
        <f t="shared" si="581"/>
        <v>19100</v>
      </c>
      <c r="B16251" s="2" t="str">
        <f>"75134"</f>
        <v>75134</v>
      </c>
      <c r="C16251" s="1">
        <v>2.2775327414825599E-3</v>
      </c>
      <c r="D16251" s="1">
        <v>9.04638612471535E-4</v>
      </c>
      <c r="E16251" s="1">
        <v>3.61114640523749E-4</v>
      </c>
      <c r="F16251" s="1">
        <v>2.0798605519600599E-3</v>
      </c>
    </row>
    <row r="16252" spans="1:6" x14ac:dyDescent="0.25">
      <c r="A16252" s="2" t="str">
        <f t="shared" si="581"/>
        <v>19100</v>
      </c>
      <c r="B16252" s="2" t="str">
        <f>"75101"</f>
        <v>75101</v>
      </c>
      <c r="C16252" s="1">
        <v>0</v>
      </c>
      <c r="D16252" s="1">
        <v>0</v>
      </c>
      <c r="E16252" s="1">
        <v>6.6873081578472203E-6</v>
      </c>
      <c r="F16252" s="1">
        <v>2.7201942871567599E-7</v>
      </c>
    </row>
    <row r="16253" spans="1:6" x14ac:dyDescent="0.25">
      <c r="A16253" s="2" t="str">
        <f t="shared" si="581"/>
        <v>19100</v>
      </c>
      <c r="B16253" s="2" t="str">
        <f>"75002"</f>
        <v>75002</v>
      </c>
      <c r="C16253" s="1">
        <v>7.4074397531456396E-3</v>
      </c>
      <c r="D16253" s="1">
        <v>2.9135602208565899E-3</v>
      </c>
      <c r="E16253" s="1">
        <v>1.81894781893444E-3</v>
      </c>
      <c r="F16253" s="1">
        <v>6.7882448435997002E-3</v>
      </c>
    </row>
    <row r="16254" spans="1:6" x14ac:dyDescent="0.25">
      <c r="A16254" s="2" t="str">
        <f t="shared" si="581"/>
        <v>19100</v>
      </c>
      <c r="B16254" s="2" t="str">
        <f>"75023"</f>
        <v>75023</v>
      </c>
      <c r="C16254" s="1">
        <v>5.8469773722037996E-3</v>
      </c>
      <c r="D16254" s="1">
        <v>3.8774682596624701E-3</v>
      </c>
      <c r="E16254" s="1">
        <v>3.5977717889217999E-3</v>
      </c>
      <c r="F16254" s="1">
        <v>5.5837428132466897E-3</v>
      </c>
    </row>
    <row r="16255" spans="1:6" x14ac:dyDescent="0.25">
      <c r="A16255" s="2" t="str">
        <f t="shared" si="581"/>
        <v>19100</v>
      </c>
      <c r="B16255" s="2" t="str">
        <f>"75032"</f>
        <v>75032</v>
      </c>
      <c r="C16255" s="1">
        <v>4.0996836968018096E-3</v>
      </c>
      <c r="D16255" s="1">
        <v>2.3926131578126402E-3</v>
      </c>
      <c r="E16255" s="1">
        <v>2.1399386105111101E-3</v>
      </c>
      <c r="F16255" s="1">
        <v>3.8711084900527899E-3</v>
      </c>
    </row>
    <row r="16256" spans="1:6" x14ac:dyDescent="0.25">
      <c r="A16256" s="2" t="str">
        <f t="shared" si="581"/>
        <v>19100</v>
      </c>
      <c r="B16256" s="2" t="str">
        <f>"75026"</f>
        <v>75026</v>
      </c>
      <c r="C16256" s="1">
        <v>4.4914367950354598E-4</v>
      </c>
      <c r="D16256" s="1">
        <v>1.74064946813488E-3</v>
      </c>
      <c r="E16256" s="1">
        <v>2.00619244735416E-5</v>
      </c>
      <c r="F16256" s="1">
        <v>5.4431087686006795E-4</v>
      </c>
    </row>
    <row r="16257" spans="1:6" x14ac:dyDescent="0.25">
      <c r="A16257" s="2" t="str">
        <f t="shared" si="581"/>
        <v>19100</v>
      </c>
      <c r="B16257" s="2" t="str">
        <f>"75017"</f>
        <v>75017</v>
      </c>
      <c r="C16257" s="1">
        <v>2.7322907169798999E-4</v>
      </c>
      <c r="D16257" s="1">
        <v>7.23710889977228E-4</v>
      </c>
      <c r="E16257" s="1">
        <v>1.33746163156944E-5</v>
      </c>
      <c r="F16257" s="1">
        <v>3.0194156587440101E-4</v>
      </c>
    </row>
    <row r="16258" spans="1:6" x14ac:dyDescent="0.25">
      <c r="A16258" s="2" t="str">
        <f t="shared" si="581"/>
        <v>19100</v>
      </c>
      <c r="B16258" s="2" t="str">
        <f>"75013"</f>
        <v>75013</v>
      </c>
      <c r="C16258" s="1">
        <v>5.8946988881510504E-3</v>
      </c>
      <c r="D16258" s="1">
        <v>6.26384253049256E-3</v>
      </c>
      <c r="E16258" s="1">
        <v>2.68829787945458E-3</v>
      </c>
      <c r="F16258" s="1">
        <v>5.7964620065023504E-3</v>
      </c>
    </row>
    <row r="16259" spans="1:6" x14ac:dyDescent="0.25">
      <c r="A16259" s="2" t="str">
        <f t="shared" si="581"/>
        <v>19100</v>
      </c>
      <c r="B16259" s="2" t="str">
        <f>"76133"</f>
        <v>76133</v>
      </c>
      <c r="C16259" s="1">
        <v>6.2362352277735402E-3</v>
      </c>
      <c r="D16259" s="1">
        <v>3.13192126524628E-3</v>
      </c>
      <c r="E16259" s="1">
        <v>6.1723854296929798E-3</v>
      </c>
      <c r="F16259" s="1">
        <v>5.9629378968763403E-3</v>
      </c>
    </row>
    <row r="16260" spans="1:6" x14ac:dyDescent="0.25">
      <c r="A16260" s="2" t="str">
        <f t="shared" si="581"/>
        <v>19100</v>
      </c>
      <c r="B16260" s="2" t="str">
        <f>"76234"</f>
        <v>76234</v>
      </c>
      <c r="C16260" s="1">
        <v>2.7828193809240499E-3</v>
      </c>
      <c r="D16260" s="1">
        <v>4.0022459993137201E-3</v>
      </c>
      <c r="E16260" s="1">
        <v>1.9995051391963098E-3</v>
      </c>
      <c r="F16260" s="1">
        <v>2.8572920792294598E-3</v>
      </c>
    </row>
    <row r="16261" spans="1:6" x14ac:dyDescent="0.25">
      <c r="A16261" s="2" t="str">
        <f t="shared" si="581"/>
        <v>19100</v>
      </c>
      <c r="B16261" s="2" t="str">
        <f>"76226"</f>
        <v>76226</v>
      </c>
      <c r="C16261" s="1">
        <v>4.3495198685256599E-3</v>
      </c>
      <c r="D16261" s="1">
        <v>2.4893159060423598E-3</v>
      </c>
      <c r="E16261" s="1">
        <v>5.8848311789055495E-4</v>
      </c>
      <c r="F16261" s="1">
        <v>4.03432014728219E-3</v>
      </c>
    </row>
    <row r="16262" spans="1:6" x14ac:dyDescent="0.25">
      <c r="A16262" s="2" t="str">
        <f t="shared" si="581"/>
        <v>19100</v>
      </c>
      <c r="B16262" s="2" t="str">
        <f>"76227"</f>
        <v>76227</v>
      </c>
      <c r="C16262" s="1">
        <v>5.7764867669483798E-3</v>
      </c>
      <c r="D16262" s="1">
        <v>2.1992076613532099E-3</v>
      </c>
      <c r="E16262" s="1">
        <v>1.20371546841249E-3</v>
      </c>
      <c r="F16262" s="1">
        <v>5.2785370142277004E-3</v>
      </c>
    </row>
    <row r="16263" spans="1:6" x14ac:dyDescent="0.25">
      <c r="A16263" s="2" t="str">
        <f t="shared" si="581"/>
        <v>19100</v>
      </c>
      <c r="B16263" s="2" t="str">
        <f>"76129"</f>
        <v>76129</v>
      </c>
      <c r="C16263" s="1">
        <v>0</v>
      </c>
      <c r="D16263" s="1">
        <v>3.1194434912811502E-6</v>
      </c>
      <c r="E16263" s="1">
        <v>2.00619244735416E-5</v>
      </c>
      <c r="F16263" s="1">
        <v>1.0880777148626999E-6</v>
      </c>
    </row>
    <row r="16264" spans="1:6" x14ac:dyDescent="0.25">
      <c r="A16264" s="2" t="str">
        <f t="shared" si="581"/>
        <v>19100</v>
      </c>
      <c r="B16264" s="2" t="str">
        <f>"76121"</f>
        <v>76121</v>
      </c>
      <c r="C16264" s="1">
        <v>4.9780091144976404E-4</v>
      </c>
      <c r="D16264" s="1">
        <v>1.0418941260878999E-3</v>
      </c>
      <c r="E16264" s="1">
        <v>1.33746163156944E-5</v>
      </c>
      <c r="F16264" s="1">
        <v>5.2554153627868696E-4</v>
      </c>
    </row>
    <row r="16265" spans="1:6" x14ac:dyDescent="0.25">
      <c r="A16265" s="2" t="str">
        <f t="shared" si="581"/>
        <v>19100</v>
      </c>
      <c r="B16265" s="2" t="str">
        <f>"76179"</f>
        <v>76179</v>
      </c>
      <c r="C16265" s="1">
        <v>7.5674471889687796E-3</v>
      </c>
      <c r="D16265" s="1">
        <v>3.9928876688398703E-3</v>
      </c>
      <c r="E16265" s="1">
        <v>3.0895363689254101E-3</v>
      </c>
      <c r="F16265" s="1">
        <v>7.0735932243224499E-3</v>
      </c>
    </row>
    <row r="16266" spans="1:6" x14ac:dyDescent="0.25">
      <c r="A16266" s="2" t="str">
        <f t="shared" si="581"/>
        <v>19100</v>
      </c>
      <c r="B16266" s="2" t="str">
        <f>"76071"</f>
        <v>76071</v>
      </c>
      <c r="C16266" s="1">
        <v>7.5075613650349698E-4</v>
      </c>
      <c r="D16266" s="1">
        <v>4.1488598434039298E-4</v>
      </c>
      <c r="E16266" s="1">
        <v>3.9455118131298598E-4</v>
      </c>
      <c r="F16266" s="1">
        <v>7.0697849523204302E-4</v>
      </c>
    </row>
    <row r="16267" spans="1:6" x14ac:dyDescent="0.25">
      <c r="A16267" s="2" t="str">
        <f t="shared" si="581"/>
        <v>19100</v>
      </c>
      <c r="B16267" s="2" t="str">
        <f>"76064"</f>
        <v>76064</v>
      </c>
      <c r="C16267" s="1">
        <v>1.35366914517041E-4</v>
      </c>
      <c r="D16267" s="1">
        <v>2.1836104438968001E-5</v>
      </c>
      <c r="E16267" s="1">
        <v>2.8086694262958301E-4</v>
      </c>
      <c r="F16267" s="1">
        <v>1.3138538406967101E-4</v>
      </c>
    </row>
    <row r="16268" spans="1:6" x14ac:dyDescent="0.25">
      <c r="A16268" s="2" t="str">
        <f t="shared" si="581"/>
        <v>19100</v>
      </c>
      <c r="B16268" s="2" t="str">
        <f>"76106"</f>
        <v>76106</v>
      </c>
      <c r="C16268" s="1">
        <v>3.5005135521307602E-3</v>
      </c>
      <c r="D16268" s="1">
        <v>4.1488598434039304E-3</v>
      </c>
      <c r="E16268" s="1">
        <v>8.3190113483619394E-3</v>
      </c>
      <c r="F16268" s="1">
        <v>3.7530520579901801E-3</v>
      </c>
    </row>
    <row r="16269" spans="1:6" x14ac:dyDescent="0.25">
      <c r="A16269" s="2" t="str">
        <f t="shared" si="581"/>
        <v>19100</v>
      </c>
      <c r="B16269" s="2" t="str">
        <f>"76055"</f>
        <v>76055</v>
      </c>
      <c r="C16269" s="1">
        <v>9.3571599896572101E-7</v>
      </c>
      <c r="D16269" s="1">
        <v>0</v>
      </c>
      <c r="E16269" s="1">
        <v>0</v>
      </c>
      <c r="F16269" s="1">
        <v>8.1605828614702903E-7</v>
      </c>
    </row>
    <row r="16270" spans="1:6" x14ac:dyDescent="0.25">
      <c r="A16270" s="2" t="str">
        <f t="shared" si="581"/>
        <v>19100</v>
      </c>
      <c r="B16270" s="2" t="str">
        <f>"76095"</f>
        <v>76095</v>
      </c>
      <c r="C16270" s="1">
        <v>4.71288958145735E-4</v>
      </c>
      <c r="D16270" s="1">
        <v>1.66890226783541E-3</v>
      </c>
      <c r="E16270" s="1">
        <v>2.67492326313888E-5</v>
      </c>
      <c r="F16270" s="1">
        <v>5.57639828867137E-4</v>
      </c>
    </row>
    <row r="16271" spans="1:6" x14ac:dyDescent="0.25">
      <c r="A16271" s="2" t="str">
        <f t="shared" si="581"/>
        <v>19100</v>
      </c>
      <c r="B16271" s="2" t="str">
        <f>"76087"</f>
        <v>76087</v>
      </c>
      <c r="C16271" s="1">
        <v>4.21290533267666E-3</v>
      </c>
      <c r="D16271" s="1">
        <v>2.3707770533736702E-3</v>
      </c>
      <c r="E16271" s="1">
        <v>1.81894781893444E-3</v>
      </c>
      <c r="F16271" s="1">
        <v>3.9548904740972198E-3</v>
      </c>
    </row>
    <row r="16272" spans="1:6" x14ac:dyDescent="0.25">
      <c r="A16272" s="2" t="str">
        <f t="shared" si="581"/>
        <v>19100</v>
      </c>
      <c r="B16272" s="2" t="str">
        <f>"76049"</f>
        <v>76049</v>
      </c>
      <c r="C16272" s="1">
        <v>1.11038298543932E-4</v>
      </c>
      <c r="D16272" s="1">
        <v>6.2388869825623097E-6</v>
      </c>
      <c r="E16272" s="1">
        <v>0</v>
      </c>
      <c r="F16272" s="1">
        <v>9.73829554802122E-5</v>
      </c>
    </row>
    <row r="16273" spans="1:6" x14ac:dyDescent="0.25">
      <c r="A16273" s="2" t="str">
        <f t="shared" si="581"/>
        <v>19100</v>
      </c>
      <c r="B16273" s="2" t="str">
        <f>"76044"</f>
        <v>76044</v>
      </c>
      <c r="C16273" s="1">
        <v>6.1414160065450195E-4</v>
      </c>
      <c r="D16273" s="1">
        <v>2.33958261846086E-4</v>
      </c>
      <c r="E16273" s="1">
        <v>1.6049539578833299E-4</v>
      </c>
      <c r="F16273" s="1">
        <v>5.6253617858401897E-4</v>
      </c>
    </row>
    <row r="16274" spans="1:6" x14ac:dyDescent="0.25">
      <c r="A16274" s="2" t="str">
        <f t="shared" si="581"/>
        <v>19100</v>
      </c>
      <c r="B16274" s="2" t="str">
        <f>"76041"</f>
        <v>76041</v>
      </c>
      <c r="C16274" s="1">
        <v>2.52643319720744E-5</v>
      </c>
      <c r="D16274" s="1">
        <v>3.1194434912811502E-6</v>
      </c>
      <c r="E16274" s="1">
        <v>2.00619244735416E-5</v>
      </c>
      <c r="F16274" s="1">
        <v>2.3121651440832499E-5</v>
      </c>
    </row>
    <row r="16275" spans="1:6" x14ac:dyDescent="0.25">
      <c r="A16275" s="2" t="str">
        <f t="shared" si="581"/>
        <v>19100</v>
      </c>
      <c r="B16275" s="2" t="str">
        <f>"76031"</f>
        <v>76031</v>
      </c>
      <c r="C16275" s="1">
        <v>2.2210778762116298E-3</v>
      </c>
      <c r="D16275" s="1">
        <v>1.5004523193062301E-3</v>
      </c>
      <c r="E16275" s="1">
        <v>1.7453874291981199E-3</v>
      </c>
      <c r="F16275" s="1">
        <v>2.13888876799136E-3</v>
      </c>
    </row>
    <row r="16276" spans="1:6" x14ac:dyDescent="0.25">
      <c r="A16276" s="2" t="str">
        <f t="shared" si="581"/>
        <v>19100</v>
      </c>
      <c r="B16276" s="2" t="str">
        <f>"76034"</f>
        <v>76034</v>
      </c>
      <c r="C16276" s="1">
        <v>3.2319630604276E-3</v>
      </c>
      <c r="D16276" s="1">
        <v>5.7491343544311601E-3</v>
      </c>
      <c r="E16276" s="1">
        <v>2.5077405591927E-3</v>
      </c>
      <c r="F16276" s="1">
        <v>3.4220044132432098E-3</v>
      </c>
    </row>
    <row r="16277" spans="1:6" x14ac:dyDescent="0.25">
      <c r="A16277" s="2" t="str">
        <f t="shared" si="581"/>
        <v>19100</v>
      </c>
      <c r="B16277" s="2" t="str">
        <f>"76014"</f>
        <v>76014</v>
      </c>
      <c r="C16277" s="1">
        <v>3.8429856077522098E-3</v>
      </c>
      <c r="D16277" s="1">
        <v>1.31016626633808E-3</v>
      </c>
      <c r="E16277" s="1">
        <v>4.0525087436554096E-3</v>
      </c>
      <c r="F16277" s="1">
        <v>3.6306433150681298E-3</v>
      </c>
    </row>
    <row r="16278" spans="1:6" x14ac:dyDescent="0.25">
      <c r="A16278" s="2" t="str">
        <f t="shared" si="581"/>
        <v>19100</v>
      </c>
      <c r="B16278" s="2" t="str">
        <f>"75442"</f>
        <v>75442</v>
      </c>
      <c r="C16278" s="1">
        <v>1.4029501877826E-3</v>
      </c>
      <c r="D16278" s="1">
        <v>7.4554699441619601E-4</v>
      </c>
      <c r="E16278" s="1">
        <v>2.47430401840347E-4</v>
      </c>
      <c r="F16278" s="1">
        <v>1.29862075268864E-3</v>
      </c>
    </row>
    <row r="16279" spans="1:6" x14ac:dyDescent="0.25">
      <c r="A16279" s="2" t="str">
        <f t="shared" si="581"/>
        <v>19100</v>
      </c>
      <c r="B16279" s="2" t="str">
        <f>"75403"</f>
        <v>75403</v>
      </c>
      <c r="C16279" s="1">
        <v>3.41224434289499E-4</v>
      </c>
      <c r="D16279" s="1">
        <v>8.6720529057616102E-4</v>
      </c>
      <c r="E16279" s="1">
        <v>1.33746163156944E-5</v>
      </c>
      <c r="F16279" s="1">
        <v>3.7375469505533898E-4</v>
      </c>
    </row>
    <row r="16280" spans="1:6" x14ac:dyDescent="0.25">
      <c r="A16280" s="2" t="str">
        <f t="shared" si="581"/>
        <v>19100</v>
      </c>
      <c r="B16280" s="2" t="str">
        <f>"75458"</f>
        <v>75458</v>
      </c>
      <c r="C16280" s="1">
        <v>0</v>
      </c>
      <c r="D16280" s="1">
        <v>0</v>
      </c>
      <c r="E16280" s="1">
        <v>6.6873081578472203E-6</v>
      </c>
      <c r="F16280" s="1">
        <v>2.7201942871567599E-7</v>
      </c>
    </row>
    <row r="16281" spans="1:6" x14ac:dyDescent="0.25">
      <c r="A16281" s="2" t="str">
        <f t="shared" si="581"/>
        <v>19100</v>
      </c>
      <c r="B16281" s="2" t="str">
        <f>"75398"</f>
        <v>75398</v>
      </c>
      <c r="C16281" s="1">
        <v>0</v>
      </c>
      <c r="D16281" s="1">
        <v>3.1194434912811502E-6</v>
      </c>
      <c r="E16281" s="1">
        <v>6.6873081578472203E-6</v>
      </c>
      <c r="F16281" s="1">
        <v>5.4403885743135304E-7</v>
      </c>
    </row>
    <row r="16282" spans="1:6" x14ac:dyDescent="0.25">
      <c r="A16282" s="2" t="str">
        <f t="shared" si="581"/>
        <v>19100</v>
      </c>
      <c r="B16282" s="2" t="str">
        <f>"75401"</f>
        <v>75401</v>
      </c>
      <c r="C16282" s="1">
        <v>2.83147661287027E-3</v>
      </c>
      <c r="D16282" s="1">
        <v>2.68272140250179E-3</v>
      </c>
      <c r="E16282" s="1">
        <v>2.3138086226151301E-3</v>
      </c>
      <c r="F16282" s="1">
        <v>2.7974478049120101E-3</v>
      </c>
    </row>
    <row r="16283" spans="1:6" x14ac:dyDescent="0.25">
      <c r="A16283" s="2" t="str">
        <f t="shared" si="581"/>
        <v>19100</v>
      </c>
      <c r="B16283" s="2" t="str">
        <f>"75379"</f>
        <v>75379</v>
      </c>
      <c r="C16283" s="1">
        <v>5.0840569277137496E-4</v>
      </c>
      <c r="D16283" s="1">
        <v>1.75000779860872E-3</v>
      </c>
      <c r="E16283" s="1">
        <v>1.33746163156944E-5</v>
      </c>
      <c r="F16283" s="1">
        <v>5.9653860717347803E-4</v>
      </c>
    </row>
    <row r="16284" spans="1:6" x14ac:dyDescent="0.25">
      <c r="A16284" s="2" t="str">
        <f t="shared" si="581"/>
        <v>19100</v>
      </c>
      <c r="B16284" s="2" t="str">
        <f>"75313"</f>
        <v>75313</v>
      </c>
      <c r="C16284" s="1">
        <v>5.0684616610643203E-4</v>
      </c>
      <c r="D16284" s="1">
        <v>1.1323579873350499E-3</v>
      </c>
      <c r="E16284" s="1">
        <v>1.33746163156944E-5</v>
      </c>
      <c r="F16284" s="1">
        <v>5.4131866314419597E-4</v>
      </c>
    </row>
    <row r="16285" spans="1:6" x14ac:dyDescent="0.25">
      <c r="A16285" s="2" t="str">
        <f t="shared" si="581"/>
        <v>19100</v>
      </c>
      <c r="B16285" s="2" t="str">
        <f>"75221"</f>
        <v>75221</v>
      </c>
      <c r="C16285" s="1">
        <v>2.46405213060973E-5</v>
      </c>
      <c r="D16285" s="1">
        <v>4.9911095860498403E-5</v>
      </c>
      <c r="E16285" s="1">
        <v>1.33746163156944E-5</v>
      </c>
      <c r="F16285" s="1">
        <v>2.6385884585420601E-5</v>
      </c>
    </row>
    <row r="16286" spans="1:6" x14ac:dyDescent="0.25">
      <c r="A16286" s="2" t="str">
        <f t="shared" si="581"/>
        <v>19100</v>
      </c>
      <c r="B16286" s="2" t="str">
        <f>"75222"</f>
        <v>75222</v>
      </c>
      <c r="C16286" s="1">
        <v>4.5070320616848902E-4</v>
      </c>
      <c r="D16286" s="1">
        <v>2.5392270019028601E-3</v>
      </c>
      <c r="E16286" s="1">
        <v>1.33746163156944E-5</v>
      </c>
      <c r="F16286" s="1">
        <v>6.1503592832614403E-4</v>
      </c>
    </row>
    <row r="16287" spans="1:6" x14ac:dyDescent="0.25">
      <c r="A16287" s="2" t="str">
        <f t="shared" si="581"/>
        <v>19100</v>
      </c>
      <c r="B16287" s="2" t="str">
        <f>"75215"</f>
        <v>75215</v>
      </c>
      <c r="C16287" s="1">
        <v>3.01144599000468E-3</v>
      </c>
      <c r="D16287" s="1">
        <v>3.3253267617057102E-3</v>
      </c>
      <c r="E16287" s="1">
        <v>3.10959829339895E-3</v>
      </c>
      <c r="F16287" s="1">
        <v>3.04280932961355E-3</v>
      </c>
    </row>
    <row r="16288" spans="1:6" x14ac:dyDescent="0.25">
      <c r="A16288" s="2" t="str">
        <f t="shared" si="581"/>
        <v>19100</v>
      </c>
      <c r="B16288" s="2" t="str">
        <f>"75166"</f>
        <v>75166</v>
      </c>
      <c r="C16288" s="1">
        <v>5.7328200203299795E-4</v>
      </c>
      <c r="D16288" s="1">
        <v>1.5597217456405699E-4</v>
      </c>
      <c r="E16288" s="1">
        <v>1.6718270394618001E-4</v>
      </c>
      <c r="F16288" s="1">
        <v>5.2037316713308903E-4</v>
      </c>
    </row>
    <row r="16289" spans="1:6" x14ac:dyDescent="0.25">
      <c r="A16289" s="2" t="str">
        <f t="shared" si="581"/>
        <v>19100</v>
      </c>
      <c r="B16289" s="2" t="str">
        <f>"75159"</f>
        <v>75159</v>
      </c>
      <c r="C16289" s="1">
        <v>2.3271256894277499E-3</v>
      </c>
      <c r="D16289" s="1">
        <v>1.7624855725738499E-3</v>
      </c>
      <c r="E16289" s="1">
        <v>1.58489203340979E-3</v>
      </c>
      <c r="F16289" s="1">
        <v>2.2476965394776301E-3</v>
      </c>
    </row>
    <row r="16290" spans="1:6" x14ac:dyDescent="0.25">
      <c r="A16290" s="2" t="str">
        <f t="shared" si="581"/>
        <v>19100</v>
      </c>
      <c r="B16290" s="2" t="str">
        <f>"75208"</f>
        <v>75208</v>
      </c>
      <c r="C16290" s="1">
        <v>4.63460134287722E-3</v>
      </c>
      <c r="D16290" s="1">
        <v>5.6805065976229798E-3</v>
      </c>
      <c r="E16290" s="1">
        <v>6.1723854296929798E-3</v>
      </c>
      <c r="F16290" s="1">
        <v>4.7883580036820498E-3</v>
      </c>
    </row>
    <row r="16291" spans="1:6" x14ac:dyDescent="0.25">
      <c r="A16291" s="2" t="str">
        <f t="shared" si="581"/>
        <v>19100</v>
      </c>
      <c r="B16291" s="2" t="str">
        <f>"75169"</f>
        <v>75169</v>
      </c>
      <c r="C16291" s="1">
        <v>4.9499376345286603E-4</v>
      </c>
      <c r="D16291" s="1">
        <v>6.2388869825623095E-5</v>
      </c>
      <c r="E16291" s="1">
        <v>4.6811157104930502E-5</v>
      </c>
      <c r="F16291" s="1">
        <v>4.3903935794710198E-4</v>
      </c>
    </row>
    <row r="16292" spans="1:6" x14ac:dyDescent="0.25">
      <c r="A16292" s="2" t="str">
        <f t="shared" si="581"/>
        <v>19100</v>
      </c>
      <c r="B16292" s="2" t="str">
        <f>"75185"</f>
        <v>75185</v>
      </c>
      <c r="C16292" s="1">
        <v>4.83765171465278E-4</v>
      </c>
      <c r="D16292" s="1">
        <v>1.7344105811523201E-3</v>
      </c>
      <c r="E16292" s="1">
        <v>1.33746163156944E-5</v>
      </c>
      <c r="F16292" s="1">
        <v>5.7368897516136099E-4</v>
      </c>
    </row>
    <row r="16293" spans="1:6" x14ac:dyDescent="0.25">
      <c r="A16293" s="2" t="str">
        <f t="shared" si="581"/>
        <v>19100</v>
      </c>
      <c r="B16293" s="2" t="str">
        <f>"75146"</f>
        <v>75146</v>
      </c>
      <c r="C16293" s="1">
        <v>2.8564290395093599E-3</v>
      </c>
      <c r="D16293" s="1">
        <v>2.4518825841469802E-3</v>
      </c>
      <c r="E16293" s="1">
        <v>9.1616121762506898E-4</v>
      </c>
      <c r="F16293" s="1">
        <v>2.74222786088273E-3</v>
      </c>
    </row>
    <row r="16294" spans="1:6" x14ac:dyDescent="0.25">
      <c r="A16294" s="2" t="str">
        <f t="shared" si="581"/>
        <v>19100</v>
      </c>
      <c r="B16294" s="2" t="str">
        <f>"75085"</f>
        <v>75085</v>
      </c>
      <c r="C16294" s="1">
        <v>3.3841728629260202E-4</v>
      </c>
      <c r="D16294" s="1">
        <v>1.5316467542190401E-3</v>
      </c>
      <c r="E16294" s="1">
        <v>1.33746163156944E-5</v>
      </c>
      <c r="F16294" s="1">
        <v>4.29246658513337E-4</v>
      </c>
    </row>
    <row r="16295" spans="1:6" x14ac:dyDescent="0.25">
      <c r="A16295" s="2" t="str">
        <f t="shared" si="581"/>
        <v>19100</v>
      </c>
      <c r="B16295" s="2" t="str">
        <f>"75086"</f>
        <v>75086</v>
      </c>
      <c r="C16295" s="1">
        <v>8.6803254170720104E-4</v>
      </c>
      <c r="D16295" s="1">
        <v>2.4705992450946698E-3</v>
      </c>
      <c r="E16295" s="1">
        <v>2.67492326313888E-5</v>
      </c>
      <c r="F16295" s="1">
        <v>9.7355753537340598E-4</v>
      </c>
    </row>
    <row r="16296" spans="1:6" x14ac:dyDescent="0.25">
      <c r="A16296" s="2" t="str">
        <f t="shared" si="581"/>
        <v>19100</v>
      </c>
      <c r="B16296" s="2" t="str">
        <f>"75083"</f>
        <v>75083</v>
      </c>
      <c r="C16296" s="1">
        <v>1.01400423754585E-3</v>
      </c>
      <c r="D16296" s="1">
        <v>2.6265714196587299E-3</v>
      </c>
      <c r="E16296" s="1">
        <v>2.67492326313888E-5</v>
      </c>
      <c r="F16296" s="1">
        <v>1.11446359944812E-3</v>
      </c>
    </row>
    <row r="16297" spans="1:6" x14ac:dyDescent="0.25">
      <c r="A16297" s="2" t="str">
        <f t="shared" si="581"/>
        <v>19100</v>
      </c>
      <c r="B16297" s="2" t="str">
        <f>"75080"</f>
        <v>75080</v>
      </c>
      <c r="C16297" s="1">
        <v>6.4286808182274901E-3</v>
      </c>
      <c r="D16297" s="1">
        <v>9.0058333593286896E-3</v>
      </c>
      <c r="E16297" s="1">
        <v>8.9008071580946504E-3</v>
      </c>
      <c r="F16297" s="1">
        <v>6.75397039558153E-3</v>
      </c>
    </row>
    <row r="16298" spans="1:6" x14ac:dyDescent="0.25">
      <c r="A16298" s="2" t="str">
        <f t="shared" si="581"/>
        <v>19100</v>
      </c>
      <c r="B16298" s="2" t="str">
        <f>"75082"</f>
        <v>75082</v>
      </c>
      <c r="C16298" s="1">
        <v>3.9802239542671902E-3</v>
      </c>
      <c r="D16298" s="1">
        <v>1.84047165985588E-3</v>
      </c>
      <c r="E16298" s="1">
        <v>2.4876786347191602E-3</v>
      </c>
      <c r="F16298" s="1">
        <v>3.7329226202652199E-3</v>
      </c>
    </row>
    <row r="16299" spans="1:6" x14ac:dyDescent="0.25">
      <c r="A16299" s="2" t="str">
        <f t="shared" si="581"/>
        <v>19100</v>
      </c>
      <c r="B16299" s="2" t="str">
        <f>"75097"</f>
        <v>75097</v>
      </c>
      <c r="C16299" s="1">
        <v>0</v>
      </c>
      <c r="D16299" s="1">
        <v>0</v>
      </c>
      <c r="E16299" s="1">
        <v>6.6873081578472203E-6</v>
      </c>
      <c r="F16299" s="1">
        <v>2.7201942871567599E-7</v>
      </c>
    </row>
    <row r="16300" spans="1:6" x14ac:dyDescent="0.25">
      <c r="A16300" s="2" t="str">
        <f t="shared" si="581"/>
        <v>19100</v>
      </c>
      <c r="B16300" s="2" t="str">
        <f>"75072"</f>
        <v>75072</v>
      </c>
      <c r="C16300" s="1">
        <v>6.1439112492089297E-3</v>
      </c>
      <c r="D16300" s="1">
        <v>9.4207193436690801E-4</v>
      </c>
      <c r="E16300" s="1">
        <v>7.0216735657395804E-4</v>
      </c>
      <c r="F16300" s="1">
        <v>5.4689506143286697E-3</v>
      </c>
    </row>
    <row r="16301" spans="1:6" x14ac:dyDescent="0.25">
      <c r="A16301" s="2" t="str">
        <f t="shared" si="581"/>
        <v>19100</v>
      </c>
      <c r="B16301" s="2" t="str">
        <f>"75046"</f>
        <v>75046</v>
      </c>
      <c r="C16301" s="1">
        <v>4.2231982086652899E-4</v>
      </c>
      <c r="D16301" s="1">
        <v>9.9510247371868807E-4</v>
      </c>
      <c r="E16301" s="1">
        <v>1.33746163156944E-5</v>
      </c>
      <c r="F16301" s="1">
        <v>4.55632543098758E-4</v>
      </c>
    </row>
    <row r="16302" spans="1:6" x14ac:dyDescent="0.25">
      <c r="A16302" s="2" t="str">
        <f t="shared" si="581"/>
        <v>19100</v>
      </c>
      <c r="B16302" s="2" t="str">
        <f>"75043"</f>
        <v>75043</v>
      </c>
      <c r="C16302" s="1">
        <v>7.4610874704196702E-3</v>
      </c>
      <c r="D16302" s="1">
        <v>3.5655239105343598E-3</v>
      </c>
      <c r="E16302" s="1">
        <v>1.2772758581488099E-2</v>
      </c>
      <c r="F16302" s="1">
        <v>7.33745207017666E-3</v>
      </c>
    </row>
    <row r="16303" spans="1:6" x14ac:dyDescent="0.25">
      <c r="A16303" s="2" t="str">
        <f t="shared" si="581"/>
        <v>19100</v>
      </c>
      <c r="B16303" s="2" t="str">
        <f>"75069"</f>
        <v>75069</v>
      </c>
      <c r="C16303" s="1">
        <v>5.29708827014495E-3</v>
      </c>
      <c r="D16303" s="1">
        <v>7.3899616308450503E-3</v>
      </c>
      <c r="E16303" s="1">
        <v>4.4604345412840897E-3</v>
      </c>
      <c r="F16303" s="1">
        <v>5.4455569434591197E-3</v>
      </c>
    </row>
    <row r="16304" spans="1:6" x14ac:dyDescent="0.25">
      <c r="A16304" s="2" t="str">
        <f t="shared" si="581"/>
        <v>19100</v>
      </c>
      <c r="B16304" s="2" t="str">
        <f>"75070"</f>
        <v>75070</v>
      </c>
      <c r="C16304" s="1">
        <v>8.0013075071558807E-3</v>
      </c>
      <c r="D16304" s="1">
        <v>7.8765948154849094E-3</v>
      </c>
      <c r="E16304" s="1">
        <v>4.2263787557594397E-3</v>
      </c>
      <c r="F16304" s="1">
        <v>7.8368797412986402E-3</v>
      </c>
    </row>
    <row r="16305" spans="1:6" x14ac:dyDescent="0.25">
      <c r="A16305" s="2" t="str">
        <f t="shared" si="581"/>
        <v>19100</v>
      </c>
      <c r="B16305" s="2" t="str">
        <f>"75062"</f>
        <v>75062</v>
      </c>
      <c r="C16305" s="1">
        <v>5.7424890856526299E-3</v>
      </c>
      <c r="D16305" s="1">
        <v>8.3226752347381194E-3</v>
      </c>
      <c r="E16305" s="1">
        <v>1.2939941285434299E-2</v>
      </c>
      <c r="F16305" s="1">
        <v>6.2602551324625801E-3</v>
      </c>
    </row>
    <row r="16306" spans="1:6" x14ac:dyDescent="0.25">
      <c r="A16306" s="2" t="str">
        <f t="shared" si="581"/>
        <v>19100</v>
      </c>
      <c r="B16306" s="2" t="str">
        <f>"75041"</f>
        <v>75041</v>
      </c>
      <c r="C16306" s="1">
        <v>3.24225593641622E-3</v>
      </c>
      <c r="D16306" s="1">
        <v>5.53389275353276E-3</v>
      </c>
      <c r="E16306" s="1">
        <v>6.6471843089001299E-3</v>
      </c>
      <c r="F16306" s="1">
        <v>3.5805917401844499E-3</v>
      </c>
    </row>
    <row r="16307" spans="1:6" x14ac:dyDescent="0.25">
      <c r="A16307" s="2" t="str">
        <f t="shared" si="581"/>
        <v>19100</v>
      </c>
      <c r="B16307" s="2" t="str">
        <f>"75001"</f>
        <v>75001</v>
      </c>
      <c r="C16307" s="1">
        <v>3.5264016947688099E-3</v>
      </c>
      <c r="D16307" s="1">
        <v>9.4487943350906097E-3</v>
      </c>
      <c r="E16307" s="1">
        <v>5.7109611668015202E-3</v>
      </c>
      <c r="F16307" s="1">
        <v>4.1317031027624102E-3</v>
      </c>
    </row>
    <row r="16308" spans="1:6" x14ac:dyDescent="0.25">
      <c r="A16308" s="2" t="str">
        <f t="shared" si="581"/>
        <v>19100</v>
      </c>
      <c r="B16308" s="2" t="str">
        <f>"75028"</f>
        <v>75028</v>
      </c>
      <c r="C16308" s="1">
        <v>5.42185040334038E-3</v>
      </c>
      <c r="D16308" s="1">
        <v>4.2580403655987703E-3</v>
      </c>
      <c r="E16308" s="1">
        <v>2.7819201936644402E-3</v>
      </c>
      <c r="F16308" s="1">
        <v>5.2129803319072203E-3</v>
      </c>
    </row>
    <row r="16309" spans="1:6" x14ac:dyDescent="0.25">
      <c r="A16309" s="2" t="str">
        <f t="shared" si="581"/>
        <v>19100</v>
      </c>
      <c r="B16309" s="2" t="str">
        <f>"75019"</f>
        <v>75019</v>
      </c>
      <c r="C16309" s="1">
        <v>5.7986320455905701E-3</v>
      </c>
      <c r="D16309" s="1">
        <v>6.61010075802476E-3</v>
      </c>
      <c r="E16309" s="1">
        <v>4.4871837739154799E-3</v>
      </c>
      <c r="F16309" s="1">
        <v>5.8160474053698804E-3</v>
      </c>
    </row>
    <row r="16310" spans="1:6" x14ac:dyDescent="0.25">
      <c r="A16310" s="2" t="str">
        <f t="shared" si="581"/>
        <v>19100</v>
      </c>
      <c r="B16310" s="2" t="str">
        <f>"75016"</f>
        <v>75016</v>
      </c>
      <c r="C16310" s="1">
        <v>6.2692971930703302E-4</v>
      </c>
      <c r="D16310" s="1">
        <v>1.1417163178088999E-3</v>
      </c>
      <c r="E16310" s="1">
        <v>1.33746163156944E-5</v>
      </c>
      <c r="F16310" s="1">
        <v>6.46862201485878E-4</v>
      </c>
    </row>
    <row r="16311" spans="1:6" x14ac:dyDescent="0.25">
      <c r="A16311" s="2" t="str">
        <f t="shared" ref="A16311:A16328" si="582">"18620"</f>
        <v>18620</v>
      </c>
      <c r="B16311" s="2" t="str">
        <f>"76648"</f>
        <v>76648</v>
      </c>
      <c r="C16311" s="1">
        <v>4.3535788979469801E-3</v>
      </c>
      <c r="D16311" s="1">
        <v>0</v>
      </c>
      <c r="E16311" s="1">
        <v>0</v>
      </c>
      <c r="F16311" s="1">
        <v>3.89848646995872E-3</v>
      </c>
    </row>
    <row r="16312" spans="1:6" x14ac:dyDescent="0.25">
      <c r="A16312" s="2" t="str">
        <f t="shared" si="582"/>
        <v>18620</v>
      </c>
      <c r="B16312" s="2" t="str">
        <f>"75110"</f>
        <v>75110</v>
      </c>
      <c r="C16312" s="1">
        <v>0.53122198984164903</v>
      </c>
      <c r="D16312" s="1">
        <v>0.63367211665930101</v>
      </c>
      <c r="E16312" s="1">
        <v>0.87076271186440601</v>
      </c>
      <c r="F16312" s="1">
        <v>0.54620853080568699</v>
      </c>
    </row>
    <row r="16313" spans="1:6" x14ac:dyDescent="0.25">
      <c r="A16313" s="2" t="str">
        <f t="shared" si="582"/>
        <v>18620</v>
      </c>
      <c r="B16313" s="2" t="str">
        <f>"76693"</f>
        <v>76693</v>
      </c>
      <c r="C16313" s="1">
        <v>4.6523539203551104E-3</v>
      </c>
      <c r="D16313" s="1">
        <v>4.4189129474149301E-4</v>
      </c>
      <c r="E16313" s="1">
        <v>0</v>
      </c>
      <c r="F16313" s="1">
        <v>4.2042501146613599E-3</v>
      </c>
    </row>
    <row r="16314" spans="1:6" x14ac:dyDescent="0.25">
      <c r="A16314" s="2" t="str">
        <f t="shared" si="582"/>
        <v>18620</v>
      </c>
      <c r="B16314" s="2" t="str">
        <f>"76626"</f>
        <v>76626</v>
      </c>
      <c r="C16314" s="1">
        <v>2.61214733876819E-2</v>
      </c>
      <c r="D16314" s="1">
        <v>3.0932390631904501E-3</v>
      </c>
      <c r="E16314" s="1">
        <v>4.2372881355932203E-3</v>
      </c>
      <c r="F16314" s="1">
        <v>2.3734902920042801E-2</v>
      </c>
    </row>
    <row r="16315" spans="1:6" x14ac:dyDescent="0.25">
      <c r="A16315" s="2" t="str">
        <f t="shared" si="582"/>
        <v>18620</v>
      </c>
      <c r="B16315" s="2" t="str">
        <f>"76641"</f>
        <v>76641</v>
      </c>
      <c r="C16315" s="1">
        <v>2.6377566264031701E-2</v>
      </c>
      <c r="D16315" s="1">
        <v>8.83782589482987E-4</v>
      </c>
      <c r="E16315" s="1">
        <v>4.2372881355932203E-3</v>
      </c>
      <c r="F16315" s="1">
        <v>2.37731233756306E-2</v>
      </c>
    </row>
    <row r="16316" spans="1:6" x14ac:dyDescent="0.25">
      <c r="A16316" s="2" t="str">
        <f t="shared" si="582"/>
        <v>18620</v>
      </c>
      <c r="B16316" s="2" t="str">
        <f>"76679"</f>
        <v>76679</v>
      </c>
      <c r="C16316" s="1">
        <v>3.1883563105552903E-2</v>
      </c>
      <c r="D16316" s="1">
        <v>1.14891736632788E-2</v>
      </c>
      <c r="E16316" s="1">
        <v>4.2372881355932203E-3</v>
      </c>
      <c r="F16316" s="1">
        <v>2.96208530805687E-2</v>
      </c>
    </row>
    <row r="16317" spans="1:6" x14ac:dyDescent="0.25">
      <c r="A16317" s="2" t="str">
        <f t="shared" si="582"/>
        <v>18620</v>
      </c>
      <c r="B16317" s="2" t="str">
        <f>"76639"</f>
        <v>76639</v>
      </c>
      <c r="C16317" s="1">
        <v>2.82128985445388E-2</v>
      </c>
      <c r="D16317" s="1">
        <v>4.41891294741493E-3</v>
      </c>
      <c r="E16317" s="1">
        <v>2.5423728813559299E-2</v>
      </c>
      <c r="F16317" s="1">
        <v>2.6104571166488299E-2</v>
      </c>
    </row>
    <row r="16318" spans="1:6" x14ac:dyDescent="0.25">
      <c r="A16318" s="2" t="str">
        <f t="shared" si="582"/>
        <v>18620</v>
      </c>
      <c r="B16318" s="2" t="str">
        <f>"75859"</f>
        <v>75859</v>
      </c>
      <c r="C16318" s="1">
        <v>1.3274147424132399E-2</v>
      </c>
      <c r="D16318" s="1">
        <v>4.8608042421564197E-3</v>
      </c>
      <c r="E16318" s="1">
        <v>0</v>
      </c>
      <c r="F16318" s="1">
        <v>1.2306986699281401E-2</v>
      </c>
    </row>
    <row r="16319" spans="1:6" x14ac:dyDescent="0.25">
      <c r="A16319" s="2" t="str">
        <f t="shared" si="582"/>
        <v>18620</v>
      </c>
      <c r="B16319" s="2" t="str">
        <f>"75105"</f>
        <v>75105</v>
      </c>
      <c r="C16319" s="1">
        <v>4.7804003585300197E-3</v>
      </c>
      <c r="D16319" s="1">
        <v>4.4189129474149301E-4</v>
      </c>
      <c r="E16319" s="1">
        <v>2.1186440677966102E-3</v>
      </c>
      <c r="F16319" s="1">
        <v>4.3571319370126803E-3</v>
      </c>
    </row>
    <row r="16320" spans="1:6" x14ac:dyDescent="0.25">
      <c r="A16320" s="2" t="str">
        <f t="shared" si="582"/>
        <v>18620</v>
      </c>
      <c r="B16320" s="2" t="str">
        <f>"76670"</f>
        <v>76670</v>
      </c>
      <c r="C16320" s="1">
        <v>8.53642921166076E-5</v>
      </c>
      <c r="D16320" s="1">
        <v>0</v>
      </c>
      <c r="E16320" s="1">
        <v>0</v>
      </c>
      <c r="F16320" s="1">
        <v>7.6440911175661201E-5</v>
      </c>
    </row>
    <row r="16321" spans="1:6" x14ac:dyDescent="0.25">
      <c r="A16321" s="2" t="str">
        <f t="shared" si="582"/>
        <v>18620</v>
      </c>
      <c r="B16321" s="2" t="str">
        <f>"75155"</f>
        <v>75155</v>
      </c>
      <c r="C16321" s="1">
        <v>4.9767382303982199E-2</v>
      </c>
      <c r="D16321" s="1">
        <v>1.41405214317277E-2</v>
      </c>
      <c r="E16321" s="1">
        <v>1.2711864406779599E-2</v>
      </c>
      <c r="F16321" s="1">
        <v>4.6017428527747997E-2</v>
      </c>
    </row>
    <row r="16322" spans="1:6" x14ac:dyDescent="0.25">
      <c r="A16322" s="2" t="str">
        <f t="shared" si="582"/>
        <v>18620</v>
      </c>
      <c r="B16322" s="2" t="str">
        <f>"75119"</f>
        <v>75119</v>
      </c>
      <c r="C16322" s="1">
        <v>3.4999359767809101E-3</v>
      </c>
      <c r="D16322" s="1">
        <v>8.83782589482987E-4</v>
      </c>
      <c r="E16322" s="1">
        <v>2.1186440677966102E-3</v>
      </c>
      <c r="F16322" s="1">
        <v>3.2487387249655999E-3</v>
      </c>
    </row>
    <row r="16323" spans="1:6" x14ac:dyDescent="0.25">
      <c r="A16323" s="2" t="str">
        <f t="shared" si="582"/>
        <v>18620</v>
      </c>
      <c r="B16323" s="2" t="str">
        <f>"75153"</f>
        <v>75153</v>
      </c>
      <c r="C16323" s="1">
        <v>1.09266293909257E-2</v>
      </c>
      <c r="D16323" s="1">
        <v>8.83782589482987E-4</v>
      </c>
      <c r="E16323" s="1">
        <v>0</v>
      </c>
      <c r="F16323" s="1">
        <v>9.8608775416602901E-3</v>
      </c>
    </row>
    <row r="16324" spans="1:6" x14ac:dyDescent="0.25">
      <c r="A16324" s="2" t="str">
        <f t="shared" si="582"/>
        <v>18620</v>
      </c>
      <c r="B16324" s="2" t="str">
        <f>"75102"</f>
        <v>75102</v>
      </c>
      <c r="C16324" s="1">
        <v>3.0560416577745501E-2</v>
      </c>
      <c r="D16324" s="1">
        <v>4.8608042421564197E-3</v>
      </c>
      <c r="E16324" s="1">
        <v>4.2372881355932203E-3</v>
      </c>
      <c r="F16324" s="1">
        <v>2.7862712123528501E-2</v>
      </c>
    </row>
    <row r="16325" spans="1:6" x14ac:dyDescent="0.25">
      <c r="A16325" s="2" t="str">
        <f t="shared" si="582"/>
        <v>18620</v>
      </c>
      <c r="B16325" s="2" t="str">
        <f>"76681"</f>
        <v>76681</v>
      </c>
      <c r="C16325" s="1">
        <v>1.13534508515088E-2</v>
      </c>
      <c r="D16325" s="1">
        <v>4.41891294741493E-3</v>
      </c>
      <c r="E16325" s="1">
        <v>0</v>
      </c>
      <c r="F16325" s="1">
        <v>1.05488457422412E-2</v>
      </c>
    </row>
    <row r="16326" spans="1:6" x14ac:dyDescent="0.25">
      <c r="A16326" s="2" t="str">
        <f t="shared" si="582"/>
        <v>18620</v>
      </c>
      <c r="B16326" s="2" t="str">
        <f>"75151"</f>
        <v>75151</v>
      </c>
      <c r="C16326" s="1">
        <v>5.3224636134704802E-2</v>
      </c>
      <c r="D16326" s="1">
        <v>0.186920017675651</v>
      </c>
      <c r="E16326" s="1">
        <v>2.1186440677966102E-3</v>
      </c>
      <c r="F16326" s="1">
        <v>6.3866381287264906E-2</v>
      </c>
    </row>
    <row r="16327" spans="1:6" x14ac:dyDescent="0.25">
      <c r="A16327" s="2" t="str">
        <f t="shared" si="582"/>
        <v>18620</v>
      </c>
      <c r="B16327" s="2" t="str">
        <f>"75144"</f>
        <v>75144</v>
      </c>
      <c r="C16327" s="1">
        <v>7.4821802040206498E-2</v>
      </c>
      <c r="D16327" s="1">
        <v>6.18647812638091E-2</v>
      </c>
      <c r="E16327" s="1">
        <v>5.5084745762711801E-2</v>
      </c>
      <c r="F16327" s="1">
        <v>7.3345054273046897E-2</v>
      </c>
    </row>
    <row r="16328" spans="1:6" x14ac:dyDescent="0.25">
      <c r="A16328" s="2" t="str">
        <f t="shared" si="582"/>
        <v>18620</v>
      </c>
      <c r="B16328" s="2" t="str">
        <f>"75109"</f>
        <v>75109</v>
      </c>
      <c r="C16328" s="1">
        <v>9.4882410687609303E-2</v>
      </c>
      <c r="D16328" s="1">
        <v>6.6725585505965496E-2</v>
      </c>
      <c r="E16328" s="1">
        <v>1.2711864406779599E-2</v>
      </c>
      <c r="F16328" s="1">
        <v>9.0964684299036799E-2</v>
      </c>
    </row>
    <row r="16329" spans="1:6" x14ac:dyDescent="0.25">
      <c r="A16329" s="2" t="str">
        <f t="shared" ref="A16329:A16360" si="583">"30980"</f>
        <v>30980</v>
      </c>
      <c r="B16329" s="2" t="str">
        <f>"75641"</f>
        <v>75641</v>
      </c>
      <c r="C16329" s="1">
        <v>0</v>
      </c>
      <c r="D16329" s="1">
        <v>0</v>
      </c>
      <c r="E16329" s="1">
        <v>2.09599664640536E-4</v>
      </c>
      <c r="F16329" s="1">
        <v>5.8838758266845499E-6</v>
      </c>
    </row>
    <row r="16330" spans="1:6" x14ac:dyDescent="0.25">
      <c r="A16330" s="2" t="str">
        <f t="shared" si="583"/>
        <v>30980</v>
      </c>
      <c r="B16330" s="2" t="str">
        <f>"75607"</f>
        <v>75607</v>
      </c>
      <c r="C16330" s="1">
        <v>1.36353054640992E-2</v>
      </c>
      <c r="D16330" s="1">
        <v>2.1495956873315299E-2</v>
      </c>
      <c r="E16330" s="1">
        <v>4.1919932928107299E-4</v>
      </c>
      <c r="F16330" s="1">
        <v>1.3950669585069001E-2</v>
      </c>
    </row>
    <row r="16331" spans="1:6" x14ac:dyDescent="0.25">
      <c r="A16331" s="2" t="str">
        <f t="shared" si="583"/>
        <v>30980</v>
      </c>
      <c r="B16331" s="2" t="str">
        <f>"75604"</f>
        <v>75604</v>
      </c>
      <c r="C16331" s="1">
        <v>9.1236821976121499E-2</v>
      </c>
      <c r="D16331" s="1">
        <v>0.113072776280323</v>
      </c>
      <c r="E16331" s="1">
        <v>0.101027038356738</v>
      </c>
      <c r="F16331" s="1">
        <v>9.3418296500270601E-2</v>
      </c>
    </row>
    <row r="16332" spans="1:6" x14ac:dyDescent="0.25">
      <c r="A16332" s="2" t="str">
        <f t="shared" si="583"/>
        <v>30980</v>
      </c>
      <c r="B16332" s="2" t="str">
        <f>"75660"</f>
        <v>75660</v>
      </c>
      <c r="C16332" s="1">
        <v>3.9642156373673803E-3</v>
      </c>
      <c r="D16332" s="1">
        <v>7.2102425876010698E-3</v>
      </c>
      <c r="E16332" s="1">
        <v>4.1919932928107299E-4</v>
      </c>
      <c r="F16332" s="1">
        <v>4.1481324578126104E-3</v>
      </c>
    </row>
    <row r="16333" spans="1:6" x14ac:dyDescent="0.25">
      <c r="A16333" s="2" t="str">
        <f t="shared" si="583"/>
        <v>30980</v>
      </c>
      <c r="B16333" s="2" t="str">
        <f>"75662"</f>
        <v>75662</v>
      </c>
      <c r="C16333" s="1">
        <v>7.7288902191625902E-2</v>
      </c>
      <c r="D16333" s="1">
        <v>8.9150943396226395E-2</v>
      </c>
      <c r="E16333" s="1">
        <v>4.4435128903793697E-2</v>
      </c>
      <c r="F16333" s="1">
        <v>7.7402386500035295E-2</v>
      </c>
    </row>
    <row r="16334" spans="1:6" x14ac:dyDescent="0.25">
      <c r="A16334" s="2" t="str">
        <f t="shared" si="583"/>
        <v>30980</v>
      </c>
      <c r="B16334" s="2" t="str">
        <f>"75494"</f>
        <v>75494</v>
      </c>
      <c r="C16334" s="1">
        <v>7.1834780005986204E-4</v>
      </c>
      <c r="D16334" s="1">
        <v>3.3692722371967603E-4</v>
      </c>
      <c r="E16334" s="1">
        <v>0</v>
      </c>
      <c r="F16334" s="1">
        <v>6.6487796841535401E-4</v>
      </c>
    </row>
    <row r="16335" spans="1:6" x14ac:dyDescent="0.25">
      <c r="A16335" s="2" t="str">
        <f t="shared" si="583"/>
        <v>30980</v>
      </c>
      <c r="B16335" s="2" t="str">
        <f>"75658"</f>
        <v>75658</v>
      </c>
      <c r="C16335" s="1">
        <v>0</v>
      </c>
      <c r="D16335" s="1">
        <v>6.7385444743935303E-5</v>
      </c>
      <c r="E16335" s="1">
        <v>0</v>
      </c>
      <c r="F16335" s="1">
        <v>5.8838758266845499E-6</v>
      </c>
    </row>
    <row r="16336" spans="1:6" x14ac:dyDescent="0.25">
      <c r="A16336" s="2" t="str">
        <f t="shared" si="583"/>
        <v>30980</v>
      </c>
      <c r="B16336" s="2" t="str">
        <f>"75669"</f>
        <v>75669</v>
      </c>
      <c r="C16336" s="1">
        <v>3.8577937410622201E-4</v>
      </c>
      <c r="D16336" s="1">
        <v>3.3692722371967603E-4</v>
      </c>
      <c r="E16336" s="1">
        <v>0</v>
      </c>
      <c r="F16336" s="1">
        <v>3.70684177081126E-4</v>
      </c>
    </row>
    <row r="16337" spans="1:6" x14ac:dyDescent="0.25">
      <c r="A16337" s="2" t="str">
        <f t="shared" si="583"/>
        <v>30980</v>
      </c>
      <c r="B16337" s="2" t="str">
        <f>"75946"</f>
        <v>75946</v>
      </c>
      <c r="C16337" s="1">
        <v>2.8999966743157401E-3</v>
      </c>
      <c r="D16337" s="1">
        <v>0</v>
      </c>
      <c r="E16337" s="1">
        <v>0</v>
      </c>
      <c r="F16337" s="1">
        <v>2.5653698604344599E-3</v>
      </c>
    </row>
    <row r="16338" spans="1:6" x14ac:dyDescent="0.25">
      <c r="A16338" s="2" t="str">
        <f t="shared" si="583"/>
        <v>30980</v>
      </c>
      <c r="B16338" s="2" t="str">
        <f>"75639"</f>
        <v>75639</v>
      </c>
      <c r="C16338" s="1">
        <v>2.2415111909275301E-3</v>
      </c>
      <c r="D16338" s="1">
        <v>8.0862533692722298E-4</v>
      </c>
      <c r="E16338" s="1">
        <v>0</v>
      </c>
      <c r="F16338" s="1">
        <v>2.0534726635129002E-3</v>
      </c>
    </row>
    <row r="16339" spans="1:6" x14ac:dyDescent="0.25">
      <c r="A16339" s="2" t="str">
        <f t="shared" si="583"/>
        <v>30980</v>
      </c>
      <c r="B16339" s="2" t="str">
        <f>"75647"</f>
        <v>75647</v>
      </c>
      <c r="C16339" s="1">
        <v>4.2136419568326103E-2</v>
      </c>
      <c r="D16339" s="1">
        <v>3.07951482479784E-2</v>
      </c>
      <c r="E16339" s="1">
        <v>1.29951792077132E-2</v>
      </c>
      <c r="F16339" s="1">
        <v>4.0328084916095901E-2</v>
      </c>
    </row>
    <row r="16340" spans="1:6" x14ac:dyDescent="0.25">
      <c r="A16340" s="2" t="str">
        <f t="shared" si="583"/>
        <v>30980</v>
      </c>
      <c r="B16340" s="2" t="str">
        <f>"75693"</f>
        <v>75693</v>
      </c>
      <c r="C16340" s="1">
        <v>2.3406165818617101E-2</v>
      </c>
      <c r="D16340" s="1">
        <v>2.7560646900269499E-2</v>
      </c>
      <c r="E16340" s="1">
        <v>1.9073569482288801E-2</v>
      </c>
      <c r="F16340" s="1">
        <v>2.36472969474452E-2</v>
      </c>
    </row>
    <row r="16341" spans="1:6" x14ac:dyDescent="0.25">
      <c r="A16341" s="2" t="str">
        <f t="shared" si="583"/>
        <v>30980</v>
      </c>
      <c r="B16341" s="2" t="str">
        <f>"75671"</f>
        <v>75671</v>
      </c>
      <c r="C16341" s="1">
        <v>1.09348498453556E-2</v>
      </c>
      <c r="D16341" s="1">
        <v>2.5741239892183201E-2</v>
      </c>
      <c r="E16341" s="1">
        <v>4.1919932928107299E-4</v>
      </c>
      <c r="F16341" s="1">
        <v>1.19325001765162E-2</v>
      </c>
    </row>
    <row r="16342" spans="1:6" x14ac:dyDescent="0.25">
      <c r="A16342" s="2" t="str">
        <f t="shared" si="583"/>
        <v>30980</v>
      </c>
      <c r="B16342" s="2" t="str">
        <f>"75672"</f>
        <v>75672</v>
      </c>
      <c r="C16342" s="1">
        <v>5.5678605873158399E-2</v>
      </c>
      <c r="D16342" s="1">
        <v>2.63477088948787E-2</v>
      </c>
      <c r="E16342" s="1">
        <v>3.2907147348564203E-2</v>
      </c>
      <c r="F16342" s="1">
        <v>5.24782884981995E-2</v>
      </c>
    </row>
    <row r="16343" spans="1:6" x14ac:dyDescent="0.25">
      <c r="A16343" s="2" t="str">
        <f t="shared" si="583"/>
        <v>30980</v>
      </c>
      <c r="B16343" s="2" t="str">
        <f>"75650"</f>
        <v>75650</v>
      </c>
      <c r="C16343" s="1">
        <v>3.63829857993282E-2</v>
      </c>
      <c r="D16343" s="1">
        <v>1.69137466307277E-2</v>
      </c>
      <c r="E16343" s="1">
        <v>3.50031439949696E-2</v>
      </c>
      <c r="F16343" s="1">
        <v>3.4644260867518602E-2</v>
      </c>
    </row>
    <row r="16344" spans="1:6" x14ac:dyDescent="0.25">
      <c r="A16344" s="2" t="str">
        <f t="shared" si="583"/>
        <v>30980</v>
      </c>
      <c r="B16344" s="2" t="str">
        <f>"75645"</f>
        <v>75645</v>
      </c>
      <c r="C16344" s="1">
        <v>3.1860055206358699E-2</v>
      </c>
      <c r="D16344" s="1">
        <v>5.3234501347708798E-3</v>
      </c>
      <c r="E16344" s="1">
        <v>4.1919932928107303E-3</v>
      </c>
      <c r="F16344" s="1">
        <v>2.87662689166607E-2</v>
      </c>
    </row>
    <row r="16345" spans="1:6" x14ac:dyDescent="0.25">
      <c r="A16345" s="2" t="str">
        <f t="shared" si="583"/>
        <v>30980</v>
      </c>
      <c r="B16345" s="2" t="str">
        <f>"75689"</f>
        <v>75689</v>
      </c>
      <c r="C16345" s="1">
        <v>0</v>
      </c>
      <c r="D16345" s="1">
        <v>6.7385444743935303E-5</v>
      </c>
      <c r="E16345" s="1">
        <v>0</v>
      </c>
      <c r="F16345" s="1">
        <v>5.8838758266845499E-6</v>
      </c>
    </row>
    <row r="16346" spans="1:6" x14ac:dyDescent="0.25">
      <c r="A16346" s="2" t="str">
        <f t="shared" si="583"/>
        <v>30980</v>
      </c>
      <c r="B16346" s="2" t="str">
        <f>"75687"</f>
        <v>75687</v>
      </c>
      <c r="C16346" s="1">
        <v>0</v>
      </c>
      <c r="D16346" s="1">
        <v>0</v>
      </c>
      <c r="E16346" s="1">
        <v>2.09599664640536E-4</v>
      </c>
      <c r="F16346" s="1">
        <v>5.8838758266845499E-6</v>
      </c>
    </row>
    <row r="16347" spans="1:6" x14ac:dyDescent="0.25">
      <c r="A16347" s="2" t="str">
        <f t="shared" si="583"/>
        <v>30980</v>
      </c>
      <c r="B16347" s="2" t="str">
        <f>"75682"</f>
        <v>75682</v>
      </c>
      <c r="C16347" s="1">
        <v>0</v>
      </c>
      <c r="D16347" s="1">
        <v>6.7385444743935303E-5</v>
      </c>
      <c r="E16347" s="1">
        <v>0</v>
      </c>
      <c r="F16347" s="1">
        <v>5.8838758266845499E-6</v>
      </c>
    </row>
    <row r="16348" spans="1:6" x14ac:dyDescent="0.25">
      <c r="A16348" s="2" t="str">
        <f t="shared" si="583"/>
        <v>30980</v>
      </c>
      <c r="B16348" s="2" t="str">
        <f>"75692"</f>
        <v>75692</v>
      </c>
      <c r="C16348" s="1">
        <v>1.48857627456849E-2</v>
      </c>
      <c r="D16348" s="1">
        <v>8.0188679245283001E-3</v>
      </c>
      <c r="E16348" s="1">
        <v>4.1919932928107303E-3</v>
      </c>
      <c r="F16348" s="1">
        <v>1.3985972840029099E-2</v>
      </c>
    </row>
    <row r="16349" spans="1:6" x14ac:dyDescent="0.25">
      <c r="A16349" s="2" t="str">
        <f t="shared" si="583"/>
        <v>30980</v>
      </c>
      <c r="B16349" s="2" t="str">
        <f>"75686"</f>
        <v>75686</v>
      </c>
      <c r="C16349" s="1">
        <v>2.8999966743157401E-3</v>
      </c>
      <c r="D16349" s="1">
        <v>4.04312668463611E-4</v>
      </c>
      <c r="E16349" s="1">
        <v>1.2575979878432101E-3</v>
      </c>
      <c r="F16349" s="1">
        <v>2.63597637035468E-3</v>
      </c>
    </row>
    <row r="16350" spans="1:6" x14ac:dyDescent="0.25">
      <c r="A16350" s="2" t="str">
        <f t="shared" si="583"/>
        <v>30980</v>
      </c>
      <c r="B16350" s="2" t="str">
        <f>"75608"</f>
        <v>75608</v>
      </c>
      <c r="C16350" s="1">
        <v>1.0422694469386999E-2</v>
      </c>
      <c r="D16350" s="1">
        <v>3.28167115902964E-2</v>
      </c>
      <c r="E16350" s="1">
        <v>4.1919932928107299E-4</v>
      </c>
      <c r="F16350" s="1">
        <v>1.20972486996634E-2</v>
      </c>
    </row>
    <row r="16351" spans="1:6" x14ac:dyDescent="0.25">
      <c r="A16351" s="2" t="str">
        <f t="shared" si="583"/>
        <v>30980</v>
      </c>
      <c r="B16351" s="2" t="str">
        <f>"75606"</f>
        <v>75606</v>
      </c>
      <c r="C16351" s="1">
        <v>1.4147460840067801E-2</v>
      </c>
      <c r="D16351" s="1">
        <v>4.3665768194069997E-2</v>
      </c>
      <c r="E16351" s="1">
        <v>4.1919932928107299E-4</v>
      </c>
      <c r="F16351" s="1">
        <v>1.6339523170702999E-2</v>
      </c>
    </row>
    <row r="16352" spans="1:6" x14ac:dyDescent="0.25">
      <c r="A16352" s="2" t="str">
        <f t="shared" si="583"/>
        <v>30980</v>
      </c>
      <c r="B16352" s="2" t="str">
        <f>"75663"</f>
        <v>75663</v>
      </c>
      <c r="C16352" s="1">
        <v>1.6448834347666998E-2</v>
      </c>
      <c r="D16352" s="1">
        <v>2.9716981132075399E-2</v>
      </c>
      <c r="E16352" s="1">
        <v>4.1919932928107299E-4</v>
      </c>
      <c r="F16352" s="1">
        <v>1.7157381910612099E-2</v>
      </c>
    </row>
    <row r="16353" spans="1:6" x14ac:dyDescent="0.25">
      <c r="A16353" s="2" t="str">
        <f t="shared" si="583"/>
        <v>30980</v>
      </c>
      <c r="B16353" s="2" t="str">
        <f>"75661"</f>
        <v>75661</v>
      </c>
      <c r="C16353" s="1">
        <v>1.6528650769895899E-2</v>
      </c>
      <c r="D16353" s="1">
        <v>4.7169811320754698E-3</v>
      </c>
      <c r="E16353" s="1">
        <v>3.9823936281701902E-3</v>
      </c>
      <c r="F16353" s="1">
        <v>1.5145096377886001E-2</v>
      </c>
    </row>
    <row r="16354" spans="1:6" x14ac:dyDescent="0.25">
      <c r="A16354" s="2" t="str">
        <f t="shared" si="583"/>
        <v>30980</v>
      </c>
      <c r="B16354" s="2" t="str">
        <f>"75601"</f>
        <v>75601</v>
      </c>
      <c r="C16354" s="1">
        <v>4.6040772889021898E-2</v>
      </c>
      <c r="D16354" s="1">
        <v>0.11300539083557901</v>
      </c>
      <c r="E16354" s="1">
        <v>8.5935862502619906E-2</v>
      </c>
      <c r="F16354" s="1">
        <v>5.3007837322601101E-2</v>
      </c>
    </row>
    <row r="16355" spans="1:6" x14ac:dyDescent="0.25">
      <c r="A16355" s="2" t="str">
        <f t="shared" si="583"/>
        <v>30980</v>
      </c>
      <c r="B16355" s="2" t="str">
        <f>"75975"</f>
        <v>75975</v>
      </c>
      <c r="C16355" s="1">
        <v>2.9931158335827501E-4</v>
      </c>
      <c r="D16355" s="1">
        <v>1.3477088948787001E-4</v>
      </c>
      <c r="E16355" s="1">
        <v>0</v>
      </c>
      <c r="F16355" s="1">
        <v>2.76542163854174E-4</v>
      </c>
    </row>
    <row r="16356" spans="1:6" x14ac:dyDescent="0.25">
      <c r="A16356" s="2" t="str">
        <f t="shared" si="583"/>
        <v>30980</v>
      </c>
      <c r="B16356" s="2" t="str">
        <f>"75784"</f>
        <v>75784</v>
      </c>
      <c r="C16356" s="1">
        <v>2.0153646612790501E-3</v>
      </c>
      <c r="D16356" s="1">
        <v>0</v>
      </c>
      <c r="E16356" s="1">
        <v>4.1919932928107299E-4</v>
      </c>
      <c r="F16356" s="1">
        <v>1.7945821271387801E-3</v>
      </c>
    </row>
    <row r="16357" spans="1:6" x14ac:dyDescent="0.25">
      <c r="A16357" s="2" t="str">
        <f t="shared" si="583"/>
        <v>30980</v>
      </c>
      <c r="B16357" s="2" t="str">
        <f>"75654"</f>
        <v>75654</v>
      </c>
      <c r="C16357" s="1">
        <v>3.6994911703082903E-2</v>
      </c>
      <c r="D16357" s="1">
        <v>2.3113207547169799E-2</v>
      </c>
      <c r="E16357" s="1">
        <v>5.6591909452944802E-2</v>
      </c>
      <c r="F16357" s="1">
        <v>3.6332933229777098E-2</v>
      </c>
    </row>
    <row r="16358" spans="1:6" x14ac:dyDescent="0.25">
      <c r="A16358" s="2" t="str">
        <f t="shared" si="583"/>
        <v>30980</v>
      </c>
      <c r="B16358" s="2" t="str">
        <f>"75640"</f>
        <v>75640</v>
      </c>
      <c r="C16358" s="1">
        <v>1.64820911902623E-2</v>
      </c>
      <c r="D16358" s="1">
        <v>2.9649595687331501E-3</v>
      </c>
      <c r="E16358" s="1">
        <v>0.101236638021379</v>
      </c>
      <c r="F16358" s="1">
        <v>1.7681046859187002E-2</v>
      </c>
    </row>
    <row r="16359" spans="1:6" x14ac:dyDescent="0.25">
      <c r="A16359" s="2" t="str">
        <f t="shared" si="583"/>
        <v>30980</v>
      </c>
      <c r="B16359" s="2" t="str">
        <f>"75688"</f>
        <v>75688</v>
      </c>
      <c r="C16359" s="1">
        <v>0</v>
      </c>
      <c r="D16359" s="1">
        <v>0</v>
      </c>
      <c r="E16359" s="1">
        <v>2.09599664640536E-4</v>
      </c>
      <c r="F16359" s="1">
        <v>5.8838758266845499E-6</v>
      </c>
    </row>
    <row r="16360" spans="1:6" x14ac:dyDescent="0.25">
      <c r="A16360" s="2" t="str">
        <f t="shared" si="583"/>
        <v>30980</v>
      </c>
      <c r="B16360" s="2" t="str">
        <f>"75603"</f>
        <v>75603</v>
      </c>
      <c r="C16360" s="1">
        <v>2.1949516112940201E-2</v>
      </c>
      <c r="D16360" s="1">
        <v>1.8261455525606402E-2</v>
      </c>
      <c r="E16360" s="1">
        <v>8.8031859149025303E-3</v>
      </c>
      <c r="F16360" s="1">
        <v>2.1258443361811201E-2</v>
      </c>
    </row>
    <row r="16361" spans="1:6" x14ac:dyDescent="0.25">
      <c r="A16361" s="2" t="str">
        <f t="shared" ref="A16361:A16383" si="584">"30980"</f>
        <v>30980</v>
      </c>
      <c r="B16361" s="2" t="str">
        <f>"75755"</f>
        <v>75755</v>
      </c>
      <c r="C16361" s="1">
        <v>2.1929562007383E-2</v>
      </c>
      <c r="D16361" s="1">
        <v>5.5256064690026897E-3</v>
      </c>
      <c r="E16361" s="1">
        <v>1.23663802137916E-2</v>
      </c>
      <c r="F16361" s="1">
        <v>2.0228765092141401E-2</v>
      </c>
    </row>
    <row r="16362" spans="1:6" x14ac:dyDescent="0.25">
      <c r="A16362" s="2" t="str">
        <f t="shared" si="584"/>
        <v>30980</v>
      </c>
      <c r="B16362" s="2" t="str">
        <f>"75642"</f>
        <v>75642</v>
      </c>
      <c r="C16362" s="1">
        <v>0</v>
      </c>
      <c r="D16362" s="1">
        <v>0</v>
      </c>
      <c r="E16362" s="1">
        <v>2.09599664640536E-4</v>
      </c>
      <c r="F16362" s="1">
        <v>5.8838758266845499E-6</v>
      </c>
    </row>
    <row r="16363" spans="1:6" x14ac:dyDescent="0.25">
      <c r="A16363" s="2" t="str">
        <f t="shared" si="584"/>
        <v>30980</v>
      </c>
      <c r="B16363" s="2" t="str">
        <f>"75680"</f>
        <v>75680</v>
      </c>
      <c r="C16363" s="1">
        <v>0</v>
      </c>
      <c r="D16363" s="1">
        <v>6.7385444743935303E-5</v>
      </c>
      <c r="E16363" s="1">
        <v>0</v>
      </c>
      <c r="F16363" s="1">
        <v>5.8838758266845499E-6</v>
      </c>
    </row>
    <row r="16364" spans="1:6" x14ac:dyDescent="0.25">
      <c r="A16364" s="2" t="str">
        <f t="shared" si="584"/>
        <v>30980</v>
      </c>
      <c r="B16364" s="2" t="str">
        <f>"75602"</f>
        <v>75602</v>
      </c>
      <c r="C16364" s="1">
        <v>6.3620339884931307E-2</v>
      </c>
      <c r="D16364" s="1">
        <v>5.4245283018867899E-2</v>
      </c>
      <c r="E16364" s="1">
        <v>9.7463844057849497E-2</v>
      </c>
      <c r="F16364" s="1">
        <v>6.3751794582127097E-2</v>
      </c>
    </row>
    <row r="16365" spans="1:6" x14ac:dyDescent="0.25">
      <c r="A16365" s="2" t="str">
        <f t="shared" si="584"/>
        <v>30980</v>
      </c>
      <c r="B16365" s="2" t="str">
        <f>"75657"</f>
        <v>75657</v>
      </c>
      <c r="C16365" s="1">
        <v>1.3369250723336301E-3</v>
      </c>
      <c r="D16365" s="1">
        <v>2.6954177897574099E-4</v>
      </c>
      <c r="E16365" s="1">
        <v>0</v>
      </c>
      <c r="F16365" s="1">
        <v>1.20619454447033E-3</v>
      </c>
    </row>
    <row r="16366" spans="1:6" x14ac:dyDescent="0.25">
      <c r="A16366" s="2" t="str">
        <f t="shared" si="584"/>
        <v>30980</v>
      </c>
      <c r="B16366" s="2" t="str">
        <f>"75659"</f>
        <v>75659</v>
      </c>
      <c r="C16366" s="1">
        <v>0</v>
      </c>
      <c r="D16366" s="1">
        <v>0</v>
      </c>
      <c r="E16366" s="1">
        <v>2.09599664640536E-4</v>
      </c>
      <c r="F16366" s="1">
        <v>5.8838758266845499E-6</v>
      </c>
    </row>
    <row r="16367" spans="1:6" x14ac:dyDescent="0.25">
      <c r="A16367" s="2" t="str">
        <f t="shared" si="584"/>
        <v>30980</v>
      </c>
      <c r="B16367" s="2" t="str">
        <f>"75670"</f>
        <v>75670</v>
      </c>
      <c r="C16367" s="1">
        <v>5.3330672785925702E-2</v>
      </c>
      <c r="D16367" s="1">
        <v>9.0431266846361102E-2</v>
      </c>
      <c r="E16367" s="1">
        <v>6.2251100398239299E-2</v>
      </c>
      <c r="F16367" s="1">
        <v>5.6820588858292699E-2</v>
      </c>
    </row>
    <row r="16368" spans="1:6" x14ac:dyDescent="0.25">
      <c r="A16368" s="2" t="str">
        <f t="shared" si="584"/>
        <v>30980</v>
      </c>
      <c r="B16368" s="2" t="str">
        <f>"75667"</f>
        <v>75667</v>
      </c>
      <c r="C16368" s="1">
        <v>4.15710532442049E-3</v>
      </c>
      <c r="D16368" s="1">
        <v>6.7385444743935303E-4</v>
      </c>
      <c r="E16368" s="1">
        <v>6.2879899392160904E-4</v>
      </c>
      <c r="F16368" s="1">
        <v>3.7539127774247399E-3</v>
      </c>
    </row>
    <row r="16369" spans="1:6" x14ac:dyDescent="0.25">
      <c r="A16369" s="2" t="str">
        <f t="shared" si="584"/>
        <v>30980</v>
      </c>
      <c r="B16369" s="2" t="str">
        <f>"75451"</f>
        <v>75451</v>
      </c>
      <c r="C16369" s="1">
        <v>1.2637600186238301E-4</v>
      </c>
      <c r="D16369" s="1">
        <v>0</v>
      </c>
      <c r="E16369" s="1">
        <v>0</v>
      </c>
      <c r="F16369" s="1">
        <v>1.11793640707006E-4</v>
      </c>
    </row>
    <row r="16370" spans="1:6" x14ac:dyDescent="0.25">
      <c r="A16370" s="2" t="str">
        <f t="shared" si="584"/>
        <v>30980</v>
      </c>
      <c r="B16370" s="2" t="str">
        <f>"75652"</f>
        <v>75652</v>
      </c>
      <c r="C16370" s="1">
        <v>4.1258438923808503E-2</v>
      </c>
      <c r="D16370" s="1">
        <v>4.3733153638813999E-2</v>
      </c>
      <c r="E16370" s="1">
        <v>3.5422343324250601E-2</v>
      </c>
      <c r="F16370" s="1">
        <v>4.1310692179152203E-2</v>
      </c>
    </row>
    <row r="16371" spans="1:6" x14ac:dyDescent="0.25">
      <c r="A16371" s="2" t="str">
        <f t="shared" si="584"/>
        <v>30980</v>
      </c>
      <c r="B16371" s="2" t="str">
        <f>"75651"</f>
        <v>75651</v>
      </c>
      <c r="C16371" s="1">
        <v>6.6181116764774299E-3</v>
      </c>
      <c r="D16371" s="1">
        <v>1.0107816711590199E-3</v>
      </c>
      <c r="E16371" s="1">
        <v>1.4671976524837499E-3</v>
      </c>
      <c r="F16371" s="1">
        <v>5.9839017157381899E-3</v>
      </c>
    </row>
    <row r="16372" spans="1:6" x14ac:dyDescent="0.25">
      <c r="A16372" s="2" t="str">
        <f t="shared" si="584"/>
        <v>30980</v>
      </c>
      <c r="B16372" s="2" t="str">
        <f>"75633"</f>
        <v>75633</v>
      </c>
      <c r="C16372" s="1">
        <v>3.3256842595363898E-5</v>
      </c>
      <c r="D16372" s="1">
        <v>0</v>
      </c>
      <c r="E16372" s="1">
        <v>0</v>
      </c>
      <c r="F16372" s="1">
        <v>2.9419379133422699E-5</v>
      </c>
    </row>
    <row r="16373" spans="1:6" x14ac:dyDescent="0.25">
      <c r="A16373" s="2" t="str">
        <f t="shared" si="584"/>
        <v>30980</v>
      </c>
      <c r="B16373" s="2" t="str">
        <f>"75694"</f>
        <v>75694</v>
      </c>
      <c r="C16373" s="1">
        <v>0</v>
      </c>
      <c r="D16373" s="1">
        <v>0</v>
      </c>
      <c r="E16373" s="1">
        <v>2.09599664640536E-4</v>
      </c>
      <c r="F16373" s="1">
        <v>5.8838758266845499E-6</v>
      </c>
    </row>
    <row r="16374" spans="1:6" x14ac:dyDescent="0.25">
      <c r="A16374" s="2" t="str">
        <f t="shared" si="584"/>
        <v>30980</v>
      </c>
      <c r="B16374" s="2" t="str">
        <f>"75691"</f>
        <v>75691</v>
      </c>
      <c r="C16374" s="1">
        <v>1.08084738434932E-2</v>
      </c>
      <c r="D16374" s="1">
        <v>3.4366576819407002E-3</v>
      </c>
      <c r="E16374" s="1">
        <v>7.3359882624187802E-3</v>
      </c>
      <c r="F16374" s="1">
        <v>1.00673115394572E-2</v>
      </c>
    </row>
    <row r="16375" spans="1:6" x14ac:dyDescent="0.25">
      <c r="A16375" s="2" t="str">
        <f t="shared" si="584"/>
        <v>30980</v>
      </c>
      <c r="B16375" s="2" t="str">
        <f>"75684"</f>
        <v>75684</v>
      </c>
      <c r="C16375" s="1">
        <v>2.1902956533306699E-2</v>
      </c>
      <c r="D16375" s="1">
        <v>1.4487870619946001E-2</v>
      </c>
      <c r="E16375" s="1">
        <v>2.5151959756864298E-2</v>
      </c>
      <c r="F16375" s="1">
        <v>2.1346701499211501E-2</v>
      </c>
    </row>
    <row r="16376" spans="1:6" x14ac:dyDescent="0.25">
      <c r="A16376" s="2" t="str">
        <f t="shared" si="584"/>
        <v>30980</v>
      </c>
      <c r="B16376" s="2" t="str">
        <f>"75683"</f>
        <v>75683</v>
      </c>
      <c r="C16376" s="1">
        <v>1.04426485749442E-2</v>
      </c>
      <c r="D16376" s="1">
        <v>4.38005390835579E-3</v>
      </c>
      <c r="E16376" s="1">
        <v>7.35694822888283E-2</v>
      </c>
      <c r="F16376" s="1">
        <v>1.1685377391795501E-2</v>
      </c>
    </row>
    <row r="16377" spans="1:6" x14ac:dyDescent="0.25">
      <c r="A16377" s="2" t="str">
        <f t="shared" si="584"/>
        <v>30980</v>
      </c>
      <c r="B16377" s="2" t="str">
        <f>"75681"</f>
        <v>75681</v>
      </c>
      <c r="C16377" s="1">
        <v>1.22385180750939E-2</v>
      </c>
      <c r="D16377" s="1">
        <v>3.36927223719676E-3</v>
      </c>
      <c r="E16377" s="1">
        <v>3.7727939635296501E-3</v>
      </c>
      <c r="F16377" s="1">
        <v>1.1226435077314099E-2</v>
      </c>
    </row>
    <row r="16378" spans="1:6" x14ac:dyDescent="0.25">
      <c r="A16378" s="2" t="str">
        <f t="shared" si="584"/>
        <v>30980</v>
      </c>
      <c r="B16378" s="2" t="str">
        <f>"75615"</f>
        <v>75615</v>
      </c>
      <c r="C16378" s="1">
        <v>5.5073331337922703E-3</v>
      </c>
      <c r="D16378" s="1">
        <v>4.5822102425875999E-3</v>
      </c>
      <c r="E16378" s="1">
        <v>4.1919932928107299E-4</v>
      </c>
      <c r="F16378" s="1">
        <v>5.2837204923627196E-3</v>
      </c>
    </row>
    <row r="16379" spans="1:6" x14ac:dyDescent="0.25">
      <c r="A16379" s="2" t="str">
        <f t="shared" si="584"/>
        <v>30980</v>
      </c>
      <c r="B16379" s="2" t="str">
        <f>"75605"</f>
        <v>75605</v>
      </c>
      <c r="C16379" s="1">
        <v>0.11312647577239</v>
      </c>
      <c r="D16379" s="1">
        <v>8.8679245283018807E-2</v>
      </c>
      <c r="E16379" s="1">
        <v>0.14252777195556399</v>
      </c>
      <c r="F16379" s="1">
        <v>0.11181717621031299</v>
      </c>
    </row>
    <row r="16380" spans="1:6" x14ac:dyDescent="0.25">
      <c r="A16380" s="2" t="str">
        <f t="shared" si="584"/>
        <v>30980</v>
      </c>
      <c r="B16380" s="2" t="str">
        <f>"75765"</f>
        <v>75765</v>
      </c>
      <c r="C16380" s="1">
        <v>2.9266021483920299E-4</v>
      </c>
      <c r="D16380" s="1">
        <v>0</v>
      </c>
      <c r="E16380" s="1">
        <v>0</v>
      </c>
      <c r="F16380" s="1">
        <v>2.5889053637411999E-4</v>
      </c>
    </row>
    <row r="16381" spans="1:6" x14ac:dyDescent="0.25">
      <c r="A16381" s="2" t="str">
        <f t="shared" si="584"/>
        <v>30980</v>
      </c>
      <c r="B16381" s="2" t="str">
        <f>"75760"</f>
        <v>75760</v>
      </c>
      <c r="C16381" s="1">
        <v>1.6162825501346901E-3</v>
      </c>
      <c r="D16381" s="1">
        <v>1.3477088948787001E-4</v>
      </c>
      <c r="E16381" s="1">
        <v>0</v>
      </c>
      <c r="F16381" s="1">
        <v>1.44154957753771E-3</v>
      </c>
    </row>
    <row r="16382" spans="1:6" x14ac:dyDescent="0.25">
      <c r="A16382" s="2" t="str">
        <f t="shared" si="584"/>
        <v>30980</v>
      </c>
      <c r="B16382" s="2" t="str">
        <f>"75644"</f>
        <v>75644</v>
      </c>
      <c r="C16382" s="1">
        <v>3.6170142006717802E-2</v>
      </c>
      <c r="D16382" s="1">
        <v>4.1239892183288399E-2</v>
      </c>
      <c r="E16382" s="1">
        <v>2.1588765457975199E-2</v>
      </c>
      <c r="F16382" s="1">
        <v>3.6203487961590002E-2</v>
      </c>
    </row>
    <row r="16383" spans="1:6" x14ac:dyDescent="0.25">
      <c r="A16383" s="2" t="str">
        <f t="shared" si="584"/>
        <v>30980</v>
      </c>
      <c r="B16383" s="2" t="str">
        <f>"75666"</f>
        <v>75666</v>
      </c>
      <c r="C16383" s="1">
        <v>3.5983903688183798E-3</v>
      </c>
      <c r="D16383" s="1">
        <v>1.6172506738544399E-3</v>
      </c>
      <c r="E16383" s="1">
        <v>2.09599664640536E-4</v>
      </c>
      <c r="F16383" s="1">
        <v>3.3302737179034501E-3</v>
      </c>
    </row>
    <row r="16384" spans="1:6" x14ac:dyDescent="0.25">
      <c r="A16384" s="2" t="str">
        <f t="shared" ref="A16384:A16395" si="585">"27380"</f>
        <v>27380</v>
      </c>
      <c r="B16384" s="2" t="str">
        <f>"75976"</f>
        <v>75976</v>
      </c>
      <c r="C16384" s="1">
        <v>1.4379233359821299E-3</v>
      </c>
      <c r="D16384" s="1">
        <v>1.3012361743656401E-3</v>
      </c>
      <c r="E16384" s="1">
        <v>0</v>
      </c>
      <c r="F16384" s="1">
        <v>1.3110455588331599E-3</v>
      </c>
    </row>
    <row r="16385" spans="1:6" x14ac:dyDescent="0.25">
      <c r="A16385" s="2" t="str">
        <f t="shared" si="585"/>
        <v>27380</v>
      </c>
      <c r="B16385" s="2" t="str">
        <f>"75925"</f>
        <v>75925</v>
      </c>
      <c r="C16385" s="1">
        <v>8.0977787868467793E-2</v>
      </c>
      <c r="D16385" s="1">
        <v>4.2290175666883499E-2</v>
      </c>
      <c r="E16385" s="1">
        <v>5.8915946582875E-3</v>
      </c>
      <c r="F16385" s="1">
        <v>7.2763028515240899E-2</v>
      </c>
    </row>
    <row r="16386" spans="1:6" x14ac:dyDescent="0.25">
      <c r="A16386" s="2" t="str">
        <f t="shared" si="585"/>
        <v>27380</v>
      </c>
      <c r="B16386" s="2" t="str">
        <f>"75766"</f>
        <v>75766</v>
      </c>
      <c r="C16386" s="1">
        <v>0.54883263329170895</v>
      </c>
      <c r="D16386" s="1">
        <v>0.70006506180871797</v>
      </c>
      <c r="E16386" s="1">
        <v>7.1877454831107607E-2</v>
      </c>
      <c r="F16386" s="1">
        <v>0.51665027859718105</v>
      </c>
    </row>
    <row r="16387" spans="1:6" x14ac:dyDescent="0.25">
      <c r="A16387" s="2" t="str">
        <f t="shared" si="585"/>
        <v>27380</v>
      </c>
      <c r="B16387" s="2" t="str">
        <f>"75759"</f>
        <v>75759</v>
      </c>
      <c r="C16387" s="1">
        <v>1.13520263367011E-4</v>
      </c>
      <c r="D16387" s="1">
        <v>6.5061808718282297E-4</v>
      </c>
      <c r="E16387" s="1">
        <v>0</v>
      </c>
      <c r="F16387" s="1">
        <v>1.3110455588331599E-4</v>
      </c>
    </row>
    <row r="16388" spans="1:6" x14ac:dyDescent="0.25">
      <c r="A16388" s="2" t="str">
        <f t="shared" si="585"/>
        <v>27380</v>
      </c>
      <c r="B16388" s="2" t="str">
        <f>"75784"</f>
        <v>75784</v>
      </c>
      <c r="C16388" s="1">
        <v>3.89752904226737E-3</v>
      </c>
      <c r="D16388" s="1">
        <v>0</v>
      </c>
      <c r="E16388" s="1">
        <v>3.9277297721916702E-4</v>
      </c>
      <c r="F16388" s="1">
        <v>3.4087184529662399E-3</v>
      </c>
    </row>
    <row r="16389" spans="1:6" x14ac:dyDescent="0.25">
      <c r="A16389" s="2" t="str">
        <f t="shared" si="585"/>
        <v>27380</v>
      </c>
      <c r="B16389" s="2" t="str">
        <f>"75764"</f>
        <v>75764</v>
      </c>
      <c r="C16389" s="1">
        <v>0</v>
      </c>
      <c r="D16389" s="1">
        <v>6.5061808718282297E-4</v>
      </c>
      <c r="E16389" s="1">
        <v>0</v>
      </c>
      <c r="F16389" s="1">
        <v>3.2776138970829201E-5</v>
      </c>
    </row>
    <row r="16390" spans="1:6" x14ac:dyDescent="0.25">
      <c r="A16390" s="2" t="str">
        <f t="shared" si="585"/>
        <v>27380</v>
      </c>
      <c r="B16390" s="2" t="str">
        <f>"75780"</f>
        <v>75780</v>
      </c>
      <c r="C16390" s="1">
        <v>0</v>
      </c>
      <c r="D16390" s="1">
        <v>0</v>
      </c>
      <c r="E16390" s="1">
        <v>3.9277297721916702E-4</v>
      </c>
      <c r="F16390" s="1">
        <v>3.2776138970829201E-5</v>
      </c>
    </row>
    <row r="16391" spans="1:6" x14ac:dyDescent="0.25">
      <c r="A16391" s="2" t="str">
        <f t="shared" si="585"/>
        <v>27380</v>
      </c>
      <c r="B16391" s="2" t="str">
        <f>"75772"</f>
        <v>75772</v>
      </c>
      <c r="C16391" s="1">
        <v>0</v>
      </c>
      <c r="D16391" s="1">
        <v>6.5061808718282297E-4</v>
      </c>
      <c r="E16391" s="1">
        <v>0</v>
      </c>
      <c r="F16391" s="1">
        <v>3.2776138970829201E-5</v>
      </c>
    </row>
    <row r="16392" spans="1:6" x14ac:dyDescent="0.25">
      <c r="A16392" s="2" t="str">
        <f t="shared" si="585"/>
        <v>27380</v>
      </c>
      <c r="B16392" s="2" t="str">
        <f>"75969"</f>
        <v>75969</v>
      </c>
      <c r="C16392" s="1">
        <v>9.8384228251409498E-4</v>
      </c>
      <c r="D16392" s="1">
        <v>0</v>
      </c>
      <c r="E16392" s="1">
        <v>0</v>
      </c>
      <c r="F16392" s="1">
        <v>8.5217961324155996E-4</v>
      </c>
    </row>
    <row r="16393" spans="1:6" x14ac:dyDescent="0.25">
      <c r="A16393" s="2" t="str">
        <f t="shared" si="585"/>
        <v>27380</v>
      </c>
      <c r="B16393" s="2" t="str">
        <f>"75785"</f>
        <v>75785</v>
      </c>
      <c r="C16393" s="1">
        <v>0.15548492072501599</v>
      </c>
      <c r="D16393" s="1">
        <v>0.198438516590761</v>
      </c>
      <c r="E16393" s="1">
        <v>0.91319717203456396</v>
      </c>
      <c r="F16393" s="1">
        <v>0.22087840052441801</v>
      </c>
    </row>
    <row r="16394" spans="1:6" x14ac:dyDescent="0.25">
      <c r="A16394" s="2" t="str">
        <f t="shared" si="585"/>
        <v>27380</v>
      </c>
      <c r="B16394" s="2" t="str">
        <f>"75789"</f>
        <v>75789</v>
      </c>
      <c r="C16394" s="1">
        <v>7.5528815226851301E-2</v>
      </c>
      <c r="D16394" s="1">
        <v>1.30123617436564E-2</v>
      </c>
      <c r="E16394" s="1">
        <v>7.8554595443833405E-4</v>
      </c>
      <c r="F16394" s="1">
        <v>6.6142248443133295E-2</v>
      </c>
    </row>
    <row r="16395" spans="1:6" x14ac:dyDescent="0.25">
      <c r="A16395" s="2" t="str">
        <f t="shared" si="585"/>
        <v>27380</v>
      </c>
      <c r="B16395" s="2" t="str">
        <f>"75757"</f>
        <v>75757</v>
      </c>
      <c r="C16395" s="1">
        <v>0.13274302796382401</v>
      </c>
      <c r="D16395" s="1">
        <v>4.29407937540663E-2</v>
      </c>
      <c r="E16395" s="1">
        <v>7.4626865671641703E-3</v>
      </c>
      <c r="F16395" s="1">
        <v>0.117764667322189</v>
      </c>
    </row>
    <row r="16396" spans="1:6" x14ac:dyDescent="0.25">
      <c r="A16396" s="2" t="str">
        <f t="shared" ref="A16396:A16407" si="586">"34860"</f>
        <v>34860</v>
      </c>
      <c r="B16396" s="2" t="str">
        <f>"75965"</f>
        <v>75965</v>
      </c>
      <c r="C16396" s="1">
        <v>0.26121617089342303</v>
      </c>
      <c r="D16396" s="1">
        <v>0.22248803827751101</v>
      </c>
      <c r="E16396" s="1">
        <v>0.28883903533370697</v>
      </c>
      <c r="F16396" s="1">
        <v>0.25974235104669802</v>
      </c>
    </row>
    <row r="16397" spans="1:6" x14ac:dyDescent="0.25">
      <c r="A16397" s="2" t="str">
        <f t="shared" si="586"/>
        <v>34860</v>
      </c>
      <c r="B16397" s="2" t="str">
        <f>"75958"</f>
        <v>75958</v>
      </c>
      <c r="C16397" s="1">
        <v>0</v>
      </c>
      <c r="D16397" s="1">
        <v>0</v>
      </c>
      <c r="E16397" s="1">
        <v>5.6085249579360596E-4</v>
      </c>
      <c r="F16397" s="1">
        <v>2.3004370830457699E-5</v>
      </c>
    </row>
    <row r="16398" spans="1:6" x14ac:dyDescent="0.25">
      <c r="A16398" s="2" t="str">
        <f t="shared" si="586"/>
        <v>34860</v>
      </c>
      <c r="B16398" s="2" t="str">
        <f>"75788"</f>
        <v>75788</v>
      </c>
      <c r="C16398" s="1">
        <v>0</v>
      </c>
      <c r="D16398" s="1">
        <v>6.8352699931647305E-4</v>
      </c>
      <c r="E16398" s="1">
        <v>0</v>
      </c>
      <c r="F16398" s="1">
        <v>4.60087416609155E-5</v>
      </c>
    </row>
    <row r="16399" spans="1:6" x14ac:dyDescent="0.25">
      <c r="A16399" s="2" t="str">
        <f t="shared" si="586"/>
        <v>34860</v>
      </c>
      <c r="B16399" s="2" t="str">
        <f>"75937"</f>
        <v>75937</v>
      </c>
      <c r="C16399" s="1">
        <v>1.8704367792368601E-2</v>
      </c>
      <c r="D16399" s="1">
        <v>5.8099794941900203E-3</v>
      </c>
      <c r="E16399" s="1">
        <v>5.6085249579360596E-4</v>
      </c>
      <c r="F16399" s="1">
        <v>1.7092247527030102E-2</v>
      </c>
    </row>
    <row r="16400" spans="1:6" x14ac:dyDescent="0.25">
      <c r="A16400" s="2" t="str">
        <f t="shared" si="586"/>
        <v>34860</v>
      </c>
      <c r="B16400" s="2" t="str">
        <f>"75760"</f>
        <v>75760</v>
      </c>
      <c r="C16400" s="1">
        <v>3.17071282990634E-2</v>
      </c>
      <c r="D16400" s="1">
        <v>4.78468899521531E-3</v>
      </c>
      <c r="E16400" s="1">
        <v>1.2338754907459301E-2</v>
      </c>
      <c r="F16400" s="1">
        <v>2.9100529100529099E-2</v>
      </c>
    </row>
    <row r="16401" spans="1:6" x14ac:dyDescent="0.25">
      <c r="A16401" s="2" t="str">
        <f t="shared" si="586"/>
        <v>34860</v>
      </c>
      <c r="B16401" s="2" t="str">
        <f>"75963"</f>
        <v>75963</v>
      </c>
      <c r="C16401" s="1">
        <v>7.43530868656639E-2</v>
      </c>
      <c r="D16401" s="1">
        <v>0.18010936431989</v>
      </c>
      <c r="E16401" s="1">
        <v>1.12170499158721E-3</v>
      </c>
      <c r="F16401" s="1">
        <v>7.8467908902691494E-2</v>
      </c>
    </row>
    <row r="16402" spans="1:6" x14ac:dyDescent="0.25">
      <c r="A16402" s="2" t="str">
        <f t="shared" si="586"/>
        <v>34860</v>
      </c>
      <c r="B16402" s="2" t="str">
        <f>"75961"</f>
        <v>75961</v>
      </c>
      <c r="C16402" s="1">
        <v>0.244885322876086</v>
      </c>
      <c r="D16402" s="1">
        <v>0.35201640464798301</v>
      </c>
      <c r="E16402" s="1">
        <v>0.499158721256309</v>
      </c>
      <c r="F16402" s="1">
        <v>0.26252587991718401</v>
      </c>
    </row>
    <row r="16403" spans="1:6" x14ac:dyDescent="0.25">
      <c r="A16403" s="2" t="str">
        <f t="shared" si="586"/>
        <v>34860</v>
      </c>
      <c r="B16403" s="2" t="str">
        <f>"75943"</f>
        <v>75943</v>
      </c>
      <c r="C16403" s="1">
        <v>2.5773328861484399E-2</v>
      </c>
      <c r="D16403" s="1">
        <v>3.7593984962406E-3</v>
      </c>
      <c r="E16403" s="1">
        <v>1.6825574873808101E-3</v>
      </c>
      <c r="F16403" s="1">
        <v>2.3303427651253698E-2</v>
      </c>
    </row>
    <row r="16404" spans="1:6" x14ac:dyDescent="0.25">
      <c r="A16404" s="2" t="str">
        <f t="shared" si="586"/>
        <v>34860</v>
      </c>
      <c r="B16404" s="2" t="str">
        <f>"75978"</f>
        <v>75978</v>
      </c>
      <c r="C16404" s="1">
        <v>0</v>
      </c>
      <c r="D16404" s="1">
        <v>0</v>
      </c>
      <c r="E16404" s="1">
        <v>5.6085249579360596E-4</v>
      </c>
      <c r="F16404" s="1">
        <v>2.3004370830457699E-5</v>
      </c>
    </row>
    <row r="16405" spans="1:6" x14ac:dyDescent="0.25">
      <c r="A16405" s="2" t="str">
        <f t="shared" si="586"/>
        <v>34860</v>
      </c>
      <c r="B16405" s="2" t="str">
        <f>"75944"</f>
        <v>75944</v>
      </c>
      <c r="C16405" s="1">
        <v>1.4911895977915901E-2</v>
      </c>
      <c r="D16405" s="1">
        <v>6.1517429938482502E-3</v>
      </c>
      <c r="E16405" s="1">
        <v>5.6085249579360596E-4</v>
      </c>
      <c r="F16405" s="1">
        <v>1.37336093857832E-2</v>
      </c>
    </row>
    <row r="16406" spans="1:6" x14ac:dyDescent="0.25">
      <c r="A16406" s="2" t="str">
        <f t="shared" si="586"/>
        <v>34860</v>
      </c>
      <c r="B16406" s="2" t="str">
        <f>"75964"</f>
        <v>75964</v>
      </c>
      <c r="C16406" s="1">
        <v>0.28319702794045498</v>
      </c>
      <c r="D16406" s="1">
        <v>0.214285714285714</v>
      </c>
      <c r="E16406" s="1">
        <v>0.17274256870443</v>
      </c>
      <c r="F16406" s="1">
        <v>0.27402806533241297</v>
      </c>
    </row>
    <row r="16407" spans="1:6" x14ac:dyDescent="0.25">
      <c r="A16407" s="2" t="str">
        <f t="shared" si="586"/>
        <v>34860</v>
      </c>
      <c r="B16407" s="2" t="str">
        <f>"75946"</f>
        <v>75946</v>
      </c>
      <c r="C16407" s="1">
        <v>4.5251670493537302E-2</v>
      </c>
      <c r="D16407" s="1">
        <v>9.9111414900888498E-3</v>
      </c>
      <c r="E16407" s="1">
        <v>2.1873247335950599E-2</v>
      </c>
      <c r="F16407" s="1">
        <v>4.1913963653094001E-2</v>
      </c>
    </row>
    <row r="16408" spans="1:6" x14ac:dyDescent="0.25">
      <c r="A16408" s="2" t="str">
        <f t="shared" ref="A16408:A16421" si="587">"15220"</f>
        <v>15220</v>
      </c>
      <c r="B16408" s="2" t="str">
        <f>"76878"</f>
        <v>76878</v>
      </c>
      <c r="C16408" s="1">
        <v>9.1136933242196401E-5</v>
      </c>
      <c r="D16408" s="1">
        <v>0</v>
      </c>
      <c r="E16408" s="1">
        <v>0</v>
      </c>
      <c r="F16408" s="1">
        <v>8.0909421902180504E-5</v>
      </c>
    </row>
    <row r="16409" spans="1:6" x14ac:dyDescent="0.25">
      <c r="A16409" s="2" t="str">
        <f t="shared" si="587"/>
        <v>15220</v>
      </c>
      <c r="B16409" s="2" t="str">
        <f>"76890"</f>
        <v>76890</v>
      </c>
      <c r="C16409" s="1">
        <v>2.06425153793574E-2</v>
      </c>
      <c r="D16409" s="1">
        <v>6.7632850241545802E-3</v>
      </c>
      <c r="E16409" s="1">
        <v>1.42045454545454E-2</v>
      </c>
      <c r="F16409" s="1">
        <v>1.9296897123670002E-2</v>
      </c>
    </row>
    <row r="16410" spans="1:6" x14ac:dyDescent="0.25">
      <c r="A16410" s="2" t="str">
        <f t="shared" si="587"/>
        <v>15220</v>
      </c>
      <c r="B16410" s="2" t="str">
        <f>"76474"</f>
        <v>76474</v>
      </c>
      <c r="C16410" s="1">
        <v>1.3670539986329399E-4</v>
      </c>
      <c r="D16410" s="1">
        <v>0</v>
      </c>
      <c r="E16410" s="1">
        <v>0</v>
      </c>
      <c r="F16410" s="1">
        <v>1.2136413285327E-4</v>
      </c>
    </row>
    <row r="16411" spans="1:6" x14ac:dyDescent="0.25">
      <c r="A16411" s="2" t="str">
        <f t="shared" si="587"/>
        <v>15220</v>
      </c>
      <c r="B16411" s="2" t="str">
        <f>"76857"</f>
        <v>76857</v>
      </c>
      <c r="C16411" s="1">
        <v>8.6306675780359901E-2</v>
      </c>
      <c r="D16411" s="1">
        <v>1.7874396135265699E-2</v>
      </c>
      <c r="E16411" s="1">
        <v>7.1022727272727201E-3</v>
      </c>
      <c r="F16411" s="1">
        <v>7.8320320401310706E-2</v>
      </c>
    </row>
    <row r="16412" spans="1:6" x14ac:dyDescent="0.25">
      <c r="A16412" s="2" t="str">
        <f t="shared" si="587"/>
        <v>15220</v>
      </c>
      <c r="B16412" s="2" t="str">
        <f>"76823"</f>
        <v>76823</v>
      </c>
      <c r="C16412" s="1">
        <v>4.8211437685121802E-2</v>
      </c>
      <c r="D16412" s="1">
        <v>2.6570048309178699E-2</v>
      </c>
      <c r="E16412" s="1">
        <v>6.10795454545454E-2</v>
      </c>
      <c r="F16412" s="1">
        <v>4.6765645859460303E-2</v>
      </c>
    </row>
    <row r="16413" spans="1:6" x14ac:dyDescent="0.25">
      <c r="A16413" s="2" t="str">
        <f t="shared" si="587"/>
        <v>15220</v>
      </c>
      <c r="B16413" s="2" t="str">
        <f>"76801"</f>
        <v>76801</v>
      </c>
      <c r="C16413" s="1">
        <v>0.60296195033037103</v>
      </c>
      <c r="D16413" s="1">
        <v>0.62125603864734202</v>
      </c>
      <c r="E16413" s="1">
        <v>0.59090909090909005</v>
      </c>
      <c r="F16413" s="1">
        <v>0.60415065334358098</v>
      </c>
    </row>
    <row r="16414" spans="1:6" x14ac:dyDescent="0.25">
      <c r="A16414" s="2" t="str">
        <f t="shared" si="587"/>
        <v>15220</v>
      </c>
      <c r="B16414" s="2" t="str">
        <f>"76471"</f>
        <v>76471</v>
      </c>
      <c r="C16414" s="1">
        <v>5.5593529277739801E-3</v>
      </c>
      <c r="D16414" s="1">
        <v>9.6618357487922703E-4</v>
      </c>
      <c r="E16414" s="1">
        <v>2.8409090909090901E-3</v>
      </c>
      <c r="F16414" s="1">
        <v>5.0972935798373701E-3</v>
      </c>
    </row>
    <row r="16415" spans="1:6" x14ac:dyDescent="0.25">
      <c r="A16415" s="2" t="str">
        <f t="shared" si="587"/>
        <v>15220</v>
      </c>
      <c r="B16415" s="2" t="str">
        <f>"76827"</f>
        <v>76827</v>
      </c>
      <c r="C16415" s="1">
        <v>9.3871041239462199E-3</v>
      </c>
      <c r="D16415" s="1">
        <v>4.8309178743961303E-4</v>
      </c>
      <c r="E16415" s="1">
        <v>2.8409090909090901E-3</v>
      </c>
      <c r="F16415" s="1">
        <v>8.45503458877786E-3</v>
      </c>
    </row>
    <row r="16416" spans="1:6" x14ac:dyDescent="0.25">
      <c r="A16416" s="2" t="str">
        <f t="shared" si="587"/>
        <v>15220</v>
      </c>
      <c r="B16416" s="2" t="str">
        <f>"76804"</f>
        <v>76804</v>
      </c>
      <c r="C16416" s="1">
        <v>5.3770790612895802E-2</v>
      </c>
      <c r="D16416" s="1">
        <v>0.15507246376811501</v>
      </c>
      <c r="E16416" s="1">
        <v>2.8409090909090901E-3</v>
      </c>
      <c r="F16416" s="1">
        <v>6.08034305594886E-2</v>
      </c>
    </row>
    <row r="16417" spans="1:6" x14ac:dyDescent="0.25">
      <c r="A16417" s="2" t="str">
        <f t="shared" si="587"/>
        <v>15220</v>
      </c>
      <c r="B16417" s="2" t="str">
        <f>"76803"</f>
        <v>76803</v>
      </c>
      <c r="C16417" s="1">
        <v>1.7999544315333699E-2</v>
      </c>
      <c r="D16417" s="1">
        <v>3.1400966183574797E-2</v>
      </c>
      <c r="E16417" s="1">
        <v>2.8409090909090901E-3</v>
      </c>
      <c r="F16417" s="1">
        <v>1.8690076459403598E-2</v>
      </c>
    </row>
    <row r="16418" spans="1:6" x14ac:dyDescent="0.25">
      <c r="A16418" s="2" t="str">
        <f t="shared" si="587"/>
        <v>15220</v>
      </c>
      <c r="B16418" s="2" t="str">
        <f>"76802"</f>
        <v>76802</v>
      </c>
      <c r="C16418" s="1">
        <v>0.12745500113921099</v>
      </c>
      <c r="D16418" s="1">
        <v>0.13574879227053099</v>
      </c>
      <c r="E16418" s="1">
        <v>0.30539772727272702</v>
      </c>
      <c r="F16418" s="1">
        <v>0.13321736316193999</v>
      </c>
    </row>
    <row r="16419" spans="1:6" x14ac:dyDescent="0.25">
      <c r="A16419" s="2" t="str">
        <f t="shared" si="587"/>
        <v>15220</v>
      </c>
      <c r="B16419" s="2" t="str">
        <f>"76443"</f>
        <v>76443</v>
      </c>
      <c r="C16419" s="1">
        <v>3.1442241968557701E-3</v>
      </c>
      <c r="D16419" s="1">
        <v>0</v>
      </c>
      <c r="E16419" s="1">
        <v>0</v>
      </c>
      <c r="F16419" s="1">
        <v>2.7913750556252202E-3</v>
      </c>
    </row>
    <row r="16420" spans="1:6" x14ac:dyDescent="0.25">
      <c r="A16420" s="2" t="str">
        <f t="shared" si="587"/>
        <v>15220</v>
      </c>
      <c r="B16420" s="2" t="str">
        <f>"76442"</f>
        <v>76442</v>
      </c>
      <c r="C16420" s="1">
        <v>4.5568466621098201E-5</v>
      </c>
      <c r="D16420" s="1">
        <v>0</v>
      </c>
      <c r="E16420" s="1">
        <v>0</v>
      </c>
      <c r="F16420" s="1">
        <v>4.0454710951090198E-5</v>
      </c>
    </row>
    <row r="16421" spans="1:6" x14ac:dyDescent="0.25">
      <c r="A16421" s="2" t="str">
        <f t="shared" si="587"/>
        <v>15220</v>
      </c>
      <c r="B16421" s="2" t="str">
        <f>"76432"</f>
        <v>76432</v>
      </c>
      <c r="C16421" s="1">
        <v>2.4287992709045299E-2</v>
      </c>
      <c r="D16421" s="1">
        <v>3.8647342995168999E-3</v>
      </c>
      <c r="E16421" s="1">
        <v>9.9431818181818094E-3</v>
      </c>
      <c r="F16421" s="1">
        <v>2.21691816011974E-2</v>
      </c>
    </row>
    <row r="16422" spans="1:6" x14ac:dyDescent="0.25">
      <c r="A16422" s="2" t="str">
        <f t="shared" ref="A16422:A16435" si="588">"20900"</f>
        <v>20900</v>
      </c>
      <c r="B16422" s="2" t="str">
        <f>"77420"</f>
        <v>77420</v>
      </c>
      <c r="C16422" s="1">
        <v>5.3691607284243797E-2</v>
      </c>
      <c r="D16422" s="1">
        <v>1.43184421534936E-2</v>
      </c>
      <c r="E16422" s="1">
        <v>2.40549828178694E-2</v>
      </c>
      <c r="F16422" s="1">
        <v>5.0213531130591099E-2</v>
      </c>
    </row>
    <row r="16423" spans="1:6" x14ac:dyDescent="0.25">
      <c r="A16423" s="2" t="str">
        <f t="shared" si="588"/>
        <v>20900</v>
      </c>
      <c r="B16423" s="2" t="str">
        <f>"77453"</f>
        <v>77453</v>
      </c>
      <c r="C16423" s="1">
        <v>0</v>
      </c>
      <c r="D16423" s="1">
        <v>5.7273768613974704E-4</v>
      </c>
      <c r="E16423" s="1">
        <v>0</v>
      </c>
      <c r="F16423" s="1">
        <v>4.4953922229714499E-5</v>
      </c>
    </row>
    <row r="16424" spans="1:6" x14ac:dyDescent="0.25">
      <c r="A16424" s="2" t="str">
        <f t="shared" si="588"/>
        <v>20900</v>
      </c>
      <c r="B16424" s="2" t="str">
        <f>"77432"</f>
        <v>77432</v>
      </c>
      <c r="C16424" s="1">
        <v>0</v>
      </c>
      <c r="D16424" s="1">
        <v>5.7273768613974704E-4</v>
      </c>
      <c r="E16424" s="1">
        <v>0</v>
      </c>
      <c r="F16424" s="1">
        <v>4.4953922229714499E-5</v>
      </c>
    </row>
    <row r="16425" spans="1:6" x14ac:dyDescent="0.25">
      <c r="A16425" s="2" t="str">
        <f t="shared" si="588"/>
        <v>20900</v>
      </c>
      <c r="B16425" s="2" t="str">
        <f>"77454"</f>
        <v>77454</v>
      </c>
      <c r="C16425" s="1">
        <v>0</v>
      </c>
      <c r="D16425" s="1">
        <v>5.7273768613974704E-4</v>
      </c>
      <c r="E16425" s="1">
        <v>0</v>
      </c>
      <c r="F16425" s="1">
        <v>4.4953922229714499E-5</v>
      </c>
    </row>
    <row r="16426" spans="1:6" x14ac:dyDescent="0.25">
      <c r="A16426" s="2" t="str">
        <f t="shared" si="588"/>
        <v>20900</v>
      </c>
      <c r="B16426" s="2" t="str">
        <f>"77437"</f>
        <v>77437</v>
      </c>
      <c r="C16426" s="1">
        <v>0.44274544734758497</v>
      </c>
      <c r="D16426" s="1">
        <v>0.49026345933562399</v>
      </c>
      <c r="E16426" s="1">
        <v>0.36426116838487899</v>
      </c>
      <c r="F16426" s="1">
        <v>0.44544841537424101</v>
      </c>
    </row>
    <row r="16427" spans="1:6" x14ac:dyDescent="0.25">
      <c r="A16427" s="2" t="str">
        <f t="shared" si="588"/>
        <v>20900</v>
      </c>
      <c r="B16427" s="2" t="str">
        <f>"77436"</f>
        <v>77436</v>
      </c>
      <c r="C16427" s="1">
        <v>0</v>
      </c>
      <c r="D16427" s="1">
        <v>5.7273768613974704E-4</v>
      </c>
      <c r="E16427" s="1">
        <v>0</v>
      </c>
      <c r="F16427" s="1">
        <v>4.4953922229714499E-5</v>
      </c>
    </row>
    <row r="16428" spans="1:6" x14ac:dyDescent="0.25">
      <c r="A16428" s="2" t="str">
        <f t="shared" si="588"/>
        <v>20900</v>
      </c>
      <c r="B16428" s="2" t="str">
        <f>"77467"</f>
        <v>77467</v>
      </c>
      <c r="C16428" s="1">
        <v>0</v>
      </c>
      <c r="D16428" s="1">
        <v>5.7273768613974704E-4</v>
      </c>
      <c r="E16428" s="1">
        <v>0</v>
      </c>
      <c r="F16428" s="1">
        <v>4.4953922229714499E-5</v>
      </c>
    </row>
    <row r="16429" spans="1:6" x14ac:dyDescent="0.25">
      <c r="A16429" s="2" t="str">
        <f t="shared" si="588"/>
        <v>20900</v>
      </c>
      <c r="B16429" s="2" t="str">
        <f>"77443"</f>
        <v>77443</v>
      </c>
      <c r="C16429" s="1">
        <v>0</v>
      </c>
      <c r="D16429" s="1">
        <v>5.7273768613974704E-4</v>
      </c>
      <c r="E16429" s="1">
        <v>0</v>
      </c>
      <c r="F16429" s="1">
        <v>4.4953922229714499E-5</v>
      </c>
    </row>
    <row r="16430" spans="1:6" x14ac:dyDescent="0.25">
      <c r="A16430" s="2" t="str">
        <f t="shared" si="588"/>
        <v>20900</v>
      </c>
      <c r="B16430" s="2" t="str">
        <f>"77435"</f>
        <v>77435</v>
      </c>
      <c r="C16430" s="1">
        <v>9.4566508313539105E-2</v>
      </c>
      <c r="D16430" s="1">
        <v>6.1855670103092703E-2</v>
      </c>
      <c r="E16430" s="1">
        <v>6.1855670103092703E-2</v>
      </c>
      <c r="F16430" s="1">
        <v>9.1571139581928501E-2</v>
      </c>
    </row>
    <row r="16431" spans="1:6" x14ac:dyDescent="0.25">
      <c r="A16431" s="2" t="str">
        <f t="shared" si="588"/>
        <v>20900</v>
      </c>
      <c r="B16431" s="2" t="str">
        <f>"77455"</f>
        <v>77455</v>
      </c>
      <c r="C16431" s="1">
        <v>4.1567695961995201E-2</v>
      </c>
      <c r="D16431" s="1">
        <v>4.5819014891179798E-3</v>
      </c>
      <c r="E16431" s="1">
        <v>0</v>
      </c>
      <c r="F16431" s="1">
        <v>3.81209260507979E-2</v>
      </c>
    </row>
    <row r="16432" spans="1:6" x14ac:dyDescent="0.25">
      <c r="A16432" s="2" t="str">
        <f t="shared" si="588"/>
        <v>20900</v>
      </c>
      <c r="B16432" s="2" t="str">
        <f>"77488"</f>
        <v>77488</v>
      </c>
      <c r="C16432" s="1">
        <v>0.35931314330957997</v>
      </c>
      <c r="D16432" s="1">
        <v>0.42268041237113402</v>
      </c>
      <c r="E16432" s="1">
        <v>0.54982817869415801</v>
      </c>
      <c r="F16432" s="1">
        <v>0.36677905147223999</v>
      </c>
    </row>
    <row r="16433" spans="1:6" x14ac:dyDescent="0.25">
      <c r="A16433" s="2" t="str">
        <f t="shared" si="588"/>
        <v>20900</v>
      </c>
      <c r="B16433" s="2" t="str">
        <f>"77485"</f>
        <v>77485</v>
      </c>
      <c r="C16433" s="1">
        <v>3.4639746634995998E-4</v>
      </c>
      <c r="D16433" s="1">
        <v>0</v>
      </c>
      <c r="E16433" s="1">
        <v>0</v>
      </c>
      <c r="F16433" s="1">
        <v>3.14677455608001E-4</v>
      </c>
    </row>
    <row r="16434" spans="1:6" x14ac:dyDescent="0.25">
      <c r="A16434" s="2" t="str">
        <f t="shared" si="588"/>
        <v>20900</v>
      </c>
      <c r="B16434" s="2" t="str">
        <f>"77448"</f>
        <v>77448</v>
      </c>
      <c r="C16434" s="1">
        <v>0</v>
      </c>
      <c r="D16434" s="1">
        <v>5.7273768613974704E-4</v>
      </c>
      <c r="E16434" s="1">
        <v>0</v>
      </c>
      <c r="F16434" s="1">
        <v>4.4953922229714499E-5</v>
      </c>
    </row>
    <row r="16435" spans="1:6" x14ac:dyDescent="0.25">
      <c r="A16435" s="2" t="str">
        <f t="shared" si="588"/>
        <v>20900</v>
      </c>
      <c r="B16435" s="2" t="str">
        <f>"77434"</f>
        <v>77434</v>
      </c>
      <c r="C16435" s="1">
        <v>7.7692003167062502E-3</v>
      </c>
      <c r="D16435" s="1">
        <v>2.2909507445589899E-3</v>
      </c>
      <c r="E16435" s="1">
        <v>0</v>
      </c>
      <c r="F16435" s="1">
        <v>7.2375814789840398E-3</v>
      </c>
    </row>
    <row r="16436" spans="1:6" x14ac:dyDescent="0.25">
      <c r="A16436" s="2" t="str">
        <f t="shared" ref="A16436:A16441" si="589">"38920"</f>
        <v>38920</v>
      </c>
      <c r="B16436" s="2" t="str">
        <f>"77978"</f>
        <v>77978</v>
      </c>
      <c r="C16436" s="1">
        <v>0</v>
      </c>
      <c r="D16436" s="1">
        <v>1.2062726176115799E-3</v>
      </c>
      <c r="E16436" s="1">
        <v>8.6956521739130401E-3</v>
      </c>
      <c r="F16436" s="1">
        <v>4.2069835927639802E-4</v>
      </c>
    </row>
    <row r="16437" spans="1:6" x14ac:dyDescent="0.25">
      <c r="A16437" s="2" t="str">
        <f t="shared" si="589"/>
        <v>38920</v>
      </c>
      <c r="B16437" s="2" t="str">
        <f>"77983"</f>
        <v>77983</v>
      </c>
      <c r="C16437" s="1">
        <v>6.8754499640028693E-2</v>
      </c>
      <c r="D16437" s="1">
        <v>2.17129071170084E-2</v>
      </c>
      <c r="E16437" s="1">
        <v>0.14492753623188401</v>
      </c>
      <c r="F16437" s="1">
        <v>6.7416912074042906E-2</v>
      </c>
    </row>
    <row r="16438" spans="1:6" x14ac:dyDescent="0.25">
      <c r="A16438" s="2" t="str">
        <f t="shared" si="589"/>
        <v>38920</v>
      </c>
      <c r="B16438" s="2" t="str">
        <f>"77990"</f>
        <v>77990</v>
      </c>
      <c r="C16438" s="1">
        <v>1.00791936645068E-2</v>
      </c>
      <c r="D16438" s="1">
        <v>7.2376357056694804E-3</v>
      </c>
      <c r="E16438" s="1">
        <v>2.6086956521739101E-2</v>
      </c>
      <c r="F16438" s="1">
        <v>1.04122843920908E-2</v>
      </c>
    </row>
    <row r="16439" spans="1:6" x14ac:dyDescent="0.25">
      <c r="A16439" s="2" t="str">
        <f t="shared" si="589"/>
        <v>38920</v>
      </c>
      <c r="B16439" s="2" t="str">
        <f>"77465"</f>
        <v>77465</v>
      </c>
      <c r="C16439" s="1">
        <v>7.6793856491480603E-3</v>
      </c>
      <c r="D16439" s="1">
        <v>0</v>
      </c>
      <c r="E16439" s="1">
        <v>0</v>
      </c>
      <c r="F16439" s="1">
        <v>6.7311737484223796E-3</v>
      </c>
    </row>
    <row r="16440" spans="1:6" x14ac:dyDescent="0.25">
      <c r="A16440" s="2" t="str">
        <f t="shared" si="589"/>
        <v>38920</v>
      </c>
      <c r="B16440" s="2" t="str">
        <f>"77982"</f>
        <v>77982</v>
      </c>
      <c r="C16440" s="1">
        <v>1.3438924886009101E-2</v>
      </c>
      <c r="D16440" s="1">
        <v>4.2219541616405301E-2</v>
      </c>
      <c r="E16440" s="1">
        <v>5.7971014492753598E-3</v>
      </c>
      <c r="F16440" s="1">
        <v>1.5671013883045801E-2</v>
      </c>
    </row>
    <row r="16441" spans="1:6" x14ac:dyDescent="0.25">
      <c r="A16441" s="2" t="str">
        <f t="shared" si="589"/>
        <v>38920</v>
      </c>
      <c r="B16441" s="2" t="str">
        <f>"77979"</f>
        <v>77979</v>
      </c>
      <c r="C16441" s="1">
        <v>0.90004799616030695</v>
      </c>
      <c r="D16441" s="1">
        <v>0.92762364294330502</v>
      </c>
      <c r="E16441" s="1">
        <v>0.81449275362318796</v>
      </c>
      <c r="F16441" s="1">
        <v>0.89934791754312104</v>
      </c>
    </row>
    <row r="16442" spans="1:6" x14ac:dyDescent="0.25">
      <c r="A16442" s="2" t="str">
        <f t="shared" ref="A16442:A16453" si="590">"10860"</f>
        <v>10860</v>
      </c>
      <c r="B16442" s="2" t="str">
        <f>"78383"</f>
        <v>78383</v>
      </c>
      <c r="C16442" s="1">
        <v>4.1290113101358203E-2</v>
      </c>
      <c r="D16442" s="1">
        <v>1.03033772180881E-2</v>
      </c>
      <c r="E16442" s="1">
        <v>4.0404040404040401E-2</v>
      </c>
      <c r="F16442" s="1">
        <v>3.8648045776355298E-2</v>
      </c>
    </row>
    <row r="16443" spans="1:6" x14ac:dyDescent="0.25">
      <c r="A16443" s="2" t="str">
        <f t="shared" si="590"/>
        <v>10860</v>
      </c>
      <c r="B16443" s="2" t="str">
        <f>"78355"</f>
        <v>78355</v>
      </c>
      <c r="C16443" s="1">
        <v>4.70804697223875E-3</v>
      </c>
      <c r="D16443" s="1">
        <v>2.2896393817973598E-3</v>
      </c>
      <c r="E16443" s="1">
        <v>7.5757575757575699E-3</v>
      </c>
      <c r="F16443" s="1">
        <v>4.5582387741247201E-3</v>
      </c>
    </row>
    <row r="16444" spans="1:6" x14ac:dyDescent="0.25">
      <c r="A16444" s="2" t="str">
        <f t="shared" si="590"/>
        <v>10860</v>
      </c>
      <c r="B16444" s="2" t="str">
        <f>"78375"</f>
        <v>78375</v>
      </c>
      <c r="C16444" s="1">
        <v>2.57589696412143E-2</v>
      </c>
      <c r="D16444" s="1">
        <v>1.2593016599885499E-2</v>
      </c>
      <c r="E16444" s="1">
        <v>5.0505050505050501E-3</v>
      </c>
      <c r="F16444" s="1">
        <v>2.42459509261953E-2</v>
      </c>
    </row>
    <row r="16445" spans="1:6" x14ac:dyDescent="0.25">
      <c r="A16445" s="2" t="str">
        <f t="shared" si="590"/>
        <v>10860</v>
      </c>
      <c r="B16445" s="2" t="str">
        <f>"78380"</f>
        <v>78380</v>
      </c>
      <c r="C16445" s="1">
        <v>8.6584771903241498E-4</v>
      </c>
      <c r="D16445" s="1">
        <v>0</v>
      </c>
      <c r="E16445" s="1">
        <v>5.0505050505050501E-3</v>
      </c>
      <c r="F16445" s="1">
        <v>8.7285423334303104E-4</v>
      </c>
    </row>
    <row r="16446" spans="1:6" x14ac:dyDescent="0.25">
      <c r="A16446" s="2" t="str">
        <f t="shared" si="590"/>
        <v>10860</v>
      </c>
      <c r="B16446" s="2" t="str">
        <f>"78349"</f>
        <v>78349</v>
      </c>
      <c r="C16446" s="1">
        <v>1.3312408680123299E-2</v>
      </c>
      <c r="D16446" s="1">
        <v>1.7172295363480201E-3</v>
      </c>
      <c r="E16446" s="1">
        <v>1.01010101010101E-2</v>
      </c>
      <c r="F16446" s="1">
        <v>1.22684511686548E-2</v>
      </c>
    </row>
    <row r="16447" spans="1:6" x14ac:dyDescent="0.25">
      <c r="A16447" s="2" t="str">
        <f t="shared" si="590"/>
        <v>10860</v>
      </c>
      <c r="B16447" s="2" t="str">
        <f>"78384"</f>
        <v>78384</v>
      </c>
      <c r="C16447" s="1">
        <v>0.132150008117322</v>
      </c>
      <c r="D16447" s="1">
        <v>0.107040641099026</v>
      </c>
      <c r="E16447" s="1">
        <v>7.5757575757575704E-2</v>
      </c>
      <c r="F16447" s="1">
        <v>0.128939967025506</v>
      </c>
    </row>
    <row r="16448" spans="1:6" x14ac:dyDescent="0.25">
      <c r="A16448" s="2" t="str">
        <f t="shared" si="590"/>
        <v>10860</v>
      </c>
      <c r="B16448" s="2" t="str">
        <f>"78372"</f>
        <v>78372</v>
      </c>
      <c r="C16448" s="1">
        <v>9.9139563829211505E-2</v>
      </c>
      <c r="D16448" s="1">
        <v>2.0606754436176301E-2</v>
      </c>
      <c r="E16448" s="1">
        <v>0.11616161616161599</v>
      </c>
      <c r="F16448" s="1">
        <v>9.2813500145475694E-2</v>
      </c>
    </row>
    <row r="16449" spans="1:6" x14ac:dyDescent="0.25">
      <c r="A16449" s="2" t="str">
        <f t="shared" si="590"/>
        <v>10860</v>
      </c>
      <c r="B16449" s="2" t="str">
        <f>"78332"</f>
        <v>78332</v>
      </c>
      <c r="C16449" s="1">
        <v>0.63656041993614298</v>
      </c>
      <c r="D16449" s="1">
        <v>0.83514596451058898</v>
      </c>
      <c r="E16449" s="1">
        <v>0.72222222222222199</v>
      </c>
      <c r="F16449" s="1">
        <v>0.65502861022209202</v>
      </c>
    </row>
    <row r="16450" spans="1:6" x14ac:dyDescent="0.25">
      <c r="A16450" s="2" t="str">
        <f t="shared" si="590"/>
        <v>10860</v>
      </c>
      <c r="B16450" s="2" t="str">
        <f>"78357"</f>
        <v>78357</v>
      </c>
      <c r="C16450" s="1">
        <v>2.5434276746577101E-2</v>
      </c>
      <c r="D16450" s="1">
        <v>6.2965082999427496E-3</v>
      </c>
      <c r="E16450" s="1">
        <v>1.26262626262626E-2</v>
      </c>
      <c r="F16450" s="1">
        <v>2.35670643002618E-2</v>
      </c>
    </row>
    <row r="16451" spans="1:6" x14ac:dyDescent="0.25">
      <c r="A16451" s="2" t="str">
        <f t="shared" si="590"/>
        <v>10860</v>
      </c>
      <c r="B16451" s="2" t="str">
        <f>"78342"</f>
        <v>78342</v>
      </c>
      <c r="C16451" s="1">
        <v>0</v>
      </c>
      <c r="D16451" s="1">
        <v>5.7240984544934103E-4</v>
      </c>
      <c r="E16451" s="1">
        <v>0</v>
      </c>
      <c r="F16451" s="1">
        <v>4.8491901852390598E-5</v>
      </c>
    </row>
    <row r="16452" spans="1:6" x14ac:dyDescent="0.25">
      <c r="A16452" s="2" t="str">
        <f t="shared" si="590"/>
        <v>10860</v>
      </c>
      <c r="B16452" s="2" t="str">
        <f>"78341"</f>
        <v>78341</v>
      </c>
      <c r="C16452" s="1">
        <v>1.3528870609881401E-2</v>
      </c>
      <c r="D16452" s="1">
        <v>1.1448196908986799E-3</v>
      </c>
      <c r="E16452" s="1">
        <v>5.0505050505050501E-3</v>
      </c>
      <c r="F16452" s="1">
        <v>1.2316943070507199E-2</v>
      </c>
    </row>
    <row r="16453" spans="1:6" x14ac:dyDescent="0.25">
      <c r="A16453" s="2" t="str">
        <f t="shared" si="590"/>
        <v>10860</v>
      </c>
      <c r="B16453" s="2" t="str">
        <f>"78376"</f>
        <v>78376</v>
      </c>
      <c r="C16453" s="1">
        <v>7.2514746468964704E-3</v>
      </c>
      <c r="D16453" s="1">
        <v>2.2896393817973598E-3</v>
      </c>
      <c r="E16453" s="1">
        <v>0</v>
      </c>
      <c r="F16453" s="1">
        <v>6.6918824556298998E-3</v>
      </c>
    </row>
    <row r="16454" spans="1:6" x14ac:dyDescent="0.25">
      <c r="A16454" s="2" t="str">
        <f t="shared" ref="A16454:A16476" si="591">"15180"</f>
        <v>15180</v>
      </c>
      <c r="B16454" s="2" t="str">
        <f>"78523"</f>
        <v>78523</v>
      </c>
      <c r="C16454" s="1">
        <v>9.9713631156930094E-3</v>
      </c>
      <c r="D16454" s="1">
        <v>2.22832905191469E-2</v>
      </c>
      <c r="E16454" s="1">
        <v>1.22339124051871E-4</v>
      </c>
      <c r="F16454" s="1">
        <v>1.0600812979605301E-2</v>
      </c>
    </row>
    <row r="16455" spans="1:6" x14ac:dyDescent="0.25">
      <c r="A16455" s="2" t="str">
        <f t="shared" si="591"/>
        <v>15180</v>
      </c>
      <c r="B16455" s="2" t="str">
        <f>"78526"</f>
        <v>78526</v>
      </c>
      <c r="C16455" s="1">
        <v>0.104266895761741</v>
      </c>
      <c r="D16455" s="1">
        <v>7.68863133998446E-2</v>
      </c>
      <c r="E16455" s="1">
        <v>0.110349889894788</v>
      </c>
      <c r="F16455" s="1">
        <v>0.102218903028875</v>
      </c>
    </row>
    <row r="16456" spans="1:6" x14ac:dyDescent="0.25">
      <c r="A16456" s="2" t="str">
        <f t="shared" si="591"/>
        <v>15180</v>
      </c>
      <c r="B16456" s="2" t="str">
        <f>"78569"</f>
        <v>78569</v>
      </c>
      <c r="C16456" s="1">
        <v>5.7273768613974696E-6</v>
      </c>
      <c r="D16456" s="1">
        <v>0</v>
      </c>
      <c r="E16456" s="1">
        <v>0</v>
      </c>
      <c r="F16456" s="1">
        <v>5.0122047184895203E-6</v>
      </c>
    </row>
    <row r="16457" spans="1:6" x14ac:dyDescent="0.25">
      <c r="A16457" s="2" t="str">
        <f t="shared" si="591"/>
        <v>15180</v>
      </c>
      <c r="B16457" s="2" t="str">
        <f>"78535"</f>
        <v>78535</v>
      </c>
      <c r="C16457" s="1">
        <v>9.9713631156930094E-3</v>
      </c>
      <c r="D16457" s="1">
        <v>5.1377023717067904E-3</v>
      </c>
      <c r="E16457" s="1">
        <v>1.22339124051871E-4</v>
      </c>
      <c r="F16457" s="1">
        <v>9.1623102253988401E-3</v>
      </c>
    </row>
    <row r="16458" spans="1:6" x14ac:dyDescent="0.25">
      <c r="A16458" s="2" t="str">
        <f t="shared" si="591"/>
        <v>15180</v>
      </c>
      <c r="B16458" s="2" t="str">
        <f>"78570"</f>
        <v>78570</v>
      </c>
      <c r="C16458" s="1">
        <v>1.14547537227949E-5</v>
      </c>
      <c r="D16458" s="1">
        <v>0</v>
      </c>
      <c r="E16458" s="1">
        <v>0</v>
      </c>
      <c r="F16458" s="1">
        <v>1.0024409436979E-5</v>
      </c>
    </row>
    <row r="16459" spans="1:6" x14ac:dyDescent="0.25">
      <c r="A16459" s="2" t="str">
        <f t="shared" si="591"/>
        <v>15180</v>
      </c>
      <c r="B16459" s="2" t="str">
        <f>"78559"</f>
        <v>78559</v>
      </c>
      <c r="C16459" s="1">
        <v>3.2382588774341303E-2</v>
      </c>
      <c r="D16459" s="1">
        <v>1.7145588147440102E-2</v>
      </c>
      <c r="E16459" s="1">
        <v>1.46806948862246E-2</v>
      </c>
      <c r="F16459" s="1">
        <v>3.0378972798764899E-2</v>
      </c>
    </row>
    <row r="16460" spans="1:6" x14ac:dyDescent="0.25">
      <c r="A16460" s="2" t="str">
        <f t="shared" si="591"/>
        <v>15180</v>
      </c>
      <c r="B16460" s="2" t="str">
        <f>"78586"</f>
        <v>78586</v>
      </c>
      <c r="C16460" s="1">
        <v>0.11380870561282901</v>
      </c>
      <c r="D16460" s="1">
        <v>6.8164167512993604E-2</v>
      </c>
      <c r="E16460" s="1">
        <v>4.6366528015659401E-2</v>
      </c>
      <c r="F16460" s="1">
        <v>0.107216071133209</v>
      </c>
    </row>
    <row r="16461" spans="1:6" x14ac:dyDescent="0.25">
      <c r="A16461" s="2" t="str">
        <f t="shared" si="591"/>
        <v>15180</v>
      </c>
      <c r="B16461" s="2" t="str">
        <f>"78575"</f>
        <v>78575</v>
      </c>
      <c r="C16461" s="1">
        <v>1.9329896907216398E-2</v>
      </c>
      <c r="D16461" s="1">
        <v>1.07533305454328E-2</v>
      </c>
      <c r="E16461" s="1">
        <v>1.3824321017861499E-2</v>
      </c>
      <c r="F16461" s="1">
        <v>1.8384766907419501E-2</v>
      </c>
    </row>
    <row r="16462" spans="1:6" x14ac:dyDescent="0.25">
      <c r="A16462" s="2" t="str">
        <f t="shared" si="591"/>
        <v>15180</v>
      </c>
      <c r="B16462" s="2" t="str">
        <f>"78553"</f>
        <v>78553</v>
      </c>
      <c r="C16462" s="1">
        <v>1.5979381443298898E-2</v>
      </c>
      <c r="D16462" s="1">
        <v>2.0072883684807901E-2</v>
      </c>
      <c r="E16462" s="1">
        <v>1.22339124051871E-4</v>
      </c>
      <c r="F16462" s="1">
        <v>1.5673164154716701E-2</v>
      </c>
    </row>
    <row r="16463" spans="1:6" x14ac:dyDescent="0.25">
      <c r="A16463" s="2" t="str">
        <f t="shared" si="591"/>
        <v>15180</v>
      </c>
      <c r="B16463" s="2" t="str">
        <f>"78593"</f>
        <v>78593</v>
      </c>
      <c r="C16463" s="1">
        <v>5.57273768613974E-3</v>
      </c>
      <c r="D16463" s="1">
        <v>1.79222175757213E-4</v>
      </c>
      <c r="E16463" s="1">
        <v>2.20210423293369E-3</v>
      </c>
      <c r="F16463" s="1">
        <v>4.9821314901785799E-3</v>
      </c>
    </row>
    <row r="16464" spans="1:6" x14ac:dyDescent="0.25">
      <c r="A16464" s="2" t="str">
        <f t="shared" si="591"/>
        <v>15180</v>
      </c>
      <c r="B16464" s="2" t="str">
        <f>"78578"</f>
        <v>78578</v>
      </c>
      <c r="C16464" s="1">
        <v>3.8493699885452398E-2</v>
      </c>
      <c r="D16464" s="1">
        <v>2.98106219009498E-2</v>
      </c>
      <c r="E16464" s="1">
        <v>2.6547589919256102E-2</v>
      </c>
      <c r="F16464" s="1">
        <v>3.7275766491406501E-2</v>
      </c>
    </row>
    <row r="16465" spans="1:6" x14ac:dyDescent="0.25">
      <c r="A16465" s="2" t="str">
        <f t="shared" si="591"/>
        <v>15180</v>
      </c>
      <c r="B16465" s="2" t="str">
        <f>"78567"</f>
        <v>78567</v>
      </c>
      <c r="C16465" s="1">
        <v>0</v>
      </c>
      <c r="D16465" s="1">
        <v>2.38962901009618E-4</v>
      </c>
      <c r="E16465" s="1">
        <v>0</v>
      </c>
      <c r="F16465" s="1">
        <v>2.0048818873958E-5</v>
      </c>
    </row>
    <row r="16466" spans="1:6" x14ac:dyDescent="0.25">
      <c r="A16466" s="2" t="str">
        <f t="shared" si="591"/>
        <v>15180</v>
      </c>
      <c r="B16466" s="2" t="str">
        <f>"78566"</f>
        <v>78566</v>
      </c>
      <c r="C16466" s="1">
        <v>5.4398625429553198E-2</v>
      </c>
      <c r="D16466" s="1">
        <v>3.02288069777167E-2</v>
      </c>
      <c r="E16466" s="1">
        <v>4.0371910937117603E-2</v>
      </c>
      <c r="F16466" s="1">
        <v>5.1796123560870697E-2</v>
      </c>
    </row>
    <row r="16467" spans="1:6" x14ac:dyDescent="0.25">
      <c r="A16467" s="2" t="str">
        <f t="shared" si="591"/>
        <v>15180</v>
      </c>
      <c r="B16467" s="2" t="str">
        <f>"78522"</f>
        <v>78522</v>
      </c>
      <c r="C16467" s="1">
        <v>8.1557846506300092E-3</v>
      </c>
      <c r="D16467" s="1">
        <v>7.0494055797837296E-3</v>
      </c>
      <c r="E16467" s="1">
        <v>2.4467824810374303E-4</v>
      </c>
      <c r="F16467" s="1">
        <v>7.7388440853478199E-3</v>
      </c>
    </row>
    <row r="16468" spans="1:6" x14ac:dyDescent="0.25">
      <c r="A16468" s="2" t="str">
        <f t="shared" si="591"/>
        <v>15180</v>
      </c>
      <c r="B16468" s="2" t="str">
        <f>"78521"</f>
        <v>78521</v>
      </c>
      <c r="C16468" s="1">
        <v>0.182308132875143</v>
      </c>
      <c r="D16468" s="1">
        <v>0.20968994563594001</v>
      </c>
      <c r="E16468" s="1">
        <v>0.26743332517739099</v>
      </c>
      <c r="F16468" s="1">
        <v>0.188093006470756</v>
      </c>
    </row>
    <row r="16469" spans="1:6" x14ac:dyDescent="0.25">
      <c r="A16469" s="2" t="str">
        <f t="shared" si="591"/>
        <v>15180</v>
      </c>
      <c r="B16469" s="2" t="str">
        <f>"78552"</f>
        <v>78552</v>
      </c>
      <c r="C16469" s="1">
        <v>9.7686139747995407E-2</v>
      </c>
      <c r="D16469" s="1">
        <v>4.6299062070613503E-2</v>
      </c>
      <c r="E16469" s="1">
        <v>3.7802789332028297E-2</v>
      </c>
      <c r="F16469" s="1">
        <v>9.0921393593399902E-2</v>
      </c>
    </row>
    <row r="16470" spans="1:6" x14ac:dyDescent="0.25">
      <c r="A16470" s="2" t="str">
        <f t="shared" si="591"/>
        <v>15180</v>
      </c>
      <c r="B16470" s="2" t="str">
        <f>"78597"</f>
        <v>78597</v>
      </c>
      <c r="C16470" s="1">
        <v>1.9828178694158E-2</v>
      </c>
      <c r="D16470" s="1">
        <v>5.7829022044327598E-2</v>
      </c>
      <c r="E16470" s="1">
        <v>3.9270858820650803E-2</v>
      </c>
      <c r="F16470" s="1">
        <v>2.3812984617543699E-2</v>
      </c>
    </row>
    <row r="16471" spans="1:6" x14ac:dyDescent="0.25">
      <c r="A16471" s="2" t="str">
        <f t="shared" si="591"/>
        <v>15180</v>
      </c>
      <c r="B16471" s="2" t="str">
        <f>"78583"</f>
        <v>78583</v>
      </c>
      <c r="C16471" s="1">
        <v>1.2044673539518901E-2</v>
      </c>
      <c r="D16471" s="1">
        <v>4.1221100424159102E-3</v>
      </c>
      <c r="E16471" s="1">
        <v>5.7499388304379697E-3</v>
      </c>
      <c r="F16471" s="1">
        <v>1.1122082270328199E-2</v>
      </c>
    </row>
    <row r="16472" spans="1:6" x14ac:dyDescent="0.25">
      <c r="A16472" s="2" t="str">
        <f t="shared" si="591"/>
        <v>15180</v>
      </c>
      <c r="B16472" s="2" t="str">
        <f>"78568"</f>
        <v>78568</v>
      </c>
      <c r="C16472" s="1">
        <v>0</v>
      </c>
      <c r="D16472" s="1">
        <v>1.19481450504809E-4</v>
      </c>
      <c r="E16472" s="1">
        <v>0</v>
      </c>
      <c r="F16472" s="1">
        <v>1.0024409436979E-5</v>
      </c>
    </row>
    <row r="16473" spans="1:6" x14ac:dyDescent="0.25">
      <c r="A16473" s="2" t="str">
        <f t="shared" si="591"/>
        <v>15180</v>
      </c>
      <c r="B16473" s="2" t="str">
        <f>"78520"</f>
        <v>78520</v>
      </c>
      <c r="C16473" s="1">
        <v>0.13687857961053801</v>
      </c>
      <c r="D16473" s="1">
        <v>0.17390525120974901</v>
      </c>
      <c r="E16473" s="1">
        <v>0.17470026914607201</v>
      </c>
      <c r="F16473" s="1">
        <v>0.141534636840707</v>
      </c>
    </row>
    <row r="16474" spans="1:6" x14ac:dyDescent="0.25">
      <c r="A16474" s="2" t="str">
        <f t="shared" si="591"/>
        <v>15180</v>
      </c>
      <c r="B16474" s="2" t="str">
        <f>"78550"</f>
        <v>78550</v>
      </c>
      <c r="C16474" s="1">
        <v>0.128510882016036</v>
      </c>
      <c r="D16474" s="1">
        <v>0.19630802317940099</v>
      </c>
      <c r="E16474" s="1">
        <v>0.21984340592121299</v>
      </c>
      <c r="F16474" s="1">
        <v>0.13794088605755001</v>
      </c>
    </row>
    <row r="16475" spans="1:6" x14ac:dyDescent="0.25">
      <c r="A16475" s="2" t="str">
        <f t="shared" si="591"/>
        <v>15180</v>
      </c>
      <c r="B16475" s="2" t="str">
        <f>"78592"</f>
        <v>78592</v>
      </c>
      <c r="C16475" s="1">
        <v>0</v>
      </c>
      <c r="D16475" s="1">
        <v>5.9740725252404499E-5</v>
      </c>
      <c r="E16475" s="1">
        <v>0</v>
      </c>
      <c r="F16475" s="1">
        <v>5.0122047184895203E-6</v>
      </c>
    </row>
    <row r="16476" spans="1:6" x14ac:dyDescent="0.25">
      <c r="A16476" s="2" t="str">
        <f t="shared" si="591"/>
        <v>15180</v>
      </c>
      <c r="B16476" s="2" t="str">
        <f>"78551"</f>
        <v>78551</v>
      </c>
      <c r="C16476" s="1">
        <v>1.03951890034364E-2</v>
      </c>
      <c r="D16476" s="1">
        <v>2.3717067925204598E-2</v>
      </c>
      <c r="E16476" s="1">
        <v>2.4467824810374303E-4</v>
      </c>
      <c r="F16476" s="1">
        <v>1.1097021246735801E-2</v>
      </c>
    </row>
    <row r="16477" spans="1:6" x14ac:dyDescent="0.25">
      <c r="A16477" s="2" t="str">
        <f t="shared" ref="A16477:A16484" si="592">"20300"</f>
        <v>20300</v>
      </c>
      <c r="B16477" s="2" t="str">
        <f>"79022"</f>
        <v>79022</v>
      </c>
      <c r="C16477" s="1">
        <v>1.25659713495853E-4</v>
      </c>
      <c r="D16477" s="1">
        <v>0</v>
      </c>
      <c r="E16477" s="1">
        <v>0</v>
      </c>
      <c r="F16477" s="1">
        <v>1.06112054329371E-4</v>
      </c>
    </row>
    <row r="16478" spans="1:6" x14ac:dyDescent="0.25">
      <c r="A16478" s="2" t="str">
        <f t="shared" si="592"/>
        <v>20300</v>
      </c>
      <c r="B16478" s="2" t="str">
        <f>"79018"</f>
        <v>79018</v>
      </c>
      <c r="C16478" s="1">
        <v>5.5290273938175399E-3</v>
      </c>
      <c r="D16478" s="1">
        <v>0</v>
      </c>
      <c r="E16478" s="1">
        <v>0</v>
      </c>
      <c r="F16478" s="1">
        <v>4.6689303904923502E-3</v>
      </c>
    </row>
    <row r="16479" spans="1:6" x14ac:dyDescent="0.25">
      <c r="A16479" s="2" t="str">
        <f t="shared" si="592"/>
        <v>20300</v>
      </c>
      <c r="B16479" s="2" t="str">
        <f>"79086"</f>
        <v>79086</v>
      </c>
      <c r="C16479" s="1">
        <v>1.0932395074139199E-2</v>
      </c>
      <c r="D16479" s="1">
        <v>1.4799154334038001E-2</v>
      </c>
      <c r="E16479" s="1">
        <v>2.8846153846153799E-2</v>
      </c>
      <c r="F16479" s="1">
        <v>1.2308998302207099E-2</v>
      </c>
    </row>
    <row r="16480" spans="1:6" x14ac:dyDescent="0.25">
      <c r="A16480" s="2" t="str">
        <f t="shared" si="592"/>
        <v>20300</v>
      </c>
      <c r="B16480" s="2" t="str">
        <f>"79013"</f>
        <v>79013</v>
      </c>
      <c r="C16480" s="1">
        <v>1.9854234732344801E-2</v>
      </c>
      <c r="D16480" s="1">
        <v>1.0570824524312799E-3</v>
      </c>
      <c r="E16480" s="1">
        <v>3.8461538461538399E-3</v>
      </c>
      <c r="F16480" s="1">
        <v>1.7084040747028802E-2</v>
      </c>
    </row>
    <row r="16481" spans="1:6" x14ac:dyDescent="0.25">
      <c r="A16481" s="2" t="str">
        <f t="shared" si="592"/>
        <v>20300</v>
      </c>
      <c r="B16481" s="2" t="str">
        <f>"79083"</f>
        <v>79083</v>
      </c>
      <c r="C16481" s="1">
        <v>1.25659713495853E-4</v>
      </c>
      <c r="D16481" s="1">
        <v>0</v>
      </c>
      <c r="E16481" s="1">
        <v>0</v>
      </c>
      <c r="F16481" s="1">
        <v>1.06112054329371E-4</v>
      </c>
    </row>
    <row r="16482" spans="1:6" x14ac:dyDescent="0.25">
      <c r="A16482" s="2" t="str">
        <f t="shared" si="592"/>
        <v>20300</v>
      </c>
      <c r="B16482" s="2" t="str">
        <f>"79036"</f>
        <v>79036</v>
      </c>
      <c r="C16482" s="1">
        <v>1.1309374214626701E-2</v>
      </c>
      <c r="D16482" s="1">
        <v>4.2283298097251501E-3</v>
      </c>
      <c r="E16482" s="1">
        <v>0</v>
      </c>
      <c r="F16482" s="1">
        <v>9.9745331069609495E-3</v>
      </c>
    </row>
    <row r="16483" spans="1:6" x14ac:dyDescent="0.25">
      <c r="A16483" s="2" t="str">
        <f t="shared" si="592"/>
        <v>20300</v>
      </c>
      <c r="B16483" s="2" t="str">
        <f>"79058"</f>
        <v>79058</v>
      </c>
      <c r="C16483" s="1">
        <v>8.7961799447097201E-4</v>
      </c>
      <c r="D16483" s="1">
        <v>8.4566596194503105E-3</v>
      </c>
      <c r="E16483" s="1">
        <v>1.9230769230769199E-3</v>
      </c>
      <c r="F16483" s="1">
        <v>1.6977928692699399E-3</v>
      </c>
    </row>
    <row r="16484" spans="1:6" x14ac:dyDescent="0.25">
      <c r="A16484" s="2" t="str">
        <f t="shared" si="592"/>
        <v>20300</v>
      </c>
      <c r="B16484" s="2" t="str">
        <f>"79029"</f>
        <v>79029</v>
      </c>
      <c r="C16484" s="1">
        <v>0.95124403116360801</v>
      </c>
      <c r="D16484" s="1">
        <v>0.97145877378435497</v>
      </c>
      <c r="E16484" s="1">
        <v>0.96538461538461495</v>
      </c>
      <c r="F16484" s="1">
        <v>0.95405348047538197</v>
      </c>
    </row>
    <row r="16485" spans="1:6" x14ac:dyDescent="0.25">
      <c r="A16485" s="2" t="str">
        <f t="shared" ref="A16485:A16490" si="593">"37780"</f>
        <v>37780</v>
      </c>
      <c r="B16485" s="2" t="str">
        <f>"79780"</f>
        <v>79780</v>
      </c>
      <c r="C16485" s="1">
        <v>0</v>
      </c>
      <c r="D16485" s="1">
        <v>2.0661157024793298E-3</v>
      </c>
      <c r="E16485" s="1">
        <v>0</v>
      </c>
      <c r="F16485" s="1">
        <v>1.77872643187477E-4</v>
      </c>
    </row>
    <row r="16486" spans="1:6" x14ac:dyDescent="0.25">
      <c r="A16486" s="2" t="str">
        <f t="shared" si="593"/>
        <v>37780</v>
      </c>
      <c r="B16486" s="2" t="str">
        <f>"79718"</f>
        <v>79718</v>
      </c>
      <c r="C16486" s="1">
        <v>1.91069574247144E-2</v>
      </c>
      <c r="D16486" s="1">
        <v>1.0330578512396601E-2</v>
      </c>
      <c r="E16486" s="1">
        <v>1.2383900928792499E-2</v>
      </c>
      <c r="F16486" s="1">
        <v>1.7965136961935201E-2</v>
      </c>
    </row>
    <row r="16487" spans="1:6" x14ac:dyDescent="0.25">
      <c r="A16487" s="2" t="str">
        <f t="shared" si="593"/>
        <v>37780</v>
      </c>
      <c r="B16487" s="2" t="str">
        <f>"79770"</f>
        <v>79770</v>
      </c>
      <c r="C16487" s="1">
        <v>0</v>
      </c>
      <c r="D16487" s="1">
        <v>4.13223140495867E-3</v>
      </c>
      <c r="E16487" s="1">
        <v>0</v>
      </c>
      <c r="F16487" s="1">
        <v>3.5574528637495498E-4</v>
      </c>
    </row>
    <row r="16488" spans="1:6" x14ac:dyDescent="0.25">
      <c r="A16488" s="2" t="str">
        <f t="shared" si="593"/>
        <v>37780</v>
      </c>
      <c r="B16488" s="2" t="str">
        <f>"79754"</f>
        <v>79754</v>
      </c>
      <c r="C16488" s="1">
        <v>0</v>
      </c>
      <c r="D16488" s="1">
        <v>2.0661157024793298E-3</v>
      </c>
      <c r="E16488" s="1">
        <v>0</v>
      </c>
      <c r="F16488" s="1">
        <v>1.77872643187477E-4</v>
      </c>
    </row>
    <row r="16489" spans="1:6" x14ac:dyDescent="0.25">
      <c r="A16489" s="2" t="str">
        <f t="shared" si="593"/>
        <v>37780</v>
      </c>
      <c r="B16489" s="2" t="str">
        <f>"79772"</f>
        <v>79772</v>
      </c>
      <c r="C16489" s="1">
        <v>0.98089304257528498</v>
      </c>
      <c r="D16489" s="1">
        <v>0.97933884297520601</v>
      </c>
      <c r="E16489" s="1">
        <v>0.98761609907120695</v>
      </c>
      <c r="F16489" s="1">
        <v>0.98114549982212695</v>
      </c>
    </row>
    <row r="16490" spans="1:6" x14ac:dyDescent="0.25">
      <c r="A16490" s="2" t="str">
        <f t="shared" si="593"/>
        <v>37780</v>
      </c>
      <c r="B16490" s="2" t="str">
        <f>"79785"</f>
        <v>79785</v>
      </c>
      <c r="C16490" s="1">
        <v>0</v>
      </c>
      <c r="D16490" s="1">
        <v>2.0661157024793298E-3</v>
      </c>
      <c r="E16490" s="1">
        <v>0</v>
      </c>
      <c r="F16490" s="1">
        <v>1.77872643187477E-4</v>
      </c>
    </row>
    <row r="16491" spans="1:6" x14ac:dyDescent="0.25">
      <c r="A16491" s="2" t="str">
        <f t="shared" ref="A16491:A16504" si="594">"40180"</f>
        <v>40180</v>
      </c>
      <c r="B16491" s="2" t="str">
        <f>"82301"</f>
        <v>82301</v>
      </c>
      <c r="C16491" s="1">
        <v>1.2678499933271E-3</v>
      </c>
      <c r="D16491" s="1">
        <v>6.2735257214554499E-4</v>
      </c>
      <c r="E16491" s="1">
        <v>0</v>
      </c>
      <c r="F16491" s="1">
        <v>1.1617100371747199E-3</v>
      </c>
    </row>
    <row r="16492" spans="1:6" x14ac:dyDescent="0.25">
      <c r="A16492" s="2" t="str">
        <f t="shared" si="594"/>
        <v>40180</v>
      </c>
      <c r="B16492" s="2" t="str">
        <f>"82649"</f>
        <v>82649</v>
      </c>
      <c r="C16492" s="1">
        <v>1.6415320966235099E-2</v>
      </c>
      <c r="D16492" s="1">
        <v>7.5282308657465399E-3</v>
      </c>
      <c r="E16492" s="1">
        <v>1.5723270440251499E-3</v>
      </c>
      <c r="F16492" s="1">
        <v>1.5044144981412599E-2</v>
      </c>
    </row>
    <row r="16493" spans="1:6" x14ac:dyDescent="0.25">
      <c r="A16493" s="2" t="str">
        <f t="shared" si="594"/>
        <v>40180</v>
      </c>
      <c r="B16493" s="2" t="str">
        <f>"82642"</f>
        <v>82642</v>
      </c>
      <c r="C16493" s="1">
        <v>1.1343920992926699E-3</v>
      </c>
      <c r="D16493" s="1">
        <v>3.76411543287327E-3</v>
      </c>
      <c r="E16493" s="1">
        <v>1.41509433962264E-2</v>
      </c>
      <c r="F16493" s="1">
        <v>1.8587360594795499E-3</v>
      </c>
    </row>
    <row r="16494" spans="1:6" x14ac:dyDescent="0.25">
      <c r="A16494" s="2" t="str">
        <f t="shared" si="594"/>
        <v>40180</v>
      </c>
      <c r="B16494" s="2" t="str">
        <f>"82501"</f>
        <v>82501</v>
      </c>
      <c r="C16494" s="1">
        <v>0.546510076070999</v>
      </c>
      <c r="D16494" s="1">
        <v>0.55395232120451599</v>
      </c>
      <c r="E16494" s="1">
        <v>0.55974842767295496</v>
      </c>
      <c r="F16494" s="1">
        <v>0.54768819702602201</v>
      </c>
    </row>
    <row r="16495" spans="1:6" x14ac:dyDescent="0.25">
      <c r="A16495" s="2" t="str">
        <f t="shared" si="594"/>
        <v>40180</v>
      </c>
      <c r="B16495" s="2" t="str">
        <f>"82520"</f>
        <v>82520</v>
      </c>
      <c r="C16495" s="1">
        <v>0.35292940077405499</v>
      </c>
      <c r="D16495" s="1">
        <v>0.42095357590966098</v>
      </c>
      <c r="E16495" s="1">
        <v>0.36792452830188599</v>
      </c>
      <c r="F16495" s="1">
        <v>0.359781598513011</v>
      </c>
    </row>
    <row r="16496" spans="1:6" x14ac:dyDescent="0.25">
      <c r="A16496" s="2" t="str">
        <f t="shared" si="594"/>
        <v>40180</v>
      </c>
      <c r="B16496" s="2" t="str">
        <f>"82524"</f>
        <v>82524</v>
      </c>
      <c r="C16496" s="1">
        <v>0</v>
      </c>
      <c r="D16496" s="1">
        <v>0</v>
      </c>
      <c r="E16496" s="1">
        <v>1.5723270440251499E-3</v>
      </c>
      <c r="F16496" s="1">
        <v>5.8085501858736003E-5</v>
      </c>
    </row>
    <row r="16497" spans="1:6" x14ac:dyDescent="0.25">
      <c r="A16497" s="2" t="str">
        <f t="shared" si="594"/>
        <v>40180</v>
      </c>
      <c r="B16497" s="2" t="str">
        <f>"82510"</f>
        <v>82510</v>
      </c>
      <c r="C16497" s="1">
        <v>1.2745228880288201E-2</v>
      </c>
      <c r="D16497" s="1">
        <v>3.76411543287327E-3</v>
      </c>
      <c r="E16497" s="1">
        <v>7.8616352201257792E-3</v>
      </c>
      <c r="F16497" s="1">
        <v>1.17332713754646E-2</v>
      </c>
    </row>
    <row r="16498" spans="1:6" x14ac:dyDescent="0.25">
      <c r="A16498" s="2" t="str">
        <f t="shared" si="594"/>
        <v>40180</v>
      </c>
      <c r="B16498" s="2" t="str">
        <f>"82310"</f>
        <v>82310</v>
      </c>
      <c r="C16498" s="1">
        <v>3.3364473508608002E-4</v>
      </c>
      <c r="D16498" s="1">
        <v>0</v>
      </c>
      <c r="E16498" s="1">
        <v>3.1446540880503099E-3</v>
      </c>
      <c r="F16498" s="1">
        <v>4.0659851301115199E-4</v>
      </c>
    </row>
    <row r="16499" spans="1:6" x14ac:dyDescent="0.25">
      <c r="A16499" s="2" t="str">
        <f t="shared" si="594"/>
        <v>40180</v>
      </c>
      <c r="B16499" s="2" t="str">
        <f>"82516"</f>
        <v>82516</v>
      </c>
      <c r="C16499" s="1">
        <v>7.4736420659281899E-3</v>
      </c>
      <c r="D16499" s="1">
        <v>6.2735257214554499E-4</v>
      </c>
      <c r="E16499" s="1">
        <v>3.1446540880503099E-3</v>
      </c>
      <c r="F16499" s="1">
        <v>6.6798327137546397E-3</v>
      </c>
    </row>
    <row r="16500" spans="1:6" x14ac:dyDescent="0.25">
      <c r="A16500" s="2" t="str">
        <f t="shared" si="594"/>
        <v>40180</v>
      </c>
      <c r="B16500" s="2" t="str">
        <f>"82512"</f>
        <v>82512</v>
      </c>
      <c r="C16500" s="1">
        <v>6.7396236487388198E-3</v>
      </c>
      <c r="D16500" s="1">
        <v>0</v>
      </c>
      <c r="E16500" s="1">
        <v>1.5723270440251499E-3</v>
      </c>
      <c r="F16500" s="1">
        <v>5.9247211895910703E-3</v>
      </c>
    </row>
    <row r="16501" spans="1:6" x14ac:dyDescent="0.25">
      <c r="A16501" s="2" t="str">
        <f t="shared" si="594"/>
        <v>40180</v>
      </c>
      <c r="B16501" s="2" t="str">
        <f>"82523"</f>
        <v>82523</v>
      </c>
      <c r="C16501" s="1">
        <v>2.26211130388362E-2</v>
      </c>
      <c r="D16501" s="1">
        <v>2.50941028858218E-3</v>
      </c>
      <c r="E16501" s="1">
        <v>3.1446540880503099E-3</v>
      </c>
      <c r="F16501" s="1">
        <v>2.0039498141263899E-2</v>
      </c>
    </row>
    <row r="16502" spans="1:6" x14ac:dyDescent="0.25">
      <c r="A16502" s="2" t="str">
        <f t="shared" si="594"/>
        <v>40180</v>
      </c>
      <c r="B16502" s="2" t="str">
        <f>"82514"</f>
        <v>82514</v>
      </c>
      <c r="C16502" s="1">
        <v>1.2678499933271E-3</v>
      </c>
      <c r="D16502" s="1">
        <v>1.88205771643663E-3</v>
      </c>
      <c r="E16502" s="1">
        <v>4.7169811320754698E-3</v>
      </c>
      <c r="F16502" s="1">
        <v>1.4521375464684001E-3</v>
      </c>
    </row>
    <row r="16503" spans="1:6" x14ac:dyDescent="0.25">
      <c r="A16503" s="2" t="str">
        <f t="shared" si="594"/>
        <v>40180</v>
      </c>
      <c r="B16503" s="2" t="str">
        <f>"82513"</f>
        <v>82513</v>
      </c>
      <c r="C16503" s="1">
        <v>1.8083544641665499E-2</v>
      </c>
      <c r="D16503" s="1">
        <v>4.3914680050188204E-3</v>
      </c>
      <c r="E16503" s="1">
        <v>2.9874213836477901E-2</v>
      </c>
      <c r="F16503" s="1">
        <v>1.7251394052044601E-2</v>
      </c>
    </row>
    <row r="16504" spans="1:6" x14ac:dyDescent="0.25">
      <c r="A16504" s="2" t="str">
        <f t="shared" si="594"/>
        <v>40180</v>
      </c>
      <c r="B16504" s="2" t="str">
        <f>"82515"</f>
        <v>82515</v>
      </c>
      <c r="C16504" s="1">
        <v>1.24783130922194E-2</v>
      </c>
      <c r="D16504" s="1">
        <v>0</v>
      </c>
      <c r="E16504" s="1">
        <v>1.5723270440251499E-3</v>
      </c>
      <c r="F16504" s="1">
        <v>1.09200743494423E-2</v>
      </c>
    </row>
    <row r="16505" spans="1:6" x14ac:dyDescent="0.25">
      <c r="A16505" s="2" t="str">
        <f t="shared" ref="A16505:A16511" si="595">"21740"</f>
        <v>21740</v>
      </c>
      <c r="B16505" s="2" t="str">
        <f>"82931"</f>
        <v>82931</v>
      </c>
      <c r="C16505" s="1">
        <v>0.23302574065080101</v>
      </c>
      <c r="D16505" s="1">
        <v>0.22854851643945401</v>
      </c>
      <c r="E16505" s="1">
        <v>4.6948356807511703E-3</v>
      </c>
      <c r="F16505" s="1">
        <v>0.22443181818181801</v>
      </c>
    </row>
    <row r="16506" spans="1:6" x14ac:dyDescent="0.25">
      <c r="A16506" s="2" t="str">
        <f t="shared" si="595"/>
        <v>21740</v>
      </c>
      <c r="B16506" s="2" t="str">
        <f>"82944"</f>
        <v>82944</v>
      </c>
      <c r="C16506" s="1">
        <v>0</v>
      </c>
      <c r="D16506" s="1">
        <v>8.0192461908580495E-4</v>
      </c>
      <c r="E16506" s="1">
        <v>0</v>
      </c>
      <c r="F16506" s="1">
        <v>8.3556149732620302E-5</v>
      </c>
    </row>
    <row r="16507" spans="1:6" x14ac:dyDescent="0.25">
      <c r="A16507" s="2" t="str">
        <f t="shared" si="595"/>
        <v>21740</v>
      </c>
      <c r="B16507" s="2" t="str">
        <f>"82936"</f>
        <v>82936</v>
      </c>
      <c r="C16507" s="1">
        <v>3.10830500242836E-3</v>
      </c>
      <c r="D16507" s="1">
        <v>0</v>
      </c>
      <c r="E16507" s="1">
        <v>2.34741784037558E-3</v>
      </c>
      <c r="F16507" s="1">
        <v>2.7573529411764699E-3</v>
      </c>
    </row>
    <row r="16508" spans="1:6" x14ac:dyDescent="0.25">
      <c r="A16508" s="2" t="str">
        <f t="shared" si="595"/>
        <v>21740</v>
      </c>
      <c r="B16508" s="2" t="str">
        <f>"82939"</f>
        <v>82939</v>
      </c>
      <c r="C16508" s="1">
        <v>0</v>
      </c>
      <c r="D16508" s="1">
        <v>0</v>
      </c>
      <c r="E16508" s="1">
        <v>2.34741784037558E-3</v>
      </c>
      <c r="F16508" s="1">
        <v>8.3556149732620302E-5</v>
      </c>
    </row>
    <row r="16509" spans="1:6" x14ac:dyDescent="0.25">
      <c r="A16509" s="2" t="str">
        <f t="shared" si="595"/>
        <v>21740</v>
      </c>
      <c r="B16509" s="2" t="str">
        <f>"82933"</f>
        <v>82933</v>
      </c>
      <c r="C16509" s="1">
        <v>1.6415735794074699E-2</v>
      </c>
      <c r="D16509" s="1">
        <v>1.6038492381716099E-3</v>
      </c>
      <c r="E16509" s="1">
        <v>0.19248826291079801</v>
      </c>
      <c r="F16509" s="1">
        <v>2.1139705882352901E-2</v>
      </c>
    </row>
    <row r="16510" spans="1:6" x14ac:dyDescent="0.25">
      <c r="A16510" s="2" t="str">
        <f t="shared" si="595"/>
        <v>21740</v>
      </c>
      <c r="B16510" s="2" t="str">
        <f>"82930"</f>
        <v>82930</v>
      </c>
      <c r="C16510" s="1">
        <v>0.70791646430305899</v>
      </c>
      <c r="D16510" s="1">
        <v>0.74659182036888505</v>
      </c>
      <c r="E16510" s="1">
        <v>0.76525821596244104</v>
      </c>
      <c r="F16510" s="1">
        <v>0.71398729946523998</v>
      </c>
    </row>
    <row r="16511" spans="1:6" x14ac:dyDescent="0.25">
      <c r="A16511" s="2" t="str">
        <f t="shared" si="595"/>
        <v>21740</v>
      </c>
      <c r="B16511" s="2" t="str">
        <f>"82937"</f>
        <v>82937</v>
      </c>
      <c r="C16511" s="1">
        <v>3.9533754249635698E-2</v>
      </c>
      <c r="D16511" s="1">
        <v>2.24538893344025E-2</v>
      </c>
      <c r="E16511" s="1">
        <v>3.2863849765258198E-2</v>
      </c>
      <c r="F16511" s="1">
        <v>3.7516711229946501E-2</v>
      </c>
    </row>
    <row r="16512" spans="1:6" x14ac:dyDescent="0.25">
      <c r="A16512" s="2" t="str">
        <f t="shared" ref="A16512:A16538" si="596">"30860"</f>
        <v>30860</v>
      </c>
      <c r="B16512" s="2" t="str">
        <f>"84305"</f>
        <v>84305</v>
      </c>
      <c r="C16512" s="1">
        <v>4.9852397802584497E-3</v>
      </c>
      <c r="D16512" s="1">
        <v>0</v>
      </c>
      <c r="E16512" s="1">
        <v>2.92226767971946E-4</v>
      </c>
      <c r="F16512" s="1">
        <v>4.31339511373209E-3</v>
      </c>
    </row>
    <row r="16513" spans="1:6" x14ac:dyDescent="0.25">
      <c r="A16513" s="2" t="str">
        <f t="shared" si="596"/>
        <v>30860</v>
      </c>
      <c r="B16513" s="2" t="str">
        <f>"84338"</f>
        <v>84338</v>
      </c>
      <c r="C16513" s="1">
        <v>2.6978944693163299E-3</v>
      </c>
      <c r="D16513" s="1">
        <v>2.0933640360058599E-4</v>
      </c>
      <c r="E16513" s="1">
        <v>2.92226767971946E-4</v>
      </c>
      <c r="F16513" s="1">
        <v>2.35888795282224E-3</v>
      </c>
    </row>
    <row r="16514" spans="1:6" x14ac:dyDescent="0.25">
      <c r="A16514" s="2" t="str">
        <f t="shared" si="596"/>
        <v>30860</v>
      </c>
      <c r="B16514" s="2" t="str">
        <f>"83263"</f>
        <v>83263</v>
      </c>
      <c r="C16514" s="1">
        <v>7.3175499990225004E-2</v>
      </c>
      <c r="D16514" s="1">
        <v>6.6778312748586893E-2</v>
      </c>
      <c r="E16514" s="1">
        <v>2.1917007597895902E-2</v>
      </c>
      <c r="F16514" s="1">
        <v>6.9705139005897199E-2</v>
      </c>
    </row>
    <row r="16515" spans="1:6" x14ac:dyDescent="0.25">
      <c r="A16515" s="2" t="str">
        <f t="shared" si="596"/>
        <v>30860</v>
      </c>
      <c r="B16515" s="2" t="str">
        <f>"84327"</f>
        <v>84327</v>
      </c>
      <c r="C16515" s="1">
        <v>5.6303884577036598E-3</v>
      </c>
      <c r="D16515" s="1">
        <v>2.0933640360058599E-4</v>
      </c>
      <c r="E16515" s="1">
        <v>2.92226767971946E-4</v>
      </c>
      <c r="F16515" s="1">
        <v>4.8862679022746401E-3</v>
      </c>
    </row>
    <row r="16516" spans="1:6" x14ac:dyDescent="0.25">
      <c r="A16516" s="2" t="str">
        <f t="shared" si="596"/>
        <v>30860</v>
      </c>
      <c r="B16516" s="2" t="str">
        <f>"84333"</f>
        <v>84333</v>
      </c>
      <c r="C16516" s="1">
        <v>2.05470078786338E-2</v>
      </c>
      <c r="D16516" s="1">
        <v>8.58279254762403E-3</v>
      </c>
      <c r="E16516" s="1">
        <v>5.8445353594389201E-3</v>
      </c>
      <c r="F16516" s="1">
        <v>1.8736310025273699E-2</v>
      </c>
    </row>
    <row r="16517" spans="1:6" x14ac:dyDescent="0.25">
      <c r="A16517" s="2" t="str">
        <f t="shared" si="596"/>
        <v>30860</v>
      </c>
      <c r="B16517" s="2" t="str">
        <f>"84321"</f>
        <v>84321</v>
      </c>
      <c r="C16517" s="1">
        <v>0.333092217160954</v>
      </c>
      <c r="D16517" s="1">
        <v>0.35315051287418803</v>
      </c>
      <c r="E16517" s="1">
        <v>0.57481005260081797</v>
      </c>
      <c r="F16517" s="1">
        <v>0.34864363942712701</v>
      </c>
    </row>
    <row r="16518" spans="1:6" x14ac:dyDescent="0.25">
      <c r="A16518" s="2" t="str">
        <f t="shared" si="596"/>
        <v>30860</v>
      </c>
      <c r="B16518" s="2" t="str">
        <f>"84320"</f>
        <v>84320</v>
      </c>
      <c r="C16518" s="1">
        <v>1.61678168559754E-2</v>
      </c>
      <c r="D16518" s="1">
        <v>4.8147372828134796E-3</v>
      </c>
      <c r="E16518" s="1">
        <v>2.9222676797194601E-3</v>
      </c>
      <c r="F16518" s="1">
        <v>1.4490311710193699E-2</v>
      </c>
    </row>
    <row r="16519" spans="1:6" x14ac:dyDescent="0.25">
      <c r="A16519" s="2" t="str">
        <f t="shared" si="596"/>
        <v>30860</v>
      </c>
      <c r="B16519" s="2" t="str">
        <f>"84339"</f>
        <v>84339</v>
      </c>
      <c r="C16519" s="1">
        <v>3.40560301851381E-2</v>
      </c>
      <c r="D16519" s="1">
        <v>7.7454469332216801E-3</v>
      </c>
      <c r="E16519" s="1">
        <v>7.3056691992986504E-3</v>
      </c>
      <c r="F16519" s="1">
        <v>3.0395956192080801E-2</v>
      </c>
    </row>
    <row r="16520" spans="1:6" x14ac:dyDescent="0.25">
      <c r="A16520" s="2" t="str">
        <f t="shared" si="596"/>
        <v>30860</v>
      </c>
      <c r="B16520" s="2" t="str">
        <f>"84335"</f>
        <v>84335</v>
      </c>
      <c r="C16520" s="1">
        <v>9.2705909952884497E-2</v>
      </c>
      <c r="D16520" s="1">
        <v>5.23341009001465E-2</v>
      </c>
      <c r="E16520" s="1">
        <v>3.0099357101110401E-2</v>
      </c>
      <c r="F16520" s="1">
        <v>8.58466722830665E-2</v>
      </c>
    </row>
    <row r="16521" spans="1:6" x14ac:dyDescent="0.25">
      <c r="A16521" s="2" t="str">
        <f t="shared" si="596"/>
        <v>30860</v>
      </c>
      <c r="B16521" s="2" t="str">
        <f>"84323"</f>
        <v>84323</v>
      </c>
      <c r="C16521" s="1">
        <v>3.2140134112724997E-2</v>
      </c>
      <c r="D16521" s="1">
        <v>8.0385178982624997E-2</v>
      </c>
      <c r="E16521" s="1">
        <v>8.7668030391583804E-4</v>
      </c>
      <c r="F16521" s="1">
        <v>3.4220724515585499E-2</v>
      </c>
    </row>
    <row r="16522" spans="1:6" x14ac:dyDescent="0.25">
      <c r="A16522" s="2" t="str">
        <f t="shared" si="596"/>
        <v>30860</v>
      </c>
      <c r="B16522" s="2" t="str">
        <f>"83232"</f>
        <v>83232</v>
      </c>
      <c r="C16522" s="1">
        <v>2.2677953510195298E-3</v>
      </c>
      <c r="D16522" s="1">
        <v>1.6746912288046799E-3</v>
      </c>
      <c r="E16522" s="1">
        <v>2.92226767971946E-4</v>
      </c>
      <c r="F16522" s="1">
        <v>2.1061499578769998E-3</v>
      </c>
    </row>
    <row r="16523" spans="1:6" x14ac:dyDescent="0.25">
      <c r="A16523" s="2" t="str">
        <f t="shared" si="596"/>
        <v>30860</v>
      </c>
      <c r="B16523" s="2" t="str">
        <f>"84326"</f>
        <v>84326</v>
      </c>
      <c r="C16523" s="1">
        <v>1.4466970342710699E-2</v>
      </c>
      <c r="D16523" s="1">
        <v>2.0933640360058599E-4</v>
      </c>
      <c r="E16523" s="1">
        <v>5.8445353594389199E-4</v>
      </c>
      <c r="F16523" s="1">
        <v>1.2518955349620799E-2</v>
      </c>
    </row>
    <row r="16524" spans="1:6" x14ac:dyDescent="0.25">
      <c r="A16524" s="2" t="str">
        <f t="shared" si="596"/>
        <v>30860</v>
      </c>
      <c r="B16524" s="2" t="str">
        <f>"84308"</f>
        <v>84308</v>
      </c>
      <c r="C16524" s="1">
        <v>1.93544603233563E-3</v>
      </c>
      <c r="D16524" s="1">
        <v>4.1867280720117199E-4</v>
      </c>
      <c r="E16524" s="1">
        <v>2.92226767971946E-4</v>
      </c>
      <c r="F16524" s="1">
        <v>1.7186183656276301E-3</v>
      </c>
    </row>
    <row r="16525" spans="1:6" x14ac:dyDescent="0.25">
      <c r="A16525" s="2" t="str">
        <f t="shared" si="596"/>
        <v>30860</v>
      </c>
      <c r="B16525" s="2" t="str">
        <f>"84304"</f>
        <v>84304</v>
      </c>
      <c r="C16525" s="1">
        <v>3.7144923852906102E-4</v>
      </c>
      <c r="D16525" s="1">
        <v>0</v>
      </c>
      <c r="E16525" s="1">
        <v>2.92226767971946E-4</v>
      </c>
      <c r="F16525" s="1">
        <v>3.3698399326031998E-4</v>
      </c>
    </row>
    <row r="16526" spans="1:6" x14ac:dyDescent="0.25">
      <c r="A16526" s="2" t="str">
        <f t="shared" si="596"/>
        <v>30860</v>
      </c>
      <c r="B16526" s="2" t="str">
        <f>"84328"</f>
        <v>84328</v>
      </c>
      <c r="C16526" s="1">
        <v>6.0995874958456302E-3</v>
      </c>
      <c r="D16526" s="1">
        <v>4.1867280720117199E-4</v>
      </c>
      <c r="E16526" s="1">
        <v>1.1689070718877801E-3</v>
      </c>
      <c r="F16526" s="1">
        <v>5.3580454928390904E-3</v>
      </c>
    </row>
    <row r="16527" spans="1:6" x14ac:dyDescent="0.25">
      <c r="A16527" s="2" t="str">
        <f t="shared" si="596"/>
        <v>30860</v>
      </c>
      <c r="B16527" s="2" t="str">
        <f>"84325"</f>
        <v>84325</v>
      </c>
      <c r="C16527" s="1">
        <v>1.17299759535492E-2</v>
      </c>
      <c r="D16527" s="1">
        <v>8.3734561440234397E-4</v>
      </c>
      <c r="E16527" s="1">
        <v>2.6300409117475101E-3</v>
      </c>
      <c r="F16527" s="1">
        <v>1.0328559393428799E-2</v>
      </c>
    </row>
    <row r="16528" spans="1:6" x14ac:dyDescent="0.25">
      <c r="A16528" s="2" t="str">
        <f t="shared" si="596"/>
        <v>30860</v>
      </c>
      <c r="B16528" s="2" t="str">
        <f>"84341"</f>
        <v>84341</v>
      </c>
      <c r="C16528" s="1">
        <v>0.18068072960450399</v>
      </c>
      <c r="D16528" s="1">
        <v>0.230688716767845</v>
      </c>
      <c r="E16528" s="1">
        <v>0.30742255990648698</v>
      </c>
      <c r="F16528" s="1">
        <v>0.19201347935973001</v>
      </c>
    </row>
    <row r="16529" spans="1:6" x14ac:dyDescent="0.25">
      <c r="A16529" s="2" t="str">
        <f t="shared" si="596"/>
        <v>30860</v>
      </c>
      <c r="B16529" s="2" t="str">
        <f>"84312"</f>
        <v>84312</v>
      </c>
      <c r="C16529" s="1">
        <v>1.9549959922582101E-5</v>
      </c>
      <c r="D16529" s="1">
        <v>0</v>
      </c>
      <c r="E16529" s="1">
        <v>0</v>
      </c>
      <c r="F16529" s="1">
        <v>1.6849199663016E-5</v>
      </c>
    </row>
    <row r="16530" spans="1:6" x14ac:dyDescent="0.25">
      <c r="A16530" s="2" t="str">
        <f t="shared" si="596"/>
        <v>30860</v>
      </c>
      <c r="B16530" s="2" t="str">
        <f>"84332"</f>
        <v>84332</v>
      </c>
      <c r="C16530" s="1">
        <v>5.7066333014017298E-2</v>
      </c>
      <c r="D16530" s="1">
        <v>5.9660875026167001E-2</v>
      </c>
      <c r="E16530" s="1">
        <v>1.5780245470485E-2</v>
      </c>
      <c r="F16530" s="1">
        <v>5.4894692502106102E-2</v>
      </c>
    </row>
    <row r="16531" spans="1:6" x14ac:dyDescent="0.25">
      <c r="A16531" s="2" t="str">
        <f t="shared" si="596"/>
        <v>30860</v>
      </c>
      <c r="B16531" s="2" t="str">
        <f>"83228"</f>
        <v>83228</v>
      </c>
      <c r="C16531" s="1">
        <v>4.00774178412934E-3</v>
      </c>
      <c r="D16531" s="1">
        <v>0</v>
      </c>
      <c r="E16531" s="1">
        <v>5.8445353594389199E-4</v>
      </c>
      <c r="F16531" s="1">
        <v>3.48778433024431E-3</v>
      </c>
    </row>
    <row r="16532" spans="1:6" x14ac:dyDescent="0.25">
      <c r="A16532" s="2" t="str">
        <f t="shared" si="596"/>
        <v>30860</v>
      </c>
      <c r="B16532" s="2" t="str">
        <f>"84322"</f>
        <v>84322</v>
      </c>
      <c r="C16532" s="1">
        <v>0</v>
      </c>
      <c r="D16532" s="1">
        <v>8.6037261879840898E-2</v>
      </c>
      <c r="E16532" s="1">
        <v>0</v>
      </c>
      <c r="F16532" s="1">
        <v>6.9250210614995701E-3</v>
      </c>
    </row>
    <row r="16533" spans="1:6" x14ac:dyDescent="0.25">
      <c r="A16533" s="2" t="str">
        <f t="shared" si="596"/>
        <v>30860</v>
      </c>
      <c r="B16533" s="2" t="str">
        <f>"84319"</f>
        <v>84319</v>
      </c>
      <c r="C16533" s="1">
        <v>5.5854235498817198E-2</v>
      </c>
      <c r="D16533" s="1">
        <v>2.0305631149256799E-2</v>
      </c>
      <c r="E16533" s="1">
        <v>1.6364699006428899E-2</v>
      </c>
      <c r="F16533" s="1">
        <v>5.07160909856781E-2</v>
      </c>
    </row>
    <row r="16534" spans="1:6" x14ac:dyDescent="0.25">
      <c r="A16534" s="2" t="str">
        <f t="shared" si="596"/>
        <v>30860</v>
      </c>
      <c r="B16534" s="2" t="str">
        <f>"84318"</f>
        <v>84318</v>
      </c>
      <c r="C16534" s="1">
        <v>3.0576137318918398E-2</v>
      </c>
      <c r="D16534" s="1">
        <v>2.2398995185262699E-2</v>
      </c>
      <c r="E16534" s="1">
        <v>6.1367621274108696E-3</v>
      </c>
      <c r="F16534" s="1">
        <v>2.8508845829823E-2</v>
      </c>
    </row>
    <row r="16535" spans="1:6" x14ac:dyDescent="0.25">
      <c r="A16535" s="2" t="str">
        <f t="shared" si="596"/>
        <v>30860</v>
      </c>
      <c r="B16535" s="2" t="str">
        <f>"83237"</f>
        <v>83237</v>
      </c>
      <c r="C16535" s="1">
        <v>1.06742781177298E-2</v>
      </c>
      <c r="D16535" s="1">
        <v>2.0933640360058601E-3</v>
      </c>
      <c r="E16535" s="1">
        <v>3.50672121566335E-3</v>
      </c>
      <c r="F16535" s="1">
        <v>9.5703454085930909E-3</v>
      </c>
    </row>
    <row r="16536" spans="1:6" x14ac:dyDescent="0.25">
      <c r="A16536" s="2" t="str">
        <f t="shared" si="596"/>
        <v>30860</v>
      </c>
      <c r="B16536" s="2" t="str">
        <f>"83286"</f>
        <v>83286</v>
      </c>
      <c r="C16536" s="1">
        <v>8.1327833277941696E-3</v>
      </c>
      <c r="D16536" s="1">
        <v>8.3734561440234397E-4</v>
      </c>
      <c r="E16536" s="1">
        <v>2.92226767971946E-4</v>
      </c>
      <c r="F16536" s="1">
        <v>7.0935130581297303E-3</v>
      </c>
    </row>
    <row r="16537" spans="1:6" x14ac:dyDescent="0.25">
      <c r="A16537" s="2" t="str">
        <f t="shared" si="596"/>
        <v>30860</v>
      </c>
      <c r="B16537" s="2" t="str">
        <f>"83283"</f>
        <v>83283</v>
      </c>
      <c r="C16537" s="1">
        <v>8.7974819651619705E-4</v>
      </c>
      <c r="D16537" s="1">
        <v>2.0933640360058599E-4</v>
      </c>
      <c r="E16537" s="1">
        <v>0</v>
      </c>
      <c r="F16537" s="1">
        <v>7.7506318449873605E-4</v>
      </c>
    </row>
    <row r="16538" spans="1:6" x14ac:dyDescent="0.25">
      <c r="A16538" s="2" t="str">
        <f t="shared" si="596"/>
        <v>30860</v>
      </c>
      <c r="B16538" s="2" t="str">
        <f>"83241"</f>
        <v>83241</v>
      </c>
      <c r="C16538" s="1">
        <v>3.9099919845164298E-5</v>
      </c>
      <c r="D16538" s="1">
        <v>0</v>
      </c>
      <c r="E16538" s="1">
        <v>0</v>
      </c>
      <c r="F16538" s="1">
        <v>3.3698399326032E-5</v>
      </c>
    </row>
    <row r="16539" spans="1:6" x14ac:dyDescent="0.25">
      <c r="A16539" s="2" t="str">
        <f t="shared" ref="A16539:A16544" si="597">"39220"</f>
        <v>39220</v>
      </c>
      <c r="B16539" s="2" t="str">
        <f>"84529"</f>
        <v>84529</v>
      </c>
      <c r="C16539" s="1">
        <v>1.26531832220783E-2</v>
      </c>
      <c r="D16539" s="1">
        <v>8.8967971530249095E-4</v>
      </c>
      <c r="E16539" s="1">
        <v>1.3559322033898299E-2</v>
      </c>
      <c r="F16539" s="1">
        <v>1.1522346368715001E-2</v>
      </c>
    </row>
    <row r="16540" spans="1:6" x14ac:dyDescent="0.25">
      <c r="A16540" s="2" t="str">
        <f t="shared" si="597"/>
        <v>39220</v>
      </c>
      <c r="B16540" s="2" t="str">
        <f>"84501"</f>
        <v>84501</v>
      </c>
      <c r="C16540" s="1">
        <v>0.68098037262130096</v>
      </c>
      <c r="D16540" s="1">
        <v>0.84430604982206403</v>
      </c>
      <c r="E16540" s="1">
        <v>0.72881355932203296</v>
      </c>
      <c r="F16540" s="1">
        <v>0.69823673184357504</v>
      </c>
    </row>
    <row r="16541" spans="1:6" x14ac:dyDescent="0.25">
      <c r="A16541" s="2" t="str">
        <f t="shared" si="597"/>
        <v>39220</v>
      </c>
      <c r="B16541" s="2" t="str">
        <f>"84539"</f>
        <v>84539</v>
      </c>
      <c r="C16541" s="1">
        <v>1.3649496861611999E-2</v>
      </c>
      <c r="D16541" s="1">
        <v>8.8967971530249095E-4</v>
      </c>
      <c r="E16541" s="1">
        <v>0</v>
      </c>
      <c r="F16541" s="1">
        <v>1.2046089385474801E-2</v>
      </c>
    </row>
    <row r="16542" spans="1:6" x14ac:dyDescent="0.25">
      <c r="A16542" s="2" t="str">
        <f t="shared" si="597"/>
        <v>39220</v>
      </c>
      <c r="B16542" s="2" t="str">
        <f>"84542"</f>
        <v>84542</v>
      </c>
      <c r="C16542" s="1">
        <v>3.8756600577861899E-2</v>
      </c>
      <c r="D16542" s="1">
        <v>1.15658362989323E-2</v>
      </c>
      <c r="E16542" s="1">
        <v>8.4745762711864403E-2</v>
      </c>
      <c r="F16542" s="1">
        <v>3.72730446927374E-2</v>
      </c>
    </row>
    <row r="16543" spans="1:6" x14ac:dyDescent="0.25">
      <c r="A16543" s="2" t="str">
        <f t="shared" si="597"/>
        <v>39220</v>
      </c>
      <c r="B16543" s="2" t="str">
        <f>"84526"</f>
        <v>84526</v>
      </c>
      <c r="C16543" s="1">
        <v>0.20105609245790501</v>
      </c>
      <c r="D16543" s="1">
        <v>0.14234875444839801</v>
      </c>
      <c r="E16543" s="1">
        <v>0.15932203389830499</v>
      </c>
      <c r="F16543" s="1">
        <v>0.194221368715083</v>
      </c>
    </row>
    <row r="16544" spans="1:6" x14ac:dyDescent="0.25">
      <c r="A16544" s="2" t="str">
        <f t="shared" si="597"/>
        <v>39220</v>
      </c>
      <c r="B16544" s="2" t="str">
        <f>"84520"</f>
        <v>84520</v>
      </c>
      <c r="C16544" s="1">
        <v>5.29042542592408E-2</v>
      </c>
      <c r="D16544" s="1">
        <v>0</v>
      </c>
      <c r="E16544" s="1">
        <v>1.3559322033898299E-2</v>
      </c>
      <c r="F16544" s="1">
        <v>4.6700418994413399E-2</v>
      </c>
    </row>
    <row r="16545" spans="1:6" x14ac:dyDescent="0.25">
      <c r="A16545" s="2" t="str">
        <f t="shared" ref="A16545:A16580" si="598">"39150"</f>
        <v>39150</v>
      </c>
      <c r="B16545" s="2" t="str">
        <f>"86326"</f>
        <v>86326</v>
      </c>
      <c r="C16545" s="1">
        <v>0.112009998353564</v>
      </c>
      <c r="D16545" s="1">
        <v>0.16693262411347501</v>
      </c>
      <c r="E16545" s="1">
        <v>0.14454732510287999</v>
      </c>
      <c r="F16545" s="1">
        <v>0.11772488505220099</v>
      </c>
    </row>
    <row r="16546" spans="1:6" x14ac:dyDescent="0.25">
      <c r="A16546" s="2" t="str">
        <f t="shared" si="598"/>
        <v>39150</v>
      </c>
      <c r="B16546" s="2" t="str">
        <f>"86301"</f>
        <v>86301</v>
      </c>
      <c r="C16546" s="1">
        <v>0.101517714148867</v>
      </c>
      <c r="D16546" s="1">
        <v>0.16010638297872301</v>
      </c>
      <c r="E16546" s="1">
        <v>0.13233024691358</v>
      </c>
      <c r="F16546" s="1">
        <v>0.107415606701685</v>
      </c>
    </row>
    <row r="16547" spans="1:6" x14ac:dyDescent="0.25">
      <c r="A16547" s="2" t="str">
        <f t="shared" si="598"/>
        <v>39150</v>
      </c>
      <c r="B16547" s="2" t="str">
        <f>"85362"</f>
        <v>85362</v>
      </c>
      <c r="C16547" s="1">
        <v>6.0618760383769101E-4</v>
      </c>
      <c r="D16547" s="1">
        <v>0</v>
      </c>
      <c r="E16547" s="1">
        <v>5.1440329218106903E-4</v>
      </c>
      <c r="F16547" s="1">
        <v>5.5672722985629797E-4</v>
      </c>
    </row>
    <row r="16548" spans="1:6" x14ac:dyDescent="0.25">
      <c r="A16548" s="2" t="str">
        <f t="shared" si="598"/>
        <v>39150</v>
      </c>
      <c r="B16548" s="2" t="str">
        <f>"85342"</f>
        <v>85342</v>
      </c>
      <c r="C16548" s="1">
        <v>1.19740761251889E-4</v>
      </c>
      <c r="D16548" s="1">
        <v>8.8652482269503498E-5</v>
      </c>
      <c r="E16548" s="1">
        <v>0</v>
      </c>
      <c r="F16548" s="1">
        <v>1.11345445971259E-4</v>
      </c>
    </row>
    <row r="16549" spans="1:6" x14ac:dyDescent="0.25">
      <c r="A16549" s="2" t="str">
        <f t="shared" si="598"/>
        <v>39150</v>
      </c>
      <c r="B16549" s="2" t="str">
        <f>"86321"</f>
        <v>86321</v>
      </c>
      <c r="C16549" s="1">
        <v>3.5173848617742502E-4</v>
      </c>
      <c r="D16549" s="1">
        <v>2.6595744680850999E-4</v>
      </c>
      <c r="E16549" s="1">
        <v>1.2860082304526701E-4</v>
      </c>
      <c r="F16549" s="1">
        <v>3.34036337913779E-4</v>
      </c>
    </row>
    <row r="16550" spans="1:6" x14ac:dyDescent="0.25">
      <c r="A16550" s="2" t="str">
        <f t="shared" si="598"/>
        <v>39150</v>
      </c>
      <c r="B16550" s="2" t="str">
        <f>"86322"</f>
        <v>86322</v>
      </c>
      <c r="C16550" s="1">
        <v>5.9735672269536397E-2</v>
      </c>
      <c r="D16550" s="1">
        <v>5.5319148936170202E-2</v>
      </c>
      <c r="E16550" s="1">
        <v>3.6265432098765399E-2</v>
      </c>
      <c r="F16550" s="1">
        <v>5.82140190466209E-2</v>
      </c>
    </row>
    <row r="16551" spans="1:6" x14ac:dyDescent="0.25">
      <c r="A16551" s="2" t="str">
        <f t="shared" si="598"/>
        <v>39150</v>
      </c>
      <c r="B16551" s="2" t="str">
        <f>"86315"</f>
        <v>86315</v>
      </c>
      <c r="C16551" s="1">
        <v>3.1297241472212599E-2</v>
      </c>
      <c r="D16551" s="1">
        <v>2.3936170212765901E-3</v>
      </c>
      <c r="E16551" s="1">
        <v>3.08641975308641E-3</v>
      </c>
      <c r="F16551" s="1">
        <v>2.77250160468436E-2</v>
      </c>
    </row>
    <row r="16552" spans="1:6" x14ac:dyDescent="0.25">
      <c r="A16552" s="2" t="str">
        <f t="shared" si="598"/>
        <v>39150</v>
      </c>
      <c r="B16552" s="2" t="str">
        <f>"86334"</f>
        <v>86334</v>
      </c>
      <c r="C16552" s="1">
        <v>1.03575758482884E-2</v>
      </c>
      <c r="D16552" s="1">
        <v>1.15248226950354E-3</v>
      </c>
      <c r="E16552" s="1">
        <v>1.02880658436213E-3</v>
      </c>
      <c r="F16552" s="1">
        <v>9.2023736229188205E-3</v>
      </c>
    </row>
    <row r="16553" spans="1:6" x14ac:dyDescent="0.25">
      <c r="A16553" s="2" t="str">
        <f t="shared" si="598"/>
        <v>39150</v>
      </c>
      <c r="B16553" s="2" t="str">
        <f>"86324"</f>
        <v>86324</v>
      </c>
      <c r="C16553" s="1">
        <v>2.2069719058238901E-2</v>
      </c>
      <c r="D16553" s="1">
        <v>8.1560283687943207E-3</v>
      </c>
      <c r="E16553" s="1">
        <v>7.3302469135802396E-3</v>
      </c>
      <c r="F16553" s="1">
        <v>2.0291070095233101E-2</v>
      </c>
    </row>
    <row r="16554" spans="1:6" x14ac:dyDescent="0.25">
      <c r="A16554" s="2" t="str">
        <f t="shared" si="598"/>
        <v>39150</v>
      </c>
      <c r="B16554" s="2" t="str">
        <f>"86302"</f>
        <v>86302</v>
      </c>
      <c r="C16554" s="1">
        <v>2.0221221056412799E-2</v>
      </c>
      <c r="D16554" s="1">
        <v>4.2730496453900702E-2</v>
      </c>
      <c r="E16554" s="1">
        <v>2.5720164609053403E-4</v>
      </c>
      <c r="F16554" s="1">
        <v>2.08674465214372E-2</v>
      </c>
    </row>
    <row r="16555" spans="1:6" x14ac:dyDescent="0.25">
      <c r="A16555" s="2" t="str">
        <f t="shared" si="598"/>
        <v>39150</v>
      </c>
      <c r="B16555" s="2" t="str">
        <f>"85390"</f>
        <v>85390</v>
      </c>
      <c r="C16555" s="1">
        <v>6.5857418688539298E-3</v>
      </c>
      <c r="D16555" s="1">
        <v>1.77304964539007E-3</v>
      </c>
      <c r="E16555" s="1">
        <v>2.05761316872427E-3</v>
      </c>
      <c r="F16555" s="1">
        <v>5.9995546182161101E-3</v>
      </c>
    </row>
    <row r="16556" spans="1:6" x14ac:dyDescent="0.25">
      <c r="A16556" s="2" t="str">
        <f t="shared" si="598"/>
        <v>39150</v>
      </c>
      <c r="B16556" s="2" t="str">
        <f>"86343"</f>
        <v>86343</v>
      </c>
      <c r="C16556" s="1">
        <v>2.9935190312972399E-5</v>
      </c>
      <c r="D16556" s="1">
        <v>0</v>
      </c>
      <c r="E16556" s="1">
        <v>1.2860082304526701E-4</v>
      </c>
      <c r="F16556" s="1">
        <v>3.2748660579782198E-5</v>
      </c>
    </row>
    <row r="16557" spans="1:6" x14ac:dyDescent="0.25">
      <c r="A16557" s="2" t="str">
        <f t="shared" si="598"/>
        <v>39150</v>
      </c>
      <c r="B16557" s="2" t="str">
        <f>"86331"</f>
        <v>86331</v>
      </c>
      <c r="C16557" s="1">
        <v>0</v>
      </c>
      <c r="D16557" s="1">
        <v>0</v>
      </c>
      <c r="E16557" s="1">
        <v>2.5720164609053403E-4</v>
      </c>
      <c r="F16557" s="1">
        <v>1.30994642319129E-5</v>
      </c>
    </row>
    <row r="16558" spans="1:6" x14ac:dyDescent="0.25">
      <c r="A16558" s="2" t="str">
        <f t="shared" si="598"/>
        <v>39150</v>
      </c>
      <c r="B16558" s="2" t="str">
        <f>"86329"</f>
        <v>86329</v>
      </c>
      <c r="C16558" s="1">
        <v>7.4837975782430999E-6</v>
      </c>
      <c r="D16558" s="1">
        <v>0</v>
      </c>
      <c r="E16558" s="1">
        <v>1.2860082304526701E-4</v>
      </c>
      <c r="F16558" s="1">
        <v>1.30994642319129E-5</v>
      </c>
    </row>
    <row r="16559" spans="1:6" x14ac:dyDescent="0.25">
      <c r="A16559" s="2" t="str">
        <f t="shared" si="598"/>
        <v>39150</v>
      </c>
      <c r="B16559" s="2" t="str">
        <f>"86336"</f>
        <v>86336</v>
      </c>
      <c r="C16559" s="1">
        <v>3.9866189699301002E-2</v>
      </c>
      <c r="D16559" s="1">
        <v>7.2517730496453894E-2</v>
      </c>
      <c r="E16559" s="1">
        <v>6.4043209876543203E-2</v>
      </c>
      <c r="F16559" s="1">
        <v>4.3509870446298698E-2</v>
      </c>
    </row>
    <row r="16560" spans="1:6" x14ac:dyDescent="0.25">
      <c r="A16560" s="2" t="str">
        <f t="shared" si="598"/>
        <v>39150</v>
      </c>
      <c r="B16560" s="2" t="str">
        <f>"86046"</f>
        <v>86046</v>
      </c>
      <c r="C16560" s="1">
        <v>7.4837975782430999E-6</v>
      </c>
      <c r="D16560" s="1">
        <v>0</v>
      </c>
      <c r="E16560" s="1">
        <v>0</v>
      </c>
      <c r="F16560" s="1">
        <v>6.54973211595645E-6</v>
      </c>
    </row>
    <row r="16561" spans="1:6" x14ac:dyDescent="0.25">
      <c r="A16561" s="2" t="str">
        <f t="shared" si="598"/>
        <v>39150</v>
      </c>
      <c r="B16561" s="2" t="str">
        <f>"86305"</f>
        <v>86305</v>
      </c>
      <c r="C16561" s="1">
        <v>8.2748349822633904E-2</v>
      </c>
      <c r="D16561" s="1">
        <v>7.3936170212765898E-2</v>
      </c>
      <c r="E16561" s="1">
        <v>6.5843621399176905E-2</v>
      </c>
      <c r="F16561" s="1">
        <v>8.1236327434207903E-2</v>
      </c>
    </row>
    <row r="16562" spans="1:6" x14ac:dyDescent="0.25">
      <c r="A16562" s="2" t="str">
        <f t="shared" si="598"/>
        <v>39150</v>
      </c>
      <c r="B16562" s="2" t="str">
        <f>"86340"</f>
        <v>86340</v>
      </c>
      <c r="C16562" s="1">
        <v>9.7139692565595404E-3</v>
      </c>
      <c r="D16562" s="1">
        <v>2.1453900709219799E-2</v>
      </c>
      <c r="E16562" s="1">
        <v>2.5720164609053403E-4</v>
      </c>
      <c r="F16562" s="1">
        <v>1.00996869228048E-2</v>
      </c>
    </row>
    <row r="16563" spans="1:6" x14ac:dyDescent="0.25">
      <c r="A16563" s="2" t="str">
        <f t="shared" si="598"/>
        <v>39150</v>
      </c>
      <c r="B16563" s="2" t="str">
        <f>"86333"</f>
        <v>86333</v>
      </c>
      <c r="C16563" s="1">
        <v>2.7847210788642499E-2</v>
      </c>
      <c r="D16563" s="1">
        <v>1.2854609929078E-2</v>
      </c>
      <c r="E16563" s="1">
        <v>6.4300411522633704E-3</v>
      </c>
      <c r="F16563" s="1">
        <v>2.5648750966085401E-2</v>
      </c>
    </row>
    <row r="16564" spans="1:6" x14ac:dyDescent="0.25">
      <c r="A16564" s="2" t="str">
        <f t="shared" si="598"/>
        <v>39150</v>
      </c>
      <c r="B16564" s="2" t="str">
        <f>"86327"</f>
        <v>86327</v>
      </c>
      <c r="C16564" s="1">
        <v>6.1883522174492202E-2</v>
      </c>
      <c r="D16564" s="1">
        <v>2.5000000000000001E-2</v>
      </c>
      <c r="E16564" s="1">
        <v>2.3533950617283899E-2</v>
      </c>
      <c r="F16564" s="1">
        <v>5.7205360300763598E-2</v>
      </c>
    </row>
    <row r="16565" spans="1:6" x14ac:dyDescent="0.25">
      <c r="A16565" s="2" t="str">
        <f t="shared" si="598"/>
        <v>39150</v>
      </c>
      <c r="B16565" s="2" t="str">
        <f>"86323"</f>
        <v>86323</v>
      </c>
      <c r="C16565" s="1">
        <v>5.6712218047926199E-2</v>
      </c>
      <c r="D16565" s="1">
        <v>3.9893617021276501E-2</v>
      </c>
      <c r="E16565" s="1">
        <v>2.6234567901234501E-2</v>
      </c>
      <c r="F16565" s="1">
        <v>5.39173947785535E-2</v>
      </c>
    </row>
    <row r="16566" spans="1:6" x14ac:dyDescent="0.25">
      <c r="A16566" s="2" t="str">
        <f t="shared" si="598"/>
        <v>39150</v>
      </c>
      <c r="B16566" s="2" t="str">
        <f>"86303"</f>
        <v>86303</v>
      </c>
      <c r="C16566" s="1">
        <v>8.9992665878373304E-2</v>
      </c>
      <c r="D16566" s="1">
        <v>6.3031914893616994E-2</v>
      </c>
      <c r="E16566" s="1">
        <v>0.106481481481481</v>
      </c>
      <c r="F16566" s="1">
        <v>8.8840566420833295E-2</v>
      </c>
    </row>
    <row r="16567" spans="1:6" x14ac:dyDescent="0.25">
      <c r="A16567" s="2" t="str">
        <f t="shared" si="598"/>
        <v>39150</v>
      </c>
      <c r="B16567" s="2" t="str">
        <f>"86342"</f>
        <v>86342</v>
      </c>
      <c r="C16567" s="1">
        <v>0</v>
      </c>
      <c r="D16567" s="1">
        <v>8.8652482269503498E-5</v>
      </c>
      <c r="E16567" s="1">
        <v>0</v>
      </c>
      <c r="F16567" s="1">
        <v>6.54973211595645E-6</v>
      </c>
    </row>
    <row r="16568" spans="1:6" x14ac:dyDescent="0.25">
      <c r="A16568" s="2" t="str">
        <f t="shared" si="598"/>
        <v>39150</v>
      </c>
      <c r="B16568" s="2" t="str">
        <f>"86338"</f>
        <v>86338</v>
      </c>
      <c r="C16568" s="1">
        <v>0</v>
      </c>
      <c r="D16568" s="1">
        <v>0</v>
      </c>
      <c r="E16568" s="1">
        <v>1.2860082304526701E-4</v>
      </c>
      <c r="F16568" s="1">
        <v>6.54973211595645E-6</v>
      </c>
    </row>
    <row r="16569" spans="1:6" x14ac:dyDescent="0.25">
      <c r="A16569" s="2" t="str">
        <f t="shared" si="598"/>
        <v>39150</v>
      </c>
      <c r="B16569" s="2" t="str">
        <f>"86337"</f>
        <v>86337</v>
      </c>
      <c r="C16569" s="1">
        <v>0</v>
      </c>
      <c r="D16569" s="1">
        <v>0</v>
      </c>
      <c r="E16569" s="1">
        <v>5.1440329218106903E-4</v>
      </c>
      <c r="F16569" s="1">
        <v>2.61989284638258E-5</v>
      </c>
    </row>
    <row r="16570" spans="1:6" x14ac:dyDescent="0.25">
      <c r="A16570" s="2" t="str">
        <f t="shared" si="598"/>
        <v>39150</v>
      </c>
      <c r="B16570" s="2" t="str">
        <f>"86320"</f>
        <v>86320</v>
      </c>
      <c r="C16570" s="1">
        <v>2.2451392734729299E-5</v>
      </c>
      <c r="D16570" s="1">
        <v>8.8652482269503498E-5</v>
      </c>
      <c r="E16570" s="1">
        <v>0</v>
      </c>
      <c r="F16570" s="1">
        <v>2.61989284638258E-5</v>
      </c>
    </row>
    <row r="16571" spans="1:6" x14ac:dyDescent="0.25">
      <c r="A16571" s="2" t="str">
        <f t="shared" si="598"/>
        <v>39150</v>
      </c>
      <c r="B16571" s="2" t="str">
        <f>"86314"</f>
        <v>86314</v>
      </c>
      <c r="C16571" s="1">
        <v>0.12632650312074301</v>
      </c>
      <c r="D16571" s="1">
        <v>0.121897163120567</v>
      </c>
      <c r="E16571" s="1">
        <v>0.31571502057613099</v>
      </c>
      <c r="F16571" s="1">
        <v>0.135644952121458</v>
      </c>
    </row>
    <row r="16572" spans="1:6" x14ac:dyDescent="0.25">
      <c r="A16572" s="2" t="str">
        <f t="shared" si="598"/>
        <v>39150</v>
      </c>
      <c r="B16572" s="2" t="str">
        <f>"86335"</f>
        <v>86335</v>
      </c>
      <c r="C16572" s="1">
        <v>2.3154869707084101E-2</v>
      </c>
      <c r="D16572" s="1">
        <v>7.09219858156028E-3</v>
      </c>
      <c r="E16572" s="1">
        <v>1.59465020576131E-2</v>
      </c>
      <c r="F16572" s="1">
        <v>2.1601016518424301E-2</v>
      </c>
    </row>
    <row r="16573" spans="1:6" x14ac:dyDescent="0.25">
      <c r="A16573" s="2" t="str">
        <f t="shared" si="598"/>
        <v>39150</v>
      </c>
      <c r="B16573" s="2" t="str">
        <f>"86351"</f>
        <v>86351</v>
      </c>
      <c r="C16573" s="1">
        <v>3.5368427354776903E-2</v>
      </c>
      <c r="D16573" s="1">
        <v>2.4290780141843899E-2</v>
      </c>
      <c r="E16573" s="1">
        <v>3.2407407407407399E-2</v>
      </c>
      <c r="F16573" s="1">
        <v>3.4399193073003299E-2</v>
      </c>
    </row>
    <row r="16574" spans="1:6" x14ac:dyDescent="0.25">
      <c r="A16574" s="2" t="str">
        <f t="shared" si="598"/>
        <v>39150</v>
      </c>
      <c r="B16574" s="2" t="str">
        <f>"86332"</f>
        <v>86332</v>
      </c>
      <c r="C16574" s="1">
        <v>7.4239271976171504E-3</v>
      </c>
      <c r="D16574" s="1">
        <v>1.4184397163120499E-3</v>
      </c>
      <c r="E16574" s="1">
        <v>2.7006172839506102E-3</v>
      </c>
      <c r="F16574" s="1">
        <v>6.7396743473191901E-3</v>
      </c>
    </row>
    <row r="16575" spans="1:6" x14ac:dyDescent="0.25">
      <c r="A16575" s="2" t="str">
        <f t="shared" si="598"/>
        <v>39150</v>
      </c>
      <c r="B16575" s="2" t="str">
        <f>"86325"</f>
        <v>86325</v>
      </c>
      <c r="C16575" s="1">
        <v>1.6831060753468699E-2</v>
      </c>
      <c r="D16575" s="1">
        <v>3.72340425531914E-3</v>
      </c>
      <c r="E16575" s="1">
        <v>4.1152263374485496E-3</v>
      </c>
      <c r="F16575" s="1">
        <v>1.52150277053668E-2</v>
      </c>
    </row>
    <row r="16576" spans="1:6" x14ac:dyDescent="0.25">
      <c r="A16576" s="2" t="str">
        <f t="shared" si="598"/>
        <v>39150</v>
      </c>
      <c r="B16576" s="2" t="str">
        <f>"85332"</f>
        <v>85332</v>
      </c>
      <c r="C16576" s="1">
        <v>2.8737782700453498E-3</v>
      </c>
      <c r="D16576" s="1">
        <v>0</v>
      </c>
      <c r="E16576" s="1">
        <v>1.2860082304526701E-4</v>
      </c>
      <c r="F16576" s="1">
        <v>2.5216468646432301E-3</v>
      </c>
    </row>
    <row r="16577" spans="1:6" x14ac:dyDescent="0.25">
      <c r="A16577" s="2" t="str">
        <f t="shared" si="598"/>
        <v>39150</v>
      </c>
      <c r="B16577" s="2" t="str">
        <f>"86313"</f>
        <v>86313</v>
      </c>
      <c r="C16577" s="1">
        <v>0</v>
      </c>
      <c r="D16577" s="1">
        <v>8.8652482269503498E-5</v>
      </c>
      <c r="E16577" s="1">
        <v>0</v>
      </c>
      <c r="F16577" s="1">
        <v>6.54973211595645E-6</v>
      </c>
    </row>
    <row r="16578" spans="1:6" x14ac:dyDescent="0.25">
      <c r="A16578" s="2" t="str">
        <f t="shared" si="598"/>
        <v>39150</v>
      </c>
      <c r="B16578" s="2" t="str">
        <f>"86312"</f>
        <v>86312</v>
      </c>
      <c r="C16578" s="1">
        <v>1.7938662795048702E-2</v>
      </c>
      <c r="D16578" s="1">
        <v>2.9343971631205602E-2</v>
      </c>
      <c r="E16578" s="1">
        <v>2.5720164609053403E-4</v>
      </c>
      <c r="F16578" s="1">
        <v>1.7880768676561101E-2</v>
      </c>
    </row>
    <row r="16579" spans="1:6" x14ac:dyDescent="0.25">
      <c r="A16579" s="2" t="str">
        <f t="shared" si="598"/>
        <v>39150</v>
      </c>
      <c r="B16579" s="2" t="str">
        <f>"86304"</f>
        <v>86304</v>
      </c>
      <c r="C16579" s="1">
        <v>1.2161171064645E-2</v>
      </c>
      <c r="D16579" s="1">
        <v>4.7340425531914802E-2</v>
      </c>
      <c r="E16579" s="1">
        <v>2.5720164609053403E-4</v>
      </c>
      <c r="F16579" s="1">
        <v>1.4153971102581899E-2</v>
      </c>
    </row>
    <row r="16580" spans="1:6" x14ac:dyDescent="0.25">
      <c r="A16580" s="2" t="str">
        <f t="shared" si="598"/>
        <v>39150</v>
      </c>
      <c r="B16580" s="2" t="str">
        <f>"85324"</f>
        <v>85324</v>
      </c>
      <c r="C16580" s="1">
        <v>2.4217568963194599E-2</v>
      </c>
      <c r="D16580" s="1">
        <v>1.7021276595744601E-2</v>
      </c>
      <c r="E16580" s="1">
        <v>6.9444444444444397E-3</v>
      </c>
      <c r="F16580" s="1">
        <v>2.2806167227760299E-2</v>
      </c>
    </row>
    <row r="16581" spans="1:6" x14ac:dyDescent="0.25">
      <c r="A16581" s="2" t="str">
        <f t="shared" ref="A16581:A16591" si="599">"49740"</f>
        <v>49740</v>
      </c>
      <c r="B16581" s="2" t="str">
        <f>"85364"</f>
        <v>85364</v>
      </c>
      <c r="C16581" s="1">
        <v>0.30579743240962298</v>
      </c>
      <c r="D16581" s="1">
        <v>0.43107687264382799</v>
      </c>
      <c r="E16581" s="1">
        <v>0.59623689080814302</v>
      </c>
      <c r="F16581" s="1">
        <v>0.32129747410503301</v>
      </c>
    </row>
    <row r="16582" spans="1:6" x14ac:dyDescent="0.25">
      <c r="A16582" s="2" t="str">
        <f t="shared" si="599"/>
        <v>49740</v>
      </c>
      <c r="B16582" s="2" t="str">
        <f>"85347"</f>
        <v>85347</v>
      </c>
      <c r="C16582" s="1">
        <v>1.9857620858444898E-3</v>
      </c>
      <c r="D16582" s="1">
        <v>3.4420586789050901E-3</v>
      </c>
      <c r="E16582" s="1">
        <v>8.0197409006785899E-3</v>
      </c>
      <c r="F16582" s="1">
        <v>2.2442304197710298E-3</v>
      </c>
    </row>
    <row r="16583" spans="1:6" x14ac:dyDescent="0.25">
      <c r="A16583" s="2" t="str">
        <f t="shared" si="599"/>
        <v>49740</v>
      </c>
      <c r="B16583" s="2" t="str">
        <f>"85349"</f>
        <v>85349</v>
      </c>
      <c r="C16583" s="1">
        <v>0.14016501682933299</v>
      </c>
      <c r="D16583" s="1">
        <v>4.9008359285362998E-2</v>
      </c>
      <c r="E16583" s="1">
        <v>9.2535471930906802E-4</v>
      </c>
      <c r="F16583" s="1">
        <v>0.131010357986552</v>
      </c>
    </row>
    <row r="16584" spans="1:6" x14ac:dyDescent="0.25">
      <c r="A16584" s="2" t="str">
        <f t="shared" si="599"/>
        <v>49740</v>
      </c>
      <c r="B16584" s="2" t="str">
        <f>"85356"</f>
        <v>85356</v>
      </c>
      <c r="C16584" s="1">
        <v>2.9816217718954999E-2</v>
      </c>
      <c r="D16584" s="1">
        <v>1.03261760367152E-2</v>
      </c>
      <c r="E16584" s="1">
        <v>8.9450956199876603E-3</v>
      </c>
      <c r="F16584" s="1">
        <v>2.81210248955115E-2</v>
      </c>
    </row>
    <row r="16585" spans="1:6" x14ac:dyDescent="0.25">
      <c r="A16585" s="2" t="str">
        <f t="shared" si="599"/>
        <v>49740</v>
      </c>
      <c r="B16585" s="2" t="str">
        <f>"85336"</f>
        <v>85336</v>
      </c>
      <c r="C16585" s="1">
        <v>4.1840007148743502E-2</v>
      </c>
      <c r="D16585" s="1">
        <v>3.2781511227667499E-3</v>
      </c>
      <c r="E16585" s="1">
        <v>2.1591610117211498E-3</v>
      </c>
      <c r="F16585" s="1">
        <v>3.8533527166999801E-2</v>
      </c>
    </row>
    <row r="16586" spans="1:6" x14ac:dyDescent="0.25">
      <c r="A16586" s="2" t="str">
        <f t="shared" si="599"/>
        <v>49740</v>
      </c>
      <c r="B16586" s="2" t="str">
        <f>"85333"</f>
        <v>85333</v>
      </c>
      <c r="C16586" s="1">
        <v>1.4297487018080301E-3</v>
      </c>
      <c r="D16586" s="1">
        <v>2.7864284543517399E-3</v>
      </c>
      <c r="E16586" s="1">
        <v>8.0197409006785899E-3</v>
      </c>
      <c r="F16586" s="1">
        <v>1.6990732327821099E-3</v>
      </c>
    </row>
    <row r="16587" spans="1:6" x14ac:dyDescent="0.25">
      <c r="A16587" s="2" t="str">
        <f t="shared" si="599"/>
        <v>49740</v>
      </c>
      <c r="B16587" s="2" t="str">
        <f>"85367"</f>
        <v>85367</v>
      </c>
      <c r="C16587" s="1">
        <v>0.16370622635702001</v>
      </c>
      <c r="D16587" s="1">
        <v>7.5397475823635401E-2</v>
      </c>
      <c r="E16587" s="1">
        <v>5.4287476866132001E-2</v>
      </c>
      <c r="F16587" s="1">
        <v>0.155587861166636</v>
      </c>
    </row>
    <row r="16588" spans="1:6" x14ac:dyDescent="0.25">
      <c r="A16588" s="2" t="str">
        <f t="shared" si="599"/>
        <v>49740</v>
      </c>
      <c r="B16588" s="2" t="str">
        <f>"85366"</f>
        <v>85366</v>
      </c>
      <c r="C16588" s="1">
        <v>3.7163537436579699E-2</v>
      </c>
      <c r="D16588" s="1">
        <v>0.119980331093263</v>
      </c>
      <c r="E16588" s="1">
        <v>6.1690314620604502E-4</v>
      </c>
      <c r="F16588" s="1">
        <v>4.0677812102489497E-2</v>
      </c>
    </row>
    <row r="16589" spans="1:6" x14ac:dyDescent="0.25">
      <c r="A16589" s="2" t="str">
        <f t="shared" si="599"/>
        <v>49740</v>
      </c>
      <c r="B16589" s="2" t="str">
        <f>"85352"</f>
        <v>85352</v>
      </c>
      <c r="C16589" s="1">
        <v>1.7375418251139301E-3</v>
      </c>
      <c r="D16589" s="1">
        <v>1.6390755613833699E-4</v>
      </c>
      <c r="E16589" s="1">
        <v>6.1690314620604502E-4</v>
      </c>
      <c r="F16589" s="1">
        <v>1.61729965473378E-3</v>
      </c>
    </row>
    <row r="16590" spans="1:6" x14ac:dyDescent="0.25">
      <c r="A16590" s="2" t="str">
        <f t="shared" si="599"/>
        <v>49740</v>
      </c>
      <c r="B16590" s="2" t="str">
        <f>"85350"</f>
        <v>85350</v>
      </c>
      <c r="C16590" s="1">
        <v>6.2561434514530806E-2</v>
      </c>
      <c r="D16590" s="1">
        <v>3.2453696115390902E-2</v>
      </c>
      <c r="E16590" s="1">
        <v>1.78901912399753E-2</v>
      </c>
      <c r="F16590" s="1">
        <v>5.9576594584771901E-2</v>
      </c>
    </row>
    <row r="16591" spans="1:6" x14ac:dyDescent="0.25">
      <c r="A16591" s="2" t="str">
        <f t="shared" si="599"/>
        <v>49740</v>
      </c>
      <c r="B16591" s="2" t="str">
        <f>"85365"</f>
        <v>85365</v>
      </c>
      <c r="C16591" s="1">
        <v>0.21379707497244699</v>
      </c>
      <c r="D16591" s="1">
        <v>0.27208654318964098</v>
      </c>
      <c r="E16591" s="1">
        <v>0.30228254164096202</v>
      </c>
      <c r="F16591" s="1">
        <v>0.219634744684717</v>
      </c>
    </row>
    <row r="16592" spans="1:6" x14ac:dyDescent="0.25">
      <c r="A16592" s="2" t="str">
        <f t="shared" ref="A16592:A16601" si="600">"35700"</f>
        <v>35700</v>
      </c>
      <c r="B16592" s="2" t="str">
        <f>"85645"</f>
        <v>85645</v>
      </c>
      <c r="C16592" s="1">
        <v>5.1148278860416298E-5</v>
      </c>
      <c r="D16592" s="1">
        <v>4.2337002540220102E-4</v>
      </c>
      <c r="E16592" s="1">
        <v>0</v>
      </c>
      <c r="F16592" s="1">
        <v>8.4178627046592797E-5</v>
      </c>
    </row>
    <row r="16593" spans="1:6" x14ac:dyDescent="0.25">
      <c r="A16593" s="2" t="str">
        <f t="shared" si="600"/>
        <v>35700</v>
      </c>
      <c r="B16593" s="2" t="str">
        <f>"85648"</f>
        <v>85648</v>
      </c>
      <c r="C16593" s="1">
        <v>0.37297324945015597</v>
      </c>
      <c r="D16593" s="1">
        <v>0.154106689246401</v>
      </c>
      <c r="E16593" s="1">
        <v>0.269772481040086</v>
      </c>
      <c r="F16593" s="1">
        <v>0.34319626246895901</v>
      </c>
    </row>
    <row r="16594" spans="1:6" x14ac:dyDescent="0.25">
      <c r="A16594" s="2" t="str">
        <f t="shared" si="600"/>
        <v>35700</v>
      </c>
      <c r="B16594" s="2" t="str">
        <f>"85624"</f>
        <v>85624</v>
      </c>
      <c r="C16594" s="1">
        <v>1.35542938980103E-2</v>
      </c>
      <c r="D16594" s="1">
        <v>9.3141405588484296E-3</v>
      </c>
      <c r="E16594" s="1">
        <v>1.24593716143011E-2</v>
      </c>
      <c r="F16594" s="1">
        <v>1.30476871922218E-2</v>
      </c>
    </row>
    <row r="16595" spans="1:6" x14ac:dyDescent="0.25">
      <c r="A16595" s="2" t="str">
        <f t="shared" si="600"/>
        <v>35700</v>
      </c>
      <c r="B16595" s="2" t="str">
        <f>"85611"</f>
        <v>85611</v>
      </c>
      <c r="C16595" s="1">
        <v>3.8054319472149697E-2</v>
      </c>
      <c r="D16595" s="1">
        <v>7.1972904318374203E-3</v>
      </c>
      <c r="E16595" s="1">
        <v>1.0834236186348799E-3</v>
      </c>
      <c r="F16595" s="1">
        <v>3.2114146218275103E-2</v>
      </c>
    </row>
    <row r="16596" spans="1:6" x14ac:dyDescent="0.25">
      <c r="A16596" s="2" t="str">
        <f t="shared" si="600"/>
        <v>35700</v>
      </c>
      <c r="B16596" s="2" t="str">
        <f>"85621"</f>
        <v>85621</v>
      </c>
      <c r="C16596" s="1">
        <v>0.42990128382179899</v>
      </c>
      <c r="D16596" s="1">
        <v>0.65961049957662898</v>
      </c>
      <c r="E16596" s="1">
        <v>0.71072589382448503</v>
      </c>
      <c r="F16596" s="1">
        <v>0.47455700997516698</v>
      </c>
    </row>
    <row r="16597" spans="1:6" x14ac:dyDescent="0.25">
      <c r="A16597" s="2" t="str">
        <f t="shared" si="600"/>
        <v>35700</v>
      </c>
      <c r="B16597" s="2" t="str">
        <f>"85640"</f>
        <v>85640</v>
      </c>
      <c r="C16597" s="1">
        <v>3.42693468364789E-3</v>
      </c>
      <c r="D16597" s="1">
        <v>1.2701100762065999E-3</v>
      </c>
      <c r="E16597" s="1">
        <v>5.4171180931744298E-4</v>
      </c>
      <c r="F16597" s="1">
        <v>2.9883412601540401E-3</v>
      </c>
    </row>
    <row r="16598" spans="1:6" x14ac:dyDescent="0.25">
      <c r="A16598" s="2" t="str">
        <f t="shared" si="600"/>
        <v>35700</v>
      </c>
      <c r="B16598" s="2" t="str">
        <f>"85637"</f>
        <v>85637</v>
      </c>
      <c r="C16598" s="1">
        <v>7.9791315022249495E-3</v>
      </c>
      <c r="D16598" s="1">
        <v>8.8907705334462309E-3</v>
      </c>
      <c r="E16598" s="1">
        <v>3.2502708559046501E-3</v>
      </c>
      <c r="F16598" s="1">
        <v>7.7023443747632403E-3</v>
      </c>
    </row>
    <row r="16599" spans="1:6" x14ac:dyDescent="0.25">
      <c r="A16599" s="2" t="str">
        <f t="shared" si="600"/>
        <v>35700</v>
      </c>
      <c r="B16599" s="2" t="str">
        <f>"85628"</f>
        <v>85628</v>
      </c>
      <c r="C16599" s="1">
        <v>0.13308782159480301</v>
      </c>
      <c r="D16599" s="1">
        <v>0.15791701947502099</v>
      </c>
      <c r="E16599" s="1">
        <v>1.0834236186348799E-3</v>
      </c>
      <c r="F16599" s="1">
        <v>0.125299886358853</v>
      </c>
    </row>
    <row r="16600" spans="1:6" x14ac:dyDescent="0.25">
      <c r="A16600" s="2" t="str">
        <f t="shared" si="600"/>
        <v>35700</v>
      </c>
      <c r="B16600" s="2" t="str">
        <f>"85646"</f>
        <v>85646</v>
      </c>
      <c r="C16600" s="1">
        <v>3.5803795202291402E-4</v>
      </c>
      <c r="D16600" s="1">
        <v>4.2337002540220102E-4</v>
      </c>
      <c r="E16600" s="1">
        <v>0</v>
      </c>
      <c r="F16600" s="1">
        <v>3.3671450818637102E-4</v>
      </c>
    </row>
    <row r="16601" spans="1:6" x14ac:dyDescent="0.25">
      <c r="A16601" s="2" t="str">
        <f t="shared" si="600"/>
        <v>35700</v>
      </c>
      <c r="B16601" s="2" t="str">
        <f>"85614"</f>
        <v>85614</v>
      </c>
      <c r="C16601" s="1">
        <v>6.1377934632499598E-4</v>
      </c>
      <c r="D16601" s="1">
        <v>8.4674005080440302E-4</v>
      </c>
      <c r="E16601" s="1">
        <v>1.0834236186348799E-3</v>
      </c>
      <c r="F16601" s="1">
        <v>6.7342901637274205E-4</v>
      </c>
    </row>
    <row r="16602" spans="1:6" x14ac:dyDescent="0.25">
      <c r="A16602" s="2" t="str">
        <f t="shared" ref="A16602:A16629" si="601">"43320"</f>
        <v>43320</v>
      </c>
      <c r="B16602" s="2" t="str">
        <f>"86054"</f>
        <v>86054</v>
      </c>
      <c r="C16602" s="1">
        <v>0</v>
      </c>
      <c r="D16602" s="1">
        <v>0</v>
      </c>
      <c r="E16602" s="1">
        <v>6.1087354917531997E-4</v>
      </c>
      <c r="F16602" s="1">
        <v>2.2399928320229298E-5</v>
      </c>
    </row>
    <row r="16603" spans="1:6" x14ac:dyDescent="0.25">
      <c r="A16603" s="2" t="str">
        <f t="shared" si="601"/>
        <v>43320</v>
      </c>
      <c r="B16603" s="2" t="str">
        <f>"86043"</f>
        <v>86043</v>
      </c>
      <c r="C16603" s="1">
        <v>0</v>
      </c>
      <c r="D16603" s="1">
        <v>0</v>
      </c>
      <c r="E16603" s="1">
        <v>6.1087354917531997E-4</v>
      </c>
      <c r="F16603" s="1">
        <v>2.2399928320229298E-5</v>
      </c>
    </row>
    <row r="16604" spans="1:6" x14ac:dyDescent="0.25">
      <c r="A16604" s="2" t="str">
        <f t="shared" si="601"/>
        <v>43320</v>
      </c>
      <c r="B16604" s="2" t="str">
        <f>"85923"</f>
        <v>85923</v>
      </c>
      <c r="C16604" s="1">
        <v>2.52334090335604E-5</v>
      </c>
      <c r="D16604" s="1">
        <v>0</v>
      </c>
      <c r="E16604" s="1">
        <v>6.1087354917531997E-4</v>
      </c>
      <c r="F16604" s="1">
        <v>4.4799856640458699E-5</v>
      </c>
    </row>
    <row r="16605" spans="1:6" x14ac:dyDescent="0.25">
      <c r="A16605" s="2" t="str">
        <f t="shared" si="601"/>
        <v>43320</v>
      </c>
      <c r="B16605" s="2" t="str">
        <f>"85934"</f>
        <v>85934</v>
      </c>
      <c r="C16605" s="1">
        <v>5.04668180671208E-5</v>
      </c>
      <c r="D16605" s="1">
        <v>0</v>
      </c>
      <c r="E16605" s="1">
        <v>6.1087354917531997E-4</v>
      </c>
      <c r="F16605" s="1">
        <v>6.7199784960688102E-5</v>
      </c>
    </row>
    <row r="16606" spans="1:6" x14ac:dyDescent="0.25">
      <c r="A16606" s="2" t="str">
        <f t="shared" si="601"/>
        <v>43320</v>
      </c>
      <c r="B16606" s="2" t="str">
        <f>"85929"</f>
        <v>85929</v>
      </c>
      <c r="C16606" s="1">
        <v>0.16379005803683999</v>
      </c>
      <c r="D16606" s="1">
        <v>0.163507109004739</v>
      </c>
      <c r="E16606" s="1">
        <v>0.136835675015271</v>
      </c>
      <c r="F16606" s="1">
        <v>0.162780279103106</v>
      </c>
    </row>
    <row r="16607" spans="1:6" x14ac:dyDescent="0.25">
      <c r="A16607" s="2" t="str">
        <f t="shared" si="601"/>
        <v>43320</v>
      </c>
      <c r="B16607" s="2" t="str">
        <f>"85928"</f>
        <v>85928</v>
      </c>
      <c r="C16607" s="1">
        <v>3.3308099924299699E-3</v>
      </c>
      <c r="D16607" s="1">
        <v>3.2582938388625499E-3</v>
      </c>
      <c r="E16607" s="1">
        <v>8.5522296884544807E-3</v>
      </c>
      <c r="F16607" s="1">
        <v>3.51678874627601E-3</v>
      </c>
    </row>
    <row r="16608" spans="1:6" x14ac:dyDescent="0.25">
      <c r="A16608" s="2" t="str">
        <f t="shared" si="601"/>
        <v>43320</v>
      </c>
      <c r="B16608" s="2" t="str">
        <f>"85933"</f>
        <v>85933</v>
      </c>
      <c r="C16608" s="1">
        <v>3.5326772646984602E-4</v>
      </c>
      <c r="D16608" s="1">
        <v>0</v>
      </c>
      <c r="E16608" s="1">
        <v>6.1087354917531997E-4</v>
      </c>
      <c r="F16608" s="1">
        <v>3.3599892480344E-4</v>
      </c>
    </row>
    <row r="16609" spans="1:6" x14ac:dyDescent="0.25">
      <c r="A16609" s="2" t="str">
        <f t="shared" si="601"/>
        <v>43320</v>
      </c>
      <c r="B16609" s="2" t="str">
        <f>"86032"</f>
        <v>86032</v>
      </c>
      <c r="C16609" s="1">
        <v>0</v>
      </c>
      <c r="D16609" s="1">
        <v>1.18483412322274E-3</v>
      </c>
      <c r="E16609" s="1">
        <v>6.1087354917531997E-4</v>
      </c>
      <c r="F16609" s="1">
        <v>1.11999641601146E-4</v>
      </c>
    </row>
    <row r="16610" spans="1:6" x14ac:dyDescent="0.25">
      <c r="A16610" s="2" t="str">
        <f t="shared" si="601"/>
        <v>43320</v>
      </c>
      <c r="B16610" s="2" t="str">
        <f>"86029"</f>
        <v>86029</v>
      </c>
      <c r="C16610" s="1">
        <v>0</v>
      </c>
      <c r="D16610" s="1">
        <v>0</v>
      </c>
      <c r="E16610" s="1">
        <v>6.1087354917531997E-4</v>
      </c>
      <c r="F16610" s="1">
        <v>2.2399928320229298E-5</v>
      </c>
    </row>
    <row r="16611" spans="1:6" x14ac:dyDescent="0.25">
      <c r="A16611" s="2" t="str">
        <f t="shared" si="601"/>
        <v>43320</v>
      </c>
      <c r="B16611" s="2" t="str">
        <f>"85901"</f>
        <v>85901</v>
      </c>
      <c r="C16611" s="1">
        <v>0.29147110774665602</v>
      </c>
      <c r="D16611" s="1">
        <v>0.26421800947867202</v>
      </c>
      <c r="E16611" s="1">
        <v>0.34941967012828301</v>
      </c>
      <c r="F16611" s="1">
        <v>0.29153506708778498</v>
      </c>
    </row>
    <row r="16612" spans="1:6" x14ac:dyDescent="0.25">
      <c r="A16612" s="2" t="str">
        <f t="shared" si="601"/>
        <v>43320</v>
      </c>
      <c r="B16612" s="2" t="str">
        <f>"86031"</f>
        <v>86031</v>
      </c>
      <c r="C16612" s="1">
        <v>0</v>
      </c>
      <c r="D16612" s="1">
        <v>0</v>
      </c>
      <c r="E16612" s="1">
        <v>6.1087354917531997E-4</v>
      </c>
      <c r="F16612" s="1">
        <v>2.2399928320229298E-5</v>
      </c>
    </row>
    <row r="16613" spans="1:6" x14ac:dyDescent="0.25">
      <c r="A16613" s="2" t="str">
        <f t="shared" si="601"/>
        <v>43320</v>
      </c>
      <c r="B16613" s="2" t="str">
        <f>"85911"</f>
        <v>85911</v>
      </c>
      <c r="C16613" s="1">
        <v>0</v>
      </c>
      <c r="D16613" s="1">
        <v>2.9620853080568701E-4</v>
      </c>
      <c r="E16613" s="1">
        <v>0</v>
      </c>
      <c r="F16613" s="1">
        <v>2.2399928320229298E-5</v>
      </c>
    </row>
    <row r="16614" spans="1:6" x14ac:dyDescent="0.25">
      <c r="A16614" s="2" t="str">
        <f t="shared" si="601"/>
        <v>43320</v>
      </c>
      <c r="B16614" s="2" t="str">
        <f>"85937"</f>
        <v>85937</v>
      </c>
      <c r="C16614" s="1">
        <v>6.5505929851122802E-2</v>
      </c>
      <c r="D16614" s="1">
        <v>7.3459715639810394E-2</v>
      </c>
      <c r="E16614" s="1">
        <v>0.103848503359804</v>
      </c>
      <c r="F16614" s="1">
        <v>6.7513383957171297E-2</v>
      </c>
    </row>
    <row r="16615" spans="1:6" x14ac:dyDescent="0.25">
      <c r="A16615" s="2" t="str">
        <f t="shared" si="601"/>
        <v>43320</v>
      </c>
      <c r="B16615" s="2" t="str">
        <f>"86042"</f>
        <v>86042</v>
      </c>
      <c r="C16615" s="1">
        <v>0</v>
      </c>
      <c r="D16615" s="1">
        <v>0</v>
      </c>
      <c r="E16615" s="1">
        <v>6.1087354917531997E-4</v>
      </c>
      <c r="F16615" s="1">
        <v>2.2399928320229298E-5</v>
      </c>
    </row>
    <row r="16616" spans="1:6" x14ac:dyDescent="0.25">
      <c r="A16616" s="2" t="str">
        <f t="shared" si="601"/>
        <v>43320</v>
      </c>
      <c r="B16616" s="2" t="str">
        <f>"86039"</f>
        <v>86039</v>
      </c>
      <c r="C16616" s="1">
        <v>0</v>
      </c>
      <c r="D16616" s="1">
        <v>0</v>
      </c>
      <c r="E16616" s="1">
        <v>6.1087354917531997E-4</v>
      </c>
      <c r="F16616" s="1">
        <v>2.2399928320229298E-5</v>
      </c>
    </row>
    <row r="16617" spans="1:6" x14ac:dyDescent="0.25">
      <c r="A16617" s="2" t="str">
        <f t="shared" si="601"/>
        <v>43320</v>
      </c>
      <c r="B16617" s="2" t="str">
        <f>"85941"</f>
        <v>85941</v>
      </c>
      <c r="C16617" s="1">
        <v>0</v>
      </c>
      <c r="D16617" s="1">
        <v>0</v>
      </c>
      <c r="E16617" s="1">
        <v>6.1087354917531997E-4</v>
      </c>
      <c r="F16617" s="1">
        <v>2.2399928320229298E-5</v>
      </c>
    </row>
    <row r="16618" spans="1:6" x14ac:dyDescent="0.25">
      <c r="A16618" s="2" t="str">
        <f t="shared" si="601"/>
        <v>43320</v>
      </c>
      <c r="B16618" s="2" t="str">
        <f>"85935"</f>
        <v>85935</v>
      </c>
      <c r="C16618" s="1">
        <v>0.17471612414837201</v>
      </c>
      <c r="D16618" s="1">
        <v>0.106635071090047</v>
      </c>
      <c r="E16618" s="1">
        <v>5.86438607208307E-2</v>
      </c>
      <c r="F16618" s="1">
        <v>0.16531147100329199</v>
      </c>
    </row>
    <row r="16619" spans="1:6" x14ac:dyDescent="0.25">
      <c r="A16619" s="2" t="str">
        <f t="shared" si="601"/>
        <v>43320</v>
      </c>
      <c r="B16619" s="2" t="str">
        <f>"86510"</f>
        <v>86510</v>
      </c>
      <c r="C16619" s="1">
        <v>0</v>
      </c>
      <c r="D16619" s="1">
        <v>0</v>
      </c>
      <c r="E16619" s="1">
        <v>6.1087354917531997E-4</v>
      </c>
      <c r="F16619" s="1">
        <v>2.2399928320229298E-5</v>
      </c>
    </row>
    <row r="16620" spans="1:6" x14ac:dyDescent="0.25">
      <c r="A16620" s="2" t="str">
        <f t="shared" si="601"/>
        <v>43320</v>
      </c>
      <c r="B16620" s="2" t="str">
        <f>"85939"</f>
        <v>85939</v>
      </c>
      <c r="C16620" s="1">
        <v>5.04668180671208E-5</v>
      </c>
      <c r="D16620" s="1">
        <v>1.7772511848341201E-3</v>
      </c>
      <c r="E16620" s="1">
        <v>4.2761148442272403E-3</v>
      </c>
      <c r="F16620" s="1">
        <v>3.3599892480344E-4</v>
      </c>
    </row>
    <row r="16621" spans="1:6" x14ac:dyDescent="0.25">
      <c r="A16621" s="2" t="str">
        <f t="shared" si="601"/>
        <v>43320</v>
      </c>
      <c r="B16621" s="2" t="str">
        <f>"86034"</f>
        <v>86034</v>
      </c>
      <c r="C16621" s="1">
        <v>0</v>
      </c>
      <c r="D16621" s="1">
        <v>0</v>
      </c>
      <c r="E16621" s="1">
        <v>6.1087354917531997E-4</v>
      </c>
      <c r="F16621" s="1">
        <v>2.2399928320229298E-5</v>
      </c>
    </row>
    <row r="16622" spans="1:6" x14ac:dyDescent="0.25">
      <c r="A16622" s="2" t="str">
        <f t="shared" si="601"/>
        <v>43320</v>
      </c>
      <c r="B16622" s="2" t="str">
        <f>"86025"</f>
        <v>86025</v>
      </c>
      <c r="C16622" s="1">
        <v>8.8115064345193006E-2</v>
      </c>
      <c r="D16622" s="1">
        <v>0.12263033175355401</v>
      </c>
      <c r="E16622" s="1">
        <v>7.8802687843616298E-2</v>
      </c>
      <c r="F16622" s="1">
        <v>9.0383710772125495E-2</v>
      </c>
    </row>
    <row r="16623" spans="1:6" x14ac:dyDescent="0.25">
      <c r="A16623" s="2" t="str">
        <f t="shared" si="601"/>
        <v>43320</v>
      </c>
      <c r="B16623" s="2" t="str">
        <f>"86520"</f>
        <v>86520</v>
      </c>
      <c r="C16623" s="1">
        <v>0</v>
      </c>
      <c r="D16623" s="1">
        <v>0</v>
      </c>
      <c r="E16623" s="1">
        <v>6.1087354917531997E-4</v>
      </c>
      <c r="F16623" s="1">
        <v>2.2399928320229298E-5</v>
      </c>
    </row>
    <row r="16624" spans="1:6" x14ac:dyDescent="0.25">
      <c r="A16624" s="2" t="str">
        <f t="shared" si="601"/>
        <v>43320</v>
      </c>
      <c r="B16624" s="2" t="str">
        <f>"85926"</f>
        <v>85926</v>
      </c>
      <c r="C16624" s="1">
        <v>0</v>
      </c>
      <c r="D16624" s="1">
        <v>2.9620853080568701E-4</v>
      </c>
      <c r="E16624" s="1">
        <v>0</v>
      </c>
      <c r="F16624" s="1">
        <v>2.2399928320229298E-5</v>
      </c>
    </row>
    <row r="16625" spans="1:6" x14ac:dyDescent="0.25">
      <c r="A16625" s="2" t="str">
        <f t="shared" si="601"/>
        <v>43320</v>
      </c>
      <c r="B16625" s="2" t="str">
        <f>"85942"</f>
        <v>85942</v>
      </c>
      <c r="C16625" s="1">
        <v>0</v>
      </c>
      <c r="D16625" s="1">
        <v>0</v>
      </c>
      <c r="E16625" s="1">
        <v>6.1087354917531997E-4</v>
      </c>
      <c r="F16625" s="1">
        <v>2.2399928320229298E-5</v>
      </c>
    </row>
    <row r="16626" spans="1:6" x14ac:dyDescent="0.25">
      <c r="A16626" s="2" t="str">
        <f t="shared" si="601"/>
        <v>43320</v>
      </c>
      <c r="B16626" s="2" t="str">
        <f>"85902"</f>
        <v>85902</v>
      </c>
      <c r="C16626" s="1">
        <v>6.6893767347968702E-2</v>
      </c>
      <c r="D16626" s="1">
        <v>0.11552132701421799</v>
      </c>
      <c r="E16626" s="1">
        <v>1.2217470983506399E-3</v>
      </c>
      <c r="F16626" s="1">
        <v>6.8162981878457901E-2</v>
      </c>
    </row>
    <row r="16627" spans="1:6" x14ac:dyDescent="0.25">
      <c r="A16627" s="2" t="str">
        <f t="shared" si="601"/>
        <v>43320</v>
      </c>
      <c r="B16627" s="2" t="str">
        <f>"86033"</f>
        <v>86033</v>
      </c>
      <c r="C16627" s="1">
        <v>0</v>
      </c>
      <c r="D16627" s="1">
        <v>0</v>
      </c>
      <c r="E16627" s="1">
        <v>6.1087354917531997E-4</v>
      </c>
      <c r="F16627" s="1">
        <v>2.2399928320229298E-5</v>
      </c>
    </row>
    <row r="16628" spans="1:6" x14ac:dyDescent="0.25">
      <c r="A16628" s="2" t="str">
        <f t="shared" si="601"/>
        <v>43320</v>
      </c>
      <c r="B16628" s="2" t="str">
        <f>"86030"</f>
        <v>86030</v>
      </c>
      <c r="C16628" s="1">
        <v>0</v>
      </c>
      <c r="D16628" s="1">
        <v>0</v>
      </c>
      <c r="E16628" s="1">
        <v>6.1087354917531997E-4</v>
      </c>
      <c r="F16628" s="1">
        <v>2.2399928320229298E-5</v>
      </c>
    </row>
    <row r="16629" spans="1:6" x14ac:dyDescent="0.25">
      <c r="A16629" s="2" t="str">
        <f t="shared" si="601"/>
        <v>43320</v>
      </c>
      <c r="B16629" s="2" t="str">
        <f>"86047"</f>
        <v>86047</v>
      </c>
      <c r="C16629" s="1">
        <v>0.145697703759777</v>
      </c>
      <c r="D16629" s="1">
        <v>0.14721563981042601</v>
      </c>
      <c r="E16629" s="1">
        <v>0.24801466096517999</v>
      </c>
      <c r="F16629" s="1">
        <v>0.149564321394171</v>
      </c>
    </row>
    <row r="16630" spans="1:6" x14ac:dyDescent="0.25">
      <c r="A16630" s="2" t="str">
        <f t="shared" ref="A16630:A16648" si="602">"43500"</f>
        <v>43500</v>
      </c>
      <c r="B16630" s="2" t="str">
        <f>"88062"</f>
        <v>88062</v>
      </c>
      <c r="C16630" s="1">
        <v>0.17348988104433799</v>
      </c>
      <c r="D16630" s="1">
        <v>0.233502538071065</v>
      </c>
      <c r="E16630" s="1">
        <v>2.90697674418604E-3</v>
      </c>
      <c r="F16630" s="1">
        <v>0.17035637149027999</v>
      </c>
    </row>
    <row r="16631" spans="1:6" x14ac:dyDescent="0.25">
      <c r="A16631" s="2" t="str">
        <f t="shared" si="602"/>
        <v>43500</v>
      </c>
      <c r="B16631" s="2" t="str">
        <f>"88049"</f>
        <v>88049</v>
      </c>
      <c r="C16631" s="1">
        <v>3.2983160821875399E-2</v>
      </c>
      <c r="D16631" s="1">
        <v>1.01522842639593E-2</v>
      </c>
      <c r="E16631" s="1">
        <v>0</v>
      </c>
      <c r="F16631" s="1">
        <v>2.9630129589632799E-2</v>
      </c>
    </row>
    <row r="16632" spans="1:6" x14ac:dyDescent="0.25">
      <c r="A16632" s="2" t="str">
        <f t="shared" si="602"/>
        <v>43500</v>
      </c>
      <c r="B16632" s="2" t="str">
        <f>"88043"</f>
        <v>88043</v>
      </c>
      <c r="C16632" s="1">
        <v>2.78078170863587E-2</v>
      </c>
      <c r="D16632" s="1">
        <v>8.4602368866328204E-3</v>
      </c>
      <c r="E16632" s="1">
        <v>1.45348837209302E-3</v>
      </c>
      <c r="F16632" s="1">
        <v>2.5040496760259101E-2</v>
      </c>
    </row>
    <row r="16633" spans="1:6" x14ac:dyDescent="0.25">
      <c r="A16633" s="2" t="str">
        <f t="shared" si="602"/>
        <v>43500</v>
      </c>
      <c r="B16633" s="2" t="str">
        <f>"88022"</f>
        <v>88022</v>
      </c>
      <c r="C16633" s="1">
        <v>3.8776456048200202E-2</v>
      </c>
      <c r="D16633" s="1">
        <v>5.9221658206429703E-3</v>
      </c>
      <c r="E16633" s="1">
        <v>1.4534883720930199E-2</v>
      </c>
      <c r="F16633" s="1">
        <v>3.5029697624189997E-2</v>
      </c>
    </row>
    <row r="16634" spans="1:6" x14ac:dyDescent="0.25">
      <c r="A16634" s="2" t="str">
        <f t="shared" si="602"/>
        <v>43500</v>
      </c>
      <c r="B16634" s="2" t="str">
        <f>"88025"</f>
        <v>88025</v>
      </c>
      <c r="C16634" s="1">
        <v>9.2692723621195703E-4</v>
      </c>
      <c r="D16634" s="1">
        <v>8.46023688663282E-4</v>
      </c>
      <c r="E16634" s="1">
        <v>5.2325581395348798E-2</v>
      </c>
      <c r="F16634" s="1">
        <v>3.3072354211663001E-3</v>
      </c>
    </row>
    <row r="16635" spans="1:6" x14ac:dyDescent="0.25">
      <c r="A16635" s="2" t="str">
        <f t="shared" si="602"/>
        <v>43500</v>
      </c>
      <c r="B16635" s="2" t="str">
        <f>"88055"</f>
        <v>88055</v>
      </c>
      <c r="C16635" s="1">
        <v>2.78078170863587E-3</v>
      </c>
      <c r="D16635" s="1">
        <v>8.46023688663282E-4</v>
      </c>
      <c r="E16635" s="1">
        <v>0</v>
      </c>
      <c r="F16635" s="1">
        <v>2.49730021598272E-3</v>
      </c>
    </row>
    <row r="16636" spans="1:6" x14ac:dyDescent="0.25">
      <c r="A16636" s="2" t="str">
        <f t="shared" si="602"/>
        <v>43500</v>
      </c>
      <c r="B16636" s="2" t="str">
        <f>"88041"</f>
        <v>88041</v>
      </c>
      <c r="C16636" s="1">
        <v>2.51815232504248E-2</v>
      </c>
      <c r="D16636" s="1">
        <v>8.4602368866328204E-3</v>
      </c>
      <c r="E16636" s="1">
        <v>8.7209302325581307E-3</v>
      </c>
      <c r="F16636" s="1">
        <v>2.3083153347732099E-2</v>
      </c>
    </row>
    <row r="16637" spans="1:6" x14ac:dyDescent="0.25">
      <c r="A16637" s="2" t="str">
        <f t="shared" si="602"/>
        <v>43500</v>
      </c>
      <c r="B16637" s="2" t="str">
        <f>"88065"</f>
        <v>88065</v>
      </c>
      <c r="C16637" s="1">
        <v>0</v>
      </c>
      <c r="D16637" s="1">
        <v>8.46023688663282E-4</v>
      </c>
      <c r="E16637" s="1">
        <v>0.212209302325581</v>
      </c>
      <c r="F16637" s="1">
        <v>9.9217062634989195E-3</v>
      </c>
    </row>
    <row r="16638" spans="1:6" x14ac:dyDescent="0.25">
      <c r="A16638" s="2" t="str">
        <f t="shared" si="602"/>
        <v>43500</v>
      </c>
      <c r="B16638" s="2" t="str">
        <f>"88061"</f>
        <v>88061</v>
      </c>
      <c r="C16638" s="1">
        <v>0.658041093774138</v>
      </c>
      <c r="D16638" s="1">
        <v>0.70642978003384005</v>
      </c>
      <c r="E16638" s="1">
        <v>0.42296511627906902</v>
      </c>
      <c r="F16638" s="1">
        <v>0.65098542116630598</v>
      </c>
    </row>
    <row r="16639" spans="1:6" x14ac:dyDescent="0.25">
      <c r="A16639" s="2" t="str">
        <f t="shared" si="602"/>
        <v>43500</v>
      </c>
      <c r="B16639" s="2" t="str">
        <f>"88034"</f>
        <v>88034</v>
      </c>
      <c r="C16639" s="1">
        <v>2.3173180905298901E-3</v>
      </c>
      <c r="D16639" s="1">
        <v>1.6920473773265601E-3</v>
      </c>
      <c r="E16639" s="1">
        <v>0</v>
      </c>
      <c r="F16639" s="1">
        <v>2.15982721382289E-3</v>
      </c>
    </row>
    <row r="16640" spans="1:6" x14ac:dyDescent="0.25">
      <c r="A16640" s="2" t="str">
        <f t="shared" si="602"/>
        <v>43500</v>
      </c>
      <c r="B16640" s="2" t="str">
        <f>"88023"</f>
        <v>88023</v>
      </c>
      <c r="C16640" s="1">
        <v>3.0279623049590601E-2</v>
      </c>
      <c r="D16640" s="1">
        <v>1.6920473773265599E-2</v>
      </c>
      <c r="E16640" s="1">
        <v>3.3430232558139497E-2</v>
      </c>
      <c r="F16640" s="1">
        <v>2.9360151187904901E-2</v>
      </c>
    </row>
    <row r="16641" spans="1:6" x14ac:dyDescent="0.25">
      <c r="A16641" s="2" t="str">
        <f t="shared" si="602"/>
        <v>43500</v>
      </c>
      <c r="B16641" s="2" t="str">
        <f>"88028"</f>
        <v>88028</v>
      </c>
      <c r="C16641" s="1">
        <v>0</v>
      </c>
      <c r="D16641" s="1">
        <v>8.46023688663282E-4</v>
      </c>
      <c r="E16641" s="1">
        <v>0.15116279069767399</v>
      </c>
      <c r="F16641" s="1">
        <v>7.0869330453563698E-3</v>
      </c>
    </row>
    <row r="16642" spans="1:6" x14ac:dyDescent="0.25">
      <c r="A16642" s="2" t="str">
        <f t="shared" si="602"/>
        <v>43500</v>
      </c>
      <c r="B16642" s="2" t="str">
        <f>"88040"</f>
        <v>88040</v>
      </c>
      <c r="C16642" s="1">
        <v>0</v>
      </c>
      <c r="D16642" s="1">
        <v>8.46023688663282E-4</v>
      </c>
      <c r="E16642" s="1">
        <v>0</v>
      </c>
      <c r="F16642" s="1">
        <v>6.7494600431965406E-5</v>
      </c>
    </row>
    <row r="16643" spans="1:6" x14ac:dyDescent="0.25">
      <c r="A16643" s="2" t="str">
        <f t="shared" si="602"/>
        <v>43500</v>
      </c>
      <c r="B16643" s="2" t="str">
        <f>"87821"</f>
        <v>87821</v>
      </c>
      <c r="C16643" s="1">
        <v>3.8621968175498199E-4</v>
      </c>
      <c r="D16643" s="1">
        <v>0</v>
      </c>
      <c r="E16643" s="1">
        <v>0</v>
      </c>
      <c r="F16643" s="1">
        <v>3.3747300215982698E-4</v>
      </c>
    </row>
    <row r="16644" spans="1:6" x14ac:dyDescent="0.25">
      <c r="A16644" s="2" t="str">
        <f t="shared" si="602"/>
        <v>43500</v>
      </c>
      <c r="B16644" s="2" t="str">
        <f>"88053"</f>
        <v>88053</v>
      </c>
      <c r="C16644" s="1">
        <v>7.0291982079406703E-3</v>
      </c>
      <c r="D16644" s="1">
        <v>8.46023688663282E-4</v>
      </c>
      <c r="E16644" s="1">
        <v>5.8139534883720903E-3</v>
      </c>
      <c r="F16644" s="1">
        <v>6.4794816414686799E-3</v>
      </c>
    </row>
    <row r="16645" spans="1:6" x14ac:dyDescent="0.25">
      <c r="A16645" s="2" t="str">
        <f t="shared" si="602"/>
        <v>43500</v>
      </c>
      <c r="B16645" s="2" t="str">
        <f>"88038"</f>
        <v>88038</v>
      </c>
      <c r="C16645" s="1">
        <v>0</v>
      </c>
      <c r="D16645" s="1">
        <v>8.46023688663282E-4</v>
      </c>
      <c r="E16645" s="1">
        <v>0</v>
      </c>
      <c r="F16645" s="1">
        <v>6.7494600431965406E-5</v>
      </c>
    </row>
    <row r="16646" spans="1:6" x14ac:dyDescent="0.25">
      <c r="A16646" s="2" t="str">
        <f t="shared" si="602"/>
        <v>43500</v>
      </c>
      <c r="B16646" s="2" t="str">
        <f>"88051"</f>
        <v>88051</v>
      </c>
      <c r="C16646" s="1">
        <v>0</v>
      </c>
      <c r="D16646" s="1">
        <v>8.46023688663282E-4</v>
      </c>
      <c r="E16646" s="1">
        <v>0</v>
      </c>
      <c r="F16646" s="1">
        <v>6.7494600431965406E-5</v>
      </c>
    </row>
    <row r="16647" spans="1:6" x14ac:dyDescent="0.25">
      <c r="A16647" s="2" t="str">
        <f t="shared" si="602"/>
        <v>43500</v>
      </c>
      <c r="B16647" s="2" t="str">
        <f>"88036"</f>
        <v>88036</v>
      </c>
      <c r="C16647" s="1">
        <v>0</v>
      </c>
      <c r="D16647" s="1">
        <v>8.46023688663282E-4</v>
      </c>
      <c r="E16647" s="1">
        <v>0</v>
      </c>
      <c r="F16647" s="1">
        <v>6.7494600431965406E-5</v>
      </c>
    </row>
    <row r="16648" spans="1:6" x14ac:dyDescent="0.25">
      <c r="A16648" s="2" t="str">
        <f t="shared" si="602"/>
        <v>43500</v>
      </c>
      <c r="B16648" s="2" t="str">
        <f>"88026"</f>
        <v>88026</v>
      </c>
      <c r="C16648" s="1">
        <v>0</v>
      </c>
      <c r="D16648" s="1">
        <v>8.46023688663282E-4</v>
      </c>
      <c r="E16648" s="1">
        <v>9.4476744186046499E-2</v>
      </c>
      <c r="F16648" s="1">
        <v>4.4546436285097099E-3</v>
      </c>
    </row>
    <row r="16649" spans="1:6" x14ac:dyDescent="0.25">
      <c r="A16649" s="2" t="str">
        <f t="shared" ref="A16649:A16680" si="603">"24020"</f>
        <v>24020</v>
      </c>
      <c r="B16649" s="2" t="str">
        <f>"12844"</f>
        <v>12844</v>
      </c>
      <c r="C16649" s="1">
        <v>1.95137555982085E-3</v>
      </c>
      <c r="D16649" s="1">
        <v>1.0358400662937601E-3</v>
      </c>
      <c r="E16649" s="1">
        <v>3.5448422545196701E-4</v>
      </c>
      <c r="F16649" s="1">
        <v>1.8241933644966299E-3</v>
      </c>
    </row>
    <row r="16650" spans="1:6" x14ac:dyDescent="0.25">
      <c r="A16650" s="2" t="str">
        <f t="shared" si="603"/>
        <v>24020</v>
      </c>
      <c r="B16650" s="2" t="str">
        <f>"12883"</f>
        <v>12883</v>
      </c>
      <c r="C16650" s="1">
        <v>9.4369801663467603E-4</v>
      </c>
      <c r="D16650" s="1">
        <v>0</v>
      </c>
      <c r="E16650" s="1">
        <v>0</v>
      </c>
      <c r="F16650" s="1">
        <v>8.4083912894766799E-4</v>
      </c>
    </row>
    <row r="16651" spans="1:6" x14ac:dyDescent="0.25">
      <c r="A16651" s="2" t="str">
        <f t="shared" si="603"/>
        <v>24020</v>
      </c>
      <c r="B16651" s="2" t="str">
        <f>"12801"</f>
        <v>12801</v>
      </c>
      <c r="C16651" s="1">
        <v>0.141890595009596</v>
      </c>
      <c r="D16651" s="1">
        <v>0.27967681789931598</v>
      </c>
      <c r="E16651" s="1">
        <v>0.28961361219425702</v>
      </c>
      <c r="F16651" s="1">
        <v>0.15730817466651401</v>
      </c>
    </row>
    <row r="16652" spans="1:6" x14ac:dyDescent="0.25">
      <c r="A16652" s="2" t="str">
        <f t="shared" si="603"/>
        <v>24020</v>
      </c>
      <c r="B16652" s="2" t="str">
        <f>"12811"</f>
        <v>12811</v>
      </c>
      <c r="C16652" s="1">
        <v>1.4395393474088199E-3</v>
      </c>
      <c r="D16652" s="1">
        <v>0</v>
      </c>
      <c r="E16652" s="1">
        <v>3.5448422545196701E-4</v>
      </c>
      <c r="F16652" s="1">
        <v>1.2968874700718201E-3</v>
      </c>
    </row>
    <row r="16653" spans="1:6" x14ac:dyDescent="0.25">
      <c r="A16653" s="2" t="str">
        <f t="shared" si="603"/>
        <v>24020</v>
      </c>
      <c r="B16653" s="2" t="str">
        <f>"12817"</f>
        <v>12817</v>
      </c>
      <c r="C16653" s="1">
        <v>1.5339091490722901E-2</v>
      </c>
      <c r="D16653" s="1">
        <v>4.9720323182100602E-3</v>
      </c>
      <c r="E16653" s="1">
        <v>1.7369727047146399E-2</v>
      </c>
      <c r="F16653" s="1">
        <v>1.47075590012541E-2</v>
      </c>
    </row>
    <row r="16654" spans="1:6" x14ac:dyDescent="0.25">
      <c r="A16654" s="2" t="str">
        <f t="shared" si="603"/>
        <v>24020</v>
      </c>
      <c r="B16654" s="2" t="str">
        <f>"12094"</f>
        <v>12094</v>
      </c>
      <c r="C16654" s="1">
        <v>9.7568777991042805E-4</v>
      </c>
      <c r="D16654" s="1">
        <v>0</v>
      </c>
      <c r="E16654" s="1">
        <v>0</v>
      </c>
      <c r="F16654" s="1">
        <v>8.6934215026792804E-4</v>
      </c>
    </row>
    <row r="16655" spans="1:6" x14ac:dyDescent="0.25">
      <c r="A16655" s="2" t="str">
        <f t="shared" si="603"/>
        <v>24020</v>
      </c>
      <c r="B16655" s="2" t="str">
        <f>"12154"</f>
        <v>12154</v>
      </c>
      <c r="C16655" s="1">
        <v>3.7108125399871999E-3</v>
      </c>
      <c r="D16655" s="1">
        <v>1.86451211932877E-3</v>
      </c>
      <c r="E16655" s="1">
        <v>0</v>
      </c>
      <c r="F16655" s="1">
        <v>3.4346140690913198E-3</v>
      </c>
    </row>
    <row r="16656" spans="1:6" x14ac:dyDescent="0.25">
      <c r="A16656" s="2" t="str">
        <f t="shared" si="603"/>
        <v>24020</v>
      </c>
      <c r="B16656" s="2" t="str">
        <f>"12841"</f>
        <v>12841</v>
      </c>
      <c r="C16656" s="1">
        <v>3.5668586052463201E-3</v>
      </c>
      <c r="D16656" s="1">
        <v>0</v>
      </c>
      <c r="E16656" s="1">
        <v>3.5448422545196701E-4</v>
      </c>
      <c r="F16656" s="1">
        <v>3.19233838786911E-3</v>
      </c>
    </row>
    <row r="16657" spans="1:6" x14ac:dyDescent="0.25">
      <c r="A16657" s="2" t="str">
        <f t="shared" si="603"/>
        <v>24020</v>
      </c>
      <c r="B16657" s="2" t="str">
        <f>"12887"</f>
        <v>12887</v>
      </c>
      <c r="C16657" s="1">
        <v>3.8803582853486798E-2</v>
      </c>
      <c r="D16657" s="1">
        <v>3.1282370002071597E-2</v>
      </c>
      <c r="E16657" s="1">
        <v>3.7220843672456497E-2</v>
      </c>
      <c r="F16657" s="1">
        <v>3.8222551590468501E-2</v>
      </c>
    </row>
    <row r="16658" spans="1:6" x14ac:dyDescent="0.25">
      <c r="A16658" s="2" t="str">
        <f t="shared" si="603"/>
        <v>24020</v>
      </c>
      <c r="B16658" s="2" t="str">
        <f>"12837"</f>
        <v>12837</v>
      </c>
      <c r="C16658" s="1">
        <v>5.2943058221369098E-3</v>
      </c>
      <c r="D16658" s="1">
        <v>6.2150403977625796E-4</v>
      </c>
      <c r="E16658" s="1">
        <v>1.77242112725983E-3</v>
      </c>
      <c r="F16658" s="1">
        <v>4.8312621137840597E-3</v>
      </c>
    </row>
    <row r="16659" spans="1:6" x14ac:dyDescent="0.25">
      <c r="A16659" s="2" t="str">
        <f t="shared" si="603"/>
        <v>24020</v>
      </c>
      <c r="B16659" s="2" t="str">
        <f>"12832"</f>
        <v>12832</v>
      </c>
      <c r="C16659" s="1">
        <v>4.7584772872680703E-2</v>
      </c>
      <c r="D16659" s="1">
        <v>3.8740418479386703E-2</v>
      </c>
      <c r="E16659" s="1">
        <v>4.8918823112371397E-2</v>
      </c>
      <c r="F16659" s="1">
        <v>4.70299851784289E-2</v>
      </c>
    </row>
    <row r="16660" spans="1:6" x14ac:dyDescent="0.25">
      <c r="A16660" s="2" t="str">
        <f t="shared" si="603"/>
        <v>24020</v>
      </c>
      <c r="B16660" s="2" t="str">
        <f>"12828"</f>
        <v>12828</v>
      </c>
      <c r="C16660" s="1">
        <v>4.0083173384516897E-2</v>
      </c>
      <c r="D16660" s="1">
        <v>2.9625025896001599E-2</v>
      </c>
      <c r="E16660" s="1">
        <v>3.7220843672456497E-2</v>
      </c>
      <c r="F16660" s="1">
        <v>3.92486603579979E-2</v>
      </c>
    </row>
    <row r="16661" spans="1:6" x14ac:dyDescent="0.25">
      <c r="A16661" s="2" t="str">
        <f t="shared" si="603"/>
        <v>24020</v>
      </c>
      <c r="B16661" s="2" t="str">
        <f>"12804"</f>
        <v>12804</v>
      </c>
      <c r="C16661" s="1">
        <v>0.21119641714651299</v>
      </c>
      <c r="D16661" s="1">
        <v>0.25046612802983198</v>
      </c>
      <c r="E16661" s="1">
        <v>0.155618574973413</v>
      </c>
      <c r="F16661" s="1">
        <v>0.21166343632425</v>
      </c>
    </row>
    <row r="16662" spans="1:6" x14ac:dyDescent="0.25">
      <c r="A16662" s="2" t="str">
        <f t="shared" si="603"/>
        <v>24020</v>
      </c>
      <c r="B16662" s="2" t="str">
        <f>"12028"</f>
        <v>12028</v>
      </c>
      <c r="C16662" s="1">
        <v>3.5028790786948102E-3</v>
      </c>
      <c r="D16662" s="1">
        <v>4.14336026517505E-4</v>
      </c>
      <c r="E16662" s="1">
        <v>7.0896845090393402E-4</v>
      </c>
      <c r="F16662" s="1">
        <v>3.17808687720898E-3</v>
      </c>
    </row>
    <row r="16663" spans="1:6" x14ac:dyDescent="0.25">
      <c r="A16663" s="2" t="str">
        <f t="shared" si="603"/>
        <v>24020</v>
      </c>
      <c r="B16663" s="2" t="str">
        <f>"12848"</f>
        <v>12848</v>
      </c>
      <c r="C16663" s="1">
        <v>0</v>
      </c>
      <c r="D16663" s="1">
        <v>0</v>
      </c>
      <c r="E16663" s="1">
        <v>3.5448422545196701E-4</v>
      </c>
      <c r="F16663" s="1">
        <v>1.4251510660129899E-5</v>
      </c>
    </row>
    <row r="16664" spans="1:6" x14ac:dyDescent="0.25">
      <c r="A16664" s="2" t="str">
        <f t="shared" si="603"/>
        <v>24020</v>
      </c>
      <c r="B16664" s="2" t="str">
        <f>"12862"</f>
        <v>12862</v>
      </c>
      <c r="C16664" s="1">
        <v>7.6775431861804205E-4</v>
      </c>
      <c r="D16664" s="1">
        <v>0</v>
      </c>
      <c r="E16664" s="1">
        <v>3.5448422545196701E-4</v>
      </c>
      <c r="F16664" s="1">
        <v>6.9832402234636798E-4</v>
      </c>
    </row>
    <row r="16665" spans="1:6" x14ac:dyDescent="0.25">
      <c r="A16665" s="2" t="str">
        <f t="shared" si="603"/>
        <v>24020</v>
      </c>
      <c r="B16665" s="2" t="str">
        <f>"12865"</f>
        <v>12865</v>
      </c>
      <c r="C16665" s="1">
        <v>2.39123480486244E-2</v>
      </c>
      <c r="D16665" s="1">
        <v>4.7648643049513096E-3</v>
      </c>
      <c r="E16665" s="1">
        <v>4.60829493087557E-3</v>
      </c>
      <c r="F16665" s="1">
        <v>2.1819062820658899E-2</v>
      </c>
    </row>
    <row r="16666" spans="1:6" x14ac:dyDescent="0.25">
      <c r="A16666" s="2" t="str">
        <f t="shared" si="603"/>
        <v>24020</v>
      </c>
      <c r="B16666" s="2" t="str">
        <f>"12846"</f>
        <v>12846</v>
      </c>
      <c r="C16666" s="1">
        <v>2.5191938579654499E-2</v>
      </c>
      <c r="D16666" s="1">
        <v>5.1792003314688204E-3</v>
      </c>
      <c r="E16666" s="1">
        <v>1.1343495214462899E-2</v>
      </c>
      <c r="F16666" s="1">
        <v>2.32584653973321E-2</v>
      </c>
    </row>
    <row r="16667" spans="1:6" x14ac:dyDescent="0.25">
      <c r="A16667" s="2" t="str">
        <f t="shared" si="603"/>
        <v>24020</v>
      </c>
      <c r="B16667" s="2" t="str">
        <f>"12843"</f>
        <v>12843</v>
      </c>
      <c r="C16667" s="1">
        <v>5.0543825975687701E-3</v>
      </c>
      <c r="D16667" s="1">
        <v>0</v>
      </c>
      <c r="E16667" s="1">
        <v>3.5448422545196701E-4</v>
      </c>
      <c r="F16667" s="1">
        <v>4.5177288792611998E-3</v>
      </c>
    </row>
    <row r="16668" spans="1:6" x14ac:dyDescent="0.25">
      <c r="A16668" s="2" t="str">
        <f t="shared" si="603"/>
        <v>24020</v>
      </c>
      <c r="B16668" s="2" t="str">
        <f>"12834"</f>
        <v>12834</v>
      </c>
      <c r="C16668" s="1">
        <v>4.5777351247600698E-2</v>
      </c>
      <c r="D16668" s="1">
        <v>4.4541122850631797E-2</v>
      </c>
      <c r="E16668" s="1">
        <v>3.58029067706487E-2</v>
      </c>
      <c r="F16668" s="1">
        <v>4.5291300877893001E-2</v>
      </c>
    </row>
    <row r="16669" spans="1:6" x14ac:dyDescent="0.25">
      <c r="A16669" s="2" t="str">
        <f t="shared" si="603"/>
        <v>24020</v>
      </c>
      <c r="B16669" s="2" t="str">
        <f>"12827"</f>
        <v>12827</v>
      </c>
      <c r="C16669" s="1">
        <v>2.6855406269993599E-2</v>
      </c>
      <c r="D16669" s="1">
        <v>7.6652164905738496E-3</v>
      </c>
      <c r="E16669" s="1">
        <v>8.5076214108472104E-3</v>
      </c>
      <c r="F16669" s="1">
        <v>2.4797628548626102E-2</v>
      </c>
    </row>
    <row r="16670" spans="1:6" x14ac:dyDescent="0.25">
      <c r="A16670" s="2" t="str">
        <f t="shared" si="603"/>
        <v>24020</v>
      </c>
      <c r="B16670" s="2" t="str">
        <f>"12815"</f>
        <v>12815</v>
      </c>
      <c r="C16670" s="1">
        <v>1.03486884197056E-2</v>
      </c>
      <c r="D16670" s="1">
        <v>3.5218562253987902E-3</v>
      </c>
      <c r="E16670" s="1">
        <v>1.0634526763559E-3</v>
      </c>
      <c r="F16670" s="1">
        <v>9.5057576103066907E-3</v>
      </c>
    </row>
    <row r="16671" spans="1:6" x14ac:dyDescent="0.25">
      <c r="A16671" s="2" t="str">
        <f t="shared" si="603"/>
        <v>24020</v>
      </c>
      <c r="B16671" s="2" t="str">
        <f>"12839"</f>
        <v>12839</v>
      </c>
      <c r="C16671" s="1">
        <v>9.6721049264235401E-2</v>
      </c>
      <c r="D16671" s="1">
        <v>7.2715972653822195E-2</v>
      </c>
      <c r="E16671" s="1">
        <v>0.178660049627791</v>
      </c>
      <c r="F16671" s="1">
        <v>9.8363926576216995E-2</v>
      </c>
    </row>
    <row r="16672" spans="1:6" x14ac:dyDescent="0.25">
      <c r="A16672" s="2" t="str">
        <f t="shared" si="603"/>
        <v>24020</v>
      </c>
      <c r="B16672" s="2" t="str">
        <f>"12856"</f>
        <v>12856</v>
      </c>
      <c r="C16672" s="1">
        <v>2.8470889315418998E-3</v>
      </c>
      <c r="D16672" s="1">
        <v>2.0716801325875201E-4</v>
      </c>
      <c r="E16672" s="1">
        <v>3.5448422545196701E-4</v>
      </c>
      <c r="F16672" s="1">
        <v>2.5652719188233898E-3</v>
      </c>
    </row>
    <row r="16673" spans="1:6" x14ac:dyDescent="0.25">
      <c r="A16673" s="2" t="str">
        <f t="shared" si="603"/>
        <v>24020</v>
      </c>
      <c r="B16673" s="2" t="str">
        <f>"12873"</f>
        <v>12873</v>
      </c>
      <c r="C16673" s="1">
        <v>6.5419065898912297E-3</v>
      </c>
      <c r="D16673" s="1">
        <v>8.2867205303501098E-4</v>
      </c>
      <c r="E16673" s="1">
        <v>7.0896845090393402E-4</v>
      </c>
      <c r="F16673" s="1">
        <v>5.9143769239539297E-3</v>
      </c>
    </row>
    <row r="16674" spans="1:6" x14ac:dyDescent="0.25">
      <c r="A16674" s="2" t="str">
        <f t="shared" si="603"/>
        <v>24020</v>
      </c>
      <c r="B16674" s="2" t="str">
        <f>"12819"</f>
        <v>12819</v>
      </c>
      <c r="C16674" s="1">
        <v>2.9270633397312801E-3</v>
      </c>
      <c r="D16674" s="1">
        <v>2.0716801325875201E-4</v>
      </c>
      <c r="E16674" s="1">
        <v>1.77242112725983E-3</v>
      </c>
      <c r="F16674" s="1">
        <v>2.6935355147645599E-3</v>
      </c>
    </row>
    <row r="16675" spans="1:6" x14ac:dyDescent="0.25">
      <c r="A16675" s="2" t="str">
        <f t="shared" si="603"/>
        <v>24020</v>
      </c>
      <c r="B16675" s="2" t="str">
        <f>"12836"</f>
        <v>12836</v>
      </c>
      <c r="C16675" s="1">
        <v>6.2060140754958398E-3</v>
      </c>
      <c r="D16675" s="1">
        <v>2.4860161591050301E-3</v>
      </c>
      <c r="E16675" s="1">
        <v>3.5448422545196701E-4</v>
      </c>
      <c r="F16675" s="1">
        <v>5.71485577471211E-3</v>
      </c>
    </row>
    <row r="16676" spans="1:6" x14ac:dyDescent="0.25">
      <c r="A16676" s="2" t="str">
        <f t="shared" si="603"/>
        <v>24020</v>
      </c>
      <c r="B16676" s="2" t="str">
        <f>"12185"</f>
        <v>12185</v>
      </c>
      <c r="C16676" s="1">
        <v>1.5994881637875801E-3</v>
      </c>
      <c r="D16676" s="1">
        <v>2.6931841723637799E-3</v>
      </c>
      <c r="E16676" s="1">
        <v>0</v>
      </c>
      <c r="F16676" s="1">
        <v>1.6104207045946799E-3</v>
      </c>
    </row>
    <row r="16677" spans="1:6" x14ac:dyDescent="0.25">
      <c r="A16677" s="2" t="str">
        <f t="shared" si="603"/>
        <v>24020</v>
      </c>
      <c r="B16677" s="2" t="str">
        <f>"12885"</f>
        <v>12885</v>
      </c>
      <c r="C16677" s="1">
        <v>3.70121561100447E-2</v>
      </c>
      <c r="D16677" s="1">
        <v>4.0397762585456798E-2</v>
      </c>
      <c r="E16677" s="1">
        <v>4.75008862105636E-2</v>
      </c>
      <c r="F16677" s="1">
        <v>3.7666742674723502E-2</v>
      </c>
    </row>
    <row r="16678" spans="1:6" x14ac:dyDescent="0.25">
      <c r="A16678" s="2" t="str">
        <f t="shared" si="603"/>
        <v>24020</v>
      </c>
      <c r="B16678" s="2" t="str">
        <f>"12870"</f>
        <v>12870</v>
      </c>
      <c r="C16678" s="1">
        <v>1.5994881637875801E-4</v>
      </c>
      <c r="D16678" s="1">
        <v>0</v>
      </c>
      <c r="E16678" s="1">
        <v>0</v>
      </c>
      <c r="F16678" s="1">
        <v>1.4251510660129901E-4</v>
      </c>
    </row>
    <row r="16679" spans="1:6" x14ac:dyDescent="0.25">
      <c r="A16679" s="2" t="str">
        <f t="shared" si="603"/>
        <v>24020</v>
      </c>
      <c r="B16679" s="2" t="str">
        <f>"12861"</f>
        <v>12861</v>
      </c>
      <c r="C16679" s="1">
        <v>7.2296865003198896E-3</v>
      </c>
      <c r="D16679" s="1">
        <v>2.0716801325875201E-4</v>
      </c>
      <c r="E16679" s="1">
        <v>3.5448422545196701E-4</v>
      </c>
      <c r="F16679" s="1">
        <v>6.4701858396990003E-3</v>
      </c>
    </row>
    <row r="16680" spans="1:6" x14ac:dyDescent="0.25">
      <c r="A16680" s="2" t="str">
        <f t="shared" si="603"/>
        <v>24020</v>
      </c>
      <c r="B16680" s="2" t="str">
        <f>"12838"</f>
        <v>12838</v>
      </c>
      <c r="C16680" s="1">
        <v>3.4708893154190598E-3</v>
      </c>
      <c r="D16680" s="1">
        <v>0</v>
      </c>
      <c r="E16680" s="1">
        <v>4.60829493087557E-3</v>
      </c>
      <c r="F16680" s="1">
        <v>3.2778474518298899E-3</v>
      </c>
    </row>
    <row r="16681" spans="1:6" x14ac:dyDescent="0.25">
      <c r="A16681" s="2" t="str">
        <f t="shared" ref="A16681:A16701" si="604">"24020"</f>
        <v>24020</v>
      </c>
      <c r="B16681" s="2" t="str">
        <f>"12824"</f>
        <v>12824</v>
      </c>
      <c r="C16681" s="1">
        <v>6.7338451695457399E-3</v>
      </c>
      <c r="D16681" s="1">
        <v>2.9003521856225301E-3</v>
      </c>
      <c r="E16681" s="1">
        <v>7.0896845090393402E-4</v>
      </c>
      <c r="F16681" s="1">
        <v>6.2279101584767904E-3</v>
      </c>
    </row>
    <row r="16682" spans="1:6" x14ac:dyDescent="0.25">
      <c r="A16682" s="2" t="str">
        <f t="shared" si="604"/>
        <v>24020</v>
      </c>
      <c r="B16682" s="2" t="str">
        <f>"12816"</f>
        <v>12816</v>
      </c>
      <c r="C16682" s="1">
        <v>3.5108765195137497E-2</v>
      </c>
      <c r="D16682" s="1">
        <v>3.56328982805054E-2</v>
      </c>
      <c r="E16682" s="1">
        <v>3.6157390996100602E-2</v>
      </c>
      <c r="F16682" s="1">
        <v>3.5186979819860902E-2</v>
      </c>
    </row>
    <row r="16683" spans="1:6" x14ac:dyDescent="0.25">
      <c r="A16683" s="2" t="str">
        <f t="shared" si="604"/>
        <v>24020</v>
      </c>
      <c r="B16683" s="2" t="str">
        <f>"12809"</f>
        <v>12809</v>
      </c>
      <c r="C16683" s="1">
        <v>2.5207933461292301E-2</v>
      </c>
      <c r="D16683" s="1">
        <v>3.9361922519163001E-3</v>
      </c>
      <c r="E16683" s="1">
        <v>7.0896845090393399E-3</v>
      </c>
      <c r="F16683" s="1">
        <v>2.30161897161099E-2</v>
      </c>
    </row>
    <row r="16684" spans="1:6" x14ac:dyDescent="0.25">
      <c r="A16684" s="2" t="str">
        <f t="shared" si="604"/>
        <v>24020</v>
      </c>
      <c r="B16684" s="2" t="str">
        <f>"12878"</f>
        <v>12878</v>
      </c>
      <c r="C16684" s="1">
        <v>5.13435700575815E-3</v>
      </c>
      <c r="D16684" s="1">
        <v>1.45017609281126E-3</v>
      </c>
      <c r="E16684" s="1">
        <v>2.1269053527118E-3</v>
      </c>
      <c r="F16684" s="1">
        <v>4.7600045604834097E-3</v>
      </c>
    </row>
    <row r="16685" spans="1:6" x14ac:dyDescent="0.25">
      <c r="A16685" s="2" t="str">
        <f t="shared" si="604"/>
        <v>24020</v>
      </c>
      <c r="B16685" s="2" t="str">
        <f>"12874"</f>
        <v>12874</v>
      </c>
      <c r="C16685" s="1">
        <v>1.9833653230966002E-3</v>
      </c>
      <c r="D16685" s="1">
        <v>1.65734410607002E-3</v>
      </c>
      <c r="E16685" s="1">
        <v>3.5448422545196701E-4</v>
      </c>
      <c r="F16685" s="1">
        <v>1.8954509177972799E-3</v>
      </c>
    </row>
    <row r="16686" spans="1:6" x14ac:dyDescent="0.25">
      <c r="A16686" s="2" t="str">
        <f t="shared" si="604"/>
        <v>24020</v>
      </c>
      <c r="B16686" s="2" t="str">
        <f>"12854"</f>
        <v>12854</v>
      </c>
      <c r="C16686" s="1">
        <v>4.4785668586052398E-4</v>
      </c>
      <c r="D16686" s="1">
        <v>0</v>
      </c>
      <c r="E16686" s="1">
        <v>3.5448422545196701E-4</v>
      </c>
      <c r="F16686" s="1">
        <v>4.1329380914376898E-4</v>
      </c>
    </row>
    <row r="16687" spans="1:6" x14ac:dyDescent="0.25">
      <c r="A16687" s="2" t="str">
        <f t="shared" si="604"/>
        <v>24020</v>
      </c>
      <c r="B16687" s="2" t="str">
        <f>"12860"</f>
        <v>12860</v>
      </c>
      <c r="C16687" s="1">
        <v>3.2789507357645501E-3</v>
      </c>
      <c r="D16687" s="1">
        <v>2.0716801325875202E-3</v>
      </c>
      <c r="E16687" s="1">
        <v>3.5448422545196701E-4</v>
      </c>
      <c r="F16687" s="1">
        <v>3.0783263025880702E-3</v>
      </c>
    </row>
    <row r="16688" spans="1:6" x14ac:dyDescent="0.25">
      <c r="A16688" s="2" t="str">
        <f t="shared" si="604"/>
        <v>24020</v>
      </c>
      <c r="B16688" s="2" t="str">
        <f>"12803"</f>
        <v>12803</v>
      </c>
      <c r="C16688" s="1">
        <v>7.4056301983365302E-3</v>
      </c>
      <c r="D16688" s="1">
        <v>1.22229127822664E-2</v>
      </c>
      <c r="E16688" s="1">
        <v>3.5448422545196701E-4</v>
      </c>
      <c r="F16688" s="1">
        <v>7.45354007524797E-3</v>
      </c>
    </row>
    <row r="16689" spans="1:6" x14ac:dyDescent="0.25">
      <c r="A16689" s="2" t="str">
        <f t="shared" si="604"/>
        <v>24020</v>
      </c>
      <c r="B16689" s="2" t="str">
        <f>"12808"</f>
        <v>12808</v>
      </c>
      <c r="C16689" s="1">
        <v>3.5508637236084401E-3</v>
      </c>
      <c r="D16689" s="1">
        <v>1.0358400662937601E-3</v>
      </c>
      <c r="E16689" s="1">
        <v>3.5448422545196701E-4</v>
      </c>
      <c r="F16689" s="1">
        <v>3.24934443050963E-3</v>
      </c>
    </row>
    <row r="16690" spans="1:6" x14ac:dyDescent="0.25">
      <c r="A16690" s="2" t="str">
        <f t="shared" si="604"/>
        <v>24020</v>
      </c>
      <c r="B16690" s="2" t="str">
        <f>"12810"</f>
        <v>12810</v>
      </c>
      <c r="C16690" s="1">
        <v>4.6705054382597498E-3</v>
      </c>
      <c r="D16690" s="1">
        <v>4.14336026517505E-4</v>
      </c>
      <c r="E16690" s="1">
        <v>1.0634526763559E-3</v>
      </c>
      <c r="F16690" s="1">
        <v>4.2326986660585998E-3</v>
      </c>
    </row>
    <row r="16691" spans="1:6" x14ac:dyDescent="0.25">
      <c r="A16691" s="2" t="str">
        <f t="shared" si="604"/>
        <v>24020</v>
      </c>
      <c r="B16691" s="2" t="str">
        <f>"12090"</f>
        <v>12090</v>
      </c>
      <c r="C16691" s="1">
        <v>7.1976967370441397E-4</v>
      </c>
      <c r="D16691" s="1">
        <v>8.2867205303501098E-4</v>
      </c>
      <c r="E16691" s="1">
        <v>3.5448422545196701E-4</v>
      </c>
      <c r="F16691" s="1">
        <v>7.12575533006498E-4</v>
      </c>
    </row>
    <row r="16692" spans="1:6" x14ac:dyDescent="0.25">
      <c r="A16692" s="2" t="str">
        <f t="shared" si="604"/>
        <v>24020</v>
      </c>
      <c r="B16692" s="2" t="str">
        <f>"12849"</f>
        <v>12849</v>
      </c>
      <c r="C16692" s="1">
        <v>2.0313499680102301E-3</v>
      </c>
      <c r="D16692" s="1">
        <v>1.65734410607002E-3</v>
      </c>
      <c r="E16692" s="1">
        <v>1.0634526763559E-3</v>
      </c>
      <c r="F16692" s="1">
        <v>1.9667084710979299E-3</v>
      </c>
    </row>
    <row r="16693" spans="1:6" x14ac:dyDescent="0.25">
      <c r="A16693" s="2" t="str">
        <f t="shared" si="604"/>
        <v>24020</v>
      </c>
      <c r="B16693" s="2" t="str">
        <f>"12820"</f>
        <v>12820</v>
      </c>
      <c r="C16693" s="1">
        <v>0</v>
      </c>
      <c r="D16693" s="1">
        <v>0</v>
      </c>
      <c r="E16693" s="1">
        <v>3.5448422545196701E-4</v>
      </c>
      <c r="F16693" s="1">
        <v>1.4251510660129899E-5</v>
      </c>
    </row>
    <row r="16694" spans="1:6" x14ac:dyDescent="0.25">
      <c r="A16694" s="2" t="str">
        <f t="shared" si="604"/>
        <v>24020</v>
      </c>
      <c r="B16694" s="2" t="str">
        <f>"12057"</f>
        <v>12057</v>
      </c>
      <c r="C16694" s="1">
        <v>9.2930262316058797E-3</v>
      </c>
      <c r="D16694" s="1">
        <v>3.5218562253987902E-3</v>
      </c>
      <c r="E16694" s="1">
        <v>7.0896845090393402E-4</v>
      </c>
      <c r="F16694" s="1">
        <v>8.5509063960779799E-3</v>
      </c>
    </row>
    <row r="16695" spans="1:6" x14ac:dyDescent="0.25">
      <c r="A16695" s="2" t="str">
        <f t="shared" si="604"/>
        <v>24020</v>
      </c>
      <c r="B16695" s="2" t="str">
        <f>"12857"</f>
        <v>12857</v>
      </c>
      <c r="C16695" s="1">
        <v>4.6385156749839999E-4</v>
      </c>
      <c r="D16695" s="1">
        <v>0</v>
      </c>
      <c r="E16695" s="1">
        <v>0</v>
      </c>
      <c r="F16695" s="1">
        <v>4.1329380914376898E-4</v>
      </c>
    </row>
    <row r="16696" spans="1:6" x14ac:dyDescent="0.25">
      <c r="A16696" s="2" t="str">
        <f t="shared" si="604"/>
        <v>24020</v>
      </c>
      <c r="B16696" s="2" t="str">
        <f>"12886"</f>
        <v>12886</v>
      </c>
      <c r="C16696" s="1">
        <v>5.9181062060140698E-4</v>
      </c>
      <c r="D16696" s="1">
        <v>4.14336026517505E-4</v>
      </c>
      <c r="E16696" s="1">
        <v>3.5448422545196701E-4</v>
      </c>
      <c r="F16696" s="1">
        <v>5.7006042640519799E-4</v>
      </c>
    </row>
    <row r="16697" spans="1:6" x14ac:dyDescent="0.25">
      <c r="A16697" s="2" t="str">
        <f t="shared" si="604"/>
        <v>24020</v>
      </c>
      <c r="B16697" s="2" t="str">
        <f>"12853"</f>
        <v>12853</v>
      </c>
      <c r="C16697" s="1">
        <v>1.10844529750479E-2</v>
      </c>
      <c r="D16697" s="1">
        <v>4.5576962916925598E-3</v>
      </c>
      <c r="E16697" s="1">
        <v>8.1531371853952404E-3</v>
      </c>
      <c r="F16697" s="1">
        <v>1.05176148671759E-2</v>
      </c>
    </row>
    <row r="16698" spans="1:6" x14ac:dyDescent="0.25">
      <c r="A16698" s="2" t="str">
        <f t="shared" si="604"/>
        <v>24020</v>
      </c>
      <c r="B16698" s="2" t="str">
        <f>"12845"</f>
        <v>12845</v>
      </c>
      <c r="C16698" s="1">
        <v>5.0367882277671097E-2</v>
      </c>
      <c r="D16698" s="1">
        <v>0.101926662523306</v>
      </c>
      <c r="E16698" s="1">
        <v>4.8918823112371397E-2</v>
      </c>
      <c r="F16698" s="1">
        <v>5.3856458784631099E-2</v>
      </c>
    </row>
    <row r="16699" spans="1:6" x14ac:dyDescent="0.25">
      <c r="A16699" s="2" t="str">
        <f t="shared" si="604"/>
        <v>24020</v>
      </c>
      <c r="B16699" s="2" t="str">
        <f>"12823"</f>
        <v>12823</v>
      </c>
      <c r="C16699" s="1">
        <v>1.0236724248240501E-3</v>
      </c>
      <c r="D16699" s="1">
        <v>2.0716801325875201E-4</v>
      </c>
      <c r="E16699" s="1">
        <v>3.5448422545196701E-4</v>
      </c>
      <c r="F16699" s="1">
        <v>9.4059970356857804E-4</v>
      </c>
    </row>
    <row r="16700" spans="1:6" x14ac:dyDescent="0.25">
      <c r="A16700" s="2" t="str">
        <f t="shared" si="604"/>
        <v>24020</v>
      </c>
      <c r="B16700" s="2" t="str">
        <f>"12821"</f>
        <v>12821</v>
      </c>
      <c r="C16700" s="1">
        <v>1.82341650671785E-3</v>
      </c>
      <c r="D16700" s="1">
        <v>0</v>
      </c>
      <c r="E16700" s="1">
        <v>1.0634526763559E-3</v>
      </c>
      <c r="F16700" s="1">
        <v>1.6674267472352E-3</v>
      </c>
    </row>
    <row r="16701" spans="1:6" x14ac:dyDescent="0.25">
      <c r="A16701" s="2" t="str">
        <f t="shared" si="604"/>
        <v>24020</v>
      </c>
      <c r="B16701" s="2" t="str">
        <f>"12814"</f>
        <v>12814</v>
      </c>
      <c r="C16701" s="1">
        <v>1.0172744721688999E-2</v>
      </c>
      <c r="D16701" s="1">
        <v>1.45017609281126E-3</v>
      </c>
      <c r="E16701" s="1">
        <v>3.54484225451967E-3</v>
      </c>
      <c r="F16701" s="1">
        <v>9.3062364610648693E-3</v>
      </c>
    </row>
    <row r="16702" spans="1:6" x14ac:dyDescent="0.25">
      <c r="A16702" s="2" t="str">
        <f t="shared" ref="A16702:A16729" si="605">"31660"</f>
        <v>31660</v>
      </c>
      <c r="B16702" s="2" t="str">
        <f>"12939"</f>
        <v>12939</v>
      </c>
      <c r="C16702" s="1">
        <v>0</v>
      </c>
      <c r="D16702" s="1">
        <v>0</v>
      </c>
      <c r="E16702" s="1">
        <v>8.0385852090032099E-4</v>
      </c>
      <c r="F16702" s="1">
        <v>4.0971852337444098E-5</v>
      </c>
    </row>
    <row r="16703" spans="1:6" x14ac:dyDescent="0.25">
      <c r="A16703" s="2" t="str">
        <f t="shared" si="605"/>
        <v>31660</v>
      </c>
      <c r="B16703" s="2" t="str">
        <f>"12937"</f>
        <v>12937</v>
      </c>
      <c r="C16703" s="1">
        <v>2.72588902725889E-2</v>
      </c>
      <c r="D16703" s="1">
        <v>1.0121457489878499E-2</v>
      </c>
      <c r="E16703" s="1">
        <v>2.41157556270096E-3</v>
      </c>
      <c r="F16703" s="1">
        <v>2.4951858073503499E-2</v>
      </c>
    </row>
    <row r="16704" spans="1:6" x14ac:dyDescent="0.25">
      <c r="A16704" s="2" t="str">
        <f t="shared" si="605"/>
        <v>31660</v>
      </c>
      <c r="B16704" s="2" t="str">
        <f>"12926"</f>
        <v>12926</v>
      </c>
      <c r="C16704" s="1">
        <v>4.4693510446935099E-2</v>
      </c>
      <c r="D16704" s="1">
        <v>1.0796221322537099E-2</v>
      </c>
      <c r="E16704" s="1">
        <v>2.09003215434083E-2</v>
      </c>
      <c r="F16704" s="1">
        <v>4.1422542713155999E-2</v>
      </c>
    </row>
    <row r="16705" spans="1:6" x14ac:dyDescent="0.25">
      <c r="A16705" s="2" t="str">
        <f t="shared" si="605"/>
        <v>31660</v>
      </c>
      <c r="B16705" s="2" t="str">
        <f>"12912"</f>
        <v>12912</v>
      </c>
      <c r="C16705" s="1">
        <v>4.6123333794566599E-4</v>
      </c>
      <c r="D16705" s="1">
        <v>0</v>
      </c>
      <c r="E16705" s="1">
        <v>0</v>
      </c>
      <c r="F16705" s="1">
        <v>4.09718523374441E-4</v>
      </c>
    </row>
    <row r="16706" spans="1:6" x14ac:dyDescent="0.25">
      <c r="A16706" s="2" t="str">
        <f t="shared" si="605"/>
        <v>31660</v>
      </c>
      <c r="B16706" s="2" t="str">
        <f>"12995"</f>
        <v>12995</v>
      </c>
      <c r="C16706" s="1">
        <v>0</v>
      </c>
      <c r="D16706" s="1">
        <v>0</v>
      </c>
      <c r="E16706" s="1">
        <v>8.0385852090032099E-4</v>
      </c>
      <c r="F16706" s="1">
        <v>4.0971852337444098E-5</v>
      </c>
    </row>
    <row r="16707" spans="1:6" x14ac:dyDescent="0.25">
      <c r="A16707" s="2" t="str">
        <f t="shared" si="605"/>
        <v>31660</v>
      </c>
      <c r="B16707" s="2" t="str">
        <f>"12980"</f>
        <v>12980</v>
      </c>
      <c r="C16707" s="1">
        <v>1.8264840182648401E-2</v>
      </c>
      <c r="D16707" s="1">
        <v>6.7476383265856902E-3</v>
      </c>
      <c r="E16707" s="1">
        <v>5.6270096463022501E-3</v>
      </c>
      <c r="F16707" s="1">
        <v>1.69213750153644E-2</v>
      </c>
    </row>
    <row r="16708" spans="1:6" x14ac:dyDescent="0.25">
      <c r="A16708" s="2" t="str">
        <f t="shared" si="605"/>
        <v>31660</v>
      </c>
      <c r="B16708" s="2" t="str">
        <f>"12966"</f>
        <v>12966</v>
      </c>
      <c r="C16708" s="1">
        <v>6.0052580600525797E-2</v>
      </c>
      <c r="D16708" s="1">
        <v>1.9568151147098499E-2</v>
      </c>
      <c r="E16708" s="1">
        <v>9.6463022508038506E-3</v>
      </c>
      <c r="F16708" s="1">
        <v>5.5025197689187497E-2</v>
      </c>
    </row>
    <row r="16709" spans="1:6" x14ac:dyDescent="0.25">
      <c r="A16709" s="2" t="str">
        <f t="shared" si="605"/>
        <v>31660</v>
      </c>
      <c r="B16709" s="2" t="str">
        <f>"12957"</f>
        <v>12957</v>
      </c>
      <c r="C16709" s="1">
        <v>3.4500253678335799E-2</v>
      </c>
      <c r="D16709" s="1">
        <v>6.0728744939271204E-3</v>
      </c>
      <c r="E16709" s="1">
        <v>9.6463022508038506E-3</v>
      </c>
      <c r="F16709" s="1">
        <v>3.1507354447494501E-2</v>
      </c>
    </row>
    <row r="16710" spans="1:6" x14ac:dyDescent="0.25">
      <c r="A16710" s="2" t="str">
        <f t="shared" si="605"/>
        <v>31660</v>
      </c>
      <c r="B16710" s="2" t="str">
        <f>"12970"</f>
        <v>12970</v>
      </c>
      <c r="C16710" s="1">
        <v>6.2727733960610604E-3</v>
      </c>
      <c r="D16710" s="1">
        <v>6.7476383265856904E-4</v>
      </c>
      <c r="E16710" s="1">
        <v>1.60771704180064E-3</v>
      </c>
      <c r="F16710" s="1">
        <v>5.6950874749047403E-3</v>
      </c>
    </row>
    <row r="16711" spans="1:6" x14ac:dyDescent="0.25">
      <c r="A16711" s="2" t="str">
        <f t="shared" si="605"/>
        <v>31660</v>
      </c>
      <c r="B16711" s="2" t="str">
        <f>"13655"</f>
        <v>13655</v>
      </c>
      <c r="C16711" s="1">
        <v>6.3373460633734599E-2</v>
      </c>
      <c r="D16711" s="1">
        <v>5.8704453441295497E-2</v>
      </c>
      <c r="E16711" s="1">
        <v>4.2604501607716998E-2</v>
      </c>
      <c r="F16711" s="1">
        <v>6.2031384438890398E-2</v>
      </c>
    </row>
    <row r="16712" spans="1:6" x14ac:dyDescent="0.25">
      <c r="A16712" s="2" t="str">
        <f t="shared" si="605"/>
        <v>31660</v>
      </c>
      <c r="B16712" s="2" t="str">
        <f>"13683"</f>
        <v>13683</v>
      </c>
      <c r="C16712" s="1">
        <v>9.2246667589133304E-5</v>
      </c>
      <c r="D16712" s="1">
        <v>0</v>
      </c>
      <c r="E16712" s="1">
        <v>8.0385852090032099E-4</v>
      </c>
      <c r="F16712" s="1">
        <v>1.2291555701233201E-4</v>
      </c>
    </row>
    <row r="16713" spans="1:6" x14ac:dyDescent="0.25">
      <c r="A16713" s="2" t="str">
        <f t="shared" si="605"/>
        <v>31660</v>
      </c>
      <c r="B16713" s="2" t="str">
        <f>"12913"</f>
        <v>12913</v>
      </c>
      <c r="C16713" s="1">
        <v>3.9204833725381598E-3</v>
      </c>
      <c r="D16713" s="1">
        <v>6.7476383265856904E-4</v>
      </c>
      <c r="E16713" s="1">
        <v>0</v>
      </c>
      <c r="F16713" s="1">
        <v>3.5235793010201899E-3</v>
      </c>
    </row>
    <row r="16714" spans="1:6" x14ac:dyDescent="0.25">
      <c r="A16714" s="2" t="str">
        <f t="shared" si="605"/>
        <v>31660</v>
      </c>
      <c r="B16714" s="2" t="str">
        <f>"12930"</f>
        <v>12930</v>
      </c>
      <c r="C16714" s="1">
        <v>1.33757668004243E-2</v>
      </c>
      <c r="D16714" s="1">
        <v>2.6990553306342701E-3</v>
      </c>
      <c r="E16714" s="1">
        <v>3.2154340836012801E-3</v>
      </c>
      <c r="F16714" s="1">
        <v>1.22096119965583E-2</v>
      </c>
    </row>
    <row r="16715" spans="1:6" x14ac:dyDescent="0.25">
      <c r="A16715" s="2" t="str">
        <f t="shared" si="605"/>
        <v>31660</v>
      </c>
      <c r="B16715" s="2" t="str">
        <f>"12981"</f>
        <v>12981</v>
      </c>
      <c r="C16715" s="1">
        <v>4.1511000415109998E-4</v>
      </c>
      <c r="D16715" s="1">
        <v>0</v>
      </c>
      <c r="E16715" s="1">
        <v>8.0385852090032099E-4</v>
      </c>
      <c r="F16715" s="1">
        <v>4.09718523374441E-4</v>
      </c>
    </row>
    <row r="16716" spans="1:6" x14ac:dyDescent="0.25">
      <c r="A16716" s="2" t="str">
        <f t="shared" si="605"/>
        <v>31660</v>
      </c>
      <c r="B16716" s="2" t="str">
        <f>"12989"</f>
        <v>12989</v>
      </c>
      <c r="C16716" s="1">
        <v>2.2415940224159402E-2</v>
      </c>
      <c r="D16716" s="1">
        <v>2.6990553306342701E-3</v>
      </c>
      <c r="E16716" s="1">
        <v>2.41157556270096E-3</v>
      </c>
      <c r="F16716" s="1">
        <v>2.0199123202359899E-2</v>
      </c>
    </row>
    <row r="16717" spans="1:6" x14ac:dyDescent="0.25">
      <c r="A16717" s="2" t="str">
        <f t="shared" si="605"/>
        <v>31660</v>
      </c>
      <c r="B16717" s="2" t="str">
        <f>"12983"</f>
        <v>12983</v>
      </c>
      <c r="C16717" s="1">
        <v>0.131774364651076</v>
      </c>
      <c r="D16717" s="1">
        <v>0.24291497975708501</v>
      </c>
      <c r="E16717" s="1">
        <v>0.407556270096463</v>
      </c>
      <c r="F16717" s="1">
        <v>0.152579178104642</v>
      </c>
    </row>
    <row r="16718" spans="1:6" x14ac:dyDescent="0.25">
      <c r="A16718" s="2" t="str">
        <f t="shared" si="605"/>
        <v>31660</v>
      </c>
      <c r="B16718" s="2" t="str">
        <f>"12920"</f>
        <v>12920</v>
      </c>
      <c r="C16718" s="1">
        <v>6.1344033946773603E-2</v>
      </c>
      <c r="D16718" s="1">
        <v>2.4291497975708499E-2</v>
      </c>
      <c r="E16718" s="1">
        <v>1.6881028938906702E-2</v>
      </c>
      <c r="F16718" s="1">
        <v>5.6827959192035003E-2</v>
      </c>
    </row>
    <row r="16719" spans="1:6" x14ac:dyDescent="0.25">
      <c r="A16719" s="2" t="str">
        <f t="shared" si="605"/>
        <v>31660</v>
      </c>
      <c r="B16719" s="2" t="str">
        <f>"12917"</f>
        <v>12917</v>
      </c>
      <c r="C16719" s="1">
        <v>2.7120520271205199E-2</v>
      </c>
      <c r="D16719" s="1">
        <v>1.0121457489878499E-2</v>
      </c>
      <c r="E16719" s="1">
        <v>4.8231511254019201E-3</v>
      </c>
      <c r="F16719" s="1">
        <v>2.4951858073503499E-2</v>
      </c>
    </row>
    <row r="16720" spans="1:6" x14ac:dyDescent="0.25">
      <c r="A16720" s="2" t="str">
        <f t="shared" si="605"/>
        <v>31660</v>
      </c>
      <c r="B16720" s="2" t="str">
        <f>"12914"</f>
        <v>12914</v>
      </c>
      <c r="C16720" s="1">
        <v>1.6143166828098299E-2</v>
      </c>
      <c r="D16720" s="1">
        <v>4.0485829959514101E-3</v>
      </c>
      <c r="E16720" s="1">
        <v>5.6270096463022501E-3</v>
      </c>
      <c r="F16720" s="1">
        <v>1.48727823984922E-2</v>
      </c>
    </row>
    <row r="16721" spans="1:6" x14ac:dyDescent="0.25">
      <c r="A16721" s="2" t="str">
        <f t="shared" si="605"/>
        <v>31660</v>
      </c>
      <c r="B16721" s="2" t="str">
        <f>"12986"</f>
        <v>12986</v>
      </c>
      <c r="C16721" s="1">
        <v>0.13956920806235801</v>
      </c>
      <c r="D16721" s="1">
        <v>0.153171390013495</v>
      </c>
      <c r="E16721" s="1">
        <v>0.12781350482315099</v>
      </c>
      <c r="F16721" s="1">
        <v>0.139795960175359</v>
      </c>
    </row>
    <row r="16722" spans="1:6" x14ac:dyDescent="0.25">
      <c r="A16722" s="2" t="str">
        <f t="shared" si="605"/>
        <v>31660</v>
      </c>
      <c r="B16722" s="2" t="str">
        <f>"12953"</f>
        <v>12953</v>
      </c>
      <c r="C16722" s="1">
        <v>0.25995110926617698</v>
      </c>
      <c r="D16722" s="1">
        <v>0.43387314439946001</v>
      </c>
      <c r="E16722" s="1">
        <v>0.31270096463022501</v>
      </c>
      <c r="F16722" s="1">
        <v>0.27320031138607698</v>
      </c>
    </row>
    <row r="16723" spans="1:6" x14ac:dyDescent="0.25">
      <c r="A16723" s="2" t="str">
        <f t="shared" si="605"/>
        <v>31660</v>
      </c>
      <c r="B16723" s="2" t="str">
        <f>"12916"</f>
        <v>12916</v>
      </c>
      <c r="C16723" s="1">
        <v>3.9389327060559899E-2</v>
      </c>
      <c r="D16723" s="1">
        <v>1.1470985155195601E-2</v>
      </c>
      <c r="E16723" s="1">
        <v>2.0096463022508001E-2</v>
      </c>
      <c r="F16723" s="1">
        <v>3.6710779694349903E-2</v>
      </c>
    </row>
    <row r="16724" spans="1:6" x14ac:dyDescent="0.25">
      <c r="A16724" s="2" t="str">
        <f t="shared" si="605"/>
        <v>31660</v>
      </c>
      <c r="B16724" s="2" t="str">
        <f>"12976"</f>
        <v>12976</v>
      </c>
      <c r="C16724" s="1">
        <v>6.2727733960610604E-3</v>
      </c>
      <c r="D16724" s="1">
        <v>0</v>
      </c>
      <c r="E16724" s="1">
        <v>8.0385852090032099E-4</v>
      </c>
      <c r="F16724" s="1">
        <v>5.6131437702298496E-3</v>
      </c>
    </row>
    <row r="16725" spans="1:6" x14ac:dyDescent="0.25">
      <c r="A16725" s="2" t="str">
        <f t="shared" si="605"/>
        <v>31660</v>
      </c>
      <c r="B16725" s="2" t="str">
        <f>"12915"</f>
        <v>12915</v>
      </c>
      <c r="C16725" s="1">
        <v>5.0735667174023303E-4</v>
      </c>
      <c r="D16725" s="1">
        <v>0</v>
      </c>
      <c r="E16725" s="1">
        <v>8.0385852090032099E-4</v>
      </c>
      <c r="F16725" s="1">
        <v>4.9166222804932999E-4</v>
      </c>
    </row>
    <row r="16726" spans="1:6" x14ac:dyDescent="0.25">
      <c r="A16726" s="2" t="str">
        <f t="shared" si="605"/>
        <v>31660</v>
      </c>
      <c r="B16726" s="2" t="str">
        <f>"12955"</f>
        <v>12955</v>
      </c>
      <c r="C16726" s="1">
        <v>1.1530833448641601E-3</v>
      </c>
      <c r="D16726" s="1">
        <v>0</v>
      </c>
      <c r="E16726" s="1">
        <v>0</v>
      </c>
      <c r="F16726" s="1">
        <v>1.0242963084361001E-3</v>
      </c>
    </row>
    <row r="16727" spans="1:6" x14ac:dyDescent="0.25">
      <c r="A16727" s="2" t="str">
        <f t="shared" si="605"/>
        <v>31660</v>
      </c>
      <c r="B16727" s="2" t="str">
        <f>"12967"</f>
        <v>12967</v>
      </c>
      <c r="C16727" s="1">
        <v>1.01471334348046E-3</v>
      </c>
      <c r="D16727" s="1">
        <v>0</v>
      </c>
      <c r="E16727" s="1">
        <v>0</v>
      </c>
      <c r="F16727" s="1">
        <v>9.0138075142377099E-4</v>
      </c>
    </row>
    <row r="16728" spans="1:6" x14ac:dyDescent="0.25">
      <c r="A16728" s="2" t="str">
        <f t="shared" si="605"/>
        <v>31660</v>
      </c>
      <c r="B16728" s="2" t="str">
        <f>"12945"</f>
        <v>12945</v>
      </c>
      <c r="C16728" s="1">
        <v>9.1785434251187605E-3</v>
      </c>
      <c r="D16728" s="1">
        <v>6.7476383265856904E-4</v>
      </c>
      <c r="E16728" s="1">
        <v>8.0385852090032099E-4</v>
      </c>
      <c r="F16728" s="1">
        <v>8.2353423198262693E-3</v>
      </c>
    </row>
    <row r="16729" spans="1:6" x14ac:dyDescent="0.25">
      <c r="A16729" s="2" t="str">
        <f t="shared" si="605"/>
        <v>31660</v>
      </c>
      <c r="B16729" s="2" t="str">
        <f>"12969"</f>
        <v>12969</v>
      </c>
      <c r="C16729" s="1">
        <v>1.1484710114847099E-2</v>
      </c>
      <c r="D16729" s="1">
        <v>6.7476383265856904E-4</v>
      </c>
      <c r="E16729" s="1">
        <v>8.0385852090032099E-4</v>
      </c>
      <c r="F16729" s="1">
        <v>1.0283934936698399E-2</v>
      </c>
    </row>
    <row r="16730" spans="1:6" x14ac:dyDescent="0.25">
      <c r="A16730" s="2" t="str">
        <f t="shared" ref="A16730:A16744" si="606">"42900"</f>
        <v>42900</v>
      </c>
      <c r="B16730" s="2" t="str">
        <f>"14860"</f>
        <v>14860</v>
      </c>
      <c r="C16730" s="1">
        <v>3.6094371073214497E-2</v>
      </c>
      <c r="D16730" s="1">
        <v>1.5084294587400101E-2</v>
      </c>
      <c r="E16730" s="1">
        <v>1.7274472168905899E-2</v>
      </c>
      <c r="F16730" s="1">
        <v>3.4152847036993998E-2</v>
      </c>
    </row>
    <row r="16731" spans="1:6" x14ac:dyDescent="0.25">
      <c r="A16731" s="2" t="str">
        <f t="shared" si="606"/>
        <v>42900</v>
      </c>
      <c r="B16731" s="2" t="str">
        <f>"14841"</f>
        <v>14841</v>
      </c>
      <c r="C16731" s="1">
        <v>2.6926529042184798E-3</v>
      </c>
      <c r="D16731" s="1">
        <v>2.6619343389529702E-3</v>
      </c>
      <c r="E16731" s="1">
        <v>0</v>
      </c>
      <c r="F16731" s="1">
        <v>2.6093007074104099E-3</v>
      </c>
    </row>
    <row r="16732" spans="1:6" x14ac:dyDescent="0.25">
      <c r="A16732" s="2" t="str">
        <f t="shared" si="606"/>
        <v>42900</v>
      </c>
      <c r="B16732" s="2" t="str">
        <f>"14489"</f>
        <v>14489</v>
      </c>
      <c r="C16732" s="1">
        <v>2.1797666367483E-3</v>
      </c>
      <c r="D16732" s="1">
        <v>0</v>
      </c>
      <c r="E16732" s="1">
        <v>0</v>
      </c>
      <c r="F16732" s="1">
        <v>1.9714716455989699E-3</v>
      </c>
    </row>
    <row r="16733" spans="1:6" x14ac:dyDescent="0.25">
      <c r="A16733" s="2" t="str">
        <f t="shared" si="606"/>
        <v>42900</v>
      </c>
      <c r="B16733" s="2" t="str">
        <f>"13065"</f>
        <v>13065</v>
      </c>
      <c r="C16733" s="1">
        <v>4.6159764072316901E-3</v>
      </c>
      <c r="D16733" s="1">
        <v>0</v>
      </c>
      <c r="E16733" s="1">
        <v>1.9193857965451001E-3</v>
      </c>
      <c r="F16733" s="1">
        <v>4.2328655920213301E-3</v>
      </c>
    </row>
    <row r="16734" spans="1:6" x14ac:dyDescent="0.25">
      <c r="A16734" s="2" t="str">
        <f t="shared" si="606"/>
        <v>42900</v>
      </c>
      <c r="B16734" s="2" t="str">
        <f>"14456"</f>
        <v>14456</v>
      </c>
      <c r="C16734" s="1">
        <v>4.21207847159892E-2</v>
      </c>
      <c r="D16734" s="1">
        <v>4.9689440993788803E-2</v>
      </c>
      <c r="E16734" s="1">
        <v>1.3435700575815701E-2</v>
      </c>
      <c r="F16734" s="1">
        <v>4.17488113185666E-2</v>
      </c>
    </row>
    <row r="16735" spans="1:6" x14ac:dyDescent="0.25">
      <c r="A16735" s="2" t="str">
        <f t="shared" si="606"/>
        <v>42900</v>
      </c>
      <c r="B16735" s="2" t="str">
        <f>"13148"</f>
        <v>13148</v>
      </c>
      <c r="C16735" s="1">
        <v>0.33542761892550299</v>
      </c>
      <c r="D16735" s="1">
        <v>0.34427684117125101</v>
      </c>
      <c r="E16735" s="1">
        <v>0.41842610364683303</v>
      </c>
      <c r="F16735" s="1">
        <v>0.33851327844137702</v>
      </c>
    </row>
    <row r="16736" spans="1:6" x14ac:dyDescent="0.25">
      <c r="A16736" s="2" t="str">
        <f t="shared" si="606"/>
        <v>42900</v>
      </c>
      <c r="B16736" s="2" t="str">
        <f>"14847"</f>
        <v>14847</v>
      </c>
      <c r="C16736" s="1">
        <v>6.9111424541607805E-2</v>
      </c>
      <c r="D16736" s="1">
        <v>1.8633540372670801E-2</v>
      </c>
      <c r="E16736" s="1">
        <v>4.0307101727447198E-2</v>
      </c>
      <c r="F16736" s="1">
        <v>6.4942595384436905E-2</v>
      </c>
    </row>
    <row r="16737" spans="1:6" x14ac:dyDescent="0.25">
      <c r="A16737" s="2" t="str">
        <f t="shared" si="606"/>
        <v>42900</v>
      </c>
      <c r="B16737" s="2" t="str">
        <f>"14532"</f>
        <v>14532</v>
      </c>
      <c r="C16737" s="1">
        <v>5.8340812924733898E-3</v>
      </c>
      <c r="D16737" s="1">
        <v>5.3238686779059404E-3</v>
      </c>
      <c r="E16737" s="1">
        <v>0</v>
      </c>
      <c r="F16737" s="1">
        <v>5.6244926359735499E-3</v>
      </c>
    </row>
    <row r="16738" spans="1:6" x14ac:dyDescent="0.25">
      <c r="A16738" s="2" t="str">
        <f t="shared" si="606"/>
        <v>42900</v>
      </c>
      <c r="B16738" s="2" t="str">
        <f>"14521"</f>
        <v>14521</v>
      </c>
      <c r="C16738" s="1">
        <v>8.3472240030773096E-2</v>
      </c>
      <c r="D16738" s="1">
        <v>5.1464063886424098E-2</v>
      </c>
      <c r="E16738" s="1">
        <v>7.1017274472168906E-2</v>
      </c>
      <c r="F16738" s="1">
        <v>8.1004290850052105E-2</v>
      </c>
    </row>
    <row r="16739" spans="1:6" x14ac:dyDescent="0.25">
      <c r="A16739" s="2" t="str">
        <f t="shared" si="606"/>
        <v>42900</v>
      </c>
      <c r="B16739" s="2" t="str">
        <f>"14886"</f>
        <v>14886</v>
      </c>
      <c r="C16739" s="1">
        <v>2.2182331068085599E-2</v>
      </c>
      <c r="D16739" s="1">
        <v>7.9858030168589098E-3</v>
      </c>
      <c r="E16739" s="1">
        <v>3.8387715930902101E-3</v>
      </c>
      <c r="F16739" s="1">
        <v>2.0700452278789201E-2</v>
      </c>
    </row>
    <row r="16740" spans="1:6" x14ac:dyDescent="0.25">
      <c r="A16740" s="2" t="str">
        <f t="shared" si="606"/>
        <v>42900</v>
      </c>
      <c r="B16740" s="2" t="str">
        <f>"14433"</f>
        <v>14433</v>
      </c>
      <c r="C16740" s="1">
        <v>7.4368508783177302E-3</v>
      </c>
      <c r="D16740" s="1">
        <v>4.4365572315882796E-3</v>
      </c>
      <c r="E16740" s="1">
        <v>1.9193857965451001E-3</v>
      </c>
      <c r="F16740" s="1">
        <v>7.07410414009045E-3</v>
      </c>
    </row>
    <row r="16741" spans="1:6" x14ac:dyDescent="0.25">
      <c r="A16741" s="2" t="str">
        <f t="shared" si="606"/>
        <v>42900</v>
      </c>
      <c r="B16741" s="2" t="str">
        <f>"14588"</f>
        <v>14588</v>
      </c>
      <c r="C16741" s="1">
        <v>0</v>
      </c>
      <c r="D16741" s="1">
        <v>0</v>
      </c>
      <c r="E16741" s="1">
        <v>1.9193857965451001E-3</v>
      </c>
      <c r="F16741" s="1">
        <v>5.7984460164675799E-5</v>
      </c>
    </row>
    <row r="16742" spans="1:6" x14ac:dyDescent="0.25">
      <c r="A16742" s="2" t="str">
        <f t="shared" si="606"/>
        <v>42900</v>
      </c>
      <c r="B16742" s="2" t="str">
        <f>"13165"</f>
        <v>13165</v>
      </c>
      <c r="C16742" s="1">
        <v>0.31023208103603001</v>
      </c>
      <c r="D16742" s="1">
        <v>0.45252883762200502</v>
      </c>
      <c r="E16742" s="1">
        <v>0.40115163147792698</v>
      </c>
      <c r="F16742" s="1">
        <v>0.32227762959526801</v>
      </c>
    </row>
    <row r="16743" spans="1:6" x14ac:dyDescent="0.25">
      <c r="A16743" s="2" t="str">
        <f t="shared" si="606"/>
        <v>42900</v>
      </c>
      <c r="B16743" s="2" t="str">
        <f>"14541"</f>
        <v>14541</v>
      </c>
      <c r="C16743" s="1">
        <v>7.52660597512501E-2</v>
      </c>
      <c r="D16743" s="1">
        <v>4.2590949423247502E-2</v>
      </c>
      <c r="E16743" s="1">
        <v>2.8790786948176501E-2</v>
      </c>
      <c r="F16743" s="1">
        <v>7.1726777223704005E-2</v>
      </c>
    </row>
    <row r="16744" spans="1:6" x14ac:dyDescent="0.25">
      <c r="A16744" s="2" t="str">
        <f t="shared" si="606"/>
        <v>42900</v>
      </c>
      <c r="B16744" s="2" t="str">
        <f>"13146"</f>
        <v>13146</v>
      </c>
      <c r="C16744" s="1">
        <v>3.3337607385562199E-3</v>
      </c>
      <c r="D16744" s="1">
        <v>5.3238686779059404E-3</v>
      </c>
      <c r="E16744" s="1">
        <v>0</v>
      </c>
      <c r="F16744" s="1">
        <v>3.3630986895512001E-3</v>
      </c>
    </row>
    <row r="16745" spans="1:6" x14ac:dyDescent="0.25">
      <c r="A16745" s="2" t="str">
        <f t="shared" ref="A16745:A16776" si="607">"15380"</f>
        <v>15380</v>
      </c>
      <c r="B16745" s="2" t="str">
        <f>"14169"</f>
        <v>14169</v>
      </c>
      <c r="C16745" s="1">
        <v>8.8509608824407897E-5</v>
      </c>
      <c r="D16745" s="1">
        <v>2.1478585849907601E-5</v>
      </c>
      <c r="E16745" s="1">
        <v>1.13830392714854E-4</v>
      </c>
      <c r="F16745" s="1">
        <v>8.4521648107121396E-5</v>
      </c>
    </row>
    <row r="16746" spans="1:6" x14ac:dyDescent="0.25">
      <c r="A16746" s="2" t="str">
        <f t="shared" si="607"/>
        <v>15380</v>
      </c>
      <c r="B16746" s="2" t="str">
        <f>"14110"</f>
        <v>14110</v>
      </c>
      <c r="C16746" s="1">
        <v>0</v>
      </c>
      <c r="D16746" s="1">
        <v>0</v>
      </c>
      <c r="E16746" s="1">
        <v>3.7943464238284898E-5</v>
      </c>
      <c r="F16746" s="1">
        <v>1.6254163097523299E-6</v>
      </c>
    </row>
    <row r="16747" spans="1:6" x14ac:dyDescent="0.25">
      <c r="A16747" s="2" t="str">
        <f t="shared" si="607"/>
        <v>15380</v>
      </c>
      <c r="B16747" s="2" t="str">
        <f>"14126"</f>
        <v>14126</v>
      </c>
      <c r="C16747" s="1">
        <v>5.9190800901322803E-4</v>
      </c>
      <c r="D16747" s="1">
        <v>0</v>
      </c>
      <c r="E16747" s="1">
        <v>4.17378106621134E-4</v>
      </c>
      <c r="F16747" s="1">
        <v>5.3963821483777501E-4</v>
      </c>
    </row>
    <row r="16748" spans="1:6" x14ac:dyDescent="0.25">
      <c r="A16748" s="2" t="str">
        <f t="shared" si="607"/>
        <v>15380</v>
      </c>
      <c r="B16748" s="2" t="str">
        <f>"14109"</f>
        <v>14109</v>
      </c>
      <c r="C16748" s="1">
        <v>3.4629384452549601E-3</v>
      </c>
      <c r="D16748" s="1">
        <v>2.1693371708406701E-3</v>
      </c>
      <c r="E16748" s="1">
        <v>1.8971732119142399E-4</v>
      </c>
      <c r="F16748" s="1">
        <v>3.22482595854863E-3</v>
      </c>
    </row>
    <row r="16749" spans="1:6" x14ac:dyDescent="0.25">
      <c r="A16749" s="2" t="str">
        <f t="shared" si="607"/>
        <v>15380</v>
      </c>
      <c r="B16749" s="2" t="str">
        <f>"14095"</f>
        <v>14095</v>
      </c>
      <c r="C16749" s="1">
        <v>2.5096162002087299E-3</v>
      </c>
      <c r="D16749" s="1">
        <v>6.27174706817303E-3</v>
      </c>
      <c r="E16749" s="1">
        <v>7.5886928476569905E-5</v>
      </c>
      <c r="F16749" s="1">
        <v>2.6900639926401102E-3</v>
      </c>
    </row>
    <row r="16750" spans="1:6" x14ac:dyDescent="0.25">
      <c r="A16750" s="2" t="str">
        <f t="shared" si="607"/>
        <v>15380</v>
      </c>
      <c r="B16750" s="2" t="str">
        <f>"14111"</f>
        <v>14111</v>
      </c>
      <c r="C16750" s="1">
        <v>2.4321702924873698E-3</v>
      </c>
      <c r="D16750" s="1">
        <v>9.4505777739593605E-4</v>
      </c>
      <c r="E16750" s="1">
        <v>7.20925820527414E-4</v>
      </c>
      <c r="F16750" s="1">
        <v>2.2463253400777199E-3</v>
      </c>
    </row>
    <row r="16751" spans="1:6" x14ac:dyDescent="0.25">
      <c r="A16751" s="2" t="str">
        <f t="shared" si="607"/>
        <v>15380</v>
      </c>
      <c r="B16751" s="2" t="str">
        <f>"14092"</f>
        <v>14092</v>
      </c>
      <c r="C16751" s="1">
        <v>1.0918029038527399E-2</v>
      </c>
      <c r="D16751" s="1">
        <v>1.05030284806048E-2</v>
      </c>
      <c r="E16751" s="1">
        <v>8.6131663820906805E-3</v>
      </c>
      <c r="F16751" s="1">
        <v>1.07878880478262E-2</v>
      </c>
    </row>
    <row r="16752" spans="1:6" x14ac:dyDescent="0.25">
      <c r="A16752" s="2" t="str">
        <f t="shared" si="607"/>
        <v>15380</v>
      </c>
      <c r="B16752" s="2" t="str">
        <f>"14233"</f>
        <v>14233</v>
      </c>
      <c r="C16752" s="1">
        <v>0</v>
      </c>
      <c r="D16752" s="1">
        <v>0</v>
      </c>
      <c r="E16752" s="1">
        <v>3.7943464238284898E-5</v>
      </c>
      <c r="F16752" s="1">
        <v>1.6254163097523299E-6</v>
      </c>
    </row>
    <row r="16753" spans="1:6" x14ac:dyDescent="0.25">
      <c r="A16753" s="2" t="str">
        <f t="shared" si="607"/>
        <v>15380</v>
      </c>
      <c r="B16753" s="2" t="str">
        <f>"14305"</f>
        <v>14305</v>
      </c>
      <c r="C16753" s="1">
        <v>1.49931589448179E-2</v>
      </c>
      <c r="D16753" s="1">
        <v>1.1319214742901301E-2</v>
      </c>
      <c r="E16753" s="1">
        <v>5.5397457787896001E-3</v>
      </c>
      <c r="F16753" s="1">
        <v>1.43101651910595E-2</v>
      </c>
    </row>
    <row r="16754" spans="1:6" x14ac:dyDescent="0.25">
      <c r="A16754" s="2" t="str">
        <f t="shared" si="607"/>
        <v>15380</v>
      </c>
      <c r="B16754" s="2" t="str">
        <f>"14226"</f>
        <v>14226</v>
      </c>
      <c r="C16754" s="1">
        <v>2.61564333577964E-2</v>
      </c>
      <c r="D16754" s="1">
        <v>3.9885733923278398E-2</v>
      </c>
      <c r="E16754" s="1">
        <v>3.3883513564788401E-2</v>
      </c>
      <c r="F16754" s="1">
        <v>2.7526425205655701E-2</v>
      </c>
    </row>
    <row r="16755" spans="1:6" x14ac:dyDescent="0.25">
      <c r="A16755" s="2" t="str">
        <f t="shared" si="607"/>
        <v>15380</v>
      </c>
      <c r="B16755" s="2" t="str">
        <f>"14075"</f>
        <v>14075</v>
      </c>
      <c r="C16755" s="1">
        <v>3.7819418270595997E-2</v>
      </c>
      <c r="D16755" s="1">
        <v>2.9554534129472902E-2</v>
      </c>
      <c r="E16755" s="1">
        <v>3.05444887118193E-2</v>
      </c>
      <c r="F16755" s="1">
        <v>3.6882321484590197E-2</v>
      </c>
    </row>
    <row r="16756" spans="1:6" x14ac:dyDescent="0.25">
      <c r="A16756" s="2" t="str">
        <f t="shared" si="607"/>
        <v>15380</v>
      </c>
      <c r="B16756" s="2" t="str">
        <f>"14068"</f>
        <v>14068</v>
      </c>
      <c r="C16756" s="1">
        <v>6.8613386340754604E-3</v>
      </c>
      <c r="D16756" s="1">
        <v>8.7847416126122201E-3</v>
      </c>
      <c r="E16756" s="1">
        <v>5.9950673496490204E-3</v>
      </c>
      <c r="F16756" s="1">
        <v>6.96978513621801E-3</v>
      </c>
    </row>
    <row r="16757" spans="1:6" x14ac:dyDescent="0.25">
      <c r="A16757" s="2" t="str">
        <f t="shared" si="607"/>
        <v>15380</v>
      </c>
      <c r="B16757" s="2" t="str">
        <f>"14210"</f>
        <v>14210</v>
      </c>
      <c r="C16757" s="1">
        <v>1.21184406082085E-2</v>
      </c>
      <c r="D16757" s="1">
        <v>1.3209330297693099E-2</v>
      </c>
      <c r="E16757" s="1">
        <v>1.5594763801935099E-2</v>
      </c>
      <c r="F16757" s="1">
        <v>1.2349913121498199E-2</v>
      </c>
    </row>
    <row r="16758" spans="1:6" x14ac:dyDescent="0.25">
      <c r="A16758" s="2" t="str">
        <f t="shared" si="607"/>
        <v>15380</v>
      </c>
      <c r="B16758" s="2" t="str">
        <f>"14208"</f>
        <v>14208</v>
      </c>
      <c r="C16758" s="1">
        <v>8.6425945116666708E-3</v>
      </c>
      <c r="D16758" s="1">
        <v>5.0474676747282897E-3</v>
      </c>
      <c r="E16758" s="1">
        <v>7.93018402580155E-3</v>
      </c>
      <c r="F16758" s="1">
        <v>8.3400110853392301E-3</v>
      </c>
    </row>
    <row r="16759" spans="1:6" x14ac:dyDescent="0.25">
      <c r="A16759" s="2" t="str">
        <f t="shared" si="607"/>
        <v>15380</v>
      </c>
      <c r="B16759" s="2" t="str">
        <f>"14030"</f>
        <v>14030</v>
      </c>
      <c r="C16759" s="1">
        <v>1.05473950515752E-3</v>
      </c>
      <c r="D16759" s="1">
        <v>1.20280080759482E-3</v>
      </c>
      <c r="E16759" s="1">
        <v>6.8298235628912901E-4</v>
      </c>
      <c r="F16759" s="1">
        <v>1.0500189361E-3</v>
      </c>
    </row>
    <row r="16760" spans="1:6" x14ac:dyDescent="0.25">
      <c r="A16760" s="2" t="str">
        <f t="shared" si="607"/>
        <v>15380</v>
      </c>
      <c r="B16760" s="2" t="str">
        <f>"14001"</f>
        <v>14001</v>
      </c>
      <c r="C16760" s="1">
        <v>8.4305402405248607E-3</v>
      </c>
      <c r="D16760" s="1">
        <v>5.5844323209759796E-3</v>
      </c>
      <c r="E16760" s="1">
        <v>5.6156327072661699E-3</v>
      </c>
      <c r="F16760" s="1">
        <v>8.0945732225666204E-3</v>
      </c>
    </row>
    <row r="16761" spans="1:6" x14ac:dyDescent="0.25">
      <c r="A16761" s="2" t="str">
        <f t="shared" si="607"/>
        <v>15380</v>
      </c>
      <c r="B16761" s="2" t="str">
        <f>"14151"</f>
        <v>14151</v>
      </c>
      <c r="C16761" s="1">
        <v>1.0510516047898401E-3</v>
      </c>
      <c r="D16761" s="1">
        <v>3.9520597963830003E-3</v>
      </c>
      <c r="E16761" s="1">
        <v>7.5886928476569905E-5</v>
      </c>
      <c r="F16761" s="1">
        <v>1.2288147301727601E-3</v>
      </c>
    </row>
    <row r="16762" spans="1:6" x14ac:dyDescent="0.25">
      <c r="A16762" s="2" t="str">
        <f t="shared" si="607"/>
        <v>15380</v>
      </c>
      <c r="B16762" s="2" t="str">
        <f>"14205"</f>
        <v>14205</v>
      </c>
      <c r="C16762" s="1">
        <v>1.1358733132465599E-3</v>
      </c>
      <c r="D16762" s="1">
        <v>3.7587525237338299E-3</v>
      </c>
      <c r="E16762" s="1">
        <v>7.5886928476569905E-5</v>
      </c>
      <c r="F16762" s="1">
        <v>1.2889551336335999E-3</v>
      </c>
    </row>
    <row r="16763" spans="1:6" x14ac:dyDescent="0.25">
      <c r="A16763" s="2" t="str">
        <f t="shared" si="607"/>
        <v>15380</v>
      </c>
      <c r="B16763" s="2" t="str">
        <f>"14150"</f>
        <v>14150</v>
      </c>
      <c r="C16763" s="1">
        <v>3.6150643354219102E-2</v>
      </c>
      <c r="D16763" s="1">
        <v>3.1423171098414797E-2</v>
      </c>
      <c r="E16763" s="1">
        <v>3.9537089736292899E-2</v>
      </c>
      <c r="F16763" s="1">
        <v>3.5937954608624097E-2</v>
      </c>
    </row>
    <row r="16764" spans="1:6" x14ac:dyDescent="0.25">
      <c r="A16764" s="2" t="str">
        <f t="shared" si="607"/>
        <v>15380</v>
      </c>
      <c r="B16764" s="2" t="str">
        <f>"14225"</f>
        <v>14225</v>
      </c>
      <c r="C16764" s="1">
        <v>3.1638497254358099E-2</v>
      </c>
      <c r="D16764" s="1">
        <v>4.27638644271661E-2</v>
      </c>
      <c r="E16764" s="1">
        <v>2.4890912540314902E-2</v>
      </c>
      <c r="F16764" s="1">
        <v>3.2191370014644997E-2</v>
      </c>
    </row>
    <row r="16765" spans="1:6" x14ac:dyDescent="0.25">
      <c r="A16765" s="2" t="str">
        <f t="shared" si="607"/>
        <v>15380</v>
      </c>
      <c r="B16765" s="2" t="str">
        <f>"14224"</f>
        <v>14224</v>
      </c>
      <c r="C16765" s="1">
        <v>3.4974203136927999E-2</v>
      </c>
      <c r="D16765" s="1">
        <v>3.2625971906009701E-2</v>
      </c>
      <c r="E16765" s="1">
        <v>2.4587364826408602E-2</v>
      </c>
      <c r="F16765" s="1">
        <v>3.4351548290305803E-2</v>
      </c>
    </row>
    <row r="16766" spans="1:6" x14ac:dyDescent="0.25">
      <c r="A16766" s="2" t="str">
        <f t="shared" si="607"/>
        <v>15380</v>
      </c>
      <c r="B16766" s="2" t="str">
        <f>"14221"</f>
        <v>14221</v>
      </c>
      <c r="C16766" s="1">
        <v>4.5193375055779403E-2</v>
      </c>
      <c r="D16766" s="1">
        <v>6.3254435327978004E-2</v>
      </c>
      <c r="E16766" s="1">
        <v>5.3690001897173198E-2</v>
      </c>
      <c r="F16766" s="1">
        <v>4.6924143446240102E-2</v>
      </c>
    </row>
    <row r="16767" spans="1:6" x14ac:dyDescent="0.25">
      <c r="A16767" s="2" t="str">
        <f t="shared" si="607"/>
        <v>15380</v>
      </c>
      <c r="B16767" s="2" t="str">
        <f>"14272"</f>
        <v>14272</v>
      </c>
      <c r="C16767" s="1">
        <v>0</v>
      </c>
      <c r="D16767" s="1">
        <v>0</v>
      </c>
      <c r="E16767" s="1">
        <v>3.7943464238284898E-5</v>
      </c>
      <c r="F16767" s="1">
        <v>1.6254163097523299E-6</v>
      </c>
    </row>
    <row r="16768" spans="1:6" x14ac:dyDescent="0.25">
      <c r="A16768" s="2" t="str">
        <f t="shared" si="607"/>
        <v>15380</v>
      </c>
      <c r="B16768" s="2" t="str">
        <f>"14269"</f>
        <v>14269</v>
      </c>
      <c r="C16768" s="1">
        <v>0</v>
      </c>
      <c r="D16768" s="1">
        <v>2.1478585849907601E-5</v>
      </c>
      <c r="E16768" s="1">
        <v>0</v>
      </c>
      <c r="F16768" s="1">
        <v>1.6254163097523299E-6</v>
      </c>
    </row>
    <row r="16769" spans="1:6" x14ac:dyDescent="0.25">
      <c r="A16769" s="2" t="str">
        <f t="shared" si="607"/>
        <v>15380</v>
      </c>
      <c r="B16769" s="2" t="str">
        <f>"14304"</f>
        <v>14304</v>
      </c>
      <c r="C16769" s="1">
        <v>2.6401678732247299E-2</v>
      </c>
      <c r="D16769" s="1">
        <v>3.4172430087202998E-2</v>
      </c>
      <c r="E16769" s="1">
        <v>1.8440523619806401E-2</v>
      </c>
      <c r="F16769" s="1">
        <v>2.6648700398389499E-2</v>
      </c>
    </row>
    <row r="16770" spans="1:6" x14ac:dyDescent="0.25">
      <c r="A16770" s="2" t="str">
        <f t="shared" si="607"/>
        <v>15380</v>
      </c>
      <c r="B16770" s="2" t="str">
        <f>"14067"</f>
        <v>14067</v>
      </c>
      <c r="C16770" s="1">
        <v>3.71371567025745E-3</v>
      </c>
      <c r="D16770" s="1">
        <v>1.8471583830920501E-3</v>
      </c>
      <c r="E16770" s="1">
        <v>1.55568203376968E-3</v>
      </c>
      <c r="F16770" s="1">
        <v>3.4800163191797402E-3</v>
      </c>
    </row>
    <row r="16771" spans="1:6" x14ac:dyDescent="0.25">
      <c r="A16771" s="2" t="str">
        <f t="shared" si="607"/>
        <v>15380</v>
      </c>
      <c r="B16771" s="2" t="str">
        <f>"14219"</f>
        <v>14219</v>
      </c>
      <c r="C16771" s="1">
        <v>1.0661719962973401E-2</v>
      </c>
      <c r="D16771" s="1">
        <v>1.7762790497873601E-2</v>
      </c>
      <c r="E16771" s="1">
        <v>1.1269208878770601E-2</v>
      </c>
      <c r="F16771" s="1">
        <v>1.1225125035149599E-2</v>
      </c>
    </row>
    <row r="16772" spans="1:6" x14ac:dyDescent="0.25">
      <c r="A16772" s="2" t="str">
        <f t="shared" si="607"/>
        <v>15380</v>
      </c>
      <c r="B16772" s="2" t="str">
        <f>"14216"</f>
        <v>14216</v>
      </c>
      <c r="C16772" s="1">
        <v>1.9855655579608798E-2</v>
      </c>
      <c r="D16772" s="1">
        <v>1.47987456505863E-2</v>
      </c>
      <c r="E16772" s="1">
        <v>3.18725099601593E-2</v>
      </c>
      <c r="F16772" s="1">
        <v>1.99877443610244E-2</v>
      </c>
    </row>
    <row r="16773" spans="1:6" x14ac:dyDescent="0.25">
      <c r="A16773" s="2" t="str">
        <f t="shared" si="607"/>
        <v>15380</v>
      </c>
      <c r="B16773" s="2" t="str">
        <f>"14212"</f>
        <v>14212</v>
      </c>
      <c r="C16773" s="1">
        <v>1.01159107085562E-2</v>
      </c>
      <c r="D16773" s="1">
        <v>1.15125220155504E-2</v>
      </c>
      <c r="E16773" s="1">
        <v>1.59741984443179E-2</v>
      </c>
      <c r="F16773" s="1">
        <v>1.04725572837342E-2</v>
      </c>
    </row>
    <row r="16774" spans="1:6" x14ac:dyDescent="0.25">
      <c r="A16774" s="2" t="str">
        <f t="shared" si="607"/>
        <v>15380</v>
      </c>
      <c r="B16774" s="2" t="str">
        <f>"14028"</f>
        <v>14028</v>
      </c>
      <c r="C16774" s="1">
        <v>1.21885107151945E-3</v>
      </c>
      <c r="D16774" s="1">
        <v>4.9400747454787504E-4</v>
      </c>
      <c r="E16774" s="1">
        <v>4.9326503509770404E-4</v>
      </c>
      <c r="F16774" s="1">
        <v>1.13291516789737E-3</v>
      </c>
    </row>
    <row r="16775" spans="1:6" x14ac:dyDescent="0.25">
      <c r="A16775" s="2" t="str">
        <f t="shared" si="607"/>
        <v>15380</v>
      </c>
      <c r="B16775" s="2" t="str">
        <f>"14043"</f>
        <v>14043</v>
      </c>
      <c r="C16775" s="1">
        <v>2.19577587891885E-2</v>
      </c>
      <c r="D16775" s="1">
        <v>2.33042656471497E-2</v>
      </c>
      <c r="E16775" s="1">
        <v>2.64465945740846E-2</v>
      </c>
      <c r="F16775" s="1">
        <v>2.22519492805094E-2</v>
      </c>
    </row>
    <row r="16776" spans="1:6" x14ac:dyDescent="0.25">
      <c r="A16776" s="2" t="str">
        <f t="shared" si="607"/>
        <v>15380</v>
      </c>
      <c r="B16776" s="2" t="str">
        <f>"14134"</f>
        <v>14134</v>
      </c>
      <c r="C16776" s="1">
        <v>7.7445907721356903E-5</v>
      </c>
      <c r="D16776" s="1">
        <v>2.1478585849907601E-5</v>
      </c>
      <c r="E16776" s="1">
        <v>2.2766078542970901E-4</v>
      </c>
      <c r="F16776" s="1">
        <v>7.9645399177864402E-5</v>
      </c>
    </row>
    <row r="16777" spans="1:6" x14ac:dyDescent="0.25">
      <c r="A16777" s="2" t="str">
        <f t="shared" ref="A16777:A16808" si="608">"15380"</f>
        <v>15380</v>
      </c>
      <c r="B16777" s="2" t="str">
        <f>"14207"</f>
        <v>14207</v>
      </c>
      <c r="C16777" s="1">
        <v>1.9840903978138098E-2</v>
      </c>
      <c r="D16777" s="1">
        <v>2.5538038575540101E-2</v>
      </c>
      <c r="E16777" s="1">
        <v>3.2403718459495301E-2</v>
      </c>
      <c r="F16777" s="1">
        <v>2.08102050137591E-2</v>
      </c>
    </row>
    <row r="16778" spans="1:6" x14ac:dyDescent="0.25">
      <c r="A16778" s="2" t="str">
        <f t="shared" si="608"/>
        <v>15380</v>
      </c>
      <c r="B16778" s="2" t="str">
        <f>"14203"</f>
        <v>14203</v>
      </c>
      <c r="C16778" s="1">
        <v>2.41004289028127E-3</v>
      </c>
      <c r="D16778" s="1">
        <v>2.4013058980196698E-2</v>
      </c>
      <c r="E16778" s="1">
        <v>7.0574843483209998E-3</v>
      </c>
      <c r="F16778" s="1">
        <v>4.2439619847633404E-3</v>
      </c>
    </row>
    <row r="16779" spans="1:6" x14ac:dyDescent="0.25">
      <c r="A16779" s="2" t="str">
        <f t="shared" si="608"/>
        <v>15380</v>
      </c>
      <c r="B16779" s="2" t="str">
        <f>"14201"</f>
        <v>14201</v>
      </c>
      <c r="C16779" s="1">
        <v>1.3294880825499599E-2</v>
      </c>
      <c r="D16779" s="1">
        <v>1.1662872116499801E-2</v>
      </c>
      <c r="E16779" s="1">
        <v>2.6750142287990799E-2</v>
      </c>
      <c r="F16779" s="1">
        <v>1.37477711478852E-2</v>
      </c>
    </row>
    <row r="16780" spans="1:6" x14ac:dyDescent="0.25">
      <c r="A16780" s="2" t="str">
        <f t="shared" si="608"/>
        <v>15380</v>
      </c>
      <c r="B16780" s="2" t="str">
        <f>"14141"</f>
        <v>14141</v>
      </c>
      <c r="C16780" s="1">
        <v>6.1809210162378199E-3</v>
      </c>
      <c r="D16780" s="1">
        <v>6.8946260578203501E-3</v>
      </c>
      <c r="E16780" s="1">
        <v>7.4748624549421296E-3</v>
      </c>
      <c r="F16780" s="1">
        <v>6.29036111874153E-3</v>
      </c>
    </row>
    <row r="16781" spans="1:6" x14ac:dyDescent="0.25">
      <c r="A16781" s="2" t="str">
        <f t="shared" si="608"/>
        <v>15380</v>
      </c>
      <c r="B16781" s="2" t="str">
        <f>"14102"</f>
        <v>14102</v>
      </c>
      <c r="C16781" s="1">
        <v>8.5743683548645199E-4</v>
      </c>
      <c r="D16781" s="1">
        <v>2.5774303019889102E-4</v>
      </c>
      <c r="E16781" s="1">
        <v>2.6560424966799397E-4</v>
      </c>
      <c r="F16781" s="1">
        <v>7.8670149392012995E-4</v>
      </c>
    </row>
    <row r="16782" spans="1:6" x14ac:dyDescent="0.25">
      <c r="A16782" s="2" t="str">
        <f t="shared" si="608"/>
        <v>15380</v>
      </c>
      <c r="B16782" s="2" t="str">
        <f>"14265"</f>
        <v>14265</v>
      </c>
      <c r="C16782" s="1">
        <v>0</v>
      </c>
      <c r="D16782" s="1">
        <v>2.1478585849907601E-5</v>
      </c>
      <c r="E16782" s="1">
        <v>0</v>
      </c>
      <c r="F16782" s="1">
        <v>1.6254163097523299E-6</v>
      </c>
    </row>
    <row r="16783" spans="1:6" x14ac:dyDescent="0.25">
      <c r="A16783" s="2" t="str">
        <f t="shared" si="608"/>
        <v>15380</v>
      </c>
      <c r="B16783" s="2" t="str">
        <f>"14059"</f>
        <v>14059</v>
      </c>
      <c r="C16783" s="1">
        <v>8.0027437978735499E-3</v>
      </c>
      <c r="D16783" s="1">
        <v>9.4505777739593601E-3</v>
      </c>
      <c r="E16783" s="1">
        <v>3.4907987099222098E-3</v>
      </c>
      <c r="F16783" s="1">
        <v>7.9190282611133703E-3</v>
      </c>
    </row>
    <row r="16784" spans="1:6" x14ac:dyDescent="0.25">
      <c r="A16784" s="2" t="str">
        <f t="shared" si="608"/>
        <v>15380</v>
      </c>
      <c r="B16784" s="2" t="str">
        <f>"14218"</f>
        <v>14218</v>
      </c>
      <c r="C16784" s="1">
        <v>1.6427752187846801E-2</v>
      </c>
      <c r="D16784" s="1">
        <v>1.1598436358950101E-2</v>
      </c>
      <c r="E16784" s="1">
        <v>2.1817491937013801E-2</v>
      </c>
      <c r="F16784" s="1">
        <v>1.6293173088957402E-2</v>
      </c>
    </row>
    <row r="16785" spans="1:6" x14ac:dyDescent="0.25">
      <c r="A16785" s="2" t="str">
        <f t="shared" si="608"/>
        <v>15380</v>
      </c>
      <c r="B16785" s="2" t="str">
        <f>"14036"</f>
        <v>14036</v>
      </c>
      <c r="C16785" s="1">
        <v>2.5815302573785599E-5</v>
      </c>
      <c r="D16785" s="1">
        <v>0</v>
      </c>
      <c r="E16785" s="1">
        <v>0</v>
      </c>
      <c r="F16785" s="1">
        <v>2.27558283365326E-5</v>
      </c>
    </row>
    <row r="16786" spans="1:6" x14ac:dyDescent="0.25">
      <c r="A16786" s="2" t="str">
        <f t="shared" si="608"/>
        <v>15380</v>
      </c>
      <c r="B16786" s="2" t="str">
        <f>"14037"</f>
        <v>14037</v>
      </c>
      <c r="C16786" s="1">
        <v>1.36452313604295E-4</v>
      </c>
      <c r="D16786" s="1">
        <v>0</v>
      </c>
      <c r="E16786" s="1">
        <v>0</v>
      </c>
      <c r="F16786" s="1">
        <v>1.20280806921672E-4</v>
      </c>
    </row>
    <row r="16787" spans="1:6" x14ac:dyDescent="0.25">
      <c r="A16787" s="2" t="str">
        <f t="shared" si="608"/>
        <v>15380</v>
      </c>
      <c r="B16787" s="2" t="str">
        <f>"14006"</f>
        <v>14006</v>
      </c>
      <c r="C16787" s="1">
        <v>8.9597539432874594E-3</v>
      </c>
      <c r="D16787" s="1">
        <v>4.3816315133811496E-3</v>
      </c>
      <c r="E16787" s="1">
        <v>3.9840637450199202E-3</v>
      </c>
      <c r="F16787" s="1">
        <v>8.4001514888000593E-3</v>
      </c>
    </row>
    <row r="16788" spans="1:6" x14ac:dyDescent="0.25">
      <c r="A16788" s="2" t="str">
        <f t="shared" si="608"/>
        <v>15380</v>
      </c>
      <c r="B16788" s="2" t="str">
        <f>"14172"</f>
        <v>14172</v>
      </c>
      <c r="C16788" s="1">
        <v>2.6184092610553999E-3</v>
      </c>
      <c r="D16788" s="1">
        <v>1.2457579792946401E-3</v>
      </c>
      <c r="E16788" s="1">
        <v>1.51773856953139E-3</v>
      </c>
      <c r="F16788" s="1">
        <v>2.4673819582040398E-3</v>
      </c>
    </row>
    <row r="16789" spans="1:6" x14ac:dyDescent="0.25">
      <c r="A16789" s="2" t="str">
        <f t="shared" si="608"/>
        <v>15380</v>
      </c>
      <c r="B16789" s="2" t="str">
        <f>"14112"</f>
        <v>14112</v>
      </c>
      <c r="C16789" s="1">
        <v>0</v>
      </c>
      <c r="D16789" s="1">
        <v>0</v>
      </c>
      <c r="E16789" s="1">
        <v>3.7943464238284898E-5</v>
      </c>
      <c r="F16789" s="1">
        <v>1.6254163097523299E-6</v>
      </c>
    </row>
    <row r="16790" spans="1:6" x14ac:dyDescent="0.25">
      <c r="A16790" s="2" t="str">
        <f t="shared" si="608"/>
        <v>15380</v>
      </c>
      <c r="B16790" s="2" t="str">
        <f>"14107"</f>
        <v>14107</v>
      </c>
      <c r="C16790" s="1">
        <v>0</v>
      </c>
      <c r="D16790" s="1">
        <v>0</v>
      </c>
      <c r="E16790" s="1">
        <v>3.7943464238284898E-5</v>
      </c>
      <c r="F16790" s="1">
        <v>1.6254163097523299E-6</v>
      </c>
    </row>
    <row r="16791" spans="1:6" x14ac:dyDescent="0.25">
      <c r="A16791" s="2" t="str">
        <f t="shared" si="608"/>
        <v>15380</v>
      </c>
      <c r="B16791" s="2" t="str">
        <f>"14103"</f>
        <v>14103</v>
      </c>
      <c r="C16791" s="1">
        <v>1.8439501838418302E-5</v>
      </c>
      <c r="D16791" s="1">
        <v>2.1478585849907601E-5</v>
      </c>
      <c r="E16791" s="1">
        <v>0</v>
      </c>
      <c r="F16791" s="1">
        <v>1.7879579407275599E-5</v>
      </c>
    </row>
    <row r="16792" spans="1:6" x14ac:dyDescent="0.25">
      <c r="A16792" s="2" t="str">
        <f t="shared" si="608"/>
        <v>15380</v>
      </c>
      <c r="B16792" s="2" t="str">
        <f>"14091"</f>
        <v>14091</v>
      </c>
      <c r="C16792" s="1">
        <v>8.9062793879560501E-4</v>
      </c>
      <c r="D16792" s="1">
        <v>4.2957171699815202E-5</v>
      </c>
      <c r="E16792" s="1">
        <v>2.2766078542970901E-4</v>
      </c>
      <c r="F16792" s="1">
        <v>7.9807940808839602E-4</v>
      </c>
    </row>
    <row r="16793" spans="1:6" x14ac:dyDescent="0.25">
      <c r="A16793" s="2" t="str">
        <f t="shared" si="608"/>
        <v>15380</v>
      </c>
      <c r="B16793" s="2" t="str">
        <f>"14094"</f>
        <v>14094</v>
      </c>
      <c r="C16793" s="1">
        <v>4.31908451561272E-2</v>
      </c>
      <c r="D16793" s="1">
        <v>3.35925082692555E-2</v>
      </c>
      <c r="E16793" s="1">
        <v>5.0426863972680702E-2</v>
      </c>
      <c r="F16793" s="1">
        <v>4.2774455607442398E-2</v>
      </c>
    </row>
    <row r="16794" spans="1:6" x14ac:dyDescent="0.25">
      <c r="A16794" s="2" t="str">
        <f t="shared" si="608"/>
        <v>15380</v>
      </c>
      <c r="B16794" s="2" t="str">
        <f>"14222"</f>
        <v>14222</v>
      </c>
      <c r="C16794" s="1">
        <v>1.3047791500864801E-2</v>
      </c>
      <c r="D16794" s="1">
        <v>8.3981270673138802E-3</v>
      </c>
      <c r="E16794" s="1">
        <v>3.3086700815784402E-2</v>
      </c>
      <c r="F16794" s="1">
        <v>1.35543466070247E-2</v>
      </c>
    </row>
    <row r="16795" spans="1:6" x14ac:dyDescent="0.25">
      <c r="A16795" s="2" t="str">
        <f t="shared" si="608"/>
        <v>15380</v>
      </c>
      <c r="B16795" s="2" t="str">
        <f>"14280"</f>
        <v>14280</v>
      </c>
      <c r="C16795" s="1">
        <v>0</v>
      </c>
      <c r="D16795" s="1">
        <v>2.1478585849907601E-5</v>
      </c>
      <c r="E16795" s="1">
        <v>3.7943464238284898E-5</v>
      </c>
      <c r="F16795" s="1">
        <v>3.25083261950467E-6</v>
      </c>
    </row>
    <row r="16796" spans="1:6" x14ac:dyDescent="0.25">
      <c r="A16796" s="2" t="str">
        <f t="shared" si="608"/>
        <v>15380</v>
      </c>
      <c r="B16796" s="2" t="str">
        <f>"14231"</f>
        <v>14231</v>
      </c>
      <c r="C16796" s="1">
        <v>1.6318959127000199E-3</v>
      </c>
      <c r="D16796" s="1">
        <v>9.2357919154602806E-3</v>
      </c>
      <c r="E16796" s="1">
        <v>7.5886928476569905E-5</v>
      </c>
      <c r="F16796" s="1">
        <v>2.1406732799438199E-3</v>
      </c>
    </row>
    <row r="16797" spans="1:6" x14ac:dyDescent="0.25">
      <c r="A16797" s="2" t="str">
        <f t="shared" si="608"/>
        <v>15380</v>
      </c>
      <c r="B16797" s="2" t="str">
        <f>"14061"</f>
        <v>14061</v>
      </c>
      <c r="C16797" s="1">
        <v>0</v>
      </c>
      <c r="D16797" s="1">
        <v>0</v>
      </c>
      <c r="E16797" s="1">
        <v>3.7943464238284898E-5</v>
      </c>
      <c r="F16797" s="1">
        <v>1.6254163097523299E-6</v>
      </c>
    </row>
    <row r="16798" spans="1:6" x14ac:dyDescent="0.25">
      <c r="A16798" s="2" t="str">
        <f t="shared" si="608"/>
        <v>15380</v>
      </c>
      <c r="B16798" s="2" t="str">
        <f>"14055"</f>
        <v>14055</v>
      </c>
      <c r="C16798" s="1">
        <v>1.1321854128788799E-3</v>
      </c>
      <c r="D16798" s="1">
        <v>1.9330727264916801E-4</v>
      </c>
      <c r="E16798" s="1">
        <v>2.6560424966799397E-4</v>
      </c>
      <c r="F16798" s="1">
        <v>1.02401227514397E-3</v>
      </c>
    </row>
    <row r="16799" spans="1:6" x14ac:dyDescent="0.25">
      <c r="A16799" s="2" t="str">
        <f t="shared" si="608"/>
        <v>15380</v>
      </c>
      <c r="B16799" s="2" t="str">
        <f>"14052"</f>
        <v>14052</v>
      </c>
      <c r="C16799" s="1">
        <v>1.5326913928093299E-2</v>
      </c>
      <c r="D16799" s="1">
        <v>1.5915632114781499E-2</v>
      </c>
      <c r="E16799" s="1">
        <v>1.1686586985391699E-2</v>
      </c>
      <c r="F16799" s="1">
        <v>1.5215522075591599E-2</v>
      </c>
    </row>
    <row r="16800" spans="1:6" x14ac:dyDescent="0.25">
      <c r="A16800" s="2" t="str">
        <f t="shared" si="608"/>
        <v>15380</v>
      </c>
      <c r="B16800" s="2" t="str">
        <f>"14217"</f>
        <v>14217</v>
      </c>
      <c r="C16800" s="1">
        <v>2.0587703802594001E-2</v>
      </c>
      <c r="D16800" s="1">
        <v>1.8707848275269501E-2</v>
      </c>
      <c r="E16800" s="1">
        <v>1.54809334092202E-2</v>
      </c>
      <c r="F16800" s="1">
        <v>2.0226680558557999E-2</v>
      </c>
    </row>
    <row r="16801" spans="1:6" x14ac:dyDescent="0.25">
      <c r="A16801" s="2" t="str">
        <f t="shared" si="608"/>
        <v>15380</v>
      </c>
      <c r="B16801" s="2" t="str">
        <f>"14215"</f>
        <v>14215</v>
      </c>
      <c r="C16801" s="1">
        <v>3.34308168330524E-2</v>
      </c>
      <c r="D16801" s="1">
        <v>2.1886678981055799E-2</v>
      </c>
      <c r="E16801" s="1">
        <v>2.1400113830392701E-2</v>
      </c>
      <c r="F16801" s="1">
        <v>3.2041831714147699E-2</v>
      </c>
    </row>
    <row r="16802" spans="1:6" x14ac:dyDescent="0.25">
      <c r="A16802" s="2" t="str">
        <f t="shared" si="608"/>
        <v>15380</v>
      </c>
      <c r="B16802" s="2" t="str">
        <f>"14211"</f>
        <v>14211</v>
      </c>
      <c r="C16802" s="1">
        <v>1.8924460736768699E-2</v>
      </c>
      <c r="D16802" s="1">
        <v>1.4347695347738301E-2</v>
      </c>
      <c r="E16802" s="1">
        <v>2.11345095807247E-2</v>
      </c>
      <c r="F16802" s="1">
        <v>1.8672782566434801E-2</v>
      </c>
    </row>
    <row r="16803" spans="1:6" x14ac:dyDescent="0.25">
      <c r="A16803" s="2" t="str">
        <f t="shared" si="608"/>
        <v>15380</v>
      </c>
      <c r="B16803" s="2" t="str">
        <f>"14209"</f>
        <v>14209</v>
      </c>
      <c r="C16803" s="1">
        <v>8.7329480706749198E-3</v>
      </c>
      <c r="D16803" s="1">
        <v>1.00519781777567E-2</v>
      </c>
      <c r="E16803" s="1">
        <v>1.6505406943653898E-2</v>
      </c>
      <c r="F16803" s="1">
        <v>9.1657225706934103E-3</v>
      </c>
    </row>
    <row r="16804" spans="1:6" x14ac:dyDescent="0.25">
      <c r="A16804" s="2" t="str">
        <f t="shared" si="608"/>
        <v>15380</v>
      </c>
      <c r="B16804" s="2" t="str">
        <f>"14220"</f>
        <v>14220</v>
      </c>
      <c r="C16804" s="1">
        <v>2.0775786721345901E-2</v>
      </c>
      <c r="D16804" s="1">
        <v>1.2350186863696801E-2</v>
      </c>
      <c r="E16804" s="1">
        <v>1.06241699867197E-2</v>
      </c>
      <c r="F16804" s="1">
        <v>1.9703296506817802E-2</v>
      </c>
    </row>
    <row r="16805" spans="1:6" x14ac:dyDescent="0.25">
      <c r="A16805" s="2" t="str">
        <f t="shared" si="608"/>
        <v>15380</v>
      </c>
      <c r="B16805" s="2" t="str">
        <f>"14027"</f>
        <v>14027</v>
      </c>
      <c r="C16805" s="1">
        <v>0</v>
      </c>
      <c r="D16805" s="1">
        <v>0</v>
      </c>
      <c r="E16805" s="1">
        <v>3.7943464238284898E-5</v>
      </c>
      <c r="F16805" s="1">
        <v>1.6254163097523299E-6</v>
      </c>
    </row>
    <row r="16806" spans="1:6" x14ac:dyDescent="0.25">
      <c r="A16806" s="2" t="str">
        <f t="shared" si="608"/>
        <v>15380</v>
      </c>
      <c r="B16806" s="2" t="str">
        <f>"14025"</f>
        <v>14025</v>
      </c>
      <c r="C16806" s="1">
        <v>2.2809663774123398E-3</v>
      </c>
      <c r="D16806" s="1">
        <v>6.6583616134713601E-4</v>
      </c>
      <c r="E16806" s="1">
        <v>1.2521343198634001E-3</v>
      </c>
      <c r="F16806" s="1">
        <v>2.1146666189877802E-3</v>
      </c>
    </row>
    <row r="16807" spans="1:6" x14ac:dyDescent="0.25">
      <c r="A16807" s="2" t="str">
        <f t="shared" si="608"/>
        <v>15380</v>
      </c>
      <c r="B16807" s="2" t="str">
        <f>"14051"</f>
        <v>14051</v>
      </c>
      <c r="C16807" s="1">
        <v>1.5507621046109799E-2</v>
      </c>
      <c r="D16807" s="1">
        <v>7.1738476738691503E-3</v>
      </c>
      <c r="E16807" s="1">
        <v>6.4503889205084399E-3</v>
      </c>
      <c r="F16807" s="1">
        <v>1.4488960985132301E-2</v>
      </c>
    </row>
    <row r="16808" spans="1:6" x14ac:dyDescent="0.25">
      <c r="A16808" s="2" t="str">
        <f t="shared" si="608"/>
        <v>15380</v>
      </c>
      <c r="B16808" s="2" t="str">
        <f>"14144"</f>
        <v>14144</v>
      </c>
      <c r="C16808" s="1">
        <v>0</v>
      </c>
      <c r="D16808" s="1">
        <v>0</v>
      </c>
      <c r="E16808" s="1">
        <v>3.7943464238284898E-5</v>
      </c>
      <c r="F16808" s="1">
        <v>1.6254163097523299E-6</v>
      </c>
    </row>
    <row r="16809" spans="1:6" x14ac:dyDescent="0.25">
      <c r="A16809" s="2" t="str">
        <f t="shared" ref="A16809:A16840" si="609">"15380"</f>
        <v>15380</v>
      </c>
      <c r="B16809" s="2" t="str">
        <f>"14170"</f>
        <v>14170</v>
      </c>
      <c r="C16809" s="1">
        <v>1.88082918751866E-3</v>
      </c>
      <c r="D16809" s="1">
        <v>9.0210060569611997E-4</v>
      </c>
      <c r="E16809" s="1">
        <v>7.20925820527414E-4</v>
      </c>
      <c r="F16809" s="1">
        <v>1.75707503084227E-3</v>
      </c>
    </row>
    <row r="16810" spans="1:6" x14ac:dyDescent="0.25">
      <c r="A16810" s="2" t="str">
        <f t="shared" si="609"/>
        <v>15380</v>
      </c>
      <c r="B16810" s="2" t="str">
        <f>"14120"</f>
        <v>14120</v>
      </c>
      <c r="C16810" s="1">
        <v>3.8547778593213497E-2</v>
      </c>
      <c r="D16810" s="1">
        <v>2.6955625241634001E-2</v>
      </c>
      <c r="E16810" s="1">
        <v>4.7087839119711601E-2</v>
      </c>
      <c r="F16810" s="1">
        <v>3.8036367064514298E-2</v>
      </c>
    </row>
    <row r="16811" spans="1:6" x14ac:dyDescent="0.25">
      <c r="A16811" s="2" t="str">
        <f t="shared" si="609"/>
        <v>15380</v>
      </c>
      <c r="B16811" s="2" t="str">
        <f>"14108"</f>
        <v>14108</v>
      </c>
      <c r="C16811" s="1">
        <v>4.4494517936103399E-3</v>
      </c>
      <c r="D16811" s="1">
        <v>2.5989088878388199E-3</v>
      </c>
      <c r="E16811" s="1">
        <v>2.92164674634794E-3</v>
      </c>
      <c r="F16811" s="1">
        <v>4.2439619847633404E-3</v>
      </c>
    </row>
    <row r="16812" spans="1:6" x14ac:dyDescent="0.25">
      <c r="A16812" s="2" t="str">
        <f t="shared" si="609"/>
        <v>15380</v>
      </c>
      <c r="B16812" s="2" t="str">
        <f>"14105"</f>
        <v>14105</v>
      </c>
      <c r="C16812" s="1">
        <v>3.4703142459903301E-3</v>
      </c>
      <c r="D16812" s="1">
        <v>2.4700373727393702E-3</v>
      </c>
      <c r="E16812" s="1">
        <v>3.9840637450199202E-3</v>
      </c>
      <c r="F16812" s="1">
        <v>3.4166250830994001E-3</v>
      </c>
    </row>
    <row r="16813" spans="1:6" x14ac:dyDescent="0.25">
      <c r="A16813" s="2" t="str">
        <f t="shared" si="609"/>
        <v>15380</v>
      </c>
      <c r="B16813" s="2" t="str">
        <f>"14127"</f>
        <v>14127</v>
      </c>
      <c r="C16813" s="1">
        <v>2.5979414140147501E-2</v>
      </c>
      <c r="D16813" s="1">
        <v>3.0241848876669902E-2</v>
      </c>
      <c r="E16813" s="1">
        <v>2.2348700436349799E-2</v>
      </c>
      <c r="F16813" s="1">
        <v>2.6146446758676001E-2</v>
      </c>
    </row>
    <row r="16814" spans="1:6" x14ac:dyDescent="0.25">
      <c r="A16814" s="2" t="str">
        <f t="shared" si="609"/>
        <v>15380</v>
      </c>
      <c r="B16814" s="2" t="str">
        <f>"14223"</f>
        <v>14223</v>
      </c>
      <c r="C16814" s="1">
        <v>1.9634381557547799E-2</v>
      </c>
      <c r="D16814" s="1">
        <v>1.05674642381545E-2</v>
      </c>
      <c r="E16814" s="1">
        <v>1.2293682413204301E-2</v>
      </c>
      <c r="F16814" s="1">
        <v>1.86337725750007E-2</v>
      </c>
    </row>
    <row r="16815" spans="1:6" x14ac:dyDescent="0.25">
      <c r="A16815" s="2" t="str">
        <f t="shared" si="609"/>
        <v>15380</v>
      </c>
      <c r="B16815" s="2" t="str">
        <f>"14270"</f>
        <v>14270</v>
      </c>
      <c r="C16815" s="1">
        <v>0</v>
      </c>
      <c r="D16815" s="1">
        <v>2.1478585849907601E-5</v>
      </c>
      <c r="E16815" s="1">
        <v>0</v>
      </c>
      <c r="F16815" s="1">
        <v>1.6254163097523299E-6</v>
      </c>
    </row>
    <row r="16816" spans="1:6" x14ac:dyDescent="0.25">
      <c r="A16816" s="2" t="str">
        <f t="shared" si="609"/>
        <v>15380</v>
      </c>
      <c r="B16816" s="2" t="str">
        <f>"14303"</f>
        <v>14303</v>
      </c>
      <c r="C16816" s="1">
        <v>6.4151026895857303E-3</v>
      </c>
      <c r="D16816" s="1">
        <v>7.9255981786159092E-3</v>
      </c>
      <c r="E16816" s="1">
        <v>6.6401062416998604E-3</v>
      </c>
      <c r="F16816" s="1">
        <v>6.5390498141336397E-3</v>
      </c>
    </row>
    <row r="16817" spans="1:6" x14ac:dyDescent="0.25">
      <c r="A16817" s="2" t="str">
        <f t="shared" si="609"/>
        <v>15380</v>
      </c>
      <c r="B16817" s="2" t="str">
        <f>"14301"</f>
        <v>14301</v>
      </c>
      <c r="C16817" s="1">
        <v>1.34313331391039E-2</v>
      </c>
      <c r="D16817" s="1">
        <v>1.36818591863911E-2</v>
      </c>
      <c r="E16817" s="1">
        <v>1.7074558907228199E-2</v>
      </c>
      <c r="F16817" s="1">
        <v>1.36063599289367E-2</v>
      </c>
    </row>
    <row r="16818" spans="1:6" x14ac:dyDescent="0.25">
      <c r="A16818" s="2" t="str">
        <f t="shared" si="609"/>
        <v>15380</v>
      </c>
      <c r="B16818" s="2" t="str">
        <f>"14240"</f>
        <v>14240</v>
      </c>
      <c r="C16818" s="1">
        <v>2.1813930674848799E-3</v>
      </c>
      <c r="D16818" s="1">
        <v>1.7891662012973E-2</v>
      </c>
      <c r="E16818" s="1">
        <v>1.13830392714854E-4</v>
      </c>
      <c r="F16818" s="1">
        <v>3.28171552938996E-3</v>
      </c>
    </row>
    <row r="16819" spans="1:6" x14ac:dyDescent="0.25">
      <c r="A16819" s="2" t="str">
        <f t="shared" si="609"/>
        <v>15380</v>
      </c>
      <c r="B16819" s="2" t="str">
        <f>"14228"</f>
        <v>14228</v>
      </c>
      <c r="C16819" s="1">
        <v>2.01820347621488E-2</v>
      </c>
      <c r="D16819" s="1">
        <v>1.81923622148717E-2</v>
      </c>
      <c r="E16819" s="1">
        <v>4.0333902485296898E-2</v>
      </c>
      <c r="F16819" s="1">
        <v>2.08947266618662E-2</v>
      </c>
    </row>
    <row r="16820" spans="1:6" x14ac:dyDescent="0.25">
      <c r="A16820" s="2" t="str">
        <f t="shared" si="609"/>
        <v>15380</v>
      </c>
      <c r="B16820" s="2" t="str">
        <f>"14227"</f>
        <v>14227</v>
      </c>
      <c r="C16820" s="1">
        <v>2.0641178357925401E-2</v>
      </c>
      <c r="D16820" s="1">
        <v>1.32952446410928E-2</v>
      </c>
      <c r="E16820" s="1">
        <v>2.7091633466135401E-2</v>
      </c>
      <c r="F16820" s="1">
        <v>2.03615901122675E-2</v>
      </c>
    </row>
    <row r="16821" spans="1:6" x14ac:dyDescent="0.25">
      <c r="A16821" s="2" t="str">
        <f t="shared" si="609"/>
        <v>15380</v>
      </c>
      <c r="B16821" s="2" t="str">
        <f>"14085"</f>
        <v>14085</v>
      </c>
      <c r="C16821" s="1">
        <v>5.50234734858403E-3</v>
      </c>
      <c r="D16821" s="1">
        <v>9.0210060569611997E-4</v>
      </c>
      <c r="E16821" s="1">
        <v>7.20925820527414E-4</v>
      </c>
      <c r="F16821" s="1">
        <v>4.9493926631958597E-3</v>
      </c>
    </row>
    <row r="16822" spans="1:6" x14ac:dyDescent="0.25">
      <c r="A16822" s="2" t="str">
        <f t="shared" si="609"/>
        <v>15380</v>
      </c>
      <c r="B16822" s="2" t="str">
        <f>"14057"</f>
        <v>14057</v>
      </c>
      <c r="C16822" s="1">
        <v>6.0444687026335198E-3</v>
      </c>
      <c r="D16822" s="1">
        <v>3.2862236350358598E-3</v>
      </c>
      <c r="E16822" s="1">
        <v>3.3769683172073599E-3</v>
      </c>
      <c r="F16822" s="1">
        <v>5.7214654103282204E-3</v>
      </c>
    </row>
    <row r="16823" spans="1:6" x14ac:dyDescent="0.25">
      <c r="A16823" s="2" t="str">
        <f t="shared" si="609"/>
        <v>15380</v>
      </c>
      <c r="B16823" s="2" t="str">
        <f>"14086"</f>
        <v>14086</v>
      </c>
      <c r="C16823" s="1">
        <v>2.73402493758228E-2</v>
      </c>
      <c r="D16823" s="1">
        <v>1.67747755487778E-2</v>
      </c>
      <c r="E16823" s="1">
        <v>1.6505406943653898E-2</v>
      </c>
      <c r="F16823" s="1">
        <v>2.6076553857356698E-2</v>
      </c>
    </row>
    <row r="16824" spans="1:6" x14ac:dyDescent="0.25">
      <c r="A16824" s="2" t="str">
        <f t="shared" si="609"/>
        <v>15380</v>
      </c>
      <c r="B16824" s="2" t="str">
        <f>"14214"</f>
        <v>14214</v>
      </c>
      <c r="C16824" s="1">
        <v>1.61843507635797E-2</v>
      </c>
      <c r="D16824" s="1">
        <v>1.5765282013832201E-2</v>
      </c>
      <c r="E16824" s="1">
        <v>1.7719597799279001E-2</v>
      </c>
      <c r="F16824" s="1">
        <v>1.6218403938708801E-2</v>
      </c>
    </row>
    <row r="16825" spans="1:6" x14ac:dyDescent="0.25">
      <c r="A16825" s="2" t="str">
        <f t="shared" si="609"/>
        <v>15380</v>
      </c>
      <c r="B16825" s="2" t="str">
        <f>"14010"</f>
        <v>14010</v>
      </c>
      <c r="C16825" s="1">
        <v>0</v>
      </c>
      <c r="D16825" s="1">
        <v>0</v>
      </c>
      <c r="E16825" s="1">
        <v>3.7943464238284898E-5</v>
      </c>
      <c r="F16825" s="1">
        <v>1.6254163097523299E-6</v>
      </c>
    </row>
    <row r="16826" spans="1:6" x14ac:dyDescent="0.25">
      <c r="A16826" s="2" t="str">
        <f t="shared" si="609"/>
        <v>15380</v>
      </c>
      <c r="B16826" s="2" t="str">
        <f>"14012"</f>
        <v>14012</v>
      </c>
      <c r="C16826" s="1">
        <v>1.84763808420951E-3</v>
      </c>
      <c r="D16826" s="1">
        <v>6.2287898964732101E-4</v>
      </c>
      <c r="E16826" s="1">
        <v>7.20925820527414E-4</v>
      </c>
      <c r="F16826" s="1">
        <v>1.7066871252399501E-3</v>
      </c>
    </row>
    <row r="16827" spans="1:6" x14ac:dyDescent="0.25">
      <c r="A16827" s="2" t="str">
        <f t="shared" si="609"/>
        <v>15380</v>
      </c>
      <c r="B16827" s="2" t="str">
        <f>"14008"</f>
        <v>14008</v>
      </c>
      <c r="C16827" s="1">
        <v>1.0602713557090501E-3</v>
      </c>
      <c r="D16827" s="1">
        <v>3.43657373598522E-4</v>
      </c>
      <c r="E16827" s="1">
        <v>5.6915196357427403E-4</v>
      </c>
      <c r="F16827" s="1">
        <v>9.8500228370991495E-4</v>
      </c>
    </row>
    <row r="16828" spans="1:6" x14ac:dyDescent="0.25">
      <c r="A16828" s="2" t="str">
        <f t="shared" si="609"/>
        <v>15380</v>
      </c>
      <c r="B16828" s="2" t="str">
        <f>"14140"</f>
        <v>14140</v>
      </c>
      <c r="C16828" s="1">
        <v>0</v>
      </c>
      <c r="D16828" s="1">
        <v>0</v>
      </c>
      <c r="E16828" s="1">
        <v>3.7943464238284898E-5</v>
      </c>
      <c r="F16828" s="1">
        <v>1.6254163097523299E-6</v>
      </c>
    </row>
    <row r="16829" spans="1:6" x14ac:dyDescent="0.25">
      <c r="A16829" s="2" t="str">
        <f t="shared" si="609"/>
        <v>15380</v>
      </c>
      <c r="B16829" s="2" t="str">
        <f>"14174"</f>
        <v>14174</v>
      </c>
      <c r="C16829" s="1">
        <v>4.8588087344232297E-3</v>
      </c>
      <c r="D16829" s="1">
        <v>1.6753296962927901E-3</v>
      </c>
      <c r="E16829" s="1">
        <v>1.8212862834376699E-3</v>
      </c>
      <c r="F16829" s="1">
        <v>4.4877744312261901E-3</v>
      </c>
    </row>
    <row r="16830" spans="1:6" x14ac:dyDescent="0.25">
      <c r="A16830" s="2" t="str">
        <f t="shared" si="609"/>
        <v>15380</v>
      </c>
      <c r="B16830" s="2" t="str">
        <f>"14132"</f>
        <v>14132</v>
      </c>
      <c r="C16830" s="1">
        <v>5.3953982379212001E-3</v>
      </c>
      <c r="D16830" s="1">
        <v>5.8421753511748702E-3</v>
      </c>
      <c r="E16830" s="1">
        <v>4.2117245304496304E-3</v>
      </c>
      <c r="F16830" s="1">
        <v>5.37850256897047E-3</v>
      </c>
    </row>
    <row r="16831" spans="1:6" x14ac:dyDescent="0.25">
      <c r="A16831" s="2" t="str">
        <f t="shared" si="609"/>
        <v>15380</v>
      </c>
      <c r="B16831" s="2" t="str">
        <f>"14263"</f>
        <v>14263</v>
      </c>
      <c r="C16831" s="1">
        <v>0</v>
      </c>
      <c r="D16831" s="1">
        <v>0</v>
      </c>
      <c r="E16831" s="1">
        <v>7.5886928476569905E-5</v>
      </c>
      <c r="F16831" s="1">
        <v>3.25083261950467E-6</v>
      </c>
    </row>
    <row r="16832" spans="1:6" x14ac:dyDescent="0.25">
      <c r="A16832" s="2" t="str">
        <f t="shared" si="609"/>
        <v>15380</v>
      </c>
      <c r="B16832" s="2" t="str">
        <f>"14241"</f>
        <v>14241</v>
      </c>
      <c r="C16832" s="1">
        <v>0</v>
      </c>
      <c r="D16832" s="1">
        <v>2.1478585849907601E-5</v>
      </c>
      <c r="E16832" s="1">
        <v>0</v>
      </c>
      <c r="F16832" s="1">
        <v>1.6254163097523299E-6</v>
      </c>
    </row>
    <row r="16833" spans="1:6" x14ac:dyDescent="0.25">
      <c r="A16833" s="2" t="str">
        <f t="shared" si="609"/>
        <v>15380</v>
      </c>
      <c r="B16833" s="2" t="str">
        <f>"14081"</f>
        <v>14081</v>
      </c>
      <c r="C16833" s="1">
        <v>2.3030937796184401E-3</v>
      </c>
      <c r="D16833" s="1">
        <v>1.8042012113922399E-3</v>
      </c>
      <c r="E16833" s="1">
        <v>7.20925820527414E-4</v>
      </c>
      <c r="F16833" s="1">
        <v>2.1975628507851499E-3</v>
      </c>
    </row>
    <row r="16834" spans="1:6" x14ac:dyDescent="0.25">
      <c r="A16834" s="2" t="str">
        <f t="shared" si="609"/>
        <v>15380</v>
      </c>
      <c r="B16834" s="2" t="str">
        <f>"14080"</f>
        <v>14080</v>
      </c>
      <c r="C16834" s="1">
        <v>3.3615211851436601E-3</v>
      </c>
      <c r="D16834" s="1">
        <v>1.2457579792946401E-3</v>
      </c>
      <c r="E16834" s="1">
        <v>1.93511667615253E-3</v>
      </c>
      <c r="F16834" s="1">
        <v>3.1403043104415102E-3</v>
      </c>
    </row>
    <row r="16835" spans="1:6" x14ac:dyDescent="0.25">
      <c r="A16835" s="2" t="str">
        <f t="shared" si="609"/>
        <v>15380</v>
      </c>
      <c r="B16835" s="2" t="str">
        <f>"14013"</f>
        <v>14013</v>
      </c>
      <c r="C16835" s="1">
        <v>2.21274022061019E-5</v>
      </c>
      <c r="D16835" s="1">
        <v>0</v>
      </c>
      <c r="E16835" s="1">
        <v>0</v>
      </c>
      <c r="F16835" s="1">
        <v>1.9504995717028E-5</v>
      </c>
    </row>
    <row r="16836" spans="1:6" x14ac:dyDescent="0.25">
      <c r="A16836" s="2" t="str">
        <f t="shared" si="609"/>
        <v>15380</v>
      </c>
      <c r="B16836" s="2" t="str">
        <f>"14204"</f>
        <v>14204</v>
      </c>
      <c r="C16836" s="1">
        <v>9.4834357954985404E-3</v>
      </c>
      <c r="D16836" s="1">
        <v>1.00519781777567E-2</v>
      </c>
      <c r="E16836" s="1">
        <v>1.04723961297666E-2</v>
      </c>
      <c r="F16836" s="1">
        <v>9.5688258155119908E-3</v>
      </c>
    </row>
    <row r="16837" spans="1:6" x14ac:dyDescent="0.25">
      <c r="A16837" s="2" t="str">
        <f t="shared" si="609"/>
        <v>15380</v>
      </c>
      <c r="B16837" s="2" t="str">
        <f>"14202"</f>
        <v>14202</v>
      </c>
      <c r="C16837" s="1">
        <v>3.9626489450760903E-3</v>
      </c>
      <c r="D16837" s="1">
        <v>4.6973667253747999E-2</v>
      </c>
      <c r="E16837" s="1">
        <v>1.5670650730411601E-2</v>
      </c>
      <c r="F16837" s="1">
        <v>7.7191020550138401E-3</v>
      </c>
    </row>
    <row r="16838" spans="1:6" x14ac:dyDescent="0.25">
      <c r="A16838" s="2" t="str">
        <f t="shared" si="609"/>
        <v>15380</v>
      </c>
      <c r="B16838" s="2" t="str">
        <f>"14139"</f>
        <v>14139</v>
      </c>
      <c r="C16838" s="1">
        <v>1.8697654864156101E-3</v>
      </c>
      <c r="D16838" s="1">
        <v>7.0879333304695198E-4</v>
      </c>
      <c r="E16838" s="1">
        <v>1.3280212483399701E-3</v>
      </c>
      <c r="F16838" s="1">
        <v>1.75870044715202E-3</v>
      </c>
    </row>
    <row r="16839" spans="1:6" x14ac:dyDescent="0.25">
      <c r="A16839" s="2" t="str">
        <f t="shared" si="609"/>
        <v>15380</v>
      </c>
      <c r="B16839" s="2" t="str">
        <f>"14098"</f>
        <v>14098</v>
      </c>
      <c r="C16839" s="1">
        <v>2.21274022061019E-5</v>
      </c>
      <c r="D16839" s="1">
        <v>0</v>
      </c>
      <c r="E16839" s="1">
        <v>0</v>
      </c>
      <c r="F16839" s="1">
        <v>1.9504995717028E-5</v>
      </c>
    </row>
    <row r="16840" spans="1:6" x14ac:dyDescent="0.25">
      <c r="A16840" s="2" t="str">
        <f t="shared" si="609"/>
        <v>15380</v>
      </c>
      <c r="B16840" s="2" t="str">
        <f>"14273"</f>
        <v>14273</v>
      </c>
      <c r="C16840" s="1">
        <v>0</v>
      </c>
      <c r="D16840" s="1">
        <v>0</v>
      </c>
      <c r="E16840" s="1">
        <v>3.7943464238284898E-5</v>
      </c>
      <c r="F16840" s="1">
        <v>1.6254163097523299E-6</v>
      </c>
    </row>
    <row r="16841" spans="1:6" x14ac:dyDescent="0.25">
      <c r="A16841" s="2" t="str">
        <f t="shared" ref="A16841:A16859" si="610">"15380"</f>
        <v>15380</v>
      </c>
      <c r="B16841" s="2" t="str">
        <f>"14260"</f>
        <v>14260</v>
      </c>
      <c r="C16841" s="1">
        <v>0</v>
      </c>
      <c r="D16841" s="1">
        <v>2.21229434254048E-3</v>
      </c>
      <c r="E16841" s="1">
        <v>0</v>
      </c>
      <c r="F16841" s="1">
        <v>1.6741787990449001E-4</v>
      </c>
    </row>
    <row r="16842" spans="1:6" x14ac:dyDescent="0.25">
      <c r="A16842" s="2" t="str">
        <f t="shared" si="610"/>
        <v>15380</v>
      </c>
      <c r="B16842" s="2" t="str">
        <f>"14302"</f>
        <v>14302</v>
      </c>
      <c r="C16842" s="1">
        <v>2.4708932463480501E-3</v>
      </c>
      <c r="D16842" s="1">
        <v>6.3147042398728403E-3</v>
      </c>
      <c r="E16842" s="1">
        <v>7.5886928476569905E-5</v>
      </c>
      <c r="F16842" s="1">
        <v>2.65918108275482E-3</v>
      </c>
    </row>
    <row r="16843" spans="1:6" x14ac:dyDescent="0.25">
      <c r="A16843" s="2" t="str">
        <f t="shared" si="610"/>
        <v>15380</v>
      </c>
      <c r="B16843" s="2" t="str">
        <f>"14070"</f>
        <v>14070</v>
      </c>
      <c r="C16843" s="1">
        <v>1.93245979266624E-3</v>
      </c>
      <c r="D16843" s="1">
        <v>1.5464581811933499E-3</v>
      </c>
      <c r="E16843" s="1">
        <v>1.8971732119142401E-3</v>
      </c>
      <c r="F16843" s="1">
        <v>1.90173708241023E-3</v>
      </c>
    </row>
    <row r="16844" spans="1:6" x14ac:dyDescent="0.25">
      <c r="A16844" s="2" t="str">
        <f t="shared" si="610"/>
        <v>15380</v>
      </c>
      <c r="B16844" s="2" t="str">
        <f>"14069"</f>
        <v>14069</v>
      </c>
      <c r="C16844" s="1">
        <v>7.4864377463978397E-4</v>
      </c>
      <c r="D16844" s="1">
        <v>1.07392929249538E-4</v>
      </c>
      <c r="E16844" s="1">
        <v>3.4149117814456402E-4</v>
      </c>
      <c r="F16844" s="1">
        <v>6.8267485009598002E-4</v>
      </c>
    </row>
    <row r="16845" spans="1:6" x14ac:dyDescent="0.25">
      <c r="A16845" s="2" t="str">
        <f t="shared" si="610"/>
        <v>15380</v>
      </c>
      <c r="B16845" s="2" t="str">
        <f>"14026"</f>
        <v>14026</v>
      </c>
      <c r="C16845" s="1">
        <v>6.9516921930837098E-4</v>
      </c>
      <c r="D16845" s="1">
        <v>1.8901155547918699E-3</v>
      </c>
      <c r="E16845" s="1">
        <v>8.72699677480553E-4</v>
      </c>
      <c r="F16845" s="1">
        <v>7.9320315915913902E-4</v>
      </c>
    </row>
    <row r="16846" spans="1:6" x14ac:dyDescent="0.25">
      <c r="A16846" s="2" t="str">
        <f t="shared" si="610"/>
        <v>15380</v>
      </c>
      <c r="B16846" s="2" t="str">
        <f>"14047"</f>
        <v>14047</v>
      </c>
      <c r="C16846" s="1">
        <v>5.1132738597934003E-3</v>
      </c>
      <c r="D16846" s="1">
        <v>2.5989088878388199E-3</v>
      </c>
      <c r="E16846" s="1">
        <v>2.7698728893948E-3</v>
      </c>
      <c r="F16846" s="1">
        <v>4.8226101910351701E-3</v>
      </c>
    </row>
    <row r="16847" spans="1:6" x14ac:dyDescent="0.25">
      <c r="A16847" s="2" t="str">
        <f t="shared" si="610"/>
        <v>15380</v>
      </c>
      <c r="B16847" s="2" t="str">
        <f>"14033"</f>
        <v>14033</v>
      </c>
      <c r="C16847" s="1">
        <v>1.81444698090036E-3</v>
      </c>
      <c r="D16847" s="1">
        <v>8.5914343399630497E-4</v>
      </c>
      <c r="E16847" s="1">
        <v>7.20925820527414E-4</v>
      </c>
      <c r="F16847" s="1">
        <v>1.69530921107168E-3</v>
      </c>
    </row>
    <row r="16848" spans="1:6" x14ac:dyDescent="0.25">
      <c r="A16848" s="2" t="str">
        <f t="shared" si="610"/>
        <v>15380</v>
      </c>
      <c r="B16848" s="2" t="str">
        <f>"14031"</f>
        <v>14031</v>
      </c>
      <c r="C16848" s="1">
        <v>8.8546487828084792E-3</v>
      </c>
      <c r="D16848" s="1">
        <v>1.02667640362558E-2</v>
      </c>
      <c r="E16848" s="1">
        <v>5.9191804211724498E-3</v>
      </c>
      <c r="F16848" s="1">
        <v>8.8357630598136904E-3</v>
      </c>
    </row>
    <row r="16849" spans="1:6" x14ac:dyDescent="0.25">
      <c r="A16849" s="2" t="str">
        <f t="shared" si="610"/>
        <v>15380</v>
      </c>
      <c r="B16849" s="2" t="str">
        <f>"14145"</f>
        <v>14145</v>
      </c>
      <c r="C16849" s="1">
        <v>5.7162455699096797E-5</v>
      </c>
      <c r="D16849" s="1">
        <v>2.1478585849907601E-5</v>
      </c>
      <c r="E16849" s="1">
        <v>0</v>
      </c>
      <c r="F16849" s="1">
        <v>5.2013321912074699E-5</v>
      </c>
    </row>
    <row r="16850" spans="1:6" x14ac:dyDescent="0.25">
      <c r="A16850" s="2" t="str">
        <f t="shared" si="610"/>
        <v>15380</v>
      </c>
      <c r="B16850" s="2" t="str">
        <f>"14206"</f>
        <v>14206</v>
      </c>
      <c r="C16850" s="1">
        <v>1.7985890093193201E-2</v>
      </c>
      <c r="D16850" s="1">
        <v>1.96743846385154E-2</v>
      </c>
      <c r="E16850" s="1">
        <v>2.2690191614494402E-2</v>
      </c>
      <c r="F16850" s="1">
        <v>1.8315190978289299E-2</v>
      </c>
    </row>
    <row r="16851" spans="1:6" x14ac:dyDescent="0.25">
      <c r="A16851" s="2" t="str">
        <f t="shared" si="610"/>
        <v>15380</v>
      </c>
      <c r="B16851" s="2" t="str">
        <f>"14131"</f>
        <v>14131</v>
      </c>
      <c r="C16851" s="1">
        <v>4.1433560630925901E-3</v>
      </c>
      <c r="D16851" s="1">
        <v>1.5035010094935301E-3</v>
      </c>
      <c r="E16851" s="1">
        <v>9.1064314171883799E-4</v>
      </c>
      <c r="F16851" s="1">
        <v>3.8050995811302101E-3</v>
      </c>
    </row>
    <row r="16852" spans="1:6" x14ac:dyDescent="0.25">
      <c r="A16852" s="2" t="str">
        <f t="shared" si="610"/>
        <v>15380</v>
      </c>
      <c r="B16852" s="2" t="str">
        <f>"14276"</f>
        <v>14276</v>
      </c>
      <c r="C16852" s="1">
        <v>0</v>
      </c>
      <c r="D16852" s="1">
        <v>2.1478585849907601E-5</v>
      </c>
      <c r="E16852" s="1">
        <v>0</v>
      </c>
      <c r="F16852" s="1">
        <v>1.6254163097523299E-6</v>
      </c>
    </row>
    <row r="16853" spans="1:6" x14ac:dyDescent="0.25">
      <c r="A16853" s="2" t="str">
        <f t="shared" si="610"/>
        <v>15380</v>
      </c>
      <c r="B16853" s="2" t="str">
        <f>"14072"</f>
        <v>14072</v>
      </c>
      <c r="C16853" s="1">
        <v>1.77480205194776E-2</v>
      </c>
      <c r="D16853" s="1">
        <v>1.2801237166544899E-2</v>
      </c>
      <c r="E16853" s="1">
        <v>1.23316258774426E-2</v>
      </c>
      <c r="F16853" s="1">
        <v>1.7141640402648099E-2</v>
      </c>
    </row>
    <row r="16854" spans="1:6" x14ac:dyDescent="0.25">
      <c r="A16854" s="2" t="str">
        <f t="shared" si="610"/>
        <v>15380</v>
      </c>
      <c r="B16854" s="2" t="str">
        <f>"14213"</f>
        <v>14213</v>
      </c>
      <c r="C16854" s="1">
        <v>2.2243571067684001E-2</v>
      </c>
      <c r="D16854" s="1">
        <v>1.6624425447828502E-2</v>
      </c>
      <c r="E16854" s="1">
        <v>2.7964333143615999E-2</v>
      </c>
      <c r="F16854" s="1">
        <v>2.2063400988578102E-2</v>
      </c>
    </row>
    <row r="16855" spans="1:6" x14ac:dyDescent="0.25">
      <c r="A16855" s="2" t="str">
        <f t="shared" si="610"/>
        <v>15380</v>
      </c>
      <c r="B16855" s="2" t="str">
        <f>"14035"</f>
        <v>14035</v>
      </c>
      <c r="C16855" s="1">
        <v>0</v>
      </c>
      <c r="D16855" s="1">
        <v>0</v>
      </c>
      <c r="E16855" s="1">
        <v>3.7943464238284898E-5</v>
      </c>
      <c r="F16855" s="1">
        <v>1.6254163097523299E-6</v>
      </c>
    </row>
    <row r="16856" spans="1:6" x14ac:dyDescent="0.25">
      <c r="A16856" s="2" t="str">
        <f t="shared" si="610"/>
        <v>15380</v>
      </c>
      <c r="B16856" s="2" t="str">
        <f>"14038"</f>
        <v>14038</v>
      </c>
      <c r="C16856" s="1">
        <v>0</v>
      </c>
      <c r="D16856" s="1">
        <v>0</v>
      </c>
      <c r="E16856" s="1">
        <v>3.7943464238284898E-5</v>
      </c>
      <c r="F16856" s="1">
        <v>1.6254163097523299E-6</v>
      </c>
    </row>
    <row r="16857" spans="1:6" x14ac:dyDescent="0.25">
      <c r="A16857" s="2" t="str">
        <f t="shared" si="610"/>
        <v>15380</v>
      </c>
      <c r="B16857" s="2" t="str">
        <f>"14034"</f>
        <v>14034</v>
      </c>
      <c r="C16857" s="1">
        <v>1.4585645954188901E-3</v>
      </c>
      <c r="D16857" s="1">
        <v>3.86614545298337E-4</v>
      </c>
      <c r="E16857" s="1">
        <v>2.6560424966799397E-4</v>
      </c>
      <c r="F16857" s="1">
        <v>1.3263397087579E-3</v>
      </c>
    </row>
    <row r="16858" spans="1:6" x14ac:dyDescent="0.25">
      <c r="A16858" s="2" t="str">
        <f t="shared" si="610"/>
        <v>15380</v>
      </c>
      <c r="B16858" s="2" t="str">
        <f>"14032"</f>
        <v>14032</v>
      </c>
      <c r="C16858" s="1">
        <v>6.19936051807624E-3</v>
      </c>
      <c r="D16858" s="1">
        <v>2.4700373727393702E-3</v>
      </c>
      <c r="E16858" s="1">
        <v>2.3904382470119499E-3</v>
      </c>
      <c r="F16858" s="1">
        <v>5.7539737365232598E-3</v>
      </c>
    </row>
    <row r="16859" spans="1:6" x14ac:dyDescent="0.25">
      <c r="A16859" s="2" t="str">
        <f t="shared" si="610"/>
        <v>15380</v>
      </c>
      <c r="B16859" s="2" t="str">
        <f>"14004"</f>
        <v>14004</v>
      </c>
      <c r="C16859" s="1">
        <v>8.0027437978735499E-3</v>
      </c>
      <c r="D16859" s="1">
        <v>6.0569612096739497E-3</v>
      </c>
      <c r="E16859" s="1">
        <v>5.4259153860747398E-3</v>
      </c>
      <c r="F16859" s="1">
        <v>7.7451087159698699E-3</v>
      </c>
    </row>
    <row r="16860" spans="1:6" x14ac:dyDescent="0.25">
      <c r="A16860" s="2" t="str">
        <f t="shared" ref="A16860:A16904" si="611">"21500"</f>
        <v>21500</v>
      </c>
      <c r="B16860" s="2" t="str">
        <f>"16515"</f>
        <v>16515</v>
      </c>
      <c r="C16860" s="1">
        <v>0</v>
      </c>
      <c r="D16860" s="1">
        <v>3.6954915003695399E-4</v>
      </c>
      <c r="E16860" s="1">
        <v>3.48200961697894E-3</v>
      </c>
      <c r="F16860" s="1">
        <v>1.7479095002377099E-4</v>
      </c>
    </row>
    <row r="16861" spans="1:6" x14ac:dyDescent="0.25">
      <c r="A16861" s="2" t="str">
        <f t="shared" si="611"/>
        <v>21500</v>
      </c>
      <c r="B16861" s="2" t="str">
        <f>"16512"</f>
        <v>16512</v>
      </c>
      <c r="C16861" s="1">
        <v>9.6454867523162596E-3</v>
      </c>
      <c r="D16861" s="1">
        <v>2.6237989652623701E-2</v>
      </c>
      <c r="E16861" s="1">
        <v>1.6580998176090201E-4</v>
      </c>
      <c r="F16861" s="1">
        <v>1.05014402774281E-2</v>
      </c>
    </row>
    <row r="16862" spans="1:6" x14ac:dyDescent="0.25">
      <c r="A16862" s="2" t="str">
        <f t="shared" si="611"/>
        <v>21500</v>
      </c>
      <c r="B16862" s="2" t="str">
        <f>"16504"</f>
        <v>16504</v>
      </c>
      <c r="C16862" s="1">
        <v>5.4995918302647898E-2</v>
      </c>
      <c r="D16862" s="1">
        <v>2.30044345898004E-2</v>
      </c>
      <c r="E16862" s="1">
        <v>2.4208257337091602E-2</v>
      </c>
      <c r="F16862" s="1">
        <v>5.1276673098973602E-2</v>
      </c>
    </row>
    <row r="16863" spans="1:6" x14ac:dyDescent="0.25">
      <c r="A16863" s="2" t="str">
        <f t="shared" si="611"/>
        <v>21500</v>
      </c>
      <c r="B16863" s="2" t="str">
        <f>"16503"</f>
        <v>16503</v>
      </c>
      <c r="C16863" s="1">
        <v>5.6224390321225601E-2</v>
      </c>
      <c r="D16863" s="1">
        <v>5.0720620842571999E-2</v>
      </c>
      <c r="E16863" s="1">
        <v>7.0137622284861506E-2</v>
      </c>
      <c r="F16863" s="1">
        <v>5.6394552115669599E-2</v>
      </c>
    </row>
    <row r="16864" spans="1:6" x14ac:dyDescent="0.25">
      <c r="A16864" s="2" t="str">
        <f t="shared" si="611"/>
        <v>21500</v>
      </c>
      <c r="B16864" s="2" t="str">
        <f>"16442"</f>
        <v>16442</v>
      </c>
      <c r="C16864" s="1">
        <v>8.5358991226332E-3</v>
      </c>
      <c r="D16864" s="1">
        <v>2.4020694752401998E-3</v>
      </c>
      <c r="E16864" s="1">
        <v>1.16066987232631E-3</v>
      </c>
      <c r="F16864" s="1">
        <v>7.7607181810554499E-3</v>
      </c>
    </row>
    <row r="16865" spans="1:6" x14ac:dyDescent="0.25">
      <c r="A16865" s="2" t="str">
        <f t="shared" si="611"/>
        <v>21500</v>
      </c>
      <c r="B16865" s="2" t="str">
        <f>"16506"</f>
        <v>16506</v>
      </c>
      <c r="C16865" s="1">
        <v>8.6167405070815398E-2</v>
      </c>
      <c r="D16865" s="1">
        <v>8.4996304508499598E-2</v>
      </c>
      <c r="E16865" s="1">
        <v>4.0623445531420901E-2</v>
      </c>
      <c r="F16865" s="1">
        <v>8.4158346617445506E-2</v>
      </c>
    </row>
    <row r="16866" spans="1:6" x14ac:dyDescent="0.25">
      <c r="A16866" s="2" t="str">
        <f t="shared" si="611"/>
        <v>21500</v>
      </c>
      <c r="B16866" s="2" t="str">
        <f>"16410"</f>
        <v>16410</v>
      </c>
      <c r="C16866" s="1">
        <v>5.6351200336046499E-3</v>
      </c>
      <c r="D16866" s="1">
        <v>1.38580931263858E-3</v>
      </c>
      <c r="E16866" s="1">
        <v>8.2904990880451005E-4</v>
      </c>
      <c r="F16866" s="1">
        <v>5.1108873786950802E-3</v>
      </c>
    </row>
    <row r="16867" spans="1:6" x14ac:dyDescent="0.25">
      <c r="A16867" s="2" t="str">
        <f t="shared" si="611"/>
        <v>21500</v>
      </c>
      <c r="B16867" s="2" t="str">
        <f>"16541"</f>
        <v>16541</v>
      </c>
      <c r="C16867" s="1">
        <v>7.9256259263075308E-6</v>
      </c>
      <c r="D16867" s="1">
        <v>2.7716186252771602E-4</v>
      </c>
      <c r="E16867" s="1">
        <v>3.3161996352180402E-4</v>
      </c>
      <c r="F16867" s="1">
        <v>4.1949828005705098E-5</v>
      </c>
    </row>
    <row r="16868" spans="1:6" x14ac:dyDescent="0.25">
      <c r="A16868" s="2" t="str">
        <f t="shared" si="611"/>
        <v>21500</v>
      </c>
      <c r="B16868" s="2" t="str">
        <f>"16415"</f>
        <v>16415</v>
      </c>
      <c r="C16868" s="1">
        <v>3.0386849801463001E-2</v>
      </c>
      <c r="D16868" s="1">
        <v>1.9493717664449298E-2</v>
      </c>
      <c r="E16868" s="1">
        <v>6.4665892886751697E-3</v>
      </c>
      <c r="F16868" s="1">
        <v>2.85538495958833E-2</v>
      </c>
    </row>
    <row r="16869" spans="1:6" x14ac:dyDescent="0.25">
      <c r="A16869" s="2" t="str">
        <f t="shared" si="611"/>
        <v>21500</v>
      </c>
      <c r="B16869" s="2" t="str">
        <f>"16563"</f>
        <v>16563</v>
      </c>
      <c r="C16869" s="1">
        <v>0</v>
      </c>
      <c r="D16869" s="1">
        <v>3.1411677753141101E-3</v>
      </c>
      <c r="E16869" s="1">
        <v>2.8187696899353298E-3</v>
      </c>
      <c r="F16869" s="1">
        <v>3.56573538048494E-4</v>
      </c>
    </row>
    <row r="16870" spans="1:6" x14ac:dyDescent="0.25">
      <c r="A16870" s="2" t="str">
        <f t="shared" si="611"/>
        <v>21500</v>
      </c>
      <c r="B16870" s="2" t="str">
        <f>"16546"</f>
        <v>16546</v>
      </c>
      <c r="C16870" s="1">
        <v>1.1095876296830499E-4</v>
      </c>
      <c r="D16870" s="1">
        <v>9.2387287509238702E-5</v>
      </c>
      <c r="E16870" s="1">
        <v>3.3161996352180402E-4</v>
      </c>
      <c r="F16870" s="1">
        <v>1.18857846016164E-4</v>
      </c>
    </row>
    <row r="16871" spans="1:6" x14ac:dyDescent="0.25">
      <c r="A16871" s="2" t="str">
        <f t="shared" si="611"/>
        <v>21500</v>
      </c>
      <c r="B16871" s="2" t="str">
        <f>"16501"</f>
        <v>16501</v>
      </c>
      <c r="C16871" s="1">
        <v>1.17378519968614E-2</v>
      </c>
      <c r="D16871" s="1">
        <v>0.108185513673318</v>
      </c>
      <c r="E16871" s="1">
        <v>4.2613165312551798E-2</v>
      </c>
      <c r="F16871" s="1">
        <v>2.0338674944765999E-2</v>
      </c>
    </row>
    <row r="16872" spans="1:6" x14ac:dyDescent="0.25">
      <c r="A16872" s="2" t="str">
        <f t="shared" si="611"/>
        <v>21500</v>
      </c>
      <c r="B16872" s="2" t="str">
        <f>"16443"</f>
        <v>16443</v>
      </c>
      <c r="C16872" s="1">
        <v>4.7712268076371299E-3</v>
      </c>
      <c r="D16872" s="1">
        <v>1.84774575018477E-3</v>
      </c>
      <c r="E16872" s="1">
        <v>1.9897197811308198E-3</v>
      </c>
      <c r="F16872" s="1">
        <v>4.4326984926028401E-3</v>
      </c>
    </row>
    <row r="16873" spans="1:6" x14ac:dyDescent="0.25">
      <c r="A16873" s="2" t="str">
        <f t="shared" si="611"/>
        <v>21500</v>
      </c>
      <c r="B16873" s="2" t="str">
        <f>"16403"</f>
        <v>16403</v>
      </c>
      <c r="C16873" s="1">
        <v>1.14921575931459E-3</v>
      </c>
      <c r="D16873" s="1">
        <v>2.7716186252771602E-4</v>
      </c>
      <c r="E16873" s="1">
        <v>0</v>
      </c>
      <c r="F16873" s="1">
        <v>1.03476242414072E-3</v>
      </c>
    </row>
    <row r="16874" spans="1:6" x14ac:dyDescent="0.25">
      <c r="A16874" s="2" t="str">
        <f t="shared" si="611"/>
        <v>21500</v>
      </c>
      <c r="B16874" s="2" t="str">
        <f>"16427"</f>
        <v>16427</v>
      </c>
      <c r="C16874" s="1">
        <v>0</v>
      </c>
      <c r="D16874" s="1">
        <v>0</v>
      </c>
      <c r="E16874" s="1">
        <v>1.6580998176090201E-4</v>
      </c>
      <c r="F16874" s="1">
        <v>6.9916380009508596E-6</v>
      </c>
    </row>
    <row r="16875" spans="1:6" x14ac:dyDescent="0.25">
      <c r="A16875" s="2" t="str">
        <f t="shared" si="611"/>
        <v>21500</v>
      </c>
      <c r="B16875" s="2" t="str">
        <f>"16430"</f>
        <v>16430</v>
      </c>
      <c r="C16875" s="1">
        <v>4.67611929652144E-4</v>
      </c>
      <c r="D16875" s="1">
        <v>9.2387287509238702E-5</v>
      </c>
      <c r="E16875" s="1">
        <v>1.6580998176090201E-4</v>
      </c>
      <c r="F16875" s="1">
        <v>4.2648991805800202E-4</v>
      </c>
    </row>
    <row r="16876" spans="1:6" x14ac:dyDescent="0.25">
      <c r="A16876" s="2" t="str">
        <f t="shared" si="611"/>
        <v>21500</v>
      </c>
      <c r="B16876" s="2" t="str">
        <f>"16544"</f>
        <v>16544</v>
      </c>
      <c r="C16876" s="1">
        <v>0</v>
      </c>
      <c r="D16876" s="1">
        <v>1.84774575018477E-4</v>
      </c>
      <c r="E16876" s="1">
        <v>1.6580998176090201E-4</v>
      </c>
      <c r="F16876" s="1">
        <v>2.0974914002852498E-5</v>
      </c>
    </row>
    <row r="16877" spans="1:6" x14ac:dyDescent="0.25">
      <c r="A16877" s="2" t="str">
        <f t="shared" si="611"/>
        <v>21500</v>
      </c>
      <c r="B16877" s="2" t="str">
        <f>"16509"</f>
        <v>16509</v>
      </c>
      <c r="C16877" s="1">
        <v>0.106322271801415</v>
      </c>
      <c r="D16877" s="1">
        <v>7.7790096082778995E-2</v>
      </c>
      <c r="E16877" s="1">
        <v>5.9359973470402901E-2</v>
      </c>
      <c r="F16877" s="1">
        <v>0.10218278938389599</v>
      </c>
    </row>
    <row r="16878" spans="1:6" x14ac:dyDescent="0.25">
      <c r="A16878" s="2" t="str">
        <f t="shared" si="611"/>
        <v>21500</v>
      </c>
      <c r="B16878" s="2" t="str">
        <f>"16507"</f>
        <v>16507</v>
      </c>
      <c r="C16878" s="1">
        <v>3.6806606801772099E-2</v>
      </c>
      <c r="D16878" s="1">
        <v>4.0835181079083502E-2</v>
      </c>
      <c r="E16878" s="1">
        <v>0.131653125518156</v>
      </c>
      <c r="F16878" s="1">
        <v>4.1110831445591002E-2</v>
      </c>
    </row>
    <row r="16879" spans="1:6" x14ac:dyDescent="0.25">
      <c r="A16879" s="2" t="str">
        <f t="shared" si="611"/>
        <v>21500</v>
      </c>
      <c r="B16879" s="2" t="str">
        <f>"16435"</f>
        <v>16435</v>
      </c>
      <c r="C16879" s="1">
        <v>1.18884388894612E-4</v>
      </c>
      <c r="D16879" s="1">
        <v>0</v>
      </c>
      <c r="E16879" s="1">
        <v>0</v>
      </c>
      <c r="F16879" s="1">
        <v>1.04874570014262E-4</v>
      </c>
    </row>
    <row r="16880" spans="1:6" x14ac:dyDescent="0.25">
      <c r="A16880" s="2" t="str">
        <f t="shared" si="611"/>
        <v>21500</v>
      </c>
      <c r="B16880" s="2" t="str">
        <f>"16401"</f>
        <v>16401</v>
      </c>
      <c r="C16880" s="1">
        <v>1.51141686414684E-2</v>
      </c>
      <c r="D16880" s="1">
        <v>9.60827790096082E-3</v>
      </c>
      <c r="E16880" s="1">
        <v>1.4922898358481101E-3</v>
      </c>
      <c r="F16880" s="1">
        <v>1.4123108761920701E-2</v>
      </c>
    </row>
    <row r="16881" spans="1:6" x14ac:dyDescent="0.25">
      <c r="A16881" s="2" t="str">
        <f t="shared" si="611"/>
        <v>21500</v>
      </c>
      <c r="B16881" s="2" t="str">
        <f>"16426"</f>
        <v>16426</v>
      </c>
      <c r="C16881" s="1">
        <v>1.3774737859922399E-2</v>
      </c>
      <c r="D16881" s="1">
        <v>6.1899482631189899E-3</v>
      </c>
      <c r="E16881" s="1">
        <v>3.9794395622616396E-3</v>
      </c>
      <c r="F16881" s="1">
        <v>1.2787705903739101E-2</v>
      </c>
    </row>
    <row r="16882" spans="1:6" x14ac:dyDescent="0.25">
      <c r="A16882" s="2" t="str">
        <f t="shared" si="611"/>
        <v>21500</v>
      </c>
      <c r="B16882" s="2" t="str">
        <f>"16407"</f>
        <v>16407</v>
      </c>
      <c r="C16882" s="1">
        <v>3.3604653927543901E-2</v>
      </c>
      <c r="D16882" s="1">
        <v>4.0096082779009598E-2</v>
      </c>
      <c r="E16882" s="1">
        <v>3.0177416680484102E-2</v>
      </c>
      <c r="F16882" s="1">
        <v>3.3951394132617302E-2</v>
      </c>
    </row>
    <row r="16883" spans="1:6" x14ac:dyDescent="0.25">
      <c r="A16883" s="2" t="str">
        <f t="shared" si="611"/>
        <v>21500</v>
      </c>
      <c r="B16883" s="2" t="str">
        <f>"16534"</f>
        <v>16534</v>
      </c>
      <c r="C16883" s="1">
        <v>0</v>
      </c>
      <c r="D16883" s="1">
        <v>9.2387287509238702E-5</v>
      </c>
      <c r="E16883" s="1">
        <v>0</v>
      </c>
      <c r="F16883" s="1">
        <v>6.9916380009508596E-6</v>
      </c>
    </row>
    <row r="16884" spans="1:6" x14ac:dyDescent="0.25">
      <c r="A16884" s="2" t="str">
        <f t="shared" si="611"/>
        <v>21500</v>
      </c>
      <c r="B16884" s="2" t="str">
        <f>"16530"</f>
        <v>16530</v>
      </c>
      <c r="C16884" s="1">
        <v>0</v>
      </c>
      <c r="D16884" s="1">
        <v>2.7716186252771602E-4</v>
      </c>
      <c r="E16884" s="1">
        <v>0</v>
      </c>
      <c r="F16884" s="1">
        <v>2.0974914002852498E-5</v>
      </c>
    </row>
    <row r="16885" spans="1:6" x14ac:dyDescent="0.25">
      <c r="A16885" s="2" t="str">
        <f t="shared" si="611"/>
        <v>21500</v>
      </c>
      <c r="B16885" s="2" t="str">
        <f>"16511"</f>
        <v>16511</v>
      </c>
      <c r="C16885" s="1">
        <v>4.0111592813042399E-2</v>
      </c>
      <c r="D16885" s="1">
        <v>2.22653362897265E-2</v>
      </c>
      <c r="E16885" s="1">
        <v>4.84165146741833E-2</v>
      </c>
      <c r="F16885" s="1">
        <v>3.9111222977319102E-2</v>
      </c>
    </row>
    <row r="16886" spans="1:6" x14ac:dyDescent="0.25">
      <c r="A16886" s="2" t="str">
        <f t="shared" si="611"/>
        <v>21500</v>
      </c>
      <c r="B16886" s="2" t="str">
        <f>"16510"</f>
        <v>16510</v>
      </c>
      <c r="C16886" s="1">
        <v>8.3361733492902601E-2</v>
      </c>
      <c r="D16886" s="1">
        <v>5.3584626755358397E-2</v>
      </c>
      <c r="E16886" s="1">
        <v>5.3556624108771302E-2</v>
      </c>
      <c r="F16886" s="1">
        <v>7.9851497608859803E-2</v>
      </c>
    </row>
    <row r="16887" spans="1:6" x14ac:dyDescent="0.25">
      <c r="A16887" s="2" t="str">
        <f t="shared" si="611"/>
        <v>21500</v>
      </c>
      <c r="B16887" s="2" t="str">
        <f>"16475"</f>
        <v>16475</v>
      </c>
      <c r="C16887" s="1">
        <v>0</v>
      </c>
      <c r="D16887" s="1">
        <v>9.2387287509238702E-5</v>
      </c>
      <c r="E16887" s="1">
        <v>0</v>
      </c>
      <c r="F16887" s="1">
        <v>6.9916380009508596E-6</v>
      </c>
    </row>
    <row r="16888" spans="1:6" x14ac:dyDescent="0.25">
      <c r="A16888" s="2" t="str">
        <f t="shared" si="611"/>
        <v>21500</v>
      </c>
      <c r="B16888" s="2" t="str">
        <f>"16413"</f>
        <v>16413</v>
      </c>
      <c r="C16888" s="1">
        <v>0</v>
      </c>
      <c r="D16888" s="1">
        <v>0</v>
      </c>
      <c r="E16888" s="1">
        <v>1.6580998176090201E-4</v>
      </c>
      <c r="F16888" s="1">
        <v>6.9916380009508596E-6</v>
      </c>
    </row>
    <row r="16889" spans="1:6" x14ac:dyDescent="0.25">
      <c r="A16889" s="2" t="str">
        <f t="shared" si="611"/>
        <v>21500</v>
      </c>
      <c r="B16889" s="2" t="str">
        <f>"16411"</f>
        <v>16411</v>
      </c>
      <c r="C16889" s="1">
        <v>4.6364911668898999E-3</v>
      </c>
      <c r="D16889" s="1">
        <v>6.4671101256467099E-4</v>
      </c>
      <c r="E16889" s="1">
        <v>2.1555297628917201E-3</v>
      </c>
      <c r="F16889" s="1">
        <v>4.22994099057527E-3</v>
      </c>
    </row>
    <row r="16890" spans="1:6" x14ac:dyDescent="0.25">
      <c r="A16890" s="2" t="str">
        <f t="shared" si="611"/>
        <v>21500</v>
      </c>
      <c r="B16890" s="2" t="str">
        <f>"16514"</f>
        <v>16514</v>
      </c>
      <c r="C16890" s="1">
        <v>5.1041030965420396E-3</v>
      </c>
      <c r="D16890" s="1">
        <v>1.3765705838876501E-2</v>
      </c>
      <c r="E16890" s="1">
        <v>1.6580998176090201E-4</v>
      </c>
      <c r="F16890" s="1">
        <v>5.5513605727549797E-3</v>
      </c>
    </row>
    <row r="16891" spans="1:6" x14ac:dyDescent="0.25">
      <c r="A16891" s="2" t="str">
        <f t="shared" si="611"/>
        <v>21500</v>
      </c>
      <c r="B16891" s="2" t="str">
        <f>"16565"</f>
        <v>16565</v>
      </c>
      <c r="C16891" s="1">
        <v>0</v>
      </c>
      <c r="D16891" s="1">
        <v>1.9401330376940099E-2</v>
      </c>
      <c r="E16891" s="1">
        <v>4.9742994528270603E-4</v>
      </c>
      <c r="F16891" s="1">
        <v>1.48921889420253E-3</v>
      </c>
    </row>
    <row r="16892" spans="1:6" x14ac:dyDescent="0.25">
      <c r="A16892" s="2" t="str">
        <f t="shared" si="611"/>
        <v>21500</v>
      </c>
      <c r="B16892" s="2" t="str">
        <f>"16505"</f>
        <v>16505</v>
      </c>
      <c r="C16892" s="1">
        <v>7.4168007418385806E-2</v>
      </c>
      <c r="D16892" s="1">
        <v>0.12980413895048001</v>
      </c>
      <c r="E16892" s="1">
        <v>5.7867683634554801E-2</v>
      </c>
      <c r="F16892" s="1">
        <v>7.7691081466565906E-2</v>
      </c>
    </row>
    <row r="16893" spans="1:6" x14ac:dyDescent="0.25">
      <c r="A16893" s="2" t="str">
        <f t="shared" si="611"/>
        <v>21500</v>
      </c>
      <c r="B16893" s="2" t="str">
        <f>"16441"</f>
        <v>16441</v>
      </c>
      <c r="C16893" s="1">
        <v>3.8986153931506701E-2</v>
      </c>
      <c r="D16893" s="1">
        <v>2.5314116777531401E-2</v>
      </c>
      <c r="E16893" s="1">
        <v>9.4511689603714102E-3</v>
      </c>
      <c r="F16893" s="1">
        <v>3.6706099504991999E-2</v>
      </c>
    </row>
    <row r="16894" spans="1:6" x14ac:dyDescent="0.25">
      <c r="A16894" s="2" t="str">
        <f t="shared" si="611"/>
        <v>21500</v>
      </c>
      <c r="B16894" s="2" t="str">
        <f>"16438"</f>
        <v>16438</v>
      </c>
      <c r="C16894" s="1">
        <v>2.1858876304756102E-2</v>
      </c>
      <c r="D16894" s="1">
        <v>1.7184035476718401E-2</v>
      </c>
      <c r="E16894" s="1">
        <v>8.4563090698059999E-3</v>
      </c>
      <c r="F16894" s="1">
        <v>2.0939955812847799E-2</v>
      </c>
    </row>
    <row r="16895" spans="1:6" x14ac:dyDescent="0.25">
      <c r="A16895" s="2" t="str">
        <f t="shared" si="611"/>
        <v>21500</v>
      </c>
      <c r="B16895" s="2" t="str">
        <f>"16428"</f>
        <v>16428</v>
      </c>
      <c r="C16895" s="1">
        <v>4.4011000768785703E-2</v>
      </c>
      <c r="D16895" s="1">
        <v>3.2797487065779701E-2</v>
      </c>
      <c r="E16895" s="1">
        <v>3.2664566406897598E-2</v>
      </c>
      <c r="F16895" s="1">
        <v>4.2683949995805E-2</v>
      </c>
    </row>
    <row r="16896" spans="1:6" x14ac:dyDescent="0.25">
      <c r="A16896" s="2" t="str">
        <f t="shared" si="611"/>
        <v>21500</v>
      </c>
      <c r="B16896" s="2" t="str">
        <f>"16550"</f>
        <v>16550</v>
      </c>
      <c r="C16896" s="1">
        <v>0</v>
      </c>
      <c r="D16896" s="1">
        <v>9.2387287509238702E-5</v>
      </c>
      <c r="E16896" s="1">
        <v>1.6580998176090201E-4</v>
      </c>
      <c r="F16896" s="1">
        <v>1.3983276001901701E-5</v>
      </c>
    </row>
    <row r="16897" spans="1:6" x14ac:dyDescent="0.25">
      <c r="A16897" s="2" t="str">
        <f t="shared" si="611"/>
        <v>21500</v>
      </c>
      <c r="B16897" s="2" t="str">
        <f>"16444"</f>
        <v>16444</v>
      </c>
      <c r="C16897" s="1">
        <v>1.5851251852615001E-5</v>
      </c>
      <c r="D16897" s="1">
        <v>3.6954915003695399E-4</v>
      </c>
      <c r="E16897" s="1">
        <v>0</v>
      </c>
      <c r="F16897" s="1">
        <v>4.1949828005705098E-5</v>
      </c>
    </row>
    <row r="16898" spans="1:6" x14ac:dyDescent="0.25">
      <c r="A16898" s="2" t="str">
        <f t="shared" si="611"/>
        <v>21500</v>
      </c>
      <c r="B16898" s="2" t="str">
        <f>"16502"</f>
        <v>16502</v>
      </c>
      <c r="C16898" s="1">
        <v>6.1621741577040999E-2</v>
      </c>
      <c r="D16898" s="1">
        <v>5.3307464892830697E-2</v>
      </c>
      <c r="E16898" s="1">
        <v>0.220858895705521</v>
      </c>
      <c r="F16898" s="1">
        <v>6.77070224012081E-2</v>
      </c>
    </row>
    <row r="16899" spans="1:6" x14ac:dyDescent="0.25">
      <c r="A16899" s="2" t="str">
        <f t="shared" si="611"/>
        <v>21500</v>
      </c>
      <c r="B16899" s="2" t="str">
        <f>"16421"</f>
        <v>16421</v>
      </c>
      <c r="C16899" s="1">
        <v>8.0445103152021399E-3</v>
      </c>
      <c r="D16899" s="1">
        <v>4.1574279379157399E-3</v>
      </c>
      <c r="E16899" s="1">
        <v>3.6478195987398399E-3</v>
      </c>
      <c r="F16899" s="1">
        <v>7.5649523170288301E-3</v>
      </c>
    </row>
    <row r="16900" spans="1:6" x14ac:dyDescent="0.25">
      <c r="A16900" s="2" t="str">
        <f t="shared" si="611"/>
        <v>21500</v>
      </c>
      <c r="B16900" s="2" t="str">
        <f>"16412"</f>
        <v>16412</v>
      </c>
      <c r="C16900" s="1">
        <v>3.6537135520277701E-2</v>
      </c>
      <c r="D16900" s="1">
        <v>2.7716186252771599E-2</v>
      </c>
      <c r="E16900" s="1">
        <v>4.6758414856574303E-2</v>
      </c>
      <c r="F16900" s="1">
        <v>3.6300584500936803E-2</v>
      </c>
    </row>
    <row r="16901" spans="1:6" x14ac:dyDescent="0.25">
      <c r="A16901" s="2" t="str">
        <f t="shared" si="611"/>
        <v>21500</v>
      </c>
      <c r="B16901" s="2" t="str">
        <f>"16508"</f>
        <v>16508</v>
      </c>
      <c r="C16901" s="1">
        <v>6.1463229058514798E-2</v>
      </c>
      <c r="D16901" s="1">
        <v>7.2154471544715396E-2</v>
      </c>
      <c r="E16901" s="1">
        <v>4.8084894710661498E-2</v>
      </c>
      <c r="F16901" s="1">
        <v>6.1708196996392302E-2</v>
      </c>
    </row>
    <row r="16902" spans="1:6" x14ac:dyDescent="0.25">
      <c r="A16902" s="2" t="str">
        <f t="shared" si="611"/>
        <v>21500</v>
      </c>
      <c r="B16902" s="2" t="str">
        <f>"16434"</f>
        <v>16434</v>
      </c>
      <c r="C16902" s="1">
        <v>5.54793814841527E-5</v>
      </c>
      <c r="D16902" s="1">
        <v>0</v>
      </c>
      <c r="E16902" s="1">
        <v>0</v>
      </c>
      <c r="F16902" s="1">
        <v>4.8941466006655998E-5</v>
      </c>
    </row>
    <row r="16903" spans="1:6" x14ac:dyDescent="0.25">
      <c r="A16903" s="2" t="str">
        <f t="shared" si="611"/>
        <v>21500</v>
      </c>
      <c r="B16903" s="2" t="str">
        <f>"16423"</f>
        <v>16423</v>
      </c>
      <c r="C16903" s="1">
        <v>1.4916027993310699E-2</v>
      </c>
      <c r="D16903" s="1">
        <v>6.9290465631928998E-3</v>
      </c>
      <c r="E16903" s="1">
        <v>2.7524456972309701E-2</v>
      </c>
      <c r="F16903" s="1">
        <v>1.48432474760186E-2</v>
      </c>
    </row>
    <row r="16904" spans="1:6" x14ac:dyDescent="0.25">
      <c r="A16904" s="2" t="str">
        <f t="shared" si="611"/>
        <v>21500</v>
      </c>
      <c r="B16904" s="2" t="str">
        <f>"16417"</f>
        <v>16417</v>
      </c>
      <c r="C16904" s="1">
        <v>2.9530882201421801E-2</v>
      </c>
      <c r="D16904" s="1">
        <v>2.28196600147819E-2</v>
      </c>
      <c r="E16904" s="1">
        <v>1.7244238103133799E-2</v>
      </c>
      <c r="F16904" s="1">
        <v>2.8504908129876601E-2</v>
      </c>
    </row>
    <row r="16905" spans="1:6" x14ac:dyDescent="0.25">
      <c r="A16905" s="2" t="str">
        <f t="shared" ref="A16905:A16924" si="612">"42780"</f>
        <v>42780</v>
      </c>
      <c r="B16905" s="2" t="str">
        <f>"17864"</f>
        <v>17864</v>
      </c>
      <c r="C16905" s="1">
        <v>5.41960281870595E-2</v>
      </c>
      <c r="D16905" s="1">
        <v>3.9321511179645302E-2</v>
      </c>
      <c r="E16905" s="1">
        <v>3.3707865168539297E-2</v>
      </c>
      <c r="F16905" s="1">
        <v>5.2655969414354298E-2</v>
      </c>
    </row>
    <row r="16906" spans="1:6" x14ac:dyDescent="0.25">
      <c r="A16906" s="2" t="str">
        <f t="shared" si="612"/>
        <v>42780</v>
      </c>
      <c r="B16906" s="2" t="str">
        <f>"17841"</f>
        <v>17841</v>
      </c>
      <c r="C16906" s="1">
        <v>5.0288276745675799E-2</v>
      </c>
      <c r="D16906" s="1">
        <v>1.5420200462606001E-2</v>
      </c>
      <c r="E16906" s="1">
        <v>1.12359550561797E-2</v>
      </c>
      <c r="F16906" s="1">
        <v>4.6863233505184398E-2</v>
      </c>
    </row>
    <row r="16907" spans="1:6" x14ac:dyDescent="0.25">
      <c r="A16907" s="2" t="str">
        <f t="shared" si="612"/>
        <v>42780</v>
      </c>
      <c r="B16907" s="2" t="str">
        <f>"17882"</f>
        <v>17882</v>
      </c>
      <c r="C16907" s="1">
        <v>0</v>
      </c>
      <c r="D16907" s="1">
        <v>7.7101002313030001E-4</v>
      </c>
      <c r="E16907" s="1">
        <v>0</v>
      </c>
      <c r="F16907" s="1">
        <v>5.7927359091698999E-5</v>
      </c>
    </row>
    <row r="16908" spans="1:6" x14ac:dyDescent="0.25">
      <c r="A16908" s="2" t="str">
        <f t="shared" si="612"/>
        <v>42780</v>
      </c>
      <c r="B16908" s="2" t="str">
        <f>"17862"</f>
        <v>17862</v>
      </c>
      <c r="C16908" s="1">
        <v>5.1249199231262E-4</v>
      </c>
      <c r="D16908" s="1">
        <v>7.7101002313030001E-4</v>
      </c>
      <c r="E16908" s="1">
        <v>0</v>
      </c>
      <c r="F16908" s="1">
        <v>5.2134623182529096E-4</v>
      </c>
    </row>
    <row r="16909" spans="1:6" x14ac:dyDescent="0.25">
      <c r="A16909" s="2" t="str">
        <f t="shared" si="612"/>
        <v>42780</v>
      </c>
      <c r="B16909" s="2" t="str">
        <f>"17870"</f>
        <v>17870</v>
      </c>
      <c r="C16909" s="1">
        <v>0.36457399103138999</v>
      </c>
      <c r="D16909" s="1">
        <v>0.52814186584425504</v>
      </c>
      <c r="E16909" s="1">
        <v>0.550561797752808</v>
      </c>
      <c r="F16909" s="1">
        <v>0.38069860395064498</v>
      </c>
    </row>
    <row r="16910" spans="1:6" x14ac:dyDescent="0.25">
      <c r="A16910" s="2" t="str">
        <f t="shared" si="612"/>
        <v>42780</v>
      </c>
      <c r="B16910" s="2" t="str">
        <f>"17853"</f>
        <v>17853</v>
      </c>
      <c r="C16910" s="1">
        <v>7.1172325432415098E-2</v>
      </c>
      <c r="D16910" s="1">
        <v>6.3993831919814906E-2</v>
      </c>
      <c r="E16910" s="1">
        <v>5.0561797752808897E-2</v>
      </c>
      <c r="F16910" s="1">
        <v>7.0207959219139096E-2</v>
      </c>
    </row>
    <row r="16911" spans="1:6" x14ac:dyDescent="0.25">
      <c r="A16911" s="2" t="str">
        <f t="shared" si="612"/>
        <v>42780</v>
      </c>
      <c r="B16911" s="2" t="str">
        <f>"17842"</f>
        <v>17842</v>
      </c>
      <c r="C16911" s="1">
        <v>0.23472133247918001</v>
      </c>
      <c r="D16911" s="1">
        <v>0.18427139552814101</v>
      </c>
      <c r="E16911" s="1">
        <v>0.24157303370786501</v>
      </c>
      <c r="F16911" s="1">
        <v>0.23107223541678701</v>
      </c>
    </row>
    <row r="16912" spans="1:6" x14ac:dyDescent="0.25">
      <c r="A16912" s="2" t="str">
        <f t="shared" si="612"/>
        <v>42780</v>
      </c>
      <c r="B16912" s="2" t="str">
        <f>"17063"</f>
        <v>17063</v>
      </c>
      <c r="C16912" s="1">
        <v>7.6873798846892999E-4</v>
      </c>
      <c r="D16912" s="1">
        <v>0</v>
      </c>
      <c r="E16912" s="1">
        <v>0</v>
      </c>
      <c r="F16912" s="1">
        <v>6.9512830910038802E-4</v>
      </c>
    </row>
    <row r="16913" spans="1:6" x14ac:dyDescent="0.25">
      <c r="A16913" s="2" t="str">
        <f t="shared" si="612"/>
        <v>42780</v>
      </c>
      <c r="B16913" s="2" t="str">
        <f>"17889"</f>
        <v>17889</v>
      </c>
      <c r="C16913" s="1">
        <v>3.40807174887892E-2</v>
      </c>
      <c r="D16913" s="1">
        <v>9.2521202775635997E-3</v>
      </c>
      <c r="E16913" s="1">
        <v>5.6179775280898797E-3</v>
      </c>
      <c r="F16913" s="1">
        <v>3.1628338064067597E-2</v>
      </c>
    </row>
    <row r="16914" spans="1:6" x14ac:dyDescent="0.25">
      <c r="A16914" s="2" t="str">
        <f t="shared" si="612"/>
        <v>42780</v>
      </c>
      <c r="B16914" s="2" t="str">
        <f>"17843"</f>
        <v>17843</v>
      </c>
      <c r="C16914" s="1">
        <v>0</v>
      </c>
      <c r="D16914" s="1">
        <v>0</v>
      </c>
      <c r="E16914" s="1">
        <v>2.8089887640449398E-3</v>
      </c>
      <c r="F16914" s="1">
        <v>5.7927359091698999E-5</v>
      </c>
    </row>
    <row r="16915" spans="1:6" x14ac:dyDescent="0.25">
      <c r="A16915" s="2" t="str">
        <f t="shared" si="612"/>
        <v>42780</v>
      </c>
      <c r="B16915" s="2" t="str">
        <f>"17844"</f>
        <v>17844</v>
      </c>
      <c r="C16915" s="1">
        <v>1.28122998078155E-4</v>
      </c>
      <c r="D16915" s="1">
        <v>7.7101002313030001E-4</v>
      </c>
      <c r="E16915" s="1">
        <v>0</v>
      </c>
      <c r="F16915" s="1">
        <v>1.73782077275097E-4</v>
      </c>
    </row>
    <row r="16916" spans="1:6" x14ac:dyDescent="0.25">
      <c r="A16916" s="2" t="str">
        <f t="shared" si="612"/>
        <v>42780</v>
      </c>
      <c r="B16916" s="2" t="str">
        <f>"17045"</f>
        <v>17045</v>
      </c>
      <c r="C16916" s="1">
        <v>5.8295964125560503E-3</v>
      </c>
      <c r="D16916" s="1">
        <v>3.8550501156515002E-3</v>
      </c>
      <c r="E16916" s="1">
        <v>0</v>
      </c>
      <c r="F16916" s="1">
        <v>5.5610264728030998E-3</v>
      </c>
    </row>
    <row r="16917" spans="1:6" x14ac:dyDescent="0.25">
      <c r="A16917" s="2" t="str">
        <f t="shared" si="612"/>
        <v>42780</v>
      </c>
      <c r="B16917" s="2" t="str">
        <f>"17813"</f>
        <v>17813</v>
      </c>
      <c r="C16917" s="1">
        <v>5.2274183215887199E-2</v>
      </c>
      <c r="D16917" s="1">
        <v>3.62374710871241E-2</v>
      </c>
      <c r="E16917" s="1">
        <v>2.2471910112359501E-2</v>
      </c>
      <c r="F16917" s="1">
        <v>5.0454729768869798E-2</v>
      </c>
    </row>
    <row r="16918" spans="1:6" x14ac:dyDescent="0.25">
      <c r="A16918" s="2" t="str">
        <f t="shared" si="612"/>
        <v>42780</v>
      </c>
      <c r="B16918" s="2" t="str">
        <f>"17812"</f>
        <v>17812</v>
      </c>
      <c r="C16918" s="1">
        <v>4.1575912876361303E-2</v>
      </c>
      <c r="D16918" s="1">
        <v>3.2382420971472599E-2</v>
      </c>
      <c r="E16918" s="1">
        <v>2.2471910112359501E-2</v>
      </c>
      <c r="F16918" s="1">
        <v>4.0491224005097602E-2</v>
      </c>
    </row>
    <row r="16919" spans="1:6" x14ac:dyDescent="0.25">
      <c r="A16919" s="2" t="str">
        <f t="shared" si="612"/>
        <v>42780</v>
      </c>
      <c r="B16919" s="2" t="str">
        <f>"17833"</f>
        <v>17833</v>
      </c>
      <c r="C16919" s="1">
        <v>0</v>
      </c>
      <c r="D16919" s="1">
        <v>2.3130300693908999E-3</v>
      </c>
      <c r="E16919" s="1">
        <v>0</v>
      </c>
      <c r="F16919" s="1">
        <v>1.73782077275097E-4</v>
      </c>
    </row>
    <row r="16920" spans="1:6" x14ac:dyDescent="0.25">
      <c r="A16920" s="2" t="str">
        <f t="shared" si="612"/>
        <v>42780</v>
      </c>
      <c r="B16920" s="2" t="str">
        <f>"17831"</f>
        <v>17831</v>
      </c>
      <c r="C16920" s="1">
        <v>6.40614990390775E-5</v>
      </c>
      <c r="D16920" s="1">
        <v>7.7101002313030001E-4</v>
      </c>
      <c r="E16920" s="1">
        <v>0</v>
      </c>
      <c r="F16920" s="1">
        <v>1.15854718183398E-4</v>
      </c>
    </row>
    <row r="16921" spans="1:6" x14ac:dyDescent="0.25">
      <c r="A16921" s="2" t="str">
        <f t="shared" si="612"/>
        <v>42780</v>
      </c>
      <c r="B16921" s="2" t="str">
        <f>"17827"</f>
        <v>17827</v>
      </c>
      <c r="C16921" s="1">
        <v>1.37732222934016E-2</v>
      </c>
      <c r="D16921" s="1">
        <v>1.5420200462606E-3</v>
      </c>
      <c r="E16921" s="1">
        <v>2.8089887640449398E-3</v>
      </c>
      <c r="F16921" s="1">
        <v>1.26281642819903E-2</v>
      </c>
    </row>
    <row r="16922" spans="1:6" x14ac:dyDescent="0.25">
      <c r="A16922" s="2" t="str">
        <f t="shared" si="612"/>
        <v>42780</v>
      </c>
      <c r="B16922" s="2" t="str">
        <f>"17861"</f>
        <v>17861</v>
      </c>
      <c r="C16922" s="1">
        <v>4.4843049327354201E-4</v>
      </c>
      <c r="D16922" s="1">
        <v>7.7101002313030001E-4</v>
      </c>
      <c r="E16922" s="1">
        <v>0</v>
      </c>
      <c r="F16922" s="1">
        <v>4.6341887273359199E-4</v>
      </c>
    </row>
    <row r="16923" spans="1:6" x14ac:dyDescent="0.25">
      <c r="A16923" s="2" t="str">
        <f t="shared" si="612"/>
        <v>42780</v>
      </c>
      <c r="B16923" s="2" t="str">
        <f>"17876"</f>
        <v>17876</v>
      </c>
      <c r="C16923" s="1">
        <v>5.3235105701473398E-2</v>
      </c>
      <c r="D16923" s="1">
        <v>6.3993831919814906E-2</v>
      </c>
      <c r="E16923" s="1">
        <v>5.6179775280898799E-2</v>
      </c>
      <c r="F16923" s="1">
        <v>5.41041533916468E-2</v>
      </c>
    </row>
    <row r="16924" spans="1:6" x14ac:dyDescent="0.25">
      <c r="A16924" s="2" t="str">
        <f t="shared" si="612"/>
        <v>42780</v>
      </c>
      <c r="B16924" s="2" t="str">
        <f>"17086"</f>
        <v>17086</v>
      </c>
      <c r="C16924" s="1">
        <v>2.2357463164637999E-2</v>
      </c>
      <c r="D16924" s="1">
        <v>1.5420200462606001E-2</v>
      </c>
      <c r="E16924" s="1">
        <v>0</v>
      </c>
      <c r="F16924" s="1">
        <v>2.1375195504836901E-2</v>
      </c>
    </row>
    <row r="16925" spans="1:6" x14ac:dyDescent="0.25">
      <c r="A16925" s="2" t="str">
        <f t="shared" ref="A16925:A16945" si="613">"20100"</f>
        <v>20100</v>
      </c>
      <c r="B16925" s="2" t="str">
        <f>"19980"</f>
        <v>19980</v>
      </c>
      <c r="C16925" s="1">
        <v>6.0948108780184505E-4</v>
      </c>
      <c r="D16925" s="1">
        <v>0</v>
      </c>
      <c r="E16925" s="1">
        <v>5.6338028169014001E-4</v>
      </c>
      <c r="F16925" s="1">
        <v>5.6869501221021605E-4</v>
      </c>
    </row>
    <row r="16926" spans="1:6" x14ac:dyDescent="0.25">
      <c r="A16926" s="2" t="str">
        <f t="shared" si="613"/>
        <v>20100</v>
      </c>
      <c r="B16926" s="2" t="str">
        <f>"19903"</f>
        <v>19903</v>
      </c>
      <c r="C16926" s="1">
        <v>1.31160330094957E-2</v>
      </c>
      <c r="D16926" s="1">
        <v>6.9882393045849603E-2</v>
      </c>
      <c r="E16926" s="1">
        <v>1.12676056338028E-3</v>
      </c>
      <c r="F16926" s="1">
        <v>1.6592513297427398E-2</v>
      </c>
    </row>
    <row r="16927" spans="1:6" x14ac:dyDescent="0.25">
      <c r="A16927" s="2" t="str">
        <f t="shared" si="613"/>
        <v>20100</v>
      </c>
      <c r="B16927" s="2" t="str">
        <f>"19961"</f>
        <v>19961</v>
      </c>
      <c r="C16927" s="1">
        <v>0</v>
      </c>
      <c r="D16927" s="1">
        <v>0</v>
      </c>
      <c r="E16927" s="1">
        <v>5.6338028169014001E-4</v>
      </c>
      <c r="F16927" s="1">
        <v>1.11508825923571E-5</v>
      </c>
    </row>
    <row r="16928" spans="1:6" x14ac:dyDescent="0.25">
      <c r="A16928" s="2" t="str">
        <f t="shared" si="613"/>
        <v>20100</v>
      </c>
      <c r="B16928" s="2" t="str">
        <f>"19952"</f>
        <v>19952</v>
      </c>
      <c r="C16928" s="1">
        <v>5.7961651449955499E-2</v>
      </c>
      <c r="D16928" s="1">
        <v>4.2952104994034401E-2</v>
      </c>
      <c r="E16928" s="1">
        <v>1.97183098591549E-2</v>
      </c>
      <c r="F16928" s="1">
        <v>5.6222750030664903E-2</v>
      </c>
    </row>
    <row r="16929" spans="1:6" x14ac:dyDescent="0.25">
      <c r="A16929" s="2" t="str">
        <f t="shared" si="613"/>
        <v>20100</v>
      </c>
      <c r="B16929" s="2" t="str">
        <f>"19936"</f>
        <v>19936</v>
      </c>
      <c r="C16929" s="1">
        <v>0</v>
      </c>
      <c r="D16929" s="1">
        <v>0</v>
      </c>
      <c r="E16929" s="1">
        <v>2.3098591549295701E-2</v>
      </c>
      <c r="F16929" s="1">
        <v>4.5718618628664398E-4</v>
      </c>
    </row>
    <row r="16930" spans="1:6" x14ac:dyDescent="0.25">
      <c r="A16930" s="2" t="str">
        <f t="shared" si="613"/>
        <v>20100</v>
      </c>
      <c r="B16930" s="2" t="str">
        <f>"19963"</f>
        <v>19963</v>
      </c>
      <c r="C16930" s="1">
        <v>4.9806794495166798E-2</v>
      </c>
      <c r="D16930" s="1">
        <v>0.10482358956877399</v>
      </c>
      <c r="E16930" s="1">
        <v>0.08</v>
      </c>
      <c r="F16930" s="1">
        <v>5.4003724394785797E-2</v>
      </c>
    </row>
    <row r="16931" spans="1:6" x14ac:dyDescent="0.25">
      <c r="A16931" s="2" t="str">
        <f t="shared" si="613"/>
        <v>20100</v>
      </c>
      <c r="B16931" s="2" t="str">
        <f>"19979"</f>
        <v>19979</v>
      </c>
      <c r="C16931" s="1">
        <v>3.8275412313955801E-3</v>
      </c>
      <c r="D16931" s="1">
        <v>1.1931140276120601E-3</v>
      </c>
      <c r="E16931" s="1">
        <v>5.6338028169014001E-4</v>
      </c>
      <c r="F16931" s="1">
        <v>3.59058419473901E-3</v>
      </c>
    </row>
    <row r="16932" spans="1:6" x14ac:dyDescent="0.25">
      <c r="A16932" s="2" t="str">
        <f t="shared" si="613"/>
        <v>20100</v>
      </c>
      <c r="B16932" s="2" t="str">
        <f>"19902"</f>
        <v>19902</v>
      </c>
      <c r="C16932" s="1">
        <v>1.0604970927752099E-3</v>
      </c>
      <c r="D16932" s="1">
        <v>3.4088972217487601E-3</v>
      </c>
      <c r="E16932" s="1">
        <v>6.4225352112676007E-2</v>
      </c>
      <c r="F16932" s="1">
        <v>2.4643450529109301E-3</v>
      </c>
    </row>
    <row r="16933" spans="1:6" x14ac:dyDescent="0.25">
      <c r="A16933" s="2" t="str">
        <f t="shared" si="613"/>
        <v>20100</v>
      </c>
      <c r="B16933" s="2" t="str">
        <f>"19964"</f>
        <v>19964</v>
      </c>
      <c r="C16933" s="1">
        <v>6.48487877421163E-3</v>
      </c>
      <c r="D16933" s="1">
        <v>3.0680074995738799E-3</v>
      </c>
      <c r="E16933" s="1">
        <v>1.12676056338028E-3</v>
      </c>
      <c r="F16933" s="1">
        <v>6.1552871909811603E-3</v>
      </c>
    </row>
    <row r="16934" spans="1:6" x14ac:dyDescent="0.25">
      <c r="A16934" s="2" t="str">
        <f t="shared" si="613"/>
        <v>20100</v>
      </c>
      <c r="B16934" s="2" t="str">
        <f>"19962"</f>
        <v>19962</v>
      </c>
      <c r="C16934" s="1">
        <v>6.7896193181125497E-2</v>
      </c>
      <c r="D16934" s="1">
        <v>6.8177944434975202E-3</v>
      </c>
      <c r="E16934" s="1">
        <v>1.0704225352112601E-2</v>
      </c>
      <c r="F16934" s="1">
        <v>6.2768318112378499E-2</v>
      </c>
    </row>
    <row r="16935" spans="1:6" x14ac:dyDescent="0.25">
      <c r="A16935" s="2" t="str">
        <f t="shared" si="613"/>
        <v>20100</v>
      </c>
      <c r="B16935" s="2" t="str">
        <f>"19954"</f>
        <v>19954</v>
      </c>
      <c r="C16935" s="1">
        <v>8.2645635505930199E-3</v>
      </c>
      <c r="D16935" s="1">
        <v>2.8975626384864402E-3</v>
      </c>
      <c r="E16935" s="1">
        <v>5.6338028169014001E-4</v>
      </c>
      <c r="F16935" s="1">
        <v>7.7610142842806E-3</v>
      </c>
    </row>
    <row r="16936" spans="1:6" x14ac:dyDescent="0.25">
      <c r="A16936" s="2" t="str">
        <f t="shared" si="613"/>
        <v>20100</v>
      </c>
      <c r="B16936" s="2" t="str">
        <f>"19953"</f>
        <v>19953</v>
      </c>
      <c r="C16936" s="1">
        <v>2.30627643624218E-2</v>
      </c>
      <c r="D16936" s="1">
        <v>2.72711777739901E-3</v>
      </c>
      <c r="E16936" s="1">
        <v>5.6338028169014001E-4</v>
      </c>
      <c r="F16936" s="1">
        <v>2.1287034868809802E-2</v>
      </c>
    </row>
    <row r="16937" spans="1:6" x14ac:dyDescent="0.25">
      <c r="A16937" s="2" t="str">
        <f t="shared" si="613"/>
        <v>20100</v>
      </c>
      <c r="B16937" s="2" t="str">
        <f>"19950"</f>
        <v>19950</v>
      </c>
      <c r="C16937" s="1">
        <v>8.0939088460084997E-3</v>
      </c>
      <c r="D16937" s="1">
        <v>2.3862280552241302E-3</v>
      </c>
      <c r="E16937" s="1">
        <v>0</v>
      </c>
      <c r="F16937" s="1">
        <v>7.5602983976181702E-3</v>
      </c>
    </row>
    <row r="16938" spans="1:6" x14ac:dyDescent="0.25">
      <c r="A16938" s="2" t="str">
        <f t="shared" si="613"/>
        <v>20100</v>
      </c>
      <c r="B16938" s="2" t="str">
        <f>"19904"</f>
        <v>19904</v>
      </c>
      <c r="C16938" s="1">
        <v>0.19448541511756801</v>
      </c>
      <c r="D16938" s="1">
        <v>0.226691665246292</v>
      </c>
      <c r="E16938" s="1">
        <v>0.309859154929577</v>
      </c>
      <c r="F16938" s="1">
        <v>0.19887599103469</v>
      </c>
    </row>
    <row r="16939" spans="1:6" x14ac:dyDescent="0.25">
      <c r="A16939" s="2" t="str">
        <f t="shared" si="613"/>
        <v>20100</v>
      </c>
      <c r="B16939" s="2" t="str">
        <f>"19943"</f>
        <v>19943</v>
      </c>
      <c r="C16939" s="1">
        <v>8.6521935224349894E-2</v>
      </c>
      <c r="D16939" s="1">
        <v>3.4600306800749901E-2</v>
      </c>
      <c r="E16939" s="1">
        <v>2.25352112676056E-2</v>
      </c>
      <c r="F16939" s="1">
        <v>8.1858629110494005E-2</v>
      </c>
    </row>
    <row r="16940" spans="1:6" x14ac:dyDescent="0.25">
      <c r="A16940" s="2" t="str">
        <f t="shared" si="613"/>
        <v>20100</v>
      </c>
      <c r="B16940" s="2" t="str">
        <f>"19955"</f>
        <v>19955</v>
      </c>
      <c r="C16940" s="1">
        <v>0</v>
      </c>
      <c r="D16940" s="1">
        <v>0</v>
      </c>
      <c r="E16940" s="1">
        <v>5.6338028169014001E-4</v>
      </c>
      <c r="F16940" s="1">
        <v>1.11508825923571E-5</v>
      </c>
    </row>
    <row r="16941" spans="1:6" x14ac:dyDescent="0.25">
      <c r="A16941" s="2" t="str">
        <f t="shared" si="613"/>
        <v>20100</v>
      </c>
      <c r="B16941" s="2" t="str">
        <f>"19946"</f>
        <v>19946</v>
      </c>
      <c r="C16941" s="1">
        <v>2.7792337603764102E-2</v>
      </c>
      <c r="D16941" s="1">
        <v>4.6020112493608302E-3</v>
      </c>
      <c r="E16941" s="1">
        <v>2.8169014084507E-3</v>
      </c>
      <c r="F16941" s="1">
        <v>2.5780840553529801E-2</v>
      </c>
    </row>
    <row r="16942" spans="1:6" x14ac:dyDescent="0.25">
      <c r="A16942" s="2" t="str">
        <f t="shared" si="613"/>
        <v>20100</v>
      </c>
      <c r="B16942" s="2" t="str">
        <f>"19977"</f>
        <v>19977</v>
      </c>
      <c r="C16942" s="1">
        <v>0.13269622243621701</v>
      </c>
      <c r="D16942" s="1">
        <v>9.6983125958752303E-2</v>
      </c>
      <c r="E16942" s="1">
        <v>8.6760563380281597E-2</v>
      </c>
      <c r="F16942" s="1">
        <v>0.12945059601467401</v>
      </c>
    </row>
    <row r="16943" spans="1:6" x14ac:dyDescent="0.25">
      <c r="A16943" s="2" t="str">
        <f t="shared" si="613"/>
        <v>20100</v>
      </c>
      <c r="B16943" s="2" t="str">
        <f>"19938"</f>
        <v>19938</v>
      </c>
      <c r="C16943" s="1">
        <v>4.7502955983275801E-2</v>
      </c>
      <c r="D16943" s="1">
        <v>4.9429009715357001E-3</v>
      </c>
      <c r="E16943" s="1">
        <v>1.69014084507042E-3</v>
      </c>
      <c r="F16943" s="1">
        <v>4.3811817705371299E-2</v>
      </c>
    </row>
    <row r="16944" spans="1:6" x14ac:dyDescent="0.25">
      <c r="A16944" s="2" t="str">
        <f t="shared" si="613"/>
        <v>20100</v>
      </c>
      <c r="B16944" s="2" t="str">
        <f>"19934"</f>
        <v>19934</v>
      </c>
      <c r="C16944" s="1">
        <v>7.9305679144776098E-2</v>
      </c>
      <c r="D16944" s="1">
        <v>7.1927731378898893E-2</v>
      </c>
      <c r="E16944" s="1">
        <v>3.4929577464788697E-2</v>
      </c>
      <c r="F16944" s="1">
        <v>7.7944669320576698E-2</v>
      </c>
    </row>
    <row r="16945" spans="1:6" x14ac:dyDescent="0.25">
      <c r="A16945" s="2" t="str">
        <f t="shared" si="613"/>
        <v>20100</v>
      </c>
      <c r="B16945" s="2" t="str">
        <f>"19901"</f>
        <v>19901</v>
      </c>
      <c r="C16945" s="1">
        <v>0.191511147409095</v>
      </c>
      <c r="D16945" s="1">
        <v>0.320095449122208</v>
      </c>
      <c r="E16945" s="1">
        <v>0.338028169014084</v>
      </c>
      <c r="F16945" s="1">
        <v>0.20282340347238401</v>
      </c>
    </row>
    <row r="16946" spans="1:6" x14ac:dyDescent="0.25">
      <c r="A16946" s="2" t="str">
        <f t="shared" ref="A16946:A16972" si="614">"19180"</f>
        <v>19180</v>
      </c>
      <c r="B16946" s="2" t="str">
        <f>"61814"</f>
        <v>61814</v>
      </c>
      <c r="C16946" s="1">
        <v>1.12217194570135E-2</v>
      </c>
      <c r="D16946" s="1">
        <v>2.1691973969631198E-3</v>
      </c>
      <c r="E16946" s="1">
        <v>1.657824933687E-2</v>
      </c>
      <c r="F16946" s="1">
        <v>1.0734853720340901E-2</v>
      </c>
    </row>
    <row r="16947" spans="1:6" x14ac:dyDescent="0.25">
      <c r="A16947" s="2" t="str">
        <f t="shared" si="614"/>
        <v>19180</v>
      </c>
      <c r="B16947" s="2" t="str">
        <f>"61810"</f>
        <v>61810</v>
      </c>
      <c r="C16947" s="1">
        <v>3.6199095022624401E-3</v>
      </c>
      <c r="D16947" s="1">
        <v>1.5494267121165101E-3</v>
      </c>
      <c r="E16947" s="1">
        <v>1.3262599469496001E-3</v>
      </c>
      <c r="F16947" s="1">
        <v>3.3863165169315799E-3</v>
      </c>
    </row>
    <row r="16948" spans="1:6" x14ac:dyDescent="0.25">
      <c r="A16948" s="2" t="str">
        <f t="shared" si="614"/>
        <v>19180</v>
      </c>
      <c r="B16948" s="2" t="str">
        <f>"61848"</f>
        <v>61848</v>
      </c>
      <c r="C16948" s="1">
        <v>3.07692307692307E-3</v>
      </c>
      <c r="D16948" s="1">
        <v>1.85931205453982E-3</v>
      </c>
      <c r="E16948" s="1">
        <v>0</v>
      </c>
      <c r="F16948" s="1">
        <v>2.8795208477309302E-3</v>
      </c>
    </row>
    <row r="16949" spans="1:6" x14ac:dyDescent="0.25">
      <c r="A16949" s="2" t="str">
        <f t="shared" si="614"/>
        <v>19180</v>
      </c>
      <c r="B16949" s="2" t="str">
        <f>"61862"</f>
        <v>61862</v>
      </c>
      <c r="C16949" s="1">
        <v>4.6541693600517101E-4</v>
      </c>
      <c r="D16949" s="1">
        <v>0</v>
      </c>
      <c r="E16949" s="1">
        <v>0</v>
      </c>
      <c r="F16949" s="1">
        <v>4.1465100207325502E-4</v>
      </c>
    </row>
    <row r="16950" spans="1:6" x14ac:dyDescent="0.25">
      <c r="A16950" s="2" t="str">
        <f t="shared" si="614"/>
        <v>19180</v>
      </c>
      <c r="B16950" s="2" t="str">
        <f>"60942"</f>
        <v>60942</v>
      </c>
      <c r="C16950" s="1">
        <v>7.67937944408532E-2</v>
      </c>
      <c r="D16950" s="1">
        <v>8.1499845057328699E-2</v>
      </c>
      <c r="E16950" s="1">
        <v>0.121352785145888</v>
      </c>
      <c r="F16950" s="1">
        <v>7.8691545726791004E-2</v>
      </c>
    </row>
    <row r="16951" spans="1:6" x14ac:dyDescent="0.25">
      <c r="A16951" s="2" t="str">
        <f t="shared" si="614"/>
        <v>19180</v>
      </c>
      <c r="B16951" s="2" t="str">
        <f>"61857"</f>
        <v>61857</v>
      </c>
      <c r="C16951" s="1">
        <v>1.9650937297996099E-3</v>
      </c>
      <c r="D16951" s="1">
        <v>1.2395413696932099E-3</v>
      </c>
      <c r="E16951" s="1">
        <v>1.3262599469496001E-3</v>
      </c>
      <c r="F16951" s="1">
        <v>1.88896567611149E-3</v>
      </c>
    </row>
    <row r="16952" spans="1:6" x14ac:dyDescent="0.25">
      <c r="A16952" s="2" t="str">
        <f t="shared" si="614"/>
        <v>19180</v>
      </c>
      <c r="B16952" s="2" t="str">
        <f>"61865"</f>
        <v>61865</v>
      </c>
      <c r="C16952" s="1">
        <v>1.6315449256625699E-2</v>
      </c>
      <c r="D16952" s="1">
        <v>9.6064456151224008E-3</v>
      </c>
      <c r="E16952" s="1">
        <v>5.9681697612731996E-3</v>
      </c>
      <c r="F16952" s="1">
        <v>1.5457267910619601E-2</v>
      </c>
    </row>
    <row r="16953" spans="1:6" x14ac:dyDescent="0.25">
      <c r="A16953" s="2" t="str">
        <f t="shared" si="614"/>
        <v>19180</v>
      </c>
      <c r="B16953" s="2" t="str">
        <f>"61876"</f>
        <v>61876</v>
      </c>
      <c r="C16953" s="1">
        <v>6.95539754363283E-3</v>
      </c>
      <c r="D16953" s="1">
        <v>3.4087387666563301E-3</v>
      </c>
      <c r="E16953" s="1">
        <v>0</v>
      </c>
      <c r="F16953" s="1">
        <v>6.4501266989173004E-3</v>
      </c>
    </row>
    <row r="16954" spans="1:6" x14ac:dyDescent="0.25">
      <c r="A16954" s="2" t="str">
        <f t="shared" si="614"/>
        <v>19180</v>
      </c>
      <c r="B16954" s="2" t="str">
        <f>"61817"</f>
        <v>61817</v>
      </c>
      <c r="C16954" s="1">
        <v>2.5442792501616001E-2</v>
      </c>
      <c r="D16954" s="1">
        <v>3.4087387666563301E-3</v>
      </c>
      <c r="E16954" s="1">
        <v>7.9575596816976093E-3</v>
      </c>
      <c r="F16954" s="1">
        <v>2.31974199493204E-2</v>
      </c>
    </row>
    <row r="16955" spans="1:6" x14ac:dyDescent="0.25">
      <c r="A16955" s="2" t="str">
        <f t="shared" si="614"/>
        <v>19180</v>
      </c>
      <c r="B16955" s="2" t="str">
        <f>"61841"</f>
        <v>61841</v>
      </c>
      <c r="C16955" s="1">
        <v>1.63930187459599E-2</v>
      </c>
      <c r="D16955" s="1">
        <v>7.7471335605825802E-3</v>
      </c>
      <c r="E16955" s="1">
        <v>4.6419098143236004E-3</v>
      </c>
      <c r="F16955" s="1">
        <v>1.5342087076710399E-2</v>
      </c>
    </row>
    <row r="16956" spans="1:6" x14ac:dyDescent="0.25">
      <c r="A16956" s="2" t="str">
        <f t="shared" si="614"/>
        <v>19180</v>
      </c>
      <c r="B16956" s="2" t="str">
        <f>"61834"</f>
        <v>61834</v>
      </c>
      <c r="C16956" s="1">
        <v>0.115242404654169</v>
      </c>
      <c r="D16956" s="1">
        <v>0.177254415866129</v>
      </c>
      <c r="E16956" s="1">
        <v>5.5039787798408402E-2</v>
      </c>
      <c r="F16956" s="1">
        <v>0.117760884588804</v>
      </c>
    </row>
    <row r="16957" spans="1:6" x14ac:dyDescent="0.25">
      <c r="A16957" s="2" t="str">
        <f t="shared" si="614"/>
        <v>19180</v>
      </c>
      <c r="B16957" s="2" t="str">
        <f>"61859"</f>
        <v>61859</v>
      </c>
      <c r="C16957" s="1">
        <v>2.5856496444731701E-4</v>
      </c>
      <c r="D16957" s="1">
        <v>0</v>
      </c>
      <c r="E16957" s="1">
        <v>0</v>
      </c>
      <c r="F16957" s="1">
        <v>2.30361667818475E-4</v>
      </c>
    </row>
    <row r="16958" spans="1:6" x14ac:dyDescent="0.25">
      <c r="A16958" s="2" t="str">
        <f t="shared" si="614"/>
        <v>19180</v>
      </c>
      <c r="B16958" s="2" t="str">
        <f>"61858"</f>
        <v>61858</v>
      </c>
      <c r="C16958" s="1">
        <v>3.6431803490627003E-2</v>
      </c>
      <c r="D16958" s="1">
        <v>1.36349550666253E-2</v>
      </c>
      <c r="E16958" s="1">
        <v>1.4588859416445599E-2</v>
      </c>
      <c r="F16958" s="1">
        <v>3.3978346003225003E-2</v>
      </c>
    </row>
    <row r="16959" spans="1:6" x14ac:dyDescent="0.25">
      <c r="A16959" s="2" t="str">
        <f t="shared" si="614"/>
        <v>19180</v>
      </c>
      <c r="B16959" s="2" t="str">
        <f>"61850"</f>
        <v>61850</v>
      </c>
      <c r="C16959" s="1">
        <v>5.9728506787330299E-3</v>
      </c>
      <c r="D16959" s="1">
        <v>9.2965602726991002E-4</v>
      </c>
      <c r="E16959" s="1">
        <v>0</v>
      </c>
      <c r="F16959" s="1">
        <v>5.39046302695231E-3</v>
      </c>
    </row>
    <row r="16960" spans="1:6" x14ac:dyDescent="0.25">
      <c r="A16960" s="2" t="str">
        <f t="shared" si="614"/>
        <v>19180</v>
      </c>
      <c r="B16960" s="2" t="str">
        <f>"61883"</f>
        <v>61883</v>
      </c>
      <c r="C16960" s="1">
        <v>5.6910148674854499E-2</v>
      </c>
      <c r="D16960" s="1">
        <v>3.8425782460489603E-2</v>
      </c>
      <c r="E16960" s="1">
        <v>2.6525198938991999E-2</v>
      </c>
      <c r="F16960" s="1">
        <v>5.4480534439069299E-2</v>
      </c>
    </row>
    <row r="16961" spans="1:6" x14ac:dyDescent="0.25">
      <c r="A16961" s="2" t="str">
        <f t="shared" si="614"/>
        <v>19180</v>
      </c>
      <c r="B16961" s="2" t="str">
        <f>"61831"</f>
        <v>61831</v>
      </c>
      <c r="C16961" s="1">
        <v>1.91338073691014E-3</v>
      </c>
      <c r="D16961" s="1">
        <v>6.1977068484660603E-4</v>
      </c>
      <c r="E16961" s="1">
        <v>0</v>
      </c>
      <c r="F16961" s="1">
        <v>1.75074867542041E-3</v>
      </c>
    </row>
    <row r="16962" spans="1:6" x14ac:dyDescent="0.25">
      <c r="A16962" s="2" t="str">
        <f t="shared" si="614"/>
        <v>19180</v>
      </c>
      <c r="B16962" s="2" t="str">
        <f>"61811"</f>
        <v>61811</v>
      </c>
      <c r="C16962" s="1">
        <v>6.3089851325145397E-3</v>
      </c>
      <c r="D16962" s="1">
        <v>3.0988534242330302E-4</v>
      </c>
      <c r="E16962" s="1">
        <v>5.3050397877984004E-3</v>
      </c>
      <c r="F16962" s="1">
        <v>5.82815019580741E-3</v>
      </c>
    </row>
    <row r="16963" spans="1:6" x14ac:dyDescent="0.25">
      <c r="A16963" s="2" t="str">
        <f t="shared" si="614"/>
        <v>19180</v>
      </c>
      <c r="B16963" s="2" t="str">
        <f>"61812"</f>
        <v>61812</v>
      </c>
      <c r="C16963" s="1">
        <v>4.3697478991596601E-3</v>
      </c>
      <c r="D16963" s="1">
        <v>1.85931205453982E-3</v>
      </c>
      <c r="E16963" s="1">
        <v>0</v>
      </c>
      <c r="F16963" s="1">
        <v>4.0313291868233096E-3</v>
      </c>
    </row>
    <row r="16964" spans="1:6" x14ac:dyDescent="0.25">
      <c r="A16964" s="2" t="str">
        <f t="shared" si="614"/>
        <v>19180</v>
      </c>
      <c r="B16964" s="2" t="str">
        <f>"61846"</f>
        <v>61846</v>
      </c>
      <c r="C16964" s="1">
        <v>6.0064641241111799E-2</v>
      </c>
      <c r="D16964" s="1">
        <v>3.9975209172606101E-2</v>
      </c>
      <c r="E16964" s="1">
        <v>4.0450928381962799E-2</v>
      </c>
      <c r="F16964" s="1">
        <v>5.7889887122782702E-2</v>
      </c>
    </row>
    <row r="16965" spans="1:6" x14ac:dyDescent="0.25">
      <c r="A16965" s="2" t="str">
        <f t="shared" si="614"/>
        <v>19180</v>
      </c>
      <c r="B16965" s="2" t="str">
        <f>"60963"</f>
        <v>60963</v>
      </c>
      <c r="C16965" s="1">
        <v>2.2288299935358701E-2</v>
      </c>
      <c r="D16965" s="1">
        <v>2.47908273938642E-2</v>
      </c>
      <c r="E16965" s="1">
        <v>1.52519893899204E-2</v>
      </c>
      <c r="F16965" s="1">
        <v>2.2229900944482801E-2</v>
      </c>
    </row>
    <row r="16966" spans="1:6" x14ac:dyDescent="0.25">
      <c r="A16966" s="2" t="str">
        <f t="shared" si="614"/>
        <v>19180</v>
      </c>
      <c r="B16966" s="2" t="str">
        <f>"61849"</f>
        <v>61849</v>
      </c>
      <c r="C16966" s="1">
        <v>1.8099547511312201E-3</v>
      </c>
      <c r="D16966" s="1">
        <v>1.2395413696932099E-3</v>
      </c>
      <c r="E16966" s="1">
        <v>0</v>
      </c>
      <c r="F16966" s="1">
        <v>1.7046763418567101E-3</v>
      </c>
    </row>
    <row r="16967" spans="1:6" x14ac:dyDescent="0.25">
      <c r="A16967" s="2" t="str">
        <f t="shared" si="614"/>
        <v>19180</v>
      </c>
      <c r="B16967" s="2" t="str">
        <f>"61870"</f>
        <v>61870</v>
      </c>
      <c r="C16967" s="1">
        <v>1.5720749838396799E-2</v>
      </c>
      <c r="D16967" s="1">
        <v>3.0988534242330302E-3</v>
      </c>
      <c r="E16967" s="1">
        <v>7.9575596816976093E-3</v>
      </c>
      <c r="F16967" s="1">
        <v>1.45127850725639E-2</v>
      </c>
    </row>
    <row r="16968" spans="1:6" x14ac:dyDescent="0.25">
      <c r="A16968" s="2" t="str">
        <f t="shared" si="614"/>
        <v>19180</v>
      </c>
      <c r="B16968" s="2" t="str">
        <f>"61844"</f>
        <v>61844</v>
      </c>
      <c r="C16968" s="1">
        <v>1.2592113768584301E-2</v>
      </c>
      <c r="D16968" s="1">
        <v>4.64828013634955E-3</v>
      </c>
      <c r="E16968" s="1">
        <v>0</v>
      </c>
      <c r="F16968" s="1">
        <v>1.15641557244874E-2</v>
      </c>
    </row>
    <row r="16969" spans="1:6" x14ac:dyDescent="0.25">
      <c r="A16969" s="2" t="str">
        <f t="shared" si="614"/>
        <v>19180</v>
      </c>
      <c r="B16969" s="2" t="str">
        <f>"61833"</f>
        <v>61833</v>
      </c>
      <c r="C16969" s="1">
        <v>2.61667744020685E-2</v>
      </c>
      <c r="D16969" s="1">
        <v>3.1918190269600202E-2</v>
      </c>
      <c r="E16969" s="1">
        <v>3.38196286472148E-2</v>
      </c>
      <c r="F16969" s="1">
        <v>2.6860170467634101E-2</v>
      </c>
    </row>
    <row r="16970" spans="1:6" x14ac:dyDescent="0.25">
      <c r="A16970" s="2" t="str">
        <f t="shared" si="614"/>
        <v>19180</v>
      </c>
      <c r="B16970" s="2" t="str">
        <f>"61832"</f>
        <v>61832</v>
      </c>
      <c r="C16970" s="1">
        <v>0.46184873949579802</v>
      </c>
      <c r="D16970" s="1">
        <v>0.54044003718624101</v>
      </c>
      <c r="E16970" s="1">
        <v>0.64058355437665704</v>
      </c>
      <c r="F16970" s="1">
        <v>0.47390002303616602</v>
      </c>
    </row>
    <row r="16971" spans="1:6" x14ac:dyDescent="0.25">
      <c r="A16971" s="2" t="str">
        <f t="shared" si="614"/>
        <v>19180</v>
      </c>
      <c r="B16971" s="2" t="str">
        <f>"60932"</f>
        <v>60932</v>
      </c>
      <c r="C16971" s="1">
        <v>0</v>
      </c>
      <c r="D16971" s="1">
        <v>3.0988534242330302E-4</v>
      </c>
      <c r="E16971" s="1">
        <v>0</v>
      </c>
      <c r="F16971" s="1">
        <v>2.3036166781847499E-5</v>
      </c>
    </row>
    <row r="16972" spans="1:6" x14ac:dyDescent="0.25">
      <c r="A16972" s="2" t="str">
        <f t="shared" si="614"/>
        <v>19180</v>
      </c>
      <c r="B16972" s="2" t="str">
        <f>"60960"</f>
        <v>60960</v>
      </c>
      <c r="C16972" s="1">
        <v>9.8513251454427908E-3</v>
      </c>
      <c r="D16972" s="1">
        <v>8.0570189030058793E-3</v>
      </c>
      <c r="E16972" s="1">
        <v>1.3262599469496001E-3</v>
      </c>
      <c r="F16972" s="1">
        <v>9.4217922137756205E-3</v>
      </c>
    </row>
    <row r="16973" spans="1:6" x14ac:dyDescent="0.25">
      <c r="A16973" s="2" t="str">
        <f t="shared" ref="A16973:A16991" si="615">"23300"</f>
        <v>23300</v>
      </c>
      <c r="B16973" s="2" t="str">
        <f>"61089"</f>
        <v>61089</v>
      </c>
      <c r="C16973" s="1">
        <v>1.7189966672513501E-2</v>
      </c>
      <c r="D16973" s="1">
        <v>8.7057457922228593E-3</v>
      </c>
      <c r="E16973" s="1">
        <v>1.2150668286755701E-2</v>
      </c>
      <c r="F16973" s="1">
        <v>1.6449704142011801E-2</v>
      </c>
    </row>
    <row r="16974" spans="1:6" x14ac:dyDescent="0.25">
      <c r="A16974" s="2" t="str">
        <f t="shared" si="615"/>
        <v>23300</v>
      </c>
      <c r="B16974" s="2" t="str">
        <f>"61047"</f>
        <v>61047</v>
      </c>
      <c r="C16974" s="1">
        <v>1.7540782318891399E-4</v>
      </c>
      <c r="D16974" s="1">
        <v>0</v>
      </c>
      <c r="E16974" s="1">
        <v>0</v>
      </c>
      <c r="F16974" s="1">
        <v>1.57790927021696E-4</v>
      </c>
    </row>
    <row r="16975" spans="1:6" x14ac:dyDescent="0.25">
      <c r="A16975" s="2" t="str">
        <f t="shared" si="615"/>
        <v>23300</v>
      </c>
      <c r="B16975" s="2" t="str">
        <f>"61007"</f>
        <v>61007</v>
      </c>
      <c r="C16975" s="1">
        <v>3.42045255218382E-3</v>
      </c>
      <c r="D16975" s="1">
        <v>1.16076610562971E-3</v>
      </c>
      <c r="E16975" s="1">
        <v>2.4301336573511502E-3</v>
      </c>
      <c r="F16975" s="1">
        <v>3.2347140039447699E-3</v>
      </c>
    </row>
    <row r="16976" spans="1:6" x14ac:dyDescent="0.25">
      <c r="A16976" s="2" t="str">
        <f t="shared" si="615"/>
        <v>23300</v>
      </c>
      <c r="B16976" s="2" t="str">
        <f>"61019"</f>
        <v>61019</v>
      </c>
      <c r="C16976" s="1">
        <v>4.88510787581126E-2</v>
      </c>
      <c r="D16976" s="1">
        <v>5.8038305281485703E-3</v>
      </c>
      <c r="E16976" s="1">
        <v>1.82260024301336E-2</v>
      </c>
      <c r="F16976" s="1">
        <v>4.4930966469427999E-2</v>
      </c>
    </row>
    <row r="16977" spans="1:6" x14ac:dyDescent="0.25">
      <c r="A16977" s="2" t="str">
        <f t="shared" si="615"/>
        <v>23300</v>
      </c>
      <c r="B16977" s="2" t="str">
        <f>"61078"</f>
        <v>61078</v>
      </c>
      <c r="C16977" s="1">
        <v>1.62252236449745E-3</v>
      </c>
      <c r="D16977" s="1">
        <v>1.74114915844457E-3</v>
      </c>
      <c r="E16977" s="1">
        <v>0</v>
      </c>
      <c r="F16977" s="1">
        <v>1.5779092702169601E-3</v>
      </c>
    </row>
    <row r="16978" spans="1:6" x14ac:dyDescent="0.25">
      <c r="A16978" s="2" t="str">
        <f t="shared" si="615"/>
        <v>23300</v>
      </c>
      <c r="B16978" s="2" t="str">
        <f>"61063"</f>
        <v>61063</v>
      </c>
      <c r="C16978" s="1">
        <v>4.2974916681283899E-3</v>
      </c>
      <c r="D16978" s="1">
        <v>0</v>
      </c>
      <c r="E16978" s="1">
        <v>0</v>
      </c>
      <c r="F16978" s="1">
        <v>3.8658777120315498E-3</v>
      </c>
    </row>
    <row r="16979" spans="1:6" x14ac:dyDescent="0.25">
      <c r="A16979" s="2" t="str">
        <f t="shared" si="615"/>
        <v>23300</v>
      </c>
      <c r="B16979" s="2" t="str">
        <f>"61027"</f>
        <v>61027</v>
      </c>
      <c r="C16979" s="1">
        <v>0</v>
      </c>
      <c r="D16979" s="1">
        <v>0</v>
      </c>
      <c r="E16979" s="1">
        <v>1.2150668286755699E-3</v>
      </c>
      <c r="F16979" s="1">
        <v>3.9447731755423999E-5</v>
      </c>
    </row>
    <row r="16980" spans="1:6" x14ac:dyDescent="0.25">
      <c r="A16980" s="2" t="str">
        <f t="shared" si="615"/>
        <v>23300</v>
      </c>
      <c r="B16980" s="2" t="str">
        <f>"61018"</f>
        <v>61018</v>
      </c>
      <c r="C16980" s="1">
        <v>2.1750570075425298E-2</v>
      </c>
      <c r="D16980" s="1">
        <v>7.5449796865931498E-3</v>
      </c>
      <c r="E16980" s="1">
        <v>1.4580801944106899E-2</v>
      </c>
      <c r="F16980" s="1">
        <v>2.05522682445759E-2</v>
      </c>
    </row>
    <row r="16981" spans="1:6" x14ac:dyDescent="0.25">
      <c r="A16981" s="2" t="str">
        <f t="shared" si="615"/>
        <v>23300</v>
      </c>
      <c r="B16981" s="2" t="str">
        <f>"61013"</f>
        <v>61013</v>
      </c>
      <c r="C16981" s="1">
        <v>2.6311173478337098E-4</v>
      </c>
      <c r="D16981" s="1">
        <v>5.8038305281485705E-4</v>
      </c>
      <c r="E16981" s="1">
        <v>1.2150668286755699E-3</v>
      </c>
      <c r="F16981" s="1">
        <v>3.15581854043392E-4</v>
      </c>
    </row>
    <row r="16982" spans="1:6" x14ac:dyDescent="0.25">
      <c r="A16982" s="2" t="str">
        <f t="shared" si="615"/>
        <v>23300</v>
      </c>
      <c r="B16982" s="2" t="str">
        <f>"61067"</f>
        <v>61067</v>
      </c>
      <c r="C16982" s="1">
        <v>1.55674443080161E-2</v>
      </c>
      <c r="D16982" s="1">
        <v>3.4822983168891399E-3</v>
      </c>
      <c r="E16982" s="1">
        <v>7.2904009720534601E-3</v>
      </c>
      <c r="F16982" s="1">
        <v>1.44773175542406E-2</v>
      </c>
    </row>
    <row r="16983" spans="1:6" x14ac:dyDescent="0.25">
      <c r="A16983" s="2" t="str">
        <f t="shared" si="615"/>
        <v>23300</v>
      </c>
      <c r="B16983" s="2" t="str">
        <f>"61087"</f>
        <v>61087</v>
      </c>
      <c r="C16983" s="1">
        <v>2.6311173478337098E-4</v>
      </c>
      <c r="D16983" s="1">
        <v>0</v>
      </c>
      <c r="E16983" s="1">
        <v>0</v>
      </c>
      <c r="F16983" s="1">
        <v>2.36686390532544E-4</v>
      </c>
    </row>
    <row r="16984" spans="1:6" x14ac:dyDescent="0.25">
      <c r="A16984" s="2" t="str">
        <f t="shared" si="615"/>
        <v>23300</v>
      </c>
      <c r="B16984" s="2" t="str">
        <f>"61048"</f>
        <v>61048</v>
      </c>
      <c r="C16984" s="1">
        <v>8.7353095948079204E-2</v>
      </c>
      <c r="D16984" s="1">
        <v>7.7771329077190907E-2</v>
      </c>
      <c r="E16984" s="1">
        <v>6.07533414337788E-2</v>
      </c>
      <c r="F16984" s="1">
        <v>8.5838264299802694E-2</v>
      </c>
    </row>
    <row r="16985" spans="1:6" x14ac:dyDescent="0.25">
      <c r="A16985" s="2" t="str">
        <f t="shared" si="615"/>
        <v>23300</v>
      </c>
      <c r="B16985" s="2" t="str">
        <f>"61070"</f>
        <v>61070</v>
      </c>
      <c r="C16985" s="1">
        <v>2.13559024732503E-2</v>
      </c>
      <c r="D16985" s="1">
        <v>6.9645966337782902E-3</v>
      </c>
      <c r="E16985" s="1">
        <v>6.0753341433778798E-3</v>
      </c>
      <c r="F16985" s="1">
        <v>1.9881656804733701E-2</v>
      </c>
    </row>
    <row r="16986" spans="1:6" x14ac:dyDescent="0.25">
      <c r="A16986" s="2" t="str">
        <f t="shared" si="615"/>
        <v>23300</v>
      </c>
      <c r="B16986" s="2" t="str">
        <f>"61062"</f>
        <v>61062</v>
      </c>
      <c r="C16986" s="1">
        <v>3.6879494825469199E-2</v>
      </c>
      <c r="D16986" s="1">
        <v>2.4376088218223999E-2</v>
      </c>
      <c r="E16986" s="1">
        <v>1.2150668286755701E-2</v>
      </c>
      <c r="F16986" s="1">
        <v>3.5226824457593599E-2</v>
      </c>
    </row>
    <row r="16987" spans="1:6" x14ac:dyDescent="0.25">
      <c r="A16987" s="2" t="str">
        <f t="shared" si="615"/>
        <v>23300</v>
      </c>
      <c r="B16987" s="2" t="str">
        <f>"61039"</f>
        <v>61039</v>
      </c>
      <c r="C16987" s="1">
        <v>1.35502543413436E-2</v>
      </c>
      <c r="D16987" s="1">
        <v>3.4822983168891399E-3</v>
      </c>
      <c r="E16987" s="1">
        <v>6.0753341433778798E-3</v>
      </c>
      <c r="F16987" s="1">
        <v>1.26232741617357E-2</v>
      </c>
    </row>
    <row r="16988" spans="1:6" x14ac:dyDescent="0.25">
      <c r="A16988" s="2" t="str">
        <f t="shared" si="615"/>
        <v>23300</v>
      </c>
      <c r="B16988" s="2" t="str">
        <f>"61060"</f>
        <v>61060</v>
      </c>
      <c r="C16988" s="1">
        <v>3.09156288370461E-2</v>
      </c>
      <c r="D16988" s="1">
        <v>8.1253627394080007E-3</v>
      </c>
      <c r="E16988" s="1">
        <v>3.5236938031591697E-2</v>
      </c>
      <c r="F16988" s="1">
        <v>2.9506903353057098E-2</v>
      </c>
    </row>
    <row r="16989" spans="1:6" x14ac:dyDescent="0.25">
      <c r="A16989" s="2" t="str">
        <f t="shared" si="615"/>
        <v>23300</v>
      </c>
      <c r="B16989" s="2" t="str">
        <f>"61050"</f>
        <v>61050</v>
      </c>
      <c r="C16989" s="1">
        <v>8.5949833362567903E-3</v>
      </c>
      <c r="D16989" s="1">
        <v>2.9019152640742799E-3</v>
      </c>
      <c r="E16989" s="1">
        <v>1.2150668286755699E-3</v>
      </c>
      <c r="F16989" s="1">
        <v>7.9684418145956597E-3</v>
      </c>
    </row>
    <row r="16990" spans="1:6" x14ac:dyDescent="0.25">
      <c r="A16990" s="2" t="str">
        <f t="shared" si="615"/>
        <v>23300</v>
      </c>
      <c r="B16990" s="2" t="str">
        <f>"61044"</f>
        <v>61044</v>
      </c>
      <c r="C16990" s="1">
        <v>3.6397123311699702E-3</v>
      </c>
      <c r="D16990" s="1">
        <v>2.9019152640742799E-3</v>
      </c>
      <c r="E16990" s="1">
        <v>1.2150668286755699E-3</v>
      </c>
      <c r="F16990" s="1">
        <v>3.51084812623274E-3</v>
      </c>
    </row>
    <row r="16991" spans="1:6" x14ac:dyDescent="0.25">
      <c r="A16991" s="2" t="str">
        <f t="shared" si="615"/>
        <v>23300</v>
      </c>
      <c r="B16991" s="2" t="str">
        <f>"61032"</f>
        <v>61032</v>
      </c>
      <c r="C16991" s="1">
        <v>0.68430977021575101</v>
      </c>
      <c r="D16991" s="1">
        <v>0.84445734184561805</v>
      </c>
      <c r="E16991" s="1">
        <v>0.82017010935601398</v>
      </c>
      <c r="F16991" s="1">
        <v>0.69960552268244502</v>
      </c>
    </row>
    <row r="16992" spans="1:6" x14ac:dyDescent="0.25">
      <c r="A16992" s="2" t="str">
        <f t="shared" ref="A16992:A17005" si="616">"33020"</f>
        <v>33020</v>
      </c>
      <c r="B16992" s="2" t="str">
        <f>"65231"</f>
        <v>65231</v>
      </c>
      <c r="C16992" s="1">
        <v>1.48367952522255E-3</v>
      </c>
      <c r="D16992" s="1">
        <v>0</v>
      </c>
      <c r="E16992" s="1">
        <v>0</v>
      </c>
      <c r="F16992" s="1">
        <v>1.3368983957219201E-3</v>
      </c>
    </row>
    <row r="16993" spans="1:6" x14ac:dyDescent="0.25">
      <c r="A16993" s="2" t="str">
        <f t="shared" si="616"/>
        <v>33020</v>
      </c>
      <c r="B16993" s="2" t="str">
        <f>"63359"</f>
        <v>63359</v>
      </c>
      <c r="C16993" s="1">
        <v>2.5309827194972901E-3</v>
      </c>
      <c r="D16993" s="1">
        <v>1.9723865877711998E-3</v>
      </c>
      <c r="E16993" s="1">
        <v>0</v>
      </c>
      <c r="F16993" s="1">
        <v>2.4378735451399802E-3</v>
      </c>
    </row>
    <row r="16994" spans="1:6" x14ac:dyDescent="0.25">
      <c r="A16994" s="2" t="str">
        <f t="shared" si="616"/>
        <v>33020</v>
      </c>
      <c r="B16994" s="2" t="str">
        <f>"63352"</f>
        <v>63352</v>
      </c>
      <c r="C16994" s="1">
        <v>4.3550357828591298E-2</v>
      </c>
      <c r="D16994" s="1">
        <v>2.8599605522682401E-2</v>
      </c>
      <c r="E16994" s="1">
        <v>1.63934426229508E-2</v>
      </c>
      <c r="F16994" s="1">
        <v>4.1837055677886099E-2</v>
      </c>
    </row>
    <row r="16995" spans="1:6" x14ac:dyDescent="0.25">
      <c r="A16995" s="2" t="str">
        <f t="shared" si="616"/>
        <v>33020</v>
      </c>
      <c r="B16995" s="2" t="str">
        <f>"65240"</f>
        <v>65240</v>
      </c>
      <c r="C16995" s="1">
        <v>4.7215919008552903E-2</v>
      </c>
      <c r="D16995" s="1">
        <v>1.8737672583826401E-2</v>
      </c>
      <c r="E16995" s="1">
        <v>0</v>
      </c>
      <c r="F16995" s="1">
        <v>4.4039005976722202E-2</v>
      </c>
    </row>
    <row r="16996" spans="1:6" x14ac:dyDescent="0.25">
      <c r="A16996" s="2" t="str">
        <f t="shared" si="616"/>
        <v>33020</v>
      </c>
      <c r="B16996" s="2" t="str">
        <f>"63382"</f>
        <v>63382</v>
      </c>
      <c r="C16996" s="1">
        <v>0.14452784080991399</v>
      </c>
      <c r="D16996" s="1">
        <v>0.201183431952662</v>
      </c>
      <c r="E16996" s="1">
        <v>0.102459016393442</v>
      </c>
      <c r="F16996" s="1">
        <v>0.14823843976093101</v>
      </c>
    </row>
    <row r="16997" spans="1:6" x14ac:dyDescent="0.25">
      <c r="A16997" s="2" t="str">
        <f t="shared" si="616"/>
        <v>33020</v>
      </c>
      <c r="B16997" s="2" t="str">
        <f>"65264"</f>
        <v>65264</v>
      </c>
      <c r="C16997" s="1">
        <v>2.41752487345086E-2</v>
      </c>
      <c r="D16997" s="1">
        <v>8.8757396449704092E-3</v>
      </c>
      <c r="E16997" s="1">
        <v>1.2295081967213101E-2</v>
      </c>
      <c r="F16997" s="1">
        <v>2.27272727272727E-2</v>
      </c>
    </row>
    <row r="16998" spans="1:6" x14ac:dyDescent="0.25">
      <c r="A16998" s="2" t="str">
        <f t="shared" si="616"/>
        <v>33020</v>
      </c>
      <c r="B16998" s="2" t="str">
        <f>"65280"</f>
        <v>65280</v>
      </c>
      <c r="C16998" s="1">
        <v>1.01239308779891E-2</v>
      </c>
      <c r="D16998" s="1">
        <v>1.9723865877711998E-3</v>
      </c>
      <c r="E16998" s="1">
        <v>4.0983606557376999E-3</v>
      </c>
      <c r="F16998" s="1">
        <v>9.35828877005347E-3</v>
      </c>
    </row>
    <row r="16999" spans="1:6" x14ac:dyDescent="0.25">
      <c r="A16999" s="2" t="str">
        <f t="shared" si="616"/>
        <v>33020</v>
      </c>
      <c r="B16999" s="2" t="str">
        <f>"65243"</f>
        <v>65243</v>
      </c>
      <c r="C16999" s="1">
        <v>1.8240530633618399E-2</v>
      </c>
      <c r="D16999" s="1">
        <v>9.8619329388560098E-4</v>
      </c>
      <c r="E16999" s="1">
        <v>0</v>
      </c>
      <c r="F16999" s="1">
        <v>1.6514627241270799E-2</v>
      </c>
    </row>
    <row r="17000" spans="1:6" x14ac:dyDescent="0.25">
      <c r="A17000" s="2" t="str">
        <f t="shared" si="616"/>
        <v>33020</v>
      </c>
      <c r="B17000" s="2" t="str">
        <f>"65284"</f>
        <v>65284</v>
      </c>
      <c r="C17000" s="1">
        <v>3.7528364461511601E-3</v>
      </c>
      <c r="D17000" s="1">
        <v>9.8619329388560098E-4</v>
      </c>
      <c r="E17000" s="1">
        <v>0</v>
      </c>
      <c r="F17000" s="1">
        <v>3.4602076124567401E-3</v>
      </c>
    </row>
    <row r="17001" spans="1:6" x14ac:dyDescent="0.25">
      <c r="A17001" s="2" t="str">
        <f t="shared" si="616"/>
        <v>33020</v>
      </c>
      <c r="B17001" s="2" t="str">
        <f>"63345"</f>
        <v>63345</v>
      </c>
      <c r="C17001" s="1">
        <v>1.8240530633618399E-2</v>
      </c>
      <c r="D17001" s="1">
        <v>1.4792899408284E-2</v>
      </c>
      <c r="E17001" s="1">
        <v>2.0491803278688499E-2</v>
      </c>
      <c r="F17001" s="1">
        <v>1.8008807801195299E-2</v>
      </c>
    </row>
    <row r="17002" spans="1:6" x14ac:dyDescent="0.25">
      <c r="A17002" s="2" t="str">
        <f t="shared" si="616"/>
        <v>33020</v>
      </c>
      <c r="B17002" s="2" t="str">
        <f>"63384"</f>
        <v>63384</v>
      </c>
      <c r="C17002" s="1">
        <v>4.0146622447198403E-3</v>
      </c>
      <c r="D17002" s="1">
        <v>9.8619329388560098E-4</v>
      </c>
      <c r="E17002" s="1">
        <v>0</v>
      </c>
      <c r="F17002" s="1">
        <v>3.6961308587606101E-3</v>
      </c>
    </row>
    <row r="17003" spans="1:6" x14ac:dyDescent="0.25">
      <c r="A17003" s="2" t="str">
        <f t="shared" si="616"/>
        <v>33020</v>
      </c>
      <c r="B17003" s="2" t="str">
        <f>"65232"</f>
        <v>65232</v>
      </c>
      <c r="C17003" s="1">
        <v>9.7748298132309293E-3</v>
      </c>
      <c r="D17003" s="1">
        <v>0</v>
      </c>
      <c r="E17003" s="1">
        <v>4.0983606557376999E-3</v>
      </c>
      <c r="F17003" s="1">
        <v>8.8864422774457292E-3</v>
      </c>
    </row>
    <row r="17004" spans="1:6" x14ac:dyDescent="0.25">
      <c r="A17004" s="2" t="str">
        <f t="shared" si="616"/>
        <v>33020</v>
      </c>
      <c r="B17004" s="2" t="str">
        <f>"65265"</f>
        <v>65265</v>
      </c>
      <c r="C17004" s="1">
        <v>0.64513876767324096</v>
      </c>
      <c r="D17004" s="1">
        <v>0.71301775147928903</v>
      </c>
      <c r="E17004" s="1">
        <v>0.83606557377049096</v>
      </c>
      <c r="F17004" s="1">
        <v>0.65421516200062901</v>
      </c>
    </row>
    <row r="17005" spans="1:6" x14ac:dyDescent="0.25">
      <c r="A17005" s="2" t="str">
        <f t="shared" si="616"/>
        <v>33020</v>
      </c>
      <c r="B17005" s="2" t="str">
        <f>"65285"</f>
        <v>65285</v>
      </c>
      <c r="C17005" s="1">
        <v>2.7229883051143301E-2</v>
      </c>
      <c r="D17005" s="1">
        <v>7.8895463510848095E-3</v>
      </c>
      <c r="E17005" s="1">
        <v>4.0983606557376999E-3</v>
      </c>
      <c r="F17005" s="1">
        <v>2.5243787354513901E-2</v>
      </c>
    </row>
    <row r="17006" spans="1:6" x14ac:dyDescent="0.25">
      <c r="A17006" s="2" t="str">
        <f t="shared" ref="A17006:A17022" si="617">"38740"</f>
        <v>38740</v>
      </c>
      <c r="B17006" s="2" t="str">
        <f>"63953"</f>
        <v>63953</v>
      </c>
      <c r="C17006" s="1">
        <v>2.1935845356492501E-2</v>
      </c>
      <c r="D17006" s="1">
        <v>4.8526863084921998E-3</v>
      </c>
      <c r="E17006" s="1">
        <v>1.7985611510791301E-3</v>
      </c>
      <c r="F17006" s="1">
        <v>2.0390433360588701E-2</v>
      </c>
    </row>
    <row r="17007" spans="1:6" x14ac:dyDescent="0.25">
      <c r="A17007" s="2" t="str">
        <f t="shared" si="617"/>
        <v>38740</v>
      </c>
      <c r="B17007" s="2" t="str">
        <f>"63955"</f>
        <v>63955</v>
      </c>
      <c r="C17007" s="1">
        <v>3.9221179436895902E-3</v>
      </c>
      <c r="D17007" s="1">
        <v>0</v>
      </c>
      <c r="E17007" s="1">
        <v>1.7985611510791301E-3</v>
      </c>
      <c r="F17007" s="1">
        <v>3.60282093213409E-3</v>
      </c>
    </row>
    <row r="17008" spans="1:6" x14ac:dyDescent="0.25">
      <c r="A17008" s="2" t="str">
        <f t="shared" si="617"/>
        <v>38740</v>
      </c>
      <c r="B17008" s="2" t="str">
        <f>"63940"</f>
        <v>63940</v>
      </c>
      <c r="C17008" s="1">
        <v>1.8798151001540801E-2</v>
      </c>
      <c r="D17008" s="1">
        <v>9.3587521663778105E-3</v>
      </c>
      <c r="E17008" s="1">
        <v>1.2589928057553899E-2</v>
      </c>
      <c r="F17008" s="1">
        <v>1.80141046606704E-2</v>
      </c>
    </row>
    <row r="17009" spans="1:6" x14ac:dyDescent="0.25">
      <c r="A17009" s="2" t="str">
        <f t="shared" si="617"/>
        <v>38740</v>
      </c>
      <c r="B17009" s="2" t="str">
        <f>"63935"</f>
        <v>63935</v>
      </c>
      <c r="C17009" s="1">
        <v>0.15181397954895601</v>
      </c>
      <c r="D17009" s="1">
        <v>0.14003466204505999</v>
      </c>
      <c r="E17009" s="1">
        <v>4.4964028776978401E-2</v>
      </c>
      <c r="F17009" s="1">
        <v>0.149427636958299</v>
      </c>
    </row>
    <row r="17010" spans="1:6" x14ac:dyDescent="0.25">
      <c r="A17010" s="2" t="str">
        <f t="shared" si="617"/>
        <v>38740</v>
      </c>
      <c r="B17010" s="2" t="str">
        <f>"63945"</f>
        <v>63945</v>
      </c>
      <c r="C17010" s="1">
        <v>1.6921137414203601E-2</v>
      </c>
      <c r="D17010" s="1">
        <v>5.8925476603119498E-3</v>
      </c>
      <c r="E17010" s="1">
        <v>3.5971223021582701E-3</v>
      </c>
      <c r="F17010" s="1">
        <v>1.5918847097301701E-2</v>
      </c>
    </row>
    <row r="17011" spans="1:6" x14ac:dyDescent="0.25">
      <c r="A17011" s="2" t="str">
        <f t="shared" si="617"/>
        <v>38740</v>
      </c>
      <c r="B17011" s="2" t="str">
        <f>"63962"</f>
        <v>63962</v>
      </c>
      <c r="C17011" s="1">
        <v>0</v>
      </c>
      <c r="D17011" s="1">
        <v>0</v>
      </c>
      <c r="E17011" s="1">
        <v>1.7985611510791301E-3</v>
      </c>
      <c r="F17011" s="1">
        <v>2.5551921504497098E-5</v>
      </c>
    </row>
    <row r="17012" spans="1:6" x14ac:dyDescent="0.25">
      <c r="A17012" s="2" t="str">
        <f t="shared" si="617"/>
        <v>38740</v>
      </c>
      <c r="B17012" s="2" t="str">
        <f>"63961"</f>
        <v>63961</v>
      </c>
      <c r="C17012" s="1">
        <v>2.1207452024093E-2</v>
      </c>
      <c r="D17012" s="1">
        <v>1.38648180242634E-2</v>
      </c>
      <c r="E17012" s="1">
        <v>8.9928057553956796E-3</v>
      </c>
      <c r="F17012" s="1">
        <v>2.04926410466067E-2</v>
      </c>
    </row>
    <row r="17013" spans="1:6" x14ac:dyDescent="0.25">
      <c r="A17013" s="2" t="str">
        <f t="shared" si="617"/>
        <v>38740</v>
      </c>
      <c r="B17013" s="2" t="str">
        <f>"63901"</f>
        <v>63901</v>
      </c>
      <c r="C17013" s="1">
        <v>0.49029275808936801</v>
      </c>
      <c r="D17013" s="1">
        <v>0.63674176776429803</v>
      </c>
      <c r="E17013" s="1">
        <v>0.87050359712230196</v>
      </c>
      <c r="F17013" s="1">
        <v>0.50649018806214197</v>
      </c>
    </row>
    <row r="17014" spans="1:6" x14ac:dyDescent="0.25">
      <c r="A17014" s="2" t="str">
        <f t="shared" si="617"/>
        <v>38740</v>
      </c>
      <c r="B17014" s="2" t="str">
        <f>"63939"</f>
        <v>63939</v>
      </c>
      <c r="C17014" s="1">
        <v>2.1011346126908501E-2</v>
      </c>
      <c r="D17014" s="1">
        <v>6.5857885615251202E-3</v>
      </c>
      <c r="E17014" s="1">
        <v>1.7985611510791301E-3</v>
      </c>
      <c r="F17014" s="1">
        <v>1.9674979558462698E-2</v>
      </c>
    </row>
    <row r="17015" spans="1:6" x14ac:dyDescent="0.25">
      <c r="A17015" s="2" t="str">
        <f t="shared" si="617"/>
        <v>38740</v>
      </c>
      <c r="B17015" s="2" t="str">
        <f>"63942"</f>
        <v>63942</v>
      </c>
      <c r="C17015" s="1">
        <v>1.14301722930382E-2</v>
      </c>
      <c r="D17015" s="1">
        <v>2.0797227036395099E-3</v>
      </c>
      <c r="E17015" s="1">
        <v>1.79856115107913E-2</v>
      </c>
      <c r="F17015" s="1">
        <v>1.0834014717906701E-2</v>
      </c>
    </row>
    <row r="17016" spans="1:6" x14ac:dyDescent="0.25">
      <c r="A17016" s="2" t="str">
        <f t="shared" si="617"/>
        <v>38740</v>
      </c>
      <c r="B17016" s="2" t="str">
        <f>"63932"</f>
        <v>63932</v>
      </c>
      <c r="C17016" s="1">
        <v>1.7705561002941499E-2</v>
      </c>
      <c r="D17016" s="1">
        <v>4.1594454072790199E-3</v>
      </c>
      <c r="E17016" s="1">
        <v>1.7985611510791301E-3</v>
      </c>
      <c r="F17016" s="1">
        <v>1.6480989370400601E-2</v>
      </c>
    </row>
    <row r="17017" spans="1:6" x14ac:dyDescent="0.25">
      <c r="A17017" s="2" t="str">
        <f t="shared" si="617"/>
        <v>38740</v>
      </c>
      <c r="B17017" s="2" t="str">
        <f>"63902"</f>
        <v>63902</v>
      </c>
      <c r="C17017" s="1">
        <v>3.6755848158005297E-2</v>
      </c>
      <c r="D17017" s="1">
        <v>9.9480069324090106E-2</v>
      </c>
      <c r="E17017" s="1">
        <v>1.7985611510791301E-3</v>
      </c>
      <c r="F17017" s="1">
        <v>4.0883074407195401E-2</v>
      </c>
    </row>
    <row r="17018" spans="1:6" x14ac:dyDescent="0.25">
      <c r="A17018" s="2" t="str">
        <f t="shared" si="617"/>
        <v>38740</v>
      </c>
      <c r="B17018" s="2" t="str">
        <f>"63954"</f>
        <v>63954</v>
      </c>
      <c r="C17018" s="1">
        <v>2.1431573049446699E-2</v>
      </c>
      <c r="D17018" s="1">
        <v>1.6291161178509501E-2</v>
      </c>
      <c r="E17018" s="1">
        <v>7.1942446043165402E-3</v>
      </c>
      <c r="F17018" s="1">
        <v>2.0850367947669601E-2</v>
      </c>
    </row>
    <row r="17019" spans="1:6" x14ac:dyDescent="0.25">
      <c r="A17019" s="2" t="str">
        <f t="shared" si="617"/>
        <v>38740</v>
      </c>
      <c r="B17019" s="2" t="str">
        <f>"63967"</f>
        <v>63967</v>
      </c>
      <c r="C17019" s="1">
        <v>3.7652332259420003E-2</v>
      </c>
      <c r="D17019" s="1">
        <v>1.00519930675909E-2</v>
      </c>
      <c r="E17019" s="1">
        <v>1.7985611510791301E-3</v>
      </c>
      <c r="F17019" s="1">
        <v>3.5108340147179E-2</v>
      </c>
    </row>
    <row r="17020" spans="1:6" x14ac:dyDescent="0.25">
      <c r="A17020" s="2" t="str">
        <f t="shared" si="617"/>
        <v>38740</v>
      </c>
      <c r="B17020" s="2" t="str">
        <f>"63966"</f>
        <v>63966</v>
      </c>
      <c r="C17020" s="1">
        <v>8.0907690152682399E-2</v>
      </c>
      <c r="D17020" s="1">
        <v>2.9116117850953201E-2</v>
      </c>
      <c r="E17020" s="1">
        <v>1.79856115107913E-2</v>
      </c>
      <c r="F17020" s="1">
        <v>7.6195829926410399E-2</v>
      </c>
    </row>
    <row r="17021" spans="1:6" x14ac:dyDescent="0.25">
      <c r="A17021" s="2" t="str">
        <f t="shared" si="617"/>
        <v>38740</v>
      </c>
      <c r="B17021" s="2" t="str">
        <f>"63931"</f>
        <v>63931</v>
      </c>
      <c r="C17021" s="1">
        <v>1.2046505112760801E-3</v>
      </c>
      <c r="D17021" s="1">
        <v>0</v>
      </c>
      <c r="E17021" s="1">
        <v>1.7985611510791301E-3</v>
      </c>
      <c r="F17021" s="1">
        <v>1.1242845461978701E-3</v>
      </c>
    </row>
    <row r="17022" spans="1:6" x14ac:dyDescent="0.25">
      <c r="A17022" s="2" t="str">
        <f t="shared" si="617"/>
        <v>38740</v>
      </c>
      <c r="B17022" s="2" t="str">
        <f>"63937"</f>
        <v>63937</v>
      </c>
      <c r="C17022" s="1">
        <v>4.7009385067936602E-2</v>
      </c>
      <c r="D17022" s="1">
        <v>2.1490467937608299E-2</v>
      </c>
      <c r="E17022" s="1">
        <v>1.7985611510791301E-3</v>
      </c>
      <c r="F17022" s="1">
        <v>4.44858953393295E-2</v>
      </c>
    </row>
    <row r="17023" spans="1:6" x14ac:dyDescent="0.25">
      <c r="A17023" s="2" t="str">
        <f t="shared" ref="A17023:A17069" si="618">"41140"</f>
        <v>41140</v>
      </c>
      <c r="B17023" s="2" t="str">
        <f>"64454"</f>
        <v>64454</v>
      </c>
      <c r="C17023" s="1">
        <v>3.8925515500070102E-3</v>
      </c>
      <c r="D17023" s="1">
        <v>4.01848503114325E-4</v>
      </c>
      <c r="E17023" s="1">
        <v>0</v>
      </c>
      <c r="F17023" s="1">
        <v>3.5051481863987701E-3</v>
      </c>
    </row>
    <row r="17024" spans="1:6" x14ac:dyDescent="0.25">
      <c r="A17024" s="2" t="str">
        <f t="shared" si="618"/>
        <v>41140</v>
      </c>
      <c r="B17024" s="2" t="str">
        <f>"64505"</f>
        <v>64505</v>
      </c>
      <c r="C17024" s="1">
        <v>0.108675831112357</v>
      </c>
      <c r="D17024" s="1">
        <v>5.8268032951577203E-2</v>
      </c>
      <c r="E17024" s="1">
        <v>4.8497627833421098E-2</v>
      </c>
      <c r="F17024" s="1">
        <v>0.10296372797546301</v>
      </c>
    </row>
    <row r="17025" spans="1:6" x14ac:dyDescent="0.25">
      <c r="A17025" s="2" t="str">
        <f t="shared" si="618"/>
        <v>41140</v>
      </c>
      <c r="B17025" s="2" t="str">
        <f>"66002"</f>
        <v>66002</v>
      </c>
      <c r="C17025" s="1">
        <v>1.4027212792817999E-3</v>
      </c>
      <c r="D17025" s="1">
        <v>0</v>
      </c>
      <c r="E17025" s="1">
        <v>0</v>
      </c>
      <c r="F17025" s="1">
        <v>1.25183863799956E-3</v>
      </c>
    </row>
    <row r="17026" spans="1:6" x14ac:dyDescent="0.25">
      <c r="A17026" s="2" t="str">
        <f t="shared" si="618"/>
        <v>41140</v>
      </c>
      <c r="B17026" s="2" t="str">
        <f>"64480"</f>
        <v>64480</v>
      </c>
      <c r="C17026" s="1">
        <v>2.5599663346892901E-3</v>
      </c>
      <c r="D17026" s="1">
        <v>2.0092425155716201E-4</v>
      </c>
      <c r="E17026" s="1">
        <v>5.2714812862414298E-4</v>
      </c>
      <c r="F17026" s="1">
        <v>2.3159014802991802E-3</v>
      </c>
    </row>
    <row r="17027" spans="1:6" x14ac:dyDescent="0.25">
      <c r="A17027" s="2" t="str">
        <f t="shared" si="618"/>
        <v>41140</v>
      </c>
      <c r="B17027" s="2" t="str">
        <f>"64463"</f>
        <v>64463</v>
      </c>
      <c r="C17027" s="1">
        <v>1.64819750315612E-3</v>
      </c>
      <c r="D17027" s="1">
        <v>4.01848503114325E-4</v>
      </c>
      <c r="E17027" s="1">
        <v>5.2714812862414298E-4</v>
      </c>
      <c r="F17027" s="1">
        <v>1.51785434857446E-3</v>
      </c>
    </row>
    <row r="17028" spans="1:6" x14ac:dyDescent="0.25">
      <c r="A17028" s="2" t="str">
        <f t="shared" si="618"/>
        <v>41140</v>
      </c>
      <c r="B17028" s="2" t="str">
        <f>"64449"</f>
        <v>64449</v>
      </c>
      <c r="C17028" s="1">
        <v>3.5594052461775799E-3</v>
      </c>
      <c r="D17028" s="1">
        <v>4.01848503114325E-4</v>
      </c>
      <c r="E17028" s="1">
        <v>5.2714812862414298E-4</v>
      </c>
      <c r="F17028" s="1">
        <v>3.2234844928488702E-3</v>
      </c>
    </row>
    <row r="17029" spans="1:6" x14ac:dyDescent="0.25">
      <c r="A17029" s="2" t="str">
        <f t="shared" si="618"/>
        <v>41140</v>
      </c>
      <c r="B17029" s="2" t="str">
        <f>"64429"</f>
        <v>64429</v>
      </c>
      <c r="C17029" s="1">
        <v>2.32851732360779E-2</v>
      </c>
      <c r="D17029" s="1">
        <v>4.11894715692184E-2</v>
      </c>
      <c r="E17029" s="1">
        <v>3.7427517132314098E-2</v>
      </c>
      <c r="F17029" s="1">
        <v>2.50993646918912E-2</v>
      </c>
    </row>
    <row r="17030" spans="1:6" x14ac:dyDescent="0.25">
      <c r="A17030" s="2" t="str">
        <f t="shared" si="618"/>
        <v>41140</v>
      </c>
      <c r="B17030" s="2" t="str">
        <f>"66035"</f>
        <v>66035</v>
      </c>
      <c r="C17030" s="1">
        <v>9.2754944592509398E-3</v>
      </c>
      <c r="D17030" s="1">
        <v>8.4388185654008397E-3</v>
      </c>
      <c r="E17030" s="1">
        <v>6.3257775434897197E-3</v>
      </c>
      <c r="F17030" s="1">
        <v>9.1227740744218005E-3</v>
      </c>
    </row>
    <row r="17031" spans="1:6" x14ac:dyDescent="0.25">
      <c r="A17031" s="2" t="str">
        <f t="shared" si="618"/>
        <v>41140</v>
      </c>
      <c r="B17031" s="2" t="str">
        <f>"64670"</f>
        <v>64670</v>
      </c>
      <c r="C17031" s="1">
        <v>6.8382662364988001E-4</v>
      </c>
      <c r="D17031" s="1">
        <v>0</v>
      </c>
      <c r="E17031" s="1">
        <v>0</v>
      </c>
      <c r="F17031" s="1">
        <v>6.1027133602478602E-4</v>
      </c>
    </row>
    <row r="17032" spans="1:6" x14ac:dyDescent="0.25">
      <c r="A17032" s="2" t="str">
        <f t="shared" si="618"/>
        <v>41140</v>
      </c>
      <c r="B17032" s="2" t="str">
        <f>"64506"</f>
        <v>64506</v>
      </c>
      <c r="C17032" s="1">
        <v>0.17167555056810199</v>
      </c>
      <c r="D17032" s="1">
        <v>0.26160337552742602</v>
      </c>
      <c r="E17032" s="1">
        <v>0.28729573010015802</v>
      </c>
      <c r="F17032" s="1">
        <v>0.182111225862986</v>
      </c>
    </row>
    <row r="17033" spans="1:6" x14ac:dyDescent="0.25">
      <c r="A17033" s="2" t="str">
        <f t="shared" si="618"/>
        <v>41140</v>
      </c>
      <c r="B17033" s="2" t="str">
        <f>"64502"</f>
        <v>64502</v>
      </c>
      <c r="C17033" s="1">
        <v>1.29401038013746E-2</v>
      </c>
      <c r="D17033" s="1">
        <v>3.8577456298975202E-2</v>
      </c>
      <c r="E17033" s="1">
        <v>1.0542962572482799E-3</v>
      </c>
      <c r="F17033" s="1">
        <v>1.45839201326948E-2</v>
      </c>
    </row>
    <row r="17034" spans="1:6" x14ac:dyDescent="0.25">
      <c r="A17034" s="2" t="str">
        <f t="shared" si="618"/>
        <v>41140</v>
      </c>
      <c r="B17034" s="2" t="str">
        <f>"64501"</f>
        <v>64501</v>
      </c>
      <c r="C17034" s="1">
        <v>0.107571188104923</v>
      </c>
      <c r="D17034" s="1">
        <v>0.16475788627687299</v>
      </c>
      <c r="E17034" s="1">
        <v>0.14232999472851801</v>
      </c>
      <c r="F17034" s="1">
        <v>0.113056676994335</v>
      </c>
    </row>
    <row r="17035" spans="1:6" x14ac:dyDescent="0.25">
      <c r="A17035" s="2" t="str">
        <f t="shared" si="618"/>
        <v>41140</v>
      </c>
      <c r="B17035" s="2" t="str">
        <f>"64439"</f>
        <v>64439</v>
      </c>
      <c r="C17035" s="1">
        <v>4.1029597418992796E-3</v>
      </c>
      <c r="D17035" s="1">
        <v>4.01848503114325E-4</v>
      </c>
      <c r="E17035" s="1">
        <v>0</v>
      </c>
      <c r="F17035" s="1">
        <v>3.6929239820987E-3</v>
      </c>
    </row>
    <row r="17036" spans="1:6" x14ac:dyDescent="0.25">
      <c r="A17036" s="2" t="str">
        <f t="shared" si="618"/>
        <v>41140</v>
      </c>
      <c r="B17036" s="2" t="str">
        <f>"64436"</f>
        <v>64436</v>
      </c>
      <c r="C17036" s="1">
        <v>5.9790994529387003E-3</v>
      </c>
      <c r="D17036" s="1">
        <v>1.0046212577858101E-3</v>
      </c>
      <c r="E17036" s="1">
        <v>5.2714812862414298E-4</v>
      </c>
      <c r="F17036" s="1">
        <v>5.4298500923230901E-3</v>
      </c>
    </row>
    <row r="17037" spans="1:6" x14ac:dyDescent="0.25">
      <c r="A17037" s="2" t="str">
        <f t="shared" si="618"/>
        <v>41140</v>
      </c>
      <c r="B17037" s="2" t="str">
        <f>"64427"</f>
        <v>64427</v>
      </c>
      <c r="C17037" s="1">
        <v>4.05035769392621E-3</v>
      </c>
      <c r="D17037" s="1">
        <v>1.0046212577858101E-3</v>
      </c>
      <c r="E17037" s="1">
        <v>1.0542962572482799E-3</v>
      </c>
      <c r="F17037" s="1">
        <v>3.7242199480486899E-3</v>
      </c>
    </row>
    <row r="17038" spans="1:6" x14ac:dyDescent="0.25">
      <c r="A17038" s="2" t="str">
        <f t="shared" si="618"/>
        <v>41140</v>
      </c>
      <c r="B17038" s="2" t="str">
        <f>"66008"</f>
        <v>66008</v>
      </c>
      <c r="C17038" s="1">
        <v>1.89367372703043E-3</v>
      </c>
      <c r="D17038" s="1">
        <v>8.0369700622865098E-4</v>
      </c>
      <c r="E17038" s="1">
        <v>1.5814443858724299E-3</v>
      </c>
      <c r="F17038" s="1">
        <v>1.7995180421243699E-3</v>
      </c>
    </row>
    <row r="17039" spans="1:6" x14ac:dyDescent="0.25">
      <c r="A17039" s="2" t="str">
        <f t="shared" si="618"/>
        <v>41140</v>
      </c>
      <c r="B17039" s="2" t="str">
        <f>"66017"</f>
        <v>66017</v>
      </c>
      <c r="C17039" s="1">
        <v>2.2794220788329299E-3</v>
      </c>
      <c r="D17039" s="1">
        <v>6.0277275467148796E-4</v>
      </c>
      <c r="E17039" s="1">
        <v>1.0542962572482799E-3</v>
      </c>
      <c r="F17039" s="1">
        <v>2.1124777016242602E-3</v>
      </c>
    </row>
    <row r="17040" spans="1:6" x14ac:dyDescent="0.25">
      <c r="A17040" s="2" t="str">
        <f t="shared" si="618"/>
        <v>41140</v>
      </c>
      <c r="B17040" s="2" t="str">
        <f>"64508"</f>
        <v>64508</v>
      </c>
      <c r="C17040" s="1">
        <v>5.4530789732080203E-3</v>
      </c>
      <c r="D17040" s="1">
        <v>4.5609805103475898E-2</v>
      </c>
      <c r="E17040" s="1">
        <v>1.0542962572482799E-3</v>
      </c>
      <c r="F17040" s="1">
        <v>8.4499108064970407E-3</v>
      </c>
    </row>
    <row r="17041" spans="1:6" x14ac:dyDescent="0.25">
      <c r="A17041" s="2" t="str">
        <f t="shared" si="618"/>
        <v>41140</v>
      </c>
      <c r="B17041" s="2" t="str">
        <f>"64444"</f>
        <v>64444</v>
      </c>
      <c r="C17041" s="1">
        <v>5.4355449572170004E-4</v>
      </c>
      <c r="D17041" s="1">
        <v>0</v>
      </c>
      <c r="E17041" s="1">
        <v>0</v>
      </c>
      <c r="F17041" s="1">
        <v>4.8508747222483003E-4</v>
      </c>
    </row>
    <row r="17042" spans="1:6" x14ac:dyDescent="0.25">
      <c r="A17042" s="2" t="str">
        <f t="shared" si="618"/>
        <v>41140</v>
      </c>
      <c r="B17042" s="2" t="str">
        <f>"64504"</f>
        <v>64504</v>
      </c>
      <c r="C17042" s="1">
        <v>8.4058072660962199E-2</v>
      </c>
      <c r="D17042" s="1">
        <v>7.0725336548121298E-2</v>
      </c>
      <c r="E17042" s="1">
        <v>2.8465998945703699E-2</v>
      </c>
      <c r="F17042" s="1">
        <v>8.1369511469971498E-2</v>
      </c>
    </row>
    <row r="17043" spans="1:6" x14ac:dyDescent="0.25">
      <c r="A17043" s="2" t="str">
        <f t="shared" si="618"/>
        <v>41140</v>
      </c>
      <c r="B17043" s="2" t="str">
        <f>"64503"</f>
        <v>64503</v>
      </c>
      <c r="C17043" s="1">
        <v>0.106571749193435</v>
      </c>
      <c r="D17043" s="1">
        <v>9.8653807514566996E-2</v>
      </c>
      <c r="E17043" s="1">
        <v>5.6404849762783302E-2</v>
      </c>
      <c r="F17043" s="1">
        <v>0.10446593434106299</v>
      </c>
    </row>
    <row r="17044" spans="1:6" x14ac:dyDescent="0.25">
      <c r="A17044" s="2" t="str">
        <f t="shared" si="618"/>
        <v>41140</v>
      </c>
      <c r="B17044" s="2" t="str">
        <f>"64430"</f>
        <v>64430</v>
      </c>
      <c r="C17044" s="1">
        <v>6.9610043484359596E-3</v>
      </c>
      <c r="D17044" s="1">
        <v>6.0277275467148796E-4</v>
      </c>
      <c r="E17044" s="1">
        <v>1.0542962572482799E-3</v>
      </c>
      <c r="F17044" s="1">
        <v>6.2904891559477901E-3</v>
      </c>
    </row>
    <row r="17045" spans="1:6" x14ac:dyDescent="0.25">
      <c r="A17045" s="2" t="str">
        <f t="shared" si="618"/>
        <v>41140</v>
      </c>
      <c r="B17045" s="2" t="str">
        <f>"64422"</f>
        <v>64422</v>
      </c>
      <c r="C17045" s="1">
        <v>3.2963950063122399E-3</v>
      </c>
      <c r="D17045" s="1">
        <v>6.0277275467148796E-4</v>
      </c>
      <c r="E17045" s="1">
        <v>5.2714812862414298E-4</v>
      </c>
      <c r="F17045" s="1">
        <v>3.0044127311989401E-3</v>
      </c>
    </row>
    <row r="17046" spans="1:6" x14ac:dyDescent="0.25">
      <c r="A17046" s="2" t="str">
        <f t="shared" si="618"/>
        <v>41140</v>
      </c>
      <c r="B17046" s="2" t="str">
        <f>"64421"</f>
        <v>64421</v>
      </c>
      <c r="C17046" s="1">
        <v>7.8026371160050401E-3</v>
      </c>
      <c r="D17046" s="1">
        <v>1.0046212577858101E-3</v>
      </c>
      <c r="E17046" s="1">
        <v>2.1085925144965702E-3</v>
      </c>
      <c r="F17046" s="1">
        <v>7.10418427064751E-3</v>
      </c>
    </row>
    <row r="17047" spans="1:6" x14ac:dyDescent="0.25">
      <c r="A17047" s="2" t="str">
        <f t="shared" si="618"/>
        <v>41140</v>
      </c>
      <c r="B17047" s="2" t="str">
        <f>"64401"</f>
        <v>64401</v>
      </c>
      <c r="C17047" s="1">
        <v>1.08009538504699E-2</v>
      </c>
      <c r="D17047" s="1">
        <v>2.0092425155716202E-3</v>
      </c>
      <c r="E17047" s="1">
        <v>1.5814443858724299E-3</v>
      </c>
      <c r="F17047" s="1">
        <v>9.8425812912715498E-3</v>
      </c>
    </row>
    <row r="17048" spans="1:6" x14ac:dyDescent="0.25">
      <c r="A17048" s="2" t="str">
        <f t="shared" si="618"/>
        <v>41140</v>
      </c>
      <c r="B17048" s="2" t="str">
        <f>"66024"</f>
        <v>66024</v>
      </c>
      <c r="C17048" s="1">
        <v>7.9429092439332293E-3</v>
      </c>
      <c r="D17048" s="1">
        <v>9.4434398231866504E-3</v>
      </c>
      <c r="E17048" s="1">
        <v>1.0542962572482799E-3</v>
      </c>
      <c r="F17048" s="1">
        <v>7.8552874534472492E-3</v>
      </c>
    </row>
    <row r="17049" spans="1:6" x14ac:dyDescent="0.25">
      <c r="A17049" s="2" t="str">
        <f t="shared" si="618"/>
        <v>41140</v>
      </c>
      <c r="B17049" s="2" t="str">
        <f>"66090"</f>
        <v>66090</v>
      </c>
      <c r="C17049" s="1">
        <v>2.14265675410295E-2</v>
      </c>
      <c r="D17049" s="1">
        <v>1.22563793449869E-2</v>
      </c>
      <c r="E17049" s="1">
        <v>1.2651555086979399E-2</v>
      </c>
      <c r="F17049" s="1">
        <v>2.0451913748317799E-2</v>
      </c>
    </row>
    <row r="17050" spans="1:6" x14ac:dyDescent="0.25">
      <c r="A17050" s="2" t="str">
        <f t="shared" si="618"/>
        <v>41140</v>
      </c>
      <c r="B17050" s="2" t="str">
        <f>"66087"</f>
        <v>66087</v>
      </c>
      <c r="C17050" s="1">
        <v>1.6183896759713799E-2</v>
      </c>
      <c r="D17050" s="1">
        <v>8.0369700622865102E-3</v>
      </c>
      <c r="E17050" s="1">
        <v>0.180284659989457</v>
      </c>
      <c r="F17050" s="1">
        <v>2.0420617782367801E-2</v>
      </c>
    </row>
    <row r="17051" spans="1:6" x14ac:dyDescent="0.25">
      <c r="A17051" s="2" t="str">
        <f t="shared" si="618"/>
        <v>41140</v>
      </c>
      <c r="B17051" s="2" t="str">
        <f>"64484"</f>
        <v>64484</v>
      </c>
      <c r="C17051" s="1">
        <v>8.0481133398793599E-3</v>
      </c>
      <c r="D17051" s="1">
        <v>5.6258790436005601E-3</v>
      </c>
      <c r="E17051" s="1">
        <v>2.1085925144965702E-3</v>
      </c>
      <c r="F17051" s="1">
        <v>7.6831596407223096E-3</v>
      </c>
    </row>
    <row r="17052" spans="1:6" x14ac:dyDescent="0.25">
      <c r="A17052" s="2" t="str">
        <f t="shared" si="618"/>
        <v>41140</v>
      </c>
      <c r="B17052" s="2" t="str">
        <f>"64459"</f>
        <v>64459</v>
      </c>
      <c r="C17052" s="1">
        <v>4.0678917099172297E-3</v>
      </c>
      <c r="D17052" s="1">
        <v>8.0369700622865098E-4</v>
      </c>
      <c r="E17052" s="1">
        <v>5.2714812862414298E-4</v>
      </c>
      <c r="F17052" s="1">
        <v>3.7085719650737001E-3</v>
      </c>
    </row>
    <row r="17053" spans="1:6" x14ac:dyDescent="0.25">
      <c r="A17053" s="2" t="str">
        <f t="shared" si="618"/>
        <v>41140</v>
      </c>
      <c r="B17053" s="2" t="str">
        <f>"64507"</f>
        <v>64507</v>
      </c>
      <c r="C17053" s="1">
        <v>0.108219946696591</v>
      </c>
      <c r="D17053" s="1">
        <v>9.1018685955394807E-2</v>
      </c>
      <c r="E17053" s="1">
        <v>9.2778070637849194E-2</v>
      </c>
      <c r="F17053" s="1">
        <v>0.106421932212937</v>
      </c>
    </row>
    <row r="17054" spans="1:6" x14ac:dyDescent="0.25">
      <c r="A17054" s="2" t="str">
        <f t="shared" si="618"/>
        <v>41140</v>
      </c>
      <c r="B17054" s="2" t="str">
        <f>"64455"</f>
        <v>64455</v>
      </c>
      <c r="C17054" s="1">
        <v>3.5068031982045102E-5</v>
      </c>
      <c r="D17054" s="1">
        <v>0</v>
      </c>
      <c r="E17054" s="1">
        <v>0</v>
      </c>
      <c r="F17054" s="1">
        <v>3.1295965949989E-5</v>
      </c>
    </row>
    <row r="17055" spans="1:6" x14ac:dyDescent="0.25">
      <c r="A17055" s="2" t="str">
        <f t="shared" si="618"/>
        <v>41140</v>
      </c>
      <c r="B17055" s="2" t="str">
        <f>"64469"</f>
        <v>64469</v>
      </c>
      <c r="C17055" s="1">
        <v>1.8007434422780098E-2</v>
      </c>
      <c r="D17055" s="1">
        <v>1.38637733574442E-2</v>
      </c>
      <c r="E17055" s="1">
        <v>8.9615181866104301E-3</v>
      </c>
      <c r="F17055" s="1">
        <v>1.74162050511689E-2</v>
      </c>
    </row>
    <row r="17056" spans="1:6" x14ac:dyDescent="0.25">
      <c r="A17056" s="2" t="str">
        <f t="shared" si="618"/>
        <v>41140</v>
      </c>
      <c r="B17056" s="2" t="str">
        <f>"64494"</f>
        <v>64494</v>
      </c>
      <c r="C17056" s="1">
        <v>8.5741338196100407E-3</v>
      </c>
      <c r="D17056" s="1">
        <v>8.0369700622865098E-4</v>
      </c>
      <c r="E17056" s="1">
        <v>1.5814443858724299E-3</v>
      </c>
      <c r="F17056" s="1">
        <v>7.7613995555972804E-3</v>
      </c>
    </row>
    <row r="17057" spans="1:6" x14ac:dyDescent="0.25">
      <c r="A17057" s="2" t="str">
        <f t="shared" si="618"/>
        <v>41140</v>
      </c>
      <c r="B17057" s="2" t="str">
        <f>"64490"</f>
        <v>64490</v>
      </c>
      <c r="C17057" s="1">
        <v>1.1344508346191599E-2</v>
      </c>
      <c r="D17057" s="1">
        <v>5.6258790436005601E-3</v>
      </c>
      <c r="E17057" s="1">
        <v>5.2714812862414296E-3</v>
      </c>
      <c r="F17057" s="1">
        <v>1.0718868337871199E-2</v>
      </c>
    </row>
    <row r="17058" spans="1:6" x14ac:dyDescent="0.25">
      <c r="A17058" s="2" t="str">
        <f t="shared" si="618"/>
        <v>41140</v>
      </c>
      <c r="B17058" s="2" t="str">
        <f>"64485"</f>
        <v>64485</v>
      </c>
      <c r="C17058" s="1">
        <v>6.3718614111375999E-2</v>
      </c>
      <c r="D17058" s="1">
        <v>4.6011653606590298E-2</v>
      </c>
      <c r="E17058" s="1">
        <v>6.8002108592514404E-2</v>
      </c>
      <c r="F17058" s="1">
        <v>6.2466748036178098E-2</v>
      </c>
    </row>
    <row r="17059" spans="1:6" x14ac:dyDescent="0.25">
      <c r="A17059" s="2" t="str">
        <f t="shared" si="618"/>
        <v>41140</v>
      </c>
      <c r="B17059" s="2" t="str">
        <f>"66532"</f>
        <v>66532</v>
      </c>
      <c r="C17059" s="1">
        <v>1.1747790713985101E-3</v>
      </c>
      <c r="D17059" s="1">
        <v>8.0369700622865098E-4</v>
      </c>
      <c r="E17059" s="1">
        <v>5.2714812862414298E-4</v>
      </c>
      <c r="F17059" s="1">
        <v>1.1266547741996E-3</v>
      </c>
    </row>
    <row r="17060" spans="1:6" x14ac:dyDescent="0.25">
      <c r="A17060" s="2" t="str">
        <f t="shared" si="618"/>
        <v>41140</v>
      </c>
      <c r="B17060" s="2" t="str">
        <f>"66041"</f>
        <v>66041</v>
      </c>
      <c r="C17060" s="1">
        <v>1.7534015991022499E-4</v>
      </c>
      <c r="D17060" s="1">
        <v>0</v>
      </c>
      <c r="E17060" s="1">
        <v>0</v>
      </c>
      <c r="F17060" s="1">
        <v>1.56479829749945E-4</v>
      </c>
    </row>
    <row r="17061" spans="1:6" x14ac:dyDescent="0.25">
      <c r="A17061" s="2" t="str">
        <f t="shared" si="618"/>
        <v>41140</v>
      </c>
      <c r="B17061" s="2" t="str">
        <f>"64457"</f>
        <v>64457</v>
      </c>
      <c r="C17061" s="1">
        <v>2.8054425585636098E-4</v>
      </c>
      <c r="D17061" s="1">
        <v>0</v>
      </c>
      <c r="E17061" s="1">
        <v>0</v>
      </c>
      <c r="F17061" s="1">
        <v>2.50367727599912E-4</v>
      </c>
    </row>
    <row r="17062" spans="1:6" x14ac:dyDescent="0.25">
      <c r="A17062" s="2" t="str">
        <f t="shared" si="618"/>
        <v>41140</v>
      </c>
      <c r="B17062" s="2" t="str">
        <f>"64483"</f>
        <v>64483</v>
      </c>
      <c r="C17062" s="1">
        <v>5.1900687333426799E-3</v>
      </c>
      <c r="D17062" s="1">
        <v>1.0046212577858101E-3</v>
      </c>
      <c r="E17062" s="1">
        <v>1.0542962572482799E-3</v>
      </c>
      <c r="F17062" s="1">
        <v>4.7413388414233402E-3</v>
      </c>
    </row>
    <row r="17063" spans="1:6" x14ac:dyDescent="0.25">
      <c r="A17063" s="2" t="str">
        <f t="shared" si="618"/>
        <v>41140</v>
      </c>
      <c r="B17063" s="2" t="str">
        <f>"64448"</f>
        <v>64448</v>
      </c>
      <c r="C17063" s="1">
        <v>8.9949502033945805E-3</v>
      </c>
      <c r="D17063" s="1">
        <v>2.0092425155716202E-3</v>
      </c>
      <c r="E17063" s="1">
        <v>1.0542962572482799E-3</v>
      </c>
      <c r="F17063" s="1">
        <v>8.2151910618721204E-3</v>
      </c>
    </row>
    <row r="17064" spans="1:6" x14ac:dyDescent="0.25">
      <c r="A17064" s="2" t="str">
        <f t="shared" si="618"/>
        <v>41140</v>
      </c>
      <c r="B17064" s="2" t="str">
        <f>"64443"</f>
        <v>64443</v>
      </c>
      <c r="C17064" s="1">
        <v>8.6793379155561696E-3</v>
      </c>
      <c r="D17064" s="1">
        <v>1.6073940124573E-3</v>
      </c>
      <c r="E17064" s="1">
        <v>5.2714812862414298E-4</v>
      </c>
      <c r="F17064" s="1">
        <v>7.8865834193972296E-3</v>
      </c>
    </row>
    <row r="17065" spans="1:6" x14ac:dyDescent="0.25">
      <c r="A17065" s="2" t="str">
        <f t="shared" si="618"/>
        <v>41140</v>
      </c>
      <c r="B17065" s="2" t="str">
        <f>"66094"</f>
        <v>66094</v>
      </c>
      <c r="C17065" s="1">
        <v>2.1391499509047498E-3</v>
      </c>
      <c r="D17065" s="1">
        <v>4.01848503114325E-4</v>
      </c>
      <c r="E17065" s="1">
        <v>5.2714812862414298E-4</v>
      </c>
      <c r="F17065" s="1">
        <v>1.9559978718743098E-3</v>
      </c>
    </row>
    <row r="17066" spans="1:6" x14ac:dyDescent="0.25">
      <c r="A17066" s="2" t="str">
        <f t="shared" si="618"/>
        <v>41140</v>
      </c>
      <c r="B17066" s="2" t="str">
        <f>"64474"</f>
        <v>64474</v>
      </c>
      <c r="C17066" s="1">
        <v>6.4700519006873304E-3</v>
      </c>
      <c r="D17066" s="1">
        <v>2.2101667671287901E-3</v>
      </c>
      <c r="E17066" s="1">
        <v>1.5814443858724299E-3</v>
      </c>
      <c r="F17066" s="1">
        <v>5.9931774794229004E-3</v>
      </c>
    </row>
    <row r="17067" spans="1:6" x14ac:dyDescent="0.25">
      <c r="A17067" s="2" t="str">
        <f t="shared" si="618"/>
        <v>41140</v>
      </c>
      <c r="B17067" s="2" t="str">
        <f>"64497"</f>
        <v>64497</v>
      </c>
      <c r="C17067" s="1">
        <v>2.7002384626174701E-3</v>
      </c>
      <c r="D17067" s="1">
        <v>6.0277275467148796E-4</v>
      </c>
      <c r="E17067" s="1">
        <v>1.0542962572482799E-3</v>
      </c>
      <c r="F17067" s="1">
        <v>2.4880292930241198E-3</v>
      </c>
    </row>
    <row r="17068" spans="1:6" x14ac:dyDescent="0.25">
      <c r="A17068" s="2" t="str">
        <f t="shared" si="618"/>
        <v>41140</v>
      </c>
      <c r="B17068" s="2" t="str">
        <f>"64440"</f>
        <v>64440</v>
      </c>
      <c r="C17068" s="1">
        <v>5.5407490531631303E-3</v>
      </c>
      <c r="D17068" s="1">
        <v>6.0277275467148796E-4</v>
      </c>
      <c r="E17068" s="1">
        <v>5.2714812862414298E-4</v>
      </c>
      <c r="F17068" s="1">
        <v>5.00735455199824E-3</v>
      </c>
    </row>
    <row r="17069" spans="1:6" x14ac:dyDescent="0.25">
      <c r="A17069" s="2" t="str">
        <f t="shared" si="618"/>
        <v>41140</v>
      </c>
      <c r="B17069" s="2" t="str">
        <f>"64423"</f>
        <v>64423</v>
      </c>
      <c r="C17069" s="1">
        <v>1.22738111937158E-4</v>
      </c>
      <c r="D17069" s="1">
        <v>0</v>
      </c>
      <c r="E17069" s="1">
        <v>0</v>
      </c>
      <c r="F17069" s="1">
        <v>1.09535880824961E-4</v>
      </c>
    </row>
    <row r="17070" spans="1:6" x14ac:dyDescent="0.25">
      <c r="A17070" s="2" t="str">
        <f t="shared" ref="A17070:A17084" si="619">"38260"</f>
        <v>38260</v>
      </c>
      <c r="B17070" s="2" t="str">
        <f>"66746"</f>
        <v>66746</v>
      </c>
      <c r="C17070" s="1">
        <v>3.6359858715977501E-3</v>
      </c>
      <c r="D17070" s="1">
        <v>1.0781671159029601E-3</v>
      </c>
      <c r="E17070" s="1">
        <v>1.6666666666666601E-3</v>
      </c>
      <c r="F17070" s="1">
        <v>3.36297047035518E-3</v>
      </c>
    </row>
    <row r="17071" spans="1:6" x14ac:dyDescent="0.25">
      <c r="A17071" s="2" t="str">
        <f t="shared" si="619"/>
        <v>38260</v>
      </c>
      <c r="B17071" s="2" t="str">
        <f>"66781"</f>
        <v>66781</v>
      </c>
      <c r="C17071" s="1">
        <v>8.8302514024516895E-4</v>
      </c>
      <c r="D17071" s="1">
        <v>1.6172506738544399E-3</v>
      </c>
      <c r="E17071" s="1">
        <v>0</v>
      </c>
      <c r="F17071" s="1">
        <v>9.2136177270004998E-4</v>
      </c>
    </row>
    <row r="17072" spans="1:6" x14ac:dyDescent="0.25">
      <c r="A17072" s="2" t="str">
        <f t="shared" si="619"/>
        <v>38260</v>
      </c>
      <c r="B17072" s="2" t="str">
        <f>"66756"</f>
        <v>66756</v>
      </c>
      <c r="C17072" s="1">
        <v>2.4413047995013499E-2</v>
      </c>
      <c r="D17072" s="1">
        <v>2.1563342318059201E-3</v>
      </c>
      <c r="E17072" s="1">
        <v>6.6666666666666602E-3</v>
      </c>
      <c r="F17072" s="1">
        <v>2.2020546367531198E-2</v>
      </c>
    </row>
    <row r="17073" spans="1:6" x14ac:dyDescent="0.25">
      <c r="A17073" s="2" t="str">
        <f t="shared" si="619"/>
        <v>38260</v>
      </c>
      <c r="B17073" s="2" t="str">
        <f>"66712"</f>
        <v>66712</v>
      </c>
      <c r="C17073" s="1">
        <v>4.8358612092250099E-2</v>
      </c>
      <c r="D17073" s="1">
        <v>2.6954177897574101E-2</v>
      </c>
      <c r="E17073" s="1">
        <v>2.5000000000000001E-2</v>
      </c>
      <c r="F17073" s="1">
        <v>4.5883816280462501E-2</v>
      </c>
    </row>
    <row r="17074" spans="1:6" x14ac:dyDescent="0.25">
      <c r="A17074" s="2" t="str">
        <f t="shared" si="619"/>
        <v>38260</v>
      </c>
      <c r="B17074" s="2" t="str">
        <f>"66763"</f>
        <v>66763</v>
      </c>
      <c r="C17074" s="1">
        <v>8.0147517141076194E-2</v>
      </c>
      <c r="D17074" s="1">
        <v>5.9299191374663003E-2</v>
      </c>
      <c r="E17074" s="1">
        <v>3.6666666666666597E-2</v>
      </c>
      <c r="F17074" s="1">
        <v>7.7164048463629203E-2</v>
      </c>
    </row>
    <row r="17075" spans="1:6" x14ac:dyDescent="0.25">
      <c r="A17075" s="2" t="str">
        <f t="shared" si="619"/>
        <v>38260</v>
      </c>
      <c r="B17075" s="2" t="str">
        <f>"66762"</f>
        <v>66762</v>
      </c>
      <c r="C17075" s="1">
        <v>0.64263453147724903</v>
      </c>
      <c r="D17075" s="1">
        <v>0.76064690026954096</v>
      </c>
      <c r="E17075" s="1">
        <v>0.87666666666666604</v>
      </c>
      <c r="F17075" s="1">
        <v>0.65918828027825105</v>
      </c>
    </row>
    <row r="17076" spans="1:6" x14ac:dyDescent="0.25">
      <c r="A17076" s="2" t="str">
        <f t="shared" si="619"/>
        <v>38260</v>
      </c>
      <c r="B17076" s="2" t="str">
        <f>"66735"</f>
        <v>66735</v>
      </c>
      <c r="C17076" s="1">
        <v>1.14273841678786E-2</v>
      </c>
      <c r="D17076" s="1">
        <v>2.1563342318059201E-3</v>
      </c>
      <c r="E17076" s="1">
        <v>1.6666666666666601E-3</v>
      </c>
      <c r="F17076" s="1">
        <v>1.0365319942875499E-2</v>
      </c>
    </row>
    <row r="17077" spans="1:6" x14ac:dyDescent="0.25">
      <c r="A17077" s="2" t="str">
        <f t="shared" si="619"/>
        <v>38260</v>
      </c>
      <c r="B17077" s="2" t="str">
        <f>"66734"</f>
        <v>66734</v>
      </c>
      <c r="C17077" s="1">
        <v>9.9729898192395493E-3</v>
      </c>
      <c r="D17077" s="1">
        <v>2.6954177897574099E-3</v>
      </c>
      <c r="E17077" s="1">
        <v>0</v>
      </c>
      <c r="F17077" s="1">
        <v>9.0754134610954908E-3</v>
      </c>
    </row>
    <row r="17078" spans="1:6" x14ac:dyDescent="0.25">
      <c r="A17078" s="2" t="str">
        <f t="shared" si="619"/>
        <v>38260</v>
      </c>
      <c r="B17078" s="2" t="str">
        <f>"66743"</f>
        <v>66743</v>
      </c>
      <c r="C17078" s="1">
        <v>0.106586328693122</v>
      </c>
      <c r="D17078" s="1">
        <v>0.12398921832884</v>
      </c>
      <c r="E17078" s="1">
        <v>3.6666666666666597E-2</v>
      </c>
      <c r="F17078" s="1">
        <v>0.106140876215045</v>
      </c>
    </row>
    <row r="17079" spans="1:6" x14ac:dyDescent="0.25">
      <c r="A17079" s="2" t="str">
        <f t="shared" si="619"/>
        <v>38260</v>
      </c>
      <c r="B17079" s="2" t="str">
        <f>"66701"</f>
        <v>66701</v>
      </c>
      <c r="C17079" s="1">
        <v>5.7136920839393303E-4</v>
      </c>
      <c r="D17079" s="1">
        <v>0</v>
      </c>
      <c r="E17079" s="1">
        <v>0</v>
      </c>
      <c r="F17079" s="1">
        <v>5.0674897498502697E-4</v>
      </c>
    </row>
    <row r="17080" spans="1:6" x14ac:dyDescent="0.25">
      <c r="A17080" s="2" t="str">
        <f t="shared" si="619"/>
        <v>38260</v>
      </c>
      <c r="B17080" s="2" t="str">
        <f>"66760"</f>
        <v>66760</v>
      </c>
      <c r="C17080" s="1">
        <v>0</v>
      </c>
      <c r="D17080" s="1">
        <v>0</v>
      </c>
      <c r="E17080" s="1">
        <v>1.6666666666666601E-3</v>
      </c>
      <c r="F17080" s="1">
        <v>4.6068088635002502E-5</v>
      </c>
    </row>
    <row r="17081" spans="1:6" x14ac:dyDescent="0.25">
      <c r="A17081" s="2" t="str">
        <f t="shared" si="619"/>
        <v>38260</v>
      </c>
      <c r="B17081" s="2" t="str">
        <f>"66753"</f>
        <v>66753</v>
      </c>
      <c r="C17081" s="1">
        <v>2.1348431331809602E-2</v>
      </c>
      <c r="D17081" s="1">
        <v>7.0080862533692702E-3</v>
      </c>
      <c r="E17081" s="1">
        <v>6.6666666666666602E-3</v>
      </c>
      <c r="F17081" s="1">
        <v>1.9717141935780998E-2</v>
      </c>
    </row>
    <row r="17082" spans="1:6" x14ac:dyDescent="0.25">
      <c r="A17082" s="2" t="str">
        <f t="shared" si="619"/>
        <v>38260</v>
      </c>
      <c r="B17082" s="2" t="str">
        <f>"66724"</f>
        <v>66724</v>
      </c>
      <c r="C17082" s="1">
        <v>2.1192603365884001E-2</v>
      </c>
      <c r="D17082" s="1">
        <v>4.8517520215633396E-3</v>
      </c>
      <c r="E17082" s="1">
        <v>1.6666666666666601E-3</v>
      </c>
      <c r="F17082" s="1">
        <v>1.9256461049431E-2</v>
      </c>
    </row>
    <row r="17083" spans="1:6" x14ac:dyDescent="0.25">
      <c r="A17083" s="2" t="str">
        <f t="shared" si="619"/>
        <v>38260</v>
      </c>
      <c r="B17083" s="2" t="str">
        <f>"66780"</f>
        <v>66780</v>
      </c>
      <c r="C17083" s="1">
        <v>1.0856014959484701E-2</v>
      </c>
      <c r="D17083" s="1">
        <v>3.2345013477088902E-3</v>
      </c>
      <c r="E17083" s="1">
        <v>3.3333333333333301E-3</v>
      </c>
      <c r="F17083" s="1">
        <v>9.9967752337955396E-3</v>
      </c>
    </row>
    <row r="17084" spans="1:6" x14ac:dyDescent="0.25">
      <c r="A17084" s="2" t="str">
        <f t="shared" si="619"/>
        <v>38260</v>
      </c>
      <c r="B17084" s="2" t="str">
        <f>"66711"</f>
        <v>66711</v>
      </c>
      <c r="C17084" s="1">
        <v>1.79721587367546E-2</v>
      </c>
      <c r="D17084" s="1">
        <v>4.3126684636118498E-3</v>
      </c>
      <c r="E17084" s="1">
        <v>1.6666666666666601E-3</v>
      </c>
      <c r="F17084" s="1">
        <v>1.6354171465425799E-2</v>
      </c>
    </row>
    <row r="17085" spans="1:6" x14ac:dyDescent="0.25">
      <c r="A17085" s="2" t="str">
        <f t="shared" ref="A17085:A17095" si="620">"24460"</f>
        <v>24460</v>
      </c>
      <c r="B17085" s="2" t="str">
        <f>"67567"</f>
        <v>67567</v>
      </c>
      <c r="C17085" s="1">
        <v>1.5143056524773201E-2</v>
      </c>
      <c r="D17085" s="1">
        <v>3.01053687907676E-3</v>
      </c>
      <c r="E17085" s="1">
        <v>1.6997167138810099E-2</v>
      </c>
      <c r="F17085" s="1">
        <v>1.37323099064523E-2</v>
      </c>
    </row>
    <row r="17086" spans="1:6" x14ac:dyDescent="0.25">
      <c r="A17086" s="2" t="str">
        <f t="shared" si="620"/>
        <v>24460</v>
      </c>
      <c r="B17086" s="2" t="str">
        <f>"67565"</f>
        <v>67565</v>
      </c>
      <c r="C17086" s="1">
        <v>8.7927424982553997E-3</v>
      </c>
      <c r="D17086" s="1">
        <v>2.5087807325639699E-3</v>
      </c>
      <c r="E17086" s="1">
        <v>0</v>
      </c>
      <c r="F17086" s="1">
        <v>7.8556008635164293E-3</v>
      </c>
    </row>
    <row r="17087" spans="1:6" x14ac:dyDescent="0.25">
      <c r="A17087" s="2" t="str">
        <f t="shared" si="620"/>
        <v>24460</v>
      </c>
      <c r="B17087" s="2" t="str">
        <f>"67564"</f>
        <v>67564</v>
      </c>
      <c r="C17087" s="1">
        <v>9.4207955338450802E-3</v>
      </c>
      <c r="D17087" s="1">
        <v>1.50526843953838E-3</v>
      </c>
      <c r="E17087" s="1">
        <v>2.8328611898016899E-3</v>
      </c>
      <c r="F17087" s="1">
        <v>8.3353322139601803E-3</v>
      </c>
    </row>
    <row r="17088" spans="1:6" x14ac:dyDescent="0.25">
      <c r="A17088" s="2" t="str">
        <f t="shared" si="620"/>
        <v>24460</v>
      </c>
      <c r="B17088" s="2" t="str">
        <f>"67511"</f>
        <v>67511</v>
      </c>
      <c r="C17088" s="1">
        <v>8.3042568039078807E-3</v>
      </c>
      <c r="D17088" s="1">
        <v>1.00351229302558E-3</v>
      </c>
      <c r="E17088" s="1">
        <v>1.41643059490084E-2</v>
      </c>
      <c r="F17088" s="1">
        <v>7.5557687694890801E-3</v>
      </c>
    </row>
    <row r="17089" spans="1:6" x14ac:dyDescent="0.25">
      <c r="A17089" s="2" t="str">
        <f t="shared" si="620"/>
        <v>24460</v>
      </c>
      <c r="B17089" s="2" t="str">
        <f>"67526"</f>
        <v>67526</v>
      </c>
      <c r="C17089" s="1">
        <v>9.1346824842986701E-2</v>
      </c>
      <c r="D17089" s="1">
        <v>7.4761665830406401E-2</v>
      </c>
      <c r="E17089" s="1">
        <v>5.3824362606232197E-2</v>
      </c>
      <c r="F17089" s="1">
        <v>8.8570400575677596E-2</v>
      </c>
    </row>
    <row r="17090" spans="1:6" x14ac:dyDescent="0.25">
      <c r="A17090" s="2" t="str">
        <f t="shared" si="620"/>
        <v>24460</v>
      </c>
      <c r="B17090" s="2" t="str">
        <f>"67525"</f>
        <v>67525</v>
      </c>
      <c r="C17090" s="1">
        <v>3.4752267969295099E-2</v>
      </c>
      <c r="D17090" s="1">
        <v>9.5333667837430996E-3</v>
      </c>
      <c r="E17090" s="1">
        <v>2.2662889518413502E-2</v>
      </c>
      <c r="F17090" s="1">
        <v>3.1482369872871098E-2</v>
      </c>
    </row>
    <row r="17091" spans="1:6" x14ac:dyDescent="0.25">
      <c r="A17091" s="2" t="str">
        <f t="shared" si="620"/>
        <v>24460</v>
      </c>
      <c r="B17091" s="2" t="str">
        <f>"67544"</f>
        <v>67544</v>
      </c>
      <c r="C17091" s="1">
        <v>0.119748778785764</v>
      </c>
      <c r="D17091" s="1">
        <v>9.4330155544405395E-2</v>
      </c>
      <c r="E17091" s="1">
        <v>7.3654390934844105E-2</v>
      </c>
      <c r="F17091" s="1">
        <v>0.11573518829455499</v>
      </c>
    </row>
    <row r="17092" spans="1:6" x14ac:dyDescent="0.25">
      <c r="A17092" s="2" t="str">
        <f t="shared" si="620"/>
        <v>24460</v>
      </c>
      <c r="B17092" s="2" t="str">
        <f>"67530"</f>
        <v>67530</v>
      </c>
      <c r="C17092" s="1">
        <v>0.71095603628750803</v>
      </c>
      <c r="D17092" s="1">
        <v>0.81284495735072704</v>
      </c>
      <c r="E17092" s="1">
        <v>0.81586402266288904</v>
      </c>
      <c r="F17092" s="1">
        <v>0.725353801870952</v>
      </c>
    </row>
    <row r="17093" spans="1:6" x14ac:dyDescent="0.25">
      <c r="A17093" s="2" t="str">
        <f t="shared" si="620"/>
        <v>24460</v>
      </c>
      <c r="B17093" s="2" t="str">
        <f>"67665"</f>
        <v>67665</v>
      </c>
      <c r="C17093" s="1">
        <v>9.7697138869504499E-4</v>
      </c>
      <c r="D17093" s="1">
        <v>5.0175614651279399E-4</v>
      </c>
      <c r="E17093" s="1">
        <v>0</v>
      </c>
      <c r="F17093" s="1">
        <v>8.9949628208203401E-4</v>
      </c>
    </row>
    <row r="17094" spans="1:6" x14ac:dyDescent="0.25">
      <c r="A17094" s="2" t="str">
        <f t="shared" si="620"/>
        <v>24460</v>
      </c>
      <c r="B17094" s="2" t="str">
        <f>"67427"</f>
        <v>67427</v>
      </c>
      <c r="C17094" s="1">
        <v>6.9783670621074601E-5</v>
      </c>
      <c r="D17094" s="1">
        <v>0</v>
      </c>
      <c r="E17094" s="1">
        <v>0</v>
      </c>
      <c r="F17094" s="1">
        <v>5.9966418805468903E-5</v>
      </c>
    </row>
    <row r="17095" spans="1:6" x14ac:dyDescent="0.25">
      <c r="A17095" s="2" t="str">
        <f t="shared" si="620"/>
        <v>24460</v>
      </c>
      <c r="B17095" s="2" t="str">
        <f>"67450"</f>
        <v>67450</v>
      </c>
      <c r="C17095" s="1">
        <v>4.8848569434752195E-4</v>
      </c>
      <c r="D17095" s="1">
        <v>0</v>
      </c>
      <c r="E17095" s="1">
        <v>0</v>
      </c>
      <c r="F17095" s="1">
        <v>4.1976493163828202E-4</v>
      </c>
    </row>
    <row r="17096" spans="1:6" x14ac:dyDescent="0.25">
      <c r="A17096" s="2" t="str">
        <f t="shared" ref="A17096:A17108" si="621">"18100"</f>
        <v>18100</v>
      </c>
      <c r="B17096" s="2" t="str">
        <f>"68647"</f>
        <v>68647</v>
      </c>
      <c r="C17096" s="1">
        <v>2.0470438652256801E-2</v>
      </c>
      <c r="D17096" s="1">
        <v>5.2113491603937396E-3</v>
      </c>
      <c r="E17096" s="1">
        <v>0</v>
      </c>
      <c r="F17096" s="1">
        <v>1.8420613278423901E-2</v>
      </c>
    </row>
    <row r="17097" spans="1:6" x14ac:dyDescent="0.25">
      <c r="A17097" s="2" t="str">
        <f t="shared" si="621"/>
        <v>18100</v>
      </c>
      <c r="B17097" s="2" t="str">
        <f>"68631"</f>
        <v>68631</v>
      </c>
      <c r="C17097" s="1">
        <v>1.4431023521932601E-2</v>
      </c>
      <c r="D17097" s="1">
        <v>0</v>
      </c>
      <c r="E17097" s="1">
        <v>1.953125E-3</v>
      </c>
      <c r="F17097" s="1">
        <v>1.26885191162557E-2</v>
      </c>
    </row>
    <row r="17098" spans="1:6" x14ac:dyDescent="0.25">
      <c r="A17098" s="2" t="str">
        <f t="shared" si="621"/>
        <v>18100</v>
      </c>
      <c r="B17098" s="2" t="str">
        <f>"68601"</f>
        <v>68601</v>
      </c>
      <c r="C17098" s="1">
        <v>0.78537825810552997</v>
      </c>
      <c r="D17098" s="1">
        <v>0.74116965836711002</v>
      </c>
      <c r="E17098" s="1">
        <v>0.982421875</v>
      </c>
      <c r="F17098" s="1">
        <v>0.78674383660749003</v>
      </c>
    </row>
    <row r="17099" spans="1:6" x14ac:dyDescent="0.25">
      <c r="A17099" s="2" t="str">
        <f t="shared" si="621"/>
        <v>18100</v>
      </c>
      <c r="B17099" s="2" t="str">
        <f>"68602"</f>
        <v>68602</v>
      </c>
      <c r="C17099" s="1">
        <v>5.4545454545454501E-2</v>
      </c>
      <c r="D17099" s="1">
        <v>0.230457440648523</v>
      </c>
      <c r="E17099" s="1">
        <v>3.90625E-3</v>
      </c>
      <c r="F17099" s="1">
        <v>7.0009460737937498E-2</v>
      </c>
    </row>
    <row r="17100" spans="1:6" x14ac:dyDescent="0.25">
      <c r="A17100" s="2" t="str">
        <f t="shared" si="621"/>
        <v>18100</v>
      </c>
      <c r="B17100" s="2" t="str">
        <f>"68644"</f>
        <v>68644</v>
      </c>
      <c r="C17100" s="1">
        <v>2.1106166560712E-2</v>
      </c>
      <c r="D17100" s="1">
        <v>1.73711638679791E-3</v>
      </c>
      <c r="E17100" s="1">
        <v>0</v>
      </c>
      <c r="F17100" s="1">
        <v>1.8643218876954699E-2</v>
      </c>
    </row>
    <row r="17101" spans="1:6" x14ac:dyDescent="0.25">
      <c r="A17101" s="2" t="str">
        <f t="shared" si="621"/>
        <v>18100</v>
      </c>
      <c r="B17101" s="2" t="str">
        <f>"68642"</f>
        <v>68642</v>
      </c>
      <c r="C17101" s="1">
        <v>5.1048951048950998E-2</v>
      </c>
      <c r="D17101" s="1">
        <v>8.6855819339895692E-3</v>
      </c>
      <c r="E17101" s="1">
        <v>5.859375E-3</v>
      </c>
      <c r="F17101" s="1">
        <v>4.5689799098447302E-2</v>
      </c>
    </row>
    <row r="17102" spans="1:6" x14ac:dyDescent="0.25">
      <c r="A17102" s="2" t="str">
        <f t="shared" si="621"/>
        <v>18100</v>
      </c>
      <c r="B17102" s="2" t="str">
        <f>"68653"</f>
        <v>68653</v>
      </c>
      <c r="C17102" s="1">
        <v>2.31404958677685E-2</v>
      </c>
      <c r="D17102" s="1">
        <v>5.7903879559930496E-3</v>
      </c>
      <c r="E17102" s="1">
        <v>3.90625E-3</v>
      </c>
      <c r="F17102" s="1">
        <v>2.0924926261895401E-2</v>
      </c>
    </row>
    <row r="17103" spans="1:6" x14ac:dyDescent="0.25">
      <c r="A17103" s="2" t="str">
        <f t="shared" si="621"/>
        <v>18100</v>
      </c>
      <c r="B17103" s="2" t="str">
        <f>"68640"</f>
        <v>68640</v>
      </c>
      <c r="C17103" s="1">
        <v>5.0222504767959298E-3</v>
      </c>
      <c r="D17103" s="1">
        <v>1.73711638679791E-3</v>
      </c>
      <c r="E17103" s="1">
        <v>0</v>
      </c>
      <c r="F17103" s="1">
        <v>4.5634147698814598E-3</v>
      </c>
    </row>
    <row r="17104" spans="1:6" x14ac:dyDescent="0.25">
      <c r="A17104" s="2" t="str">
        <f t="shared" si="621"/>
        <v>18100</v>
      </c>
      <c r="B17104" s="2" t="str">
        <f>"68643"</f>
        <v>68643</v>
      </c>
      <c r="C17104" s="1">
        <v>5.4036872218690404E-3</v>
      </c>
      <c r="D17104" s="1">
        <v>1.73711638679791E-3</v>
      </c>
      <c r="E17104" s="1">
        <v>0</v>
      </c>
      <c r="F17104" s="1">
        <v>4.8973231676776603E-3</v>
      </c>
    </row>
    <row r="17105" spans="1:6" x14ac:dyDescent="0.25">
      <c r="A17105" s="2" t="str">
        <f t="shared" si="621"/>
        <v>18100</v>
      </c>
      <c r="B17105" s="2" t="str">
        <f>"68758"</f>
        <v>68758</v>
      </c>
      <c r="C17105" s="1">
        <v>3.7507946598855598E-3</v>
      </c>
      <c r="D17105" s="1">
        <v>1.15807759119861E-3</v>
      </c>
      <c r="E17105" s="1">
        <v>0</v>
      </c>
      <c r="F17105" s="1">
        <v>3.3947353775947401E-3</v>
      </c>
    </row>
    <row r="17106" spans="1:6" x14ac:dyDescent="0.25">
      <c r="A17106" s="2" t="str">
        <f t="shared" si="621"/>
        <v>18100</v>
      </c>
      <c r="B17106" s="2" t="str">
        <f>"68748"</f>
        <v>68748</v>
      </c>
      <c r="C17106" s="1">
        <v>6.3572790845518095E-5</v>
      </c>
      <c r="D17106" s="1">
        <v>0</v>
      </c>
      <c r="E17106" s="1">
        <v>0</v>
      </c>
      <c r="F17106" s="1">
        <v>5.5651399632700697E-5</v>
      </c>
    </row>
    <row r="17107" spans="1:6" x14ac:dyDescent="0.25">
      <c r="A17107" s="2" t="str">
        <f t="shared" si="621"/>
        <v>18100</v>
      </c>
      <c r="B17107" s="2" t="str">
        <f>"68634"</f>
        <v>68634</v>
      </c>
      <c r="C17107" s="1">
        <v>1.11888111888111E-2</v>
      </c>
      <c r="D17107" s="1">
        <v>0</v>
      </c>
      <c r="E17107" s="1">
        <v>1.953125E-3</v>
      </c>
      <c r="F17107" s="1">
        <v>9.8502977349880297E-3</v>
      </c>
    </row>
    <row r="17108" spans="1:6" x14ac:dyDescent="0.25">
      <c r="A17108" s="2" t="str">
        <f t="shared" si="621"/>
        <v>18100</v>
      </c>
      <c r="B17108" s="2" t="str">
        <f>"68660"</f>
        <v>68660</v>
      </c>
      <c r="C17108" s="1">
        <v>4.45009535918626E-3</v>
      </c>
      <c r="D17108" s="1">
        <v>2.31615518239722E-3</v>
      </c>
      <c r="E17108" s="1">
        <v>0</v>
      </c>
      <c r="F17108" s="1">
        <v>4.1182035728198497E-3</v>
      </c>
    </row>
    <row r="17109" spans="1:6" x14ac:dyDescent="0.25">
      <c r="A17109" s="2" t="str">
        <f t="shared" ref="A17109:A17125" si="622">"42420"</f>
        <v>42420</v>
      </c>
      <c r="B17109" s="2" t="str">
        <f>"69348"</f>
        <v>69348</v>
      </c>
      <c r="C17109" s="1">
        <v>4.4145237832468798E-4</v>
      </c>
      <c r="D17109" s="1">
        <v>0</v>
      </c>
      <c r="E17109" s="1">
        <v>0</v>
      </c>
      <c r="F17109" s="1">
        <v>3.8662284941040002E-4</v>
      </c>
    </row>
    <row r="17110" spans="1:6" x14ac:dyDescent="0.25">
      <c r="A17110" s="2" t="str">
        <f t="shared" si="622"/>
        <v>42420</v>
      </c>
      <c r="B17110" s="2" t="str">
        <f>"69334"</f>
        <v>69334</v>
      </c>
      <c r="C17110" s="1">
        <v>7.2839642423573499E-3</v>
      </c>
      <c r="D17110" s="1">
        <v>0</v>
      </c>
      <c r="E17110" s="1">
        <v>0</v>
      </c>
      <c r="F17110" s="1">
        <v>6.3792770152716E-3</v>
      </c>
    </row>
    <row r="17111" spans="1:6" x14ac:dyDescent="0.25">
      <c r="A17111" s="2" t="str">
        <f t="shared" si="622"/>
        <v>42420</v>
      </c>
      <c r="B17111" s="2" t="str">
        <f>"69341"</f>
        <v>69341</v>
      </c>
      <c r="C17111" s="1">
        <v>0.28655777508001301</v>
      </c>
      <c r="D17111" s="1">
        <v>0.216479017400204</v>
      </c>
      <c r="E17111" s="1">
        <v>0.256493506493506</v>
      </c>
      <c r="F17111" s="1">
        <v>0.27904504156195598</v>
      </c>
    </row>
    <row r="17112" spans="1:6" x14ac:dyDescent="0.25">
      <c r="A17112" s="2" t="str">
        <f t="shared" si="622"/>
        <v>42420</v>
      </c>
      <c r="B17112" s="2" t="str">
        <f>"69358"</f>
        <v>69358</v>
      </c>
      <c r="C17112" s="1">
        <v>5.5622999668910697E-2</v>
      </c>
      <c r="D17112" s="1">
        <v>2.4053224155578298E-2</v>
      </c>
      <c r="E17112" s="1">
        <v>9.74025974025974E-3</v>
      </c>
      <c r="F17112" s="1">
        <v>5.12758554030543E-2</v>
      </c>
    </row>
    <row r="17113" spans="1:6" x14ac:dyDescent="0.25">
      <c r="A17113" s="2" t="str">
        <f t="shared" si="622"/>
        <v>42420</v>
      </c>
      <c r="B17113" s="2" t="str">
        <f>"69357"</f>
        <v>69357</v>
      </c>
      <c r="C17113" s="1">
        <v>9.4912261339807902E-2</v>
      </c>
      <c r="D17113" s="1">
        <v>6.80655066530194E-2</v>
      </c>
      <c r="E17113" s="1">
        <v>2.7597402597402499E-2</v>
      </c>
      <c r="F17113" s="1">
        <v>9.0373091049680998E-2</v>
      </c>
    </row>
    <row r="17114" spans="1:6" x14ac:dyDescent="0.25">
      <c r="A17114" s="2" t="str">
        <f t="shared" si="622"/>
        <v>42420</v>
      </c>
      <c r="B17114" s="2" t="str">
        <f>"69356"</f>
        <v>69356</v>
      </c>
      <c r="C17114" s="1">
        <v>3.9123717029025402E-2</v>
      </c>
      <c r="D17114" s="1">
        <v>7.1647901740020401E-3</v>
      </c>
      <c r="E17114" s="1">
        <v>6.4935064935064896E-3</v>
      </c>
      <c r="F17114" s="1">
        <v>3.5134351440170103E-2</v>
      </c>
    </row>
    <row r="17115" spans="1:6" x14ac:dyDescent="0.25">
      <c r="A17115" s="2" t="str">
        <f t="shared" si="622"/>
        <v>42420</v>
      </c>
      <c r="B17115" s="2" t="str">
        <f>"69346"</f>
        <v>69346</v>
      </c>
      <c r="C17115" s="1">
        <v>1.87065445315086E-2</v>
      </c>
      <c r="D17115" s="1">
        <v>1.17707267144319E-2</v>
      </c>
      <c r="E17115" s="1">
        <v>6.4935064935064896E-3</v>
      </c>
      <c r="F17115" s="1">
        <v>1.7687995360525802E-2</v>
      </c>
    </row>
    <row r="17116" spans="1:6" x14ac:dyDescent="0.25">
      <c r="A17116" s="2" t="str">
        <f t="shared" si="622"/>
        <v>42420</v>
      </c>
      <c r="B17116" s="2" t="str">
        <f>"69345"</f>
        <v>69345</v>
      </c>
      <c r="C17116" s="1">
        <v>1.13673987418607E-2</v>
      </c>
      <c r="D17116" s="1">
        <v>2.5588536335721499E-3</v>
      </c>
      <c r="E17116" s="1">
        <v>9.74025974025974E-3</v>
      </c>
      <c r="F17116" s="1">
        <v>1.04871447902571E-2</v>
      </c>
    </row>
    <row r="17117" spans="1:6" x14ac:dyDescent="0.25">
      <c r="A17117" s="2" t="str">
        <f t="shared" si="622"/>
        <v>42420</v>
      </c>
      <c r="B17117" s="2" t="str">
        <f>"69361"</f>
        <v>69361</v>
      </c>
      <c r="C17117" s="1">
        <v>0.46098664606555501</v>
      </c>
      <c r="D17117" s="1">
        <v>0.66427840327533205</v>
      </c>
      <c r="E17117" s="1">
        <v>0.67857142857142805</v>
      </c>
      <c r="F17117" s="1">
        <v>0.486661511695341</v>
      </c>
    </row>
    <row r="17118" spans="1:6" x14ac:dyDescent="0.25">
      <c r="A17118" s="2" t="str">
        <f t="shared" si="622"/>
        <v>42420</v>
      </c>
      <c r="B17118" s="2" t="str">
        <f>"69156"</f>
        <v>69156</v>
      </c>
      <c r="C17118" s="1">
        <v>1.37953868226465E-3</v>
      </c>
      <c r="D17118" s="1">
        <v>0</v>
      </c>
      <c r="E17118" s="1">
        <v>0</v>
      </c>
      <c r="F17118" s="1">
        <v>1.2081964044075E-3</v>
      </c>
    </row>
    <row r="17119" spans="1:6" x14ac:dyDescent="0.25">
      <c r="A17119" s="2" t="str">
        <f t="shared" si="622"/>
        <v>42420</v>
      </c>
      <c r="B17119" s="2" t="str">
        <f>"69301"</f>
        <v>69301</v>
      </c>
      <c r="C17119" s="1">
        <v>4.96633925615274E-4</v>
      </c>
      <c r="D17119" s="1">
        <v>0</v>
      </c>
      <c r="E17119" s="1">
        <v>0</v>
      </c>
      <c r="F17119" s="1">
        <v>4.3495070558669999E-4</v>
      </c>
    </row>
    <row r="17120" spans="1:6" x14ac:dyDescent="0.25">
      <c r="A17120" s="2" t="str">
        <f t="shared" si="622"/>
        <v>42420</v>
      </c>
      <c r="B17120" s="2" t="str">
        <f>"69353"</f>
        <v>69353</v>
      </c>
      <c r="C17120" s="1">
        <v>0</v>
      </c>
      <c r="D17120" s="1">
        <v>0</v>
      </c>
      <c r="E17120" s="1">
        <v>1.62337662337662E-3</v>
      </c>
      <c r="F17120" s="1">
        <v>4.8327856176300003E-5</v>
      </c>
    </row>
    <row r="17121" spans="1:6" x14ac:dyDescent="0.25">
      <c r="A17121" s="2" t="str">
        <f t="shared" si="622"/>
        <v>42420</v>
      </c>
      <c r="B17121" s="2" t="str">
        <f>"69145"</f>
        <v>69145</v>
      </c>
      <c r="C17121" s="1">
        <v>1.10363094581172E-4</v>
      </c>
      <c r="D17121" s="1">
        <v>0</v>
      </c>
      <c r="E17121" s="1">
        <v>0</v>
      </c>
      <c r="F17121" s="1">
        <v>9.6655712352600005E-5</v>
      </c>
    </row>
    <row r="17122" spans="1:6" x14ac:dyDescent="0.25">
      <c r="A17122" s="2" t="str">
        <f t="shared" si="622"/>
        <v>42420</v>
      </c>
      <c r="B17122" s="2" t="str">
        <f>"69355"</f>
        <v>69355</v>
      </c>
      <c r="C17122" s="1">
        <v>0</v>
      </c>
      <c r="D17122" s="1">
        <v>0</v>
      </c>
      <c r="E17122" s="1">
        <v>1.62337662337662E-3</v>
      </c>
      <c r="F17122" s="1">
        <v>4.8327856176300003E-5</v>
      </c>
    </row>
    <row r="17123" spans="1:6" x14ac:dyDescent="0.25">
      <c r="A17123" s="2" t="str">
        <f t="shared" si="622"/>
        <v>42420</v>
      </c>
      <c r="B17123" s="2" t="str">
        <f>"69354"</f>
        <v>69354</v>
      </c>
      <c r="C17123" s="1">
        <v>4.96633925615274E-4</v>
      </c>
      <c r="D17123" s="1">
        <v>0</v>
      </c>
      <c r="E17123" s="1">
        <v>0</v>
      </c>
      <c r="F17123" s="1">
        <v>4.3495070558669999E-4</v>
      </c>
    </row>
    <row r="17124" spans="1:6" x14ac:dyDescent="0.25">
      <c r="A17124" s="2" t="str">
        <f t="shared" si="622"/>
        <v>42420</v>
      </c>
      <c r="B17124" s="2" t="str">
        <f>"69339"</f>
        <v>69339</v>
      </c>
      <c r="C17124" s="1">
        <v>3.80752676305043E-3</v>
      </c>
      <c r="D17124" s="1">
        <v>5.1177072671443097E-4</v>
      </c>
      <c r="E17124" s="1">
        <v>0</v>
      </c>
      <c r="F17124" s="1">
        <v>3.3829499323410001E-3</v>
      </c>
    </row>
    <row r="17125" spans="1:6" x14ac:dyDescent="0.25">
      <c r="A17125" s="2" t="str">
        <f t="shared" si="622"/>
        <v>42420</v>
      </c>
      <c r="B17125" s="2" t="str">
        <f>"69352"</f>
        <v>69352</v>
      </c>
      <c r="C17125" s="1">
        <v>1.87065445315086E-2</v>
      </c>
      <c r="D17125" s="1">
        <v>5.1177072671443101E-3</v>
      </c>
      <c r="E17125" s="1">
        <v>1.62337662337662E-3</v>
      </c>
      <c r="F17125" s="1">
        <v>1.6914749661705E-2</v>
      </c>
    </row>
    <row r="17126" spans="1:6" x14ac:dyDescent="0.25">
      <c r="A17126" s="2" t="str">
        <f t="shared" ref="A17126:A17189" si="623">"31080"</f>
        <v>31080</v>
      </c>
      <c r="B17126" s="2" t="str">
        <f>"93560"</f>
        <v>93560</v>
      </c>
      <c r="C17126" s="1">
        <v>3.9821123513178796E-6</v>
      </c>
      <c r="D17126" s="1">
        <v>3.2501458502950302E-6</v>
      </c>
      <c r="E17126" s="1">
        <v>0</v>
      </c>
      <c r="F17126" s="1">
        <v>3.6697198736014999E-6</v>
      </c>
    </row>
    <row r="17127" spans="1:6" x14ac:dyDescent="0.25">
      <c r="A17127" s="2" t="str">
        <f t="shared" si="623"/>
        <v>31080</v>
      </c>
      <c r="B17127" s="2" t="str">
        <f>"93552"</f>
        <v>93552</v>
      </c>
      <c r="C17127" s="1">
        <v>2.2082804044233299E-3</v>
      </c>
      <c r="D17127" s="1">
        <v>3.78641991559371E-4</v>
      </c>
      <c r="E17127" s="1">
        <v>1.67977356652323E-4</v>
      </c>
      <c r="F17127" s="1">
        <v>1.8989132291399699E-3</v>
      </c>
    </row>
    <row r="17128" spans="1:6" x14ac:dyDescent="0.25">
      <c r="A17128" s="2" t="str">
        <f t="shared" si="623"/>
        <v>31080</v>
      </c>
      <c r="B17128" s="2" t="str">
        <f>"93544"</f>
        <v>93544</v>
      </c>
      <c r="C17128" s="1">
        <v>1.06322399780187E-4</v>
      </c>
      <c r="D17128" s="1">
        <v>9.7504375508850892E-6</v>
      </c>
      <c r="E17128" s="1">
        <v>1.67977356652323E-5</v>
      </c>
      <c r="F17128" s="1">
        <v>9.1075775044837301E-5</v>
      </c>
    </row>
    <row r="17129" spans="1:6" x14ac:dyDescent="0.25">
      <c r="A17129" s="2" t="str">
        <f t="shared" si="623"/>
        <v>31080</v>
      </c>
      <c r="B17129" s="2" t="str">
        <f>"93543"</f>
        <v>93543</v>
      </c>
      <c r="C17129" s="1">
        <v>1.0556579843343701E-3</v>
      </c>
      <c r="D17129" s="1">
        <v>4.4689505441556602E-4</v>
      </c>
      <c r="E17129" s="1">
        <v>4.47939617739528E-5</v>
      </c>
      <c r="F17129" s="1">
        <v>9.3294287513878205E-4</v>
      </c>
    </row>
    <row r="17130" spans="1:6" x14ac:dyDescent="0.25">
      <c r="A17130" s="2" t="str">
        <f t="shared" si="623"/>
        <v>31080</v>
      </c>
      <c r="B17130" s="2" t="str">
        <f>"93510"</f>
        <v>93510</v>
      </c>
      <c r="C17130" s="1">
        <v>7.0005535136168301E-4</v>
      </c>
      <c r="D17130" s="1">
        <v>5.3302391944838503E-4</v>
      </c>
      <c r="E17130" s="1">
        <v>7.2790187882673394E-5</v>
      </c>
      <c r="F17130" s="1">
        <v>6.45537086856264E-4</v>
      </c>
    </row>
    <row r="17131" spans="1:6" x14ac:dyDescent="0.25">
      <c r="A17131" s="2" t="str">
        <f t="shared" si="623"/>
        <v>31080</v>
      </c>
      <c r="B17131" s="2" t="str">
        <f>"92871"</f>
        <v>92871</v>
      </c>
      <c r="C17131" s="1">
        <v>1.5351043114330399E-4</v>
      </c>
      <c r="D17131" s="1">
        <v>6.4190380543326802E-4</v>
      </c>
      <c r="E17131" s="1">
        <v>8.3988678326161601E-6</v>
      </c>
      <c r="F17131" s="1">
        <v>1.94995569647279E-4</v>
      </c>
    </row>
    <row r="17132" spans="1:6" x14ac:dyDescent="0.25">
      <c r="A17132" s="2" t="str">
        <f t="shared" si="623"/>
        <v>31080</v>
      </c>
      <c r="B17132" s="2" t="str">
        <f>"92865"</f>
        <v>92865</v>
      </c>
      <c r="C17132" s="1">
        <v>1.3784081904086799E-3</v>
      </c>
      <c r="D17132" s="1">
        <v>2.4506099711224501E-3</v>
      </c>
      <c r="E17132" s="1">
        <v>1.2318339487836999E-3</v>
      </c>
      <c r="F17132" s="1">
        <v>1.4797311363054001E-3</v>
      </c>
    </row>
    <row r="17133" spans="1:6" x14ac:dyDescent="0.25">
      <c r="A17133" s="2" t="str">
        <f t="shared" si="623"/>
        <v>31080</v>
      </c>
      <c r="B17133" s="2" t="str">
        <f>"92869"</f>
        <v>92869</v>
      </c>
      <c r="C17133" s="1">
        <v>2.46652039040629E-3</v>
      </c>
      <c r="D17133" s="1">
        <v>8.1253646257375696E-4</v>
      </c>
      <c r="E17133" s="1">
        <v>2.4020762001282199E-3</v>
      </c>
      <c r="F17133" s="1">
        <v>2.2929076992057301E-3</v>
      </c>
    </row>
    <row r="17134" spans="1:6" x14ac:dyDescent="0.25">
      <c r="A17134" s="2" t="str">
        <f t="shared" si="623"/>
        <v>31080</v>
      </c>
      <c r="B17134" s="2" t="str">
        <f>"92843"</f>
        <v>92843</v>
      </c>
      <c r="C17134" s="1">
        <v>2.3082314244414E-3</v>
      </c>
      <c r="D17134" s="1">
        <v>3.5199079558695099E-3</v>
      </c>
      <c r="E17134" s="1">
        <v>3.25036185122245E-3</v>
      </c>
      <c r="F17134" s="1">
        <v>2.4887372960970102E-3</v>
      </c>
    </row>
    <row r="17135" spans="1:6" x14ac:dyDescent="0.25">
      <c r="A17135" s="2" t="str">
        <f t="shared" si="623"/>
        <v>31080</v>
      </c>
      <c r="B17135" s="2" t="str">
        <f>"92885"</f>
        <v>92885</v>
      </c>
      <c r="C17135" s="1">
        <v>1.1587946942335E-4</v>
      </c>
      <c r="D17135" s="1">
        <v>6.5977960760989099E-4</v>
      </c>
      <c r="E17135" s="1">
        <v>8.3988678326161601E-6</v>
      </c>
      <c r="F17135" s="1">
        <v>1.6530419976086699E-4</v>
      </c>
    </row>
    <row r="17136" spans="1:6" x14ac:dyDescent="0.25">
      <c r="A17136" s="2" t="str">
        <f t="shared" si="623"/>
        <v>31080</v>
      </c>
      <c r="B17136" s="2" t="str">
        <f>"92887"</f>
        <v>92887</v>
      </c>
      <c r="C17136" s="1">
        <v>1.4397327206189701E-3</v>
      </c>
      <c r="D17136" s="1">
        <v>8.8728981713054301E-4</v>
      </c>
      <c r="E17136" s="1">
        <v>8.7628187720295298E-4</v>
      </c>
      <c r="F17136" s="1">
        <v>1.3494560807925499E-3</v>
      </c>
    </row>
    <row r="17137" spans="1:6" x14ac:dyDescent="0.25">
      <c r="A17137" s="2" t="str">
        <f t="shared" si="623"/>
        <v>31080</v>
      </c>
      <c r="B17137" s="2" t="str">
        <f>"92831"</f>
        <v>92831</v>
      </c>
      <c r="C17137" s="1">
        <v>2.7096283494542502E-3</v>
      </c>
      <c r="D17137" s="1">
        <v>3.2338951210435498E-3</v>
      </c>
      <c r="E17137" s="1">
        <v>4.08184976665145E-3</v>
      </c>
      <c r="F17137" s="1">
        <v>2.8452005401827601E-3</v>
      </c>
    </row>
    <row r="17138" spans="1:6" x14ac:dyDescent="0.25">
      <c r="A17138" s="2" t="str">
        <f t="shared" si="623"/>
        <v>31080</v>
      </c>
      <c r="B17138" s="2" t="str">
        <f>"92697"</f>
        <v>92697</v>
      </c>
      <c r="C17138" s="1">
        <v>0</v>
      </c>
      <c r="D17138" s="1">
        <v>3.08763855778028E-5</v>
      </c>
      <c r="E17138" s="1">
        <v>1.9037433753929899E-4</v>
      </c>
      <c r="F17138" s="1">
        <v>1.4512074045605901E-5</v>
      </c>
    </row>
    <row r="17139" spans="1:6" x14ac:dyDescent="0.25">
      <c r="A17139" s="2" t="str">
        <f t="shared" si="623"/>
        <v>31080</v>
      </c>
      <c r="B17139" s="2" t="str">
        <f>"92799"</f>
        <v>92799</v>
      </c>
      <c r="C17139" s="1">
        <v>2.5624892980730498E-4</v>
      </c>
      <c r="D17139" s="1">
        <v>1.0254210157680801E-3</v>
      </c>
      <c r="E17139" s="1">
        <v>5.5992452217441E-6</v>
      </c>
      <c r="F17139" s="1">
        <v>3.2026646169613102E-4</v>
      </c>
    </row>
    <row r="17140" spans="1:6" x14ac:dyDescent="0.25">
      <c r="A17140" s="2" t="str">
        <f t="shared" si="623"/>
        <v>31080</v>
      </c>
      <c r="B17140" s="2" t="str">
        <f>"92711"</f>
        <v>92711</v>
      </c>
      <c r="C17140" s="1">
        <v>1.9850830071319601E-4</v>
      </c>
      <c r="D17140" s="1">
        <v>5.8015103427766295E-4</v>
      </c>
      <c r="E17140" s="1">
        <v>8.3988678326161601E-6</v>
      </c>
      <c r="F17140" s="1">
        <v>2.2635499402169201E-4</v>
      </c>
    </row>
    <row r="17141" spans="1:6" x14ac:dyDescent="0.25">
      <c r="A17141" s="2" t="str">
        <f t="shared" si="623"/>
        <v>31080</v>
      </c>
      <c r="B17141" s="2" t="str">
        <f>"92615"</f>
        <v>92615</v>
      </c>
      <c r="C17141" s="1">
        <v>3.59982956559136E-4</v>
      </c>
      <c r="D17141" s="1">
        <v>7.3290788924152903E-4</v>
      </c>
      <c r="E17141" s="1">
        <v>8.3988678326161601E-6</v>
      </c>
      <c r="F17141" s="1">
        <v>3.7731392518575401E-4</v>
      </c>
    </row>
    <row r="17142" spans="1:6" x14ac:dyDescent="0.25">
      <c r="A17142" s="2" t="str">
        <f t="shared" si="623"/>
        <v>31080</v>
      </c>
      <c r="B17142" s="2" t="str">
        <f>"92653"</f>
        <v>92653</v>
      </c>
      <c r="C17142" s="1">
        <v>2.1802065123465299E-3</v>
      </c>
      <c r="D17142" s="1">
        <v>4.7972152750354602E-3</v>
      </c>
      <c r="E17142" s="1">
        <v>2.0885184677105501E-3</v>
      </c>
      <c r="F17142" s="1">
        <v>2.4433662140233999E-3</v>
      </c>
    </row>
    <row r="17143" spans="1:6" x14ac:dyDescent="0.25">
      <c r="A17143" s="2" t="str">
        <f t="shared" si="623"/>
        <v>31080</v>
      </c>
      <c r="B17143" s="2" t="str">
        <f>"92646"</f>
        <v>92646</v>
      </c>
      <c r="C17143" s="1">
        <v>4.80242749568936E-3</v>
      </c>
      <c r="D17143" s="1">
        <v>1.0351714533189599E-3</v>
      </c>
      <c r="E17143" s="1">
        <v>1.89534450756038E-3</v>
      </c>
      <c r="F17143" s="1">
        <v>4.2425297847809296E-3</v>
      </c>
    </row>
    <row r="17144" spans="1:6" x14ac:dyDescent="0.25">
      <c r="A17144" s="2" t="str">
        <f t="shared" si="623"/>
        <v>31080</v>
      </c>
      <c r="B17144" s="2" t="str">
        <f>"91803"</f>
        <v>91803</v>
      </c>
      <c r="C17144" s="1">
        <v>2.1925510606356198E-3</v>
      </c>
      <c r="D17144" s="1">
        <v>2.1710974279970799E-3</v>
      </c>
      <c r="E17144" s="1">
        <v>3.5499214705857602E-3</v>
      </c>
      <c r="F17144" s="1">
        <v>2.2712229908617302E-3</v>
      </c>
    </row>
    <row r="17145" spans="1:6" x14ac:dyDescent="0.25">
      <c r="A17145" s="2" t="str">
        <f t="shared" si="623"/>
        <v>31080</v>
      </c>
      <c r="B17145" s="2" t="str">
        <f>"91802"</f>
        <v>91802</v>
      </c>
      <c r="C17145" s="1">
        <v>4.61925032752874E-4</v>
      </c>
      <c r="D17145" s="1">
        <v>5.9315161767884296E-4</v>
      </c>
      <c r="E17145" s="1">
        <v>8.3988678326161601E-6</v>
      </c>
      <c r="F17145" s="1">
        <v>4.48373046374583E-4</v>
      </c>
    </row>
    <row r="17146" spans="1:6" x14ac:dyDescent="0.25">
      <c r="A17146" s="2" t="str">
        <f t="shared" si="623"/>
        <v>31080</v>
      </c>
      <c r="B17146" s="2" t="str">
        <f>"91744"</f>
        <v>91744</v>
      </c>
      <c r="C17146" s="1">
        <v>3.84194199655149E-3</v>
      </c>
      <c r="D17146" s="1">
        <v>2.7821248478525399E-3</v>
      </c>
      <c r="E17146" s="1">
        <v>1.5425920585905E-3</v>
      </c>
      <c r="F17146" s="1">
        <v>3.5961586706806702E-3</v>
      </c>
    </row>
    <row r="17147" spans="1:6" x14ac:dyDescent="0.25">
      <c r="A17147" s="2" t="str">
        <f t="shared" si="623"/>
        <v>31080</v>
      </c>
      <c r="B17147" s="2" t="str">
        <f>"91775"</f>
        <v>91775</v>
      </c>
      <c r="C17147" s="1">
        <v>1.7206707470044499E-3</v>
      </c>
      <c r="D17147" s="1">
        <v>2.5676152217330703E-4</v>
      </c>
      <c r="E17147" s="1">
        <v>7.5869772754632604E-4</v>
      </c>
      <c r="F17147" s="1">
        <v>1.5130922260654101E-3</v>
      </c>
    </row>
    <row r="17148" spans="1:6" x14ac:dyDescent="0.25">
      <c r="A17148" s="2" t="str">
        <f t="shared" si="623"/>
        <v>31080</v>
      </c>
      <c r="B17148" s="2" t="str">
        <f>"91767"</f>
        <v>91767</v>
      </c>
      <c r="C17148" s="1">
        <v>3.0785710588038498E-3</v>
      </c>
      <c r="D17148" s="1">
        <v>2.5594898571073299E-3</v>
      </c>
      <c r="E17148" s="1">
        <v>2.3488833705216502E-3</v>
      </c>
      <c r="F17148" s="1">
        <v>2.9818142027500201E-3</v>
      </c>
    </row>
    <row r="17149" spans="1:6" x14ac:dyDescent="0.25">
      <c r="A17149" s="2" t="str">
        <f t="shared" si="623"/>
        <v>31080</v>
      </c>
      <c r="B17149" s="2" t="str">
        <f>"91746"</f>
        <v>91746</v>
      </c>
      <c r="C17149" s="1">
        <v>1.4490906846445701E-3</v>
      </c>
      <c r="D17149" s="1">
        <v>3.0827633390048299E-3</v>
      </c>
      <c r="E17149" s="1">
        <v>6.9150678488539695E-4</v>
      </c>
      <c r="F17149" s="1">
        <v>1.5716409385942401E-3</v>
      </c>
    </row>
    <row r="17150" spans="1:6" x14ac:dyDescent="0.25">
      <c r="A17150" s="2" t="str">
        <f t="shared" si="623"/>
        <v>31080</v>
      </c>
      <c r="B17150" s="2" t="str">
        <f>"91709"</f>
        <v>91709</v>
      </c>
      <c r="C17150" s="1">
        <v>5.9731685269768198E-6</v>
      </c>
      <c r="D17150" s="1">
        <v>0</v>
      </c>
      <c r="E17150" s="1">
        <v>0</v>
      </c>
      <c r="F17150" s="1">
        <v>5.0041634640020404E-6</v>
      </c>
    </row>
    <row r="17151" spans="1:6" x14ac:dyDescent="0.25">
      <c r="A17151" s="2" t="str">
        <f t="shared" si="623"/>
        <v>31080</v>
      </c>
      <c r="B17151" s="2" t="str">
        <f>"91403"</f>
        <v>91403</v>
      </c>
      <c r="C17151" s="1">
        <v>2.45099015223615E-3</v>
      </c>
      <c r="D17151" s="1">
        <v>2.96088286961877E-3</v>
      </c>
      <c r="E17151" s="1">
        <v>2.8780120439764701E-3</v>
      </c>
      <c r="F17151" s="1">
        <v>2.5287706038090302E-3</v>
      </c>
    </row>
    <row r="17152" spans="1:6" x14ac:dyDescent="0.25">
      <c r="A17152" s="2" t="str">
        <f t="shared" si="623"/>
        <v>31080</v>
      </c>
      <c r="B17152" s="2" t="str">
        <f>"91506"</f>
        <v>91506</v>
      </c>
      <c r="C17152" s="1">
        <v>1.59702615849603E-3</v>
      </c>
      <c r="D17152" s="1">
        <v>1.7274525194318001E-3</v>
      </c>
      <c r="E17152" s="1">
        <v>1.84215167795381E-3</v>
      </c>
      <c r="F17152" s="1">
        <v>1.6250186822102601E-3</v>
      </c>
    </row>
    <row r="17153" spans="1:6" x14ac:dyDescent="0.25">
      <c r="A17153" s="2" t="str">
        <f t="shared" si="623"/>
        <v>31080</v>
      </c>
      <c r="B17153" s="2" t="str">
        <f>"91604"</f>
        <v>91604</v>
      </c>
      <c r="C17153" s="1">
        <v>3.0544792790783699E-3</v>
      </c>
      <c r="D17153" s="1">
        <v>2.5221131798289398E-3</v>
      </c>
      <c r="E17153" s="1">
        <v>3.70390071418372E-3</v>
      </c>
      <c r="F17153" s="1">
        <v>3.03852805534204E-3</v>
      </c>
    </row>
    <row r="17154" spans="1:6" x14ac:dyDescent="0.25">
      <c r="A17154" s="2" t="str">
        <f t="shared" si="623"/>
        <v>31080</v>
      </c>
      <c r="B17154" s="2" t="str">
        <f>"91381"</f>
        <v>91381</v>
      </c>
      <c r="C17154" s="1">
        <v>1.38020014096677E-3</v>
      </c>
      <c r="D17154" s="1">
        <v>4.63145783667042E-4</v>
      </c>
      <c r="E17154" s="1">
        <v>8.0629131193115104E-4</v>
      </c>
      <c r="F17154" s="1">
        <v>1.2518748932445101E-3</v>
      </c>
    </row>
    <row r="17155" spans="1:6" x14ac:dyDescent="0.25">
      <c r="A17155" s="2" t="str">
        <f t="shared" si="623"/>
        <v>31080</v>
      </c>
      <c r="B17155" s="2" t="str">
        <f>"91380"</f>
        <v>91380</v>
      </c>
      <c r="C17155" s="1">
        <v>3.1438777013654602E-4</v>
      </c>
      <c r="D17155" s="1">
        <v>1.16030206855532E-3</v>
      </c>
      <c r="E17155" s="1">
        <v>2.79962261087205E-6</v>
      </c>
      <c r="F17155" s="1">
        <v>3.8265169954735599E-4</v>
      </c>
    </row>
    <row r="17156" spans="1:6" x14ac:dyDescent="0.25">
      <c r="A17156" s="2" t="str">
        <f t="shared" si="623"/>
        <v>31080</v>
      </c>
      <c r="B17156" s="2" t="str">
        <f>"91372"</f>
        <v>91372</v>
      </c>
      <c r="C17156" s="1">
        <v>1.17074103128745E-4</v>
      </c>
      <c r="D17156" s="1">
        <v>5.5252479455015504E-4</v>
      </c>
      <c r="E17156" s="1">
        <v>2.79962261087205E-6</v>
      </c>
      <c r="F17156" s="1">
        <v>1.54962261935263E-4</v>
      </c>
    </row>
    <row r="17157" spans="1:6" x14ac:dyDescent="0.25">
      <c r="A17157" s="2" t="str">
        <f t="shared" si="623"/>
        <v>31080</v>
      </c>
      <c r="B17157" s="2" t="str">
        <f>"91384"</f>
        <v>91384</v>
      </c>
      <c r="C17157" s="1">
        <v>1.4232069543610099E-3</v>
      </c>
      <c r="D17157" s="1">
        <v>5.3627406529867998E-4</v>
      </c>
      <c r="E17157" s="1">
        <v>2.7716263847633302E-4</v>
      </c>
      <c r="F17157" s="1">
        <v>1.26388488555811E-3</v>
      </c>
    </row>
    <row r="17158" spans="1:6" x14ac:dyDescent="0.25">
      <c r="A17158" s="2" t="str">
        <f t="shared" si="623"/>
        <v>31080</v>
      </c>
      <c r="B17158" s="2" t="str">
        <f>"91426"</f>
        <v>91426</v>
      </c>
      <c r="C17158" s="1">
        <v>1.7581026031068399E-4</v>
      </c>
      <c r="D17158" s="1">
        <v>6.9390613903798901E-4</v>
      </c>
      <c r="E17158" s="1">
        <v>5.5992452217441E-6</v>
      </c>
      <c r="F17158" s="1">
        <v>2.1884874882568901E-4</v>
      </c>
    </row>
    <row r="17159" spans="1:6" x14ac:dyDescent="0.25">
      <c r="A17159" s="2" t="str">
        <f t="shared" si="623"/>
        <v>31080</v>
      </c>
      <c r="B17159" s="2" t="str">
        <f>"91408"</f>
        <v>91408</v>
      </c>
      <c r="C17159" s="1">
        <v>5.8337945946806902E-5</v>
      </c>
      <c r="D17159" s="1">
        <v>1.31630906936948E-4</v>
      </c>
      <c r="E17159" s="1">
        <v>8.3988678326161601E-6</v>
      </c>
      <c r="F17159" s="1">
        <v>6.2885654197625696E-5</v>
      </c>
    </row>
    <row r="17160" spans="1:6" x14ac:dyDescent="0.25">
      <c r="A17160" s="2" t="str">
        <f t="shared" si="623"/>
        <v>31080</v>
      </c>
      <c r="B17160" s="2" t="str">
        <f>"91324"</f>
        <v>91324</v>
      </c>
      <c r="C17160" s="1">
        <v>2.1839895190802899E-3</v>
      </c>
      <c r="D17160" s="1">
        <v>4.0838082608957004E-3</v>
      </c>
      <c r="E17160" s="1">
        <v>2.18090601386933E-3</v>
      </c>
      <c r="F17160" s="1">
        <v>2.37881250533777E-3</v>
      </c>
    </row>
    <row r="17161" spans="1:6" x14ac:dyDescent="0.25">
      <c r="A17161" s="2" t="str">
        <f t="shared" si="623"/>
        <v>31080</v>
      </c>
      <c r="B17161" s="2" t="str">
        <f>"91310"</f>
        <v>91310</v>
      </c>
      <c r="C17161" s="1">
        <v>8.1832408819582406E-5</v>
      </c>
      <c r="D17161" s="1">
        <v>1.6088221958960401E-4</v>
      </c>
      <c r="E17161" s="1">
        <v>5.5992452217441E-6</v>
      </c>
      <c r="F17161" s="1">
        <v>8.5404389785634905E-5</v>
      </c>
    </row>
    <row r="17162" spans="1:6" x14ac:dyDescent="0.25">
      <c r="A17162" s="2" t="str">
        <f t="shared" si="623"/>
        <v>31080</v>
      </c>
      <c r="B17162" s="2" t="str">
        <f>"91308"</f>
        <v>91308</v>
      </c>
      <c r="C17162" s="1">
        <v>1.5370953676086999E-4</v>
      </c>
      <c r="D17162" s="1">
        <v>5.8502625305310505E-4</v>
      </c>
      <c r="E17162" s="1">
        <v>2.79962261087205E-6</v>
      </c>
      <c r="F17162" s="1">
        <v>1.88990573490477E-4</v>
      </c>
    </row>
    <row r="17163" spans="1:6" x14ac:dyDescent="0.25">
      <c r="A17163" s="2" t="str">
        <f t="shared" si="623"/>
        <v>31080</v>
      </c>
      <c r="B17163" s="2" t="str">
        <f>"91307"</f>
        <v>91307</v>
      </c>
      <c r="C17163" s="1">
        <v>1.57074421697733E-3</v>
      </c>
      <c r="D17163" s="1">
        <v>8.3203733767552805E-4</v>
      </c>
      <c r="E17163" s="1">
        <v>3.4155395852639002E-4</v>
      </c>
      <c r="F17163" s="1">
        <v>1.4216828401229799E-3</v>
      </c>
    </row>
    <row r="17164" spans="1:6" x14ac:dyDescent="0.25">
      <c r="A17164" s="2" t="str">
        <f t="shared" si="623"/>
        <v>31080</v>
      </c>
      <c r="B17164" s="2" t="str">
        <f>"91345"</f>
        <v>91345</v>
      </c>
      <c r="C17164" s="1">
        <v>1.05187497760061E-3</v>
      </c>
      <c r="D17164" s="1">
        <v>9.7016853631306697E-4</v>
      </c>
      <c r="E17164" s="1">
        <v>6.7750867183103704E-4</v>
      </c>
      <c r="F17164" s="1">
        <v>1.0211829575540101E-3</v>
      </c>
    </row>
    <row r="17165" spans="1:6" x14ac:dyDescent="0.25">
      <c r="A17165" s="2" t="str">
        <f t="shared" si="623"/>
        <v>31080</v>
      </c>
      <c r="B17165" s="2" t="str">
        <f>"91343"</f>
        <v>91343</v>
      </c>
      <c r="C17165" s="1">
        <v>3.60938663523452E-3</v>
      </c>
      <c r="D17165" s="1">
        <v>1.2236799126360701E-3</v>
      </c>
      <c r="E17165" s="1">
        <v>2.5560554437261802E-3</v>
      </c>
      <c r="F17165" s="1">
        <v>3.30174705354855E-3</v>
      </c>
    </row>
    <row r="17166" spans="1:6" x14ac:dyDescent="0.25">
      <c r="A17166" s="2" t="str">
        <f t="shared" si="623"/>
        <v>31080</v>
      </c>
      <c r="B17166" s="2" t="str">
        <f>"91304"</f>
        <v>91304</v>
      </c>
      <c r="C17166" s="1">
        <v>3.5402969859391598E-3</v>
      </c>
      <c r="D17166" s="1">
        <v>2.3173539912603501E-3</v>
      </c>
      <c r="E17166" s="1">
        <v>2.41327469057171E-3</v>
      </c>
      <c r="F17166" s="1">
        <v>3.3476185519685699E-3</v>
      </c>
    </row>
    <row r="17167" spans="1:6" x14ac:dyDescent="0.25">
      <c r="A17167" s="2" t="str">
        <f t="shared" si="623"/>
        <v>31080</v>
      </c>
      <c r="B17167" s="2" t="str">
        <f>"91327"</f>
        <v>91327</v>
      </c>
      <c r="C17167" s="1">
        <v>1.3698466488533501E-4</v>
      </c>
      <c r="D17167" s="1">
        <v>4.0951837713717402E-4</v>
      </c>
      <c r="E17167" s="1">
        <v>5.5992452217441E-6</v>
      </c>
      <c r="F17167" s="1">
        <v>1.5713073276966399E-4</v>
      </c>
    </row>
    <row r="17168" spans="1:6" x14ac:dyDescent="0.25">
      <c r="A17168" s="2" t="str">
        <f t="shared" si="623"/>
        <v>31080</v>
      </c>
      <c r="B17168" s="2" t="str">
        <f>"91333"</f>
        <v>91333</v>
      </c>
      <c r="C17168" s="1">
        <v>2.0189309621181599E-4</v>
      </c>
      <c r="D17168" s="1">
        <v>1.5600700081416099E-4</v>
      </c>
      <c r="E17168" s="1">
        <v>2.79962261087205E-6</v>
      </c>
      <c r="F17168" s="1">
        <v>1.8532085361687499E-4</v>
      </c>
    </row>
    <row r="17169" spans="1:6" x14ac:dyDescent="0.25">
      <c r="A17169" s="2" t="str">
        <f t="shared" si="623"/>
        <v>31080</v>
      </c>
      <c r="B17169" s="2" t="str">
        <f>"91009"</f>
        <v>91009</v>
      </c>
      <c r="C17169" s="1">
        <v>2.40718691637165E-4</v>
      </c>
      <c r="D17169" s="1">
        <v>3.1363907455347E-4</v>
      </c>
      <c r="E17169" s="1">
        <v>5.5992452217441E-6</v>
      </c>
      <c r="F17169" s="1">
        <v>2.3419485011529499E-4</v>
      </c>
    </row>
    <row r="17170" spans="1:6" x14ac:dyDescent="0.25">
      <c r="A17170" s="2" t="str">
        <f t="shared" si="623"/>
        <v>31080</v>
      </c>
      <c r="B17170" s="2" t="str">
        <f>"90899"</f>
        <v>90899</v>
      </c>
      <c r="C17170" s="1">
        <v>0</v>
      </c>
      <c r="D17170" s="1">
        <v>1.62507292514751E-6</v>
      </c>
      <c r="E17170" s="1">
        <v>0</v>
      </c>
      <c r="F17170" s="1">
        <v>1.6680544880006799E-7</v>
      </c>
    </row>
    <row r="17171" spans="1:6" x14ac:dyDescent="0.25">
      <c r="A17171" s="2" t="str">
        <f t="shared" si="623"/>
        <v>31080</v>
      </c>
      <c r="B17171" s="2" t="str">
        <f>"90822"</f>
        <v>90822</v>
      </c>
      <c r="C17171" s="1">
        <v>0</v>
      </c>
      <c r="D17171" s="1">
        <v>1.30005834011801E-5</v>
      </c>
      <c r="E17171" s="1">
        <v>2.79962261087205E-6</v>
      </c>
      <c r="F17171" s="1">
        <v>1.50124903920061E-6</v>
      </c>
    </row>
    <row r="17172" spans="1:6" x14ac:dyDescent="0.25">
      <c r="A17172" s="2" t="str">
        <f t="shared" si="623"/>
        <v>31080</v>
      </c>
      <c r="B17172" s="2" t="str">
        <f>"91006"</f>
        <v>91006</v>
      </c>
      <c r="C17172" s="1">
        <v>2.2168419459786602E-3</v>
      </c>
      <c r="D17172" s="1">
        <v>2.7853749937028398E-3</v>
      </c>
      <c r="E17172" s="1">
        <v>3.5079271314226801E-3</v>
      </c>
      <c r="F17172" s="1">
        <v>2.3521236335297601E-3</v>
      </c>
    </row>
    <row r="17173" spans="1:6" x14ac:dyDescent="0.25">
      <c r="A17173" s="2" t="str">
        <f t="shared" si="623"/>
        <v>31080</v>
      </c>
      <c r="B17173" s="2" t="str">
        <f>"91046"</f>
        <v>91046</v>
      </c>
      <c r="C17173" s="1">
        <v>6.2519163915690702E-5</v>
      </c>
      <c r="D17173" s="1">
        <v>3.0713878285288E-4</v>
      </c>
      <c r="E17173" s="1">
        <v>5.5992452217441E-6</v>
      </c>
      <c r="F17173" s="1">
        <v>8.42367516440345E-5</v>
      </c>
    </row>
    <row r="17174" spans="1:6" x14ac:dyDescent="0.25">
      <c r="A17174" s="2" t="str">
        <f t="shared" si="623"/>
        <v>31080</v>
      </c>
      <c r="B17174" s="2" t="str">
        <f>"91102"</f>
        <v>91102</v>
      </c>
      <c r="C17174" s="1">
        <v>1.8934944230516499E-4</v>
      </c>
      <c r="D17174" s="1">
        <v>3.8676735618510798E-4</v>
      </c>
      <c r="E17174" s="1">
        <v>5.5992452217441E-6</v>
      </c>
      <c r="F17174" s="1">
        <v>1.9866528952088101E-4</v>
      </c>
    </row>
    <row r="17175" spans="1:6" x14ac:dyDescent="0.25">
      <c r="A17175" s="2" t="str">
        <f t="shared" si="623"/>
        <v>31080</v>
      </c>
      <c r="B17175" s="2" t="str">
        <f>"91199"</f>
        <v>91199</v>
      </c>
      <c r="C17175" s="1">
        <v>0</v>
      </c>
      <c r="D17175" s="1">
        <v>1.62507292514751E-6</v>
      </c>
      <c r="E17175" s="1">
        <v>0</v>
      </c>
      <c r="F17175" s="1">
        <v>1.6680544880006799E-7</v>
      </c>
    </row>
    <row r="17176" spans="1:6" x14ac:dyDescent="0.25">
      <c r="A17176" s="2" t="str">
        <f t="shared" si="623"/>
        <v>31080</v>
      </c>
      <c r="B17176" s="2" t="str">
        <f>"91185"</f>
        <v>91185</v>
      </c>
      <c r="C17176" s="1">
        <v>0</v>
      </c>
      <c r="D17176" s="1">
        <v>0</v>
      </c>
      <c r="E17176" s="1">
        <v>5.5992452217441E-6</v>
      </c>
      <c r="F17176" s="1">
        <v>3.3361089760013598E-7</v>
      </c>
    </row>
    <row r="17177" spans="1:6" x14ac:dyDescent="0.25">
      <c r="A17177" s="2" t="str">
        <f t="shared" si="623"/>
        <v>31080</v>
      </c>
      <c r="B17177" s="2" t="str">
        <f>"91124"</f>
        <v>91124</v>
      </c>
      <c r="C17177" s="1">
        <v>0</v>
      </c>
      <c r="D17177" s="1">
        <v>1.30005834011801E-5</v>
      </c>
      <c r="E17177" s="1">
        <v>0</v>
      </c>
      <c r="F17177" s="1">
        <v>1.3344435904005401E-6</v>
      </c>
    </row>
    <row r="17178" spans="1:6" x14ac:dyDescent="0.25">
      <c r="A17178" s="2" t="str">
        <f t="shared" si="623"/>
        <v>31080</v>
      </c>
      <c r="B17178" s="2" t="str">
        <f>"91121"</f>
        <v>91121</v>
      </c>
      <c r="C17178" s="1">
        <v>0</v>
      </c>
      <c r="D17178" s="1">
        <v>3.2501458502950302E-6</v>
      </c>
      <c r="E17178" s="1">
        <v>0</v>
      </c>
      <c r="F17178" s="1">
        <v>3.3361089760013598E-7</v>
      </c>
    </row>
    <row r="17179" spans="1:6" x14ac:dyDescent="0.25">
      <c r="A17179" s="2" t="str">
        <f t="shared" si="623"/>
        <v>31080</v>
      </c>
      <c r="B17179" s="2" t="str">
        <f>"91108"</f>
        <v>91108</v>
      </c>
      <c r="C17179" s="1">
        <v>9.1727958012607295E-4</v>
      </c>
      <c r="D17179" s="1">
        <v>7.1990730584034902E-4</v>
      </c>
      <c r="E17179" s="1">
        <v>1.4837999837621801E-4</v>
      </c>
      <c r="F17179" s="1">
        <v>8.5120820522674803E-4</v>
      </c>
    </row>
    <row r="17180" spans="1:6" x14ac:dyDescent="0.25">
      <c r="A17180" s="2" t="str">
        <f t="shared" si="623"/>
        <v>31080</v>
      </c>
      <c r="B17180" s="2" t="str">
        <f>"90814"</f>
        <v>90814</v>
      </c>
      <c r="C17180" s="1">
        <v>1.9153960409839001E-3</v>
      </c>
      <c r="D17180" s="1">
        <v>4.9402216924484404E-4</v>
      </c>
      <c r="E17180" s="1">
        <v>3.3483486426029701E-3</v>
      </c>
      <c r="F17180" s="1">
        <v>1.85487659065675E-3</v>
      </c>
    </row>
    <row r="17181" spans="1:6" x14ac:dyDescent="0.25">
      <c r="A17181" s="2" t="str">
        <f t="shared" si="623"/>
        <v>31080</v>
      </c>
      <c r="B17181" s="2" t="str">
        <f>"91030"</f>
        <v>91030</v>
      </c>
      <c r="C17181" s="1">
        <v>2.2389426695284698E-3</v>
      </c>
      <c r="D17181" s="1">
        <v>1.41218837195319E-3</v>
      </c>
      <c r="E17181" s="1">
        <v>4.1434414640906404E-3</v>
      </c>
      <c r="F17181" s="1">
        <v>2.2675532709881198E-3</v>
      </c>
    </row>
    <row r="17182" spans="1:6" x14ac:dyDescent="0.25">
      <c r="A17182" s="2" t="str">
        <f t="shared" si="623"/>
        <v>31080</v>
      </c>
      <c r="B17182" s="2" t="str">
        <f>"90807"</f>
        <v>90807</v>
      </c>
      <c r="C17182" s="1">
        <v>2.9447720837995702E-3</v>
      </c>
      <c r="D17182" s="1">
        <v>2.8568782024093299E-3</v>
      </c>
      <c r="E17182" s="1">
        <v>2.9815980805787301E-3</v>
      </c>
      <c r="F17182" s="1">
        <v>2.9379443697156002E-3</v>
      </c>
    </row>
    <row r="17183" spans="1:6" x14ac:dyDescent="0.25">
      <c r="A17183" s="2" t="str">
        <f t="shared" si="623"/>
        <v>31080</v>
      </c>
      <c r="B17183" s="2" t="str">
        <f>"90703"</f>
        <v>90703</v>
      </c>
      <c r="C17183" s="1">
        <v>3.44233702209674E-3</v>
      </c>
      <c r="D17183" s="1">
        <v>4.3064432516409096E-3</v>
      </c>
      <c r="E17183" s="1">
        <v>8.42686405872488E-4</v>
      </c>
      <c r="F17183" s="1">
        <v>3.37614228371338E-3</v>
      </c>
    </row>
    <row r="17184" spans="1:6" x14ac:dyDescent="0.25">
      <c r="A17184" s="2" t="str">
        <f t="shared" si="623"/>
        <v>31080</v>
      </c>
      <c r="B17184" s="2" t="str">
        <f>"90734"</f>
        <v>90734</v>
      </c>
      <c r="C17184" s="1">
        <v>1.21255321097629E-4</v>
      </c>
      <c r="D17184" s="1">
        <v>2.7301225142478198E-4</v>
      </c>
      <c r="E17184" s="1">
        <v>5.5992452217441E-6</v>
      </c>
      <c r="F17184" s="1">
        <v>1.2994144461525299E-4</v>
      </c>
    </row>
    <row r="17185" spans="1:6" x14ac:dyDescent="0.25">
      <c r="A17185" s="2" t="str">
        <f t="shared" si="623"/>
        <v>31080</v>
      </c>
      <c r="B17185" s="2" t="str">
        <f>"90723"</f>
        <v>90723</v>
      </c>
      <c r="C17185" s="1">
        <v>3.1506472923626999E-3</v>
      </c>
      <c r="D17185" s="1">
        <v>4.0188053438897997E-3</v>
      </c>
      <c r="E17185" s="1">
        <v>2.7632275169307101E-3</v>
      </c>
      <c r="F17185" s="1">
        <v>3.21667627466051E-3</v>
      </c>
    </row>
    <row r="17186" spans="1:6" x14ac:dyDescent="0.25">
      <c r="A17186" s="2" t="str">
        <f t="shared" si="623"/>
        <v>31080</v>
      </c>
      <c r="B17186" s="2" t="str">
        <f>"90731"</f>
        <v>90731</v>
      </c>
      <c r="C17186" s="1">
        <v>4.8191523675648901E-3</v>
      </c>
      <c r="D17186" s="1">
        <v>3.2533959961453199E-3</v>
      </c>
      <c r="E17186" s="1">
        <v>8.1692987785246494E-3</v>
      </c>
      <c r="F17186" s="1">
        <v>4.8580418908531799E-3</v>
      </c>
    </row>
    <row r="17187" spans="1:6" x14ac:dyDescent="0.25">
      <c r="A17187" s="2" t="str">
        <f t="shared" si="623"/>
        <v>31080</v>
      </c>
      <c r="B17187" s="2" t="str">
        <f>"90637"</f>
        <v>90637</v>
      </c>
      <c r="C17187" s="1">
        <v>2.03884152387475E-4</v>
      </c>
      <c r="D17187" s="1">
        <v>5.0864782557117196E-4</v>
      </c>
      <c r="E17187" s="1">
        <v>8.3988678326161601E-6</v>
      </c>
      <c r="F17187" s="1">
        <v>2.2351930139209101E-4</v>
      </c>
    </row>
    <row r="17188" spans="1:6" x14ac:dyDescent="0.25">
      <c r="A17188" s="2" t="str">
        <f t="shared" si="623"/>
        <v>31080</v>
      </c>
      <c r="B17188" s="2" t="str">
        <f>"90509"</f>
        <v>90509</v>
      </c>
      <c r="C17188" s="1">
        <v>0</v>
      </c>
      <c r="D17188" s="1">
        <v>0</v>
      </c>
      <c r="E17188" s="1">
        <v>2.79962261087205E-6</v>
      </c>
      <c r="F17188" s="1">
        <v>1.6680544880006799E-7</v>
      </c>
    </row>
    <row r="17189" spans="1:6" x14ac:dyDescent="0.25">
      <c r="A17189" s="2" t="str">
        <f t="shared" si="623"/>
        <v>31080</v>
      </c>
      <c r="B17189" s="2" t="str">
        <f>"90510"</f>
        <v>90510</v>
      </c>
      <c r="C17189" s="1">
        <v>2.5505429610190997E-4</v>
      </c>
      <c r="D17189" s="1">
        <v>6.7115511808592395E-4</v>
      </c>
      <c r="E17189" s="1">
        <v>8.3988678326161601E-6</v>
      </c>
      <c r="F17189" s="1">
        <v>2.8306884661371499E-4</v>
      </c>
    </row>
    <row r="17190" spans="1:6" x14ac:dyDescent="0.25">
      <c r="A17190" s="2" t="str">
        <f t="shared" ref="A17190:A17253" si="624">"31080"</f>
        <v>31080</v>
      </c>
      <c r="B17190" s="2" t="str">
        <f>"90408"</f>
        <v>90408</v>
      </c>
      <c r="C17190" s="1">
        <v>9.4376062726233705E-5</v>
      </c>
      <c r="D17190" s="1">
        <v>2.5026123047271702E-4</v>
      </c>
      <c r="E17190" s="1">
        <v>5.5992452217441E-6</v>
      </c>
      <c r="F17190" s="1">
        <v>1.05087432744043E-4</v>
      </c>
    </row>
    <row r="17191" spans="1:6" x14ac:dyDescent="0.25">
      <c r="A17191" s="2" t="str">
        <f t="shared" si="624"/>
        <v>31080</v>
      </c>
      <c r="B17191" s="2" t="str">
        <f>"90292"</f>
        <v>90292</v>
      </c>
      <c r="C17191" s="1">
        <v>3.46742432991004E-3</v>
      </c>
      <c r="D17191" s="1">
        <v>1.8818344473208199E-3</v>
      </c>
      <c r="E17191" s="1">
        <v>5.8120165401703804E-3</v>
      </c>
      <c r="F17191" s="1">
        <v>3.4443657122726098E-3</v>
      </c>
    </row>
    <row r="17192" spans="1:6" x14ac:dyDescent="0.25">
      <c r="A17192" s="2" t="str">
        <f t="shared" si="624"/>
        <v>31080</v>
      </c>
      <c r="B17192" s="2" t="str">
        <f>"90250"</f>
        <v>90250</v>
      </c>
      <c r="C17192" s="1">
        <v>6.7602330332147903E-3</v>
      </c>
      <c r="D17192" s="1">
        <v>3.76854411341708E-3</v>
      </c>
      <c r="E17192" s="1">
        <v>1.3807738716820899E-2</v>
      </c>
      <c r="F17192" s="1">
        <v>6.8730517123580101E-3</v>
      </c>
    </row>
    <row r="17193" spans="1:6" x14ac:dyDescent="0.25">
      <c r="A17193" s="2" t="str">
        <f t="shared" si="624"/>
        <v>31080</v>
      </c>
      <c r="B17193" s="2" t="str">
        <f>"90045"</f>
        <v>90045</v>
      </c>
      <c r="C17193" s="1">
        <v>4.0567769579050901E-3</v>
      </c>
      <c r="D17193" s="1">
        <v>5.5008718516243397E-3</v>
      </c>
      <c r="E17193" s="1">
        <v>8.4016674552270295E-3</v>
      </c>
      <c r="F17193" s="1">
        <v>4.4638806153386203E-3</v>
      </c>
    </row>
    <row r="17194" spans="1:6" x14ac:dyDescent="0.25">
      <c r="A17194" s="2" t="str">
        <f t="shared" si="624"/>
        <v>31080</v>
      </c>
      <c r="B17194" s="2" t="str">
        <f>"90068"</f>
        <v>90068</v>
      </c>
      <c r="C17194" s="1">
        <v>2.80699099644397E-3</v>
      </c>
      <c r="D17194" s="1">
        <v>8.4503792107670805E-4</v>
      </c>
      <c r="E17194" s="1">
        <v>2.2117018625889199E-3</v>
      </c>
      <c r="F17194" s="1">
        <v>2.5701383551114498E-3</v>
      </c>
    </row>
    <row r="17195" spans="1:6" x14ac:dyDescent="0.25">
      <c r="A17195" s="2" t="str">
        <f t="shared" si="624"/>
        <v>31080</v>
      </c>
      <c r="B17195" s="2" t="str">
        <f>"90055"</f>
        <v>90055</v>
      </c>
      <c r="C17195" s="1">
        <v>3.2474126224997301E-4</v>
      </c>
      <c r="D17195" s="1">
        <v>2.4051079292183199E-4</v>
      </c>
      <c r="E17195" s="1">
        <v>5.5992452217441E-6</v>
      </c>
      <c r="F17195" s="1">
        <v>2.9708050431292098E-4</v>
      </c>
    </row>
    <row r="17196" spans="1:6" x14ac:dyDescent="0.25">
      <c r="A17196" s="2" t="str">
        <f t="shared" si="624"/>
        <v>31080</v>
      </c>
      <c r="B17196" s="2" t="str">
        <f>"90051"</f>
        <v>90051</v>
      </c>
      <c r="C17196" s="1">
        <v>3.2275020607431398E-4</v>
      </c>
      <c r="D17196" s="1">
        <v>3.5101575183186297E-4</v>
      </c>
      <c r="E17196" s="1">
        <v>5.5992452217441E-6</v>
      </c>
      <c r="F17196" s="1">
        <v>3.0675522034332499E-4</v>
      </c>
    </row>
    <row r="17197" spans="1:6" x14ac:dyDescent="0.25">
      <c r="A17197" s="2" t="str">
        <f t="shared" si="624"/>
        <v>31080</v>
      </c>
      <c r="B17197" s="2" t="str">
        <f>"90047"</f>
        <v>90047</v>
      </c>
      <c r="C17197" s="1">
        <v>3.6498050756004E-3</v>
      </c>
      <c r="D17197" s="1">
        <v>2.25722629302989E-3</v>
      </c>
      <c r="E17197" s="1">
        <v>1.4614030028752101E-3</v>
      </c>
      <c r="F17197" s="1">
        <v>3.3764758946109798E-3</v>
      </c>
    </row>
    <row r="17198" spans="1:6" x14ac:dyDescent="0.25">
      <c r="A17198" s="2" t="str">
        <f t="shared" si="624"/>
        <v>31080</v>
      </c>
      <c r="B17198" s="2" t="str">
        <f>"90033"</f>
        <v>90033</v>
      </c>
      <c r="C17198" s="1">
        <v>2.80440262341561E-3</v>
      </c>
      <c r="D17198" s="1">
        <v>2.3579808143890401E-3</v>
      </c>
      <c r="E17198" s="1">
        <v>3.25036185122245E-3</v>
      </c>
      <c r="F17198" s="1">
        <v>2.78515057861474E-3</v>
      </c>
    </row>
    <row r="17199" spans="1:6" x14ac:dyDescent="0.25">
      <c r="A17199" s="2" t="str">
        <f t="shared" si="624"/>
        <v>31080</v>
      </c>
      <c r="B17199" s="2" t="str">
        <f>"90016"</f>
        <v>90016</v>
      </c>
      <c r="C17199" s="1">
        <v>3.6513979205409302E-3</v>
      </c>
      <c r="D17199" s="1">
        <v>2.49448694010143E-3</v>
      </c>
      <c r="E17199" s="1">
        <v>5.0673169256784103E-3</v>
      </c>
      <c r="F17199" s="1">
        <v>3.6170093517806801E-3</v>
      </c>
    </row>
    <row r="17200" spans="1:6" x14ac:dyDescent="0.25">
      <c r="A17200" s="2" t="str">
        <f t="shared" si="624"/>
        <v>31080</v>
      </c>
      <c r="B17200" s="2" t="str">
        <f>"90012"</f>
        <v>90012</v>
      </c>
      <c r="C17200" s="1">
        <v>2.9182910366632999E-3</v>
      </c>
      <c r="D17200" s="1">
        <v>7.5777150499628599E-3</v>
      </c>
      <c r="E17200" s="1">
        <v>3.2979554356072798E-3</v>
      </c>
      <c r="F17200" s="1">
        <v>3.4191780895037999E-3</v>
      </c>
    </row>
    <row r="17201" spans="1:6" x14ac:dyDescent="0.25">
      <c r="A17201" s="2" t="str">
        <f t="shared" si="624"/>
        <v>31080</v>
      </c>
      <c r="B17201" s="2" t="str">
        <f>"93536"</f>
        <v>93536</v>
      </c>
      <c r="C17201" s="1">
        <v>4.8679332438685396E-3</v>
      </c>
      <c r="D17201" s="1">
        <v>1.2236799126360701E-3</v>
      </c>
      <c r="E17201" s="1">
        <v>2.2033029947563002E-3</v>
      </c>
      <c r="F17201" s="1">
        <v>4.3351068088649698E-3</v>
      </c>
    </row>
    <row r="17202" spans="1:6" x14ac:dyDescent="0.25">
      <c r="A17202" s="2" t="str">
        <f t="shared" si="624"/>
        <v>31080</v>
      </c>
      <c r="B17202" s="2" t="str">
        <f>"92868"</f>
        <v>92868</v>
      </c>
      <c r="C17202" s="1">
        <v>1.8319707872237901E-3</v>
      </c>
      <c r="D17202" s="1">
        <v>4.2934426682397298E-3</v>
      </c>
      <c r="E17202" s="1">
        <v>1.7245675282971801E-3</v>
      </c>
      <c r="F17202" s="1">
        <v>2.0782290866000501E-3</v>
      </c>
    </row>
    <row r="17203" spans="1:6" x14ac:dyDescent="0.25">
      <c r="A17203" s="2" t="str">
        <f t="shared" si="624"/>
        <v>31080</v>
      </c>
      <c r="B17203" s="2" t="str">
        <f>"92867"</f>
        <v>92867</v>
      </c>
      <c r="C17203" s="1">
        <v>2.7695591403415799E-3</v>
      </c>
      <c r="D17203" s="1">
        <v>4.3681960227965203E-3</v>
      </c>
      <c r="E17203" s="1">
        <v>3.4127399626530299E-3</v>
      </c>
      <c r="F17203" s="1">
        <v>2.97197268127081E-3</v>
      </c>
    </row>
    <row r="17204" spans="1:6" x14ac:dyDescent="0.25">
      <c r="A17204" s="2" t="str">
        <f t="shared" si="624"/>
        <v>31080</v>
      </c>
      <c r="B17204" s="2" t="str">
        <f>"92842"</f>
        <v>92842</v>
      </c>
      <c r="C17204" s="1">
        <v>5.3678874495764999E-4</v>
      </c>
      <c r="D17204" s="1">
        <v>5.6552537795133504E-4</v>
      </c>
      <c r="E17204" s="1">
        <v>8.3988678326161601E-6</v>
      </c>
      <c r="F17204" s="1">
        <v>5.0825620249380797E-4</v>
      </c>
    </row>
    <row r="17205" spans="1:6" x14ac:dyDescent="0.25">
      <c r="A17205" s="2" t="str">
        <f t="shared" si="624"/>
        <v>31080</v>
      </c>
      <c r="B17205" s="2" t="str">
        <f>"92899"</f>
        <v>92899</v>
      </c>
      <c r="C17205" s="1">
        <v>0</v>
      </c>
      <c r="D17205" s="1">
        <v>0</v>
      </c>
      <c r="E17205" s="1">
        <v>5.5992452217441E-6</v>
      </c>
      <c r="F17205" s="1">
        <v>3.3361089760013598E-7</v>
      </c>
    </row>
    <row r="17206" spans="1:6" x14ac:dyDescent="0.25">
      <c r="A17206" s="2" t="str">
        <f t="shared" si="624"/>
        <v>31080</v>
      </c>
      <c r="B17206" s="2" t="str">
        <f>"92835"</f>
        <v>92835</v>
      </c>
      <c r="C17206" s="1">
        <v>1.91678978030686E-3</v>
      </c>
      <c r="D17206" s="1">
        <v>1.2903079025671201E-3</v>
      </c>
      <c r="E17206" s="1">
        <v>1.1898396096206201E-3</v>
      </c>
      <c r="F17206" s="1">
        <v>1.8091718976855401E-3</v>
      </c>
    </row>
    <row r="17207" spans="1:6" x14ac:dyDescent="0.25">
      <c r="A17207" s="2" t="str">
        <f t="shared" si="624"/>
        <v>31080</v>
      </c>
      <c r="B17207" s="2" t="str">
        <f>"92833"</f>
        <v>92833</v>
      </c>
      <c r="C17207" s="1">
        <v>3.3069452021519301E-3</v>
      </c>
      <c r="D17207" s="1">
        <v>1.8980851765722901E-3</v>
      </c>
      <c r="E17207" s="1">
        <v>3.0123939292983301E-3</v>
      </c>
      <c r="F17207" s="1">
        <v>3.1447831262276802E-3</v>
      </c>
    </row>
    <row r="17208" spans="1:6" x14ac:dyDescent="0.25">
      <c r="A17208" s="2" t="str">
        <f t="shared" si="624"/>
        <v>31080</v>
      </c>
      <c r="B17208" s="2" t="str">
        <f>"92701"</f>
        <v>92701</v>
      </c>
      <c r="C17208" s="1">
        <v>2.56229019245548E-3</v>
      </c>
      <c r="D17208" s="1">
        <v>4.7159616287780898E-3</v>
      </c>
      <c r="E17208" s="1">
        <v>4.6753697601563298E-3</v>
      </c>
      <c r="F17208" s="1">
        <v>2.9092538325219898E-3</v>
      </c>
    </row>
    <row r="17209" spans="1:6" x14ac:dyDescent="0.25">
      <c r="A17209" s="2" t="str">
        <f t="shared" si="624"/>
        <v>31080</v>
      </c>
      <c r="B17209" s="2" t="str">
        <f>"92693"</f>
        <v>92693</v>
      </c>
      <c r="C17209" s="1">
        <v>2.38727635461506E-4</v>
      </c>
      <c r="D17209" s="1">
        <v>4.5664549196645102E-4</v>
      </c>
      <c r="E17209" s="1">
        <v>8.3988678326161601E-6</v>
      </c>
      <c r="F17209" s="1">
        <v>2.4737248057050103E-4</v>
      </c>
    </row>
    <row r="17210" spans="1:6" x14ac:dyDescent="0.25">
      <c r="A17210" s="2" t="str">
        <f t="shared" si="624"/>
        <v>31080</v>
      </c>
      <c r="B17210" s="2" t="str">
        <f>"92809"</f>
        <v>92809</v>
      </c>
      <c r="C17210" s="1">
        <v>2.23396502908933E-4</v>
      </c>
      <c r="D17210" s="1">
        <v>5.1189797142146701E-4</v>
      </c>
      <c r="E17210" s="1">
        <v>5.5992452217441E-6</v>
      </c>
      <c r="F17210" s="1">
        <v>2.4003304082329801E-4</v>
      </c>
    </row>
    <row r="17211" spans="1:6" x14ac:dyDescent="0.25">
      <c r="A17211" s="2" t="str">
        <f t="shared" si="624"/>
        <v>31080</v>
      </c>
      <c r="B17211" s="2" t="str">
        <f>"92808"</f>
        <v>92808</v>
      </c>
      <c r="C17211" s="1">
        <v>1.51220716541296E-3</v>
      </c>
      <c r="D17211" s="1">
        <v>5.70400596726778E-4</v>
      </c>
      <c r="E17211" s="1">
        <v>7.1670338838324501E-4</v>
      </c>
      <c r="F17211" s="1">
        <v>1.3681382910581601E-3</v>
      </c>
    </row>
    <row r="17212" spans="1:6" x14ac:dyDescent="0.25">
      <c r="A17212" s="2" t="str">
        <f t="shared" si="624"/>
        <v>31080</v>
      </c>
      <c r="B17212" s="2" t="str">
        <f>"92803"</f>
        <v>92803</v>
      </c>
      <c r="C17212" s="1">
        <v>4.0956025533304301E-4</v>
      </c>
      <c r="D17212" s="1">
        <v>3.9651779373599299E-4</v>
      </c>
      <c r="E17212" s="1">
        <v>5.5992452217441E-6</v>
      </c>
      <c r="F17212" s="1">
        <v>3.8415294858655698E-4</v>
      </c>
    </row>
    <row r="17213" spans="1:6" x14ac:dyDescent="0.25">
      <c r="A17213" s="2" t="str">
        <f t="shared" si="624"/>
        <v>31080</v>
      </c>
      <c r="B17213" s="2" t="str">
        <f>"92679"</f>
        <v>92679</v>
      </c>
      <c r="C17213" s="1">
        <v>2.1274435236915698E-3</v>
      </c>
      <c r="D17213" s="1">
        <v>1.5763207373930901E-4</v>
      </c>
      <c r="E17213" s="1">
        <v>1.20383772267498E-4</v>
      </c>
      <c r="F17213" s="1">
        <v>1.8056689832607301E-3</v>
      </c>
    </row>
    <row r="17214" spans="1:6" x14ac:dyDescent="0.25">
      <c r="A17214" s="2" t="str">
        <f t="shared" si="624"/>
        <v>31080</v>
      </c>
      <c r="B17214" s="2" t="str">
        <f>"92683"</f>
        <v>92683</v>
      </c>
      <c r="C17214" s="1">
        <v>5.5880982626043798E-3</v>
      </c>
      <c r="D17214" s="1">
        <v>6.4694153150122603E-3</v>
      </c>
      <c r="E17214" s="1">
        <v>5.5096572981961998E-3</v>
      </c>
      <c r="F17214" s="1">
        <v>5.6738873409343197E-3</v>
      </c>
    </row>
    <row r="17215" spans="1:6" x14ac:dyDescent="0.25">
      <c r="A17215" s="2" t="str">
        <f t="shared" si="624"/>
        <v>31080</v>
      </c>
      <c r="B17215" s="2" t="str">
        <f>"92619"</f>
        <v>92619</v>
      </c>
      <c r="C17215" s="1">
        <v>3.5918653408887198E-4</v>
      </c>
      <c r="D17215" s="1">
        <v>1.13430090175296E-3</v>
      </c>
      <c r="E17215" s="1">
        <v>8.3988678326161601E-6</v>
      </c>
      <c r="F17215" s="1">
        <v>4.1784764924417101E-4</v>
      </c>
    </row>
    <row r="17216" spans="1:6" x14ac:dyDescent="0.25">
      <c r="A17216" s="2" t="str">
        <f t="shared" si="624"/>
        <v>31080</v>
      </c>
      <c r="B17216" s="2" t="str">
        <f>"92616"</f>
        <v>92616</v>
      </c>
      <c r="C17216" s="1">
        <v>3.7730514528736898E-4</v>
      </c>
      <c r="D17216" s="1">
        <v>3.5426589768215797E-4</v>
      </c>
      <c r="E17216" s="1">
        <v>5.5992452217441E-6</v>
      </c>
      <c r="F17216" s="1">
        <v>3.5279352421214402E-4</v>
      </c>
    </row>
    <row r="17217" spans="1:6" x14ac:dyDescent="0.25">
      <c r="A17217" s="2" t="str">
        <f t="shared" si="624"/>
        <v>31080</v>
      </c>
      <c r="B17217" s="2" t="str">
        <f>"92627"</f>
        <v>92627</v>
      </c>
      <c r="C17217" s="1">
        <v>5.1701755713335603E-3</v>
      </c>
      <c r="D17217" s="1">
        <v>5.7430077174713198E-3</v>
      </c>
      <c r="E17217" s="1">
        <v>1.0750550825748601E-2</v>
      </c>
      <c r="F17217" s="1">
        <v>5.5614604684430698E-3</v>
      </c>
    </row>
    <row r="17218" spans="1:6" x14ac:dyDescent="0.25">
      <c r="A17218" s="2" t="str">
        <f t="shared" si="624"/>
        <v>31080</v>
      </c>
      <c r="B17218" s="2" t="str">
        <f>"91793"</f>
        <v>91793</v>
      </c>
      <c r="C17218" s="1">
        <v>3.1199850272575498E-4</v>
      </c>
      <c r="D17218" s="1">
        <v>4.6477085659218898E-4</v>
      </c>
      <c r="E17218" s="1">
        <v>8.3988678326161601E-6</v>
      </c>
      <c r="F17218" s="1">
        <v>3.0959091297292599E-4</v>
      </c>
    </row>
    <row r="17219" spans="1:6" x14ac:dyDescent="0.25">
      <c r="A17219" s="2" t="str">
        <f t="shared" si="624"/>
        <v>31080</v>
      </c>
      <c r="B17219" s="2" t="str">
        <f>"91790"</f>
        <v>91790</v>
      </c>
      <c r="C17219" s="1">
        <v>2.7349147628851198E-3</v>
      </c>
      <c r="D17219" s="1">
        <v>2.5416140549307099E-3</v>
      </c>
      <c r="E17219" s="1">
        <v>1.6265807369166599E-3</v>
      </c>
      <c r="F17219" s="1">
        <v>2.6490373323938801E-3</v>
      </c>
    </row>
    <row r="17220" spans="1:6" x14ac:dyDescent="0.25">
      <c r="A17220" s="2" t="str">
        <f t="shared" si="624"/>
        <v>31080</v>
      </c>
      <c r="B17220" s="2" t="str">
        <f>"91740"</f>
        <v>91740</v>
      </c>
      <c r="C17220" s="1">
        <v>2.0061882025939398E-3</v>
      </c>
      <c r="D17220" s="1">
        <v>3.09088870363057E-3</v>
      </c>
      <c r="E17220" s="1">
        <v>1.5341931907578801E-3</v>
      </c>
      <c r="F17220" s="1">
        <v>2.0894050516696498E-3</v>
      </c>
    </row>
    <row r="17221" spans="1:6" x14ac:dyDescent="0.25">
      <c r="A17221" s="2" t="str">
        <f t="shared" si="624"/>
        <v>31080</v>
      </c>
      <c r="B17221" s="2" t="str">
        <f>"91771"</f>
        <v>91771</v>
      </c>
      <c r="C17221" s="1">
        <v>0</v>
      </c>
      <c r="D17221" s="1">
        <v>1.62507292514751E-6</v>
      </c>
      <c r="E17221" s="1">
        <v>0</v>
      </c>
      <c r="F17221" s="1">
        <v>1.6680544880006799E-7</v>
      </c>
    </row>
    <row r="17222" spans="1:6" x14ac:dyDescent="0.25">
      <c r="A17222" s="2" t="str">
        <f t="shared" si="624"/>
        <v>31080</v>
      </c>
      <c r="B17222" s="2" t="str">
        <f>"91769"</f>
        <v>91769</v>
      </c>
      <c r="C17222" s="1">
        <v>4.0119781939527602E-4</v>
      </c>
      <c r="D17222" s="1">
        <v>5.3627406529867998E-4</v>
      </c>
      <c r="E17222" s="1">
        <v>8.3988678326161601E-6</v>
      </c>
      <c r="F17222" s="1">
        <v>3.9165919378256002E-4</v>
      </c>
    </row>
    <row r="17223" spans="1:6" x14ac:dyDescent="0.25">
      <c r="A17223" s="2" t="str">
        <f t="shared" si="624"/>
        <v>31080</v>
      </c>
      <c r="B17223" s="2" t="str">
        <f>"91755"</f>
        <v>91755</v>
      </c>
      <c r="C17223" s="1">
        <v>1.8289842029602999E-3</v>
      </c>
      <c r="D17223" s="1">
        <v>8.1578660842405299E-4</v>
      </c>
      <c r="E17223" s="1">
        <v>4.2330293876385403E-3</v>
      </c>
      <c r="F17223" s="1">
        <v>1.8682210265607601E-3</v>
      </c>
    </row>
    <row r="17224" spans="1:6" x14ac:dyDescent="0.25">
      <c r="A17224" s="2" t="str">
        <f t="shared" si="624"/>
        <v>31080</v>
      </c>
      <c r="B17224" s="2" t="str">
        <f>"91765"</f>
        <v>91765</v>
      </c>
      <c r="C17224" s="1">
        <v>3.32486470773286E-3</v>
      </c>
      <c r="D17224" s="1">
        <v>2.54973941955645E-3</v>
      </c>
      <c r="E17224" s="1">
        <v>3.30635430343989E-3</v>
      </c>
      <c r="F17224" s="1">
        <v>3.2441991737125202E-3</v>
      </c>
    </row>
    <row r="17225" spans="1:6" x14ac:dyDescent="0.25">
      <c r="A17225" s="2" t="str">
        <f t="shared" si="624"/>
        <v>31080</v>
      </c>
      <c r="B17225" s="2" t="str">
        <f>"91706"</f>
        <v>91706</v>
      </c>
      <c r="C17225" s="1">
        <v>3.8885327110619E-3</v>
      </c>
      <c r="D17225" s="1">
        <v>4.9028450151700504E-3</v>
      </c>
      <c r="E17225" s="1">
        <v>3.3035546808290201E-3</v>
      </c>
      <c r="F17225" s="1">
        <v>3.95779288367922E-3</v>
      </c>
    </row>
    <row r="17226" spans="1:6" x14ac:dyDescent="0.25">
      <c r="A17226" s="2" t="str">
        <f t="shared" si="624"/>
        <v>31080</v>
      </c>
      <c r="B17226" s="2" t="str">
        <f>"91405"</f>
        <v>91405</v>
      </c>
      <c r="C17226" s="1">
        <v>3.7453757720320299E-3</v>
      </c>
      <c r="D17226" s="1">
        <v>3.26152136077106E-3</v>
      </c>
      <c r="E17226" s="1">
        <v>4.1714376901993604E-3</v>
      </c>
      <c r="F17226" s="1">
        <v>3.7210959518319199E-3</v>
      </c>
    </row>
    <row r="17227" spans="1:6" x14ac:dyDescent="0.25">
      <c r="A17227" s="2" t="str">
        <f t="shared" si="624"/>
        <v>31080</v>
      </c>
      <c r="B17227" s="2" t="str">
        <f>"91510"</f>
        <v>91510</v>
      </c>
      <c r="C17227" s="1">
        <v>3.0921102407983301E-4</v>
      </c>
      <c r="D17227" s="1">
        <v>9.1004083808260796E-4</v>
      </c>
      <c r="E17227" s="1">
        <v>2.79962261087205E-6</v>
      </c>
      <c r="F17227" s="1">
        <v>3.5262671876334402E-4</v>
      </c>
    </row>
    <row r="17228" spans="1:6" x14ac:dyDescent="0.25">
      <c r="A17228" s="2" t="str">
        <f t="shared" si="624"/>
        <v>31080</v>
      </c>
      <c r="B17228" s="2" t="str">
        <f>"91605"</f>
        <v>91605</v>
      </c>
      <c r="C17228" s="1">
        <v>3.34338153016649E-3</v>
      </c>
      <c r="D17228" s="1">
        <v>4.7988403479606104E-3</v>
      </c>
      <c r="E17228" s="1">
        <v>4.4094056121234803E-3</v>
      </c>
      <c r="F17228" s="1">
        <v>3.5562921684174501E-3</v>
      </c>
    </row>
    <row r="17229" spans="1:6" x14ac:dyDescent="0.25">
      <c r="A17229" s="2" t="str">
        <f t="shared" si="624"/>
        <v>31080</v>
      </c>
      <c r="B17229" s="2" t="str">
        <f>"91406"</f>
        <v>91406</v>
      </c>
      <c r="C17229" s="1">
        <v>3.9193940817846204E-3</v>
      </c>
      <c r="D17229" s="1">
        <v>4.4982018568083199E-3</v>
      </c>
      <c r="E17229" s="1">
        <v>3.5331237349205298E-3</v>
      </c>
      <c r="F17229" s="1">
        <v>3.9557912182936203E-3</v>
      </c>
    </row>
    <row r="17230" spans="1:6" x14ac:dyDescent="0.25">
      <c r="A17230" s="2" t="str">
        <f t="shared" si="624"/>
        <v>31080</v>
      </c>
      <c r="B17230" s="2" t="str">
        <f>"91321"</f>
        <v>91321</v>
      </c>
      <c r="C17230" s="1">
        <v>2.3834933478813101E-3</v>
      </c>
      <c r="D17230" s="1">
        <v>1.9760886769793701E-3</v>
      </c>
      <c r="E17230" s="1">
        <v>4.0006607109361603E-3</v>
      </c>
      <c r="F17230" s="1">
        <v>2.4380284396617901E-3</v>
      </c>
    </row>
    <row r="17231" spans="1:6" x14ac:dyDescent="0.25">
      <c r="A17231" s="2" t="str">
        <f t="shared" si="624"/>
        <v>31080</v>
      </c>
      <c r="B17231" s="2" t="str">
        <f>"91316"</f>
        <v>91316</v>
      </c>
      <c r="C17231" s="1">
        <v>2.5939479856484601E-3</v>
      </c>
      <c r="D17231" s="1">
        <v>1.93058663507524E-3</v>
      </c>
      <c r="E17231" s="1">
        <v>1.51459583248178E-3</v>
      </c>
      <c r="F17231" s="1">
        <v>2.4615480079426002E-3</v>
      </c>
    </row>
    <row r="17232" spans="1:6" x14ac:dyDescent="0.25">
      <c r="A17232" s="2" t="str">
        <f t="shared" si="624"/>
        <v>31080</v>
      </c>
      <c r="B17232" s="2" t="str">
        <f>"91225"</f>
        <v>91225</v>
      </c>
      <c r="C17232" s="1">
        <v>2.45298120841181E-4</v>
      </c>
      <c r="D17232" s="1">
        <v>2.1125948026917701E-4</v>
      </c>
      <c r="E17232" s="1">
        <v>5.5992452217441E-6</v>
      </c>
      <c r="F17232" s="1">
        <v>2.2752263216329301E-4</v>
      </c>
    </row>
    <row r="17233" spans="1:6" x14ac:dyDescent="0.25">
      <c r="A17233" s="2" t="str">
        <f t="shared" si="624"/>
        <v>31080</v>
      </c>
      <c r="B17233" s="2" t="str">
        <f>"91210"</f>
        <v>91210</v>
      </c>
      <c r="C17233" s="1">
        <v>6.9089649295365197E-5</v>
      </c>
      <c r="D17233" s="1">
        <v>6.6302975346018604E-4</v>
      </c>
      <c r="E17233" s="1">
        <v>5.3192829606568997E-5</v>
      </c>
      <c r="F17233" s="1">
        <v>1.29107417371252E-4</v>
      </c>
    </row>
    <row r="17234" spans="1:6" x14ac:dyDescent="0.25">
      <c r="A17234" s="2" t="str">
        <f t="shared" si="624"/>
        <v>31080</v>
      </c>
      <c r="B17234" s="2" t="str">
        <f>"91206"</f>
        <v>91206</v>
      </c>
      <c r="C17234" s="1">
        <v>2.7464628887039402E-3</v>
      </c>
      <c r="D17234" s="1">
        <v>1.2724321003904999E-3</v>
      </c>
      <c r="E17234" s="1">
        <v>4.0230576918231396E-3</v>
      </c>
      <c r="F17234" s="1">
        <v>2.6712224570842901E-3</v>
      </c>
    </row>
    <row r="17235" spans="1:6" x14ac:dyDescent="0.25">
      <c r="A17235" s="2" t="str">
        <f t="shared" si="624"/>
        <v>31080</v>
      </c>
      <c r="B17235" s="2" t="str">
        <f>"91010"</f>
        <v>91010</v>
      </c>
      <c r="C17235" s="1">
        <v>1.69916734030733E-3</v>
      </c>
      <c r="D17235" s="1">
        <v>1.1944285999834199E-3</v>
      </c>
      <c r="E17235" s="1">
        <v>9.5187168769649802E-4</v>
      </c>
      <c r="F17235" s="1">
        <v>1.6028335575198501E-3</v>
      </c>
    </row>
    <row r="17236" spans="1:6" x14ac:dyDescent="0.25">
      <c r="A17236" s="2" t="str">
        <f t="shared" si="624"/>
        <v>31080</v>
      </c>
      <c r="B17236" s="2" t="str">
        <f>"90831"</f>
        <v>90831</v>
      </c>
      <c r="C17236" s="1">
        <v>0</v>
      </c>
      <c r="D17236" s="1">
        <v>2.3076035537094699E-4</v>
      </c>
      <c r="E17236" s="1">
        <v>8.3988678326161601E-6</v>
      </c>
      <c r="F17236" s="1">
        <v>2.41867900760099E-5</v>
      </c>
    </row>
    <row r="17237" spans="1:6" x14ac:dyDescent="0.25">
      <c r="A17237" s="2" t="str">
        <f t="shared" si="624"/>
        <v>31080</v>
      </c>
      <c r="B17237" s="2" t="str">
        <f>"91066"</f>
        <v>91066</v>
      </c>
      <c r="C17237" s="1">
        <v>1.9850830071319601E-4</v>
      </c>
      <c r="D17237" s="1">
        <v>7.2315745169064397E-4</v>
      </c>
      <c r="E17237" s="1">
        <v>5.5992452217441E-6</v>
      </c>
      <c r="F17237" s="1">
        <v>2.40867068067298E-4</v>
      </c>
    </row>
    <row r="17238" spans="1:6" x14ac:dyDescent="0.25">
      <c r="A17238" s="2" t="str">
        <f t="shared" si="624"/>
        <v>31080</v>
      </c>
      <c r="B17238" s="2" t="str">
        <f>"91104"</f>
        <v>91104</v>
      </c>
      <c r="C17238" s="1">
        <v>2.6964873786949001E-3</v>
      </c>
      <c r="D17238" s="1">
        <v>1.1668023602559099E-3</v>
      </c>
      <c r="E17238" s="1">
        <v>2.3180875218020598E-3</v>
      </c>
      <c r="F17238" s="1">
        <v>2.51692741694423E-3</v>
      </c>
    </row>
    <row r="17239" spans="1:6" x14ac:dyDescent="0.25">
      <c r="A17239" s="2" t="str">
        <f t="shared" si="624"/>
        <v>31080</v>
      </c>
      <c r="B17239" s="2" t="str">
        <f>"91101"</f>
        <v>91101</v>
      </c>
      <c r="C17239" s="1">
        <v>2.3490480760424101E-3</v>
      </c>
      <c r="D17239" s="1">
        <v>4.6720846597990999E-3</v>
      </c>
      <c r="E17239" s="1">
        <v>3.7374961855141898E-3</v>
      </c>
      <c r="F17239" s="1">
        <v>2.6702216243914899E-3</v>
      </c>
    </row>
    <row r="17240" spans="1:6" x14ac:dyDescent="0.25">
      <c r="A17240" s="2" t="str">
        <f t="shared" si="624"/>
        <v>31080</v>
      </c>
      <c r="B17240" s="2" t="str">
        <f>"91077"</f>
        <v>91077</v>
      </c>
      <c r="C17240" s="1">
        <v>1.35790031179939E-4</v>
      </c>
      <c r="D17240" s="1">
        <v>3.4289038720612501E-4</v>
      </c>
      <c r="E17240" s="1">
        <v>5.5992452217441E-6</v>
      </c>
      <c r="F17240" s="1">
        <v>1.4929087667606101E-4</v>
      </c>
    </row>
    <row r="17241" spans="1:6" x14ac:dyDescent="0.25">
      <c r="A17241" s="2" t="str">
        <f t="shared" si="624"/>
        <v>31080</v>
      </c>
      <c r="B17241" s="2" t="str">
        <f>"91184"</f>
        <v>91184</v>
      </c>
      <c r="C17241" s="1">
        <v>0</v>
      </c>
      <c r="D17241" s="1">
        <v>3.2501458502950302E-6</v>
      </c>
      <c r="E17241" s="1">
        <v>0</v>
      </c>
      <c r="F17241" s="1">
        <v>3.3361089760013598E-7</v>
      </c>
    </row>
    <row r="17242" spans="1:6" x14ac:dyDescent="0.25">
      <c r="A17242" s="2" t="str">
        <f t="shared" si="624"/>
        <v>31080</v>
      </c>
      <c r="B17242" s="2" t="str">
        <f>"91125"</f>
        <v>91125</v>
      </c>
      <c r="C17242" s="1">
        <v>0</v>
      </c>
      <c r="D17242" s="1">
        <v>4.8752187754425404E-6</v>
      </c>
      <c r="E17242" s="1">
        <v>0</v>
      </c>
      <c r="F17242" s="1">
        <v>5.0041634640020402E-7</v>
      </c>
    </row>
    <row r="17243" spans="1:6" x14ac:dyDescent="0.25">
      <c r="A17243" s="2" t="str">
        <f t="shared" si="624"/>
        <v>31080</v>
      </c>
      <c r="B17243" s="2" t="str">
        <f>"91116"</f>
        <v>91116</v>
      </c>
      <c r="C17243" s="1">
        <v>7.6655662762869099E-5</v>
      </c>
      <c r="D17243" s="1">
        <v>1.82008167616521E-4</v>
      </c>
      <c r="E17243" s="1">
        <v>5.5992452217441E-6</v>
      </c>
      <c r="F17243" s="1">
        <v>8.3235918951233995E-5</v>
      </c>
    </row>
    <row r="17244" spans="1:6" x14ac:dyDescent="0.25">
      <c r="A17244" s="2" t="str">
        <f t="shared" si="624"/>
        <v>31080</v>
      </c>
      <c r="B17244" s="2" t="str">
        <f>"91201"</f>
        <v>91201</v>
      </c>
      <c r="C17244" s="1">
        <v>1.71788326835853E-3</v>
      </c>
      <c r="D17244" s="1">
        <v>1.7794548530365301E-3</v>
      </c>
      <c r="E17244" s="1">
        <v>4.18543580325372E-3</v>
      </c>
      <c r="F17244" s="1">
        <v>1.87122352463916E-3</v>
      </c>
    </row>
    <row r="17245" spans="1:6" x14ac:dyDescent="0.25">
      <c r="A17245" s="2" t="str">
        <f t="shared" si="624"/>
        <v>31080</v>
      </c>
      <c r="B17245" s="2" t="str">
        <f>"90810"</f>
        <v>90810</v>
      </c>
      <c r="C17245" s="1">
        <v>2.1638798517061302E-3</v>
      </c>
      <c r="D17245" s="1">
        <v>1.5779458103182299E-3</v>
      </c>
      <c r="E17245" s="1">
        <v>1.94853733716694E-3</v>
      </c>
      <c r="F17245" s="1">
        <v>2.0909063007088502E-3</v>
      </c>
    </row>
    <row r="17246" spans="1:6" x14ac:dyDescent="0.25">
      <c r="A17246" s="2" t="str">
        <f t="shared" si="624"/>
        <v>31080</v>
      </c>
      <c r="B17246" s="2" t="str">
        <f>"90714"</f>
        <v>90714</v>
      </c>
      <c r="C17246" s="1">
        <v>1.8636285804167599E-4</v>
      </c>
      <c r="D17246" s="1">
        <v>4.63145783667042E-4</v>
      </c>
      <c r="E17246" s="1">
        <v>5.5992452217441E-6</v>
      </c>
      <c r="F17246" s="1">
        <v>2.0400306388248301E-4</v>
      </c>
    </row>
    <row r="17247" spans="1:6" x14ac:dyDescent="0.25">
      <c r="A17247" s="2" t="str">
        <f t="shared" si="624"/>
        <v>31080</v>
      </c>
      <c r="B17247" s="2" t="str">
        <f>"90711"</f>
        <v>90711</v>
      </c>
      <c r="C17247" s="1">
        <v>2.1383943326577001E-4</v>
      </c>
      <c r="D17247" s="1">
        <v>1.91758605167406E-4</v>
      </c>
      <c r="E17247" s="1">
        <v>8.3988678326161601E-6</v>
      </c>
      <c r="F17247" s="1">
        <v>1.9933251131608101E-4</v>
      </c>
    </row>
    <row r="17248" spans="1:6" x14ac:dyDescent="0.25">
      <c r="A17248" s="2" t="str">
        <f t="shared" si="624"/>
        <v>31080</v>
      </c>
      <c r="B17248" s="2" t="str">
        <f>"90710"</f>
        <v>90710</v>
      </c>
      <c r="C17248" s="1">
        <v>1.9904588588062402E-3</v>
      </c>
      <c r="D17248" s="1">
        <v>1.5015673828363001E-3</v>
      </c>
      <c r="E17248" s="1">
        <v>2.4020762001282199E-3</v>
      </c>
      <c r="F17248" s="1">
        <v>1.9648013814159999E-3</v>
      </c>
    </row>
    <row r="17249" spans="1:6" x14ac:dyDescent="0.25">
      <c r="A17249" s="2" t="str">
        <f t="shared" si="624"/>
        <v>31080</v>
      </c>
      <c r="B17249" s="2" t="str">
        <f>"90742"</f>
        <v>90742</v>
      </c>
      <c r="C17249" s="1">
        <v>2.1344122203063799E-4</v>
      </c>
      <c r="D17249" s="1">
        <v>5.4602450284956504E-4</v>
      </c>
      <c r="E17249" s="1">
        <v>8.3988678326161601E-6</v>
      </c>
      <c r="F17249" s="1">
        <v>2.3536248825689599E-4</v>
      </c>
    </row>
    <row r="17250" spans="1:6" x14ac:dyDescent="0.25">
      <c r="A17250" s="2" t="str">
        <f t="shared" si="624"/>
        <v>31080</v>
      </c>
      <c r="B17250" s="2" t="str">
        <f>"90801"</f>
        <v>90801</v>
      </c>
      <c r="C17250" s="1">
        <v>6.1941757624749605E-4</v>
      </c>
      <c r="D17250" s="1">
        <v>5.63900305026188E-4</v>
      </c>
      <c r="E17250" s="1">
        <v>8.3988678326161601E-6</v>
      </c>
      <c r="F17250" s="1">
        <v>5.77313658297036E-4</v>
      </c>
    </row>
    <row r="17251" spans="1:6" x14ac:dyDescent="0.25">
      <c r="A17251" s="2" t="str">
        <f t="shared" si="624"/>
        <v>31080</v>
      </c>
      <c r="B17251" s="2" t="str">
        <f>"90661"</f>
        <v>90661</v>
      </c>
      <c r="C17251" s="1">
        <v>0</v>
      </c>
      <c r="D17251" s="1">
        <v>0</v>
      </c>
      <c r="E17251" s="1">
        <v>2.79962261087205E-6</v>
      </c>
      <c r="F17251" s="1">
        <v>1.6680544880006799E-7</v>
      </c>
    </row>
    <row r="17252" spans="1:6" x14ac:dyDescent="0.25">
      <c r="A17252" s="2" t="str">
        <f t="shared" si="624"/>
        <v>31080</v>
      </c>
      <c r="B17252" s="2" t="str">
        <f>"90650"</f>
        <v>90650</v>
      </c>
      <c r="C17252" s="1">
        <v>5.5540512020006098E-3</v>
      </c>
      <c r="D17252" s="1">
        <v>3.1380158184598499E-3</v>
      </c>
      <c r="E17252" s="1">
        <v>2.6540422351066999E-3</v>
      </c>
      <c r="F17252" s="1">
        <v>5.1332708813733004E-3</v>
      </c>
    </row>
    <row r="17253" spans="1:6" x14ac:dyDescent="0.25">
      <c r="A17253" s="2" t="str">
        <f t="shared" si="624"/>
        <v>31080</v>
      </c>
      <c r="B17253" s="2" t="str">
        <f>"90717"</f>
        <v>90717</v>
      </c>
      <c r="C17253" s="1">
        <v>2.0073828362993399E-3</v>
      </c>
      <c r="D17253" s="1">
        <v>1.9744636040542299E-3</v>
      </c>
      <c r="E17253" s="1">
        <v>1.50899658726003E-3</v>
      </c>
      <c r="F17253" s="1">
        <v>1.9743092919976002E-3</v>
      </c>
    </row>
    <row r="17254" spans="1:6" x14ac:dyDescent="0.25">
      <c r="A17254" s="2" t="str">
        <f t="shared" ref="A17254:A17317" si="625">"31080"</f>
        <v>31080</v>
      </c>
      <c r="B17254" s="2" t="str">
        <f>"90306"</f>
        <v>90306</v>
      </c>
      <c r="C17254" s="1">
        <v>5.4754044830620801E-5</v>
      </c>
      <c r="D17254" s="1">
        <v>4.3876968978982899E-5</v>
      </c>
      <c r="E17254" s="1">
        <v>5.5992452217441E-6</v>
      </c>
      <c r="F17254" s="1">
        <v>5.0708856435220698E-5</v>
      </c>
    </row>
    <row r="17255" spans="1:6" x14ac:dyDescent="0.25">
      <c r="A17255" s="2" t="str">
        <f t="shared" si="625"/>
        <v>31080</v>
      </c>
      <c r="B17255" s="2" t="str">
        <f>"90401"</f>
        <v>90401</v>
      </c>
      <c r="C17255" s="1">
        <v>1.2000095570696399E-3</v>
      </c>
      <c r="D17255" s="1">
        <v>3.8887995098780001E-3</v>
      </c>
      <c r="E17255" s="1">
        <v>2.3208871444129302E-3</v>
      </c>
      <c r="F17255" s="1">
        <v>1.54278359595183E-3</v>
      </c>
    </row>
    <row r="17256" spans="1:6" x14ac:dyDescent="0.25">
      <c r="A17256" s="2" t="str">
        <f t="shared" si="625"/>
        <v>31080</v>
      </c>
      <c r="B17256" s="2" t="str">
        <f>"90609"</f>
        <v>90609</v>
      </c>
      <c r="C17256" s="1">
        <v>1.61673761463505E-4</v>
      </c>
      <c r="D17256" s="1">
        <v>3.6239126230789599E-4</v>
      </c>
      <c r="E17256" s="1">
        <v>8.3988678326161601E-6</v>
      </c>
      <c r="F17256" s="1">
        <v>1.7314405585447E-4</v>
      </c>
    </row>
    <row r="17257" spans="1:6" x14ac:dyDescent="0.25">
      <c r="A17257" s="2" t="str">
        <f t="shared" si="625"/>
        <v>31080</v>
      </c>
      <c r="B17257" s="2" t="str">
        <f>"90630"</f>
        <v>90630</v>
      </c>
      <c r="C17257" s="1">
        <v>3.7569238978508502E-3</v>
      </c>
      <c r="D17257" s="1">
        <v>2.8893796609122798E-3</v>
      </c>
      <c r="E17257" s="1">
        <v>1.5565901716448601E-3</v>
      </c>
      <c r="F17257" s="1">
        <v>3.5367759309078402E-3</v>
      </c>
    </row>
    <row r="17258" spans="1:6" x14ac:dyDescent="0.25">
      <c r="A17258" s="2" t="str">
        <f t="shared" si="625"/>
        <v>31080</v>
      </c>
      <c r="B17258" s="2" t="str">
        <f>"90623"</f>
        <v>90623</v>
      </c>
      <c r="C17258" s="1">
        <v>1.0461009146912001E-3</v>
      </c>
      <c r="D17258" s="1">
        <v>6.2890322203208802E-4</v>
      </c>
      <c r="E17258" s="1">
        <v>2.88361128919821E-4</v>
      </c>
      <c r="F17258" s="1">
        <v>9.5813049790759196E-4</v>
      </c>
    </row>
    <row r="17259" spans="1:6" x14ac:dyDescent="0.25">
      <c r="A17259" s="2" t="str">
        <f t="shared" si="625"/>
        <v>31080</v>
      </c>
      <c r="B17259" s="2" t="str">
        <f>"90607"</f>
        <v>90607</v>
      </c>
      <c r="C17259" s="1">
        <v>1.8835391421733499E-4</v>
      </c>
      <c r="D17259" s="1">
        <v>3.3476502258038802E-4</v>
      </c>
      <c r="E17259" s="1">
        <v>8.3988678326161601E-6</v>
      </c>
      <c r="F17259" s="1">
        <v>1.92660293364078E-4</v>
      </c>
    </row>
    <row r="17260" spans="1:6" x14ac:dyDescent="0.25">
      <c r="A17260" s="2" t="str">
        <f t="shared" si="625"/>
        <v>31080</v>
      </c>
      <c r="B17260" s="2" t="str">
        <f>"90604"</f>
        <v>90604</v>
      </c>
      <c r="C17260" s="1">
        <v>2.5581089744865998E-3</v>
      </c>
      <c r="D17260" s="1">
        <v>5.4277435699926998E-4</v>
      </c>
      <c r="E17260" s="1">
        <v>1.5537905490339899E-3</v>
      </c>
      <c r="F17260" s="1">
        <v>2.2914064501665301E-3</v>
      </c>
    </row>
    <row r="17261" spans="1:6" x14ac:dyDescent="0.25">
      <c r="A17261" s="2" t="str">
        <f t="shared" si="625"/>
        <v>31080</v>
      </c>
      <c r="B17261" s="2" t="str">
        <f>"90602"</f>
        <v>90602</v>
      </c>
      <c r="C17261" s="1">
        <v>1.69657896727898E-3</v>
      </c>
      <c r="D17261" s="1">
        <v>1.3943125697765599E-3</v>
      </c>
      <c r="E17261" s="1">
        <v>3.43793656615088E-3</v>
      </c>
      <c r="F17261" s="1">
        <v>1.76930539542232E-3</v>
      </c>
    </row>
    <row r="17262" spans="1:6" x14ac:dyDescent="0.25">
      <c r="A17262" s="2" t="str">
        <f t="shared" si="625"/>
        <v>31080</v>
      </c>
      <c r="B17262" s="2" t="str">
        <f>"90295"</f>
        <v>90295</v>
      </c>
      <c r="C17262" s="1">
        <v>3.2752874089589498E-4</v>
      </c>
      <c r="D17262" s="1">
        <v>4.1439359591261601E-4</v>
      </c>
      <c r="E17262" s="1">
        <v>8.3988678326161601E-6</v>
      </c>
      <c r="F17262" s="1">
        <v>3.1743076906653003E-4</v>
      </c>
    </row>
    <row r="17263" spans="1:6" x14ac:dyDescent="0.25">
      <c r="A17263" s="2" t="str">
        <f t="shared" si="625"/>
        <v>31080</v>
      </c>
      <c r="B17263" s="2" t="str">
        <f>"90294"</f>
        <v>90294</v>
      </c>
      <c r="C17263" s="1">
        <v>1.6804514122561399E-4</v>
      </c>
      <c r="D17263" s="1">
        <v>3.6889155400848599E-4</v>
      </c>
      <c r="E17263" s="1">
        <v>5.5992452217441E-6</v>
      </c>
      <c r="F17263" s="1">
        <v>1.78982246562473E-4</v>
      </c>
    </row>
    <row r="17264" spans="1:6" x14ac:dyDescent="0.25">
      <c r="A17264" s="2" t="str">
        <f t="shared" si="625"/>
        <v>31080</v>
      </c>
      <c r="B17264" s="2" t="str">
        <f>"90241"</f>
        <v>90241</v>
      </c>
      <c r="C17264" s="1">
        <v>3.18529166981917E-3</v>
      </c>
      <c r="D17264" s="1">
        <v>3.4662805493396501E-3</v>
      </c>
      <c r="E17264" s="1">
        <v>3.3203524164942501E-3</v>
      </c>
      <c r="F17264" s="1">
        <v>3.2221808544709101E-3</v>
      </c>
    </row>
    <row r="17265" spans="1:6" x14ac:dyDescent="0.25">
      <c r="A17265" s="2" t="str">
        <f t="shared" si="625"/>
        <v>31080</v>
      </c>
      <c r="B17265" s="2" t="str">
        <f>"90220"</f>
        <v>90220</v>
      </c>
      <c r="C17265" s="1">
        <v>2.7229684258311599E-3</v>
      </c>
      <c r="D17265" s="1">
        <v>2.3856070541165499E-3</v>
      </c>
      <c r="E17265" s="1">
        <v>1.99053167633003E-3</v>
      </c>
      <c r="F17265" s="1">
        <v>2.6447003907250802E-3</v>
      </c>
    </row>
    <row r="17266" spans="1:6" x14ac:dyDescent="0.25">
      <c r="A17266" s="2" t="str">
        <f t="shared" si="625"/>
        <v>31080</v>
      </c>
      <c r="B17266" s="2" t="str">
        <f>"90213"</f>
        <v>90213</v>
      </c>
      <c r="C17266" s="1">
        <v>3.9024701042915199E-4</v>
      </c>
      <c r="D17266" s="1">
        <v>6.5490438883444803E-4</v>
      </c>
      <c r="E17266" s="1">
        <v>5.5992452217441E-6</v>
      </c>
      <c r="F17266" s="1">
        <v>3.9449488641216102E-4</v>
      </c>
    </row>
    <row r="17267" spans="1:6" x14ac:dyDescent="0.25">
      <c r="A17267" s="2" t="str">
        <f t="shared" si="625"/>
        <v>31080</v>
      </c>
      <c r="B17267" s="2" t="str">
        <f>"90084"</f>
        <v>90084</v>
      </c>
      <c r="C17267" s="1">
        <v>0</v>
      </c>
      <c r="D17267" s="1">
        <v>0</v>
      </c>
      <c r="E17267" s="1">
        <v>2.79962261087205E-6</v>
      </c>
      <c r="F17267" s="1">
        <v>1.6680544880006799E-7</v>
      </c>
    </row>
    <row r="17268" spans="1:6" x14ac:dyDescent="0.25">
      <c r="A17268" s="2" t="str">
        <f t="shared" si="625"/>
        <v>31080</v>
      </c>
      <c r="B17268" s="2" t="str">
        <f>"90044"</f>
        <v>90044</v>
      </c>
      <c r="C17268" s="1">
        <v>5.7274721949005002E-3</v>
      </c>
      <c r="D17268" s="1">
        <v>2.2832274598322501E-3</v>
      </c>
      <c r="E17268" s="1">
        <v>5.29688597976992E-3</v>
      </c>
      <c r="F17268" s="1">
        <v>5.3482831048765897E-3</v>
      </c>
    </row>
    <row r="17269" spans="1:6" x14ac:dyDescent="0.25">
      <c r="A17269" s="2" t="str">
        <f t="shared" si="625"/>
        <v>31080</v>
      </c>
      <c r="B17269" s="2" t="str">
        <f>"90040"</f>
        <v>90040</v>
      </c>
      <c r="C17269" s="1">
        <v>6.7297698737272095E-4</v>
      </c>
      <c r="D17269" s="1">
        <v>3.2403954127441402E-3</v>
      </c>
      <c r="E17269" s="1">
        <v>3.7794905246772698E-4</v>
      </c>
      <c r="F17269" s="1">
        <v>9.18931217439576E-4</v>
      </c>
    </row>
    <row r="17270" spans="1:6" x14ac:dyDescent="0.25">
      <c r="A17270" s="2" t="str">
        <f t="shared" si="625"/>
        <v>31080</v>
      </c>
      <c r="B17270" s="2" t="str">
        <f>"90076"</f>
        <v>90076</v>
      </c>
      <c r="C17270" s="1">
        <v>1.7481473222285399E-4</v>
      </c>
      <c r="D17270" s="1">
        <v>1.2350554231121101E-4</v>
      </c>
      <c r="E17270" s="1">
        <v>5.5992452217441E-6</v>
      </c>
      <c r="F17270" s="1">
        <v>1.5946600905286499E-4</v>
      </c>
    </row>
    <row r="17271" spans="1:6" x14ac:dyDescent="0.25">
      <c r="A17271" s="2" t="str">
        <f t="shared" si="625"/>
        <v>31080</v>
      </c>
      <c r="B17271" s="2" t="str">
        <f>"90070"</f>
        <v>90070</v>
      </c>
      <c r="C17271" s="1">
        <v>4.4798763952326103E-5</v>
      </c>
      <c r="D17271" s="1">
        <v>1.02379594284293E-4</v>
      </c>
      <c r="E17271" s="1">
        <v>5.5992452217441E-6</v>
      </c>
      <c r="F17271" s="1">
        <v>4.8373580152019801E-5</v>
      </c>
    </row>
    <row r="17272" spans="1:6" x14ac:dyDescent="0.25">
      <c r="A17272" s="2" t="str">
        <f t="shared" si="625"/>
        <v>31080</v>
      </c>
      <c r="B17272" s="2" t="str">
        <f>"90079"</f>
        <v>90079</v>
      </c>
      <c r="C17272" s="1">
        <v>6.4311114473783698E-5</v>
      </c>
      <c r="D17272" s="1">
        <v>3.5637849248484998E-3</v>
      </c>
      <c r="E17272" s="1">
        <v>1.67977356652323E-5</v>
      </c>
      <c r="F17272" s="1">
        <v>4.2068334187377201E-4</v>
      </c>
    </row>
    <row r="17273" spans="1:6" x14ac:dyDescent="0.25">
      <c r="A17273" s="2" t="str">
        <f t="shared" si="625"/>
        <v>31080</v>
      </c>
      <c r="B17273" s="2" t="str">
        <f>"90060"</f>
        <v>90060</v>
      </c>
      <c r="C17273" s="1">
        <v>1.2563564468407899E-4</v>
      </c>
      <c r="D17273" s="1">
        <v>3.5751604353245302E-5</v>
      </c>
      <c r="E17273" s="1">
        <v>5.5992452217441E-6</v>
      </c>
      <c r="F17273" s="1">
        <v>1.09257568964044E-4</v>
      </c>
    </row>
    <row r="17274" spans="1:6" x14ac:dyDescent="0.25">
      <c r="A17274" s="2" t="str">
        <f t="shared" si="625"/>
        <v>31080</v>
      </c>
      <c r="B17274" s="2" t="str">
        <f>"90059"</f>
        <v>90059</v>
      </c>
      <c r="C17274" s="1">
        <v>2.16885749214528E-3</v>
      </c>
      <c r="D17274" s="1">
        <v>9.5391780706159104E-4</v>
      </c>
      <c r="E17274" s="1">
        <v>8.8468074503556904E-4</v>
      </c>
      <c r="F17274" s="1">
        <v>1.9676370740455999E-3</v>
      </c>
    </row>
    <row r="17275" spans="1:6" x14ac:dyDescent="0.25">
      <c r="A17275" s="2" t="str">
        <f t="shared" si="625"/>
        <v>31080</v>
      </c>
      <c r="B17275" s="2" t="str">
        <f>"90053"</f>
        <v>90053</v>
      </c>
      <c r="C17275" s="1">
        <v>3.5241694309163201E-4</v>
      </c>
      <c r="D17275" s="1">
        <v>1.82008167616521E-4</v>
      </c>
      <c r="E17275" s="1">
        <v>5.5992452217441E-6</v>
      </c>
      <c r="F17275" s="1">
        <v>3.1426146553932799E-4</v>
      </c>
    </row>
    <row r="17276" spans="1:6" x14ac:dyDescent="0.25">
      <c r="A17276" s="2" t="str">
        <f t="shared" si="625"/>
        <v>31080</v>
      </c>
      <c r="B17276" s="2" t="str">
        <f>"90063"</f>
        <v>90063</v>
      </c>
      <c r="C17276" s="1">
        <v>2.7586083313754601E-3</v>
      </c>
      <c r="D17276" s="1">
        <v>1.54706942474043E-3</v>
      </c>
      <c r="E17276" s="1">
        <v>8.3988678326161602E-4</v>
      </c>
      <c r="F17276" s="1">
        <v>2.5199299150226299E-3</v>
      </c>
    </row>
    <row r="17277" spans="1:6" x14ac:dyDescent="0.25">
      <c r="A17277" s="2" t="str">
        <f t="shared" si="625"/>
        <v>31080</v>
      </c>
      <c r="B17277" s="2" t="str">
        <f>"90038"</f>
        <v>90038</v>
      </c>
      <c r="C17277" s="1">
        <v>2.7034560753096998E-3</v>
      </c>
      <c r="D17277" s="1">
        <v>2.7431230976490001E-3</v>
      </c>
      <c r="E17277" s="1">
        <v>4.8069520228673102E-3</v>
      </c>
      <c r="F17277" s="1">
        <v>2.8328569369715602E-3</v>
      </c>
    </row>
    <row r="17278" spans="1:6" x14ac:dyDescent="0.25">
      <c r="A17278" s="2" t="str">
        <f t="shared" si="625"/>
        <v>31080</v>
      </c>
      <c r="B17278" s="2" t="str">
        <f>"90032"</f>
        <v>90032</v>
      </c>
      <c r="C17278" s="1">
        <v>2.7904652301859998E-3</v>
      </c>
      <c r="D17278" s="1">
        <v>1.3536857466478799E-3</v>
      </c>
      <c r="E17278" s="1">
        <v>1.99053167633003E-3</v>
      </c>
      <c r="F17278" s="1">
        <v>2.5953259778802602E-3</v>
      </c>
    </row>
    <row r="17279" spans="1:6" x14ac:dyDescent="0.25">
      <c r="A17279" s="2" t="str">
        <f t="shared" si="625"/>
        <v>31080</v>
      </c>
      <c r="B17279" s="2" t="str">
        <f>"90021"</f>
        <v>90021</v>
      </c>
      <c r="C17279" s="1">
        <v>2.78150547739553E-4</v>
      </c>
      <c r="D17279" s="1">
        <v>7.9092299266929605E-3</v>
      </c>
      <c r="E17279" s="1">
        <v>1.00226489469219E-3</v>
      </c>
      <c r="F17279" s="1">
        <v>1.10458568195405E-3</v>
      </c>
    </row>
    <row r="17280" spans="1:6" x14ac:dyDescent="0.25">
      <c r="A17280" s="2" t="str">
        <f t="shared" si="625"/>
        <v>31080</v>
      </c>
      <c r="B17280" s="2" t="str">
        <f>"90026"</f>
        <v>90026</v>
      </c>
      <c r="C17280" s="1">
        <v>5.5906866356327297E-3</v>
      </c>
      <c r="D17280" s="1">
        <v>2.6244927741132301E-3</v>
      </c>
      <c r="E17280" s="1">
        <v>6.0275874812075296E-3</v>
      </c>
      <c r="F17280" s="1">
        <v>5.3122531279357699E-3</v>
      </c>
    </row>
    <row r="17281" spans="1:6" x14ac:dyDescent="0.25">
      <c r="A17281" s="2" t="str">
        <f t="shared" si="625"/>
        <v>31080</v>
      </c>
      <c r="B17281" s="2" t="str">
        <f>"93584"</f>
        <v>93584</v>
      </c>
      <c r="C17281" s="1">
        <v>1.92535132186219E-4</v>
      </c>
      <c r="D17281" s="1">
        <v>2.4213586584697901E-4</v>
      </c>
      <c r="E17281" s="1">
        <v>2.79962261087205E-6</v>
      </c>
      <c r="F17281" s="1">
        <v>1.8632168630967601E-4</v>
      </c>
    </row>
    <row r="17282" spans="1:6" x14ac:dyDescent="0.25">
      <c r="A17282" s="2" t="str">
        <f t="shared" si="625"/>
        <v>31080</v>
      </c>
      <c r="B17282" s="2" t="str">
        <f>"93591"</f>
        <v>93591</v>
      </c>
      <c r="C17282" s="1">
        <v>4.4400552717194301E-4</v>
      </c>
      <c r="D17282" s="1">
        <v>1.5438192788901401E-4</v>
      </c>
      <c r="E17282" s="1">
        <v>7.2790187882673394E-5</v>
      </c>
      <c r="F17282" s="1">
        <v>3.9215961012895999E-4</v>
      </c>
    </row>
    <row r="17283" spans="1:6" x14ac:dyDescent="0.25">
      <c r="A17283" s="2" t="str">
        <f t="shared" si="625"/>
        <v>31080</v>
      </c>
      <c r="B17283" s="2" t="str">
        <f>"93550"</f>
        <v>93550</v>
      </c>
      <c r="C17283" s="1">
        <v>4.7518546688276198E-3</v>
      </c>
      <c r="D17283" s="1">
        <v>3.4191534345103698E-3</v>
      </c>
      <c r="E17283" s="1">
        <v>2.2620950695846102E-3</v>
      </c>
      <c r="F17283" s="1">
        <v>4.4667163079682203E-3</v>
      </c>
    </row>
    <row r="17284" spans="1:6" x14ac:dyDescent="0.25">
      <c r="A17284" s="2" t="str">
        <f t="shared" si="625"/>
        <v>31080</v>
      </c>
      <c r="B17284" s="2" t="str">
        <f>"93532"</f>
        <v>93532</v>
      </c>
      <c r="C17284" s="1">
        <v>3.64761491380717E-4</v>
      </c>
      <c r="D17284" s="1">
        <v>1.25130615236358E-4</v>
      </c>
      <c r="E17284" s="1">
        <v>5.5992452217441E-6</v>
      </c>
      <c r="F17284" s="1">
        <v>3.1876521265692998E-4</v>
      </c>
    </row>
    <row r="17285" spans="1:6" x14ac:dyDescent="0.25">
      <c r="A17285" s="2" t="str">
        <f t="shared" si="625"/>
        <v>31080</v>
      </c>
      <c r="B17285" s="2" t="str">
        <f>"92866"</f>
        <v>92866</v>
      </c>
      <c r="C17285" s="1">
        <v>1.21135857727089E-3</v>
      </c>
      <c r="D17285" s="1">
        <v>1.24480586066299E-3</v>
      </c>
      <c r="E17285" s="1">
        <v>1.6209814916949099E-3</v>
      </c>
      <c r="F17285" s="1">
        <v>1.2391976791357E-3</v>
      </c>
    </row>
    <row r="17286" spans="1:6" x14ac:dyDescent="0.25">
      <c r="A17286" s="2" t="str">
        <f t="shared" si="625"/>
        <v>31080</v>
      </c>
      <c r="B17286" s="2" t="str">
        <f>"92861"</f>
        <v>92861</v>
      </c>
      <c r="C17286" s="1">
        <v>4.0219334748310502E-4</v>
      </c>
      <c r="D17286" s="1">
        <v>1.0400466720944101E-4</v>
      </c>
      <c r="E17286" s="1">
        <v>3.0795848719592502E-5</v>
      </c>
      <c r="F17286" s="1">
        <v>3.4945741523614301E-4</v>
      </c>
    </row>
    <row r="17287" spans="1:6" x14ac:dyDescent="0.25">
      <c r="A17287" s="2" t="str">
        <f t="shared" si="625"/>
        <v>31080</v>
      </c>
      <c r="B17287" s="2" t="str">
        <f>"92844"</f>
        <v>92844</v>
      </c>
      <c r="C17287" s="1">
        <v>1.34177275677655E-3</v>
      </c>
      <c r="D17287" s="1">
        <v>1.55844493521646E-3</v>
      </c>
      <c r="E17287" s="1">
        <v>2.6596414803284501E-3</v>
      </c>
      <c r="F17287" s="1">
        <v>1.4425335212229901E-3</v>
      </c>
    </row>
    <row r="17288" spans="1:6" x14ac:dyDescent="0.25">
      <c r="A17288" s="2" t="str">
        <f t="shared" si="625"/>
        <v>31080</v>
      </c>
      <c r="B17288" s="2" t="str">
        <f>"92886"</f>
        <v>92886</v>
      </c>
      <c r="C17288" s="1">
        <v>3.4837509905504402E-3</v>
      </c>
      <c r="D17288" s="1">
        <v>1.3926874968514199E-3</v>
      </c>
      <c r="E17288" s="1">
        <v>4.9833282473522498E-4</v>
      </c>
      <c r="F17288" s="1">
        <v>3.0912385771628601E-3</v>
      </c>
    </row>
    <row r="17289" spans="1:6" x14ac:dyDescent="0.25">
      <c r="A17289" s="2" t="str">
        <f t="shared" si="625"/>
        <v>31080</v>
      </c>
      <c r="B17289" s="2" t="str">
        <f>"92688"</f>
        <v>92688</v>
      </c>
      <c r="C17289" s="1">
        <v>3.3304396650246999E-3</v>
      </c>
      <c r="D17289" s="1">
        <v>1.9760886769793701E-3</v>
      </c>
      <c r="E17289" s="1">
        <v>8.3988678326161602E-4</v>
      </c>
      <c r="F17289" s="1">
        <v>3.0430318024596398E-3</v>
      </c>
    </row>
    <row r="17290" spans="1:6" x14ac:dyDescent="0.25">
      <c r="A17290" s="2" t="str">
        <f t="shared" si="625"/>
        <v>31080</v>
      </c>
      <c r="B17290" s="2" t="str">
        <f>"92816"</f>
        <v>92816</v>
      </c>
      <c r="C17290" s="1">
        <v>6.8691438060233402E-5</v>
      </c>
      <c r="D17290" s="1">
        <v>1.44631490338128E-4</v>
      </c>
      <c r="E17290" s="1">
        <v>8.3988678326161601E-6</v>
      </c>
      <c r="F17290" s="1">
        <v>7.2893981125629804E-5</v>
      </c>
    </row>
    <row r="17291" spans="1:6" x14ac:dyDescent="0.25">
      <c r="A17291" s="2" t="str">
        <f t="shared" si="625"/>
        <v>31080</v>
      </c>
      <c r="B17291" s="2" t="str">
        <f>"92812"</f>
        <v>92812</v>
      </c>
      <c r="C17291" s="1">
        <v>2.7456664662336701E-4</v>
      </c>
      <c r="D17291" s="1">
        <v>2.1450962611947201E-4</v>
      </c>
      <c r="E17291" s="1">
        <v>8.3988678326161601E-6</v>
      </c>
      <c r="F17291" s="1">
        <v>2.5254344948330299E-4</v>
      </c>
    </row>
    <row r="17292" spans="1:6" x14ac:dyDescent="0.25">
      <c r="A17292" s="2" t="str">
        <f t="shared" si="625"/>
        <v>31080</v>
      </c>
      <c r="B17292" s="2" t="str">
        <f>"92815"</f>
        <v>92815</v>
      </c>
      <c r="C17292" s="1">
        <v>1.89747653540296E-4</v>
      </c>
      <c r="D17292" s="1">
        <v>3.0226356407743698E-4</v>
      </c>
      <c r="E17292" s="1">
        <v>5.5992452217441E-6</v>
      </c>
      <c r="F17292" s="1">
        <v>1.90325017080877E-4</v>
      </c>
    </row>
    <row r="17293" spans="1:6" x14ac:dyDescent="0.25">
      <c r="A17293" s="2" t="str">
        <f t="shared" si="625"/>
        <v>31080</v>
      </c>
      <c r="B17293" s="2" t="str">
        <f>"92806"</f>
        <v>92806</v>
      </c>
      <c r="C17293" s="1">
        <v>2.9581121601764799E-3</v>
      </c>
      <c r="D17293" s="1">
        <v>5.8388870200550202E-3</v>
      </c>
      <c r="E17293" s="1">
        <v>3.8382825995055799E-3</v>
      </c>
      <c r="F17293" s="1">
        <v>3.3062508006661499E-3</v>
      </c>
    </row>
    <row r="17294" spans="1:6" x14ac:dyDescent="0.25">
      <c r="A17294" s="2" t="str">
        <f t="shared" si="625"/>
        <v>31080</v>
      </c>
      <c r="B17294" s="2" t="str">
        <f>"92782"</f>
        <v>92782</v>
      </c>
      <c r="C17294" s="1">
        <v>2.2473051054662401E-3</v>
      </c>
      <c r="D17294" s="1">
        <v>4.9727231509513899E-4</v>
      </c>
      <c r="E17294" s="1">
        <v>2.8276188369807698E-4</v>
      </c>
      <c r="F17294" s="1">
        <v>1.95062291826799E-3</v>
      </c>
    </row>
    <row r="17295" spans="1:6" x14ac:dyDescent="0.25">
      <c r="A17295" s="2" t="str">
        <f t="shared" si="625"/>
        <v>31080</v>
      </c>
      <c r="B17295" s="2" t="str">
        <f>"92735"</f>
        <v>92735</v>
      </c>
      <c r="C17295" s="1">
        <v>1.17870525599009E-4</v>
      </c>
      <c r="D17295" s="1">
        <v>1.8038309469137399E-4</v>
      </c>
      <c r="E17295" s="1">
        <v>8.3988678326161601E-6</v>
      </c>
      <c r="F17295" s="1">
        <v>1.17764646852848E-4</v>
      </c>
    </row>
    <row r="17296" spans="1:6" x14ac:dyDescent="0.25">
      <c r="A17296" s="2" t="str">
        <f t="shared" si="625"/>
        <v>31080</v>
      </c>
      <c r="B17296" s="2" t="str">
        <f>"92677"</f>
        <v>92677</v>
      </c>
      <c r="C17296" s="1">
        <v>5.3963595528884198E-3</v>
      </c>
      <c r="D17296" s="1">
        <v>2.3953574916674302E-3</v>
      </c>
      <c r="E17296" s="1">
        <v>1.4250079089338701E-3</v>
      </c>
      <c r="F17296" s="1">
        <v>4.8517032837987802E-3</v>
      </c>
    </row>
    <row r="17297" spans="1:6" x14ac:dyDescent="0.25">
      <c r="A17297" s="2" t="str">
        <f t="shared" si="625"/>
        <v>31080</v>
      </c>
      <c r="B17297" s="2" t="str">
        <f>"92705"</f>
        <v>92705</v>
      </c>
      <c r="C17297" s="1">
        <v>3.2882292741007301E-3</v>
      </c>
      <c r="D17297" s="1">
        <v>9.3815459968766002E-3</v>
      </c>
      <c r="E17297" s="1">
        <v>3.5219252444770401E-3</v>
      </c>
      <c r="F17297" s="1">
        <v>3.9276010974464001E-3</v>
      </c>
    </row>
    <row r="17298" spans="1:6" x14ac:dyDescent="0.25">
      <c r="A17298" s="2" t="str">
        <f t="shared" si="625"/>
        <v>31080</v>
      </c>
      <c r="B17298" s="2" t="str">
        <f>"92663"</f>
        <v>92663</v>
      </c>
      <c r="C17298" s="1">
        <v>2.4215225208363998E-3</v>
      </c>
      <c r="D17298" s="1">
        <v>3.2046438083908999E-3</v>
      </c>
      <c r="E17298" s="1">
        <v>4.3058195755212103E-3</v>
      </c>
      <c r="F17298" s="1">
        <v>2.61417499359467E-3</v>
      </c>
    </row>
    <row r="17299" spans="1:6" x14ac:dyDescent="0.25">
      <c r="A17299" s="2" t="str">
        <f t="shared" si="625"/>
        <v>31080</v>
      </c>
      <c r="B17299" s="2" t="str">
        <f>"92607"</f>
        <v>92607</v>
      </c>
      <c r="C17299" s="1">
        <v>1.6247018393376899E-4</v>
      </c>
      <c r="D17299" s="1">
        <v>7.4753354556785705E-4</v>
      </c>
      <c r="E17299" s="1">
        <v>8.3988678326161601E-6</v>
      </c>
      <c r="F17299" s="1">
        <v>2.13344169015287E-4</v>
      </c>
    </row>
    <row r="17300" spans="1:6" x14ac:dyDescent="0.25">
      <c r="A17300" s="2" t="str">
        <f t="shared" si="625"/>
        <v>31080</v>
      </c>
      <c r="B17300" s="2" t="str">
        <f>"92654"</f>
        <v>92654</v>
      </c>
      <c r="C17300" s="1">
        <v>2.1005642653201801E-4</v>
      </c>
      <c r="D17300" s="1">
        <v>6.2565307618179297E-4</v>
      </c>
      <c r="E17300" s="1">
        <v>8.3988678326161601E-6</v>
      </c>
      <c r="F17300" s="1">
        <v>2.4070026261849799E-4</v>
      </c>
    </row>
    <row r="17301" spans="1:6" x14ac:dyDescent="0.25">
      <c r="A17301" s="2" t="str">
        <f t="shared" si="625"/>
        <v>31080</v>
      </c>
      <c r="B17301" s="2" t="str">
        <f>"92637"</f>
        <v>92637</v>
      </c>
      <c r="C17301" s="1">
        <v>2.6696081203234998E-3</v>
      </c>
      <c r="D17301" s="1">
        <v>3.2988980380494501E-4</v>
      </c>
      <c r="E17301" s="1">
        <v>1.18480028892105E-2</v>
      </c>
      <c r="F17301" s="1">
        <v>2.97630962293961E-3</v>
      </c>
    </row>
    <row r="17302" spans="1:6" x14ac:dyDescent="0.25">
      <c r="A17302" s="2" t="str">
        <f t="shared" si="625"/>
        <v>31080</v>
      </c>
      <c r="B17302" s="2" t="str">
        <f>"92649"</f>
        <v>92649</v>
      </c>
      <c r="C17302" s="1">
        <v>3.0992780430307001E-3</v>
      </c>
      <c r="D17302" s="1">
        <v>3.1006391411814598E-3</v>
      </c>
      <c r="E17302" s="1">
        <v>4.1770369354211002E-3</v>
      </c>
      <c r="F17302" s="1">
        <v>3.16363214194209E-3</v>
      </c>
    </row>
    <row r="17303" spans="1:6" x14ac:dyDescent="0.25">
      <c r="A17303" s="2" t="str">
        <f t="shared" si="625"/>
        <v>31080</v>
      </c>
      <c r="B17303" s="2" t="str">
        <f>"91899"</f>
        <v>91899</v>
      </c>
      <c r="C17303" s="1">
        <v>0</v>
      </c>
      <c r="D17303" s="1">
        <v>0</v>
      </c>
      <c r="E17303" s="1">
        <v>2.79962261087205E-6</v>
      </c>
      <c r="F17303" s="1">
        <v>1.6680544880006799E-7</v>
      </c>
    </row>
    <row r="17304" spans="1:6" x14ac:dyDescent="0.25">
      <c r="A17304" s="2" t="str">
        <f t="shared" si="625"/>
        <v>31080</v>
      </c>
      <c r="B17304" s="2" t="str">
        <f>"91801"</f>
        <v>91801</v>
      </c>
      <c r="C17304" s="1">
        <v>4.2224328317199099E-3</v>
      </c>
      <c r="D17304" s="1">
        <v>2.8731289316608001E-3</v>
      </c>
      <c r="E17304" s="1">
        <v>1.0518182149046301E-2</v>
      </c>
      <c r="F17304" s="1">
        <v>4.4590432573234197E-3</v>
      </c>
    </row>
    <row r="17305" spans="1:6" x14ac:dyDescent="0.25">
      <c r="A17305" s="2" t="str">
        <f t="shared" si="625"/>
        <v>31080</v>
      </c>
      <c r="B17305" s="2" t="str">
        <f>"91786"</f>
        <v>91786</v>
      </c>
      <c r="C17305" s="1">
        <v>7.96422470263576E-7</v>
      </c>
      <c r="D17305" s="1">
        <v>0</v>
      </c>
      <c r="E17305" s="1">
        <v>0</v>
      </c>
      <c r="F17305" s="1">
        <v>6.6722179520027301E-7</v>
      </c>
    </row>
    <row r="17306" spans="1:6" x14ac:dyDescent="0.25">
      <c r="A17306" s="2" t="str">
        <f t="shared" si="625"/>
        <v>31080</v>
      </c>
      <c r="B17306" s="2" t="str">
        <f>"91789"</f>
        <v>91789</v>
      </c>
      <c r="C17306" s="1">
        <v>2.6715991764991601E-3</v>
      </c>
      <c r="D17306" s="1">
        <v>3.69866597763574E-3</v>
      </c>
      <c r="E17306" s="1">
        <v>1.0498584790770199E-3</v>
      </c>
      <c r="F17306" s="1">
        <v>2.6803967567682902E-3</v>
      </c>
    </row>
    <row r="17307" spans="1:6" x14ac:dyDescent="0.25">
      <c r="A17307" s="2" t="str">
        <f t="shared" si="625"/>
        <v>31080</v>
      </c>
      <c r="B17307" s="2" t="str">
        <f>"91745"</f>
        <v>91745</v>
      </c>
      <c r="C17307" s="1">
        <v>3.3967418356741501E-3</v>
      </c>
      <c r="D17307" s="1">
        <v>2.5692402946582201E-3</v>
      </c>
      <c r="E17307" s="1">
        <v>1.52299470031439E-3</v>
      </c>
      <c r="F17307" s="1">
        <v>3.20016253522931E-3</v>
      </c>
    </row>
    <row r="17308" spans="1:6" x14ac:dyDescent="0.25">
      <c r="A17308" s="2" t="str">
        <f t="shared" si="625"/>
        <v>31080</v>
      </c>
      <c r="B17308" s="2" t="str">
        <f>"91734"</f>
        <v>91734</v>
      </c>
      <c r="C17308" s="1">
        <v>2.7237648483014203E-4</v>
      </c>
      <c r="D17308" s="1">
        <v>4.2089388761320601E-4</v>
      </c>
      <c r="E17308" s="1">
        <v>5.5992452217441E-6</v>
      </c>
      <c r="F17308" s="1">
        <v>2.7172607609531101E-4</v>
      </c>
    </row>
    <row r="17309" spans="1:6" x14ac:dyDescent="0.25">
      <c r="A17309" s="2" t="str">
        <f t="shared" si="625"/>
        <v>31080</v>
      </c>
      <c r="B17309" s="2" t="str">
        <f>"91748"</f>
        <v>91748</v>
      </c>
      <c r="C17309" s="1">
        <v>2.8884251940284201E-3</v>
      </c>
      <c r="D17309" s="1">
        <v>4.6932106078260202E-3</v>
      </c>
      <c r="E17309" s="1">
        <v>2.57565280200229E-3</v>
      </c>
      <c r="F17309" s="1">
        <v>3.0550417947732499E-3</v>
      </c>
    </row>
    <row r="17310" spans="1:6" x14ac:dyDescent="0.25">
      <c r="A17310" s="2" t="str">
        <f t="shared" si="625"/>
        <v>31080</v>
      </c>
      <c r="B17310" s="2" t="str">
        <f>"91404"</f>
        <v>91404</v>
      </c>
      <c r="C17310" s="1">
        <v>2.6082835901132101E-5</v>
      </c>
      <c r="D17310" s="1">
        <v>4.87521877544254E-5</v>
      </c>
      <c r="E17310" s="1">
        <v>8.3988678326161601E-6</v>
      </c>
      <c r="F17310" s="1">
        <v>2.7356093603211201E-5</v>
      </c>
    </row>
    <row r="17311" spans="1:6" x14ac:dyDescent="0.25">
      <c r="A17311" s="2" t="str">
        <f t="shared" si="625"/>
        <v>31080</v>
      </c>
      <c r="B17311" s="2" t="str">
        <f>"91393"</f>
        <v>91393</v>
      </c>
      <c r="C17311" s="1">
        <v>9.83581750775516E-5</v>
      </c>
      <c r="D17311" s="1">
        <v>1.5275685496386599E-4</v>
      </c>
      <c r="E17311" s="1">
        <v>5.5992452217441E-6</v>
      </c>
      <c r="F17311" s="1">
        <v>9.84152147920403E-5</v>
      </c>
    </row>
    <row r="17312" spans="1:6" x14ac:dyDescent="0.25">
      <c r="A17312" s="2" t="str">
        <f t="shared" si="625"/>
        <v>31080</v>
      </c>
      <c r="B17312" s="2" t="str">
        <f>"91396"</f>
        <v>91396</v>
      </c>
      <c r="C17312" s="1">
        <v>2.2777682649538199E-4</v>
      </c>
      <c r="D17312" s="1">
        <v>3.3476502258038802E-4</v>
      </c>
      <c r="E17312" s="1">
        <v>2.79962261087205E-6</v>
      </c>
      <c r="F17312" s="1">
        <v>2.2535416132889199E-4</v>
      </c>
    </row>
    <row r="17313" spans="1:6" x14ac:dyDescent="0.25">
      <c r="A17313" s="2" t="str">
        <f t="shared" si="625"/>
        <v>31080</v>
      </c>
      <c r="B17313" s="2" t="str">
        <f>"91609"</f>
        <v>91609</v>
      </c>
      <c r="C17313" s="1">
        <v>1.62669289551335E-4</v>
      </c>
      <c r="D17313" s="1">
        <v>2.32385428296094E-4</v>
      </c>
      <c r="E17313" s="1">
        <v>5.5992452217441E-6</v>
      </c>
      <c r="F17313" s="1">
        <v>1.6046684174566501E-4</v>
      </c>
    </row>
    <row r="17314" spans="1:6" x14ac:dyDescent="0.25">
      <c r="A17314" s="2" t="str">
        <f t="shared" si="625"/>
        <v>31080</v>
      </c>
      <c r="B17314" s="2" t="str">
        <f>"91615"</f>
        <v>91615</v>
      </c>
      <c r="C17314" s="1">
        <v>2.1403853888333601E-4</v>
      </c>
      <c r="D17314" s="1">
        <v>4.76146367068222E-4</v>
      </c>
      <c r="E17314" s="1">
        <v>5.5992452217441E-6</v>
      </c>
      <c r="F17314" s="1">
        <v>2.28523464856093E-4</v>
      </c>
    </row>
    <row r="17315" spans="1:6" x14ac:dyDescent="0.25">
      <c r="A17315" s="2" t="str">
        <f t="shared" si="625"/>
        <v>31080</v>
      </c>
      <c r="B17315" s="2" t="str">
        <f>"91503"</f>
        <v>91503</v>
      </c>
      <c r="C17315" s="1">
        <v>1.18866053686838E-4</v>
      </c>
      <c r="D17315" s="1">
        <v>4.8752187754425399E-4</v>
      </c>
      <c r="E17315" s="1">
        <v>5.5992452217441E-6</v>
      </c>
      <c r="F17315" s="1">
        <v>1.4995809847126099E-4</v>
      </c>
    </row>
    <row r="17316" spans="1:6" x14ac:dyDescent="0.25">
      <c r="A17316" s="2" t="str">
        <f t="shared" si="625"/>
        <v>31080</v>
      </c>
      <c r="B17316" s="2" t="str">
        <f>"91505"</f>
        <v>91505</v>
      </c>
      <c r="C17316" s="1">
        <v>2.8651298367732099E-3</v>
      </c>
      <c r="D17316" s="1">
        <v>3.6011616021268899E-3</v>
      </c>
      <c r="E17316" s="1">
        <v>2.7324316682111201E-3</v>
      </c>
      <c r="F17316" s="1">
        <v>2.9327734008027999E-3</v>
      </c>
    </row>
    <row r="17317" spans="1:6" x14ac:dyDescent="0.25">
      <c r="A17317" s="2" t="str">
        <f t="shared" si="625"/>
        <v>31080</v>
      </c>
      <c r="B17317" s="2" t="str">
        <f>"91371"</f>
        <v>91371</v>
      </c>
      <c r="C17317" s="1">
        <v>0</v>
      </c>
      <c r="D17317" s="1">
        <v>0</v>
      </c>
      <c r="E17317" s="1">
        <v>5.5992452217441E-6</v>
      </c>
      <c r="F17317" s="1">
        <v>3.3361089760013598E-7</v>
      </c>
    </row>
    <row r="17318" spans="1:6" x14ac:dyDescent="0.25">
      <c r="A17318" s="2" t="str">
        <f t="shared" ref="A17318:A17381" si="626">"31080"</f>
        <v>31080</v>
      </c>
      <c r="B17318" s="2" t="str">
        <f>"91496"</f>
        <v>91496</v>
      </c>
      <c r="C17318" s="1">
        <v>0</v>
      </c>
      <c r="D17318" s="1">
        <v>0</v>
      </c>
      <c r="E17318" s="1">
        <v>8.3988678326161601E-6</v>
      </c>
      <c r="F17318" s="1">
        <v>5.0041634640020402E-7</v>
      </c>
    </row>
    <row r="17319" spans="1:6" x14ac:dyDescent="0.25">
      <c r="A17319" s="2" t="str">
        <f t="shared" si="626"/>
        <v>31080</v>
      </c>
      <c r="B17319" s="2" t="str">
        <f>"91436"</f>
        <v>91436</v>
      </c>
      <c r="C17319" s="1">
        <v>1.19901402898181E-3</v>
      </c>
      <c r="D17319" s="1">
        <v>3.4565301117887599E-3</v>
      </c>
      <c r="E17319" s="1">
        <v>6.5231206833318801E-4</v>
      </c>
      <c r="F17319" s="1">
        <v>1.3981632718421701E-3</v>
      </c>
    </row>
    <row r="17320" spans="1:6" x14ac:dyDescent="0.25">
      <c r="A17320" s="2" t="str">
        <f t="shared" si="626"/>
        <v>31080</v>
      </c>
      <c r="B17320" s="2" t="str">
        <f>"91423"</f>
        <v>91423</v>
      </c>
      <c r="C17320" s="1">
        <v>3.1486562361870401E-3</v>
      </c>
      <c r="D17320" s="1">
        <v>2.3433551580627101E-3</v>
      </c>
      <c r="E17320" s="1">
        <v>4.33101617901906E-3</v>
      </c>
      <c r="F17320" s="1">
        <v>3.13644285378768E-3</v>
      </c>
    </row>
    <row r="17321" spans="1:6" x14ac:dyDescent="0.25">
      <c r="A17321" s="2" t="str">
        <f t="shared" si="626"/>
        <v>31080</v>
      </c>
      <c r="B17321" s="2" t="str">
        <f>"91411"</f>
        <v>91411</v>
      </c>
      <c r="C17321" s="1">
        <v>1.9370985532985801E-3</v>
      </c>
      <c r="D17321" s="1">
        <v>2.56436507588278E-3</v>
      </c>
      <c r="E17321" s="1">
        <v>2.9536018544700101E-3</v>
      </c>
      <c r="F17321" s="1">
        <v>2.0620489580664399E-3</v>
      </c>
    </row>
    <row r="17322" spans="1:6" x14ac:dyDescent="0.25">
      <c r="A17322" s="2" t="str">
        <f t="shared" si="626"/>
        <v>31080</v>
      </c>
      <c r="B17322" s="2" t="str">
        <f>"91322"</f>
        <v>91322</v>
      </c>
      <c r="C17322" s="1">
        <v>1.8317716816062201E-4</v>
      </c>
      <c r="D17322" s="1">
        <v>5.1839826312205701E-4</v>
      </c>
      <c r="E17322" s="1">
        <v>0</v>
      </c>
      <c r="F17322" s="1">
        <v>2.06671951063284E-4</v>
      </c>
    </row>
    <row r="17323" spans="1:6" x14ac:dyDescent="0.25">
      <c r="A17323" s="2" t="str">
        <f t="shared" si="626"/>
        <v>31080</v>
      </c>
      <c r="B17323" s="2" t="str">
        <f>"91356"</f>
        <v>91356</v>
      </c>
      <c r="C17323" s="1">
        <v>2.4621400668198398E-3</v>
      </c>
      <c r="D17323" s="1">
        <v>3.0827633390048299E-3</v>
      </c>
      <c r="E17323" s="1">
        <v>1.90934262061474E-3</v>
      </c>
      <c r="F17323" s="1">
        <v>2.4929074323170198E-3</v>
      </c>
    </row>
    <row r="17324" spans="1:6" x14ac:dyDescent="0.25">
      <c r="A17324" s="2" t="str">
        <f t="shared" si="626"/>
        <v>31080</v>
      </c>
      <c r="B17324" s="2" t="str">
        <f>"91305"</f>
        <v>91305</v>
      </c>
      <c r="C17324" s="1">
        <v>8.4022570612807198E-5</v>
      </c>
      <c r="D17324" s="1">
        <v>8.7753937957965798E-5</v>
      </c>
      <c r="E17324" s="1">
        <v>2.79962261087205E-6</v>
      </c>
      <c r="F17324" s="1">
        <v>7.9566199077632502E-5</v>
      </c>
    </row>
    <row r="17325" spans="1:6" x14ac:dyDescent="0.25">
      <c r="A17325" s="2" t="str">
        <f t="shared" si="626"/>
        <v>31080</v>
      </c>
      <c r="B17325" s="2" t="str">
        <f>"91331"</f>
        <v>91331</v>
      </c>
      <c r="C17325" s="1">
        <v>4.2132739733118799E-3</v>
      </c>
      <c r="D17325" s="1">
        <v>3.4305289449863999E-3</v>
      </c>
      <c r="E17325" s="1">
        <v>2.1333124294845001E-3</v>
      </c>
      <c r="F17325" s="1">
        <v>4.0090021564608402E-3</v>
      </c>
    </row>
    <row r="17326" spans="1:6" x14ac:dyDescent="0.25">
      <c r="A17326" s="2" t="str">
        <f t="shared" si="626"/>
        <v>31080</v>
      </c>
      <c r="B17326" s="2" t="str">
        <f>"91326"</f>
        <v>91326</v>
      </c>
      <c r="C17326" s="1">
        <v>2.7225702145960299E-3</v>
      </c>
      <c r="D17326" s="1">
        <v>4.3064432516409101E-4</v>
      </c>
      <c r="E17326" s="1">
        <v>8.25888670207256E-4</v>
      </c>
      <c r="F17326" s="1">
        <v>2.3743087582201701E-3</v>
      </c>
    </row>
    <row r="17327" spans="1:6" x14ac:dyDescent="0.25">
      <c r="A17327" s="2" t="str">
        <f t="shared" si="626"/>
        <v>31080</v>
      </c>
      <c r="B17327" s="2" t="str">
        <f>"91209"</f>
        <v>91209</v>
      </c>
      <c r="C17327" s="1">
        <v>3.2255110045674798E-4</v>
      </c>
      <c r="D17327" s="1">
        <v>6.6790497223562901E-4</v>
      </c>
      <c r="E17327" s="1">
        <v>5.5992452217441E-6</v>
      </c>
      <c r="F17327" s="1">
        <v>3.3911547741053799E-4</v>
      </c>
    </row>
    <row r="17328" spans="1:6" x14ac:dyDescent="0.25">
      <c r="A17328" s="2" t="str">
        <f t="shared" si="626"/>
        <v>31080</v>
      </c>
      <c r="B17328" s="2" t="str">
        <f>"91008"</f>
        <v>91008</v>
      </c>
      <c r="C17328" s="1">
        <v>8.8004682964125093E-5</v>
      </c>
      <c r="D17328" s="1">
        <v>3.2501458502950302E-6</v>
      </c>
      <c r="E17328" s="1">
        <v>8.3988678326161601E-6</v>
      </c>
      <c r="F17328" s="1">
        <v>7.4562035613630502E-5</v>
      </c>
    </row>
    <row r="17329" spans="1:6" x14ac:dyDescent="0.25">
      <c r="A17329" s="2" t="str">
        <f t="shared" si="626"/>
        <v>31080</v>
      </c>
      <c r="B17329" s="2" t="str">
        <f>"90840"</f>
        <v>90840</v>
      </c>
      <c r="C17329" s="1">
        <v>0</v>
      </c>
      <c r="D17329" s="1">
        <v>3.2501458502950302E-6</v>
      </c>
      <c r="E17329" s="1">
        <v>3.5835169419162202E-4</v>
      </c>
      <c r="F17329" s="1">
        <v>2.1684708344008799E-5</v>
      </c>
    </row>
    <row r="17330" spans="1:6" x14ac:dyDescent="0.25">
      <c r="A17330" s="2" t="str">
        <f t="shared" si="626"/>
        <v>31080</v>
      </c>
      <c r="B17330" s="2" t="str">
        <f>"91205"</f>
        <v>91205</v>
      </c>
      <c r="C17330" s="1">
        <v>3.0295910768826399E-3</v>
      </c>
      <c r="D17330" s="1">
        <v>2.19059830309885E-3</v>
      </c>
      <c r="E17330" s="1">
        <v>6.2235610639685699E-3</v>
      </c>
      <c r="F17330" s="1">
        <v>3.1337739666068799E-3</v>
      </c>
    </row>
    <row r="17331" spans="1:6" x14ac:dyDescent="0.25">
      <c r="A17331" s="2" t="str">
        <f t="shared" si="626"/>
        <v>31080</v>
      </c>
      <c r="B17331" s="2" t="str">
        <f>"91103"</f>
        <v>91103</v>
      </c>
      <c r="C17331" s="1">
        <v>1.8570580950370899E-3</v>
      </c>
      <c r="D17331" s="1">
        <v>1.57469566446794E-3</v>
      </c>
      <c r="E17331" s="1">
        <v>2.1641082782040901E-3</v>
      </c>
      <c r="F17331" s="1">
        <v>1.8463695127679499E-3</v>
      </c>
    </row>
    <row r="17332" spans="1:6" x14ac:dyDescent="0.25">
      <c r="A17332" s="2" t="str">
        <f t="shared" si="626"/>
        <v>31080</v>
      </c>
      <c r="B17332" s="2" t="str">
        <f>"91129"</f>
        <v>91129</v>
      </c>
      <c r="C17332" s="1">
        <v>0</v>
      </c>
      <c r="D17332" s="1">
        <v>0</v>
      </c>
      <c r="E17332" s="1">
        <v>2.79962261087205E-6</v>
      </c>
      <c r="F17332" s="1">
        <v>1.6680544880006799E-7</v>
      </c>
    </row>
    <row r="17333" spans="1:6" x14ac:dyDescent="0.25">
      <c r="A17333" s="2" t="str">
        <f t="shared" si="626"/>
        <v>31080</v>
      </c>
      <c r="B17333" s="2" t="str">
        <f>"91126"</f>
        <v>91126</v>
      </c>
      <c r="C17333" s="1">
        <v>0</v>
      </c>
      <c r="D17333" s="1">
        <v>3.2501458502950302E-6</v>
      </c>
      <c r="E17333" s="1">
        <v>0</v>
      </c>
      <c r="F17333" s="1">
        <v>3.3361089760013598E-7</v>
      </c>
    </row>
    <row r="17334" spans="1:6" x14ac:dyDescent="0.25">
      <c r="A17334" s="2" t="str">
        <f t="shared" si="626"/>
        <v>31080</v>
      </c>
      <c r="B17334" s="2" t="str">
        <f>"90808"</f>
        <v>90808</v>
      </c>
      <c r="C17334" s="1">
        <v>3.0166492117408598E-3</v>
      </c>
      <c r="D17334" s="1">
        <v>1.6478239460995801E-3</v>
      </c>
      <c r="E17334" s="1">
        <v>6.4111357788969997E-4</v>
      </c>
      <c r="F17334" s="1">
        <v>2.7346085276283199E-3</v>
      </c>
    </row>
    <row r="17335" spans="1:6" x14ac:dyDescent="0.25">
      <c r="A17335" s="2" t="str">
        <f t="shared" si="626"/>
        <v>31080</v>
      </c>
      <c r="B17335" s="2" t="str">
        <f>"91025"</f>
        <v>91025</v>
      </c>
      <c r="C17335" s="1">
        <v>1.7461562660528901E-4</v>
      </c>
      <c r="D17335" s="1">
        <v>4.1439359591261601E-4</v>
      </c>
      <c r="E17335" s="1">
        <v>5.5992452217441E-6</v>
      </c>
      <c r="F17335" s="1">
        <v>1.89157378939277E-4</v>
      </c>
    </row>
    <row r="17336" spans="1:6" x14ac:dyDescent="0.25">
      <c r="A17336" s="2" t="str">
        <f t="shared" si="626"/>
        <v>31080</v>
      </c>
      <c r="B17336" s="2" t="str">
        <f>"91042"</f>
        <v>91042</v>
      </c>
      <c r="C17336" s="1">
        <v>2.09797589229182E-3</v>
      </c>
      <c r="D17336" s="1">
        <v>8.9704025468142796E-4</v>
      </c>
      <c r="E17336" s="1">
        <v>1.79455809356898E-3</v>
      </c>
      <c r="F17336" s="1">
        <v>1.9566279144248E-3</v>
      </c>
    </row>
    <row r="17337" spans="1:6" x14ac:dyDescent="0.25">
      <c r="A17337" s="2" t="str">
        <f t="shared" si="626"/>
        <v>31080</v>
      </c>
      <c r="B17337" s="2" t="str">
        <f>"90707"</f>
        <v>90707</v>
      </c>
      <c r="C17337" s="1">
        <v>3.1876809372299598E-4</v>
      </c>
      <c r="D17337" s="1">
        <v>5.3789913822382702E-4</v>
      </c>
      <c r="E17337" s="1">
        <v>8.3988678326161601E-6</v>
      </c>
      <c r="F17337" s="1">
        <v>3.22768543428132E-4</v>
      </c>
    </row>
    <row r="17338" spans="1:6" x14ac:dyDescent="0.25">
      <c r="A17338" s="2" t="str">
        <f t="shared" si="626"/>
        <v>31080</v>
      </c>
      <c r="B17338" s="2" t="str">
        <f>"90740"</f>
        <v>90740</v>
      </c>
      <c r="C17338" s="1">
        <v>3.2061977596635899E-3</v>
      </c>
      <c r="D17338" s="1">
        <v>2.0394665210601301E-3</v>
      </c>
      <c r="E17338" s="1">
        <v>4.7649576837042297E-3</v>
      </c>
      <c r="F17338" s="1">
        <v>3.1793118541293E-3</v>
      </c>
    </row>
    <row r="17339" spans="1:6" x14ac:dyDescent="0.25">
      <c r="A17339" s="2" t="str">
        <f t="shared" si="626"/>
        <v>31080</v>
      </c>
      <c r="B17339" s="2" t="str">
        <f>"90746"</f>
        <v>90746</v>
      </c>
      <c r="C17339" s="1">
        <v>1.66412475161574E-3</v>
      </c>
      <c r="D17339" s="1">
        <v>2.0183405730332098E-3</v>
      </c>
      <c r="E17339" s="1">
        <v>5.5712489956353801E-4</v>
      </c>
      <c r="F17339" s="1">
        <v>1.6345265927918599E-3</v>
      </c>
    </row>
    <row r="17340" spans="1:6" x14ac:dyDescent="0.25">
      <c r="A17340" s="2" t="str">
        <f t="shared" si="626"/>
        <v>31080</v>
      </c>
      <c r="B17340" s="2" t="str">
        <f>"90632"</f>
        <v>90632</v>
      </c>
      <c r="C17340" s="1">
        <v>2.09060898444188E-4</v>
      </c>
      <c r="D17340" s="1">
        <v>3.3801516843068302E-4</v>
      </c>
      <c r="E17340" s="1">
        <v>8.3988678326161601E-6</v>
      </c>
      <c r="F17340" s="1">
        <v>2.10341670936886E-4</v>
      </c>
    </row>
    <row r="17341" spans="1:6" x14ac:dyDescent="0.25">
      <c r="A17341" s="2" t="str">
        <f t="shared" si="626"/>
        <v>31080</v>
      </c>
      <c r="B17341" s="2" t="str">
        <f>"90310"</f>
        <v>90310</v>
      </c>
      <c r="C17341" s="1">
        <v>9.0593055992481706E-5</v>
      </c>
      <c r="D17341" s="1">
        <v>6.0127698230457998E-5</v>
      </c>
      <c r="E17341" s="1">
        <v>5.5992452217441E-6</v>
      </c>
      <c r="F17341" s="1">
        <v>8.24018917072337E-5</v>
      </c>
    </row>
    <row r="17342" spans="1:6" x14ac:dyDescent="0.25">
      <c r="A17342" s="2" t="str">
        <f t="shared" si="626"/>
        <v>31080</v>
      </c>
      <c r="B17342" s="2" t="str">
        <f>"90508"</f>
        <v>90508</v>
      </c>
      <c r="C17342" s="1">
        <v>7.7252979615566805E-5</v>
      </c>
      <c r="D17342" s="1">
        <v>1.75507875915931E-4</v>
      </c>
      <c r="E17342" s="1">
        <v>8.3988678326161601E-6</v>
      </c>
      <c r="F17342" s="1">
        <v>8.3235918951233995E-5</v>
      </c>
    </row>
    <row r="17343" spans="1:6" x14ac:dyDescent="0.25">
      <c r="A17343" s="2" t="str">
        <f t="shared" si="626"/>
        <v>31080</v>
      </c>
      <c r="B17343" s="2" t="str">
        <f>"90501"</f>
        <v>90501</v>
      </c>
      <c r="C17343" s="1">
        <v>3.1124190137900502E-3</v>
      </c>
      <c r="D17343" s="1">
        <v>4.4153231376258002E-3</v>
      </c>
      <c r="E17343" s="1">
        <v>5.4508652233678902E-3</v>
      </c>
      <c r="F17343" s="1">
        <v>3.38548338884618E-3</v>
      </c>
    </row>
    <row r="17344" spans="1:6" x14ac:dyDescent="0.25">
      <c r="A17344" s="2" t="str">
        <f t="shared" si="626"/>
        <v>31080</v>
      </c>
      <c r="B17344" s="2" t="str">
        <f>"90503"</f>
        <v>90503</v>
      </c>
      <c r="C17344" s="1">
        <v>3.6816619744109401E-3</v>
      </c>
      <c r="D17344" s="1">
        <v>3.9976793958628803E-3</v>
      </c>
      <c r="E17344" s="1">
        <v>2.5448569532826901E-3</v>
      </c>
      <c r="F17344" s="1">
        <v>3.6463671107694901E-3</v>
      </c>
    </row>
    <row r="17345" spans="1:6" x14ac:dyDescent="0.25">
      <c r="A17345" s="2" t="str">
        <f t="shared" si="626"/>
        <v>31080</v>
      </c>
      <c r="B17345" s="2" t="str">
        <f>"90291"</f>
        <v>90291</v>
      </c>
      <c r="C17345" s="1">
        <v>3.2020165416947002E-3</v>
      </c>
      <c r="D17345" s="1">
        <v>2.2588513659550398E-3</v>
      </c>
      <c r="E17345" s="1">
        <v>6.3047501196838596E-3</v>
      </c>
      <c r="F17345" s="1">
        <v>3.2900706721325401E-3</v>
      </c>
    </row>
    <row r="17346" spans="1:6" x14ac:dyDescent="0.25">
      <c r="A17346" s="2" t="str">
        <f t="shared" si="626"/>
        <v>31080</v>
      </c>
      <c r="B17346" s="2" t="str">
        <f>"90290"</f>
        <v>90290</v>
      </c>
      <c r="C17346" s="1">
        <v>6.1702830883670495E-4</v>
      </c>
      <c r="D17346" s="1">
        <v>5.4277435699926998E-4</v>
      </c>
      <c r="E17346" s="1">
        <v>1.28782640100114E-4</v>
      </c>
      <c r="F17346" s="1">
        <v>5.80316156375437E-4</v>
      </c>
    </row>
    <row r="17347" spans="1:6" x14ac:dyDescent="0.25">
      <c r="A17347" s="2" t="str">
        <f t="shared" si="626"/>
        <v>31080</v>
      </c>
      <c r="B17347" s="2" t="str">
        <f>"90230"</f>
        <v>90230</v>
      </c>
      <c r="C17347" s="1">
        <v>2.6264022013116999E-3</v>
      </c>
      <c r="D17347" s="1">
        <v>2.8373773273075598E-3</v>
      </c>
      <c r="E17347" s="1">
        <v>2.03252601549311E-3</v>
      </c>
      <c r="F17347" s="1">
        <v>2.61267374455547E-3</v>
      </c>
    </row>
    <row r="17348" spans="1:6" x14ac:dyDescent="0.25">
      <c r="A17348" s="2" t="str">
        <f t="shared" si="626"/>
        <v>31080</v>
      </c>
      <c r="B17348" s="2" t="str">
        <f>"90261"</f>
        <v>90261</v>
      </c>
      <c r="C17348" s="1">
        <v>0</v>
      </c>
      <c r="D17348" s="1">
        <v>1.62507292514751E-6</v>
      </c>
      <c r="E17348" s="1">
        <v>5.5992452217441E-6</v>
      </c>
      <c r="F17348" s="1">
        <v>5.0041634640020402E-7</v>
      </c>
    </row>
    <row r="17349" spans="1:6" x14ac:dyDescent="0.25">
      <c r="A17349" s="2" t="str">
        <f t="shared" si="626"/>
        <v>31080</v>
      </c>
      <c r="B17349" s="2" t="str">
        <f>"90202"</f>
        <v>90202</v>
      </c>
      <c r="C17349" s="1">
        <v>2.3653747366828199E-4</v>
      </c>
      <c r="D17349" s="1">
        <v>1.34881052787243E-4</v>
      </c>
      <c r="E17349" s="1">
        <v>5.5992452217441E-6</v>
      </c>
      <c r="F17349" s="1">
        <v>2.1234333632248601E-4</v>
      </c>
    </row>
    <row r="17350" spans="1:6" x14ac:dyDescent="0.25">
      <c r="A17350" s="2" t="str">
        <f t="shared" si="626"/>
        <v>31080</v>
      </c>
      <c r="B17350" s="2" t="str">
        <f>"90210"</f>
        <v>90210</v>
      </c>
      <c r="C17350" s="1">
        <v>1.97970715545768E-3</v>
      </c>
      <c r="D17350" s="1">
        <v>3.3687761738308E-3</v>
      </c>
      <c r="E17350" s="1">
        <v>1.5201950777035201E-3</v>
      </c>
      <c r="F17350" s="1">
        <v>2.0949096314800499E-3</v>
      </c>
    </row>
    <row r="17351" spans="1:6" x14ac:dyDescent="0.25">
      <c r="A17351" s="2" t="str">
        <f t="shared" si="626"/>
        <v>31080</v>
      </c>
      <c r="B17351" s="2" t="str">
        <f>"90089"</f>
        <v>90089</v>
      </c>
      <c r="C17351" s="1">
        <v>1.99105617565894E-7</v>
      </c>
      <c r="D17351" s="1">
        <v>9.4741751536100104E-4</v>
      </c>
      <c r="E17351" s="1">
        <v>3.4995282635900602E-4</v>
      </c>
      <c r="F17351" s="1">
        <v>1.1826506319924801E-4</v>
      </c>
    </row>
    <row r="17352" spans="1:6" x14ac:dyDescent="0.25">
      <c r="A17352" s="2" t="str">
        <f t="shared" si="626"/>
        <v>31080</v>
      </c>
      <c r="B17352" s="2" t="str">
        <f>"90069"</f>
        <v>90069</v>
      </c>
      <c r="C17352" s="1">
        <v>3.3437797414016201E-3</v>
      </c>
      <c r="D17352" s="1">
        <v>4.43644908565271E-3</v>
      </c>
      <c r="E17352" s="1">
        <v>4.21343202936244E-3</v>
      </c>
      <c r="F17352" s="1">
        <v>3.50775178281663E-3</v>
      </c>
    </row>
    <row r="17353" spans="1:6" x14ac:dyDescent="0.25">
      <c r="A17353" s="2" t="str">
        <f t="shared" si="626"/>
        <v>31080</v>
      </c>
      <c r="B17353" s="2" t="str">
        <f>"90054"</f>
        <v>90054</v>
      </c>
      <c r="C17353" s="1">
        <v>1.28821334565133E-4</v>
      </c>
      <c r="D17353" s="1">
        <v>4.71271148292779E-5</v>
      </c>
      <c r="E17353" s="1">
        <v>5.5992452217441E-6</v>
      </c>
      <c r="F17353" s="1">
        <v>1.13094094286446E-4</v>
      </c>
    </row>
    <row r="17354" spans="1:6" x14ac:dyDescent="0.25">
      <c r="A17354" s="2" t="str">
        <f t="shared" si="626"/>
        <v>31080</v>
      </c>
      <c r="B17354" s="2" t="str">
        <f>"90052"</f>
        <v>90052</v>
      </c>
      <c r="C17354" s="1">
        <v>0</v>
      </c>
      <c r="D17354" s="1">
        <v>1.3975627156268599E-4</v>
      </c>
      <c r="E17354" s="1">
        <v>5.5992452217441E-6</v>
      </c>
      <c r="F17354" s="1">
        <v>1.4678879494406E-5</v>
      </c>
    </row>
    <row r="17355" spans="1:6" x14ac:dyDescent="0.25">
      <c r="A17355" s="2" t="str">
        <f t="shared" si="626"/>
        <v>31080</v>
      </c>
      <c r="B17355" s="2" t="str">
        <f>"90065"</f>
        <v>90065</v>
      </c>
      <c r="C17355" s="1">
        <v>3.2352671798282101E-3</v>
      </c>
      <c r="D17355" s="1">
        <v>2.1060945109911801E-3</v>
      </c>
      <c r="E17355" s="1">
        <v>2.0213275250496199E-3</v>
      </c>
      <c r="F17355" s="1">
        <v>3.04703513323084E-3</v>
      </c>
    </row>
    <row r="17356" spans="1:6" x14ac:dyDescent="0.25">
      <c r="A17356" s="2" t="str">
        <f t="shared" si="626"/>
        <v>31080</v>
      </c>
      <c r="B17356" s="2" t="str">
        <f>"90031"</f>
        <v>90031</v>
      </c>
      <c r="C17356" s="1">
        <v>2.4874264802507099E-3</v>
      </c>
      <c r="D17356" s="1">
        <v>1.6722000399767901E-3</v>
      </c>
      <c r="E17356" s="1">
        <v>2.2592954469737398E-3</v>
      </c>
      <c r="F17356" s="1">
        <v>2.3901552758561701E-3</v>
      </c>
    </row>
    <row r="17357" spans="1:6" x14ac:dyDescent="0.25">
      <c r="A17357" s="2" t="str">
        <f t="shared" si="626"/>
        <v>31080</v>
      </c>
      <c r="B17357" s="2" t="str">
        <f>"90028"</f>
        <v>90028</v>
      </c>
      <c r="C17357" s="1">
        <v>4.2740011866694797E-3</v>
      </c>
      <c r="D17357" s="1">
        <v>6.84480716072133E-3</v>
      </c>
      <c r="E17357" s="1">
        <v>5.1401071135610899E-3</v>
      </c>
      <c r="F17357" s="1">
        <v>4.58948511828507E-3</v>
      </c>
    </row>
    <row r="17358" spans="1:6" x14ac:dyDescent="0.25">
      <c r="A17358" s="2" t="str">
        <f t="shared" si="626"/>
        <v>31080</v>
      </c>
      <c r="B17358" s="2" t="str">
        <f>"90006"</f>
        <v>90006</v>
      </c>
      <c r="C17358" s="1">
        <v>4.3580237572822802E-3</v>
      </c>
      <c r="D17358" s="1">
        <v>3.9846788124616997E-3</v>
      </c>
      <c r="E17358" s="1">
        <v>6.2123625735250798E-3</v>
      </c>
      <c r="F17358" s="1">
        <v>4.4301859146810103E-3</v>
      </c>
    </row>
    <row r="17359" spans="1:6" x14ac:dyDescent="0.25">
      <c r="A17359" s="2" t="str">
        <f t="shared" si="626"/>
        <v>31080</v>
      </c>
      <c r="B17359" s="2" t="str">
        <f>"90005"</f>
        <v>90005</v>
      </c>
      <c r="C17359" s="1">
        <v>3.7977405494518598E-3</v>
      </c>
      <c r="D17359" s="1">
        <v>2.1255953860929498E-3</v>
      </c>
      <c r="E17359" s="1">
        <v>3.8830765612795299E-3</v>
      </c>
      <c r="F17359" s="1">
        <v>3.6311878149286798E-3</v>
      </c>
    </row>
    <row r="17360" spans="1:6" x14ac:dyDescent="0.25">
      <c r="A17360" s="2" t="str">
        <f t="shared" si="626"/>
        <v>31080</v>
      </c>
      <c r="B17360" s="2" t="str">
        <f>"90019"</f>
        <v>90019</v>
      </c>
      <c r="C17360" s="1">
        <v>5.3672901327238001E-3</v>
      </c>
      <c r="D17360" s="1">
        <v>2.9023802443134601E-3</v>
      </c>
      <c r="E17360" s="1">
        <v>6.36634181712305E-3</v>
      </c>
      <c r="F17360" s="1">
        <v>5.1738046054317097E-3</v>
      </c>
    </row>
    <row r="17361" spans="1:6" x14ac:dyDescent="0.25">
      <c r="A17361" s="2" t="str">
        <f t="shared" si="626"/>
        <v>31080</v>
      </c>
      <c r="B17361" s="2" t="str">
        <f>"90020"</f>
        <v>90020</v>
      </c>
      <c r="C17361" s="1">
        <v>3.7513489405589999E-3</v>
      </c>
      <c r="D17361" s="1">
        <v>2.6114921907120499E-3</v>
      </c>
      <c r="E17361" s="1">
        <v>3.9334697682752301E-3</v>
      </c>
      <c r="F17361" s="1">
        <v>3.64519947262789E-3</v>
      </c>
    </row>
    <row r="17362" spans="1:6" x14ac:dyDescent="0.25">
      <c r="A17362" s="2" t="str">
        <f t="shared" si="626"/>
        <v>31080</v>
      </c>
      <c r="B17362" s="2" t="str">
        <f>"93599"</f>
        <v>93599</v>
      </c>
      <c r="C17362" s="1">
        <v>0</v>
      </c>
      <c r="D17362" s="1">
        <v>0</v>
      </c>
      <c r="E17362" s="1">
        <v>5.5992452217441E-6</v>
      </c>
      <c r="F17362" s="1">
        <v>3.3361089760013598E-7</v>
      </c>
    </row>
    <row r="17363" spans="1:6" x14ac:dyDescent="0.25">
      <c r="A17363" s="2" t="str">
        <f t="shared" si="626"/>
        <v>31080</v>
      </c>
      <c r="B17363" s="2" t="str">
        <f>"93590"</f>
        <v>93590</v>
      </c>
      <c r="C17363" s="1">
        <v>3.8367652504947699E-4</v>
      </c>
      <c r="D17363" s="1">
        <v>4.0626823128687799E-4</v>
      </c>
      <c r="E17363" s="1">
        <v>2.79962261087205E-6</v>
      </c>
      <c r="F17363" s="1">
        <v>3.6330226748654802E-4</v>
      </c>
    </row>
    <row r="17364" spans="1:6" x14ac:dyDescent="0.25">
      <c r="A17364" s="2" t="str">
        <f t="shared" si="626"/>
        <v>31080</v>
      </c>
      <c r="B17364" s="2" t="str">
        <f>"92870"</f>
        <v>92870</v>
      </c>
      <c r="C17364" s="1">
        <v>3.6480131250423002E-3</v>
      </c>
      <c r="D17364" s="1">
        <v>2.6959959828197202E-3</v>
      </c>
      <c r="E17364" s="1">
        <v>2.3768795966303698E-3</v>
      </c>
      <c r="F17364" s="1">
        <v>3.4745574985054202E-3</v>
      </c>
    </row>
    <row r="17365" spans="1:6" x14ac:dyDescent="0.25">
      <c r="A17365" s="2" t="str">
        <f t="shared" si="626"/>
        <v>31080</v>
      </c>
      <c r="B17365" s="2" t="str">
        <f>"92862"</f>
        <v>92862</v>
      </c>
      <c r="C17365" s="1">
        <v>0</v>
      </c>
      <c r="D17365" s="1">
        <v>0</v>
      </c>
      <c r="E17365" s="1">
        <v>2.79962261087205E-6</v>
      </c>
      <c r="F17365" s="1">
        <v>1.6680544880006799E-7</v>
      </c>
    </row>
    <row r="17366" spans="1:6" x14ac:dyDescent="0.25">
      <c r="A17366" s="2" t="str">
        <f t="shared" si="626"/>
        <v>31080</v>
      </c>
      <c r="B17366" s="2" t="str">
        <f>"92863"</f>
        <v>92863</v>
      </c>
      <c r="C17366" s="1">
        <v>3.1498508698924398E-4</v>
      </c>
      <c r="D17366" s="1">
        <v>1.14730148515414E-3</v>
      </c>
      <c r="E17366" s="1">
        <v>8.3988678326161601E-6</v>
      </c>
      <c r="F17366" s="1">
        <v>3.8215128320095602E-4</v>
      </c>
    </row>
    <row r="17367" spans="1:6" x14ac:dyDescent="0.25">
      <c r="A17367" s="2" t="str">
        <f t="shared" si="626"/>
        <v>31080</v>
      </c>
      <c r="B17367" s="2" t="str">
        <f>"92859"</f>
        <v>92859</v>
      </c>
      <c r="C17367" s="1">
        <v>1.3638734803263699E-4</v>
      </c>
      <c r="D17367" s="1">
        <v>4.04643158361731E-4</v>
      </c>
      <c r="E17367" s="1">
        <v>8.3988678326161601E-6</v>
      </c>
      <c r="F17367" s="1">
        <v>1.5629670552566401E-4</v>
      </c>
    </row>
    <row r="17368" spans="1:6" x14ac:dyDescent="0.25">
      <c r="A17368" s="2" t="str">
        <f t="shared" si="626"/>
        <v>31080</v>
      </c>
      <c r="B17368" s="2" t="str">
        <f>"92846"</f>
        <v>92846</v>
      </c>
      <c r="C17368" s="1">
        <v>1.2284816603815599E-4</v>
      </c>
      <c r="D17368" s="1">
        <v>3.4126531428097803E-4</v>
      </c>
      <c r="E17368" s="1">
        <v>8.3988678326161601E-6</v>
      </c>
      <c r="F17368" s="1">
        <v>1.38448522504056E-4</v>
      </c>
    </row>
    <row r="17369" spans="1:6" x14ac:dyDescent="0.25">
      <c r="A17369" s="2" t="str">
        <f t="shared" si="626"/>
        <v>31080</v>
      </c>
      <c r="B17369" s="2" t="str">
        <f>"92834"</f>
        <v>92834</v>
      </c>
      <c r="C17369" s="1">
        <v>3.0602533419877897E-4</v>
      </c>
      <c r="D17369" s="1">
        <v>6.4677902420871099E-4</v>
      </c>
      <c r="E17369" s="1">
        <v>8.3988678326161601E-6</v>
      </c>
      <c r="F17369" s="1">
        <v>3.2326895977453202E-4</v>
      </c>
    </row>
    <row r="17370" spans="1:6" x14ac:dyDescent="0.25">
      <c r="A17370" s="2" t="str">
        <f t="shared" si="626"/>
        <v>31080</v>
      </c>
      <c r="B17370" s="2" t="str">
        <f>"92698"</f>
        <v>92698</v>
      </c>
      <c r="C17370" s="1">
        <v>0</v>
      </c>
      <c r="D17370" s="1">
        <v>1.62507292514751E-6</v>
      </c>
      <c r="E17370" s="1">
        <v>0</v>
      </c>
      <c r="F17370" s="1">
        <v>1.6680544880006799E-7</v>
      </c>
    </row>
    <row r="17371" spans="1:6" x14ac:dyDescent="0.25">
      <c r="A17371" s="2" t="str">
        <f t="shared" si="626"/>
        <v>31080</v>
      </c>
      <c r="B17371" s="2" t="str">
        <f>"92702"</f>
        <v>92702</v>
      </c>
      <c r="C17371" s="1">
        <v>2.1602959505899401E-4</v>
      </c>
      <c r="D17371" s="1">
        <v>3.98142866661141E-4</v>
      </c>
      <c r="E17371" s="1">
        <v>8.3988678326161601E-6</v>
      </c>
      <c r="F17371" s="1">
        <v>2.2235166325049101E-4</v>
      </c>
    </row>
    <row r="17372" spans="1:6" x14ac:dyDescent="0.25">
      <c r="A17372" s="2" t="str">
        <f t="shared" si="626"/>
        <v>31080</v>
      </c>
      <c r="B17372" s="2" t="str">
        <f>"92694"</f>
        <v>92694</v>
      </c>
      <c r="C17372" s="1">
        <v>2.5228672801774401E-3</v>
      </c>
      <c r="D17372" s="1">
        <v>6.0777727400517E-4</v>
      </c>
      <c r="E17372" s="1">
        <v>2.5476565758935602E-4</v>
      </c>
      <c r="F17372" s="1">
        <v>2.1911563754376901E-3</v>
      </c>
    </row>
    <row r="17373" spans="1:6" x14ac:dyDescent="0.25">
      <c r="A17373" s="2" t="str">
        <f t="shared" si="626"/>
        <v>31080</v>
      </c>
      <c r="B17373" s="2" t="str">
        <f>"92804"</f>
        <v>92804</v>
      </c>
      <c r="C17373" s="1">
        <v>5.3103459260999504E-3</v>
      </c>
      <c r="D17373" s="1">
        <v>2.3807318353411102E-3</v>
      </c>
      <c r="E17373" s="1">
        <v>5.5684493730245102E-3</v>
      </c>
      <c r="F17373" s="1">
        <v>5.0250141451020497E-3</v>
      </c>
    </row>
    <row r="17374" spans="1:6" x14ac:dyDescent="0.25">
      <c r="A17374" s="2" t="str">
        <f t="shared" si="626"/>
        <v>31080</v>
      </c>
      <c r="B17374" s="2" t="str">
        <f>"92708"</f>
        <v>92708</v>
      </c>
      <c r="C17374" s="1">
        <v>3.8473178482257599E-3</v>
      </c>
      <c r="D17374" s="1">
        <v>4.2511907721858996E-3</v>
      </c>
      <c r="E17374" s="1">
        <v>1.8925448849495001E-3</v>
      </c>
      <c r="F17374" s="1">
        <v>3.7723052246135401E-3</v>
      </c>
    </row>
    <row r="17375" spans="1:6" x14ac:dyDescent="0.25">
      <c r="A17375" s="2" t="str">
        <f t="shared" si="626"/>
        <v>31080</v>
      </c>
      <c r="B17375" s="2" t="str">
        <f>"92661"</f>
        <v>92661</v>
      </c>
      <c r="C17375" s="1">
        <v>6.3395228632980602E-4</v>
      </c>
      <c r="D17375" s="1">
        <v>4.2576910638864903E-4</v>
      </c>
      <c r="E17375" s="1">
        <v>1.2514313070598E-3</v>
      </c>
      <c r="F17375" s="1">
        <v>6.4937361217866504E-4</v>
      </c>
    </row>
    <row r="17376" spans="1:6" x14ac:dyDescent="0.25">
      <c r="A17376" s="2" t="str">
        <f t="shared" si="626"/>
        <v>31080</v>
      </c>
      <c r="B17376" s="2" t="str">
        <f>"92672"</f>
        <v>92672</v>
      </c>
      <c r="C17376" s="1">
        <v>3.32128080661667E-3</v>
      </c>
      <c r="D17376" s="1">
        <v>2.6212426282629401E-3</v>
      </c>
      <c r="E17376" s="1">
        <v>8.7124255650338298E-3</v>
      </c>
      <c r="F17376" s="1">
        <v>3.5706374370142601E-3</v>
      </c>
    </row>
    <row r="17377" spans="1:6" x14ac:dyDescent="0.25">
      <c r="A17377" s="2" t="str">
        <f t="shared" si="626"/>
        <v>31080</v>
      </c>
      <c r="B17377" s="2" t="str">
        <f>"92603"</f>
        <v>92603</v>
      </c>
      <c r="C17377" s="1">
        <v>1.5673594214787099E-3</v>
      </c>
      <c r="D17377" s="1">
        <v>1.3000583401180101E-4</v>
      </c>
      <c r="E17377" s="1">
        <v>1.3998113054360201E-5</v>
      </c>
      <c r="F17377" s="1">
        <v>1.3272709561021399E-3</v>
      </c>
    </row>
    <row r="17378" spans="1:6" x14ac:dyDescent="0.25">
      <c r="A17378" s="2" t="str">
        <f t="shared" si="626"/>
        <v>31080</v>
      </c>
      <c r="B17378" s="2" t="str">
        <f>"92652"</f>
        <v>92652</v>
      </c>
      <c r="C17378" s="1">
        <v>5.5510646177371202E-4</v>
      </c>
      <c r="D17378" s="1">
        <v>8.3041226475038003E-4</v>
      </c>
      <c r="E17378" s="1">
        <v>1.67977356652323E-5</v>
      </c>
      <c r="F17378" s="1">
        <v>5.5129200828422497E-4</v>
      </c>
    </row>
    <row r="17379" spans="1:6" x14ac:dyDescent="0.25">
      <c r="A17379" s="2" t="str">
        <f t="shared" si="626"/>
        <v>31080</v>
      </c>
      <c r="B17379" s="2" t="str">
        <f>"92629"</f>
        <v>92629</v>
      </c>
      <c r="C17379" s="1">
        <v>2.8675191041840002E-3</v>
      </c>
      <c r="D17379" s="1">
        <v>2.1694723550719302E-3</v>
      </c>
      <c r="E17379" s="1">
        <v>5.1653037170589404E-3</v>
      </c>
      <c r="F17379" s="1">
        <v>2.9327734008027999E-3</v>
      </c>
    </row>
    <row r="17380" spans="1:6" x14ac:dyDescent="0.25">
      <c r="A17380" s="2" t="str">
        <f t="shared" si="626"/>
        <v>31080</v>
      </c>
      <c r="B17380" s="2" t="str">
        <f>"92626"</f>
        <v>92626</v>
      </c>
      <c r="C17380" s="1">
        <v>4.1015757218574103E-3</v>
      </c>
      <c r="D17380" s="1">
        <v>6.9666876301074003E-3</v>
      </c>
      <c r="E17380" s="1">
        <v>5.2548916406068404E-3</v>
      </c>
      <c r="F17380" s="1">
        <v>4.46438103168502E-3</v>
      </c>
    </row>
    <row r="17381" spans="1:6" x14ac:dyDescent="0.25">
      <c r="A17381" s="2" t="str">
        <f t="shared" si="626"/>
        <v>31080</v>
      </c>
      <c r="B17381" s="2" t="str">
        <f>"91780"</f>
        <v>91780</v>
      </c>
      <c r="C17381" s="1">
        <v>2.6690108034708002E-3</v>
      </c>
      <c r="D17381" s="1">
        <v>1.9842140416051102E-3</v>
      </c>
      <c r="E17381" s="1">
        <v>1.56498903947747E-3</v>
      </c>
      <c r="F17381" s="1">
        <v>2.5329407400290298E-3</v>
      </c>
    </row>
    <row r="17382" spans="1:6" x14ac:dyDescent="0.25">
      <c r="A17382" s="2" t="str">
        <f t="shared" ref="A17382:A17445" si="627">"31080"</f>
        <v>31080</v>
      </c>
      <c r="B17382" s="2" t="str">
        <f>"91778"</f>
        <v>91778</v>
      </c>
      <c r="C17382" s="1">
        <v>2.8312818817870098E-4</v>
      </c>
      <c r="D17382" s="1">
        <v>6.5327931590930099E-4</v>
      </c>
      <c r="E17382" s="1">
        <v>8.3988678326161601E-6</v>
      </c>
      <c r="F17382" s="1">
        <v>3.0475355495772398E-4</v>
      </c>
    </row>
    <row r="17383" spans="1:6" x14ac:dyDescent="0.25">
      <c r="A17383" s="2" t="str">
        <f t="shared" si="627"/>
        <v>31080</v>
      </c>
      <c r="B17383" s="2" t="str">
        <f>"91741"</f>
        <v>91741</v>
      </c>
      <c r="C17383" s="1">
        <v>1.9753268318712298E-3</v>
      </c>
      <c r="D17383" s="1">
        <v>1.2106793292348901E-3</v>
      </c>
      <c r="E17383" s="1">
        <v>1.1366467800140499E-3</v>
      </c>
      <c r="F17383" s="1">
        <v>1.84686992911435E-3</v>
      </c>
    </row>
    <row r="17384" spans="1:6" x14ac:dyDescent="0.25">
      <c r="A17384" s="2" t="str">
        <f t="shared" si="627"/>
        <v>31080</v>
      </c>
      <c r="B17384" s="2" t="str">
        <f>"91733"</f>
        <v>91733</v>
      </c>
      <c r="C17384" s="1">
        <v>2.1730387101141601E-3</v>
      </c>
      <c r="D17384" s="1">
        <v>5.5577494040044998E-3</v>
      </c>
      <c r="E17384" s="1">
        <v>3.05718789107228E-3</v>
      </c>
      <c r="F17384" s="1">
        <v>2.5731408531898502E-3</v>
      </c>
    </row>
    <row r="17385" spans="1:6" x14ac:dyDescent="0.25">
      <c r="A17385" s="2" t="str">
        <f t="shared" si="627"/>
        <v>31080</v>
      </c>
      <c r="B17385" s="2" t="str">
        <f>"91772"</f>
        <v>91772</v>
      </c>
      <c r="C17385" s="1">
        <v>0</v>
      </c>
      <c r="D17385" s="1">
        <v>1.62507292514751E-6</v>
      </c>
      <c r="E17385" s="1">
        <v>0</v>
      </c>
      <c r="F17385" s="1">
        <v>1.6680544880006799E-7</v>
      </c>
    </row>
    <row r="17386" spans="1:6" x14ac:dyDescent="0.25">
      <c r="A17386" s="2" t="str">
        <f t="shared" si="627"/>
        <v>31080</v>
      </c>
      <c r="B17386" s="2" t="str">
        <f>"91773"</f>
        <v>91773</v>
      </c>
      <c r="C17386" s="1">
        <v>2.7817045830130999E-3</v>
      </c>
      <c r="D17386" s="1">
        <v>3.68729046715971E-3</v>
      </c>
      <c r="E17386" s="1">
        <v>9.6586980075085804E-4</v>
      </c>
      <c r="F17386" s="1">
        <v>2.7664683683491301E-3</v>
      </c>
    </row>
    <row r="17387" spans="1:6" x14ac:dyDescent="0.25">
      <c r="A17387" s="2" t="str">
        <f t="shared" si="627"/>
        <v>31080</v>
      </c>
      <c r="B17387" s="2" t="str">
        <f>"91723"</f>
        <v>91723</v>
      </c>
      <c r="C17387" s="1">
        <v>1.47178872504708E-3</v>
      </c>
      <c r="D17387" s="1">
        <v>2.7333726600981198E-3</v>
      </c>
      <c r="E17387" s="1">
        <v>2.3152878991911799E-3</v>
      </c>
      <c r="F17387" s="1">
        <v>1.65154074856947E-3</v>
      </c>
    </row>
    <row r="17388" spans="1:6" x14ac:dyDescent="0.25">
      <c r="A17388" s="2" t="str">
        <f t="shared" si="627"/>
        <v>31080</v>
      </c>
      <c r="B17388" s="2" t="str">
        <f>"91395"</f>
        <v>91395</v>
      </c>
      <c r="C17388" s="1">
        <v>3.3847954986201901E-6</v>
      </c>
      <c r="D17388" s="1">
        <v>9.7504375508850892E-6</v>
      </c>
      <c r="E17388" s="1">
        <v>5.5992452217441E-6</v>
      </c>
      <c r="F17388" s="1">
        <v>4.1701362200016998E-6</v>
      </c>
    </row>
    <row r="17389" spans="1:6" x14ac:dyDescent="0.25">
      <c r="A17389" s="2" t="str">
        <f t="shared" si="627"/>
        <v>31080</v>
      </c>
      <c r="B17389" s="2" t="str">
        <f>"91606"</f>
        <v>91606</v>
      </c>
      <c r="C17389" s="1">
        <v>3.1392982721614501E-3</v>
      </c>
      <c r="D17389" s="1">
        <v>2.0654676878624901E-3</v>
      </c>
      <c r="E17389" s="1">
        <v>4.7873546645912099E-3</v>
      </c>
      <c r="F17389" s="1">
        <v>3.1272685541036799E-3</v>
      </c>
    </row>
    <row r="17390" spans="1:6" x14ac:dyDescent="0.25">
      <c r="A17390" s="2" t="str">
        <f t="shared" si="627"/>
        <v>31080</v>
      </c>
      <c r="B17390" s="2" t="str">
        <f>"91523"</f>
        <v>91523</v>
      </c>
      <c r="C17390" s="1">
        <v>0</v>
      </c>
      <c r="D17390" s="1">
        <v>3.2501458502950302E-6</v>
      </c>
      <c r="E17390" s="1">
        <v>0</v>
      </c>
      <c r="F17390" s="1">
        <v>3.3361089760013598E-7</v>
      </c>
    </row>
    <row r="17391" spans="1:6" x14ac:dyDescent="0.25">
      <c r="A17391" s="2" t="str">
        <f t="shared" si="627"/>
        <v>31080</v>
      </c>
      <c r="B17391" s="2" t="str">
        <f>"91382"</f>
        <v>91382</v>
      </c>
      <c r="C17391" s="1">
        <v>0</v>
      </c>
      <c r="D17391" s="1">
        <v>0</v>
      </c>
      <c r="E17391" s="1">
        <v>2.79962261087205E-6</v>
      </c>
      <c r="F17391" s="1">
        <v>1.6680544880006799E-7</v>
      </c>
    </row>
    <row r="17392" spans="1:6" x14ac:dyDescent="0.25">
      <c r="A17392" s="2" t="str">
        <f t="shared" si="627"/>
        <v>31080</v>
      </c>
      <c r="B17392" s="2" t="str">
        <f>"91367"</f>
        <v>91367</v>
      </c>
      <c r="C17392" s="1">
        <v>4.3086455641259402E-3</v>
      </c>
      <c r="D17392" s="1">
        <v>3.1770175686633901E-3</v>
      </c>
      <c r="E17392" s="1">
        <v>1.7525637544058999E-3</v>
      </c>
      <c r="F17392" s="1">
        <v>4.0401947753864499E-3</v>
      </c>
    </row>
    <row r="17393" spans="1:6" x14ac:dyDescent="0.25">
      <c r="A17393" s="2" t="str">
        <f t="shared" si="627"/>
        <v>31080</v>
      </c>
      <c r="B17393" s="2" t="str">
        <f>"91470"</f>
        <v>91470</v>
      </c>
      <c r="C17393" s="1">
        <v>0</v>
      </c>
      <c r="D17393" s="1">
        <v>1.62507292514751E-6</v>
      </c>
      <c r="E17393" s="1">
        <v>0</v>
      </c>
      <c r="F17393" s="1">
        <v>1.6680544880006799E-7</v>
      </c>
    </row>
    <row r="17394" spans="1:6" x14ac:dyDescent="0.25">
      <c r="A17394" s="2" t="str">
        <f t="shared" si="627"/>
        <v>31080</v>
      </c>
      <c r="B17394" s="2" t="str">
        <f>"91416"</f>
        <v>91416</v>
      </c>
      <c r="C17394" s="1">
        <v>3.3270548695260799E-4</v>
      </c>
      <c r="D17394" s="1">
        <v>7.1340701413975902E-4</v>
      </c>
      <c r="E17394" s="1">
        <v>5.5992452217441E-6</v>
      </c>
      <c r="F17394" s="1">
        <v>3.52293107865744E-4</v>
      </c>
    </row>
    <row r="17395" spans="1:6" x14ac:dyDescent="0.25">
      <c r="A17395" s="2" t="str">
        <f t="shared" si="627"/>
        <v>31080</v>
      </c>
      <c r="B17395" s="2" t="str">
        <f>"91353"</f>
        <v>91353</v>
      </c>
      <c r="C17395" s="1">
        <v>2.0726894788609501E-4</v>
      </c>
      <c r="D17395" s="1">
        <v>3.1851429332891302E-4</v>
      </c>
      <c r="E17395" s="1">
        <v>5.5992452217441E-6</v>
      </c>
      <c r="F17395" s="1">
        <v>2.06671951063284E-4</v>
      </c>
    </row>
    <row r="17396" spans="1:6" x14ac:dyDescent="0.25">
      <c r="A17396" s="2" t="str">
        <f t="shared" si="627"/>
        <v>31080</v>
      </c>
      <c r="B17396" s="2" t="str">
        <f>"91341"</f>
        <v>91341</v>
      </c>
      <c r="C17396" s="1">
        <v>1.4793547385145899E-4</v>
      </c>
      <c r="D17396" s="1">
        <v>1.9338367809255399E-4</v>
      </c>
      <c r="E17396" s="1">
        <v>5.5992452217441E-6</v>
      </c>
      <c r="F17396" s="1">
        <v>1.4411990776325899E-4</v>
      </c>
    </row>
    <row r="17397" spans="1:6" x14ac:dyDescent="0.25">
      <c r="A17397" s="2" t="str">
        <f t="shared" si="627"/>
        <v>31080</v>
      </c>
      <c r="B17397" s="2" t="str">
        <f>"91351"</f>
        <v>91351</v>
      </c>
      <c r="C17397" s="1">
        <v>2.1389916495103902E-3</v>
      </c>
      <c r="D17397" s="1">
        <v>1.87370908269508E-3</v>
      </c>
      <c r="E17397" s="1">
        <v>1.74136526396241E-3</v>
      </c>
      <c r="F17397" s="1">
        <v>2.0880706080792502E-3</v>
      </c>
    </row>
    <row r="17398" spans="1:6" x14ac:dyDescent="0.25">
      <c r="A17398" s="2" t="str">
        <f t="shared" si="627"/>
        <v>31080</v>
      </c>
      <c r="B17398" s="2" t="str">
        <f>"91306"</f>
        <v>91306</v>
      </c>
      <c r="C17398" s="1">
        <v>2.8888234052635501E-3</v>
      </c>
      <c r="D17398" s="1">
        <v>9.9941984896572203E-4</v>
      </c>
      <c r="E17398" s="1">
        <v>1.6433784725818901E-3</v>
      </c>
      <c r="F17398" s="1">
        <v>2.62068040609787E-3</v>
      </c>
    </row>
    <row r="17399" spans="1:6" x14ac:dyDescent="0.25">
      <c r="A17399" s="2" t="str">
        <f t="shared" si="627"/>
        <v>31080</v>
      </c>
      <c r="B17399" s="2" t="str">
        <f>"91114"</f>
        <v>91114</v>
      </c>
      <c r="C17399" s="1">
        <v>1.3698466488533501E-4</v>
      </c>
      <c r="D17399" s="1">
        <v>1.4950670911357099E-4</v>
      </c>
      <c r="E17399" s="1">
        <v>5.5992452217441E-6</v>
      </c>
      <c r="F17399" s="1">
        <v>1.3044186096165301E-4</v>
      </c>
    </row>
    <row r="17400" spans="1:6" x14ac:dyDescent="0.25">
      <c r="A17400" s="2" t="str">
        <f t="shared" si="627"/>
        <v>31080</v>
      </c>
      <c r="B17400" s="2" t="str">
        <f>"91041"</f>
        <v>91041</v>
      </c>
      <c r="C17400" s="1">
        <v>1.9014586477542799E-4</v>
      </c>
      <c r="D17400" s="1">
        <v>2.7138717849963499E-4</v>
      </c>
      <c r="E17400" s="1">
        <v>5.5992452217441E-6</v>
      </c>
      <c r="F17400" s="1">
        <v>1.8748932445127601E-4</v>
      </c>
    </row>
    <row r="17401" spans="1:6" x14ac:dyDescent="0.25">
      <c r="A17401" s="2" t="str">
        <f t="shared" si="627"/>
        <v>31080</v>
      </c>
      <c r="B17401" s="2" t="str">
        <f>"91040"</f>
        <v>91040</v>
      </c>
      <c r="C17401" s="1">
        <v>1.56636389339088E-3</v>
      </c>
      <c r="D17401" s="1">
        <v>5.9315161767884296E-4</v>
      </c>
      <c r="E17401" s="1">
        <v>5.5152565434179405E-4</v>
      </c>
      <c r="F17401" s="1">
        <v>1.4060031279357699E-3</v>
      </c>
    </row>
    <row r="17402" spans="1:6" x14ac:dyDescent="0.25">
      <c r="A17402" s="2" t="str">
        <f t="shared" si="627"/>
        <v>31080</v>
      </c>
      <c r="B17402" s="2" t="str">
        <f>"91024"</f>
        <v>91024</v>
      </c>
      <c r="C17402" s="1">
        <v>1.00846995297125E-3</v>
      </c>
      <c r="D17402" s="1">
        <v>5.5740001332559702E-4</v>
      </c>
      <c r="E17402" s="1">
        <v>1.4362063993773599E-3</v>
      </c>
      <c r="F17402" s="1">
        <v>9.8765506234520391E-4</v>
      </c>
    </row>
    <row r="17403" spans="1:6" x14ac:dyDescent="0.25">
      <c r="A17403" s="2" t="str">
        <f t="shared" si="627"/>
        <v>31080</v>
      </c>
      <c r="B17403" s="2" t="str">
        <f>"90704"</f>
        <v>90704</v>
      </c>
      <c r="C17403" s="1">
        <v>0</v>
      </c>
      <c r="D17403" s="1">
        <v>0</v>
      </c>
      <c r="E17403" s="1">
        <v>5.5992452217441E-6</v>
      </c>
      <c r="F17403" s="1">
        <v>3.3361089760013598E-7</v>
      </c>
    </row>
    <row r="17404" spans="1:6" x14ac:dyDescent="0.25">
      <c r="A17404" s="2" t="str">
        <f t="shared" si="627"/>
        <v>31080</v>
      </c>
      <c r="B17404" s="2" t="str">
        <f>"90804"</f>
        <v>90804</v>
      </c>
      <c r="C17404" s="1">
        <v>3.3115246313559399E-3</v>
      </c>
      <c r="D17404" s="1">
        <v>2.1922233760239898E-3</v>
      </c>
      <c r="E17404" s="1">
        <v>6.7582889826451296E-3</v>
      </c>
      <c r="F17404" s="1">
        <v>3.4019971282773899E-3</v>
      </c>
    </row>
    <row r="17405" spans="1:6" x14ac:dyDescent="0.25">
      <c r="A17405" s="2" t="str">
        <f t="shared" si="627"/>
        <v>31080</v>
      </c>
      <c r="B17405" s="2" t="str">
        <f>"90733"</f>
        <v>90733</v>
      </c>
      <c r="C17405" s="1">
        <v>2.65606893832902E-4</v>
      </c>
      <c r="D17405" s="1">
        <v>3.8676735618510798E-4</v>
      </c>
      <c r="E17405" s="1">
        <v>8.3988678326161601E-6</v>
      </c>
      <c r="F17405" s="1">
        <v>2.6271858186010703E-4</v>
      </c>
    </row>
    <row r="17406" spans="1:6" x14ac:dyDescent="0.25">
      <c r="A17406" s="2" t="str">
        <f t="shared" si="627"/>
        <v>31080</v>
      </c>
      <c r="B17406" s="2" t="str">
        <f>"90670"</f>
        <v>90670</v>
      </c>
      <c r="C17406" s="1">
        <v>1.21733174579787E-3</v>
      </c>
      <c r="D17406" s="1">
        <v>7.0268153283378496E-3</v>
      </c>
      <c r="E17406" s="1">
        <v>1.58178677514271E-3</v>
      </c>
      <c r="F17406" s="1">
        <v>1.8353603531471501E-3</v>
      </c>
    </row>
    <row r="17407" spans="1:6" x14ac:dyDescent="0.25">
      <c r="A17407" s="2" t="str">
        <f t="shared" si="627"/>
        <v>31080</v>
      </c>
      <c r="B17407" s="2" t="str">
        <f>"90720"</f>
        <v>90720</v>
      </c>
      <c r="C17407" s="1">
        <v>1.9713447195199101E-3</v>
      </c>
      <c r="D17407" s="1">
        <v>3.4630304034893502E-3</v>
      </c>
      <c r="E17407" s="1">
        <v>1.41940866371213E-3</v>
      </c>
      <c r="F17407" s="1">
        <v>2.0915735225040498E-3</v>
      </c>
    </row>
    <row r="17408" spans="1:6" x14ac:dyDescent="0.25">
      <c r="A17408" s="2" t="str">
        <f t="shared" si="627"/>
        <v>31080</v>
      </c>
      <c r="B17408" s="2" t="str">
        <f>"90303"</f>
        <v>90303</v>
      </c>
      <c r="C17408" s="1">
        <v>1.50444204632789E-3</v>
      </c>
      <c r="D17408" s="1">
        <v>1.0514221825704401E-3</v>
      </c>
      <c r="E17408" s="1">
        <v>2.5980497828892602E-3</v>
      </c>
      <c r="F17408" s="1">
        <v>1.52310055299342E-3</v>
      </c>
    </row>
    <row r="17409" spans="1:6" x14ac:dyDescent="0.25">
      <c r="A17409" s="2" t="str">
        <f t="shared" si="627"/>
        <v>31080</v>
      </c>
      <c r="B17409" s="2" t="str">
        <f>"90622"</f>
        <v>90622</v>
      </c>
      <c r="C17409" s="1">
        <v>1.4674084014606301E-4</v>
      </c>
      <c r="D17409" s="1">
        <v>4.2576910638864903E-4</v>
      </c>
      <c r="E17409" s="1">
        <v>2.79962261087205E-6</v>
      </c>
      <c r="F17409" s="1">
        <v>1.66805448800068E-4</v>
      </c>
    </row>
    <row r="17410" spans="1:6" x14ac:dyDescent="0.25">
      <c r="A17410" s="2" t="str">
        <f t="shared" si="627"/>
        <v>31080</v>
      </c>
      <c r="B17410" s="2" t="str">
        <f>"90631"</f>
        <v>90631</v>
      </c>
      <c r="C17410" s="1">
        <v>4.6419483679312496E-3</v>
      </c>
      <c r="D17410" s="1">
        <v>3.7620438217164901E-3</v>
      </c>
      <c r="E17410" s="1">
        <v>4.8853414559717296E-3</v>
      </c>
      <c r="F17410" s="1">
        <v>4.5661323554530703E-3</v>
      </c>
    </row>
    <row r="17411" spans="1:6" x14ac:dyDescent="0.25">
      <c r="A17411" s="2" t="str">
        <f t="shared" si="627"/>
        <v>31080</v>
      </c>
      <c r="B17411" s="2" t="str">
        <f>"90507"</f>
        <v>90507</v>
      </c>
      <c r="C17411" s="1">
        <v>3.0064948252449902E-5</v>
      </c>
      <c r="D17411" s="1">
        <v>1.05629740134588E-4</v>
      </c>
      <c r="E17411" s="1">
        <v>8.3988678326161601E-6</v>
      </c>
      <c r="F17411" s="1">
        <v>3.6530393287214899E-5</v>
      </c>
    </row>
    <row r="17412" spans="1:6" x14ac:dyDescent="0.25">
      <c r="A17412" s="2" t="str">
        <f t="shared" si="627"/>
        <v>31080</v>
      </c>
      <c r="B17412" s="2" t="str">
        <f>"90502"</f>
        <v>90502</v>
      </c>
      <c r="C17412" s="1">
        <v>1.2911999299148201E-3</v>
      </c>
      <c r="D17412" s="1">
        <v>1.7242023735815099E-3</v>
      </c>
      <c r="E17412" s="1">
        <v>1.53699281336875E-3</v>
      </c>
      <c r="F17412" s="1">
        <v>1.3502901080365501E-3</v>
      </c>
    </row>
    <row r="17413" spans="1:6" x14ac:dyDescent="0.25">
      <c r="A17413" s="2" t="str">
        <f t="shared" si="627"/>
        <v>31080</v>
      </c>
      <c r="B17413" s="2" t="str">
        <f>"90223"</f>
        <v>90223</v>
      </c>
      <c r="C17413" s="1">
        <v>1.17074103128745E-4</v>
      </c>
      <c r="D17413" s="1">
        <v>4.5502041904130399E-5</v>
      </c>
      <c r="E17413" s="1">
        <v>2.79962261087205E-6</v>
      </c>
      <c r="F17413" s="1">
        <v>1.0291896190964201E-4</v>
      </c>
    </row>
    <row r="17414" spans="1:6" x14ac:dyDescent="0.25">
      <c r="A17414" s="2" t="str">
        <f t="shared" si="627"/>
        <v>31080</v>
      </c>
      <c r="B17414" s="2" t="str">
        <f>"90231"</f>
        <v>90231</v>
      </c>
      <c r="C17414" s="1">
        <v>3.57195477913213E-4</v>
      </c>
      <c r="D17414" s="1">
        <v>7.0853179536431595E-4</v>
      </c>
      <c r="E17414" s="1">
        <v>5.5992452217441E-6</v>
      </c>
      <c r="F17414" s="1">
        <v>3.72309761721752E-4</v>
      </c>
    </row>
    <row r="17415" spans="1:6" x14ac:dyDescent="0.25">
      <c r="A17415" s="2" t="str">
        <f t="shared" si="627"/>
        <v>31080</v>
      </c>
      <c r="B17415" s="2" t="str">
        <f>"90224"</f>
        <v>90224</v>
      </c>
      <c r="C17415" s="1">
        <v>2.2558666470215701E-4</v>
      </c>
      <c r="D17415" s="1">
        <v>2.8113761605051999E-4</v>
      </c>
      <c r="E17415" s="1">
        <v>5.5992452217441E-6</v>
      </c>
      <c r="F17415" s="1">
        <v>2.1818152703048901E-4</v>
      </c>
    </row>
    <row r="17416" spans="1:6" x14ac:dyDescent="0.25">
      <c r="A17416" s="2" t="str">
        <f t="shared" si="627"/>
        <v>31080</v>
      </c>
      <c r="B17416" s="2" t="str">
        <f>"90278"</f>
        <v>90278</v>
      </c>
      <c r="C17416" s="1">
        <v>3.5546325904039001E-3</v>
      </c>
      <c r="D17416" s="1">
        <v>1.91758605167406E-3</v>
      </c>
      <c r="E17416" s="1">
        <v>7.78575048083518E-3</v>
      </c>
      <c r="F17416" s="1">
        <v>3.63869406012469E-3</v>
      </c>
    </row>
    <row r="17417" spans="1:6" x14ac:dyDescent="0.25">
      <c r="A17417" s="2" t="str">
        <f t="shared" si="627"/>
        <v>31080</v>
      </c>
      <c r="B17417" s="2" t="str">
        <f>"90280"</f>
        <v>90280</v>
      </c>
      <c r="C17417" s="1">
        <v>5.1209964837947899E-3</v>
      </c>
      <c r="D17417" s="1">
        <v>4.1536863966770499E-3</v>
      </c>
      <c r="E17417" s="1">
        <v>7.1474365255563502E-3</v>
      </c>
      <c r="F17417" s="1">
        <v>5.1424451810573001E-3</v>
      </c>
    </row>
    <row r="17418" spans="1:6" x14ac:dyDescent="0.25">
      <c r="A17418" s="2" t="str">
        <f t="shared" si="627"/>
        <v>31080</v>
      </c>
      <c r="B17418" s="2" t="str">
        <f>"90270"</f>
        <v>90270</v>
      </c>
      <c r="C17418" s="1">
        <v>1.42957833412311E-3</v>
      </c>
      <c r="D17418" s="1">
        <v>9.7016853631306697E-4</v>
      </c>
      <c r="E17418" s="1">
        <v>2.13611205209537E-3</v>
      </c>
      <c r="F17418" s="1">
        <v>1.42451853275258E-3</v>
      </c>
    </row>
    <row r="17419" spans="1:6" x14ac:dyDescent="0.25">
      <c r="A17419" s="2" t="str">
        <f t="shared" si="627"/>
        <v>31080</v>
      </c>
      <c r="B17419" s="2" t="str">
        <f>"90266"</f>
        <v>90266</v>
      </c>
      <c r="C17419" s="1">
        <v>3.07996479812681E-3</v>
      </c>
      <c r="D17419" s="1">
        <v>2.7935003583285699E-3</v>
      </c>
      <c r="E17419" s="1">
        <v>2.3096886539694401E-3</v>
      </c>
      <c r="F17419" s="1">
        <v>3.0046665492356301E-3</v>
      </c>
    </row>
    <row r="17420" spans="1:6" x14ac:dyDescent="0.25">
      <c r="A17420" s="2" t="str">
        <f t="shared" si="627"/>
        <v>31080</v>
      </c>
      <c r="B17420" s="2" t="str">
        <f>"90221"</f>
        <v>90221</v>
      </c>
      <c r="C17420" s="1">
        <v>2.4087797613121802E-3</v>
      </c>
      <c r="D17420" s="1">
        <v>2.2881026786077002E-3</v>
      </c>
      <c r="E17420" s="1">
        <v>2.0017301667735101E-3</v>
      </c>
      <c r="F17420" s="1">
        <v>2.3721402873857701E-3</v>
      </c>
    </row>
    <row r="17421" spans="1:6" x14ac:dyDescent="0.25">
      <c r="A17421" s="2" t="str">
        <f t="shared" si="627"/>
        <v>31080</v>
      </c>
      <c r="B17421" s="2" t="str">
        <f>"90251"</f>
        <v>90251</v>
      </c>
      <c r="C17421" s="1">
        <v>3.4246166221333702E-4</v>
      </c>
      <c r="D17421" s="1">
        <v>3.8026706448451798E-4</v>
      </c>
      <c r="E17421" s="1">
        <v>5.5992452217441E-6</v>
      </c>
      <c r="F17421" s="1">
        <v>3.2627145785293302E-4</v>
      </c>
    </row>
    <row r="17422" spans="1:6" x14ac:dyDescent="0.25">
      <c r="A17422" s="2" t="str">
        <f t="shared" si="627"/>
        <v>31080</v>
      </c>
      <c r="B17422" s="2" t="str">
        <f>"90091"</f>
        <v>90091</v>
      </c>
      <c r="C17422" s="1">
        <v>7.0682494235892296E-5</v>
      </c>
      <c r="D17422" s="1">
        <v>1.5275685496386599E-4</v>
      </c>
      <c r="E17422" s="1">
        <v>5.5992452217441E-6</v>
      </c>
      <c r="F17422" s="1">
        <v>7.5229257408830803E-5</v>
      </c>
    </row>
    <row r="17423" spans="1:6" x14ac:dyDescent="0.25">
      <c r="A17423" s="2" t="str">
        <f t="shared" si="627"/>
        <v>31080</v>
      </c>
      <c r="B17423" s="2" t="str">
        <f>"90209"</f>
        <v>90209</v>
      </c>
      <c r="C17423" s="1">
        <v>3.3230727571747701E-4</v>
      </c>
      <c r="D17423" s="1">
        <v>6.0777727400517E-4</v>
      </c>
      <c r="E17423" s="1">
        <v>5.5992452217441E-6</v>
      </c>
      <c r="F17423" s="1">
        <v>3.41117142796139E-4</v>
      </c>
    </row>
    <row r="17424" spans="1:6" x14ac:dyDescent="0.25">
      <c r="A17424" s="2" t="str">
        <f t="shared" si="627"/>
        <v>31080</v>
      </c>
      <c r="B17424" s="2" t="str">
        <f>"90087"</f>
        <v>90087</v>
      </c>
      <c r="C17424" s="1">
        <v>2.2299829167380099E-4</v>
      </c>
      <c r="D17424" s="1">
        <v>2.0800933441888201E-4</v>
      </c>
      <c r="E17424" s="1">
        <v>2.79962261087205E-6</v>
      </c>
      <c r="F17424" s="1">
        <v>2.0834000555128499E-4</v>
      </c>
    </row>
    <row r="17425" spans="1:6" x14ac:dyDescent="0.25">
      <c r="A17425" s="2" t="str">
        <f t="shared" si="627"/>
        <v>31080</v>
      </c>
      <c r="B17425" s="2" t="str">
        <f>"90086"</f>
        <v>90086</v>
      </c>
      <c r="C17425" s="1">
        <v>2.73372012917972E-4</v>
      </c>
      <c r="D17425" s="1">
        <v>4.4852012734071398E-4</v>
      </c>
      <c r="E17425" s="1">
        <v>5.5992452217441E-6</v>
      </c>
      <c r="F17425" s="1">
        <v>2.7539579596891199E-4</v>
      </c>
    </row>
    <row r="17426" spans="1:6" x14ac:dyDescent="0.25">
      <c r="A17426" s="2" t="str">
        <f t="shared" si="627"/>
        <v>31080</v>
      </c>
      <c r="B17426" s="2" t="str">
        <f>"90034"</f>
        <v>90034</v>
      </c>
      <c r="C17426" s="1">
        <v>5.8501212553210896E-3</v>
      </c>
      <c r="D17426" s="1">
        <v>2.6504939409155901E-3</v>
      </c>
      <c r="E17426" s="1">
        <v>9.4795221604127705E-3</v>
      </c>
      <c r="F17426" s="1">
        <v>5.7379406332735503E-3</v>
      </c>
    </row>
    <row r="17427" spans="1:6" x14ac:dyDescent="0.25">
      <c r="A17427" s="2" t="str">
        <f t="shared" si="627"/>
        <v>31080</v>
      </c>
      <c r="B17427" s="2" t="str">
        <f>"90013"</f>
        <v>90013</v>
      </c>
      <c r="C17427" s="1">
        <v>1.6629301179103401E-3</v>
      </c>
      <c r="D17427" s="1">
        <v>6.3832864499794402E-3</v>
      </c>
      <c r="E17427" s="1">
        <v>1.16464300612277E-3</v>
      </c>
      <c r="F17427" s="1">
        <v>2.11776197796566E-3</v>
      </c>
    </row>
    <row r="17428" spans="1:6" x14ac:dyDescent="0.25">
      <c r="A17428" s="2" t="str">
        <f t="shared" si="627"/>
        <v>31080</v>
      </c>
      <c r="B17428" s="2" t="str">
        <f>"90008"</f>
        <v>90008</v>
      </c>
      <c r="C17428" s="1">
        <v>3.0592578138999601E-3</v>
      </c>
      <c r="D17428" s="1">
        <v>1.57307059154279E-3</v>
      </c>
      <c r="E17428" s="1">
        <v>5.5208557886396899E-3</v>
      </c>
      <c r="F17428" s="1">
        <v>3.0533737402852501E-3</v>
      </c>
    </row>
    <row r="17429" spans="1:6" x14ac:dyDescent="0.25">
      <c r="A17429" s="2" t="str">
        <f t="shared" si="627"/>
        <v>31080</v>
      </c>
      <c r="B17429" s="2" t="str">
        <f>"90003"</f>
        <v>90003</v>
      </c>
      <c r="C17429" s="1">
        <v>3.7033644867256201E-3</v>
      </c>
      <c r="D17429" s="1">
        <v>3.1623919123370601E-3</v>
      </c>
      <c r="E17429" s="1">
        <v>3.4603335470378498E-3</v>
      </c>
      <c r="F17429" s="1">
        <v>3.6333562857630802E-3</v>
      </c>
    </row>
    <row r="17430" spans="1:6" x14ac:dyDescent="0.25">
      <c r="A17430" s="2" t="str">
        <f t="shared" si="627"/>
        <v>31080</v>
      </c>
      <c r="B17430" s="2" t="str">
        <f>"93563"</f>
        <v>93563</v>
      </c>
      <c r="C17430" s="1">
        <v>2.38926741079072E-6</v>
      </c>
      <c r="D17430" s="1">
        <v>4.8752187754425404E-6</v>
      </c>
      <c r="E17430" s="1">
        <v>2.79962261087205E-6</v>
      </c>
      <c r="F17430" s="1">
        <v>2.6688871808010899E-6</v>
      </c>
    </row>
    <row r="17431" spans="1:6" x14ac:dyDescent="0.25">
      <c r="A17431" s="2" t="str">
        <f t="shared" si="627"/>
        <v>31080</v>
      </c>
      <c r="B17431" s="2" t="str">
        <f>"92841"</f>
        <v>92841</v>
      </c>
      <c r="C17431" s="1">
        <v>1.8966801129327001E-3</v>
      </c>
      <c r="D17431" s="1">
        <v>2.2474758554790102E-3</v>
      </c>
      <c r="E17431" s="1">
        <v>2.2284995982541499E-3</v>
      </c>
      <c r="F17431" s="1">
        <v>1.95245777820479E-3</v>
      </c>
    </row>
    <row r="17432" spans="1:6" x14ac:dyDescent="0.25">
      <c r="A17432" s="2" t="str">
        <f t="shared" si="627"/>
        <v>31080</v>
      </c>
      <c r="B17432" s="2" t="str">
        <f>"92837"</f>
        <v>92837</v>
      </c>
      <c r="C17432" s="1">
        <v>8.0438669496621097E-5</v>
      </c>
      <c r="D17432" s="1">
        <v>3.1851429332891302E-4</v>
      </c>
      <c r="E17432" s="1">
        <v>8.3988678326161601E-6</v>
      </c>
      <c r="F17432" s="1">
        <v>1.0058368562644101E-4</v>
      </c>
    </row>
    <row r="17433" spans="1:6" x14ac:dyDescent="0.25">
      <c r="A17433" s="2" t="str">
        <f t="shared" si="627"/>
        <v>31080</v>
      </c>
      <c r="B17433" s="2" t="str">
        <f>"92832"</f>
        <v>92832</v>
      </c>
      <c r="C17433" s="1">
        <v>1.9140023016609299E-3</v>
      </c>
      <c r="D17433" s="1">
        <v>2.1727225009222201E-3</v>
      </c>
      <c r="E17433" s="1">
        <v>2.7296320456002502E-3</v>
      </c>
      <c r="F17433" s="1">
        <v>1.9891549769408099E-3</v>
      </c>
    </row>
    <row r="17434" spans="1:6" x14ac:dyDescent="0.25">
      <c r="A17434" s="2" t="str">
        <f t="shared" si="627"/>
        <v>31080</v>
      </c>
      <c r="B17434" s="2" t="str">
        <f>"92840"</f>
        <v>92840</v>
      </c>
      <c r="C17434" s="1">
        <v>3.07996479812681E-3</v>
      </c>
      <c r="D17434" s="1">
        <v>1.8282070407909499E-3</v>
      </c>
      <c r="E17434" s="1">
        <v>3.3147531712725102E-3</v>
      </c>
      <c r="F17434" s="1">
        <v>2.96546726876761E-3</v>
      </c>
    </row>
    <row r="17435" spans="1:6" x14ac:dyDescent="0.25">
      <c r="A17435" s="2" t="str">
        <f t="shared" si="627"/>
        <v>31080</v>
      </c>
      <c r="B17435" s="2" t="str">
        <f>"92703"</f>
        <v>92703</v>
      </c>
      <c r="C17435" s="1">
        <v>2.9453694006522698E-3</v>
      </c>
      <c r="D17435" s="1">
        <v>2.1077195839163199E-3</v>
      </c>
      <c r="E17435" s="1">
        <v>3.7402958081250602E-3</v>
      </c>
      <c r="F17435" s="1">
        <v>2.90675175078999E-3</v>
      </c>
    </row>
    <row r="17436" spans="1:6" x14ac:dyDescent="0.25">
      <c r="A17436" s="2" t="str">
        <f t="shared" si="627"/>
        <v>31080</v>
      </c>
      <c r="B17436" s="2" t="str">
        <f>"92685"</f>
        <v>92685</v>
      </c>
      <c r="C17436" s="1">
        <v>4.42810893466548E-4</v>
      </c>
      <c r="D17436" s="1">
        <v>3.1851429332891302E-4</v>
      </c>
      <c r="E17436" s="1">
        <v>8.3988678326161601E-6</v>
      </c>
      <c r="F17436" s="1">
        <v>4.0416960244256498E-4</v>
      </c>
    </row>
    <row r="17437" spans="1:6" x14ac:dyDescent="0.25">
      <c r="A17437" s="2" t="str">
        <f t="shared" si="627"/>
        <v>31080</v>
      </c>
      <c r="B17437" s="2" t="str">
        <f>"92807"</f>
        <v>92807</v>
      </c>
      <c r="C17437" s="1">
        <v>2.6283932574873601E-3</v>
      </c>
      <c r="D17437" s="1">
        <v>3.1347656726095499E-3</v>
      </c>
      <c r="E17437" s="1">
        <v>2.1417112973171198E-3</v>
      </c>
      <c r="F17437" s="1">
        <v>2.65137260867708E-3</v>
      </c>
    </row>
    <row r="17438" spans="1:6" x14ac:dyDescent="0.25">
      <c r="A17438" s="2" t="str">
        <f t="shared" si="627"/>
        <v>31080</v>
      </c>
      <c r="B17438" s="2" t="str">
        <f>"92781"</f>
        <v>92781</v>
      </c>
      <c r="C17438" s="1">
        <v>3.4007239480254598E-4</v>
      </c>
      <c r="D17438" s="1">
        <v>1.1278006100523699E-3</v>
      </c>
      <c r="E17438" s="1">
        <v>8.3988678326161601E-6</v>
      </c>
      <c r="F17438" s="1">
        <v>4.0116710436416397E-4</v>
      </c>
    </row>
    <row r="17439" spans="1:6" x14ac:dyDescent="0.25">
      <c r="A17439" s="2" t="str">
        <f t="shared" si="627"/>
        <v>31080</v>
      </c>
      <c r="B17439" s="2" t="str">
        <f>"92805"</f>
        <v>92805</v>
      </c>
      <c r="C17439" s="1">
        <v>4.4858495637595903E-3</v>
      </c>
      <c r="D17439" s="1">
        <v>3.3232741319266699E-3</v>
      </c>
      <c r="E17439" s="1">
        <v>6.80308294441909E-3</v>
      </c>
      <c r="F17439" s="1">
        <v>4.5045811448458399E-3</v>
      </c>
    </row>
    <row r="17440" spans="1:6" x14ac:dyDescent="0.25">
      <c r="A17440" s="2" t="str">
        <f t="shared" si="627"/>
        <v>31080</v>
      </c>
      <c r="B17440" s="2" t="str">
        <f>"92678"</f>
        <v>92678</v>
      </c>
      <c r="C17440" s="1">
        <v>1.32007024446187E-4</v>
      </c>
      <c r="D17440" s="1">
        <v>1.7388280299078399E-4</v>
      </c>
      <c r="E17440" s="1">
        <v>8.3988678326161601E-6</v>
      </c>
      <c r="F17440" s="1">
        <v>1.28940611922452E-4</v>
      </c>
    </row>
    <row r="17441" spans="1:6" x14ac:dyDescent="0.25">
      <c r="A17441" s="2" t="str">
        <f t="shared" si="627"/>
        <v>31080</v>
      </c>
      <c r="B17441" s="2" t="str">
        <f>"92675"</f>
        <v>92675</v>
      </c>
      <c r="C17441" s="1">
        <v>2.4671177072589901E-3</v>
      </c>
      <c r="D17441" s="1">
        <v>2.90563039016375E-3</v>
      </c>
      <c r="E17441" s="1">
        <v>1.93733884672346E-3</v>
      </c>
      <c r="F17441" s="1">
        <v>2.4805638291058099E-3</v>
      </c>
    </row>
    <row r="17442" spans="1:6" x14ac:dyDescent="0.25">
      <c r="A17442" s="2" t="str">
        <f t="shared" si="627"/>
        <v>31080</v>
      </c>
      <c r="B17442" s="2" t="str">
        <f>"92706"</f>
        <v>92706</v>
      </c>
      <c r="C17442" s="1">
        <v>2.1204748270767701E-3</v>
      </c>
      <c r="D17442" s="1">
        <v>1.53406884133925E-3</v>
      </c>
      <c r="E17442" s="1">
        <v>1.53699281336875E-3</v>
      </c>
      <c r="F17442" s="1">
        <v>2.0255185647792199E-3</v>
      </c>
    </row>
    <row r="17443" spans="1:6" x14ac:dyDescent="0.25">
      <c r="A17443" s="2" t="str">
        <f t="shared" si="627"/>
        <v>31080</v>
      </c>
      <c r="B17443" s="2" t="str">
        <f>"92620"</f>
        <v>92620</v>
      </c>
      <c r="C17443" s="1">
        <v>4.50814939292697E-3</v>
      </c>
      <c r="D17443" s="1">
        <v>6.5815453468474297E-4</v>
      </c>
      <c r="E17443" s="1">
        <v>2.0997169581540401E-4</v>
      </c>
      <c r="F17443" s="1">
        <v>3.85687558715517E-3</v>
      </c>
    </row>
    <row r="17444" spans="1:6" x14ac:dyDescent="0.25">
      <c r="A17444" s="2" t="str">
        <f t="shared" si="627"/>
        <v>31080</v>
      </c>
      <c r="B17444" s="2" t="str">
        <f>"92605"</f>
        <v>92605</v>
      </c>
      <c r="C17444" s="1">
        <v>1.6824424684317999E-4</v>
      </c>
      <c r="D17444" s="1">
        <v>1.9825889686799601E-4</v>
      </c>
      <c r="E17444" s="1">
        <v>2.79962261087205E-6</v>
      </c>
      <c r="F17444" s="1">
        <v>1.61467674438466E-4</v>
      </c>
    </row>
    <row r="17445" spans="1:6" x14ac:dyDescent="0.25">
      <c r="A17445" s="2" t="str">
        <f t="shared" si="627"/>
        <v>31080</v>
      </c>
      <c r="B17445" s="2" t="str">
        <f>"92604"</f>
        <v>92604</v>
      </c>
      <c r="C17445" s="1">
        <v>2.0073828362993399E-3</v>
      </c>
      <c r="D17445" s="1">
        <v>1.2106793292348901E-3</v>
      </c>
      <c r="E17445" s="1">
        <v>5.3192829606568996E-4</v>
      </c>
      <c r="F17445" s="1">
        <v>1.8376956294303499E-3</v>
      </c>
    </row>
    <row r="17446" spans="1:6" x14ac:dyDescent="0.25">
      <c r="A17446" s="2" t="str">
        <f t="shared" ref="A17446:A17509" si="628">"31080"</f>
        <v>31080</v>
      </c>
      <c r="B17446" s="2" t="str">
        <f>"92618"</f>
        <v>92618</v>
      </c>
      <c r="C17446" s="1">
        <v>4.9306515134017901E-3</v>
      </c>
      <c r="D17446" s="1">
        <v>7.3355791841158797E-3</v>
      </c>
      <c r="E17446" s="1">
        <v>2.1781063912584501E-3</v>
      </c>
      <c r="F17446" s="1">
        <v>5.0135045691348497E-3</v>
      </c>
    </row>
    <row r="17447" spans="1:6" x14ac:dyDescent="0.25">
      <c r="A17447" s="2" t="str">
        <f t="shared" si="628"/>
        <v>31080</v>
      </c>
      <c r="B17447" s="2" t="str">
        <f>"92650"</f>
        <v>92650</v>
      </c>
      <c r="C17447" s="1">
        <v>8.3624359377675406E-6</v>
      </c>
      <c r="D17447" s="1">
        <v>3.9001750203540303E-5</v>
      </c>
      <c r="E17447" s="1">
        <v>2.79962261087205E-6</v>
      </c>
      <c r="F17447" s="1">
        <v>1.1175965069604501E-5</v>
      </c>
    </row>
    <row r="17448" spans="1:6" x14ac:dyDescent="0.25">
      <c r="A17448" s="2" t="str">
        <f t="shared" si="628"/>
        <v>31080</v>
      </c>
      <c r="B17448" s="2" t="str">
        <f>"92651"</f>
        <v>92651</v>
      </c>
      <c r="C17448" s="1">
        <v>2.6761786057031799E-3</v>
      </c>
      <c r="D17448" s="1">
        <v>2.69437090989458E-3</v>
      </c>
      <c r="E17448" s="1">
        <v>2.50286261411961E-3</v>
      </c>
      <c r="F17448" s="1">
        <v>2.6677195426594901E-3</v>
      </c>
    </row>
    <row r="17449" spans="1:6" x14ac:dyDescent="0.25">
      <c r="A17449" s="2" t="str">
        <f t="shared" si="628"/>
        <v>31080</v>
      </c>
      <c r="B17449" s="2" t="str">
        <f>"92647"</f>
        <v>92647</v>
      </c>
      <c r="C17449" s="1">
        <v>4.77156612496664E-3</v>
      </c>
      <c r="D17449" s="1">
        <v>4.9548473487747704E-3</v>
      </c>
      <c r="E17449" s="1">
        <v>7.1362380351128601E-3</v>
      </c>
      <c r="F17449" s="1">
        <v>4.9312694828764101E-3</v>
      </c>
    </row>
    <row r="17450" spans="1:6" x14ac:dyDescent="0.25">
      <c r="A17450" s="2" t="str">
        <f t="shared" si="628"/>
        <v>31080</v>
      </c>
      <c r="B17450" s="2" t="str">
        <f>"91715"</f>
        <v>91715</v>
      </c>
      <c r="C17450" s="1">
        <v>2.5624892980730498E-4</v>
      </c>
      <c r="D17450" s="1">
        <v>8.1416153549890497E-4</v>
      </c>
      <c r="E17450" s="1">
        <v>5.5992452217441E-6</v>
      </c>
      <c r="F17450" s="1">
        <v>2.9858175335212202E-4</v>
      </c>
    </row>
    <row r="17451" spans="1:6" x14ac:dyDescent="0.25">
      <c r="A17451" s="2" t="str">
        <f t="shared" si="628"/>
        <v>31080</v>
      </c>
      <c r="B17451" s="2" t="str">
        <f>"91747"</f>
        <v>91747</v>
      </c>
      <c r="C17451" s="1">
        <v>3.2215288922161602E-4</v>
      </c>
      <c r="D17451" s="1">
        <v>2.4213586584697901E-4</v>
      </c>
      <c r="E17451" s="1">
        <v>1.11984904434882E-5</v>
      </c>
      <c r="F17451" s="1">
        <v>2.9541244982492101E-4</v>
      </c>
    </row>
    <row r="17452" spans="1:6" x14ac:dyDescent="0.25">
      <c r="A17452" s="2" t="str">
        <f t="shared" si="628"/>
        <v>31080</v>
      </c>
      <c r="B17452" s="2" t="str">
        <f>"91754"</f>
        <v>91754</v>
      </c>
      <c r="C17452" s="1">
        <v>2.6156504979631401E-3</v>
      </c>
      <c r="D17452" s="1">
        <v>3.6011616021268899E-3</v>
      </c>
      <c r="E17452" s="1">
        <v>4.0958478797058096E-3</v>
      </c>
      <c r="F17452" s="1">
        <v>2.8050004270219401E-3</v>
      </c>
    </row>
    <row r="17453" spans="1:6" x14ac:dyDescent="0.25">
      <c r="A17453" s="2" t="str">
        <f t="shared" si="628"/>
        <v>31080</v>
      </c>
      <c r="B17453" s="2" t="str">
        <f>"91710"</f>
        <v>91710</v>
      </c>
      <c r="C17453" s="1">
        <v>1.19463370539536E-6</v>
      </c>
      <c r="D17453" s="1">
        <v>0</v>
      </c>
      <c r="E17453" s="1">
        <v>0</v>
      </c>
      <c r="F17453" s="1">
        <v>1.0008326928004E-6</v>
      </c>
    </row>
    <row r="17454" spans="1:6" x14ac:dyDescent="0.25">
      <c r="A17454" s="2" t="str">
        <f t="shared" si="628"/>
        <v>31080</v>
      </c>
      <c r="B17454" s="2" t="str">
        <f>"91390"</f>
        <v>91390</v>
      </c>
      <c r="C17454" s="1">
        <v>1.33062284219286E-3</v>
      </c>
      <c r="D17454" s="1">
        <v>2.4376093877212699E-4</v>
      </c>
      <c r="E17454" s="1">
        <v>5.9072037089400299E-4</v>
      </c>
      <c r="F17454" s="1">
        <v>1.1749775813476801E-3</v>
      </c>
    </row>
    <row r="17455" spans="1:6" x14ac:dyDescent="0.25">
      <c r="A17455" s="2" t="str">
        <f t="shared" si="628"/>
        <v>31080</v>
      </c>
      <c r="B17455" s="2" t="str">
        <f>"91614"</f>
        <v>91614</v>
      </c>
      <c r="C17455" s="1">
        <v>1.29020440182699E-4</v>
      </c>
      <c r="D17455" s="1">
        <v>4.76146367068222E-4</v>
      </c>
      <c r="E17455" s="1">
        <v>5.5992452217441E-6</v>
      </c>
      <c r="F17455" s="1">
        <v>1.57297538218464E-4</v>
      </c>
    </row>
    <row r="17456" spans="1:6" x14ac:dyDescent="0.25">
      <c r="A17456" s="2" t="str">
        <f t="shared" si="628"/>
        <v>31080</v>
      </c>
      <c r="B17456" s="2" t="str">
        <f>"91602"</f>
        <v>91602</v>
      </c>
      <c r="C17456" s="1">
        <v>2.0904098788243198E-3</v>
      </c>
      <c r="D17456" s="1">
        <v>1.1164250995763399E-3</v>
      </c>
      <c r="E17456" s="1">
        <v>2.9060082700851902E-3</v>
      </c>
      <c r="F17456" s="1">
        <v>2.03902980613203E-3</v>
      </c>
    </row>
    <row r="17457" spans="1:6" x14ac:dyDescent="0.25">
      <c r="A17457" s="2" t="str">
        <f t="shared" si="628"/>
        <v>31080</v>
      </c>
      <c r="B17457" s="2" t="str">
        <f>"91357"</f>
        <v>91357</v>
      </c>
      <c r="C17457" s="1">
        <v>3.6296954082262398E-4</v>
      </c>
      <c r="D17457" s="1">
        <v>8.3853762937611805E-4</v>
      </c>
      <c r="E17457" s="1">
        <v>5.5992452217441E-6</v>
      </c>
      <c r="F17457" s="1">
        <v>3.90491555640959E-4</v>
      </c>
    </row>
    <row r="17458" spans="1:6" x14ac:dyDescent="0.25">
      <c r="A17458" s="2" t="str">
        <f t="shared" si="628"/>
        <v>31080</v>
      </c>
      <c r="B17458" s="2" t="str">
        <f>"91309"</f>
        <v>91309</v>
      </c>
      <c r="C17458" s="1">
        <v>2.0866268720905599E-4</v>
      </c>
      <c r="D17458" s="1">
        <v>3.4939067890671501E-4</v>
      </c>
      <c r="E17458" s="1">
        <v>2.79962261087205E-6</v>
      </c>
      <c r="F17458" s="1">
        <v>2.10842087283286E-4</v>
      </c>
    </row>
    <row r="17459" spans="1:6" x14ac:dyDescent="0.25">
      <c r="A17459" s="2" t="str">
        <f t="shared" si="628"/>
        <v>31080</v>
      </c>
      <c r="B17459" s="2" t="str">
        <f>"91354"</f>
        <v>91354</v>
      </c>
      <c r="C17459" s="1">
        <v>2.2504907953472902E-3</v>
      </c>
      <c r="D17459" s="1">
        <v>1.05629740134588E-4</v>
      </c>
      <c r="E17459" s="1">
        <v>3.7234980724598301E-4</v>
      </c>
      <c r="F17459" s="1">
        <v>1.91842946664958E-3</v>
      </c>
    </row>
    <row r="17460" spans="1:6" x14ac:dyDescent="0.25">
      <c r="A17460" s="2" t="str">
        <f t="shared" si="628"/>
        <v>31080</v>
      </c>
      <c r="B17460" s="2" t="str">
        <f>"91350"</f>
        <v>91350</v>
      </c>
      <c r="C17460" s="1">
        <v>2.68016071805449E-3</v>
      </c>
      <c r="D17460" s="1">
        <v>1.77295456133593E-3</v>
      </c>
      <c r="E17460" s="1">
        <v>6.9990565271801301E-4</v>
      </c>
      <c r="F17460" s="1">
        <v>2.4690542531386099E-3</v>
      </c>
    </row>
    <row r="17461" spans="1:6" x14ac:dyDescent="0.25">
      <c r="A17461" s="2" t="str">
        <f t="shared" si="628"/>
        <v>31080</v>
      </c>
      <c r="B17461" s="2" t="str">
        <f>"91344"</f>
        <v>91344</v>
      </c>
      <c r="C17461" s="1">
        <v>3.4285987344846898E-3</v>
      </c>
      <c r="D17461" s="1">
        <v>1.71932715480607E-3</v>
      </c>
      <c r="E17461" s="1">
        <v>1.1674426287336399E-3</v>
      </c>
      <c r="F17461" s="1">
        <v>3.1184278653172701E-3</v>
      </c>
    </row>
    <row r="17462" spans="1:6" x14ac:dyDescent="0.25">
      <c r="A17462" s="2" t="str">
        <f t="shared" si="628"/>
        <v>31080</v>
      </c>
      <c r="B17462" s="2" t="str">
        <f>"91328"</f>
        <v>91328</v>
      </c>
      <c r="C17462" s="1">
        <v>1.19065159304404E-4</v>
      </c>
      <c r="D17462" s="1">
        <v>2.3726064707153699E-4</v>
      </c>
      <c r="E17462" s="1">
        <v>2.79962261087205E-6</v>
      </c>
      <c r="F17462" s="1">
        <v>1.2427005935605E-4</v>
      </c>
    </row>
    <row r="17463" spans="1:6" x14ac:dyDescent="0.25">
      <c r="A17463" s="2" t="str">
        <f t="shared" si="628"/>
        <v>31080</v>
      </c>
      <c r="B17463" s="2" t="str">
        <f>"91335"</f>
        <v>91335</v>
      </c>
      <c r="C17463" s="1">
        <v>4.7655929564396696E-3</v>
      </c>
      <c r="D17463" s="1">
        <v>3.1055143599569E-3</v>
      </c>
      <c r="E17463" s="1">
        <v>3.5471218479748898E-3</v>
      </c>
      <c r="F17463" s="1">
        <v>4.5225961333162498E-3</v>
      </c>
    </row>
    <row r="17464" spans="1:6" x14ac:dyDescent="0.25">
      <c r="A17464" s="2" t="str">
        <f t="shared" si="628"/>
        <v>31080</v>
      </c>
      <c r="B17464" s="2" t="str">
        <f>"91208"</f>
        <v>91208</v>
      </c>
      <c r="C17464" s="1">
        <v>1.2667099389542099E-3</v>
      </c>
      <c r="D17464" s="1">
        <v>8.4503792107670805E-4</v>
      </c>
      <c r="E17464" s="1">
        <v>1.04705885646614E-3</v>
      </c>
      <c r="F17464" s="1">
        <v>1.2103403364932899E-3</v>
      </c>
    </row>
    <row r="17465" spans="1:6" x14ac:dyDescent="0.25">
      <c r="A17465" s="2" t="str">
        <f t="shared" si="628"/>
        <v>31080</v>
      </c>
      <c r="B17465" s="2" t="str">
        <f>"91301"</f>
        <v>91301</v>
      </c>
      <c r="C17465" s="1">
        <v>1.9307271735364701E-3</v>
      </c>
      <c r="D17465" s="1">
        <v>2.94625721329244E-3</v>
      </c>
      <c r="E17465" s="1">
        <v>1.38301356977079E-3</v>
      </c>
      <c r="F17465" s="1">
        <v>2.0023326073960201E-3</v>
      </c>
    </row>
    <row r="17466" spans="1:6" x14ac:dyDescent="0.25">
      <c r="A17466" s="2" t="str">
        <f t="shared" si="628"/>
        <v>31080</v>
      </c>
      <c r="B17466" s="2" t="str">
        <f>"91012"</f>
        <v>91012</v>
      </c>
      <c r="C17466" s="1">
        <v>1.5351043114330399E-4</v>
      </c>
      <c r="D17466" s="1">
        <v>5.9315161767884296E-4</v>
      </c>
      <c r="E17466" s="1">
        <v>5.5992452217441E-6</v>
      </c>
      <c r="F17466" s="1">
        <v>1.8982460073447701E-4</v>
      </c>
    </row>
    <row r="17467" spans="1:6" x14ac:dyDescent="0.25">
      <c r="A17467" s="2" t="str">
        <f t="shared" si="628"/>
        <v>31080</v>
      </c>
      <c r="B17467" s="2" t="str">
        <f>"91011"</f>
        <v>91011</v>
      </c>
      <c r="C17467" s="1">
        <v>1.41723378583403E-3</v>
      </c>
      <c r="D17467" s="1">
        <v>8.4178777522641299E-4</v>
      </c>
      <c r="E17467" s="1">
        <v>3.9754641074383102E-4</v>
      </c>
      <c r="F17467" s="1">
        <v>1.29741278076693E-3</v>
      </c>
    </row>
    <row r="17468" spans="1:6" x14ac:dyDescent="0.25">
      <c r="A17468" s="2" t="str">
        <f t="shared" si="628"/>
        <v>31080</v>
      </c>
      <c r="B17468" s="2" t="str">
        <f>"91007"</f>
        <v>91007</v>
      </c>
      <c r="C17468" s="1">
        <v>2.4018110646973701E-3</v>
      </c>
      <c r="D17468" s="1">
        <v>1.9907143333057001E-3</v>
      </c>
      <c r="E17468" s="1">
        <v>4.0482542953209901E-3</v>
      </c>
      <c r="F17468" s="1">
        <v>2.4577114826201999E-3</v>
      </c>
    </row>
    <row r="17469" spans="1:6" x14ac:dyDescent="0.25">
      <c r="A17469" s="2" t="str">
        <f t="shared" si="628"/>
        <v>31080</v>
      </c>
      <c r="B17469" s="2" t="str">
        <f>"90846"</f>
        <v>90846</v>
      </c>
      <c r="C17469" s="1">
        <v>0</v>
      </c>
      <c r="D17469" s="1">
        <v>1.62507292514751E-6</v>
      </c>
      <c r="E17469" s="1">
        <v>0</v>
      </c>
      <c r="F17469" s="1">
        <v>1.6680544880006799E-7</v>
      </c>
    </row>
    <row r="17470" spans="1:6" x14ac:dyDescent="0.25">
      <c r="A17470" s="2" t="str">
        <f t="shared" si="628"/>
        <v>31080</v>
      </c>
      <c r="B17470" s="2" t="str">
        <f>"90895"</f>
        <v>90895</v>
      </c>
      <c r="C17470" s="1">
        <v>0</v>
      </c>
      <c r="D17470" s="1">
        <v>1.62507292514751E-6</v>
      </c>
      <c r="E17470" s="1">
        <v>0</v>
      </c>
      <c r="F17470" s="1">
        <v>1.6680544880006799E-7</v>
      </c>
    </row>
    <row r="17471" spans="1:6" x14ac:dyDescent="0.25">
      <c r="A17471" s="2" t="str">
        <f t="shared" si="628"/>
        <v>31080</v>
      </c>
      <c r="B17471" s="2" t="str">
        <f>"91003"</f>
        <v>91003</v>
      </c>
      <c r="C17471" s="1">
        <v>1.8038968951469901E-4</v>
      </c>
      <c r="D17471" s="1">
        <v>3.0551370992773302E-4</v>
      </c>
      <c r="E17471" s="1">
        <v>5.5992452217441E-6</v>
      </c>
      <c r="F17471" s="1">
        <v>1.8281877188487401E-4</v>
      </c>
    </row>
    <row r="17472" spans="1:6" x14ac:dyDescent="0.25">
      <c r="A17472" s="2" t="str">
        <f t="shared" si="628"/>
        <v>31080</v>
      </c>
      <c r="B17472" s="2" t="str">
        <f>"91001"</f>
        <v>91001</v>
      </c>
      <c r="C17472" s="1">
        <v>2.6285923631049301E-3</v>
      </c>
      <c r="D17472" s="1">
        <v>8.7591430665451102E-4</v>
      </c>
      <c r="E17472" s="1">
        <v>8.4548602848335999E-4</v>
      </c>
      <c r="F17472" s="1">
        <v>2.3424489174993499E-3</v>
      </c>
    </row>
    <row r="17473" spans="1:6" x14ac:dyDescent="0.25">
      <c r="A17473" s="2" t="str">
        <f t="shared" si="628"/>
        <v>31080</v>
      </c>
      <c r="B17473" s="2" t="str">
        <f>"91117"</f>
        <v>91117</v>
      </c>
      <c r="C17473" s="1">
        <v>2.0249041306451401E-4</v>
      </c>
      <c r="D17473" s="1">
        <v>4.8102158584366399E-4</v>
      </c>
      <c r="E17473" s="1">
        <v>5.5992452217441E-6</v>
      </c>
      <c r="F17473" s="1">
        <v>2.1934916517208901E-4</v>
      </c>
    </row>
    <row r="17474" spans="1:6" x14ac:dyDescent="0.25">
      <c r="A17474" s="2" t="str">
        <f t="shared" si="628"/>
        <v>31080</v>
      </c>
      <c r="B17474" s="2" t="str">
        <f>"90702"</f>
        <v>90702</v>
      </c>
      <c r="C17474" s="1">
        <v>1.44351572735273E-4</v>
      </c>
      <c r="D17474" s="1">
        <v>3.6726648108333798E-4</v>
      </c>
      <c r="E17474" s="1">
        <v>8.3988678326161601E-6</v>
      </c>
      <c r="F17474" s="1">
        <v>1.59132398155265E-4</v>
      </c>
    </row>
    <row r="17475" spans="1:6" x14ac:dyDescent="0.25">
      <c r="A17475" s="2" t="str">
        <f t="shared" si="628"/>
        <v>31080</v>
      </c>
      <c r="B17475" s="2" t="str">
        <f>"90680"</f>
        <v>90680</v>
      </c>
      <c r="C17475" s="1">
        <v>1.9976266610386099E-3</v>
      </c>
      <c r="D17475" s="1">
        <v>2.3173539912603501E-3</v>
      </c>
      <c r="E17475" s="1">
        <v>1.91774148844735E-3</v>
      </c>
      <c r="F17475" s="1">
        <v>2.0256853702280198E-3</v>
      </c>
    </row>
    <row r="17476" spans="1:6" x14ac:dyDescent="0.25">
      <c r="A17476" s="2" t="str">
        <f t="shared" si="628"/>
        <v>31080</v>
      </c>
      <c r="B17476" s="2" t="str">
        <f>"90803"</f>
        <v>90803</v>
      </c>
      <c r="C17476" s="1">
        <v>3.7415927652982798E-3</v>
      </c>
      <c r="D17476" s="1">
        <v>1.91433590582377E-3</v>
      </c>
      <c r="E17476" s="1">
        <v>6.5035233250557798E-3</v>
      </c>
      <c r="F17476" s="1">
        <v>3.7185938700999201E-3</v>
      </c>
    </row>
    <row r="17477" spans="1:6" x14ac:dyDescent="0.25">
      <c r="A17477" s="2" t="str">
        <f t="shared" si="628"/>
        <v>31080</v>
      </c>
      <c r="B17477" s="2" t="str">
        <f>"90748"</f>
        <v>90748</v>
      </c>
      <c r="C17477" s="1">
        <v>2.9308346905699499E-4</v>
      </c>
      <c r="D17477" s="1">
        <v>4.0626823128687799E-4</v>
      </c>
      <c r="E17477" s="1">
        <v>8.3988678326161601E-6</v>
      </c>
      <c r="F17477" s="1">
        <v>2.8773939918011698E-4</v>
      </c>
    </row>
    <row r="17478" spans="1:6" x14ac:dyDescent="0.25">
      <c r="A17478" s="2" t="str">
        <f t="shared" si="628"/>
        <v>31080</v>
      </c>
      <c r="B17478" s="2" t="str">
        <f>"90747"</f>
        <v>90747</v>
      </c>
      <c r="C17478" s="1">
        <v>0</v>
      </c>
      <c r="D17478" s="1">
        <v>4.8752187754425404E-6</v>
      </c>
      <c r="E17478" s="1">
        <v>0</v>
      </c>
      <c r="F17478" s="1">
        <v>5.0041634640020402E-7</v>
      </c>
    </row>
    <row r="17479" spans="1:6" x14ac:dyDescent="0.25">
      <c r="A17479" s="2" t="str">
        <f t="shared" si="628"/>
        <v>31080</v>
      </c>
      <c r="B17479" s="2" t="str">
        <f>"90640"</f>
        <v>90640</v>
      </c>
      <c r="C17479" s="1">
        <v>4.4541917705666102E-3</v>
      </c>
      <c r="D17479" s="1">
        <v>4.5892059406165801E-3</v>
      </c>
      <c r="E17479" s="1">
        <v>4.5409878748344703E-3</v>
      </c>
      <c r="F17479" s="1">
        <v>4.4732217204714302E-3</v>
      </c>
    </row>
    <row r="17480" spans="1:6" x14ac:dyDescent="0.25">
      <c r="A17480" s="2" t="str">
        <f t="shared" si="628"/>
        <v>31080</v>
      </c>
      <c r="B17480" s="2" t="str">
        <f>"90403"</f>
        <v>90403</v>
      </c>
      <c r="C17480" s="1">
        <v>3.0329758723812599E-3</v>
      </c>
      <c r="D17480" s="1">
        <v>1.7518286133090201E-3</v>
      </c>
      <c r="E17480" s="1">
        <v>9.0119851843971401E-3</v>
      </c>
      <c r="F17480" s="1">
        <v>3.2577104150653298E-3</v>
      </c>
    </row>
    <row r="17481" spans="1:6" x14ac:dyDescent="0.25">
      <c r="A17481" s="2" t="str">
        <f t="shared" si="628"/>
        <v>31080</v>
      </c>
      <c r="B17481" s="2" t="str">
        <f>"90610"</f>
        <v>90610</v>
      </c>
      <c r="C17481" s="1">
        <v>0</v>
      </c>
      <c r="D17481" s="1">
        <v>0</v>
      </c>
      <c r="E17481" s="1">
        <v>2.79962261087205E-6</v>
      </c>
      <c r="F17481" s="1">
        <v>1.6680544880006799E-7</v>
      </c>
    </row>
    <row r="17482" spans="1:6" x14ac:dyDescent="0.25">
      <c r="A17482" s="2" t="str">
        <f t="shared" si="628"/>
        <v>31080</v>
      </c>
      <c r="B17482" s="2" t="str">
        <f>"90606"</f>
        <v>90606</v>
      </c>
      <c r="C17482" s="1">
        <v>1.7899595019173801E-3</v>
      </c>
      <c r="D17482" s="1">
        <v>1.3666863300490599E-3</v>
      </c>
      <c r="E17482" s="1">
        <v>7.2790187882673402E-4</v>
      </c>
      <c r="F17482" s="1">
        <v>1.6832337838414799E-3</v>
      </c>
    </row>
    <row r="17483" spans="1:6" x14ac:dyDescent="0.25">
      <c r="A17483" s="2" t="str">
        <f t="shared" si="628"/>
        <v>31080</v>
      </c>
      <c r="B17483" s="2" t="str">
        <f>"90302"</f>
        <v>90302</v>
      </c>
      <c r="C17483" s="1">
        <v>2.2783655818065201E-3</v>
      </c>
      <c r="D17483" s="1">
        <v>1.54869449766558E-3</v>
      </c>
      <c r="E17483" s="1">
        <v>4.9693301342978898E-3</v>
      </c>
      <c r="F17483" s="1">
        <v>2.36380001494576E-3</v>
      </c>
    </row>
    <row r="17484" spans="1:6" x14ac:dyDescent="0.25">
      <c r="A17484" s="2" t="str">
        <f t="shared" si="628"/>
        <v>31080</v>
      </c>
      <c r="B17484" s="2" t="str">
        <f>"90293"</f>
        <v>90293</v>
      </c>
      <c r="C17484" s="1">
        <v>1.48851359692262E-3</v>
      </c>
      <c r="D17484" s="1">
        <v>3.9651779373599299E-4</v>
      </c>
      <c r="E17484" s="1">
        <v>1.5117962098709001E-3</v>
      </c>
      <c r="F17484" s="1">
        <v>1.3778130070885601E-3</v>
      </c>
    </row>
    <row r="17485" spans="1:6" x14ac:dyDescent="0.25">
      <c r="A17485" s="2" t="str">
        <f t="shared" si="628"/>
        <v>31080</v>
      </c>
      <c r="B17485" s="2" t="str">
        <f>"90245"</f>
        <v>90245</v>
      </c>
      <c r="C17485" s="1">
        <v>1.58647356076504E-3</v>
      </c>
      <c r="D17485" s="1">
        <v>3.95055228103361E-3</v>
      </c>
      <c r="E17485" s="1">
        <v>3.5247248670879101E-3</v>
      </c>
      <c r="F17485" s="1">
        <v>1.94461792211119E-3</v>
      </c>
    </row>
    <row r="17486" spans="1:6" x14ac:dyDescent="0.25">
      <c r="A17486" s="2" t="str">
        <f t="shared" si="628"/>
        <v>31080</v>
      </c>
      <c r="B17486" s="2" t="str">
        <f>"90232"</f>
        <v>90232</v>
      </c>
      <c r="C17486" s="1">
        <v>1.63286516965789E-3</v>
      </c>
      <c r="D17486" s="1">
        <v>2.9332566298912602E-3</v>
      </c>
      <c r="E17486" s="1">
        <v>2.0409248833257198E-3</v>
      </c>
      <c r="F17486" s="1">
        <v>1.79065649286873E-3</v>
      </c>
    </row>
    <row r="17487" spans="1:6" x14ac:dyDescent="0.25">
      <c r="A17487" s="2" t="str">
        <f t="shared" si="628"/>
        <v>31080</v>
      </c>
      <c r="B17487" s="2" t="str">
        <f>"90260"</f>
        <v>90260</v>
      </c>
      <c r="C17487" s="1">
        <v>2.33949100639925E-3</v>
      </c>
      <c r="D17487" s="1">
        <v>1.8997102494974401E-3</v>
      </c>
      <c r="E17487" s="1">
        <v>1.64617809519276E-3</v>
      </c>
      <c r="F17487" s="1">
        <v>2.2530411969425199E-3</v>
      </c>
    </row>
    <row r="17488" spans="1:6" x14ac:dyDescent="0.25">
      <c r="A17488" s="2" t="str">
        <f t="shared" si="628"/>
        <v>31080</v>
      </c>
      <c r="B17488" s="2" t="str">
        <f>"90254"</f>
        <v>90254</v>
      </c>
      <c r="C17488" s="1">
        <v>2.2467077886135401E-3</v>
      </c>
      <c r="D17488" s="1">
        <v>1.88995981194656E-3</v>
      </c>
      <c r="E17488" s="1">
        <v>2.2620950695846102E-3</v>
      </c>
      <c r="F17488" s="1">
        <v>2.2110062238448998E-3</v>
      </c>
    </row>
    <row r="17489" spans="1:6" x14ac:dyDescent="0.25">
      <c r="A17489" s="2" t="str">
        <f t="shared" si="628"/>
        <v>31080</v>
      </c>
      <c r="B17489" s="2" t="str">
        <f>"90255"</f>
        <v>90255</v>
      </c>
      <c r="C17489" s="1">
        <v>4.2158623463402298E-3</v>
      </c>
      <c r="D17489" s="1">
        <v>4.5193278048352402E-3</v>
      </c>
      <c r="E17489" s="1">
        <v>4.8041524002564399E-3</v>
      </c>
      <c r="F17489" s="1">
        <v>4.2820626761465499E-3</v>
      </c>
    </row>
    <row r="17490" spans="1:6" x14ac:dyDescent="0.25">
      <c r="A17490" s="2" t="str">
        <f t="shared" si="628"/>
        <v>31080</v>
      </c>
      <c r="B17490" s="2" t="str">
        <f>"90082"</f>
        <v>90082</v>
      </c>
      <c r="C17490" s="1">
        <v>9.6168013284326796E-5</v>
      </c>
      <c r="D17490" s="1">
        <v>3.4126531428097801E-5</v>
      </c>
      <c r="E17490" s="1">
        <v>5.5992452217441E-6</v>
      </c>
      <c r="F17490" s="1">
        <v>8.4403557092834494E-5</v>
      </c>
    </row>
    <row r="17491" spans="1:6" x14ac:dyDescent="0.25">
      <c r="A17491" s="2" t="str">
        <f t="shared" si="628"/>
        <v>31080</v>
      </c>
      <c r="B17491" s="2" t="str">
        <f>"90090"</f>
        <v>90090</v>
      </c>
      <c r="C17491" s="1">
        <v>0</v>
      </c>
      <c r="D17491" s="1">
        <v>1.62507292514751E-6</v>
      </c>
      <c r="E17491" s="1">
        <v>0</v>
      </c>
      <c r="F17491" s="1">
        <v>1.6680544880006799E-7</v>
      </c>
    </row>
    <row r="17492" spans="1:6" x14ac:dyDescent="0.25">
      <c r="A17492" s="2" t="str">
        <f t="shared" si="628"/>
        <v>31080</v>
      </c>
      <c r="B17492" s="2" t="str">
        <f>"90043"</f>
        <v>90043</v>
      </c>
      <c r="C17492" s="1">
        <v>3.75214536302927E-3</v>
      </c>
      <c r="D17492" s="1">
        <v>2.0427166669104201E-3</v>
      </c>
      <c r="E17492" s="1">
        <v>2.61764714116537E-3</v>
      </c>
      <c r="F17492" s="1">
        <v>3.5090862264070301E-3</v>
      </c>
    </row>
    <row r="17493" spans="1:6" x14ac:dyDescent="0.25">
      <c r="A17493" s="2" t="str">
        <f t="shared" si="628"/>
        <v>31080</v>
      </c>
      <c r="B17493" s="2" t="str">
        <f>"90077"</f>
        <v>90077</v>
      </c>
      <c r="C17493" s="1">
        <v>8.0259474440811805E-4</v>
      </c>
      <c r="D17493" s="1">
        <v>1.95008751017701E-4</v>
      </c>
      <c r="E17493" s="1">
        <v>6.7190942660929294E-5</v>
      </c>
      <c r="F17493" s="1">
        <v>6.9641274874028504E-4</v>
      </c>
    </row>
    <row r="17494" spans="1:6" x14ac:dyDescent="0.25">
      <c r="A17494" s="2" t="str">
        <f t="shared" si="628"/>
        <v>31080</v>
      </c>
      <c r="B17494" s="2" t="str">
        <f>"90048"</f>
        <v>90048</v>
      </c>
      <c r="C17494" s="1">
        <v>3.0128662050071002E-3</v>
      </c>
      <c r="D17494" s="1">
        <v>5.4179931324418104E-3</v>
      </c>
      <c r="E17494" s="1">
        <v>4.3870086312365001E-3</v>
      </c>
      <c r="F17494" s="1">
        <v>3.3416135558117601E-3</v>
      </c>
    </row>
    <row r="17495" spans="1:6" x14ac:dyDescent="0.25">
      <c r="A17495" s="2" t="str">
        <f t="shared" si="628"/>
        <v>31080</v>
      </c>
      <c r="B17495" s="2" t="str">
        <f>"90015"</f>
        <v>90015</v>
      </c>
      <c r="C17495" s="1">
        <v>2.9738415039641899E-3</v>
      </c>
      <c r="D17495" s="1">
        <v>1.29583315051262E-2</v>
      </c>
      <c r="E17495" s="1">
        <v>2.94240336402652E-3</v>
      </c>
      <c r="F17495" s="1">
        <v>3.9968253586984302E-3</v>
      </c>
    </row>
    <row r="17496" spans="1:6" x14ac:dyDescent="0.25">
      <c r="A17496" s="2" t="str">
        <f t="shared" si="628"/>
        <v>31080</v>
      </c>
      <c r="B17496" s="2" t="str">
        <f>"90029"</f>
        <v>90029</v>
      </c>
      <c r="C17496" s="1">
        <v>3.2828534224264602E-3</v>
      </c>
      <c r="D17496" s="1">
        <v>2.9495073591427399E-3</v>
      </c>
      <c r="E17496" s="1">
        <v>4.3422146694625501E-3</v>
      </c>
      <c r="F17496" s="1">
        <v>3.31175538047655E-3</v>
      </c>
    </row>
    <row r="17497" spans="1:6" x14ac:dyDescent="0.25">
      <c r="A17497" s="2" t="str">
        <f t="shared" si="628"/>
        <v>31080</v>
      </c>
      <c r="B17497" s="2" t="str">
        <f>"90017"</f>
        <v>90017</v>
      </c>
      <c r="C17497" s="1">
        <v>2.9879780028113701E-3</v>
      </c>
      <c r="D17497" s="1">
        <v>5.2424852565258803E-3</v>
      </c>
      <c r="E17497" s="1">
        <v>2.48886450106525E-3</v>
      </c>
      <c r="F17497" s="1">
        <v>3.1896537919548999E-3</v>
      </c>
    </row>
    <row r="17498" spans="1:6" x14ac:dyDescent="0.25">
      <c r="A17498" s="2" t="str">
        <f t="shared" si="628"/>
        <v>31080</v>
      </c>
      <c r="B17498" s="2" t="str">
        <f>"92838"</f>
        <v>92838</v>
      </c>
      <c r="C17498" s="1">
        <v>1.9870740633076201E-4</v>
      </c>
      <c r="D17498" s="1">
        <v>4.2739417931379601E-4</v>
      </c>
      <c r="E17498" s="1">
        <v>8.3988678326161601E-6</v>
      </c>
      <c r="F17498" s="1">
        <v>2.10842087283286E-4</v>
      </c>
    </row>
    <row r="17499" spans="1:6" x14ac:dyDescent="0.25">
      <c r="A17499" s="2" t="str">
        <f t="shared" si="628"/>
        <v>31080</v>
      </c>
      <c r="B17499" s="2" t="str">
        <f>"92823"</f>
        <v>92823</v>
      </c>
      <c r="C17499" s="1">
        <v>4.3026723955989597E-4</v>
      </c>
      <c r="D17499" s="1">
        <v>1.1538017768547299E-4</v>
      </c>
      <c r="E17499" s="1">
        <v>9.5187168769649794E-5</v>
      </c>
      <c r="F17499" s="1">
        <v>3.7798114698095399E-4</v>
      </c>
    </row>
    <row r="17500" spans="1:6" x14ac:dyDescent="0.25">
      <c r="A17500" s="2" t="str">
        <f t="shared" si="628"/>
        <v>31080</v>
      </c>
      <c r="B17500" s="2" t="str">
        <f>"92822"</f>
        <v>92822</v>
      </c>
      <c r="C17500" s="1">
        <v>2.9288436343943001E-4</v>
      </c>
      <c r="D17500" s="1">
        <v>1.14730148515414E-3</v>
      </c>
      <c r="E17500" s="1">
        <v>5.5992452217441E-6</v>
      </c>
      <c r="F17500" s="1">
        <v>3.6346907293534797E-4</v>
      </c>
    </row>
    <row r="17501" spans="1:6" x14ac:dyDescent="0.25">
      <c r="A17501" s="2" t="str">
        <f t="shared" si="628"/>
        <v>31080</v>
      </c>
      <c r="B17501" s="2" t="str">
        <f>"92780"</f>
        <v>92780</v>
      </c>
      <c r="C17501" s="1">
        <v>4.0356717624431002E-3</v>
      </c>
      <c r="D17501" s="1">
        <v>6.2727814910694098E-3</v>
      </c>
      <c r="E17501" s="1">
        <v>5.9967916324879401E-3</v>
      </c>
      <c r="F17501" s="1">
        <v>4.3821459454265899E-3</v>
      </c>
    </row>
    <row r="17502" spans="1:6" x14ac:dyDescent="0.25">
      <c r="A17502" s="2" t="str">
        <f t="shared" si="628"/>
        <v>31080</v>
      </c>
      <c r="B17502" s="2" t="str">
        <f>"92802"</f>
        <v>92802</v>
      </c>
      <c r="C17502" s="1">
        <v>2.5722454733337801E-3</v>
      </c>
      <c r="D17502" s="1">
        <v>1.75670383208446E-3</v>
      </c>
      <c r="E17502" s="1">
        <v>4.0146588239905199E-3</v>
      </c>
      <c r="F17502" s="1">
        <v>2.5744752967802498E-3</v>
      </c>
    </row>
    <row r="17503" spans="1:6" x14ac:dyDescent="0.25">
      <c r="A17503" s="2" t="str">
        <f t="shared" si="628"/>
        <v>31080</v>
      </c>
      <c r="B17503" s="2" t="str">
        <f>"92674"</f>
        <v>92674</v>
      </c>
      <c r="C17503" s="1">
        <v>4.5157154063944701E-4</v>
      </c>
      <c r="D17503" s="1">
        <v>9.2629156733408399E-4</v>
      </c>
      <c r="E17503" s="1">
        <v>1.11984904434882E-5</v>
      </c>
      <c r="F17503" s="1">
        <v>4.7406108548979402E-4</v>
      </c>
    </row>
    <row r="17504" spans="1:6" x14ac:dyDescent="0.25">
      <c r="A17504" s="2" t="str">
        <f t="shared" si="628"/>
        <v>31080</v>
      </c>
      <c r="B17504" s="2" t="str">
        <f>"92707"</f>
        <v>92707</v>
      </c>
      <c r="C17504" s="1">
        <v>2.7872795403049498E-3</v>
      </c>
      <c r="D17504" s="1">
        <v>2.8568782024093299E-3</v>
      </c>
      <c r="E17504" s="1">
        <v>4.0342561822666297E-3</v>
      </c>
      <c r="F17504" s="1">
        <v>2.8687201084635701E-3</v>
      </c>
    </row>
    <row r="17505" spans="1:6" x14ac:dyDescent="0.25">
      <c r="A17505" s="2" t="str">
        <f t="shared" si="628"/>
        <v>31080</v>
      </c>
      <c r="B17505" s="2" t="str">
        <f>"92624"</f>
        <v>92624</v>
      </c>
      <c r="C17505" s="1">
        <v>8.2330172863497096E-4</v>
      </c>
      <c r="D17505" s="1">
        <v>7.9303558747198695E-4</v>
      </c>
      <c r="E17505" s="1">
        <v>4.9553320212435299E-4</v>
      </c>
      <c r="F17505" s="1">
        <v>8.0066615424032701E-4</v>
      </c>
    </row>
    <row r="17506" spans="1:6" x14ac:dyDescent="0.25">
      <c r="A17506" s="2" t="str">
        <f t="shared" si="628"/>
        <v>31080</v>
      </c>
      <c r="B17506" s="2" t="str">
        <f>"92623"</f>
        <v>92623</v>
      </c>
      <c r="C17506" s="1">
        <v>4.3843056988009799E-4</v>
      </c>
      <c r="D17506" s="1">
        <v>9.6854346338791895E-4</v>
      </c>
      <c r="E17506" s="1">
        <v>8.3988678326161601E-6</v>
      </c>
      <c r="F17506" s="1">
        <v>4.6722206208899101E-4</v>
      </c>
    </row>
    <row r="17507" spans="1:6" x14ac:dyDescent="0.25">
      <c r="A17507" s="2" t="str">
        <f t="shared" si="628"/>
        <v>31080</v>
      </c>
      <c r="B17507" s="2" t="str">
        <f>"92617"</f>
        <v>92617</v>
      </c>
      <c r="C17507" s="1">
        <v>1.1337073864201999E-3</v>
      </c>
      <c r="D17507" s="1">
        <v>2.7951254312537198E-4</v>
      </c>
      <c r="E17507" s="1">
        <v>4.08744901187319E-4</v>
      </c>
      <c r="F17507" s="1">
        <v>1.0028343581860099E-3</v>
      </c>
    </row>
    <row r="17508" spans="1:6" x14ac:dyDescent="0.25">
      <c r="A17508" s="2" t="str">
        <f t="shared" si="628"/>
        <v>31080</v>
      </c>
      <c r="B17508" s="2" t="str">
        <f>"92614"</f>
        <v>92614</v>
      </c>
      <c r="C17508" s="1">
        <v>2.4440214556213399E-3</v>
      </c>
      <c r="D17508" s="1">
        <v>5.1254800059152596E-3</v>
      </c>
      <c r="E17508" s="1">
        <v>1.4026109280468901E-3</v>
      </c>
      <c r="F17508" s="1">
        <v>2.65721079938508E-3</v>
      </c>
    </row>
    <row r="17509" spans="1:6" x14ac:dyDescent="0.25">
      <c r="A17509" s="2" t="str">
        <f t="shared" si="628"/>
        <v>31080</v>
      </c>
      <c r="B17509" s="2" t="str">
        <f>"92606"</f>
        <v>92606</v>
      </c>
      <c r="C17509" s="1">
        <v>1.76765967275E-3</v>
      </c>
      <c r="D17509" s="1">
        <v>1.67870033167738E-3</v>
      </c>
      <c r="E17509" s="1">
        <v>5.9351999350487497E-4</v>
      </c>
      <c r="F17509" s="1">
        <v>1.6885715582030899E-3</v>
      </c>
    </row>
    <row r="17510" spans="1:6" x14ac:dyDescent="0.25">
      <c r="A17510" s="2" t="str">
        <f t="shared" ref="A17510:A17573" si="629">"31080"</f>
        <v>31080</v>
      </c>
      <c r="B17510" s="2" t="str">
        <f>"92659"</f>
        <v>92659</v>
      </c>
      <c r="C17510" s="1">
        <v>3.32904592570174E-4</v>
      </c>
      <c r="D17510" s="1">
        <v>1.00429506774116E-3</v>
      </c>
      <c r="E17510" s="1">
        <v>8.3988678326161601E-6</v>
      </c>
      <c r="F17510" s="1">
        <v>3.8248489409855598E-4</v>
      </c>
    </row>
    <row r="17511" spans="1:6" x14ac:dyDescent="0.25">
      <c r="A17511" s="2" t="str">
        <f t="shared" si="629"/>
        <v>31080</v>
      </c>
      <c r="B17511" s="2" t="str">
        <f>"92397"</f>
        <v>92397</v>
      </c>
      <c r="C17511" s="1">
        <v>1.99105617565894E-7</v>
      </c>
      <c r="D17511" s="1">
        <v>0</v>
      </c>
      <c r="E17511" s="1">
        <v>0</v>
      </c>
      <c r="F17511" s="1">
        <v>1.6680544880006799E-7</v>
      </c>
    </row>
    <row r="17512" spans="1:6" x14ac:dyDescent="0.25">
      <c r="A17512" s="2" t="str">
        <f t="shared" si="629"/>
        <v>31080</v>
      </c>
      <c r="B17512" s="2" t="str">
        <f>"91776"</f>
        <v>91776</v>
      </c>
      <c r="C17512" s="1">
        <v>2.46652039040629E-3</v>
      </c>
      <c r="D17512" s="1">
        <v>3.65803915450705E-3</v>
      </c>
      <c r="E17512" s="1">
        <v>6.0751810655923499E-3</v>
      </c>
      <c r="F17512" s="1">
        <v>2.80383278888034E-3</v>
      </c>
    </row>
    <row r="17513" spans="1:6" x14ac:dyDescent="0.25">
      <c r="A17513" s="2" t="str">
        <f t="shared" si="629"/>
        <v>31080</v>
      </c>
      <c r="B17513" s="2" t="str">
        <f>"91714"</f>
        <v>91714</v>
      </c>
      <c r="C17513" s="1">
        <v>0</v>
      </c>
      <c r="D17513" s="1">
        <v>0</v>
      </c>
      <c r="E17513" s="1">
        <v>2.79962261087205E-6</v>
      </c>
      <c r="F17513" s="1">
        <v>1.6680544880006799E-7</v>
      </c>
    </row>
    <row r="17514" spans="1:6" x14ac:dyDescent="0.25">
      <c r="A17514" s="2" t="str">
        <f t="shared" si="629"/>
        <v>31080</v>
      </c>
      <c r="B17514" s="2" t="str">
        <f>"91716"</f>
        <v>91716</v>
      </c>
      <c r="C17514" s="1">
        <v>0</v>
      </c>
      <c r="D17514" s="1">
        <v>0</v>
      </c>
      <c r="E17514" s="1">
        <v>2.79962261087205E-6</v>
      </c>
      <c r="F17514" s="1">
        <v>1.6680544880006799E-7</v>
      </c>
    </row>
    <row r="17515" spans="1:6" x14ac:dyDescent="0.25">
      <c r="A17515" s="2" t="str">
        <f t="shared" si="629"/>
        <v>31080</v>
      </c>
      <c r="B17515" s="2" t="str">
        <f>"91722"</f>
        <v>91722</v>
      </c>
      <c r="C17515" s="1">
        <v>2.4478044623551E-3</v>
      </c>
      <c r="D17515" s="1">
        <v>1.67870033167738E-3</v>
      </c>
      <c r="E17515" s="1">
        <v>1.1170494217379401E-3</v>
      </c>
      <c r="F17515" s="1">
        <v>2.2895715902297299E-3</v>
      </c>
    </row>
    <row r="17516" spans="1:6" x14ac:dyDescent="0.25">
      <c r="A17516" s="2" t="str">
        <f t="shared" si="629"/>
        <v>31080</v>
      </c>
      <c r="B17516" s="2" t="str">
        <f>"91711"</f>
        <v>91711</v>
      </c>
      <c r="C17516" s="1">
        <v>2.7297380168284E-3</v>
      </c>
      <c r="D17516" s="1">
        <v>3.1656420581873601E-3</v>
      </c>
      <c r="E17516" s="1">
        <v>1.5985845108079399E-3</v>
      </c>
      <c r="F17516" s="1">
        <v>2.7070856285763001E-3</v>
      </c>
    </row>
    <row r="17517" spans="1:6" x14ac:dyDescent="0.25">
      <c r="A17517" s="2" t="str">
        <f t="shared" si="629"/>
        <v>31080</v>
      </c>
      <c r="B17517" s="2" t="str">
        <f>"91750"</f>
        <v>91750</v>
      </c>
      <c r="C17517" s="1">
        <v>2.85079423230847E-3</v>
      </c>
      <c r="D17517" s="1">
        <v>2.3482303768381598E-3</v>
      </c>
      <c r="E17517" s="1">
        <v>6.1031772917010698E-4</v>
      </c>
      <c r="F17517" s="1">
        <v>2.66571787727389E-3</v>
      </c>
    </row>
    <row r="17518" spans="1:6" x14ac:dyDescent="0.25">
      <c r="A17518" s="2" t="str">
        <f t="shared" si="629"/>
        <v>31080</v>
      </c>
      <c r="B17518" s="2" t="str">
        <f>"91401"</f>
        <v>91401</v>
      </c>
      <c r="C17518" s="1">
        <v>3.0419356251717199E-3</v>
      </c>
      <c r="D17518" s="1">
        <v>2.87962922336139E-3</v>
      </c>
      <c r="E17518" s="1">
        <v>4.7061656088759202E-3</v>
      </c>
      <c r="F17518" s="1">
        <v>3.1244328614740699E-3</v>
      </c>
    </row>
    <row r="17519" spans="1:6" x14ac:dyDescent="0.25">
      <c r="A17519" s="2" t="str">
        <f t="shared" si="629"/>
        <v>31080</v>
      </c>
      <c r="B17519" s="2" t="str">
        <f>"91402"</f>
        <v>91402</v>
      </c>
      <c r="C17519" s="1">
        <v>3.8489106931662901E-3</v>
      </c>
      <c r="D17519" s="1">
        <v>2.62774291996353E-3</v>
      </c>
      <c r="E17519" s="1">
        <v>3.45473430181611E-3</v>
      </c>
      <c r="F17519" s="1">
        <v>3.7000784652831101E-3</v>
      </c>
    </row>
    <row r="17520" spans="1:6" x14ac:dyDescent="0.25">
      <c r="A17520" s="2" t="str">
        <f t="shared" si="629"/>
        <v>31080</v>
      </c>
      <c r="B17520" s="2" t="str">
        <f>"91612"</f>
        <v>91612</v>
      </c>
      <c r="C17520" s="1">
        <v>0</v>
      </c>
      <c r="D17520" s="1">
        <v>3.2501458502950302E-6</v>
      </c>
      <c r="E17520" s="1">
        <v>0</v>
      </c>
      <c r="F17520" s="1">
        <v>3.3361089760013598E-7</v>
      </c>
    </row>
    <row r="17521" spans="1:6" x14ac:dyDescent="0.25">
      <c r="A17521" s="2" t="str">
        <f t="shared" si="629"/>
        <v>31080</v>
      </c>
      <c r="B17521" s="2" t="str">
        <f>"91611"</f>
        <v>91611</v>
      </c>
      <c r="C17521" s="1">
        <v>0</v>
      </c>
      <c r="D17521" s="1">
        <v>3.2501458502950302E-6</v>
      </c>
      <c r="E17521" s="1">
        <v>0</v>
      </c>
      <c r="F17521" s="1">
        <v>3.3361089760013598E-7</v>
      </c>
    </row>
    <row r="17522" spans="1:6" x14ac:dyDescent="0.25">
      <c r="A17522" s="2" t="str">
        <f t="shared" si="629"/>
        <v>31080</v>
      </c>
      <c r="B17522" s="2" t="str">
        <f>"91610"</f>
        <v>91610</v>
      </c>
      <c r="C17522" s="1">
        <v>1.0333581551669799E-4</v>
      </c>
      <c r="D17522" s="1">
        <v>2.09634407344029E-4</v>
      </c>
      <c r="E17522" s="1">
        <v>2.79962261087205E-6</v>
      </c>
      <c r="F17522" s="1">
        <v>1.0825673627124399E-4</v>
      </c>
    </row>
    <row r="17523" spans="1:6" x14ac:dyDescent="0.25">
      <c r="A17523" s="2" t="str">
        <f t="shared" si="629"/>
        <v>31080</v>
      </c>
      <c r="B17523" s="2" t="str">
        <f>"91608"</f>
        <v>91608</v>
      </c>
      <c r="C17523" s="1">
        <v>0</v>
      </c>
      <c r="D17523" s="1">
        <v>2.6163674094874999E-4</v>
      </c>
      <c r="E17523" s="1">
        <v>1.9597358276104299E-5</v>
      </c>
      <c r="F17523" s="1">
        <v>2.8023315398411401E-5</v>
      </c>
    </row>
    <row r="17524" spans="1:6" x14ac:dyDescent="0.25">
      <c r="A17524" s="2" t="str">
        <f t="shared" si="629"/>
        <v>31080</v>
      </c>
      <c r="B17524" s="2" t="str">
        <f>"91521"</f>
        <v>91521</v>
      </c>
      <c r="C17524" s="1">
        <v>0</v>
      </c>
      <c r="D17524" s="1">
        <v>6.5002917005900603E-6</v>
      </c>
      <c r="E17524" s="1">
        <v>0</v>
      </c>
      <c r="F17524" s="1">
        <v>6.6722179520027301E-7</v>
      </c>
    </row>
    <row r="17525" spans="1:6" x14ac:dyDescent="0.25">
      <c r="A17525" s="2" t="str">
        <f t="shared" si="629"/>
        <v>31080</v>
      </c>
      <c r="B17525" s="2" t="str">
        <f>"91507"</f>
        <v>91507</v>
      </c>
      <c r="C17525" s="1">
        <v>6.9089649295365197E-5</v>
      </c>
      <c r="D17525" s="1">
        <v>1.75507875915931E-4</v>
      </c>
      <c r="E17525" s="1">
        <v>2.79962261087205E-6</v>
      </c>
      <c r="F17525" s="1">
        <v>7.6063284652831098E-5</v>
      </c>
    </row>
    <row r="17526" spans="1:6" x14ac:dyDescent="0.25">
      <c r="A17526" s="2" t="str">
        <f t="shared" si="629"/>
        <v>31080</v>
      </c>
      <c r="B17526" s="2" t="str">
        <f>"91504"</f>
        <v>91504</v>
      </c>
      <c r="C17526" s="1">
        <v>1.9729375644604399E-3</v>
      </c>
      <c r="D17526" s="1">
        <v>1.32118428814493E-3</v>
      </c>
      <c r="E17526" s="1">
        <v>1.9681346954430498E-3</v>
      </c>
      <c r="F17526" s="1">
        <v>1.9057522525407801E-3</v>
      </c>
    </row>
    <row r="17527" spans="1:6" x14ac:dyDescent="0.25">
      <c r="A17527" s="2" t="str">
        <f t="shared" si="629"/>
        <v>31080</v>
      </c>
      <c r="B17527" s="2" t="str">
        <f>"91601"</f>
        <v>91601</v>
      </c>
      <c r="C17527" s="1">
        <v>3.8011253449504799E-3</v>
      </c>
      <c r="D17527" s="1">
        <v>3.0665126097533602E-3</v>
      </c>
      <c r="E17527" s="1">
        <v>5.6580372965724197E-3</v>
      </c>
      <c r="F17527" s="1">
        <v>3.8363585169527699E-3</v>
      </c>
    </row>
    <row r="17528" spans="1:6" x14ac:dyDescent="0.25">
      <c r="A17528" s="2" t="str">
        <f t="shared" si="629"/>
        <v>31080</v>
      </c>
      <c r="B17528" s="2" t="str">
        <f>"91365"</f>
        <v>91365</v>
      </c>
      <c r="C17528" s="1">
        <v>1.06919716632885E-4</v>
      </c>
      <c r="D17528" s="1">
        <v>3.4939067890671501E-4</v>
      </c>
      <c r="E17528" s="1">
        <v>2.79962261087205E-6</v>
      </c>
      <c r="F17528" s="1">
        <v>1.2560450294645101E-4</v>
      </c>
    </row>
    <row r="17529" spans="1:6" x14ac:dyDescent="0.25">
      <c r="A17529" s="2" t="str">
        <f t="shared" si="629"/>
        <v>31080</v>
      </c>
      <c r="B17529" s="2" t="str">
        <f>"91482"</f>
        <v>91482</v>
      </c>
      <c r="C17529" s="1">
        <v>0</v>
      </c>
      <c r="D17529" s="1">
        <v>0</v>
      </c>
      <c r="E17529" s="1">
        <v>2.79962261087205E-6</v>
      </c>
      <c r="F17529" s="1">
        <v>1.6680544880006799E-7</v>
      </c>
    </row>
    <row r="17530" spans="1:6" x14ac:dyDescent="0.25">
      <c r="A17530" s="2" t="str">
        <f t="shared" si="629"/>
        <v>31080</v>
      </c>
      <c r="B17530" s="2" t="str">
        <f>"91407"</f>
        <v>91407</v>
      </c>
      <c r="C17530" s="1">
        <v>2.4888202195736699E-5</v>
      </c>
      <c r="D17530" s="1">
        <v>4.3876968978982899E-5</v>
      </c>
      <c r="E17530" s="1">
        <v>8.3988678326161601E-6</v>
      </c>
      <c r="F17530" s="1">
        <v>2.58548445640105E-5</v>
      </c>
    </row>
    <row r="17531" spans="1:6" x14ac:dyDescent="0.25">
      <c r="A17531" s="2" t="str">
        <f t="shared" si="629"/>
        <v>31080</v>
      </c>
      <c r="B17531" s="2" t="str">
        <f>"91340"</f>
        <v>91340</v>
      </c>
      <c r="C17531" s="1">
        <v>1.65337304826718E-3</v>
      </c>
      <c r="D17531" s="1">
        <v>2.6488688679904499E-3</v>
      </c>
      <c r="E17531" s="1">
        <v>2.62044676377624E-3</v>
      </c>
      <c r="F17531" s="1">
        <v>1.8131752284567401E-3</v>
      </c>
    </row>
    <row r="17532" spans="1:6" x14ac:dyDescent="0.25">
      <c r="A17532" s="2" t="str">
        <f t="shared" si="629"/>
        <v>31080</v>
      </c>
      <c r="B17532" s="2" t="str">
        <f>"91342"</f>
        <v>91342</v>
      </c>
      <c r="C17532" s="1">
        <v>5.01686424580783E-3</v>
      </c>
      <c r="D17532" s="1">
        <v>2.4099831479937601E-3</v>
      </c>
      <c r="E17532" s="1">
        <v>2.5980497828892602E-3</v>
      </c>
      <c r="F17532" s="1">
        <v>4.6051648304722796E-3</v>
      </c>
    </row>
    <row r="17533" spans="1:6" x14ac:dyDescent="0.25">
      <c r="A17533" s="2" t="str">
        <f t="shared" si="629"/>
        <v>31080</v>
      </c>
      <c r="B17533" s="2" t="str">
        <f>"91334"</f>
        <v>91334</v>
      </c>
      <c r="C17533" s="1">
        <v>1.3698466488533501E-4</v>
      </c>
      <c r="D17533" s="1">
        <v>6.5002917005900601E-5</v>
      </c>
      <c r="E17533" s="1">
        <v>2.79962261087205E-6</v>
      </c>
      <c r="F17533" s="1">
        <v>1.21601172175249E-4</v>
      </c>
    </row>
    <row r="17534" spans="1:6" x14ac:dyDescent="0.25">
      <c r="A17534" s="2" t="str">
        <f t="shared" si="629"/>
        <v>31080</v>
      </c>
      <c r="B17534" s="2" t="str">
        <f>"91330"</f>
        <v>91330</v>
      </c>
      <c r="C17534" s="1">
        <v>2.00101145653723E-4</v>
      </c>
      <c r="D17534" s="1">
        <v>1.13755104760326E-5</v>
      </c>
      <c r="E17534" s="1">
        <v>5.5992452217441E-6</v>
      </c>
      <c r="F17534" s="1">
        <v>1.69140725083269E-4</v>
      </c>
    </row>
    <row r="17535" spans="1:6" x14ac:dyDescent="0.25">
      <c r="A17535" s="2" t="str">
        <f t="shared" si="629"/>
        <v>31080</v>
      </c>
      <c r="B17535" s="2" t="str">
        <f>"91207"</f>
        <v>91207</v>
      </c>
      <c r="C17535" s="1">
        <v>8.37040016247018E-4</v>
      </c>
      <c r="D17535" s="1">
        <v>2.2100991782006199E-4</v>
      </c>
      <c r="E17535" s="1">
        <v>8.5948414153772001E-4</v>
      </c>
      <c r="F17535" s="1">
        <v>7.7514492057391697E-4</v>
      </c>
    </row>
    <row r="17536" spans="1:6" x14ac:dyDescent="0.25">
      <c r="A17536" s="2" t="str">
        <f t="shared" si="629"/>
        <v>31080</v>
      </c>
      <c r="B17536" s="2" t="str">
        <f>"90833"</f>
        <v>90833</v>
      </c>
      <c r="C17536" s="1">
        <v>0</v>
      </c>
      <c r="D17536" s="1">
        <v>1.62507292514751E-6</v>
      </c>
      <c r="E17536" s="1">
        <v>2.79962261087205E-6</v>
      </c>
      <c r="F17536" s="1">
        <v>3.3361089760013598E-7</v>
      </c>
    </row>
    <row r="17537" spans="1:6" x14ac:dyDescent="0.25">
      <c r="A17537" s="2" t="str">
        <f t="shared" si="629"/>
        <v>31080</v>
      </c>
      <c r="B17537" s="2" t="str">
        <f>"90815"</f>
        <v>90815</v>
      </c>
      <c r="C17537" s="1">
        <v>3.2280993775958299E-3</v>
      </c>
      <c r="D17537" s="1">
        <v>1.70470149847974E-3</v>
      </c>
      <c r="E17537" s="1">
        <v>1.6293803595275301E-3</v>
      </c>
      <c r="F17537" s="1">
        <v>2.9764764283884098E-3</v>
      </c>
    </row>
    <row r="17538" spans="1:6" x14ac:dyDescent="0.25">
      <c r="A17538" s="2" t="str">
        <f t="shared" si="629"/>
        <v>31080</v>
      </c>
      <c r="B17538" s="2" t="str">
        <f>"91203"</f>
        <v>91203</v>
      </c>
      <c r="C17538" s="1">
        <v>1.5578023518355499E-3</v>
      </c>
      <c r="D17538" s="1">
        <v>2.8975050255380199E-3</v>
      </c>
      <c r="E17538" s="1">
        <v>3.08798373979187E-3</v>
      </c>
      <c r="F17538" s="1">
        <v>1.78648635664873E-3</v>
      </c>
    </row>
    <row r="17539" spans="1:6" x14ac:dyDescent="0.25">
      <c r="A17539" s="2" t="str">
        <f t="shared" si="629"/>
        <v>31080</v>
      </c>
      <c r="B17539" s="2" t="str">
        <f>"91189"</f>
        <v>91189</v>
      </c>
      <c r="C17539" s="1">
        <v>0</v>
      </c>
      <c r="D17539" s="1">
        <v>3.2501458502950302E-6</v>
      </c>
      <c r="E17539" s="1">
        <v>0</v>
      </c>
      <c r="F17539" s="1">
        <v>3.3361089760013598E-7</v>
      </c>
    </row>
    <row r="17540" spans="1:6" x14ac:dyDescent="0.25">
      <c r="A17540" s="2" t="str">
        <f t="shared" si="629"/>
        <v>31080</v>
      </c>
      <c r="B17540" s="2" t="str">
        <f>"91107"</f>
        <v>91107</v>
      </c>
      <c r="C17540" s="1">
        <v>2.7992258773589002E-3</v>
      </c>
      <c r="D17540" s="1">
        <v>3.40615285110919E-3</v>
      </c>
      <c r="E17540" s="1">
        <v>2.67923883860455E-3</v>
      </c>
      <c r="F17540" s="1">
        <v>2.8543748398667601E-3</v>
      </c>
    </row>
    <row r="17541" spans="1:6" x14ac:dyDescent="0.25">
      <c r="A17541" s="2" t="str">
        <f t="shared" si="629"/>
        <v>31080</v>
      </c>
      <c r="B17541" s="2" t="str">
        <f>"90809"</f>
        <v>90809</v>
      </c>
      <c r="C17541" s="1">
        <v>2.2459113661432801E-4</v>
      </c>
      <c r="D17541" s="1">
        <v>6.2240293033149802E-4</v>
      </c>
      <c r="E17541" s="1">
        <v>2.79962261087205E-6</v>
      </c>
      <c r="F17541" s="1">
        <v>2.5220983858570298E-4</v>
      </c>
    </row>
    <row r="17542" spans="1:6" x14ac:dyDescent="0.25">
      <c r="A17542" s="2" t="str">
        <f t="shared" si="629"/>
        <v>31080</v>
      </c>
      <c r="B17542" s="2" t="str">
        <f>"91023"</f>
        <v>91023</v>
      </c>
      <c r="C17542" s="1">
        <v>1.9910561756589398E-6</v>
      </c>
      <c r="D17542" s="1">
        <v>0</v>
      </c>
      <c r="E17542" s="1">
        <v>5.5992452217441E-6</v>
      </c>
      <c r="F17542" s="1">
        <v>2.0016653856008101E-6</v>
      </c>
    </row>
    <row r="17543" spans="1:6" x14ac:dyDescent="0.25">
      <c r="A17543" s="2" t="str">
        <f t="shared" si="629"/>
        <v>31080</v>
      </c>
      <c r="B17543" s="2" t="str">
        <f>"91021"</f>
        <v>91021</v>
      </c>
      <c r="C17543" s="1">
        <v>8.6810049258729695E-5</v>
      </c>
      <c r="D17543" s="1">
        <v>3.1851429332891302E-4</v>
      </c>
      <c r="E17543" s="1">
        <v>5.5992452217441E-6</v>
      </c>
      <c r="F17543" s="1">
        <v>1.05754654539243E-4</v>
      </c>
    </row>
    <row r="17544" spans="1:6" x14ac:dyDescent="0.25">
      <c r="A17544" s="2" t="str">
        <f t="shared" si="629"/>
        <v>31080</v>
      </c>
      <c r="B17544" s="2" t="str">
        <f>"91020"</f>
        <v>91020</v>
      </c>
      <c r="C17544" s="1">
        <v>6.7377340984298498E-4</v>
      </c>
      <c r="D17544" s="1">
        <v>8.0116095209772497E-4</v>
      </c>
      <c r="E17544" s="1">
        <v>1.84495130056468E-3</v>
      </c>
      <c r="F17544" s="1">
        <v>7.5662951575710899E-4</v>
      </c>
    </row>
    <row r="17545" spans="1:6" x14ac:dyDescent="0.25">
      <c r="A17545" s="2" t="str">
        <f t="shared" si="629"/>
        <v>31080</v>
      </c>
      <c r="B17545" s="2" t="str">
        <f>"91017"</f>
        <v>91017</v>
      </c>
      <c r="C17545" s="1">
        <v>2.84721033119228E-4</v>
      </c>
      <c r="D17545" s="1">
        <v>6.6140468053503901E-4</v>
      </c>
      <c r="E17545" s="1">
        <v>5.5992452217441E-6</v>
      </c>
      <c r="F17545" s="1">
        <v>3.0675522034332499E-4</v>
      </c>
    </row>
    <row r="17546" spans="1:6" x14ac:dyDescent="0.25">
      <c r="A17546" s="2" t="str">
        <f t="shared" si="629"/>
        <v>31080</v>
      </c>
      <c r="B17546" s="2" t="str">
        <f>"91016"</f>
        <v>91016</v>
      </c>
      <c r="C17546" s="1">
        <v>3.2513947348510402E-3</v>
      </c>
      <c r="D17546" s="1">
        <v>2.9657580883942101E-3</v>
      </c>
      <c r="E17546" s="1">
        <v>7.2202267134390203E-3</v>
      </c>
      <c r="F17546" s="1">
        <v>3.4585441754206099E-3</v>
      </c>
    </row>
    <row r="17547" spans="1:6" x14ac:dyDescent="0.25">
      <c r="A17547" s="2" t="str">
        <f t="shared" si="629"/>
        <v>31080</v>
      </c>
      <c r="B17547" s="2" t="str">
        <f>"90713"</f>
        <v>90713</v>
      </c>
      <c r="C17547" s="1">
        <v>1.95223058023359E-3</v>
      </c>
      <c r="D17547" s="1">
        <v>5.8990147182854801E-4</v>
      </c>
      <c r="E17547" s="1">
        <v>1.9597358276104301E-4</v>
      </c>
      <c r="F17547" s="1">
        <v>1.70775418481509E-3</v>
      </c>
    </row>
    <row r="17548" spans="1:6" x14ac:dyDescent="0.25">
      <c r="A17548" s="2" t="str">
        <f t="shared" si="629"/>
        <v>31080</v>
      </c>
      <c r="B17548" s="2" t="str">
        <f>"90706"</f>
        <v>90706</v>
      </c>
      <c r="C17548" s="1">
        <v>4.9427969560733101E-3</v>
      </c>
      <c r="D17548" s="1">
        <v>3.5085324453934799E-3</v>
      </c>
      <c r="E17548" s="1">
        <v>4.7929539098129498E-3</v>
      </c>
      <c r="F17548" s="1">
        <v>4.7866491587667597E-3</v>
      </c>
    </row>
    <row r="17549" spans="1:6" x14ac:dyDescent="0.25">
      <c r="A17549" s="2" t="str">
        <f t="shared" si="629"/>
        <v>31080</v>
      </c>
      <c r="B17549" s="2" t="str">
        <f>"90744"</f>
        <v>90744</v>
      </c>
      <c r="C17549" s="1">
        <v>2.98100930619656E-3</v>
      </c>
      <c r="D17549" s="1">
        <v>2.9105056089392001E-3</v>
      </c>
      <c r="E17549" s="1">
        <v>3.4883297731465699E-3</v>
      </c>
      <c r="F17549" s="1">
        <v>3.0039993274404301E-3</v>
      </c>
    </row>
    <row r="17550" spans="1:6" x14ac:dyDescent="0.25">
      <c r="A17550" s="2" t="str">
        <f t="shared" si="629"/>
        <v>31080</v>
      </c>
      <c r="B17550" s="2" t="str">
        <f>"90732"</f>
        <v>90732</v>
      </c>
      <c r="C17550" s="1">
        <v>1.7790086929512601E-3</v>
      </c>
      <c r="D17550" s="1">
        <v>5.6552537795133504E-4</v>
      </c>
      <c r="E17550" s="1">
        <v>1.38301356977079E-3</v>
      </c>
      <c r="F17550" s="1">
        <v>1.63085687291826E-3</v>
      </c>
    </row>
    <row r="17551" spans="1:6" x14ac:dyDescent="0.25">
      <c r="A17551" s="2" t="str">
        <f t="shared" si="629"/>
        <v>31080</v>
      </c>
      <c r="B17551" s="2" t="str">
        <f>"90755"</f>
        <v>90755</v>
      </c>
      <c r="C17551" s="1">
        <v>9.36194613794833E-4</v>
      </c>
      <c r="D17551" s="1">
        <v>2.4392344606464201E-3</v>
      </c>
      <c r="E17551" s="1">
        <v>1.7217679056863099E-3</v>
      </c>
      <c r="F17551" s="1">
        <v>1.13727954991886E-3</v>
      </c>
    </row>
    <row r="17552" spans="1:6" x14ac:dyDescent="0.25">
      <c r="A17552" s="2" t="str">
        <f t="shared" si="629"/>
        <v>31080</v>
      </c>
      <c r="B17552" s="2" t="str">
        <f>"90749"</f>
        <v>90749</v>
      </c>
      <c r="C17552" s="1">
        <v>1.95521716449707E-4</v>
      </c>
      <c r="D17552" s="1">
        <v>5.6065015917589295E-4</v>
      </c>
      <c r="E17552" s="1">
        <v>1.3998113054360201E-5</v>
      </c>
      <c r="F17552" s="1">
        <v>2.2218485780169101E-4</v>
      </c>
    </row>
    <row r="17553" spans="1:6" x14ac:dyDescent="0.25">
      <c r="A17553" s="2" t="str">
        <f t="shared" si="629"/>
        <v>31080</v>
      </c>
      <c r="B17553" s="2" t="str">
        <f>"90652"</f>
        <v>90652</v>
      </c>
      <c r="C17553" s="1">
        <v>7.8646718938528101E-5</v>
      </c>
      <c r="D17553" s="1">
        <v>1.02379594284293E-4</v>
      </c>
      <c r="E17553" s="1">
        <v>8.3988678326161601E-6</v>
      </c>
      <c r="F17553" s="1">
        <v>7.6897311896831407E-5</v>
      </c>
    </row>
    <row r="17554" spans="1:6" x14ac:dyDescent="0.25">
      <c r="A17554" s="2" t="str">
        <f t="shared" si="629"/>
        <v>31080</v>
      </c>
      <c r="B17554" s="2" t="str">
        <f>"90660"</f>
        <v>90660</v>
      </c>
      <c r="C17554" s="1">
        <v>3.42979336819009E-3</v>
      </c>
      <c r="D17554" s="1">
        <v>2.7154968579214899E-3</v>
      </c>
      <c r="E17554" s="1">
        <v>1.04705885646614E-3</v>
      </c>
      <c r="F17554" s="1">
        <v>3.21450780382611E-3</v>
      </c>
    </row>
    <row r="17555" spans="1:6" x14ac:dyDescent="0.25">
      <c r="A17555" s="2" t="str">
        <f t="shared" si="629"/>
        <v>31080</v>
      </c>
      <c r="B17555" s="2" t="str">
        <f>"90309"</f>
        <v>90309</v>
      </c>
      <c r="C17555" s="1">
        <v>1.06322399780187E-4</v>
      </c>
      <c r="D17555" s="1">
        <v>1.1863032353576799E-4</v>
      </c>
      <c r="E17555" s="1">
        <v>1.11984904434882E-5</v>
      </c>
      <c r="F17555" s="1">
        <v>1.01918129216841E-4</v>
      </c>
    </row>
    <row r="17556" spans="1:6" x14ac:dyDescent="0.25">
      <c r="A17556" s="2" t="str">
        <f t="shared" si="629"/>
        <v>31080</v>
      </c>
      <c r="B17556" s="2" t="str">
        <f>"90305"</f>
        <v>90305</v>
      </c>
      <c r="C17556" s="1">
        <v>1.40329639260442E-3</v>
      </c>
      <c r="D17556" s="1">
        <v>7.5240876434329903E-4</v>
      </c>
      <c r="E17556" s="1">
        <v>1.6069833786405501E-3</v>
      </c>
      <c r="F17556" s="1">
        <v>1.34862205354855E-3</v>
      </c>
    </row>
    <row r="17557" spans="1:6" x14ac:dyDescent="0.25">
      <c r="A17557" s="2" t="str">
        <f t="shared" si="629"/>
        <v>31080</v>
      </c>
      <c r="B17557" s="2" t="str">
        <f>"90304"</f>
        <v>90304</v>
      </c>
      <c r="C17557" s="1">
        <v>1.56178446418687E-3</v>
      </c>
      <c r="D17557" s="1">
        <v>1.16030206855532E-3</v>
      </c>
      <c r="E17557" s="1">
        <v>1.2822271557793999E-3</v>
      </c>
      <c r="F17557" s="1">
        <v>1.50391792638141E-3</v>
      </c>
    </row>
    <row r="17558" spans="1:6" x14ac:dyDescent="0.25">
      <c r="A17558" s="2" t="str">
        <f t="shared" si="629"/>
        <v>31080</v>
      </c>
      <c r="B17558" s="2" t="str">
        <f>"90620"</f>
        <v>90620</v>
      </c>
      <c r="C17558" s="1">
        <v>2.75183874037822E-3</v>
      </c>
      <c r="D17558" s="1">
        <v>1.795705582288E-3</v>
      </c>
      <c r="E17558" s="1">
        <v>1.4810003611513099E-3</v>
      </c>
      <c r="F17558" s="1">
        <v>2.5779782112050498E-3</v>
      </c>
    </row>
    <row r="17559" spans="1:6" x14ac:dyDescent="0.25">
      <c r="A17559" s="2" t="str">
        <f t="shared" si="629"/>
        <v>31080</v>
      </c>
      <c r="B17559" s="2" t="str">
        <f>"90506"</f>
        <v>90506</v>
      </c>
      <c r="C17559" s="1">
        <v>0</v>
      </c>
      <c r="D17559" s="1">
        <v>3.2501458502950302E-6</v>
      </c>
      <c r="E17559" s="1">
        <v>2.79962261087205E-6</v>
      </c>
      <c r="F17559" s="1">
        <v>5.0041634640020402E-7</v>
      </c>
    </row>
    <row r="17560" spans="1:6" x14ac:dyDescent="0.25">
      <c r="A17560" s="2" t="str">
        <f t="shared" si="629"/>
        <v>31080</v>
      </c>
      <c r="B17560" s="2" t="str">
        <f>"90605"</f>
        <v>90605</v>
      </c>
      <c r="C17560" s="1">
        <v>2.4117663455756702E-3</v>
      </c>
      <c r="D17560" s="1">
        <v>1.7989557281383E-3</v>
      </c>
      <c r="E17560" s="1">
        <v>1.27382828794678E-3</v>
      </c>
      <c r="F17560" s="1">
        <v>2.2810645123409298E-3</v>
      </c>
    </row>
    <row r="17561" spans="1:6" x14ac:dyDescent="0.25">
      <c r="A17561" s="2" t="str">
        <f t="shared" si="629"/>
        <v>31080</v>
      </c>
      <c r="B17561" s="2" t="str">
        <f>"90603"</f>
        <v>90603</v>
      </c>
      <c r="C17561" s="1">
        <v>1.5884646169407001E-3</v>
      </c>
      <c r="D17561" s="1">
        <v>9.6204317168732895E-4</v>
      </c>
      <c r="E17561" s="1">
        <v>3.8074867507859901E-4</v>
      </c>
      <c r="F17561" s="1">
        <v>1.4522082372533901E-3</v>
      </c>
    </row>
    <row r="17562" spans="1:6" x14ac:dyDescent="0.25">
      <c r="A17562" s="2" t="str">
        <f t="shared" si="629"/>
        <v>31080</v>
      </c>
      <c r="B17562" s="2" t="str">
        <f>"90296"</f>
        <v>90296</v>
      </c>
      <c r="C17562" s="1">
        <v>1.5629790978922601E-4</v>
      </c>
      <c r="D17562" s="1">
        <v>1.21880469386063E-4</v>
      </c>
      <c r="E17562" s="1">
        <v>5.5992452217441E-6</v>
      </c>
      <c r="F17562" s="1">
        <v>1.43786296865658E-4</v>
      </c>
    </row>
    <row r="17563" spans="1:6" x14ac:dyDescent="0.25">
      <c r="A17563" s="2" t="str">
        <f t="shared" si="629"/>
        <v>31080</v>
      </c>
      <c r="B17563" s="2" t="str">
        <f>"90406"</f>
        <v>90406</v>
      </c>
      <c r="C17563" s="1">
        <v>3.9084432728184897E-4</v>
      </c>
      <c r="D17563" s="1">
        <v>6.0615220108002296E-4</v>
      </c>
      <c r="E17563" s="1">
        <v>8.3988678326161601E-6</v>
      </c>
      <c r="F17563" s="1">
        <v>3.9015794474335898E-4</v>
      </c>
    </row>
    <row r="17564" spans="1:6" x14ac:dyDescent="0.25">
      <c r="A17564" s="2" t="str">
        <f t="shared" si="629"/>
        <v>31080</v>
      </c>
      <c r="B17564" s="2" t="str">
        <f>"90409"</f>
        <v>90409</v>
      </c>
      <c r="C17564" s="1">
        <v>1.09308984043675E-4</v>
      </c>
      <c r="D17564" s="1">
        <v>2.90888053601405E-4</v>
      </c>
      <c r="E17564" s="1">
        <v>5.5992452217441E-6</v>
      </c>
      <c r="F17564" s="1">
        <v>1.21767977624049E-4</v>
      </c>
    </row>
    <row r="17565" spans="1:6" x14ac:dyDescent="0.25">
      <c r="A17565" s="2" t="str">
        <f t="shared" si="629"/>
        <v>31080</v>
      </c>
      <c r="B17565" s="2" t="str">
        <f>"90405"</f>
        <v>90405</v>
      </c>
      <c r="C17565" s="1">
        <v>3.1130163306427499E-3</v>
      </c>
      <c r="D17565" s="1">
        <v>2.8861295150619799E-3</v>
      </c>
      <c r="E17565" s="1">
        <v>7.4581946353631497E-3</v>
      </c>
      <c r="F17565" s="1">
        <v>3.3486193846613702E-3</v>
      </c>
    </row>
    <row r="17566" spans="1:6" x14ac:dyDescent="0.25">
      <c r="A17566" s="2" t="str">
        <f t="shared" si="629"/>
        <v>31080</v>
      </c>
      <c r="B17566" s="2" t="str">
        <f>"90248"</f>
        <v>90248</v>
      </c>
      <c r="C17566" s="1">
        <v>8.3345611513083195E-4</v>
      </c>
      <c r="D17566" s="1">
        <v>4.27719193898826E-3</v>
      </c>
      <c r="E17566" s="1">
        <v>9.6027055552911397E-4</v>
      </c>
      <c r="F17566" s="1">
        <v>1.19449381885728E-3</v>
      </c>
    </row>
    <row r="17567" spans="1:6" x14ac:dyDescent="0.25">
      <c r="A17567" s="2" t="str">
        <f t="shared" si="629"/>
        <v>31080</v>
      </c>
      <c r="B17567" s="2" t="str">
        <f>"90247"</f>
        <v>90247</v>
      </c>
      <c r="C17567" s="1">
        <v>3.65020328683553E-3</v>
      </c>
      <c r="D17567" s="1">
        <v>3.2062688813160401E-3</v>
      </c>
      <c r="E17567" s="1">
        <v>7.2622210526020999E-3</v>
      </c>
      <c r="F17567" s="1">
        <v>3.8198447775215599E-3</v>
      </c>
    </row>
    <row r="17568" spans="1:6" x14ac:dyDescent="0.25">
      <c r="A17568" s="2" t="str">
        <f t="shared" si="629"/>
        <v>31080</v>
      </c>
      <c r="B17568" s="2" t="str">
        <f>"90240"</f>
        <v>90240</v>
      </c>
      <c r="C17568" s="1">
        <v>1.6567578437658001E-3</v>
      </c>
      <c r="D17568" s="1">
        <v>1.6039469771205899E-3</v>
      </c>
      <c r="E17568" s="1">
        <v>9.8826678163783498E-4</v>
      </c>
      <c r="F17568" s="1">
        <v>1.61150744085746E-3</v>
      </c>
    </row>
    <row r="17569" spans="1:6" x14ac:dyDescent="0.25">
      <c r="A17569" s="2" t="str">
        <f t="shared" si="629"/>
        <v>31080</v>
      </c>
      <c r="B17569" s="2" t="str">
        <f>"90277"</f>
        <v>90277</v>
      </c>
      <c r="C17569" s="1">
        <v>3.9323359469263996E-3</v>
      </c>
      <c r="D17569" s="1">
        <v>3.39802748648345E-3</v>
      </c>
      <c r="E17569" s="1">
        <v>7.4469961449196596E-3</v>
      </c>
      <c r="F17569" s="1">
        <v>4.0869003010504702E-3</v>
      </c>
    </row>
    <row r="17570" spans="1:6" x14ac:dyDescent="0.25">
      <c r="A17570" s="2" t="str">
        <f t="shared" si="629"/>
        <v>31080</v>
      </c>
      <c r="B17570" s="2" t="str">
        <f>"90265"</f>
        <v>90265</v>
      </c>
      <c r="C17570" s="1">
        <v>1.9717429307550402E-3</v>
      </c>
      <c r="D17570" s="1">
        <v>1.50806767453689E-3</v>
      </c>
      <c r="E17570" s="1">
        <v>1.3998113054360199E-3</v>
      </c>
      <c r="F17570" s="1">
        <v>1.8900725403535701E-3</v>
      </c>
    </row>
    <row r="17571" spans="1:6" x14ac:dyDescent="0.25">
      <c r="A17571" s="2" t="str">
        <f t="shared" si="629"/>
        <v>31080</v>
      </c>
      <c r="B17571" s="2" t="str">
        <f>"90272"</f>
        <v>90272</v>
      </c>
      <c r="C17571" s="1">
        <v>2.12525336189835E-3</v>
      </c>
      <c r="D17571" s="1">
        <v>1.7014513526294401E-3</v>
      </c>
      <c r="E17571" s="1">
        <v>1.0134633851356799E-3</v>
      </c>
      <c r="F17571" s="1">
        <v>2.0155102378512199E-3</v>
      </c>
    </row>
    <row r="17572" spans="1:6" x14ac:dyDescent="0.25">
      <c r="A17572" s="2" t="str">
        <f t="shared" si="629"/>
        <v>31080</v>
      </c>
      <c r="B17572" s="2" t="str">
        <f>"90212"</f>
        <v>90212</v>
      </c>
      <c r="C17572" s="1">
        <v>1.5982207922014299E-3</v>
      </c>
      <c r="D17572" s="1">
        <v>3.7051662693363299E-3</v>
      </c>
      <c r="E17572" s="1">
        <v>2.98439770318961E-3</v>
      </c>
      <c r="F17572" s="1">
        <v>1.8970783692031699E-3</v>
      </c>
    </row>
    <row r="17573" spans="1:6" x14ac:dyDescent="0.25">
      <c r="A17573" s="2" t="str">
        <f t="shared" si="629"/>
        <v>31080</v>
      </c>
      <c r="B17573" s="2" t="str">
        <f>"90249"</f>
        <v>90249</v>
      </c>
      <c r="C17573" s="1">
        <v>2.0026043014777601E-3</v>
      </c>
      <c r="D17573" s="1">
        <v>3.1396408913850001E-3</v>
      </c>
      <c r="E17573" s="1">
        <v>2.4244731810151902E-3</v>
      </c>
      <c r="F17573" s="1">
        <v>2.1444508497736698E-3</v>
      </c>
    </row>
    <row r="17574" spans="1:6" x14ac:dyDescent="0.25">
      <c r="A17574" s="2" t="str">
        <f t="shared" ref="A17574:A17637" si="630">"31080"</f>
        <v>31080</v>
      </c>
      <c r="B17574" s="2" t="str">
        <f>"90081"</f>
        <v>90081</v>
      </c>
      <c r="C17574" s="1">
        <v>1.19861581774668E-4</v>
      </c>
      <c r="D17574" s="1">
        <v>2.0800933441888201E-4</v>
      </c>
      <c r="E17574" s="1">
        <v>5.5992452217441E-6</v>
      </c>
      <c r="F17574" s="1">
        <v>1.2210158852165001E-4</v>
      </c>
    </row>
    <row r="17575" spans="1:6" x14ac:dyDescent="0.25">
      <c r="A17575" s="2" t="str">
        <f t="shared" si="630"/>
        <v>31080</v>
      </c>
      <c r="B17575" s="2" t="str">
        <f>"90201"</f>
        <v>90201</v>
      </c>
      <c r="C17575" s="1">
        <v>5.0789851984883901E-3</v>
      </c>
      <c r="D17575" s="1">
        <v>3.55078434144732E-3</v>
      </c>
      <c r="E17575" s="1">
        <v>6.8450772835821697E-3</v>
      </c>
      <c r="F17575" s="1">
        <v>5.02734942138525E-3</v>
      </c>
    </row>
    <row r="17576" spans="1:6" x14ac:dyDescent="0.25">
      <c r="A17576" s="2" t="str">
        <f t="shared" si="630"/>
        <v>31080</v>
      </c>
      <c r="B17576" s="2" t="str">
        <f>"90211"</f>
        <v>90211</v>
      </c>
      <c r="C17576" s="1">
        <v>8.0976254664049004E-4</v>
      </c>
      <c r="D17576" s="1">
        <v>3.49065664321686E-3</v>
      </c>
      <c r="E17576" s="1">
        <v>1.7693614900711301E-3</v>
      </c>
      <c r="F17576" s="1">
        <v>1.1421169079340601E-3</v>
      </c>
    </row>
    <row r="17577" spans="1:6" x14ac:dyDescent="0.25">
      <c r="A17577" s="2" t="str">
        <f t="shared" si="630"/>
        <v>31080</v>
      </c>
      <c r="B17577" s="2" t="str">
        <f>"90039"</f>
        <v>90039</v>
      </c>
      <c r="C17577" s="1">
        <v>2.5545250733704202E-3</v>
      </c>
      <c r="D17577" s="1">
        <v>2.17922279262281E-3</v>
      </c>
      <c r="E17577" s="1">
        <v>1.8701479040625301E-3</v>
      </c>
      <c r="F17577" s="1">
        <v>2.4752260547442101E-3</v>
      </c>
    </row>
    <row r="17578" spans="1:6" x14ac:dyDescent="0.25">
      <c r="A17578" s="2" t="str">
        <f t="shared" si="630"/>
        <v>31080</v>
      </c>
      <c r="B17578" s="2" t="str">
        <f>"90073"</f>
        <v>90073</v>
      </c>
      <c r="C17578" s="1">
        <v>0</v>
      </c>
      <c r="D17578" s="1">
        <v>4.8752187754425404E-6</v>
      </c>
      <c r="E17578" s="1">
        <v>2.79962261087205E-6</v>
      </c>
      <c r="F17578" s="1">
        <v>6.6722179520027301E-7</v>
      </c>
    </row>
    <row r="17579" spans="1:6" x14ac:dyDescent="0.25">
      <c r="A17579" s="2" t="str">
        <f t="shared" si="630"/>
        <v>31080</v>
      </c>
      <c r="B17579" s="2" t="str">
        <f>"90072"</f>
        <v>90072</v>
      </c>
      <c r="C17579" s="1">
        <v>1.2543653906651301E-4</v>
      </c>
      <c r="D17579" s="1">
        <v>2.9251312652655202E-5</v>
      </c>
      <c r="E17579" s="1">
        <v>5.5992452217441E-6</v>
      </c>
      <c r="F17579" s="1">
        <v>1.08423541720044E-4</v>
      </c>
    </row>
    <row r="17580" spans="1:6" x14ac:dyDescent="0.25">
      <c r="A17580" s="2" t="str">
        <f t="shared" si="630"/>
        <v>31080</v>
      </c>
      <c r="B17580" s="2" t="str">
        <f>"90071"</f>
        <v>90071</v>
      </c>
      <c r="C17580" s="1">
        <v>2.78349653357119E-4</v>
      </c>
      <c r="D17580" s="1">
        <v>2.7821248478525399E-3</v>
      </c>
      <c r="E17580" s="1">
        <v>3.7514942985685499E-4</v>
      </c>
      <c r="F17580" s="1">
        <v>5.4111687590742104E-4</v>
      </c>
    </row>
    <row r="17581" spans="1:6" x14ac:dyDescent="0.25">
      <c r="A17581" s="2" t="str">
        <f t="shared" si="630"/>
        <v>31080</v>
      </c>
      <c r="B17581" s="2" t="str">
        <f>"90050"</f>
        <v>90050</v>
      </c>
      <c r="C17581" s="1">
        <v>1.11300040219334E-4</v>
      </c>
      <c r="D17581" s="1">
        <v>2.29135282445799E-4</v>
      </c>
      <c r="E17581" s="1">
        <v>5.5992452217441E-6</v>
      </c>
      <c r="F17581" s="1">
        <v>1.1709742505764701E-4</v>
      </c>
    </row>
    <row r="17582" spans="1:6" x14ac:dyDescent="0.25">
      <c r="A17582" s="2" t="str">
        <f t="shared" si="630"/>
        <v>31080</v>
      </c>
      <c r="B17582" s="2" t="str">
        <f>"90066"</f>
        <v>90066</v>
      </c>
      <c r="C17582" s="1">
        <v>5.4572858718635797E-3</v>
      </c>
      <c r="D17582" s="1">
        <v>2.9365067757415601E-3</v>
      </c>
      <c r="E17582" s="1">
        <v>6.4027369110643802E-3</v>
      </c>
      <c r="F17582" s="1">
        <v>5.25487205354855E-3</v>
      </c>
    </row>
    <row r="17583" spans="1:6" x14ac:dyDescent="0.25">
      <c r="A17583" s="2" t="str">
        <f t="shared" si="630"/>
        <v>31080</v>
      </c>
      <c r="B17583" s="2" t="str">
        <f>"90064"</f>
        <v>90064</v>
      </c>
      <c r="C17583" s="1">
        <v>2.7725457246050699E-3</v>
      </c>
      <c r="D17583" s="1">
        <v>4.2820671577637002E-3</v>
      </c>
      <c r="E17583" s="1">
        <v>2.8304184595916398E-3</v>
      </c>
      <c r="F17583" s="1">
        <v>2.9309385408660001E-3</v>
      </c>
    </row>
    <row r="17584" spans="1:6" x14ac:dyDescent="0.25">
      <c r="A17584" s="2" t="str">
        <f t="shared" si="630"/>
        <v>31080</v>
      </c>
      <c r="B17584" s="2" t="str">
        <f>"90035"</f>
        <v>90035</v>
      </c>
      <c r="C17584" s="1">
        <v>3.0166492117408598E-3</v>
      </c>
      <c r="D17584" s="1">
        <v>2.7561236810501799E-3</v>
      </c>
      <c r="E17584" s="1">
        <v>5.0785154161219004E-3</v>
      </c>
      <c r="F17584" s="1">
        <v>3.1127564800580701E-3</v>
      </c>
    </row>
    <row r="17585" spans="1:6" x14ac:dyDescent="0.25">
      <c r="A17585" s="2" t="str">
        <f t="shared" si="630"/>
        <v>31080</v>
      </c>
      <c r="B17585" s="2" t="str">
        <f>"90030"</f>
        <v>90030</v>
      </c>
      <c r="C17585" s="1">
        <v>1.2264906042059001E-4</v>
      </c>
      <c r="D17585" s="1">
        <v>6.0127698230457998E-5</v>
      </c>
      <c r="E17585" s="1">
        <v>5.5992452217441E-6</v>
      </c>
      <c r="F17585" s="1">
        <v>1.09257568964044E-4</v>
      </c>
    </row>
    <row r="17586" spans="1:6" x14ac:dyDescent="0.25">
      <c r="A17586" s="2" t="str">
        <f t="shared" si="630"/>
        <v>31080</v>
      </c>
      <c r="B17586" s="2" t="str">
        <f>"90014"</f>
        <v>90014</v>
      </c>
      <c r="C17586" s="1">
        <v>1.2850276557702699E-3</v>
      </c>
      <c r="D17586" s="1">
        <v>1.25423128362885E-2</v>
      </c>
      <c r="E17586" s="1">
        <v>1.11984904434882E-3</v>
      </c>
      <c r="F17586" s="1">
        <v>2.4306889999145898E-3</v>
      </c>
    </row>
    <row r="17587" spans="1:6" x14ac:dyDescent="0.25">
      <c r="A17587" s="2" t="str">
        <f t="shared" si="630"/>
        <v>31080</v>
      </c>
      <c r="B17587" s="2" t="str">
        <f>"90010"</f>
        <v>90010</v>
      </c>
      <c r="C17587" s="1">
        <v>5.8457409317346398E-4</v>
      </c>
      <c r="D17587" s="1">
        <v>7.0885680994934603E-3</v>
      </c>
      <c r="E17587" s="1">
        <v>1.25703055228155E-3</v>
      </c>
      <c r="F17587" s="1">
        <v>1.2922418118541199E-3</v>
      </c>
    </row>
    <row r="17588" spans="1:6" x14ac:dyDescent="0.25">
      <c r="A17588" s="2" t="str">
        <f t="shared" si="630"/>
        <v>31080</v>
      </c>
      <c r="B17588" s="2" t="str">
        <f>"90009"</f>
        <v>90009</v>
      </c>
      <c r="C17588" s="1">
        <v>5.2982004834284304E-4</v>
      </c>
      <c r="D17588" s="1">
        <v>1.08717378692368E-3</v>
      </c>
      <c r="E17588" s="1">
        <v>4.7593584384824897E-5</v>
      </c>
      <c r="F17588" s="1">
        <v>5.5829783713382799E-4</v>
      </c>
    </row>
    <row r="17589" spans="1:6" x14ac:dyDescent="0.25">
      <c r="A17589" s="2" t="str">
        <f t="shared" si="630"/>
        <v>31080</v>
      </c>
      <c r="B17589" s="2" t="str">
        <f>"90022"</f>
        <v>90022</v>
      </c>
      <c r="C17589" s="1">
        <v>3.52616048709198E-3</v>
      </c>
      <c r="D17589" s="1">
        <v>3.9554274998090501E-3</v>
      </c>
      <c r="E17589" s="1">
        <v>1.5481913038122401E-3</v>
      </c>
      <c r="F17589" s="1">
        <v>3.4523723738150102E-3</v>
      </c>
    </row>
    <row r="17590" spans="1:6" x14ac:dyDescent="0.25">
      <c r="A17590" s="2" t="str">
        <f t="shared" si="630"/>
        <v>31080</v>
      </c>
      <c r="B17590" s="2" t="str">
        <f>"90024"</f>
        <v>90024</v>
      </c>
      <c r="C17590" s="1">
        <v>4.4665363188556998E-3</v>
      </c>
      <c r="D17590" s="1">
        <v>3.5361586851209901E-3</v>
      </c>
      <c r="E17590" s="1">
        <v>4.5493867426670796E-3</v>
      </c>
      <c r="F17590" s="1">
        <v>4.3759741438209902E-3</v>
      </c>
    </row>
    <row r="17591" spans="1:6" x14ac:dyDescent="0.25">
      <c r="A17591" s="2" t="str">
        <f t="shared" si="630"/>
        <v>31080</v>
      </c>
      <c r="B17591" s="2" t="str">
        <f>"93586"</f>
        <v>93586</v>
      </c>
      <c r="C17591" s="1">
        <v>6.7297698737272106E-5</v>
      </c>
      <c r="D17591" s="1">
        <v>2.5838659509845499E-4</v>
      </c>
      <c r="E17591" s="1">
        <v>5.5992452217441E-6</v>
      </c>
      <c r="F17591" s="1">
        <v>8.3235918951233995E-5</v>
      </c>
    </row>
    <row r="17592" spans="1:6" x14ac:dyDescent="0.25">
      <c r="A17592" s="2" t="str">
        <f t="shared" si="630"/>
        <v>31080</v>
      </c>
      <c r="B17592" s="2" t="str">
        <f>"93553"</f>
        <v>93553</v>
      </c>
      <c r="C17592" s="1">
        <v>2.15432278206297E-4</v>
      </c>
      <c r="D17592" s="1">
        <v>7.3128281631638199E-5</v>
      </c>
      <c r="E17592" s="1">
        <v>1.9597358276104299E-5</v>
      </c>
      <c r="F17592" s="1">
        <v>1.89157378939277E-4</v>
      </c>
    </row>
    <row r="17593" spans="1:6" x14ac:dyDescent="0.25">
      <c r="A17593" s="2" t="str">
        <f t="shared" si="630"/>
        <v>31080</v>
      </c>
      <c r="B17593" s="2" t="str">
        <f>"93551"</f>
        <v>93551</v>
      </c>
      <c r="C17593" s="1">
        <v>3.5036615523070299E-3</v>
      </c>
      <c r="D17593" s="1">
        <v>2.02321579180865E-3</v>
      </c>
      <c r="E17593" s="1">
        <v>9.9946527208132291E-4</v>
      </c>
      <c r="F17593" s="1">
        <v>3.2024978115125099E-3</v>
      </c>
    </row>
    <row r="17594" spans="1:6" x14ac:dyDescent="0.25">
      <c r="A17594" s="2" t="str">
        <f t="shared" si="630"/>
        <v>31080</v>
      </c>
      <c r="B17594" s="2" t="str">
        <f>"93534"</f>
        <v>93534</v>
      </c>
      <c r="C17594" s="1">
        <v>3.4819590399923499E-3</v>
      </c>
      <c r="D17594" s="1">
        <v>4.5827056489159898E-3</v>
      </c>
      <c r="E17594" s="1">
        <v>3.5751180740836099E-3</v>
      </c>
      <c r="F17594" s="1">
        <v>3.6004956123494702E-3</v>
      </c>
    </row>
    <row r="17595" spans="1:6" x14ac:dyDescent="0.25">
      <c r="A17595" s="2" t="str">
        <f t="shared" si="630"/>
        <v>31080</v>
      </c>
      <c r="B17595" s="2" t="str">
        <f>"93243"</f>
        <v>93243</v>
      </c>
      <c r="C17595" s="1">
        <v>3.98211235131788E-7</v>
      </c>
      <c r="D17595" s="1">
        <v>4.8752187754425404E-6</v>
      </c>
      <c r="E17595" s="1">
        <v>2.79962261087205E-6</v>
      </c>
      <c r="F17595" s="1">
        <v>1.0008326928004E-6</v>
      </c>
    </row>
    <row r="17596" spans="1:6" x14ac:dyDescent="0.25">
      <c r="A17596" s="2" t="str">
        <f t="shared" si="630"/>
        <v>31080</v>
      </c>
      <c r="B17596" s="2" t="str">
        <f>"93063"</f>
        <v>93063</v>
      </c>
      <c r="C17596" s="1">
        <v>3.98211235131788E-7</v>
      </c>
      <c r="D17596" s="1">
        <v>0</v>
      </c>
      <c r="E17596" s="1">
        <v>0</v>
      </c>
      <c r="F17596" s="1">
        <v>3.3361089760013598E-7</v>
      </c>
    </row>
    <row r="17597" spans="1:6" x14ac:dyDescent="0.25">
      <c r="A17597" s="2" t="str">
        <f t="shared" si="630"/>
        <v>31080</v>
      </c>
      <c r="B17597" s="2" t="str">
        <f>"92864"</f>
        <v>92864</v>
      </c>
      <c r="C17597" s="1">
        <v>0</v>
      </c>
      <c r="D17597" s="1">
        <v>0</v>
      </c>
      <c r="E17597" s="1">
        <v>2.79962261087205E-6</v>
      </c>
      <c r="F17597" s="1">
        <v>1.6680544880006799E-7</v>
      </c>
    </row>
    <row r="17598" spans="1:6" x14ac:dyDescent="0.25">
      <c r="A17598" s="2" t="str">
        <f t="shared" si="630"/>
        <v>31080</v>
      </c>
      <c r="B17598" s="2" t="str">
        <f>"92856"</f>
        <v>92856</v>
      </c>
      <c r="C17598" s="1">
        <v>2.24392030996762E-4</v>
      </c>
      <c r="D17598" s="1">
        <v>3.6889155400848599E-4</v>
      </c>
      <c r="E17598" s="1">
        <v>8.3988678326161601E-6</v>
      </c>
      <c r="F17598" s="1">
        <v>2.2635499402169201E-4</v>
      </c>
    </row>
    <row r="17599" spans="1:6" x14ac:dyDescent="0.25">
      <c r="A17599" s="2" t="str">
        <f t="shared" si="630"/>
        <v>31080</v>
      </c>
      <c r="B17599" s="2" t="str">
        <f>"92845"</f>
        <v>92845</v>
      </c>
      <c r="C17599" s="1">
        <v>1.14605193470928E-3</v>
      </c>
      <c r="D17599" s="1">
        <v>6.1427756570576098E-4</v>
      </c>
      <c r="E17599" s="1">
        <v>4.9273357951348101E-4</v>
      </c>
      <c r="F17599" s="1">
        <v>1.0525423819284299E-3</v>
      </c>
    </row>
    <row r="17600" spans="1:6" x14ac:dyDescent="0.25">
      <c r="A17600" s="2" t="str">
        <f t="shared" si="630"/>
        <v>31080</v>
      </c>
      <c r="B17600" s="2" t="str">
        <f>"92825"</f>
        <v>92825</v>
      </c>
      <c r="C17600" s="1">
        <v>1.1587946942335E-4</v>
      </c>
      <c r="D17600" s="1">
        <v>2.5026123047271702E-4</v>
      </c>
      <c r="E17600" s="1">
        <v>5.5992452217441E-6</v>
      </c>
      <c r="F17600" s="1">
        <v>1.2310242121445E-4</v>
      </c>
    </row>
    <row r="17601" spans="1:6" x14ac:dyDescent="0.25">
      <c r="A17601" s="2" t="str">
        <f t="shared" si="630"/>
        <v>31080</v>
      </c>
      <c r="B17601" s="2" t="str">
        <f>"92690"</f>
        <v>92690</v>
      </c>
      <c r="C17601" s="1">
        <v>2.8651298367732102E-4</v>
      </c>
      <c r="D17601" s="1">
        <v>9.3116678610952598E-4</v>
      </c>
      <c r="E17601" s="1">
        <v>8.3988678326161601E-6</v>
      </c>
      <c r="F17601" s="1">
        <v>3.3611297933213699E-4</v>
      </c>
    </row>
    <row r="17602" spans="1:6" x14ac:dyDescent="0.25">
      <c r="A17602" s="2" t="str">
        <f t="shared" si="630"/>
        <v>31080</v>
      </c>
      <c r="B17602" s="2" t="str">
        <f>"92692"</f>
        <v>92692</v>
      </c>
      <c r="C17602" s="1">
        <v>3.59465281953465E-3</v>
      </c>
      <c r="D17602" s="1">
        <v>1.0367965262441099E-3</v>
      </c>
      <c r="E17602" s="1">
        <v>6.8310791705278101E-4</v>
      </c>
      <c r="F17602" s="1">
        <v>3.15862797847809E-3</v>
      </c>
    </row>
    <row r="17603" spans="1:6" x14ac:dyDescent="0.25">
      <c r="A17603" s="2" t="str">
        <f t="shared" si="630"/>
        <v>31080</v>
      </c>
      <c r="B17603" s="2" t="str">
        <f>"92814"</f>
        <v>92814</v>
      </c>
      <c r="C17603" s="1">
        <v>1.46342628910932E-4</v>
      </c>
      <c r="D17603" s="1">
        <v>1.7063265714048901E-4</v>
      </c>
      <c r="E17603" s="1">
        <v>8.3988678326161601E-6</v>
      </c>
      <c r="F17603" s="1">
        <v>1.4061699333845699E-4</v>
      </c>
    </row>
    <row r="17604" spans="1:6" x14ac:dyDescent="0.25">
      <c r="A17604" s="2" t="str">
        <f t="shared" si="630"/>
        <v>31080</v>
      </c>
      <c r="B17604" s="2" t="str">
        <f>"92821"</f>
        <v>92821</v>
      </c>
      <c r="C17604" s="1">
        <v>3.0391481465257999E-3</v>
      </c>
      <c r="D17604" s="1">
        <v>4.9548473487747704E-3</v>
      </c>
      <c r="E17604" s="1">
        <v>2.67923883860455E-3</v>
      </c>
      <c r="F17604" s="1">
        <v>3.2143409983773101E-3</v>
      </c>
    </row>
    <row r="17605" spans="1:6" x14ac:dyDescent="0.25">
      <c r="A17605" s="2" t="str">
        <f t="shared" si="630"/>
        <v>31080</v>
      </c>
      <c r="B17605" s="2" t="str">
        <f>"92801"</f>
        <v>92801</v>
      </c>
      <c r="C17605" s="1">
        <v>3.9478661850965401E-3</v>
      </c>
      <c r="D17605" s="1">
        <v>4.4722006900059603E-3</v>
      </c>
      <c r="E17605" s="1">
        <v>5.8624097471660797E-3</v>
      </c>
      <c r="F17605" s="1">
        <v>4.1157576436928796E-3</v>
      </c>
    </row>
    <row r="17606" spans="1:6" x14ac:dyDescent="0.25">
      <c r="A17606" s="2" t="str">
        <f t="shared" si="630"/>
        <v>31080</v>
      </c>
      <c r="B17606" s="2" t="str">
        <f>"92704"</f>
        <v>92704</v>
      </c>
      <c r="C17606" s="1">
        <v>4.1750456947392302E-3</v>
      </c>
      <c r="D17606" s="1">
        <v>4.6590840763979201E-3</v>
      </c>
      <c r="E17606" s="1">
        <v>5.4900599399200899E-3</v>
      </c>
      <c r="F17606" s="1">
        <v>4.3030801626953597E-3</v>
      </c>
    </row>
    <row r="17607" spans="1:6" x14ac:dyDescent="0.25">
      <c r="A17607" s="2" t="str">
        <f t="shared" si="630"/>
        <v>31080</v>
      </c>
      <c r="B17607" s="2" t="str">
        <f>"92658"</f>
        <v>92658</v>
      </c>
      <c r="C17607" s="1">
        <v>5.4813776515890604E-4</v>
      </c>
      <c r="D17607" s="1">
        <v>1.7875802176622599E-3</v>
      </c>
      <c r="E17607" s="1">
        <v>8.3988678326161601E-6</v>
      </c>
      <c r="F17607" s="1">
        <v>6.4320181057306303E-4</v>
      </c>
    </row>
    <row r="17608" spans="1:6" x14ac:dyDescent="0.25">
      <c r="A17608" s="2" t="str">
        <f t="shared" si="630"/>
        <v>31080</v>
      </c>
      <c r="B17608" s="2" t="str">
        <f>"92657"</f>
        <v>92657</v>
      </c>
      <c r="C17608" s="1">
        <v>9.4614989467312798E-4</v>
      </c>
      <c r="D17608" s="1">
        <v>1.5763207373930901E-4</v>
      </c>
      <c r="E17608" s="1">
        <v>2.79962261087205E-6</v>
      </c>
      <c r="F17608" s="1">
        <v>8.0900642668033096E-4</v>
      </c>
    </row>
    <row r="17609" spans="1:6" x14ac:dyDescent="0.25">
      <c r="A17609" s="2" t="str">
        <f t="shared" si="630"/>
        <v>31080</v>
      </c>
      <c r="B17609" s="2" t="str">
        <f>"92660"</f>
        <v>92660</v>
      </c>
      <c r="C17609" s="1">
        <v>3.3935561457930901E-3</v>
      </c>
      <c r="D17609" s="1">
        <v>7.3810812260200103E-3</v>
      </c>
      <c r="E17609" s="1">
        <v>2.12211393904101E-3</v>
      </c>
      <c r="F17609" s="1">
        <v>3.7271009479887202E-3</v>
      </c>
    </row>
    <row r="17610" spans="1:6" x14ac:dyDescent="0.25">
      <c r="A17610" s="2" t="str">
        <f t="shared" si="630"/>
        <v>31080</v>
      </c>
      <c r="B17610" s="2" t="str">
        <f>"92648"</f>
        <v>92648</v>
      </c>
      <c r="C17610" s="1">
        <v>4.57027034560753E-3</v>
      </c>
      <c r="D17610" s="1">
        <v>3.7864199155937099E-3</v>
      </c>
      <c r="E17610" s="1">
        <v>8.1441021750268006E-3</v>
      </c>
      <c r="F17610" s="1">
        <v>4.7027460180203203E-3</v>
      </c>
    </row>
    <row r="17611" spans="1:6" x14ac:dyDescent="0.25">
      <c r="A17611" s="2" t="str">
        <f t="shared" si="630"/>
        <v>31080</v>
      </c>
      <c r="B17611" s="2" t="str">
        <f>"92628"</f>
        <v>92628</v>
      </c>
      <c r="C17611" s="1">
        <v>4.2329854294509E-4</v>
      </c>
      <c r="D17611" s="1">
        <v>5.0864782557117196E-4</v>
      </c>
      <c r="E17611" s="1">
        <v>8.3988678326161601E-6</v>
      </c>
      <c r="F17611" s="1">
        <v>4.0733890596976599E-4</v>
      </c>
    </row>
    <row r="17612" spans="1:6" x14ac:dyDescent="0.25">
      <c r="A17612" s="2" t="str">
        <f t="shared" si="630"/>
        <v>31080</v>
      </c>
      <c r="B17612" s="2" t="str">
        <f>"91896"</f>
        <v>91896</v>
      </c>
      <c r="C17612" s="1">
        <v>0</v>
      </c>
      <c r="D17612" s="1">
        <v>0</v>
      </c>
      <c r="E17612" s="1">
        <v>2.79962261087205E-6</v>
      </c>
      <c r="F17612" s="1">
        <v>1.6680544880006799E-7</v>
      </c>
    </row>
    <row r="17613" spans="1:6" x14ac:dyDescent="0.25">
      <c r="A17613" s="2" t="str">
        <f t="shared" si="630"/>
        <v>31080</v>
      </c>
      <c r="B17613" s="2" t="str">
        <f>"91792"</f>
        <v>91792</v>
      </c>
      <c r="C17613" s="1">
        <v>1.8940917399043399E-3</v>
      </c>
      <c r="D17613" s="1">
        <v>6.0615220108002296E-4</v>
      </c>
      <c r="E17613" s="1">
        <v>2.0213275250496199E-3</v>
      </c>
      <c r="F17613" s="1">
        <v>1.7694722008711201E-3</v>
      </c>
    </row>
    <row r="17614" spans="1:6" x14ac:dyDescent="0.25">
      <c r="A17614" s="2" t="str">
        <f t="shared" si="630"/>
        <v>31080</v>
      </c>
      <c r="B17614" s="2" t="str">
        <f>"91732"</f>
        <v>91732</v>
      </c>
      <c r="C17614" s="1">
        <v>3.1058485284103802E-3</v>
      </c>
      <c r="D17614" s="1">
        <v>1.9370869267758301E-3</v>
      </c>
      <c r="E17614" s="1">
        <v>3.4491350565943701E-3</v>
      </c>
      <c r="F17614" s="1">
        <v>3.0063346037236299E-3</v>
      </c>
    </row>
    <row r="17615" spans="1:6" x14ac:dyDescent="0.25">
      <c r="A17615" s="2" t="str">
        <f t="shared" si="630"/>
        <v>31080</v>
      </c>
      <c r="B17615" s="2" t="str">
        <f>"91756"</f>
        <v>91756</v>
      </c>
      <c r="C17615" s="1">
        <v>0</v>
      </c>
      <c r="D17615" s="1">
        <v>6.5002917005900603E-6</v>
      </c>
      <c r="E17615" s="1">
        <v>0</v>
      </c>
      <c r="F17615" s="1">
        <v>6.6722179520027301E-7</v>
      </c>
    </row>
    <row r="17616" spans="1:6" x14ac:dyDescent="0.25">
      <c r="A17616" s="2" t="str">
        <f t="shared" si="630"/>
        <v>31080</v>
      </c>
      <c r="B17616" s="2" t="str">
        <f>"91766"</f>
        <v>91766</v>
      </c>
      <c r="C17616" s="1">
        <v>3.6245186621695299E-3</v>
      </c>
      <c r="D17616" s="1">
        <v>2.90563039016375E-3</v>
      </c>
      <c r="E17616" s="1">
        <v>3.0795848719592498E-3</v>
      </c>
      <c r="F17616" s="1">
        <v>3.5182605260910401E-3</v>
      </c>
    </row>
    <row r="17617" spans="1:6" x14ac:dyDescent="0.25">
      <c r="A17617" s="2" t="str">
        <f t="shared" si="630"/>
        <v>31080</v>
      </c>
      <c r="B17617" s="2" t="str">
        <f>"91392"</f>
        <v>91392</v>
      </c>
      <c r="C17617" s="1">
        <v>3.9880855198448498E-4</v>
      </c>
      <c r="D17617" s="1">
        <v>4.6477085659218898E-4</v>
      </c>
      <c r="E17617" s="1">
        <v>5.5992452217441E-6</v>
      </c>
      <c r="F17617" s="1">
        <v>3.8215128320095602E-4</v>
      </c>
    </row>
    <row r="17618" spans="1:6" x14ac:dyDescent="0.25">
      <c r="A17618" s="2" t="str">
        <f t="shared" si="630"/>
        <v>31080</v>
      </c>
      <c r="B17618" s="2" t="str">
        <f>"91387"</f>
        <v>91387</v>
      </c>
      <c r="C17618" s="1">
        <v>3.1088351126738602E-3</v>
      </c>
      <c r="D17618" s="1">
        <v>5.1027289849631997E-4</v>
      </c>
      <c r="E17618" s="1">
        <v>4.2918214624668499E-3</v>
      </c>
      <c r="F17618" s="1">
        <v>2.91258994149799E-3</v>
      </c>
    </row>
    <row r="17619" spans="1:6" x14ac:dyDescent="0.25">
      <c r="A17619" s="2" t="str">
        <f t="shared" si="630"/>
        <v>31080</v>
      </c>
      <c r="B17619" s="2" t="str">
        <f>"91386"</f>
        <v>91386</v>
      </c>
      <c r="C17619" s="1">
        <v>2.14635855736033E-4</v>
      </c>
      <c r="D17619" s="1">
        <v>5.0214753387058195E-4</v>
      </c>
      <c r="E17619" s="1">
        <v>2.79962261087205E-6</v>
      </c>
      <c r="F17619" s="1">
        <v>2.31525962934494E-4</v>
      </c>
    </row>
    <row r="17620" spans="1:6" x14ac:dyDescent="0.25">
      <c r="A17620" s="2" t="str">
        <f t="shared" si="630"/>
        <v>31080</v>
      </c>
      <c r="B17620" s="2" t="str">
        <f>"91607"</f>
        <v>91607</v>
      </c>
      <c r="C17620" s="1">
        <v>2.9089330726377099E-3</v>
      </c>
      <c r="D17620" s="1">
        <v>1.19117845413312E-3</v>
      </c>
      <c r="E17620" s="1">
        <v>4.1658384449776101E-3</v>
      </c>
      <c r="F17620" s="1">
        <v>2.8075025087539399E-3</v>
      </c>
    </row>
    <row r="17621" spans="1:6" x14ac:dyDescent="0.25">
      <c r="A17621" s="2" t="str">
        <f t="shared" si="630"/>
        <v>31080</v>
      </c>
      <c r="B17621" s="2" t="str">
        <f>"91603"</f>
        <v>91603</v>
      </c>
      <c r="C17621" s="1">
        <v>1.4773636823389301E-4</v>
      </c>
      <c r="D17621" s="1">
        <v>2.9251312652655198E-4</v>
      </c>
      <c r="E17621" s="1">
        <v>5.5992452217441E-6</v>
      </c>
      <c r="F17621" s="1">
        <v>1.5412823469126299E-4</v>
      </c>
    </row>
    <row r="17622" spans="1:6" x14ac:dyDescent="0.25">
      <c r="A17622" s="2" t="str">
        <f t="shared" si="630"/>
        <v>31080</v>
      </c>
      <c r="B17622" s="2" t="str">
        <f>"91383"</f>
        <v>91383</v>
      </c>
      <c r="C17622" s="1">
        <v>0</v>
      </c>
      <c r="D17622" s="1">
        <v>0</v>
      </c>
      <c r="E17622" s="1">
        <v>5.5992452217441E-6</v>
      </c>
      <c r="F17622" s="1">
        <v>3.3361089760013598E-7</v>
      </c>
    </row>
    <row r="17623" spans="1:6" x14ac:dyDescent="0.25">
      <c r="A17623" s="2" t="str">
        <f t="shared" si="630"/>
        <v>31080</v>
      </c>
      <c r="B17623" s="2" t="str">
        <f>"91376"</f>
        <v>91376</v>
      </c>
      <c r="C17623" s="1">
        <v>3.8825595425349301E-4</v>
      </c>
      <c r="D17623" s="1">
        <v>6.9065599318769396E-4</v>
      </c>
      <c r="E17623" s="1">
        <v>2.79962261087205E-6</v>
      </c>
      <c r="F17623" s="1">
        <v>3.9632974634896202E-4</v>
      </c>
    </row>
    <row r="17624" spans="1:6" x14ac:dyDescent="0.25">
      <c r="A17624" s="2" t="str">
        <f t="shared" si="630"/>
        <v>31080</v>
      </c>
      <c r="B17624" s="2" t="str">
        <f>"91409"</f>
        <v>91409</v>
      </c>
      <c r="C17624" s="1">
        <v>3.0323785555285597E-4</v>
      </c>
      <c r="D17624" s="1">
        <v>6.0127698230458E-4</v>
      </c>
      <c r="E17624" s="1">
        <v>5.5992452217441E-6</v>
      </c>
      <c r="F17624" s="1">
        <v>3.1609632547612899E-4</v>
      </c>
    </row>
    <row r="17625" spans="1:6" x14ac:dyDescent="0.25">
      <c r="A17625" s="2" t="str">
        <f t="shared" si="630"/>
        <v>31080</v>
      </c>
      <c r="B17625" s="2" t="str">
        <f>"91413"</f>
        <v>91413</v>
      </c>
      <c r="C17625" s="1">
        <v>3.8646400369539999E-4</v>
      </c>
      <c r="D17625" s="1">
        <v>1.1164250995763399E-3</v>
      </c>
      <c r="E17625" s="1">
        <v>5.5992452217441E-6</v>
      </c>
      <c r="F17625" s="1">
        <v>4.3869833034417899E-4</v>
      </c>
    </row>
    <row r="17626" spans="1:6" x14ac:dyDescent="0.25">
      <c r="A17626" s="2" t="str">
        <f t="shared" si="630"/>
        <v>31080</v>
      </c>
      <c r="B17626" s="2" t="str">
        <f>"91313"</f>
        <v>91313</v>
      </c>
      <c r="C17626" s="1">
        <v>2.78349653357119E-4</v>
      </c>
      <c r="D17626" s="1">
        <v>5.1677319019690997E-4</v>
      </c>
      <c r="E17626" s="1">
        <v>5.5992452217441E-6</v>
      </c>
      <c r="F17626" s="1">
        <v>2.8657176103851699E-4</v>
      </c>
    </row>
    <row r="17627" spans="1:6" x14ac:dyDescent="0.25">
      <c r="A17627" s="2" t="str">
        <f t="shared" si="630"/>
        <v>31080</v>
      </c>
      <c r="B17627" s="2" t="str">
        <f>"91311"</f>
        <v>91311</v>
      </c>
      <c r="C17627" s="1">
        <v>2.8157516436168699E-3</v>
      </c>
      <c r="D17627" s="1">
        <v>5.1726071207445403E-3</v>
      </c>
      <c r="E17627" s="1">
        <v>2.8612143083112298E-3</v>
      </c>
      <c r="F17627" s="1">
        <v>3.0603795691348501E-3</v>
      </c>
    </row>
    <row r="17628" spans="1:6" x14ac:dyDescent="0.25">
      <c r="A17628" s="2" t="str">
        <f t="shared" si="630"/>
        <v>31080</v>
      </c>
      <c r="B17628" s="2" t="str">
        <f>"91355"</f>
        <v>91355</v>
      </c>
      <c r="C17628" s="1">
        <v>2.68314730231798E-3</v>
      </c>
      <c r="D17628" s="1">
        <v>5.7397575716210203E-3</v>
      </c>
      <c r="E17628" s="1">
        <v>3.4911293957574502E-3</v>
      </c>
      <c r="F17628" s="1">
        <v>3.0450334678452399E-3</v>
      </c>
    </row>
    <row r="17629" spans="1:6" x14ac:dyDescent="0.25">
      <c r="A17629" s="2" t="str">
        <f t="shared" si="630"/>
        <v>31080</v>
      </c>
      <c r="B17629" s="2" t="str">
        <f>"91352"</f>
        <v>91352</v>
      </c>
      <c r="C17629" s="1">
        <v>2.4804577836358998E-3</v>
      </c>
      <c r="D17629" s="1">
        <v>4.3633208040210801E-3</v>
      </c>
      <c r="E17629" s="1">
        <v>2.0689211094344398E-3</v>
      </c>
      <c r="F17629" s="1">
        <v>2.64920413784268E-3</v>
      </c>
    </row>
    <row r="17630" spans="1:6" x14ac:dyDescent="0.25">
      <c r="A17630" s="2" t="str">
        <f t="shared" si="630"/>
        <v>31080</v>
      </c>
      <c r="B17630" s="2" t="str">
        <f>"91302"</f>
        <v>91302</v>
      </c>
      <c r="C17630" s="1">
        <v>1.9631813891997098E-3</v>
      </c>
      <c r="D17630" s="1">
        <v>2.0134653542577701E-3</v>
      </c>
      <c r="E17630" s="1">
        <v>1.60138413341881E-3</v>
      </c>
      <c r="F17630" s="1">
        <v>1.94678639294559E-3</v>
      </c>
    </row>
    <row r="17631" spans="1:6" x14ac:dyDescent="0.25">
      <c r="A17631" s="2" t="str">
        <f t="shared" si="630"/>
        <v>31080</v>
      </c>
      <c r="B17631" s="2" t="str">
        <f>"91224"</f>
        <v>91224</v>
      </c>
      <c r="C17631" s="1">
        <v>1.2464011659624901E-4</v>
      </c>
      <c r="D17631" s="1">
        <v>3.3639009550553501E-4</v>
      </c>
      <c r="E17631" s="1">
        <v>5.5992452217441E-6</v>
      </c>
      <c r="F17631" s="1">
        <v>1.3928254974805701E-4</v>
      </c>
    </row>
    <row r="17632" spans="1:6" x14ac:dyDescent="0.25">
      <c r="A17632" s="2" t="str">
        <f t="shared" si="630"/>
        <v>31080</v>
      </c>
      <c r="B17632" s="2" t="str">
        <f>"91226"</f>
        <v>91226</v>
      </c>
      <c r="C17632" s="1">
        <v>1.8118611198496301E-4</v>
      </c>
      <c r="D17632" s="1">
        <v>4.3551954393953397E-4</v>
      </c>
      <c r="E17632" s="1">
        <v>5.5992452217441E-6</v>
      </c>
      <c r="F17632" s="1">
        <v>1.9683042958408E-4</v>
      </c>
    </row>
    <row r="17633" spans="1:6" x14ac:dyDescent="0.25">
      <c r="A17633" s="2" t="str">
        <f t="shared" si="630"/>
        <v>31080</v>
      </c>
      <c r="B17633" s="2" t="str">
        <f>"90832"</f>
        <v>90832</v>
      </c>
      <c r="C17633" s="1">
        <v>1.43555150265009E-4</v>
      </c>
      <c r="D17633" s="1">
        <v>1.51131782038718E-4</v>
      </c>
      <c r="E17633" s="1">
        <v>5.5992452217441E-6</v>
      </c>
      <c r="F17633" s="1">
        <v>1.36113246220855E-4</v>
      </c>
    </row>
    <row r="17634" spans="1:6" x14ac:dyDescent="0.25">
      <c r="A17634" s="2" t="str">
        <f t="shared" si="630"/>
        <v>31080</v>
      </c>
      <c r="B17634" s="2" t="str">
        <f>"91043"</f>
        <v>91043</v>
      </c>
      <c r="C17634" s="1">
        <v>1.3419718623941201E-4</v>
      </c>
      <c r="D17634" s="1">
        <v>1.75507875915931E-4</v>
      </c>
      <c r="E17634" s="1">
        <v>5.5992452217441E-6</v>
      </c>
      <c r="F17634" s="1">
        <v>1.30775471859253E-4</v>
      </c>
    </row>
    <row r="17635" spans="1:6" x14ac:dyDescent="0.25">
      <c r="A17635" s="2" t="str">
        <f t="shared" si="630"/>
        <v>31080</v>
      </c>
      <c r="B17635" s="2" t="str">
        <f>"91188"</f>
        <v>91188</v>
      </c>
      <c r="C17635" s="1">
        <v>0</v>
      </c>
      <c r="D17635" s="1">
        <v>3.2501458502950302E-6</v>
      </c>
      <c r="E17635" s="1">
        <v>0</v>
      </c>
      <c r="F17635" s="1">
        <v>3.3361089760013598E-7</v>
      </c>
    </row>
    <row r="17636" spans="1:6" x14ac:dyDescent="0.25">
      <c r="A17636" s="2" t="str">
        <f t="shared" si="630"/>
        <v>31080</v>
      </c>
      <c r="B17636" s="2" t="str">
        <f>"91123"</f>
        <v>91123</v>
      </c>
      <c r="C17636" s="1">
        <v>0</v>
      </c>
      <c r="D17636" s="1">
        <v>0</v>
      </c>
      <c r="E17636" s="1">
        <v>5.5992452217441E-6</v>
      </c>
      <c r="F17636" s="1">
        <v>3.3361089760013598E-7</v>
      </c>
    </row>
    <row r="17637" spans="1:6" x14ac:dyDescent="0.25">
      <c r="A17637" s="2" t="str">
        <f t="shared" si="630"/>
        <v>31080</v>
      </c>
      <c r="B17637" s="2" t="str">
        <f>"91109"</f>
        <v>91109</v>
      </c>
      <c r="C17637" s="1">
        <v>4.6630535633932299E-4</v>
      </c>
      <c r="D17637" s="1">
        <v>1.05792247427103E-3</v>
      </c>
      <c r="E17637" s="1">
        <v>5.5992452217441E-6</v>
      </c>
      <c r="F17637" s="1">
        <v>4.99582319156204E-4</v>
      </c>
    </row>
    <row r="17638" spans="1:6" x14ac:dyDescent="0.25">
      <c r="A17638" s="2" t="str">
        <f t="shared" ref="A17638:A17701" si="631">"31080"</f>
        <v>31080</v>
      </c>
      <c r="B17638" s="2" t="str">
        <f>"91106"</f>
        <v>91106</v>
      </c>
      <c r="C17638" s="1">
        <v>2.35820693445044E-3</v>
      </c>
      <c r="D17638" s="1">
        <v>1.9094606870483301E-3</v>
      </c>
      <c r="E17638" s="1">
        <v>4.1154452379819203E-3</v>
      </c>
      <c r="F17638" s="1">
        <v>2.41684414766418E-3</v>
      </c>
    </row>
    <row r="17639" spans="1:6" x14ac:dyDescent="0.25">
      <c r="A17639" s="2" t="str">
        <f t="shared" si="631"/>
        <v>31080</v>
      </c>
      <c r="B17639" s="2" t="str">
        <f>"91105"</f>
        <v>91105</v>
      </c>
      <c r="C17639" s="1">
        <v>1.3178800826686499E-3</v>
      </c>
      <c r="D17639" s="1">
        <v>2.6228677011880899E-3</v>
      </c>
      <c r="E17639" s="1">
        <v>1.5537905490339899E-3</v>
      </c>
      <c r="F17639" s="1">
        <v>1.465886284055E-3</v>
      </c>
    </row>
    <row r="17640" spans="1:6" x14ac:dyDescent="0.25">
      <c r="A17640" s="2" t="str">
        <f t="shared" si="631"/>
        <v>31080</v>
      </c>
      <c r="B17640" s="2" t="str">
        <f>"91031"</f>
        <v>91031</v>
      </c>
      <c r="C17640" s="1">
        <v>2.24192925379196E-4</v>
      </c>
      <c r="D17640" s="1">
        <v>8.5153821277729805E-4</v>
      </c>
      <c r="E17640" s="1">
        <v>5.5992452217441E-6</v>
      </c>
      <c r="F17640" s="1">
        <v>2.7556260141771199E-4</v>
      </c>
    </row>
    <row r="17641" spans="1:6" x14ac:dyDescent="0.25">
      <c r="A17641" s="2" t="str">
        <f t="shared" si="631"/>
        <v>31080</v>
      </c>
      <c r="B17641" s="2" t="str">
        <f>"90805"</f>
        <v>90805</v>
      </c>
      <c r="C17641" s="1">
        <v>5.86565149349123E-3</v>
      </c>
      <c r="D17641" s="1">
        <v>2.8893796609122798E-3</v>
      </c>
      <c r="E17641" s="1">
        <v>5.4368671103135202E-3</v>
      </c>
      <c r="F17641" s="1">
        <v>5.53460479118626E-3</v>
      </c>
    </row>
    <row r="17642" spans="1:6" x14ac:dyDescent="0.25">
      <c r="A17642" s="2" t="str">
        <f t="shared" si="631"/>
        <v>31080</v>
      </c>
      <c r="B17642" s="2" t="str">
        <f>"90716"</f>
        <v>90716</v>
      </c>
      <c r="C17642" s="1">
        <v>7.2613818726281504E-4</v>
      </c>
      <c r="D17642" s="1">
        <v>7.5890905604388903E-4</v>
      </c>
      <c r="E17642" s="1">
        <v>1.05545772429876E-3</v>
      </c>
      <c r="F17642" s="1">
        <v>7.4912327056110605E-4</v>
      </c>
    </row>
    <row r="17643" spans="1:6" x14ac:dyDescent="0.25">
      <c r="A17643" s="2" t="str">
        <f t="shared" si="631"/>
        <v>31080</v>
      </c>
      <c r="B17643" s="2" t="str">
        <f>"90712"</f>
        <v>90712</v>
      </c>
      <c r="C17643" s="1">
        <v>2.20011707410312E-3</v>
      </c>
      <c r="D17643" s="1">
        <v>1.5665702998422001E-3</v>
      </c>
      <c r="E17643" s="1">
        <v>4.3674112729604001E-4</v>
      </c>
      <c r="F17643" s="1">
        <v>2.0300223118968298E-3</v>
      </c>
    </row>
    <row r="17644" spans="1:6" x14ac:dyDescent="0.25">
      <c r="A17644" s="2" t="str">
        <f t="shared" si="631"/>
        <v>31080</v>
      </c>
      <c r="B17644" s="2" t="str">
        <f>"90743"</f>
        <v>90743</v>
      </c>
      <c r="C17644" s="1">
        <v>0</v>
      </c>
      <c r="D17644" s="1">
        <v>0</v>
      </c>
      <c r="E17644" s="1">
        <v>2.79962261087205E-6</v>
      </c>
      <c r="F17644" s="1">
        <v>1.6680544880006799E-7</v>
      </c>
    </row>
    <row r="17645" spans="1:6" x14ac:dyDescent="0.25">
      <c r="A17645" s="2" t="str">
        <f t="shared" si="631"/>
        <v>31080</v>
      </c>
      <c r="B17645" s="2" t="str">
        <f>"90745"</f>
        <v>90745</v>
      </c>
      <c r="C17645" s="1">
        <v>3.2498018899105199E-3</v>
      </c>
      <c r="D17645" s="1">
        <v>2.2783522410568099E-3</v>
      </c>
      <c r="E17645" s="1">
        <v>1.3662158341055601E-3</v>
      </c>
      <c r="F17645" s="1">
        <v>3.0378608335468399E-3</v>
      </c>
    </row>
    <row r="17646" spans="1:6" x14ac:dyDescent="0.25">
      <c r="A17646" s="2" t="str">
        <f t="shared" si="631"/>
        <v>31080</v>
      </c>
      <c r="B17646" s="2" t="str">
        <f>"90662"</f>
        <v>90662</v>
      </c>
      <c r="C17646" s="1">
        <v>7.5660134675039706E-5</v>
      </c>
      <c r="D17646" s="1">
        <v>5.8502625305310498E-5</v>
      </c>
      <c r="E17646" s="1">
        <v>8.3988678326161601E-6</v>
      </c>
      <c r="F17646" s="1">
        <v>6.9891483047228599E-5</v>
      </c>
    </row>
    <row r="17647" spans="1:6" x14ac:dyDescent="0.25">
      <c r="A17647" s="2" t="str">
        <f t="shared" si="631"/>
        <v>31080</v>
      </c>
      <c r="B17647" s="2" t="str">
        <f>"90651"</f>
        <v>90651</v>
      </c>
      <c r="C17647" s="1">
        <v>2.7377022415310401E-4</v>
      </c>
      <c r="D17647" s="1">
        <v>4.04643158361731E-4</v>
      </c>
      <c r="E17647" s="1">
        <v>8.3988678326161601E-6</v>
      </c>
      <c r="F17647" s="1">
        <v>2.7139246519771099E-4</v>
      </c>
    </row>
    <row r="17648" spans="1:6" x14ac:dyDescent="0.25">
      <c r="A17648" s="2" t="str">
        <f t="shared" si="631"/>
        <v>31080</v>
      </c>
      <c r="B17648" s="2" t="str">
        <f>"90633"</f>
        <v>90633</v>
      </c>
      <c r="C17648" s="1">
        <v>1.3021507388809401E-4</v>
      </c>
      <c r="D17648" s="1">
        <v>3.3476502258038802E-4</v>
      </c>
      <c r="E17648" s="1">
        <v>1.3998113054360201E-5</v>
      </c>
      <c r="F17648" s="1">
        <v>1.44286713212059E-4</v>
      </c>
    </row>
    <row r="17649" spans="1:6" x14ac:dyDescent="0.25">
      <c r="A17649" s="2" t="str">
        <f t="shared" si="631"/>
        <v>31080</v>
      </c>
      <c r="B17649" s="2" t="str">
        <f>"90404"</f>
        <v>90404</v>
      </c>
      <c r="C17649" s="1">
        <v>2.25586664702157E-3</v>
      </c>
      <c r="D17649" s="1">
        <v>3.7409178736895802E-3</v>
      </c>
      <c r="E17649" s="1">
        <v>8.4380625491683701E-3</v>
      </c>
      <c r="F17649" s="1">
        <v>2.77664350072593E-3</v>
      </c>
    </row>
    <row r="17650" spans="1:6" x14ac:dyDescent="0.25">
      <c r="A17650" s="2" t="str">
        <f t="shared" si="631"/>
        <v>31080</v>
      </c>
      <c r="B17650" s="2" t="str">
        <f>"90624"</f>
        <v>90624</v>
      </c>
      <c r="C17650" s="1">
        <v>0</v>
      </c>
      <c r="D17650" s="1">
        <v>0</v>
      </c>
      <c r="E17650" s="1">
        <v>2.79962261087205E-6</v>
      </c>
      <c r="F17650" s="1">
        <v>1.6680544880006799E-7</v>
      </c>
    </row>
    <row r="17651" spans="1:6" x14ac:dyDescent="0.25">
      <c r="A17651" s="2" t="str">
        <f t="shared" si="631"/>
        <v>31080</v>
      </c>
      <c r="B17651" s="2" t="str">
        <f>"90608"</f>
        <v>90608</v>
      </c>
      <c r="C17651" s="1">
        <v>1.37781087355598E-4</v>
      </c>
      <c r="D17651" s="1">
        <v>3.8026706448451798E-4</v>
      </c>
      <c r="E17651" s="1">
        <v>8.3988678326161601E-6</v>
      </c>
      <c r="F17651" s="1">
        <v>1.54962261935263E-4</v>
      </c>
    </row>
    <row r="17652" spans="1:6" x14ac:dyDescent="0.25">
      <c r="A17652" s="2" t="str">
        <f t="shared" si="631"/>
        <v>31080</v>
      </c>
      <c r="B17652" s="2" t="str">
        <f>"90621"</f>
        <v>90621</v>
      </c>
      <c r="C17652" s="1">
        <v>2.4597507994090499E-3</v>
      </c>
      <c r="D17652" s="1">
        <v>2.8455026919332999E-3</v>
      </c>
      <c r="E17652" s="1">
        <v>3.7206984498489599E-3</v>
      </c>
      <c r="F17652" s="1">
        <v>2.5744752967802498E-3</v>
      </c>
    </row>
    <row r="17653" spans="1:6" x14ac:dyDescent="0.25">
      <c r="A17653" s="2" t="str">
        <f t="shared" si="631"/>
        <v>31080</v>
      </c>
      <c r="B17653" s="2" t="str">
        <f>"90505"</f>
        <v>90505</v>
      </c>
      <c r="C17653" s="1">
        <v>3.0252107532961901E-3</v>
      </c>
      <c r="D17653" s="1">
        <v>5.7625085925730899E-3</v>
      </c>
      <c r="E17653" s="1">
        <v>4.3814093860147603E-3</v>
      </c>
      <c r="F17653" s="1">
        <v>3.3869846378853799E-3</v>
      </c>
    </row>
    <row r="17654" spans="1:6" x14ac:dyDescent="0.25">
      <c r="A17654" s="2" t="str">
        <f t="shared" si="631"/>
        <v>31080</v>
      </c>
      <c r="B17654" s="2" t="str">
        <f>"90239"</f>
        <v>90239</v>
      </c>
      <c r="C17654" s="1">
        <v>2.1045463776714899E-4</v>
      </c>
      <c r="D17654" s="1">
        <v>5.5252479455015504E-4</v>
      </c>
      <c r="E17654" s="1">
        <v>5.5992452217441E-6</v>
      </c>
      <c r="F17654" s="1">
        <v>2.33360822871295E-4</v>
      </c>
    </row>
    <row r="17655" spans="1:6" x14ac:dyDescent="0.25">
      <c r="A17655" s="2" t="str">
        <f t="shared" si="631"/>
        <v>31080</v>
      </c>
      <c r="B17655" s="2" t="str">
        <f>"90264"</f>
        <v>90264</v>
      </c>
      <c r="C17655" s="1">
        <v>1.53112219908172E-4</v>
      </c>
      <c r="D17655" s="1">
        <v>3.81892137409666E-4</v>
      </c>
      <c r="E17655" s="1">
        <v>5.5992452217441E-6</v>
      </c>
      <c r="F17655" s="1">
        <v>1.67806281492868E-4</v>
      </c>
    </row>
    <row r="17656" spans="1:6" x14ac:dyDescent="0.25">
      <c r="A17656" s="2" t="str">
        <f t="shared" si="631"/>
        <v>31080</v>
      </c>
      <c r="B17656" s="2" t="str">
        <f>"90083"</f>
        <v>90083</v>
      </c>
      <c r="C17656" s="1">
        <v>1.15680363805784E-4</v>
      </c>
      <c r="D17656" s="1">
        <v>1.6088221958960401E-4</v>
      </c>
      <c r="E17656" s="1">
        <v>5.5992452217441E-6</v>
      </c>
      <c r="F17656" s="1">
        <v>1.13761316081646E-4</v>
      </c>
    </row>
    <row r="17657" spans="1:6" x14ac:dyDescent="0.25">
      <c r="A17657" s="2" t="str">
        <f t="shared" si="631"/>
        <v>31080</v>
      </c>
      <c r="B17657" s="2" t="str">
        <f>"90099"</f>
        <v>90099</v>
      </c>
      <c r="C17657" s="1">
        <v>0</v>
      </c>
      <c r="D17657" s="1">
        <v>0</v>
      </c>
      <c r="E17657" s="1">
        <v>2.79962261087205E-6</v>
      </c>
      <c r="F17657" s="1">
        <v>1.6680544880006799E-7</v>
      </c>
    </row>
    <row r="17658" spans="1:6" x14ac:dyDescent="0.25">
      <c r="A17658" s="2" t="str">
        <f t="shared" si="631"/>
        <v>31080</v>
      </c>
      <c r="B17658" s="2" t="str">
        <f>"90094"</f>
        <v>90094</v>
      </c>
      <c r="C17658" s="1">
        <v>1.3497369814791901E-3</v>
      </c>
      <c r="D17658" s="1">
        <v>3.5426589768215797E-4</v>
      </c>
      <c r="E17658" s="1">
        <v>7.2510225621586204E-4</v>
      </c>
      <c r="F17658" s="1">
        <v>1.2103403364932899E-3</v>
      </c>
    </row>
    <row r="17659" spans="1:6" x14ac:dyDescent="0.25">
      <c r="A17659" s="2" t="str">
        <f t="shared" si="631"/>
        <v>31080</v>
      </c>
      <c r="B17659" s="2" t="str">
        <f>"90093"</f>
        <v>90093</v>
      </c>
      <c r="C17659" s="1">
        <v>2.2080812988057601E-4</v>
      </c>
      <c r="D17659" s="1">
        <v>3.3151487673009302E-4</v>
      </c>
      <c r="E17659" s="1">
        <v>5.5992452217441E-6</v>
      </c>
      <c r="F17659" s="1">
        <v>2.1934916517208901E-4</v>
      </c>
    </row>
    <row r="17660" spans="1:6" x14ac:dyDescent="0.25">
      <c r="A17660" s="2" t="str">
        <f t="shared" si="631"/>
        <v>31080</v>
      </c>
      <c r="B17660" s="2" t="str">
        <f>"90041"</f>
        <v>90041</v>
      </c>
      <c r="C17660" s="1">
        <v>2.2781664761889501E-3</v>
      </c>
      <c r="D17660" s="1">
        <v>2.36448110608963E-3</v>
      </c>
      <c r="E17660" s="1">
        <v>1.3298207401642201E-3</v>
      </c>
      <c r="F17660" s="1">
        <v>2.2305224613545101E-3</v>
      </c>
    </row>
    <row r="17661" spans="1:6" x14ac:dyDescent="0.25">
      <c r="A17661" s="2" t="str">
        <f t="shared" si="631"/>
        <v>31080</v>
      </c>
      <c r="B17661" s="2" t="str">
        <f>"90078"</f>
        <v>90078</v>
      </c>
      <c r="C17661" s="1">
        <v>5.3818248428061095E-4</v>
      </c>
      <c r="D17661" s="1">
        <v>6.5490438883444803E-4</v>
      </c>
      <c r="E17661" s="1">
        <v>5.5992452217441E-6</v>
      </c>
      <c r="F17661" s="1">
        <v>5.18431334870612E-4</v>
      </c>
    </row>
    <row r="17662" spans="1:6" x14ac:dyDescent="0.25">
      <c r="A17662" s="2" t="str">
        <f t="shared" si="631"/>
        <v>31080</v>
      </c>
      <c r="B17662" s="2" t="str">
        <f>"90075"</f>
        <v>90075</v>
      </c>
      <c r="C17662" s="1">
        <v>1.4972742440955199E-4</v>
      </c>
      <c r="D17662" s="1">
        <v>1.8363324054166899E-4</v>
      </c>
      <c r="E17662" s="1">
        <v>5.5992452217441E-6</v>
      </c>
      <c r="F17662" s="1">
        <v>1.4462032410965899E-4</v>
      </c>
    </row>
    <row r="17663" spans="1:6" x14ac:dyDescent="0.25">
      <c r="A17663" s="2" t="str">
        <f t="shared" si="631"/>
        <v>31080</v>
      </c>
      <c r="B17663" s="2" t="str">
        <f>"90062"</f>
        <v>90062</v>
      </c>
      <c r="C17663" s="1">
        <v>2.10414816643636E-3</v>
      </c>
      <c r="D17663" s="1">
        <v>9.6204317168732895E-4</v>
      </c>
      <c r="E17663" s="1">
        <v>5.8512112567225903E-4</v>
      </c>
      <c r="F17663" s="1">
        <v>1.8964111474079699E-3</v>
      </c>
    </row>
    <row r="17664" spans="1:6" x14ac:dyDescent="0.25">
      <c r="A17664" s="2" t="str">
        <f t="shared" si="631"/>
        <v>31080</v>
      </c>
      <c r="B17664" s="2" t="str">
        <f>"90057"</f>
        <v>90057</v>
      </c>
      <c r="C17664" s="1">
        <v>3.45826547150201E-3</v>
      </c>
      <c r="D17664" s="1">
        <v>3.2355201939687E-3</v>
      </c>
      <c r="E17664" s="1">
        <v>3.6087135454140702E-3</v>
      </c>
      <c r="F17664" s="1">
        <v>3.4443657122726098E-3</v>
      </c>
    </row>
    <row r="17665" spans="1:6" x14ac:dyDescent="0.25">
      <c r="A17665" s="2" t="str">
        <f t="shared" si="631"/>
        <v>31080</v>
      </c>
      <c r="B17665" s="2" t="str">
        <f>"90056"</f>
        <v>90056</v>
      </c>
      <c r="C17665" s="1">
        <v>9.7223273057426001E-4</v>
      </c>
      <c r="D17665" s="1">
        <v>8.0603617087316695E-4</v>
      </c>
      <c r="E17665" s="1">
        <v>4.2834225946342401E-4</v>
      </c>
      <c r="F17665" s="1">
        <v>9.2276774276197704E-4</v>
      </c>
    </row>
    <row r="17666" spans="1:6" x14ac:dyDescent="0.25">
      <c r="A17666" s="2" t="str">
        <f t="shared" si="631"/>
        <v>31080</v>
      </c>
      <c r="B17666" s="2" t="str">
        <f>"90067"</f>
        <v>90067</v>
      </c>
      <c r="C17666" s="1">
        <v>5.6665458759253397E-4</v>
      </c>
      <c r="D17666" s="1">
        <v>2.9413819945169999E-3</v>
      </c>
      <c r="E17666" s="1">
        <v>5.9351999350487497E-4</v>
      </c>
      <c r="F17666" s="1">
        <v>8.1200892475873196E-4</v>
      </c>
    </row>
    <row r="17667" spans="1:6" x14ac:dyDescent="0.25">
      <c r="A17667" s="2" t="str">
        <f t="shared" si="631"/>
        <v>31080</v>
      </c>
      <c r="B17667" s="2" t="str">
        <f>"90036"</f>
        <v>90036</v>
      </c>
      <c r="C17667" s="1">
        <v>4.5187019906579601E-3</v>
      </c>
      <c r="D17667" s="1">
        <v>4.2885674494642896E-3</v>
      </c>
      <c r="E17667" s="1">
        <v>4.1042467475384302E-3</v>
      </c>
      <c r="F17667" s="1">
        <v>4.4703860278418302E-3</v>
      </c>
    </row>
    <row r="17668" spans="1:6" x14ac:dyDescent="0.25">
      <c r="A17668" s="2" t="str">
        <f t="shared" si="631"/>
        <v>31080</v>
      </c>
      <c r="B17668" s="2" t="str">
        <f>"90049"</f>
        <v>90049</v>
      </c>
      <c r="C17668" s="1">
        <v>3.9528438255356903E-3</v>
      </c>
      <c r="D17668" s="1">
        <v>2.4246088043200901E-3</v>
      </c>
      <c r="E17668" s="1">
        <v>3.8886758065012801E-3</v>
      </c>
      <c r="F17668" s="1">
        <v>3.7921550730207502E-3</v>
      </c>
    </row>
    <row r="17669" spans="1:6" x14ac:dyDescent="0.25">
      <c r="A17669" s="2" t="str">
        <f t="shared" si="631"/>
        <v>31080</v>
      </c>
      <c r="B17669" s="2" t="str">
        <f>"90023"</f>
        <v>90023</v>
      </c>
      <c r="C17669" s="1">
        <v>2.4061913882838198E-3</v>
      </c>
      <c r="D17669" s="1">
        <v>3.4532799659384699E-3</v>
      </c>
      <c r="E17669" s="1">
        <v>1.73576601874067E-3</v>
      </c>
      <c r="F17669" s="1">
        <v>2.4737248057050101E-3</v>
      </c>
    </row>
    <row r="17670" spans="1:6" x14ac:dyDescent="0.25">
      <c r="A17670" s="2" t="str">
        <f t="shared" si="631"/>
        <v>31080</v>
      </c>
      <c r="B17670" s="2" t="str">
        <f>"90018"</f>
        <v>90018</v>
      </c>
      <c r="C17670" s="1">
        <v>3.61934191611282E-3</v>
      </c>
      <c r="D17670" s="1">
        <v>1.8200816761652101E-3</v>
      </c>
      <c r="E17670" s="1">
        <v>3.1047814754570999E-3</v>
      </c>
      <c r="F17670" s="1">
        <v>3.40399879366299E-3</v>
      </c>
    </row>
    <row r="17671" spans="1:6" x14ac:dyDescent="0.25">
      <c r="A17671" s="2" t="str">
        <f t="shared" si="631"/>
        <v>31080</v>
      </c>
      <c r="B17671" s="2" t="str">
        <f>"93539"</f>
        <v>93539</v>
      </c>
      <c r="C17671" s="1">
        <v>6.7576446601864395E-4</v>
      </c>
      <c r="D17671" s="1">
        <v>1.0335463803938199E-3</v>
      </c>
      <c r="E17671" s="1">
        <v>2.79962261087205E-6</v>
      </c>
      <c r="F17671" s="1">
        <v>6.7239276411307496E-4</v>
      </c>
    </row>
    <row r="17672" spans="1:6" x14ac:dyDescent="0.25">
      <c r="A17672" s="2" t="str">
        <f t="shared" si="631"/>
        <v>31080</v>
      </c>
      <c r="B17672" s="2" t="str">
        <f>"93535"</f>
        <v>93535</v>
      </c>
      <c r="C17672" s="1">
        <v>4.7229843542805697E-3</v>
      </c>
      <c r="D17672" s="1">
        <v>1.6575743836504599E-3</v>
      </c>
      <c r="E17672" s="1">
        <v>2.3768795966303698E-3</v>
      </c>
      <c r="F17672" s="1">
        <v>4.2685514347937398E-3</v>
      </c>
    </row>
    <row r="17673" spans="1:6" x14ac:dyDescent="0.25">
      <c r="A17673" s="2" t="str">
        <f t="shared" si="631"/>
        <v>31080</v>
      </c>
      <c r="B17673" s="2" t="str">
        <f>"92857"</f>
        <v>92857</v>
      </c>
      <c r="C17673" s="1">
        <v>1.2065800424493099E-4</v>
      </c>
      <c r="D17673" s="1">
        <v>2.2426006367035699E-4</v>
      </c>
      <c r="E17673" s="1">
        <v>8.3988678326161601E-6</v>
      </c>
      <c r="F17673" s="1">
        <v>1.2460367025365099E-4</v>
      </c>
    </row>
    <row r="17674" spans="1:6" x14ac:dyDescent="0.25">
      <c r="A17674" s="2" t="str">
        <f t="shared" si="631"/>
        <v>31080</v>
      </c>
      <c r="B17674" s="2" t="str">
        <f>"92836"</f>
        <v>92836</v>
      </c>
      <c r="C17674" s="1">
        <v>1.6525766257969199E-4</v>
      </c>
      <c r="D17674" s="1">
        <v>2.8763790775110999E-4</v>
      </c>
      <c r="E17674" s="1">
        <v>8.3988678326161601E-6</v>
      </c>
      <c r="F17674" s="1">
        <v>1.68473503288069E-4</v>
      </c>
    </row>
    <row r="17675" spans="1:6" x14ac:dyDescent="0.25">
      <c r="A17675" s="2" t="str">
        <f t="shared" si="631"/>
        <v>31080</v>
      </c>
      <c r="B17675" s="2" t="str">
        <f>"92691"</f>
        <v>92691</v>
      </c>
      <c r="C17675" s="1">
        <v>3.5255631702392799E-3</v>
      </c>
      <c r="D17675" s="1">
        <v>3.13151552675926E-3</v>
      </c>
      <c r="E17675" s="1">
        <v>1.9653350728321799E-3</v>
      </c>
      <c r="F17675" s="1">
        <v>3.3921556067981798E-3</v>
      </c>
    </row>
    <row r="17676" spans="1:6" x14ac:dyDescent="0.25">
      <c r="A17676" s="2" t="str">
        <f t="shared" si="631"/>
        <v>31080</v>
      </c>
      <c r="B17676" s="2" t="str">
        <f>"92684"</f>
        <v>92684</v>
      </c>
      <c r="C17676" s="1">
        <v>3.6257132958749202E-4</v>
      </c>
      <c r="D17676" s="1">
        <v>3.4776560598156797E-4</v>
      </c>
      <c r="E17676" s="1">
        <v>1.67977356652323E-5</v>
      </c>
      <c r="F17676" s="1">
        <v>3.4044992100093903E-4</v>
      </c>
    </row>
    <row r="17677" spans="1:6" x14ac:dyDescent="0.25">
      <c r="A17677" s="2" t="str">
        <f t="shared" si="631"/>
        <v>31080</v>
      </c>
      <c r="B17677" s="2" t="str">
        <f>"92817"</f>
        <v>92817</v>
      </c>
      <c r="C17677" s="1">
        <v>1.5550148731896299E-4</v>
      </c>
      <c r="D17677" s="1">
        <v>8.6941401495392102E-4</v>
      </c>
      <c r="E17677" s="1">
        <v>8.3988678326161601E-6</v>
      </c>
      <c r="F17677" s="1">
        <v>2.2001638696728999E-4</v>
      </c>
    </row>
    <row r="17678" spans="1:6" x14ac:dyDescent="0.25">
      <c r="A17678" s="2" t="str">
        <f t="shared" si="631"/>
        <v>31080</v>
      </c>
      <c r="B17678" s="2" t="str">
        <f>"92811"</f>
        <v>92811</v>
      </c>
      <c r="C17678" s="1">
        <v>1.20259793009799E-4</v>
      </c>
      <c r="D17678" s="1">
        <v>2.7788747020022499E-4</v>
      </c>
      <c r="E17678" s="1">
        <v>8.3988678326161601E-6</v>
      </c>
      <c r="F17678" s="1">
        <v>1.2977463916645301E-4</v>
      </c>
    </row>
    <row r="17679" spans="1:6" x14ac:dyDescent="0.25">
      <c r="A17679" s="2" t="str">
        <f t="shared" si="631"/>
        <v>31080</v>
      </c>
      <c r="B17679" s="2" t="str">
        <f>"92728"</f>
        <v>92728</v>
      </c>
      <c r="C17679" s="1">
        <v>2.2359560852649801E-4</v>
      </c>
      <c r="D17679" s="1">
        <v>6.8415570148710396E-4</v>
      </c>
      <c r="E17679" s="1">
        <v>8.3988678326161601E-6</v>
      </c>
      <c r="F17679" s="1">
        <v>2.5804802929370497E-4</v>
      </c>
    </row>
    <row r="17680" spans="1:6" x14ac:dyDescent="0.25">
      <c r="A17680" s="2" t="str">
        <f t="shared" si="631"/>
        <v>31080</v>
      </c>
      <c r="B17680" s="2" t="str">
        <f>"92676"</f>
        <v>92676</v>
      </c>
      <c r="C17680" s="1">
        <v>1.7979237266200199E-4</v>
      </c>
      <c r="D17680" s="1">
        <v>1.3325597986209599E-4</v>
      </c>
      <c r="E17680" s="1">
        <v>1.3998113054360201E-5</v>
      </c>
      <c r="F17680" s="1">
        <v>1.6513739431206701E-4</v>
      </c>
    </row>
    <row r="17681" spans="1:6" x14ac:dyDescent="0.25">
      <c r="A17681" s="2" t="str">
        <f t="shared" si="631"/>
        <v>31080</v>
      </c>
      <c r="B17681" s="2" t="str">
        <f>"92673"</f>
        <v>92673</v>
      </c>
      <c r="C17681" s="1">
        <v>2.3030546783846901E-3</v>
      </c>
      <c r="D17681" s="1">
        <v>2.0654676878624901E-3</v>
      </c>
      <c r="E17681" s="1">
        <v>8.0629131193115104E-4</v>
      </c>
      <c r="F17681" s="1">
        <v>2.1894883209496899E-3</v>
      </c>
    </row>
    <row r="17682" spans="1:6" x14ac:dyDescent="0.25">
      <c r="A17682" s="2" t="str">
        <f t="shared" si="631"/>
        <v>31080</v>
      </c>
      <c r="B17682" s="2" t="str">
        <f>"92662"</f>
        <v>92662</v>
      </c>
      <c r="C17682" s="1">
        <v>6.5326553123369797E-4</v>
      </c>
      <c r="D17682" s="1">
        <v>4.3551954393953397E-4</v>
      </c>
      <c r="E17682" s="1">
        <v>2.9116075153069298E-4</v>
      </c>
      <c r="F17682" s="1">
        <v>6.0934030446664904E-4</v>
      </c>
    </row>
    <row r="17683" spans="1:6" x14ac:dyDescent="0.25">
      <c r="A17683" s="2" t="str">
        <f t="shared" si="631"/>
        <v>31080</v>
      </c>
      <c r="B17683" s="2" t="str">
        <f>"92625"</f>
        <v>92625</v>
      </c>
      <c r="C17683" s="1">
        <v>1.46063881046339E-3</v>
      </c>
      <c r="D17683" s="1">
        <v>1.0936740786242701E-3</v>
      </c>
      <c r="E17683" s="1">
        <v>6.8870716227452497E-4</v>
      </c>
      <c r="F17683" s="1">
        <v>1.3769789798445599E-3</v>
      </c>
    </row>
    <row r="17684" spans="1:6" x14ac:dyDescent="0.25">
      <c r="A17684" s="2" t="str">
        <f t="shared" si="631"/>
        <v>31080</v>
      </c>
      <c r="B17684" s="2" t="str">
        <f>"92612"</f>
        <v>92612</v>
      </c>
      <c r="C17684" s="1">
        <v>3.1305376249885501E-3</v>
      </c>
      <c r="D17684" s="1">
        <v>3.4679056222647899E-3</v>
      </c>
      <c r="E17684" s="1">
        <v>9.4347281986388197E-4</v>
      </c>
      <c r="F17684" s="1">
        <v>3.03485833546844E-3</v>
      </c>
    </row>
    <row r="17685" spans="1:6" x14ac:dyDescent="0.25">
      <c r="A17685" s="2" t="str">
        <f t="shared" si="631"/>
        <v>31080</v>
      </c>
      <c r="B17685" s="2" t="str">
        <f>"92610"</f>
        <v>92610</v>
      </c>
      <c r="C17685" s="1">
        <v>9.2842949470976299E-4</v>
      </c>
      <c r="D17685" s="1">
        <v>6.3865365958297297E-4</v>
      </c>
      <c r="E17685" s="1">
        <v>2.07172073204532E-4</v>
      </c>
      <c r="F17685" s="1">
        <v>8.5571195234434997E-4</v>
      </c>
    </row>
    <row r="17686" spans="1:6" x14ac:dyDescent="0.25">
      <c r="A17686" s="2" t="str">
        <f t="shared" si="631"/>
        <v>31080</v>
      </c>
      <c r="B17686" s="2" t="str">
        <f>"92609"</f>
        <v>92609</v>
      </c>
      <c r="C17686" s="1">
        <v>1.8257985130792399E-4</v>
      </c>
      <c r="D17686" s="1">
        <v>5.9640176352913801E-4</v>
      </c>
      <c r="E17686" s="1">
        <v>2.79962261087205E-6</v>
      </c>
      <c r="F17686" s="1">
        <v>2.14345001708087E-4</v>
      </c>
    </row>
    <row r="17687" spans="1:6" x14ac:dyDescent="0.25">
      <c r="A17687" s="2" t="str">
        <f t="shared" si="631"/>
        <v>31080</v>
      </c>
      <c r="B17687" s="2" t="str">
        <f>"92656"</f>
        <v>92656</v>
      </c>
      <c r="C17687" s="1">
        <v>4.1248710791126197E-3</v>
      </c>
      <c r="D17687" s="1">
        <v>1.66732482120135E-3</v>
      </c>
      <c r="E17687" s="1">
        <v>1.12824791218143E-3</v>
      </c>
      <c r="F17687" s="1">
        <v>3.6940734691263098E-3</v>
      </c>
    </row>
    <row r="17688" spans="1:6" x14ac:dyDescent="0.25">
      <c r="A17688" s="2" t="str">
        <f t="shared" si="631"/>
        <v>31080</v>
      </c>
      <c r="B17688" s="2" t="str">
        <f>"92655"</f>
        <v>92655</v>
      </c>
      <c r="C17688" s="1">
        <v>6.6302170649442695E-4</v>
      </c>
      <c r="D17688" s="1">
        <v>3.10388928703175E-4</v>
      </c>
      <c r="E17688" s="1">
        <v>6.7470904922016495E-4</v>
      </c>
      <c r="F17688" s="1">
        <v>6.2752209838585701E-4</v>
      </c>
    </row>
    <row r="17689" spans="1:6" x14ac:dyDescent="0.25">
      <c r="A17689" s="2" t="str">
        <f t="shared" si="631"/>
        <v>31080</v>
      </c>
      <c r="B17689" s="2" t="str">
        <f>"92602"</f>
        <v>92602</v>
      </c>
      <c r="C17689" s="1">
        <v>2.4484017792077901E-3</v>
      </c>
      <c r="D17689" s="1">
        <v>1.8590834263687501E-3</v>
      </c>
      <c r="E17689" s="1">
        <v>1.4837999837621801E-4</v>
      </c>
      <c r="F17689" s="1">
        <v>2.2508727261081199E-3</v>
      </c>
    </row>
    <row r="17690" spans="1:6" x14ac:dyDescent="0.25">
      <c r="A17690" s="2" t="str">
        <f t="shared" si="631"/>
        <v>31080</v>
      </c>
      <c r="B17690" s="2" t="str">
        <f>"92630"</f>
        <v>92630</v>
      </c>
      <c r="C17690" s="1">
        <v>4.6658410420391599E-3</v>
      </c>
      <c r="D17690" s="1">
        <v>4.0968088442968802E-3</v>
      </c>
      <c r="E17690" s="1">
        <v>2.2117018625889199E-3</v>
      </c>
      <c r="F17690" s="1">
        <v>4.4612117281578201E-3</v>
      </c>
    </row>
    <row r="17691" spans="1:6" x14ac:dyDescent="0.25">
      <c r="A17691" s="2" t="str">
        <f t="shared" si="631"/>
        <v>31080</v>
      </c>
      <c r="B17691" s="2" t="str">
        <f>"91804"</f>
        <v>91804</v>
      </c>
      <c r="C17691" s="1">
        <v>0</v>
      </c>
      <c r="D17691" s="1">
        <v>0</v>
      </c>
      <c r="E17691" s="1">
        <v>2.79962261087205E-6</v>
      </c>
      <c r="F17691" s="1">
        <v>1.6680544880006799E-7</v>
      </c>
    </row>
    <row r="17692" spans="1:6" x14ac:dyDescent="0.25">
      <c r="A17692" s="2" t="str">
        <f t="shared" si="631"/>
        <v>31080</v>
      </c>
      <c r="B17692" s="2" t="str">
        <f>"91791"</f>
        <v>91791</v>
      </c>
      <c r="C17692" s="1">
        <v>2.41096992310541E-3</v>
      </c>
      <c r="D17692" s="1">
        <v>1.5503195705907299E-3</v>
      </c>
      <c r="E17692" s="1">
        <v>7.0550489793975697E-4</v>
      </c>
      <c r="F17692" s="1">
        <v>2.2210145507728998E-3</v>
      </c>
    </row>
    <row r="17693" spans="1:6" x14ac:dyDescent="0.25">
      <c r="A17693" s="2" t="str">
        <f t="shared" si="631"/>
        <v>31080</v>
      </c>
      <c r="B17693" s="2" t="str">
        <f>"91788"</f>
        <v>91788</v>
      </c>
      <c r="C17693" s="1">
        <v>1.94526188361878E-4</v>
      </c>
      <c r="D17693" s="1">
        <v>7.8166007699595496E-4</v>
      </c>
      <c r="E17693" s="1">
        <v>8.3988678326161601E-6</v>
      </c>
      <c r="F17693" s="1">
        <v>2.4370276069689899E-4</v>
      </c>
    </row>
    <row r="17694" spans="1:6" x14ac:dyDescent="0.25">
      <c r="A17694" s="2" t="str">
        <f t="shared" si="631"/>
        <v>31080</v>
      </c>
      <c r="B17694" s="2" t="str">
        <f>"91731"</f>
        <v>91731</v>
      </c>
      <c r="C17694" s="1">
        <v>1.6151447696945299E-3</v>
      </c>
      <c r="D17694" s="1">
        <v>3.5735353623993801E-3</v>
      </c>
      <c r="E17694" s="1">
        <v>2.1613086555932201E-3</v>
      </c>
      <c r="F17694" s="1">
        <v>1.84870478905115E-3</v>
      </c>
    </row>
    <row r="17695" spans="1:6" x14ac:dyDescent="0.25">
      <c r="A17695" s="2" t="str">
        <f t="shared" si="631"/>
        <v>31080</v>
      </c>
      <c r="B17695" s="2" t="str">
        <f>"91770"</f>
        <v>91770</v>
      </c>
      <c r="C17695" s="1">
        <v>3.8090895696531102E-3</v>
      </c>
      <c r="D17695" s="1">
        <v>3.29077267342371E-3</v>
      </c>
      <c r="E17695" s="1">
        <v>2.37128035140863E-3</v>
      </c>
      <c r="F17695" s="1">
        <v>3.6702202899479E-3</v>
      </c>
    </row>
    <row r="17696" spans="1:6" x14ac:dyDescent="0.25">
      <c r="A17696" s="2" t="str">
        <f t="shared" si="631"/>
        <v>31080</v>
      </c>
      <c r="B17696" s="2" t="str">
        <f>"91768"</f>
        <v>91768</v>
      </c>
      <c r="C17696" s="1">
        <v>1.6981718122195E-3</v>
      </c>
      <c r="D17696" s="1">
        <v>1.81033123861433E-3</v>
      </c>
      <c r="E17696" s="1">
        <v>1.20103810006411E-3</v>
      </c>
      <c r="F17696" s="1">
        <v>1.6800644803142801E-3</v>
      </c>
    </row>
    <row r="17697" spans="1:6" x14ac:dyDescent="0.25">
      <c r="A17697" s="2" t="str">
        <f t="shared" si="631"/>
        <v>31080</v>
      </c>
      <c r="B17697" s="2" t="str">
        <f>"91724"</f>
        <v>91724</v>
      </c>
      <c r="C17697" s="1">
        <v>1.76327934916355E-3</v>
      </c>
      <c r="D17697" s="1">
        <v>1.29680819426771E-3</v>
      </c>
      <c r="E17697" s="1">
        <v>1.5481913038122401E-3</v>
      </c>
      <c r="F17697" s="1">
        <v>1.7025832159022901E-3</v>
      </c>
    </row>
    <row r="17698" spans="1:6" x14ac:dyDescent="0.25">
      <c r="A17698" s="2" t="str">
        <f t="shared" si="631"/>
        <v>31080</v>
      </c>
      <c r="B17698" s="2" t="str">
        <f>"91385"</f>
        <v>91385</v>
      </c>
      <c r="C17698" s="1">
        <v>3.4843483074031397E-5</v>
      </c>
      <c r="D17698" s="1">
        <v>1.72257730065636E-4</v>
      </c>
      <c r="E17698" s="1">
        <v>2.79962261087205E-6</v>
      </c>
      <c r="F17698" s="1">
        <v>4.7039136561619199E-5</v>
      </c>
    </row>
    <row r="17699" spans="1:6" x14ac:dyDescent="0.25">
      <c r="A17699" s="2" t="str">
        <f t="shared" si="631"/>
        <v>31080</v>
      </c>
      <c r="B17699" s="2" t="str">
        <f>"91394"</f>
        <v>91394</v>
      </c>
      <c r="C17699" s="1">
        <v>1.88752125452467E-4</v>
      </c>
      <c r="D17699" s="1">
        <v>3.9976793958628799E-4</v>
      </c>
      <c r="E17699" s="1">
        <v>5.5992452217441E-6</v>
      </c>
      <c r="F17699" s="1">
        <v>1.9949931676488099E-4</v>
      </c>
    </row>
    <row r="17700" spans="1:6" x14ac:dyDescent="0.25">
      <c r="A17700" s="2" t="str">
        <f t="shared" si="631"/>
        <v>31080</v>
      </c>
      <c r="B17700" s="2" t="str">
        <f>"91617"</f>
        <v>91617</v>
      </c>
      <c r="C17700" s="1">
        <v>9.6765330137024393E-5</v>
      </c>
      <c r="D17700" s="1">
        <v>2.941381994517E-4</v>
      </c>
      <c r="E17700" s="1">
        <v>5.5992452217441E-6</v>
      </c>
      <c r="F17700" s="1">
        <v>1.11592845247245E-4</v>
      </c>
    </row>
    <row r="17701" spans="1:6" x14ac:dyDescent="0.25">
      <c r="A17701" s="2" t="str">
        <f t="shared" si="631"/>
        <v>31080</v>
      </c>
      <c r="B17701" s="2" t="str">
        <f>"91702"</f>
        <v>91702</v>
      </c>
      <c r="C17701" s="1">
        <v>3.80809404156528E-3</v>
      </c>
      <c r="D17701" s="1">
        <v>2.9283814111158201E-3</v>
      </c>
      <c r="E17701" s="1">
        <v>3.7374961855141898E-3</v>
      </c>
      <c r="F17701" s="1">
        <v>3.7135897066359201E-3</v>
      </c>
    </row>
    <row r="17702" spans="1:6" x14ac:dyDescent="0.25">
      <c r="A17702" s="2" t="str">
        <f t="shared" ref="A17702:A17762" si="632">"31080"</f>
        <v>31080</v>
      </c>
      <c r="B17702" s="2" t="str">
        <f>"91522"</f>
        <v>91522</v>
      </c>
      <c r="C17702" s="1">
        <v>0</v>
      </c>
      <c r="D17702" s="1">
        <v>4.8752187754425404E-6</v>
      </c>
      <c r="E17702" s="1">
        <v>0</v>
      </c>
      <c r="F17702" s="1">
        <v>5.0041634640020402E-7</v>
      </c>
    </row>
    <row r="17703" spans="1:6" x14ac:dyDescent="0.25">
      <c r="A17703" s="2" t="str">
        <f t="shared" si="632"/>
        <v>31080</v>
      </c>
      <c r="B17703" s="2" t="str">
        <f>"91508"</f>
        <v>91508</v>
      </c>
      <c r="C17703" s="1">
        <v>3.5839011161860898E-5</v>
      </c>
      <c r="D17703" s="1">
        <v>6.6627989931048102E-5</v>
      </c>
      <c r="E17703" s="1">
        <v>8.3988678326161601E-6</v>
      </c>
      <c r="F17703" s="1">
        <v>3.7364420531215302E-5</v>
      </c>
    </row>
    <row r="17704" spans="1:6" x14ac:dyDescent="0.25">
      <c r="A17704" s="2" t="str">
        <f t="shared" si="632"/>
        <v>31080</v>
      </c>
      <c r="B17704" s="2" t="str">
        <f>"91502"</f>
        <v>91502</v>
      </c>
      <c r="C17704" s="1">
        <v>1.0910987842610901E-3</v>
      </c>
      <c r="D17704" s="1">
        <v>3.5329085392706901E-3</v>
      </c>
      <c r="E17704" s="1">
        <v>2.4552690297347901E-3</v>
      </c>
      <c r="F17704" s="1">
        <v>1.42301728371338E-3</v>
      </c>
    </row>
    <row r="17705" spans="1:6" x14ac:dyDescent="0.25">
      <c r="A17705" s="2" t="str">
        <f t="shared" si="632"/>
        <v>31080</v>
      </c>
      <c r="B17705" s="2" t="str">
        <f>"91364"</f>
        <v>91364</v>
      </c>
      <c r="C17705" s="1">
        <v>2.1716449707912E-3</v>
      </c>
      <c r="D17705" s="1">
        <v>3.6011616021268899E-3</v>
      </c>
      <c r="E17705" s="1">
        <v>1.0442592338552701E-3</v>
      </c>
      <c r="F17705" s="1">
        <v>2.2512063370057202E-3</v>
      </c>
    </row>
    <row r="17706" spans="1:6" x14ac:dyDescent="0.25">
      <c r="A17706" s="2" t="str">
        <f t="shared" si="632"/>
        <v>31080</v>
      </c>
      <c r="B17706" s="2" t="str">
        <f>"91499"</f>
        <v>91499</v>
      </c>
      <c r="C17706" s="1">
        <v>0</v>
      </c>
      <c r="D17706" s="1">
        <v>0</v>
      </c>
      <c r="E17706" s="1">
        <v>2.79962261087205E-6</v>
      </c>
      <c r="F17706" s="1">
        <v>1.6680544880006799E-7</v>
      </c>
    </row>
    <row r="17707" spans="1:6" x14ac:dyDescent="0.25">
      <c r="A17707" s="2" t="str">
        <f t="shared" si="632"/>
        <v>31080</v>
      </c>
      <c r="B17707" s="2" t="str">
        <f>"91495"</f>
        <v>91495</v>
      </c>
      <c r="C17707" s="1">
        <v>0</v>
      </c>
      <c r="D17707" s="1">
        <v>1.62507292514751E-6</v>
      </c>
      <c r="E17707" s="1">
        <v>0</v>
      </c>
      <c r="F17707" s="1">
        <v>1.6680544880006799E-7</v>
      </c>
    </row>
    <row r="17708" spans="1:6" x14ac:dyDescent="0.25">
      <c r="A17708" s="2" t="str">
        <f t="shared" si="632"/>
        <v>31080</v>
      </c>
      <c r="B17708" s="2" t="str">
        <f>"91412"</f>
        <v>91412</v>
      </c>
      <c r="C17708" s="1">
        <v>1.96517244537537E-4</v>
      </c>
      <c r="D17708" s="1">
        <v>1.6413236543989901E-4</v>
      </c>
      <c r="E17708" s="1">
        <v>5.5992452217441E-6</v>
      </c>
      <c r="F17708" s="1">
        <v>1.8181793919207399E-4</v>
      </c>
    </row>
    <row r="17709" spans="1:6" x14ac:dyDescent="0.25">
      <c r="A17709" s="2" t="str">
        <f t="shared" si="632"/>
        <v>31080</v>
      </c>
      <c r="B17709" s="2" t="str">
        <f>"91501"</f>
        <v>91501</v>
      </c>
      <c r="C17709" s="1">
        <v>1.7479482166109801E-3</v>
      </c>
      <c r="D17709" s="1">
        <v>1.4625656326327599E-4</v>
      </c>
      <c r="E17709" s="1">
        <v>3.19156977639414E-3</v>
      </c>
      <c r="F17709" s="1">
        <v>1.6695557370398799E-3</v>
      </c>
    </row>
    <row r="17710" spans="1:6" x14ac:dyDescent="0.25">
      <c r="A17710" s="2" t="str">
        <f t="shared" si="632"/>
        <v>31080</v>
      </c>
      <c r="B17710" s="2" t="str">
        <f>"91362"</f>
        <v>91362</v>
      </c>
      <c r="C17710" s="1">
        <v>8.2031514437148304E-5</v>
      </c>
      <c r="D17710" s="1">
        <v>1.4609405597076101E-3</v>
      </c>
      <c r="E17710" s="1">
        <v>4.00346033354703E-4</v>
      </c>
      <c r="F17710" s="1">
        <v>2.4253512255529899E-4</v>
      </c>
    </row>
    <row r="17711" spans="1:6" x14ac:dyDescent="0.25">
      <c r="A17711" s="2" t="str">
        <f t="shared" si="632"/>
        <v>31080</v>
      </c>
      <c r="B17711" s="2" t="str">
        <f>"91361"</f>
        <v>91361</v>
      </c>
      <c r="C17711" s="1">
        <v>5.97715063932813E-4</v>
      </c>
      <c r="D17711" s="1">
        <v>6.9065599318769396E-4</v>
      </c>
      <c r="E17711" s="1">
        <v>2.71563393254589E-4</v>
      </c>
      <c r="F17711" s="1">
        <v>5.8782240157144005E-4</v>
      </c>
    </row>
    <row r="17712" spans="1:6" x14ac:dyDescent="0.25">
      <c r="A17712" s="2" t="str">
        <f t="shared" si="632"/>
        <v>31080</v>
      </c>
      <c r="B17712" s="2" t="str">
        <f>"91337"</f>
        <v>91337</v>
      </c>
      <c r="C17712" s="1">
        <v>2.9527363085022002E-4</v>
      </c>
      <c r="D17712" s="1">
        <v>2.6163674094874999E-4</v>
      </c>
      <c r="E17712" s="1">
        <v>5.5992452217441E-6</v>
      </c>
      <c r="F17712" s="1">
        <v>2.74561768724912E-4</v>
      </c>
    </row>
    <row r="17713" spans="1:6" x14ac:dyDescent="0.25">
      <c r="A17713" s="2" t="str">
        <f t="shared" si="632"/>
        <v>31080</v>
      </c>
      <c r="B17713" s="2" t="str">
        <f>"91346"</f>
        <v>91346</v>
      </c>
      <c r="C17713" s="1">
        <v>1.7680578839851299E-4</v>
      </c>
      <c r="D17713" s="1">
        <v>2.8601283482596198E-4</v>
      </c>
      <c r="E17713" s="1">
        <v>5.5992452217441E-6</v>
      </c>
      <c r="F17713" s="1">
        <v>1.7781460842087199E-4</v>
      </c>
    </row>
    <row r="17714" spans="1:6" x14ac:dyDescent="0.25">
      <c r="A17714" s="2" t="str">
        <f t="shared" si="632"/>
        <v>31080</v>
      </c>
      <c r="B17714" s="2" t="str">
        <f>"91303"</f>
        <v>91303</v>
      </c>
      <c r="C17714" s="1">
        <v>2.0318728272599399E-3</v>
      </c>
      <c r="D17714" s="1">
        <v>3.6547890086567601E-3</v>
      </c>
      <c r="E17714" s="1">
        <v>2.2117018625889199E-3</v>
      </c>
      <c r="F17714" s="1">
        <v>2.2091713639081001E-3</v>
      </c>
    </row>
    <row r="17715" spans="1:6" x14ac:dyDescent="0.25">
      <c r="A17715" s="2" t="str">
        <f t="shared" si="632"/>
        <v>31080</v>
      </c>
      <c r="B17715" s="2" t="str">
        <f>"91329"</f>
        <v>91329</v>
      </c>
      <c r="C17715" s="1">
        <v>0</v>
      </c>
      <c r="D17715" s="1">
        <v>1.62507292514751E-6</v>
      </c>
      <c r="E17715" s="1">
        <v>8.3988678326161601E-6</v>
      </c>
      <c r="F17715" s="1">
        <v>6.6722179520027301E-7</v>
      </c>
    </row>
    <row r="17716" spans="1:6" x14ac:dyDescent="0.25">
      <c r="A17716" s="2" t="str">
        <f t="shared" si="632"/>
        <v>31080</v>
      </c>
      <c r="B17716" s="2" t="str">
        <f>"91325"</f>
        <v>91325</v>
      </c>
      <c r="C17716" s="1">
        <v>2.5001692397749299E-3</v>
      </c>
      <c r="D17716" s="1">
        <v>1.2334303501869599E-3</v>
      </c>
      <c r="E17716" s="1">
        <v>1.9625354502213099E-3</v>
      </c>
      <c r="F17716" s="1">
        <v>2.33811197583055E-3</v>
      </c>
    </row>
    <row r="17717" spans="1:6" x14ac:dyDescent="0.25">
      <c r="A17717" s="2" t="str">
        <f t="shared" si="632"/>
        <v>31080</v>
      </c>
      <c r="B17717" s="2" t="str">
        <f>"91221"</f>
        <v>91221</v>
      </c>
      <c r="C17717" s="1">
        <v>2.3215715008183201E-4</v>
      </c>
      <c r="D17717" s="1">
        <v>5.8827639890339999E-4</v>
      </c>
      <c r="E17717" s="1">
        <v>5.5992452217441E-6</v>
      </c>
      <c r="F17717" s="1">
        <v>2.5521233666410398E-4</v>
      </c>
    </row>
    <row r="17718" spans="1:6" x14ac:dyDescent="0.25">
      <c r="A17718" s="2" t="str">
        <f t="shared" si="632"/>
        <v>31080</v>
      </c>
      <c r="B17718" s="2" t="str">
        <f>"91222"</f>
        <v>91222</v>
      </c>
      <c r="C17718" s="1">
        <v>6.5505748179179097E-5</v>
      </c>
      <c r="D17718" s="1">
        <v>2.3888571999668401E-4</v>
      </c>
      <c r="E17718" s="1">
        <v>5.5992452217441E-6</v>
      </c>
      <c r="F17718" s="1">
        <v>7.9733004526432604E-5</v>
      </c>
    </row>
    <row r="17719" spans="1:6" x14ac:dyDescent="0.25">
      <c r="A17719" s="2" t="str">
        <f t="shared" si="632"/>
        <v>31080</v>
      </c>
      <c r="B17719" s="2" t="str">
        <f>"91214"</f>
        <v>91214</v>
      </c>
      <c r="C17719" s="1">
        <v>2.1895644763721299E-3</v>
      </c>
      <c r="D17719" s="1">
        <v>1.26593180868991E-3</v>
      </c>
      <c r="E17719" s="1">
        <v>1.44740488982085E-3</v>
      </c>
      <c r="F17719" s="1">
        <v>2.05053938209923E-3</v>
      </c>
    </row>
    <row r="17720" spans="1:6" x14ac:dyDescent="0.25">
      <c r="A17720" s="2" t="str">
        <f t="shared" si="632"/>
        <v>31080</v>
      </c>
      <c r="B17720" s="2" t="str">
        <f>"90844"</f>
        <v>90844</v>
      </c>
      <c r="C17720" s="1">
        <v>0</v>
      </c>
      <c r="D17720" s="1">
        <v>1.62507292514751E-6</v>
      </c>
      <c r="E17720" s="1">
        <v>0</v>
      </c>
      <c r="F17720" s="1">
        <v>1.6680544880006799E-7</v>
      </c>
    </row>
    <row r="17721" spans="1:6" x14ac:dyDescent="0.25">
      <c r="A17721" s="2" t="str">
        <f t="shared" si="632"/>
        <v>31080</v>
      </c>
      <c r="B17721" s="2" t="str">
        <f>"90853"</f>
        <v>90853</v>
      </c>
      <c r="C17721" s="1">
        <v>1.8317716816062201E-4</v>
      </c>
      <c r="D17721" s="1">
        <v>4.8427173169395899E-4</v>
      </c>
      <c r="E17721" s="1">
        <v>1.3998113054360201E-5</v>
      </c>
      <c r="F17721" s="1">
        <v>2.0400306388248301E-4</v>
      </c>
    </row>
    <row r="17722" spans="1:6" x14ac:dyDescent="0.25">
      <c r="A17722" s="2" t="str">
        <f t="shared" si="632"/>
        <v>31080</v>
      </c>
      <c r="B17722" s="2" t="str">
        <f>"91204"</f>
        <v>91204</v>
      </c>
      <c r="C17722" s="1">
        <v>1.30613285123226E-3</v>
      </c>
      <c r="D17722" s="1">
        <v>3.0047598385977499E-3</v>
      </c>
      <c r="E17722" s="1">
        <v>3.1439761920093101E-3</v>
      </c>
      <c r="F17722" s="1">
        <v>1.58998953796225E-3</v>
      </c>
    </row>
    <row r="17723" spans="1:6" x14ac:dyDescent="0.25">
      <c r="A17723" s="2" t="str">
        <f t="shared" si="632"/>
        <v>31080</v>
      </c>
      <c r="B17723" s="2" t="str">
        <f>"91202"</f>
        <v>91202</v>
      </c>
      <c r="C17723" s="1">
        <v>1.8409305400142501E-3</v>
      </c>
      <c r="D17723" s="1">
        <v>9.2304142148378905E-4</v>
      </c>
      <c r="E17723" s="1">
        <v>2.9620007223026298E-3</v>
      </c>
      <c r="F17723" s="1">
        <v>1.8135088393543401E-3</v>
      </c>
    </row>
    <row r="17724" spans="1:6" x14ac:dyDescent="0.25">
      <c r="A17724" s="2" t="str">
        <f t="shared" si="632"/>
        <v>31080</v>
      </c>
      <c r="B17724" s="2" t="str">
        <f>"91182"</f>
        <v>91182</v>
      </c>
      <c r="C17724" s="1">
        <v>0</v>
      </c>
      <c r="D17724" s="1">
        <v>1.62507292514751E-6</v>
      </c>
      <c r="E17724" s="1">
        <v>0</v>
      </c>
      <c r="F17724" s="1">
        <v>1.6680544880006799E-7</v>
      </c>
    </row>
    <row r="17725" spans="1:6" x14ac:dyDescent="0.25">
      <c r="A17725" s="2" t="str">
        <f t="shared" si="632"/>
        <v>31080</v>
      </c>
      <c r="B17725" s="2" t="str">
        <f>"91118"</f>
        <v>91118</v>
      </c>
      <c r="C17725" s="1">
        <v>1.07915244720714E-4</v>
      </c>
      <c r="D17725" s="1">
        <v>4.2576910638864903E-4</v>
      </c>
      <c r="E17725" s="1">
        <v>5.5992452217441E-6</v>
      </c>
      <c r="F17725" s="1">
        <v>1.3444519173285501E-4</v>
      </c>
    </row>
    <row r="17726" spans="1:6" x14ac:dyDescent="0.25">
      <c r="A17726" s="2" t="str">
        <f t="shared" si="632"/>
        <v>31080</v>
      </c>
      <c r="B17726" s="2" t="str">
        <f>"91115"</f>
        <v>91115</v>
      </c>
      <c r="C17726" s="1">
        <v>7.6456557145303201E-5</v>
      </c>
      <c r="D17726" s="1">
        <v>2.0475918856858701E-4</v>
      </c>
      <c r="E17726" s="1">
        <v>5.5992452217441E-6</v>
      </c>
      <c r="F17726" s="1">
        <v>8.5404389785634905E-5</v>
      </c>
    </row>
    <row r="17727" spans="1:6" x14ac:dyDescent="0.25">
      <c r="A17727" s="2" t="str">
        <f t="shared" si="632"/>
        <v>31080</v>
      </c>
      <c r="B17727" s="2" t="str">
        <f>"90813"</f>
        <v>90813</v>
      </c>
      <c r="C17727" s="1">
        <v>3.69978058560944E-3</v>
      </c>
      <c r="D17727" s="1">
        <v>3.1851429332891302E-3</v>
      </c>
      <c r="E17727" s="1">
        <v>7.3154138822086696E-3</v>
      </c>
      <c r="F17727" s="1">
        <v>3.8623801669655801E-3</v>
      </c>
    </row>
    <row r="17728" spans="1:6" x14ac:dyDescent="0.25">
      <c r="A17728" s="2" t="str">
        <f t="shared" si="632"/>
        <v>31080</v>
      </c>
      <c r="B17728" s="2" t="str">
        <f>"90806"</f>
        <v>90806</v>
      </c>
      <c r="C17728" s="1">
        <v>2.7430780932053201E-3</v>
      </c>
      <c r="D17728" s="1">
        <v>2.6098671177869101E-3</v>
      </c>
      <c r="E17728" s="1">
        <v>4.4402014608430698E-3</v>
      </c>
      <c r="F17728" s="1">
        <v>2.8305216606883499E-3</v>
      </c>
    </row>
    <row r="17729" spans="1:6" x14ac:dyDescent="0.25">
      <c r="A17729" s="2" t="str">
        <f t="shared" si="632"/>
        <v>31080</v>
      </c>
      <c r="B17729" s="2" t="str">
        <f>"90715"</f>
        <v>90715</v>
      </c>
      <c r="C17729" s="1">
        <v>1.29060261306212E-3</v>
      </c>
      <c r="D17729" s="1">
        <v>3.16889220403765E-4</v>
      </c>
      <c r="E17729" s="1">
        <v>1.01066376252481E-3</v>
      </c>
      <c r="F17729" s="1">
        <v>1.17397674865488E-3</v>
      </c>
    </row>
    <row r="17730" spans="1:6" x14ac:dyDescent="0.25">
      <c r="A17730" s="2" t="str">
        <f t="shared" si="632"/>
        <v>31080</v>
      </c>
      <c r="B17730" s="2" t="str">
        <f>"90671"</f>
        <v>90671</v>
      </c>
      <c r="C17730" s="1">
        <v>0</v>
      </c>
      <c r="D17730" s="1">
        <v>0</v>
      </c>
      <c r="E17730" s="1">
        <v>2.79962261087205E-6</v>
      </c>
      <c r="F17730" s="1">
        <v>1.6680544880006799E-7</v>
      </c>
    </row>
    <row r="17731" spans="1:6" x14ac:dyDescent="0.25">
      <c r="A17731" s="2" t="str">
        <f t="shared" si="632"/>
        <v>31080</v>
      </c>
      <c r="B17731" s="2" t="str">
        <f>"90701"</f>
        <v>90701</v>
      </c>
      <c r="C17731" s="1">
        <v>9.3400445200160801E-4</v>
      </c>
      <c r="D17731" s="1">
        <v>1.87858430147052E-3</v>
      </c>
      <c r="E17731" s="1">
        <v>7.7549546321155902E-4</v>
      </c>
      <c r="F17731" s="1">
        <v>1.0215165684516101E-3</v>
      </c>
    </row>
    <row r="17732" spans="1:6" x14ac:dyDescent="0.25">
      <c r="A17732" s="2" t="str">
        <f t="shared" si="632"/>
        <v>31080</v>
      </c>
      <c r="B17732" s="2" t="str">
        <f>"90802"</f>
        <v>90802</v>
      </c>
      <c r="C17732" s="1">
        <v>4.8840607988913697E-3</v>
      </c>
      <c r="D17732" s="1">
        <v>3.8709237077013802E-3</v>
      </c>
      <c r="E17732" s="1">
        <v>6.4867255893905499E-3</v>
      </c>
      <c r="F17732" s="1">
        <v>4.8755564629771901E-3</v>
      </c>
    </row>
    <row r="17733" spans="1:6" x14ac:dyDescent="0.25">
      <c r="A17733" s="2" t="str">
        <f t="shared" si="632"/>
        <v>31080</v>
      </c>
      <c r="B17733" s="2" t="str">
        <f>"90721"</f>
        <v>90721</v>
      </c>
      <c r="C17733" s="1">
        <v>1.17472314363877E-5</v>
      </c>
      <c r="D17733" s="1">
        <v>5.2002333604720503E-5</v>
      </c>
      <c r="E17733" s="1">
        <v>8.3988678326161601E-6</v>
      </c>
      <c r="F17733" s="1">
        <v>1.5679712187206398E-5</v>
      </c>
    </row>
    <row r="17734" spans="1:6" x14ac:dyDescent="0.25">
      <c r="A17734" s="2" t="str">
        <f t="shared" si="632"/>
        <v>31080</v>
      </c>
      <c r="B17734" s="2" t="str">
        <f>"90639"</f>
        <v>90639</v>
      </c>
      <c r="C17734" s="1">
        <v>0</v>
      </c>
      <c r="D17734" s="1">
        <v>1.62507292514751E-6</v>
      </c>
      <c r="E17734" s="1">
        <v>0</v>
      </c>
      <c r="F17734" s="1">
        <v>1.6680544880006799E-7</v>
      </c>
    </row>
    <row r="17735" spans="1:6" x14ac:dyDescent="0.25">
      <c r="A17735" s="2" t="str">
        <f t="shared" si="632"/>
        <v>31080</v>
      </c>
      <c r="B17735" s="2" t="str">
        <f>"90638"</f>
        <v>90638</v>
      </c>
      <c r="C17735" s="1">
        <v>3.0327767667636899E-3</v>
      </c>
      <c r="D17735" s="1">
        <v>1.83795747834184E-3</v>
      </c>
      <c r="E17735" s="1">
        <v>1.7105694152428201E-3</v>
      </c>
      <c r="F17735" s="1">
        <v>2.8313556879323498E-3</v>
      </c>
    </row>
    <row r="17736" spans="1:6" x14ac:dyDescent="0.25">
      <c r="A17736" s="2" t="str">
        <f t="shared" si="632"/>
        <v>31080</v>
      </c>
      <c r="B17736" s="2" t="str">
        <f>"90402"</f>
        <v>90402</v>
      </c>
      <c r="C17736" s="1">
        <v>1.2199201188262301E-3</v>
      </c>
      <c r="D17736" s="1">
        <v>2.4376093877212699E-4</v>
      </c>
      <c r="E17736" s="1">
        <v>1.01626300774655E-3</v>
      </c>
      <c r="F17736" s="1">
        <v>1.1075881800324499E-3</v>
      </c>
    </row>
    <row r="17737" spans="1:6" x14ac:dyDescent="0.25">
      <c r="A17737" s="2" t="str">
        <f t="shared" si="632"/>
        <v>31080</v>
      </c>
      <c r="B17737" s="2" t="str">
        <f>"90308"</f>
        <v>90308</v>
      </c>
      <c r="C17737" s="1">
        <v>1.47338156998761E-4</v>
      </c>
      <c r="D17737" s="1">
        <v>1.4625656326327599E-4</v>
      </c>
      <c r="E17737" s="1">
        <v>5.5992452217441E-6</v>
      </c>
      <c r="F17737" s="1">
        <v>1.3878213340165599E-4</v>
      </c>
    </row>
    <row r="17738" spans="1:6" x14ac:dyDescent="0.25">
      <c r="A17738" s="2" t="str">
        <f t="shared" si="632"/>
        <v>31080</v>
      </c>
      <c r="B17738" s="2" t="str">
        <f>"90307"</f>
        <v>90307</v>
      </c>
      <c r="C17738" s="1">
        <v>6.0329002122465802E-5</v>
      </c>
      <c r="D17738" s="1">
        <v>6.9878135781343103E-5</v>
      </c>
      <c r="E17738" s="1">
        <v>5.5992452217441E-6</v>
      </c>
      <c r="F17738" s="1">
        <v>5.8048296182423697E-5</v>
      </c>
    </row>
    <row r="17739" spans="1:6" x14ac:dyDescent="0.25">
      <c r="A17739" s="2" t="str">
        <f t="shared" si="632"/>
        <v>31080</v>
      </c>
      <c r="B17739" s="2" t="str">
        <f>"90504"</f>
        <v>90504</v>
      </c>
      <c r="C17739" s="1">
        <v>2.6721964933518602E-3</v>
      </c>
      <c r="D17739" s="1">
        <v>1.72095222773121E-3</v>
      </c>
      <c r="E17739" s="1">
        <v>1.9289399788908401E-3</v>
      </c>
      <c r="F17739" s="1">
        <v>2.5302718528482301E-3</v>
      </c>
    </row>
    <row r="17740" spans="1:6" x14ac:dyDescent="0.25">
      <c r="A17740" s="2" t="str">
        <f t="shared" si="632"/>
        <v>31080</v>
      </c>
      <c r="B17740" s="2" t="str">
        <f>"90601"</f>
        <v>90601</v>
      </c>
      <c r="C17740" s="1">
        <v>2.2873253345969901E-3</v>
      </c>
      <c r="D17740" s="1">
        <v>1.6006968312703E-3</v>
      </c>
      <c r="E17740" s="1">
        <v>2.5980497828892602E-3</v>
      </c>
      <c r="F17740" s="1">
        <v>2.2353598193697098E-3</v>
      </c>
    </row>
    <row r="17741" spans="1:6" x14ac:dyDescent="0.25">
      <c r="A17741" s="2" t="str">
        <f t="shared" si="632"/>
        <v>31080</v>
      </c>
      <c r="B17741" s="2" t="str">
        <f>"90301"</f>
        <v>90301</v>
      </c>
      <c r="C17741" s="1">
        <v>2.66124568438573E-3</v>
      </c>
      <c r="D17741" s="1">
        <v>3.2663965795465002E-3</v>
      </c>
      <c r="E17741" s="1">
        <v>6.3327463457925797E-3</v>
      </c>
      <c r="F17741" s="1">
        <v>2.9421145059355999E-3</v>
      </c>
    </row>
    <row r="17742" spans="1:6" x14ac:dyDescent="0.25">
      <c r="A17742" s="2" t="str">
        <f t="shared" si="632"/>
        <v>31080</v>
      </c>
      <c r="B17742" s="2" t="str">
        <f>"90242"</f>
        <v>90242</v>
      </c>
      <c r="C17742" s="1">
        <v>2.63974227768862E-3</v>
      </c>
      <c r="D17742" s="1">
        <v>1.5405691330398401E-3</v>
      </c>
      <c r="E17742" s="1">
        <v>2.0157282798278701E-3</v>
      </c>
      <c r="F17742" s="1">
        <v>2.48973812878981E-3</v>
      </c>
    </row>
    <row r="17743" spans="1:6" x14ac:dyDescent="0.25">
      <c r="A17743" s="2" t="str">
        <f t="shared" si="632"/>
        <v>31080</v>
      </c>
      <c r="B17743" s="2" t="str">
        <f>"90263"</f>
        <v>90263</v>
      </c>
      <c r="C17743" s="1">
        <v>0</v>
      </c>
      <c r="D17743" s="1">
        <v>1.62507292514751E-6</v>
      </c>
      <c r="E17743" s="1">
        <v>1.11984904434882E-5</v>
      </c>
      <c r="F17743" s="1">
        <v>8.3402724400034095E-7</v>
      </c>
    </row>
    <row r="17744" spans="1:6" x14ac:dyDescent="0.25">
      <c r="A17744" s="2" t="str">
        <f t="shared" si="632"/>
        <v>31080</v>
      </c>
      <c r="B17744" s="2" t="str">
        <f>"90262"</f>
        <v>90262</v>
      </c>
      <c r="C17744" s="1">
        <v>3.1287456744304499E-3</v>
      </c>
      <c r="D17744" s="1">
        <v>2.3872321270417001E-3</v>
      </c>
      <c r="E17744" s="1">
        <v>4.7873546645912099E-3</v>
      </c>
      <c r="F17744" s="1">
        <v>3.15145534417969E-3</v>
      </c>
    </row>
    <row r="17745" spans="1:6" x14ac:dyDescent="0.25">
      <c r="A17745" s="2" t="str">
        <f t="shared" si="632"/>
        <v>31080</v>
      </c>
      <c r="B17745" s="2" t="str">
        <f>"90274"</f>
        <v>90274</v>
      </c>
      <c r="C17745" s="1">
        <v>2.4334688578903502E-3</v>
      </c>
      <c r="D17745" s="1">
        <v>3.39802748648345E-3</v>
      </c>
      <c r="E17745" s="1">
        <v>8.1469017976376699E-4</v>
      </c>
      <c r="F17745" s="1">
        <v>2.43602677427619E-3</v>
      </c>
    </row>
    <row r="17746" spans="1:6" x14ac:dyDescent="0.25">
      <c r="A17746" s="2" t="str">
        <f t="shared" si="632"/>
        <v>31080</v>
      </c>
      <c r="B17746" s="2" t="str">
        <f>"90267"</f>
        <v>90267</v>
      </c>
      <c r="C17746" s="1">
        <v>3.0303874993529002E-4</v>
      </c>
      <c r="D17746" s="1">
        <v>6.3377844080753098E-4</v>
      </c>
      <c r="E17746" s="1">
        <v>5.5992452217441E-6</v>
      </c>
      <c r="F17746" s="1">
        <v>3.1926562900333E-4</v>
      </c>
    </row>
    <row r="17747" spans="1:6" x14ac:dyDescent="0.25">
      <c r="A17747" s="2" t="str">
        <f t="shared" si="632"/>
        <v>31080</v>
      </c>
      <c r="B17747" s="2" t="str">
        <f>"90275"</f>
        <v>90275</v>
      </c>
      <c r="C17747" s="1">
        <v>3.2808623662507999E-3</v>
      </c>
      <c r="D17747" s="1">
        <v>7.0365657658887396E-4</v>
      </c>
      <c r="E17747" s="1">
        <v>9.3507395203126602E-4</v>
      </c>
      <c r="F17747" s="1">
        <v>2.8765599645571701E-3</v>
      </c>
    </row>
    <row r="17748" spans="1:6" x14ac:dyDescent="0.25">
      <c r="A17748" s="2" t="str">
        <f t="shared" si="632"/>
        <v>31080</v>
      </c>
      <c r="B17748" s="2" t="str">
        <f>"90222"</f>
        <v>90222</v>
      </c>
      <c r="C17748" s="1">
        <v>1.54426316984107E-3</v>
      </c>
      <c r="D17748" s="1">
        <v>9.9941984896572203E-4</v>
      </c>
      <c r="E17748" s="1">
        <v>8.9307961286818499E-4</v>
      </c>
      <c r="F17748" s="1">
        <v>1.44953935007259E-3</v>
      </c>
    </row>
    <row r="17749" spans="1:6" x14ac:dyDescent="0.25">
      <c r="A17749" s="2" t="str">
        <f t="shared" si="632"/>
        <v>31080</v>
      </c>
      <c r="B17749" s="2" t="str">
        <f>"90095"</f>
        <v>90095</v>
      </c>
      <c r="C17749" s="1">
        <v>1.99105617565894E-7</v>
      </c>
      <c r="D17749" s="1">
        <v>2.7626239727507701E-5</v>
      </c>
      <c r="E17749" s="1">
        <v>4.47939617739528E-5</v>
      </c>
      <c r="F17749" s="1">
        <v>5.6713852592023202E-6</v>
      </c>
    </row>
    <row r="17750" spans="1:6" x14ac:dyDescent="0.25">
      <c r="A17750" s="2" t="str">
        <f t="shared" si="632"/>
        <v>31080</v>
      </c>
      <c r="B17750" s="2" t="str">
        <f>"90042"</f>
        <v>90042</v>
      </c>
      <c r="C17750" s="1">
        <v>4.3614085527808998E-3</v>
      </c>
      <c r="D17750" s="1">
        <v>1.7307026652821E-3</v>
      </c>
      <c r="E17750" s="1">
        <v>4.1378422188688901E-3</v>
      </c>
      <c r="F17750" s="1">
        <v>4.0780596122640704E-3</v>
      </c>
    </row>
    <row r="17751" spans="1:6" x14ac:dyDescent="0.25">
      <c r="A17751" s="2" t="str">
        <f t="shared" si="632"/>
        <v>31080</v>
      </c>
      <c r="B17751" s="2" t="str">
        <f>"90074"</f>
        <v>90074</v>
      </c>
      <c r="C17751" s="1">
        <v>0</v>
      </c>
      <c r="D17751" s="1">
        <v>0</v>
      </c>
      <c r="E17751" s="1">
        <v>2.79962261087205E-6</v>
      </c>
      <c r="F17751" s="1">
        <v>1.6680544880006799E-7</v>
      </c>
    </row>
    <row r="17752" spans="1:6" x14ac:dyDescent="0.25">
      <c r="A17752" s="2" t="str">
        <f t="shared" si="632"/>
        <v>31080</v>
      </c>
      <c r="B17752" s="2" t="str">
        <f>"90061"</f>
        <v>90061</v>
      </c>
      <c r="C17752" s="1">
        <v>1.7825925940674399E-3</v>
      </c>
      <c r="D17752" s="1">
        <v>1.4333143199800999E-3</v>
      </c>
      <c r="E17752" s="1">
        <v>1.56498903947747E-3</v>
      </c>
      <c r="F17752" s="1">
        <v>1.73377583482791E-3</v>
      </c>
    </row>
    <row r="17753" spans="1:6" x14ac:dyDescent="0.25">
      <c r="A17753" s="2" t="str">
        <f t="shared" si="632"/>
        <v>31080</v>
      </c>
      <c r="B17753" s="2" t="str">
        <f>"90058"</f>
        <v>90058</v>
      </c>
      <c r="C17753" s="1">
        <v>2.4370527590065401E-4</v>
      </c>
      <c r="D17753" s="1">
        <v>3.88392429110256E-3</v>
      </c>
      <c r="E17753" s="1">
        <v>2.9396037414156502E-4</v>
      </c>
      <c r="F17753" s="1">
        <v>6.2034946408745398E-4</v>
      </c>
    </row>
    <row r="17754" spans="1:6" x14ac:dyDescent="0.25">
      <c r="A17754" s="2" t="str">
        <f t="shared" si="632"/>
        <v>31080</v>
      </c>
      <c r="B17754" s="2" t="str">
        <f>"90037"</f>
        <v>90037</v>
      </c>
      <c r="C17754" s="1">
        <v>3.54427909829047E-3</v>
      </c>
      <c r="D17754" s="1">
        <v>2.2035988865000298E-3</v>
      </c>
      <c r="E17754" s="1">
        <v>2.53085884022833E-3</v>
      </c>
      <c r="F17754" s="1">
        <v>3.3462841083781699E-3</v>
      </c>
    </row>
    <row r="17755" spans="1:6" x14ac:dyDescent="0.25">
      <c r="A17755" s="2" t="str">
        <f t="shared" si="632"/>
        <v>31080</v>
      </c>
      <c r="B17755" s="2" t="str">
        <f>"90046"</f>
        <v>90046</v>
      </c>
      <c r="C17755" s="1">
        <v>6.5754630201136401E-3</v>
      </c>
      <c r="D17755" s="1">
        <v>3.3915271947828601E-3</v>
      </c>
      <c r="E17755" s="1">
        <v>8.3008810412356394E-3</v>
      </c>
      <c r="F17755" s="1">
        <v>6.3514510739602001E-3</v>
      </c>
    </row>
    <row r="17756" spans="1:6" x14ac:dyDescent="0.25">
      <c r="A17756" s="2" t="str">
        <f t="shared" si="632"/>
        <v>31080</v>
      </c>
      <c r="B17756" s="2" t="str">
        <f>"90011"</f>
        <v>90011</v>
      </c>
      <c r="C17756" s="1">
        <v>5.0525041513521203E-3</v>
      </c>
      <c r="D17756" s="1">
        <v>3.3492752987290299E-3</v>
      </c>
      <c r="E17756" s="1">
        <v>4.0874490118731899E-3</v>
      </c>
      <c r="F17756" s="1">
        <v>4.8201770539755698E-3</v>
      </c>
    </row>
    <row r="17757" spans="1:6" x14ac:dyDescent="0.25">
      <c r="A17757" s="2" t="str">
        <f t="shared" si="632"/>
        <v>31080</v>
      </c>
      <c r="B17757" s="2" t="str">
        <f>"90027"</f>
        <v>90027</v>
      </c>
      <c r="C17757" s="1">
        <v>4.8498146326700397E-3</v>
      </c>
      <c r="D17757" s="1">
        <v>2.44573475234701E-3</v>
      </c>
      <c r="E17757" s="1">
        <v>6.7582889826451296E-3</v>
      </c>
      <c r="F17757" s="1">
        <v>4.7167576757195301E-3</v>
      </c>
    </row>
    <row r="17758" spans="1:6" x14ac:dyDescent="0.25">
      <c r="A17758" s="2" t="str">
        <f t="shared" si="632"/>
        <v>31080</v>
      </c>
      <c r="B17758" s="2" t="str">
        <f>"90025"</f>
        <v>90025</v>
      </c>
      <c r="C17758" s="1">
        <v>5.1992449914981904E-3</v>
      </c>
      <c r="D17758" s="1">
        <v>6.3491599185513401E-3</v>
      </c>
      <c r="E17758" s="1">
        <v>1.1181692707822899E-2</v>
      </c>
      <c r="F17758" s="1">
        <v>5.6737205354855198E-3</v>
      </c>
    </row>
    <row r="17759" spans="1:6" x14ac:dyDescent="0.25">
      <c r="A17759" s="2" t="str">
        <f t="shared" si="632"/>
        <v>31080</v>
      </c>
      <c r="B17759" s="2" t="str">
        <f>"90007"</f>
        <v>90007</v>
      </c>
      <c r="C17759" s="1">
        <v>2.9861860522532699E-3</v>
      </c>
      <c r="D17759" s="1">
        <v>3.25014585029503E-3</v>
      </c>
      <c r="E17759" s="1">
        <v>3.8606795803925601E-3</v>
      </c>
      <c r="F17759" s="1">
        <v>3.0653837325988502E-3</v>
      </c>
    </row>
    <row r="17760" spans="1:6" x14ac:dyDescent="0.25">
      <c r="A17760" s="2" t="str">
        <f t="shared" si="632"/>
        <v>31080</v>
      </c>
      <c r="B17760" s="2" t="str">
        <f>"90002"</f>
        <v>90002</v>
      </c>
      <c r="C17760" s="1">
        <v>2.5865810777985199E-3</v>
      </c>
      <c r="D17760" s="1">
        <v>8.67788942028773E-4</v>
      </c>
      <c r="E17760" s="1">
        <v>1.4893992289839301E-3</v>
      </c>
      <c r="F17760" s="1">
        <v>2.3447841937825598E-3</v>
      </c>
    </row>
    <row r="17761" spans="1:6" x14ac:dyDescent="0.25">
      <c r="A17761" s="2" t="str">
        <f t="shared" si="632"/>
        <v>31080</v>
      </c>
      <c r="B17761" s="2" t="str">
        <f>"90001"</f>
        <v>90001</v>
      </c>
      <c r="C17761" s="1">
        <v>2.7870804346873802E-3</v>
      </c>
      <c r="D17761" s="1">
        <v>2.7804997749273901E-3</v>
      </c>
      <c r="E17761" s="1">
        <v>1.2822271557793999E-3</v>
      </c>
      <c r="F17761" s="1">
        <v>2.6967436907506998E-3</v>
      </c>
    </row>
    <row r="17762" spans="1:6" x14ac:dyDescent="0.25">
      <c r="A17762" s="2" t="str">
        <f t="shared" si="632"/>
        <v>31080</v>
      </c>
      <c r="B17762" s="2" t="str">
        <f>"90004"</f>
        <v>90004</v>
      </c>
      <c r="C17762" s="1">
        <v>5.2617641554138801E-3</v>
      </c>
      <c r="D17762" s="1">
        <v>2.8211265980560801E-3</v>
      </c>
      <c r="E17762" s="1">
        <v>7.2818184108782097E-3</v>
      </c>
      <c r="F17762" s="1">
        <v>5.1316028268852997E-3</v>
      </c>
    </row>
    <row r="17763" spans="1:6" x14ac:dyDescent="0.25">
      <c r="A17763" s="2" t="str">
        <f t="shared" ref="A17763:A17768" si="633">"18860"</f>
        <v>18860</v>
      </c>
      <c r="B17763" s="2" t="str">
        <f>"95543"</f>
        <v>95543</v>
      </c>
      <c r="C17763" s="1">
        <v>1.26010461245839E-2</v>
      </c>
      <c r="D17763" s="1">
        <v>1.66527893422148E-3</v>
      </c>
      <c r="E17763" s="1">
        <v>1.4799154334038001E-2</v>
      </c>
      <c r="F17763" s="1">
        <v>1.17548278757346E-2</v>
      </c>
    </row>
    <row r="17764" spans="1:6" x14ac:dyDescent="0.25">
      <c r="A17764" s="2" t="str">
        <f t="shared" si="633"/>
        <v>18860</v>
      </c>
      <c r="B17764" s="2" t="str">
        <f>"95567"</f>
        <v>95567</v>
      </c>
      <c r="C17764" s="1">
        <v>6.5303534633063806E-2</v>
      </c>
      <c r="D17764" s="1">
        <v>4.4129891756869197E-2</v>
      </c>
      <c r="E17764" s="1">
        <v>5.9196617336152203E-2</v>
      </c>
      <c r="F17764" s="1">
        <v>6.3322138259165897E-2</v>
      </c>
    </row>
    <row r="17765" spans="1:6" x14ac:dyDescent="0.25">
      <c r="A17765" s="2" t="str">
        <f t="shared" si="633"/>
        <v>18860</v>
      </c>
      <c r="B17765" s="2" t="str">
        <f>"95548"</f>
        <v>95548</v>
      </c>
      <c r="C17765" s="1">
        <v>2.6232366460611799E-2</v>
      </c>
      <c r="D17765" s="1">
        <v>1.9150707743547001E-2</v>
      </c>
      <c r="E17765" s="1">
        <v>2.5369978858350899E-2</v>
      </c>
      <c r="F17765" s="1">
        <v>2.5608732157850499E-2</v>
      </c>
    </row>
    <row r="17766" spans="1:6" x14ac:dyDescent="0.25">
      <c r="A17766" s="2" t="str">
        <f t="shared" si="633"/>
        <v>18860</v>
      </c>
      <c r="B17766" s="2" t="str">
        <f>"95531"</f>
        <v>95531</v>
      </c>
      <c r="C17766" s="1">
        <v>0.89586305278174005</v>
      </c>
      <c r="D17766" s="1">
        <v>0.93422148209825095</v>
      </c>
      <c r="E17766" s="1">
        <v>0.89852008456659604</v>
      </c>
      <c r="F17766" s="1">
        <v>0.89917436328015599</v>
      </c>
    </row>
    <row r="17767" spans="1:6" x14ac:dyDescent="0.25">
      <c r="A17767" s="2" t="str">
        <f t="shared" si="633"/>
        <v>18860</v>
      </c>
      <c r="B17767" s="2" t="str">
        <f>"95532"</f>
        <v>95532</v>
      </c>
      <c r="C17767" s="1">
        <v>0</v>
      </c>
      <c r="D17767" s="1">
        <v>8.3263946711074096E-4</v>
      </c>
      <c r="E17767" s="1">
        <v>0</v>
      </c>
      <c r="F17767" s="1">
        <v>6.9969213546039704E-5</v>
      </c>
    </row>
    <row r="17768" spans="1:6" x14ac:dyDescent="0.25">
      <c r="A17768" s="2" t="str">
        <f t="shared" si="633"/>
        <v>18860</v>
      </c>
      <c r="B17768" s="2" t="str">
        <f>"95538"</f>
        <v>95538</v>
      </c>
      <c r="C17768" s="1">
        <v>0</v>
      </c>
      <c r="D17768" s="1">
        <v>0</v>
      </c>
      <c r="E17768" s="1">
        <v>2.1141649048625698E-3</v>
      </c>
      <c r="F17768" s="1">
        <v>6.9969213546039704E-5</v>
      </c>
    </row>
    <row r="17769" spans="1:6" x14ac:dyDescent="0.25">
      <c r="A17769" s="2" t="str">
        <f t="shared" ref="A17769:A17784" si="634">"46020"</f>
        <v>46020</v>
      </c>
      <c r="B17769" s="2" t="str">
        <f>"96162"</f>
        <v>96162</v>
      </c>
      <c r="C17769" s="1">
        <v>4.1123942527192099E-2</v>
      </c>
      <c r="D17769" s="1">
        <v>2.1692307692307601E-2</v>
      </c>
      <c r="E17769" s="1">
        <v>9.6571704490584201E-4</v>
      </c>
      <c r="F17769" s="1">
        <v>3.8050097583165798E-2</v>
      </c>
    </row>
    <row r="17770" spans="1:6" x14ac:dyDescent="0.25">
      <c r="A17770" s="2" t="str">
        <f t="shared" si="634"/>
        <v>46020</v>
      </c>
      <c r="B17770" s="2" t="str">
        <f>"96160"</f>
        <v>96160</v>
      </c>
      <c r="C17770" s="1">
        <v>5.5038941855780801E-2</v>
      </c>
      <c r="D17770" s="1">
        <v>5.9230769230769198E-2</v>
      </c>
      <c r="E17770" s="1">
        <v>9.6571704490584201E-4</v>
      </c>
      <c r="F17770" s="1">
        <v>5.3795471554140301E-2</v>
      </c>
    </row>
    <row r="17771" spans="1:6" x14ac:dyDescent="0.25">
      <c r="A17771" s="2" t="str">
        <f t="shared" si="634"/>
        <v>46020</v>
      </c>
      <c r="B17771" s="2" t="str">
        <f>"96111"</f>
        <v>96111</v>
      </c>
      <c r="C17771" s="1">
        <v>1.29246676514032E-3</v>
      </c>
      <c r="D17771" s="1">
        <v>0</v>
      </c>
      <c r="E17771" s="1">
        <v>0</v>
      </c>
      <c r="F17771" s="1">
        <v>1.1299103408807399E-3</v>
      </c>
    </row>
    <row r="17772" spans="1:6" x14ac:dyDescent="0.25">
      <c r="A17772" s="2" t="str">
        <f t="shared" si="634"/>
        <v>46020</v>
      </c>
      <c r="B17772" s="2" t="str">
        <f>"95945"</f>
        <v>95945</v>
      </c>
      <c r="C17772" s="1">
        <v>0.24179199677722499</v>
      </c>
      <c r="D17772" s="1">
        <v>0.41030769230769198</v>
      </c>
      <c r="E17772" s="1">
        <v>0.38773539352969499</v>
      </c>
      <c r="F17772" s="1">
        <v>0.26230061484731498</v>
      </c>
    </row>
    <row r="17773" spans="1:6" x14ac:dyDescent="0.25">
      <c r="A17773" s="2" t="str">
        <f t="shared" si="634"/>
        <v>46020</v>
      </c>
      <c r="B17773" s="2" t="str">
        <f>"95977"</f>
        <v>95977</v>
      </c>
      <c r="C17773" s="1">
        <v>8.4429971800725097E-3</v>
      </c>
      <c r="D17773" s="1">
        <v>4.6153846153846099E-4</v>
      </c>
      <c r="E17773" s="1">
        <v>0</v>
      </c>
      <c r="F17773" s="1">
        <v>7.42512509721631E-3</v>
      </c>
    </row>
    <row r="17774" spans="1:6" x14ac:dyDescent="0.25">
      <c r="A17774" s="2" t="str">
        <f t="shared" si="634"/>
        <v>46020</v>
      </c>
      <c r="B17774" s="2" t="str">
        <f>"95924"</f>
        <v>95924</v>
      </c>
      <c r="C17774" s="1">
        <v>1.9924130522357902E-2</v>
      </c>
      <c r="D17774" s="1">
        <v>1.7076923076923E-2</v>
      </c>
      <c r="E17774" s="1">
        <v>9.6571704490584201E-4</v>
      </c>
      <c r="F17774" s="1">
        <v>1.9076408352532E-2</v>
      </c>
    </row>
    <row r="17775" spans="1:6" x14ac:dyDescent="0.25">
      <c r="A17775" s="2" t="str">
        <f t="shared" si="634"/>
        <v>46020</v>
      </c>
      <c r="B17775" s="2" t="str">
        <f>"95975"</f>
        <v>95975</v>
      </c>
      <c r="C17775" s="1">
        <v>2.6705384718678601E-2</v>
      </c>
      <c r="D17775" s="1">
        <v>7.3846153846153801E-3</v>
      </c>
      <c r="E17775" s="1">
        <v>9.6571704490584201E-4</v>
      </c>
      <c r="F17775" s="1">
        <v>2.40802970050038E-2</v>
      </c>
    </row>
    <row r="17776" spans="1:6" x14ac:dyDescent="0.25">
      <c r="A17776" s="2" t="str">
        <f t="shared" si="634"/>
        <v>46020</v>
      </c>
      <c r="B17776" s="2" t="str">
        <f>"95960"</f>
        <v>95960</v>
      </c>
      <c r="C17776" s="1">
        <v>2.6520746609372901E-3</v>
      </c>
      <c r="D17776" s="1">
        <v>1.38461538461538E-3</v>
      </c>
      <c r="E17776" s="1">
        <v>1.4485755673587599E-3</v>
      </c>
      <c r="F17776" s="1">
        <v>2.49460724610034E-3</v>
      </c>
    </row>
    <row r="17777" spans="1:6" x14ac:dyDescent="0.25">
      <c r="A17777" s="2" t="str">
        <f t="shared" si="634"/>
        <v>46020</v>
      </c>
      <c r="B17777" s="2" t="str">
        <f>"95959"</f>
        <v>95959</v>
      </c>
      <c r="C17777" s="1">
        <v>0.16919564925473299</v>
      </c>
      <c r="D17777" s="1">
        <v>0.14123076923076899</v>
      </c>
      <c r="E17777" s="1">
        <v>9.8503138580395902E-2</v>
      </c>
      <c r="F17777" s="1">
        <v>0.164379943357741</v>
      </c>
    </row>
    <row r="17778" spans="1:6" x14ac:dyDescent="0.25">
      <c r="A17778" s="2" t="str">
        <f t="shared" si="634"/>
        <v>46020</v>
      </c>
      <c r="B17778" s="2" t="str">
        <f>"95949"</f>
        <v>95949</v>
      </c>
      <c r="C17778" s="1">
        <v>0.15183966697999099</v>
      </c>
      <c r="D17778" s="1">
        <v>5.2153846153846099E-2</v>
      </c>
      <c r="E17778" s="1">
        <v>4.6354418155480401E-2</v>
      </c>
      <c r="F17778" s="1">
        <v>0.139125713531043</v>
      </c>
    </row>
    <row r="17779" spans="1:6" x14ac:dyDescent="0.25">
      <c r="A17779" s="2" t="str">
        <f t="shared" si="634"/>
        <v>46020</v>
      </c>
      <c r="B17779" s="2" t="str">
        <f>"95728"</f>
        <v>95728</v>
      </c>
      <c r="C17779" s="1">
        <v>0</v>
      </c>
      <c r="D17779" s="1">
        <v>0</v>
      </c>
      <c r="E17779" s="1">
        <v>4.82858522452921E-4</v>
      </c>
      <c r="F17779" s="1">
        <v>1.4674160271178401E-5</v>
      </c>
    </row>
    <row r="17780" spans="1:6" x14ac:dyDescent="0.25">
      <c r="A17780" s="2" t="str">
        <f t="shared" si="634"/>
        <v>46020</v>
      </c>
      <c r="B17780" s="2" t="str">
        <f>"96161"</f>
        <v>96161</v>
      </c>
      <c r="C17780" s="1">
        <v>0.160987646031959</v>
      </c>
      <c r="D17780" s="1">
        <v>0.23430769230769199</v>
      </c>
      <c r="E17780" s="1">
        <v>0.42346692419121101</v>
      </c>
      <c r="F17780" s="1">
        <v>0.17595785581170101</v>
      </c>
    </row>
    <row r="17781" spans="1:6" x14ac:dyDescent="0.25">
      <c r="A17781" s="2" t="str">
        <f t="shared" si="634"/>
        <v>46020</v>
      </c>
      <c r="B17781" s="2" t="str">
        <f>"95986"</f>
        <v>95986</v>
      </c>
      <c r="C17781" s="1">
        <v>0</v>
      </c>
      <c r="D17781" s="1">
        <v>0</v>
      </c>
      <c r="E17781" s="1">
        <v>4.82858522452921E-4</v>
      </c>
      <c r="F17781" s="1">
        <v>1.4674160271178401E-5</v>
      </c>
    </row>
    <row r="17782" spans="1:6" x14ac:dyDescent="0.25">
      <c r="A17782" s="2" t="str">
        <f t="shared" si="634"/>
        <v>46020</v>
      </c>
      <c r="B17782" s="2" t="str">
        <f>"95946"</f>
        <v>95946</v>
      </c>
      <c r="C17782" s="1">
        <v>7.5147710487444605E-2</v>
      </c>
      <c r="D17782" s="1">
        <v>3.1384615384615303E-2</v>
      </c>
      <c r="E17782" s="1">
        <v>1.6417189763399301E-2</v>
      </c>
      <c r="F17782" s="1">
        <v>6.9188665678606501E-2</v>
      </c>
    </row>
    <row r="17783" spans="1:6" x14ac:dyDescent="0.25">
      <c r="A17783" s="2" t="str">
        <f t="shared" si="634"/>
        <v>46020</v>
      </c>
      <c r="B17783" s="2" t="str">
        <f>"95712"</f>
        <v>95712</v>
      </c>
      <c r="C17783" s="1">
        <v>0</v>
      </c>
      <c r="D17783" s="1">
        <v>0</v>
      </c>
      <c r="E17783" s="1">
        <v>4.82858522452921E-4</v>
      </c>
      <c r="F17783" s="1">
        <v>1.4674160271178401E-5</v>
      </c>
    </row>
    <row r="17784" spans="1:6" x14ac:dyDescent="0.25">
      <c r="A17784" s="2" t="str">
        <f t="shared" si="634"/>
        <v>46020</v>
      </c>
      <c r="B17784" s="2" t="str">
        <f>"95602"</f>
        <v>95602</v>
      </c>
      <c r="C17784" s="1">
        <v>4.5857392238485201E-2</v>
      </c>
      <c r="D17784" s="1">
        <v>2.3384615384615299E-2</v>
      </c>
      <c r="E17784" s="1">
        <v>2.0762916465475598E-2</v>
      </c>
      <c r="F17784" s="1">
        <v>4.2951267113739401E-2</v>
      </c>
    </row>
    <row r="17785" spans="1:6" x14ac:dyDescent="0.25">
      <c r="A17785" s="2" t="str">
        <f t="shared" ref="A17785:A17802" si="635">"27980"</f>
        <v>27980</v>
      </c>
      <c r="B17785" s="2" t="str">
        <f>"96729"</f>
        <v>96729</v>
      </c>
      <c r="C17785" s="1">
        <v>2.5874894883239502E-5</v>
      </c>
      <c r="D17785" s="1">
        <v>0</v>
      </c>
      <c r="E17785" s="1">
        <v>2.9146021568055897E-4</v>
      </c>
      <c r="F17785" s="1">
        <v>3.3143311679703E-5</v>
      </c>
    </row>
    <row r="17786" spans="1:6" x14ac:dyDescent="0.25">
      <c r="A17786" s="2" t="str">
        <f t="shared" si="635"/>
        <v>27980</v>
      </c>
      <c r="B17786" s="2" t="str">
        <f>"96708"</f>
        <v>96708</v>
      </c>
      <c r="C17786" s="1">
        <v>6.0767190633287997E-2</v>
      </c>
      <c r="D17786" s="1">
        <v>2.5944841675178701E-2</v>
      </c>
      <c r="E17786" s="1">
        <v>3.7015447391430999E-2</v>
      </c>
      <c r="F17786" s="1">
        <v>5.6100578903177302E-2</v>
      </c>
    </row>
    <row r="17787" spans="1:6" x14ac:dyDescent="0.25">
      <c r="A17787" s="2" t="str">
        <f t="shared" si="635"/>
        <v>27980</v>
      </c>
      <c r="B17787" s="2" t="str">
        <f>"96790"</f>
        <v>96790</v>
      </c>
      <c r="C17787" s="1">
        <v>5.9822756970049802E-2</v>
      </c>
      <c r="D17787" s="1">
        <v>1.7058222676200201E-2</v>
      </c>
      <c r="E17787" s="1">
        <v>1.7487612940833501E-2</v>
      </c>
      <c r="F17787" s="1">
        <v>5.3592734986079797E-2</v>
      </c>
    </row>
    <row r="17788" spans="1:6" x14ac:dyDescent="0.25">
      <c r="A17788" s="2" t="str">
        <f t="shared" si="635"/>
        <v>27980</v>
      </c>
      <c r="B17788" s="2" t="str">
        <f>"96748"</f>
        <v>96748</v>
      </c>
      <c r="C17788" s="1">
        <v>8.3575910472863703E-3</v>
      </c>
      <c r="D17788" s="1">
        <v>7.1501532175689397E-4</v>
      </c>
      <c r="E17788" s="1">
        <v>5.8292043136111903E-4</v>
      </c>
      <c r="F17788" s="1">
        <v>7.2362897167351599E-3</v>
      </c>
    </row>
    <row r="17789" spans="1:6" x14ac:dyDescent="0.25">
      <c r="A17789" s="2" t="str">
        <f t="shared" si="635"/>
        <v>27980</v>
      </c>
      <c r="B17789" s="2" t="str">
        <f>"96761"</f>
        <v>96761</v>
      </c>
      <c r="C17789" s="1">
        <v>0.15982922569377001</v>
      </c>
      <c r="D17789" s="1">
        <v>0.19897854954034699</v>
      </c>
      <c r="E17789" s="1">
        <v>0.205770912270475</v>
      </c>
      <c r="F17789" s="1">
        <v>0.165804940562994</v>
      </c>
    </row>
    <row r="17790" spans="1:6" x14ac:dyDescent="0.25">
      <c r="A17790" s="2" t="str">
        <f t="shared" si="635"/>
        <v>27980</v>
      </c>
      <c r="B17790" s="2" t="str">
        <f>"96733"</f>
        <v>96733</v>
      </c>
      <c r="C17790" s="1">
        <v>3.0622938094313899E-2</v>
      </c>
      <c r="D17790" s="1">
        <v>4.6578140960163397E-2</v>
      </c>
      <c r="E17790" s="1">
        <v>2.9146021568055897E-4</v>
      </c>
      <c r="F17790" s="1">
        <v>3.1198904061160399E-2</v>
      </c>
    </row>
    <row r="17791" spans="1:6" x14ac:dyDescent="0.25">
      <c r="A17791" s="2" t="str">
        <f t="shared" si="635"/>
        <v>27980</v>
      </c>
      <c r="B17791" s="2" t="str">
        <f>"96784"</f>
        <v>96784</v>
      </c>
      <c r="C17791" s="1">
        <v>1.50333139271621E-2</v>
      </c>
      <c r="D17791" s="1">
        <v>1.2461695607763E-2</v>
      </c>
      <c r="E17791" s="1">
        <v>8.7438064704167795E-4</v>
      </c>
      <c r="F17791" s="1">
        <v>1.4218480710592601E-2</v>
      </c>
    </row>
    <row r="17792" spans="1:6" x14ac:dyDescent="0.25">
      <c r="A17792" s="2" t="str">
        <f t="shared" si="635"/>
        <v>27980</v>
      </c>
      <c r="B17792" s="2" t="str">
        <f>"96779"</f>
        <v>96779</v>
      </c>
      <c r="C17792" s="1">
        <v>3.43359855100588E-2</v>
      </c>
      <c r="D17792" s="1">
        <v>2.1041879468845701E-2</v>
      </c>
      <c r="E17792" s="1">
        <v>1.9236374234916899E-2</v>
      </c>
      <c r="F17792" s="1">
        <v>3.23257766582703E-2</v>
      </c>
    </row>
    <row r="17793" spans="1:6" x14ac:dyDescent="0.25">
      <c r="A17793" s="2" t="str">
        <f t="shared" si="635"/>
        <v>27980</v>
      </c>
      <c r="B17793" s="2" t="str">
        <f>"96757"</f>
        <v>96757</v>
      </c>
      <c r="C17793" s="1">
        <v>0</v>
      </c>
      <c r="D17793" s="1">
        <v>1.0214504596526999E-4</v>
      </c>
      <c r="E17793" s="1">
        <v>0</v>
      </c>
      <c r="F17793" s="1">
        <v>1.1047770559901E-5</v>
      </c>
    </row>
    <row r="17794" spans="1:6" x14ac:dyDescent="0.25">
      <c r="A17794" s="2" t="str">
        <f t="shared" si="635"/>
        <v>27980</v>
      </c>
      <c r="B17794" s="2" t="str">
        <f>"96732"</f>
        <v>96732</v>
      </c>
      <c r="C17794" s="1">
        <v>9.0393945274597307E-2</v>
      </c>
      <c r="D17794" s="1">
        <v>0.213074565883554</v>
      </c>
      <c r="E17794" s="1">
        <v>0.10871466044884801</v>
      </c>
      <c r="F17794" s="1">
        <v>0.104357240708824</v>
      </c>
    </row>
    <row r="17795" spans="1:6" x14ac:dyDescent="0.25">
      <c r="A17795" s="2" t="str">
        <f t="shared" si="635"/>
        <v>27980</v>
      </c>
      <c r="B17795" s="2" t="str">
        <f>"96713"</f>
        <v>96713</v>
      </c>
      <c r="C17795" s="1">
        <v>1.9664920111262E-3</v>
      </c>
      <c r="D17795" s="1">
        <v>4.0858018386108198E-4</v>
      </c>
      <c r="E17795" s="1">
        <v>2.9146021568055897E-4</v>
      </c>
      <c r="F17795" s="1">
        <v>1.7344999779044499E-3</v>
      </c>
    </row>
    <row r="17796" spans="1:6" x14ac:dyDescent="0.25">
      <c r="A17796" s="2" t="str">
        <f t="shared" si="635"/>
        <v>27980</v>
      </c>
      <c r="B17796" s="2" t="str">
        <f>"96788"</f>
        <v>96788</v>
      </c>
      <c r="C17796" s="1">
        <v>1.2484636781162999E-2</v>
      </c>
      <c r="D17796" s="1">
        <v>1.25638406537282E-2</v>
      </c>
      <c r="E17796" s="1">
        <v>2.9146021568055897E-4</v>
      </c>
      <c r="F17796" s="1">
        <v>1.20310221397322E-2</v>
      </c>
    </row>
    <row r="17797" spans="1:6" x14ac:dyDescent="0.25">
      <c r="A17797" s="2" t="str">
        <f t="shared" si="635"/>
        <v>27980</v>
      </c>
      <c r="B17797" s="2" t="str">
        <f>"96767"</f>
        <v>96767</v>
      </c>
      <c r="C17797" s="1">
        <v>1.53308752183194E-2</v>
      </c>
      <c r="D17797" s="1">
        <v>1.1338100102144999E-2</v>
      </c>
      <c r="E17797" s="1">
        <v>5.8292043136111903E-4</v>
      </c>
      <c r="F17797" s="1">
        <v>1.43400061867515E-2</v>
      </c>
    </row>
    <row r="17798" spans="1:6" x14ac:dyDescent="0.25">
      <c r="A17798" s="2" t="str">
        <f t="shared" si="635"/>
        <v>27980</v>
      </c>
      <c r="B17798" s="2" t="str">
        <f>"96753"</f>
        <v>96753</v>
      </c>
      <c r="C17798" s="1">
        <v>0.24190439226340599</v>
      </c>
      <c r="D17798" s="1">
        <v>0.13401430030643499</v>
      </c>
      <c r="E17798" s="1">
        <v>0.24278635966190601</v>
      </c>
      <c r="F17798" s="1">
        <v>0.230268681780016</v>
      </c>
    </row>
    <row r="17799" spans="1:6" x14ac:dyDescent="0.25">
      <c r="A17799" s="2" t="str">
        <f t="shared" si="635"/>
        <v>27980</v>
      </c>
      <c r="B17799" s="2" t="str">
        <f>"96763"</f>
        <v>96763</v>
      </c>
      <c r="C17799" s="1">
        <v>0</v>
      </c>
      <c r="D17799" s="1">
        <v>1.0214504596526999E-4</v>
      </c>
      <c r="E17799" s="1">
        <v>0</v>
      </c>
      <c r="F17799" s="1">
        <v>1.1047770559901E-5</v>
      </c>
    </row>
    <row r="17800" spans="1:6" x14ac:dyDescent="0.25">
      <c r="A17800" s="2" t="str">
        <f t="shared" si="635"/>
        <v>27980</v>
      </c>
      <c r="B17800" s="2" t="str">
        <f>"96770"</f>
        <v>96770</v>
      </c>
      <c r="C17800" s="1">
        <v>0</v>
      </c>
      <c r="D17800" s="1">
        <v>1.0214504596526999E-4</v>
      </c>
      <c r="E17800" s="1">
        <v>0</v>
      </c>
      <c r="F17800" s="1">
        <v>1.1047770559901E-5</v>
      </c>
    </row>
    <row r="17801" spans="1:6" x14ac:dyDescent="0.25">
      <c r="A17801" s="2" t="str">
        <f t="shared" si="635"/>
        <v>27980</v>
      </c>
      <c r="B17801" s="2" t="str">
        <f>"96768"</f>
        <v>96768</v>
      </c>
      <c r="C17801" s="1">
        <v>9.7858852448411901E-2</v>
      </c>
      <c r="D17801" s="1">
        <v>5.5260469867211399E-2</v>
      </c>
      <c r="E17801" s="1">
        <v>7.0824832410375904E-2</v>
      </c>
      <c r="F17801" s="1">
        <v>9.2226788634053605E-2</v>
      </c>
    </row>
    <row r="17802" spans="1:6" x14ac:dyDescent="0.25">
      <c r="A17802" s="2" t="str">
        <f t="shared" si="635"/>
        <v>27980</v>
      </c>
      <c r="B17802" s="2" t="str">
        <f>"96793"</f>
        <v>96793</v>
      </c>
      <c r="C17802" s="1">
        <v>0.171265929232162</v>
      </c>
      <c r="D17802" s="1">
        <v>0.25025536261491299</v>
      </c>
      <c r="E17802" s="1">
        <v>0.29495773826872601</v>
      </c>
      <c r="F17802" s="1">
        <v>0.18449776835034601</v>
      </c>
    </row>
    <row r="17803" spans="1:6" x14ac:dyDescent="0.25">
      <c r="A17803" s="2" t="str">
        <f t="shared" ref="A17803:A17809" si="636">"39260"</f>
        <v>39260</v>
      </c>
      <c r="B17803" s="2" t="str">
        <f>"97754"</f>
        <v>97754</v>
      </c>
      <c r="C17803" s="1">
        <v>0.84496839713088501</v>
      </c>
      <c r="D17803" s="1">
        <v>0.98423005565862698</v>
      </c>
      <c r="E17803" s="1">
        <v>0.94298245614035003</v>
      </c>
      <c r="F17803" s="1">
        <v>0.85617729251965902</v>
      </c>
    </row>
    <row r="17804" spans="1:6" x14ac:dyDescent="0.25">
      <c r="A17804" s="2" t="str">
        <f t="shared" si="636"/>
        <v>39260</v>
      </c>
      <c r="B17804" s="2" t="str">
        <f>"97753"</f>
        <v>97753</v>
      </c>
      <c r="C17804" s="1">
        <v>0.13429443931538901</v>
      </c>
      <c r="D17804" s="1">
        <v>1.2987012987012899E-2</v>
      </c>
      <c r="E17804" s="1">
        <v>3.07017543859649E-2</v>
      </c>
      <c r="F17804" s="1">
        <v>0.124260739585364</v>
      </c>
    </row>
    <row r="17805" spans="1:6" x14ac:dyDescent="0.25">
      <c r="A17805" s="2" t="str">
        <f t="shared" si="636"/>
        <v>39260</v>
      </c>
      <c r="B17805" s="2" t="str">
        <f>"97760"</f>
        <v>97760</v>
      </c>
      <c r="C17805" s="1">
        <v>4.61614942120588E-3</v>
      </c>
      <c r="D17805" s="1">
        <v>0</v>
      </c>
      <c r="E17805" s="1">
        <v>0</v>
      </c>
      <c r="F17805" s="1">
        <v>4.2243452264898902E-3</v>
      </c>
    </row>
    <row r="17806" spans="1:6" x14ac:dyDescent="0.25">
      <c r="A17806" s="2" t="str">
        <f t="shared" si="636"/>
        <v>39260</v>
      </c>
      <c r="B17806" s="2" t="str">
        <f>"97701"</f>
        <v>97701</v>
      </c>
      <c r="C17806" s="1">
        <v>2.4146012357076901E-3</v>
      </c>
      <c r="D17806" s="1">
        <v>0</v>
      </c>
      <c r="E17806" s="1">
        <v>0</v>
      </c>
      <c r="F17806" s="1">
        <v>2.2096575030870198E-3</v>
      </c>
    </row>
    <row r="17807" spans="1:6" x14ac:dyDescent="0.25">
      <c r="A17807" s="2" t="str">
        <f t="shared" si="636"/>
        <v>39260</v>
      </c>
      <c r="B17807" s="2" t="str">
        <f>"97756"</f>
        <v>97756</v>
      </c>
      <c r="C17807" s="1">
        <v>9.9424756764434296E-4</v>
      </c>
      <c r="D17807" s="1">
        <v>0</v>
      </c>
      <c r="E17807" s="1">
        <v>0</v>
      </c>
      <c r="F17807" s="1">
        <v>9.0985897185936104E-4</v>
      </c>
    </row>
    <row r="17808" spans="1:6" x14ac:dyDescent="0.25">
      <c r="A17808" s="2" t="str">
        <f t="shared" si="636"/>
        <v>39260</v>
      </c>
      <c r="B17808" s="2" t="str">
        <f>"97752"</f>
        <v>97752</v>
      </c>
      <c r="C17808" s="1">
        <v>3.05376038633619E-3</v>
      </c>
      <c r="D17808" s="1">
        <v>0</v>
      </c>
      <c r="E17808" s="1">
        <v>0</v>
      </c>
      <c r="F17808" s="1">
        <v>2.7945668421394598E-3</v>
      </c>
    </row>
    <row r="17809" spans="1:6" x14ac:dyDescent="0.25">
      <c r="A17809" s="2" t="str">
        <f t="shared" si="636"/>
        <v>39260</v>
      </c>
      <c r="B17809" s="2" t="str">
        <f>"97751"</f>
        <v>97751</v>
      </c>
      <c r="C17809" s="1">
        <v>9.6584049428307603E-3</v>
      </c>
      <c r="D17809" s="1">
        <v>2.7829313543599201E-3</v>
      </c>
      <c r="E17809" s="1">
        <v>2.6315789473684199E-2</v>
      </c>
      <c r="F17809" s="1">
        <v>9.4235393514005301E-3</v>
      </c>
    </row>
    <row r="17810" spans="1:6" x14ac:dyDescent="0.25">
      <c r="A17810" s="2" t="str">
        <f t="shared" ref="A17810:A17833" si="637">"39420"</f>
        <v>39420</v>
      </c>
      <c r="B17810" s="2" t="str">
        <f>"99158"</f>
        <v>99158</v>
      </c>
      <c r="C17810" s="1">
        <v>7.6019004751187698E-3</v>
      </c>
      <c r="D17810" s="1">
        <v>1.21951219512195E-2</v>
      </c>
      <c r="E17810" s="1">
        <v>3.9770216526734403E-3</v>
      </c>
      <c r="F17810" s="1">
        <v>7.4767153721268E-3</v>
      </c>
    </row>
    <row r="17811" spans="1:6" x14ac:dyDescent="0.25">
      <c r="A17811" s="2" t="str">
        <f t="shared" si="637"/>
        <v>39420</v>
      </c>
      <c r="B17811" s="2" t="str">
        <f>"99143"</f>
        <v>99143</v>
      </c>
      <c r="C17811" s="1">
        <v>8.4521130282570606E-3</v>
      </c>
      <c r="D17811" s="1">
        <v>8.7108013937282208E-3</v>
      </c>
      <c r="E17811" s="1">
        <v>0.106495802032699</v>
      </c>
      <c r="F17811" s="1">
        <v>1.7944116893104298E-2</v>
      </c>
    </row>
    <row r="17812" spans="1:6" x14ac:dyDescent="0.25">
      <c r="A17812" s="2" t="str">
        <f t="shared" si="637"/>
        <v>39420</v>
      </c>
      <c r="B17812" s="2" t="str">
        <f>"99333"</f>
        <v>99333</v>
      </c>
      <c r="C17812" s="1">
        <v>0</v>
      </c>
      <c r="D17812" s="1">
        <v>0</v>
      </c>
      <c r="E17812" s="1">
        <v>8.83782589482987E-4</v>
      </c>
      <c r="F17812" s="1">
        <v>8.5448175681449205E-5</v>
      </c>
    </row>
    <row r="17813" spans="1:6" x14ac:dyDescent="0.25">
      <c r="A17813" s="2" t="str">
        <f t="shared" si="637"/>
        <v>39420</v>
      </c>
      <c r="B17813" s="2" t="str">
        <f>"99164"</f>
        <v>99164</v>
      </c>
      <c r="C17813" s="1">
        <v>0</v>
      </c>
      <c r="D17813" s="1">
        <v>8.7108013937282197E-4</v>
      </c>
      <c r="E17813" s="1">
        <v>0</v>
      </c>
      <c r="F17813" s="1">
        <v>4.2724087840724603E-5</v>
      </c>
    </row>
    <row r="17814" spans="1:6" x14ac:dyDescent="0.25">
      <c r="A17814" s="2" t="str">
        <f t="shared" si="637"/>
        <v>39420</v>
      </c>
      <c r="B17814" s="2" t="str">
        <f>"99161"</f>
        <v>99161</v>
      </c>
      <c r="C17814" s="1">
        <v>2.9157289322330499E-2</v>
      </c>
      <c r="D17814" s="1">
        <v>6.0975609756097502E-3</v>
      </c>
      <c r="E17814" s="1">
        <v>2.38621299160406E-2</v>
      </c>
      <c r="F17814" s="1">
        <v>2.7514312569426599E-2</v>
      </c>
    </row>
    <row r="17815" spans="1:6" x14ac:dyDescent="0.25">
      <c r="A17815" s="2" t="str">
        <f t="shared" si="637"/>
        <v>39420</v>
      </c>
      <c r="B17815" s="2" t="str">
        <f>"99125"</f>
        <v>99125</v>
      </c>
      <c r="C17815" s="1">
        <v>8.95223805951487E-3</v>
      </c>
      <c r="D17815" s="1">
        <v>1.74216027874564E-3</v>
      </c>
      <c r="E17815" s="1">
        <v>2.7397260273972601E-2</v>
      </c>
      <c r="F17815" s="1">
        <v>1.0381953345295999E-2</v>
      </c>
    </row>
    <row r="17816" spans="1:6" x14ac:dyDescent="0.25">
      <c r="A17816" s="2" t="str">
        <f t="shared" si="637"/>
        <v>39420</v>
      </c>
      <c r="B17816" s="2" t="str">
        <f>"99017"</f>
        <v>99017</v>
      </c>
      <c r="C17816" s="1">
        <v>4.65116279069767E-3</v>
      </c>
      <c r="D17816" s="1">
        <v>5.2264808362369299E-3</v>
      </c>
      <c r="E17816" s="1">
        <v>0</v>
      </c>
      <c r="F17816" s="1">
        <v>4.2296846962317303E-3</v>
      </c>
    </row>
    <row r="17817" spans="1:6" x14ac:dyDescent="0.25">
      <c r="A17817" s="2" t="str">
        <f t="shared" si="637"/>
        <v>39420</v>
      </c>
      <c r="B17817" s="2" t="str">
        <f>"99403"</f>
        <v>99403</v>
      </c>
      <c r="C17817" s="1">
        <v>5.0012503125781402E-5</v>
      </c>
      <c r="D17817" s="1">
        <v>0</v>
      </c>
      <c r="E17817" s="1">
        <v>0</v>
      </c>
      <c r="F17817" s="1">
        <v>4.2724087840724603E-5</v>
      </c>
    </row>
    <row r="17818" spans="1:6" x14ac:dyDescent="0.25">
      <c r="A17818" s="2" t="str">
        <f t="shared" si="637"/>
        <v>39420</v>
      </c>
      <c r="B17818" s="2" t="str">
        <f>"99171"</f>
        <v>99171</v>
      </c>
      <c r="C17818" s="1">
        <v>2.24556139034758E-2</v>
      </c>
      <c r="D17818" s="1">
        <v>3.2229965156794403E-2</v>
      </c>
      <c r="E17818" s="1">
        <v>7.5121520106053901E-3</v>
      </c>
      <c r="F17818" s="1">
        <v>2.14902161838844E-2</v>
      </c>
    </row>
    <row r="17819" spans="1:6" x14ac:dyDescent="0.25">
      <c r="A17819" s="2" t="str">
        <f t="shared" si="637"/>
        <v>39420</v>
      </c>
      <c r="B17819" s="2" t="str">
        <f>"99149"</f>
        <v>99149</v>
      </c>
      <c r="C17819" s="1">
        <v>5.0012503125781396E-4</v>
      </c>
      <c r="D17819" s="1">
        <v>0</v>
      </c>
      <c r="E17819" s="1">
        <v>4.4189129474149301E-4</v>
      </c>
      <c r="F17819" s="1">
        <v>4.6996496624797E-4</v>
      </c>
    </row>
    <row r="17820" spans="1:6" x14ac:dyDescent="0.25">
      <c r="A17820" s="2" t="str">
        <f t="shared" si="637"/>
        <v>39420</v>
      </c>
      <c r="B17820" s="2" t="str">
        <f>"99136"</f>
        <v>99136</v>
      </c>
      <c r="C17820" s="1">
        <v>1.35033758439609E-3</v>
      </c>
      <c r="D17820" s="1">
        <v>8.7108013937282197E-4</v>
      </c>
      <c r="E17820" s="1">
        <v>0</v>
      </c>
      <c r="F17820" s="1">
        <v>1.19627445954028E-3</v>
      </c>
    </row>
    <row r="17821" spans="1:6" x14ac:dyDescent="0.25">
      <c r="A17821" s="2" t="str">
        <f t="shared" si="637"/>
        <v>39420</v>
      </c>
      <c r="B17821" s="2" t="str">
        <f>"99130"</f>
        <v>99130</v>
      </c>
      <c r="C17821" s="1">
        <v>8.7521880470117497E-3</v>
      </c>
      <c r="D17821" s="1">
        <v>8.7108013937282197E-4</v>
      </c>
      <c r="E17821" s="1">
        <v>7.2912063632346397E-2</v>
      </c>
      <c r="F17821" s="1">
        <v>1.4568913953687E-2</v>
      </c>
    </row>
    <row r="17822" spans="1:6" x14ac:dyDescent="0.25">
      <c r="A17822" s="2" t="str">
        <f t="shared" si="637"/>
        <v>39420</v>
      </c>
      <c r="B17822" s="2" t="str">
        <f>"99102"</f>
        <v>99102</v>
      </c>
      <c r="C17822" s="1">
        <v>0</v>
      </c>
      <c r="D17822" s="1">
        <v>0</v>
      </c>
      <c r="E17822" s="1">
        <v>4.4189129474149301E-4</v>
      </c>
      <c r="F17822" s="1">
        <v>4.2724087840724603E-5</v>
      </c>
    </row>
    <row r="17823" spans="1:6" x14ac:dyDescent="0.25">
      <c r="A17823" s="2" t="str">
        <f t="shared" si="637"/>
        <v>39420</v>
      </c>
      <c r="B17823" s="2" t="str">
        <f>"99163"</f>
        <v>99163</v>
      </c>
      <c r="C17823" s="1">
        <v>0.75258814703675903</v>
      </c>
      <c r="D17823" s="1">
        <v>0.65069686411149796</v>
      </c>
      <c r="E17823" s="1">
        <v>0.61732213875386599</v>
      </c>
      <c r="F17823" s="1">
        <v>0.73451251815773699</v>
      </c>
    </row>
    <row r="17824" spans="1:6" x14ac:dyDescent="0.25">
      <c r="A17824" s="2" t="str">
        <f t="shared" si="637"/>
        <v>39420</v>
      </c>
      <c r="B17824" s="2" t="str">
        <f>"99179"</f>
        <v>99179</v>
      </c>
      <c r="C17824" s="1">
        <v>4.9012253063265799E-3</v>
      </c>
      <c r="D17824" s="1">
        <v>0</v>
      </c>
      <c r="E17824" s="1">
        <v>1.7675651789659701E-3</v>
      </c>
      <c r="F17824" s="1">
        <v>4.3578569597538998E-3</v>
      </c>
    </row>
    <row r="17825" spans="1:6" x14ac:dyDescent="0.25">
      <c r="A17825" s="2" t="str">
        <f t="shared" si="637"/>
        <v>39420</v>
      </c>
      <c r="B17825" s="2" t="str">
        <f>"99176"</f>
        <v>99176</v>
      </c>
      <c r="C17825" s="1">
        <v>4.95123780945236E-3</v>
      </c>
      <c r="D17825" s="1">
        <v>6.0975609756097502E-3</v>
      </c>
      <c r="E17825" s="1">
        <v>2.6513477684489599E-3</v>
      </c>
      <c r="F17825" s="1">
        <v>4.7850978381611502E-3</v>
      </c>
    </row>
    <row r="17826" spans="1:6" x14ac:dyDescent="0.25">
      <c r="A17826" s="2" t="str">
        <f t="shared" si="637"/>
        <v>39420</v>
      </c>
      <c r="B17826" s="2" t="str">
        <f>"99128"</f>
        <v>99128</v>
      </c>
      <c r="C17826" s="1">
        <v>5.3013253313328301E-3</v>
      </c>
      <c r="D17826" s="1">
        <v>1.74216027874564E-3</v>
      </c>
      <c r="E17826" s="1">
        <v>2.6513477684489599E-3</v>
      </c>
      <c r="F17826" s="1">
        <v>4.8705460138425997E-3</v>
      </c>
    </row>
    <row r="17827" spans="1:6" x14ac:dyDescent="0.25">
      <c r="A17827" s="2" t="str">
        <f t="shared" si="637"/>
        <v>39420</v>
      </c>
      <c r="B17827" s="2" t="str">
        <f>"99111"</f>
        <v>99111</v>
      </c>
      <c r="C17827" s="1">
        <v>0.100825206301575</v>
      </c>
      <c r="D17827" s="1">
        <v>0.21864111498257799</v>
      </c>
      <c r="E17827" s="1">
        <v>6.8935041979672998E-2</v>
      </c>
      <c r="F17827" s="1">
        <v>0.103520464838075</v>
      </c>
    </row>
    <row r="17828" spans="1:6" x14ac:dyDescent="0.25">
      <c r="A17828" s="2" t="str">
        <f t="shared" si="637"/>
        <v>39420</v>
      </c>
      <c r="B17828" s="2" t="str">
        <f>"99174"</f>
        <v>99174</v>
      </c>
      <c r="C17828" s="1">
        <v>0</v>
      </c>
      <c r="D17828" s="1">
        <v>0</v>
      </c>
      <c r="E17828" s="1">
        <v>4.4189129474149301E-4</v>
      </c>
      <c r="F17828" s="1">
        <v>4.2724087840724603E-5</v>
      </c>
    </row>
    <row r="17829" spans="1:6" x14ac:dyDescent="0.25">
      <c r="A17829" s="2" t="str">
        <f t="shared" si="637"/>
        <v>39420</v>
      </c>
      <c r="B17829" s="2" t="str">
        <f>"99033"</f>
        <v>99033</v>
      </c>
      <c r="C17829" s="1">
        <v>1.02525631407851E-2</v>
      </c>
      <c r="D17829" s="1">
        <v>3.4843205574912801E-3</v>
      </c>
      <c r="E17829" s="1">
        <v>2.9164825452938501E-2</v>
      </c>
      <c r="F17829" s="1">
        <v>1.1749124156199201E-2</v>
      </c>
    </row>
    <row r="17830" spans="1:6" x14ac:dyDescent="0.25">
      <c r="A17830" s="2" t="str">
        <f t="shared" si="637"/>
        <v>39420</v>
      </c>
      <c r="B17830" s="2" t="str">
        <f>"99170"</f>
        <v>99170</v>
      </c>
      <c r="C17830" s="1">
        <v>1.7704426106526599E-2</v>
      </c>
      <c r="D17830" s="1">
        <v>4.7038327526132399E-2</v>
      </c>
      <c r="E17830" s="1">
        <v>1.01634997790543E-2</v>
      </c>
      <c r="F17830" s="1">
        <v>1.84140818593523E-2</v>
      </c>
    </row>
    <row r="17831" spans="1:6" x14ac:dyDescent="0.25">
      <c r="A17831" s="2" t="str">
        <f t="shared" si="637"/>
        <v>39420</v>
      </c>
      <c r="B17831" s="2" t="str">
        <f>"99104"</f>
        <v>99104</v>
      </c>
      <c r="C17831" s="1">
        <v>1.5003750937734399E-4</v>
      </c>
      <c r="D17831" s="1">
        <v>8.7108013937282197E-4</v>
      </c>
      <c r="E17831" s="1">
        <v>0</v>
      </c>
      <c r="F17831" s="1">
        <v>1.70896351362898E-4</v>
      </c>
    </row>
    <row r="17832" spans="1:6" x14ac:dyDescent="0.25">
      <c r="A17832" s="2" t="str">
        <f t="shared" si="637"/>
        <v>39420</v>
      </c>
      <c r="B17832" s="2" t="str">
        <f>"99113"</f>
        <v>99113</v>
      </c>
      <c r="C17832" s="1">
        <v>1.11527881970492E-2</v>
      </c>
      <c r="D17832" s="1">
        <v>2.6132404181184602E-3</v>
      </c>
      <c r="E17832" s="1">
        <v>2.29783473265576E-2</v>
      </c>
      <c r="F17832" s="1">
        <v>1.1877296419721401E-2</v>
      </c>
    </row>
    <row r="17833" spans="1:6" x14ac:dyDescent="0.25">
      <c r="A17833" s="2" t="str">
        <f t="shared" si="637"/>
        <v>39420</v>
      </c>
      <c r="B17833" s="2" t="str">
        <f>"99004"</f>
        <v>99004</v>
      </c>
      <c r="C17833" s="1">
        <v>2.5006251562890698E-4</v>
      </c>
      <c r="D17833" s="1">
        <v>0</v>
      </c>
      <c r="E17833" s="1">
        <v>0</v>
      </c>
      <c r="F17833" s="1">
        <v>2.1362043920362299E-4</v>
      </c>
    </row>
    <row r="17834" spans="1:6" x14ac:dyDescent="0.25">
      <c r="A17834" s="2" t="str">
        <f t="shared" ref="A17834:A17865" si="638">"44140"</f>
        <v>44140</v>
      </c>
      <c r="B17834" s="2" t="str">
        <f>"01331"</f>
        <v>01331</v>
      </c>
      <c r="C17834" s="1">
        <v>2.8302865822402599E-5</v>
      </c>
      <c r="D17834" s="1">
        <v>3.3898305084745701E-5</v>
      </c>
      <c r="E17834" s="1">
        <v>0</v>
      </c>
      <c r="F17834" s="1">
        <v>2.73728122279826E-5</v>
      </c>
    </row>
    <row r="17835" spans="1:6" x14ac:dyDescent="0.25">
      <c r="A17835" s="2" t="str">
        <f t="shared" si="638"/>
        <v>44140</v>
      </c>
      <c r="B17835" s="2" t="str">
        <f>"01347"</f>
        <v>01347</v>
      </c>
      <c r="C17835" s="1">
        <v>0</v>
      </c>
      <c r="D17835" s="1">
        <v>0</v>
      </c>
      <c r="E17835" s="1">
        <v>5.2699444973930499E-3</v>
      </c>
      <c r="F17835" s="1">
        <v>2.5730443494303702E-4</v>
      </c>
    </row>
    <row r="17836" spans="1:6" x14ac:dyDescent="0.25">
      <c r="A17836" s="2" t="str">
        <f t="shared" si="638"/>
        <v>44140</v>
      </c>
      <c r="B17836" s="2" t="str">
        <f>"01346"</f>
        <v>01346</v>
      </c>
      <c r="C17836" s="1">
        <v>1.8239624641103899E-4</v>
      </c>
      <c r="D17836" s="1">
        <v>0</v>
      </c>
      <c r="E17836" s="1">
        <v>5.49419745472893E-3</v>
      </c>
      <c r="F17836" s="1">
        <v>4.2701587075652899E-4</v>
      </c>
    </row>
    <row r="17837" spans="1:6" x14ac:dyDescent="0.25">
      <c r="A17837" s="2" t="str">
        <f t="shared" si="638"/>
        <v>44140</v>
      </c>
      <c r="B17837" s="2" t="str">
        <f>"01339"</f>
        <v>01339</v>
      </c>
      <c r="C17837" s="1">
        <v>2.5441131611470798E-3</v>
      </c>
      <c r="D17837" s="1">
        <v>4.4067796610169397E-4</v>
      </c>
      <c r="E17837" s="1">
        <v>5.0456915400571797E-4</v>
      </c>
      <c r="F17837" s="1">
        <v>2.27468069614536E-3</v>
      </c>
    </row>
    <row r="17838" spans="1:6" x14ac:dyDescent="0.25">
      <c r="A17838" s="2" t="str">
        <f t="shared" si="638"/>
        <v>44140</v>
      </c>
      <c r="B17838" s="2" t="str">
        <f>"01337"</f>
        <v>01337</v>
      </c>
      <c r="C17838" s="1">
        <v>3.4843972590246799E-3</v>
      </c>
      <c r="D17838" s="1">
        <v>1.66101694915254E-3</v>
      </c>
      <c r="E17838" s="1">
        <v>4.8214385827213E-3</v>
      </c>
      <c r="F17838" s="1">
        <v>3.4024405599382399E-3</v>
      </c>
    </row>
    <row r="17839" spans="1:6" x14ac:dyDescent="0.25">
      <c r="A17839" s="2" t="str">
        <f t="shared" si="638"/>
        <v>44140</v>
      </c>
      <c r="B17839" s="2" t="str">
        <f>"01199"</f>
        <v>01199</v>
      </c>
      <c r="C17839" s="1">
        <v>0</v>
      </c>
      <c r="D17839" s="1">
        <v>1.6949152542372801E-4</v>
      </c>
      <c r="E17839" s="1">
        <v>0</v>
      </c>
      <c r="F17839" s="1">
        <v>1.36864061139913E-5</v>
      </c>
    </row>
    <row r="17840" spans="1:6" x14ac:dyDescent="0.25">
      <c r="A17840" s="2" t="str">
        <f t="shared" si="638"/>
        <v>44140</v>
      </c>
      <c r="B17840" s="2" t="str">
        <f>"01151"</f>
        <v>01151</v>
      </c>
      <c r="C17840" s="1">
        <v>1.43589872605656E-2</v>
      </c>
      <c r="D17840" s="1">
        <v>1.7491525423728799E-2</v>
      </c>
      <c r="E17840" s="1">
        <v>1.12126478667937E-2</v>
      </c>
      <c r="F17840" s="1">
        <v>1.4458319418820399E-2</v>
      </c>
    </row>
    <row r="17841" spans="1:6" x14ac:dyDescent="0.25">
      <c r="A17841" s="2" t="str">
        <f t="shared" si="638"/>
        <v>44140</v>
      </c>
      <c r="B17841" s="2" t="str">
        <f>"01107"</f>
        <v>01107</v>
      </c>
      <c r="C17841" s="1">
        <v>1.5786709603162301E-2</v>
      </c>
      <c r="D17841" s="1">
        <v>1.10169491525423E-2</v>
      </c>
      <c r="E17841" s="1">
        <v>2.7302797555642699E-2</v>
      </c>
      <c r="F17841" s="1">
        <v>1.5963824091359401E-2</v>
      </c>
    </row>
    <row r="17842" spans="1:6" x14ac:dyDescent="0.25">
      <c r="A17842" s="2" t="str">
        <f t="shared" si="638"/>
        <v>44140</v>
      </c>
      <c r="B17842" s="2" t="str">
        <f>"01061"</f>
        <v>01061</v>
      </c>
      <c r="C17842" s="1">
        <v>4.6511042834815001E-3</v>
      </c>
      <c r="D17842" s="1">
        <v>9.3559322033898301E-3</v>
      </c>
      <c r="E17842" s="1">
        <v>5.6063239333968702E-5</v>
      </c>
      <c r="F17842" s="1">
        <v>4.8066658272337501E-3</v>
      </c>
    </row>
    <row r="17843" spans="1:6" x14ac:dyDescent="0.25">
      <c r="A17843" s="2" t="str">
        <f t="shared" si="638"/>
        <v>44140</v>
      </c>
      <c r="B17843" s="2" t="str">
        <f>"01056"</f>
        <v>01056</v>
      </c>
      <c r="C17843" s="1">
        <v>2.8007258112702001E-2</v>
      </c>
      <c r="D17843" s="1">
        <v>1.8271186440677899E-2</v>
      </c>
      <c r="E17843" s="1">
        <v>1.5417390816841301E-2</v>
      </c>
      <c r="F17843" s="1">
        <v>2.6606373485599102E-2</v>
      </c>
    </row>
    <row r="17844" spans="1:6" x14ac:dyDescent="0.25">
      <c r="A17844" s="2" t="str">
        <f t="shared" si="638"/>
        <v>44140</v>
      </c>
      <c r="B17844" s="2" t="str">
        <f>"01035"</f>
        <v>01035</v>
      </c>
      <c r="C17844" s="1">
        <v>9.7015934513458007E-3</v>
      </c>
      <c r="D17844" s="1">
        <v>2.1661016949152501E-2</v>
      </c>
      <c r="E17844" s="1">
        <v>6.1108930874025904E-3</v>
      </c>
      <c r="F17844" s="1">
        <v>1.0491998926985701E-2</v>
      </c>
    </row>
    <row r="17845" spans="1:6" x14ac:dyDescent="0.25">
      <c r="A17845" s="2" t="str">
        <f t="shared" si="638"/>
        <v>44140</v>
      </c>
      <c r="B17845" s="2" t="str">
        <f>"01034"</f>
        <v>01034</v>
      </c>
      <c r="C17845" s="1">
        <v>2.8617342109318201E-3</v>
      </c>
      <c r="D17845" s="1">
        <v>8.8135593220338903E-4</v>
      </c>
      <c r="E17845" s="1">
        <v>5.0456915400571797E-4</v>
      </c>
      <c r="F17845" s="1">
        <v>2.5867307555443599E-3</v>
      </c>
    </row>
    <row r="17846" spans="1:6" x14ac:dyDescent="0.25">
      <c r="A17846" s="2" t="str">
        <f t="shared" si="638"/>
        <v>44140</v>
      </c>
      <c r="B17846" s="2" t="str">
        <f>"01033"</f>
        <v>01033</v>
      </c>
      <c r="C17846" s="1">
        <v>1.0865155712933399E-2</v>
      </c>
      <c r="D17846" s="1">
        <v>7.2881355932203299E-3</v>
      </c>
      <c r="E17846" s="1">
        <v>2.1864663340247698E-3</v>
      </c>
      <c r="F17846" s="1">
        <v>1.01525760553587E-2</v>
      </c>
    </row>
    <row r="17847" spans="1:6" x14ac:dyDescent="0.25">
      <c r="A17847" s="2" t="str">
        <f t="shared" si="638"/>
        <v>44140</v>
      </c>
      <c r="B17847" s="2" t="str">
        <f>"01038"</f>
        <v>01038</v>
      </c>
      <c r="C17847" s="1">
        <v>5.1070948995091004E-3</v>
      </c>
      <c r="D17847" s="1">
        <v>3.7288135593220302E-3</v>
      </c>
      <c r="E17847" s="1">
        <v>3.02741492403431E-3</v>
      </c>
      <c r="F17847" s="1">
        <v>4.8942588263633001E-3</v>
      </c>
    </row>
    <row r="17848" spans="1:6" x14ac:dyDescent="0.25">
      <c r="A17848" s="2" t="str">
        <f t="shared" si="638"/>
        <v>44140</v>
      </c>
      <c r="B17848" s="2" t="str">
        <f>"01010"</f>
        <v>01010</v>
      </c>
      <c r="C17848" s="1">
        <v>5.1259634767240299E-3</v>
      </c>
      <c r="D17848" s="1">
        <v>1.3898305084745701E-3</v>
      </c>
      <c r="E17848" s="1">
        <v>1.56977070135112E-3</v>
      </c>
      <c r="F17848" s="1">
        <v>4.6506407975342497E-3</v>
      </c>
    </row>
    <row r="17849" spans="1:6" x14ac:dyDescent="0.25">
      <c r="A17849" s="2" t="str">
        <f t="shared" si="638"/>
        <v>44140</v>
      </c>
      <c r="B17849" s="2" t="str">
        <f>"01380"</f>
        <v>01380</v>
      </c>
      <c r="C17849" s="1">
        <v>2.0755434936428599E-4</v>
      </c>
      <c r="D17849" s="1">
        <v>0</v>
      </c>
      <c r="E17849" s="1">
        <v>3.3637943600381198E-4</v>
      </c>
      <c r="F17849" s="1">
        <v>1.9708424804147501E-4</v>
      </c>
    </row>
    <row r="17850" spans="1:6" x14ac:dyDescent="0.25">
      <c r="A17850" s="2" t="str">
        <f t="shared" si="638"/>
        <v>44140</v>
      </c>
      <c r="B17850" s="2" t="str">
        <f>"01341"</f>
        <v>01341</v>
      </c>
      <c r="C17850" s="1">
        <v>1.8302519898486999E-3</v>
      </c>
      <c r="D17850" s="1">
        <v>1.01694915254237E-4</v>
      </c>
      <c r="E17850" s="1">
        <v>3.3637943600381198E-3</v>
      </c>
      <c r="F17850" s="1">
        <v>1.7655463887048799E-3</v>
      </c>
    </row>
    <row r="17851" spans="1:6" x14ac:dyDescent="0.25">
      <c r="A17851" s="2" t="str">
        <f t="shared" si="638"/>
        <v>44140</v>
      </c>
      <c r="B17851" s="2" t="str">
        <f>"01340"</f>
        <v>01340</v>
      </c>
      <c r="C17851" s="1">
        <v>2.65417986156753E-3</v>
      </c>
      <c r="D17851" s="1">
        <v>5.4237288135593198E-4</v>
      </c>
      <c r="E17851" s="1">
        <v>4.4850591467174902E-4</v>
      </c>
      <c r="F17851" s="1">
        <v>2.3759601013888902E-3</v>
      </c>
    </row>
    <row r="17852" spans="1:6" x14ac:dyDescent="0.25">
      <c r="A17852" s="2" t="str">
        <f t="shared" si="638"/>
        <v>44140</v>
      </c>
      <c r="B17852" s="2" t="str">
        <f>"01152"</f>
        <v>01152</v>
      </c>
      <c r="C17852" s="1">
        <v>0</v>
      </c>
      <c r="D17852" s="1">
        <v>1.01694915254237E-4</v>
      </c>
      <c r="E17852" s="1">
        <v>6.7275887200762396E-4</v>
      </c>
      <c r="F17852" s="1">
        <v>4.1059218341973998E-5</v>
      </c>
    </row>
    <row r="17853" spans="1:6" x14ac:dyDescent="0.25">
      <c r="A17853" s="2" t="str">
        <f t="shared" si="638"/>
        <v>44140</v>
      </c>
      <c r="B17853" s="2" t="str">
        <f>"01144"</f>
        <v>01144</v>
      </c>
      <c r="C17853" s="1">
        <v>0</v>
      </c>
      <c r="D17853" s="1">
        <v>5.3898305084745697E-3</v>
      </c>
      <c r="E17853" s="1">
        <v>3.3637943600381198E-4</v>
      </c>
      <c r="F17853" s="1">
        <v>4.5165140176171397E-4</v>
      </c>
    </row>
    <row r="17854" spans="1:6" x14ac:dyDescent="0.25">
      <c r="A17854" s="2" t="str">
        <f t="shared" si="638"/>
        <v>44140</v>
      </c>
      <c r="B17854" s="2" t="str">
        <f>"01119"</f>
        <v>01119</v>
      </c>
      <c r="C17854" s="1">
        <v>1.65949136605354E-2</v>
      </c>
      <c r="D17854" s="1">
        <v>6.27118644067796E-3</v>
      </c>
      <c r="E17854" s="1">
        <v>1.23339126534731E-3</v>
      </c>
      <c r="F17854" s="1">
        <v>1.50112502258257E-2</v>
      </c>
    </row>
    <row r="17855" spans="1:6" x14ac:dyDescent="0.25">
      <c r="A17855" s="2" t="str">
        <f t="shared" si="638"/>
        <v>44140</v>
      </c>
      <c r="B17855" s="2" t="str">
        <f>"01080"</f>
        <v>01080</v>
      </c>
      <c r="C17855" s="1">
        <v>3.42150200164156E-3</v>
      </c>
      <c r="D17855" s="1">
        <v>2.13559322033898E-3</v>
      </c>
      <c r="E17855" s="1">
        <v>8.4094859000952995E-4</v>
      </c>
      <c r="F17855" s="1">
        <v>3.1916699057827798E-3</v>
      </c>
    </row>
    <row r="17856" spans="1:6" x14ac:dyDescent="0.25">
      <c r="A17856" s="2" t="str">
        <f t="shared" si="638"/>
        <v>44140</v>
      </c>
      <c r="B17856" s="2" t="str">
        <f>"01060"</f>
        <v>01060</v>
      </c>
      <c r="C17856" s="1">
        <v>2.43027274528364E-2</v>
      </c>
      <c r="D17856" s="1">
        <v>5.4440677966101601E-2</v>
      </c>
      <c r="E17856" s="1">
        <v>5.4829848068621401E-2</v>
      </c>
      <c r="F17856" s="1">
        <v>2.82268439694957E-2</v>
      </c>
    </row>
    <row r="17857" spans="1:6" x14ac:dyDescent="0.25">
      <c r="A17857" s="2" t="str">
        <f t="shared" si="638"/>
        <v>44140</v>
      </c>
      <c r="B17857" s="2" t="str">
        <f>"01050"</f>
        <v>01050</v>
      </c>
      <c r="C17857" s="1">
        <v>3.18564478645487E-3</v>
      </c>
      <c r="D17857" s="1">
        <v>6.4406779661016901E-4</v>
      </c>
      <c r="E17857" s="1">
        <v>1.31748612434826E-2</v>
      </c>
      <c r="F17857" s="1">
        <v>3.4681353092854E-3</v>
      </c>
    </row>
    <row r="17858" spans="1:6" x14ac:dyDescent="0.25">
      <c r="A17858" s="2" t="str">
        <f t="shared" si="638"/>
        <v>44140</v>
      </c>
      <c r="B17858" s="2" t="str">
        <f>"01041"</f>
        <v>01041</v>
      </c>
      <c r="C17858" s="1">
        <v>5.9719046885269604E-3</v>
      </c>
      <c r="D17858" s="1">
        <v>1.5762711864406701E-2</v>
      </c>
      <c r="E17858" s="1">
        <v>2.2425295733587399E-4</v>
      </c>
      <c r="F17858" s="1">
        <v>6.48188193558629E-3</v>
      </c>
    </row>
    <row r="17859" spans="1:6" x14ac:dyDescent="0.25">
      <c r="A17859" s="2" t="str">
        <f t="shared" si="638"/>
        <v>44140</v>
      </c>
      <c r="B17859" s="2" t="str">
        <f>"01039"</f>
        <v>01039</v>
      </c>
      <c r="C17859" s="1">
        <v>1.9843453704373399E-3</v>
      </c>
      <c r="D17859" s="1">
        <v>3.0508474576271098E-4</v>
      </c>
      <c r="E17859" s="1">
        <v>2.8592252060323999E-3</v>
      </c>
      <c r="F17859" s="1">
        <v>1.8914613249535999E-3</v>
      </c>
    </row>
    <row r="17860" spans="1:6" x14ac:dyDescent="0.25">
      <c r="A17860" s="2" t="str">
        <f t="shared" si="638"/>
        <v>44140</v>
      </c>
      <c r="B17860" s="2" t="str">
        <f>"01027"</f>
        <v>01027</v>
      </c>
      <c r="C17860" s="1">
        <v>3.0579674139671401E-2</v>
      </c>
      <c r="D17860" s="1">
        <v>4.1457627118644001E-2</v>
      </c>
      <c r="E17860" s="1">
        <v>2.8143746145652199E-2</v>
      </c>
      <c r="F17860" s="1">
        <v>3.1339132719817302E-2</v>
      </c>
    </row>
    <row r="17861" spans="1:6" x14ac:dyDescent="0.25">
      <c r="A17861" s="2" t="str">
        <f t="shared" si="638"/>
        <v>44140</v>
      </c>
      <c r="B17861" s="2" t="str">
        <f>"01003"</f>
        <v>01003</v>
      </c>
      <c r="C17861" s="1">
        <v>4.81148718980845E-4</v>
      </c>
      <c r="D17861" s="1">
        <v>4.8474576271186403E-3</v>
      </c>
      <c r="E17861" s="1">
        <v>4.4850591467174902E-4</v>
      </c>
      <c r="F17861" s="1">
        <v>8.3213349173067298E-4</v>
      </c>
    </row>
    <row r="17862" spans="1:6" x14ac:dyDescent="0.25">
      <c r="A17862" s="2" t="str">
        <f t="shared" si="638"/>
        <v>44140</v>
      </c>
      <c r="B17862" s="2" t="str">
        <f>"01014"</f>
        <v>01014</v>
      </c>
      <c r="C17862" s="1">
        <v>2.0157929991289E-3</v>
      </c>
      <c r="D17862" s="1">
        <v>2.2033898305084702E-3</v>
      </c>
      <c r="E17862" s="1">
        <v>1.12126478667937E-4</v>
      </c>
      <c r="F17862" s="1">
        <v>1.93799510574117E-3</v>
      </c>
    </row>
    <row r="17863" spans="1:6" x14ac:dyDescent="0.25">
      <c r="A17863" s="2" t="str">
        <f t="shared" si="638"/>
        <v>44140</v>
      </c>
      <c r="B17863" s="2" t="str">
        <f>"01020"</f>
        <v>01020</v>
      </c>
      <c r="C17863" s="1">
        <v>4.3878876313331497E-2</v>
      </c>
      <c r="D17863" s="1">
        <v>2.9186440677966101E-2</v>
      </c>
      <c r="E17863" s="1">
        <v>4.3000504569153997E-2</v>
      </c>
      <c r="F17863" s="1">
        <v>4.2649578732419799E-2</v>
      </c>
    </row>
    <row r="17864" spans="1:6" x14ac:dyDescent="0.25">
      <c r="A17864" s="2" t="str">
        <f t="shared" si="638"/>
        <v>44140</v>
      </c>
      <c r="B17864" s="2" t="str">
        <f>"01376"</f>
        <v>01376</v>
      </c>
      <c r="C17864" s="1">
        <v>9.3273666699162493E-3</v>
      </c>
      <c r="D17864" s="1">
        <v>9.3898305084745698E-3</v>
      </c>
      <c r="E17864" s="1">
        <v>1.5697707013511201E-2</v>
      </c>
      <c r="F17864" s="1">
        <v>9.6434417479182907E-3</v>
      </c>
    </row>
    <row r="17865" spans="1:6" x14ac:dyDescent="0.25">
      <c r="A17865" s="2" t="str">
        <f t="shared" si="638"/>
        <v>44140</v>
      </c>
      <c r="B17865" s="2" t="str">
        <f>"01373"</f>
        <v>01373</v>
      </c>
      <c r="C17865" s="1">
        <v>6.5725543965357196E-3</v>
      </c>
      <c r="D17865" s="1">
        <v>9.1186440677966107E-3</v>
      </c>
      <c r="E17865" s="1">
        <v>2.7470987273644598E-3</v>
      </c>
      <c r="F17865" s="1">
        <v>6.5913731844982199E-3</v>
      </c>
    </row>
    <row r="17866" spans="1:6" x14ac:dyDescent="0.25">
      <c r="A17866" s="2" t="str">
        <f t="shared" ref="A17866:A17897" si="639">"44140"</f>
        <v>44140</v>
      </c>
      <c r="B17866" s="2" t="str">
        <f>"01330"</f>
        <v>01330</v>
      </c>
      <c r="C17866" s="1">
        <v>2.1164254109418798E-3</v>
      </c>
      <c r="D17866" s="1">
        <v>9.15254237288135E-4</v>
      </c>
      <c r="E17866" s="1">
        <v>2.5228457700285901E-3</v>
      </c>
      <c r="F17866" s="1">
        <v>2.0392745109847001E-3</v>
      </c>
    </row>
    <row r="17867" spans="1:6" x14ac:dyDescent="0.25">
      <c r="A17867" s="2" t="str">
        <f t="shared" si="639"/>
        <v>44140</v>
      </c>
      <c r="B17867" s="2" t="str">
        <f>"01343"</f>
        <v>01343</v>
      </c>
      <c r="C17867" s="1">
        <v>1.57238143457792E-5</v>
      </c>
      <c r="D17867" s="1">
        <v>6.7796610169491497E-5</v>
      </c>
      <c r="E17867" s="1">
        <v>0</v>
      </c>
      <c r="F17867" s="1">
        <v>1.9160968559587801E-5</v>
      </c>
    </row>
    <row r="17868" spans="1:6" x14ac:dyDescent="0.25">
      <c r="A17868" s="2" t="str">
        <f t="shared" si="639"/>
        <v>44140</v>
      </c>
      <c r="B17868" s="2" t="str">
        <f>"01111"</f>
        <v>01111</v>
      </c>
      <c r="C17868" s="1">
        <v>0</v>
      </c>
      <c r="D17868" s="1">
        <v>3.3898305084745701E-5</v>
      </c>
      <c r="E17868" s="1">
        <v>0</v>
      </c>
      <c r="F17868" s="1">
        <v>2.7372812227982598E-6</v>
      </c>
    </row>
    <row r="17869" spans="1:6" x14ac:dyDescent="0.25">
      <c r="A17869" s="2" t="str">
        <f t="shared" si="639"/>
        <v>44140</v>
      </c>
      <c r="B17869" s="2" t="str">
        <f>"01128"</f>
        <v>01128</v>
      </c>
      <c r="C17869" s="1">
        <v>3.4875420218938298E-3</v>
      </c>
      <c r="D17869" s="1">
        <v>1.7288135593220299E-3</v>
      </c>
      <c r="E17869" s="1">
        <v>4.4850591467174902E-4</v>
      </c>
      <c r="F17869" s="1">
        <v>3.19714446822837E-3</v>
      </c>
    </row>
    <row r="17870" spans="1:6" x14ac:dyDescent="0.25">
      <c r="A17870" s="2" t="str">
        <f t="shared" si="639"/>
        <v>44140</v>
      </c>
      <c r="B17870" s="2" t="str">
        <f>"01097"</f>
        <v>01097</v>
      </c>
      <c r="C17870" s="1">
        <v>0</v>
      </c>
      <c r="D17870" s="1">
        <v>0</v>
      </c>
      <c r="E17870" s="1">
        <v>3.02741492403431E-3</v>
      </c>
      <c r="F17870" s="1">
        <v>1.47813186031106E-4</v>
      </c>
    </row>
    <row r="17871" spans="1:6" x14ac:dyDescent="0.25">
      <c r="A17871" s="2" t="str">
        <f t="shared" si="639"/>
        <v>44140</v>
      </c>
      <c r="B17871" s="2" t="str">
        <f>"01088"</f>
        <v>01088</v>
      </c>
      <c r="C17871" s="1">
        <v>9.6229743796169E-4</v>
      </c>
      <c r="D17871" s="1">
        <v>1.6949152542372801E-3</v>
      </c>
      <c r="E17871" s="1">
        <v>1.17732802601334E-3</v>
      </c>
      <c r="F17871" s="1">
        <v>1.0319550209949399E-3</v>
      </c>
    </row>
    <row r="17872" spans="1:6" x14ac:dyDescent="0.25">
      <c r="A17872" s="2" t="str">
        <f t="shared" si="639"/>
        <v>44140</v>
      </c>
      <c r="B17872" s="2" t="str">
        <f>"01082"</f>
        <v>01082</v>
      </c>
      <c r="C17872" s="1">
        <v>1.50476903289107E-2</v>
      </c>
      <c r="D17872" s="1">
        <v>1.1864406779661E-2</v>
      </c>
      <c r="E17872" s="1">
        <v>1.51370746201715E-2</v>
      </c>
      <c r="F17872" s="1">
        <v>1.47950050092246E-2</v>
      </c>
    </row>
    <row r="17873" spans="1:6" x14ac:dyDescent="0.25">
      <c r="A17873" s="2" t="str">
        <f t="shared" si="639"/>
        <v>44140</v>
      </c>
      <c r="B17873" s="2" t="str">
        <f>"01062"</f>
        <v>01062</v>
      </c>
      <c r="C17873" s="1">
        <v>1.6789888958423E-2</v>
      </c>
      <c r="D17873" s="1">
        <v>1.79661016949152E-2</v>
      </c>
      <c r="E17873" s="1">
        <v>1.04277625161181E-2</v>
      </c>
      <c r="F17873" s="1">
        <v>1.6574237804043501E-2</v>
      </c>
    </row>
    <row r="17874" spans="1:6" x14ac:dyDescent="0.25">
      <c r="A17874" s="2" t="str">
        <f t="shared" si="639"/>
        <v>44140</v>
      </c>
      <c r="B17874" s="2" t="str">
        <f>"01075"</f>
        <v>01075</v>
      </c>
      <c r="C17874" s="1">
        <v>2.5787055527077898E-2</v>
      </c>
      <c r="D17874" s="1">
        <v>2.0101694915254199E-2</v>
      </c>
      <c r="E17874" s="1">
        <v>2.4836015024948099E-2</v>
      </c>
      <c r="F17874" s="1">
        <v>2.5281529373764801E-2</v>
      </c>
    </row>
    <row r="17875" spans="1:6" x14ac:dyDescent="0.25">
      <c r="A17875" s="2" t="str">
        <f t="shared" si="639"/>
        <v>44140</v>
      </c>
      <c r="B17875" s="2" t="str">
        <f>"01073"</f>
        <v>01073</v>
      </c>
      <c r="C17875" s="1">
        <v>8.1575148825902694E-3</v>
      </c>
      <c r="D17875" s="1">
        <v>3.3220338983050799E-3</v>
      </c>
      <c r="E17875" s="1">
        <v>3.1395414027022401E-3</v>
      </c>
      <c r="F17875" s="1">
        <v>7.5220488002496399E-3</v>
      </c>
    </row>
    <row r="17876" spans="1:6" x14ac:dyDescent="0.25">
      <c r="A17876" s="2" t="str">
        <f t="shared" si="639"/>
        <v>44140</v>
      </c>
      <c r="B17876" s="2" t="str">
        <f>"01057"</f>
        <v>01057</v>
      </c>
      <c r="C17876" s="1">
        <v>1.1251961545839601E-2</v>
      </c>
      <c r="D17876" s="1">
        <v>6.3050847457627101E-3</v>
      </c>
      <c r="E17876" s="1">
        <v>6.6154622414083004E-3</v>
      </c>
      <c r="F17876" s="1">
        <v>1.06261257069028E-2</v>
      </c>
    </row>
    <row r="17877" spans="1:6" x14ac:dyDescent="0.25">
      <c r="A17877" s="2" t="str">
        <f t="shared" si="639"/>
        <v>44140</v>
      </c>
      <c r="B17877" s="2" t="str">
        <f>"01036"</f>
        <v>01036</v>
      </c>
      <c r="C17877" s="1">
        <v>7.9027890901886503E-3</v>
      </c>
      <c r="D17877" s="1">
        <v>5.6949152542372797E-3</v>
      </c>
      <c r="E17877" s="1">
        <v>2.5228457700285901E-3</v>
      </c>
      <c r="F17877" s="1">
        <v>7.4618286133480696E-3</v>
      </c>
    </row>
    <row r="17878" spans="1:6" x14ac:dyDescent="0.25">
      <c r="A17878" s="2" t="str">
        <f t="shared" si="639"/>
        <v>44140</v>
      </c>
      <c r="B17878" s="2" t="str">
        <f>"01022"</f>
        <v>01022</v>
      </c>
      <c r="C17878" s="1">
        <v>3.9749802666129899E-3</v>
      </c>
      <c r="D17878" s="1">
        <v>3.0847457627118601E-3</v>
      </c>
      <c r="E17878" s="1">
        <v>5.6623871727308397E-3</v>
      </c>
      <c r="F17878" s="1">
        <v>3.9854814603942704E-3</v>
      </c>
    </row>
    <row r="17879" spans="1:6" x14ac:dyDescent="0.25">
      <c r="A17879" s="2" t="str">
        <f t="shared" si="639"/>
        <v>44140</v>
      </c>
      <c r="B17879" s="2" t="str">
        <f>"01007"</f>
        <v>01007</v>
      </c>
      <c r="C17879" s="1">
        <v>1.985603275585E-2</v>
      </c>
      <c r="D17879" s="1">
        <v>6.0000000000000001E-3</v>
      </c>
      <c r="E17879" s="1">
        <v>1.02595727981162E-2</v>
      </c>
      <c r="F17879" s="1">
        <v>1.8268614880955599E-2</v>
      </c>
    </row>
    <row r="17880" spans="1:6" x14ac:dyDescent="0.25">
      <c r="A17880" s="2" t="str">
        <f t="shared" si="639"/>
        <v>44140</v>
      </c>
      <c r="B17880" s="2" t="str">
        <f>"01012"</f>
        <v>01012</v>
      </c>
      <c r="C17880" s="1">
        <v>3.2076581265389598E-4</v>
      </c>
      <c r="D17880" s="1">
        <v>3.3898305084745701E-5</v>
      </c>
      <c r="E17880" s="1">
        <v>3.3637943600381198E-4</v>
      </c>
      <c r="F17880" s="1">
        <v>2.98363653285011E-4</v>
      </c>
    </row>
    <row r="17881" spans="1:6" x14ac:dyDescent="0.25">
      <c r="A17881" s="2" t="str">
        <f t="shared" si="639"/>
        <v>44140</v>
      </c>
      <c r="B17881" s="2" t="str">
        <f>"01002"</f>
        <v>01002</v>
      </c>
      <c r="C17881" s="1">
        <v>3.4976052630751299E-2</v>
      </c>
      <c r="D17881" s="1">
        <v>3.0203389830508399E-2</v>
      </c>
      <c r="E17881" s="1">
        <v>3.5431967259068199E-2</v>
      </c>
      <c r="F17881" s="1">
        <v>3.4612921062284002E-2</v>
      </c>
    </row>
    <row r="17882" spans="1:6" x14ac:dyDescent="0.25">
      <c r="A17882" s="2" t="str">
        <f t="shared" si="639"/>
        <v>44140</v>
      </c>
      <c r="B17882" s="2" t="str">
        <f>"01378"</f>
        <v>01378</v>
      </c>
      <c r="C17882" s="1">
        <v>1.2390365704474E-3</v>
      </c>
      <c r="D17882" s="1">
        <v>2.7118644067796599E-4</v>
      </c>
      <c r="E17882" s="1">
        <v>1.6818971800190599E-4</v>
      </c>
      <c r="F17882" s="1">
        <v>1.10859889523329E-3</v>
      </c>
    </row>
    <row r="17883" spans="1:6" x14ac:dyDescent="0.25">
      <c r="A17883" s="2" t="str">
        <f t="shared" si="639"/>
        <v>44140</v>
      </c>
      <c r="B17883" s="2" t="str">
        <f>"01367"</f>
        <v>01367</v>
      </c>
      <c r="C17883" s="1">
        <v>8.8996789197110502E-4</v>
      </c>
      <c r="D17883" s="1">
        <v>5.0847457627118601E-4</v>
      </c>
      <c r="E17883" s="1">
        <v>2.2425295733587399E-4</v>
      </c>
      <c r="F17883" s="1">
        <v>8.2665892928507605E-4</v>
      </c>
    </row>
    <row r="17884" spans="1:6" x14ac:dyDescent="0.25">
      <c r="A17884" s="2" t="str">
        <f t="shared" si="639"/>
        <v>44140</v>
      </c>
      <c r="B17884" s="2" t="str">
        <f>"01338"</f>
        <v>01338</v>
      </c>
      <c r="C17884" s="1">
        <v>1.6667243206525999E-4</v>
      </c>
      <c r="D17884" s="1">
        <v>3.3898305084745701E-5</v>
      </c>
      <c r="E17884" s="1">
        <v>9.5307506867746796E-4</v>
      </c>
      <c r="F17884" s="1">
        <v>1.9434696681867701E-4</v>
      </c>
    </row>
    <row r="17885" spans="1:6" x14ac:dyDescent="0.25">
      <c r="A17885" s="2" t="str">
        <f t="shared" si="639"/>
        <v>44140</v>
      </c>
      <c r="B17885" s="2" t="str">
        <f>"01350"</f>
        <v>01350</v>
      </c>
      <c r="C17885" s="1">
        <v>1.1321146328961E-4</v>
      </c>
      <c r="D17885" s="1">
        <v>2.3728813559322E-4</v>
      </c>
      <c r="E17885" s="1">
        <v>1.12126478667937E-4</v>
      </c>
      <c r="F17885" s="1">
        <v>1.2317765502592199E-4</v>
      </c>
    </row>
    <row r="17886" spans="1:6" x14ac:dyDescent="0.25">
      <c r="A17886" s="2" t="str">
        <f t="shared" si="639"/>
        <v>44140</v>
      </c>
      <c r="B17886" s="2" t="str">
        <f>"01354"</f>
        <v>01354</v>
      </c>
      <c r="C17886" s="1">
        <v>2.1447282767642901E-3</v>
      </c>
      <c r="D17886" s="1">
        <v>2.0677966101694898E-3</v>
      </c>
      <c r="E17886" s="1">
        <v>9.5307506867746796E-4</v>
      </c>
      <c r="F17886" s="1">
        <v>2.08033372932668E-3</v>
      </c>
    </row>
    <row r="17887" spans="1:6" x14ac:dyDescent="0.25">
      <c r="A17887" s="2" t="str">
        <f t="shared" si="639"/>
        <v>44140</v>
      </c>
      <c r="B17887" s="2" t="str">
        <f>"01364"</f>
        <v>01364</v>
      </c>
      <c r="C17887" s="1">
        <v>1.14375025551198E-2</v>
      </c>
      <c r="D17887" s="1">
        <v>1.2474576271186401E-2</v>
      </c>
      <c r="E17887" s="1">
        <v>1.1156584627459699E-2</v>
      </c>
      <c r="F17887" s="1">
        <v>1.1507530260643901E-2</v>
      </c>
    </row>
    <row r="17888" spans="1:6" x14ac:dyDescent="0.25">
      <c r="A17888" s="2" t="str">
        <f t="shared" si="639"/>
        <v>44140</v>
      </c>
      <c r="B17888" s="2" t="str">
        <f>"01243"</f>
        <v>01243</v>
      </c>
      <c r="C17888" s="1">
        <v>0</v>
      </c>
      <c r="D17888" s="1">
        <v>6.7796610169491497E-5</v>
      </c>
      <c r="E17888" s="1">
        <v>6.7275887200762396E-4</v>
      </c>
      <c r="F17888" s="1">
        <v>3.8321937119175697E-5</v>
      </c>
    </row>
    <row r="17889" spans="1:6" x14ac:dyDescent="0.25">
      <c r="A17889" s="2" t="str">
        <f t="shared" si="639"/>
        <v>44140</v>
      </c>
      <c r="B17889" s="2" t="str">
        <f>"01235"</f>
        <v>01235</v>
      </c>
      <c r="C17889" s="1">
        <v>1.2579051476623401E-4</v>
      </c>
      <c r="D17889" s="1">
        <v>3.3898305084745701E-5</v>
      </c>
      <c r="E17889" s="1">
        <v>0</v>
      </c>
      <c r="F17889" s="1">
        <v>1.12228530134728E-4</v>
      </c>
    </row>
    <row r="17890" spans="1:6" x14ac:dyDescent="0.25">
      <c r="A17890" s="2" t="str">
        <f t="shared" si="639"/>
        <v>44140</v>
      </c>
      <c r="B17890" s="2" t="str">
        <f>"01129"</f>
        <v>01129</v>
      </c>
      <c r="C17890" s="1">
        <v>9.6827248741308599E-3</v>
      </c>
      <c r="D17890" s="1">
        <v>9.7288135593220307E-3</v>
      </c>
      <c r="E17890" s="1">
        <v>3.3637943600381198E-3</v>
      </c>
      <c r="F17890" s="1">
        <v>9.3779254693068595E-3</v>
      </c>
    </row>
    <row r="17891" spans="1:6" x14ac:dyDescent="0.25">
      <c r="A17891" s="2" t="str">
        <f t="shared" si="639"/>
        <v>44140</v>
      </c>
      <c r="B17891" s="2" t="str">
        <f>"01106"</f>
        <v>01106</v>
      </c>
      <c r="C17891" s="1">
        <v>1.9484950737289598E-2</v>
      </c>
      <c r="D17891" s="1">
        <v>9.0847457627118607E-3</v>
      </c>
      <c r="E17891" s="1">
        <v>3.1395414027022401E-3</v>
      </c>
      <c r="F17891" s="1">
        <v>1.7847073572644701E-2</v>
      </c>
    </row>
    <row r="17892" spans="1:6" x14ac:dyDescent="0.25">
      <c r="A17892" s="2" t="str">
        <f t="shared" si="639"/>
        <v>44140</v>
      </c>
      <c r="B17892" s="2" t="str">
        <f>"01077"</f>
        <v>01077</v>
      </c>
      <c r="C17892" s="1">
        <v>1.2733144857211999E-2</v>
      </c>
      <c r="D17892" s="1">
        <v>7.5254237288135501E-3</v>
      </c>
      <c r="E17892" s="1">
        <v>2.6349722486965202E-3</v>
      </c>
      <c r="F17892" s="1">
        <v>1.18195803200429E-2</v>
      </c>
    </row>
    <row r="17893" spans="1:6" x14ac:dyDescent="0.25">
      <c r="A17893" s="2" t="str">
        <f t="shared" si="639"/>
        <v>44140</v>
      </c>
      <c r="B17893" s="2" t="str">
        <f>"01028"</f>
        <v>01028</v>
      </c>
      <c r="C17893" s="1">
        <v>2.29095975018003E-2</v>
      </c>
      <c r="D17893" s="1">
        <v>2.9288135593220299E-2</v>
      </c>
      <c r="E17893" s="1">
        <v>4.5411223860514598E-3</v>
      </c>
      <c r="F17893" s="1">
        <v>2.2527824463629699E-2</v>
      </c>
    </row>
    <row r="17894" spans="1:6" x14ac:dyDescent="0.25">
      <c r="A17894" s="2" t="str">
        <f t="shared" si="639"/>
        <v>44140</v>
      </c>
      <c r="B17894" s="2" t="str">
        <f>"01001"</f>
        <v>01001</v>
      </c>
      <c r="C17894" s="1">
        <v>2.5793345052816202E-2</v>
      </c>
      <c r="D17894" s="1">
        <v>2.9084745762711799E-2</v>
      </c>
      <c r="E17894" s="1">
        <v>1.28384818074788E-2</v>
      </c>
      <c r="F17894" s="1">
        <v>2.54266052785731E-2</v>
      </c>
    </row>
    <row r="17895" spans="1:6" x14ac:dyDescent="0.25">
      <c r="A17895" s="2" t="str">
        <f t="shared" si="639"/>
        <v>44140</v>
      </c>
      <c r="B17895" s="2" t="str">
        <f>"01349"</f>
        <v>01349</v>
      </c>
      <c r="C17895" s="1">
        <v>1.3019318278305199E-3</v>
      </c>
      <c r="D17895" s="1">
        <v>8.4745762711864404E-4</v>
      </c>
      <c r="E17895" s="1">
        <v>1.23339126534731E-3</v>
      </c>
      <c r="F17895" s="1">
        <v>1.2618866437100001E-3</v>
      </c>
    </row>
    <row r="17896" spans="1:6" x14ac:dyDescent="0.25">
      <c r="A17896" s="2" t="str">
        <f t="shared" si="639"/>
        <v>44140</v>
      </c>
      <c r="B17896" s="2" t="str">
        <f>"01247"</f>
        <v>01247</v>
      </c>
      <c r="C17896" s="1">
        <v>8.8053360336363794E-5</v>
      </c>
      <c r="D17896" s="1">
        <v>0</v>
      </c>
      <c r="E17896" s="1">
        <v>0</v>
      </c>
      <c r="F17896" s="1">
        <v>7.6643874238351394E-5</v>
      </c>
    </row>
    <row r="17897" spans="1:6" x14ac:dyDescent="0.25">
      <c r="A17897" s="2" t="str">
        <f t="shared" si="639"/>
        <v>44140</v>
      </c>
      <c r="B17897" s="2" t="str">
        <f>"01116"</f>
        <v>01116</v>
      </c>
      <c r="C17897" s="1">
        <v>1.37111661095195E-3</v>
      </c>
      <c r="D17897" s="1">
        <v>4.4745762711864397E-3</v>
      </c>
      <c r="E17897" s="1">
        <v>1.12126478667937E-4</v>
      </c>
      <c r="F17897" s="1">
        <v>1.56025029699501E-3</v>
      </c>
    </row>
    <row r="17898" spans="1:6" x14ac:dyDescent="0.25">
      <c r="A17898" s="2" t="str">
        <f t="shared" ref="A17898:A17929" si="640">"44140"</f>
        <v>44140</v>
      </c>
      <c r="B17898" s="2" t="str">
        <f>"01138"</f>
        <v>01138</v>
      </c>
      <c r="C17898" s="1">
        <v>3.7076754227347401E-3</v>
      </c>
      <c r="D17898" s="1">
        <v>4.7118644067796599E-3</v>
      </c>
      <c r="E17898" s="1">
        <v>1.12126478667937E-4</v>
      </c>
      <c r="F17898" s="1">
        <v>3.6132112140937101E-3</v>
      </c>
    </row>
    <row r="17899" spans="1:6" x14ac:dyDescent="0.25">
      <c r="A17899" s="2" t="str">
        <f t="shared" si="640"/>
        <v>44140</v>
      </c>
      <c r="B17899" s="2" t="str">
        <f>"01103"</f>
        <v>01103</v>
      </c>
      <c r="C17899" s="1">
        <v>5.34295211469579E-3</v>
      </c>
      <c r="D17899" s="1">
        <v>4.5796610169491499E-2</v>
      </c>
      <c r="E17899" s="1">
        <v>1.0203509558782299E-2</v>
      </c>
      <c r="F17899" s="1">
        <v>8.8468929120840006E-3</v>
      </c>
    </row>
    <row r="17900" spans="1:6" x14ac:dyDescent="0.25">
      <c r="A17900" s="2" t="str">
        <f t="shared" si="640"/>
        <v>44140</v>
      </c>
      <c r="B17900" s="2" t="str">
        <f>"01096"</f>
        <v>01096</v>
      </c>
      <c r="C17900" s="1">
        <v>3.37747532147338E-3</v>
      </c>
      <c r="D17900" s="1">
        <v>5.7627118644067697E-4</v>
      </c>
      <c r="E17900" s="1">
        <v>1.23339126534731E-3</v>
      </c>
      <c r="F17900" s="1">
        <v>3.0465940009744702E-3</v>
      </c>
    </row>
    <row r="17901" spans="1:6" x14ac:dyDescent="0.25">
      <c r="A17901" s="2" t="str">
        <f t="shared" si="640"/>
        <v>44140</v>
      </c>
      <c r="B17901" s="2" t="str">
        <f>"01104"</f>
        <v>01104</v>
      </c>
      <c r="C17901" s="1">
        <v>3.05041998308117E-2</v>
      </c>
      <c r="D17901" s="1">
        <v>3.1050847457627099E-2</v>
      </c>
      <c r="E17901" s="1">
        <v>2.4667825306946198E-2</v>
      </c>
      <c r="F17901" s="1">
        <v>3.0263381199257599E-2</v>
      </c>
    </row>
    <row r="17902" spans="1:6" x14ac:dyDescent="0.25">
      <c r="A17902" s="2" t="str">
        <f t="shared" si="640"/>
        <v>44140</v>
      </c>
      <c r="B17902" s="2" t="str">
        <f>"01089"</f>
        <v>01089</v>
      </c>
      <c r="C17902" s="1">
        <v>4.0611467692278601E-2</v>
      </c>
      <c r="D17902" s="1">
        <v>5.7016949152542303E-2</v>
      </c>
      <c r="E17902" s="1">
        <v>4.7373437237203497E-2</v>
      </c>
      <c r="F17902" s="1">
        <v>4.2266359361228002E-2</v>
      </c>
    </row>
    <row r="17903" spans="1:6" x14ac:dyDescent="0.25">
      <c r="A17903" s="2" t="str">
        <f t="shared" si="640"/>
        <v>44140</v>
      </c>
      <c r="B17903" s="2" t="str">
        <f>"01084"</f>
        <v>01084</v>
      </c>
      <c r="C17903" s="1">
        <v>1.5094861771948001E-4</v>
      </c>
      <c r="D17903" s="1">
        <v>0</v>
      </c>
      <c r="E17903" s="1">
        <v>1.12126478667937E-4</v>
      </c>
      <c r="F17903" s="1">
        <v>1.3686406113991301E-4</v>
      </c>
    </row>
    <row r="17904" spans="1:6" x14ac:dyDescent="0.25">
      <c r="A17904" s="2" t="str">
        <f t="shared" si="640"/>
        <v>44140</v>
      </c>
      <c r="B17904" s="2" t="str">
        <f>"01081"</f>
        <v>01081</v>
      </c>
      <c r="C17904" s="1">
        <v>2.82085229363279E-3</v>
      </c>
      <c r="D17904" s="1">
        <v>8.4745762711864404E-4</v>
      </c>
      <c r="E17904" s="1">
        <v>3.9244267533778099E-4</v>
      </c>
      <c r="F17904" s="1">
        <v>2.5429342559795901E-3</v>
      </c>
    </row>
    <row r="17905" spans="1:6" x14ac:dyDescent="0.25">
      <c r="A17905" s="2" t="str">
        <f t="shared" si="640"/>
        <v>44140</v>
      </c>
      <c r="B17905" s="2" t="str">
        <f>"01032"</f>
        <v>01032</v>
      </c>
      <c r="C17905" s="1">
        <v>2.7359436961655898E-4</v>
      </c>
      <c r="D17905" s="1">
        <v>1.01694915254237E-4</v>
      </c>
      <c r="E17905" s="1">
        <v>3.7562370353759001E-3</v>
      </c>
      <c r="F17905" s="1">
        <v>4.29753151979328E-4</v>
      </c>
    </row>
    <row r="17906" spans="1:6" x14ac:dyDescent="0.25">
      <c r="A17906" s="2" t="str">
        <f t="shared" si="640"/>
        <v>44140</v>
      </c>
      <c r="B17906" s="2" t="str">
        <f>"01026"</f>
        <v>01026</v>
      </c>
      <c r="C17906" s="1">
        <v>1.6604347949142799E-3</v>
      </c>
      <c r="D17906" s="1">
        <v>8.8135593220338903E-4</v>
      </c>
      <c r="E17906" s="1">
        <v>1.28945450468128E-3</v>
      </c>
      <c r="F17906" s="1">
        <v>1.5794112655546E-3</v>
      </c>
    </row>
    <row r="17907" spans="1:6" x14ac:dyDescent="0.25">
      <c r="A17907" s="2" t="str">
        <f t="shared" si="640"/>
        <v>44140</v>
      </c>
      <c r="B17907" s="2" t="str">
        <f>"01013"</f>
        <v>01013</v>
      </c>
      <c r="C17907" s="1">
        <v>3.3284170207145497E-2</v>
      </c>
      <c r="D17907" s="1">
        <v>2.3525423728813499E-2</v>
      </c>
      <c r="E17907" s="1">
        <v>4.8606828502550797E-2</v>
      </c>
      <c r="F17907" s="1">
        <v>3.32442804508849E-2</v>
      </c>
    </row>
    <row r="17908" spans="1:6" x14ac:dyDescent="0.25">
      <c r="A17908" s="2" t="str">
        <f t="shared" si="640"/>
        <v>44140</v>
      </c>
      <c r="B17908" s="2" t="str">
        <f>"01379"</f>
        <v>01379</v>
      </c>
      <c r="C17908" s="1">
        <v>1.1667070244568199E-3</v>
      </c>
      <c r="D17908" s="1">
        <v>3.3898305084745701E-5</v>
      </c>
      <c r="E17908" s="1">
        <v>7.2882211134159302E-4</v>
      </c>
      <c r="F17908" s="1">
        <v>1.05385327077733E-3</v>
      </c>
    </row>
    <row r="17909" spans="1:6" x14ac:dyDescent="0.25">
      <c r="A17909" s="2" t="str">
        <f t="shared" si="640"/>
        <v>44140</v>
      </c>
      <c r="B17909" s="2" t="str">
        <f>"01370"</f>
        <v>01370</v>
      </c>
      <c r="C17909" s="1">
        <v>6.5662648707974103E-3</v>
      </c>
      <c r="D17909" s="1">
        <v>7.8983050847457603E-3</v>
      </c>
      <c r="E17909" s="1">
        <v>6.3351460447384602E-3</v>
      </c>
      <c r="F17909" s="1">
        <v>6.6625424962909801E-3</v>
      </c>
    </row>
    <row r="17910" spans="1:6" x14ac:dyDescent="0.25">
      <c r="A17910" s="2" t="str">
        <f t="shared" si="640"/>
        <v>44140</v>
      </c>
      <c r="B17910" s="2" t="str">
        <f>"01115"</f>
        <v>01115</v>
      </c>
      <c r="C17910" s="1">
        <v>0</v>
      </c>
      <c r="D17910" s="1">
        <v>2.3389830508474502E-3</v>
      </c>
      <c r="E17910" s="1">
        <v>5.6063239333968702E-5</v>
      </c>
      <c r="F17910" s="1">
        <v>1.91609685595878E-4</v>
      </c>
    </row>
    <row r="17911" spans="1:6" x14ac:dyDescent="0.25">
      <c r="A17911" s="2" t="str">
        <f t="shared" si="640"/>
        <v>44140</v>
      </c>
      <c r="B17911" s="2" t="str">
        <f>"01109"</f>
        <v>01109</v>
      </c>
      <c r="C17911" s="1">
        <v>3.4856551641723403E-2</v>
      </c>
      <c r="D17911" s="1">
        <v>1.9864406779661E-2</v>
      </c>
      <c r="E17911" s="1">
        <v>3.0386275719011001E-2</v>
      </c>
      <c r="F17911" s="1">
        <v>3.3427678292812402E-2</v>
      </c>
    </row>
    <row r="17912" spans="1:6" x14ac:dyDescent="0.25">
      <c r="A17912" s="2" t="str">
        <f t="shared" si="640"/>
        <v>44140</v>
      </c>
      <c r="B17912" s="2" t="str">
        <f>"01093"</f>
        <v>01093</v>
      </c>
      <c r="C17912" s="1">
        <v>0</v>
      </c>
      <c r="D17912" s="1">
        <v>0</v>
      </c>
      <c r="E17912" s="1">
        <v>7.2882211134159302E-4</v>
      </c>
      <c r="F17912" s="1">
        <v>3.5584655896377402E-5</v>
      </c>
    </row>
    <row r="17913" spans="1:6" x14ac:dyDescent="0.25">
      <c r="A17913" s="2" t="str">
        <f t="shared" si="640"/>
        <v>44140</v>
      </c>
      <c r="B17913" s="2" t="str">
        <f>"01069"</f>
        <v>01069</v>
      </c>
      <c r="C17913" s="1">
        <v>1.2229982798147101E-2</v>
      </c>
      <c r="D17913" s="1">
        <v>1.50508474576271E-2</v>
      </c>
      <c r="E17913" s="1">
        <v>1.14929640634635E-2</v>
      </c>
      <c r="F17913" s="1">
        <v>1.2421782189058501E-2</v>
      </c>
    </row>
    <row r="17914" spans="1:6" x14ac:dyDescent="0.25">
      <c r="A17914" s="2" t="str">
        <f t="shared" si="640"/>
        <v>44140</v>
      </c>
      <c r="B17914" s="2" t="str">
        <f>"01063"</f>
        <v>01063</v>
      </c>
      <c r="C17914" s="1">
        <v>0</v>
      </c>
      <c r="D17914" s="1">
        <v>3.2542372881355901E-3</v>
      </c>
      <c r="E17914" s="1">
        <v>5.6063239333968702E-5</v>
      </c>
      <c r="F17914" s="1">
        <v>2.65516278611431E-4</v>
      </c>
    </row>
    <row r="17915" spans="1:6" x14ac:dyDescent="0.25">
      <c r="A17915" s="2" t="str">
        <f t="shared" si="640"/>
        <v>44140</v>
      </c>
      <c r="B17915" s="2" t="str">
        <f>"01053"</f>
        <v>01053</v>
      </c>
      <c r="C17915" s="1">
        <v>2.5158102953246799E-3</v>
      </c>
      <c r="D17915" s="1">
        <v>9.15254237288135E-4</v>
      </c>
      <c r="E17915" s="1">
        <v>3.64411055670796E-3</v>
      </c>
      <c r="F17915" s="1">
        <v>2.4416548507360499E-3</v>
      </c>
    </row>
    <row r="17916" spans="1:6" x14ac:dyDescent="0.25">
      <c r="A17916" s="2" t="str">
        <f t="shared" si="640"/>
        <v>44140</v>
      </c>
      <c r="B17916" s="2" t="str">
        <f>"01009"</f>
        <v>01009</v>
      </c>
      <c r="C17916" s="1">
        <v>0</v>
      </c>
      <c r="D17916" s="1">
        <v>3.3898305084745701E-5</v>
      </c>
      <c r="E17916" s="1">
        <v>3.0442338958345E-2</v>
      </c>
      <c r="F17916" s="1">
        <v>1.4890809852022499E-3</v>
      </c>
    </row>
    <row r="17917" spans="1:6" x14ac:dyDescent="0.25">
      <c r="A17917" s="2" t="str">
        <f t="shared" si="640"/>
        <v>44140</v>
      </c>
      <c r="B17917" s="2" t="str">
        <f>"01375"</f>
        <v>01375</v>
      </c>
      <c r="C17917" s="1">
        <v>5.4876112066769601E-3</v>
      </c>
      <c r="D17917" s="1">
        <v>2.5084745762711802E-3</v>
      </c>
      <c r="E17917" s="1">
        <v>3.9244267533778097E-3</v>
      </c>
      <c r="F17917" s="1">
        <v>5.1707242298659204E-3</v>
      </c>
    </row>
    <row r="17918" spans="1:6" x14ac:dyDescent="0.25">
      <c r="A17918" s="2" t="str">
        <f t="shared" si="640"/>
        <v>44140</v>
      </c>
      <c r="B17918" s="2" t="str">
        <f>"01302"</f>
        <v>01302</v>
      </c>
      <c r="C17918" s="1">
        <v>2.82085229363279E-3</v>
      </c>
      <c r="D17918" s="1">
        <v>9.3559322033898301E-3</v>
      </c>
      <c r="E17918" s="1">
        <v>1.12126478667937E-4</v>
      </c>
      <c r="F17918" s="1">
        <v>3.21630543678796E-3</v>
      </c>
    </row>
    <row r="17919" spans="1:6" x14ac:dyDescent="0.25">
      <c r="A17919" s="2" t="str">
        <f t="shared" si="640"/>
        <v>44140</v>
      </c>
      <c r="B17919" s="2" t="str">
        <f>"01360"</f>
        <v>01360</v>
      </c>
      <c r="C17919" s="1">
        <v>4.4938661400237096E-3</v>
      </c>
      <c r="D17919" s="1">
        <v>2.6440677966101602E-3</v>
      </c>
      <c r="E17919" s="1">
        <v>2.46678253069462E-3</v>
      </c>
      <c r="F17919" s="1">
        <v>4.2455231765601096E-3</v>
      </c>
    </row>
    <row r="17920" spans="1:6" x14ac:dyDescent="0.25">
      <c r="A17920" s="2" t="str">
        <f t="shared" si="640"/>
        <v>44140</v>
      </c>
      <c r="B17920" s="2" t="str">
        <f>"01351"</f>
        <v>01351</v>
      </c>
      <c r="C17920" s="1">
        <v>3.2925667240061699E-3</v>
      </c>
      <c r="D17920" s="1">
        <v>8.1355932203389797E-4</v>
      </c>
      <c r="E17920" s="1">
        <v>8.9701182934349901E-4</v>
      </c>
      <c r="F17920" s="1">
        <v>2.9754246891817099E-3</v>
      </c>
    </row>
    <row r="17921" spans="1:6" x14ac:dyDescent="0.25">
      <c r="A17921" s="2" t="str">
        <f t="shared" si="640"/>
        <v>44140</v>
      </c>
      <c r="B17921" s="2" t="str">
        <f>"01139"</f>
        <v>01139</v>
      </c>
      <c r="C17921" s="1">
        <v>3.1982238379314998E-3</v>
      </c>
      <c r="D17921" s="1">
        <v>4.2372881355932203E-3</v>
      </c>
      <c r="E17921" s="1">
        <v>1.12126478667937E-4</v>
      </c>
      <c r="F17921" s="1">
        <v>3.1314497188812099E-3</v>
      </c>
    </row>
    <row r="17922" spans="1:6" x14ac:dyDescent="0.25">
      <c r="A17922" s="2" t="str">
        <f t="shared" si="640"/>
        <v>44140</v>
      </c>
      <c r="B17922" s="2" t="str">
        <f>"01108"</f>
        <v>01108</v>
      </c>
      <c r="C17922" s="1">
        <v>3.4082939975911102E-2</v>
      </c>
      <c r="D17922" s="1">
        <v>1.7864406779660998E-2</v>
      </c>
      <c r="E17922" s="1">
        <v>5.3035824409934401E-2</v>
      </c>
      <c r="F17922" s="1">
        <v>3.3698669133869402E-2</v>
      </c>
    </row>
    <row r="17923" spans="1:6" x14ac:dyDescent="0.25">
      <c r="A17923" s="2" t="str">
        <f t="shared" si="640"/>
        <v>44140</v>
      </c>
      <c r="B17923" s="2" t="str">
        <f>"01090"</f>
        <v>01090</v>
      </c>
      <c r="C17923" s="1">
        <v>2.5283893468013002E-3</v>
      </c>
      <c r="D17923" s="1">
        <v>7.9322033898305E-3</v>
      </c>
      <c r="E17923" s="1">
        <v>5.6063239333968702E-5</v>
      </c>
      <c r="F17923" s="1">
        <v>2.8440351904874001E-3</v>
      </c>
    </row>
    <row r="17924" spans="1:6" x14ac:dyDescent="0.25">
      <c r="A17924" s="2" t="str">
        <f t="shared" si="640"/>
        <v>44140</v>
      </c>
      <c r="B17924" s="2" t="str">
        <f>"01095"</f>
        <v>01095</v>
      </c>
      <c r="C17924" s="1">
        <v>2.0456682463858799E-2</v>
      </c>
      <c r="D17924" s="1">
        <v>1.8067796610169402E-2</v>
      </c>
      <c r="E17924" s="1">
        <v>5.1017547793911497E-3</v>
      </c>
      <c r="F17924" s="1">
        <v>1.9514077837328801E-2</v>
      </c>
    </row>
    <row r="17925" spans="1:6" x14ac:dyDescent="0.25">
      <c r="A17925" s="2" t="str">
        <f t="shared" si="640"/>
        <v>44140</v>
      </c>
      <c r="B17925" s="2" t="str">
        <f>"01085"</f>
        <v>01085</v>
      </c>
      <c r="C17925" s="1">
        <v>5.4869822541031198E-2</v>
      </c>
      <c r="D17925" s="1">
        <v>4.8779661016949097E-2</v>
      </c>
      <c r="E17925" s="1">
        <v>4.8775018220552697E-2</v>
      </c>
      <c r="F17925" s="1">
        <v>5.4080465118825298E-2</v>
      </c>
    </row>
    <row r="17926" spans="1:6" x14ac:dyDescent="0.25">
      <c r="A17926" s="2" t="str">
        <f t="shared" si="640"/>
        <v>44140</v>
      </c>
      <c r="B17926" s="2" t="str">
        <f>"01079"</f>
        <v>01079</v>
      </c>
      <c r="C17926" s="1">
        <v>0</v>
      </c>
      <c r="D17926" s="1">
        <v>3.3898305084745701E-5</v>
      </c>
      <c r="E17926" s="1">
        <v>1.9734260245556901E-2</v>
      </c>
      <c r="F17926" s="1">
        <v>9.6626027164778796E-4</v>
      </c>
    </row>
    <row r="17927" spans="1:6" x14ac:dyDescent="0.25">
      <c r="A17927" s="2" t="str">
        <f t="shared" si="640"/>
        <v>44140</v>
      </c>
      <c r="B17927" s="2" t="str">
        <f>"01071"</f>
        <v>01071</v>
      </c>
      <c r="C17927" s="1">
        <v>1.0409165096905799E-3</v>
      </c>
      <c r="D17927" s="1">
        <v>2.7118644067796599E-4</v>
      </c>
      <c r="E17927" s="1">
        <v>1.64825923641868E-2</v>
      </c>
      <c r="F17927" s="1">
        <v>1.7326990140313001E-3</v>
      </c>
    </row>
    <row r="17928" spans="1:6" x14ac:dyDescent="0.25">
      <c r="A17928" s="2" t="str">
        <f t="shared" si="640"/>
        <v>44140</v>
      </c>
      <c r="B17928" s="2" t="str">
        <f>"01054"</f>
        <v>01054</v>
      </c>
      <c r="C17928" s="1">
        <v>2.5095207695863598E-3</v>
      </c>
      <c r="D17928" s="1">
        <v>4.4067796610169397E-4</v>
      </c>
      <c r="E17928" s="1">
        <v>1.0091383080114301E-3</v>
      </c>
      <c r="F17928" s="1">
        <v>2.2692061336997602E-3</v>
      </c>
    </row>
    <row r="17929" spans="1:6" x14ac:dyDescent="0.25">
      <c r="A17929" s="2" t="str">
        <f t="shared" si="640"/>
        <v>44140</v>
      </c>
      <c r="B17929" s="2" t="str">
        <f>"01030"</f>
        <v>01030</v>
      </c>
      <c r="C17929" s="1">
        <v>1.7047759513693798E-2</v>
      </c>
      <c r="D17929" s="1">
        <v>1.2644067796610099E-2</v>
      </c>
      <c r="E17929" s="1">
        <v>6.67152548074227E-3</v>
      </c>
      <c r="F17929" s="1">
        <v>1.6185543870406102E-2</v>
      </c>
    </row>
    <row r="17930" spans="1:6" x14ac:dyDescent="0.25">
      <c r="A17930" s="2" t="str">
        <f t="shared" ref="A17930:A17948" si="641">"44140"</f>
        <v>44140</v>
      </c>
      <c r="B17930" s="2" t="str">
        <f>"01040"</f>
        <v>01040</v>
      </c>
      <c r="C17930" s="1">
        <v>5.3026991499705897E-2</v>
      </c>
      <c r="D17930" s="1">
        <v>6.8305084745762704E-2</v>
      </c>
      <c r="E17930" s="1">
        <v>9.07663844816953E-2</v>
      </c>
      <c r="F17930" s="1">
        <v>5.6103315942473198E-2</v>
      </c>
    </row>
    <row r="17931" spans="1:6" x14ac:dyDescent="0.25">
      <c r="A17931" s="2" t="str">
        <f t="shared" si="641"/>
        <v>44140</v>
      </c>
      <c r="B17931" s="2" t="str">
        <f>"01021"</f>
        <v>01021</v>
      </c>
      <c r="C17931" s="1">
        <v>3.2485400438379899E-3</v>
      </c>
      <c r="D17931" s="1">
        <v>6.0338983050847398E-3</v>
      </c>
      <c r="E17931" s="1">
        <v>1.12126478667937E-4</v>
      </c>
      <c r="F17931" s="1">
        <v>3.3203221232542901E-3</v>
      </c>
    </row>
    <row r="17932" spans="1:6" x14ac:dyDescent="0.25">
      <c r="A17932" s="2" t="str">
        <f t="shared" si="641"/>
        <v>44140</v>
      </c>
      <c r="B17932" s="2" t="str">
        <f>"01011"</f>
        <v>01011</v>
      </c>
      <c r="C17932" s="1">
        <v>1.64471098056851E-3</v>
      </c>
      <c r="D17932" s="1">
        <v>1.2542372881355901E-3</v>
      </c>
      <c r="E17932" s="1">
        <v>8.4094859000952995E-4</v>
      </c>
      <c r="F17932" s="1">
        <v>1.573936703109E-3</v>
      </c>
    </row>
    <row r="17933" spans="1:6" x14ac:dyDescent="0.25">
      <c r="A17933" s="2" t="str">
        <f t="shared" si="641"/>
        <v>44140</v>
      </c>
      <c r="B17933" s="2" t="str">
        <f>"01004"</f>
        <v>01004</v>
      </c>
      <c r="C17933" s="1">
        <v>6.2329200066668904E-3</v>
      </c>
      <c r="D17933" s="1">
        <v>1.0711864406779599E-2</v>
      </c>
      <c r="E17933" s="1">
        <v>2.2425295733587399E-4</v>
      </c>
      <c r="F17933" s="1">
        <v>6.3012213748816102E-3</v>
      </c>
    </row>
    <row r="17934" spans="1:6" x14ac:dyDescent="0.25">
      <c r="A17934" s="2" t="str">
        <f t="shared" si="641"/>
        <v>44140</v>
      </c>
      <c r="B17934" s="2" t="str">
        <f>"01521"</f>
        <v>01521</v>
      </c>
      <c r="C17934" s="1">
        <v>4.0598888640802E-3</v>
      </c>
      <c r="D17934" s="1">
        <v>6.7796610169491497E-4</v>
      </c>
      <c r="E17934" s="1">
        <v>8.9701182934349901E-4</v>
      </c>
      <c r="F17934" s="1">
        <v>3.6323721826533001E-3</v>
      </c>
    </row>
    <row r="17935" spans="1:6" x14ac:dyDescent="0.25">
      <c r="A17935" s="2" t="str">
        <f t="shared" si="641"/>
        <v>44140</v>
      </c>
      <c r="B17935" s="2" t="str">
        <f>"01355"</f>
        <v>01355</v>
      </c>
      <c r="C17935" s="1">
        <v>1.31451087930714E-3</v>
      </c>
      <c r="D17935" s="1">
        <v>7.4576271186440604E-4</v>
      </c>
      <c r="E17935" s="1">
        <v>1.12126478667937E-4</v>
      </c>
      <c r="F17935" s="1">
        <v>1.20987830047683E-3</v>
      </c>
    </row>
    <row r="17936" spans="1:6" x14ac:dyDescent="0.25">
      <c r="A17936" s="2" t="str">
        <f t="shared" si="641"/>
        <v>44140</v>
      </c>
      <c r="B17936" s="2" t="str">
        <f>"01344"</f>
        <v>01344</v>
      </c>
      <c r="C17936" s="1">
        <v>2.2736635543996798E-3</v>
      </c>
      <c r="D17936" s="1">
        <v>1.1186440677966099E-3</v>
      </c>
      <c r="E17936" s="1">
        <v>9.5307506867746796E-4</v>
      </c>
      <c r="F17936" s="1">
        <v>2.1159183852230601E-3</v>
      </c>
    </row>
    <row r="17937" spans="1:6" x14ac:dyDescent="0.25">
      <c r="A17937" s="2" t="str">
        <f t="shared" si="641"/>
        <v>44140</v>
      </c>
      <c r="B17937" s="2" t="str">
        <f>"01342"</f>
        <v>01342</v>
      </c>
      <c r="C17937" s="1">
        <v>1.3302346936529201E-3</v>
      </c>
      <c r="D17937" s="1">
        <v>9.4915254237288096E-4</v>
      </c>
      <c r="E17937" s="1">
        <v>1.40718730728261E-2</v>
      </c>
      <c r="F17937" s="1">
        <v>1.9215714184043799E-3</v>
      </c>
    </row>
    <row r="17938" spans="1:6" x14ac:dyDescent="0.25">
      <c r="A17938" s="2" t="str">
        <f t="shared" si="641"/>
        <v>44140</v>
      </c>
      <c r="B17938" s="2" t="str">
        <f>"01301"</f>
        <v>01301</v>
      </c>
      <c r="C17938" s="1">
        <v>2.75984389397117E-2</v>
      </c>
      <c r="D17938" s="1">
        <v>3.46779661016949E-2</v>
      </c>
      <c r="E17938" s="1">
        <v>3.62729158490777E-2</v>
      </c>
      <c r="F17938" s="1">
        <v>2.85936396533507E-2</v>
      </c>
    </row>
    <row r="17939" spans="1:6" x14ac:dyDescent="0.25">
      <c r="A17939" s="2" t="str">
        <f t="shared" si="641"/>
        <v>44140</v>
      </c>
      <c r="B17939" s="2" t="str">
        <f>"01223"</f>
        <v>01223</v>
      </c>
      <c r="C17939" s="1">
        <v>6.2895257383117001E-6</v>
      </c>
      <c r="D17939" s="1">
        <v>0</v>
      </c>
      <c r="E17939" s="1">
        <v>0</v>
      </c>
      <c r="F17939" s="1">
        <v>5.4745624455965298E-6</v>
      </c>
    </row>
    <row r="17940" spans="1:6" x14ac:dyDescent="0.25">
      <c r="A17940" s="2" t="str">
        <f t="shared" si="641"/>
        <v>44140</v>
      </c>
      <c r="B17940" s="2" t="str">
        <f>"01118"</f>
        <v>01118</v>
      </c>
      <c r="C17940" s="1">
        <v>1.88654324520659E-2</v>
      </c>
      <c r="D17940" s="1">
        <v>5.2542372881355902E-3</v>
      </c>
      <c r="E17940" s="1">
        <v>2.7470987273644598E-3</v>
      </c>
      <c r="F17940" s="1">
        <v>1.6979355425017599E-2</v>
      </c>
    </row>
    <row r="17941" spans="1:6" x14ac:dyDescent="0.25">
      <c r="A17941" s="2" t="str">
        <f t="shared" si="641"/>
        <v>44140</v>
      </c>
      <c r="B17941" s="2" t="str">
        <f>"01105"</f>
        <v>01105</v>
      </c>
      <c r="C17941" s="1">
        <v>1.83371122900477E-2</v>
      </c>
      <c r="D17941" s="1">
        <v>2.4644067796610099E-2</v>
      </c>
      <c r="E17941" s="1">
        <v>5.1185737511913403E-2</v>
      </c>
      <c r="F17941" s="1">
        <v>2.04502280155258E-2</v>
      </c>
    </row>
    <row r="17942" spans="1:6" x14ac:dyDescent="0.25">
      <c r="A17942" s="2" t="str">
        <f t="shared" si="641"/>
        <v>44140</v>
      </c>
      <c r="B17942" s="2" t="str">
        <f>"01101"</f>
        <v>01101</v>
      </c>
      <c r="C17942" s="1">
        <v>9.4248543188600806E-3</v>
      </c>
      <c r="D17942" s="1">
        <v>1.49491525423728E-2</v>
      </c>
      <c r="E17942" s="1">
        <v>5.6063239333968702E-5</v>
      </c>
      <c r="F17942" s="1">
        <v>9.4135101252032401E-3</v>
      </c>
    </row>
    <row r="17943" spans="1:6" x14ac:dyDescent="0.25">
      <c r="A17943" s="2" t="str">
        <f t="shared" si="641"/>
        <v>44140</v>
      </c>
      <c r="B17943" s="2" t="str">
        <f>"01098"</f>
        <v>01098</v>
      </c>
      <c r="C17943" s="1">
        <v>1.6226976404844101E-3</v>
      </c>
      <c r="D17943" s="1">
        <v>2.3728813559322E-4</v>
      </c>
      <c r="E17943" s="1">
        <v>5.6063239333968703E-4</v>
      </c>
      <c r="F17943" s="1">
        <v>1.4589708917514699E-3</v>
      </c>
    </row>
    <row r="17944" spans="1:6" x14ac:dyDescent="0.25">
      <c r="A17944" s="2" t="str">
        <f t="shared" si="641"/>
        <v>44140</v>
      </c>
      <c r="B17944" s="2" t="str">
        <f>"01066"</f>
        <v>01066</v>
      </c>
      <c r="C17944" s="1">
        <v>3.1447628691558501E-6</v>
      </c>
      <c r="D17944" s="1">
        <v>6.7796610169491497E-5</v>
      </c>
      <c r="E17944" s="1">
        <v>5.0456915400571797E-4</v>
      </c>
      <c r="F17944" s="1">
        <v>3.2847374673579203E-5</v>
      </c>
    </row>
    <row r="17945" spans="1:6" x14ac:dyDescent="0.25">
      <c r="A17945" s="2" t="str">
        <f t="shared" si="641"/>
        <v>44140</v>
      </c>
      <c r="B17945" s="2" t="str">
        <f>"01070"</f>
        <v>01070</v>
      </c>
      <c r="C17945" s="1">
        <v>8.9311265484026095E-4</v>
      </c>
      <c r="D17945" s="1">
        <v>1.01694915254237E-4</v>
      </c>
      <c r="E17945" s="1">
        <v>5.6063239333968702E-5</v>
      </c>
      <c r="F17945" s="1">
        <v>7.8833699216590103E-4</v>
      </c>
    </row>
    <row r="17946" spans="1:6" x14ac:dyDescent="0.25">
      <c r="A17946" s="2" t="str">
        <f t="shared" si="641"/>
        <v>44140</v>
      </c>
      <c r="B17946" s="2" t="str">
        <f>"01072"</f>
        <v>01072</v>
      </c>
      <c r="C17946" s="1">
        <v>1.8962920101009699E-3</v>
      </c>
      <c r="D17946" s="1">
        <v>6.7796610169491497E-5</v>
      </c>
      <c r="E17946" s="1">
        <v>1.4015809833492099E-3</v>
      </c>
      <c r="F17946" s="1">
        <v>1.7244871703629E-3</v>
      </c>
    </row>
    <row r="17947" spans="1:6" x14ac:dyDescent="0.25">
      <c r="A17947" s="2" t="str">
        <f t="shared" si="641"/>
        <v>44140</v>
      </c>
      <c r="B17947" s="2" t="str">
        <f>"01059"</f>
        <v>01059</v>
      </c>
      <c r="C17947" s="1">
        <v>0</v>
      </c>
      <c r="D17947" s="1">
        <v>3.3898305084745701E-5</v>
      </c>
      <c r="E17947" s="1">
        <v>0</v>
      </c>
      <c r="F17947" s="1">
        <v>2.7372812227982598E-6</v>
      </c>
    </row>
    <row r="17948" spans="1:6" x14ac:dyDescent="0.25">
      <c r="A17948" s="2" t="str">
        <f t="shared" si="641"/>
        <v>44140</v>
      </c>
      <c r="B17948" s="2" t="str">
        <f>"01008"</f>
        <v>01008</v>
      </c>
      <c r="C17948" s="1">
        <v>1.4811833113723999E-3</v>
      </c>
      <c r="D17948" s="1">
        <v>6.4406779661016901E-4</v>
      </c>
      <c r="E17948" s="1">
        <v>3.64411055670796E-3</v>
      </c>
      <c r="F17948" s="1">
        <v>1.5191910786530301E-3</v>
      </c>
    </row>
    <row r="17949" spans="1:6" x14ac:dyDescent="0.25">
      <c r="A17949" s="2" t="str">
        <f t="shared" ref="A17949:A17980" si="642">"12700"</f>
        <v>12700</v>
      </c>
      <c r="B17949" s="2" t="str">
        <f>"02664"</f>
        <v>02664</v>
      </c>
      <c r="C17949" s="1">
        <v>4.5750898614919003E-2</v>
      </c>
      <c r="D17949" s="1">
        <v>4.8944799615040897E-2</v>
      </c>
      <c r="E17949" s="1">
        <v>2.4341279799247099E-2</v>
      </c>
      <c r="F17949" s="1">
        <v>4.5543561202328602E-2</v>
      </c>
    </row>
    <row r="17950" spans="1:6" x14ac:dyDescent="0.25">
      <c r="A17950" s="2" t="str">
        <f t="shared" si="642"/>
        <v>12700</v>
      </c>
      <c r="B17950" s="2" t="str">
        <f>"02660"</f>
        <v>02660</v>
      </c>
      <c r="C17950" s="1">
        <v>2.29346661060809E-2</v>
      </c>
      <c r="D17950" s="1">
        <v>2.3441259366192301E-2</v>
      </c>
      <c r="E17950" s="1">
        <v>2.534504391468E-2</v>
      </c>
      <c r="F17950" s="1">
        <v>2.3025245060110999E-2</v>
      </c>
    </row>
    <row r="17951" spans="1:6" x14ac:dyDescent="0.25">
      <c r="A17951" s="2" t="str">
        <f t="shared" si="642"/>
        <v>12700</v>
      </c>
      <c r="B17951" s="2" t="str">
        <f>"02650"</f>
        <v>02650</v>
      </c>
      <c r="C17951" s="1">
        <v>7.6922621409241301E-3</v>
      </c>
      <c r="D17951" s="1">
        <v>4.8807314222863796E-3</v>
      </c>
      <c r="E17951" s="1">
        <v>1.0037641154328701E-2</v>
      </c>
      <c r="F17951" s="1">
        <v>7.5238923603143998E-3</v>
      </c>
    </row>
    <row r="17952" spans="1:6" x14ac:dyDescent="0.25">
      <c r="A17952" s="2" t="str">
        <f t="shared" si="642"/>
        <v>12700</v>
      </c>
      <c r="B17952" s="2" t="str">
        <f>"02646"</f>
        <v>02646</v>
      </c>
      <c r="C17952" s="1">
        <v>1.7427503834287698E-2</v>
      </c>
      <c r="D17952" s="1">
        <v>1.54671066199216E-2</v>
      </c>
      <c r="E17952" s="1">
        <v>1.32998745294855E-2</v>
      </c>
      <c r="F17952" s="1">
        <v>1.71875583635267E-2</v>
      </c>
    </row>
    <row r="17953" spans="1:6" x14ac:dyDescent="0.25">
      <c r="A17953" s="2" t="str">
        <f t="shared" si="642"/>
        <v>12700</v>
      </c>
      <c r="B17953" s="2" t="str">
        <f>"02633"</f>
        <v>02633</v>
      </c>
      <c r="C17953" s="1">
        <v>2.7760835193727702E-2</v>
      </c>
      <c r="D17953" s="1">
        <v>3.4302605348181699E-2</v>
      </c>
      <c r="E17953" s="1">
        <v>3.2120451693851901E-2</v>
      </c>
      <c r="F17953" s="1">
        <v>2.83613389326745E-2</v>
      </c>
    </row>
    <row r="17954" spans="1:6" x14ac:dyDescent="0.25">
      <c r="A17954" s="2" t="str">
        <f t="shared" si="642"/>
        <v>12700</v>
      </c>
      <c r="B17954" s="2" t="str">
        <f>"02642"</f>
        <v>02642</v>
      </c>
      <c r="C17954" s="1">
        <v>1.6859022567521899E-2</v>
      </c>
      <c r="D17954" s="1">
        <v>1.0311404413280999E-2</v>
      </c>
      <c r="E17954" s="1">
        <v>9.7867001254705096E-3</v>
      </c>
      <c r="F17954" s="1">
        <v>1.6200380997102502E-2</v>
      </c>
    </row>
    <row r="17955" spans="1:6" x14ac:dyDescent="0.25">
      <c r="A17955" s="2" t="str">
        <f t="shared" si="642"/>
        <v>12700</v>
      </c>
      <c r="B17955" s="2" t="str">
        <f>"02536"</f>
        <v>02536</v>
      </c>
      <c r="C17955" s="1">
        <v>8.2613355756761001E-2</v>
      </c>
      <c r="D17955" s="1">
        <v>3.57462019660411E-2</v>
      </c>
      <c r="E17955" s="1">
        <v>2.8607277289836801E-2</v>
      </c>
      <c r="F17955" s="1">
        <v>7.7826929131337194E-2</v>
      </c>
    </row>
    <row r="17956" spans="1:6" x14ac:dyDescent="0.25">
      <c r="A17956" s="2" t="str">
        <f t="shared" si="642"/>
        <v>12700</v>
      </c>
      <c r="B17956" s="2" t="str">
        <f>"02532"</f>
        <v>02532</v>
      </c>
      <c r="C17956" s="1">
        <v>3.0674301685902201E-2</v>
      </c>
      <c r="D17956" s="1">
        <v>3.2652780642056699E-2</v>
      </c>
      <c r="E17956" s="1">
        <v>4.2409033877038801E-2</v>
      </c>
      <c r="F17956" s="1">
        <v>3.1077410713809199E-2</v>
      </c>
    </row>
    <row r="17957" spans="1:6" x14ac:dyDescent="0.25">
      <c r="A17957" s="2" t="str">
        <f t="shared" si="642"/>
        <v>12700</v>
      </c>
      <c r="B17957" s="2" t="str">
        <f>"02655"</f>
        <v>02655</v>
      </c>
      <c r="C17957" s="1">
        <v>2.3663032729124501E-2</v>
      </c>
      <c r="D17957" s="1">
        <v>3.5677459269952499E-2</v>
      </c>
      <c r="E17957" s="1">
        <v>6.2735257214554502E-2</v>
      </c>
      <c r="F17957" s="1">
        <v>2.5426487302764599E-2</v>
      </c>
    </row>
    <row r="17958" spans="1:6" x14ac:dyDescent="0.25">
      <c r="A17958" s="2" t="str">
        <f t="shared" si="642"/>
        <v>12700</v>
      </c>
      <c r="B17958" s="2" t="str">
        <f>"02647"</f>
        <v>02647</v>
      </c>
      <c r="C17958" s="1">
        <v>3.62998975549383E-3</v>
      </c>
      <c r="D17958" s="1">
        <v>1.7873100983020499E-3</v>
      </c>
      <c r="E17958" s="1">
        <v>5.0188205771643595E-4</v>
      </c>
      <c r="F17958" s="1">
        <v>3.4204361723131401E-3</v>
      </c>
    </row>
    <row r="17959" spans="1:6" x14ac:dyDescent="0.25">
      <c r="A17959" s="2" t="str">
        <f t="shared" si="642"/>
        <v>12700</v>
      </c>
      <c r="B17959" s="2" t="str">
        <f>"02643"</f>
        <v>02643</v>
      </c>
      <c r="C17959" s="1">
        <v>0</v>
      </c>
      <c r="D17959" s="1">
        <v>0</v>
      </c>
      <c r="E17959" s="1">
        <v>2.5094102885821797E-4</v>
      </c>
      <c r="F17959" s="1">
        <v>5.3360938725634E-6</v>
      </c>
    </row>
    <row r="17960" spans="1:6" x14ac:dyDescent="0.25">
      <c r="A17960" s="2" t="str">
        <f t="shared" si="642"/>
        <v>12700</v>
      </c>
      <c r="B17960" s="2" t="str">
        <f>"02601"</f>
        <v>02601</v>
      </c>
      <c r="C17960" s="1">
        <v>6.0572863309863702E-2</v>
      </c>
      <c r="D17960" s="1">
        <v>0.17495016154533499</v>
      </c>
      <c r="E17960" s="1">
        <v>0.16260978670012499</v>
      </c>
      <c r="F17960" s="1">
        <v>7.1621051957546006E-2</v>
      </c>
    </row>
    <row r="17961" spans="1:6" x14ac:dyDescent="0.25">
      <c r="A17961" s="2" t="str">
        <f t="shared" si="642"/>
        <v>12700</v>
      </c>
      <c r="B17961" s="2" t="str">
        <f>"02541"</f>
        <v>02541</v>
      </c>
      <c r="C17961" s="1">
        <v>4.5537718139881901E-3</v>
      </c>
      <c r="D17961" s="1">
        <v>1.3542311129442401E-2</v>
      </c>
      <c r="E17961" s="1">
        <v>2.5094102885821797E-4</v>
      </c>
      <c r="F17961" s="1">
        <v>5.1600027747688102E-3</v>
      </c>
    </row>
    <row r="17962" spans="1:6" x14ac:dyDescent="0.25">
      <c r="A17962" s="2" t="str">
        <f t="shared" si="642"/>
        <v>12700</v>
      </c>
      <c r="B17962" s="2" t="str">
        <f>"02542"</f>
        <v>02542</v>
      </c>
      <c r="C17962" s="1">
        <v>1.4744982856736699E-3</v>
      </c>
      <c r="D17962" s="1">
        <v>3.7808482848697301E-3</v>
      </c>
      <c r="E17962" s="1">
        <v>1.7063989962358798E-2</v>
      </c>
      <c r="F17962" s="1">
        <v>1.9850269205935801E-3</v>
      </c>
    </row>
    <row r="17963" spans="1:6" x14ac:dyDescent="0.25">
      <c r="A17963" s="2" t="str">
        <f t="shared" si="642"/>
        <v>12700</v>
      </c>
      <c r="B17963" s="2" t="str">
        <f>"02559"</f>
        <v>02559</v>
      </c>
      <c r="C17963" s="1">
        <v>1.0747848949789999E-2</v>
      </c>
      <c r="D17963" s="1">
        <v>1.17550010311404E-2</v>
      </c>
      <c r="E17963" s="1">
        <v>5.7716436637390203E-3</v>
      </c>
      <c r="F17963" s="1">
        <v>1.0720212589979799E-2</v>
      </c>
    </row>
    <row r="17964" spans="1:6" x14ac:dyDescent="0.25">
      <c r="A17964" s="2" t="str">
        <f t="shared" si="642"/>
        <v>12700</v>
      </c>
      <c r="B17964" s="2" t="str">
        <f>"02534"</f>
        <v>02534</v>
      </c>
      <c r="C17964" s="1">
        <v>2.3686719448573101E-5</v>
      </c>
      <c r="D17964" s="1">
        <v>0</v>
      </c>
      <c r="E17964" s="1">
        <v>2.5094102885821797E-4</v>
      </c>
      <c r="F17964" s="1">
        <v>2.6680469362817E-5</v>
      </c>
    </row>
    <row r="17965" spans="1:6" x14ac:dyDescent="0.25">
      <c r="A17965" s="2" t="str">
        <f t="shared" si="642"/>
        <v>12700</v>
      </c>
      <c r="B17965" s="2" t="str">
        <f>"02661"</f>
        <v>02661</v>
      </c>
      <c r="C17965" s="1">
        <v>2.2739250670630201E-3</v>
      </c>
      <c r="D17965" s="1">
        <v>1.7873100983020499E-3</v>
      </c>
      <c r="E17965" s="1">
        <v>5.0188205771643595E-4</v>
      </c>
      <c r="F17965" s="1">
        <v>2.1984706754961201E-3</v>
      </c>
    </row>
    <row r="17966" spans="1:6" x14ac:dyDescent="0.25">
      <c r="A17966" s="2" t="str">
        <f t="shared" si="642"/>
        <v>12700</v>
      </c>
      <c r="B17966" s="2" t="str">
        <f>"02666"</f>
        <v>02666</v>
      </c>
      <c r="C17966" s="1">
        <v>3.5530079172859702E-5</v>
      </c>
      <c r="D17966" s="1">
        <v>0</v>
      </c>
      <c r="E17966" s="1">
        <v>2.5094102885821797E-4</v>
      </c>
      <c r="F17966" s="1">
        <v>3.73526571079438E-5</v>
      </c>
    </row>
    <row r="17967" spans="1:6" x14ac:dyDescent="0.25">
      <c r="A17967" s="2" t="str">
        <f t="shared" si="642"/>
        <v>12700</v>
      </c>
      <c r="B17967" s="2" t="str">
        <f>"02648"</f>
        <v>02648</v>
      </c>
      <c r="C17967" s="1">
        <v>2.5587578684321099E-2</v>
      </c>
      <c r="D17967" s="1">
        <v>2.20664054444215E-2</v>
      </c>
      <c r="E17967" s="1">
        <v>1.5056461731493E-2</v>
      </c>
      <c r="F17967" s="1">
        <v>2.5090313388793101E-2</v>
      </c>
    </row>
    <row r="17968" spans="1:6" x14ac:dyDescent="0.25">
      <c r="A17968" s="2" t="str">
        <f t="shared" si="642"/>
        <v>12700</v>
      </c>
      <c r="B17968" s="2" t="str">
        <f>"02561"</f>
        <v>02561</v>
      </c>
      <c r="C17968" s="1">
        <v>5.9216798621432896E-6</v>
      </c>
      <c r="D17968" s="1">
        <v>2.74970784354162E-4</v>
      </c>
      <c r="E17968" s="1">
        <v>2.5094102885821797E-4</v>
      </c>
      <c r="F17968" s="1">
        <v>3.20165632353804E-5</v>
      </c>
    </row>
    <row r="17969" spans="1:6" x14ac:dyDescent="0.25">
      <c r="A17969" s="2" t="str">
        <f t="shared" si="642"/>
        <v>12700</v>
      </c>
      <c r="B17969" s="2" t="str">
        <f>"02563"</f>
        <v>02563</v>
      </c>
      <c r="C17969" s="1">
        <v>3.7205914573846303E-2</v>
      </c>
      <c r="D17969" s="1">
        <v>5.5750326527806399E-2</v>
      </c>
      <c r="E17969" s="1">
        <v>2.8105395232120401E-2</v>
      </c>
      <c r="F17969" s="1">
        <v>3.8451892445691901E-2</v>
      </c>
    </row>
    <row r="17970" spans="1:6" x14ac:dyDescent="0.25">
      <c r="A17970" s="2" t="str">
        <f t="shared" si="642"/>
        <v>12700</v>
      </c>
      <c r="B17970" s="2" t="str">
        <f>"02540"</f>
        <v>02540</v>
      </c>
      <c r="C17970" s="1">
        <v>3.9391014442977101E-2</v>
      </c>
      <c r="D17970" s="1">
        <v>5.14882793703169E-2</v>
      </c>
      <c r="E17970" s="1">
        <v>8.7578419071518102E-2</v>
      </c>
      <c r="F17970" s="1">
        <v>4.1354727512366303E-2</v>
      </c>
    </row>
    <row r="17971" spans="1:6" x14ac:dyDescent="0.25">
      <c r="A17971" s="2" t="str">
        <f t="shared" si="642"/>
        <v>12700</v>
      </c>
      <c r="B17971" s="2" t="str">
        <f>"02673"</f>
        <v>02673</v>
      </c>
      <c r="C17971" s="1">
        <v>4.4809351516838201E-2</v>
      </c>
      <c r="D17971" s="1">
        <v>2.9834330102426601E-2</v>
      </c>
      <c r="E17971" s="1">
        <v>2.18318695106649E-2</v>
      </c>
      <c r="F17971" s="1">
        <v>4.3158327241292802E-2</v>
      </c>
    </row>
    <row r="17972" spans="1:6" x14ac:dyDescent="0.25">
      <c r="A17972" s="2" t="str">
        <f t="shared" si="642"/>
        <v>12700</v>
      </c>
      <c r="B17972" s="2" t="str">
        <f>"02670"</f>
        <v>02670</v>
      </c>
      <c r="C17972" s="1">
        <v>7.95873773472058E-3</v>
      </c>
      <c r="D17972" s="1">
        <v>7.1492403932082197E-3</v>
      </c>
      <c r="E17972" s="1">
        <v>1.1292346298619801E-2</v>
      </c>
      <c r="F17972" s="1">
        <v>7.96678815173716E-3</v>
      </c>
    </row>
    <row r="17973" spans="1:6" x14ac:dyDescent="0.25">
      <c r="A17973" s="2" t="str">
        <f t="shared" si="642"/>
        <v>12700</v>
      </c>
      <c r="B17973" s="2" t="str">
        <f>"02668"</f>
        <v>02668</v>
      </c>
      <c r="C17973" s="1">
        <v>1.2328937472982301E-2</v>
      </c>
      <c r="D17973" s="1">
        <v>1.1205059462432099E-2</v>
      </c>
      <c r="E17973" s="1">
        <v>3.5131744040150501E-3</v>
      </c>
      <c r="F17973" s="1">
        <v>1.20542360581207E-2</v>
      </c>
    </row>
    <row r="17974" spans="1:6" x14ac:dyDescent="0.25">
      <c r="A17974" s="2" t="str">
        <f t="shared" si="642"/>
        <v>12700</v>
      </c>
      <c r="B17974" s="2" t="str">
        <f>"02652"</f>
        <v>02652</v>
      </c>
      <c r="C17974" s="1">
        <v>0</v>
      </c>
      <c r="D17974" s="1">
        <v>0</v>
      </c>
      <c r="E17974" s="1">
        <v>5.0188205771643595E-4</v>
      </c>
      <c r="F17974" s="1">
        <v>1.06721877451268E-5</v>
      </c>
    </row>
    <row r="17975" spans="1:6" x14ac:dyDescent="0.25">
      <c r="A17975" s="2" t="str">
        <f t="shared" si="642"/>
        <v>12700</v>
      </c>
      <c r="B17975" s="2" t="str">
        <f>"02659"</f>
        <v>02659</v>
      </c>
      <c r="C17975" s="1">
        <v>9.2970373835649604E-3</v>
      </c>
      <c r="D17975" s="1">
        <v>5.9118718636144898E-3</v>
      </c>
      <c r="E17975" s="1">
        <v>3.2622333751568299E-3</v>
      </c>
      <c r="F17975" s="1">
        <v>8.9059406733083199E-3</v>
      </c>
    </row>
    <row r="17976" spans="1:6" x14ac:dyDescent="0.25">
      <c r="A17976" s="2" t="str">
        <f t="shared" si="642"/>
        <v>12700</v>
      </c>
      <c r="B17976" s="2" t="str">
        <f>"02667"</f>
        <v>02667</v>
      </c>
      <c r="C17976" s="1">
        <v>1.2311172433395899E-2</v>
      </c>
      <c r="D17976" s="1">
        <v>4.6745033340207598E-3</v>
      </c>
      <c r="E17976" s="1">
        <v>8.53199498117942E-3</v>
      </c>
      <c r="F17976" s="1">
        <v>1.1638020736060699E-2</v>
      </c>
    </row>
    <row r="17977" spans="1:6" x14ac:dyDescent="0.25">
      <c r="A17977" s="2" t="str">
        <f t="shared" si="642"/>
        <v>12700</v>
      </c>
      <c r="B17977" s="2" t="str">
        <f>"02634"</f>
        <v>02634</v>
      </c>
      <c r="C17977" s="1">
        <v>1.2435527710500901E-4</v>
      </c>
      <c r="D17977" s="1">
        <v>4.81198872619784E-4</v>
      </c>
      <c r="E17977" s="1">
        <v>2.5094102885821797E-4</v>
      </c>
      <c r="F17977" s="1">
        <v>1.5474672230433799E-4</v>
      </c>
    </row>
    <row r="17978" spans="1:6" x14ac:dyDescent="0.25">
      <c r="A17978" s="2" t="str">
        <f t="shared" si="642"/>
        <v>12700</v>
      </c>
      <c r="B17978" s="2" t="str">
        <f>"02639"</f>
        <v>02639</v>
      </c>
      <c r="C17978" s="1">
        <v>2.34439305742252E-2</v>
      </c>
      <c r="D17978" s="1">
        <v>1.8354299855640299E-2</v>
      </c>
      <c r="E17978" s="1">
        <v>2.8105395232120401E-2</v>
      </c>
      <c r="F17978" s="1">
        <v>2.3147975219180002E-2</v>
      </c>
    </row>
    <row r="17979" spans="1:6" x14ac:dyDescent="0.25">
      <c r="A17979" s="2" t="str">
        <f t="shared" si="642"/>
        <v>12700</v>
      </c>
      <c r="B17979" s="2" t="str">
        <f>"02537"</f>
        <v>02537</v>
      </c>
      <c r="C17979" s="1">
        <v>2.19635106086894E-2</v>
      </c>
      <c r="D17979" s="1">
        <v>1.25111706881143E-2</v>
      </c>
      <c r="E17979" s="1">
        <v>2.50941028858218E-3</v>
      </c>
      <c r="F17979" s="1">
        <v>2.0816102196869801E-2</v>
      </c>
    </row>
    <row r="17980" spans="1:6" x14ac:dyDescent="0.25">
      <c r="A17980" s="2" t="str">
        <f t="shared" si="642"/>
        <v>12700</v>
      </c>
      <c r="B17980" s="2" t="str">
        <f>"02675"</f>
        <v>02675</v>
      </c>
      <c r="C17980" s="1">
        <v>2.65942642608855E-2</v>
      </c>
      <c r="D17980" s="1">
        <v>2.0141609953942301E-2</v>
      </c>
      <c r="E17980" s="1">
        <v>1.0037641154328701E-2</v>
      </c>
      <c r="F17980" s="1">
        <v>2.5741316841245799E-2</v>
      </c>
    </row>
    <row r="17981" spans="1:6" x14ac:dyDescent="0.25">
      <c r="A17981" s="2" t="str">
        <f t="shared" ref="A17981:A18004" si="643">"12700"</f>
        <v>12700</v>
      </c>
      <c r="B17981" s="2" t="str">
        <f>"02662"</f>
        <v>02662</v>
      </c>
      <c r="C17981" s="1">
        <v>5.1992349189618099E-3</v>
      </c>
      <c r="D17981" s="1">
        <v>3.1621640200728599E-3</v>
      </c>
      <c r="E17981" s="1">
        <v>5.0188205771643595E-4</v>
      </c>
      <c r="F17981" s="1">
        <v>4.94122292599371E-3</v>
      </c>
    </row>
    <row r="17982" spans="1:6" x14ac:dyDescent="0.25">
      <c r="A17982" s="2" t="str">
        <f t="shared" si="643"/>
        <v>12700</v>
      </c>
      <c r="B17982" s="2" t="str">
        <f>"02644"</f>
        <v>02644</v>
      </c>
      <c r="C17982" s="1">
        <v>1.53608375623997E-2</v>
      </c>
      <c r="D17982" s="1">
        <v>1.56733347081872E-2</v>
      </c>
      <c r="E17982" s="1">
        <v>4.5169385194479203E-3</v>
      </c>
      <c r="F17982" s="1">
        <v>1.515450659808E-2</v>
      </c>
    </row>
    <row r="17983" spans="1:6" x14ac:dyDescent="0.25">
      <c r="A17983" s="2" t="str">
        <f t="shared" si="643"/>
        <v>12700</v>
      </c>
      <c r="B17983" s="2" t="str">
        <f>"02641"</f>
        <v>02641</v>
      </c>
      <c r="C17983" s="1">
        <v>0</v>
      </c>
      <c r="D17983" s="1">
        <v>0</v>
      </c>
      <c r="E17983" s="1">
        <v>2.5094102885821797E-4</v>
      </c>
      <c r="F17983" s="1">
        <v>5.3360938725634E-6</v>
      </c>
    </row>
    <row r="17984" spans="1:6" x14ac:dyDescent="0.25">
      <c r="A17984" s="2" t="str">
        <f t="shared" si="643"/>
        <v>12700</v>
      </c>
      <c r="B17984" s="2" t="str">
        <f>"02556"</f>
        <v>02556</v>
      </c>
      <c r="C17984" s="1">
        <v>2.14305594210965E-2</v>
      </c>
      <c r="D17984" s="1">
        <v>1.5948305492541399E-2</v>
      </c>
      <c r="E17984" s="1">
        <v>8.2810539523211994E-3</v>
      </c>
      <c r="F17984" s="1">
        <v>2.0725388601036201E-2</v>
      </c>
    </row>
    <row r="17985" spans="1:6" x14ac:dyDescent="0.25">
      <c r="A17985" s="2" t="str">
        <f t="shared" si="643"/>
        <v>12700</v>
      </c>
      <c r="B17985" s="2" t="str">
        <f>"02543"</f>
        <v>02543</v>
      </c>
      <c r="C17985" s="1">
        <v>7.8403041374777108E-3</v>
      </c>
      <c r="D17985" s="1">
        <v>9.5552347563071394E-3</v>
      </c>
      <c r="E17985" s="1">
        <v>3.5131744040150501E-3</v>
      </c>
      <c r="F17985" s="1">
        <v>7.8814106497761497E-3</v>
      </c>
    </row>
    <row r="17986" spans="1:6" x14ac:dyDescent="0.25">
      <c r="A17986" s="2" t="str">
        <f t="shared" si="643"/>
        <v>12700</v>
      </c>
      <c r="B17986" s="2" t="str">
        <f>"02360"</f>
        <v>02360</v>
      </c>
      <c r="C17986" s="1">
        <v>2.3686719448573101E-5</v>
      </c>
      <c r="D17986" s="1">
        <v>0</v>
      </c>
      <c r="E17986" s="1">
        <v>0</v>
      </c>
      <c r="F17986" s="1">
        <v>2.13443754902536E-5</v>
      </c>
    </row>
    <row r="17987" spans="1:6" x14ac:dyDescent="0.25">
      <c r="A17987" s="2" t="str">
        <f t="shared" si="643"/>
        <v>12700</v>
      </c>
      <c r="B17987" s="2" t="str">
        <f>"02669"</f>
        <v>02669</v>
      </c>
      <c r="C17987" s="1">
        <v>8.7759295556963501E-3</v>
      </c>
      <c r="D17987" s="1">
        <v>6.7367842166769698E-3</v>
      </c>
      <c r="E17987" s="1">
        <v>7.5282308657465403E-4</v>
      </c>
      <c r="F17987" s="1">
        <v>8.4470366002678699E-3</v>
      </c>
    </row>
    <row r="17988" spans="1:6" x14ac:dyDescent="0.25">
      <c r="A17988" s="2" t="str">
        <f t="shared" si="643"/>
        <v>12700</v>
      </c>
      <c r="B17988" s="2" t="str">
        <f>"02651"</f>
        <v>02651</v>
      </c>
      <c r="C17988" s="1">
        <v>0</v>
      </c>
      <c r="D17988" s="1">
        <v>0</v>
      </c>
      <c r="E17988" s="1">
        <v>2.5094102885821797E-4</v>
      </c>
      <c r="F17988" s="1">
        <v>5.3360938725634E-6</v>
      </c>
    </row>
    <row r="17989" spans="1:6" x14ac:dyDescent="0.25">
      <c r="A17989" s="2" t="str">
        <f t="shared" si="643"/>
        <v>12700</v>
      </c>
      <c r="B17989" s="2" t="str">
        <f>"02657"</f>
        <v>02657</v>
      </c>
      <c r="C17989" s="1">
        <v>2.2336576440004498E-2</v>
      </c>
      <c r="D17989" s="1">
        <v>3.485254691689E-2</v>
      </c>
      <c r="E17989" s="1">
        <v>0.161104140526976</v>
      </c>
      <c r="F17989" s="1">
        <v>2.6258917946884501E-2</v>
      </c>
    </row>
    <row r="17990" spans="1:6" x14ac:dyDescent="0.25">
      <c r="A17990" s="2" t="str">
        <f t="shared" si="643"/>
        <v>12700</v>
      </c>
      <c r="B17990" s="2" t="str">
        <f>"02645"</f>
        <v>02645</v>
      </c>
      <c r="C17990" s="1">
        <v>4.47027612793197E-2</v>
      </c>
      <c r="D17990" s="1">
        <v>2.8734446965009899E-2</v>
      </c>
      <c r="E17990" s="1">
        <v>2.6850690087829299E-2</v>
      </c>
      <c r="F17990" s="1">
        <v>4.3083621927076897E-2</v>
      </c>
    </row>
    <row r="17991" spans="1:6" x14ac:dyDescent="0.25">
      <c r="A17991" s="2" t="str">
        <f t="shared" si="643"/>
        <v>12700</v>
      </c>
      <c r="B17991" s="2" t="str">
        <f>"02631"</f>
        <v>02631</v>
      </c>
      <c r="C17991" s="1">
        <v>5.3632654511431802E-2</v>
      </c>
      <c r="D17991" s="1">
        <v>3.00405581906922E-2</v>
      </c>
      <c r="E17991" s="1">
        <v>2.38393977415307E-2</v>
      </c>
      <c r="F17991" s="1">
        <v>5.1167804144010502E-2</v>
      </c>
    </row>
    <row r="17992" spans="1:6" x14ac:dyDescent="0.25">
      <c r="A17992" s="2" t="str">
        <f t="shared" si="643"/>
        <v>12700</v>
      </c>
      <c r="B17992" s="2" t="str">
        <f>"02574"</f>
        <v>02574</v>
      </c>
      <c r="C17992" s="1">
        <v>6.3361974524933197E-3</v>
      </c>
      <c r="D17992" s="1">
        <v>5.9118718636144898E-3</v>
      </c>
      <c r="E17992" s="1">
        <v>5.0188205771643595E-4</v>
      </c>
      <c r="F17992" s="1">
        <v>6.1791967044284198E-3</v>
      </c>
    </row>
    <row r="17993" spans="1:6" x14ac:dyDescent="0.25">
      <c r="A17993" s="2" t="str">
        <f t="shared" si="643"/>
        <v>12700</v>
      </c>
      <c r="B17993" s="2" t="str">
        <f>"02553"</f>
        <v>02553</v>
      </c>
      <c r="C17993" s="1">
        <v>0</v>
      </c>
      <c r="D17993" s="1">
        <v>0</v>
      </c>
      <c r="E17993" s="1">
        <v>7.5282308657465403E-4</v>
      </c>
      <c r="F17993" s="1">
        <v>1.60082816176902E-5</v>
      </c>
    </row>
    <row r="17994" spans="1:6" x14ac:dyDescent="0.25">
      <c r="A17994" s="2" t="str">
        <f t="shared" si="643"/>
        <v>12700</v>
      </c>
      <c r="B17994" s="2" t="str">
        <f>"02672"</f>
        <v>02672</v>
      </c>
      <c r="C17994" s="1">
        <v>3.9379171083252801E-3</v>
      </c>
      <c r="D17994" s="1">
        <v>3.7808482848697301E-3</v>
      </c>
      <c r="E17994" s="1">
        <v>5.0188205771643595E-4</v>
      </c>
      <c r="F17994" s="1">
        <v>3.8526597759907699E-3</v>
      </c>
    </row>
    <row r="17995" spans="1:6" x14ac:dyDescent="0.25">
      <c r="A17995" s="2" t="str">
        <f t="shared" si="643"/>
        <v>12700</v>
      </c>
      <c r="B17995" s="2" t="str">
        <f>"02635"</f>
        <v>02635</v>
      </c>
      <c r="C17995" s="1">
        <v>1.7883473183672699E-2</v>
      </c>
      <c r="D17995" s="1">
        <v>7.7679246580050799E-3</v>
      </c>
      <c r="E17995" s="1">
        <v>2.0075282308657399E-3</v>
      </c>
      <c r="F17995" s="1">
        <v>1.6760670853721599E-2</v>
      </c>
    </row>
    <row r="17996" spans="1:6" x14ac:dyDescent="0.25">
      <c r="A17996" s="2" t="str">
        <f t="shared" si="643"/>
        <v>12700</v>
      </c>
      <c r="B17996" s="2" t="str">
        <f>"02562"</f>
        <v>02562</v>
      </c>
      <c r="C17996" s="1">
        <v>6.6382031254626304E-3</v>
      </c>
      <c r="D17996" s="1">
        <v>8.1803808345363299E-3</v>
      </c>
      <c r="E17996" s="1">
        <v>8.0301129234629804E-3</v>
      </c>
      <c r="F17996" s="1">
        <v>6.7875114059006503E-3</v>
      </c>
    </row>
    <row r="17997" spans="1:6" x14ac:dyDescent="0.25">
      <c r="A17997" s="2" t="str">
        <f t="shared" si="643"/>
        <v>12700</v>
      </c>
      <c r="B17997" s="2" t="str">
        <f>"02671"</f>
        <v>02671</v>
      </c>
      <c r="C17997" s="1">
        <v>8.8173813147313599E-3</v>
      </c>
      <c r="D17997" s="1">
        <v>5.3619302949061603E-3</v>
      </c>
      <c r="E17997" s="1">
        <v>7.2772898368883296E-3</v>
      </c>
      <c r="F17997" s="1">
        <v>8.5164058206111896E-3</v>
      </c>
    </row>
    <row r="17998" spans="1:6" x14ac:dyDescent="0.25">
      <c r="A17998" s="2" t="str">
        <f t="shared" si="643"/>
        <v>12700</v>
      </c>
      <c r="B17998" s="2" t="str">
        <f>"02653"</f>
        <v>02653</v>
      </c>
      <c r="C17998" s="1">
        <v>1.8961218918582799E-2</v>
      </c>
      <c r="D17998" s="1">
        <v>2.8184505396301601E-2</v>
      </c>
      <c r="E17998" s="1">
        <v>3.0112923462986101E-2</v>
      </c>
      <c r="F17998" s="1">
        <v>1.9914302332406601E-2</v>
      </c>
    </row>
    <row r="17999" spans="1:6" x14ac:dyDescent="0.25">
      <c r="A17999" s="2" t="str">
        <f t="shared" si="643"/>
        <v>12700</v>
      </c>
      <c r="B17999" s="2" t="str">
        <f>"02663"</f>
        <v>02663</v>
      </c>
      <c r="C17999" s="1">
        <v>0</v>
      </c>
      <c r="D17999" s="1">
        <v>0</v>
      </c>
      <c r="E17999" s="1">
        <v>2.5094102885821797E-4</v>
      </c>
      <c r="F17999" s="1">
        <v>5.3360938725634E-6</v>
      </c>
    </row>
    <row r="18000" spans="1:6" x14ac:dyDescent="0.25">
      <c r="A18000" s="2" t="str">
        <f t="shared" si="643"/>
        <v>12700</v>
      </c>
      <c r="B18000" s="2" t="str">
        <f>"02649"</f>
        <v>02649</v>
      </c>
      <c r="C18000" s="1">
        <v>7.2049078882697404E-2</v>
      </c>
      <c r="D18000" s="1">
        <v>5.9874888293118801E-2</v>
      </c>
      <c r="E18000" s="1">
        <v>4.1154328732747797E-2</v>
      </c>
      <c r="F18000" s="1">
        <v>7.0447111305581997E-2</v>
      </c>
    </row>
    <row r="18001" spans="1:6" x14ac:dyDescent="0.25">
      <c r="A18001" s="2" t="str">
        <f t="shared" si="643"/>
        <v>12700</v>
      </c>
      <c r="B18001" s="2" t="str">
        <f>"02632"</f>
        <v>02632</v>
      </c>
      <c r="C18001" s="1">
        <v>4.0379934979955102E-2</v>
      </c>
      <c r="D18001" s="1">
        <v>2.68783941706193E-2</v>
      </c>
      <c r="E18001" s="1">
        <v>1.68130489335006E-2</v>
      </c>
      <c r="F18001" s="1">
        <v>3.8830755110643898E-2</v>
      </c>
    </row>
    <row r="18002" spans="1:6" x14ac:dyDescent="0.25">
      <c r="A18002" s="2" t="str">
        <f t="shared" si="643"/>
        <v>12700</v>
      </c>
      <c r="B18002" s="2" t="str">
        <f>"02637"</f>
        <v>02637</v>
      </c>
      <c r="C18002" s="1">
        <v>2.3272201858223099E-3</v>
      </c>
      <c r="D18002" s="1">
        <v>1.51233931394789E-3</v>
      </c>
      <c r="E18002" s="1">
        <v>5.0188205771643595E-4</v>
      </c>
      <c r="F18002" s="1">
        <v>2.2251511448589398E-3</v>
      </c>
    </row>
    <row r="18003" spans="1:6" x14ac:dyDescent="0.25">
      <c r="A18003" s="2" t="str">
        <f t="shared" si="643"/>
        <v>12700</v>
      </c>
      <c r="B18003" s="2" t="str">
        <f>"02638"</f>
        <v>02638</v>
      </c>
      <c r="C18003" s="1">
        <v>1.33770748085816E-2</v>
      </c>
      <c r="D18003" s="1">
        <v>4.2620471574895099E-3</v>
      </c>
      <c r="E18003" s="1">
        <v>3.76411543287327E-3</v>
      </c>
      <c r="F18003" s="1">
        <v>1.2465115286308099E-2</v>
      </c>
    </row>
    <row r="18004" spans="1:6" x14ac:dyDescent="0.25">
      <c r="A18004" s="2" t="str">
        <f t="shared" si="643"/>
        <v>12700</v>
      </c>
      <c r="B18004" s="2" t="str">
        <f>"02630"</f>
        <v>02630</v>
      </c>
      <c r="C18004" s="1">
        <v>1.02800362406807E-2</v>
      </c>
      <c r="D18004" s="1">
        <v>1.4710936962947599E-2</v>
      </c>
      <c r="E18004" s="1">
        <v>1.5056461731493E-3</v>
      </c>
      <c r="F18004" s="1">
        <v>1.0437399614734E-2</v>
      </c>
    </row>
    <row r="18005" spans="1:6" x14ac:dyDescent="0.25">
      <c r="A18005" s="2" t="str">
        <f t="shared" ref="A18005:A18047" si="644">"31700"</f>
        <v>31700</v>
      </c>
      <c r="B18005" s="2" t="str">
        <f>"03103"</f>
        <v>03103</v>
      </c>
      <c r="C18005" s="1">
        <v>8.43841721926296E-2</v>
      </c>
      <c r="D18005" s="1">
        <v>8.3333333333333301E-2</v>
      </c>
      <c r="E18005" s="1">
        <v>0.18939197930142301</v>
      </c>
      <c r="F18005" s="1">
        <v>8.9997237193925494E-2</v>
      </c>
    </row>
    <row r="18006" spans="1:6" x14ac:dyDescent="0.25">
      <c r="A18006" s="2" t="str">
        <f t="shared" si="644"/>
        <v>31700</v>
      </c>
      <c r="B18006" s="2" t="str">
        <f>"03084"</f>
        <v>03084</v>
      </c>
      <c r="C18006" s="1">
        <v>2.8427002935101598E-3</v>
      </c>
      <c r="D18006" s="1">
        <v>3.3377837116154802E-4</v>
      </c>
      <c r="E18006" s="1">
        <v>6.0370849504096504E-4</v>
      </c>
      <c r="F18006" s="1">
        <v>2.5099390777846898E-3</v>
      </c>
    </row>
    <row r="18007" spans="1:6" x14ac:dyDescent="0.25">
      <c r="A18007" s="2" t="str">
        <f t="shared" si="644"/>
        <v>31700</v>
      </c>
      <c r="B18007" s="2" t="str">
        <f>"03071"</f>
        <v>03071</v>
      </c>
      <c r="C18007" s="1">
        <v>1.00663115556038E-2</v>
      </c>
      <c r="D18007" s="1">
        <v>1.94704049844236E-3</v>
      </c>
      <c r="E18007" s="1">
        <v>3.0185424752048199E-3</v>
      </c>
      <c r="F18007" s="1">
        <v>9.0001919916085603E-3</v>
      </c>
    </row>
    <row r="18008" spans="1:6" x14ac:dyDescent="0.25">
      <c r="A18008" s="2" t="str">
        <f t="shared" si="644"/>
        <v>31700</v>
      </c>
      <c r="B18008" s="2" t="str">
        <f>"03070"</f>
        <v>03070</v>
      </c>
      <c r="C18008" s="1">
        <v>1.14251549081421E-2</v>
      </c>
      <c r="D18008" s="1">
        <v>1.66889185580774E-3</v>
      </c>
      <c r="E18008" s="1">
        <v>8.6244070720137896E-4</v>
      </c>
      <c r="F18008" s="1">
        <v>1.00303908668186E-2</v>
      </c>
    </row>
    <row r="18009" spans="1:6" x14ac:dyDescent="0.25">
      <c r="A18009" s="2" t="str">
        <f t="shared" si="644"/>
        <v>31700</v>
      </c>
      <c r="B18009" s="2" t="str">
        <f>"03062"</f>
        <v>03062</v>
      </c>
      <c r="C18009" s="1">
        <v>6.6072399173823196E-2</v>
      </c>
      <c r="D18009" s="1">
        <v>2.4254561637739199E-2</v>
      </c>
      <c r="E18009" s="1">
        <v>8.15868909012505E-2</v>
      </c>
      <c r="F18009" s="1">
        <v>6.3394692602703806E-2</v>
      </c>
    </row>
    <row r="18010" spans="1:6" x14ac:dyDescent="0.25">
      <c r="A18010" s="2" t="str">
        <f t="shared" si="644"/>
        <v>31700</v>
      </c>
      <c r="B18010" s="2" t="str">
        <f>"03055"</f>
        <v>03055</v>
      </c>
      <c r="C18010" s="1">
        <v>4.1705620176105997E-2</v>
      </c>
      <c r="D18010" s="1">
        <v>4.7229639519359101E-2</v>
      </c>
      <c r="E18010" s="1">
        <v>3.7688658904700301E-2</v>
      </c>
      <c r="F18010" s="1">
        <v>4.1952507831852802E-2</v>
      </c>
    </row>
    <row r="18011" spans="1:6" x14ac:dyDescent="0.25">
      <c r="A18011" s="2" t="str">
        <f t="shared" si="644"/>
        <v>31700</v>
      </c>
      <c r="B18011" s="2" t="str">
        <f>"03048"</f>
        <v>03048</v>
      </c>
      <c r="C18011" s="1">
        <v>7.0279378193281797E-3</v>
      </c>
      <c r="D18011" s="1">
        <v>1.94704049844236E-3</v>
      </c>
      <c r="E18011" s="1">
        <v>2.15610176800344E-3</v>
      </c>
      <c r="F18011" s="1">
        <v>6.3357230825423399E-3</v>
      </c>
    </row>
    <row r="18012" spans="1:6" x14ac:dyDescent="0.25">
      <c r="A18012" s="2" t="str">
        <f t="shared" si="644"/>
        <v>31700</v>
      </c>
      <c r="B18012" s="2" t="str">
        <f>"03440"</f>
        <v>03440</v>
      </c>
      <c r="C18012" s="1">
        <v>5.8593325361452299E-3</v>
      </c>
      <c r="D18012" s="1">
        <v>1.66889185580774E-3</v>
      </c>
      <c r="E18012" s="1">
        <v>1.7248814144027499E-3</v>
      </c>
      <c r="F18012" s="1">
        <v>5.2821105965319701E-3</v>
      </c>
    </row>
    <row r="18013" spans="1:6" x14ac:dyDescent="0.25">
      <c r="A18013" s="2" t="str">
        <f t="shared" si="644"/>
        <v>31700</v>
      </c>
      <c r="B18013" s="2" t="str">
        <f>"03304"</f>
        <v>03304</v>
      </c>
      <c r="C18013" s="1">
        <v>5.9789107511686002E-5</v>
      </c>
      <c r="D18013" s="1">
        <v>0</v>
      </c>
      <c r="E18013" s="1">
        <v>0</v>
      </c>
      <c r="F18013" s="1">
        <v>5.1509943760506801E-5</v>
      </c>
    </row>
    <row r="18014" spans="1:6" x14ac:dyDescent="0.25">
      <c r="A18014" s="2" t="str">
        <f t="shared" si="644"/>
        <v>31700</v>
      </c>
      <c r="B18014" s="2" t="str">
        <f>"03106"</f>
        <v>03106</v>
      </c>
      <c r="C18014" s="1">
        <v>9.7836721382758897E-5</v>
      </c>
      <c r="D18014" s="1">
        <v>0</v>
      </c>
      <c r="E18014" s="1">
        <v>0</v>
      </c>
      <c r="F18014" s="1">
        <v>8.4288998880829399E-5</v>
      </c>
    </row>
    <row r="18015" spans="1:6" x14ac:dyDescent="0.25">
      <c r="A18015" s="2" t="str">
        <f t="shared" si="644"/>
        <v>31700</v>
      </c>
      <c r="B18015" s="2" t="str">
        <f>"03102"</f>
        <v>03102</v>
      </c>
      <c r="C18015" s="1">
        <v>8.2063267746494098E-2</v>
      </c>
      <c r="D18015" s="1">
        <v>3.6659991099243401E-2</v>
      </c>
      <c r="E18015" s="1">
        <v>0.17447175506683901</v>
      </c>
      <c r="F18015" s="1">
        <v>8.3258800005619193E-2</v>
      </c>
    </row>
    <row r="18016" spans="1:6" x14ac:dyDescent="0.25">
      <c r="A18016" s="2" t="str">
        <f t="shared" si="644"/>
        <v>31700</v>
      </c>
      <c r="B18016" s="2" t="str">
        <f>"03082"</f>
        <v>03082</v>
      </c>
      <c r="C18016" s="1">
        <v>3.47320360908794E-3</v>
      </c>
      <c r="D18016" s="1">
        <v>8.9007565643079605E-4</v>
      </c>
      <c r="E18016" s="1">
        <v>3.44976282880551E-4</v>
      </c>
      <c r="F18016" s="1">
        <v>3.0859139034703602E-3</v>
      </c>
    </row>
    <row r="18017" spans="1:6" x14ac:dyDescent="0.25">
      <c r="A18017" s="2" t="str">
        <f t="shared" si="644"/>
        <v>31700</v>
      </c>
      <c r="B18017" s="2" t="str">
        <f>"03076"</f>
        <v>03076</v>
      </c>
      <c r="C18017" s="1">
        <v>3.2367648657462701E-2</v>
      </c>
      <c r="D18017" s="1">
        <v>2.7314196706720001E-2</v>
      </c>
      <c r="E18017" s="1">
        <v>8.7106511427339304E-3</v>
      </c>
      <c r="F18017" s="1">
        <v>3.0657781981821602E-2</v>
      </c>
    </row>
    <row r="18018" spans="1:6" x14ac:dyDescent="0.25">
      <c r="A18018" s="2" t="str">
        <f t="shared" si="644"/>
        <v>31700</v>
      </c>
      <c r="B18018" s="2" t="str">
        <f>"03057"</f>
        <v>03057</v>
      </c>
      <c r="C18018" s="1">
        <v>4.9244483095988601E-3</v>
      </c>
      <c r="D18018" s="1">
        <v>5.5629728526924699E-5</v>
      </c>
      <c r="E18018" s="1">
        <v>2.5873221216041301E-4</v>
      </c>
      <c r="F18018" s="1">
        <v>4.2612771656419298E-3</v>
      </c>
    </row>
    <row r="18019" spans="1:6" x14ac:dyDescent="0.25">
      <c r="A18019" s="2" t="str">
        <f t="shared" si="644"/>
        <v>31700</v>
      </c>
      <c r="B18019" s="2" t="str">
        <f>"03054"</f>
        <v>03054</v>
      </c>
      <c r="C18019" s="1">
        <v>6.24578758560713E-2</v>
      </c>
      <c r="D18019" s="1">
        <v>6.2805963506898002E-2</v>
      </c>
      <c r="E18019" s="1">
        <v>1.56101768003449E-2</v>
      </c>
      <c r="F18019" s="1">
        <v>5.9943526370749803E-2</v>
      </c>
    </row>
    <row r="18020" spans="1:6" x14ac:dyDescent="0.25">
      <c r="A18020" s="2" t="str">
        <f t="shared" si="644"/>
        <v>31700</v>
      </c>
      <c r="B18020" s="2" t="str">
        <f>"03280"</f>
        <v>03280</v>
      </c>
      <c r="C18020" s="1">
        <v>5.4353734101532702E-6</v>
      </c>
      <c r="D18020" s="1">
        <v>0</v>
      </c>
      <c r="E18020" s="1">
        <v>0</v>
      </c>
      <c r="F18020" s="1">
        <v>4.6827221600460701E-6</v>
      </c>
    </row>
    <row r="18021" spans="1:6" x14ac:dyDescent="0.25">
      <c r="A18021" s="2" t="str">
        <f t="shared" si="644"/>
        <v>31700</v>
      </c>
      <c r="B18021" s="2" t="str">
        <f>"03061"</f>
        <v>03061</v>
      </c>
      <c r="C18021" s="1">
        <v>7.8269377106207107E-3</v>
      </c>
      <c r="D18021" s="1">
        <v>2.7202937249666201E-2</v>
      </c>
      <c r="E18021" s="1">
        <v>8.6244070720137899E-5</v>
      </c>
      <c r="F18021" s="1">
        <v>9.0376537688889296E-3</v>
      </c>
    </row>
    <row r="18022" spans="1:6" x14ac:dyDescent="0.25">
      <c r="A18022" s="2" t="str">
        <f t="shared" si="644"/>
        <v>31700</v>
      </c>
      <c r="B18022" s="2" t="str">
        <f>"03045"</f>
        <v>03045</v>
      </c>
      <c r="C18022" s="1">
        <v>3.1568648766170201E-2</v>
      </c>
      <c r="D18022" s="1">
        <v>2.2975077881619899E-2</v>
      </c>
      <c r="E18022" s="1">
        <v>1.9749892194911502E-2</v>
      </c>
      <c r="F18022" s="1">
        <v>3.02035579322972E-2</v>
      </c>
    </row>
    <row r="18023" spans="1:6" x14ac:dyDescent="0.25">
      <c r="A18023" s="2" t="str">
        <f t="shared" si="644"/>
        <v>31700</v>
      </c>
      <c r="B18023" s="2" t="str">
        <f>"03442"</f>
        <v>03442</v>
      </c>
      <c r="C18023" s="1">
        <v>3.50038047613871E-3</v>
      </c>
      <c r="D18023" s="1">
        <v>9.45705384957721E-4</v>
      </c>
      <c r="E18023" s="1">
        <v>1.29366106080206E-3</v>
      </c>
      <c r="F18023" s="1">
        <v>3.16552018019114E-3</v>
      </c>
    </row>
    <row r="18024" spans="1:6" x14ac:dyDescent="0.25">
      <c r="A18024" s="2" t="str">
        <f t="shared" si="644"/>
        <v>31700</v>
      </c>
      <c r="B18024" s="2" t="str">
        <f>"03063"</f>
        <v>03063</v>
      </c>
      <c r="C18024" s="1">
        <v>4.0482661158821598E-2</v>
      </c>
      <c r="D18024" s="1">
        <v>5.9301290609701802E-2</v>
      </c>
      <c r="E18024" s="1">
        <v>3.4497628288055103E-2</v>
      </c>
      <c r="F18024" s="1">
        <v>4.17417853346507E-2</v>
      </c>
    </row>
    <row r="18025" spans="1:6" x14ac:dyDescent="0.25">
      <c r="A18025" s="2" t="str">
        <f t="shared" si="644"/>
        <v>31700</v>
      </c>
      <c r="B18025" s="2" t="str">
        <f>"03064"</f>
        <v>03064</v>
      </c>
      <c r="C18025" s="1">
        <v>3.5916947494292799E-2</v>
      </c>
      <c r="D18025" s="1">
        <v>2.01379617267467E-2</v>
      </c>
      <c r="E18025" s="1">
        <v>3.3203967227253099E-2</v>
      </c>
      <c r="F18025" s="1">
        <v>3.4441421487138899E-2</v>
      </c>
    </row>
    <row r="18026" spans="1:6" x14ac:dyDescent="0.25">
      <c r="A18026" s="2" t="str">
        <f t="shared" si="644"/>
        <v>31700</v>
      </c>
      <c r="B18026" s="2" t="str">
        <f>"03033"</f>
        <v>03033</v>
      </c>
      <c r="C18026" s="1">
        <v>9.8760734862485006E-3</v>
      </c>
      <c r="D18026" s="1">
        <v>3.1708945260347102E-3</v>
      </c>
      <c r="E18026" s="1">
        <v>7.7619663648124102E-4</v>
      </c>
      <c r="F18026" s="1">
        <v>8.8175658273667596E-3</v>
      </c>
    </row>
    <row r="18027" spans="1:6" x14ac:dyDescent="0.25">
      <c r="A18027" s="2" t="str">
        <f t="shared" si="644"/>
        <v>31700</v>
      </c>
      <c r="B18027" s="2" t="str">
        <f>"03049"</f>
        <v>03049</v>
      </c>
      <c r="C18027" s="1">
        <v>2.08555277747581E-2</v>
      </c>
      <c r="D18027" s="1">
        <v>1.5520694259011999E-2</v>
      </c>
      <c r="E18027" s="1">
        <v>2.4148339801638601E-3</v>
      </c>
      <c r="F18027" s="1">
        <v>1.9405200631230898E-2</v>
      </c>
    </row>
    <row r="18028" spans="1:6" x14ac:dyDescent="0.25">
      <c r="A18028" s="2" t="str">
        <f t="shared" si="644"/>
        <v>31700</v>
      </c>
      <c r="B18028" s="2" t="str">
        <f>"03449"</f>
        <v>03449</v>
      </c>
      <c r="C18028" s="1">
        <v>3.8808566148494398E-3</v>
      </c>
      <c r="D18028" s="1">
        <v>3.8940809968847302E-4</v>
      </c>
      <c r="E18028" s="1">
        <v>2.5873221216041301E-4</v>
      </c>
      <c r="F18028" s="1">
        <v>3.3902908438733599E-3</v>
      </c>
    </row>
    <row r="18029" spans="1:6" x14ac:dyDescent="0.25">
      <c r="A18029" s="2" t="str">
        <f t="shared" si="644"/>
        <v>31700</v>
      </c>
      <c r="B18029" s="2" t="str">
        <f>"03468"</f>
        <v>03468</v>
      </c>
      <c r="C18029" s="1">
        <v>5.4353734101532702E-6</v>
      </c>
      <c r="D18029" s="1">
        <v>5.5629728526924699E-5</v>
      </c>
      <c r="E18029" s="1">
        <v>1.7248814144027501E-4</v>
      </c>
      <c r="F18029" s="1">
        <v>1.8730888640184301E-5</v>
      </c>
    </row>
    <row r="18030" spans="1:6" x14ac:dyDescent="0.25">
      <c r="A18030" s="2" t="str">
        <f t="shared" si="644"/>
        <v>31700</v>
      </c>
      <c r="B18030" s="2" t="str">
        <f>"03108"</f>
        <v>03108</v>
      </c>
      <c r="C18030" s="1">
        <v>6.5387542124143898E-3</v>
      </c>
      <c r="D18030" s="1">
        <v>2.3197596795727599E-2</v>
      </c>
      <c r="E18030" s="1">
        <v>1.7248814144027501E-4</v>
      </c>
      <c r="F18030" s="1">
        <v>7.5953753435947296E-3</v>
      </c>
    </row>
    <row r="18031" spans="1:6" x14ac:dyDescent="0.25">
      <c r="A18031" s="2" t="str">
        <f t="shared" si="644"/>
        <v>31700</v>
      </c>
      <c r="B18031" s="2" t="str">
        <f>"03105"</f>
        <v>03105</v>
      </c>
      <c r="C18031" s="1">
        <v>1.0001087074682001E-2</v>
      </c>
      <c r="D18031" s="1">
        <v>1.99710725411659E-2</v>
      </c>
      <c r="E18031" s="1">
        <v>8.6244070720137899E-5</v>
      </c>
      <c r="F18031" s="1">
        <v>1.0301988752101299E-2</v>
      </c>
    </row>
    <row r="18032" spans="1:6" x14ac:dyDescent="0.25">
      <c r="A18032" s="2" t="str">
        <f t="shared" si="644"/>
        <v>31700</v>
      </c>
      <c r="B18032" s="2" t="str">
        <f>"03111"</f>
        <v>03111</v>
      </c>
      <c r="C18032" s="1">
        <v>0</v>
      </c>
      <c r="D18032" s="1">
        <v>0</v>
      </c>
      <c r="E18032" s="1">
        <v>8.6244070720137899E-5</v>
      </c>
      <c r="F18032" s="1">
        <v>4.6827221600460701E-6</v>
      </c>
    </row>
    <row r="18033" spans="1:6" x14ac:dyDescent="0.25">
      <c r="A18033" s="2" t="str">
        <f t="shared" si="644"/>
        <v>31700</v>
      </c>
      <c r="B18033" s="2" t="str">
        <f>"03109"</f>
        <v>03109</v>
      </c>
      <c r="C18033" s="1">
        <v>2.4252636156103902E-2</v>
      </c>
      <c r="D18033" s="1">
        <v>2.3642634623943001E-2</v>
      </c>
      <c r="E18033" s="1">
        <v>1.4316515739542899E-2</v>
      </c>
      <c r="F18033" s="1">
        <v>2.3661795074712801E-2</v>
      </c>
    </row>
    <row r="18034" spans="1:6" x14ac:dyDescent="0.25">
      <c r="A18034" s="2" t="str">
        <f t="shared" si="644"/>
        <v>31700</v>
      </c>
      <c r="B18034" s="2" t="str">
        <f>"03060"</f>
        <v>03060</v>
      </c>
      <c r="C18034" s="1">
        <v>7.7780193499293396E-2</v>
      </c>
      <c r="D18034" s="1">
        <v>0.120382732532265</v>
      </c>
      <c r="E18034" s="1">
        <v>0.107546356188012</v>
      </c>
      <c r="F18034" s="1">
        <v>8.2982519398176496E-2</v>
      </c>
    </row>
    <row r="18035" spans="1:6" x14ac:dyDescent="0.25">
      <c r="A18035" s="2" t="str">
        <f t="shared" si="644"/>
        <v>31700</v>
      </c>
      <c r="B18035" s="2" t="str">
        <f>"03052"</f>
        <v>03052</v>
      </c>
      <c r="C18035" s="1">
        <v>1.7360582672029501E-2</v>
      </c>
      <c r="D18035" s="1">
        <v>3.5046728971962599E-3</v>
      </c>
      <c r="E18035" s="1">
        <v>6.4683053040103401E-3</v>
      </c>
      <c r="F18035" s="1">
        <v>1.5602830237273499E-2</v>
      </c>
    </row>
    <row r="18036" spans="1:6" x14ac:dyDescent="0.25">
      <c r="A18036" s="2" t="str">
        <f t="shared" si="644"/>
        <v>31700</v>
      </c>
      <c r="B18036" s="2" t="str">
        <f>"03452"</f>
        <v>03452</v>
      </c>
      <c r="C18036" s="1">
        <v>1.63061202304598E-5</v>
      </c>
      <c r="D18036" s="1">
        <v>0</v>
      </c>
      <c r="E18036" s="1">
        <v>0</v>
      </c>
      <c r="F18036" s="1">
        <v>1.4048166480138199E-5</v>
      </c>
    </row>
    <row r="18037" spans="1:6" x14ac:dyDescent="0.25">
      <c r="A18037" s="2" t="str">
        <f t="shared" si="644"/>
        <v>31700</v>
      </c>
      <c r="B18037" s="2" t="str">
        <f>"03458"</f>
        <v>03458</v>
      </c>
      <c r="C18037" s="1">
        <v>1.8034568974888501E-2</v>
      </c>
      <c r="D18037" s="1">
        <v>2.69804183355585E-2</v>
      </c>
      <c r="E18037" s="1">
        <v>1.94911599827511E-2</v>
      </c>
      <c r="F18037" s="1">
        <v>1.88666875828256E-2</v>
      </c>
    </row>
    <row r="18038" spans="1:6" x14ac:dyDescent="0.25">
      <c r="A18038" s="2" t="str">
        <f t="shared" si="644"/>
        <v>31700</v>
      </c>
      <c r="B18038" s="2" t="str">
        <f>"03244"</f>
        <v>03244</v>
      </c>
      <c r="C18038" s="1">
        <v>1.7583432981845799E-2</v>
      </c>
      <c r="D18038" s="1">
        <v>5.7298620382732496E-3</v>
      </c>
      <c r="E18038" s="1">
        <v>4.4846916774471703E-3</v>
      </c>
      <c r="F18038" s="1">
        <v>1.5874428122556201E-2</v>
      </c>
    </row>
    <row r="18039" spans="1:6" x14ac:dyDescent="0.25">
      <c r="A18039" s="2" t="str">
        <f t="shared" si="644"/>
        <v>31700</v>
      </c>
      <c r="B18039" s="2" t="str">
        <f>"03110"</f>
        <v>03110</v>
      </c>
      <c r="C18039" s="1">
        <v>4.7412762256767001E-2</v>
      </c>
      <c r="D18039" s="1">
        <v>8.0273698264352406E-2</v>
      </c>
      <c r="E18039" s="1">
        <v>2.28546787408365E-2</v>
      </c>
      <c r="F18039" s="1">
        <v>4.8845474851440598E-2</v>
      </c>
    </row>
    <row r="18040" spans="1:6" x14ac:dyDescent="0.25">
      <c r="A18040" s="2" t="str">
        <f t="shared" si="644"/>
        <v>31700</v>
      </c>
      <c r="B18040" s="2" t="str">
        <f>"03101"</f>
        <v>03101</v>
      </c>
      <c r="C18040" s="1">
        <v>1.25176649635829E-2</v>
      </c>
      <c r="D18040" s="1">
        <v>8.90075656430796E-2</v>
      </c>
      <c r="E18040" s="1">
        <v>4.7520482966796E-2</v>
      </c>
      <c r="F18040" s="1">
        <v>2.0856844500845202E-2</v>
      </c>
    </row>
    <row r="18041" spans="1:6" x14ac:dyDescent="0.25">
      <c r="A18041" s="2" t="str">
        <f t="shared" si="644"/>
        <v>31700</v>
      </c>
      <c r="B18041" s="2" t="str">
        <f>"03086"</f>
        <v>03086</v>
      </c>
      <c r="C18041" s="1">
        <v>7.34862485052723E-3</v>
      </c>
      <c r="D18041" s="1">
        <v>2.0026702269692899E-3</v>
      </c>
      <c r="E18041" s="1">
        <v>1.2074169900819301E-3</v>
      </c>
      <c r="F18041" s="1">
        <v>6.5651764683846E-3</v>
      </c>
    </row>
    <row r="18042" spans="1:6" x14ac:dyDescent="0.25">
      <c r="A18042" s="2" t="str">
        <f t="shared" si="644"/>
        <v>31700</v>
      </c>
      <c r="B18042" s="2" t="str">
        <f>"03051"</f>
        <v>03051</v>
      </c>
      <c r="C18042" s="1">
        <v>5.6000652244809199E-2</v>
      </c>
      <c r="D18042" s="1">
        <v>6.4474855362705794E-2</v>
      </c>
      <c r="E18042" s="1">
        <v>2.05260888313928E-2</v>
      </c>
      <c r="F18042" s="1">
        <v>5.4787849272539102E-2</v>
      </c>
    </row>
    <row r="18043" spans="1:6" x14ac:dyDescent="0.25">
      <c r="A18043" s="2" t="str">
        <f t="shared" si="644"/>
        <v>31700</v>
      </c>
      <c r="B18043" s="2" t="str">
        <f>"03047"</f>
        <v>03047</v>
      </c>
      <c r="C18043" s="1">
        <v>3.39167300793564E-3</v>
      </c>
      <c r="D18043" s="1">
        <v>6.6755674232309701E-4</v>
      </c>
      <c r="E18043" s="1">
        <v>1.29366106080206E-3</v>
      </c>
      <c r="F18043" s="1">
        <v>3.04845212618999E-3</v>
      </c>
    </row>
    <row r="18044" spans="1:6" x14ac:dyDescent="0.25">
      <c r="A18044" s="2" t="str">
        <f t="shared" si="644"/>
        <v>31700</v>
      </c>
      <c r="B18044" s="2" t="str">
        <f>"03043"</f>
        <v>03043</v>
      </c>
      <c r="C18044" s="1">
        <v>3.4079791281660999E-3</v>
      </c>
      <c r="D18044" s="1">
        <v>3.8940809968847302E-4</v>
      </c>
      <c r="E18044" s="1">
        <v>5.1746442432082699E-4</v>
      </c>
      <c r="F18044" s="1">
        <v>2.9969421824294802E-3</v>
      </c>
    </row>
    <row r="18045" spans="1:6" x14ac:dyDescent="0.25">
      <c r="A18045" s="2" t="str">
        <f t="shared" si="644"/>
        <v>31700</v>
      </c>
      <c r="B18045" s="2" t="str">
        <f>"03281"</f>
        <v>03281</v>
      </c>
      <c r="C18045" s="1">
        <v>1.9339058593325301E-2</v>
      </c>
      <c r="D18045" s="1">
        <v>6.8980863373386703E-3</v>
      </c>
      <c r="E18045" s="1">
        <v>7.8482104355325506E-3</v>
      </c>
      <c r="F18045" s="1">
        <v>1.7667910709853799E-2</v>
      </c>
    </row>
    <row r="18046" spans="1:6" x14ac:dyDescent="0.25">
      <c r="A18046" s="2" t="str">
        <f t="shared" si="644"/>
        <v>31700</v>
      </c>
      <c r="B18046" s="2" t="str">
        <f>"03104"</f>
        <v>03104</v>
      </c>
      <c r="C18046" s="1">
        <v>8.1155560386998504E-2</v>
      </c>
      <c r="D18046" s="1">
        <v>3.9052069425901198E-2</v>
      </c>
      <c r="E18046" s="1">
        <v>0.12669253988788201</v>
      </c>
      <c r="F18046" s="1">
        <v>8.0083914381107998E-2</v>
      </c>
    </row>
    <row r="18047" spans="1:6" x14ac:dyDescent="0.25">
      <c r="A18047" s="2" t="str">
        <f t="shared" si="644"/>
        <v>31700</v>
      </c>
      <c r="B18047" s="2" t="str">
        <f>"03031"</f>
        <v>03031</v>
      </c>
      <c r="C18047" s="1">
        <v>2.91118599847809E-2</v>
      </c>
      <c r="D18047" s="1">
        <v>5.40164663996439E-2</v>
      </c>
      <c r="E18047" s="1">
        <v>1.0004312203536E-2</v>
      </c>
      <c r="F18047" s="1">
        <v>3.0170778877176799E-2</v>
      </c>
    </row>
    <row r="18048" spans="1:6" x14ac:dyDescent="0.25">
      <c r="A18048" s="2" t="str">
        <f t="shared" ref="A18048:A18079" si="645">"38860"</f>
        <v>38860</v>
      </c>
      <c r="B18048" s="2" t="str">
        <f>"04252"</f>
        <v>04252</v>
      </c>
      <c r="C18048" s="1">
        <v>1.3988655200632201E-5</v>
      </c>
      <c r="D18048" s="1">
        <v>0</v>
      </c>
      <c r="E18048" s="1">
        <v>0</v>
      </c>
      <c r="F18048" s="1">
        <v>1.2247922446155E-5</v>
      </c>
    </row>
    <row r="18049" spans="1:6" x14ac:dyDescent="0.25">
      <c r="A18049" s="2" t="str">
        <f t="shared" si="645"/>
        <v>38860</v>
      </c>
      <c r="B18049" s="2" t="str">
        <f>"04123"</f>
        <v>04123</v>
      </c>
      <c r="C18049" s="1">
        <v>0</v>
      </c>
      <c r="D18049" s="1">
        <v>4.02592696968476E-5</v>
      </c>
      <c r="E18049" s="1">
        <v>0</v>
      </c>
      <c r="F18049" s="1">
        <v>3.0619806115387601E-6</v>
      </c>
    </row>
    <row r="18050" spans="1:6" x14ac:dyDescent="0.25">
      <c r="A18050" s="2" t="str">
        <f t="shared" si="645"/>
        <v>38860</v>
      </c>
      <c r="B18050" s="2" t="str">
        <f>"04116"</f>
        <v>04116</v>
      </c>
      <c r="C18050" s="1">
        <v>1.3848768648625899E-3</v>
      </c>
      <c r="D18050" s="1">
        <v>8.6154837151254E-3</v>
      </c>
      <c r="E18050" s="1">
        <v>1.2657426745142701E-4</v>
      </c>
      <c r="F18050" s="1">
        <v>1.87393213426172E-3</v>
      </c>
    </row>
    <row r="18051" spans="1:6" x14ac:dyDescent="0.25">
      <c r="A18051" s="2" t="str">
        <f t="shared" si="645"/>
        <v>38860</v>
      </c>
      <c r="B18051" s="2" t="str">
        <f>"04112"</f>
        <v>04112</v>
      </c>
      <c r="C18051" s="1">
        <v>4.8016058976170298E-3</v>
      </c>
      <c r="D18051" s="1">
        <v>2.1216635130238699E-2</v>
      </c>
      <c r="E18051" s="1">
        <v>1.2657426745142701E-4</v>
      </c>
      <c r="F18051" s="1">
        <v>5.8238871231467296E-3</v>
      </c>
    </row>
    <row r="18052" spans="1:6" x14ac:dyDescent="0.25">
      <c r="A18052" s="2" t="str">
        <f t="shared" si="645"/>
        <v>38860</v>
      </c>
      <c r="B18052" s="2" t="str">
        <f>"04097"</f>
        <v>04097</v>
      </c>
      <c r="C18052" s="1">
        <v>5.3856322522434297E-3</v>
      </c>
      <c r="D18052" s="1">
        <v>1.4493337090865099E-3</v>
      </c>
      <c r="E18052" s="1">
        <v>5.6958420353142201E-4</v>
      </c>
      <c r="F18052" s="1">
        <v>4.8532392692889397E-3</v>
      </c>
    </row>
    <row r="18053" spans="1:6" x14ac:dyDescent="0.25">
      <c r="A18053" s="2" t="str">
        <f t="shared" si="645"/>
        <v>38860</v>
      </c>
      <c r="B18053" s="2" t="str">
        <f>"04078"</f>
        <v>04078</v>
      </c>
      <c r="C18053" s="1">
        <v>0</v>
      </c>
      <c r="D18053" s="1">
        <v>0</v>
      </c>
      <c r="E18053" s="1">
        <v>6.3287133725713505E-5</v>
      </c>
      <c r="F18053" s="1">
        <v>3.0619806115387601E-6</v>
      </c>
    </row>
    <row r="18054" spans="1:6" x14ac:dyDescent="0.25">
      <c r="A18054" s="2" t="str">
        <f t="shared" si="645"/>
        <v>38860</v>
      </c>
      <c r="B18054" s="2" t="str">
        <f>"04071"</f>
        <v>04071</v>
      </c>
      <c r="C18054" s="1">
        <v>1.42474453218439E-2</v>
      </c>
      <c r="D18054" s="1">
        <v>8.2934095575506201E-3</v>
      </c>
      <c r="E18054" s="1">
        <v>2.4049110815771101E-3</v>
      </c>
      <c r="F18054" s="1">
        <v>1.32216322806243E-2</v>
      </c>
    </row>
    <row r="18055" spans="1:6" x14ac:dyDescent="0.25">
      <c r="A18055" s="2" t="str">
        <f t="shared" si="645"/>
        <v>38860</v>
      </c>
      <c r="B18055" s="2" t="str">
        <f>"04040"</f>
        <v>04040</v>
      </c>
      <c r="C18055" s="1">
        <v>4.99045274282556E-3</v>
      </c>
      <c r="D18055" s="1">
        <v>6.8440758484640996E-4</v>
      </c>
      <c r="E18055" s="1">
        <v>3.1643566862856701E-4</v>
      </c>
      <c r="F18055" s="1">
        <v>4.4368099061196696E-3</v>
      </c>
    </row>
    <row r="18056" spans="1:6" x14ac:dyDescent="0.25">
      <c r="A18056" s="2" t="str">
        <f t="shared" si="645"/>
        <v>38860</v>
      </c>
      <c r="B18056" s="2" t="str">
        <f>"04028"</f>
        <v>04028</v>
      </c>
      <c r="C18056" s="1">
        <v>0</v>
      </c>
      <c r="D18056" s="1">
        <v>0</v>
      </c>
      <c r="E18056" s="1">
        <v>6.3287133725713505E-5</v>
      </c>
      <c r="F18056" s="1">
        <v>3.0619806115387601E-6</v>
      </c>
    </row>
    <row r="18057" spans="1:6" x14ac:dyDescent="0.25">
      <c r="A18057" s="2" t="str">
        <f t="shared" si="645"/>
        <v>38860</v>
      </c>
      <c r="B18057" s="2" t="str">
        <f>"04003"</f>
        <v>04003</v>
      </c>
      <c r="C18057" s="1">
        <v>7.5888454463430102E-4</v>
      </c>
      <c r="D18057" s="1">
        <v>2.8181488787793298E-4</v>
      </c>
      <c r="E18057" s="1">
        <v>2.5314853490285402E-4</v>
      </c>
      <c r="F18057" s="1">
        <v>6.9813157943083898E-4</v>
      </c>
    </row>
    <row r="18058" spans="1:6" x14ac:dyDescent="0.25">
      <c r="A18058" s="2" t="str">
        <f t="shared" si="645"/>
        <v>38860</v>
      </c>
      <c r="B18058" s="2" t="str">
        <f>"03911"</f>
        <v>03911</v>
      </c>
      <c r="C18058" s="1">
        <v>3.1194701097410002E-3</v>
      </c>
      <c r="D18058" s="1">
        <v>2.3350376424171601E-3</v>
      </c>
      <c r="E18058" s="1">
        <v>1.2657426745142701E-4</v>
      </c>
      <c r="F18058" s="1">
        <v>2.9150055421848999E-3</v>
      </c>
    </row>
    <row r="18059" spans="1:6" x14ac:dyDescent="0.25">
      <c r="A18059" s="2" t="str">
        <f t="shared" si="645"/>
        <v>38860</v>
      </c>
      <c r="B18059" s="2" t="str">
        <f>"04001"</f>
        <v>04001</v>
      </c>
      <c r="C18059" s="1">
        <v>4.5742902506067497E-3</v>
      </c>
      <c r="D18059" s="1">
        <v>5.2337050605901999E-4</v>
      </c>
      <c r="E18059" s="1">
        <v>1.2657426745142701E-4</v>
      </c>
      <c r="F18059" s="1">
        <v>4.0510003490657797E-3</v>
      </c>
    </row>
    <row r="18060" spans="1:6" x14ac:dyDescent="0.25">
      <c r="A18060" s="2" t="str">
        <f t="shared" si="645"/>
        <v>38860</v>
      </c>
      <c r="B18060" s="2" t="str">
        <f>"04530"</f>
        <v>04530</v>
      </c>
      <c r="C18060" s="1">
        <v>2.03220188427185E-2</v>
      </c>
      <c r="D18060" s="1">
        <v>1.9646523612061598E-2</v>
      </c>
      <c r="E18060" s="1">
        <v>2.4681982153028199E-2</v>
      </c>
      <c r="F18060" s="1">
        <v>2.0481588310582801E-2</v>
      </c>
    </row>
    <row r="18061" spans="1:6" x14ac:dyDescent="0.25">
      <c r="A18061" s="2" t="str">
        <f t="shared" si="645"/>
        <v>38860</v>
      </c>
      <c r="B18061" s="2" t="str">
        <f>"04287"</f>
        <v>04287</v>
      </c>
      <c r="C18061" s="1">
        <v>4.5008498108034299E-3</v>
      </c>
      <c r="D18061" s="1">
        <v>4.4285196666532398E-4</v>
      </c>
      <c r="E18061" s="1">
        <v>1.8986140117714E-4</v>
      </c>
      <c r="F18061" s="1">
        <v>3.9836367756119302E-3</v>
      </c>
    </row>
    <row r="18062" spans="1:6" x14ac:dyDescent="0.25">
      <c r="A18062" s="2" t="str">
        <f t="shared" si="645"/>
        <v>38860</v>
      </c>
      <c r="B18062" s="2" t="str">
        <f>"04070"</f>
        <v>04070</v>
      </c>
      <c r="C18062" s="1">
        <v>5.7038741580578102E-3</v>
      </c>
      <c r="D18062" s="1">
        <v>1.97270421514553E-2</v>
      </c>
      <c r="E18062" s="1">
        <v>1.2657426745142701E-4</v>
      </c>
      <c r="F18062" s="1">
        <v>6.5005848382968003E-3</v>
      </c>
    </row>
    <row r="18063" spans="1:6" x14ac:dyDescent="0.25">
      <c r="A18063" s="2" t="str">
        <f t="shared" si="645"/>
        <v>38860</v>
      </c>
      <c r="B18063" s="2" t="str">
        <f>"04055"</f>
        <v>04055</v>
      </c>
      <c r="C18063" s="1">
        <v>7.0048190917166098E-3</v>
      </c>
      <c r="D18063" s="1">
        <v>2.4558154515076998E-3</v>
      </c>
      <c r="E18063" s="1">
        <v>3.54407948863995E-3</v>
      </c>
      <c r="F18063" s="1">
        <v>6.4913988964621803E-3</v>
      </c>
    </row>
    <row r="18064" spans="1:6" x14ac:dyDescent="0.25">
      <c r="A18064" s="2" t="str">
        <f t="shared" si="645"/>
        <v>38860</v>
      </c>
      <c r="B18064" s="2" t="str">
        <f>"04048"</f>
        <v>04048</v>
      </c>
      <c r="C18064" s="1">
        <v>4.70018814741244E-3</v>
      </c>
      <c r="D18064" s="1">
        <v>1.3688151696928199E-3</v>
      </c>
      <c r="E18064" s="1">
        <v>8.2273273843427603E-4</v>
      </c>
      <c r="F18064" s="1">
        <v>4.2592150306504199E-3</v>
      </c>
    </row>
    <row r="18065" spans="1:6" x14ac:dyDescent="0.25">
      <c r="A18065" s="2" t="str">
        <f t="shared" si="645"/>
        <v>38860</v>
      </c>
      <c r="B18065" s="2" t="str">
        <f>"04033"</f>
        <v>04033</v>
      </c>
      <c r="C18065" s="1">
        <v>0</v>
      </c>
      <c r="D18065" s="1">
        <v>4.02592696968476E-5</v>
      </c>
      <c r="E18065" s="1">
        <v>6.3287133725713505E-5</v>
      </c>
      <c r="F18065" s="1">
        <v>6.1239612230775304E-6</v>
      </c>
    </row>
    <row r="18066" spans="1:6" x14ac:dyDescent="0.25">
      <c r="A18066" s="2" t="str">
        <f t="shared" si="645"/>
        <v>38860</v>
      </c>
      <c r="B18066" s="2" t="str">
        <f>"04027"</f>
        <v>04027</v>
      </c>
      <c r="C18066" s="1">
        <v>1.02816615724647E-2</v>
      </c>
      <c r="D18066" s="1">
        <v>2.7778896090824901E-3</v>
      </c>
      <c r="E18066" s="1">
        <v>1.6454654768685499E-3</v>
      </c>
      <c r="F18066" s="1">
        <v>9.2931111560201601E-3</v>
      </c>
    </row>
    <row r="18067" spans="1:6" x14ac:dyDescent="0.25">
      <c r="A18067" s="2" t="str">
        <f t="shared" si="645"/>
        <v>38860</v>
      </c>
      <c r="B18067" s="2" t="str">
        <f>"04009"</f>
        <v>04009</v>
      </c>
      <c r="C18067" s="1">
        <v>1.05894119868786E-2</v>
      </c>
      <c r="D18067" s="1">
        <v>1.10310398969362E-2</v>
      </c>
      <c r="E18067" s="1">
        <v>9.2399215239541803E-3</v>
      </c>
      <c r="F18067" s="1">
        <v>1.0557709148585601E-2</v>
      </c>
    </row>
    <row r="18068" spans="1:6" x14ac:dyDescent="0.25">
      <c r="A18068" s="2" t="str">
        <f t="shared" si="645"/>
        <v>38860</v>
      </c>
      <c r="B18068" s="2" t="str">
        <f>"03901"</f>
        <v>03901</v>
      </c>
      <c r="C18068" s="1">
        <v>1.62897889811362E-2</v>
      </c>
      <c r="D18068" s="1">
        <v>6.8038165787672597E-3</v>
      </c>
      <c r="E18068" s="1">
        <v>7.4678817796342001E-3</v>
      </c>
      <c r="F18068" s="1">
        <v>1.5141494124059201E-2</v>
      </c>
    </row>
    <row r="18069" spans="1:6" x14ac:dyDescent="0.25">
      <c r="A18069" s="2" t="str">
        <f t="shared" si="645"/>
        <v>38860</v>
      </c>
      <c r="B18069" s="2" t="str">
        <f>"04562"</f>
        <v>04562</v>
      </c>
      <c r="C18069" s="1">
        <v>4.44139802620075E-3</v>
      </c>
      <c r="D18069" s="1">
        <v>7.2466685454325799E-4</v>
      </c>
      <c r="E18069" s="1">
        <v>8.2273273843427603E-4</v>
      </c>
      <c r="F18069" s="1">
        <v>3.9836367756119302E-3</v>
      </c>
    </row>
    <row r="18070" spans="1:6" x14ac:dyDescent="0.25">
      <c r="A18070" s="2" t="str">
        <f t="shared" si="645"/>
        <v>38860</v>
      </c>
      <c r="B18070" s="2" t="str">
        <f>"04107"</f>
        <v>04107</v>
      </c>
      <c r="C18070" s="1">
        <v>1.46496191588621E-2</v>
      </c>
      <c r="D18070" s="1">
        <v>3.3415193848383498E-3</v>
      </c>
      <c r="E18070" s="1">
        <v>4.3035250933485198E-3</v>
      </c>
      <c r="F18070" s="1">
        <v>1.32889958540782E-2</v>
      </c>
    </row>
    <row r="18071" spans="1:6" x14ac:dyDescent="0.25">
      <c r="A18071" s="2" t="str">
        <f t="shared" si="645"/>
        <v>38860</v>
      </c>
      <c r="B18071" s="2" t="str">
        <f>"04101"</f>
        <v>04101</v>
      </c>
      <c r="C18071" s="1">
        <v>4.1707175480685102E-2</v>
      </c>
      <c r="D18071" s="1">
        <v>0.138290591408671</v>
      </c>
      <c r="E18071" s="1">
        <v>0.168217201442946</v>
      </c>
      <c r="F18071" s="1">
        <v>5.5173828639317003E-2</v>
      </c>
    </row>
    <row r="18072" spans="1:6" x14ac:dyDescent="0.25">
      <c r="A18072" s="2" t="str">
        <f t="shared" si="645"/>
        <v>38860</v>
      </c>
      <c r="B18072" s="2" t="str">
        <f>"04096"</f>
        <v>04096</v>
      </c>
      <c r="C18072" s="1">
        <v>1.38627573038265E-2</v>
      </c>
      <c r="D18072" s="1">
        <v>1.8076412093884602E-2</v>
      </c>
      <c r="E18072" s="1">
        <v>9.9993671286627405E-3</v>
      </c>
      <c r="F18072" s="1">
        <v>1.39963133753437E-2</v>
      </c>
    </row>
    <row r="18073" spans="1:6" x14ac:dyDescent="0.25">
      <c r="A18073" s="2" t="str">
        <f t="shared" si="645"/>
        <v>38860</v>
      </c>
      <c r="B18073" s="2" t="str">
        <f>"04085"</f>
        <v>04085</v>
      </c>
      <c r="C18073" s="1">
        <v>2.35009407370622E-3</v>
      </c>
      <c r="D18073" s="1">
        <v>2.8181488787793298E-4</v>
      </c>
      <c r="E18073" s="1">
        <v>5.0629706980570804E-4</v>
      </c>
      <c r="F18073" s="1">
        <v>2.1035806801271298E-3</v>
      </c>
    </row>
    <row r="18074" spans="1:6" x14ac:dyDescent="0.25">
      <c r="A18074" s="2" t="str">
        <f t="shared" si="645"/>
        <v>38860</v>
      </c>
      <c r="B18074" s="2" t="str">
        <f>"04090"</f>
        <v>04090</v>
      </c>
      <c r="C18074" s="1">
        <v>2.19132283717904E-2</v>
      </c>
      <c r="D18074" s="1">
        <v>1.4332300012077699E-2</v>
      </c>
      <c r="E18074" s="1">
        <v>1.1708119739257001E-2</v>
      </c>
      <c r="F18074" s="1">
        <v>2.0842902022744299E-2</v>
      </c>
    </row>
    <row r="18075" spans="1:6" x14ac:dyDescent="0.25">
      <c r="A18075" s="2" t="str">
        <f t="shared" si="645"/>
        <v>38860</v>
      </c>
      <c r="B18075" s="2" t="str">
        <f>"04079"</f>
        <v>04079</v>
      </c>
      <c r="C18075" s="1">
        <v>1.2065215110545299E-2</v>
      </c>
      <c r="D18075" s="1">
        <v>3.4622971939288999E-3</v>
      </c>
      <c r="E18075" s="1">
        <v>1.8986140117713999E-3</v>
      </c>
      <c r="F18075" s="1">
        <v>1.09190228607472E-2</v>
      </c>
    </row>
    <row r="18076" spans="1:6" x14ac:dyDescent="0.25">
      <c r="A18076" s="2" t="str">
        <f t="shared" si="645"/>
        <v>38860</v>
      </c>
      <c r="B18076" s="2" t="str">
        <f>"04083"</f>
        <v>04083</v>
      </c>
      <c r="C18076" s="1">
        <v>7.6587887223461704E-3</v>
      </c>
      <c r="D18076" s="1">
        <v>5.9181126454366101E-3</v>
      </c>
      <c r="E18076" s="1">
        <v>1.2530852477691199E-2</v>
      </c>
      <c r="F18076" s="1">
        <v>7.7621208502507699E-3</v>
      </c>
    </row>
    <row r="18077" spans="1:6" x14ac:dyDescent="0.25">
      <c r="A18077" s="2" t="str">
        <f t="shared" si="645"/>
        <v>38860</v>
      </c>
      <c r="B18077" s="2" t="str">
        <f>"04073"</f>
        <v>04073</v>
      </c>
      <c r="C18077" s="1">
        <v>2.8211620375875102E-2</v>
      </c>
      <c r="D18077" s="1">
        <v>2.69737106968879E-2</v>
      </c>
      <c r="E18077" s="1">
        <v>3.9048161508765201E-2</v>
      </c>
      <c r="F18077" s="1">
        <v>2.8641766640333601E-2</v>
      </c>
    </row>
    <row r="18078" spans="1:6" x14ac:dyDescent="0.25">
      <c r="A18078" s="2" t="str">
        <f t="shared" si="645"/>
        <v>38860</v>
      </c>
      <c r="B18078" s="2" t="str">
        <f>"04074"</f>
        <v>04074</v>
      </c>
      <c r="C18078" s="1">
        <v>3.5629104796010398E-2</v>
      </c>
      <c r="D18078" s="1">
        <v>4.2715085148355397E-2</v>
      </c>
      <c r="E18078" s="1">
        <v>2.0694892728308299E-2</v>
      </c>
      <c r="F18078" s="1">
        <v>3.5445487559172699E-2</v>
      </c>
    </row>
    <row r="18079" spans="1:6" x14ac:dyDescent="0.25">
      <c r="A18079" s="2" t="str">
        <f t="shared" si="645"/>
        <v>38860</v>
      </c>
      <c r="B18079" s="2" t="str">
        <f>"04039"</f>
        <v>04039</v>
      </c>
      <c r="C18079" s="1">
        <v>1.2187615843550799E-2</v>
      </c>
      <c r="D18079" s="1">
        <v>7.3674463545231198E-3</v>
      </c>
      <c r="E18079" s="1">
        <v>5.3794063666856504E-3</v>
      </c>
      <c r="F18079" s="1">
        <v>1.14916132351049E-2</v>
      </c>
    </row>
    <row r="18080" spans="1:6" x14ac:dyDescent="0.25">
      <c r="A18080" s="2" t="str">
        <f t="shared" ref="A18080:A18111" si="646">"38860"</f>
        <v>38860</v>
      </c>
      <c r="B18080" s="2" t="str">
        <f>"04034"</f>
        <v>04034</v>
      </c>
      <c r="C18080" s="1">
        <v>0</v>
      </c>
      <c r="D18080" s="1">
        <v>4.02592696968476E-5</v>
      </c>
      <c r="E18080" s="1">
        <v>0</v>
      </c>
      <c r="F18080" s="1">
        <v>3.0619806115387601E-6</v>
      </c>
    </row>
    <row r="18081" spans="1:6" x14ac:dyDescent="0.25">
      <c r="A18081" s="2" t="str">
        <f t="shared" si="646"/>
        <v>38860</v>
      </c>
      <c r="B18081" s="2" t="str">
        <f>"03907"</f>
        <v>03907</v>
      </c>
      <c r="C18081" s="1">
        <v>1.5457463996698599E-3</v>
      </c>
      <c r="D18081" s="1">
        <v>6.8440758484640996E-4</v>
      </c>
      <c r="E18081" s="1">
        <v>1.8986140117714E-4</v>
      </c>
      <c r="F18081" s="1">
        <v>1.41463504253091E-3</v>
      </c>
    </row>
    <row r="18082" spans="1:6" x14ac:dyDescent="0.25">
      <c r="A18082" s="2" t="str">
        <f t="shared" si="646"/>
        <v>38860</v>
      </c>
      <c r="B18082" s="2" t="str">
        <f>"03905"</f>
        <v>03905</v>
      </c>
      <c r="C18082" s="1">
        <v>3.1509445839424202E-3</v>
      </c>
      <c r="D18082" s="1">
        <v>2.8181488787793298E-4</v>
      </c>
      <c r="E18082" s="1">
        <v>4.4300993607999402E-4</v>
      </c>
      <c r="F18082" s="1">
        <v>2.8017122595579702E-3</v>
      </c>
    </row>
    <row r="18083" spans="1:6" x14ac:dyDescent="0.25">
      <c r="A18083" s="2" t="str">
        <f t="shared" si="646"/>
        <v>38860</v>
      </c>
      <c r="B18083" s="2" t="str">
        <f>"04110"</f>
        <v>04110</v>
      </c>
      <c r="C18083" s="1">
        <v>2.9446119197330898E-3</v>
      </c>
      <c r="D18083" s="1">
        <v>6.8440758484640996E-4</v>
      </c>
      <c r="E18083" s="1">
        <v>1.4556040756914101E-3</v>
      </c>
      <c r="F18083" s="1">
        <v>2.7006668993771899E-3</v>
      </c>
    </row>
    <row r="18084" spans="1:6" x14ac:dyDescent="0.25">
      <c r="A18084" s="2" t="str">
        <f t="shared" si="646"/>
        <v>38860</v>
      </c>
      <c r="B18084" s="2" t="str">
        <f>"04108"</f>
        <v>04108</v>
      </c>
      <c r="C18084" s="1">
        <v>3.36776873955222E-3</v>
      </c>
      <c r="D18084" s="1">
        <v>1.32855589999597E-3</v>
      </c>
      <c r="E18084" s="1">
        <v>2.4681982153028198E-3</v>
      </c>
      <c r="F18084" s="1">
        <v>3.1691499329426199E-3</v>
      </c>
    </row>
    <row r="18085" spans="1:6" x14ac:dyDescent="0.25">
      <c r="A18085" s="2" t="str">
        <f t="shared" si="646"/>
        <v>38860</v>
      </c>
      <c r="B18085" s="2" t="str">
        <f>"04104"</f>
        <v>04104</v>
      </c>
      <c r="C18085" s="1">
        <v>8.6275030949899603E-3</v>
      </c>
      <c r="D18085" s="1">
        <v>3.08386005877853E-2</v>
      </c>
      <c r="E18085" s="1">
        <v>6.3287133725713505E-5</v>
      </c>
      <c r="F18085" s="1">
        <v>9.90244529771637E-3</v>
      </c>
    </row>
    <row r="18086" spans="1:6" x14ac:dyDescent="0.25">
      <c r="A18086" s="2" t="str">
        <f t="shared" si="646"/>
        <v>38860</v>
      </c>
      <c r="B18086" s="2" t="str">
        <f>"04091"</f>
        <v>04091</v>
      </c>
      <c r="C18086" s="1">
        <v>1.33241940786022E-3</v>
      </c>
      <c r="D18086" s="1">
        <v>3.62333427271629E-4</v>
      </c>
      <c r="E18086" s="1">
        <v>6.32871337257135E-4</v>
      </c>
      <c r="F18086" s="1">
        <v>1.2247922446155001E-3</v>
      </c>
    </row>
    <row r="18087" spans="1:6" x14ac:dyDescent="0.25">
      <c r="A18087" s="2" t="str">
        <f t="shared" si="646"/>
        <v>38860</v>
      </c>
      <c r="B18087" s="2" t="str">
        <f>"04094"</f>
        <v>04094</v>
      </c>
      <c r="C18087" s="1">
        <v>0</v>
      </c>
      <c r="D18087" s="1">
        <v>0</v>
      </c>
      <c r="E18087" s="1">
        <v>6.3287133725713505E-5</v>
      </c>
      <c r="F18087" s="1">
        <v>3.0619806115387601E-6</v>
      </c>
    </row>
    <row r="18088" spans="1:6" x14ac:dyDescent="0.25">
      <c r="A18088" s="2" t="str">
        <f t="shared" si="646"/>
        <v>38860</v>
      </c>
      <c r="B18088" s="2" t="str">
        <f>"04092"</f>
        <v>04092</v>
      </c>
      <c r="C18088" s="1">
        <v>3.34398802571114E-2</v>
      </c>
      <c r="D18088" s="1">
        <v>3.4099601433230001E-2</v>
      </c>
      <c r="E18088" s="1">
        <v>9.6323017530536001E-2</v>
      </c>
      <c r="F18088" s="1">
        <v>3.6532490676269E-2</v>
      </c>
    </row>
    <row r="18089" spans="1:6" x14ac:dyDescent="0.25">
      <c r="A18089" s="2" t="str">
        <f t="shared" si="646"/>
        <v>38860</v>
      </c>
      <c r="B18089" s="2" t="str">
        <f>"04076"</f>
        <v>04076</v>
      </c>
      <c r="C18089" s="1">
        <v>4.6162562162086499E-3</v>
      </c>
      <c r="D18089" s="1">
        <v>1.3688151696928199E-3</v>
      </c>
      <c r="E18089" s="1">
        <v>2.5314853490285402E-4</v>
      </c>
      <c r="F18089" s="1">
        <v>4.1581696704696396E-3</v>
      </c>
    </row>
    <row r="18090" spans="1:6" x14ac:dyDescent="0.25">
      <c r="A18090" s="2" t="str">
        <f t="shared" si="646"/>
        <v>38860</v>
      </c>
      <c r="B18090" s="2" t="str">
        <f>"04072"</f>
        <v>04072</v>
      </c>
      <c r="C18090" s="1">
        <v>3.8363886887733997E-2</v>
      </c>
      <c r="D18090" s="1">
        <v>2.8865896372639799E-2</v>
      </c>
      <c r="E18090" s="1">
        <v>3.5757230555028101E-2</v>
      </c>
      <c r="F18090" s="1">
        <v>3.7515386452572901E-2</v>
      </c>
    </row>
    <row r="18091" spans="1:6" x14ac:dyDescent="0.25">
      <c r="A18091" s="2" t="str">
        <f t="shared" si="646"/>
        <v>38860</v>
      </c>
      <c r="B18091" s="2" t="str">
        <f>"04054"</f>
        <v>04054</v>
      </c>
      <c r="C18091" s="1">
        <v>0</v>
      </c>
      <c r="D18091" s="1">
        <v>0</v>
      </c>
      <c r="E18091" s="1">
        <v>6.3287133725713505E-5</v>
      </c>
      <c r="F18091" s="1">
        <v>3.0619806115387601E-6</v>
      </c>
    </row>
    <row r="18092" spans="1:6" x14ac:dyDescent="0.25">
      <c r="A18092" s="2" t="str">
        <f t="shared" si="646"/>
        <v>38860</v>
      </c>
      <c r="B18092" s="2" t="str">
        <f>"04057"</f>
        <v>04057</v>
      </c>
      <c r="C18092" s="1">
        <v>3.49716380015807E-6</v>
      </c>
      <c r="D18092" s="1">
        <v>0</v>
      </c>
      <c r="E18092" s="1">
        <v>6.3287133725713505E-5</v>
      </c>
      <c r="F18092" s="1">
        <v>6.1239612230775304E-6</v>
      </c>
    </row>
    <row r="18093" spans="1:6" x14ac:dyDescent="0.25">
      <c r="A18093" s="2" t="str">
        <f t="shared" si="646"/>
        <v>38860</v>
      </c>
      <c r="B18093" s="2" t="str">
        <f>"04056"</f>
        <v>04056</v>
      </c>
      <c r="C18093" s="1">
        <v>1.0491491400474201E-5</v>
      </c>
      <c r="D18093" s="1">
        <v>0</v>
      </c>
      <c r="E18093" s="1">
        <v>6.3287133725713505E-5</v>
      </c>
      <c r="F18093" s="1">
        <v>1.2247922446155E-5</v>
      </c>
    </row>
    <row r="18094" spans="1:6" x14ac:dyDescent="0.25">
      <c r="A18094" s="2" t="str">
        <f t="shared" si="646"/>
        <v>38860</v>
      </c>
      <c r="B18094" s="2" t="str">
        <f>"04049"</f>
        <v>04049</v>
      </c>
      <c r="C18094" s="1">
        <v>4.9519839410238197E-3</v>
      </c>
      <c r="D18094" s="1">
        <v>4.8311123636217201E-4</v>
      </c>
      <c r="E18094" s="1">
        <v>8.8601987215998902E-4</v>
      </c>
      <c r="F18094" s="1">
        <v>4.4153760418388999E-3</v>
      </c>
    </row>
    <row r="18095" spans="1:6" x14ac:dyDescent="0.25">
      <c r="A18095" s="2" t="str">
        <f t="shared" si="646"/>
        <v>38860</v>
      </c>
      <c r="B18095" s="2" t="str">
        <f>"04038"</f>
        <v>04038</v>
      </c>
      <c r="C18095" s="1">
        <v>2.63196547599896E-2</v>
      </c>
      <c r="D18095" s="1">
        <v>1.5459559563589499E-2</v>
      </c>
      <c r="E18095" s="1">
        <v>1.1454971204354099E-2</v>
      </c>
      <c r="F18095" s="1">
        <v>2.47744851279601E-2</v>
      </c>
    </row>
    <row r="18096" spans="1:6" x14ac:dyDescent="0.25">
      <c r="A18096" s="2" t="str">
        <f t="shared" si="646"/>
        <v>38860</v>
      </c>
      <c r="B18096" s="2" t="str">
        <f>"04017"</f>
        <v>04017</v>
      </c>
      <c r="C18096" s="1">
        <v>1.6366726584739701E-3</v>
      </c>
      <c r="D18096" s="1">
        <v>6.0388904545271497E-4</v>
      </c>
      <c r="E18096" s="1">
        <v>1.2657426745142701E-4</v>
      </c>
      <c r="F18096" s="1">
        <v>1.4850605965963E-3</v>
      </c>
    </row>
    <row r="18097" spans="1:6" x14ac:dyDescent="0.25">
      <c r="A18097" s="2" t="str">
        <f t="shared" si="646"/>
        <v>38860</v>
      </c>
      <c r="B18097" s="2" t="str">
        <f>"04011"</f>
        <v>04011</v>
      </c>
      <c r="C18097" s="1">
        <v>4.1896022325893699E-2</v>
      </c>
      <c r="D18097" s="1">
        <v>5.1773420830146098E-2</v>
      </c>
      <c r="E18097" s="1">
        <v>3.8225428770330902E-2</v>
      </c>
      <c r="F18097" s="1">
        <v>4.24696710820427E-2</v>
      </c>
    </row>
    <row r="18098" spans="1:6" x14ac:dyDescent="0.25">
      <c r="A18098" s="2" t="str">
        <f t="shared" si="646"/>
        <v>38860</v>
      </c>
      <c r="B18098" s="2" t="str">
        <f>"03804"</f>
        <v>03804</v>
      </c>
      <c r="C18098" s="1">
        <v>0</v>
      </c>
      <c r="D18098" s="1">
        <v>8.0518539393695295E-5</v>
      </c>
      <c r="E18098" s="1">
        <v>1.8986140117714E-4</v>
      </c>
      <c r="F18098" s="1">
        <v>1.5309903057693801E-5</v>
      </c>
    </row>
    <row r="18099" spans="1:6" x14ac:dyDescent="0.25">
      <c r="A18099" s="2" t="str">
        <f t="shared" si="646"/>
        <v>38860</v>
      </c>
      <c r="B18099" s="2" t="str">
        <f>"04565"</f>
        <v>04565</v>
      </c>
      <c r="C18099" s="1">
        <v>0</v>
      </c>
      <c r="D18099" s="1">
        <v>0</v>
      </c>
      <c r="E18099" s="1">
        <v>6.3287133725713505E-5</v>
      </c>
      <c r="F18099" s="1">
        <v>3.0619806115387601E-6</v>
      </c>
    </row>
    <row r="18100" spans="1:6" x14ac:dyDescent="0.25">
      <c r="A18100" s="2" t="str">
        <f t="shared" si="646"/>
        <v>38860</v>
      </c>
      <c r="B18100" s="2" t="str">
        <f>"04579"</f>
        <v>04579</v>
      </c>
      <c r="C18100" s="1">
        <v>4.7876172424164004E-3</v>
      </c>
      <c r="D18100" s="1">
        <v>7.6492612424010602E-4</v>
      </c>
      <c r="E18100" s="1">
        <v>3.1643566862856701E-4</v>
      </c>
      <c r="F18100" s="1">
        <v>4.2653389918734996E-3</v>
      </c>
    </row>
    <row r="18101" spans="1:6" x14ac:dyDescent="0.25">
      <c r="A18101" s="2" t="str">
        <f t="shared" si="646"/>
        <v>38860</v>
      </c>
      <c r="B18101" s="2" t="str">
        <f>"04357"</f>
        <v>04357</v>
      </c>
      <c r="C18101" s="1">
        <v>5.9206983136676104E-3</v>
      </c>
      <c r="D18101" s="1">
        <v>4.0259269696847604E-3</v>
      </c>
      <c r="E18101" s="1">
        <v>4.55667362825137E-3</v>
      </c>
      <c r="F18101" s="1">
        <v>5.7105938405198004E-3</v>
      </c>
    </row>
    <row r="18102" spans="1:6" x14ac:dyDescent="0.25">
      <c r="A18102" s="2" t="str">
        <f t="shared" si="646"/>
        <v>38860</v>
      </c>
      <c r="B18102" s="2" t="str">
        <f>"04103"</f>
        <v>04103</v>
      </c>
      <c r="C18102" s="1">
        <v>5.0792807033495799E-2</v>
      </c>
      <c r="D18102" s="1">
        <v>4.9679938805909998E-2</v>
      </c>
      <c r="E18102" s="1">
        <v>6.9362698563381994E-2</v>
      </c>
      <c r="F18102" s="1">
        <v>5.1606621226874302E-2</v>
      </c>
    </row>
    <row r="18103" spans="1:6" x14ac:dyDescent="0.25">
      <c r="A18103" s="2" t="str">
        <f t="shared" si="646"/>
        <v>38860</v>
      </c>
      <c r="B18103" s="2" t="str">
        <f>"04063"</f>
        <v>04063</v>
      </c>
      <c r="C18103" s="1">
        <v>2.4480146601106501E-5</v>
      </c>
      <c r="D18103" s="1">
        <v>0</v>
      </c>
      <c r="E18103" s="1">
        <v>6.3287133725713505E-5</v>
      </c>
      <c r="F18103" s="1">
        <v>2.4495844892310101E-5</v>
      </c>
    </row>
    <row r="18104" spans="1:6" x14ac:dyDescent="0.25">
      <c r="A18104" s="2" t="str">
        <f t="shared" si="646"/>
        <v>38860</v>
      </c>
      <c r="B18104" s="2" t="str">
        <f>"04029"</f>
        <v>04029</v>
      </c>
      <c r="C18104" s="1">
        <v>3.4691864897568002E-3</v>
      </c>
      <c r="D18104" s="1">
        <v>6.4414831514956301E-4</v>
      </c>
      <c r="E18104" s="1">
        <v>5.6958420353142201E-4</v>
      </c>
      <c r="F18104" s="1">
        <v>3.1140342819349202E-3</v>
      </c>
    </row>
    <row r="18105" spans="1:6" x14ac:dyDescent="0.25">
      <c r="A18105" s="2" t="str">
        <f t="shared" si="646"/>
        <v>38860</v>
      </c>
      <c r="B18105" s="2" t="str">
        <f>"04013"</f>
        <v>04013</v>
      </c>
      <c r="C18105" s="1">
        <v>0</v>
      </c>
      <c r="D18105" s="1">
        <v>0</v>
      </c>
      <c r="E18105" s="1">
        <v>6.3287133725713505E-5</v>
      </c>
      <c r="F18105" s="1">
        <v>3.0619806115387601E-6</v>
      </c>
    </row>
    <row r="18106" spans="1:6" x14ac:dyDescent="0.25">
      <c r="A18106" s="2" t="str">
        <f t="shared" si="646"/>
        <v>38860</v>
      </c>
      <c r="B18106" s="2" t="str">
        <f>"04002"</f>
        <v>04002</v>
      </c>
      <c r="C18106" s="1">
        <v>1.13972568247151E-2</v>
      </c>
      <c r="D18106" s="1">
        <v>3.9856676999879201E-3</v>
      </c>
      <c r="E18106" s="1">
        <v>2.1517625466742599E-3</v>
      </c>
      <c r="F18106" s="1">
        <v>1.03862382343395E-2</v>
      </c>
    </row>
    <row r="18107" spans="1:6" x14ac:dyDescent="0.25">
      <c r="A18107" s="2" t="str">
        <f t="shared" si="646"/>
        <v>38860</v>
      </c>
      <c r="B18107" s="2" t="str">
        <f>"03908"</f>
        <v>03908</v>
      </c>
      <c r="C18107" s="1">
        <v>1.0687332573283E-2</v>
      </c>
      <c r="D18107" s="1">
        <v>3.8246306212005301E-3</v>
      </c>
      <c r="E18107" s="1">
        <v>5.8857034364913604E-3</v>
      </c>
      <c r="F18107" s="1">
        <v>9.9330651038317605E-3</v>
      </c>
    </row>
    <row r="18108" spans="1:6" x14ac:dyDescent="0.25">
      <c r="A18108" s="2" t="str">
        <f t="shared" si="646"/>
        <v>38860</v>
      </c>
      <c r="B18108" s="2" t="str">
        <f>"03903"</f>
        <v>03903</v>
      </c>
      <c r="C18108" s="1">
        <v>1.2037237800144001E-2</v>
      </c>
      <c r="D18108" s="1">
        <v>1.2158299448448E-2</v>
      </c>
      <c r="E18108" s="1">
        <v>4.4933864945256603E-3</v>
      </c>
      <c r="F18108" s="1">
        <v>1.16814560330203E-2</v>
      </c>
    </row>
    <row r="18109" spans="1:6" x14ac:dyDescent="0.25">
      <c r="A18109" s="2" t="str">
        <f t="shared" si="646"/>
        <v>38860</v>
      </c>
      <c r="B18109" s="2" t="str">
        <f>"03902"</f>
        <v>03902</v>
      </c>
      <c r="C18109" s="1">
        <v>5.9976359172710901E-3</v>
      </c>
      <c r="D18109" s="1">
        <v>3.3415193848383498E-3</v>
      </c>
      <c r="E18109" s="1">
        <v>1.8986140117714E-4</v>
      </c>
      <c r="F18109" s="1">
        <v>5.5146270813813203E-3</v>
      </c>
    </row>
    <row r="18110" spans="1:6" x14ac:dyDescent="0.25">
      <c r="A18110" s="2" t="str">
        <f t="shared" si="646"/>
        <v>38860</v>
      </c>
      <c r="B18110" s="2" t="str">
        <f>"04124"</f>
        <v>04124</v>
      </c>
      <c r="C18110" s="1">
        <v>0</v>
      </c>
      <c r="D18110" s="1">
        <v>4.02592696968476E-5</v>
      </c>
      <c r="E18110" s="1">
        <v>0</v>
      </c>
      <c r="F18110" s="1">
        <v>3.0619806115387601E-6</v>
      </c>
    </row>
    <row r="18111" spans="1:6" x14ac:dyDescent="0.25">
      <c r="A18111" s="2" t="str">
        <f t="shared" si="646"/>
        <v>38860</v>
      </c>
      <c r="B18111" s="2" t="str">
        <f>"04106"</f>
        <v>04106</v>
      </c>
      <c r="C18111" s="1">
        <v>4.3448763053163801E-2</v>
      </c>
      <c r="D18111" s="1">
        <v>5.9623978421031398E-2</v>
      </c>
      <c r="E18111" s="1">
        <v>5.7717865957850702E-2</v>
      </c>
      <c r="F18111" s="1">
        <v>4.5369366721169903E-2</v>
      </c>
    </row>
    <row r="18112" spans="1:6" x14ac:dyDescent="0.25">
      <c r="A18112" s="2" t="str">
        <f t="shared" ref="A18112:A18143" si="647">"38860"</f>
        <v>38860</v>
      </c>
      <c r="B18112" s="2" t="str">
        <f>"04102"</f>
        <v>04102</v>
      </c>
      <c r="C18112" s="1">
        <v>3.04567995355766E-2</v>
      </c>
      <c r="D18112" s="1">
        <v>3.5750231490800699E-2</v>
      </c>
      <c r="E18112" s="1">
        <v>8.7272957407759005E-2</v>
      </c>
      <c r="F18112" s="1">
        <v>3.3608299192249502E-2</v>
      </c>
    </row>
    <row r="18113" spans="1:6" x14ac:dyDescent="0.25">
      <c r="A18113" s="2" t="str">
        <f t="shared" si="647"/>
        <v>38860</v>
      </c>
      <c r="B18113" s="2" t="str">
        <f>"04093"</f>
        <v>04093</v>
      </c>
      <c r="C18113" s="1">
        <v>1.1607086652724599E-2</v>
      </c>
      <c r="D18113" s="1">
        <v>3.5025564636257402E-3</v>
      </c>
      <c r="E18113" s="1">
        <v>1.77203974431997E-3</v>
      </c>
      <c r="F18113" s="1">
        <v>1.0514841420024099E-2</v>
      </c>
    </row>
    <row r="18114" spans="1:6" x14ac:dyDescent="0.25">
      <c r="A18114" s="2" t="str">
        <f t="shared" si="647"/>
        <v>38860</v>
      </c>
      <c r="B18114" s="2" t="str">
        <f>"04084"</f>
        <v>04084</v>
      </c>
      <c r="C18114" s="1">
        <v>1.22470676281535E-2</v>
      </c>
      <c r="D18114" s="1">
        <v>3.9856676999879201E-3</v>
      </c>
      <c r="E18114" s="1">
        <v>3.54407948863995E-3</v>
      </c>
      <c r="F18114" s="1">
        <v>1.1197663096397199E-2</v>
      </c>
    </row>
    <row r="18115" spans="1:6" x14ac:dyDescent="0.25">
      <c r="A18115" s="2" t="str">
        <f t="shared" si="647"/>
        <v>38860</v>
      </c>
      <c r="B18115" s="2" t="str">
        <f>"04082"</f>
        <v>04082</v>
      </c>
      <c r="C18115" s="1">
        <v>0</v>
      </c>
      <c r="D18115" s="1">
        <v>0</v>
      </c>
      <c r="E18115" s="1">
        <v>6.3287133725713505E-5</v>
      </c>
      <c r="F18115" s="1">
        <v>3.0619806115387601E-6</v>
      </c>
    </row>
    <row r="18116" spans="1:6" x14ac:dyDescent="0.25">
      <c r="A18116" s="2" t="str">
        <f t="shared" si="647"/>
        <v>38860</v>
      </c>
      <c r="B18116" s="2" t="str">
        <f>"04077"</f>
        <v>04077</v>
      </c>
      <c r="C18116" s="1">
        <v>0</v>
      </c>
      <c r="D18116" s="1">
        <v>0</v>
      </c>
      <c r="E18116" s="1">
        <v>6.3287133725713505E-5</v>
      </c>
      <c r="F18116" s="1">
        <v>3.0619806115387601E-6</v>
      </c>
    </row>
    <row r="18117" spans="1:6" x14ac:dyDescent="0.25">
      <c r="A18117" s="2" t="str">
        <f t="shared" si="647"/>
        <v>38860</v>
      </c>
      <c r="B18117" s="2" t="str">
        <f>"04066"</f>
        <v>04066</v>
      </c>
      <c r="C18117" s="1">
        <v>1.5317577444692301E-3</v>
      </c>
      <c r="D18117" s="1">
        <v>3.2207415757478102E-4</v>
      </c>
      <c r="E18117" s="1">
        <v>6.32871337257135E-4</v>
      </c>
      <c r="F18117" s="1">
        <v>1.3962631588616699E-3</v>
      </c>
    </row>
    <row r="18118" spans="1:6" x14ac:dyDescent="0.25">
      <c r="A18118" s="2" t="str">
        <f t="shared" si="647"/>
        <v>38860</v>
      </c>
      <c r="B18118" s="2" t="str">
        <f>"04062"</f>
        <v>04062</v>
      </c>
      <c r="C18118" s="1">
        <v>3.2579577962272503E-2</v>
      </c>
      <c r="D18118" s="1">
        <v>3.6394379805950297E-2</v>
      </c>
      <c r="E18118" s="1">
        <v>1.9112714385165399E-2</v>
      </c>
      <c r="F18118" s="1">
        <v>3.2218159994610897E-2</v>
      </c>
    </row>
    <row r="18119" spans="1:6" x14ac:dyDescent="0.25">
      <c r="A18119" s="2" t="str">
        <f t="shared" si="647"/>
        <v>38860</v>
      </c>
      <c r="B18119" s="2" t="str">
        <f>"04047"</f>
        <v>04047</v>
      </c>
      <c r="C18119" s="1">
        <v>3.0005665405356198E-3</v>
      </c>
      <c r="D18119" s="1">
        <v>4.02592696968476E-4</v>
      </c>
      <c r="E18119" s="1">
        <v>5.6958420353142201E-4</v>
      </c>
      <c r="F18119" s="1">
        <v>2.6853569963194899E-3</v>
      </c>
    </row>
    <row r="18120" spans="1:6" x14ac:dyDescent="0.25">
      <c r="A18120" s="2" t="str">
        <f t="shared" si="647"/>
        <v>38860</v>
      </c>
      <c r="B18120" s="2" t="str">
        <f>"04046"</f>
        <v>04046</v>
      </c>
      <c r="C18120" s="1">
        <v>1.3254250802599E-2</v>
      </c>
      <c r="D18120" s="1">
        <v>6.0388904545271502E-3</v>
      </c>
      <c r="E18120" s="1">
        <v>2.7846338839313898E-3</v>
      </c>
      <c r="F18120" s="1">
        <v>1.2198930756370401E-2</v>
      </c>
    </row>
    <row r="18121" spans="1:6" x14ac:dyDescent="0.25">
      <c r="A18121" s="2" t="str">
        <f t="shared" si="647"/>
        <v>38860</v>
      </c>
      <c r="B18121" s="2" t="str">
        <f>"04032"</f>
        <v>04032</v>
      </c>
      <c r="C18121" s="1">
        <v>1.4873437642072201E-2</v>
      </c>
      <c r="D18121" s="1">
        <v>2.1941301984781902E-2</v>
      </c>
      <c r="E18121" s="1">
        <v>9.8727928612113106E-3</v>
      </c>
      <c r="F18121" s="1">
        <v>1.5169051949563001E-2</v>
      </c>
    </row>
    <row r="18122" spans="1:6" x14ac:dyDescent="0.25">
      <c r="A18122" s="2" t="str">
        <f t="shared" si="647"/>
        <v>38860</v>
      </c>
      <c r="B18122" s="2" t="str">
        <f>"04006"</f>
        <v>04006</v>
      </c>
      <c r="C18122" s="1">
        <v>0</v>
      </c>
      <c r="D18122" s="1">
        <v>0</v>
      </c>
      <c r="E18122" s="1">
        <v>6.3287133725713505E-5</v>
      </c>
      <c r="F18122" s="1">
        <v>3.0619806115387601E-6</v>
      </c>
    </row>
    <row r="18123" spans="1:6" x14ac:dyDescent="0.25">
      <c r="A18123" s="2" t="str">
        <f t="shared" si="647"/>
        <v>38860</v>
      </c>
      <c r="B18123" s="2" t="str">
        <f>"03910"</f>
        <v>03910</v>
      </c>
      <c r="C18123" s="1">
        <v>6.37882677148832E-3</v>
      </c>
      <c r="D18123" s="1">
        <v>3.42203792423205E-3</v>
      </c>
      <c r="E18123" s="1">
        <v>1.2657426745142701E-4</v>
      </c>
      <c r="F18123" s="1">
        <v>5.8514449486505799E-3</v>
      </c>
    </row>
    <row r="18124" spans="1:6" x14ac:dyDescent="0.25">
      <c r="A18124" s="2" t="str">
        <f t="shared" si="647"/>
        <v>38860</v>
      </c>
      <c r="B18124" s="2" t="str">
        <f>"04260"</f>
        <v>04260</v>
      </c>
      <c r="C18124" s="1">
        <v>8.1274086715673495E-3</v>
      </c>
      <c r="D18124" s="1">
        <v>5.9181126454366101E-3</v>
      </c>
      <c r="E18124" s="1">
        <v>2.1517625466742599E-3</v>
      </c>
      <c r="F18124" s="1">
        <v>7.6702614319046104E-3</v>
      </c>
    </row>
    <row r="18125" spans="1:6" x14ac:dyDescent="0.25">
      <c r="A18125" s="2" t="str">
        <f t="shared" si="647"/>
        <v>38860</v>
      </c>
      <c r="B18125" s="2" t="str">
        <f>"04222"</f>
        <v>04222</v>
      </c>
      <c r="C18125" s="1">
        <v>8.7429095003951706E-5</v>
      </c>
      <c r="D18125" s="1">
        <v>0</v>
      </c>
      <c r="E18125" s="1">
        <v>0</v>
      </c>
      <c r="F18125" s="1">
        <v>7.6549515288469095E-5</v>
      </c>
    </row>
    <row r="18126" spans="1:6" x14ac:dyDescent="0.25">
      <c r="A18126" s="2" t="str">
        <f t="shared" si="647"/>
        <v>38860</v>
      </c>
      <c r="B18126" s="2" t="str">
        <f>"04122"</f>
        <v>04122</v>
      </c>
      <c r="C18126" s="1">
        <v>0</v>
      </c>
      <c r="D18126" s="1">
        <v>4.02592696968476E-5</v>
      </c>
      <c r="E18126" s="1">
        <v>0</v>
      </c>
      <c r="F18126" s="1">
        <v>3.0619806115387601E-6</v>
      </c>
    </row>
    <row r="18127" spans="1:6" x14ac:dyDescent="0.25">
      <c r="A18127" s="2" t="str">
        <f t="shared" si="647"/>
        <v>38860</v>
      </c>
      <c r="B18127" s="2" t="str">
        <f>"04098"</f>
        <v>04098</v>
      </c>
      <c r="C18127" s="1">
        <v>3.4936666363579098E-3</v>
      </c>
      <c r="D18127" s="1">
        <v>6.5622609605861699E-3</v>
      </c>
      <c r="E18127" s="1">
        <v>6.3287133725713505E-5</v>
      </c>
      <c r="F18127" s="1">
        <v>3.56108345121958E-3</v>
      </c>
    </row>
    <row r="18128" spans="1:6" x14ac:dyDescent="0.25">
      <c r="A18128" s="2" t="str">
        <f t="shared" si="647"/>
        <v>38860</v>
      </c>
      <c r="B18128" s="2" t="str">
        <f>"04087"</f>
        <v>04087</v>
      </c>
      <c r="C18128" s="1">
        <v>3.1159729459408398E-3</v>
      </c>
      <c r="D18128" s="1">
        <v>2.2545191030234699E-3</v>
      </c>
      <c r="E18128" s="1">
        <v>3.7972280235428098E-4</v>
      </c>
      <c r="F18128" s="1">
        <v>2.9180675227964401E-3</v>
      </c>
    </row>
    <row r="18129" spans="1:6" x14ac:dyDescent="0.25">
      <c r="A18129" s="2" t="str">
        <f t="shared" si="647"/>
        <v>38860</v>
      </c>
      <c r="B18129" s="2" t="str">
        <f>"04086"</f>
        <v>04086</v>
      </c>
      <c r="C18129" s="1">
        <v>1.8825232736250901E-2</v>
      </c>
      <c r="D18129" s="1">
        <v>1.5942670799951601E-2</v>
      </c>
      <c r="E18129" s="1">
        <v>9.6829314600341693E-3</v>
      </c>
      <c r="F18129" s="1">
        <v>1.8163668987647898E-2</v>
      </c>
    </row>
    <row r="18130" spans="1:6" x14ac:dyDescent="0.25">
      <c r="A18130" s="2" t="str">
        <f t="shared" si="647"/>
        <v>38860</v>
      </c>
      <c r="B18130" s="2" t="str">
        <f>"04069"</f>
        <v>04069</v>
      </c>
      <c r="C18130" s="1">
        <v>2.2241961769005301E-3</v>
      </c>
      <c r="D18130" s="1">
        <v>4.8311123636217201E-4</v>
      </c>
      <c r="E18130" s="1">
        <v>6.9615847098284897E-4</v>
      </c>
      <c r="F18130" s="1">
        <v>2.01784522300404E-3</v>
      </c>
    </row>
    <row r="18131" spans="1:6" x14ac:dyDescent="0.25">
      <c r="A18131" s="2" t="str">
        <f t="shared" si="647"/>
        <v>38860</v>
      </c>
      <c r="B18131" s="2" t="str">
        <f>"04050"</f>
        <v>04050</v>
      </c>
      <c r="C18131" s="1">
        <v>1.40585984766354E-3</v>
      </c>
      <c r="D18131" s="1">
        <v>9.2596320302749697E-4</v>
      </c>
      <c r="E18131" s="1">
        <v>6.3287133725713505E-5</v>
      </c>
      <c r="F18131" s="1">
        <v>1.30440374051551E-3</v>
      </c>
    </row>
    <row r="18132" spans="1:6" x14ac:dyDescent="0.25">
      <c r="A18132" s="2" t="str">
        <f t="shared" si="647"/>
        <v>38860</v>
      </c>
      <c r="B18132" s="2" t="str">
        <f>"04042"</f>
        <v>04042</v>
      </c>
      <c r="C18132" s="1">
        <v>6.5781651080973301E-3</v>
      </c>
      <c r="D18132" s="1">
        <v>1.6103707878739001E-3</v>
      </c>
      <c r="E18132" s="1">
        <v>1.7087526105942601E-3</v>
      </c>
      <c r="F18132" s="1">
        <v>5.96473823127751E-3</v>
      </c>
    </row>
    <row r="18133" spans="1:6" x14ac:dyDescent="0.25">
      <c r="A18133" s="2" t="str">
        <f t="shared" si="647"/>
        <v>38860</v>
      </c>
      <c r="B18133" s="2" t="str">
        <f>"04030"</f>
        <v>04030</v>
      </c>
      <c r="C18133" s="1">
        <v>2.81521685912724E-3</v>
      </c>
      <c r="D18133" s="1">
        <v>1.7311485969644499E-3</v>
      </c>
      <c r="E18133" s="1">
        <v>4.4300993607999402E-4</v>
      </c>
      <c r="F18133" s="1">
        <v>2.61799342286564E-3</v>
      </c>
    </row>
    <row r="18134" spans="1:6" x14ac:dyDescent="0.25">
      <c r="A18134" s="2" t="str">
        <f t="shared" si="647"/>
        <v>38860</v>
      </c>
      <c r="B18134" s="2" t="str">
        <f>"04024"</f>
        <v>04024</v>
      </c>
      <c r="C18134" s="1">
        <v>6.1899799262797801E-4</v>
      </c>
      <c r="D18134" s="1">
        <v>2.4155561818108601E-4</v>
      </c>
      <c r="E18134" s="1">
        <v>2.5314853490285402E-4</v>
      </c>
      <c r="F18134" s="1">
        <v>5.72590374357749E-4</v>
      </c>
    </row>
    <row r="18135" spans="1:6" x14ac:dyDescent="0.25">
      <c r="A18135" s="2" t="str">
        <f t="shared" si="647"/>
        <v>38860</v>
      </c>
      <c r="B18135" s="2" t="str">
        <f>"04020"</f>
        <v>04020</v>
      </c>
      <c r="C18135" s="1">
        <v>2.09130395249452E-3</v>
      </c>
      <c r="D18135" s="1">
        <v>2.0532227545392301E-3</v>
      </c>
      <c r="E18135" s="1">
        <v>1.01259413961141E-3</v>
      </c>
      <c r="F18135" s="1">
        <v>2.0362171066732799E-3</v>
      </c>
    </row>
    <row r="18136" spans="1:6" x14ac:dyDescent="0.25">
      <c r="A18136" s="2" t="str">
        <f t="shared" si="647"/>
        <v>38860</v>
      </c>
      <c r="B18136" s="2" t="str">
        <f>"04008"</f>
        <v>04008</v>
      </c>
      <c r="C18136" s="1">
        <v>4.7561427682149696E-3</v>
      </c>
      <c r="D18136" s="1">
        <v>1.4493337090865099E-3</v>
      </c>
      <c r="E18136" s="1">
        <v>5.6958420353142201E-4</v>
      </c>
      <c r="F18136" s="1">
        <v>4.3020827592119603E-3</v>
      </c>
    </row>
    <row r="18137" spans="1:6" x14ac:dyDescent="0.25">
      <c r="A18137" s="2" t="str">
        <f t="shared" si="647"/>
        <v>38860</v>
      </c>
      <c r="B18137" s="2" t="str">
        <f>"04014"</f>
        <v>04014</v>
      </c>
      <c r="C18137" s="1">
        <v>0</v>
      </c>
      <c r="D18137" s="1">
        <v>0</v>
      </c>
      <c r="E18137" s="1">
        <v>6.3287133725713505E-5</v>
      </c>
      <c r="F18137" s="1">
        <v>3.0619806115387601E-6</v>
      </c>
    </row>
    <row r="18138" spans="1:6" x14ac:dyDescent="0.25">
      <c r="A18138" s="2" t="str">
        <f t="shared" si="647"/>
        <v>38860</v>
      </c>
      <c r="B18138" s="2" t="str">
        <f>"04005"</f>
        <v>04005</v>
      </c>
      <c r="C18138" s="1">
        <v>4.6281465731291903E-2</v>
      </c>
      <c r="D18138" s="1">
        <v>5.1531865211964997E-2</v>
      </c>
      <c r="E18138" s="1">
        <v>9.7398898803873105E-2</v>
      </c>
      <c r="F18138" s="1">
        <v>4.9153974757031801E-2</v>
      </c>
    </row>
    <row r="18139" spans="1:6" x14ac:dyDescent="0.25">
      <c r="A18139" s="2" t="str">
        <f t="shared" si="647"/>
        <v>38860</v>
      </c>
      <c r="B18139" s="2" t="str">
        <f>"03906"</f>
        <v>03906</v>
      </c>
      <c r="C18139" s="1">
        <v>6.4242899008903698E-3</v>
      </c>
      <c r="D18139" s="1">
        <v>1.2882966302991199E-3</v>
      </c>
      <c r="E18139" s="1">
        <v>3.9238022909942397E-3</v>
      </c>
      <c r="F18139" s="1">
        <v>5.9126845608813601E-3</v>
      </c>
    </row>
    <row r="18140" spans="1:6" x14ac:dyDescent="0.25">
      <c r="A18140" s="2" t="str">
        <f t="shared" si="647"/>
        <v>38860</v>
      </c>
      <c r="B18140" s="2" t="str">
        <f>"04548"</f>
        <v>04548</v>
      </c>
      <c r="C18140" s="1">
        <v>2.08780678869436E-3</v>
      </c>
      <c r="D18140" s="1">
        <v>4.4285196666532398E-4</v>
      </c>
      <c r="E18140" s="1">
        <v>9.4930700588570299E-4</v>
      </c>
      <c r="F18140" s="1">
        <v>1.90761392098865E-3</v>
      </c>
    </row>
    <row r="18141" spans="1:6" x14ac:dyDescent="0.25">
      <c r="A18141" s="2" t="str">
        <f t="shared" si="647"/>
        <v>38860</v>
      </c>
      <c r="B18141" s="2" t="str">
        <f>"04345"</f>
        <v>04345</v>
      </c>
      <c r="C18141" s="1">
        <v>1.7485819000790299E-5</v>
      </c>
      <c r="D18141" s="1">
        <v>0</v>
      </c>
      <c r="E18141" s="1">
        <v>0</v>
      </c>
      <c r="F18141" s="1">
        <v>1.5309903057693801E-5</v>
      </c>
    </row>
    <row r="18142" spans="1:6" x14ac:dyDescent="0.25">
      <c r="A18142" s="2" t="str">
        <f t="shared" si="647"/>
        <v>38860</v>
      </c>
      <c r="B18142" s="2" t="str">
        <f>"04109"</f>
        <v>04109</v>
      </c>
      <c r="C18142" s="1">
        <v>1.9584117280885201E-4</v>
      </c>
      <c r="D18142" s="1">
        <v>0</v>
      </c>
      <c r="E18142" s="1">
        <v>0</v>
      </c>
      <c r="F18142" s="1">
        <v>1.7147091424616999E-4</v>
      </c>
    </row>
    <row r="18143" spans="1:6" x14ac:dyDescent="0.25">
      <c r="A18143" s="2" t="str">
        <f t="shared" si="647"/>
        <v>38860</v>
      </c>
      <c r="B18143" s="2" t="str">
        <f>"04105"</f>
        <v>04105</v>
      </c>
      <c r="C18143" s="1">
        <v>1.8797255425849601E-2</v>
      </c>
      <c r="D18143" s="1">
        <v>1.89621160272152E-2</v>
      </c>
      <c r="E18143" s="1">
        <v>1.0885387000822699E-2</v>
      </c>
      <c r="F18143" s="1">
        <v>1.8426999320240299E-2</v>
      </c>
    </row>
    <row r="18144" spans="1:6" x14ac:dyDescent="0.25">
      <c r="A18144" s="2" t="str">
        <f t="shared" ref="A18144:A18153" si="648">"38860"</f>
        <v>38860</v>
      </c>
      <c r="B18144" s="2" t="str">
        <f>"04095"</f>
        <v>04095</v>
      </c>
      <c r="C18144" s="1">
        <v>2.3116252719044801E-3</v>
      </c>
      <c r="D18144" s="1">
        <v>2.4155561818108601E-4</v>
      </c>
      <c r="E18144" s="1">
        <v>1.8986140117714E-4</v>
      </c>
      <c r="F18144" s="1">
        <v>2.05152700973097E-3</v>
      </c>
    </row>
    <row r="18145" spans="1:6" x14ac:dyDescent="0.25">
      <c r="A18145" s="2" t="str">
        <f t="shared" si="648"/>
        <v>38860</v>
      </c>
      <c r="B18145" s="2" t="str">
        <f>"04064"</f>
        <v>04064</v>
      </c>
      <c r="C18145" s="1">
        <v>2.8879578661705301E-2</v>
      </c>
      <c r="D18145" s="1">
        <v>1.6425782036313799E-2</v>
      </c>
      <c r="E18145" s="1">
        <v>2.8605784444022501E-2</v>
      </c>
      <c r="F18145" s="1">
        <v>2.79191392160104E-2</v>
      </c>
    </row>
    <row r="18146" spans="1:6" x14ac:dyDescent="0.25">
      <c r="A18146" s="2" t="str">
        <f t="shared" si="648"/>
        <v>38860</v>
      </c>
      <c r="B18146" s="2" t="str">
        <f>"04061"</f>
        <v>04061</v>
      </c>
      <c r="C18146" s="1">
        <v>4.1756135773887296E-3</v>
      </c>
      <c r="D18146" s="1">
        <v>1.6103707878738999E-4</v>
      </c>
      <c r="E18146" s="1">
        <v>1.0758812733371299E-3</v>
      </c>
      <c r="F18146" s="1">
        <v>3.7203064430195998E-3</v>
      </c>
    </row>
    <row r="18147" spans="1:6" x14ac:dyDescent="0.25">
      <c r="A18147" s="2" t="str">
        <f t="shared" si="648"/>
        <v>38860</v>
      </c>
      <c r="B18147" s="2" t="str">
        <f>"04043"</f>
        <v>04043</v>
      </c>
      <c r="C18147" s="1">
        <v>2.2109069544599302E-2</v>
      </c>
      <c r="D18147" s="1">
        <v>2.9228229799911399E-2</v>
      </c>
      <c r="E18147" s="1">
        <v>1.86697044490855E-2</v>
      </c>
      <c r="F18147" s="1">
        <v>2.2484123630529099E-2</v>
      </c>
    </row>
    <row r="18148" spans="1:6" x14ac:dyDescent="0.25">
      <c r="A18148" s="2" t="str">
        <f t="shared" si="648"/>
        <v>38860</v>
      </c>
      <c r="B18148" s="2" t="str">
        <f>"04019"</f>
        <v>04019</v>
      </c>
      <c r="C18148" s="1">
        <v>0</v>
      </c>
      <c r="D18148" s="1">
        <v>4.02592696968476E-5</v>
      </c>
      <c r="E18148" s="1">
        <v>0</v>
      </c>
      <c r="F18148" s="1">
        <v>3.0619806115387601E-6</v>
      </c>
    </row>
    <row r="18149" spans="1:6" x14ac:dyDescent="0.25">
      <c r="A18149" s="2" t="str">
        <f t="shared" si="648"/>
        <v>38860</v>
      </c>
      <c r="B18149" s="2" t="str">
        <f>"04021"</f>
        <v>04021</v>
      </c>
      <c r="C18149" s="1">
        <v>1.0113797710057101E-2</v>
      </c>
      <c r="D18149" s="1">
        <v>6.68303876967671E-3</v>
      </c>
      <c r="E18149" s="1">
        <v>5.9489905702170701E-3</v>
      </c>
      <c r="F18149" s="1">
        <v>9.6513628875701894E-3</v>
      </c>
    </row>
    <row r="18150" spans="1:6" x14ac:dyDescent="0.25">
      <c r="A18150" s="2" t="str">
        <f t="shared" si="648"/>
        <v>38860</v>
      </c>
      <c r="B18150" s="2" t="str">
        <f>"04015"</f>
        <v>04015</v>
      </c>
      <c r="C18150" s="1">
        <v>6.7355374791044399E-3</v>
      </c>
      <c r="D18150" s="1">
        <v>1.8921856757518399E-3</v>
      </c>
      <c r="E18150" s="1">
        <v>1.2024555407885501E-3</v>
      </c>
      <c r="F18150" s="1">
        <v>6.0994653781852202E-3</v>
      </c>
    </row>
    <row r="18151" spans="1:6" x14ac:dyDescent="0.25">
      <c r="A18151" s="2" t="str">
        <f t="shared" si="648"/>
        <v>38860</v>
      </c>
      <c r="B18151" s="2" t="str">
        <f>"04004"</f>
        <v>04004</v>
      </c>
      <c r="C18151" s="1">
        <v>0</v>
      </c>
      <c r="D18151" s="1">
        <v>0</v>
      </c>
      <c r="E18151" s="1">
        <v>6.3287133725713505E-5</v>
      </c>
      <c r="F18151" s="1">
        <v>3.0619806115387601E-6</v>
      </c>
    </row>
    <row r="18152" spans="1:6" x14ac:dyDescent="0.25">
      <c r="A18152" s="2" t="str">
        <f t="shared" si="648"/>
        <v>38860</v>
      </c>
      <c r="B18152" s="2" t="str">
        <f>"03909"</f>
        <v>03909</v>
      </c>
      <c r="C18152" s="1">
        <v>2.00282570835052E-2</v>
      </c>
      <c r="D18152" s="1">
        <v>2.47191915938644E-2</v>
      </c>
      <c r="E18152" s="1">
        <v>1.2530852477691199E-2</v>
      </c>
      <c r="F18152" s="1">
        <v>2.0022291218852E-2</v>
      </c>
    </row>
    <row r="18153" spans="1:6" x14ac:dyDescent="0.25">
      <c r="A18153" s="2" t="str">
        <f t="shared" si="648"/>
        <v>38860</v>
      </c>
      <c r="B18153" s="2" t="str">
        <f>"03904"</f>
        <v>03904</v>
      </c>
      <c r="C18153" s="1">
        <v>1.76571800269981E-2</v>
      </c>
      <c r="D18153" s="1">
        <v>2.31490800756874E-2</v>
      </c>
      <c r="E18153" s="1">
        <v>1.43661793557369E-2</v>
      </c>
      <c r="F18153" s="1">
        <v>1.7915648558113301E-2</v>
      </c>
    </row>
    <row r="18154" spans="1:6" x14ac:dyDescent="0.25">
      <c r="A18154" s="2" t="str">
        <f t="shared" ref="A18154:A18194" si="649">"12300"</f>
        <v>12300</v>
      </c>
      <c r="B18154" s="2" t="str">
        <f>"04360"</f>
        <v>04360</v>
      </c>
      <c r="C18154" s="1">
        <v>3.92470490662164E-3</v>
      </c>
      <c r="D18154" s="1">
        <v>0</v>
      </c>
      <c r="E18154" s="1">
        <v>9.2656937688209403E-4</v>
      </c>
      <c r="F18154" s="1">
        <v>3.5064393346889802E-3</v>
      </c>
    </row>
    <row r="18155" spans="1:6" x14ac:dyDescent="0.25">
      <c r="A18155" s="2" t="str">
        <f t="shared" si="649"/>
        <v>12300</v>
      </c>
      <c r="B18155" s="2" t="str">
        <f>"04332"</f>
        <v>04332</v>
      </c>
      <c r="C18155" s="1">
        <v>1.4232609114201499E-2</v>
      </c>
      <c r="D18155" s="1">
        <v>4.7355473554735503E-2</v>
      </c>
      <c r="E18155" s="1">
        <v>4.6328468844104701E-4</v>
      </c>
      <c r="F18155" s="1">
        <v>1.5563898013452201E-2</v>
      </c>
    </row>
    <row r="18156" spans="1:6" x14ac:dyDescent="0.25">
      <c r="A18156" s="2" t="str">
        <f t="shared" si="649"/>
        <v>12300</v>
      </c>
      <c r="B18156" s="2" t="str">
        <f>"04350"</f>
        <v>04350</v>
      </c>
      <c r="C18156" s="1">
        <v>2.50736807807941E-2</v>
      </c>
      <c r="D18156" s="1">
        <v>4.9200492004919999E-3</v>
      </c>
      <c r="E18156" s="1">
        <v>1.6214964095436601E-3</v>
      </c>
      <c r="F18156" s="1">
        <v>2.2472495959121899E-2</v>
      </c>
    </row>
    <row r="18157" spans="1:6" x14ac:dyDescent="0.25">
      <c r="A18157" s="2" t="str">
        <f t="shared" si="649"/>
        <v>12300</v>
      </c>
      <c r="B18157" s="2" t="str">
        <f>"04978"</f>
        <v>04978</v>
      </c>
      <c r="C18157" s="1">
        <v>1.4810207194798599E-5</v>
      </c>
      <c r="D18157" s="1">
        <v>0</v>
      </c>
      <c r="E18157" s="1">
        <v>0</v>
      </c>
      <c r="F18157" s="1">
        <v>1.30350904635278E-5</v>
      </c>
    </row>
    <row r="18158" spans="1:6" x14ac:dyDescent="0.25">
      <c r="A18158" s="2" t="str">
        <f t="shared" si="649"/>
        <v>12300</v>
      </c>
      <c r="B18158" s="2" t="str">
        <f>"04926"</f>
        <v>04926</v>
      </c>
      <c r="C18158" s="1">
        <v>2.96204143895973E-5</v>
      </c>
      <c r="D18158" s="1">
        <v>0</v>
      </c>
      <c r="E18158" s="1">
        <v>2.3164234422052299E-4</v>
      </c>
      <c r="F18158" s="1">
        <v>3.9105271390583399E-5</v>
      </c>
    </row>
    <row r="18159" spans="1:6" x14ac:dyDescent="0.25">
      <c r="A18159" s="2" t="str">
        <f t="shared" si="649"/>
        <v>12300</v>
      </c>
      <c r="B18159" s="2" t="str">
        <f>"04927"</f>
        <v>04927</v>
      </c>
      <c r="C18159" s="1">
        <v>2.0556567586380501E-2</v>
      </c>
      <c r="D18159" s="1">
        <v>3.2800328003280001E-3</v>
      </c>
      <c r="E18159" s="1">
        <v>4.6328468844104697E-3</v>
      </c>
      <c r="F18159" s="1">
        <v>1.8561968820063598E-2</v>
      </c>
    </row>
    <row r="18160" spans="1:6" x14ac:dyDescent="0.25">
      <c r="A18160" s="2" t="str">
        <f t="shared" si="649"/>
        <v>12300</v>
      </c>
      <c r="B18160" s="2" t="str">
        <f>"04358"</f>
        <v>04358</v>
      </c>
      <c r="C18160" s="1">
        <v>2.46886153937293E-2</v>
      </c>
      <c r="D18160" s="1">
        <v>1.2505125051250499E-2</v>
      </c>
      <c r="E18160" s="1">
        <v>6.25434329395413E-3</v>
      </c>
      <c r="F18160" s="1">
        <v>2.28765837634913E-2</v>
      </c>
    </row>
    <row r="18161" spans="1:6" x14ac:dyDescent="0.25">
      <c r="A18161" s="2" t="str">
        <f t="shared" si="649"/>
        <v>12300</v>
      </c>
      <c r="B18161" s="2" t="str">
        <f>"04344"</f>
        <v>04344</v>
      </c>
      <c r="C18161" s="1">
        <v>2.1148975874172402E-2</v>
      </c>
      <c r="D18161" s="1">
        <v>2.3370233702337002E-2</v>
      </c>
      <c r="E18161" s="1">
        <v>2.5249015520036999E-2</v>
      </c>
      <c r="F18161" s="1">
        <v>2.1520934355284401E-2</v>
      </c>
    </row>
    <row r="18162" spans="1:6" x14ac:dyDescent="0.25">
      <c r="A18162" s="2" t="str">
        <f t="shared" si="649"/>
        <v>12300</v>
      </c>
      <c r="B18162" s="2" t="str">
        <f>"04346"</f>
        <v>04346</v>
      </c>
      <c r="C18162" s="1">
        <v>1.3477288547266699E-2</v>
      </c>
      <c r="D18162" s="1">
        <v>8.6100861008609995E-3</v>
      </c>
      <c r="E18162" s="1">
        <v>1.41301829974519E-2</v>
      </c>
      <c r="F18162" s="1">
        <v>1.32045466395536E-2</v>
      </c>
    </row>
    <row r="18163" spans="1:6" x14ac:dyDescent="0.25">
      <c r="A18163" s="2" t="str">
        <f t="shared" si="649"/>
        <v>12300</v>
      </c>
      <c r="B18163" s="2" t="str">
        <f>"04330"</f>
        <v>04330</v>
      </c>
      <c r="C18163" s="1">
        <v>0.202233379244975</v>
      </c>
      <c r="D18163" s="1">
        <v>0.34399343993439901</v>
      </c>
      <c r="E18163" s="1">
        <v>0.37039610840861698</v>
      </c>
      <c r="F18163" s="1">
        <v>0.22071015172845199</v>
      </c>
    </row>
    <row r="18164" spans="1:6" x14ac:dyDescent="0.25">
      <c r="A18164" s="2" t="str">
        <f t="shared" si="649"/>
        <v>12300</v>
      </c>
      <c r="B18164" s="2" t="str">
        <f>"04345"</f>
        <v>04345</v>
      </c>
      <c r="C18164" s="1">
        <v>9.5125960812191698E-2</v>
      </c>
      <c r="D18164" s="1">
        <v>7.7695776957769497E-2</v>
      </c>
      <c r="E18164" s="1">
        <v>6.9955987954598106E-2</v>
      </c>
      <c r="F18164" s="1">
        <v>9.2601282652901601E-2</v>
      </c>
    </row>
    <row r="18165" spans="1:6" x14ac:dyDescent="0.25">
      <c r="A18165" s="2" t="str">
        <f t="shared" si="649"/>
        <v>12300</v>
      </c>
      <c r="B18165" s="2" t="str">
        <f>"04349"</f>
        <v>04349</v>
      </c>
      <c r="C18165" s="1">
        <v>9.5525836406451306E-3</v>
      </c>
      <c r="D18165" s="1">
        <v>2.2550225502254999E-3</v>
      </c>
      <c r="E18165" s="1">
        <v>4.6328468844104701E-4</v>
      </c>
      <c r="F18165" s="1">
        <v>8.5770895250013007E-3</v>
      </c>
    </row>
    <row r="18166" spans="1:6" x14ac:dyDescent="0.25">
      <c r="A18166" s="2" t="str">
        <f t="shared" si="649"/>
        <v>12300</v>
      </c>
      <c r="B18166" s="2" t="str">
        <f>"04287"</f>
        <v>04287</v>
      </c>
      <c r="C18166" s="1">
        <v>1.4810207194798599E-5</v>
      </c>
      <c r="D18166" s="1">
        <v>0</v>
      </c>
      <c r="E18166" s="1">
        <v>0</v>
      </c>
      <c r="F18166" s="1">
        <v>1.30350904635278E-5</v>
      </c>
    </row>
    <row r="18167" spans="1:6" x14ac:dyDescent="0.25">
      <c r="A18167" s="2" t="str">
        <f t="shared" si="649"/>
        <v>12300</v>
      </c>
      <c r="B18167" s="2" t="str">
        <f>"04962"</f>
        <v>04962</v>
      </c>
      <c r="C18167" s="1">
        <v>0</v>
      </c>
      <c r="D18167" s="1">
        <v>0</v>
      </c>
      <c r="E18167" s="1">
        <v>2.3164234422052299E-4</v>
      </c>
      <c r="F18167" s="1">
        <v>1.30350904635278E-5</v>
      </c>
    </row>
    <row r="18168" spans="1:6" x14ac:dyDescent="0.25">
      <c r="A18168" s="2" t="str">
        <f t="shared" si="649"/>
        <v>12300</v>
      </c>
      <c r="B18168" s="2" t="str">
        <f>"04918"</f>
        <v>04918</v>
      </c>
      <c r="C18168" s="1">
        <v>1.8216554849602299E-3</v>
      </c>
      <c r="D18168" s="1">
        <v>0</v>
      </c>
      <c r="E18168" s="1">
        <v>8.8024090803798909E-3</v>
      </c>
      <c r="F18168" s="1">
        <v>2.09864956462797E-3</v>
      </c>
    </row>
    <row r="18169" spans="1:6" x14ac:dyDescent="0.25">
      <c r="A18169" s="2" t="str">
        <f t="shared" si="649"/>
        <v>12300</v>
      </c>
      <c r="B18169" s="2" t="str">
        <f>"04363"</f>
        <v>04363</v>
      </c>
      <c r="C18169" s="1">
        <v>1.5995023770382501E-2</v>
      </c>
      <c r="D18169" s="1">
        <v>3.6900369003690001E-3</v>
      </c>
      <c r="E18169" s="1">
        <v>3.2429928190873202E-3</v>
      </c>
      <c r="F18169" s="1">
        <v>1.4495020595442901E-2</v>
      </c>
    </row>
    <row r="18170" spans="1:6" x14ac:dyDescent="0.25">
      <c r="A18170" s="2" t="str">
        <f t="shared" si="649"/>
        <v>12300</v>
      </c>
      <c r="B18170" s="2" t="str">
        <f>"04355"</f>
        <v>04355</v>
      </c>
      <c r="C18170" s="1">
        <v>1.4025266213474301E-2</v>
      </c>
      <c r="D18170" s="1">
        <v>3.4850348503485001E-3</v>
      </c>
      <c r="E18170" s="1">
        <v>1.89946722260829E-2</v>
      </c>
      <c r="F18170" s="1">
        <v>1.3634704624850001E-2</v>
      </c>
    </row>
    <row r="18171" spans="1:6" x14ac:dyDescent="0.25">
      <c r="A18171" s="2" t="str">
        <f t="shared" si="649"/>
        <v>12300</v>
      </c>
      <c r="B18171" s="2" t="str">
        <f>"04347"</f>
        <v>04347</v>
      </c>
      <c r="C18171" s="1">
        <v>2.0912012559055702E-2</v>
      </c>
      <c r="D18171" s="1">
        <v>4.1615416154161498E-2</v>
      </c>
      <c r="E18171" s="1">
        <v>4.1695621959694201E-2</v>
      </c>
      <c r="F18171" s="1">
        <v>2.3397987382032401E-2</v>
      </c>
    </row>
    <row r="18172" spans="1:6" x14ac:dyDescent="0.25">
      <c r="A18172" s="2" t="str">
        <f t="shared" si="649"/>
        <v>12300</v>
      </c>
      <c r="B18172" s="2" t="str">
        <f>"04265"</f>
        <v>04265</v>
      </c>
      <c r="C18172" s="1">
        <v>5.1539521037899296E-3</v>
      </c>
      <c r="D18172" s="1">
        <v>3.8950389503895001E-3</v>
      </c>
      <c r="E18172" s="1">
        <v>1.38985406532314E-3</v>
      </c>
      <c r="F18172" s="1">
        <v>4.8620887428958703E-3</v>
      </c>
    </row>
    <row r="18173" spans="1:6" x14ac:dyDescent="0.25">
      <c r="A18173" s="2" t="str">
        <f t="shared" si="649"/>
        <v>12300</v>
      </c>
      <c r="B18173" s="2" t="str">
        <f>"04988"</f>
        <v>04988</v>
      </c>
      <c r="C18173" s="1">
        <v>2.22153107921979E-4</v>
      </c>
      <c r="D18173" s="1">
        <v>2.050020500205E-4</v>
      </c>
      <c r="E18173" s="1">
        <v>0</v>
      </c>
      <c r="F18173" s="1">
        <v>2.08561447416445E-4</v>
      </c>
    </row>
    <row r="18174" spans="1:6" x14ac:dyDescent="0.25">
      <c r="A18174" s="2" t="str">
        <f t="shared" si="649"/>
        <v>12300</v>
      </c>
      <c r="B18174" s="2" t="str">
        <f>"04901"</f>
        <v>04901</v>
      </c>
      <c r="C18174" s="1">
        <v>0.24266524488677499</v>
      </c>
      <c r="D18174" s="1">
        <v>0.230217302173021</v>
      </c>
      <c r="E18174" s="1">
        <v>0.27704424368774599</v>
      </c>
      <c r="F18174" s="1">
        <v>0.24380833202982399</v>
      </c>
    </row>
    <row r="18175" spans="1:6" x14ac:dyDescent="0.25">
      <c r="A18175" s="2" t="str">
        <f t="shared" si="649"/>
        <v>12300</v>
      </c>
      <c r="B18175" s="2" t="str">
        <f>"04357"</f>
        <v>04357</v>
      </c>
      <c r="C18175" s="1">
        <v>4.44306215843959E-5</v>
      </c>
      <c r="D18175" s="1">
        <v>0</v>
      </c>
      <c r="E18175" s="1">
        <v>0</v>
      </c>
      <c r="F18175" s="1">
        <v>3.9105271390583399E-5</v>
      </c>
    </row>
    <row r="18176" spans="1:6" x14ac:dyDescent="0.25">
      <c r="A18176" s="2" t="str">
        <f t="shared" si="649"/>
        <v>12300</v>
      </c>
      <c r="B18176" s="2" t="str">
        <f>"04359"</f>
        <v>04359</v>
      </c>
      <c r="C18176" s="1">
        <v>1.58469216984345E-3</v>
      </c>
      <c r="D18176" s="1">
        <v>0</v>
      </c>
      <c r="E18176" s="1">
        <v>2.3164234422052299E-4</v>
      </c>
      <c r="F18176" s="1">
        <v>1.407789770061E-3</v>
      </c>
    </row>
    <row r="18177" spans="1:6" x14ac:dyDescent="0.25">
      <c r="A18177" s="2" t="str">
        <f t="shared" si="649"/>
        <v>12300</v>
      </c>
      <c r="B18177" s="2" t="str">
        <f>"04333"</f>
        <v>04333</v>
      </c>
      <c r="C18177" s="1">
        <v>0</v>
      </c>
      <c r="D18177" s="1">
        <v>0</v>
      </c>
      <c r="E18177" s="1">
        <v>3.28932128793143E-2</v>
      </c>
      <c r="F18177" s="1">
        <v>1.8509828458209399E-3</v>
      </c>
    </row>
    <row r="18178" spans="1:6" x14ac:dyDescent="0.25">
      <c r="A18178" s="2" t="str">
        <f t="shared" si="649"/>
        <v>12300</v>
      </c>
      <c r="B18178" s="2" t="str">
        <f>"04353"</f>
        <v>04353</v>
      </c>
      <c r="C18178" s="1">
        <v>9.0342263888271699E-4</v>
      </c>
      <c r="D18178" s="1">
        <v>0</v>
      </c>
      <c r="E18178" s="1">
        <v>2.3164234422052299E-4</v>
      </c>
      <c r="F18178" s="1">
        <v>8.0817560873872399E-4</v>
      </c>
    </row>
    <row r="18179" spans="1:6" x14ac:dyDescent="0.25">
      <c r="A18179" s="2" t="str">
        <f t="shared" si="649"/>
        <v>12300</v>
      </c>
      <c r="B18179" s="2" t="str">
        <f>"04284"</f>
        <v>04284</v>
      </c>
      <c r="C18179" s="1">
        <v>7.9678914708016697E-3</v>
      </c>
      <c r="D18179" s="1">
        <v>1.640016400164E-3</v>
      </c>
      <c r="E18179" s="1">
        <v>6.9492703266156998E-4</v>
      </c>
      <c r="F18179" s="1">
        <v>7.1562646644767703E-3</v>
      </c>
    </row>
    <row r="18180" spans="1:6" x14ac:dyDescent="0.25">
      <c r="A18180" s="2" t="str">
        <f t="shared" si="649"/>
        <v>12300</v>
      </c>
      <c r="B18180" s="2" t="str">
        <f>"04259"</f>
        <v>04259</v>
      </c>
      <c r="C18180" s="1">
        <v>2.0823151315886902E-2</v>
      </c>
      <c r="D18180" s="1">
        <v>6.9700697006970002E-3</v>
      </c>
      <c r="E18180" s="1">
        <v>5.3277739170720399E-3</v>
      </c>
      <c r="F18180" s="1">
        <v>1.9070337348141099E-2</v>
      </c>
    </row>
    <row r="18181" spans="1:6" x14ac:dyDescent="0.25">
      <c r="A18181" s="2" t="str">
        <f t="shared" si="649"/>
        <v>12300</v>
      </c>
      <c r="B18181" s="2" t="str">
        <f>"04935"</f>
        <v>04935</v>
      </c>
      <c r="C18181" s="1">
        <v>0</v>
      </c>
      <c r="D18181" s="1">
        <v>0</v>
      </c>
      <c r="E18181" s="1">
        <v>2.3164234422052299E-4</v>
      </c>
      <c r="F18181" s="1">
        <v>1.30350904635278E-5</v>
      </c>
    </row>
    <row r="18182" spans="1:6" x14ac:dyDescent="0.25">
      <c r="A18182" s="2" t="str">
        <f t="shared" si="649"/>
        <v>12300</v>
      </c>
      <c r="B18182" s="2" t="str">
        <f>"04903"</f>
        <v>04903</v>
      </c>
      <c r="C18182" s="1">
        <v>2.7902430355000601E-2</v>
      </c>
      <c r="D18182" s="1">
        <v>4.4280442804428E-2</v>
      </c>
      <c r="E18182" s="1">
        <v>2.3164234422052299E-4</v>
      </c>
      <c r="F18182" s="1">
        <v>2.7386725063871901E-2</v>
      </c>
    </row>
    <row r="18183" spans="1:6" x14ac:dyDescent="0.25">
      <c r="A18183" s="2" t="str">
        <f t="shared" si="649"/>
        <v>12300</v>
      </c>
      <c r="B18183" s="2" t="str">
        <f>"04910"</f>
        <v>04910</v>
      </c>
      <c r="C18183" s="1">
        <v>1.2870070052280001E-2</v>
      </c>
      <c r="D18183" s="1">
        <v>4.1000410004099997E-3</v>
      </c>
      <c r="E18183" s="1">
        <v>3.0113504748667998E-3</v>
      </c>
      <c r="F18183" s="1">
        <v>1.1757651598101999E-2</v>
      </c>
    </row>
    <row r="18184" spans="1:6" x14ac:dyDescent="0.25">
      <c r="A18184" s="2" t="str">
        <f t="shared" si="649"/>
        <v>12300</v>
      </c>
      <c r="B18184" s="2" t="str">
        <f>"04364"</f>
        <v>04364</v>
      </c>
      <c r="C18184" s="1">
        <v>4.3542009152707999E-2</v>
      </c>
      <c r="D18184" s="1">
        <v>4.36654366543665E-2</v>
      </c>
      <c r="E18184" s="1">
        <v>3.7526059763724799E-2</v>
      </c>
      <c r="F18184" s="1">
        <v>4.3211324886594703E-2</v>
      </c>
    </row>
    <row r="18185" spans="1:6" x14ac:dyDescent="0.25">
      <c r="A18185" s="2" t="str">
        <f t="shared" si="649"/>
        <v>12300</v>
      </c>
      <c r="B18185" s="2" t="str">
        <f>"04963"</f>
        <v>04963</v>
      </c>
      <c r="C18185" s="1">
        <v>5.46348543416122E-2</v>
      </c>
      <c r="D18185" s="1">
        <v>3.7925379253792503E-2</v>
      </c>
      <c r="E18185" s="1">
        <v>4.60968264998841E-2</v>
      </c>
      <c r="F18185" s="1">
        <v>5.3091923457948699E-2</v>
      </c>
    </row>
    <row r="18186" spans="1:6" x14ac:dyDescent="0.25">
      <c r="A18186" s="2" t="str">
        <f t="shared" si="649"/>
        <v>12300</v>
      </c>
      <c r="B18186" s="2" t="str">
        <f>"04338"</f>
        <v>04338</v>
      </c>
      <c r="C18186" s="1">
        <v>1.01153715140474E-2</v>
      </c>
      <c r="D18186" s="1">
        <v>1.1890118901189E-2</v>
      </c>
      <c r="E18186" s="1">
        <v>4.6328468844104701E-4</v>
      </c>
      <c r="F18186" s="1">
        <v>9.6850722144011595E-3</v>
      </c>
    </row>
    <row r="18187" spans="1:6" x14ac:dyDescent="0.25">
      <c r="A18187" s="2" t="str">
        <f t="shared" si="649"/>
        <v>12300</v>
      </c>
      <c r="B18187" s="2" t="str">
        <f>"04352"</f>
        <v>04352</v>
      </c>
      <c r="C18187" s="1">
        <v>1.2825639430695601E-2</v>
      </c>
      <c r="D18187" s="1">
        <v>2.870028700287E-3</v>
      </c>
      <c r="E18187" s="1">
        <v>1.38985406532314E-3</v>
      </c>
      <c r="F18187" s="1">
        <v>1.1549090150685601E-2</v>
      </c>
    </row>
    <row r="18188" spans="1:6" x14ac:dyDescent="0.25">
      <c r="A18188" s="2" t="str">
        <f t="shared" si="649"/>
        <v>12300</v>
      </c>
      <c r="B18188" s="2" t="str">
        <f>"04351"</f>
        <v>04351</v>
      </c>
      <c r="C18188" s="1">
        <v>2.5503176789443201E-2</v>
      </c>
      <c r="D18188" s="1">
        <v>2.6445264452644501E-2</v>
      </c>
      <c r="E18188" s="1">
        <v>1.2277044243687699E-2</v>
      </c>
      <c r="F18188" s="1">
        <v>2.4818812242556901E-2</v>
      </c>
    </row>
    <row r="18189" spans="1:6" x14ac:dyDescent="0.25">
      <c r="A18189" s="2" t="str">
        <f t="shared" si="649"/>
        <v>12300</v>
      </c>
      <c r="B18189" s="2" t="str">
        <f>"04989"</f>
        <v>04989</v>
      </c>
      <c r="C18189" s="1">
        <v>2.8672561129130102E-2</v>
      </c>
      <c r="D18189" s="1">
        <v>7.5850758507585003E-3</v>
      </c>
      <c r="E18189" s="1">
        <v>9.7289784572619793E-3</v>
      </c>
      <c r="F18189" s="1">
        <v>2.62657072840085E-2</v>
      </c>
    </row>
    <row r="18190" spans="1:6" x14ac:dyDescent="0.25">
      <c r="A18190" s="2" t="str">
        <f t="shared" si="649"/>
        <v>12300</v>
      </c>
      <c r="B18190" s="2" t="str">
        <f>"04937"</f>
        <v>04937</v>
      </c>
      <c r="C18190" s="1">
        <v>7.4051035973993207E-5</v>
      </c>
      <c r="D18190" s="1">
        <v>0</v>
      </c>
      <c r="E18190" s="1">
        <v>2.3164234422052299E-4</v>
      </c>
      <c r="F18190" s="1">
        <v>7.8210542781166894E-5</v>
      </c>
    </row>
    <row r="18191" spans="1:6" x14ac:dyDescent="0.25">
      <c r="A18191" s="2" t="str">
        <f t="shared" si="649"/>
        <v>12300</v>
      </c>
      <c r="B18191" s="2" t="str">
        <f>"04917"</f>
        <v>04917</v>
      </c>
      <c r="C18191" s="1">
        <v>2.1622902504405999E-2</v>
      </c>
      <c r="D18191" s="1">
        <v>5.3300533005329999E-3</v>
      </c>
      <c r="E18191" s="1">
        <v>3.4746351633078501E-3</v>
      </c>
      <c r="F18191" s="1">
        <v>1.9565670785755201E-2</v>
      </c>
    </row>
    <row r="18192" spans="1:6" x14ac:dyDescent="0.25">
      <c r="A18192" s="2" t="str">
        <f t="shared" si="649"/>
        <v>12300</v>
      </c>
      <c r="B18192" s="2" t="str">
        <f>"04336"</f>
        <v>04336</v>
      </c>
      <c r="C18192" s="1">
        <v>0</v>
      </c>
      <c r="D18192" s="1">
        <v>2.050020500205E-4</v>
      </c>
      <c r="E18192" s="1">
        <v>0</v>
      </c>
      <c r="F18192" s="1">
        <v>1.30350904635278E-5</v>
      </c>
    </row>
    <row r="18193" spans="1:6" x14ac:dyDescent="0.25">
      <c r="A18193" s="2" t="str">
        <f t="shared" si="649"/>
        <v>12300</v>
      </c>
      <c r="B18193" s="2" t="str">
        <f>"04343"</f>
        <v>04343</v>
      </c>
      <c r="C18193" s="1">
        <v>0</v>
      </c>
      <c r="D18193" s="1">
        <v>0</v>
      </c>
      <c r="E18193" s="1">
        <v>2.3164234422052299E-4</v>
      </c>
      <c r="F18193" s="1">
        <v>1.30350904635278E-5</v>
      </c>
    </row>
    <row r="18194" spans="1:6" x14ac:dyDescent="0.25">
      <c r="A18194" s="2" t="str">
        <f t="shared" si="649"/>
        <v>12300</v>
      </c>
      <c r="B18194" s="2" t="str">
        <f>"04254"</f>
        <v>04254</v>
      </c>
      <c r="C18194" s="1">
        <v>4.44306215843959E-5</v>
      </c>
      <c r="D18194" s="1">
        <v>0</v>
      </c>
      <c r="E18194" s="1">
        <v>0</v>
      </c>
      <c r="F18194" s="1">
        <v>3.9105271390583399E-5</v>
      </c>
    </row>
    <row r="18195" spans="1:6" x14ac:dyDescent="0.25">
      <c r="A18195" s="2" t="str">
        <f t="shared" ref="A18195:A18218" si="650">"13540"</f>
        <v>13540</v>
      </c>
      <c r="B18195" s="2" t="str">
        <f>"05251"</f>
        <v>05251</v>
      </c>
      <c r="C18195" s="1">
        <v>3.1547901195554798E-2</v>
      </c>
      <c r="D18195" s="1">
        <v>1.0615711252653899E-2</v>
      </c>
      <c r="E18195" s="1">
        <v>2.46305418719211E-3</v>
      </c>
      <c r="F18195" s="1">
        <v>2.8639948346631E-2</v>
      </c>
    </row>
    <row r="18196" spans="1:6" x14ac:dyDescent="0.25">
      <c r="A18196" s="2" t="str">
        <f t="shared" si="650"/>
        <v>13540</v>
      </c>
      <c r="B18196" s="2" t="str">
        <f>"05257"</f>
        <v>05257</v>
      </c>
      <c r="C18196" s="1">
        <v>5.0508242481698003E-2</v>
      </c>
      <c r="D18196" s="1">
        <v>9.0233545647558297E-3</v>
      </c>
      <c r="E18196" s="1">
        <v>4.8029556650246302E-2</v>
      </c>
      <c r="F18196" s="1">
        <v>4.6810865655121499E-2</v>
      </c>
    </row>
    <row r="18197" spans="1:6" x14ac:dyDescent="0.25">
      <c r="A18197" s="2" t="str">
        <f t="shared" si="650"/>
        <v>13540</v>
      </c>
      <c r="B18197" s="2" t="str">
        <f>"05255"</f>
        <v>05255</v>
      </c>
      <c r="C18197" s="1">
        <v>0.18607468267762101</v>
      </c>
      <c r="D18197" s="1">
        <v>0.362526539278131</v>
      </c>
      <c r="E18197" s="1">
        <v>0.18103448275862</v>
      </c>
      <c r="F18197" s="1">
        <v>0.20121754369782699</v>
      </c>
    </row>
    <row r="18198" spans="1:6" x14ac:dyDescent="0.25">
      <c r="A18198" s="2" t="str">
        <f t="shared" si="650"/>
        <v>13540</v>
      </c>
      <c r="B18198" s="2" t="str">
        <f>"05253"</f>
        <v>05253</v>
      </c>
      <c r="C18198" s="1">
        <v>1.25875599094117E-2</v>
      </c>
      <c r="D18198" s="1">
        <v>1.0615711252653899E-2</v>
      </c>
      <c r="E18198" s="1">
        <v>6.1576354679802898E-3</v>
      </c>
      <c r="F18198" s="1">
        <v>1.2175436978277899E-2</v>
      </c>
    </row>
    <row r="18199" spans="1:6" x14ac:dyDescent="0.25">
      <c r="A18199" s="2" t="str">
        <f t="shared" si="650"/>
        <v>13540</v>
      </c>
      <c r="B18199" s="2" t="str">
        <f>"05775"</f>
        <v>05775</v>
      </c>
      <c r="C18199" s="1">
        <v>1.94870174329804E-3</v>
      </c>
      <c r="D18199" s="1">
        <v>5.3078556263269595E-4</v>
      </c>
      <c r="E18199" s="1">
        <v>0</v>
      </c>
      <c r="F18199" s="1">
        <v>1.7525250196006E-3</v>
      </c>
    </row>
    <row r="18200" spans="1:6" x14ac:dyDescent="0.25">
      <c r="A18200" s="2" t="str">
        <f t="shared" si="650"/>
        <v>13540</v>
      </c>
      <c r="B18200" s="2" t="str">
        <f>"05343"</f>
        <v>05343</v>
      </c>
      <c r="C18200" s="1">
        <v>8.4268183493969504E-4</v>
      </c>
      <c r="D18200" s="1">
        <v>0</v>
      </c>
      <c r="E18200" s="1">
        <v>0</v>
      </c>
      <c r="F18200" s="1">
        <v>7.3790527141078205E-4</v>
      </c>
    </row>
    <row r="18201" spans="1:6" x14ac:dyDescent="0.25">
      <c r="A18201" s="2" t="str">
        <f t="shared" si="650"/>
        <v>13540</v>
      </c>
      <c r="B18201" s="2" t="str">
        <f>"05252"</f>
        <v>05252</v>
      </c>
      <c r="C18201" s="1">
        <v>8.0581450466108307E-3</v>
      </c>
      <c r="D18201" s="1">
        <v>4.7770700636942604E-3</v>
      </c>
      <c r="E18201" s="1">
        <v>0</v>
      </c>
      <c r="F18201" s="1">
        <v>7.4712908730341704E-3</v>
      </c>
    </row>
    <row r="18202" spans="1:6" x14ac:dyDescent="0.25">
      <c r="A18202" s="2" t="str">
        <f t="shared" si="650"/>
        <v>13540</v>
      </c>
      <c r="B18202" s="2" t="str">
        <f>"05161"</f>
        <v>05161</v>
      </c>
      <c r="C18202" s="1">
        <v>1.58002844051192E-4</v>
      </c>
      <c r="D18202" s="1">
        <v>0</v>
      </c>
      <c r="E18202" s="1">
        <v>0</v>
      </c>
      <c r="F18202" s="1">
        <v>1.3835723838952099E-4</v>
      </c>
    </row>
    <row r="18203" spans="1:6" x14ac:dyDescent="0.25">
      <c r="A18203" s="2" t="str">
        <f t="shared" si="650"/>
        <v>13540</v>
      </c>
      <c r="B18203" s="2" t="str">
        <f>"05260"</f>
        <v>05260</v>
      </c>
      <c r="C18203" s="1">
        <v>3.1600568810238499E-3</v>
      </c>
      <c r="D18203" s="1">
        <v>5.3078556263269595E-4</v>
      </c>
      <c r="E18203" s="1">
        <v>0</v>
      </c>
      <c r="F18203" s="1">
        <v>2.8132638472536001E-3</v>
      </c>
    </row>
    <row r="18204" spans="1:6" x14ac:dyDescent="0.25">
      <c r="A18204" s="2" t="str">
        <f t="shared" si="650"/>
        <v>13540</v>
      </c>
      <c r="B18204" s="2" t="str">
        <f>"05363"</f>
        <v>05363</v>
      </c>
      <c r="C18204" s="1">
        <v>2.94938642228893E-3</v>
      </c>
      <c r="D18204" s="1">
        <v>1.0615711252653899E-3</v>
      </c>
      <c r="E18204" s="1">
        <v>0</v>
      </c>
      <c r="F18204" s="1">
        <v>2.6749066088640801E-3</v>
      </c>
    </row>
    <row r="18205" spans="1:6" x14ac:dyDescent="0.25">
      <c r="A18205" s="2" t="str">
        <f t="shared" si="650"/>
        <v>13540</v>
      </c>
      <c r="B18205" s="2" t="str">
        <f>"05152"</f>
        <v>05152</v>
      </c>
      <c r="C18205" s="1">
        <v>8.7428240374993402E-3</v>
      </c>
      <c r="D18205" s="1">
        <v>2.6539278131634801E-3</v>
      </c>
      <c r="E18205" s="1">
        <v>1.8472906403940802E-2</v>
      </c>
      <c r="F18205" s="1">
        <v>8.5781487801503391E-3</v>
      </c>
    </row>
    <row r="18206" spans="1:6" x14ac:dyDescent="0.25">
      <c r="A18206" s="2" t="str">
        <f t="shared" si="650"/>
        <v>13540</v>
      </c>
      <c r="B18206" s="2" t="str">
        <f>"05352"</f>
        <v>05352</v>
      </c>
      <c r="C18206" s="1">
        <v>2.075104018539E-2</v>
      </c>
      <c r="D18206" s="1">
        <v>5.8386411889596599E-3</v>
      </c>
      <c r="E18206" s="1">
        <v>1.23152709359605E-3</v>
      </c>
      <c r="F18206" s="1">
        <v>1.8724346262048601E-2</v>
      </c>
    </row>
    <row r="18207" spans="1:6" x14ac:dyDescent="0.25">
      <c r="A18207" s="2" t="str">
        <f t="shared" si="650"/>
        <v>13540</v>
      </c>
      <c r="B18207" s="2" t="str">
        <f>"05350"</f>
        <v>05350</v>
      </c>
      <c r="C18207" s="1">
        <v>1.84863327539895E-2</v>
      </c>
      <c r="D18207" s="1">
        <v>2.6539278131634801E-3</v>
      </c>
      <c r="E18207" s="1">
        <v>6.1576354679802898E-3</v>
      </c>
      <c r="F18207" s="1">
        <v>1.66489876862057E-2</v>
      </c>
    </row>
    <row r="18208" spans="1:6" x14ac:dyDescent="0.25">
      <c r="A18208" s="2" t="str">
        <f t="shared" si="650"/>
        <v>13540</v>
      </c>
      <c r="B18208" s="2" t="str">
        <f>"05340"</f>
        <v>05340</v>
      </c>
      <c r="C18208" s="1">
        <v>1.0533522936746101E-2</v>
      </c>
      <c r="D18208" s="1">
        <v>8.4925690021231404E-3</v>
      </c>
      <c r="E18208" s="1">
        <v>1.23152709359605E-3</v>
      </c>
      <c r="F18208" s="1">
        <v>1.00078402435087E-2</v>
      </c>
    </row>
    <row r="18209" spans="1:6" x14ac:dyDescent="0.25">
      <c r="A18209" s="2" t="str">
        <f t="shared" si="650"/>
        <v>13540</v>
      </c>
      <c r="B18209" s="2" t="str">
        <f>"05254"</f>
        <v>05254</v>
      </c>
      <c r="C18209" s="1">
        <v>5.1561594775372602E-2</v>
      </c>
      <c r="D18209" s="1">
        <v>9.2887473460721806E-2</v>
      </c>
      <c r="E18209" s="1">
        <v>3.6945812807881698E-3</v>
      </c>
      <c r="F18209" s="1">
        <v>5.3359774938892199E-2</v>
      </c>
    </row>
    <row r="18210" spans="1:6" x14ac:dyDescent="0.25">
      <c r="A18210" s="2" t="str">
        <f t="shared" si="650"/>
        <v>13540</v>
      </c>
      <c r="B18210" s="2" t="str">
        <f>"05262"</f>
        <v>05262</v>
      </c>
      <c r="C18210" s="1">
        <v>5.24042766103123E-2</v>
      </c>
      <c r="D18210" s="1">
        <v>1.48619957537154E-2</v>
      </c>
      <c r="E18210" s="1">
        <v>1.1083743842364499E-2</v>
      </c>
      <c r="F18210" s="1">
        <v>4.7594890005995399E-2</v>
      </c>
    </row>
    <row r="18211" spans="1:6" x14ac:dyDescent="0.25">
      <c r="A18211" s="2" t="str">
        <f t="shared" si="650"/>
        <v>13540</v>
      </c>
      <c r="B18211" s="2" t="str">
        <f>"05768"</f>
        <v>05768</v>
      </c>
      <c r="C18211" s="1">
        <v>1.58002844051192E-4</v>
      </c>
      <c r="D18211" s="1">
        <v>5.3078556263269595E-4</v>
      </c>
      <c r="E18211" s="1">
        <v>1.23152709359605E-3</v>
      </c>
      <c r="F18211" s="1">
        <v>2.30595397315869E-4</v>
      </c>
    </row>
    <row r="18212" spans="1:6" x14ac:dyDescent="0.25">
      <c r="A18212" s="2" t="str">
        <f t="shared" si="650"/>
        <v>13540</v>
      </c>
      <c r="B18212" s="2" t="str">
        <f>"05761"</f>
        <v>05761</v>
      </c>
      <c r="C18212" s="1">
        <v>5.7934376152104002E-3</v>
      </c>
      <c r="D18212" s="1">
        <v>0</v>
      </c>
      <c r="E18212" s="1">
        <v>0</v>
      </c>
      <c r="F18212" s="1">
        <v>5.07309874094913E-3</v>
      </c>
    </row>
    <row r="18213" spans="1:6" x14ac:dyDescent="0.25">
      <c r="A18213" s="2" t="str">
        <f t="shared" si="650"/>
        <v>13540</v>
      </c>
      <c r="B18213" s="2" t="str">
        <f>"05776"</f>
        <v>05776</v>
      </c>
      <c r="C18213" s="1">
        <v>4.7927529362195099E-3</v>
      </c>
      <c r="D18213" s="1">
        <v>1.0615711252653899E-3</v>
      </c>
      <c r="E18213" s="1">
        <v>1.23152709359605E-3</v>
      </c>
      <c r="F18213" s="1">
        <v>4.3351934695383398E-3</v>
      </c>
    </row>
    <row r="18214" spans="1:6" x14ac:dyDescent="0.25">
      <c r="A18214" s="2" t="str">
        <f t="shared" si="650"/>
        <v>13540</v>
      </c>
      <c r="B18214" s="2" t="str">
        <f>"05250"</f>
        <v>05250</v>
      </c>
      <c r="C18214" s="1">
        <v>8.75335756043608E-2</v>
      </c>
      <c r="D18214" s="1">
        <v>2.2292993630573198E-2</v>
      </c>
      <c r="E18214" s="1">
        <v>4.1871921182266E-2</v>
      </c>
      <c r="F18214" s="1">
        <v>8.0154960106996201E-2</v>
      </c>
    </row>
    <row r="18215" spans="1:6" x14ac:dyDescent="0.25">
      <c r="A18215" s="2" t="str">
        <f t="shared" si="650"/>
        <v>13540</v>
      </c>
      <c r="B18215" s="2" t="str">
        <f>"05261"</f>
        <v>05261</v>
      </c>
      <c r="C18215" s="1">
        <v>5.6038342023489701E-2</v>
      </c>
      <c r="D18215" s="1">
        <v>1.53927813163481E-2</v>
      </c>
      <c r="E18215" s="1">
        <v>8.6206896551724102E-3</v>
      </c>
      <c r="F18215" s="1">
        <v>5.07309874094913E-2</v>
      </c>
    </row>
    <row r="18216" spans="1:6" x14ac:dyDescent="0.25">
      <c r="A18216" s="2" t="str">
        <f t="shared" si="650"/>
        <v>13540</v>
      </c>
      <c r="B18216" s="2" t="str">
        <f>"05155"</f>
        <v>05155</v>
      </c>
      <c r="C18216" s="1">
        <v>1.21135513772581E-3</v>
      </c>
      <c r="D18216" s="1">
        <v>5.3078556263269595E-4</v>
      </c>
      <c r="E18216" s="1">
        <v>0</v>
      </c>
      <c r="F18216" s="1">
        <v>1.1068579071161701E-3</v>
      </c>
    </row>
    <row r="18217" spans="1:6" x14ac:dyDescent="0.25">
      <c r="A18217" s="2" t="str">
        <f t="shared" si="650"/>
        <v>13540</v>
      </c>
      <c r="B18217" s="2" t="str">
        <f>"05201"</f>
        <v>05201</v>
      </c>
      <c r="C18217" s="1">
        <v>0.37778480012640198</v>
      </c>
      <c r="D18217" s="1">
        <v>0.43152866242038201</v>
      </c>
      <c r="E18217" s="1">
        <v>0.66625615763546697</v>
      </c>
      <c r="F18217" s="1">
        <v>0.39325739058248299</v>
      </c>
    </row>
    <row r="18218" spans="1:6" x14ac:dyDescent="0.25">
      <c r="A18218" s="2" t="str">
        <f t="shared" si="650"/>
        <v>13540</v>
      </c>
      <c r="B18218" s="2" t="str">
        <f>"05148"</f>
        <v>05148</v>
      </c>
      <c r="C18218" s="1">
        <v>6.3727813767314404E-3</v>
      </c>
      <c r="D18218" s="1">
        <v>1.5923566878980799E-3</v>
      </c>
      <c r="E18218" s="1">
        <v>1.23152709359605E-3</v>
      </c>
      <c r="F18218" s="1">
        <v>5.76488493289673E-3</v>
      </c>
    </row>
    <row r="18219" spans="1:6" x14ac:dyDescent="0.25">
      <c r="A18219" s="2" t="str">
        <f t="shared" ref="A18219:A18243" si="651">"47220"</f>
        <v>47220</v>
      </c>
      <c r="B18219" s="2" t="str">
        <f>"08270"</f>
        <v>08270</v>
      </c>
      <c r="C18219" s="1">
        <v>1.3330000833125001E-4</v>
      </c>
      <c r="D18219" s="1">
        <v>0</v>
      </c>
      <c r="E18219" s="1">
        <v>0</v>
      </c>
      <c r="F18219" s="1">
        <v>1.19719258339194E-4</v>
      </c>
    </row>
    <row r="18220" spans="1:6" x14ac:dyDescent="0.25">
      <c r="A18220" s="2" t="str">
        <f t="shared" si="651"/>
        <v>47220</v>
      </c>
      <c r="B18220" s="2" t="str">
        <f>"08361"</f>
        <v>08361</v>
      </c>
      <c r="C18220" s="1">
        <v>0.118820294926268</v>
      </c>
      <c r="D18220" s="1">
        <v>5.1081282624906701E-2</v>
      </c>
      <c r="E18220" s="1">
        <v>4.2936288088642603E-2</v>
      </c>
      <c r="F18220" s="1">
        <v>0.11174296275234499</v>
      </c>
    </row>
    <row r="18221" spans="1:6" x14ac:dyDescent="0.25">
      <c r="A18221" s="2" t="str">
        <f t="shared" si="651"/>
        <v>47220</v>
      </c>
      <c r="B18221" s="2" t="str">
        <f>"08311"</f>
        <v>08311</v>
      </c>
      <c r="C18221" s="1">
        <v>1.1930350745646899E-2</v>
      </c>
      <c r="D18221" s="1">
        <v>3.1692766592095402E-3</v>
      </c>
      <c r="E18221" s="1">
        <v>3.4626038781163399E-3</v>
      </c>
      <c r="F18221" s="1">
        <v>1.10441015817907E-2</v>
      </c>
    </row>
    <row r="18222" spans="1:6" x14ac:dyDescent="0.25">
      <c r="A18222" s="2" t="str">
        <f t="shared" si="651"/>
        <v>47220</v>
      </c>
      <c r="B18222" s="2" t="str">
        <f>"08362"</f>
        <v>08362</v>
      </c>
      <c r="C18222" s="1">
        <v>2.4693826543364099E-2</v>
      </c>
      <c r="D18222" s="1">
        <v>7.5689783743475E-2</v>
      </c>
      <c r="E18222" s="1">
        <v>2.77008310249307E-3</v>
      </c>
      <c r="F18222" s="1">
        <v>2.8313604597219499E-2</v>
      </c>
    </row>
    <row r="18223" spans="1:6" x14ac:dyDescent="0.25">
      <c r="A18223" s="2" t="str">
        <f t="shared" si="651"/>
        <v>47220</v>
      </c>
      <c r="B18223" s="2" t="str">
        <f>"08360"</f>
        <v>08360</v>
      </c>
      <c r="C18223" s="1">
        <v>0.25363659085228601</v>
      </c>
      <c r="D18223" s="1">
        <v>0.39038031319910499</v>
      </c>
      <c r="E18223" s="1">
        <v>0.52631578947368396</v>
      </c>
      <c r="F18223" s="1">
        <v>0.27050566421741001</v>
      </c>
    </row>
    <row r="18224" spans="1:6" x14ac:dyDescent="0.25">
      <c r="A18224" s="2" t="str">
        <f t="shared" si="651"/>
        <v>47220</v>
      </c>
      <c r="B18224" s="2" t="str">
        <f>"08327"</f>
        <v>08327</v>
      </c>
      <c r="C18224" s="1">
        <v>3.2491877030742301E-3</v>
      </c>
      <c r="D18224" s="1">
        <v>1.6778523489932801E-3</v>
      </c>
      <c r="E18224" s="1">
        <v>2.0775623268698001E-3</v>
      </c>
      <c r="F18224" s="1">
        <v>3.09773580952665E-3</v>
      </c>
    </row>
    <row r="18225" spans="1:6" x14ac:dyDescent="0.25">
      <c r="A18225" s="2" t="str">
        <f t="shared" si="651"/>
        <v>47220</v>
      </c>
      <c r="B18225" s="2" t="str">
        <f>"08315"</f>
        <v>08315</v>
      </c>
      <c r="C18225" s="1">
        <v>0</v>
      </c>
      <c r="D18225" s="1">
        <v>0</v>
      </c>
      <c r="E18225" s="1">
        <v>6.9252077562326805E-4</v>
      </c>
      <c r="F18225" s="1">
        <v>1.4964907292399299E-5</v>
      </c>
    </row>
    <row r="18226" spans="1:6" x14ac:dyDescent="0.25">
      <c r="A18226" s="2" t="str">
        <f t="shared" si="651"/>
        <v>47220</v>
      </c>
      <c r="B18226" s="2" t="str">
        <f>"08314"</f>
        <v>08314</v>
      </c>
      <c r="C18226" s="1">
        <v>1.4829625926851601E-3</v>
      </c>
      <c r="D18226" s="1">
        <v>9.3214019388516002E-4</v>
      </c>
      <c r="E18226" s="1">
        <v>6.9252077562326805E-4</v>
      </c>
      <c r="F18226" s="1">
        <v>1.4216661927779299E-3</v>
      </c>
    </row>
    <row r="18227" spans="1:6" x14ac:dyDescent="0.25">
      <c r="A18227" s="2" t="str">
        <f t="shared" si="651"/>
        <v>47220</v>
      </c>
      <c r="B18227" s="2" t="str">
        <f>"08352"</f>
        <v>08352</v>
      </c>
      <c r="C18227" s="1">
        <v>8.5645255352828405E-3</v>
      </c>
      <c r="D18227" s="1">
        <v>1.1558538404175899E-2</v>
      </c>
      <c r="E18227" s="1">
        <v>1.38504155124653E-3</v>
      </c>
      <c r="F18227" s="1">
        <v>8.6497164150067998E-3</v>
      </c>
    </row>
    <row r="18228" spans="1:6" x14ac:dyDescent="0.25">
      <c r="A18228" s="2" t="str">
        <f t="shared" si="651"/>
        <v>47220</v>
      </c>
      <c r="B18228" s="2" t="str">
        <f>"08321"</f>
        <v>08321</v>
      </c>
      <c r="C18228" s="1">
        <v>0</v>
      </c>
      <c r="D18228" s="1">
        <v>0</v>
      </c>
      <c r="E18228" s="1">
        <v>6.9252077562326805E-4</v>
      </c>
      <c r="F18228" s="1">
        <v>1.4964907292399299E-5</v>
      </c>
    </row>
    <row r="18229" spans="1:6" x14ac:dyDescent="0.25">
      <c r="A18229" s="2" t="str">
        <f t="shared" si="651"/>
        <v>47220</v>
      </c>
      <c r="B18229" s="2" t="str">
        <f>"08323"</f>
        <v>08323</v>
      </c>
      <c r="C18229" s="1">
        <v>5.5319503457468902E-3</v>
      </c>
      <c r="D18229" s="1">
        <v>1.3049962714392199E-3</v>
      </c>
      <c r="E18229" s="1">
        <v>6.9252077562326805E-4</v>
      </c>
      <c r="F18229" s="1">
        <v>5.0880684794157704E-3</v>
      </c>
    </row>
    <row r="18230" spans="1:6" x14ac:dyDescent="0.25">
      <c r="A18230" s="2" t="str">
        <f t="shared" si="651"/>
        <v>47220</v>
      </c>
      <c r="B18230" s="2" t="str">
        <f>"08332"</f>
        <v>08332</v>
      </c>
      <c r="C18230" s="1">
        <v>0.27079896692493499</v>
      </c>
      <c r="D18230" s="1">
        <v>0.21588366890380301</v>
      </c>
      <c r="E18230" s="1">
        <v>0.19321329639889101</v>
      </c>
      <c r="F18230" s="1">
        <v>0.26471424509525099</v>
      </c>
    </row>
    <row r="18231" spans="1:6" x14ac:dyDescent="0.25">
      <c r="A18231" s="2" t="str">
        <f t="shared" si="651"/>
        <v>47220</v>
      </c>
      <c r="B18231" s="2" t="str">
        <f>"08348"</f>
        <v>08348</v>
      </c>
      <c r="C18231" s="1">
        <v>1.66625010414063E-4</v>
      </c>
      <c r="D18231" s="1">
        <v>1.86428038777032E-4</v>
      </c>
      <c r="E18231" s="1">
        <v>6.9252077562326805E-4</v>
      </c>
      <c r="F18231" s="1">
        <v>1.7957888750879099E-4</v>
      </c>
    </row>
    <row r="18232" spans="1:6" x14ac:dyDescent="0.25">
      <c r="A18232" s="2" t="str">
        <f t="shared" si="651"/>
        <v>47220</v>
      </c>
      <c r="B18232" s="2" t="str">
        <f>"08320"</f>
        <v>08320</v>
      </c>
      <c r="C18232" s="1">
        <v>0</v>
      </c>
      <c r="D18232" s="1">
        <v>0</v>
      </c>
      <c r="E18232" s="1">
        <v>1.38504155124653E-3</v>
      </c>
      <c r="F18232" s="1">
        <v>2.9929814584798598E-5</v>
      </c>
    </row>
    <row r="18233" spans="1:6" x14ac:dyDescent="0.25">
      <c r="A18233" s="2" t="str">
        <f t="shared" si="651"/>
        <v>47220</v>
      </c>
      <c r="B18233" s="2" t="str">
        <f>"08316"</f>
        <v>08316</v>
      </c>
      <c r="C18233" s="1">
        <v>0</v>
      </c>
      <c r="D18233" s="1">
        <v>0</v>
      </c>
      <c r="E18233" s="1">
        <v>6.9252077562326805E-4</v>
      </c>
      <c r="F18233" s="1">
        <v>1.4964907292399299E-5</v>
      </c>
    </row>
    <row r="18234" spans="1:6" x14ac:dyDescent="0.25">
      <c r="A18234" s="2" t="str">
        <f t="shared" si="651"/>
        <v>47220</v>
      </c>
      <c r="B18234" s="2" t="str">
        <f>"08340"</f>
        <v>08340</v>
      </c>
      <c r="C18234" s="1">
        <v>1.8662001166374999E-3</v>
      </c>
      <c r="D18234" s="1">
        <v>5.5928411633109597E-4</v>
      </c>
      <c r="E18234" s="1">
        <v>0</v>
      </c>
      <c r="F18234" s="1">
        <v>1.72096433862592E-3</v>
      </c>
    </row>
    <row r="18235" spans="1:6" x14ac:dyDescent="0.25">
      <c r="A18235" s="2" t="str">
        <f t="shared" si="651"/>
        <v>47220</v>
      </c>
      <c r="B18235" s="2" t="str">
        <f>"08318"</f>
        <v>08318</v>
      </c>
      <c r="C18235" s="1">
        <v>2.59935016245938E-3</v>
      </c>
      <c r="D18235" s="1">
        <v>5.5928411633109597E-4</v>
      </c>
      <c r="E18235" s="1">
        <v>0</v>
      </c>
      <c r="F18235" s="1">
        <v>2.3794202594914901E-3</v>
      </c>
    </row>
    <row r="18236" spans="1:6" x14ac:dyDescent="0.25">
      <c r="A18236" s="2" t="str">
        <f t="shared" si="651"/>
        <v>47220</v>
      </c>
      <c r="B18236" s="2" t="str">
        <f>"08353"</f>
        <v>08353</v>
      </c>
      <c r="C18236" s="1">
        <v>2.5826876614179701E-3</v>
      </c>
      <c r="D18236" s="1">
        <v>7.4571215510812799E-4</v>
      </c>
      <c r="E18236" s="1">
        <v>6.9252077562326805E-4</v>
      </c>
      <c r="F18236" s="1">
        <v>2.3943851667838898E-3</v>
      </c>
    </row>
    <row r="18237" spans="1:6" x14ac:dyDescent="0.25">
      <c r="A18237" s="2" t="str">
        <f t="shared" si="651"/>
        <v>47220</v>
      </c>
      <c r="B18237" s="2" t="str">
        <f>"08349"</f>
        <v>08349</v>
      </c>
      <c r="C18237" s="1">
        <v>1.21469632591852E-2</v>
      </c>
      <c r="D18237" s="1">
        <v>3.7285607755406401E-3</v>
      </c>
      <c r="E18237" s="1">
        <v>4.8476454293628797E-3</v>
      </c>
      <c r="F18237" s="1">
        <v>1.1313469913053801E-2</v>
      </c>
    </row>
    <row r="18238" spans="1:6" x14ac:dyDescent="0.25">
      <c r="A18238" s="2" t="str">
        <f t="shared" si="651"/>
        <v>47220</v>
      </c>
      <c r="B18238" s="2" t="str">
        <f>"08345"</f>
        <v>08345</v>
      </c>
      <c r="C18238" s="1">
        <v>8.0813130050820595E-3</v>
      </c>
      <c r="D18238" s="1">
        <v>3.91498881431767E-3</v>
      </c>
      <c r="E18238" s="1">
        <v>6.9252077562326805E-4</v>
      </c>
      <c r="F18238" s="1">
        <v>7.5872079972464498E-3</v>
      </c>
    </row>
    <row r="18239" spans="1:6" x14ac:dyDescent="0.25">
      <c r="A18239" s="2" t="str">
        <f t="shared" si="651"/>
        <v>47220</v>
      </c>
      <c r="B18239" s="2" t="str">
        <f>"08329"</f>
        <v>08329</v>
      </c>
      <c r="C18239" s="1">
        <v>1.03307506456719E-3</v>
      </c>
      <c r="D18239" s="1">
        <v>0</v>
      </c>
      <c r="E18239" s="1">
        <v>6.9252077562326805E-4</v>
      </c>
      <c r="F18239" s="1">
        <v>9.4278915942115702E-4</v>
      </c>
    </row>
    <row r="18240" spans="1:6" x14ac:dyDescent="0.25">
      <c r="A18240" s="2" t="str">
        <f t="shared" si="651"/>
        <v>47220</v>
      </c>
      <c r="B18240" s="2" t="str">
        <f>"08302"</f>
        <v>08302</v>
      </c>
      <c r="C18240" s="1">
        <v>0.26350079146879901</v>
      </c>
      <c r="D18240" s="1">
        <v>0.237695749440715</v>
      </c>
      <c r="E18240" s="1">
        <v>0.20983379501384999</v>
      </c>
      <c r="F18240" s="1">
        <v>0.26026966762940901</v>
      </c>
    </row>
    <row r="18241" spans="1:6" x14ac:dyDescent="0.25">
      <c r="A18241" s="2" t="str">
        <f t="shared" si="651"/>
        <v>47220</v>
      </c>
      <c r="B18241" s="2" t="str">
        <f>"08313"</f>
        <v>08313</v>
      </c>
      <c r="C18241" s="1">
        <v>0</v>
      </c>
      <c r="D18241" s="1">
        <v>0</v>
      </c>
      <c r="E18241" s="1">
        <v>6.9252077562326805E-4</v>
      </c>
      <c r="F18241" s="1">
        <v>1.4964907292399299E-5</v>
      </c>
    </row>
    <row r="18242" spans="1:6" x14ac:dyDescent="0.25">
      <c r="A18242" s="2" t="str">
        <f t="shared" si="651"/>
        <v>47220</v>
      </c>
      <c r="B18242" s="2" t="str">
        <f>"08344"</f>
        <v>08344</v>
      </c>
      <c r="C18242" s="1">
        <v>8.2312755144547094E-3</v>
      </c>
      <c r="D18242" s="1">
        <v>7.4571215510812799E-4</v>
      </c>
      <c r="E18242" s="1">
        <v>4.1551246537396098E-3</v>
      </c>
      <c r="F18242" s="1">
        <v>7.5423132753692501E-3</v>
      </c>
    </row>
    <row r="18243" spans="1:6" x14ac:dyDescent="0.25">
      <c r="A18243" s="2" t="str">
        <f t="shared" si="651"/>
        <v>47220</v>
      </c>
      <c r="B18243" s="2" t="str">
        <f>"08324"</f>
        <v>08324</v>
      </c>
      <c r="C18243" s="1">
        <v>9.4976255936015904E-4</v>
      </c>
      <c r="D18243" s="1">
        <v>1.86428038777032E-4</v>
      </c>
      <c r="E18243" s="1">
        <v>6.9252077562326805E-4</v>
      </c>
      <c r="F18243" s="1">
        <v>8.8292953025155996E-4</v>
      </c>
    </row>
    <row r="18244" spans="1:6" x14ac:dyDescent="0.25">
      <c r="A18244" s="2" t="str">
        <f t="shared" ref="A18244:A18256" si="652">"44340"</f>
        <v>44340</v>
      </c>
      <c r="B18244" s="2" t="str">
        <f>"31308"</f>
        <v>31308</v>
      </c>
      <c r="C18244" s="1">
        <v>2.1658592191507502E-2</v>
      </c>
      <c r="D18244" s="1">
        <v>1.6736401673640099E-3</v>
      </c>
      <c r="E18244" s="1">
        <v>0</v>
      </c>
      <c r="F18244" s="1">
        <v>1.9263171130390999E-2</v>
      </c>
    </row>
    <row r="18245" spans="1:6" x14ac:dyDescent="0.25">
      <c r="A18245" s="2" t="str">
        <f t="shared" si="652"/>
        <v>44340</v>
      </c>
      <c r="B18245" s="2" t="str">
        <f>"30460"</f>
        <v>30460</v>
      </c>
      <c r="C18245" s="1">
        <v>0</v>
      </c>
      <c r="D18245" s="1">
        <v>2.7894002789400198E-4</v>
      </c>
      <c r="E18245" s="1">
        <v>0</v>
      </c>
      <c r="F18245" s="1">
        <v>2.5147742990066601E-5</v>
      </c>
    </row>
    <row r="18246" spans="1:6" x14ac:dyDescent="0.25">
      <c r="A18246" s="2" t="str">
        <f t="shared" si="652"/>
        <v>44340</v>
      </c>
      <c r="B18246" s="2" t="str">
        <f>"30459"</f>
        <v>30459</v>
      </c>
      <c r="C18246" s="1">
        <v>4.3431176973496702E-2</v>
      </c>
      <c r="D18246" s="1">
        <v>0.19609483960948301</v>
      </c>
      <c r="E18246" s="1">
        <v>1.8348623853210999E-3</v>
      </c>
      <c r="F18246" s="1">
        <v>5.6054319124858497E-2</v>
      </c>
    </row>
    <row r="18247" spans="1:6" x14ac:dyDescent="0.25">
      <c r="A18247" s="2" t="str">
        <f t="shared" si="652"/>
        <v>44340</v>
      </c>
      <c r="B18247" s="2" t="str">
        <f>"30461"</f>
        <v>30461</v>
      </c>
      <c r="C18247" s="1">
        <v>0.216642918210316</v>
      </c>
      <c r="D18247" s="1">
        <v>6.6945606694560594E-2</v>
      </c>
      <c r="E18247" s="1">
        <v>8.1651376146788898E-2</v>
      </c>
      <c r="F18247" s="1">
        <v>0.19944674965421799</v>
      </c>
    </row>
    <row r="18248" spans="1:6" x14ac:dyDescent="0.25">
      <c r="A18248" s="2" t="str">
        <f t="shared" si="652"/>
        <v>44340</v>
      </c>
      <c r="B18248" s="2" t="str">
        <f>"30417"</f>
        <v>30417</v>
      </c>
      <c r="C18248" s="1">
        <v>2.8498147620404599E-5</v>
      </c>
      <c r="D18248" s="1">
        <v>0</v>
      </c>
      <c r="E18248" s="1">
        <v>0</v>
      </c>
      <c r="F18248" s="1">
        <v>2.5147742990066601E-5</v>
      </c>
    </row>
    <row r="18249" spans="1:6" x14ac:dyDescent="0.25">
      <c r="A18249" s="2" t="str">
        <f t="shared" si="652"/>
        <v>44340</v>
      </c>
      <c r="B18249" s="2" t="str">
        <f>"30452"</f>
        <v>30452</v>
      </c>
      <c r="C18249" s="1">
        <v>2.20860644058136E-2</v>
      </c>
      <c r="D18249" s="1">
        <v>1.0878661087866099E-2</v>
      </c>
      <c r="E18249" s="1">
        <v>1.8348623853210999E-3</v>
      </c>
      <c r="F18249" s="1">
        <v>2.05205582798943E-2</v>
      </c>
    </row>
    <row r="18250" spans="1:6" x14ac:dyDescent="0.25">
      <c r="A18250" s="2" t="str">
        <f t="shared" si="652"/>
        <v>44340</v>
      </c>
      <c r="B18250" s="2" t="str">
        <f>"30439"</f>
        <v>30439</v>
      </c>
      <c r="C18250" s="1">
        <v>3.41977771444856E-4</v>
      </c>
      <c r="D18250" s="1">
        <v>0</v>
      </c>
      <c r="E18250" s="1">
        <v>0</v>
      </c>
      <c r="F18250" s="1">
        <v>3.01772915880799E-4</v>
      </c>
    </row>
    <row r="18251" spans="1:6" x14ac:dyDescent="0.25">
      <c r="A18251" s="2" t="str">
        <f t="shared" si="652"/>
        <v>44340</v>
      </c>
      <c r="B18251" s="2" t="str">
        <f>"30471"</f>
        <v>30471</v>
      </c>
      <c r="C18251" s="1">
        <v>4.36021658592191E-3</v>
      </c>
      <c r="D18251" s="1">
        <v>5.5788005578800504E-4</v>
      </c>
      <c r="E18251" s="1">
        <v>0</v>
      </c>
      <c r="F18251" s="1">
        <v>3.8979001634603201E-3</v>
      </c>
    </row>
    <row r="18252" spans="1:6" x14ac:dyDescent="0.25">
      <c r="A18252" s="2" t="str">
        <f t="shared" si="652"/>
        <v>44340</v>
      </c>
      <c r="B18252" s="2" t="str">
        <f>"31321"</f>
        <v>31321</v>
      </c>
      <c r="C18252" s="1">
        <v>3.1148475349102301E-2</v>
      </c>
      <c r="D18252" s="1">
        <v>1.95258019525801E-3</v>
      </c>
      <c r="E18252" s="1">
        <v>0</v>
      </c>
      <c r="F18252" s="1">
        <v>2.7662517289073301E-2</v>
      </c>
    </row>
    <row r="18253" spans="1:6" x14ac:dyDescent="0.25">
      <c r="A18253" s="2" t="str">
        <f t="shared" si="652"/>
        <v>44340</v>
      </c>
      <c r="B18253" s="2" t="str">
        <f>"30450"</f>
        <v>30450</v>
      </c>
      <c r="C18253" s="1">
        <v>3.3656312339697902E-2</v>
      </c>
      <c r="D18253" s="1">
        <v>9.2050209205020907E-3</v>
      </c>
      <c r="E18253" s="1">
        <v>3.6697247706421999E-3</v>
      </c>
      <c r="F18253" s="1">
        <v>3.06299509619011E-2</v>
      </c>
    </row>
    <row r="18254" spans="1:6" x14ac:dyDescent="0.25">
      <c r="A18254" s="2" t="str">
        <f t="shared" si="652"/>
        <v>44340</v>
      </c>
      <c r="B18254" s="2" t="str">
        <f>"30425"</f>
        <v>30425</v>
      </c>
      <c r="C18254" s="1">
        <v>2.8783129096608701E-3</v>
      </c>
      <c r="D18254" s="1">
        <v>0</v>
      </c>
      <c r="E18254" s="1">
        <v>0</v>
      </c>
      <c r="F18254" s="1">
        <v>2.5399220419967299E-3</v>
      </c>
    </row>
    <row r="18255" spans="1:6" x14ac:dyDescent="0.25">
      <c r="A18255" s="2" t="str">
        <f t="shared" si="652"/>
        <v>44340</v>
      </c>
      <c r="B18255" s="2" t="str">
        <f>"30415"</f>
        <v>30415</v>
      </c>
      <c r="C18255" s="1">
        <v>9.8945568538044995E-2</v>
      </c>
      <c r="D18255" s="1">
        <v>4.3514644351464397E-2</v>
      </c>
      <c r="E18255" s="1">
        <v>1.7431192660550401E-2</v>
      </c>
      <c r="F18255" s="1">
        <v>9.1713818684773005E-2</v>
      </c>
    </row>
    <row r="18256" spans="1:6" x14ac:dyDescent="0.25">
      <c r="A18256" s="2" t="str">
        <f t="shared" si="652"/>
        <v>44340</v>
      </c>
      <c r="B18256" s="2" t="str">
        <f>"30458"</f>
        <v>30458</v>
      </c>
      <c r="C18256" s="1">
        <v>0.52482188657737205</v>
      </c>
      <c r="D18256" s="1">
        <v>0.66889818688981795</v>
      </c>
      <c r="E18256" s="1">
        <v>0.89357798165137603</v>
      </c>
      <c r="F18256" s="1">
        <v>0.547919024267571</v>
      </c>
    </row>
    <row r="18257" spans="1:6" x14ac:dyDescent="0.25">
      <c r="A18257" s="2" t="str">
        <f t="shared" ref="A18257:A18273" si="653">"27600"</f>
        <v>27600</v>
      </c>
      <c r="B18257" s="2" t="str">
        <f>"30646"</f>
        <v>30646</v>
      </c>
      <c r="C18257" s="1">
        <v>2.59298740960557E-4</v>
      </c>
      <c r="D18257" s="1">
        <v>0</v>
      </c>
      <c r="E18257" s="1">
        <v>0</v>
      </c>
      <c r="F18257" s="1">
        <v>2.3872045834327999E-4</v>
      </c>
    </row>
    <row r="18258" spans="1:6" x14ac:dyDescent="0.25">
      <c r="A18258" s="2" t="str">
        <f t="shared" si="653"/>
        <v>27600</v>
      </c>
      <c r="B18258" s="2" t="str">
        <f>"30529"</f>
        <v>30529</v>
      </c>
      <c r="C18258" s="1">
        <v>0.170099974070125</v>
      </c>
      <c r="D18258" s="1">
        <v>0.33467446964155001</v>
      </c>
      <c r="E18258" s="1">
        <v>0.16279069767441801</v>
      </c>
      <c r="F18258" s="1">
        <v>0.18198456274369301</v>
      </c>
    </row>
    <row r="18259" spans="1:6" x14ac:dyDescent="0.25">
      <c r="A18259" s="2" t="str">
        <f t="shared" si="653"/>
        <v>27600</v>
      </c>
      <c r="B18259" s="2" t="str">
        <f>"30622"</f>
        <v>30622</v>
      </c>
      <c r="C18259" s="1">
        <v>1.1265089746175299E-2</v>
      </c>
      <c r="D18259" s="1">
        <v>3.6576444769568302E-4</v>
      </c>
      <c r="E18259" s="1">
        <v>0</v>
      </c>
      <c r="F18259" s="1">
        <v>1.03976021856184E-2</v>
      </c>
    </row>
    <row r="18260" spans="1:6" x14ac:dyDescent="0.25">
      <c r="A18260" s="2" t="str">
        <f t="shared" si="653"/>
        <v>27600</v>
      </c>
      <c r="B18260" s="2" t="str">
        <f>"30666"</f>
        <v>30666</v>
      </c>
      <c r="C18260" s="1">
        <v>2.42012158229853E-3</v>
      </c>
      <c r="D18260" s="1">
        <v>1.0972933430870499E-3</v>
      </c>
      <c r="E18260" s="1">
        <v>7.7519379844961196E-3</v>
      </c>
      <c r="F18260" s="1">
        <v>2.3606800880613199E-3</v>
      </c>
    </row>
    <row r="18261" spans="1:6" x14ac:dyDescent="0.25">
      <c r="A18261" s="2" t="str">
        <f t="shared" si="653"/>
        <v>27600</v>
      </c>
      <c r="B18261" s="2" t="str">
        <f>"30517"</f>
        <v>30517</v>
      </c>
      <c r="C18261" s="1">
        <v>9.6776052320723699E-2</v>
      </c>
      <c r="D18261" s="1">
        <v>0.15581565471836101</v>
      </c>
      <c r="E18261" s="1">
        <v>0.135658914728682</v>
      </c>
      <c r="F18261" s="1">
        <v>0.10132357231903601</v>
      </c>
    </row>
    <row r="18262" spans="1:6" x14ac:dyDescent="0.25">
      <c r="A18262" s="2" t="str">
        <f t="shared" si="653"/>
        <v>27600</v>
      </c>
      <c r="B18262" s="2" t="str">
        <f>"30549"</f>
        <v>30549</v>
      </c>
      <c r="C18262" s="1">
        <v>0.346192630153562</v>
      </c>
      <c r="D18262" s="1">
        <v>0.23811265544988999</v>
      </c>
      <c r="E18262" s="1">
        <v>0.34108527131782901</v>
      </c>
      <c r="F18262" s="1">
        <v>0.33831993846316999</v>
      </c>
    </row>
    <row r="18263" spans="1:6" x14ac:dyDescent="0.25">
      <c r="A18263" s="2" t="str">
        <f t="shared" si="653"/>
        <v>27600</v>
      </c>
      <c r="B18263" s="2" t="str">
        <f>"30607"</f>
        <v>30607</v>
      </c>
      <c r="C18263" s="1">
        <v>4.4023164020859103E-2</v>
      </c>
      <c r="D18263" s="1">
        <v>1.9019751280175499E-2</v>
      </c>
      <c r="E18263" s="1">
        <v>0.100775193798449</v>
      </c>
      <c r="F18263" s="1">
        <v>4.2598339566589698E-2</v>
      </c>
    </row>
    <row r="18264" spans="1:6" x14ac:dyDescent="0.25">
      <c r="A18264" s="2" t="str">
        <f t="shared" si="653"/>
        <v>27600</v>
      </c>
      <c r="B18264" s="2" t="str">
        <f>"30601"</f>
        <v>30601</v>
      </c>
      <c r="C18264" s="1">
        <v>7.77896222881673E-4</v>
      </c>
      <c r="D18264" s="1">
        <v>0</v>
      </c>
      <c r="E18264" s="1">
        <v>0</v>
      </c>
      <c r="F18264" s="1">
        <v>7.1616137502983996E-4</v>
      </c>
    </row>
    <row r="18265" spans="1:6" x14ac:dyDescent="0.25">
      <c r="A18265" s="2" t="str">
        <f t="shared" si="653"/>
        <v>27600</v>
      </c>
      <c r="B18265" s="2" t="str">
        <f>"30680"</f>
        <v>30680</v>
      </c>
      <c r="C18265" s="1">
        <v>1.3253046760206199E-3</v>
      </c>
      <c r="D18265" s="1">
        <v>7.3152889539136701E-4</v>
      </c>
      <c r="E18265" s="1">
        <v>0</v>
      </c>
      <c r="F18265" s="1">
        <v>1.27317577783082E-3</v>
      </c>
    </row>
    <row r="18266" spans="1:6" x14ac:dyDescent="0.25">
      <c r="A18266" s="2" t="str">
        <f t="shared" si="653"/>
        <v>27600</v>
      </c>
      <c r="B18266" s="2" t="str">
        <f>"30530"</f>
        <v>30530</v>
      </c>
      <c r="C18266" s="1">
        <v>2.5958685067273599E-2</v>
      </c>
      <c r="D18266" s="1">
        <v>1.3533284564740299E-2</v>
      </c>
      <c r="E18266" s="1">
        <v>0</v>
      </c>
      <c r="F18266" s="1">
        <v>2.4879976658443999E-2</v>
      </c>
    </row>
    <row r="18267" spans="1:6" x14ac:dyDescent="0.25">
      <c r="A18267" s="2" t="str">
        <f t="shared" si="653"/>
        <v>27600</v>
      </c>
      <c r="B18267" s="2" t="str">
        <f>"30575"</f>
        <v>30575</v>
      </c>
      <c r="C18267" s="1">
        <v>1.5096948918147999E-2</v>
      </c>
      <c r="D18267" s="1">
        <v>7.6810534016093597E-3</v>
      </c>
      <c r="E18267" s="1">
        <v>3.8759689922480598E-3</v>
      </c>
      <c r="F18267" s="1">
        <v>1.4482374472825601E-2</v>
      </c>
    </row>
    <row r="18268" spans="1:6" x14ac:dyDescent="0.25">
      <c r="A18268" s="2" t="str">
        <f t="shared" si="653"/>
        <v>27600</v>
      </c>
      <c r="B18268" s="2" t="str">
        <f>"30565"</f>
        <v>30565</v>
      </c>
      <c r="C18268" s="1">
        <v>5.2205479846725598E-2</v>
      </c>
      <c r="D18268" s="1">
        <v>1.2801755669348901E-2</v>
      </c>
      <c r="E18268" s="1">
        <v>2.7131782945736399E-2</v>
      </c>
      <c r="F18268" s="1">
        <v>4.9176414418715599E-2</v>
      </c>
    </row>
    <row r="18269" spans="1:6" x14ac:dyDescent="0.25">
      <c r="A18269" s="2" t="str">
        <f t="shared" si="653"/>
        <v>27600</v>
      </c>
      <c r="B18269" s="2" t="str">
        <f>"30543"</f>
        <v>30543</v>
      </c>
      <c r="C18269" s="1">
        <v>4.4657005387651596E-3</v>
      </c>
      <c r="D18269" s="1">
        <v>0</v>
      </c>
      <c r="E18269" s="1">
        <v>0</v>
      </c>
      <c r="F18269" s="1">
        <v>4.1112967825787097E-3</v>
      </c>
    </row>
    <row r="18270" spans="1:6" x14ac:dyDescent="0.25">
      <c r="A18270" s="2" t="str">
        <f t="shared" si="653"/>
        <v>27600</v>
      </c>
      <c r="B18270" s="2" t="str">
        <f>"30599"</f>
        <v>30599</v>
      </c>
      <c r="C18270" s="1">
        <v>0</v>
      </c>
      <c r="D18270" s="1">
        <v>7.3152889539136701E-4</v>
      </c>
      <c r="E18270" s="1">
        <v>0</v>
      </c>
      <c r="F18270" s="1">
        <v>5.3048990742951103E-5</v>
      </c>
    </row>
    <row r="18271" spans="1:6" x14ac:dyDescent="0.25">
      <c r="A18271" s="2" t="str">
        <f t="shared" si="653"/>
        <v>27600</v>
      </c>
      <c r="B18271" s="2" t="str">
        <f>"30558"</f>
        <v>30558</v>
      </c>
      <c r="C18271" s="1">
        <v>3.9010055028955E-2</v>
      </c>
      <c r="D18271" s="1">
        <v>1.6459400146305699E-2</v>
      </c>
      <c r="E18271" s="1">
        <v>7.7519379844961196E-3</v>
      </c>
      <c r="F18271" s="1">
        <v>3.7160818015437198E-2</v>
      </c>
    </row>
    <row r="18272" spans="1:6" x14ac:dyDescent="0.25">
      <c r="A18272" s="2" t="str">
        <f t="shared" si="653"/>
        <v>27600</v>
      </c>
      <c r="B18272" s="2" t="str">
        <f>"30567"</f>
        <v>30567</v>
      </c>
      <c r="C18272" s="1">
        <v>5.7276210781065401E-2</v>
      </c>
      <c r="D18272" s="1">
        <v>3.5113386978785598E-2</v>
      </c>
      <c r="E18272" s="1">
        <v>6.2015503875968901E-2</v>
      </c>
      <c r="F18272" s="1">
        <v>5.5701440280098602E-2</v>
      </c>
    </row>
    <row r="18273" spans="1:6" x14ac:dyDescent="0.25">
      <c r="A18273" s="2" t="str">
        <f t="shared" si="653"/>
        <v>27600</v>
      </c>
      <c r="B18273" s="2" t="str">
        <f>"30548"</f>
        <v>30548</v>
      </c>
      <c r="C18273" s="1">
        <v>0.132847388285459</v>
      </c>
      <c r="D18273" s="1">
        <v>0.16386247256766601</v>
      </c>
      <c r="E18273" s="1">
        <v>0.15116279069767399</v>
      </c>
      <c r="F18273" s="1">
        <v>0.135221877403782</v>
      </c>
    </row>
    <row r="18274" spans="1:6" x14ac:dyDescent="0.25">
      <c r="A18274" s="2" t="str">
        <f t="shared" ref="A18274:A18306" si="654">"12020"</f>
        <v>12020</v>
      </c>
      <c r="B18274" s="2" t="str">
        <f>"30660"</f>
        <v>30660</v>
      </c>
      <c r="C18274" s="1">
        <v>1.3022034923662099E-3</v>
      </c>
      <c r="D18274" s="1">
        <v>5.5193729992272799E-4</v>
      </c>
      <c r="E18274" s="1">
        <v>0</v>
      </c>
      <c r="F18274" s="1">
        <v>1.20117933971535E-3</v>
      </c>
    </row>
    <row r="18275" spans="1:6" x14ac:dyDescent="0.25">
      <c r="A18275" s="2" t="str">
        <f t="shared" si="654"/>
        <v>12020</v>
      </c>
      <c r="B18275" s="2" t="str">
        <f>"30630"</f>
        <v>30630</v>
      </c>
      <c r="C18275" s="1">
        <v>1.0222810093615101E-2</v>
      </c>
      <c r="D18275" s="1">
        <v>1.03764212385473E-2</v>
      </c>
      <c r="E18275" s="1">
        <v>1.51240169388989E-3</v>
      </c>
      <c r="F18275" s="1">
        <v>9.9734284570305292E-3</v>
      </c>
    </row>
    <row r="18276" spans="1:6" x14ac:dyDescent="0.25">
      <c r="A18276" s="2" t="str">
        <f t="shared" si="654"/>
        <v>12020</v>
      </c>
      <c r="B18276" s="2" t="str">
        <f>"30628"</f>
        <v>30628</v>
      </c>
      <c r="C18276" s="1">
        <v>3.0688937422457301E-2</v>
      </c>
      <c r="D18276" s="1">
        <v>8.4998344188100192E-3</v>
      </c>
      <c r="E18276" s="1">
        <v>5.7471264367815996E-3</v>
      </c>
      <c r="F18276" s="1">
        <v>2.81094165180358E-2</v>
      </c>
    </row>
    <row r="18277" spans="1:6" x14ac:dyDescent="0.25">
      <c r="A18277" s="2" t="str">
        <f t="shared" si="654"/>
        <v>12020</v>
      </c>
      <c r="B18277" s="2" t="str">
        <f>"30683"</f>
        <v>30683</v>
      </c>
      <c r="C18277" s="1">
        <v>3.9230161903883003E-2</v>
      </c>
      <c r="D18277" s="1">
        <v>1.457114471796E-2</v>
      </c>
      <c r="E18277" s="1">
        <v>8.4694494857834209E-3</v>
      </c>
      <c r="F18277" s="1">
        <v>3.6271976122010698E-2</v>
      </c>
    </row>
    <row r="18278" spans="1:6" x14ac:dyDescent="0.25">
      <c r="A18278" s="2" t="str">
        <f t="shared" si="654"/>
        <v>12020</v>
      </c>
      <c r="B18278" s="2" t="str">
        <f>"30606"</f>
        <v>30606</v>
      </c>
      <c r="C18278" s="1">
        <v>0.225383739887415</v>
      </c>
      <c r="D18278" s="1">
        <v>0.24185892482613899</v>
      </c>
      <c r="E18278" s="1">
        <v>0.355414398064125</v>
      </c>
      <c r="F18278" s="1">
        <v>0.23065373275579601</v>
      </c>
    </row>
    <row r="18279" spans="1:6" x14ac:dyDescent="0.25">
      <c r="A18279" s="2" t="str">
        <f t="shared" si="654"/>
        <v>12020</v>
      </c>
      <c r="B18279" s="2" t="str">
        <f>"30669"</f>
        <v>30669</v>
      </c>
      <c r="C18279" s="1">
        <v>8.5104637690075501E-4</v>
      </c>
      <c r="D18279" s="1">
        <v>1.10387459984545E-4</v>
      </c>
      <c r="E18279" s="1">
        <v>0</v>
      </c>
      <c r="F18279" s="1">
        <v>7.6438685254613605E-4</v>
      </c>
    </row>
    <row r="18280" spans="1:6" x14ac:dyDescent="0.25">
      <c r="A18280" s="2" t="str">
        <f t="shared" si="654"/>
        <v>12020</v>
      </c>
      <c r="B18280" s="2" t="str">
        <f>"30662"</f>
        <v>30662</v>
      </c>
      <c r="C18280" s="1">
        <v>3.75280691500815E-3</v>
      </c>
      <c r="D18280" s="1">
        <v>9.9348713986091098E-4</v>
      </c>
      <c r="E18280" s="1">
        <v>0</v>
      </c>
      <c r="F18280" s="1">
        <v>3.4124413060095302E-3</v>
      </c>
    </row>
    <row r="18281" spans="1:6" x14ac:dyDescent="0.25">
      <c r="A18281" s="2" t="str">
        <f t="shared" si="654"/>
        <v>12020</v>
      </c>
      <c r="B18281" s="2" t="str">
        <f>"30647"</f>
        <v>30647</v>
      </c>
      <c r="C18281" s="1">
        <v>0</v>
      </c>
      <c r="D18281" s="1">
        <v>0</v>
      </c>
      <c r="E18281" s="1">
        <v>3.0248033877797902E-4</v>
      </c>
      <c r="F18281" s="1">
        <v>9.0998434826920908E-6</v>
      </c>
    </row>
    <row r="18282" spans="1:6" x14ac:dyDescent="0.25">
      <c r="A18282" s="2" t="str">
        <f t="shared" si="654"/>
        <v>12020</v>
      </c>
      <c r="B18282" s="2" t="str">
        <f>"30638"</f>
        <v>30638</v>
      </c>
      <c r="C18282" s="1">
        <v>0</v>
      </c>
      <c r="D18282" s="1">
        <v>0</v>
      </c>
      <c r="E18282" s="1">
        <v>3.0248033877797902E-4</v>
      </c>
      <c r="F18282" s="1">
        <v>9.0998434826920908E-6</v>
      </c>
    </row>
    <row r="18283" spans="1:6" x14ac:dyDescent="0.25">
      <c r="A18283" s="2" t="str">
        <f t="shared" si="654"/>
        <v>12020</v>
      </c>
      <c r="B18283" s="2" t="str">
        <f>"30605"</f>
        <v>30605</v>
      </c>
      <c r="C18283" s="1">
        <v>0.19464353461092801</v>
      </c>
      <c r="D18283" s="1">
        <v>0.112153659344298</v>
      </c>
      <c r="E18283" s="1">
        <v>0.34906231094978801</v>
      </c>
      <c r="F18283" s="1">
        <v>0.19248898918938501</v>
      </c>
    </row>
    <row r="18284" spans="1:6" x14ac:dyDescent="0.25">
      <c r="A18284" s="2" t="str">
        <f t="shared" si="654"/>
        <v>12020</v>
      </c>
      <c r="B18284" s="2" t="str">
        <f>"30604"</f>
        <v>30604</v>
      </c>
      <c r="C18284" s="1">
        <v>1.4283224132804201E-2</v>
      </c>
      <c r="D18284" s="1">
        <v>6.2700077271221899E-2</v>
      </c>
      <c r="E18284" s="1">
        <v>3.0248033877797902E-4</v>
      </c>
      <c r="F18284" s="1">
        <v>1.7853892913041802E-2</v>
      </c>
    </row>
    <row r="18285" spans="1:6" x14ac:dyDescent="0.25">
      <c r="A18285" s="2" t="str">
        <f t="shared" si="654"/>
        <v>12020</v>
      </c>
      <c r="B18285" s="2" t="str">
        <f>"30677"</f>
        <v>30677</v>
      </c>
      <c r="C18285" s="1">
        <v>9.3902201441651997E-2</v>
      </c>
      <c r="D18285" s="1">
        <v>0.16215917871729699</v>
      </c>
      <c r="E18285" s="1">
        <v>7.71324863883847E-2</v>
      </c>
      <c r="F18285" s="1">
        <v>9.9024496778655394E-2</v>
      </c>
    </row>
    <row r="18286" spans="1:6" x14ac:dyDescent="0.25">
      <c r="A18286" s="2" t="str">
        <f t="shared" si="654"/>
        <v>12020</v>
      </c>
      <c r="B18286" s="2" t="str">
        <f>"30608"</f>
        <v>30608</v>
      </c>
      <c r="C18286" s="1">
        <v>1.4067899145877499E-2</v>
      </c>
      <c r="D18286" s="1">
        <v>2.4726791036538201E-2</v>
      </c>
      <c r="E18286" s="1">
        <v>6.0496067755595804E-4</v>
      </c>
      <c r="F18286" s="1">
        <v>1.45415498853419E-2</v>
      </c>
    </row>
    <row r="18287" spans="1:6" x14ac:dyDescent="0.25">
      <c r="A18287" s="2" t="str">
        <f t="shared" si="654"/>
        <v>12020</v>
      </c>
      <c r="B18287" s="2" t="str">
        <f>"30601"</f>
        <v>30601</v>
      </c>
      <c r="C18287" s="1">
        <v>0.11417351092517899</v>
      </c>
      <c r="D18287" s="1">
        <v>0.152776244618611</v>
      </c>
      <c r="E18287" s="1">
        <v>0.13974591651542601</v>
      </c>
      <c r="F18287" s="1">
        <v>0.118125068248826</v>
      </c>
    </row>
    <row r="18288" spans="1:6" x14ac:dyDescent="0.25">
      <c r="A18288" s="2" t="str">
        <f t="shared" si="654"/>
        <v>12020</v>
      </c>
      <c r="B18288" s="2" t="str">
        <f>"30624"</f>
        <v>30624</v>
      </c>
      <c r="C18288" s="1">
        <v>8.9206066012488799E-4</v>
      </c>
      <c r="D18288" s="1">
        <v>0</v>
      </c>
      <c r="E18288" s="1">
        <v>0</v>
      </c>
      <c r="F18288" s="1">
        <v>7.9168638299421197E-4</v>
      </c>
    </row>
    <row r="18289" spans="1:6" x14ac:dyDescent="0.25">
      <c r="A18289" s="2" t="str">
        <f t="shared" si="654"/>
        <v>12020</v>
      </c>
      <c r="B18289" s="2" t="str">
        <f>"30609"</f>
        <v>30609</v>
      </c>
      <c r="C18289" s="1">
        <v>2.2557855773273E-4</v>
      </c>
      <c r="D18289" s="1">
        <v>0</v>
      </c>
      <c r="E18289" s="1">
        <v>0</v>
      </c>
      <c r="F18289" s="1">
        <v>2.00196556619226E-4</v>
      </c>
    </row>
    <row r="18290" spans="1:6" x14ac:dyDescent="0.25">
      <c r="A18290" s="2" t="str">
        <f t="shared" si="654"/>
        <v>12020</v>
      </c>
      <c r="B18290" s="2" t="str">
        <f>"30619"</f>
        <v>30619</v>
      </c>
      <c r="C18290" s="1">
        <v>7.1774995642232397E-3</v>
      </c>
      <c r="D18290" s="1">
        <v>2.0973617397063598E-3</v>
      </c>
      <c r="E18290" s="1">
        <v>9.0744101633393804E-4</v>
      </c>
      <c r="F18290" s="1">
        <v>6.5700869945036896E-3</v>
      </c>
    </row>
    <row r="18291" spans="1:6" x14ac:dyDescent="0.25">
      <c r="A18291" s="2" t="str">
        <f t="shared" si="654"/>
        <v>12020</v>
      </c>
      <c r="B18291" s="2" t="str">
        <f>"30607"</f>
        <v>30607</v>
      </c>
      <c r="C18291" s="1">
        <v>3.4687830036810301E-2</v>
      </c>
      <c r="D18291" s="1">
        <v>3.4220112595209101E-2</v>
      </c>
      <c r="E18291" s="1">
        <v>2.02661826981246E-2</v>
      </c>
      <c r="F18291" s="1">
        <v>3.4215411494922202E-2</v>
      </c>
    </row>
    <row r="18292" spans="1:6" x14ac:dyDescent="0.25">
      <c r="A18292" s="2" t="str">
        <f t="shared" si="654"/>
        <v>12020</v>
      </c>
      <c r="B18292" s="2" t="str">
        <f>"30645"</f>
        <v>30645</v>
      </c>
      <c r="C18292" s="1">
        <v>0</v>
      </c>
      <c r="D18292" s="1">
        <v>0</v>
      </c>
      <c r="E18292" s="1">
        <v>3.0248033877797902E-4</v>
      </c>
      <c r="F18292" s="1">
        <v>9.0998434826920908E-6</v>
      </c>
    </row>
    <row r="18293" spans="1:6" x14ac:dyDescent="0.25">
      <c r="A18293" s="2" t="str">
        <f t="shared" si="654"/>
        <v>12020</v>
      </c>
      <c r="B18293" s="2" t="str">
        <f>"30648"</f>
        <v>30648</v>
      </c>
      <c r="C18293" s="1">
        <v>1.300152778205E-2</v>
      </c>
      <c r="D18293" s="1">
        <v>1.05971961585163E-2</v>
      </c>
      <c r="E18293" s="1">
        <v>3.02480338777979E-3</v>
      </c>
      <c r="F18293" s="1">
        <v>1.25031849452189E-2</v>
      </c>
    </row>
    <row r="18294" spans="1:6" x14ac:dyDescent="0.25">
      <c r="A18294" s="2" t="str">
        <f t="shared" si="654"/>
        <v>12020</v>
      </c>
      <c r="B18294" s="2" t="str">
        <f>"30622"</f>
        <v>30622</v>
      </c>
      <c r="C18294" s="1">
        <v>4.2818911685994603E-2</v>
      </c>
      <c r="D18294" s="1">
        <v>3.6869411634838201E-2</v>
      </c>
      <c r="E18294" s="1">
        <v>1.69388989715668E-2</v>
      </c>
      <c r="F18294" s="1">
        <v>4.1549885341972098E-2</v>
      </c>
    </row>
    <row r="18295" spans="1:6" x14ac:dyDescent="0.25">
      <c r="A18295" s="2" t="str">
        <f t="shared" si="654"/>
        <v>12020</v>
      </c>
      <c r="B18295" s="2" t="str">
        <f>"30667"</f>
        <v>30667</v>
      </c>
      <c r="C18295" s="1">
        <v>3.6912854901719498E-3</v>
      </c>
      <c r="D18295" s="1">
        <v>1.3246495198145399E-3</v>
      </c>
      <c r="E18295" s="1">
        <v>0</v>
      </c>
      <c r="F18295" s="1">
        <v>3.38514177556146E-3</v>
      </c>
    </row>
    <row r="18296" spans="1:6" x14ac:dyDescent="0.25">
      <c r="A18296" s="2" t="str">
        <f t="shared" si="654"/>
        <v>12020</v>
      </c>
      <c r="B18296" s="2" t="str">
        <f>"30565"</f>
        <v>30565</v>
      </c>
      <c r="C18296" s="1">
        <v>2.06096773201267E-3</v>
      </c>
      <c r="D18296" s="1">
        <v>2.20774919969091E-4</v>
      </c>
      <c r="E18296" s="1">
        <v>0</v>
      </c>
      <c r="F18296" s="1">
        <v>1.8472682269864899E-3</v>
      </c>
    </row>
    <row r="18297" spans="1:6" x14ac:dyDescent="0.25">
      <c r="A18297" s="2" t="str">
        <f t="shared" si="654"/>
        <v>12020</v>
      </c>
      <c r="B18297" s="2" t="str">
        <f>"30629"</f>
        <v>30629</v>
      </c>
      <c r="C18297" s="1">
        <v>2.2414305781988501E-2</v>
      </c>
      <c r="D18297" s="1">
        <v>7.7271221989182E-3</v>
      </c>
      <c r="E18297" s="1">
        <v>4.8396854204476704E-3</v>
      </c>
      <c r="F18297" s="1">
        <v>2.06748443926764E-2</v>
      </c>
    </row>
    <row r="18298" spans="1:6" x14ac:dyDescent="0.25">
      <c r="A18298" s="2" t="str">
        <f t="shared" si="654"/>
        <v>12020</v>
      </c>
      <c r="B18298" s="2" t="str">
        <f>"30603"</f>
        <v>30603</v>
      </c>
      <c r="C18298" s="1">
        <v>7.3620638387318299E-3</v>
      </c>
      <c r="D18298" s="1">
        <v>4.50380836736946E-2</v>
      </c>
      <c r="E18298" s="1">
        <v>3.0248033877797902E-4</v>
      </c>
      <c r="F18298" s="1">
        <v>1.0255523604993899E-2</v>
      </c>
    </row>
    <row r="18299" spans="1:6" x14ac:dyDescent="0.25">
      <c r="A18299" s="2" t="str">
        <f t="shared" si="654"/>
        <v>12020</v>
      </c>
      <c r="B18299" s="2" t="str">
        <f>"30680"</f>
        <v>30680</v>
      </c>
      <c r="C18299" s="1">
        <v>1.3637249172024099E-3</v>
      </c>
      <c r="D18299" s="1">
        <v>2.20774919969091E-4</v>
      </c>
      <c r="E18299" s="1">
        <v>0</v>
      </c>
      <c r="F18299" s="1">
        <v>1.2284788701634301E-3</v>
      </c>
    </row>
    <row r="18300" spans="1:6" x14ac:dyDescent="0.25">
      <c r="A18300" s="2" t="str">
        <f t="shared" si="654"/>
        <v>12020</v>
      </c>
      <c r="B18300" s="2" t="str">
        <f>"30666"</f>
        <v>30666</v>
      </c>
      <c r="C18300" s="1">
        <v>1.1012335045679601E-2</v>
      </c>
      <c r="D18300" s="1">
        <v>6.6232475990727398E-4</v>
      </c>
      <c r="E18300" s="1">
        <v>0</v>
      </c>
      <c r="F18300" s="1">
        <v>9.8278309613074599E-3</v>
      </c>
    </row>
    <row r="18301" spans="1:6" x14ac:dyDescent="0.25">
      <c r="A18301" s="2" t="str">
        <f t="shared" si="654"/>
        <v>12020</v>
      </c>
      <c r="B18301" s="2" t="str">
        <f>"30646"</f>
        <v>30646</v>
      </c>
      <c r="C18301" s="1">
        <v>3.3672726527013003E-2</v>
      </c>
      <c r="D18301" s="1">
        <v>1.4460757257975399E-2</v>
      </c>
      <c r="E18301" s="1">
        <v>7.2595281306715E-3</v>
      </c>
      <c r="F18301" s="1">
        <v>3.1294361736978103E-2</v>
      </c>
    </row>
    <row r="18302" spans="1:6" x14ac:dyDescent="0.25">
      <c r="A18302" s="2" t="str">
        <f t="shared" si="654"/>
        <v>12020</v>
      </c>
      <c r="B18302" s="2" t="str">
        <f>"30627"</f>
        <v>30627</v>
      </c>
      <c r="C18302" s="1">
        <v>1.2140227834343299E-2</v>
      </c>
      <c r="D18302" s="1">
        <v>4.7466607793354596E-3</v>
      </c>
      <c r="E18302" s="1">
        <v>3.0248033877797902E-4</v>
      </c>
      <c r="F18302" s="1">
        <v>1.1174607796745799E-2</v>
      </c>
    </row>
    <row r="18303" spans="1:6" x14ac:dyDescent="0.25">
      <c r="A18303" s="2" t="str">
        <f t="shared" si="654"/>
        <v>12020</v>
      </c>
      <c r="B18303" s="2" t="str">
        <f>"30621"</f>
        <v>30621</v>
      </c>
      <c r="C18303" s="1">
        <v>2.05686630369026E-2</v>
      </c>
      <c r="D18303" s="1">
        <v>5.1882106192736501E-3</v>
      </c>
      <c r="E18303" s="1">
        <v>0</v>
      </c>
      <c r="F18303" s="1">
        <v>1.8681978669966799E-2</v>
      </c>
    </row>
    <row r="18304" spans="1:6" x14ac:dyDescent="0.25">
      <c r="A18304" s="2" t="str">
        <f t="shared" si="654"/>
        <v>12020</v>
      </c>
      <c r="B18304" s="2" t="str">
        <f>"30633"</f>
        <v>30633</v>
      </c>
      <c r="C18304" s="1">
        <v>3.78356762742625E-2</v>
      </c>
      <c r="D18304" s="1">
        <v>1.5895794237774499E-2</v>
      </c>
      <c r="E18304" s="1">
        <v>5.7471264367815996E-3</v>
      </c>
      <c r="F18304" s="1">
        <v>3.50616969388126E-2</v>
      </c>
    </row>
    <row r="18305" spans="1:6" x14ac:dyDescent="0.25">
      <c r="A18305" s="2" t="str">
        <f t="shared" si="654"/>
        <v>12020</v>
      </c>
      <c r="B18305" s="2" t="str">
        <f>"30602"</f>
        <v>30602</v>
      </c>
      <c r="C18305" s="1">
        <v>0</v>
      </c>
      <c r="D18305" s="1">
        <v>2.7596864996136401E-2</v>
      </c>
      <c r="E18305" s="1">
        <v>6.0496067755595804E-4</v>
      </c>
      <c r="F18305" s="1">
        <v>2.2931605576384001E-3</v>
      </c>
    </row>
    <row r="18306" spans="1:6" x14ac:dyDescent="0.25">
      <c r="A18306" s="2" t="str">
        <f t="shared" si="654"/>
        <v>12020</v>
      </c>
      <c r="B18306" s="2" t="str">
        <f>"30530"</f>
        <v>30530</v>
      </c>
      <c r="C18306" s="1">
        <v>6.5725388866672797E-3</v>
      </c>
      <c r="D18306" s="1">
        <v>1.65581189976818E-3</v>
      </c>
      <c r="E18306" s="1">
        <v>9.0744101633393804E-4</v>
      </c>
      <c r="F18306" s="1">
        <v>5.9967968550940897E-3</v>
      </c>
    </row>
    <row r="18307" spans="1:6" x14ac:dyDescent="0.25">
      <c r="A18307" s="2" t="str">
        <f t="shared" ref="A18307:A18321" si="655">"47580"</f>
        <v>47580</v>
      </c>
      <c r="B18307" s="2" t="str">
        <f>"31036"</f>
        <v>31036</v>
      </c>
      <c r="C18307" s="1">
        <v>8.7074923337452492E-3</v>
      </c>
      <c r="D18307" s="1">
        <v>1.1126564673157101E-3</v>
      </c>
      <c r="E18307" s="1">
        <v>2.1041557075223501E-3</v>
      </c>
      <c r="F18307" s="1">
        <v>8.0114419559111499E-3</v>
      </c>
    </row>
    <row r="18308" spans="1:6" x14ac:dyDescent="0.25">
      <c r="A18308" s="2" t="str">
        <f t="shared" si="655"/>
        <v>47580</v>
      </c>
      <c r="B18308" s="2" t="str">
        <f>"31098"</f>
        <v>31098</v>
      </c>
      <c r="C18308" s="1">
        <v>1.6602590507574701E-2</v>
      </c>
      <c r="D18308" s="1">
        <v>3.3379694019471402E-3</v>
      </c>
      <c r="E18308" s="1">
        <v>7.7327722251446601E-2</v>
      </c>
      <c r="F18308" s="1">
        <v>1.6810554789764402E-2</v>
      </c>
    </row>
    <row r="18309" spans="1:6" x14ac:dyDescent="0.25">
      <c r="A18309" s="2" t="str">
        <f t="shared" si="655"/>
        <v>47580</v>
      </c>
      <c r="B18309" s="2" t="str">
        <f>"31025"</f>
        <v>31025</v>
      </c>
      <c r="C18309" s="1">
        <v>8.3756693670190806E-3</v>
      </c>
      <c r="D18309" s="1">
        <v>2.92072322670375E-3</v>
      </c>
      <c r="E18309" s="1">
        <v>1.0520778537611701E-3</v>
      </c>
      <c r="F18309" s="1">
        <v>7.8248883269248694E-3</v>
      </c>
    </row>
    <row r="18310" spans="1:6" x14ac:dyDescent="0.25">
      <c r="A18310" s="2" t="str">
        <f t="shared" si="655"/>
        <v>47580</v>
      </c>
      <c r="B18310" s="2" t="str">
        <f>"31091"</f>
        <v>31091</v>
      </c>
      <c r="C18310" s="1">
        <v>2.74612110394068E-4</v>
      </c>
      <c r="D18310" s="1">
        <v>0</v>
      </c>
      <c r="E18310" s="1">
        <v>0</v>
      </c>
      <c r="F18310" s="1">
        <v>2.4873817198171698E-4</v>
      </c>
    </row>
    <row r="18311" spans="1:6" x14ac:dyDescent="0.25">
      <c r="A18311" s="2" t="str">
        <f t="shared" si="655"/>
        <v>47580</v>
      </c>
      <c r="B18311" s="2" t="str">
        <f>"31008"</f>
        <v>31008</v>
      </c>
      <c r="C18311" s="1">
        <v>9.1239873678429201E-2</v>
      </c>
      <c r="D18311" s="1">
        <v>8.2336578581363007E-2</v>
      </c>
      <c r="E18311" s="1">
        <v>4.7343503419253002E-2</v>
      </c>
      <c r="F18311" s="1">
        <v>8.9711567361406105E-2</v>
      </c>
    </row>
    <row r="18312" spans="1:6" x14ac:dyDescent="0.25">
      <c r="A18312" s="2" t="str">
        <f t="shared" si="655"/>
        <v>47580</v>
      </c>
      <c r="B18312" s="2" t="str">
        <f>"31093"</f>
        <v>31093</v>
      </c>
      <c r="C18312" s="1">
        <v>0.15608265824522799</v>
      </c>
      <c r="D18312" s="1">
        <v>0.208901251738525</v>
      </c>
      <c r="E18312" s="1">
        <v>0.25512887953708502</v>
      </c>
      <c r="F18312" s="1">
        <v>0.16197000632209499</v>
      </c>
    </row>
    <row r="18313" spans="1:6" x14ac:dyDescent="0.25">
      <c r="A18313" s="2" t="str">
        <f t="shared" si="655"/>
        <v>47580</v>
      </c>
      <c r="B18313" s="2" t="str">
        <f>"31088"</f>
        <v>31088</v>
      </c>
      <c r="C18313" s="1">
        <v>0.28558515263856399</v>
      </c>
      <c r="D18313" s="1">
        <v>0.27969401947148798</v>
      </c>
      <c r="E18313" s="1">
        <v>0.27564439768542798</v>
      </c>
      <c r="F18313" s="1">
        <v>0.28495030418605599</v>
      </c>
    </row>
    <row r="18314" spans="1:6" x14ac:dyDescent="0.25">
      <c r="A18314" s="2" t="str">
        <f t="shared" si="655"/>
        <v>47580</v>
      </c>
      <c r="B18314" s="2" t="str">
        <f>"31076"</f>
        <v>31076</v>
      </c>
      <c r="C18314" s="1">
        <v>1.14421712664195E-5</v>
      </c>
      <c r="D18314" s="1">
        <v>0</v>
      </c>
      <c r="E18314" s="1">
        <v>0</v>
      </c>
      <c r="F18314" s="1">
        <v>1.0364090499238199E-5</v>
      </c>
    </row>
    <row r="18315" spans="1:6" x14ac:dyDescent="0.25">
      <c r="A18315" s="2" t="str">
        <f t="shared" si="655"/>
        <v>47580</v>
      </c>
      <c r="B18315" s="2" t="str">
        <f>"31069"</f>
        <v>31069</v>
      </c>
      <c r="C18315" s="1">
        <v>0.13666529360611401</v>
      </c>
      <c r="D18315" s="1">
        <v>0.17273991655076401</v>
      </c>
      <c r="E18315" s="1">
        <v>0.139400315623356</v>
      </c>
      <c r="F18315" s="1">
        <v>0.13940738130525299</v>
      </c>
    </row>
    <row r="18316" spans="1:6" x14ac:dyDescent="0.25">
      <c r="A18316" s="2" t="str">
        <f t="shared" si="655"/>
        <v>47580</v>
      </c>
      <c r="B18316" s="2" t="str">
        <f>"31047"</f>
        <v>31047</v>
      </c>
      <c r="C18316" s="1">
        <v>6.8927639708911095E-2</v>
      </c>
      <c r="D18316" s="1">
        <v>1.47426981919332E-2</v>
      </c>
      <c r="E18316" s="1">
        <v>2.47238295633876E-2</v>
      </c>
      <c r="F18316" s="1">
        <v>6.4018987013794604E-2</v>
      </c>
    </row>
    <row r="18317" spans="1:6" x14ac:dyDescent="0.25">
      <c r="A18317" s="2" t="str">
        <f t="shared" si="655"/>
        <v>47580</v>
      </c>
      <c r="B18317" s="2" t="str">
        <f>"31013"</f>
        <v>31013</v>
      </c>
      <c r="C18317" s="1">
        <v>0</v>
      </c>
      <c r="D18317" s="1">
        <v>0</v>
      </c>
      <c r="E18317" s="1">
        <v>5.2603892688058904E-4</v>
      </c>
      <c r="F18317" s="1">
        <v>1.0364090499238199E-5</v>
      </c>
    </row>
    <row r="18318" spans="1:6" x14ac:dyDescent="0.25">
      <c r="A18318" s="2" t="str">
        <f t="shared" si="655"/>
        <v>47580</v>
      </c>
      <c r="B18318" s="2" t="str">
        <f>"31005"</f>
        <v>31005</v>
      </c>
      <c r="C18318" s="1">
        <v>9.6079912124124603E-2</v>
      </c>
      <c r="D18318" s="1">
        <v>4.0472878998609102E-2</v>
      </c>
      <c r="E18318" s="1">
        <v>2.15675960021041E-2</v>
      </c>
      <c r="F18318" s="1">
        <v>9.0468145967850494E-2</v>
      </c>
    </row>
    <row r="18319" spans="1:6" x14ac:dyDescent="0.25">
      <c r="A18319" s="2" t="str">
        <f t="shared" si="655"/>
        <v>47580</v>
      </c>
      <c r="B18319" s="2" t="str">
        <f>"31095"</f>
        <v>31095</v>
      </c>
      <c r="C18319" s="1">
        <v>2.13968602682044E-2</v>
      </c>
      <c r="D18319" s="1">
        <v>6.8567454798330998E-2</v>
      </c>
      <c r="E18319" s="1">
        <v>1.0520778537611701E-3</v>
      </c>
      <c r="F18319" s="1">
        <v>2.4511074030698399E-2</v>
      </c>
    </row>
    <row r="18320" spans="1:6" x14ac:dyDescent="0.25">
      <c r="A18320" s="2" t="str">
        <f t="shared" si="655"/>
        <v>47580</v>
      </c>
      <c r="B18320" s="2" t="str">
        <f>"31030"</f>
        <v>31030</v>
      </c>
      <c r="C18320" s="1">
        <v>7.66739896562771E-2</v>
      </c>
      <c r="D18320" s="1">
        <v>9.3184979137691207E-2</v>
      </c>
      <c r="E18320" s="1">
        <v>0.12467122567069901</v>
      </c>
      <c r="F18320" s="1">
        <v>7.8850000518204497E-2</v>
      </c>
    </row>
    <row r="18321" spans="1:6" x14ac:dyDescent="0.25">
      <c r="A18321" s="2" t="str">
        <f t="shared" si="655"/>
        <v>47580</v>
      </c>
      <c r="B18321" s="2" t="str">
        <f>"31028"</f>
        <v>31028</v>
      </c>
      <c r="C18321" s="1">
        <v>3.3376813584145702E-2</v>
      </c>
      <c r="D18321" s="1">
        <v>3.1988873435326803E-2</v>
      </c>
      <c r="E18321" s="1">
        <v>2.9458179905312899E-2</v>
      </c>
      <c r="F18321" s="1">
        <v>3.3196181869060003E-2</v>
      </c>
    </row>
    <row r="18322" spans="1:6" x14ac:dyDescent="0.25">
      <c r="A18322" s="2" t="str">
        <f t="shared" ref="A18322:A18338" si="656">"34220"</f>
        <v>34220</v>
      </c>
      <c r="B18322" s="2" t="str">
        <f>"31788"</f>
        <v>31788</v>
      </c>
      <c r="C18322" s="1">
        <v>0.219760122490643</v>
      </c>
      <c r="D18322" s="1">
        <v>0.177210506844247</v>
      </c>
      <c r="E18322" s="1">
        <v>0.273037542662116</v>
      </c>
      <c r="F18322" s="1">
        <v>0.21724367018528001</v>
      </c>
    </row>
    <row r="18323" spans="1:6" x14ac:dyDescent="0.25">
      <c r="A18323" s="2" t="str">
        <f t="shared" si="656"/>
        <v>34220</v>
      </c>
      <c r="B18323" s="2" t="str">
        <f>"31753"</f>
        <v>31753</v>
      </c>
      <c r="C18323" s="1">
        <v>0</v>
      </c>
      <c r="D18323" s="1">
        <v>0</v>
      </c>
      <c r="E18323" s="1">
        <v>1.1376564277588101E-3</v>
      </c>
      <c r="F18323" s="1">
        <v>3.6908540636303202E-5</v>
      </c>
    </row>
    <row r="18324" spans="1:6" x14ac:dyDescent="0.25">
      <c r="A18324" s="2" t="str">
        <f t="shared" si="656"/>
        <v>34220</v>
      </c>
      <c r="B18324" s="2" t="str">
        <f>"31744"</f>
        <v>31744</v>
      </c>
      <c r="C18324" s="1">
        <v>3.8703640694113597E-2</v>
      </c>
      <c r="D18324" s="1">
        <v>1.29485756566777E-2</v>
      </c>
      <c r="E18324" s="1">
        <v>4.5506257110352602E-3</v>
      </c>
      <c r="F18324" s="1">
        <v>3.5026205063851699E-2</v>
      </c>
    </row>
    <row r="18325" spans="1:6" x14ac:dyDescent="0.25">
      <c r="A18325" s="2" t="str">
        <f t="shared" si="656"/>
        <v>34220</v>
      </c>
      <c r="B18325" s="2" t="str">
        <f>"31756"</f>
        <v>31756</v>
      </c>
      <c r="C18325" s="1">
        <v>2.2116366110921999E-2</v>
      </c>
      <c r="D18325" s="1">
        <v>4.8094709581945902E-3</v>
      </c>
      <c r="E18325" s="1">
        <v>1.1376564277588101E-3</v>
      </c>
      <c r="F18325" s="1">
        <v>1.9709160699785899E-2</v>
      </c>
    </row>
    <row r="18326" spans="1:6" x14ac:dyDescent="0.25">
      <c r="A18326" s="2" t="str">
        <f t="shared" si="656"/>
        <v>34220</v>
      </c>
      <c r="B18326" s="2" t="str">
        <f>"31637"</f>
        <v>31637</v>
      </c>
      <c r="C18326" s="1">
        <v>4.6784620619258199E-3</v>
      </c>
      <c r="D18326" s="1">
        <v>3.6995930447650699E-4</v>
      </c>
      <c r="E18326" s="1">
        <v>1.1376564277588101E-3</v>
      </c>
      <c r="F18326" s="1">
        <v>4.1337565512659597E-3</v>
      </c>
    </row>
    <row r="18327" spans="1:6" x14ac:dyDescent="0.25">
      <c r="A18327" s="2" t="str">
        <f t="shared" si="656"/>
        <v>34220</v>
      </c>
      <c r="B18327" s="2" t="str">
        <f>"31784"</f>
        <v>31784</v>
      </c>
      <c r="C18327" s="1">
        <v>5.1037767948281703E-4</v>
      </c>
      <c r="D18327" s="1">
        <v>3.6995930447650699E-4</v>
      </c>
      <c r="E18327" s="1">
        <v>0</v>
      </c>
      <c r="F18327" s="1">
        <v>4.7981102827194199E-4</v>
      </c>
    </row>
    <row r="18328" spans="1:6" x14ac:dyDescent="0.25">
      <c r="A18328" s="2" t="str">
        <f t="shared" si="656"/>
        <v>34220</v>
      </c>
      <c r="B18328" s="2" t="str">
        <f>"31773"</f>
        <v>31773</v>
      </c>
      <c r="C18328" s="1">
        <v>8.0809799251445997E-4</v>
      </c>
      <c r="D18328" s="1">
        <v>0</v>
      </c>
      <c r="E18328" s="1">
        <v>0</v>
      </c>
      <c r="F18328" s="1">
        <v>7.0126227208976101E-4</v>
      </c>
    </row>
    <row r="18329" spans="1:6" x14ac:dyDescent="0.25">
      <c r="A18329" s="2" t="str">
        <f t="shared" si="656"/>
        <v>34220</v>
      </c>
      <c r="B18329" s="2" t="str">
        <f>"31771"</f>
        <v>31771</v>
      </c>
      <c r="C18329" s="1">
        <v>0.100757060224566</v>
      </c>
      <c r="D18329" s="1">
        <v>1.8867924528301799E-2</v>
      </c>
      <c r="E18329" s="1">
        <v>3.6405005688282102E-2</v>
      </c>
      <c r="F18329" s="1">
        <v>9.04997416402155E-2</v>
      </c>
    </row>
    <row r="18330" spans="1:6" x14ac:dyDescent="0.25">
      <c r="A18330" s="2" t="str">
        <f t="shared" si="656"/>
        <v>34220</v>
      </c>
      <c r="B18330" s="2" t="str">
        <f>"31738"</f>
        <v>31738</v>
      </c>
      <c r="C18330" s="1">
        <v>5.5716230010207498E-3</v>
      </c>
      <c r="D18330" s="1">
        <v>1.10987791342952E-3</v>
      </c>
      <c r="E18330" s="1">
        <v>0</v>
      </c>
      <c r="F18330" s="1">
        <v>4.94574444526463E-3</v>
      </c>
    </row>
    <row r="18331" spans="1:6" x14ac:dyDescent="0.25">
      <c r="A18331" s="2" t="str">
        <f t="shared" si="656"/>
        <v>34220</v>
      </c>
      <c r="B18331" s="2" t="str">
        <f>"31778"</f>
        <v>31778</v>
      </c>
      <c r="C18331" s="1">
        <v>2.4668254508336102E-3</v>
      </c>
      <c r="D18331" s="1">
        <v>0</v>
      </c>
      <c r="E18331" s="1">
        <v>0</v>
      </c>
      <c r="F18331" s="1">
        <v>2.1406953569055799E-3</v>
      </c>
    </row>
    <row r="18332" spans="1:6" x14ac:dyDescent="0.25">
      <c r="A18332" s="2" t="str">
        <f t="shared" si="656"/>
        <v>34220</v>
      </c>
      <c r="B18332" s="2" t="str">
        <f>"31765"</f>
        <v>31765</v>
      </c>
      <c r="C18332" s="1">
        <v>1.16961551548145E-2</v>
      </c>
      <c r="D18332" s="1">
        <v>1.8497965223825299E-3</v>
      </c>
      <c r="E18332" s="1">
        <v>6.8259385665529002E-3</v>
      </c>
      <c r="F18332" s="1">
        <v>1.0555842621982701E-2</v>
      </c>
    </row>
    <row r="18333" spans="1:6" x14ac:dyDescent="0.25">
      <c r="A18333" s="2" t="str">
        <f t="shared" si="656"/>
        <v>34220</v>
      </c>
      <c r="B18333" s="2" t="str">
        <f>"31747"</f>
        <v>31747</v>
      </c>
      <c r="C18333" s="1">
        <v>8.5062946580469504E-5</v>
      </c>
      <c r="D18333" s="1">
        <v>0</v>
      </c>
      <c r="E18333" s="1">
        <v>1.1376564277588101E-3</v>
      </c>
      <c r="F18333" s="1">
        <v>1.10725621908909E-4</v>
      </c>
    </row>
    <row r="18334" spans="1:6" x14ac:dyDescent="0.25">
      <c r="A18334" s="2" t="str">
        <f t="shared" si="656"/>
        <v>34220</v>
      </c>
      <c r="B18334" s="2" t="str">
        <f>"31768"</f>
        <v>31768</v>
      </c>
      <c r="C18334" s="1">
        <v>0.48945219462402101</v>
      </c>
      <c r="D18334" s="1">
        <v>0.58527561968183395</v>
      </c>
      <c r="E18334" s="1">
        <v>0.66211604095563104</v>
      </c>
      <c r="F18334" s="1">
        <v>0.50461356757953701</v>
      </c>
    </row>
    <row r="18335" spans="1:6" x14ac:dyDescent="0.25">
      <c r="A18335" s="2" t="str">
        <f t="shared" si="656"/>
        <v>34220</v>
      </c>
      <c r="B18335" s="2" t="str">
        <f>"31789"</f>
        <v>31789</v>
      </c>
      <c r="C18335" s="1">
        <v>8.5062946580469504E-5</v>
      </c>
      <c r="D18335" s="1">
        <v>0</v>
      </c>
      <c r="E18335" s="1">
        <v>0</v>
      </c>
      <c r="F18335" s="1">
        <v>7.3817081272606403E-5</v>
      </c>
    </row>
    <row r="18336" spans="1:6" x14ac:dyDescent="0.25">
      <c r="A18336" s="2" t="str">
        <f t="shared" si="656"/>
        <v>34220</v>
      </c>
      <c r="B18336" s="2" t="str">
        <f>"31776"</f>
        <v>31776</v>
      </c>
      <c r="C18336" s="1">
        <v>8.5488261313371797E-2</v>
      </c>
      <c r="D18336" s="1">
        <v>0.19496855345911901</v>
      </c>
      <c r="E18336" s="1">
        <v>2.2753128555176301E-3</v>
      </c>
      <c r="F18336" s="1">
        <v>9.3710784675573894E-2</v>
      </c>
    </row>
    <row r="18337" spans="1:6" x14ac:dyDescent="0.25">
      <c r="A18337" s="2" t="str">
        <f t="shared" si="656"/>
        <v>34220</v>
      </c>
      <c r="B18337" s="2" t="str">
        <f>"31775"</f>
        <v>31775</v>
      </c>
      <c r="C18337" s="1">
        <v>1.78206873086083E-2</v>
      </c>
      <c r="D18337" s="1">
        <v>2.2197558268590399E-3</v>
      </c>
      <c r="E18337" s="1">
        <v>9.1012514220705307E-3</v>
      </c>
      <c r="F18337" s="1">
        <v>1.5981398095519302E-2</v>
      </c>
    </row>
    <row r="18338" spans="1:6" x14ac:dyDescent="0.25">
      <c r="A18338" s="2" t="str">
        <f t="shared" si="656"/>
        <v>34220</v>
      </c>
      <c r="B18338" s="2" t="str">
        <f>"31722"</f>
        <v>31722</v>
      </c>
      <c r="C18338" s="1">
        <v>0</v>
      </c>
      <c r="D18338" s="1">
        <v>0</v>
      </c>
      <c r="E18338" s="1">
        <v>1.1376564277588101E-3</v>
      </c>
      <c r="F18338" s="1">
        <v>3.6908540636303202E-5</v>
      </c>
    </row>
    <row r="18339" spans="1:6" x14ac:dyDescent="0.25">
      <c r="A18339" s="2" t="str">
        <f t="shared" ref="A18339:A18370" si="657">"27260"</f>
        <v>27260</v>
      </c>
      <c r="B18339" s="2" t="str">
        <f>"32255"</f>
        <v>32255</v>
      </c>
      <c r="C18339" s="1">
        <v>7.93421720173891E-4</v>
      </c>
      <c r="D18339" s="1">
        <v>5.1461824300637997E-3</v>
      </c>
      <c r="E18339" s="1">
        <v>9.7622882803729093E-5</v>
      </c>
      <c r="F18339" s="1">
        <v>1.1306330976044901E-3</v>
      </c>
    </row>
    <row r="18340" spans="1:6" x14ac:dyDescent="0.25">
      <c r="A18340" s="2" t="str">
        <f t="shared" si="657"/>
        <v>27260</v>
      </c>
      <c r="B18340" s="2" t="str">
        <f>"32247"</f>
        <v>32247</v>
      </c>
      <c r="C18340" s="1">
        <v>2.2976170646702202E-3</v>
      </c>
      <c r="D18340" s="1">
        <v>4.9358479983173196E-3</v>
      </c>
      <c r="E18340" s="1">
        <v>9.7622882803729093E-5</v>
      </c>
      <c r="F18340" s="1">
        <v>2.4605217763578099E-3</v>
      </c>
    </row>
    <row r="18341" spans="1:6" x14ac:dyDescent="0.25">
      <c r="A18341" s="2" t="str">
        <f t="shared" si="657"/>
        <v>27260</v>
      </c>
      <c r="B18341" s="2" t="str">
        <f>"32202"</f>
        <v>32202</v>
      </c>
      <c r="C18341" s="1">
        <v>3.74459449665402E-3</v>
      </c>
      <c r="D18341" s="1">
        <v>3.3218817920493499E-2</v>
      </c>
      <c r="E18341" s="1">
        <v>1.6498267193830199E-2</v>
      </c>
      <c r="F18341" s="1">
        <v>6.4353859694467096E-3</v>
      </c>
    </row>
    <row r="18342" spans="1:6" x14ac:dyDescent="0.25">
      <c r="A18342" s="2" t="str">
        <f t="shared" si="657"/>
        <v>27260</v>
      </c>
      <c r="B18342" s="2" t="str">
        <f>"32223"</f>
        <v>32223</v>
      </c>
      <c r="C18342" s="1">
        <v>1.4652871639877999E-2</v>
      </c>
      <c r="D18342" s="1">
        <v>1.2283530813994199E-2</v>
      </c>
      <c r="E18342" s="1">
        <v>5.7597500854200201E-3</v>
      </c>
      <c r="F18342" s="1">
        <v>1.42530363704058E-2</v>
      </c>
    </row>
    <row r="18343" spans="1:6" x14ac:dyDescent="0.25">
      <c r="A18343" s="2" t="str">
        <f t="shared" si="657"/>
        <v>27260</v>
      </c>
      <c r="B18343" s="2" t="str">
        <f>"32220"</f>
        <v>32220</v>
      </c>
      <c r="C18343" s="1">
        <v>7.7066170608556996E-3</v>
      </c>
      <c r="D18343" s="1">
        <v>5.9875201570497001E-3</v>
      </c>
      <c r="E18343" s="1">
        <v>1.85483477327085E-3</v>
      </c>
      <c r="F18343" s="1">
        <v>7.4305252718699999E-3</v>
      </c>
    </row>
    <row r="18344" spans="1:6" x14ac:dyDescent="0.25">
      <c r="A18344" s="2" t="str">
        <f t="shared" si="657"/>
        <v>27260</v>
      </c>
      <c r="B18344" s="2" t="str">
        <f>"32214"</f>
        <v>32214</v>
      </c>
      <c r="C18344" s="1">
        <v>0</v>
      </c>
      <c r="D18344" s="1">
        <v>8.4133772698590696E-4</v>
      </c>
      <c r="E18344" s="1">
        <v>4.11480451017718E-2</v>
      </c>
      <c r="F18344" s="1">
        <v>1.02815879872795E-3</v>
      </c>
    </row>
    <row r="18345" spans="1:6" x14ac:dyDescent="0.25">
      <c r="A18345" s="2" t="str">
        <f t="shared" si="657"/>
        <v>27260</v>
      </c>
      <c r="B18345" s="2" t="str">
        <f>"32145"</f>
        <v>32145</v>
      </c>
      <c r="C18345" s="1">
        <v>3.9810952017058504E-3</v>
      </c>
      <c r="D18345" s="1">
        <v>2.7063030218046598E-3</v>
      </c>
      <c r="E18345" s="1">
        <v>3.0263093669155999E-3</v>
      </c>
      <c r="F18345" s="1">
        <v>3.8553108443996E-3</v>
      </c>
    </row>
    <row r="18346" spans="1:6" x14ac:dyDescent="0.25">
      <c r="A18346" s="2" t="str">
        <f t="shared" si="657"/>
        <v>27260</v>
      </c>
      <c r="B18346" s="2" t="str">
        <f>"32203"</f>
        <v>32203</v>
      </c>
      <c r="C18346" s="1">
        <v>1.9581241170958199E-3</v>
      </c>
      <c r="D18346" s="1">
        <v>8.6798008834046095E-3</v>
      </c>
      <c r="E18346" s="1">
        <v>1.95245765607458E-4</v>
      </c>
      <c r="F18346" s="1">
        <v>2.4627989829995099E-3</v>
      </c>
    </row>
    <row r="18347" spans="1:6" x14ac:dyDescent="0.25">
      <c r="A18347" s="2" t="str">
        <f t="shared" si="657"/>
        <v>27260</v>
      </c>
      <c r="B18347" s="2" t="str">
        <f>"32207"</f>
        <v>32207</v>
      </c>
      <c r="C18347" s="1">
        <v>2.4220978121141701E-2</v>
      </c>
      <c r="D18347" s="1">
        <v>4.8418986188038901E-2</v>
      </c>
      <c r="E18347" s="1">
        <v>5.4131888514667797E-2</v>
      </c>
      <c r="F18347" s="1">
        <v>2.6883563008599801E-2</v>
      </c>
    </row>
    <row r="18348" spans="1:6" x14ac:dyDescent="0.25">
      <c r="A18348" s="2" t="str">
        <f t="shared" si="657"/>
        <v>27260</v>
      </c>
      <c r="B18348" s="2" t="str">
        <f>"32085"</f>
        <v>32085</v>
      </c>
      <c r="C18348" s="1">
        <v>3.3555126915687399E-3</v>
      </c>
      <c r="D18348" s="1">
        <v>9.0584028605482699E-3</v>
      </c>
      <c r="E18348" s="1">
        <v>9.7622882803729093E-5</v>
      </c>
      <c r="F18348" s="1">
        <v>3.7425891156354098E-3</v>
      </c>
    </row>
    <row r="18349" spans="1:6" x14ac:dyDescent="0.25">
      <c r="A18349" s="2" t="str">
        <f t="shared" si="657"/>
        <v>27260</v>
      </c>
      <c r="B18349" s="2" t="str">
        <f>"32082"</f>
        <v>32082</v>
      </c>
      <c r="C18349" s="1">
        <v>2.11286678271306E-2</v>
      </c>
      <c r="D18349" s="1">
        <v>1.70230666760148E-2</v>
      </c>
      <c r="E18349" s="1">
        <v>2.9238053399716801E-2</v>
      </c>
      <c r="F18349" s="1">
        <v>2.09844592032737E-2</v>
      </c>
    </row>
    <row r="18350" spans="1:6" x14ac:dyDescent="0.25">
      <c r="A18350" s="2" t="str">
        <f t="shared" si="657"/>
        <v>27260</v>
      </c>
      <c r="B18350" s="2" t="str">
        <f>"32099"</f>
        <v>32099</v>
      </c>
      <c r="C18350" s="1">
        <v>0</v>
      </c>
      <c r="D18350" s="1">
        <v>2.8044590899530201E-5</v>
      </c>
      <c r="E18350" s="1">
        <v>0</v>
      </c>
      <c r="F18350" s="1">
        <v>2.2772066417008899E-6</v>
      </c>
    </row>
    <row r="18351" spans="1:6" x14ac:dyDescent="0.25">
      <c r="A18351" s="2" t="str">
        <f t="shared" si="657"/>
        <v>27260</v>
      </c>
      <c r="B18351" s="2" t="str">
        <f>"32091"</f>
        <v>32091</v>
      </c>
      <c r="C18351" s="1">
        <v>4.48842735931704E-4</v>
      </c>
      <c r="D18351" s="1">
        <v>5.6089181799060504E-4</v>
      </c>
      <c r="E18351" s="1">
        <v>4.3930297261678098E-4</v>
      </c>
      <c r="F18351" s="1">
        <v>4.5771853498187903E-4</v>
      </c>
    </row>
    <row r="18352" spans="1:6" x14ac:dyDescent="0.25">
      <c r="A18352" s="2" t="str">
        <f t="shared" si="657"/>
        <v>27260</v>
      </c>
      <c r="B18352" s="2" t="str">
        <f>"32006"</f>
        <v>32006</v>
      </c>
      <c r="C18352" s="1">
        <v>1.88056205791215E-3</v>
      </c>
      <c r="D18352" s="1">
        <v>3.74395288508728E-3</v>
      </c>
      <c r="E18352" s="1">
        <v>9.7622882803729093E-5</v>
      </c>
      <c r="F18352" s="1">
        <v>1.9902786048465698E-3</v>
      </c>
    </row>
    <row r="18353" spans="1:6" x14ac:dyDescent="0.25">
      <c r="A18353" s="2" t="str">
        <f t="shared" si="657"/>
        <v>27260</v>
      </c>
      <c r="B18353" s="2" t="str">
        <f>"32257"</f>
        <v>32257</v>
      </c>
      <c r="C18353" s="1">
        <v>2.38102806602184E-2</v>
      </c>
      <c r="D18353" s="1">
        <v>2.6277781672859799E-2</v>
      </c>
      <c r="E18353" s="1">
        <v>2.8603504661492599E-2</v>
      </c>
      <c r="F18353" s="1">
        <v>2.41224499555375E-2</v>
      </c>
    </row>
    <row r="18354" spans="1:6" x14ac:dyDescent="0.25">
      <c r="A18354" s="2" t="str">
        <f t="shared" si="657"/>
        <v>27260</v>
      </c>
      <c r="B18354" s="2" t="str">
        <f>"32254"</f>
        <v>32254</v>
      </c>
      <c r="C18354" s="1">
        <v>8.43646332268232E-3</v>
      </c>
      <c r="D18354" s="1">
        <v>2.1776624833485199E-2</v>
      </c>
      <c r="E18354" s="1">
        <v>6.0038072924293402E-3</v>
      </c>
      <c r="F18354" s="1">
        <v>9.4629321995880495E-3</v>
      </c>
    </row>
    <row r="18355" spans="1:6" x14ac:dyDescent="0.25">
      <c r="A18355" s="2" t="str">
        <f t="shared" si="657"/>
        <v>27260</v>
      </c>
      <c r="B18355" s="2" t="str">
        <f>"32246"</f>
        <v>32246</v>
      </c>
      <c r="C18355" s="1">
        <v>3.3702621979053098E-2</v>
      </c>
      <c r="D18355" s="1">
        <v>2.39641029236486E-2</v>
      </c>
      <c r="E18355" s="1">
        <v>2.27949431346707E-2</v>
      </c>
      <c r="F18355" s="1">
        <v>3.2657420448632402E-2</v>
      </c>
    </row>
    <row r="18356" spans="1:6" x14ac:dyDescent="0.25">
      <c r="A18356" s="2" t="str">
        <f t="shared" si="657"/>
        <v>27260</v>
      </c>
      <c r="B18356" s="2" t="str">
        <f>"32087"</f>
        <v>32087</v>
      </c>
      <c r="C18356" s="1">
        <v>2.0992616346267499E-3</v>
      </c>
      <c r="D18356" s="1">
        <v>7.0111477248825595E-4</v>
      </c>
      <c r="E18356" s="1">
        <v>9.7622882803729093E-5</v>
      </c>
      <c r="F18356" s="1">
        <v>1.9390414554082999E-3</v>
      </c>
    </row>
    <row r="18357" spans="1:6" x14ac:dyDescent="0.25">
      <c r="A18357" s="2" t="str">
        <f t="shared" si="657"/>
        <v>27260</v>
      </c>
      <c r="B18357" s="2" t="str">
        <f>"32035"</f>
        <v>32035</v>
      </c>
      <c r="C18357" s="1">
        <v>3.3834858932415401E-3</v>
      </c>
      <c r="D18357" s="1">
        <v>7.8805300427679994E-3</v>
      </c>
      <c r="E18357" s="1">
        <v>1.95245765607458E-4</v>
      </c>
      <c r="F18357" s="1">
        <v>3.67427291638438E-3</v>
      </c>
    </row>
    <row r="18358" spans="1:6" x14ac:dyDescent="0.25">
      <c r="A18358" s="2" t="str">
        <f t="shared" si="657"/>
        <v>27260</v>
      </c>
      <c r="B18358" s="2" t="str">
        <f>"32081"</f>
        <v>32081</v>
      </c>
      <c r="C18358" s="1">
        <v>1.34106071837724E-2</v>
      </c>
      <c r="D18358" s="1">
        <v>3.4494846806422202E-3</v>
      </c>
      <c r="E18358" s="1">
        <v>5.1740127885976398E-3</v>
      </c>
      <c r="F18358" s="1">
        <v>1.2409637593949E-2</v>
      </c>
    </row>
    <row r="18359" spans="1:6" x14ac:dyDescent="0.25">
      <c r="A18359" s="2" t="str">
        <f t="shared" si="657"/>
        <v>27260</v>
      </c>
      <c r="B18359" s="2" t="str">
        <f>"32009"</f>
        <v>32009</v>
      </c>
      <c r="C18359" s="1">
        <v>1.6237172061891901E-3</v>
      </c>
      <c r="D18359" s="1">
        <v>2.2435672719624199E-4</v>
      </c>
      <c r="E18359" s="1">
        <v>0</v>
      </c>
      <c r="F18359" s="1">
        <v>1.4722140938596201E-3</v>
      </c>
    </row>
    <row r="18360" spans="1:6" x14ac:dyDescent="0.25">
      <c r="A18360" s="2" t="str">
        <f t="shared" si="657"/>
        <v>27260</v>
      </c>
      <c r="B18360" s="2" t="str">
        <f>"32656"</f>
        <v>32656</v>
      </c>
      <c r="C18360" s="1">
        <v>8.4911382168609707E-3</v>
      </c>
      <c r="D18360" s="1">
        <v>4.2347332258290604E-3</v>
      </c>
      <c r="E18360" s="1">
        <v>3.2215551325230599E-3</v>
      </c>
      <c r="F18360" s="1">
        <v>8.0225989987122298E-3</v>
      </c>
    </row>
    <row r="18361" spans="1:6" x14ac:dyDescent="0.25">
      <c r="A18361" s="2" t="str">
        <f t="shared" si="657"/>
        <v>27260</v>
      </c>
      <c r="B18361" s="2" t="str">
        <f>"32277"</f>
        <v>32277</v>
      </c>
      <c r="C18361" s="1">
        <v>1.7404417477147799E-2</v>
      </c>
      <c r="D18361" s="1">
        <v>6.2118768842459498E-3</v>
      </c>
      <c r="E18361" s="1">
        <v>1.6303021428222701E-2</v>
      </c>
      <c r="F18361" s="1">
        <v>1.6469897036101602E-2</v>
      </c>
    </row>
    <row r="18362" spans="1:6" x14ac:dyDescent="0.25">
      <c r="A18362" s="2" t="str">
        <f t="shared" si="657"/>
        <v>27260</v>
      </c>
      <c r="B18362" s="2" t="str">
        <f>"32245"</f>
        <v>32245</v>
      </c>
      <c r="C18362" s="1">
        <v>2.6027792647370998E-3</v>
      </c>
      <c r="D18362" s="1">
        <v>5.7491411344037001E-3</v>
      </c>
      <c r="E18362" s="1">
        <v>9.7622882803729093E-5</v>
      </c>
      <c r="F18362" s="1">
        <v>2.7998255659712401E-3</v>
      </c>
    </row>
    <row r="18363" spans="1:6" x14ac:dyDescent="0.25">
      <c r="A18363" s="2" t="str">
        <f t="shared" si="657"/>
        <v>27260</v>
      </c>
      <c r="B18363" s="2" t="str">
        <f>"32235"</f>
        <v>32235</v>
      </c>
      <c r="C18363" s="1">
        <v>1.51055289033106E-3</v>
      </c>
      <c r="D18363" s="1">
        <v>5.9734978615999402E-3</v>
      </c>
      <c r="E18363" s="1">
        <v>4.8811441401864499E-5</v>
      </c>
      <c r="F18363" s="1">
        <v>1.8388443631734599E-3</v>
      </c>
    </row>
    <row r="18364" spans="1:6" x14ac:dyDescent="0.25">
      <c r="A18364" s="2" t="str">
        <f t="shared" si="657"/>
        <v>27260</v>
      </c>
      <c r="B18364" s="2" t="str">
        <f>"32226"</f>
        <v>32226</v>
      </c>
      <c r="C18364" s="1">
        <v>1.3527586027131401E-2</v>
      </c>
      <c r="D18364" s="1">
        <v>9.9277851784336998E-3</v>
      </c>
      <c r="E18364" s="1">
        <v>2.2941377458876298E-3</v>
      </c>
      <c r="F18364" s="1">
        <v>1.29732462377699E-2</v>
      </c>
    </row>
    <row r="18365" spans="1:6" x14ac:dyDescent="0.25">
      <c r="A18365" s="2" t="str">
        <f t="shared" si="657"/>
        <v>27260</v>
      </c>
      <c r="B18365" s="2" t="str">
        <f>"32225"</f>
        <v>32225</v>
      </c>
      <c r="C18365" s="1">
        <v>3.2544277127965898E-2</v>
      </c>
      <c r="D18365" s="1">
        <v>2.32770104466101E-2</v>
      </c>
      <c r="E18365" s="1">
        <v>1.5863718455605899E-2</v>
      </c>
      <c r="F18365" s="1">
        <v>3.1402679589055203E-2</v>
      </c>
    </row>
    <row r="18366" spans="1:6" x14ac:dyDescent="0.25">
      <c r="A18366" s="2" t="str">
        <f t="shared" si="657"/>
        <v>27260</v>
      </c>
      <c r="B18366" s="2" t="str">
        <f>"32209"</f>
        <v>32209</v>
      </c>
      <c r="C18366" s="1">
        <v>2.43417714920015E-2</v>
      </c>
      <c r="D18366" s="1">
        <v>1.55647479492392E-2</v>
      </c>
      <c r="E18366" s="1">
        <v>4.0952799336164303E-2</v>
      </c>
      <c r="F18366" s="1">
        <v>2.4016559846698399E-2</v>
      </c>
    </row>
    <row r="18367" spans="1:6" x14ac:dyDescent="0.25">
      <c r="A18367" s="2" t="str">
        <f t="shared" si="657"/>
        <v>27260</v>
      </c>
      <c r="B18367" s="2" t="str">
        <f>"32206"</f>
        <v>32206</v>
      </c>
      <c r="C18367" s="1">
        <v>1.45130056315141E-2</v>
      </c>
      <c r="D18367" s="1">
        <v>2.2071093037930301E-2</v>
      </c>
      <c r="E18367" s="1">
        <v>2.28437545760726E-2</v>
      </c>
      <c r="F18367" s="1">
        <v>1.53210462853635E-2</v>
      </c>
    </row>
    <row r="18368" spans="1:6" x14ac:dyDescent="0.25">
      <c r="A18368" s="2" t="str">
        <f t="shared" si="657"/>
        <v>27260</v>
      </c>
      <c r="B18368" s="2" t="str">
        <f>"32033"</f>
        <v>32033</v>
      </c>
      <c r="C18368" s="1">
        <v>3.0770521840077199E-3</v>
      </c>
      <c r="D18368" s="1">
        <v>1.13580593143097E-3</v>
      </c>
      <c r="E18368" s="1">
        <v>9.2741738663542695E-4</v>
      </c>
      <c r="F18368" s="1">
        <v>2.8692803685431202E-3</v>
      </c>
    </row>
    <row r="18369" spans="1:6" x14ac:dyDescent="0.25">
      <c r="A18369" s="2" t="str">
        <f t="shared" si="657"/>
        <v>27260</v>
      </c>
      <c r="B18369" s="2" t="str">
        <f>"32266"</f>
        <v>32266</v>
      </c>
      <c r="C18369" s="1">
        <v>4.54310225349569E-3</v>
      </c>
      <c r="D18369" s="1">
        <v>4.1786440440299997E-3</v>
      </c>
      <c r="E18369" s="1">
        <v>8.9324937765412199E-3</v>
      </c>
      <c r="F18369" s="1">
        <v>4.6158978627276999E-3</v>
      </c>
    </row>
    <row r="18370" spans="1:6" x14ac:dyDescent="0.25">
      <c r="A18370" s="2" t="str">
        <f t="shared" si="657"/>
        <v>27260</v>
      </c>
      <c r="B18370" s="2" t="str">
        <f>"32250"</f>
        <v>32250</v>
      </c>
      <c r="C18370" s="1">
        <v>2.0827320154564601E-2</v>
      </c>
      <c r="D18370" s="1">
        <v>2.7455654490640101E-2</v>
      </c>
      <c r="E18370" s="1">
        <v>4.8030458339434701E-2</v>
      </c>
      <c r="F18370" s="1">
        <v>2.20000933654723E-2</v>
      </c>
    </row>
    <row r="18371" spans="1:6" x14ac:dyDescent="0.25">
      <c r="A18371" s="2" t="str">
        <f t="shared" ref="A18371:A18402" si="658">"27260"</f>
        <v>27260</v>
      </c>
      <c r="B18371" s="2" t="str">
        <f>"32256"</f>
        <v>32256</v>
      </c>
      <c r="C18371" s="1">
        <v>3.88865648526893E-2</v>
      </c>
      <c r="D18371" s="1">
        <v>5.62854939353572E-2</v>
      </c>
      <c r="E18371" s="1">
        <v>4.6712549421584398E-2</v>
      </c>
      <c r="F18371" s="1">
        <v>4.0481902469516703E-2</v>
      </c>
    </row>
    <row r="18372" spans="1:6" x14ac:dyDescent="0.25">
      <c r="A18372" s="2" t="str">
        <f t="shared" si="658"/>
        <v>27260</v>
      </c>
      <c r="B18372" s="2" t="str">
        <f>"32240"</f>
        <v>32240</v>
      </c>
      <c r="C18372" s="1">
        <v>1.55251269284025E-3</v>
      </c>
      <c r="D18372" s="1">
        <v>4.3889784757764798E-3</v>
      </c>
      <c r="E18372" s="1">
        <v>9.7622882803729093E-5</v>
      </c>
      <c r="F18372" s="1">
        <v>1.74889470082628E-3</v>
      </c>
    </row>
    <row r="18373" spans="1:6" x14ac:dyDescent="0.25">
      <c r="A18373" s="2" t="str">
        <f t="shared" si="658"/>
        <v>27260</v>
      </c>
      <c r="B18373" s="2" t="str">
        <f>"32234"</f>
        <v>32234</v>
      </c>
      <c r="C18373" s="1">
        <v>4.9131114210767901E-3</v>
      </c>
      <c r="D18373" s="1">
        <v>2.1033443174647598E-3</v>
      </c>
      <c r="E18373" s="1">
        <v>9.2741738663542695E-4</v>
      </c>
      <c r="F18373" s="1">
        <v>4.5919871929898399E-3</v>
      </c>
    </row>
    <row r="18374" spans="1:6" x14ac:dyDescent="0.25">
      <c r="A18374" s="2" t="str">
        <f t="shared" si="658"/>
        <v>27260</v>
      </c>
      <c r="B18374" s="2" t="str">
        <f>"32210"</f>
        <v>32210</v>
      </c>
      <c r="C18374" s="1">
        <v>3.9280732694442301E-2</v>
      </c>
      <c r="D18374" s="1">
        <v>3.3120661852345197E-2</v>
      </c>
      <c r="E18374" s="1">
        <v>3.6315712402987199E-2</v>
      </c>
      <c r="F18374" s="1">
        <v>3.8711374305594203E-2</v>
      </c>
    </row>
    <row r="18375" spans="1:6" x14ac:dyDescent="0.25">
      <c r="A18375" s="2" t="str">
        <f t="shared" si="658"/>
        <v>27260</v>
      </c>
      <c r="B18375" s="2" t="str">
        <f>"32217"</f>
        <v>32217</v>
      </c>
      <c r="C18375" s="1">
        <v>1.27290782702897E-2</v>
      </c>
      <c r="D18375" s="1">
        <v>2.0318306106709601E-2</v>
      </c>
      <c r="E18375" s="1">
        <v>3.0116659344950399E-2</v>
      </c>
      <c r="F18375" s="1">
        <v>1.3750912305910801E-2</v>
      </c>
    </row>
    <row r="18376" spans="1:6" x14ac:dyDescent="0.25">
      <c r="A18376" s="2" t="str">
        <f t="shared" si="658"/>
        <v>27260</v>
      </c>
      <c r="B18376" s="2" t="str">
        <f>"32140"</f>
        <v>32140</v>
      </c>
      <c r="C18376" s="1">
        <v>3.1787729173633399E-5</v>
      </c>
      <c r="D18376" s="1">
        <v>0</v>
      </c>
      <c r="E18376" s="1">
        <v>0</v>
      </c>
      <c r="F18376" s="1">
        <v>2.8465083021261099E-5</v>
      </c>
    </row>
    <row r="18377" spans="1:6" x14ac:dyDescent="0.25">
      <c r="A18377" s="2" t="str">
        <f t="shared" si="658"/>
        <v>27260</v>
      </c>
      <c r="B18377" s="2" t="str">
        <f>"32080"</f>
        <v>32080</v>
      </c>
      <c r="C18377" s="1">
        <v>2.1142654427966999E-2</v>
      </c>
      <c r="D18377" s="1">
        <v>1.44710089041576E-2</v>
      </c>
      <c r="E18377" s="1">
        <v>2.7432030067847901E-2</v>
      </c>
      <c r="F18377" s="1">
        <v>2.07476297125368E-2</v>
      </c>
    </row>
    <row r="18378" spans="1:6" x14ac:dyDescent="0.25">
      <c r="A18378" s="2" t="str">
        <f t="shared" si="658"/>
        <v>27260</v>
      </c>
      <c r="B18378" s="2" t="str">
        <f>"32258"</f>
        <v>32258</v>
      </c>
      <c r="C18378" s="1">
        <v>2.1259633271326E-2</v>
      </c>
      <c r="D18378" s="1">
        <v>1.0502699291874E-2</v>
      </c>
      <c r="E18378" s="1">
        <v>8.4443793625225694E-3</v>
      </c>
      <c r="F18378" s="1">
        <v>2.00872397864435E-2</v>
      </c>
    </row>
    <row r="18379" spans="1:6" x14ac:dyDescent="0.25">
      <c r="A18379" s="2" t="str">
        <f t="shared" si="658"/>
        <v>27260</v>
      </c>
      <c r="B18379" s="2" t="str">
        <f>"32229"</f>
        <v>32229</v>
      </c>
      <c r="C18379" s="1">
        <v>1.48766572532604E-4</v>
      </c>
      <c r="D18379" s="1">
        <v>1.82289840846946E-4</v>
      </c>
      <c r="E18379" s="1">
        <v>9.7622882803729093E-5</v>
      </c>
      <c r="F18379" s="1">
        <v>1.5029563835225801E-4</v>
      </c>
    </row>
    <row r="18380" spans="1:6" x14ac:dyDescent="0.25">
      <c r="A18380" s="2" t="str">
        <f t="shared" si="658"/>
        <v>27260</v>
      </c>
      <c r="B18380" s="2" t="str">
        <f>"32228"</f>
        <v>32228</v>
      </c>
      <c r="C18380" s="1">
        <v>2.5430183338906699E-6</v>
      </c>
      <c r="D18380" s="1">
        <v>0</v>
      </c>
      <c r="E18380" s="1">
        <v>3.4168008981305198E-4</v>
      </c>
      <c r="F18380" s="1">
        <v>1.0247429887654E-5</v>
      </c>
    </row>
    <row r="18381" spans="1:6" x14ac:dyDescent="0.25">
      <c r="A18381" s="2" t="str">
        <f t="shared" si="658"/>
        <v>27260</v>
      </c>
      <c r="B18381" s="2" t="str">
        <f>"32239"</f>
        <v>32239</v>
      </c>
      <c r="C18381" s="1">
        <v>1.7953709437268099E-3</v>
      </c>
      <c r="D18381" s="1">
        <v>4.5292014302741298E-3</v>
      </c>
      <c r="E18381" s="1">
        <v>1.4643432420559301E-4</v>
      </c>
      <c r="F18381" s="1">
        <v>1.9788925716380701E-3</v>
      </c>
    </row>
    <row r="18382" spans="1:6" x14ac:dyDescent="0.25">
      <c r="A18382" s="2" t="str">
        <f t="shared" si="658"/>
        <v>27260</v>
      </c>
      <c r="B18382" s="2" t="str">
        <f>"32222"</f>
        <v>32222</v>
      </c>
      <c r="C18382" s="1">
        <v>1.0336098018098599E-2</v>
      </c>
      <c r="D18382" s="1">
        <v>5.7070742480544003E-3</v>
      </c>
      <c r="E18382" s="1">
        <v>2.8798750427100101E-3</v>
      </c>
      <c r="F18382" s="1">
        <v>9.7862955427095704E-3</v>
      </c>
    </row>
    <row r="18383" spans="1:6" x14ac:dyDescent="0.25">
      <c r="A18383" s="2" t="str">
        <f t="shared" si="658"/>
        <v>27260</v>
      </c>
      <c r="B18383" s="2" t="str">
        <f>"32212"</f>
        <v>32212</v>
      </c>
      <c r="C18383" s="1">
        <v>3.9289633258610899E-4</v>
      </c>
      <c r="D18383" s="1">
        <v>7.0111477248825603E-5</v>
      </c>
      <c r="E18383" s="1">
        <v>2.4405720700932201E-4</v>
      </c>
      <c r="F18383" s="1">
        <v>3.6321445935129203E-4</v>
      </c>
    </row>
    <row r="18384" spans="1:6" x14ac:dyDescent="0.25">
      <c r="A18384" s="2" t="str">
        <f t="shared" si="658"/>
        <v>27260</v>
      </c>
      <c r="B18384" s="2" t="str">
        <f>"32218"</f>
        <v>32218</v>
      </c>
      <c r="C18384" s="1">
        <v>3.8173248210032901E-2</v>
      </c>
      <c r="D18384" s="1">
        <v>2.8072635490429699E-2</v>
      </c>
      <c r="E18384" s="1">
        <v>1.45458095377556E-2</v>
      </c>
      <c r="F18384" s="1">
        <v>3.68019365365281E-2</v>
      </c>
    </row>
    <row r="18385" spans="1:6" x14ac:dyDescent="0.25">
      <c r="A18385" s="2" t="str">
        <f t="shared" si="658"/>
        <v>27260</v>
      </c>
      <c r="B18385" s="2" t="str">
        <f>"32204"</f>
        <v>32204</v>
      </c>
      <c r="C18385" s="1">
        <v>6.6741516172960803E-3</v>
      </c>
      <c r="D18385" s="1">
        <v>1.9000210334431701E-2</v>
      </c>
      <c r="E18385" s="1">
        <v>2.2599697369063299E-2</v>
      </c>
      <c r="F18385" s="1">
        <v>8.0465096684500907E-3</v>
      </c>
    </row>
    <row r="18386" spans="1:6" x14ac:dyDescent="0.25">
      <c r="A18386" s="2" t="str">
        <f t="shared" si="658"/>
        <v>27260</v>
      </c>
      <c r="B18386" s="2" t="str">
        <f>"32063"</f>
        <v>32063</v>
      </c>
      <c r="C18386" s="1">
        <v>7.1585966099022499E-3</v>
      </c>
      <c r="D18386" s="1">
        <v>9.0443805650985004E-3</v>
      </c>
      <c r="E18386" s="1">
        <v>4.1489725191584904E-3</v>
      </c>
      <c r="F18386" s="1">
        <v>7.2415171206088296E-3</v>
      </c>
    </row>
    <row r="18387" spans="1:6" x14ac:dyDescent="0.25">
      <c r="A18387" s="2" t="str">
        <f t="shared" si="658"/>
        <v>27260</v>
      </c>
      <c r="B18387" s="2" t="str">
        <f>"32041"</f>
        <v>32041</v>
      </c>
      <c r="C18387" s="1">
        <v>2.57862059056514E-3</v>
      </c>
      <c r="D18387" s="1">
        <v>2.9166374535511399E-3</v>
      </c>
      <c r="E18387" s="1">
        <v>9.7622882803729093E-5</v>
      </c>
      <c r="F18387" s="1">
        <v>2.5481942320632902E-3</v>
      </c>
    </row>
    <row r="18388" spans="1:6" x14ac:dyDescent="0.25">
      <c r="A18388" s="2" t="str">
        <f t="shared" si="658"/>
        <v>27260</v>
      </c>
      <c r="B18388" s="2" t="str">
        <f>"32086"</f>
        <v>32086</v>
      </c>
      <c r="C18388" s="1">
        <v>2.0234796882768101E-2</v>
      </c>
      <c r="D18388" s="1">
        <v>2.19168477879828E-2</v>
      </c>
      <c r="E18388" s="1">
        <v>2.3087811783081901E-2</v>
      </c>
      <c r="F18388" s="1">
        <v>2.0437929609265399E-2</v>
      </c>
    </row>
    <row r="18389" spans="1:6" x14ac:dyDescent="0.25">
      <c r="A18389" s="2" t="str">
        <f t="shared" si="658"/>
        <v>27260</v>
      </c>
      <c r="B18389" s="2" t="str">
        <f>"32067"</f>
        <v>32067</v>
      </c>
      <c r="C18389" s="1">
        <v>2.3866227063564002E-3</v>
      </c>
      <c r="D18389" s="1">
        <v>5.6229404753558102E-3</v>
      </c>
      <c r="E18389" s="1">
        <v>9.7622882803729093E-5</v>
      </c>
      <c r="F18389" s="1">
        <v>2.5960155715390098E-3</v>
      </c>
    </row>
    <row r="18390" spans="1:6" x14ac:dyDescent="0.25">
      <c r="A18390" s="2" t="str">
        <f t="shared" si="658"/>
        <v>27260</v>
      </c>
      <c r="B18390" s="2" t="str">
        <f>"32666"</f>
        <v>32666</v>
      </c>
      <c r="C18390" s="1">
        <v>8.9514245352951801E-4</v>
      </c>
      <c r="D18390" s="1">
        <v>2.5240131809577202E-4</v>
      </c>
      <c r="E18390" s="1">
        <v>0</v>
      </c>
      <c r="F18390" s="1">
        <v>8.2207159765402096E-4</v>
      </c>
    </row>
    <row r="18391" spans="1:6" x14ac:dyDescent="0.25">
      <c r="A18391" s="2" t="str">
        <f t="shared" si="658"/>
        <v>27260</v>
      </c>
      <c r="B18391" s="2" t="str">
        <f>"32259"</f>
        <v>32259</v>
      </c>
      <c r="C18391" s="1">
        <v>2.98219760015359E-2</v>
      </c>
      <c r="D18391" s="1">
        <v>1.0502699291874E-2</v>
      </c>
      <c r="E18391" s="1">
        <v>1.38136379167276E-2</v>
      </c>
      <c r="F18391" s="1">
        <v>2.7879840914343999E-2</v>
      </c>
    </row>
    <row r="18392" spans="1:6" x14ac:dyDescent="0.25">
      <c r="A18392" s="2" t="str">
        <f t="shared" si="658"/>
        <v>27260</v>
      </c>
      <c r="B18392" s="2" t="str">
        <f>"32236"</f>
        <v>32236</v>
      </c>
      <c r="C18392" s="1">
        <v>2.43748307303421E-3</v>
      </c>
      <c r="D18392" s="1">
        <v>7.36170511112669E-3</v>
      </c>
      <c r="E18392" s="1">
        <v>9.7622882803729093E-5</v>
      </c>
      <c r="F18392" s="1">
        <v>2.7827465161584801E-3</v>
      </c>
    </row>
    <row r="18393" spans="1:6" x14ac:dyDescent="0.25">
      <c r="A18393" s="2" t="str">
        <f t="shared" si="658"/>
        <v>27260</v>
      </c>
      <c r="B18393" s="2" t="str">
        <f>"32221"</f>
        <v>32221</v>
      </c>
      <c r="C18393" s="1">
        <v>1.6071875870189E-2</v>
      </c>
      <c r="D18393" s="1">
        <v>7.6141064292224604E-3</v>
      </c>
      <c r="E18393" s="1">
        <v>2.7334407185044098E-3</v>
      </c>
      <c r="F18393" s="1">
        <v>1.5073969364739001E-2</v>
      </c>
    </row>
    <row r="18394" spans="1:6" x14ac:dyDescent="0.25">
      <c r="A18394" s="2" t="str">
        <f t="shared" si="658"/>
        <v>27260</v>
      </c>
      <c r="B18394" s="2" t="str">
        <f>"32219"</f>
        <v>32219</v>
      </c>
      <c r="C18394" s="1">
        <v>8.7123808119094603E-3</v>
      </c>
      <c r="D18394" s="1">
        <v>6.8849470658346699E-3</v>
      </c>
      <c r="E18394" s="1">
        <v>2.63581783570068E-3</v>
      </c>
      <c r="F18394" s="1">
        <v>8.4222487643307396E-3</v>
      </c>
    </row>
    <row r="18395" spans="1:6" x14ac:dyDescent="0.25">
      <c r="A18395" s="2" t="str">
        <f t="shared" si="658"/>
        <v>27260</v>
      </c>
      <c r="B18395" s="2" t="str">
        <f>"32211"</f>
        <v>32211</v>
      </c>
      <c r="C18395" s="1">
        <v>1.9752894908495799E-2</v>
      </c>
      <c r="D18395" s="1">
        <v>2.4132370469045698E-2</v>
      </c>
      <c r="E18395" s="1">
        <v>2.4064040611119199E-2</v>
      </c>
      <c r="F18395" s="1">
        <v>2.02090703417745E-2</v>
      </c>
    </row>
    <row r="18396" spans="1:6" x14ac:dyDescent="0.25">
      <c r="A18396" s="2" t="str">
        <f t="shared" si="658"/>
        <v>27260</v>
      </c>
      <c r="B18396" s="2" t="str">
        <f>"32205"</f>
        <v>32205</v>
      </c>
      <c r="C18396" s="1">
        <v>1.9812655839342198E-2</v>
      </c>
      <c r="D18396" s="1">
        <v>1.9084344107130301E-2</v>
      </c>
      <c r="E18396" s="1">
        <v>3.5046614926538697E-2</v>
      </c>
      <c r="F18396" s="1">
        <v>2.0108873249539701E-2</v>
      </c>
    </row>
    <row r="18397" spans="1:6" x14ac:dyDescent="0.25">
      <c r="A18397" s="2" t="str">
        <f t="shared" si="658"/>
        <v>27260</v>
      </c>
      <c r="B18397" s="2" t="str">
        <f>"32208"</f>
        <v>32208</v>
      </c>
      <c r="C18397" s="1">
        <v>2.05081713536613E-2</v>
      </c>
      <c r="D18397" s="1">
        <v>1.7597980789455198E-2</v>
      </c>
      <c r="E18397" s="1">
        <v>9.3229853077561303E-3</v>
      </c>
      <c r="F18397" s="1">
        <v>2.0010953363946499E-2</v>
      </c>
    </row>
    <row r="18398" spans="1:6" x14ac:dyDescent="0.25">
      <c r="A18398" s="2" t="str">
        <f t="shared" si="658"/>
        <v>27260</v>
      </c>
      <c r="B18398" s="2" t="str">
        <f>"32131"</f>
        <v>32131</v>
      </c>
      <c r="C18398" s="1">
        <v>1.5258110003343999E-5</v>
      </c>
      <c r="D18398" s="1">
        <v>2.8044590899530201E-5</v>
      </c>
      <c r="E18398" s="1">
        <v>0</v>
      </c>
      <c r="F18398" s="1">
        <v>1.5940446491906202E-5</v>
      </c>
    </row>
    <row r="18399" spans="1:6" x14ac:dyDescent="0.25">
      <c r="A18399" s="2" t="str">
        <f t="shared" si="658"/>
        <v>27260</v>
      </c>
      <c r="B18399" s="2" t="str">
        <f>"32092"</f>
        <v>32092</v>
      </c>
      <c r="C18399" s="1">
        <v>2.2702796175809E-2</v>
      </c>
      <c r="D18399" s="1">
        <v>1.0208231087429E-2</v>
      </c>
      <c r="E18399" s="1">
        <v>1.48386781861668E-2</v>
      </c>
      <c r="F18399" s="1">
        <v>2.15048009209023E-2</v>
      </c>
    </row>
    <row r="18400" spans="1:6" x14ac:dyDescent="0.25">
      <c r="A18400" s="2" t="str">
        <f t="shared" si="658"/>
        <v>27260</v>
      </c>
      <c r="B18400" s="2" t="str">
        <f>"32260"</f>
        <v>32260</v>
      </c>
      <c r="C18400" s="1">
        <v>5.36576868450933E-4</v>
      </c>
      <c r="D18400" s="1">
        <v>5.5107621117576897E-3</v>
      </c>
      <c r="E18400" s="1">
        <v>9.7622882803729093E-5</v>
      </c>
      <c r="F18400" s="1">
        <v>9.3023891313481397E-4</v>
      </c>
    </row>
    <row r="18401" spans="1:6" x14ac:dyDescent="0.25">
      <c r="A18401" s="2" t="str">
        <f t="shared" si="658"/>
        <v>27260</v>
      </c>
      <c r="B18401" s="2" t="str">
        <f>"32238"</f>
        <v>32238</v>
      </c>
      <c r="C18401" s="1">
        <v>1.69873624703897E-3</v>
      </c>
      <c r="D18401" s="1">
        <v>3.2531725443455E-3</v>
      </c>
      <c r="E18401" s="1">
        <v>9.7622882803729093E-5</v>
      </c>
      <c r="F18401" s="1">
        <v>1.78760721373519E-3</v>
      </c>
    </row>
    <row r="18402" spans="1:6" x14ac:dyDescent="0.25">
      <c r="A18402" s="2" t="str">
        <f t="shared" si="658"/>
        <v>27260</v>
      </c>
      <c r="B18402" s="2" t="str">
        <f>"32233"</f>
        <v>32233</v>
      </c>
      <c r="C18402" s="1">
        <v>1.6483844840279298E-2</v>
      </c>
      <c r="D18402" s="1">
        <v>1.45691649723059E-2</v>
      </c>
      <c r="E18402" s="1">
        <v>2.21115829550446E-2</v>
      </c>
      <c r="F18402" s="1">
        <v>1.6459649606213999E-2</v>
      </c>
    </row>
    <row r="18403" spans="1:6" x14ac:dyDescent="0.25">
      <c r="A18403" s="2" t="str">
        <f t="shared" ref="A18403:A18424" si="659">"27260"</f>
        <v>27260</v>
      </c>
      <c r="B18403" s="2" t="str">
        <f>"32227"</f>
        <v>32227</v>
      </c>
      <c r="C18403" s="1">
        <v>8.58268687688103E-4</v>
      </c>
      <c r="D18403" s="1">
        <v>9.8156068148355801E-5</v>
      </c>
      <c r="E18403" s="1">
        <v>3.9049153121491599E-4</v>
      </c>
      <c r="F18403" s="1">
        <v>7.8563629138680697E-4</v>
      </c>
    </row>
    <row r="18404" spans="1:6" x14ac:dyDescent="0.25">
      <c r="A18404" s="2" t="str">
        <f t="shared" si="659"/>
        <v>27260</v>
      </c>
      <c r="B18404" s="2" t="str">
        <f>"32244"</f>
        <v>32244</v>
      </c>
      <c r="C18404" s="1">
        <v>3.53822855885879E-2</v>
      </c>
      <c r="D18404" s="1">
        <v>1.24377760639416E-2</v>
      </c>
      <c r="E18404" s="1">
        <v>1.6449455752428298E-2</v>
      </c>
      <c r="F18404" s="1">
        <v>3.3077565074026198E-2</v>
      </c>
    </row>
    <row r="18405" spans="1:6" x14ac:dyDescent="0.25">
      <c r="A18405" s="2" t="str">
        <f t="shared" si="659"/>
        <v>27260</v>
      </c>
      <c r="B18405" s="2" t="str">
        <f>"32224"</f>
        <v>32224</v>
      </c>
      <c r="C18405" s="1">
        <v>2.5488672760586199E-2</v>
      </c>
      <c r="D18405" s="1">
        <v>1.26340882002383E-2</v>
      </c>
      <c r="E18405" s="1">
        <v>2.04031825059794E-2</v>
      </c>
      <c r="F18405" s="1">
        <v>2.43262599499697E-2</v>
      </c>
    </row>
    <row r="18406" spans="1:6" x14ac:dyDescent="0.25">
      <c r="A18406" s="2" t="str">
        <f t="shared" si="659"/>
        <v>27260</v>
      </c>
      <c r="B18406" s="2" t="str">
        <f>"32216"</f>
        <v>32216</v>
      </c>
      <c r="C18406" s="1">
        <v>2.7434081786012601E-2</v>
      </c>
      <c r="D18406" s="1">
        <v>4.7745916006450201E-2</v>
      </c>
      <c r="E18406" s="1">
        <v>3.8365792941865498E-2</v>
      </c>
      <c r="F18406" s="1">
        <v>2.93383917683534E-2</v>
      </c>
    </row>
    <row r="18407" spans="1:6" x14ac:dyDescent="0.25">
      <c r="A18407" s="2" t="str">
        <f t="shared" si="659"/>
        <v>27260</v>
      </c>
      <c r="B18407" s="2" t="str">
        <f>"32160"</f>
        <v>32160</v>
      </c>
      <c r="C18407" s="1">
        <v>0</v>
      </c>
      <c r="D18407" s="1">
        <v>0</v>
      </c>
      <c r="E18407" s="1">
        <v>4.8811441401864499E-5</v>
      </c>
      <c r="F18407" s="1">
        <v>1.1386033208504401E-6</v>
      </c>
    </row>
    <row r="18408" spans="1:6" x14ac:dyDescent="0.25">
      <c r="A18408" s="2" t="str">
        <f t="shared" si="659"/>
        <v>27260</v>
      </c>
      <c r="B18408" s="2" t="str">
        <f>"32058"</f>
        <v>32058</v>
      </c>
      <c r="C18408" s="1">
        <v>3.6873765841414798E-5</v>
      </c>
      <c r="D18408" s="1">
        <v>2.8044590899530201E-5</v>
      </c>
      <c r="E18408" s="1">
        <v>0</v>
      </c>
      <c r="F18408" s="1">
        <v>3.5296702946363799E-5</v>
      </c>
    </row>
    <row r="18409" spans="1:6" x14ac:dyDescent="0.25">
      <c r="A18409" s="2" t="str">
        <f t="shared" si="659"/>
        <v>27260</v>
      </c>
      <c r="B18409" s="2" t="str">
        <f>"32065"</f>
        <v>32065</v>
      </c>
      <c r="C18409" s="1">
        <v>2.0396278546970101E-2</v>
      </c>
      <c r="D18409" s="1">
        <v>1.44289420178083E-2</v>
      </c>
      <c r="E18409" s="1">
        <v>3.0116659344950399E-2</v>
      </c>
      <c r="F18409" s="1">
        <v>2.0138476935881802E-2</v>
      </c>
    </row>
    <row r="18410" spans="1:6" x14ac:dyDescent="0.25">
      <c r="A18410" s="2" t="str">
        <f t="shared" si="659"/>
        <v>27260</v>
      </c>
      <c r="B18410" s="2" t="str">
        <f>"32043"</f>
        <v>32043</v>
      </c>
      <c r="C18410" s="1">
        <v>1.7208605065438198E-2</v>
      </c>
      <c r="D18410" s="1">
        <v>1.5536703358339701E-2</v>
      </c>
      <c r="E18410" s="1">
        <v>1.14706887294381E-2</v>
      </c>
      <c r="F18410" s="1">
        <v>1.6939001604292001E-2</v>
      </c>
    </row>
    <row r="18411" spans="1:6" x14ac:dyDescent="0.25">
      <c r="A18411" s="2" t="str">
        <f t="shared" si="659"/>
        <v>27260</v>
      </c>
      <c r="B18411" s="2" t="str">
        <f>"32034"</f>
        <v>32034</v>
      </c>
      <c r="C18411" s="1">
        <v>2.8399157243724101E-2</v>
      </c>
      <c r="D18411" s="1">
        <v>2.4496950150739601E-2</v>
      </c>
      <c r="E18411" s="1">
        <v>3.9000341680089798E-2</v>
      </c>
      <c r="F18411" s="1">
        <v>2.83295892260799E-2</v>
      </c>
    </row>
    <row r="18412" spans="1:6" x14ac:dyDescent="0.25">
      <c r="A18412" s="2" t="str">
        <f t="shared" si="659"/>
        <v>27260</v>
      </c>
      <c r="B18412" s="2" t="str">
        <f>"32040"</f>
        <v>32040</v>
      </c>
      <c r="C18412" s="1">
        <v>3.8895465416857902E-3</v>
      </c>
      <c r="D18412" s="1">
        <v>1.0516721587323799E-3</v>
      </c>
      <c r="E18412" s="1">
        <v>6.8336017962610397E-4</v>
      </c>
      <c r="F18412" s="1">
        <v>3.5843232540372001E-3</v>
      </c>
    </row>
    <row r="18413" spans="1:6" x14ac:dyDescent="0.25">
      <c r="A18413" s="2" t="str">
        <f t="shared" si="659"/>
        <v>27260</v>
      </c>
      <c r="B18413" s="2" t="str">
        <f>"32079"</f>
        <v>32079</v>
      </c>
      <c r="C18413" s="1">
        <v>0</v>
      </c>
      <c r="D18413" s="1">
        <v>1.4022295449765101E-5</v>
      </c>
      <c r="E18413" s="1">
        <v>0</v>
      </c>
      <c r="F18413" s="1">
        <v>1.1386033208504401E-6</v>
      </c>
    </row>
    <row r="18414" spans="1:6" x14ac:dyDescent="0.25">
      <c r="A18414" s="2" t="str">
        <f t="shared" si="659"/>
        <v>27260</v>
      </c>
      <c r="B18414" s="2" t="str">
        <f>"32073"</f>
        <v>32073</v>
      </c>
      <c r="C18414" s="1">
        <v>2.2964727064199698E-2</v>
      </c>
      <c r="D18414" s="1">
        <v>3.3274907102292597E-2</v>
      </c>
      <c r="E18414" s="1">
        <v>2.88475618685019E-2</v>
      </c>
      <c r="F18414" s="1">
        <v>2.39391348208806E-2</v>
      </c>
    </row>
    <row r="18415" spans="1:6" x14ac:dyDescent="0.25">
      <c r="A18415" s="2" t="str">
        <f t="shared" si="659"/>
        <v>27260</v>
      </c>
      <c r="B18415" s="2" t="str">
        <f>"32068"</f>
        <v>32068</v>
      </c>
      <c r="C18415" s="1">
        <v>2.95282573839716E-2</v>
      </c>
      <c r="D18415" s="1">
        <v>1.25499544275397E-2</v>
      </c>
      <c r="E18415" s="1">
        <v>8.3467564797188396E-3</v>
      </c>
      <c r="F18415" s="1">
        <v>2.7655536060136401E-2</v>
      </c>
    </row>
    <row r="18416" spans="1:6" x14ac:dyDescent="0.25">
      <c r="A18416" s="2" t="str">
        <f t="shared" si="659"/>
        <v>27260</v>
      </c>
      <c r="B18416" s="2" t="str">
        <f>"32003"</f>
        <v>32003</v>
      </c>
      <c r="C18416" s="1">
        <v>1.46554146582119E-2</v>
      </c>
      <c r="D18416" s="1">
        <v>1.40924069270139E-2</v>
      </c>
      <c r="E18416" s="1">
        <v>1.7767364670278701E-2</v>
      </c>
      <c r="F18416" s="1">
        <v>1.46822898223664E-2</v>
      </c>
    </row>
    <row r="18417" spans="1:6" x14ac:dyDescent="0.25">
      <c r="A18417" s="2" t="str">
        <f t="shared" si="659"/>
        <v>27260</v>
      </c>
      <c r="B18417" s="2" t="str">
        <f>"32241"</f>
        <v>32241</v>
      </c>
      <c r="C18417" s="1">
        <v>2.7566318739374899E-3</v>
      </c>
      <c r="D18417" s="1">
        <v>8.3993549744093097E-3</v>
      </c>
      <c r="E18417" s="1">
        <v>9.7622882803729093E-5</v>
      </c>
      <c r="F18417" s="1">
        <v>3.15279259543488E-3</v>
      </c>
    </row>
    <row r="18418" spans="1:6" x14ac:dyDescent="0.25">
      <c r="A18418" s="2" t="str">
        <f t="shared" si="659"/>
        <v>27260</v>
      </c>
      <c r="B18418" s="2" t="str">
        <f>"32050"</f>
        <v>32050</v>
      </c>
      <c r="C18418" s="1">
        <v>2.32686177550997E-3</v>
      </c>
      <c r="D18418" s="1">
        <v>2.88859286265161E-3</v>
      </c>
      <c r="E18418" s="1">
        <v>9.7622882803729093E-5</v>
      </c>
      <c r="F18418" s="1">
        <v>2.3204735678931999E-3</v>
      </c>
    </row>
    <row r="18419" spans="1:6" x14ac:dyDescent="0.25">
      <c r="A18419" s="2" t="str">
        <f t="shared" si="659"/>
        <v>27260</v>
      </c>
      <c r="B18419" s="2" t="str">
        <f>"32046"</f>
        <v>32046</v>
      </c>
      <c r="C18419" s="1">
        <v>6.3270296147200002E-3</v>
      </c>
      <c r="D18419" s="1">
        <v>4.33288929397742E-3</v>
      </c>
      <c r="E18419" s="1">
        <v>5.6133157612144203E-3</v>
      </c>
      <c r="F18419" s="1">
        <v>6.1484579325924004E-3</v>
      </c>
    </row>
    <row r="18420" spans="1:6" x14ac:dyDescent="0.25">
      <c r="A18420" s="2" t="str">
        <f t="shared" si="659"/>
        <v>27260</v>
      </c>
      <c r="B18420" s="2" t="str">
        <f>"32084"</f>
        <v>32084</v>
      </c>
      <c r="C18420" s="1">
        <v>2.3847154426059801E-2</v>
      </c>
      <c r="D18420" s="1">
        <v>3.9598962350136699E-2</v>
      </c>
      <c r="E18420" s="1">
        <v>4.6566115097378798E-2</v>
      </c>
      <c r="F18420" s="1">
        <v>2.5656148628723001E-2</v>
      </c>
    </row>
    <row r="18421" spans="1:6" x14ac:dyDescent="0.25">
      <c r="A18421" s="2" t="str">
        <f t="shared" si="659"/>
        <v>27260</v>
      </c>
      <c r="B18421" s="2" t="str">
        <f>"32097"</f>
        <v>32097</v>
      </c>
      <c r="C18421" s="1">
        <v>1.26845754494467E-2</v>
      </c>
      <c r="D18421" s="1">
        <v>7.5720395428731596E-3</v>
      </c>
      <c r="E18421" s="1">
        <v>6.1502416166349296E-3</v>
      </c>
      <c r="F18421" s="1">
        <v>1.21170165404904E-2</v>
      </c>
    </row>
    <row r="18422" spans="1:6" x14ac:dyDescent="0.25">
      <c r="A18422" s="2" t="str">
        <f t="shared" si="659"/>
        <v>27260</v>
      </c>
      <c r="B18422" s="2" t="str">
        <f>"32095"</f>
        <v>32095</v>
      </c>
      <c r="C18422" s="1">
        <v>1.02839661422539E-2</v>
      </c>
      <c r="D18422" s="1">
        <v>8.7639346561032005E-3</v>
      </c>
      <c r="E18422" s="1">
        <v>7.6145848586908699E-3</v>
      </c>
      <c r="F18422" s="1">
        <v>1.0098272852622599E-2</v>
      </c>
    </row>
    <row r="18423" spans="1:6" x14ac:dyDescent="0.25">
      <c r="A18423" s="2" t="str">
        <f t="shared" si="659"/>
        <v>27260</v>
      </c>
      <c r="B18423" s="2" t="str">
        <f>"32011"</f>
        <v>32011</v>
      </c>
      <c r="C18423" s="1">
        <v>8.1554597967874003E-3</v>
      </c>
      <c r="D18423" s="1">
        <v>4.0103764986328203E-3</v>
      </c>
      <c r="E18423" s="1">
        <v>3.6120466637379802E-3</v>
      </c>
      <c r="F18423" s="1">
        <v>7.7128988954409099E-3</v>
      </c>
    </row>
    <row r="18424" spans="1:6" x14ac:dyDescent="0.25">
      <c r="A18424" s="2" t="str">
        <f t="shared" si="659"/>
        <v>27260</v>
      </c>
      <c r="B18424" s="2" t="str">
        <f>"32004"</f>
        <v>32004</v>
      </c>
      <c r="C18424" s="1">
        <v>2.2302270788221198E-3</v>
      </c>
      <c r="D18424" s="1">
        <v>8.1048867699642403E-3</v>
      </c>
      <c r="E18424" s="1">
        <v>9.7622882803729093E-5</v>
      </c>
      <c r="F18424" s="1">
        <v>2.65750015086494E-3</v>
      </c>
    </row>
    <row r="18425" spans="1:6" x14ac:dyDescent="0.25">
      <c r="A18425" s="2" t="str">
        <f t="shared" ref="A18425:A18467" si="660">"36100"</f>
        <v>36100</v>
      </c>
      <c r="B18425" s="2" t="str">
        <f>"32663"</f>
        <v>32663</v>
      </c>
      <c r="C18425" s="1">
        <v>0</v>
      </c>
      <c r="D18425" s="1">
        <v>0</v>
      </c>
      <c r="E18425" s="1">
        <v>1.6669444907484499E-4</v>
      </c>
      <c r="F18425" s="1">
        <v>4.4917778007357496E-6</v>
      </c>
    </row>
    <row r="18426" spans="1:6" x14ac:dyDescent="0.25">
      <c r="A18426" s="2" t="str">
        <f t="shared" si="660"/>
        <v>36100</v>
      </c>
      <c r="B18426" s="2" t="str">
        <f>"32667"</f>
        <v>32667</v>
      </c>
      <c r="C18426" s="1">
        <v>5.1260187590473696E-3</v>
      </c>
      <c r="D18426" s="1">
        <v>1.7433284162531801E-3</v>
      </c>
      <c r="E18426" s="1">
        <v>1.1668611435239199E-3</v>
      </c>
      <c r="F18426" s="1">
        <v>4.7927269133850401E-3</v>
      </c>
    </row>
    <row r="18427" spans="1:6" x14ac:dyDescent="0.25">
      <c r="A18427" s="2" t="str">
        <f t="shared" si="660"/>
        <v>36100</v>
      </c>
      <c r="B18427" s="2" t="str">
        <f>"32634"</f>
        <v>32634</v>
      </c>
      <c r="C18427" s="1">
        <v>0</v>
      </c>
      <c r="D18427" s="1">
        <v>0</v>
      </c>
      <c r="E18427" s="1">
        <v>1.6669444907484499E-4</v>
      </c>
      <c r="F18427" s="1">
        <v>4.4917778007357496E-6</v>
      </c>
    </row>
    <row r="18428" spans="1:6" x14ac:dyDescent="0.25">
      <c r="A18428" s="2" t="str">
        <f t="shared" si="660"/>
        <v>36100</v>
      </c>
      <c r="B18428" s="2" t="str">
        <f>"34430"</f>
        <v>34430</v>
      </c>
      <c r="C18428" s="1">
        <v>1.0822145987427799E-2</v>
      </c>
      <c r="D18428" s="1">
        <v>1.49523937240177E-2</v>
      </c>
      <c r="E18428" s="1">
        <v>3.3338889814969101E-4</v>
      </c>
      <c r="F18428" s="1">
        <v>1.08162009441716E-2</v>
      </c>
    </row>
    <row r="18429" spans="1:6" x14ac:dyDescent="0.25">
      <c r="A18429" s="2" t="str">
        <f t="shared" si="660"/>
        <v>36100</v>
      </c>
      <c r="B18429" s="2" t="str">
        <f>"34420"</f>
        <v>34420</v>
      </c>
      <c r="C18429" s="1">
        <v>4.3288583949711398E-2</v>
      </c>
      <c r="D18429" s="1">
        <v>5.7328684457556602E-2</v>
      </c>
      <c r="E18429" s="1">
        <v>4.8174695782630401E-2</v>
      </c>
      <c r="F18429" s="1">
        <v>4.4360797560066202E-2</v>
      </c>
    </row>
    <row r="18430" spans="1:6" x14ac:dyDescent="0.25">
      <c r="A18430" s="2" t="str">
        <f t="shared" si="660"/>
        <v>36100</v>
      </c>
      <c r="B18430" s="2" t="str">
        <f>"34484"</f>
        <v>34484</v>
      </c>
      <c r="C18430" s="1">
        <v>7.9319439211564705E-5</v>
      </c>
      <c r="D18430" s="1">
        <v>0</v>
      </c>
      <c r="E18430" s="1">
        <v>0</v>
      </c>
      <c r="F18430" s="1">
        <v>7.1868444811771994E-5</v>
      </c>
    </row>
    <row r="18431" spans="1:6" x14ac:dyDescent="0.25">
      <c r="A18431" s="2" t="str">
        <f t="shared" si="660"/>
        <v>36100</v>
      </c>
      <c r="B18431" s="2" t="str">
        <f>"34482"</f>
        <v>34482</v>
      </c>
      <c r="C18431" s="1">
        <v>5.3996708243272698E-2</v>
      </c>
      <c r="D18431" s="1">
        <v>3.5738232533190202E-2</v>
      </c>
      <c r="E18431" s="1">
        <v>1.7502917152858798E-2</v>
      </c>
      <c r="F18431" s="1">
        <v>5.17901980424832E-2</v>
      </c>
    </row>
    <row r="18432" spans="1:6" x14ac:dyDescent="0.25">
      <c r="A18432" s="2" t="str">
        <f t="shared" si="660"/>
        <v>36100</v>
      </c>
      <c r="B18432" s="2" t="str">
        <f>"34471"</f>
        <v>34471</v>
      </c>
      <c r="C18432" s="1">
        <v>6.3133316147454793E-2</v>
      </c>
      <c r="D18432" s="1">
        <v>0.150730856912967</v>
      </c>
      <c r="E18432" s="1">
        <v>0.119186531088514</v>
      </c>
      <c r="F18432" s="1">
        <v>7.0511927915949804E-2</v>
      </c>
    </row>
    <row r="18433" spans="1:6" x14ac:dyDescent="0.25">
      <c r="A18433" s="2" t="str">
        <f t="shared" si="660"/>
        <v>36100</v>
      </c>
      <c r="B18433" s="2" t="str">
        <f>"34480"</f>
        <v>34480</v>
      </c>
      <c r="C18433" s="1">
        <v>4.6644787721350799E-2</v>
      </c>
      <c r="D18433" s="1">
        <v>4.7941531446962497E-2</v>
      </c>
      <c r="E18433" s="1">
        <v>9.5849308218036305E-2</v>
      </c>
      <c r="F18433" s="1">
        <v>4.8057530690071799E-2</v>
      </c>
    </row>
    <row r="18434" spans="1:6" x14ac:dyDescent="0.25">
      <c r="A18434" s="2" t="str">
        <f t="shared" si="660"/>
        <v>36100</v>
      </c>
      <c r="B18434" s="2" t="str">
        <f>"34478"</f>
        <v>34478</v>
      </c>
      <c r="C18434" s="1">
        <v>1.7638660294671701E-2</v>
      </c>
      <c r="D18434" s="1">
        <v>6.4234947029636502E-2</v>
      </c>
      <c r="E18434" s="1">
        <v>3.3338889814969101E-4</v>
      </c>
      <c r="F18434" s="1">
        <v>2.02938521037241E-2</v>
      </c>
    </row>
    <row r="18435" spans="1:6" x14ac:dyDescent="0.25">
      <c r="A18435" s="2" t="str">
        <f t="shared" si="660"/>
        <v>36100</v>
      </c>
      <c r="B18435" s="2" t="str">
        <f>"32162"</f>
        <v>32162</v>
      </c>
      <c r="C18435" s="1">
        <v>2.56945408395962E-2</v>
      </c>
      <c r="D18435" s="1">
        <v>2.8831969961110298E-3</v>
      </c>
      <c r="E18435" s="1">
        <v>1.11685280880146E-2</v>
      </c>
      <c r="F18435" s="1">
        <v>2.37749798992943E-2</v>
      </c>
    </row>
    <row r="18436" spans="1:6" x14ac:dyDescent="0.25">
      <c r="A18436" s="2" t="str">
        <f t="shared" si="660"/>
        <v>36100</v>
      </c>
      <c r="B18436" s="2" t="str">
        <f>"32113"</f>
        <v>32113</v>
      </c>
      <c r="C18436" s="1">
        <v>1.56953340339883E-2</v>
      </c>
      <c r="D18436" s="1">
        <v>7.3085691296768101E-3</v>
      </c>
      <c r="E18436" s="1">
        <v>9.8349724954159001E-3</v>
      </c>
      <c r="F18436" s="1">
        <v>1.4975587187652999E-2</v>
      </c>
    </row>
    <row r="18437" spans="1:6" x14ac:dyDescent="0.25">
      <c r="A18437" s="2" t="str">
        <f t="shared" si="660"/>
        <v>36100</v>
      </c>
      <c r="B18437" s="2" t="str">
        <f>"34479"</f>
        <v>34479</v>
      </c>
      <c r="C18437" s="1">
        <v>3.1420412857680997E-2</v>
      </c>
      <c r="D18437" s="1">
        <v>2.3199678154753899E-2</v>
      </c>
      <c r="E18437" s="1">
        <v>1.98366394399066E-2</v>
      </c>
      <c r="F18437" s="1">
        <v>3.0557564378405299E-2</v>
      </c>
    </row>
    <row r="18438" spans="1:6" x14ac:dyDescent="0.25">
      <c r="A18438" s="2" t="str">
        <f t="shared" si="660"/>
        <v>36100</v>
      </c>
      <c r="B18438" s="2" t="str">
        <f>"34477"</f>
        <v>34477</v>
      </c>
      <c r="C18438" s="1">
        <v>1.10353169803089E-2</v>
      </c>
      <c r="D18438" s="1">
        <v>2.7423897009521199E-2</v>
      </c>
      <c r="E18438" s="1">
        <v>3.3338889814969101E-4</v>
      </c>
      <c r="F18438" s="1">
        <v>1.1844818060540101E-2</v>
      </c>
    </row>
    <row r="18439" spans="1:6" x14ac:dyDescent="0.25">
      <c r="A18439" s="2" t="str">
        <f t="shared" si="660"/>
        <v>36100</v>
      </c>
      <c r="B18439" s="2" t="str">
        <f>"34476"</f>
        <v>34476</v>
      </c>
      <c r="C18439" s="1">
        <v>6.2989549663883801E-2</v>
      </c>
      <c r="D18439" s="1">
        <v>2.3467882526485101E-2</v>
      </c>
      <c r="E18439" s="1">
        <v>2.23370561760293E-2</v>
      </c>
      <c r="F18439" s="1">
        <v>5.9246549191704502E-2</v>
      </c>
    </row>
    <row r="18440" spans="1:6" x14ac:dyDescent="0.25">
      <c r="A18440" s="2" t="str">
        <f t="shared" si="660"/>
        <v>36100</v>
      </c>
      <c r="B18440" s="2" t="str">
        <f>"34470"</f>
        <v>34470</v>
      </c>
      <c r="C18440" s="1">
        <v>5.0194332626068303E-2</v>
      </c>
      <c r="D18440" s="1">
        <v>0.134906798980823</v>
      </c>
      <c r="E18440" s="1">
        <v>0.129854975829304</v>
      </c>
      <c r="F18440" s="1">
        <v>5.8015802074302902E-2</v>
      </c>
    </row>
    <row r="18441" spans="1:6" x14ac:dyDescent="0.25">
      <c r="A18441" s="2" t="str">
        <f t="shared" si="660"/>
        <v>36100</v>
      </c>
      <c r="B18441" s="2" t="str">
        <f>"32784"</f>
        <v>32784</v>
      </c>
      <c r="C18441" s="1">
        <v>8.5516270399968192E-3</v>
      </c>
      <c r="D18441" s="1">
        <v>1.3410218586562899E-3</v>
      </c>
      <c r="E18441" s="1">
        <v>9.1681946991165105E-3</v>
      </c>
      <c r="F18441" s="1">
        <v>8.0852000413243492E-3</v>
      </c>
    </row>
    <row r="18442" spans="1:6" x14ac:dyDescent="0.25">
      <c r="A18442" s="2" t="str">
        <f t="shared" si="660"/>
        <v>36100</v>
      </c>
      <c r="B18442" s="2" t="str">
        <f>"32702"</f>
        <v>32702</v>
      </c>
      <c r="C18442" s="1">
        <v>6.7917269824902297E-4</v>
      </c>
      <c r="D18442" s="1">
        <v>6.7051092932814797E-5</v>
      </c>
      <c r="E18442" s="1">
        <v>1.6669444907484499E-4</v>
      </c>
      <c r="F18442" s="1">
        <v>6.2435711430226901E-4</v>
      </c>
    </row>
    <row r="18443" spans="1:6" x14ac:dyDescent="0.25">
      <c r="A18443" s="2" t="str">
        <f t="shared" si="660"/>
        <v>36100</v>
      </c>
      <c r="B18443" s="2" t="str">
        <f>"32686"</f>
        <v>32686</v>
      </c>
      <c r="C18443" s="1">
        <v>1.4029625810545499E-2</v>
      </c>
      <c r="D18443" s="1">
        <v>6.8392114791471104E-3</v>
      </c>
      <c r="E18443" s="1">
        <v>3.1671945324220699E-3</v>
      </c>
      <c r="F18443" s="1">
        <v>1.32552362899712E-2</v>
      </c>
    </row>
    <row r="18444" spans="1:6" x14ac:dyDescent="0.25">
      <c r="A18444" s="2" t="str">
        <f t="shared" si="660"/>
        <v>36100</v>
      </c>
      <c r="B18444" s="2" t="str">
        <f>"34475"</f>
        <v>34475</v>
      </c>
      <c r="C18444" s="1">
        <v>3.0934581292510199E-2</v>
      </c>
      <c r="D18444" s="1">
        <v>7.9120289660721405E-2</v>
      </c>
      <c r="E18444" s="1">
        <v>5.1341890315052499E-2</v>
      </c>
      <c r="F18444" s="1">
        <v>3.47124588440859E-2</v>
      </c>
    </row>
    <row r="18445" spans="1:6" x14ac:dyDescent="0.25">
      <c r="A18445" s="2" t="str">
        <f t="shared" si="660"/>
        <v>36100</v>
      </c>
      <c r="B18445" s="2" t="str">
        <f>"34474"</f>
        <v>34474</v>
      </c>
      <c r="C18445" s="1">
        <v>4.2356580538975501E-2</v>
      </c>
      <c r="D18445" s="1">
        <v>8.9982566715837403E-2</v>
      </c>
      <c r="E18445" s="1">
        <v>5.8343057176195999E-2</v>
      </c>
      <c r="F18445" s="1">
        <v>4.5977837568331098E-2</v>
      </c>
    </row>
    <row r="18446" spans="1:6" x14ac:dyDescent="0.25">
      <c r="A18446" s="2" t="str">
        <f t="shared" si="660"/>
        <v>36100</v>
      </c>
      <c r="B18446" s="2" t="str">
        <f>"32696"</f>
        <v>32696</v>
      </c>
      <c r="C18446" s="1">
        <v>2.4688175454599501E-3</v>
      </c>
      <c r="D18446" s="1">
        <v>3.35255464664074E-4</v>
      </c>
      <c r="E18446" s="1">
        <v>1.6669444907484499E-4</v>
      </c>
      <c r="F18446" s="1">
        <v>2.2638560115708101E-3</v>
      </c>
    </row>
    <row r="18447" spans="1:6" x14ac:dyDescent="0.25">
      <c r="A18447" s="2" t="str">
        <f t="shared" si="660"/>
        <v>36100</v>
      </c>
      <c r="B18447" s="2" t="str">
        <f>"34473"</f>
        <v>34473</v>
      </c>
      <c r="C18447" s="1">
        <v>4.2078962501735102E-2</v>
      </c>
      <c r="D18447" s="1">
        <v>1.4617138259353599E-2</v>
      </c>
      <c r="E18447" s="1">
        <v>5.5009168194699101E-3</v>
      </c>
      <c r="F18447" s="1">
        <v>3.9253646200629697E-2</v>
      </c>
    </row>
    <row r="18448" spans="1:6" x14ac:dyDescent="0.25">
      <c r="A18448" s="2" t="str">
        <f t="shared" si="660"/>
        <v>36100</v>
      </c>
      <c r="B18448" s="2" t="str">
        <f>"34472"</f>
        <v>34472</v>
      </c>
      <c r="C18448" s="1">
        <v>6.8527038013841204E-2</v>
      </c>
      <c r="D18448" s="1">
        <v>2.7222743730722799E-2</v>
      </c>
      <c r="E18448" s="1">
        <v>0.113352225370895</v>
      </c>
      <c r="F18448" s="1">
        <v>6.6967915231169295E-2</v>
      </c>
    </row>
    <row r="18449" spans="1:6" x14ac:dyDescent="0.25">
      <c r="A18449" s="2" t="str">
        <f t="shared" si="660"/>
        <v>36100</v>
      </c>
      <c r="B18449" s="2" t="str">
        <f>"32664"</f>
        <v>32664</v>
      </c>
      <c r="C18449" s="1">
        <v>0</v>
      </c>
      <c r="D18449" s="1">
        <v>6.7051092932814797E-5</v>
      </c>
      <c r="E18449" s="1">
        <v>1.6669444907484499E-4</v>
      </c>
      <c r="F18449" s="1">
        <v>8.9835556014714992E-6</v>
      </c>
    </row>
    <row r="18450" spans="1:6" x14ac:dyDescent="0.25">
      <c r="A18450" s="2" t="str">
        <f t="shared" si="660"/>
        <v>36100</v>
      </c>
      <c r="B18450" s="2" t="str">
        <f>"32133"</f>
        <v>32133</v>
      </c>
      <c r="C18450" s="1">
        <v>0</v>
      </c>
      <c r="D18450" s="1">
        <v>0</v>
      </c>
      <c r="E18450" s="1">
        <v>3.3338889814969101E-4</v>
      </c>
      <c r="F18450" s="1">
        <v>8.9835556014714992E-6</v>
      </c>
    </row>
    <row r="18451" spans="1:6" x14ac:dyDescent="0.25">
      <c r="A18451" s="2" t="str">
        <f t="shared" si="660"/>
        <v>36100</v>
      </c>
      <c r="B18451" s="2" t="str">
        <f>"34488"</f>
        <v>34488</v>
      </c>
      <c r="C18451" s="1">
        <v>3.80039263122409E-2</v>
      </c>
      <c r="D18451" s="1">
        <v>1.6762773233203701E-2</v>
      </c>
      <c r="E18451" s="1">
        <v>3.6839473245540898E-2</v>
      </c>
      <c r="F18451" s="1">
        <v>3.6549595964586797E-2</v>
      </c>
    </row>
    <row r="18452" spans="1:6" x14ac:dyDescent="0.25">
      <c r="A18452" s="2" t="str">
        <f t="shared" si="660"/>
        <v>36100</v>
      </c>
      <c r="B18452" s="2" t="str">
        <f>"34481"</f>
        <v>34481</v>
      </c>
      <c r="C18452" s="1">
        <v>6.9607765373098804E-2</v>
      </c>
      <c r="D18452" s="1">
        <v>3.7749765321174703E-2</v>
      </c>
      <c r="E18452" s="1">
        <v>0.18869811635272499</v>
      </c>
      <c r="F18452" s="1">
        <v>7.0682615472377794E-2</v>
      </c>
    </row>
    <row r="18453" spans="1:6" x14ac:dyDescent="0.25">
      <c r="A18453" s="2" t="str">
        <f t="shared" si="660"/>
        <v>36100</v>
      </c>
      <c r="B18453" s="2" t="str">
        <f>"32617"</f>
        <v>32617</v>
      </c>
      <c r="C18453" s="1">
        <v>1.5571397410220299E-2</v>
      </c>
      <c r="D18453" s="1">
        <v>9.5883062893925095E-3</v>
      </c>
      <c r="E18453" s="1">
        <v>2.0003333888981398E-3</v>
      </c>
      <c r="F18453" s="1">
        <v>1.4804899631224999E-2</v>
      </c>
    </row>
    <row r="18454" spans="1:6" x14ac:dyDescent="0.25">
      <c r="A18454" s="2" t="str">
        <f t="shared" si="660"/>
        <v>36100</v>
      </c>
      <c r="B18454" s="2" t="str">
        <f>"32668"</f>
        <v>32668</v>
      </c>
      <c r="C18454" s="1">
        <v>2.87532967141922E-3</v>
      </c>
      <c r="D18454" s="1">
        <v>4.0230655759688799E-4</v>
      </c>
      <c r="E18454" s="1">
        <v>3.3338889814969101E-4</v>
      </c>
      <c r="F18454" s="1">
        <v>2.6411653468326199E-3</v>
      </c>
    </row>
    <row r="18455" spans="1:6" x14ac:dyDescent="0.25">
      <c r="A18455" s="2" t="str">
        <f t="shared" si="660"/>
        <v>36100</v>
      </c>
      <c r="B18455" s="2" t="str">
        <f>"32192"</f>
        <v>32192</v>
      </c>
      <c r="C18455" s="1">
        <v>0</v>
      </c>
      <c r="D18455" s="1">
        <v>0</v>
      </c>
      <c r="E18455" s="1">
        <v>1.6669444907484499E-4</v>
      </c>
      <c r="F18455" s="1">
        <v>4.4917778007357496E-6</v>
      </c>
    </row>
    <row r="18456" spans="1:6" x14ac:dyDescent="0.25">
      <c r="A18456" s="2" t="str">
        <f t="shared" si="660"/>
        <v>36100</v>
      </c>
      <c r="B18456" s="2" t="str">
        <f>"32195"</f>
        <v>32195</v>
      </c>
      <c r="C18456" s="1">
        <v>1.38660294671716E-2</v>
      </c>
      <c r="D18456" s="1">
        <v>7.9120289660721405E-3</v>
      </c>
      <c r="E18456" s="1">
        <v>2.6671111851975298E-3</v>
      </c>
      <c r="F18456" s="1">
        <v>1.31654007339564E-2</v>
      </c>
    </row>
    <row r="18457" spans="1:6" x14ac:dyDescent="0.25">
      <c r="A18457" s="2" t="str">
        <f t="shared" si="660"/>
        <v>36100</v>
      </c>
      <c r="B18457" s="2" t="str">
        <f>"34492"</f>
        <v>34492</v>
      </c>
      <c r="C18457" s="1">
        <v>6.8065993773424004E-3</v>
      </c>
      <c r="D18457" s="1">
        <v>9.3201019176612498E-3</v>
      </c>
      <c r="E18457" s="1">
        <v>3.3338889814969101E-4</v>
      </c>
      <c r="F18457" s="1">
        <v>6.8005515903139298E-3</v>
      </c>
    </row>
    <row r="18458" spans="1:6" x14ac:dyDescent="0.25">
      <c r="A18458" s="2" t="str">
        <f t="shared" si="660"/>
        <v>36100</v>
      </c>
      <c r="B18458" s="2" t="str">
        <f>"34483"</f>
        <v>34483</v>
      </c>
      <c r="C18458" s="1">
        <v>9.1266929742806705E-3</v>
      </c>
      <c r="D18458" s="1">
        <v>1.4483036073487899E-2</v>
      </c>
      <c r="E18458" s="1">
        <v>3.3338889814969101E-4</v>
      </c>
      <c r="F18458" s="1">
        <v>9.2485704917149095E-3</v>
      </c>
    </row>
    <row r="18459" spans="1:6" x14ac:dyDescent="0.25">
      <c r="A18459" s="2" t="str">
        <f t="shared" si="660"/>
        <v>36100</v>
      </c>
      <c r="B18459" s="2" t="str">
        <f>"34491"</f>
        <v>34491</v>
      </c>
      <c r="C18459" s="1">
        <v>8.3166432013325603E-2</v>
      </c>
      <c r="D18459" s="1">
        <v>3.3123239908810498E-2</v>
      </c>
      <c r="E18459" s="1">
        <v>1.6169361560259998E-2</v>
      </c>
      <c r="F18459" s="1">
        <v>7.8008705065377798E-2</v>
      </c>
    </row>
    <row r="18460" spans="1:6" x14ac:dyDescent="0.25">
      <c r="A18460" s="2" t="str">
        <f t="shared" si="660"/>
        <v>36100</v>
      </c>
      <c r="B18460" s="2" t="str">
        <f>"32681"</f>
        <v>32681</v>
      </c>
      <c r="C18460" s="1">
        <v>0</v>
      </c>
      <c r="D18460" s="1">
        <v>0</v>
      </c>
      <c r="E18460" s="1">
        <v>1.6669444907484499E-4</v>
      </c>
      <c r="F18460" s="1">
        <v>4.4917778007357496E-6</v>
      </c>
    </row>
    <row r="18461" spans="1:6" x14ac:dyDescent="0.25">
      <c r="A18461" s="2" t="str">
        <f t="shared" si="660"/>
        <v>36100</v>
      </c>
      <c r="B18461" s="2" t="str">
        <f>"32182"</f>
        <v>32182</v>
      </c>
      <c r="C18461" s="1">
        <v>0</v>
      </c>
      <c r="D18461" s="1">
        <v>0</v>
      </c>
      <c r="E18461" s="1">
        <v>3.3338889814969101E-4</v>
      </c>
      <c r="F18461" s="1">
        <v>8.9835556014714992E-6</v>
      </c>
    </row>
    <row r="18462" spans="1:6" x14ac:dyDescent="0.25">
      <c r="A18462" s="2" t="str">
        <f t="shared" si="660"/>
        <v>36100</v>
      </c>
      <c r="B18462" s="2" t="str">
        <f>"34431"</f>
        <v>34431</v>
      </c>
      <c r="C18462" s="1">
        <v>1.97951575482361E-2</v>
      </c>
      <c r="D18462" s="1">
        <v>7.9120289660721405E-3</v>
      </c>
      <c r="E18462" s="1">
        <v>4.50075012502083E-3</v>
      </c>
      <c r="F18462" s="1">
        <v>1.8586976539444501E-2</v>
      </c>
    </row>
    <row r="18463" spans="1:6" x14ac:dyDescent="0.25">
      <c r="A18463" s="2" t="str">
        <f t="shared" si="660"/>
        <v>36100</v>
      </c>
      <c r="B18463" s="2" t="str">
        <f>"34432"</f>
        <v>34432</v>
      </c>
      <c r="C18463" s="1">
        <v>3.4642765075650901E-2</v>
      </c>
      <c r="D18463" s="1">
        <v>2.7759152474185301E-2</v>
      </c>
      <c r="E18463" s="1">
        <v>1.4502417069511501E-2</v>
      </c>
      <c r="F18463" s="1">
        <v>3.3638923949709999E-2</v>
      </c>
    </row>
    <row r="18464" spans="1:6" x14ac:dyDescent="0.25">
      <c r="A18464" s="2" t="str">
        <f t="shared" si="660"/>
        <v>36100</v>
      </c>
      <c r="B18464" s="2" t="str">
        <f>"34489"</f>
        <v>34489</v>
      </c>
      <c r="C18464" s="1">
        <v>1.0083483709770099E-2</v>
      </c>
      <c r="D18464" s="1">
        <v>1.1130481426847199E-2</v>
      </c>
      <c r="E18464" s="1">
        <v>3.3338889814969101E-4</v>
      </c>
      <c r="F18464" s="1">
        <v>9.8908947172201191E-3</v>
      </c>
    </row>
    <row r="18465" spans="1:6" x14ac:dyDescent="0.25">
      <c r="A18465" s="2" t="str">
        <f t="shared" si="660"/>
        <v>36100</v>
      </c>
      <c r="B18465" s="2" t="str">
        <f>"32179"</f>
        <v>32179</v>
      </c>
      <c r="C18465" s="1">
        <v>2.44898768565706E-2</v>
      </c>
      <c r="D18465" s="1">
        <v>4.9617808770282901E-3</v>
      </c>
      <c r="E18465" s="1">
        <v>7.8346391065177504E-3</v>
      </c>
      <c r="F18465" s="1">
        <v>2.2732887449523599E-2</v>
      </c>
    </row>
    <row r="18466" spans="1:6" x14ac:dyDescent="0.25">
      <c r="A18466" s="2" t="str">
        <f t="shared" si="660"/>
        <v>36100</v>
      </c>
      <c r="B18466" s="2" t="str">
        <f>"32134"</f>
        <v>32134</v>
      </c>
      <c r="C18466" s="1">
        <v>2.4579111225683601E-2</v>
      </c>
      <c r="D18466" s="1">
        <v>7.4426713155424399E-3</v>
      </c>
      <c r="E18466" s="1">
        <v>6.6677779629938302E-3</v>
      </c>
      <c r="F18466" s="1">
        <v>2.2948492783958899E-2</v>
      </c>
    </row>
    <row r="18467" spans="1:6" x14ac:dyDescent="0.25">
      <c r="A18467" s="2" t="str">
        <f t="shared" si="660"/>
        <v>36100</v>
      </c>
      <c r="B18467" s="2" t="str">
        <f>"32111"</f>
        <v>32111</v>
      </c>
      <c r="C18467" s="1">
        <v>0</v>
      </c>
      <c r="D18467" s="1">
        <v>0</v>
      </c>
      <c r="E18467" s="1">
        <v>1.6669444907484499E-4</v>
      </c>
      <c r="F18467" s="1">
        <v>4.4917778007357496E-6</v>
      </c>
    </row>
    <row r="18468" spans="1:6" x14ac:dyDescent="0.25">
      <c r="A18468" s="2" t="str">
        <f t="shared" ref="A18468:A18487" si="661">"37460"</f>
        <v>37460</v>
      </c>
      <c r="B18468" s="2" t="str">
        <f>"32437"</f>
        <v>32437</v>
      </c>
      <c r="C18468" s="1">
        <v>5.2452997197042898E-4</v>
      </c>
      <c r="D18468" s="1">
        <v>9.3118539901294298E-5</v>
      </c>
      <c r="E18468" s="1">
        <v>0</v>
      </c>
      <c r="F18468" s="1">
        <v>4.74965656329465E-4</v>
      </c>
    </row>
    <row r="18469" spans="1:6" x14ac:dyDescent="0.25">
      <c r="A18469" s="2" t="str">
        <f t="shared" si="661"/>
        <v>37460</v>
      </c>
      <c r="B18469" s="2" t="str">
        <f>"32411"</f>
        <v>32411</v>
      </c>
      <c r="C18469" s="1">
        <v>9.1792745094825094E-3</v>
      </c>
      <c r="D18469" s="1">
        <v>3.7247415960517702E-3</v>
      </c>
      <c r="E18469" s="1">
        <v>4.8792388387411498E-4</v>
      </c>
      <c r="F18469" s="1">
        <v>8.4909245023821293E-3</v>
      </c>
    </row>
    <row r="18470" spans="1:6" x14ac:dyDescent="0.25">
      <c r="A18470" s="2" t="str">
        <f t="shared" si="661"/>
        <v>37460</v>
      </c>
      <c r="B18470" s="2" t="str">
        <f>"32456"</f>
        <v>32456</v>
      </c>
      <c r="C18470" s="1">
        <v>1.47769928041044E-2</v>
      </c>
      <c r="D18470" s="1">
        <v>5.7733494738802403E-3</v>
      </c>
      <c r="E18470" s="1">
        <v>1.61014881678458E-2</v>
      </c>
      <c r="F18470" s="1">
        <v>1.41101335749568E-2</v>
      </c>
    </row>
    <row r="18471" spans="1:6" x14ac:dyDescent="0.25">
      <c r="A18471" s="2" t="str">
        <f t="shared" si="661"/>
        <v>37460</v>
      </c>
      <c r="B18471" s="2" t="str">
        <f>"32438"</f>
        <v>32438</v>
      </c>
      <c r="C18471" s="1">
        <v>1.66128477060009E-2</v>
      </c>
      <c r="D18471" s="1">
        <v>3.1660303566440002E-3</v>
      </c>
      <c r="E18471" s="1">
        <v>9.7584776774823105E-4</v>
      </c>
      <c r="F18471" s="1">
        <v>1.5089293543389899E-2</v>
      </c>
    </row>
    <row r="18472" spans="1:6" x14ac:dyDescent="0.25">
      <c r="A18472" s="2" t="str">
        <f t="shared" si="661"/>
        <v>37460</v>
      </c>
      <c r="B18472" s="2" t="str">
        <f>"32406"</f>
        <v>32406</v>
      </c>
      <c r="C18472" s="1">
        <v>7.2286786762174801E-3</v>
      </c>
      <c r="D18472" s="1">
        <v>2.5328242853152001E-2</v>
      </c>
      <c r="E18472" s="1">
        <v>4.8792388387411498E-4</v>
      </c>
      <c r="F18472" s="1">
        <v>8.4470815187209503E-3</v>
      </c>
    </row>
    <row r="18473" spans="1:6" x14ac:dyDescent="0.25">
      <c r="A18473" s="2" t="str">
        <f t="shared" si="661"/>
        <v>37460</v>
      </c>
      <c r="B18473" s="2" t="str">
        <f>"32409"</f>
        <v>32409</v>
      </c>
      <c r="C18473" s="1">
        <v>4.3118002852131701E-2</v>
      </c>
      <c r="D18473" s="1">
        <v>1.75062855014433E-2</v>
      </c>
      <c r="E18473" s="1">
        <v>1.0246401561356399E-2</v>
      </c>
      <c r="F18473" s="1">
        <v>4.01236372139245E-2</v>
      </c>
    </row>
    <row r="18474" spans="1:6" x14ac:dyDescent="0.25">
      <c r="A18474" s="2" t="str">
        <f t="shared" si="661"/>
        <v>37460</v>
      </c>
      <c r="B18474" s="2" t="str">
        <f>"32407"</f>
        <v>32407</v>
      </c>
      <c r="C18474" s="1">
        <v>9.2120576327306705E-2</v>
      </c>
      <c r="D18474" s="1">
        <v>8.9486916845143802E-2</v>
      </c>
      <c r="E18474" s="1">
        <v>8.4410831910222001E-2</v>
      </c>
      <c r="F18474" s="1">
        <v>9.1682985999473804E-2</v>
      </c>
    </row>
    <row r="18475" spans="1:6" x14ac:dyDescent="0.25">
      <c r="A18475" s="2" t="str">
        <f t="shared" si="661"/>
        <v>37460</v>
      </c>
      <c r="B18475" s="2" t="str">
        <f>"32405"</f>
        <v>32405</v>
      </c>
      <c r="C18475" s="1">
        <v>0.11940433065058099</v>
      </c>
      <c r="D18475" s="1">
        <v>0.20923735915820799</v>
      </c>
      <c r="E18475" s="1">
        <v>0.162234691388143</v>
      </c>
      <c r="F18475" s="1">
        <v>0.127736532896852</v>
      </c>
    </row>
    <row r="18476" spans="1:6" x14ac:dyDescent="0.25">
      <c r="A18476" s="2" t="str">
        <f t="shared" si="661"/>
        <v>37460</v>
      </c>
      <c r="B18476" s="2" t="str">
        <f>"32466"</f>
        <v>32466</v>
      </c>
      <c r="C18476" s="1">
        <v>2.3792351697346201E-2</v>
      </c>
      <c r="D18476" s="1">
        <v>5.3077567743737702E-3</v>
      </c>
      <c r="E18476" s="1">
        <v>2.43961941937057E-3</v>
      </c>
      <c r="F18476" s="1">
        <v>2.1702276912284799E-2</v>
      </c>
    </row>
    <row r="18477" spans="1:6" x14ac:dyDescent="0.25">
      <c r="A18477" s="2" t="str">
        <f t="shared" si="661"/>
        <v>37460</v>
      </c>
      <c r="B18477" s="2" t="str">
        <f>"32444"</f>
        <v>32444</v>
      </c>
      <c r="C18477" s="1">
        <v>8.7940728113167305E-2</v>
      </c>
      <c r="D18477" s="1">
        <v>7.83126920569885E-2</v>
      </c>
      <c r="E18477" s="1">
        <v>5.1232007806782102E-2</v>
      </c>
      <c r="F18477" s="1">
        <v>8.6085698418729706E-2</v>
      </c>
    </row>
    <row r="18478" spans="1:6" x14ac:dyDescent="0.25">
      <c r="A18478" s="2" t="str">
        <f t="shared" si="661"/>
        <v>37460</v>
      </c>
      <c r="B18478" s="2" t="str">
        <f>"32417"</f>
        <v>32417</v>
      </c>
      <c r="C18478" s="1">
        <v>1.8481485731145601E-2</v>
      </c>
      <c r="D18478" s="1">
        <v>5.06564857063041E-2</v>
      </c>
      <c r="E18478" s="1">
        <v>4.8792388387411498E-4</v>
      </c>
      <c r="F18478" s="1">
        <v>2.0467366205828098E-2</v>
      </c>
    </row>
    <row r="18479" spans="1:6" x14ac:dyDescent="0.25">
      <c r="A18479" s="2" t="str">
        <f t="shared" si="661"/>
        <v>37460</v>
      </c>
      <c r="B18479" s="2" t="str">
        <f>"32402"</f>
        <v>32402</v>
      </c>
      <c r="C18479" s="1">
        <v>1.02857049191076E-2</v>
      </c>
      <c r="D18479" s="1">
        <v>5.07496042462054E-2</v>
      </c>
      <c r="E18479" s="1">
        <v>4.8792388387411498E-4</v>
      </c>
      <c r="F18479" s="1">
        <v>1.3167509426241401E-2</v>
      </c>
    </row>
    <row r="18480" spans="1:6" x14ac:dyDescent="0.25">
      <c r="A18480" s="2" t="str">
        <f t="shared" si="661"/>
        <v>37460</v>
      </c>
      <c r="B18480" s="2" t="str">
        <f>"32408"</f>
        <v>32408</v>
      </c>
      <c r="C18480" s="1">
        <v>0.138852918517547</v>
      </c>
      <c r="D18480" s="1">
        <v>7.1142564484588805E-2</v>
      </c>
      <c r="E18480" s="1">
        <v>0.15564771895584201</v>
      </c>
      <c r="F18480" s="1">
        <v>0.134042615380118</v>
      </c>
    </row>
    <row r="18481" spans="1:6" x14ac:dyDescent="0.25">
      <c r="A18481" s="2" t="str">
        <f t="shared" si="661"/>
        <v>37460</v>
      </c>
      <c r="B18481" s="2" t="str">
        <f>"32401"</f>
        <v>32401</v>
      </c>
      <c r="C18481" s="1">
        <v>0.109298932909338</v>
      </c>
      <c r="D18481" s="1">
        <v>0.19638700065182901</v>
      </c>
      <c r="E18481" s="1">
        <v>0.16418638692363899</v>
      </c>
      <c r="F18481" s="1">
        <v>0.11777686844182</v>
      </c>
    </row>
    <row r="18482" spans="1:6" x14ac:dyDescent="0.25">
      <c r="A18482" s="2" t="str">
        <f t="shared" si="661"/>
        <v>37460</v>
      </c>
      <c r="B18482" s="2" t="str">
        <f>"32428"</f>
        <v>32428</v>
      </c>
      <c r="C18482" s="1">
        <v>8.1957808120379596E-6</v>
      </c>
      <c r="D18482" s="1">
        <v>0</v>
      </c>
      <c r="E18482" s="1">
        <v>0</v>
      </c>
      <c r="F18482" s="1">
        <v>7.3071639435302302E-6</v>
      </c>
    </row>
    <row r="18483" spans="1:6" x14ac:dyDescent="0.25">
      <c r="A18483" s="2" t="str">
        <f t="shared" si="661"/>
        <v>37460</v>
      </c>
      <c r="B18483" s="2" t="str">
        <f>"32403"</f>
        <v>32403</v>
      </c>
      <c r="C18483" s="1">
        <v>9.2366449751667794E-3</v>
      </c>
      <c r="D18483" s="1">
        <v>9.5912096098333104E-3</v>
      </c>
      <c r="E18483" s="1">
        <v>9.0997804342522498E-2</v>
      </c>
      <c r="F18483" s="1">
        <v>1.17133838014789E-2</v>
      </c>
    </row>
    <row r="18484" spans="1:6" x14ac:dyDescent="0.25">
      <c r="A18484" s="2" t="str">
        <f t="shared" si="661"/>
        <v>37460</v>
      </c>
      <c r="B18484" s="2" t="str">
        <f>"32413"</f>
        <v>32413</v>
      </c>
      <c r="C18484" s="1">
        <v>0.135459865261363</v>
      </c>
      <c r="D18484" s="1">
        <v>0.100474904553496</v>
      </c>
      <c r="E18484" s="1">
        <v>0.105635520858746</v>
      </c>
      <c r="F18484" s="1">
        <v>0.131821237541285</v>
      </c>
    </row>
    <row r="18485" spans="1:6" x14ac:dyDescent="0.25">
      <c r="A18485" s="2" t="str">
        <f t="shared" si="661"/>
        <v>37460</v>
      </c>
      <c r="B18485" s="2" t="str">
        <f>"32462"</f>
        <v>32462</v>
      </c>
      <c r="C18485" s="1">
        <v>2.0489452030094901E-4</v>
      </c>
      <c r="D18485" s="1">
        <v>0</v>
      </c>
      <c r="E18485" s="1">
        <v>0</v>
      </c>
      <c r="F18485" s="1">
        <v>1.8267909858825501E-4</v>
      </c>
    </row>
    <row r="18486" spans="1:6" x14ac:dyDescent="0.25">
      <c r="A18486" s="2" t="str">
        <f t="shared" si="661"/>
        <v>37460</v>
      </c>
      <c r="B18486" s="2" t="str">
        <f>"32410"</f>
        <v>32410</v>
      </c>
      <c r="C18486" s="1">
        <v>0</v>
      </c>
      <c r="D18486" s="1">
        <v>9.3118539901294298E-5</v>
      </c>
      <c r="E18486" s="1">
        <v>0</v>
      </c>
      <c r="F18486" s="1">
        <v>7.3071639435302302E-6</v>
      </c>
    </row>
    <row r="18487" spans="1:6" x14ac:dyDescent="0.25">
      <c r="A18487" s="2" t="str">
        <f t="shared" si="661"/>
        <v>37460</v>
      </c>
      <c r="B18487" s="2" t="str">
        <f>"32404"</f>
        <v>32404</v>
      </c>
      <c r="C18487" s="1">
        <v>0.16347304407690899</v>
      </c>
      <c r="D18487" s="1">
        <v>8.2968619052053202E-2</v>
      </c>
      <c r="E18487" s="1">
        <v>0.15393998536228301</v>
      </c>
      <c r="F18487" s="1">
        <v>0.15687019553970699</v>
      </c>
    </row>
    <row r="18488" spans="1:6" x14ac:dyDescent="0.25">
      <c r="A18488" s="2" t="str">
        <f t="shared" ref="A18488:A18519" si="662">"35840"</f>
        <v>35840</v>
      </c>
      <c r="B18488" s="2" t="str">
        <f>"34260"</f>
        <v>34260</v>
      </c>
      <c r="C18488" s="1">
        <v>0</v>
      </c>
      <c r="D18488" s="1">
        <v>0</v>
      </c>
      <c r="E18488" s="1">
        <v>1.4315253698107199E-3</v>
      </c>
      <c r="F18488" s="1">
        <v>4.8577751389863401E-5</v>
      </c>
    </row>
    <row r="18489" spans="1:6" x14ac:dyDescent="0.25">
      <c r="A18489" s="2" t="str">
        <f t="shared" si="662"/>
        <v>35840</v>
      </c>
      <c r="B18489" s="2" t="str">
        <f>"34274"</f>
        <v>34274</v>
      </c>
      <c r="C18489" s="1">
        <v>3.0342041236028198E-3</v>
      </c>
      <c r="D18489" s="1">
        <v>4.49726202959338E-3</v>
      </c>
      <c r="E18489" s="1">
        <v>1.0603891628227501E-4</v>
      </c>
      <c r="F18489" s="1">
        <v>3.0478041057195801E-3</v>
      </c>
    </row>
    <row r="18490" spans="1:6" x14ac:dyDescent="0.25">
      <c r="A18490" s="2" t="str">
        <f t="shared" si="662"/>
        <v>35840</v>
      </c>
      <c r="B18490" s="2" t="str">
        <f>"34206"</f>
        <v>34206</v>
      </c>
      <c r="C18490" s="1">
        <v>2.53221438200609E-3</v>
      </c>
      <c r="D18490" s="1">
        <v>7.8294302691366592E-3</v>
      </c>
      <c r="E18490" s="1">
        <v>1.0603891628227501E-4</v>
      </c>
      <c r="F18490" s="1">
        <v>2.8588906280923301E-3</v>
      </c>
    </row>
    <row r="18491" spans="1:6" x14ac:dyDescent="0.25">
      <c r="A18491" s="2" t="str">
        <f t="shared" si="662"/>
        <v>35840</v>
      </c>
      <c r="B18491" s="2" t="str">
        <f>"34242"</f>
        <v>34242</v>
      </c>
      <c r="C18491" s="1">
        <v>2.0016840946169599E-2</v>
      </c>
      <c r="D18491" s="1">
        <v>7.5498077595246398E-3</v>
      </c>
      <c r="E18491" s="1">
        <v>3.3190180796352199E-2</v>
      </c>
      <c r="F18491" s="1">
        <v>1.9501268419064001E-2</v>
      </c>
    </row>
    <row r="18492" spans="1:6" x14ac:dyDescent="0.25">
      <c r="A18492" s="2" t="str">
        <f t="shared" si="662"/>
        <v>35840</v>
      </c>
      <c r="B18492" s="2" t="str">
        <f>"34241"</f>
        <v>34241</v>
      </c>
      <c r="C18492" s="1">
        <v>1.4290514418036001E-2</v>
      </c>
      <c r="D18492" s="1">
        <v>2.3534894559011999E-3</v>
      </c>
      <c r="E18492" s="1">
        <v>2.91607019776257E-3</v>
      </c>
      <c r="F18492" s="1">
        <v>1.29828538529353E-2</v>
      </c>
    </row>
    <row r="18493" spans="1:6" x14ac:dyDescent="0.25">
      <c r="A18493" s="2" t="str">
        <f t="shared" si="662"/>
        <v>35840</v>
      </c>
      <c r="B18493" s="2" t="str">
        <f>"34233"</f>
        <v>34233</v>
      </c>
      <c r="C18493" s="1">
        <v>1.94804406174473E-2</v>
      </c>
      <c r="D18493" s="1">
        <v>4.0615169521146403E-2</v>
      </c>
      <c r="E18493" s="1">
        <v>2.0624569216902599E-2</v>
      </c>
      <c r="F18493" s="1">
        <v>2.1151112790342E-2</v>
      </c>
    </row>
    <row r="18494" spans="1:6" x14ac:dyDescent="0.25">
      <c r="A18494" s="2" t="str">
        <f t="shared" si="662"/>
        <v>35840</v>
      </c>
      <c r="B18494" s="2" t="str">
        <f>"34220"</f>
        <v>34220</v>
      </c>
      <c r="C18494" s="1">
        <v>2.6617601217729901E-3</v>
      </c>
      <c r="D18494" s="1">
        <v>7.0837702435045998E-3</v>
      </c>
      <c r="E18494" s="1">
        <v>1.0603891628227501E-4</v>
      </c>
      <c r="F18494" s="1">
        <v>2.9164642593691999E-3</v>
      </c>
    </row>
    <row r="18495" spans="1:6" x14ac:dyDescent="0.25">
      <c r="A18495" s="2" t="str">
        <f t="shared" si="662"/>
        <v>35840</v>
      </c>
      <c r="B18495" s="2" t="str">
        <f>"34295"</f>
        <v>34295</v>
      </c>
      <c r="C18495" s="1">
        <v>2.9248999056745001E-3</v>
      </c>
      <c r="D18495" s="1">
        <v>7.4566002563206304E-3</v>
      </c>
      <c r="E18495" s="1">
        <v>1.0603891628227501E-4</v>
      </c>
      <c r="F18495" s="1">
        <v>3.1791439520699499E-3</v>
      </c>
    </row>
    <row r="18496" spans="1:6" x14ac:dyDescent="0.25">
      <c r="A18496" s="2" t="str">
        <f t="shared" si="662"/>
        <v>35840</v>
      </c>
      <c r="B18496" s="2" t="str">
        <f>"34289"</f>
        <v>34289</v>
      </c>
      <c r="C18496" s="1">
        <v>4.6373326532181897E-3</v>
      </c>
      <c r="D18496" s="1">
        <v>7.5498077595246398E-3</v>
      </c>
      <c r="E18496" s="1">
        <v>7.3697046816181503E-3</v>
      </c>
      <c r="F18496" s="1">
        <v>4.9549306417660697E-3</v>
      </c>
    </row>
    <row r="18497" spans="1:6" x14ac:dyDescent="0.25">
      <c r="A18497" s="2" t="str">
        <f t="shared" si="662"/>
        <v>35840</v>
      </c>
      <c r="B18497" s="2" t="str">
        <f>"34286"</f>
        <v>34286</v>
      </c>
      <c r="C18497" s="1">
        <v>1.70049024965893E-2</v>
      </c>
      <c r="D18497" s="1">
        <v>1.3981125480601101E-3</v>
      </c>
      <c r="E18497" s="1">
        <v>3.7113620698796398E-4</v>
      </c>
      <c r="F18497" s="1">
        <v>1.5235422176643001E-2</v>
      </c>
    </row>
    <row r="18498" spans="1:6" x14ac:dyDescent="0.25">
      <c r="A18498" s="2" t="str">
        <f t="shared" si="662"/>
        <v>35840</v>
      </c>
      <c r="B18498" s="2" t="str">
        <f>"34249"</f>
        <v>34249</v>
      </c>
      <c r="C18498" s="1">
        <v>0</v>
      </c>
      <c r="D18498" s="1">
        <v>2.7962250961202298E-4</v>
      </c>
      <c r="E18498" s="1">
        <v>2.1207783256455099E-4</v>
      </c>
      <c r="F18498" s="1">
        <v>2.8786815638437499E-5</v>
      </c>
    </row>
    <row r="18499" spans="1:6" x14ac:dyDescent="0.25">
      <c r="A18499" s="2" t="str">
        <f t="shared" si="662"/>
        <v>35840</v>
      </c>
      <c r="B18499" s="2" t="str">
        <f>"34276"</f>
        <v>34276</v>
      </c>
      <c r="C18499" s="1">
        <v>5.6069015492860802E-3</v>
      </c>
      <c r="D18499" s="1">
        <v>1.41442386112082E-2</v>
      </c>
      <c r="E18499" s="1">
        <v>1.0603891628227501E-4</v>
      </c>
      <c r="F18499" s="1">
        <v>6.0794156276425303E-3</v>
      </c>
    </row>
    <row r="18500" spans="1:6" x14ac:dyDescent="0.25">
      <c r="A18500" s="2" t="str">
        <f t="shared" si="662"/>
        <v>35840</v>
      </c>
      <c r="B18500" s="2" t="str">
        <f>"34208"</f>
        <v>34208</v>
      </c>
      <c r="C18500" s="1">
        <v>3.4141374885129298E-2</v>
      </c>
      <c r="D18500" s="1">
        <v>2.9989514155889501E-2</v>
      </c>
      <c r="E18500" s="1">
        <v>4.65510842479189E-2</v>
      </c>
      <c r="F18500" s="1">
        <v>3.4241917201921497E-2</v>
      </c>
    </row>
    <row r="18501" spans="1:6" x14ac:dyDescent="0.25">
      <c r="A18501" s="2" t="str">
        <f t="shared" si="662"/>
        <v>35840</v>
      </c>
      <c r="B18501" s="2" t="str">
        <f>"34228"</f>
        <v>34228</v>
      </c>
      <c r="C18501" s="1">
        <v>2.3081407352530298E-2</v>
      </c>
      <c r="D18501" s="1">
        <v>1.08819759990679E-2</v>
      </c>
      <c r="E18501" s="1">
        <v>4.1143099517522902E-2</v>
      </c>
      <c r="F18501" s="1">
        <v>2.27523794102301E-2</v>
      </c>
    </row>
    <row r="18502" spans="1:6" x14ac:dyDescent="0.25">
      <c r="A18502" s="2" t="str">
        <f t="shared" si="662"/>
        <v>35840</v>
      </c>
      <c r="B18502" s="2" t="str">
        <f>"34235"</f>
        <v>34235</v>
      </c>
      <c r="C18502" s="1">
        <v>1.7454264281405701E-2</v>
      </c>
      <c r="D18502" s="1">
        <v>3.9846207619713301E-3</v>
      </c>
      <c r="E18502" s="1">
        <v>7.5817825141827003E-3</v>
      </c>
      <c r="F18502" s="1">
        <v>1.6079235710044701E-2</v>
      </c>
    </row>
    <row r="18503" spans="1:6" x14ac:dyDescent="0.25">
      <c r="A18503" s="2" t="str">
        <f t="shared" si="662"/>
        <v>35840</v>
      </c>
      <c r="B18503" s="2" t="str">
        <f>"34219"</f>
        <v>34219</v>
      </c>
      <c r="C18503" s="1">
        <v>2.49355307529441E-2</v>
      </c>
      <c r="D18503" s="1">
        <v>5.2429220552254402E-3</v>
      </c>
      <c r="E18503" s="1">
        <v>2.9690896559037101E-3</v>
      </c>
      <c r="F18503" s="1">
        <v>2.2669617315269602E-2</v>
      </c>
    </row>
    <row r="18504" spans="1:6" x14ac:dyDescent="0.25">
      <c r="A18504" s="2" t="str">
        <f t="shared" si="662"/>
        <v>35840</v>
      </c>
      <c r="B18504" s="2" t="str">
        <f>"34287"</f>
        <v>34287</v>
      </c>
      <c r="C18504" s="1">
        <v>3.0275244213960901E-2</v>
      </c>
      <c r="D18504" s="1">
        <v>1.51462192706512E-2</v>
      </c>
      <c r="E18504" s="1">
        <v>1.7920576851704499E-2</v>
      </c>
      <c r="F18504" s="1">
        <v>2.86878609596804E-2</v>
      </c>
    </row>
    <row r="18505" spans="1:6" x14ac:dyDescent="0.25">
      <c r="A18505" s="2" t="str">
        <f t="shared" si="662"/>
        <v>35840</v>
      </c>
      <c r="B18505" s="2" t="str">
        <f>"34293"</f>
        <v>34293</v>
      </c>
      <c r="C18505" s="1">
        <v>5.2947772825352103E-2</v>
      </c>
      <c r="D18505" s="1">
        <v>1.6893859955726401E-2</v>
      </c>
      <c r="E18505" s="1">
        <v>2.5979534489157501E-2</v>
      </c>
      <c r="F18505" s="1">
        <v>4.9248844029434503E-2</v>
      </c>
    </row>
    <row r="18506" spans="1:6" x14ac:dyDescent="0.25">
      <c r="A18506" s="2" t="str">
        <f t="shared" si="662"/>
        <v>35840</v>
      </c>
      <c r="B18506" s="2" t="str">
        <f>"34280"</f>
        <v>34280</v>
      </c>
      <c r="C18506" s="1">
        <v>1.7711331608755601E-3</v>
      </c>
      <c r="D18506" s="1">
        <v>6.7342421064895703E-3</v>
      </c>
      <c r="E18506" s="1">
        <v>1.0603891628227501E-4</v>
      </c>
      <c r="F18506" s="1">
        <v>2.0978391896511301E-3</v>
      </c>
    </row>
    <row r="18507" spans="1:6" x14ac:dyDescent="0.25">
      <c r="A18507" s="2" t="str">
        <f t="shared" si="662"/>
        <v>35840</v>
      </c>
      <c r="B18507" s="2" t="str">
        <f>"34275"</f>
        <v>34275</v>
      </c>
      <c r="C18507" s="1">
        <v>2.59496309970568E-2</v>
      </c>
      <c r="D18507" s="1">
        <v>1.7313293720144399E-2</v>
      </c>
      <c r="E18507" s="1">
        <v>1.73903822702931E-2</v>
      </c>
      <c r="F18507" s="1">
        <v>2.4992353502095999E-2</v>
      </c>
    </row>
    <row r="18508" spans="1:6" x14ac:dyDescent="0.25">
      <c r="A18508" s="2" t="str">
        <f t="shared" si="662"/>
        <v>35840</v>
      </c>
      <c r="B18508" s="2" t="str">
        <f>"34202"</f>
        <v>34202</v>
      </c>
      <c r="C18508" s="1">
        <v>2.6463765651756701E-2</v>
      </c>
      <c r="D18508" s="1">
        <v>2.0365839450075699E-2</v>
      </c>
      <c r="E18508" s="1">
        <v>2.5926515031016301E-2</v>
      </c>
      <c r="F18508" s="1">
        <v>2.5974703585757701E-2</v>
      </c>
    </row>
    <row r="18509" spans="1:6" x14ac:dyDescent="0.25">
      <c r="A18509" s="2" t="str">
        <f t="shared" si="662"/>
        <v>35840</v>
      </c>
      <c r="B18509" s="2" t="str">
        <f>"34205"</f>
        <v>34205</v>
      </c>
      <c r="C18509" s="1">
        <v>3.5801179675892698E-2</v>
      </c>
      <c r="D18509" s="1">
        <v>4.5741582197366799E-2</v>
      </c>
      <c r="E18509" s="1">
        <v>5.4185886220242799E-2</v>
      </c>
      <c r="F18509" s="1">
        <v>3.7192565804861299E-2</v>
      </c>
    </row>
    <row r="18510" spans="1:6" x14ac:dyDescent="0.25">
      <c r="A18510" s="2" t="str">
        <f t="shared" si="662"/>
        <v>35840</v>
      </c>
      <c r="B18510" s="2" t="str">
        <f>"34222"</f>
        <v>34222</v>
      </c>
      <c r="C18510" s="1">
        <v>1.7678945173813899E-2</v>
      </c>
      <c r="D18510" s="1">
        <v>1.7616218105557399E-2</v>
      </c>
      <c r="E18510" s="1">
        <v>9.7555802979693504E-3</v>
      </c>
      <c r="F18510" s="1">
        <v>1.7405228405390299E-2</v>
      </c>
    </row>
    <row r="18511" spans="1:6" x14ac:dyDescent="0.25">
      <c r="A18511" s="2" t="str">
        <f t="shared" si="662"/>
        <v>35840</v>
      </c>
      <c r="B18511" s="2" t="str">
        <f>"34237"</f>
        <v>34237</v>
      </c>
      <c r="C18511" s="1">
        <v>1.6840946169696801E-2</v>
      </c>
      <c r="D18511" s="1">
        <v>3.0222532913899501E-2</v>
      </c>
      <c r="E18511" s="1">
        <v>4.31578389268861E-2</v>
      </c>
      <c r="F18511" s="1">
        <v>1.87672046202839E-2</v>
      </c>
    </row>
    <row r="18512" spans="1:6" x14ac:dyDescent="0.25">
      <c r="A18512" s="2" t="str">
        <f t="shared" si="662"/>
        <v>35840</v>
      </c>
      <c r="B18512" s="2" t="str">
        <f>"34231"</f>
        <v>34231</v>
      </c>
      <c r="C18512" s="1">
        <v>3.9693624325451198E-2</v>
      </c>
      <c r="D18512" s="1">
        <v>4.3877432133286702E-2</v>
      </c>
      <c r="E18512" s="1">
        <v>4.7717512327024002E-2</v>
      </c>
      <c r="F18512" s="1">
        <v>4.0288947661970803E-2</v>
      </c>
    </row>
    <row r="18513" spans="1:6" x14ac:dyDescent="0.25">
      <c r="A18513" s="2" t="str">
        <f t="shared" si="662"/>
        <v>35840</v>
      </c>
      <c r="B18513" s="2" t="str">
        <f>"34215"</f>
        <v>34215</v>
      </c>
      <c r="C18513" s="1">
        <v>2.6192529259119802E-3</v>
      </c>
      <c r="D18513" s="1">
        <v>2.1204706978911799E-3</v>
      </c>
      <c r="E18513" s="1">
        <v>1.9087004930809599E-3</v>
      </c>
      <c r="F18513" s="1">
        <v>2.5566290638887302E-3</v>
      </c>
    </row>
    <row r="18514" spans="1:6" x14ac:dyDescent="0.25">
      <c r="A18514" s="2" t="str">
        <f t="shared" si="662"/>
        <v>35840</v>
      </c>
      <c r="B18514" s="2" t="str">
        <f>"33598"</f>
        <v>33598</v>
      </c>
      <c r="C18514" s="1">
        <v>1.6598047907633799E-4</v>
      </c>
      <c r="D18514" s="1">
        <v>2.33018758010019E-5</v>
      </c>
      <c r="E18514" s="1">
        <v>0</v>
      </c>
      <c r="F18514" s="1">
        <v>1.49331606124395E-4</v>
      </c>
    </row>
    <row r="18515" spans="1:6" x14ac:dyDescent="0.25">
      <c r="A18515" s="2" t="str">
        <f t="shared" si="662"/>
        <v>35840</v>
      </c>
      <c r="B18515" s="2" t="str">
        <f>"34272"</f>
        <v>34272</v>
      </c>
      <c r="C18515" s="1">
        <v>1.0323176137674701E-3</v>
      </c>
      <c r="D18515" s="1">
        <v>1.11849003844809E-3</v>
      </c>
      <c r="E18515" s="1">
        <v>1.5905837442341299E-4</v>
      </c>
      <c r="F18515" s="1">
        <v>1.00933772332271E-3</v>
      </c>
    </row>
    <row r="18516" spans="1:6" x14ac:dyDescent="0.25">
      <c r="A18516" s="2" t="str">
        <f t="shared" si="662"/>
        <v>35840</v>
      </c>
      <c r="B18516" s="2" t="str">
        <f>"34270"</f>
        <v>34270</v>
      </c>
      <c r="C18516" s="1">
        <v>2.3540889898266098E-3</v>
      </c>
      <c r="D18516" s="1">
        <v>4.9632995456134199E-3</v>
      </c>
      <c r="E18516" s="1">
        <v>1.5905837442341299E-4</v>
      </c>
      <c r="F18516" s="1">
        <v>2.4810636728378401E-3</v>
      </c>
    </row>
    <row r="18517" spans="1:6" x14ac:dyDescent="0.25">
      <c r="A18517" s="2" t="str">
        <f t="shared" si="662"/>
        <v>35840</v>
      </c>
      <c r="B18517" s="2" t="str">
        <f>"34277"</f>
        <v>34277</v>
      </c>
      <c r="C18517" s="1">
        <v>2.8581028836071999E-3</v>
      </c>
      <c r="D18517" s="1">
        <v>1.1674239776301901E-2</v>
      </c>
      <c r="E18517" s="1">
        <v>1.0603891628227501E-4</v>
      </c>
      <c r="F18517" s="1">
        <v>3.4454219967254901E-3</v>
      </c>
    </row>
    <row r="18518" spans="1:6" x14ac:dyDescent="0.25">
      <c r="A18518" s="2" t="str">
        <f t="shared" si="662"/>
        <v>35840</v>
      </c>
      <c r="B18518" s="2" t="str">
        <f>"34251"</f>
        <v>34251</v>
      </c>
      <c r="C18518" s="1">
        <v>5.4773558095191797E-3</v>
      </c>
      <c r="D18518" s="1">
        <v>1.30490504485611E-3</v>
      </c>
      <c r="E18518" s="1">
        <v>2.6509729070568798E-4</v>
      </c>
      <c r="F18518" s="1">
        <v>4.9783199294722996E-3</v>
      </c>
    </row>
    <row r="18519" spans="1:6" x14ac:dyDescent="0.25">
      <c r="A18519" s="2" t="str">
        <f t="shared" si="662"/>
        <v>35840</v>
      </c>
      <c r="B18519" s="2" t="str">
        <f>"34285"</f>
        <v>34285</v>
      </c>
      <c r="C18519" s="1">
        <v>3.2663743790913101E-2</v>
      </c>
      <c r="D18519" s="1">
        <v>5.1427239892811297E-2</v>
      </c>
      <c r="E18519" s="1">
        <v>5.2012088436456098E-2</v>
      </c>
      <c r="F18519" s="1">
        <v>3.4769075763300399E-2</v>
      </c>
    </row>
    <row r="18520" spans="1:6" x14ac:dyDescent="0.25">
      <c r="A18520" s="2" t="str">
        <f t="shared" ref="A18520:A18550" si="663">"35840"</f>
        <v>35840</v>
      </c>
      <c r="B18520" s="2" t="str">
        <f>"34240"</f>
        <v>34240</v>
      </c>
      <c r="C18520" s="1">
        <v>1.3361428565645201E-2</v>
      </c>
      <c r="D18520" s="1">
        <v>3.9869509495514301E-2</v>
      </c>
      <c r="E18520" s="1">
        <v>1.4262234239966001E-2</v>
      </c>
      <c r="F18520" s="1">
        <v>1.54387290620895E-2</v>
      </c>
    </row>
    <row r="18521" spans="1:6" x14ac:dyDescent="0.25">
      <c r="A18521" s="2" t="str">
        <f t="shared" si="663"/>
        <v>35840</v>
      </c>
      <c r="B18521" s="2" t="str">
        <f>"34243"</f>
        <v>34243</v>
      </c>
      <c r="C18521" s="1">
        <v>3.2629333203787497E-2</v>
      </c>
      <c r="D18521" s="1">
        <v>5.6180822556215697E-2</v>
      </c>
      <c r="E18521" s="1">
        <v>4.7187317745612599E-2</v>
      </c>
      <c r="F18521" s="1">
        <v>3.4941796657131E-2</v>
      </c>
    </row>
    <row r="18522" spans="1:6" x14ac:dyDescent="0.25">
      <c r="A18522" s="2" t="str">
        <f t="shared" si="663"/>
        <v>35840</v>
      </c>
      <c r="B18522" s="2" t="str">
        <f>"34236"</f>
        <v>34236</v>
      </c>
      <c r="C18522" s="1">
        <v>2.4352574923992999E-2</v>
      </c>
      <c r="D18522" s="1">
        <v>6.69695910520796E-2</v>
      </c>
      <c r="E18522" s="1">
        <v>7.9635226127988901E-2</v>
      </c>
      <c r="F18522" s="1">
        <v>2.95190802612403E-2</v>
      </c>
    </row>
    <row r="18523" spans="1:6" x14ac:dyDescent="0.25">
      <c r="A18523" s="2" t="str">
        <f t="shared" si="663"/>
        <v>35840</v>
      </c>
      <c r="B18523" s="2" t="str">
        <f>"34212"</f>
        <v>34212</v>
      </c>
      <c r="C18523" s="1">
        <v>2.1976220260144001E-2</v>
      </c>
      <c r="D18523" s="1">
        <v>2.84282884772224E-3</v>
      </c>
      <c r="E18523" s="1">
        <v>2.40178145379354E-2</v>
      </c>
      <c r="F18523" s="1">
        <v>2.0568179773663601E-2</v>
      </c>
    </row>
    <row r="18524" spans="1:6" x14ac:dyDescent="0.25">
      <c r="A18524" s="2" t="str">
        <f t="shared" si="663"/>
        <v>35840</v>
      </c>
      <c r="B18524" s="2" t="str">
        <f>"34291"</f>
        <v>34291</v>
      </c>
      <c r="C18524" s="1">
        <v>6.3963209009906203E-3</v>
      </c>
      <c r="D18524" s="1">
        <v>3.72830012816031E-4</v>
      </c>
      <c r="E18524" s="1">
        <v>1.0603891628227501E-4</v>
      </c>
      <c r="F18524" s="1">
        <v>5.7177812561846602E-3</v>
      </c>
    </row>
    <row r="18525" spans="1:6" x14ac:dyDescent="0.25">
      <c r="A18525" s="2" t="str">
        <f t="shared" si="663"/>
        <v>35840</v>
      </c>
      <c r="B18525" s="2" t="str">
        <f>"34288"</f>
        <v>34288</v>
      </c>
      <c r="C18525" s="1">
        <v>1.1507305165231499E-2</v>
      </c>
      <c r="D18525" s="1">
        <v>4.03122451357334E-3</v>
      </c>
      <c r="E18525" s="1">
        <v>4.4006150257144298E-3</v>
      </c>
      <c r="F18525" s="1">
        <v>1.0688904481747301E-2</v>
      </c>
    </row>
    <row r="18526" spans="1:6" x14ac:dyDescent="0.25">
      <c r="A18526" s="2" t="str">
        <f t="shared" si="663"/>
        <v>35840</v>
      </c>
      <c r="B18526" s="2" t="str">
        <f>"34264"</f>
        <v>34264</v>
      </c>
      <c r="C18526" s="1">
        <v>4.35597549966196E-3</v>
      </c>
      <c r="D18526" s="1">
        <v>3.7049982523593098E-3</v>
      </c>
      <c r="E18526" s="1">
        <v>1.5905837442341299E-4</v>
      </c>
      <c r="F18526" s="1">
        <v>4.1632932117090298E-3</v>
      </c>
    </row>
    <row r="18527" spans="1:6" x14ac:dyDescent="0.25">
      <c r="A18527" s="2" t="str">
        <f t="shared" si="663"/>
        <v>35840</v>
      </c>
      <c r="B18527" s="2" t="str">
        <f>"34207"</f>
        <v>34207</v>
      </c>
      <c r="C18527" s="1">
        <v>3.6390207961395298E-2</v>
      </c>
      <c r="D18527" s="1">
        <v>2.7962250961202299E-2</v>
      </c>
      <c r="E18527" s="1">
        <v>2.4494989661205599E-2</v>
      </c>
      <c r="F18527" s="1">
        <v>3.5335816196182097E-2</v>
      </c>
    </row>
    <row r="18528" spans="1:6" x14ac:dyDescent="0.25">
      <c r="A18528" s="2" t="str">
        <f t="shared" si="663"/>
        <v>35840</v>
      </c>
      <c r="B18528" s="2" t="str">
        <f>"34230"</f>
        <v>34230</v>
      </c>
      <c r="C18528" s="1">
        <v>7.1695470352242897E-3</v>
      </c>
      <c r="D18528" s="1">
        <v>1.9596877548642599E-2</v>
      </c>
      <c r="E18528" s="1">
        <v>1.0603891628227501E-4</v>
      </c>
      <c r="F18528" s="1">
        <v>7.8893866609092995E-3</v>
      </c>
    </row>
    <row r="18529" spans="1:6" x14ac:dyDescent="0.25">
      <c r="A18529" s="2" t="str">
        <f t="shared" si="663"/>
        <v>35840</v>
      </c>
      <c r="B18529" s="2" t="str">
        <f>"34223"</f>
        <v>34223</v>
      </c>
      <c r="C18529" s="1">
        <v>2.26826493723104E-2</v>
      </c>
      <c r="D18529" s="1">
        <v>1.5915181172084299E-2</v>
      </c>
      <c r="E18529" s="1">
        <v>2.6244631779863199E-2</v>
      </c>
      <c r="F18529" s="1">
        <v>2.2280995304150598E-2</v>
      </c>
    </row>
    <row r="18530" spans="1:6" x14ac:dyDescent="0.25">
      <c r="A18530" s="2" t="str">
        <f t="shared" si="663"/>
        <v>35840</v>
      </c>
      <c r="B18530" s="2" t="str">
        <f>"34234"</f>
        <v>34234</v>
      </c>
      <c r="C18530" s="1">
        <v>2.1393264431192899E-2</v>
      </c>
      <c r="D18530" s="1">
        <v>3.0408947920307499E-2</v>
      </c>
      <c r="E18530" s="1">
        <v>1.9617199512220899E-2</v>
      </c>
      <c r="F18530" s="1">
        <v>2.2029110667314299E-2</v>
      </c>
    </row>
    <row r="18531" spans="1:6" x14ac:dyDescent="0.25">
      <c r="A18531" s="2" t="str">
        <f t="shared" si="663"/>
        <v>35840</v>
      </c>
      <c r="B18531" s="2" t="str">
        <f>"34221"</f>
        <v>34221</v>
      </c>
      <c r="C18531" s="1">
        <v>4.7691049603873402E-2</v>
      </c>
      <c r="D18531" s="1">
        <v>3.6607246883374099E-2</v>
      </c>
      <c r="E18531" s="1">
        <v>4.7982609617729703E-2</v>
      </c>
      <c r="F18531" s="1">
        <v>4.6845144923624897E-2</v>
      </c>
    </row>
    <row r="18532" spans="1:6" x14ac:dyDescent="0.25">
      <c r="A18532" s="2" t="str">
        <f t="shared" si="663"/>
        <v>35840</v>
      </c>
      <c r="B18532" s="2" t="str">
        <f>"34290"</f>
        <v>34290</v>
      </c>
      <c r="C18532" s="1">
        <v>2.1091665755798099E-3</v>
      </c>
      <c r="D18532" s="1">
        <v>4.3341488989863597E-3</v>
      </c>
      <c r="E18532" s="1">
        <v>1.0603891628227501E-4</v>
      </c>
      <c r="F18532" s="1">
        <v>2.21298645220489E-3</v>
      </c>
    </row>
    <row r="18533" spans="1:6" x14ac:dyDescent="0.25">
      <c r="A18533" s="2" t="str">
        <f t="shared" si="663"/>
        <v>35840</v>
      </c>
      <c r="B18533" s="2" t="str">
        <f>"34282"</f>
        <v>34282</v>
      </c>
      <c r="C18533" s="1">
        <v>1.41893068088431E-3</v>
      </c>
      <c r="D18533" s="1">
        <v>4.0079226377723398E-3</v>
      </c>
      <c r="E18533" s="1">
        <v>1.0603891628227501E-4</v>
      </c>
      <c r="F18533" s="1">
        <v>1.5742789802270501E-3</v>
      </c>
    </row>
    <row r="18534" spans="1:6" x14ac:dyDescent="0.25">
      <c r="A18534" s="2" t="str">
        <f t="shared" si="663"/>
        <v>35840</v>
      </c>
      <c r="B18534" s="2" t="str">
        <f>"34266"</f>
        <v>34266</v>
      </c>
      <c r="C18534" s="1">
        <v>4.8579652412586903E-5</v>
      </c>
      <c r="D18534" s="1">
        <v>4.6603751602003902E-5</v>
      </c>
      <c r="E18534" s="1">
        <v>5.30194581411377E-5</v>
      </c>
      <c r="F18534" s="1">
        <v>4.8577751389863401E-5</v>
      </c>
    </row>
    <row r="18535" spans="1:6" x14ac:dyDescent="0.25">
      <c r="A18535" s="2" t="str">
        <f t="shared" si="663"/>
        <v>35840</v>
      </c>
      <c r="B18535" s="2" t="str">
        <f>"34284"</f>
        <v>34284</v>
      </c>
      <c r="C18535" s="1">
        <v>2.5605525125801001E-3</v>
      </c>
      <c r="D18535" s="1">
        <v>8.0158452755446797E-3</v>
      </c>
      <c r="E18535" s="1">
        <v>1.0603891628227501E-4</v>
      </c>
      <c r="F18535" s="1">
        <v>2.8984724995951799E-3</v>
      </c>
    </row>
    <row r="18536" spans="1:6" x14ac:dyDescent="0.25">
      <c r="A18536" s="2" t="str">
        <f t="shared" si="663"/>
        <v>35840</v>
      </c>
      <c r="B18536" s="2" t="str">
        <f>"34209"</f>
        <v>34209</v>
      </c>
      <c r="C18536" s="1">
        <v>3.8440674123643298E-2</v>
      </c>
      <c r="D18536" s="1">
        <v>1.77094256087615E-2</v>
      </c>
      <c r="E18536" s="1">
        <v>3.4833783998727497E-2</v>
      </c>
      <c r="F18536" s="1">
        <v>3.67175833468271E-2</v>
      </c>
    </row>
    <row r="18537" spans="1:6" x14ac:dyDescent="0.25">
      <c r="A18537" s="2" t="str">
        <f t="shared" si="663"/>
        <v>35840</v>
      </c>
      <c r="B18537" s="2" t="str">
        <f>"34239"</f>
        <v>34239</v>
      </c>
      <c r="C18537" s="1">
        <v>1.6901670735212499E-2</v>
      </c>
      <c r="D18537" s="1">
        <v>3.21099848537807E-2</v>
      </c>
      <c r="E18537" s="1">
        <v>2.1631938921584201E-2</v>
      </c>
      <c r="F18537" s="1">
        <v>1.8236447706950199E-2</v>
      </c>
    </row>
    <row r="18538" spans="1:6" x14ac:dyDescent="0.25">
      <c r="A18538" s="2" t="str">
        <f t="shared" si="663"/>
        <v>35840</v>
      </c>
      <c r="B18538" s="2" t="str">
        <f>"34238"</f>
        <v>34238</v>
      </c>
      <c r="C18538" s="1">
        <v>2.96437087325973E-2</v>
      </c>
      <c r="D18538" s="1">
        <v>1.9224047535826599E-2</v>
      </c>
      <c r="E18538" s="1">
        <v>2.5979534489157501E-2</v>
      </c>
      <c r="F18538" s="1">
        <v>2.8714848599341501E-2</v>
      </c>
    </row>
    <row r="18539" spans="1:6" x14ac:dyDescent="0.25">
      <c r="A18539" s="2" t="str">
        <f t="shared" si="663"/>
        <v>35840</v>
      </c>
      <c r="B18539" s="2" t="str">
        <f>"34224"</f>
        <v>34224</v>
      </c>
      <c r="C18539" s="1">
        <v>5.0603804596444703E-5</v>
      </c>
      <c r="D18539" s="1">
        <v>0</v>
      </c>
      <c r="E18539" s="1">
        <v>0</v>
      </c>
      <c r="F18539" s="1">
        <v>4.4979399435058703E-5</v>
      </c>
    </row>
    <row r="18540" spans="1:6" x14ac:dyDescent="0.25">
      <c r="A18540" s="2" t="str">
        <f t="shared" si="663"/>
        <v>35840</v>
      </c>
      <c r="B18540" s="2" t="str">
        <f>"34232"</f>
        <v>34232</v>
      </c>
      <c r="C18540" s="1">
        <v>3.8572244015593997E-2</v>
      </c>
      <c r="D18540" s="1">
        <v>3.8191774437842198E-2</v>
      </c>
      <c r="E18540" s="1">
        <v>3.5894173161550198E-2</v>
      </c>
      <c r="F18540" s="1">
        <v>3.8451988989043E-2</v>
      </c>
    </row>
    <row r="18541" spans="1:6" x14ac:dyDescent="0.25">
      <c r="A18541" s="2" t="str">
        <f t="shared" si="663"/>
        <v>35840</v>
      </c>
      <c r="B18541" s="2" t="str">
        <f>"34217"</f>
        <v>34217</v>
      </c>
      <c r="C18541" s="1">
        <v>1.2337207560613199E-2</v>
      </c>
      <c r="D18541" s="1">
        <v>9.06442968658977E-3</v>
      </c>
      <c r="E18541" s="1">
        <v>2.2851386458830301E-2</v>
      </c>
      <c r="F18541" s="1">
        <v>1.24413018837372E-2</v>
      </c>
    </row>
    <row r="18542" spans="1:6" x14ac:dyDescent="0.25">
      <c r="A18542" s="2" t="str">
        <f t="shared" si="663"/>
        <v>35840</v>
      </c>
      <c r="B18542" s="2" t="str">
        <f>"34216"</f>
        <v>34216</v>
      </c>
      <c r="C18542" s="1">
        <v>4.0402077589801501E-3</v>
      </c>
      <c r="D18542" s="1">
        <v>3.3088663637422799E-3</v>
      </c>
      <c r="E18542" s="1">
        <v>1.5905837442341299E-4</v>
      </c>
      <c r="F18542" s="1">
        <v>3.8520357676184299E-3</v>
      </c>
    </row>
    <row r="18543" spans="1:6" x14ac:dyDescent="0.25">
      <c r="A18543" s="2" t="str">
        <f t="shared" si="663"/>
        <v>35840</v>
      </c>
      <c r="B18543" s="2" t="str">
        <f>"34292"</f>
        <v>34292</v>
      </c>
      <c r="C18543" s="1">
        <v>2.16989114109555E-2</v>
      </c>
      <c r="D18543" s="1">
        <v>1.48665967610392E-2</v>
      </c>
      <c r="E18543" s="1">
        <v>2.4070833996076499E-2</v>
      </c>
      <c r="F18543" s="1">
        <v>2.12518666450765E-2</v>
      </c>
    </row>
    <row r="18544" spans="1:6" x14ac:dyDescent="0.25">
      <c r="A18544" s="2" t="str">
        <f t="shared" si="663"/>
        <v>35840</v>
      </c>
      <c r="B18544" s="2" t="str">
        <f>"34204"</f>
        <v>34204</v>
      </c>
      <c r="C18544" s="1">
        <v>1.43309974617131E-3</v>
      </c>
      <c r="D18544" s="1">
        <v>8.2488640335547005E-3</v>
      </c>
      <c r="E18544" s="1">
        <v>1.0603891628227501E-4</v>
      </c>
      <c r="F18544" s="1">
        <v>1.9143232399561E-3</v>
      </c>
    </row>
    <row r="18545" spans="1:6" x14ac:dyDescent="0.25">
      <c r="A18545" s="2" t="str">
        <f t="shared" si="663"/>
        <v>35840</v>
      </c>
      <c r="B18545" s="2" t="str">
        <f>"34229"</f>
        <v>34229</v>
      </c>
      <c r="C18545" s="1">
        <v>1.0837310792374599E-2</v>
      </c>
      <c r="D18545" s="1">
        <v>1.4353955493417199E-2</v>
      </c>
      <c r="E18545" s="1">
        <v>3.8174009861619198E-3</v>
      </c>
      <c r="F18545" s="1">
        <v>1.08706212554649E-2</v>
      </c>
    </row>
    <row r="18546" spans="1:6" x14ac:dyDescent="0.25">
      <c r="A18546" s="2" t="str">
        <f t="shared" si="663"/>
        <v>35840</v>
      </c>
      <c r="B18546" s="2" t="str">
        <f>"34210"</f>
        <v>34210</v>
      </c>
      <c r="C18546" s="1">
        <v>2.23628333272608E-2</v>
      </c>
      <c r="D18546" s="1">
        <v>1.7033671210532401E-2</v>
      </c>
      <c r="E18546" s="1">
        <v>3.04861884311542E-2</v>
      </c>
      <c r="F18546" s="1">
        <v>2.2227020024828601E-2</v>
      </c>
    </row>
    <row r="18547" spans="1:6" x14ac:dyDescent="0.25">
      <c r="A18547" s="2" t="str">
        <f t="shared" si="663"/>
        <v>35840</v>
      </c>
      <c r="B18547" s="2" t="str">
        <f>"34250"</f>
        <v>34250</v>
      </c>
      <c r="C18547" s="1">
        <v>0</v>
      </c>
      <c r="D18547" s="1">
        <v>0</v>
      </c>
      <c r="E18547" s="1">
        <v>1.0603891628227501E-4</v>
      </c>
      <c r="F18547" s="1">
        <v>3.5983519548046899E-6</v>
      </c>
    </row>
    <row r="18548" spans="1:6" x14ac:dyDescent="0.25">
      <c r="A18548" s="2" t="str">
        <f t="shared" si="663"/>
        <v>35840</v>
      </c>
      <c r="B18548" s="2" t="str">
        <f>"34203"</f>
        <v>34203</v>
      </c>
      <c r="C18548" s="1">
        <v>3.7633037402283999E-2</v>
      </c>
      <c r="D18548" s="1">
        <v>3.6374228125363998E-2</v>
      </c>
      <c r="E18548" s="1">
        <v>2.9743916017178299E-2</v>
      </c>
      <c r="F18548" s="1">
        <v>3.7268131195912199E-2</v>
      </c>
    </row>
    <row r="18549" spans="1:6" x14ac:dyDescent="0.25">
      <c r="A18549" s="2" t="str">
        <f t="shared" si="663"/>
        <v>35840</v>
      </c>
      <c r="B18549" s="2" t="str">
        <f>"34201"</f>
        <v>34201</v>
      </c>
      <c r="C18549" s="1">
        <v>4.8417720237878296E-3</v>
      </c>
      <c r="D18549" s="1">
        <v>8.6216940463707294E-3</v>
      </c>
      <c r="E18549" s="1">
        <v>2.8100312814803002E-3</v>
      </c>
      <c r="F18549" s="1">
        <v>5.0646803763876097E-3</v>
      </c>
    </row>
    <row r="18550" spans="1:6" x14ac:dyDescent="0.25">
      <c r="A18550" s="2" t="str">
        <f t="shared" si="663"/>
        <v>35840</v>
      </c>
      <c r="B18550" s="2" t="str">
        <f>"34211"</f>
        <v>34211</v>
      </c>
      <c r="C18550" s="1">
        <v>1.87679390487294E-2</v>
      </c>
      <c r="D18550" s="1">
        <v>2.2626121402772901E-2</v>
      </c>
      <c r="E18550" s="1">
        <v>1.7284343354010901E-2</v>
      </c>
      <c r="F18550" s="1">
        <v>1.90154909051654E-2</v>
      </c>
    </row>
    <row r="18551" spans="1:6" x14ac:dyDescent="0.25">
      <c r="A18551" s="2" t="str">
        <f>"36380"</f>
        <v>36380</v>
      </c>
      <c r="B18551" s="2" t="str">
        <f>"34974"</f>
        <v>34974</v>
      </c>
      <c r="C18551" s="1">
        <v>0.52483021049082401</v>
      </c>
      <c r="D18551" s="1">
        <v>0.34184977005620798</v>
      </c>
      <c r="E18551" s="1">
        <v>0.52061855670102997</v>
      </c>
      <c r="F18551" s="1">
        <v>0.50926166363714997</v>
      </c>
    </row>
    <row r="18552" spans="1:6" x14ac:dyDescent="0.25">
      <c r="A18552" s="2" t="str">
        <f>"36380"</f>
        <v>36380</v>
      </c>
      <c r="B18552" s="2" t="str">
        <f>"34973"</f>
        <v>34973</v>
      </c>
      <c r="C18552" s="1">
        <v>0.118732238331486</v>
      </c>
      <c r="D18552" s="1">
        <v>0.17884517118037799</v>
      </c>
      <c r="E18552" s="1">
        <v>5.1546391752577301E-3</v>
      </c>
      <c r="F18552" s="1">
        <v>0.121916385354453</v>
      </c>
    </row>
    <row r="18553" spans="1:6" x14ac:dyDescent="0.25">
      <c r="A18553" s="2" t="str">
        <f>"36380"</f>
        <v>36380</v>
      </c>
      <c r="B18553" s="2" t="str">
        <f>"34972"</f>
        <v>34972</v>
      </c>
      <c r="C18553" s="1">
        <v>0.35643755117768799</v>
      </c>
      <c r="D18553" s="1">
        <v>0.47930505876341301</v>
      </c>
      <c r="E18553" s="1">
        <v>0.47422680412371099</v>
      </c>
      <c r="F18553" s="1">
        <v>0.36882195100839599</v>
      </c>
    </row>
    <row r="18554" spans="1:6" x14ac:dyDescent="0.25">
      <c r="A18554" s="2" t="str">
        <f t="shared" ref="A18554:A18593" si="664">"46180"</f>
        <v>46180</v>
      </c>
      <c r="B18554" s="2" t="str">
        <f>"38802"</f>
        <v>38802</v>
      </c>
      <c r="C18554" s="1">
        <v>1.15190784737221E-2</v>
      </c>
      <c r="D18554" s="1">
        <v>6.3868392403532107E-2</v>
      </c>
      <c r="E18554" s="1">
        <v>1.57853196527229E-3</v>
      </c>
      <c r="F18554" s="1">
        <v>1.5976576175169399E-2</v>
      </c>
    </row>
    <row r="18555" spans="1:6" x14ac:dyDescent="0.25">
      <c r="A18555" s="2" t="str">
        <f t="shared" si="664"/>
        <v>46180</v>
      </c>
      <c r="B18555" s="2" t="str">
        <f>"38801"</f>
        <v>38801</v>
      </c>
      <c r="C18555" s="1">
        <v>0.16062977256901401</v>
      </c>
      <c r="D18555" s="1">
        <v>0.233821216886415</v>
      </c>
      <c r="E18555" s="1">
        <v>0.25808997632202002</v>
      </c>
      <c r="F18555" s="1">
        <v>0.168358740969415</v>
      </c>
    </row>
    <row r="18556" spans="1:6" x14ac:dyDescent="0.25">
      <c r="A18556" s="2" t="str">
        <f t="shared" si="664"/>
        <v>46180</v>
      </c>
      <c r="B18556" s="2" t="str">
        <f>"38869"</f>
        <v>38869</v>
      </c>
      <c r="C18556" s="1">
        <v>0</v>
      </c>
      <c r="D18556" s="1">
        <v>1.2096286440062899E-4</v>
      </c>
      <c r="E18556" s="1">
        <v>0</v>
      </c>
      <c r="F18556" s="1">
        <v>1.0608616318173601E-5</v>
      </c>
    </row>
    <row r="18557" spans="1:6" x14ac:dyDescent="0.25">
      <c r="A18557" s="2" t="str">
        <f t="shared" si="664"/>
        <v>46180</v>
      </c>
      <c r="B18557" s="2" t="str">
        <f>"38803"</f>
        <v>38803</v>
      </c>
      <c r="C18557" s="1">
        <v>1.5331232517792E-2</v>
      </c>
      <c r="D18557" s="1">
        <v>5.2134994556671102E-2</v>
      </c>
      <c r="E18557" s="1">
        <v>1.57853196527229E-3</v>
      </c>
      <c r="F18557" s="1">
        <v>1.8374123463076701E-2</v>
      </c>
    </row>
    <row r="18558" spans="1:6" x14ac:dyDescent="0.25">
      <c r="A18558" s="2" t="str">
        <f t="shared" si="664"/>
        <v>46180</v>
      </c>
      <c r="B18558" s="2" t="str">
        <f>"38850"</f>
        <v>38850</v>
      </c>
      <c r="C18558" s="1">
        <v>6.1490162754192701E-3</v>
      </c>
      <c r="D18558" s="1">
        <v>1.6934801016088E-3</v>
      </c>
      <c r="E18558" s="1">
        <v>1.57853196527229E-3</v>
      </c>
      <c r="F18558" s="1">
        <v>5.6968269628592302E-3</v>
      </c>
    </row>
    <row r="18559" spans="1:6" x14ac:dyDescent="0.25">
      <c r="A18559" s="2" t="str">
        <f t="shared" si="664"/>
        <v>46180</v>
      </c>
      <c r="B18559" s="2" t="str">
        <f>"38849"</f>
        <v>38849</v>
      </c>
      <c r="C18559" s="1">
        <v>3.0402813676545199E-2</v>
      </c>
      <c r="D18559" s="1">
        <v>6.0481432200314503E-3</v>
      </c>
      <c r="E18559" s="1">
        <v>3.9463299131807399E-2</v>
      </c>
      <c r="F18559" s="1">
        <v>2.8388657267432602E-2</v>
      </c>
    </row>
    <row r="18560" spans="1:6" x14ac:dyDescent="0.25">
      <c r="A18560" s="2" t="str">
        <f t="shared" si="664"/>
        <v>46180</v>
      </c>
      <c r="B18560" s="2" t="str">
        <f>"38826"</f>
        <v>38826</v>
      </c>
      <c r="C18560" s="1">
        <v>3.0768686046099902E-2</v>
      </c>
      <c r="D18560" s="1">
        <v>1.2096286440062901E-2</v>
      </c>
      <c r="E18560" s="1">
        <v>2.3677979479084399E-2</v>
      </c>
      <c r="F18560" s="1">
        <v>2.90357828628411E-2</v>
      </c>
    </row>
    <row r="18561" spans="1:6" x14ac:dyDescent="0.25">
      <c r="A18561" s="2" t="str">
        <f t="shared" si="664"/>
        <v>46180</v>
      </c>
      <c r="B18561" s="2" t="str">
        <f>"38857"</f>
        <v>38857</v>
      </c>
      <c r="C18561" s="1">
        <v>1.92496075723778E-2</v>
      </c>
      <c r="D18561" s="1">
        <v>3.87081166082012E-3</v>
      </c>
      <c r="E18561" s="1">
        <v>4.7355958958168898E-3</v>
      </c>
      <c r="F18561" s="1">
        <v>1.7705780635031702E-2</v>
      </c>
    </row>
    <row r="18562" spans="1:6" x14ac:dyDescent="0.25">
      <c r="A18562" s="2" t="str">
        <f t="shared" si="664"/>
        <v>46180</v>
      </c>
      <c r="B18562" s="2" t="str">
        <f>"38855"</f>
        <v>38855</v>
      </c>
      <c r="C18562" s="1">
        <v>2.70627530125458E-2</v>
      </c>
      <c r="D18562" s="1">
        <v>7.2577718640377403E-3</v>
      </c>
      <c r="E18562" s="1">
        <v>1.4996053670086801E-2</v>
      </c>
      <c r="F18562" s="1">
        <v>2.5163637906707802E-2</v>
      </c>
    </row>
    <row r="18563" spans="1:6" x14ac:dyDescent="0.25">
      <c r="A18563" s="2" t="str">
        <f t="shared" si="664"/>
        <v>46180</v>
      </c>
      <c r="B18563" s="2" t="str">
        <f>"38627"</f>
        <v>38627</v>
      </c>
      <c r="C18563" s="1">
        <v>1.18023345017644E-5</v>
      </c>
      <c r="D18563" s="1">
        <v>0</v>
      </c>
      <c r="E18563" s="1">
        <v>0</v>
      </c>
      <c r="F18563" s="1">
        <v>1.0608616318173601E-5</v>
      </c>
    </row>
    <row r="18564" spans="1:6" x14ac:dyDescent="0.25">
      <c r="A18564" s="2" t="str">
        <f t="shared" si="664"/>
        <v>46180</v>
      </c>
      <c r="B18564" s="2" t="str">
        <f>"38856"</f>
        <v>38856</v>
      </c>
      <c r="C18564" s="1">
        <v>1.0421461365057999E-2</v>
      </c>
      <c r="D18564" s="1">
        <v>4.3546631184226397E-3</v>
      </c>
      <c r="E18564" s="1">
        <v>1.57853196527229E-3</v>
      </c>
      <c r="F18564" s="1">
        <v>9.7705356290379002E-3</v>
      </c>
    </row>
    <row r="18565" spans="1:6" x14ac:dyDescent="0.25">
      <c r="A18565" s="2" t="str">
        <f t="shared" si="664"/>
        <v>46180</v>
      </c>
      <c r="B18565" s="2" t="str">
        <f>"38847"</f>
        <v>38847</v>
      </c>
      <c r="C18565" s="1">
        <v>1.6936350010031902E-2</v>
      </c>
      <c r="D18565" s="1">
        <v>8.3464376436434007E-3</v>
      </c>
      <c r="E18565" s="1">
        <v>7.8926598263614795E-4</v>
      </c>
      <c r="F18565" s="1">
        <v>1.5965967558851199E-2</v>
      </c>
    </row>
    <row r="18566" spans="1:6" x14ac:dyDescent="0.25">
      <c r="A18566" s="2" t="str">
        <f t="shared" si="664"/>
        <v>46180</v>
      </c>
      <c r="B18566" s="2" t="str">
        <f>"38828"</f>
        <v>38828</v>
      </c>
      <c r="C18566" s="1">
        <v>6.3024466239422101E-3</v>
      </c>
      <c r="D18566" s="1">
        <v>1.57251723720817E-3</v>
      </c>
      <c r="E18566" s="1">
        <v>3.1570639305445901E-3</v>
      </c>
      <c r="F18566" s="1">
        <v>5.8453475913136602E-3</v>
      </c>
    </row>
    <row r="18567" spans="1:6" x14ac:dyDescent="0.25">
      <c r="A18567" s="2" t="str">
        <f t="shared" si="664"/>
        <v>46180</v>
      </c>
      <c r="B18567" s="2" t="str">
        <f>"38655"</f>
        <v>38655</v>
      </c>
      <c r="C18567" s="1">
        <v>1.7703501752646601E-4</v>
      </c>
      <c r="D18567" s="1">
        <v>0</v>
      </c>
      <c r="E18567" s="1">
        <v>0</v>
      </c>
      <c r="F18567" s="1">
        <v>1.59129244772604E-4</v>
      </c>
    </row>
    <row r="18568" spans="1:6" x14ac:dyDescent="0.25">
      <c r="A18568" s="2" t="str">
        <f t="shared" si="664"/>
        <v>46180</v>
      </c>
      <c r="B18568" s="2" t="str">
        <f>"38860"</f>
        <v>38860</v>
      </c>
      <c r="C18568" s="1">
        <v>1.77035017526466E-3</v>
      </c>
      <c r="D18568" s="1">
        <v>1.2096286440062899E-4</v>
      </c>
      <c r="E18568" s="1">
        <v>0</v>
      </c>
      <c r="F18568" s="1">
        <v>1.60190106404421E-3</v>
      </c>
    </row>
    <row r="18569" spans="1:6" x14ac:dyDescent="0.25">
      <c r="A18569" s="2" t="str">
        <f t="shared" si="664"/>
        <v>46180</v>
      </c>
      <c r="B18569" s="2" t="str">
        <f>"38858"</f>
        <v>38858</v>
      </c>
      <c r="C18569" s="1">
        <v>3.6540027617462702E-2</v>
      </c>
      <c r="D18569" s="1">
        <v>1.2459175033264699E-2</v>
      </c>
      <c r="E18569" s="1">
        <v>3.1570639305445901E-3</v>
      </c>
      <c r="F18569" s="1">
        <v>3.3979398067110103E-2</v>
      </c>
    </row>
    <row r="18570" spans="1:6" x14ac:dyDescent="0.25">
      <c r="A18570" s="2" t="str">
        <f t="shared" si="664"/>
        <v>46180</v>
      </c>
      <c r="B18570" s="2" t="str">
        <f>"38879"</f>
        <v>38879</v>
      </c>
      <c r="C18570" s="1">
        <v>8.2616341512351096E-5</v>
      </c>
      <c r="D18570" s="1">
        <v>2.4192572880125799E-4</v>
      </c>
      <c r="E18570" s="1">
        <v>0</v>
      </c>
      <c r="F18570" s="1">
        <v>9.5477546863562498E-5</v>
      </c>
    </row>
    <row r="18571" spans="1:6" x14ac:dyDescent="0.25">
      <c r="A18571" s="2" t="str">
        <f t="shared" si="664"/>
        <v>46180</v>
      </c>
      <c r="B18571" s="2" t="str">
        <f>"38873"</f>
        <v>38873</v>
      </c>
      <c r="C18571" s="1">
        <v>2.1244202103175998E-3</v>
      </c>
      <c r="D18571" s="1">
        <v>0</v>
      </c>
      <c r="E18571" s="1">
        <v>0</v>
      </c>
      <c r="F18571" s="1">
        <v>1.9095509372712501E-3</v>
      </c>
    </row>
    <row r="18572" spans="1:6" x14ac:dyDescent="0.25">
      <c r="A18572" s="2" t="str">
        <f t="shared" si="664"/>
        <v>46180</v>
      </c>
      <c r="B18572" s="2" t="str">
        <f>"38868"</f>
        <v>38868</v>
      </c>
      <c r="C18572" s="1">
        <v>2.8207579459217001E-2</v>
      </c>
      <c r="D18572" s="1">
        <v>1.16124349824603E-2</v>
      </c>
      <c r="E18572" s="1">
        <v>1.89423835832675E-2</v>
      </c>
      <c r="F18572" s="1">
        <v>2.6627626958615699E-2</v>
      </c>
    </row>
    <row r="18573" spans="1:6" x14ac:dyDescent="0.25">
      <c r="A18573" s="2" t="str">
        <f t="shared" si="664"/>
        <v>46180</v>
      </c>
      <c r="B18573" s="2" t="str">
        <f>"38841"</f>
        <v>38841</v>
      </c>
      <c r="C18573" s="1">
        <v>1.7443850393607799E-2</v>
      </c>
      <c r="D18573" s="1">
        <v>1.2822063626466601E-2</v>
      </c>
      <c r="E18573" s="1">
        <v>8.6819258089976294E-3</v>
      </c>
      <c r="F18573" s="1">
        <v>1.69207430274869E-2</v>
      </c>
    </row>
    <row r="18574" spans="1:6" x14ac:dyDescent="0.25">
      <c r="A18574" s="2" t="str">
        <f t="shared" si="664"/>
        <v>46180</v>
      </c>
      <c r="B18574" s="2" t="str">
        <f>"38843"</f>
        <v>38843</v>
      </c>
      <c r="C18574" s="1">
        <v>6.7379527670573203E-2</v>
      </c>
      <c r="D18574" s="1">
        <v>5.9755655013910697E-2</v>
      </c>
      <c r="E18574" s="1">
        <v>5.20915548539857E-2</v>
      </c>
      <c r="F18574" s="1">
        <v>6.6505415698630402E-2</v>
      </c>
    </row>
    <row r="18575" spans="1:6" x14ac:dyDescent="0.25">
      <c r="A18575" s="2" t="str">
        <f t="shared" si="664"/>
        <v>46180</v>
      </c>
      <c r="B18575" s="2" t="str">
        <f>"38804"</f>
        <v>38804</v>
      </c>
      <c r="C18575" s="1">
        <v>0.106563278216431</v>
      </c>
      <c r="D18575" s="1">
        <v>0.21144308697229899</v>
      </c>
      <c r="E18575" s="1">
        <v>0.26598263614838202</v>
      </c>
      <c r="F18575" s="1">
        <v>0.11790416176018099</v>
      </c>
    </row>
    <row r="18576" spans="1:6" x14ac:dyDescent="0.25">
      <c r="A18576" s="2" t="str">
        <f t="shared" si="664"/>
        <v>46180</v>
      </c>
      <c r="B18576" s="2" t="str">
        <f>"38862"</f>
        <v>38862</v>
      </c>
      <c r="C18576" s="1">
        <v>1.49889648172408E-2</v>
      </c>
      <c r="D18576" s="1">
        <v>2.29829442361195E-3</v>
      </c>
      <c r="E18576" s="1">
        <v>4.7355958958168898E-3</v>
      </c>
      <c r="F18576" s="1">
        <v>1.37381581320348E-2</v>
      </c>
    </row>
    <row r="18577" spans="1:6" x14ac:dyDescent="0.25">
      <c r="A18577" s="2" t="str">
        <f t="shared" si="664"/>
        <v>46180</v>
      </c>
      <c r="B18577" s="2" t="str">
        <f>"38874"</f>
        <v>38874</v>
      </c>
      <c r="C18577" s="1">
        <v>0</v>
      </c>
      <c r="D18577" s="1">
        <v>1.2096286440062899E-4</v>
      </c>
      <c r="E18577" s="1">
        <v>0</v>
      </c>
      <c r="F18577" s="1">
        <v>1.0608616318173601E-5</v>
      </c>
    </row>
    <row r="18578" spans="1:6" x14ac:dyDescent="0.25">
      <c r="A18578" s="2" t="str">
        <f t="shared" si="664"/>
        <v>46180</v>
      </c>
      <c r="B18578" s="2" t="str">
        <f>"38866"</f>
        <v>38866</v>
      </c>
      <c r="C18578" s="1">
        <v>6.4275513696609096E-2</v>
      </c>
      <c r="D18578" s="1">
        <v>3.0966493286560998E-2</v>
      </c>
      <c r="E18578" s="1">
        <v>6.2352012628255703E-2</v>
      </c>
      <c r="F18578" s="1">
        <v>6.1328410935361698E-2</v>
      </c>
    </row>
    <row r="18579" spans="1:6" x14ac:dyDescent="0.25">
      <c r="A18579" s="2" t="str">
        <f t="shared" si="664"/>
        <v>46180</v>
      </c>
      <c r="B18579" s="2" t="str">
        <f>"38864"</f>
        <v>38864</v>
      </c>
      <c r="C18579" s="1">
        <v>8.9815765558427397E-3</v>
      </c>
      <c r="D18579" s="1">
        <v>2.0563686948106901E-3</v>
      </c>
      <c r="E18579" s="1">
        <v>1.57853196527229E-3</v>
      </c>
      <c r="F18579" s="1">
        <v>8.2747207281754203E-3</v>
      </c>
    </row>
    <row r="18580" spans="1:6" x14ac:dyDescent="0.25">
      <c r="A18580" s="2" t="str">
        <f t="shared" si="664"/>
        <v>46180</v>
      </c>
      <c r="B18580" s="2" t="str">
        <f>"38863"</f>
        <v>38863</v>
      </c>
      <c r="C18580" s="1">
        <v>0.13656481251991601</v>
      </c>
      <c r="D18580" s="1">
        <v>0.11406798112979299</v>
      </c>
      <c r="E18580" s="1">
        <v>8.7608524072612395E-2</v>
      </c>
      <c r="F18580" s="1">
        <v>0.13393378101694101</v>
      </c>
    </row>
    <row r="18581" spans="1:6" x14ac:dyDescent="0.25">
      <c r="A18581" s="2" t="str">
        <f t="shared" si="664"/>
        <v>46180</v>
      </c>
      <c r="B18581" s="2" t="str">
        <f>"38663"</f>
        <v>38663</v>
      </c>
      <c r="C18581" s="1">
        <v>3.54070035052933E-5</v>
      </c>
      <c r="D18581" s="1">
        <v>0</v>
      </c>
      <c r="E18581" s="1">
        <v>0</v>
      </c>
      <c r="F18581" s="1">
        <v>3.1825848954520799E-5</v>
      </c>
    </row>
    <row r="18582" spans="1:6" x14ac:dyDescent="0.25">
      <c r="A18582" s="2" t="str">
        <f t="shared" si="664"/>
        <v>46180</v>
      </c>
      <c r="B18582" s="2" t="str">
        <f>"38829"</f>
        <v>38829</v>
      </c>
      <c r="C18582" s="1">
        <v>0.10037885493750601</v>
      </c>
      <c r="D18582" s="1">
        <v>9.5439700012096201E-2</v>
      </c>
      <c r="E18582" s="1">
        <v>7.4191002367797895E-2</v>
      </c>
      <c r="F18582" s="1">
        <v>9.9593689995013904E-2</v>
      </c>
    </row>
    <row r="18583" spans="1:6" x14ac:dyDescent="0.25">
      <c r="A18583" s="2" t="str">
        <f t="shared" si="664"/>
        <v>46180</v>
      </c>
      <c r="B18583" s="2" t="str">
        <f>"38824"</f>
        <v>38824</v>
      </c>
      <c r="C18583" s="1">
        <v>4.5710441525333698E-2</v>
      </c>
      <c r="D18583" s="1">
        <v>4.1732188218217003E-2</v>
      </c>
      <c r="E18583" s="1">
        <v>6.5509076558800297E-2</v>
      </c>
      <c r="F18583" s="1">
        <v>4.5627658784464703E-2</v>
      </c>
    </row>
    <row r="18584" spans="1:6" x14ac:dyDescent="0.25">
      <c r="A18584" s="2" t="str">
        <f t="shared" si="664"/>
        <v>46180</v>
      </c>
      <c r="B18584" s="2" t="str">
        <f>"38652"</f>
        <v>38652</v>
      </c>
      <c r="C18584" s="1">
        <v>1.0622101051587999E-4</v>
      </c>
      <c r="D18584" s="1">
        <v>0</v>
      </c>
      <c r="E18584" s="1">
        <v>0</v>
      </c>
      <c r="F18584" s="1">
        <v>9.5477546863562498E-5</v>
      </c>
    </row>
    <row r="18585" spans="1:6" x14ac:dyDescent="0.25">
      <c r="A18585" s="2" t="str">
        <f t="shared" si="664"/>
        <v>46180</v>
      </c>
      <c r="B18585" s="2" t="str">
        <f>"38820"</f>
        <v>38820</v>
      </c>
      <c r="C18585" s="1">
        <v>0</v>
      </c>
      <c r="D18585" s="1">
        <v>1.2096286440062899E-4</v>
      </c>
      <c r="E18585" s="1">
        <v>0</v>
      </c>
      <c r="F18585" s="1">
        <v>1.0608616318173601E-5</v>
      </c>
    </row>
    <row r="18586" spans="1:6" x14ac:dyDescent="0.25">
      <c r="A18586" s="2" t="str">
        <f t="shared" si="664"/>
        <v>46180</v>
      </c>
      <c r="B18586" s="2" t="str">
        <f>"38848"</f>
        <v>38848</v>
      </c>
      <c r="C18586" s="1">
        <v>3.54070035052933E-5</v>
      </c>
      <c r="D18586" s="1">
        <v>0</v>
      </c>
      <c r="E18586" s="1">
        <v>0</v>
      </c>
      <c r="F18586" s="1">
        <v>3.1825848954520799E-5</v>
      </c>
    </row>
    <row r="18587" spans="1:6" x14ac:dyDescent="0.25">
      <c r="A18587" s="2" t="str">
        <f t="shared" si="664"/>
        <v>46180</v>
      </c>
      <c r="B18587" s="2" t="str">
        <f>"38859"</f>
        <v>38859</v>
      </c>
      <c r="C18587" s="1">
        <v>5.1576201772710597E-3</v>
      </c>
      <c r="D18587" s="1">
        <v>1.0886657796056599E-3</v>
      </c>
      <c r="E18587" s="1">
        <v>0</v>
      </c>
      <c r="F18587" s="1">
        <v>4.7314428779054304E-3</v>
      </c>
    </row>
    <row r="18588" spans="1:6" x14ac:dyDescent="0.25">
      <c r="A18588" s="2" t="str">
        <f t="shared" si="664"/>
        <v>46180</v>
      </c>
      <c r="B18588" s="2" t="str">
        <f>"38880"</f>
        <v>38880</v>
      </c>
      <c r="C18588" s="1">
        <v>0</v>
      </c>
      <c r="D18588" s="1">
        <v>1.2096286440062899E-4</v>
      </c>
      <c r="E18588" s="1">
        <v>0</v>
      </c>
      <c r="F18588" s="1">
        <v>1.0608616318173601E-5</v>
      </c>
    </row>
    <row r="18589" spans="1:6" x14ac:dyDescent="0.25">
      <c r="A18589" s="2" t="str">
        <f t="shared" si="664"/>
        <v>46180</v>
      </c>
      <c r="B18589" s="2" t="str">
        <f>"38871"</f>
        <v>38871</v>
      </c>
      <c r="C18589" s="1">
        <v>1.03152403545421E-2</v>
      </c>
      <c r="D18589" s="1">
        <v>3.50792306761824E-3</v>
      </c>
      <c r="E18589" s="1">
        <v>2.3677979479084402E-3</v>
      </c>
      <c r="F18589" s="1">
        <v>9.6114063842652996E-3</v>
      </c>
    </row>
    <row r="18590" spans="1:6" x14ac:dyDescent="0.25">
      <c r="A18590" s="2" t="str">
        <f t="shared" si="664"/>
        <v>46180</v>
      </c>
      <c r="B18590" s="2" t="str">
        <f>"38870"</f>
        <v>38870</v>
      </c>
      <c r="C18590" s="1">
        <v>8.8517508763233301E-4</v>
      </c>
      <c r="D18590" s="1">
        <v>0</v>
      </c>
      <c r="E18590" s="1">
        <v>0</v>
      </c>
      <c r="F18590" s="1">
        <v>7.9564622386302101E-4</v>
      </c>
    </row>
    <row r="18591" spans="1:6" x14ac:dyDescent="0.25">
      <c r="A18591" s="2" t="str">
        <f t="shared" si="664"/>
        <v>46180</v>
      </c>
      <c r="B18591" s="2" t="str">
        <f>"38833"</f>
        <v>38833</v>
      </c>
      <c r="C18591" s="1">
        <v>1.65232683024702E-3</v>
      </c>
      <c r="D18591" s="1">
        <v>4.8385145760251598E-4</v>
      </c>
      <c r="E18591" s="1">
        <v>0</v>
      </c>
      <c r="F18591" s="1">
        <v>1.527640749817E-3</v>
      </c>
    </row>
    <row r="18592" spans="1:6" x14ac:dyDescent="0.25">
      <c r="A18592" s="2" t="str">
        <f t="shared" si="664"/>
        <v>46180</v>
      </c>
      <c r="B18592" s="2" t="str">
        <f>"38865"</f>
        <v>38865</v>
      </c>
      <c r="C18592" s="1">
        <v>8.2970411547404008E-3</v>
      </c>
      <c r="D18592" s="1">
        <v>3.0240716100157199E-3</v>
      </c>
      <c r="E18592" s="1">
        <v>0</v>
      </c>
      <c r="F18592" s="1">
        <v>7.7230726796303903E-3</v>
      </c>
    </row>
    <row r="18593" spans="1:6" x14ac:dyDescent="0.25">
      <c r="A18593" s="2" t="str">
        <f t="shared" si="664"/>
        <v>46180</v>
      </c>
      <c r="B18593" s="2" t="str">
        <f>"38876"</f>
        <v>38876</v>
      </c>
      <c r="C18593" s="1">
        <v>7.54169174662748E-3</v>
      </c>
      <c r="D18593" s="1">
        <v>1.33059150840691E-3</v>
      </c>
      <c r="E18593" s="1">
        <v>1.57853196527229E-3</v>
      </c>
      <c r="F18593" s="1">
        <v>6.9168178394491998E-3</v>
      </c>
    </row>
    <row r="18594" spans="1:6" x14ac:dyDescent="0.25">
      <c r="A18594" s="2" t="str">
        <f t="shared" ref="A18594:A18599" si="665">"18420"</f>
        <v>18420</v>
      </c>
      <c r="B18594" s="2" t="str">
        <f>"38846"</f>
        <v>38846</v>
      </c>
      <c r="C18594" s="1">
        <v>4.6860873932697097E-2</v>
      </c>
      <c r="D18594" s="1">
        <v>1.37488542621448E-2</v>
      </c>
      <c r="E18594" s="1">
        <v>1.6233766233766201E-2</v>
      </c>
      <c r="F18594" s="1">
        <v>4.3214285714285698E-2</v>
      </c>
    </row>
    <row r="18595" spans="1:6" x14ac:dyDescent="0.25">
      <c r="A18595" s="2" t="str">
        <f t="shared" si="665"/>
        <v>18420</v>
      </c>
      <c r="B18595" s="2" t="str">
        <f>"38834"</f>
        <v>38834</v>
      </c>
      <c r="C18595" s="1">
        <v>0.72953289804118504</v>
      </c>
      <c r="D18595" s="1">
        <v>0.77085242896425199</v>
      </c>
      <c r="E18595" s="1">
        <v>0.95779220779220697</v>
      </c>
      <c r="F18595" s="1">
        <v>0.73669642857142803</v>
      </c>
    </row>
    <row r="18596" spans="1:6" x14ac:dyDescent="0.25">
      <c r="A18596" s="2" t="str">
        <f t="shared" si="665"/>
        <v>18420</v>
      </c>
      <c r="B18596" s="2" t="str">
        <f>"38683"</f>
        <v>38683</v>
      </c>
      <c r="C18596" s="1">
        <v>4.6559517830236E-2</v>
      </c>
      <c r="D18596" s="1">
        <v>3.2080659945004498E-3</v>
      </c>
      <c r="E18596" s="1">
        <v>0</v>
      </c>
      <c r="F18596" s="1">
        <v>4.1696428571428502E-2</v>
      </c>
    </row>
    <row r="18597" spans="1:6" x14ac:dyDescent="0.25">
      <c r="A18597" s="2" t="str">
        <f t="shared" si="665"/>
        <v>18420</v>
      </c>
      <c r="B18597" s="2" t="str">
        <f>"38865"</f>
        <v>38865</v>
      </c>
      <c r="C18597" s="1">
        <v>9.2667001506780505E-2</v>
      </c>
      <c r="D18597" s="1">
        <v>3.0705774518790099E-2</v>
      </c>
      <c r="E18597" s="1">
        <v>1.94805194805194E-2</v>
      </c>
      <c r="F18597" s="1">
        <v>8.5625000000000007E-2</v>
      </c>
    </row>
    <row r="18598" spans="1:6" x14ac:dyDescent="0.25">
      <c r="A18598" s="2" t="str">
        <f t="shared" si="665"/>
        <v>18420</v>
      </c>
      <c r="B18598" s="2" t="str">
        <f>"38835"</f>
        <v>38835</v>
      </c>
      <c r="C18598" s="1">
        <v>8.1667503766951199E-2</v>
      </c>
      <c r="D18598" s="1">
        <v>0.17965169569202499</v>
      </c>
      <c r="E18598" s="1">
        <v>6.4935064935064896E-3</v>
      </c>
      <c r="F18598" s="1">
        <v>9.01785714285714E-2</v>
      </c>
    </row>
    <row r="18599" spans="1:6" x14ac:dyDescent="0.25">
      <c r="A18599" s="2" t="str">
        <f t="shared" si="665"/>
        <v>18420</v>
      </c>
      <c r="B18599" s="2" t="str">
        <f>"38833"</f>
        <v>38833</v>
      </c>
      <c r="C18599" s="1">
        <v>2.7122049221496702E-3</v>
      </c>
      <c r="D18599" s="1">
        <v>1.8331805682859699E-3</v>
      </c>
      <c r="E18599" s="1">
        <v>0</v>
      </c>
      <c r="F18599" s="1">
        <v>2.5892857142857102E-3</v>
      </c>
    </row>
    <row r="18600" spans="1:6" x14ac:dyDescent="0.25">
      <c r="A18600" s="2" t="str">
        <f t="shared" ref="A18600:A18620" si="666">"24900"</f>
        <v>24900</v>
      </c>
      <c r="B18600" s="2" t="str">
        <f>"38736"</f>
        <v>38736</v>
      </c>
      <c r="C18600" s="1">
        <v>1.49732620320855E-3</v>
      </c>
      <c r="D18600" s="1">
        <v>0</v>
      </c>
      <c r="E18600" s="1">
        <v>0</v>
      </c>
      <c r="F18600" s="1">
        <v>1.3214403700033E-3</v>
      </c>
    </row>
    <row r="18601" spans="1:6" x14ac:dyDescent="0.25">
      <c r="A18601" s="2" t="str">
        <f t="shared" si="666"/>
        <v>24900</v>
      </c>
      <c r="B18601" s="2" t="str">
        <f>"38940"</f>
        <v>38940</v>
      </c>
      <c r="C18601" s="1">
        <v>2.0320855614973199E-3</v>
      </c>
      <c r="D18601" s="1">
        <v>0</v>
      </c>
      <c r="E18601" s="1">
        <v>0</v>
      </c>
      <c r="F18601" s="1">
        <v>1.79338335929019E-3</v>
      </c>
    </row>
    <row r="18602" spans="1:6" x14ac:dyDescent="0.25">
      <c r="A18602" s="2" t="str">
        <f t="shared" si="666"/>
        <v>24900</v>
      </c>
      <c r="B18602" s="2" t="str">
        <f>"38917"</f>
        <v>38917</v>
      </c>
      <c r="C18602" s="1">
        <v>8.6470588235294105E-2</v>
      </c>
      <c r="D18602" s="1">
        <v>1.06951871657754E-2</v>
      </c>
      <c r="E18602" s="1">
        <v>4.1666666666666602E-2</v>
      </c>
      <c r="F18602" s="1">
        <v>7.8200953324838299E-2</v>
      </c>
    </row>
    <row r="18603" spans="1:6" x14ac:dyDescent="0.25">
      <c r="A18603" s="2" t="str">
        <f t="shared" si="666"/>
        <v>24900</v>
      </c>
      <c r="B18603" s="2" t="str">
        <f>"38737"</f>
        <v>38737</v>
      </c>
      <c r="C18603" s="1">
        <v>1.0695187165775401E-4</v>
      </c>
      <c r="D18603" s="1">
        <v>0</v>
      </c>
      <c r="E18603" s="1">
        <v>0</v>
      </c>
      <c r="F18603" s="1">
        <v>9.4388597857378802E-5</v>
      </c>
    </row>
    <row r="18604" spans="1:6" x14ac:dyDescent="0.25">
      <c r="A18604" s="2" t="str">
        <f t="shared" si="666"/>
        <v>24900</v>
      </c>
      <c r="B18604" s="2" t="str">
        <f>"38950"</f>
        <v>38950</v>
      </c>
      <c r="C18604" s="1">
        <v>5.3475935828877003E-5</v>
      </c>
      <c r="D18604" s="1">
        <v>0</v>
      </c>
      <c r="E18604" s="1">
        <v>0</v>
      </c>
      <c r="F18604" s="1">
        <v>4.7194298928689401E-5</v>
      </c>
    </row>
    <row r="18605" spans="1:6" x14ac:dyDescent="0.25">
      <c r="A18605" s="2" t="str">
        <f t="shared" si="666"/>
        <v>24900</v>
      </c>
      <c r="B18605" s="2" t="str">
        <f>"38941"</f>
        <v>38941</v>
      </c>
      <c r="C18605" s="1">
        <v>0.103048128342245</v>
      </c>
      <c r="D18605" s="1">
        <v>6.7087992221682005E-2</v>
      </c>
      <c r="E18605" s="1">
        <v>5.7870370370370301E-2</v>
      </c>
      <c r="F18605" s="1">
        <v>9.8636084760960793E-2</v>
      </c>
    </row>
    <row r="18606" spans="1:6" x14ac:dyDescent="0.25">
      <c r="A18606" s="2" t="str">
        <f t="shared" si="666"/>
        <v>24900</v>
      </c>
      <c r="B18606" s="2" t="str">
        <f>"39192"</f>
        <v>39192</v>
      </c>
      <c r="C18606" s="1">
        <v>1.7647058823529399E-3</v>
      </c>
      <c r="D18606" s="1">
        <v>4.8614487117160901E-4</v>
      </c>
      <c r="E18606" s="1">
        <v>0</v>
      </c>
      <c r="F18606" s="1">
        <v>1.60460616357544E-3</v>
      </c>
    </row>
    <row r="18607" spans="1:6" x14ac:dyDescent="0.25">
      <c r="A18607" s="2" t="str">
        <f t="shared" si="666"/>
        <v>24900</v>
      </c>
      <c r="B18607" s="2" t="str">
        <f>"38761"</f>
        <v>38761</v>
      </c>
      <c r="C18607" s="1">
        <v>1.1229946524064099E-3</v>
      </c>
      <c r="D18607" s="1">
        <v>0</v>
      </c>
      <c r="E18607" s="1">
        <v>0</v>
      </c>
      <c r="F18607" s="1">
        <v>9.9108027750247703E-4</v>
      </c>
    </row>
    <row r="18608" spans="1:6" x14ac:dyDescent="0.25">
      <c r="A18608" s="2" t="str">
        <f t="shared" si="666"/>
        <v>24900</v>
      </c>
      <c r="B18608" s="2" t="str">
        <f>"38946"</f>
        <v>38946</v>
      </c>
      <c r="C18608" s="1">
        <v>5.3475935828877003E-5</v>
      </c>
      <c r="D18608" s="1">
        <v>4.8614487117160901E-4</v>
      </c>
      <c r="E18608" s="1">
        <v>0</v>
      </c>
      <c r="F18608" s="1">
        <v>9.4388597857378802E-5</v>
      </c>
    </row>
    <row r="18609" spans="1:6" x14ac:dyDescent="0.25">
      <c r="A18609" s="2" t="str">
        <f t="shared" si="666"/>
        <v>24900</v>
      </c>
      <c r="B18609" s="2" t="str">
        <f>"38923"</f>
        <v>38923</v>
      </c>
      <c r="C18609" s="1">
        <v>3.5668449197860899E-2</v>
      </c>
      <c r="D18609" s="1">
        <v>9.2367525522605697E-3</v>
      </c>
      <c r="E18609" s="1">
        <v>0</v>
      </c>
      <c r="F18609" s="1">
        <v>3.2375289065080901E-2</v>
      </c>
    </row>
    <row r="18610" spans="1:6" x14ac:dyDescent="0.25">
      <c r="A18610" s="2" t="str">
        <f t="shared" si="666"/>
        <v>24900</v>
      </c>
      <c r="B18610" s="2" t="str">
        <f>"39038"</f>
        <v>39038</v>
      </c>
      <c r="C18610" s="1">
        <v>1.8181818181818099E-3</v>
      </c>
      <c r="D18610" s="1">
        <v>0</v>
      </c>
      <c r="E18610" s="1">
        <v>0</v>
      </c>
      <c r="F18610" s="1">
        <v>1.60460616357544E-3</v>
      </c>
    </row>
    <row r="18611" spans="1:6" x14ac:dyDescent="0.25">
      <c r="A18611" s="2" t="str">
        <f t="shared" si="666"/>
        <v>24900</v>
      </c>
      <c r="B18611" s="2" t="str">
        <f>"38954"</f>
        <v>38954</v>
      </c>
      <c r="C18611" s="1">
        <v>3.4385026737967901E-2</v>
      </c>
      <c r="D18611" s="1">
        <v>6.8060281964025197E-3</v>
      </c>
      <c r="E18611" s="1">
        <v>3.2407407407407399E-2</v>
      </c>
      <c r="F18611" s="1">
        <v>3.1667374581150501E-2</v>
      </c>
    </row>
    <row r="18612" spans="1:6" x14ac:dyDescent="0.25">
      <c r="A18612" s="2" t="str">
        <f t="shared" si="666"/>
        <v>24900</v>
      </c>
      <c r="B18612" s="2" t="str">
        <f>"38952"</f>
        <v>38952</v>
      </c>
      <c r="C18612" s="1">
        <v>1.20320855614973E-2</v>
      </c>
      <c r="D18612" s="1">
        <v>6.31988332523091E-3</v>
      </c>
      <c r="E18612" s="1">
        <v>0</v>
      </c>
      <c r="F18612" s="1">
        <v>1.1232243145027999E-2</v>
      </c>
    </row>
    <row r="18613" spans="1:6" x14ac:dyDescent="0.25">
      <c r="A18613" s="2" t="str">
        <f t="shared" si="666"/>
        <v>24900</v>
      </c>
      <c r="B18613" s="2" t="str">
        <f>"38943"</f>
        <v>38943</v>
      </c>
      <c r="C18613" s="1">
        <v>2.1764705882352901E-2</v>
      </c>
      <c r="D18613" s="1">
        <v>6.31988332523091E-3</v>
      </c>
      <c r="E18613" s="1">
        <v>1.85185185185185E-2</v>
      </c>
      <c r="F18613" s="1">
        <v>2.0199159941479E-2</v>
      </c>
    </row>
    <row r="18614" spans="1:6" x14ac:dyDescent="0.25">
      <c r="A18614" s="2" t="str">
        <f t="shared" si="666"/>
        <v>24900</v>
      </c>
      <c r="B18614" s="2" t="str">
        <f>"38930"</f>
        <v>38930</v>
      </c>
      <c r="C18614" s="1">
        <v>0.62668449197860898</v>
      </c>
      <c r="D18614" s="1">
        <v>0.858531842489061</v>
      </c>
      <c r="E18614" s="1">
        <v>0.82870370370370305</v>
      </c>
      <c r="F18614" s="1">
        <v>0.65331068006984705</v>
      </c>
    </row>
    <row r="18615" spans="1:6" x14ac:dyDescent="0.25">
      <c r="A18615" s="2" t="str">
        <f t="shared" si="666"/>
        <v>24900</v>
      </c>
      <c r="B18615" s="2" t="str">
        <f>"39176"</f>
        <v>39176</v>
      </c>
      <c r="C18615" s="1">
        <v>4.2245989304812798E-2</v>
      </c>
      <c r="D18615" s="1">
        <v>2.2362664073893999E-2</v>
      </c>
      <c r="E18615" s="1">
        <v>1.6203703703703699E-2</v>
      </c>
      <c r="F18615" s="1">
        <v>3.9784793996885101E-2</v>
      </c>
    </row>
    <row r="18616" spans="1:6" x14ac:dyDescent="0.25">
      <c r="A18616" s="2" t="str">
        <f t="shared" si="666"/>
        <v>24900</v>
      </c>
      <c r="B18616" s="2" t="str">
        <f>"38959"</f>
        <v>38959</v>
      </c>
      <c r="C18616" s="1">
        <v>0</v>
      </c>
      <c r="D18616" s="1">
        <v>4.8614487117160901E-4</v>
      </c>
      <c r="E18616" s="1">
        <v>0</v>
      </c>
      <c r="F18616" s="1">
        <v>4.7194298928689401E-5</v>
      </c>
    </row>
    <row r="18617" spans="1:6" x14ac:dyDescent="0.25">
      <c r="A18617" s="2" t="str">
        <f t="shared" si="666"/>
        <v>24900</v>
      </c>
      <c r="B18617" s="2" t="str">
        <f>"38944"</f>
        <v>38944</v>
      </c>
      <c r="C18617" s="1">
        <v>1.1711229946524E-2</v>
      </c>
      <c r="D18617" s="1">
        <v>6.31988332523091E-3</v>
      </c>
      <c r="E18617" s="1">
        <v>0</v>
      </c>
      <c r="F18617" s="1">
        <v>1.0949077351455901E-2</v>
      </c>
    </row>
    <row r="18618" spans="1:6" x14ac:dyDescent="0.25">
      <c r="A18618" s="2" t="str">
        <f t="shared" si="666"/>
        <v>24900</v>
      </c>
      <c r="B18618" s="2" t="str">
        <f>"38967"</f>
        <v>38967</v>
      </c>
      <c r="C18618" s="1">
        <v>1.2245989304812801E-2</v>
      </c>
      <c r="D18618" s="1">
        <v>4.8614487117160901E-4</v>
      </c>
      <c r="E18618" s="1">
        <v>0</v>
      </c>
      <c r="F18618" s="1">
        <v>1.0854688753598501E-2</v>
      </c>
    </row>
    <row r="18619" spans="1:6" x14ac:dyDescent="0.25">
      <c r="A18619" s="2" t="str">
        <f t="shared" si="666"/>
        <v>24900</v>
      </c>
      <c r="B18619" s="2" t="str">
        <f>"38924"</f>
        <v>38924</v>
      </c>
      <c r="C18619" s="1">
        <v>4.3315508021390297E-3</v>
      </c>
      <c r="D18619" s="1">
        <v>4.8614487117160901E-4</v>
      </c>
      <c r="E18619" s="1">
        <v>4.6296296296296198E-3</v>
      </c>
      <c r="F18619" s="1">
        <v>3.9643211100099099E-3</v>
      </c>
    </row>
    <row r="18620" spans="1:6" x14ac:dyDescent="0.25">
      <c r="A18620" s="2" t="str">
        <f t="shared" si="666"/>
        <v>24900</v>
      </c>
      <c r="B18620" s="2" t="str">
        <f>"38947"</f>
        <v>38947</v>
      </c>
      <c r="C18620" s="1">
        <v>9.6256684491978603E-4</v>
      </c>
      <c r="D18620" s="1">
        <v>3.8891589693728699E-3</v>
      </c>
      <c r="E18620" s="1">
        <v>0</v>
      </c>
      <c r="F18620" s="1">
        <v>1.22705177214592E-3</v>
      </c>
    </row>
    <row r="18621" spans="1:6" x14ac:dyDescent="0.25">
      <c r="A18621" s="2" t="str">
        <f t="shared" ref="A18621:A18636" si="667">"24740"</f>
        <v>24740</v>
      </c>
      <c r="B18621" s="2" t="str">
        <f>"38782"</f>
        <v>38782</v>
      </c>
      <c r="C18621" s="1">
        <v>0</v>
      </c>
      <c r="D18621" s="1">
        <v>3.50385423966362E-4</v>
      </c>
      <c r="E18621" s="1">
        <v>0</v>
      </c>
      <c r="F18621" s="1">
        <v>3.5383200056613097E-5</v>
      </c>
    </row>
    <row r="18622" spans="1:6" x14ac:dyDescent="0.25">
      <c r="A18622" s="2" t="str">
        <f t="shared" si="667"/>
        <v>24740</v>
      </c>
      <c r="B18622" s="2" t="str">
        <f>"38722"</f>
        <v>38722</v>
      </c>
      <c r="C18622" s="1">
        <v>1.21192534539872E-4</v>
      </c>
      <c r="D18622" s="1">
        <v>3.50385423966362E-4</v>
      </c>
      <c r="E18622" s="1">
        <v>0</v>
      </c>
      <c r="F18622" s="1">
        <v>1.4153280022645201E-4</v>
      </c>
    </row>
    <row r="18623" spans="1:6" x14ac:dyDescent="0.25">
      <c r="A18623" s="2" t="str">
        <f t="shared" si="667"/>
        <v>24740</v>
      </c>
      <c r="B18623" s="2" t="str">
        <f>"38721"</f>
        <v>38721</v>
      </c>
      <c r="C18623" s="1">
        <v>1.21192534539872E-4</v>
      </c>
      <c r="D18623" s="1">
        <v>0</v>
      </c>
      <c r="E18623" s="1">
        <v>0</v>
      </c>
      <c r="F18623" s="1">
        <v>1.06149600169839E-4</v>
      </c>
    </row>
    <row r="18624" spans="1:6" x14ac:dyDescent="0.25">
      <c r="A18624" s="2" t="str">
        <f t="shared" si="667"/>
        <v>24740</v>
      </c>
      <c r="B18624" s="2" t="str">
        <f>"38744"</f>
        <v>38744</v>
      </c>
      <c r="C18624" s="1">
        <v>1.1230508200694799E-2</v>
      </c>
      <c r="D18624" s="1">
        <v>2.10231254379817E-3</v>
      </c>
      <c r="E18624" s="1">
        <v>0</v>
      </c>
      <c r="F18624" s="1">
        <v>1.00488288160781E-2</v>
      </c>
    </row>
    <row r="18625" spans="1:6" x14ac:dyDescent="0.25">
      <c r="A18625" s="2" t="str">
        <f t="shared" si="667"/>
        <v>24740</v>
      </c>
      <c r="B18625" s="2" t="str">
        <f>"38754"</f>
        <v>38754</v>
      </c>
      <c r="C18625" s="1">
        <v>3.6357760361961698E-4</v>
      </c>
      <c r="D18625" s="1">
        <v>0</v>
      </c>
      <c r="E18625" s="1">
        <v>0</v>
      </c>
      <c r="F18625" s="1">
        <v>3.1844880050951798E-4</v>
      </c>
    </row>
    <row r="18626" spans="1:6" x14ac:dyDescent="0.25">
      <c r="A18626" s="2" t="str">
        <f t="shared" si="667"/>
        <v>24740</v>
      </c>
      <c r="B18626" s="2" t="str">
        <f>"38780"</f>
        <v>38780</v>
      </c>
      <c r="C18626" s="1">
        <v>0</v>
      </c>
      <c r="D18626" s="1">
        <v>3.50385423966362E-4</v>
      </c>
      <c r="E18626" s="1">
        <v>0</v>
      </c>
      <c r="F18626" s="1">
        <v>3.5383200056613097E-5</v>
      </c>
    </row>
    <row r="18627" spans="1:6" x14ac:dyDescent="0.25">
      <c r="A18627" s="2" t="str">
        <f t="shared" si="667"/>
        <v>24740</v>
      </c>
      <c r="B18627" s="2" t="str">
        <f>"38751"</f>
        <v>38751</v>
      </c>
      <c r="C18627" s="1">
        <v>4.0397511513290701E-5</v>
      </c>
      <c r="D18627" s="1">
        <v>0</v>
      </c>
      <c r="E18627" s="1">
        <v>0</v>
      </c>
      <c r="F18627" s="1">
        <v>3.5383200056613097E-5</v>
      </c>
    </row>
    <row r="18628" spans="1:6" x14ac:dyDescent="0.25">
      <c r="A18628" s="2" t="str">
        <f t="shared" si="667"/>
        <v>24740</v>
      </c>
      <c r="B18628" s="2" t="str">
        <f>"38701"</f>
        <v>38701</v>
      </c>
      <c r="C18628" s="1">
        <v>0.51127090571220801</v>
      </c>
      <c r="D18628" s="1">
        <v>0.59145059565521996</v>
      </c>
      <c r="E18628" s="1">
        <v>0.72324159021406698</v>
      </c>
      <c r="F18628" s="1">
        <v>0.52427287523883603</v>
      </c>
    </row>
    <row r="18629" spans="1:6" x14ac:dyDescent="0.25">
      <c r="A18629" s="2" t="str">
        <f t="shared" si="667"/>
        <v>24740</v>
      </c>
      <c r="B18629" s="2" t="str">
        <f>"38760"</f>
        <v>38760</v>
      </c>
      <c r="C18629" s="1">
        <v>1.61590046053163E-4</v>
      </c>
      <c r="D18629" s="1">
        <v>3.50385423966362E-4</v>
      </c>
      <c r="E18629" s="1">
        <v>0</v>
      </c>
      <c r="F18629" s="1">
        <v>1.7691600028306499E-4</v>
      </c>
    </row>
    <row r="18630" spans="1:6" x14ac:dyDescent="0.25">
      <c r="A18630" s="2" t="str">
        <f t="shared" si="667"/>
        <v>24740</v>
      </c>
      <c r="B18630" s="2" t="str">
        <f>"38773"</f>
        <v>38773</v>
      </c>
      <c r="C18630" s="1">
        <v>4.0397511513290701E-5</v>
      </c>
      <c r="D18630" s="1">
        <v>0</v>
      </c>
      <c r="E18630" s="1">
        <v>0</v>
      </c>
      <c r="F18630" s="1">
        <v>3.5383200056613097E-5</v>
      </c>
    </row>
    <row r="18631" spans="1:6" x14ac:dyDescent="0.25">
      <c r="A18631" s="2" t="str">
        <f t="shared" si="667"/>
        <v>24740</v>
      </c>
      <c r="B18631" s="2" t="str">
        <f>"38776"</f>
        <v>38776</v>
      </c>
      <c r="C18631" s="1">
        <v>8.0795023026581498E-5</v>
      </c>
      <c r="D18631" s="1">
        <v>3.50385423966362E-4</v>
      </c>
      <c r="E18631" s="1">
        <v>0</v>
      </c>
      <c r="F18631" s="1">
        <v>1.06149600169839E-4</v>
      </c>
    </row>
    <row r="18632" spans="1:6" x14ac:dyDescent="0.25">
      <c r="A18632" s="2" t="str">
        <f t="shared" si="667"/>
        <v>24740</v>
      </c>
      <c r="B18632" s="2" t="str">
        <f>"38756"</f>
        <v>38756</v>
      </c>
      <c r="C18632" s="1">
        <v>0.14074493011230499</v>
      </c>
      <c r="D18632" s="1">
        <v>0.124036440084092</v>
      </c>
      <c r="E18632" s="1">
        <v>0.13761467889908199</v>
      </c>
      <c r="F18632" s="1">
        <v>0.138985209822376</v>
      </c>
    </row>
    <row r="18633" spans="1:6" x14ac:dyDescent="0.25">
      <c r="A18633" s="2" t="str">
        <f t="shared" si="667"/>
        <v>24740</v>
      </c>
      <c r="B18633" s="2" t="str">
        <f>"38748"</f>
        <v>38748</v>
      </c>
      <c r="C18633" s="1">
        <v>7.2513533166356905E-2</v>
      </c>
      <c r="D18633" s="1">
        <v>4.9754730203223498E-2</v>
      </c>
      <c r="E18633" s="1">
        <v>3.2110091743119198E-2</v>
      </c>
      <c r="F18633" s="1">
        <v>6.9280305710848394E-2</v>
      </c>
    </row>
    <row r="18634" spans="1:6" x14ac:dyDescent="0.25">
      <c r="A18634" s="2" t="str">
        <f t="shared" si="667"/>
        <v>24740</v>
      </c>
      <c r="B18634" s="2" t="str">
        <f>"38731"</f>
        <v>38731</v>
      </c>
      <c r="C18634" s="1">
        <v>1.05033529934556E-3</v>
      </c>
      <c r="D18634" s="1">
        <v>3.50385423966362E-4</v>
      </c>
      <c r="E18634" s="1">
        <v>0</v>
      </c>
      <c r="F18634" s="1">
        <v>9.5534640152855404E-4</v>
      </c>
    </row>
    <row r="18635" spans="1:6" x14ac:dyDescent="0.25">
      <c r="A18635" s="2" t="str">
        <f t="shared" si="667"/>
        <v>24740</v>
      </c>
      <c r="B18635" s="2" t="str">
        <f>"38723"</f>
        <v>38723</v>
      </c>
      <c r="C18635" s="1">
        <v>0</v>
      </c>
      <c r="D18635" s="1">
        <v>3.50385423966362E-4</v>
      </c>
      <c r="E18635" s="1">
        <v>0</v>
      </c>
      <c r="F18635" s="1">
        <v>3.5383200056613097E-5</v>
      </c>
    </row>
    <row r="18636" spans="1:6" x14ac:dyDescent="0.25">
      <c r="A18636" s="2" t="str">
        <f t="shared" si="667"/>
        <v>24740</v>
      </c>
      <c r="B18636" s="2" t="str">
        <f>"38703"</f>
        <v>38703</v>
      </c>
      <c r="C18636" s="1">
        <v>0.26226064474428301</v>
      </c>
      <c r="D18636" s="1">
        <v>0.2302032235459</v>
      </c>
      <c r="E18636" s="1">
        <v>0.10703363914373</v>
      </c>
      <c r="F18636" s="1">
        <v>0.25543132120869</v>
      </c>
    </row>
    <row r="18637" spans="1:6" x14ac:dyDescent="0.25">
      <c r="A18637" s="2" t="str">
        <f t="shared" ref="A18637:A18660" si="668">"25620"</f>
        <v>25620</v>
      </c>
      <c r="B18637" s="2" t="str">
        <f>"39402"</f>
        <v>39402</v>
      </c>
      <c r="C18637" s="1">
        <v>0.233850347492087</v>
      </c>
      <c r="D18637" s="1">
        <v>0.27020811774175002</v>
      </c>
      <c r="E18637" s="1">
        <v>0.31496437054631798</v>
      </c>
      <c r="F18637" s="1">
        <v>0.23874032194896599</v>
      </c>
    </row>
    <row r="18638" spans="1:6" x14ac:dyDescent="0.25">
      <c r="A18638" s="2" t="str">
        <f t="shared" si="668"/>
        <v>25620</v>
      </c>
      <c r="B18638" s="2" t="str">
        <f>"39119"</f>
        <v>39119</v>
      </c>
      <c r="C18638" s="1">
        <v>1.8405253494632699E-2</v>
      </c>
      <c r="D18638" s="1">
        <v>4.3693227549729697E-3</v>
      </c>
      <c r="E18638" s="1">
        <v>2.8503562945368099E-3</v>
      </c>
      <c r="F18638" s="1">
        <v>1.68506040308894E-2</v>
      </c>
    </row>
    <row r="18639" spans="1:6" x14ac:dyDescent="0.25">
      <c r="A18639" s="2" t="str">
        <f t="shared" si="668"/>
        <v>25620</v>
      </c>
      <c r="B18639" s="2" t="str">
        <f>"39482"</f>
        <v>39482</v>
      </c>
      <c r="C18639" s="1">
        <v>5.8099325290890798E-2</v>
      </c>
      <c r="D18639" s="1">
        <v>2.3456364263539101E-2</v>
      </c>
      <c r="E18639" s="1">
        <v>8.0760095011876403E-3</v>
      </c>
      <c r="F18639" s="1">
        <v>5.4016328416063297E-2</v>
      </c>
    </row>
    <row r="18640" spans="1:6" x14ac:dyDescent="0.25">
      <c r="A18640" s="2" t="str">
        <f t="shared" si="668"/>
        <v>25620</v>
      </c>
      <c r="B18640" s="2" t="str">
        <f>"39407"</f>
        <v>39407</v>
      </c>
      <c r="C18640" s="1">
        <v>0</v>
      </c>
      <c r="D18640" s="1">
        <v>2.2996435552489301E-4</v>
      </c>
      <c r="E18640" s="1">
        <v>0</v>
      </c>
      <c r="F18640" s="1">
        <v>2.0084152599391402E-5</v>
      </c>
    </row>
    <row r="18641" spans="1:6" x14ac:dyDescent="0.25">
      <c r="A18641" s="2" t="str">
        <f t="shared" si="668"/>
        <v>25620</v>
      </c>
      <c r="B18641" s="2" t="str">
        <f>"39404"</f>
        <v>39404</v>
      </c>
      <c r="C18641" s="1">
        <v>2.252785005463E-2</v>
      </c>
      <c r="D18641" s="1">
        <v>8.2787167988961699E-2</v>
      </c>
      <c r="E18641" s="1">
        <v>9.5011876484560505E-4</v>
      </c>
      <c r="F18641" s="1">
        <v>2.7334531687771699E-2</v>
      </c>
    </row>
    <row r="18642" spans="1:6" x14ac:dyDescent="0.25">
      <c r="A18642" s="2" t="str">
        <f t="shared" si="668"/>
        <v>25620</v>
      </c>
      <c r="B18642" s="2" t="str">
        <f>"39479"</f>
        <v>39479</v>
      </c>
      <c r="C18642" s="1">
        <v>2.64589598891629E-2</v>
      </c>
      <c r="D18642" s="1">
        <v>7.7038059100839303E-3</v>
      </c>
      <c r="E18642" s="1">
        <v>0</v>
      </c>
      <c r="F18642" s="1">
        <v>2.4261656340064799E-2</v>
      </c>
    </row>
    <row r="18643" spans="1:6" x14ac:dyDescent="0.25">
      <c r="A18643" s="2" t="str">
        <f t="shared" si="668"/>
        <v>25620</v>
      </c>
      <c r="B18643" s="2" t="str">
        <f>"39476"</f>
        <v>39476</v>
      </c>
      <c r="C18643" s="1">
        <v>2.67067662397639E-2</v>
      </c>
      <c r="D18643" s="1">
        <v>1.2073128665056901E-2</v>
      </c>
      <c r="E18643" s="1">
        <v>2.8503562945368099E-3</v>
      </c>
      <c r="F18643" s="1">
        <v>2.4924433375844698E-2</v>
      </c>
    </row>
    <row r="18644" spans="1:6" x14ac:dyDescent="0.25">
      <c r="A18644" s="2" t="str">
        <f t="shared" si="668"/>
        <v>25620</v>
      </c>
      <c r="B18644" s="2" t="str">
        <f>"39475"</f>
        <v>39475</v>
      </c>
      <c r="C18644" s="1">
        <v>8.2406875499836593E-2</v>
      </c>
      <c r="D18644" s="1">
        <v>4.4153156260779501E-2</v>
      </c>
      <c r="E18644" s="1">
        <v>5.4631828978622302E-2</v>
      </c>
      <c r="F18644" s="1">
        <v>7.8478826282121994E-2</v>
      </c>
    </row>
    <row r="18645" spans="1:6" x14ac:dyDescent="0.25">
      <c r="A18645" s="2" t="str">
        <f t="shared" si="668"/>
        <v>25620</v>
      </c>
      <c r="B18645" s="2" t="str">
        <f>"39455"</f>
        <v>39455</v>
      </c>
      <c r="C18645" s="1">
        <v>4.0234740197569202E-2</v>
      </c>
      <c r="D18645" s="1">
        <v>2.3801310796826399E-2</v>
      </c>
      <c r="E18645" s="1">
        <v>1.14014251781472E-2</v>
      </c>
      <c r="F18645" s="1">
        <v>3.8190016167742799E-2</v>
      </c>
    </row>
    <row r="18646" spans="1:6" x14ac:dyDescent="0.25">
      <c r="A18646" s="2" t="str">
        <f t="shared" si="668"/>
        <v>25620</v>
      </c>
      <c r="B18646" s="2" t="str">
        <f>"39168"</f>
        <v>39168</v>
      </c>
      <c r="C18646" s="1">
        <v>4.46051431081674E-3</v>
      </c>
      <c r="D18646" s="1">
        <v>1.14982177762446E-4</v>
      </c>
      <c r="E18646" s="1">
        <v>0</v>
      </c>
      <c r="F18646" s="1">
        <v>3.9867042909791997E-3</v>
      </c>
    </row>
    <row r="18647" spans="1:6" x14ac:dyDescent="0.25">
      <c r="A18647" s="2" t="str">
        <f t="shared" si="668"/>
        <v>25620</v>
      </c>
      <c r="B18647" s="2" t="str">
        <f>"39465"</f>
        <v>39465</v>
      </c>
      <c r="C18647" s="1">
        <v>0.125367485554016</v>
      </c>
      <c r="D18647" s="1">
        <v>0.107393354030125</v>
      </c>
      <c r="E18647" s="1">
        <v>7.6009501187648404E-2</v>
      </c>
      <c r="F18647" s="1">
        <v>0.12275434068748001</v>
      </c>
    </row>
    <row r="18648" spans="1:6" x14ac:dyDescent="0.25">
      <c r="A18648" s="2" t="str">
        <f t="shared" si="668"/>
        <v>25620</v>
      </c>
      <c r="B18648" s="2" t="str">
        <f>"39464"</f>
        <v>39464</v>
      </c>
      <c r="C18648" s="1">
        <v>1.39672670338706E-3</v>
      </c>
      <c r="D18648" s="1">
        <v>2.2996435552489301E-4</v>
      </c>
      <c r="E18648" s="1">
        <v>0</v>
      </c>
      <c r="F18648" s="1">
        <v>1.2653016137616599E-3</v>
      </c>
    </row>
    <row r="18649" spans="1:6" x14ac:dyDescent="0.25">
      <c r="A18649" s="2" t="str">
        <f t="shared" si="668"/>
        <v>25620</v>
      </c>
      <c r="B18649" s="2" t="str">
        <f>"39423"</f>
        <v>39423</v>
      </c>
      <c r="C18649" s="1">
        <v>1.1455411752779299E-2</v>
      </c>
      <c r="D18649" s="1">
        <v>2.8745544440611699E-3</v>
      </c>
      <c r="E18649" s="1">
        <v>9.5011876484560505E-4</v>
      </c>
      <c r="F18649" s="1">
        <v>1.0483927656882301E-2</v>
      </c>
    </row>
    <row r="18650" spans="1:6" x14ac:dyDescent="0.25">
      <c r="A18650" s="2" t="str">
        <f t="shared" si="668"/>
        <v>25620</v>
      </c>
      <c r="B18650" s="2" t="str">
        <f>"39428"</f>
        <v>39428</v>
      </c>
      <c r="C18650" s="1">
        <v>4.7950528841280003E-2</v>
      </c>
      <c r="D18650" s="1">
        <v>3.48395998620213E-2</v>
      </c>
      <c r="E18650" s="1">
        <v>6.6508313539192301E-3</v>
      </c>
      <c r="F18650" s="1">
        <v>4.5932456994808198E-2</v>
      </c>
    </row>
    <row r="18651" spans="1:6" x14ac:dyDescent="0.25">
      <c r="A18651" s="2" t="str">
        <f t="shared" si="668"/>
        <v>25620</v>
      </c>
      <c r="B18651" s="2" t="str">
        <f>"39456"</f>
        <v>39456</v>
      </c>
      <c r="C18651" s="1">
        <v>8.8985007715788596E-4</v>
      </c>
      <c r="D18651" s="1">
        <v>0</v>
      </c>
      <c r="E18651" s="1">
        <v>0</v>
      </c>
      <c r="F18651" s="1">
        <v>7.9332402767596198E-4</v>
      </c>
    </row>
    <row r="18652" spans="1:6" x14ac:dyDescent="0.25">
      <c r="A18652" s="2" t="str">
        <f t="shared" si="668"/>
        <v>25620</v>
      </c>
      <c r="B18652" s="2" t="str">
        <f>"39437"</f>
        <v>39437</v>
      </c>
      <c r="C18652" s="1">
        <v>1.5769495038241E-4</v>
      </c>
      <c r="D18652" s="1">
        <v>0</v>
      </c>
      <c r="E18652" s="1">
        <v>0</v>
      </c>
      <c r="F18652" s="1">
        <v>1.4058906819574001E-4</v>
      </c>
    </row>
    <row r="18653" spans="1:6" x14ac:dyDescent="0.25">
      <c r="A18653" s="2" t="str">
        <f t="shared" si="668"/>
        <v>25620</v>
      </c>
      <c r="B18653" s="2" t="str">
        <f>"39425"</f>
        <v>39425</v>
      </c>
      <c r="C18653" s="1">
        <v>1.0475450275402899E-2</v>
      </c>
      <c r="D18653" s="1">
        <v>4.7142692882603098E-3</v>
      </c>
      <c r="E18653" s="1">
        <v>2.37529691211401E-3</v>
      </c>
      <c r="F18653" s="1">
        <v>9.80106646850302E-3</v>
      </c>
    </row>
    <row r="18654" spans="1:6" x14ac:dyDescent="0.25">
      <c r="A18654" s="2" t="str">
        <f t="shared" si="668"/>
        <v>25620</v>
      </c>
      <c r="B18654" s="2" t="str">
        <f>"39403"</f>
        <v>39403</v>
      </c>
      <c r="C18654" s="1">
        <v>1.08584237263316E-2</v>
      </c>
      <c r="D18654" s="1">
        <v>5.0017247326664301E-2</v>
      </c>
      <c r="E18654" s="1">
        <v>9.5011876484560505E-4</v>
      </c>
      <c r="F18654" s="1">
        <v>1.4068948895873699E-2</v>
      </c>
    </row>
    <row r="18655" spans="1:6" x14ac:dyDescent="0.25">
      <c r="A18655" s="2" t="str">
        <f t="shared" si="668"/>
        <v>25620</v>
      </c>
      <c r="B18655" s="2" t="str">
        <f>"39577"</f>
        <v>39577</v>
      </c>
      <c r="C18655" s="1">
        <v>8.7633336712510806E-3</v>
      </c>
      <c r="D18655" s="1">
        <v>5.1741979993101001E-3</v>
      </c>
      <c r="E18655" s="1">
        <v>1.9002375296912101E-3</v>
      </c>
      <c r="F18655" s="1">
        <v>8.3047970998483597E-3</v>
      </c>
    </row>
    <row r="18656" spans="1:6" x14ac:dyDescent="0.25">
      <c r="A18656" s="2" t="str">
        <f t="shared" si="668"/>
        <v>25620</v>
      </c>
      <c r="B18656" s="2" t="str">
        <f>"39429"</f>
        <v>39429</v>
      </c>
      <c r="C18656" s="1">
        <v>8.7858615213057105E-4</v>
      </c>
      <c r="D18656" s="1">
        <v>0</v>
      </c>
      <c r="E18656" s="1">
        <v>0</v>
      </c>
      <c r="F18656" s="1">
        <v>7.83281951376266E-4</v>
      </c>
    </row>
    <row r="18657" spans="1:6" x14ac:dyDescent="0.25">
      <c r="A18657" s="2" t="str">
        <f t="shared" si="668"/>
        <v>25620</v>
      </c>
      <c r="B18657" s="2" t="str">
        <f>"39406"</f>
        <v>39406</v>
      </c>
      <c r="C18657" s="1">
        <v>0</v>
      </c>
      <c r="D18657" s="1">
        <v>3.4494653328734002E-4</v>
      </c>
      <c r="E18657" s="1">
        <v>0</v>
      </c>
      <c r="F18657" s="1">
        <v>3.0126228899087099E-5</v>
      </c>
    </row>
    <row r="18658" spans="1:6" x14ac:dyDescent="0.25">
      <c r="A18658" s="2" t="str">
        <f t="shared" si="668"/>
        <v>25620</v>
      </c>
      <c r="B18658" s="2" t="str">
        <f>"39474"</f>
        <v>39474</v>
      </c>
      <c r="C18658" s="1">
        <v>1.01375325245835E-4</v>
      </c>
      <c r="D18658" s="1">
        <v>0</v>
      </c>
      <c r="E18658" s="1">
        <v>0</v>
      </c>
      <c r="F18658" s="1">
        <v>9.0378686697261494E-5</v>
      </c>
    </row>
    <row r="18659" spans="1:6" x14ac:dyDescent="0.25">
      <c r="A18659" s="2" t="str">
        <f t="shared" si="668"/>
        <v>25620</v>
      </c>
      <c r="B18659" s="2" t="str">
        <f>"39401"</f>
        <v>39401</v>
      </c>
      <c r="C18659" s="1">
        <v>0.26269725948703998</v>
      </c>
      <c r="D18659" s="1">
        <v>0.32378981257904998</v>
      </c>
      <c r="E18659" s="1">
        <v>0.51353919239904899</v>
      </c>
      <c r="F18659" s="1">
        <v>0.27333527480141701</v>
      </c>
    </row>
    <row r="18660" spans="1:6" x14ac:dyDescent="0.25">
      <c r="A18660" s="2" t="str">
        <f t="shared" si="668"/>
        <v>25620</v>
      </c>
      <c r="B18660" s="2" t="str">
        <f>"39462"</f>
        <v>39462</v>
      </c>
      <c r="C18660" s="1">
        <v>5.8572410142037996E-3</v>
      </c>
      <c r="D18660" s="1">
        <v>1.7247326664367E-3</v>
      </c>
      <c r="E18660" s="1">
        <v>1.9002375296912101E-3</v>
      </c>
      <c r="F18660" s="1">
        <v>5.4126791255359897E-3</v>
      </c>
    </row>
    <row r="18661" spans="1:6" x14ac:dyDescent="0.25">
      <c r="A18661" s="2" t="str">
        <f t="shared" ref="A18661:A18704" si="669">"25060"</f>
        <v>25060</v>
      </c>
      <c r="B18661" s="2" t="str">
        <f>"39573"</f>
        <v>39573</v>
      </c>
      <c r="C18661" s="1">
        <v>1.82204308065704E-2</v>
      </c>
      <c r="D18661" s="1">
        <v>5.5245844005825896E-3</v>
      </c>
      <c r="E18661" s="1">
        <v>4.2181379933714904E-3</v>
      </c>
      <c r="F18661" s="1">
        <v>1.70420538667506E-2</v>
      </c>
    </row>
    <row r="18662" spans="1:6" x14ac:dyDescent="0.25">
      <c r="A18662" s="2" t="str">
        <f t="shared" si="669"/>
        <v>25060</v>
      </c>
      <c r="B18662" s="2" t="str">
        <f>"39569"</f>
        <v>39569</v>
      </c>
      <c r="C18662" s="1">
        <v>1.77696875135439E-3</v>
      </c>
      <c r="D18662" s="1">
        <v>3.51564461855255E-3</v>
      </c>
      <c r="E18662" s="1">
        <v>6.0259114191021305E-4</v>
      </c>
      <c r="F18662" s="1">
        <v>1.89793668294219E-3</v>
      </c>
    </row>
    <row r="18663" spans="1:6" x14ac:dyDescent="0.25">
      <c r="A18663" s="2" t="str">
        <f t="shared" si="669"/>
        <v>25060</v>
      </c>
      <c r="B18663" s="2" t="str">
        <f>"39562"</f>
        <v>39562</v>
      </c>
      <c r="C18663" s="1">
        <v>3.9179993932301801E-2</v>
      </c>
      <c r="D18663" s="1">
        <v>2.0742303249460001E-2</v>
      </c>
      <c r="E18663" s="1">
        <v>1.3558300692979801E-2</v>
      </c>
      <c r="F18663" s="1">
        <v>3.7399590486690802E-2</v>
      </c>
    </row>
    <row r="18664" spans="1:6" x14ac:dyDescent="0.25">
      <c r="A18664" s="2" t="str">
        <f t="shared" si="669"/>
        <v>25060</v>
      </c>
      <c r="B18664" s="2" t="str">
        <f>"39555"</f>
        <v>39555</v>
      </c>
      <c r="C18664" s="1">
        <v>0</v>
      </c>
      <c r="D18664" s="1">
        <v>1.00446989101501E-4</v>
      </c>
      <c r="E18664" s="1">
        <v>0</v>
      </c>
      <c r="F18664" s="1">
        <v>7.87525594581823E-6</v>
      </c>
    </row>
    <row r="18665" spans="1:6" x14ac:dyDescent="0.25">
      <c r="A18665" s="2" t="str">
        <f t="shared" si="669"/>
        <v>25060</v>
      </c>
      <c r="B18665" s="2" t="str">
        <f>"39535"</f>
        <v>39535</v>
      </c>
      <c r="C18665" s="1">
        <v>6.2670654011181904E-3</v>
      </c>
      <c r="D18665" s="1">
        <v>1.19029682085279E-2</v>
      </c>
      <c r="E18665" s="1">
        <v>6.0259114191021305E-4</v>
      </c>
      <c r="F18665" s="1">
        <v>6.6349031343518597E-3</v>
      </c>
    </row>
    <row r="18666" spans="1:6" x14ac:dyDescent="0.25">
      <c r="A18666" s="2" t="str">
        <f t="shared" si="669"/>
        <v>25060</v>
      </c>
      <c r="B18666" s="2" t="str">
        <f>"39533"</f>
        <v>39533</v>
      </c>
      <c r="C18666" s="1">
        <v>4.1173666189918898E-3</v>
      </c>
      <c r="D18666" s="1">
        <v>1.76786700818642E-2</v>
      </c>
      <c r="E18666" s="1">
        <v>6.0259114191021305E-4</v>
      </c>
      <c r="F18666" s="1">
        <v>5.1346668766734903E-3</v>
      </c>
    </row>
    <row r="18667" spans="1:6" x14ac:dyDescent="0.25">
      <c r="A18667" s="2" t="str">
        <f t="shared" si="669"/>
        <v>25060</v>
      </c>
      <c r="B18667" s="2" t="str">
        <f>"39530"</f>
        <v>39530</v>
      </c>
      <c r="C18667" s="1">
        <v>2.4912235079963499E-2</v>
      </c>
      <c r="D18667" s="1">
        <v>4.6506955953995198E-2</v>
      </c>
      <c r="E18667" s="1">
        <v>4.8508586923772197E-2</v>
      </c>
      <c r="F18667" s="1">
        <v>2.6913687194833801E-2</v>
      </c>
    </row>
    <row r="18668" spans="1:6" x14ac:dyDescent="0.25">
      <c r="A18668" s="2" t="str">
        <f t="shared" si="669"/>
        <v>25060</v>
      </c>
      <c r="B18668" s="2" t="str">
        <f>"39503"</f>
        <v>39503</v>
      </c>
      <c r="C18668" s="1">
        <v>0.10302084687730199</v>
      </c>
      <c r="D18668" s="1">
        <v>0.10104967103611</v>
      </c>
      <c r="E18668" s="1">
        <v>8.1651099728833901E-2</v>
      </c>
      <c r="F18668" s="1">
        <v>0.102587021578201</v>
      </c>
    </row>
    <row r="18669" spans="1:6" x14ac:dyDescent="0.25">
      <c r="A18669" s="2" t="str">
        <f t="shared" si="669"/>
        <v>25060</v>
      </c>
      <c r="B18669" s="2" t="str">
        <f>"39565"</f>
        <v>39565</v>
      </c>
      <c r="C18669" s="1">
        <v>4.1750097516577801E-2</v>
      </c>
      <c r="D18669" s="1">
        <v>2.0390738787604799E-2</v>
      </c>
      <c r="E18669" s="1">
        <v>2.10906899668574E-3</v>
      </c>
      <c r="F18669" s="1">
        <v>3.9557410615845001E-2</v>
      </c>
    </row>
    <row r="18670" spans="1:6" x14ac:dyDescent="0.25">
      <c r="A18670" s="2" t="str">
        <f t="shared" si="669"/>
        <v>25060</v>
      </c>
      <c r="B18670" s="2" t="str">
        <f>"39532"</f>
        <v>39532</v>
      </c>
      <c r="C18670" s="1">
        <v>6.9852208208728797E-2</v>
      </c>
      <c r="D18670" s="1">
        <v>4.0078348651499097E-2</v>
      </c>
      <c r="E18670" s="1">
        <v>5.6342271768604998E-2</v>
      </c>
      <c r="F18670" s="1">
        <v>6.7341313592691701E-2</v>
      </c>
    </row>
    <row r="18671" spans="1:6" x14ac:dyDescent="0.25">
      <c r="A18671" s="2" t="str">
        <f t="shared" si="669"/>
        <v>25060</v>
      </c>
      <c r="B18671" s="2" t="str">
        <f>"39507"</f>
        <v>39507</v>
      </c>
      <c r="C18671" s="1">
        <v>4.2361201404238699E-2</v>
      </c>
      <c r="D18671" s="1">
        <v>4.8716789714228298E-2</v>
      </c>
      <c r="E18671" s="1">
        <v>0.10545344983428701</v>
      </c>
      <c r="F18671" s="1">
        <v>4.3684044731453701E-2</v>
      </c>
    </row>
    <row r="18672" spans="1:6" x14ac:dyDescent="0.25">
      <c r="A18672" s="2" t="str">
        <f t="shared" si="669"/>
        <v>25060</v>
      </c>
      <c r="B18672" s="2" t="str">
        <f>"39595"</f>
        <v>39595</v>
      </c>
      <c r="C18672" s="1">
        <v>0</v>
      </c>
      <c r="D18672" s="1">
        <v>0</v>
      </c>
      <c r="E18672" s="1">
        <v>3.0129557095510598E-4</v>
      </c>
      <c r="F18672" s="1">
        <v>3.9376279729091099E-6</v>
      </c>
    </row>
    <row r="18673" spans="1:6" x14ac:dyDescent="0.25">
      <c r="A18673" s="2" t="str">
        <f t="shared" si="669"/>
        <v>25060</v>
      </c>
      <c r="B18673" s="2" t="str">
        <f>"39563"</f>
        <v>39563</v>
      </c>
      <c r="C18673" s="1">
        <v>3.1161964200580702E-2</v>
      </c>
      <c r="D18673" s="1">
        <v>3.7868514891266102E-2</v>
      </c>
      <c r="E18673" s="1">
        <v>4.0976197649894498E-2</v>
      </c>
      <c r="F18673" s="1">
        <v>3.1816034021105603E-2</v>
      </c>
    </row>
    <row r="18674" spans="1:6" x14ac:dyDescent="0.25">
      <c r="A18674" s="2" t="str">
        <f t="shared" si="669"/>
        <v>25060</v>
      </c>
      <c r="B18674" s="2" t="str">
        <f>"39540"</f>
        <v>39540</v>
      </c>
      <c r="C18674" s="1">
        <v>3.1547696441728397E-2</v>
      </c>
      <c r="D18674" s="1">
        <v>5.5547184973130402E-2</v>
      </c>
      <c r="E18674" s="1">
        <v>4.8207291352817101E-2</v>
      </c>
      <c r="F18674" s="1">
        <v>3.3647031028508398E-2</v>
      </c>
    </row>
    <row r="18675" spans="1:6" x14ac:dyDescent="0.25">
      <c r="A18675" s="2" t="str">
        <f t="shared" si="669"/>
        <v>25060</v>
      </c>
      <c r="B18675" s="2" t="str">
        <f>"39561"</f>
        <v>39561</v>
      </c>
      <c r="C18675" s="1">
        <v>4.0956962683656199E-3</v>
      </c>
      <c r="D18675" s="1">
        <v>1.5067048365225201E-3</v>
      </c>
      <c r="E18675" s="1">
        <v>0</v>
      </c>
      <c r="F18675" s="1">
        <v>3.8391872735863901E-3</v>
      </c>
    </row>
    <row r="18676" spans="1:6" x14ac:dyDescent="0.25">
      <c r="A18676" s="2" t="str">
        <f t="shared" si="669"/>
        <v>25060</v>
      </c>
      <c r="B18676" s="2" t="str">
        <f>"39501"</f>
        <v>39501</v>
      </c>
      <c r="C18676" s="1">
        <v>5.0634941273349797E-2</v>
      </c>
      <c r="D18676" s="1">
        <v>8.4174576867058398E-2</v>
      </c>
      <c r="E18676" s="1">
        <v>0.158782765893341</v>
      </c>
      <c r="F18676" s="1">
        <v>5.4677902031816002E-2</v>
      </c>
    </row>
    <row r="18677" spans="1:6" x14ac:dyDescent="0.25">
      <c r="A18677" s="2" t="str">
        <f t="shared" si="669"/>
        <v>25060</v>
      </c>
      <c r="B18677" s="2" t="str">
        <f>"39520"</f>
        <v>39520</v>
      </c>
      <c r="C18677" s="1">
        <v>4.8303211545962801E-2</v>
      </c>
      <c r="D18677" s="1">
        <v>4.3342875797297897E-2</v>
      </c>
      <c r="E18677" s="1">
        <v>3.4347695088882101E-2</v>
      </c>
      <c r="F18677" s="1">
        <v>4.7731926287604302E-2</v>
      </c>
    </row>
    <row r="18678" spans="1:6" x14ac:dyDescent="0.25">
      <c r="A18678" s="2" t="str">
        <f t="shared" si="669"/>
        <v>25060</v>
      </c>
      <c r="B18678" s="2" t="str">
        <f>"39506"</f>
        <v>39506</v>
      </c>
      <c r="C18678" s="1">
        <v>7.6799722619511901E-3</v>
      </c>
      <c r="D18678" s="1">
        <v>2.02902917985033E-2</v>
      </c>
      <c r="E18678" s="1">
        <v>6.0259114191021305E-4</v>
      </c>
      <c r="F18678" s="1">
        <v>8.5761537249960593E-3</v>
      </c>
    </row>
    <row r="18679" spans="1:6" x14ac:dyDescent="0.25">
      <c r="A18679" s="2" t="str">
        <f t="shared" si="669"/>
        <v>25060</v>
      </c>
      <c r="B18679" s="2" t="str">
        <f>"39567"</f>
        <v>39567</v>
      </c>
      <c r="C18679" s="1">
        <v>2.5917739349022601E-2</v>
      </c>
      <c r="D18679" s="1">
        <v>5.5145397016724398E-2</v>
      </c>
      <c r="E18679" s="1">
        <v>4.6098222356131299E-2</v>
      </c>
      <c r="F18679" s="1">
        <v>2.8472987872105799E-2</v>
      </c>
    </row>
    <row r="18680" spans="1:6" x14ac:dyDescent="0.25">
      <c r="A18680" s="2" t="str">
        <f t="shared" si="669"/>
        <v>25060</v>
      </c>
      <c r="B18680" s="2" t="str">
        <f>"39522"</f>
        <v>39522</v>
      </c>
      <c r="C18680" s="1">
        <v>8.6681402505092508E-6</v>
      </c>
      <c r="D18680" s="1">
        <v>0</v>
      </c>
      <c r="E18680" s="1">
        <v>0</v>
      </c>
      <c r="F18680" s="1">
        <v>7.87525594581823E-6</v>
      </c>
    </row>
    <row r="18681" spans="1:6" x14ac:dyDescent="0.25">
      <c r="A18681" s="2" t="str">
        <f t="shared" si="669"/>
        <v>25060</v>
      </c>
      <c r="B18681" s="2" t="str">
        <f>"39531"</f>
        <v>39531</v>
      </c>
      <c r="C18681" s="1">
        <v>4.80865080397E-2</v>
      </c>
      <c r="D18681" s="1">
        <v>5.49445030385214E-2</v>
      </c>
      <c r="E18681" s="1">
        <v>7.6529075022597107E-2</v>
      </c>
      <c r="F18681" s="1">
        <v>4.8995904866908101E-2</v>
      </c>
    </row>
    <row r="18682" spans="1:6" x14ac:dyDescent="0.25">
      <c r="A18682" s="2" t="str">
        <f t="shared" si="669"/>
        <v>25060</v>
      </c>
      <c r="B18682" s="2" t="str">
        <f>"39455"</f>
        <v>39455</v>
      </c>
      <c r="C18682" s="1">
        <v>1.3912365102067301E-3</v>
      </c>
      <c r="D18682" s="1">
        <v>4.0178795640600601E-4</v>
      </c>
      <c r="E18682" s="1">
        <v>0</v>
      </c>
      <c r="F18682" s="1">
        <v>1.2954796030871E-3</v>
      </c>
    </row>
    <row r="18683" spans="1:6" x14ac:dyDescent="0.25">
      <c r="A18683" s="2" t="str">
        <f t="shared" si="669"/>
        <v>25060</v>
      </c>
      <c r="B18683" s="2" t="str">
        <f>"39574"</f>
        <v>39574</v>
      </c>
      <c r="C18683" s="1">
        <v>3.1669050405235502E-2</v>
      </c>
      <c r="D18683" s="1">
        <v>1.14509567575711E-2</v>
      </c>
      <c r="E18683" s="1">
        <v>9.6414582705634192E-3</v>
      </c>
      <c r="F18683" s="1">
        <v>2.9796030871003298E-2</v>
      </c>
    </row>
    <row r="18684" spans="1:6" x14ac:dyDescent="0.25">
      <c r="A18684" s="2" t="str">
        <f t="shared" si="669"/>
        <v>25060</v>
      </c>
      <c r="B18684" s="2" t="str">
        <f>"39581"</f>
        <v>39581</v>
      </c>
      <c r="C18684" s="1">
        <v>2.8743553070688599E-2</v>
      </c>
      <c r="D18684" s="1">
        <v>2.5463311737230598E-2</v>
      </c>
      <c r="E18684" s="1">
        <v>4.6700813498041498E-2</v>
      </c>
      <c r="F18684" s="1">
        <v>2.8721058434399101E-2</v>
      </c>
    </row>
    <row r="18685" spans="1:6" x14ac:dyDescent="0.25">
      <c r="A18685" s="2" t="str">
        <f t="shared" si="669"/>
        <v>25060</v>
      </c>
      <c r="B18685" s="2" t="str">
        <f>"39558"</f>
        <v>39558</v>
      </c>
      <c r="C18685" s="1">
        <v>0</v>
      </c>
      <c r="D18685" s="1">
        <v>5.0223494550750798E-5</v>
      </c>
      <c r="E18685" s="1">
        <v>0</v>
      </c>
      <c r="F18685" s="1">
        <v>3.9376279729091099E-6</v>
      </c>
    </row>
    <row r="18686" spans="1:6" x14ac:dyDescent="0.25">
      <c r="A18686" s="2" t="str">
        <f t="shared" si="669"/>
        <v>25060</v>
      </c>
      <c r="B18686" s="2" t="str">
        <f>"39560"</f>
        <v>39560</v>
      </c>
      <c r="C18686" s="1">
        <v>4.2434880596367998E-2</v>
      </c>
      <c r="D18686" s="1">
        <v>3.3499070865350797E-2</v>
      </c>
      <c r="E18686" s="1">
        <v>7.2913528171135805E-2</v>
      </c>
      <c r="F18686" s="1">
        <v>4.2132619310127503E-2</v>
      </c>
    </row>
    <row r="18687" spans="1:6" x14ac:dyDescent="0.25">
      <c r="A18687" s="2" t="str">
        <f t="shared" si="669"/>
        <v>25060</v>
      </c>
      <c r="B18687" s="2" t="str">
        <f>"39566"</f>
        <v>39566</v>
      </c>
      <c r="C18687" s="1">
        <v>5.1792137996792701E-3</v>
      </c>
      <c r="D18687" s="1">
        <v>2.07925267440108E-2</v>
      </c>
      <c r="E18687" s="1">
        <v>6.0259114191021305E-4</v>
      </c>
      <c r="F18687" s="1">
        <v>6.34351866435659E-3</v>
      </c>
    </row>
    <row r="18688" spans="1:6" x14ac:dyDescent="0.25">
      <c r="A18688" s="2" t="str">
        <f t="shared" si="669"/>
        <v>25060</v>
      </c>
      <c r="B18688" s="2" t="str">
        <f>"39572"</f>
        <v>39572</v>
      </c>
      <c r="C18688" s="1">
        <v>2.7087938282841402E-3</v>
      </c>
      <c r="D18688" s="1">
        <v>9.0402290191351499E-4</v>
      </c>
      <c r="E18688" s="1">
        <v>0</v>
      </c>
      <c r="F18688" s="1">
        <v>2.53189478658056E-3</v>
      </c>
    </row>
    <row r="18689" spans="1:6" x14ac:dyDescent="0.25">
      <c r="A18689" s="2" t="str">
        <f t="shared" si="669"/>
        <v>25060</v>
      </c>
      <c r="B18689" s="2" t="str">
        <f>"39571"</f>
        <v>39571</v>
      </c>
      <c r="C18689" s="1">
        <v>3.4893598578424903E-2</v>
      </c>
      <c r="D18689" s="1">
        <v>2.0842750238561501E-2</v>
      </c>
      <c r="E18689" s="1">
        <v>1.7475143115396202E-2</v>
      </c>
      <c r="F18689" s="1">
        <v>3.3564340841077303E-2</v>
      </c>
    </row>
    <row r="18690" spans="1:6" x14ac:dyDescent="0.25">
      <c r="A18690" s="2" t="str">
        <f t="shared" si="669"/>
        <v>25060</v>
      </c>
      <c r="B18690" s="2" t="str">
        <f>"39426"</f>
        <v>39426</v>
      </c>
      <c r="C18690" s="1">
        <v>8.4947774454990595E-4</v>
      </c>
      <c r="D18690" s="1">
        <v>5.0223494550750798E-5</v>
      </c>
      <c r="E18690" s="1">
        <v>0</v>
      </c>
      <c r="F18690" s="1">
        <v>7.7571271066309599E-4</v>
      </c>
    </row>
    <row r="18691" spans="1:6" x14ac:dyDescent="0.25">
      <c r="A18691" s="2" t="str">
        <f t="shared" si="669"/>
        <v>25060</v>
      </c>
      <c r="B18691" s="2" t="str">
        <f>"39556"</f>
        <v>39556</v>
      </c>
      <c r="C18691" s="1">
        <v>1.43761106054695E-2</v>
      </c>
      <c r="D18691" s="1">
        <v>6.7801717643513598E-3</v>
      </c>
      <c r="E18691" s="1">
        <v>6.6285025610123499E-3</v>
      </c>
      <c r="F18691" s="1">
        <v>1.36793195778862E-2</v>
      </c>
    </row>
    <row r="18692" spans="1:6" x14ac:dyDescent="0.25">
      <c r="A18692" s="2" t="str">
        <f t="shared" si="669"/>
        <v>25060</v>
      </c>
      <c r="B18692" s="2" t="str">
        <f>"39553"</f>
        <v>39553</v>
      </c>
      <c r="C18692" s="1">
        <v>3.5734408182724303E-2</v>
      </c>
      <c r="D18692" s="1">
        <v>2.59153231881874E-2</v>
      </c>
      <c r="E18692" s="1">
        <v>3.3142512805061697E-2</v>
      </c>
      <c r="F18692" s="1">
        <v>3.4930697747676702E-2</v>
      </c>
    </row>
    <row r="18693" spans="1:6" x14ac:dyDescent="0.25">
      <c r="A18693" s="2" t="str">
        <f t="shared" si="669"/>
        <v>25060</v>
      </c>
      <c r="B18693" s="2" t="str">
        <f>"39502"</f>
        <v>39502</v>
      </c>
      <c r="C18693" s="1">
        <v>6.1370432973605503E-3</v>
      </c>
      <c r="D18693" s="1">
        <v>1.7829340565516501E-2</v>
      </c>
      <c r="E18693" s="1">
        <v>6.0259114191021305E-4</v>
      </c>
      <c r="F18693" s="1">
        <v>6.9814143959678601E-3</v>
      </c>
    </row>
    <row r="18694" spans="1:6" x14ac:dyDescent="0.25">
      <c r="A18694" s="2" t="str">
        <f t="shared" si="669"/>
        <v>25060</v>
      </c>
      <c r="B18694" s="2" t="str">
        <f>"39525"</f>
        <v>39525</v>
      </c>
      <c r="C18694" s="1">
        <v>2.0773198110345399E-2</v>
      </c>
      <c r="D18694" s="1">
        <v>9.2411229973381505E-3</v>
      </c>
      <c r="E18694" s="1">
        <v>3.3142512805061702E-3</v>
      </c>
      <c r="F18694" s="1">
        <v>1.96408883288706E-2</v>
      </c>
    </row>
    <row r="18695" spans="1:6" x14ac:dyDescent="0.25">
      <c r="A18695" s="2" t="str">
        <f t="shared" si="669"/>
        <v>25060</v>
      </c>
      <c r="B18695" s="2" t="str">
        <f>"39452"</f>
        <v>39452</v>
      </c>
      <c r="C18695" s="1">
        <v>5.0968664672994398E-3</v>
      </c>
      <c r="D18695" s="1">
        <v>4.5201145095675701E-4</v>
      </c>
      <c r="E18695" s="1">
        <v>0</v>
      </c>
      <c r="F18695" s="1">
        <v>4.6660891478973003E-3</v>
      </c>
    </row>
    <row r="18696" spans="1:6" x14ac:dyDescent="0.25">
      <c r="A18696" s="2" t="str">
        <f t="shared" si="669"/>
        <v>25060</v>
      </c>
      <c r="B18696" s="2" t="str">
        <f>"39466"</f>
        <v>39466</v>
      </c>
      <c r="C18696" s="1">
        <v>7.5759545789450796E-3</v>
      </c>
      <c r="D18696" s="1">
        <v>1.9587162874792801E-3</v>
      </c>
      <c r="E18696" s="1">
        <v>3.0129557095510598E-4</v>
      </c>
      <c r="F18696" s="1">
        <v>7.0404788155614996E-3</v>
      </c>
    </row>
    <row r="18697" spans="1:6" x14ac:dyDescent="0.25">
      <c r="A18697" s="2" t="str">
        <f t="shared" si="669"/>
        <v>25060</v>
      </c>
      <c r="B18697" s="2" t="str">
        <f>"39576"</f>
        <v>39576</v>
      </c>
      <c r="C18697" s="1">
        <v>1.6179083777575501E-2</v>
      </c>
      <c r="D18697" s="1">
        <v>2.0491185776706299E-2</v>
      </c>
      <c r="E18697" s="1">
        <v>1.11479361253389E-2</v>
      </c>
      <c r="F18697" s="1">
        <v>1.64514096708143E-2</v>
      </c>
    </row>
    <row r="18698" spans="1:6" x14ac:dyDescent="0.25">
      <c r="A18698" s="2" t="str">
        <f t="shared" si="669"/>
        <v>25060</v>
      </c>
      <c r="B18698" s="2" t="str">
        <f>"39534"</f>
        <v>39534</v>
      </c>
      <c r="C18698" s="1">
        <v>3.123564339271E-2</v>
      </c>
      <c r="D18698" s="1">
        <v>5.7254783787855897E-3</v>
      </c>
      <c r="E18698" s="1">
        <v>4.2181379933714904E-3</v>
      </c>
      <c r="F18698" s="1">
        <v>2.8882501181288298E-2</v>
      </c>
    </row>
    <row r="18699" spans="1:6" x14ac:dyDescent="0.25">
      <c r="A18699" s="2" t="str">
        <f t="shared" si="669"/>
        <v>25060</v>
      </c>
      <c r="B18699" s="2" t="str">
        <f>"39470"</f>
        <v>39470</v>
      </c>
      <c r="C18699" s="1">
        <v>2.8171455814154998E-4</v>
      </c>
      <c r="D18699" s="1">
        <v>7.5335241826126199E-4</v>
      </c>
      <c r="E18699" s="1">
        <v>0</v>
      </c>
      <c r="F18699" s="1">
        <v>3.15010237832729E-4</v>
      </c>
    </row>
    <row r="18700" spans="1:6" x14ac:dyDescent="0.25">
      <c r="A18700" s="2" t="str">
        <f t="shared" si="669"/>
        <v>25060</v>
      </c>
      <c r="B18700" s="2" t="str">
        <f>"39577"</f>
        <v>39577</v>
      </c>
      <c r="C18700" s="1">
        <v>1.8159753824816799E-2</v>
      </c>
      <c r="D18700" s="1">
        <v>2.9782532268595199E-2</v>
      </c>
      <c r="E18700" s="1">
        <v>2.1693281108767701E-2</v>
      </c>
      <c r="F18700" s="1">
        <v>1.9117183808473701E-2</v>
      </c>
    </row>
    <row r="18701" spans="1:6" x14ac:dyDescent="0.25">
      <c r="A18701" s="2" t="str">
        <f t="shared" si="669"/>
        <v>25060</v>
      </c>
      <c r="B18701" s="2" t="str">
        <f>"39564"</f>
        <v>39564</v>
      </c>
      <c r="C18701" s="1">
        <v>8.3738568890044607E-2</v>
      </c>
      <c r="D18701" s="1">
        <v>7.0011551403746597E-2</v>
      </c>
      <c r="E18701" s="1">
        <v>5.0617655920457902E-2</v>
      </c>
      <c r="F18701" s="1">
        <v>8.2229484958261101E-2</v>
      </c>
    </row>
    <row r="18702" spans="1:6" x14ac:dyDescent="0.25">
      <c r="A18702" s="2" t="str">
        <f t="shared" si="669"/>
        <v>25060</v>
      </c>
      <c r="B18702" s="2" t="str">
        <f>"39552"</f>
        <v>39552</v>
      </c>
      <c r="C18702" s="1">
        <v>7.1295453560438603E-3</v>
      </c>
      <c r="D18702" s="1">
        <v>3.7667620913063101E-3</v>
      </c>
      <c r="E18702" s="1">
        <v>9.0388671286531995E-4</v>
      </c>
      <c r="F18702" s="1">
        <v>6.7845329973224098E-3</v>
      </c>
    </row>
    <row r="18703" spans="1:6" x14ac:dyDescent="0.25">
      <c r="A18703" s="2" t="str">
        <f t="shared" si="669"/>
        <v>25060</v>
      </c>
      <c r="B18703" s="2" t="str">
        <f>"39529"</f>
        <v>39529</v>
      </c>
      <c r="C18703" s="1">
        <v>1.7336280501018502E-5</v>
      </c>
      <c r="D18703" s="1">
        <v>5.0223494550750798E-5</v>
      </c>
      <c r="E18703" s="1">
        <v>0</v>
      </c>
      <c r="F18703" s="1">
        <v>1.9688139864545501E-5</v>
      </c>
    </row>
    <row r="18704" spans="1:6" x14ac:dyDescent="0.25">
      <c r="A18704" s="2" t="str">
        <f t="shared" si="669"/>
        <v>25060</v>
      </c>
      <c r="B18704" s="2" t="str">
        <f>"39505"</f>
        <v>39505</v>
      </c>
      <c r="C18704" s="1">
        <v>6.8001560265245004E-3</v>
      </c>
      <c r="D18704" s="1">
        <v>2.4760182813520101E-2</v>
      </c>
      <c r="E18704" s="1">
        <v>6.0259114191021305E-4</v>
      </c>
      <c r="F18704" s="1">
        <v>8.1272641360844201E-3</v>
      </c>
    </row>
    <row r="18705" spans="1:6" x14ac:dyDescent="0.25">
      <c r="A18705" s="2" t="str">
        <f t="shared" ref="A18705:A18745" si="670">"30940"</f>
        <v>30940</v>
      </c>
      <c r="B18705" s="2" t="str">
        <f>"40951"</f>
        <v>40951</v>
      </c>
      <c r="C18705" s="1">
        <v>0</v>
      </c>
      <c r="D18705" s="1">
        <v>0</v>
      </c>
      <c r="E18705" s="1">
        <v>4.5662100456620998E-4</v>
      </c>
      <c r="F18705" s="1">
        <v>1.31169904377139E-5</v>
      </c>
    </row>
    <row r="18706" spans="1:6" x14ac:dyDescent="0.25">
      <c r="A18706" s="2" t="str">
        <f t="shared" si="670"/>
        <v>30940</v>
      </c>
      <c r="B18706" s="2" t="str">
        <f>"40915"</f>
        <v>40915</v>
      </c>
      <c r="C18706" s="1">
        <v>3.7306856236413799E-3</v>
      </c>
      <c r="D18706" s="1">
        <v>1.0062049304041499E-3</v>
      </c>
      <c r="E18706" s="1">
        <v>1.8264840182648399E-3</v>
      </c>
      <c r="F18706" s="1">
        <v>3.4628854755564798E-3</v>
      </c>
    </row>
    <row r="18707" spans="1:6" x14ac:dyDescent="0.25">
      <c r="A18707" s="2" t="str">
        <f t="shared" si="670"/>
        <v>30940</v>
      </c>
      <c r="B18707" s="2" t="str">
        <f>"40962"</f>
        <v>40962</v>
      </c>
      <c r="C18707" s="1">
        <v>0.117237530109864</v>
      </c>
      <c r="D18707" s="1">
        <v>9.7098775784001307E-2</v>
      </c>
      <c r="E18707" s="1">
        <v>7.9908675799086698E-2</v>
      </c>
      <c r="F18707" s="1">
        <v>0.114590028463869</v>
      </c>
    </row>
    <row r="18708" spans="1:6" x14ac:dyDescent="0.25">
      <c r="A18708" s="2" t="str">
        <f t="shared" si="670"/>
        <v>30940</v>
      </c>
      <c r="B18708" s="2" t="str">
        <f>"40949"</f>
        <v>40949</v>
      </c>
      <c r="C18708" s="1">
        <v>2.0415956759297299E-3</v>
      </c>
      <c r="D18708" s="1">
        <v>3.3540164346805199E-4</v>
      </c>
      <c r="E18708" s="1">
        <v>9.1324200913241995E-4</v>
      </c>
      <c r="F18708" s="1">
        <v>1.8757296325930899E-3</v>
      </c>
    </row>
    <row r="18709" spans="1:6" x14ac:dyDescent="0.25">
      <c r="A18709" s="2" t="str">
        <f t="shared" si="670"/>
        <v>30940</v>
      </c>
      <c r="B18709" s="2" t="str">
        <f>"40755"</f>
        <v>40755</v>
      </c>
      <c r="C18709" s="1">
        <v>0</v>
      </c>
      <c r="D18709" s="1">
        <v>0</v>
      </c>
      <c r="E18709" s="1">
        <v>4.5662100456620998E-4</v>
      </c>
      <c r="F18709" s="1">
        <v>1.31169904377139E-5</v>
      </c>
    </row>
    <row r="18710" spans="1:6" x14ac:dyDescent="0.25">
      <c r="A18710" s="2" t="str">
        <f t="shared" si="670"/>
        <v>30940</v>
      </c>
      <c r="B18710" s="2" t="str">
        <f>"40982"</f>
        <v>40982</v>
      </c>
      <c r="C18710" s="1">
        <v>1.3365842194935601E-3</v>
      </c>
      <c r="D18710" s="1">
        <v>3.3540164346805199E-4</v>
      </c>
      <c r="E18710" s="1">
        <v>4.5662100456620998E-4</v>
      </c>
      <c r="F18710" s="1">
        <v>1.2329971011451101E-3</v>
      </c>
    </row>
    <row r="18711" spans="1:6" x14ac:dyDescent="0.25">
      <c r="A18711" s="2" t="str">
        <f t="shared" si="670"/>
        <v>30940</v>
      </c>
      <c r="B18711" s="2" t="str">
        <f>"40972"</f>
        <v>40972</v>
      </c>
      <c r="C18711" s="1">
        <v>9.2973385817519492E-3</v>
      </c>
      <c r="D18711" s="1">
        <v>5.8695287606909197E-3</v>
      </c>
      <c r="E18711" s="1">
        <v>1.00456621004566E-2</v>
      </c>
      <c r="F18711" s="1">
        <v>9.0507234020226306E-3</v>
      </c>
    </row>
    <row r="18712" spans="1:6" x14ac:dyDescent="0.25">
      <c r="A18712" s="2" t="str">
        <f t="shared" si="670"/>
        <v>30940</v>
      </c>
      <c r="B18712" s="2" t="str">
        <f>"42635"</f>
        <v>42635</v>
      </c>
      <c r="C18712" s="1">
        <v>1.17501909406027E-4</v>
      </c>
      <c r="D18712" s="1">
        <v>0</v>
      </c>
      <c r="E18712" s="1">
        <v>0</v>
      </c>
      <c r="F18712" s="1">
        <v>1.04935923501711E-4</v>
      </c>
    </row>
    <row r="18713" spans="1:6" x14ac:dyDescent="0.25">
      <c r="A18713" s="2" t="str">
        <f t="shared" si="670"/>
        <v>30940</v>
      </c>
      <c r="B18713" s="2" t="str">
        <f>"40944"</f>
        <v>40944</v>
      </c>
      <c r="C18713" s="1">
        <v>0</v>
      </c>
      <c r="D18713" s="1">
        <v>0</v>
      </c>
      <c r="E18713" s="1">
        <v>4.5662100456620998E-4</v>
      </c>
      <c r="F18713" s="1">
        <v>1.31169904377139E-5</v>
      </c>
    </row>
    <row r="18714" spans="1:6" x14ac:dyDescent="0.25">
      <c r="A18714" s="2" t="str">
        <f t="shared" si="670"/>
        <v>30940</v>
      </c>
      <c r="B18714" s="2" t="str">
        <f>"40903"</f>
        <v>40903</v>
      </c>
      <c r="C18714" s="1">
        <v>2.9669232125022001E-3</v>
      </c>
      <c r="D18714" s="1">
        <v>1.67700821734026E-4</v>
      </c>
      <c r="E18714" s="1">
        <v>4.5662100456621002E-3</v>
      </c>
      <c r="F18714" s="1">
        <v>2.79391896323307E-3</v>
      </c>
    </row>
    <row r="18715" spans="1:6" x14ac:dyDescent="0.25">
      <c r="A18715" s="2" t="str">
        <f t="shared" si="670"/>
        <v>30940</v>
      </c>
      <c r="B18715" s="2" t="str">
        <f>"40750"</f>
        <v>40750</v>
      </c>
      <c r="C18715" s="1">
        <v>0</v>
      </c>
      <c r="D18715" s="1">
        <v>0</v>
      </c>
      <c r="E18715" s="1">
        <v>4.5662100456620998E-4</v>
      </c>
      <c r="F18715" s="1">
        <v>1.31169904377139E-5</v>
      </c>
    </row>
    <row r="18716" spans="1:6" x14ac:dyDescent="0.25">
      <c r="A18716" s="2" t="str">
        <f t="shared" si="670"/>
        <v>30940</v>
      </c>
      <c r="B18716" s="2" t="str">
        <f>"40763"</f>
        <v>40763</v>
      </c>
      <c r="C18716" s="1">
        <v>2.6878561776628798E-3</v>
      </c>
      <c r="D18716" s="1">
        <v>5.0310246520207896E-4</v>
      </c>
      <c r="E18716" s="1">
        <v>2.2831050228310501E-3</v>
      </c>
      <c r="F18716" s="1">
        <v>2.50534517360336E-3</v>
      </c>
    </row>
    <row r="18717" spans="1:6" x14ac:dyDescent="0.25">
      <c r="A18717" s="2" t="str">
        <f t="shared" si="670"/>
        <v>30940</v>
      </c>
      <c r="B18717" s="2" t="str">
        <f>"40724"</f>
        <v>40724</v>
      </c>
      <c r="C18717" s="1">
        <v>0</v>
      </c>
      <c r="D18717" s="1">
        <v>0</v>
      </c>
      <c r="E18717" s="1">
        <v>4.5662100456620998E-4</v>
      </c>
      <c r="F18717" s="1">
        <v>1.31169904377139E-5</v>
      </c>
    </row>
    <row r="18718" spans="1:6" x14ac:dyDescent="0.25">
      <c r="A18718" s="2" t="str">
        <f t="shared" si="670"/>
        <v>30940</v>
      </c>
      <c r="B18718" s="2" t="str">
        <f>"40737"</f>
        <v>40737</v>
      </c>
      <c r="C18718" s="1">
        <v>1.00464132542153E-2</v>
      </c>
      <c r="D18718" s="1">
        <v>1.67700821734026E-3</v>
      </c>
      <c r="E18718" s="1">
        <v>1.55251141552511E-2</v>
      </c>
      <c r="F18718" s="1">
        <v>9.5491690386557693E-3</v>
      </c>
    </row>
    <row r="18719" spans="1:6" x14ac:dyDescent="0.25">
      <c r="A18719" s="2" t="str">
        <f t="shared" si="670"/>
        <v>30940</v>
      </c>
      <c r="B18719" s="2" t="str">
        <f>"40932"</f>
        <v>40932</v>
      </c>
      <c r="C18719" s="1">
        <v>0</v>
      </c>
      <c r="D18719" s="1">
        <v>0</v>
      </c>
      <c r="E18719" s="1">
        <v>4.5662100456620998E-4</v>
      </c>
      <c r="F18719" s="1">
        <v>1.31169904377139E-5</v>
      </c>
    </row>
    <row r="18720" spans="1:6" x14ac:dyDescent="0.25">
      <c r="A18720" s="2" t="str">
        <f t="shared" si="670"/>
        <v>30940</v>
      </c>
      <c r="B18720" s="2" t="str">
        <f>"40946"</f>
        <v>40946</v>
      </c>
      <c r="C18720" s="1">
        <v>9.2532753657246895E-4</v>
      </c>
      <c r="D18720" s="1">
        <v>1.67700821734026E-4</v>
      </c>
      <c r="E18720" s="1">
        <v>4.5662100456620998E-4</v>
      </c>
      <c r="F18720" s="1">
        <v>8.5260437845140799E-4</v>
      </c>
    </row>
    <row r="18721" spans="1:6" x14ac:dyDescent="0.25">
      <c r="A18721" s="2" t="str">
        <f t="shared" si="670"/>
        <v>30940</v>
      </c>
      <c r="B18721" s="2" t="str">
        <f>"40921"</f>
        <v>40921</v>
      </c>
      <c r="C18721" s="1">
        <v>1.71846542506315E-3</v>
      </c>
      <c r="D18721" s="1">
        <v>1.67700821734026E-4</v>
      </c>
      <c r="E18721" s="1">
        <v>9.1324200913241995E-4</v>
      </c>
      <c r="F18721" s="1">
        <v>1.5740388525256699E-3</v>
      </c>
    </row>
    <row r="18722" spans="1:6" x14ac:dyDescent="0.25">
      <c r="A18722" s="2" t="str">
        <f t="shared" si="670"/>
        <v>30940</v>
      </c>
      <c r="B18722" s="2" t="str">
        <f>"40771"</f>
        <v>40771</v>
      </c>
      <c r="C18722" s="1">
        <v>5.0232066271076901E-3</v>
      </c>
      <c r="D18722" s="1">
        <v>8.3850410867013204E-4</v>
      </c>
      <c r="E18722" s="1">
        <v>7.7625570776255698E-3</v>
      </c>
      <c r="F18722" s="1">
        <v>4.7745845193278803E-3</v>
      </c>
    </row>
    <row r="18723" spans="1:6" x14ac:dyDescent="0.25">
      <c r="A18723" s="2" t="str">
        <f t="shared" si="670"/>
        <v>30940</v>
      </c>
      <c r="B18723" s="2" t="str">
        <f>"40983"</f>
        <v>40983</v>
      </c>
      <c r="C18723" s="1">
        <v>2.9962986898537099E-3</v>
      </c>
      <c r="D18723" s="1">
        <v>1.5093073956062299E-3</v>
      </c>
      <c r="E18723" s="1">
        <v>4.5662100456620998E-4</v>
      </c>
      <c r="F18723" s="1">
        <v>2.8070359536707802E-3</v>
      </c>
    </row>
    <row r="18724" spans="1:6" x14ac:dyDescent="0.25">
      <c r="A18724" s="2" t="str">
        <f t="shared" si="670"/>
        <v>30940</v>
      </c>
      <c r="B18724" s="2" t="str">
        <f>"40729"</f>
        <v>40729</v>
      </c>
      <c r="C18724" s="1">
        <v>3.9098760354855697E-2</v>
      </c>
      <c r="D18724" s="1">
        <v>1.09005534127117E-2</v>
      </c>
      <c r="E18724" s="1">
        <v>5.9360730593607299E-3</v>
      </c>
      <c r="F18724" s="1">
        <v>3.5940553799336201E-2</v>
      </c>
    </row>
    <row r="18725" spans="1:6" x14ac:dyDescent="0.25">
      <c r="A18725" s="2" t="str">
        <f t="shared" si="670"/>
        <v>30940</v>
      </c>
      <c r="B18725" s="2" t="str">
        <f>"40914"</f>
        <v>40914</v>
      </c>
      <c r="C18725" s="1">
        <v>3.6719346689383699E-3</v>
      </c>
      <c r="D18725" s="1">
        <v>1.1739057521381799E-3</v>
      </c>
      <c r="E18725" s="1">
        <v>1.8264840182648399E-3</v>
      </c>
      <c r="F18725" s="1">
        <v>3.42353450424334E-3</v>
      </c>
    </row>
    <row r="18726" spans="1:6" x14ac:dyDescent="0.25">
      <c r="A18726" s="2" t="str">
        <f t="shared" si="670"/>
        <v>30940</v>
      </c>
      <c r="B18726" s="2" t="str">
        <f>"40769"</f>
        <v>40769</v>
      </c>
      <c r="C18726" s="1">
        <v>0.118838493625521</v>
      </c>
      <c r="D18726" s="1">
        <v>0.24584940466208199</v>
      </c>
      <c r="E18726" s="1">
        <v>0.10867579908675699</v>
      </c>
      <c r="F18726" s="1">
        <v>0.12848092133740799</v>
      </c>
    </row>
    <row r="18727" spans="1:6" x14ac:dyDescent="0.25">
      <c r="A18727" s="2" t="str">
        <f t="shared" si="670"/>
        <v>30940</v>
      </c>
      <c r="B18727" s="2" t="str">
        <f>"40744"</f>
        <v>40744</v>
      </c>
      <c r="C18727" s="1">
        <v>0.12580048175782799</v>
      </c>
      <c r="D18727" s="1">
        <v>5.7353681033037E-2</v>
      </c>
      <c r="E18727" s="1">
        <v>5.7534246575342403E-2</v>
      </c>
      <c r="F18727" s="1">
        <v>0.11848577462387</v>
      </c>
    </row>
    <row r="18728" spans="1:6" x14ac:dyDescent="0.25">
      <c r="A18728" s="2" t="str">
        <f t="shared" si="670"/>
        <v>30940</v>
      </c>
      <c r="B18728" s="2" t="str">
        <f>"40730"</f>
        <v>40730</v>
      </c>
      <c r="C18728" s="1">
        <v>0</v>
      </c>
      <c r="D18728" s="1">
        <v>0</v>
      </c>
      <c r="E18728" s="1">
        <v>4.5662100456620998E-4</v>
      </c>
      <c r="F18728" s="1">
        <v>1.31169904377139E-5</v>
      </c>
    </row>
    <row r="18729" spans="1:6" x14ac:dyDescent="0.25">
      <c r="A18729" s="2" t="str">
        <f t="shared" si="670"/>
        <v>30940</v>
      </c>
      <c r="B18729" s="2" t="str">
        <f>"40734"</f>
        <v>40734</v>
      </c>
      <c r="C18729" s="1">
        <v>2.44550848951295E-2</v>
      </c>
      <c r="D18729" s="1">
        <v>8.3850410867013208E-3</v>
      </c>
      <c r="E18729" s="1">
        <v>5.4794520547945202E-2</v>
      </c>
      <c r="F18729" s="1">
        <v>2.40696774532051E-2</v>
      </c>
    </row>
    <row r="18730" spans="1:6" x14ac:dyDescent="0.25">
      <c r="A18730" s="2" t="str">
        <f t="shared" si="670"/>
        <v>30940</v>
      </c>
      <c r="B18730" s="2" t="str">
        <f>"40701"</f>
        <v>40701</v>
      </c>
      <c r="C18730" s="1">
        <v>0.21919981199694399</v>
      </c>
      <c r="D18730" s="1">
        <v>0.23377494549723199</v>
      </c>
      <c r="E18730" s="1">
        <v>0.27534246575342403</v>
      </c>
      <c r="F18730" s="1">
        <v>0.22195259519655799</v>
      </c>
    </row>
    <row r="18731" spans="1:6" x14ac:dyDescent="0.25">
      <c r="A18731" s="2" t="str">
        <f t="shared" si="670"/>
        <v>30940</v>
      </c>
      <c r="B18731" s="2" t="str">
        <f>"40741"</f>
        <v>40741</v>
      </c>
      <c r="C18731" s="1">
        <v>0.16296046060748401</v>
      </c>
      <c r="D18731" s="1">
        <v>0.23578735535804099</v>
      </c>
      <c r="E18731" s="1">
        <v>0.20913242009132399</v>
      </c>
      <c r="F18731" s="1">
        <v>0.16998307908233501</v>
      </c>
    </row>
    <row r="18732" spans="1:6" x14ac:dyDescent="0.25">
      <c r="A18732" s="2" t="str">
        <f t="shared" si="670"/>
        <v>30940</v>
      </c>
      <c r="B18732" s="2" t="str">
        <f>"40939"</f>
        <v>40939</v>
      </c>
      <c r="C18732" s="1">
        <v>5.8750954703013902E-4</v>
      </c>
      <c r="D18732" s="1">
        <v>1.67700821734026E-4</v>
      </c>
      <c r="E18732" s="1">
        <v>0</v>
      </c>
      <c r="F18732" s="1">
        <v>5.3779660794627199E-4</v>
      </c>
    </row>
    <row r="18733" spans="1:6" x14ac:dyDescent="0.25">
      <c r="A18733" s="2" t="str">
        <f t="shared" si="670"/>
        <v>30940</v>
      </c>
      <c r="B18733" s="2" t="str">
        <f>"40943"</f>
        <v>40943</v>
      </c>
      <c r="C18733" s="1">
        <v>2.52629105222959E-3</v>
      </c>
      <c r="D18733" s="1">
        <v>6.7080328693610496E-4</v>
      </c>
      <c r="E18733" s="1">
        <v>4.5662100456620998E-4</v>
      </c>
      <c r="F18733" s="1">
        <v>2.3217073074753699E-3</v>
      </c>
    </row>
    <row r="18734" spans="1:6" x14ac:dyDescent="0.25">
      <c r="A18734" s="2" t="str">
        <f t="shared" si="670"/>
        <v>30940</v>
      </c>
      <c r="B18734" s="2" t="str">
        <f>"40402"</f>
        <v>40402</v>
      </c>
      <c r="C18734" s="1">
        <v>1.68908994771165E-3</v>
      </c>
      <c r="D18734" s="1">
        <v>4.3602213650846804E-3</v>
      </c>
      <c r="E18734" s="1">
        <v>0</v>
      </c>
      <c r="F18734" s="1">
        <v>1.8494956517176599E-3</v>
      </c>
    </row>
    <row r="18735" spans="1:6" x14ac:dyDescent="0.25">
      <c r="A18735" s="2" t="str">
        <f t="shared" si="670"/>
        <v>30940</v>
      </c>
      <c r="B18735" s="2" t="str">
        <f>"40923"</f>
        <v>40923</v>
      </c>
      <c r="C18735" s="1">
        <v>4.1125668292109696E-3</v>
      </c>
      <c r="D18735" s="1">
        <v>1.67700821734026E-4</v>
      </c>
      <c r="E18735" s="1">
        <v>4.5662100456620998E-4</v>
      </c>
      <c r="F18735" s="1">
        <v>3.6989913034353298E-3</v>
      </c>
    </row>
    <row r="18736" spans="1:6" x14ac:dyDescent="0.25">
      <c r="A18736" s="2" t="str">
        <f t="shared" si="670"/>
        <v>30940</v>
      </c>
      <c r="B18736" s="2" t="str">
        <f>"40953"</f>
        <v>40953</v>
      </c>
      <c r="C18736" s="1">
        <v>5.9044709476528904E-3</v>
      </c>
      <c r="D18736" s="1">
        <v>6.7080328693610496E-4</v>
      </c>
      <c r="E18736" s="1">
        <v>6.8493150684931503E-3</v>
      </c>
      <c r="F18736" s="1">
        <v>5.5222529742775797E-3</v>
      </c>
    </row>
    <row r="18737" spans="1:6" x14ac:dyDescent="0.25">
      <c r="A18737" s="2" t="str">
        <f t="shared" si="670"/>
        <v>30940</v>
      </c>
      <c r="B18737" s="2" t="str">
        <f>"40935"</f>
        <v>40935</v>
      </c>
      <c r="C18737" s="1">
        <v>1.2866459079960001E-2</v>
      </c>
      <c r="D18737" s="1">
        <v>3.3540164346805199E-3</v>
      </c>
      <c r="E18737" s="1">
        <v>1.8264840182648399E-3</v>
      </c>
      <c r="F18737" s="1">
        <v>1.1805291393942499E-2</v>
      </c>
    </row>
    <row r="18738" spans="1:6" x14ac:dyDescent="0.25">
      <c r="A18738" s="2" t="str">
        <f t="shared" si="670"/>
        <v>30940</v>
      </c>
      <c r="B18738" s="2" t="str">
        <f>"40997"</f>
        <v>40997</v>
      </c>
      <c r="C18738" s="1">
        <v>2.23253627871452E-3</v>
      </c>
      <c r="D18738" s="1">
        <v>3.3540164346805199E-4</v>
      </c>
      <c r="E18738" s="1">
        <v>1.3698630136986299E-3</v>
      </c>
      <c r="F18738" s="1">
        <v>2.0593674987210899E-3</v>
      </c>
    </row>
    <row r="18739" spans="1:6" x14ac:dyDescent="0.25">
      <c r="A18739" s="2" t="str">
        <f t="shared" si="670"/>
        <v>30940</v>
      </c>
      <c r="B18739" s="2" t="str">
        <f>"40941"</f>
        <v>40941</v>
      </c>
      <c r="C18739" s="1">
        <v>0</v>
      </c>
      <c r="D18739" s="1">
        <v>0</v>
      </c>
      <c r="E18739" s="1">
        <v>4.5662100456620998E-4</v>
      </c>
      <c r="F18739" s="1">
        <v>1.31169904377139E-5</v>
      </c>
    </row>
    <row r="18740" spans="1:6" x14ac:dyDescent="0.25">
      <c r="A18740" s="2" t="str">
        <f t="shared" si="670"/>
        <v>30940</v>
      </c>
      <c r="B18740" s="2" t="str">
        <f>"40940"</f>
        <v>40940</v>
      </c>
      <c r="C18740" s="1">
        <v>2.1003466306327399E-3</v>
      </c>
      <c r="D18740" s="1">
        <v>1.67700821734026E-4</v>
      </c>
      <c r="E18740" s="1">
        <v>0</v>
      </c>
      <c r="F18740" s="1">
        <v>1.8888466230308099E-3</v>
      </c>
    </row>
    <row r="18741" spans="1:6" x14ac:dyDescent="0.25">
      <c r="A18741" s="2" t="str">
        <f t="shared" si="670"/>
        <v>30940</v>
      </c>
      <c r="B18741" s="2" t="str">
        <f>"40913"</f>
        <v>40913</v>
      </c>
      <c r="C18741" s="1">
        <v>3.2313025086657603E-4</v>
      </c>
      <c r="D18741" s="1">
        <v>2.1801106825423402E-3</v>
      </c>
      <c r="E18741" s="1">
        <v>4.10958904109589E-3</v>
      </c>
      <c r="F18741" s="1">
        <v>5.7714757925941395E-4</v>
      </c>
    </row>
    <row r="18742" spans="1:6" x14ac:dyDescent="0.25">
      <c r="A18742" s="2" t="str">
        <f t="shared" si="670"/>
        <v>30940</v>
      </c>
      <c r="B18742" s="2" t="str">
        <f>"40906"</f>
        <v>40906</v>
      </c>
      <c r="C18742" s="1">
        <v>7.3086187650549306E-2</v>
      </c>
      <c r="D18742" s="1">
        <v>8.0496394432332696E-2</v>
      </c>
      <c r="E18742" s="1">
        <v>0.130136986301369</v>
      </c>
      <c r="F18742" s="1">
        <v>7.5304642102915903E-2</v>
      </c>
    </row>
    <row r="18743" spans="1:6" x14ac:dyDescent="0.25">
      <c r="A18743" s="2" t="str">
        <f t="shared" si="670"/>
        <v>30940</v>
      </c>
      <c r="B18743" s="2" t="str">
        <f>"40759"</f>
        <v>40759</v>
      </c>
      <c r="C18743" s="1">
        <v>2.10769049997062E-2</v>
      </c>
      <c r="D18743" s="1">
        <v>2.1801106825423402E-3</v>
      </c>
      <c r="E18743" s="1">
        <v>9.1324200913242004E-3</v>
      </c>
      <c r="F18743" s="1">
        <v>1.9255741962564101E-2</v>
      </c>
    </row>
    <row r="18744" spans="1:6" x14ac:dyDescent="0.25">
      <c r="A18744" s="2" t="str">
        <f t="shared" si="670"/>
        <v>30940</v>
      </c>
      <c r="B18744" s="2" t="str">
        <f>"40995"</f>
        <v>40995</v>
      </c>
      <c r="C18744" s="1">
        <v>5.8750954703013902E-4</v>
      </c>
      <c r="D18744" s="1">
        <v>1.67700821734026E-4</v>
      </c>
      <c r="E18744" s="1">
        <v>4.5662100456620998E-4</v>
      </c>
      <c r="F18744" s="1">
        <v>5.5091359838398601E-4</v>
      </c>
    </row>
    <row r="18745" spans="1:6" x14ac:dyDescent="0.25">
      <c r="A18745" s="2" t="str">
        <f t="shared" si="670"/>
        <v>30940</v>
      </c>
      <c r="B18745" s="2" t="str">
        <f>"40740"</f>
        <v>40740</v>
      </c>
      <c r="C18745" s="1">
        <v>1.8756242288937099E-2</v>
      </c>
      <c r="D18745" s="1">
        <v>2.1801106825423402E-3</v>
      </c>
      <c r="E18745" s="1">
        <v>3.1963470319634701E-3</v>
      </c>
      <c r="F18745" s="1">
        <v>1.7012736597715E-2</v>
      </c>
    </row>
    <row r="18746" spans="1:6" x14ac:dyDescent="0.25">
      <c r="A18746" s="2" t="str">
        <f t="shared" ref="A18746:A18781" si="671">"14540"</f>
        <v>14540</v>
      </c>
      <c r="B18746" s="2" t="str">
        <f>"42259"</f>
        <v>42259</v>
      </c>
      <c r="C18746" s="1">
        <v>9.2035604165454608E-3</v>
      </c>
      <c r="D18746" s="1">
        <v>1.63666121112929E-3</v>
      </c>
      <c r="E18746" s="1">
        <v>1.15074798619102E-3</v>
      </c>
      <c r="F18746" s="1">
        <v>8.3834328389257497E-3</v>
      </c>
    </row>
    <row r="18747" spans="1:6" x14ac:dyDescent="0.25">
      <c r="A18747" s="2" t="str">
        <f t="shared" si="671"/>
        <v>14540</v>
      </c>
      <c r="B18747" s="2" t="str">
        <f>"42163"</f>
        <v>42163</v>
      </c>
      <c r="C18747" s="1">
        <v>3.9560183838501298E-4</v>
      </c>
      <c r="D18747" s="1">
        <v>7.4393691414968005E-4</v>
      </c>
      <c r="E18747" s="1">
        <v>2.8768699654775599E-4</v>
      </c>
      <c r="F18747" s="1">
        <v>4.1605125751492498E-4</v>
      </c>
    </row>
    <row r="18748" spans="1:6" x14ac:dyDescent="0.25">
      <c r="A18748" s="2" t="str">
        <f t="shared" si="671"/>
        <v>14540</v>
      </c>
      <c r="B18748" s="2" t="str">
        <f>"42170"</f>
        <v>42170</v>
      </c>
      <c r="C18748" s="1">
        <v>4.28180813310838E-3</v>
      </c>
      <c r="D18748" s="1">
        <v>1.33908644546942E-3</v>
      </c>
      <c r="E18748" s="1">
        <v>5.1783659378595998E-3</v>
      </c>
      <c r="F18748" s="1">
        <v>4.1085061679598904E-3</v>
      </c>
    </row>
    <row r="18749" spans="1:6" x14ac:dyDescent="0.25">
      <c r="A18749" s="2" t="str">
        <f t="shared" si="671"/>
        <v>14540</v>
      </c>
      <c r="B18749" s="2" t="str">
        <f>"42164"</f>
        <v>42164</v>
      </c>
      <c r="C18749" s="1">
        <v>9.4537204025830407E-2</v>
      </c>
      <c r="D18749" s="1">
        <v>7.6327927391757103E-2</v>
      </c>
      <c r="E18749" s="1">
        <v>3.3371691599539698E-2</v>
      </c>
      <c r="F18749" s="1">
        <v>9.1052817707141506E-2</v>
      </c>
    </row>
    <row r="18750" spans="1:6" x14ac:dyDescent="0.25">
      <c r="A18750" s="2" t="str">
        <f t="shared" si="671"/>
        <v>14540</v>
      </c>
      <c r="B18750" s="2" t="str">
        <f>"42159"</f>
        <v>42159</v>
      </c>
      <c r="C18750" s="1">
        <v>5.7362266565826898E-3</v>
      </c>
      <c r="D18750" s="1">
        <v>1.04151167980955E-3</v>
      </c>
      <c r="E18750" s="1">
        <v>2.5891829689297999E-3</v>
      </c>
      <c r="F18750" s="1">
        <v>5.2942522518774297E-3</v>
      </c>
    </row>
    <row r="18751" spans="1:6" x14ac:dyDescent="0.25">
      <c r="A18751" s="2" t="str">
        <f t="shared" si="671"/>
        <v>14540</v>
      </c>
      <c r="B18751" s="2" t="str">
        <f>"42288"</f>
        <v>42288</v>
      </c>
      <c r="C18751" s="1">
        <v>0</v>
      </c>
      <c r="D18751" s="1">
        <v>0</v>
      </c>
      <c r="E18751" s="1">
        <v>5.7537399309551198E-4</v>
      </c>
      <c r="F18751" s="1">
        <v>2.0802562875746201E-5</v>
      </c>
    </row>
    <row r="18752" spans="1:6" x14ac:dyDescent="0.25">
      <c r="A18752" s="2" t="str">
        <f t="shared" si="671"/>
        <v>14540</v>
      </c>
      <c r="B18752" s="2" t="str">
        <f>"42275"</f>
        <v>42275</v>
      </c>
      <c r="C18752" s="1">
        <v>8.5287102216533798E-3</v>
      </c>
      <c r="D18752" s="1">
        <v>1.1902990626394801E-3</v>
      </c>
      <c r="E18752" s="1">
        <v>2.8768699654775599E-4</v>
      </c>
      <c r="F18752" s="1">
        <v>7.7177508269018697E-3</v>
      </c>
    </row>
    <row r="18753" spans="1:6" x14ac:dyDescent="0.25">
      <c r="A18753" s="2" t="str">
        <f t="shared" si="671"/>
        <v>14540</v>
      </c>
      <c r="B18753" s="2" t="str">
        <f>"42333"</f>
        <v>42333</v>
      </c>
      <c r="C18753" s="1">
        <v>5.11955320262958E-4</v>
      </c>
      <c r="D18753" s="1">
        <v>8.9272429697961604E-4</v>
      </c>
      <c r="E18753" s="1">
        <v>5.7537399309551198E-4</v>
      </c>
      <c r="F18753" s="1">
        <v>5.4086663476940304E-4</v>
      </c>
    </row>
    <row r="18754" spans="1:6" x14ac:dyDescent="0.25">
      <c r="A18754" s="2" t="str">
        <f t="shared" si="671"/>
        <v>14540</v>
      </c>
      <c r="B18754" s="2" t="str">
        <f>"42219"</f>
        <v>42219</v>
      </c>
      <c r="C18754" s="1">
        <v>0</v>
      </c>
      <c r="D18754" s="1">
        <v>0</v>
      </c>
      <c r="E18754" s="1">
        <v>5.7537399309551198E-4</v>
      </c>
      <c r="F18754" s="1">
        <v>2.0802562875746201E-5</v>
      </c>
    </row>
    <row r="18755" spans="1:6" x14ac:dyDescent="0.25">
      <c r="A18755" s="2" t="str">
        <f t="shared" si="671"/>
        <v>14540</v>
      </c>
      <c r="B18755" s="2" t="str">
        <f>"42122"</f>
        <v>42122</v>
      </c>
      <c r="C18755" s="1">
        <v>2.59584618069695E-2</v>
      </c>
      <c r="D18755" s="1">
        <v>2.67817289093884E-3</v>
      </c>
      <c r="E18755" s="1">
        <v>6.0414269275028704E-3</v>
      </c>
      <c r="F18755" s="1">
        <v>2.3610908863972001E-2</v>
      </c>
    </row>
    <row r="18756" spans="1:6" x14ac:dyDescent="0.25">
      <c r="A18756" s="2" t="str">
        <f t="shared" si="671"/>
        <v>14540</v>
      </c>
      <c r="B18756" s="2" t="str">
        <f>"42103"</f>
        <v>42103</v>
      </c>
      <c r="C18756" s="1">
        <v>0.118401303158997</v>
      </c>
      <c r="D18756" s="1">
        <v>9.0313941377771101E-2</v>
      </c>
      <c r="E18756" s="1">
        <v>9.8964326812428005E-2</v>
      </c>
      <c r="F18756" s="1">
        <v>0.115735058559214</v>
      </c>
    </row>
    <row r="18757" spans="1:6" x14ac:dyDescent="0.25">
      <c r="A18757" s="2" t="str">
        <f t="shared" si="671"/>
        <v>14540</v>
      </c>
      <c r="B18757" s="2" t="str">
        <f>"42101"</f>
        <v>42101</v>
      </c>
      <c r="C18757" s="1">
        <v>0.31027983012391602</v>
      </c>
      <c r="D18757" s="1">
        <v>0.37360511828596898</v>
      </c>
      <c r="E18757" s="1">
        <v>0.54890678941311799</v>
      </c>
      <c r="F18757" s="1">
        <v>0.32333423477772399</v>
      </c>
    </row>
    <row r="18758" spans="1:6" x14ac:dyDescent="0.25">
      <c r="A18758" s="2" t="str">
        <f t="shared" si="671"/>
        <v>14540</v>
      </c>
      <c r="B18758" s="2" t="str">
        <f>"42285"</f>
        <v>42285</v>
      </c>
      <c r="C18758" s="1">
        <v>2.2921635929955201E-3</v>
      </c>
      <c r="D18758" s="1">
        <v>5.9514953131974396E-4</v>
      </c>
      <c r="E18758" s="1">
        <v>8.6306098964326796E-4</v>
      </c>
      <c r="F18758" s="1">
        <v>2.1218614133261199E-3</v>
      </c>
    </row>
    <row r="18759" spans="1:6" x14ac:dyDescent="0.25">
      <c r="A18759" s="2" t="str">
        <f t="shared" si="671"/>
        <v>14540</v>
      </c>
      <c r="B18759" s="2" t="str">
        <f>"42104"</f>
        <v>42104</v>
      </c>
      <c r="C18759" s="1">
        <v>0.189586363371923</v>
      </c>
      <c r="D18759" s="1">
        <v>0.21916381490849501</v>
      </c>
      <c r="E18759" s="1">
        <v>0.229861910241657</v>
      </c>
      <c r="F18759" s="1">
        <v>0.193110191175552</v>
      </c>
    </row>
    <row r="18760" spans="1:6" x14ac:dyDescent="0.25">
      <c r="A18760" s="2" t="str">
        <f t="shared" si="671"/>
        <v>14540</v>
      </c>
      <c r="B18760" s="2" t="str">
        <f>"42273"</f>
        <v>42273</v>
      </c>
      <c r="C18760" s="1">
        <v>3.8513002501599802E-3</v>
      </c>
      <c r="D18760" s="1">
        <v>5.9514953131974396E-4</v>
      </c>
      <c r="E18760" s="1">
        <v>2.8768699654775599E-4</v>
      </c>
      <c r="F18760" s="1">
        <v>3.4948305631253701E-3</v>
      </c>
    </row>
    <row r="18761" spans="1:6" x14ac:dyDescent="0.25">
      <c r="A18761" s="2" t="str">
        <f t="shared" si="671"/>
        <v>14540</v>
      </c>
      <c r="B18761" s="2" t="str">
        <f>"42339"</f>
        <v>42339</v>
      </c>
      <c r="C18761" s="1">
        <v>3.9560183838501298E-4</v>
      </c>
      <c r="D18761" s="1">
        <v>0</v>
      </c>
      <c r="E18761" s="1">
        <v>0</v>
      </c>
      <c r="F18761" s="1">
        <v>3.5364356888768598E-4</v>
      </c>
    </row>
    <row r="18762" spans="1:6" x14ac:dyDescent="0.25">
      <c r="A18762" s="2" t="str">
        <f t="shared" si="671"/>
        <v>14540</v>
      </c>
      <c r="B18762" s="2" t="str">
        <f>"42210"</f>
        <v>42210</v>
      </c>
      <c r="C18762" s="1">
        <v>2.5202164174762901E-2</v>
      </c>
      <c r="D18762" s="1">
        <v>1.17542032435649E-2</v>
      </c>
      <c r="E18762" s="1">
        <v>1.00690448791714E-2</v>
      </c>
      <c r="F18762" s="1">
        <v>2.3714921678350698E-2</v>
      </c>
    </row>
    <row r="18763" spans="1:6" x14ac:dyDescent="0.25">
      <c r="A18763" s="2" t="str">
        <f t="shared" si="671"/>
        <v>14540</v>
      </c>
      <c r="B18763" s="2" t="str">
        <f>"42201"</f>
        <v>42201</v>
      </c>
      <c r="C18763" s="1">
        <v>0</v>
      </c>
      <c r="D18763" s="1">
        <v>0</v>
      </c>
      <c r="E18763" s="1">
        <v>5.7537399309551198E-4</v>
      </c>
      <c r="F18763" s="1">
        <v>2.0802562875746201E-5</v>
      </c>
    </row>
    <row r="18764" spans="1:6" x14ac:dyDescent="0.25">
      <c r="A18764" s="2" t="str">
        <f t="shared" si="671"/>
        <v>14540</v>
      </c>
      <c r="B18764" s="2" t="str">
        <f>"42171"</f>
        <v>42171</v>
      </c>
      <c r="C18764" s="1">
        <v>2.8041189132584701E-2</v>
      </c>
      <c r="D18764" s="1">
        <v>9.6711798839458404E-3</v>
      </c>
      <c r="E18764" s="1">
        <v>7.1921749136939E-3</v>
      </c>
      <c r="F18764" s="1">
        <v>2.6003203594682799E-2</v>
      </c>
    </row>
    <row r="18765" spans="1:6" x14ac:dyDescent="0.25">
      <c r="A18765" s="2" t="str">
        <f t="shared" si="671"/>
        <v>14540</v>
      </c>
      <c r="B18765" s="2" t="str">
        <f>"42721"</f>
        <v>42721</v>
      </c>
      <c r="C18765" s="1">
        <v>1.81511431729594E-3</v>
      </c>
      <c r="D18765" s="1">
        <v>4.4636214848980802E-4</v>
      </c>
      <c r="E18765" s="1">
        <v>1.43843498273878E-3</v>
      </c>
      <c r="F18765" s="1">
        <v>1.70581015581119E-3</v>
      </c>
    </row>
    <row r="18766" spans="1:6" x14ac:dyDescent="0.25">
      <c r="A18766" s="2" t="str">
        <f t="shared" si="671"/>
        <v>14540</v>
      </c>
      <c r="B18766" s="2" t="str">
        <f>"42256"</f>
        <v>42256</v>
      </c>
      <c r="C18766" s="1">
        <v>6.9113968235499403E-3</v>
      </c>
      <c r="D18766" s="1">
        <v>8.9272429697961604E-4</v>
      </c>
      <c r="E18766" s="1">
        <v>0</v>
      </c>
      <c r="F18766" s="1">
        <v>6.24076886272388E-3</v>
      </c>
    </row>
    <row r="18767" spans="1:6" x14ac:dyDescent="0.25">
      <c r="A18767" s="2" t="str">
        <f t="shared" si="671"/>
        <v>14540</v>
      </c>
      <c r="B18767" s="2" t="str">
        <f>"42754"</f>
        <v>42754</v>
      </c>
      <c r="C18767" s="1">
        <v>1.3147943452207799E-3</v>
      </c>
      <c r="D18767" s="1">
        <v>5.9514953131974396E-4</v>
      </c>
      <c r="E18767" s="1">
        <v>2.0138089758342899E-3</v>
      </c>
      <c r="F18767" s="1">
        <v>1.2897588982962701E-3</v>
      </c>
    </row>
    <row r="18768" spans="1:6" x14ac:dyDescent="0.25">
      <c r="A18768" s="2" t="str">
        <f t="shared" si="671"/>
        <v>14540</v>
      </c>
      <c r="B18768" s="2" t="str">
        <f>"42153"</f>
        <v>42153</v>
      </c>
      <c r="C18768" s="1">
        <v>2.6761300831927299E-4</v>
      </c>
      <c r="D18768" s="1">
        <v>0</v>
      </c>
      <c r="E18768" s="1">
        <v>2.8768699654775599E-4</v>
      </c>
      <c r="F18768" s="1">
        <v>2.4963075450895502E-4</v>
      </c>
    </row>
    <row r="18769" spans="1:6" x14ac:dyDescent="0.25">
      <c r="A18769" s="2" t="str">
        <f t="shared" si="671"/>
        <v>14540</v>
      </c>
      <c r="B18769" s="2" t="str">
        <f>"42134"</f>
        <v>42134</v>
      </c>
      <c r="C18769" s="1">
        <v>2.72267147594391E-3</v>
      </c>
      <c r="D18769" s="1">
        <v>5.9514953131974396E-4</v>
      </c>
      <c r="E18769" s="1">
        <v>8.6306098964326796E-4</v>
      </c>
      <c r="F18769" s="1">
        <v>2.5067088265274201E-3</v>
      </c>
    </row>
    <row r="18770" spans="1:6" x14ac:dyDescent="0.25">
      <c r="A18770" s="2" t="str">
        <f t="shared" si="671"/>
        <v>14540</v>
      </c>
      <c r="B18770" s="2" t="str">
        <f>"42120"</f>
        <v>42120</v>
      </c>
      <c r="C18770" s="1">
        <v>1.41253126999825E-2</v>
      </c>
      <c r="D18770" s="1">
        <v>4.3148341020681404E-3</v>
      </c>
      <c r="E18770" s="1">
        <v>1.7261219792865301E-3</v>
      </c>
      <c r="F18770" s="1">
        <v>1.29912005159035E-2</v>
      </c>
    </row>
    <row r="18771" spans="1:6" x14ac:dyDescent="0.25">
      <c r="A18771" s="2" t="str">
        <f t="shared" si="671"/>
        <v>14540</v>
      </c>
      <c r="B18771" s="2" t="str">
        <f>"42102"</f>
        <v>42102</v>
      </c>
      <c r="C18771" s="1">
        <v>3.0251905288265699E-2</v>
      </c>
      <c r="D18771" s="1">
        <v>0.14090165153994899</v>
      </c>
      <c r="E18771" s="1">
        <v>1.15074798619102E-3</v>
      </c>
      <c r="F18771" s="1">
        <v>3.6934950385887497E-2</v>
      </c>
    </row>
    <row r="18772" spans="1:6" x14ac:dyDescent="0.25">
      <c r="A18772" s="2" t="str">
        <f t="shared" si="671"/>
        <v>14540</v>
      </c>
      <c r="B18772" s="2" t="str">
        <f>"42276"</f>
        <v>42276</v>
      </c>
      <c r="C18772" s="1">
        <v>1.6289487462912299E-4</v>
      </c>
      <c r="D18772" s="1">
        <v>0</v>
      </c>
      <c r="E18772" s="1">
        <v>0</v>
      </c>
      <c r="F18772" s="1">
        <v>1.4561794013022401E-4</v>
      </c>
    </row>
    <row r="18773" spans="1:6" x14ac:dyDescent="0.25">
      <c r="A18773" s="2" t="str">
        <f t="shared" si="671"/>
        <v>14540</v>
      </c>
      <c r="B18773" s="2" t="str">
        <f>"42252"</f>
        <v>42252</v>
      </c>
      <c r="C18773" s="1">
        <v>7.7956832858223197E-4</v>
      </c>
      <c r="D18773" s="1">
        <v>0</v>
      </c>
      <c r="E18773" s="1">
        <v>5.7537399309551198E-4</v>
      </c>
      <c r="F18773" s="1">
        <v>7.1768841921324698E-4</v>
      </c>
    </row>
    <row r="18774" spans="1:6" x14ac:dyDescent="0.25">
      <c r="A18774" s="2" t="str">
        <f t="shared" si="671"/>
        <v>14540</v>
      </c>
      <c r="B18774" s="2" t="str">
        <f>"42207"</f>
        <v>42207</v>
      </c>
      <c r="C18774" s="1">
        <v>5.7944033975216701E-3</v>
      </c>
      <c r="D18774" s="1">
        <v>1.4878738282993601E-3</v>
      </c>
      <c r="E18774" s="1">
        <v>1.15074798619102E-3</v>
      </c>
      <c r="F18774" s="1">
        <v>5.32545609619105E-3</v>
      </c>
    </row>
    <row r="18775" spans="1:6" x14ac:dyDescent="0.25">
      <c r="A18775" s="2" t="str">
        <f t="shared" si="671"/>
        <v>14540</v>
      </c>
      <c r="B18775" s="2" t="str">
        <f>"42160"</f>
        <v>42160</v>
      </c>
      <c r="C18775" s="1">
        <v>2.65285938681715E-3</v>
      </c>
      <c r="D18775" s="1">
        <v>7.4393691414968005E-4</v>
      </c>
      <c r="E18775" s="1">
        <v>0</v>
      </c>
      <c r="F18775" s="1">
        <v>2.42349857502444E-3</v>
      </c>
    </row>
    <row r="18776" spans="1:6" x14ac:dyDescent="0.25">
      <c r="A18776" s="2" t="str">
        <f t="shared" si="671"/>
        <v>14540</v>
      </c>
      <c r="B18776" s="2" t="str">
        <f>"42729"</f>
        <v>42729</v>
      </c>
      <c r="C18776" s="1">
        <v>3.4673337599627602E-3</v>
      </c>
      <c r="D18776" s="1">
        <v>0</v>
      </c>
      <c r="E18776" s="1">
        <v>7.4798619102416503E-3</v>
      </c>
      <c r="F18776" s="1">
        <v>3.3700151858708899E-3</v>
      </c>
    </row>
    <row r="18777" spans="1:6" x14ac:dyDescent="0.25">
      <c r="A18777" s="2" t="str">
        <f t="shared" si="671"/>
        <v>14540</v>
      </c>
      <c r="B18777" s="2" t="str">
        <f>"42133"</f>
        <v>42133</v>
      </c>
      <c r="C18777" s="1">
        <v>1.8616557100471201E-3</v>
      </c>
      <c r="D18777" s="1">
        <v>5.9514953131974396E-4</v>
      </c>
      <c r="E18777" s="1">
        <v>0</v>
      </c>
      <c r="F18777" s="1">
        <v>1.70581015581119E-3</v>
      </c>
    </row>
    <row r="18778" spans="1:6" x14ac:dyDescent="0.25">
      <c r="A18778" s="2" t="str">
        <f t="shared" si="671"/>
        <v>14540</v>
      </c>
      <c r="B18778" s="2" t="str">
        <f>"42274"</f>
        <v>42274</v>
      </c>
      <c r="C18778" s="1">
        <v>1.17400663214846E-2</v>
      </c>
      <c r="D18778" s="1">
        <v>8.9272429697961604E-4</v>
      </c>
      <c r="E18778" s="1">
        <v>8.3429228998849192E-3</v>
      </c>
      <c r="F18778" s="1">
        <v>1.0858937821139499E-2</v>
      </c>
    </row>
    <row r="18779" spans="1:6" x14ac:dyDescent="0.25">
      <c r="A18779" s="2" t="str">
        <f t="shared" si="671"/>
        <v>14540</v>
      </c>
      <c r="B18779" s="2" t="str">
        <f>"42261"</f>
        <v>42261</v>
      </c>
      <c r="C18779" s="1">
        <v>8.8789342021059897E-2</v>
      </c>
      <c r="D18779" s="1">
        <v>5.6985567623865398E-2</v>
      </c>
      <c r="E18779" s="1">
        <v>2.7617951668584498E-2</v>
      </c>
      <c r="F18779" s="1">
        <v>8.4354392461151201E-2</v>
      </c>
    </row>
    <row r="18780" spans="1:6" x14ac:dyDescent="0.25">
      <c r="A18780" s="2" t="str">
        <f t="shared" si="671"/>
        <v>14540</v>
      </c>
      <c r="B18780" s="2" t="str">
        <f>"42320"</f>
        <v>42320</v>
      </c>
      <c r="C18780" s="1">
        <v>4.6541392751178002E-5</v>
      </c>
      <c r="D18780" s="1">
        <v>0</v>
      </c>
      <c r="E18780" s="1">
        <v>0</v>
      </c>
      <c r="F18780" s="1">
        <v>4.1605125751492497E-5</v>
      </c>
    </row>
    <row r="18781" spans="1:6" x14ac:dyDescent="0.25">
      <c r="A18781" s="2" t="str">
        <f t="shared" si="671"/>
        <v>14540</v>
      </c>
      <c r="B18781" s="2" t="str">
        <f>"42206"</f>
        <v>42206</v>
      </c>
      <c r="C18781" s="1">
        <v>9.30827855023561E-5</v>
      </c>
      <c r="D18781" s="1">
        <v>0</v>
      </c>
      <c r="E18781" s="1">
        <v>0</v>
      </c>
      <c r="F18781" s="1">
        <v>8.3210251502985103E-5</v>
      </c>
    </row>
    <row r="18782" spans="1:6" x14ac:dyDescent="0.25">
      <c r="A18782" s="2" t="str">
        <f t="shared" ref="A18782:A18803" si="672">"36980"</f>
        <v>36980</v>
      </c>
      <c r="B18782" s="2" t="str">
        <f>"42356"</f>
        <v>42356</v>
      </c>
      <c r="C18782" s="1">
        <v>0</v>
      </c>
      <c r="D18782" s="1">
        <v>0</v>
      </c>
      <c r="E18782" s="1">
        <v>5.5066079295154103E-4</v>
      </c>
      <c r="F18782" s="1">
        <v>1.5982866367254298E-5</v>
      </c>
    </row>
    <row r="18783" spans="1:6" x14ac:dyDescent="0.25">
      <c r="A18783" s="2" t="str">
        <f t="shared" si="672"/>
        <v>36980</v>
      </c>
      <c r="B18783" s="2" t="str">
        <f>"42364"</f>
        <v>42364</v>
      </c>
      <c r="C18783" s="1">
        <v>0</v>
      </c>
      <c r="D18783" s="1">
        <v>0</v>
      </c>
      <c r="E18783" s="1">
        <v>5.5066079295154103E-4</v>
      </c>
      <c r="F18783" s="1">
        <v>1.5982866367254298E-5</v>
      </c>
    </row>
    <row r="18784" spans="1:6" x14ac:dyDescent="0.25">
      <c r="A18784" s="2" t="str">
        <f t="shared" si="672"/>
        <v>36980</v>
      </c>
      <c r="B18784" s="2" t="str">
        <f>"42372"</f>
        <v>42372</v>
      </c>
      <c r="C18784" s="1">
        <v>1.13567803527699E-2</v>
      </c>
      <c r="D18784" s="1">
        <v>5.4582670002274198E-3</v>
      </c>
      <c r="E18784" s="1">
        <v>4.9559471365638701E-3</v>
      </c>
      <c r="F18784" s="1">
        <v>1.0756469065162101E-2</v>
      </c>
    </row>
    <row r="18785" spans="1:6" x14ac:dyDescent="0.25">
      <c r="A18785" s="2" t="str">
        <f t="shared" si="672"/>
        <v>36980</v>
      </c>
      <c r="B18785" s="2" t="str">
        <f>"42327"</f>
        <v>42327</v>
      </c>
      <c r="C18785" s="1">
        <v>3.2970152961635302E-2</v>
      </c>
      <c r="D18785" s="1">
        <v>1.52376620423015E-2</v>
      </c>
      <c r="E18785" s="1">
        <v>6.6079295154184998E-3</v>
      </c>
      <c r="F18785" s="1">
        <v>3.0958812153371498E-2</v>
      </c>
    </row>
    <row r="18786" spans="1:6" x14ac:dyDescent="0.25">
      <c r="A18786" s="2" t="str">
        <f t="shared" si="672"/>
        <v>36980</v>
      </c>
      <c r="B18786" s="2" t="str">
        <f>"42302"</f>
        <v>42302</v>
      </c>
      <c r="C18786" s="1">
        <v>1.9217801753202899E-2</v>
      </c>
      <c r="D18786" s="1">
        <v>9.1425972253809398E-2</v>
      </c>
      <c r="E18786" s="1">
        <v>1.1013215859030799E-3</v>
      </c>
      <c r="F18786" s="1">
        <v>2.3766522288107099E-2</v>
      </c>
    </row>
    <row r="18787" spans="1:6" x14ac:dyDescent="0.25">
      <c r="A18787" s="2" t="str">
        <f t="shared" si="672"/>
        <v>36980</v>
      </c>
      <c r="B18787" s="2" t="str">
        <f>"42351"</f>
        <v>42351</v>
      </c>
      <c r="C18787" s="1">
        <v>3.3963871242502698E-2</v>
      </c>
      <c r="D18787" s="1">
        <v>1.86490789174437E-2</v>
      </c>
      <c r="E18787" s="1">
        <v>6.0572687224669597E-3</v>
      </c>
      <c r="F18787" s="1">
        <v>3.2077612799079301E-2</v>
      </c>
    </row>
    <row r="18788" spans="1:6" x14ac:dyDescent="0.25">
      <c r="A18788" s="2" t="str">
        <f t="shared" si="672"/>
        <v>36980</v>
      </c>
      <c r="B18788" s="2" t="str">
        <f>"42350"</f>
        <v>42350</v>
      </c>
      <c r="C18788" s="1">
        <v>1.24569684494445E-2</v>
      </c>
      <c r="D18788" s="1">
        <v>2.04685012508528E-3</v>
      </c>
      <c r="E18788" s="1">
        <v>2.7533039647576999E-3</v>
      </c>
      <c r="F18788" s="1">
        <v>1.1443732318954E-2</v>
      </c>
    </row>
    <row r="18789" spans="1:6" x14ac:dyDescent="0.25">
      <c r="A18789" s="2" t="str">
        <f t="shared" si="672"/>
        <v>36980</v>
      </c>
      <c r="B18789" s="2" t="str">
        <f>"42322"</f>
        <v>42322</v>
      </c>
      <c r="C18789" s="1">
        <v>0</v>
      </c>
      <c r="D18789" s="1">
        <v>0</v>
      </c>
      <c r="E18789" s="1">
        <v>5.5066079295154103E-4</v>
      </c>
      <c r="F18789" s="1">
        <v>1.5982866367254298E-5</v>
      </c>
    </row>
    <row r="18790" spans="1:6" x14ac:dyDescent="0.25">
      <c r="A18790" s="2" t="str">
        <f t="shared" si="672"/>
        <v>36980</v>
      </c>
      <c r="B18790" s="2" t="str">
        <f>"42301"</f>
        <v>42301</v>
      </c>
      <c r="C18790" s="1">
        <v>0.35800475565177198</v>
      </c>
      <c r="D18790" s="1">
        <v>0.35274050488969699</v>
      </c>
      <c r="E18790" s="1">
        <v>0.504955947136563</v>
      </c>
      <c r="F18790" s="1">
        <v>0.36190004315373903</v>
      </c>
    </row>
    <row r="18791" spans="1:6" x14ac:dyDescent="0.25">
      <c r="A18791" s="2" t="str">
        <f t="shared" si="672"/>
        <v>36980</v>
      </c>
      <c r="B18791" s="2" t="str">
        <f>"42371"</f>
        <v>42371</v>
      </c>
      <c r="C18791" s="1">
        <v>5.6429002377825803E-3</v>
      </c>
      <c r="D18791" s="1">
        <v>1.5919945417329901E-3</v>
      </c>
      <c r="E18791" s="1">
        <v>5.5066079295154103E-4</v>
      </c>
      <c r="F18791" s="1">
        <v>5.2104144357248998E-3</v>
      </c>
    </row>
    <row r="18792" spans="1:6" x14ac:dyDescent="0.25">
      <c r="A18792" s="2" t="str">
        <f t="shared" si="672"/>
        <v>36980</v>
      </c>
      <c r="B18792" s="2" t="str">
        <f>"42355"</f>
        <v>42355</v>
      </c>
      <c r="C18792" s="1">
        <v>1.42137204102636E-2</v>
      </c>
      <c r="D18792" s="1">
        <v>3.86627245849442E-3</v>
      </c>
      <c r="E18792" s="1">
        <v>1.65198237885462E-3</v>
      </c>
      <c r="F18792" s="1">
        <v>1.3121933287515699E-2</v>
      </c>
    </row>
    <row r="18793" spans="1:6" x14ac:dyDescent="0.25">
      <c r="A18793" s="2" t="str">
        <f t="shared" si="672"/>
        <v>36980</v>
      </c>
      <c r="B18793" s="2" t="str">
        <f>"42368"</f>
        <v>42368</v>
      </c>
      <c r="C18793" s="1">
        <v>5.66064520708379E-3</v>
      </c>
      <c r="D18793" s="1">
        <v>6.8228337502842802E-4</v>
      </c>
      <c r="E18793" s="1">
        <v>3.3039647577092499E-3</v>
      </c>
      <c r="F18793" s="1">
        <v>5.2423801684594101E-3</v>
      </c>
    </row>
    <row r="18794" spans="1:6" x14ac:dyDescent="0.25">
      <c r="A18794" s="2" t="str">
        <f t="shared" si="672"/>
        <v>36980</v>
      </c>
      <c r="B18794" s="2" t="str">
        <f>"42366"</f>
        <v>42366</v>
      </c>
      <c r="C18794" s="1">
        <v>4.2712141107995802E-2</v>
      </c>
      <c r="D18794" s="1">
        <v>6.5954059586081403E-3</v>
      </c>
      <c r="E18794" s="1">
        <v>1.5969162995594699E-2</v>
      </c>
      <c r="F18794" s="1">
        <v>3.9397765595281797E-2</v>
      </c>
    </row>
    <row r="18795" spans="1:6" x14ac:dyDescent="0.25">
      <c r="A18795" s="2" t="str">
        <f t="shared" si="672"/>
        <v>36980</v>
      </c>
      <c r="B18795" s="2" t="str">
        <f>"42352"</f>
        <v>42352</v>
      </c>
      <c r="C18795" s="1">
        <v>1.50477339674202E-2</v>
      </c>
      <c r="D18795" s="1">
        <v>1.02342506254264E-2</v>
      </c>
      <c r="E18795" s="1">
        <v>7.7092511013215799E-3</v>
      </c>
      <c r="F18795" s="1">
        <v>1.44964597950996E-2</v>
      </c>
    </row>
    <row r="18796" spans="1:6" x14ac:dyDescent="0.25">
      <c r="A18796" s="2" t="str">
        <f t="shared" si="672"/>
        <v>36980</v>
      </c>
      <c r="B18796" s="2" t="str">
        <f>"42304"</f>
        <v>42304</v>
      </c>
      <c r="C18796" s="1">
        <v>2.4292862973346999E-2</v>
      </c>
      <c r="D18796" s="1">
        <v>4.54855583352285E-2</v>
      </c>
      <c r="E18796" s="1">
        <v>1.1013215859030799E-3</v>
      </c>
      <c r="F18796" s="1">
        <v>2.5109083062956498E-2</v>
      </c>
    </row>
    <row r="18797" spans="1:6" x14ac:dyDescent="0.25">
      <c r="A18797" s="2" t="str">
        <f t="shared" si="672"/>
        <v>36980</v>
      </c>
      <c r="B18797" s="2" t="str">
        <f>"42330"</f>
        <v>42330</v>
      </c>
      <c r="C18797" s="1">
        <v>6.0332895624090502E-4</v>
      </c>
      <c r="D18797" s="1">
        <v>2.27427791676142E-4</v>
      </c>
      <c r="E18797" s="1">
        <v>0</v>
      </c>
      <c r="F18797" s="1">
        <v>5.5940032285390002E-4</v>
      </c>
    </row>
    <row r="18798" spans="1:6" x14ac:dyDescent="0.25">
      <c r="A18798" s="2" t="str">
        <f t="shared" si="672"/>
        <v>36980</v>
      </c>
      <c r="B18798" s="2" t="str">
        <f>"42378"</f>
        <v>42378</v>
      </c>
      <c r="C18798" s="1">
        <v>1.7159385314263399E-2</v>
      </c>
      <c r="D18798" s="1">
        <v>6.3679781669319898E-3</v>
      </c>
      <c r="E18798" s="1">
        <v>7.1585903083700398E-3</v>
      </c>
      <c r="F18798" s="1">
        <v>1.6110729298192301E-2</v>
      </c>
    </row>
    <row r="18799" spans="1:6" x14ac:dyDescent="0.25">
      <c r="A18799" s="2" t="str">
        <f t="shared" si="672"/>
        <v>36980</v>
      </c>
      <c r="B18799" s="2" t="str">
        <f>"42376"</f>
        <v>42376</v>
      </c>
      <c r="C18799" s="1">
        <v>4.06004897611527E-2</v>
      </c>
      <c r="D18799" s="1">
        <v>8.6422560836934195E-3</v>
      </c>
      <c r="E18799" s="1">
        <v>1.04625550660792E-2</v>
      </c>
      <c r="F18799" s="1">
        <v>3.7479821631211302E-2</v>
      </c>
    </row>
    <row r="18800" spans="1:6" x14ac:dyDescent="0.25">
      <c r="A18800" s="2" t="str">
        <f t="shared" si="672"/>
        <v>36980</v>
      </c>
      <c r="B18800" s="2" t="str">
        <f>"42420"</f>
        <v>42420</v>
      </c>
      <c r="C18800" s="1">
        <v>1.41959754409624E-4</v>
      </c>
      <c r="D18800" s="1">
        <v>0</v>
      </c>
      <c r="E18800" s="1">
        <v>0</v>
      </c>
      <c r="F18800" s="1">
        <v>1.2786293093803401E-4</v>
      </c>
    </row>
    <row r="18801" spans="1:6" x14ac:dyDescent="0.25">
      <c r="A18801" s="2" t="str">
        <f t="shared" si="672"/>
        <v>36980</v>
      </c>
      <c r="B18801" s="2" t="str">
        <f>"42348"</f>
        <v>42348</v>
      </c>
      <c r="C18801" s="1">
        <v>3.6856301238598801E-2</v>
      </c>
      <c r="D18801" s="1">
        <v>1.25085285421878E-2</v>
      </c>
      <c r="E18801" s="1">
        <v>4.40528634361233E-3</v>
      </c>
      <c r="F18801" s="1">
        <v>3.4203334025924202E-2</v>
      </c>
    </row>
    <row r="18802" spans="1:6" x14ac:dyDescent="0.25">
      <c r="A18802" s="2" t="str">
        <f t="shared" si="672"/>
        <v>36980</v>
      </c>
      <c r="B18802" s="2" t="str">
        <f>"42343"</f>
        <v>42343</v>
      </c>
      <c r="C18802" s="1">
        <v>2.2713560705539902E-3</v>
      </c>
      <c r="D18802" s="1">
        <v>4.5485558335228498E-4</v>
      </c>
      <c r="E18802" s="1">
        <v>0</v>
      </c>
      <c r="F18802" s="1">
        <v>2.0777726277430501E-3</v>
      </c>
    </row>
    <row r="18803" spans="1:6" x14ac:dyDescent="0.25">
      <c r="A18803" s="2" t="str">
        <f t="shared" si="672"/>
        <v>36980</v>
      </c>
      <c r="B18803" s="2" t="str">
        <f>"42303"</f>
        <v>42303</v>
      </c>
      <c r="C18803" s="1">
        <v>0.32682684458955802</v>
      </c>
      <c r="D18803" s="1">
        <v>0.417784853309074</v>
      </c>
      <c r="E18803" s="1">
        <v>0.41960352422907399</v>
      </c>
      <c r="F18803" s="1">
        <v>0.335911902440583</v>
      </c>
    </row>
    <row r="18804" spans="1:6" x14ac:dyDescent="0.25">
      <c r="A18804" s="2" t="str">
        <f t="shared" ref="A18804:A18822" si="673">"46500"</f>
        <v>46500</v>
      </c>
      <c r="B18804" s="2" t="str">
        <f>"45344"</f>
        <v>45344</v>
      </c>
      <c r="C18804" s="1">
        <v>2.24905303030303E-3</v>
      </c>
      <c r="D18804" s="1">
        <v>0</v>
      </c>
      <c r="E18804" s="1">
        <v>0</v>
      </c>
      <c r="F18804" s="1">
        <v>2.0849336113244799E-3</v>
      </c>
    </row>
    <row r="18805" spans="1:6" x14ac:dyDescent="0.25">
      <c r="A18805" s="2" t="str">
        <f t="shared" si="673"/>
        <v>46500</v>
      </c>
      <c r="B18805" s="2" t="str">
        <f>"43318"</f>
        <v>43318</v>
      </c>
      <c r="C18805" s="1">
        <v>1.78148674242424E-2</v>
      </c>
      <c r="D18805" s="1">
        <v>2.07900207900207E-3</v>
      </c>
      <c r="E18805" s="1">
        <v>0</v>
      </c>
      <c r="F18805" s="1">
        <v>1.6624602216613601E-2</v>
      </c>
    </row>
    <row r="18806" spans="1:6" x14ac:dyDescent="0.25">
      <c r="A18806" s="2" t="str">
        <f t="shared" si="673"/>
        <v>46500</v>
      </c>
      <c r="B18806" s="2" t="str">
        <f>"43357"</f>
        <v>43357</v>
      </c>
      <c r="C18806" s="1">
        <v>2.2135416666666598E-2</v>
      </c>
      <c r="D18806" s="1">
        <v>1.03950103950103E-2</v>
      </c>
      <c r="E18806" s="1">
        <v>2.1739130434782601E-2</v>
      </c>
      <c r="F18806" s="1">
        <v>2.1507736201031399E-2</v>
      </c>
    </row>
    <row r="18807" spans="1:6" x14ac:dyDescent="0.25">
      <c r="A18807" s="2" t="str">
        <f t="shared" si="673"/>
        <v>46500</v>
      </c>
      <c r="B18807" s="2" t="str">
        <f>"43084"</f>
        <v>43084</v>
      </c>
      <c r="C18807" s="1">
        <v>1.8880208333333301E-2</v>
      </c>
      <c r="D18807" s="1">
        <v>1.14345114345114E-2</v>
      </c>
      <c r="E18807" s="1">
        <v>0</v>
      </c>
      <c r="F18807" s="1">
        <v>1.8106002414133598E-2</v>
      </c>
    </row>
    <row r="18808" spans="1:6" x14ac:dyDescent="0.25">
      <c r="A18808" s="2" t="str">
        <f t="shared" si="673"/>
        <v>46500</v>
      </c>
      <c r="B18808" s="2" t="str">
        <f>"43060"</f>
        <v>43060</v>
      </c>
      <c r="C18808" s="1">
        <v>5.8889678030302997E-2</v>
      </c>
      <c r="D18808" s="1">
        <v>1.24740124740124E-2</v>
      </c>
      <c r="E18808" s="1">
        <v>3.2608695652173898E-2</v>
      </c>
      <c r="F18808" s="1">
        <v>5.5909140787885399E-2</v>
      </c>
    </row>
    <row r="18809" spans="1:6" x14ac:dyDescent="0.25">
      <c r="A18809" s="2" t="str">
        <f t="shared" si="673"/>
        <v>46500</v>
      </c>
      <c r="B18809" s="2" t="str">
        <f>"43045"</f>
        <v>43045</v>
      </c>
      <c r="C18809" s="1">
        <v>1.0653409090908999E-3</v>
      </c>
      <c r="D18809" s="1">
        <v>0</v>
      </c>
      <c r="E18809" s="1">
        <v>0</v>
      </c>
      <c r="F18809" s="1">
        <v>9.8760013168001709E-4</v>
      </c>
    </row>
    <row r="18810" spans="1:6" x14ac:dyDescent="0.25">
      <c r="A18810" s="2" t="str">
        <f t="shared" si="673"/>
        <v>46500</v>
      </c>
      <c r="B18810" s="2" t="str">
        <f>"43009"</f>
        <v>43009</v>
      </c>
      <c r="C18810" s="1">
        <v>4.6401515151515103E-2</v>
      </c>
      <c r="D18810" s="1">
        <v>1.14345114345114E-2</v>
      </c>
      <c r="E18810" s="1">
        <v>0</v>
      </c>
      <c r="F18810" s="1">
        <v>4.3619005815867397E-2</v>
      </c>
    </row>
    <row r="18811" spans="1:6" x14ac:dyDescent="0.25">
      <c r="A18811" s="2" t="str">
        <f t="shared" si="673"/>
        <v>46500</v>
      </c>
      <c r="B18811" s="2" t="str">
        <f>"43083"</f>
        <v>43083</v>
      </c>
      <c r="C18811" s="1">
        <v>0</v>
      </c>
      <c r="D18811" s="1">
        <v>1.03950103950103E-3</v>
      </c>
      <c r="E18811" s="1">
        <v>0</v>
      </c>
      <c r="F18811" s="1">
        <v>5.4866673982223099E-5</v>
      </c>
    </row>
    <row r="18812" spans="1:6" x14ac:dyDescent="0.25">
      <c r="A18812" s="2" t="str">
        <f t="shared" si="673"/>
        <v>46500</v>
      </c>
      <c r="B18812" s="2" t="str">
        <f>"43078"</f>
        <v>43078</v>
      </c>
      <c r="C18812" s="1">
        <v>0.552675189393939</v>
      </c>
      <c r="D18812" s="1">
        <v>0.76299376299376198</v>
      </c>
      <c r="E18812" s="1">
        <v>0.77989130434782605</v>
      </c>
      <c r="F18812" s="1">
        <v>0.56836387578184999</v>
      </c>
    </row>
    <row r="18813" spans="1:6" x14ac:dyDescent="0.25">
      <c r="A18813" s="2" t="str">
        <f t="shared" si="673"/>
        <v>46500</v>
      </c>
      <c r="B18813" s="2" t="str">
        <f>"43070"</f>
        <v>43070</v>
      </c>
      <c r="C18813" s="1">
        <v>2.9592803030302999E-4</v>
      </c>
      <c r="D18813" s="1">
        <v>4.1580041580041504E-3</v>
      </c>
      <c r="E18813" s="1">
        <v>0</v>
      </c>
      <c r="F18813" s="1">
        <v>4.93800065840008E-4</v>
      </c>
    </row>
    <row r="18814" spans="1:6" x14ac:dyDescent="0.25">
      <c r="A18814" s="2" t="str">
        <f t="shared" si="673"/>
        <v>46500</v>
      </c>
      <c r="B18814" s="2" t="str">
        <f>"43044"</f>
        <v>43044</v>
      </c>
      <c r="C18814" s="1">
        <v>0.111091382575757</v>
      </c>
      <c r="D18814" s="1">
        <v>0.1008316008316</v>
      </c>
      <c r="E18814" s="1">
        <v>0.119565217391304</v>
      </c>
      <c r="F18814" s="1">
        <v>0.110720948096126</v>
      </c>
    </row>
    <row r="18815" spans="1:6" x14ac:dyDescent="0.25">
      <c r="A18815" s="2" t="str">
        <f t="shared" si="673"/>
        <v>46500</v>
      </c>
      <c r="B18815" s="2" t="str">
        <f>"45365"</f>
        <v>45365</v>
      </c>
      <c r="C18815" s="1">
        <v>5.3267045454545396E-4</v>
      </c>
      <c r="D18815" s="1">
        <v>0</v>
      </c>
      <c r="E18815" s="1">
        <v>0</v>
      </c>
      <c r="F18815" s="1">
        <v>4.93800065840008E-4</v>
      </c>
    </row>
    <row r="18816" spans="1:6" x14ac:dyDescent="0.25">
      <c r="A18816" s="2" t="str">
        <f t="shared" si="673"/>
        <v>46500</v>
      </c>
      <c r="B18816" s="2" t="str">
        <f>"45317"</f>
        <v>45317</v>
      </c>
      <c r="C18816" s="1">
        <v>1.18371212121212E-2</v>
      </c>
      <c r="D18816" s="1">
        <v>2.07900207900207E-3</v>
      </c>
      <c r="E18816" s="1">
        <v>0</v>
      </c>
      <c r="F18816" s="1">
        <v>1.1083068144409E-2</v>
      </c>
    </row>
    <row r="18817" spans="1:6" x14ac:dyDescent="0.25">
      <c r="A18817" s="2" t="str">
        <f t="shared" si="673"/>
        <v>46500</v>
      </c>
      <c r="B18817" s="2" t="str">
        <f>"43047"</f>
        <v>43047</v>
      </c>
      <c r="C18817" s="1">
        <v>0</v>
      </c>
      <c r="D18817" s="1">
        <v>0</v>
      </c>
      <c r="E18817" s="1">
        <v>5.4347826086956503E-3</v>
      </c>
      <c r="F18817" s="1">
        <v>1.09733347964446E-4</v>
      </c>
    </row>
    <row r="18818" spans="1:6" x14ac:dyDescent="0.25">
      <c r="A18818" s="2" t="str">
        <f t="shared" si="673"/>
        <v>46500</v>
      </c>
      <c r="B18818" s="2" t="str">
        <f>"45502"</f>
        <v>45502</v>
      </c>
      <c r="C18818" s="1">
        <v>9.5288825757575708E-3</v>
      </c>
      <c r="D18818" s="1">
        <v>3.11850311850311E-3</v>
      </c>
      <c r="E18818" s="1">
        <v>0</v>
      </c>
      <c r="F18818" s="1">
        <v>8.9981345330846004E-3</v>
      </c>
    </row>
    <row r="18819" spans="1:6" x14ac:dyDescent="0.25">
      <c r="A18819" s="2" t="str">
        <f t="shared" si="673"/>
        <v>46500</v>
      </c>
      <c r="B18819" s="2" t="str">
        <f>"43343"</f>
        <v>43343</v>
      </c>
      <c r="C18819" s="1">
        <v>3.55113636363636E-3</v>
      </c>
      <c r="D18819" s="1">
        <v>3.11850311850311E-3</v>
      </c>
      <c r="E18819" s="1">
        <v>0</v>
      </c>
      <c r="F18819" s="1">
        <v>3.45660046088006E-3</v>
      </c>
    </row>
    <row r="18820" spans="1:6" x14ac:dyDescent="0.25">
      <c r="A18820" s="2" t="str">
        <f t="shared" si="673"/>
        <v>46500</v>
      </c>
      <c r="B18820" s="2" t="str">
        <f>"45389"</f>
        <v>45389</v>
      </c>
      <c r="C18820" s="1">
        <v>1.18371212121212E-4</v>
      </c>
      <c r="D18820" s="1">
        <v>1.03950103950103E-3</v>
      </c>
      <c r="E18820" s="1">
        <v>0</v>
      </c>
      <c r="F18820" s="1">
        <v>1.64600021946669E-4</v>
      </c>
    </row>
    <row r="18821" spans="1:6" x14ac:dyDescent="0.25">
      <c r="A18821" s="2" t="str">
        <f t="shared" si="673"/>
        <v>46500</v>
      </c>
      <c r="B18821" s="2" t="str">
        <f>"45312"</f>
        <v>45312</v>
      </c>
      <c r="C18821" s="1">
        <v>8.8778409090909001E-4</v>
      </c>
      <c r="D18821" s="1">
        <v>0</v>
      </c>
      <c r="E18821" s="1">
        <v>0</v>
      </c>
      <c r="F18821" s="1">
        <v>8.2300010973334703E-4</v>
      </c>
    </row>
    <row r="18822" spans="1:6" x14ac:dyDescent="0.25">
      <c r="A18822" s="2" t="str">
        <f t="shared" si="673"/>
        <v>46500</v>
      </c>
      <c r="B18822" s="2" t="str">
        <f>"43072"</f>
        <v>43072</v>
      </c>
      <c r="C18822" s="1">
        <v>0.142045454545454</v>
      </c>
      <c r="D18822" s="1">
        <v>7.3804573804573795E-2</v>
      </c>
      <c r="E18822" s="1">
        <v>4.0760869565217302E-2</v>
      </c>
      <c r="F18822" s="1">
        <v>0.13639855151980601</v>
      </c>
    </row>
    <row r="18823" spans="1:6" x14ac:dyDescent="0.25">
      <c r="A18823" s="2" t="str">
        <f t="shared" ref="A18823:A18842" si="674">"31900"</f>
        <v>31900</v>
      </c>
      <c r="B18823" s="2" t="str">
        <f>"44865"</f>
        <v>44865</v>
      </c>
      <c r="C18823" s="1">
        <v>1.16479356037996E-2</v>
      </c>
      <c r="D18823" s="1">
        <v>7.6121794871794801E-3</v>
      </c>
      <c r="E18823" s="1">
        <v>1.15291262135922E-2</v>
      </c>
      <c r="F18823" s="1">
        <v>1.13363052836374E-2</v>
      </c>
    </row>
    <row r="18824" spans="1:6" x14ac:dyDescent="0.25">
      <c r="A18824" s="2" t="str">
        <f t="shared" si="674"/>
        <v>31900</v>
      </c>
      <c r="B18824" s="2" t="str">
        <f>"44822"</f>
        <v>44822</v>
      </c>
      <c r="C18824" s="1">
        <v>1.6730050991694601E-2</v>
      </c>
      <c r="D18824" s="1">
        <v>6.8108974358974299E-3</v>
      </c>
      <c r="E18824" s="1">
        <v>5.46116504854368E-3</v>
      </c>
      <c r="F18824" s="1">
        <v>1.56869954195198E-2</v>
      </c>
    </row>
    <row r="18825" spans="1:6" x14ac:dyDescent="0.25">
      <c r="A18825" s="2" t="str">
        <f t="shared" si="674"/>
        <v>31900</v>
      </c>
      <c r="B18825" s="2" t="str">
        <f>"44906"</f>
        <v>44906</v>
      </c>
      <c r="C18825" s="1">
        <v>0.154202977642103</v>
      </c>
      <c r="D18825" s="1">
        <v>0.24519230769230699</v>
      </c>
      <c r="E18825" s="1">
        <v>0.172936893203883</v>
      </c>
      <c r="F18825" s="1">
        <v>0.161634266280619</v>
      </c>
    </row>
    <row r="18826" spans="1:6" x14ac:dyDescent="0.25">
      <c r="A18826" s="2" t="str">
        <f t="shared" si="674"/>
        <v>31900</v>
      </c>
      <c r="B18826" s="2" t="str">
        <f>"44813"</f>
        <v>44813</v>
      </c>
      <c r="C18826" s="1">
        <v>5.0752937565018599E-2</v>
      </c>
      <c r="D18826" s="1">
        <v>2.8044871794871699E-2</v>
      </c>
      <c r="E18826" s="1">
        <v>2.12378640776699E-2</v>
      </c>
      <c r="F18826" s="1">
        <v>4.8271213444245203E-2</v>
      </c>
    </row>
    <row r="18827" spans="1:6" x14ac:dyDescent="0.25">
      <c r="A18827" s="2" t="str">
        <f t="shared" si="674"/>
        <v>31900</v>
      </c>
      <c r="B18827" s="2" t="str">
        <f>"44905"</f>
        <v>44905</v>
      </c>
      <c r="C18827" s="1">
        <v>9.8930709279124104E-2</v>
      </c>
      <c r="D18827" s="1">
        <v>0.10236378205128201</v>
      </c>
      <c r="E18827" s="1">
        <v>8.4344660194174706E-2</v>
      </c>
      <c r="F18827" s="1">
        <v>9.8825007276682406E-2</v>
      </c>
    </row>
    <row r="18828" spans="1:6" x14ac:dyDescent="0.25">
      <c r="A18828" s="2" t="str">
        <f t="shared" si="674"/>
        <v>31900</v>
      </c>
      <c r="B18828" s="2" t="str">
        <f>"44862"</f>
        <v>44862</v>
      </c>
      <c r="C18828" s="1">
        <v>0</v>
      </c>
      <c r="D18828" s="1">
        <v>0</v>
      </c>
      <c r="E18828" s="1">
        <v>6.0679611650485399E-4</v>
      </c>
      <c r="F18828" s="1">
        <v>1.5319331464374801E-5</v>
      </c>
    </row>
    <row r="18829" spans="1:6" x14ac:dyDescent="0.25">
      <c r="A18829" s="2" t="str">
        <f t="shared" si="674"/>
        <v>31900</v>
      </c>
      <c r="B18829" s="2" t="str">
        <f>"44843"</f>
        <v>44843</v>
      </c>
      <c r="C18829" s="1">
        <v>1.8264918055152801E-2</v>
      </c>
      <c r="D18829" s="1">
        <v>9.0144230769230692E-3</v>
      </c>
      <c r="E18829" s="1">
        <v>3.6407766990291198E-3</v>
      </c>
      <c r="F18829" s="1">
        <v>1.7188289903028599E-2</v>
      </c>
    </row>
    <row r="18830" spans="1:6" x14ac:dyDescent="0.25">
      <c r="A18830" s="2" t="str">
        <f t="shared" si="674"/>
        <v>31900</v>
      </c>
      <c r="B18830" s="2" t="str">
        <f>"44907"</f>
        <v>44907</v>
      </c>
      <c r="C18830" s="1">
        <v>0.12945750976345899</v>
      </c>
      <c r="D18830" s="1">
        <v>0.10076121794871699</v>
      </c>
      <c r="E18830" s="1">
        <v>0.21723300970873699</v>
      </c>
      <c r="F18830" s="1">
        <v>0.12947898953689599</v>
      </c>
    </row>
    <row r="18831" spans="1:6" x14ac:dyDescent="0.25">
      <c r="A18831" s="2" t="str">
        <f t="shared" si="674"/>
        <v>31900</v>
      </c>
      <c r="B18831" s="2" t="str">
        <f>"44901"</f>
        <v>44901</v>
      </c>
      <c r="C18831" s="1">
        <v>2.6843119532036001E-2</v>
      </c>
      <c r="D18831" s="1">
        <v>6.7708333333333301E-2</v>
      </c>
      <c r="E18831" s="1">
        <v>1.8203883495145599E-3</v>
      </c>
      <c r="F18831" s="1">
        <v>2.9336519754277899E-2</v>
      </c>
    </row>
    <row r="18832" spans="1:6" x14ac:dyDescent="0.25">
      <c r="A18832" s="2" t="str">
        <f t="shared" si="674"/>
        <v>31900</v>
      </c>
      <c r="B18832" s="2" t="str">
        <f>"44902"</f>
        <v>44902</v>
      </c>
      <c r="C18832" s="1">
        <v>4.6489417944301302E-2</v>
      </c>
      <c r="D18832" s="1">
        <v>0.16145833333333301</v>
      </c>
      <c r="E18832" s="1">
        <v>0.11225728155339799</v>
      </c>
      <c r="F18832" s="1">
        <v>5.6941955053081403E-2</v>
      </c>
    </row>
    <row r="18833" spans="1:6" x14ac:dyDescent="0.25">
      <c r="A18833" s="2" t="str">
        <f t="shared" si="674"/>
        <v>31900</v>
      </c>
      <c r="B18833" s="2" t="str">
        <f>"44878"</f>
        <v>44878</v>
      </c>
      <c r="C18833" s="1">
        <v>1.8060269113358399E-2</v>
      </c>
      <c r="D18833" s="1">
        <v>7.6121794871794801E-3</v>
      </c>
      <c r="E18833" s="1">
        <v>2.4271844660194099E-3</v>
      </c>
      <c r="F18833" s="1">
        <v>1.6866583942276699E-2</v>
      </c>
    </row>
    <row r="18834" spans="1:6" x14ac:dyDescent="0.25">
      <c r="A18834" s="2" t="str">
        <f t="shared" si="674"/>
        <v>31900</v>
      </c>
      <c r="B18834" s="2" t="str">
        <f>"44833"</f>
        <v>44833</v>
      </c>
      <c r="C18834" s="1">
        <v>3.5813564814025198E-3</v>
      </c>
      <c r="D18834" s="1">
        <v>1.0016025641025599E-3</v>
      </c>
      <c r="E18834" s="1">
        <v>0</v>
      </c>
      <c r="F18834" s="1">
        <v>3.2936562648405998E-3</v>
      </c>
    </row>
    <row r="18835" spans="1:6" x14ac:dyDescent="0.25">
      <c r="A18835" s="2" t="str">
        <f t="shared" si="674"/>
        <v>31900</v>
      </c>
      <c r="B18835" s="2" t="str">
        <f>"44827"</f>
        <v>44827</v>
      </c>
      <c r="C18835" s="1">
        <v>5.9177652335556004E-3</v>
      </c>
      <c r="D18835" s="1">
        <v>3.4054487179487102E-3</v>
      </c>
      <c r="E18835" s="1">
        <v>1.8203883495145599E-3</v>
      </c>
      <c r="F18835" s="1">
        <v>5.6221946474255798E-3</v>
      </c>
    </row>
    <row r="18836" spans="1:6" x14ac:dyDescent="0.25">
      <c r="A18836" s="2" t="str">
        <f t="shared" si="674"/>
        <v>31900</v>
      </c>
      <c r="B18836" s="2" t="str">
        <f>"44837"</f>
        <v>44837</v>
      </c>
      <c r="C18836" s="1">
        <v>4.9627368385149299E-3</v>
      </c>
      <c r="D18836" s="1">
        <v>8.0128205128205104E-4</v>
      </c>
      <c r="E18836" s="1">
        <v>1.2135922330097E-3</v>
      </c>
      <c r="F18836" s="1">
        <v>4.5498414449193399E-3</v>
      </c>
    </row>
    <row r="18837" spans="1:6" x14ac:dyDescent="0.25">
      <c r="A18837" s="2" t="str">
        <f t="shared" si="674"/>
        <v>31900</v>
      </c>
      <c r="B18837" s="2" t="str">
        <f>"44864"</f>
        <v>44864</v>
      </c>
      <c r="C18837" s="1">
        <v>5.6448999778296897E-3</v>
      </c>
      <c r="D18837" s="1">
        <v>1.2019230769230701E-3</v>
      </c>
      <c r="E18837" s="1">
        <v>0</v>
      </c>
      <c r="F18837" s="1">
        <v>5.1626147034943299E-3</v>
      </c>
    </row>
    <row r="18838" spans="1:6" x14ac:dyDescent="0.25">
      <c r="A18838" s="2" t="str">
        <f t="shared" si="674"/>
        <v>31900</v>
      </c>
      <c r="B18838" s="2" t="str">
        <f>"44805"</f>
        <v>44805</v>
      </c>
      <c r="C18838" s="1">
        <v>2.2852465167044599E-3</v>
      </c>
      <c r="D18838" s="1">
        <v>6.0096153846153795E-4</v>
      </c>
      <c r="E18838" s="1">
        <v>6.0679611650485399E-4</v>
      </c>
      <c r="F18838" s="1">
        <v>2.1140677420837298E-3</v>
      </c>
    </row>
    <row r="18839" spans="1:6" x14ac:dyDescent="0.25">
      <c r="A18839" s="2" t="str">
        <f t="shared" si="674"/>
        <v>31900</v>
      </c>
      <c r="B18839" s="2" t="str">
        <f>"44903"</f>
        <v>44903</v>
      </c>
      <c r="C18839" s="1">
        <v>0.199464501935637</v>
      </c>
      <c r="D18839" s="1">
        <v>0.119991987179487</v>
      </c>
      <c r="E18839" s="1">
        <v>0.153519417475728</v>
      </c>
      <c r="F18839" s="1">
        <v>0.19222697121497601</v>
      </c>
    </row>
    <row r="18840" spans="1:6" x14ac:dyDescent="0.25">
      <c r="A18840" s="2" t="str">
        <f t="shared" si="674"/>
        <v>31900</v>
      </c>
      <c r="B18840" s="2" t="str">
        <f>"44875"</f>
        <v>44875</v>
      </c>
      <c r="C18840" s="1">
        <v>0.106246908948274</v>
      </c>
      <c r="D18840" s="1">
        <v>8.0729166666666602E-2</v>
      </c>
      <c r="E18840" s="1">
        <v>0.110436893203883</v>
      </c>
      <c r="F18840" s="1">
        <v>0.104401243929714</v>
      </c>
    </row>
    <row r="18841" spans="1:6" x14ac:dyDescent="0.25">
      <c r="A18841" s="2" t="str">
        <f t="shared" si="674"/>
        <v>31900</v>
      </c>
      <c r="B18841" s="2" t="str">
        <f>"44904"</f>
        <v>44904</v>
      </c>
      <c r="C18841" s="1">
        <v>9.9800467281750405E-2</v>
      </c>
      <c r="D18841" s="1">
        <v>5.3285256410256401E-2</v>
      </c>
      <c r="E18841" s="1">
        <v>9.7694174757281496E-2</v>
      </c>
      <c r="F18841" s="1">
        <v>9.6190082264809906E-2</v>
      </c>
    </row>
    <row r="18842" spans="1:6" x14ac:dyDescent="0.25">
      <c r="A18842" s="2" t="str">
        <f t="shared" si="674"/>
        <v>31900</v>
      </c>
      <c r="B18842" s="2" t="str">
        <f>"43019"</f>
        <v>43019</v>
      </c>
      <c r="C18842" s="1">
        <v>7.16271296280505E-4</v>
      </c>
      <c r="D18842" s="1">
        <v>2.4038461538461501E-3</v>
      </c>
      <c r="E18842" s="1">
        <v>1.2135922330097E-3</v>
      </c>
      <c r="F18842" s="1">
        <v>8.57882562004994E-4</v>
      </c>
    </row>
    <row r="18843" spans="1:6" x14ac:dyDescent="0.25">
      <c r="A18843" s="2" t="str">
        <f t="shared" ref="A18843:A18859" si="675">"17060"</f>
        <v>17060</v>
      </c>
      <c r="B18843" s="2" t="str">
        <f>"45617"</f>
        <v>45617</v>
      </c>
      <c r="C18843" s="1">
        <v>0</v>
      </c>
      <c r="D18843" s="1">
        <v>4.2462845010615702E-4</v>
      </c>
      <c r="E18843" s="1">
        <v>0</v>
      </c>
      <c r="F18843" s="1">
        <v>2.6050485841560901E-5</v>
      </c>
    </row>
    <row r="18844" spans="1:6" x14ac:dyDescent="0.25">
      <c r="A18844" s="2" t="str">
        <f t="shared" si="675"/>
        <v>17060</v>
      </c>
      <c r="B18844" s="2" t="str">
        <f>"45123"</f>
        <v>45123</v>
      </c>
      <c r="C18844" s="1">
        <v>1.50139173953383E-2</v>
      </c>
      <c r="D18844" s="1">
        <v>6.7940552016985097E-3</v>
      </c>
      <c r="E18844" s="1">
        <v>8.6021505376343999E-3</v>
      </c>
      <c r="F18844" s="1">
        <v>1.4431969156224699E-2</v>
      </c>
    </row>
    <row r="18845" spans="1:6" x14ac:dyDescent="0.25">
      <c r="A18845" s="2" t="str">
        <f t="shared" si="675"/>
        <v>17060</v>
      </c>
      <c r="B18845" s="2" t="str">
        <f>"43135"</f>
        <v>43135</v>
      </c>
      <c r="C18845" s="1">
        <v>8.0130458008828408E-3</v>
      </c>
      <c r="D18845" s="1">
        <v>4.2462845010615702E-4</v>
      </c>
      <c r="E18845" s="1">
        <v>0</v>
      </c>
      <c r="F18845" s="1">
        <v>7.45043895068643E-3</v>
      </c>
    </row>
    <row r="18846" spans="1:6" x14ac:dyDescent="0.25">
      <c r="A18846" s="2" t="str">
        <f t="shared" si="675"/>
        <v>17060</v>
      </c>
      <c r="B18846" s="2" t="str">
        <f>"45672"</f>
        <v>45672</v>
      </c>
      <c r="C18846" s="1">
        <v>3.9362330249950701E-4</v>
      </c>
      <c r="D18846" s="1">
        <v>0</v>
      </c>
      <c r="E18846" s="1">
        <v>0</v>
      </c>
      <c r="F18846" s="1">
        <v>3.64706801781853E-4</v>
      </c>
    </row>
    <row r="18847" spans="1:6" x14ac:dyDescent="0.25">
      <c r="A18847" s="2" t="str">
        <f t="shared" si="675"/>
        <v>17060</v>
      </c>
      <c r="B18847" s="2" t="str">
        <f>"45612"</f>
        <v>45612</v>
      </c>
      <c r="C18847" s="1">
        <v>4.9090449011724303E-2</v>
      </c>
      <c r="D18847" s="1">
        <v>2.0382165605095499E-2</v>
      </c>
      <c r="E18847" s="1">
        <v>1.72043010752688E-2</v>
      </c>
      <c r="F18847" s="1">
        <v>4.6942975486492802E-2</v>
      </c>
    </row>
    <row r="18848" spans="1:6" x14ac:dyDescent="0.25">
      <c r="A18848" s="2" t="str">
        <f t="shared" si="675"/>
        <v>17060</v>
      </c>
      <c r="B18848" s="2" t="str">
        <f>"45647"</f>
        <v>45647</v>
      </c>
      <c r="C18848" s="1">
        <v>1.7431889110692399E-2</v>
      </c>
      <c r="D18848" s="1">
        <v>7.6433121019108203E-3</v>
      </c>
      <c r="E18848" s="1">
        <v>4.3010752688172E-3</v>
      </c>
      <c r="F18848" s="1">
        <v>1.6672310938599E-2</v>
      </c>
    </row>
    <row r="18849" spans="1:6" x14ac:dyDescent="0.25">
      <c r="A18849" s="2" t="str">
        <f t="shared" si="675"/>
        <v>17060</v>
      </c>
      <c r="B18849" s="2" t="str">
        <f>"43101"</f>
        <v>43101</v>
      </c>
      <c r="C18849" s="1">
        <v>3.6269575730311799E-3</v>
      </c>
      <c r="D18849" s="1">
        <v>8.4925690021231404E-4</v>
      </c>
      <c r="E18849" s="1">
        <v>0</v>
      </c>
      <c r="F18849" s="1">
        <v>3.4126136452444799E-3</v>
      </c>
    </row>
    <row r="18850" spans="1:6" x14ac:dyDescent="0.25">
      <c r="A18850" s="2" t="str">
        <f t="shared" si="675"/>
        <v>17060</v>
      </c>
      <c r="B18850" s="2" t="str">
        <f>"45644"</f>
        <v>45644</v>
      </c>
      <c r="C18850" s="1">
        <v>5.4713639047431602E-2</v>
      </c>
      <c r="D18850" s="1">
        <v>4.2462845010615702E-3</v>
      </c>
      <c r="E18850" s="1">
        <v>1.0752688172042999E-2</v>
      </c>
      <c r="F18850" s="1">
        <v>5.1085002735300998E-2</v>
      </c>
    </row>
    <row r="18851" spans="1:6" x14ac:dyDescent="0.25">
      <c r="A18851" s="2" t="str">
        <f t="shared" si="675"/>
        <v>17060</v>
      </c>
      <c r="B18851" s="2" t="str">
        <f>"45633"</f>
        <v>45633</v>
      </c>
      <c r="C18851" s="1">
        <v>0</v>
      </c>
      <c r="D18851" s="1">
        <v>4.2462845010615702E-4</v>
      </c>
      <c r="E18851" s="1">
        <v>0</v>
      </c>
      <c r="F18851" s="1">
        <v>2.6050485841560901E-5</v>
      </c>
    </row>
    <row r="18852" spans="1:6" x14ac:dyDescent="0.25">
      <c r="A18852" s="2" t="str">
        <f t="shared" si="675"/>
        <v>17060</v>
      </c>
      <c r="B18852" s="2" t="str">
        <f>"43115"</f>
        <v>43115</v>
      </c>
      <c r="C18852" s="1">
        <v>1.22866702280203E-2</v>
      </c>
      <c r="D18852" s="1">
        <v>4.2462845010615702E-3</v>
      </c>
      <c r="E18852" s="1">
        <v>4.3010752688172E-3</v>
      </c>
      <c r="F18852" s="1">
        <v>1.16966681428608E-2</v>
      </c>
    </row>
    <row r="18853" spans="1:6" x14ac:dyDescent="0.25">
      <c r="A18853" s="2" t="str">
        <f t="shared" si="675"/>
        <v>17060</v>
      </c>
      <c r="B18853" s="2" t="str">
        <f>"45690"</f>
        <v>45690</v>
      </c>
      <c r="C18853" s="1">
        <v>1.9146962071583201E-2</v>
      </c>
      <c r="D18853" s="1">
        <v>6.7940552016985097E-3</v>
      </c>
      <c r="E18853" s="1">
        <v>8.6021505376343999E-3</v>
      </c>
      <c r="F18853" s="1">
        <v>1.82613905749342E-2</v>
      </c>
    </row>
    <row r="18854" spans="1:6" x14ac:dyDescent="0.25">
      <c r="A18854" s="2" t="str">
        <f t="shared" si="675"/>
        <v>17060</v>
      </c>
      <c r="B18854" s="2" t="str">
        <f>"43164"</f>
        <v>43164</v>
      </c>
      <c r="C18854" s="1">
        <v>9.5594230607023295E-4</v>
      </c>
      <c r="D18854" s="1">
        <v>0</v>
      </c>
      <c r="E18854" s="1">
        <v>0</v>
      </c>
      <c r="F18854" s="1">
        <v>8.8571651861307202E-4</v>
      </c>
    </row>
    <row r="18855" spans="1:6" x14ac:dyDescent="0.25">
      <c r="A18855" s="2" t="str">
        <f t="shared" si="675"/>
        <v>17060</v>
      </c>
      <c r="B18855" s="2" t="str">
        <f>"45673"</f>
        <v>45673</v>
      </c>
      <c r="C18855" s="1">
        <v>5.6794219360643203E-3</v>
      </c>
      <c r="D18855" s="1">
        <v>4.6709129511677203E-3</v>
      </c>
      <c r="E18855" s="1">
        <v>4.3010752688172E-3</v>
      </c>
      <c r="F18855" s="1">
        <v>5.6008544559355998E-3</v>
      </c>
    </row>
    <row r="18856" spans="1:6" x14ac:dyDescent="0.25">
      <c r="A18856" s="2" t="str">
        <f t="shared" si="675"/>
        <v>17060</v>
      </c>
      <c r="B18856" s="2" t="str">
        <f>"43160"</f>
        <v>43160</v>
      </c>
      <c r="C18856" s="1">
        <v>1.7431889110692399E-3</v>
      </c>
      <c r="D18856" s="1">
        <v>5.0955414012738799E-3</v>
      </c>
      <c r="E18856" s="1">
        <v>2.1505376344086E-3</v>
      </c>
      <c r="F18856" s="1">
        <v>1.9537864381170699E-3</v>
      </c>
    </row>
    <row r="18857" spans="1:6" x14ac:dyDescent="0.25">
      <c r="A18857" s="2" t="str">
        <f t="shared" si="675"/>
        <v>17060</v>
      </c>
      <c r="B18857" s="2" t="str">
        <f>"45681"</f>
        <v>45681</v>
      </c>
      <c r="C18857" s="1">
        <v>2.0102904377653399E-2</v>
      </c>
      <c r="D18857" s="1">
        <v>2.97239915074309E-3</v>
      </c>
      <c r="E18857" s="1">
        <v>4.3010752688172E-3</v>
      </c>
      <c r="F18857" s="1">
        <v>1.8860551749290098E-2</v>
      </c>
    </row>
    <row r="18858" spans="1:6" x14ac:dyDescent="0.25">
      <c r="A18858" s="2" t="str">
        <f t="shared" si="675"/>
        <v>17060</v>
      </c>
      <c r="B18858" s="2" t="str">
        <f>"45628"</f>
        <v>45628</v>
      </c>
      <c r="C18858" s="1">
        <v>6.7084657125987504E-2</v>
      </c>
      <c r="D18858" s="1">
        <v>1.5711252653927799E-2</v>
      </c>
      <c r="E18858" s="1">
        <v>2.1505376344085999E-2</v>
      </c>
      <c r="F18858" s="1">
        <v>6.3380832052517697E-2</v>
      </c>
    </row>
    <row r="18859" spans="1:6" x14ac:dyDescent="0.25">
      <c r="A18859" s="2" t="str">
        <f t="shared" si="675"/>
        <v>17060</v>
      </c>
      <c r="B18859" s="2" t="str">
        <f>"45601"</f>
        <v>45601</v>
      </c>
      <c r="C18859" s="1">
        <v>0.72471673180195095</v>
      </c>
      <c r="D18859" s="1">
        <v>0.91932059447982994</v>
      </c>
      <c r="E18859" s="1">
        <v>0.91397849462365499</v>
      </c>
      <c r="F18859" s="1">
        <v>0.73894808138171697</v>
      </c>
    </row>
    <row r="18860" spans="1:6" x14ac:dyDescent="0.25">
      <c r="A18860" s="2" t="str">
        <f t="shared" ref="A18860:A18891" si="676">"10420"</f>
        <v>10420</v>
      </c>
      <c r="B18860" s="2" t="str">
        <f>"44470"</f>
        <v>44470</v>
      </c>
      <c r="C18860" s="1">
        <v>2.08065201689489E-5</v>
      </c>
      <c r="D18860" s="1">
        <v>0</v>
      </c>
      <c r="E18860" s="1">
        <v>0</v>
      </c>
      <c r="F18860" s="1">
        <v>1.85364665257895E-5</v>
      </c>
    </row>
    <row r="18861" spans="1:6" x14ac:dyDescent="0.25">
      <c r="A18861" s="2" t="str">
        <f t="shared" si="676"/>
        <v>10420</v>
      </c>
      <c r="B18861" s="2" t="str">
        <f>"44685"</f>
        <v>44685</v>
      </c>
      <c r="C18861" s="1">
        <v>1.9706746960018701E-2</v>
      </c>
      <c r="D18861" s="1">
        <v>1.4494246951742999E-2</v>
      </c>
      <c r="E18861" s="1">
        <v>2.0105907661757402E-2</v>
      </c>
      <c r="F18861" s="1">
        <v>1.93176461865192E-2</v>
      </c>
    </row>
    <row r="18862" spans="1:6" x14ac:dyDescent="0.25">
      <c r="A18862" s="2" t="str">
        <f t="shared" si="676"/>
        <v>10420</v>
      </c>
      <c r="B18862" s="2" t="str">
        <f>"44645"</f>
        <v>44645</v>
      </c>
      <c r="C18862" s="1">
        <v>2.9723600241355599E-5</v>
      </c>
      <c r="D18862" s="1">
        <v>0</v>
      </c>
      <c r="E18862" s="1">
        <v>0</v>
      </c>
      <c r="F18862" s="1">
        <v>2.6480666465413599E-5</v>
      </c>
    </row>
    <row r="18863" spans="1:6" x14ac:dyDescent="0.25">
      <c r="A18863" s="2" t="str">
        <f t="shared" si="676"/>
        <v>10420</v>
      </c>
      <c r="B18863" s="2" t="str">
        <f>"44317"</f>
        <v>44317</v>
      </c>
      <c r="C18863" s="1">
        <v>0</v>
      </c>
      <c r="D18863" s="1">
        <v>6.8693113515369997E-5</v>
      </c>
      <c r="E18863" s="1">
        <v>0</v>
      </c>
      <c r="F18863" s="1">
        <v>5.2961332930827199E-6</v>
      </c>
    </row>
    <row r="18864" spans="1:6" x14ac:dyDescent="0.25">
      <c r="A18864" s="2" t="str">
        <f t="shared" si="676"/>
        <v>10420</v>
      </c>
      <c r="B18864" s="2" t="str">
        <f>"44320"</f>
        <v>44320</v>
      </c>
      <c r="C18864" s="1">
        <v>3.0003002083624299E-2</v>
      </c>
      <c r="D18864" s="1">
        <v>2.2153529108706799E-2</v>
      </c>
      <c r="E18864" s="1">
        <v>1.9940426940261401E-2</v>
      </c>
      <c r="F18864" s="1">
        <v>2.9075771779024099E-2</v>
      </c>
    </row>
    <row r="18865" spans="1:6" x14ac:dyDescent="0.25">
      <c r="A18865" s="2" t="str">
        <f t="shared" si="676"/>
        <v>10420</v>
      </c>
      <c r="B18865" s="2" t="str">
        <f>"44311"</f>
        <v>44311</v>
      </c>
      <c r="C18865" s="1">
        <v>1.06767172066949E-2</v>
      </c>
      <c r="D18865" s="1">
        <v>2.3218272368195E-2</v>
      </c>
      <c r="E18865" s="1">
        <v>2.8214463015058699E-2</v>
      </c>
      <c r="F18865" s="1">
        <v>1.22049391739091E-2</v>
      </c>
    </row>
    <row r="18866" spans="1:6" x14ac:dyDescent="0.25">
      <c r="A18866" s="2" t="str">
        <f t="shared" si="676"/>
        <v>10420</v>
      </c>
      <c r="B18866" s="2" t="str">
        <f>"44312"</f>
        <v>44312</v>
      </c>
      <c r="C18866" s="1">
        <v>4.6113193414439098E-2</v>
      </c>
      <c r="D18866" s="1">
        <v>3.9842005838914597E-2</v>
      </c>
      <c r="E18866" s="1">
        <v>2.45738871421479E-2</v>
      </c>
      <c r="F18866" s="1">
        <v>4.4940339058453398E-2</v>
      </c>
    </row>
    <row r="18867" spans="1:6" x14ac:dyDescent="0.25">
      <c r="A18867" s="2" t="str">
        <f t="shared" si="676"/>
        <v>10420</v>
      </c>
      <c r="B18867" s="2" t="str">
        <f>"44232"</f>
        <v>44232</v>
      </c>
      <c r="C18867" s="1">
        <v>1.12652444914737E-3</v>
      </c>
      <c r="D18867" s="1">
        <v>5.8389146488064501E-3</v>
      </c>
      <c r="E18867" s="1">
        <v>1.6548072149594499E-4</v>
      </c>
      <c r="F18867" s="1">
        <v>1.45908472224428E-3</v>
      </c>
    </row>
    <row r="18868" spans="1:6" x14ac:dyDescent="0.25">
      <c r="A18868" s="2" t="str">
        <f t="shared" si="676"/>
        <v>10420</v>
      </c>
      <c r="B18868" s="2" t="str">
        <f>"44222"</f>
        <v>44222</v>
      </c>
      <c r="C18868" s="1">
        <v>1.5396824925022199E-3</v>
      </c>
      <c r="D18868" s="1">
        <v>4.7054782758028501E-3</v>
      </c>
      <c r="E18868" s="1">
        <v>1.6548072149594499E-4</v>
      </c>
      <c r="F18868" s="1">
        <v>1.73977978677767E-3</v>
      </c>
    </row>
    <row r="18869" spans="1:6" x14ac:dyDescent="0.25">
      <c r="A18869" s="2" t="str">
        <f t="shared" si="676"/>
        <v>10420</v>
      </c>
      <c r="B18869" s="2" t="str">
        <f>"44240"</f>
        <v>44240</v>
      </c>
      <c r="C18869" s="1">
        <v>5.9093489639839097E-2</v>
      </c>
      <c r="D18869" s="1">
        <v>5.2893697406834903E-2</v>
      </c>
      <c r="E18869" s="1">
        <v>7.7114016217110698E-2</v>
      </c>
      <c r="F18869" s="1">
        <v>5.9192233750139003E-2</v>
      </c>
    </row>
    <row r="18870" spans="1:6" x14ac:dyDescent="0.25">
      <c r="A18870" s="2" t="str">
        <f t="shared" si="676"/>
        <v>10420</v>
      </c>
      <c r="B18870" s="2" t="str">
        <f>"44056"</f>
        <v>44056</v>
      </c>
      <c r="C18870" s="1">
        <v>1.6015075810042401E-2</v>
      </c>
      <c r="D18870" s="1">
        <v>1.9680577022153499E-2</v>
      </c>
      <c r="E18870" s="1">
        <v>7.0329306635776899E-3</v>
      </c>
      <c r="F18870" s="1">
        <v>1.6010210944989001E-2</v>
      </c>
    </row>
    <row r="18871" spans="1:6" x14ac:dyDescent="0.25">
      <c r="A18871" s="2" t="str">
        <f t="shared" si="676"/>
        <v>10420</v>
      </c>
      <c r="B18871" s="2" t="str">
        <f>"44632"</f>
        <v>44632</v>
      </c>
      <c r="C18871" s="1">
        <v>7.0742168574426396E-4</v>
      </c>
      <c r="D18871" s="1">
        <v>3.7781212433453501E-4</v>
      </c>
      <c r="E18871" s="1">
        <v>0</v>
      </c>
      <c r="F18871" s="1">
        <v>6.5936859498879805E-4</v>
      </c>
    </row>
    <row r="18872" spans="1:6" x14ac:dyDescent="0.25">
      <c r="A18872" s="2" t="str">
        <f t="shared" si="676"/>
        <v>10420</v>
      </c>
      <c r="B18872" s="2" t="str">
        <f>"44316"</f>
        <v>44316</v>
      </c>
      <c r="C18872" s="1">
        <v>0</v>
      </c>
      <c r="D18872" s="1">
        <v>1.03039670273055E-4</v>
      </c>
      <c r="E18872" s="1">
        <v>8.2740360747972805E-5</v>
      </c>
      <c r="F18872" s="1">
        <v>1.0592266586165399E-5</v>
      </c>
    </row>
    <row r="18873" spans="1:6" x14ac:dyDescent="0.25">
      <c r="A18873" s="2" t="str">
        <f t="shared" si="676"/>
        <v>10420</v>
      </c>
      <c r="B18873" s="2" t="str">
        <f>"44313"</f>
        <v>44313</v>
      </c>
      <c r="C18873" s="1">
        <v>3.9710729922451102E-2</v>
      </c>
      <c r="D18873" s="1">
        <v>2.59659969088098E-2</v>
      </c>
      <c r="E18873" s="1">
        <v>0.12684097302664199</v>
      </c>
      <c r="F18873" s="1">
        <v>4.1439594951725701E-2</v>
      </c>
    </row>
    <row r="18874" spans="1:6" x14ac:dyDescent="0.25">
      <c r="A18874" s="2" t="str">
        <f t="shared" si="676"/>
        <v>10420</v>
      </c>
      <c r="B18874" s="2" t="str">
        <f>"44211"</f>
        <v>44211</v>
      </c>
      <c r="C18874" s="1">
        <v>0</v>
      </c>
      <c r="D18874" s="1">
        <v>0</v>
      </c>
      <c r="E18874" s="1">
        <v>8.2740360747972805E-5</v>
      </c>
      <c r="F18874" s="1">
        <v>2.64806664654136E-6</v>
      </c>
    </row>
    <row r="18875" spans="1:6" x14ac:dyDescent="0.25">
      <c r="A18875" s="2" t="str">
        <f t="shared" si="676"/>
        <v>10420</v>
      </c>
      <c r="B18875" s="2" t="str">
        <f>"44210"</f>
        <v>44210</v>
      </c>
      <c r="C18875" s="1">
        <v>2.28574485856024E-3</v>
      </c>
      <c r="D18875" s="1">
        <v>8.8957582002404199E-3</v>
      </c>
      <c r="E18875" s="1">
        <v>1.6548072149594499E-4</v>
      </c>
      <c r="F18875" s="1">
        <v>2.7275086459375999E-3</v>
      </c>
    </row>
    <row r="18876" spans="1:6" x14ac:dyDescent="0.25">
      <c r="A18876" s="2" t="str">
        <f t="shared" si="676"/>
        <v>10420</v>
      </c>
      <c r="B18876" s="2" t="str">
        <f>"44242"</f>
        <v>44242</v>
      </c>
      <c r="C18876" s="1">
        <v>0</v>
      </c>
      <c r="D18876" s="1">
        <v>0</v>
      </c>
      <c r="E18876" s="1">
        <v>8.2740360747972805E-5</v>
      </c>
      <c r="F18876" s="1">
        <v>2.64806664654136E-6</v>
      </c>
    </row>
    <row r="18877" spans="1:6" x14ac:dyDescent="0.25">
      <c r="A18877" s="2" t="str">
        <f t="shared" si="676"/>
        <v>10420</v>
      </c>
      <c r="B18877" s="2" t="str">
        <f>"44255"</f>
        <v>44255</v>
      </c>
      <c r="C18877" s="1">
        <v>1.0290310403557301E-2</v>
      </c>
      <c r="D18877" s="1">
        <v>4.4307058217413703E-3</v>
      </c>
      <c r="E18877" s="1">
        <v>6.5364884990898502E-3</v>
      </c>
      <c r="F18877" s="1">
        <v>9.7184045928067897E-3</v>
      </c>
    </row>
    <row r="18878" spans="1:6" x14ac:dyDescent="0.25">
      <c r="A18878" s="2" t="str">
        <f t="shared" si="676"/>
        <v>10420</v>
      </c>
      <c r="B18878" s="2" t="str">
        <f>"44449"</f>
        <v>44449</v>
      </c>
      <c r="C18878" s="1">
        <v>9.3034868755443104E-4</v>
      </c>
      <c r="D18878" s="1">
        <v>1.7173278378842499E-4</v>
      </c>
      <c r="E18878" s="1">
        <v>0</v>
      </c>
      <c r="F18878" s="1">
        <v>8.4208519360015198E-4</v>
      </c>
    </row>
    <row r="18879" spans="1:6" x14ac:dyDescent="0.25">
      <c r="A18879" s="2" t="str">
        <f t="shared" si="676"/>
        <v>10420</v>
      </c>
      <c r="B18879" s="2" t="str">
        <f>"44614"</f>
        <v>44614</v>
      </c>
      <c r="C18879" s="1">
        <v>2.2292700181016699E-4</v>
      </c>
      <c r="D18879" s="1">
        <v>1.3738622703073999E-4</v>
      </c>
      <c r="E18879" s="1">
        <v>0</v>
      </c>
      <c r="F18879" s="1">
        <v>2.0919726507676701E-4</v>
      </c>
    </row>
    <row r="18880" spans="1:6" x14ac:dyDescent="0.25">
      <c r="A18880" s="2" t="str">
        <f t="shared" si="676"/>
        <v>10420</v>
      </c>
      <c r="B18880" s="2" t="str">
        <f>"44411"</f>
        <v>44411</v>
      </c>
      <c r="C18880" s="1">
        <v>3.2131211860905399E-3</v>
      </c>
      <c r="D18880" s="1">
        <v>4.4650523784990501E-4</v>
      </c>
      <c r="E18880" s="1">
        <v>2.4822108224391802E-4</v>
      </c>
      <c r="F18880" s="1">
        <v>2.9049291112558701E-3</v>
      </c>
    </row>
    <row r="18881" spans="1:6" x14ac:dyDescent="0.25">
      <c r="A18881" s="2" t="str">
        <f t="shared" si="676"/>
        <v>10420</v>
      </c>
      <c r="B18881" s="2" t="str">
        <f>"44315"</f>
        <v>44315</v>
      </c>
      <c r="C18881" s="1">
        <v>0</v>
      </c>
      <c r="D18881" s="1">
        <v>3.4346556757684999E-5</v>
      </c>
      <c r="E18881" s="1">
        <v>0</v>
      </c>
      <c r="F18881" s="1">
        <v>2.64806664654136E-6</v>
      </c>
    </row>
    <row r="18882" spans="1:6" x14ac:dyDescent="0.25">
      <c r="A18882" s="2" t="str">
        <f t="shared" si="676"/>
        <v>10420</v>
      </c>
      <c r="B18882" s="2" t="str">
        <f>"44334"</f>
        <v>44334</v>
      </c>
      <c r="C18882" s="1">
        <v>2.2560212583188901E-3</v>
      </c>
      <c r="D18882" s="1">
        <v>1.1986948308431999E-2</v>
      </c>
      <c r="E18882" s="1">
        <v>1.6548072149594499E-4</v>
      </c>
      <c r="F18882" s="1">
        <v>2.9393539776609002E-3</v>
      </c>
    </row>
    <row r="18883" spans="1:6" x14ac:dyDescent="0.25">
      <c r="A18883" s="2" t="str">
        <f t="shared" si="676"/>
        <v>10420</v>
      </c>
      <c r="B18883" s="2" t="str">
        <f>"44310"</f>
        <v>44310</v>
      </c>
      <c r="C18883" s="1">
        <v>3.4238615118017499E-2</v>
      </c>
      <c r="D18883" s="1">
        <v>4.1834106130860298E-2</v>
      </c>
      <c r="E18883" s="1">
        <v>2.9869270230018199E-2</v>
      </c>
      <c r="F18883" s="1">
        <v>3.4684376936398698E-2</v>
      </c>
    </row>
    <row r="18884" spans="1:6" x14ac:dyDescent="0.25">
      <c r="A18884" s="2" t="str">
        <f t="shared" si="676"/>
        <v>10420</v>
      </c>
      <c r="B18884" s="2" t="str">
        <f>"44309"</f>
        <v>44309</v>
      </c>
      <c r="C18884" s="1">
        <v>5.0767909212235396E-3</v>
      </c>
      <c r="D18884" s="1">
        <v>1.3566889919285501E-2</v>
      </c>
      <c r="E18884" s="1">
        <v>1.6548072149594499E-4</v>
      </c>
      <c r="F18884" s="1">
        <v>5.5741802909695598E-3</v>
      </c>
    </row>
    <row r="18885" spans="1:6" x14ac:dyDescent="0.25">
      <c r="A18885" s="2" t="str">
        <f t="shared" si="676"/>
        <v>10420</v>
      </c>
      <c r="B18885" s="2" t="str">
        <f>"44304"</f>
        <v>44304</v>
      </c>
      <c r="C18885" s="1">
        <v>6.2776243709742998E-3</v>
      </c>
      <c r="D18885" s="1">
        <v>1.1093937832732201E-2</v>
      </c>
      <c r="E18885" s="1">
        <v>1.7127254674830301E-2</v>
      </c>
      <c r="F18885" s="1">
        <v>6.9961920801622701E-3</v>
      </c>
    </row>
    <row r="18886" spans="1:6" x14ac:dyDescent="0.25">
      <c r="A18886" s="2" t="str">
        <f t="shared" si="676"/>
        <v>10420</v>
      </c>
      <c r="B18886" s="2" t="str">
        <f>"44272"</f>
        <v>44272</v>
      </c>
      <c r="C18886" s="1">
        <v>6.94937773642894E-3</v>
      </c>
      <c r="D18886" s="1">
        <v>4.3276661514683101E-3</v>
      </c>
      <c r="E18886" s="1">
        <v>2.2339897401952601E-3</v>
      </c>
      <c r="F18886" s="1">
        <v>6.59633401653452E-3</v>
      </c>
    </row>
    <row r="18887" spans="1:6" x14ac:dyDescent="0.25">
      <c r="A18887" s="2" t="str">
        <f t="shared" si="676"/>
        <v>10420</v>
      </c>
      <c r="B18887" s="2" t="str">
        <f>"44236"</f>
        <v>44236</v>
      </c>
      <c r="C18887" s="1">
        <v>3.1646717176971297E-2</v>
      </c>
      <c r="D18887" s="1">
        <v>5.5881847844753502E-2</v>
      </c>
      <c r="E18887" s="1">
        <v>2.7221578686082999E-2</v>
      </c>
      <c r="F18887" s="1">
        <v>3.3373583946360703E-2</v>
      </c>
    </row>
    <row r="18888" spans="1:6" x14ac:dyDescent="0.25">
      <c r="A18888" s="2" t="str">
        <f t="shared" si="676"/>
        <v>10420</v>
      </c>
      <c r="B18888" s="2" t="str">
        <f>"44234"</f>
        <v>44234</v>
      </c>
      <c r="C18888" s="1">
        <v>2.6751240217220001E-3</v>
      </c>
      <c r="D18888" s="1">
        <v>3.0911901081916501E-4</v>
      </c>
      <c r="E18888" s="1">
        <v>2.15124937944729E-3</v>
      </c>
      <c r="F18888" s="1">
        <v>2.4759423145161701E-3</v>
      </c>
    </row>
    <row r="18889" spans="1:6" x14ac:dyDescent="0.25">
      <c r="A18889" s="2" t="str">
        <f t="shared" si="676"/>
        <v>10420</v>
      </c>
      <c r="B18889" s="2" t="str">
        <f>"44396"</f>
        <v>44396</v>
      </c>
      <c r="C18889" s="1">
        <v>0</v>
      </c>
      <c r="D18889" s="1">
        <v>3.4346556757684999E-5</v>
      </c>
      <c r="E18889" s="1">
        <v>0</v>
      </c>
      <c r="F18889" s="1">
        <v>2.64806664654136E-6</v>
      </c>
    </row>
    <row r="18890" spans="1:6" x14ac:dyDescent="0.25">
      <c r="A18890" s="2" t="str">
        <f t="shared" si="676"/>
        <v>10420</v>
      </c>
      <c r="B18890" s="2" t="str">
        <f>"44319"</f>
        <v>44319</v>
      </c>
      <c r="C18890" s="1">
        <v>3.4072162956665902E-2</v>
      </c>
      <c r="D18890" s="1">
        <v>3.6407350163146099E-2</v>
      </c>
      <c r="E18890" s="1">
        <v>2.3167301009432401E-2</v>
      </c>
      <c r="F18890" s="1">
        <v>3.3903197275668998E-2</v>
      </c>
    </row>
    <row r="18891" spans="1:6" x14ac:dyDescent="0.25">
      <c r="A18891" s="2" t="str">
        <f t="shared" si="676"/>
        <v>10420</v>
      </c>
      <c r="B18891" s="2" t="str">
        <f>"44216"</f>
        <v>44216</v>
      </c>
      <c r="C18891" s="1">
        <v>1.0875865328311999E-2</v>
      </c>
      <c r="D18891" s="1">
        <v>2.0607934054611E-3</v>
      </c>
      <c r="E18891" s="1">
        <v>1.40658613271553E-3</v>
      </c>
      <c r="F18891" s="1">
        <v>9.8931769914785209E-3</v>
      </c>
    </row>
    <row r="18892" spans="1:6" x14ac:dyDescent="0.25">
      <c r="A18892" s="2" t="str">
        <f t="shared" ref="A18892:A18923" si="677">"10420"</f>
        <v>10420</v>
      </c>
      <c r="B18892" s="2" t="str">
        <f>"44306"</f>
        <v>44306</v>
      </c>
      <c r="C18892" s="1">
        <v>3.20450134202055E-2</v>
      </c>
      <c r="D18892" s="1">
        <v>2.7958097200755601E-2</v>
      </c>
      <c r="E18892" s="1">
        <v>3.4089028628164798E-2</v>
      </c>
      <c r="F18892" s="1">
        <v>3.1795336225022099E-2</v>
      </c>
    </row>
    <row r="18893" spans="1:6" x14ac:dyDescent="0.25">
      <c r="A18893" s="2" t="str">
        <f t="shared" si="677"/>
        <v>10420</v>
      </c>
      <c r="B18893" s="2" t="str">
        <f>"44262"</f>
        <v>44262</v>
      </c>
      <c r="C18893" s="1">
        <v>6.6105286936774896E-3</v>
      </c>
      <c r="D18893" s="1">
        <v>3.5720419027992401E-3</v>
      </c>
      <c r="E18893" s="1">
        <v>4.3852391196425597E-3</v>
      </c>
      <c r="F18893" s="1">
        <v>6.3050466854149704E-3</v>
      </c>
    </row>
    <row r="18894" spans="1:6" x14ac:dyDescent="0.25">
      <c r="A18894" s="2" t="str">
        <f t="shared" si="677"/>
        <v>10420</v>
      </c>
      <c r="B18894" s="2" t="str">
        <f>"44230"</f>
        <v>44230</v>
      </c>
      <c r="C18894" s="1">
        <v>2.9723600241355599E-6</v>
      </c>
      <c r="D18894" s="1">
        <v>0</v>
      </c>
      <c r="E18894" s="1">
        <v>0</v>
      </c>
      <c r="F18894" s="1">
        <v>2.64806664654136E-6</v>
      </c>
    </row>
    <row r="18895" spans="1:6" x14ac:dyDescent="0.25">
      <c r="A18895" s="2" t="str">
        <f t="shared" si="677"/>
        <v>10420</v>
      </c>
      <c r="B18895" s="2" t="str">
        <f>"44231"</f>
        <v>44231</v>
      </c>
      <c r="C18895" s="1">
        <v>9.8295945998162996E-3</v>
      </c>
      <c r="D18895" s="1">
        <v>6.2510733298986702E-3</v>
      </c>
      <c r="E18895" s="1">
        <v>4.9644216448783696E-3</v>
      </c>
      <c r="F18895" s="1">
        <v>9.3979885285752802E-3</v>
      </c>
    </row>
    <row r="18896" spans="1:6" x14ac:dyDescent="0.25">
      <c r="A18896" s="2" t="str">
        <f t="shared" si="677"/>
        <v>10420</v>
      </c>
      <c r="B18896" s="2" t="str">
        <f>"44720"</f>
        <v>44720</v>
      </c>
      <c r="C18896" s="1">
        <v>4.5596002770239502E-3</v>
      </c>
      <c r="D18896" s="1">
        <v>8.0370942812982901E-3</v>
      </c>
      <c r="E18896" s="1">
        <v>2.6476915439351302E-3</v>
      </c>
      <c r="F18896" s="1">
        <v>4.7665199637744399E-3</v>
      </c>
    </row>
    <row r="18897" spans="1:6" x14ac:dyDescent="0.25">
      <c r="A18897" s="2" t="str">
        <f t="shared" si="677"/>
        <v>10420</v>
      </c>
      <c r="B18897" s="2" t="str">
        <f>"44325"</f>
        <v>44325</v>
      </c>
      <c r="C18897" s="1">
        <v>1.78341601448133E-5</v>
      </c>
      <c r="D18897" s="1">
        <v>2.0607934054611E-3</v>
      </c>
      <c r="E18897" s="1">
        <v>0</v>
      </c>
      <c r="F18897" s="1">
        <v>1.74772398671729E-4</v>
      </c>
    </row>
    <row r="18898" spans="1:6" x14ac:dyDescent="0.25">
      <c r="A18898" s="2" t="str">
        <f t="shared" si="677"/>
        <v>10420</v>
      </c>
      <c r="B18898" s="2" t="str">
        <f>"44321"</f>
        <v>44321</v>
      </c>
      <c r="C18898" s="1">
        <v>2.1418826333920799E-2</v>
      </c>
      <c r="D18898" s="1">
        <v>1.66924265842349E-2</v>
      </c>
      <c r="E18898" s="1">
        <v>2.35810028131722E-2</v>
      </c>
      <c r="F18898" s="1">
        <v>2.11236276394604E-2</v>
      </c>
    </row>
    <row r="18899" spans="1:6" x14ac:dyDescent="0.25">
      <c r="A18899" s="2" t="str">
        <f t="shared" si="677"/>
        <v>10420</v>
      </c>
      <c r="B18899" s="2" t="str">
        <f>"44307"</f>
        <v>44307</v>
      </c>
      <c r="C18899" s="1">
        <v>1.25106633415865E-2</v>
      </c>
      <c r="D18899" s="1">
        <v>6.4228061136871002E-3</v>
      </c>
      <c r="E18899" s="1">
        <v>7.11567102432566E-3</v>
      </c>
      <c r="F18899" s="1">
        <v>1.1868634709798299E-2</v>
      </c>
    </row>
    <row r="18900" spans="1:6" x14ac:dyDescent="0.25">
      <c r="A18900" s="2" t="str">
        <f t="shared" si="677"/>
        <v>10420</v>
      </c>
      <c r="B18900" s="2" t="str">
        <f>"44305"</f>
        <v>44305</v>
      </c>
      <c r="C18900" s="1">
        <v>3.1272199813930202E-2</v>
      </c>
      <c r="D18900" s="1">
        <v>2.0539240941095601E-2</v>
      </c>
      <c r="E18900" s="1">
        <v>2.2670858844944498E-2</v>
      </c>
      <c r="F18900" s="1">
        <v>3.0169423304045699E-2</v>
      </c>
    </row>
    <row r="18901" spans="1:6" x14ac:dyDescent="0.25">
      <c r="A18901" s="2" t="str">
        <f t="shared" si="677"/>
        <v>10420</v>
      </c>
      <c r="B18901" s="2" t="str">
        <f>"44250"</f>
        <v>44250</v>
      </c>
      <c r="C18901" s="1">
        <v>1.79827781460201E-3</v>
      </c>
      <c r="D18901" s="1">
        <v>0</v>
      </c>
      <c r="E18901" s="1">
        <v>2.7304319046830999E-3</v>
      </c>
      <c r="F18901" s="1">
        <v>1.6894665204933801E-3</v>
      </c>
    </row>
    <row r="18902" spans="1:6" x14ac:dyDescent="0.25">
      <c r="A18902" s="2" t="str">
        <f t="shared" si="677"/>
        <v>10420</v>
      </c>
      <c r="B18902" s="2" t="str">
        <f>"44243"</f>
        <v>44243</v>
      </c>
      <c r="C18902" s="1">
        <v>2.1698228176189599E-4</v>
      </c>
      <c r="D18902" s="1">
        <v>2.2668727460072101E-3</v>
      </c>
      <c r="E18902" s="1">
        <v>2.9786529869270202E-3</v>
      </c>
      <c r="F18902" s="1">
        <v>4.6341166314473801E-4</v>
      </c>
    </row>
    <row r="18903" spans="1:6" x14ac:dyDescent="0.25">
      <c r="A18903" s="2" t="str">
        <f t="shared" si="677"/>
        <v>10420</v>
      </c>
      <c r="B18903" s="2" t="str">
        <f>"44601"</f>
        <v>44601</v>
      </c>
      <c r="C18903" s="1">
        <v>3.2695960265491097E-5</v>
      </c>
      <c r="D18903" s="1">
        <v>0</v>
      </c>
      <c r="E18903" s="1">
        <v>0</v>
      </c>
      <c r="F18903" s="1">
        <v>2.9128733111954901E-5</v>
      </c>
    </row>
    <row r="18904" spans="1:6" x14ac:dyDescent="0.25">
      <c r="A18904" s="2" t="str">
        <f t="shared" si="677"/>
        <v>10420</v>
      </c>
      <c r="B18904" s="2" t="str">
        <f>"44326"</f>
        <v>44326</v>
      </c>
      <c r="C18904" s="1">
        <v>0</v>
      </c>
      <c r="D18904" s="1">
        <v>3.4346556757684999E-5</v>
      </c>
      <c r="E18904" s="1">
        <v>0</v>
      </c>
      <c r="F18904" s="1">
        <v>2.64806664654136E-6</v>
      </c>
    </row>
    <row r="18905" spans="1:6" x14ac:dyDescent="0.25">
      <c r="A18905" s="2" t="str">
        <f t="shared" si="677"/>
        <v>10420</v>
      </c>
      <c r="B18905" s="2" t="str">
        <f>"44314"</f>
        <v>44314</v>
      </c>
      <c r="C18905" s="1">
        <v>2.6278634973382502E-2</v>
      </c>
      <c r="D18905" s="1">
        <v>1.4734672849046801E-2</v>
      </c>
      <c r="E18905" s="1">
        <v>1.7209995035578299E-2</v>
      </c>
      <c r="F18905" s="1">
        <v>2.5098375675919E-2</v>
      </c>
    </row>
    <row r="18906" spans="1:6" x14ac:dyDescent="0.25">
      <c r="A18906" s="2" t="str">
        <f t="shared" si="677"/>
        <v>10420</v>
      </c>
      <c r="B18906" s="2" t="str">
        <f>"44202"</f>
        <v>44202</v>
      </c>
      <c r="C18906" s="1">
        <v>2.8552490391846201E-2</v>
      </c>
      <c r="D18906" s="1">
        <v>2.5519491670959901E-2</v>
      </c>
      <c r="E18906" s="1">
        <v>8.3567764355452507E-3</v>
      </c>
      <c r="F18906" s="1">
        <v>2.7672296456357201E-2</v>
      </c>
    </row>
    <row r="18907" spans="1:6" x14ac:dyDescent="0.25">
      <c r="A18907" s="2" t="str">
        <f t="shared" si="677"/>
        <v>10420</v>
      </c>
      <c r="B18907" s="2" t="str">
        <f>"44308"</f>
        <v>44308</v>
      </c>
      <c r="C18907" s="1">
        <v>1.42673281158507E-3</v>
      </c>
      <c r="D18907" s="1">
        <v>3.9807659282156897E-2</v>
      </c>
      <c r="E18907" s="1">
        <v>1.16663908654641E-2</v>
      </c>
      <c r="F18907" s="1">
        <v>4.71355863084362E-3</v>
      </c>
    </row>
    <row r="18908" spans="1:6" x14ac:dyDescent="0.25">
      <c r="A18908" s="2" t="str">
        <f t="shared" si="677"/>
        <v>10420</v>
      </c>
      <c r="B18908" s="2" t="str">
        <f>"44265"</f>
        <v>44265</v>
      </c>
      <c r="C18908" s="1">
        <v>0</v>
      </c>
      <c r="D18908" s="1">
        <v>0</v>
      </c>
      <c r="E18908" s="1">
        <v>8.2740360747972805E-5</v>
      </c>
      <c r="F18908" s="1">
        <v>2.64806664654136E-6</v>
      </c>
    </row>
    <row r="18909" spans="1:6" x14ac:dyDescent="0.25">
      <c r="A18909" s="2" t="str">
        <f t="shared" si="677"/>
        <v>10420</v>
      </c>
      <c r="B18909" s="2" t="str">
        <f>"44285"</f>
        <v>44285</v>
      </c>
      <c r="C18909" s="1">
        <v>2.37788801930845E-5</v>
      </c>
      <c r="D18909" s="1">
        <v>0</v>
      </c>
      <c r="E18909" s="1">
        <v>8.2740360747972805E-5</v>
      </c>
      <c r="F18909" s="1">
        <v>2.3832599818872199E-5</v>
      </c>
    </row>
    <row r="18910" spans="1:6" x14ac:dyDescent="0.25">
      <c r="A18910" s="2" t="str">
        <f t="shared" si="677"/>
        <v>10420</v>
      </c>
      <c r="B18910" s="2" t="str">
        <f>"44264"</f>
        <v>44264</v>
      </c>
      <c r="C18910" s="1">
        <v>4.4555676761792E-3</v>
      </c>
      <c r="D18910" s="1">
        <v>4.8085179460758999E-3</v>
      </c>
      <c r="E18910" s="1">
        <v>4.0542776766506698E-3</v>
      </c>
      <c r="F18910" s="1">
        <v>4.4699364993618096E-3</v>
      </c>
    </row>
    <row r="18911" spans="1:6" x14ac:dyDescent="0.25">
      <c r="A18911" s="2" t="str">
        <f t="shared" si="677"/>
        <v>10420</v>
      </c>
      <c r="B18911" s="2" t="str">
        <f>"44288"</f>
        <v>44288</v>
      </c>
      <c r="C18911" s="1">
        <v>4.7141629982790003E-3</v>
      </c>
      <c r="D18911" s="1">
        <v>2.5759917568263699E-3</v>
      </c>
      <c r="E18911" s="1">
        <v>7.8603342710574196E-3</v>
      </c>
      <c r="F18911" s="1">
        <v>4.6500050313266197E-3</v>
      </c>
    </row>
    <row r="18912" spans="1:6" x14ac:dyDescent="0.25">
      <c r="A18912" s="2" t="str">
        <f t="shared" si="677"/>
        <v>10420</v>
      </c>
      <c r="B18912" s="2" t="str">
        <f>"44278"</f>
        <v>44278</v>
      </c>
      <c r="C18912" s="1">
        <v>2.52293918848626E-2</v>
      </c>
      <c r="D18912" s="1">
        <v>2.8988493903486099E-2</v>
      </c>
      <c r="E18912" s="1">
        <v>1.4727784213139101E-2</v>
      </c>
      <c r="F18912" s="1">
        <v>2.5183113808608298E-2</v>
      </c>
    </row>
    <row r="18913" spans="1:6" x14ac:dyDescent="0.25">
      <c r="A18913" s="2" t="str">
        <f t="shared" si="677"/>
        <v>10420</v>
      </c>
      <c r="B18913" s="2" t="str">
        <f>"44223"</f>
        <v>44223</v>
      </c>
      <c r="C18913" s="1">
        <v>2.70246973394405E-2</v>
      </c>
      <c r="D18913" s="1">
        <v>2.58286106817791E-2</v>
      </c>
      <c r="E18913" s="1">
        <v>1.8120139003806001E-2</v>
      </c>
      <c r="F18913" s="1">
        <v>2.6647494664145701E-2</v>
      </c>
    </row>
    <row r="18914" spans="1:6" x14ac:dyDescent="0.25">
      <c r="A18914" s="2" t="str">
        <f t="shared" si="677"/>
        <v>10420</v>
      </c>
      <c r="B18914" s="2" t="str">
        <f>"44221"</f>
        <v>44221</v>
      </c>
      <c r="C18914" s="1">
        <v>4.4231689519161302E-2</v>
      </c>
      <c r="D18914" s="1">
        <v>3.2388803022496901E-2</v>
      </c>
      <c r="E18914" s="1">
        <v>4.9726956809531597E-2</v>
      </c>
      <c r="F18914" s="1">
        <v>4.3494494669441802E-2</v>
      </c>
    </row>
    <row r="18915" spans="1:6" x14ac:dyDescent="0.25">
      <c r="A18915" s="2" t="str">
        <f t="shared" si="677"/>
        <v>10420</v>
      </c>
      <c r="B18915" s="2" t="str">
        <f>"44067"</f>
        <v>44067</v>
      </c>
      <c r="C18915" s="1">
        <v>2.8311729229891201E-2</v>
      </c>
      <c r="D18915" s="1">
        <v>2.1878756654645299E-2</v>
      </c>
      <c r="E18915" s="1">
        <v>2.7718020850570901E-2</v>
      </c>
      <c r="F18915" s="1">
        <v>2.7796755588744601E-2</v>
      </c>
    </row>
    <row r="18916" spans="1:6" x14ac:dyDescent="0.25">
      <c r="A18916" s="2" t="str">
        <f t="shared" si="677"/>
        <v>10420</v>
      </c>
      <c r="B18916" s="2" t="str">
        <f>"44429"</f>
        <v>44429</v>
      </c>
      <c r="C18916" s="1">
        <v>2.9723600241355599E-5</v>
      </c>
      <c r="D18916" s="1">
        <v>0</v>
      </c>
      <c r="E18916" s="1">
        <v>0</v>
      </c>
      <c r="F18916" s="1">
        <v>2.6480666465413599E-5</v>
      </c>
    </row>
    <row r="18917" spans="1:6" x14ac:dyDescent="0.25">
      <c r="A18917" s="2" t="str">
        <f t="shared" si="677"/>
        <v>10420</v>
      </c>
      <c r="B18917" s="2" t="str">
        <f>"44333"</f>
        <v>44333</v>
      </c>
      <c r="C18917" s="1">
        <v>2.3903719314098199E-2</v>
      </c>
      <c r="D18917" s="1">
        <v>6.0896445131375501E-2</v>
      </c>
      <c r="E18917" s="1">
        <v>3.5826576203872203E-2</v>
      </c>
      <c r="F18917" s="1">
        <v>2.7137386993755799E-2</v>
      </c>
    </row>
    <row r="18918" spans="1:6" x14ac:dyDescent="0.25">
      <c r="A18918" s="2" t="str">
        <f t="shared" si="677"/>
        <v>10420</v>
      </c>
      <c r="B18918" s="2" t="str">
        <f>"44302"</f>
        <v>44302</v>
      </c>
      <c r="C18918" s="1">
        <v>9.9098483204679601E-3</v>
      </c>
      <c r="D18918" s="1">
        <v>8.1744805083290399E-3</v>
      </c>
      <c r="E18918" s="1">
        <v>1.9692205858017502E-2</v>
      </c>
      <c r="F18918" s="1">
        <v>1.00891339233225E-2</v>
      </c>
    </row>
    <row r="18919" spans="1:6" x14ac:dyDescent="0.25">
      <c r="A18919" s="2" t="str">
        <f t="shared" si="677"/>
        <v>10420</v>
      </c>
      <c r="B18919" s="2" t="str">
        <f>"44260"</f>
        <v>44260</v>
      </c>
      <c r="C18919" s="1">
        <v>1.55870559665668E-2</v>
      </c>
      <c r="D18919" s="1">
        <v>8.1057873948136606E-3</v>
      </c>
      <c r="E18919" s="1">
        <v>4.7989409233824198E-3</v>
      </c>
      <c r="F18919" s="1">
        <v>1.4664993088546E-2</v>
      </c>
    </row>
    <row r="18920" spans="1:6" x14ac:dyDescent="0.25">
      <c r="A18920" s="2" t="str">
        <f t="shared" si="677"/>
        <v>10420</v>
      </c>
      <c r="B18920" s="2" t="str">
        <f>"44241"</f>
        <v>44241</v>
      </c>
      <c r="C18920" s="1">
        <v>2.5553379127493399E-2</v>
      </c>
      <c r="D18920" s="1">
        <v>2.13979048600377E-2</v>
      </c>
      <c r="E18920" s="1">
        <v>1.93612444150256E-2</v>
      </c>
      <c r="F18920" s="1">
        <v>2.5034822076402001E-2</v>
      </c>
    </row>
    <row r="18921" spans="1:6" x14ac:dyDescent="0.25">
      <c r="A18921" s="2" t="str">
        <f t="shared" si="677"/>
        <v>10420</v>
      </c>
      <c r="B18921" s="2" t="str">
        <f>"44266"</f>
        <v>44266</v>
      </c>
      <c r="C18921" s="1">
        <v>4.5795150891856602E-2</v>
      </c>
      <c r="D18921" s="1">
        <v>3.3178773827923697E-2</v>
      </c>
      <c r="E18921" s="1">
        <v>4.0873738209498502E-2</v>
      </c>
      <c r="F18921" s="1">
        <v>4.4664940127213101E-2</v>
      </c>
    </row>
    <row r="18922" spans="1:6" x14ac:dyDescent="0.25">
      <c r="A18922" s="2" t="str">
        <f t="shared" si="677"/>
        <v>10420</v>
      </c>
      <c r="B18922" s="2" t="str">
        <f>"44237"</f>
        <v>44237</v>
      </c>
      <c r="C18922" s="1">
        <v>0</v>
      </c>
      <c r="D18922" s="1">
        <v>6.8693113515369997E-5</v>
      </c>
      <c r="E18922" s="1">
        <v>0</v>
      </c>
      <c r="F18922" s="1">
        <v>5.2961332930827199E-6</v>
      </c>
    </row>
    <row r="18923" spans="1:6" x14ac:dyDescent="0.25">
      <c r="A18923" s="2" t="str">
        <f t="shared" si="677"/>
        <v>10420</v>
      </c>
      <c r="B18923" s="2" t="str">
        <f>"44224"</f>
        <v>44224</v>
      </c>
      <c r="C18923" s="1">
        <v>5.5401818489862698E-2</v>
      </c>
      <c r="D18923" s="1">
        <v>4.50626824660827E-2</v>
      </c>
      <c r="E18923" s="1">
        <v>6.3875558497434995E-2</v>
      </c>
      <c r="F18923" s="1">
        <v>5.4875885116276599E-2</v>
      </c>
    </row>
    <row r="18924" spans="1:6" x14ac:dyDescent="0.25">
      <c r="A18924" s="2" t="str">
        <f t="shared" ref="A18924:A18936" si="678">"10420"</f>
        <v>10420</v>
      </c>
      <c r="B18924" s="2" t="str">
        <f>"44087"</f>
        <v>44087</v>
      </c>
      <c r="C18924" s="1">
        <v>2.9417447158869601E-2</v>
      </c>
      <c r="D18924" s="1">
        <v>4.76730207796668E-2</v>
      </c>
      <c r="E18924" s="1">
        <v>4.1287440013238398E-2</v>
      </c>
      <c r="F18924" s="1">
        <v>3.12048173628433E-2</v>
      </c>
    </row>
    <row r="18925" spans="1:6" x14ac:dyDescent="0.25">
      <c r="A18925" s="2" t="str">
        <f t="shared" si="678"/>
        <v>10420</v>
      </c>
      <c r="B18925" s="2" t="str">
        <f>"44491"</f>
        <v>44491</v>
      </c>
      <c r="C18925" s="1">
        <v>5.9447200482711197E-5</v>
      </c>
      <c r="D18925" s="1">
        <v>3.4346556757684999E-5</v>
      </c>
      <c r="E18925" s="1">
        <v>0</v>
      </c>
      <c r="F18925" s="1">
        <v>5.5609399577368503E-5</v>
      </c>
    </row>
    <row r="18926" spans="1:6" x14ac:dyDescent="0.25">
      <c r="A18926" s="2" t="str">
        <f t="shared" si="678"/>
        <v>10420</v>
      </c>
      <c r="B18926" s="2" t="str">
        <f>"44444"</f>
        <v>44444</v>
      </c>
      <c r="C18926" s="1">
        <v>1.10274556895429E-3</v>
      </c>
      <c r="D18926" s="1">
        <v>0</v>
      </c>
      <c r="E18926" s="1">
        <v>1.6548072149594499E-4</v>
      </c>
      <c r="F18926" s="1">
        <v>9.8772885915992701E-4</v>
      </c>
    </row>
    <row r="18927" spans="1:6" x14ac:dyDescent="0.25">
      <c r="A18927" s="2" t="str">
        <f t="shared" si="678"/>
        <v>10420</v>
      </c>
      <c r="B18927" s="2" t="str">
        <f>"44412"</f>
        <v>44412</v>
      </c>
      <c r="C18927" s="1">
        <v>2.65728986157719E-3</v>
      </c>
      <c r="D18927" s="1">
        <v>4.8085179460758998E-4</v>
      </c>
      <c r="E18927" s="1">
        <v>1.6548072149594499E-4</v>
      </c>
      <c r="F18927" s="1">
        <v>2.4097406483526299E-3</v>
      </c>
    </row>
    <row r="18928" spans="1:6" x14ac:dyDescent="0.25">
      <c r="A18928" s="2" t="str">
        <f t="shared" si="678"/>
        <v>10420</v>
      </c>
      <c r="B18928" s="2" t="str">
        <f>"44328"</f>
        <v>44328</v>
      </c>
      <c r="C18928" s="1">
        <v>0</v>
      </c>
      <c r="D18928" s="1">
        <v>3.4346556757684999E-5</v>
      </c>
      <c r="E18928" s="1">
        <v>0</v>
      </c>
      <c r="F18928" s="1">
        <v>2.64806664654136E-6</v>
      </c>
    </row>
    <row r="18929" spans="1:6" x14ac:dyDescent="0.25">
      <c r="A18929" s="2" t="str">
        <f t="shared" si="678"/>
        <v>10420</v>
      </c>
      <c r="B18929" s="2" t="str">
        <f>"44203"</f>
        <v>44203</v>
      </c>
      <c r="C18929" s="1">
        <v>5.4123703679484401E-2</v>
      </c>
      <c r="D18929" s="1">
        <v>4.3070582174137E-2</v>
      </c>
      <c r="E18929" s="1">
        <v>4.5838159854376899E-2</v>
      </c>
      <c r="F18929" s="1">
        <v>5.3006350063818403E-2</v>
      </c>
    </row>
    <row r="18930" spans="1:6" x14ac:dyDescent="0.25">
      <c r="A18930" s="2" t="str">
        <f t="shared" si="678"/>
        <v>10420</v>
      </c>
      <c r="B18930" s="2" t="str">
        <f>"44201"</f>
        <v>44201</v>
      </c>
      <c r="C18930" s="1">
        <v>7.9005329441523206E-3</v>
      </c>
      <c r="D18930" s="1">
        <v>8.9301047569981099E-4</v>
      </c>
      <c r="E18930" s="1">
        <v>9.1014396822770101E-4</v>
      </c>
      <c r="F18930" s="1">
        <v>7.1365396124289599E-3</v>
      </c>
    </row>
    <row r="18931" spans="1:6" x14ac:dyDescent="0.25">
      <c r="A18931" s="2" t="str">
        <f t="shared" si="678"/>
        <v>10420</v>
      </c>
      <c r="B18931" s="2" t="str">
        <f>"44303"</f>
        <v>44303</v>
      </c>
      <c r="C18931" s="1">
        <v>1.19905003373628E-2</v>
      </c>
      <c r="D18931" s="1">
        <v>9.6513824489094895E-3</v>
      </c>
      <c r="E18931" s="1">
        <v>2.59804732748634E-2</v>
      </c>
      <c r="F18931" s="1">
        <v>1.22579005068399E-2</v>
      </c>
    </row>
    <row r="18932" spans="1:6" x14ac:dyDescent="0.25">
      <c r="A18932" s="2" t="str">
        <f t="shared" si="678"/>
        <v>10420</v>
      </c>
      <c r="B18932" s="2" t="str">
        <f>"44256"</f>
        <v>44256</v>
      </c>
      <c r="C18932" s="1">
        <v>5.9447200482711197E-5</v>
      </c>
      <c r="D18932" s="1">
        <v>0</v>
      </c>
      <c r="E18932" s="1">
        <v>0</v>
      </c>
      <c r="F18932" s="1">
        <v>5.2961332930827198E-5</v>
      </c>
    </row>
    <row r="18933" spans="1:6" x14ac:dyDescent="0.25">
      <c r="A18933" s="2" t="str">
        <f t="shared" si="678"/>
        <v>10420</v>
      </c>
      <c r="B18933" s="2" t="str">
        <f>"44286"</f>
        <v>44286</v>
      </c>
      <c r="C18933" s="1">
        <v>8.86357759197225E-3</v>
      </c>
      <c r="D18933" s="1">
        <v>1.5765069551777401E-2</v>
      </c>
      <c r="E18933" s="1">
        <v>9.1841800430249795E-3</v>
      </c>
      <c r="F18933" s="1">
        <v>9.4059327285149104E-3</v>
      </c>
    </row>
    <row r="18934" spans="1:6" x14ac:dyDescent="0.25">
      <c r="A18934" s="2" t="str">
        <f t="shared" si="678"/>
        <v>10420</v>
      </c>
      <c r="B18934" s="2" t="str">
        <f>"44281"</f>
        <v>44281</v>
      </c>
      <c r="C18934" s="1">
        <v>2.64540042148065E-4</v>
      </c>
      <c r="D18934" s="1">
        <v>6.8693113515369997E-5</v>
      </c>
      <c r="E18934" s="1">
        <v>0</v>
      </c>
      <c r="F18934" s="1">
        <v>2.40974064835263E-4</v>
      </c>
    </row>
    <row r="18935" spans="1:6" x14ac:dyDescent="0.25">
      <c r="A18935" s="2" t="str">
        <f t="shared" si="678"/>
        <v>10420</v>
      </c>
      <c r="B18935" s="2" t="str">
        <f>"44301"</f>
        <v>44301</v>
      </c>
      <c r="C18935" s="1">
        <v>2.0530090686704298E-2</v>
      </c>
      <c r="D18935" s="1">
        <v>1.40133951571354E-2</v>
      </c>
      <c r="E18935" s="1">
        <v>1.24110541121959E-2</v>
      </c>
      <c r="F18935" s="1">
        <v>1.97678175164312E-2</v>
      </c>
    </row>
    <row r="18936" spans="1:6" x14ac:dyDescent="0.25">
      <c r="A18936" s="2" t="str">
        <f t="shared" si="678"/>
        <v>10420</v>
      </c>
      <c r="B18936" s="2" t="str">
        <f>"44141"</f>
        <v>44141</v>
      </c>
      <c r="C18936" s="1">
        <v>5.3205244432026502E-4</v>
      </c>
      <c r="D18936" s="1">
        <v>1.03039670273055E-4</v>
      </c>
      <c r="E18936" s="1">
        <v>0</v>
      </c>
      <c r="F18936" s="1">
        <v>4.8194812967052698E-4</v>
      </c>
    </row>
    <row r="18937" spans="1:6" x14ac:dyDescent="0.25">
      <c r="A18937" s="2" t="str">
        <f t="shared" ref="A18937:A18963" si="679">"49300"</f>
        <v>49300</v>
      </c>
      <c r="B18937" s="2" t="str">
        <f>"44666"</f>
        <v>44666</v>
      </c>
      <c r="C18937" s="1">
        <v>3.7659267318032501E-3</v>
      </c>
      <c r="D18937" s="1">
        <v>6.1728395061728296E-4</v>
      </c>
      <c r="E18937" s="1">
        <v>0</v>
      </c>
      <c r="F18937" s="1">
        <v>3.4774633624395702E-3</v>
      </c>
    </row>
    <row r="18938" spans="1:6" x14ac:dyDescent="0.25">
      <c r="A18938" s="2" t="str">
        <f t="shared" si="679"/>
        <v>49300</v>
      </c>
      <c r="B18938" s="2" t="str">
        <f>"44645"</f>
        <v>44645</v>
      </c>
      <c r="C18938" s="1">
        <v>2.02941607213841E-2</v>
      </c>
      <c r="D18938" s="1">
        <v>5.8641975308641901E-3</v>
      </c>
      <c r="E18938" s="1">
        <v>8.4615384615384596E-3</v>
      </c>
      <c r="F18938" s="1">
        <v>1.9106941551865701E-2</v>
      </c>
    </row>
    <row r="18939" spans="1:6" x14ac:dyDescent="0.25">
      <c r="A18939" s="2" t="str">
        <f t="shared" si="679"/>
        <v>49300</v>
      </c>
      <c r="B18939" s="2" t="str">
        <f>"44230"</f>
        <v>44230</v>
      </c>
      <c r="C18939" s="1">
        <v>7.0966797079314595E-2</v>
      </c>
      <c r="D18939" s="1">
        <v>3.4259259259259198E-2</v>
      </c>
      <c r="E18939" s="1">
        <v>4.0769230769230697E-2</v>
      </c>
      <c r="F18939" s="1">
        <v>6.7944284158434703E-2</v>
      </c>
    </row>
    <row r="18940" spans="1:6" x14ac:dyDescent="0.25">
      <c r="A18940" s="2" t="str">
        <f t="shared" si="679"/>
        <v>49300</v>
      </c>
      <c r="B18940" s="2" t="str">
        <f>"44667"</f>
        <v>44667</v>
      </c>
      <c r="C18940" s="1">
        <v>0.120677029939117</v>
      </c>
      <c r="D18940" s="1">
        <v>0.124691358024691</v>
      </c>
      <c r="E18940" s="1">
        <v>8.4615384615384606E-2</v>
      </c>
      <c r="F18940" s="1">
        <v>0.12002980682882</v>
      </c>
    </row>
    <row r="18941" spans="1:6" x14ac:dyDescent="0.25">
      <c r="A18941" s="2" t="str">
        <f t="shared" si="679"/>
        <v>49300</v>
      </c>
      <c r="B18941" s="2" t="str">
        <f>"44636"</f>
        <v>44636</v>
      </c>
      <c r="C18941" s="1">
        <v>2.0921815176684701E-5</v>
      </c>
      <c r="D18941" s="1">
        <v>0</v>
      </c>
      <c r="E18941" s="1">
        <v>7.6923076923076901E-4</v>
      </c>
      <c r="F18941" s="1">
        <v>3.8213883103731501E-5</v>
      </c>
    </row>
    <row r="18942" spans="1:6" x14ac:dyDescent="0.25">
      <c r="A18942" s="2" t="str">
        <f t="shared" si="679"/>
        <v>49300</v>
      </c>
      <c r="B18942" s="2" t="str">
        <f>"44606"</f>
        <v>44606</v>
      </c>
      <c r="C18942" s="1">
        <v>5.0526183651693597E-2</v>
      </c>
      <c r="D18942" s="1">
        <v>2.74691358024691E-2</v>
      </c>
      <c r="E18942" s="1">
        <v>1.1538461538461499E-2</v>
      </c>
      <c r="F18942" s="1">
        <v>4.8130385769149901E-2</v>
      </c>
    </row>
    <row r="18943" spans="1:6" x14ac:dyDescent="0.25">
      <c r="A18943" s="2" t="str">
        <f t="shared" si="679"/>
        <v>49300</v>
      </c>
      <c r="B18943" s="2" t="str">
        <f>"44214"</f>
        <v>44214</v>
      </c>
      <c r="C18943" s="1">
        <v>1.59633449798104E-2</v>
      </c>
      <c r="D18943" s="1">
        <v>5.2469135802469102E-3</v>
      </c>
      <c r="E18943" s="1">
        <v>3.8461538461538399E-3</v>
      </c>
      <c r="F18943" s="1">
        <v>1.4998949118214601E-2</v>
      </c>
    </row>
    <row r="18944" spans="1:6" x14ac:dyDescent="0.25">
      <c r="A18944" s="2" t="str">
        <f t="shared" si="679"/>
        <v>49300</v>
      </c>
      <c r="B18944" s="2" t="str">
        <f>"44273"</f>
        <v>44273</v>
      </c>
      <c r="C18944" s="1">
        <v>3.7659267318032499E-4</v>
      </c>
      <c r="D18944" s="1">
        <v>0</v>
      </c>
      <c r="E18944" s="1">
        <v>0</v>
      </c>
      <c r="F18944" s="1">
        <v>3.4392494793358401E-4</v>
      </c>
    </row>
    <row r="18945" spans="1:6" x14ac:dyDescent="0.25">
      <c r="A18945" s="2" t="str">
        <f t="shared" si="679"/>
        <v>49300</v>
      </c>
      <c r="B18945" s="2" t="str">
        <f>"44281"</f>
        <v>44281</v>
      </c>
      <c r="C18945" s="1">
        <v>1.04609075883423E-4</v>
      </c>
      <c r="D18945" s="1">
        <v>0</v>
      </c>
      <c r="E18945" s="1">
        <v>0</v>
      </c>
      <c r="F18945" s="1">
        <v>9.5534707759328897E-5</v>
      </c>
    </row>
    <row r="18946" spans="1:6" x14ac:dyDescent="0.25">
      <c r="A18946" s="2" t="str">
        <f t="shared" si="679"/>
        <v>49300</v>
      </c>
      <c r="B18946" s="2" t="str">
        <f>"44840"</f>
        <v>44840</v>
      </c>
      <c r="C18946" s="1">
        <v>2.5106178212021599E-4</v>
      </c>
      <c r="D18946" s="1">
        <v>0</v>
      </c>
      <c r="E18946" s="1">
        <v>0</v>
      </c>
      <c r="F18946" s="1">
        <v>2.2928329862238899E-4</v>
      </c>
    </row>
    <row r="18947" spans="1:6" x14ac:dyDescent="0.25">
      <c r="A18947" s="2" t="str">
        <f t="shared" si="679"/>
        <v>49300</v>
      </c>
      <c r="B18947" s="2" t="str">
        <f>"44614"</f>
        <v>44614</v>
      </c>
      <c r="C18947" s="1">
        <v>1.04609075883423E-4</v>
      </c>
      <c r="D18947" s="1">
        <v>0</v>
      </c>
      <c r="E18947" s="1">
        <v>0</v>
      </c>
      <c r="F18947" s="1">
        <v>9.5534707759328897E-5</v>
      </c>
    </row>
    <row r="18948" spans="1:6" x14ac:dyDescent="0.25">
      <c r="A18948" s="2" t="str">
        <f t="shared" si="679"/>
        <v>49300</v>
      </c>
      <c r="B18948" s="2" t="str">
        <f>"44676"</f>
        <v>44676</v>
      </c>
      <c r="C18948" s="1">
        <v>3.3035546163985102E-2</v>
      </c>
      <c r="D18948" s="1">
        <v>7.7160493827160403E-3</v>
      </c>
      <c r="E18948" s="1">
        <v>0.01</v>
      </c>
      <c r="F18948" s="1">
        <v>3.0895924489366899E-2</v>
      </c>
    </row>
    <row r="18949" spans="1:6" x14ac:dyDescent="0.25">
      <c r="A18949" s="2" t="str">
        <f t="shared" si="679"/>
        <v>49300</v>
      </c>
      <c r="B18949" s="2" t="str">
        <f>"44638"</f>
        <v>44638</v>
      </c>
      <c r="C18949" s="1">
        <v>7.1134171600728004E-4</v>
      </c>
      <c r="D18949" s="1">
        <v>3.0864197530864099E-4</v>
      </c>
      <c r="E18949" s="1">
        <v>0</v>
      </c>
      <c r="F18949" s="1">
        <v>6.6874295431530197E-4</v>
      </c>
    </row>
    <row r="18950" spans="1:6" x14ac:dyDescent="0.25">
      <c r="A18950" s="2" t="str">
        <f t="shared" si="679"/>
        <v>49300</v>
      </c>
      <c r="B18950" s="2" t="str">
        <f>"44611"</f>
        <v>44611</v>
      </c>
      <c r="C18950" s="1">
        <v>5.2304537941711803E-4</v>
      </c>
      <c r="D18950" s="1">
        <v>0</v>
      </c>
      <c r="E18950" s="1">
        <v>0</v>
      </c>
      <c r="F18950" s="1">
        <v>4.7767353879664398E-4</v>
      </c>
    </row>
    <row r="18951" spans="1:6" x14ac:dyDescent="0.25">
      <c r="A18951" s="2" t="str">
        <f t="shared" si="679"/>
        <v>49300</v>
      </c>
      <c r="B18951" s="2" t="str">
        <f>"44618"</f>
        <v>44618</v>
      </c>
      <c r="C18951" s="1">
        <v>4.75552858966043E-2</v>
      </c>
      <c r="D18951" s="1">
        <v>2.2222222222222199E-2</v>
      </c>
      <c r="E18951" s="1">
        <v>2.69230769230769E-2</v>
      </c>
      <c r="F18951" s="1">
        <v>4.54745208934405E-2</v>
      </c>
    </row>
    <row r="18952" spans="1:6" x14ac:dyDescent="0.25">
      <c r="A18952" s="2" t="str">
        <f t="shared" si="679"/>
        <v>49300</v>
      </c>
      <c r="B18952" s="2" t="str">
        <f>"44677"</f>
        <v>44677</v>
      </c>
      <c r="C18952" s="1">
        <v>2.2449107684582699E-2</v>
      </c>
      <c r="D18952" s="1">
        <v>1.5123456790123399E-2</v>
      </c>
      <c r="E18952" s="1">
        <v>2.2307692307692299E-2</v>
      </c>
      <c r="F18952" s="1">
        <v>2.1992089726197501E-2</v>
      </c>
    </row>
    <row r="18953" spans="1:6" x14ac:dyDescent="0.25">
      <c r="A18953" s="2" t="str">
        <f t="shared" si="679"/>
        <v>49300</v>
      </c>
      <c r="B18953" s="2" t="str">
        <f>"44691"</f>
        <v>44691</v>
      </c>
      <c r="C18953" s="1">
        <v>0.42437809904387302</v>
      </c>
      <c r="D18953" s="1">
        <v>0.62962962962962898</v>
      </c>
      <c r="E18953" s="1">
        <v>0.70230769230769197</v>
      </c>
      <c r="F18953" s="1">
        <v>0.443988000840705</v>
      </c>
    </row>
    <row r="18954" spans="1:6" x14ac:dyDescent="0.25">
      <c r="A18954" s="2" t="str">
        <f t="shared" si="679"/>
        <v>49300</v>
      </c>
      <c r="B18954" s="2" t="str">
        <f>"44624"</f>
        <v>44624</v>
      </c>
      <c r="C18954" s="1">
        <v>3.5776303952130802E-3</v>
      </c>
      <c r="D18954" s="1">
        <v>5.8641975308641901E-3</v>
      </c>
      <c r="E18954" s="1">
        <v>0</v>
      </c>
      <c r="F18954" s="1">
        <v>3.6303188948545E-3</v>
      </c>
    </row>
    <row r="18955" spans="1:6" x14ac:dyDescent="0.25">
      <c r="A18955" s="2" t="str">
        <f t="shared" si="679"/>
        <v>49300</v>
      </c>
      <c r="B18955" s="2" t="str">
        <f>"44627"</f>
        <v>44627</v>
      </c>
      <c r="C18955" s="1">
        <v>2.0231395275854099E-2</v>
      </c>
      <c r="D18955" s="1">
        <v>1.2037037037037001E-2</v>
      </c>
      <c r="E18955" s="1">
        <v>7.6923076923076901E-4</v>
      </c>
      <c r="F18955" s="1">
        <v>1.9240690142728799E-2</v>
      </c>
    </row>
    <row r="18956" spans="1:6" x14ac:dyDescent="0.25">
      <c r="A18956" s="2" t="str">
        <f t="shared" si="679"/>
        <v>49300</v>
      </c>
      <c r="B18956" s="2" t="str">
        <f>"44662"</f>
        <v>44662</v>
      </c>
      <c r="C18956" s="1">
        <v>3.2219595372094401E-3</v>
      </c>
      <c r="D18956" s="1">
        <v>6.1728395061728296E-4</v>
      </c>
      <c r="E18956" s="1">
        <v>0</v>
      </c>
      <c r="F18956" s="1">
        <v>2.98068288209106E-3</v>
      </c>
    </row>
    <row r="18957" spans="1:6" x14ac:dyDescent="0.25">
      <c r="A18957" s="2" t="str">
        <f t="shared" si="679"/>
        <v>49300</v>
      </c>
      <c r="B18957" s="2" t="str">
        <f>"44659"</f>
        <v>44659</v>
      </c>
      <c r="C18957" s="1">
        <v>2.0921815176684701E-5</v>
      </c>
      <c r="D18957" s="1">
        <v>0</v>
      </c>
      <c r="E18957" s="1">
        <v>7.6923076923076901E-4</v>
      </c>
      <c r="F18957" s="1">
        <v>3.8213883103731501E-5</v>
      </c>
    </row>
    <row r="18958" spans="1:6" x14ac:dyDescent="0.25">
      <c r="A18958" s="2" t="str">
        <f t="shared" si="679"/>
        <v>49300</v>
      </c>
      <c r="B18958" s="2" t="str">
        <f>"44217"</f>
        <v>44217</v>
      </c>
      <c r="C18958" s="1">
        <v>3.3474904282695499E-2</v>
      </c>
      <c r="D18958" s="1">
        <v>2.4074074074074001E-2</v>
      </c>
      <c r="E18958" s="1">
        <v>1.7692307692307601E-2</v>
      </c>
      <c r="F18958" s="1">
        <v>3.2500907579723702E-2</v>
      </c>
    </row>
    <row r="18959" spans="1:6" x14ac:dyDescent="0.25">
      <c r="A18959" s="2" t="str">
        <f t="shared" si="679"/>
        <v>49300</v>
      </c>
      <c r="B18959" s="2" t="str">
        <f>"44287"</f>
        <v>44287</v>
      </c>
      <c r="C18959" s="1">
        <v>3.8558905370629899E-2</v>
      </c>
      <c r="D18959" s="1">
        <v>1.5432098765432001E-2</v>
      </c>
      <c r="E18959" s="1">
        <v>0.01</v>
      </c>
      <c r="F18959" s="1">
        <v>3.64178305978562E-2</v>
      </c>
    </row>
    <row r="18960" spans="1:6" x14ac:dyDescent="0.25">
      <c r="A18960" s="2" t="str">
        <f t="shared" si="679"/>
        <v>49300</v>
      </c>
      <c r="B18960" s="2" t="str">
        <f>"44203"</f>
        <v>44203</v>
      </c>
      <c r="C18960" s="1">
        <v>9.4148168295081199E-4</v>
      </c>
      <c r="D18960" s="1">
        <v>9.2592592592592499E-4</v>
      </c>
      <c r="E18960" s="1">
        <v>1.53846153846153E-3</v>
      </c>
      <c r="F18960" s="1">
        <v>9.5534707759328905E-4</v>
      </c>
    </row>
    <row r="18961" spans="1:6" x14ac:dyDescent="0.25">
      <c r="A18961" s="2" t="str">
        <f t="shared" si="679"/>
        <v>49300</v>
      </c>
      <c r="B18961" s="2" t="str">
        <f>"44216"</f>
        <v>44216</v>
      </c>
      <c r="C18961" s="1">
        <v>2.9290541247358598E-4</v>
      </c>
      <c r="D18961" s="1">
        <v>9.2592592592592499E-4</v>
      </c>
      <c r="E18961" s="1">
        <v>0</v>
      </c>
      <c r="F18961" s="1">
        <v>3.2481800638171801E-4</v>
      </c>
    </row>
    <row r="18962" spans="1:6" x14ac:dyDescent="0.25">
      <c r="A18962" s="2" t="str">
        <f t="shared" si="679"/>
        <v>49300</v>
      </c>
      <c r="B18962" s="2" t="str">
        <f>"44276"</f>
        <v>44276</v>
      </c>
      <c r="C18962" s="1">
        <v>1.6047032240517099E-2</v>
      </c>
      <c r="D18962" s="1">
        <v>1.2037037037037001E-2</v>
      </c>
      <c r="E18962" s="1">
        <v>5.3846153846153801E-3</v>
      </c>
      <c r="F18962" s="1">
        <v>1.55339434816668E-2</v>
      </c>
    </row>
    <row r="18963" spans="1:6" x14ac:dyDescent="0.25">
      <c r="A18963" s="2" t="str">
        <f t="shared" si="679"/>
        <v>49300</v>
      </c>
      <c r="B18963" s="2" t="str">
        <f>"44270"</f>
        <v>44270</v>
      </c>
      <c r="C18963" s="1">
        <v>7.1929200577441996E-2</v>
      </c>
      <c r="D18963" s="1">
        <v>5.4938271604938201E-2</v>
      </c>
      <c r="E18963" s="1">
        <v>5.2307692307692298E-2</v>
      </c>
      <c r="F18963" s="1">
        <v>7.0389972677073503E-2</v>
      </c>
    </row>
    <row r="18964" spans="1:6" x14ac:dyDescent="0.25">
      <c r="A18964" s="2" t="str">
        <f t="shared" ref="A18964:A18981" si="680">"18820"</f>
        <v>18820</v>
      </c>
      <c r="B18964" s="2" t="str">
        <f>"47965"</f>
        <v>47965</v>
      </c>
      <c r="C18964" s="1">
        <v>1.11880046136101E-2</v>
      </c>
      <c r="D18964" s="1">
        <v>0</v>
      </c>
      <c r="E18964" s="1">
        <v>1.6313213703099501E-3</v>
      </c>
      <c r="F18964" s="1">
        <v>1.01188314047013E-2</v>
      </c>
    </row>
    <row r="18965" spans="1:6" x14ac:dyDescent="0.25">
      <c r="A18965" s="2" t="str">
        <f t="shared" si="680"/>
        <v>18820</v>
      </c>
      <c r="B18965" s="2" t="str">
        <f>"47994"</f>
        <v>47994</v>
      </c>
      <c r="C18965" s="1">
        <v>1.3552479815455499E-2</v>
      </c>
      <c r="D18965" s="1">
        <v>6.0698027314112198E-3</v>
      </c>
      <c r="E18965" s="1">
        <v>9.7879282218597003E-3</v>
      </c>
      <c r="F18965" s="1">
        <v>1.29209693321571E-2</v>
      </c>
    </row>
    <row r="18966" spans="1:6" x14ac:dyDescent="0.25">
      <c r="A18966" s="2" t="str">
        <f t="shared" si="680"/>
        <v>18820</v>
      </c>
      <c r="B18966" s="2" t="str">
        <f>"46035"</f>
        <v>46035</v>
      </c>
      <c r="C18966" s="1">
        <v>2.6528258362168299E-3</v>
      </c>
      <c r="D18966" s="1">
        <v>0</v>
      </c>
      <c r="E18966" s="1">
        <v>0</v>
      </c>
      <c r="F18966" s="1">
        <v>2.3870063826475002E-3</v>
      </c>
    </row>
    <row r="18967" spans="1:6" x14ac:dyDescent="0.25">
      <c r="A18967" s="2" t="str">
        <f t="shared" si="680"/>
        <v>18820</v>
      </c>
      <c r="B18967" s="2" t="str">
        <f>"47967"</f>
        <v>47967</v>
      </c>
      <c r="C18967" s="1">
        <v>1.22260668973471E-2</v>
      </c>
      <c r="D18967" s="1">
        <v>6.0698027314112198E-3</v>
      </c>
      <c r="E18967" s="1">
        <v>4.8939641109298502E-3</v>
      </c>
      <c r="F18967" s="1">
        <v>1.15717918115302E-2</v>
      </c>
    </row>
    <row r="18968" spans="1:6" x14ac:dyDescent="0.25">
      <c r="A18968" s="2" t="str">
        <f t="shared" si="680"/>
        <v>18820</v>
      </c>
      <c r="B18968" s="2" t="str">
        <f>"47981"</f>
        <v>47981</v>
      </c>
      <c r="C18968" s="1">
        <v>9.8039215686274508E-4</v>
      </c>
      <c r="D18968" s="1">
        <v>0</v>
      </c>
      <c r="E18968" s="1">
        <v>0</v>
      </c>
      <c r="F18968" s="1">
        <v>8.82154532717554E-4</v>
      </c>
    </row>
    <row r="18969" spans="1:6" x14ac:dyDescent="0.25">
      <c r="A18969" s="2" t="str">
        <f t="shared" si="680"/>
        <v>18820</v>
      </c>
      <c r="B18969" s="2" t="str">
        <f>"47955"</f>
        <v>47955</v>
      </c>
      <c r="C18969" s="1">
        <v>2.0242214532871901E-2</v>
      </c>
      <c r="D18969" s="1">
        <v>1.59332321699544E-2</v>
      </c>
      <c r="E18969" s="1">
        <v>1.1419249592169599E-2</v>
      </c>
      <c r="F18969" s="1">
        <v>1.9666856935291299E-2</v>
      </c>
    </row>
    <row r="18970" spans="1:6" x14ac:dyDescent="0.25">
      <c r="A18970" s="2" t="str">
        <f t="shared" si="680"/>
        <v>18820</v>
      </c>
      <c r="B18970" s="2" t="str">
        <f>"47940"</f>
        <v>47940</v>
      </c>
      <c r="C18970" s="1">
        <v>3.51211072664359E-2</v>
      </c>
      <c r="D18970" s="1">
        <v>5.3110773899848196E-3</v>
      </c>
      <c r="E18970" s="1">
        <v>8.1566068515497494E-3</v>
      </c>
      <c r="F18970" s="1">
        <v>3.2224586165741198E-2</v>
      </c>
    </row>
    <row r="18971" spans="1:6" x14ac:dyDescent="0.25">
      <c r="A18971" s="2" t="str">
        <f t="shared" si="680"/>
        <v>18820</v>
      </c>
      <c r="B18971" s="2" t="str">
        <f>"47916"</f>
        <v>47916</v>
      </c>
      <c r="C18971" s="1">
        <v>3.2871972318339101E-3</v>
      </c>
      <c r="D18971" s="1">
        <v>7.5872534142640302E-4</v>
      </c>
      <c r="E18971" s="1">
        <v>1.6313213703099501E-3</v>
      </c>
      <c r="F18971" s="1">
        <v>3.0615951429609199E-3</v>
      </c>
    </row>
    <row r="18972" spans="1:6" x14ac:dyDescent="0.25">
      <c r="A18972" s="2" t="str">
        <f t="shared" si="680"/>
        <v>18820</v>
      </c>
      <c r="B18972" s="2" t="str">
        <f>"47954"</f>
        <v>47954</v>
      </c>
      <c r="C18972" s="1">
        <v>5.6286043829296403E-2</v>
      </c>
      <c r="D18972" s="1">
        <v>3.9453717754172897E-2</v>
      </c>
      <c r="E18972" s="1">
        <v>2.6101141924959201E-2</v>
      </c>
      <c r="F18972" s="1">
        <v>5.4174666597478001E-2</v>
      </c>
    </row>
    <row r="18973" spans="1:6" x14ac:dyDescent="0.25">
      <c r="A18973" s="2" t="str">
        <f t="shared" si="680"/>
        <v>18820</v>
      </c>
      <c r="B18973" s="2" t="str">
        <f>"46175"</f>
        <v>46175</v>
      </c>
      <c r="C18973" s="1">
        <v>3.4602076124567402E-4</v>
      </c>
      <c r="D18973" s="1">
        <v>0</v>
      </c>
      <c r="E18973" s="1">
        <v>0</v>
      </c>
      <c r="F18973" s="1">
        <v>3.11348658606195E-4</v>
      </c>
    </row>
    <row r="18974" spans="1:6" x14ac:dyDescent="0.25">
      <c r="A18974" s="2" t="str">
        <f t="shared" si="680"/>
        <v>18820</v>
      </c>
      <c r="B18974" s="2" t="str">
        <f>"47949"</f>
        <v>47949</v>
      </c>
      <c r="C18974" s="1">
        <v>4.0369088811995302E-4</v>
      </c>
      <c r="D18974" s="1">
        <v>0</v>
      </c>
      <c r="E18974" s="1">
        <v>0</v>
      </c>
      <c r="F18974" s="1">
        <v>3.6324010170722801E-4</v>
      </c>
    </row>
    <row r="18975" spans="1:6" x14ac:dyDescent="0.25">
      <c r="A18975" s="2" t="str">
        <f t="shared" si="680"/>
        <v>18820</v>
      </c>
      <c r="B18975" s="2" t="str">
        <f>"47933"</f>
        <v>47933</v>
      </c>
      <c r="C18975" s="1">
        <v>0.77583621683967696</v>
      </c>
      <c r="D18975" s="1">
        <v>0.90971168437025696</v>
      </c>
      <c r="E18975" s="1">
        <v>0.85481239804241405</v>
      </c>
      <c r="F18975" s="1">
        <v>0.78750454050127106</v>
      </c>
    </row>
    <row r="18976" spans="1:6" x14ac:dyDescent="0.25">
      <c r="A18976" s="2" t="str">
        <f t="shared" si="680"/>
        <v>18820</v>
      </c>
      <c r="B18976" s="2" t="str">
        <f>"47990"</f>
        <v>47990</v>
      </c>
      <c r="C18976" s="1">
        <v>2.3644752018454399E-2</v>
      </c>
      <c r="D18976" s="1">
        <v>7.5872534142640297E-3</v>
      </c>
      <c r="E18976" s="1">
        <v>2.9363784665579099E-2</v>
      </c>
      <c r="F18976" s="1">
        <v>2.27284520782522E-2</v>
      </c>
    </row>
    <row r="18977" spans="1:6" x14ac:dyDescent="0.25">
      <c r="A18977" s="2" t="str">
        <f t="shared" si="680"/>
        <v>18820</v>
      </c>
      <c r="B18977" s="2" t="str">
        <f>"47968"</f>
        <v>47968</v>
      </c>
      <c r="C18977" s="1">
        <v>2.3298731257208698E-2</v>
      </c>
      <c r="D18977" s="1">
        <v>3.0349013657056099E-3</v>
      </c>
      <c r="E18977" s="1">
        <v>2.77324632952691E-2</v>
      </c>
      <c r="F18977" s="1">
        <v>2.20538633179388E-2</v>
      </c>
    </row>
    <row r="18978" spans="1:6" x14ac:dyDescent="0.25">
      <c r="A18978" s="2" t="str">
        <f t="shared" si="680"/>
        <v>18820</v>
      </c>
      <c r="B18978" s="2" t="str">
        <f>"47930"</f>
        <v>47930</v>
      </c>
      <c r="C18978" s="1">
        <v>8.6505190311418601E-4</v>
      </c>
      <c r="D18978" s="1">
        <v>7.5872534142640302E-4</v>
      </c>
      <c r="E18978" s="1">
        <v>0</v>
      </c>
      <c r="F18978" s="1">
        <v>8.3026308961652202E-4</v>
      </c>
    </row>
    <row r="18979" spans="1:6" x14ac:dyDescent="0.25">
      <c r="A18979" s="2" t="str">
        <f t="shared" si="680"/>
        <v>18820</v>
      </c>
      <c r="B18979" s="2" t="str">
        <f>"47989"</f>
        <v>47989</v>
      </c>
      <c r="C18979" s="1">
        <v>1.96655132641291E-2</v>
      </c>
      <c r="D18979" s="1">
        <v>4.5523520485584203E-3</v>
      </c>
      <c r="E18979" s="1">
        <v>2.4469820554649201E-2</v>
      </c>
      <c r="F18979" s="1">
        <v>1.8784702402573801E-2</v>
      </c>
    </row>
    <row r="18980" spans="1:6" x14ac:dyDescent="0.25">
      <c r="A18980" s="2" t="str">
        <f t="shared" si="680"/>
        <v>18820</v>
      </c>
      <c r="B18980" s="2" t="str">
        <f>"46172"</f>
        <v>46172</v>
      </c>
      <c r="C18980" s="1">
        <v>1.15340253748558E-4</v>
      </c>
      <c r="D18980" s="1">
        <v>0</v>
      </c>
      <c r="E18980" s="1">
        <v>0</v>
      </c>
      <c r="F18980" s="1">
        <v>1.03782886202065E-4</v>
      </c>
    </row>
    <row r="18981" spans="1:6" x14ac:dyDescent="0.25">
      <c r="A18981" s="2" t="str">
        <f t="shared" si="680"/>
        <v>18820</v>
      </c>
      <c r="B18981" s="2" t="str">
        <f>"46071"</f>
        <v>46071</v>
      </c>
      <c r="C18981" s="1">
        <v>2.8835063437139498E-4</v>
      </c>
      <c r="D18981" s="1">
        <v>7.5872534142640302E-4</v>
      </c>
      <c r="E18981" s="1">
        <v>0</v>
      </c>
      <c r="F18981" s="1">
        <v>3.11348658606195E-4</v>
      </c>
    </row>
    <row r="18982" spans="1:6" x14ac:dyDescent="0.25">
      <c r="A18982" s="2" t="str">
        <f t="shared" ref="A18982:A19016" si="681">"14020"</f>
        <v>14020</v>
      </c>
      <c r="B18982" s="2" t="str">
        <f>"47468"</f>
        <v>47468</v>
      </c>
      <c r="C18982" s="1">
        <v>1.02525897545054E-2</v>
      </c>
      <c r="D18982" s="1">
        <v>3.20066796548844E-3</v>
      </c>
      <c r="E18982" s="1">
        <v>6.7521944632005395E-4</v>
      </c>
      <c r="F18982" s="1">
        <v>9.4180251710448502E-3</v>
      </c>
    </row>
    <row r="18983" spans="1:6" x14ac:dyDescent="0.25">
      <c r="A18983" s="2" t="str">
        <f t="shared" si="681"/>
        <v>14020</v>
      </c>
      <c r="B18983" s="2" t="str">
        <f>"47427"</f>
        <v>47427</v>
      </c>
      <c r="C18983" s="1">
        <v>6.0664112388250299E-3</v>
      </c>
      <c r="D18983" s="1">
        <v>9.7411633732257105E-4</v>
      </c>
      <c r="E18983" s="1">
        <v>3.3760972316002698E-4</v>
      </c>
      <c r="F18983" s="1">
        <v>5.5008868992313499E-3</v>
      </c>
    </row>
    <row r="18984" spans="1:6" x14ac:dyDescent="0.25">
      <c r="A18984" s="2" t="str">
        <f t="shared" si="681"/>
        <v>14020</v>
      </c>
      <c r="B18984" s="2" t="str">
        <f>"47404"</f>
        <v>47404</v>
      </c>
      <c r="C18984" s="1">
        <v>0.14309871813064601</v>
      </c>
      <c r="D18984" s="1">
        <v>0.28986919009184497</v>
      </c>
      <c r="E18984" s="1">
        <v>0.206954760297096</v>
      </c>
      <c r="F18984" s="1">
        <v>0.15623152293268</v>
      </c>
    </row>
    <row r="18985" spans="1:6" x14ac:dyDescent="0.25">
      <c r="A18985" s="2" t="str">
        <f t="shared" si="681"/>
        <v>14020</v>
      </c>
      <c r="B18985" s="2" t="str">
        <f>"47464"</f>
        <v>47464</v>
      </c>
      <c r="C18985" s="1">
        <v>1.8920580861832401E-4</v>
      </c>
      <c r="D18985" s="1">
        <v>6.9579738380183597E-4</v>
      </c>
      <c r="E18985" s="1">
        <v>3.3760972316002698E-4</v>
      </c>
      <c r="F18985" s="1">
        <v>2.32283132021285E-4</v>
      </c>
    </row>
    <row r="18986" spans="1:6" x14ac:dyDescent="0.25">
      <c r="A18986" s="2" t="str">
        <f t="shared" si="681"/>
        <v>14020</v>
      </c>
      <c r="B18986" s="2" t="str">
        <f>"47433"</f>
        <v>47433</v>
      </c>
      <c r="C18986" s="1">
        <v>2.6713495104299701E-2</v>
      </c>
      <c r="D18986" s="1">
        <v>7.2362927915391E-3</v>
      </c>
      <c r="E18986" s="1">
        <v>2.7008777852802101E-2</v>
      </c>
      <c r="F18986" s="1">
        <v>2.5244953121040602E-2</v>
      </c>
    </row>
    <row r="18987" spans="1:6" x14ac:dyDescent="0.25">
      <c r="A18987" s="2" t="str">
        <f t="shared" si="681"/>
        <v>14020</v>
      </c>
      <c r="B18987" s="2" t="str">
        <f>"47429"</f>
        <v>47429</v>
      </c>
      <c r="C18987" s="1">
        <v>4.1790832978572397E-2</v>
      </c>
      <c r="D18987" s="1">
        <v>2.3378792095741702E-2</v>
      </c>
      <c r="E18987" s="1">
        <v>2.5658338960162001E-2</v>
      </c>
      <c r="F18987" s="1">
        <v>3.9889348762564399E-2</v>
      </c>
    </row>
    <row r="18988" spans="1:6" x14ac:dyDescent="0.25">
      <c r="A18988" s="2" t="str">
        <f t="shared" si="681"/>
        <v>14020</v>
      </c>
      <c r="B18988" s="2" t="str">
        <f>"47406"</f>
        <v>47406</v>
      </c>
      <c r="C18988" s="1">
        <v>7.3317250839600697E-4</v>
      </c>
      <c r="D18988" s="1">
        <v>1.39159476760367E-4</v>
      </c>
      <c r="E18988" s="1">
        <v>1.68804861580013E-3</v>
      </c>
      <c r="F18988" s="1">
        <v>7.1796604442942802E-4</v>
      </c>
    </row>
    <row r="18989" spans="1:6" x14ac:dyDescent="0.25">
      <c r="A18989" s="2" t="str">
        <f t="shared" si="681"/>
        <v>14020</v>
      </c>
      <c r="B18989" s="2" t="str">
        <f>"47405"</f>
        <v>47405</v>
      </c>
      <c r="C18989" s="1">
        <v>0</v>
      </c>
      <c r="D18989" s="1">
        <v>1.44725855830782E-2</v>
      </c>
      <c r="E18989" s="1">
        <v>2.3632680621201801E-3</v>
      </c>
      <c r="F18989" s="1">
        <v>1.17197398428921E-3</v>
      </c>
    </row>
    <row r="18990" spans="1:6" x14ac:dyDescent="0.25">
      <c r="A18990" s="2" t="str">
        <f t="shared" si="681"/>
        <v>14020</v>
      </c>
      <c r="B18990" s="2" t="str">
        <f>"47471"</f>
        <v>47471</v>
      </c>
      <c r="C18990" s="1">
        <v>1.67920155148763E-3</v>
      </c>
      <c r="D18990" s="1">
        <v>4.1747843028110203E-4</v>
      </c>
      <c r="E18990" s="1">
        <v>0</v>
      </c>
      <c r="F18990" s="1">
        <v>1.5309570065039199E-3</v>
      </c>
    </row>
    <row r="18991" spans="1:6" x14ac:dyDescent="0.25">
      <c r="A18991" s="2" t="str">
        <f t="shared" si="681"/>
        <v>14020</v>
      </c>
      <c r="B18991" s="2" t="str">
        <f>"47403"</f>
        <v>47403</v>
      </c>
      <c r="C18991" s="1">
        <v>0.201007520930892</v>
      </c>
      <c r="D18991" s="1">
        <v>0.14458669635402099</v>
      </c>
      <c r="E18991" s="1">
        <v>0.204253882511816</v>
      </c>
      <c r="F18991" s="1">
        <v>0.196828279415491</v>
      </c>
    </row>
    <row r="18992" spans="1:6" x14ac:dyDescent="0.25">
      <c r="A18992" s="2" t="str">
        <f t="shared" si="681"/>
        <v>14020</v>
      </c>
      <c r="B18992" s="2" t="str">
        <f>"46120"</f>
        <v>46120</v>
      </c>
      <c r="C18992" s="1">
        <v>5.3687148195449598E-3</v>
      </c>
      <c r="D18992" s="1">
        <v>1.2524352908433001E-3</v>
      </c>
      <c r="E18992" s="1">
        <v>0</v>
      </c>
      <c r="F18992" s="1">
        <v>4.8885040966297798E-3</v>
      </c>
    </row>
    <row r="18993" spans="1:6" x14ac:dyDescent="0.25">
      <c r="A18993" s="2" t="str">
        <f t="shared" si="681"/>
        <v>14020</v>
      </c>
      <c r="B18993" s="2" t="str">
        <f>"47841"</f>
        <v>47841</v>
      </c>
      <c r="C18993" s="1">
        <v>1.53729719502388E-4</v>
      </c>
      <c r="D18993" s="1">
        <v>0</v>
      </c>
      <c r="E18993" s="1">
        <v>0</v>
      </c>
      <c r="F18993" s="1">
        <v>1.3725821437621401E-4</v>
      </c>
    </row>
    <row r="18994" spans="1:6" x14ac:dyDescent="0.25">
      <c r="A18994" s="2" t="str">
        <f t="shared" si="681"/>
        <v>14020</v>
      </c>
      <c r="B18994" s="2" t="str">
        <f>"47868"</f>
        <v>47868</v>
      </c>
      <c r="C18994" s="1">
        <v>1.7300506125538E-2</v>
      </c>
      <c r="D18994" s="1">
        <v>2.5048705816866101E-3</v>
      </c>
      <c r="E18994" s="1">
        <v>3.7137069547602901E-3</v>
      </c>
      <c r="F18994" s="1">
        <v>1.5753019680716199E-2</v>
      </c>
    </row>
    <row r="18995" spans="1:6" x14ac:dyDescent="0.25">
      <c r="A18995" s="2" t="str">
        <f t="shared" si="681"/>
        <v>14020</v>
      </c>
      <c r="B18995" s="2" t="str">
        <f>"47463"</f>
        <v>47463</v>
      </c>
      <c r="C18995" s="1">
        <v>0</v>
      </c>
      <c r="D18995" s="1">
        <v>1.39159476760367E-4</v>
      </c>
      <c r="E18995" s="1">
        <v>0</v>
      </c>
      <c r="F18995" s="1">
        <v>1.0558324182785699E-5</v>
      </c>
    </row>
    <row r="18996" spans="1:6" x14ac:dyDescent="0.25">
      <c r="A18996" s="2" t="str">
        <f t="shared" si="681"/>
        <v>14020</v>
      </c>
      <c r="B18996" s="2" t="str">
        <f>"47460"</f>
        <v>47460</v>
      </c>
      <c r="C18996" s="1">
        <v>6.8043138924364893E-2</v>
      </c>
      <c r="D18996" s="1">
        <v>6.3456721402727498E-2</v>
      </c>
      <c r="E18996" s="1">
        <v>2.2619851451721799E-2</v>
      </c>
      <c r="F18996" s="1">
        <v>6.62746008953458E-2</v>
      </c>
    </row>
    <row r="18997" spans="1:6" x14ac:dyDescent="0.25">
      <c r="A18997" s="2" t="str">
        <f t="shared" si="681"/>
        <v>14020</v>
      </c>
      <c r="B18997" s="2" t="str">
        <f>"47456"</f>
        <v>47456</v>
      </c>
      <c r="C18997" s="1">
        <v>4.2453053308736501E-3</v>
      </c>
      <c r="D18997" s="1">
        <v>1.6699137211244001E-3</v>
      </c>
      <c r="E18997" s="1">
        <v>6.7521944632005395E-4</v>
      </c>
      <c r="F18997" s="1">
        <v>3.9382549201790601E-3</v>
      </c>
    </row>
    <row r="18998" spans="1:6" x14ac:dyDescent="0.25">
      <c r="A18998" s="2" t="str">
        <f t="shared" si="681"/>
        <v>14020</v>
      </c>
      <c r="B18998" s="2" t="str">
        <f>"47434"</f>
        <v>47434</v>
      </c>
      <c r="C18998" s="1">
        <v>0</v>
      </c>
      <c r="D18998" s="1">
        <v>0</v>
      </c>
      <c r="E18998" s="1">
        <v>3.3760972316002698E-4</v>
      </c>
      <c r="F18998" s="1">
        <v>1.0558324182785699E-5</v>
      </c>
    </row>
    <row r="18999" spans="1:6" x14ac:dyDescent="0.25">
      <c r="A18999" s="2" t="str">
        <f t="shared" si="681"/>
        <v>14020</v>
      </c>
      <c r="B18999" s="2" t="str">
        <f>"47448"</f>
        <v>47448</v>
      </c>
      <c r="C18999" s="1">
        <v>9.3420368005297703E-4</v>
      </c>
      <c r="D18999" s="1">
        <v>1.39159476760367E-4</v>
      </c>
      <c r="E18999" s="1">
        <v>0</v>
      </c>
      <c r="F18999" s="1">
        <v>8.4466593462285597E-4</v>
      </c>
    </row>
    <row r="19000" spans="1:6" x14ac:dyDescent="0.25">
      <c r="A19000" s="2" t="str">
        <f t="shared" si="681"/>
        <v>14020</v>
      </c>
      <c r="B19000" s="2" t="str">
        <f>"47421"</f>
        <v>47421</v>
      </c>
      <c r="C19000" s="1">
        <v>3.4293552812071301E-4</v>
      </c>
      <c r="D19000" s="1">
        <v>0</v>
      </c>
      <c r="E19000" s="1">
        <v>0</v>
      </c>
      <c r="F19000" s="1">
        <v>3.0619140130078501E-4</v>
      </c>
    </row>
    <row r="19001" spans="1:6" x14ac:dyDescent="0.25">
      <c r="A19001" s="2" t="str">
        <f t="shared" si="681"/>
        <v>14020</v>
      </c>
      <c r="B19001" s="2" t="str">
        <f>"47401"</f>
        <v>47401</v>
      </c>
      <c r="C19001" s="1">
        <v>0.258715292559481</v>
      </c>
      <c r="D19001" s="1">
        <v>0.18480378513776699</v>
      </c>
      <c r="E19001" s="1">
        <v>0.31836596893990499</v>
      </c>
      <c r="F19001" s="1">
        <v>0.254972970690092</v>
      </c>
    </row>
    <row r="19002" spans="1:6" x14ac:dyDescent="0.25">
      <c r="A19002" s="2" t="str">
        <f t="shared" si="681"/>
        <v>14020</v>
      </c>
      <c r="B19002" s="2" t="str">
        <f>"47455"</f>
        <v>47455</v>
      </c>
      <c r="C19002" s="1">
        <v>0</v>
      </c>
      <c r="D19002" s="1">
        <v>1.39159476760367E-4</v>
      </c>
      <c r="E19002" s="1">
        <v>0</v>
      </c>
      <c r="F19002" s="1">
        <v>1.0558324182785699E-5</v>
      </c>
    </row>
    <row r="19003" spans="1:6" x14ac:dyDescent="0.25">
      <c r="A19003" s="2" t="str">
        <f t="shared" si="681"/>
        <v>14020</v>
      </c>
      <c r="B19003" s="2" t="str">
        <f>"47402"</f>
        <v>47402</v>
      </c>
      <c r="C19003" s="1">
        <v>1.5231067593775099E-2</v>
      </c>
      <c r="D19003" s="1">
        <v>0.107013637628722</v>
      </c>
      <c r="E19003" s="1">
        <v>6.7521944632005395E-4</v>
      </c>
      <c r="F19003" s="1">
        <v>2.1739589492355701E-2</v>
      </c>
    </row>
    <row r="19004" spans="1:6" x14ac:dyDescent="0.25">
      <c r="A19004" s="2" t="str">
        <f t="shared" si="681"/>
        <v>14020</v>
      </c>
      <c r="B19004" s="2" t="str">
        <f>"47833"</f>
        <v>47833</v>
      </c>
      <c r="C19004" s="1">
        <v>3.5830850007095199E-3</v>
      </c>
      <c r="D19004" s="1">
        <v>8.3495686056220405E-4</v>
      </c>
      <c r="E19004" s="1">
        <v>6.7521944632005395E-4</v>
      </c>
      <c r="F19004" s="1">
        <v>3.2836388208463498E-3</v>
      </c>
    </row>
    <row r="19005" spans="1:6" x14ac:dyDescent="0.25">
      <c r="A19005" s="2" t="str">
        <f t="shared" si="681"/>
        <v>14020</v>
      </c>
      <c r="B19005" s="2" t="str">
        <f>"47458"</f>
        <v>47458</v>
      </c>
      <c r="C19005" s="1">
        <v>0</v>
      </c>
      <c r="D19005" s="1">
        <v>1.39159476760367E-4</v>
      </c>
      <c r="E19005" s="1">
        <v>0</v>
      </c>
      <c r="F19005" s="1">
        <v>1.0558324182785699E-5</v>
      </c>
    </row>
    <row r="19006" spans="1:6" x14ac:dyDescent="0.25">
      <c r="A19006" s="2" t="str">
        <f t="shared" si="681"/>
        <v>14020</v>
      </c>
      <c r="B19006" s="2" t="str">
        <f>"47459"</f>
        <v>47459</v>
      </c>
      <c r="C19006" s="1">
        <v>1.19436166690317E-3</v>
      </c>
      <c r="D19006" s="1">
        <v>0</v>
      </c>
      <c r="E19006" s="1">
        <v>0</v>
      </c>
      <c r="F19006" s="1">
        <v>1.06639074246135E-3</v>
      </c>
    </row>
    <row r="19007" spans="1:6" x14ac:dyDescent="0.25">
      <c r="A19007" s="2" t="str">
        <f t="shared" si="681"/>
        <v>14020</v>
      </c>
      <c r="B19007" s="2" t="str">
        <f>"47462"</f>
        <v>47462</v>
      </c>
      <c r="C19007" s="1">
        <v>2.19951752518802E-3</v>
      </c>
      <c r="D19007" s="1">
        <v>1.39159476760367E-4</v>
      </c>
      <c r="E19007" s="1">
        <v>0</v>
      </c>
      <c r="F19007" s="1">
        <v>1.9744066221809198E-3</v>
      </c>
    </row>
    <row r="19008" spans="1:6" x14ac:dyDescent="0.25">
      <c r="A19008" s="2" t="str">
        <f t="shared" si="681"/>
        <v>14020</v>
      </c>
      <c r="B19008" s="2" t="str">
        <f>"47426"</f>
        <v>47426</v>
      </c>
      <c r="C19008" s="1">
        <v>4.4699872286079103E-3</v>
      </c>
      <c r="D19008" s="1">
        <v>9.8803228499860802E-3</v>
      </c>
      <c r="E19008" s="1">
        <v>3.3760972316002698E-4</v>
      </c>
      <c r="F19008" s="1">
        <v>4.7512458822535604E-3</v>
      </c>
    </row>
    <row r="19009" spans="1:6" x14ac:dyDescent="0.25">
      <c r="A19009" s="2" t="str">
        <f t="shared" si="681"/>
        <v>14020</v>
      </c>
      <c r="B19009" s="2" t="str">
        <f>"47436"</f>
        <v>47436</v>
      </c>
      <c r="C19009" s="1">
        <v>2.0457878056856301E-3</v>
      </c>
      <c r="D19009" s="1">
        <v>8.3495686056220405E-4</v>
      </c>
      <c r="E19009" s="1">
        <v>6.7521944632005395E-4</v>
      </c>
      <c r="F19009" s="1">
        <v>1.91105667708421E-3</v>
      </c>
    </row>
    <row r="19010" spans="1:6" x14ac:dyDescent="0.25">
      <c r="A19010" s="2" t="str">
        <f t="shared" si="681"/>
        <v>14020</v>
      </c>
      <c r="B19010" s="2" t="str">
        <f>"47424"</f>
        <v>47424</v>
      </c>
      <c r="C19010" s="1">
        <v>3.5476089115935799E-5</v>
      </c>
      <c r="D19010" s="1">
        <v>0</v>
      </c>
      <c r="E19010" s="1">
        <v>0</v>
      </c>
      <c r="F19010" s="1">
        <v>3.1674972548357103E-5</v>
      </c>
    </row>
    <row r="19011" spans="1:6" x14ac:dyDescent="0.25">
      <c r="A19011" s="2" t="str">
        <f t="shared" si="681"/>
        <v>14020</v>
      </c>
      <c r="B19011" s="2" t="str">
        <f>"47407"</f>
        <v>47407</v>
      </c>
      <c r="C19011" s="1">
        <v>1.9429071472494199E-2</v>
      </c>
      <c r="D19011" s="1">
        <v>5.7194544948510902E-2</v>
      </c>
      <c r="E19011" s="1">
        <v>6.7521944632005395E-4</v>
      </c>
      <c r="F19011" s="1">
        <v>2.17079145198074E-2</v>
      </c>
    </row>
    <row r="19012" spans="1:6" x14ac:dyDescent="0.25">
      <c r="A19012" s="2" t="str">
        <f t="shared" si="681"/>
        <v>14020</v>
      </c>
      <c r="B19012" s="2" t="str">
        <f>"46166"</f>
        <v>46166</v>
      </c>
      <c r="C19012" s="1">
        <v>1.1352348517099399E-3</v>
      </c>
      <c r="D19012" s="1">
        <v>0</v>
      </c>
      <c r="E19012" s="1">
        <v>0</v>
      </c>
      <c r="F19012" s="1">
        <v>1.0135991215474199E-3</v>
      </c>
    </row>
    <row r="19013" spans="1:6" x14ac:dyDescent="0.25">
      <c r="A19013" s="2" t="str">
        <f t="shared" si="681"/>
        <v>14020</v>
      </c>
      <c r="B19013" s="2" t="str">
        <f>"47431"</f>
        <v>47431</v>
      </c>
      <c r="C19013" s="1">
        <v>7.6746606120807904E-3</v>
      </c>
      <c r="D19013" s="1">
        <v>9.7411633732257105E-4</v>
      </c>
      <c r="E19013" s="1">
        <v>3.3760972316002698E-4</v>
      </c>
      <c r="F19013" s="1">
        <v>6.9368189880902103E-3</v>
      </c>
    </row>
    <row r="19014" spans="1:6" x14ac:dyDescent="0.25">
      <c r="A19014" s="2" t="str">
        <f t="shared" si="681"/>
        <v>14020</v>
      </c>
      <c r="B19014" s="2" t="str">
        <f>"47264"</f>
        <v>47264</v>
      </c>
      <c r="C19014" s="1">
        <v>1.3007899342509801E-4</v>
      </c>
      <c r="D19014" s="1">
        <v>1.39159476760367E-4</v>
      </c>
      <c r="E19014" s="1">
        <v>0</v>
      </c>
      <c r="F19014" s="1">
        <v>1.2669989019342801E-4</v>
      </c>
    </row>
    <row r="19015" spans="1:6" x14ac:dyDescent="0.25">
      <c r="A19015" s="2" t="str">
        <f t="shared" si="681"/>
        <v>14020</v>
      </c>
      <c r="B19015" s="2" t="str">
        <f>"47408"</f>
        <v>47408</v>
      </c>
      <c r="C19015" s="1">
        <v>0.15581098339718999</v>
      </c>
      <c r="D19015" s="1">
        <v>8.3634845532980701E-2</v>
      </c>
      <c r="E19015" s="1">
        <v>0.18163403106009399</v>
      </c>
      <c r="F19015" s="1">
        <v>0.15114241067657699</v>
      </c>
    </row>
    <row r="19016" spans="1:6" x14ac:dyDescent="0.25">
      <c r="A19016" s="2" t="str">
        <f t="shared" si="681"/>
        <v>14020</v>
      </c>
      <c r="B19016" s="2" t="str">
        <f>"46151"</f>
        <v>46151</v>
      </c>
      <c r="C19016" s="1">
        <v>4.2571306939122999E-4</v>
      </c>
      <c r="D19016" s="1">
        <v>1.39159476760367E-4</v>
      </c>
      <c r="E19016" s="1">
        <v>0</v>
      </c>
      <c r="F19016" s="1">
        <v>3.90657994763071E-4</v>
      </c>
    </row>
    <row r="19017" spans="1:6" x14ac:dyDescent="0.25">
      <c r="A19017" s="2" t="str">
        <f t="shared" ref="A19017:A19032" si="682">"33140"</f>
        <v>33140</v>
      </c>
      <c r="B19017" s="2" t="str">
        <f>"46532"</f>
        <v>46532</v>
      </c>
      <c r="C19017" s="1">
        <v>5.7547501072919499E-3</v>
      </c>
      <c r="D19017" s="1">
        <v>2.6652452025586301E-3</v>
      </c>
      <c r="E19017" s="1">
        <v>1.2307692307692299E-3</v>
      </c>
      <c r="F19017" s="1">
        <v>5.4202934373841303E-3</v>
      </c>
    </row>
    <row r="19018" spans="1:6" x14ac:dyDescent="0.25">
      <c r="A19018" s="2" t="str">
        <f t="shared" si="682"/>
        <v>33140</v>
      </c>
      <c r="B19018" s="2" t="str">
        <f>"46391"</f>
        <v>46391</v>
      </c>
      <c r="C19018" s="1">
        <v>4.1726815184737198E-2</v>
      </c>
      <c r="D19018" s="1">
        <v>1.6791044776119399E-2</v>
      </c>
      <c r="E19018" s="1">
        <v>4.3076923076922999E-2</v>
      </c>
      <c r="F19018" s="1">
        <v>4.0113702572432401E-2</v>
      </c>
    </row>
    <row r="19019" spans="1:6" x14ac:dyDescent="0.25">
      <c r="A19019" s="2" t="str">
        <f t="shared" si="682"/>
        <v>33140</v>
      </c>
      <c r="B19019" s="2" t="str">
        <f>"46371"</f>
        <v>46371</v>
      </c>
      <c r="C19019" s="1">
        <v>3.2031524326011397E-2</v>
      </c>
      <c r="D19019" s="1">
        <v>1.5991471215351799E-2</v>
      </c>
      <c r="E19019" s="1">
        <v>4.3076923076922997E-3</v>
      </c>
      <c r="F19019" s="1">
        <v>3.0173555324069901E-2</v>
      </c>
    </row>
    <row r="19020" spans="1:6" x14ac:dyDescent="0.25">
      <c r="A19020" s="2" t="str">
        <f t="shared" si="682"/>
        <v>33140</v>
      </c>
      <c r="B19020" s="2" t="str">
        <f>"46365"</f>
        <v>46365</v>
      </c>
      <c r="C19020" s="1">
        <v>8.0566501502087294E-3</v>
      </c>
      <c r="D19020" s="1">
        <v>1.06609808102345E-3</v>
      </c>
      <c r="E19020" s="1">
        <v>1.84615384615384E-3</v>
      </c>
      <c r="F19020" s="1">
        <v>7.41538515863627E-3</v>
      </c>
    </row>
    <row r="19021" spans="1:6" x14ac:dyDescent="0.25">
      <c r="A19021" s="2" t="str">
        <f t="shared" si="682"/>
        <v>33140</v>
      </c>
      <c r="B19021" s="2" t="str">
        <f>"46360"</f>
        <v>46360</v>
      </c>
      <c r="C19021" s="1">
        <v>0.42304240958214601</v>
      </c>
      <c r="D19021" s="1">
        <v>0.53171641791044699</v>
      </c>
      <c r="E19021" s="1">
        <v>0.58092307692307599</v>
      </c>
      <c r="F19021" s="1">
        <v>0.43477109412242398</v>
      </c>
    </row>
    <row r="19022" spans="1:6" x14ac:dyDescent="0.25">
      <c r="A19022" s="2" t="str">
        <f t="shared" si="682"/>
        <v>33140</v>
      </c>
      <c r="B19022" s="2" t="str">
        <f>"46350"</f>
        <v>46350</v>
      </c>
      <c r="C19022" s="1">
        <v>0.38480745971674901</v>
      </c>
      <c r="D19022" s="1">
        <v>0.39872068230277102</v>
      </c>
      <c r="E19022" s="1">
        <v>0.34830769230769199</v>
      </c>
      <c r="F19022" s="1">
        <v>0.38468193294373099</v>
      </c>
    </row>
    <row r="19023" spans="1:6" x14ac:dyDescent="0.25">
      <c r="A19023" s="2" t="str">
        <f t="shared" si="682"/>
        <v>33140</v>
      </c>
      <c r="B19023" s="2" t="str">
        <f>"46390"</f>
        <v>46390</v>
      </c>
      <c r="C19023" s="1">
        <v>2.05415317389099E-2</v>
      </c>
      <c r="D19023" s="1">
        <v>1.25266524520255E-2</v>
      </c>
      <c r="E19023" s="1">
        <v>7.3846153846153801E-3</v>
      </c>
      <c r="F19023" s="1">
        <v>1.9633114991436901E-2</v>
      </c>
    </row>
    <row r="19024" spans="1:6" x14ac:dyDescent="0.25">
      <c r="A19024" s="2" t="str">
        <f t="shared" si="682"/>
        <v>33140</v>
      </c>
      <c r="B19024" s="2" t="str">
        <f>"46348"</f>
        <v>46348</v>
      </c>
      <c r="C19024" s="1">
        <v>8.8954781319495902E-3</v>
      </c>
      <c r="D19024" s="1">
        <v>3.1982942430703598E-3</v>
      </c>
      <c r="E19024" s="1">
        <v>3.69230769230769E-3</v>
      </c>
      <c r="F19024" s="1">
        <v>8.36879182188951E-3</v>
      </c>
    </row>
    <row r="19025" spans="1:6" x14ac:dyDescent="0.25">
      <c r="A19025" s="2" t="str">
        <f t="shared" si="682"/>
        <v>33140</v>
      </c>
      <c r="B19025" s="2" t="str">
        <f>"46552"</f>
        <v>46552</v>
      </c>
      <c r="C19025" s="1">
        <v>2.3701767391049899E-2</v>
      </c>
      <c r="D19025" s="1">
        <v>9.0618336886993597E-3</v>
      </c>
      <c r="E19025" s="1">
        <v>1.84615384615384E-3</v>
      </c>
      <c r="F19025" s="1">
        <v>2.2104910044315699E-2</v>
      </c>
    </row>
    <row r="19026" spans="1:6" x14ac:dyDescent="0.25">
      <c r="A19026" s="2" t="str">
        <f t="shared" si="682"/>
        <v>33140</v>
      </c>
      <c r="B19026" s="2" t="str">
        <f>"46340"</f>
        <v>46340</v>
      </c>
      <c r="C19026" s="1">
        <v>8.6223713471967507E-3</v>
      </c>
      <c r="D19026" s="1">
        <v>2.3987206823027699E-3</v>
      </c>
      <c r="E19026" s="1">
        <v>6.1538461538461497E-4</v>
      </c>
      <c r="F19026" s="1">
        <v>7.9803668850085604E-3</v>
      </c>
    </row>
    <row r="19027" spans="1:6" x14ac:dyDescent="0.25">
      <c r="A19027" s="2" t="str">
        <f t="shared" si="682"/>
        <v>33140</v>
      </c>
      <c r="B19027" s="2" t="str">
        <f>"46574"</f>
        <v>46574</v>
      </c>
      <c r="C19027" s="1">
        <v>1.6308376575240899E-2</v>
      </c>
      <c r="D19027" s="1">
        <v>4.7974413646055397E-3</v>
      </c>
      <c r="E19027" s="1">
        <v>6.1538461538461497E-4</v>
      </c>
      <c r="F19027" s="1">
        <v>1.50956055015095E-2</v>
      </c>
    </row>
    <row r="19028" spans="1:6" x14ac:dyDescent="0.25">
      <c r="A19028" s="2" t="str">
        <f t="shared" si="682"/>
        <v>33140</v>
      </c>
      <c r="B19028" s="2" t="str">
        <f>"46382"</f>
        <v>46382</v>
      </c>
      <c r="C19028" s="1">
        <v>1.5957239280558599E-2</v>
      </c>
      <c r="D19028" s="1">
        <v>1.06609808102345E-3</v>
      </c>
      <c r="E19028" s="1">
        <v>4.3076923076922997E-3</v>
      </c>
      <c r="F19028" s="1">
        <v>1.4636557848831999E-2</v>
      </c>
    </row>
    <row r="19029" spans="1:6" x14ac:dyDescent="0.25">
      <c r="A19029" s="2" t="str">
        <f t="shared" si="682"/>
        <v>33140</v>
      </c>
      <c r="B19029" s="2" t="str">
        <f>"46554"</f>
        <v>46554</v>
      </c>
      <c r="C19029" s="1">
        <v>5.2670594202333101E-4</v>
      </c>
      <c r="D19029" s="1">
        <v>0</v>
      </c>
      <c r="E19029" s="1">
        <v>0</v>
      </c>
      <c r="F19029" s="1">
        <v>4.7670333162661699E-4</v>
      </c>
    </row>
    <row r="19030" spans="1:6" x14ac:dyDescent="0.25">
      <c r="A19030" s="2" t="str">
        <f t="shared" si="682"/>
        <v>33140</v>
      </c>
      <c r="B19030" s="2" t="str">
        <f>"46346"</f>
        <v>46346</v>
      </c>
      <c r="C19030" s="1">
        <v>9.6952908587257594E-3</v>
      </c>
      <c r="D19030" s="1">
        <v>0</v>
      </c>
      <c r="E19030" s="1">
        <v>6.1538461538461497E-4</v>
      </c>
      <c r="F19030" s="1">
        <v>8.7925281166687207E-3</v>
      </c>
    </row>
    <row r="19031" spans="1:6" x14ac:dyDescent="0.25">
      <c r="A19031" s="2" t="str">
        <f t="shared" si="682"/>
        <v>33140</v>
      </c>
      <c r="B19031" s="2" t="str">
        <f>"46345"</f>
        <v>46345</v>
      </c>
      <c r="C19031" s="1">
        <v>0</v>
      </c>
      <c r="D19031" s="1">
        <v>0</v>
      </c>
      <c r="E19031" s="1">
        <v>1.2307692307692299E-3</v>
      </c>
      <c r="F19031" s="1">
        <v>3.5311357898267901E-5</v>
      </c>
    </row>
    <row r="19032" spans="1:6" x14ac:dyDescent="0.25">
      <c r="A19032" s="2" t="str">
        <f t="shared" si="682"/>
        <v>33140</v>
      </c>
      <c r="B19032" s="2" t="str">
        <f>"46383"</f>
        <v>46383</v>
      </c>
      <c r="C19032" s="1">
        <v>3.31629667199875E-4</v>
      </c>
      <c r="D19032" s="1">
        <v>0</v>
      </c>
      <c r="E19032" s="1">
        <v>0</v>
      </c>
      <c r="F19032" s="1">
        <v>3.0014654213527699E-4</v>
      </c>
    </row>
    <row r="19033" spans="1:6" x14ac:dyDescent="0.25">
      <c r="A19033" s="2" t="str">
        <f t="shared" ref="A19033:A19051" si="683">"28340"</f>
        <v>28340</v>
      </c>
      <c r="B19033" s="2" t="str">
        <f>"46723"</f>
        <v>46723</v>
      </c>
      <c r="C19033" s="1">
        <v>1.9759575607144499E-2</v>
      </c>
      <c r="D19033" s="1">
        <v>5.9084194977843396E-3</v>
      </c>
      <c r="E19033" s="1">
        <v>0</v>
      </c>
      <c r="F19033" s="1">
        <v>1.8493701420530601E-2</v>
      </c>
    </row>
    <row r="19034" spans="1:6" x14ac:dyDescent="0.25">
      <c r="A19034" s="2" t="str">
        <f t="shared" si="683"/>
        <v>28340</v>
      </c>
      <c r="B19034" s="2" t="str">
        <f>"46795"</f>
        <v>46795</v>
      </c>
      <c r="C19034" s="1">
        <v>1.7618143767946601E-2</v>
      </c>
      <c r="D19034" s="1">
        <v>5.9084194977843396E-3</v>
      </c>
      <c r="E19034" s="1">
        <v>8.2474226804123696E-3</v>
      </c>
      <c r="F19034" s="1">
        <v>1.6706870365406901E-2</v>
      </c>
    </row>
    <row r="19035" spans="1:6" x14ac:dyDescent="0.25">
      <c r="A19035" s="2" t="str">
        <f t="shared" si="683"/>
        <v>28340</v>
      </c>
      <c r="B19035" s="2" t="str">
        <f>"46543"</f>
        <v>46543</v>
      </c>
      <c r="C19035" s="1">
        <v>2.9201343261789998E-4</v>
      </c>
      <c r="D19035" s="1">
        <v>0</v>
      </c>
      <c r="E19035" s="1">
        <v>0</v>
      </c>
      <c r="F19035" s="1">
        <v>2.6802465826856E-4</v>
      </c>
    </row>
    <row r="19036" spans="1:6" x14ac:dyDescent="0.25">
      <c r="A19036" s="2" t="str">
        <f t="shared" si="683"/>
        <v>28340</v>
      </c>
      <c r="B19036" s="2" t="str">
        <f>"46725"</f>
        <v>46725</v>
      </c>
      <c r="C19036" s="1">
        <v>2.0294933566944E-2</v>
      </c>
      <c r="D19036" s="1">
        <v>4.4313146233382504E-3</v>
      </c>
      <c r="E19036" s="1">
        <v>4.1237113402061796E-3</v>
      </c>
      <c r="F19036" s="1">
        <v>1.89850799606897E-2</v>
      </c>
    </row>
    <row r="19037" spans="1:6" x14ac:dyDescent="0.25">
      <c r="A19037" s="2" t="str">
        <f t="shared" si="683"/>
        <v>28340</v>
      </c>
      <c r="B19037" s="2" t="str">
        <f>"46764"</f>
        <v>46764</v>
      </c>
      <c r="C19037" s="1">
        <v>1.9467562174526601E-3</v>
      </c>
      <c r="D19037" s="1">
        <v>1.4771048744460799E-3</v>
      </c>
      <c r="E19037" s="1">
        <v>0</v>
      </c>
      <c r="F19037" s="1">
        <v>1.87617260787992E-3</v>
      </c>
    </row>
    <row r="19038" spans="1:6" x14ac:dyDescent="0.25">
      <c r="A19038" s="2" t="str">
        <f t="shared" si="683"/>
        <v>28340</v>
      </c>
      <c r="B19038" s="2" t="str">
        <f>"46767"</f>
        <v>46767</v>
      </c>
      <c r="C19038" s="1">
        <v>0.143378595415389</v>
      </c>
      <c r="D19038" s="1">
        <v>0.212703101920236</v>
      </c>
      <c r="E19038" s="1">
        <v>0.22474226804123701</v>
      </c>
      <c r="F19038" s="1">
        <v>0.14933440543196599</v>
      </c>
    </row>
    <row r="19039" spans="1:6" x14ac:dyDescent="0.25">
      <c r="A19039" s="2" t="str">
        <f t="shared" si="683"/>
        <v>28340</v>
      </c>
      <c r="B19039" s="2" t="str">
        <f>"46562"</f>
        <v>46562</v>
      </c>
      <c r="C19039" s="1">
        <v>2.2387696500705601E-3</v>
      </c>
      <c r="D19039" s="1">
        <v>1.4771048744460799E-3</v>
      </c>
      <c r="E19039" s="1">
        <v>4.1237113402061796E-3</v>
      </c>
      <c r="F19039" s="1">
        <v>2.23353881890467E-3</v>
      </c>
    </row>
    <row r="19040" spans="1:6" x14ac:dyDescent="0.25">
      <c r="A19040" s="2" t="str">
        <f t="shared" si="683"/>
        <v>28340</v>
      </c>
      <c r="B19040" s="2" t="str">
        <f>"46796"</f>
        <v>46796</v>
      </c>
      <c r="C19040" s="1">
        <v>3.8935124349053299E-4</v>
      </c>
      <c r="D19040" s="1">
        <v>0</v>
      </c>
      <c r="E19040" s="1">
        <v>4.1237113402061796E-3</v>
      </c>
      <c r="F19040" s="1">
        <v>4.4670776378093402E-4</v>
      </c>
    </row>
    <row r="19041" spans="1:6" x14ac:dyDescent="0.25">
      <c r="A19041" s="2" t="str">
        <f t="shared" si="683"/>
        <v>28340</v>
      </c>
      <c r="B19041" s="2" t="str">
        <f>"46794"</f>
        <v>46794</v>
      </c>
      <c r="C19041" s="1">
        <v>3.07100793303158E-2</v>
      </c>
      <c r="D19041" s="1">
        <v>8.8626292466765094E-3</v>
      </c>
      <c r="E19041" s="1">
        <v>6.1855670103092703E-3</v>
      </c>
      <c r="F19041" s="1">
        <v>2.8857321540248299E-2</v>
      </c>
    </row>
    <row r="19042" spans="1:6" x14ac:dyDescent="0.25">
      <c r="A19042" s="2" t="str">
        <f t="shared" si="683"/>
        <v>28340</v>
      </c>
      <c r="B19042" s="2" t="str">
        <f>"46763"</f>
        <v>46763</v>
      </c>
      <c r="C19042" s="1">
        <v>3.09534238574974E-2</v>
      </c>
      <c r="D19042" s="1">
        <v>8.8626292466765094E-3</v>
      </c>
      <c r="E19042" s="1">
        <v>1.85567010309278E-2</v>
      </c>
      <c r="F19042" s="1">
        <v>2.9348700080407301E-2</v>
      </c>
    </row>
    <row r="19043" spans="1:6" x14ac:dyDescent="0.25">
      <c r="A19043" s="2" t="str">
        <f t="shared" si="683"/>
        <v>28340</v>
      </c>
      <c r="B19043" s="2" t="str">
        <f>"46755"</f>
        <v>46755</v>
      </c>
      <c r="C19043" s="1">
        <v>0.33391736019856899</v>
      </c>
      <c r="D19043" s="1">
        <v>0.519940915805022</v>
      </c>
      <c r="E19043" s="1">
        <v>0.40824742268041198</v>
      </c>
      <c r="F19043" s="1">
        <v>0.34677923702313901</v>
      </c>
    </row>
    <row r="19044" spans="1:6" x14ac:dyDescent="0.25">
      <c r="A19044" s="2" t="str">
        <f t="shared" si="683"/>
        <v>28340</v>
      </c>
      <c r="B19044" s="2" t="str">
        <f>"46784"</f>
        <v>46784</v>
      </c>
      <c r="C19044" s="1">
        <v>6.5313671095536999E-2</v>
      </c>
      <c r="D19044" s="1">
        <v>1.32939438700147E-2</v>
      </c>
      <c r="E19044" s="1">
        <v>9.8969072164948393E-2</v>
      </c>
      <c r="F19044" s="1">
        <v>6.2896453140355496E-2</v>
      </c>
    </row>
    <row r="19045" spans="1:6" x14ac:dyDescent="0.25">
      <c r="A19045" s="2" t="str">
        <f t="shared" si="683"/>
        <v>28340</v>
      </c>
      <c r="B19045" s="2" t="str">
        <f>"46760"</f>
        <v>46760</v>
      </c>
      <c r="C19045" s="1">
        <v>2.9639363410716799E-2</v>
      </c>
      <c r="D19045" s="1">
        <v>8.8626292466765094E-3</v>
      </c>
      <c r="E19045" s="1">
        <v>2.4742268041237098E-2</v>
      </c>
      <c r="F19045" s="1">
        <v>2.82766014473331E-2</v>
      </c>
    </row>
    <row r="19046" spans="1:6" x14ac:dyDescent="0.25">
      <c r="A19046" s="2" t="str">
        <f t="shared" si="683"/>
        <v>28340</v>
      </c>
      <c r="B19046" s="2" t="str">
        <f>"46730"</f>
        <v>46730</v>
      </c>
      <c r="C19046" s="1">
        <v>2.4334452718158299E-4</v>
      </c>
      <c r="D19046" s="1">
        <v>0</v>
      </c>
      <c r="E19046" s="1">
        <v>0</v>
      </c>
      <c r="F19046" s="1">
        <v>2.2335388189046701E-4</v>
      </c>
    </row>
    <row r="19047" spans="1:6" x14ac:dyDescent="0.25">
      <c r="A19047" s="2" t="str">
        <f t="shared" si="683"/>
        <v>28340</v>
      </c>
      <c r="B19047" s="2" t="str">
        <f>"46710"</f>
        <v>46710</v>
      </c>
      <c r="C19047" s="1">
        <v>9.4953034506253906E-2</v>
      </c>
      <c r="D19047" s="1">
        <v>4.6528803545051602E-2</v>
      </c>
      <c r="E19047" s="1">
        <v>3.5051546391752501E-2</v>
      </c>
      <c r="F19047" s="1">
        <v>9.0726346823907705E-2</v>
      </c>
    </row>
    <row r="19048" spans="1:6" x14ac:dyDescent="0.25">
      <c r="A19048" s="2" t="str">
        <f t="shared" si="683"/>
        <v>28340</v>
      </c>
      <c r="B19048" s="2" t="str">
        <f>"46571"</f>
        <v>46571</v>
      </c>
      <c r="C19048" s="1">
        <v>6.3269577067211701E-4</v>
      </c>
      <c r="D19048" s="1">
        <v>0</v>
      </c>
      <c r="E19048" s="1">
        <v>0</v>
      </c>
      <c r="F19048" s="1">
        <v>5.80720092915214E-4</v>
      </c>
    </row>
    <row r="19049" spans="1:6" x14ac:dyDescent="0.25">
      <c r="A19049" s="2" t="str">
        <f t="shared" si="683"/>
        <v>28340</v>
      </c>
      <c r="B19049" s="2" t="str">
        <f>"46748"</f>
        <v>46748</v>
      </c>
      <c r="C19049" s="1">
        <v>1.55740497396213E-3</v>
      </c>
      <c r="D19049" s="1">
        <v>0</v>
      </c>
      <c r="E19049" s="1">
        <v>0</v>
      </c>
      <c r="F19049" s="1">
        <v>1.42946484409899E-3</v>
      </c>
    </row>
    <row r="19050" spans="1:6" x14ac:dyDescent="0.25">
      <c r="A19050" s="2" t="str">
        <f t="shared" si="683"/>
        <v>28340</v>
      </c>
      <c r="B19050" s="2" t="str">
        <f>"46701"</f>
        <v>46701</v>
      </c>
      <c r="C19050" s="1">
        <v>0.163868204604078</v>
      </c>
      <c r="D19050" s="1">
        <v>0.15288035450516901</v>
      </c>
      <c r="E19050" s="1">
        <v>0.14226804123711301</v>
      </c>
      <c r="F19050" s="1">
        <v>0.16273563834539401</v>
      </c>
    </row>
    <row r="19051" spans="1:6" x14ac:dyDescent="0.25">
      <c r="A19051" s="2" t="str">
        <f t="shared" si="683"/>
        <v>28340</v>
      </c>
      <c r="B19051" s="2" t="str">
        <f>"46732"</f>
        <v>46732</v>
      </c>
      <c r="C19051" s="1">
        <v>4.2293278824159203E-2</v>
      </c>
      <c r="D19051" s="1">
        <v>8.8626292466765094E-3</v>
      </c>
      <c r="E19051" s="1">
        <v>2.06185567010309E-2</v>
      </c>
      <c r="F19051" s="1">
        <v>3.9801661752881197E-2</v>
      </c>
    </row>
    <row r="19052" spans="1:6" x14ac:dyDescent="0.25">
      <c r="A19052" s="2" t="str">
        <f t="shared" ref="A19052:A19066" si="684">"12140"</f>
        <v>12140</v>
      </c>
      <c r="B19052" s="2" t="str">
        <f>"46721"</f>
        <v>46721</v>
      </c>
      <c r="C19052" s="1">
        <v>0.114964042951433</v>
      </c>
      <c r="D19052" s="1">
        <v>9.5525997581620295E-2</v>
      </c>
      <c r="E19052" s="1">
        <v>7.4340527577937604E-2</v>
      </c>
      <c r="F19052" s="1">
        <v>0.112769856523488</v>
      </c>
    </row>
    <row r="19053" spans="1:6" x14ac:dyDescent="0.25">
      <c r="A19053" s="2" t="str">
        <f t="shared" si="684"/>
        <v>12140</v>
      </c>
      <c r="B19053" s="2" t="str">
        <f>"46747"</f>
        <v>46747</v>
      </c>
      <c r="C19053" s="1">
        <v>6.6495911732834204E-3</v>
      </c>
      <c r="D19053" s="1">
        <v>6.0459492140265997E-4</v>
      </c>
      <c r="E19053" s="1">
        <v>9.5923261390887197E-3</v>
      </c>
      <c r="F19053" s="1">
        <v>6.2575425736378599E-3</v>
      </c>
    </row>
    <row r="19054" spans="1:6" x14ac:dyDescent="0.25">
      <c r="A19054" s="2" t="str">
        <f t="shared" si="684"/>
        <v>12140</v>
      </c>
      <c r="B19054" s="2" t="str">
        <f>"46710"</f>
        <v>46710</v>
      </c>
      <c r="C19054" s="1">
        <v>3.25091124027189E-3</v>
      </c>
      <c r="D19054" s="1">
        <v>0</v>
      </c>
      <c r="E19054" s="1">
        <v>0</v>
      </c>
      <c r="F19054" s="1">
        <v>2.9499843561435601E-3</v>
      </c>
    </row>
    <row r="19055" spans="1:6" x14ac:dyDescent="0.25">
      <c r="A19055" s="2" t="str">
        <f t="shared" si="684"/>
        <v>12140</v>
      </c>
      <c r="B19055" s="2" t="str">
        <f>"46793"</f>
        <v>46793</v>
      </c>
      <c r="C19055" s="1">
        <v>9.1124027189439405E-2</v>
      </c>
      <c r="D19055" s="1">
        <v>3.5671100362756898E-2</v>
      </c>
      <c r="E19055" s="1">
        <v>0.203836930455635</v>
      </c>
      <c r="F19055" s="1">
        <v>8.9125284941670699E-2</v>
      </c>
    </row>
    <row r="19056" spans="1:6" x14ac:dyDescent="0.25">
      <c r="A19056" s="2" t="str">
        <f t="shared" si="684"/>
        <v>12140</v>
      </c>
      <c r="B19056" s="2" t="str">
        <f>"46788"</f>
        <v>46788</v>
      </c>
      <c r="C19056" s="1">
        <v>2.5022165303910899E-2</v>
      </c>
      <c r="D19056" s="1">
        <v>3.0229746070133002E-3</v>
      </c>
      <c r="E19056" s="1">
        <v>2.3980815347721799E-3</v>
      </c>
      <c r="F19056" s="1">
        <v>2.2974120591784698E-2</v>
      </c>
    </row>
    <row r="19057" spans="1:6" x14ac:dyDescent="0.25">
      <c r="A19057" s="2" t="str">
        <f t="shared" si="684"/>
        <v>12140</v>
      </c>
      <c r="B19057" s="2" t="str">
        <f>"46743"</f>
        <v>46743</v>
      </c>
      <c r="C19057" s="1">
        <v>2.95537385479263E-4</v>
      </c>
      <c r="D19057" s="1">
        <v>0</v>
      </c>
      <c r="E19057" s="1">
        <v>0</v>
      </c>
      <c r="F19057" s="1">
        <v>2.6818039601305099E-4</v>
      </c>
    </row>
    <row r="19058" spans="1:6" x14ac:dyDescent="0.25">
      <c r="A19058" s="2" t="str">
        <f t="shared" si="684"/>
        <v>12140</v>
      </c>
      <c r="B19058" s="2" t="str">
        <f>"46742"</f>
        <v>46742</v>
      </c>
      <c r="C19058" s="1">
        <v>1.6944143434144399E-2</v>
      </c>
      <c r="D19058" s="1">
        <v>4.8367593712212798E-3</v>
      </c>
      <c r="E19058" s="1">
        <v>1.6786570743405199E-2</v>
      </c>
      <c r="F19058" s="1">
        <v>1.6046127028114199E-2</v>
      </c>
    </row>
    <row r="19059" spans="1:6" x14ac:dyDescent="0.25">
      <c r="A19059" s="2" t="str">
        <f t="shared" si="684"/>
        <v>12140</v>
      </c>
      <c r="B19059" s="2" t="str">
        <f>"46706"</f>
        <v>46706</v>
      </c>
      <c r="C19059" s="1">
        <v>0.47680031523987698</v>
      </c>
      <c r="D19059" s="1">
        <v>0.66989117291414702</v>
      </c>
      <c r="E19059" s="1">
        <v>0.37410071942445999</v>
      </c>
      <c r="F19059" s="1">
        <v>0.489161042327805</v>
      </c>
    </row>
    <row r="19060" spans="1:6" x14ac:dyDescent="0.25">
      <c r="A19060" s="2" t="str">
        <f t="shared" si="684"/>
        <v>12140</v>
      </c>
      <c r="B19060" s="2" t="str">
        <f>"46755"</f>
        <v>46755</v>
      </c>
      <c r="C19060" s="1">
        <v>2.6598364693133599E-3</v>
      </c>
      <c r="D19060" s="1">
        <v>1.2091898428053199E-3</v>
      </c>
      <c r="E19060" s="1">
        <v>0</v>
      </c>
      <c r="F19060" s="1">
        <v>2.5030170294551399E-3</v>
      </c>
    </row>
    <row r="19061" spans="1:6" x14ac:dyDescent="0.25">
      <c r="A19061" s="2" t="str">
        <f t="shared" si="684"/>
        <v>12140</v>
      </c>
      <c r="B19061" s="2" t="str">
        <f>"46738"</f>
        <v>46738</v>
      </c>
      <c r="C19061" s="1">
        <v>0.17047581519062099</v>
      </c>
      <c r="D19061" s="1">
        <v>0.14147521160822199</v>
      </c>
      <c r="E19061" s="1">
        <v>0.28057553956834502</v>
      </c>
      <c r="F19061" s="1">
        <v>0.17038394493362499</v>
      </c>
    </row>
    <row r="19062" spans="1:6" x14ac:dyDescent="0.25">
      <c r="A19062" s="2" t="str">
        <f t="shared" si="684"/>
        <v>12140</v>
      </c>
      <c r="B19062" s="2" t="str">
        <f>"46730"</f>
        <v>46730</v>
      </c>
      <c r="C19062" s="1">
        <v>3.0489606935277299E-2</v>
      </c>
      <c r="D19062" s="1">
        <v>1.0882708585247799E-2</v>
      </c>
      <c r="E19062" s="1">
        <v>2.3980815347721799E-3</v>
      </c>
      <c r="F19062" s="1">
        <v>2.8516515442721099E-2</v>
      </c>
    </row>
    <row r="19063" spans="1:6" x14ac:dyDescent="0.25">
      <c r="A19063" s="2" t="str">
        <f t="shared" si="684"/>
        <v>12140</v>
      </c>
      <c r="B19063" s="2" t="str">
        <f>"46705"</f>
        <v>46705</v>
      </c>
      <c r="C19063" s="1">
        <v>2.6696877154960101E-2</v>
      </c>
      <c r="D19063" s="1">
        <v>2.11608222490931E-2</v>
      </c>
      <c r="E19063" s="1">
        <v>2.6378896882494E-2</v>
      </c>
      <c r="F19063" s="1">
        <v>2.6281678809279001E-2</v>
      </c>
    </row>
    <row r="19064" spans="1:6" x14ac:dyDescent="0.25">
      <c r="A19064" s="2" t="str">
        <f t="shared" si="684"/>
        <v>12140</v>
      </c>
      <c r="B19064" s="2" t="str">
        <f>"46785"</f>
        <v>46785</v>
      </c>
      <c r="C19064" s="1">
        <v>2.9159688700620599E-2</v>
      </c>
      <c r="D19064" s="1">
        <v>6.0459492140266004E-3</v>
      </c>
      <c r="E19064" s="1">
        <v>9.5923261390887197E-3</v>
      </c>
      <c r="F19064" s="1">
        <v>2.7086219997318101E-2</v>
      </c>
    </row>
    <row r="19065" spans="1:6" x14ac:dyDescent="0.25">
      <c r="A19065" s="2" t="str">
        <f t="shared" si="684"/>
        <v>12140</v>
      </c>
      <c r="B19065" s="2" t="str">
        <f>"46763"</f>
        <v>46763</v>
      </c>
      <c r="C19065" s="1">
        <v>3.9897547039700497E-3</v>
      </c>
      <c r="D19065" s="1">
        <v>7.2551390568319201E-3</v>
      </c>
      <c r="E19065" s="1">
        <v>0</v>
      </c>
      <c r="F19065" s="1">
        <v>4.1567961382022898E-3</v>
      </c>
    </row>
    <row r="19066" spans="1:6" x14ac:dyDescent="0.25">
      <c r="A19066" s="2" t="str">
        <f t="shared" si="684"/>
        <v>12140</v>
      </c>
      <c r="B19066" s="2" t="str">
        <f>"46748"</f>
        <v>46748</v>
      </c>
      <c r="C19066" s="1">
        <v>1.4776869273963099E-3</v>
      </c>
      <c r="D19066" s="1">
        <v>2.4183796856106399E-3</v>
      </c>
      <c r="E19066" s="1">
        <v>0</v>
      </c>
      <c r="F19066" s="1">
        <v>1.51968891074062E-3</v>
      </c>
    </row>
    <row r="19067" spans="1:6" x14ac:dyDescent="0.25">
      <c r="A19067" s="2" t="str">
        <f t="shared" ref="A19067:A19078" si="685">"26540"</f>
        <v>26540</v>
      </c>
      <c r="B19067" s="2" t="str">
        <f>"46725"</f>
        <v>46725</v>
      </c>
      <c r="C19067" s="1">
        <v>1.75973721257625E-4</v>
      </c>
      <c r="D19067" s="1">
        <v>0</v>
      </c>
      <c r="E19067" s="1">
        <v>0</v>
      </c>
      <c r="F19067" s="1">
        <v>1.5944724953494499E-4</v>
      </c>
    </row>
    <row r="19068" spans="1:6" x14ac:dyDescent="0.25">
      <c r="A19068" s="2" t="str">
        <f t="shared" si="685"/>
        <v>26540</v>
      </c>
      <c r="B19068" s="2" t="str">
        <f>"46766"</f>
        <v>46766</v>
      </c>
      <c r="C19068" s="1">
        <v>1.1731581417175E-4</v>
      </c>
      <c r="D19068" s="1">
        <v>0</v>
      </c>
      <c r="E19068" s="1">
        <v>0</v>
      </c>
      <c r="F19068" s="1">
        <v>1.0629816635663E-4</v>
      </c>
    </row>
    <row r="19069" spans="1:6" x14ac:dyDescent="0.25">
      <c r="A19069" s="2" t="str">
        <f t="shared" si="685"/>
        <v>26540</v>
      </c>
      <c r="B19069" s="2" t="str">
        <f>"46792"</f>
        <v>46792</v>
      </c>
      <c r="C19069" s="1">
        <v>6.31745659314875E-2</v>
      </c>
      <c r="D19069" s="1">
        <v>3.8783269961977097E-2</v>
      </c>
      <c r="E19069" s="1">
        <v>0.106194690265486</v>
      </c>
      <c r="F19069" s="1">
        <v>6.2503321817698604E-2</v>
      </c>
    </row>
    <row r="19070" spans="1:6" x14ac:dyDescent="0.25">
      <c r="A19070" s="2" t="str">
        <f t="shared" si="685"/>
        <v>26540</v>
      </c>
      <c r="B19070" s="2" t="str">
        <f>"46952"</f>
        <v>46952</v>
      </c>
      <c r="C19070" s="1">
        <v>2.5222900046926299E-3</v>
      </c>
      <c r="D19070" s="1">
        <v>6.0836501901140603E-3</v>
      </c>
      <c r="E19070" s="1">
        <v>0</v>
      </c>
      <c r="F19070" s="1">
        <v>2.7106032420940698E-3</v>
      </c>
    </row>
    <row r="19071" spans="1:6" x14ac:dyDescent="0.25">
      <c r="A19071" s="2" t="str">
        <f t="shared" si="685"/>
        <v>26540</v>
      </c>
      <c r="B19071" s="2" t="str">
        <f>"46702"</f>
        <v>46702</v>
      </c>
      <c r="C19071" s="1">
        <v>5.8657907085875101E-2</v>
      </c>
      <c r="D19071" s="1">
        <v>1.74904942965779E-2</v>
      </c>
      <c r="E19071" s="1">
        <v>1.9911504424778698E-2</v>
      </c>
      <c r="F19071" s="1">
        <v>5.4849853840021202E-2</v>
      </c>
    </row>
    <row r="19072" spans="1:6" x14ac:dyDescent="0.25">
      <c r="A19072" s="2" t="str">
        <f t="shared" si="685"/>
        <v>26540</v>
      </c>
      <c r="B19072" s="2" t="str">
        <f>"46750"</f>
        <v>46750</v>
      </c>
      <c r="C19072" s="1">
        <v>0.73908962928202704</v>
      </c>
      <c r="D19072" s="1">
        <v>0.79467680608364999</v>
      </c>
      <c r="E19072" s="1">
        <v>0.79646017699115002</v>
      </c>
      <c r="F19072" s="1">
        <v>0.74435290991230396</v>
      </c>
    </row>
    <row r="19073" spans="1:6" x14ac:dyDescent="0.25">
      <c r="A19073" s="2" t="str">
        <f t="shared" si="685"/>
        <v>26540</v>
      </c>
      <c r="B19073" s="2" t="str">
        <f>"46991"</f>
        <v>46991</v>
      </c>
      <c r="C19073" s="1">
        <v>1.70107930549038E-3</v>
      </c>
      <c r="D19073" s="1">
        <v>0</v>
      </c>
      <c r="E19073" s="1">
        <v>0</v>
      </c>
      <c r="F19073" s="1">
        <v>1.5413234121711399E-3</v>
      </c>
    </row>
    <row r="19074" spans="1:6" x14ac:dyDescent="0.25">
      <c r="A19074" s="2" t="str">
        <f t="shared" si="685"/>
        <v>26540</v>
      </c>
      <c r="B19074" s="2" t="str">
        <f>"46783"</f>
        <v>46783</v>
      </c>
      <c r="C19074" s="1">
        <v>9.8310652275926697E-2</v>
      </c>
      <c r="D19074" s="1">
        <v>0.104942965779467</v>
      </c>
      <c r="E19074" s="1">
        <v>4.4247787610619399E-2</v>
      </c>
      <c r="F19074" s="1">
        <v>9.7475418549029996E-2</v>
      </c>
    </row>
    <row r="19075" spans="1:6" x14ac:dyDescent="0.25">
      <c r="A19075" s="2" t="str">
        <f t="shared" si="685"/>
        <v>26540</v>
      </c>
      <c r="B19075" s="2" t="str">
        <f>"46940"</f>
        <v>46940</v>
      </c>
      <c r="C19075" s="1">
        <v>7.0389488503050197E-3</v>
      </c>
      <c r="D19075" s="1">
        <v>1.5209125475285101E-3</v>
      </c>
      <c r="E19075" s="1">
        <v>0</v>
      </c>
      <c r="F19075" s="1">
        <v>6.4841881477544503E-3</v>
      </c>
    </row>
    <row r="19076" spans="1:6" x14ac:dyDescent="0.25">
      <c r="A19076" s="2" t="str">
        <f t="shared" si="685"/>
        <v>26540</v>
      </c>
      <c r="B19076" s="2" t="str">
        <f>"46787"</f>
        <v>46787</v>
      </c>
      <c r="C19076" s="1">
        <v>5.27921163772876E-4</v>
      </c>
      <c r="D19076" s="1">
        <v>0</v>
      </c>
      <c r="E19076" s="1">
        <v>0</v>
      </c>
      <c r="F19076" s="1">
        <v>4.7834174860483602E-4</v>
      </c>
    </row>
    <row r="19077" spans="1:6" x14ac:dyDescent="0.25">
      <c r="A19077" s="2" t="str">
        <f t="shared" si="685"/>
        <v>26540</v>
      </c>
      <c r="B19077" s="2" t="str">
        <f>"46770"</f>
        <v>46770</v>
      </c>
      <c r="C19077" s="1">
        <v>2.8683716564992901E-2</v>
      </c>
      <c r="D19077" s="1">
        <v>3.6501901140684398E-2</v>
      </c>
      <c r="E19077" s="1">
        <v>3.09734513274336E-2</v>
      </c>
      <c r="F19077" s="1">
        <v>2.9285144831251601E-2</v>
      </c>
    </row>
    <row r="19078" spans="1:6" x14ac:dyDescent="0.25">
      <c r="A19078" s="2" t="str">
        <f t="shared" si="685"/>
        <v>26540</v>
      </c>
      <c r="B19078" s="2" t="str">
        <f>"46713"</f>
        <v>46713</v>
      </c>
      <c r="C19078" s="1">
        <v>0</v>
      </c>
      <c r="D19078" s="1">
        <v>0</v>
      </c>
      <c r="E19078" s="1">
        <v>2.21238938053097E-3</v>
      </c>
      <c r="F19078" s="1">
        <v>5.3149083178315102E-5</v>
      </c>
    </row>
    <row r="19079" spans="1:6" x14ac:dyDescent="0.25">
      <c r="A19079" s="2" t="str">
        <f t="shared" ref="A19079:A19142" si="686">"19820"</f>
        <v>19820</v>
      </c>
      <c r="B19079" s="2" t="str">
        <f>"49285"</f>
        <v>49285</v>
      </c>
      <c r="C19079" s="1">
        <v>4.7922650885444297E-5</v>
      </c>
      <c r="D19079" s="1">
        <v>1.09515230830727E-5</v>
      </c>
      <c r="E19079" s="1">
        <v>0</v>
      </c>
      <c r="F19079" s="1">
        <v>4.3473743380579101E-5</v>
      </c>
    </row>
    <row r="19080" spans="1:6" x14ac:dyDescent="0.25">
      <c r="A19080" s="2" t="str">
        <f t="shared" si="686"/>
        <v>19820</v>
      </c>
      <c r="B19080" s="2" t="str">
        <f>"48872"</f>
        <v>48872</v>
      </c>
      <c r="C19080" s="1">
        <v>3.17854317097334E-5</v>
      </c>
      <c r="D19080" s="1">
        <v>0</v>
      </c>
      <c r="E19080" s="1">
        <v>0</v>
      </c>
      <c r="F19080" s="1">
        <v>2.82579331973764E-5</v>
      </c>
    </row>
    <row r="19081" spans="1:6" x14ac:dyDescent="0.25">
      <c r="A19081" s="2" t="str">
        <f t="shared" si="686"/>
        <v>19820</v>
      </c>
      <c r="B19081" s="2" t="str">
        <f>"48855"</f>
        <v>48855</v>
      </c>
      <c r="C19081" s="1">
        <v>3.35751960183123E-3</v>
      </c>
      <c r="D19081" s="1">
        <v>1.21014330067954E-3</v>
      </c>
      <c r="E19081" s="1">
        <v>4.5420761417127702E-4</v>
      </c>
      <c r="F19081" s="1">
        <v>3.09533052869723E-3</v>
      </c>
    </row>
    <row r="19082" spans="1:6" x14ac:dyDescent="0.25">
      <c r="A19082" s="2" t="str">
        <f t="shared" si="686"/>
        <v>19820</v>
      </c>
      <c r="B19082" s="2" t="str">
        <f>"48440"</f>
        <v>48440</v>
      </c>
      <c r="C19082" s="1">
        <v>8.6065168937124499E-5</v>
      </c>
      <c r="D19082" s="1">
        <v>5.4757615415363797E-6</v>
      </c>
      <c r="E19082" s="1">
        <v>0</v>
      </c>
      <c r="F19082" s="1">
        <v>7.6948525783624995E-5</v>
      </c>
    </row>
    <row r="19083" spans="1:6" x14ac:dyDescent="0.25">
      <c r="A19083" s="2" t="str">
        <f t="shared" si="686"/>
        <v>19820</v>
      </c>
      <c r="B19083" s="2" t="str">
        <f>"48421"</f>
        <v>48421</v>
      </c>
      <c r="C19083" s="1">
        <v>1.40589409485359E-3</v>
      </c>
      <c r="D19083" s="1">
        <v>3.06642646326037E-4</v>
      </c>
      <c r="E19083" s="1">
        <v>2.3398574063368801E-4</v>
      </c>
      <c r="F19083" s="1">
        <v>1.28160595485947E-3</v>
      </c>
    </row>
    <row r="19084" spans="1:6" x14ac:dyDescent="0.25">
      <c r="A19084" s="2" t="str">
        <f t="shared" si="686"/>
        <v>19820</v>
      </c>
      <c r="B19084" s="2" t="str">
        <f>"48331"</f>
        <v>48331</v>
      </c>
      <c r="C19084" s="1">
        <v>4.3692743434841303E-3</v>
      </c>
      <c r="D19084" s="1">
        <v>3.31831149417105E-3</v>
      </c>
      <c r="E19084" s="1">
        <v>3.0693423624301398E-3</v>
      </c>
      <c r="F19084" s="1">
        <v>4.2447763036797398E-3</v>
      </c>
    </row>
    <row r="19085" spans="1:6" x14ac:dyDescent="0.25">
      <c r="A19085" s="2" t="str">
        <f t="shared" si="686"/>
        <v>19820</v>
      </c>
      <c r="B19085" s="2" t="str">
        <f>"48393"</f>
        <v>48393</v>
      </c>
      <c r="C19085" s="1">
        <v>4.2113251982188399E-3</v>
      </c>
      <c r="D19085" s="1">
        <v>8.3286333046768395E-3</v>
      </c>
      <c r="E19085" s="1">
        <v>8.6024169350620693E-3</v>
      </c>
      <c r="F19085" s="1">
        <v>4.6769053128827001E-3</v>
      </c>
    </row>
    <row r="19086" spans="1:6" x14ac:dyDescent="0.25">
      <c r="A19086" s="2" t="str">
        <f t="shared" si="686"/>
        <v>19820</v>
      </c>
      <c r="B19086" s="2" t="str">
        <f>"48366"</f>
        <v>48366</v>
      </c>
      <c r="C19086" s="1">
        <v>0</v>
      </c>
      <c r="D19086" s="1">
        <v>0</v>
      </c>
      <c r="E19086" s="1">
        <v>1.37638670960993E-5</v>
      </c>
      <c r="F19086" s="1">
        <v>4.3473743380579101E-7</v>
      </c>
    </row>
    <row r="19087" spans="1:6" x14ac:dyDescent="0.25">
      <c r="A19087" s="2" t="str">
        <f t="shared" si="686"/>
        <v>19820</v>
      </c>
      <c r="B19087" s="2" t="str">
        <f>"48360"</f>
        <v>48360</v>
      </c>
      <c r="C19087" s="1">
        <v>2.5408785102119199E-3</v>
      </c>
      <c r="D19087" s="1">
        <v>1.5386889931717201E-3</v>
      </c>
      <c r="E19087" s="1">
        <v>2.2848019379524799E-3</v>
      </c>
      <c r="F19087" s="1">
        <v>2.4532233389660801E-3</v>
      </c>
    </row>
    <row r="19088" spans="1:6" x14ac:dyDescent="0.25">
      <c r="A19088" s="2" t="str">
        <f t="shared" si="686"/>
        <v>19820</v>
      </c>
      <c r="B19088" s="2" t="str">
        <f>"48357"</f>
        <v>48357</v>
      </c>
      <c r="C19088" s="1">
        <v>2.4122697634479202E-3</v>
      </c>
      <c r="D19088" s="1">
        <v>3.29093268646336E-3</v>
      </c>
      <c r="E19088" s="1">
        <v>7.5701269028546198E-4</v>
      </c>
      <c r="F19088" s="1">
        <v>2.4297475175405598E-3</v>
      </c>
    </row>
    <row r="19089" spans="1:6" x14ac:dyDescent="0.25">
      <c r="A19089" s="2" t="str">
        <f t="shared" si="686"/>
        <v>19820</v>
      </c>
      <c r="B19089" s="2" t="str">
        <f>"48356"</f>
        <v>48356</v>
      </c>
      <c r="C19089" s="1">
        <v>1.74086364441001E-3</v>
      </c>
      <c r="D19089" s="1">
        <v>8.6517032356274903E-4</v>
      </c>
      <c r="E19089" s="1">
        <v>7.0195722190106503E-4</v>
      </c>
      <c r="F19089" s="1">
        <v>1.6385253880140201E-3</v>
      </c>
    </row>
    <row r="19090" spans="1:6" x14ac:dyDescent="0.25">
      <c r="A19090" s="2" t="str">
        <f t="shared" si="686"/>
        <v>19820</v>
      </c>
      <c r="B19090" s="2" t="str">
        <f>"48377"</f>
        <v>48377</v>
      </c>
      <c r="C19090" s="1">
        <v>5.1267456314591604E-3</v>
      </c>
      <c r="D19090" s="1">
        <v>5.4155281645794796E-3</v>
      </c>
      <c r="E19090" s="1">
        <v>9.6484708343656193E-3</v>
      </c>
      <c r="F19090" s="1">
        <v>5.2924935191516996E-3</v>
      </c>
    </row>
    <row r="19091" spans="1:6" x14ac:dyDescent="0.25">
      <c r="A19091" s="2" t="str">
        <f t="shared" si="686"/>
        <v>19820</v>
      </c>
      <c r="B19091" s="2" t="str">
        <f>"48321"</f>
        <v>48321</v>
      </c>
      <c r="C19091" s="1">
        <v>6.8509830500517799E-4</v>
      </c>
      <c r="D19091" s="1">
        <v>1.7084376009593499E-3</v>
      </c>
      <c r="E19091" s="1">
        <v>2.75277341921986E-5</v>
      </c>
      <c r="F19091" s="1">
        <v>7.4557469897693204E-4</v>
      </c>
    </row>
    <row r="19092" spans="1:6" x14ac:dyDescent="0.25">
      <c r="A19092" s="2" t="str">
        <f t="shared" si="686"/>
        <v>19820</v>
      </c>
      <c r="B19092" s="2" t="str">
        <f>"48347"</f>
        <v>48347</v>
      </c>
      <c r="C19092" s="1">
        <v>4.88517635046519E-4</v>
      </c>
      <c r="D19092" s="1">
        <v>2.2341107089468401E-3</v>
      </c>
      <c r="E19092" s="1">
        <v>2.75277341921986E-5</v>
      </c>
      <c r="F19092" s="1">
        <v>6.1254504423236E-4</v>
      </c>
    </row>
    <row r="19093" spans="1:6" x14ac:dyDescent="0.25">
      <c r="A19093" s="2" t="str">
        <f t="shared" si="686"/>
        <v>19820</v>
      </c>
      <c r="B19093" s="2" t="str">
        <f>"48341"</f>
        <v>48341</v>
      </c>
      <c r="C19093" s="1">
        <v>3.9149871733557802E-3</v>
      </c>
      <c r="D19093" s="1">
        <v>5.8590648494439299E-3</v>
      </c>
      <c r="E19093" s="1">
        <v>4.1842155972141902E-3</v>
      </c>
      <c r="F19093" s="1">
        <v>4.0778371290983197E-3</v>
      </c>
    </row>
    <row r="19094" spans="1:6" x14ac:dyDescent="0.25">
      <c r="A19094" s="2" t="str">
        <f t="shared" si="686"/>
        <v>19820</v>
      </c>
      <c r="B19094" s="2" t="str">
        <f>"48230"</f>
        <v>48230</v>
      </c>
      <c r="C19094" s="1">
        <v>3.6538576266942802E-3</v>
      </c>
      <c r="D19094" s="1">
        <v>2.4695684552329101E-3</v>
      </c>
      <c r="E19094" s="1">
        <v>7.3774327635092304E-3</v>
      </c>
      <c r="F19094" s="1">
        <v>3.6774439525631901E-3</v>
      </c>
    </row>
    <row r="19095" spans="1:6" x14ac:dyDescent="0.25">
      <c r="A19095" s="2" t="str">
        <f t="shared" si="686"/>
        <v>19820</v>
      </c>
      <c r="B19095" s="2" t="str">
        <f>"48228"</f>
        <v>48228</v>
      </c>
      <c r="C19095" s="1">
        <v>1.21562161057271E-2</v>
      </c>
      <c r="D19095" s="1">
        <v>7.5948812581109696E-3</v>
      </c>
      <c r="E19095" s="1">
        <v>1.04743028601315E-2</v>
      </c>
      <c r="F19095" s="1">
        <v>1.1740953874793E-2</v>
      </c>
    </row>
    <row r="19096" spans="1:6" x14ac:dyDescent="0.25">
      <c r="A19096" s="2" t="str">
        <f t="shared" si="686"/>
        <v>19820</v>
      </c>
      <c r="B19096" s="2" t="str">
        <f>"48202"</f>
        <v>48202</v>
      </c>
      <c r="C19096" s="1">
        <v>5.4030343840130004E-3</v>
      </c>
      <c r="D19096" s="1">
        <v>8.2136423123045799E-3</v>
      </c>
      <c r="E19096" s="1">
        <v>8.49230599829328E-3</v>
      </c>
      <c r="F19096" s="1">
        <v>5.7237530534870497E-3</v>
      </c>
    </row>
    <row r="19097" spans="1:6" x14ac:dyDescent="0.25">
      <c r="A19097" s="2" t="str">
        <f t="shared" si="686"/>
        <v>19820</v>
      </c>
      <c r="B19097" s="2" t="str">
        <f>"48169"</f>
        <v>48169</v>
      </c>
      <c r="C19097" s="1">
        <v>4.3590052040086797E-3</v>
      </c>
      <c r="D19097" s="1">
        <v>2.2067319012391601E-3</v>
      </c>
      <c r="E19097" s="1">
        <v>8.1206815866985904E-4</v>
      </c>
      <c r="F19097" s="1">
        <v>4.0760981793631001E-3</v>
      </c>
    </row>
    <row r="19098" spans="1:6" x14ac:dyDescent="0.25">
      <c r="A19098" s="2" t="str">
        <f t="shared" si="686"/>
        <v>19820</v>
      </c>
      <c r="B19098" s="2" t="str">
        <f>"48167"</f>
        <v>48167</v>
      </c>
      <c r="C19098" s="1">
        <v>5.24410722546433E-3</v>
      </c>
      <c r="D19098" s="1">
        <v>5.6783647185732304E-3</v>
      </c>
      <c r="E19098" s="1">
        <v>7.2122663583560403E-3</v>
      </c>
      <c r="F19098" s="1">
        <v>5.3407493743041403E-3</v>
      </c>
    </row>
    <row r="19099" spans="1:6" x14ac:dyDescent="0.25">
      <c r="A19099" s="2" t="str">
        <f t="shared" si="686"/>
        <v>19820</v>
      </c>
      <c r="B19099" s="2" t="str">
        <f>"48195"</f>
        <v>48195</v>
      </c>
      <c r="C19099" s="1">
        <v>7.64610784943681E-3</v>
      </c>
      <c r="D19099" s="1">
        <v>6.2642712035176204E-3</v>
      </c>
      <c r="E19099" s="1">
        <v>9.1392077518099406E-3</v>
      </c>
      <c r="F19099" s="1">
        <v>7.5835597953082196E-3</v>
      </c>
    </row>
    <row r="19100" spans="1:6" x14ac:dyDescent="0.25">
      <c r="A19100" s="2" t="str">
        <f t="shared" si="686"/>
        <v>19820</v>
      </c>
      <c r="B19100" s="2" t="str">
        <f>"48173"</f>
        <v>48173</v>
      </c>
      <c r="C19100" s="1">
        <v>2.7325691137536998E-3</v>
      </c>
      <c r="D19100" s="1">
        <v>9.9658860055962207E-4</v>
      </c>
      <c r="E19100" s="1">
        <v>2.16092713408759E-3</v>
      </c>
      <c r="F19100" s="1">
        <v>2.57668877016692E-3</v>
      </c>
    </row>
    <row r="19101" spans="1:6" x14ac:dyDescent="0.25">
      <c r="A19101" s="2" t="str">
        <f t="shared" si="686"/>
        <v>19820</v>
      </c>
      <c r="B19101" s="2" t="str">
        <f>"48101"</f>
        <v>48101</v>
      </c>
      <c r="C19101" s="1">
        <v>6.3218778637451397E-3</v>
      </c>
      <c r="D19101" s="1">
        <v>5.6619374339486198E-3</v>
      </c>
      <c r="E19101" s="1">
        <v>3.3170919701599301E-3</v>
      </c>
      <c r="F19101" s="1">
        <v>6.1745757723436498E-3</v>
      </c>
    </row>
    <row r="19102" spans="1:6" x14ac:dyDescent="0.25">
      <c r="A19102" s="2" t="str">
        <f t="shared" si="686"/>
        <v>19820</v>
      </c>
      <c r="B19102" s="2" t="str">
        <f>"48153"</f>
        <v>48153</v>
      </c>
      <c r="C19102" s="1">
        <v>5.8925300323428901E-4</v>
      </c>
      <c r="D19102" s="1">
        <v>2.3107713705283498E-3</v>
      </c>
      <c r="E19102" s="1">
        <v>2.75277341921986E-5</v>
      </c>
      <c r="F19102" s="1">
        <v>7.0818727966963401E-4</v>
      </c>
    </row>
    <row r="19103" spans="1:6" x14ac:dyDescent="0.25">
      <c r="A19103" s="2" t="str">
        <f t="shared" si="686"/>
        <v>19820</v>
      </c>
      <c r="B19103" s="2" t="str">
        <f>"48128"</f>
        <v>48128</v>
      </c>
      <c r="C19103" s="1">
        <v>2.2641007510163999E-3</v>
      </c>
      <c r="D19103" s="1">
        <v>1.0568219775165201E-3</v>
      </c>
      <c r="E19103" s="1">
        <v>3.3033281030638299E-4</v>
      </c>
      <c r="F19103" s="1">
        <v>2.10717234165667E-3</v>
      </c>
    </row>
    <row r="19104" spans="1:6" x14ac:dyDescent="0.25">
      <c r="A19104" s="2" t="str">
        <f t="shared" si="686"/>
        <v>19820</v>
      </c>
      <c r="B19104" s="2" t="str">
        <f>"48126"</f>
        <v>48126</v>
      </c>
      <c r="C19104" s="1">
        <v>8.7419717334600803E-3</v>
      </c>
      <c r="D19104" s="1">
        <v>1.22821331376661E-2</v>
      </c>
      <c r="E19104" s="1">
        <v>1.5374239546342899E-2</v>
      </c>
      <c r="F19104" s="1">
        <v>9.2325188817335892E-3</v>
      </c>
    </row>
    <row r="19105" spans="1:6" x14ac:dyDescent="0.25">
      <c r="A19105" s="2" t="str">
        <f t="shared" si="686"/>
        <v>19820</v>
      </c>
      <c r="B19105" s="2" t="str">
        <f>"48143"</f>
        <v>48143</v>
      </c>
      <c r="C19105" s="1">
        <v>9.2911261920759399E-6</v>
      </c>
      <c r="D19105" s="1">
        <v>0</v>
      </c>
      <c r="E19105" s="1">
        <v>1.37638670960993E-5</v>
      </c>
      <c r="F19105" s="1">
        <v>8.6947486761158198E-6</v>
      </c>
    </row>
    <row r="19106" spans="1:6" x14ac:dyDescent="0.25">
      <c r="A19106" s="2" t="str">
        <f t="shared" si="686"/>
        <v>19820</v>
      </c>
      <c r="B19106" s="2" t="str">
        <f>"48122"</f>
        <v>48122</v>
      </c>
      <c r="C19106" s="1">
        <v>2.37559426532131E-3</v>
      </c>
      <c r="D19106" s="1">
        <v>1.5934466085870799E-3</v>
      </c>
      <c r="E19106" s="1">
        <v>3.0968700966223402E-3</v>
      </c>
      <c r="F19106" s="1">
        <v>2.3362789692723202E-3</v>
      </c>
    </row>
    <row r="19107" spans="1:6" x14ac:dyDescent="0.25">
      <c r="A19107" s="2" t="str">
        <f t="shared" si="686"/>
        <v>19820</v>
      </c>
      <c r="B19107" s="2" t="str">
        <f>"48120"</f>
        <v>48120</v>
      </c>
      <c r="C19107" s="1">
        <v>1.37264164321879E-3</v>
      </c>
      <c r="D19107" s="1">
        <v>1.76319521637471E-3</v>
      </c>
      <c r="E19107" s="1">
        <v>2.3673851405290802E-3</v>
      </c>
      <c r="F19107" s="1">
        <v>1.43506826899291E-3</v>
      </c>
    </row>
    <row r="19108" spans="1:6" x14ac:dyDescent="0.25">
      <c r="A19108" s="2" t="str">
        <f t="shared" si="686"/>
        <v>19820</v>
      </c>
      <c r="B19108" s="2" t="str">
        <f>"48051"</f>
        <v>48051</v>
      </c>
      <c r="C19108" s="1">
        <v>3.7369887557812801E-3</v>
      </c>
      <c r="D19108" s="1">
        <v>4.3641819486044996E-3</v>
      </c>
      <c r="E19108" s="1">
        <v>1.22498417155283E-3</v>
      </c>
      <c r="F19108" s="1">
        <v>3.70744083549578E-3</v>
      </c>
    </row>
    <row r="19109" spans="1:6" x14ac:dyDescent="0.25">
      <c r="A19109" s="2" t="str">
        <f t="shared" si="686"/>
        <v>19820</v>
      </c>
      <c r="B19109" s="2" t="str">
        <f>"48089"</f>
        <v>48089</v>
      </c>
      <c r="C19109" s="1">
        <v>6.6656495328519501E-3</v>
      </c>
      <c r="D19109" s="1">
        <v>8.4381485355075701E-3</v>
      </c>
      <c r="E19109" s="1">
        <v>6.7305310099925603E-3</v>
      </c>
      <c r="F19109" s="1">
        <v>6.8084229508325001E-3</v>
      </c>
    </row>
    <row r="19110" spans="1:6" x14ac:dyDescent="0.25">
      <c r="A19110" s="2" t="str">
        <f t="shared" si="686"/>
        <v>19820</v>
      </c>
      <c r="B19110" s="2" t="str">
        <f>"48070"</f>
        <v>48070</v>
      </c>
      <c r="C19110" s="1">
        <v>1.19073117251078E-3</v>
      </c>
      <c r="D19110" s="1">
        <v>4.7639125411366501E-4</v>
      </c>
      <c r="E19110" s="1">
        <v>1.6516640515319101E-4</v>
      </c>
      <c r="F19110" s="1">
        <v>1.1016246572638699E-3</v>
      </c>
    </row>
    <row r="19111" spans="1:6" x14ac:dyDescent="0.25">
      <c r="A19111" s="2" t="str">
        <f t="shared" si="686"/>
        <v>19820</v>
      </c>
      <c r="B19111" s="2" t="str">
        <f>"48069"</f>
        <v>48069</v>
      </c>
      <c r="C19111" s="1">
        <v>5.6040161137468501E-4</v>
      </c>
      <c r="D19111" s="1">
        <v>3.2854569249218297E-4</v>
      </c>
      <c r="E19111" s="1">
        <v>1.5140253805709199E-4</v>
      </c>
      <c r="F19111" s="1">
        <v>5.2907545694164798E-4</v>
      </c>
    </row>
    <row r="19112" spans="1:6" x14ac:dyDescent="0.25">
      <c r="A19112" s="2" t="str">
        <f t="shared" si="686"/>
        <v>19820</v>
      </c>
      <c r="B19112" s="2" t="str">
        <f>"48039"</f>
        <v>48039</v>
      </c>
      <c r="C19112" s="1">
        <v>1.80883556760467E-3</v>
      </c>
      <c r="D19112" s="1">
        <v>1.8836619702885099E-3</v>
      </c>
      <c r="E19112" s="1">
        <v>2.0921077986070899E-3</v>
      </c>
      <c r="F19112" s="1">
        <v>1.8237235348152899E-3</v>
      </c>
    </row>
    <row r="19113" spans="1:6" x14ac:dyDescent="0.25">
      <c r="A19113" s="2" t="str">
        <f t="shared" si="686"/>
        <v>19820</v>
      </c>
      <c r="B19113" s="2" t="str">
        <f>"48065"</f>
        <v>48065</v>
      </c>
      <c r="C19113" s="1">
        <v>2.4323190357571399E-3</v>
      </c>
      <c r="D19113" s="1">
        <v>3.2142720248818598E-3</v>
      </c>
      <c r="E19113" s="1">
        <v>1.2662757728411299E-3</v>
      </c>
      <c r="F19113" s="1">
        <v>2.4575707133041298E-3</v>
      </c>
    </row>
    <row r="19114" spans="1:6" x14ac:dyDescent="0.25">
      <c r="A19114" s="2" t="str">
        <f t="shared" si="686"/>
        <v>19820</v>
      </c>
      <c r="B19114" s="2" t="str">
        <f>"48036"</f>
        <v>48036</v>
      </c>
      <c r="C19114" s="1">
        <v>5.3267493479096399E-3</v>
      </c>
      <c r="D19114" s="1">
        <v>5.8371618032777902E-3</v>
      </c>
      <c r="E19114" s="1">
        <v>6.7580587441847598E-3</v>
      </c>
      <c r="F19114" s="1">
        <v>5.4124810508821E-3</v>
      </c>
    </row>
    <row r="19115" spans="1:6" x14ac:dyDescent="0.25">
      <c r="A19115" s="2" t="str">
        <f t="shared" si="686"/>
        <v>19820</v>
      </c>
      <c r="B19115" s="2" t="str">
        <f>"48001"</f>
        <v>48001</v>
      </c>
      <c r="C19115" s="1">
        <v>2.98831958735663E-3</v>
      </c>
      <c r="D19115" s="1">
        <v>1.30870700842719E-3</v>
      </c>
      <c r="E19115" s="1">
        <v>1.7755388553968099E-3</v>
      </c>
      <c r="F19115" s="1">
        <v>2.8166638336277199E-3</v>
      </c>
    </row>
    <row r="19116" spans="1:6" x14ac:dyDescent="0.25">
      <c r="A19116" s="2" t="str">
        <f t="shared" si="686"/>
        <v>19820</v>
      </c>
      <c r="B19116" s="2" t="str">
        <f>"48760"</f>
        <v>48760</v>
      </c>
      <c r="C19116" s="1">
        <v>1.2078464049698701E-4</v>
      </c>
      <c r="D19116" s="1">
        <v>1.09515230830727E-5</v>
      </c>
      <c r="E19116" s="1">
        <v>0</v>
      </c>
      <c r="F19116" s="1">
        <v>1.08249621017642E-4</v>
      </c>
    </row>
    <row r="19117" spans="1:6" x14ac:dyDescent="0.25">
      <c r="A19117" s="2" t="str">
        <f t="shared" si="686"/>
        <v>19820</v>
      </c>
      <c r="B19117" s="2" t="str">
        <f>"48844"</f>
        <v>48844</v>
      </c>
      <c r="C19117" s="1">
        <v>4.2005670521017002E-4</v>
      </c>
      <c r="D19117" s="1">
        <v>1.89461349337159E-3</v>
      </c>
      <c r="E19117" s="1">
        <v>2.75277341921986E-5</v>
      </c>
      <c r="F19117" s="1">
        <v>5.2472808260359001E-4</v>
      </c>
    </row>
    <row r="19118" spans="1:6" x14ac:dyDescent="0.25">
      <c r="A19118" s="2" t="str">
        <f t="shared" si="686"/>
        <v>19820</v>
      </c>
      <c r="B19118" s="2" t="str">
        <f>"48464"</f>
        <v>48464</v>
      </c>
      <c r="C19118" s="1">
        <v>3.7555710081654299E-4</v>
      </c>
      <c r="D19118" s="1">
        <v>3.28545692492183E-5</v>
      </c>
      <c r="E19118" s="1">
        <v>4.1291601288297901E-5</v>
      </c>
      <c r="F19118" s="1">
        <v>3.3779098606709899E-4</v>
      </c>
    </row>
    <row r="19119" spans="1:6" x14ac:dyDescent="0.25">
      <c r="A19119" s="2" t="str">
        <f t="shared" si="686"/>
        <v>19820</v>
      </c>
      <c r="B19119" s="2" t="str">
        <f>"48455"</f>
        <v>48455</v>
      </c>
      <c r="C19119" s="1">
        <v>1.687561920466E-3</v>
      </c>
      <c r="D19119" s="1">
        <v>6.5709138498436595E-4</v>
      </c>
      <c r="E19119" s="1">
        <v>5.0926308255567403E-4</v>
      </c>
      <c r="F19119" s="1">
        <v>1.5685326611712899E-3</v>
      </c>
    </row>
    <row r="19120" spans="1:6" x14ac:dyDescent="0.25">
      <c r="A19120" s="2" t="str">
        <f t="shared" si="686"/>
        <v>19820</v>
      </c>
      <c r="B19120" s="2" t="str">
        <f>"48453"</f>
        <v>48453</v>
      </c>
      <c r="C19120" s="1">
        <v>7.7263049386736707E-5</v>
      </c>
      <c r="D19120" s="1">
        <v>6.57091384984366E-5</v>
      </c>
      <c r="E19120" s="1">
        <v>0</v>
      </c>
      <c r="F19120" s="1">
        <v>7.3905363746984496E-5</v>
      </c>
    </row>
    <row r="19121" spans="1:6" x14ac:dyDescent="0.25">
      <c r="A19121" s="2" t="str">
        <f t="shared" si="686"/>
        <v>19820</v>
      </c>
      <c r="B19121" s="2" t="str">
        <f>"48430"</f>
        <v>48430</v>
      </c>
      <c r="C19121" s="1">
        <v>3.2455370808846299E-3</v>
      </c>
      <c r="D19121" s="1">
        <v>3.4497297711679202E-4</v>
      </c>
      <c r="E19121" s="1">
        <v>1.1011093676879401E-4</v>
      </c>
      <c r="F19121" s="1">
        <v>2.91621870596924E-3</v>
      </c>
    </row>
    <row r="19122" spans="1:6" x14ac:dyDescent="0.25">
      <c r="A19122" s="2" t="str">
        <f t="shared" si="686"/>
        <v>19820</v>
      </c>
      <c r="B19122" s="2" t="str">
        <f>"48362"</f>
        <v>48362</v>
      </c>
      <c r="C19122" s="1">
        <v>3.1457797259802299E-3</v>
      </c>
      <c r="D19122" s="1">
        <v>2.03698329345153E-3</v>
      </c>
      <c r="E19122" s="1">
        <v>2.7114818179315601E-3</v>
      </c>
      <c r="F19122" s="1">
        <v>3.0440315115081501E-3</v>
      </c>
    </row>
    <row r="19123" spans="1:6" x14ac:dyDescent="0.25">
      <c r="A19123" s="2" t="str">
        <f t="shared" si="686"/>
        <v>19820</v>
      </c>
      <c r="B19123" s="2" t="str">
        <f>"48359"</f>
        <v>48359</v>
      </c>
      <c r="C19123" s="1">
        <v>2.0362236559896899E-3</v>
      </c>
      <c r="D19123" s="1">
        <v>2.1738773319899402E-3</v>
      </c>
      <c r="E19123" s="1">
        <v>2.1746910011836902E-3</v>
      </c>
      <c r="F19123" s="1">
        <v>2.05152595012953E-3</v>
      </c>
    </row>
    <row r="19124" spans="1:6" x14ac:dyDescent="0.25">
      <c r="A19124" s="2" t="str">
        <f t="shared" si="686"/>
        <v>19820</v>
      </c>
      <c r="B19124" s="2" t="str">
        <f>"48380"</f>
        <v>48380</v>
      </c>
      <c r="C19124" s="1">
        <v>1.54428297445135E-3</v>
      </c>
      <c r="D19124" s="1">
        <v>1.9165165395377301E-4</v>
      </c>
      <c r="E19124" s="1">
        <v>1.5140253805709199E-4</v>
      </c>
      <c r="F19124" s="1">
        <v>1.3928987379137499E-3</v>
      </c>
    </row>
    <row r="19125" spans="1:6" x14ac:dyDescent="0.25">
      <c r="A19125" s="2" t="str">
        <f t="shared" si="686"/>
        <v>19820</v>
      </c>
      <c r="B19125" s="2" t="str">
        <f>"48318"</f>
        <v>48318</v>
      </c>
      <c r="C19125" s="1">
        <v>5.6382465786650301E-4</v>
      </c>
      <c r="D19125" s="1">
        <v>3.7070905636201299E-3</v>
      </c>
      <c r="E19125" s="1">
        <v>2.75277341921986E-5</v>
      </c>
      <c r="F19125" s="1">
        <v>7.9643897873220998E-4</v>
      </c>
    </row>
    <row r="19126" spans="1:6" x14ac:dyDescent="0.25">
      <c r="A19126" s="2" t="str">
        <f t="shared" si="686"/>
        <v>19820</v>
      </c>
      <c r="B19126" s="2" t="str">
        <f>"48317"</f>
        <v>48317</v>
      </c>
      <c r="C19126" s="1">
        <v>6.54535389899665E-3</v>
      </c>
      <c r="D19126" s="1">
        <v>6.7954200730466503E-3</v>
      </c>
      <c r="E19126" s="1">
        <v>6.5378368706471698E-3</v>
      </c>
      <c r="F19126" s="1">
        <v>6.5649699879012499E-3</v>
      </c>
    </row>
    <row r="19127" spans="1:6" x14ac:dyDescent="0.25">
      <c r="A19127" s="2" t="str">
        <f t="shared" si="686"/>
        <v>19820</v>
      </c>
      <c r="B19127" s="2" t="str">
        <f>"48315"</f>
        <v>48315</v>
      </c>
      <c r="C19127" s="1">
        <v>5.5692966421869898E-3</v>
      </c>
      <c r="D19127" s="1">
        <v>7.9398542352277605E-3</v>
      </c>
      <c r="E19127" s="1">
        <v>1.1011093676879401E-3</v>
      </c>
      <c r="F19127" s="1">
        <v>5.6163729073370203E-3</v>
      </c>
    </row>
    <row r="19128" spans="1:6" x14ac:dyDescent="0.25">
      <c r="A19128" s="2" t="str">
        <f t="shared" si="686"/>
        <v>19820</v>
      </c>
      <c r="B19128" s="2" t="str">
        <f>"48219"</f>
        <v>48219</v>
      </c>
      <c r="C19128" s="1">
        <v>1.0819271947351499E-2</v>
      </c>
      <c r="D19128" s="1">
        <v>6.6475745114251703E-3</v>
      </c>
      <c r="E19128" s="1">
        <v>7.8316403776805092E-3</v>
      </c>
      <c r="F19128" s="1">
        <v>1.03937025674288E-2</v>
      </c>
    </row>
    <row r="19129" spans="1:6" x14ac:dyDescent="0.25">
      <c r="A19129" s="2" t="str">
        <f t="shared" si="686"/>
        <v>19820</v>
      </c>
      <c r="B19129" s="2" t="str">
        <f>"48212"</f>
        <v>48212</v>
      </c>
      <c r="C19129" s="1">
        <v>7.4089396282180304E-3</v>
      </c>
      <c r="D19129" s="1">
        <v>7.5894054965694301E-3</v>
      </c>
      <c r="E19129" s="1">
        <v>1.5484350483111701E-2</v>
      </c>
      <c r="F19129" s="1">
        <v>7.6783325558778797E-3</v>
      </c>
    </row>
    <row r="19130" spans="1:6" x14ac:dyDescent="0.25">
      <c r="A19130" s="2" t="str">
        <f t="shared" si="686"/>
        <v>19820</v>
      </c>
      <c r="B19130" s="2" t="str">
        <f>"48216"</f>
        <v>48216</v>
      </c>
      <c r="C19130" s="1">
        <v>1.44354760626358E-3</v>
      </c>
      <c r="D19130" s="1">
        <v>3.6030510943309401E-3</v>
      </c>
      <c r="E19130" s="1">
        <v>3.6611886475624101E-3</v>
      </c>
      <c r="F19130" s="1">
        <v>1.6850422934312399E-3</v>
      </c>
    </row>
    <row r="19131" spans="1:6" x14ac:dyDescent="0.25">
      <c r="A19131" s="2" t="str">
        <f t="shared" si="686"/>
        <v>19820</v>
      </c>
      <c r="B19131" s="2" t="str">
        <f>"48302"</f>
        <v>48302</v>
      </c>
      <c r="C19131" s="1">
        <v>3.88613578149618E-3</v>
      </c>
      <c r="D19131" s="1">
        <v>5.2293522721672502E-3</v>
      </c>
      <c r="E19131" s="1">
        <v>3.5235499766014199E-3</v>
      </c>
      <c r="F19131" s="1">
        <v>3.9813254187934296E-3</v>
      </c>
    </row>
    <row r="19132" spans="1:6" x14ac:dyDescent="0.25">
      <c r="A19132" s="2" t="str">
        <f t="shared" si="686"/>
        <v>19820</v>
      </c>
      <c r="B19132" s="2" t="str">
        <f>"48240"</f>
        <v>48240</v>
      </c>
      <c r="C19132" s="1">
        <v>4.1663365871835202E-3</v>
      </c>
      <c r="D19132" s="1">
        <v>4.7255822103459003E-3</v>
      </c>
      <c r="E19132" s="1">
        <v>7.7077655738156097E-4</v>
      </c>
      <c r="F19132" s="1">
        <v>4.1034866376928603E-3</v>
      </c>
    </row>
    <row r="19133" spans="1:6" x14ac:dyDescent="0.25">
      <c r="A19133" s="2" t="str">
        <f t="shared" si="686"/>
        <v>19820</v>
      </c>
      <c r="B19133" s="2" t="str">
        <f>"48238"</f>
        <v>48238</v>
      </c>
      <c r="C19133" s="1">
        <v>8.3483213869010708E-3</v>
      </c>
      <c r="D19133" s="1">
        <v>6.7899443115051203E-3</v>
      </c>
      <c r="E19133" s="1">
        <v>1.83472348391003E-2</v>
      </c>
      <c r="F19133" s="1">
        <v>8.5404168871147709E-3</v>
      </c>
    </row>
    <row r="19134" spans="1:6" x14ac:dyDescent="0.25">
      <c r="A19134" s="2" t="str">
        <f t="shared" si="686"/>
        <v>19820</v>
      </c>
      <c r="B19134" s="2" t="str">
        <f>"48201"</f>
        <v>48201</v>
      </c>
      <c r="C19134" s="1">
        <v>4.4113289146693099E-3</v>
      </c>
      <c r="D19134" s="1">
        <v>5.30053717220722E-3</v>
      </c>
      <c r="E19134" s="1">
        <v>8.6437085363503703E-3</v>
      </c>
      <c r="F19134" s="1">
        <v>4.6156073347160802E-3</v>
      </c>
    </row>
    <row r="19135" spans="1:6" x14ac:dyDescent="0.25">
      <c r="A19135" s="2" t="str">
        <f t="shared" si="686"/>
        <v>19820</v>
      </c>
      <c r="B19135" s="2" t="str">
        <f>"48168"</f>
        <v>48168</v>
      </c>
      <c r="C19135" s="1">
        <v>4.2675609620129798E-3</v>
      </c>
      <c r="D19135" s="1">
        <v>1.35251310075948E-3</v>
      </c>
      <c r="E19135" s="1">
        <v>3.3308558372560299E-3</v>
      </c>
      <c r="F19135" s="1">
        <v>4.0065401899541699E-3</v>
      </c>
    </row>
    <row r="19136" spans="1:6" x14ac:dyDescent="0.25">
      <c r="A19136" s="2" t="str">
        <f t="shared" si="686"/>
        <v>19820</v>
      </c>
      <c r="B19136" s="2" t="str">
        <f>"48189"</f>
        <v>48189</v>
      </c>
      <c r="C19136" s="1">
        <v>1.3525923709095801E-3</v>
      </c>
      <c r="D19136" s="1">
        <v>1.2265705853041499E-3</v>
      </c>
      <c r="E19136" s="1">
        <v>1.14240096897624E-3</v>
      </c>
      <c r="F19136" s="1">
        <v>1.33594813408519E-3</v>
      </c>
    </row>
    <row r="19137" spans="1:6" x14ac:dyDescent="0.25">
      <c r="A19137" s="2" t="str">
        <f t="shared" si="686"/>
        <v>19820</v>
      </c>
      <c r="B19137" s="2" t="str">
        <f>"48188"</f>
        <v>48188</v>
      </c>
      <c r="C19137" s="1">
        <v>8.8842726661913507E-3</v>
      </c>
      <c r="D19137" s="1">
        <v>2.3545774628606401E-3</v>
      </c>
      <c r="E19137" s="1">
        <v>3.9089382552922004E-3</v>
      </c>
      <c r="F19137" s="1">
        <v>8.2087122251209496E-3</v>
      </c>
    </row>
    <row r="19138" spans="1:6" x14ac:dyDescent="0.25">
      <c r="A19138" s="2" t="str">
        <f t="shared" si="686"/>
        <v>19820</v>
      </c>
      <c r="B19138" s="2" t="str">
        <f>"48192"</f>
        <v>48192</v>
      </c>
      <c r="C19138" s="1">
        <v>6.1194291140862197E-3</v>
      </c>
      <c r="D19138" s="1">
        <v>5.6509859108655504E-3</v>
      </c>
      <c r="E19138" s="1">
        <v>1.17268147658766E-2</v>
      </c>
      <c r="F19138" s="1">
        <v>6.25934957193578E-3</v>
      </c>
    </row>
    <row r="19139" spans="1:6" x14ac:dyDescent="0.25">
      <c r="A19139" s="2" t="str">
        <f t="shared" si="686"/>
        <v>19820</v>
      </c>
      <c r="B19139" s="2" t="str">
        <f>"48146"</f>
        <v>48146</v>
      </c>
      <c r="C19139" s="1">
        <v>8.6436813984807504E-3</v>
      </c>
      <c r="D19139" s="1">
        <v>5.4045766414964102E-3</v>
      </c>
      <c r="E19139" s="1">
        <v>8.7125278718308604E-3</v>
      </c>
      <c r="F19139" s="1">
        <v>8.3886935227165497E-3</v>
      </c>
    </row>
    <row r="19140" spans="1:6" x14ac:dyDescent="0.25">
      <c r="A19140" s="2" t="str">
        <f t="shared" si="686"/>
        <v>19820</v>
      </c>
      <c r="B19140" s="2" t="str">
        <f>"48135"</f>
        <v>48135</v>
      </c>
      <c r="C19140" s="1">
        <v>5.7203996944686503E-3</v>
      </c>
      <c r="D19140" s="1">
        <v>4.2601424793153103E-3</v>
      </c>
      <c r="E19140" s="1">
        <v>2.8078288876042601E-3</v>
      </c>
      <c r="F19140" s="1">
        <v>5.51247066065743E-3</v>
      </c>
    </row>
    <row r="19141" spans="1:6" x14ac:dyDescent="0.25">
      <c r="A19141" s="2" t="str">
        <f t="shared" si="686"/>
        <v>19820</v>
      </c>
      <c r="B19141" s="2" t="str">
        <f>"48093"</f>
        <v>48093</v>
      </c>
      <c r="C19141" s="1">
        <v>5.2602444446400399E-3</v>
      </c>
      <c r="D19141" s="1">
        <v>4.7091549257212897E-3</v>
      </c>
      <c r="E19141" s="1">
        <v>7.8041126434883097E-3</v>
      </c>
      <c r="F19141" s="1">
        <v>5.2968408934897602E-3</v>
      </c>
    </row>
    <row r="19142" spans="1:6" x14ac:dyDescent="0.25">
      <c r="A19142" s="2" t="str">
        <f t="shared" si="686"/>
        <v>19820</v>
      </c>
      <c r="B19142" s="2" t="str">
        <f>"48049"</f>
        <v>48049</v>
      </c>
      <c r="C19142" s="1">
        <v>1.08755077111457E-3</v>
      </c>
      <c r="D19142" s="1">
        <v>1.47845561621482E-4</v>
      </c>
      <c r="E19142" s="1">
        <v>6.8819335480496606E-5</v>
      </c>
      <c r="F19142" s="1">
        <v>9.8076765066586495E-4</v>
      </c>
    </row>
    <row r="19143" spans="1:6" x14ac:dyDescent="0.25">
      <c r="A19143" s="2" t="str">
        <f t="shared" ref="A19143:A19206" si="687">"19820"</f>
        <v>19820</v>
      </c>
      <c r="B19143" s="2" t="str">
        <f>"48074"</f>
        <v>48074</v>
      </c>
      <c r="C19143" s="1">
        <v>2.0088392840551502E-3</v>
      </c>
      <c r="D19143" s="1">
        <v>1.63177693937784E-3</v>
      </c>
      <c r="E19143" s="1">
        <v>1.1699287031684399E-3</v>
      </c>
      <c r="F19143" s="1">
        <v>1.9524058152217999E-3</v>
      </c>
    </row>
    <row r="19144" spans="1:6" x14ac:dyDescent="0.25">
      <c r="A19144" s="2" t="str">
        <f t="shared" si="687"/>
        <v>19820</v>
      </c>
      <c r="B19144" s="2" t="str">
        <f>"48035"</f>
        <v>48035</v>
      </c>
      <c r="C19144" s="1">
        <v>7.57031181997513E-3</v>
      </c>
      <c r="D19144" s="1">
        <v>6.2478439188930202E-3</v>
      </c>
      <c r="E19144" s="1">
        <v>6.4965452693588697E-3</v>
      </c>
      <c r="F19144" s="1">
        <v>7.4314016934761903E-3</v>
      </c>
    </row>
    <row r="19145" spans="1:6" x14ac:dyDescent="0.25">
      <c r="A19145" s="2" t="str">
        <f t="shared" si="687"/>
        <v>19820</v>
      </c>
      <c r="B19145" s="2" t="str">
        <f>"48032"</f>
        <v>48032</v>
      </c>
      <c r="C19145" s="1">
        <v>3.86315246933683E-4</v>
      </c>
      <c r="D19145" s="1">
        <v>7.6660661581509399E-5</v>
      </c>
      <c r="E19145" s="1">
        <v>6.8819335480496606E-5</v>
      </c>
      <c r="F19145" s="1">
        <v>3.5170258394888498E-4</v>
      </c>
    </row>
    <row r="19146" spans="1:6" x14ac:dyDescent="0.25">
      <c r="A19146" s="2" t="str">
        <f t="shared" si="687"/>
        <v>19820</v>
      </c>
      <c r="B19146" s="2" t="str">
        <f>"48030"</f>
        <v>48030</v>
      </c>
      <c r="C19146" s="1">
        <v>4.1712266536003996E-3</v>
      </c>
      <c r="D19146" s="1">
        <v>4.1780060561922598E-3</v>
      </c>
      <c r="E19146" s="1">
        <v>3.17945329919894E-3</v>
      </c>
      <c r="F19146" s="1">
        <v>4.14043931956635E-3</v>
      </c>
    </row>
    <row r="19147" spans="1:6" x14ac:dyDescent="0.25">
      <c r="A19147" s="2" t="str">
        <f t="shared" si="687"/>
        <v>19820</v>
      </c>
      <c r="B19147" s="2" t="str">
        <f>"48006"</f>
        <v>48006</v>
      </c>
      <c r="C19147" s="1">
        <v>7.9219075953489604E-4</v>
      </c>
      <c r="D19147" s="1">
        <v>1.04039469289191E-4</v>
      </c>
      <c r="E19147" s="1">
        <v>1.37638670960993E-4</v>
      </c>
      <c r="F19147" s="1">
        <v>7.1688202834574997E-4</v>
      </c>
    </row>
    <row r="19148" spans="1:6" x14ac:dyDescent="0.25">
      <c r="A19148" s="2" t="str">
        <f t="shared" si="687"/>
        <v>19820</v>
      </c>
      <c r="B19148" s="2" t="str">
        <f>"48002"</f>
        <v>48002</v>
      </c>
      <c r="C19148" s="1">
        <v>6.1565936188545298E-4</v>
      </c>
      <c r="D19148" s="1">
        <v>1.04039469289191E-4</v>
      </c>
      <c r="E19148" s="1">
        <v>1.23874803864893E-4</v>
      </c>
      <c r="F19148" s="1">
        <v>5.5950707730805297E-4</v>
      </c>
    </row>
    <row r="19149" spans="1:6" x14ac:dyDescent="0.25">
      <c r="A19149" s="2" t="str">
        <f t="shared" si="687"/>
        <v>19820</v>
      </c>
      <c r="B19149" s="2" t="str">
        <f>"48023"</f>
        <v>48023</v>
      </c>
      <c r="C19149" s="1">
        <v>1.1222702426744299E-3</v>
      </c>
      <c r="D19149" s="1">
        <v>8.3779151585506705E-4</v>
      </c>
      <c r="E19149" s="1">
        <v>7.2948495609326302E-4</v>
      </c>
      <c r="F19149" s="1">
        <v>1.08727832194828E-3</v>
      </c>
    </row>
    <row r="19150" spans="1:6" x14ac:dyDescent="0.25">
      <c r="A19150" s="2" t="str">
        <f t="shared" si="687"/>
        <v>19820</v>
      </c>
      <c r="B19150" s="2" t="str">
        <f>"48021"</f>
        <v>48021</v>
      </c>
      <c r="C19150" s="1">
        <v>7.14194200185626E-3</v>
      </c>
      <c r="D19150" s="1">
        <v>7.2882386117849298E-3</v>
      </c>
      <c r="E19150" s="1">
        <v>4.5971316100971698E-3</v>
      </c>
      <c r="F19150" s="1">
        <v>7.07317804802022E-3</v>
      </c>
    </row>
    <row r="19151" spans="1:6" x14ac:dyDescent="0.25">
      <c r="A19151" s="2" t="str">
        <f t="shared" si="687"/>
        <v>19820</v>
      </c>
      <c r="B19151" s="2" t="str">
        <f>"48009"</f>
        <v>48009</v>
      </c>
      <c r="C19151" s="1">
        <v>5.0529056285642396E-3</v>
      </c>
      <c r="D19151" s="1">
        <v>9.4402128976087303E-3</v>
      </c>
      <c r="E19151" s="1">
        <v>9.9788036446719994E-3</v>
      </c>
      <c r="F19151" s="1">
        <v>5.55681387890562E-3</v>
      </c>
    </row>
    <row r="19152" spans="1:6" x14ac:dyDescent="0.25">
      <c r="A19152" s="2" t="str">
        <f t="shared" si="687"/>
        <v>19820</v>
      </c>
      <c r="B19152" s="2" t="str">
        <f>"48816"</f>
        <v>48816</v>
      </c>
      <c r="C19152" s="1">
        <v>2.4450332084410298E-6</v>
      </c>
      <c r="D19152" s="1">
        <v>2.1903046166145498E-5</v>
      </c>
      <c r="E19152" s="1">
        <v>0</v>
      </c>
      <c r="F19152" s="1">
        <v>3.9126369042521198E-6</v>
      </c>
    </row>
    <row r="19153" spans="1:6" x14ac:dyDescent="0.25">
      <c r="A19153" s="2" t="str">
        <f t="shared" si="687"/>
        <v>19820</v>
      </c>
      <c r="B19153" s="2" t="str">
        <f>"48446"</f>
        <v>48446</v>
      </c>
      <c r="C19153" s="1">
        <v>6.8847245083282702E-3</v>
      </c>
      <c r="D19153" s="1">
        <v>7.5729782119448204E-3</v>
      </c>
      <c r="E19153" s="1">
        <v>7.9142235802571008E-3</v>
      </c>
      <c r="F19153" s="1">
        <v>6.9718842259434699E-3</v>
      </c>
    </row>
    <row r="19154" spans="1:6" x14ac:dyDescent="0.25">
      <c r="A19154" s="2" t="str">
        <f t="shared" si="687"/>
        <v>19820</v>
      </c>
      <c r="B19154" s="2" t="str">
        <f>"48335"</f>
        <v>48335</v>
      </c>
      <c r="C19154" s="1">
        <v>5.5135498850345296E-3</v>
      </c>
      <c r="D19154" s="1">
        <v>5.0048460489642496E-3</v>
      </c>
      <c r="E19154" s="1">
        <v>1.6943320395298202E-2</v>
      </c>
      <c r="F19154" s="1">
        <v>5.8341763616737204E-3</v>
      </c>
    </row>
    <row r="19155" spans="1:6" x14ac:dyDescent="0.25">
      <c r="A19155" s="2" t="str">
        <f t="shared" si="687"/>
        <v>19820</v>
      </c>
      <c r="B19155" s="2" t="str">
        <f>"48327"</f>
        <v>48327</v>
      </c>
      <c r="C19155" s="1">
        <v>5.1487509303351298E-3</v>
      </c>
      <c r="D19155" s="1">
        <v>4.1834818177338001E-3</v>
      </c>
      <c r="E19155" s="1">
        <v>8.3546673273322807E-3</v>
      </c>
      <c r="F19155" s="1">
        <v>5.1733754622889103E-3</v>
      </c>
    </row>
    <row r="19156" spans="1:6" x14ac:dyDescent="0.25">
      <c r="A19156" s="2" t="str">
        <f t="shared" si="687"/>
        <v>19820</v>
      </c>
      <c r="B19156" s="2" t="str">
        <f>"48324"</f>
        <v>48324</v>
      </c>
      <c r="C19156" s="1">
        <v>3.3267121834048702E-3</v>
      </c>
      <c r="D19156" s="1">
        <v>4.9829430027981104E-4</v>
      </c>
      <c r="E19156" s="1">
        <v>1.01852616511134E-3</v>
      </c>
      <c r="F19156" s="1">
        <v>3.0292504387587501E-3</v>
      </c>
    </row>
    <row r="19157" spans="1:6" x14ac:dyDescent="0.25">
      <c r="A19157" s="2" t="str">
        <f t="shared" si="687"/>
        <v>19820</v>
      </c>
      <c r="B19157" s="2" t="str">
        <f>"48387"</f>
        <v>48387</v>
      </c>
      <c r="C19157" s="1">
        <v>3.28123456572787E-4</v>
      </c>
      <c r="D19157" s="1">
        <v>1.91104077799619E-3</v>
      </c>
      <c r="E19157" s="1">
        <v>2.75277341921986E-5</v>
      </c>
      <c r="F19157" s="1">
        <v>4.44301657349518E-4</v>
      </c>
    </row>
    <row r="19158" spans="1:6" x14ac:dyDescent="0.25">
      <c r="A19158" s="2" t="str">
        <f t="shared" si="687"/>
        <v>19820</v>
      </c>
      <c r="B19158" s="2" t="str">
        <f>"48370"</f>
        <v>48370</v>
      </c>
      <c r="C19158" s="1">
        <v>3.2763444993109801E-4</v>
      </c>
      <c r="D19158" s="1">
        <v>8.7612184664582197E-5</v>
      </c>
      <c r="E19158" s="1">
        <v>2.75277341921986E-5</v>
      </c>
      <c r="F19158" s="1">
        <v>2.9909935445838402E-4</v>
      </c>
    </row>
    <row r="19159" spans="1:6" x14ac:dyDescent="0.25">
      <c r="A19159" s="2" t="str">
        <f t="shared" si="687"/>
        <v>19820</v>
      </c>
      <c r="B19159" s="2" t="str">
        <f>"48363"</f>
        <v>48363</v>
      </c>
      <c r="C19159" s="1">
        <v>1.33401011852542E-3</v>
      </c>
      <c r="D19159" s="1">
        <v>1.04039469289191E-4</v>
      </c>
      <c r="E19159" s="1">
        <v>8.2583202576595898E-5</v>
      </c>
      <c r="F19159" s="1">
        <v>1.1968321552673401E-3</v>
      </c>
    </row>
    <row r="19160" spans="1:6" x14ac:dyDescent="0.25">
      <c r="A19160" s="2" t="str">
        <f t="shared" si="687"/>
        <v>19820</v>
      </c>
      <c r="B19160" s="2" t="str">
        <f>"48336"</f>
        <v>48336</v>
      </c>
      <c r="C19160" s="1">
        <v>5.9037771851017202E-3</v>
      </c>
      <c r="D19160" s="1">
        <v>7.0089747731665701E-3</v>
      </c>
      <c r="E19160" s="1">
        <v>7.6527101054312202E-3</v>
      </c>
      <c r="F19160" s="1">
        <v>6.0467629668047498E-3</v>
      </c>
    </row>
    <row r="19161" spans="1:6" x14ac:dyDescent="0.25">
      <c r="A19161" s="2" t="str">
        <f t="shared" si="687"/>
        <v>19820</v>
      </c>
      <c r="B19161" s="2" t="str">
        <f>"48221"</f>
        <v>48221</v>
      </c>
      <c r="C19161" s="1">
        <v>8.3341401942921105E-3</v>
      </c>
      <c r="D19161" s="1">
        <v>6.9158868269604502E-3</v>
      </c>
      <c r="E19161" s="1">
        <v>6.2212679274368902E-3</v>
      </c>
      <c r="F19161" s="1">
        <v>8.15480478332903E-3</v>
      </c>
    </row>
    <row r="19162" spans="1:6" x14ac:dyDescent="0.25">
      <c r="A19162" s="2" t="str">
        <f t="shared" si="687"/>
        <v>19820</v>
      </c>
      <c r="B19162" s="2" t="str">
        <f>"48211"</f>
        <v>48211</v>
      </c>
      <c r="C19162" s="1">
        <v>1.6425733094306799E-3</v>
      </c>
      <c r="D19162" s="1">
        <v>3.6742359943709099E-3</v>
      </c>
      <c r="E19162" s="1">
        <v>2.6977179508354599E-3</v>
      </c>
      <c r="F19162" s="1">
        <v>1.83720039526327E-3</v>
      </c>
    </row>
    <row r="19163" spans="1:6" x14ac:dyDescent="0.25">
      <c r="A19163" s="2" t="str">
        <f t="shared" si="687"/>
        <v>19820</v>
      </c>
      <c r="B19163" s="2" t="str">
        <f>"48235"</f>
        <v>48235</v>
      </c>
      <c r="C19163" s="1">
        <v>1.0393347162441099E-2</v>
      </c>
      <c r="D19163" s="1">
        <v>8.3724393970091293E-3</v>
      </c>
      <c r="E19163" s="1">
        <v>4.3493820023673803E-3</v>
      </c>
      <c r="F19163" s="1">
        <v>1.0041999983479899E-2</v>
      </c>
    </row>
    <row r="19164" spans="1:6" x14ac:dyDescent="0.25">
      <c r="A19164" s="2" t="str">
        <f t="shared" si="687"/>
        <v>19820</v>
      </c>
      <c r="B19164" s="2" t="str">
        <f>"48303"</f>
        <v>48303</v>
      </c>
      <c r="C19164" s="1">
        <v>3.2372239679759302E-4</v>
      </c>
      <c r="D19164" s="1">
        <v>1.70296183941781E-3</v>
      </c>
      <c r="E19164" s="1">
        <v>4.1291601288297901E-5</v>
      </c>
      <c r="F19164" s="1">
        <v>4.2430373539445199E-4</v>
      </c>
    </row>
    <row r="19165" spans="1:6" x14ac:dyDescent="0.25">
      <c r="A19165" s="2" t="str">
        <f t="shared" si="687"/>
        <v>19820</v>
      </c>
      <c r="B19165" s="2" t="str">
        <f>"48206"</f>
        <v>48206</v>
      </c>
      <c r="C19165" s="1">
        <v>6.09253374879337E-3</v>
      </c>
      <c r="D19165" s="1">
        <v>2.2505379935714499E-3</v>
      </c>
      <c r="E19165" s="1">
        <v>6.7305310099925603E-3</v>
      </c>
      <c r="F19165" s="1">
        <v>5.8076573782115601E-3</v>
      </c>
    </row>
    <row r="19166" spans="1:6" x14ac:dyDescent="0.25">
      <c r="A19166" s="2" t="str">
        <f t="shared" si="687"/>
        <v>19820</v>
      </c>
      <c r="B19166" s="2" t="str">
        <f>"48164"</f>
        <v>48164</v>
      </c>
      <c r="C19166" s="1">
        <v>1.9741198124952901E-3</v>
      </c>
      <c r="D19166" s="1">
        <v>9.5825826976886797E-4</v>
      </c>
      <c r="E19166" s="1">
        <v>4.6797148126737602E-4</v>
      </c>
      <c r="F19166" s="1">
        <v>1.8458951439393901E-3</v>
      </c>
    </row>
    <row r="19167" spans="1:6" x14ac:dyDescent="0.25">
      <c r="A19167" s="2" t="str">
        <f t="shared" si="687"/>
        <v>19820</v>
      </c>
      <c r="B19167" s="2" t="str">
        <f>"48183"</f>
        <v>48183</v>
      </c>
      <c r="C19167" s="1">
        <v>9.9053185340363201E-3</v>
      </c>
      <c r="D19167" s="1">
        <v>6.9815959654588901E-3</v>
      </c>
      <c r="E19167" s="1">
        <v>1.37363393619071E-2</v>
      </c>
      <c r="F19167" s="1">
        <v>9.79419964621067E-3</v>
      </c>
    </row>
    <row r="19168" spans="1:6" x14ac:dyDescent="0.25">
      <c r="A19168" s="2" t="str">
        <f t="shared" si="687"/>
        <v>19820</v>
      </c>
      <c r="B19168" s="2" t="str">
        <f>"48170"</f>
        <v>48170</v>
      </c>
      <c r="C19168" s="1">
        <v>9.8246324381577703E-3</v>
      </c>
      <c r="D19168" s="1">
        <v>1.54964051625479E-2</v>
      </c>
      <c r="E19168" s="1">
        <v>1.4562171387673E-2</v>
      </c>
      <c r="F19168" s="1">
        <v>1.0424568925229E-2</v>
      </c>
    </row>
    <row r="19169" spans="1:6" x14ac:dyDescent="0.25">
      <c r="A19169" s="2" t="str">
        <f t="shared" si="687"/>
        <v>19820</v>
      </c>
      <c r="B19169" s="2" t="str">
        <f>"48097"</f>
        <v>48097</v>
      </c>
      <c r="C19169" s="1">
        <v>9.6823315054265005E-4</v>
      </c>
      <c r="D19169" s="1">
        <v>6.8994595423358502E-4</v>
      </c>
      <c r="E19169" s="1">
        <v>9.6347069672695197E-4</v>
      </c>
      <c r="F19169" s="1">
        <v>9.4598865596140199E-4</v>
      </c>
    </row>
    <row r="19170" spans="1:6" x14ac:dyDescent="0.25">
      <c r="A19170" s="2" t="str">
        <f t="shared" si="687"/>
        <v>19820</v>
      </c>
      <c r="B19170" s="2" t="str">
        <f>"48096"</f>
        <v>48096</v>
      </c>
      <c r="C19170" s="1">
        <v>7.65295394242044E-4</v>
      </c>
      <c r="D19170" s="1">
        <v>3.5592450019986501E-4</v>
      </c>
      <c r="E19170" s="1">
        <v>8.2583202576595898E-5</v>
      </c>
      <c r="F19170" s="1">
        <v>7.1123044170627397E-4</v>
      </c>
    </row>
    <row r="19171" spans="1:6" x14ac:dyDescent="0.25">
      <c r="A19171" s="2" t="str">
        <f t="shared" si="687"/>
        <v>19820</v>
      </c>
      <c r="B19171" s="2" t="str">
        <f>"48151"</f>
        <v>48151</v>
      </c>
      <c r="C19171" s="1">
        <v>4.87539621763142E-4</v>
      </c>
      <c r="D19171" s="1">
        <v>2.7324050092266501E-3</v>
      </c>
      <c r="E19171" s="1">
        <v>1.37638670960993E-5</v>
      </c>
      <c r="F19171" s="1">
        <v>6.50801938407269E-4</v>
      </c>
    </row>
    <row r="19172" spans="1:6" x14ac:dyDescent="0.25">
      <c r="A19172" s="2" t="str">
        <f t="shared" si="687"/>
        <v>19820</v>
      </c>
      <c r="B19172" s="2" t="str">
        <f>"48139"</f>
        <v>48139</v>
      </c>
      <c r="C19172" s="1">
        <v>5.5257750510767401E-5</v>
      </c>
      <c r="D19172" s="1">
        <v>1.09515230830727E-5</v>
      </c>
      <c r="E19172" s="1">
        <v>0</v>
      </c>
      <c r="F19172" s="1">
        <v>4.9994804887666001E-5</v>
      </c>
    </row>
    <row r="19173" spans="1:6" x14ac:dyDescent="0.25">
      <c r="A19173" s="2" t="str">
        <f t="shared" si="687"/>
        <v>19820</v>
      </c>
      <c r="B19173" s="2" t="str">
        <f>"48150"</f>
        <v>48150</v>
      </c>
      <c r="C19173" s="1">
        <v>5.6362905520982703E-3</v>
      </c>
      <c r="D19173" s="1">
        <v>1.4439583185031401E-2</v>
      </c>
      <c r="E19173" s="1">
        <v>2.4912599443939702E-3</v>
      </c>
      <c r="F19173" s="1">
        <v>6.2358737505102697E-3</v>
      </c>
    </row>
    <row r="19174" spans="1:6" x14ac:dyDescent="0.25">
      <c r="A19174" s="2" t="str">
        <f t="shared" si="687"/>
        <v>19820</v>
      </c>
      <c r="B19174" s="2" t="str">
        <f>"48121"</f>
        <v>48121</v>
      </c>
      <c r="C19174" s="1">
        <v>7.2959790939880497E-4</v>
      </c>
      <c r="D19174" s="1">
        <v>1.98222567803617E-3</v>
      </c>
      <c r="E19174" s="1">
        <v>1.37638670960993E-5</v>
      </c>
      <c r="F19174" s="1">
        <v>8.0643793970974298E-4</v>
      </c>
    </row>
    <row r="19175" spans="1:6" x14ac:dyDescent="0.25">
      <c r="A19175" s="2" t="str">
        <f t="shared" si="687"/>
        <v>19820</v>
      </c>
      <c r="B19175" s="2" t="str">
        <f>"48117"</f>
        <v>48117</v>
      </c>
      <c r="C19175" s="1">
        <v>2.7873378576227799E-5</v>
      </c>
      <c r="D19175" s="1">
        <v>1.09515230830727E-5</v>
      </c>
      <c r="E19175" s="1">
        <v>1.37638670960993E-5</v>
      </c>
      <c r="F19175" s="1">
        <v>2.60842460283474E-5</v>
      </c>
    </row>
    <row r="19176" spans="1:6" x14ac:dyDescent="0.25">
      <c r="A19176" s="2" t="str">
        <f t="shared" si="687"/>
        <v>19820</v>
      </c>
      <c r="B19176" s="2" t="str">
        <f>"48059"</f>
        <v>48059</v>
      </c>
      <c r="C19176" s="1">
        <v>3.9922502227425199E-3</v>
      </c>
      <c r="D19176" s="1">
        <v>3.3675933480448702E-3</v>
      </c>
      <c r="E19176" s="1">
        <v>3.3446197043521301E-3</v>
      </c>
      <c r="F19176" s="1">
        <v>3.9222011277958496E-3</v>
      </c>
    </row>
    <row r="19177" spans="1:6" x14ac:dyDescent="0.25">
      <c r="A19177" s="2" t="str">
        <f t="shared" si="687"/>
        <v>19820</v>
      </c>
      <c r="B19177" s="2" t="str">
        <f>"48045"</f>
        <v>48045</v>
      </c>
      <c r="C19177" s="1">
        <v>6.5947435698071599E-3</v>
      </c>
      <c r="D19177" s="1">
        <v>2.53527759373134E-3</v>
      </c>
      <c r="E19177" s="1">
        <v>9.2630825556748401E-3</v>
      </c>
      <c r="F19177" s="1">
        <v>6.3567307571082803E-3</v>
      </c>
    </row>
    <row r="19178" spans="1:6" x14ac:dyDescent="0.25">
      <c r="A19178" s="2" t="str">
        <f t="shared" si="687"/>
        <v>19820</v>
      </c>
      <c r="B19178" s="2" t="str">
        <f>"48043"</f>
        <v>48043</v>
      </c>
      <c r="C19178" s="1">
        <v>3.82745498449359E-3</v>
      </c>
      <c r="D19178" s="1">
        <v>6.4504470959298602E-3</v>
      </c>
      <c r="E19178" s="1">
        <v>7.5976546370468204E-3</v>
      </c>
      <c r="F19178" s="1">
        <v>4.1547856548819397E-3</v>
      </c>
    </row>
    <row r="19179" spans="1:6" x14ac:dyDescent="0.25">
      <c r="A19179" s="2" t="str">
        <f t="shared" si="687"/>
        <v>19820</v>
      </c>
      <c r="B19179" s="2" t="str">
        <f>"48085"</f>
        <v>48085</v>
      </c>
      <c r="C19179" s="1">
        <v>4.5966624318691399E-3</v>
      </c>
      <c r="D19179" s="1">
        <v>2.59003520914671E-3</v>
      </c>
      <c r="E19179" s="1">
        <v>8.6712362705425696E-4</v>
      </c>
      <c r="F19179" s="1">
        <v>4.31955114229434E-3</v>
      </c>
    </row>
    <row r="19180" spans="1:6" x14ac:dyDescent="0.25">
      <c r="A19180" s="2" t="str">
        <f t="shared" si="687"/>
        <v>19820</v>
      </c>
      <c r="B19180" s="2" t="str">
        <f>"48064"</f>
        <v>48064</v>
      </c>
      <c r="C19180" s="1">
        <v>9.25689572715776E-4</v>
      </c>
      <c r="D19180" s="1">
        <v>3.2306993095064599E-4</v>
      </c>
      <c r="E19180" s="1">
        <v>1.1011093676879401E-4</v>
      </c>
      <c r="F19180" s="1">
        <v>8.52085370259351E-4</v>
      </c>
    </row>
    <row r="19181" spans="1:6" x14ac:dyDescent="0.25">
      <c r="A19181" s="2" t="str">
        <f t="shared" si="687"/>
        <v>19820</v>
      </c>
      <c r="B19181" s="2" t="str">
        <f>"48061"</f>
        <v>48061</v>
      </c>
      <c r="C19181" s="1">
        <v>4.6406730296210801E-4</v>
      </c>
      <c r="D19181" s="1">
        <v>1.3908434315502401E-3</v>
      </c>
      <c r="E19181" s="1">
        <v>2.75277341921986E-5</v>
      </c>
      <c r="F19181" s="1">
        <v>5.2385860773597795E-4</v>
      </c>
    </row>
    <row r="19182" spans="1:6" x14ac:dyDescent="0.25">
      <c r="A19182" s="2" t="str">
        <f t="shared" si="687"/>
        <v>19820</v>
      </c>
      <c r="B19182" s="2" t="str">
        <f>"48005"</f>
        <v>48005</v>
      </c>
      <c r="C19182" s="1">
        <v>1.0293589807536701E-3</v>
      </c>
      <c r="D19182" s="1">
        <v>3.88779069449083E-4</v>
      </c>
      <c r="E19182" s="1">
        <v>2.8904120901808498E-4</v>
      </c>
      <c r="F19182" s="1">
        <v>9.5511814207132305E-4</v>
      </c>
    </row>
    <row r="19183" spans="1:6" x14ac:dyDescent="0.25">
      <c r="A19183" s="2" t="str">
        <f t="shared" si="687"/>
        <v>19820</v>
      </c>
      <c r="B19183" s="2" t="str">
        <f>"48727"</f>
        <v>48727</v>
      </c>
      <c r="C19183" s="1">
        <v>1.68707291382431E-4</v>
      </c>
      <c r="D19183" s="1">
        <v>4.9281853873827498E-5</v>
      </c>
      <c r="E19183" s="1">
        <v>0</v>
      </c>
      <c r="F19183" s="1">
        <v>1.5389705156724999E-4</v>
      </c>
    </row>
    <row r="19184" spans="1:6" x14ac:dyDescent="0.25">
      <c r="A19184" s="2" t="str">
        <f t="shared" si="687"/>
        <v>19820</v>
      </c>
      <c r="B19184" s="2" t="str">
        <f>"48423"</f>
        <v>48423</v>
      </c>
      <c r="C19184" s="1">
        <v>2.5428345367786701E-5</v>
      </c>
      <c r="D19184" s="1">
        <v>0</v>
      </c>
      <c r="E19184" s="1">
        <v>0</v>
      </c>
      <c r="F19184" s="1">
        <v>2.26063465579011E-5</v>
      </c>
    </row>
    <row r="19185" spans="1:6" x14ac:dyDescent="0.25">
      <c r="A19185" s="2" t="str">
        <f t="shared" si="687"/>
        <v>19820</v>
      </c>
      <c r="B19185" s="2" t="str">
        <f>"48383"</f>
        <v>48383</v>
      </c>
      <c r="C19185" s="1">
        <v>2.58440010132217E-3</v>
      </c>
      <c r="D19185" s="1">
        <v>5.53051915695175E-4</v>
      </c>
      <c r="E19185" s="1">
        <v>4.2667987997907801E-4</v>
      </c>
      <c r="F19185" s="1">
        <v>2.35497267892597E-3</v>
      </c>
    </row>
    <row r="19186" spans="1:6" x14ac:dyDescent="0.25">
      <c r="A19186" s="2" t="str">
        <f t="shared" si="687"/>
        <v>19820</v>
      </c>
      <c r="B19186" s="2" t="str">
        <f>"48361"</f>
        <v>48361</v>
      </c>
      <c r="C19186" s="1">
        <v>2.4743736069423201E-4</v>
      </c>
      <c r="D19186" s="1">
        <v>1.42369800079946E-3</v>
      </c>
      <c r="E19186" s="1">
        <v>2.75277341921986E-5</v>
      </c>
      <c r="F19186" s="1">
        <v>3.3387834916284698E-4</v>
      </c>
    </row>
    <row r="19187" spans="1:6" x14ac:dyDescent="0.25">
      <c r="A19187" s="2" t="str">
        <f t="shared" si="687"/>
        <v>19820</v>
      </c>
      <c r="B19187" s="2" t="str">
        <f>"48376"</f>
        <v>48376</v>
      </c>
      <c r="C19187" s="1">
        <v>3.1883233038071097E-4</v>
      </c>
      <c r="D19187" s="1">
        <v>2.29981984744528E-3</v>
      </c>
      <c r="E19187" s="1">
        <v>1.37638670960993E-5</v>
      </c>
      <c r="F19187" s="1">
        <v>4.6647326647361403E-4</v>
      </c>
    </row>
    <row r="19188" spans="1:6" x14ac:dyDescent="0.25">
      <c r="A19188" s="2" t="str">
        <f t="shared" si="687"/>
        <v>19820</v>
      </c>
      <c r="B19188" s="2" t="str">
        <f>"48374"</f>
        <v>48374</v>
      </c>
      <c r="C19188" s="1">
        <v>2.9814734943730001E-3</v>
      </c>
      <c r="D19188" s="1">
        <v>1.54416475471326E-3</v>
      </c>
      <c r="E19188" s="1">
        <v>5.23026949651774E-4</v>
      </c>
      <c r="F19188" s="1">
        <v>2.7897101127317601E-3</v>
      </c>
    </row>
    <row r="19189" spans="1:6" x14ac:dyDescent="0.25">
      <c r="A19189" s="2" t="str">
        <f t="shared" si="687"/>
        <v>19820</v>
      </c>
      <c r="B19189" s="2" t="str">
        <f>"48382"</f>
        <v>48382</v>
      </c>
      <c r="C19189" s="1">
        <v>4.4093728881025602E-3</v>
      </c>
      <c r="D19189" s="1">
        <v>2.1026924319499699E-3</v>
      </c>
      <c r="E19189" s="1">
        <v>9.3594296253475301E-4</v>
      </c>
      <c r="F19189" s="1">
        <v>4.1165287607070299E-3</v>
      </c>
    </row>
    <row r="19190" spans="1:6" x14ac:dyDescent="0.25">
      <c r="A19190" s="2" t="str">
        <f t="shared" si="687"/>
        <v>19820</v>
      </c>
      <c r="B19190" s="2" t="str">
        <f>"48320"</f>
        <v>48320</v>
      </c>
      <c r="C19190" s="1">
        <v>1.1183581895409299E-3</v>
      </c>
      <c r="D19190" s="1">
        <v>2.12459547811611E-3</v>
      </c>
      <c r="E19190" s="1">
        <v>3.59236931208192E-3</v>
      </c>
      <c r="F19190" s="1">
        <v>1.2763891056537999E-3</v>
      </c>
    </row>
    <row r="19191" spans="1:6" x14ac:dyDescent="0.25">
      <c r="A19191" s="2" t="str">
        <f t="shared" si="687"/>
        <v>19820</v>
      </c>
      <c r="B19191" s="2" t="str">
        <f>"48346"</f>
        <v>48346</v>
      </c>
      <c r="C19191" s="1">
        <v>4.8323636331628599E-3</v>
      </c>
      <c r="D19191" s="1">
        <v>5.3333917414564403E-3</v>
      </c>
      <c r="E19191" s="1">
        <v>6.1249208577641902E-3</v>
      </c>
      <c r="F19191" s="1">
        <v>4.9129677394392397E-3</v>
      </c>
    </row>
    <row r="19192" spans="1:6" x14ac:dyDescent="0.25">
      <c r="A19192" s="2" t="str">
        <f t="shared" si="687"/>
        <v>19820</v>
      </c>
      <c r="B19192" s="2" t="str">
        <f>"48343"</f>
        <v>48343</v>
      </c>
      <c r="C19192" s="1">
        <v>7.8241062670113097E-4</v>
      </c>
      <c r="D19192" s="1">
        <v>9.1445217743657602E-4</v>
      </c>
      <c r="E19192" s="1">
        <v>2.75277341921986E-5</v>
      </c>
      <c r="F19192" s="1">
        <v>7.6905052040244495E-4</v>
      </c>
    </row>
    <row r="19193" spans="1:6" x14ac:dyDescent="0.25">
      <c r="A19193" s="2" t="str">
        <f t="shared" si="687"/>
        <v>19820</v>
      </c>
      <c r="B19193" s="2" t="str">
        <f>"48314"</f>
        <v>48314</v>
      </c>
      <c r="C19193" s="1">
        <v>4.4030158017606099E-3</v>
      </c>
      <c r="D19193" s="1">
        <v>5.1964977029180298E-3</v>
      </c>
      <c r="E19193" s="1">
        <v>3.8263550527156101E-3</v>
      </c>
      <c r="F19193" s="1">
        <v>4.4477986852670499E-3</v>
      </c>
    </row>
    <row r="19194" spans="1:6" x14ac:dyDescent="0.25">
      <c r="A19194" s="2" t="str">
        <f t="shared" si="687"/>
        <v>19820</v>
      </c>
      <c r="B19194" s="2" t="str">
        <f>"48312"</f>
        <v>48312</v>
      </c>
      <c r="C19194" s="1">
        <v>7.0578328594858896E-3</v>
      </c>
      <c r="D19194" s="1">
        <v>5.0212733335888602E-3</v>
      </c>
      <c r="E19194" s="1">
        <v>9.5658876317890208E-3</v>
      </c>
      <c r="F19194" s="1">
        <v>6.9753621254139203E-3</v>
      </c>
    </row>
    <row r="19195" spans="1:6" x14ac:dyDescent="0.25">
      <c r="A19195" s="2" t="str">
        <f t="shared" si="687"/>
        <v>19820</v>
      </c>
      <c r="B19195" s="2" t="str">
        <f>"48308"</f>
        <v>48308</v>
      </c>
      <c r="C19195" s="1">
        <v>4.2543577826873998E-4</v>
      </c>
      <c r="D19195" s="1">
        <v>3.3128357326295101E-3</v>
      </c>
      <c r="E19195" s="1">
        <v>2.75277341921986E-5</v>
      </c>
      <c r="F19195" s="1">
        <v>6.4210718973115402E-4</v>
      </c>
    </row>
    <row r="19196" spans="1:6" x14ac:dyDescent="0.25">
      <c r="A19196" s="2" t="str">
        <f t="shared" si="687"/>
        <v>19820</v>
      </c>
      <c r="B19196" s="2" t="str">
        <f>"48233"</f>
        <v>48233</v>
      </c>
      <c r="C19196" s="1">
        <v>0</v>
      </c>
      <c r="D19196" s="1">
        <v>2.2998198474452801E-4</v>
      </c>
      <c r="E19196" s="1">
        <v>4.1291601288297901E-5</v>
      </c>
      <c r="F19196" s="1">
        <v>1.9563184521260598E-5</v>
      </c>
    </row>
    <row r="19197" spans="1:6" x14ac:dyDescent="0.25">
      <c r="A19197" s="2" t="str">
        <f t="shared" si="687"/>
        <v>19820</v>
      </c>
      <c r="B19197" s="2" t="str">
        <f>"48237"</f>
        <v>48237</v>
      </c>
      <c r="C19197" s="1">
        <v>7.0015970956917497E-3</v>
      </c>
      <c r="D19197" s="1">
        <v>9.4675917053164103E-3</v>
      </c>
      <c r="E19197" s="1">
        <v>6.4827814022627699E-3</v>
      </c>
      <c r="F19197" s="1">
        <v>7.1809929316040601E-3</v>
      </c>
    </row>
    <row r="19198" spans="1:6" x14ac:dyDescent="0.25">
      <c r="A19198" s="2" t="str">
        <f t="shared" si="687"/>
        <v>19820</v>
      </c>
      <c r="B19198" s="2" t="str">
        <f>"48244"</f>
        <v>48244</v>
      </c>
      <c r="C19198" s="1">
        <v>6.2201644822739897E-4</v>
      </c>
      <c r="D19198" s="1">
        <v>1.9712741549531001E-3</v>
      </c>
      <c r="E19198" s="1">
        <v>2.75277341921986E-5</v>
      </c>
      <c r="F19198" s="1">
        <v>7.10360966838663E-4</v>
      </c>
    </row>
    <row r="19199" spans="1:6" x14ac:dyDescent="0.25">
      <c r="A19199" s="2" t="str">
        <f t="shared" si="687"/>
        <v>19820</v>
      </c>
      <c r="B19199" s="2" t="str">
        <f>"48242"</f>
        <v>48242</v>
      </c>
      <c r="C19199" s="1">
        <v>1.6137219175710801E-4</v>
      </c>
      <c r="D19199" s="1">
        <v>2.5955109706882399E-3</v>
      </c>
      <c r="E19199" s="1">
        <v>8.2583202576595898E-5</v>
      </c>
      <c r="F19199" s="1">
        <v>3.52137321382691E-4</v>
      </c>
    </row>
    <row r="19200" spans="1:6" x14ac:dyDescent="0.25">
      <c r="A19200" s="2" t="str">
        <f t="shared" si="687"/>
        <v>19820</v>
      </c>
      <c r="B19200" s="2" t="str">
        <f>"48226"</f>
        <v>48226</v>
      </c>
      <c r="C19200" s="1">
        <v>2.3125124085435298E-3</v>
      </c>
      <c r="D19200" s="1">
        <v>1.8299995071814599E-2</v>
      </c>
      <c r="E19200" s="1">
        <v>5.4642552371514299E-3</v>
      </c>
      <c r="F19200" s="1">
        <v>3.6813565894674399E-3</v>
      </c>
    </row>
    <row r="19201" spans="1:6" x14ac:dyDescent="0.25">
      <c r="A19201" s="2" t="str">
        <f t="shared" si="687"/>
        <v>19820</v>
      </c>
      <c r="B19201" s="2" t="str">
        <f>"48204"</f>
        <v>48204</v>
      </c>
      <c r="C19201" s="1">
        <v>7.9908575318269892E-3</v>
      </c>
      <c r="D19201" s="1">
        <v>5.3498190260810501E-3</v>
      </c>
      <c r="E19201" s="1">
        <v>1.75902221488149E-2</v>
      </c>
      <c r="F19201" s="1">
        <v>8.0843773190524895E-3</v>
      </c>
    </row>
    <row r="19202" spans="1:6" x14ac:dyDescent="0.25">
      <c r="A19202" s="2" t="str">
        <f t="shared" si="687"/>
        <v>19820</v>
      </c>
      <c r="B19202" s="2" t="str">
        <f>"48184"</f>
        <v>48184</v>
      </c>
      <c r="C19202" s="1">
        <v>4.2338195037364898E-3</v>
      </c>
      <c r="D19202" s="1">
        <v>4.1451514869430403E-3</v>
      </c>
      <c r="E19202" s="1">
        <v>3.1106339637184399E-3</v>
      </c>
      <c r="F19202" s="1">
        <v>4.19130359932163E-3</v>
      </c>
    </row>
    <row r="19203" spans="1:6" x14ac:dyDescent="0.25">
      <c r="A19203" s="2" t="str">
        <f t="shared" si="687"/>
        <v>19820</v>
      </c>
      <c r="B19203" s="2" t="str">
        <f>"48186"</f>
        <v>48186</v>
      </c>
      <c r="C19203" s="1">
        <v>7.5688448000500704E-3</v>
      </c>
      <c r="D19203" s="1">
        <v>2.8364444785158398E-3</v>
      </c>
      <c r="E19203" s="1">
        <v>3.6749525146585098E-3</v>
      </c>
      <c r="F19203" s="1">
        <v>7.0701348859835804E-3</v>
      </c>
    </row>
    <row r="19204" spans="1:6" x14ac:dyDescent="0.25">
      <c r="A19204" s="2" t="str">
        <f t="shared" si="687"/>
        <v>19820</v>
      </c>
      <c r="B19204" s="2" t="str">
        <f>"48180"</f>
        <v>48180</v>
      </c>
      <c r="C19204" s="1">
        <v>1.4186571682016501E-2</v>
      </c>
      <c r="D19204" s="1">
        <v>1.3760588753880899E-2</v>
      </c>
      <c r="E19204" s="1">
        <v>4.1566878630219899E-3</v>
      </c>
      <c r="F19204" s="1">
        <v>1.3835953568303101E-2</v>
      </c>
    </row>
    <row r="19205" spans="1:6" x14ac:dyDescent="0.25">
      <c r="A19205" s="2" t="str">
        <f t="shared" si="687"/>
        <v>19820</v>
      </c>
      <c r="B19205" s="2" t="str">
        <f>"48127"</f>
        <v>48127</v>
      </c>
      <c r="C19205" s="1">
        <v>7.8514906389458503E-3</v>
      </c>
      <c r="D19205" s="1">
        <v>5.47028577999485E-3</v>
      </c>
      <c r="E19205" s="1">
        <v>7.1572108899716396E-3</v>
      </c>
      <c r="F19205" s="1">
        <v>7.6405103991367797E-3</v>
      </c>
    </row>
    <row r="19206" spans="1:6" x14ac:dyDescent="0.25">
      <c r="A19206" s="2" t="str">
        <f t="shared" si="687"/>
        <v>19820</v>
      </c>
      <c r="B19206" s="2" t="str">
        <f>"48054"</f>
        <v>48054</v>
      </c>
      <c r="C19206" s="1">
        <v>1.56922231317745E-3</v>
      </c>
      <c r="D19206" s="1">
        <v>6.1876105419361098E-4</v>
      </c>
      <c r="E19206" s="1">
        <v>8.25832025765959E-4</v>
      </c>
      <c r="F19206" s="1">
        <v>1.4702820011311801E-3</v>
      </c>
    </row>
    <row r="19207" spans="1:6" x14ac:dyDescent="0.25">
      <c r="A19207" s="2" t="str">
        <f t="shared" ref="A19207:A19270" si="688">"19820"</f>
        <v>19820</v>
      </c>
      <c r="B19207" s="2" t="str">
        <f>"48084"</f>
        <v>48084</v>
      </c>
      <c r="C19207" s="1">
        <v>3.60789100237559E-3</v>
      </c>
      <c r="D19207" s="1">
        <v>1.2616154591699799E-2</v>
      </c>
      <c r="E19207" s="1">
        <v>1.7507638946238298E-2</v>
      </c>
      <c r="F19207" s="1">
        <v>4.7621138499086297E-3</v>
      </c>
    </row>
    <row r="19208" spans="1:6" x14ac:dyDescent="0.25">
      <c r="A19208" s="2" t="str">
        <f t="shared" si="688"/>
        <v>19820</v>
      </c>
      <c r="B19208" s="2" t="str">
        <f>"48073"</f>
        <v>48073</v>
      </c>
      <c r="C19208" s="1">
        <v>8.7541968995022805E-3</v>
      </c>
      <c r="D19208" s="1">
        <v>4.5339305563921297E-3</v>
      </c>
      <c r="E19208" s="1">
        <v>1.6681806920472299E-2</v>
      </c>
      <c r="F19208" s="1">
        <v>8.6695339049550901E-3</v>
      </c>
    </row>
    <row r="19209" spans="1:6" x14ac:dyDescent="0.25">
      <c r="A19209" s="2" t="str">
        <f t="shared" si="688"/>
        <v>19820</v>
      </c>
      <c r="B19209" s="2" t="str">
        <f>"48082"</f>
        <v>48082</v>
      </c>
      <c r="C19209" s="1">
        <v>3.6993352443712799E-3</v>
      </c>
      <c r="D19209" s="1">
        <v>1.48393137775636E-3</v>
      </c>
      <c r="E19209" s="1">
        <v>7.4324882318936298E-4</v>
      </c>
      <c r="F19209" s="1">
        <v>3.43007835272769E-3</v>
      </c>
    </row>
    <row r="19210" spans="1:6" x14ac:dyDescent="0.25">
      <c r="A19210" s="2" t="str">
        <f t="shared" si="688"/>
        <v>19820</v>
      </c>
      <c r="B19210" s="2" t="str">
        <f>"48066"</f>
        <v>48066</v>
      </c>
      <c r="C19210" s="1">
        <v>1.07791734027331E-2</v>
      </c>
      <c r="D19210" s="1">
        <v>1.0491559113583701E-2</v>
      </c>
      <c r="E19210" s="1">
        <v>1.0075150714344699E-2</v>
      </c>
      <c r="F19210" s="1">
        <v>1.07341019780987E-2</v>
      </c>
    </row>
    <row r="19211" spans="1:6" x14ac:dyDescent="0.25">
      <c r="A19211" s="2" t="str">
        <f t="shared" si="688"/>
        <v>19820</v>
      </c>
      <c r="B19211" s="2" t="str">
        <f>"48003"</f>
        <v>48003</v>
      </c>
      <c r="C19211" s="1">
        <v>1.30026866024894E-3</v>
      </c>
      <c r="D19211" s="1">
        <v>8.0493694660584896E-4</v>
      </c>
      <c r="E19211" s="1">
        <v>5.9184628513227005E-4</v>
      </c>
      <c r="F19211" s="1">
        <v>1.2385669489126899E-3</v>
      </c>
    </row>
    <row r="19212" spans="1:6" x14ac:dyDescent="0.25">
      <c r="A19212" s="2" t="str">
        <f t="shared" si="688"/>
        <v>19820</v>
      </c>
      <c r="B19212" s="2" t="str">
        <f>"48022"</f>
        <v>48022</v>
      </c>
      <c r="C19212" s="1">
        <v>5.1101194056417604E-4</v>
      </c>
      <c r="D19212" s="1">
        <v>1.3689403853840899E-4</v>
      </c>
      <c r="E19212" s="1">
        <v>9.6347069672695203E-5</v>
      </c>
      <c r="F19212" s="1">
        <v>4.6821221620883699E-4</v>
      </c>
    </row>
    <row r="19213" spans="1:6" x14ac:dyDescent="0.25">
      <c r="A19213" s="2" t="str">
        <f t="shared" si="688"/>
        <v>19820</v>
      </c>
      <c r="B19213" s="2" t="str">
        <f>"48026"</f>
        <v>48026</v>
      </c>
      <c r="C19213" s="1">
        <v>3.69200014474596E-3</v>
      </c>
      <c r="D19213" s="1">
        <v>5.5359949184932804E-3</v>
      </c>
      <c r="E19213" s="1">
        <v>3.05557849533404E-3</v>
      </c>
      <c r="F19213" s="1">
        <v>3.8182988811162602E-3</v>
      </c>
    </row>
    <row r="19214" spans="1:6" x14ac:dyDescent="0.25">
      <c r="A19214" s="2" t="str">
        <f t="shared" si="688"/>
        <v>19820</v>
      </c>
      <c r="B19214" s="2" t="str">
        <f>"48892"</f>
        <v>48892</v>
      </c>
      <c r="C19214" s="1">
        <v>1.63817224965549E-4</v>
      </c>
      <c r="D19214" s="1">
        <v>1.09515230830727E-5</v>
      </c>
      <c r="E19214" s="1">
        <v>0</v>
      </c>
      <c r="F19214" s="1">
        <v>1.46506515192551E-4</v>
      </c>
    </row>
    <row r="19215" spans="1:6" x14ac:dyDescent="0.25">
      <c r="A19215" s="2" t="str">
        <f t="shared" si="688"/>
        <v>19820</v>
      </c>
      <c r="B19215" s="2" t="str">
        <f>"48462"</f>
        <v>48462</v>
      </c>
      <c r="C19215" s="1">
        <v>2.6254766592239799E-3</v>
      </c>
      <c r="D19215" s="1">
        <v>1.14990992372264E-3</v>
      </c>
      <c r="E19215" s="1">
        <v>9.7723456382305097E-4</v>
      </c>
      <c r="F19215" s="1">
        <v>2.4562665010027201E-3</v>
      </c>
    </row>
    <row r="19216" spans="1:6" x14ac:dyDescent="0.25">
      <c r="A19216" s="2" t="str">
        <f t="shared" si="688"/>
        <v>19820</v>
      </c>
      <c r="B19216" s="2" t="str">
        <f>"48438"</f>
        <v>48438</v>
      </c>
      <c r="C19216" s="1">
        <v>2.0049272309216501E-4</v>
      </c>
      <c r="D19216" s="1">
        <v>5.4757615415363797E-6</v>
      </c>
      <c r="E19216" s="1">
        <v>0</v>
      </c>
      <c r="F19216" s="1">
        <v>1.7867708529418E-4</v>
      </c>
    </row>
    <row r="19217" spans="1:6" x14ac:dyDescent="0.25">
      <c r="A19217" s="2" t="str">
        <f t="shared" si="688"/>
        <v>19820</v>
      </c>
      <c r="B19217" s="2" t="str">
        <f>"48444"</f>
        <v>48444</v>
      </c>
      <c r="C19217" s="1">
        <v>1.9369553077269799E-3</v>
      </c>
      <c r="D19217" s="1">
        <v>2.2012561396976202E-3</v>
      </c>
      <c r="E19217" s="1">
        <v>2.35362127343298E-3</v>
      </c>
      <c r="F19217" s="1">
        <v>1.97109952487545E-3</v>
      </c>
    </row>
    <row r="19218" spans="1:6" x14ac:dyDescent="0.25">
      <c r="A19218" s="2" t="str">
        <f t="shared" si="688"/>
        <v>19820</v>
      </c>
      <c r="B19218" s="2" t="str">
        <f>"48418"</f>
        <v>48418</v>
      </c>
      <c r="C19218" s="1">
        <v>9.6334308412576798E-5</v>
      </c>
      <c r="D19218" s="1">
        <v>0</v>
      </c>
      <c r="E19218" s="1">
        <v>0</v>
      </c>
      <c r="F19218" s="1">
        <v>8.5643274459740897E-5</v>
      </c>
    </row>
    <row r="19219" spans="1:6" x14ac:dyDescent="0.25">
      <c r="A19219" s="2" t="str">
        <f t="shared" si="688"/>
        <v>19820</v>
      </c>
      <c r="B19219" s="2" t="str">
        <f>"48330"</f>
        <v>48330</v>
      </c>
      <c r="C19219" s="1">
        <v>3.22255376872528E-4</v>
      </c>
      <c r="D19219" s="1">
        <v>9.9111283901808607E-4</v>
      </c>
      <c r="E19219" s="1">
        <v>2.75277341921986E-5</v>
      </c>
      <c r="F19219" s="1">
        <v>3.6604891926447601E-4</v>
      </c>
    </row>
    <row r="19220" spans="1:6" x14ac:dyDescent="0.25">
      <c r="A19220" s="2" t="str">
        <f t="shared" si="688"/>
        <v>19820</v>
      </c>
      <c r="B19220" s="2" t="str">
        <f>"48390"</f>
        <v>48390</v>
      </c>
      <c r="C19220" s="1">
        <v>5.8587885740664101E-3</v>
      </c>
      <c r="D19220" s="1">
        <v>8.3888666816337408E-3</v>
      </c>
      <c r="E19220" s="1">
        <v>5.1063946926528398E-3</v>
      </c>
      <c r="F19220" s="1">
        <v>6.0358945309596001E-3</v>
      </c>
    </row>
    <row r="19221" spans="1:6" x14ac:dyDescent="0.25">
      <c r="A19221" s="2" t="str">
        <f t="shared" si="688"/>
        <v>19820</v>
      </c>
      <c r="B19221" s="2" t="str">
        <f>"48371"</f>
        <v>48371</v>
      </c>
      <c r="C19221" s="1">
        <v>5.0714878809483901E-3</v>
      </c>
      <c r="D19221" s="1">
        <v>4.5613093640998097E-3</v>
      </c>
      <c r="E19221" s="1">
        <v>2.8491204888925498E-3</v>
      </c>
      <c r="F19221" s="1">
        <v>4.9607888571578801E-3</v>
      </c>
    </row>
    <row r="19222" spans="1:6" x14ac:dyDescent="0.25">
      <c r="A19222" s="2" t="str">
        <f t="shared" si="688"/>
        <v>19820</v>
      </c>
      <c r="B19222" s="2" t="str">
        <f>"48342"</f>
        <v>48342</v>
      </c>
      <c r="C19222" s="1">
        <v>4.1898089059845597E-3</v>
      </c>
      <c r="D19222" s="1">
        <v>5.2019734644595597E-3</v>
      </c>
      <c r="E19222" s="1">
        <v>3.8538827869078001E-3</v>
      </c>
      <c r="F19222" s="1">
        <v>4.2595573764291402E-3</v>
      </c>
    </row>
    <row r="19223" spans="1:6" x14ac:dyDescent="0.25">
      <c r="A19223" s="2" t="str">
        <f t="shared" si="688"/>
        <v>19820</v>
      </c>
      <c r="B19223" s="2" t="str">
        <f>"48340"</f>
        <v>48340</v>
      </c>
      <c r="C19223" s="1">
        <v>5.5600055159949098E-3</v>
      </c>
      <c r="D19223" s="1">
        <v>2.9842900401373302E-3</v>
      </c>
      <c r="E19223" s="1">
        <v>2.35362127343298E-3</v>
      </c>
      <c r="F19223" s="1">
        <v>5.2542366249767897E-3</v>
      </c>
    </row>
    <row r="19224" spans="1:6" x14ac:dyDescent="0.25">
      <c r="A19224" s="2" t="str">
        <f t="shared" si="688"/>
        <v>19820</v>
      </c>
      <c r="B19224" s="2" t="str">
        <f>"48348"</f>
        <v>48348</v>
      </c>
      <c r="C19224" s="1">
        <v>4.6988648199819804E-3</v>
      </c>
      <c r="D19224" s="1">
        <v>1.23752210838722E-3</v>
      </c>
      <c r="E19224" s="1">
        <v>1.63790018443581E-3</v>
      </c>
      <c r="F19224" s="1">
        <v>4.3273764161028396E-3</v>
      </c>
    </row>
    <row r="19225" spans="1:6" x14ac:dyDescent="0.25">
      <c r="A19225" s="2" t="str">
        <f t="shared" si="688"/>
        <v>19820</v>
      </c>
      <c r="B19225" s="2" t="str">
        <f>"48239"</f>
        <v>48239</v>
      </c>
      <c r="C19225" s="1">
        <v>7.8363314330535203E-3</v>
      </c>
      <c r="D19225" s="1">
        <v>6.5873411344682699E-3</v>
      </c>
      <c r="E19225" s="1">
        <v>2.76653728631596E-3</v>
      </c>
      <c r="F19225" s="1">
        <v>7.5770387338011296E-3</v>
      </c>
    </row>
    <row r="19226" spans="1:6" x14ac:dyDescent="0.25">
      <c r="A19226" s="2" t="str">
        <f t="shared" si="688"/>
        <v>19820</v>
      </c>
      <c r="B19226" s="2" t="str">
        <f>"48209"</f>
        <v>48209</v>
      </c>
      <c r="C19226" s="1">
        <v>5.3257713346262598E-3</v>
      </c>
      <c r="D19226" s="1">
        <v>5.5305191569517496E-3</v>
      </c>
      <c r="E19226" s="1">
        <v>9.00156908084895E-3</v>
      </c>
      <c r="F19226" s="1">
        <v>5.4581284814317101E-3</v>
      </c>
    </row>
    <row r="19227" spans="1:6" x14ac:dyDescent="0.25">
      <c r="A19227" s="2" t="str">
        <f t="shared" si="688"/>
        <v>19820</v>
      </c>
      <c r="B19227" s="2" t="str">
        <f>"48225"</f>
        <v>48225</v>
      </c>
      <c r="C19227" s="1">
        <v>3.3188880771378602E-3</v>
      </c>
      <c r="D19227" s="1">
        <v>2.6666958707282202E-3</v>
      </c>
      <c r="E19227" s="1">
        <v>5.62942164230462E-3</v>
      </c>
      <c r="F19227" s="1">
        <v>3.3400877039298899E-3</v>
      </c>
    </row>
    <row r="19228" spans="1:6" x14ac:dyDescent="0.25">
      <c r="A19228" s="2" t="str">
        <f t="shared" si="688"/>
        <v>19820</v>
      </c>
      <c r="B19228" s="2" t="str">
        <f>"48229"</f>
        <v>48229</v>
      </c>
      <c r="C19228" s="1">
        <v>2.24894154512406E-3</v>
      </c>
      <c r="D19228" s="1">
        <v>1.64820422400245E-3</v>
      </c>
      <c r="E19228" s="1">
        <v>5.0375753571723497E-3</v>
      </c>
      <c r="F19228" s="1">
        <v>2.28932732642129E-3</v>
      </c>
    </row>
    <row r="19229" spans="1:6" x14ac:dyDescent="0.25">
      <c r="A19229" s="2" t="str">
        <f t="shared" si="688"/>
        <v>19820</v>
      </c>
      <c r="B19229" s="2" t="str">
        <f>"48165"</f>
        <v>48165</v>
      </c>
      <c r="C19229" s="1">
        <v>2.1027285592592898E-3</v>
      </c>
      <c r="D19229" s="1">
        <v>2.2122076627807E-3</v>
      </c>
      <c r="E19229" s="1">
        <v>1.5828447160514199E-3</v>
      </c>
      <c r="F19229" s="1">
        <v>2.0949996935101002E-3</v>
      </c>
    </row>
    <row r="19230" spans="1:6" x14ac:dyDescent="0.25">
      <c r="A19230" s="2" t="str">
        <f t="shared" si="688"/>
        <v>19820</v>
      </c>
      <c r="B19230" s="2" t="str">
        <f>"48136"</f>
        <v>48136</v>
      </c>
      <c r="C19230" s="1">
        <v>9.31557652416035E-4</v>
      </c>
      <c r="D19230" s="1">
        <v>2.1738773319899402E-3</v>
      </c>
      <c r="E19230" s="1">
        <v>2.75277341921986E-5</v>
      </c>
      <c r="F19230" s="1">
        <v>1.0016350474885401E-3</v>
      </c>
    </row>
    <row r="19231" spans="1:6" x14ac:dyDescent="0.25">
      <c r="A19231" s="2" t="str">
        <f t="shared" si="688"/>
        <v>19820</v>
      </c>
      <c r="B19231" s="2" t="str">
        <f>"48116"</f>
        <v>48116</v>
      </c>
      <c r="C19231" s="1">
        <v>6.4377724378252496E-3</v>
      </c>
      <c r="D19231" s="1">
        <v>1.19426359220908E-2</v>
      </c>
      <c r="E19231" s="1">
        <v>7.06086382029895E-3</v>
      </c>
      <c r="F19231" s="1">
        <v>6.89450096272604E-3</v>
      </c>
    </row>
    <row r="19232" spans="1:6" x14ac:dyDescent="0.25">
      <c r="A19232" s="2" t="str">
        <f t="shared" si="688"/>
        <v>19820</v>
      </c>
      <c r="B19232" s="2" t="str">
        <f>"48044"</f>
        <v>48044</v>
      </c>
      <c r="C19232" s="1">
        <v>1.0078915891835599E-2</v>
      </c>
      <c r="D19232" s="1">
        <v>3.4278267250017701E-3</v>
      </c>
      <c r="E19232" s="1">
        <v>2.9041759572769501E-3</v>
      </c>
      <c r="F19232" s="1">
        <v>9.3242484802666097E-3</v>
      </c>
    </row>
    <row r="19233" spans="1:6" x14ac:dyDescent="0.25">
      <c r="A19233" s="2" t="str">
        <f t="shared" si="688"/>
        <v>19820</v>
      </c>
      <c r="B19233" s="2" t="str">
        <f>"48072"</f>
        <v>48072</v>
      </c>
      <c r="C19233" s="1">
        <v>3.7418788221981599E-3</v>
      </c>
      <c r="D19233" s="1">
        <v>4.1725302946507203E-3</v>
      </c>
      <c r="E19233" s="1">
        <v>1.8030665895890101E-3</v>
      </c>
      <c r="F19233" s="1">
        <v>3.7148313718704802E-3</v>
      </c>
    </row>
    <row r="19234" spans="1:6" x14ac:dyDescent="0.25">
      <c r="A19234" s="2" t="str">
        <f t="shared" si="688"/>
        <v>19820</v>
      </c>
      <c r="B19234" s="2" t="str">
        <f>"48080"</f>
        <v>48080</v>
      </c>
      <c r="C19234" s="1">
        <v>5.8260251290733001E-3</v>
      </c>
      <c r="D19234" s="1">
        <v>7.3210931810341502E-3</v>
      </c>
      <c r="E19234" s="1">
        <v>2.3260935392407801E-3</v>
      </c>
      <c r="F19234" s="1">
        <v>5.8341763616737204E-3</v>
      </c>
    </row>
    <row r="19235" spans="1:6" x14ac:dyDescent="0.25">
      <c r="A19235" s="2" t="str">
        <f t="shared" si="688"/>
        <v>19820</v>
      </c>
      <c r="B19235" s="2" t="str">
        <f>"48028"</f>
        <v>48028</v>
      </c>
      <c r="C19235" s="1">
        <v>4.8167154206288398E-4</v>
      </c>
      <c r="D19235" s="1">
        <v>9.3087946206118596E-5</v>
      </c>
      <c r="E19235" s="1">
        <v>1.37638670960993E-5</v>
      </c>
      <c r="F19235" s="1">
        <v>4.3604164610720801E-4</v>
      </c>
    </row>
    <row r="19236" spans="1:6" x14ac:dyDescent="0.25">
      <c r="A19236" s="2" t="str">
        <f t="shared" si="688"/>
        <v>19820</v>
      </c>
      <c r="B19236" s="2" t="str">
        <f>"48012"</f>
        <v>48012</v>
      </c>
      <c r="C19236" s="1">
        <v>5.4573141212403903E-4</v>
      </c>
      <c r="D19236" s="1">
        <v>4.0082574484046297E-3</v>
      </c>
      <c r="E19236" s="1">
        <v>2.75277341921986E-5</v>
      </c>
      <c r="F19236" s="1">
        <v>8.0426425254071399E-4</v>
      </c>
    </row>
    <row r="19237" spans="1:6" x14ac:dyDescent="0.25">
      <c r="A19237" s="2" t="str">
        <f t="shared" si="688"/>
        <v>19820</v>
      </c>
      <c r="B19237" s="2" t="str">
        <f>"48015"</f>
        <v>48015</v>
      </c>
      <c r="C19237" s="1">
        <v>2.5164281781275099E-3</v>
      </c>
      <c r="D19237" s="1">
        <v>2.5133745475651999E-3</v>
      </c>
      <c r="E19237" s="1">
        <v>1.65166405153191E-3</v>
      </c>
      <c r="F19237" s="1">
        <v>2.4888718085381502E-3</v>
      </c>
    </row>
    <row r="19238" spans="1:6" x14ac:dyDescent="0.25">
      <c r="A19238" s="2" t="str">
        <f t="shared" si="688"/>
        <v>19820</v>
      </c>
      <c r="B19238" s="2" t="str">
        <f>"48836"</f>
        <v>48836</v>
      </c>
      <c r="C19238" s="1">
        <v>2.7540854059879801E-3</v>
      </c>
      <c r="D19238" s="1">
        <v>1.2922797238025801E-3</v>
      </c>
      <c r="E19238" s="1">
        <v>8.39595892862058E-4</v>
      </c>
      <c r="F19238" s="1">
        <v>2.5775582450345302E-3</v>
      </c>
    </row>
    <row r="19239" spans="1:6" x14ac:dyDescent="0.25">
      <c r="A19239" s="2" t="str">
        <f t="shared" si="688"/>
        <v>19820</v>
      </c>
      <c r="B19239" s="2" t="str">
        <f>"48843"</f>
        <v>48843</v>
      </c>
      <c r="C19239" s="1">
        <v>9.7791548204807701E-3</v>
      </c>
      <c r="D19239" s="1">
        <v>8.4655273432152501E-3</v>
      </c>
      <c r="E19239" s="1">
        <v>8.5060698653893693E-3</v>
      </c>
      <c r="F19239" s="1">
        <v>9.6346510080039492E-3</v>
      </c>
    </row>
    <row r="19240" spans="1:6" x14ac:dyDescent="0.25">
      <c r="A19240" s="2" t="str">
        <f t="shared" si="688"/>
        <v>19820</v>
      </c>
      <c r="B19240" s="2" t="str">
        <f>"48439"</f>
        <v>48439</v>
      </c>
      <c r="C19240" s="1">
        <v>1.2567470691386901E-4</v>
      </c>
      <c r="D19240" s="1">
        <v>5.4757615415363797E-6</v>
      </c>
      <c r="E19240" s="1">
        <v>0</v>
      </c>
      <c r="F19240" s="1">
        <v>1.1216225792189399E-4</v>
      </c>
    </row>
    <row r="19241" spans="1:6" x14ac:dyDescent="0.25">
      <c r="A19241" s="2" t="str">
        <f t="shared" si="688"/>
        <v>19820</v>
      </c>
      <c r="B19241" s="2" t="str">
        <f>"48334"</f>
        <v>48334</v>
      </c>
      <c r="C19241" s="1">
        <v>4.0078984352765398E-3</v>
      </c>
      <c r="D19241" s="1">
        <v>1.1521002283392499E-2</v>
      </c>
      <c r="E19241" s="1">
        <v>1.12450794175131E-2</v>
      </c>
      <c r="F19241" s="1">
        <v>4.83297605161898E-3</v>
      </c>
    </row>
    <row r="19242" spans="1:6" x14ac:dyDescent="0.25">
      <c r="A19242" s="2" t="str">
        <f t="shared" si="688"/>
        <v>19820</v>
      </c>
      <c r="B19242" s="2" t="str">
        <f>"48333"</f>
        <v>48333</v>
      </c>
      <c r="C19242" s="1">
        <v>2.4499232748579101E-4</v>
      </c>
      <c r="D19242" s="1">
        <v>2.3545774628606401E-3</v>
      </c>
      <c r="E19242" s="1">
        <v>1.37638670960993E-5</v>
      </c>
      <c r="F19242" s="1">
        <v>4.0517528830699701E-4</v>
      </c>
    </row>
    <row r="19243" spans="1:6" x14ac:dyDescent="0.25">
      <c r="A19243" s="2" t="str">
        <f t="shared" si="688"/>
        <v>19820</v>
      </c>
      <c r="B19243" s="2" t="str">
        <f>"48328"</f>
        <v>48328</v>
      </c>
      <c r="C19243" s="1">
        <v>5.7741904250543496E-3</v>
      </c>
      <c r="D19243" s="1">
        <v>5.4374312107456297E-3</v>
      </c>
      <c r="E19243" s="1">
        <v>1.09835659426872E-2</v>
      </c>
      <c r="F19243" s="1">
        <v>5.9119943623249498E-3</v>
      </c>
    </row>
    <row r="19244" spans="1:6" x14ac:dyDescent="0.25">
      <c r="A19244" s="2" t="str">
        <f t="shared" si="688"/>
        <v>19820</v>
      </c>
      <c r="B19244" s="2" t="str">
        <f>"48323"</f>
        <v>48323</v>
      </c>
      <c r="C19244" s="1">
        <v>3.4426067574849801E-3</v>
      </c>
      <c r="D19244" s="1">
        <v>1.3360858161348701E-3</v>
      </c>
      <c r="E19244" s="1">
        <v>9.7723456382305097E-4</v>
      </c>
      <c r="F19244" s="1">
        <v>3.1974938256415899E-3</v>
      </c>
    </row>
    <row r="19245" spans="1:6" x14ac:dyDescent="0.25">
      <c r="A19245" s="2" t="str">
        <f t="shared" si="688"/>
        <v>19820</v>
      </c>
      <c r="B19245" s="2" t="str">
        <f>"48412"</f>
        <v>48412</v>
      </c>
      <c r="C19245" s="1">
        <v>1.17361594005169E-3</v>
      </c>
      <c r="D19245" s="1">
        <v>2.08078938578382E-4</v>
      </c>
      <c r="E19245" s="1">
        <v>2.3398574063368801E-4</v>
      </c>
      <c r="F19245" s="1">
        <v>1.0672803999932101E-3</v>
      </c>
    </row>
    <row r="19246" spans="1:6" x14ac:dyDescent="0.25">
      <c r="A19246" s="2" t="str">
        <f t="shared" si="688"/>
        <v>19820</v>
      </c>
      <c r="B19246" s="2" t="str">
        <f>"48386"</f>
        <v>48386</v>
      </c>
      <c r="C19246" s="1">
        <v>3.79273551293373E-3</v>
      </c>
      <c r="D19246" s="1">
        <v>1.6810587932516699E-3</v>
      </c>
      <c r="E19246" s="1">
        <v>2.1058716657031901E-3</v>
      </c>
      <c r="F19246" s="1">
        <v>3.5718027561483798E-3</v>
      </c>
    </row>
    <row r="19247" spans="1:6" x14ac:dyDescent="0.25">
      <c r="A19247" s="2" t="str">
        <f t="shared" si="688"/>
        <v>19820</v>
      </c>
      <c r="B19247" s="2" t="str">
        <f>"48367"</f>
        <v>48367</v>
      </c>
      <c r="C19247" s="1">
        <v>9.55518977858757E-4</v>
      </c>
      <c r="D19247" s="1">
        <v>2.1903046166145499E-4</v>
      </c>
      <c r="E19247" s="1">
        <v>1.23874803864893E-4</v>
      </c>
      <c r="F19247" s="1">
        <v>8.7077907991299996E-4</v>
      </c>
    </row>
    <row r="19248" spans="1:6" x14ac:dyDescent="0.25">
      <c r="A19248" s="2" t="str">
        <f t="shared" si="688"/>
        <v>19820</v>
      </c>
      <c r="B19248" s="2" t="str">
        <f>"48311"</f>
        <v>48311</v>
      </c>
      <c r="C19248" s="1">
        <v>4.3325988453575098E-4</v>
      </c>
      <c r="D19248" s="1">
        <v>1.8289043548731501E-3</v>
      </c>
      <c r="E19248" s="1">
        <v>2.75277341921986E-5</v>
      </c>
      <c r="F19248" s="1">
        <v>5.3124914411067697E-4</v>
      </c>
    </row>
    <row r="19249" spans="1:6" x14ac:dyDescent="0.25">
      <c r="A19249" s="2" t="str">
        <f t="shared" si="688"/>
        <v>19820</v>
      </c>
      <c r="B19249" s="2" t="str">
        <f>"48222"</f>
        <v>48222</v>
      </c>
      <c r="C19249" s="1">
        <v>0</v>
      </c>
      <c r="D19249" s="1">
        <v>5.4757615415363797E-6</v>
      </c>
      <c r="E19249" s="1">
        <v>0</v>
      </c>
      <c r="F19249" s="1">
        <v>4.3473743380579101E-7</v>
      </c>
    </row>
    <row r="19250" spans="1:6" x14ac:dyDescent="0.25">
      <c r="A19250" s="2" t="str">
        <f t="shared" si="688"/>
        <v>19820</v>
      </c>
      <c r="B19250" s="2" t="str">
        <f>"48223"</f>
        <v>48223</v>
      </c>
      <c r="C19250" s="1">
        <v>6.1790879243721801E-3</v>
      </c>
      <c r="D19250" s="1">
        <v>4.3258516178137398E-3</v>
      </c>
      <c r="E19250" s="1">
        <v>3.1381616979106399E-3</v>
      </c>
      <c r="F19250" s="1">
        <v>5.93590492118427E-3</v>
      </c>
    </row>
    <row r="19251" spans="1:6" x14ac:dyDescent="0.25">
      <c r="A19251" s="2" t="str">
        <f t="shared" si="688"/>
        <v>19820</v>
      </c>
      <c r="B19251" s="2" t="str">
        <f>"48214"</f>
        <v>48214</v>
      </c>
      <c r="C19251" s="1">
        <v>7.0221353746426499E-3</v>
      </c>
      <c r="D19251" s="1">
        <v>3.7673239405770298E-3</v>
      </c>
      <c r="E19251" s="1">
        <v>5.1889778952294401E-3</v>
      </c>
      <c r="F19251" s="1">
        <v>6.7058249164543299E-3</v>
      </c>
    </row>
    <row r="19252" spans="1:6" x14ac:dyDescent="0.25">
      <c r="A19252" s="2" t="str">
        <f t="shared" si="688"/>
        <v>19820</v>
      </c>
      <c r="B19252" s="2" t="str">
        <f>"48309"</f>
        <v>48309</v>
      </c>
      <c r="C19252" s="1">
        <v>6.0289628853738998E-3</v>
      </c>
      <c r="D19252" s="1">
        <v>6.6749533191328503E-3</v>
      </c>
      <c r="E19252" s="1">
        <v>3.9777575907727E-3</v>
      </c>
      <c r="F19252" s="1">
        <v>6.0154618715707302E-3</v>
      </c>
    </row>
    <row r="19253" spans="1:6" x14ac:dyDescent="0.25">
      <c r="A19253" s="2" t="str">
        <f t="shared" si="688"/>
        <v>19820</v>
      </c>
      <c r="B19253" s="2" t="str">
        <f>"48231"</f>
        <v>48231</v>
      </c>
      <c r="C19253" s="1">
        <v>6.5526889986219699E-5</v>
      </c>
      <c r="D19253" s="1">
        <v>3.66876023282938E-4</v>
      </c>
      <c r="E19253" s="1">
        <v>2.75277341921986E-5</v>
      </c>
      <c r="F19253" s="1">
        <v>8.82516990625756E-5</v>
      </c>
    </row>
    <row r="19254" spans="1:6" x14ac:dyDescent="0.25">
      <c r="A19254" s="2" t="str">
        <f t="shared" si="688"/>
        <v>19820</v>
      </c>
      <c r="B19254" s="2" t="str">
        <f>"48232"</f>
        <v>48232</v>
      </c>
      <c r="C19254" s="1">
        <v>3.8924928678381299E-4</v>
      </c>
      <c r="D19254" s="1">
        <v>1.6372527009193799E-3</v>
      </c>
      <c r="E19254" s="1">
        <v>2.75277341921986E-5</v>
      </c>
      <c r="F19254" s="1">
        <v>4.76906964884953E-4</v>
      </c>
    </row>
    <row r="19255" spans="1:6" x14ac:dyDescent="0.25">
      <c r="A19255" s="2" t="str">
        <f t="shared" si="688"/>
        <v>19820</v>
      </c>
      <c r="B19255" s="2" t="str">
        <f>"48304"</f>
        <v>48304</v>
      </c>
      <c r="C19255" s="1">
        <v>3.61669312192598E-3</v>
      </c>
      <c r="D19255" s="1">
        <v>3.60852685587248E-3</v>
      </c>
      <c r="E19255" s="1">
        <v>3.15192556500674E-3</v>
      </c>
      <c r="F19255" s="1">
        <v>3.6013649016471698E-3</v>
      </c>
    </row>
    <row r="19256" spans="1:6" x14ac:dyDescent="0.25">
      <c r="A19256" s="2" t="str">
        <f t="shared" si="688"/>
        <v>19820</v>
      </c>
      <c r="B19256" s="2" t="str">
        <f>"48207"</f>
        <v>48207</v>
      </c>
      <c r="C19256" s="1">
        <v>6.93264715921371E-3</v>
      </c>
      <c r="D19256" s="1">
        <v>8.0876997968492396E-3</v>
      </c>
      <c r="E19256" s="1">
        <v>1.15754122278195E-2</v>
      </c>
      <c r="F19256" s="1">
        <v>7.1709939706265302E-3</v>
      </c>
    </row>
    <row r="19257" spans="1:6" x14ac:dyDescent="0.25">
      <c r="A19257" s="2" t="str">
        <f t="shared" si="688"/>
        <v>19820</v>
      </c>
      <c r="B19257" s="2" t="str">
        <f>"48227"</f>
        <v>48227</v>
      </c>
      <c r="C19257" s="1">
        <v>1.0322930206038E-2</v>
      </c>
      <c r="D19257" s="1">
        <v>8.5805183355875201E-3</v>
      </c>
      <c r="E19257" s="1">
        <v>5.9597544526110002E-3</v>
      </c>
      <c r="F19257" s="1">
        <v>1.00467820952518E-2</v>
      </c>
    </row>
    <row r="19258" spans="1:6" x14ac:dyDescent="0.25">
      <c r="A19258" s="2" t="str">
        <f t="shared" si="688"/>
        <v>19820</v>
      </c>
      <c r="B19258" s="2" t="str">
        <f>"48224"</f>
        <v>48224</v>
      </c>
      <c r="C19258" s="1">
        <v>9.3757243410880001E-3</v>
      </c>
      <c r="D19258" s="1">
        <v>6.2314166342684104E-3</v>
      </c>
      <c r="E19258" s="1">
        <v>4.92746442040355E-3</v>
      </c>
      <c r="F19258" s="1">
        <v>8.9855880193318999E-3</v>
      </c>
    </row>
    <row r="19259" spans="1:6" x14ac:dyDescent="0.25">
      <c r="A19259" s="2" t="str">
        <f t="shared" si="688"/>
        <v>19820</v>
      </c>
      <c r="B19259" s="2" t="str">
        <f>"48205"</f>
        <v>48205</v>
      </c>
      <c r="C19259" s="1">
        <v>9.5488326922456204E-3</v>
      </c>
      <c r="D19259" s="1">
        <v>5.61813134161633E-3</v>
      </c>
      <c r="E19259" s="1">
        <v>1.02953725878822E-2</v>
      </c>
      <c r="F19259" s="1">
        <v>9.2603420774971593E-3</v>
      </c>
    </row>
    <row r="19260" spans="1:6" x14ac:dyDescent="0.25">
      <c r="A19260" s="2" t="str">
        <f t="shared" si="688"/>
        <v>19820</v>
      </c>
      <c r="B19260" s="2" t="str">
        <f>"48174"</f>
        <v>48174</v>
      </c>
      <c r="C19260" s="1">
        <v>7.0778821317951102E-3</v>
      </c>
      <c r="D19260" s="1">
        <v>7.3101416579510704E-3</v>
      </c>
      <c r="E19260" s="1">
        <v>5.1889778952294401E-3</v>
      </c>
      <c r="F19260" s="1">
        <v>7.0366601035805401E-3</v>
      </c>
    </row>
    <row r="19261" spans="1:6" x14ac:dyDescent="0.25">
      <c r="A19261" s="2" t="str">
        <f t="shared" si="688"/>
        <v>19820</v>
      </c>
      <c r="B19261" s="2" t="str">
        <f>"48099"</f>
        <v>48099</v>
      </c>
      <c r="C19261" s="1">
        <v>6.9732347104738298E-4</v>
      </c>
      <c r="D19261" s="1">
        <v>4.9227096258412104E-3</v>
      </c>
      <c r="E19261" s="1">
        <v>2.75277341921986E-5</v>
      </c>
      <c r="F19261" s="1">
        <v>1.01163400846607E-3</v>
      </c>
    </row>
    <row r="19262" spans="1:6" x14ac:dyDescent="0.25">
      <c r="A19262" s="2" t="str">
        <f t="shared" si="688"/>
        <v>19820</v>
      </c>
      <c r="B19262" s="2" t="str">
        <f>"48154"</f>
        <v>48154</v>
      </c>
      <c r="C19262" s="1">
        <v>7.6245915572025202E-3</v>
      </c>
      <c r="D19262" s="1">
        <v>4.7693883026781901E-3</v>
      </c>
      <c r="E19262" s="1">
        <v>1.8030665895890101E-3</v>
      </c>
      <c r="F19262" s="1">
        <v>7.2140329765733001E-3</v>
      </c>
    </row>
    <row r="19263" spans="1:6" x14ac:dyDescent="0.25">
      <c r="A19263" s="2" t="str">
        <f t="shared" si="688"/>
        <v>19820</v>
      </c>
      <c r="B19263" s="2" t="str">
        <f>"48137"</f>
        <v>48137</v>
      </c>
      <c r="C19263" s="1">
        <v>7.0025751089751302E-4</v>
      </c>
      <c r="D19263" s="1">
        <v>1.0951523083072699E-4</v>
      </c>
      <c r="E19263" s="1">
        <v>1.23874803864893E-4</v>
      </c>
      <c r="F19263" s="1">
        <v>6.3515139079026097E-4</v>
      </c>
    </row>
    <row r="19264" spans="1:6" x14ac:dyDescent="0.25">
      <c r="A19264" s="2" t="str">
        <f t="shared" si="688"/>
        <v>19820</v>
      </c>
      <c r="B19264" s="2" t="str">
        <f>"48092"</f>
        <v>48092</v>
      </c>
      <c r="C19264" s="1">
        <v>5.5756537285289402E-3</v>
      </c>
      <c r="D19264" s="1">
        <v>5.5359949184932804E-3</v>
      </c>
      <c r="E19264" s="1">
        <v>7.9279874473532005E-3</v>
      </c>
      <c r="F19264" s="1">
        <v>5.6468045277034201E-3</v>
      </c>
    </row>
    <row r="19265" spans="1:6" x14ac:dyDescent="0.25">
      <c r="A19265" s="2" t="str">
        <f t="shared" si="688"/>
        <v>19820</v>
      </c>
      <c r="B19265" s="2" t="str">
        <f>"48091"</f>
        <v>48091</v>
      </c>
      <c r="C19265" s="1">
        <v>6.7570937748476397E-3</v>
      </c>
      <c r="D19265" s="1">
        <v>6.0452407418561697E-3</v>
      </c>
      <c r="E19265" s="1">
        <v>6.5928923390315697E-3</v>
      </c>
      <c r="F19265" s="1">
        <v>6.6953912180429901E-3</v>
      </c>
    </row>
    <row r="19266" spans="1:6" x14ac:dyDescent="0.25">
      <c r="A19266" s="2" t="str">
        <f t="shared" si="688"/>
        <v>19820</v>
      </c>
      <c r="B19266" s="2" t="str">
        <f>"48094"</f>
        <v>48094</v>
      </c>
      <c r="C19266" s="1">
        <v>4.4528944792128098E-3</v>
      </c>
      <c r="D19266" s="1">
        <v>2.8090656708081598E-3</v>
      </c>
      <c r="E19266" s="1">
        <v>2.9729952927574502E-3</v>
      </c>
      <c r="F19266" s="1">
        <v>4.2756426614799503E-3</v>
      </c>
    </row>
    <row r="19267" spans="1:6" x14ac:dyDescent="0.25">
      <c r="A19267" s="2" t="str">
        <f t="shared" si="688"/>
        <v>19820</v>
      </c>
      <c r="B19267" s="2" t="str">
        <f>"48124"</f>
        <v>48124</v>
      </c>
      <c r="C19267" s="1">
        <v>7.1903536593834003E-3</v>
      </c>
      <c r="D19267" s="1">
        <v>6.6475745114251703E-3</v>
      </c>
      <c r="E19267" s="1">
        <v>4.58336774300107E-3</v>
      </c>
      <c r="F19267" s="1">
        <v>7.0649180367779096E-3</v>
      </c>
    </row>
    <row r="19268" spans="1:6" x14ac:dyDescent="0.25">
      <c r="A19268" s="2" t="str">
        <f t="shared" si="688"/>
        <v>19820</v>
      </c>
      <c r="B19268" s="2" t="str">
        <f>"48111"</f>
        <v>48111</v>
      </c>
      <c r="C19268" s="1">
        <v>1.02363760304592E-2</v>
      </c>
      <c r="D19268" s="1">
        <v>4.7748640642197304E-3</v>
      </c>
      <c r="E19268" s="1">
        <v>8.4647782641010805E-3</v>
      </c>
      <c r="F19268" s="1">
        <v>9.7468132659258404E-3</v>
      </c>
    </row>
    <row r="19269" spans="1:6" x14ac:dyDescent="0.25">
      <c r="A19269" s="2" t="str">
        <f t="shared" si="688"/>
        <v>19820</v>
      </c>
      <c r="B19269" s="2" t="str">
        <f>"48125"</f>
        <v>48125</v>
      </c>
      <c r="C19269" s="1">
        <v>4.5022841500233198E-3</v>
      </c>
      <c r="D19269" s="1">
        <v>1.9877014395776999E-3</v>
      </c>
      <c r="E19269" s="1">
        <v>1.0598177663996399E-3</v>
      </c>
      <c r="F19269" s="1">
        <v>4.1939120239244702E-3</v>
      </c>
    </row>
    <row r="19270" spans="1:6" x14ac:dyDescent="0.25">
      <c r="A19270" s="2" t="str">
        <f t="shared" si="688"/>
        <v>19820</v>
      </c>
      <c r="B19270" s="2" t="str">
        <f>"48050"</f>
        <v>48050</v>
      </c>
      <c r="C19270" s="1">
        <v>3.2323339015590501E-4</v>
      </c>
      <c r="D19270" s="1">
        <v>1.86175892412237E-4</v>
      </c>
      <c r="E19270" s="1">
        <v>2.75277341921986E-5</v>
      </c>
      <c r="F19270" s="1">
        <v>3.0301199136263597E-4</v>
      </c>
    </row>
    <row r="19271" spans="1:6" x14ac:dyDescent="0.25">
      <c r="A19271" s="2" t="str">
        <f t="shared" ref="A19271:A19334" si="689">"19820"</f>
        <v>19820</v>
      </c>
      <c r="B19271" s="2" t="str">
        <f>"48083"</f>
        <v>48083</v>
      </c>
      <c r="C19271" s="1">
        <v>4.9018025762825896E-3</v>
      </c>
      <c r="D19271" s="1">
        <v>1.37551129923394E-2</v>
      </c>
      <c r="E19271" s="1">
        <v>9.2080270872904393E-3</v>
      </c>
      <c r="F19271" s="1">
        <v>5.74070781340547E-3</v>
      </c>
    </row>
    <row r="19272" spans="1:6" x14ac:dyDescent="0.25">
      <c r="A19272" s="2" t="str">
        <f t="shared" si="689"/>
        <v>19820</v>
      </c>
      <c r="B19272" s="2" t="str">
        <f>"48076"</f>
        <v>48076</v>
      </c>
      <c r="C19272" s="1">
        <v>5.5340881639854402E-3</v>
      </c>
      <c r="D19272" s="1">
        <v>1.08912897061158E-2</v>
      </c>
      <c r="E19272" s="1">
        <v>9.5108321634046304E-3</v>
      </c>
      <c r="F19272" s="1">
        <v>6.0850198609796596E-3</v>
      </c>
    </row>
    <row r="19273" spans="1:6" x14ac:dyDescent="0.25">
      <c r="A19273" s="2" t="str">
        <f t="shared" si="689"/>
        <v>19820</v>
      </c>
      <c r="B19273" s="2" t="str">
        <f>"48040"</f>
        <v>48040</v>
      </c>
      <c r="C19273" s="1">
        <v>2.2968641960095099E-3</v>
      </c>
      <c r="D19273" s="1">
        <v>2.3436259397775698E-3</v>
      </c>
      <c r="E19273" s="1">
        <v>2.6151347482588701E-3</v>
      </c>
      <c r="F19273" s="1">
        <v>2.31062946067778E-3</v>
      </c>
    </row>
    <row r="19274" spans="1:6" x14ac:dyDescent="0.25">
      <c r="A19274" s="2" t="str">
        <f t="shared" si="689"/>
        <v>19820</v>
      </c>
      <c r="B19274" s="2" t="str">
        <f>"48037"</f>
        <v>48037</v>
      </c>
      <c r="C19274" s="1">
        <v>6.5135684672869201E-4</v>
      </c>
      <c r="D19274" s="1">
        <v>4.86247624888431E-3</v>
      </c>
      <c r="E19274" s="1">
        <v>2.75277341921986E-5</v>
      </c>
      <c r="F19274" s="1">
        <v>9.6598657791646799E-4</v>
      </c>
    </row>
    <row r="19275" spans="1:6" x14ac:dyDescent="0.25">
      <c r="A19275" s="2" t="str">
        <f t="shared" si="689"/>
        <v>19820</v>
      </c>
      <c r="B19275" s="2" t="str">
        <f>"48062"</f>
        <v>48062</v>
      </c>
      <c r="C19275" s="1">
        <v>2.1618983629035598E-3</v>
      </c>
      <c r="D19275" s="1">
        <v>2.82549295543277E-3</v>
      </c>
      <c r="E19275" s="1">
        <v>1.52778924766702E-3</v>
      </c>
      <c r="F19275" s="1">
        <v>2.1945545658516299E-3</v>
      </c>
    </row>
    <row r="19276" spans="1:6" x14ac:dyDescent="0.25">
      <c r="A19276" s="2" t="str">
        <f t="shared" si="689"/>
        <v>19820</v>
      </c>
      <c r="B19276" s="2" t="str">
        <f>"48034"</f>
        <v>48034</v>
      </c>
      <c r="C19276" s="1">
        <v>3.9673108840164199E-3</v>
      </c>
      <c r="D19276" s="1">
        <v>7.1075384809142304E-3</v>
      </c>
      <c r="E19276" s="1">
        <v>9.5383598975968195E-3</v>
      </c>
      <c r="F19276" s="1">
        <v>4.3925870311737102E-3</v>
      </c>
    </row>
    <row r="19277" spans="1:6" x14ac:dyDescent="0.25">
      <c r="A19277" s="2" t="str">
        <f t="shared" si="689"/>
        <v>19820</v>
      </c>
      <c r="B19277" s="2" t="str">
        <f>"48033"</f>
        <v>48033</v>
      </c>
      <c r="C19277" s="1">
        <v>4.4142629545194396E-3</v>
      </c>
      <c r="D19277" s="1">
        <v>6.7297109345482199E-3</v>
      </c>
      <c r="E19277" s="1">
        <v>9.1254438847138408E-3</v>
      </c>
      <c r="F19277" s="1">
        <v>4.7468980397254298E-3</v>
      </c>
    </row>
    <row r="19278" spans="1:6" x14ac:dyDescent="0.25">
      <c r="A19278" s="2" t="str">
        <f t="shared" si="689"/>
        <v>19820</v>
      </c>
      <c r="B19278" s="2" t="str">
        <f>"48027"</f>
        <v>48027</v>
      </c>
      <c r="C19278" s="1">
        <v>6.3326360098622803E-4</v>
      </c>
      <c r="D19278" s="1">
        <v>1.3689403853840899E-4</v>
      </c>
      <c r="E19278" s="1">
        <v>1.7893027224929101E-4</v>
      </c>
      <c r="F19278" s="1">
        <v>5.7950499926311995E-4</v>
      </c>
    </row>
    <row r="19279" spans="1:6" x14ac:dyDescent="0.25">
      <c r="A19279" s="2" t="str">
        <f t="shared" si="689"/>
        <v>19820</v>
      </c>
      <c r="B19279" s="2" t="str">
        <f>"48025"</f>
        <v>48025</v>
      </c>
      <c r="C19279" s="1">
        <v>3.1105712477786799E-3</v>
      </c>
      <c r="D19279" s="1">
        <v>5.2950614106656796E-3</v>
      </c>
      <c r="E19279" s="1">
        <v>2.1471632669914898E-3</v>
      </c>
      <c r="F19279" s="1">
        <v>3.2535749546025402E-3</v>
      </c>
    </row>
    <row r="19280" spans="1:6" x14ac:dyDescent="0.25">
      <c r="A19280" s="2" t="str">
        <f t="shared" si="689"/>
        <v>19820</v>
      </c>
      <c r="B19280" s="2" t="str">
        <f>"48017"</f>
        <v>48017</v>
      </c>
      <c r="C19280" s="1">
        <v>3.0562915105512901E-3</v>
      </c>
      <c r="D19280" s="1">
        <v>3.4278267250017701E-3</v>
      </c>
      <c r="E19280" s="1">
        <v>3.0418146282379399E-3</v>
      </c>
      <c r="F19280" s="1">
        <v>3.0853315677197E-3</v>
      </c>
    </row>
    <row r="19281" spans="1:6" x14ac:dyDescent="0.25">
      <c r="A19281" s="2" t="str">
        <f t="shared" si="689"/>
        <v>19820</v>
      </c>
      <c r="B19281" s="2" t="str">
        <f>"48461"</f>
        <v>48461</v>
      </c>
      <c r="C19281" s="1">
        <v>1.6254580769716001E-3</v>
      </c>
      <c r="D19281" s="1">
        <v>6.8447019269204804E-4</v>
      </c>
      <c r="E19281" s="1">
        <v>5.9184628513227005E-4</v>
      </c>
      <c r="F19281" s="1">
        <v>1.51810311884982E-3</v>
      </c>
    </row>
    <row r="19282" spans="1:6" x14ac:dyDescent="0.25">
      <c r="A19282" s="2" t="str">
        <f t="shared" si="689"/>
        <v>19820</v>
      </c>
      <c r="B19282" s="2" t="str">
        <f>"48451"</f>
        <v>48451</v>
      </c>
      <c r="C19282" s="1">
        <v>1.4768000578983801E-4</v>
      </c>
      <c r="D19282" s="1">
        <v>1.204667539138E-4</v>
      </c>
      <c r="E19282" s="1">
        <v>8.2583202576595898E-5</v>
      </c>
      <c r="F19282" s="1">
        <v>1.4346335315591099E-4</v>
      </c>
    </row>
    <row r="19283" spans="1:6" x14ac:dyDescent="0.25">
      <c r="A19283" s="2" t="str">
        <f t="shared" si="689"/>
        <v>19820</v>
      </c>
      <c r="B19283" s="2" t="str">
        <f>"48442"</f>
        <v>48442</v>
      </c>
      <c r="C19283" s="1">
        <v>4.54922878762539E-3</v>
      </c>
      <c r="D19283" s="1">
        <v>2.18482885507301E-3</v>
      </c>
      <c r="E19283" s="1">
        <v>2.13339939989539E-3</v>
      </c>
      <c r="F19283" s="1">
        <v>4.2852068850236799E-3</v>
      </c>
    </row>
    <row r="19284" spans="1:6" x14ac:dyDescent="0.25">
      <c r="A19284" s="2" t="str">
        <f t="shared" si="689"/>
        <v>19820</v>
      </c>
      <c r="B19284" s="2" t="str">
        <f>"48435"</f>
        <v>48435</v>
      </c>
      <c r="C19284" s="1">
        <v>1.9658066995865899E-4</v>
      </c>
      <c r="D19284" s="1">
        <v>2.7378807707681901E-5</v>
      </c>
      <c r="E19284" s="1">
        <v>0</v>
      </c>
      <c r="F19284" s="1">
        <v>1.7693813555895701E-4</v>
      </c>
    </row>
    <row r="19285" spans="1:6" x14ac:dyDescent="0.25">
      <c r="A19285" s="2" t="str">
        <f t="shared" si="689"/>
        <v>19820</v>
      </c>
      <c r="B19285" s="2" t="str">
        <f>"48428"</f>
        <v>48428</v>
      </c>
      <c r="C19285" s="1">
        <v>1.0000185822523801E-3</v>
      </c>
      <c r="D19285" s="1">
        <v>2.90215361701428E-4</v>
      </c>
      <c r="E19285" s="1">
        <v>2.0645800644148899E-4</v>
      </c>
      <c r="F19285" s="1">
        <v>9.1860019763163696E-4</v>
      </c>
    </row>
    <row r="19286" spans="1:6" x14ac:dyDescent="0.25">
      <c r="A19286" s="2" t="str">
        <f t="shared" si="689"/>
        <v>19820</v>
      </c>
      <c r="B19286" s="2" t="str">
        <f>"48326"</f>
        <v>48326</v>
      </c>
      <c r="C19286" s="1">
        <v>5.5917909477046501E-3</v>
      </c>
      <c r="D19286" s="1">
        <v>8.5312364817136908E-3</v>
      </c>
      <c r="E19286" s="1">
        <v>9.8824565749993099E-3</v>
      </c>
      <c r="F19286" s="1">
        <v>5.9606849549112004E-3</v>
      </c>
    </row>
    <row r="19287" spans="1:6" x14ac:dyDescent="0.25">
      <c r="A19287" s="2" t="str">
        <f t="shared" si="689"/>
        <v>19820</v>
      </c>
      <c r="B19287" s="2" t="str">
        <f>"48416"</f>
        <v>48416</v>
      </c>
      <c r="C19287" s="1">
        <v>3.94628359842383E-4</v>
      </c>
      <c r="D19287" s="1">
        <v>1.204667539138E-4</v>
      </c>
      <c r="E19287" s="1">
        <v>8.2583202576595898E-5</v>
      </c>
      <c r="F19287" s="1">
        <v>3.6300575722783503E-4</v>
      </c>
    </row>
    <row r="19288" spans="1:6" x14ac:dyDescent="0.25">
      <c r="A19288" s="2" t="str">
        <f t="shared" si="689"/>
        <v>19820</v>
      </c>
      <c r="B19288" s="2" t="str">
        <f>"48353"</f>
        <v>48353</v>
      </c>
      <c r="C19288" s="1">
        <v>1.50173939662448E-3</v>
      </c>
      <c r="D19288" s="1">
        <v>2.12459547811611E-3</v>
      </c>
      <c r="E19288" s="1">
        <v>5.6431855094007195E-4</v>
      </c>
      <c r="F19288" s="1">
        <v>1.5215810183202699E-3</v>
      </c>
    </row>
    <row r="19289" spans="1:6" x14ac:dyDescent="0.25">
      <c r="A19289" s="2" t="str">
        <f t="shared" si="689"/>
        <v>19820</v>
      </c>
      <c r="B19289" s="2" t="str">
        <f>"48381"</f>
        <v>48381</v>
      </c>
      <c r="C19289" s="1">
        <v>3.2499381406598201E-3</v>
      </c>
      <c r="D19289" s="1">
        <v>4.4079880409367903E-3</v>
      </c>
      <c r="E19289" s="1">
        <v>2.9317036914691501E-3</v>
      </c>
      <c r="F19289" s="1">
        <v>3.3318276926875799E-3</v>
      </c>
    </row>
    <row r="19290" spans="1:6" x14ac:dyDescent="0.25">
      <c r="A19290" s="2" t="str">
        <f t="shared" si="689"/>
        <v>19820</v>
      </c>
      <c r="B19290" s="2" t="str">
        <f>"48375"</f>
        <v>48375</v>
      </c>
      <c r="C19290" s="1">
        <v>4.6939747535651001E-3</v>
      </c>
      <c r="D19290" s="1">
        <v>8.2519726430953302E-3</v>
      </c>
      <c r="E19290" s="1">
        <v>7.0333360861067496E-3</v>
      </c>
      <c r="F19290" s="1">
        <v>5.0503447685218703E-3</v>
      </c>
    </row>
    <row r="19291" spans="1:6" x14ac:dyDescent="0.25">
      <c r="A19291" s="2" t="str">
        <f t="shared" si="689"/>
        <v>19820</v>
      </c>
      <c r="B19291" s="2" t="str">
        <f>"48316"</f>
        <v>48316</v>
      </c>
      <c r="C19291" s="1">
        <v>6.0622153370086997E-3</v>
      </c>
      <c r="D19291" s="1">
        <v>4.3422789024383504E-3</v>
      </c>
      <c r="E19291" s="1">
        <v>3.1932171662950402E-3</v>
      </c>
      <c r="F19291" s="1">
        <v>5.8350458365413298E-3</v>
      </c>
    </row>
    <row r="19292" spans="1:6" x14ac:dyDescent="0.25">
      <c r="A19292" s="2" t="str">
        <f t="shared" si="689"/>
        <v>19820</v>
      </c>
      <c r="B19292" s="2" t="str">
        <f>"48322"</f>
        <v>48322</v>
      </c>
      <c r="C19292" s="1">
        <v>6.4974312481112101E-3</v>
      </c>
      <c r="D19292" s="1">
        <v>5.9028709417762197E-3</v>
      </c>
      <c r="E19292" s="1">
        <v>4.8724089520191501E-3</v>
      </c>
      <c r="F19292" s="1">
        <v>6.39890028818744E-3</v>
      </c>
    </row>
    <row r="19293" spans="1:6" x14ac:dyDescent="0.25">
      <c r="A19293" s="2" t="str">
        <f t="shared" si="689"/>
        <v>19820</v>
      </c>
      <c r="B19293" s="2" t="str">
        <f>"48313"</f>
        <v>48313</v>
      </c>
      <c r="C19293" s="1">
        <v>7.1654143206573003E-3</v>
      </c>
      <c r="D19293" s="1">
        <v>4.4408426101860098E-3</v>
      </c>
      <c r="E19293" s="1">
        <v>3.8676466540038998E-3</v>
      </c>
      <c r="F19293" s="1">
        <v>6.8449408952721801E-3</v>
      </c>
    </row>
    <row r="19294" spans="1:6" x14ac:dyDescent="0.25">
      <c r="A19294" s="2" t="str">
        <f t="shared" si="689"/>
        <v>19820</v>
      </c>
      <c r="B19294" s="2" t="str">
        <f>"48217"</f>
        <v>48217</v>
      </c>
      <c r="C19294" s="1">
        <v>1.6259470836132799E-3</v>
      </c>
      <c r="D19294" s="1">
        <v>1.3032312468856601E-3</v>
      </c>
      <c r="E19294" s="1">
        <v>1.1974564373606401E-3</v>
      </c>
      <c r="F19294" s="1">
        <v>1.5867916333911301E-3</v>
      </c>
    </row>
    <row r="19295" spans="1:6" x14ac:dyDescent="0.25">
      <c r="A19295" s="2" t="str">
        <f t="shared" si="689"/>
        <v>19820</v>
      </c>
      <c r="B19295" s="2" t="str">
        <f>"48213"</f>
        <v>48213</v>
      </c>
      <c r="C19295" s="1">
        <v>6.6852097985194798E-3</v>
      </c>
      <c r="D19295" s="1">
        <v>5.4045766414964102E-3</v>
      </c>
      <c r="E19295" s="1">
        <v>8.5335975995815706E-3</v>
      </c>
      <c r="F19295" s="1">
        <v>6.6419185136848803E-3</v>
      </c>
    </row>
    <row r="19296" spans="1:6" x14ac:dyDescent="0.25">
      <c r="A19296" s="2" t="str">
        <f t="shared" si="689"/>
        <v>19820</v>
      </c>
      <c r="B19296" s="2" t="str">
        <f>"48307"</f>
        <v>48307</v>
      </c>
      <c r="C19296" s="1">
        <v>9.9410160188795598E-3</v>
      </c>
      <c r="D19296" s="1">
        <v>1.13183991063557E-2</v>
      </c>
      <c r="E19296" s="1">
        <v>1.5883502628898601E-2</v>
      </c>
      <c r="F19296" s="1">
        <v>1.0238066566126299E-2</v>
      </c>
    </row>
    <row r="19297" spans="1:6" x14ac:dyDescent="0.25">
      <c r="A19297" s="2" t="str">
        <f t="shared" si="689"/>
        <v>19820</v>
      </c>
      <c r="B19297" s="2" t="str">
        <f>"48306"</f>
        <v>48306</v>
      </c>
      <c r="C19297" s="1">
        <v>5.0382354293135997E-3</v>
      </c>
      <c r="D19297" s="1">
        <v>1.3744161469256299E-3</v>
      </c>
      <c r="E19297" s="1">
        <v>2.2435103366641798E-3</v>
      </c>
      <c r="F19297" s="1">
        <v>4.65908107809666E-3</v>
      </c>
    </row>
    <row r="19298" spans="1:6" x14ac:dyDescent="0.25">
      <c r="A19298" s="2" t="str">
        <f t="shared" si="689"/>
        <v>19820</v>
      </c>
      <c r="B19298" s="2" t="str">
        <f>"48310"</f>
        <v>48310</v>
      </c>
      <c r="C19298" s="1">
        <v>7.8529576588709203E-3</v>
      </c>
      <c r="D19298" s="1">
        <v>6.5599623267605899E-3</v>
      </c>
      <c r="E19298" s="1">
        <v>6.3176149971095798E-3</v>
      </c>
      <c r="F19298" s="1">
        <v>7.7018083773034004E-3</v>
      </c>
    </row>
    <row r="19299" spans="1:6" x14ac:dyDescent="0.25">
      <c r="A19299" s="2" t="str">
        <f t="shared" si="689"/>
        <v>19820</v>
      </c>
      <c r="B19299" s="2" t="str">
        <f>"48236"</f>
        <v>48236</v>
      </c>
      <c r="C19299" s="1">
        <v>6.6592924465099998E-3</v>
      </c>
      <c r="D19299" s="1">
        <v>6.5544865652190504E-3</v>
      </c>
      <c r="E19299" s="1">
        <v>1.5966085831475201E-3</v>
      </c>
      <c r="F19299" s="1">
        <v>6.4910646241542703E-3</v>
      </c>
    </row>
    <row r="19300" spans="1:6" x14ac:dyDescent="0.25">
      <c r="A19300" s="2" t="str">
        <f t="shared" si="689"/>
        <v>19820</v>
      </c>
      <c r="B19300" s="2" t="str">
        <f>"48234"</f>
        <v>48234</v>
      </c>
      <c r="C19300" s="1">
        <v>8.0319340897288E-3</v>
      </c>
      <c r="D19300" s="1">
        <v>6.7023321268405399E-3</v>
      </c>
      <c r="E19300" s="1">
        <v>6.23503179453299E-3</v>
      </c>
      <c r="F19300" s="1">
        <v>7.8696170267524308E-3</v>
      </c>
    </row>
    <row r="19301" spans="1:6" x14ac:dyDescent="0.25">
      <c r="A19301" s="2" t="str">
        <f t="shared" si="689"/>
        <v>19820</v>
      </c>
      <c r="B19301" s="2" t="str">
        <f>"48288"</f>
        <v>48288</v>
      </c>
      <c r="C19301" s="1">
        <v>0</v>
      </c>
      <c r="D19301" s="1">
        <v>5.4757615415363797E-6</v>
      </c>
      <c r="E19301" s="1">
        <v>0</v>
      </c>
      <c r="F19301" s="1">
        <v>4.3473743380579101E-7</v>
      </c>
    </row>
    <row r="19302" spans="1:6" x14ac:dyDescent="0.25">
      <c r="A19302" s="2" t="str">
        <f t="shared" si="689"/>
        <v>19820</v>
      </c>
      <c r="B19302" s="2" t="str">
        <f>"48243"</f>
        <v>48243</v>
      </c>
      <c r="C19302" s="1">
        <v>2.9682703150474098E-4</v>
      </c>
      <c r="D19302" s="1">
        <v>1.807001308707E-3</v>
      </c>
      <c r="E19302" s="1">
        <v>2.61513474825887E-4</v>
      </c>
      <c r="F19302" s="1">
        <v>4.1560898671833598E-4</v>
      </c>
    </row>
    <row r="19303" spans="1:6" x14ac:dyDescent="0.25">
      <c r="A19303" s="2" t="str">
        <f t="shared" si="689"/>
        <v>19820</v>
      </c>
      <c r="B19303" s="2" t="str">
        <f>"48210"</f>
        <v>48210</v>
      </c>
      <c r="C19303" s="1">
        <v>5.7389819468527999E-3</v>
      </c>
      <c r="D19303" s="1">
        <v>4.5503578410167299E-3</v>
      </c>
      <c r="E19303" s="1">
        <v>1.1203787816224799E-2</v>
      </c>
      <c r="F19303" s="1">
        <v>5.8172216017552897E-3</v>
      </c>
    </row>
    <row r="19304" spans="1:6" x14ac:dyDescent="0.25">
      <c r="A19304" s="2" t="str">
        <f t="shared" si="689"/>
        <v>19820</v>
      </c>
      <c r="B19304" s="2" t="str">
        <f>"48203"</f>
        <v>48203</v>
      </c>
      <c r="C19304" s="1">
        <v>7.7791176559760004E-3</v>
      </c>
      <c r="D19304" s="1">
        <v>7.1349172886219104E-3</v>
      </c>
      <c r="E19304" s="1">
        <v>7.9279874473532005E-3</v>
      </c>
      <c r="F19304" s="1">
        <v>7.7326747351036101E-3</v>
      </c>
    </row>
    <row r="19305" spans="1:6" x14ac:dyDescent="0.25">
      <c r="A19305" s="2" t="str">
        <f t="shared" si="689"/>
        <v>19820</v>
      </c>
      <c r="B19305" s="2" t="str">
        <f>"48187"</f>
        <v>48187</v>
      </c>
      <c r="C19305" s="1">
        <v>1.08050907547426E-2</v>
      </c>
      <c r="D19305" s="1">
        <v>1.0677735005995901E-2</v>
      </c>
      <c r="E19305" s="1">
        <v>8.4785421311971802E-3</v>
      </c>
      <c r="F19305" s="1">
        <v>1.07214945925184E-2</v>
      </c>
    </row>
    <row r="19306" spans="1:6" x14ac:dyDescent="0.25">
      <c r="A19306" s="2" t="str">
        <f t="shared" si="689"/>
        <v>19820</v>
      </c>
      <c r="B19306" s="2" t="str">
        <f>"48095"</f>
        <v>48095</v>
      </c>
      <c r="C19306" s="1">
        <v>1.07825964492249E-3</v>
      </c>
      <c r="D19306" s="1">
        <v>1.4894071392978899E-3</v>
      </c>
      <c r="E19306" s="1">
        <v>5.9184628513227005E-4</v>
      </c>
      <c r="F19306" s="1">
        <v>1.09553833319059E-3</v>
      </c>
    </row>
    <row r="19307" spans="1:6" x14ac:dyDescent="0.25">
      <c r="A19307" s="2" t="str">
        <f t="shared" si="689"/>
        <v>19820</v>
      </c>
      <c r="B19307" s="2" t="str">
        <f>"48138"</f>
        <v>48138</v>
      </c>
      <c r="C19307" s="1">
        <v>2.5633728157295802E-3</v>
      </c>
      <c r="D19307" s="1">
        <v>1.9000892549131199E-3</v>
      </c>
      <c r="E19307" s="1">
        <v>2.2985658050485801E-3</v>
      </c>
      <c r="F19307" s="1">
        <v>2.5023486689861301E-3</v>
      </c>
    </row>
    <row r="19308" spans="1:6" x14ac:dyDescent="0.25">
      <c r="A19308" s="2" t="str">
        <f t="shared" si="689"/>
        <v>19820</v>
      </c>
      <c r="B19308" s="2" t="str">
        <f>"48123"</f>
        <v>48123</v>
      </c>
      <c r="C19308" s="1">
        <v>3.5501882186563801E-4</v>
      </c>
      <c r="D19308" s="1">
        <v>9.7468555439347696E-4</v>
      </c>
      <c r="E19308" s="1">
        <v>2.75277341921986E-5</v>
      </c>
      <c r="F19308" s="1">
        <v>3.9387211502804701E-4</v>
      </c>
    </row>
    <row r="19309" spans="1:6" x14ac:dyDescent="0.25">
      <c r="A19309" s="2" t="str">
        <f t="shared" si="689"/>
        <v>19820</v>
      </c>
      <c r="B19309" s="2" t="str">
        <f>"48088"</f>
        <v>48088</v>
      </c>
      <c r="C19309" s="1">
        <v>5.19471755465382E-3</v>
      </c>
      <c r="D19309" s="1">
        <v>2.1136439550330402E-3</v>
      </c>
      <c r="E19309" s="1">
        <v>5.2302694965177402E-3</v>
      </c>
      <c r="F19309" s="1">
        <v>4.9512246336141496E-3</v>
      </c>
    </row>
    <row r="19310" spans="1:6" x14ac:dyDescent="0.25">
      <c r="A19310" s="2" t="str">
        <f t="shared" si="689"/>
        <v>19820</v>
      </c>
      <c r="B19310" s="2" t="str">
        <f>"48081"</f>
        <v>48081</v>
      </c>
      <c r="C19310" s="1">
        <v>4.6577882620801696E-3</v>
      </c>
      <c r="D19310" s="1">
        <v>2.76525957847587E-3</v>
      </c>
      <c r="E19310" s="1">
        <v>1.43144217799432E-3</v>
      </c>
      <c r="F19310" s="1">
        <v>4.4056291541878902E-3</v>
      </c>
    </row>
    <row r="19311" spans="1:6" x14ac:dyDescent="0.25">
      <c r="A19311" s="2" t="str">
        <f t="shared" si="689"/>
        <v>19820</v>
      </c>
      <c r="B19311" s="2" t="str">
        <f>"48079"</f>
        <v>48079</v>
      </c>
      <c r="C19311" s="1">
        <v>2.73550315360383E-3</v>
      </c>
      <c r="D19311" s="1">
        <v>2.0534105780761402E-3</v>
      </c>
      <c r="E19311" s="1">
        <v>3.2895642359677302E-3</v>
      </c>
      <c r="F19311" s="1">
        <v>2.6988499890663502E-3</v>
      </c>
    </row>
    <row r="19312" spans="1:6" x14ac:dyDescent="0.25">
      <c r="A19312" s="2" t="str">
        <f t="shared" si="689"/>
        <v>19820</v>
      </c>
      <c r="B19312" s="2" t="str">
        <f>"48075"</f>
        <v>48075</v>
      </c>
      <c r="C19312" s="1">
        <v>5.1184325185504604E-3</v>
      </c>
      <c r="D19312" s="1">
        <v>1.67339272709352E-2</v>
      </c>
      <c r="E19312" s="1">
        <v>9.2493186885787403E-3</v>
      </c>
      <c r="F19312" s="1">
        <v>6.1710978728732099E-3</v>
      </c>
    </row>
    <row r="19313" spans="1:6" x14ac:dyDescent="0.25">
      <c r="A19313" s="2" t="str">
        <f t="shared" si="689"/>
        <v>19820</v>
      </c>
      <c r="B19313" s="2" t="str">
        <f>"48067"</f>
        <v>48067</v>
      </c>
      <c r="C19313" s="1">
        <v>6.5077003875866598E-3</v>
      </c>
      <c r="D19313" s="1">
        <v>7.4634629811140898E-3</v>
      </c>
      <c r="E19313" s="1">
        <v>1.1231315550417001E-2</v>
      </c>
      <c r="F19313" s="1">
        <v>6.7327786373502898E-3</v>
      </c>
    </row>
    <row r="19314" spans="1:6" x14ac:dyDescent="0.25">
      <c r="A19314" s="2" t="str">
        <f t="shared" si="689"/>
        <v>19820</v>
      </c>
      <c r="B19314" s="2" t="str">
        <f>"48004"</f>
        <v>48004</v>
      </c>
      <c r="C19314" s="1">
        <v>1.3692185967269801E-5</v>
      </c>
      <c r="D19314" s="1">
        <v>0</v>
      </c>
      <c r="E19314" s="1">
        <v>1.37638670960993E-5</v>
      </c>
      <c r="F19314" s="1">
        <v>1.26073855803679E-5</v>
      </c>
    </row>
    <row r="19315" spans="1:6" x14ac:dyDescent="0.25">
      <c r="A19315" s="2" t="str">
        <f t="shared" si="689"/>
        <v>19820</v>
      </c>
      <c r="B19315" s="2" t="str">
        <f>"48744"</f>
        <v>48744</v>
      </c>
      <c r="C19315" s="1">
        <v>9.1444241995694697E-5</v>
      </c>
      <c r="D19315" s="1">
        <v>2.1903046166145498E-5</v>
      </c>
      <c r="E19315" s="1">
        <v>0</v>
      </c>
      <c r="F19315" s="1">
        <v>8.3034849856906099E-5</v>
      </c>
    </row>
    <row r="19316" spans="1:6" x14ac:dyDescent="0.25">
      <c r="A19316" s="2" t="str">
        <f t="shared" si="689"/>
        <v>19820</v>
      </c>
      <c r="B19316" s="2" t="str">
        <f>"48463"</f>
        <v>48463</v>
      </c>
      <c r="C19316" s="1">
        <v>3.9120531335056502E-6</v>
      </c>
      <c r="D19316" s="1">
        <v>0</v>
      </c>
      <c r="E19316" s="1">
        <v>0</v>
      </c>
      <c r="F19316" s="1">
        <v>3.4778994704463298E-6</v>
      </c>
    </row>
    <row r="19317" spans="1:6" x14ac:dyDescent="0.25">
      <c r="A19317" s="2" t="str">
        <f t="shared" si="689"/>
        <v>19820</v>
      </c>
      <c r="B19317" s="2" t="str">
        <f>"48332"</f>
        <v>48332</v>
      </c>
      <c r="C19317" s="1">
        <v>2.3570120129371501E-4</v>
      </c>
      <c r="D19317" s="1">
        <v>2.06983786270075E-3</v>
      </c>
      <c r="E19317" s="1">
        <v>1.37638670960993E-5</v>
      </c>
      <c r="F19317" s="1">
        <v>3.74308930506786E-4</v>
      </c>
    </row>
    <row r="19318" spans="1:6" x14ac:dyDescent="0.25">
      <c r="A19318" s="2" t="str">
        <f t="shared" si="689"/>
        <v>19820</v>
      </c>
      <c r="B19318" s="2" t="str">
        <f>"48325"</f>
        <v>48325</v>
      </c>
      <c r="C19318" s="1">
        <v>4.2641379155211601E-4</v>
      </c>
      <c r="D19318" s="1">
        <v>3.3730691095864101E-3</v>
      </c>
      <c r="E19318" s="1">
        <v>2.75277341921986E-5</v>
      </c>
      <c r="F19318" s="1">
        <v>6.4775877637062904E-4</v>
      </c>
    </row>
    <row r="19319" spans="1:6" x14ac:dyDescent="0.25">
      <c r="A19319" s="2" t="str">
        <f t="shared" si="689"/>
        <v>19820</v>
      </c>
      <c r="B19319" s="2" t="str">
        <f>"48329"</f>
        <v>48329</v>
      </c>
      <c r="C19319" s="1">
        <v>5.1423938439931803E-3</v>
      </c>
      <c r="D19319" s="1">
        <v>4.1670545331091904E-3</v>
      </c>
      <c r="E19319" s="1">
        <v>2.7390095521237601E-3</v>
      </c>
      <c r="F19319" s="1">
        <v>4.98904679035526E-3</v>
      </c>
    </row>
    <row r="19320" spans="1:6" x14ac:dyDescent="0.25">
      <c r="A19320" s="2" t="str">
        <f t="shared" si="689"/>
        <v>19820</v>
      </c>
      <c r="B19320" s="2" t="str">
        <f>"48350"</f>
        <v>48350</v>
      </c>
      <c r="C19320" s="1">
        <v>1.5208106556503201E-3</v>
      </c>
      <c r="D19320" s="1">
        <v>5.8590648494439299E-4</v>
      </c>
      <c r="E19320" s="1">
        <v>6.4690175351666797E-4</v>
      </c>
      <c r="F19320" s="1">
        <v>1.4189829839420999E-3</v>
      </c>
    </row>
    <row r="19321" spans="1:6" x14ac:dyDescent="0.25">
      <c r="A19321" s="2" t="str">
        <f t="shared" si="689"/>
        <v>19820</v>
      </c>
      <c r="B19321" s="2" t="str">
        <f>"48220"</f>
        <v>48220</v>
      </c>
      <c r="C19321" s="1">
        <v>6.0206497724651998E-3</v>
      </c>
      <c r="D19321" s="1">
        <v>7.4963175503633102E-3</v>
      </c>
      <c r="E19321" s="1">
        <v>8.2307925234673899E-3</v>
      </c>
      <c r="F19321" s="1">
        <v>6.2076158173128898E-3</v>
      </c>
    </row>
    <row r="19322" spans="1:6" x14ac:dyDescent="0.25">
      <c r="A19322" s="2" t="str">
        <f t="shared" si="689"/>
        <v>19820</v>
      </c>
      <c r="B19322" s="2" t="str">
        <f>"48218"</f>
        <v>48218</v>
      </c>
      <c r="C19322" s="1">
        <v>1.8851206037080301E-3</v>
      </c>
      <c r="D19322" s="1">
        <v>1.58797084704555E-3</v>
      </c>
      <c r="E19322" s="1">
        <v>5.2577972307099397E-3</v>
      </c>
      <c r="F19322" s="1">
        <v>1.9680563628388099E-3</v>
      </c>
    </row>
    <row r="19323" spans="1:6" x14ac:dyDescent="0.25">
      <c r="A19323" s="2" t="str">
        <f t="shared" si="689"/>
        <v>19820</v>
      </c>
      <c r="B19323" s="2" t="str">
        <f>"48215"</f>
        <v>48215</v>
      </c>
      <c r="C19323" s="1">
        <v>3.6548356399776598E-3</v>
      </c>
      <c r="D19323" s="1">
        <v>2.9021536170142801E-3</v>
      </c>
      <c r="E19323" s="1">
        <v>2.5876070140666702E-3</v>
      </c>
      <c r="F19323" s="1">
        <v>3.56136905773704E-3</v>
      </c>
    </row>
    <row r="19324" spans="1:6" x14ac:dyDescent="0.25">
      <c r="A19324" s="2" t="str">
        <f t="shared" si="689"/>
        <v>19820</v>
      </c>
      <c r="B19324" s="2" t="str">
        <f>"48301"</f>
        <v>48301</v>
      </c>
      <c r="C19324" s="1">
        <v>2.8474856745504301E-3</v>
      </c>
      <c r="D19324" s="1">
        <v>1.8562831625808299E-3</v>
      </c>
      <c r="E19324" s="1">
        <v>3.1243978308145401E-3</v>
      </c>
      <c r="F19324" s="1">
        <v>2.7775374645851998E-3</v>
      </c>
    </row>
    <row r="19325" spans="1:6" x14ac:dyDescent="0.25">
      <c r="A19325" s="2" t="str">
        <f t="shared" si="689"/>
        <v>19820</v>
      </c>
      <c r="B19325" s="2" t="str">
        <f>"48208"</f>
        <v>48208</v>
      </c>
      <c r="C19325" s="1">
        <v>2.7174099078613599E-3</v>
      </c>
      <c r="D19325" s="1">
        <v>2.8583475246819899E-3</v>
      </c>
      <c r="E19325" s="1">
        <v>7.3774327635092304E-3</v>
      </c>
      <c r="F19325" s="1">
        <v>2.8757881246253099E-3</v>
      </c>
    </row>
    <row r="19326" spans="1:6" x14ac:dyDescent="0.25">
      <c r="A19326" s="2" t="str">
        <f t="shared" si="689"/>
        <v>19820</v>
      </c>
      <c r="B19326" s="2" t="str">
        <f>"48193"</f>
        <v>48193</v>
      </c>
      <c r="C19326" s="1">
        <v>3.7213405432472502E-3</v>
      </c>
      <c r="D19326" s="1">
        <v>2.91310514009735E-3</v>
      </c>
      <c r="E19326" s="1">
        <v>4.3080904010790802E-3</v>
      </c>
      <c r="F19326" s="1">
        <v>3.6757050028279601E-3</v>
      </c>
    </row>
    <row r="19327" spans="1:6" x14ac:dyDescent="0.25">
      <c r="A19327" s="2" t="str">
        <f t="shared" si="689"/>
        <v>19820</v>
      </c>
      <c r="B19327" s="2" t="str">
        <f>"48185"</f>
        <v>48185</v>
      </c>
      <c r="C19327" s="1">
        <v>1.2690700365092299E-2</v>
      </c>
      <c r="D19327" s="1">
        <v>9.1609490589903697E-3</v>
      </c>
      <c r="E19327" s="1">
        <v>2.6633082830952101E-2</v>
      </c>
      <c r="F19327" s="1">
        <v>1.28508385432991E-2</v>
      </c>
    </row>
    <row r="19328" spans="1:6" x14ac:dyDescent="0.25">
      <c r="A19328" s="2" t="str">
        <f t="shared" si="689"/>
        <v>19820</v>
      </c>
      <c r="B19328" s="2" t="str">
        <f>"48178"</f>
        <v>48178</v>
      </c>
      <c r="C19328" s="1">
        <v>7.1047774970879598E-3</v>
      </c>
      <c r="D19328" s="1">
        <v>4.3149000947306703E-3</v>
      </c>
      <c r="E19328" s="1">
        <v>5.8358796487461102E-3</v>
      </c>
      <c r="F19328" s="1">
        <v>6.8432019455369596E-3</v>
      </c>
    </row>
    <row r="19329" spans="1:6" x14ac:dyDescent="0.25">
      <c r="A19329" s="2" t="str">
        <f t="shared" si="689"/>
        <v>19820</v>
      </c>
      <c r="B19329" s="2" t="str">
        <f>"48098"</f>
        <v>48098</v>
      </c>
      <c r="C19329" s="1">
        <v>3.6543466333359702E-3</v>
      </c>
      <c r="D19329" s="1">
        <v>3.1157083171342E-3</v>
      </c>
      <c r="E19329" s="1">
        <v>1.5690808489553199E-3</v>
      </c>
      <c r="F19329" s="1">
        <v>3.5457185101200302E-3</v>
      </c>
    </row>
    <row r="19330" spans="1:6" x14ac:dyDescent="0.25">
      <c r="A19330" s="2" t="str">
        <f t="shared" si="689"/>
        <v>19820</v>
      </c>
      <c r="B19330" s="2" t="str">
        <f>"48152"</f>
        <v>48152</v>
      </c>
      <c r="C19330" s="1">
        <v>6.57078224436444E-3</v>
      </c>
      <c r="D19330" s="1">
        <v>9.9001768670977895E-3</v>
      </c>
      <c r="E19330" s="1">
        <v>3.5786054449858198E-3</v>
      </c>
      <c r="F19330" s="1">
        <v>6.7406039111587903E-3</v>
      </c>
    </row>
    <row r="19331" spans="1:6" x14ac:dyDescent="0.25">
      <c r="A19331" s="2" t="str">
        <f t="shared" si="689"/>
        <v>19820</v>
      </c>
      <c r="B19331" s="2" t="str">
        <f>"48134"</f>
        <v>48134</v>
      </c>
      <c r="C19331" s="1">
        <v>4.9189178087416701E-3</v>
      </c>
      <c r="D19331" s="1">
        <v>2.7816868631004802E-3</v>
      </c>
      <c r="E19331" s="1">
        <v>3.7575357172351101E-3</v>
      </c>
      <c r="F19331" s="1">
        <v>4.7125537824547698E-3</v>
      </c>
    </row>
    <row r="19332" spans="1:6" x14ac:dyDescent="0.25">
      <c r="A19332" s="2" t="str">
        <f t="shared" si="689"/>
        <v>19820</v>
      </c>
      <c r="B19332" s="2" t="str">
        <f>"48141"</f>
        <v>48141</v>
      </c>
      <c r="C19332" s="1">
        <v>6.1277422269949196E-3</v>
      </c>
      <c r="D19332" s="1">
        <v>3.2197477864233902E-3</v>
      </c>
      <c r="E19332" s="1">
        <v>4.7622980152503599E-3</v>
      </c>
      <c r="F19332" s="1">
        <v>5.85373954619498E-3</v>
      </c>
    </row>
    <row r="19333" spans="1:6" x14ac:dyDescent="0.25">
      <c r="A19333" s="2" t="str">
        <f t="shared" si="689"/>
        <v>19820</v>
      </c>
      <c r="B19333" s="2" t="str">
        <f>"48090"</f>
        <v>48090</v>
      </c>
      <c r="C19333" s="1">
        <v>5.6040161137468501E-4</v>
      </c>
      <c r="D19333" s="1">
        <v>2.2943440859037401E-3</v>
      </c>
      <c r="E19333" s="1">
        <v>2.75277341921986E-5</v>
      </c>
      <c r="F19333" s="1">
        <v>6.8123355877367496E-4</v>
      </c>
    </row>
    <row r="19334" spans="1:6" x14ac:dyDescent="0.25">
      <c r="A19334" s="2" t="str">
        <f t="shared" si="689"/>
        <v>19820</v>
      </c>
      <c r="B19334" s="2" t="str">
        <f>"48114"</f>
        <v>48114</v>
      </c>
      <c r="C19334" s="1">
        <v>4.2612038756710303E-3</v>
      </c>
      <c r="D19334" s="1">
        <v>3.7947027482847099E-3</v>
      </c>
      <c r="E19334" s="1">
        <v>2.6977179508354599E-3</v>
      </c>
      <c r="F19334" s="1">
        <v>4.1747835768370101E-3</v>
      </c>
    </row>
    <row r="19335" spans="1:6" x14ac:dyDescent="0.25">
      <c r="A19335" s="2" t="str">
        <f t="shared" ref="A19335:A19345" si="690">"19820"</f>
        <v>19820</v>
      </c>
      <c r="B19335" s="2" t="str">
        <f>"48048"</f>
        <v>48048</v>
      </c>
      <c r="C19335" s="1">
        <v>1.9760758390620402E-3</v>
      </c>
      <c r="D19335" s="1">
        <v>1.2429978699287599E-3</v>
      </c>
      <c r="E19335" s="1">
        <v>3.0280507611418501E-4</v>
      </c>
      <c r="F19335" s="1">
        <v>1.86502359102684E-3</v>
      </c>
    </row>
    <row r="19336" spans="1:6" x14ac:dyDescent="0.25">
      <c r="A19336" s="2" t="str">
        <f t="shared" si="690"/>
        <v>19820</v>
      </c>
      <c r="B19336" s="2" t="str">
        <f>"48046"</f>
        <v>48046</v>
      </c>
      <c r="C19336" s="1">
        <v>5.9805512278467696E-4</v>
      </c>
      <c r="D19336" s="1">
        <v>2.2833925628206698E-3</v>
      </c>
      <c r="E19336" s="1">
        <v>2.75277341921986E-5</v>
      </c>
      <c r="F19336" s="1">
        <v>7.1383886630910904E-4</v>
      </c>
    </row>
    <row r="19337" spans="1:6" x14ac:dyDescent="0.25">
      <c r="A19337" s="2" t="str">
        <f t="shared" si="690"/>
        <v>19820</v>
      </c>
      <c r="B19337" s="2" t="str">
        <f>"48047"</f>
        <v>48047</v>
      </c>
      <c r="C19337" s="1">
        <v>8.8221688226969401E-3</v>
      </c>
      <c r="D19337" s="1">
        <v>5.0157975720473303E-3</v>
      </c>
      <c r="E19337" s="1">
        <v>5.5055468384397196E-3</v>
      </c>
      <c r="F19337" s="1">
        <v>8.4152125061786997E-3</v>
      </c>
    </row>
    <row r="19338" spans="1:6" x14ac:dyDescent="0.25">
      <c r="A19338" s="2" t="str">
        <f t="shared" si="690"/>
        <v>19820</v>
      </c>
      <c r="B19338" s="2" t="str">
        <f>"48068"</f>
        <v>48068</v>
      </c>
      <c r="C19338" s="1">
        <v>5.9903313606805397E-4</v>
      </c>
      <c r="D19338" s="1">
        <v>3.26355387875568E-3</v>
      </c>
      <c r="E19338" s="1">
        <v>4.1291601288297901E-5</v>
      </c>
      <c r="F19338" s="1">
        <v>7.9296107926176296E-4</v>
      </c>
    </row>
    <row r="19339" spans="1:6" x14ac:dyDescent="0.25">
      <c r="A19339" s="2" t="str">
        <f t="shared" si="690"/>
        <v>19820</v>
      </c>
      <c r="B19339" s="2" t="str">
        <f>"48071"</f>
        <v>48071</v>
      </c>
      <c r="C19339" s="1">
        <v>7.0666349790362796E-3</v>
      </c>
      <c r="D19339" s="1">
        <v>1.04094226904606E-2</v>
      </c>
      <c r="E19339" s="1">
        <v>9.9237481762876004E-3</v>
      </c>
      <c r="F19339" s="1">
        <v>7.4222722073662697E-3</v>
      </c>
    </row>
    <row r="19340" spans="1:6" x14ac:dyDescent="0.25">
      <c r="A19340" s="2" t="str">
        <f t="shared" si="690"/>
        <v>19820</v>
      </c>
      <c r="B19340" s="2" t="str">
        <f>"48041"</f>
        <v>48041</v>
      </c>
      <c r="C19340" s="1">
        <v>8.9781619413954804E-4</v>
      </c>
      <c r="D19340" s="1">
        <v>2.5188503091067298E-4</v>
      </c>
      <c r="E19340" s="1">
        <v>2.8904120901808498E-4</v>
      </c>
      <c r="F19340" s="1">
        <v>8.2730533653242104E-4</v>
      </c>
    </row>
    <row r="19341" spans="1:6" x14ac:dyDescent="0.25">
      <c r="A19341" s="2" t="str">
        <f t="shared" si="690"/>
        <v>19820</v>
      </c>
      <c r="B19341" s="2" t="str">
        <f>"48038"</f>
        <v>48038</v>
      </c>
      <c r="C19341" s="1">
        <v>1.12481307721121E-2</v>
      </c>
      <c r="D19341" s="1">
        <v>9.7578070670178395E-3</v>
      </c>
      <c r="E19341" s="1">
        <v>2.1347757866050001E-2</v>
      </c>
      <c r="F19341" s="1">
        <v>1.14488103192755E-2</v>
      </c>
    </row>
    <row r="19342" spans="1:6" x14ac:dyDescent="0.25">
      <c r="A19342" s="2" t="str">
        <f t="shared" si="690"/>
        <v>19820</v>
      </c>
      <c r="B19342" s="2" t="str">
        <f>"48042"</f>
        <v>48042</v>
      </c>
      <c r="C19342" s="1">
        <v>5.9673480485211896E-3</v>
      </c>
      <c r="D19342" s="1">
        <v>2.56265640143903E-3</v>
      </c>
      <c r="E19342" s="1">
        <v>3.4409667740248302E-4</v>
      </c>
      <c r="F19342" s="1">
        <v>5.5194264595983204E-3</v>
      </c>
    </row>
    <row r="19343" spans="1:6" x14ac:dyDescent="0.25">
      <c r="A19343" s="2" t="str">
        <f t="shared" si="690"/>
        <v>19820</v>
      </c>
      <c r="B19343" s="2" t="str">
        <f>"48063"</f>
        <v>48063</v>
      </c>
      <c r="C19343" s="1">
        <v>8.6358572922137398E-4</v>
      </c>
      <c r="D19343" s="1">
        <v>2.4093350782760099E-4</v>
      </c>
      <c r="E19343" s="1">
        <v>9.6347069672695203E-5</v>
      </c>
      <c r="F19343" s="1">
        <v>7.8991791722512301E-4</v>
      </c>
    </row>
    <row r="19344" spans="1:6" x14ac:dyDescent="0.25">
      <c r="A19344" s="2" t="str">
        <f t="shared" si="690"/>
        <v>19820</v>
      </c>
      <c r="B19344" s="2" t="str">
        <f>"48060"</f>
        <v>48060</v>
      </c>
      <c r="C19344" s="1">
        <v>9.0847653892835098E-3</v>
      </c>
      <c r="D19344" s="1">
        <v>1.02122952749653E-2</v>
      </c>
      <c r="E19344" s="1">
        <v>1.5401767280535101E-2</v>
      </c>
      <c r="F19344" s="1">
        <v>9.3738085477204705E-3</v>
      </c>
    </row>
    <row r="19345" spans="1:6" x14ac:dyDescent="0.25">
      <c r="A19345" s="2" t="str">
        <f t="shared" si="690"/>
        <v>19820</v>
      </c>
      <c r="B19345" s="2" t="str">
        <f>"48014"</f>
        <v>48014</v>
      </c>
      <c r="C19345" s="1">
        <v>8.4744851004566303E-4</v>
      </c>
      <c r="D19345" s="1">
        <v>2.4640926936913697E-4</v>
      </c>
      <c r="E19345" s="1">
        <v>4.8173534836347599E-4</v>
      </c>
      <c r="F19345" s="1">
        <v>7.8817896748989901E-4</v>
      </c>
    </row>
    <row r="19346" spans="1:6" x14ac:dyDescent="0.25">
      <c r="A19346" s="2" t="str">
        <f t="shared" ref="A19346:A19366" si="691">"34740"</f>
        <v>34740</v>
      </c>
      <c r="B19346" s="2" t="str">
        <f>"49404"</f>
        <v>49404</v>
      </c>
      <c r="C19346" s="1">
        <v>1.02468089412895E-3</v>
      </c>
      <c r="D19346" s="1">
        <v>1.61290322580645E-4</v>
      </c>
      <c r="E19346" s="1">
        <v>0</v>
      </c>
      <c r="F19346" s="1">
        <v>9.3072880605654705E-4</v>
      </c>
    </row>
    <row r="19347" spans="1:6" x14ac:dyDescent="0.25">
      <c r="A19347" s="2" t="str">
        <f t="shared" si="691"/>
        <v>34740</v>
      </c>
      <c r="B19347" s="2" t="str">
        <f>"49303"</f>
        <v>49303</v>
      </c>
      <c r="C19347" s="1">
        <v>4.8197953168288002E-3</v>
      </c>
      <c r="D19347" s="1">
        <v>3.5483870967741899E-3</v>
      </c>
      <c r="E19347" s="1">
        <v>0</v>
      </c>
      <c r="F19347" s="1">
        <v>4.5741915712291196E-3</v>
      </c>
    </row>
    <row r="19348" spans="1:6" x14ac:dyDescent="0.25">
      <c r="A19348" s="2" t="str">
        <f t="shared" si="691"/>
        <v>34740</v>
      </c>
      <c r="B19348" s="2" t="str">
        <f>"49442"</f>
        <v>49442</v>
      </c>
      <c r="C19348" s="1">
        <v>0.23019899049956299</v>
      </c>
      <c r="D19348" s="1">
        <v>0.18693548387096701</v>
      </c>
      <c r="E19348" s="1">
        <v>0.23966362999299201</v>
      </c>
      <c r="F19348" s="1">
        <v>0.22746103991918501</v>
      </c>
    </row>
    <row r="19349" spans="1:6" x14ac:dyDescent="0.25">
      <c r="A19349" s="2" t="str">
        <f t="shared" si="691"/>
        <v>34740</v>
      </c>
      <c r="B19349" s="2" t="str">
        <f>"49461"</f>
        <v>49461</v>
      </c>
      <c r="C19349" s="1">
        <v>5.3802072132474697E-2</v>
      </c>
      <c r="D19349" s="1">
        <v>4.9032258064516103E-2</v>
      </c>
      <c r="E19349" s="1">
        <v>4.1695865451997098E-2</v>
      </c>
      <c r="F19349" s="1">
        <v>5.3074242647809897E-2</v>
      </c>
    </row>
    <row r="19350" spans="1:6" x14ac:dyDescent="0.25">
      <c r="A19350" s="2" t="str">
        <f t="shared" si="691"/>
        <v>34740</v>
      </c>
      <c r="B19350" s="2" t="str">
        <f>"49443"</f>
        <v>49443</v>
      </c>
      <c r="C19350" s="1">
        <v>1.29919417070424E-2</v>
      </c>
      <c r="D19350" s="1">
        <v>4.3870967741935399E-2</v>
      </c>
      <c r="E19350" s="1">
        <v>7.0077084793272498E-4</v>
      </c>
      <c r="F19350" s="1">
        <v>1.47668070326776E-2</v>
      </c>
    </row>
    <row r="19351" spans="1:6" x14ac:dyDescent="0.25">
      <c r="A19351" s="2" t="str">
        <f t="shared" si="691"/>
        <v>34740</v>
      </c>
      <c r="B19351" s="2" t="str">
        <f>"49448"</f>
        <v>49448</v>
      </c>
      <c r="C19351" s="1">
        <v>1.87225644853192E-3</v>
      </c>
      <c r="D19351" s="1">
        <v>3.2258064516129E-4</v>
      </c>
      <c r="E19351" s="1">
        <v>0</v>
      </c>
      <c r="F19351" s="1">
        <v>1.7025526940058701E-3</v>
      </c>
    </row>
    <row r="19352" spans="1:6" x14ac:dyDescent="0.25">
      <c r="A19352" s="2" t="str">
        <f t="shared" si="691"/>
        <v>34740</v>
      </c>
      <c r="B19352" s="2" t="str">
        <f>"49441"</f>
        <v>49441</v>
      </c>
      <c r="C19352" s="1">
        <v>0.219205809055143</v>
      </c>
      <c r="D19352" s="1">
        <v>0.20016129032258001</v>
      </c>
      <c r="E19352" s="1">
        <v>0.405045550105115</v>
      </c>
      <c r="F19352" s="1">
        <v>0.223885679261773</v>
      </c>
    </row>
    <row r="19353" spans="1:6" x14ac:dyDescent="0.25">
      <c r="A19353" s="2" t="str">
        <f t="shared" si="691"/>
        <v>34740</v>
      </c>
      <c r="B19353" s="2" t="str">
        <f>"49457"</f>
        <v>49457</v>
      </c>
      <c r="C19353" s="1">
        <v>5.7622487317992598E-2</v>
      </c>
      <c r="D19353" s="1">
        <v>1.16129032258064E-2</v>
      </c>
      <c r="E19353" s="1">
        <v>1.40154169586545E-3</v>
      </c>
      <c r="F19353" s="1">
        <v>5.2563476839608103E-2</v>
      </c>
    </row>
    <row r="19354" spans="1:6" x14ac:dyDescent="0.25">
      <c r="A19354" s="2" t="str">
        <f t="shared" si="691"/>
        <v>34740</v>
      </c>
      <c r="B19354" s="2" t="str">
        <f>"49445"</f>
        <v>49445</v>
      </c>
      <c r="C19354" s="1">
        <v>0.114473301370036</v>
      </c>
      <c r="D19354" s="1">
        <v>7.69354838709677E-2</v>
      </c>
      <c r="E19354" s="1">
        <v>4.87035739313244E-2</v>
      </c>
      <c r="F19354" s="1">
        <v>0.109701145250445</v>
      </c>
    </row>
    <row r="19355" spans="1:6" x14ac:dyDescent="0.25">
      <c r="A19355" s="2" t="str">
        <f t="shared" si="691"/>
        <v>34740</v>
      </c>
      <c r="B19355" s="2" t="str">
        <f>"49444"</f>
        <v>49444</v>
      </c>
      <c r="C19355" s="1">
        <v>0.16022973092638701</v>
      </c>
      <c r="D19355" s="1">
        <v>0.266774193548387</v>
      </c>
      <c r="E19355" s="1">
        <v>0.15662228451296401</v>
      </c>
      <c r="F19355" s="1">
        <v>0.167610637549232</v>
      </c>
    </row>
    <row r="19356" spans="1:6" x14ac:dyDescent="0.25">
      <c r="A19356" s="2" t="str">
        <f t="shared" si="691"/>
        <v>34740</v>
      </c>
      <c r="B19356" s="2" t="str">
        <f>"49330"</f>
        <v>49330</v>
      </c>
      <c r="C19356" s="1">
        <v>1.7710533972599201E-4</v>
      </c>
      <c r="D19356" s="1">
        <v>0</v>
      </c>
      <c r="E19356" s="1">
        <v>0</v>
      </c>
      <c r="F19356" s="1">
        <v>1.58904918107215E-4</v>
      </c>
    </row>
    <row r="19357" spans="1:6" x14ac:dyDescent="0.25">
      <c r="A19357" s="2" t="str">
        <f t="shared" si="691"/>
        <v>34740</v>
      </c>
      <c r="B19357" s="2" t="str">
        <f>"49440"</f>
        <v>49440</v>
      </c>
      <c r="C19357" s="1">
        <v>1.2916039418588401E-2</v>
      </c>
      <c r="D19357" s="1">
        <v>6.1451612903225802E-2</v>
      </c>
      <c r="E19357" s="1">
        <v>4.87035739313244E-2</v>
      </c>
      <c r="F19357" s="1">
        <v>1.7490891343087001E-2</v>
      </c>
    </row>
    <row r="19358" spans="1:6" x14ac:dyDescent="0.25">
      <c r="A19358" s="2" t="str">
        <f t="shared" si="691"/>
        <v>34740</v>
      </c>
      <c r="B19358" s="2" t="str">
        <f>"49437"</f>
        <v>49437</v>
      </c>
      <c r="C19358" s="1">
        <v>3.6116838922693503E-2</v>
      </c>
      <c r="D19358" s="1">
        <v>2.8548387096774101E-2</v>
      </c>
      <c r="E19358" s="1">
        <v>2.8381219341275399E-2</v>
      </c>
      <c r="F19358" s="1">
        <v>3.53336435762686E-2</v>
      </c>
    </row>
    <row r="19359" spans="1:6" x14ac:dyDescent="0.25">
      <c r="A19359" s="2" t="str">
        <f t="shared" si="691"/>
        <v>34740</v>
      </c>
      <c r="B19359" s="2" t="str">
        <f>"49456"</f>
        <v>49456</v>
      </c>
      <c r="C19359" s="1">
        <v>7.4131235056736902E-3</v>
      </c>
      <c r="D19359" s="1">
        <v>7.7419354838709599E-3</v>
      </c>
      <c r="E19359" s="1">
        <v>2.4526979677645402E-3</v>
      </c>
      <c r="F19359" s="1">
        <v>7.2755751790517902E-3</v>
      </c>
    </row>
    <row r="19360" spans="1:6" x14ac:dyDescent="0.25">
      <c r="A19360" s="2" t="str">
        <f t="shared" si="691"/>
        <v>34740</v>
      </c>
      <c r="B19360" s="2" t="str">
        <f>"49318"</f>
        <v>49318</v>
      </c>
      <c r="C19360" s="1">
        <v>5.0222014193727904E-3</v>
      </c>
      <c r="D19360" s="1">
        <v>2.58064516129032E-3</v>
      </c>
      <c r="E19360" s="1">
        <v>7.0077084793272498E-4</v>
      </c>
      <c r="F19360" s="1">
        <v>4.71039578674959E-3</v>
      </c>
    </row>
    <row r="19361" spans="1:6" x14ac:dyDescent="0.25">
      <c r="A19361" s="2" t="str">
        <f t="shared" si="691"/>
        <v>34740</v>
      </c>
      <c r="B19361" s="2" t="str">
        <f>"49412"</f>
        <v>49412</v>
      </c>
      <c r="C19361" s="1">
        <v>3.1625953522498699E-4</v>
      </c>
      <c r="D19361" s="1">
        <v>1.7741935483870899E-3</v>
      </c>
      <c r="E19361" s="1">
        <v>0</v>
      </c>
      <c r="F19361" s="1">
        <v>4.08612646561411E-4</v>
      </c>
    </row>
    <row r="19362" spans="1:6" x14ac:dyDescent="0.25">
      <c r="A19362" s="2" t="str">
        <f t="shared" si="691"/>
        <v>34740</v>
      </c>
      <c r="B19362" s="2" t="str">
        <f>"49451"</f>
        <v>49451</v>
      </c>
      <c r="C19362" s="1">
        <v>2.9741046692557699E-2</v>
      </c>
      <c r="D19362" s="1">
        <v>1.58064516129032E-2</v>
      </c>
      <c r="E19362" s="1">
        <v>8.7596355991590696E-3</v>
      </c>
      <c r="F19362" s="1">
        <v>2.8080769099803601E-2</v>
      </c>
    </row>
    <row r="19363" spans="1:6" x14ac:dyDescent="0.25">
      <c r="A19363" s="2" t="str">
        <f t="shared" si="691"/>
        <v>34740</v>
      </c>
      <c r="B19363" s="2" t="str">
        <f>"49403"</f>
        <v>49403</v>
      </c>
      <c r="C19363" s="1">
        <v>4.9336487495097901E-4</v>
      </c>
      <c r="D19363" s="1">
        <v>0</v>
      </c>
      <c r="E19363" s="1">
        <v>0</v>
      </c>
      <c r="F19363" s="1">
        <v>4.4266370044152801E-4</v>
      </c>
    </row>
    <row r="19364" spans="1:6" x14ac:dyDescent="0.25">
      <c r="A19364" s="2" t="str">
        <f t="shared" si="691"/>
        <v>34740</v>
      </c>
      <c r="B19364" s="2" t="str">
        <f>"49425"</f>
        <v>49425</v>
      </c>
      <c r="C19364" s="1">
        <v>1.5914179812521301E-2</v>
      </c>
      <c r="D19364" s="1">
        <v>6.9354838709677399E-3</v>
      </c>
      <c r="E19364" s="1">
        <v>3.5038542396636199E-3</v>
      </c>
      <c r="F19364" s="1">
        <v>1.48803105456113E-2</v>
      </c>
    </row>
    <row r="19365" spans="1:6" x14ac:dyDescent="0.25">
      <c r="A19365" s="2" t="str">
        <f t="shared" si="691"/>
        <v>34740</v>
      </c>
      <c r="B19365" s="2" t="str">
        <f>"49327"</f>
        <v>49327</v>
      </c>
      <c r="C19365" s="1">
        <v>2.4035724677099E-4</v>
      </c>
      <c r="D19365" s="1">
        <v>1.61290322580645E-4</v>
      </c>
      <c r="E19365" s="1">
        <v>0</v>
      </c>
      <c r="F19365" s="1">
        <v>2.2700702586744999E-4</v>
      </c>
    </row>
    <row r="19366" spans="1:6" x14ac:dyDescent="0.25">
      <c r="A19366" s="2" t="str">
        <f t="shared" si="691"/>
        <v>34740</v>
      </c>
      <c r="B19366" s="2" t="str">
        <f>"49415"</f>
        <v>49415</v>
      </c>
      <c r="C19366" s="1">
        <v>3.5408417563789499E-2</v>
      </c>
      <c r="D19366" s="1">
        <v>3.5645161290322497E-2</v>
      </c>
      <c r="E19366" s="1">
        <v>1.36650315346881E-2</v>
      </c>
      <c r="F19366" s="1">
        <v>3.4720724606426501E-2</v>
      </c>
    </row>
    <row r="19367" spans="1:6" x14ac:dyDescent="0.25">
      <c r="A19367" s="2" t="str">
        <f t="shared" ref="A19367:A19398" si="692">"31940"</f>
        <v>31940</v>
      </c>
      <c r="B19367" s="2" t="str">
        <f>"54153"</f>
        <v>54153</v>
      </c>
      <c r="C19367" s="1">
        <v>2.9753854476602599E-4</v>
      </c>
      <c r="D19367" s="1">
        <v>0</v>
      </c>
      <c r="E19367" s="1">
        <v>0</v>
      </c>
      <c r="F19367" s="1">
        <v>2.7490378367571298E-4</v>
      </c>
    </row>
    <row r="19368" spans="1:6" x14ac:dyDescent="0.25">
      <c r="A19368" s="2" t="str">
        <f t="shared" si="692"/>
        <v>31940</v>
      </c>
      <c r="B19368" s="2" t="str">
        <f>"54151"</f>
        <v>54151</v>
      </c>
      <c r="C19368" s="1">
        <v>3.4379226399783601E-2</v>
      </c>
      <c r="D19368" s="1">
        <v>3.0782385634886701E-2</v>
      </c>
      <c r="E19368" s="1">
        <v>1.8439716312056698E-2</v>
      </c>
      <c r="F19368" s="1">
        <v>3.3888139151297E-2</v>
      </c>
    </row>
    <row r="19369" spans="1:6" x14ac:dyDescent="0.25">
      <c r="A19369" s="2" t="str">
        <f t="shared" si="692"/>
        <v>31940</v>
      </c>
      <c r="B19369" s="2" t="str">
        <f>"49873"</f>
        <v>49873</v>
      </c>
      <c r="C19369" s="1">
        <v>2.5967000270489498E-3</v>
      </c>
      <c r="D19369" s="1">
        <v>0</v>
      </c>
      <c r="E19369" s="1">
        <v>0</v>
      </c>
      <c r="F19369" s="1">
        <v>2.3991602938971302E-3</v>
      </c>
    </row>
    <row r="19370" spans="1:6" x14ac:dyDescent="0.25">
      <c r="A19370" s="2" t="str">
        <f t="shared" si="692"/>
        <v>31940</v>
      </c>
      <c r="B19370" s="2" t="str">
        <f>"49874"</f>
        <v>49874</v>
      </c>
      <c r="C19370" s="1">
        <v>1.34974303489315E-2</v>
      </c>
      <c r="D19370" s="1">
        <v>6.8405301410859303E-3</v>
      </c>
      <c r="E19370" s="1">
        <v>1.27659574468085E-2</v>
      </c>
      <c r="F19370" s="1">
        <v>1.30954166041885E-2</v>
      </c>
    </row>
    <row r="19371" spans="1:6" x14ac:dyDescent="0.25">
      <c r="A19371" s="2" t="str">
        <f t="shared" si="692"/>
        <v>31940</v>
      </c>
      <c r="B19371" s="2" t="str">
        <f>"49807"</f>
        <v>49807</v>
      </c>
      <c r="C19371" s="1">
        <v>5.8425750608601503E-3</v>
      </c>
      <c r="D19371" s="1">
        <v>8.5506626763574096E-4</v>
      </c>
      <c r="E19371" s="1">
        <v>0</v>
      </c>
      <c r="F19371" s="1">
        <v>5.44809316739141E-3</v>
      </c>
    </row>
    <row r="19372" spans="1:6" x14ac:dyDescent="0.25">
      <c r="A19372" s="2" t="str">
        <f t="shared" si="692"/>
        <v>31940</v>
      </c>
      <c r="B19372" s="2" t="str">
        <f>"54159"</f>
        <v>54159</v>
      </c>
      <c r="C19372" s="1">
        <v>2.0557208547470899E-2</v>
      </c>
      <c r="D19372" s="1">
        <v>3.42026507054296E-3</v>
      </c>
      <c r="E19372" s="1">
        <v>1.4184397163120499E-3</v>
      </c>
      <c r="F19372" s="1">
        <v>1.9218273604238501E-2</v>
      </c>
    </row>
    <row r="19373" spans="1:6" x14ac:dyDescent="0.25">
      <c r="A19373" s="2" t="str">
        <f t="shared" si="692"/>
        <v>31940</v>
      </c>
      <c r="B19373" s="2" t="str">
        <f>"54125"</f>
        <v>54125</v>
      </c>
      <c r="C19373" s="1">
        <v>8.0876386259129008E-3</v>
      </c>
      <c r="D19373" s="1">
        <v>1.2825994014536101E-3</v>
      </c>
      <c r="E19373" s="1">
        <v>2.8368794326241102E-3</v>
      </c>
      <c r="F19373" s="1">
        <v>7.59734093067426E-3</v>
      </c>
    </row>
    <row r="19374" spans="1:6" x14ac:dyDescent="0.25">
      <c r="A19374" s="2" t="str">
        <f t="shared" si="692"/>
        <v>31940</v>
      </c>
      <c r="B19374" s="2" t="str">
        <f>"54120"</f>
        <v>54120</v>
      </c>
      <c r="C19374" s="1">
        <v>2.2991614822829298E-3</v>
      </c>
      <c r="D19374" s="1">
        <v>0</v>
      </c>
      <c r="E19374" s="1">
        <v>0</v>
      </c>
      <c r="F19374" s="1">
        <v>2.1242565102214199E-3</v>
      </c>
    </row>
    <row r="19375" spans="1:6" x14ac:dyDescent="0.25">
      <c r="A19375" s="2" t="str">
        <f t="shared" si="692"/>
        <v>31940</v>
      </c>
      <c r="B19375" s="2" t="str">
        <f>"54103"</f>
        <v>54103</v>
      </c>
      <c r="C19375" s="1">
        <v>1.0008114687584499E-3</v>
      </c>
      <c r="D19375" s="1">
        <v>0</v>
      </c>
      <c r="E19375" s="1">
        <v>0</v>
      </c>
      <c r="F19375" s="1">
        <v>9.24676363272854E-4</v>
      </c>
    </row>
    <row r="19376" spans="1:6" x14ac:dyDescent="0.25">
      <c r="A19376" s="2" t="str">
        <f t="shared" si="692"/>
        <v>31940</v>
      </c>
      <c r="B19376" s="2" t="str">
        <f>"54102"</f>
        <v>54102</v>
      </c>
      <c r="C19376" s="1">
        <v>1.7121990803354002E-2</v>
      </c>
      <c r="D19376" s="1">
        <v>5.9854638734501897E-3</v>
      </c>
      <c r="E19376" s="1">
        <v>4.2553191489361703E-3</v>
      </c>
      <c r="F19376" s="1">
        <v>1.62443144899285E-2</v>
      </c>
    </row>
    <row r="19377" spans="1:6" x14ac:dyDescent="0.25">
      <c r="A19377" s="2" t="str">
        <f t="shared" si="692"/>
        <v>31940</v>
      </c>
      <c r="B19377" s="2" t="str">
        <f>"49896"</f>
        <v>49896</v>
      </c>
      <c r="C19377" s="1">
        <v>2.1395726264538801E-2</v>
      </c>
      <c r="D19377" s="1">
        <v>5.1303976058144499E-3</v>
      </c>
      <c r="E19377" s="1">
        <v>1.27659574468085E-2</v>
      </c>
      <c r="F19377" s="1">
        <v>2.02928974858799E-2</v>
      </c>
    </row>
    <row r="19378" spans="1:6" x14ac:dyDescent="0.25">
      <c r="A19378" s="2" t="str">
        <f t="shared" si="692"/>
        <v>31940</v>
      </c>
      <c r="B19378" s="2" t="str">
        <f>"54157"</f>
        <v>54157</v>
      </c>
      <c r="C19378" s="1">
        <v>7.6494454963483893E-2</v>
      </c>
      <c r="D19378" s="1">
        <v>7.8238563488670296E-2</v>
      </c>
      <c r="E19378" s="1">
        <v>0.12907801418439699</v>
      </c>
      <c r="F19378" s="1">
        <v>7.7522866996551199E-2</v>
      </c>
    </row>
    <row r="19379" spans="1:6" x14ac:dyDescent="0.25">
      <c r="A19379" s="2" t="str">
        <f t="shared" si="692"/>
        <v>31940</v>
      </c>
      <c r="B19379" s="2" t="str">
        <f>"54114"</f>
        <v>54114</v>
      </c>
      <c r="C19379" s="1">
        <v>9.2534487422234205E-2</v>
      </c>
      <c r="D19379" s="1">
        <v>6.11372381359555E-2</v>
      </c>
      <c r="E19379" s="1">
        <v>4.9645390070921898E-2</v>
      </c>
      <c r="F19379" s="1">
        <v>8.9943519768081098E-2</v>
      </c>
    </row>
    <row r="19380" spans="1:6" x14ac:dyDescent="0.25">
      <c r="A19380" s="2" t="str">
        <f t="shared" si="692"/>
        <v>31940</v>
      </c>
      <c r="B19380" s="2" t="str">
        <f>"54104"</f>
        <v>54104</v>
      </c>
      <c r="C19380" s="1">
        <v>2.5047335677576402E-2</v>
      </c>
      <c r="D19380" s="1">
        <v>9.4057289439931496E-3</v>
      </c>
      <c r="E19380" s="1">
        <v>4.2553191489361703E-3</v>
      </c>
      <c r="F19380" s="1">
        <v>2.3766681661418501E-2</v>
      </c>
    </row>
    <row r="19381" spans="1:6" x14ac:dyDescent="0.25">
      <c r="A19381" s="2" t="str">
        <f t="shared" si="692"/>
        <v>31940</v>
      </c>
      <c r="B19381" s="2" t="str">
        <f>"49845"</f>
        <v>49845</v>
      </c>
      <c r="C19381" s="1">
        <v>0</v>
      </c>
      <c r="D19381" s="1">
        <v>0</v>
      </c>
      <c r="E19381" s="1">
        <v>1.4184397163120499E-3</v>
      </c>
      <c r="F19381" s="1">
        <v>2.49912530614285E-5</v>
      </c>
    </row>
    <row r="19382" spans="1:6" x14ac:dyDescent="0.25">
      <c r="A19382" s="2" t="str">
        <f t="shared" si="692"/>
        <v>31940</v>
      </c>
      <c r="B19382" s="2" t="str">
        <f>"49848"</f>
        <v>49848</v>
      </c>
      <c r="C19382" s="1">
        <v>1.8663781444414301E-3</v>
      </c>
      <c r="D19382" s="1">
        <v>1.2825994014536101E-3</v>
      </c>
      <c r="E19382" s="1">
        <v>1.4184397163120499E-3</v>
      </c>
      <c r="F19382" s="1">
        <v>1.82436147348428E-3</v>
      </c>
    </row>
    <row r="19383" spans="1:6" x14ac:dyDescent="0.25">
      <c r="A19383" s="2" t="str">
        <f t="shared" si="692"/>
        <v>31940</v>
      </c>
      <c r="B19383" s="2" t="str">
        <f>"49892"</f>
        <v>49892</v>
      </c>
      <c r="C19383" s="1">
        <v>3.5975114958074102E-3</v>
      </c>
      <c r="D19383" s="1">
        <v>8.5506626763574096E-4</v>
      </c>
      <c r="E19383" s="1">
        <v>0</v>
      </c>
      <c r="F19383" s="1">
        <v>3.3738191632928399E-3</v>
      </c>
    </row>
    <row r="19384" spans="1:6" x14ac:dyDescent="0.25">
      <c r="A19384" s="2" t="str">
        <f t="shared" si="692"/>
        <v>31940</v>
      </c>
      <c r="B19384" s="2" t="str">
        <f>"54119"</f>
        <v>54119</v>
      </c>
      <c r="C19384" s="1">
        <v>1.04138490668109E-2</v>
      </c>
      <c r="D19384" s="1">
        <v>2.9927319367250901E-3</v>
      </c>
      <c r="E19384" s="1">
        <v>1.4184397163120499E-3</v>
      </c>
      <c r="F19384" s="1">
        <v>9.8215624531414001E-3</v>
      </c>
    </row>
    <row r="19385" spans="1:6" x14ac:dyDescent="0.25">
      <c r="A19385" s="2" t="str">
        <f t="shared" si="692"/>
        <v>31940</v>
      </c>
      <c r="B19385" s="2" t="str">
        <f>"49858"</f>
        <v>49858</v>
      </c>
      <c r="C19385" s="1">
        <v>0.19331890722207101</v>
      </c>
      <c r="D19385" s="1">
        <v>0.28302693458743</v>
      </c>
      <c r="E19385" s="1">
        <v>0.26524822695035399</v>
      </c>
      <c r="F19385" s="1">
        <v>0.199830059479182</v>
      </c>
    </row>
    <row r="19386" spans="1:6" x14ac:dyDescent="0.25">
      <c r="A19386" s="2" t="str">
        <f t="shared" si="692"/>
        <v>31940</v>
      </c>
      <c r="B19386" s="2" t="str">
        <f>"49893"</f>
        <v>49893</v>
      </c>
      <c r="C19386" s="1">
        <v>2.61833919394103E-2</v>
      </c>
      <c r="D19386" s="1">
        <v>3.8477982043608298E-3</v>
      </c>
      <c r="E19386" s="1">
        <v>1.1347517730496399E-2</v>
      </c>
      <c r="F19386" s="1">
        <v>2.4616384265507E-2</v>
      </c>
    </row>
    <row r="19387" spans="1:6" x14ac:dyDescent="0.25">
      <c r="A19387" s="2" t="str">
        <f t="shared" si="692"/>
        <v>31940</v>
      </c>
      <c r="B19387" s="2" t="str">
        <f>"54177"</f>
        <v>54177</v>
      </c>
      <c r="C19387" s="1">
        <v>5.4476602650797901E-2</v>
      </c>
      <c r="D19387" s="1">
        <v>1.23984608807182E-2</v>
      </c>
      <c r="E19387" s="1">
        <v>2.5531914893616999E-2</v>
      </c>
      <c r="F19387" s="1">
        <v>5.1506972559604097E-2</v>
      </c>
    </row>
    <row r="19388" spans="1:6" x14ac:dyDescent="0.25">
      <c r="A19388" s="2" t="str">
        <f t="shared" si="692"/>
        <v>31940</v>
      </c>
      <c r="B19388" s="2" t="str">
        <f>"54161"</f>
        <v>54161</v>
      </c>
      <c r="C19388" s="1">
        <v>2.2991614822829302E-2</v>
      </c>
      <c r="D19388" s="1">
        <v>1.53911928174433E-2</v>
      </c>
      <c r="E19388" s="1">
        <v>1.27659574468085E-2</v>
      </c>
      <c r="F19388" s="1">
        <v>2.23671714899785E-2</v>
      </c>
    </row>
    <row r="19389" spans="1:6" x14ac:dyDescent="0.25">
      <c r="A19389" s="2" t="str">
        <f t="shared" si="692"/>
        <v>31940</v>
      </c>
      <c r="B19389" s="2" t="str">
        <f>"49886"</f>
        <v>49886</v>
      </c>
      <c r="C19389" s="1">
        <v>4.2737354611847404E-3</v>
      </c>
      <c r="D19389" s="1">
        <v>4.2753313381786999E-4</v>
      </c>
      <c r="E19389" s="1">
        <v>1.4184397163120499E-3</v>
      </c>
      <c r="F19389" s="1">
        <v>3.9986004898285602E-3</v>
      </c>
    </row>
    <row r="19390" spans="1:6" x14ac:dyDescent="0.25">
      <c r="A19390" s="2" t="str">
        <f t="shared" si="692"/>
        <v>31940</v>
      </c>
      <c r="B19390" s="2" t="str">
        <f>"49812"</f>
        <v>49812</v>
      </c>
      <c r="C19390" s="1">
        <v>1.31187449283202E-2</v>
      </c>
      <c r="D19390" s="1">
        <v>8.5506626763574096E-4</v>
      </c>
      <c r="E19390" s="1">
        <v>4.2553191489361703E-3</v>
      </c>
      <c r="F19390" s="1">
        <v>1.2245714000099901E-2</v>
      </c>
    </row>
    <row r="19391" spans="1:6" x14ac:dyDescent="0.25">
      <c r="A19391" s="2" t="str">
        <f t="shared" si="692"/>
        <v>31940</v>
      </c>
      <c r="B19391" s="2" t="str">
        <f>"54156"</f>
        <v>54156</v>
      </c>
      <c r="C19391" s="1">
        <v>2.93210711387611E-2</v>
      </c>
      <c r="D19391" s="1">
        <v>9.4057289439931496E-3</v>
      </c>
      <c r="E19391" s="1">
        <v>5.6737588652482204E-3</v>
      </c>
      <c r="F19391" s="1">
        <v>2.77402908981856E-2</v>
      </c>
    </row>
    <row r="19392" spans="1:6" x14ac:dyDescent="0.25">
      <c r="A19392" s="2" t="str">
        <f t="shared" si="692"/>
        <v>31940</v>
      </c>
      <c r="B19392" s="2" t="str">
        <f>"49863"</f>
        <v>49863</v>
      </c>
      <c r="C19392" s="1">
        <v>1.5958885582904999E-3</v>
      </c>
      <c r="D19392" s="1">
        <v>2.1376656690893499E-3</v>
      </c>
      <c r="E19392" s="1">
        <v>7.09219858156028E-3</v>
      </c>
      <c r="F19392" s="1">
        <v>1.7243964612385599E-3</v>
      </c>
    </row>
    <row r="19393" spans="1:6" x14ac:dyDescent="0.25">
      <c r="A19393" s="2" t="str">
        <f t="shared" si="692"/>
        <v>31940</v>
      </c>
      <c r="B19393" s="2" t="str">
        <f>"49887"</f>
        <v>49887</v>
      </c>
      <c r="C19393" s="1">
        <v>3.8274276440356997E-2</v>
      </c>
      <c r="D19393" s="1">
        <v>1.7956391620350499E-2</v>
      </c>
      <c r="E19393" s="1">
        <v>1.8439716312056698E-2</v>
      </c>
      <c r="F19393" s="1">
        <v>3.6737142000299802E-2</v>
      </c>
    </row>
    <row r="19394" spans="1:6" x14ac:dyDescent="0.25">
      <c r="A19394" s="2" t="str">
        <f t="shared" si="692"/>
        <v>31940</v>
      </c>
      <c r="B19394" s="2" t="str">
        <f>"54143"</f>
        <v>54143</v>
      </c>
      <c r="C19394" s="1">
        <v>0.222180146064376</v>
      </c>
      <c r="D19394" s="1">
        <v>0.406156477126977</v>
      </c>
      <c r="E19394" s="1">
        <v>0.33049645390070898</v>
      </c>
      <c r="F19394" s="1">
        <v>0.23484280501824301</v>
      </c>
    </row>
    <row r="19395" spans="1:6" x14ac:dyDescent="0.25">
      <c r="A19395" s="2" t="str">
        <f t="shared" si="692"/>
        <v>31940</v>
      </c>
      <c r="B19395" s="2" t="str">
        <f>"54112"</f>
        <v>54112</v>
      </c>
      <c r="C19395" s="1">
        <v>2.2964565864214199E-2</v>
      </c>
      <c r="D19395" s="1">
        <v>3.46301838392475E-2</v>
      </c>
      <c r="E19395" s="1">
        <v>1.7021276595744601E-2</v>
      </c>
      <c r="F19395" s="1">
        <v>2.3541760383865601E-2</v>
      </c>
    </row>
    <row r="19396" spans="1:6" x14ac:dyDescent="0.25">
      <c r="A19396" s="2" t="str">
        <f t="shared" si="692"/>
        <v>31940</v>
      </c>
      <c r="B19396" s="2" t="str">
        <f>"49847"</f>
        <v>49847</v>
      </c>
      <c r="C19396" s="1">
        <v>1.34433324317013E-2</v>
      </c>
      <c r="D19396" s="1">
        <v>3.8477982043608298E-3</v>
      </c>
      <c r="E19396" s="1">
        <v>5.6737588652482204E-3</v>
      </c>
      <c r="F19396" s="1">
        <v>1.27455390613285E-2</v>
      </c>
    </row>
    <row r="19397" spans="1:6" x14ac:dyDescent="0.25">
      <c r="A19397" s="2" t="str">
        <f t="shared" si="692"/>
        <v>31940</v>
      </c>
      <c r="B19397" s="2" t="str">
        <f>"54139"</f>
        <v>54139</v>
      </c>
      <c r="C19397" s="1">
        <v>9.4671355152826605E-4</v>
      </c>
      <c r="D19397" s="1">
        <v>0</v>
      </c>
      <c r="E19397" s="1">
        <v>1.4184397163120499E-3</v>
      </c>
      <c r="F19397" s="1">
        <v>8.9968511021142603E-4</v>
      </c>
    </row>
    <row r="19398" spans="1:6" x14ac:dyDescent="0.25">
      <c r="A19398" s="2" t="str">
        <f t="shared" si="692"/>
        <v>31940</v>
      </c>
      <c r="B19398" s="2" t="str">
        <f>"49821"</f>
        <v>49821</v>
      </c>
      <c r="C19398" s="1">
        <v>1.9880984582093499E-2</v>
      </c>
      <c r="D19398" s="1">
        <v>1.71013253527148E-3</v>
      </c>
      <c r="E19398" s="1">
        <v>5.3900709219858102E-2</v>
      </c>
      <c r="F19398" s="1">
        <v>1.94182036287299E-2</v>
      </c>
    </row>
    <row r="19399" spans="1:6" x14ac:dyDescent="0.25">
      <c r="A19399" s="2" t="str">
        <f t="shared" ref="A19399:A19462" si="693">"47900"</f>
        <v>47900</v>
      </c>
      <c r="B19399" s="2" t="str">
        <f>"56998"</f>
        <v>56998</v>
      </c>
      <c r="C19399" s="1">
        <v>0</v>
      </c>
      <c r="D19399" s="1">
        <v>4.1658161458702099E-6</v>
      </c>
      <c r="E19399" s="1">
        <v>0</v>
      </c>
      <c r="F19399" s="1">
        <v>3.2357213280306297E-7</v>
      </c>
    </row>
    <row r="19400" spans="1:6" x14ac:dyDescent="0.25">
      <c r="A19400" s="2" t="str">
        <f t="shared" si="693"/>
        <v>47900</v>
      </c>
      <c r="B19400" s="2" t="str">
        <f>"22973"</f>
        <v>22973</v>
      </c>
      <c r="C19400" s="1">
        <v>1.6675010347770301E-5</v>
      </c>
      <c r="D19400" s="1">
        <v>0</v>
      </c>
      <c r="E19400" s="1">
        <v>0</v>
      </c>
      <c r="F19400" s="1">
        <v>1.45607459761378E-5</v>
      </c>
    </row>
    <row r="19401" spans="1:6" x14ac:dyDescent="0.25">
      <c r="A19401" s="2" t="str">
        <f t="shared" si="693"/>
        <v>47900</v>
      </c>
      <c r="B19401" s="2" t="str">
        <f>"23015"</f>
        <v>23015</v>
      </c>
      <c r="C19401" s="1">
        <v>9.3380057947513694E-5</v>
      </c>
      <c r="D19401" s="1">
        <v>4.1658161458702099E-6</v>
      </c>
      <c r="E19401" s="1">
        <v>0</v>
      </c>
      <c r="F19401" s="1">
        <v>8.1863749599174994E-5</v>
      </c>
    </row>
    <row r="19402" spans="1:6" x14ac:dyDescent="0.25">
      <c r="A19402" s="2" t="str">
        <f t="shared" si="693"/>
        <v>47900</v>
      </c>
      <c r="B19402" s="2" t="str">
        <f>"22748"</f>
        <v>22748</v>
      </c>
      <c r="C19402" s="1">
        <v>0</v>
      </c>
      <c r="D19402" s="1">
        <v>4.1658161458702099E-6</v>
      </c>
      <c r="E19402" s="1">
        <v>0</v>
      </c>
      <c r="F19402" s="1">
        <v>3.2357213280306297E-7</v>
      </c>
    </row>
    <row r="19403" spans="1:6" x14ac:dyDescent="0.25">
      <c r="A19403" s="2" t="str">
        <f t="shared" si="693"/>
        <v>47900</v>
      </c>
      <c r="B19403" s="2" t="str">
        <f>"22747"</f>
        <v>22747</v>
      </c>
      <c r="C19403" s="1">
        <v>2.1195790930943499E-4</v>
      </c>
      <c r="D19403" s="1">
        <v>1.5413519739719799E-4</v>
      </c>
      <c r="E19403" s="1">
        <v>5.9287365862334701E-5</v>
      </c>
      <c r="F19403" s="1">
        <v>1.99967578072293E-4</v>
      </c>
    </row>
    <row r="19404" spans="1:6" x14ac:dyDescent="0.25">
      <c r="A19404" s="2" t="str">
        <f t="shared" si="693"/>
        <v>47900</v>
      </c>
      <c r="B19404" s="2" t="str">
        <f>"22742"</f>
        <v>22742</v>
      </c>
      <c r="C19404" s="1">
        <v>2.5568349199914399E-4</v>
      </c>
      <c r="D19404" s="1">
        <v>1.24974484376106E-5</v>
      </c>
      <c r="E19404" s="1">
        <v>6.5874850958149701E-6</v>
      </c>
      <c r="F19404" s="1">
        <v>2.24559060165325E-4</v>
      </c>
    </row>
    <row r="19405" spans="1:6" x14ac:dyDescent="0.25">
      <c r="A19405" s="2" t="str">
        <f t="shared" si="693"/>
        <v>47900</v>
      </c>
      <c r="B19405" s="2" t="str">
        <f>"22726"</f>
        <v>22726</v>
      </c>
      <c r="C19405" s="1">
        <v>1.21912853431476E-4</v>
      </c>
      <c r="D19405" s="1">
        <v>3.7492345312831897E-5</v>
      </c>
      <c r="E19405" s="1">
        <v>1.3174970191629899E-5</v>
      </c>
      <c r="F19405" s="1">
        <v>1.10014525153041E-4</v>
      </c>
    </row>
    <row r="19406" spans="1:6" x14ac:dyDescent="0.25">
      <c r="A19406" s="2" t="str">
        <f t="shared" si="693"/>
        <v>47900</v>
      </c>
      <c r="B19406" s="2" t="str">
        <f>"22646"</f>
        <v>22646</v>
      </c>
      <c r="C19406" s="1">
        <v>0</v>
      </c>
      <c r="D19406" s="1">
        <v>1.24974484376106E-5</v>
      </c>
      <c r="E19406" s="1">
        <v>0</v>
      </c>
      <c r="F19406" s="1">
        <v>9.7071639840918897E-7</v>
      </c>
    </row>
    <row r="19407" spans="1:6" x14ac:dyDescent="0.25">
      <c r="A19407" s="2" t="str">
        <f t="shared" si="693"/>
        <v>47900</v>
      </c>
      <c r="B19407" s="2" t="str">
        <f>"22655"</f>
        <v>22655</v>
      </c>
      <c r="C19407" s="1">
        <v>1.7416121918782301E-5</v>
      </c>
      <c r="D19407" s="1">
        <v>1.24974484376106E-5</v>
      </c>
      <c r="E19407" s="1">
        <v>0</v>
      </c>
      <c r="F19407" s="1">
        <v>1.6178606640153099E-5</v>
      </c>
    </row>
    <row r="19408" spans="1:6" x14ac:dyDescent="0.25">
      <c r="A19408" s="2" t="str">
        <f t="shared" si="693"/>
        <v>47900</v>
      </c>
      <c r="B19408" s="2" t="str">
        <f>"22402"</f>
        <v>22402</v>
      </c>
      <c r="C19408" s="1">
        <v>4.3725582689708802E-4</v>
      </c>
      <c r="D19408" s="1">
        <v>1.2080866823023599E-3</v>
      </c>
      <c r="E19408" s="1">
        <v>1.3174970191629899E-5</v>
      </c>
      <c r="F19408" s="1">
        <v>4.7629817948610903E-4</v>
      </c>
    </row>
    <row r="19409" spans="1:6" x14ac:dyDescent="0.25">
      <c r="A19409" s="2" t="str">
        <f t="shared" si="693"/>
        <v>47900</v>
      </c>
      <c r="B19409" s="2" t="str">
        <f>"22307"</f>
        <v>22307</v>
      </c>
      <c r="C19409" s="1">
        <v>1.8312866919706801E-3</v>
      </c>
      <c r="D19409" s="1">
        <v>1.01229332344646E-3</v>
      </c>
      <c r="E19409" s="1">
        <v>2.7074563743799498E-3</v>
      </c>
      <c r="F19409" s="1">
        <v>1.8107096551659399E-3</v>
      </c>
    </row>
    <row r="19410" spans="1:6" x14ac:dyDescent="0.25">
      <c r="A19410" s="2" t="str">
        <f t="shared" si="693"/>
        <v>47900</v>
      </c>
      <c r="B19410" s="2" t="str">
        <f>"22630"</f>
        <v>22630</v>
      </c>
      <c r="C19410" s="1">
        <v>4.91468138316616E-3</v>
      </c>
      <c r="D19410" s="1">
        <v>4.6948747963957297E-3</v>
      </c>
      <c r="E19410" s="1">
        <v>2.7074563743799498E-3</v>
      </c>
      <c r="F19410" s="1">
        <v>4.7891911376181399E-3</v>
      </c>
    </row>
    <row r="19411" spans="1:6" x14ac:dyDescent="0.25">
      <c r="A19411" s="2" t="str">
        <f t="shared" si="693"/>
        <v>47900</v>
      </c>
      <c r="B19411" s="2" t="str">
        <f>"22508"</f>
        <v>22508</v>
      </c>
      <c r="C19411" s="1">
        <v>1.13760626150344E-4</v>
      </c>
      <c r="D19411" s="1">
        <v>0</v>
      </c>
      <c r="E19411" s="1">
        <v>0</v>
      </c>
      <c r="F19411" s="1">
        <v>9.9336644770540398E-5</v>
      </c>
    </row>
    <row r="19412" spans="1:6" x14ac:dyDescent="0.25">
      <c r="A19412" s="2" t="str">
        <f t="shared" si="693"/>
        <v>47900</v>
      </c>
      <c r="B19412" s="2" t="str">
        <f>"22565"</f>
        <v>22565</v>
      </c>
      <c r="C19412" s="1">
        <v>0</v>
      </c>
      <c r="D19412" s="1">
        <v>0</v>
      </c>
      <c r="E19412" s="1">
        <v>6.5874850958149701E-6</v>
      </c>
      <c r="F19412" s="1">
        <v>3.2357213280306297E-7</v>
      </c>
    </row>
    <row r="19413" spans="1:6" x14ac:dyDescent="0.25">
      <c r="A19413" s="2" t="str">
        <f t="shared" si="693"/>
        <v>47900</v>
      </c>
      <c r="B19413" s="2" t="str">
        <f>"22225"</f>
        <v>22225</v>
      </c>
      <c r="C19413" s="1">
        <v>0</v>
      </c>
      <c r="D19413" s="1">
        <v>4.1658161458702099E-6</v>
      </c>
      <c r="E19413" s="1">
        <v>0</v>
      </c>
      <c r="F19413" s="1">
        <v>3.2357213280306297E-7</v>
      </c>
    </row>
    <row r="19414" spans="1:6" x14ac:dyDescent="0.25">
      <c r="A19414" s="2" t="str">
        <f t="shared" si="693"/>
        <v>47900</v>
      </c>
      <c r="B19414" s="2" t="str">
        <f>"22430"</f>
        <v>22430</v>
      </c>
      <c r="C19414" s="1">
        <v>0</v>
      </c>
      <c r="D19414" s="1">
        <v>0</v>
      </c>
      <c r="E19414" s="1">
        <v>1.3174970191629899E-5</v>
      </c>
      <c r="F19414" s="1">
        <v>6.4714426560612595E-7</v>
      </c>
    </row>
    <row r="19415" spans="1:6" x14ac:dyDescent="0.25">
      <c r="A19415" s="2" t="str">
        <f t="shared" si="693"/>
        <v>47900</v>
      </c>
      <c r="B19415" s="2" t="str">
        <f>"22207"</f>
        <v>22207</v>
      </c>
      <c r="C19415" s="1">
        <v>4.6252773146859697E-3</v>
      </c>
      <c r="D19415" s="1">
        <v>2.9410661989843702E-3</v>
      </c>
      <c r="E19415" s="1">
        <v>1.7588585205825899E-3</v>
      </c>
      <c r="F19415" s="1">
        <v>4.3536630468652103E-3</v>
      </c>
    </row>
    <row r="19416" spans="1:6" x14ac:dyDescent="0.25">
      <c r="A19416" s="2" t="str">
        <f t="shared" si="693"/>
        <v>47900</v>
      </c>
      <c r="B19416" s="2" t="str">
        <f>"22040"</f>
        <v>22040</v>
      </c>
      <c r="C19416" s="1">
        <v>3.7870801278713898E-4</v>
      </c>
      <c r="D19416" s="1">
        <v>1.1331019916766901E-3</v>
      </c>
      <c r="E19416" s="1">
        <v>1.9762455287444899E-5</v>
      </c>
      <c r="F19416" s="1">
        <v>4.19673056245573E-4</v>
      </c>
    </row>
    <row r="19417" spans="1:6" x14ac:dyDescent="0.25">
      <c r="A19417" s="2" t="str">
        <f t="shared" si="693"/>
        <v>47900</v>
      </c>
      <c r="B19417" s="2" t="str">
        <f>"22015"</f>
        <v>22015</v>
      </c>
      <c r="C19417" s="1">
        <v>5.58019957393495E-3</v>
      </c>
      <c r="D19417" s="1">
        <v>2.3661835708542801E-3</v>
      </c>
      <c r="E19417" s="1">
        <v>1.81155840134911E-3</v>
      </c>
      <c r="F19417" s="1">
        <v>5.1454440558343102E-3</v>
      </c>
    </row>
    <row r="19418" spans="1:6" x14ac:dyDescent="0.25">
      <c r="A19418" s="2" t="str">
        <f t="shared" si="693"/>
        <v>47900</v>
      </c>
      <c r="B19418" s="2" t="str">
        <f>"22203"</f>
        <v>22203</v>
      </c>
      <c r="C19418" s="1">
        <v>5.24225269755347E-3</v>
      </c>
      <c r="D19418" s="1">
        <v>4.5157447021233104E-3</v>
      </c>
      <c r="E19418" s="1">
        <v>8.7218302668590209E-3</v>
      </c>
      <c r="F19418" s="1">
        <v>5.3567366585547099E-3</v>
      </c>
    </row>
    <row r="19419" spans="1:6" x14ac:dyDescent="0.25">
      <c r="A19419" s="2" t="str">
        <f t="shared" si="693"/>
        <v>47900</v>
      </c>
      <c r="B19419" s="2" t="str">
        <f>"22106"</f>
        <v>22106</v>
      </c>
      <c r="C19419" s="1">
        <v>3.1015519246852701E-4</v>
      </c>
      <c r="D19419" s="1">
        <v>9.7063516198775998E-4</v>
      </c>
      <c r="E19419" s="1">
        <v>1.3174970191629899E-5</v>
      </c>
      <c r="F19419" s="1">
        <v>3.4686932636488301E-4</v>
      </c>
    </row>
    <row r="19420" spans="1:6" x14ac:dyDescent="0.25">
      <c r="A19420" s="2" t="str">
        <f t="shared" si="693"/>
        <v>47900</v>
      </c>
      <c r="B19420" s="2" t="str">
        <f>"22066"</f>
        <v>22066</v>
      </c>
      <c r="C19420" s="1">
        <v>2.4723482008960698E-3</v>
      </c>
      <c r="D19420" s="1">
        <v>2.8744131406504502E-3</v>
      </c>
      <c r="E19420" s="1">
        <v>5.6652371824008696E-4</v>
      </c>
      <c r="F19420" s="1">
        <v>2.40996524511721E-3</v>
      </c>
    </row>
    <row r="19421" spans="1:6" x14ac:dyDescent="0.25">
      <c r="A19421" s="2" t="str">
        <f t="shared" si="693"/>
        <v>47900</v>
      </c>
      <c r="B19421" s="2" t="str">
        <f>"22041"</f>
        <v>22041</v>
      </c>
      <c r="C19421" s="1">
        <v>5.3945511253964398E-3</v>
      </c>
      <c r="D19421" s="1">
        <v>6.1237497344292201E-3</v>
      </c>
      <c r="E19421" s="1">
        <v>5.4478501742389798E-3</v>
      </c>
      <c r="F19421" s="1">
        <v>5.4538082983956303E-3</v>
      </c>
    </row>
    <row r="19422" spans="1:6" x14ac:dyDescent="0.25">
      <c r="A19422" s="2" t="str">
        <f t="shared" si="693"/>
        <v>47900</v>
      </c>
      <c r="B19422" s="2" t="str">
        <f>"21717"</f>
        <v>21717</v>
      </c>
      <c r="C19422" s="1">
        <v>1.9639456631818301E-4</v>
      </c>
      <c r="D19422" s="1">
        <v>3.1243621094026599E-4</v>
      </c>
      <c r="E19422" s="1">
        <v>6.5874850958149701E-6</v>
      </c>
      <c r="F19422" s="1">
        <v>1.96084712478656E-4</v>
      </c>
    </row>
    <row r="19423" spans="1:6" x14ac:dyDescent="0.25">
      <c r="A19423" s="2" t="str">
        <f t="shared" si="693"/>
        <v>47900</v>
      </c>
      <c r="B19423" s="2" t="str">
        <f>"20901"</f>
        <v>20901</v>
      </c>
      <c r="C19423" s="1">
        <v>4.9358030629400099E-3</v>
      </c>
      <c r="D19423" s="1">
        <v>1.82879328803702E-3</v>
      </c>
      <c r="E19423" s="1">
        <v>3.3266799733865601E-3</v>
      </c>
      <c r="F19423" s="1">
        <v>4.6154329023028904E-3</v>
      </c>
    </row>
    <row r="19424" spans="1:6" x14ac:dyDescent="0.25">
      <c r="A19424" s="2" t="str">
        <f t="shared" si="693"/>
        <v>47900</v>
      </c>
      <c r="B19424" s="2" t="str">
        <f>"20859"</f>
        <v>20859</v>
      </c>
      <c r="C19424" s="1">
        <v>3.5536299830026002E-4</v>
      </c>
      <c r="D19424" s="1">
        <v>1.39554840886652E-3</v>
      </c>
      <c r="E19424" s="1">
        <v>1.3174970191629899E-5</v>
      </c>
      <c r="F19424" s="1">
        <v>4.1934948411277001E-4</v>
      </c>
    </row>
    <row r="19425" spans="1:6" x14ac:dyDescent="0.25">
      <c r="A19425" s="2" t="str">
        <f t="shared" si="693"/>
        <v>47900</v>
      </c>
      <c r="B19425" s="2" t="str">
        <f>"20868"</f>
        <v>20868</v>
      </c>
      <c r="C19425" s="1">
        <v>7.8928382312779403E-5</v>
      </c>
      <c r="D19425" s="1">
        <v>7.9150506771534106E-5</v>
      </c>
      <c r="E19425" s="1">
        <v>1.3174970191629899E-5</v>
      </c>
      <c r="F19425" s="1">
        <v>7.5715879075916799E-5</v>
      </c>
    </row>
    <row r="19426" spans="1:6" x14ac:dyDescent="0.25">
      <c r="A19426" s="2" t="str">
        <f t="shared" si="693"/>
        <v>47900</v>
      </c>
      <c r="B19426" s="2" t="str">
        <f>"20866"</f>
        <v>20866</v>
      </c>
      <c r="C19426" s="1">
        <v>2.1273607645899799E-3</v>
      </c>
      <c r="D19426" s="1">
        <v>2.0454157276222698E-3</v>
      </c>
      <c r="E19426" s="1">
        <v>9.7494779418061503E-4</v>
      </c>
      <c r="F19426" s="1">
        <v>2.0643902072835399E-3</v>
      </c>
    </row>
    <row r="19427" spans="1:6" x14ac:dyDescent="0.25">
      <c r="A19427" s="2" t="str">
        <f t="shared" si="693"/>
        <v>47900</v>
      </c>
      <c r="B19427" s="2" t="str">
        <f>"20880"</f>
        <v>20880</v>
      </c>
      <c r="C19427" s="1">
        <v>4.1946914919279902E-4</v>
      </c>
      <c r="D19427" s="1">
        <v>3.6659182083657898E-4</v>
      </c>
      <c r="E19427" s="1">
        <v>2.6349940383259799E-5</v>
      </c>
      <c r="F19427" s="1">
        <v>3.96052290550949E-4</v>
      </c>
    </row>
    <row r="19428" spans="1:6" x14ac:dyDescent="0.25">
      <c r="A19428" s="2" t="str">
        <f t="shared" si="693"/>
        <v>47900</v>
      </c>
      <c r="B19428" s="2" t="str">
        <f>"20771"</f>
        <v>20771</v>
      </c>
      <c r="C19428" s="1">
        <v>0</v>
      </c>
      <c r="D19428" s="1">
        <v>4.1658161458702099E-6</v>
      </c>
      <c r="E19428" s="1">
        <v>0</v>
      </c>
      <c r="F19428" s="1">
        <v>3.2357213280306297E-7</v>
      </c>
    </row>
    <row r="19429" spans="1:6" x14ac:dyDescent="0.25">
      <c r="A19429" s="2" t="str">
        <f t="shared" si="693"/>
        <v>47900</v>
      </c>
      <c r="B19429" s="2" t="str">
        <f>"20851"</f>
        <v>20851</v>
      </c>
      <c r="C19429" s="1">
        <v>1.9142911879240299E-3</v>
      </c>
      <c r="D19429" s="1">
        <v>5.9154589271357002E-4</v>
      </c>
      <c r="E19429" s="1">
        <v>1.4624216912709201E-3</v>
      </c>
      <c r="F19429" s="1">
        <v>1.7893538944009401E-3</v>
      </c>
    </row>
    <row r="19430" spans="1:6" x14ac:dyDescent="0.25">
      <c r="A19430" s="2" t="str">
        <f t="shared" si="693"/>
        <v>47900</v>
      </c>
      <c r="B19430" s="2" t="str">
        <f>"20768"</f>
        <v>20768</v>
      </c>
      <c r="C19430" s="1">
        <v>4.7690529594622999E-4</v>
      </c>
      <c r="D19430" s="1">
        <v>1.2580764760527999E-3</v>
      </c>
      <c r="E19430" s="1">
        <v>1.3174970191629899E-5</v>
      </c>
      <c r="F19430" s="1">
        <v>5.1480326328967303E-4</v>
      </c>
    </row>
    <row r="19431" spans="1:6" x14ac:dyDescent="0.25">
      <c r="A19431" s="2" t="str">
        <f t="shared" si="693"/>
        <v>47900</v>
      </c>
      <c r="B19431" s="2" t="str">
        <f>"20625"</f>
        <v>20625</v>
      </c>
      <c r="C19431" s="1">
        <v>9.4862281089537701E-5</v>
      </c>
      <c r="D19431" s="1">
        <v>2.9160713021091499E-5</v>
      </c>
      <c r="E19431" s="1">
        <v>6.5874850958149701E-6</v>
      </c>
      <c r="F19431" s="1">
        <v>8.5423043060008696E-5</v>
      </c>
    </row>
    <row r="19432" spans="1:6" x14ac:dyDescent="0.25">
      <c r="A19432" s="2" t="str">
        <f t="shared" si="693"/>
        <v>47900</v>
      </c>
      <c r="B19432" s="2" t="str">
        <f>"20746"</f>
        <v>20746</v>
      </c>
      <c r="C19432" s="1">
        <v>5.7258279976388103E-3</v>
      </c>
      <c r="D19432" s="1">
        <v>3.0785381317980898E-3</v>
      </c>
      <c r="E19432" s="1">
        <v>9.6967780610396296E-3</v>
      </c>
      <c r="F19432" s="1">
        <v>5.7152545817004997E-3</v>
      </c>
    </row>
    <row r="19433" spans="1:6" x14ac:dyDescent="0.25">
      <c r="A19433" s="2" t="str">
        <f t="shared" si="693"/>
        <v>47900</v>
      </c>
      <c r="B19433" s="2" t="str">
        <f>"20718"</f>
        <v>20718</v>
      </c>
      <c r="C19433" s="1">
        <v>2.4901348786003598E-4</v>
      </c>
      <c r="D19433" s="1">
        <v>1.64549737761873E-3</v>
      </c>
      <c r="E19433" s="1">
        <v>1.3174970191629899E-5</v>
      </c>
      <c r="F19433" s="1">
        <v>3.4589860996647401E-4</v>
      </c>
    </row>
    <row r="19434" spans="1:6" x14ac:dyDescent="0.25">
      <c r="A19434" s="2" t="str">
        <f t="shared" si="693"/>
        <v>47900</v>
      </c>
      <c r="B19434" s="2" t="str">
        <f>"20721"</f>
        <v>20721</v>
      </c>
      <c r="C19434" s="1">
        <v>3.9508657850650403E-3</v>
      </c>
      <c r="D19434" s="1">
        <v>6.5403313490162399E-4</v>
      </c>
      <c r="E19434" s="1">
        <v>2.7008688892841298E-4</v>
      </c>
      <c r="F19434" s="1">
        <v>3.51399336224126E-3</v>
      </c>
    </row>
    <row r="19435" spans="1:6" x14ac:dyDescent="0.25">
      <c r="A19435" s="2" t="str">
        <f t="shared" si="693"/>
        <v>47900</v>
      </c>
      <c r="B19435" s="2" t="str">
        <f>"20725"</f>
        <v>20725</v>
      </c>
      <c r="C19435" s="1">
        <v>3.1941908710617702E-4</v>
      </c>
      <c r="D19435" s="1">
        <v>1.92460705939204E-3</v>
      </c>
      <c r="E19435" s="1">
        <v>1.3174970191629899E-5</v>
      </c>
      <c r="F19435" s="1">
        <v>4.2905664809686099E-4</v>
      </c>
    </row>
    <row r="19436" spans="1:6" x14ac:dyDescent="0.25">
      <c r="A19436" s="2" t="str">
        <f t="shared" si="693"/>
        <v>47900</v>
      </c>
      <c r="B19436" s="2" t="str">
        <f>"20392"</f>
        <v>20392</v>
      </c>
      <c r="C19436" s="1">
        <v>0</v>
      </c>
      <c r="D19436" s="1">
        <v>4.1658161458702099E-6</v>
      </c>
      <c r="E19436" s="1">
        <v>0</v>
      </c>
      <c r="F19436" s="1">
        <v>3.2357213280306297E-7</v>
      </c>
    </row>
    <row r="19437" spans="1:6" x14ac:dyDescent="0.25">
      <c r="A19437" s="2" t="str">
        <f t="shared" si="693"/>
        <v>47900</v>
      </c>
      <c r="B19437" s="2" t="str">
        <f>"20388"</f>
        <v>20388</v>
      </c>
      <c r="C19437" s="1">
        <v>0</v>
      </c>
      <c r="D19437" s="1">
        <v>8.33163229174043E-6</v>
      </c>
      <c r="E19437" s="1">
        <v>1.3174970191629899E-5</v>
      </c>
      <c r="F19437" s="1">
        <v>1.29428853121225E-6</v>
      </c>
    </row>
    <row r="19438" spans="1:6" x14ac:dyDescent="0.25">
      <c r="A19438" s="2" t="str">
        <f t="shared" si="693"/>
        <v>47900</v>
      </c>
      <c r="B19438" s="2" t="str">
        <f>"20557"</f>
        <v>20557</v>
      </c>
      <c r="C19438" s="1">
        <v>0</v>
      </c>
      <c r="D19438" s="1">
        <v>2.0829080729350999E-5</v>
      </c>
      <c r="E19438" s="1">
        <v>6.5874850958149701E-6</v>
      </c>
      <c r="F19438" s="1">
        <v>1.9414327968183699E-6</v>
      </c>
    </row>
    <row r="19439" spans="1:6" x14ac:dyDescent="0.25">
      <c r="A19439" s="2" t="str">
        <f t="shared" si="693"/>
        <v>47900</v>
      </c>
      <c r="B19439" s="2" t="str">
        <f>"20527"</f>
        <v>20527</v>
      </c>
      <c r="C19439" s="1">
        <v>0</v>
      </c>
      <c r="D19439" s="1">
        <v>4.1658161458702099E-6</v>
      </c>
      <c r="E19439" s="1">
        <v>0</v>
      </c>
      <c r="F19439" s="1">
        <v>3.2357213280306297E-7</v>
      </c>
    </row>
    <row r="19440" spans="1:6" x14ac:dyDescent="0.25">
      <c r="A19440" s="2" t="str">
        <f t="shared" si="693"/>
        <v>47900</v>
      </c>
      <c r="B19440" s="2" t="str">
        <f>"20523"</f>
        <v>20523</v>
      </c>
      <c r="C19440" s="1">
        <v>0</v>
      </c>
      <c r="D19440" s="1">
        <v>1.24974484376106E-5</v>
      </c>
      <c r="E19440" s="1">
        <v>0</v>
      </c>
      <c r="F19440" s="1">
        <v>9.7071639840918897E-7</v>
      </c>
    </row>
    <row r="19441" spans="1:6" x14ac:dyDescent="0.25">
      <c r="A19441" s="2" t="str">
        <f t="shared" si="693"/>
        <v>47900</v>
      </c>
      <c r="B19441" s="2" t="str">
        <f>"20551"</f>
        <v>20551</v>
      </c>
      <c r="C19441" s="1">
        <v>0</v>
      </c>
      <c r="D19441" s="1">
        <v>4.1658161458702099E-6</v>
      </c>
      <c r="E19441" s="1">
        <v>0</v>
      </c>
      <c r="F19441" s="1">
        <v>3.2357213280306297E-7</v>
      </c>
    </row>
    <row r="19442" spans="1:6" x14ac:dyDescent="0.25">
      <c r="A19442" s="2" t="str">
        <f t="shared" si="693"/>
        <v>47900</v>
      </c>
      <c r="B19442" s="2" t="str">
        <f>"20588"</f>
        <v>20588</v>
      </c>
      <c r="C19442" s="1">
        <v>0</v>
      </c>
      <c r="D19442" s="1">
        <v>1.24974484376106E-5</v>
      </c>
      <c r="E19442" s="1">
        <v>6.5874850958149701E-6</v>
      </c>
      <c r="F19442" s="1">
        <v>1.29428853121225E-6</v>
      </c>
    </row>
    <row r="19443" spans="1:6" x14ac:dyDescent="0.25">
      <c r="A19443" s="2" t="str">
        <f t="shared" si="693"/>
        <v>47900</v>
      </c>
      <c r="B19443" s="2" t="str">
        <f>"20427"</f>
        <v>20427</v>
      </c>
      <c r="C19443" s="1">
        <v>0</v>
      </c>
      <c r="D19443" s="1">
        <v>1.6663264583480799E-5</v>
      </c>
      <c r="E19443" s="1">
        <v>0</v>
      </c>
      <c r="F19443" s="1">
        <v>1.29428853121225E-6</v>
      </c>
    </row>
    <row r="19444" spans="1:6" x14ac:dyDescent="0.25">
      <c r="A19444" s="2" t="str">
        <f t="shared" si="693"/>
        <v>47900</v>
      </c>
      <c r="B19444" s="2" t="str">
        <f>"20419"</f>
        <v>20419</v>
      </c>
      <c r="C19444" s="1">
        <v>0</v>
      </c>
      <c r="D19444" s="1">
        <v>8.33163229174043E-6</v>
      </c>
      <c r="E19444" s="1">
        <v>0</v>
      </c>
      <c r="F19444" s="1">
        <v>6.4714426560612595E-7</v>
      </c>
    </row>
    <row r="19445" spans="1:6" x14ac:dyDescent="0.25">
      <c r="A19445" s="2" t="str">
        <f t="shared" si="693"/>
        <v>47900</v>
      </c>
      <c r="B19445" s="2" t="str">
        <f>"20418"</f>
        <v>20418</v>
      </c>
      <c r="C19445" s="1">
        <v>0</v>
      </c>
      <c r="D19445" s="1">
        <v>8.33163229174043E-6</v>
      </c>
      <c r="E19445" s="1">
        <v>0</v>
      </c>
      <c r="F19445" s="1">
        <v>6.4714426560612595E-7</v>
      </c>
    </row>
    <row r="19446" spans="1:6" x14ac:dyDescent="0.25">
      <c r="A19446" s="2" t="str">
        <f t="shared" si="693"/>
        <v>47900</v>
      </c>
      <c r="B19446" s="2" t="str">
        <f>"20417"</f>
        <v>20417</v>
      </c>
      <c r="C19446" s="1">
        <v>0</v>
      </c>
      <c r="D19446" s="1">
        <v>4.1658161458702099E-6</v>
      </c>
      <c r="E19446" s="1">
        <v>0</v>
      </c>
      <c r="F19446" s="1">
        <v>3.2357213280306297E-7</v>
      </c>
    </row>
    <row r="19447" spans="1:6" x14ac:dyDescent="0.25">
      <c r="A19447" s="2" t="str">
        <f t="shared" si="693"/>
        <v>47900</v>
      </c>
      <c r="B19447" s="2" t="str">
        <f>"20601"</f>
        <v>20601</v>
      </c>
      <c r="C19447" s="1">
        <v>3.8804601858188998E-3</v>
      </c>
      <c r="D19447" s="1">
        <v>4.5324079667067897E-3</v>
      </c>
      <c r="E19447" s="1">
        <v>1.4690091763667301E-3</v>
      </c>
      <c r="F19447" s="1">
        <v>3.8126504408184901E-3</v>
      </c>
    </row>
    <row r="19448" spans="1:6" x14ac:dyDescent="0.25">
      <c r="A19448" s="2" t="str">
        <f t="shared" si="693"/>
        <v>47900</v>
      </c>
      <c r="B19448" s="2" t="str">
        <f>"20598"</f>
        <v>20598</v>
      </c>
      <c r="C19448" s="1">
        <v>0</v>
      </c>
      <c r="D19448" s="1">
        <v>7.9567088386121095E-4</v>
      </c>
      <c r="E19448" s="1">
        <v>2.1079952306607899E-4</v>
      </c>
      <c r="F19448" s="1">
        <v>7.2156585615083097E-5</v>
      </c>
    </row>
    <row r="19449" spans="1:6" x14ac:dyDescent="0.25">
      <c r="A19449" s="2" t="str">
        <f t="shared" si="693"/>
        <v>47900</v>
      </c>
      <c r="B19449" s="2" t="str">
        <f>"20560"</f>
        <v>20560</v>
      </c>
      <c r="C19449" s="1">
        <v>0</v>
      </c>
      <c r="D19449" s="1">
        <v>2.4994896875221298E-5</v>
      </c>
      <c r="E19449" s="1">
        <v>0</v>
      </c>
      <c r="F19449" s="1">
        <v>1.9414327968183699E-6</v>
      </c>
    </row>
    <row r="19450" spans="1:6" x14ac:dyDescent="0.25">
      <c r="A19450" s="2" t="str">
        <f t="shared" si="693"/>
        <v>47900</v>
      </c>
      <c r="B19450" s="2" t="str">
        <f>"20506"</f>
        <v>20506</v>
      </c>
      <c r="C19450" s="1">
        <v>0</v>
      </c>
      <c r="D19450" s="1">
        <v>1.6663264583480799E-5</v>
      </c>
      <c r="E19450" s="1">
        <v>0</v>
      </c>
      <c r="F19450" s="1">
        <v>1.29428853121225E-6</v>
      </c>
    </row>
    <row r="19451" spans="1:6" x14ac:dyDescent="0.25">
      <c r="A19451" s="2" t="str">
        <f t="shared" si="693"/>
        <v>47900</v>
      </c>
      <c r="B19451" s="2" t="str">
        <f>"20407"</f>
        <v>20407</v>
      </c>
      <c r="C19451" s="1">
        <v>0</v>
      </c>
      <c r="D19451" s="1">
        <v>4.1658161458702099E-6</v>
      </c>
      <c r="E19451" s="1">
        <v>0</v>
      </c>
      <c r="F19451" s="1">
        <v>3.2357213280306297E-7</v>
      </c>
    </row>
    <row r="19452" spans="1:6" x14ac:dyDescent="0.25">
      <c r="A19452" s="2" t="str">
        <f t="shared" si="693"/>
        <v>47900</v>
      </c>
      <c r="B19452" s="2" t="str">
        <f>"20395"</f>
        <v>20395</v>
      </c>
      <c r="C19452" s="1">
        <v>0</v>
      </c>
      <c r="D19452" s="1">
        <v>4.1658161458702099E-6</v>
      </c>
      <c r="E19452" s="1">
        <v>0</v>
      </c>
      <c r="F19452" s="1">
        <v>3.2357213280306297E-7</v>
      </c>
    </row>
    <row r="19453" spans="1:6" x14ac:dyDescent="0.25">
      <c r="A19453" s="2" t="str">
        <f t="shared" si="693"/>
        <v>47900</v>
      </c>
      <c r="B19453" s="2" t="str">
        <f>"20270"</f>
        <v>20270</v>
      </c>
      <c r="C19453" s="1">
        <v>0</v>
      </c>
      <c r="D19453" s="1">
        <v>8.33163229174043E-6</v>
      </c>
      <c r="E19453" s="1">
        <v>0</v>
      </c>
      <c r="F19453" s="1">
        <v>6.4714426560612595E-7</v>
      </c>
    </row>
    <row r="19454" spans="1:6" x14ac:dyDescent="0.25">
      <c r="A19454" s="2" t="str">
        <f t="shared" si="693"/>
        <v>47900</v>
      </c>
      <c r="B19454" s="2" t="str">
        <f>"20372"</f>
        <v>20372</v>
      </c>
      <c r="C19454" s="1">
        <v>0</v>
      </c>
      <c r="D19454" s="1">
        <v>4.1658161458702099E-6</v>
      </c>
      <c r="E19454" s="1">
        <v>4.6112395670704698E-5</v>
      </c>
      <c r="F19454" s="1">
        <v>2.5885770624245E-6</v>
      </c>
    </row>
    <row r="19455" spans="1:6" x14ac:dyDescent="0.25">
      <c r="A19455" s="2" t="str">
        <f t="shared" si="693"/>
        <v>47900</v>
      </c>
      <c r="B19455" s="2" t="str">
        <f>"20211"</f>
        <v>20211</v>
      </c>
      <c r="C19455" s="1">
        <v>0</v>
      </c>
      <c r="D19455" s="1">
        <v>8.33163229174043E-6</v>
      </c>
      <c r="E19455" s="1">
        <v>0</v>
      </c>
      <c r="F19455" s="1">
        <v>6.4714426560612595E-7</v>
      </c>
    </row>
    <row r="19456" spans="1:6" x14ac:dyDescent="0.25">
      <c r="A19456" s="2" t="str">
        <f t="shared" si="693"/>
        <v>47900</v>
      </c>
      <c r="B19456" s="2" t="str">
        <f>"20210"</f>
        <v>20210</v>
      </c>
      <c r="C19456" s="1">
        <v>0</v>
      </c>
      <c r="D19456" s="1">
        <v>4.1658161458702099E-6</v>
      </c>
      <c r="E19456" s="1">
        <v>0</v>
      </c>
      <c r="F19456" s="1">
        <v>3.2357213280306297E-7</v>
      </c>
    </row>
    <row r="19457" spans="1:6" x14ac:dyDescent="0.25">
      <c r="A19457" s="2" t="str">
        <f t="shared" si="693"/>
        <v>47900</v>
      </c>
      <c r="B19457" s="2" t="str">
        <f>"20206"</f>
        <v>20206</v>
      </c>
      <c r="C19457" s="1">
        <v>0</v>
      </c>
      <c r="D19457" s="1">
        <v>4.1658161458702099E-6</v>
      </c>
      <c r="E19457" s="1">
        <v>0</v>
      </c>
      <c r="F19457" s="1">
        <v>3.2357213280306297E-7</v>
      </c>
    </row>
    <row r="19458" spans="1:6" x14ac:dyDescent="0.25">
      <c r="A19458" s="2" t="str">
        <f t="shared" si="693"/>
        <v>47900</v>
      </c>
      <c r="B19458" s="2" t="str">
        <f>"20310"</f>
        <v>20310</v>
      </c>
      <c r="C19458" s="1">
        <v>0</v>
      </c>
      <c r="D19458" s="1">
        <v>4.7906885677507501E-4</v>
      </c>
      <c r="E19458" s="1">
        <v>0</v>
      </c>
      <c r="F19458" s="1">
        <v>3.7210795272352202E-5</v>
      </c>
    </row>
    <row r="19459" spans="1:6" x14ac:dyDescent="0.25">
      <c r="A19459" s="2" t="str">
        <f t="shared" si="693"/>
        <v>47900</v>
      </c>
      <c r="B19459" s="2" t="str">
        <f>"20065"</f>
        <v>20065</v>
      </c>
      <c r="C19459" s="1">
        <v>0</v>
      </c>
      <c r="D19459" s="1">
        <v>4.1658161458702099E-6</v>
      </c>
      <c r="E19459" s="1">
        <v>0</v>
      </c>
      <c r="F19459" s="1">
        <v>3.2357213280306297E-7</v>
      </c>
    </row>
    <row r="19460" spans="1:6" x14ac:dyDescent="0.25">
      <c r="A19460" s="2" t="str">
        <f t="shared" si="693"/>
        <v>47900</v>
      </c>
      <c r="B19460" s="2" t="str">
        <f>"20057"</f>
        <v>20057</v>
      </c>
      <c r="C19460" s="1">
        <v>0</v>
      </c>
      <c r="D19460" s="1">
        <v>8.33163229174043E-6</v>
      </c>
      <c r="E19460" s="1">
        <v>0</v>
      </c>
      <c r="F19460" s="1">
        <v>6.4714426560612595E-7</v>
      </c>
    </row>
    <row r="19461" spans="1:6" x14ac:dyDescent="0.25">
      <c r="A19461" s="2" t="str">
        <f t="shared" si="693"/>
        <v>47900</v>
      </c>
      <c r="B19461" s="2" t="str">
        <f>"20056"</f>
        <v>20056</v>
      </c>
      <c r="C19461" s="1">
        <v>2.2789180808619399E-4</v>
      </c>
      <c r="D19461" s="1">
        <v>4.8323467292094502E-4</v>
      </c>
      <c r="E19461" s="1">
        <v>1.3174970191629899E-5</v>
      </c>
      <c r="F19461" s="1">
        <v>2.3717837334464499E-4</v>
      </c>
    </row>
    <row r="19462" spans="1:6" x14ac:dyDescent="0.25">
      <c r="A19462" s="2" t="str">
        <f t="shared" si="693"/>
        <v>47900</v>
      </c>
      <c r="B19462" s="2" t="str">
        <f>"20153"</f>
        <v>20153</v>
      </c>
      <c r="C19462" s="1">
        <v>6.4069095313988502E-4</v>
      </c>
      <c r="D19462" s="1">
        <v>2.25787235106165E-3</v>
      </c>
      <c r="E19462" s="1">
        <v>1.3174970191629899E-5</v>
      </c>
      <c r="F19462" s="1">
        <v>7.3547945786136203E-4</v>
      </c>
    </row>
    <row r="19463" spans="1:6" x14ac:dyDescent="0.25">
      <c r="A19463" s="2" t="str">
        <f t="shared" ref="A19463:A19526" si="694">"47900"</f>
        <v>47900</v>
      </c>
      <c r="B19463" s="2" t="str">
        <f>"20164"</f>
        <v>20164</v>
      </c>
      <c r="C19463" s="1">
        <v>4.66455622794961E-3</v>
      </c>
      <c r="D19463" s="1">
        <v>5.3489079312973604E-3</v>
      </c>
      <c r="E19463" s="1">
        <v>2.99730571859581E-3</v>
      </c>
      <c r="F19463" s="1">
        <v>4.6358179466694802E-3</v>
      </c>
    </row>
    <row r="19464" spans="1:6" x14ac:dyDescent="0.25">
      <c r="A19464" s="2" t="str">
        <f t="shared" si="694"/>
        <v>47900</v>
      </c>
      <c r="B19464" s="2" t="str">
        <f>"20158"</f>
        <v>20158</v>
      </c>
      <c r="C19464" s="1">
        <v>5.7102646546475602E-4</v>
      </c>
      <c r="D19464" s="1">
        <v>1.66632645834808E-4</v>
      </c>
      <c r="E19464" s="1">
        <v>6.5874850958149702E-5</v>
      </c>
      <c r="F19464" s="1">
        <v>5.1480326328967303E-4</v>
      </c>
    </row>
    <row r="19465" spans="1:6" x14ac:dyDescent="0.25">
      <c r="A19465" s="2" t="str">
        <f t="shared" si="694"/>
        <v>47900</v>
      </c>
      <c r="B19465" s="2" t="str">
        <f>"20155"</f>
        <v>20155</v>
      </c>
      <c r="C19465" s="1">
        <v>4.6904951329350304E-3</v>
      </c>
      <c r="D19465" s="1">
        <v>3.92003299326387E-3</v>
      </c>
      <c r="E19465" s="1">
        <v>1.20550977253413E-3</v>
      </c>
      <c r="F19465" s="1">
        <v>4.4594711342918099E-3</v>
      </c>
    </row>
    <row r="19466" spans="1:6" x14ac:dyDescent="0.25">
      <c r="A19466" s="2" t="str">
        <f t="shared" si="694"/>
        <v>47900</v>
      </c>
      <c r="B19466" s="2" t="str">
        <f>"20130"</f>
        <v>20130</v>
      </c>
      <c r="C19466" s="1">
        <v>6.1882816179503094E-5</v>
      </c>
      <c r="D19466" s="1">
        <v>4.5823977604572298E-5</v>
      </c>
      <c r="E19466" s="1">
        <v>6.5874850958149701E-6</v>
      </c>
      <c r="F19466" s="1">
        <v>5.7919411771748303E-5</v>
      </c>
    </row>
    <row r="19467" spans="1:6" x14ac:dyDescent="0.25">
      <c r="A19467" s="2" t="str">
        <f t="shared" si="694"/>
        <v>47900</v>
      </c>
      <c r="B19467" s="2" t="str">
        <f>"20140"</f>
        <v>20140</v>
      </c>
      <c r="C19467" s="1">
        <v>0</v>
      </c>
      <c r="D19467" s="1">
        <v>4.1658161458702099E-6</v>
      </c>
      <c r="E19467" s="1">
        <v>0</v>
      </c>
      <c r="F19467" s="1">
        <v>3.2357213280306297E-7</v>
      </c>
    </row>
    <row r="19468" spans="1:6" x14ac:dyDescent="0.25">
      <c r="A19468" s="2" t="str">
        <f t="shared" si="694"/>
        <v>47900</v>
      </c>
      <c r="B19468" s="2" t="str">
        <f>"20121"</f>
        <v>20121</v>
      </c>
      <c r="C19468" s="1">
        <v>3.8130190328568101E-3</v>
      </c>
      <c r="D19468" s="1">
        <v>2.5036555036680001E-3</v>
      </c>
      <c r="E19468" s="1">
        <v>4.3938525589085802E-3</v>
      </c>
      <c r="F19468" s="1">
        <v>3.7398467109378002E-3</v>
      </c>
    </row>
    <row r="19469" spans="1:6" x14ac:dyDescent="0.25">
      <c r="A19469" s="2" t="str">
        <f t="shared" si="694"/>
        <v>47900</v>
      </c>
      <c r="B19469" s="2" t="str">
        <f>"20013"</f>
        <v>20013</v>
      </c>
      <c r="C19469" s="1">
        <v>1.38921363986201E-3</v>
      </c>
      <c r="D19469" s="1">
        <v>2.29119888022861E-3</v>
      </c>
      <c r="E19469" s="1">
        <v>1.3174970191629899E-5</v>
      </c>
      <c r="F19469" s="1">
        <v>1.3916837431859699E-3</v>
      </c>
    </row>
    <row r="19470" spans="1:6" x14ac:dyDescent="0.25">
      <c r="A19470" s="2" t="str">
        <f t="shared" si="694"/>
        <v>47900</v>
      </c>
      <c r="B19470" s="2" t="str">
        <f>"20011"</f>
        <v>20011</v>
      </c>
      <c r="C19470" s="1">
        <v>1.02017713307658E-2</v>
      </c>
      <c r="D19470" s="1">
        <v>4.7365329578544302E-3</v>
      </c>
      <c r="E19470" s="1">
        <v>1.52829654222907E-2</v>
      </c>
      <c r="F19470" s="1">
        <v>1.00268532513013E-2</v>
      </c>
    </row>
    <row r="19471" spans="1:6" x14ac:dyDescent="0.25">
      <c r="A19471" s="2" t="str">
        <f t="shared" si="694"/>
        <v>47900</v>
      </c>
      <c r="B19471" s="2" t="str">
        <f>"20007"</f>
        <v>20007</v>
      </c>
      <c r="C19471" s="1">
        <v>5.2240954640636796E-3</v>
      </c>
      <c r="D19471" s="1">
        <v>8.5399230990339404E-3</v>
      </c>
      <c r="E19471" s="1">
        <v>9.3805787764405096E-3</v>
      </c>
      <c r="F19471" s="1">
        <v>5.6858095176154201E-3</v>
      </c>
    </row>
    <row r="19472" spans="1:6" x14ac:dyDescent="0.25">
      <c r="A19472" s="2" t="str">
        <f t="shared" si="694"/>
        <v>47900</v>
      </c>
      <c r="B19472" s="2" t="str">
        <f>"20001"</f>
        <v>20001</v>
      </c>
      <c r="C19472" s="1">
        <v>1.0158416303861601E-2</v>
      </c>
      <c r="D19472" s="1">
        <v>1.1843415302709E-2</v>
      </c>
      <c r="E19472" s="1">
        <v>1.9993017265798399E-2</v>
      </c>
      <c r="F19472" s="1">
        <v>1.0772363445279501E-2</v>
      </c>
    </row>
    <row r="19473" spans="1:6" x14ac:dyDescent="0.25">
      <c r="A19473" s="2" t="str">
        <f t="shared" si="694"/>
        <v>47900</v>
      </c>
      <c r="B19473" s="2" t="str">
        <f>"20002"</f>
        <v>20002</v>
      </c>
      <c r="C19473" s="1">
        <v>1.39354914255244E-2</v>
      </c>
      <c r="D19473" s="1">
        <v>1.11852163516615E-2</v>
      </c>
      <c r="E19473" s="1">
        <v>3.5084945620310497E-2</v>
      </c>
      <c r="F19473" s="1">
        <v>1.47607135542101E-2</v>
      </c>
    </row>
    <row r="19474" spans="1:6" x14ac:dyDescent="0.25">
      <c r="A19474" s="2" t="str">
        <f t="shared" si="694"/>
        <v>47900</v>
      </c>
      <c r="B19474" s="2" t="str">
        <f>"88888"</f>
        <v>88888</v>
      </c>
      <c r="C19474" s="1">
        <v>3.7055578550600601E-7</v>
      </c>
      <c r="D19474" s="1">
        <v>0</v>
      </c>
      <c r="E19474" s="1">
        <v>0</v>
      </c>
      <c r="F19474" s="1">
        <v>3.2357213280306297E-7</v>
      </c>
    </row>
    <row r="19475" spans="1:6" x14ac:dyDescent="0.25">
      <c r="A19475" s="2" t="str">
        <f t="shared" si="694"/>
        <v>47900</v>
      </c>
      <c r="B19475" s="2" t="str">
        <f>"25443"</f>
        <v>25443</v>
      </c>
      <c r="C19475" s="1">
        <v>8.5005497195077902E-4</v>
      </c>
      <c r="D19475" s="1">
        <v>8.1649996459056198E-4</v>
      </c>
      <c r="E19475" s="1">
        <v>1.2516221682048399E-4</v>
      </c>
      <c r="F19475" s="1">
        <v>8.1184248120288495E-4</v>
      </c>
    </row>
    <row r="19476" spans="1:6" x14ac:dyDescent="0.25">
      <c r="A19476" s="2" t="str">
        <f t="shared" si="694"/>
        <v>47900</v>
      </c>
      <c r="B19476" s="2" t="str">
        <f>"25430"</f>
        <v>25430</v>
      </c>
      <c r="C19476" s="1">
        <v>9.4751114353885902E-4</v>
      </c>
      <c r="D19476" s="1">
        <v>6.8735966406858497E-4</v>
      </c>
      <c r="E19476" s="1">
        <v>2.5032443364096798E-4</v>
      </c>
      <c r="F19476" s="1">
        <v>8.9305908653645398E-4</v>
      </c>
    </row>
    <row r="19477" spans="1:6" x14ac:dyDescent="0.25">
      <c r="A19477" s="2" t="str">
        <f t="shared" si="694"/>
        <v>47900</v>
      </c>
      <c r="B19477" s="2" t="str">
        <f>"22972"</f>
        <v>22972</v>
      </c>
      <c r="C19477" s="1">
        <v>5.5583367825901003E-6</v>
      </c>
      <c r="D19477" s="1">
        <v>0</v>
      </c>
      <c r="E19477" s="1">
        <v>0</v>
      </c>
      <c r="F19477" s="1">
        <v>4.85358199204594E-6</v>
      </c>
    </row>
    <row r="19478" spans="1:6" x14ac:dyDescent="0.25">
      <c r="A19478" s="2" t="str">
        <f t="shared" si="694"/>
        <v>47900</v>
      </c>
      <c r="B19478" s="2" t="str">
        <f>"22731"</f>
        <v>22731</v>
      </c>
      <c r="C19478" s="1">
        <v>4.1872803762178703E-5</v>
      </c>
      <c r="D19478" s="1">
        <v>1.24974484376106E-5</v>
      </c>
      <c r="E19478" s="1">
        <v>0</v>
      </c>
      <c r="F19478" s="1">
        <v>3.75343674051553E-5</v>
      </c>
    </row>
    <row r="19479" spans="1:6" x14ac:dyDescent="0.25">
      <c r="A19479" s="2" t="str">
        <f t="shared" si="694"/>
        <v>47900</v>
      </c>
      <c r="B19479" s="2" t="str">
        <f>"22948"</f>
        <v>22948</v>
      </c>
      <c r="C19479" s="1">
        <v>6.04005930374791E-5</v>
      </c>
      <c r="D19479" s="1">
        <v>1.24974484376106E-5</v>
      </c>
      <c r="E19479" s="1">
        <v>1.3174970191629899E-5</v>
      </c>
      <c r="F19479" s="1">
        <v>5.4360118310914601E-5</v>
      </c>
    </row>
    <row r="19480" spans="1:6" x14ac:dyDescent="0.25">
      <c r="A19480" s="2" t="str">
        <f t="shared" si="694"/>
        <v>47900</v>
      </c>
      <c r="B19480" s="2" t="str">
        <f>"22403"</f>
        <v>22403</v>
      </c>
      <c r="C19480" s="1">
        <v>4.4948416781878599E-4</v>
      </c>
      <c r="D19480" s="1">
        <v>9.4980608125840905E-4</v>
      </c>
      <c r="E19480" s="1">
        <v>1.3174970191629899E-5</v>
      </c>
      <c r="F19480" s="1">
        <v>4.6691458763482E-4</v>
      </c>
    </row>
    <row r="19481" spans="1:6" x14ac:dyDescent="0.25">
      <c r="A19481" s="2" t="str">
        <f t="shared" si="694"/>
        <v>47900</v>
      </c>
      <c r="B19481" s="2" t="str">
        <f>"22401"</f>
        <v>22401</v>
      </c>
      <c r="C19481" s="1">
        <v>4.4448166471445496E-3</v>
      </c>
      <c r="D19481" s="1">
        <v>1.09685939120762E-2</v>
      </c>
      <c r="E19481" s="1">
        <v>7.02884659723457E-3</v>
      </c>
      <c r="F19481" s="1">
        <v>5.0784646243440699E-3</v>
      </c>
    </row>
    <row r="19482" spans="1:6" x14ac:dyDescent="0.25">
      <c r="A19482" s="2" t="str">
        <f t="shared" si="694"/>
        <v>47900</v>
      </c>
      <c r="B19482" s="2" t="str">
        <f>"22551"</f>
        <v>22551</v>
      </c>
      <c r="C19482" s="1">
        <v>3.1563941809401599E-3</v>
      </c>
      <c r="D19482" s="1">
        <v>7.1235456094380703E-4</v>
      </c>
      <c r="E19482" s="1">
        <v>2.7008688892841298E-4</v>
      </c>
      <c r="F19482" s="1">
        <v>2.8247847193707399E-3</v>
      </c>
    </row>
    <row r="19483" spans="1:6" x14ac:dyDescent="0.25">
      <c r="A19483" s="2" t="str">
        <f t="shared" si="694"/>
        <v>47900</v>
      </c>
      <c r="B19483" s="2" t="str">
        <f>"22245"</f>
        <v>22245</v>
      </c>
      <c r="C19483" s="1">
        <v>0</v>
      </c>
      <c r="D19483" s="1">
        <v>4.1658161458702099E-6</v>
      </c>
      <c r="E19483" s="1">
        <v>0</v>
      </c>
      <c r="F19483" s="1">
        <v>3.2357213280306297E-7</v>
      </c>
    </row>
    <row r="19484" spans="1:6" x14ac:dyDescent="0.25">
      <c r="A19484" s="2" t="str">
        <f t="shared" si="694"/>
        <v>47900</v>
      </c>
      <c r="B19484" s="2" t="str">
        <f>"22212"</f>
        <v>22212</v>
      </c>
      <c r="C19484" s="1">
        <v>0</v>
      </c>
      <c r="D19484" s="1">
        <v>4.1658161458702099E-6</v>
      </c>
      <c r="E19484" s="1">
        <v>0</v>
      </c>
      <c r="F19484" s="1">
        <v>3.2357213280306297E-7</v>
      </c>
    </row>
    <row r="19485" spans="1:6" x14ac:dyDescent="0.25">
      <c r="A19485" s="2" t="str">
        <f t="shared" si="694"/>
        <v>47900</v>
      </c>
      <c r="B19485" s="2" t="str">
        <f>"22471"</f>
        <v>22471</v>
      </c>
      <c r="C19485" s="1">
        <v>0</v>
      </c>
      <c r="D19485" s="1">
        <v>0</v>
      </c>
      <c r="E19485" s="1">
        <v>6.5874850958149701E-6</v>
      </c>
      <c r="F19485" s="1">
        <v>3.2357213280306297E-7</v>
      </c>
    </row>
    <row r="19486" spans="1:6" x14ac:dyDescent="0.25">
      <c r="A19486" s="2" t="str">
        <f t="shared" si="694"/>
        <v>47900</v>
      </c>
      <c r="B19486" s="2" t="str">
        <f>"22009"</f>
        <v>22009</v>
      </c>
      <c r="C19486" s="1">
        <v>4.9098641579545905E-4</v>
      </c>
      <c r="D19486" s="1">
        <v>1.2872371890738899E-3</v>
      </c>
      <c r="E19486" s="1">
        <v>6.5874850958149701E-6</v>
      </c>
      <c r="F19486" s="1">
        <v>5.29040437133008E-4</v>
      </c>
    </row>
    <row r="19487" spans="1:6" x14ac:dyDescent="0.25">
      <c r="A19487" s="2" t="str">
        <f t="shared" si="694"/>
        <v>47900</v>
      </c>
      <c r="B19487" s="2" t="str">
        <f>"22003"</f>
        <v>22003</v>
      </c>
      <c r="C19487" s="1">
        <v>7.6682814252613E-3</v>
      </c>
      <c r="D19487" s="1">
        <v>7.4193185557948496E-3</v>
      </c>
      <c r="E19487" s="1">
        <v>8.8469924836795007E-3</v>
      </c>
      <c r="F19487" s="1">
        <v>7.7068410591033601E-3</v>
      </c>
    </row>
    <row r="19488" spans="1:6" x14ac:dyDescent="0.25">
      <c r="A19488" s="2" t="str">
        <f t="shared" si="694"/>
        <v>47900</v>
      </c>
      <c r="B19488" s="2" t="str">
        <f>"22202"</f>
        <v>22202</v>
      </c>
      <c r="C19488" s="1">
        <v>6.8526881413625796E-3</v>
      </c>
      <c r="D19488" s="1">
        <v>9.7063516198776009E-3</v>
      </c>
      <c r="E19488" s="1">
        <v>5.09212597906497E-3</v>
      </c>
      <c r="F19488" s="1">
        <v>6.9878637800149497E-3</v>
      </c>
    </row>
    <row r="19489" spans="1:6" x14ac:dyDescent="0.25">
      <c r="A19489" s="2" t="str">
        <f t="shared" si="694"/>
        <v>47900</v>
      </c>
      <c r="B19489" s="2" t="str">
        <f>"22195"</f>
        <v>22195</v>
      </c>
      <c r="C19489" s="1">
        <v>6.2809205643268103E-4</v>
      </c>
      <c r="D19489" s="1">
        <v>2.6869514140862899E-3</v>
      </c>
      <c r="E19489" s="1">
        <v>6.5874850958149701E-6</v>
      </c>
      <c r="F19489" s="1">
        <v>7.57482362891971E-4</v>
      </c>
    </row>
    <row r="19490" spans="1:6" x14ac:dyDescent="0.25">
      <c r="A19490" s="2" t="str">
        <f t="shared" si="694"/>
        <v>47900</v>
      </c>
      <c r="B19490" s="2" t="str">
        <f>"22193"</f>
        <v>22193</v>
      </c>
      <c r="C19490" s="1">
        <v>9.1219717718013706E-3</v>
      </c>
      <c r="D19490" s="1">
        <v>2.5119871359597398E-3</v>
      </c>
      <c r="E19490" s="1">
        <v>2.1606951114273099E-3</v>
      </c>
      <c r="F19490" s="1">
        <v>8.2666208488526606E-3</v>
      </c>
    </row>
    <row r="19491" spans="1:6" x14ac:dyDescent="0.25">
      <c r="A19491" s="2" t="str">
        <f t="shared" si="694"/>
        <v>47900</v>
      </c>
      <c r="B19491" s="2" t="str">
        <f>"22125"</f>
        <v>22125</v>
      </c>
      <c r="C19491" s="1">
        <v>3.6610911607993401E-4</v>
      </c>
      <c r="D19491" s="1">
        <v>1.4955279963674E-3</v>
      </c>
      <c r="E19491" s="1">
        <v>6.5874850958149701E-6</v>
      </c>
      <c r="F19491" s="1">
        <v>4.3617523501852902E-4</v>
      </c>
    </row>
    <row r="19492" spans="1:6" x14ac:dyDescent="0.25">
      <c r="A19492" s="2" t="str">
        <f t="shared" si="694"/>
        <v>47900</v>
      </c>
      <c r="B19492" s="2" t="str">
        <f>"22160"</f>
        <v>22160</v>
      </c>
      <c r="C19492" s="1">
        <v>0</v>
      </c>
      <c r="D19492" s="1">
        <v>4.1658161458702099E-6</v>
      </c>
      <c r="E19492" s="1">
        <v>6.5874850958149701E-6</v>
      </c>
      <c r="F19492" s="1">
        <v>6.4714426560612595E-7</v>
      </c>
    </row>
    <row r="19493" spans="1:6" x14ac:dyDescent="0.25">
      <c r="A19493" s="2" t="str">
        <f t="shared" si="694"/>
        <v>47900</v>
      </c>
      <c r="B19493" s="2" t="str">
        <f>"22191"</f>
        <v>22191</v>
      </c>
      <c r="C19493" s="1">
        <v>9.5507048156318192E-3</v>
      </c>
      <c r="D19493" s="1">
        <v>5.9404538240109299E-3</v>
      </c>
      <c r="E19493" s="1">
        <v>7.2791710308755401E-3</v>
      </c>
      <c r="F19493" s="1">
        <v>9.1587092189906998E-3</v>
      </c>
    </row>
    <row r="19494" spans="1:6" x14ac:dyDescent="0.25">
      <c r="A19494" s="2" t="str">
        <f t="shared" si="694"/>
        <v>47900</v>
      </c>
      <c r="B19494" s="2" t="str">
        <f>"22172"</f>
        <v>22172</v>
      </c>
      <c r="C19494" s="1">
        <v>1.57671486732805E-3</v>
      </c>
      <c r="D19494" s="1">
        <v>5.7071681198421899E-4</v>
      </c>
      <c r="E19494" s="1">
        <v>1.28455959368391E-3</v>
      </c>
      <c r="F19494" s="1">
        <v>1.48422537316765E-3</v>
      </c>
    </row>
    <row r="19495" spans="1:6" x14ac:dyDescent="0.25">
      <c r="A19495" s="2" t="str">
        <f t="shared" si="694"/>
        <v>47900</v>
      </c>
      <c r="B19495" s="2" t="str">
        <f>"21754"</f>
        <v>21754</v>
      </c>
      <c r="C19495" s="1">
        <v>9.0897334184623403E-4</v>
      </c>
      <c r="D19495" s="1">
        <v>8.9148465521622601E-4</v>
      </c>
      <c r="E19495" s="1">
        <v>1.6468712739537401E-4</v>
      </c>
      <c r="F19495" s="1">
        <v>8.7105618150584599E-4</v>
      </c>
    </row>
    <row r="19496" spans="1:6" x14ac:dyDescent="0.25">
      <c r="A19496" s="2" t="str">
        <f t="shared" si="694"/>
        <v>47900</v>
      </c>
      <c r="B19496" s="2" t="str">
        <f>"21727"</f>
        <v>21727</v>
      </c>
      <c r="C19496" s="1">
        <v>6.89974872612184E-4</v>
      </c>
      <c r="D19496" s="1">
        <v>5.2905865052551703E-4</v>
      </c>
      <c r="E19496" s="1">
        <v>2.8984934421585797E-4</v>
      </c>
      <c r="F19496" s="1">
        <v>6.5782214598862697E-4</v>
      </c>
    </row>
    <row r="19497" spans="1:6" x14ac:dyDescent="0.25">
      <c r="A19497" s="2" t="str">
        <f t="shared" si="694"/>
        <v>47900</v>
      </c>
      <c r="B19497" s="2" t="str">
        <f>"21759"</f>
        <v>21759</v>
      </c>
      <c r="C19497" s="1">
        <v>0</v>
      </c>
      <c r="D19497" s="1">
        <v>4.1658161458702099E-6</v>
      </c>
      <c r="E19497" s="1">
        <v>0</v>
      </c>
      <c r="F19497" s="1">
        <v>3.2357213280306297E-7</v>
      </c>
    </row>
    <row r="19498" spans="1:6" x14ac:dyDescent="0.25">
      <c r="A19498" s="2" t="str">
        <f t="shared" si="694"/>
        <v>47900</v>
      </c>
      <c r="B19498" s="2" t="str">
        <f>"21783"</f>
        <v>21783</v>
      </c>
      <c r="C19498" s="1">
        <v>1.79349000184907E-4</v>
      </c>
      <c r="D19498" s="1">
        <v>2.0829080729350999E-5</v>
      </c>
      <c r="E19498" s="1">
        <v>0</v>
      </c>
      <c r="F19498" s="1">
        <v>1.5822677294069699E-4</v>
      </c>
    </row>
    <row r="19499" spans="1:6" x14ac:dyDescent="0.25">
      <c r="A19499" s="2" t="str">
        <f t="shared" si="694"/>
        <v>47900</v>
      </c>
      <c r="B19499" s="2" t="str">
        <f>"21776"</f>
        <v>21776</v>
      </c>
      <c r="C19499" s="1">
        <v>1.05608398869211E-4</v>
      </c>
      <c r="D19499" s="1">
        <v>0</v>
      </c>
      <c r="E19499" s="1">
        <v>0</v>
      </c>
      <c r="F19499" s="1">
        <v>9.2218057848872994E-5</v>
      </c>
    </row>
    <row r="19500" spans="1:6" x14ac:dyDescent="0.25">
      <c r="A19500" s="2" t="str">
        <f t="shared" si="694"/>
        <v>47900</v>
      </c>
      <c r="B19500" s="2" t="str">
        <f>"21788"</f>
        <v>21788</v>
      </c>
      <c r="C19500" s="1">
        <v>1.7875611092809699E-3</v>
      </c>
      <c r="D19500" s="1">
        <v>1.26224229219867E-3</v>
      </c>
      <c r="E19500" s="1">
        <v>1.2779721085880999E-3</v>
      </c>
      <c r="F19500" s="1">
        <v>1.7217273186450901E-3</v>
      </c>
    </row>
    <row r="19501" spans="1:6" x14ac:dyDescent="0.25">
      <c r="A19501" s="2" t="str">
        <f t="shared" si="694"/>
        <v>47900</v>
      </c>
      <c r="B19501" s="2" t="str">
        <f>"21701"</f>
        <v>21701</v>
      </c>
      <c r="C19501" s="1">
        <v>6.6666691370385698E-3</v>
      </c>
      <c r="D19501" s="1">
        <v>1.1701777553749401E-2</v>
      </c>
      <c r="E19501" s="1">
        <v>9.2817665000032908E-3</v>
      </c>
      <c r="F19501" s="1">
        <v>7.1862134974232297E-3</v>
      </c>
    </row>
    <row r="19502" spans="1:6" x14ac:dyDescent="0.25">
      <c r="A19502" s="2" t="str">
        <f t="shared" si="694"/>
        <v>47900</v>
      </c>
      <c r="B19502" s="2" t="str">
        <f>"20906"</f>
        <v>20906</v>
      </c>
      <c r="C19502" s="1">
        <v>1.02139996716875E-2</v>
      </c>
      <c r="D19502" s="1">
        <v>2.2745356156451302E-3</v>
      </c>
      <c r="E19502" s="1">
        <v>1.06585508850286E-2</v>
      </c>
      <c r="F19502" s="1">
        <v>9.6191523639694593E-3</v>
      </c>
    </row>
    <row r="19503" spans="1:6" x14ac:dyDescent="0.25">
      <c r="A19503" s="2" t="str">
        <f t="shared" si="694"/>
        <v>47900</v>
      </c>
      <c r="B19503" s="2" t="str">
        <f>"20818"</f>
        <v>20818</v>
      </c>
      <c r="C19503" s="1">
        <v>2.5901849406869797E-4</v>
      </c>
      <c r="D19503" s="1">
        <v>2.54114784898083E-4</v>
      </c>
      <c r="E19503" s="1">
        <v>7.9049821149779597E-5</v>
      </c>
      <c r="F19503" s="1">
        <v>2.4979768652396399E-4</v>
      </c>
    </row>
    <row r="19504" spans="1:6" x14ac:dyDescent="0.25">
      <c r="A19504" s="2" t="str">
        <f t="shared" si="694"/>
        <v>47900</v>
      </c>
      <c r="B19504" s="2" t="str">
        <f>"20892"</f>
        <v>20892</v>
      </c>
      <c r="C19504" s="1">
        <v>0</v>
      </c>
      <c r="D19504" s="1">
        <v>4.1658161458702099E-6</v>
      </c>
      <c r="E19504" s="1">
        <v>0</v>
      </c>
      <c r="F19504" s="1">
        <v>3.2357213280306297E-7</v>
      </c>
    </row>
    <row r="19505" spans="1:6" x14ac:dyDescent="0.25">
      <c r="A19505" s="2" t="str">
        <f t="shared" si="694"/>
        <v>47900</v>
      </c>
      <c r="B19505" s="2" t="str">
        <f>"20886"</f>
        <v>20886</v>
      </c>
      <c r="C19505" s="1">
        <v>5.2022326727188296E-3</v>
      </c>
      <c r="D19505" s="1">
        <v>2.5744743781477902E-3</v>
      </c>
      <c r="E19505" s="1">
        <v>4.2291654315132097E-3</v>
      </c>
      <c r="F19505" s="1">
        <v>4.9503300597540604E-3</v>
      </c>
    </row>
    <row r="19506" spans="1:6" x14ac:dyDescent="0.25">
      <c r="A19506" s="2" t="str">
        <f t="shared" si="694"/>
        <v>47900</v>
      </c>
      <c r="B19506" s="2" t="str">
        <f>"20883"</f>
        <v>20883</v>
      </c>
      <c r="C19506" s="1">
        <v>2.3937903743688E-4</v>
      </c>
      <c r="D19506" s="1">
        <v>9.0814791979970699E-4</v>
      </c>
      <c r="E19506" s="1">
        <v>1.3174970191629899E-5</v>
      </c>
      <c r="F19506" s="1">
        <v>2.8021346700745199E-4</v>
      </c>
    </row>
    <row r="19507" spans="1:6" x14ac:dyDescent="0.25">
      <c r="A19507" s="2" t="str">
        <f t="shared" si="694"/>
        <v>47900</v>
      </c>
      <c r="B19507" s="2" t="str">
        <f>"20861"</f>
        <v>20861</v>
      </c>
      <c r="C19507" s="1">
        <v>3.8871301899580098E-4</v>
      </c>
      <c r="D19507" s="1">
        <v>2.0829080729351001E-4</v>
      </c>
      <c r="E19507" s="1">
        <v>3.9524910574889798E-5</v>
      </c>
      <c r="F19507" s="1">
        <v>3.5754720674738402E-4</v>
      </c>
    </row>
    <row r="19508" spans="1:6" x14ac:dyDescent="0.25">
      <c r="A19508" s="2" t="str">
        <f t="shared" si="694"/>
        <v>47900</v>
      </c>
      <c r="B19508" s="2" t="str">
        <f>"20874"</f>
        <v>20874</v>
      </c>
      <c r="C19508" s="1">
        <v>8.6691526019130292E-3</v>
      </c>
      <c r="D19508" s="1">
        <v>3.6409233114905698E-3</v>
      </c>
      <c r="E19508" s="1">
        <v>9.4991535081651798E-3</v>
      </c>
      <c r="F19508" s="1">
        <v>8.3193631064995607E-3</v>
      </c>
    </row>
    <row r="19509" spans="1:6" x14ac:dyDescent="0.25">
      <c r="A19509" s="2" t="str">
        <f t="shared" si="694"/>
        <v>47900</v>
      </c>
      <c r="B19509" s="2" t="str">
        <f>"20775"</f>
        <v>20775</v>
      </c>
      <c r="C19509" s="1">
        <v>2.35302923796314E-4</v>
      </c>
      <c r="D19509" s="1">
        <v>8.8315302292448601E-4</v>
      </c>
      <c r="E19509" s="1">
        <v>1.3174970191629899E-5</v>
      </c>
      <c r="F19509" s="1">
        <v>2.7471274074980002E-4</v>
      </c>
    </row>
    <row r="19510" spans="1:6" x14ac:dyDescent="0.25">
      <c r="A19510" s="2" t="str">
        <f t="shared" si="694"/>
        <v>47900</v>
      </c>
      <c r="B19510" s="2" t="str">
        <f>"20839"</f>
        <v>20839</v>
      </c>
      <c r="C19510" s="1">
        <v>6.7441152962093194E-5</v>
      </c>
      <c r="D19510" s="1">
        <v>8.3316322917404296E-5</v>
      </c>
      <c r="E19510" s="1">
        <v>2.6349940383259799E-5</v>
      </c>
      <c r="F19510" s="1">
        <v>6.6655859357431005E-5</v>
      </c>
    </row>
    <row r="19511" spans="1:6" x14ac:dyDescent="0.25">
      <c r="A19511" s="2" t="str">
        <f t="shared" si="694"/>
        <v>47900</v>
      </c>
      <c r="B19511" s="2" t="str">
        <f>"20841"</f>
        <v>20841</v>
      </c>
      <c r="C19511" s="1">
        <v>1.1075912428774499E-3</v>
      </c>
      <c r="D19511" s="1">
        <v>1.62466829688938E-4</v>
      </c>
      <c r="E19511" s="1">
        <v>4.6112395670704698E-5</v>
      </c>
      <c r="F19511" s="1">
        <v>9.82041423057297E-4</v>
      </c>
    </row>
    <row r="19512" spans="1:6" x14ac:dyDescent="0.25">
      <c r="A19512" s="2" t="str">
        <f t="shared" si="694"/>
        <v>47900</v>
      </c>
      <c r="B19512" s="2" t="str">
        <f>"20747"</f>
        <v>20747</v>
      </c>
      <c r="C19512" s="1">
        <v>6.4728684612189204E-3</v>
      </c>
      <c r="D19512" s="1">
        <v>4.6657140833746402E-3</v>
      </c>
      <c r="E19512" s="1">
        <v>9.5320909336442591E-3</v>
      </c>
      <c r="F19512" s="1">
        <v>6.4827676807093703E-3</v>
      </c>
    </row>
    <row r="19513" spans="1:6" x14ac:dyDescent="0.25">
      <c r="A19513" s="2" t="str">
        <f t="shared" si="694"/>
        <v>47900</v>
      </c>
      <c r="B19513" s="2" t="str">
        <f>"20769"</f>
        <v>20769</v>
      </c>
      <c r="C19513" s="1">
        <v>9.7974949687788197E-4</v>
      </c>
      <c r="D19513" s="1">
        <v>1.24557902761519E-3</v>
      </c>
      <c r="E19513" s="1">
        <v>7.2462336053964602E-5</v>
      </c>
      <c r="F19513" s="1">
        <v>9.5583208030024897E-4</v>
      </c>
    </row>
    <row r="19514" spans="1:6" x14ac:dyDescent="0.25">
      <c r="A19514" s="2" t="str">
        <f t="shared" si="694"/>
        <v>47900</v>
      </c>
      <c r="B19514" s="2" t="str">
        <f>"20640"</f>
        <v>20640</v>
      </c>
      <c r="C19514" s="1">
        <v>1.5744915326150199E-3</v>
      </c>
      <c r="D19514" s="1">
        <v>1.17892596928127E-3</v>
      </c>
      <c r="E19514" s="1">
        <v>2.3122072686310498E-3</v>
      </c>
      <c r="F19514" s="1">
        <v>1.5800027244773499E-3</v>
      </c>
    </row>
    <row r="19515" spans="1:6" x14ac:dyDescent="0.25">
      <c r="A19515" s="2" t="str">
        <f t="shared" si="694"/>
        <v>47900</v>
      </c>
      <c r="B19515" s="2" t="str">
        <f>"20639"</f>
        <v>20639</v>
      </c>
      <c r="C19515" s="1">
        <v>2.3789681429485601E-3</v>
      </c>
      <c r="D19515" s="1">
        <v>1.18309178542714E-3</v>
      </c>
      <c r="E19515" s="1">
        <v>1.51512157203744E-4</v>
      </c>
      <c r="F19515" s="1">
        <v>2.1766697373662002E-3</v>
      </c>
    </row>
    <row r="19516" spans="1:6" x14ac:dyDescent="0.25">
      <c r="A19516" s="2" t="str">
        <f t="shared" si="694"/>
        <v>47900</v>
      </c>
      <c r="B19516" s="2" t="str">
        <f>"20526"</f>
        <v>20526</v>
      </c>
      <c r="C19516" s="1">
        <v>0</v>
      </c>
      <c r="D19516" s="1">
        <v>4.1658161458702099E-6</v>
      </c>
      <c r="E19516" s="1">
        <v>0</v>
      </c>
      <c r="F19516" s="1">
        <v>3.2357213280306297E-7</v>
      </c>
    </row>
    <row r="19517" spans="1:6" x14ac:dyDescent="0.25">
      <c r="A19517" s="2" t="str">
        <f t="shared" si="694"/>
        <v>47900</v>
      </c>
      <c r="B19517" s="2" t="str">
        <f>"20553"</f>
        <v>20553</v>
      </c>
      <c r="C19517" s="1">
        <v>0</v>
      </c>
      <c r="D19517" s="1">
        <v>1.6663264583480799E-5</v>
      </c>
      <c r="E19517" s="1">
        <v>0</v>
      </c>
      <c r="F19517" s="1">
        <v>1.29428853121225E-6</v>
      </c>
    </row>
    <row r="19518" spans="1:6" x14ac:dyDescent="0.25">
      <c r="A19518" s="2" t="str">
        <f t="shared" si="694"/>
        <v>47900</v>
      </c>
      <c r="B19518" s="2" t="str">
        <f>"20610"</f>
        <v>20610</v>
      </c>
      <c r="C19518" s="1">
        <v>0</v>
      </c>
      <c r="D19518" s="1">
        <v>0</v>
      </c>
      <c r="E19518" s="1">
        <v>6.5874850958149701E-6</v>
      </c>
      <c r="F19518" s="1">
        <v>3.2357213280306297E-7</v>
      </c>
    </row>
    <row r="19519" spans="1:6" x14ac:dyDescent="0.25">
      <c r="A19519" s="2" t="str">
        <f t="shared" si="694"/>
        <v>47900</v>
      </c>
      <c r="B19519" s="2" t="str">
        <f>"20612"</f>
        <v>20612</v>
      </c>
      <c r="C19519" s="1">
        <v>1.5192787205746199E-5</v>
      </c>
      <c r="D19519" s="1">
        <v>1.6663264583480799E-5</v>
      </c>
      <c r="E19519" s="1">
        <v>6.5874850958149701E-6</v>
      </c>
      <c r="F19519" s="1">
        <v>1.48843181089409E-5</v>
      </c>
    </row>
    <row r="19520" spans="1:6" x14ac:dyDescent="0.25">
      <c r="A19520" s="2" t="str">
        <f t="shared" si="694"/>
        <v>47900</v>
      </c>
      <c r="B19520" s="2" t="str">
        <f>"20451"</f>
        <v>20451</v>
      </c>
      <c r="C19520" s="1">
        <v>0</v>
      </c>
      <c r="D19520" s="1">
        <v>4.1658161458702099E-6</v>
      </c>
      <c r="E19520" s="1">
        <v>0</v>
      </c>
      <c r="F19520" s="1">
        <v>3.2357213280306297E-7</v>
      </c>
    </row>
    <row r="19521" spans="1:6" x14ac:dyDescent="0.25">
      <c r="A19521" s="2" t="str">
        <f t="shared" si="694"/>
        <v>47900</v>
      </c>
      <c r="B19521" s="2" t="str">
        <f>"20549"</f>
        <v>20549</v>
      </c>
      <c r="C19521" s="1">
        <v>0</v>
      </c>
      <c r="D19521" s="1">
        <v>8.33163229174043E-6</v>
      </c>
      <c r="E19521" s="1">
        <v>5.73111203335902E-4</v>
      </c>
      <c r="F19521" s="1">
        <v>2.8797919819472599E-5</v>
      </c>
    </row>
    <row r="19522" spans="1:6" x14ac:dyDescent="0.25">
      <c r="A19522" s="2" t="str">
        <f t="shared" si="694"/>
        <v>47900</v>
      </c>
      <c r="B19522" s="2" t="str">
        <f>"20437"</f>
        <v>20437</v>
      </c>
      <c r="C19522" s="1">
        <v>0</v>
      </c>
      <c r="D19522" s="1">
        <v>4.1658161458702099E-6</v>
      </c>
      <c r="E19522" s="1">
        <v>0</v>
      </c>
      <c r="F19522" s="1">
        <v>3.2357213280306297E-7</v>
      </c>
    </row>
    <row r="19523" spans="1:6" x14ac:dyDescent="0.25">
      <c r="A19523" s="2" t="str">
        <f t="shared" si="694"/>
        <v>47900</v>
      </c>
      <c r="B19523" s="2" t="str">
        <f>"20542"</f>
        <v>20542</v>
      </c>
      <c r="C19523" s="1">
        <v>0</v>
      </c>
      <c r="D19523" s="1">
        <v>6.6653058333923399E-5</v>
      </c>
      <c r="E19523" s="1">
        <v>1.3174970191629899E-5</v>
      </c>
      <c r="F19523" s="1">
        <v>5.82429839045513E-6</v>
      </c>
    </row>
    <row r="19524" spans="1:6" x14ac:dyDescent="0.25">
      <c r="A19524" s="2" t="str">
        <f t="shared" si="694"/>
        <v>47900</v>
      </c>
      <c r="B19524" s="2" t="str">
        <f>"20422"</f>
        <v>20422</v>
      </c>
      <c r="C19524" s="1">
        <v>0</v>
      </c>
      <c r="D19524" s="1">
        <v>8.33163229174043E-6</v>
      </c>
      <c r="E19524" s="1">
        <v>0</v>
      </c>
      <c r="F19524" s="1">
        <v>6.4714426560612595E-7</v>
      </c>
    </row>
    <row r="19525" spans="1:6" x14ac:dyDescent="0.25">
      <c r="A19525" s="2" t="str">
        <f t="shared" si="694"/>
        <v>47900</v>
      </c>
      <c r="B19525" s="2" t="str">
        <f>"20565"</f>
        <v>20565</v>
      </c>
      <c r="C19525" s="1">
        <v>0</v>
      </c>
      <c r="D19525" s="1">
        <v>4.1658161458702099E-6</v>
      </c>
      <c r="E19525" s="1">
        <v>0</v>
      </c>
      <c r="F19525" s="1">
        <v>3.2357213280306297E-7</v>
      </c>
    </row>
    <row r="19526" spans="1:6" x14ac:dyDescent="0.25">
      <c r="A19526" s="2" t="str">
        <f t="shared" si="694"/>
        <v>47900</v>
      </c>
      <c r="B19526" s="2" t="str">
        <f>"20603"</f>
        <v>20603</v>
      </c>
      <c r="C19526" s="1">
        <v>4.28251321309292E-3</v>
      </c>
      <c r="D19526" s="1">
        <v>2.42450499689646E-3</v>
      </c>
      <c r="E19526" s="1">
        <v>2.74698128495484E-3</v>
      </c>
      <c r="F19526" s="1">
        <v>4.0627716994752596E-3</v>
      </c>
    </row>
    <row r="19527" spans="1:6" x14ac:dyDescent="0.25">
      <c r="A19527" s="2" t="str">
        <f t="shared" ref="A19527:A19590" si="695">"47900"</f>
        <v>47900</v>
      </c>
      <c r="B19527" s="2" t="str">
        <f>"20528"</f>
        <v>20528</v>
      </c>
      <c r="C19527" s="1">
        <v>0</v>
      </c>
      <c r="D19527" s="1">
        <v>4.6657140833746398E-4</v>
      </c>
      <c r="E19527" s="1">
        <v>3.9524910574889798E-5</v>
      </c>
      <c r="F19527" s="1">
        <v>3.8181511670761397E-5</v>
      </c>
    </row>
    <row r="19528" spans="1:6" x14ac:dyDescent="0.25">
      <c r="A19528" s="2" t="str">
        <f t="shared" si="695"/>
        <v>47900</v>
      </c>
      <c r="B19528" s="2" t="str">
        <f>"20520"</f>
        <v>20520</v>
      </c>
      <c r="C19528" s="1">
        <v>0</v>
      </c>
      <c r="D19528" s="1">
        <v>2.7077804948156398E-4</v>
      </c>
      <c r="E19528" s="1">
        <v>1.3174970191629899E-5</v>
      </c>
      <c r="F19528" s="1">
        <v>2.1679332897805198E-5</v>
      </c>
    </row>
    <row r="19529" spans="1:6" x14ac:dyDescent="0.25">
      <c r="A19529" s="2" t="str">
        <f t="shared" si="695"/>
        <v>47900</v>
      </c>
      <c r="B19529" s="2" t="str">
        <f>"20505"</f>
        <v>20505</v>
      </c>
      <c r="C19529" s="1">
        <v>0</v>
      </c>
      <c r="D19529" s="1">
        <v>8.33163229174043E-6</v>
      </c>
      <c r="E19529" s="1">
        <v>0</v>
      </c>
      <c r="F19529" s="1">
        <v>6.4714426560612595E-7</v>
      </c>
    </row>
    <row r="19530" spans="1:6" x14ac:dyDescent="0.25">
      <c r="A19530" s="2" t="str">
        <f t="shared" si="695"/>
        <v>47900</v>
      </c>
      <c r="B19530" s="2" t="str">
        <f>"20405"</f>
        <v>20405</v>
      </c>
      <c r="C19530" s="1">
        <v>0</v>
      </c>
      <c r="D19530" s="1">
        <v>4.1658161458702099E-6</v>
      </c>
      <c r="E19530" s="1">
        <v>0</v>
      </c>
      <c r="F19530" s="1">
        <v>3.2357213280306297E-7</v>
      </c>
    </row>
    <row r="19531" spans="1:6" x14ac:dyDescent="0.25">
      <c r="A19531" s="2" t="str">
        <f t="shared" si="695"/>
        <v>47900</v>
      </c>
      <c r="B19531" s="2" t="str">
        <f>"20241"</f>
        <v>20241</v>
      </c>
      <c r="C19531" s="1">
        <v>0</v>
      </c>
      <c r="D19531" s="1">
        <v>4.1658161458702099E-6</v>
      </c>
      <c r="E19531" s="1">
        <v>0</v>
      </c>
      <c r="F19531" s="1">
        <v>3.2357213280306297E-7</v>
      </c>
    </row>
    <row r="19532" spans="1:6" x14ac:dyDescent="0.25">
      <c r="A19532" s="2" t="str">
        <f t="shared" si="695"/>
        <v>47900</v>
      </c>
      <c r="B19532" s="2" t="str">
        <f>"20318"</f>
        <v>20318</v>
      </c>
      <c r="C19532" s="1">
        <v>0</v>
      </c>
      <c r="D19532" s="1">
        <v>4.1658161458702099E-6</v>
      </c>
      <c r="E19532" s="1">
        <v>1.51512157203744E-4</v>
      </c>
      <c r="F19532" s="1">
        <v>7.7657311872735101E-6</v>
      </c>
    </row>
    <row r="19533" spans="1:6" x14ac:dyDescent="0.25">
      <c r="A19533" s="2" t="str">
        <f t="shared" si="695"/>
        <v>47900</v>
      </c>
      <c r="B19533" s="2" t="str">
        <f>"20218"</f>
        <v>20218</v>
      </c>
      <c r="C19533" s="1">
        <v>0</v>
      </c>
      <c r="D19533" s="1">
        <v>4.1658161458702099E-6</v>
      </c>
      <c r="E19533" s="1">
        <v>0</v>
      </c>
      <c r="F19533" s="1">
        <v>3.2357213280306297E-7</v>
      </c>
    </row>
    <row r="19534" spans="1:6" x14ac:dyDescent="0.25">
      <c r="A19534" s="2" t="str">
        <f t="shared" si="695"/>
        <v>47900</v>
      </c>
      <c r="B19534" s="2" t="str">
        <f>"20217"</f>
        <v>20217</v>
      </c>
      <c r="C19534" s="1">
        <v>0</v>
      </c>
      <c r="D19534" s="1">
        <v>4.1658161458702099E-6</v>
      </c>
      <c r="E19534" s="1">
        <v>0</v>
      </c>
      <c r="F19534" s="1">
        <v>3.2357213280306297E-7</v>
      </c>
    </row>
    <row r="19535" spans="1:6" x14ac:dyDescent="0.25">
      <c r="A19535" s="2" t="str">
        <f t="shared" si="695"/>
        <v>47900</v>
      </c>
      <c r="B19535" s="2" t="str">
        <f>"20212"</f>
        <v>20212</v>
      </c>
      <c r="C19535" s="1">
        <v>0</v>
      </c>
      <c r="D19535" s="1">
        <v>4.1658161458702099E-6</v>
      </c>
      <c r="E19535" s="1">
        <v>6.5874850958149701E-6</v>
      </c>
      <c r="F19535" s="1">
        <v>6.4714426560612595E-7</v>
      </c>
    </row>
    <row r="19536" spans="1:6" x14ac:dyDescent="0.25">
      <c r="A19536" s="2" t="str">
        <f t="shared" si="695"/>
        <v>47900</v>
      </c>
      <c r="B19536" s="2" t="str">
        <f>"20188"</f>
        <v>20188</v>
      </c>
      <c r="C19536" s="1">
        <v>3.3016520488585198E-4</v>
      </c>
      <c r="D19536" s="1">
        <v>1.6538290099104699E-3</v>
      </c>
      <c r="E19536" s="1">
        <v>6.5874850958149701E-6</v>
      </c>
      <c r="F19536" s="1">
        <v>4.1708447918314799E-4</v>
      </c>
    </row>
    <row r="19537" spans="1:6" x14ac:dyDescent="0.25">
      <c r="A19537" s="2" t="str">
        <f t="shared" si="695"/>
        <v>47900</v>
      </c>
      <c r="B19537" s="2" t="str">
        <f>"20103"</f>
        <v>20103</v>
      </c>
      <c r="C19537" s="1">
        <v>0</v>
      </c>
      <c r="D19537" s="1">
        <v>0</v>
      </c>
      <c r="E19537" s="1">
        <v>6.5874850958149701E-6</v>
      </c>
      <c r="F19537" s="1">
        <v>3.2357213280306297E-7</v>
      </c>
    </row>
    <row r="19538" spans="1:6" x14ac:dyDescent="0.25">
      <c r="A19538" s="2" t="str">
        <f t="shared" si="695"/>
        <v>47900</v>
      </c>
      <c r="B19538" s="2" t="str">
        <f>"20063"</f>
        <v>20063</v>
      </c>
      <c r="C19538" s="1">
        <v>0</v>
      </c>
      <c r="D19538" s="1">
        <v>4.1658161458702099E-6</v>
      </c>
      <c r="E19538" s="1">
        <v>0</v>
      </c>
      <c r="F19538" s="1">
        <v>3.2357213280306297E-7</v>
      </c>
    </row>
    <row r="19539" spans="1:6" x14ac:dyDescent="0.25">
      <c r="A19539" s="2" t="str">
        <f t="shared" si="695"/>
        <v>47900</v>
      </c>
      <c r="B19539" s="2" t="str">
        <f>"20049"</f>
        <v>20049</v>
      </c>
      <c r="C19539" s="1">
        <v>0</v>
      </c>
      <c r="D19539" s="1">
        <v>4.1658161458702099E-6</v>
      </c>
      <c r="E19539" s="1">
        <v>0</v>
      </c>
      <c r="F19539" s="1">
        <v>3.2357213280306297E-7</v>
      </c>
    </row>
    <row r="19540" spans="1:6" x14ac:dyDescent="0.25">
      <c r="A19540" s="2" t="str">
        <f t="shared" si="695"/>
        <v>47900</v>
      </c>
      <c r="B19540" s="2" t="str">
        <f>"20036"</f>
        <v>20036</v>
      </c>
      <c r="C19540" s="1">
        <v>1.8883522829386101E-3</v>
      </c>
      <c r="D19540" s="1">
        <v>1.7029856404317398E-2</v>
      </c>
      <c r="E19540" s="1">
        <v>4.3411526781420599E-3</v>
      </c>
      <c r="F19540" s="1">
        <v>3.1849205031805501E-3</v>
      </c>
    </row>
    <row r="19541" spans="1:6" x14ac:dyDescent="0.25">
      <c r="A19541" s="2" t="str">
        <f t="shared" si="695"/>
        <v>47900</v>
      </c>
      <c r="B19541" s="2" t="str">
        <f>"20030"</f>
        <v>20030</v>
      </c>
      <c r="C19541" s="1">
        <v>5.3174755220111898E-4</v>
      </c>
      <c r="D19541" s="1">
        <v>5.0406375365029605E-4</v>
      </c>
      <c r="E19541" s="1">
        <v>1.3174970191629899E-5</v>
      </c>
      <c r="F19541" s="1">
        <v>5.0412538290717202E-4</v>
      </c>
    </row>
    <row r="19542" spans="1:6" x14ac:dyDescent="0.25">
      <c r="A19542" s="2" t="str">
        <f t="shared" si="695"/>
        <v>47900</v>
      </c>
      <c r="B19542" s="2" t="str">
        <f>"20177"</f>
        <v>20177</v>
      </c>
      <c r="C19542" s="1">
        <v>4.3725582689708802E-4</v>
      </c>
      <c r="D19542" s="1">
        <v>2.3328570416873201E-3</v>
      </c>
      <c r="E19542" s="1">
        <v>1.3174970191629899E-5</v>
      </c>
      <c r="F19542" s="1">
        <v>5.6366265534293599E-4</v>
      </c>
    </row>
    <row r="19543" spans="1:6" x14ac:dyDescent="0.25">
      <c r="A19543" s="2" t="str">
        <f t="shared" si="695"/>
        <v>47900</v>
      </c>
      <c r="B19543" s="2" t="str">
        <f>"20180"</f>
        <v>20180</v>
      </c>
      <c r="C19543" s="1">
        <v>1.0631245486167301E-3</v>
      </c>
      <c r="D19543" s="1">
        <v>1.87461726564159E-4</v>
      </c>
      <c r="E19543" s="1">
        <v>1.3833718701211401E-4</v>
      </c>
      <c r="F19543" s="1">
        <v>9.4968420977698995E-4</v>
      </c>
    </row>
    <row r="19544" spans="1:6" x14ac:dyDescent="0.25">
      <c r="A19544" s="2" t="str">
        <f t="shared" si="695"/>
        <v>47900</v>
      </c>
      <c r="B19544" s="2" t="str">
        <f>"20160"</f>
        <v>20160</v>
      </c>
      <c r="C19544" s="1">
        <v>0</v>
      </c>
      <c r="D19544" s="1">
        <v>0</v>
      </c>
      <c r="E19544" s="1">
        <v>6.5874850958149701E-6</v>
      </c>
      <c r="F19544" s="1">
        <v>3.2357213280306297E-7</v>
      </c>
    </row>
    <row r="19545" spans="1:6" x14ac:dyDescent="0.25">
      <c r="A19545" s="2" t="str">
        <f t="shared" si="695"/>
        <v>47900</v>
      </c>
      <c r="B19545" s="2" t="str">
        <f>"20168"</f>
        <v>20168</v>
      </c>
      <c r="C19545" s="1">
        <v>2.4530793000497603E-4</v>
      </c>
      <c r="D19545" s="1">
        <v>1.3163979020949801E-3</v>
      </c>
      <c r="E19545" s="1">
        <v>1.3174970191629899E-5</v>
      </c>
      <c r="F19545" s="1">
        <v>3.17100690147002E-4</v>
      </c>
    </row>
    <row r="19546" spans="1:6" x14ac:dyDescent="0.25">
      <c r="A19546" s="2" t="str">
        <f t="shared" si="695"/>
        <v>47900</v>
      </c>
      <c r="B19546" s="2" t="str">
        <f>"20169"</f>
        <v>20169</v>
      </c>
      <c r="C19546" s="1">
        <v>3.5162038486664898E-3</v>
      </c>
      <c r="D19546" s="1">
        <v>1.17892596928127E-3</v>
      </c>
      <c r="E19546" s="1">
        <v>2.7667437402422801E-4</v>
      </c>
      <c r="F19546" s="1">
        <v>3.17553691132926E-3</v>
      </c>
    </row>
    <row r="19547" spans="1:6" x14ac:dyDescent="0.25">
      <c r="A19547" s="2" t="str">
        <f t="shared" si="695"/>
        <v>47900</v>
      </c>
      <c r="B19547" s="2" t="str">
        <f>"20019"</f>
        <v>20019</v>
      </c>
      <c r="C19547" s="1">
        <v>1.0217705229542601E-2</v>
      </c>
      <c r="D19547" s="1">
        <v>2.9827243604430699E-3</v>
      </c>
      <c r="E19547" s="1">
        <v>2.6573914876517502E-2</v>
      </c>
      <c r="F19547" s="1">
        <v>1.0459145620726199E-2</v>
      </c>
    </row>
    <row r="19548" spans="1:6" x14ac:dyDescent="0.25">
      <c r="A19548" s="2" t="str">
        <f t="shared" si="695"/>
        <v>47900</v>
      </c>
      <c r="B19548" s="2" t="str">
        <f>"20139"</f>
        <v>20139</v>
      </c>
      <c r="C19548" s="1">
        <v>3.7055578550600601E-7</v>
      </c>
      <c r="D19548" s="1">
        <v>4.1658161458702099E-6</v>
      </c>
      <c r="E19548" s="1">
        <v>0</v>
      </c>
      <c r="F19548" s="1">
        <v>6.4714426560612595E-7</v>
      </c>
    </row>
    <row r="19549" spans="1:6" x14ac:dyDescent="0.25">
      <c r="A19549" s="2" t="str">
        <f t="shared" si="695"/>
        <v>47900</v>
      </c>
      <c r="B19549" s="2" t="str">
        <f>"20132"</f>
        <v>20132</v>
      </c>
      <c r="C19549" s="1">
        <v>2.2392686118127901E-3</v>
      </c>
      <c r="D19549" s="1">
        <v>2.2370432703323001E-3</v>
      </c>
      <c r="E19549" s="1">
        <v>7.3779833073127604E-4</v>
      </c>
      <c r="F19549" s="1">
        <v>2.1653447127180899E-3</v>
      </c>
    </row>
    <row r="19550" spans="1:6" x14ac:dyDescent="0.25">
      <c r="A19550" s="2" t="str">
        <f t="shared" si="695"/>
        <v>47900</v>
      </c>
      <c r="B19550" s="2" t="str">
        <f>"20129"</f>
        <v>20129</v>
      </c>
      <c r="C19550" s="1">
        <v>8.4857274880875499E-5</v>
      </c>
      <c r="D19550" s="1">
        <v>3.3326529166961699E-5</v>
      </c>
      <c r="E19550" s="1">
        <v>6.5874850958149701E-6</v>
      </c>
      <c r="F19550" s="1">
        <v>7.7010167607129005E-5</v>
      </c>
    </row>
    <row r="19551" spans="1:6" x14ac:dyDescent="0.25">
      <c r="A19551" s="2" t="str">
        <f t="shared" si="695"/>
        <v>47900</v>
      </c>
      <c r="B19551" s="2" t="str">
        <f>"20122"</f>
        <v>20122</v>
      </c>
      <c r="C19551" s="1">
        <v>4.68753068665098E-4</v>
      </c>
      <c r="D19551" s="1">
        <v>1.8371249203287599E-3</v>
      </c>
      <c r="E19551" s="1">
        <v>1.3174970191629899E-5</v>
      </c>
      <c r="F19551" s="1">
        <v>5.5266120282763205E-4</v>
      </c>
    </row>
    <row r="19552" spans="1:6" x14ac:dyDescent="0.25">
      <c r="A19552" s="2" t="str">
        <f t="shared" si="695"/>
        <v>47900</v>
      </c>
      <c r="B19552" s="2" t="str">
        <f>"20012"</f>
        <v>20012</v>
      </c>
      <c r="C19552" s="1">
        <v>2.4493737421947001E-3</v>
      </c>
      <c r="D19552" s="1">
        <v>2.1745560281442502E-3</v>
      </c>
      <c r="E19552" s="1">
        <v>2.3056197835352298E-3</v>
      </c>
      <c r="F19552" s="1">
        <v>2.42096669763251E-3</v>
      </c>
    </row>
    <row r="19553" spans="1:6" x14ac:dyDescent="0.25">
      <c r="A19553" s="2" t="str">
        <f t="shared" si="695"/>
        <v>47900</v>
      </c>
      <c r="B19553" s="2" t="str">
        <f>"25442"</f>
        <v>25442</v>
      </c>
      <c r="C19553" s="1">
        <v>3.48692994161152E-4</v>
      </c>
      <c r="D19553" s="1">
        <v>9.9979587500885193E-5</v>
      </c>
      <c r="E19553" s="1">
        <v>1.9762455287444899E-5</v>
      </c>
      <c r="F19553" s="1">
        <v>3.1321782455336501E-4</v>
      </c>
    </row>
    <row r="19554" spans="1:6" x14ac:dyDescent="0.25">
      <c r="A19554" s="2" t="str">
        <f t="shared" si="695"/>
        <v>47900</v>
      </c>
      <c r="B19554" s="2" t="str">
        <f>"22730"</f>
        <v>22730</v>
      </c>
      <c r="C19554" s="1">
        <v>3.3720576481046597E-5</v>
      </c>
      <c r="D19554" s="1">
        <v>4.1658161458702099E-6</v>
      </c>
      <c r="E19554" s="1">
        <v>0</v>
      </c>
      <c r="F19554" s="1">
        <v>2.9768636217881801E-5</v>
      </c>
    </row>
    <row r="19555" spans="1:6" x14ac:dyDescent="0.25">
      <c r="A19555" s="2" t="str">
        <f t="shared" si="695"/>
        <v>47900</v>
      </c>
      <c r="B19555" s="2" t="str">
        <f>"22734"</f>
        <v>22734</v>
      </c>
      <c r="C19555" s="1">
        <v>4.48743056247774E-4</v>
      </c>
      <c r="D19555" s="1">
        <v>2.66612233335693E-4</v>
      </c>
      <c r="E19555" s="1">
        <v>1.7127461249118899E-4</v>
      </c>
      <c r="F19555" s="1">
        <v>4.2096734477678499E-4</v>
      </c>
    </row>
    <row r="19556" spans="1:6" x14ac:dyDescent="0.25">
      <c r="A19556" s="2" t="str">
        <f t="shared" si="695"/>
        <v>47900</v>
      </c>
      <c r="B19556" s="2" t="str">
        <f>"22718"</f>
        <v>22718</v>
      </c>
      <c r="C19556" s="1">
        <v>1.0190284101415099E-4</v>
      </c>
      <c r="D19556" s="1">
        <v>1.08311219792625E-4</v>
      </c>
      <c r="E19556" s="1">
        <v>4.6112395670704698E-5</v>
      </c>
      <c r="F19556" s="1">
        <v>9.9660216903343503E-5</v>
      </c>
    </row>
    <row r="19557" spans="1:6" x14ac:dyDescent="0.25">
      <c r="A19557" s="2" t="str">
        <f t="shared" si="695"/>
        <v>47900</v>
      </c>
      <c r="B19557" s="2" t="str">
        <f>"22711"</f>
        <v>22711</v>
      </c>
      <c r="C19557" s="1">
        <v>4.9654475257804901E-5</v>
      </c>
      <c r="D19557" s="1">
        <v>4.1658161458702099E-6</v>
      </c>
      <c r="E19557" s="1">
        <v>0</v>
      </c>
      <c r="F19557" s="1">
        <v>4.3682237928413502E-5</v>
      </c>
    </row>
    <row r="19558" spans="1:6" x14ac:dyDescent="0.25">
      <c r="A19558" s="2" t="str">
        <f t="shared" si="695"/>
        <v>47900</v>
      </c>
      <c r="B19558" s="2" t="str">
        <f>"22701"</f>
        <v>22701</v>
      </c>
      <c r="C19558" s="1">
        <v>5.0325181229570696E-3</v>
      </c>
      <c r="D19558" s="1">
        <v>5.7529920974467696E-3</v>
      </c>
      <c r="E19558" s="1">
        <v>3.5308920113568199E-3</v>
      </c>
      <c r="F19558" s="1">
        <v>5.0147209141818702E-3</v>
      </c>
    </row>
    <row r="19559" spans="1:6" x14ac:dyDescent="0.25">
      <c r="A19559" s="2" t="str">
        <f t="shared" si="695"/>
        <v>47900</v>
      </c>
      <c r="B19559" s="2" t="str">
        <f>"22663"</f>
        <v>22663</v>
      </c>
      <c r="C19559" s="1">
        <v>9.5232836875043696E-5</v>
      </c>
      <c r="D19559" s="1">
        <v>5.8321426042182998E-5</v>
      </c>
      <c r="E19559" s="1">
        <v>6.5874850958149701E-6</v>
      </c>
      <c r="F19559" s="1">
        <v>8.8011620122433203E-5</v>
      </c>
    </row>
    <row r="19560" spans="1:6" x14ac:dyDescent="0.25">
      <c r="A19560" s="2" t="str">
        <f t="shared" si="695"/>
        <v>47900</v>
      </c>
      <c r="B19560" s="2" t="str">
        <f>"22657"</f>
        <v>22657</v>
      </c>
      <c r="C19560" s="1">
        <v>1.6304454562264301E-4</v>
      </c>
      <c r="D19560" s="1">
        <v>4.1658161458702101E-5</v>
      </c>
      <c r="E19560" s="1">
        <v>1.3174970191629899E-5</v>
      </c>
      <c r="F19560" s="1">
        <v>1.4625460402698399E-4</v>
      </c>
    </row>
    <row r="19561" spans="1:6" x14ac:dyDescent="0.25">
      <c r="A19561" s="2" t="str">
        <f t="shared" si="695"/>
        <v>47900</v>
      </c>
      <c r="B19561" s="2" t="str">
        <f>"22350"</f>
        <v>22350</v>
      </c>
      <c r="C19561" s="1">
        <v>0</v>
      </c>
      <c r="D19561" s="1">
        <v>4.1658161458702099E-6</v>
      </c>
      <c r="E19561" s="1">
        <v>6.5874850958149701E-6</v>
      </c>
      <c r="F19561" s="1">
        <v>6.4714426560612595E-7</v>
      </c>
    </row>
    <row r="19562" spans="1:6" x14ac:dyDescent="0.25">
      <c r="A19562" s="2" t="str">
        <f t="shared" si="695"/>
        <v>47900</v>
      </c>
      <c r="B19562" s="2" t="str">
        <f>"22332"</f>
        <v>22332</v>
      </c>
      <c r="C19562" s="1">
        <v>0</v>
      </c>
      <c r="D19562" s="1">
        <v>4.1658161458702099E-6</v>
      </c>
      <c r="E19562" s="1">
        <v>3.2278676969493299E-4</v>
      </c>
      <c r="F19562" s="1">
        <v>1.6178606640153099E-5</v>
      </c>
    </row>
    <row r="19563" spans="1:6" x14ac:dyDescent="0.25">
      <c r="A19563" s="2" t="str">
        <f t="shared" si="695"/>
        <v>47900</v>
      </c>
      <c r="B19563" s="2" t="str">
        <f>"22306"</f>
        <v>22306</v>
      </c>
      <c r="C19563" s="1">
        <v>4.9206102757342598E-3</v>
      </c>
      <c r="D19563" s="1">
        <v>3.2868289390915999E-3</v>
      </c>
      <c r="E19563" s="1">
        <v>7.9115696000737704E-3</v>
      </c>
      <c r="F19563" s="1">
        <v>4.9406228957699699E-3</v>
      </c>
    </row>
    <row r="19564" spans="1:6" x14ac:dyDescent="0.25">
      <c r="A19564" s="2" t="str">
        <f t="shared" si="695"/>
        <v>47900</v>
      </c>
      <c r="B19564" s="2" t="str">
        <f>"22312"</f>
        <v>22312</v>
      </c>
      <c r="C19564" s="1">
        <v>4.6423228808192499E-3</v>
      </c>
      <c r="D19564" s="1">
        <v>4.7823569354590104E-3</v>
      </c>
      <c r="E19564" s="1">
        <v>6.7587597083061503E-3</v>
      </c>
      <c r="F19564" s="1">
        <v>4.7571574964706299E-3</v>
      </c>
    </row>
    <row r="19565" spans="1:6" x14ac:dyDescent="0.25">
      <c r="A19565" s="2" t="str">
        <f t="shared" si="695"/>
        <v>47900</v>
      </c>
      <c r="B19565" s="2" t="str">
        <f>"22623"</f>
        <v>22623</v>
      </c>
      <c r="C19565" s="1">
        <v>9.9679506301115798E-5</v>
      </c>
      <c r="D19565" s="1">
        <v>1.24974484376106E-5</v>
      </c>
      <c r="E19565" s="1">
        <v>0</v>
      </c>
      <c r="F19565" s="1">
        <v>8.8011620122433203E-5</v>
      </c>
    </row>
    <row r="19566" spans="1:6" x14ac:dyDescent="0.25">
      <c r="A19566" s="2" t="str">
        <f t="shared" si="695"/>
        <v>47900</v>
      </c>
      <c r="B19566" s="2" t="str">
        <f>"22610"</f>
        <v>22610</v>
      </c>
      <c r="C19566" s="1">
        <v>3.5536299830026002E-4</v>
      </c>
      <c r="D19566" s="1">
        <v>8.3316322917404296E-5</v>
      </c>
      <c r="E19566" s="1">
        <v>2.6349940383259799E-5</v>
      </c>
      <c r="F19566" s="1">
        <v>3.1807140654541101E-4</v>
      </c>
    </row>
    <row r="19567" spans="1:6" x14ac:dyDescent="0.25">
      <c r="A19567" s="2" t="str">
        <f t="shared" si="695"/>
        <v>47900</v>
      </c>
      <c r="B19567" s="2" t="str">
        <f>"22567"</f>
        <v>22567</v>
      </c>
      <c r="C19567" s="1">
        <v>1.85277892753003E-6</v>
      </c>
      <c r="D19567" s="1">
        <v>0</v>
      </c>
      <c r="E19567" s="1">
        <v>0</v>
      </c>
      <c r="F19567" s="1">
        <v>1.6178606640153099E-6</v>
      </c>
    </row>
    <row r="19568" spans="1:6" x14ac:dyDescent="0.25">
      <c r="A19568" s="2" t="str">
        <f t="shared" si="695"/>
        <v>47900</v>
      </c>
      <c r="B19568" s="2" t="str">
        <f>"22215"</f>
        <v>22215</v>
      </c>
      <c r="C19568" s="1">
        <v>3.9797691363345098E-4</v>
      </c>
      <c r="D19568" s="1">
        <v>4.9156630521268502E-4</v>
      </c>
      <c r="E19568" s="1">
        <v>1.3174970191629899E-5</v>
      </c>
      <c r="F19568" s="1">
        <v>3.86345126566857E-4</v>
      </c>
    </row>
    <row r="19569" spans="1:6" x14ac:dyDescent="0.25">
      <c r="A19569" s="2" t="str">
        <f t="shared" si="695"/>
        <v>47900</v>
      </c>
      <c r="B19569" s="2" t="str">
        <f>"22213"</f>
        <v>22213</v>
      </c>
      <c r="C19569" s="1">
        <v>5.3989977948225201E-4</v>
      </c>
      <c r="D19569" s="1">
        <v>1.3330611666784601E-4</v>
      </c>
      <c r="E19569" s="1">
        <v>2.23974493257709E-4</v>
      </c>
      <c r="F19569" s="1">
        <v>4.9280035825906504E-4</v>
      </c>
    </row>
    <row r="19570" spans="1:6" x14ac:dyDescent="0.25">
      <c r="A19570" s="2" t="str">
        <f t="shared" si="695"/>
        <v>47900</v>
      </c>
      <c r="B19570" s="2" t="str">
        <f>"22408"</f>
        <v>22408</v>
      </c>
      <c r="C19570" s="1">
        <v>4.3536599239100702E-3</v>
      </c>
      <c r="D19570" s="1">
        <v>6.4320201292236102E-3</v>
      </c>
      <c r="E19570" s="1">
        <v>1.86425828211563E-3</v>
      </c>
      <c r="F19570" s="1">
        <v>4.3928152749343804E-3</v>
      </c>
    </row>
    <row r="19571" spans="1:6" x14ac:dyDescent="0.25">
      <c r="A19571" s="2" t="str">
        <f t="shared" si="695"/>
        <v>47900</v>
      </c>
      <c r="B19571" s="2" t="str">
        <f>"22204"</f>
        <v>22204</v>
      </c>
      <c r="C19571" s="1">
        <v>9.0015411415119099E-3</v>
      </c>
      <c r="D19571" s="1">
        <v>4.02417839691063E-3</v>
      </c>
      <c r="E19571" s="1">
        <v>1.4314605113205901E-2</v>
      </c>
      <c r="F19571" s="1">
        <v>8.8759071749208197E-3</v>
      </c>
    </row>
    <row r="19572" spans="1:6" x14ac:dyDescent="0.25">
      <c r="A19572" s="2" t="str">
        <f t="shared" si="695"/>
        <v>47900</v>
      </c>
      <c r="B19572" s="2" t="str">
        <f>"22038"</f>
        <v>22038</v>
      </c>
      <c r="C19572" s="1">
        <v>5.9733592623568304E-4</v>
      </c>
      <c r="D19572" s="1">
        <v>1.4955279963674E-3</v>
      </c>
      <c r="E19572" s="1">
        <v>1.3174970191629899E-5</v>
      </c>
      <c r="F19572" s="1">
        <v>6.3840781802044296E-4</v>
      </c>
    </row>
    <row r="19573" spans="1:6" x14ac:dyDescent="0.25">
      <c r="A19573" s="2" t="str">
        <f t="shared" si="695"/>
        <v>47900</v>
      </c>
      <c r="B19573" s="2" t="str">
        <f>"22025"</f>
        <v>22025</v>
      </c>
      <c r="C19573" s="1">
        <v>2.43751595705851E-3</v>
      </c>
      <c r="D19573" s="1">
        <v>6.7902803177684497E-4</v>
      </c>
      <c r="E19573" s="1">
        <v>3.8207413555726798E-4</v>
      </c>
      <c r="F19573" s="1">
        <v>2.1999669309280198E-3</v>
      </c>
    </row>
    <row r="19574" spans="1:6" x14ac:dyDescent="0.25">
      <c r="A19574" s="2" t="str">
        <f t="shared" si="695"/>
        <v>47900</v>
      </c>
      <c r="B19574" s="2" t="str">
        <f>"22135"</f>
        <v>22135</v>
      </c>
      <c r="C19574" s="1">
        <v>0</v>
      </c>
      <c r="D19574" s="1">
        <v>1.24974484376106E-5</v>
      </c>
      <c r="E19574" s="1">
        <v>0</v>
      </c>
      <c r="F19574" s="1">
        <v>9.7071639840918897E-7</v>
      </c>
    </row>
    <row r="19575" spans="1:6" x14ac:dyDescent="0.25">
      <c r="A19575" s="2" t="str">
        <f t="shared" si="695"/>
        <v>47900</v>
      </c>
      <c r="B19575" s="2" t="str">
        <f>"22108"</f>
        <v>22108</v>
      </c>
      <c r="C19575" s="1">
        <v>0</v>
      </c>
      <c r="D19575" s="1">
        <v>8.33163229174043E-6</v>
      </c>
      <c r="E19575" s="1">
        <v>0</v>
      </c>
      <c r="F19575" s="1">
        <v>6.4714426560612595E-7</v>
      </c>
    </row>
    <row r="19576" spans="1:6" x14ac:dyDescent="0.25">
      <c r="A19576" s="2" t="str">
        <f t="shared" si="695"/>
        <v>47900</v>
      </c>
      <c r="B19576" s="2" t="str">
        <f>"22185"</f>
        <v>22185</v>
      </c>
      <c r="C19576" s="1">
        <v>0</v>
      </c>
      <c r="D19576" s="1">
        <v>4.1658161458702099E-6</v>
      </c>
      <c r="E19576" s="1">
        <v>0</v>
      </c>
      <c r="F19576" s="1">
        <v>3.2357213280306297E-7</v>
      </c>
    </row>
    <row r="19577" spans="1:6" x14ac:dyDescent="0.25">
      <c r="A19577" s="2" t="str">
        <f t="shared" si="695"/>
        <v>47900</v>
      </c>
      <c r="B19577" s="2" t="str">
        <f>"22158"</f>
        <v>22158</v>
      </c>
      <c r="C19577" s="1">
        <v>0</v>
      </c>
      <c r="D19577" s="1">
        <v>4.1658161458702099E-6</v>
      </c>
      <c r="E19577" s="1">
        <v>0</v>
      </c>
      <c r="F19577" s="1">
        <v>3.2357213280306297E-7</v>
      </c>
    </row>
    <row r="19578" spans="1:6" x14ac:dyDescent="0.25">
      <c r="A19578" s="2" t="str">
        <f t="shared" si="695"/>
        <v>47900</v>
      </c>
      <c r="B19578" s="2" t="str">
        <f>"22081"</f>
        <v>22081</v>
      </c>
      <c r="C19578" s="1">
        <v>0</v>
      </c>
      <c r="D19578" s="1">
        <v>4.1658161458702099E-6</v>
      </c>
      <c r="E19578" s="1">
        <v>2.6349940383259799E-5</v>
      </c>
      <c r="F19578" s="1">
        <v>1.6178606640153099E-6</v>
      </c>
    </row>
    <row r="19579" spans="1:6" x14ac:dyDescent="0.25">
      <c r="A19579" s="2" t="str">
        <f t="shared" si="695"/>
        <v>47900</v>
      </c>
      <c r="B19579" s="2" t="str">
        <f>"22067"</f>
        <v>22067</v>
      </c>
      <c r="C19579" s="1">
        <v>0</v>
      </c>
      <c r="D19579" s="1">
        <v>4.1658161458702099E-6</v>
      </c>
      <c r="E19579" s="1">
        <v>6.5874850958149701E-6</v>
      </c>
      <c r="F19579" s="1">
        <v>6.4714426560612595E-7</v>
      </c>
    </row>
    <row r="19580" spans="1:6" x14ac:dyDescent="0.25">
      <c r="A19580" s="2" t="str">
        <f t="shared" si="695"/>
        <v>47900</v>
      </c>
      <c r="B19580" s="2" t="str">
        <f>"22042"</f>
        <v>22042</v>
      </c>
      <c r="C19580" s="1">
        <v>4.8053674264418901E-3</v>
      </c>
      <c r="D19580" s="1">
        <v>4.0408416614941102E-3</v>
      </c>
      <c r="E19580" s="1">
        <v>5.25022562136453E-3</v>
      </c>
      <c r="F19580" s="1">
        <v>4.7678353768531301E-3</v>
      </c>
    </row>
    <row r="19581" spans="1:6" x14ac:dyDescent="0.25">
      <c r="A19581" s="2" t="str">
        <f t="shared" si="695"/>
        <v>47900</v>
      </c>
      <c r="B19581" s="2" t="str">
        <f>"21774"</f>
        <v>21774</v>
      </c>
      <c r="C19581" s="1">
        <v>2.0706657294075601E-3</v>
      </c>
      <c r="D19581" s="1">
        <v>1.03312240417581E-3</v>
      </c>
      <c r="E19581" s="1">
        <v>6.5874850958149702E-5</v>
      </c>
      <c r="F19581" s="1">
        <v>1.8916026883667001E-3</v>
      </c>
    </row>
    <row r="19582" spans="1:6" x14ac:dyDescent="0.25">
      <c r="A19582" s="2" t="str">
        <f t="shared" si="695"/>
        <v>47900</v>
      </c>
      <c r="B19582" s="2" t="str">
        <f>"21714"</f>
        <v>21714</v>
      </c>
      <c r="C19582" s="1">
        <v>2.1825735766303799E-4</v>
      </c>
      <c r="D19582" s="1">
        <v>2.4161733646047199E-4</v>
      </c>
      <c r="E19582" s="1">
        <v>1.3174970191629899E-5</v>
      </c>
      <c r="F19582" s="1">
        <v>2.0999831418918799E-4</v>
      </c>
    </row>
    <row r="19583" spans="1:6" x14ac:dyDescent="0.25">
      <c r="A19583" s="2" t="str">
        <f t="shared" si="695"/>
        <v>47900</v>
      </c>
      <c r="B19583" s="2" t="str">
        <f>"21705"</f>
        <v>21705</v>
      </c>
      <c r="C19583" s="1">
        <v>4.0168247148851099E-4</v>
      </c>
      <c r="D19583" s="1">
        <v>2.5036555036680001E-3</v>
      </c>
      <c r="E19583" s="1">
        <v>1.3174970191629899E-5</v>
      </c>
      <c r="F19583" s="1">
        <v>5.4586618803876695E-4</v>
      </c>
    </row>
    <row r="19584" spans="1:6" x14ac:dyDescent="0.25">
      <c r="A19584" s="2" t="str">
        <f t="shared" si="695"/>
        <v>47900</v>
      </c>
      <c r="B19584" s="2" t="str">
        <f>"21716"</f>
        <v>21716</v>
      </c>
      <c r="C19584" s="1">
        <v>1.0560839886921099E-3</v>
      </c>
      <c r="D19584" s="1">
        <v>6.2903823802640203E-4</v>
      </c>
      <c r="E19584" s="1">
        <v>7.50973300922906E-4</v>
      </c>
      <c r="F19584" s="1">
        <v>1.00792719368154E-3</v>
      </c>
    </row>
    <row r="19585" spans="1:6" x14ac:dyDescent="0.25">
      <c r="A19585" s="2" t="str">
        <f t="shared" si="695"/>
        <v>47900</v>
      </c>
      <c r="B19585" s="2" t="str">
        <f>"21710"</f>
        <v>21710</v>
      </c>
      <c r="C19585" s="1">
        <v>6.4291428785292104E-4</v>
      </c>
      <c r="D19585" s="1">
        <v>1.1247703593849501E-4</v>
      </c>
      <c r="E19585" s="1">
        <v>1.3174970191629899E-5</v>
      </c>
      <c r="F19585" s="1">
        <v>5.7078124226460304E-4</v>
      </c>
    </row>
    <row r="19586" spans="1:6" x14ac:dyDescent="0.25">
      <c r="A19586" s="2" t="str">
        <f t="shared" si="695"/>
        <v>47900</v>
      </c>
      <c r="B19586" s="2" t="str">
        <f>"21704"</f>
        <v>21704</v>
      </c>
      <c r="C19586" s="1">
        <v>2.30448643006185E-3</v>
      </c>
      <c r="D19586" s="1">
        <v>6.25289003495119E-3</v>
      </c>
      <c r="E19586" s="1">
        <v>1.7259210951035199E-3</v>
      </c>
      <c r="F19586" s="1">
        <v>2.5827527640340498E-3</v>
      </c>
    </row>
    <row r="19587" spans="1:6" x14ac:dyDescent="0.25">
      <c r="A19587" s="2" t="str">
        <f t="shared" si="695"/>
        <v>47900</v>
      </c>
      <c r="B19587" s="2" t="str">
        <f>"20911"</f>
        <v>20911</v>
      </c>
      <c r="C19587" s="1">
        <v>1.4674009106037801E-4</v>
      </c>
      <c r="D19587" s="1">
        <v>1.5413519739719799E-4</v>
      </c>
      <c r="E19587" s="1">
        <v>2.6349940383259799E-5</v>
      </c>
      <c r="F19587" s="1">
        <v>1.4140102203493801E-4</v>
      </c>
    </row>
    <row r="19588" spans="1:6" x14ac:dyDescent="0.25">
      <c r="A19588" s="2" t="str">
        <f t="shared" si="695"/>
        <v>47900</v>
      </c>
      <c r="B19588" s="2" t="str">
        <f>"20824"</f>
        <v>20824</v>
      </c>
      <c r="C19588" s="1">
        <v>2.6605905399331201E-4</v>
      </c>
      <c r="D19588" s="1">
        <v>1.0581173010510299E-3</v>
      </c>
      <c r="E19588" s="1">
        <v>1.3174970191629899E-5</v>
      </c>
      <c r="F19588" s="1">
        <v>3.1515925735018302E-4</v>
      </c>
    </row>
    <row r="19589" spans="1:6" x14ac:dyDescent="0.25">
      <c r="A19589" s="2" t="str">
        <f t="shared" si="695"/>
        <v>47900</v>
      </c>
      <c r="B19589" s="2" t="str">
        <f>"20783"</f>
        <v>20783</v>
      </c>
      <c r="C19589" s="1">
        <v>5.1696237635942997E-3</v>
      </c>
      <c r="D19589" s="1">
        <v>3.1743519031530998E-3</v>
      </c>
      <c r="E19589" s="1">
        <v>9.4728035677819206E-3</v>
      </c>
      <c r="F19589" s="1">
        <v>5.22601351690227E-3</v>
      </c>
    </row>
    <row r="19590" spans="1:6" x14ac:dyDescent="0.25">
      <c r="A19590" s="2" t="str">
        <f t="shared" si="695"/>
        <v>47900</v>
      </c>
      <c r="B19590" s="2" t="str">
        <f>"20902"</f>
        <v>20902</v>
      </c>
      <c r="C19590" s="1">
        <v>6.9319870794608699E-3</v>
      </c>
      <c r="D19590" s="1">
        <v>5.4155609896312804E-3</v>
      </c>
      <c r="E19590" s="1">
        <v>5.2238756809812699E-3</v>
      </c>
      <c r="F19590" s="1">
        <v>6.7303003623037103E-3</v>
      </c>
    </row>
    <row r="19591" spans="1:6" x14ac:dyDescent="0.25">
      <c r="A19591" s="2" t="str">
        <f t="shared" ref="A19591:A19654" si="696">"47900"</f>
        <v>47900</v>
      </c>
      <c r="B19591" s="2" t="str">
        <f>"20895"</f>
        <v>20895</v>
      </c>
      <c r="C19591" s="1">
        <v>2.91849736664531E-3</v>
      </c>
      <c r="D19591" s="1">
        <v>4.7323671417085602E-3</v>
      </c>
      <c r="E19591" s="1">
        <v>1.89719570759471E-3</v>
      </c>
      <c r="F19591" s="1">
        <v>3.00922083506848E-3</v>
      </c>
    </row>
    <row r="19592" spans="1:6" x14ac:dyDescent="0.25">
      <c r="A19592" s="2" t="str">
        <f t="shared" si="696"/>
        <v>47900</v>
      </c>
      <c r="B19592" s="2" t="str">
        <f>"20891"</f>
        <v>20891</v>
      </c>
      <c r="C19592" s="1">
        <v>7.5963936028731403E-5</v>
      </c>
      <c r="D19592" s="1">
        <v>1.5830101354306799E-4</v>
      </c>
      <c r="E19592" s="1">
        <v>1.3174970191629899E-5</v>
      </c>
      <c r="F19592" s="1">
        <v>7.9275172536750501E-5</v>
      </c>
    </row>
    <row r="19593" spans="1:6" x14ac:dyDescent="0.25">
      <c r="A19593" s="2" t="str">
        <f t="shared" si="696"/>
        <v>47900</v>
      </c>
      <c r="B19593" s="2" t="str">
        <f>"20853"</f>
        <v>20853</v>
      </c>
      <c r="C19593" s="1">
        <v>3.7159334170542299E-3</v>
      </c>
      <c r="D19593" s="1">
        <v>4.45742327608113E-4</v>
      </c>
      <c r="E19593" s="1">
        <v>1.1593973768634299E-3</v>
      </c>
      <c r="F19593" s="1">
        <v>3.3363522613323801E-3</v>
      </c>
    </row>
    <row r="19594" spans="1:6" x14ac:dyDescent="0.25">
      <c r="A19594" s="2" t="str">
        <f t="shared" si="696"/>
        <v>47900</v>
      </c>
      <c r="B19594" s="2" t="str">
        <f>"20770"</f>
        <v>20770</v>
      </c>
      <c r="C19594" s="1">
        <v>4.7101345895668497E-3</v>
      </c>
      <c r="D19594" s="1">
        <v>5.2780890568175599E-3</v>
      </c>
      <c r="E19594" s="1">
        <v>1.29839331238513E-2</v>
      </c>
      <c r="F19594" s="1">
        <v>5.1606519460760496E-3</v>
      </c>
    </row>
    <row r="19595" spans="1:6" x14ac:dyDescent="0.25">
      <c r="A19595" s="2" t="str">
        <f t="shared" si="696"/>
        <v>47900</v>
      </c>
      <c r="B19595" s="2" t="str">
        <f>"20848"</f>
        <v>20848</v>
      </c>
      <c r="C19595" s="1">
        <v>3.0237352097290098E-4</v>
      </c>
      <c r="D19595" s="1">
        <v>7.6651017084012002E-4</v>
      </c>
      <c r="E19595" s="1">
        <v>1.3174970191629899E-5</v>
      </c>
      <c r="F19595" s="1">
        <v>3.24219277068669E-4</v>
      </c>
    </row>
    <row r="19596" spans="1:6" x14ac:dyDescent="0.25">
      <c r="A19596" s="2" t="str">
        <f t="shared" si="696"/>
        <v>47900</v>
      </c>
      <c r="B19596" s="2" t="str">
        <f>"20833"</f>
        <v>20833</v>
      </c>
      <c r="C19596" s="1">
        <v>9.6640948859966496E-4</v>
      </c>
      <c r="D19596" s="1">
        <v>1.04145403646755E-4</v>
      </c>
      <c r="E19596" s="1">
        <v>1.18574731724669E-4</v>
      </c>
      <c r="F19596" s="1">
        <v>8.5778972406092002E-4</v>
      </c>
    </row>
    <row r="19597" spans="1:6" x14ac:dyDescent="0.25">
      <c r="A19597" s="2" t="str">
        <f t="shared" si="696"/>
        <v>47900</v>
      </c>
      <c r="B19597" s="2" t="str">
        <f>"20753"</f>
        <v>20753</v>
      </c>
      <c r="C19597" s="1">
        <v>4.7171751494914601E-4</v>
      </c>
      <c r="D19597" s="1">
        <v>8.7898720677861595E-4</v>
      </c>
      <c r="E19597" s="1">
        <v>1.3174970191629899E-5</v>
      </c>
      <c r="F19597" s="1">
        <v>4.8082818934535199E-4</v>
      </c>
    </row>
    <row r="19598" spans="1:6" x14ac:dyDescent="0.25">
      <c r="A19598" s="2" t="str">
        <f t="shared" si="696"/>
        <v>47900</v>
      </c>
      <c r="B19598" s="2" t="str">
        <f>"20752"</f>
        <v>20752</v>
      </c>
      <c r="C19598" s="1">
        <v>3.3794687638147801E-4</v>
      </c>
      <c r="D19598" s="1">
        <v>2.7494386562743398E-4</v>
      </c>
      <c r="E19598" s="1">
        <v>1.3174970191629899E-5</v>
      </c>
      <c r="F19598" s="1">
        <v>3.17100690147002E-4</v>
      </c>
    </row>
    <row r="19599" spans="1:6" x14ac:dyDescent="0.25">
      <c r="A19599" s="2" t="str">
        <f t="shared" si="696"/>
        <v>47900</v>
      </c>
      <c r="B19599" s="2" t="str">
        <f>"20659"</f>
        <v>20659</v>
      </c>
      <c r="C19599" s="1">
        <v>4.1131692191166699E-5</v>
      </c>
      <c r="D19599" s="1">
        <v>1.24974484376106E-5</v>
      </c>
      <c r="E19599" s="1">
        <v>0</v>
      </c>
      <c r="F19599" s="1">
        <v>3.6887223139549198E-5</v>
      </c>
    </row>
    <row r="19600" spans="1:6" x14ac:dyDescent="0.25">
      <c r="A19600" s="2" t="str">
        <f t="shared" si="696"/>
        <v>47900</v>
      </c>
      <c r="B19600" s="2" t="str">
        <f>"20677"</f>
        <v>20677</v>
      </c>
      <c r="C19600" s="1">
        <v>3.3868798795249E-4</v>
      </c>
      <c r="D19600" s="1">
        <v>6.6653058333923399E-5</v>
      </c>
      <c r="E19600" s="1">
        <v>2.6349940383259799E-5</v>
      </c>
      <c r="F19600" s="1">
        <v>3.0221637203806101E-4</v>
      </c>
    </row>
    <row r="19601" spans="1:6" x14ac:dyDescent="0.25">
      <c r="A19601" s="2" t="str">
        <f t="shared" si="696"/>
        <v>47900</v>
      </c>
      <c r="B19601" s="2" t="str">
        <f>"20675"</f>
        <v>20675</v>
      </c>
      <c r="C19601" s="1">
        <v>2.3456181222530201E-4</v>
      </c>
      <c r="D19601" s="1">
        <v>2.9160713021091499E-5</v>
      </c>
      <c r="E19601" s="1">
        <v>6.5874850958149701E-6</v>
      </c>
      <c r="F19601" s="1">
        <v>2.0740973712676301E-4</v>
      </c>
    </row>
    <row r="19602" spans="1:6" x14ac:dyDescent="0.25">
      <c r="A19602" s="2" t="str">
        <f t="shared" si="696"/>
        <v>47900</v>
      </c>
      <c r="B19602" s="2" t="str">
        <f>"20391"</f>
        <v>20391</v>
      </c>
      <c r="C19602" s="1">
        <v>0</v>
      </c>
      <c r="D19602" s="1">
        <v>4.1658161458702099E-6</v>
      </c>
      <c r="E19602" s="1">
        <v>6.5874850958149701E-6</v>
      </c>
      <c r="F19602" s="1">
        <v>6.4714426560612595E-7</v>
      </c>
    </row>
    <row r="19603" spans="1:6" x14ac:dyDescent="0.25">
      <c r="A19603" s="2" t="str">
        <f t="shared" si="696"/>
        <v>47900</v>
      </c>
      <c r="B19603" s="2" t="str">
        <f>"20531"</f>
        <v>20531</v>
      </c>
      <c r="C19603" s="1">
        <v>0</v>
      </c>
      <c r="D19603" s="1">
        <v>4.1658161458702099E-6</v>
      </c>
      <c r="E19603" s="1">
        <v>0</v>
      </c>
      <c r="F19603" s="1">
        <v>3.2357213280306297E-7</v>
      </c>
    </row>
    <row r="19604" spans="1:6" x14ac:dyDescent="0.25">
      <c r="A19604" s="2" t="str">
        <f t="shared" si="696"/>
        <v>47900</v>
      </c>
      <c r="B19604" s="2" t="str">
        <f>"20554"</f>
        <v>20554</v>
      </c>
      <c r="C19604" s="1">
        <v>0</v>
      </c>
      <c r="D19604" s="1">
        <v>4.1658161458702099E-6</v>
      </c>
      <c r="E19604" s="1">
        <v>0</v>
      </c>
      <c r="F19604" s="1">
        <v>3.2357213280306297E-7</v>
      </c>
    </row>
    <row r="19605" spans="1:6" x14ac:dyDescent="0.25">
      <c r="A19605" s="2" t="str">
        <f t="shared" si="696"/>
        <v>47900</v>
      </c>
      <c r="B19605" s="2" t="str">
        <f>"20456"</f>
        <v>20456</v>
      </c>
      <c r="C19605" s="1">
        <v>0</v>
      </c>
      <c r="D19605" s="1">
        <v>4.1658161458702099E-6</v>
      </c>
      <c r="E19605" s="1">
        <v>0</v>
      </c>
      <c r="F19605" s="1">
        <v>3.2357213280306297E-7</v>
      </c>
    </row>
    <row r="19606" spans="1:6" x14ac:dyDescent="0.25">
      <c r="A19606" s="2" t="str">
        <f t="shared" si="696"/>
        <v>47900</v>
      </c>
      <c r="B19606" s="2" t="str">
        <f>"20447"</f>
        <v>20447</v>
      </c>
      <c r="C19606" s="1">
        <v>0</v>
      </c>
      <c r="D19606" s="1">
        <v>4.1658161458702099E-6</v>
      </c>
      <c r="E19606" s="1">
        <v>0</v>
      </c>
      <c r="F19606" s="1">
        <v>3.2357213280306297E-7</v>
      </c>
    </row>
    <row r="19607" spans="1:6" x14ac:dyDescent="0.25">
      <c r="A19607" s="2" t="str">
        <f t="shared" si="696"/>
        <v>47900</v>
      </c>
      <c r="B19607" s="2" t="str">
        <f>"20441"</f>
        <v>20441</v>
      </c>
      <c r="C19607" s="1">
        <v>0</v>
      </c>
      <c r="D19607" s="1">
        <v>4.1658161458702099E-6</v>
      </c>
      <c r="E19607" s="1">
        <v>0</v>
      </c>
      <c r="F19607" s="1">
        <v>3.2357213280306297E-7</v>
      </c>
    </row>
    <row r="19608" spans="1:6" x14ac:dyDescent="0.25">
      <c r="A19608" s="2" t="str">
        <f t="shared" si="696"/>
        <v>47900</v>
      </c>
      <c r="B19608" s="2" t="str">
        <f>"20439"</f>
        <v>20439</v>
      </c>
      <c r="C19608" s="1">
        <v>0</v>
      </c>
      <c r="D19608" s="1">
        <v>4.1658161458702099E-6</v>
      </c>
      <c r="E19608" s="1">
        <v>0</v>
      </c>
      <c r="F19608" s="1">
        <v>3.2357213280306297E-7</v>
      </c>
    </row>
    <row r="19609" spans="1:6" x14ac:dyDescent="0.25">
      <c r="A19609" s="2" t="str">
        <f t="shared" si="696"/>
        <v>47900</v>
      </c>
      <c r="B19609" s="2" t="str">
        <f>"20436"</f>
        <v>20436</v>
      </c>
      <c r="C19609" s="1">
        <v>0</v>
      </c>
      <c r="D19609" s="1">
        <v>8.33163229174043E-6</v>
      </c>
      <c r="E19609" s="1">
        <v>0</v>
      </c>
      <c r="F19609" s="1">
        <v>6.4714426560612595E-7</v>
      </c>
    </row>
    <row r="19610" spans="1:6" x14ac:dyDescent="0.25">
      <c r="A19610" s="2" t="str">
        <f t="shared" si="696"/>
        <v>47900</v>
      </c>
      <c r="B19610" s="2" t="str">
        <f>"20434"</f>
        <v>20434</v>
      </c>
      <c r="C19610" s="1">
        <v>0</v>
      </c>
      <c r="D19610" s="1">
        <v>4.1658161458702099E-6</v>
      </c>
      <c r="E19610" s="1">
        <v>0</v>
      </c>
      <c r="F19610" s="1">
        <v>3.2357213280306297E-7</v>
      </c>
    </row>
    <row r="19611" spans="1:6" x14ac:dyDescent="0.25">
      <c r="A19611" s="2" t="str">
        <f t="shared" si="696"/>
        <v>47900</v>
      </c>
      <c r="B19611" s="2" t="str">
        <f>"20547"</f>
        <v>20547</v>
      </c>
      <c r="C19611" s="1">
        <v>0</v>
      </c>
      <c r="D19611" s="1">
        <v>4.1658161458702099E-6</v>
      </c>
      <c r="E19611" s="1">
        <v>0</v>
      </c>
      <c r="F19611" s="1">
        <v>3.2357213280306297E-7</v>
      </c>
    </row>
    <row r="19612" spans="1:6" x14ac:dyDescent="0.25">
      <c r="A19612" s="2" t="str">
        <f t="shared" si="696"/>
        <v>47900</v>
      </c>
      <c r="B19612" s="2" t="str">
        <f>"20543"</f>
        <v>20543</v>
      </c>
      <c r="C19612" s="1">
        <v>0</v>
      </c>
      <c r="D19612" s="1">
        <v>4.1658161458702099E-6</v>
      </c>
      <c r="E19612" s="1">
        <v>0</v>
      </c>
      <c r="F19612" s="1">
        <v>3.2357213280306297E-7</v>
      </c>
    </row>
    <row r="19613" spans="1:6" x14ac:dyDescent="0.25">
      <c r="A19613" s="2" t="str">
        <f t="shared" si="696"/>
        <v>47900</v>
      </c>
      <c r="B19613" s="2" t="str">
        <f>"20433"</f>
        <v>20433</v>
      </c>
      <c r="C19613" s="1">
        <v>0</v>
      </c>
      <c r="D19613" s="1">
        <v>1.6663264583480799E-5</v>
      </c>
      <c r="E19613" s="1">
        <v>0</v>
      </c>
      <c r="F19613" s="1">
        <v>1.29428853121225E-6</v>
      </c>
    </row>
    <row r="19614" spans="1:6" x14ac:dyDescent="0.25">
      <c r="A19614" s="2" t="str">
        <f t="shared" si="696"/>
        <v>47900</v>
      </c>
      <c r="B19614" s="2" t="str">
        <f>"20429"</f>
        <v>20429</v>
      </c>
      <c r="C19614" s="1">
        <v>0</v>
      </c>
      <c r="D19614" s="1">
        <v>4.1658161458702099E-6</v>
      </c>
      <c r="E19614" s="1">
        <v>0</v>
      </c>
      <c r="F19614" s="1">
        <v>3.2357213280306297E-7</v>
      </c>
    </row>
    <row r="19615" spans="1:6" x14ac:dyDescent="0.25">
      <c r="A19615" s="2" t="str">
        <f t="shared" si="696"/>
        <v>47900</v>
      </c>
      <c r="B19615" s="2" t="str">
        <f>"20585"</f>
        <v>20585</v>
      </c>
      <c r="C19615" s="1">
        <v>0</v>
      </c>
      <c r="D19615" s="1">
        <v>4.1658161458702099E-6</v>
      </c>
      <c r="E19615" s="1">
        <v>0</v>
      </c>
      <c r="F19615" s="1">
        <v>3.2357213280306297E-7</v>
      </c>
    </row>
    <row r="19616" spans="1:6" x14ac:dyDescent="0.25">
      <c r="A19616" s="2" t="str">
        <f t="shared" si="696"/>
        <v>47900</v>
      </c>
      <c r="B19616" s="2" t="str">
        <f>"20577"</f>
        <v>20577</v>
      </c>
      <c r="C19616" s="1">
        <v>0</v>
      </c>
      <c r="D19616" s="1">
        <v>1.24974484376106E-5</v>
      </c>
      <c r="E19616" s="1">
        <v>0</v>
      </c>
      <c r="F19616" s="1">
        <v>9.7071639840918897E-7</v>
      </c>
    </row>
    <row r="19617" spans="1:6" x14ac:dyDescent="0.25">
      <c r="A19617" s="2" t="str">
        <f t="shared" si="696"/>
        <v>47900</v>
      </c>
      <c r="B19617" s="2" t="str">
        <f>"20576"</f>
        <v>20576</v>
      </c>
      <c r="C19617" s="1">
        <v>0</v>
      </c>
      <c r="D19617" s="1">
        <v>4.1658161458702099E-6</v>
      </c>
      <c r="E19617" s="1">
        <v>0</v>
      </c>
      <c r="F19617" s="1">
        <v>3.2357213280306297E-7</v>
      </c>
    </row>
    <row r="19618" spans="1:6" x14ac:dyDescent="0.25">
      <c r="A19618" s="2" t="str">
        <f t="shared" si="696"/>
        <v>47900</v>
      </c>
      <c r="B19618" s="2" t="str">
        <f>"20573"</f>
        <v>20573</v>
      </c>
      <c r="C19618" s="1">
        <v>0</v>
      </c>
      <c r="D19618" s="1">
        <v>4.1658161458702099E-6</v>
      </c>
      <c r="E19618" s="1">
        <v>0</v>
      </c>
      <c r="F19618" s="1">
        <v>3.2357213280306297E-7</v>
      </c>
    </row>
    <row r="19619" spans="1:6" x14ac:dyDescent="0.25">
      <c r="A19619" s="2" t="str">
        <f t="shared" si="696"/>
        <v>47900</v>
      </c>
      <c r="B19619" s="2" t="str">
        <f>"20572"</f>
        <v>20572</v>
      </c>
      <c r="C19619" s="1">
        <v>0</v>
      </c>
      <c r="D19619" s="1">
        <v>4.1658161458702099E-6</v>
      </c>
      <c r="E19619" s="1">
        <v>0</v>
      </c>
      <c r="F19619" s="1">
        <v>3.2357213280306297E-7</v>
      </c>
    </row>
    <row r="19620" spans="1:6" x14ac:dyDescent="0.25">
      <c r="A19620" s="2" t="str">
        <f t="shared" si="696"/>
        <v>47900</v>
      </c>
      <c r="B19620" s="2" t="str">
        <f>"20571"</f>
        <v>20571</v>
      </c>
      <c r="C19620" s="1">
        <v>0</v>
      </c>
      <c r="D19620" s="1">
        <v>4.1658161458702099E-6</v>
      </c>
      <c r="E19620" s="1">
        <v>0</v>
      </c>
      <c r="F19620" s="1">
        <v>3.2357213280306297E-7</v>
      </c>
    </row>
    <row r="19621" spans="1:6" x14ac:dyDescent="0.25">
      <c r="A19621" s="2" t="str">
        <f t="shared" si="696"/>
        <v>47900</v>
      </c>
      <c r="B19621" s="2" t="str">
        <f>"20604"</f>
        <v>20604</v>
      </c>
      <c r="C19621" s="1">
        <v>5.6769146339520204E-4</v>
      </c>
      <c r="D19621" s="1">
        <v>2.1453953151231598E-3</v>
      </c>
      <c r="E19621" s="1">
        <v>1.3174970191629899E-5</v>
      </c>
      <c r="F19621" s="1">
        <v>6.6299930011347601E-4</v>
      </c>
    </row>
    <row r="19622" spans="1:6" x14ac:dyDescent="0.25">
      <c r="A19622" s="2" t="str">
        <f t="shared" si="696"/>
        <v>47900</v>
      </c>
      <c r="B19622" s="2" t="str">
        <f>"20504"</f>
        <v>20504</v>
      </c>
      <c r="C19622" s="1">
        <v>0</v>
      </c>
      <c r="D19622" s="1">
        <v>4.1658161458702099E-6</v>
      </c>
      <c r="E19622" s="1">
        <v>0</v>
      </c>
      <c r="F19622" s="1">
        <v>3.2357213280306297E-7</v>
      </c>
    </row>
    <row r="19623" spans="1:6" x14ac:dyDescent="0.25">
      <c r="A19623" s="2" t="str">
        <f t="shared" si="696"/>
        <v>47900</v>
      </c>
      <c r="B19623" s="2" t="str">
        <f>"20406"</f>
        <v>20406</v>
      </c>
      <c r="C19623" s="1">
        <v>0</v>
      </c>
      <c r="D19623" s="1">
        <v>4.1658161458702099E-6</v>
      </c>
      <c r="E19623" s="1">
        <v>0</v>
      </c>
      <c r="F19623" s="1">
        <v>3.2357213280306297E-7</v>
      </c>
    </row>
    <row r="19624" spans="1:6" x14ac:dyDescent="0.25">
      <c r="A19624" s="2" t="str">
        <f t="shared" si="696"/>
        <v>47900</v>
      </c>
      <c r="B19624" s="2" t="str">
        <f>"20693"</f>
        <v>20693</v>
      </c>
      <c r="C19624" s="1">
        <v>1.5044564891543801E-4</v>
      </c>
      <c r="D19624" s="1">
        <v>2.4994896875221298E-5</v>
      </c>
      <c r="E19624" s="1">
        <v>1.3174970191629899E-5</v>
      </c>
      <c r="F19624" s="1">
        <v>1.33958862980468E-4</v>
      </c>
    </row>
    <row r="19625" spans="1:6" x14ac:dyDescent="0.25">
      <c r="A19625" s="2" t="str">
        <f t="shared" si="696"/>
        <v>47900</v>
      </c>
      <c r="B19625" s="2" t="str">
        <f>"20685"</f>
        <v>20685</v>
      </c>
      <c r="C19625" s="1">
        <v>9.74932271666304E-4</v>
      </c>
      <c r="D19625" s="1">
        <v>1.2914030052197601E-4</v>
      </c>
      <c r="E19625" s="1">
        <v>2.1079952306607899E-4</v>
      </c>
      <c r="F19625" s="1">
        <v>8.7170332577145195E-4</v>
      </c>
    </row>
    <row r="19626" spans="1:6" x14ac:dyDescent="0.25">
      <c r="A19626" s="2" t="str">
        <f t="shared" si="696"/>
        <v>47900</v>
      </c>
      <c r="B19626" s="2" t="str">
        <f>"20201"</f>
        <v>20201</v>
      </c>
      <c r="C19626" s="1">
        <v>0</v>
      </c>
      <c r="D19626" s="1">
        <v>1.6663264583480799E-5</v>
      </c>
      <c r="E19626" s="1">
        <v>0</v>
      </c>
      <c r="F19626" s="1">
        <v>1.29428853121225E-6</v>
      </c>
    </row>
    <row r="19627" spans="1:6" x14ac:dyDescent="0.25">
      <c r="A19627" s="2" t="str">
        <f t="shared" si="696"/>
        <v>47900</v>
      </c>
      <c r="B19627" s="2" t="str">
        <f>"20227"</f>
        <v>20227</v>
      </c>
      <c r="C19627" s="1">
        <v>0</v>
      </c>
      <c r="D19627" s="1">
        <v>1.24974484376106E-5</v>
      </c>
      <c r="E19627" s="1">
        <v>0</v>
      </c>
      <c r="F19627" s="1">
        <v>9.7071639840918897E-7</v>
      </c>
    </row>
    <row r="19628" spans="1:6" x14ac:dyDescent="0.25">
      <c r="A19628" s="2" t="str">
        <f t="shared" si="696"/>
        <v>47900</v>
      </c>
      <c r="B19628" s="2" t="str">
        <f>"20260"</f>
        <v>20260</v>
      </c>
      <c r="C19628" s="1">
        <v>0</v>
      </c>
      <c r="D19628" s="1">
        <v>2.4994896875221298E-5</v>
      </c>
      <c r="E19628" s="1">
        <v>3.2937425479074797E-5</v>
      </c>
      <c r="F19628" s="1">
        <v>3.55929346083369E-6</v>
      </c>
    </row>
    <row r="19629" spans="1:6" x14ac:dyDescent="0.25">
      <c r="A19629" s="2" t="str">
        <f t="shared" si="696"/>
        <v>47900</v>
      </c>
      <c r="B19629" s="2" t="str">
        <f>"20254"</f>
        <v>20254</v>
      </c>
      <c r="C19629" s="1">
        <v>0</v>
      </c>
      <c r="D19629" s="1">
        <v>1.24974484376106E-5</v>
      </c>
      <c r="E19629" s="1">
        <v>0</v>
      </c>
      <c r="F19629" s="1">
        <v>9.7071639840918897E-7</v>
      </c>
    </row>
    <row r="19630" spans="1:6" x14ac:dyDescent="0.25">
      <c r="A19630" s="2" t="str">
        <f t="shared" si="696"/>
        <v>47900</v>
      </c>
      <c r="B19630" s="2" t="str">
        <f>"20233"</f>
        <v>20233</v>
      </c>
      <c r="C19630" s="1">
        <v>0</v>
      </c>
      <c r="D19630" s="1">
        <v>4.1658161458702099E-6</v>
      </c>
      <c r="E19630" s="1">
        <v>7.0486090525220097E-4</v>
      </c>
      <c r="F19630" s="1">
        <v>3.4945790342730801E-5</v>
      </c>
    </row>
    <row r="19631" spans="1:6" x14ac:dyDescent="0.25">
      <c r="A19631" s="2" t="str">
        <f t="shared" si="696"/>
        <v>47900</v>
      </c>
      <c r="B19631" s="2" t="str">
        <f>"20202"</f>
        <v>20202</v>
      </c>
      <c r="C19631" s="1">
        <v>0</v>
      </c>
      <c r="D19631" s="1">
        <v>8.3316322917404296E-5</v>
      </c>
      <c r="E19631" s="1">
        <v>6.5874850958149701E-6</v>
      </c>
      <c r="F19631" s="1">
        <v>6.7950147888643201E-6</v>
      </c>
    </row>
    <row r="19632" spans="1:6" x14ac:dyDescent="0.25">
      <c r="A19632" s="2" t="str">
        <f t="shared" si="696"/>
        <v>47900</v>
      </c>
      <c r="B19632" s="2" t="str">
        <f>"20198"</f>
        <v>20198</v>
      </c>
      <c r="C19632" s="1">
        <v>3.2053075446269498E-4</v>
      </c>
      <c r="D19632" s="1">
        <v>5.8321426042182998E-5</v>
      </c>
      <c r="E19632" s="1">
        <v>7.2462336053964602E-5</v>
      </c>
      <c r="F19632" s="1">
        <v>2.8797919819472599E-4</v>
      </c>
    </row>
    <row r="19633" spans="1:6" x14ac:dyDescent="0.25">
      <c r="A19633" s="2" t="str">
        <f t="shared" si="696"/>
        <v>47900</v>
      </c>
      <c r="B19633" s="2" t="str">
        <f>"20195"</f>
        <v>20195</v>
      </c>
      <c r="C19633" s="1">
        <v>4.9135697158096496E-4</v>
      </c>
      <c r="D19633" s="1">
        <v>1.7163162520985201E-3</v>
      </c>
      <c r="E19633" s="1">
        <v>1.3174970191629899E-5</v>
      </c>
      <c r="F19633" s="1">
        <v>5.6301551107733002E-4</v>
      </c>
    </row>
    <row r="19634" spans="1:6" x14ac:dyDescent="0.25">
      <c r="A19634" s="2" t="str">
        <f t="shared" si="696"/>
        <v>47900</v>
      </c>
      <c r="B19634" s="2" t="str">
        <f>"20191"</f>
        <v>20191</v>
      </c>
      <c r="C19634" s="1">
        <v>4.5274505873123903E-3</v>
      </c>
      <c r="D19634" s="1">
        <v>4.3074538948297998E-3</v>
      </c>
      <c r="E19634" s="1">
        <v>6.7192347977312701E-3</v>
      </c>
      <c r="F19634" s="1">
        <v>4.6180214793653104E-3</v>
      </c>
    </row>
    <row r="19635" spans="1:6" x14ac:dyDescent="0.25">
      <c r="A19635" s="2" t="str">
        <f t="shared" si="696"/>
        <v>47900</v>
      </c>
      <c r="B19635" s="2" t="str">
        <f>"20187"</f>
        <v>20187</v>
      </c>
      <c r="C19635" s="1">
        <v>2.3900848165137401E-3</v>
      </c>
      <c r="D19635" s="1">
        <v>1.2039208661564901E-3</v>
      </c>
      <c r="E19635" s="1">
        <v>3.4254922498237799E-4</v>
      </c>
      <c r="F19635" s="1">
        <v>2.1973783538655998E-3</v>
      </c>
    </row>
    <row r="19636" spans="1:6" x14ac:dyDescent="0.25">
      <c r="A19636" s="2" t="str">
        <f t="shared" si="696"/>
        <v>47900</v>
      </c>
      <c r="B19636" s="2" t="str">
        <f>"20376"</f>
        <v>20376</v>
      </c>
      <c r="C19636" s="1">
        <v>0</v>
      </c>
      <c r="D19636" s="1">
        <v>5.5280380255697701E-3</v>
      </c>
      <c r="E19636" s="1">
        <v>3.2937425479074797E-5</v>
      </c>
      <c r="F19636" s="1">
        <v>4.3099808089367997E-4</v>
      </c>
    </row>
    <row r="19637" spans="1:6" x14ac:dyDescent="0.25">
      <c r="A19637" s="2" t="str">
        <f t="shared" si="696"/>
        <v>47900</v>
      </c>
      <c r="B19637" s="2" t="str">
        <f>"20070"</f>
        <v>20070</v>
      </c>
      <c r="C19637" s="1">
        <v>0</v>
      </c>
      <c r="D19637" s="1">
        <v>4.1658161458702099E-6</v>
      </c>
      <c r="E19637" s="1">
        <v>0</v>
      </c>
      <c r="F19637" s="1">
        <v>3.2357213280306297E-7</v>
      </c>
    </row>
    <row r="19638" spans="1:6" x14ac:dyDescent="0.25">
      <c r="A19638" s="2" t="str">
        <f t="shared" si="696"/>
        <v>47900</v>
      </c>
      <c r="B19638" s="2" t="str">
        <f>"20059"</f>
        <v>20059</v>
      </c>
      <c r="C19638" s="1">
        <v>0</v>
      </c>
      <c r="D19638" s="1">
        <v>1.79130094272419E-4</v>
      </c>
      <c r="E19638" s="1">
        <v>0</v>
      </c>
      <c r="F19638" s="1">
        <v>1.39136017105317E-5</v>
      </c>
    </row>
    <row r="19639" spans="1:6" x14ac:dyDescent="0.25">
      <c r="A19639" s="2" t="str">
        <f t="shared" si="696"/>
        <v>47900</v>
      </c>
      <c r="B19639" s="2" t="str">
        <f>"20111"</f>
        <v>20111</v>
      </c>
      <c r="C19639" s="1">
        <v>4.52522725259935E-3</v>
      </c>
      <c r="D19639" s="1">
        <v>3.2076784323200598E-3</v>
      </c>
      <c r="E19639" s="1">
        <v>2.3978445748766399E-3</v>
      </c>
      <c r="F19639" s="1">
        <v>4.3183936843896797E-3</v>
      </c>
    </row>
    <row r="19640" spans="1:6" x14ac:dyDescent="0.25">
      <c r="A19640" s="2" t="str">
        <f t="shared" si="696"/>
        <v>47900</v>
      </c>
      <c r="B19640" s="2" t="str">
        <f>"20106"</f>
        <v>20106</v>
      </c>
      <c r="C19640" s="1">
        <v>7.3703545737144696E-4</v>
      </c>
      <c r="D19640" s="1">
        <v>7.4984690625663902E-5</v>
      </c>
      <c r="E19640" s="1">
        <v>3.9524910574889798E-5</v>
      </c>
      <c r="F19640" s="1">
        <v>6.5135070333256599E-4</v>
      </c>
    </row>
    <row r="19641" spans="1:6" x14ac:dyDescent="0.25">
      <c r="A19641" s="2" t="str">
        <f t="shared" si="696"/>
        <v>47900</v>
      </c>
      <c r="B19641" s="2" t="str">
        <f>"20043"</f>
        <v>20043</v>
      </c>
      <c r="C19641" s="1">
        <v>1.3673508485171601E-4</v>
      </c>
      <c r="D19641" s="1">
        <v>4.8323467292094502E-4</v>
      </c>
      <c r="E19641" s="1">
        <v>1.3174970191629899E-5</v>
      </c>
      <c r="F19641" s="1">
        <v>1.5757962867509099E-4</v>
      </c>
    </row>
    <row r="19642" spans="1:6" x14ac:dyDescent="0.25">
      <c r="A19642" s="2" t="str">
        <f t="shared" si="696"/>
        <v>47900</v>
      </c>
      <c r="B19642" s="2" t="str">
        <f>"20042"</f>
        <v>20042</v>
      </c>
      <c r="C19642" s="1">
        <v>0</v>
      </c>
      <c r="D19642" s="1">
        <v>4.1658161458702099E-6</v>
      </c>
      <c r="E19642" s="1">
        <v>0</v>
      </c>
      <c r="F19642" s="1">
        <v>3.2357213280306297E-7</v>
      </c>
    </row>
    <row r="19643" spans="1:6" x14ac:dyDescent="0.25">
      <c r="A19643" s="2" t="str">
        <f t="shared" si="696"/>
        <v>47900</v>
      </c>
      <c r="B19643" s="2" t="str">
        <f>"20040"</f>
        <v>20040</v>
      </c>
      <c r="C19643" s="1">
        <v>4.5948917402744799E-4</v>
      </c>
      <c r="D19643" s="1">
        <v>1.01645913959233E-3</v>
      </c>
      <c r="E19643" s="1">
        <v>1.3174970191629899E-5</v>
      </c>
      <c r="F19643" s="1">
        <v>4.8082818934535199E-4</v>
      </c>
    </row>
    <row r="19644" spans="1:6" x14ac:dyDescent="0.25">
      <c r="A19644" s="2" t="str">
        <f t="shared" si="696"/>
        <v>47900</v>
      </c>
      <c r="B19644" s="2" t="str">
        <f>"20181"</f>
        <v>20181</v>
      </c>
      <c r="C19644" s="1">
        <v>1.2302452078799401E-3</v>
      </c>
      <c r="D19644" s="1">
        <v>1.87461726564159E-4</v>
      </c>
      <c r="E19644" s="1">
        <v>1.31749701916299E-4</v>
      </c>
      <c r="F19644" s="1">
        <v>1.0952916695383601E-3</v>
      </c>
    </row>
    <row r="19645" spans="1:6" x14ac:dyDescent="0.25">
      <c r="A19645" s="2" t="str">
        <f t="shared" si="696"/>
        <v>47900</v>
      </c>
      <c r="B19645" s="2" t="str">
        <f>"20176"</f>
        <v>20176</v>
      </c>
      <c r="C19645" s="1">
        <v>6.5106651513405396E-3</v>
      </c>
      <c r="D19645" s="1">
        <v>6.11958391828335E-3</v>
      </c>
      <c r="E19645" s="1">
        <v>4.6244145372620997E-3</v>
      </c>
      <c r="F19645" s="1">
        <v>6.38763747366527E-3</v>
      </c>
    </row>
    <row r="19646" spans="1:6" x14ac:dyDescent="0.25">
      <c r="A19646" s="2" t="str">
        <f t="shared" si="696"/>
        <v>47900</v>
      </c>
      <c r="B19646" s="2" t="str">
        <f>"20172"</f>
        <v>20172</v>
      </c>
      <c r="C19646" s="1">
        <v>5.0914364928525305E-4</v>
      </c>
      <c r="D19646" s="1">
        <v>1.65799482605634E-3</v>
      </c>
      <c r="E19646" s="1">
        <v>6.5874850958149701E-6</v>
      </c>
      <c r="F19646" s="1">
        <v>5.7369339145983103E-4</v>
      </c>
    </row>
    <row r="19647" spans="1:6" x14ac:dyDescent="0.25">
      <c r="A19647" s="2" t="str">
        <f t="shared" si="696"/>
        <v>47900</v>
      </c>
      <c r="B19647" s="2" t="str">
        <f>"20017"</f>
        <v>20017</v>
      </c>
      <c r="C19647" s="1">
        <v>3.4028137783016599E-3</v>
      </c>
      <c r="D19647" s="1">
        <v>2.7327753916908601E-3</v>
      </c>
      <c r="E19647" s="1">
        <v>4.2028154911299496E-3</v>
      </c>
      <c r="F19647" s="1">
        <v>3.3900652353776898E-3</v>
      </c>
    </row>
    <row r="19648" spans="1:6" x14ac:dyDescent="0.25">
      <c r="A19648" s="2" t="str">
        <f t="shared" si="696"/>
        <v>47900</v>
      </c>
      <c r="B19648" s="2" t="str">
        <f>"20115"</f>
        <v>20115</v>
      </c>
      <c r="C19648" s="1">
        <v>9.7196782538225605E-4</v>
      </c>
      <c r="D19648" s="1">
        <v>4.0408416614941099E-4</v>
      </c>
      <c r="E19648" s="1">
        <v>1.58099642299559E-4</v>
      </c>
      <c r="F19648" s="1">
        <v>8.8788193241160504E-4</v>
      </c>
    </row>
    <row r="19649" spans="1:6" x14ac:dyDescent="0.25">
      <c r="A19649" s="2" t="str">
        <f t="shared" si="696"/>
        <v>47900</v>
      </c>
      <c r="B19649" s="2" t="str">
        <f>"20141"</f>
        <v>20141</v>
      </c>
      <c r="C19649" s="1">
        <v>9.4010002782873902E-4</v>
      </c>
      <c r="D19649" s="1">
        <v>7.9150506771534106E-5</v>
      </c>
      <c r="E19649" s="1">
        <v>5.26998807665197E-5</v>
      </c>
      <c r="F19649" s="1">
        <v>8.2963894850705399E-4</v>
      </c>
    </row>
    <row r="19650" spans="1:6" x14ac:dyDescent="0.25">
      <c r="A19650" s="2" t="str">
        <f t="shared" si="696"/>
        <v>47900</v>
      </c>
      <c r="B19650" s="2" t="str">
        <f>"25446"</f>
        <v>25446</v>
      </c>
      <c r="C19650" s="1">
        <v>1.8861289482255701E-4</v>
      </c>
      <c r="D19650" s="1">
        <v>3.7492345312831897E-5</v>
      </c>
      <c r="E19650" s="1">
        <v>6.5874850958149701E-6</v>
      </c>
      <c r="F19650" s="1">
        <v>1.6793393692478899E-4</v>
      </c>
    </row>
    <row r="19651" spans="1:6" x14ac:dyDescent="0.25">
      <c r="A19651" s="2" t="str">
        <f t="shared" si="696"/>
        <v>47900</v>
      </c>
      <c r="B19651" s="2" t="str">
        <f>"22749"</f>
        <v>22749</v>
      </c>
      <c r="C19651" s="1">
        <v>7.3740601315695298E-5</v>
      </c>
      <c r="D19651" s="1">
        <v>2.0829080729350999E-5</v>
      </c>
      <c r="E19651" s="1">
        <v>0</v>
      </c>
      <c r="F19651" s="1">
        <v>6.6008715091824902E-5</v>
      </c>
    </row>
    <row r="19652" spans="1:6" x14ac:dyDescent="0.25">
      <c r="A19652" s="2" t="str">
        <f t="shared" si="696"/>
        <v>47900</v>
      </c>
      <c r="B19652" s="2" t="str">
        <f>"22740"</f>
        <v>22740</v>
      </c>
      <c r="C19652" s="1">
        <v>2.4567848579048199E-4</v>
      </c>
      <c r="D19652" s="1">
        <v>1.3747193281371699E-4</v>
      </c>
      <c r="E19652" s="1">
        <v>3.2937425479074797E-5</v>
      </c>
      <c r="F19652" s="1">
        <v>2.2682406509494699E-4</v>
      </c>
    </row>
    <row r="19653" spans="1:6" x14ac:dyDescent="0.25">
      <c r="A19653" s="2" t="str">
        <f t="shared" si="696"/>
        <v>47900</v>
      </c>
      <c r="B19653" s="2" t="str">
        <f>"22735"</f>
        <v>22735</v>
      </c>
      <c r="C19653" s="1">
        <v>3.4461688052058598E-4</v>
      </c>
      <c r="D19653" s="1">
        <v>8.33163229174043E-6</v>
      </c>
      <c r="E19653" s="1">
        <v>5.9287365862334701E-5</v>
      </c>
      <c r="F19653" s="1">
        <v>3.0448137696768201E-4</v>
      </c>
    </row>
    <row r="19654" spans="1:6" x14ac:dyDescent="0.25">
      <c r="A19654" s="2" t="str">
        <f t="shared" si="696"/>
        <v>47900</v>
      </c>
      <c r="B19654" s="2" t="str">
        <f>"22727"</f>
        <v>22727</v>
      </c>
      <c r="C19654" s="1">
        <v>1.6975160534030099E-3</v>
      </c>
      <c r="D19654" s="1">
        <v>1.5705126869930701E-3</v>
      </c>
      <c r="E19654" s="1">
        <v>2.5032443364096798E-4</v>
      </c>
      <c r="F19654" s="1">
        <v>1.6165663754841E-3</v>
      </c>
    </row>
    <row r="19655" spans="1:6" x14ac:dyDescent="0.25">
      <c r="A19655" s="2" t="str">
        <f t="shared" ref="A19655:A19718" si="697">"47900"</f>
        <v>47900</v>
      </c>
      <c r="B19655" s="2" t="str">
        <f>"22643"</f>
        <v>22643</v>
      </c>
      <c r="C19655" s="1">
        <v>7.0035043460635294E-5</v>
      </c>
      <c r="D19655" s="1">
        <v>2.0829080729350999E-5</v>
      </c>
      <c r="E19655" s="1">
        <v>2.6349940383259799E-5</v>
      </c>
      <c r="F19655" s="1">
        <v>6.4067282295006498E-5</v>
      </c>
    </row>
    <row r="19656" spans="1:6" x14ac:dyDescent="0.25">
      <c r="A19656" s="2" t="str">
        <f t="shared" si="697"/>
        <v>47900</v>
      </c>
      <c r="B19656" s="2" t="str">
        <f>"22313"</f>
        <v>22313</v>
      </c>
      <c r="C19656" s="1">
        <v>4.8283418851432602E-4</v>
      </c>
      <c r="D19656" s="1">
        <v>1.9204412432461699E-3</v>
      </c>
      <c r="E19656" s="1">
        <v>6.5874850958149701E-6</v>
      </c>
      <c r="F19656" s="1">
        <v>5.7110481439740597E-4</v>
      </c>
    </row>
    <row r="19657" spans="1:6" x14ac:dyDescent="0.25">
      <c r="A19657" s="2" t="str">
        <f t="shared" si="697"/>
        <v>47900</v>
      </c>
      <c r="B19657" s="2" t="str">
        <f>"22308"</f>
        <v>22308</v>
      </c>
      <c r="C19657" s="1">
        <v>1.80831223326931E-3</v>
      </c>
      <c r="D19657" s="1">
        <v>3.0410457864852501E-4</v>
      </c>
      <c r="E19657" s="1">
        <v>3.9524910574889798E-5</v>
      </c>
      <c r="F19657" s="1">
        <v>1.6045942065703899E-3</v>
      </c>
    </row>
    <row r="19658" spans="1:6" x14ac:dyDescent="0.25">
      <c r="A19658" s="2" t="str">
        <f t="shared" si="697"/>
        <v>47900</v>
      </c>
      <c r="B19658" s="2" t="str">
        <f>"22639"</f>
        <v>22639</v>
      </c>
      <c r="C19658" s="1">
        <v>9.7826727373585796E-5</v>
      </c>
      <c r="D19658" s="1">
        <v>2.4994896875221298E-5</v>
      </c>
      <c r="E19658" s="1">
        <v>4.6771144180286198E-4</v>
      </c>
      <c r="F19658" s="1">
        <v>1.10338097285844E-4</v>
      </c>
    </row>
    <row r="19659" spans="1:6" x14ac:dyDescent="0.25">
      <c r="A19659" s="2" t="str">
        <f t="shared" si="697"/>
        <v>47900</v>
      </c>
      <c r="B19659" s="2" t="str">
        <f>"22546"</f>
        <v>22546</v>
      </c>
      <c r="C19659" s="1">
        <v>1.0746117779674101E-5</v>
      </c>
      <c r="D19659" s="1">
        <v>0</v>
      </c>
      <c r="E19659" s="1">
        <v>0</v>
      </c>
      <c r="F19659" s="1">
        <v>9.3835918512888302E-6</v>
      </c>
    </row>
    <row r="19660" spans="1:6" x14ac:dyDescent="0.25">
      <c r="A19660" s="2" t="str">
        <f t="shared" si="697"/>
        <v>47900</v>
      </c>
      <c r="B19660" s="2" t="str">
        <f>"22580"</f>
        <v>22580</v>
      </c>
      <c r="C19660" s="1">
        <v>6.8552820318611206E-5</v>
      </c>
      <c r="D19660" s="1">
        <v>1.2497448437610601E-4</v>
      </c>
      <c r="E19660" s="1">
        <v>0</v>
      </c>
      <c r="F19660" s="1">
        <v>6.9568008552658604E-5</v>
      </c>
    </row>
    <row r="19661" spans="1:6" x14ac:dyDescent="0.25">
      <c r="A19661" s="2" t="str">
        <f t="shared" si="697"/>
        <v>47900</v>
      </c>
      <c r="B19661" s="2" t="str">
        <f>"22555"</f>
        <v>22555</v>
      </c>
      <c r="C19661" s="1">
        <v>5.8103147167341796E-4</v>
      </c>
      <c r="D19661" s="1">
        <v>1.3747193281371699E-3</v>
      </c>
      <c r="E19661" s="1">
        <v>1.3174970191629899E-5</v>
      </c>
      <c r="F19661" s="1">
        <v>6.1478705232581999E-4</v>
      </c>
    </row>
    <row r="19662" spans="1:6" x14ac:dyDescent="0.25">
      <c r="A19662" s="2" t="str">
        <f t="shared" si="697"/>
        <v>47900</v>
      </c>
      <c r="B19662" s="2" t="str">
        <f>"22227"</f>
        <v>22227</v>
      </c>
      <c r="C19662" s="1">
        <v>0</v>
      </c>
      <c r="D19662" s="1">
        <v>4.1658161458702099E-6</v>
      </c>
      <c r="E19662" s="1">
        <v>0</v>
      </c>
      <c r="F19662" s="1">
        <v>3.2357213280306297E-7</v>
      </c>
    </row>
    <row r="19663" spans="1:6" x14ac:dyDescent="0.25">
      <c r="A19663" s="2" t="str">
        <f t="shared" si="697"/>
        <v>47900</v>
      </c>
      <c r="B19663" s="2" t="str">
        <f>"22211"</f>
        <v>22211</v>
      </c>
      <c r="C19663" s="1">
        <v>4.6727084552307402E-4</v>
      </c>
      <c r="D19663" s="1">
        <v>1.08311219792625E-4</v>
      </c>
      <c r="E19663" s="1">
        <v>2.43736948545153E-4</v>
      </c>
      <c r="F19663" s="1">
        <v>4.2840950383125502E-4</v>
      </c>
    </row>
    <row r="19664" spans="1:6" x14ac:dyDescent="0.25">
      <c r="A19664" s="2" t="str">
        <f t="shared" si="697"/>
        <v>47900</v>
      </c>
      <c r="B19664" s="2" t="str">
        <f>"22209"</f>
        <v>22209</v>
      </c>
      <c r="C19664" s="1">
        <v>3.5999494561908501E-3</v>
      </c>
      <c r="D19664" s="1">
        <v>5.4363900703606298E-3</v>
      </c>
      <c r="E19664" s="1">
        <v>4.7232268136993298E-3</v>
      </c>
      <c r="F19664" s="1">
        <v>3.7977661227095501E-3</v>
      </c>
    </row>
    <row r="19665" spans="1:6" x14ac:dyDescent="0.25">
      <c r="A19665" s="2" t="str">
        <f t="shared" si="697"/>
        <v>47900</v>
      </c>
      <c r="B19665" s="2" t="str">
        <f>"22305"</f>
        <v>22305</v>
      </c>
      <c r="C19665" s="1">
        <v>2.79324951114427E-3</v>
      </c>
      <c r="D19665" s="1">
        <v>1.04561985261342E-3</v>
      </c>
      <c r="E19665" s="1">
        <v>4.1369406401717997E-3</v>
      </c>
      <c r="F19665" s="1">
        <v>2.7235066418033801E-3</v>
      </c>
    </row>
    <row r="19666" spans="1:6" x14ac:dyDescent="0.25">
      <c r="A19666" s="2" t="str">
        <f t="shared" si="697"/>
        <v>47900</v>
      </c>
      <c r="B19666" s="2" t="str">
        <f>"22463"</f>
        <v>22463</v>
      </c>
      <c r="C19666" s="1">
        <v>1.71567328689281E-4</v>
      </c>
      <c r="D19666" s="1">
        <v>7.3734945781902801E-4</v>
      </c>
      <c r="E19666" s="1">
        <v>1.3174970191629899E-5</v>
      </c>
      <c r="F19666" s="1">
        <v>2.0773330925956599E-4</v>
      </c>
    </row>
    <row r="19667" spans="1:6" x14ac:dyDescent="0.25">
      <c r="A19667" s="2" t="str">
        <f t="shared" si="697"/>
        <v>47900</v>
      </c>
      <c r="B19667" s="2" t="str">
        <f>"22205"</f>
        <v>22205</v>
      </c>
      <c r="C19667" s="1">
        <v>2.76768116194436E-3</v>
      </c>
      <c r="D19667" s="1">
        <v>1.8829488979333301E-3</v>
      </c>
      <c r="E19667" s="1">
        <v>1.6336963037621101E-3</v>
      </c>
      <c r="F19667" s="1">
        <v>2.6432607528682202E-3</v>
      </c>
    </row>
    <row r="19668" spans="1:6" x14ac:dyDescent="0.25">
      <c r="A19668" s="2" t="str">
        <f t="shared" si="697"/>
        <v>47900</v>
      </c>
      <c r="B19668" s="2" t="str">
        <f>"22033"</f>
        <v>22033</v>
      </c>
      <c r="C19668" s="1">
        <v>6.0363537458928496E-3</v>
      </c>
      <c r="D19668" s="1">
        <v>4.0824998229528099E-3</v>
      </c>
      <c r="E19668" s="1">
        <v>8.3858685269724495E-3</v>
      </c>
      <c r="F19668" s="1">
        <v>5.9999980585672E-3</v>
      </c>
    </row>
    <row r="19669" spans="1:6" x14ac:dyDescent="0.25">
      <c r="A19669" s="2" t="str">
        <f t="shared" si="697"/>
        <v>47900</v>
      </c>
      <c r="B19669" s="2" t="str">
        <f>"22109"</f>
        <v>22109</v>
      </c>
      <c r="C19669" s="1">
        <v>0</v>
      </c>
      <c r="D19669" s="1">
        <v>8.33163229174043E-6</v>
      </c>
      <c r="E19669" s="1">
        <v>0</v>
      </c>
      <c r="F19669" s="1">
        <v>6.4714426560612595E-7</v>
      </c>
    </row>
    <row r="19670" spans="1:6" x14ac:dyDescent="0.25">
      <c r="A19670" s="2" t="str">
        <f t="shared" si="697"/>
        <v>47900</v>
      </c>
      <c r="B19670" s="2" t="str">
        <f>"22124"</f>
        <v>22124</v>
      </c>
      <c r="C19670" s="1">
        <v>2.8543912157527702E-3</v>
      </c>
      <c r="D19670" s="1">
        <v>2.06207899220575E-3</v>
      </c>
      <c r="E19670" s="1">
        <v>6.9827342015638604E-4</v>
      </c>
      <c r="F19670" s="1">
        <v>2.68694299079663E-3</v>
      </c>
    </row>
    <row r="19671" spans="1:6" x14ac:dyDescent="0.25">
      <c r="A19671" s="2" t="str">
        <f t="shared" si="697"/>
        <v>47900</v>
      </c>
      <c r="B19671" s="2" t="str">
        <f>"22182"</f>
        <v>22182</v>
      </c>
      <c r="C19671" s="1">
        <v>3.67998950586015E-3</v>
      </c>
      <c r="D19671" s="1">
        <v>8.1733312781973599E-3</v>
      </c>
      <c r="E19671" s="1">
        <v>3.31350500319493E-3</v>
      </c>
      <c r="F19671" s="1">
        <v>4.01100015822677E-3</v>
      </c>
    </row>
    <row r="19672" spans="1:6" x14ac:dyDescent="0.25">
      <c r="A19672" s="2" t="str">
        <f t="shared" si="697"/>
        <v>47900</v>
      </c>
      <c r="B19672" s="2" t="str">
        <f>"22101"</f>
        <v>22101</v>
      </c>
      <c r="C19672" s="1">
        <v>4.5989678539150496E-3</v>
      </c>
      <c r="D19672" s="1">
        <v>6.4486833938070904E-3</v>
      </c>
      <c r="E19672" s="1">
        <v>2.0025954691277499E-3</v>
      </c>
      <c r="F19672" s="1">
        <v>4.6151093301700901E-3</v>
      </c>
    </row>
    <row r="19673" spans="1:6" x14ac:dyDescent="0.25">
      <c r="A19673" s="2" t="str">
        <f t="shared" si="697"/>
        <v>47900</v>
      </c>
      <c r="B19673" s="2" t="str">
        <f>"21790"</f>
        <v>21790</v>
      </c>
      <c r="C19673" s="1">
        <v>2.26039029158664E-5</v>
      </c>
      <c r="D19673" s="1">
        <v>1.24974484376106E-5</v>
      </c>
      <c r="E19673" s="1">
        <v>0</v>
      </c>
      <c r="F19673" s="1">
        <v>2.0708616499396E-5</v>
      </c>
    </row>
    <row r="19674" spans="1:6" x14ac:dyDescent="0.25">
      <c r="A19674" s="2" t="str">
        <f t="shared" si="697"/>
        <v>47900</v>
      </c>
      <c r="B19674" s="2" t="str">
        <f>"21719"</f>
        <v>21719</v>
      </c>
      <c r="C19674" s="1">
        <v>1.1487229350686201E-5</v>
      </c>
      <c r="D19674" s="1">
        <v>4.1658161458702099E-6</v>
      </c>
      <c r="E19674" s="1">
        <v>0</v>
      </c>
      <c r="F19674" s="1">
        <v>1.0354308249698E-5</v>
      </c>
    </row>
    <row r="19675" spans="1:6" x14ac:dyDescent="0.25">
      <c r="A19675" s="2" t="str">
        <f t="shared" si="697"/>
        <v>47900</v>
      </c>
      <c r="B19675" s="2" t="str">
        <f>"21758"</f>
        <v>21758</v>
      </c>
      <c r="C19675" s="1">
        <v>4.2725082068842499E-4</v>
      </c>
      <c r="D19675" s="1">
        <v>4.9989793750442597E-5</v>
      </c>
      <c r="E19675" s="1">
        <v>5.9287365862334701E-5</v>
      </c>
      <c r="F19675" s="1">
        <v>3.7987368391079602E-4</v>
      </c>
    </row>
    <row r="19676" spans="1:6" x14ac:dyDescent="0.25">
      <c r="A19676" s="2" t="str">
        <f t="shared" si="697"/>
        <v>47900</v>
      </c>
      <c r="B19676" s="2" t="str">
        <f>"21703"</f>
        <v>21703</v>
      </c>
      <c r="C19676" s="1">
        <v>5.7317568902069101E-3</v>
      </c>
      <c r="D19676" s="1">
        <v>5.7030023036963202E-3</v>
      </c>
      <c r="E19676" s="1">
        <v>4.5585396863039498E-3</v>
      </c>
      <c r="F19676" s="1">
        <v>5.6718959159048898E-3</v>
      </c>
    </row>
    <row r="19677" spans="1:6" x14ac:dyDescent="0.25">
      <c r="A19677" s="2" t="str">
        <f t="shared" si="697"/>
        <v>47900</v>
      </c>
      <c r="B19677" s="2" t="str">
        <f>"20907"</f>
        <v>20907</v>
      </c>
      <c r="C19677" s="1">
        <v>3.4091132266552597E-4</v>
      </c>
      <c r="D19677" s="1">
        <v>1.0414540364675499E-3</v>
      </c>
      <c r="E19677" s="1">
        <v>1.3174970191629899E-5</v>
      </c>
      <c r="F19677" s="1">
        <v>3.7922653964519E-4</v>
      </c>
    </row>
    <row r="19678" spans="1:6" x14ac:dyDescent="0.25">
      <c r="A19678" s="2" t="str">
        <f t="shared" si="697"/>
        <v>47900</v>
      </c>
      <c r="B19678" s="2" t="str">
        <f>"20815"</f>
        <v>20815</v>
      </c>
      <c r="C19678" s="1">
        <v>5.8210608345138602E-3</v>
      </c>
      <c r="D19678" s="1">
        <v>3.65758657607405E-3</v>
      </c>
      <c r="E19678" s="1">
        <v>3.4123172796321501E-3</v>
      </c>
      <c r="F19678" s="1">
        <v>5.5347013315963896E-3</v>
      </c>
    </row>
    <row r="19679" spans="1:6" x14ac:dyDescent="0.25">
      <c r="A19679" s="2" t="str">
        <f t="shared" si="697"/>
        <v>47900</v>
      </c>
      <c r="B19679" s="2" t="str">
        <f>"20790"</f>
        <v>20790</v>
      </c>
      <c r="C19679" s="1">
        <v>0</v>
      </c>
      <c r="D19679" s="1">
        <v>1.24974484376106E-5</v>
      </c>
      <c r="E19679" s="1">
        <v>1.3174970191629899E-5</v>
      </c>
      <c r="F19679" s="1">
        <v>1.6178606640153099E-6</v>
      </c>
    </row>
    <row r="19680" spans="1:6" x14ac:dyDescent="0.25">
      <c r="A19680" s="2" t="str">
        <f t="shared" si="697"/>
        <v>47900</v>
      </c>
      <c r="B19680" s="2" t="str">
        <f>"20812"</f>
        <v>20812</v>
      </c>
      <c r="C19680" s="1">
        <v>1.3451175013867999E-4</v>
      </c>
      <c r="D19680" s="1">
        <v>5.5821936354660904E-4</v>
      </c>
      <c r="E19680" s="1">
        <v>3.9524910574889798E-5</v>
      </c>
      <c r="F19680" s="1">
        <v>1.6275678279994001E-4</v>
      </c>
    </row>
    <row r="19681" spans="1:6" x14ac:dyDescent="0.25">
      <c r="A19681" s="2" t="str">
        <f t="shared" si="697"/>
        <v>47900</v>
      </c>
      <c r="B19681" s="2" t="str">
        <f>"20792"</f>
        <v>20792</v>
      </c>
      <c r="C19681" s="1">
        <v>4.2428637440437698E-4</v>
      </c>
      <c r="D19681" s="1">
        <v>1.32472953438672E-3</v>
      </c>
      <c r="E19681" s="1">
        <v>1.3174970191629899E-5</v>
      </c>
      <c r="F19681" s="1">
        <v>4.74033174556487E-4</v>
      </c>
    </row>
    <row r="19682" spans="1:6" x14ac:dyDescent="0.25">
      <c r="A19682" s="2" t="str">
        <f t="shared" si="697"/>
        <v>47900</v>
      </c>
      <c r="B19682" s="2" t="str">
        <f>"20772"</f>
        <v>20772</v>
      </c>
      <c r="C19682" s="1">
        <v>7.4652168548040099E-3</v>
      </c>
      <c r="D19682" s="1">
        <v>4.42409674691417E-3</v>
      </c>
      <c r="E19682" s="1">
        <v>2.50324433640968E-3</v>
      </c>
      <c r="F19682" s="1">
        <v>6.9852752029525298E-3</v>
      </c>
    </row>
    <row r="19683" spans="1:6" x14ac:dyDescent="0.25">
      <c r="A19683" s="2" t="str">
        <f t="shared" si="697"/>
        <v>47900</v>
      </c>
      <c r="B19683" s="2" t="str">
        <f>"20850"</f>
        <v>20850</v>
      </c>
      <c r="C19683" s="1">
        <v>8.13481115921336E-3</v>
      </c>
      <c r="D19683" s="1">
        <v>1.69965298751504E-2</v>
      </c>
      <c r="E19683" s="1">
        <v>1.1936522993616701E-2</v>
      </c>
      <c r="F19683" s="1">
        <v>9.0098660379012898E-3</v>
      </c>
    </row>
    <row r="19684" spans="1:6" x14ac:dyDescent="0.25">
      <c r="A19684" s="2" t="str">
        <f t="shared" si="697"/>
        <v>47900</v>
      </c>
      <c r="B19684" s="2" t="str">
        <f>"20842"</f>
        <v>20842</v>
      </c>
      <c r="C19684" s="1">
        <v>3.1163741561055099E-4</v>
      </c>
      <c r="D19684" s="1">
        <v>1.4580356510545699E-4</v>
      </c>
      <c r="E19684" s="1">
        <v>1.31749701916299E-4</v>
      </c>
      <c r="F19684" s="1">
        <v>2.89920630991544E-4</v>
      </c>
    </row>
    <row r="19685" spans="1:6" x14ac:dyDescent="0.25">
      <c r="A19685" s="2" t="str">
        <f t="shared" si="697"/>
        <v>47900</v>
      </c>
      <c r="B19685" s="2" t="str">
        <f>"20837"</f>
        <v>20837</v>
      </c>
      <c r="C19685" s="1">
        <v>1.0490434287675E-3</v>
      </c>
      <c r="D19685" s="1">
        <v>9.7063516198775998E-4</v>
      </c>
      <c r="E19685" s="1">
        <v>1.7127461249118899E-4</v>
      </c>
      <c r="F19685" s="1">
        <v>9.9983789036146506E-4</v>
      </c>
    </row>
    <row r="19686" spans="1:6" x14ac:dyDescent="0.25">
      <c r="A19686" s="2" t="str">
        <f t="shared" si="697"/>
        <v>47900</v>
      </c>
      <c r="B19686" s="2" t="str">
        <f>"20750"</f>
        <v>20750</v>
      </c>
      <c r="C19686" s="1">
        <v>2.6531794242230002E-4</v>
      </c>
      <c r="D19686" s="1">
        <v>6.6653058333923404E-4</v>
      </c>
      <c r="E19686" s="1">
        <v>1.3174970191629899E-5</v>
      </c>
      <c r="F19686" s="1">
        <v>2.8409633260108899E-4</v>
      </c>
    </row>
    <row r="19687" spans="1:6" x14ac:dyDescent="0.25">
      <c r="A19687" s="2" t="str">
        <f t="shared" si="697"/>
        <v>47900</v>
      </c>
      <c r="B19687" s="2" t="str">
        <f>"20676"</f>
        <v>20676</v>
      </c>
      <c r="C19687" s="1">
        <v>5.4694033940686599E-4</v>
      </c>
      <c r="D19687" s="1">
        <v>5.4155609896312801E-5</v>
      </c>
      <c r="E19687" s="1">
        <v>2.6349940383259799E-5</v>
      </c>
      <c r="F19687" s="1">
        <v>4.8309319427497299E-4</v>
      </c>
    </row>
    <row r="19688" spans="1:6" x14ac:dyDescent="0.25">
      <c r="A19688" s="2" t="str">
        <f t="shared" si="697"/>
        <v>47900</v>
      </c>
      <c r="B19688" s="2" t="str">
        <f>"20643"</f>
        <v>20643</v>
      </c>
      <c r="C19688" s="1">
        <v>0</v>
      </c>
      <c r="D19688" s="1">
        <v>0</v>
      </c>
      <c r="E19688" s="1">
        <v>6.5874850958149701E-6</v>
      </c>
      <c r="F19688" s="1">
        <v>3.2357213280306297E-7</v>
      </c>
    </row>
    <row r="19689" spans="1:6" x14ac:dyDescent="0.25">
      <c r="A19689" s="2" t="str">
        <f t="shared" si="697"/>
        <v>47900</v>
      </c>
      <c r="B19689" s="2" t="str">
        <f>"20744"</f>
        <v>20744</v>
      </c>
      <c r="C19689" s="1">
        <v>7.5697135863166997E-3</v>
      </c>
      <c r="D19689" s="1">
        <v>2.69111723023216E-3</v>
      </c>
      <c r="E19689" s="1">
        <v>2.6284065532301698E-3</v>
      </c>
      <c r="F19689" s="1">
        <v>6.9480644076801703E-3</v>
      </c>
    </row>
    <row r="19690" spans="1:6" x14ac:dyDescent="0.25">
      <c r="A19690" s="2" t="str">
        <f t="shared" si="697"/>
        <v>47900</v>
      </c>
      <c r="B19690" s="2" t="str">
        <f>"20716"</f>
        <v>20716</v>
      </c>
      <c r="C19690" s="1">
        <v>3.4361637989971999E-3</v>
      </c>
      <c r="D19690" s="1">
        <v>2.5161529521056099E-3</v>
      </c>
      <c r="E19690" s="1">
        <v>1.9828330138402998E-3</v>
      </c>
      <c r="F19690" s="1">
        <v>3.2933171676695701E-3</v>
      </c>
    </row>
    <row r="19691" spans="1:6" x14ac:dyDescent="0.25">
      <c r="A19691" s="2" t="str">
        <f t="shared" si="697"/>
        <v>47900</v>
      </c>
      <c r="B19691" s="2" t="str">
        <f>"20726"</f>
        <v>20726</v>
      </c>
      <c r="C19691" s="1">
        <v>7.3740601315695298E-5</v>
      </c>
      <c r="D19691" s="1">
        <v>2.4578315260634202E-4</v>
      </c>
      <c r="E19691" s="1">
        <v>2.6349940383259799E-5</v>
      </c>
      <c r="F19691" s="1">
        <v>8.4775898794402498E-5</v>
      </c>
    </row>
    <row r="19692" spans="1:6" x14ac:dyDescent="0.25">
      <c r="A19692" s="2" t="str">
        <f t="shared" si="697"/>
        <v>47900</v>
      </c>
      <c r="B19692" s="2" t="str">
        <f>"20740"</f>
        <v>20740</v>
      </c>
      <c r="C19692" s="1">
        <v>4.5248566968138504E-3</v>
      </c>
      <c r="D19692" s="1">
        <v>4.5032472536857002E-3</v>
      </c>
      <c r="E19692" s="1">
        <v>4.4267899843876603E-3</v>
      </c>
      <c r="F19692" s="1">
        <v>4.5183612624619699E-3</v>
      </c>
    </row>
    <row r="19693" spans="1:6" x14ac:dyDescent="0.25">
      <c r="A19693" s="2" t="str">
        <f t="shared" si="697"/>
        <v>47900</v>
      </c>
      <c r="B19693" s="2" t="str">
        <f>"20742"</f>
        <v>20742</v>
      </c>
      <c r="C19693" s="1">
        <v>0</v>
      </c>
      <c r="D19693" s="1">
        <v>0</v>
      </c>
      <c r="E19693" s="1">
        <v>3.4867558612148603E-2</v>
      </c>
      <c r="F19693" s="1">
        <v>1.71266729892661E-3</v>
      </c>
    </row>
    <row r="19694" spans="1:6" x14ac:dyDescent="0.25">
      <c r="A19694" s="2" t="str">
        <f t="shared" si="697"/>
        <v>47900</v>
      </c>
      <c r="B19694" s="2" t="str">
        <f>"20552"</f>
        <v>20552</v>
      </c>
      <c r="C19694" s="1">
        <v>0</v>
      </c>
      <c r="D19694" s="1">
        <v>4.1658161458702099E-6</v>
      </c>
      <c r="E19694" s="1">
        <v>0</v>
      </c>
      <c r="F19694" s="1">
        <v>3.2357213280306297E-7</v>
      </c>
    </row>
    <row r="19695" spans="1:6" x14ac:dyDescent="0.25">
      <c r="A19695" s="2" t="str">
        <f t="shared" si="697"/>
        <v>47900</v>
      </c>
      <c r="B19695" s="2" t="str">
        <f>"20522"</f>
        <v>20522</v>
      </c>
      <c r="C19695" s="1">
        <v>0</v>
      </c>
      <c r="D19695" s="1">
        <v>1.20808668230236E-4</v>
      </c>
      <c r="E19695" s="1">
        <v>1.9762455287444899E-5</v>
      </c>
      <c r="F19695" s="1">
        <v>1.0354308249698E-5</v>
      </c>
    </row>
    <row r="19696" spans="1:6" x14ac:dyDescent="0.25">
      <c r="A19696" s="2" t="str">
        <f t="shared" si="697"/>
        <v>47900</v>
      </c>
      <c r="B19696" s="2" t="str">
        <f>"20472"</f>
        <v>20472</v>
      </c>
      <c r="C19696" s="1">
        <v>0</v>
      </c>
      <c r="D19696" s="1">
        <v>3.8325508542006001E-4</v>
      </c>
      <c r="E19696" s="1">
        <v>4.6112395670704698E-5</v>
      </c>
      <c r="F19696" s="1">
        <v>3.2033641147503202E-5</v>
      </c>
    </row>
    <row r="19697" spans="1:6" x14ac:dyDescent="0.25">
      <c r="A19697" s="2" t="str">
        <f t="shared" si="697"/>
        <v>47900</v>
      </c>
      <c r="B19697" s="2" t="str">
        <f>"20546"</f>
        <v>20546</v>
      </c>
      <c r="C19697" s="1">
        <v>0</v>
      </c>
      <c r="D19697" s="1">
        <v>4.1658161458702099E-6</v>
      </c>
      <c r="E19697" s="1">
        <v>0</v>
      </c>
      <c r="F19697" s="1">
        <v>3.2357213280306297E-7</v>
      </c>
    </row>
    <row r="19698" spans="1:6" x14ac:dyDescent="0.25">
      <c r="A19698" s="2" t="str">
        <f t="shared" si="697"/>
        <v>47900</v>
      </c>
      <c r="B19698" s="2" t="str">
        <f>"20591"</f>
        <v>20591</v>
      </c>
      <c r="C19698" s="1">
        <v>0</v>
      </c>
      <c r="D19698" s="1">
        <v>4.1658161458702099E-6</v>
      </c>
      <c r="E19698" s="1">
        <v>0</v>
      </c>
      <c r="F19698" s="1">
        <v>3.2357213280306297E-7</v>
      </c>
    </row>
    <row r="19699" spans="1:6" x14ac:dyDescent="0.25">
      <c r="A19699" s="2" t="str">
        <f t="shared" si="697"/>
        <v>47900</v>
      </c>
      <c r="B19699" s="2" t="str">
        <f>"20425"</f>
        <v>20425</v>
      </c>
      <c r="C19699" s="1">
        <v>0</v>
      </c>
      <c r="D19699" s="1">
        <v>4.1658161458702099E-6</v>
      </c>
      <c r="E19699" s="1">
        <v>0</v>
      </c>
      <c r="F19699" s="1">
        <v>3.2357213280306297E-7</v>
      </c>
    </row>
    <row r="19700" spans="1:6" x14ac:dyDescent="0.25">
      <c r="A19700" s="2" t="str">
        <f t="shared" si="697"/>
        <v>47900</v>
      </c>
      <c r="B19700" s="2" t="str">
        <f>"20581"</f>
        <v>20581</v>
      </c>
      <c r="C19700" s="1">
        <v>0</v>
      </c>
      <c r="D19700" s="1">
        <v>4.1658161458702099E-6</v>
      </c>
      <c r="E19700" s="1">
        <v>0</v>
      </c>
      <c r="F19700" s="1">
        <v>3.2357213280306297E-7</v>
      </c>
    </row>
    <row r="19701" spans="1:6" x14ac:dyDescent="0.25">
      <c r="A19701" s="2" t="str">
        <f t="shared" si="697"/>
        <v>47900</v>
      </c>
      <c r="B19701" s="2" t="str">
        <f>"20541"</f>
        <v>20541</v>
      </c>
      <c r="C19701" s="1">
        <v>0</v>
      </c>
      <c r="D19701" s="1">
        <v>4.1658161458702101E-5</v>
      </c>
      <c r="E19701" s="1">
        <v>1.3174970191629899E-5</v>
      </c>
      <c r="F19701" s="1">
        <v>3.88286559363675E-6</v>
      </c>
    </row>
    <row r="19702" spans="1:6" x14ac:dyDescent="0.25">
      <c r="A19702" s="2" t="str">
        <f t="shared" si="697"/>
        <v>47900</v>
      </c>
      <c r="B19702" s="2" t="str">
        <f>"20420"</f>
        <v>20420</v>
      </c>
      <c r="C19702" s="1">
        <v>0</v>
      </c>
      <c r="D19702" s="1">
        <v>4.1658161458702099E-6</v>
      </c>
      <c r="E19702" s="1">
        <v>0</v>
      </c>
      <c r="F19702" s="1">
        <v>3.2357213280306297E-7</v>
      </c>
    </row>
    <row r="19703" spans="1:6" x14ac:dyDescent="0.25">
      <c r="A19703" s="2" t="str">
        <f t="shared" si="697"/>
        <v>47900</v>
      </c>
      <c r="B19703" s="2" t="str">
        <f>"20566"</f>
        <v>20566</v>
      </c>
      <c r="C19703" s="1">
        <v>0</v>
      </c>
      <c r="D19703" s="1">
        <v>8.33163229174043E-6</v>
      </c>
      <c r="E19703" s="1">
        <v>0</v>
      </c>
      <c r="F19703" s="1">
        <v>6.4714426560612595E-7</v>
      </c>
    </row>
    <row r="19704" spans="1:6" x14ac:dyDescent="0.25">
      <c r="A19704" s="2" t="str">
        <f t="shared" si="697"/>
        <v>47900</v>
      </c>
      <c r="B19704" s="2" t="str">
        <f>"20510"</f>
        <v>20510</v>
      </c>
      <c r="C19704" s="1">
        <v>0</v>
      </c>
      <c r="D19704" s="1">
        <v>4.1658161458702099E-6</v>
      </c>
      <c r="E19704" s="1">
        <v>1.4558342061751E-3</v>
      </c>
      <c r="F19704" s="1">
        <v>7.1833013482280005E-5</v>
      </c>
    </row>
    <row r="19705" spans="1:6" x14ac:dyDescent="0.25">
      <c r="A19705" s="2" t="str">
        <f t="shared" si="697"/>
        <v>47900</v>
      </c>
      <c r="B19705" s="2" t="str">
        <f>"20611"</f>
        <v>20611</v>
      </c>
      <c r="C19705" s="1">
        <v>1.35623417495198E-4</v>
      </c>
      <c r="D19705" s="1">
        <v>1.4163774895958699E-4</v>
      </c>
      <c r="E19705" s="1">
        <v>7.2462336053964602E-5</v>
      </c>
      <c r="F19705" s="1">
        <v>1.32988146582059E-4</v>
      </c>
    </row>
    <row r="19706" spans="1:6" x14ac:dyDescent="0.25">
      <c r="A19706" s="2" t="str">
        <f t="shared" si="697"/>
        <v>47900</v>
      </c>
      <c r="B19706" s="2" t="str">
        <f>"20608"</f>
        <v>20608</v>
      </c>
      <c r="C19706" s="1">
        <v>1.5378065098499199E-4</v>
      </c>
      <c r="D19706" s="1">
        <v>6.6653058333923399E-5</v>
      </c>
      <c r="E19706" s="1">
        <v>4.6112395670704698E-5</v>
      </c>
      <c r="F19706" s="1">
        <v>1.41724594167741E-4</v>
      </c>
    </row>
    <row r="19707" spans="1:6" x14ac:dyDescent="0.25">
      <c r="A19707" s="2" t="str">
        <f t="shared" si="697"/>
        <v>47900</v>
      </c>
      <c r="B19707" s="2" t="str">
        <f>"20404"</f>
        <v>20404</v>
      </c>
      <c r="C19707" s="1">
        <v>0</v>
      </c>
      <c r="D19707" s="1">
        <v>4.1658161458702099E-6</v>
      </c>
      <c r="E19707" s="1">
        <v>0</v>
      </c>
      <c r="F19707" s="1">
        <v>3.2357213280306297E-7</v>
      </c>
    </row>
    <row r="19708" spans="1:6" x14ac:dyDescent="0.25">
      <c r="A19708" s="2" t="str">
        <f t="shared" si="697"/>
        <v>47900</v>
      </c>
      <c r="B19708" s="2" t="str">
        <f>"20402"</f>
        <v>20402</v>
      </c>
      <c r="C19708" s="1">
        <v>0</v>
      </c>
      <c r="D19708" s="1">
        <v>4.1658161458702099E-6</v>
      </c>
      <c r="E19708" s="1">
        <v>0</v>
      </c>
      <c r="F19708" s="1">
        <v>3.2357213280306297E-7</v>
      </c>
    </row>
    <row r="19709" spans="1:6" x14ac:dyDescent="0.25">
      <c r="A19709" s="2" t="str">
        <f t="shared" si="697"/>
        <v>47900</v>
      </c>
      <c r="B19709" s="2" t="str">
        <f>"20398"</f>
        <v>20398</v>
      </c>
      <c r="C19709" s="1">
        <v>0</v>
      </c>
      <c r="D19709" s="1">
        <v>4.1658161458702099E-6</v>
      </c>
      <c r="E19709" s="1">
        <v>6.5874850958149701E-6</v>
      </c>
      <c r="F19709" s="1">
        <v>6.4714426560612595E-7</v>
      </c>
    </row>
    <row r="19710" spans="1:6" x14ac:dyDescent="0.25">
      <c r="A19710" s="2" t="str">
        <f t="shared" si="697"/>
        <v>47900</v>
      </c>
      <c r="B19710" s="2" t="str">
        <f>"20704"</f>
        <v>20704</v>
      </c>
      <c r="C19710" s="1">
        <v>3.44987436306092E-4</v>
      </c>
      <c r="D19710" s="1">
        <v>1.18309178542714E-3</v>
      </c>
      <c r="E19710" s="1">
        <v>1.3174970191629899E-5</v>
      </c>
      <c r="F19710" s="1">
        <v>3.9378728562132801E-4</v>
      </c>
    </row>
    <row r="19711" spans="1:6" x14ac:dyDescent="0.25">
      <c r="A19711" s="2" t="str">
        <f t="shared" si="697"/>
        <v>47900</v>
      </c>
      <c r="B19711" s="2" t="str">
        <f>"20695"</f>
        <v>20695</v>
      </c>
      <c r="C19711" s="1">
        <v>2.0788179566886898E-3</v>
      </c>
      <c r="D19711" s="1">
        <v>2.5744743781477902E-3</v>
      </c>
      <c r="E19711" s="1">
        <v>2.3056197835352301E-4</v>
      </c>
      <c r="F19711" s="1">
        <v>2.0265322677455802E-3</v>
      </c>
    </row>
    <row r="19712" spans="1:6" x14ac:dyDescent="0.25">
      <c r="A19712" s="2" t="str">
        <f t="shared" si="697"/>
        <v>47900</v>
      </c>
      <c r="B19712" s="2" t="str">
        <f>"20707"</f>
        <v>20707</v>
      </c>
      <c r="C19712" s="1">
        <v>5.9900342727046002E-3</v>
      </c>
      <c r="D19712" s="1">
        <v>8.2149894396560692E-3</v>
      </c>
      <c r="E19712" s="1">
        <v>9.12366685770373E-3</v>
      </c>
      <c r="F19712" s="1">
        <v>6.3167751765813998E-3</v>
      </c>
    </row>
    <row r="19713" spans="1:6" x14ac:dyDescent="0.25">
      <c r="A19713" s="2" t="str">
        <f t="shared" si="697"/>
        <v>47900</v>
      </c>
      <c r="B19713" s="2" t="str">
        <f>"20245"</f>
        <v>20245</v>
      </c>
      <c r="C19713" s="1">
        <v>0</v>
      </c>
      <c r="D19713" s="1">
        <v>4.1658161458702099E-6</v>
      </c>
      <c r="E19713" s="1">
        <v>0</v>
      </c>
      <c r="F19713" s="1">
        <v>3.2357213280306297E-7</v>
      </c>
    </row>
    <row r="19714" spans="1:6" x14ac:dyDescent="0.25">
      <c r="A19714" s="2" t="str">
        <f t="shared" si="697"/>
        <v>47900</v>
      </c>
      <c r="B19714" s="2" t="str">
        <f>"20289"</f>
        <v>20289</v>
      </c>
      <c r="C19714" s="1">
        <v>0</v>
      </c>
      <c r="D19714" s="1">
        <v>4.1658161458702099E-6</v>
      </c>
      <c r="E19714" s="1">
        <v>0</v>
      </c>
      <c r="F19714" s="1">
        <v>3.2357213280306297E-7</v>
      </c>
    </row>
    <row r="19715" spans="1:6" x14ac:dyDescent="0.25">
      <c r="A19715" s="2" t="str">
        <f t="shared" si="697"/>
        <v>47900</v>
      </c>
      <c r="B19715" s="2" t="str">
        <f>"20373"</f>
        <v>20373</v>
      </c>
      <c r="C19715" s="1">
        <v>0</v>
      </c>
      <c r="D19715" s="1">
        <v>1.5830101354306799E-4</v>
      </c>
      <c r="E19715" s="1">
        <v>9.2224791341409505E-5</v>
      </c>
      <c r="F19715" s="1">
        <v>1.6825750905759199E-5</v>
      </c>
    </row>
    <row r="19716" spans="1:6" x14ac:dyDescent="0.25">
      <c r="A19716" s="2" t="str">
        <f t="shared" si="697"/>
        <v>47900</v>
      </c>
      <c r="B19716" s="2" t="str">
        <f>"20340"</f>
        <v>20340</v>
      </c>
      <c r="C19716" s="1">
        <v>0</v>
      </c>
      <c r="D19716" s="1">
        <v>4.1658161458702099E-6</v>
      </c>
      <c r="E19716" s="1">
        <v>0</v>
      </c>
      <c r="F19716" s="1">
        <v>3.2357213280306297E-7</v>
      </c>
    </row>
    <row r="19717" spans="1:6" x14ac:dyDescent="0.25">
      <c r="A19717" s="2" t="str">
        <f t="shared" si="697"/>
        <v>47900</v>
      </c>
      <c r="B19717" s="2" t="str">
        <f>"20208"</f>
        <v>20208</v>
      </c>
      <c r="C19717" s="1">
        <v>0</v>
      </c>
      <c r="D19717" s="1">
        <v>4.1658161458702099E-6</v>
      </c>
      <c r="E19717" s="1">
        <v>0</v>
      </c>
      <c r="F19717" s="1">
        <v>3.2357213280306297E-7</v>
      </c>
    </row>
    <row r="19718" spans="1:6" x14ac:dyDescent="0.25">
      <c r="A19718" s="2" t="str">
        <f t="shared" si="697"/>
        <v>47900</v>
      </c>
      <c r="B19718" s="2" t="str">
        <f>"20197"</f>
        <v>20197</v>
      </c>
      <c r="C19718" s="1">
        <v>3.0607907882796099E-4</v>
      </c>
      <c r="D19718" s="1">
        <v>4.5823977604572298E-5</v>
      </c>
      <c r="E19718" s="1">
        <v>1.3174970191629899E-5</v>
      </c>
      <c r="F19718" s="1">
        <v>2.7147701942177002E-4</v>
      </c>
    </row>
    <row r="19719" spans="1:6" x14ac:dyDescent="0.25">
      <c r="A19719" s="2" t="str">
        <f t="shared" ref="A19719:A19782" si="698">"47900"</f>
        <v>47900</v>
      </c>
      <c r="B19719" s="2" t="str">
        <f>"20055"</f>
        <v>20055</v>
      </c>
      <c r="C19719" s="1">
        <v>0</v>
      </c>
      <c r="D19719" s="1">
        <v>4.1658161458702099E-6</v>
      </c>
      <c r="E19719" s="1">
        <v>0</v>
      </c>
      <c r="F19719" s="1">
        <v>3.2357213280306297E-7</v>
      </c>
    </row>
    <row r="19720" spans="1:6" x14ac:dyDescent="0.25">
      <c r="A19720" s="2" t="str">
        <f t="shared" si="698"/>
        <v>47900</v>
      </c>
      <c r="B19720" s="2" t="str">
        <f>"20073"</f>
        <v>20073</v>
      </c>
      <c r="C19720" s="1">
        <v>0</v>
      </c>
      <c r="D19720" s="1">
        <v>4.1658161458702099E-6</v>
      </c>
      <c r="E19720" s="1">
        <v>0</v>
      </c>
      <c r="F19720" s="1">
        <v>3.2357213280306297E-7</v>
      </c>
    </row>
    <row r="19721" spans="1:6" x14ac:dyDescent="0.25">
      <c r="A19721" s="2" t="str">
        <f t="shared" si="698"/>
        <v>47900</v>
      </c>
      <c r="B19721" s="2" t="str">
        <f>"20069"</f>
        <v>20069</v>
      </c>
      <c r="C19721" s="1">
        <v>0</v>
      </c>
      <c r="D19721" s="1">
        <v>4.1658161458702099E-6</v>
      </c>
      <c r="E19721" s="1">
        <v>0</v>
      </c>
      <c r="F19721" s="1">
        <v>3.2357213280306297E-7</v>
      </c>
    </row>
    <row r="19722" spans="1:6" x14ac:dyDescent="0.25">
      <c r="A19722" s="2" t="str">
        <f t="shared" si="698"/>
        <v>47900</v>
      </c>
      <c r="B19722" s="2" t="str">
        <f>"20101"</f>
        <v>20101</v>
      </c>
      <c r="C19722" s="1">
        <v>0</v>
      </c>
      <c r="D19722" s="1">
        <v>4.1658161458702099E-6</v>
      </c>
      <c r="E19722" s="1">
        <v>6.5874850958149701E-6</v>
      </c>
      <c r="F19722" s="1">
        <v>6.4714426560612595E-7</v>
      </c>
    </row>
    <row r="19723" spans="1:6" x14ac:dyDescent="0.25">
      <c r="A19723" s="2" t="str">
        <f t="shared" si="698"/>
        <v>47900</v>
      </c>
      <c r="B19723" s="2" t="str">
        <f>"20076"</f>
        <v>20076</v>
      </c>
      <c r="C19723" s="1">
        <v>0</v>
      </c>
      <c r="D19723" s="1">
        <v>8.33163229174043E-6</v>
      </c>
      <c r="E19723" s="1">
        <v>6.5874850958149701E-6</v>
      </c>
      <c r="F19723" s="1">
        <v>9.7071639840918897E-7</v>
      </c>
    </row>
    <row r="19724" spans="1:6" x14ac:dyDescent="0.25">
      <c r="A19724" s="2" t="str">
        <f t="shared" si="698"/>
        <v>47900</v>
      </c>
      <c r="B19724" s="2" t="str">
        <f>"20110"</f>
        <v>20110</v>
      </c>
      <c r="C19724" s="1">
        <v>5.8477408510702903E-3</v>
      </c>
      <c r="D19724" s="1">
        <v>1.08311219792625E-2</v>
      </c>
      <c r="E19724" s="1">
        <v>5.80357436941298E-3</v>
      </c>
      <c r="F19724" s="1">
        <v>6.2326464220526E-3</v>
      </c>
    </row>
    <row r="19725" spans="1:6" x14ac:dyDescent="0.25">
      <c r="A19725" s="2" t="str">
        <f t="shared" si="698"/>
        <v>47900</v>
      </c>
      <c r="B19725" s="2" t="str">
        <f>"20105"</f>
        <v>20105</v>
      </c>
      <c r="C19725" s="1">
        <v>3.6818422847876798E-3</v>
      </c>
      <c r="D19725" s="1">
        <v>4.7906885677507501E-4</v>
      </c>
      <c r="E19725" s="1">
        <v>3.35961739886563E-4</v>
      </c>
      <c r="F19725" s="1">
        <v>3.2687256855765401E-3</v>
      </c>
    </row>
    <row r="19726" spans="1:6" x14ac:dyDescent="0.25">
      <c r="A19726" s="2" t="str">
        <f t="shared" si="698"/>
        <v>47900</v>
      </c>
      <c r="B19726" s="2" t="str">
        <f>"20045"</f>
        <v>20045</v>
      </c>
      <c r="C19726" s="1">
        <v>0</v>
      </c>
      <c r="D19726" s="1">
        <v>1.90794379480855E-3</v>
      </c>
      <c r="E19726" s="1">
        <v>2.6349940383259799E-5</v>
      </c>
      <c r="F19726" s="1">
        <v>1.4949032535501499E-4</v>
      </c>
    </row>
    <row r="19727" spans="1:6" x14ac:dyDescent="0.25">
      <c r="A19727" s="2" t="str">
        <f t="shared" si="698"/>
        <v>47900</v>
      </c>
      <c r="B19727" s="2" t="str">
        <f>"20039"</f>
        <v>20039</v>
      </c>
      <c r="C19727" s="1">
        <v>2.4123181636441E-4</v>
      </c>
      <c r="D19727" s="1">
        <v>4.3741069531637203E-4</v>
      </c>
      <c r="E19727" s="1">
        <v>1.3174970191629899E-5</v>
      </c>
      <c r="F19727" s="1">
        <v>2.4526767666472102E-4</v>
      </c>
    </row>
    <row r="19728" spans="1:6" x14ac:dyDescent="0.25">
      <c r="A19728" s="2" t="str">
        <f t="shared" si="698"/>
        <v>47900</v>
      </c>
      <c r="B19728" s="2" t="str">
        <f>"20024"</f>
        <v>20024</v>
      </c>
      <c r="C19728" s="1">
        <v>5.4619922783585399E-3</v>
      </c>
      <c r="D19728" s="1">
        <v>4.5657344958737502E-3</v>
      </c>
      <c r="E19728" s="1">
        <v>3.4913671007819301E-3</v>
      </c>
      <c r="F19728" s="1">
        <v>5.2955815254549302E-3</v>
      </c>
    </row>
    <row r="19729" spans="1:6" x14ac:dyDescent="0.25">
      <c r="A19729" s="2" t="str">
        <f t="shared" si="698"/>
        <v>47900</v>
      </c>
      <c r="B19729" s="2" t="str">
        <f>"20178"</f>
        <v>20178</v>
      </c>
      <c r="C19729" s="1">
        <v>2.6531794242230002E-4</v>
      </c>
      <c r="D19729" s="1">
        <v>9.7063516198775998E-4</v>
      </c>
      <c r="E19729" s="1">
        <v>6.5874850958149701E-6</v>
      </c>
      <c r="F19729" s="1">
        <v>3.0739352616291E-4</v>
      </c>
    </row>
    <row r="19730" spans="1:6" x14ac:dyDescent="0.25">
      <c r="A19730" s="2" t="str">
        <f t="shared" si="698"/>
        <v>47900</v>
      </c>
      <c r="B19730" s="2" t="str">
        <f>"20147"</f>
        <v>20147</v>
      </c>
      <c r="C19730" s="1">
        <v>9.2275801706705792E-3</v>
      </c>
      <c r="D19730" s="1">
        <v>8.1025124037175707E-3</v>
      </c>
      <c r="E19730" s="1">
        <v>7.6348952260495498E-3</v>
      </c>
      <c r="F19730" s="1">
        <v>9.0619611512825892E-3</v>
      </c>
    </row>
    <row r="19731" spans="1:6" x14ac:dyDescent="0.25">
      <c r="A19731" s="2" t="str">
        <f t="shared" si="698"/>
        <v>47900</v>
      </c>
      <c r="B19731" s="2" t="str">
        <f>"20020"</f>
        <v>20020</v>
      </c>
      <c r="C19731" s="1">
        <v>9.0300739369958798E-3</v>
      </c>
      <c r="D19731" s="1">
        <v>3.4118034234676999E-3</v>
      </c>
      <c r="E19731" s="1">
        <v>2.54145174996541E-2</v>
      </c>
      <c r="F19731" s="1">
        <v>9.3984761693977695E-3</v>
      </c>
    </row>
    <row r="19732" spans="1:6" x14ac:dyDescent="0.25">
      <c r="A19732" s="2" t="str">
        <f t="shared" si="698"/>
        <v>47900</v>
      </c>
      <c r="B19732" s="2" t="str">
        <f>"20124"</f>
        <v>20124</v>
      </c>
      <c r="C19732" s="1">
        <v>1.8961339544342299E-3</v>
      </c>
      <c r="D19732" s="1">
        <v>6.8735966406858497E-4</v>
      </c>
      <c r="E19732" s="1">
        <v>1.6468712739537401E-4</v>
      </c>
      <c r="F19732" s="1">
        <v>1.7171973087858499E-3</v>
      </c>
    </row>
    <row r="19733" spans="1:6" x14ac:dyDescent="0.25">
      <c r="A19733" s="2" t="str">
        <f t="shared" si="698"/>
        <v>47900</v>
      </c>
      <c r="B19733" s="2" t="str">
        <f>"20015"</f>
        <v>20015</v>
      </c>
      <c r="C19733" s="1">
        <v>2.9496240526278102E-3</v>
      </c>
      <c r="D19733" s="1">
        <v>2.1453953151231598E-3</v>
      </c>
      <c r="E19733" s="1">
        <v>1.04741013023458E-3</v>
      </c>
      <c r="F19733" s="1">
        <v>2.7937217946216401E-3</v>
      </c>
    </row>
    <row r="19734" spans="1:6" x14ac:dyDescent="0.25">
      <c r="A19734" s="2" t="str">
        <f t="shared" si="698"/>
        <v>47900</v>
      </c>
      <c r="B19734" s="2" t="str">
        <f>"20008"</f>
        <v>20008</v>
      </c>
      <c r="C19734" s="1">
        <v>7.0375954783300802E-3</v>
      </c>
      <c r="D19734" s="1">
        <v>4.2449666526417499E-3</v>
      </c>
      <c r="E19734" s="1">
        <v>4.1962280060341304E-3</v>
      </c>
      <c r="F19734" s="1">
        <v>6.6811173981176503E-3</v>
      </c>
    </row>
    <row r="19735" spans="1:6" x14ac:dyDescent="0.25">
      <c r="A19735" s="2" t="str">
        <f t="shared" si="698"/>
        <v>47900</v>
      </c>
      <c r="B19735" s="2" t="str">
        <f>"20005"</f>
        <v>20005</v>
      </c>
      <c r="C19735" s="1">
        <v>3.56215276606924E-3</v>
      </c>
      <c r="D19735" s="1">
        <v>1.42804177480431E-2</v>
      </c>
      <c r="E19735" s="1">
        <v>5.33586292761012E-3</v>
      </c>
      <c r="F19735" s="1">
        <v>4.4817976114552302E-3</v>
      </c>
    </row>
    <row r="19736" spans="1:6" x14ac:dyDescent="0.25">
      <c r="A19736" s="2" t="str">
        <f t="shared" si="698"/>
        <v>47900</v>
      </c>
      <c r="B19736" s="2" t="str">
        <f>"25441"</f>
        <v>25441</v>
      </c>
      <c r="C19736" s="1">
        <v>0</v>
      </c>
      <c r="D19736" s="1">
        <v>0</v>
      </c>
      <c r="E19736" s="1">
        <v>1.3174970191629899E-5</v>
      </c>
      <c r="F19736" s="1">
        <v>6.4714426560612595E-7</v>
      </c>
    </row>
    <row r="19737" spans="1:6" x14ac:dyDescent="0.25">
      <c r="A19737" s="2" t="str">
        <f t="shared" si="698"/>
        <v>47900</v>
      </c>
      <c r="B19737" s="2" t="str">
        <f>"25414"</f>
        <v>25414</v>
      </c>
      <c r="C19737" s="1">
        <v>3.2949820447194102E-3</v>
      </c>
      <c r="D19737" s="1">
        <v>3.0493774187769899E-3</v>
      </c>
      <c r="E19737" s="1">
        <v>2.0684703200858998E-3</v>
      </c>
      <c r="F19737" s="1">
        <v>3.2156598557968401E-3</v>
      </c>
    </row>
    <row r="19738" spans="1:6" x14ac:dyDescent="0.25">
      <c r="A19738" s="2" t="str">
        <f t="shared" si="698"/>
        <v>47900</v>
      </c>
      <c r="B19738" s="2" t="str">
        <f>"22736"</f>
        <v>22736</v>
      </c>
      <c r="C19738" s="1">
        <v>8.1522272811321503E-5</v>
      </c>
      <c r="D19738" s="1">
        <v>5.8321426042182998E-5</v>
      </c>
      <c r="E19738" s="1">
        <v>6.5874850958149701E-6</v>
      </c>
      <c r="F19738" s="1">
        <v>7.6039451208719796E-5</v>
      </c>
    </row>
    <row r="19739" spans="1:6" x14ac:dyDescent="0.25">
      <c r="A19739" s="2" t="str">
        <f t="shared" si="698"/>
        <v>47900</v>
      </c>
      <c r="B19739" s="2" t="str">
        <f>"22719"</f>
        <v>22719</v>
      </c>
      <c r="C19739" s="1">
        <v>1.2673007864305401E-4</v>
      </c>
      <c r="D19739" s="1">
        <v>0</v>
      </c>
      <c r="E19739" s="1">
        <v>6.5874850958149701E-6</v>
      </c>
      <c r="F19739" s="1">
        <v>1.1098524155144999E-4</v>
      </c>
    </row>
    <row r="19740" spans="1:6" x14ac:dyDescent="0.25">
      <c r="A19740" s="2" t="str">
        <f t="shared" si="698"/>
        <v>47900</v>
      </c>
      <c r="B19740" s="2" t="str">
        <f>"22713"</f>
        <v>22713</v>
      </c>
      <c r="C19740" s="1">
        <v>2.03064570457291E-4</v>
      </c>
      <c r="D19740" s="1">
        <v>2.9160713021091499E-5</v>
      </c>
      <c r="E19740" s="1">
        <v>0</v>
      </c>
      <c r="F19740" s="1">
        <v>1.7958253370570001E-4</v>
      </c>
    </row>
    <row r="19741" spans="1:6" x14ac:dyDescent="0.25">
      <c r="A19741" s="2" t="str">
        <f t="shared" si="698"/>
        <v>47900</v>
      </c>
      <c r="B19741" s="2" t="str">
        <f>"22960"</f>
        <v>22960</v>
      </c>
      <c r="C19741" s="1">
        <v>2.2789180808619399E-4</v>
      </c>
      <c r="D19741" s="1">
        <v>1.6663264583480799E-5</v>
      </c>
      <c r="E19741" s="1">
        <v>0</v>
      </c>
      <c r="F19741" s="1">
        <v>2.0029115020509601E-4</v>
      </c>
    </row>
    <row r="19742" spans="1:6" x14ac:dyDescent="0.25">
      <c r="A19742" s="2" t="str">
        <f t="shared" si="698"/>
        <v>47900</v>
      </c>
      <c r="B19742" s="2" t="str">
        <f>"22712"</f>
        <v>22712</v>
      </c>
      <c r="C19742" s="1">
        <v>1.36216306752008E-3</v>
      </c>
      <c r="D19742" s="1">
        <v>5.1656120208790697E-4</v>
      </c>
      <c r="E19742" s="1">
        <v>2.8326185912004299E-4</v>
      </c>
      <c r="F19742" s="1">
        <v>1.2434877063621701E-3</v>
      </c>
    </row>
    <row r="19743" spans="1:6" x14ac:dyDescent="0.25">
      <c r="A19743" s="2" t="str">
        <f t="shared" si="698"/>
        <v>47900</v>
      </c>
      <c r="B19743" s="2" t="str">
        <f>"22320"</f>
        <v>22320</v>
      </c>
      <c r="C19743" s="1">
        <v>1.8416622539648499E-4</v>
      </c>
      <c r="D19743" s="1">
        <v>6.7902803177684497E-4</v>
      </c>
      <c r="E19743" s="1">
        <v>6.5874850958149701E-6</v>
      </c>
      <c r="F19743" s="1">
        <v>2.1388117978282401E-4</v>
      </c>
    </row>
    <row r="19744" spans="1:6" x14ac:dyDescent="0.25">
      <c r="A19744" s="2" t="str">
        <f t="shared" si="698"/>
        <v>47900</v>
      </c>
      <c r="B19744" s="2" t="str">
        <f>"22620"</f>
        <v>22620</v>
      </c>
      <c r="C19744" s="1">
        <v>3.4165243423653802E-4</v>
      </c>
      <c r="D19744" s="1">
        <v>1.4996938125132699E-4</v>
      </c>
      <c r="E19744" s="1">
        <v>2.6349940383259799E-5</v>
      </c>
      <c r="F19744" s="1">
        <v>3.1127639175654602E-4</v>
      </c>
    </row>
    <row r="19745" spans="1:6" x14ac:dyDescent="0.25">
      <c r="A19745" s="2" t="str">
        <f t="shared" si="698"/>
        <v>47900</v>
      </c>
      <c r="B19745" s="2" t="str">
        <f>"22545"</f>
        <v>22545</v>
      </c>
      <c r="C19745" s="1">
        <v>0</v>
      </c>
      <c r="D19745" s="1">
        <v>0</v>
      </c>
      <c r="E19745" s="1">
        <v>1.9762455287444899E-5</v>
      </c>
      <c r="F19745" s="1">
        <v>9.7071639840918897E-7</v>
      </c>
    </row>
    <row r="19746" spans="1:6" x14ac:dyDescent="0.25">
      <c r="A19746" s="2" t="str">
        <f t="shared" si="698"/>
        <v>47900</v>
      </c>
      <c r="B19746" s="2" t="str">
        <f>"22534"</f>
        <v>22534</v>
      </c>
      <c r="C19746" s="1">
        <v>4.2762137647393101E-4</v>
      </c>
      <c r="D19746" s="1">
        <v>1.24974484376106E-5</v>
      </c>
      <c r="E19746" s="1">
        <v>6.5874850958149701E-6</v>
      </c>
      <c r="F19746" s="1">
        <v>3.7469652978594698E-4</v>
      </c>
    </row>
    <row r="19747" spans="1:6" x14ac:dyDescent="0.25">
      <c r="A19747" s="2" t="str">
        <f t="shared" si="698"/>
        <v>47900</v>
      </c>
      <c r="B19747" s="2" t="str">
        <f>"22556"</f>
        <v>22556</v>
      </c>
      <c r="C19747" s="1">
        <v>3.6043961256169198E-3</v>
      </c>
      <c r="D19747" s="1">
        <v>1.5913417677224199E-3</v>
      </c>
      <c r="E19747" s="1">
        <v>1.08693504080947E-3</v>
      </c>
      <c r="F19747" s="1">
        <v>3.32438009241867E-3</v>
      </c>
    </row>
    <row r="19748" spans="1:6" x14ac:dyDescent="0.25">
      <c r="A19748" s="2" t="str">
        <f t="shared" si="698"/>
        <v>47900</v>
      </c>
      <c r="B19748" s="2" t="str">
        <f>"22243"</f>
        <v>22243</v>
      </c>
      <c r="C19748" s="1">
        <v>0</v>
      </c>
      <c r="D19748" s="1">
        <v>4.1658161458702099E-6</v>
      </c>
      <c r="E19748" s="1">
        <v>0</v>
      </c>
      <c r="F19748" s="1">
        <v>3.2357213280306297E-7</v>
      </c>
    </row>
    <row r="19749" spans="1:6" x14ac:dyDescent="0.25">
      <c r="A19749" s="2" t="str">
        <f t="shared" si="698"/>
        <v>47900</v>
      </c>
      <c r="B19749" s="2" t="str">
        <f>"22241"</f>
        <v>22241</v>
      </c>
      <c r="C19749" s="1">
        <v>0</v>
      </c>
      <c r="D19749" s="1">
        <v>4.1658161458702099E-6</v>
      </c>
      <c r="E19749" s="1">
        <v>0</v>
      </c>
      <c r="F19749" s="1">
        <v>3.2357213280306297E-7</v>
      </c>
    </row>
    <row r="19750" spans="1:6" x14ac:dyDescent="0.25">
      <c r="A19750" s="2" t="str">
        <f t="shared" si="698"/>
        <v>47900</v>
      </c>
      <c r="B19750" s="2" t="str">
        <f>"22226"</f>
        <v>22226</v>
      </c>
      <c r="C19750" s="1">
        <v>0</v>
      </c>
      <c r="D19750" s="1">
        <v>4.1658161458702099E-6</v>
      </c>
      <c r="E19750" s="1">
        <v>0</v>
      </c>
      <c r="F19750" s="1">
        <v>3.2357213280306297E-7</v>
      </c>
    </row>
    <row r="19751" spans="1:6" x14ac:dyDescent="0.25">
      <c r="A19751" s="2" t="str">
        <f t="shared" si="698"/>
        <v>47900</v>
      </c>
      <c r="B19751" s="2" t="str">
        <f>"22039"</f>
        <v>22039</v>
      </c>
      <c r="C19751" s="1">
        <v>2.4660487525424699E-3</v>
      </c>
      <c r="D19751" s="1">
        <v>1.2080866823023599E-3</v>
      </c>
      <c r="E19751" s="1">
        <v>3.1619928459911801E-4</v>
      </c>
      <c r="F19751" s="1">
        <v>2.2627399246918198E-3</v>
      </c>
    </row>
    <row r="19752" spans="1:6" x14ac:dyDescent="0.25">
      <c r="A19752" s="2" t="str">
        <f t="shared" si="698"/>
        <v>47900</v>
      </c>
      <c r="B19752" s="2" t="str">
        <f>"22201"</f>
        <v>22201</v>
      </c>
      <c r="C19752" s="1">
        <v>8.0773750124599301E-3</v>
      </c>
      <c r="D19752" s="1">
        <v>6.01543851463659E-3</v>
      </c>
      <c r="E19752" s="1">
        <v>1.0731013221082501E-2</v>
      </c>
      <c r="F19752" s="1">
        <v>8.0475625149449802E-3</v>
      </c>
    </row>
    <row r="19753" spans="1:6" x14ac:dyDescent="0.25">
      <c r="A19753" s="2" t="str">
        <f t="shared" si="698"/>
        <v>47900</v>
      </c>
      <c r="B19753" s="2" t="str">
        <f>"22134"</f>
        <v>22134</v>
      </c>
      <c r="C19753" s="1">
        <v>2.3411714528269499E-3</v>
      </c>
      <c r="D19753" s="1">
        <v>7.3734945781902801E-4</v>
      </c>
      <c r="E19753" s="1">
        <v>1.04082264513876E-3</v>
      </c>
      <c r="F19753" s="1">
        <v>2.15272539953878E-3</v>
      </c>
    </row>
    <row r="19754" spans="1:6" x14ac:dyDescent="0.25">
      <c r="A19754" s="2" t="str">
        <f t="shared" si="698"/>
        <v>47900</v>
      </c>
      <c r="B19754" s="2" t="str">
        <f>"22121"</f>
        <v>22121</v>
      </c>
      <c r="C19754" s="1">
        <v>6.5217818249057197E-5</v>
      </c>
      <c r="D19754" s="1">
        <v>5.5821936354660904E-4</v>
      </c>
      <c r="E19754" s="1">
        <v>1.3174970191629899E-5</v>
      </c>
      <c r="F19754" s="1">
        <v>1.00954505434555E-4</v>
      </c>
    </row>
    <row r="19755" spans="1:6" x14ac:dyDescent="0.25">
      <c r="A19755" s="2" t="str">
        <f t="shared" si="698"/>
        <v>47900</v>
      </c>
      <c r="B19755" s="2" t="str">
        <f>"22102"</f>
        <v>22102</v>
      </c>
      <c r="C19755" s="1">
        <v>5.4345711502310897E-3</v>
      </c>
      <c r="D19755" s="1">
        <v>9.6771909068565105E-3</v>
      </c>
      <c r="E19755" s="1">
        <v>5.2304631660770803E-3</v>
      </c>
      <c r="F19755" s="1">
        <v>5.7540832376368704E-3</v>
      </c>
    </row>
    <row r="19756" spans="1:6" x14ac:dyDescent="0.25">
      <c r="A19756" s="2" t="str">
        <f t="shared" si="698"/>
        <v>47900</v>
      </c>
      <c r="B19756" s="2" t="str">
        <f>"22181"</f>
        <v>22181</v>
      </c>
      <c r="C19756" s="1">
        <v>2.0499146054192298E-3</v>
      </c>
      <c r="D19756" s="1">
        <v>1.79130094272419E-4</v>
      </c>
      <c r="E19756" s="1">
        <v>6.4557353938986695E-4</v>
      </c>
      <c r="F19756" s="1">
        <v>1.83562470939177E-3</v>
      </c>
    </row>
    <row r="19757" spans="1:6" x14ac:dyDescent="0.25">
      <c r="A19757" s="2" t="str">
        <f t="shared" si="698"/>
        <v>47900</v>
      </c>
      <c r="B19757" s="2" t="str">
        <f>"22153"</f>
        <v>22153</v>
      </c>
      <c r="C19757" s="1">
        <v>4.0272002768792798E-3</v>
      </c>
      <c r="D19757" s="1">
        <v>2.5161529521056099E-3</v>
      </c>
      <c r="E19757" s="1">
        <v>2.43736948545153E-4</v>
      </c>
      <c r="F19757" s="1">
        <v>3.7239916764304501E-3</v>
      </c>
    </row>
    <row r="19758" spans="1:6" x14ac:dyDescent="0.25">
      <c r="A19758" s="2" t="str">
        <f t="shared" si="698"/>
        <v>47900</v>
      </c>
      <c r="B19758" s="2" t="str">
        <f>"22192"</f>
        <v>22192</v>
      </c>
      <c r="C19758" s="1">
        <v>7.9232238056894302E-3</v>
      </c>
      <c r="D19758" s="1">
        <v>7.9150506771534096E-3</v>
      </c>
      <c r="E19758" s="1">
        <v>5.73769951845483E-3</v>
      </c>
      <c r="F19758" s="1">
        <v>7.8152377235923796E-3</v>
      </c>
    </row>
    <row r="19759" spans="1:6" x14ac:dyDescent="0.25">
      <c r="A19759" s="2" t="str">
        <f t="shared" si="698"/>
        <v>47900</v>
      </c>
      <c r="B19759" s="2" t="str">
        <f>"22046"</f>
        <v>22046</v>
      </c>
      <c r="C19759" s="1">
        <v>2.6887527796315802E-3</v>
      </c>
      <c r="D19759" s="1">
        <v>5.11978804327449E-3</v>
      </c>
      <c r="E19759" s="1">
        <v>2.7799187104339102E-3</v>
      </c>
      <c r="F19759" s="1">
        <v>2.8820569868768802E-3</v>
      </c>
    </row>
    <row r="19760" spans="1:6" x14ac:dyDescent="0.25">
      <c r="A19760" s="2" t="str">
        <f t="shared" si="698"/>
        <v>47900</v>
      </c>
      <c r="B19760" s="2" t="str">
        <f>"21718"</f>
        <v>21718</v>
      </c>
      <c r="C19760" s="1">
        <v>2.74211281274445E-5</v>
      </c>
      <c r="D19760" s="1">
        <v>4.1658161458702099E-6</v>
      </c>
      <c r="E19760" s="1">
        <v>0</v>
      </c>
      <c r="F19760" s="1">
        <v>2.4267909960229702E-5</v>
      </c>
    </row>
    <row r="19761" spans="1:6" x14ac:dyDescent="0.25">
      <c r="A19761" s="2" t="str">
        <f t="shared" si="698"/>
        <v>47900</v>
      </c>
      <c r="B19761" s="2" t="str">
        <f>"21780"</f>
        <v>21780</v>
      </c>
      <c r="C19761" s="1">
        <v>2.5346015728610802E-4</v>
      </c>
      <c r="D19761" s="1">
        <v>6.6653058333923399E-5</v>
      </c>
      <c r="E19761" s="1">
        <v>0</v>
      </c>
      <c r="F19761" s="1">
        <v>2.2650049296214401E-4</v>
      </c>
    </row>
    <row r="19762" spans="1:6" x14ac:dyDescent="0.25">
      <c r="A19762" s="2" t="str">
        <f t="shared" si="698"/>
        <v>47900</v>
      </c>
      <c r="B19762" s="2" t="str">
        <f>"21778"</f>
        <v>21778</v>
      </c>
      <c r="C19762" s="1">
        <v>1.6823232661972699E-4</v>
      </c>
      <c r="D19762" s="1">
        <v>2.4994896875221298E-5</v>
      </c>
      <c r="E19762" s="1">
        <v>0</v>
      </c>
      <c r="F19762" s="1">
        <v>1.48843181089409E-4</v>
      </c>
    </row>
    <row r="19763" spans="1:6" x14ac:dyDescent="0.25">
      <c r="A19763" s="2" t="str">
        <f t="shared" si="698"/>
        <v>47900</v>
      </c>
      <c r="B19763" s="2" t="str">
        <f>"21770"</f>
        <v>21770</v>
      </c>
      <c r="C19763" s="1">
        <v>9.1749612491287297E-4</v>
      </c>
      <c r="D19763" s="1">
        <v>5.2489283437964697E-4</v>
      </c>
      <c r="E19763" s="1">
        <v>1.0539976153303901E-4</v>
      </c>
      <c r="F19763" s="1">
        <v>8.4711184367841901E-4</v>
      </c>
    </row>
    <row r="19764" spans="1:6" x14ac:dyDescent="0.25">
      <c r="A19764" s="2" t="str">
        <f t="shared" si="698"/>
        <v>47900</v>
      </c>
      <c r="B19764" s="2" t="str">
        <f>"21769"</f>
        <v>21769</v>
      </c>
      <c r="C19764" s="1">
        <v>1.66157214220893E-3</v>
      </c>
      <c r="D19764" s="1">
        <v>7.4151527396489796E-4</v>
      </c>
      <c r="E19764" s="1">
        <v>4.0183659084471298E-4</v>
      </c>
      <c r="F19764" s="1">
        <v>1.5282311832288599E-3</v>
      </c>
    </row>
    <row r="19765" spans="1:6" x14ac:dyDescent="0.25">
      <c r="A19765" s="2" t="str">
        <f t="shared" si="698"/>
        <v>47900</v>
      </c>
      <c r="B19765" s="2" t="str">
        <f>"21702"</f>
        <v>21702</v>
      </c>
      <c r="C19765" s="1">
        <v>6.9249465195362504E-3</v>
      </c>
      <c r="D19765" s="1">
        <v>6.8735966406858499E-3</v>
      </c>
      <c r="E19765" s="1">
        <v>6.6006600660065999E-3</v>
      </c>
      <c r="F19765" s="1">
        <v>6.9050293140173703E-3</v>
      </c>
    </row>
    <row r="19766" spans="1:6" x14ac:dyDescent="0.25">
      <c r="A19766" s="2" t="str">
        <f t="shared" si="698"/>
        <v>47900</v>
      </c>
      <c r="B19766" s="2" t="str">
        <f>"20913"</f>
        <v>20913</v>
      </c>
      <c r="C19766" s="1">
        <v>2.9125684740772103E-4</v>
      </c>
      <c r="D19766" s="1">
        <v>6.7486221563097502E-4</v>
      </c>
      <c r="E19766" s="1">
        <v>1.3174970191629899E-5</v>
      </c>
      <c r="F19766" s="1">
        <v>3.0739352616291E-4</v>
      </c>
    </row>
    <row r="19767" spans="1:6" x14ac:dyDescent="0.25">
      <c r="A19767" s="2" t="str">
        <f t="shared" si="698"/>
        <v>47900</v>
      </c>
      <c r="B19767" s="2" t="str">
        <f>"20830"</f>
        <v>20830</v>
      </c>
      <c r="C19767" s="1">
        <v>3.9353024420737899E-4</v>
      </c>
      <c r="D19767" s="1">
        <v>1.46220146720044E-3</v>
      </c>
      <c r="E19767" s="1">
        <v>1.3174970191629899E-5</v>
      </c>
      <c r="F19767" s="1">
        <v>4.5785456791633402E-4</v>
      </c>
    </row>
    <row r="19768" spans="1:6" x14ac:dyDescent="0.25">
      <c r="A19768" s="2" t="str">
        <f t="shared" si="698"/>
        <v>47900</v>
      </c>
      <c r="B19768" s="2" t="str">
        <f>"20810"</f>
        <v>20810</v>
      </c>
      <c r="C19768" s="1">
        <v>0</v>
      </c>
      <c r="D19768" s="1">
        <v>8.33163229174043E-6</v>
      </c>
      <c r="E19768" s="1">
        <v>0</v>
      </c>
      <c r="F19768" s="1">
        <v>6.4714426560612595E-7</v>
      </c>
    </row>
    <row r="19769" spans="1:6" x14ac:dyDescent="0.25">
      <c r="A19769" s="2" t="str">
        <f t="shared" si="698"/>
        <v>47900</v>
      </c>
      <c r="B19769" s="2" t="str">
        <f>"20787"</f>
        <v>20787</v>
      </c>
      <c r="C19769" s="1">
        <v>4.8728085794039899E-4</v>
      </c>
      <c r="D19769" s="1">
        <v>5.4155609896312795E-4</v>
      </c>
      <c r="E19769" s="1">
        <v>1.3174970191629899E-5</v>
      </c>
      <c r="F19769" s="1">
        <v>4.6820887616603199E-4</v>
      </c>
    </row>
    <row r="19770" spans="1:6" x14ac:dyDescent="0.25">
      <c r="A19770" s="2" t="str">
        <f t="shared" si="698"/>
        <v>47900</v>
      </c>
      <c r="B19770" s="2" t="str">
        <f>"20785"</f>
        <v>20785</v>
      </c>
      <c r="C19770" s="1">
        <v>6.2064388514400997E-3</v>
      </c>
      <c r="D19770" s="1">
        <v>6.0945890214081202E-3</v>
      </c>
      <c r="E19770" s="1">
        <v>7.0881339630968999E-3</v>
      </c>
      <c r="F19770" s="1">
        <v>6.2410592975054796E-3</v>
      </c>
    </row>
    <row r="19771" spans="1:6" x14ac:dyDescent="0.25">
      <c r="A19771" s="2" t="str">
        <f t="shared" si="698"/>
        <v>47900</v>
      </c>
      <c r="B19771" s="2" t="str">
        <f>"20814"</f>
        <v>20814</v>
      </c>
      <c r="C19771" s="1">
        <v>5.9463086900148898E-3</v>
      </c>
      <c r="D19771" s="1">
        <v>1.30348387204279E-2</v>
      </c>
      <c r="E19771" s="1">
        <v>9.94051500958479E-3</v>
      </c>
      <c r="F19771" s="1">
        <v>6.6930895670313604E-3</v>
      </c>
    </row>
    <row r="19772" spans="1:6" x14ac:dyDescent="0.25">
      <c r="A19772" s="2" t="str">
        <f t="shared" si="698"/>
        <v>47900</v>
      </c>
      <c r="B19772" s="2" t="str">
        <f>"20894"</f>
        <v>20894</v>
      </c>
      <c r="C19772" s="1">
        <v>0</v>
      </c>
      <c r="D19772" s="1">
        <v>4.1658161458702099E-6</v>
      </c>
      <c r="E19772" s="1">
        <v>0</v>
      </c>
      <c r="F19772" s="1">
        <v>3.2357213280306297E-7</v>
      </c>
    </row>
    <row r="19773" spans="1:6" x14ac:dyDescent="0.25">
      <c r="A19773" s="2" t="str">
        <f t="shared" si="698"/>
        <v>47900</v>
      </c>
      <c r="B19773" s="2" t="str">
        <f>"20872"</f>
        <v>20872</v>
      </c>
      <c r="C19773" s="1">
        <v>1.8972456217907501E-3</v>
      </c>
      <c r="D19773" s="1">
        <v>1.7871351265783199E-3</v>
      </c>
      <c r="E19773" s="1">
        <v>8.2343563697687095E-4</v>
      </c>
      <c r="F19773" s="1">
        <v>1.8359482815245799E-3</v>
      </c>
    </row>
    <row r="19774" spans="1:6" x14ac:dyDescent="0.25">
      <c r="A19774" s="2" t="str">
        <f t="shared" si="698"/>
        <v>47900</v>
      </c>
      <c r="B19774" s="2" t="str">
        <f>"20871"</f>
        <v>20871</v>
      </c>
      <c r="C19774" s="1">
        <v>3.72742064640492E-3</v>
      </c>
      <c r="D19774" s="1">
        <v>1.86211981720398E-3</v>
      </c>
      <c r="E19774" s="1">
        <v>6.9168593506057101E-4</v>
      </c>
      <c r="F19774" s="1">
        <v>3.4334239011733002E-3</v>
      </c>
    </row>
    <row r="19775" spans="1:6" x14ac:dyDescent="0.25">
      <c r="A19775" s="2" t="str">
        <f t="shared" si="698"/>
        <v>47900</v>
      </c>
      <c r="B19775" s="2" t="str">
        <f>"20860"</f>
        <v>20860</v>
      </c>
      <c r="C19775" s="1">
        <v>2.9014518005120301E-4</v>
      </c>
      <c r="D19775" s="1">
        <v>5.0406375365029605E-4</v>
      </c>
      <c r="E19775" s="1">
        <v>2.1079952306607899E-4</v>
      </c>
      <c r="F19775" s="1">
        <v>3.0286351630366698E-4</v>
      </c>
    </row>
    <row r="19776" spans="1:6" x14ac:dyDescent="0.25">
      <c r="A19776" s="2" t="str">
        <f t="shared" si="698"/>
        <v>47900</v>
      </c>
      <c r="B19776" s="2" t="str">
        <f>"20855"</f>
        <v>20855</v>
      </c>
      <c r="C19776" s="1">
        <v>2.3174558825545602E-3</v>
      </c>
      <c r="D19776" s="1">
        <v>2.7369412078367301E-3</v>
      </c>
      <c r="E19776" s="1">
        <v>1.1528098917676099E-3</v>
      </c>
      <c r="F19776" s="1">
        <v>2.2928321330425001E-3</v>
      </c>
    </row>
    <row r="19777" spans="1:6" x14ac:dyDescent="0.25">
      <c r="A19777" s="2" t="str">
        <f t="shared" si="698"/>
        <v>47900</v>
      </c>
      <c r="B19777" s="2" t="str">
        <f>"20878"</f>
        <v>20878</v>
      </c>
      <c r="C19777" s="1">
        <v>9.3854369352961396E-3</v>
      </c>
      <c r="D19777" s="1">
        <v>6.0987548375539902E-3</v>
      </c>
      <c r="E19777" s="1">
        <v>9.8087653076684902E-3</v>
      </c>
      <c r="F19777" s="1">
        <v>9.1509434878034295E-3</v>
      </c>
    </row>
    <row r="19778" spans="1:6" x14ac:dyDescent="0.25">
      <c r="A19778" s="2" t="str">
        <f t="shared" si="698"/>
        <v>47900</v>
      </c>
      <c r="B19778" s="2" t="str">
        <f>"20757"</f>
        <v>20757</v>
      </c>
      <c r="C19778" s="1">
        <v>4.4763138889125599E-4</v>
      </c>
      <c r="D19778" s="1">
        <v>9.6230352969601998E-4</v>
      </c>
      <c r="E19778" s="1">
        <v>1.3174970191629899E-5</v>
      </c>
      <c r="F19778" s="1">
        <v>4.6626744336921398E-4</v>
      </c>
    </row>
    <row r="19779" spans="1:6" x14ac:dyDescent="0.25">
      <c r="A19779" s="2" t="str">
        <f t="shared" si="698"/>
        <v>47900</v>
      </c>
      <c r="B19779" s="2" t="str">
        <f>"20749"</f>
        <v>20749</v>
      </c>
      <c r="C19779" s="1">
        <v>4.26509709117413E-4</v>
      </c>
      <c r="D19779" s="1">
        <v>1.45803565105457E-3</v>
      </c>
      <c r="E19779" s="1">
        <v>1.3174970191629899E-5</v>
      </c>
      <c r="F19779" s="1">
        <v>4.8632891560300401E-4</v>
      </c>
    </row>
    <row r="19780" spans="1:6" x14ac:dyDescent="0.25">
      <c r="A19780" s="2" t="str">
        <f t="shared" si="698"/>
        <v>47900</v>
      </c>
      <c r="B19780" s="2" t="str">
        <f>"20615"</f>
        <v>20615</v>
      </c>
      <c r="C19780" s="1">
        <v>6.9664487675129204E-5</v>
      </c>
      <c r="D19780" s="1">
        <v>2.9160713021091499E-5</v>
      </c>
      <c r="E19780" s="1">
        <v>1.9762455287444899E-5</v>
      </c>
      <c r="F19780" s="1">
        <v>6.4067282295006498E-5</v>
      </c>
    </row>
    <row r="19781" spans="1:6" x14ac:dyDescent="0.25">
      <c r="A19781" s="2" t="str">
        <f t="shared" si="698"/>
        <v>47900</v>
      </c>
      <c r="B19781" s="2" t="str">
        <f>"20637"</f>
        <v>20637</v>
      </c>
      <c r="C19781" s="1">
        <v>8.2893329217693696E-4</v>
      </c>
      <c r="D19781" s="1">
        <v>3.3743110781548702E-4</v>
      </c>
      <c r="E19781" s="1">
        <v>7.9049821149779597E-5</v>
      </c>
      <c r="F19781" s="1">
        <v>7.5392306943113704E-4</v>
      </c>
    </row>
    <row r="19782" spans="1:6" x14ac:dyDescent="0.25">
      <c r="A19782" s="2" t="str">
        <f t="shared" si="698"/>
        <v>47900</v>
      </c>
      <c r="B19782" s="2" t="str">
        <f>"20616"</f>
        <v>20616</v>
      </c>
      <c r="C19782" s="1">
        <v>1.2773057926392E-3</v>
      </c>
      <c r="D19782" s="1">
        <v>7.2901782552728801E-4</v>
      </c>
      <c r="E19782" s="1">
        <v>2.1079952306607899E-4</v>
      </c>
      <c r="F19782" s="1">
        <v>1.1823325732623899E-3</v>
      </c>
    </row>
    <row r="19783" spans="1:6" x14ac:dyDescent="0.25">
      <c r="A19783" s="2" t="str">
        <f t="shared" ref="A19783:A19846" si="699">"47900"</f>
        <v>47900</v>
      </c>
      <c r="B19783" s="2" t="str">
        <f>"20646"</f>
        <v>20646</v>
      </c>
      <c r="C19783" s="1">
        <v>3.5632644334257601E-3</v>
      </c>
      <c r="D19783" s="1">
        <v>4.3324487917050201E-3</v>
      </c>
      <c r="E19783" s="1">
        <v>1.12645995138435E-3</v>
      </c>
      <c r="F19783" s="1">
        <v>3.5033154818587598E-3</v>
      </c>
    </row>
    <row r="19784" spans="1:6" x14ac:dyDescent="0.25">
      <c r="A19784" s="2" t="str">
        <f t="shared" si="699"/>
        <v>47900</v>
      </c>
      <c r="B19784" s="2" t="str">
        <f>"20717"</f>
        <v>20717</v>
      </c>
      <c r="C19784" s="1">
        <v>7.0776155031647298E-5</v>
      </c>
      <c r="D19784" s="1">
        <v>6.0404334115118105E-4</v>
      </c>
      <c r="E19784" s="1">
        <v>1.3174970191629899E-5</v>
      </c>
      <c r="F19784" s="1">
        <v>1.0936738088743499E-4</v>
      </c>
    </row>
    <row r="19785" spans="1:6" x14ac:dyDescent="0.25">
      <c r="A19785" s="2" t="str">
        <f t="shared" si="699"/>
        <v>47900</v>
      </c>
      <c r="B19785" s="2" t="str">
        <f>"20720"</f>
        <v>20720</v>
      </c>
      <c r="C19785" s="1">
        <v>3.1185974908185502E-3</v>
      </c>
      <c r="D19785" s="1">
        <v>1.0372882203216801E-3</v>
      </c>
      <c r="E19785" s="1">
        <v>2.17387008161894E-4</v>
      </c>
      <c r="F19785" s="1">
        <v>2.8144304111210401E-3</v>
      </c>
    </row>
    <row r="19786" spans="1:6" x14ac:dyDescent="0.25">
      <c r="A19786" s="2" t="str">
        <f t="shared" si="699"/>
        <v>47900</v>
      </c>
      <c r="B19786" s="2" t="str">
        <f>"20741"</f>
        <v>20741</v>
      </c>
      <c r="C19786" s="1">
        <v>1.75272886544341E-4</v>
      </c>
      <c r="D19786" s="1">
        <v>3.2909947552374702E-4</v>
      </c>
      <c r="E19786" s="1">
        <v>1.3174970191629899E-5</v>
      </c>
      <c r="F19786" s="1">
        <v>1.79258961572897E-4</v>
      </c>
    </row>
    <row r="19787" spans="1:6" x14ac:dyDescent="0.25">
      <c r="A19787" s="2" t="str">
        <f t="shared" si="699"/>
        <v>47900</v>
      </c>
      <c r="B19787" s="2" t="str">
        <f>"20736"</f>
        <v>20736</v>
      </c>
      <c r="C19787" s="1">
        <v>1.48852259037762E-3</v>
      </c>
      <c r="D19787" s="1">
        <v>1.7579744135572299E-3</v>
      </c>
      <c r="E19787" s="1">
        <v>3.8207413555726798E-4</v>
      </c>
      <c r="F19787" s="1">
        <v>1.4551038812153699E-3</v>
      </c>
    </row>
    <row r="19788" spans="1:6" x14ac:dyDescent="0.25">
      <c r="A19788" s="2" t="str">
        <f t="shared" si="699"/>
        <v>47900</v>
      </c>
      <c r="B19788" s="2" t="str">
        <f>"20389"</f>
        <v>20389</v>
      </c>
      <c r="C19788" s="1">
        <v>0</v>
      </c>
      <c r="D19788" s="1">
        <v>4.1658161458702099E-6</v>
      </c>
      <c r="E19788" s="1">
        <v>0</v>
      </c>
      <c r="F19788" s="1">
        <v>3.2357213280306297E-7</v>
      </c>
    </row>
    <row r="19789" spans="1:6" x14ac:dyDescent="0.25">
      <c r="A19789" s="2" t="str">
        <f t="shared" si="699"/>
        <v>47900</v>
      </c>
      <c r="B19789" s="2" t="str">
        <f>"20535"</f>
        <v>20535</v>
      </c>
      <c r="C19789" s="1">
        <v>0</v>
      </c>
      <c r="D19789" s="1">
        <v>8.33163229174043E-6</v>
      </c>
      <c r="E19789" s="1">
        <v>0</v>
      </c>
      <c r="F19789" s="1">
        <v>6.4714426560612595E-7</v>
      </c>
    </row>
    <row r="19790" spans="1:6" x14ac:dyDescent="0.25">
      <c r="A19790" s="2" t="str">
        <f t="shared" si="699"/>
        <v>47900</v>
      </c>
      <c r="B19790" s="2" t="str">
        <f>"20525"</f>
        <v>20525</v>
      </c>
      <c r="C19790" s="1">
        <v>0</v>
      </c>
      <c r="D19790" s="1">
        <v>4.1658161458702099E-6</v>
      </c>
      <c r="E19790" s="1">
        <v>0</v>
      </c>
      <c r="F19790" s="1">
        <v>3.2357213280306297E-7</v>
      </c>
    </row>
    <row r="19791" spans="1:6" x14ac:dyDescent="0.25">
      <c r="A19791" s="2" t="str">
        <f t="shared" si="699"/>
        <v>47900</v>
      </c>
      <c r="B19791" s="2" t="str">
        <f>"20530"</f>
        <v>20530</v>
      </c>
      <c r="C19791" s="1">
        <v>0</v>
      </c>
      <c r="D19791" s="1">
        <v>4.5823977604572298E-5</v>
      </c>
      <c r="E19791" s="1">
        <v>2.6349940383259799E-5</v>
      </c>
      <c r="F19791" s="1">
        <v>4.85358199204594E-6</v>
      </c>
    </row>
    <row r="19792" spans="1:6" x14ac:dyDescent="0.25">
      <c r="A19792" s="2" t="str">
        <f t="shared" si="699"/>
        <v>47900</v>
      </c>
      <c r="B19792" s="2" t="str">
        <f>"20538"</f>
        <v>20538</v>
      </c>
      <c r="C19792" s="1">
        <v>0</v>
      </c>
      <c r="D19792" s="1">
        <v>4.1658161458702099E-6</v>
      </c>
      <c r="E19792" s="1">
        <v>0</v>
      </c>
      <c r="F19792" s="1">
        <v>3.2357213280306297E-7</v>
      </c>
    </row>
    <row r="19793" spans="1:6" x14ac:dyDescent="0.25">
      <c r="A19793" s="2" t="str">
        <f t="shared" si="699"/>
        <v>47900</v>
      </c>
      <c r="B19793" s="2" t="str">
        <f>"20460"</f>
        <v>20460</v>
      </c>
      <c r="C19793" s="1">
        <v>0</v>
      </c>
      <c r="D19793" s="1">
        <v>1.24974484376106E-5</v>
      </c>
      <c r="E19793" s="1">
        <v>6.5874850958149701E-6</v>
      </c>
      <c r="F19793" s="1">
        <v>1.29428853121225E-6</v>
      </c>
    </row>
    <row r="19794" spans="1:6" x14ac:dyDescent="0.25">
      <c r="A19794" s="2" t="str">
        <f t="shared" si="699"/>
        <v>47900</v>
      </c>
      <c r="B19794" s="2" t="str">
        <f>"20442"</f>
        <v>20442</v>
      </c>
      <c r="C19794" s="1">
        <v>0</v>
      </c>
      <c r="D19794" s="1">
        <v>4.1658161458702099E-6</v>
      </c>
      <c r="E19794" s="1">
        <v>0</v>
      </c>
      <c r="F19794" s="1">
        <v>3.2357213280306297E-7</v>
      </c>
    </row>
    <row r="19795" spans="1:6" x14ac:dyDescent="0.25">
      <c r="A19795" s="2" t="str">
        <f t="shared" si="699"/>
        <v>47900</v>
      </c>
      <c r="B19795" s="2" t="str">
        <f>"20435"</f>
        <v>20435</v>
      </c>
      <c r="C19795" s="1">
        <v>0</v>
      </c>
      <c r="D19795" s="1">
        <v>4.1658161458702099E-6</v>
      </c>
      <c r="E19795" s="1">
        <v>0</v>
      </c>
      <c r="F19795" s="1">
        <v>3.2357213280306297E-7</v>
      </c>
    </row>
    <row r="19796" spans="1:6" x14ac:dyDescent="0.25">
      <c r="A19796" s="2" t="str">
        <f t="shared" si="699"/>
        <v>47900</v>
      </c>
      <c r="B19796" s="2" t="str">
        <f>"20548"</f>
        <v>20548</v>
      </c>
      <c r="C19796" s="1">
        <v>0</v>
      </c>
      <c r="D19796" s="1">
        <v>4.1658161458702099E-6</v>
      </c>
      <c r="E19796" s="1">
        <v>0</v>
      </c>
      <c r="F19796" s="1">
        <v>3.2357213280306297E-7</v>
      </c>
    </row>
    <row r="19797" spans="1:6" x14ac:dyDescent="0.25">
      <c r="A19797" s="2" t="str">
        <f t="shared" si="699"/>
        <v>47900</v>
      </c>
      <c r="B19797" s="2" t="str">
        <f>"20431"</f>
        <v>20431</v>
      </c>
      <c r="C19797" s="1">
        <v>0</v>
      </c>
      <c r="D19797" s="1">
        <v>8.33163229174043E-6</v>
      </c>
      <c r="E19797" s="1">
        <v>0</v>
      </c>
      <c r="F19797" s="1">
        <v>6.4714426560612595E-7</v>
      </c>
    </row>
    <row r="19798" spans="1:6" x14ac:dyDescent="0.25">
      <c r="A19798" s="2" t="str">
        <f t="shared" si="699"/>
        <v>47900</v>
      </c>
      <c r="B19798" s="2" t="str">
        <f>"20423"</f>
        <v>20423</v>
      </c>
      <c r="C19798" s="1">
        <v>0</v>
      </c>
      <c r="D19798" s="1">
        <v>4.1658161458702099E-6</v>
      </c>
      <c r="E19798" s="1">
        <v>0</v>
      </c>
      <c r="F19798" s="1">
        <v>3.2357213280306297E-7</v>
      </c>
    </row>
    <row r="19799" spans="1:6" x14ac:dyDescent="0.25">
      <c r="A19799" s="2" t="str">
        <f t="shared" si="699"/>
        <v>47900</v>
      </c>
      <c r="B19799" s="2" t="str">
        <f>"20580"</f>
        <v>20580</v>
      </c>
      <c r="C19799" s="1">
        <v>0</v>
      </c>
      <c r="D19799" s="1">
        <v>4.1658161458702099E-6</v>
      </c>
      <c r="E19799" s="1">
        <v>0</v>
      </c>
      <c r="F19799" s="1">
        <v>3.2357213280306297E-7</v>
      </c>
    </row>
    <row r="19800" spans="1:6" x14ac:dyDescent="0.25">
      <c r="A19800" s="2" t="str">
        <f t="shared" si="699"/>
        <v>47900</v>
      </c>
      <c r="B19800" s="2" t="str">
        <f>"20593"</f>
        <v>20593</v>
      </c>
      <c r="C19800" s="1">
        <v>0</v>
      </c>
      <c r="D19800" s="1">
        <v>1.3330611666784601E-4</v>
      </c>
      <c r="E19800" s="1">
        <v>6.5874850958149701E-6</v>
      </c>
      <c r="F19800" s="1">
        <v>1.0677880382501001E-5</v>
      </c>
    </row>
    <row r="19801" spans="1:6" x14ac:dyDescent="0.25">
      <c r="A19801" s="2" t="str">
        <f t="shared" si="699"/>
        <v>47900</v>
      </c>
      <c r="B19801" s="2" t="str">
        <f>"20570"</f>
        <v>20570</v>
      </c>
      <c r="C19801" s="1">
        <v>0</v>
      </c>
      <c r="D19801" s="1">
        <v>4.1658161458702099E-6</v>
      </c>
      <c r="E19801" s="1">
        <v>0</v>
      </c>
      <c r="F19801" s="1">
        <v>3.2357213280306297E-7</v>
      </c>
    </row>
    <row r="19802" spans="1:6" x14ac:dyDescent="0.25">
      <c r="A19802" s="2" t="str">
        <f t="shared" si="699"/>
        <v>47900</v>
      </c>
      <c r="B19802" s="2" t="str">
        <f>"20507"</f>
        <v>20507</v>
      </c>
      <c r="C19802" s="1">
        <v>0</v>
      </c>
      <c r="D19802" s="1">
        <v>4.1658161458702099E-6</v>
      </c>
      <c r="E19802" s="1">
        <v>0</v>
      </c>
      <c r="F19802" s="1">
        <v>3.2357213280306297E-7</v>
      </c>
    </row>
    <row r="19803" spans="1:6" x14ac:dyDescent="0.25">
      <c r="A19803" s="2" t="str">
        <f t="shared" si="699"/>
        <v>47900</v>
      </c>
      <c r="B19803" s="2" t="str">
        <f>"20414"</f>
        <v>20414</v>
      </c>
      <c r="C19803" s="1">
        <v>0</v>
      </c>
      <c r="D19803" s="1">
        <v>4.1658161458702099E-6</v>
      </c>
      <c r="E19803" s="1">
        <v>0</v>
      </c>
      <c r="F19803" s="1">
        <v>3.2357213280306297E-7</v>
      </c>
    </row>
    <row r="19804" spans="1:6" x14ac:dyDescent="0.25">
      <c r="A19804" s="2" t="str">
        <f t="shared" si="699"/>
        <v>47900</v>
      </c>
      <c r="B19804" s="2" t="str">
        <f>"20559"</f>
        <v>20559</v>
      </c>
      <c r="C19804" s="1">
        <v>0</v>
      </c>
      <c r="D19804" s="1">
        <v>1.70798461980678E-4</v>
      </c>
      <c r="E19804" s="1">
        <v>6.5874850958149701E-6</v>
      </c>
      <c r="F19804" s="1">
        <v>1.3590029577728599E-5</v>
      </c>
    </row>
    <row r="19805" spans="1:6" x14ac:dyDescent="0.25">
      <c r="A19805" s="2" t="str">
        <f t="shared" si="699"/>
        <v>47900</v>
      </c>
      <c r="B19805" s="2" t="str">
        <f>"20540"</f>
        <v>20540</v>
      </c>
      <c r="C19805" s="1">
        <v>0</v>
      </c>
      <c r="D19805" s="1">
        <v>1.4330407541793501E-3</v>
      </c>
      <c r="E19805" s="1">
        <v>6.5874850958149701E-6</v>
      </c>
      <c r="F19805" s="1">
        <v>1.11632385817056E-4</v>
      </c>
    </row>
    <row r="19806" spans="1:6" x14ac:dyDescent="0.25">
      <c r="A19806" s="2" t="str">
        <f t="shared" si="699"/>
        <v>47900</v>
      </c>
      <c r="B19806" s="2" t="str">
        <f>"20536"</f>
        <v>20536</v>
      </c>
      <c r="C19806" s="1">
        <v>0</v>
      </c>
      <c r="D19806" s="1">
        <v>3.6659182083657898E-4</v>
      </c>
      <c r="E19806" s="1">
        <v>3.9524910574889798E-5</v>
      </c>
      <c r="F19806" s="1">
        <v>3.04157804834879E-5</v>
      </c>
    </row>
    <row r="19807" spans="1:6" x14ac:dyDescent="0.25">
      <c r="A19807" s="2" t="str">
        <f t="shared" si="699"/>
        <v>47900</v>
      </c>
      <c r="B19807" s="2" t="str">
        <f>"20521"</f>
        <v>20521</v>
      </c>
      <c r="C19807" s="1">
        <v>0</v>
      </c>
      <c r="D19807" s="1">
        <v>1.18309178542714E-3</v>
      </c>
      <c r="E19807" s="1">
        <v>0</v>
      </c>
      <c r="F19807" s="1">
        <v>9.1894485716069902E-5</v>
      </c>
    </row>
    <row r="19808" spans="1:6" x14ac:dyDescent="0.25">
      <c r="A19808" s="2" t="str">
        <f t="shared" si="699"/>
        <v>47900</v>
      </c>
      <c r="B19808" s="2" t="str">
        <f>"20401"</f>
        <v>20401</v>
      </c>
      <c r="C19808" s="1">
        <v>0</v>
      </c>
      <c r="D19808" s="1">
        <v>8.33163229174043E-6</v>
      </c>
      <c r="E19808" s="1">
        <v>0</v>
      </c>
      <c r="F19808" s="1">
        <v>6.4714426560612595E-7</v>
      </c>
    </row>
    <row r="19809" spans="1:6" x14ac:dyDescent="0.25">
      <c r="A19809" s="2" t="str">
        <f t="shared" si="699"/>
        <v>47900</v>
      </c>
      <c r="B19809" s="2" t="str">
        <f>"20703"</f>
        <v>20703</v>
      </c>
      <c r="C19809" s="1">
        <v>2.9866796311784098E-4</v>
      </c>
      <c r="D19809" s="1">
        <v>8.1649996459056198E-4</v>
      </c>
      <c r="E19809" s="1">
        <v>1.3174970191629899E-5</v>
      </c>
      <c r="F19809" s="1">
        <v>3.2486642133427502E-4</v>
      </c>
    </row>
    <row r="19810" spans="1:6" x14ac:dyDescent="0.25">
      <c r="A19810" s="2" t="str">
        <f t="shared" si="699"/>
        <v>47900</v>
      </c>
      <c r="B19810" s="2" t="str">
        <f>"20689"</f>
        <v>20689</v>
      </c>
      <c r="C19810" s="1">
        <v>3.5906855615532002E-4</v>
      </c>
      <c r="D19810" s="1">
        <v>1.87461726564159E-4</v>
      </c>
      <c r="E19810" s="1">
        <v>6.5874850958149702E-5</v>
      </c>
      <c r="F19810" s="1">
        <v>3.31337863990336E-4</v>
      </c>
    </row>
    <row r="19811" spans="1:6" x14ac:dyDescent="0.25">
      <c r="A19811" s="2" t="str">
        <f t="shared" si="699"/>
        <v>47900</v>
      </c>
      <c r="B19811" s="2" t="str">
        <f>"20678"</f>
        <v>20678</v>
      </c>
      <c r="C19811" s="1">
        <v>2.4764243145366399E-3</v>
      </c>
      <c r="D19811" s="1">
        <v>4.5740661281654903E-3</v>
      </c>
      <c r="E19811" s="1">
        <v>1.4294842657918401E-3</v>
      </c>
      <c r="F19811" s="1">
        <v>2.5879299181589001E-3</v>
      </c>
    </row>
    <row r="19812" spans="1:6" x14ac:dyDescent="0.25">
      <c r="A19812" s="2" t="str">
        <f t="shared" si="699"/>
        <v>47900</v>
      </c>
      <c r="B19812" s="2" t="str">
        <f>"20306"</f>
        <v>20306</v>
      </c>
      <c r="C19812" s="1">
        <v>0</v>
      </c>
      <c r="D19812" s="1">
        <v>4.1658161458702099E-6</v>
      </c>
      <c r="E19812" s="1">
        <v>0</v>
      </c>
      <c r="F19812" s="1">
        <v>3.2357213280306297E-7</v>
      </c>
    </row>
    <row r="19813" spans="1:6" x14ac:dyDescent="0.25">
      <c r="A19813" s="2" t="str">
        <f t="shared" si="699"/>
        <v>47900</v>
      </c>
      <c r="B19813" s="2" t="str">
        <f>"20192"</f>
        <v>20192</v>
      </c>
      <c r="C19813" s="1">
        <v>0</v>
      </c>
      <c r="D19813" s="1">
        <v>4.1658161458702099E-6</v>
      </c>
      <c r="E19813" s="1">
        <v>0</v>
      </c>
      <c r="F19813" s="1">
        <v>3.2357213280306297E-7</v>
      </c>
    </row>
    <row r="19814" spans="1:6" x14ac:dyDescent="0.25">
      <c r="A19814" s="2" t="str">
        <f t="shared" si="699"/>
        <v>47900</v>
      </c>
      <c r="B19814" s="2" t="str">
        <f>"20242"</f>
        <v>20242</v>
      </c>
      <c r="C19814" s="1">
        <v>0</v>
      </c>
      <c r="D19814" s="1">
        <v>2.0829080729350999E-5</v>
      </c>
      <c r="E19814" s="1">
        <v>0</v>
      </c>
      <c r="F19814" s="1">
        <v>1.6178606640153099E-6</v>
      </c>
    </row>
    <row r="19815" spans="1:6" x14ac:dyDescent="0.25">
      <c r="A19815" s="2" t="str">
        <f t="shared" si="699"/>
        <v>47900</v>
      </c>
      <c r="B19815" s="2" t="str">
        <f>"20239"</f>
        <v>20239</v>
      </c>
      <c r="C19815" s="1">
        <v>0</v>
      </c>
      <c r="D19815" s="1">
        <v>4.1658161458702099E-6</v>
      </c>
      <c r="E19815" s="1">
        <v>1.3174970191629899E-5</v>
      </c>
      <c r="F19815" s="1">
        <v>9.7071639840918897E-7</v>
      </c>
    </row>
    <row r="19816" spans="1:6" x14ac:dyDescent="0.25">
      <c r="A19816" s="2" t="str">
        <f t="shared" si="699"/>
        <v>47900</v>
      </c>
      <c r="B19816" s="2" t="str">
        <f>"20301"</f>
        <v>20301</v>
      </c>
      <c r="C19816" s="1">
        <v>0</v>
      </c>
      <c r="D19816" s="1">
        <v>4.1658161458702099E-6</v>
      </c>
      <c r="E19816" s="1">
        <v>4.8747389709030697E-4</v>
      </c>
      <c r="F19816" s="1">
        <v>2.4267909960229702E-5</v>
      </c>
    </row>
    <row r="19817" spans="1:6" x14ac:dyDescent="0.25">
      <c r="A19817" s="2" t="str">
        <f t="shared" si="699"/>
        <v>47900</v>
      </c>
      <c r="B19817" s="2" t="str">
        <f>"20228"</f>
        <v>20228</v>
      </c>
      <c r="C19817" s="1">
        <v>0</v>
      </c>
      <c r="D19817" s="1">
        <v>4.1658161458702099E-6</v>
      </c>
      <c r="E19817" s="1">
        <v>0</v>
      </c>
      <c r="F19817" s="1">
        <v>3.2357213280306297E-7</v>
      </c>
    </row>
    <row r="19818" spans="1:6" x14ac:dyDescent="0.25">
      <c r="A19818" s="2" t="str">
        <f t="shared" si="699"/>
        <v>47900</v>
      </c>
      <c r="B19818" s="2" t="str">
        <f>"20226"</f>
        <v>20226</v>
      </c>
      <c r="C19818" s="1">
        <v>0</v>
      </c>
      <c r="D19818" s="1">
        <v>4.5823977604572298E-5</v>
      </c>
      <c r="E19818" s="1">
        <v>0</v>
      </c>
      <c r="F19818" s="1">
        <v>3.55929346083369E-6</v>
      </c>
    </row>
    <row r="19819" spans="1:6" x14ac:dyDescent="0.25">
      <c r="A19819" s="2" t="str">
        <f t="shared" si="699"/>
        <v>47900</v>
      </c>
      <c r="B19819" s="2" t="str">
        <f>"20224"</f>
        <v>20224</v>
      </c>
      <c r="C19819" s="1">
        <v>0</v>
      </c>
      <c r="D19819" s="1">
        <v>4.1658161458702099E-6</v>
      </c>
      <c r="E19819" s="1">
        <v>0</v>
      </c>
      <c r="F19819" s="1">
        <v>3.2357213280306297E-7</v>
      </c>
    </row>
    <row r="19820" spans="1:6" x14ac:dyDescent="0.25">
      <c r="A19820" s="2" t="str">
        <f t="shared" si="699"/>
        <v>47900</v>
      </c>
      <c r="B19820" s="2" t="str">
        <f>"20215"</f>
        <v>20215</v>
      </c>
      <c r="C19820" s="1">
        <v>0</v>
      </c>
      <c r="D19820" s="1">
        <v>4.1658161458702099E-6</v>
      </c>
      <c r="E19820" s="1">
        <v>0</v>
      </c>
      <c r="F19820" s="1">
        <v>3.2357213280306297E-7</v>
      </c>
    </row>
    <row r="19821" spans="1:6" x14ac:dyDescent="0.25">
      <c r="A19821" s="2" t="str">
        <f t="shared" si="699"/>
        <v>47900</v>
      </c>
      <c r="B19821" s="2" t="str">
        <f>"20374"</f>
        <v>20374</v>
      </c>
      <c r="C19821" s="1">
        <v>0</v>
      </c>
      <c r="D19821" s="1">
        <v>4.7073722448333398E-4</v>
      </c>
      <c r="E19821" s="1">
        <v>1.51512157203744E-4</v>
      </c>
      <c r="F19821" s="1">
        <v>4.4005810061216601E-5</v>
      </c>
    </row>
    <row r="19822" spans="1:6" x14ac:dyDescent="0.25">
      <c r="A19822" s="2" t="str">
        <f t="shared" si="699"/>
        <v>47900</v>
      </c>
      <c r="B19822" s="2" t="str">
        <f>"20229"</f>
        <v>20229</v>
      </c>
      <c r="C19822" s="1">
        <v>0</v>
      </c>
      <c r="D19822" s="1">
        <v>4.45742327608113E-4</v>
      </c>
      <c r="E19822" s="1">
        <v>7.9049821149779597E-5</v>
      </c>
      <c r="F19822" s="1">
        <v>3.8505083803564502E-5</v>
      </c>
    </row>
    <row r="19823" spans="1:6" x14ac:dyDescent="0.25">
      <c r="A19823" s="2" t="str">
        <f t="shared" si="699"/>
        <v>47900</v>
      </c>
      <c r="B19823" s="2" t="str">
        <f>"20058"</f>
        <v>20058</v>
      </c>
      <c r="C19823" s="1">
        <v>0</v>
      </c>
      <c r="D19823" s="1">
        <v>4.1658161458702099E-6</v>
      </c>
      <c r="E19823" s="1">
        <v>0</v>
      </c>
      <c r="F19823" s="1">
        <v>3.2357213280306297E-7</v>
      </c>
    </row>
    <row r="19824" spans="1:6" x14ac:dyDescent="0.25">
      <c r="A19824" s="2" t="str">
        <f t="shared" si="699"/>
        <v>47900</v>
      </c>
      <c r="B19824" s="2" t="str">
        <f>"20090"</f>
        <v>20090</v>
      </c>
      <c r="C19824" s="1">
        <v>8.01882719834998E-4</v>
      </c>
      <c r="D19824" s="1">
        <v>1.5580152385554599E-3</v>
      </c>
      <c r="E19824" s="1">
        <v>1.3174970191629899E-5</v>
      </c>
      <c r="F19824" s="1">
        <v>8.2187321731977999E-4</v>
      </c>
    </row>
    <row r="19825" spans="1:6" x14ac:dyDescent="0.25">
      <c r="A19825" s="2" t="str">
        <f t="shared" si="699"/>
        <v>47900</v>
      </c>
      <c r="B19825" s="2" t="str">
        <f>"20038"</f>
        <v>20038</v>
      </c>
      <c r="C19825" s="1">
        <v>2.5975960563971002E-4</v>
      </c>
      <c r="D19825" s="1">
        <v>8.6232394219513497E-4</v>
      </c>
      <c r="E19825" s="1">
        <v>1.3174970191629899E-5</v>
      </c>
      <c r="F19825" s="1">
        <v>2.9445064085078702E-4</v>
      </c>
    </row>
    <row r="19826" spans="1:6" x14ac:dyDescent="0.25">
      <c r="A19826" s="2" t="str">
        <f t="shared" si="699"/>
        <v>47900</v>
      </c>
      <c r="B19826" s="2" t="str">
        <f>"20027"</f>
        <v>20027</v>
      </c>
      <c r="C19826" s="1">
        <v>3.1349019453808099E-4</v>
      </c>
      <c r="D19826" s="1">
        <v>6.1654078958879198E-4</v>
      </c>
      <c r="E19826" s="1">
        <v>1.3174970191629899E-5</v>
      </c>
      <c r="F19826" s="1">
        <v>3.2227784427185099E-4</v>
      </c>
    </row>
    <row r="19827" spans="1:6" x14ac:dyDescent="0.25">
      <c r="A19827" s="2" t="str">
        <f t="shared" si="699"/>
        <v>47900</v>
      </c>
      <c r="B19827" s="2" t="str">
        <f>"20037"</f>
        <v>20037</v>
      </c>
      <c r="C19827" s="1">
        <v>3.5154627370954802E-3</v>
      </c>
      <c r="D19827" s="1">
        <v>4.2449666526417499E-3</v>
      </c>
      <c r="E19827" s="1">
        <v>2.9050809272544E-3</v>
      </c>
      <c r="F19827" s="1">
        <v>3.54214413779513E-3</v>
      </c>
    </row>
    <row r="19828" spans="1:6" x14ac:dyDescent="0.25">
      <c r="A19828" s="2" t="str">
        <f t="shared" si="699"/>
        <v>47900</v>
      </c>
      <c r="B19828" s="2" t="str">
        <f>"20175"</f>
        <v>20175</v>
      </c>
      <c r="C19828" s="1">
        <v>4.3755227152549201E-3</v>
      </c>
      <c r="D19828" s="1">
        <v>5.4030635411936702E-3</v>
      </c>
      <c r="E19828" s="1">
        <v>3.37937985415307E-3</v>
      </c>
      <c r="F19828" s="1">
        <v>4.4064053045121104E-3</v>
      </c>
    </row>
    <row r="19829" spans="1:6" x14ac:dyDescent="0.25">
      <c r="A19829" s="2" t="str">
        <f t="shared" si="699"/>
        <v>47900</v>
      </c>
      <c r="B19829" s="2" t="str">
        <f>"20149"</f>
        <v>20149</v>
      </c>
      <c r="C19829" s="1">
        <v>0</v>
      </c>
      <c r="D19829" s="1">
        <v>8.33163229174043E-6</v>
      </c>
      <c r="E19829" s="1">
        <v>0</v>
      </c>
      <c r="F19829" s="1">
        <v>6.4714426560612595E-7</v>
      </c>
    </row>
    <row r="19830" spans="1:6" x14ac:dyDescent="0.25">
      <c r="A19830" s="2" t="str">
        <f t="shared" si="699"/>
        <v>47900</v>
      </c>
      <c r="B19830" s="2" t="str">
        <f>"20152"</f>
        <v>20152</v>
      </c>
      <c r="C19830" s="1">
        <v>4.0813014215631497E-3</v>
      </c>
      <c r="D19830" s="1">
        <v>2.39534428387537E-3</v>
      </c>
      <c r="E19830" s="1">
        <v>1.0737600706178399E-3</v>
      </c>
      <c r="F19830" s="1">
        <v>3.8026197047016002E-3</v>
      </c>
    </row>
    <row r="19831" spans="1:6" x14ac:dyDescent="0.25">
      <c r="A19831" s="2" t="str">
        <f t="shared" si="699"/>
        <v>47900</v>
      </c>
      <c r="B19831" s="2" t="str">
        <f>"20148"</f>
        <v>20148</v>
      </c>
      <c r="C19831" s="1">
        <v>7.0702043874546101E-3</v>
      </c>
      <c r="D19831" s="1">
        <v>1.34972443126195E-3</v>
      </c>
      <c r="E19831" s="1">
        <v>2.18704505181057E-3</v>
      </c>
      <c r="F19831" s="1">
        <v>6.3860196130012502E-3</v>
      </c>
    </row>
    <row r="19832" spans="1:6" x14ac:dyDescent="0.25">
      <c r="A19832" s="2" t="str">
        <f t="shared" si="699"/>
        <v>47900</v>
      </c>
      <c r="B19832" s="2" t="str">
        <f>"20146"</f>
        <v>20146</v>
      </c>
      <c r="C19832" s="1">
        <v>3.6240355822487401E-4</v>
      </c>
      <c r="D19832" s="1">
        <v>2.1037371536644601E-3</v>
      </c>
      <c r="E19832" s="1">
        <v>1.3174970191629899E-5</v>
      </c>
      <c r="F19832" s="1">
        <v>4.8050461721254901E-4</v>
      </c>
    </row>
    <row r="19833" spans="1:6" x14ac:dyDescent="0.25">
      <c r="A19833" s="2" t="str">
        <f t="shared" si="699"/>
        <v>47900</v>
      </c>
      <c r="B19833" s="2" t="str">
        <f>"20159"</f>
        <v>20159</v>
      </c>
      <c r="C19833" s="1">
        <v>1.89724562179075E-4</v>
      </c>
      <c r="D19833" s="1">
        <v>2.8327549791917398E-4</v>
      </c>
      <c r="E19833" s="1">
        <v>1.3174970191629899E-5</v>
      </c>
      <c r="F19833" s="1">
        <v>1.8831898129138201E-4</v>
      </c>
    </row>
    <row r="19834" spans="1:6" x14ac:dyDescent="0.25">
      <c r="A19834" s="2" t="str">
        <f t="shared" si="699"/>
        <v>47900</v>
      </c>
      <c r="B19834" s="2" t="str">
        <f>"20018"</f>
        <v>20018</v>
      </c>
      <c r="C19834" s="1">
        <v>3.6529389335182099E-3</v>
      </c>
      <c r="D19834" s="1">
        <v>3.3076580198209502E-3</v>
      </c>
      <c r="E19834" s="1">
        <v>4.3016277675671701E-3</v>
      </c>
      <c r="F19834" s="1">
        <v>3.65798296133863E-3</v>
      </c>
    </row>
    <row r="19835" spans="1:6" x14ac:dyDescent="0.25">
      <c r="A19835" s="2" t="str">
        <f t="shared" si="699"/>
        <v>47900</v>
      </c>
      <c r="B19835" s="2" t="str">
        <f>"20119"</f>
        <v>20119</v>
      </c>
      <c r="C19835" s="1">
        <v>5.6213312661261203E-4</v>
      </c>
      <c r="D19835" s="1">
        <v>2.1662243958525101E-4</v>
      </c>
      <c r="E19835" s="1">
        <v>3.2937425479074797E-5</v>
      </c>
      <c r="F19835" s="1">
        <v>5.0930253703202095E-4</v>
      </c>
    </row>
    <row r="19836" spans="1:6" x14ac:dyDescent="0.25">
      <c r="A19836" s="2" t="str">
        <f t="shared" si="699"/>
        <v>47900</v>
      </c>
      <c r="B19836" s="2" t="str">
        <f>"20117"</f>
        <v>20117</v>
      </c>
      <c r="C19836" s="1">
        <v>4.1761637026526901E-4</v>
      </c>
      <c r="D19836" s="1">
        <v>1.3747193281371699E-4</v>
      </c>
      <c r="E19836" s="1">
        <v>3.2278676969493299E-4</v>
      </c>
      <c r="F19836" s="1">
        <v>3.91198708558903E-4</v>
      </c>
    </row>
    <row r="19837" spans="1:6" x14ac:dyDescent="0.25">
      <c r="A19837" s="2" t="str">
        <f t="shared" si="699"/>
        <v>47900</v>
      </c>
      <c r="B19837" s="2" t="str">
        <f>"20003"</f>
        <v>20003</v>
      </c>
      <c r="C19837" s="1">
        <v>7.2617817285612098E-3</v>
      </c>
      <c r="D19837" s="1">
        <v>7.3484996813150596E-3</v>
      </c>
      <c r="E19837" s="1">
        <v>1.3174970191629901E-2</v>
      </c>
      <c r="F19837" s="1">
        <v>7.5589685944123597E-3</v>
      </c>
    </row>
    <row r="19838" spans="1:6" x14ac:dyDescent="0.25">
      <c r="A19838" s="2" t="str">
        <f t="shared" si="699"/>
        <v>47900</v>
      </c>
      <c r="B19838" s="2" t="str">
        <f>"25432"</f>
        <v>25432</v>
      </c>
      <c r="C19838" s="1">
        <v>2.26039029158664E-5</v>
      </c>
      <c r="D19838" s="1">
        <v>8.33163229174043E-6</v>
      </c>
      <c r="E19838" s="1">
        <v>6.5874850958149701E-6</v>
      </c>
      <c r="F19838" s="1">
        <v>2.0708616499396E-5</v>
      </c>
    </row>
    <row r="19839" spans="1:6" x14ac:dyDescent="0.25">
      <c r="A19839" s="2" t="str">
        <f t="shared" si="699"/>
        <v>47900</v>
      </c>
      <c r="B19839" s="2" t="str">
        <f>"23117"</f>
        <v>23117</v>
      </c>
      <c r="C19839" s="1">
        <v>3.2757131438730999E-4</v>
      </c>
      <c r="D19839" s="1">
        <v>7.0818874479793698E-5</v>
      </c>
      <c r="E19839" s="1">
        <v>0</v>
      </c>
      <c r="F19839" s="1">
        <v>2.9153849165556E-4</v>
      </c>
    </row>
    <row r="19840" spans="1:6" x14ac:dyDescent="0.25">
      <c r="A19840" s="2" t="str">
        <f t="shared" si="699"/>
        <v>47900</v>
      </c>
      <c r="B19840" s="2" t="str">
        <f>"23024"</f>
        <v>23024</v>
      </c>
      <c r="C19840" s="1">
        <v>2.79028506486023E-4</v>
      </c>
      <c r="D19840" s="1">
        <v>4.9989793750442597E-5</v>
      </c>
      <c r="E19840" s="1">
        <v>0</v>
      </c>
      <c r="F19840" s="1">
        <v>2.4753268159434299E-4</v>
      </c>
    </row>
    <row r="19841" spans="1:6" x14ac:dyDescent="0.25">
      <c r="A19841" s="2" t="str">
        <f t="shared" si="699"/>
        <v>47900</v>
      </c>
      <c r="B19841" s="2" t="str">
        <f>"22722"</f>
        <v>22722</v>
      </c>
      <c r="C19841" s="1">
        <v>3.7055578550600599E-5</v>
      </c>
      <c r="D19841" s="1">
        <v>8.33163229174043E-6</v>
      </c>
      <c r="E19841" s="1">
        <v>6.5874850958149701E-6</v>
      </c>
      <c r="F19841" s="1">
        <v>3.3327929678715502E-5</v>
      </c>
    </row>
    <row r="19842" spans="1:6" x14ac:dyDescent="0.25">
      <c r="A19842" s="2" t="str">
        <f t="shared" si="699"/>
        <v>47900</v>
      </c>
      <c r="B19842" s="2" t="str">
        <f>"22741"</f>
        <v>22741</v>
      </c>
      <c r="C19842" s="1">
        <v>3.0015018625986499E-5</v>
      </c>
      <c r="D19842" s="1">
        <v>2.9160713021091499E-5</v>
      </c>
      <c r="E19842" s="1">
        <v>0</v>
      </c>
      <c r="F19842" s="1">
        <v>2.84743476866695E-5</v>
      </c>
    </row>
    <row r="19843" spans="1:6" x14ac:dyDescent="0.25">
      <c r="A19843" s="2" t="str">
        <f t="shared" si="699"/>
        <v>47900</v>
      </c>
      <c r="B19843" s="2" t="str">
        <f>"22732"</f>
        <v>22732</v>
      </c>
      <c r="C19843" s="1">
        <v>8.93039443069476E-5</v>
      </c>
      <c r="D19843" s="1">
        <v>1.24974484376106E-5</v>
      </c>
      <c r="E19843" s="1">
        <v>0</v>
      </c>
      <c r="F19843" s="1">
        <v>7.8951600403947395E-5</v>
      </c>
    </row>
    <row r="19844" spans="1:6" x14ac:dyDescent="0.25">
      <c r="A19844" s="2" t="str">
        <f t="shared" si="699"/>
        <v>47900</v>
      </c>
      <c r="B19844" s="2" t="str">
        <f>"22724"</f>
        <v>22724</v>
      </c>
      <c r="C19844" s="1">
        <v>3.4943410573216399E-4</v>
      </c>
      <c r="D19844" s="1">
        <v>4.1658161458702099E-6</v>
      </c>
      <c r="E19844" s="1">
        <v>1.3174970191629899E-5</v>
      </c>
      <c r="F19844" s="1">
        <v>3.0609923763169698E-4</v>
      </c>
    </row>
    <row r="19845" spans="1:6" x14ac:dyDescent="0.25">
      <c r="A19845" s="2" t="str">
        <f t="shared" si="699"/>
        <v>47900</v>
      </c>
      <c r="B19845" s="2" t="str">
        <f>"22716"</f>
        <v>22716</v>
      </c>
      <c r="C19845" s="1">
        <v>1.6897343819073901E-4</v>
      </c>
      <c r="D19845" s="1">
        <v>2.4994896875221298E-5</v>
      </c>
      <c r="E19845" s="1">
        <v>1.48218414655836E-3</v>
      </c>
      <c r="F19845" s="1">
        <v>2.22294055235704E-4</v>
      </c>
    </row>
    <row r="19846" spans="1:6" x14ac:dyDescent="0.25">
      <c r="A19846" s="2" t="str">
        <f t="shared" si="699"/>
        <v>47900</v>
      </c>
      <c r="B19846" s="2" t="str">
        <f>"22709"</f>
        <v>22709</v>
      </c>
      <c r="C19846" s="1">
        <v>2.2789180808619399E-4</v>
      </c>
      <c r="D19846" s="1">
        <v>8.33163229174043E-6</v>
      </c>
      <c r="E19846" s="1">
        <v>6.5874850958149701E-6</v>
      </c>
      <c r="F19846" s="1">
        <v>1.99967578072293E-4</v>
      </c>
    </row>
    <row r="19847" spans="1:6" x14ac:dyDescent="0.25">
      <c r="A19847" s="2" t="str">
        <f t="shared" ref="A19847:A19910" si="700">"47900"</f>
        <v>47900</v>
      </c>
      <c r="B19847" s="2" t="str">
        <f>"22405"</f>
        <v>22405</v>
      </c>
      <c r="C19847" s="1">
        <v>4.5856278456368298E-3</v>
      </c>
      <c r="D19847" s="1">
        <v>3.8450483026382098E-3</v>
      </c>
      <c r="E19847" s="1">
        <v>1.2252722278215801E-3</v>
      </c>
      <c r="F19847" s="1">
        <v>4.3630466387164996E-3</v>
      </c>
    </row>
    <row r="19848" spans="1:6" x14ac:dyDescent="0.25">
      <c r="A19848" s="2" t="str">
        <f t="shared" si="700"/>
        <v>47900</v>
      </c>
      <c r="B19848" s="2" t="str">
        <f>"22315"</f>
        <v>22315</v>
      </c>
      <c r="C19848" s="1">
        <v>4.5711761700020998E-3</v>
      </c>
      <c r="D19848" s="1">
        <v>2.0704106244974901E-3</v>
      </c>
      <c r="E19848" s="1">
        <v>3.8932036916266401E-3</v>
      </c>
      <c r="F19848" s="1">
        <v>4.3436323107483204E-3</v>
      </c>
    </row>
    <row r="19849" spans="1:6" x14ac:dyDescent="0.25">
      <c r="A19849" s="2" t="str">
        <f t="shared" si="700"/>
        <v>47900</v>
      </c>
      <c r="B19849" s="2" t="str">
        <f>"22314"</f>
        <v>22314</v>
      </c>
      <c r="C19849" s="1">
        <v>7.7068192269539298E-3</v>
      </c>
      <c r="D19849" s="1">
        <v>1.4180438160542199E-2</v>
      </c>
      <c r="E19849" s="1">
        <v>1.0098614651884301E-2</v>
      </c>
      <c r="F19849" s="1">
        <v>8.3271288376868292E-3</v>
      </c>
    </row>
    <row r="19850" spans="1:6" x14ac:dyDescent="0.25">
      <c r="A19850" s="2" t="str">
        <f t="shared" si="700"/>
        <v>47900</v>
      </c>
      <c r="B19850" s="2" t="str">
        <f>"22311"</f>
        <v>22311</v>
      </c>
      <c r="C19850" s="1">
        <v>3.4669199291942E-3</v>
      </c>
      <c r="D19850" s="1">
        <v>1.08311219792625E-3</v>
      </c>
      <c r="E19850" s="1">
        <v>5.3292754425143104E-3</v>
      </c>
      <c r="F19850" s="1">
        <v>3.3732394844719301E-3</v>
      </c>
    </row>
    <row r="19851" spans="1:6" x14ac:dyDescent="0.25">
      <c r="A19851" s="2" t="str">
        <f t="shared" si="700"/>
        <v>47900</v>
      </c>
      <c r="B19851" s="2" t="str">
        <f>"22640"</f>
        <v>22640</v>
      </c>
      <c r="C19851" s="1">
        <v>7.8928382312779403E-5</v>
      </c>
      <c r="D19851" s="1">
        <v>1.6663264583480799E-5</v>
      </c>
      <c r="E19851" s="1">
        <v>1.3174970191629899E-5</v>
      </c>
      <c r="F19851" s="1">
        <v>7.0862297083870796E-5</v>
      </c>
    </row>
    <row r="19852" spans="1:6" x14ac:dyDescent="0.25">
      <c r="A19852" s="2" t="str">
        <f t="shared" si="700"/>
        <v>47900</v>
      </c>
      <c r="B19852" s="2" t="str">
        <f>"22627"</f>
        <v>22627</v>
      </c>
      <c r="C19852" s="1">
        <v>9.6344504231561694E-5</v>
      </c>
      <c r="D19852" s="1">
        <v>8.33163229174043E-6</v>
      </c>
      <c r="E19852" s="1">
        <v>1.9762455287444899E-5</v>
      </c>
      <c r="F19852" s="1">
        <v>8.5746615192811707E-5</v>
      </c>
    </row>
    <row r="19853" spans="1:6" x14ac:dyDescent="0.25">
      <c r="A19853" s="2" t="str">
        <f t="shared" si="700"/>
        <v>47900</v>
      </c>
      <c r="B19853" s="2" t="str">
        <f>"22642"</f>
        <v>22642</v>
      </c>
      <c r="C19853" s="1">
        <v>7.2999489744683297E-4</v>
      </c>
      <c r="D19853" s="1">
        <v>8.74821390632745E-5</v>
      </c>
      <c r="E19853" s="1">
        <v>1.3174970191629899E-5</v>
      </c>
      <c r="F19853" s="1">
        <v>6.4487926067650502E-4</v>
      </c>
    </row>
    <row r="19854" spans="1:6" x14ac:dyDescent="0.25">
      <c r="A19854" s="2" t="str">
        <f t="shared" si="700"/>
        <v>47900</v>
      </c>
      <c r="B19854" s="2" t="str">
        <f>"22217"</f>
        <v>22217</v>
      </c>
      <c r="C19854" s="1">
        <v>0</v>
      </c>
      <c r="D19854" s="1">
        <v>4.1658161458702099E-6</v>
      </c>
      <c r="E19854" s="1">
        <v>0</v>
      </c>
      <c r="F19854" s="1">
        <v>3.2357213280306297E-7</v>
      </c>
    </row>
    <row r="19855" spans="1:6" x14ac:dyDescent="0.25">
      <c r="A19855" s="2" t="str">
        <f t="shared" si="700"/>
        <v>47900</v>
      </c>
      <c r="B19855" s="2" t="str">
        <f>"22216"</f>
        <v>22216</v>
      </c>
      <c r="C19855" s="1">
        <v>2.6828238870634798E-4</v>
      </c>
      <c r="D19855" s="1">
        <v>6.3736987031814301E-4</v>
      </c>
      <c r="E19855" s="1">
        <v>1.3174970191629899E-5</v>
      </c>
      <c r="F19855" s="1">
        <v>2.8441990473389197E-4</v>
      </c>
    </row>
    <row r="19856" spans="1:6" x14ac:dyDescent="0.25">
      <c r="A19856" s="2" t="str">
        <f t="shared" si="700"/>
        <v>47900</v>
      </c>
      <c r="B19856" s="2" t="str">
        <f>"22303"</f>
        <v>22303</v>
      </c>
      <c r="C19856" s="1">
        <v>3.2553325756702698E-3</v>
      </c>
      <c r="D19856" s="1">
        <v>1.3372269828243401E-3</v>
      </c>
      <c r="E19856" s="1">
        <v>1.77862097587004E-3</v>
      </c>
      <c r="F19856" s="1">
        <v>3.03381231716152E-3</v>
      </c>
    </row>
    <row r="19857" spans="1:6" x14ac:dyDescent="0.25">
      <c r="A19857" s="2" t="str">
        <f t="shared" si="700"/>
        <v>47900</v>
      </c>
      <c r="B19857" s="2" t="str">
        <f>"22301"</f>
        <v>22301</v>
      </c>
      <c r="C19857" s="1">
        <v>2.6476210874404101E-3</v>
      </c>
      <c r="D19857" s="1">
        <v>1.54551779011785E-3</v>
      </c>
      <c r="E19857" s="1">
        <v>3.9129661469140898E-3</v>
      </c>
      <c r="F19857" s="1">
        <v>2.62416999703284E-3</v>
      </c>
    </row>
    <row r="19858" spans="1:6" x14ac:dyDescent="0.25">
      <c r="A19858" s="2" t="str">
        <f t="shared" si="700"/>
        <v>47900</v>
      </c>
      <c r="B19858" s="2" t="str">
        <f>"22412"</f>
        <v>22412</v>
      </c>
      <c r="C19858" s="1">
        <v>0</v>
      </c>
      <c r="D19858" s="1">
        <v>0</v>
      </c>
      <c r="E19858" s="1">
        <v>1.9762455287444899E-5</v>
      </c>
      <c r="F19858" s="1">
        <v>9.7071639840918897E-7</v>
      </c>
    </row>
    <row r="19859" spans="1:6" x14ac:dyDescent="0.25">
      <c r="A19859" s="2" t="str">
        <f t="shared" si="700"/>
        <v>47900</v>
      </c>
      <c r="B19859" s="2" t="str">
        <f>"22406"</f>
        <v>22406</v>
      </c>
      <c r="C19859" s="1">
        <v>3.7674406712395699E-3</v>
      </c>
      <c r="D19859" s="1">
        <v>3.4034717911759602E-3</v>
      </c>
      <c r="E19859" s="1">
        <v>2.9643682931167299E-3</v>
      </c>
      <c r="F19859" s="1">
        <v>3.69972376647022E-3</v>
      </c>
    </row>
    <row r="19860" spans="1:6" x14ac:dyDescent="0.25">
      <c r="A19860" s="2" t="str">
        <f t="shared" si="700"/>
        <v>47900</v>
      </c>
      <c r="B19860" s="2" t="str">
        <f>"22037"</f>
        <v>22037</v>
      </c>
      <c r="C19860" s="1">
        <v>0</v>
      </c>
      <c r="D19860" s="1">
        <v>8.33163229174043E-6</v>
      </c>
      <c r="E19860" s="1">
        <v>0</v>
      </c>
      <c r="F19860" s="1">
        <v>6.4714426560612595E-7</v>
      </c>
    </row>
    <row r="19861" spans="1:6" x14ac:dyDescent="0.25">
      <c r="A19861" s="2" t="str">
        <f t="shared" si="700"/>
        <v>47900</v>
      </c>
      <c r="B19861" s="2" t="str">
        <f>"22035"</f>
        <v>22035</v>
      </c>
      <c r="C19861" s="1">
        <v>0</v>
      </c>
      <c r="D19861" s="1">
        <v>3.54094372398968E-4</v>
      </c>
      <c r="E19861" s="1">
        <v>3.9524910574889798E-5</v>
      </c>
      <c r="F19861" s="1">
        <v>2.9445064085078702E-5</v>
      </c>
    </row>
    <row r="19862" spans="1:6" x14ac:dyDescent="0.25">
      <c r="A19862" s="2" t="str">
        <f t="shared" si="700"/>
        <v>47900</v>
      </c>
      <c r="B19862" s="2" t="str">
        <f>"22032"</f>
        <v>22032</v>
      </c>
      <c r="C19862" s="1">
        <v>3.7059284108455701E-3</v>
      </c>
      <c r="D19862" s="1">
        <v>1.02895658802994E-3</v>
      </c>
      <c r="E19862" s="1">
        <v>4.4794898651541801E-4</v>
      </c>
      <c r="F19862" s="1">
        <v>3.3379701219964E-3</v>
      </c>
    </row>
    <row r="19863" spans="1:6" x14ac:dyDescent="0.25">
      <c r="A19863" s="2" t="str">
        <f t="shared" si="700"/>
        <v>47900</v>
      </c>
      <c r="B19863" s="2" t="str">
        <f>"22031"</f>
        <v>22031</v>
      </c>
      <c r="C19863" s="1">
        <v>5.6146612619870102E-3</v>
      </c>
      <c r="D19863" s="1">
        <v>9.8229944719619693E-3</v>
      </c>
      <c r="E19863" s="1">
        <v>7.1013089332885304E-3</v>
      </c>
      <c r="F19863" s="1">
        <v>6.0145588045433396E-3</v>
      </c>
    </row>
    <row r="19864" spans="1:6" x14ac:dyDescent="0.25">
      <c r="A19864" s="2" t="str">
        <f t="shared" si="700"/>
        <v>47900</v>
      </c>
      <c r="B19864" s="2" t="str">
        <f>"22026"</f>
        <v>22026</v>
      </c>
      <c r="C19864" s="1">
        <v>2.5738804861247201E-3</v>
      </c>
      <c r="D19864" s="1">
        <v>3.0368799703393802E-3</v>
      </c>
      <c r="E19864" s="1">
        <v>2.01577043931938E-3</v>
      </c>
      <c r="F19864" s="1">
        <v>2.5824291919012399E-3</v>
      </c>
    </row>
    <row r="19865" spans="1:6" x14ac:dyDescent="0.25">
      <c r="A19865" s="2" t="str">
        <f t="shared" si="700"/>
        <v>47900</v>
      </c>
      <c r="B19865" s="2" t="str">
        <f>"22199"</f>
        <v>22199</v>
      </c>
      <c r="C19865" s="1">
        <v>3.99088580989969E-4</v>
      </c>
      <c r="D19865" s="1">
        <v>1.4330407541793501E-3</v>
      </c>
      <c r="E19865" s="1">
        <v>6.5874850958149701E-6</v>
      </c>
      <c r="F19865" s="1">
        <v>4.6011957284595599E-4</v>
      </c>
    </row>
    <row r="19866" spans="1:6" x14ac:dyDescent="0.25">
      <c r="A19866" s="2" t="str">
        <f t="shared" si="700"/>
        <v>47900</v>
      </c>
      <c r="B19866" s="2" t="str">
        <f>"22194"</f>
        <v>22194</v>
      </c>
      <c r="C19866" s="1">
        <v>3.1349019453808099E-4</v>
      </c>
      <c r="D19866" s="1">
        <v>1.1872576015730101E-3</v>
      </c>
      <c r="E19866" s="1">
        <v>6.5874850958149701E-6</v>
      </c>
      <c r="F19866" s="1">
        <v>3.6628365433306702E-4</v>
      </c>
    </row>
    <row r="19867" spans="1:6" x14ac:dyDescent="0.25">
      <c r="A19867" s="2" t="str">
        <f t="shared" si="700"/>
        <v>47900</v>
      </c>
      <c r="B19867" s="2" t="str">
        <f>"22150"</f>
        <v>22150</v>
      </c>
      <c r="C19867" s="1">
        <v>3.9012113098072401E-3</v>
      </c>
      <c r="D19867" s="1">
        <v>7.3859920266278901E-3</v>
      </c>
      <c r="E19867" s="1">
        <v>1.0467513817249899E-2</v>
      </c>
      <c r="F19867" s="1">
        <v>4.4944169246345402E-3</v>
      </c>
    </row>
    <row r="19868" spans="1:6" x14ac:dyDescent="0.25">
      <c r="A19868" s="2" t="str">
        <f t="shared" si="700"/>
        <v>47900</v>
      </c>
      <c r="B19868" s="2" t="str">
        <f>"22122"</f>
        <v>22122</v>
      </c>
      <c r="C19868" s="1">
        <v>3.3535298588293602E-4</v>
      </c>
      <c r="D19868" s="1">
        <v>8.2483159688230296E-4</v>
      </c>
      <c r="E19868" s="1">
        <v>6.5874850958149701E-6</v>
      </c>
      <c r="F19868" s="1">
        <v>3.5722363461458098E-4</v>
      </c>
    </row>
    <row r="19869" spans="1:6" x14ac:dyDescent="0.25">
      <c r="A19869" s="2" t="str">
        <f t="shared" si="700"/>
        <v>47900</v>
      </c>
      <c r="B19869" s="2" t="str">
        <f>"22183"</f>
        <v>22183</v>
      </c>
      <c r="C19869" s="1">
        <v>5.5212812040394998E-4</v>
      </c>
      <c r="D19869" s="1">
        <v>1.2414132114693199E-3</v>
      </c>
      <c r="E19869" s="1">
        <v>1.3174970191629899E-5</v>
      </c>
      <c r="F19869" s="1">
        <v>5.79194117717483E-4</v>
      </c>
    </row>
    <row r="19870" spans="1:6" x14ac:dyDescent="0.25">
      <c r="A19870" s="2" t="str">
        <f t="shared" si="700"/>
        <v>47900</v>
      </c>
      <c r="B19870" s="2" t="str">
        <f>"22082"</f>
        <v>22082</v>
      </c>
      <c r="C19870" s="1">
        <v>0</v>
      </c>
      <c r="D19870" s="1">
        <v>4.1658161458702099E-6</v>
      </c>
      <c r="E19870" s="1">
        <v>0</v>
      </c>
      <c r="F19870" s="1">
        <v>3.2357213280306297E-7</v>
      </c>
    </row>
    <row r="19871" spans="1:6" x14ac:dyDescent="0.25">
      <c r="A19871" s="2" t="str">
        <f t="shared" si="700"/>
        <v>47900</v>
      </c>
      <c r="B19871" s="2" t="str">
        <f>"22079"</f>
        <v>22079</v>
      </c>
      <c r="C19871" s="1">
        <v>4.5085522422515798E-3</v>
      </c>
      <c r="D19871" s="1">
        <v>5.4280584380688897E-3</v>
      </c>
      <c r="E19871" s="1">
        <v>4.7364017838909603E-3</v>
      </c>
      <c r="F19871" s="1">
        <v>4.5911649923426603E-3</v>
      </c>
    </row>
    <row r="19872" spans="1:6" x14ac:dyDescent="0.25">
      <c r="A19872" s="2" t="str">
        <f t="shared" si="700"/>
        <v>47900</v>
      </c>
      <c r="B19872" s="2" t="str">
        <f>"21793"</f>
        <v>21793</v>
      </c>
      <c r="C19872" s="1">
        <v>1.5856082061801999E-3</v>
      </c>
      <c r="D19872" s="1">
        <v>1.1039412786556001E-3</v>
      </c>
      <c r="E19872" s="1">
        <v>1.3833718701211401E-4</v>
      </c>
      <c r="F19872" s="1">
        <v>1.4771067862459799E-3</v>
      </c>
    </row>
    <row r="19873" spans="1:6" x14ac:dyDescent="0.25">
      <c r="A19873" s="2" t="str">
        <f t="shared" si="700"/>
        <v>47900</v>
      </c>
      <c r="B19873" s="2" t="str">
        <f>"21791"</f>
        <v>21791</v>
      </c>
      <c r="C19873" s="1">
        <v>3.5721577722779002E-4</v>
      </c>
      <c r="D19873" s="1">
        <v>5.4155609896312801E-5</v>
      </c>
      <c r="E19873" s="1">
        <v>5.26998807665197E-5</v>
      </c>
      <c r="F19873" s="1">
        <v>3.1871855081101698E-4</v>
      </c>
    </row>
    <row r="19874" spans="1:6" x14ac:dyDescent="0.25">
      <c r="A19874" s="2" t="str">
        <f t="shared" si="700"/>
        <v>47900</v>
      </c>
      <c r="B19874" s="2" t="str">
        <f>"21777"</f>
        <v>21777</v>
      </c>
      <c r="C19874" s="1">
        <v>2.4382570686295199E-4</v>
      </c>
      <c r="D19874" s="1">
        <v>9.5813771355015003E-5</v>
      </c>
      <c r="E19874" s="1">
        <v>1.3174970191629899E-5</v>
      </c>
      <c r="F19874" s="1">
        <v>2.2099976670449201E-4</v>
      </c>
    </row>
    <row r="19875" spans="1:6" x14ac:dyDescent="0.25">
      <c r="A19875" s="2" t="str">
        <f t="shared" si="700"/>
        <v>47900</v>
      </c>
      <c r="B19875" s="2" t="str">
        <f>"21773"</f>
        <v>21773</v>
      </c>
      <c r="C19875" s="1">
        <v>7.7149714542350603E-4</v>
      </c>
      <c r="D19875" s="1">
        <v>2.1245662343938101E-4</v>
      </c>
      <c r="E19875" s="1">
        <v>6.5874850958149702E-5</v>
      </c>
      <c r="F19875" s="1">
        <v>6.9341508059696396E-4</v>
      </c>
    </row>
    <row r="19876" spans="1:6" x14ac:dyDescent="0.25">
      <c r="A19876" s="2" t="str">
        <f t="shared" si="700"/>
        <v>47900</v>
      </c>
      <c r="B19876" s="2" t="str">
        <f>"20905"</f>
        <v>20905</v>
      </c>
      <c r="C19876" s="1">
        <v>2.1551524485029301E-3</v>
      </c>
      <c r="D19876" s="1">
        <v>4.6657140833746398E-4</v>
      </c>
      <c r="E19876" s="1">
        <v>8.5637306245594605E-5</v>
      </c>
      <c r="F19876" s="1">
        <v>1.9223420409829901E-3</v>
      </c>
    </row>
    <row r="19877" spans="1:6" x14ac:dyDescent="0.25">
      <c r="A19877" s="2" t="str">
        <f t="shared" si="700"/>
        <v>47900</v>
      </c>
      <c r="B19877" s="2" t="str">
        <f>"20827"</f>
        <v>20827</v>
      </c>
      <c r="C19877" s="1">
        <v>4.7097640337813402E-4</v>
      </c>
      <c r="D19877" s="1">
        <v>1.5663468708472001E-3</v>
      </c>
      <c r="E19877" s="1">
        <v>1.3174970191629899E-5</v>
      </c>
      <c r="F19877" s="1">
        <v>5.3357044699225097E-4</v>
      </c>
    </row>
    <row r="19878" spans="1:6" x14ac:dyDescent="0.25">
      <c r="A19878" s="2" t="str">
        <f t="shared" si="700"/>
        <v>47900</v>
      </c>
      <c r="B19878" s="2" t="str">
        <f>"20817"</f>
        <v>20817</v>
      </c>
      <c r="C19878" s="1">
        <v>5.4427233775122203E-3</v>
      </c>
      <c r="D19878" s="1">
        <v>3.6825814729492699E-3</v>
      </c>
      <c r="E19878" s="1">
        <v>1.7654460056784099E-3</v>
      </c>
      <c r="F19878" s="1">
        <v>5.1253825836005198E-3</v>
      </c>
    </row>
    <row r="19879" spans="1:6" x14ac:dyDescent="0.25">
      <c r="A19879" s="2" t="str">
        <f t="shared" si="700"/>
        <v>47900</v>
      </c>
      <c r="B19879" s="2" t="str">
        <f>"20791"</f>
        <v>20791</v>
      </c>
      <c r="C19879" s="1">
        <v>6.7255875069340205E-4</v>
      </c>
      <c r="D19879" s="1">
        <v>1.65799482605634E-3</v>
      </c>
      <c r="E19879" s="1">
        <v>1.3174970191629899E-5</v>
      </c>
      <c r="F19879" s="1">
        <v>7.1671227415878497E-4</v>
      </c>
    </row>
    <row r="19880" spans="1:6" x14ac:dyDescent="0.25">
      <c r="A19880" s="2" t="str">
        <f t="shared" si="700"/>
        <v>47900</v>
      </c>
      <c r="B19880" s="2" t="str">
        <f>"20784"</f>
        <v>20784</v>
      </c>
      <c r="C19880" s="1">
        <v>4.1880214877888797E-3</v>
      </c>
      <c r="D19880" s="1">
        <v>2.2162141896029499E-3</v>
      </c>
      <c r="E19880" s="1">
        <v>5.8101618545088E-3</v>
      </c>
      <c r="F19880" s="1">
        <v>4.11454324072375E-3</v>
      </c>
    </row>
    <row r="19881" spans="1:6" x14ac:dyDescent="0.25">
      <c r="A19881" s="2" t="str">
        <f t="shared" si="700"/>
        <v>47900</v>
      </c>
      <c r="B19881" s="2" t="str">
        <f>"20782"</f>
        <v>20782</v>
      </c>
      <c r="C19881" s="1">
        <v>5.3834344518312602E-3</v>
      </c>
      <c r="D19881" s="1">
        <v>3.5617728047190301E-3</v>
      </c>
      <c r="E19881" s="1">
        <v>6.1790610198744402E-3</v>
      </c>
      <c r="F19881" s="1">
        <v>5.2810207794787897E-3</v>
      </c>
    </row>
    <row r="19882" spans="1:6" x14ac:dyDescent="0.25">
      <c r="A19882" s="2" t="str">
        <f t="shared" si="700"/>
        <v>47900</v>
      </c>
      <c r="B19882" s="2" t="str">
        <f>"20885"</f>
        <v>20885</v>
      </c>
      <c r="C19882" s="1">
        <v>2.9644462840480501E-4</v>
      </c>
      <c r="D19882" s="1">
        <v>7.2901782552728801E-4</v>
      </c>
      <c r="E19882" s="1">
        <v>1.3174970191629899E-5</v>
      </c>
      <c r="F19882" s="1">
        <v>3.1612997374859202E-4</v>
      </c>
    </row>
    <row r="19883" spans="1:6" x14ac:dyDescent="0.25">
      <c r="A19883" s="2" t="str">
        <f t="shared" si="700"/>
        <v>47900</v>
      </c>
      <c r="B19883" s="2" t="str">
        <f>"20884"</f>
        <v>20884</v>
      </c>
      <c r="C19883" s="1">
        <v>2.13069576665953E-4</v>
      </c>
      <c r="D19883" s="1">
        <v>4.7906885677507501E-4</v>
      </c>
      <c r="E19883" s="1">
        <v>1.3174970191629899E-5</v>
      </c>
      <c r="F19883" s="1">
        <v>2.23911915899719E-4</v>
      </c>
    </row>
    <row r="19884" spans="1:6" x14ac:dyDescent="0.25">
      <c r="A19884" s="2" t="str">
        <f t="shared" si="700"/>
        <v>47900</v>
      </c>
      <c r="B19884" s="2" t="str">
        <f>"20904"</f>
        <v>20904</v>
      </c>
      <c r="C19884" s="1">
        <v>8.1600089526277699E-3</v>
      </c>
      <c r="D19884" s="1">
        <v>3.3159896521126899E-3</v>
      </c>
      <c r="E19884" s="1">
        <v>8.80746757310461E-3</v>
      </c>
      <c r="F19884" s="1">
        <v>7.8155612957251895E-3</v>
      </c>
    </row>
    <row r="19885" spans="1:6" x14ac:dyDescent="0.25">
      <c r="A19885" s="2" t="str">
        <f t="shared" si="700"/>
        <v>47900</v>
      </c>
      <c r="B19885" s="2" t="str">
        <f>"20862"</f>
        <v>20862</v>
      </c>
      <c r="C19885" s="1">
        <v>5.5212812040395002E-5</v>
      </c>
      <c r="D19885" s="1">
        <v>8.33163229174043E-6</v>
      </c>
      <c r="E19885" s="1">
        <v>6.5874850958149701E-6</v>
      </c>
      <c r="F19885" s="1">
        <v>4.9182964186065601E-5</v>
      </c>
    </row>
    <row r="19886" spans="1:6" x14ac:dyDescent="0.25">
      <c r="A19886" s="2" t="str">
        <f t="shared" si="700"/>
        <v>47900</v>
      </c>
      <c r="B19886" s="2" t="str">
        <f>"20879"</f>
        <v>20879</v>
      </c>
      <c r="C19886" s="1">
        <v>3.37094598074814E-3</v>
      </c>
      <c r="D19886" s="1">
        <v>6.9944053089160902E-3</v>
      </c>
      <c r="E19886" s="1">
        <v>4.4663148949625501E-3</v>
      </c>
      <c r="F19886" s="1">
        <v>3.7061952091262799E-3</v>
      </c>
    </row>
    <row r="19887" spans="1:6" x14ac:dyDescent="0.25">
      <c r="A19887" s="2" t="str">
        <f t="shared" si="700"/>
        <v>47900</v>
      </c>
      <c r="B19887" s="2" t="str">
        <f>"20877"</f>
        <v>20877</v>
      </c>
      <c r="C19887" s="1">
        <v>5.2492932574780904E-3</v>
      </c>
      <c r="D19887" s="1">
        <v>9.1856246016438301E-3</v>
      </c>
      <c r="E19887" s="1">
        <v>9.4069287168237706E-3</v>
      </c>
      <c r="F19887" s="1">
        <v>5.7592603917617198E-3</v>
      </c>
    </row>
    <row r="19888" spans="1:6" x14ac:dyDescent="0.25">
      <c r="A19888" s="2" t="str">
        <f t="shared" si="700"/>
        <v>47900</v>
      </c>
      <c r="B19888" s="2" t="str">
        <f>"20875"</f>
        <v>20875</v>
      </c>
      <c r="C19888" s="1">
        <v>6.5366040563259601E-4</v>
      </c>
      <c r="D19888" s="1">
        <v>1.3872167765747801E-3</v>
      </c>
      <c r="E19888" s="1">
        <v>1.3174970191629899E-5</v>
      </c>
      <c r="F19888" s="1">
        <v>6.7917790675362899E-4</v>
      </c>
    </row>
    <row r="19889" spans="1:6" x14ac:dyDescent="0.25">
      <c r="A19889" s="2" t="str">
        <f t="shared" si="700"/>
        <v>47900</v>
      </c>
      <c r="B19889" s="2" t="str">
        <f>"20777"</f>
        <v>20777</v>
      </c>
      <c r="C19889" s="1">
        <v>7.0405599246141301E-6</v>
      </c>
      <c r="D19889" s="1">
        <v>4.1658161458702099E-6</v>
      </c>
      <c r="E19889" s="1">
        <v>0</v>
      </c>
      <c r="F19889" s="1">
        <v>6.4714426560612601E-6</v>
      </c>
    </row>
    <row r="19890" spans="1:6" x14ac:dyDescent="0.25">
      <c r="A19890" s="2" t="str">
        <f t="shared" si="700"/>
        <v>47900</v>
      </c>
      <c r="B19890" s="2" t="str">
        <f>"20774"</f>
        <v>20774</v>
      </c>
      <c r="C19890" s="1">
        <v>7.8139098489651594E-3</v>
      </c>
      <c r="D19890" s="1">
        <v>4.7531962224379096E-3</v>
      </c>
      <c r="E19890" s="1">
        <v>3.54406698154845E-3</v>
      </c>
      <c r="F19890" s="1">
        <v>7.3664431753945299E-3</v>
      </c>
    </row>
    <row r="19891" spans="1:6" x14ac:dyDescent="0.25">
      <c r="A19891" s="2" t="str">
        <f t="shared" si="700"/>
        <v>47900</v>
      </c>
      <c r="B19891" s="2" t="str">
        <f>"20762"</f>
        <v>20762</v>
      </c>
      <c r="C19891" s="1">
        <v>7.5148713300618095E-4</v>
      </c>
      <c r="D19891" s="1">
        <v>3.2493365937787702E-4</v>
      </c>
      <c r="E19891" s="1">
        <v>3.7680414748061599E-3</v>
      </c>
      <c r="F19891" s="1">
        <v>8.6652617164660302E-4</v>
      </c>
    </row>
    <row r="19892" spans="1:6" x14ac:dyDescent="0.25">
      <c r="A19892" s="2" t="str">
        <f t="shared" si="700"/>
        <v>47900</v>
      </c>
      <c r="B19892" s="2" t="str">
        <f>"20658"</f>
        <v>20658</v>
      </c>
      <c r="C19892" s="1">
        <v>1.39328975350258E-4</v>
      </c>
      <c r="D19892" s="1">
        <v>2.9160713021091499E-5</v>
      </c>
      <c r="E19892" s="1">
        <v>1.9762455287444899E-5</v>
      </c>
      <c r="F19892" s="1">
        <v>1.2489884326198199E-4</v>
      </c>
    </row>
    <row r="19893" spans="1:6" x14ac:dyDescent="0.25">
      <c r="A19893" s="2" t="str">
        <f t="shared" si="700"/>
        <v>47900</v>
      </c>
      <c r="B19893" s="2" t="str">
        <f>"20657"</f>
        <v>20657</v>
      </c>
      <c r="C19893" s="1">
        <v>2.9377662674916201E-3</v>
      </c>
      <c r="D19893" s="1">
        <v>6.3736987031814301E-4</v>
      </c>
      <c r="E19893" s="1">
        <v>2.7008688892841298E-4</v>
      </c>
      <c r="F19893" s="1">
        <v>2.6280528626264799E-3</v>
      </c>
    </row>
    <row r="19894" spans="1:6" x14ac:dyDescent="0.25">
      <c r="A19894" s="2" t="str">
        <f t="shared" si="700"/>
        <v>47900</v>
      </c>
      <c r="B19894" s="2" t="str">
        <f>"20629"</f>
        <v>20629</v>
      </c>
      <c r="C19894" s="1">
        <v>1.0190284101415099E-4</v>
      </c>
      <c r="D19894" s="1">
        <v>0</v>
      </c>
      <c r="E19894" s="1">
        <v>1.3174970191629899E-5</v>
      </c>
      <c r="F19894" s="1">
        <v>8.9629480786448501E-5</v>
      </c>
    </row>
    <row r="19895" spans="1:6" x14ac:dyDescent="0.25">
      <c r="A19895" s="2" t="str">
        <f t="shared" si="700"/>
        <v>47900</v>
      </c>
      <c r="B19895" s="2" t="str">
        <f>"20745"</f>
        <v>20745</v>
      </c>
      <c r="C19895" s="1">
        <v>5.0599392510845198E-3</v>
      </c>
      <c r="D19895" s="1">
        <v>4.0283442130565001E-3</v>
      </c>
      <c r="E19895" s="1">
        <v>8.9919171557874301E-3</v>
      </c>
      <c r="F19895" s="1">
        <v>5.1729476871225696E-3</v>
      </c>
    </row>
    <row r="19896" spans="1:6" x14ac:dyDescent="0.25">
      <c r="A19896" s="2" t="str">
        <f t="shared" si="700"/>
        <v>47900</v>
      </c>
      <c r="B19896" s="2" t="str">
        <f>"20743"</f>
        <v>20743</v>
      </c>
      <c r="C19896" s="1">
        <v>6.0059681714813504E-3</v>
      </c>
      <c r="D19896" s="1">
        <v>6.3653670708896902E-3</v>
      </c>
      <c r="E19896" s="1">
        <v>5.7047620929757603E-3</v>
      </c>
      <c r="F19896" s="1">
        <v>6.0190888144025798E-3</v>
      </c>
    </row>
    <row r="19897" spans="1:6" x14ac:dyDescent="0.25">
      <c r="A19897" s="2" t="str">
        <f t="shared" si="700"/>
        <v>47900</v>
      </c>
      <c r="B19897" s="2" t="str">
        <f>"20709"</f>
        <v>20709</v>
      </c>
      <c r="C19897" s="1">
        <v>3.331296511699E-4</v>
      </c>
      <c r="D19897" s="1">
        <v>5.8738007656769997E-4</v>
      </c>
      <c r="E19897" s="1">
        <v>1.3174970191629899E-5</v>
      </c>
      <c r="F19897" s="1">
        <v>3.3716216238079101E-4</v>
      </c>
    </row>
    <row r="19898" spans="1:6" x14ac:dyDescent="0.25">
      <c r="A19898" s="2" t="str">
        <f t="shared" si="700"/>
        <v>47900</v>
      </c>
      <c r="B19898" s="2" t="str">
        <f>"20714"</f>
        <v>20714</v>
      </c>
      <c r="C19898" s="1">
        <v>6.6107152134271601E-4</v>
      </c>
      <c r="D19898" s="1">
        <v>1.5413519739719799E-4</v>
      </c>
      <c r="E19898" s="1">
        <v>3.6231168026982298E-4</v>
      </c>
      <c r="F19898" s="1">
        <v>6.07021321138546E-4</v>
      </c>
    </row>
    <row r="19899" spans="1:6" x14ac:dyDescent="0.25">
      <c r="A19899" s="2" t="str">
        <f t="shared" si="700"/>
        <v>47900</v>
      </c>
      <c r="B19899" s="2" t="str">
        <f>"20710"</f>
        <v>20710</v>
      </c>
      <c r="C19899" s="1">
        <v>1.63044545622643E-3</v>
      </c>
      <c r="D19899" s="1">
        <v>1.8329591041828901E-3</v>
      </c>
      <c r="E19899" s="1">
        <v>2.0816452902775299E-3</v>
      </c>
      <c r="F19899" s="1">
        <v>1.66833791673259E-3</v>
      </c>
    </row>
    <row r="19900" spans="1:6" x14ac:dyDescent="0.25">
      <c r="A19900" s="2" t="str">
        <f t="shared" si="700"/>
        <v>47900</v>
      </c>
      <c r="B19900" s="2" t="str">
        <f>"20708"</f>
        <v>20708</v>
      </c>
      <c r="C19900" s="1">
        <v>4.26435597960312E-3</v>
      </c>
      <c r="D19900" s="1">
        <v>1.31223208594911E-3</v>
      </c>
      <c r="E19900" s="1">
        <v>8.7350052370506505E-3</v>
      </c>
      <c r="F19900" s="1">
        <v>4.2546499742274696E-3</v>
      </c>
    </row>
    <row r="19901" spans="1:6" x14ac:dyDescent="0.25">
      <c r="A19901" s="2" t="str">
        <f t="shared" si="700"/>
        <v>47900</v>
      </c>
      <c r="B19901" s="2" t="str">
        <f>"20732"</f>
        <v>20732</v>
      </c>
      <c r="C19901" s="1">
        <v>1.6074709975250499E-3</v>
      </c>
      <c r="D19901" s="1">
        <v>3.1243621094026599E-4</v>
      </c>
      <c r="E19901" s="1">
        <v>4.2159904613215798E-4</v>
      </c>
      <c r="F19901" s="1">
        <v>1.44863243855931E-3</v>
      </c>
    </row>
    <row r="19902" spans="1:6" x14ac:dyDescent="0.25">
      <c r="A19902" s="2" t="str">
        <f t="shared" si="700"/>
        <v>47900</v>
      </c>
      <c r="B19902" s="2" t="str">
        <f>"20500"</f>
        <v>20500</v>
      </c>
      <c r="C19902" s="1">
        <v>0</v>
      </c>
      <c r="D19902" s="1">
        <v>4.1658161458702099E-6</v>
      </c>
      <c r="E19902" s="1">
        <v>1.3174970191629899E-5</v>
      </c>
      <c r="F19902" s="1">
        <v>9.7071639840918897E-7</v>
      </c>
    </row>
    <row r="19903" spans="1:6" x14ac:dyDescent="0.25">
      <c r="A19903" s="2" t="str">
        <f t="shared" si="700"/>
        <v>47900</v>
      </c>
      <c r="B19903" s="2" t="str">
        <f>"20524"</f>
        <v>20524</v>
      </c>
      <c r="C19903" s="1">
        <v>0</v>
      </c>
      <c r="D19903" s="1">
        <v>4.1658161458702099E-6</v>
      </c>
      <c r="E19903" s="1">
        <v>0</v>
      </c>
      <c r="F19903" s="1">
        <v>3.2357213280306297E-7</v>
      </c>
    </row>
    <row r="19904" spans="1:6" x14ac:dyDescent="0.25">
      <c r="A19904" s="2" t="str">
        <f t="shared" si="700"/>
        <v>47900</v>
      </c>
      <c r="B19904" s="2" t="str">
        <f>"20440"</f>
        <v>20440</v>
      </c>
      <c r="C19904" s="1">
        <v>0</v>
      </c>
      <c r="D19904" s="1">
        <v>4.1658161458702099E-6</v>
      </c>
      <c r="E19904" s="1">
        <v>0</v>
      </c>
      <c r="F19904" s="1">
        <v>3.2357213280306297E-7</v>
      </c>
    </row>
    <row r="19905" spans="1:6" x14ac:dyDescent="0.25">
      <c r="A19905" s="2" t="str">
        <f t="shared" si="700"/>
        <v>47900</v>
      </c>
      <c r="B19905" s="2" t="str">
        <f>"20597"</f>
        <v>20597</v>
      </c>
      <c r="C19905" s="1">
        <v>0</v>
      </c>
      <c r="D19905" s="1">
        <v>8.33163229174043E-6</v>
      </c>
      <c r="E19905" s="1">
        <v>0</v>
      </c>
      <c r="F19905" s="1">
        <v>6.4714426560612595E-7</v>
      </c>
    </row>
    <row r="19906" spans="1:6" x14ac:dyDescent="0.25">
      <c r="A19906" s="2" t="str">
        <f t="shared" si="700"/>
        <v>47900</v>
      </c>
      <c r="B19906" s="2" t="str">
        <f>"20590"</f>
        <v>20590</v>
      </c>
      <c r="C19906" s="1">
        <v>0</v>
      </c>
      <c r="D19906" s="1">
        <v>4.1658161458702099E-6</v>
      </c>
      <c r="E19906" s="1">
        <v>0</v>
      </c>
      <c r="F19906" s="1">
        <v>3.2357213280306297E-7</v>
      </c>
    </row>
    <row r="19907" spans="1:6" x14ac:dyDescent="0.25">
      <c r="A19907" s="2" t="str">
        <f t="shared" si="700"/>
        <v>47900</v>
      </c>
      <c r="B19907" s="2" t="str">
        <f>"20426"</f>
        <v>20426</v>
      </c>
      <c r="C19907" s="1">
        <v>0</v>
      </c>
      <c r="D19907" s="1">
        <v>1.24974484376106E-5</v>
      </c>
      <c r="E19907" s="1">
        <v>0</v>
      </c>
      <c r="F19907" s="1">
        <v>9.7071639840918897E-7</v>
      </c>
    </row>
    <row r="19908" spans="1:6" x14ac:dyDescent="0.25">
      <c r="A19908" s="2" t="str">
        <f t="shared" si="700"/>
        <v>47900</v>
      </c>
      <c r="B19908" s="2" t="str">
        <f>"20579"</f>
        <v>20579</v>
      </c>
      <c r="C19908" s="1">
        <v>0</v>
      </c>
      <c r="D19908" s="1">
        <v>4.1658161458702099E-6</v>
      </c>
      <c r="E19908" s="1">
        <v>1.3174970191629899E-5</v>
      </c>
      <c r="F19908" s="1">
        <v>9.7071639840918897E-7</v>
      </c>
    </row>
    <row r="19909" spans="1:6" x14ac:dyDescent="0.25">
      <c r="A19909" s="2" t="str">
        <f t="shared" si="700"/>
        <v>47900</v>
      </c>
      <c r="B19909" s="2" t="str">
        <f>"20575"</f>
        <v>20575</v>
      </c>
      <c r="C19909" s="1">
        <v>0</v>
      </c>
      <c r="D19909" s="1">
        <v>4.1658161458702099E-6</v>
      </c>
      <c r="E19909" s="1">
        <v>0</v>
      </c>
      <c r="F19909" s="1">
        <v>3.2357213280306297E-7</v>
      </c>
    </row>
    <row r="19910" spans="1:6" x14ac:dyDescent="0.25">
      <c r="A19910" s="2" t="str">
        <f t="shared" si="700"/>
        <v>47900</v>
      </c>
      <c r="B19910" s="2" t="str">
        <f>"20416"</f>
        <v>20416</v>
      </c>
      <c r="C19910" s="1">
        <v>0</v>
      </c>
      <c r="D19910" s="1">
        <v>3.7492345312831897E-5</v>
      </c>
      <c r="E19910" s="1">
        <v>0</v>
      </c>
      <c r="F19910" s="1">
        <v>2.9121491952275599E-6</v>
      </c>
    </row>
    <row r="19911" spans="1:6" x14ac:dyDescent="0.25">
      <c r="A19911" s="2" t="str">
        <f t="shared" ref="A19911:A19974" si="701">"47900"</f>
        <v>47900</v>
      </c>
      <c r="B19911" s="2" t="str">
        <f>"20412"</f>
        <v>20412</v>
      </c>
      <c r="C19911" s="1">
        <v>0</v>
      </c>
      <c r="D19911" s="1">
        <v>4.1658161458702099E-6</v>
      </c>
      <c r="E19911" s="1">
        <v>0</v>
      </c>
      <c r="F19911" s="1">
        <v>3.2357213280306297E-7</v>
      </c>
    </row>
    <row r="19912" spans="1:6" x14ac:dyDescent="0.25">
      <c r="A19912" s="2" t="str">
        <f t="shared" si="701"/>
        <v>47900</v>
      </c>
      <c r="B19912" s="2" t="str">
        <f>"20408"</f>
        <v>20408</v>
      </c>
      <c r="C19912" s="1">
        <v>0</v>
      </c>
      <c r="D19912" s="1">
        <v>4.1658161458702099E-6</v>
      </c>
      <c r="E19912" s="1">
        <v>0</v>
      </c>
      <c r="F19912" s="1">
        <v>3.2357213280306297E-7</v>
      </c>
    </row>
    <row r="19913" spans="1:6" x14ac:dyDescent="0.25">
      <c r="A19913" s="2" t="str">
        <f t="shared" si="701"/>
        <v>47900</v>
      </c>
      <c r="B19913" s="2" t="str">
        <f>"20607"</f>
        <v>20607</v>
      </c>
      <c r="C19913" s="1">
        <v>1.9287428635587601E-3</v>
      </c>
      <c r="D19913" s="1">
        <v>1.0414540364675499E-3</v>
      </c>
      <c r="E19913" s="1">
        <v>1.6468712739537401E-4</v>
      </c>
      <c r="F19913" s="1">
        <v>1.7731752877607799E-3</v>
      </c>
    </row>
    <row r="19914" spans="1:6" x14ac:dyDescent="0.25">
      <c r="A19914" s="2" t="str">
        <f t="shared" si="701"/>
        <v>47900</v>
      </c>
      <c r="B19914" s="2" t="str">
        <f>"20602"</f>
        <v>20602</v>
      </c>
      <c r="C19914" s="1">
        <v>4.07314919428202E-3</v>
      </c>
      <c r="D19914" s="1">
        <v>4.0575049260775896E-3</v>
      </c>
      <c r="E19914" s="1">
        <v>4.83521406032818E-3</v>
      </c>
      <c r="F19914" s="1">
        <v>4.1093660865988996E-3</v>
      </c>
    </row>
    <row r="19915" spans="1:6" x14ac:dyDescent="0.25">
      <c r="A19915" s="2" t="str">
        <f t="shared" si="701"/>
        <v>47900</v>
      </c>
      <c r="B19915" s="2" t="str">
        <f>"20515"</f>
        <v>20515</v>
      </c>
      <c r="C19915" s="1">
        <v>0</v>
      </c>
      <c r="D19915" s="1">
        <v>4.1658161458702099E-6</v>
      </c>
      <c r="E19915" s="1">
        <v>3.0368306291706998E-3</v>
      </c>
      <c r="F19915" s="1">
        <v>1.4949032535501499E-4</v>
      </c>
    </row>
    <row r="19916" spans="1:6" x14ac:dyDescent="0.25">
      <c r="A19916" s="2" t="str">
        <f t="shared" si="701"/>
        <v>47900</v>
      </c>
      <c r="B19916" s="2" t="str">
        <f>"20403"</f>
        <v>20403</v>
      </c>
      <c r="C19916" s="1">
        <v>0</v>
      </c>
      <c r="D19916" s="1">
        <v>4.1658161458702099E-6</v>
      </c>
      <c r="E19916" s="1">
        <v>0</v>
      </c>
      <c r="F19916" s="1">
        <v>3.2357213280306297E-7</v>
      </c>
    </row>
    <row r="19917" spans="1:6" x14ac:dyDescent="0.25">
      <c r="A19917" s="2" t="str">
        <f t="shared" si="701"/>
        <v>47900</v>
      </c>
      <c r="B19917" s="2" t="str">
        <f>"20244"</f>
        <v>20244</v>
      </c>
      <c r="C19917" s="1">
        <v>0</v>
      </c>
      <c r="D19917" s="1">
        <v>4.1658161458702099E-6</v>
      </c>
      <c r="E19917" s="1">
        <v>0</v>
      </c>
      <c r="F19917" s="1">
        <v>3.2357213280306297E-7</v>
      </c>
    </row>
    <row r="19918" spans="1:6" x14ac:dyDescent="0.25">
      <c r="A19918" s="2" t="str">
        <f t="shared" si="701"/>
        <v>47900</v>
      </c>
      <c r="B19918" s="2" t="str">
        <f>"20240"</f>
        <v>20240</v>
      </c>
      <c r="C19918" s="1">
        <v>0</v>
      </c>
      <c r="D19918" s="1">
        <v>8.33163229174043E-6</v>
      </c>
      <c r="E19918" s="1">
        <v>0</v>
      </c>
      <c r="F19918" s="1">
        <v>6.4714426560612595E-7</v>
      </c>
    </row>
    <row r="19919" spans="1:6" x14ac:dyDescent="0.25">
      <c r="A19919" s="2" t="str">
        <f t="shared" si="701"/>
        <v>47900</v>
      </c>
      <c r="B19919" s="2" t="str">
        <f>"20237"</f>
        <v>20237</v>
      </c>
      <c r="C19919" s="1">
        <v>0</v>
      </c>
      <c r="D19919" s="1">
        <v>4.1658161458702099E-6</v>
      </c>
      <c r="E19919" s="1">
        <v>0</v>
      </c>
      <c r="F19919" s="1">
        <v>3.2357213280306297E-7</v>
      </c>
    </row>
    <row r="19920" spans="1:6" x14ac:dyDescent="0.25">
      <c r="A19920" s="2" t="str">
        <f t="shared" si="701"/>
        <v>47900</v>
      </c>
      <c r="B19920" s="2" t="str">
        <f>"20370"</f>
        <v>20370</v>
      </c>
      <c r="C19920" s="1">
        <v>0</v>
      </c>
      <c r="D19920" s="1">
        <v>8.33163229174043E-6</v>
      </c>
      <c r="E19920" s="1">
        <v>0</v>
      </c>
      <c r="F19920" s="1">
        <v>6.4714426560612595E-7</v>
      </c>
    </row>
    <row r="19921" spans="1:6" x14ac:dyDescent="0.25">
      <c r="A19921" s="2" t="str">
        <f t="shared" si="701"/>
        <v>47900</v>
      </c>
      <c r="B19921" s="2" t="str">
        <f>"20350"</f>
        <v>20350</v>
      </c>
      <c r="C19921" s="1">
        <v>0</v>
      </c>
      <c r="D19921" s="1">
        <v>1.24974484376106E-5</v>
      </c>
      <c r="E19921" s="1">
        <v>0</v>
      </c>
      <c r="F19921" s="1">
        <v>9.7071639840918897E-7</v>
      </c>
    </row>
    <row r="19922" spans="1:6" x14ac:dyDescent="0.25">
      <c r="A19922" s="2" t="str">
        <f t="shared" si="701"/>
        <v>47900</v>
      </c>
      <c r="B19922" s="2" t="str">
        <f>"20223"</f>
        <v>20223</v>
      </c>
      <c r="C19922" s="1">
        <v>0</v>
      </c>
      <c r="D19922" s="1">
        <v>2.4994896875221298E-5</v>
      </c>
      <c r="E19922" s="1">
        <v>0</v>
      </c>
      <c r="F19922" s="1">
        <v>1.9414327968183699E-6</v>
      </c>
    </row>
    <row r="19923" spans="1:6" x14ac:dyDescent="0.25">
      <c r="A19923" s="2" t="str">
        <f t="shared" si="701"/>
        <v>47900</v>
      </c>
      <c r="B19923" s="2" t="str">
        <f>"20222"</f>
        <v>20222</v>
      </c>
      <c r="C19923" s="1">
        <v>0</v>
      </c>
      <c r="D19923" s="1">
        <v>4.1658161458702099E-6</v>
      </c>
      <c r="E19923" s="1">
        <v>0</v>
      </c>
      <c r="F19923" s="1">
        <v>3.2357213280306297E-7</v>
      </c>
    </row>
    <row r="19924" spans="1:6" x14ac:dyDescent="0.25">
      <c r="A19924" s="2" t="str">
        <f t="shared" si="701"/>
        <v>47900</v>
      </c>
      <c r="B19924" s="2" t="str">
        <f>"20219"</f>
        <v>20219</v>
      </c>
      <c r="C19924" s="1">
        <v>0</v>
      </c>
      <c r="D19924" s="1">
        <v>8.33163229174043E-6</v>
      </c>
      <c r="E19924" s="1">
        <v>1.3174970191629899E-5</v>
      </c>
      <c r="F19924" s="1">
        <v>1.29428853121225E-6</v>
      </c>
    </row>
    <row r="19925" spans="1:6" x14ac:dyDescent="0.25">
      <c r="A19925" s="2" t="str">
        <f t="shared" si="701"/>
        <v>47900</v>
      </c>
      <c r="B19925" s="2" t="str">
        <f>"20204"</f>
        <v>20204</v>
      </c>
      <c r="C19925" s="1">
        <v>0</v>
      </c>
      <c r="D19925" s="1">
        <v>4.1658161458702099E-6</v>
      </c>
      <c r="E19925" s="1">
        <v>0</v>
      </c>
      <c r="F19925" s="1">
        <v>3.2357213280306297E-7</v>
      </c>
    </row>
    <row r="19926" spans="1:6" x14ac:dyDescent="0.25">
      <c r="A19926" s="2" t="str">
        <f t="shared" si="701"/>
        <v>47900</v>
      </c>
      <c r="B19926" s="2" t="str">
        <f>"20203"</f>
        <v>20203</v>
      </c>
      <c r="C19926" s="1">
        <v>0</v>
      </c>
      <c r="D19926" s="1">
        <v>4.1658161458702099E-6</v>
      </c>
      <c r="E19926" s="1">
        <v>0</v>
      </c>
      <c r="F19926" s="1">
        <v>3.2357213280306297E-7</v>
      </c>
    </row>
    <row r="19927" spans="1:6" x14ac:dyDescent="0.25">
      <c r="A19927" s="2" t="str">
        <f t="shared" si="701"/>
        <v>47900</v>
      </c>
      <c r="B19927" s="2" t="str">
        <f>"20230"</f>
        <v>20230</v>
      </c>
      <c r="C19927" s="1">
        <v>0</v>
      </c>
      <c r="D19927" s="1">
        <v>8.33163229174043E-6</v>
      </c>
      <c r="E19927" s="1">
        <v>0</v>
      </c>
      <c r="F19927" s="1">
        <v>6.4714426560612595E-7</v>
      </c>
    </row>
    <row r="19928" spans="1:6" x14ac:dyDescent="0.25">
      <c r="A19928" s="2" t="str">
        <f t="shared" si="701"/>
        <v>47900</v>
      </c>
      <c r="B19928" s="2" t="str">
        <f>"20250"</f>
        <v>20250</v>
      </c>
      <c r="C19928" s="1">
        <v>0</v>
      </c>
      <c r="D19928" s="1">
        <v>4.9989793750442597E-5</v>
      </c>
      <c r="E19928" s="1">
        <v>4.3609151334295104E-3</v>
      </c>
      <c r="F19928" s="1">
        <v>2.1808761750926399E-4</v>
      </c>
    </row>
    <row r="19929" spans="1:6" x14ac:dyDescent="0.25">
      <c r="A19929" s="2" t="str">
        <f t="shared" si="701"/>
        <v>47900</v>
      </c>
      <c r="B19929" s="2" t="str">
        <f>"20047"</f>
        <v>20047</v>
      </c>
      <c r="C19929" s="1">
        <v>0</v>
      </c>
      <c r="D19929" s="1">
        <v>4.1658161458702099E-6</v>
      </c>
      <c r="E19929" s="1">
        <v>0</v>
      </c>
      <c r="F19929" s="1">
        <v>3.2357213280306297E-7</v>
      </c>
    </row>
    <row r="19930" spans="1:6" x14ac:dyDescent="0.25">
      <c r="A19930" s="2" t="str">
        <f t="shared" si="701"/>
        <v>47900</v>
      </c>
      <c r="B19930" s="2" t="str">
        <f>"20052"</f>
        <v>20052</v>
      </c>
      <c r="C19930" s="1">
        <v>3.0756130196998502E-5</v>
      </c>
      <c r="D19930" s="1">
        <v>2.2495407187699099E-4</v>
      </c>
      <c r="E19930" s="1">
        <v>2.6349940383259799E-5</v>
      </c>
      <c r="F19930" s="1">
        <v>4.5623670725231899E-5</v>
      </c>
    </row>
    <row r="19931" spans="1:6" x14ac:dyDescent="0.25">
      <c r="A19931" s="2" t="str">
        <f t="shared" si="701"/>
        <v>47900</v>
      </c>
      <c r="B19931" s="2" t="str">
        <f>"20060"</f>
        <v>20060</v>
      </c>
      <c r="C19931" s="1">
        <v>0</v>
      </c>
      <c r="D19931" s="1">
        <v>8.33163229174043E-6</v>
      </c>
      <c r="E19931" s="1">
        <v>0</v>
      </c>
      <c r="F19931" s="1">
        <v>6.4714426560612595E-7</v>
      </c>
    </row>
    <row r="19932" spans="1:6" x14ac:dyDescent="0.25">
      <c r="A19932" s="2" t="str">
        <f t="shared" si="701"/>
        <v>47900</v>
      </c>
      <c r="B19932" s="2" t="str">
        <f>"20091"</f>
        <v>20091</v>
      </c>
      <c r="C19932" s="1">
        <v>5.7250868860678E-4</v>
      </c>
      <c r="D19932" s="1">
        <v>8.1233414844469204E-4</v>
      </c>
      <c r="E19932" s="1">
        <v>1.3174970191629899E-5</v>
      </c>
      <c r="F19932" s="1">
        <v>5.6366265534293599E-4</v>
      </c>
    </row>
    <row r="19933" spans="1:6" x14ac:dyDescent="0.25">
      <c r="A19933" s="2" t="str">
        <f t="shared" si="701"/>
        <v>47900</v>
      </c>
      <c r="B19933" s="2" t="str">
        <f>"20109"</f>
        <v>20109</v>
      </c>
      <c r="C19933" s="1">
        <v>5.5661184540857197E-3</v>
      </c>
      <c r="D19933" s="1">
        <v>9.2647751084153594E-3</v>
      </c>
      <c r="E19933" s="1">
        <v>9.69019057594382E-3</v>
      </c>
      <c r="F19933" s="1">
        <v>6.0559760375421302E-3</v>
      </c>
    </row>
    <row r="19934" spans="1:6" x14ac:dyDescent="0.25">
      <c r="A19934" s="2" t="str">
        <f t="shared" si="701"/>
        <v>47900</v>
      </c>
      <c r="B19934" s="2" t="str">
        <f>"20108"</f>
        <v>20108</v>
      </c>
      <c r="C19934" s="1">
        <v>8.7969943479126002E-4</v>
      </c>
      <c r="D19934" s="1">
        <v>2.09540552137271E-3</v>
      </c>
      <c r="E19934" s="1">
        <v>1.3174970191629899E-5</v>
      </c>
      <c r="F19934" s="1">
        <v>9.3156417034001896E-4</v>
      </c>
    </row>
    <row r="19935" spans="1:6" x14ac:dyDescent="0.25">
      <c r="A19935" s="2" t="str">
        <f t="shared" si="701"/>
        <v>47900</v>
      </c>
      <c r="B19935" s="2" t="str">
        <f>"20041"</f>
        <v>20041</v>
      </c>
      <c r="C19935" s="1">
        <v>0</v>
      </c>
      <c r="D19935" s="1">
        <v>0</v>
      </c>
      <c r="E19935" s="1">
        <v>6.5874850958149701E-6</v>
      </c>
      <c r="F19935" s="1">
        <v>3.2357213280306297E-7</v>
      </c>
    </row>
    <row r="19936" spans="1:6" x14ac:dyDescent="0.25">
      <c r="A19936" s="2" t="str">
        <f t="shared" si="701"/>
        <v>47900</v>
      </c>
      <c r="B19936" s="2" t="str">
        <f>"20029"</f>
        <v>20029</v>
      </c>
      <c r="C19936" s="1">
        <v>6.6477707919777602E-4</v>
      </c>
      <c r="D19936" s="1">
        <v>3.58260188544838E-4</v>
      </c>
      <c r="E19936" s="1">
        <v>1.3174970191629899E-5</v>
      </c>
      <c r="F19936" s="1">
        <v>6.0896275393536499E-4</v>
      </c>
    </row>
    <row r="19937" spans="1:6" x14ac:dyDescent="0.25">
      <c r="A19937" s="2" t="str">
        <f t="shared" si="701"/>
        <v>47900</v>
      </c>
      <c r="B19937" s="2" t="str">
        <f>"20035"</f>
        <v>20035</v>
      </c>
      <c r="C19937" s="1">
        <v>4.1798692605077498E-4</v>
      </c>
      <c r="D19937" s="1">
        <v>1.07894638178038E-3</v>
      </c>
      <c r="E19937" s="1">
        <v>1.3174970191629899E-5</v>
      </c>
      <c r="F19937" s="1">
        <v>4.49441692463454E-4</v>
      </c>
    </row>
    <row r="19938" spans="1:6" x14ac:dyDescent="0.25">
      <c r="A19938" s="2" t="str">
        <f t="shared" si="701"/>
        <v>47900</v>
      </c>
      <c r="B19938" s="2" t="str">
        <f>"20032"</f>
        <v>20032</v>
      </c>
      <c r="C19938" s="1">
        <v>6.59107575679534E-3</v>
      </c>
      <c r="D19938" s="1">
        <v>2.3995101000212401E-3</v>
      </c>
      <c r="E19938" s="1">
        <v>2.2212999743088001E-2</v>
      </c>
      <c r="F19938" s="1">
        <v>7.0328403064745804E-3</v>
      </c>
    </row>
    <row r="19939" spans="1:6" x14ac:dyDescent="0.25">
      <c r="A19939" s="2" t="str">
        <f t="shared" si="701"/>
        <v>47900</v>
      </c>
      <c r="B19939" s="2" t="str">
        <f>"20044"</f>
        <v>20044</v>
      </c>
      <c r="C19939" s="1">
        <v>1.04237342462839E-3</v>
      </c>
      <c r="D19939" s="1">
        <v>9.7480097813363101E-4</v>
      </c>
      <c r="E19939" s="1">
        <v>1.3174970191629899E-5</v>
      </c>
      <c r="F19939" s="1">
        <v>9.8657143291653996E-4</v>
      </c>
    </row>
    <row r="19940" spans="1:6" x14ac:dyDescent="0.25">
      <c r="A19940" s="2" t="str">
        <f t="shared" si="701"/>
        <v>47900</v>
      </c>
      <c r="B19940" s="2" t="str">
        <f>"20184"</f>
        <v>20184</v>
      </c>
      <c r="C19940" s="1">
        <v>1.13760626150344E-4</v>
      </c>
      <c r="D19940" s="1">
        <v>1.1247703593849501E-4</v>
      </c>
      <c r="E19940" s="1">
        <v>7.9049821149779597E-5</v>
      </c>
      <c r="F19940" s="1">
        <v>1.11955957949859E-4</v>
      </c>
    </row>
    <row r="19941" spans="1:6" x14ac:dyDescent="0.25">
      <c r="A19941" s="2" t="str">
        <f t="shared" si="701"/>
        <v>47900</v>
      </c>
      <c r="B19941" s="2" t="str">
        <f>"20186"</f>
        <v>20186</v>
      </c>
      <c r="C19941" s="1">
        <v>2.3389481181139101E-3</v>
      </c>
      <c r="D19941" s="1">
        <v>5.4697165995275902E-3</v>
      </c>
      <c r="E19941" s="1">
        <v>2.0487078647984502E-3</v>
      </c>
      <c r="F19941" s="1">
        <v>2.5678684459251098E-3</v>
      </c>
    </row>
    <row r="19942" spans="1:6" x14ac:dyDescent="0.25">
      <c r="A19942" s="2" t="str">
        <f t="shared" si="701"/>
        <v>47900</v>
      </c>
      <c r="B19942" s="2" t="str">
        <f>"20144"</f>
        <v>20144</v>
      </c>
      <c r="C19942" s="1">
        <v>2.07140684097857E-4</v>
      </c>
      <c r="D19942" s="1">
        <v>4.5823977604572298E-5</v>
      </c>
      <c r="E19942" s="1">
        <v>1.3174970191629899E-5</v>
      </c>
      <c r="F19942" s="1">
        <v>1.8508325996335201E-4</v>
      </c>
    </row>
    <row r="19943" spans="1:6" x14ac:dyDescent="0.25">
      <c r="A19943" s="2" t="str">
        <f t="shared" si="701"/>
        <v>47900</v>
      </c>
      <c r="B19943" s="2" t="str">
        <f>"20143"</f>
        <v>20143</v>
      </c>
      <c r="C19943" s="1">
        <v>1.37846752208234E-4</v>
      </c>
      <c r="D19943" s="1">
        <v>5.8321426042182998E-5</v>
      </c>
      <c r="E19943" s="1">
        <v>6.5874850958149701E-6</v>
      </c>
      <c r="F19943" s="1">
        <v>1.25222415394785E-4</v>
      </c>
    </row>
    <row r="19944" spans="1:6" x14ac:dyDescent="0.25">
      <c r="A19944" s="2" t="str">
        <f t="shared" si="701"/>
        <v>47900</v>
      </c>
      <c r="B19944" s="2" t="str">
        <f>"20156"</f>
        <v>20156</v>
      </c>
      <c r="C19944" s="1">
        <v>2.01582347315267E-4</v>
      </c>
      <c r="D19944" s="1">
        <v>7.4568109011076899E-4</v>
      </c>
      <c r="E19944" s="1">
        <v>6.5874850958149701E-6</v>
      </c>
      <c r="F19944" s="1">
        <v>2.34266224149417E-4</v>
      </c>
    </row>
    <row r="19945" spans="1:6" x14ac:dyDescent="0.25">
      <c r="A19945" s="2" t="str">
        <f t="shared" si="701"/>
        <v>47900</v>
      </c>
      <c r="B19945" s="2" t="str">
        <f>"20170"</f>
        <v>20170</v>
      </c>
      <c r="C19945" s="1">
        <v>5.17629376773341E-3</v>
      </c>
      <c r="D19945" s="1">
        <v>7.0318976542289198E-3</v>
      </c>
      <c r="E19945" s="1">
        <v>5.6586496973050496E-3</v>
      </c>
      <c r="F19945" s="1">
        <v>5.3441173453753904E-3</v>
      </c>
    </row>
    <row r="19946" spans="1:6" x14ac:dyDescent="0.25">
      <c r="A19946" s="2" t="str">
        <f t="shared" si="701"/>
        <v>47900</v>
      </c>
      <c r="B19946" s="2" t="str">
        <f>"20167"</f>
        <v>20167</v>
      </c>
      <c r="C19946" s="1">
        <v>5.8177258324443001E-4</v>
      </c>
      <c r="D19946" s="1">
        <v>1.2580764760527999E-3</v>
      </c>
      <c r="E19946" s="1">
        <v>6.5874850958149701E-6</v>
      </c>
      <c r="F19946" s="1">
        <v>6.0605060474013699E-4</v>
      </c>
    </row>
    <row r="19947" spans="1:6" x14ac:dyDescent="0.25">
      <c r="A19947" s="2" t="str">
        <f t="shared" si="701"/>
        <v>47900</v>
      </c>
      <c r="B19947" s="2" t="str">
        <f>"20166"</f>
        <v>20166</v>
      </c>
      <c r="C19947" s="1">
        <v>1.8127589026953801E-3</v>
      </c>
      <c r="D19947" s="1">
        <v>1.2639086186570199E-2</v>
      </c>
      <c r="E19947" s="1">
        <v>6.2449358708325901E-3</v>
      </c>
      <c r="F19947" s="1">
        <v>2.87137910649438E-3</v>
      </c>
    </row>
    <row r="19948" spans="1:6" x14ac:dyDescent="0.25">
      <c r="A19948" s="2" t="str">
        <f t="shared" si="701"/>
        <v>47900</v>
      </c>
      <c r="B19948" s="2" t="str">
        <f>"20138"</f>
        <v>20138</v>
      </c>
      <c r="C19948" s="1">
        <v>0</v>
      </c>
      <c r="D19948" s="1">
        <v>4.1658161458702099E-6</v>
      </c>
      <c r="E19948" s="1">
        <v>0</v>
      </c>
      <c r="F19948" s="1">
        <v>3.2357213280306297E-7</v>
      </c>
    </row>
    <row r="19949" spans="1:6" x14ac:dyDescent="0.25">
      <c r="A19949" s="2" t="str">
        <f t="shared" si="701"/>
        <v>47900</v>
      </c>
      <c r="B19949" s="2" t="str">
        <f>"20131"</f>
        <v>20131</v>
      </c>
      <c r="C19949" s="1">
        <v>0</v>
      </c>
      <c r="D19949" s="1">
        <v>4.1658161458702099E-6</v>
      </c>
      <c r="E19949" s="1">
        <v>0</v>
      </c>
      <c r="F19949" s="1">
        <v>3.2357213280306297E-7</v>
      </c>
    </row>
    <row r="19950" spans="1:6" x14ac:dyDescent="0.25">
      <c r="A19950" s="2" t="str">
        <f t="shared" si="701"/>
        <v>47900</v>
      </c>
      <c r="B19950" s="2" t="str">
        <f>"20128"</f>
        <v>20128</v>
      </c>
      <c r="C19950" s="1">
        <v>0</v>
      </c>
      <c r="D19950" s="1">
        <v>4.1658161458702099E-6</v>
      </c>
      <c r="E19950" s="1">
        <v>0</v>
      </c>
      <c r="F19950" s="1">
        <v>3.2357213280306297E-7</v>
      </c>
    </row>
    <row r="19951" spans="1:6" x14ac:dyDescent="0.25">
      <c r="A19951" s="2" t="str">
        <f t="shared" si="701"/>
        <v>47900</v>
      </c>
      <c r="B19951" s="2" t="str">
        <f>"20120"</f>
        <v>20120</v>
      </c>
      <c r="C19951" s="1">
        <v>5.7984569315979902E-3</v>
      </c>
      <c r="D19951" s="1">
        <v>2.25787235106165E-3</v>
      </c>
      <c r="E19951" s="1">
        <v>2.4439569705473501E-3</v>
      </c>
      <c r="F19951" s="1">
        <v>5.35867809135153E-3</v>
      </c>
    </row>
    <row r="19952" spans="1:6" x14ac:dyDescent="0.25">
      <c r="A19952" s="2" t="str">
        <f t="shared" si="701"/>
        <v>47900</v>
      </c>
      <c r="B19952" s="2" t="str">
        <f>"20113"</f>
        <v>20113</v>
      </c>
      <c r="C19952" s="1">
        <v>1.9083622953559301E-4</v>
      </c>
      <c r="D19952" s="1">
        <v>1.5413519739719799E-4</v>
      </c>
      <c r="E19952" s="1">
        <v>1.3174970191629899E-5</v>
      </c>
      <c r="F19952" s="1">
        <v>1.79258961572897E-4</v>
      </c>
    </row>
    <row r="19953" spans="1:6" x14ac:dyDescent="0.25">
      <c r="A19953" s="2" t="str">
        <f t="shared" si="701"/>
        <v>47900</v>
      </c>
      <c r="B19953" s="2" t="str">
        <f>"25438"</f>
        <v>25438</v>
      </c>
      <c r="C19953" s="1">
        <v>1.5541109644121899E-3</v>
      </c>
      <c r="D19953" s="1">
        <v>1.4205433057417401E-3</v>
      </c>
      <c r="E19953" s="1">
        <v>1.0342351600429499E-3</v>
      </c>
      <c r="F19953" s="1">
        <v>1.51820044711197E-3</v>
      </c>
    </row>
    <row r="19954" spans="1:6" x14ac:dyDescent="0.25">
      <c r="A19954" s="2" t="str">
        <f t="shared" si="701"/>
        <v>47900</v>
      </c>
      <c r="B19954" s="2" t="str">
        <f>"22738"</f>
        <v>22738</v>
      </c>
      <c r="C19954" s="1">
        <v>2.6939405606286703E-4</v>
      </c>
      <c r="D19954" s="1">
        <v>5.8321426042182998E-5</v>
      </c>
      <c r="E19954" s="1">
        <v>1.3174970191629899E-5</v>
      </c>
      <c r="F19954" s="1">
        <v>2.40414094672676E-4</v>
      </c>
    </row>
    <row r="19955" spans="1:6" x14ac:dyDescent="0.25">
      <c r="A19955" s="2" t="str">
        <f t="shared" si="701"/>
        <v>47900</v>
      </c>
      <c r="B19955" s="2" t="str">
        <f>"22737"</f>
        <v>22737</v>
      </c>
      <c r="C19955" s="1">
        <v>4.7579362858971198E-4</v>
      </c>
      <c r="D19955" s="1">
        <v>3.3326529166961699E-5</v>
      </c>
      <c r="E19955" s="1">
        <v>2.6349940383259799E-5</v>
      </c>
      <c r="F19955" s="1">
        <v>4.1934948411277001E-4</v>
      </c>
    </row>
    <row r="19956" spans="1:6" x14ac:dyDescent="0.25">
      <c r="A19956" s="2" t="str">
        <f t="shared" si="701"/>
        <v>47900</v>
      </c>
      <c r="B19956" s="2" t="str">
        <f>"22733"</f>
        <v>22733</v>
      </c>
      <c r="C19956" s="1">
        <v>1.31176748069126E-4</v>
      </c>
      <c r="D19956" s="1">
        <v>7.9150506771534106E-5</v>
      </c>
      <c r="E19956" s="1">
        <v>1.3174970191629899E-5</v>
      </c>
      <c r="F19956" s="1">
        <v>1.2133954980114799E-4</v>
      </c>
    </row>
    <row r="19957" spans="1:6" x14ac:dyDescent="0.25">
      <c r="A19957" s="2" t="str">
        <f t="shared" si="701"/>
        <v>47900</v>
      </c>
      <c r="B19957" s="2" t="str">
        <f>"22729"</f>
        <v>22729</v>
      </c>
      <c r="C19957" s="1">
        <v>2.2233347130360401E-5</v>
      </c>
      <c r="D19957" s="1">
        <v>0</v>
      </c>
      <c r="E19957" s="1">
        <v>1.9762455287444899E-5</v>
      </c>
      <c r="F19957" s="1">
        <v>2.0385044366592901E-5</v>
      </c>
    </row>
    <row r="19958" spans="1:6" x14ac:dyDescent="0.25">
      <c r="A19958" s="2" t="str">
        <f t="shared" si="701"/>
        <v>47900</v>
      </c>
      <c r="B19958" s="2" t="str">
        <f>"22728"</f>
        <v>22728</v>
      </c>
      <c r="C19958" s="1">
        <v>4.5911861824194202E-4</v>
      </c>
      <c r="D19958" s="1">
        <v>7.9150506771534106E-5</v>
      </c>
      <c r="E19958" s="1">
        <v>3.2937425479074797E-5</v>
      </c>
      <c r="F19958" s="1">
        <v>4.0867160373026803E-4</v>
      </c>
    </row>
    <row r="19959" spans="1:6" x14ac:dyDescent="0.25">
      <c r="A19959" s="2" t="str">
        <f t="shared" si="701"/>
        <v>47900</v>
      </c>
      <c r="B19959" s="2" t="str">
        <f>"22725"</f>
        <v>22725</v>
      </c>
      <c r="C19959" s="1">
        <v>7.7816714956261395E-6</v>
      </c>
      <c r="D19959" s="1">
        <v>2.4994896875221298E-5</v>
      </c>
      <c r="E19959" s="1">
        <v>0</v>
      </c>
      <c r="F19959" s="1">
        <v>8.7364475856827001E-6</v>
      </c>
    </row>
    <row r="19960" spans="1:6" x14ac:dyDescent="0.25">
      <c r="A19960" s="2" t="str">
        <f t="shared" si="701"/>
        <v>47900</v>
      </c>
      <c r="B19960" s="2" t="str">
        <f>"22723"</f>
        <v>22723</v>
      </c>
      <c r="C19960" s="1">
        <v>1.5933898776758199E-5</v>
      </c>
      <c r="D19960" s="1">
        <v>4.1658161458702099E-6</v>
      </c>
      <c r="E19960" s="1">
        <v>0</v>
      </c>
      <c r="F19960" s="1">
        <v>1.4237173843334701E-5</v>
      </c>
    </row>
    <row r="19961" spans="1:6" x14ac:dyDescent="0.25">
      <c r="A19961" s="2" t="str">
        <f t="shared" si="701"/>
        <v>47900</v>
      </c>
      <c r="B19961" s="2" t="str">
        <f>"22720"</f>
        <v>22720</v>
      </c>
      <c r="C19961" s="1">
        <v>1.3673508485171601E-4</v>
      </c>
      <c r="D19961" s="1">
        <v>3.3326529166961699E-5</v>
      </c>
      <c r="E19961" s="1">
        <v>0</v>
      </c>
      <c r="F19961" s="1">
        <v>1.21986694066754E-4</v>
      </c>
    </row>
    <row r="19962" spans="1:6" x14ac:dyDescent="0.25">
      <c r="A19962" s="2" t="str">
        <f t="shared" si="701"/>
        <v>47900</v>
      </c>
      <c r="B19962" s="2" t="str">
        <f>"22715"</f>
        <v>22715</v>
      </c>
      <c r="C19962" s="1">
        <v>2.9199795897873301E-4</v>
      </c>
      <c r="D19962" s="1">
        <v>2.0829080729350999E-5</v>
      </c>
      <c r="E19962" s="1">
        <v>0</v>
      </c>
      <c r="F19962" s="1">
        <v>2.5659270131282898E-4</v>
      </c>
    </row>
    <row r="19963" spans="1:6" x14ac:dyDescent="0.25">
      <c r="A19963" s="2" t="str">
        <f t="shared" si="701"/>
        <v>47900</v>
      </c>
      <c r="B19963" s="2" t="str">
        <f>"22649"</f>
        <v>22649</v>
      </c>
      <c r="C19963" s="1">
        <v>4.81722521157808E-6</v>
      </c>
      <c r="D19963" s="1">
        <v>4.1658161458702099E-6</v>
      </c>
      <c r="E19963" s="1">
        <v>6.5874850958149701E-6</v>
      </c>
      <c r="F19963" s="1">
        <v>4.85358199204594E-6</v>
      </c>
    </row>
    <row r="19964" spans="1:6" x14ac:dyDescent="0.25">
      <c r="A19964" s="2" t="str">
        <f t="shared" si="701"/>
        <v>47900</v>
      </c>
      <c r="B19964" s="2" t="str">
        <f>"22310"</f>
        <v>22310</v>
      </c>
      <c r="C19964" s="1">
        <v>4.6060084138396596E-3</v>
      </c>
      <c r="D19964" s="1">
        <v>4.2741273656628402E-3</v>
      </c>
      <c r="E19964" s="1">
        <v>4.1567030954592398E-3</v>
      </c>
      <c r="F19964" s="1">
        <v>4.5581606347967502E-3</v>
      </c>
    </row>
    <row r="19965" spans="1:6" x14ac:dyDescent="0.25">
      <c r="A19965" s="2" t="str">
        <f t="shared" si="701"/>
        <v>47900</v>
      </c>
      <c r="B19965" s="2" t="str">
        <f>"22611"</f>
        <v>22611</v>
      </c>
      <c r="C19965" s="1">
        <v>1.41848754691699E-3</v>
      </c>
      <c r="D19965" s="1">
        <v>1.4330407541793501E-3</v>
      </c>
      <c r="E19965" s="1">
        <v>6.4557353938986695E-4</v>
      </c>
      <c r="F19965" s="1">
        <v>1.38165300706908E-3</v>
      </c>
    </row>
    <row r="19966" spans="1:6" x14ac:dyDescent="0.25">
      <c r="A19966" s="2" t="str">
        <f t="shared" si="701"/>
        <v>47900</v>
      </c>
      <c r="B19966" s="2" t="str">
        <f>"22553"</f>
        <v>22553</v>
      </c>
      <c r="C19966" s="1">
        <v>2.17219801463621E-3</v>
      </c>
      <c r="D19966" s="1">
        <v>8.2899741302817301E-4</v>
      </c>
      <c r="E19966" s="1">
        <v>1.0276476749471299E-3</v>
      </c>
      <c r="F19966" s="1">
        <v>2.0116479496366398E-3</v>
      </c>
    </row>
    <row r="19967" spans="1:6" x14ac:dyDescent="0.25">
      <c r="A19967" s="2" t="str">
        <f t="shared" si="701"/>
        <v>47900</v>
      </c>
      <c r="B19967" s="2" t="str">
        <f>"22214"</f>
        <v>22214</v>
      </c>
      <c r="C19967" s="1">
        <v>3.7055578550600601E-7</v>
      </c>
      <c r="D19967" s="1">
        <v>0</v>
      </c>
      <c r="E19967" s="1">
        <v>0</v>
      </c>
      <c r="F19967" s="1">
        <v>3.2357213280306297E-7</v>
      </c>
    </row>
    <row r="19968" spans="1:6" x14ac:dyDescent="0.25">
      <c r="A19968" s="2" t="str">
        <f t="shared" si="701"/>
        <v>47900</v>
      </c>
      <c r="B19968" s="2" t="str">
        <f>"22244"</f>
        <v>22244</v>
      </c>
      <c r="C19968" s="1">
        <v>0</v>
      </c>
      <c r="D19968" s="1">
        <v>4.1658161458702099E-6</v>
      </c>
      <c r="E19968" s="1">
        <v>0</v>
      </c>
      <c r="F19968" s="1">
        <v>3.2357213280306297E-7</v>
      </c>
    </row>
    <row r="19969" spans="1:6" x14ac:dyDescent="0.25">
      <c r="A19969" s="2" t="str">
        <f t="shared" si="701"/>
        <v>47900</v>
      </c>
      <c r="B19969" s="2" t="str">
        <f>"22242"</f>
        <v>22242</v>
      </c>
      <c r="C19969" s="1">
        <v>0</v>
      </c>
      <c r="D19969" s="1">
        <v>4.1658161458702099E-6</v>
      </c>
      <c r="E19969" s="1">
        <v>0</v>
      </c>
      <c r="F19969" s="1">
        <v>3.2357213280306297E-7</v>
      </c>
    </row>
    <row r="19970" spans="1:6" x14ac:dyDescent="0.25">
      <c r="A19970" s="2" t="str">
        <f t="shared" si="701"/>
        <v>47900</v>
      </c>
      <c r="B19970" s="2" t="str">
        <f>"22240"</f>
        <v>22240</v>
      </c>
      <c r="C19970" s="1">
        <v>0</v>
      </c>
      <c r="D19970" s="1">
        <v>4.1658161458702099E-6</v>
      </c>
      <c r="E19970" s="1">
        <v>0</v>
      </c>
      <c r="F19970" s="1">
        <v>3.2357213280306297E-7</v>
      </c>
    </row>
    <row r="19971" spans="1:6" x14ac:dyDescent="0.25">
      <c r="A19971" s="2" t="str">
        <f t="shared" si="701"/>
        <v>47900</v>
      </c>
      <c r="B19971" s="2" t="str">
        <f>"22230"</f>
        <v>22230</v>
      </c>
      <c r="C19971" s="1">
        <v>0</v>
      </c>
      <c r="D19971" s="1">
        <v>4.1658161458702099E-6</v>
      </c>
      <c r="E19971" s="1">
        <v>0</v>
      </c>
      <c r="F19971" s="1">
        <v>3.2357213280306297E-7</v>
      </c>
    </row>
    <row r="19972" spans="1:6" x14ac:dyDescent="0.25">
      <c r="A19972" s="2" t="str">
        <f t="shared" si="701"/>
        <v>47900</v>
      </c>
      <c r="B19972" s="2" t="str">
        <f>"22407"</f>
        <v>22407</v>
      </c>
      <c r="C19972" s="1">
        <v>8.5405697443424397E-3</v>
      </c>
      <c r="D19972" s="1">
        <v>7.4193185557948496E-3</v>
      </c>
      <c r="E19972" s="1">
        <v>3.2212802118535199E-3</v>
      </c>
      <c r="F19972" s="1">
        <v>8.1921992583079504E-3</v>
      </c>
    </row>
    <row r="19973" spans="1:6" x14ac:dyDescent="0.25">
      <c r="A19973" s="2" t="str">
        <f t="shared" si="701"/>
        <v>47900</v>
      </c>
      <c r="B19973" s="2" t="str">
        <f>"22206"</f>
        <v>22206</v>
      </c>
      <c r="C19973" s="1">
        <v>4.3825632751795397E-3</v>
      </c>
      <c r="D19973" s="1">
        <v>2.3661835708542801E-3</v>
      </c>
      <c r="E19973" s="1">
        <v>1.0875937893190499E-2</v>
      </c>
      <c r="F19973" s="1">
        <v>4.5448941773518197E-3</v>
      </c>
    </row>
    <row r="19974" spans="1:6" x14ac:dyDescent="0.25">
      <c r="A19974" s="2" t="str">
        <f t="shared" si="701"/>
        <v>47900</v>
      </c>
      <c r="B19974" s="2" t="str">
        <f>"22027"</f>
        <v>22027</v>
      </c>
      <c r="C19974" s="1">
        <v>4.1168747769717299E-4</v>
      </c>
      <c r="D19974" s="1">
        <v>6.2903823802640203E-4</v>
      </c>
      <c r="E19974" s="1">
        <v>9.8812276437224499E-5</v>
      </c>
      <c r="F19974" s="1">
        <v>4.1320161358951099E-4</v>
      </c>
    </row>
    <row r="19975" spans="1:6" x14ac:dyDescent="0.25">
      <c r="A19975" s="2" t="str">
        <f t="shared" ref="A19975:A20038" si="702">"47900"</f>
        <v>47900</v>
      </c>
      <c r="B19975" s="2" t="str">
        <f>"22116"</f>
        <v>22116</v>
      </c>
      <c r="C19975" s="1">
        <v>5.4286422576629997E-4</v>
      </c>
      <c r="D19975" s="1">
        <v>2.42867081304233E-3</v>
      </c>
      <c r="E19975" s="1">
        <v>1.3174970191629899E-5</v>
      </c>
      <c r="F19975" s="1">
        <v>6.6332287224627905E-4</v>
      </c>
    </row>
    <row r="19976" spans="1:6" x14ac:dyDescent="0.25">
      <c r="A19976" s="2" t="str">
        <f t="shared" si="702"/>
        <v>47900</v>
      </c>
      <c r="B19976" s="2" t="str">
        <f>"22107"</f>
        <v>22107</v>
      </c>
      <c r="C19976" s="1">
        <v>0</v>
      </c>
      <c r="D19976" s="1">
        <v>8.33163229174043E-6</v>
      </c>
      <c r="E19976" s="1">
        <v>0</v>
      </c>
      <c r="F19976" s="1">
        <v>6.4714426560612595E-7</v>
      </c>
    </row>
    <row r="19977" spans="1:6" x14ac:dyDescent="0.25">
      <c r="A19977" s="2" t="str">
        <f t="shared" si="702"/>
        <v>47900</v>
      </c>
      <c r="B19977" s="2" t="str">
        <f>"22151"</f>
        <v>22151</v>
      </c>
      <c r="C19977" s="1">
        <v>2.3763742524500202E-3</v>
      </c>
      <c r="D19977" s="1">
        <v>3.0493774187769899E-3</v>
      </c>
      <c r="E19977" s="1">
        <v>9.881227643722451E-4</v>
      </c>
      <c r="F19977" s="1">
        <v>2.3604587087983401E-3</v>
      </c>
    </row>
    <row r="19978" spans="1:6" x14ac:dyDescent="0.25">
      <c r="A19978" s="2" t="str">
        <f t="shared" si="702"/>
        <v>47900</v>
      </c>
      <c r="B19978" s="2" t="str">
        <f>"22060"</f>
        <v>22060</v>
      </c>
      <c r="C19978" s="1">
        <v>1.51260871643552E-3</v>
      </c>
      <c r="D19978" s="1">
        <v>2.8452524276293498E-3</v>
      </c>
      <c r="E19978" s="1">
        <v>1.48877163165418E-3</v>
      </c>
      <c r="F19978" s="1">
        <v>1.61494851482008E-3</v>
      </c>
    </row>
    <row r="19979" spans="1:6" x14ac:dyDescent="0.25">
      <c r="A19979" s="2" t="str">
        <f t="shared" si="702"/>
        <v>47900</v>
      </c>
      <c r="B19979" s="2" t="str">
        <f>"21798"</f>
        <v>21798</v>
      </c>
      <c r="C19979" s="1">
        <v>3.4535799209159802E-4</v>
      </c>
      <c r="D19979" s="1">
        <v>1.16642852084366E-4</v>
      </c>
      <c r="E19979" s="1">
        <v>6.5874850958149702E-5</v>
      </c>
      <c r="F19979" s="1">
        <v>3.1386496881897097E-4</v>
      </c>
    </row>
    <row r="19980" spans="1:6" x14ac:dyDescent="0.25">
      <c r="A19980" s="2" t="str">
        <f t="shared" si="702"/>
        <v>47900</v>
      </c>
      <c r="B19980" s="2" t="str">
        <f>"21775"</f>
        <v>21775</v>
      </c>
      <c r="C19980" s="1">
        <v>0</v>
      </c>
      <c r="D19980" s="1">
        <v>4.1658161458702099E-6</v>
      </c>
      <c r="E19980" s="1">
        <v>0</v>
      </c>
      <c r="F19980" s="1">
        <v>3.2357213280306297E-7</v>
      </c>
    </row>
    <row r="19981" spans="1:6" x14ac:dyDescent="0.25">
      <c r="A19981" s="2" t="str">
        <f t="shared" si="702"/>
        <v>47900</v>
      </c>
      <c r="B19981" s="2" t="str">
        <f>"21787"</f>
        <v>21787</v>
      </c>
      <c r="C19981" s="1">
        <v>4.7431140544768803E-5</v>
      </c>
      <c r="D19981" s="1">
        <v>8.33163229174043E-6</v>
      </c>
      <c r="E19981" s="1">
        <v>1.3174970191629899E-5</v>
      </c>
      <c r="F19981" s="1">
        <v>4.27115215300043E-5</v>
      </c>
    </row>
    <row r="19982" spans="1:6" x14ac:dyDescent="0.25">
      <c r="A19982" s="2" t="str">
        <f t="shared" si="702"/>
        <v>47900</v>
      </c>
      <c r="B19982" s="2" t="str">
        <f>"20914"</f>
        <v>20914</v>
      </c>
      <c r="C19982" s="1">
        <v>3.8056079171466898E-4</v>
      </c>
      <c r="D19982" s="1">
        <v>2.1370636828314201E-3</v>
      </c>
      <c r="E19982" s="1">
        <v>1.3174970191629899E-5</v>
      </c>
      <c r="F19982" s="1">
        <v>4.9894822878232298E-4</v>
      </c>
    </row>
    <row r="19983" spans="1:6" x14ac:dyDescent="0.25">
      <c r="A19983" s="2" t="str">
        <f t="shared" si="702"/>
        <v>47900</v>
      </c>
      <c r="B19983" s="2" t="str">
        <f>"20811"</f>
        <v>20811</v>
      </c>
      <c r="C19983" s="1">
        <v>0</v>
      </c>
      <c r="D19983" s="1">
        <v>8.33163229174043E-6</v>
      </c>
      <c r="E19983" s="1">
        <v>0</v>
      </c>
      <c r="F19983" s="1">
        <v>6.4714426560612595E-7</v>
      </c>
    </row>
    <row r="19984" spans="1:6" x14ac:dyDescent="0.25">
      <c r="A19984" s="2" t="str">
        <f t="shared" si="702"/>
        <v>47900</v>
      </c>
      <c r="B19984" s="2" t="str">
        <f>"20799"</f>
        <v>20799</v>
      </c>
      <c r="C19984" s="1">
        <v>0</v>
      </c>
      <c r="D19984" s="1">
        <v>0</v>
      </c>
      <c r="E19984" s="1">
        <v>6.5874850958149701E-6</v>
      </c>
      <c r="F19984" s="1">
        <v>3.2357213280306297E-7</v>
      </c>
    </row>
    <row r="19985" spans="1:6" x14ac:dyDescent="0.25">
      <c r="A19985" s="2" t="str">
        <f t="shared" si="702"/>
        <v>47900</v>
      </c>
      <c r="B19985" s="2" t="str">
        <f>"20896"</f>
        <v>20896</v>
      </c>
      <c r="C19985" s="1">
        <v>2.9459184947727501E-4</v>
      </c>
      <c r="D19985" s="1">
        <v>2.7077804948156398E-4</v>
      </c>
      <c r="E19985" s="1">
        <v>2.6349940383259799E-5</v>
      </c>
      <c r="F19985" s="1">
        <v>2.7956632274184602E-4</v>
      </c>
    </row>
    <row r="19986" spans="1:6" x14ac:dyDescent="0.25">
      <c r="A19986" s="2" t="str">
        <f t="shared" si="702"/>
        <v>47900</v>
      </c>
      <c r="B19986" s="2" t="str">
        <f>"20899"</f>
        <v>20899</v>
      </c>
      <c r="C19986" s="1">
        <v>0</v>
      </c>
      <c r="D19986" s="1">
        <v>8.5399230990339399E-4</v>
      </c>
      <c r="E19986" s="1">
        <v>6.5874850958149701E-6</v>
      </c>
      <c r="F19986" s="1">
        <v>6.6655859357431005E-5</v>
      </c>
    </row>
    <row r="19987" spans="1:6" x14ac:dyDescent="0.25">
      <c r="A19987" s="2" t="str">
        <f t="shared" si="702"/>
        <v>47900</v>
      </c>
      <c r="B19987" s="2" t="str">
        <f>"20898"</f>
        <v>20898</v>
      </c>
      <c r="C19987" s="1">
        <v>4.20951372334823E-4</v>
      </c>
      <c r="D19987" s="1">
        <v>1.2205841307399701E-3</v>
      </c>
      <c r="E19987" s="1">
        <v>1.3174970191629899E-5</v>
      </c>
      <c r="F19987" s="1">
        <v>4.6303172204118301E-4</v>
      </c>
    </row>
    <row r="19988" spans="1:6" x14ac:dyDescent="0.25">
      <c r="A19988" s="2" t="str">
        <f t="shared" si="702"/>
        <v>47900</v>
      </c>
      <c r="B19988" s="2" t="str">
        <f>"20857"</f>
        <v>20857</v>
      </c>
      <c r="C19988" s="1">
        <v>0</v>
      </c>
      <c r="D19988" s="1">
        <v>8.33163229174043E-6</v>
      </c>
      <c r="E19988" s="1">
        <v>1.3174970191629899E-5</v>
      </c>
      <c r="F19988" s="1">
        <v>1.29428853121225E-6</v>
      </c>
    </row>
    <row r="19989" spans="1:6" x14ac:dyDescent="0.25">
      <c r="A19989" s="2" t="str">
        <f t="shared" si="702"/>
        <v>47900</v>
      </c>
      <c r="B19989" s="2" t="str">
        <f>"20876"</f>
        <v>20876</v>
      </c>
      <c r="C19989" s="1">
        <v>3.3509359683308198E-3</v>
      </c>
      <c r="D19989" s="1">
        <v>2.0204208307470499E-3</v>
      </c>
      <c r="E19989" s="1">
        <v>2.50324433640968E-3</v>
      </c>
      <c r="F19989" s="1">
        <v>3.2059526918127501E-3</v>
      </c>
    </row>
    <row r="19990" spans="1:6" x14ac:dyDescent="0.25">
      <c r="A19990" s="2" t="str">
        <f t="shared" si="702"/>
        <v>47900</v>
      </c>
      <c r="B19990" s="2" t="str">
        <f>"20832"</f>
        <v>20832</v>
      </c>
      <c r="C19990" s="1">
        <v>3.3375959600526E-3</v>
      </c>
      <c r="D19990" s="1">
        <v>2.1537269474148999E-3</v>
      </c>
      <c r="E19990" s="1">
        <v>1.08693504080947E-3</v>
      </c>
      <c r="F19990" s="1">
        <v>3.1350903947288799E-3</v>
      </c>
    </row>
    <row r="19991" spans="1:6" x14ac:dyDescent="0.25">
      <c r="A19991" s="2" t="str">
        <f t="shared" si="702"/>
        <v>47900</v>
      </c>
      <c r="B19991" s="2" t="str">
        <f>"20847"</f>
        <v>20847</v>
      </c>
      <c r="C19991" s="1">
        <v>7.5963936028731403E-5</v>
      </c>
      <c r="D19991" s="1">
        <v>5.8738007656769997E-4</v>
      </c>
      <c r="E19991" s="1">
        <v>1.3174970191629899E-5</v>
      </c>
      <c r="F19991" s="1">
        <v>1.12603102215466E-4</v>
      </c>
    </row>
    <row r="19992" spans="1:6" x14ac:dyDescent="0.25">
      <c r="A19992" s="2" t="str">
        <f t="shared" si="702"/>
        <v>47900</v>
      </c>
      <c r="B19992" s="2" t="str">
        <f>"20852"</f>
        <v>20852</v>
      </c>
      <c r="C19992" s="1">
        <v>8.6591475957043598E-3</v>
      </c>
      <c r="D19992" s="1">
        <v>1.45345325329411E-2</v>
      </c>
      <c r="E19992" s="1">
        <v>9.7626529119977795E-3</v>
      </c>
      <c r="F19992" s="1">
        <v>9.1697106715060098E-3</v>
      </c>
    </row>
    <row r="19993" spans="1:6" x14ac:dyDescent="0.25">
      <c r="A19993" s="2" t="str">
        <f t="shared" si="702"/>
        <v>47900</v>
      </c>
      <c r="B19993" s="2" t="str">
        <f>"20645"</f>
        <v>20645</v>
      </c>
      <c r="C19993" s="1">
        <v>1.2524785550103E-4</v>
      </c>
      <c r="D19993" s="1">
        <v>2.4994896875221298E-5</v>
      </c>
      <c r="E19993" s="1">
        <v>1.3174970191629899E-5</v>
      </c>
      <c r="F19993" s="1">
        <v>1.11955957949859E-4</v>
      </c>
    </row>
    <row r="19994" spans="1:6" x14ac:dyDescent="0.25">
      <c r="A19994" s="2" t="str">
        <f t="shared" si="702"/>
        <v>47900</v>
      </c>
      <c r="B19994" s="2" t="str">
        <f>"20622"</f>
        <v>20622</v>
      </c>
      <c r="C19994" s="1">
        <v>4.1946914919279902E-4</v>
      </c>
      <c r="D19994" s="1">
        <v>2.9160713021091499E-5</v>
      </c>
      <c r="E19994" s="1">
        <v>5.26998807665197E-5</v>
      </c>
      <c r="F19994" s="1">
        <v>3.7113723632511302E-4</v>
      </c>
    </row>
    <row r="19995" spans="1:6" x14ac:dyDescent="0.25">
      <c r="A19995" s="2" t="str">
        <f t="shared" si="702"/>
        <v>47900</v>
      </c>
      <c r="B19995" s="2" t="str">
        <f>"20617"</f>
        <v>20617</v>
      </c>
      <c r="C19995" s="1">
        <v>1.2487729971552401E-4</v>
      </c>
      <c r="D19995" s="1">
        <v>2.4994896875221298E-5</v>
      </c>
      <c r="E19995" s="1">
        <v>1.3174970191629899E-5</v>
      </c>
      <c r="F19995" s="1">
        <v>1.11632385817056E-4</v>
      </c>
    </row>
    <row r="19996" spans="1:6" x14ac:dyDescent="0.25">
      <c r="A19996" s="2" t="str">
        <f t="shared" si="702"/>
        <v>47900</v>
      </c>
      <c r="B19996" s="2" t="str">
        <f>"20722"</f>
        <v>20722</v>
      </c>
      <c r="C19996" s="1">
        <v>7.9632438305240799E-4</v>
      </c>
      <c r="D19996" s="1">
        <v>1.1539310724060501E-3</v>
      </c>
      <c r="E19996" s="1">
        <v>6.1922359900660703E-4</v>
      </c>
      <c r="F19996" s="1">
        <v>8.1540177466371902E-4</v>
      </c>
    </row>
    <row r="19997" spans="1:6" x14ac:dyDescent="0.25">
      <c r="A19997" s="2" t="str">
        <f t="shared" si="702"/>
        <v>47900</v>
      </c>
      <c r="B19997" s="2" t="str">
        <f>"20724"</f>
        <v>20724</v>
      </c>
      <c r="C19997" s="1">
        <v>3.7055578550600601E-7</v>
      </c>
      <c r="D19997" s="1">
        <v>0</v>
      </c>
      <c r="E19997" s="1">
        <v>0</v>
      </c>
      <c r="F19997" s="1">
        <v>3.2357213280306297E-7</v>
      </c>
    </row>
    <row r="19998" spans="1:6" x14ac:dyDescent="0.25">
      <c r="A19998" s="2" t="str">
        <f t="shared" si="702"/>
        <v>47900</v>
      </c>
      <c r="B19998" s="2" t="str">
        <f>"20735"</f>
        <v>20735</v>
      </c>
      <c r="C19998" s="1">
        <v>5.6680212950998799E-3</v>
      </c>
      <c r="D19998" s="1">
        <v>7.2401884615224303E-3</v>
      </c>
      <c r="E19998" s="1">
        <v>8.1684815188105603E-4</v>
      </c>
      <c r="F19998" s="1">
        <v>5.5518506546349596E-3</v>
      </c>
    </row>
    <row r="19999" spans="1:6" x14ac:dyDescent="0.25">
      <c r="A19999" s="2" t="str">
        <f t="shared" si="702"/>
        <v>47900</v>
      </c>
      <c r="B19999" s="2" t="str">
        <f>"20390"</f>
        <v>20390</v>
      </c>
      <c r="C19999" s="1">
        <v>0</v>
      </c>
      <c r="D19999" s="1">
        <v>4.1658161458702099E-6</v>
      </c>
      <c r="E19999" s="1">
        <v>0</v>
      </c>
      <c r="F19999" s="1">
        <v>3.2357213280306297E-7</v>
      </c>
    </row>
    <row r="20000" spans="1:6" x14ac:dyDescent="0.25">
      <c r="A20000" s="2" t="str">
        <f t="shared" si="702"/>
        <v>47900</v>
      </c>
      <c r="B20000" s="2" t="str">
        <f>"20533"</f>
        <v>20533</v>
      </c>
      <c r="C20000" s="1">
        <v>0</v>
      </c>
      <c r="D20000" s="1">
        <v>4.1658161458702099E-6</v>
      </c>
      <c r="E20000" s="1">
        <v>0</v>
      </c>
      <c r="F20000" s="1">
        <v>3.2357213280306297E-7</v>
      </c>
    </row>
    <row r="20001" spans="1:6" x14ac:dyDescent="0.25">
      <c r="A20001" s="2" t="str">
        <f t="shared" si="702"/>
        <v>47900</v>
      </c>
      <c r="B20001" s="2" t="str">
        <f>"20555"</f>
        <v>20555</v>
      </c>
      <c r="C20001" s="1">
        <v>0</v>
      </c>
      <c r="D20001" s="1">
        <v>4.1658161458702099E-6</v>
      </c>
      <c r="E20001" s="1">
        <v>0</v>
      </c>
      <c r="F20001" s="1">
        <v>3.2357213280306297E-7</v>
      </c>
    </row>
    <row r="20002" spans="1:6" x14ac:dyDescent="0.25">
      <c r="A20002" s="2" t="str">
        <f t="shared" si="702"/>
        <v>47900</v>
      </c>
      <c r="B20002" s="2" t="str">
        <f>"20599"</f>
        <v>20599</v>
      </c>
      <c r="C20002" s="1">
        <v>0</v>
      </c>
      <c r="D20002" s="1">
        <v>8.33163229174043E-6</v>
      </c>
      <c r="E20002" s="1">
        <v>0</v>
      </c>
      <c r="F20002" s="1">
        <v>6.4714426560612595E-7</v>
      </c>
    </row>
    <row r="20003" spans="1:6" x14ac:dyDescent="0.25">
      <c r="A20003" s="2" t="str">
        <f t="shared" si="702"/>
        <v>47900</v>
      </c>
      <c r="B20003" s="2" t="str">
        <f>"20444"</f>
        <v>20444</v>
      </c>
      <c r="C20003" s="1">
        <v>0</v>
      </c>
      <c r="D20003" s="1">
        <v>4.1658161458702099E-6</v>
      </c>
      <c r="E20003" s="1">
        <v>0</v>
      </c>
      <c r="F20003" s="1">
        <v>3.2357213280306297E-7</v>
      </c>
    </row>
    <row r="20004" spans="1:6" x14ac:dyDescent="0.25">
      <c r="A20004" s="2" t="str">
        <f t="shared" si="702"/>
        <v>47900</v>
      </c>
      <c r="B20004" s="2" t="str">
        <f>"20586"</f>
        <v>20586</v>
      </c>
      <c r="C20004" s="1">
        <v>0</v>
      </c>
      <c r="D20004" s="1">
        <v>4.1658161458702099E-6</v>
      </c>
      <c r="E20004" s="1">
        <v>0</v>
      </c>
      <c r="F20004" s="1">
        <v>3.2357213280306297E-7</v>
      </c>
    </row>
    <row r="20005" spans="1:6" x14ac:dyDescent="0.25">
      <c r="A20005" s="2" t="str">
        <f t="shared" si="702"/>
        <v>47900</v>
      </c>
      <c r="B20005" s="2" t="str">
        <f>"20424"</f>
        <v>20424</v>
      </c>
      <c r="C20005" s="1">
        <v>0</v>
      </c>
      <c r="D20005" s="1">
        <v>8.33163229174043E-6</v>
      </c>
      <c r="E20005" s="1">
        <v>1.3174970191629899E-5</v>
      </c>
      <c r="F20005" s="1">
        <v>1.29428853121225E-6</v>
      </c>
    </row>
    <row r="20006" spans="1:6" x14ac:dyDescent="0.25">
      <c r="A20006" s="2" t="str">
        <f t="shared" si="702"/>
        <v>47900</v>
      </c>
      <c r="B20006" s="2" t="str">
        <f>"20421"</f>
        <v>20421</v>
      </c>
      <c r="C20006" s="1">
        <v>0</v>
      </c>
      <c r="D20006" s="1">
        <v>4.1658161458702099E-6</v>
      </c>
      <c r="E20006" s="1">
        <v>0</v>
      </c>
      <c r="F20006" s="1">
        <v>3.2357213280306297E-7</v>
      </c>
    </row>
    <row r="20007" spans="1:6" x14ac:dyDescent="0.25">
      <c r="A20007" s="2" t="str">
        <f t="shared" si="702"/>
        <v>47900</v>
      </c>
      <c r="B20007" s="2" t="str">
        <f>"20509"</f>
        <v>20509</v>
      </c>
      <c r="C20007" s="1">
        <v>0</v>
      </c>
      <c r="D20007" s="1">
        <v>4.1658161458702099E-6</v>
      </c>
      <c r="E20007" s="1">
        <v>0</v>
      </c>
      <c r="F20007" s="1">
        <v>3.2357213280306297E-7</v>
      </c>
    </row>
    <row r="20008" spans="1:6" x14ac:dyDescent="0.25">
      <c r="A20008" s="2" t="str">
        <f t="shared" si="702"/>
        <v>47900</v>
      </c>
      <c r="B20008" s="2" t="str">
        <f>"20413"</f>
        <v>20413</v>
      </c>
      <c r="C20008" s="1">
        <v>0</v>
      </c>
      <c r="D20008" s="1">
        <v>4.1658161458702099E-6</v>
      </c>
      <c r="E20008" s="1">
        <v>0</v>
      </c>
      <c r="F20008" s="1">
        <v>3.2357213280306297E-7</v>
      </c>
    </row>
    <row r="20009" spans="1:6" x14ac:dyDescent="0.25">
      <c r="A20009" s="2" t="str">
        <f t="shared" si="702"/>
        <v>47900</v>
      </c>
      <c r="B20009" s="2" t="str">
        <f>"20411"</f>
        <v>20411</v>
      </c>
      <c r="C20009" s="1">
        <v>0</v>
      </c>
      <c r="D20009" s="1">
        <v>4.1658161458702099E-6</v>
      </c>
      <c r="E20009" s="1">
        <v>0</v>
      </c>
      <c r="F20009" s="1">
        <v>3.2357213280306297E-7</v>
      </c>
    </row>
    <row r="20010" spans="1:6" x14ac:dyDescent="0.25">
      <c r="A20010" s="2" t="str">
        <f t="shared" si="702"/>
        <v>47900</v>
      </c>
      <c r="B20010" s="2" t="str">
        <f>"20410"</f>
        <v>20410</v>
      </c>
      <c r="C20010" s="1">
        <v>0</v>
      </c>
      <c r="D20010" s="1">
        <v>4.1658161458702099E-6</v>
      </c>
      <c r="E20010" s="1">
        <v>0</v>
      </c>
      <c r="F20010" s="1">
        <v>3.2357213280306297E-7</v>
      </c>
    </row>
    <row r="20011" spans="1:6" x14ac:dyDescent="0.25">
      <c r="A20011" s="2" t="str">
        <f t="shared" si="702"/>
        <v>47900</v>
      </c>
      <c r="B20011" s="2" t="str">
        <f>"20503"</f>
        <v>20503</v>
      </c>
      <c r="C20011" s="1">
        <v>0</v>
      </c>
      <c r="D20011" s="1">
        <v>4.1658161458702099E-6</v>
      </c>
      <c r="E20011" s="1">
        <v>4.6112395670704698E-5</v>
      </c>
      <c r="F20011" s="1">
        <v>2.5885770624245E-6</v>
      </c>
    </row>
    <row r="20012" spans="1:6" x14ac:dyDescent="0.25">
      <c r="A20012" s="2" t="str">
        <f t="shared" si="702"/>
        <v>47900</v>
      </c>
      <c r="B20012" s="2" t="str">
        <f>"20613"</f>
        <v>20613</v>
      </c>
      <c r="C20012" s="1">
        <v>2.4123181636441001E-3</v>
      </c>
      <c r="D20012" s="1">
        <v>1.0914438302179899E-3</v>
      </c>
      <c r="E20012" s="1">
        <v>3.35961739886563E-4</v>
      </c>
      <c r="F20012" s="1">
        <v>2.2077326621153001E-3</v>
      </c>
    </row>
    <row r="20013" spans="1:6" x14ac:dyDescent="0.25">
      <c r="A20013" s="2" t="str">
        <f t="shared" si="702"/>
        <v>47900</v>
      </c>
      <c r="B20013" s="2" t="str">
        <f>"20706"</f>
        <v>20706</v>
      </c>
      <c r="C20013" s="1">
        <v>5.5279512081786103E-3</v>
      </c>
      <c r="D20013" s="1">
        <v>6.5528287974538496E-3</v>
      </c>
      <c r="E20013" s="1">
        <v>5.8365117948920601E-3</v>
      </c>
      <c r="F20013" s="1">
        <v>5.6227129517188298E-3</v>
      </c>
    </row>
    <row r="20014" spans="1:6" x14ac:dyDescent="0.25">
      <c r="A20014" s="2" t="str">
        <f t="shared" si="702"/>
        <v>47900</v>
      </c>
      <c r="B20014" s="2" t="str">
        <f>"20705"</f>
        <v>20705</v>
      </c>
      <c r="C20014" s="1">
        <v>3.7385373199701E-3</v>
      </c>
      <c r="D20014" s="1">
        <v>7.5859512016296596E-3</v>
      </c>
      <c r="E20014" s="1">
        <v>5.56642490596365E-3</v>
      </c>
      <c r="F20014" s="1">
        <v>4.1271625539030703E-3</v>
      </c>
    </row>
    <row r="20015" spans="1:6" x14ac:dyDescent="0.25">
      <c r="A20015" s="2" t="str">
        <f t="shared" si="702"/>
        <v>47900</v>
      </c>
      <c r="B20015" s="2" t="str">
        <f>"20303"</f>
        <v>20303</v>
      </c>
      <c r="C20015" s="1">
        <v>0</v>
      </c>
      <c r="D20015" s="1">
        <v>4.1658161458702099E-6</v>
      </c>
      <c r="E20015" s="1">
        <v>0</v>
      </c>
      <c r="F20015" s="1">
        <v>3.2357213280306297E-7</v>
      </c>
    </row>
    <row r="20016" spans="1:6" x14ac:dyDescent="0.25">
      <c r="A20016" s="2" t="str">
        <f t="shared" si="702"/>
        <v>47900</v>
      </c>
      <c r="B20016" s="2" t="str">
        <f>"20375"</f>
        <v>20375</v>
      </c>
      <c r="C20016" s="1">
        <v>0</v>
      </c>
      <c r="D20016" s="1">
        <v>4.1658161458702099E-6</v>
      </c>
      <c r="E20016" s="1">
        <v>0</v>
      </c>
      <c r="F20016" s="1">
        <v>3.2357213280306297E-7</v>
      </c>
    </row>
    <row r="20017" spans="1:6" x14ac:dyDescent="0.25">
      <c r="A20017" s="2" t="str">
        <f t="shared" si="702"/>
        <v>47900</v>
      </c>
      <c r="B20017" s="2" t="str">
        <f>"20220"</f>
        <v>20220</v>
      </c>
      <c r="C20017" s="1">
        <v>0</v>
      </c>
      <c r="D20017" s="1">
        <v>2.0829080729350999E-5</v>
      </c>
      <c r="E20017" s="1">
        <v>1.3174970191629899E-5</v>
      </c>
      <c r="F20017" s="1">
        <v>2.26500492962144E-6</v>
      </c>
    </row>
    <row r="20018" spans="1:6" x14ac:dyDescent="0.25">
      <c r="A20018" s="2" t="str">
        <f t="shared" si="702"/>
        <v>47900</v>
      </c>
      <c r="B20018" s="2" t="str">
        <f>"20216"</f>
        <v>20216</v>
      </c>
      <c r="C20018" s="1">
        <v>0</v>
      </c>
      <c r="D20018" s="1">
        <v>4.1658161458702099E-6</v>
      </c>
      <c r="E20018" s="1">
        <v>0</v>
      </c>
      <c r="F20018" s="1">
        <v>3.2357213280306297E-7</v>
      </c>
    </row>
    <row r="20019" spans="1:6" x14ac:dyDescent="0.25">
      <c r="A20019" s="2" t="str">
        <f t="shared" si="702"/>
        <v>47900</v>
      </c>
      <c r="B20019" s="2" t="str">
        <f>"20213"</f>
        <v>20213</v>
      </c>
      <c r="C20019" s="1">
        <v>0</v>
      </c>
      <c r="D20019" s="1">
        <v>4.1658161458702099E-6</v>
      </c>
      <c r="E20019" s="1">
        <v>0</v>
      </c>
      <c r="F20019" s="1">
        <v>3.2357213280306297E-7</v>
      </c>
    </row>
    <row r="20020" spans="1:6" x14ac:dyDescent="0.25">
      <c r="A20020" s="2" t="str">
        <f t="shared" si="702"/>
        <v>47900</v>
      </c>
      <c r="B20020" s="2" t="str">
        <f>"20207"</f>
        <v>20207</v>
      </c>
      <c r="C20020" s="1">
        <v>0</v>
      </c>
      <c r="D20020" s="1">
        <v>4.1658161458702099E-6</v>
      </c>
      <c r="E20020" s="1">
        <v>0</v>
      </c>
      <c r="F20020" s="1">
        <v>3.2357213280306297E-7</v>
      </c>
    </row>
    <row r="20021" spans="1:6" x14ac:dyDescent="0.25">
      <c r="A20021" s="2" t="str">
        <f t="shared" si="702"/>
        <v>47900</v>
      </c>
      <c r="B20021" s="2" t="str">
        <f>"20319"</f>
        <v>20319</v>
      </c>
      <c r="C20021" s="1">
        <v>2.59389049854204E-6</v>
      </c>
      <c r="D20021" s="1">
        <v>1.79130094272419E-4</v>
      </c>
      <c r="E20021" s="1">
        <v>1.4492467210792899E-4</v>
      </c>
      <c r="F20021" s="1">
        <v>2.32971935618205E-5</v>
      </c>
    </row>
    <row r="20022" spans="1:6" x14ac:dyDescent="0.25">
      <c r="A20022" s="2" t="str">
        <f t="shared" si="702"/>
        <v>47900</v>
      </c>
      <c r="B20022" s="2" t="str">
        <f>"20071"</f>
        <v>20071</v>
      </c>
      <c r="C20022" s="1">
        <v>0</v>
      </c>
      <c r="D20022" s="1">
        <v>1.24974484376106E-5</v>
      </c>
      <c r="E20022" s="1">
        <v>6.5874850958149701E-6</v>
      </c>
      <c r="F20022" s="1">
        <v>1.29428853121225E-6</v>
      </c>
    </row>
    <row r="20023" spans="1:6" x14ac:dyDescent="0.25">
      <c r="A20023" s="2" t="str">
        <f t="shared" si="702"/>
        <v>47900</v>
      </c>
      <c r="B20023" s="2" t="str">
        <f>"20066"</f>
        <v>20066</v>
      </c>
      <c r="C20023" s="1">
        <v>0</v>
      </c>
      <c r="D20023" s="1">
        <v>4.1658161458702099E-6</v>
      </c>
      <c r="E20023" s="1">
        <v>5.26998807665197E-5</v>
      </c>
      <c r="F20023" s="1">
        <v>2.9121491952275599E-6</v>
      </c>
    </row>
    <row r="20024" spans="1:6" x14ac:dyDescent="0.25">
      <c r="A20024" s="2" t="str">
        <f t="shared" si="702"/>
        <v>47900</v>
      </c>
      <c r="B20024" s="2" t="str">
        <f>"20064"</f>
        <v>20064</v>
      </c>
      <c r="C20024" s="1">
        <v>0</v>
      </c>
      <c r="D20024" s="1">
        <v>4.1658161458702099E-6</v>
      </c>
      <c r="E20024" s="1">
        <v>0</v>
      </c>
      <c r="F20024" s="1">
        <v>3.2357213280306297E-7</v>
      </c>
    </row>
    <row r="20025" spans="1:6" x14ac:dyDescent="0.25">
      <c r="A20025" s="2" t="str">
        <f t="shared" si="702"/>
        <v>47900</v>
      </c>
      <c r="B20025" s="2" t="str">
        <f>"20033"</f>
        <v>20033</v>
      </c>
      <c r="C20025" s="1">
        <v>2.1047568616741101E-4</v>
      </c>
      <c r="D20025" s="1">
        <v>7.4151527396489796E-4</v>
      </c>
      <c r="E20025" s="1">
        <v>1.3174970191629899E-5</v>
      </c>
      <c r="F20025" s="1">
        <v>2.42031955336691E-4</v>
      </c>
    </row>
    <row r="20026" spans="1:6" x14ac:dyDescent="0.25">
      <c r="A20026" s="2" t="str">
        <f t="shared" si="702"/>
        <v>47900</v>
      </c>
      <c r="B20026" s="2" t="str">
        <f>"20171"</f>
        <v>20171</v>
      </c>
      <c r="C20026" s="1">
        <v>7.4352018361780198E-3</v>
      </c>
      <c r="D20026" s="1">
        <v>5.3197472182762596E-3</v>
      </c>
      <c r="E20026" s="1">
        <v>5.7969868843171703E-3</v>
      </c>
      <c r="F20026" s="1">
        <v>7.1904199351496704E-3</v>
      </c>
    </row>
    <row r="20027" spans="1:6" x14ac:dyDescent="0.25">
      <c r="A20027" s="2" t="str">
        <f t="shared" si="702"/>
        <v>47900</v>
      </c>
      <c r="B20027" s="2" t="str">
        <f>"20135"</f>
        <v>20135</v>
      </c>
      <c r="C20027" s="1">
        <v>4.9358030629400099E-4</v>
      </c>
      <c r="D20027" s="1">
        <v>1.08311219792625E-4</v>
      </c>
      <c r="E20027" s="1">
        <v>4.6112395670704698E-5</v>
      </c>
      <c r="F20027" s="1">
        <v>4.4167596127618099E-4</v>
      </c>
    </row>
    <row r="20028" spans="1:6" x14ac:dyDescent="0.25">
      <c r="A20028" s="2" t="str">
        <f t="shared" si="702"/>
        <v>47900</v>
      </c>
      <c r="B20028" s="2" t="str">
        <f>"20112"</f>
        <v>20112</v>
      </c>
      <c r="C20028" s="1">
        <v>3.5102749560984E-3</v>
      </c>
      <c r="D20028" s="1">
        <v>7.1235456094380703E-4</v>
      </c>
      <c r="E20028" s="1">
        <v>3.0302431440748799E-4</v>
      </c>
      <c r="F20028" s="1">
        <v>3.1354139668616802E-3</v>
      </c>
    </row>
    <row r="20029" spans="1:6" x14ac:dyDescent="0.25">
      <c r="A20029" s="2" t="str">
        <f t="shared" si="702"/>
        <v>47900</v>
      </c>
      <c r="B20029" s="2" t="str">
        <f>"20010"</f>
        <v>20010</v>
      </c>
      <c r="C20029" s="1">
        <v>5.9148114482468796E-3</v>
      </c>
      <c r="D20029" s="1">
        <v>3.75340034742906E-3</v>
      </c>
      <c r="E20029" s="1">
        <v>1.13436493349933E-2</v>
      </c>
      <c r="F20029" s="1">
        <v>6.01358808814493E-3</v>
      </c>
    </row>
    <row r="20030" spans="1:6" x14ac:dyDescent="0.25">
      <c r="A20030" s="2" t="str">
        <f t="shared" si="702"/>
        <v>47900</v>
      </c>
      <c r="B20030" s="2" t="str">
        <f>"20016"</f>
        <v>20016</v>
      </c>
      <c r="C20030" s="1">
        <v>6.5099240397695204E-3</v>
      </c>
      <c r="D20030" s="1">
        <v>5.5863594516119596E-3</v>
      </c>
      <c r="E20030" s="1">
        <v>5.2238756809812699E-3</v>
      </c>
      <c r="F20030" s="1">
        <v>6.3750181604859497E-3</v>
      </c>
    </row>
    <row r="20031" spans="1:6" x14ac:dyDescent="0.25">
      <c r="A20031" s="2" t="str">
        <f t="shared" si="702"/>
        <v>47900</v>
      </c>
      <c r="B20031" s="2" t="str">
        <f>"20009"</f>
        <v>20009</v>
      </c>
      <c r="C20031" s="1">
        <v>1.24099132565961E-2</v>
      </c>
      <c r="D20031" s="1">
        <v>8.6399026865348304E-3</v>
      </c>
      <c r="E20031" s="1">
        <v>2.83854732778667E-2</v>
      </c>
      <c r="F20031" s="1">
        <v>1.2901791651256499E-2</v>
      </c>
    </row>
    <row r="20032" spans="1:6" x14ac:dyDescent="0.25">
      <c r="A20032" s="2" t="str">
        <f t="shared" si="702"/>
        <v>47900</v>
      </c>
      <c r="B20032" s="2" t="str">
        <f>"25423"</f>
        <v>25423</v>
      </c>
      <c r="C20032" s="1">
        <v>0</v>
      </c>
      <c r="D20032" s="1">
        <v>0</v>
      </c>
      <c r="E20032" s="1">
        <v>6.5874850958149701E-6</v>
      </c>
      <c r="F20032" s="1">
        <v>3.2357213280306297E-7</v>
      </c>
    </row>
    <row r="20033" spans="1:6" x14ac:dyDescent="0.25">
      <c r="A20033" s="2" t="str">
        <f t="shared" si="702"/>
        <v>47900</v>
      </c>
      <c r="B20033" s="2" t="str">
        <f>"25425"</f>
        <v>25425</v>
      </c>
      <c r="C20033" s="1">
        <v>2.54015990964367E-3</v>
      </c>
      <c r="D20033" s="1">
        <v>7.83173435423601E-4</v>
      </c>
      <c r="E20033" s="1">
        <v>3.8207413555726798E-4</v>
      </c>
      <c r="F20033" s="1">
        <v>2.2976857150345501E-3</v>
      </c>
    </row>
    <row r="20034" spans="1:6" x14ac:dyDescent="0.25">
      <c r="A20034" s="2" t="str">
        <f t="shared" si="702"/>
        <v>47900</v>
      </c>
      <c r="B20034" s="2" t="str">
        <f>"25404"</f>
        <v>25404</v>
      </c>
      <c r="C20034" s="1">
        <v>7.4111157101201297E-7</v>
      </c>
      <c r="D20034" s="1">
        <v>0</v>
      </c>
      <c r="E20034" s="1">
        <v>0</v>
      </c>
      <c r="F20034" s="1">
        <v>6.4714426560612595E-7</v>
      </c>
    </row>
    <row r="20035" spans="1:6" x14ac:dyDescent="0.25">
      <c r="A20035" s="2" t="str">
        <f t="shared" si="702"/>
        <v>47900</v>
      </c>
      <c r="B20035" s="2" t="str">
        <f>"22989"</f>
        <v>22989</v>
      </c>
      <c r="C20035" s="1">
        <v>0</v>
      </c>
      <c r="D20035" s="1">
        <v>4.1658161458702099E-6</v>
      </c>
      <c r="E20035" s="1">
        <v>0</v>
      </c>
      <c r="F20035" s="1">
        <v>3.2357213280306297E-7</v>
      </c>
    </row>
    <row r="20036" spans="1:6" x14ac:dyDescent="0.25">
      <c r="A20036" s="2" t="str">
        <f t="shared" si="702"/>
        <v>47900</v>
      </c>
      <c r="B20036" s="2" t="str">
        <f>"22743"</f>
        <v>22743</v>
      </c>
      <c r="C20036" s="1">
        <v>6.04005930374791E-5</v>
      </c>
      <c r="D20036" s="1">
        <v>4.1658161458702099E-6</v>
      </c>
      <c r="E20036" s="1">
        <v>0</v>
      </c>
      <c r="F20036" s="1">
        <v>5.30658297797023E-5</v>
      </c>
    </row>
    <row r="20037" spans="1:6" x14ac:dyDescent="0.25">
      <c r="A20037" s="2" t="str">
        <f t="shared" si="702"/>
        <v>47900</v>
      </c>
      <c r="B20037" s="2" t="str">
        <f>"22714"</f>
        <v>22714</v>
      </c>
      <c r="C20037" s="1">
        <v>1.4636953527487199E-4</v>
      </c>
      <c r="D20037" s="1">
        <v>2.1245662343938101E-4</v>
      </c>
      <c r="E20037" s="1">
        <v>3.9524910574889798E-5</v>
      </c>
      <c r="F20037" s="1">
        <v>1.4625460402698399E-4</v>
      </c>
    </row>
    <row r="20038" spans="1:6" x14ac:dyDescent="0.25">
      <c r="A20038" s="2" t="str">
        <f t="shared" si="702"/>
        <v>47900</v>
      </c>
      <c r="B20038" s="2" t="str">
        <f>"22645"</f>
        <v>22645</v>
      </c>
      <c r="C20038" s="1">
        <v>1.81201779112437E-4</v>
      </c>
      <c r="D20038" s="1">
        <v>4.5823977604572298E-5</v>
      </c>
      <c r="E20038" s="1">
        <v>6.5874850958149701E-6</v>
      </c>
      <c r="F20038" s="1">
        <v>1.6210963853433401E-4</v>
      </c>
    </row>
    <row r="20039" spans="1:6" x14ac:dyDescent="0.25">
      <c r="A20039" s="2" t="str">
        <f t="shared" ref="A20039:A20102" si="703">"47900"</f>
        <v>47900</v>
      </c>
      <c r="B20039" s="2" t="str">
        <f>"22333"</f>
        <v>22333</v>
      </c>
      <c r="C20039" s="1">
        <v>0</v>
      </c>
      <c r="D20039" s="1">
        <v>4.1658161458702099E-6</v>
      </c>
      <c r="E20039" s="1">
        <v>0</v>
      </c>
      <c r="F20039" s="1">
        <v>3.2357213280306297E-7</v>
      </c>
    </row>
    <row r="20040" spans="1:6" x14ac:dyDescent="0.25">
      <c r="A20040" s="2" t="str">
        <f t="shared" si="703"/>
        <v>47900</v>
      </c>
      <c r="B20040" s="2" t="str">
        <f>"22404"</f>
        <v>22404</v>
      </c>
      <c r="C20040" s="1">
        <v>5.5731590140103396E-4</v>
      </c>
      <c r="D20040" s="1">
        <v>2.6286299880441E-3</v>
      </c>
      <c r="E20040" s="1">
        <v>1.9762455287444899E-5</v>
      </c>
      <c r="F20040" s="1">
        <v>6.9179721993294899E-4</v>
      </c>
    </row>
    <row r="20041" spans="1:6" x14ac:dyDescent="0.25">
      <c r="A20041" s="2" t="str">
        <f t="shared" si="703"/>
        <v>47900</v>
      </c>
      <c r="B20041" s="2" t="str">
        <f>"22309"</f>
        <v>22309</v>
      </c>
      <c r="C20041" s="1">
        <v>4.6656678953061297E-3</v>
      </c>
      <c r="D20041" s="1">
        <v>2.7369412078367301E-3</v>
      </c>
      <c r="E20041" s="1">
        <v>4.6046520819746596E-3</v>
      </c>
      <c r="F20041" s="1">
        <v>4.5128605362043201E-3</v>
      </c>
    </row>
    <row r="20042" spans="1:6" x14ac:dyDescent="0.25">
      <c r="A20042" s="2" t="str">
        <f t="shared" si="703"/>
        <v>47900</v>
      </c>
      <c r="B20042" s="2" t="str">
        <f>"22554"</f>
        <v>22554</v>
      </c>
      <c r="C20042" s="1">
        <v>7.7320170203683302E-3</v>
      </c>
      <c r="D20042" s="1">
        <v>4.6907089802498596E-3</v>
      </c>
      <c r="E20042" s="1">
        <v>3.63629177288986E-3</v>
      </c>
      <c r="F20042" s="1">
        <v>7.2946101619122501E-3</v>
      </c>
    </row>
    <row r="20043" spans="1:6" x14ac:dyDescent="0.25">
      <c r="A20043" s="2" t="str">
        <f t="shared" si="703"/>
        <v>47900</v>
      </c>
      <c r="B20043" s="2" t="str">
        <f>"22304"</f>
        <v>22304</v>
      </c>
      <c r="C20043" s="1">
        <v>1.02047357770499E-2</v>
      </c>
      <c r="D20043" s="1">
        <v>7.9817037354873305E-3</v>
      </c>
      <c r="E20043" s="1">
        <v>9.6374906951772997E-3</v>
      </c>
      <c r="F20043" s="1">
        <v>1.00042032020051E-2</v>
      </c>
    </row>
    <row r="20044" spans="1:6" x14ac:dyDescent="0.25">
      <c r="A20044" s="2" t="str">
        <f t="shared" si="703"/>
        <v>47900</v>
      </c>
      <c r="B20044" s="2" t="str">
        <f>"22302"</f>
        <v>22302</v>
      </c>
      <c r="C20044" s="1">
        <v>3.9052874234478002E-3</v>
      </c>
      <c r="D20044" s="1">
        <v>2.5494794812725699E-3</v>
      </c>
      <c r="E20044" s="1">
        <v>2.3253822388226799E-3</v>
      </c>
      <c r="F20044" s="1">
        <v>3.7223738157664398E-3</v>
      </c>
    </row>
    <row r="20045" spans="1:6" x14ac:dyDescent="0.25">
      <c r="A20045" s="2" t="str">
        <f t="shared" si="703"/>
        <v>47900</v>
      </c>
      <c r="B20045" s="2" t="str">
        <f>"22219"</f>
        <v>22219</v>
      </c>
      <c r="C20045" s="1">
        <v>6.8441653582959399E-4</v>
      </c>
      <c r="D20045" s="1">
        <v>8.9148465521622601E-4</v>
      </c>
      <c r="E20045" s="1">
        <v>6.5874850958149701E-6</v>
      </c>
      <c r="F20045" s="1">
        <v>6.6720573783991604E-4</v>
      </c>
    </row>
    <row r="20046" spans="1:6" x14ac:dyDescent="0.25">
      <c r="A20046" s="2" t="str">
        <f t="shared" si="703"/>
        <v>47900</v>
      </c>
      <c r="B20046" s="2" t="str">
        <f>"22210"</f>
        <v>22210</v>
      </c>
      <c r="C20046" s="1">
        <v>3.77225789645115E-4</v>
      </c>
      <c r="D20046" s="1">
        <v>1.02895658802994E-3</v>
      </c>
      <c r="E20046" s="1">
        <v>1.3174970191629899E-5</v>
      </c>
      <c r="F20046" s="1">
        <v>4.0996589226148099E-4</v>
      </c>
    </row>
    <row r="20047" spans="1:6" x14ac:dyDescent="0.25">
      <c r="A20047" s="2" t="str">
        <f t="shared" si="703"/>
        <v>47900</v>
      </c>
      <c r="B20047" s="2" t="str">
        <f>"22030"</f>
        <v>22030</v>
      </c>
      <c r="C20047" s="1">
        <v>7.7609203716377997E-3</v>
      </c>
      <c r="D20047" s="1">
        <v>1.22016754912538E-2</v>
      </c>
      <c r="E20047" s="1">
        <v>1.02567142941839E-2</v>
      </c>
      <c r="F20047" s="1">
        <v>8.2284393371818993E-3</v>
      </c>
    </row>
    <row r="20048" spans="1:6" x14ac:dyDescent="0.25">
      <c r="A20048" s="2" t="str">
        <f t="shared" si="703"/>
        <v>47900</v>
      </c>
      <c r="B20048" s="2" t="str">
        <f>"22103"</f>
        <v>22103</v>
      </c>
      <c r="C20048" s="1">
        <v>2.56795159355662E-4</v>
      </c>
      <c r="D20048" s="1">
        <v>7.4151527396489796E-4</v>
      </c>
      <c r="E20048" s="1">
        <v>6.5874850958149701E-6</v>
      </c>
      <c r="F20048" s="1">
        <v>2.8215489980427098E-4</v>
      </c>
    </row>
    <row r="20049" spans="1:6" x14ac:dyDescent="0.25">
      <c r="A20049" s="2" t="str">
        <f t="shared" si="703"/>
        <v>47900</v>
      </c>
      <c r="B20049" s="2" t="str">
        <f>"22152"</f>
        <v>22152</v>
      </c>
      <c r="C20049" s="1">
        <v>4.1728287005831401E-3</v>
      </c>
      <c r="D20049" s="1">
        <v>2.8410866114834802E-3</v>
      </c>
      <c r="E20049" s="1">
        <v>1.86425828211563E-3</v>
      </c>
      <c r="F20049" s="1">
        <v>3.9559928956502503E-3</v>
      </c>
    </row>
    <row r="20050" spans="1:6" x14ac:dyDescent="0.25">
      <c r="A20050" s="2" t="str">
        <f t="shared" si="703"/>
        <v>47900</v>
      </c>
      <c r="B20050" s="2" t="str">
        <f>"22180"</f>
        <v>22180</v>
      </c>
      <c r="C20050" s="1">
        <v>3.79004457415543E-3</v>
      </c>
      <c r="D20050" s="1">
        <v>4.6907089802498596E-3</v>
      </c>
      <c r="E20050" s="1">
        <v>3.4913671007819301E-3</v>
      </c>
      <c r="F20050" s="1">
        <v>3.8453312262315999E-3</v>
      </c>
    </row>
    <row r="20051" spans="1:6" x14ac:dyDescent="0.25">
      <c r="A20051" s="2" t="str">
        <f t="shared" si="703"/>
        <v>47900</v>
      </c>
      <c r="B20051" s="2" t="str">
        <f>"22044"</f>
        <v>22044</v>
      </c>
      <c r="C20051" s="1">
        <v>2.5190382298698301E-3</v>
      </c>
      <c r="D20051" s="1">
        <v>2.8535840599210899E-3</v>
      </c>
      <c r="E20051" s="1">
        <v>4.1501156103634302E-3</v>
      </c>
      <c r="F20051" s="1">
        <v>2.62514071343125E-3</v>
      </c>
    </row>
    <row r="20052" spans="1:6" x14ac:dyDescent="0.25">
      <c r="A20052" s="2" t="str">
        <f t="shared" si="703"/>
        <v>47900</v>
      </c>
      <c r="B20052" s="2" t="str">
        <f>"22043"</f>
        <v>22043</v>
      </c>
      <c r="C20052" s="1">
        <v>3.59513223097927E-3</v>
      </c>
      <c r="D20052" s="1">
        <v>1.957933588559E-3</v>
      </c>
      <c r="E20052" s="1">
        <v>2.97754326330836E-3</v>
      </c>
      <c r="F20052" s="1">
        <v>3.43763033889974E-3</v>
      </c>
    </row>
    <row r="20053" spans="1:6" x14ac:dyDescent="0.25">
      <c r="A20053" s="2" t="str">
        <f t="shared" si="703"/>
        <v>47900</v>
      </c>
      <c r="B20053" s="2" t="str">
        <f>"21797"</f>
        <v>21797</v>
      </c>
      <c r="C20053" s="1">
        <v>4.0761136405660697E-6</v>
      </c>
      <c r="D20053" s="1">
        <v>0</v>
      </c>
      <c r="E20053" s="1">
        <v>0</v>
      </c>
      <c r="F20053" s="1">
        <v>3.55929346083369E-6</v>
      </c>
    </row>
    <row r="20054" spans="1:6" x14ac:dyDescent="0.25">
      <c r="A20054" s="2" t="str">
        <f t="shared" si="703"/>
        <v>47900</v>
      </c>
      <c r="B20054" s="2" t="str">
        <f>"21757"</f>
        <v>21757</v>
      </c>
      <c r="C20054" s="1">
        <v>2.31226810155748E-4</v>
      </c>
      <c r="D20054" s="1">
        <v>3.3326529166961699E-5</v>
      </c>
      <c r="E20054" s="1">
        <v>2.6349940383259799E-5</v>
      </c>
      <c r="F20054" s="1">
        <v>2.0579187646274801E-4</v>
      </c>
    </row>
    <row r="20055" spans="1:6" x14ac:dyDescent="0.25">
      <c r="A20055" s="2" t="str">
        <f t="shared" si="703"/>
        <v>47900</v>
      </c>
      <c r="B20055" s="2" t="str">
        <f>"21755"</f>
        <v>21755</v>
      </c>
      <c r="C20055" s="1">
        <v>8.31527182675479E-4</v>
      </c>
      <c r="D20055" s="1">
        <v>2.2495407187699099E-4</v>
      </c>
      <c r="E20055" s="1">
        <v>2.3714946344933799E-4</v>
      </c>
      <c r="F20055" s="1">
        <v>7.5521735796234897E-4</v>
      </c>
    </row>
    <row r="20056" spans="1:6" x14ac:dyDescent="0.25">
      <c r="A20056" s="2" t="str">
        <f t="shared" si="703"/>
        <v>47900</v>
      </c>
      <c r="B20056" s="2" t="str">
        <f>"21762"</f>
        <v>21762</v>
      </c>
      <c r="C20056" s="1">
        <v>0</v>
      </c>
      <c r="D20056" s="1">
        <v>8.33163229174043E-6</v>
      </c>
      <c r="E20056" s="1">
        <v>0</v>
      </c>
      <c r="F20056" s="1">
        <v>6.4714426560612595E-7</v>
      </c>
    </row>
    <row r="20057" spans="1:6" x14ac:dyDescent="0.25">
      <c r="A20057" s="2" t="str">
        <f t="shared" si="703"/>
        <v>47900</v>
      </c>
      <c r="B20057" s="2" t="str">
        <f>"21771"</f>
        <v>21771</v>
      </c>
      <c r="C20057" s="1">
        <v>1.8650072684517299E-3</v>
      </c>
      <c r="D20057" s="1">
        <v>5.4988773125486795E-4</v>
      </c>
      <c r="E20057" s="1">
        <v>1.6468712739537401E-4</v>
      </c>
      <c r="F20057" s="1">
        <v>1.67933936924789E-3</v>
      </c>
    </row>
    <row r="20058" spans="1:6" x14ac:dyDescent="0.25">
      <c r="A20058" s="2" t="str">
        <f t="shared" si="703"/>
        <v>47900</v>
      </c>
      <c r="B20058" s="2" t="str">
        <f>"21713"</f>
        <v>21713</v>
      </c>
      <c r="C20058" s="1">
        <v>1.48222314202402E-6</v>
      </c>
      <c r="D20058" s="1">
        <v>0</v>
      </c>
      <c r="E20058" s="1">
        <v>0</v>
      </c>
      <c r="F20058" s="1">
        <v>1.29428853121225E-6</v>
      </c>
    </row>
    <row r="20059" spans="1:6" x14ac:dyDescent="0.25">
      <c r="A20059" s="2" t="str">
        <f t="shared" si="703"/>
        <v>47900</v>
      </c>
      <c r="B20059" s="2" t="str">
        <f>"20993"</f>
        <v>20993</v>
      </c>
      <c r="C20059" s="1">
        <v>0</v>
      </c>
      <c r="D20059" s="1">
        <v>1.6663264583480799E-5</v>
      </c>
      <c r="E20059" s="1">
        <v>6.5874850958149701E-6</v>
      </c>
      <c r="F20059" s="1">
        <v>1.6178606640153099E-6</v>
      </c>
    </row>
    <row r="20060" spans="1:6" x14ac:dyDescent="0.25">
      <c r="A20060" s="2" t="str">
        <f t="shared" si="703"/>
        <v>47900</v>
      </c>
      <c r="B20060" s="2" t="str">
        <f>"20918"</f>
        <v>20918</v>
      </c>
      <c r="C20060" s="1">
        <v>2.7495239284545698E-4</v>
      </c>
      <c r="D20060" s="1">
        <v>5.3322446667138697E-4</v>
      </c>
      <c r="E20060" s="1">
        <v>1.3174970191629899E-5</v>
      </c>
      <c r="F20060" s="1">
        <v>2.8215489980427098E-4</v>
      </c>
    </row>
    <row r="20061" spans="1:6" x14ac:dyDescent="0.25">
      <c r="A20061" s="2" t="str">
        <f t="shared" si="703"/>
        <v>47900</v>
      </c>
      <c r="B20061" s="2" t="str">
        <f>"20916"</f>
        <v>20916</v>
      </c>
      <c r="C20061" s="1">
        <v>4.7208807073465198E-4</v>
      </c>
      <c r="D20061" s="1">
        <v>6.5403313490162399E-4</v>
      </c>
      <c r="E20061" s="1">
        <v>2.6349940383259799E-5</v>
      </c>
      <c r="F20061" s="1">
        <v>4.64326010572395E-4</v>
      </c>
    </row>
    <row r="20062" spans="1:6" x14ac:dyDescent="0.25">
      <c r="A20062" s="2" t="str">
        <f t="shared" si="703"/>
        <v>47900</v>
      </c>
      <c r="B20062" s="2" t="str">
        <f>"20915"</f>
        <v>20915</v>
      </c>
      <c r="C20062" s="1">
        <v>3.10896304039539E-4</v>
      </c>
      <c r="D20062" s="1">
        <v>6.91525480214456E-4</v>
      </c>
      <c r="E20062" s="1">
        <v>1.3174970191629899E-5</v>
      </c>
      <c r="F20062" s="1">
        <v>3.2583713773268403E-4</v>
      </c>
    </row>
    <row r="20063" spans="1:6" x14ac:dyDescent="0.25">
      <c r="A20063" s="2" t="str">
        <f t="shared" si="703"/>
        <v>47900</v>
      </c>
      <c r="B20063" s="2" t="str">
        <f>"20912"</f>
        <v>20912</v>
      </c>
      <c r="C20063" s="1">
        <v>3.9693935743403399E-3</v>
      </c>
      <c r="D20063" s="1">
        <v>2.8660815083587101E-3</v>
      </c>
      <c r="E20063" s="1">
        <v>8.1026066678524106E-3</v>
      </c>
      <c r="F20063" s="1">
        <v>4.0867160373026798E-3</v>
      </c>
    </row>
    <row r="20064" spans="1:6" x14ac:dyDescent="0.25">
      <c r="A20064" s="2" t="str">
        <f t="shared" si="703"/>
        <v>47900</v>
      </c>
      <c r="B20064" s="2" t="str">
        <f>"20910"</f>
        <v>20910</v>
      </c>
      <c r="C20064" s="1">
        <v>9.0989973130999897E-3</v>
      </c>
      <c r="D20064" s="1">
        <v>1.23974688501097E-2</v>
      </c>
      <c r="E20064" s="1">
        <v>9.1566042831828006E-3</v>
      </c>
      <c r="F20064" s="1">
        <v>9.3580296527973894E-3</v>
      </c>
    </row>
    <row r="20065" spans="1:6" x14ac:dyDescent="0.25">
      <c r="A20065" s="2" t="str">
        <f t="shared" si="703"/>
        <v>47900</v>
      </c>
      <c r="B20065" s="2" t="str">
        <f>"20825"</f>
        <v>20825</v>
      </c>
      <c r="C20065" s="1">
        <v>2.6346516349477002E-4</v>
      </c>
      <c r="D20065" s="1">
        <v>5.2072701823377703E-4</v>
      </c>
      <c r="E20065" s="1">
        <v>1.3174970191629899E-5</v>
      </c>
      <c r="F20065" s="1">
        <v>2.7115344728896698E-4</v>
      </c>
    </row>
    <row r="20066" spans="1:6" x14ac:dyDescent="0.25">
      <c r="A20066" s="2" t="str">
        <f t="shared" si="703"/>
        <v>47900</v>
      </c>
      <c r="B20066" s="2" t="str">
        <f>"20816"</f>
        <v>20816</v>
      </c>
      <c r="C20066" s="1">
        <v>2.4864293207453002E-3</v>
      </c>
      <c r="D20066" s="1">
        <v>1.46220146720044E-3</v>
      </c>
      <c r="E20066" s="1">
        <v>1.0737600706178399E-3</v>
      </c>
      <c r="F20066" s="1">
        <v>2.3374850873693199E-3</v>
      </c>
    </row>
    <row r="20067" spans="1:6" x14ac:dyDescent="0.25">
      <c r="A20067" s="2" t="str">
        <f t="shared" si="703"/>
        <v>47900</v>
      </c>
      <c r="B20067" s="2" t="str">
        <f>"20889"</f>
        <v>20889</v>
      </c>
      <c r="C20067" s="1">
        <v>0</v>
      </c>
      <c r="D20067" s="1">
        <v>8.2483159688230296E-4</v>
      </c>
      <c r="E20067" s="1">
        <v>1.3174970191629899E-5</v>
      </c>
      <c r="F20067" s="1">
        <v>6.4714426560612601E-5</v>
      </c>
    </row>
    <row r="20068" spans="1:6" x14ac:dyDescent="0.25">
      <c r="A20068" s="2" t="str">
        <f t="shared" si="703"/>
        <v>47900</v>
      </c>
      <c r="B20068" s="2" t="str">
        <f>"20903"</f>
        <v>20903</v>
      </c>
      <c r="C20068" s="1">
        <v>2.6583672052200901E-3</v>
      </c>
      <c r="D20068" s="1">
        <v>1.17892596928127E-3</v>
      </c>
      <c r="E20068" s="1">
        <v>4.1830530358424999E-3</v>
      </c>
      <c r="F20068" s="1">
        <v>2.6183456986423798E-3</v>
      </c>
    </row>
    <row r="20069" spans="1:6" x14ac:dyDescent="0.25">
      <c r="A20069" s="2" t="str">
        <f t="shared" si="703"/>
        <v>47900</v>
      </c>
      <c r="B20069" s="2" t="str">
        <f>"20854"</f>
        <v>20854</v>
      </c>
      <c r="C20069" s="1">
        <v>6.63517189527055E-3</v>
      </c>
      <c r="D20069" s="1">
        <v>2.1120687859561998E-3</v>
      </c>
      <c r="E20069" s="1">
        <v>6.5874850958149702E-4</v>
      </c>
      <c r="F20069" s="1">
        <v>5.9902908945831104E-3</v>
      </c>
    </row>
    <row r="20070" spans="1:6" x14ac:dyDescent="0.25">
      <c r="A20070" s="2" t="str">
        <f t="shared" si="703"/>
        <v>47900</v>
      </c>
      <c r="B20070" s="2" t="str">
        <f>"20882"</f>
        <v>20882</v>
      </c>
      <c r="C20070" s="1">
        <v>1.76643942950713E-3</v>
      </c>
      <c r="D20070" s="1">
        <v>3.62426004690708E-4</v>
      </c>
      <c r="E20070" s="1">
        <v>1.31749701916299E-4</v>
      </c>
      <c r="F20070" s="1">
        <v>1.5770905752821301E-3</v>
      </c>
    </row>
    <row r="20071" spans="1:6" x14ac:dyDescent="0.25">
      <c r="A20071" s="2" t="str">
        <f t="shared" si="703"/>
        <v>47900</v>
      </c>
      <c r="B20071" s="2" t="str">
        <f>"20773"</f>
        <v>20773</v>
      </c>
      <c r="C20071" s="1">
        <v>6.0771148822985101E-4</v>
      </c>
      <c r="D20071" s="1">
        <v>1.5746785031389399E-3</v>
      </c>
      <c r="E20071" s="1">
        <v>1.3174970191629899E-5</v>
      </c>
      <c r="F20071" s="1">
        <v>6.5361570826218704E-4</v>
      </c>
    </row>
    <row r="20072" spans="1:6" x14ac:dyDescent="0.25">
      <c r="A20072" s="2" t="str">
        <f t="shared" si="703"/>
        <v>47900</v>
      </c>
      <c r="B20072" s="2" t="str">
        <f>"20781"</f>
        <v>20781</v>
      </c>
      <c r="C20072" s="1">
        <v>1.7638455390085899E-3</v>
      </c>
      <c r="D20072" s="1">
        <v>3.5034513786768502E-3</v>
      </c>
      <c r="E20072" s="1">
        <v>2.8392060762962501E-3</v>
      </c>
      <c r="F20072" s="1">
        <v>1.9517871050680701E-3</v>
      </c>
    </row>
    <row r="20073" spans="1:6" x14ac:dyDescent="0.25">
      <c r="A20073" s="2" t="str">
        <f t="shared" si="703"/>
        <v>47900</v>
      </c>
      <c r="B20073" s="2" t="str">
        <f>"20849"</f>
        <v>20849</v>
      </c>
      <c r="C20073" s="1">
        <v>5.4286422576629997E-4</v>
      </c>
      <c r="D20073" s="1">
        <v>1.8829488979333301E-3</v>
      </c>
      <c r="E20073" s="1">
        <v>1.3174970191629899E-5</v>
      </c>
      <c r="F20073" s="1">
        <v>6.2093492284907804E-4</v>
      </c>
    </row>
    <row r="20074" spans="1:6" x14ac:dyDescent="0.25">
      <c r="A20074" s="2" t="str">
        <f t="shared" si="703"/>
        <v>47900</v>
      </c>
      <c r="B20074" s="2" t="str">
        <f>"20838"</f>
        <v>20838</v>
      </c>
      <c r="C20074" s="1">
        <v>2.6680016556432398E-5</v>
      </c>
      <c r="D20074" s="1">
        <v>4.1658161458702099E-6</v>
      </c>
      <c r="E20074" s="1">
        <v>1.3174970191629899E-5</v>
      </c>
      <c r="F20074" s="1">
        <v>2.4267909960229702E-5</v>
      </c>
    </row>
    <row r="20075" spans="1:6" x14ac:dyDescent="0.25">
      <c r="A20075" s="2" t="str">
        <f t="shared" si="703"/>
        <v>47900</v>
      </c>
      <c r="B20075" s="2" t="str">
        <f>"20758"</f>
        <v>20758</v>
      </c>
      <c r="C20075" s="1">
        <v>3.7055578550600601E-7</v>
      </c>
      <c r="D20075" s="1">
        <v>0</v>
      </c>
      <c r="E20075" s="1">
        <v>0</v>
      </c>
      <c r="F20075" s="1">
        <v>3.2357213280306297E-7</v>
      </c>
    </row>
    <row r="20076" spans="1:6" x14ac:dyDescent="0.25">
      <c r="A20076" s="2" t="str">
        <f t="shared" si="703"/>
        <v>47900</v>
      </c>
      <c r="B20076" s="2" t="str">
        <f>"20754"</f>
        <v>20754</v>
      </c>
      <c r="C20076" s="1">
        <v>1.04015008991536E-3</v>
      </c>
      <c r="D20076" s="1">
        <v>1.9870943015800899E-3</v>
      </c>
      <c r="E20076" s="1">
        <v>3.75486650461453E-4</v>
      </c>
      <c r="F20076" s="1">
        <v>1.0810544956950301E-3</v>
      </c>
    </row>
    <row r="20077" spans="1:6" x14ac:dyDescent="0.25">
      <c r="A20077" s="2" t="str">
        <f t="shared" si="703"/>
        <v>47900</v>
      </c>
      <c r="B20077" s="2" t="str">
        <f>"20748"</f>
        <v>20748</v>
      </c>
      <c r="C20077" s="1">
        <v>6.3216817007324703E-3</v>
      </c>
      <c r="D20077" s="1">
        <v>5.6321834292165302E-3</v>
      </c>
      <c r="E20077" s="1">
        <v>8.0433193019900703E-3</v>
      </c>
      <c r="F20077" s="1">
        <v>6.3526916833225398E-3</v>
      </c>
    </row>
    <row r="20078" spans="1:6" x14ac:dyDescent="0.25">
      <c r="A20078" s="2" t="str">
        <f t="shared" si="703"/>
        <v>47900</v>
      </c>
      <c r="B20078" s="2" t="str">
        <f>"20661"</f>
        <v>20661</v>
      </c>
      <c r="C20078" s="1">
        <v>0</v>
      </c>
      <c r="D20078" s="1">
        <v>0</v>
      </c>
      <c r="E20078" s="1">
        <v>6.5874850958149701E-6</v>
      </c>
      <c r="F20078" s="1">
        <v>3.2357213280306297E-7</v>
      </c>
    </row>
    <row r="20079" spans="1:6" x14ac:dyDescent="0.25">
      <c r="A20079" s="2" t="str">
        <f t="shared" si="703"/>
        <v>47900</v>
      </c>
      <c r="B20079" s="2" t="str">
        <f>"20664"</f>
        <v>20664</v>
      </c>
      <c r="C20079" s="1">
        <v>4.7949918644477199E-4</v>
      </c>
      <c r="D20079" s="1">
        <v>2.4161733646047199E-4</v>
      </c>
      <c r="E20079" s="1">
        <v>1.2516221682048399E-4</v>
      </c>
      <c r="F20079" s="1">
        <v>4.43617394072999E-4</v>
      </c>
    </row>
    <row r="20080" spans="1:6" x14ac:dyDescent="0.25">
      <c r="A20080" s="2" t="str">
        <f t="shared" si="703"/>
        <v>47900</v>
      </c>
      <c r="B20080" s="2" t="str">
        <f>"20662"</f>
        <v>20662</v>
      </c>
      <c r="C20080" s="1">
        <v>4.4096138475214802E-4</v>
      </c>
      <c r="D20080" s="1">
        <v>6.2487242188053195E-5</v>
      </c>
      <c r="E20080" s="1">
        <v>7.2462336053964602E-5</v>
      </c>
      <c r="F20080" s="1">
        <v>3.93463713488524E-4</v>
      </c>
    </row>
    <row r="20081" spans="1:6" x14ac:dyDescent="0.25">
      <c r="A20081" s="2" t="str">
        <f t="shared" si="703"/>
        <v>47900</v>
      </c>
      <c r="B20081" s="2" t="str">
        <f>"20632"</f>
        <v>20632</v>
      </c>
      <c r="C20081" s="1">
        <v>5.8177258324443002E-5</v>
      </c>
      <c r="D20081" s="1">
        <v>2.4994896875221298E-5</v>
      </c>
      <c r="E20081" s="1">
        <v>1.3174970191629899E-5</v>
      </c>
      <c r="F20081" s="1">
        <v>5.3389401912505399E-5</v>
      </c>
    </row>
    <row r="20082" spans="1:6" x14ac:dyDescent="0.25">
      <c r="A20082" s="2" t="str">
        <f t="shared" si="703"/>
        <v>47900</v>
      </c>
      <c r="B20082" s="2" t="str">
        <f>"20623"</f>
        <v>20623</v>
      </c>
      <c r="C20082" s="1">
        <v>5.2137199020695101E-4</v>
      </c>
      <c r="D20082" s="1">
        <v>9.7063516198775998E-4</v>
      </c>
      <c r="E20082" s="1">
        <v>3.9524910574889798E-5</v>
      </c>
      <c r="F20082" s="1">
        <v>5.3259973059384196E-4</v>
      </c>
    </row>
    <row r="20083" spans="1:6" x14ac:dyDescent="0.25">
      <c r="A20083" s="2" t="str">
        <f t="shared" si="703"/>
        <v>47900</v>
      </c>
      <c r="B20083" s="2" t="str">
        <f>"20715"</f>
        <v>20715</v>
      </c>
      <c r="C20083" s="1">
        <v>3.4691432639072299E-3</v>
      </c>
      <c r="D20083" s="1">
        <v>2.6036350911688801E-3</v>
      </c>
      <c r="E20083" s="1">
        <v>5.53348748048457E-4</v>
      </c>
      <c r="F20083" s="1">
        <v>3.2586949494596501E-3</v>
      </c>
    </row>
    <row r="20084" spans="1:6" x14ac:dyDescent="0.25">
      <c r="A20084" s="2" t="str">
        <f t="shared" si="703"/>
        <v>47900</v>
      </c>
      <c r="B20084" s="2" t="str">
        <f>"20712"</f>
        <v>20712</v>
      </c>
      <c r="C20084" s="1">
        <v>1.55151707391365E-3</v>
      </c>
      <c r="D20084" s="1">
        <v>7.4151527396489796E-4</v>
      </c>
      <c r="E20084" s="1">
        <v>5.7903993992213503E-3</v>
      </c>
      <c r="F20084" s="1">
        <v>1.6968122644192599E-3</v>
      </c>
    </row>
    <row r="20085" spans="1:6" x14ac:dyDescent="0.25">
      <c r="A20085" s="2" t="str">
        <f t="shared" si="703"/>
        <v>47900</v>
      </c>
      <c r="B20085" s="2" t="str">
        <f>"20731"</f>
        <v>20731</v>
      </c>
      <c r="C20085" s="1">
        <v>2.8643962219614301E-4</v>
      </c>
      <c r="D20085" s="1">
        <v>4.54073959899853E-4</v>
      </c>
      <c r="E20085" s="1">
        <v>1.3174970191629899E-5</v>
      </c>
      <c r="F20085" s="1">
        <v>2.86037765397907E-4</v>
      </c>
    </row>
    <row r="20086" spans="1:6" x14ac:dyDescent="0.25">
      <c r="A20086" s="2" t="str">
        <f t="shared" si="703"/>
        <v>47900</v>
      </c>
      <c r="B20086" s="2" t="str">
        <f>"20738"</f>
        <v>20738</v>
      </c>
      <c r="C20086" s="1">
        <v>2.0232345888627901E-4</v>
      </c>
      <c r="D20086" s="1">
        <v>3.9991835000354001E-4</v>
      </c>
      <c r="E20086" s="1">
        <v>1.3174970191629899E-5</v>
      </c>
      <c r="F20086" s="1">
        <v>2.0838045352517199E-4</v>
      </c>
    </row>
    <row r="20087" spans="1:6" x14ac:dyDescent="0.25">
      <c r="A20087" s="2" t="str">
        <f t="shared" si="703"/>
        <v>47900</v>
      </c>
      <c r="B20087" s="2" t="str">
        <f>"20737"</f>
        <v>20737</v>
      </c>
      <c r="C20087" s="1">
        <v>2.7517472631675998E-3</v>
      </c>
      <c r="D20087" s="1">
        <v>2.3661835708542801E-3</v>
      </c>
      <c r="E20087" s="1">
        <v>5.7245245482632004E-3</v>
      </c>
      <c r="F20087" s="1">
        <v>2.86781981303355E-3</v>
      </c>
    </row>
    <row r="20088" spans="1:6" x14ac:dyDescent="0.25">
      <c r="A20088" s="2" t="str">
        <f t="shared" si="703"/>
        <v>47900</v>
      </c>
      <c r="B20088" s="2" t="str">
        <f>"20380"</f>
        <v>20380</v>
      </c>
      <c r="C20088" s="1">
        <v>0</v>
      </c>
      <c r="D20088" s="1">
        <v>4.1658161458702099E-6</v>
      </c>
      <c r="E20088" s="1">
        <v>6.5874850958149701E-6</v>
      </c>
      <c r="F20088" s="1">
        <v>6.4714426560612595E-7</v>
      </c>
    </row>
    <row r="20089" spans="1:6" x14ac:dyDescent="0.25">
      <c r="A20089" s="2" t="str">
        <f t="shared" si="703"/>
        <v>47900</v>
      </c>
      <c r="B20089" s="2" t="str">
        <f>"20534"</f>
        <v>20534</v>
      </c>
      <c r="C20089" s="1">
        <v>0</v>
      </c>
      <c r="D20089" s="1">
        <v>1.24974484376106E-5</v>
      </c>
      <c r="E20089" s="1">
        <v>0</v>
      </c>
      <c r="F20089" s="1">
        <v>9.7071639840918897E-7</v>
      </c>
    </row>
    <row r="20090" spans="1:6" x14ac:dyDescent="0.25">
      <c r="A20090" s="2" t="str">
        <f t="shared" si="703"/>
        <v>47900</v>
      </c>
      <c r="B20090" s="2" t="str">
        <f>"20539"</f>
        <v>20539</v>
      </c>
      <c r="C20090" s="1">
        <v>0</v>
      </c>
      <c r="D20090" s="1">
        <v>4.1658161458702099E-6</v>
      </c>
      <c r="E20090" s="1">
        <v>0</v>
      </c>
      <c r="F20090" s="1">
        <v>3.2357213280306297E-7</v>
      </c>
    </row>
    <row r="20091" spans="1:6" x14ac:dyDescent="0.25">
      <c r="A20091" s="2" t="str">
        <f t="shared" si="703"/>
        <v>47900</v>
      </c>
      <c r="B20091" s="2" t="str">
        <f>"20529"</f>
        <v>20529</v>
      </c>
      <c r="C20091" s="1">
        <v>0</v>
      </c>
      <c r="D20091" s="1">
        <v>2.2495407187699099E-4</v>
      </c>
      <c r="E20091" s="1">
        <v>3.9524910574889798E-5</v>
      </c>
      <c r="F20091" s="1">
        <v>1.9414327968183699E-5</v>
      </c>
    </row>
    <row r="20092" spans="1:6" x14ac:dyDescent="0.25">
      <c r="A20092" s="2" t="str">
        <f t="shared" si="703"/>
        <v>47900</v>
      </c>
      <c r="B20092" s="2" t="str">
        <f>"20463"</f>
        <v>20463</v>
      </c>
      <c r="C20092" s="1">
        <v>0</v>
      </c>
      <c r="D20092" s="1">
        <v>4.1658161458702099E-6</v>
      </c>
      <c r="E20092" s="1">
        <v>0</v>
      </c>
      <c r="F20092" s="1">
        <v>3.2357213280306297E-7</v>
      </c>
    </row>
    <row r="20093" spans="1:6" x14ac:dyDescent="0.25">
      <c r="A20093" s="2" t="str">
        <f t="shared" si="703"/>
        <v>47900</v>
      </c>
      <c r="B20093" s="2" t="str">
        <f>"20594"</f>
        <v>20594</v>
      </c>
      <c r="C20093" s="1">
        <v>0</v>
      </c>
      <c r="D20093" s="1">
        <v>4.1658161458702099E-6</v>
      </c>
      <c r="E20093" s="1">
        <v>0</v>
      </c>
      <c r="F20093" s="1">
        <v>3.2357213280306297E-7</v>
      </c>
    </row>
    <row r="20094" spans="1:6" x14ac:dyDescent="0.25">
      <c r="A20094" s="2" t="str">
        <f t="shared" si="703"/>
        <v>47900</v>
      </c>
      <c r="B20094" s="2" t="str">
        <f>"20544"</f>
        <v>20544</v>
      </c>
      <c r="C20094" s="1">
        <v>0</v>
      </c>
      <c r="D20094" s="1">
        <v>2.0829080729350999E-5</v>
      </c>
      <c r="E20094" s="1">
        <v>6.5874850958149701E-6</v>
      </c>
      <c r="F20094" s="1">
        <v>1.9414327968183699E-6</v>
      </c>
    </row>
    <row r="20095" spans="1:6" x14ac:dyDescent="0.25">
      <c r="A20095" s="2" t="str">
        <f t="shared" si="703"/>
        <v>47900</v>
      </c>
      <c r="B20095" s="2" t="str">
        <f>"20428"</f>
        <v>20428</v>
      </c>
      <c r="C20095" s="1">
        <v>0</v>
      </c>
      <c r="D20095" s="1">
        <v>4.1658161458702099E-6</v>
      </c>
      <c r="E20095" s="1">
        <v>0</v>
      </c>
      <c r="F20095" s="1">
        <v>3.2357213280306297E-7</v>
      </c>
    </row>
    <row r="20096" spans="1:6" x14ac:dyDescent="0.25">
      <c r="A20096" s="2" t="str">
        <f t="shared" si="703"/>
        <v>47900</v>
      </c>
      <c r="B20096" s="2" t="str">
        <f>"20508"</f>
        <v>20508</v>
      </c>
      <c r="C20096" s="1">
        <v>0</v>
      </c>
      <c r="D20096" s="1">
        <v>4.1658161458702099E-6</v>
      </c>
      <c r="E20096" s="1">
        <v>0</v>
      </c>
      <c r="F20096" s="1">
        <v>3.2357213280306297E-7</v>
      </c>
    </row>
    <row r="20097" spans="1:6" x14ac:dyDescent="0.25">
      <c r="A20097" s="2" t="str">
        <f t="shared" si="703"/>
        <v>47900</v>
      </c>
      <c r="B20097" s="2" t="str">
        <f>"20415"</f>
        <v>20415</v>
      </c>
      <c r="C20097" s="1">
        <v>0</v>
      </c>
      <c r="D20097" s="1">
        <v>4.1658161458702099E-6</v>
      </c>
      <c r="E20097" s="1">
        <v>0</v>
      </c>
      <c r="F20097" s="1">
        <v>3.2357213280306297E-7</v>
      </c>
    </row>
    <row r="20098" spans="1:6" x14ac:dyDescent="0.25">
      <c r="A20098" s="2" t="str">
        <f t="shared" si="703"/>
        <v>47900</v>
      </c>
      <c r="B20098" s="2" t="str">
        <f>"20688"</f>
        <v>20688</v>
      </c>
      <c r="C20098" s="1">
        <v>5.1581365342436101E-4</v>
      </c>
      <c r="D20098" s="1">
        <v>2.3745152031460199E-4</v>
      </c>
      <c r="E20098" s="1">
        <v>9.2224791341409505E-5</v>
      </c>
      <c r="F20098" s="1">
        <v>4.7338603029088098E-4</v>
      </c>
    </row>
    <row r="20099" spans="1:6" x14ac:dyDescent="0.25">
      <c r="A20099" s="2" t="str">
        <f t="shared" si="703"/>
        <v>47900</v>
      </c>
      <c r="B20099" s="2" t="str">
        <f>"20235"</f>
        <v>20235</v>
      </c>
      <c r="C20099" s="1">
        <v>0</v>
      </c>
      <c r="D20099" s="1">
        <v>4.1658161458702099E-6</v>
      </c>
      <c r="E20099" s="1">
        <v>0</v>
      </c>
      <c r="F20099" s="1">
        <v>3.2357213280306297E-7</v>
      </c>
    </row>
    <row r="20100" spans="1:6" x14ac:dyDescent="0.25">
      <c r="A20100" s="2" t="str">
        <f t="shared" si="703"/>
        <v>47900</v>
      </c>
      <c r="B20100" s="2" t="str">
        <f>"20268"</f>
        <v>20268</v>
      </c>
      <c r="C20100" s="1">
        <v>0</v>
      </c>
      <c r="D20100" s="1">
        <v>4.1658161458702099E-6</v>
      </c>
      <c r="E20100" s="1">
        <v>6.5874850958149701E-6</v>
      </c>
      <c r="F20100" s="1">
        <v>6.4714426560612595E-7</v>
      </c>
    </row>
    <row r="20101" spans="1:6" x14ac:dyDescent="0.25">
      <c r="A20101" s="2" t="str">
        <f t="shared" si="703"/>
        <v>47900</v>
      </c>
      <c r="B20101" s="2" t="str">
        <f>"20221"</f>
        <v>20221</v>
      </c>
      <c r="C20101" s="1">
        <v>0</v>
      </c>
      <c r="D20101" s="1">
        <v>8.33163229174043E-6</v>
      </c>
      <c r="E20101" s="1">
        <v>0</v>
      </c>
      <c r="F20101" s="1">
        <v>6.4714426560612595E-7</v>
      </c>
    </row>
    <row r="20102" spans="1:6" x14ac:dyDescent="0.25">
      <c r="A20102" s="2" t="str">
        <f t="shared" si="703"/>
        <v>47900</v>
      </c>
      <c r="B20102" s="2" t="str">
        <f>"20330"</f>
        <v>20330</v>
      </c>
      <c r="C20102" s="1">
        <v>0</v>
      </c>
      <c r="D20102" s="1">
        <v>4.1658161458702099E-6</v>
      </c>
      <c r="E20102" s="1">
        <v>4.6112395670704699E-4</v>
      </c>
      <c r="F20102" s="1">
        <v>2.2973621429017401E-5</v>
      </c>
    </row>
    <row r="20103" spans="1:6" x14ac:dyDescent="0.25">
      <c r="A20103" s="2" t="str">
        <f t="shared" ref="A20103:A20116" si="704">"47900"</f>
        <v>47900</v>
      </c>
      <c r="B20103" s="2" t="str">
        <f>"20194"</f>
        <v>20194</v>
      </c>
      <c r="C20103" s="1">
        <v>2.1699746799231701E-3</v>
      </c>
      <c r="D20103" s="1">
        <v>2.7494386562743398E-4</v>
      </c>
      <c r="E20103" s="1">
        <v>2.02235792441519E-3</v>
      </c>
      <c r="F20103" s="1">
        <v>2.0155308152302802E-3</v>
      </c>
    </row>
    <row r="20104" spans="1:6" x14ac:dyDescent="0.25">
      <c r="A20104" s="2" t="str">
        <f t="shared" si="704"/>
        <v>47900</v>
      </c>
      <c r="B20104" s="2" t="str">
        <f>"20189"</f>
        <v>20189</v>
      </c>
      <c r="C20104" s="1">
        <v>6.05451097938264E-3</v>
      </c>
      <c r="D20104" s="1">
        <v>0</v>
      </c>
      <c r="E20104" s="1">
        <v>8.0367318168942596E-4</v>
      </c>
      <c r="F20104" s="1">
        <v>5.3263208780712197E-3</v>
      </c>
    </row>
    <row r="20105" spans="1:6" x14ac:dyDescent="0.25">
      <c r="A20105" s="2" t="str">
        <f t="shared" si="704"/>
        <v>47900</v>
      </c>
      <c r="B20105" s="2" t="str">
        <f>"20190"</f>
        <v>20190</v>
      </c>
      <c r="C20105" s="1">
        <v>4.3025232255102398E-3</v>
      </c>
      <c r="D20105" s="1">
        <v>6.2945481964098897E-3</v>
      </c>
      <c r="E20105" s="1">
        <v>8.5307931990803807E-3</v>
      </c>
      <c r="F20105" s="1">
        <v>4.6649394386217603E-3</v>
      </c>
    </row>
    <row r="20106" spans="1:6" x14ac:dyDescent="0.25">
      <c r="A20106" s="2" t="str">
        <f t="shared" si="704"/>
        <v>47900</v>
      </c>
      <c r="B20106" s="2" t="str">
        <f>"20062"</f>
        <v>20062</v>
      </c>
      <c r="C20106" s="1">
        <v>0</v>
      </c>
      <c r="D20106" s="1">
        <v>4.1658161458702099E-6</v>
      </c>
      <c r="E20106" s="1">
        <v>0</v>
      </c>
      <c r="F20106" s="1">
        <v>3.2357213280306297E-7</v>
      </c>
    </row>
    <row r="20107" spans="1:6" x14ac:dyDescent="0.25">
      <c r="A20107" s="2" t="str">
        <f t="shared" si="704"/>
        <v>47900</v>
      </c>
      <c r="B20107" s="2" t="str">
        <f>"20104"</f>
        <v>20104</v>
      </c>
      <c r="C20107" s="1">
        <v>0</v>
      </c>
      <c r="D20107" s="1">
        <v>4.1658161458702099E-6</v>
      </c>
      <c r="E20107" s="1">
        <v>0</v>
      </c>
      <c r="F20107" s="1">
        <v>3.2357213280306297E-7</v>
      </c>
    </row>
    <row r="20108" spans="1:6" x14ac:dyDescent="0.25">
      <c r="A20108" s="2" t="str">
        <f t="shared" si="704"/>
        <v>47900</v>
      </c>
      <c r="B20108" s="2" t="str">
        <f>"20053"</f>
        <v>20053</v>
      </c>
      <c r="C20108" s="1">
        <v>0</v>
      </c>
      <c r="D20108" s="1">
        <v>4.1658161458702099E-6</v>
      </c>
      <c r="E20108" s="1">
        <v>0</v>
      </c>
      <c r="F20108" s="1">
        <v>3.2357213280306297E-7</v>
      </c>
    </row>
    <row r="20109" spans="1:6" x14ac:dyDescent="0.25">
      <c r="A20109" s="2" t="str">
        <f t="shared" si="704"/>
        <v>47900</v>
      </c>
      <c r="B20109" s="2" t="str">
        <f>"20026"</f>
        <v>20026</v>
      </c>
      <c r="C20109" s="1">
        <v>3.2460686810326198E-4</v>
      </c>
      <c r="D20109" s="1">
        <v>6.08209157297051E-4</v>
      </c>
      <c r="E20109" s="1">
        <v>2.6349940383259799E-5</v>
      </c>
      <c r="F20109" s="1">
        <v>3.3198500825594202E-4</v>
      </c>
    </row>
    <row r="20110" spans="1:6" x14ac:dyDescent="0.25">
      <c r="A20110" s="2" t="str">
        <f t="shared" si="704"/>
        <v>47900</v>
      </c>
      <c r="B20110" s="2" t="str">
        <f>"20182"</f>
        <v>20182</v>
      </c>
      <c r="C20110" s="1">
        <v>1.8861289482255701E-4</v>
      </c>
      <c r="D20110" s="1">
        <v>3.9991835000354001E-4</v>
      </c>
      <c r="E20110" s="1">
        <v>1.3174970191629899E-5</v>
      </c>
      <c r="F20110" s="1">
        <v>1.9640828461145899E-4</v>
      </c>
    </row>
    <row r="20111" spans="1:6" x14ac:dyDescent="0.25">
      <c r="A20111" s="2" t="str">
        <f t="shared" si="704"/>
        <v>47900</v>
      </c>
      <c r="B20111" s="2" t="str">
        <f>"20151"</f>
        <v>20151</v>
      </c>
      <c r="C20111" s="1">
        <v>2.5420126885711998E-3</v>
      </c>
      <c r="D20111" s="1">
        <v>1.04811934230094E-2</v>
      </c>
      <c r="E20111" s="1">
        <v>3.5704169219317101E-3</v>
      </c>
      <c r="F20111" s="1">
        <v>3.2091884131407798E-3</v>
      </c>
    </row>
    <row r="20112" spans="1:6" x14ac:dyDescent="0.25">
      <c r="A20112" s="2" t="str">
        <f t="shared" si="704"/>
        <v>47900</v>
      </c>
      <c r="B20112" s="2" t="str">
        <f>"20165"</f>
        <v>20165</v>
      </c>
      <c r="C20112" s="1">
        <v>4.6149017526917998E-3</v>
      </c>
      <c r="D20112" s="1">
        <v>3.19101516773658E-3</v>
      </c>
      <c r="E20112" s="1">
        <v>2.7074563743799498E-3</v>
      </c>
      <c r="F20112" s="1">
        <v>4.4106117422385502E-3</v>
      </c>
    </row>
    <row r="20113" spans="1:6" x14ac:dyDescent="0.25">
      <c r="A20113" s="2" t="str">
        <f t="shared" si="704"/>
        <v>47900</v>
      </c>
      <c r="B20113" s="2" t="str">
        <f>"20137"</f>
        <v>20137</v>
      </c>
      <c r="C20113" s="1">
        <v>2.8569851062513102E-4</v>
      </c>
      <c r="D20113" s="1">
        <v>8.33163229174043E-6</v>
      </c>
      <c r="E20113" s="1">
        <v>6.5874850958149701E-6</v>
      </c>
      <c r="F20113" s="1">
        <v>2.5044483078957098E-4</v>
      </c>
    </row>
    <row r="20114" spans="1:6" x14ac:dyDescent="0.25">
      <c r="A20114" s="2" t="str">
        <f t="shared" si="704"/>
        <v>47900</v>
      </c>
      <c r="B20114" s="2" t="str">
        <f>"20136"</f>
        <v>20136</v>
      </c>
      <c r="C20114" s="1">
        <v>3.44802158413339E-3</v>
      </c>
      <c r="D20114" s="1">
        <v>9.4147444896666905E-4</v>
      </c>
      <c r="E20114" s="1">
        <v>7.9049821149779597E-5</v>
      </c>
      <c r="F20114" s="1">
        <v>3.0878488633396301E-3</v>
      </c>
    </row>
    <row r="20115" spans="1:6" x14ac:dyDescent="0.25">
      <c r="A20115" s="2" t="str">
        <f t="shared" si="704"/>
        <v>47900</v>
      </c>
      <c r="B20115" s="2" t="str">
        <f>"20004"</f>
        <v>20004</v>
      </c>
      <c r="C20115" s="1">
        <v>6.0474704194580305E-4</v>
      </c>
      <c r="D20115" s="1">
        <v>5.6238517969247901E-3</v>
      </c>
      <c r="E20115" s="1">
        <v>1.0671725855220201E-3</v>
      </c>
      <c r="F20115" s="1">
        <v>1.01731078553283E-3</v>
      </c>
    </row>
    <row r="20116" spans="1:6" x14ac:dyDescent="0.25">
      <c r="A20116" s="2" t="str">
        <f t="shared" si="704"/>
        <v>47900</v>
      </c>
      <c r="B20116" s="2" t="str">
        <f>"20006"</f>
        <v>20006</v>
      </c>
      <c r="C20116" s="1">
        <v>3.4461688052058598E-4</v>
      </c>
      <c r="D20116" s="1">
        <v>1.0122933234464599E-2</v>
      </c>
      <c r="E20116" s="1">
        <v>1.6798086994328099E-3</v>
      </c>
      <c r="F20116" s="1">
        <v>1.1697132600830701E-3</v>
      </c>
    </row>
    <row r="20117" spans="1:6" x14ac:dyDescent="0.25">
      <c r="A20117" s="2" t="str">
        <f t="shared" ref="A20117:A20148" si="705">"47260"</f>
        <v>47260</v>
      </c>
      <c r="B20117" s="2" t="str">
        <f>"27966"</f>
        <v>27966</v>
      </c>
      <c r="C20117" s="1">
        <v>6.5777597535071001E-4</v>
      </c>
      <c r="D20117" s="1">
        <v>1.4343127369811201E-3</v>
      </c>
      <c r="E20117" s="1">
        <v>7.8674454642984801E-4</v>
      </c>
      <c r="F20117" s="1">
        <v>7.2301085167638605E-4</v>
      </c>
    </row>
    <row r="20118" spans="1:6" x14ac:dyDescent="0.25">
      <c r="A20118" s="2" t="str">
        <f t="shared" si="705"/>
        <v>47260</v>
      </c>
      <c r="B20118" s="2" t="str">
        <f>"27958"</f>
        <v>27958</v>
      </c>
      <c r="C20118" s="1">
        <v>6.0906098770255601E-3</v>
      </c>
      <c r="D20118" s="1">
        <v>3.01063663603959E-3</v>
      </c>
      <c r="E20118" s="1">
        <v>4.0529264513052801E-4</v>
      </c>
      <c r="F20118" s="1">
        <v>5.5962776882759304E-3</v>
      </c>
    </row>
    <row r="20119" spans="1:6" x14ac:dyDescent="0.25">
      <c r="A20119" s="2" t="str">
        <f t="shared" si="705"/>
        <v>47260</v>
      </c>
      <c r="B20119" s="2" t="str">
        <f>"23837"</f>
        <v>23837</v>
      </c>
      <c r="C20119" s="1">
        <v>2.22926707435588E-3</v>
      </c>
      <c r="D20119" s="1">
        <v>1.6757317125126001E-3</v>
      </c>
      <c r="E20119" s="1">
        <v>1.54964834902848E-3</v>
      </c>
      <c r="F20119" s="1">
        <v>2.15600533247643E-3</v>
      </c>
    </row>
    <row r="20120" spans="1:6" x14ac:dyDescent="0.25">
      <c r="A20120" s="2" t="str">
        <f t="shared" si="705"/>
        <v>47260</v>
      </c>
      <c r="B20120" s="2" t="str">
        <f>"23467"</f>
        <v>23467</v>
      </c>
      <c r="C20120" s="1">
        <v>8.1356502214429999E-4</v>
      </c>
      <c r="D20120" s="1">
        <v>4.7431728133831303E-3</v>
      </c>
      <c r="E20120" s="1">
        <v>4.7681487662415E-5</v>
      </c>
      <c r="F20120" s="1">
        <v>1.0790882681175999E-3</v>
      </c>
    </row>
    <row r="20121" spans="1:6" x14ac:dyDescent="0.25">
      <c r="A20121" s="2" t="str">
        <f t="shared" si="705"/>
        <v>47260</v>
      </c>
      <c r="B20121" s="2" t="str">
        <f>"23661"</f>
        <v>23661</v>
      </c>
      <c r="C20121" s="1">
        <v>8.0206630678572501E-3</v>
      </c>
      <c r="D20121" s="1">
        <v>9.7561668347131997E-3</v>
      </c>
      <c r="E20121" s="1">
        <v>3.76683752533079E-3</v>
      </c>
      <c r="F20121" s="1">
        <v>7.9596329797166094E-3</v>
      </c>
    </row>
    <row r="20122" spans="1:6" x14ac:dyDescent="0.25">
      <c r="A20122" s="2" t="str">
        <f t="shared" si="705"/>
        <v>47260</v>
      </c>
      <c r="B20122" s="2" t="str">
        <f>"23694"</f>
        <v>23694</v>
      </c>
      <c r="C20122" s="1">
        <v>0</v>
      </c>
      <c r="D20122" s="1">
        <v>1.4201116207733899E-5</v>
      </c>
      <c r="E20122" s="1">
        <v>0</v>
      </c>
      <c r="F20122" s="1">
        <v>1.08560187939397E-6</v>
      </c>
    </row>
    <row r="20123" spans="1:6" x14ac:dyDescent="0.25">
      <c r="A20123" s="2" t="str">
        <f t="shared" si="705"/>
        <v>47260</v>
      </c>
      <c r="B20123" s="2" t="str">
        <f>"23691"</f>
        <v>23691</v>
      </c>
      <c r="C20123" s="1">
        <v>5.1929682264529802E-5</v>
      </c>
      <c r="D20123" s="1">
        <v>4.4023460243975099E-4</v>
      </c>
      <c r="E20123" s="1">
        <v>9.5362975324830095E-5</v>
      </c>
      <c r="F20123" s="1">
        <v>8.3591344713335899E-5</v>
      </c>
    </row>
    <row r="20124" spans="1:6" x14ac:dyDescent="0.25">
      <c r="A20124" s="2" t="str">
        <f t="shared" si="705"/>
        <v>47260</v>
      </c>
      <c r="B20124" s="2" t="str">
        <f>"23693"</f>
        <v>23693</v>
      </c>
      <c r="C20124" s="1">
        <v>1.16804692465003E-2</v>
      </c>
      <c r="D20124" s="1">
        <v>8.4212619111862091E-3</v>
      </c>
      <c r="E20124" s="1">
        <v>1.0299201335081601E-2</v>
      </c>
      <c r="F20124" s="1">
        <v>1.13684228810136E-2</v>
      </c>
    </row>
    <row r="20125" spans="1:6" x14ac:dyDescent="0.25">
      <c r="A20125" s="2" t="str">
        <f t="shared" si="705"/>
        <v>47260</v>
      </c>
      <c r="B20125" s="2" t="str">
        <f>"23707"</f>
        <v>23707</v>
      </c>
      <c r="C20125" s="1">
        <v>8.9788893477384599E-3</v>
      </c>
      <c r="D20125" s="1">
        <v>1.0409418180268901E-2</v>
      </c>
      <c r="E20125" s="1">
        <v>1.06091310048873E-2</v>
      </c>
      <c r="F20125" s="1">
        <v>9.1624798620851301E-3</v>
      </c>
    </row>
    <row r="20126" spans="1:6" x14ac:dyDescent="0.25">
      <c r="A20126" s="2" t="str">
        <f t="shared" si="705"/>
        <v>47260</v>
      </c>
      <c r="B20126" s="2" t="str">
        <f>"23455"</f>
        <v>23455</v>
      </c>
      <c r="C20126" s="1">
        <v>2.7407744446615E-2</v>
      </c>
      <c r="D20126" s="1">
        <v>2.1585696635755498E-2</v>
      </c>
      <c r="E20126" s="1">
        <v>2.5748003337704099E-2</v>
      </c>
      <c r="F20126" s="1">
        <v>2.6887101746950502E-2</v>
      </c>
    </row>
    <row r="20127" spans="1:6" x14ac:dyDescent="0.25">
      <c r="A20127" s="2" t="str">
        <f t="shared" si="705"/>
        <v>47260</v>
      </c>
      <c r="B20127" s="2" t="str">
        <f>"23454"</f>
        <v>23454</v>
      </c>
      <c r="C20127" s="1">
        <v>3.2268115422373699E-2</v>
      </c>
      <c r="D20127" s="1">
        <v>3.2861382904696299E-2</v>
      </c>
      <c r="E20127" s="1">
        <v>2.95386816068661E-2</v>
      </c>
      <c r="F20127" s="1">
        <v>3.2189181325910698E-2</v>
      </c>
    </row>
    <row r="20128" spans="1:6" x14ac:dyDescent="0.25">
      <c r="A20128" s="2" t="str">
        <f t="shared" si="705"/>
        <v>47260</v>
      </c>
      <c r="B20128" s="2" t="str">
        <f>"23541"</f>
        <v>23541</v>
      </c>
      <c r="C20128" s="1">
        <v>1.07568627547954E-3</v>
      </c>
      <c r="D20128" s="1">
        <v>2.9680332874163899E-3</v>
      </c>
      <c r="E20128" s="1">
        <v>4.7681487662415E-5</v>
      </c>
      <c r="F20128" s="1">
        <v>1.1735356316248801E-3</v>
      </c>
    </row>
    <row r="20129" spans="1:6" x14ac:dyDescent="0.25">
      <c r="A20129" s="2" t="str">
        <f t="shared" si="705"/>
        <v>47260</v>
      </c>
      <c r="B20129" s="2" t="str">
        <f>"23605"</f>
        <v>23605</v>
      </c>
      <c r="C20129" s="1">
        <v>9.6799400583096103E-3</v>
      </c>
      <c r="D20129" s="1">
        <v>9.5431500915971901E-3</v>
      </c>
      <c r="E20129" s="1">
        <v>1.00369531529383E-2</v>
      </c>
      <c r="F20129" s="1">
        <v>9.6857399679530307E-3</v>
      </c>
    </row>
    <row r="20130" spans="1:6" x14ac:dyDescent="0.25">
      <c r="A20130" s="2" t="str">
        <f t="shared" si="705"/>
        <v>47260</v>
      </c>
      <c r="B20130" s="2" t="str">
        <f>"23424"</f>
        <v>23424</v>
      </c>
      <c r="C20130" s="1">
        <v>0</v>
      </c>
      <c r="D20130" s="1">
        <v>1.4201116207733899E-5</v>
      </c>
      <c r="E20130" s="1">
        <v>0</v>
      </c>
      <c r="F20130" s="1">
        <v>1.08560187939397E-6</v>
      </c>
    </row>
    <row r="20131" spans="1:6" x14ac:dyDescent="0.25">
      <c r="A20131" s="2" t="str">
        <f t="shared" si="705"/>
        <v>47260</v>
      </c>
      <c r="B20131" s="2" t="str">
        <f>"23434"</f>
        <v>23434</v>
      </c>
      <c r="C20131" s="1">
        <v>2.7652555805862102E-2</v>
      </c>
      <c r="D20131" s="1">
        <v>2.4709942201456999E-2</v>
      </c>
      <c r="E20131" s="1">
        <v>1.18250089402789E-2</v>
      </c>
      <c r="F20131" s="1">
        <v>2.6706891834971099E-2</v>
      </c>
    </row>
    <row r="20132" spans="1:6" x14ac:dyDescent="0.25">
      <c r="A20132" s="2" t="str">
        <f t="shared" si="705"/>
        <v>47260</v>
      </c>
      <c r="B20132" s="2" t="str">
        <f>"23320"</f>
        <v>23320</v>
      </c>
      <c r="C20132" s="1">
        <v>3.2589584884011299E-2</v>
      </c>
      <c r="D20132" s="1">
        <v>5.1109817231634401E-2</v>
      </c>
      <c r="E20132" s="1">
        <v>4.21742758374061E-2</v>
      </c>
      <c r="F20132" s="1">
        <v>3.4441805225653203E-2</v>
      </c>
    </row>
    <row r="20133" spans="1:6" x14ac:dyDescent="0.25">
      <c r="A20133" s="2" t="str">
        <f t="shared" si="705"/>
        <v>47260</v>
      </c>
      <c r="B20133" s="2" t="str">
        <f>"23324"</f>
        <v>23324</v>
      </c>
      <c r="C20133" s="1">
        <v>1.2890925411666299E-2</v>
      </c>
      <c r="D20133" s="1">
        <v>1.1247284036525199E-2</v>
      </c>
      <c r="E20133" s="1">
        <v>1.7189176302300602E-2</v>
      </c>
      <c r="F20133" s="1">
        <v>1.29610008380846E-2</v>
      </c>
    </row>
    <row r="20134" spans="1:6" x14ac:dyDescent="0.25">
      <c r="A20134" s="2" t="str">
        <f t="shared" si="705"/>
        <v>47260</v>
      </c>
      <c r="B20134" s="2" t="str">
        <f>"23128"</f>
        <v>23128</v>
      </c>
      <c r="C20134" s="1">
        <v>4.27801668179221E-4</v>
      </c>
      <c r="D20134" s="1">
        <v>7.10055810386696E-5</v>
      </c>
      <c r="E20134" s="1">
        <v>2.38407438312075E-5</v>
      </c>
      <c r="F20134" s="1">
        <v>3.8213186154667798E-4</v>
      </c>
    </row>
    <row r="20135" spans="1:6" x14ac:dyDescent="0.25">
      <c r="A20135" s="2" t="str">
        <f t="shared" si="705"/>
        <v>47260</v>
      </c>
      <c r="B20135" s="2" t="str">
        <f>"23066"</f>
        <v>23066</v>
      </c>
      <c r="C20135" s="1">
        <v>0</v>
      </c>
      <c r="D20135" s="1">
        <v>0</v>
      </c>
      <c r="E20135" s="1">
        <v>2.38407438312075E-5</v>
      </c>
      <c r="F20135" s="1">
        <v>1.08560187939397E-6</v>
      </c>
    </row>
    <row r="20136" spans="1:6" x14ac:dyDescent="0.25">
      <c r="A20136" s="2" t="str">
        <f t="shared" si="705"/>
        <v>47260</v>
      </c>
      <c r="B20136" s="2" t="str">
        <f>"23064"</f>
        <v>23064</v>
      </c>
      <c r="C20136" s="1">
        <v>0</v>
      </c>
      <c r="D20136" s="1">
        <v>0</v>
      </c>
      <c r="E20136" s="1">
        <v>2.38407438312075E-5</v>
      </c>
      <c r="F20136" s="1">
        <v>1.08560187939397E-6</v>
      </c>
    </row>
    <row r="20137" spans="1:6" x14ac:dyDescent="0.25">
      <c r="A20137" s="2" t="str">
        <f t="shared" si="705"/>
        <v>47260</v>
      </c>
      <c r="B20137" s="2" t="str">
        <f>"23062"</f>
        <v>23062</v>
      </c>
      <c r="C20137" s="1">
        <v>1.6642226744775499E-3</v>
      </c>
      <c r="D20137" s="1">
        <v>1.1786926452419101E-3</v>
      </c>
      <c r="E20137" s="1">
        <v>3.0992966980569698E-4</v>
      </c>
      <c r="F20137" s="1">
        <v>1.5654379100861E-3</v>
      </c>
    </row>
    <row r="20138" spans="1:6" x14ac:dyDescent="0.25">
      <c r="A20138" s="2" t="str">
        <f t="shared" si="705"/>
        <v>47260</v>
      </c>
      <c r="B20138" s="2" t="str">
        <f>"27979"</f>
        <v>27979</v>
      </c>
      <c r="C20138" s="1">
        <v>8.3705702126396801E-4</v>
      </c>
      <c r="D20138" s="1">
        <v>1.9881562690827399E-4</v>
      </c>
      <c r="E20138" s="1">
        <v>0</v>
      </c>
      <c r="F20138" s="1">
        <v>7.5015089866123505E-4</v>
      </c>
    </row>
    <row r="20139" spans="1:6" x14ac:dyDescent="0.25">
      <c r="A20139" s="2" t="str">
        <f t="shared" si="705"/>
        <v>47260</v>
      </c>
      <c r="B20139" s="2" t="str">
        <f>"23878"</f>
        <v>23878</v>
      </c>
      <c r="C20139" s="1">
        <v>6.4664818629402501E-4</v>
      </c>
      <c r="D20139" s="1">
        <v>2.8402232415467802E-4</v>
      </c>
      <c r="E20139" s="1">
        <v>2.38407438312075E-5</v>
      </c>
      <c r="F20139" s="1">
        <v>5.9056742239032103E-4</v>
      </c>
    </row>
    <row r="20140" spans="1:6" x14ac:dyDescent="0.25">
      <c r="A20140" s="2" t="str">
        <f t="shared" si="705"/>
        <v>47260</v>
      </c>
      <c r="B20140" s="2" t="str">
        <f>"23866"</f>
        <v>23866</v>
      </c>
      <c r="C20140" s="1">
        <v>1.14616227283855E-3</v>
      </c>
      <c r="D20140" s="1">
        <v>3.9763125381654901E-4</v>
      </c>
      <c r="E20140" s="1">
        <v>7.1522231493622595E-5</v>
      </c>
      <c r="F20140" s="1">
        <v>1.04000660045942E-3</v>
      </c>
    </row>
    <row r="20141" spans="1:6" x14ac:dyDescent="0.25">
      <c r="A20141" s="2" t="str">
        <f t="shared" si="705"/>
        <v>47260</v>
      </c>
      <c r="B20141" s="2" t="str">
        <f>"23844"</f>
        <v>23844</v>
      </c>
      <c r="C20141" s="1">
        <v>4.5253008830518801E-4</v>
      </c>
      <c r="D20141" s="1">
        <v>9.9407813454137402E-5</v>
      </c>
      <c r="E20141" s="1">
        <v>2.38407438312075E-5</v>
      </c>
      <c r="F20141" s="1">
        <v>4.0601510289334599E-4</v>
      </c>
    </row>
    <row r="20142" spans="1:6" x14ac:dyDescent="0.25">
      <c r="A20142" s="2" t="str">
        <f t="shared" si="705"/>
        <v>47260</v>
      </c>
      <c r="B20142" s="2" t="str">
        <f>"23502"</f>
        <v>23502</v>
      </c>
      <c r="C20142" s="1">
        <v>1.08941054864945E-2</v>
      </c>
      <c r="D20142" s="1">
        <v>3.1057841146314099E-2</v>
      </c>
      <c r="E20142" s="1">
        <v>1.24687090237215E-2</v>
      </c>
      <c r="F20142" s="1">
        <v>1.2507219252497899E-2</v>
      </c>
    </row>
    <row r="20143" spans="1:6" x14ac:dyDescent="0.25">
      <c r="A20143" s="2" t="str">
        <f t="shared" si="705"/>
        <v>47260</v>
      </c>
      <c r="B20143" s="2" t="str">
        <f>"23668"</f>
        <v>23668</v>
      </c>
      <c r="C20143" s="1">
        <v>0</v>
      </c>
      <c r="D20143" s="1">
        <v>4.2603348623201703E-5</v>
      </c>
      <c r="E20143" s="1">
        <v>0</v>
      </c>
      <c r="F20143" s="1">
        <v>3.25680563818192E-6</v>
      </c>
    </row>
    <row r="20144" spans="1:6" x14ac:dyDescent="0.25">
      <c r="A20144" s="2" t="str">
        <f t="shared" si="705"/>
        <v>47260</v>
      </c>
      <c r="B20144" s="2" t="str">
        <f>"23664"</f>
        <v>23664</v>
      </c>
      <c r="C20144" s="1">
        <v>6.2365075557687596E-3</v>
      </c>
      <c r="D20144" s="1">
        <v>1.07928483178777E-3</v>
      </c>
      <c r="E20144" s="1">
        <v>4.2674931457861399E-3</v>
      </c>
      <c r="F20144" s="1">
        <v>5.7526043589086603E-3</v>
      </c>
    </row>
    <row r="20145" spans="1:6" x14ac:dyDescent="0.25">
      <c r="A20145" s="2" t="str">
        <f t="shared" si="705"/>
        <v>47260</v>
      </c>
      <c r="B20145" s="2" t="str">
        <f>"23696"</f>
        <v>23696</v>
      </c>
      <c r="C20145" s="1">
        <v>1.90161550768682E-3</v>
      </c>
      <c r="D20145" s="1">
        <v>3.9763125381654901E-4</v>
      </c>
      <c r="E20145" s="1">
        <v>7.1522231493622595E-5</v>
      </c>
      <c r="F20145" s="1">
        <v>1.7033093487691399E-3</v>
      </c>
    </row>
    <row r="20146" spans="1:6" x14ac:dyDescent="0.25">
      <c r="A20146" s="2" t="str">
        <f t="shared" si="705"/>
        <v>47260</v>
      </c>
      <c r="B20146" s="2" t="str">
        <f>"23690"</f>
        <v>23690</v>
      </c>
      <c r="C20146" s="1">
        <v>1.7730277230317999E-3</v>
      </c>
      <c r="D20146" s="1">
        <v>5.8224576451709103E-4</v>
      </c>
      <c r="E20146" s="1">
        <v>1.00131124091071E-3</v>
      </c>
      <c r="F20146" s="1">
        <v>1.64685805104065E-3</v>
      </c>
    </row>
    <row r="20147" spans="1:6" x14ac:dyDescent="0.25">
      <c r="A20147" s="2" t="str">
        <f t="shared" si="705"/>
        <v>47260</v>
      </c>
      <c r="B20147" s="2" t="str">
        <f>"23459"</f>
        <v>23459</v>
      </c>
      <c r="C20147" s="1">
        <v>0</v>
      </c>
      <c r="D20147" s="1">
        <v>2.8118210091313098E-3</v>
      </c>
      <c r="E20147" s="1">
        <v>2.28871140779592E-3</v>
      </c>
      <c r="F20147" s="1">
        <v>3.1916695254182798E-4</v>
      </c>
    </row>
    <row r="20148" spans="1:6" x14ac:dyDescent="0.25">
      <c r="A20148" s="2" t="str">
        <f t="shared" si="705"/>
        <v>47260</v>
      </c>
      <c r="B20148" s="2" t="str">
        <f>"23529"</f>
        <v>23529</v>
      </c>
      <c r="C20148" s="1">
        <v>0</v>
      </c>
      <c r="D20148" s="1">
        <v>1.4201116207733899E-5</v>
      </c>
      <c r="E20148" s="1">
        <v>2.38407438312075E-5</v>
      </c>
      <c r="F20148" s="1">
        <v>2.1712037587879401E-6</v>
      </c>
    </row>
    <row r="20149" spans="1:6" x14ac:dyDescent="0.25">
      <c r="A20149" s="2" t="str">
        <f t="shared" ref="A20149:A20180" si="706">"47260"</f>
        <v>47260</v>
      </c>
      <c r="B20149" s="2" t="str">
        <f>"23606"</f>
        <v>23606</v>
      </c>
      <c r="C20149" s="1">
        <v>1.7229526722767199E-2</v>
      </c>
      <c r="D20149" s="1">
        <v>3.16116846784157E-2</v>
      </c>
      <c r="E20149" s="1">
        <v>2.7059244248420499E-2</v>
      </c>
      <c r="F20149" s="1">
        <v>1.8776570105998099E-2</v>
      </c>
    </row>
    <row r="20150" spans="1:6" x14ac:dyDescent="0.25">
      <c r="A20150" s="2" t="str">
        <f t="shared" si="706"/>
        <v>47260</v>
      </c>
      <c r="B20150" s="2" t="str">
        <f>"23603"</f>
        <v>23603</v>
      </c>
      <c r="C20150" s="1">
        <v>1.9980563461780899E-3</v>
      </c>
      <c r="D20150" s="1">
        <v>1.33490492352698E-3</v>
      </c>
      <c r="E20150" s="1">
        <v>7.9389676957920992E-3</v>
      </c>
      <c r="F20150" s="1">
        <v>2.21788463960188E-3</v>
      </c>
    </row>
    <row r="20151" spans="1:6" x14ac:dyDescent="0.25">
      <c r="A20151" s="2" t="str">
        <f t="shared" si="706"/>
        <v>47260</v>
      </c>
      <c r="B20151" s="2" t="str">
        <f>"23453"</f>
        <v>23453</v>
      </c>
      <c r="C20151" s="1">
        <v>1.6282428231942599E-2</v>
      </c>
      <c r="D20151" s="1">
        <v>1.24827811465981E-2</v>
      </c>
      <c r="E20151" s="1">
        <v>1.6926928120157302E-2</v>
      </c>
      <c r="F20151" s="1">
        <v>1.6021312536096202E-2</v>
      </c>
    </row>
    <row r="20152" spans="1:6" x14ac:dyDescent="0.25">
      <c r="A20152" s="2" t="str">
        <f t="shared" si="706"/>
        <v>47260</v>
      </c>
      <c r="B20152" s="2" t="str">
        <f>"23328"</f>
        <v>23328</v>
      </c>
      <c r="C20152" s="1">
        <v>1.7149159357357799E-3</v>
      </c>
      <c r="D20152" s="1">
        <v>5.4816308561852897E-3</v>
      </c>
      <c r="E20152" s="1">
        <v>4.7681487662415E-5</v>
      </c>
      <c r="F20152" s="1">
        <v>1.9269433359243001E-3</v>
      </c>
    </row>
    <row r="20153" spans="1:6" x14ac:dyDescent="0.25">
      <c r="A20153" s="2" t="str">
        <f t="shared" si="706"/>
        <v>47260</v>
      </c>
      <c r="B20153" s="2" t="str">
        <f>"23431"</f>
        <v>23431</v>
      </c>
      <c r="C20153" s="1">
        <v>5.5268018981535197E-4</v>
      </c>
      <c r="D20153" s="1">
        <v>2.28637970944516E-3</v>
      </c>
      <c r="E20153" s="1">
        <v>4.7681487662415E-5</v>
      </c>
      <c r="F20153" s="1">
        <v>6.6221714643032305E-4</v>
      </c>
    </row>
    <row r="20154" spans="1:6" x14ac:dyDescent="0.25">
      <c r="A20154" s="2" t="str">
        <f t="shared" si="706"/>
        <v>47260</v>
      </c>
      <c r="B20154" s="2" t="str">
        <f>"23327"</f>
        <v>23327</v>
      </c>
      <c r="C20154" s="1">
        <v>1.1473986938448401E-3</v>
      </c>
      <c r="D20154" s="1">
        <v>5.4816308561852897E-3</v>
      </c>
      <c r="E20154" s="1">
        <v>4.7681487662415E-5</v>
      </c>
      <c r="F20154" s="1">
        <v>1.4286520732824601E-3</v>
      </c>
    </row>
    <row r="20155" spans="1:6" x14ac:dyDescent="0.25">
      <c r="A20155" s="2" t="str">
        <f t="shared" si="706"/>
        <v>47260</v>
      </c>
      <c r="B20155" s="2" t="str">
        <f>"23325"</f>
        <v>23325</v>
      </c>
      <c r="C20155" s="1">
        <v>9.8542754201976692E-3</v>
      </c>
      <c r="D20155" s="1">
        <v>5.59523978584716E-3</v>
      </c>
      <c r="E20155" s="1">
        <v>9.1071641435212704E-3</v>
      </c>
      <c r="F20155" s="1">
        <v>9.4946740371796897E-3</v>
      </c>
    </row>
    <row r="20156" spans="1:6" x14ac:dyDescent="0.25">
      <c r="A20156" s="2" t="str">
        <f t="shared" si="706"/>
        <v>47260</v>
      </c>
      <c r="B20156" s="2" t="str">
        <f>"23304"</f>
        <v>23304</v>
      </c>
      <c r="C20156" s="1">
        <v>0</v>
      </c>
      <c r="D20156" s="1">
        <v>1.4201116207733899E-5</v>
      </c>
      <c r="E20156" s="1">
        <v>0</v>
      </c>
      <c r="F20156" s="1">
        <v>1.08560187939397E-6</v>
      </c>
    </row>
    <row r="20157" spans="1:6" x14ac:dyDescent="0.25">
      <c r="A20157" s="2" t="str">
        <f t="shared" si="706"/>
        <v>47260</v>
      </c>
      <c r="B20157" s="2" t="str">
        <f>"23315"</f>
        <v>23315</v>
      </c>
      <c r="C20157" s="1">
        <v>8.4818481032065301E-4</v>
      </c>
      <c r="D20157" s="1">
        <v>3.6922902140108202E-4</v>
      </c>
      <c r="E20157" s="1">
        <v>0</v>
      </c>
      <c r="F20157" s="1">
        <v>7.7294853812850896E-4</v>
      </c>
    </row>
    <row r="20158" spans="1:6" x14ac:dyDescent="0.25">
      <c r="A20158" s="2" t="str">
        <f t="shared" si="706"/>
        <v>47260</v>
      </c>
      <c r="B20158" s="2" t="str">
        <f>"23186"</f>
        <v>23186</v>
      </c>
      <c r="C20158" s="1">
        <v>0</v>
      </c>
      <c r="D20158" s="1">
        <v>4.2603348623201703E-5</v>
      </c>
      <c r="E20158" s="1">
        <v>0</v>
      </c>
      <c r="F20158" s="1">
        <v>3.25680563818192E-6</v>
      </c>
    </row>
    <row r="20159" spans="1:6" x14ac:dyDescent="0.25">
      <c r="A20159" s="2" t="str">
        <f t="shared" si="706"/>
        <v>47260</v>
      </c>
      <c r="B20159" s="2" t="str">
        <f>"23183"</f>
        <v>23183</v>
      </c>
      <c r="C20159" s="1">
        <v>1.4602132084383199E-3</v>
      </c>
      <c r="D20159" s="1">
        <v>1.03668148316457E-3</v>
      </c>
      <c r="E20159" s="1">
        <v>4.7681487662415E-5</v>
      </c>
      <c r="F20159" s="1">
        <v>1.3635159605188301E-3</v>
      </c>
    </row>
    <row r="20160" spans="1:6" x14ac:dyDescent="0.25">
      <c r="A20160" s="2" t="str">
        <f t="shared" si="706"/>
        <v>47260</v>
      </c>
      <c r="B20160" s="2" t="str">
        <f>"23130"</f>
        <v>23130</v>
      </c>
      <c r="C20160" s="1">
        <v>1.18696416604639E-4</v>
      </c>
      <c r="D20160" s="1">
        <v>1.4201116207733899E-5</v>
      </c>
      <c r="E20160" s="1">
        <v>2.38407438312075E-5</v>
      </c>
      <c r="F20160" s="1">
        <v>1.06388984180609E-4</v>
      </c>
    </row>
    <row r="20161" spans="1:6" x14ac:dyDescent="0.25">
      <c r="A20161" s="2" t="str">
        <f t="shared" si="706"/>
        <v>47260</v>
      </c>
      <c r="B20161" s="2" t="str">
        <f>"23072"</f>
        <v>23072</v>
      </c>
      <c r="C20161" s="1">
        <v>6.5109930191669897E-3</v>
      </c>
      <c r="D20161" s="1">
        <v>4.9845917889146003E-3</v>
      </c>
      <c r="E20161" s="1">
        <v>8.8210752175467801E-4</v>
      </c>
      <c r="F20161" s="1">
        <v>6.1379930260935201E-3</v>
      </c>
    </row>
    <row r="20162" spans="1:6" x14ac:dyDescent="0.25">
      <c r="A20162" s="2" t="str">
        <f t="shared" si="706"/>
        <v>47260</v>
      </c>
      <c r="B20162" s="2" t="str">
        <f>"23056"</f>
        <v>23056</v>
      </c>
      <c r="C20162" s="1">
        <v>1.9782736100773201E-4</v>
      </c>
      <c r="D20162" s="1">
        <v>1.4201116207733899E-5</v>
      </c>
      <c r="E20162" s="1">
        <v>2.38407438312075E-5</v>
      </c>
      <c r="F20162" s="1">
        <v>1.75867504461823E-4</v>
      </c>
    </row>
    <row r="20163" spans="1:6" x14ac:dyDescent="0.25">
      <c r="A20163" s="2" t="str">
        <f t="shared" si="706"/>
        <v>47260</v>
      </c>
      <c r="B20163" s="2" t="str">
        <f>"27927"</f>
        <v>27927</v>
      </c>
      <c r="C20163" s="1">
        <v>1.53439846881622E-3</v>
      </c>
      <c r="D20163" s="1">
        <v>2.34318417427609E-3</v>
      </c>
      <c r="E20163" s="1">
        <v>2.8608892597449E-4</v>
      </c>
      <c r="F20163" s="1">
        <v>1.53938346498065E-3</v>
      </c>
    </row>
    <row r="20164" spans="1:6" x14ac:dyDescent="0.25">
      <c r="A20164" s="2" t="str">
        <f t="shared" si="706"/>
        <v>47260</v>
      </c>
      <c r="B20164" s="2" t="str">
        <f>"27965"</f>
        <v>27965</v>
      </c>
      <c r="C20164" s="1">
        <v>2.9674104151159798E-4</v>
      </c>
      <c r="D20164" s="1">
        <v>1.70413394492807E-4</v>
      </c>
      <c r="E20164" s="1">
        <v>1.9072595064966E-4</v>
      </c>
      <c r="F20164" s="1">
        <v>2.8225648864243298E-4</v>
      </c>
    </row>
    <row r="20165" spans="1:6" x14ac:dyDescent="0.25">
      <c r="A20165" s="2" t="str">
        <f t="shared" si="706"/>
        <v>47260</v>
      </c>
      <c r="B20165" s="2" t="str">
        <f>"27964"</f>
        <v>27964</v>
      </c>
      <c r="C20165" s="1">
        <v>2.5346630629115698E-4</v>
      </c>
      <c r="D20165" s="1">
        <v>9.3727366971043898E-4</v>
      </c>
      <c r="E20165" s="1">
        <v>1.0489927285731301E-3</v>
      </c>
      <c r="F20165" s="1">
        <v>3.4196459200910102E-4</v>
      </c>
    </row>
    <row r="20166" spans="1:6" x14ac:dyDescent="0.25">
      <c r="A20166" s="2" t="str">
        <f t="shared" si="706"/>
        <v>47260</v>
      </c>
      <c r="B20166" s="2" t="str">
        <f>"27956"</f>
        <v>27956</v>
      </c>
      <c r="C20166" s="1">
        <v>1.68153256856572E-4</v>
      </c>
      <c r="D20166" s="1">
        <v>1.4201116207733901E-4</v>
      </c>
      <c r="E20166" s="1">
        <v>0</v>
      </c>
      <c r="F20166" s="1">
        <v>1.5849787439152E-4</v>
      </c>
    </row>
    <row r="20167" spans="1:6" x14ac:dyDescent="0.25">
      <c r="A20167" s="2" t="str">
        <f t="shared" si="706"/>
        <v>47260</v>
      </c>
      <c r="B20167" s="2" t="str">
        <f>"27947"</f>
        <v>27947</v>
      </c>
      <c r="C20167" s="1">
        <v>5.13114717613806E-4</v>
      </c>
      <c r="D20167" s="1">
        <v>3.8343013760881598E-4</v>
      </c>
      <c r="E20167" s="1">
        <v>0</v>
      </c>
      <c r="F20167" s="1">
        <v>4.7983603069213598E-4</v>
      </c>
    </row>
    <row r="20168" spans="1:6" x14ac:dyDescent="0.25">
      <c r="A20168" s="2" t="str">
        <f t="shared" si="706"/>
        <v>47260</v>
      </c>
      <c r="B20168" s="2" t="str">
        <f>"23898"</f>
        <v>23898</v>
      </c>
      <c r="C20168" s="1">
        <v>1.16594500893932E-3</v>
      </c>
      <c r="D20168" s="1">
        <v>1.70413394492807E-4</v>
      </c>
      <c r="E20168" s="1">
        <v>4.7681487662415E-5</v>
      </c>
      <c r="F20168" s="1">
        <v>1.0389209985800299E-3</v>
      </c>
    </row>
    <row r="20169" spans="1:6" x14ac:dyDescent="0.25">
      <c r="A20169" s="2" t="str">
        <f t="shared" si="706"/>
        <v>47260</v>
      </c>
      <c r="B20169" s="2" t="str">
        <f>"23515"</f>
        <v>23515</v>
      </c>
      <c r="C20169" s="1">
        <v>0</v>
      </c>
      <c r="D20169" s="1">
        <v>0</v>
      </c>
      <c r="E20169" s="1">
        <v>2.38407438312075E-4</v>
      </c>
      <c r="F20169" s="1">
        <v>1.0856018793939701E-5</v>
      </c>
    </row>
    <row r="20170" spans="1:6" x14ac:dyDescent="0.25">
      <c r="A20170" s="2" t="str">
        <f t="shared" si="706"/>
        <v>47260</v>
      </c>
      <c r="B20170" s="2" t="str">
        <f>"23487"</f>
        <v>23487</v>
      </c>
      <c r="C20170" s="1">
        <v>3.5040171318494601E-3</v>
      </c>
      <c r="D20170" s="1">
        <v>2.3999886391070299E-3</v>
      </c>
      <c r="E20170" s="1">
        <v>7.8674454642984801E-4</v>
      </c>
      <c r="F20170" s="1">
        <v>3.2958873058401002E-3</v>
      </c>
    </row>
    <row r="20171" spans="1:6" x14ac:dyDescent="0.25">
      <c r="A20171" s="2" t="str">
        <f t="shared" si="706"/>
        <v>47260</v>
      </c>
      <c r="B20171" s="2" t="str">
        <f>"23466"</f>
        <v>23466</v>
      </c>
      <c r="C20171" s="1">
        <v>1.5479990998855E-3</v>
      </c>
      <c r="D20171" s="1">
        <v>4.87098285925273E-3</v>
      </c>
      <c r="E20171" s="1">
        <v>4.7681487662415E-5</v>
      </c>
      <c r="F20171" s="1">
        <v>1.7337062013921701E-3</v>
      </c>
    </row>
    <row r="20172" spans="1:6" x14ac:dyDescent="0.25">
      <c r="A20172" s="2" t="str">
        <f t="shared" si="706"/>
        <v>47260</v>
      </c>
      <c r="B20172" s="2" t="str">
        <f>"23667"</f>
        <v>23667</v>
      </c>
      <c r="C20172" s="1">
        <v>0</v>
      </c>
      <c r="D20172" s="1">
        <v>4.2603348623201703E-5</v>
      </c>
      <c r="E20172" s="1">
        <v>0</v>
      </c>
      <c r="F20172" s="1">
        <v>3.25680563818192E-6</v>
      </c>
    </row>
    <row r="20173" spans="1:6" x14ac:dyDescent="0.25">
      <c r="A20173" s="2" t="str">
        <f t="shared" si="706"/>
        <v>47260</v>
      </c>
      <c r="B20173" s="2" t="str">
        <f>"23665"</f>
        <v>23665</v>
      </c>
      <c r="C20173" s="1">
        <v>3.4879436587675798E-3</v>
      </c>
      <c r="D20173" s="1">
        <v>2.61300538222304E-3</v>
      </c>
      <c r="E20173" s="1">
        <v>5.7146262963404401E-2</v>
      </c>
      <c r="F20173" s="1">
        <v>5.8644213524862397E-3</v>
      </c>
    </row>
    <row r="20174" spans="1:6" x14ac:dyDescent="0.25">
      <c r="A20174" s="2" t="str">
        <f t="shared" si="706"/>
        <v>47260</v>
      </c>
      <c r="B20174" s="2" t="str">
        <f>"23662"</f>
        <v>23662</v>
      </c>
      <c r="C20174" s="1">
        <v>6.6643092239479897E-3</v>
      </c>
      <c r="D20174" s="1">
        <v>4.9277873240836699E-3</v>
      </c>
      <c r="E20174" s="1">
        <v>1.74037429967814E-3</v>
      </c>
      <c r="F20174" s="1">
        <v>6.3073469192789803E-3</v>
      </c>
    </row>
    <row r="20175" spans="1:6" x14ac:dyDescent="0.25">
      <c r="A20175" s="2" t="str">
        <f t="shared" si="706"/>
        <v>47260</v>
      </c>
      <c r="B20175" s="2" t="str">
        <f>"23681"</f>
        <v>23681</v>
      </c>
      <c r="C20175" s="1">
        <v>0</v>
      </c>
      <c r="D20175" s="1">
        <v>3.2236533791556001E-3</v>
      </c>
      <c r="E20175" s="1">
        <v>0</v>
      </c>
      <c r="F20175" s="1">
        <v>2.4643162662243197E-4</v>
      </c>
    </row>
    <row r="20176" spans="1:6" x14ac:dyDescent="0.25">
      <c r="A20176" s="2" t="str">
        <f t="shared" si="706"/>
        <v>47260</v>
      </c>
      <c r="B20176" s="2" t="str">
        <f>"23704"</f>
        <v>23704</v>
      </c>
      <c r="C20176" s="1">
        <v>1.23370088008447E-2</v>
      </c>
      <c r="D20176" s="1">
        <v>1.46129485777582E-2</v>
      </c>
      <c r="E20176" s="1">
        <v>1.5925616879246599E-2</v>
      </c>
      <c r="F20176" s="1">
        <v>1.2674401941924599E-2</v>
      </c>
    </row>
    <row r="20177" spans="1:6" x14ac:dyDescent="0.25">
      <c r="A20177" s="2" t="str">
        <f t="shared" si="706"/>
        <v>47260</v>
      </c>
      <c r="B20177" s="2" t="str">
        <f>"23551"</f>
        <v>23551</v>
      </c>
      <c r="C20177" s="1">
        <v>0</v>
      </c>
      <c r="D20177" s="1">
        <v>0</v>
      </c>
      <c r="E20177" s="1">
        <v>8.5111455477410794E-3</v>
      </c>
      <c r="F20177" s="1">
        <v>3.8755987094364798E-4</v>
      </c>
    </row>
    <row r="20178" spans="1:6" x14ac:dyDescent="0.25">
      <c r="A20178" s="2" t="str">
        <f t="shared" si="706"/>
        <v>47260</v>
      </c>
      <c r="B20178" s="2" t="str">
        <f>"23452"</f>
        <v>23452</v>
      </c>
      <c r="C20178" s="1">
        <v>2.9504714473297E-2</v>
      </c>
      <c r="D20178" s="1">
        <v>4.6764275672067798E-2</v>
      </c>
      <c r="E20178" s="1">
        <v>4.2794135177017502E-2</v>
      </c>
      <c r="F20178" s="1">
        <v>3.14292600103349E-2</v>
      </c>
    </row>
    <row r="20179" spans="1:6" x14ac:dyDescent="0.25">
      <c r="A20179" s="2" t="str">
        <f t="shared" si="706"/>
        <v>47260</v>
      </c>
      <c r="B20179" s="2" t="str">
        <f>"23326"</f>
        <v>23326</v>
      </c>
      <c r="C20179" s="1">
        <v>0</v>
      </c>
      <c r="D20179" s="1">
        <v>0</v>
      </c>
      <c r="E20179" s="1">
        <v>1.19203719156037E-4</v>
      </c>
      <c r="F20179" s="1">
        <v>5.4280093969698597E-6</v>
      </c>
    </row>
    <row r="20180" spans="1:6" x14ac:dyDescent="0.25">
      <c r="A20180" s="2" t="str">
        <f t="shared" si="706"/>
        <v>47260</v>
      </c>
      <c r="B20180" s="2" t="str">
        <f>"23397"</f>
        <v>23397</v>
      </c>
      <c r="C20180" s="1">
        <v>0</v>
      </c>
      <c r="D20180" s="1">
        <v>1.4201116207733899E-5</v>
      </c>
      <c r="E20180" s="1">
        <v>0</v>
      </c>
      <c r="F20180" s="1">
        <v>1.08560187939397E-6</v>
      </c>
    </row>
    <row r="20181" spans="1:6" x14ac:dyDescent="0.25">
      <c r="A20181" s="2" t="str">
        <f t="shared" ref="A20181:A20212" si="707">"47260"</f>
        <v>47260</v>
      </c>
      <c r="B20181" s="2" t="str">
        <f>"23314"</f>
        <v>23314</v>
      </c>
      <c r="C20181" s="1">
        <v>5.1422749651947397E-3</v>
      </c>
      <c r="D20181" s="1">
        <v>2.8686254739622502E-3</v>
      </c>
      <c r="E20181" s="1">
        <v>1.93110025032781E-3</v>
      </c>
      <c r="F20181" s="1">
        <v>4.8222435482680303E-3</v>
      </c>
    </row>
    <row r="20182" spans="1:6" x14ac:dyDescent="0.25">
      <c r="A20182" s="2" t="str">
        <f t="shared" si="707"/>
        <v>47260</v>
      </c>
      <c r="B20182" s="2" t="str">
        <f>"23190"</f>
        <v>23190</v>
      </c>
      <c r="C20182" s="1">
        <v>0</v>
      </c>
      <c r="D20182" s="1">
        <v>0</v>
      </c>
      <c r="E20182" s="1">
        <v>2.38407438312075E-5</v>
      </c>
      <c r="F20182" s="1">
        <v>1.08560187939397E-6</v>
      </c>
    </row>
    <row r="20183" spans="1:6" x14ac:dyDescent="0.25">
      <c r="A20183" s="2" t="str">
        <f t="shared" si="707"/>
        <v>47260</v>
      </c>
      <c r="B20183" s="2" t="str">
        <f>"23125"</f>
        <v>23125</v>
      </c>
      <c r="C20183" s="1">
        <v>4.5747577233038103E-5</v>
      </c>
      <c r="D20183" s="1">
        <v>0</v>
      </c>
      <c r="E20183" s="1">
        <v>2.38407438312075E-5</v>
      </c>
      <c r="F20183" s="1">
        <v>4.1252871416970901E-5</v>
      </c>
    </row>
    <row r="20184" spans="1:6" x14ac:dyDescent="0.25">
      <c r="A20184" s="2" t="str">
        <f t="shared" si="707"/>
        <v>47260</v>
      </c>
      <c r="B20184" s="2" t="str">
        <f>"23109"</f>
        <v>23109</v>
      </c>
      <c r="C20184" s="1">
        <v>7.6534460289866496E-4</v>
      </c>
      <c r="D20184" s="1">
        <v>3.6922902140108202E-4</v>
      </c>
      <c r="E20184" s="1">
        <v>3.0992966980569698E-4</v>
      </c>
      <c r="F20184" s="1">
        <v>7.1432603664123404E-4</v>
      </c>
    </row>
    <row r="20185" spans="1:6" x14ac:dyDescent="0.25">
      <c r="A20185" s="2" t="str">
        <f t="shared" si="707"/>
        <v>47260</v>
      </c>
      <c r="B20185" s="2" t="str">
        <f>"23045"</f>
        <v>23045</v>
      </c>
      <c r="C20185" s="1">
        <v>9.3967996478672896E-5</v>
      </c>
      <c r="D20185" s="1">
        <v>1.4201116207733899E-5</v>
      </c>
      <c r="E20185" s="1">
        <v>2.38407438312075E-5</v>
      </c>
      <c r="F20185" s="1">
        <v>8.46769465927299E-5</v>
      </c>
    </row>
    <row r="20186" spans="1:6" x14ac:dyDescent="0.25">
      <c r="A20186" s="2" t="str">
        <f t="shared" si="707"/>
        <v>47260</v>
      </c>
      <c r="B20186" s="2" t="str">
        <f>"23025"</f>
        <v>23025</v>
      </c>
      <c r="C20186" s="1">
        <v>1.7433536188806399E-4</v>
      </c>
      <c r="D20186" s="1">
        <v>1.4201116207733899E-5</v>
      </c>
      <c r="E20186" s="1">
        <v>2.38407438312075E-5</v>
      </c>
      <c r="F20186" s="1">
        <v>1.5524106875333801E-4</v>
      </c>
    </row>
    <row r="20187" spans="1:6" x14ac:dyDescent="0.25">
      <c r="A20187" s="2" t="str">
        <f t="shared" si="707"/>
        <v>47260</v>
      </c>
      <c r="B20187" s="2" t="str">
        <f>"23061"</f>
        <v>23061</v>
      </c>
      <c r="C20187" s="1">
        <v>1.2996021197201699E-2</v>
      </c>
      <c r="D20187" s="1">
        <v>1.0736043853046801E-2</v>
      </c>
      <c r="E20187" s="1">
        <v>2.7893670282512798E-3</v>
      </c>
      <c r="F20187" s="1">
        <v>1.2358491795020901E-2</v>
      </c>
    </row>
    <row r="20188" spans="1:6" x14ac:dyDescent="0.25">
      <c r="A20188" s="2" t="str">
        <f t="shared" si="707"/>
        <v>47260</v>
      </c>
      <c r="B20188" s="2" t="str">
        <f>"27939"</f>
        <v>27939</v>
      </c>
      <c r="C20188" s="1">
        <v>1.51214289070285E-3</v>
      </c>
      <c r="D20188" s="1">
        <v>8.0946362384083301E-4</v>
      </c>
      <c r="E20188" s="1">
        <v>4.7681487662415E-5</v>
      </c>
      <c r="F20188" s="1">
        <v>1.39174160938307E-3</v>
      </c>
    </row>
    <row r="20189" spans="1:6" x14ac:dyDescent="0.25">
      <c r="A20189" s="2" t="str">
        <f t="shared" si="707"/>
        <v>47260</v>
      </c>
      <c r="B20189" s="2" t="str">
        <f>"27935"</f>
        <v>27935</v>
      </c>
      <c r="C20189" s="1">
        <v>9.0753301862297304E-4</v>
      </c>
      <c r="D20189" s="1">
        <v>2.6982120794694401E-4</v>
      </c>
      <c r="E20189" s="1">
        <v>2.38407438312075E-5</v>
      </c>
      <c r="F20189" s="1">
        <v>8.1854381706305602E-4</v>
      </c>
    </row>
    <row r="20190" spans="1:6" x14ac:dyDescent="0.25">
      <c r="A20190" s="2" t="str">
        <f t="shared" si="707"/>
        <v>47260</v>
      </c>
      <c r="B20190" s="2" t="str">
        <f>"27926"</f>
        <v>27926</v>
      </c>
      <c r="C20190" s="1">
        <v>1.04106648730319E-3</v>
      </c>
      <c r="D20190" s="1">
        <v>1.5621227828507299E-4</v>
      </c>
      <c r="E20190" s="1">
        <v>2.38407438312075E-5</v>
      </c>
      <c r="F20190" s="1">
        <v>9.2710400500245298E-4</v>
      </c>
    </row>
    <row r="20191" spans="1:6" x14ac:dyDescent="0.25">
      <c r="A20191" s="2" t="str">
        <f t="shared" si="707"/>
        <v>47260</v>
      </c>
      <c r="B20191" s="2" t="str">
        <f>"27973"</f>
        <v>27973</v>
      </c>
      <c r="C20191" s="1">
        <v>8.0491007510021103E-4</v>
      </c>
      <c r="D20191" s="1">
        <v>1.4201116207733901E-4</v>
      </c>
      <c r="E20191" s="1">
        <v>0</v>
      </c>
      <c r="F20191" s="1">
        <v>7.1758284227941595E-4</v>
      </c>
    </row>
    <row r="20192" spans="1:6" x14ac:dyDescent="0.25">
      <c r="A20192" s="2" t="str">
        <f t="shared" si="707"/>
        <v>47260</v>
      </c>
      <c r="B20192" s="2" t="str">
        <f>"27950"</f>
        <v>27950</v>
      </c>
      <c r="C20192" s="1">
        <v>1.22652963824794E-3</v>
      </c>
      <c r="D20192" s="1">
        <v>9.9407813454137402E-5</v>
      </c>
      <c r="E20192" s="1">
        <v>0</v>
      </c>
      <c r="F20192" s="1">
        <v>1.0845162775145699E-3</v>
      </c>
    </row>
    <row r="20193" spans="1:6" x14ac:dyDescent="0.25">
      <c r="A20193" s="2" t="str">
        <f t="shared" si="707"/>
        <v>47260</v>
      </c>
      <c r="B20193" s="2" t="str">
        <f>"23888"</f>
        <v>23888</v>
      </c>
      <c r="C20193" s="1">
        <v>1.66916835850274E-4</v>
      </c>
      <c r="D20193" s="1">
        <v>4.2603348623201703E-5</v>
      </c>
      <c r="E20193" s="1">
        <v>0</v>
      </c>
      <c r="F20193" s="1">
        <v>1.4981305935636799E-4</v>
      </c>
    </row>
    <row r="20194" spans="1:6" x14ac:dyDescent="0.25">
      <c r="A20194" s="2" t="str">
        <f t="shared" si="707"/>
        <v>47260</v>
      </c>
      <c r="B20194" s="2" t="str">
        <f>"23851"</f>
        <v>23851</v>
      </c>
      <c r="C20194" s="1">
        <v>8.1640879045878599E-3</v>
      </c>
      <c r="D20194" s="1">
        <v>9.1597199539883798E-3</v>
      </c>
      <c r="E20194" s="1">
        <v>6.5323638097508603E-3</v>
      </c>
      <c r="F20194" s="1">
        <v>8.1658973368014601E-3</v>
      </c>
    </row>
    <row r="20195" spans="1:6" x14ac:dyDescent="0.25">
      <c r="A20195" s="2" t="str">
        <f t="shared" si="707"/>
        <v>47260</v>
      </c>
      <c r="B20195" s="2" t="str">
        <f>"23513"</f>
        <v>23513</v>
      </c>
      <c r="C20195" s="1">
        <v>1.62737732848986E-2</v>
      </c>
      <c r="D20195" s="1">
        <v>1.29514179814533E-2</v>
      </c>
      <c r="E20195" s="1">
        <v>1.91202765526284E-2</v>
      </c>
      <c r="F20195" s="1">
        <v>1.61494135578647E-2</v>
      </c>
    </row>
    <row r="20196" spans="1:6" x14ac:dyDescent="0.25">
      <c r="A20196" s="2" t="str">
        <f t="shared" si="707"/>
        <v>47260</v>
      </c>
      <c r="B20196" s="2" t="str">
        <f>"23510"</f>
        <v>23510</v>
      </c>
      <c r="C20196" s="1">
        <v>6.42073428570722E-3</v>
      </c>
      <c r="D20196" s="1">
        <v>2.8132411207520899E-2</v>
      </c>
      <c r="E20196" s="1">
        <v>8.4157825724162499E-3</v>
      </c>
      <c r="F20196" s="1">
        <v>8.1713253461984294E-3</v>
      </c>
    </row>
    <row r="20197" spans="1:6" x14ac:dyDescent="0.25">
      <c r="A20197" s="2" t="str">
        <f t="shared" si="707"/>
        <v>47260</v>
      </c>
      <c r="B20197" s="2" t="str">
        <f>"23479"</f>
        <v>23479</v>
      </c>
      <c r="C20197" s="1">
        <v>0</v>
      </c>
      <c r="D20197" s="1">
        <v>0</v>
      </c>
      <c r="E20197" s="1">
        <v>9.5362975324830095E-5</v>
      </c>
      <c r="F20197" s="1">
        <v>4.3424075175758903E-6</v>
      </c>
    </row>
    <row r="20198" spans="1:6" x14ac:dyDescent="0.25">
      <c r="A20198" s="2" t="str">
        <f t="shared" si="707"/>
        <v>47260</v>
      </c>
      <c r="B20198" s="2" t="str">
        <f>"23503"</f>
        <v>23503</v>
      </c>
      <c r="C20198" s="1">
        <v>1.96529118951119E-2</v>
      </c>
      <c r="D20198" s="1">
        <v>6.0496755044946501E-3</v>
      </c>
      <c r="E20198" s="1">
        <v>3.4688282274406901E-2</v>
      </c>
      <c r="F20198" s="1">
        <v>1.9297659008107201E-2</v>
      </c>
    </row>
    <row r="20199" spans="1:6" x14ac:dyDescent="0.25">
      <c r="A20199" s="2" t="str">
        <f t="shared" si="707"/>
        <v>47260</v>
      </c>
      <c r="B20199" s="2" t="str">
        <f>"23827"</f>
        <v>23827</v>
      </c>
      <c r="C20199" s="1">
        <v>7.35670498747505E-4</v>
      </c>
      <c r="D20199" s="1">
        <v>6.8165357797122801E-4</v>
      </c>
      <c r="E20199" s="1">
        <v>2.6224818214328198E-4</v>
      </c>
      <c r="F20199" s="1">
        <v>7.0998362912365798E-4</v>
      </c>
    </row>
    <row r="20200" spans="1:6" x14ac:dyDescent="0.25">
      <c r="A20200" s="2" t="str">
        <f t="shared" si="707"/>
        <v>47260</v>
      </c>
      <c r="B20200" s="2" t="str">
        <f>"23708"</f>
        <v>23708</v>
      </c>
      <c r="C20200" s="1">
        <v>0</v>
      </c>
      <c r="D20200" s="1">
        <v>9.9407813454137402E-5</v>
      </c>
      <c r="E20200" s="1">
        <v>1.9072595064966E-4</v>
      </c>
      <c r="F20200" s="1">
        <v>1.62840281909096E-5</v>
      </c>
    </row>
    <row r="20201" spans="1:6" x14ac:dyDescent="0.25">
      <c r="A20201" s="2" t="str">
        <f t="shared" si="707"/>
        <v>47260</v>
      </c>
      <c r="B20201" s="2" t="str">
        <f>"23456"</f>
        <v>23456</v>
      </c>
      <c r="C20201" s="1">
        <v>2.8102613052154699E-2</v>
      </c>
      <c r="D20201" s="1">
        <v>1.8773875626624199E-2</v>
      </c>
      <c r="E20201" s="1">
        <v>6.1270711646203299E-3</v>
      </c>
      <c r="F20201" s="1">
        <v>2.6388810484308699E-2</v>
      </c>
    </row>
    <row r="20202" spans="1:6" x14ac:dyDescent="0.25">
      <c r="A20202" s="2" t="str">
        <f t="shared" si="707"/>
        <v>47260</v>
      </c>
      <c r="B20202" s="2" t="str">
        <f>"23518"</f>
        <v>23518</v>
      </c>
      <c r="C20202" s="1">
        <v>1.7421171978743401E-2</v>
      </c>
      <c r="D20202" s="1">
        <v>1.3519462629762599E-2</v>
      </c>
      <c r="E20202" s="1">
        <v>2.52711884610799E-2</v>
      </c>
      <c r="F20202" s="1">
        <v>1.7480361462001701E-2</v>
      </c>
    </row>
    <row r="20203" spans="1:6" x14ac:dyDescent="0.25">
      <c r="A20203" s="2" t="str">
        <f t="shared" si="707"/>
        <v>47260</v>
      </c>
      <c r="B20203" s="2" t="str">
        <f>"23439"</f>
        <v>23439</v>
      </c>
      <c r="C20203" s="1">
        <v>1.93870813787577E-3</v>
      </c>
      <c r="D20203" s="1">
        <v>6.1348822017410496E-3</v>
      </c>
      <c r="E20203" s="1">
        <v>4.7681487662415E-5</v>
      </c>
      <c r="F20203" s="1">
        <v>2.1733749625467299E-3</v>
      </c>
    </row>
    <row r="20204" spans="1:6" x14ac:dyDescent="0.25">
      <c r="A20204" s="2" t="str">
        <f t="shared" si="707"/>
        <v>47260</v>
      </c>
      <c r="B20204" s="2" t="str">
        <f>"23438"</f>
        <v>23438</v>
      </c>
      <c r="C20204" s="1">
        <v>1.0497214343472799E-3</v>
      </c>
      <c r="D20204" s="1">
        <v>4.5443571864748499E-4</v>
      </c>
      <c r="E20204" s="1">
        <v>2.38407438312075E-5</v>
      </c>
      <c r="F20204" s="1">
        <v>9.5750085762548399E-4</v>
      </c>
    </row>
    <row r="20205" spans="1:6" x14ac:dyDescent="0.25">
      <c r="A20205" s="2" t="str">
        <f t="shared" si="707"/>
        <v>47260</v>
      </c>
      <c r="B20205" s="2" t="str">
        <f>"23187"</f>
        <v>23187</v>
      </c>
      <c r="C20205" s="1">
        <v>2.79554789524052E-3</v>
      </c>
      <c r="D20205" s="1">
        <v>6.8449380121277503E-3</v>
      </c>
      <c r="E20205" s="1">
        <v>4.7681487662415E-5</v>
      </c>
      <c r="F20205" s="1">
        <v>2.9799771589364499E-3</v>
      </c>
    </row>
    <row r="20206" spans="1:6" x14ac:dyDescent="0.25">
      <c r="A20206" s="2" t="str">
        <f t="shared" si="707"/>
        <v>47260</v>
      </c>
      <c r="B20206" s="2" t="str">
        <f>"23155"</f>
        <v>23155</v>
      </c>
      <c r="C20206" s="1">
        <v>0</v>
      </c>
      <c r="D20206" s="1">
        <v>0</v>
      </c>
      <c r="E20206" s="1">
        <v>2.38407438312075E-5</v>
      </c>
      <c r="F20206" s="1">
        <v>1.08560187939397E-6</v>
      </c>
    </row>
    <row r="20207" spans="1:6" x14ac:dyDescent="0.25">
      <c r="A20207" s="2" t="str">
        <f t="shared" si="707"/>
        <v>47260</v>
      </c>
      <c r="B20207" s="2" t="str">
        <f>"23163"</f>
        <v>23163</v>
      </c>
      <c r="C20207" s="1">
        <v>1.3724273169911399E-4</v>
      </c>
      <c r="D20207" s="1">
        <v>1.4201116207733899E-5</v>
      </c>
      <c r="E20207" s="1">
        <v>2.38407438312075E-5</v>
      </c>
      <c r="F20207" s="1">
        <v>1.2267301237151899E-4</v>
      </c>
    </row>
    <row r="20208" spans="1:6" x14ac:dyDescent="0.25">
      <c r="A20208" s="2" t="str">
        <f t="shared" si="707"/>
        <v>47260</v>
      </c>
      <c r="B20208" s="2" t="str">
        <f>"23188"</f>
        <v>23188</v>
      </c>
      <c r="C20208" s="1">
        <v>2.71616966663616E-2</v>
      </c>
      <c r="D20208" s="1">
        <v>3.0305181987304201E-2</v>
      </c>
      <c r="E20208" s="1">
        <v>1.5758731672428101E-2</v>
      </c>
      <c r="F20208" s="1">
        <v>2.6882759339432901E-2</v>
      </c>
    </row>
    <row r="20209" spans="1:6" x14ac:dyDescent="0.25">
      <c r="A20209" s="2" t="str">
        <f t="shared" si="707"/>
        <v>47260</v>
      </c>
      <c r="B20209" s="2" t="str">
        <f>"23168"</f>
        <v>23168</v>
      </c>
      <c r="C20209" s="1">
        <v>5.0915817039365102E-3</v>
      </c>
      <c r="D20209" s="1">
        <v>4.3313404433588396E-3</v>
      </c>
      <c r="E20209" s="1">
        <v>1.35892239837882E-3</v>
      </c>
      <c r="F20209" s="1">
        <v>4.8634964196850004E-3</v>
      </c>
    </row>
    <row r="20210" spans="1:6" x14ac:dyDescent="0.25">
      <c r="A20210" s="2" t="str">
        <f t="shared" si="707"/>
        <v>47260</v>
      </c>
      <c r="B20210" s="2" t="str">
        <f>"23119"</f>
        <v>23119</v>
      </c>
      <c r="C20210" s="1">
        <v>1.50843362768396E-4</v>
      </c>
      <c r="D20210" s="1">
        <v>0</v>
      </c>
      <c r="E20210" s="1">
        <v>2.38407438312075E-5</v>
      </c>
      <c r="F20210" s="1">
        <v>1.3352903116545801E-4</v>
      </c>
    </row>
    <row r="20211" spans="1:6" x14ac:dyDescent="0.25">
      <c r="A20211" s="2" t="str">
        <f t="shared" si="707"/>
        <v>47260</v>
      </c>
      <c r="B20211" s="2" t="str">
        <f>"23018"</f>
        <v>23018</v>
      </c>
      <c r="C20211" s="1">
        <v>0</v>
      </c>
      <c r="D20211" s="1">
        <v>0</v>
      </c>
      <c r="E20211" s="1">
        <v>2.38407438312075E-5</v>
      </c>
      <c r="F20211" s="1">
        <v>1.08560187939397E-6</v>
      </c>
    </row>
    <row r="20212" spans="1:6" x14ac:dyDescent="0.25">
      <c r="A20212" s="2" t="str">
        <f t="shared" si="707"/>
        <v>47260</v>
      </c>
      <c r="B20212" s="2" t="str">
        <f>"27929"</f>
        <v>27929</v>
      </c>
      <c r="C20212" s="1">
        <v>8.9640522956628804E-4</v>
      </c>
      <c r="D20212" s="1">
        <v>5.8224576451709103E-4</v>
      </c>
      <c r="E20212" s="1">
        <v>9.5362975324830095E-5</v>
      </c>
      <c r="F20212" s="1">
        <v>8.3591344713335896E-4</v>
      </c>
    </row>
    <row r="20213" spans="1:6" x14ac:dyDescent="0.25">
      <c r="A20213" s="2" t="str">
        <f t="shared" ref="A20213:A20244" si="708">"47260"</f>
        <v>47260</v>
      </c>
      <c r="B20213" s="2" t="str">
        <f>"27938"</f>
        <v>27938</v>
      </c>
      <c r="C20213" s="1">
        <v>6.3552039723734001E-4</v>
      </c>
      <c r="D20213" s="1">
        <v>5.5384353210162301E-4</v>
      </c>
      <c r="E20213" s="1">
        <v>2.38407438312075E-5</v>
      </c>
      <c r="F20213" s="1">
        <v>6.0142344118426102E-4</v>
      </c>
    </row>
    <row r="20214" spans="1:6" x14ac:dyDescent="0.25">
      <c r="A20214" s="2" t="str">
        <f t="shared" si="708"/>
        <v>47260</v>
      </c>
      <c r="B20214" s="2" t="str">
        <f>"27974"</f>
        <v>27974</v>
      </c>
      <c r="C20214" s="1">
        <v>6.9363218453336202E-4</v>
      </c>
      <c r="D20214" s="1">
        <v>9.9407813454137402E-5</v>
      </c>
      <c r="E20214" s="1">
        <v>0</v>
      </c>
      <c r="F20214" s="1">
        <v>6.1662186749577696E-4</v>
      </c>
    </row>
    <row r="20215" spans="1:6" x14ac:dyDescent="0.25">
      <c r="A20215" s="2" t="str">
        <f t="shared" si="708"/>
        <v>47260</v>
      </c>
      <c r="B20215" s="2" t="str">
        <f>"23867"</f>
        <v>23867</v>
      </c>
      <c r="C20215" s="1">
        <v>2.4728420125966498E-6</v>
      </c>
      <c r="D20215" s="1">
        <v>0</v>
      </c>
      <c r="E20215" s="1">
        <v>0</v>
      </c>
      <c r="F20215" s="1">
        <v>2.1712037587879401E-6</v>
      </c>
    </row>
    <row r="20216" spans="1:6" x14ac:dyDescent="0.25">
      <c r="A20216" s="2" t="str">
        <f t="shared" si="708"/>
        <v>47260</v>
      </c>
      <c r="B20216" s="2" t="str">
        <f>"23874"</f>
        <v>23874</v>
      </c>
      <c r="C20216" s="1">
        <v>5.5268018981535197E-4</v>
      </c>
      <c r="D20216" s="1">
        <v>2.9822344036241198E-4</v>
      </c>
      <c r="E20216" s="1">
        <v>7.1522231493622595E-5</v>
      </c>
      <c r="F20216" s="1">
        <v>5.1131848519456104E-4</v>
      </c>
    </row>
    <row r="20217" spans="1:6" x14ac:dyDescent="0.25">
      <c r="A20217" s="2" t="str">
        <f t="shared" si="708"/>
        <v>47260</v>
      </c>
      <c r="B20217" s="2" t="str">
        <f>"23517"</f>
        <v>23517</v>
      </c>
      <c r="C20217" s="1">
        <v>4.4066044664472399E-3</v>
      </c>
      <c r="D20217" s="1">
        <v>1.3831887186332799E-2</v>
      </c>
      <c r="E20217" s="1">
        <v>1.13243533198235E-2</v>
      </c>
      <c r="F20217" s="1">
        <v>5.4421222214019798E-3</v>
      </c>
    </row>
    <row r="20218" spans="1:6" x14ac:dyDescent="0.25">
      <c r="A20218" s="2" t="str">
        <f t="shared" si="708"/>
        <v>47260</v>
      </c>
      <c r="B20218" s="2" t="str">
        <f>"23509"</f>
        <v>23509</v>
      </c>
      <c r="C20218" s="1">
        <v>8.0379729619454304E-3</v>
      </c>
      <c r="D20218" s="1">
        <v>5.0271951375378101E-3</v>
      </c>
      <c r="E20218" s="1">
        <v>3.0992966980569699E-3</v>
      </c>
      <c r="F20218" s="1">
        <v>7.5829291275669002E-3</v>
      </c>
    </row>
    <row r="20219" spans="1:6" x14ac:dyDescent="0.25">
      <c r="A20219" s="2" t="str">
        <f t="shared" si="708"/>
        <v>47260</v>
      </c>
      <c r="B20219" s="2" t="str">
        <f>"23508"</f>
        <v>23508</v>
      </c>
      <c r="C20219" s="1">
        <v>1.0087958990388E-2</v>
      </c>
      <c r="D20219" s="1">
        <v>7.5265915900989801E-3</v>
      </c>
      <c r="E20219" s="1">
        <v>1.22064608415782E-2</v>
      </c>
      <c r="F20219" s="1">
        <v>9.9886228923039503E-3</v>
      </c>
    </row>
    <row r="20220" spans="1:6" x14ac:dyDescent="0.25">
      <c r="A20220" s="2" t="str">
        <f t="shared" si="708"/>
        <v>47260</v>
      </c>
      <c r="B20220" s="2" t="str">
        <f>"23829"</f>
        <v>23829</v>
      </c>
      <c r="C20220" s="1">
        <v>6.6024881736330703E-4</v>
      </c>
      <c r="D20220" s="1">
        <v>1.70413394492807E-4</v>
      </c>
      <c r="E20220" s="1">
        <v>4.7681487662415E-5</v>
      </c>
      <c r="F20220" s="1">
        <v>5.9490982990789698E-4</v>
      </c>
    </row>
    <row r="20221" spans="1:6" x14ac:dyDescent="0.25">
      <c r="A20221" s="2" t="str">
        <f t="shared" si="708"/>
        <v>47260</v>
      </c>
      <c r="B20221" s="2" t="str">
        <f>"23828"</f>
        <v>23828</v>
      </c>
      <c r="C20221" s="1">
        <v>2.9055893648010701E-4</v>
      </c>
      <c r="D20221" s="1">
        <v>1.5621227828507299E-4</v>
      </c>
      <c r="E20221" s="1">
        <v>2.38407438312075E-5</v>
      </c>
      <c r="F20221" s="1">
        <v>2.6814366421031098E-4</v>
      </c>
    </row>
    <row r="20222" spans="1:6" x14ac:dyDescent="0.25">
      <c r="A20222" s="2" t="str">
        <f t="shared" si="708"/>
        <v>47260</v>
      </c>
      <c r="B20222" s="2" t="str">
        <f>"23663"</f>
        <v>23663</v>
      </c>
      <c r="C20222" s="1">
        <v>7.4667464570356001E-3</v>
      </c>
      <c r="D20222" s="1">
        <v>4.4875527216439197E-3</v>
      </c>
      <c r="E20222" s="1">
        <v>3.5284300870187099E-3</v>
      </c>
      <c r="F20222" s="1">
        <v>7.05966902169901E-3</v>
      </c>
    </row>
    <row r="20223" spans="1:6" x14ac:dyDescent="0.25">
      <c r="A20223" s="2" t="str">
        <f t="shared" si="708"/>
        <v>47260</v>
      </c>
      <c r="B20223" s="2" t="str">
        <f>"23609"</f>
        <v>23609</v>
      </c>
      <c r="C20223" s="1">
        <v>1.1226702737188799E-3</v>
      </c>
      <c r="D20223" s="1">
        <v>3.2662567277787998E-3</v>
      </c>
      <c r="E20223" s="1">
        <v>4.7681487662415E-5</v>
      </c>
      <c r="F20223" s="1">
        <v>1.2375861425091199E-3</v>
      </c>
    </row>
    <row r="20224" spans="1:6" x14ac:dyDescent="0.25">
      <c r="A20224" s="2" t="str">
        <f t="shared" si="708"/>
        <v>47260</v>
      </c>
      <c r="B20224" s="2" t="str">
        <f>"23670"</f>
        <v>23670</v>
      </c>
      <c r="C20224" s="1">
        <v>5.0322334956341903E-4</v>
      </c>
      <c r="D20224" s="1">
        <v>2.25797747702969E-3</v>
      </c>
      <c r="E20224" s="1">
        <v>2.38407438312075E-5</v>
      </c>
      <c r="F20224" s="1">
        <v>6.1553626561638302E-4</v>
      </c>
    </row>
    <row r="20225" spans="1:6" x14ac:dyDescent="0.25">
      <c r="A20225" s="2" t="str">
        <f t="shared" si="708"/>
        <v>47260</v>
      </c>
      <c r="B20225" s="2" t="str">
        <f>"23702"</f>
        <v>23702</v>
      </c>
      <c r="C20225" s="1">
        <v>6.4862645990410297E-3</v>
      </c>
      <c r="D20225" s="1">
        <v>4.3171393271511102E-3</v>
      </c>
      <c r="E20225" s="1">
        <v>1.1085945881511501E-2</v>
      </c>
      <c r="F20225" s="1">
        <v>6.5298953045547503E-3</v>
      </c>
    </row>
    <row r="20226" spans="1:6" x14ac:dyDescent="0.25">
      <c r="A20226" s="2" t="str">
        <f t="shared" si="708"/>
        <v>47260</v>
      </c>
      <c r="B20226" s="2" t="str">
        <f>"23692"</f>
        <v>23692</v>
      </c>
      <c r="C20226" s="1">
        <v>1.17262168237333E-2</v>
      </c>
      <c r="D20226" s="1">
        <v>1.3462658164931701E-2</v>
      </c>
      <c r="E20226" s="1">
        <v>5.6502562879961801E-3</v>
      </c>
      <c r="F20226" s="1">
        <v>1.15822864512543E-2</v>
      </c>
    </row>
    <row r="20227" spans="1:6" x14ac:dyDescent="0.25">
      <c r="A20227" s="2" t="str">
        <f t="shared" si="708"/>
        <v>47260</v>
      </c>
      <c r="B20227" s="2" t="str">
        <f>"23607"</f>
        <v>23607</v>
      </c>
      <c r="C20227" s="1">
        <v>1.4740611237088599E-2</v>
      </c>
      <c r="D20227" s="1">
        <v>1.46697530425891E-2</v>
      </c>
      <c r="E20227" s="1">
        <v>1.2659434974371201E-2</v>
      </c>
      <c r="F20227" s="1">
        <v>1.4640426945507099E-2</v>
      </c>
    </row>
    <row r="20228" spans="1:6" x14ac:dyDescent="0.25">
      <c r="A20228" s="2" t="str">
        <f t="shared" si="708"/>
        <v>47260</v>
      </c>
      <c r="B20228" s="2" t="str">
        <f>"23436"</f>
        <v>23436</v>
      </c>
      <c r="C20228" s="1">
        <v>5.5144376880905395E-4</v>
      </c>
      <c r="D20228" s="1">
        <v>2.5562009173921E-4</v>
      </c>
      <c r="E20228" s="1">
        <v>0</v>
      </c>
      <c r="F20228" s="1">
        <v>5.0371927203880296E-4</v>
      </c>
    </row>
    <row r="20229" spans="1:6" x14ac:dyDescent="0.25">
      <c r="A20229" s="2" t="str">
        <f t="shared" si="708"/>
        <v>47260</v>
      </c>
      <c r="B20229" s="2" t="str">
        <f>"23432"</f>
        <v>23432</v>
      </c>
      <c r="C20229" s="1">
        <v>7.3937976176640004E-4</v>
      </c>
      <c r="D20229" s="1">
        <v>2.4141897553147599E-4</v>
      </c>
      <c r="E20229" s="1">
        <v>4.7681487662415E-5</v>
      </c>
      <c r="F20229" s="1">
        <v>6.6981635958608102E-4</v>
      </c>
    </row>
    <row r="20230" spans="1:6" x14ac:dyDescent="0.25">
      <c r="A20230" s="2" t="str">
        <f t="shared" si="708"/>
        <v>47260</v>
      </c>
      <c r="B20230" s="2" t="str">
        <f>"23321"</f>
        <v>23321</v>
      </c>
      <c r="C20230" s="1">
        <v>1.8725596140388101E-2</v>
      </c>
      <c r="D20230" s="1">
        <v>1.59052501526619E-2</v>
      </c>
      <c r="E20230" s="1">
        <v>1.07760162117058E-2</v>
      </c>
      <c r="F20230" s="1">
        <v>1.8148006617829001E-2</v>
      </c>
    </row>
    <row r="20231" spans="1:6" x14ac:dyDescent="0.25">
      <c r="A20231" s="2" t="str">
        <f t="shared" si="708"/>
        <v>47260</v>
      </c>
      <c r="B20231" s="2" t="str">
        <f>"23089"</f>
        <v>23089</v>
      </c>
      <c r="C20231" s="1">
        <v>1.0237565932150099E-3</v>
      </c>
      <c r="D20231" s="1">
        <v>1.4201116207733901E-4</v>
      </c>
      <c r="E20231" s="1">
        <v>7.1522231493622595E-5</v>
      </c>
      <c r="F20231" s="1">
        <v>9.1299118057033097E-4</v>
      </c>
    </row>
    <row r="20232" spans="1:6" x14ac:dyDescent="0.25">
      <c r="A20232" s="2" t="str">
        <f t="shared" si="708"/>
        <v>47260</v>
      </c>
      <c r="B20232" s="2" t="str">
        <f>"23076"</f>
        <v>23076</v>
      </c>
      <c r="C20232" s="1">
        <v>3.7463556490839302E-4</v>
      </c>
      <c r="D20232" s="1">
        <v>1.27810045869605E-4</v>
      </c>
      <c r="E20232" s="1">
        <v>2.38407438312075E-5</v>
      </c>
      <c r="F20232" s="1">
        <v>3.3979338825031299E-4</v>
      </c>
    </row>
    <row r="20233" spans="1:6" x14ac:dyDescent="0.25">
      <c r="A20233" s="2" t="str">
        <f t="shared" si="708"/>
        <v>47260</v>
      </c>
      <c r="B20233" s="2" t="str">
        <f>"27909"</f>
        <v>27909</v>
      </c>
      <c r="C20233" s="1">
        <v>4.9456840251933098E-6</v>
      </c>
      <c r="D20233" s="1">
        <v>0</v>
      </c>
      <c r="E20233" s="1">
        <v>0</v>
      </c>
      <c r="F20233" s="1">
        <v>4.3424075175758903E-6</v>
      </c>
    </row>
    <row r="20234" spans="1:6" x14ac:dyDescent="0.25">
      <c r="A20234" s="2" t="str">
        <f t="shared" si="708"/>
        <v>47260</v>
      </c>
      <c r="B20234" s="2" t="str">
        <f>"27937"</f>
        <v>27937</v>
      </c>
      <c r="C20234" s="1">
        <v>2.16620960303467E-3</v>
      </c>
      <c r="D20234" s="1">
        <v>4.2603348623201698E-4</v>
      </c>
      <c r="E20234" s="1">
        <v>2.8608892597449E-4</v>
      </c>
      <c r="F20234" s="1">
        <v>1.9475697716327799E-3</v>
      </c>
    </row>
    <row r="20235" spans="1:6" x14ac:dyDescent="0.25">
      <c r="A20235" s="2" t="str">
        <f t="shared" si="708"/>
        <v>47260</v>
      </c>
      <c r="B20235" s="2" t="str">
        <f>"27917"</f>
        <v>27917</v>
      </c>
      <c r="C20235" s="1">
        <v>3.7587198591469099E-4</v>
      </c>
      <c r="D20235" s="1">
        <v>7.5265915900989805E-4</v>
      </c>
      <c r="E20235" s="1">
        <v>4.7681487662415E-5</v>
      </c>
      <c r="F20235" s="1">
        <v>3.8973107470243601E-4</v>
      </c>
    </row>
    <row r="20236" spans="1:6" x14ac:dyDescent="0.25">
      <c r="A20236" s="2" t="str">
        <f t="shared" si="708"/>
        <v>47260</v>
      </c>
      <c r="B20236" s="2" t="str">
        <f>"23847"</f>
        <v>23847</v>
      </c>
      <c r="C20236" s="1">
        <v>1.4218841572430699E-4</v>
      </c>
      <c r="D20236" s="1">
        <v>1.27810045869605E-4</v>
      </c>
      <c r="E20236" s="1">
        <v>0</v>
      </c>
      <c r="F20236" s="1">
        <v>1.3461463304485199E-4</v>
      </c>
    </row>
    <row r="20237" spans="1:6" x14ac:dyDescent="0.25">
      <c r="A20237" s="2" t="str">
        <f t="shared" si="708"/>
        <v>47260</v>
      </c>
      <c r="B20237" s="2" t="str">
        <f>"23507"</f>
        <v>23507</v>
      </c>
      <c r="C20237" s="1">
        <v>4.2977994178929899E-3</v>
      </c>
      <c r="D20237" s="1">
        <v>3.9905136543732303E-3</v>
      </c>
      <c r="E20237" s="1">
        <v>1.2134938610084601E-2</v>
      </c>
      <c r="F20237" s="1">
        <v>4.6311776174946901E-3</v>
      </c>
    </row>
    <row r="20238" spans="1:6" x14ac:dyDescent="0.25">
      <c r="A20238" s="2" t="str">
        <f t="shared" si="708"/>
        <v>47260</v>
      </c>
      <c r="B20238" s="2" t="str">
        <f>"23471"</f>
        <v>23471</v>
      </c>
      <c r="C20238" s="1">
        <v>1.88801487661754E-3</v>
      </c>
      <c r="D20238" s="1">
        <v>5.0697984861610102E-3</v>
      </c>
      <c r="E20238" s="1">
        <v>4.7681487662415E-5</v>
      </c>
      <c r="F20238" s="1">
        <v>2.0474451445370301E-3</v>
      </c>
    </row>
    <row r="20239" spans="1:6" x14ac:dyDescent="0.25">
      <c r="A20239" s="2" t="str">
        <f t="shared" si="708"/>
        <v>47260</v>
      </c>
      <c r="B20239" s="2" t="str">
        <f>"23464"</f>
        <v>23464</v>
      </c>
      <c r="C20239" s="1">
        <v>3.6002106861394698E-2</v>
      </c>
      <c r="D20239" s="1">
        <v>1.80638198162375E-2</v>
      </c>
      <c r="E20239" s="1">
        <v>1.38514721659315E-2</v>
      </c>
      <c r="F20239" s="1">
        <v>3.3622175806710702E-2</v>
      </c>
    </row>
    <row r="20240" spans="1:6" x14ac:dyDescent="0.25">
      <c r="A20240" s="2" t="str">
        <f t="shared" si="708"/>
        <v>47260</v>
      </c>
      <c r="B20240" s="2" t="str">
        <f>"23612"</f>
        <v>23612</v>
      </c>
      <c r="C20240" s="1">
        <v>4.5376650931148598E-4</v>
      </c>
      <c r="D20240" s="1">
        <v>2.85442435775451E-3</v>
      </c>
      <c r="E20240" s="1">
        <v>4.7681487662415E-5</v>
      </c>
      <c r="F20240" s="1">
        <v>6.1879307125456396E-4</v>
      </c>
    </row>
    <row r="20241" spans="1:6" x14ac:dyDescent="0.25">
      <c r="A20241" s="2" t="str">
        <f t="shared" si="708"/>
        <v>47260</v>
      </c>
      <c r="B20241" s="2" t="str">
        <f>"23705"</f>
        <v>23705</v>
      </c>
      <c r="C20241" s="1">
        <v>9.6440838491269605E-4</v>
      </c>
      <c r="D20241" s="1">
        <v>2.7266143118849099E-3</v>
      </c>
      <c r="E20241" s="1">
        <v>4.7681487662415E-5</v>
      </c>
      <c r="F20241" s="1">
        <v>1.0573762305297299E-3</v>
      </c>
    </row>
    <row r="20242" spans="1:6" x14ac:dyDescent="0.25">
      <c r="A20242" s="2" t="str">
        <f t="shared" si="708"/>
        <v>47260</v>
      </c>
      <c r="B20242" s="2" t="str">
        <f>"23457"</f>
        <v>23457</v>
      </c>
      <c r="C20242" s="1">
        <v>2.2638868625322302E-3</v>
      </c>
      <c r="D20242" s="1">
        <v>7.8106139142536596E-4</v>
      </c>
      <c r="E20242" s="1">
        <v>0</v>
      </c>
      <c r="F20242" s="1">
        <v>2.0474451445370301E-3</v>
      </c>
    </row>
    <row r="20243" spans="1:6" x14ac:dyDescent="0.25">
      <c r="A20243" s="2" t="str">
        <f t="shared" si="708"/>
        <v>47260</v>
      </c>
      <c r="B20243" s="2" t="str">
        <f>"23601"</f>
        <v>23601</v>
      </c>
      <c r="C20243" s="1">
        <v>1.5938703192191699E-2</v>
      </c>
      <c r="D20243" s="1">
        <v>1.5067384296405599E-2</v>
      </c>
      <c r="E20243" s="1">
        <v>1.7117654070806999E-2</v>
      </c>
      <c r="F20243" s="1">
        <v>1.5925779570709502E-2</v>
      </c>
    </row>
    <row r="20244" spans="1:6" x14ac:dyDescent="0.25">
      <c r="A20244" s="2" t="str">
        <f t="shared" si="708"/>
        <v>47260</v>
      </c>
      <c r="B20244" s="2" t="str">
        <f>"23523"</f>
        <v>23523</v>
      </c>
      <c r="C20244" s="1">
        <v>4.0146590074506697E-3</v>
      </c>
      <c r="D20244" s="1">
        <v>2.79761989292358E-3</v>
      </c>
      <c r="E20244" s="1">
        <v>2.5032781022767902E-3</v>
      </c>
      <c r="F20244" s="1">
        <v>3.85280106996921E-3</v>
      </c>
    </row>
    <row r="20245" spans="1:6" x14ac:dyDescent="0.25">
      <c r="A20245" s="2" t="str">
        <f t="shared" ref="A20245:A20276" si="709">"47260"</f>
        <v>47260</v>
      </c>
      <c r="B20245" s="2" t="str">
        <f>"23450"</f>
        <v>23450</v>
      </c>
      <c r="C20245" s="1">
        <v>1.8892512976238401E-3</v>
      </c>
      <c r="D20245" s="1">
        <v>7.3135748469829696E-3</v>
      </c>
      <c r="E20245" s="1">
        <v>4.7681487662415E-5</v>
      </c>
      <c r="F20245" s="1">
        <v>2.2200558433606698E-3</v>
      </c>
    </row>
    <row r="20246" spans="1:6" x14ac:dyDescent="0.25">
      <c r="A20246" s="2" t="str">
        <f t="shared" si="709"/>
        <v>47260</v>
      </c>
      <c r="B20246" s="2" t="str">
        <f>"23437"</f>
        <v>23437</v>
      </c>
      <c r="C20246" s="1">
        <v>2.5816470611509101E-3</v>
      </c>
      <c r="D20246" s="1">
        <v>7.5265915900989805E-4</v>
      </c>
      <c r="E20246" s="1">
        <v>0</v>
      </c>
      <c r="F20246" s="1">
        <v>2.32427362378249E-3</v>
      </c>
    </row>
    <row r="20247" spans="1:6" x14ac:dyDescent="0.25">
      <c r="A20247" s="2" t="str">
        <f t="shared" si="709"/>
        <v>47260</v>
      </c>
      <c r="B20247" s="2" t="str">
        <f>"23322"</f>
        <v>23322</v>
      </c>
      <c r="C20247" s="1">
        <v>2.8691149451152701E-2</v>
      </c>
      <c r="D20247" s="1">
        <v>1.5649630060922699E-2</v>
      </c>
      <c r="E20247" s="1">
        <v>1.1491238526642E-2</v>
      </c>
      <c r="F20247" s="1">
        <v>2.69109849882972E-2</v>
      </c>
    </row>
    <row r="20248" spans="1:6" x14ac:dyDescent="0.25">
      <c r="A20248" s="2" t="str">
        <f t="shared" si="709"/>
        <v>47260</v>
      </c>
      <c r="B20248" s="2" t="str">
        <f>"23185"</f>
        <v>23185</v>
      </c>
      <c r="C20248" s="1">
        <v>2.73706518164261E-2</v>
      </c>
      <c r="D20248" s="1">
        <v>2.9566723944502001E-2</v>
      </c>
      <c r="E20248" s="1">
        <v>2.4913577303611802E-2</v>
      </c>
      <c r="F20248" s="1">
        <v>2.74266458810093E-2</v>
      </c>
    </row>
    <row r="20249" spans="1:6" x14ac:dyDescent="0.25">
      <c r="A20249" s="2" t="str">
        <f t="shared" si="709"/>
        <v>47260</v>
      </c>
      <c r="B20249" s="2" t="str">
        <f>"23149"</f>
        <v>23149</v>
      </c>
      <c r="C20249" s="1">
        <v>6.6766734340109699E-4</v>
      </c>
      <c r="D20249" s="1">
        <v>3.9763125381654901E-4</v>
      </c>
      <c r="E20249" s="1">
        <v>4.7681487662415E-5</v>
      </c>
      <c r="F20249" s="1">
        <v>6.1879307125456396E-4</v>
      </c>
    </row>
    <row r="20250" spans="1:6" x14ac:dyDescent="0.25">
      <c r="A20250" s="2" t="str">
        <f t="shared" si="709"/>
        <v>47260</v>
      </c>
      <c r="B20250" s="2" t="str">
        <f>"23131"</f>
        <v>23131</v>
      </c>
      <c r="C20250" s="1">
        <v>0</v>
      </c>
      <c r="D20250" s="1">
        <v>0</v>
      </c>
      <c r="E20250" s="1">
        <v>2.38407438312075E-5</v>
      </c>
      <c r="F20250" s="1">
        <v>1.08560187939397E-6</v>
      </c>
    </row>
    <row r="20251" spans="1:6" x14ac:dyDescent="0.25">
      <c r="A20251" s="2" t="str">
        <f t="shared" si="709"/>
        <v>47260</v>
      </c>
      <c r="B20251" s="2" t="str">
        <f>"23050"</f>
        <v>23050</v>
      </c>
      <c r="C20251" s="1">
        <v>3.2641514566275799E-4</v>
      </c>
      <c r="D20251" s="1">
        <v>1.4201116207733901E-4</v>
      </c>
      <c r="E20251" s="1">
        <v>2.38407438312075E-5</v>
      </c>
      <c r="F20251" s="1">
        <v>2.9854051683334199E-4</v>
      </c>
    </row>
    <row r="20252" spans="1:6" x14ac:dyDescent="0.25">
      <c r="A20252" s="2" t="str">
        <f t="shared" si="709"/>
        <v>47260</v>
      </c>
      <c r="B20252" s="2" t="str">
        <f>"27916"</f>
        <v>27916</v>
      </c>
      <c r="C20252" s="1">
        <v>4.9209556050673403E-4</v>
      </c>
      <c r="D20252" s="1">
        <v>2.8402232415467799E-5</v>
      </c>
      <c r="E20252" s="1">
        <v>4.5297413279294301E-4</v>
      </c>
      <c r="F20252" s="1">
        <v>4.5486718746607399E-4</v>
      </c>
    </row>
    <row r="20253" spans="1:6" x14ac:dyDescent="0.25">
      <c r="A20253" s="2" t="str">
        <f t="shared" si="709"/>
        <v>47260</v>
      </c>
      <c r="B20253" s="2" t="str">
        <f>"23511"</f>
        <v>23511</v>
      </c>
      <c r="C20253" s="1">
        <v>9.5698985887490598E-4</v>
      </c>
      <c r="D20253" s="1">
        <v>6.2484911314029197E-4</v>
      </c>
      <c r="E20253" s="1">
        <v>9.48861604482059E-3</v>
      </c>
      <c r="F20253" s="1">
        <v>1.3200918853430699E-3</v>
      </c>
    </row>
    <row r="20254" spans="1:6" x14ac:dyDescent="0.25">
      <c r="A20254" s="2" t="str">
        <f t="shared" si="709"/>
        <v>47260</v>
      </c>
      <c r="B20254" s="2" t="str">
        <f>"23504"</f>
        <v>23504</v>
      </c>
      <c r="C20254" s="1">
        <v>1.177072797996E-2</v>
      </c>
      <c r="D20254" s="1">
        <v>1.07076416206313E-2</v>
      </c>
      <c r="E20254" s="1">
        <v>1.4352127786386899E-2</v>
      </c>
      <c r="F20254" s="1">
        <v>1.18070060402888E-2</v>
      </c>
    </row>
    <row r="20255" spans="1:6" x14ac:dyDescent="0.25">
      <c r="A20255" s="2" t="str">
        <f t="shared" si="709"/>
        <v>47260</v>
      </c>
      <c r="B20255" s="2" t="str">
        <f>"23709"</f>
        <v>23709</v>
      </c>
      <c r="C20255" s="1">
        <v>0</v>
      </c>
      <c r="D20255" s="1">
        <v>1.4201116207733899E-5</v>
      </c>
      <c r="E20255" s="1">
        <v>0</v>
      </c>
      <c r="F20255" s="1">
        <v>1.08560187939397E-6</v>
      </c>
    </row>
    <row r="20256" spans="1:6" x14ac:dyDescent="0.25">
      <c r="A20256" s="2" t="str">
        <f t="shared" si="709"/>
        <v>47260</v>
      </c>
      <c r="B20256" s="2" t="str">
        <f>"23630"</f>
        <v>23630</v>
      </c>
      <c r="C20256" s="1">
        <v>0</v>
      </c>
      <c r="D20256" s="1">
        <v>1.4201116207733901E-4</v>
      </c>
      <c r="E20256" s="1">
        <v>0</v>
      </c>
      <c r="F20256" s="1">
        <v>1.0856018793939701E-5</v>
      </c>
    </row>
    <row r="20257" spans="1:6" x14ac:dyDescent="0.25">
      <c r="A20257" s="2" t="str">
        <f t="shared" si="709"/>
        <v>47260</v>
      </c>
      <c r="B20257" s="2" t="str">
        <f>"23628"</f>
        <v>23628</v>
      </c>
      <c r="C20257" s="1">
        <v>0</v>
      </c>
      <c r="D20257" s="1">
        <v>1.4201116207733899E-5</v>
      </c>
      <c r="E20257" s="1">
        <v>0</v>
      </c>
      <c r="F20257" s="1">
        <v>1.08560187939397E-6</v>
      </c>
    </row>
    <row r="20258" spans="1:6" x14ac:dyDescent="0.25">
      <c r="A20258" s="2" t="str">
        <f t="shared" si="709"/>
        <v>47260</v>
      </c>
      <c r="B20258" s="2" t="str">
        <f>"23666"</f>
        <v>23666</v>
      </c>
      <c r="C20258" s="1">
        <v>3.1595502394947399E-2</v>
      </c>
      <c r="D20258" s="1">
        <v>3.2094522629478602E-2</v>
      </c>
      <c r="E20258" s="1">
        <v>2.5032781022767899E-2</v>
      </c>
      <c r="F20258" s="1">
        <v>3.1334812646827602E-2</v>
      </c>
    </row>
    <row r="20259" spans="1:6" x14ac:dyDescent="0.25">
      <c r="A20259" s="2" t="str">
        <f t="shared" si="709"/>
        <v>47260</v>
      </c>
      <c r="B20259" s="2" t="str">
        <f>"23703"</f>
        <v>23703</v>
      </c>
      <c r="C20259" s="1">
        <v>1.45378381920557E-2</v>
      </c>
      <c r="D20259" s="1">
        <v>8.3928596787707505E-3</v>
      </c>
      <c r="E20259" s="1">
        <v>1.49243056383359E-2</v>
      </c>
      <c r="F20259" s="1">
        <v>1.40856843851368E-2</v>
      </c>
    </row>
    <row r="20260" spans="1:6" x14ac:dyDescent="0.25">
      <c r="A20260" s="2" t="str">
        <f t="shared" si="709"/>
        <v>47260</v>
      </c>
      <c r="B20260" s="2" t="str">
        <f>"23701"</f>
        <v>23701</v>
      </c>
      <c r="C20260" s="1">
        <v>1.4311573147903101E-2</v>
      </c>
      <c r="D20260" s="1">
        <v>1.1857932033457801E-2</v>
      </c>
      <c r="E20260" s="1">
        <v>9.1548456311836904E-3</v>
      </c>
      <c r="F20260" s="1">
        <v>1.38891904449664E-2</v>
      </c>
    </row>
    <row r="20261" spans="1:6" x14ac:dyDescent="0.25">
      <c r="A20261" s="2" t="str">
        <f t="shared" si="709"/>
        <v>47260</v>
      </c>
      <c r="B20261" s="2" t="str">
        <f>"23460"</f>
        <v>23460</v>
      </c>
      <c r="C20261" s="1">
        <v>0</v>
      </c>
      <c r="D20261" s="1">
        <v>1.8035417583822E-3</v>
      </c>
      <c r="E20261" s="1">
        <v>3.8145190129932E-4</v>
      </c>
      <c r="F20261" s="1">
        <v>1.5524106875333801E-4</v>
      </c>
    </row>
    <row r="20262" spans="1:6" x14ac:dyDescent="0.25">
      <c r="A20262" s="2" t="str">
        <f t="shared" si="709"/>
        <v>47260</v>
      </c>
      <c r="B20262" s="2" t="str">
        <f>"23462"</f>
        <v>23462</v>
      </c>
      <c r="C20262" s="1">
        <v>3.5657145400637399E-2</v>
      </c>
      <c r="D20262" s="1">
        <v>5.0229348026754897E-2</v>
      </c>
      <c r="E20262" s="1">
        <v>3.8860412444868202E-2</v>
      </c>
      <c r="F20262" s="1">
        <v>3.6916977510671398E-2</v>
      </c>
    </row>
    <row r="20263" spans="1:6" x14ac:dyDescent="0.25">
      <c r="A20263" s="2" t="str">
        <f t="shared" si="709"/>
        <v>47260</v>
      </c>
      <c r="B20263" s="2" t="str">
        <f>"23604"</f>
        <v>23604</v>
      </c>
      <c r="C20263" s="1">
        <v>2.19712012819212E-3</v>
      </c>
      <c r="D20263" s="1">
        <v>2.88282659016998E-3</v>
      </c>
      <c r="E20263" s="1">
        <v>5.5310525688401398E-3</v>
      </c>
      <c r="F20263" s="1">
        <v>2.4013513572194601E-3</v>
      </c>
    </row>
    <row r="20264" spans="1:6" x14ac:dyDescent="0.25">
      <c r="A20264" s="2" t="str">
        <f t="shared" si="709"/>
        <v>47260</v>
      </c>
      <c r="B20264" s="2" t="str">
        <f>"23602"</f>
        <v>23602</v>
      </c>
      <c r="C20264" s="1">
        <v>2.3368357019038399E-2</v>
      </c>
      <c r="D20264" s="1">
        <v>1.7538378516551399E-2</v>
      </c>
      <c r="E20264" s="1">
        <v>3.11121706997258E-2</v>
      </c>
      <c r="F20264" s="1">
        <v>2.3275304294206701E-2</v>
      </c>
    </row>
    <row r="20265" spans="1:6" x14ac:dyDescent="0.25">
      <c r="A20265" s="2" t="str">
        <f t="shared" si="709"/>
        <v>47260</v>
      </c>
      <c r="B20265" s="2" t="str">
        <f>"23435"</f>
        <v>23435</v>
      </c>
      <c r="C20265" s="1">
        <v>1.7278983563019101E-2</v>
      </c>
      <c r="D20265" s="1">
        <v>1.37182782566709E-2</v>
      </c>
      <c r="E20265" s="1">
        <v>2.1099058290618599E-2</v>
      </c>
      <c r="F20265" s="1">
        <v>1.7180735343289E-2</v>
      </c>
    </row>
    <row r="20266" spans="1:6" x14ac:dyDescent="0.25">
      <c r="A20266" s="2" t="str">
        <f t="shared" si="709"/>
        <v>47260</v>
      </c>
      <c r="B20266" s="2" t="str">
        <f>"23433"</f>
        <v>23433</v>
      </c>
      <c r="C20266" s="1">
        <v>7.13414920634135E-4</v>
      </c>
      <c r="D20266" s="1">
        <v>2.5562009173921E-4</v>
      </c>
      <c r="E20266" s="1">
        <v>4.7681487662415E-5</v>
      </c>
      <c r="F20266" s="1">
        <v>6.4810432199820201E-4</v>
      </c>
    </row>
    <row r="20267" spans="1:6" x14ac:dyDescent="0.25">
      <c r="A20267" s="2" t="str">
        <f t="shared" si="709"/>
        <v>47260</v>
      </c>
      <c r="B20267" s="2" t="str">
        <f>"23323"</f>
        <v>23323</v>
      </c>
      <c r="C20267" s="1">
        <v>2.0105441983417099E-2</v>
      </c>
      <c r="D20267" s="1">
        <v>1.5394009969183499E-2</v>
      </c>
      <c r="E20267" s="1">
        <v>8.2012158779353906E-3</v>
      </c>
      <c r="F20267" s="1">
        <v>1.9203211644599899E-2</v>
      </c>
    </row>
    <row r="20268" spans="1:6" x14ac:dyDescent="0.25">
      <c r="A20268" s="2" t="str">
        <f t="shared" si="709"/>
        <v>47260</v>
      </c>
      <c r="B20268" s="2" t="str">
        <f>"23184"</f>
        <v>23184</v>
      </c>
      <c r="C20268" s="1">
        <v>0</v>
      </c>
      <c r="D20268" s="1">
        <v>0</v>
      </c>
      <c r="E20268" s="1">
        <v>2.38407438312075E-5</v>
      </c>
      <c r="F20268" s="1">
        <v>1.08560187939397E-6</v>
      </c>
    </row>
    <row r="20269" spans="1:6" x14ac:dyDescent="0.25">
      <c r="A20269" s="2" t="str">
        <f t="shared" si="709"/>
        <v>47260</v>
      </c>
      <c r="B20269" s="2" t="str">
        <f>"23127"</f>
        <v>23127</v>
      </c>
      <c r="C20269" s="1">
        <v>5.9348208302319704E-4</v>
      </c>
      <c r="D20269" s="1">
        <v>1.1644915290341801E-3</v>
      </c>
      <c r="E20269" s="1">
        <v>4.7681487662415E-5</v>
      </c>
      <c r="F20269" s="1">
        <v>6.1227945997820101E-4</v>
      </c>
    </row>
    <row r="20270" spans="1:6" x14ac:dyDescent="0.25">
      <c r="A20270" s="2" t="str">
        <f t="shared" si="709"/>
        <v>47260</v>
      </c>
      <c r="B20270" s="2" t="str">
        <f>"23003"</f>
        <v>23003</v>
      </c>
      <c r="C20270" s="1">
        <v>8.0367365409391301E-4</v>
      </c>
      <c r="D20270" s="1">
        <v>4.2603348623201698E-4</v>
      </c>
      <c r="E20270" s="1">
        <v>4.7681487662415E-5</v>
      </c>
      <c r="F20270" s="1">
        <v>7.4038048174668899E-4</v>
      </c>
    </row>
    <row r="20271" spans="1:6" x14ac:dyDescent="0.25">
      <c r="A20271" s="2" t="str">
        <f t="shared" si="709"/>
        <v>47260</v>
      </c>
      <c r="B20271" s="2" t="str">
        <f>"23021"</f>
        <v>23021</v>
      </c>
      <c r="C20271" s="1">
        <v>1.4218841572430699E-4</v>
      </c>
      <c r="D20271" s="1">
        <v>0</v>
      </c>
      <c r="E20271" s="1">
        <v>2.38407438312075E-5</v>
      </c>
      <c r="F20271" s="1">
        <v>1.2592981800970001E-4</v>
      </c>
    </row>
    <row r="20272" spans="1:6" x14ac:dyDescent="0.25">
      <c r="A20272" s="2" t="str">
        <f t="shared" si="709"/>
        <v>47260</v>
      </c>
      <c r="B20272" s="2" t="str">
        <f>"27919"</f>
        <v>27919</v>
      </c>
      <c r="C20272" s="1">
        <v>9.8913680503866195E-6</v>
      </c>
      <c r="D20272" s="1">
        <v>0</v>
      </c>
      <c r="E20272" s="1">
        <v>0</v>
      </c>
      <c r="F20272" s="1">
        <v>8.6848150351517805E-6</v>
      </c>
    </row>
    <row r="20273" spans="1:6" x14ac:dyDescent="0.25">
      <c r="A20273" s="2" t="str">
        <f t="shared" si="709"/>
        <v>47260</v>
      </c>
      <c r="B20273" s="2" t="str">
        <f>"27923"</f>
        <v>27923</v>
      </c>
      <c r="C20273" s="1">
        <v>4.6118503534927599E-4</v>
      </c>
      <c r="D20273" s="1">
        <v>4.5443571864748499E-4</v>
      </c>
      <c r="E20273" s="1">
        <v>1.6688520681845201E-4</v>
      </c>
      <c r="F20273" s="1">
        <v>4.4726797431031699E-4</v>
      </c>
    </row>
    <row r="20274" spans="1:6" x14ac:dyDescent="0.25">
      <c r="A20274" s="2" t="str">
        <f t="shared" si="709"/>
        <v>47260</v>
      </c>
      <c r="B20274" s="2" t="str">
        <f>"27921"</f>
        <v>27921</v>
      </c>
      <c r="C20274" s="1">
        <v>2.5717556931005199E-3</v>
      </c>
      <c r="D20274" s="1">
        <v>1.07928483178777E-3</v>
      </c>
      <c r="E20274" s="1">
        <v>6.6754082727381E-4</v>
      </c>
      <c r="F20274" s="1">
        <v>2.3709545045964299E-3</v>
      </c>
    </row>
    <row r="20275" spans="1:6" x14ac:dyDescent="0.25">
      <c r="A20275" s="2" t="str">
        <f t="shared" si="709"/>
        <v>47260</v>
      </c>
      <c r="B20275" s="2" t="str">
        <f>"27941"</f>
        <v>27941</v>
      </c>
      <c r="C20275" s="1">
        <v>3.0663240956198501E-4</v>
      </c>
      <c r="D20275" s="1">
        <v>1.5621227828507299E-4</v>
      </c>
      <c r="E20275" s="1">
        <v>0</v>
      </c>
      <c r="F20275" s="1">
        <v>2.81170886763039E-4</v>
      </c>
    </row>
    <row r="20276" spans="1:6" x14ac:dyDescent="0.25">
      <c r="A20276" s="2" t="str">
        <f t="shared" si="709"/>
        <v>47260</v>
      </c>
      <c r="B20276" s="2" t="str">
        <f>"27969"</f>
        <v>27969</v>
      </c>
      <c r="C20276" s="1">
        <v>1.23642100629832E-6</v>
      </c>
      <c r="D20276" s="1">
        <v>1.4201116207733899E-5</v>
      </c>
      <c r="E20276" s="1">
        <v>0</v>
      </c>
      <c r="F20276" s="1">
        <v>2.1712037587879401E-6</v>
      </c>
    </row>
    <row r="20277" spans="1:6" x14ac:dyDescent="0.25">
      <c r="A20277" s="2" t="str">
        <f t="shared" ref="A20277:A20296" si="710">"47260"</f>
        <v>47260</v>
      </c>
      <c r="B20277" s="2" t="str">
        <f>"27946"</f>
        <v>27946</v>
      </c>
      <c r="C20277" s="1">
        <v>5.7122650490982704E-4</v>
      </c>
      <c r="D20277" s="1">
        <v>2.13016743116008E-4</v>
      </c>
      <c r="E20277" s="1">
        <v>0</v>
      </c>
      <c r="F20277" s="1">
        <v>5.1783209647092497E-4</v>
      </c>
    </row>
    <row r="20278" spans="1:6" x14ac:dyDescent="0.25">
      <c r="A20278" s="2" t="str">
        <f t="shared" si="710"/>
        <v>47260</v>
      </c>
      <c r="B20278" s="2" t="str">
        <f>"27976"</f>
        <v>27976</v>
      </c>
      <c r="C20278" s="1">
        <v>1.7495357239121301E-3</v>
      </c>
      <c r="D20278" s="1">
        <v>2.13016743116008E-4</v>
      </c>
      <c r="E20278" s="1">
        <v>4.7681487662415E-5</v>
      </c>
      <c r="F20278" s="1">
        <v>1.55458189129217E-3</v>
      </c>
    </row>
    <row r="20279" spans="1:6" x14ac:dyDescent="0.25">
      <c r="A20279" s="2" t="str">
        <f t="shared" si="710"/>
        <v>47260</v>
      </c>
      <c r="B20279" s="2" t="str">
        <f>"23514"</f>
        <v>23514</v>
      </c>
      <c r="C20279" s="1">
        <v>6.5777597535071001E-4</v>
      </c>
      <c r="D20279" s="1">
        <v>2.01655850149821E-3</v>
      </c>
      <c r="E20279" s="1">
        <v>4.7681487662415E-5</v>
      </c>
      <c r="F20279" s="1">
        <v>7.3386687047032604E-4</v>
      </c>
    </row>
    <row r="20280" spans="1:6" x14ac:dyDescent="0.25">
      <c r="A20280" s="2" t="str">
        <f t="shared" si="710"/>
        <v>47260</v>
      </c>
      <c r="B20280" s="2" t="str">
        <f>"23505"</f>
        <v>23505</v>
      </c>
      <c r="C20280" s="1">
        <v>1.7159050725408201E-2</v>
      </c>
      <c r="D20280" s="1">
        <v>1.0352613715438001E-2</v>
      </c>
      <c r="E20280" s="1">
        <v>4.0123971867922201E-2</v>
      </c>
      <c r="F20280" s="1">
        <v>1.7684454615327801E-2</v>
      </c>
    </row>
    <row r="20281" spans="1:6" x14ac:dyDescent="0.25">
      <c r="A20281" s="2" t="str">
        <f t="shared" si="710"/>
        <v>47260</v>
      </c>
      <c r="B20281" s="2" t="str">
        <f>"23463"</f>
        <v>23463</v>
      </c>
      <c r="C20281" s="1">
        <v>0</v>
      </c>
      <c r="D20281" s="1">
        <v>0</v>
      </c>
      <c r="E20281" s="1">
        <v>2.38407438312075E-5</v>
      </c>
      <c r="F20281" s="1">
        <v>1.08560187939397E-6</v>
      </c>
    </row>
    <row r="20282" spans="1:6" x14ac:dyDescent="0.25">
      <c r="A20282" s="2" t="str">
        <f t="shared" si="710"/>
        <v>47260</v>
      </c>
      <c r="B20282" s="2" t="str">
        <f>"23501"</f>
        <v>23501</v>
      </c>
      <c r="C20282" s="1">
        <v>1.60240162416263E-3</v>
      </c>
      <c r="D20282" s="1">
        <v>5.7088487155090304E-3</v>
      </c>
      <c r="E20282" s="1">
        <v>6.6754082727381E-4</v>
      </c>
      <c r="F20282" s="1">
        <v>1.87374884383399E-3</v>
      </c>
    </row>
    <row r="20283" spans="1:6" x14ac:dyDescent="0.25">
      <c r="A20283" s="2" t="str">
        <f t="shared" si="710"/>
        <v>47260</v>
      </c>
      <c r="B20283" s="2" t="str">
        <f>"23651"</f>
        <v>23651</v>
      </c>
      <c r="C20283" s="1">
        <v>4.4140229924850301E-4</v>
      </c>
      <c r="D20283" s="1">
        <v>6.2484911314029197E-4</v>
      </c>
      <c r="E20283" s="1">
        <v>2.31255215162713E-3</v>
      </c>
      <c r="F20283" s="1">
        <v>5.4062973593819801E-4</v>
      </c>
    </row>
    <row r="20284" spans="1:6" x14ac:dyDescent="0.25">
      <c r="A20284" s="2" t="str">
        <f t="shared" si="710"/>
        <v>47260</v>
      </c>
      <c r="B20284" s="2" t="str">
        <f>"23608"</f>
        <v>23608</v>
      </c>
      <c r="C20284" s="1">
        <v>2.5362704102197601E-2</v>
      </c>
      <c r="D20284" s="1">
        <v>1.6104065779570201E-2</v>
      </c>
      <c r="E20284" s="1">
        <v>3.6714745500059598E-2</v>
      </c>
      <c r="F20284" s="1">
        <v>2.5171850777508002E-2</v>
      </c>
    </row>
    <row r="20285" spans="1:6" x14ac:dyDescent="0.25">
      <c r="A20285" s="2" t="str">
        <f t="shared" si="710"/>
        <v>47260</v>
      </c>
      <c r="B20285" s="2" t="str">
        <f>"23669"</f>
        <v>23669</v>
      </c>
      <c r="C20285" s="1">
        <v>2.3135909869854299E-2</v>
      </c>
      <c r="D20285" s="1">
        <v>1.7580981865174601E-2</v>
      </c>
      <c r="E20285" s="1">
        <v>2.5390392180236001E-2</v>
      </c>
      <c r="F20285" s="1">
        <v>2.2813923495464301E-2</v>
      </c>
    </row>
    <row r="20286" spans="1:6" x14ac:dyDescent="0.25">
      <c r="A20286" s="2" t="str">
        <f t="shared" si="710"/>
        <v>47260</v>
      </c>
      <c r="B20286" s="2" t="str">
        <f>"23461"</f>
        <v>23461</v>
      </c>
      <c r="C20286" s="1">
        <v>0</v>
      </c>
      <c r="D20286" s="1">
        <v>5.8224576451709103E-4</v>
      </c>
      <c r="E20286" s="1">
        <v>5.4833710811777296E-4</v>
      </c>
      <c r="F20286" s="1">
        <v>6.9478520281214298E-5</v>
      </c>
    </row>
    <row r="20287" spans="1:6" x14ac:dyDescent="0.25">
      <c r="A20287" s="2" t="str">
        <f t="shared" si="710"/>
        <v>47260</v>
      </c>
      <c r="B20287" s="2" t="str">
        <f>"23451"</f>
        <v>23451</v>
      </c>
      <c r="C20287" s="1">
        <v>3.2438741521242903E-2</v>
      </c>
      <c r="D20287" s="1">
        <v>3.4948946987233102E-2</v>
      </c>
      <c r="E20287" s="1">
        <v>5.6836333293598697E-2</v>
      </c>
      <c r="F20287" s="1">
        <v>3.3741592013443997E-2</v>
      </c>
    </row>
    <row r="20288" spans="1:6" x14ac:dyDescent="0.25">
      <c r="A20288" s="2" t="str">
        <f t="shared" si="710"/>
        <v>47260</v>
      </c>
      <c r="B20288" s="2" t="str">
        <f>"23430"</f>
        <v>23430</v>
      </c>
      <c r="C20288" s="1">
        <v>1.0027374361079399E-2</v>
      </c>
      <c r="D20288" s="1">
        <v>7.0721558714514901E-3</v>
      </c>
      <c r="E20288" s="1">
        <v>4.9350339730599496E-3</v>
      </c>
      <c r="F20288" s="1">
        <v>9.5695805668578708E-3</v>
      </c>
    </row>
    <row r="20289" spans="1:6" x14ac:dyDescent="0.25">
      <c r="A20289" s="2" t="str">
        <f t="shared" si="710"/>
        <v>47260</v>
      </c>
      <c r="B20289" s="2" t="str">
        <f>"23178"</f>
        <v>23178</v>
      </c>
      <c r="C20289" s="1">
        <v>0</v>
      </c>
      <c r="D20289" s="1">
        <v>0</v>
      </c>
      <c r="E20289" s="1">
        <v>2.38407438312075E-5</v>
      </c>
      <c r="F20289" s="1">
        <v>1.08560187939397E-6</v>
      </c>
    </row>
    <row r="20290" spans="1:6" x14ac:dyDescent="0.25">
      <c r="A20290" s="2" t="str">
        <f t="shared" si="710"/>
        <v>47260</v>
      </c>
      <c r="B20290" s="2" t="str">
        <f>"23154"</f>
        <v>23154</v>
      </c>
      <c r="C20290" s="1">
        <v>0</v>
      </c>
      <c r="D20290" s="1">
        <v>0</v>
      </c>
      <c r="E20290" s="1">
        <v>2.38407438312075E-5</v>
      </c>
      <c r="F20290" s="1">
        <v>1.08560187939397E-6</v>
      </c>
    </row>
    <row r="20291" spans="1:6" x14ac:dyDescent="0.25">
      <c r="A20291" s="2" t="str">
        <f t="shared" si="710"/>
        <v>47260</v>
      </c>
      <c r="B20291" s="2" t="str">
        <f>"23138"</f>
        <v>23138</v>
      </c>
      <c r="C20291" s="1">
        <v>5.79881451953916E-4</v>
      </c>
      <c r="D20291" s="1">
        <v>1.70413394492807E-4</v>
      </c>
      <c r="E20291" s="1">
        <v>2.38407438312075E-5</v>
      </c>
      <c r="F20291" s="1">
        <v>5.2326010586789496E-4</v>
      </c>
    </row>
    <row r="20292" spans="1:6" x14ac:dyDescent="0.25">
      <c r="A20292" s="2" t="str">
        <f t="shared" si="710"/>
        <v>47260</v>
      </c>
      <c r="B20292" s="2" t="str">
        <f>"23081"</f>
        <v>23081</v>
      </c>
      <c r="C20292" s="1">
        <v>0</v>
      </c>
      <c r="D20292" s="1">
        <v>1.4201116207733899E-5</v>
      </c>
      <c r="E20292" s="1">
        <v>2.38407438312075E-5</v>
      </c>
      <c r="F20292" s="1">
        <v>2.1712037587879401E-6</v>
      </c>
    </row>
    <row r="20293" spans="1:6" x14ac:dyDescent="0.25">
      <c r="A20293" s="2" t="str">
        <f t="shared" si="710"/>
        <v>47260</v>
      </c>
      <c r="B20293" s="2" t="str">
        <f>"23068"</f>
        <v>23068</v>
      </c>
      <c r="C20293" s="1">
        <v>2.00300203020329E-4</v>
      </c>
      <c r="D20293" s="1">
        <v>0</v>
      </c>
      <c r="E20293" s="1">
        <v>2.38407438312075E-5</v>
      </c>
      <c r="F20293" s="1">
        <v>1.7695310634121701E-4</v>
      </c>
    </row>
    <row r="20294" spans="1:6" x14ac:dyDescent="0.25">
      <c r="A20294" s="2" t="str">
        <f t="shared" si="710"/>
        <v>47260</v>
      </c>
      <c r="B20294" s="2" t="str">
        <f>"23090"</f>
        <v>23090</v>
      </c>
      <c r="C20294" s="1">
        <v>9.0629659761667404E-4</v>
      </c>
      <c r="D20294" s="1">
        <v>1.9029495718363399E-3</v>
      </c>
      <c r="E20294" s="1">
        <v>4.7681487662415E-5</v>
      </c>
      <c r="F20294" s="1">
        <v>9.4338803319336296E-4</v>
      </c>
    </row>
    <row r="20295" spans="1:6" x14ac:dyDescent="0.25">
      <c r="A20295" s="2" t="str">
        <f t="shared" si="710"/>
        <v>47260</v>
      </c>
      <c r="B20295" s="2" t="str">
        <f>"23001"</f>
        <v>23001</v>
      </c>
      <c r="C20295" s="1">
        <v>0</v>
      </c>
      <c r="D20295" s="1">
        <v>0</v>
      </c>
      <c r="E20295" s="1">
        <v>2.38407438312075E-5</v>
      </c>
      <c r="F20295" s="1">
        <v>1.08560187939397E-6</v>
      </c>
    </row>
    <row r="20296" spans="1:6" x14ac:dyDescent="0.25">
      <c r="A20296" s="2" t="str">
        <f t="shared" si="710"/>
        <v>47260</v>
      </c>
      <c r="B20296" s="2" t="str">
        <f>"23035"</f>
        <v>23035</v>
      </c>
      <c r="C20296" s="1">
        <v>5.9471850402949603E-4</v>
      </c>
      <c r="D20296" s="1">
        <v>1.4201116207733901E-4</v>
      </c>
      <c r="E20296" s="1">
        <v>7.1522231493622595E-5</v>
      </c>
      <c r="F20296" s="1">
        <v>5.3628732842062195E-4</v>
      </c>
    </row>
    <row r="20297" spans="1:6" x14ac:dyDescent="0.25">
      <c r="A20297" s="2" t="str">
        <f t="shared" ref="A20297:A20307" si="711">"32300"</f>
        <v>32300</v>
      </c>
      <c r="B20297" s="2" t="str">
        <f>"24089"</f>
        <v>24089</v>
      </c>
      <c r="C20297" s="1">
        <v>3.51228552639445E-2</v>
      </c>
      <c r="D20297" s="1">
        <v>1.63385002094679E-2</v>
      </c>
      <c r="E20297" s="1">
        <v>9.5693779904306199E-3</v>
      </c>
      <c r="F20297" s="1">
        <v>3.3317883142023601E-2</v>
      </c>
    </row>
    <row r="20298" spans="1:6" x14ac:dyDescent="0.25">
      <c r="A20298" s="2" t="str">
        <f t="shared" si="711"/>
        <v>32300</v>
      </c>
      <c r="B20298" s="2" t="str">
        <f>"24078"</f>
        <v>24078</v>
      </c>
      <c r="C20298" s="1">
        <v>0.107640341962097</v>
      </c>
      <c r="D20298" s="1">
        <v>0.118977796397151</v>
      </c>
      <c r="E20298" s="1">
        <v>0.23564593301435399</v>
      </c>
      <c r="F20298" s="1">
        <v>0.11129590751697201</v>
      </c>
    </row>
    <row r="20299" spans="1:6" x14ac:dyDescent="0.25">
      <c r="A20299" s="2" t="str">
        <f t="shared" si="711"/>
        <v>32300</v>
      </c>
      <c r="B20299" s="2" t="str">
        <f>"24530"</f>
        <v>24530</v>
      </c>
      <c r="C20299" s="1">
        <v>2.0924254199796699E-4</v>
      </c>
      <c r="D20299" s="1">
        <v>0</v>
      </c>
      <c r="E20299" s="1">
        <v>0</v>
      </c>
      <c r="F20299" s="1">
        <v>1.9085530441420999E-4</v>
      </c>
    </row>
    <row r="20300" spans="1:6" x14ac:dyDescent="0.25">
      <c r="A20300" s="2" t="str">
        <f t="shared" si="711"/>
        <v>32300</v>
      </c>
      <c r="B20300" s="2" t="str">
        <f>"24148"</f>
        <v>24148</v>
      </c>
      <c r="C20300" s="1">
        <v>0.11128714055120401</v>
      </c>
      <c r="D20300" s="1">
        <v>6.7029744449099204E-2</v>
      </c>
      <c r="E20300" s="1">
        <v>2.7511961722488001E-2</v>
      </c>
      <c r="F20300" s="1">
        <v>0.106497259863129</v>
      </c>
    </row>
    <row r="20301" spans="1:6" x14ac:dyDescent="0.25">
      <c r="A20301" s="2" t="str">
        <f t="shared" si="711"/>
        <v>32300</v>
      </c>
      <c r="B20301" s="2" t="str">
        <f>"24168"</f>
        <v>24168</v>
      </c>
      <c r="C20301" s="1">
        <v>3.9457165062473801E-3</v>
      </c>
      <c r="D20301" s="1">
        <v>6.7029744449099201E-3</v>
      </c>
      <c r="E20301" s="1">
        <v>5.9808612440191301E-3</v>
      </c>
      <c r="F20301" s="1">
        <v>4.1715516536248798E-3</v>
      </c>
    </row>
    <row r="20302" spans="1:6" x14ac:dyDescent="0.25">
      <c r="A20302" s="2" t="str">
        <f t="shared" si="711"/>
        <v>32300</v>
      </c>
      <c r="B20302" s="2" t="str">
        <f>"24102"</f>
        <v>24102</v>
      </c>
      <c r="C20302" s="1">
        <v>2.0326418365516799E-3</v>
      </c>
      <c r="D20302" s="1">
        <v>8.3787180561374099E-4</v>
      </c>
      <c r="E20302" s="1">
        <v>0</v>
      </c>
      <c r="F20302" s="1">
        <v>1.9085530441421E-3</v>
      </c>
    </row>
    <row r="20303" spans="1:6" x14ac:dyDescent="0.25">
      <c r="A20303" s="2" t="str">
        <f t="shared" si="711"/>
        <v>32300</v>
      </c>
      <c r="B20303" s="2" t="str">
        <f>"24165"</f>
        <v>24165</v>
      </c>
      <c r="C20303" s="1">
        <v>1.6291026484127401E-2</v>
      </c>
      <c r="D20303" s="1">
        <v>5.0272308336824396E-3</v>
      </c>
      <c r="E20303" s="1">
        <v>7.1770334928229597E-3</v>
      </c>
      <c r="F20303" s="1">
        <v>1.53502194836E-2</v>
      </c>
    </row>
    <row r="20304" spans="1:6" x14ac:dyDescent="0.25">
      <c r="A20304" s="2" t="str">
        <f t="shared" si="711"/>
        <v>32300</v>
      </c>
      <c r="B20304" s="2" t="str">
        <f>"24055"</f>
        <v>24055</v>
      </c>
      <c r="C20304" s="1">
        <v>0.175315358402582</v>
      </c>
      <c r="D20304" s="1">
        <v>9.3003770423125201E-2</v>
      </c>
      <c r="E20304" s="1">
        <v>9.3301435406698496E-2</v>
      </c>
      <c r="F20304" s="1">
        <v>0.168088993101943</v>
      </c>
    </row>
    <row r="20305" spans="1:6" x14ac:dyDescent="0.25">
      <c r="A20305" s="2" t="str">
        <f t="shared" si="711"/>
        <v>32300</v>
      </c>
      <c r="B20305" s="2" t="str">
        <f>"24133"</f>
        <v>24133</v>
      </c>
      <c r="C20305" s="1">
        <v>1.0462127099898301E-3</v>
      </c>
      <c r="D20305" s="1">
        <v>0</v>
      </c>
      <c r="E20305" s="1">
        <v>0</v>
      </c>
      <c r="F20305" s="1">
        <v>9.5427652207105197E-4</v>
      </c>
    </row>
    <row r="20306" spans="1:6" x14ac:dyDescent="0.25">
      <c r="A20306" s="2" t="str">
        <f t="shared" si="711"/>
        <v>32300</v>
      </c>
      <c r="B20306" s="2" t="str">
        <f>"24112"</f>
        <v>24112</v>
      </c>
      <c r="C20306" s="1">
        <v>0.48048066001076101</v>
      </c>
      <c r="D20306" s="1">
        <v>0.66527021365730998</v>
      </c>
      <c r="E20306" s="1">
        <v>0.61602870813397104</v>
      </c>
      <c r="F20306" s="1">
        <v>0.49559669547672902</v>
      </c>
    </row>
    <row r="20307" spans="1:6" x14ac:dyDescent="0.25">
      <c r="A20307" s="2" t="str">
        <f t="shared" si="711"/>
        <v>32300</v>
      </c>
      <c r="B20307" s="2" t="str">
        <f>"24054"</f>
        <v>24054</v>
      </c>
      <c r="C20307" s="1">
        <v>6.6628803730495595E-2</v>
      </c>
      <c r="D20307" s="1">
        <v>2.6811897779639701E-2</v>
      </c>
      <c r="E20307" s="1">
        <v>4.78468899521531E-3</v>
      </c>
      <c r="F20307" s="1">
        <v>6.2627804891348796E-2</v>
      </c>
    </row>
    <row r="20308" spans="1:6" x14ac:dyDescent="0.25">
      <c r="A20308" s="2" t="str">
        <f t="shared" ref="A20308:A20331" si="712">"21900"</f>
        <v>21900</v>
      </c>
      <c r="B20308" s="2" t="str">
        <f>"26563"</f>
        <v>26563</v>
      </c>
      <c r="C20308" s="1">
        <v>3.4535156789611798E-5</v>
      </c>
      <c r="D20308" s="1">
        <v>0</v>
      </c>
      <c r="E20308" s="1">
        <v>1.36425648021828E-3</v>
      </c>
      <c r="F20308" s="1">
        <v>6.2386923700792296E-5</v>
      </c>
    </row>
    <row r="20309" spans="1:6" x14ac:dyDescent="0.25">
      <c r="A20309" s="2" t="str">
        <f t="shared" si="712"/>
        <v>21900</v>
      </c>
      <c r="B20309" s="2" t="str">
        <f>"26559"</f>
        <v>26559</v>
      </c>
      <c r="C20309" s="1">
        <v>2.41746097527282E-4</v>
      </c>
      <c r="D20309" s="1">
        <v>0</v>
      </c>
      <c r="E20309" s="1">
        <v>1.36425648021828E-3</v>
      </c>
      <c r="F20309" s="1">
        <v>2.4954769480316902E-4</v>
      </c>
    </row>
    <row r="20310" spans="1:6" x14ac:dyDescent="0.25">
      <c r="A20310" s="2" t="str">
        <f t="shared" si="712"/>
        <v>21900</v>
      </c>
      <c r="B20310" s="2" t="str">
        <f>"26578"</f>
        <v>26578</v>
      </c>
      <c r="C20310" s="1">
        <v>0</v>
      </c>
      <c r="D20310" s="1">
        <v>0</v>
      </c>
      <c r="E20310" s="1">
        <v>1.36425648021828E-3</v>
      </c>
      <c r="F20310" s="1">
        <v>3.11934618503961E-5</v>
      </c>
    </row>
    <row r="20311" spans="1:6" x14ac:dyDescent="0.25">
      <c r="A20311" s="2" t="str">
        <f t="shared" si="712"/>
        <v>21900</v>
      </c>
      <c r="B20311" s="2" t="str">
        <f>"26582"</f>
        <v>26582</v>
      </c>
      <c r="C20311" s="1">
        <v>8.3954966155546304E-2</v>
      </c>
      <c r="D20311" s="1">
        <v>5.9518784297171799E-2</v>
      </c>
      <c r="E20311" s="1">
        <v>3.0013642564802101E-2</v>
      </c>
      <c r="F20311" s="1">
        <v>8.0915840039927606E-2</v>
      </c>
    </row>
    <row r="20312" spans="1:6" x14ac:dyDescent="0.25">
      <c r="A20312" s="2" t="str">
        <f t="shared" si="712"/>
        <v>21900</v>
      </c>
      <c r="B20312" s="2" t="str">
        <f>"26554"</f>
        <v>26554</v>
      </c>
      <c r="C20312" s="1">
        <v>0.714566929133858</v>
      </c>
      <c r="D20312" s="1">
        <v>0.78978471929084004</v>
      </c>
      <c r="E20312" s="1">
        <v>0.94406548431104997</v>
      </c>
      <c r="F20312" s="1">
        <v>0.72537276186911204</v>
      </c>
    </row>
    <row r="20313" spans="1:6" x14ac:dyDescent="0.25">
      <c r="A20313" s="2" t="str">
        <f t="shared" si="712"/>
        <v>21900</v>
      </c>
      <c r="B20313" s="2" t="str">
        <f>"26591"</f>
        <v>26591</v>
      </c>
      <c r="C20313" s="1">
        <v>1.8856195607128E-2</v>
      </c>
      <c r="D20313" s="1">
        <v>3.3769523005487499E-3</v>
      </c>
      <c r="E20313" s="1">
        <v>1.36425648021828E-3</v>
      </c>
      <c r="F20313" s="1">
        <v>1.7312371326969798E-2</v>
      </c>
    </row>
    <row r="20314" spans="1:6" x14ac:dyDescent="0.25">
      <c r="A20314" s="2" t="str">
        <f t="shared" si="712"/>
        <v>21900</v>
      </c>
      <c r="B20314" s="2" t="str">
        <f>"26562"</f>
        <v>26562</v>
      </c>
      <c r="C20314" s="1">
        <v>3.1081641110650599E-4</v>
      </c>
      <c r="D20314" s="1">
        <v>0</v>
      </c>
      <c r="E20314" s="1">
        <v>0</v>
      </c>
      <c r="F20314" s="1">
        <v>2.80741156653565E-4</v>
      </c>
    </row>
    <row r="20315" spans="1:6" x14ac:dyDescent="0.25">
      <c r="A20315" s="2" t="str">
        <f t="shared" si="712"/>
        <v>21900</v>
      </c>
      <c r="B20315" s="2" t="str">
        <f>"26570"</f>
        <v>26570</v>
      </c>
      <c r="C20315" s="1">
        <v>1.74747893355435E-2</v>
      </c>
      <c r="D20315" s="1">
        <v>5.48754748839172E-3</v>
      </c>
      <c r="E20315" s="1">
        <v>1.36425648021828E-3</v>
      </c>
      <c r="F20315" s="1">
        <v>1.6220600162206E-2</v>
      </c>
    </row>
    <row r="20316" spans="1:6" x14ac:dyDescent="0.25">
      <c r="A20316" s="2" t="str">
        <f t="shared" si="712"/>
        <v>21900</v>
      </c>
      <c r="B20316" s="2" t="str">
        <f>"26354"</f>
        <v>26354</v>
      </c>
      <c r="C20316" s="1">
        <v>1.03605470368835E-4</v>
      </c>
      <c r="D20316" s="1">
        <v>0</v>
      </c>
      <c r="E20316" s="1">
        <v>0</v>
      </c>
      <c r="F20316" s="1">
        <v>9.3580385551188396E-5</v>
      </c>
    </row>
    <row r="20317" spans="1:6" x14ac:dyDescent="0.25">
      <c r="A20317" s="2" t="str">
        <f t="shared" si="712"/>
        <v>21900</v>
      </c>
      <c r="B20317" s="2" t="str">
        <f>"26561"</f>
        <v>26561</v>
      </c>
      <c r="C20317" s="1">
        <v>3.4535156789611798E-5</v>
      </c>
      <c r="D20317" s="1">
        <v>0</v>
      </c>
      <c r="E20317" s="1">
        <v>0</v>
      </c>
      <c r="F20317" s="1">
        <v>3.11934618503961E-5</v>
      </c>
    </row>
    <row r="20318" spans="1:6" x14ac:dyDescent="0.25">
      <c r="A20318" s="2" t="str">
        <f t="shared" si="712"/>
        <v>21900</v>
      </c>
      <c r="B20318" s="2" t="str">
        <f>"26587"</f>
        <v>26587</v>
      </c>
      <c r="C20318" s="1">
        <v>3.10816411106506E-3</v>
      </c>
      <c r="D20318" s="1">
        <v>0</v>
      </c>
      <c r="E20318" s="1">
        <v>1.36425648021828E-3</v>
      </c>
      <c r="F20318" s="1">
        <v>2.8386050283860501E-3</v>
      </c>
    </row>
    <row r="20319" spans="1:6" x14ac:dyDescent="0.25">
      <c r="A20319" s="2" t="str">
        <f t="shared" si="712"/>
        <v>21900</v>
      </c>
      <c r="B20319" s="2" t="str">
        <f>"26585"</f>
        <v>26585</v>
      </c>
      <c r="C20319" s="1">
        <v>7.1487774554496401E-3</v>
      </c>
      <c r="D20319" s="1">
        <v>8.4423807513718801E-4</v>
      </c>
      <c r="E20319" s="1">
        <v>0</v>
      </c>
      <c r="F20319" s="1">
        <v>6.51943352673279E-3</v>
      </c>
    </row>
    <row r="20320" spans="1:6" x14ac:dyDescent="0.25">
      <c r="A20320" s="2" t="str">
        <f t="shared" si="712"/>
        <v>21900</v>
      </c>
      <c r="B20320" s="2" t="str">
        <f>"26448"</f>
        <v>26448</v>
      </c>
      <c r="C20320" s="1">
        <v>6.9070313579223605E-4</v>
      </c>
      <c r="D20320" s="1">
        <v>4.22119037568594E-4</v>
      </c>
      <c r="E20320" s="1">
        <v>0</v>
      </c>
      <c r="F20320" s="1">
        <v>6.5506269885831896E-4</v>
      </c>
    </row>
    <row r="20321" spans="1:6" x14ac:dyDescent="0.25">
      <c r="A20321" s="2" t="str">
        <f t="shared" si="712"/>
        <v>21900</v>
      </c>
      <c r="B20321" s="2" t="str">
        <f>"26330"</f>
        <v>26330</v>
      </c>
      <c r="C20321" s="1">
        <v>3.4535156789611798E-5</v>
      </c>
      <c r="D20321" s="1">
        <v>0</v>
      </c>
      <c r="E20321" s="1">
        <v>0</v>
      </c>
      <c r="F20321" s="1">
        <v>3.11934618503961E-5</v>
      </c>
    </row>
    <row r="20322" spans="1:6" x14ac:dyDescent="0.25">
      <c r="A20322" s="2" t="str">
        <f t="shared" si="712"/>
        <v>21900</v>
      </c>
      <c r="B20322" s="2" t="str">
        <f>"26508"</f>
        <v>26508</v>
      </c>
      <c r="C20322" s="1">
        <v>1.03605470368835E-4</v>
      </c>
      <c r="D20322" s="1">
        <v>0</v>
      </c>
      <c r="E20322" s="1">
        <v>0</v>
      </c>
      <c r="F20322" s="1">
        <v>9.3580385551188396E-5</v>
      </c>
    </row>
    <row r="20323" spans="1:6" x14ac:dyDescent="0.25">
      <c r="A20323" s="2" t="str">
        <f t="shared" si="712"/>
        <v>21900</v>
      </c>
      <c r="B20323" s="2" t="str">
        <f>"26574"</f>
        <v>26574</v>
      </c>
      <c r="C20323" s="1">
        <v>0</v>
      </c>
      <c r="D20323" s="1">
        <v>0</v>
      </c>
      <c r="E20323" s="1">
        <v>1.36425648021828E-3</v>
      </c>
      <c r="F20323" s="1">
        <v>3.11934618503961E-5</v>
      </c>
    </row>
    <row r="20324" spans="1:6" x14ac:dyDescent="0.25">
      <c r="A20324" s="2" t="str">
        <f t="shared" si="712"/>
        <v>21900</v>
      </c>
      <c r="B20324" s="2" t="str">
        <f>"26572"</f>
        <v>26572</v>
      </c>
      <c r="C20324" s="1">
        <v>0</v>
      </c>
      <c r="D20324" s="1">
        <v>0</v>
      </c>
      <c r="E20324" s="1">
        <v>1.36425648021828E-3</v>
      </c>
      <c r="F20324" s="1">
        <v>3.11934618503961E-5</v>
      </c>
    </row>
    <row r="20325" spans="1:6" x14ac:dyDescent="0.25">
      <c r="A20325" s="2" t="str">
        <f t="shared" si="712"/>
        <v>21900</v>
      </c>
      <c r="B20325" s="2" t="str">
        <f>"26560"</f>
        <v>26560</v>
      </c>
      <c r="C20325" s="1">
        <v>2.7282773863793299E-3</v>
      </c>
      <c r="D20325" s="1">
        <v>8.4423807513718801E-4</v>
      </c>
      <c r="E20325" s="1">
        <v>1.36425648021828E-3</v>
      </c>
      <c r="F20325" s="1">
        <v>2.5578638717324801E-3</v>
      </c>
    </row>
    <row r="20326" spans="1:6" x14ac:dyDescent="0.25">
      <c r="A20326" s="2" t="str">
        <f t="shared" si="712"/>
        <v>21900</v>
      </c>
      <c r="B20326" s="2" t="str">
        <f>"26576"</f>
        <v>26576</v>
      </c>
      <c r="C20326" s="1">
        <v>1.7267578394805901E-4</v>
      </c>
      <c r="D20326" s="1">
        <v>4.22119037568594E-4</v>
      </c>
      <c r="E20326" s="1">
        <v>0</v>
      </c>
      <c r="F20326" s="1">
        <v>1.8716077110237601E-4</v>
      </c>
    </row>
    <row r="20327" spans="1:6" x14ac:dyDescent="0.25">
      <c r="A20327" s="2" t="str">
        <f t="shared" si="712"/>
        <v>21900</v>
      </c>
      <c r="B20327" s="2" t="str">
        <f>"26588"</f>
        <v>26588</v>
      </c>
      <c r="C20327" s="1">
        <v>5.6223235253487998E-2</v>
      </c>
      <c r="D20327" s="1">
        <v>1.8573237653018101E-2</v>
      </c>
      <c r="E20327" s="1">
        <v>6.8212824010914002E-3</v>
      </c>
      <c r="F20327" s="1">
        <v>5.2311435523114298E-2</v>
      </c>
    </row>
    <row r="20328" spans="1:6" x14ac:dyDescent="0.25">
      <c r="A20328" s="2" t="str">
        <f t="shared" si="712"/>
        <v>21900</v>
      </c>
      <c r="B20328" s="2" t="str">
        <f>"26586"</f>
        <v>26586</v>
      </c>
      <c r="C20328" s="1">
        <v>2.4174609752728201E-3</v>
      </c>
      <c r="D20328" s="1">
        <v>0</v>
      </c>
      <c r="E20328" s="1">
        <v>1.36425648021828E-3</v>
      </c>
      <c r="F20328" s="1">
        <v>2.2147357913781199E-3</v>
      </c>
    </row>
    <row r="20329" spans="1:6" x14ac:dyDescent="0.25">
      <c r="A20329" s="2" t="str">
        <f t="shared" si="712"/>
        <v>21900</v>
      </c>
      <c r="B20329" s="2" t="str">
        <f>"26571"</f>
        <v>26571</v>
      </c>
      <c r="C20329" s="1">
        <v>2.62467191601049E-2</v>
      </c>
      <c r="D20329" s="1">
        <v>6.3317855635289097E-3</v>
      </c>
      <c r="E20329" s="1">
        <v>1.36425648021828E-3</v>
      </c>
      <c r="F20329" s="1">
        <v>2.4206126395907399E-2</v>
      </c>
    </row>
    <row r="20330" spans="1:6" x14ac:dyDescent="0.25">
      <c r="A20330" s="2" t="str">
        <f t="shared" si="712"/>
        <v>21900</v>
      </c>
      <c r="B20330" s="2" t="str">
        <f>"26555"</f>
        <v>26555</v>
      </c>
      <c r="C20330" s="1">
        <v>6.5547727586683202E-2</v>
      </c>
      <c r="D20330" s="1">
        <v>0.11397214014352</v>
      </c>
      <c r="E20330" s="1">
        <v>4.0927694406548403E-3</v>
      </c>
      <c r="F20330" s="1">
        <v>6.7721005677209997E-2</v>
      </c>
    </row>
    <row r="20331" spans="1:6" x14ac:dyDescent="0.25">
      <c r="A20331" s="2" t="str">
        <f t="shared" si="712"/>
        <v>21900</v>
      </c>
      <c r="B20331" s="2" t="str">
        <f>"26566"</f>
        <v>26566</v>
      </c>
      <c r="C20331" s="1">
        <v>0</v>
      </c>
      <c r="D20331" s="1">
        <v>4.22119037568594E-4</v>
      </c>
      <c r="E20331" s="1">
        <v>0</v>
      </c>
      <c r="F20331" s="1">
        <v>3.11934618503961E-5</v>
      </c>
    </row>
    <row r="20332" spans="1:6" x14ac:dyDescent="0.25">
      <c r="A20332" s="2" t="str">
        <f t="shared" ref="A20332:A20343" si="713">"40460"</f>
        <v>40460</v>
      </c>
      <c r="B20332" s="2" t="str">
        <f>"27229"</f>
        <v>27229</v>
      </c>
      <c r="C20332" s="1">
        <v>3.5824856258292702E-3</v>
      </c>
      <c r="D20332" s="1">
        <v>1.3882461823229899E-3</v>
      </c>
      <c r="E20332" s="1">
        <v>0</v>
      </c>
      <c r="F20332" s="1">
        <v>3.35959684837819E-3</v>
      </c>
    </row>
    <row r="20333" spans="1:6" x14ac:dyDescent="0.25">
      <c r="A20333" s="2" t="str">
        <f t="shared" si="713"/>
        <v>40460</v>
      </c>
      <c r="B20333" s="2" t="str">
        <f>"28367"</f>
        <v>28367</v>
      </c>
      <c r="C20333" s="1">
        <v>0</v>
      </c>
      <c r="D20333" s="1">
        <v>0</v>
      </c>
      <c r="E20333" s="1">
        <v>4.3103448275861999E-3</v>
      </c>
      <c r="F20333" s="1">
        <v>3.9995200575930802E-5</v>
      </c>
    </row>
    <row r="20334" spans="1:6" x14ac:dyDescent="0.25">
      <c r="A20334" s="2" t="str">
        <f t="shared" si="713"/>
        <v>40460</v>
      </c>
      <c r="B20334" s="2" t="str">
        <f>"28380"</f>
        <v>28380</v>
      </c>
      <c r="C20334" s="1">
        <v>6.2538699690402405E-2</v>
      </c>
      <c r="D20334" s="1">
        <v>0.15687181860249799</v>
      </c>
      <c r="E20334" s="1">
        <v>8.6206896551724102E-3</v>
      </c>
      <c r="F20334" s="1">
        <v>7.0191577010758704E-2</v>
      </c>
    </row>
    <row r="20335" spans="1:6" x14ac:dyDescent="0.25">
      <c r="A20335" s="2" t="str">
        <f t="shared" si="713"/>
        <v>40460</v>
      </c>
      <c r="B20335" s="2" t="str">
        <f>"28345"</f>
        <v>28345</v>
      </c>
      <c r="C20335" s="1">
        <v>0.26470588235294101</v>
      </c>
      <c r="D20335" s="1">
        <v>0.20268394261915701</v>
      </c>
      <c r="E20335" s="1">
        <v>0.193965517241379</v>
      </c>
      <c r="F20335" s="1">
        <v>0.25868895732511998</v>
      </c>
    </row>
    <row r="20336" spans="1:6" x14ac:dyDescent="0.25">
      <c r="A20336" s="2" t="str">
        <f t="shared" si="713"/>
        <v>40460</v>
      </c>
      <c r="B20336" s="2" t="str">
        <f>"27281"</f>
        <v>27281</v>
      </c>
      <c r="C20336" s="1">
        <v>3.31711632021229E-3</v>
      </c>
      <c r="D20336" s="1">
        <v>2.3137436372049902E-3</v>
      </c>
      <c r="E20336" s="1">
        <v>0</v>
      </c>
      <c r="F20336" s="1">
        <v>3.1996160460744699E-3</v>
      </c>
    </row>
    <row r="20337" spans="1:6" x14ac:dyDescent="0.25">
      <c r="A20337" s="2" t="str">
        <f t="shared" si="713"/>
        <v>40460</v>
      </c>
      <c r="B20337" s="2" t="str">
        <f>"28338"</f>
        <v>28338</v>
      </c>
      <c r="C20337" s="1">
        <v>7.3109243697478898E-2</v>
      </c>
      <c r="D20337" s="1">
        <v>1.8047200370198899E-2</v>
      </c>
      <c r="E20337" s="1">
        <v>0</v>
      </c>
      <c r="F20337" s="1">
        <v>6.7671879374474997E-2</v>
      </c>
    </row>
    <row r="20338" spans="1:6" x14ac:dyDescent="0.25">
      <c r="A20338" s="2" t="str">
        <f t="shared" si="713"/>
        <v>40460</v>
      </c>
      <c r="B20338" s="2" t="str">
        <f>"28379"</f>
        <v>28379</v>
      </c>
      <c r="C20338" s="1">
        <v>0.55241043785935395</v>
      </c>
      <c r="D20338" s="1">
        <v>0.60203609440074002</v>
      </c>
      <c r="E20338" s="1">
        <v>0.78879310344827502</v>
      </c>
      <c r="F20338" s="1">
        <v>0.55889293284805797</v>
      </c>
    </row>
    <row r="20339" spans="1:6" x14ac:dyDescent="0.25">
      <c r="A20339" s="2" t="str">
        <f t="shared" si="713"/>
        <v>40460</v>
      </c>
      <c r="B20339" s="2" t="str">
        <f>"28330"</f>
        <v>28330</v>
      </c>
      <c r="C20339" s="1">
        <v>0</v>
      </c>
      <c r="D20339" s="1">
        <v>0</v>
      </c>
      <c r="E20339" s="1">
        <v>4.3103448275861999E-3</v>
      </c>
      <c r="F20339" s="1">
        <v>3.9995200575930802E-5</v>
      </c>
    </row>
    <row r="20340" spans="1:6" x14ac:dyDescent="0.25">
      <c r="A20340" s="2" t="str">
        <f t="shared" si="713"/>
        <v>40460</v>
      </c>
      <c r="B20340" s="2" t="str">
        <f>"28347"</f>
        <v>28347</v>
      </c>
      <c r="C20340" s="1">
        <v>1.79566563467492E-2</v>
      </c>
      <c r="D20340" s="1">
        <v>9.7177232762609908E-3</v>
      </c>
      <c r="E20340" s="1">
        <v>0</v>
      </c>
      <c r="F20340" s="1">
        <v>1.70779506459224E-2</v>
      </c>
    </row>
    <row r="20341" spans="1:6" x14ac:dyDescent="0.25">
      <c r="A20341" s="2" t="str">
        <f t="shared" si="713"/>
        <v>40460</v>
      </c>
      <c r="B20341" s="2" t="str">
        <f>"28363"</f>
        <v>28363</v>
      </c>
      <c r="C20341" s="1">
        <v>9.5090667846085795E-3</v>
      </c>
      <c r="D20341" s="1">
        <v>4.1647385469689904E-3</v>
      </c>
      <c r="E20341" s="1">
        <v>0</v>
      </c>
      <c r="F20341" s="1">
        <v>8.9589249290085108E-3</v>
      </c>
    </row>
    <row r="20342" spans="1:6" x14ac:dyDescent="0.25">
      <c r="A20342" s="2" t="str">
        <f t="shared" si="713"/>
        <v>40460</v>
      </c>
      <c r="B20342" s="2" t="str">
        <f>"28351"</f>
        <v>28351</v>
      </c>
      <c r="C20342" s="1">
        <v>2.9190623617868102E-3</v>
      </c>
      <c r="D20342" s="1">
        <v>0</v>
      </c>
      <c r="E20342" s="1">
        <v>0</v>
      </c>
      <c r="F20342" s="1">
        <v>2.6396832380114299E-3</v>
      </c>
    </row>
    <row r="20343" spans="1:6" x14ac:dyDescent="0.25">
      <c r="A20343" s="2" t="str">
        <f t="shared" si="713"/>
        <v>40460</v>
      </c>
      <c r="B20343" s="2" t="str">
        <f>"27306"</f>
        <v>27306</v>
      </c>
      <c r="C20343" s="1">
        <v>9.9513489606368796E-3</v>
      </c>
      <c r="D20343" s="1">
        <v>2.7764923646459898E-3</v>
      </c>
      <c r="E20343" s="1">
        <v>0</v>
      </c>
      <c r="F20343" s="1">
        <v>9.2388913330400304E-3</v>
      </c>
    </row>
    <row r="20344" spans="1:6" x14ac:dyDescent="0.25">
      <c r="A20344" s="2" t="str">
        <f t="shared" ref="A20344:A20366" si="714">"24780"</f>
        <v>24780</v>
      </c>
      <c r="B20344" s="2" t="str">
        <f>"27828"</f>
        <v>27828</v>
      </c>
      <c r="C20344" s="1">
        <v>4.2222562442587798E-2</v>
      </c>
      <c r="D20344" s="1">
        <v>5.2228602679792097E-2</v>
      </c>
      <c r="E20344" s="1">
        <v>2.3503550896178501E-2</v>
      </c>
      <c r="F20344" s="1">
        <v>4.1864108835218503E-2</v>
      </c>
    </row>
    <row r="20345" spans="1:6" x14ac:dyDescent="0.25">
      <c r="A20345" s="2" t="str">
        <f t="shared" si="714"/>
        <v>24780</v>
      </c>
      <c r="B20345" s="2" t="str">
        <f>"27886"</f>
        <v>27886</v>
      </c>
      <c r="C20345" s="1">
        <v>1.1263724246533299E-3</v>
      </c>
      <c r="D20345" s="1">
        <v>2.7344818156959202E-4</v>
      </c>
      <c r="E20345" s="1">
        <v>0</v>
      </c>
      <c r="F20345" s="1">
        <v>1.0031335982879799E-3</v>
      </c>
    </row>
    <row r="20346" spans="1:6" x14ac:dyDescent="0.25">
      <c r="A20346" s="2" t="str">
        <f t="shared" si="714"/>
        <v>24780</v>
      </c>
      <c r="B20346" s="2" t="str">
        <f>"27884"</f>
        <v>27884</v>
      </c>
      <c r="C20346" s="1">
        <v>5.9489961069069501E-3</v>
      </c>
      <c r="D20346" s="1">
        <v>1.23051681706316E-3</v>
      </c>
      <c r="E20346" s="1">
        <v>0</v>
      </c>
      <c r="F20346" s="1">
        <v>5.2831702843167197E-3</v>
      </c>
    </row>
    <row r="20347" spans="1:6" x14ac:dyDescent="0.25">
      <c r="A20347" s="2" t="str">
        <f t="shared" si="714"/>
        <v>24780</v>
      </c>
      <c r="B20347" s="2" t="str">
        <f>"27836"</f>
        <v>27836</v>
      </c>
      <c r="C20347" s="1">
        <v>1.3953895280171401E-2</v>
      </c>
      <c r="D20347" s="1">
        <v>4.3614984960350003E-2</v>
      </c>
      <c r="E20347" s="1">
        <v>1.6909029421711101E-4</v>
      </c>
      <c r="F20347" s="1">
        <v>1.5247630693977301E-2</v>
      </c>
    </row>
    <row r="20348" spans="1:6" x14ac:dyDescent="0.25">
      <c r="A20348" s="2" t="str">
        <f t="shared" si="714"/>
        <v>24780</v>
      </c>
      <c r="B20348" s="2" t="str">
        <f>"27837"</f>
        <v>27837</v>
      </c>
      <c r="C20348" s="1">
        <v>2.6048729276934499E-2</v>
      </c>
      <c r="D20348" s="1">
        <v>3.2813781788351101E-3</v>
      </c>
      <c r="E20348" s="1">
        <v>8.4545147108555901E-4</v>
      </c>
      <c r="F20348" s="1">
        <v>2.30338581473555E-2</v>
      </c>
    </row>
    <row r="20349" spans="1:6" x14ac:dyDescent="0.25">
      <c r="A20349" s="2" t="str">
        <f t="shared" si="714"/>
        <v>24780</v>
      </c>
      <c r="B20349" s="2" t="str">
        <f>"28513"</f>
        <v>28513</v>
      </c>
      <c r="C20349" s="1">
        <v>5.0544595599492502E-2</v>
      </c>
      <c r="D20349" s="1">
        <v>3.9376538146021302E-2</v>
      </c>
      <c r="E20349" s="1">
        <v>1.6739939127494E-2</v>
      </c>
      <c r="F20349" s="1">
        <v>4.7854249464995398E-2</v>
      </c>
    </row>
    <row r="20350" spans="1:6" x14ac:dyDescent="0.25">
      <c r="A20350" s="2" t="str">
        <f t="shared" si="714"/>
        <v>24780</v>
      </c>
      <c r="B20350" s="2" t="str">
        <f>"27871"</f>
        <v>27871</v>
      </c>
      <c r="C20350" s="1">
        <v>2.6573640698132101E-3</v>
      </c>
      <c r="D20350" s="1">
        <v>8.2034454470877698E-4</v>
      </c>
      <c r="E20350" s="1">
        <v>0</v>
      </c>
      <c r="F20350" s="1">
        <v>2.3788596759400701E-3</v>
      </c>
    </row>
    <row r="20351" spans="1:6" x14ac:dyDescent="0.25">
      <c r="A20351" s="2" t="str">
        <f t="shared" si="714"/>
        <v>24780</v>
      </c>
      <c r="B20351" s="2" t="str">
        <f>"27879"</f>
        <v>27879</v>
      </c>
      <c r="C20351" s="1">
        <v>3.4666025108262902E-3</v>
      </c>
      <c r="D20351" s="1">
        <v>6.0158599945310297E-3</v>
      </c>
      <c r="E20351" s="1">
        <v>3.38180588434223E-4</v>
      </c>
      <c r="F20351" s="1">
        <v>3.46797615408132E-3</v>
      </c>
    </row>
    <row r="20352" spans="1:6" x14ac:dyDescent="0.25">
      <c r="A20352" s="2" t="str">
        <f t="shared" si="714"/>
        <v>24780</v>
      </c>
      <c r="B20352" s="2" t="str">
        <f>"27834"</f>
        <v>27834</v>
      </c>
      <c r="C20352" s="1">
        <v>0.30729189449280397</v>
      </c>
      <c r="D20352" s="1">
        <v>0.33811867651080102</v>
      </c>
      <c r="E20352" s="1">
        <v>0.41393304024348998</v>
      </c>
      <c r="F20352" s="1">
        <v>0.31547118618159498</v>
      </c>
    </row>
    <row r="20353" spans="1:6" x14ac:dyDescent="0.25">
      <c r="A20353" s="2" t="str">
        <f t="shared" si="714"/>
        <v>24780</v>
      </c>
      <c r="B20353" s="2" t="str">
        <f>"27889"</f>
        <v>27889</v>
      </c>
      <c r="C20353" s="1">
        <v>9.1531429071344192E-3</v>
      </c>
      <c r="D20353" s="1">
        <v>1.23051681706316E-3</v>
      </c>
      <c r="E20353" s="1">
        <v>0</v>
      </c>
      <c r="F20353" s="1">
        <v>8.0823907062060503E-3</v>
      </c>
    </row>
    <row r="20354" spans="1:6" x14ac:dyDescent="0.25">
      <c r="A20354" s="2" t="str">
        <f t="shared" si="714"/>
        <v>24780</v>
      </c>
      <c r="B20354" s="2" t="str">
        <f>"27817"</f>
        <v>27817</v>
      </c>
      <c r="C20354" s="1">
        <v>7.6549582257993897E-5</v>
      </c>
      <c r="D20354" s="1">
        <v>0</v>
      </c>
      <c r="E20354" s="1">
        <v>0</v>
      </c>
      <c r="F20354" s="1">
        <v>6.6875573219198994E-5</v>
      </c>
    </row>
    <row r="20355" spans="1:6" x14ac:dyDescent="0.25">
      <c r="A20355" s="2" t="str">
        <f t="shared" si="714"/>
        <v>24780</v>
      </c>
      <c r="B20355" s="2" t="str">
        <f>"28586"</f>
        <v>28586</v>
      </c>
      <c r="C20355" s="1">
        <v>1.1263724246533299E-3</v>
      </c>
      <c r="D20355" s="1">
        <v>2.7344818156959202E-4</v>
      </c>
      <c r="E20355" s="1">
        <v>0</v>
      </c>
      <c r="F20355" s="1">
        <v>1.0031335982879799E-3</v>
      </c>
    </row>
    <row r="20356" spans="1:6" x14ac:dyDescent="0.25">
      <c r="A20356" s="2" t="str">
        <f t="shared" si="714"/>
        <v>24780</v>
      </c>
      <c r="B20356" s="2" t="str">
        <f>"28590"</f>
        <v>28590</v>
      </c>
      <c r="C20356" s="1">
        <v>0.154389571759765</v>
      </c>
      <c r="D20356" s="1">
        <v>0.10377358490565999</v>
      </c>
      <c r="E20356" s="1">
        <v>8.9956036523503494E-2</v>
      </c>
      <c r="F20356" s="1">
        <v>0.14721224396209101</v>
      </c>
    </row>
    <row r="20357" spans="1:6" x14ac:dyDescent="0.25">
      <c r="A20357" s="2" t="str">
        <f t="shared" si="714"/>
        <v>24780</v>
      </c>
      <c r="B20357" s="2" t="str">
        <f>"27858"</f>
        <v>27858</v>
      </c>
      <c r="C20357" s="1">
        <v>0.32301736581951701</v>
      </c>
      <c r="D20357" s="1">
        <v>0.286847142466502</v>
      </c>
      <c r="E20357" s="1">
        <v>0.44707473791004299</v>
      </c>
      <c r="F20357" s="1">
        <v>0.32749923570773398</v>
      </c>
    </row>
    <row r="20358" spans="1:6" x14ac:dyDescent="0.25">
      <c r="A20358" s="2" t="str">
        <f t="shared" si="714"/>
        <v>24780</v>
      </c>
      <c r="B20358" s="2" t="str">
        <f>"27827"</f>
        <v>27827</v>
      </c>
      <c r="C20358" s="1">
        <v>0</v>
      </c>
      <c r="D20358" s="1">
        <v>1.3672409078479601E-4</v>
      </c>
      <c r="E20358" s="1">
        <v>0</v>
      </c>
      <c r="F20358" s="1">
        <v>9.5536533170284295E-6</v>
      </c>
    </row>
    <row r="20359" spans="1:6" x14ac:dyDescent="0.25">
      <c r="A20359" s="2" t="str">
        <f t="shared" si="714"/>
        <v>24780</v>
      </c>
      <c r="B20359" s="2" t="str">
        <f>"27833"</f>
        <v>27833</v>
      </c>
      <c r="C20359" s="1">
        <v>6.9878832946940203E-3</v>
      </c>
      <c r="D20359" s="1">
        <v>2.9122231337161599E-2</v>
      </c>
      <c r="E20359" s="1">
        <v>1.6909029421711101E-4</v>
      </c>
      <c r="F20359" s="1">
        <v>8.1492662794252508E-3</v>
      </c>
    </row>
    <row r="20360" spans="1:6" x14ac:dyDescent="0.25">
      <c r="A20360" s="2" t="str">
        <f t="shared" si="714"/>
        <v>24780</v>
      </c>
      <c r="B20360" s="2" t="str">
        <f>"27852"</f>
        <v>27852</v>
      </c>
      <c r="C20360" s="1">
        <v>4.46174708018021E-3</v>
      </c>
      <c r="D20360" s="1">
        <v>6.8362045392398099E-4</v>
      </c>
      <c r="E20360" s="1">
        <v>0</v>
      </c>
      <c r="F20360" s="1">
        <v>3.9456588199327401E-3</v>
      </c>
    </row>
    <row r="20361" spans="1:6" x14ac:dyDescent="0.25">
      <c r="A20361" s="2" t="str">
        <f t="shared" si="714"/>
        <v>24780</v>
      </c>
      <c r="B20361" s="2" t="str">
        <f>"27811"</f>
        <v>27811</v>
      </c>
      <c r="C20361" s="1">
        <v>0</v>
      </c>
      <c r="D20361" s="1">
        <v>1.3672409078479601E-4</v>
      </c>
      <c r="E20361" s="1">
        <v>0</v>
      </c>
      <c r="F20361" s="1">
        <v>9.5536533170284295E-6</v>
      </c>
    </row>
    <row r="20362" spans="1:6" x14ac:dyDescent="0.25">
      <c r="A20362" s="2" t="str">
        <f t="shared" si="714"/>
        <v>24780</v>
      </c>
      <c r="B20362" s="2" t="str">
        <f>"28530"</f>
        <v>28530</v>
      </c>
      <c r="C20362" s="1">
        <v>1.73658195179563E-2</v>
      </c>
      <c r="D20362" s="1">
        <v>6.4260322668854199E-3</v>
      </c>
      <c r="E20362" s="1">
        <v>3.55089617855935E-3</v>
      </c>
      <c r="F20362" s="1">
        <v>1.5820849892998999E-2</v>
      </c>
    </row>
    <row r="20363" spans="1:6" x14ac:dyDescent="0.25">
      <c r="A20363" s="2" t="str">
        <f t="shared" si="714"/>
        <v>24780</v>
      </c>
      <c r="B20363" s="2" t="str">
        <f>"27835"</f>
        <v>27835</v>
      </c>
      <c r="C20363" s="1">
        <v>1.62285114386947E-2</v>
      </c>
      <c r="D20363" s="1">
        <v>7.9026524473612206E-2</v>
      </c>
      <c r="E20363" s="1">
        <v>1.6909029421711101E-4</v>
      </c>
      <c r="F20363" s="1">
        <v>1.97091867930296E-2</v>
      </c>
    </row>
    <row r="20364" spans="1:6" x14ac:dyDescent="0.25">
      <c r="A20364" s="2" t="str">
        <f t="shared" si="714"/>
        <v>24780</v>
      </c>
      <c r="B20364" s="2" t="str">
        <f>"27829"</f>
        <v>27829</v>
      </c>
      <c r="C20364" s="1">
        <v>5.3037924850181497E-3</v>
      </c>
      <c r="D20364" s="1">
        <v>2.18758545255674E-3</v>
      </c>
      <c r="E20364" s="1">
        <v>0</v>
      </c>
      <c r="F20364" s="1">
        <v>4.7863803118312403E-3</v>
      </c>
    </row>
    <row r="20365" spans="1:6" x14ac:dyDescent="0.25">
      <c r="A20365" s="2" t="str">
        <f t="shared" si="714"/>
        <v>24780</v>
      </c>
      <c r="B20365" s="2" t="str">
        <f>"27888"</f>
        <v>27888</v>
      </c>
      <c r="C20365" s="1">
        <v>9.0765933248764202E-4</v>
      </c>
      <c r="D20365" s="1">
        <v>2.7344818156959202E-4</v>
      </c>
      <c r="E20365" s="1">
        <v>0</v>
      </c>
      <c r="F20365" s="1">
        <v>8.1206053194741599E-4</v>
      </c>
    </row>
    <row r="20366" spans="1:6" x14ac:dyDescent="0.25">
      <c r="A20366" s="2" t="str">
        <f t="shared" si="714"/>
        <v>24780</v>
      </c>
      <c r="B20366" s="2" t="str">
        <f>"27812"</f>
        <v>27812</v>
      </c>
      <c r="C20366" s="1">
        <v>7.7205721534491E-3</v>
      </c>
      <c r="D20366" s="1">
        <v>4.9220672682526601E-3</v>
      </c>
      <c r="E20366" s="1">
        <v>3.55089617855935E-3</v>
      </c>
      <c r="F20366" s="1">
        <v>7.2894374808926904E-3</v>
      </c>
    </row>
    <row r="20367" spans="1:6" x14ac:dyDescent="0.25">
      <c r="A20367" s="2" t="str">
        <f t="shared" ref="A20367:A20391" si="715">"40260"</f>
        <v>40260</v>
      </c>
      <c r="B20367" s="2" t="str">
        <f>"27877"</f>
        <v>27877</v>
      </c>
      <c r="C20367" s="1">
        <v>0</v>
      </c>
      <c r="D20367" s="1">
        <v>3.8595137012736299E-4</v>
      </c>
      <c r="E20367" s="1">
        <v>0</v>
      </c>
      <c r="F20367" s="1">
        <v>2.5321584118302399E-5</v>
      </c>
    </row>
    <row r="20368" spans="1:6" x14ac:dyDescent="0.25">
      <c r="A20368" s="2" t="str">
        <f t="shared" si="715"/>
        <v>40260</v>
      </c>
      <c r="B20368" s="2" t="str">
        <f>"27820"</f>
        <v>27820</v>
      </c>
      <c r="C20368" s="1">
        <v>3.2920792079207901E-2</v>
      </c>
      <c r="D20368" s="1">
        <v>5.0173678116557296E-3</v>
      </c>
      <c r="E20368" s="1">
        <v>2.2181146025878E-2</v>
      </c>
      <c r="F20368" s="1">
        <v>3.09429757925655E-2</v>
      </c>
    </row>
    <row r="20369" spans="1:6" x14ac:dyDescent="0.25">
      <c r="A20369" s="2" t="str">
        <f t="shared" si="715"/>
        <v>40260</v>
      </c>
      <c r="B20369" s="2" t="str">
        <f>"27867"</f>
        <v>27867</v>
      </c>
      <c r="C20369" s="1">
        <v>0</v>
      </c>
      <c r="D20369" s="1">
        <v>3.8595137012736299E-4</v>
      </c>
      <c r="E20369" s="1">
        <v>0</v>
      </c>
      <c r="F20369" s="1">
        <v>2.5321584118302399E-5</v>
      </c>
    </row>
    <row r="20370" spans="1:6" x14ac:dyDescent="0.25">
      <c r="A20370" s="2" t="str">
        <f t="shared" si="715"/>
        <v>40260</v>
      </c>
      <c r="B20370" s="2" t="str">
        <f>"27876"</f>
        <v>27876</v>
      </c>
      <c r="C20370" s="1">
        <v>1.33388338833883E-2</v>
      </c>
      <c r="D20370" s="1">
        <v>3.08761096101891E-3</v>
      </c>
      <c r="E20370" s="1">
        <v>0</v>
      </c>
      <c r="F20370" s="1">
        <v>1.2483540970323099E-2</v>
      </c>
    </row>
    <row r="20371" spans="1:6" x14ac:dyDescent="0.25">
      <c r="A20371" s="2" t="str">
        <f t="shared" si="715"/>
        <v>40260</v>
      </c>
      <c r="B20371" s="2" t="str">
        <f>"27869"</f>
        <v>27869</v>
      </c>
      <c r="C20371" s="1">
        <v>2.0709570957095701E-2</v>
      </c>
      <c r="D20371" s="1">
        <v>5.7892705519104496E-3</v>
      </c>
      <c r="E20371" s="1">
        <v>5.5452865064695E-3</v>
      </c>
      <c r="F20371" s="1">
        <v>1.9522941355211099E-2</v>
      </c>
    </row>
    <row r="20372" spans="1:6" x14ac:dyDescent="0.25">
      <c r="A20372" s="2" t="str">
        <f t="shared" si="715"/>
        <v>40260</v>
      </c>
      <c r="B20372" s="2" t="str">
        <f>"27862"</f>
        <v>27862</v>
      </c>
      <c r="C20372" s="1">
        <v>8.6083608360836006E-3</v>
      </c>
      <c r="D20372" s="1">
        <v>3.08761096101891E-3</v>
      </c>
      <c r="E20372" s="1">
        <v>0</v>
      </c>
      <c r="F20372" s="1">
        <v>8.1282285019750808E-3</v>
      </c>
    </row>
    <row r="20373" spans="1:6" x14ac:dyDescent="0.25">
      <c r="A20373" s="2" t="str">
        <f t="shared" si="715"/>
        <v>40260</v>
      </c>
      <c r="B20373" s="2" t="str">
        <f>"27850"</f>
        <v>27850</v>
      </c>
      <c r="C20373" s="1">
        <v>6.6996699669966894E-2</v>
      </c>
      <c r="D20373" s="1">
        <v>1.3122346584330299E-2</v>
      </c>
      <c r="E20373" s="1">
        <v>1.1090573012939E-2</v>
      </c>
      <c r="F20373" s="1">
        <v>6.2696242276916794E-2</v>
      </c>
    </row>
    <row r="20374" spans="1:6" x14ac:dyDescent="0.25">
      <c r="A20374" s="2" t="str">
        <f t="shared" si="715"/>
        <v>40260</v>
      </c>
      <c r="B20374" s="2" t="str">
        <f>"27845"</f>
        <v>27845</v>
      </c>
      <c r="C20374" s="1">
        <v>2.1012101210120999E-2</v>
      </c>
      <c r="D20374" s="1">
        <v>2.3543033577769198E-2</v>
      </c>
      <c r="E20374" s="1">
        <v>2.0332717190388101E-2</v>
      </c>
      <c r="F20374" s="1">
        <v>2.1168844322900799E-2</v>
      </c>
    </row>
    <row r="20375" spans="1:6" x14ac:dyDescent="0.25">
      <c r="A20375" s="2" t="str">
        <f t="shared" si="715"/>
        <v>40260</v>
      </c>
      <c r="B20375" s="2" t="str">
        <f>"27843"</f>
        <v>27843</v>
      </c>
      <c r="C20375" s="1">
        <v>7.0957095709570902E-3</v>
      </c>
      <c r="D20375" s="1">
        <v>2.31570822076418E-3</v>
      </c>
      <c r="E20375" s="1">
        <v>0</v>
      </c>
      <c r="F20375" s="1">
        <v>6.6848982072318401E-3</v>
      </c>
    </row>
    <row r="20376" spans="1:6" x14ac:dyDescent="0.25">
      <c r="A20376" s="2" t="str">
        <f t="shared" si="715"/>
        <v>40260</v>
      </c>
      <c r="B20376" s="2" t="str">
        <f>"27823"</f>
        <v>27823</v>
      </c>
      <c r="C20376" s="1">
        <v>0.10327282728272801</v>
      </c>
      <c r="D20376" s="1">
        <v>8.1435739096873697E-2</v>
      </c>
      <c r="E20376" s="1">
        <v>5.5452865064695003E-2</v>
      </c>
      <c r="F20376" s="1">
        <v>0.101185050136736</v>
      </c>
    </row>
    <row r="20377" spans="1:6" x14ac:dyDescent="0.25">
      <c r="A20377" s="2" t="str">
        <f t="shared" si="715"/>
        <v>40260</v>
      </c>
      <c r="B20377" s="2" t="str">
        <f>"27887"</f>
        <v>27887</v>
      </c>
      <c r="C20377" s="1">
        <v>0</v>
      </c>
      <c r="D20377" s="1">
        <v>3.8595137012736299E-4</v>
      </c>
      <c r="E20377" s="1">
        <v>0</v>
      </c>
      <c r="F20377" s="1">
        <v>2.5321584118302399E-5</v>
      </c>
    </row>
    <row r="20378" spans="1:6" x14ac:dyDescent="0.25">
      <c r="A20378" s="2" t="str">
        <f t="shared" si="715"/>
        <v>40260</v>
      </c>
      <c r="B20378" s="2" t="str">
        <f>"27805"</f>
        <v>27805</v>
      </c>
      <c r="C20378" s="1">
        <v>2.7502750275027499E-5</v>
      </c>
      <c r="D20378" s="1">
        <v>0</v>
      </c>
      <c r="E20378" s="1">
        <v>0</v>
      </c>
      <c r="F20378" s="1">
        <v>2.5321584118302399E-5</v>
      </c>
    </row>
    <row r="20379" spans="1:6" x14ac:dyDescent="0.25">
      <c r="A20379" s="2" t="str">
        <f t="shared" si="715"/>
        <v>40260</v>
      </c>
      <c r="B20379" s="2" t="str">
        <f>"27874"</f>
        <v>27874</v>
      </c>
      <c r="C20379" s="1">
        <v>6.4493949394939395E-2</v>
      </c>
      <c r="D20379" s="1">
        <v>7.8734079505982199E-2</v>
      </c>
      <c r="E20379" s="1">
        <v>2.2181146025878E-2</v>
      </c>
      <c r="F20379" s="1">
        <v>6.4848576926972504E-2</v>
      </c>
    </row>
    <row r="20380" spans="1:6" x14ac:dyDescent="0.25">
      <c r="A20380" s="2" t="str">
        <f t="shared" si="715"/>
        <v>40260</v>
      </c>
      <c r="B20380" s="2" t="str">
        <f>"27831"</f>
        <v>27831</v>
      </c>
      <c r="C20380" s="1">
        <v>4.8734873487348701E-2</v>
      </c>
      <c r="D20380" s="1">
        <v>1.9297568506368101E-2</v>
      </c>
      <c r="E20380" s="1">
        <v>3.6968576709796599E-3</v>
      </c>
      <c r="F20380" s="1">
        <v>4.6186569431783599E-2</v>
      </c>
    </row>
    <row r="20381" spans="1:6" x14ac:dyDescent="0.25">
      <c r="A20381" s="2" t="str">
        <f t="shared" si="715"/>
        <v>40260</v>
      </c>
      <c r="B20381" s="2" t="str">
        <f>"27870"</f>
        <v>27870</v>
      </c>
      <c r="C20381" s="1">
        <v>0.39042904290428998</v>
      </c>
      <c r="D20381" s="1">
        <v>0.57352373600926199</v>
      </c>
      <c r="E20381" s="1">
        <v>0.30683918669131199</v>
      </c>
      <c r="F20381" s="1">
        <v>0.40129646510685701</v>
      </c>
    </row>
    <row r="20382" spans="1:6" x14ac:dyDescent="0.25">
      <c r="A20382" s="2" t="str">
        <f t="shared" si="715"/>
        <v>40260</v>
      </c>
      <c r="B20382" s="2" t="str">
        <f>"27855"</f>
        <v>27855</v>
      </c>
      <c r="C20382" s="1">
        <v>5.3080308030803002E-3</v>
      </c>
      <c r="D20382" s="1">
        <v>6.9471246622925496E-3</v>
      </c>
      <c r="E20382" s="1">
        <v>0</v>
      </c>
      <c r="F20382" s="1">
        <v>5.3428542489618097E-3</v>
      </c>
    </row>
    <row r="20383" spans="1:6" x14ac:dyDescent="0.25">
      <c r="A20383" s="2" t="str">
        <f t="shared" si="715"/>
        <v>40260</v>
      </c>
      <c r="B20383" s="2" t="str">
        <f>"27839"</f>
        <v>27839</v>
      </c>
      <c r="C20383" s="1">
        <v>3.2948294829482902E-2</v>
      </c>
      <c r="D20383" s="1">
        <v>3.01042068699343E-2</v>
      </c>
      <c r="E20383" s="1">
        <v>0.41035120147874299</v>
      </c>
      <c r="F20383" s="1">
        <v>3.7931733009216997E-2</v>
      </c>
    </row>
    <row r="20384" spans="1:6" x14ac:dyDescent="0.25">
      <c r="A20384" s="2" t="str">
        <f t="shared" si="715"/>
        <v>40260</v>
      </c>
      <c r="B20384" s="2" t="str">
        <f>"27866"</f>
        <v>27866</v>
      </c>
      <c r="C20384" s="1">
        <v>1.0038503850384999E-2</v>
      </c>
      <c r="D20384" s="1">
        <v>5.7892705519104496E-3</v>
      </c>
      <c r="E20384" s="1">
        <v>0</v>
      </c>
      <c r="F20384" s="1">
        <v>9.6222019649549202E-3</v>
      </c>
    </row>
    <row r="20385" spans="1:6" x14ac:dyDescent="0.25">
      <c r="A20385" s="2" t="str">
        <f t="shared" si="715"/>
        <v>40260</v>
      </c>
      <c r="B20385" s="2" t="str">
        <f>"27853"</f>
        <v>27853</v>
      </c>
      <c r="C20385" s="1">
        <v>7.3982398239823902E-3</v>
      </c>
      <c r="D20385" s="1">
        <v>2.31570822076418E-3</v>
      </c>
      <c r="E20385" s="1">
        <v>0</v>
      </c>
      <c r="F20385" s="1">
        <v>6.9634356325331704E-3</v>
      </c>
    </row>
    <row r="20386" spans="1:6" x14ac:dyDescent="0.25">
      <c r="A20386" s="2" t="str">
        <f t="shared" si="715"/>
        <v>40260</v>
      </c>
      <c r="B20386" s="2" t="str">
        <f>"27842"</f>
        <v>27842</v>
      </c>
      <c r="C20386" s="1">
        <v>3.5176017601760097E-2</v>
      </c>
      <c r="D20386" s="1">
        <v>8.1049787726746401E-3</v>
      </c>
      <c r="E20386" s="1">
        <v>0.10536044362292001</v>
      </c>
      <c r="F20386" s="1">
        <v>3.4361389648536397E-2</v>
      </c>
    </row>
    <row r="20387" spans="1:6" x14ac:dyDescent="0.25">
      <c r="A20387" s="2" t="str">
        <f t="shared" si="715"/>
        <v>40260</v>
      </c>
      <c r="B20387" s="2" t="str">
        <f>"27890"</f>
        <v>27890</v>
      </c>
      <c r="C20387" s="1">
        <v>5.0962596259625903E-2</v>
      </c>
      <c r="D20387" s="1">
        <v>0.101891161713624</v>
      </c>
      <c r="E20387" s="1">
        <v>2.58780036968576E-2</v>
      </c>
      <c r="F20387" s="1">
        <v>5.3960295756102498E-2</v>
      </c>
    </row>
    <row r="20388" spans="1:6" x14ac:dyDescent="0.25">
      <c r="A20388" s="2" t="str">
        <f t="shared" si="715"/>
        <v>40260</v>
      </c>
      <c r="B20388" s="2" t="str">
        <f>"27844"</f>
        <v>27844</v>
      </c>
      <c r="C20388" s="1">
        <v>3.1985698569856898E-2</v>
      </c>
      <c r="D20388" s="1">
        <v>1.0806638363566099E-2</v>
      </c>
      <c r="E20388" s="1">
        <v>0</v>
      </c>
      <c r="F20388" s="1">
        <v>3.0158006684898198E-2</v>
      </c>
    </row>
    <row r="20389" spans="1:6" x14ac:dyDescent="0.25">
      <c r="A20389" s="2" t="str">
        <f t="shared" si="715"/>
        <v>40260</v>
      </c>
      <c r="B20389" s="2" t="str">
        <f>"27897"</f>
        <v>27897</v>
      </c>
      <c r="C20389" s="1">
        <v>1.3531353135313499E-2</v>
      </c>
      <c r="D20389" s="1">
        <v>4.6314164415283601E-3</v>
      </c>
      <c r="E20389" s="1">
        <v>3.6968576709796599E-3</v>
      </c>
      <c r="F20389" s="1">
        <v>1.2812721563861E-2</v>
      </c>
    </row>
    <row r="20390" spans="1:6" x14ac:dyDescent="0.25">
      <c r="A20390" s="2" t="str">
        <f t="shared" si="715"/>
        <v>40260</v>
      </c>
      <c r="B20390" s="2" t="str">
        <f>"27832"</f>
        <v>27832</v>
      </c>
      <c r="C20390" s="1">
        <v>3.31133113311331E-2</v>
      </c>
      <c r="D20390" s="1">
        <v>1.9297568506368101E-2</v>
      </c>
      <c r="E20390" s="1">
        <v>7.3937153419593301E-3</v>
      </c>
      <c r="F20390" s="1">
        <v>3.1854552820824403E-2</v>
      </c>
    </row>
    <row r="20391" spans="1:6" x14ac:dyDescent="0.25">
      <c r="A20391" s="2" t="str">
        <f t="shared" si="715"/>
        <v>40260</v>
      </c>
      <c r="B20391" s="2" t="str">
        <f>"27891"</f>
        <v>27891</v>
      </c>
      <c r="C20391" s="1">
        <v>1.8976897689768899E-3</v>
      </c>
      <c r="D20391" s="1">
        <v>0</v>
      </c>
      <c r="E20391" s="1">
        <v>0</v>
      </c>
      <c r="F20391" s="1">
        <v>1.7471893041628599E-3</v>
      </c>
    </row>
    <row r="20392" spans="1:6" x14ac:dyDescent="0.25">
      <c r="A20392" s="2" t="str">
        <f t="shared" ref="A20392:A20409" si="716">"22580"</f>
        <v>22580</v>
      </c>
      <c r="B20392" s="2" t="str">
        <f>"28752"</f>
        <v>28752</v>
      </c>
      <c r="C20392" s="1">
        <v>8.4193982936686104E-5</v>
      </c>
      <c r="D20392" s="1">
        <v>0</v>
      </c>
      <c r="E20392" s="1">
        <v>0</v>
      </c>
      <c r="F20392" s="1">
        <v>7.57078685711401E-5</v>
      </c>
    </row>
    <row r="20393" spans="1:6" x14ac:dyDescent="0.25">
      <c r="A20393" s="2" t="str">
        <f t="shared" si="716"/>
        <v>22580</v>
      </c>
      <c r="B20393" s="2" t="str">
        <f>"28160"</f>
        <v>28160</v>
      </c>
      <c r="C20393" s="1">
        <v>7.4595868881903907E-2</v>
      </c>
      <c r="D20393" s="1">
        <v>0.15456</v>
      </c>
      <c r="E20393" s="1">
        <v>0.15765247410816999</v>
      </c>
      <c r="F20393" s="1">
        <v>8.2723464392065807E-2</v>
      </c>
    </row>
    <row r="20394" spans="1:6" x14ac:dyDescent="0.25">
      <c r="A20394" s="2" t="str">
        <f t="shared" si="716"/>
        <v>22580</v>
      </c>
      <c r="B20394" s="2" t="str">
        <f>"28114"</f>
        <v>28114</v>
      </c>
      <c r="C20394" s="1">
        <v>5.3603502469690097E-2</v>
      </c>
      <c r="D20394" s="1">
        <v>1.9199999999999998E-2</v>
      </c>
      <c r="E20394" s="1">
        <v>1.7261219792865299E-2</v>
      </c>
      <c r="F20394" s="1">
        <v>5.0093373037904398E-2</v>
      </c>
    </row>
    <row r="20395" spans="1:6" x14ac:dyDescent="0.25">
      <c r="A20395" s="2" t="str">
        <f t="shared" si="716"/>
        <v>22580</v>
      </c>
      <c r="B20395" s="2" t="str">
        <f>"28720"</f>
        <v>28720</v>
      </c>
      <c r="C20395" s="1">
        <v>0</v>
      </c>
      <c r="D20395" s="1">
        <v>0</v>
      </c>
      <c r="E20395" s="1">
        <v>1.15074798619102E-3</v>
      </c>
      <c r="F20395" s="1">
        <v>2.5235956190379999E-5</v>
      </c>
    </row>
    <row r="20396" spans="1:6" x14ac:dyDescent="0.25">
      <c r="A20396" s="2" t="str">
        <f t="shared" si="716"/>
        <v>22580</v>
      </c>
      <c r="B20396" s="2" t="str">
        <f>"28711"</f>
        <v>28711</v>
      </c>
      <c r="C20396" s="1">
        <v>7.5774584643017496E-4</v>
      </c>
      <c r="D20396" s="1">
        <v>3.2000000000000003E-4</v>
      </c>
      <c r="E20396" s="1">
        <v>0</v>
      </c>
      <c r="F20396" s="1">
        <v>7.0660677333064098E-4</v>
      </c>
    </row>
    <row r="20397" spans="1:6" x14ac:dyDescent="0.25">
      <c r="A20397" s="2" t="str">
        <f t="shared" si="716"/>
        <v>22580</v>
      </c>
      <c r="B20397" s="2" t="str">
        <f>"28150"</f>
        <v>28150</v>
      </c>
      <c r="C20397" s="1">
        <v>5.61293219577907E-4</v>
      </c>
      <c r="D20397" s="1">
        <v>3.2000000000000003E-4</v>
      </c>
      <c r="E20397" s="1">
        <v>0</v>
      </c>
      <c r="F20397" s="1">
        <v>5.2995507999798104E-4</v>
      </c>
    </row>
    <row r="20398" spans="1:6" x14ac:dyDescent="0.25">
      <c r="A20398" s="2" t="str">
        <f t="shared" si="716"/>
        <v>22580</v>
      </c>
      <c r="B20398" s="2" t="str">
        <f>"28139"</f>
        <v>28139</v>
      </c>
      <c r="C20398" s="1">
        <v>0.28336888190390602</v>
      </c>
      <c r="D20398" s="1">
        <v>0.28032000000000001</v>
      </c>
      <c r="E20398" s="1">
        <v>0.26237054085155298</v>
      </c>
      <c r="F20398" s="1">
        <v>0.28266794528844602</v>
      </c>
    </row>
    <row r="20399" spans="1:6" x14ac:dyDescent="0.25">
      <c r="A20399" s="2" t="str">
        <f t="shared" si="716"/>
        <v>22580</v>
      </c>
      <c r="B20399" s="2" t="str">
        <f>"28746"</f>
        <v>28746</v>
      </c>
      <c r="C20399" s="1">
        <v>6.9600359227660502E-2</v>
      </c>
      <c r="D20399" s="1">
        <v>3.0720000000000001E-2</v>
      </c>
      <c r="E20399" s="1">
        <v>5.75373993095512E-2</v>
      </c>
      <c r="F20399" s="1">
        <v>6.6269620955937997E-2</v>
      </c>
    </row>
    <row r="20400" spans="1:6" x14ac:dyDescent="0.25">
      <c r="A20400" s="2" t="str">
        <f t="shared" si="716"/>
        <v>22580</v>
      </c>
      <c r="B20400" s="2" t="str">
        <f>"28018"</f>
        <v>28018</v>
      </c>
      <c r="C20400" s="1">
        <v>7.3838123035473699E-2</v>
      </c>
      <c r="D20400" s="1">
        <v>3.2640000000000002E-2</v>
      </c>
      <c r="E20400" s="1">
        <v>1.9562715765247402E-2</v>
      </c>
      <c r="F20400" s="1">
        <v>6.9398879523545107E-2</v>
      </c>
    </row>
    <row r="20401" spans="1:6" x14ac:dyDescent="0.25">
      <c r="A20401" s="2" t="str">
        <f t="shared" si="716"/>
        <v>22580</v>
      </c>
      <c r="B20401" s="2" t="str">
        <f>"28756"</f>
        <v>28756</v>
      </c>
      <c r="C20401" s="1">
        <v>1.0103277952402301E-3</v>
      </c>
      <c r="D20401" s="1">
        <v>3.2000000000000003E-4</v>
      </c>
      <c r="E20401" s="1">
        <v>0</v>
      </c>
      <c r="F20401" s="1">
        <v>9.3373037904406102E-4</v>
      </c>
    </row>
    <row r="20402" spans="1:6" x14ac:dyDescent="0.25">
      <c r="A20402" s="2" t="str">
        <f t="shared" si="716"/>
        <v>22580</v>
      </c>
      <c r="B20402" s="2" t="str">
        <f>"28040"</f>
        <v>28040</v>
      </c>
      <c r="C20402" s="1">
        <v>9.3567579703637105E-2</v>
      </c>
      <c r="D20402" s="1">
        <v>1.856E-2</v>
      </c>
      <c r="E20402" s="1">
        <v>3.56731875719217E-2</v>
      </c>
      <c r="F20402" s="1">
        <v>8.6382678039670896E-2</v>
      </c>
    </row>
    <row r="20403" spans="1:6" x14ac:dyDescent="0.25">
      <c r="A20403" s="2" t="str">
        <f t="shared" si="716"/>
        <v>22580</v>
      </c>
      <c r="B20403" s="2" t="str">
        <f>"28167"</f>
        <v>28167</v>
      </c>
      <c r="C20403" s="1">
        <v>3.78592276605298E-2</v>
      </c>
      <c r="D20403" s="1">
        <v>7.3600000000000002E-3</v>
      </c>
      <c r="E20403" s="1">
        <v>1.15074798619102E-3</v>
      </c>
      <c r="F20403" s="1">
        <v>3.4648967849391803E-2</v>
      </c>
    </row>
    <row r="20404" spans="1:6" x14ac:dyDescent="0.25">
      <c r="A20404" s="2" t="str">
        <f t="shared" si="716"/>
        <v>22580</v>
      </c>
      <c r="B20404" s="2" t="str">
        <f>"28076"</f>
        <v>28076</v>
      </c>
      <c r="C20404" s="1">
        <v>0</v>
      </c>
      <c r="D20404" s="1">
        <v>0</v>
      </c>
      <c r="E20404" s="1">
        <v>1.15074798619102E-3</v>
      </c>
      <c r="F20404" s="1">
        <v>2.5235956190379999E-5</v>
      </c>
    </row>
    <row r="20405" spans="1:6" x14ac:dyDescent="0.25">
      <c r="A20405" s="2" t="str">
        <f t="shared" si="716"/>
        <v>22580</v>
      </c>
      <c r="B20405" s="2" t="str">
        <f>"28043"</f>
        <v>28043</v>
      </c>
      <c r="C20405" s="1">
        <v>0.30890772339470102</v>
      </c>
      <c r="D20405" s="1">
        <v>0.45504</v>
      </c>
      <c r="E20405" s="1">
        <v>0.44073647871116201</v>
      </c>
      <c r="F20405" s="1">
        <v>0.32332307071114902</v>
      </c>
    </row>
    <row r="20406" spans="1:6" x14ac:dyDescent="0.25">
      <c r="A20406" s="2" t="str">
        <f t="shared" si="716"/>
        <v>22580</v>
      </c>
      <c r="B20406" s="2" t="str">
        <f>"28020"</f>
        <v>28020</v>
      </c>
      <c r="C20406" s="1">
        <v>2.2451728783116202E-3</v>
      </c>
      <c r="D20406" s="1">
        <v>6.4000000000000005E-4</v>
      </c>
      <c r="E20406" s="1">
        <v>1.15074798619102E-3</v>
      </c>
      <c r="F20406" s="1">
        <v>2.0945843638015401E-3</v>
      </c>
    </row>
    <row r="20407" spans="1:6" x14ac:dyDescent="0.25">
      <c r="A20407" s="2" t="str">
        <f t="shared" si="716"/>
        <v>22580</v>
      </c>
      <c r="B20407" s="2" t="str">
        <f>"28074"</f>
        <v>28074</v>
      </c>
      <c r="C20407" s="1">
        <v>0</v>
      </c>
      <c r="D20407" s="1">
        <v>0</v>
      </c>
      <c r="E20407" s="1">
        <v>2.3014959723820401E-3</v>
      </c>
      <c r="F20407" s="1">
        <v>5.04719123807601E-5</v>
      </c>
    </row>
    <row r="20408" spans="1:6" x14ac:dyDescent="0.25">
      <c r="A20408" s="2" t="str">
        <f t="shared" si="716"/>
        <v>22580</v>
      </c>
      <c r="B20408" s="2" t="str">
        <f>"28024"</f>
        <v>28024</v>
      </c>
      <c r="C20408" s="1">
        <v>0</v>
      </c>
      <c r="D20408" s="1">
        <v>0</v>
      </c>
      <c r="E20408" s="1">
        <v>1.15074798619102E-3</v>
      </c>
      <c r="F20408" s="1">
        <v>2.5235956190379999E-5</v>
      </c>
    </row>
    <row r="20409" spans="1:6" x14ac:dyDescent="0.25">
      <c r="A20409" s="2" t="str">
        <f t="shared" si="716"/>
        <v>22580</v>
      </c>
      <c r="B20409" s="2" t="str">
        <f>"28019"</f>
        <v>28019</v>
      </c>
      <c r="C20409" s="1">
        <v>0</v>
      </c>
      <c r="D20409" s="1">
        <v>0</v>
      </c>
      <c r="E20409" s="1">
        <v>1.15074798619102E-3</v>
      </c>
      <c r="F20409" s="1">
        <v>2.5235956190379999E-5</v>
      </c>
    </row>
    <row r="20410" spans="1:6" x14ac:dyDescent="0.25">
      <c r="A20410" s="2" t="str">
        <f t="shared" ref="A20410:A20434" si="717">"36700"</f>
        <v>36700</v>
      </c>
      <c r="B20410" s="2" t="str">
        <f>"29477"</f>
        <v>29477</v>
      </c>
      <c r="C20410" s="1">
        <v>4.4006336912515398E-4</v>
      </c>
      <c r="D20410" s="1">
        <v>2.6260504201680601E-4</v>
      </c>
      <c r="E20410" s="1">
        <v>0</v>
      </c>
      <c r="F20410" s="1">
        <v>4.2364333266088302E-4</v>
      </c>
    </row>
    <row r="20411" spans="1:6" x14ac:dyDescent="0.25">
      <c r="A20411" s="2" t="str">
        <f t="shared" si="717"/>
        <v>36700</v>
      </c>
      <c r="B20411" s="2" t="str">
        <f>"29117"</f>
        <v>29117</v>
      </c>
      <c r="C20411" s="1">
        <v>0</v>
      </c>
      <c r="D20411" s="1">
        <v>5.2521008403361299E-4</v>
      </c>
      <c r="E20411" s="1">
        <v>3.1847133757961698E-3</v>
      </c>
      <c r="F20411" s="1">
        <v>6.0520476094411897E-5</v>
      </c>
    </row>
    <row r="20412" spans="1:6" x14ac:dyDescent="0.25">
      <c r="A20412" s="2" t="str">
        <f t="shared" si="717"/>
        <v>36700</v>
      </c>
      <c r="B20412" s="2" t="str">
        <f>"29112"</f>
        <v>29112</v>
      </c>
      <c r="C20412" s="1">
        <v>4.4490406618552997E-2</v>
      </c>
      <c r="D20412" s="1">
        <v>1.33928571428571E-2</v>
      </c>
      <c r="E20412" s="1">
        <v>4.1401273885350302E-2</v>
      </c>
      <c r="F20412" s="1">
        <v>4.2081904377647701E-2</v>
      </c>
    </row>
    <row r="20413" spans="1:6" x14ac:dyDescent="0.25">
      <c r="A20413" s="2" t="str">
        <f t="shared" si="717"/>
        <v>36700</v>
      </c>
      <c r="B20413" s="2" t="str">
        <f>"29163"</f>
        <v>29163</v>
      </c>
      <c r="C20413" s="1">
        <v>2.1057032212638601E-2</v>
      </c>
      <c r="D20413" s="1">
        <v>6.5651260504201604E-3</v>
      </c>
      <c r="E20413" s="1">
        <v>0</v>
      </c>
      <c r="F20413" s="1">
        <v>1.9810369174904099E-2</v>
      </c>
    </row>
    <row r="20414" spans="1:6" x14ac:dyDescent="0.25">
      <c r="A20414" s="2" t="str">
        <f t="shared" si="717"/>
        <v>36700</v>
      </c>
      <c r="B20414" s="2" t="str">
        <f>"29047"</f>
        <v>29047</v>
      </c>
      <c r="C20414" s="1">
        <v>1.9934870621369401E-2</v>
      </c>
      <c r="D20414" s="1">
        <v>7.6155462184873896E-3</v>
      </c>
      <c r="E20414" s="1">
        <v>3.1847133757961698E-3</v>
      </c>
      <c r="F20414" s="1">
        <v>1.8882388541456501E-2</v>
      </c>
    </row>
    <row r="20415" spans="1:6" x14ac:dyDescent="0.25">
      <c r="A20415" s="2" t="str">
        <f t="shared" si="717"/>
        <v>36700</v>
      </c>
      <c r="B20415" s="2" t="str">
        <f>"29142"</f>
        <v>29142</v>
      </c>
      <c r="C20415" s="1">
        <v>5.2191515578243197E-2</v>
      </c>
      <c r="D20415" s="1">
        <v>5.4359243697478903E-2</v>
      </c>
      <c r="E20415" s="1">
        <v>6.3694267515923497E-2</v>
      </c>
      <c r="F20415" s="1">
        <v>5.2430905789792197E-2</v>
      </c>
    </row>
    <row r="20416" spans="1:6" x14ac:dyDescent="0.25">
      <c r="A20416" s="2" t="str">
        <f t="shared" si="717"/>
        <v>36700</v>
      </c>
      <c r="B20416" s="2" t="str">
        <f>"29107"</f>
        <v>29107</v>
      </c>
      <c r="C20416" s="1">
        <v>3.3224784368949101E-2</v>
      </c>
      <c r="D20416" s="1">
        <v>9.7163865546218402E-3</v>
      </c>
      <c r="E20416" s="1">
        <v>6.3694267515923501E-3</v>
      </c>
      <c r="F20416" s="1">
        <v>3.1248739156748001E-2</v>
      </c>
    </row>
    <row r="20417" spans="1:6" x14ac:dyDescent="0.25">
      <c r="A20417" s="2" t="str">
        <f t="shared" si="717"/>
        <v>36700</v>
      </c>
      <c r="B20417" s="2" t="str">
        <f>"29432"</f>
        <v>29432</v>
      </c>
      <c r="C20417" s="1">
        <v>2.79660271079035E-2</v>
      </c>
      <c r="D20417" s="1">
        <v>1.96953781512605E-2</v>
      </c>
      <c r="E20417" s="1">
        <v>3.8216560509554097E-2</v>
      </c>
      <c r="F20417" s="1">
        <v>2.73956021787371E-2</v>
      </c>
    </row>
    <row r="20418" spans="1:6" x14ac:dyDescent="0.25">
      <c r="A20418" s="2" t="str">
        <f t="shared" si="717"/>
        <v>36700</v>
      </c>
      <c r="B20418" s="2" t="str">
        <f>"29030"</f>
        <v>29030</v>
      </c>
      <c r="C20418" s="1">
        <v>5.8748459778208001E-3</v>
      </c>
      <c r="D20418" s="1">
        <v>3.9390756302520999E-3</v>
      </c>
      <c r="E20418" s="1">
        <v>3.1847133757961698E-3</v>
      </c>
      <c r="F20418" s="1">
        <v>5.7090982449061901E-3</v>
      </c>
    </row>
    <row r="20419" spans="1:6" x14ac:dyDescent="0.25">
      <c r="A20419" s="2" t="str">
        <f t="shared" si="717"/>
        <v>36700</v>
      </c>
      <c r="B20419" s="2" t="str">
        <f>"29137"</f>
        <v>29137</v>
      </c>
      <c r="C20419" s="1">
        <v>2.7944023939447198E-3</v>
      </c>
      <c r="D20419" s="1">
        <v>2.6260504201680601E-4</v>
      </c>
      <c r="E20419" s="1">
        <v>0</v>
      </c>
      <c r="F20419" s="1">
        <v>2.5822069800282401E-3</v>
      </c>
    </row>
    <row r="20420" spans="1:6" x14ac:dyDescent="0.25">
      <c r="A20420" s="2" t="str">
        <f t="shared" si="717"/>
        <v>36700</v>
      </c>
      <c r="B20420" s="2" t="str">
        <f>"29471"</f>
        <v>29471</v>
      </c>
      <c r="C20420" s="1">
        <v>4.6206653758141099E-4</v>
      </c>
      <c r="D20420" s="1">
        <v>2.6260504201680601E-4</v>
      </c>
      <c r="E20420" s="1">
        <v>0</v>
      </c>
      <c r="F20420" s="1">
        <v>4.4381682469235399E-4</v>
      </c>
    </row>
    <row r="20421" spans="1:6" x14ac:dyDescent="0.25">
      <c r="A20421" s="2" t="str">
        <f t="shared" si="717"/>
        <v>36700</v>
      </c>
      <c r="B20421" s="2" t="str">
        <f>"29160"</f>
        <v>29160</v>
      </c>
      <c r="C20421" s="1">
        <v>3.0804435838760702E-4</v>
      </c>
      <c r="D20421" s="1">
        <v>0</v>
      </c>
      <c r="E20421" s="1">
        <v>0</v>
      </c>
      <c r="F20421" s="1">
        <v>2.8242888844058899E-4</v>
      </c>
    </row>
    <row r="20422" spans="1:6" x14ac:dyDescent="0.25">
      <c r="A20422" s="2" t="str">
        <f t="shared" si="717"/>
        <v>36700</v>
      </c>
      <c r="B20422" s="2" t="str">
        <f>"29038"</f>
        <v>29038</v>
      </c>
      <c r="C20422" s="1">
        <v>2.8142052455553498E-2</v>
      </c>
      <c r="D20422" s="1">
        <v>6.3025210084033598E-3</v>
      </c>
      <c r="E20422" s="1">
        <v>3.8216560509554097E-2</v>
      </c>
      <c r="F20422" s="1">
        <v>2.6528142021383899E-2</v>
      </c>
    </row>
    <row r="20423" spans="1:6" x14ac:dyDescent="0.25">
      <c r="A20423" s="2" t="str">
        <f t="shared" si="717"/>
        <v>36700</v>
      </c>
      <c r="B20423" s="2" t="str">
        <f>"29118"</f>
        <v>29118</v>
      </c>
      <c r="C20423" s="1">
        <v>0.16062312973068099</v>
      </c>
      <c r="D20423" s="1">
        <v>0.11633403361344501</v>
      </c>
      <c r="E20423" s="1">
        <v>0.162420382165605</v>
      </c>
      <c r="F20423" s="1">
        <v>0.15723219689328199</v>
      </c>
    </row>
    <row r="20424" spans="1:6" x14ac:dyDescent="0.25">
      <c r="A20424" s="2" t="str">
        <f t="shared" si="717"/>
        <v>36700</v>
      </c>
      <c r="B20424" s="2" t="str">
        <f>"29116"</f>
        <v>29116</v>
      </c>
      <c r="C20424" s="1">
        <v>3.5623129730681199E-2</v>
      </c>
      <c r="D20424" s="1">
        <v>0.14705882352941099</v>
      </c>
      <c r="E20424" s="1">
        <v>6.3694267515923501E-3</v>
      </c>
      <c r="F20424" s="1">
        <v>4.3998386120637403E-2</v>
      </c>
    </row>
    <row r="20425" spans="1:6" x14ac:dyDescent="0.25">
      <c r="A20425" s="2" t="str">
        <f t="shared" si="717"/>
        <v>36700</v>
      </c>
      <c r="B20425" s="2" t="str">
        <f>"29115"</f>
        <v>29115</v>
      </c>
      <c r="C20425" s="1">
        <v>0.34439359267734498</v>
      </c>
      <c r="D20425" s="1">
        <v>0.525997899159663</v>
      </c>
      <c r="E20425" s="1">
        <v>0.563694267515923</v>
      </c>
      <c r="F20425" s="1">
        <v>0.359733709905184</v>
      </c>
    </row>
    <row r="20426" spans="1:6" x14ac:dyDescent="0.25">
      <c r="A20426" s="2" t="str">
        <f t="shared" si="717"/>
        <v>36700</v>
      </c>
      <c r="B20426" s="2" t="str">
        <f>"29059"</f>
        <v>29059</v>
      </c>
      <c r="C20426" s="1">
        <v>5.1443407850730503E-2</v>
      </c>
      <c r="D20426" s="1">
        <v>3.4138655462184801E-2</v>
      </c>
      <c r="E20426" s="1">
        <v>5.7324840764331197E-2</v>
      </c>
      <c r="F20426" s="1">
        <v>5.0151301190236003E-2</v>
      </c>
    </row>
    <row r="20427" spans="1:6" x14ac:dyDescent="0.25">
      <c r="A20427" s="2" t="str">
        <f t="shared" si="717"/>
        <v>36700</v>
      </c>
      <c r="B20427" s="2" t="str">
        <f>"29018"</f>
        <v>29018</v>
      </c>
      <c r="C20427" s="1">
        <v>3.2938743179017703E-2</v>
      </c>
      <c r="D20427" s="1">
        <v>1.10294117647058E-2</v>
      </c>
      <c r="E20427" s="1">
        <v>0</v>
      </c>
      <c r="F20427" s="1">
        <v>3.10470042364333E-2</v>
      </c>
    </row>
    <row r="20428" spans="1:6" x14ac:dyDescent="0.25">
      <c r="A20428" s="2" t="str">
        <f t="shared" si="717"/>
        <v>36700</v>
      </c>
      <c r="B20428" s="2" t="str">
        <f>"29135"</f>
        <v>29135</v>
      </c>
      <c r="C20428" s="1">
        <v>3.4324942791761999E-3</v>
      </c>
      <c r="D20428" s="1">
        <v>5.2521008403361299E-4</v>
      </c>
      <c r="E20428" s="1">
        <v>0</v>
      </c>
      <c r="F20428" s="1">
        <v>3.1874117409723601E-3</v>
      </c>
    </row>
    <row r="20429" spans="1:6" x14ac:dyDescent="0.25">
      <c r="A20429" s="2" t="str">
        <f t="shared" si="717"/>
        <v>36700</v>
      </c>
      <c r="B20429" s="2" t="str">
        <f>"29113"</f>
        <v>29113</v>
      </c>
      <c r="C20429" s="1">
        <v>1.53582115824678E-2</v>
      </c>
      <c r="D20429" s="1">
        <v>1.8382352941176401E-3</v>
      </c>
      <c r="E20429" s="1">
        <v>0</v>
      </c>
      <c r="F20429" s="1">
        <v>1.4222311882186801E-2</v>
      </c>
    </row>
    <row r="20430" spans="1:6" x14ac:dyDescent="0.25">
      <c r="A20430" s="2" t="str">
        <f t="shared" si="717"/>
        <v>36700</v>
      </c>
      <c r="B20430" s="2" t="str">
        <f>"29146"</f>
        <v>29146</v>
      </c>
      <c r="C20430" s="1">
        <v>8.0751628234465699E-3</v>
      </c>
      <c r="D20430" s="1">
        <v>2.3634453781512599E-3</v>
      </c>
      <c r="E20430" s="1">
        <v>0</v>
      </c>
      <c r="F20430" s="1">
        <v>7.5852330038329602E-3</v>
      </c>
    </row>
    <row r="20431" spans="1:6" x14ac:dyDescent="0.25">
      <c r="A20431" s="2" t="str">
        <f t="shared" si="717"/>
        <v>36700</v>
      </c>
      <c r="B20431" s="2" t="str">
        <f>"29436"</f>
        <v>29436</v>
      </c>
      <c r="C20431" s="1">
        <v>2.3763421932758298E-3</v>
      </c>
      <c r="D20431" s="1">
        <v>7.8781512605041997E-4</v>
      </c>
      <c r="E20431" s="1">
        <v>0</v>
      </c>
      <c r="F20431" s="1">
        <v>2.2392576154932398E-3</v>
      </c>
    </row>
    <row r="20432" spans="1:6" x14ac:dyDescent="0.25">
      <c r="A20432" s="2" t="str">
        <f t="shared" si="717"/>
        <v>36700</v>
      </c>
      <c r="B20432" s="2" t="str">
        <f>"29048"</f>
        <v>29048</v>
      </c>
      <c r="C20432" s="1">
        <v>5.50959338144692E-2</v>
      </c>
      <c r="D20432" s="1">
        <v>2.28466386554621E-2</v>
      </c>
      <c r="E20432" s="1">
        <v>6.3694267515923501E-3</v>
      </c>
      <c r="F20432" s="1">
        <v>5.2309864837603297E-2</v>
      </c>
    </row>
    <row r="20433" spans="1:6" x14ac:dyDescent="0.25">
      <c r="A20433" s="2" t="str">
        <f t="shared" si="717"/>
        <v>36700</v>
      </c>
      <c r="B20433" s="2" t="str">
        <f>"29133"</f>
        <v>29133</v>
      </c>
      <c r="C20433" s="1">
        <v>1.1463650765710201E-2</v>
      </c>
      <c r="D20433" s="1">
        <v>5.5147058823529398E-3</v>
      </c>
      <c r="E20433" s="1">
        <v>6.3694267515923501E-3</v>
      </c>
      <c r="F20433" s="1">
        <v>1.097437966512E-2</v>
      </c>
    </row>
    <row r="20434" spans="1:6" x14ac:dyDescent="0.25">
      <c r="A20434" s="2" t="str">
        <f t="shared" si="717"/>
        <v>36700</v>
      </c>
      <c r="B20434" s="2" t="str">
        <f>"29039"</f>
        <v>29039</v>
      </c>
      <c r="C20434" s="1">
        <v>4.2290089772927301E-2</v>
      </c>
      <c r="D20434" s="1">
        <v>8.6659663865546206E-3</v>
      </c>
      <c r="E20434" s="1">
        <v>0</v>
      </c>
      <c r="F20434" s="1">
        <v>3.9439176921525099E-2</v>
      </c>
    </row>
    <row r="20435" spans="1:6" x14ac:dyDescent="0.25">
      <c r="A20435" s="2" t="str">
        <f t="shared" ref="A20435:A20445" si="718">"35140"</f>
        <v>35140</v>
      </c>
      <c r="B20435" s="2" t="str">
        <f>"29178"</f>
        <v>29178</v>
      </c>
      <c r="C20435" s="1">
        <v>0.122276879831342</v>
      </c>
      <c r="D20435" s="1">
        <v>0.129203539823008</v>
      </c>
      <c r="E20435" s="1">
        <v>0.18705035971223</v>
      </c>
      <c r="F20435" s="1">
        <v>0.123635533226764</v>
      </c>
    </row>
    <row r="20436" spans="1:6" x14ac:dyDescent="0.25">
      <c r="A20436" s="2" t="str">
        <f t="shared" si="718"/>
        <v>35140</v>
      </c>
      <c r="B20436" s="2" t="str">
        <f>"29036"</f>
        <v>29036</v>
      </c>
      <c r="C20436" s="1">
        <v>7.7301475755446204E-3</v>
      </c>
      <c r="D20436" s="1">
        <v>4.71976401179941E-3</v>
      </c>
      <c r="E20436" s="1">
        <v>0</v>
      </c>
      <c r="F20436" s="1">
        <v>7.3989495318565798E-3</v>
      </c>
    </row>
    <row r="20437" spans="1:6" x14ac:dyDescent="0.25">
      <c r="A20437" s="2" t="str">
        <f t="shared" si="718"/>
        <v>35140</v>
      </c>
      <c r="B20437" s="2" t="str">
        <f>"29332"</f>
        <v>29332</v>
      </c>
      <c r="C20437" s="1">
        <v>5.6721212729645603E-3</v>
      </c>
      <c r="D20437" s="1">
        <v>0</v>
      </c>
      <c r="E20437" s="1">
        <v>0</v>
      </c>
      <c r="F20437" s="1">
        <v>5.1609956611098403E-3</v>
      </c>
    </row>
    <row r="20438" spans="1:6" x14ac:dyDescent="0.25">
      <c r="A20438" s="2" t="str">
        <f t="shared" si="718"/>
        <v>35140</v>
      </c>
      <c r="B20438" s="2" t="str">
        <f>"29145"</f>
        <v>29145</v>
      </c>
      <c r="C20438" s="1">
        <v>2.4344945286617799E-2</v>
      </c>
      <c r="D20438" s="1">
        <v>1.2389380530973401E-2</v>
      </c>
      <c r="E20438" s="1">
        <v>7.1942446043165402E-3</v>
      </c>
      <c r="F20438" s="1">
        <v>2.3201644211007001E-2</v>
      </c>
    </row>
    <row r="20439" spans="1:6" x14ac:dyDescent="0.25">
      <c r="A20439" s="2" t="str">
        <f t="shared" si="718"/>
        <v>35140</v>
      </c>
      <c r="B20439" s="2" t="str">
        <f>"29122"</f>
        <v>29122</v>
      </c>
      <c r="C20439" s="1">
        <v>0</v>
      </c>
      <c r="D20439" s="1">
        <v>5.8997050147492603E-4</v>
      </c>
      <c r="E20439" s="1">
        <v>0</v>
      </c>
      <c r="F20439" s="1">
        <v>4.5672527974423302E-5</v>
      </c>
    </row>
    <row r="20440" spans="1:6" x14ac:dyDescent="0.25">
      <c r="A20440" s="2" t="str">
        <f t="shared" si="718"/>
        <v>35140</v>
      </c>
      <c r="B20440" s="2" t="str">
        <f>"29126"</f>
        <v>29126</v>
      </c>
      <c r="C20440" s="1">
        <v>6.3748619616504298E-2</v>
      </c>
      <c r="D20440" s="1">
        <v>1.82890855457227E-2</v>
      </c>
      <c r="E20440" s="1">
        <v>3.5971223021582701E-3</v>
      </c>
      <c r="F20440" s="1">
        <v>5.94656314226992E-2</v>
      </c>
    </row>
    <row r="20441" spans="1:6" x14ac:dyDescent="0.25">
      <c r="A20441" s="2" t="str">
        <f t="shared" si="718"/>
        <v>35140</v>
      </c>
      <c r="B20441" s="2" t="str">
        <f>"29355"</f>
        <v>29355</v>
      </c>
      <c r="C20441" s="1">
        <v>1.0390523039855401E-2</v>
      </c>
      <c r="D20441" s="1">
        <v>4.1297935103244802E-3</v>
      </c>
      <c r="E20441" s="1">
        <v>0</v>
      </c>
      <c r="F20441" s="1">
        <v>9.7739209865266002E-3</v>
      </c>
    </row>
    <row r="20442" spans="1:6" x14ac:dyDescent="0.25">
      <c r="A20442" s="2" t="str">
        <f t="shared" si="718"/>
        <v>35140</v>
      </c>
      <c r="B20442" s="2" t="str">
        <f>"29108"</f>
        <v>29108</v>
      </c>
      <c r="C20442" s="1">
        <v>0.47741190643509601</v>
      </c>
      <c r="D20442" s="1">
        <v>0.66784660766961601</v>
      </c>
      <c r="E20442" s="1">
        <v>0.73021582733812895</v>
      </c>
      <c r="F20442" s="1">
        <v>0.49536423841059601</v>
      </c>
    </row>
    <row r="20443" spans="1:6" x14ac:dyDescent="0.25">
      <c r="A20443" s="2" t="str">
        <f t="shared" si="718"/>
        <v>35140</v>
      </c>
      <c r="B20443" s="2" t="str">
        <f>"29127"</f>
        <v>29127</v>
      </c>
      <c r="C20443" s="1">
        <v>0.22437506274470401</v>
      </c>
      <c r="D20443" s="1">
        <v>0.132743362831858</v>
      </c>
      <c r="E20443" s="1">
        <v>2.5179856115107899E-2</v>
      </c>
      <c r="F20443" s="1">
        <v>0.214752226535738</v>
      </c>
    </row>
    <row r="20444" spans="1:6" x14ac:dyDescent="0.25">
      <c r="A20444" s="2" t="str">
        <f t="shared" si="718"/>
        <v>35140</v>
      </c>
      <c r="B20444" s="2" t="str">
        <f>"29037"</f>
        <v>29037</v>
      </c>
      <c r="C20444" s="1">
        <v>1.7970083324967301E-2</v>
      </c>
      <c r="D20444" s="1">
        <v>8.8495575221238902E-3</v>
      </c>
      <c r="E20444" s="1">
        <v>2.5179856115107899E-2</v>
      </c>
      <c r="F20444" s="1">
        <v>1.7355560630280799E-2</v>
      </c>
    </row>
    <row r="20445" spans="1:6" x14ac:dyDescent="0.25">
      <c r="A20445" s="2" t="str">
        <f t="shared" si="718"/>
        <v>35140</v>
      </c>
      <c r="B20445" s="2" t="str">
        <f>"29075"</f>
        <v>29075</v>
      </c>
      <c r="C20445" s="1">
        <v>4.6079710872402299E-2</v>
      </c>
      <c r="D20445" s="1">
        <v>2.12389380530973E-2</v>
      </c>
      <c r="E20445" s="1">
        <v>2.15827338129496E-2</v>
      </c>
      <c r="F20445" s="1">
        <v>4.38456268554464E-2</v>
      </c>
    </row>
    <row r="20446" spans="1:6" x14ac:dyDescent="0.25">
      <c r="A20446" s="2" t="str">
        <f t="shared" ref="A20446:A20485" si="719">"43900"</f>
        <v>43900</v>
      </c>
      <c r="B20446" s="2" t="str">
        <f>"29338"</f>
        <v>29338</v>
      </c>
      <c r="C20446" s="1">
        <v>6.2876868228947199E-6</v>
      </c>
      <c r="D20446" s="1">
        <v>7.0596540769502202E-5</v>
      </c>
      <c r="E20446" s="1">
        <v>0</v>
      </c>
      <c r="F20446" s="1">
        <v>1.13725534794327E-5</v>
      </c>
    </row>
    <row r="20447" spans="1:6" x14ac:dyDescent="0.25">
      <c r="A20447" s="2" t="str">
        <f t="shared" si="719"/>
        <v>43900</v>
      </c>
      <c r="B20447" s="2" t="str">
        <f>"29335"</f>
        <v>29335</v>
      </c>
      <c r="C20447" s="1">
        <v>1.0506724681056999E-2</v>
      </c>
      <c r="D20447" s="1">
        <v>3.3180374161666001E-3</v>
      </c>
      <c r="E20447" s="1">
        <v>7.5301204819277102E-4</v>
      </c>
      <c r="F20447" s="1">
        <v>9.7803959923121499E-3</v>
      </c>
    </row>
    <row r="20448" spans="1:6" x14ac:dyDescent="0.25">
      <c r="A20448" s="2" t="str">
        <f t="shared" si="719"/>
        <v>43900</v>
      </c>
      <c r="B20448" s="2" t="str">
        <f>"29368"</f>
        <v>29368</v>
      </c>
      <c r="C20448" s="1">
        <v>1.8234291786394701E-4</v>
      </c>
      <c r="D20448" s="1">
        <v>7.0596540769502202E-5</v>
      </c>
      <c r="E20448" s="1">
        <v>0</v>
      </c>
      <c r="F20448" s="1">
        <v>1.7058830219149099E-4</v>
      </c>
    </row>
    <row r="20449" spans="1:6" x14ac:dyDescent="0.25">
      <c r="A20449" s="2" t="str">
        <f t="shared" si="719"/>
        <v>43900</v>
      </c>
      <c r="B20449" s="2" t="str">
        <f>"29329"</f>
        <v>29329</v>
      </c>
      <c r="C20449" s="1">
        <v>2.5779515973868301E-4</v>
      </c>
      <c r="D20449" s="1">
        <v>2.8238616307800903E-4</v>
      </c>
      <c r="E20449" s="1">
        <v>0</v>
      </c>
      <c r="F20449" s="1">
        <v>2.5588245328723601E-4</v>
      </c>
    </row>
    <row r="20450" spans="1:6" x14ac:dyDescent="0.25">
      <c r="A20450" s="2" t="str">
        <f t="shared" si="719"/>
        <v>43900</v>
      </c>
      <c r="B20450" s="2" t="str">
        <f>"29322"</f>
        <v>29322</v>
      </c>
      <c r="C20450" s="1">
        <v>2.67289566841254E-2</v>
      </c>
      <c r="D20450" s="1">
        <v>7.0596540769502199E-3</v>
      </c>
      <c r="E20450" s="1">
        <v>4.1415662650602404E-3</v>
      </c>
      <c r="F20450" s="1">
        <v>2.4803539138642701E-2</v>
      </c>
    </row>
    <row r="20451" spans="1:6" x14ac:dyDescent="0.25">
      <c r="A20451" s="2" t="str">
        <f t="shared" si="719"/>
        <v>43900</v>
      </c>
      <c r="B20451" s="2" t="str">
        <f>"29301"</f>
        <v>29301</v>
      </c>
      <c r="C20451" s="1">
        <v>0.10659515470853401</v>
      </c>
      <c r="D20451" s="1">
        <v>0.12792093187433801</v>
      </c>
      <c r="E20451" s="1">
        <v>0.250753012048192</v>
      </c>
      <c r="F20451" s="1">
        <v>0.11049004332942799</v>
      </c>
    </row>
    <row r="20452" spans="1:6" x14ac:dyDescent="0.25">
      <c r="A20452" s="2" t="str">
        <f t="shared" si="719"/>
        <v>43900</v>
      </c>
      <c r="B20452" s="2" t="str">
        <f>"29376"</f>
        <v>29376</v>
      </c>
      <c r="C20452" s="1">
        <v>2.7162807074905201E-2</v>
      </c>
      <c r="D20452" s="1">
        <v>3.4239322273208597E-2</v>
      </c>
      <c r="E20452" s="1">
        <v>1.12951807228915E-2</v>
      </c>
      <c r="F20452" s="1">
        <v>2.7493148036528602E-2</v>
      </c>
    </row>
    <row r="20453" spans="1:6" x14ac:dyDescent="0.25">
      <c r="A20453" s="2" t="str">
        <f t="shared" si="719"/>
        <v>43900</v>
      </c>
      <c r="B20453" s="2" t="str">
        <f>"29319"</f>
        <v>29319</v>
      </c>
      <c r="C20453" s="1">
        <v>0</v>
      </c>
      <c r="D20453" s="1">
        <v>1.41193081539004E-4</v>
      </c>
      <c r="E20453" s="1">
        <v>0</v>
      </c>
      <c r="F20453" s="1">
        <v>1.13725534794327E-5</v>
      </c>
    </row>
    <row r="20454" spans="1:6" x14ac:dyDescent="0.25">
      <c r="A20454" s="2" t="str">
        <f t="shared" si="719"/>
        <v>43900</v>
      </c>
      <c r="B20454" s="2" t="str">
        <f>"29330"</f>
        <v>29330</v>
      </c>
      <c r="C20454" s="1">
        <v>2.3547387151740699E-2</v>
      </c>
      <c r="D20454" s="1">
        <v>1.4542887398517401E-2</v>
      </c>
      <c r="E20454" s="1">
        <v>1.0165662650602401E-2</v>
      </c>
      <c r="F20454" s="1">
        <v>2.26200088705917E-2</v>
      </c>
    </row>
    <row r="20455" spans="1:6" x14ac:dyDescent="0.25">
      <c r="A20455" s="2" t="str">
        <f t="shared" si="719"/>
        <v>43900</v>
      </c>
      <c r="B20455" s="2" t="str">
        <f>"29336"</f>
        <v>29336</v>
      </c>
      <c r="C20455" s="1">
        <v>4.2001747976936699E-3</v>
      </c>
      <c r="D20455" s="1">
        <v>7.8362160254147502E-3</v>
      </c>
      <c r="E20455" s="1">
        <v>3.7650602409638502E-4</v>
      </c>
      <c r="F20455" s="1">
        <v>4.4352958569787602E-3</v>
      </c>
    </row>
    <row r="20456" spans="1:6" x14ac:dyDescent="0.25">
      <c r="A20456" s="2" t="str">
        <f t="shared" si="719"/>
        <v>43900</v>
      </c>
      <c r="B20456" s="2" t="str">
        <f>"29348"</f>
        <v>29348</v>
      </c>
      <c r="C20456" s="1">
        <v>0</v>
      </c>
      <c r="D20456" s="1">
        <v>7.0596540769502202E-5</v>
      </c>
      <c r="E20456" s="1">
        <v>0</v>
      </c>
      <c r="F20456" s="1">
        <v>5.68627673971636E-6</v>
      </c>
    </row>
    <row r="20457" spans="1:6" x14ac:dyDescent="0.25">
      <c r="A20457" s="2" t="str">
        <f t="shared" si="719"/>
        <v>43900</v>
      </c>
      <c r="B20457" s="2" t="str">
        <f>"29333"</f>
        <v>29333</v>
      </c>
      <c r="C20457" s="1">
        <v>4.77864198539999E-3</v>
      </c>
      <c r="D20457" s="1">
        <v>8.1891987292622599E-3</v>
      </c>
      <c r="E20457" s="1">
        <v>3.7650602409638502E-4</v>
      </c>
      <c r="F20457" s="1">
        <v>4.9868647007312496E-3</v>
      </c>
    </row>
    <row r="20458" spans="1:6" x14ac:dyDescent="0.25">
      <c r="A20458" s="2" t="str">
        <f t="shared" si="719"/>
        <v>43900</v>
      </c>
      <c r="B20458" s="2" t="str">
        <f>"29386"</f>
        <v>29386</v>
      </c>
      <c r="C20458" s="1">
        <v>0</v>
      </c>
      <c r="D20458" s="1">
        <v>7.0596540769502202E-5</v>
      </c>
      <c r="E20458" s="1">
        <v>0</v>
      </c>
      <c r="F20458" s="1">
        <v>5.68627673971636E-6</v>
      </c>
    </row>
    <row r="20459" spans="1:6" x14ac:dyDescent="0.25">
      <c r="A20459" s="2" t="str">
        <f t="shared" si="719"/>
        <v>43900</v>
      </c>
      <c r="B20459" s="2" t="str">
        <f>"29305"</f>
        <v>29305</v>
      </c>
      <c r="C20459" s="1">
        <v>6.3505636911236703E-4</v>
      </c>
      <c r="D20459" s="1">
        <v>6.5654782915637103E-3</v>
      </c>
      <c r="E20459" s="1">
        <v>3.7650602409638502E-4</v>
      </c>
      <c r="F20459" s="1">
        <v>1.1088239642446901E-3</v>
      </c>
    </row>
    <row r="20460" spans="1:6" x14ac:dyDescent="0.25">
      <c r="A20460" s="2" t="str">
        <f t="shared" si="719"/>
        <v>43900</v>
      </c>
      <c r="B20460" s="2" t="str">
        <f>"29304"</f>
        <v>29304</v>
      </c>
      <c r="C20460" s="1">
        <v>1.44428166321891E-2</v>
      </c>
      <c r="D20460" s="1">
        <v>6.4454641722555495E-2</v>
      </c>
      <c r="E20460" s="1">
        <v>3.7650602409638502E-4</v>
      </c>
      <c r="F20460" s="1">
        <v>1.8258634611229198E-2</v>
      </c>
    </row>
    <row r="20461" spans="1:6" x14ac:dyDescent="0.25">
      <c r="A20461" s="2" t="str">
        <f t="shared" si="719"/>
        <v>43900</v>
      </c>
      <c r="B20461" s="2" t="str">
        <f>"29650"</f>
        <v>29650</v>
      </c>
      <c r="C20461" s="1">
        <v>4.0241195666526202E-4</v>
      </c>
      <c r="D20461" s="1">
        <v>3.3180374161666001E-3</v>
      </c>
      <c r="E20461" s="1">
        <v>3.7650602409638502E-4</v>
      </c>
      <c r="F20461" s="1">
        <v>6.3686299484823296E-4</v>
      </c>
    </row>
    <row r="20462" spans="1:6" x14ac:dyDescent="0.25">
      <c r="A20462" s="2" t="str">
        <f t="shared" si="719"/>
        <v>43900</v>
      </c>
      <c r="B20462" s="2" t="str">
        <f>"29349"</f>
        <v>29349</v>
      </c>
      <c r="C20462" s="1">
        <v>9.92825749335077E-2</v>
      </c>
      <c r="D20462" s="1">
        <v>4.9135192375573497E-2</v>
      </c>
      <c r="E20462" s="1">
        <v>3.7650602409638502E-2</v>
      </c>
      <c r="F20462" s="1">
        <v>9.4312586004935597E-2</v>
      </c>
    </row>
    <row r="20463" spans="1:6" x14ac:dyDescent="0.25">
      <c r="A20463" s="2" t="str">
        <f t="shared" si="719"/>
        <v>43900</v>
      </c>
      <c r="B20463" s="2" t="str">
        <f>"29346"</f>
        <v>29346</v>
      </c>
      <c r="C20463" s="1">
        <v>8.4883772109078698E-4</v>
      </c>
      <c r="D20463" s="1">
        <v>7.0596540769502202E-5</v>
      </c>
      <c r="E20463" s="1">
        <v>0</v>
      </c>
      <c r="F20463" s="1">
        <v>7.7333363660142605E-4</v>
      </c>
    </row>
    <row r="20464" spans="1:6" x14ac:dyDescent="0.25">
      <c r="A20464" s="2" t="str">
        <f t="shared" si="719"/>
        <v>43900</v>
      </c>
      <c r="B20464" s="2" t="str">
        <f>"29378"</f>
        <v>29378</v>
      </c>
      <c r="C20464" s="1">
        <v>6.5706327299249797E-3</v>
      </c>
      <c r="D20464" s="1">
        <v>2.5414754677020798E-3</v>
      </c>
      <c r="E20464" s="1">
        <v>3.7650602409638502E-4</v>
      </c>
      <c r="F20464" s="1">
        <v>6.1525514323731104E-3</v>
      </c>
    </row>
    <row r="20465" spans="1:6" x14ac:dyDescent="0.25">
      <c r="A20465" s="2" t="str">
        <f t="shared" si="719"/>
        <v>43900</v>
      </c>
      <c r="B20465" s="2" t="str">
        <f>"29303"</f>
        <v>29303</v>
      </c>
      <c r="C20465" s="1">
        <v>7.2830276469589603E-2</v>
      </c>
      <c r="D20465" s="1">
        <v>0.12679138722202599</v>
      </c>
      <c r="E20465" s="1">
        <v>0.15436746987951799</v>
      </c>
      <c r="F20465" s="1">
        <v>7.8408069963949001E-2</v>
      </c>
    </row>
    <row r="20466" spans="1:6" x14ac:dyDescent="0.25">
      <c r="A20466" s="2" t="str">
        <f t="shared" si="719"/>
        <v>43900</v>
      </c>
      <c r="B20466" s="2" t="str">
        <f>"29334"</f>
        <v>29334</v>
      </c>
      <c r="C20466" s="1">
        <v>4.9352053872900599E-2</v>
      </c>
      <c r="D20466" s="1">
        <v>5.2029650547123101E-2</v>
      </c>
      <c r="E20466" s="1">
        <v>5.0075301204819199E-2</v>
      </c>
      <c r="F20466" s="1">
        <v>4.9578646893587E-2</v>
      </c>
    </row>
    <row r="20467" spans="1:6" x14ac:dyDescent="0.25">
      <c r="A20467" s="2" t="str">
        <f t="shared" si="719"/>
        <v>43900</v>
      </c>
      <c r="B20467" s="2" t="str">
        <f>"29373"</f>
        <v>29373</v>
      </c>
      <c r="C20467" s="1">
        <v>0</v>
      </c>
      <c r="D20467" s="1">
        <v>7.0596540769502202E-5</v>
      </c>
      <c r="E20467" s="1">
        <v>0</v>
      </c>
      <c r="F20467" s="1">
        <v>5.68627673971636E-6</v>
      </c>
    </row>
    <row r="20468" spans="1:6" x14ac:dyDescent="0.25">
      <c r="A20468" s="2" t="str">
        <f t="shared" si="719"/>
        <v>43900</v>
      </c>
      <c r="B20468" s="2" t="str">
        <f>"29369"</f>
        <v>29369</v>
      </c>
      <c r="C20468" s="1">
        <v>4.4152136870366697E-2</v>
      </c>
      <c r="D20468" s="1">
        <v>1.46840804800564E-2</v>
      </c>
      <c r="E20468" s="1">
        <v>7.9066265060240906E-3</v>
      </c>
      <c r="F20468" s="1">
        <v>4.1231192639683299E-2</v>
      </c>
    </row>
    <row r="20469" spans="1:6" x14ac:dyDescent="0.25">
      <c r="A20469" s="2" t="str">
        <f t="shared" si="719"/>
        <v>43900</v>
      </c>
      <c r="B20469" s="2" t="str">
        <f>"29320"</f>
        <v>29320</v>
      </c>
      <c r="C20469" s="1">
        <v>9.3686533661131396E-4</v>
      </c>
      <c r="D20469" s="1">
        <v>7.0596540769502202E-5</v>
      </c>
      <c r="E20469" s="1">
        <v>7.5301204819277102E-4</v>
      </c>
      <c r="F20469" s="1">
        <v>8.6431406443688804E-4</v>
      </c>
    </row>
    <row r="20470" spans="1:6" x14ac:dyDescent="0.25">
      <c r="A20470" s="2" t="str">
        <f t="shared" si="719"/>
        <v>43900</v>
      </c>
      <c r="B20470" s="2" t="str">
        <f>"29302"</f>
        <v>29302</v>
      </c>
      <c r="C20470" s="1">
        <v>5.1703648744663301E-2</v>
      </c>
      <c r="D20470" s="1">
        <v>7.0243558065654702E-2</v>
      </c>
      <c r="E20470" s="1">
        <v>0.104292168674698</v>
      </c>
      <c r="F20470" s="1">
        <v>5.3991197643606902E-2</v>
      </c>
    </row>
    <row r="20471" spans="1:6" x14ac:dyDescent="0.25">
      <c r="A20471" s="2" t="str">
        <f t="shared" si="719"/>
        <v>43900</v>
      </c>
      <c r="B20471" s="2" t="str">
        <f>"29324"</f>
        <v>29324</v>
      </c>
      <c r="C20471" s="1">
        <v>0</v>
      </c>
      <c r="D20471" s="1">
        <v>7.0596540769502202E-5</v>
      </c>
      <c r="E20471" s="1">
        <v>0</v>
      </c>
      <c r="F20471" s="1">
        <v>5.68627673971636E-6</v>
      </c>
    </row>
    <row r="20472" spans="1:6" x14ac:dyDescent="0.25">
      <c r="A20472" s="2" t="str">
        <f t="shared" si="719"/>
        <v>43900</v>
      </c>
      <c r="B20472" s="2" t="str">
        <f>"29316"</f>
        <v>29316</v>
      </c>
      <c r="C20472" s="1">
        <v>8.5864651253450303E-2</v>
      </c>
      <c r="D20472" s="1">
        <v>6.7349099894105105E-2</v>
      </c>
      <c r="E20472" s="1">
        <v>3.38855421686746E-2</v>
      </c>
      <c r="F20472" s="1">
        <v>8.3588268073830602E-2</v>
      </c>
    </row>
    <row r="20473" spans="1:6" x14ac:dyDescent="0.25">
      <c r="A20473" s="2" t="str">
        <f t="shared" si="719"/>
        <v>43900</v>
      </c>
      <c r="B20473" s="2" t="str">
        <f>"29375"</f>
        <v>29375</v>
      </c>
      <c r="C20473" s="1">
        <v>3.08725423004131E-3</v>
      </c>
      <c r="D20473" s="1">
        <v>8.1891987292622599E-3</v>
      </c>
      <c r="E20473" s="1">
        <v>3.7650602409638502E-4</v>
      </c>
      <c r="F20473" s="1">
        <v>3.45725625774755E-3</v>
      </c>
    </row>
    <row r="20474" spans="1:6" x14ac:dyDescent="0.25">
      <c r="A20474" s="2" t="str">
        <f t="shared" si="719"/>
        <v>43900</v>
      </c>
      <c r="B20474" s="2" t="str">
        <f>"29385"</f>
        <v>29385</v>
      </c>
      <c r="C20474" s="1">
        <v>2.5836105155274399E-2</v>
      </c>
      <c r="D20474" s="1">
        <v>1.27779738792799E-2</v>
      </c>
      <c r="E20474" s="1">
        <v>7.5301204819277099E-3</v>
      </c>
      <c r="F20474" s="1">
        <v>2.4507852748177499E-2</v>
      </c>
    </row>
    <row r="20475" spans="1:6" x14ac:dyDescent="0.25">
      <c r="A20475" s="2" t="str">
        <f t="shared" si="719"/>
        <v>43900</v>
      </c>
      <c r="B20475" s="2" t="str">
        <f>"29372"</f>
        <v>29372</v>
      </c>
      <c r="C20475" s="1">
        <v>9.7396268886639197E-3</v>
      </c>
      <c r="D20475" s="1">
        <v>3.8122132015531202E-3</v>
      </c>
      <c r="E20475" s="1">
        <v>4.8945783132530096E-3</v>
      </c>
      <c r="F20475" s="1">
        <v>9.1890232113816493E-3</v>
      </c>
    </row>
    <row r="20476" spans="1:6" x14ac:dyDescent="0.25">
      <c r="A20476" s="2" t="str">
        <f t="shared" si="719"/>
        <v>43900</v>
      </c>
      <c r="B20476" s="2" t="str">
        <f>"29356"</f>
        <v>29356</v>
      </c>
      <c r="C20476" s="1">
        <v>1.47257625392194E-2</v>
      </c>
      <c r="D20476" s="1">
        <v>2.0261207200847099E-2</v>
      </c>
      <c r="E20476" s="1">
        <v>1.0542168674698701E-2</v>
      </c>
      <c r="F20476" s="1">
        <v>1.5108437297426299E-2</v>
      </c>
    </row>
    <row r="20477" spans="1:6" x14ac:dyDescent="0.25">
      <c r="A20477" s="2" t="str">
        <f t="shared" si="719"/>
        <v>43900</v>
      </c>
      <c r="B20477" s="2" t="str">
        <f>"29377"</f>
        <v>29377</v>
      </c>
      <c r="C20477" s="1">
        <v>2.6408284656157801E-4</v>
      </c>
      <c r="D20477" s="1">
        <v>1.41193081539004E-4</v>
      </c>
      <c r="E20477" s="1">
        <v>0</v>
      </c>
      <c r="F20477" s="1">
        <v>2.5019617654751999E-4</v>
      </c>
    </row>
    <row r="20478" spans="1:6" x14ac:dyDescent="0.25">
      <c r="A20478" s="2" t="str">
        <f t="shared" si="719"/>
        <v>43900</v>
      </c>
      <c r="B20478" s="2" t="str">
        <f>"29365"</f>
        <v>29365</v>
      </c>
      <c r="C20478" s="1">
        <v>4.1316390113241203E-2</v>
      </c>
      <c r="D20478" s="1">
        <v>2.88033886339569E-2</v>
      </c>
      <c r="E20478" s="1">
        <v>1.69427710843373E-2</v>
      </c>
      <c r="F20478" s="1">
        <v>3.9940407819767702E-2</v>
      </c>
    </row>
    <row r="20479" spans="1:6" x14ac:dyDescent="0.25">
      <c r="A20479" s="2" t="str">
        <f t="shared" si="719"/>
        <v>43900</v>
      </c>
      <c r="B20479" s="2" t="str">
        <f>"29307"</f>
        <v>29307</v>
      </c>
      <c r="C20479" s="1">
        <v>6.0166875208279597E-2</v>
      </c>
      <c r="D20479" s="1">
        <v>5.1182492057889099E-2</v>
      </c>
      <c r="E20479" s="1">
        <v>6.7018072289156599E-2</v>
      </c>
      <c r="F20479" s="1">
        <v>5.9546690018309797E-2</v>
      </c>
    </row>
    <row r="20480" spans="1:6" x14ac:dyDescent="0.25">
      <c r="A20480" s="2" t="str">
        <f t="shared" si="719"/>
        <v>43900</v>
      </c>
      <c r="B20480" s="2" t="str">
        <f>"29651"</f>
        <v>29651</v>
      </c>
      <c r="C20480" s="1">
        <v>5.6230783257147497E-2</v>
      </c>
      <c r="D20480" s="1">
        <v>6.4454641722555495E-2</v>
      </c>
      <c r="E20480" s="1">
        <v>7.2289156626505993E-2</v>
      </c>
      <c r="F20480" s="1">
        <v>5.713570868067E-2</v>
      </c>
    </row>
    <row r="20481" spans="1:6" x14ac:dyDescent="0.25">
      <c r="A20481" s="2" t="str">
        <f t="shared" si="719"/>
        <v>43900</v>
      </c>
      <c r="B20481" s="2" t="str">
        <f>"29331"</f>
        <v>29331</v>
      </c>
      <c r="C20481" s="1">
        <v>6.2876868228947199E-6</v>
      </c>
      <c r="D20481" s="1">
        <v>7.0596540769502202E-5</v>
      </c>
      <c r="E20481" s="1">
        <v>0</v>
      </c>
      <c r="F20481" s="1">
        <v>1.13725534794327E-5</v>
      </c>
    </row>
    <row r="20482" spans="1:6" x14ac:dyDescent="0.25">
      <c r="A20482" s="2" t="str">
        <f t="shared" si="719"/>
        <v>43900</v>
      </c>
      <c r="B20482" s="2" t="str">
        <f>"29388"</f>
        <v>29388</v>
      </c>
      <c r="C20482" s="1">
        <v>5.1125181556957E-2</v>
      </c>
      <c r="D20482" s="1">
        <v>3.6780797740910601E-2</v>
      </c>
      <c r="E20482" s="1">
        <v>1.5813253012048101E-2</v>
      </c>
      <c r="F20482" s="1">
        <v>4.9436489975094103E-2</v>
      </c>
    </row>
    <row r="20483" spans="1:6" x14ac:dyDescent="0.25">
      <c r="A20483" s="2" t="str">
        <f t="shared" si="719"/>
        <v>43900</v>
      </c>
      <c r="B20483" s="2" t="str">
        <f>"29374"</f>
        <v>29374</v>
      </c>
      <c r="C20483" s="1">
        <v>1.01106004112147E-2</v>
      </c>
      <c r="D20483" s="1">
        <v>2.4708789269325799E-3</v>
      </c>
      <c r="E20483" s="1">
        <v>0</v>
      </c>
      <c r="F20483" s="1">
        <v>9.3425526833539902E-3</v>
      </c>
    </row>
    <row r="20484" spans="1:6" x14ac:dyDescent="0.25">
      <c r="A20484" s="2" t="str">
        <f t="shared" si="719"/>
        <v>43900</v>
      </c>
      <c r="B20484" s="2" t="str">
        <f>"29323"</f>
        <v>29323</v>
      </c>
      <c r="C20484" s="1">
        <v>4.2737407335215402E-2</v>
      </c>
      <c r="D20484" s="1">
        <v>2.0825979527003099E-2</v>
      </c>
      <c r="E20484" s="1">
        <v>2.4849397590361401E-2</v>
      </c>
      <c r="F20484" s="1">
        <v>4.0702368902889703E-2</v>
      </c>
    </row>
    <row r="20485" spans="1:6" x14ac:dyDescent="0.25">
      <c r="A20485" s="2" t="str">
        <f t="shared" si="719"/>
        <v>43900</v>
      </c>
      <c r="B20485" s="2" t="str">
        <f>"29306"</f>
        <v>29306</v>
      </c>
      <c r="C20485" s="1">
        <v>5.3665407033406401E-2</v>
      </c>
      <c r="D20485" s="1">
        <v>8.9022237910342306E-2</v>
      </c>
      <c r="E20485" s="1">
        <v>0.11144578313252999</v>
      </c>
      <c r="F20485" s="1">
        <v>5.73859048572175E-2</v>
      </c>
    </row>
    <row r="20486" spans="1:6" x14ac:dyDescent="0.25">
      <c r="A20486" s="2" t="str">
        <f t="shared" ref="A20486:A20507" si="720">"32260"</f>
        <v>32260</v>
      </c>
      <c r="B20486" s="2" t="str">
        <f>"50635"</f>
        <v>50635</v>
      </c>
      <c r="C20486" s="1">
        <v>6.5033600693691703E-4</v>
      </c>
      <c r="D20486" s="1">
        <v>0</v>
      </c>
      <c r="E20486" s="1">
        <v>0</v>
      </c>
      <c r="F20486" s="1">
        <v>5.6694699045639195E-4</v>
      </c>
    </row>
    <row r="20487" spans="1:6" x14ac:dyDescent="0.25">
      <c r="A20487" s="2" t="str">
        <f t="shared" si="720"/>
        <v>32260</v>
      </c>
      <c r="B20487" s="2" t="str">
        <f>"50609"</f>
        <v>50609</v>
      </c>
      <c r="C20487" s="1">
        <v>2.3303706915239501E-3</v>
      </c>
      <c r="D20487" s="1">
        <v>0</v>
      </c>
      <c r="E20487" s="1">
        <v>0</v>
      </c>
      <c r="F20487" s="1">
        <v>2.0315600491354001E-3</v>
      </c>
    </row>
    <row r="20488" spans="1:6" x14ac:dyDescent="0.25">
      <c r="A20488" s="2" t="str">
        <f t="shared" si="720"/>
        <v>32260</v>
      </c>
      <c r="B20488" s="2" t="str">
        <f>"50239"</f>
        <v>50239</v>
      </c>
      <c r="C20488" s="1">
        <v>5.5820507262085402E-3</v>
      </c>
      <c r="D20488" s="1">
        <v>2.5332488917035999E-3</v>
      </c>
      <c r="E20488" s="1">
        <v>0</v>
      </c>
      <c r="F20488" s="1">
        <v>5.0552773315694901E-3</v>
      </c>
    </row>
    <row r="20489" spans="1:6" x14ac:dyDescent="0.25">
      <c r="A20489" s="2" t="str">
        <f t="shared" si="720"/>
        <v>32260</v>
      </c>
      <c r="B20489" s="2" t="str">
        <f>"50247"</f>
        <v>50247</v>
      </c>
      <c r="C20489" s="1">
        <v>5.9830912638196398E-2</v>
      </c>
      <c r="D20489" s="1">
        <v>3.54654844838505E-2</v>
      </c>
      <c r="E20489" s="1">
        <v>1.6740088105726799E-2</v>
      </c>
      <c r="F20489" s="1">
        <v>5.5702541812340502E-2</v>
      </c>
    </row>
    <row r="20490" spans="1:6" x14ac:dyDescent="0.25">
      <c r="A20490" s="2" t="str">
        <f t="shared" si="720"/>
        <v>32260</v>
      </c>
      <c r="B20490" s="2" t="str">
        <f>"50005"</f>
        <v>50005</v>
      </c>
      <c r="C20490" s="1">
        <v>1.9510080208107499E-2</v>
      </c>
      <c r="D20490" s="1">
        <v>2.5332488917035999E-3</v>
      </c>
      <c r="E20490" s="1">
        <v>4.40528634361233E-3</v>
      </c>
      <c r="F20490" s="1">
        <v>1.7433619956533999E-2</v>
      </c>
    </row>
    <row r="20491" spans="1:6" x14ac:dyDescent="0.25">
      <c r="A20491" s="2" t="str">
        <f t="shared" si="720"/>
        <v>32260</v>
      </c>
      <c r="B20491" s="2" t="str">
        <f>"50055"</f>
        <v>50055</v>
      </c>
      <c r="C20491" s="1">
        <v>4.8775200520268799E-4</v>
      </c>
      <c r="D20491" s="1">
        <v>0</v>
      </c>
      <c r="E20491" s="1">
        <v>0</v>
      </c>
      <c r="F20491" s="1">
        <v>4.2521024284229399E-4</v>
      </c>
    </row>
    <row r="20492" spans="1:6" x14ac:dyDescent="0.25">
      <c r="A20492" s="2" t="str">
        <f t="shared" si="720"/>
        <v>32260</v>
      </c>
      <c r="B20492" s="2" t="str">
        <f>"50028"</f>
        <v>50028</v>
      </c>
      <c r="C20492" s="1">
        <v>1.6258400173422901E-4</v>
      </c>
      <c r="D20492" s="1">
        <v>0</v>
      </c>
      <c r="E20492" s="1">
        <v>0</v>
      </c>
      <c r="F20492" s="1">
        <v>1.4173674761409799E-4</v>
      </c>
    </row>
    <row r="20493" spans="1:6" x14ac:dyDescent="0.25">
      <c r="A20493" s="2" t="str">
        <f t="shared" si="720"/>
        <v>32260</v>
      </c>
      <c r="B20493" s="2" t="str">
        <f>"50148"</f>
        <v>50148</v>
      </c>
      <c r="C20493" s="1">
        <v>1.10557121179275E-2</v>
      </c>
      <c r="D20493" s="1">
        <v>1.8999366687777E-3</v>
      </c>
      <c r="E20493" s="1">
        <v>4.40528634361233E-3</v>
      </c>
      <c r="F20493" s="1">
        <v>1.00160634980629E-2</v>
      </c>
    </row>
    <row r="20494" spans="1:6" x14ac:dyDescent="0.25">
      <c r="A20494" s="2" t="str">
        <f t="shared" si="720"/>
        <v>32260</v>
      </c>
      <c r="B20494" s="2" t="str">
        <f>"50258"</f>
        <v>50258</v>
      </c>
      <c r="C20494" s="1">
        <v>2.9807066984608699E-3</v>
      </c>
      <c r="D20494" s="1">
        <v>1.8999366687777E-3</v>
      </c>
      <c r="E20494" s="1">
        <v>0</v>
      </c>
      <c r="F20494" s="1">
        <v>2.7402437872058902E-3</v>
      </c>
    </row>
    <row r="20495" spans="1:6" x14ac:dyDescent="0.25">
      <c r="A20495" s="2" t="str">
        <f t="shared" si="720"/>
        <v>32260</v>
      </c>
      <c r="B20495" s="2" t="str">
        <f>"50206"</f>
        <v>50206</v>
      </c>
      <c r="C20495" s="1">
        <v>9.7550401040537597E-4</v>
      </c>
      <c r="D20495" s="1">
        <v>0</v>
      </c>
      <c r="E20495" s="1">
        <v>0</v>
      </c>
      <c r="F20495" s="1">
        <v>8.5042048568458799E-4</v>
      </c>
    </row>
    <row r="20496" spans="1:6" x14ac:dyDescent="0.25">
      <c r="A20496" s="2" t="str">
        <f t="shared" si="720"/>
        <v>32260</v>
      </c>
      <c r="B20496" s="2" t="str">
        <f>"50621"</f>
        <v>50621</v>
      </c>
      <c r="C20496" s="1">
        <v>1.68003468458703E-3</v>
      </c>
      <c r="D20496" s="1">
        <v>0</v>
      </c>
      <c r="E20496" s="1">
        <v>0</v>
      </c>
      <c r="F20496" s="1">
        <v>1.46461305867901E-3</v>
      </c>
    </row>
    <row r="20497" spans="1:6" x14ac:dyDescent="0.25">
      <c r="A20497" s="2" t="str">
        <f t="shared" si="720"/>
        <v>32260</v>
      </c>
      <c r="B20497" s="2" t="str">
        <f>"50051"</f>
        <v>50051</v>
      </c>
      <c r="C20497" s="1">
        <v>8.0750054194667197E-3</v>
      </c>
      <c r="D20497" s="1">
        <v>1.2666244458518E-3</v>
      </c>
      <c r="E20497" s="1">
        <v>8.8105726872246602E-4</v>
      </c>
      <c r="F20497" s="1">
        <v>7.1813285457809602E-3</v>
      </c>
    </row>
    <row r="20498" spans="1:6" x14ac:dyDescent="0.25">
      <c r="A20498" s="2" t="str">
        <f t="shared" si="720"/>
        <v>32260</v>
      </c>
      <c r="B20498" s="2" t="str">
        <f>"50120"</f>
        <v>50120</v>
      </c>
      <c r="C20498" s="1">
        <v>7.804032083243E-3</v>
      </c>
      <c r="D20498" s="1">
        <v>0</v>
      </c>
      <c r="E20498" s="1">
        <v>8.8105726872246602E-4</v>
      </c>
      <c r="F20498" s="1">
        <v>6.8506094680147404E-3</v>
      </c>
    </row>
    <row r="20499" spans="1:6" x14ac:dyDescent="0.25">
      <c r="A20499" s="2" t="str">
        <f t="shared" si="720"/>
        <v>32260</v>
      </c>
      <c r="B20499" s="2" t="str">
        <f>"50632"</f>
        <v>50632</v>
      </c>
      <c r="C20499" s="1">
        <v>3.36006936917407E-3</v>
      </c>
      <c r="D20499" s="1">
        <v>5.6998100063331203E-3</v>
      </c>
      <c r="E20499" s="1">
        <v>5.2863436123347998E-3</v>
      </c>
      <c r="F20499" s="1">
        <v>3.6379098554285101E-3</v>
      </c>
    </row>
    <row r="20500" spans="1:6" x14ac:dyDescent="0.25">
      <c r="A20500" s="2" t="str">
        <f t="shared" si="720"/>
        <v>32260</v>
      </c>
      <c r="B20500" s="2" t="str">
        <f>"50234"</f>
        <v>50234</v>
      </c>
      <c r="C20500" s="1">
        <v>1.4795144157814801E-2</v>
      </c>
      <c r="D20500" s="1">
        <v>1.8999366687777E-3</v>
      </c>
      <c r="E20500" s="1">
        <v>7.0484581497797299E-3</v>
      </c>
      <c r="F20500" s="1">
        <v>1.3417745440801199E-2</v>
      </c>
    </row>
    <row r="20501" spans="1:6" x14ac:dyDescent="0.25">
      <c r="A20501" s="2" t="str">
        <f t="shared" si="720"/>
        <v>32260</v>
      </c>
      <c r="B20501" s="2" t="str">
        <f>"50142"</f>
        <v>50142</v>
      </c>
      <c r="C20501" s="1">
        <v>1.65835681768913E-2</v>
      </c>
      <c r="D20501" s="1">
        <v>3.1665611146295099E-3</v>
      </c>
      <c r="E20501" s="1">
        <v>7.9295154185021997E-3</v>
      </c>
      <c r="F20501" s="1">
        <v>1.51185864121704E-2</v>
      </c>
    </row>
    <row r="20502" spans="1:6" x14ac:dyDescent="0.25">
      <c r="A20502" s="2" t="str">
        <f t="shared" si="720"/>
        <v>32260</v>
      </c>
      <c r="B20502" s="2" t="str">
        <f>"50141"</f>
        <v>50141</v>
      </c>
      <c r="C20502" s="1">
        <v>1.1868632126598701E-2</v>
      </c>
      <c r="D20502" s="1">
        <v>1.2666244458518E-3</v>
      </c>
      <c r="E20502" s="1">
        <v>5.2863436123347998E-3</v>
      </c>
      <c r="F20502" s="1">
        <v>1.0724747236133401E-2</v>
      </c>
    </row>
    <row r="20503" spans="1:6" x14ac:dyDescent="0.25">
      <c r="A20503" s="2" t="str">
        <f t="shared" si="720"/>
        <v>32260</v>
      </c>
      <c r="B20503" s="2" t="str">
        <f>"50173"</f>
        <v>50173</v>
      </c>
      <c r="C20503" s="1">
        <v>5.4194667244743097E-5</v>
      </c>
      <c r="D20503" s="1">
        <v>0</v>
      </c>
      <c r="E20503" s="1">
        <v>0</v>
      </c>
      <c r="F20503" s="1">
        <v>4.7245582538032602E-5</v>
      </c>
    </row>
    <row r="20504" spans="1:6" x14ac:dyDescent="0.25">
      <c r="A20504" s="2" t="str">
        <f t="shared" si="720"/>
        <v>32260</v>
      </c>
      <c r="B20504" s="2" t="str">
        <f>"50162"</f>
        <v>50162</v>
      </c>
      <c r="C20504" s="1">
        <v>2.7259917624105699E-2</v>
      </c>
      <c r="D20504" s="1">
        <v>5.0664977834072103E-3</v>
      </c>
      <c r="E20504" s="1">
        <v>1.5859030837004399E-2</v>
      </c>
      <c r="F20504" s="1">
        <v>2.4992913162619201E-2</v>
      </c>
    </row>
    <row r="20505" spans="1:6" x14ac:dyDescent="0.25">
      <c r="A20505" s="2" t="str">
        <f t="shared" si="720"/>
        <v>32260</v>
      </c>
      <c r="B20505" s="2" t="str">
        <f>"50158"</f>
        <v>50158</v>
      </c>
      <c r="C20505" s="1">
        <v>0.77915673097767102</v>
      </c>
      <c r="D20505" s="1">
        <v>0.93033565547815</v>
      </c>
      <c r="E20505" s="1">
        <v>0.91189427312775295</v>
      </c>
      <c r="F20505" s="1">
        <v>0.79755267882452896</v>
      </c>
    </row>
    <row r="20506" spans="1:6" x14ac:dyDescent="0.25">
      <c r="A20506" s="2" t="str">
        <f t="shared" si="720"/>
        <v>32260</v>
      </c>
      <c r="B20506" s="2" t="str">
        <f>"50106"</f>
        <v>50106</v>
      </c>
      <c r="C20506" s="1">
        <v>2.2328202904834098E-2</v>
      </c>
      <c r="D20506" s="1">
        <v>1.8999366687777E-3</v>
      </c>
      <c r="E20506" s="1">
        <v>1.7621145374449299E-2</v>
      </c>
      <c r="F20506" s="1">
        <v>2.0551828404044199E-2</v>
      </c>
    </row>
    <row r="20507" spans="1:6" x14ac:dyDescent="0.25">
      <c r="A20507" s="2" t="str">
        <f t="shared" si="720"/>
        <v>32260</v>
      </c>
      <c r="B20507" s="2" t="str">
        <f>"50078"</f>
        <v>50078</v>
      </c>
      <c r="C20507" s="1">
        <v>3.46845870366355E-3</v>
      </c>
      <c r="D20507" s="1">
        <v>5.0664977834072103E-3</v>
      </c>
      <c r="E20507" s="1">
        <v>1.7621145374449301E-3</v>
      </c>
      <c r="F20507" s="1">
        <v>3.4961731078144102E-3</v>
      </c>
    </row>
    <row r="20508" spans="1:6" x14ac:dyDescent="0.25">
      <c r="A20508" s="2" t="str">
        <f t="shared" ref="A20508:A20526" si="721">"36820"</f>
        <v>36820</v>
      </c>
      <c r="B20508" s="2" t="str">
        <f>"52553"</f>
        <v>52553</v>
      </c>
      <c r="C20508" s="1">
        <v>2.0599595365091001E-2</v>
      </c>
      <c r="D20508" s="1">
        <v>6.2111801242236003E-3</v>
      </c>
      <c r="E20508" s="1">
        <v>4.7393364928909904E-3</v>
      </c>
      <c r="F20508" s="1">
        <v>1.8920241396183299E-2</v>
      </c>
    </row>
    <row r="20509" spans="1:6" x14ac:dyDescent="0.25">
      <c r="A20509" s="2" t="str">
        <f t="shared" si="721"/>
        <v>36820</v>
      </c>
      <c r="B20509" s="2" t="str">
        <f>"52543"</f>
        <v>52543</v>
      </c>
      <c r="C20509" s="1">
        <v>9.8399852860033103E-3</v>
      </c>
      <c r="D20509" s="1">
        <v>3.1055900621118002E-3</v>
      </c>
      <c r="E20509" s="1">
        <v>2.36966824644549E-3</v>
      </c>
      <c r="F20509" s="1">
        <v>9.0523568748980508E-3</v>
      </c>
    </row>
    <row r="20510" spans="1:6" x14ac:dyDescent="0.25">
      <c r="A20510" s="2" t="str">
        <f t="shared" si="721"/>
        <v>36820</v>
      </c>
      <c r="B20510" s="2" t="str">
        <f>"50044"</f>
        <v>50044</v>
      </c>
      <c r="C20510" s="1">
        <v>6.4373735515909497E-3</v>
      </c>
      <c r="D20510" s="1">
        <v>1.0351966873706001E-3</v>
      </c>
      <c r="E20510" s="1">
        <v>0</v>
      </c>
      <c r="F20510" s="1">
        <v>5.7902462893491997E-3</v>
      </c>
    </row>
    <row r="20511" spans="1:6" x14ac:dyDescent="0.25">
      <c r="A20511" s="2" t="str">
        <f t="shared" si="721"/>
        <v>36820</v>
      </c>
      <c r="B20511" s="2" t="str">
        <f>"50256"</f>
        <v>50256</v>
      </c>
      <c r="C20511" s="1">
        <v>2.8508368585616999E-3</v>
      </c>
      <c r="D20511" s="1">
        <v>0</v>
      </c>
      <c r="E20511" s="1">
        <v>0</v>
      </c>
      <c r="F20511" s="1">
        <v>2.52813570380035E-3</v>
      </c>
    </row>
    <row r="20512" spans="1:6" x14ac:dyDescent="0.25">
      <c r="A20512" s="2" t="str">
        <f t="shared" si="721"/>
        <v>36820</v>
      </c>
      <c r="B20512" s="2" t="str">
        <f>"52586"</f>
        <v>52586</v>
      </c>
      <c r="C20512" s="1">
        <v>2.10594077616332E-2</v>
      </c>
      <c r="D20512" s="1">
        <v>1.0351966873706001E-3</v>
      </c>
      <c r="E20512" s="1">
        <v>2.36966824644549E-3</v>
      </c>
      <c r="F20512" s="1">
        <v>1.8838688631544601E-2</v>
      </c>
    </row>
    <row r="20513" spans="1:6" x14ac:dyDescent="0.25">
      <c r="A20513" s="2" t="str">
        <f t="shared" si="721"/>
        <v>36820</v>
      </c>
      <c r="B20513" s="2" t="str">
        <f>"50251"</f>
        <v>50251</v>
      </c>
      <c r="C20513" s="1">
        <v>1.83924958616884E-4</v>
      </c>
      <c r="D20513" s="1">
        <v>1.0351966873706001E-3</v>
      </c>
      <c r="E20513" s="1">
        <v>0</v>
      </c>
      <c r="F20513" s="1">
        <v>2.4465829391616297E-4</v>
      </c>
    </row>
    <row r="20514" spans="1:6" x14ac:dyDescent="0.25">
      <c r="A20514" s="2" t="str">
        <f t="shared" si="721"/>
        <v>36820</v>
      </c>
      <c r="B20514" s="2" t="str">
        <f>"50153"</f>
        <v>50153</v>
      </c>
      <c r="C20514" s="1">
        <v>1.1035497517013001E-3</v>
      </c>
      <c r="D20514" s="1">
        <v>1.0351966873706001E-3</v>
      </c>
      <c r="E20514" s="1">
        <v>0</v>
      </c>
      <c r="F20514" s="1">
        <v>1.0601859403033701E-3</v>
      </c>
    </row>
    <row r="20515" spans="1:6" x14ac:dyDescent="0.25">
      <c r="A20515" s="2" t="str">
        <f t="shared" si="721"/>
        <v>36820</v>
      </c>
      <c r="B20515" s="2" t="str">
        <f>"52561"</f>
        <v>52561</v>
      </c>
      <c r="C20515" s="1">
        <v>3.9543866102630103E-2</v>
      </c>
      <c r="D20515" s="1">
        <v>1.4492753623188401E-2</v>
      </c>
      <c r="E20515" s="1">
        <v>2.60663507109004E-2</v>
      </c>
      <c r="F20515" s="1">
        <v>3.7106507910618099E-2</v>
      </c>
    </row>
    <row r="20516" spans="1:6" x14ac:dyDescent="0.25">
      <c r="A20516" s="2" t="str">
        <f t="shared" si="721"/>
        <v>36820</v>
      </c>
      <c r="B20516" s="2" t="str">
        <f>"50104"</f>
        <v>50104</v>
      </c>
      <c r="C20516" s="1">
        <v>2.7588743792532599E-4</v>
      </c>
      <c r="D20516" s="1">
        <v>1.0351966873706001E-3</v>
      </c>
      <c r="E20516" s="1">
        <v>0</v>
      </c>
      <c r="F20516" s="1">
        <v>3.2621105855488498E-4</v>
      </c>
    </row>
    <row r="20517" spans="1:6" x14ac:dyDescent="0.25">
      <c r="A20517" s="2" t="str">
        <f t="shared" si="721"/>
        <v>36820</v>
      </c>
      <c r="B20517" s="2" t="str">
        <f>"50027"</f>
        <v>50027</v>
      </c>
      <c r="C20517" s="1">
        <v>1.37943718962663E-2</v>
      </c>
      <c r="D20517" s="1">
        <v>2.4844720496894401E-2</v>
      </c>
      <c r="E20517" s="1">
        <v>4.7393364928909904E-3</v>
      </c>
      <c r="F20517" s="1">
        <v>1.43532865764149E-2</v>
      </c>
    </row>
    <row r="20518" spans="1:6" x14ac:dyDescent="0.25">
      <c r="A20518" s="2" t="str">
        <f t="shared" si="721"/>
        <v>36820</v>
      </c>
      <c r="B20518" s="2" t="str">
        <f>"52577"</f>
        <v>52577</v>
      </c>
      <c r="C20518" s="1">
        <v>0.68594813316167003</v>
      </c>
      <c r="D20518" s="1">
        <v>0.894409937888198</v>
      </c>
      <c r="E20518" s="1">
        <v>0.90284360189573398</v>
      </c>
      <c r="F20518" s="1">
        <v>0.70983526341542902</v>
      </c>
    </row>
    <row r="20519" spans="1:6" x14ac:dyDescent="0.25">
      <c r="A20519" s="2" t="str">
        <f t="shared" si="721"/>
        <v>36820</v>
      </c>
      <c r="B20519" s="2" t="str">
        <f>"52501"</f>
        <v>52501</v>
      </c>
      <c r="C20519" s="1">
        <v>3.67849917233768E-4</v>
      </c>
      <c r="D20519" s="1">
        <v>0</v>
      </c>
      <c r="E20519" s="1">
        <v>0</v>
      </c>
      <c r="F20519" s="1">
        <v>3.2621105855488498E-4</v>
      </c>
    </row>
    <row r="20520" spans="1:6" x14ac:dyDescent="0.25">
      <c r="A20520" s="2" t="str">
        <f t="shared" si="721"/>
        <v>36820</v>
      </c>
      <c r="B20520" s="2" t="str">
        <f>"52534"</f>
        <v>52534</v>
      </c>
      <c r="C20520" s="1">
        <v>1.5081846606584501E-2</v>
      </c>
      <c r="D20520" s="1">
        <v>1.0351966873706001E-3</v>
      </c>
      <c r="E20520" s="1">
        <v>2.36966824644549E-3</v>
      </c>
      <c r="F20520" s="1">
        <v>1.3537758930027699E-2</v>
      </c>
    </row>
    <row r="20521" spans="1:6" x14ac:dyDescent="0.25">
      <c r="A20521" s="2" t="str">
        <f t="shared" si="721"/>
        <v>36820</v>
      </c>
      <c r="B20521" s="2" t="str">
        <f>"50268"</f>
        <v>50268</v>
      </c>
      <c r="C20521" s="1">
        <v>2.3910244620194902E-3</v>
      </c>
      <c r="D20521" s="1">
        <v>0</v>
      </c>
      <c r="E20521" s="1">
        <v>0</v>
      </c>
      <c r="F20521" s="1">
        <v>2.1203718806067501E-3</v>
      </c>
    </row>
    <row r="20522" spans="1:6" x14ac:dyDescent="0.25">
      <c r="A20522" s="2" t="str">
        <f t="shared" si="721"/>
        <v>36820</v>
      </c>
      <c r="B20522" s="2" t="str">
        <f>"50207"</f>
        <v>50207</v>
      </c>
      <c r="C20522" s="1">
        <v>0.11035497517013</v>
      </c>
      <c r="D20522" s="1">
        <v>3.9337474120082802E-2</v>
      </c>
      <c r="E20522" s="1">
        <v>4.5023696682464399E-2</v>
      </c>
      <c r="F20522" s="1">
        <v>0.102511825150872</v>
      </c>
    </row>
    <row r="20523" spans="1:6" x14ac:dyDescent="0.25">
      <c r="A20523" s="2" t="str">
        <f t="shared" si="721"/>
        <v>36820</v>
      </c>
      <c r="B20523" s="2" t="str">
        <f>"52595"</f>
        <v>52595</v>
      </c>
      <c r="C20523" s="1">
        <v>1.7288946109987099E-2</v>
      </c>
      <c r="D20523" s="1">
        <v>1.0351966873706001E-3</v>
      </c>
      <c r="E20523" s="1">
        <v>2.36966824644549E-3</v>
      </c>
      <c r="F20523" s="1">
        <v>1.5495025281356999E-2</v>
      </c>
    </row>
    <row r="20524" spans="1:6" x14ac:dyDescent="0.25">
      <c r="A20524" s="2" t="str">
        <f t="shared" si="721"/>
        <v>36820</v>
      </c>
      <c r="B20524" s="2" t="str">
        <f>"52550"</f>
        <v>52550</v>
      </c>
      <c r="C20524" s="1">
        <v>2.7588743792532599E-4</v>
      </c>
      <c r="D20524" s="1">
        <v>0</v>
      </c>
      <c r="E20524" s="1">
        <v>0</v>
      </c>
      <c r="F20524" s="1">
        <v>2.4465829391616297E-4</v>
      </c>
    </row>
    <row r="20525" spans="1:6" x14ac:dyDescent="0.25">
      <c r="A20525" s="2" t="str">
        <f t="shared" si="721"/>
        <v>36820</v>
      </c>
      <c r="B20525" s="2" t="str">
        <f>"50219"</f>
        <v>50219</v>
      </c>
      <c r="C20525" s="1">
        <v>2.6301269082214401E-2</v>
      </c>
      <c r="D20525" s="1">
        <v>6.2111801242236003E-3</v>
      </c>
      <c r="E20525" s="1">
        <v>0</v>
      </c>
      <c r="F20525" s="1">
        <v>2.38134072745066E-2</v>
      </c>
    </row>
    <row r="20526" spans="1:6" x14ac:dyDescent="0.25">
      <c r="A20526" s="2" t="str">
        <f t="shared" si="721"/>
        <v>36820</v>
      </c>
      <c r="B20526" s="2" t="str">
        <f>"50143"</f>
        <v>50143</v>
      </c>
      <c r="C20526" s="1">
        <v>2.6301269082214401E-2</v>
      </c>
      <c r="D20526" s="1">
        <v>4.1407867494824002E-3</v>
      </c>
      <c r="E20526" s="1">
        <v>7.10900473933649E-3</v>
      </c>
      <c r="F20526" s="1">
        <v>2.3894960039145301E-2</v>
      </c>
    </row>
    <row r="20527" spans="1:6" x14ac:dyDescent="0.25">
      <c r="A20527" s="2" t="str">
        <f t="shared" ref="A20527:A20551" si="722">"32380"</f>
        <v>32380</v>
      </c>
      <c r="B20527" s="2" t="str">
        <f>"50467"</f>
        <v>50467</v>
      </c>
      <c r="C20527" s="1">
        <v>1.9586507072905301E-3</v>
      </c>
      <c r="D20527" s="1">
        <v>2.6345502446367998E-3</v>
      </c>
      <c r="E20527" s="1">
        <v>9.7847358121330697E-4</v>
      </c>
      <c r="F20527" s="1">
        <v>1.98406349003168E-3</v>
      </c>
    </row>
    <row r="20528" spans="1:6" x14ac:dyDescent="0.25">
      <c r="A20528" s="2" t="str">
        <f t="shared" si="722"/>
        <v>32380</v>
      </c>
      <c r="B20528" s="2" t="str">
        <f>"50450"</f>
        <v>50450</v>
      </c>
      <c r="C20528" s="1">
        <v>2.7928908233587199E-3</v>
      </c>
      <c r="D20528" s="1">
        <v>3.76364320662401E-4</v>
      </c>
      <c r="E20528" s="1">
        <v>0</v>
      </c>
      <c r="F20528" s="1">
        <v>2.4960798745559802E-3</v>
      </c>
    </row>
    <row r="20529" spans="1:6" x14ac:dyDescent="0.25">
      <c r="A20529" s="2" t="str">
        <f t="shared" si="722"/>
        <v>32380</v>
      </c>
      <c r="B20529" s="2" t="str">
        <f>"50461"</f>
        <v>50461</v>
      </c>
      <c r="C20529" s="1">
        <v>3.6271309394269101E-5</v>
      </c>
      <c r="D20529" s="1">
        <v>0</v>
      </c>
      <c r="E20529" s="1">
        <v>0</v>
      </c>
      <c r="F20529" s="1">
        <v>3.2001024032769001E-5</v>
      </c>
    </row>
    <row r="20530" spans="1:6" x14ac:dyDescent="0.25">
      <c r="A20530" s="2" t="str">
        <f t="shared" si="722"/>
        <v>32380</v>
      </c>
      <c r="B20530" s="2" t="str">
        <f>"50479"</f>
        <v>50479</v>
      </c>
      <c r="C20530" s="1">
        <v>1.1534276387377499E-2</v>
      </c>
      <c r="D20530" s="1">
        <v>1.8818216033120001E-3</v>
      </c>
      <c r="E20530" s="1">
        <v>7.8277886497064506E-3</v>
      </c>
      <c r="F20530" s="1">
        <v>1.05923389548465E-2</v>
      </c>
    </row>
    <row r="20531" spans="1:6" x14ac:dyDescent="0.25">
      <c r="A20531" s="2" t="str">
        <f t="shared" si="722"/>
        <v>32380</v>
      </c>
      <c r="B20531" s="2" t="str">
        <f>"50440"</f>
        <v>50440</v>
      </c>
      <c r="C20531" s="1">
        <v>7.6532462821907801E-3</v>
      </c>
      <c r="D20531" s="1">
        <v>3.7636432066240101E-3</v>
      </c>
      <c r="E20531" s="1">
        <v>0</v>
      </c>
      <c r="F20531" s="1">
        <v>7.0722263112419498E-3</v>
      </c>
    </row>
    <row r="20532" spans="1:6" x14ac:dyDescent="0.25">
      <c r="A20532" s="2" t="str">
        <f t="shared" si="722"/>
        <v>32380</v>
      </c>
      <c r="B20532" s="2" t="str">
        <f>"50434"</f>
        <v>50434</v>
      </c>
      <c r="C20532" s="1">
        <v>6.4562930721799002E-3</v>
      </c>
      <c r="D20532" s="1">
        <v>0</v>
      </c>
      <c r="E20532" s="1">
        <v>2.9354207436399198E-3</v>
      </c>
      <c r="F20532" s="1">
        <v>5.79218534993119E-3</v>
      </c>
    </row>
    <row r="20533" spans="1:6" x14ac:dyDescent="0.25">
      <c r="A20533" s="2" t="str">
        <f t="shared" si="722"/>
        <v>32380</v>
      </c>
      <c r="B20533" s="2" t="str">
        <f>"50428"</f>
        <v>50428</v>
      </c>
      <c r="C20533" s="1">
        <v>0.214399709829524</v>
      </c>
      <c r="D20533" s="1">
        <v>0.17613850207000301</v>
      </c>
      <c r="E20533" s="1">
        <v>0.22798434442269999</v>
      </c>
      <c r="F20533" s="1">
        <v>0.21159077090466799</v>
      </c>
    </row>
    <row r="20534" spans="1:6" x14ac:dyDescent="0.25">
      <c r="A20534" s="2" t="str">
        <f t="shared" si="722"/>
        <v>32380</v>
      </c>
      <c r="B20534" s="2" t="str">
        <f>"50477"</f>
        <v>50477</v>
      </c>
      <c r="C20534" s="1">
        <v>3.2281465360899501E-3</v>
      </c>
      <c r="D20534" s="1">
        <v>3.76364320662401E-4</v>
      </c>
      <c r="E20534" s="1">
        <v>2.9354207436399198E-3</v>
      </c>
      <c r="F20534" s="1">
        <v>2.9760952350475199E-3</v>
      </c>
    </row>
    <row r="20535" spans="1:6" x14ac:dyDescent="0.25">
      <c r="A20535" s="2" t="str">
        <f t="shared" si="722"/>
        <v>32380</v>
      </c>
      <c r="B20535" s="2" t="str">
        <f>"50457"</f>
        <v>50457</v>
      </c>
      <c r="C20535" s="1">
        <v>7.1817192600652797E-3</v>
      </c>
      <c r="D20535" s="1">
        <v>5.26910048927361E-3</v>
      </c>
      <c r="E20535" s="1">
        <v>4.8923679060665299E-3</v>
      </c>
      <c r="F20535" s="1">
        <v>6.9442222151108804E-3</v>
      </c>
    </row>
    <row r="20536" spans="1:6" x14ac:dyDescent="0.25">
      <c r="A20536" s="2" t="str">
        <f t="shared" si="722"/>
        <v>32380</v>
      </c>
      <c r="B20536" s="2" t="str">
        <f>"50449"</f>
        <v>50449</v>
      </c>
      <c r="C20536" s="1">
        <v>1.08813928182807E-4</v>
      </c>
      <c r="D20536" s="1">
        <v>0</v>
      </c>
      <c r="E20536" s="1">
        <v>0</v>
      </c>
      <c r="F20536" s="1">
        <v>9.6003072098307097E-5</v>
      </c>
    </row>
    <row r="20537" spans="1:6" x14ac:dyDescent="0.25">
      <c r="A20537" s="2" t="str">
        <f t="shared" si="722"/>
        <v>32380</v>
      </c>
      <c r="B20537" s="2" t="str">
        <f>"50459"</f>
        <v>50459</v>
      </c>
      <c r="C20537" s="1">
        <v>5.4697134566557802E-2</v>
      </c>
      <c r="D20537" s="1">
        <v>5.9841926985321703E-2</v>
      </c>
      <c r="E20537" s="1">
        <v>6.4579256360078205E-2</v>
      </c>
      <c r="F20537" s="1">
        <v>5.5457774648788698E-2</v>
      </c>
    </row>
    <row r="20538" spans="1:6" x14ac:dyDescent="0.25">
      <c r="A20538" s="2" t="str">
        <f t="shared" si="722"/>
        <v>32380</v>
      </c>
      <c r="B20538" s="2" t="str">
        <f>"50456"</f>
        <v>50456</v>
      </c>
      <c r="C20538" s="1">
        <v>2.8400435255712699E-2</v>
      </c>
      <c r="D20538" s="1">
        <v>7.5272864132480202E-3</v>
      </c>
      <c r="E20538" s="1">
        <v>2.34833659491193E-2</v>
      </c>
      <c r="F20538" s="1">
        <v>2.64648468751E-2</v>
      </c>
    </row>
    <row r="20539" spans="1:6" x14ac:dyDescent="0.25">
      <c r="A20539" s="2" t="str">
        <f t="shared" si="722"/>
        <v>32380</v>
      </c>
      <c r="B20539" s="2" t="str">
        <f>"50444"</f>
        <v>50444</v>
      </c>
      <c r="C20539" s="1">
        <v>4.4976423648893701E-3</v>
      </c>
      <c r="D20539" s="1">
        <v>2.6345502446367998E-3</v>
      </c>
      <c r="E20539" s="1">
        <v>3.9138943248532201E-3</v>
      </c>
      <c r="F20539" s="1">
        <v>4.32013824442382E-3</v>
      </c>
    </row>
    <row r="20540" spans="1:6" x14ac:dyDescent="0.25">
      <c r="A20540" s="2" t="str">
        <f t="shared" si="722"/>
        <v>32380</v>
      </c>
      <c r="B20540" s="2" t="str">
        <f>"50469"</f>
        <v>50469</v>
      </c>
      <c r="C20540" s="1">
        <v>2.5607544432353999E-2</v>
      </c>
      <c r="D20540" s="1">
        <v>7.9036507339104202E-3</v>
      </c>
      <c r="E20540" s="1">
        <v>1.0763209393346299E-2</v>
      </c>
      <c r="F20540" s="1">
        <v>2.3616755736183499E-2</v>
      </c>
    </row>
    <row r="20541" spans="1:6" x14ac:dyDescent="0.25">
      <c r="A20541" s="2" t="str">
        <f t="shared" si="722"/>
        <v>32380</v>
      </c>
      <c r="B20541" s="2" t="str">
        <f>"50433"</f>
        <v>50433</v>
      </c>
      <c r="C20541" s="1">
        <v>3.0467899891185998E-3</v>
      </c>
      <c r="D20541" s="1">
        <v>1.8818216033120001E-3</v>
      </c>
      <c r="E20541" s="1">
        <v>9.7847358121330697E-4</v>
      </c>
      <c r="F20541" s="1">
        <v>2.88009216294921E-3</v>
      </c>
    </row>
    <row r="20542" spans="1:6" x14ac:dyDescent="0.25">
      <c r="A20542" s="2" t="str">
        <f t="shared" si="722"/>
        <v>32380</v>
      </c>
      <c r="B20542" s="2" t="str">
        <f>"50401"</f>
        <v>50401</v>
      </c>
      <c r="C20542" s="1">
        <v>0.54211099020674602</v>
      </c>
      <c r="D20542" s="1">
        <v>0.60406473466315302</v>
      </c>
      <c r="E20542" s="1">
        <v>0.61350293542074297</v>
      </c>
      <c r="F20542" s="1">
        <v>0.54971359083490601</v>
      </c>
    </row>
    <row r="20543" spans="1:6" x14ac:dyDescent="0.25">
      <c r="A20543" s="2" t="str">
        <f t="shared" si="722"/>
        <v>32380</v>
      </c>
      <c r="B20543" s="2" t="str">
        <f>"50475"</f>
        <v>50475</v>
      </c>
      <c r="C20543" s="1">
        <v>1.81356546971345E-3</v>
      </c>
      <c r="D20543" s="1">
        <v>0</v>
      </c>
      <c r="E20543" s="1">
        <v>0</v>
      </c>
      <c r="F20543" s="1">
        <v>1.60005120163845E-3</v>
      </c>
    </row>
    <row r="20544" spans="1:6" x14ac:dyDescent="0.25">
      <c r="A20544" s="2" t="str">
        <f t="shared" si="722"/>
        <v>32380</v>
      </c>
      <c r="B20544" s="2" t="str">
        <f>"50468"</f>
        <v>50468</v>
      </c>
      <c r="C20544" s="1">
        <v>2.3213638012332199E-3</v>
      </c>
      <c r="D20544" s="1">
        <v>0</v>
      </c>
      <c r="E20544" s="1">
        <v>0</v>
      </c>
      <c r="F20544" s="1">
        <v>2.04806553809721E-3</v>
      </c>
    </row>
    <row r="20545" spans="1:6" x14ac:dyDescent="0.25">
      <c r="A20545" s="2" t="str">
        <f t="shared" si="722"/>
        <v>32380</v>
      </c>
      <c r="B20545" s="2" t="str">
        <f>"50446"</f>
        <v>50446</v>
      </c>
      <c r="C20545" s="1">
        <v>8.5963003264417793E-3</v>
      </c>
      <c r="D20545" s="1">
        <v>1.8818216033120001E-3</v>
      </c>
      <c r="E20545" s="1">
        <v>5.8708414872798396E-3</v>
      </c>
      <c r="F20545" s="1">
        <v>7.9362539601267202E-3</v>
      </c>
    </row>
    <row r="20546" spans="1:6" x14ac:dyDescent="0.25">
      <c r="A20546" s="2" t="str">
        <f t="shared" si="722"/>
        <v>32380</v>
      </c>
      <c r="B20546" s="2" t="str">
        <f>"50458"</f>
        <v>50458</v>
      </c>
      <c r="C20546" s="1">
        <v>3.6634022488211799E-3</v>
      </c>
      <c r="D20546" s="1">
        <v>3.76364320662401E-4</v>
      </c>
      <c r="E20546" s="1">
        <v>0</v>
      </c>
      <c r="F20546" s="1">
        <v>3.2641044513424399E-3</v>
      </c>
    </row>
    <row r="20547" spans="1:6" x14ac:dyDescent="0.25">
      <c r="A20547" s="2" t="str">
        <f t="shared" si="722"/>
        <v>32380</v>
      </c>
      <c r="B20547" s="2" t="str">
        <f>"50448"</f>
        <v>50448</v>
      </c>
      <c r="C20547" s="1">
        <v>1.1461733768589E-2</v>
      </c>
      <c r="D20547" s="1">
        <v>3.7636432066240101E-3</v>
      </c>
      <c r="E20547" s="1">
        <v>4.8923679060665299E-3</v>
      </c>
      <c r="F20547" s="1">
        <v>1.05923389548465E-2</v>
      </c>
    </row>
    <row r="20548" spans="1:6" x14ac:dyDescent="0.25">
      <c r="A20548" s="2" t="str">
        <f t="shared" si="722"/>
        <v>32380</v>
      </c>
      <c r="B20548" s="2" t="str">
        <f>"50402"</f>
        <v>50402</v>
      </c>
      <c r="C20548" s="1">
        <v>2.9923830250272E-2</v>
      </c>
      <c r="D20548" s="1">
        <v>0.111780203236733</v>
      </c>
      <c r="E20548" s="1">
        <v>1.95694716242661E-3</v>
      </c>
      <c r="F20548" s="1">
        <v>3.59691510128324E-2</v>
      </c>
    </row>
    <row r="20549" spans="1:6" x14ac:dyDescent="0.25">
      <c r="A20549" s="2" t="str">
        <f t="shared" si="722"/>
        <v>32380</v>
      </c>
      <c r="B20549" s="2" t="str">
        <f>"50472"</f>
        <v>50472</v>
      </c>
      <c r="C20549" s="1">
        <v>1.4145810663764901E-3</v>
      </c>
      <c r="D20549" s="1">
        <v>0</v>
      </c>
      <c r="E20549" s="1">
        <v>0</v>
      </c>
      <c r="F20549" s="1">
        <v>1.2480399372779901E-3</v>
      </c>
    </row>
    <row r="20550" spans="1:6" x14ac:dyDescent="0.25">
      <c r="A20550" s="2" t="str">
        <f t="shared" si="722"/>
        <v>32380</v>
      </c>
      <c r="B20550" s="2" t="str">
        <f>"50482"</f>
        <v>50482</v>
      </c>
      <c r="C20550" s="1">
        <v>1.55966630395357E-2</v>
      </c>
      <c r="D20550" s="1">
        <v>1.5054572826496001E-3</v>
      </c>
      <c r="E20550" s="1">
        <v>1.8590998043052798E-2</v>
      </c>
      <c r="F20550" s="1">
        <v>1.44964638868443E-2</v>
      </c>
    </row>
    <row r="20551" spans="1:6" x14ac:dyDescent="0.25">
      <c r="A20551" s="2" t="str">
        <f t="shared" si="722"/>
        <v>32380</v>
      </c>
      <c r="B20551" s="2" t="str">
        <f>"50464"</f>
        <v>50464</v>
      </c>
      <c r="C20551" s="1">
        <v>1.1498005077983301E-2</v>
      </c>
      <c r="D20551" s="1">
        <v>6.3981934512608203E-3</v>
      </c>
      <c r="E20551" s="1">
        <v>3.9138943248532201E-3</v>
      </c>
      <c r="F20551" s="1">
        <v>1.0816346123075899E-2</v>
      </c>
    </row>
    <row r="20552" spans="1:6" x14ac:dyDescent="0.25">
      <c r="A20552" s="2" t="str">
        <f t="shared" ref="A20552:A20563" si="723">"44020"</f>
        <v>44020</v>
      </c>
      <c r="B20552" s="2" t="str">
        <f>"51351"</f>
        <v>51351</v>
      </c>
      <c r="C20552" s="1">
        <v>0.238977367979882</v>
      </c>
      <c r="D20552" s="1">
        <v>0.24374999999999999</v>
      </c>
      <c r="E20552" s="1">
        <v>0.17879746835443</v>
      </c>
      <c r="F20552" s="1">
        <v>0.23641670408621401</v>
      </c>
    </row>
    <row r="20553" spans="1:6" x14ac:dyDescent="0.25">
      <c r="A20553" s="2" t="str">
        <f t="shared" si="723"/>
        <v>44020</v>
      </c>
      <c r="B20553" s="2" t="str">
        <f>"51333"</f>
        <v>51333</v>
      </c>
      <c r="C20553" s="1">
        <v>2.51466890192791E-4</v>
      </c>
      <c r="D20553" s="1">
        <v>0</v>
      </c>
      <c r="E20553" s="1">
        <v>0</v>
      </c>
      <c r="F20553" s="1">
        <v>2.2451728783116201E-4</v>
      </c>
    </row>
    <row r="20554" spans="1:6" x14ac:dyDescent="0.25">
      <c r="A20554" s="2" t="str">
        <f t="shared" si="723"/>
        <v>44020</v>
      </c>
      <c r="B20554" s="2" t="str">
        <f>"51355"</f>
        <v>51355</v>
      </c>
      <c r="C20554" s="1">
        <v>8.2564962279966403E-2</v>
      </c>
      <c r="D20554" s="1">
        <v>7.3749999999999996E-2</v>
      </c>
      <c r="E20554" s="1">
        <v>0.153481012658227</v>
      </c>
      <c r="F20554" s="1">
        <v>8.5391408471785599E-2</v>
      </c>
    </row>
    <row r="20555" spans="1:6" x14ac:dyDescent="0.25">
      <c r="A20555" s="2" t="str">
        <f t="shared" si="723"/>
        <v>44020</v>
      </c>
      <c r="B20555" s="2" t="str">
        <f>"51301"</f>
        <v>51301</v>
      </c>
      <c r="C20555" s="1">
        <v>4.1911148365465198E-4</v>
      </c>
      <c r="D20555" s="1">
        <v>1.25E-3</v>
      </c>
      <c r="E20555" s="1">
        <v>0</v>
      </c>
      <c r="F20555" s="1">
        <v>4.49034575662325E-4</v>
      </c>
    </row>
    <row r="20556" spans="1:6" x14ac:dyDescent="0.25">
      <c r="A20556" s="2" t="str">
        <f t="shared" si="723"/>
        <v>44020</v>
      </c>
      <c r="B20556" s="2" t="str">
        <f>"51331"</f>
        <v>51331</v>
      </c>
      <c r="C20556" s="1">
        <v>7.6362112321877604E-2</v>
      </c>
      <c r="D20556" s="1">
        <v>2.375E-2</v>
      </c>
      <c r="E20556" s="1">
        <v>6.8037974683544306E-2</v>
      </c>
      <c r="F20556" s="1">
        <v>7.2818440353240504E-2</v>
      </c>
    </row>
    <row r="20557" spans="1:6" x14ac:dyDescent="0.25">
      <c r="A20557" s="2" t="str">
        <f t="shared" si="723"/>
        <v>44020</v>
      </c>
      <c r="B20557" s="2" t="str">
        <f>"51334"</f>
        <v>51334</v>
      </c>
      <c r="C20557" s="1">
        <v>3.4367141659681398E-3</v>
      </c>
      <c r="D20557" s="1">
        <v>2.5000000000000001E-3</v>
      </c>
      <c r="E20557" s="1">
        <v>0</v>
      </c>
      <c r="F20557" s="1">
        <v>3.2180811255800002E-3</v>
      </c>
    </row>
    <row r="20558" spans="1:6" x14ac:dyDescent="0.25">
      <c r="A20558" s="2" t="str">
        <f t="shared" si="723"/>
        <v>44020</v>
      </c>
      <c r="B20558" s="2" t="str">
        <f>"51347"</f>
        <v>51347</v>
      </c>
      <c r="C20558" s="1">
        <v>7.0913663034367094E-2</v>
      </c>
      <c r="D20558" s="1">
        <v>1.7500000000000002E-2</v>
      </c>
      <c r="E20558" s="1">
        <v>2.8481012658227799E-2</v>
      </c>
      <c r="F20558" s="1">
        <v>6.5708726238587006E-2</v>
      </c>
    </row>
    <row r="20559" spans="1:6" x14ac:dyDescent="0.25">
      <c r="A20559" s="2" t="str">
        <f t="shared" si="723"/>
        <v>44020</v>
      </c>
      <c r="B20559" s="2" t="str">
        <f>"51364"</f>
        <v>51364</v>
      </c>
      <c r="C20559" s="1">
        <v>2.39731768650461E-2</v>
      </c>
      <c r="D20559" s="1">
        <v>0</v>
      </c>
      <c r="E20559" s="1">
        <v>7.9113924050632899E-3</v>
      </c>
      <c r="F20559" s="1">
        <v>2.1778176919622801E-2</v>
      </c>
    </row>
    <row r="20560" spans="1:6" x14ac:dyDescent="0.25">
      <c r="A20560" s="2" t="str">
        <f t="shared" si="723"/>
        <v>44020</v>
      </c>
      <c r="B20560" s="2" t="str">
        <f>"51360"</f>
        <v>51360</v>
      </c>
      <c r="C20560" s="1">
        <v>0.49991617770326902</v>
      </c>
      <c r="D20560" s="1">
        <v>0.63624999999999998</v>
      </c>
      <c r="E20560" s="1">
        <v>0.558544303797468</v>
      </c>
      <c r="F20560" s="1">
        <v>0.51085166891183897</v>
      </c>
    </row>
    <row r="20561" spans="1:6" x14ac:dyDescent="0.25">
      <c r="A20561" s="2" t="str">
        <f t="shared" si="723"/>
        <v>44020</v>
      </c>
      <c r="B20561" s="2" t="str">
        <f>"51363"</f>
        <v>51363</v>
      </c>
      <c r="C20561" s="1">
        <v>7.5440067057837301E-4</v>
      </c>
      <c r="D20561" s="1">
        <v>0</v>
      </c>
      <c r="E20561" s="1">
        <v>1.58227848101265E-3</v>
      </c>
      <c r="F20561" s="1">
        <v>7.4839095943720897E-4</v>
      </c>
    </row>
    <row r="20562" spans="1:6" x14ac:dyDescent="0.25">
      <c r="A20562" s="2" t="str">
        <f t="shared" si="723"/>
        <v>44020</v>
      </c>
      <c r="B20562" s="2" t="str">
        <f>"51345"</f>
        <v>51345</v>
      </c>
      <c r="C20562" s="1">
        <v>5.0293378038558201E-4</v>
      </c>
      <c r="D20562" s="1">
        <v>0</v>
      </c>
      <c r="E20562" s="1">
        <v>3.1645569620253099E-3</v>
      </c>
      <c r="F20562" s="1">
        <v>5.9871276754976696E-4</v>
      </c>
    </row>
    <row r="20563" spans="1:6" x14ac:dyDescent="0.25">
      <c r="A20563" s="2" t="str">
        <f t="shared" si="723"/>
        <v>44020</v>
      </c>
      <c r="B20563" s="2" t="str">
        <f>"51338"</f>
        <v>51338</v>
      </c>
      <c r="C20563" s="1">
        <v>1.9279128248113899E-3</v>
      </c>
      <c r="D20563" s="1">
        <v>1.25E-3</v>
      </c>
      <c r="E20563" s="1">
        <v>0</v>
      </c>
      <c r="F20563" s="1">
        <v>1.7961383026493E-3</v>
      </c>
    </row>
    <row r="20564" spans="1:6" x14ac:dyDescent="0.25">
      <c r="A20564" s="2" t="str">
        <f t="shared" ref="A20564:A20601" si="724">"26980"</f>
        <v>26980</v>
      </c>
      <c r="B20564" s="2" t="str">
        <f>"52241"</f>
        <v>52241</v>
      </c>
      <c r="C20564" s="1">
        <v>0.13060909224657899</v>
      </c>
      <c r="D20564" s="1">
        <v>0.19740675990675899</v>
      </c>
      <c r="E20564" s="1">
        <v>0.228031145717463</v>
      </c>
      <c r="F20564" s="1">
        <v>0.140255910807873</v>
      </c>
    </row>
    <row r="20565" spans="1:6" x14ac:dyDescent="0.25">
      <c r="A20565" s="2" t="str">
        <f t="shared" si="724"/>
        <v>26980</v>
      </c>
      <c r="B20565" s="2" t="str">
        <f>"52356"</f>
        <v>52356</v>
      </c>
      <c r="C20565" s="1">
        <v>1.2946888333088101E-2</v>
      </c>
      <c r="D20565" s="1">
        <v>3.49650349650349E-3</v>
      </c>
      <c r="E20565" s="1">
        <v>6.8965517241379301E-3</v>
      </c>
      <c r="F20565" s="1">
        <v>1.19561357252779E-2</v>
      </c>
    </row>
    <row r="20566" spans="1:6" x14ac:dyDescent="0.25">
      <c r="A20566" s="2" t="str">
        <f t="shared" si="724"/>
        <v>26980</v>
      </c>
      <c r="B20566" s="2" t="str">
        <f>"52404"</f>
        <v>52404</v>
      </c>
      <c r="C20566" s="1">
        <v>5.2719336962385303E-4</v>
      </c>
      <c r="D20566" s="1">
        <v>8.7412587412587402E-4</v>
      </c>
      <c r="E20566" s="1">
        <v>4.44938820912124E-4</v>
      </c>
      <c r="F20566" s="1">
        <v>5.4884151394164998E-4</v>
      </c>
    </row>
    <row r="20567" spans="1:6" x14ac:dyDescent="0.25">
      <c r="A20567" s="2" t="str">
        <f t="shared" si="724"/>
        <v>26980</v>
      </c>
      <c r="B20567" s="2" t="str">
        <f>"52654"</f>
        <v>52654</v>
      </c>
      <c r="C20567" s="1">
        <v>1.20151047030552E-3</v>
      </c>
      <c r="D20567" s="1">
        <v>7.2843822843822795E-4</v>
      </c>
      <c r="E20567" s="1">
        <v>0</v>
      </c>
      <c r="F20567" s="1">
        <v>1.10844462619588E-3</v>
      </c>
    </row>
    <row r="20568" spans="1:6" x14ac:dyDescent="0.25">
      <c r="A20568" s="2" t="str">
        <f t="shared" si="724"/>
        <v>26980</v>
      </c>
      <c r="B20568" s="2" t="str">
        <f>"52585"</f>
        <v>52585</v>
      </c>
      <c r="C20568" s="1">
        <v>7.1109803344612799E-4</v>
      </c>
      <c r="D20568" s="1">
        <v>1.4568764568764501E-4</v>
      </c>
      <c r="E20568" s="1">
        <v>2.22469410456062E-4</v>
      </c>
      <c r="F20568" s="1">
        <v>6.4569589875488297E-4</v>
      </c>
    </row>
    <row r="20569" spans="1:6" x14ac:dyDescent="0.25">
      <c r="A20569" s="2" t="str">
        <f t="shared" si="724"/>
        <v>26980</v>
      </c>
      <c r="B20569" s="2" t="str">
        <f>"52359"</f>
        <v>52359</v>
      </c>
      <c r="C20569" s="1">
        <v>1.5080182433426499E-3</v>
      </c>
      <c r="D20569" s="1">
        <v>1.6025641025640999E-3</v>
      </c>
      <c r="E20569" s="1">
        <v>2.22469410456062E-4</v>
      </c>
      <c r="F20569" s="1">
        <v>1.45281577219848E-3</v>
      </c>
    </row>
    <row r="20570" spans="1:6" x14ac:dyDescent="0.25">
      <c r="A20570" s="2" t="str">
        <f t="shared" si="724"/>
        <v>26980</v>
      </c>
      <c r="B20570" s="2" t="str">
        <f>"52314"</f>
        <v>52314</v>
      </c>
      <c r="C20570" s="1">
        <v>1.22603109214849E-5</v>
      </c>
      <c r="D20570" s="1">
        <v>0</v>
      </c>
      <c r="E20570" s="1">
        <v>0</v>
      </c>
      <c r="F20570" s="1">
        <v>1.07615983125813E-5</v>
      </c>
    </row>
    <row r="20571" spans="1:6" x14ac:dyDescent="0.25">
      <c r="A20571" s="2" t="str">
        <f t="shared" si="724"/>
        <v>26980</v>
      </c>
      <c r="B20571" s="2" t="str">
        <f>"52641"</f>
        <v>52641</v>
      </c>
      <c r="C20571" s="1">
        <v>2.8198715119415402E-4</v>
      </c>
      <c r="D20571" s="1">
        <v>0</v>
      </c>
      <c r="E20571" s="1">
        <v>0</v>
      </c>
      <c r="F20571" s="1">
        <v>2.4751676118937101E-4</v>
      </c>
    </row>
    <row r="20572" spans="1:6" x14ac:dyDescent="0.25">
      <c r="A20572" s="2" t="str">
        <f t="shared" si="724"/>
        <v>26980</v>
      </c>
      <c r="B20572" s="2" t="str">
        <f>"52228"</f>
        <v>52228</v>
      </c>
      <c r="C20572" s="1">
        <v>3.4328870580157899E-4</v>
      </c>
      <c r="D20572" s="1">
        <v>0</v>
      </c>
      <c r="E20572" s="1">
        <v>0</v>
      </c>
      <c r="F20572" s="1">
        <v>3.0132475275227799E-4</v>
      </c>
    </row>
    <row r="20573" spans="1:6" x14ac:dyDescent="0.25">
      <c r="A20573" s="2" t="str">
        <f t="shared" si="724"/>
        <v>26980</v>
      </c>
      <c r="B20573" s="2" t="str">
        <f>"52240"</f>
        <v>52240</v>
      </c>
      <c r="C20573" s="1">
        <v>0.204379383061154</v>
      </c>
      <c r="D20573" s="1">
        <v>0.273892773892773</v>
      </c>
      <c r="E20573" s="1">
        <v>0.29632925472747401</v>
      </c>
      <c r="F20573" s="1">
        <v>0.21396209765074301</v>
      </c>
    </row>
    <row r="20574" spans="1:6" x14ac:dyDescent="0.25">
      <c r="A20574" s="2" t="str">
        <f t="shared" si="724"/>
        <v>26980</v>
      </c>
      <c r="B20574" s="2" t="str">
        <f>"52766"</f>
        <v>52766</v>
      </c>
      <c r="C20574" s="1">
        <v>9.8082487371879698E-5</v>
      </c>
      <c r="D20574" s="1">
        <v>0</v>
      </c>
      <c r="E20574" s="1">
        <v>0</v>
      </c>
      <c r="F20574" s="1">
        <v>8.6092786500650999E-5</v>
      </c>
    </row>
    <row r="20575" spans="1:6" x14ac:dyDescent="0.25">
      <c r="A20575" s="2" t="str">
        <f t="shared" si="724"/>
        <v>26980</v>
      </c>
      <c r="B20575" s="2" t="str">
        <f>"52247"</f>
        <v>52247</v>
      </c>
      <c r="C20575" s="1">
        <v>2.9817076161051399E-2</v>
      </c>
      <c r="D20575" s="1">
        <v>3.1468531468531402E-2</v>
      </c>
      <c r="E20575" s="1">
        <v>1.64627363737486E-2</v>
      </c>
      <c r="F20575" s="1">
        <v>2.9293070606846501E-2</v>
      </c>
    </row>
    <row r="20576" spans="1:6" x14ac:dyDescent="0.25">
      <c r="A20576" s="2" t="str">
        <f t="shared" si="724"/>
        <v>26980</v>
      </c>
      <c r="B20576" s="2" t="str">
        <f>"52236"</f>
        <v>52236</v>
      </c>
      <c r="C20576" s="1">
        <v>0</v>
      </c>
      <c r="D20576" s="1">
        <v>1.4568764568764501E-4</v>
      </c>
      <c r="E20576" s="1">
        <v>0</v>
      </c>
      <c r="F20576" s="1">
        <v>1.07615983125813E-5</v>
      </c>
    </row>
    <row r="20577" spans="1:6" x14ac:dyDescent="0.25">
      <c r="A20577" s="2" t="str">
        <f t="shared" si="724"/>
        <v>26980</v>
      </c>
      <c r="B20577" s="2" t="str">
        <f>"52235"</f>
        <v>52235</v>
      </c>
      <c r="C20577" s="1">
        <v>6.2037173262713902E-3</v>
      </c>
      <c r="D20577" s="1">
        <v>3.2051282051281998E-3</v>
      </c>
      <c r="E20577" s="1">
        <v>5.5617352614015497E-3</v>
      </c>
      <c r="F20577" s="1">
        <v>5.9511638668574996E-3</v>
      </c>
    </row>
    <row r="20578" spans="1:6" x14ac:dyDescent="0.25">
      <c r="A20578" s="2" t="str">
        <f t="shared" si="724"/>
        <v>26980</v>
      </c>
      <c r="B20578" s="2" t="str">
        <f>"52325"</f>
        <v>52325</v>
      </c>
      <c r="C20578" s="1">
        <v>2.0842528566524399E-4</v>
      </c>
      <c r="D20578" s="1">
        <v>0</v>
      </c>
      <c r="E20578" s="1">
        <v>0</v>
      </c>
      <c r="F20578" s="1">
        <v>1.8294717131388301E-4</v>
      </c>
    </row>
    <row r="20579" spans="1:6" x14ac:dyDescent="0.25">
      <c r="A20579" s="2" t="str">
        <f t="shared" si="724"/>
        <v>26980</v>
      </c>
      <c r="B20579" s="2" t="str">
        <f>"52776"</f>
        <v>52776</v>
      </c>
      <c r="C20579" s="1">
        <v>8.5822176450394693E-5</v>
      </c>
      <c r="D20579" s="1">
        <v>0</v>
      </c>
      <c r="E20579" s="1">
        <v>0</v>
      </c>
      <c r="F20579" s="1">
        <v>7.5331188188069594E-5</v>
      </c>
    </row>
    <row r="20580" spans="1:6" x14ac:dyDescent="0.25">
      <c r="A20580" s="2" t="str">
        <f t="shared" si="724"/>
        <v>26980</v>
      </c>
      <c r="B20580" s="2" t="str">
        <f>"52755"</f>
        <v>52755</v>
      </c>
      <c r="C20580" s="1">
        <v>1.1377568535137999E-2</v>
      </c>
      <c r="D20580" s="1">
        <v>2.3310023310023301E-3</v>
      </c>
      <c r="E20580" s="1">
        <v>4.4493882091212397E-3</v>
      </c>
      <c r="F20580" s="1">
        <v>1.03741807733284E-2</v>
      </c>
    </row>
    <row r="20581" spans="1:6" x14ac:dyDescent="0.25">
      <c r="A20581" s="2" t="str">
        <f t="shared" si="724"/>
        <v>26980</v>
      </c>
      <c r="B20581" s="2" t="str">
        <f>"52738"</f>
        <v>52738</v>
      </c>
      <c r="C20581" s="1">
        <v>8.5822176450394693E-5</v>
      </c>
      <c r="D20581" s="1">
        <v>0</v>
      </c>
      <c r="E20581" s="1">
        <v>0</v>
      </c>
      <c r="F20581" s="1">
        <v>7.5331188188069594E-5</v>
      </c>
    </row>
    <row r="20582" spans="1:6" x14ac:dyDescent="0.25">
      <c r="A20582" s="2" t="str">
        <f t="shared" si="724"/>
        <v>26980</v>
      </c>
      <c r="B20582" s="2" t="str">
        <f>"52253"</f>
        <v>52253</v>
      </c>
      <c r="C20582" s="1">
        <v>6.7431710068167298E-4</v>
      </c>
      <c r="D20582" s="1">
        <v>1.4568764568764501E-4</v>
      </c>
      <c r="E20582" s="1">
        <v>0</v>
      </c>
      <c r="F20582" s="1">
        <v>6.0264950550455697E-4</v>
      </c>
    </row>
    <row r="20583" spans="1:6" x14ac:dyDescent="0.25">
      <c r="A20583" s="2" t="str">
        <f t="shared" si="724"/>
        <v>26980</v>
      </c>
      <c r="B20583" s="2" t="str">
        <f>"52242"</f>
        <v>52242</v>
      </c>
      <c r="C20583" s="1">
        <v>4.9041243685939801E-5</v>
      </c>
      <c r="D20583" s="1">
        <v>5.74009324009324E-2</v>
      </c>
      <c r="E20583" s="1">
        <v>6.6740823136818598E-4</v>
      </c>
      <c r="F20583" s="1">
        <v>4.31540092334513E-3</v>
      </c>
    </row>
    <row r="20584" spans="1:6" x14ac:dyDescent="0.25">
      <c r="A20584" s="2" t="str">
        <f t="shared" si="724"/>
        <v>26980</v>
      </c>
      <c r="B20584" s="2" t="str">
        <f>"52246"</f>
        <v>52246</v>
      </c>
      <c r="C20584" s="1">
        <v>0.14197440047079499</v>
      </c>
      <c r="D20584" s="1">
        <v>6.9347319347319303E-2</v>
      </c>
      <c r="E20584" s="1">
        <v>0.15750834260289201</v>
      </c>
      <c r="F20584" s="1">
        <v>0.13736104086178799</v>
      </c>
    </row>
    <row r="20585" spans="1:6" x14ac:dyDescent="0.25">
      <c r="A20585" s="2" t="str">
        <f t="shared" si="724"/>
        <v>26980</v>
      </c>
      <c r="B20585" s="2" t="str">
        <f>"52245"</f>
        <v>52245</v>
      </c>
      <c r="C20585" s="1">
        <v>0.124760923937031</v>
      </c>
      <c r="D20585" s="1">
        <v>4.9825174825174803E-2</v>
      </c>
      <c r="E20585" s="1">
        <v>0.10789766407119</v>
      </c>
      <c r="F20585" s="1">
        <v>0.118409866233332</v>
      </c>
    </row>
    <row r="20586" spans="1:6" x14ac:dyDescent="0.25">
      <c r="A20586" s="2" t="str">
        <f t="shared" si="724"/>
        <v>26980</v>
      </c>
      <c r="B20586" s="2" t="str">
        <f>"52201"</f>
        <v>52201</v>
      </c>
      <c r="C20586" s="1">
        <v>6.4611838556225699E-3</v>
      </c>
      <c r="D20586" s="1">
        <v>4.51631701631701E-3</v>
      </c>
      <c r="E20586" s="1">
        <v>8.8987764182424899E-4</v>
      </c>
      <c r="F20586" s="1">
        <v>6.0480182516707299E-3</v>
      </c>
    </row>
    <row r="20587" spans="1:6" x14ac:dyDescent="0.25">
      <c r="A20587" s="2" t="str">
        <f t="shared" si="724"/>
        <v>26980</v>
      </c>
      <c r="B20587" s="2" t="str">
        <f>"52358"</f>
        <v>52358</v>
      </c>
      <c r="C20587" s="1">
        <v>1.3118532685988901E-3</v>
      </c>
      <c r="D20587" s="1">
        <v>0</v>
      </c>
      <c r="E20587" s="1">
        <v>0</v>
      </c>
      <c r="F20587" s="1">
        <v>1.1514910194462E-3</v>
      </c>
    </row>
    <row r="20588" spans="1:6" x14ac:dyDescent="0.25">
      <c r="A20588" s="2" t="str">
        <f t="shared" si="724"/>
        <v>26980</v>
      </c>
      <c r="B20588" s="2" t="str">
        <f>"52540"</f>
        <v>52540</v>
      </c>
      <c r="C20588" s="1">
        <v>5.7010445784905104E-3</v>
      </c>
      <c r="D20588" s="1">
        <v>3.2051282051281998E-3</v>
      </c>
      <c r="E20588" s="1">
        <v>1.1123470522803099E-3</v>
      </c>
      <c r="F20588" s="1">
        <v>5.2947063697900403E-3</v>
      </c>
    </row>
    <row r="20589" spans="1:6" x14ac:dyDescent="0.25">
      <c r="A20589" s="2" t="str">
        <f t="shared" si="724"/>
        <v>26980</v>
      </c>
      <c r="B20589" s="2" t="str">
        <f>"52340"</f>
        <v>52340</v>
      </c>
      <c r="C20589" s="1">
        <v>3.5113530479132897E-2</v>
      </c>
      <c r="D20589" s="1">
        <v>2.5058275058275001E-2</v>
      </c>
      <c r="E20589" s="1">
        <v>1.6017797552836398E-2</v>
      </c>
      <c r="F20589" s="1">
        <v>3.3447047555502901E-2</v>
      </c>
    </row>
    <row r="20590" spans="1:6" x14ac:dyDescent="0.25">
      <c r="A20590" s="2" t="str">
        <f t="shared" si="724"/>
        <v>26980</v>
      </c>
      <c r="B20590" s="2" t="str">
        <f>"52333"</f>
        <v>52333</v>
      </c>
      <c r="C20590" s="1">
        <v>3.6535726546025202E-2</v>
      </c>
      <c r="D20590" s="1">
        <v>1.4860139860139799E-2</v>
      </c>
      <c r="E20590" s="1">
        <v>1.3793103448275799E-2</v>
      </c>
      <c r="F20590" s="1">
        <v>3.3834465094755801E-2</v>
      </c>
    </row>
    <row r="20591" spans="1:6" x14ac:dyDescent="0.25">
      <c r="A20591" s="2" t="str">
        <f t="shared" si="724"/>
        <v>26980</v>
      </c>
      <c r="B20591" s="2" t="str">
        <f>"52327"</f>
        <v>52327</v>
      </c>
      <c r="C20591" s="1">
        <v>1.70173115590211E-2</v>
      </c>
      <c r="D20591" s="1">
        <v>3.49650349650349E-3</v>
      </c>
      <c r="E20591" s="1">
        <v>4.0044493882091196E-3</v>
      </c>
      <c r="F20591" s="1">
        <v>1.53890855869913E-2</v>
      </c>
    </row>
    <row r="20592" spans="1:6" x14ac:dyDescent="0.25">
      <c r="A20592" s="2" t="str">
        <f t="shared" si="724"/>
        <v>26980</v>
      </c>
      <c r="B20592" s="2" t="str">
        <f>"52621"</f>
        <v>52621</v>
      </c>
      <c r="C20592" s="1">
        <v>2.9302143102348998E-3</v>
      </c>
      <c r="D20592" s="1">
        <v>1.1655011655011601E-3</v>
      </c>
      <c r="E20592" s="1">
        <v>0</v>
      </c>
      <c r="F20592" s="1">
        <v>2.6581147832076E-3</v>
      </c>
    </row>
    <row r="20593" spans="1:6" x14ac:dyDescent="0.25">
      <c r="A20593" s="2" t="str">
        <f t="shared" si="724"/>
        <v>26980</v>
      </c>
      <c r="B20593" s="2" t="str">
        <f>"52243"</f>
        <v>52243</v>
      </c>
      <c r="C20593" s="1">
        <v>0</v>
      </c>
      <c r="D20593" s="1">
        <v>5.8275058275058199E-4</v>
      </c>
      <c r="E20593" s="1">
        <v>0</v>
      </c>
      <c r="F20593" s="1">
        <v>4.3046393250325499E-5</v>
      </c>
    </row>
    <row r="20594" spans="1:6" x14ac:dyDescent="0.25">
      <c r="A20594" s="2" t="str">
        <f t="shared" si="724"/>
        <v>26980</v>
      </c>
      <c r="B20594" s="2" t="str">
        <f>"52317"</f>
        <v>52317</v>
      </c>
      <c r="C20594" s="1">
        <v>0.120482075425432</v>
      </c>
      <c r="D20594" s="1">
        <v>0.10649766899766799</v>
      </c>
      <c r="E20594" s="1">
        <v>9.4327030033370396E-2</v>
      </c>
      <c r="F20594" s="1">
        <v>0.11818387266876799</v>
      </c>
    </row>
    <row r="20595" spans="1:6" x14ac:dyDescent="0.25">
      <c r="A20595" s="2" t="str">
        <f t="shared" si="724"/>
        <v>26980</v>
      </c>
      <c r="B20595" s="2" t="str">
        <f>"52353"</f>
        <v>52353</v>
      </c>
      <c r="C20595" s="1">
        <v>5.1579128046687198E-2</v>
      </c>
      <c r="D20595" s="1">
        <v>6.5268065268065195E-2</v>
      </c>
      <c r="E20595" s="1">
        <v>3.5150166852057803E-2</v>
      </c>
      <c r="F20595" s="1">
        <v>5.1795572678454201E-2</v>
      </c>
    </row>
    <row r="20596" spans="1:6" x14ac:dyDescent="0.25">
      <c r="A20596" s="2" t="str">
        <f t="shared" si="724"/>
        <v>26980</v>
      </c>
      <c r="B20596" s="2" t="str">
        <f>"52244"</f>
        <v>52244</v>
      </c>
      <c r="C20596" s="1">
        <v>2.0364376440586501E-2</v>
      </c>
      <c r="D20596" s="1">
        <v>6.4831002331002294E-2</v>
      </c>
      <c r="E20596" s="1">
        <v>4.44938820912124E-4</v>
      </c>
      <c r="F20596" s="1">
        <v>2.2685449242921499E-2</v>
      </c>
    </row>
    <row r="20597" spans="1:6" x14ac:dyDescent="0.25">
      <c r="A20597" s="2" t="str">
        <f t="shared" si="724"/>
        <v>26980</v>
      </c>
      <c r="B20597" s="2" t="str">
        <f>"52203"</f>
        <v>52203</v>
      </c>
      <c r="C20597" s="1">
        <v>8.3370114266097695E-4</v>
      </c>
      <c r="D20597" s="1">
        <v>2.91375291375291E-4</v>
      </c>
      <c r="E20597" s="1">
        <v>0</v>
      </c>
      <c r="F20597" s="1">
        <v>7.5331188188069596E-4</v>
      </c>
    </row>
    <row r="20598" spans="1:6" x14ac:dyDescent="0.25">
      <c r="A20598" s="2" t="str">
        <f t="shared" si="724"/>
        <v>26980</v>
      </c>
      <c r="B20598" s="2" t="str">
        <f>"52322"</f>
        <v>52322</v>
      </c>
      <c r="C20598" s="1">
        <v>1.37438085429846E-2</v>
      </c>
      <c r="D20598" s="1">
        <v>6.7016317016317002E-3</v>
      </c>
      <c r="E20598" s="1">
        <v>3.7819799777530499E-3</v>
      </c>
      <c r="F20598" s="1">
        <v>1.2741732402096299E-2</v>
      </c>
    </row>
    <row r="20599" spans="1:6" x14ac:dyDescent="0.25">
      <c r="A20599" s="2" t="str">
        <f t="shared" si="724"/>
        <v>26980</v>
      </c>
      <c r="B20599" s="2" t="str">
        <f>"52248"</f>
        <v>52248</v>
      </c>
      <c r="C20599" s="1">
        <v>2.30493845323917E-3</v>
      </c>
      <c r="D20599" s="1">
        <v>1.74825174825174E-3</v>
      </c>
      <c r="E20599" s="1">
        <v>0</v>
      </c>
      <c r="F20599" s="1">
        <v>2.1523196625162699E-3</v>
      </c>
    </row>
    <row r="20600" spans="1:6" x14ac:dyDescent="0.25">
      <c r="A20600" s="2" t="str">
        <f t="shared" si="724"/>
        <v>26980</v>
      </c>
      <c r="B20600" s="2" t="str">
        <f>"52227"</f>
        <v>52227</v>
      </c>
      <c r="C20600" s="1">
        <v>9.8082487371879698E-5</v>
      </c>
      <c r="D20600" s="1">
        <v>0</v>
      </c>
      <c r="E20600" s="1">
        <v>0</v>
      </c>
      <c r="F20600" s="1">
        <v>8.6092786500650999E-5</v>
      </c>
    </row>
    <row r="20601" spans="1:6" x14ac:dyDescent="0.25">
      <c r="A20601" s="2" t="str">
        <f t="shared" si="724"/>
        <v>26980</v>
      </c>
      <c r="B20601" s="2" t="str">
        <f>"52338"</f>
        <v>52338</v>
      </c>
      <c r="C20601" s="1">
        <v>1.7667108037859799E-2</v>
      </c>
      <c r="D20601" s="1">
        <v>9.7610722610722601E-3</v>
      </c>
      <c r="E20601" s="1">
        <v>5.7842046718576097E-3</v>
      </c>
      <c r="F20601" s="1">
        <v>1.6508291811499799E-2</v>
      </c>
    </row>
    <row r="20602" spans="1:6" x14ac:dyDescent="0.25">
      <c r="A20602" s="2" t="str">
        <f t="shared" ref="A20602:A20614" si="725">"36900"</f>
        <v>36900</v>
      </c>
      <c r="B20602" s="2" t="str">
        <f>"52553"</f>
        <v>52553</v>
      </c>
      <c r="C20602" s="1">
        <v>3.2279314888010502E-2</v>
      </c>
      <c r="D20602" s="1">
        <v>2.6296566837107301E-2</v>
      </c>
      <c r="E20602" s="1">
        <v>2.7303754266211601E-2</v>
      </c>
      <c r="F20602" s="1">
        <v>3.1683911435157801E-2</v>
      </c>
    </row>
    <row r="20603" spans="1:6" x14ac:dyDescent="0.25">
      <c r="A20603" s="2" t="str">
        <f t="shared" si="725"/>
        <v>36900</v>
      </c>
      <c r="B20603" s="2" t="str">
        <f>"52537"</f>
        <v>52537</v>
      </c>
      <c r="C20603" s="1">
        <v>1.00011977482333E-2</v>
      </c>
      <c r="D20603" s="1">
        <v>2.9218407596785902E-3</v>
      </c>
      <c r="E20603" s="1">
        <v>0</v>
      </c>
      <c r="F20603" s="1">
        <v>9.1674261512893294E-3</v>
      </c>
    </row>
    <row r="20604" spans="1:6" x14ac:dyDescent="0.25">
      <c r="A20604" s="2" t="str">
        <f t="shared" si="725"/>
        <v>36900</v>
      </c>
      <c r="B20604" s="2" t="str">
        <f>"52533"</f>
        <v>52533</v>
      </c>
      <c r="C20604" s="1">
        <v>5.0305425799496897E-3</v>
      </c>
      <c r="D20604" s="1">
        <v>2.1913805697589398E-3</v>
      </c>
      <c r="E20604" s="1">
        <v>0</v>
      </c>
      <c r="F20604" s="1">
        <v>4.6641290945156197E-3</v>
      </c>
    </row>
    <row r="20605" spans="1:6" x14ac:dyDescent="0.25">
      <c r="A20605" s="2" t="str">
        <f t="shared" si="725"/>
        <v>36900</v>
      </c>
      <c r="B20605" s="2" t="str">
        <f>"52530"</f>
        <v>52530</v>
      </c>
      <c r="C20605" s="1">
        <v>3.0961791831357E-2</v>
      </c>
      <c r="D20605" s="1">
        <v>1.16873630387143E-2</v>
      </c>
      <c r="E20605" s="1">
        <v>1.7064846416382201E-2</v>
      </c>
      <c r="F20605" s="1">
        <v>2.91105988312871E-2</v>
      </c>
    </row>
    <row r="20606" spans="1:6" x14ac:dyDescent="0.25">
      <c r="A20606" s="2" t="str">
        <f t="shared" si="725"/>
        <v>36900</v>
      </c>
      <c r="B20606" s="2" t="str">
        <f>"52548"</f>
        <v>52548</v>
      </c>
      <c r="C20606" s="1">
        <v>2.09605940831237E-3</v>
      </c>
      <c r="D20606" s="1">
        <v>0</v>
      </c>
      <c r="E20606" s="1">
        <v>1.7064846416382201E-3</v>
      </c>
      <c r="F20606" s="1">
        <v>1.9299844529030101E-3</v>
      </c>
    </row>
    <row r="20607" spans="1:6" x14ac:dyDescent="0.25">
      <c r="A20607" s="2" t="str">
        <f t="shared" si="725"/>
        <v>36900</v>
      </c>
      <c r="B20607" s="2" t="str">
        <f>"52566"</f>
        <v>52566</v>
      </c>
      <c r="C20607" s="1">
        <v>4.9706551682836197E-3</v>
      </c>
      <c r="D20607" s="1">
        <v>7.3046018991964896E-4</v>
      </c>
      <c r="E20607" s="1">
        <v>0</v>
      </c>
      <c r="F20607" s="1">
        <v>4.5032970567737002E-3</v>
      </c>
    </row>
    <row r="20608" spans="1:6" x14ac:dyDescent="0.25">
      <c r="A20608" s="2" t="str">
        <f t="shared" si="725"/>
        <v>36900</v>
      </c>
      <c r="B20608" s="2" t="str">
        <f>"52563"</f>
        <v>52563</v>
      </c>
      <c r="C20608" s="1">
        <v>7.72547610492274E-3</v>
      </c>
      <c r="D20608" s="1">
        <v>0</v>
      </c>
      <c r="E20608" s="1">
        <v>0</v>
      </c>
      <c r="F20608" s="1">
        <v>6.9157776229024802E-3</v>
      </c>
    </row>
    <row r="20609" spans="1:6" x14ac:dyDescent="0.25">
      <c r="A20609" s="2" t="str">
        <f t="shared" si="725"/>
        <v>36900</v>
      </c>
      <c r="B20609" s="2" t="str">
        <f>"52536"</f>
        <v>52536</v>
      </c>
      <c r="C20609" s="1">
        <v>2.31764283147682E-2</v>
      </c>
      <c r="D20609" s="1">
        <v>5.8436815193571899E-3</v>
      </c>
      <c r="E20609" s="1">
        <v>1.1945392491467499E-2</v>
      </c>
      <c r="F20609" s="1">
        <v>2.1551493057417E-2</v>
      </c>
    </row>
    <row r="20610" spans="1:6" x14ac:dyDescent="0.25">
      <c r="A20610" s="2" t="str">
        <f t="shared" si="725"/>
        <v>36900</v>
      </c>
      <c r="B20610" s="2" t="str">
        <f>"52501"</f>
        <v>52501</v>
      </c>
      <c r="C20610" s="1">
        <v>0.84327464366990001</v>
      </c>
      <c r="D20610" s="1">
        <v>0.92695398100803506</v>
      </c>
      <c r="E20610" s="1">
        <v>0.933447098976109</v>
      </c>
      <c r="F20610" s="1">
        <v>0.85224896799442396</v>
      </c>
    </row>
    <row r="20611" spans="1:6" x14ac:dyDescent="0.25">
      <c r="A20611" s="2" t="str">
        <f t="shared" si="725"/>
        <v>36900</v>
      </c>
      <c r="B20611" s="2" t="str">
        <f>"52554"</f>
        <v>52554</v>
      </c>
      <c r="C20611" s="1">
        <v>3.8926817582944001E-2</v>
      </c>
      <c r="D20611" s="1">
        <v>2.3374726077428701E-2</v>
      </c>
      <c r="E20611" s="1">
        <v>8.5324232081911196E-3</v>
      </c>
      <c r="F20611" s="1">
        <v>3.6830536642899203E-2</v>
      </c>
    </row>
    <row r="20612" spans="1:6" x14ac:dyDescent="0.25">
      <c r="A20612" s="2" t="str">
        <f t="shared" si="725"/>
        <v>36900</v>
      </c>
      <c r="B20612" s="2" t="str">
        <f>"52561"</f>
        <v>52561</v>
      </c>
      <c r="C20612" s="1">
        <v>1.79662234998203E-4</v>
      </c>
      <c r="D20612" s="1">
        <v>0</v>
      </c>
      <c r="E20612" s="1">
        <v>0</v>
      </c>
      <c r="F20612" s="1">
        <v>1.6083203774191801E-4</v>
      </c>
    </row>
    <row r="20613" spans="1:6" x14ac:dyDescent="0.25">
      <c r="A20613" s="2" t="str">
        <f t="shared" si="725"/>
        <v>36900</v>
      </c>
      <c r="B20613" s="2" t="str">
        <f>"52552"</f>
        <v>52552</v>
      </c>
      <c r="C20613" s="1">
        <v>1.1977482333213501E-3</v>
      </c>
      <c r="D20613" s="1">
        <v>0</v>
      </c>
      <c r="E20613" s="1">
        <v>0</v>
      </c>
      <c r="F20613" s="1">
        <v>1.07221358494612E-3</v>
      </c>
    </row>
    <row r="20614" spans="1:6" x14ac:dyDescent="0.25">
      <c r="A20614" s="2" t="str">
        <f t="shared" si="725"/>
        <v>36900</v>
      </c>
      <c r="B20614" s="2" t="str">
        <f>"52531"</f>
        <v>52531</v>
      </c>
      <c r="C20614" s="1">
        <v>1.79662234998203E-4</v>
      </c>
      <c r="D20614" s="1">
        <v>0</v>
      </c>
      <c r="E20614" s="1">
        <v>0</v>
      </c>
      <c r="F20614" s="1">
        <v>1.6083203774191801E-4</v>
      </c>
    </row>
    <row r="20615" spans="1:6" x14ac:dyDescent="0.25">
      <c r="A20615" s="2" t="str">
        <f t="shared" ref="A20615:A20636" si="726">"15460"</f>
        <v>15460</v>
      </c>
      <c r="B20615" s="2" t="str">
        <f>"61471"</f>
        <v>61471</v>
      </c>
      <c r="C20615" s="1">
        <v>2.209545235417E-3</v>
      </c>
      <c r="D20615" s="1">
        <v>1.70212765957446E-3</v>
      </c>
      <c r="E20615" s="1">
        <v>0</v>
      </c>
      <c r="F20615" s="1">
        <v>2.1131805157593099E-3</v>
      </c>
    </row>
    <row r="20616" spans="1:6" x14ac:dyDescent="0.25">
      <c r="A20616" s="2" t="str">
        <f t="shared" si="726"/>
        <v>15460</v>
      </c>
      <c r="B20616" s="2" t="str">
        <f>"61469"</f>
        <v>61469</v>
      </c>
      <c r="C20616" s="1">
        <v>4.1860838823718403E-2</v>
      </c>
      <c r="D20616" s="1">
        <v>5.48936170212765E-2</v>
      </c>
      <c r="E20616" s="1">
        <v>1.6224188790560399E-2</v>
      </c>
      <c r="F20616" s="1">
        <v>4.2335243553008502E-2</v>
      </c>
    </row>
    <row r="20617" spans="1:6" x14ac:dyDescent="0.25">
      <c r="A20617" s="2" t="str">
        <f t="shared" si="726"/>
        <v>15460</v>
      </c>
      <c r="B20617" s="2" t="str">
        <f>"62330"</f>
        <v>62330</v>
      </c>
      <c r="C20617" s="1">
        <v>3.9771814237506004E-3</v>
      </c>
      <c r="D20617" s="1">
        <v>0</v>
      </c>
      <c r="E20617" s="1">
        <v>0</v>
      </c>
      <c r="F20617" s="1">
        <v>3.5458452722063002E-3</v>
      </c>
    </row>
    <row r="20618" spans="1:6" x14ac:dyDescent="0.25">
      <c r="A20618" s="2" t="str">
        <f t="shared" si="726"/>
        <v>15460</v>
      </c>
      <c r="B20618" s="2" t="str">
        <f>"52660"</f>
        <v>52660</v>
      </c>
      <c r="C20618" s="1">
        <v>5.3832556644705098E-3</v>
      </c>
      <c r="D20618" s="1">
        <v>3.82978723404255E-3</v>
      </c>
      <c r="E20618" s="1">
        <v>0</v>
      </c>
      <c r="F20618" s="1">
        <v>5.1217765042979903E-3</v>
      </c>
    </row>
    <row r="20619" spans="1:6" x14ac:dyDescent="0.25">
      <c r="A20619" s="2" t="str">
        <f t="shared" si="726"/>
        <v>15460</v>
      </c>
      <c r="B20619" s="2" t="str">
        <f>"52645"</f>
        <v>52645</v>
      </c>
      <c r="C20619" s="1">
        <v>4.5797846697734198E-3</v>
      </c>
      <c r="D20619" s="1">
        <v>0</v>
      </c>
      <c r="E20619" s="1">
        <v>0</v>
      </c>
      <c r="F20619" s="1">
        <v>4.0830945558739196E-3</v>
      </c>
    </row>
    <row r="20620" spans="1:6" x14ac:dyDescent="0.25">
      <c r="A20620" s="2" t="str">
        <f t="shared" si="726"/>
        <v>15460</v>
      </c>
      <c r="B20620" s="2" t="str">
        <f>"52655"</f>
        <v>52655</v>
      </c>
      <c r="C20620" s="1">
        <v>0.105535915153462</v>
      </c>
      <c r="D20620" s="1">
        <v>0.18723404255319101</v>
      </c>
      <c r="E20620" s="1">
        <v>0.106194690265486</v>
      </c>
      <c r="F20620" s="1">
        <v>0.112428366762177</v>
      </c>
    </row>
    <row r="20621" spans="1:6" x14ac:dyDescent="0.25">
      <c r="A20621" s="2" t="str">
        <f t="shared" si="726"/>
        <v>15460</v>
      </c>
      <c r="B20621" s="2" t="str">
        <f>"61454"</f>
        <v>61454</v>
      </c>
      <c r="C20621" s="1">
        <v>2.0086774867427201E-2</v>
      </c>
      <c r="D20621" s="1">
        <v>1.70212765957446E-3</v>
      </c>
      <c r="E20621" s="1">
        <v>0</v>
      </c>
      <c r="F20621" s="1">
        <v>1.8051575931232001E-2</v>
      </c>
    </row>
    <row r="20622" spans="1:6" x14ac:dyDescent="0.25">
      <c r="A20622" s="2" t="str">
        <f t="shared" si="726"/>
        <v>15460</v>
      </c>
      <c r="B20622" s="2" t="str">
        <f>"52623"</f>
        <v>52623</v>
      </c>
      <c r="C20622" s="1">
        <v>2.9607906154587801E-2</v>
      </c>
      <c r="D20622" s="1">
        <v>1.27659574468085E-2</v>
      </c>
      <c r="E20622" s="1">
        <v>2.0648967551622401E-2</v>
      </c>
      <c r="F20622" s="1">
        <v>2.7972779369627498E-2</v>
      </c>
    </row>
    <row r="20623" spans="1:6" x14ac:dyDescent="0.25">
      <c r="A20623" s="2" t="str">
        <f t="shared" si="726"/>
        <v>15460</v>
      </c>
      <c r="B20623" s="2" t="str">
        <f>"61437"</f>
        <v>61437</v>
      </c>
      <c r="C20623" s="1">
        <v>2.7237666720231299E-2</v>
      </c>
      <c r="D20623" s="1">
        <v>3.82978723404255E-3</v>
      </c>
      <c r="E20623" s="1">
        <v>4.4247787610619399E-3</v>
      </c>
      <c r="F20623" s="1">
        <v>2.4713467048710601E-2</v>
      </c>
    </row>
    <row r="20624" spans="1:6" x14ac:dyDescent="0.25">
      <c r="A20624" s="2" t="str">
        <f t="shared" si="726"/>
        <v>15460</v>
      </c>
      <c r="B20624" s="2" t="str">
        <f>"52638"</f>
        <v>52638</v>
      </c>
      <c r="C20624" s="1">
        <v>1.11682468262895E-2</v>
      </c>
      <c r="D20624" s="1">
        <v>5.1063829787233997E-3</v>
      </c>
      <c r="E20624" s="1">
        <v>2.9498525073746299E-3</v>
      </c>
      <c r="F20624" s="1">
        <v>1.0458452722063E-2</v>
      </c>
    </row>
    <row r="20625" spans="1:6" x14ac:dyDescent="0.25">
      <c r="A20625" s="2" t="str">
        <f t="shared" si="726"/>
        <v>15460</v>
      </c>
      <c r="B20625" s="2" t="str">
        <f>"52650"</f>
        <v>52650</v>
      </c>
      <c r="C20625" s="1">
        <v>1.49847340511007E-2</v>
      </c>
      <c r="D20625" s="1">
        <v>4.6808510638297798E-3</v>
      </c>
      <c r="E20625" s="1">
        <v>0</v>
      </c>
      <c r="F20625" s="1">
        <v>1.37535816618911E-2</v>
      </c>
    </row>
    <row r="20626" spans="1:6" x14ac:dyDescent="0.25">
      <c r="A20626" s="2" t="str">
        <f t="shared" si="726"/>
        <v>15460</v>
      </c>
      <c r="B20626" s="2" t="str">
        <f>"52601"</f>
        <v>52601</v>
      </c>
      <c r="C20626" s="1">
        <v>0.59460870962558199</v>
      </c>
      <c r="D20626" s="1">
        <v>0.68</v>
      </c>
      <c r="E20626" s="1">
        <v>0.790560471976401</v>
      </c>
      <c r="F20626" s="1">
        <v>0.60655444126074398</v>
      </c>
    </row>
    <row r="20627" spans="1:6" x14ac:dyDescent="0.25">
      <c r="A20627" s="2" t="str">
        <f t="shared" si="726"/>
        <v>15460</v>
      </c>
      <c r="B20627" s="2" t="str">
        <f>"61460"</f>
        <v>61460</v>
      </c>
      <c r="C20627" s="1">
        <v>7.7534950988269302E-3</v>
      </c>
      <c r="D20627" s="1">
        <v>4.2553191489361702E-4</v>
      </c>
      <c r="E20627" s="1">
        <v>4.4247787610619399E-3</v>
      </c>
      <c r="F20627" s="1">
        <v>7.0558739255014297E-3</v>
      </c>
    </row>
    <row r="20628" spans="1:6" x14ac:dyDescent="0.25">
      <c r="A20628" s="2" t="str">
        <f t="shared" si="726"/>
        <v>15460</v>
      </c>
      <c r="B20628" s="2" t="str">
        <f>"61480"</f>
        <v>61480</v>
      </c>
      <c r="C20628" s="1">
        <v>3.5754459264020502E-2</v>
      </c>
      <c r="D20628" s="1">
        <v>8.9361702127659492E-3</v>
      </c>
      <c r="E20628" s="1">
        <v>2.9498525073746298E-2</v>
      </c>
      <c r="F20628" s="1">
        <v>3.3345272206303699E-2</v>
      </c>
    </row>
    <row r="20629" spans="1:6" x14ac:dyDescent="0.25">
      <c r="A20629" s="2" t="str">
        <f t="shared" si="726"/>
        <v>15460</v>
      </c>
      <c r="B20629" s="2" t="str">
        <f>"61450"</f>
        <v>61450</v>
      </c>
      <c r="C20629" s="1">
        <v>1.20520649204563E-4</v>
      </c>
      <c r="D20629" s="1">
        <v>4.2553191489361702E-4</v>
      </c>
      <c r="E20629" s="1">
        <v>0</v>
      </c>
      <c r="F20629" s="1">
        <v>1.43266475644699E-4</v>
      </c>
    </row>
    <row r="20630" spans="1:6" x14ac:dyDescent="0.25">
      <c r="A20630" s="2" t="str">
        <f t="shared" si="726"/>
        <v>15460</v>
      </c>
      <c r="B20630" s="2" t="str">
        <f>"61425"</f>
        <v>61425</v>
      </c>
      <c r="C20630" s="1">
        <v>1.75156676843965E-2</v>
      </c>
      <c r="D20630" s="1">
        <v>7.6595744680850999E-3</v>
      </c>
      <c r="E20630" s="1">
        <v>0</v>
      </c>
      <c r="F20630" s="1">
        <v>1.6260744985673301E-2</v>
      </c>
    </row>
    <row r="20631" spans="1:6" x14ac:dyDescent="0.25">
      <c r="A20631" s="2" t="str">
        <f t="shared" si="726"/>
        <v>15460</v>
      </c>
      <c r="B20631" s="2" t="str">
        <f>"61418"</f>
        <v>61418</v>
      </c>
      <c r="C20631" s="1">
        <v>2.14928491081471E-2</v>
      </c>
      <c r="D20631" s="1">
        <v>1.4042553191489299E-2</v>
      </c>
      <c r="E20631" s="1">
        <v>7.3746312684365703E-3</v>
      </c>
      <c r="F20631" s="1">
        <v>2.05229226361031E-2</v>
      </c>
    </row>
    <row r="20632" spans="1:6" x14ac:dyDescent="0.25">
      <c r="A20632" s="2" t="str">
        <f t="shared" si="726"/>
        <v>15460</v>
      </c>
      <c r="B20632" s="2" t="str">
        <f>"52646"</f>
        <v>52646</v>
      </c>
      <c r="C20632" s="1">
        <v>3.01301623011409E-3</v>
      </c>
      <c r="D20632" s="1">
        <v>0</v>
      </c>
      <c r="E20632" s="1">
        <v>0</v>
      </c>
      <c r="F20632" s="1">
        <v>2.6862464183381E-3</v>
      </c>
    </row>
    <row r="20633" spans="1:6" x14ac:dyDescent="0.25">
      <c r="A20633" s="2" t="str">
        <f t="shared" si="726"/>
        <v>15460</v>
      </c>
      <c r="B20633" s="2" t="str">
        <f>"52640"</f>
        <v>52640</v>
      </c>
      <c r="C20633" s="1">
        <v>2.6112807327655402E-3</v>
      </c>
      <c r="D20633" s="1">
        <v>0</v>
      </c>
      <c r="E20633" s="1">
        <v>0</v>
      </c>
      <c r="F20633" s="1">
        <v>2.3280802292263598E-3</v>
      </c>
    </row>
    <row r="20634" spans="1:6" x14ac:dyDescent="0.25">
      <c r="A20634" s="2" t="str">
        <f t="shared" si="726"/>
        <v>15460</v>
      </c>
      <c r="B20634" s="2" t="str">
        <f>"52637"</f>
        <v>52637</v>
      </c>
      <c r="C20634" s="1">
        <v>4.7967218383416298E-2</v>
      </c>
      <c r="D20634" s="1">
        <v>1.1914893617021201E-2</v>
      </c>
      <c r="E20634" s="1">
        <v>1.7699115044247701E-2</v>
      </c>
      <c r="F20634" s="1">
        <v>4.4197707736389598E-2</v>
      </c>
    </row>
    <row r="20635" spans="1:6" x14ac:dyDescent="0.25">
      <c r="A20635" s="2" t="str">
        <f t="shared" si="726"/>
        <v>15460</v>
      </c>
      <c r="B20635" s="2" t="str">
        <f>"52658"</f>
        <v>52658</v>
      </c>
      <c r="C20635" s="1">
        <v>1.5265948899244701E-3</v>
      </c>
      <c r="D20635" s="1">
        <v>4.2553191489361702E-4</v>
      </c>
      <c r="E20635" s="1">
        <v>0</v>
      </c>
      <c r="F20635" s="1">
        <v>1.39684813753581E-3</v>
      </c>
    </row>
    <row r="20636" spans="1:6" x14ac:dyDescent="0.25">
      <c r="A20636" s="2" t="str">
        <f t="shared" si="726"/>
        <v>15460</v>
      </c>
      <c r="B20636" s="2" t="str">
        <f>"52644"</f>
        <v>52644</v>
      </c>
      <c r="C20636" s="1">
        <v>1.0043387433713599E-3</v>
      </c>
      <c r="D20636" s="1">
        <v>4.2553191489361702E-4</v>
      </c>
      <c r="E20636" s="1">
        <v>0</v>
      </c>
      <c r="F20636" s="1">
        <v>9.3123209169054398E-4</v>
      </c>
    </row>
    <row r="20637" spans="1:6" x14ac:dyDescent="0.25">
      <c r="A20637" s="2" t="str">
        <f t="shared" ref="A20637:A20662" si="727">"22540"</f>
        <v>22540</v>
      </c>
      <c r="B20637" s="2" t="str">
        <f>"54964"</f>
        <v>54964</v>
      </c>
      <c r="C20637" s="1">
        <v>2.1444192021062001E-3</v>
      </c>
      <c r="D20637" s="1">
        <v>5.8207217694994102E-4</v>
      </c>
      <c r="E20637" s="1">
        <v>0</v>
      </c>
      <c r="F20637" s="1">
        <v>1.9753370538710801E-3</v>
      </c>
    </row>
    <row r="20638" spans="1:6" x14ac:dyDescent="0.25">
      <c r="A20638" s="2" t="str">
        <f t="shared" si="727"/>
        <v>22540</v>
      </c>
      <c r="B20638" s="2" t="str">
        <f>"54974"</f>
        <v>54974</v>
      </c>
      <c r="C20638" s="1">
        <v>1.4034268243487099E-2</v>
      </c>
      <c r="D20638" s="1">
        <v>4.9476135040745E-3</v>
      </c>
      <c r="E20638" s="1">
        <v>1.3059701492537301E-2</v>
      </c>
      <c r="F20638" s="1">
        <v>1.34054427248144E-2</v>
      </c>
    </row>
    <row r="20639" spans="1:6" x14ac:dyDescent="0.25">
      <c r="A20639" s="2" t="str">
        <f t="shared" si="727"/>
        <v>22540</v>
      </c>
      <c r="B20639" s="2" t="str">
        <f>"54971"</f>
        <v>54971</v>
      </c>
      <c r="C20639" s="1">
        <v>9.1997706957684805E-2</v>
      </c>
      <c r="D20639" s="1">
        <v>0.105355064027939</v>
      </c>
      <c r="E20639" s="1">
        <v>0.101990049751243</v>
      </c>
      <c r="F20639" s="1">
        <v>9.3186046065627207E-2</v>
      </c>
    </row>
    <row r="20640" spans="1:6" x14ac:dyDescent="0.25">
      <c r="A20640" s="2" t="str">
        <f t="shared" si="727"/>
        <v>22540</v>
      </c>
      <c r="B20640" s="2" t="str">
        <f>"53963"</f>
        <v>53963</v>
      </c>
      <c r="C20640" s="1">
        <v>4.8429902970339E-2</v>
      </c>
      <c r="D20640" s="1">
        <v>4.88940628637951E-2</v>
      </c>
      <c r="E20640" s="1">
        <v>2.9850746268656699E-2</v>
      </c>
      <c r="F20640" s="1">
        <v>4.7887540034136797E-2</v>
      </c>
    </row>
    <row r="20641" spans="1:6" x14ac:dyDescent="0.25">
      <c r="A20641" s="2" t="str">
        <f t="shared" si="727"/>
        <v>22540</v>
      </c>
      <c r="B20641" s="2" t="str">
        <f>"53048"</f>
        <v>53048</v>
      </c>
      <c r="C20641" s="1">
        <v>8.4927493152720803E-5</v>
      </c>
      <c r="D20641" s="1">
        <v>0</v>
      </c>
      <c r="E20641" s="1">
        <v>0</v>
      </c>
      <c r="F20641" s="1">
        <v>7.6712118596935298E-5</v>
      </c>
    </row>
    <row r="20642" spans="1:6" x14ac:dyDescent="0.25">
      <c r="A20642" s="2" t="str">
        <f t="shared" si="727"/>
        <v>22540</v>
      </c>
      <c r="B20642" s="2" t="str">
        <f>"53065"</f>
        <v>53065</v>
      </c>
      <c r="C20642" s="1">
        <v>1.7919701055224099E-2</v>
      </c>
      <c r="D20642" s="1">
        <v>2.6193247962747299E-3</v>
      </c>
      <c r="E20642" s="1">
        <v>5.5970149253731297E-3</v>
      </c>
      <c r="F20642" s="1">
        <v>1.6531461557639501E-2</v>
      </c>
    </row>
    <row r="20643" spans="1:6" x14ac:dyDescent="0.25">
      <c r="A20643" s="2" t="str">
        <f t="shared" si="727"/>
        <v>22540</v>
      </c>
      <c r="B20643" s="2" t="str">
        <f>"53011"</f>
        <v>53011</v>
      </c>
      <c r="C20643" s="1">
        <v>1.69854986305441E-3</v>
      </c>
      <c r="D20643" s="1">
        <v>0</v>
      </c>
      <c r="E20643" s="1">
        <v>0</v>
      </c>
      <c r="F20643" s="1">
        <v>1.5342423719387E-3</v>
      </c>
    </row>
    <row r="20644" spans="1:6" x14ac:dyDescent="0.25">
      <c r="A20644" s="2" t="str">
        <f t="shared" si="727"/>
        <v>22540</v>
      </c>
      <c r="B20644" s="2" t="str">
        <f>"53061"</f>
        <v>53061</v>
      </c>
      <c r="C20644" s="1">
        <v>2.1231873288180201E-5</v>
      </c>
      <c r="D20644" s="1">
        <v>0</v>
      </c>
      <c r="E20644" s="1">
        <v>0</v>
      </c>
      <c r="F20644" s="1">
        <v>1.9178029649233801E-5</v>
      </c>
    </row>
    <row r="20645" spans="1:6" x14ac:dyDescent="0.25">
      <c r="A20645" s="2" t="str">
        <f t="shared" si="727"/>
        <v>22540</v>
      </c>
      <c r="B20645" s="2" t="str">
        <f>"54936"</f>
        <v>54936</v>
      </c>
      <c r="C20645" s="1">
        <v>1.6199919318881501E-2</v>
      </c>
      <c r="D20645" s="1">
        <v>0.12776484284051201</v>
      </c>
      <c r="E20645" s="1">
        <v>1.2437810945273599E-3</v>
      </c>
      <c r="F20645" s="1">
        <v>2.30903476976775E-2</v>
      </c>
    </row>
    <row r="20646" spans="1:6" x14ac:dyDescent="0.25">
      <c r="A20646" s="2" t="str">
        <f t="shared" si="727"/>
        <v>22540</v>
      </c>
      <c r="B20646" s="2" t="str">
        <f>"54904"</f>
        <v>54904</v>
      </c>
      <c r="C20646" s="1">
        <v>8.4927493152720803E-5</v>
      </c>
      <c r="D20646" s="1">
        <v>2.9103608847497002E-4</v>
      </c>
      <c r="E20646" s="1">
        <v>0</v>
      </c>
      <c r="F20646" s="1">
        <v>9.5890148246169103E-5</v>
      </c>
    </row>
    <row r="20647" spans="1:6" x14ac:dyDescent="0.25">
      <c r="A20647" s="2" t="str">
        <f t="shared" si="727"/>
        <v>22540</v>
      </c>
      <c r="B20647" s="2" t="str">
        <f>"53006"</f>
        <v>53006</v>
      </c>
      <c r="C20647" s="1">
        <v>4.0552877980424198E-3</v>
      </c>
      <c r="D20647" s="1">
        <v>2.9103608847497E-3</v>
      </c>
      <c r="E20647" s="1">
        <v>1.2437810945273599E-3</v>
      </c>
      <c r="F20647" s="1">
        <v>3.8931400187944601E-3</v>
      </c>
    </row>
    <row r="20648" spans="1:6" x14ac:dyDescent="0.25">
      <c r="A20648" s="2" t="str">
        <f t="shared" si="727"/>
        <v>22540</v>
      </c>
      <c r="B20648" s="2" t="str">
        <f>"54979"</f>
        <v>54979</v>
      </c>
      <c r="C20648" s="1">
        <v>1.3418543918129799E-2</v>
      </c>
      <c r="D20648" s="1">
        <v>4.9476135040745E-3</v>
      </c>
      <c r="E20648" s="1">
        <v>4.97512437810945E-3</v>
      </c>
      <c r="F20648" s="1">
        <v>1.25999654795466E-2</v>
      </c>
    </row>
    <row r="20649" spans="1:6" x14ac:dyDescent="0.25">
      <c r="A20649" s="2" t="str">
        <f t="shared" si="727"/>
        <v>22540</v>
      </c>
      <c r="B20649" s="2" t="str">
        <f>"54932"</f>
        <v>54932</v>
      </c>
      <c r="C20649" s="1">
        <v>9.3844879933756495E-3</v>
      </c>
      <c r="D20649" s="1">
        <v>3.7834691501746199E-3</v>
      </c>
      <c r="E20649" s="1">
        <v>1.2437810945273599E-3</v>
      </c>
      <c r="F20649" s="1">
        <v>8.7643595496998596E-3</v>
      </c>
    </row>
    <row r="20650" spans="1:6" x14ac:dyDescent="0.25">
      <c r="A20650" s="2" t="str">
        <f t="shared" si="727"/>
        <v>22540</v>
      </c>
      <c r="B20650" s="2" t="str">
        <f>"53931"</f>
        <v>53931</v>
      </c>
      <c r="C20650" s="1">
        <v>2.4841291747170801E-3</v>
      </c>
      <c r="D20650" s="1">
        <v>0</v>
      </c>
      <c r="E20650" s="1">
        <v>5.5970149253731297E-3</v>
      </c>
      <c r="F20650" s="1">
        <v>2.41643173580346E-3</v>
      </c>
    </row>
    <row r="20651" spans="1:6" x14ac:dyDescent="0.25">
      <c r="A20651" s="2" t="str">
        <f t="shared" si="727"/>
        <v>22540</v>
      </c>
      <c r="B20651" s="2" t="str">
        <f>"53023"</f>
        <v>53023</v>
      </c>
      <c r="C20651" s="1">
        <v>2.3355060616998201E-4</v>
      </c>
      <c r="D20651" s="1">
        <v>5.8207217694994102E-4</v>
      </c>
      <c r="E20651" s="1">
        <v>0</v>
      </c>
      <c r="F20651" s="1">
        <v>2.4931438544003898E-4</v>
      </c>
    </row>
    <row r="20652" spans="1:6" x14ac:dyDescent="0.25">
      <c r="A20652" s="2" t="str">
        <f t="shared" si="727"/>
        <v>22540</v>
      </c>
      <c r="B20652" s="2" t="str">
        <f>"53019"</f>
        <v>53019</v>
      </c>
      <c r="C20652" s="1">
        <v>1.7771077942206798E-2</v>
      </c>
      <c r="D20652" s="1">
        <v>8.4400465657741494E-3</v>
      </c>
      <c r="E20652" s="1">
        <v>4.97512437810945E-3</v>
      </c>
      <c r="F20652" s="1">
        <v>1.67615979134303E-2</v>
      </c>
    </row>
    <row r="20653" spans="1:6" x14ac:dyDescent="0.25">
      <c r="A20653" s="2" t="str">
        <f t="shared" si="727"/>
        <v>22540</v>
      </c>
      <c r="B20653" s="2" t="str">
        <f>"53010"</f>
        <v>53010</v>
      </c>
      <c r="C20653" s="1">
        <v>6.9598080638654705E-2</v>
      </c>
      <c r="D20653" s="1">
        <v>2.9685681024446998E-2</v>
      </c>
      <c r="E20653" s="1">
        <v>2.9228855721392999E-2</v>
      </c>
      <c r="F20653" s="1">
        <v>6.5723107607924297E-2</v>
      </c>
    </row>
    <row r="20654" spans="1:6" x14ac:dyDescent="0.25">
      <c r="A20654" s="2" t="str">
        <f t="shared" si="727"/>
        <v>22540</v>
      </c>
      <c r="B20654" s="2" t="str">
        <f>"54937"</f>
        <v>54937</v>
      </c>
      <c r="C20654" s="1">
        <v>0.197201639100617</v>
      </c>
      <c r="D20654" s="1">
        <v>0.17520372526193201</v>
      </c>
      <c r="E20654" s="1">
        <v>0.14738805970149199</v>
      </c>
      <c r="F20654" s="1">
        <v>0.194215906257791</v>
      </c>
    </row>
    <row r="20655" spans="1:6" x14ac:dyDescent="0.25">
      <c r="A20655" s="2" t="str">
        <f t="shared" si="727"/>
        <v>22540</v>
      </c>
      <c r="B20655" s="2" t="str">
        <f>"54935"</f>
        <v>54935</v>
      </c>
      <c r="C20655" s="1">
        <v>0.414743412811312</v>
      </c>
      <c r="D20655" s="1">
        <v>0.44528521536670501</v>
      </c>
      <c r="E20655" s="1">
        <v>0.63308457711442701</v>
      </c>
      <c r="F20655" s="1">
        <v>0.42348925071438098</v>
      </c>
    </row>
    <row r="20656" spans="1:6" x14ac:dyDescent="0.25">
      <c r="A20656" s="2" t="str">
        <f t="shared" si="727"/>
        <v>22540</v>
      </c>
      <c r="B20656" s="2" t="str">
        <f>"53919"</f>
        <v>53919</v>
      </c>
      <c r="C20656" s="1">
        <v>2.1274337034756501E-2</v>
      </c>
      <c r="D20656" s="1">
        <v>1.0186263096623901E-2</v>
      </c>
      <c r="E20656" s="1">
        <v>8.0845771144278603E-3</v>
      </c>
      <c r="F20656" s="1">
        <v>2.0136931131695499E-2</v>
      </c>
    </row>
    <row r="20657" spans="1:6" x14ac:dyDescent="0.25">
      <c r="A20657" s="2" t="str">
        <f t="shared" si="727"/>
        <v>22540</v>
      </c>
      <c r="B20657" s="2" t="str">
        <f>"53014"</f>
        <v>53014</v>
      </c>
      <c r="C20657" s="1">
        <v>3.39709972610883E-4</v>
      </c>
      <c r="D20657" s="1">
        <v>2.9103608847497002E-4</v>
      </c>
      <c r="E20657" s="1">
        <v>0</v>
      </c>
      <c r="F20657" s="1">
        <v>3.2602650403697501E-4</v>
      </c>
    </row>
    <row r="20658" spans="1:6" x14ac:dyDescent="0.25">
      <c r="A20658" s="2" t="str">
        <f t="shared" si="727"/>
        <v>22540</v>
      </c>
      <c r="B20658" s="2" t="str">
        <f>"53079"</f>
        <v>53079</v>
      </c>
      <c r="C20658" s="1">
        <v>1.43952100893861E-2</v>
      </c>
      <c r="D20658" s="1">
        <v>7.2759022118742698E-3</v>
      </c>
      <c r="E20658" s="1">
        <v>4.3532338308457704E-3</v>
      </c>
      <c r="F20658" s="1">
        <v>1.3616401050956E-2</v>
      </c>
    </row>
    <row r="20659" spans="1:6" x14ac:dyDescent="0.25">
      <c r="A20659" s="2" t="str">
        <f t="shared" si="727"/>
        <v>22540</v>
      </c>
      <c r="B20659" s="2" t="str">
        <f>"53040"</f>
        <v>53040</v>
      </c>
      <c r="C20659" s="1">
        <v>3.9278965583133298E-3</v>
      </c>
      <c r="D20659" s="1">
        <v>1.1641443538998801E-3</v>
      </c>
      <c r="E20659" s="1">
        <v>0</v>
      </c>
      <c r="F20659" s="1">
        <v>3.6246476037051899E-3</v>
      </c>
    </row>
    <row r="20660" spans="1:6" x14ac:dyDescent="0.25">
      <c r="A20660" s="2" t="str">
        <f t="shared" si="727"/>
        <v>22540</v>
      </c>
      <c r="B20660" s="2" t="str">
        <f>"53057"</f>
        <v>53057</v>
      </c>
      <c r="C20660" s="1">
        <v>1.49472387948788E-2</v>
      </c>
      <c r="D20660" s="1">
        <v>7.2759022118742698E-3</v>
      </c>
      <c r="E20660" s="1">
        <v>3.1094527363183999E-3</v>
      </c>
      <c r="F20660" s="1">
        <v>1.40766737625376E-2</v>
      </c>
    </row>
    <row r="20661" spans="1:6" x14ac:dyDescent="0.25">
      <c r="A20661" s="2" t="str">
        <f t="shared" si="727"/>
        <v>22540</v>
      </c>
      <c r="B20661" s="2" t="str">
        <f>"53049"</f>
        <v>53049</v>
      </c>
      <c r="C20661" s="1">
        <v>2.29728868978109E-2</v>
      </c>
      <c r="D20661" s="1">
        <v>1.25145518044237E-2</v>
      </c>
      <c r="E20661" s="1">
        <v>4.97512437810945E-3</v>
      </c>
      <c r="F20661" s="1">
        <v>2.17287075925819E-2</v>
      </c>
    </row>
    <row r="20662" spans="1:6" x14ac:dyDescent="0.25">
      <c r="A20662" s="2" t="str">
        <f t="shared" si="727"/>
        <v>22540</v>
      </c>
      <c r="B20662" s="2" t="str">
        <f>"53946"</f>
        <v>53946</v>
      </c>
      <c r="C20662" s="1">
        <v>6.3695619864540605E-4</v>
      </c>
      <c r="D20662" s="1">
        <v>0</v>
      </c>
      <c r="E20662" s="1">
        <v>0</v>
      </c>
      <c r="F20662" s="1">
        <v>5.7534088947701497E-4</v>
      </c>
    </row>
    <row r="20663" spans="1:6" x14ac:dyDescent="0.25">
      <c r="A20663" s="2" t="str">
        <f t="shared" ref="A20663:A20684" si="728">"43100"</f>
        <v>43100</v>
      </c>
      <c r="B20663" s="2" t="str">
        <f>"53004"</f>
        <v>53004</v>
      </c>
      <c r="C20663" s="1">
        <v>9.3568126953234596E-5</v>
      </c>
      <c r="D20663" s="1">
        <v>2.6385224274406299E-4</v>
      </c>
      <c r="E20663" s="1">
        <v>0</v>
      </c>
      <c r="F20663" s="1">
        <v>1.01589881647787E-4</v>
      </c>
    </row>
    <row r="20664" spans="1:6" x14ac:dyDescent="0.25">
      <c r="A20664" s="2" t="str">
        <f t="shared" si="728"/>
        <v>43100</v>
      </c>
      <c r="B20664" s="2" t="str">
        <f>"53083"</f>
        <v>53083</v>
      </c>
      <c r="C20664" s="1">
        <v>0.175552519789658</v>
      </c>
      <c r="D20664" s="1">
        <v>0.11108179419524999</v>
      </c>
      <c r="E20664" s="1">
        <v>0.12268266085059901</v>
      </c>
      <c r="F20664" s="1">
        <v>0.16977362388039399</v>
      </c>
    </row>
    <row r="20665" spans="1:6" x14ac:dyDescent="0.25">
      <c r="A20665" s="2" t="str">
        <f t="shared" si="728"/>
        <v>43100</v>
      </c>
      <c r="B20665" s="2" t="str">
        <f>"53015"</f>
        <v>53015</v>
      </c>
      <c r="C20665" s="1">
        <v>2.9941800625035001E-3</v>
      </c>
      <c r="D20665" s="1">
        <v>1.5831134564643699E-3</v>
      </c>
      <c r="E20665" s="1">
        <v>0</v>
      </c>
      <c r="F20665" s="1">
        <v>2.8106533922554601E-3</v>
      </c>
    </row>
    <row r="20666" spans="1:6" x14ac:dyDescent="0.25">
      <c r="A20666" s="2" t="str">
        <f t="shared" si="728"/>
        <v>43100</v>
      </c>
      <c r="B20666" s="2" t="str">
        <f>"53075"</f>
        <v>53075</v>
      </c>
      <c r="C20666" s="1">
        <v>2.6255216423077599E-2</v>
      </c>
      <c r="D20666" s="1">
        <v>1.24010554089709E-2</v>
      </c>
      <c r="E20666" s="1">
        <v>2.0719738276990099E-2</v>
      </c>
      <c r="F20666" s="1">
        <v>2.51942906486513E-2</v>
      </c>
    </row>
    <row r="20667" spans="1:6" x14ac:dyDescent="0.25">
      <c r="A20667" s="2" t="str">
        <f t="shared" si="728"/>
        <v>43100</v>
      </c>
      <c r="B20667" s="2" t="str">
        <f>"53070"</f>
        <v>53070</v>
      </c>
      <c r="C20667" s="1">
        <v>4.2966483896925298E-2</v>
      </c>
      <c r="D20667" s="1">
        <v>3.1134564643799399E-2</v>
      </c>
      <c r="E20667" s="1">
        <v>2.56270447110141E-2</v>
      </c>
      <c r="F20667" s="1">
        <v>4.1668783122534303E-2</v>
      </c>
    </row>
    <row r="20668" spans="1:6" x14ac:dyDescent="0.25">
      <c r="A20668" s="2" t="str">
        <f t="shared" si="728"/>
        <v>43100</v>
      </c>
      <c r="B20668" s="2" t="str">
        <f>"53031"</f>
        <v>53031</v>
      </c>
      <c r="C20668" s="1">
        <v>0</v>
      </c>
      <c r="D20668" s="1">
        <v>0</v>
      </c>
      <c r="E20668" s="1">
        <v>1.63576881134133E-3</v>
      </c>
      <c r="F20668" s="1">
        <v>5.0794940823893898E-5</v>
      </c>
    </row>
    <row r="20669" spans="1:6" x14ac:dyDescent="0.25">
      <c r="A20669" s="2" t="str">
        <f t="shared" si="728"/>
        <v>43100</v>
      </c>
      <c r="B20669" s="2" t="str">
        <f>"53042"</f>
        <v>53042</v>
      </c>
      <c r="C20669" s="1">
        <v>1.8713625390646901E-5</v>
      </c>
      <c r="D20669" s="1">
        <v>0</v>
      </c>
      <c r="E20669" s="1">
        <v>0</v>
      </c>
      <c r="F20669" s="1">
        <v>1.69316469412979E-5</v>
      </c>
    </row>
    <row r="20670" spans="1:6" x14ac:dyDescent="0.25">
      <c r="A20670" s="2" t="str">
        <f t="shared" si="728"/>
        <v>43100</v>
      </c>
      <c r="B20670" s="2" t="str">
        <f>"53020"</f>
        <v>53020</v>
      </c>
      <c r="C20670" s="1">
        <v>3.27862716844134E-2</v>
      </c>
      <c r="D20670" s="1">
        <v>1.4248021108179401E-2</v>
      </c>
      <c r="E20670" s="1">
        <v>7.0883315158124299E-3</v>
      </c>
      <c r="F20670" s="1">
        <v>3.0798665786221001E-2</v>
      </c>
    </row>
    <row r="20671" spans="1:6" x14ac:dyDescent="0.25">
      <c r="A20671" s="2" t="str">
        <f t="shared" si="728"/>
        <v>43100</v>
      </c>
      <c r="B20671" s="2" t="str">
        <f>"53026"</f>
        <v>53026</v>
      </c>
      <c r="C20671" s="1">
        <v>2.4327713007841001E-4</v>
      </c>
      <c r="D20671" s="1">
        <v>0</v>
      </c>
      <c r="E20671" s="1">
        <v>5.4525627044710995E-4</v>
      </c>
      <c r="F20671" s="1">
        <v>2.3704305717817101E-4</v>
      </c>
    </row>
    <row r="20672" spans="1:6" x14ac:dyDescent="0.25">
      <c r="A20672" s="2" t="str">
        <f t="shared" si="728"/>
        <v>43100</v>
      </c>
      <c r="B20672" s="2" t="str">
        <f>"53093"</f>
        <v>53093</v>
      </c>
      <c r="C20672" s="1">
        <v>1.36235192843909E-2</v>
      </c>
      <c r="D20672" s="1">
        <v>6.5963060686015798E-3</v>
      </c>
      <c r="E20672" s="1">
        <v>5.4525627044710995E-4</v>
      </c>
      <c r="F20672" s="1">
        <v>1.2766461793738601E-2</v>
      </c>
    </row>
    <row r="20673" spans="1:6" x14ac:dyDescent="0.25">
      <c r="A20673" s="2" t="str">
        <f t="shared" si="728"/>
        <v>43100</v>
      </c>
      <c r="B20673" s="2" t="str">
        <f>"53001"</f>
        <v>53001</v>
      </c>
      <c r="C20673" s="1">
        <v>1.59065815820498E-2</v>
      </c>
      <c r="D20673" s="1">
        <v>1.08179419525065E-2</v>
      </c>
      <c r="E20673" s="1">
        <v>5.9978189749182098E-3</v>
      </c>
      <c r="F20673" s="1">
        <v>1.52723455410507E-2</v>
      </c>
    </row>
    <row r="20674" spans="1:6" x14ac:dyDescent="0.25">
      <c r="A20674" s="2" t="str">
        <f t="shared" si="728"/>
        <v>43100</v>
      </c>
      <c r="B20674" s="2" t="str">
        <f>"53082"</f>
        <v>53082</v>
      </c>
      <c r="C20674" s="1">
        <v>1.1097179856653599E-2</v>
      </c>
      <c r="D20674" s="1">
        <v>7.5989445910290193E-2</v>
      </c>
      <c r="E20674" s="1">
        <v>5.4525627044710995E-4</v>
      </c>
      <c r="F20674" s="1">
        <v>1.49337126022248E-2</v>
      </c>
    </row>
    <row r="20675" spans="1:6" x14ac:dyDescent="0.25">
      <c r="A20675" s="2" t="str">
        <f t="shared" si="728"/>
        <v>43100</v>
      </c>
      <c r="B20675" s="2" t="str">
        <f>"53085"</f>
        <v>53085</v>
      </c>
      <c r="C20675" s="1">
        <v>0.101596272245822</v>
      </c>
      <c r="D20675" s="1">
        <v>8.7862796833773002E-2</v>
      </c>
      <c r="E20675" s="1">
        <v>0.112868047982551</v>
      </c>
      <c r="F20675" s="1">
        <v>0.10106500059260699</v>
      </c>
    </row>
    <row r="20676" spans="1:6" x14ac:dyDescent="0.25">
      <c r="A20676" s="2" t="str">
        <f t="shared" si="728"/>
        <v>43100</v>
      </c>
      <c r="B20676" s="2" t="str">
        <f>"53079"</f>
        <v>53079</v>
      </c>
      <c r="C20676" s="1">
        <v>2.9941800625034998E-4</v>
      </c>
      <c r="D20676" s="1">
        <v>0</v>
      </c>
      <c r="E20676" s="1">
        <v>0</v>
      </c>
      <c r="F20676" s="1">
        <v>2.70906351060767E-4</v>
      </c>
    </row>
    <row r="20677" spans="1:6" x14ac:dyDescent="0.25">
      <c r="A20677" s="2" t="str">
        <f t="shared" si="728"/>
        <v>43100</v>
      </c>
      <c r="B20677" s="2" t="str">
        <f>"53081"</f>
        <v>53081</v>
      </c>
      <c r="C20677" s="1">
        <v>0.37528304358403303</v>
      </c>
      <c r="D20677" s="1">
        <v>0.464116094986807</v>
      </c>
      <c r="E20677" s="1">
        <v>0.46074154852780802</v>
      </c>
      <c r="F20677" s="1">
        <v>0.38363725639592899</v>
      </c>
    </row>
    <row r="20678" spans="1:6" x14ac:dyDescent="0.25">
      <c r="A20678" s="2" t="str">
        <f t="shared" si="728"/>
        <v>43100</v>
      </c>
      <c r="B20678" s="2" t="str">
        <f>"53073"</f>
        <v>53073</v>
      </c>
      <c r="C20678" s="1">
        <v>0.12667253026928901</v>
      </c>
      <c r="D20678" s="1">
        <v>0.13852242744063301</v>
      </c>
      <c r="E20678" s="1">
        <v>0.199018538713195</v>
      </c>
      <c r="F20678" s="1">
        <v>0.12967948392340101</v>
      </c>
    </row>
    <row r="20679" spans="1:6" x14ac:dyDescent="0.25">
      <c r="A20679" s="2" t="str">
        <f t="shared" si="728"/>
        <v>43100</v>
      </c>
      <c r="B20679" s="2" t="str">
        <f>"53044"</f>
        <v>53044</v>
      </c>
      <c r="C20679" s="1">
        <v>1.8133503003536802E-2</v>
      </c>
      <c r="D20679" s="1">
        <v>2.0844327176780999E-2</v>
      </c>
      <c r="E20679" s="1">
        <v>1.25408942202835E-2</v>
      </c>
      <c r="F20679" s="1">
        <v>1.81337938741301E-2</v>
      </c>
    </row>
    <row r="20680" spans="1:6" x14ac:dyDescent="0.25">
      <c r="A20680" s="2" t="str">
        <f t="shared" si="728"/>
        <v>43100</v>
      </c>
      <c r="B20680" s="2" t="str">
        <f>"53023"</f>
        <v>53023</v>
      </c>
      <c r="C20680" s="1">
        <v>1.14153114882946E-2</v>
      </c>
      <c r="D20680" s="1">
        <v>3.9577836411609398E-3</v>
      </c>
      <c r="E20680" s="1">
        <v>5.4525627044710997E-3</v>
      </c>
      <c r="F20680" s="1">
        <v>1.0751595807724199E-2</v>
      </c>
    </row>
    <row r="20681" spans="1:6" x14ac:dyDescent="0.25">
      <c r="A20681" s="2" t="str">
        <f t="shared" si="728"/>
        <v>43100</v>
      </c>
      <c r="B20681" s="2" t="str">
        <f>"53011"</f>
        <v>53011</v>
      </c>
      <c r="C20681" s="1">
        <v>1.8339352882833899E-2</v>
      </c>
      <c r="D20681" s="1">
        <v>6.8601583113456401E-3</v>
      </c>
      <c r="E20681" s="1">
        <v>8.1788440567066491E-3</v>
      </c>
      <c r="F20681" s="1">
        <v>1.7287211527065201E-2</v>
      </c>
    </row>
    <row r="20682" spans="1:6" x14ac:dyDescent="0.25">
      <c r="A20682" s="2" t="str">
        <f t="shared" si="728"/>
        <v>43100</v>
      </c>
      <c r="B20682" s="2" t="str">
        <f>"53040"</f>
        <v>53040</v>
      </c>
      <c r="C20682" s="1">
        <v>2.8257574339876799E-3</v>
      </c>
      <c r="D20682" s="1">
        <v>1.5831134564643699E-3</v>
      </c>
      <c r="E20682" s="1">
        <v>1.0905125408942199E-3</v>
      </c>
      <c r="F20682" s="1">
        <v>2.6921318636663701E-3</v>
      </c>
    </row>
    <row r="20683" spans="1:6" x14ac:dyDescent="0.25">
      <c r="A20683" s="2" t="str">
        <f t="shared" si="728"/>
        <v>43100</v>
      </c>
      <c r="B20683" s="2" t="str">
        <f>"53021"</f>
        <v>53021</v>
      </c>
      <c r="C20683" s="1">
        <v>7.4854501562587699E-5</v>
      </c>
      <c r="D20683" s="1">
        <v>0</v>
      </c>
      <c r="E20683" s="1">
        <v>0</v>
      </c>
      <c r="F20683" s="1">
        <v>6.77265877651919E-5</v>
      </c>
    </row>
    <row r="20684" spans="1:6" x14ac:dyDescent="0.25">
      <c r="A20684" s="2" t="str">
        <f t="shared" si="728"/>
        <v>43100</v>
      </c>
      <c r="B20684" s="2" t="str">
        <f>"53013"</f>
        <v>53013</v>
      </c>
      <c r="C20684" s="1">
        <v>2.3822445122293499E-2</v>
      </c>
      <c r="D20684" s="1">
        <v>1.2137203166226899E-2</v>
      </c>
      <c r="E20684" s="1">
        <v>1.47219193020719E-2</v>
      </c>
      <c r="F20684" s="1">
        <v>2.2789996782987001E-2</v>
      </c>
    </row>
    <row r="20685" spans="1:6" x14ac:dyDescent="0.25">
      <c r="A20685" s="2" t="str">
        <f t="shared" ref="A20685:A20704" si="729">"39540"</f>
        <v>39540</v>
      </c>
      <c r="B20685" s="2" t="str">
        <f>"53149"</f>
        <v>53149</v>
      </c>
      <c r="C20685" s="1">
        <v>1.2890454158322299E-3</v>
      </c>
      <c r="D20685" s="1">
        <v>3.1387319522912702E-4</v>
      </c>
      <c r="E20685" s="1">
        <v>0</v>
      </c>
      <c r="F20685" s="1">
        <v>1.1783189316575001E-3</v>
      </c>
    </row>
    <row r="20686" spans="1:6" x14ac:dyDescent="0.25">
      <c r="A20686" s="2" t="str">
        <f t="shared" si="729"/>
        <v>39540</v>
      </c>
      <c r="B20686" s="2" t="str">
        <f>"53405"</f>
        <v>53405</v>
      </c>
      <c r="C20686" s="1">
        <v>0.12595815206132099</v>
      </c>
      <c r="D20686" s="1">
        <v>7.9252981795354602E-2</v>
      </c>
      <c r="E20686" s="1">
        <v>6.5329512893982797E-2</v>
      </c>
      <c r="F20686" s="1">
        <v>0.120695001447058</v>
      </c>
    </row>
    <row r="20687" spans="1:6" x14ac:dyDescent="0.25">
      <c r="A20687" s="2" t="str">
        <f t="shared" si="729"/>
        <v>39540</v>
      </c>
      <c r="B20687" s="2" t="str">
        <f>"53138"</f>
        <v>53138</v>
      </c>
      <c r="C20687" s="1">
        <v>0</v>
      </c>
      <c r="D20687" s="1">
        <v>0</v>
      </c>
      <c r="E20687" s="1">
        <v>2.8653295128939799E-4</v>
      </c>
      <c r="F20687" s="1">
        <v>1.03361309794517E-5</v>
      </c>
    </row>
    <row r="20688" spans="1:6" x14ac:dyDescent="0.25">
      <c r="A20688" s="2" t="str">
        <f t="shared" si="729"/>
        <v>39540</v>
      </c>
      <c r="B20688" s="2" t="str">
        <f>"53108"</f>
        <v>53108</v>
      </c>
      <c r="C20688" s="1">
        <v>1.6354763713371499E-2</v>
      </c>
      <c r="D20688" s="1">
        <v>1.19271814187068E-2</v>
      </c>
      <c r="E20688" s="1">
        <v>1.14613180515759E-3</v>
      </c>
      <c r="F20688" s="1">
        <v>1.55145326001571E-2</v>
      </c>
    </row>
    <row r="20689" spans="1:6" x14ac:dyDescent="0.25">
      <c r="A20689" s="2" t="str">
        <f t="shared" si="729"/>
        <v>39540</v>
      </c>
      <c r="B20689" s="2" t="str">
        <f>"53105"</f>
        <v>53105</v>
      </c>
      <c r="C20689" s="1">
        <v>0.104654374697879</v>
      </c>
      <c r="D20689" s="1">
        <v>0.123509102322661</v>
      </c>
      <c r="E20689" s="1">
        <v>9.3123209169054394E-2</v>
      </c>
      <c r="F20689" s="1">
        <v>0.10548021664530501</v>
      </c>
    </row>
    <row r="20690" spans="1:6" x14ac:dyDescent="0.25">
      <c r="A20690" s="2" t="str">
        <f t="shared" si="729"/>
        <v>39540</v>
      </c>
      <c r="B20690" s="2" t="str">
        <f>"53402"</f>
        <v>53402</v>
      </c>
      <c r="C20690" s="1">
        <v>0.16957852818635899</v>
      </c>
      <c r="D20690" s="1">
        <v>8.8512241054613902E-2</v>
      </c>
      <c r="E20690" s="1">
        <v>0.12693409742120301</v>
      </c>
      <c r="F20690" s="1">
        <v>0.16270103774754999</v>
      </c>
    </row>
    <row r="20691" spans="1:6" x14ac:dyDescent="0.25">
      <c r="A20691" s="2" t="str">
        <f t="shared" si="729"/>
        <v>39540</v>
      </c>
      <c r="B20691" s="2" t="str">
        <f>"53401"</f>
        <v>53401</v>
      </c>
      <c r="C20691" s="1">
        <v>6.8250351034689098E-3</v>
      </c>
      <c r="D20691" s="1">
        <v>2.5737602008788399E-2</v>
      </c>
      <c r="E20691" s="1">
        <v>5.7306590257879598E-4</v>
      </c>
      <c r="F20691" s="1">
        <v>7.84512341340389E-3</v>
      </c>
    </row>
    <row r="20692" spans="1:6" x14ac:dyDescent="0.25">
      <c r="A20692" s="2" t="str">
        <f t="shared" si="729"/>
        <v>39540</v>
      </c>
      <c r="B20692" s="2" t="str">
        <f>"53406"</f>
        <v>53406</v>
      </c>
      <c r="C20692" s="1">
        <v>0.143371774509126</v>
      </c>
      <c r="D20692" s="1">
        <v>0.1454802259887</v>
      </c>
      <c r="E20692" s="1">
        <v>0.30916905444126003</v>
      </c>
      <c r="F20692" s="1">
        <v>0.14949146235581001</v>
      </c>
    </row>
    <row r="20693" spans="1:6" x14ac:dyDescent="0.25">
      <c r="A20693" s="2" t="str">
        <f t="shared" si="729"/>
        <v>39540</v>
      </c>
      <c r="B20693" s="2" t="str">
        <f>"53403"</f>
        <v>53403</v>
      </c>
      <c r="C20693" s="1">
        <v>0.134129779250972</v>
      </c>
      <c r="D20693" s="1">
        <v>0.172159447583176</v>
      </c>
      <c r="E20693" s="1">
        <v>0.170773638968481</v>
      </c>
      <c r="F20693" s="1">
        <v>0.137956340182742</v>
      </c>
    </row>
    <row r="20694" spans="1:6" x14ac:dyDescent="0.25">
      <c r="A20694" s="2" t="str">
        <f t="shared" si="729"/>
        <v>39540</v>
      </c>
      <c r="B20694" s="2" t="str">
        <f>"53126"</f>
        <v>53126</v>
      </c>
      <c r="C20694" s="1">
        <v>3.1949911378127603E-2</v>
      </c>
      <c r="D20694" s="1">
        <v>2.77777777777777E-2</v>
      </c>
      <c r="E20694" s="1">
        <v>8.5959885386819399E-3</v>
      </c>
      <c r="F20694" s="1">
        <v>3.08326787117046E-2</v>
      </c>
    </row>
    <row r="20695" spans="1:6" x14ac:dyDescent="0.25">
      <c r="A20695" s="2" t="str">
        <f t="shared" si="729"/>
        <v>39540</v>
      </c>
      <c r="B20695" s="2" t="str">
        <f>"53177"</f>
        <v>53177</v>
      </c>
      <c r="C20695" s="1">
        <v>3.2203116727666098E-2</v>
      </c>
      <c r="D20695" s="1">
        <v>7.0307595731324501E-2</v>
      </c>
      <c r="E20695" s="1">
        <v>4.41260744985673E-2</v>
      </c>
      <c r="F20695" s="1">
        <v>3.5142845330136001E-2</v>
      </c>
    </row>
    <row r="20696" spans="1:6" x14ac:dyDescent="0.25">
      <c r="A20696" s="2" t="str">
        <f t="shared" si="729"/>
        <v>39540</v>
      </c>
      <c r="B20696" s="2" t="str">
        <f>"53404"</f>
        <v>53404</v>
      </c>
      <c r="C20696" s="1">
        <v>7.5685380843864294E-2</v>
      </c>
      <c r="D20696" s="1">
        <v>0.110483364720652</v>
      </c>
      <c r="E20696" s="1">
        <v>8.7679083094555799E-2</v>
      </c>
      <c r="F20696" s="1">
        <v>7.8409889610121103E-2</v>
      </c>
    </row>
    <row r="20697" spans="1:6" x14ac:dyDescent="0.25">
      <c r="A20697" s="2" t="str">
        <f t="shared" si="729"/>
        <v>39540</v>
      </c>
      <c r="B20697" s="2" t="str">
        <f>"53120"</f>
        <v>53120</v>
      </c>
      <c r="C20697" s="1">
        <v>1.59979743572036E-3</v>
      </c>
      <c r="D20697" s="1">
        <v>1.56936597614563E-4</v>
      </c>
      <c r="E20697" s="1">
        <v>0</v>
      </c>
      <c r="F20697" s="1">
        <v>1.4470583371232399E-3</v>
      </c>
    </row>
    <row r="20698" spans="1:6" x14ac:dyDescent="0.25">
      <c r="A20698" s="2" t="str">
        <f t="shared" si="729"/>
        <v>39540</v>
      </c>
      <c r="B20698" s="2" t="str">
        <f>"53185"</f>
        <v>53185</v>
      </c>
      <c r="C20698" s="1">
        <v>9.1740901871417702E-2</v>
      </c>
      <c r="D20698" s="1">
        <v>5.2730696798493397E-2</v>
      </c>
      <c r="E20698" s="1">
        <v>3.9255014326647499E-2</v>
      </c>
      <c r="F20698" s="1">
        <v>8.7278289990490698E-2</v>
      </c>
    </row>
    <row r="20699" spans="1:6" x14ac:dyDescent="0.25">
      <c r="A20699" s="2" t="str">
        <f t="shared" si="729"/>
        <v>39540</v>
      </c>
      <c r="B20699" s="2" t="str">
        <f>"53167"</f>
        <v>53167</v>
      </c>
      <c r="C20699" s="1">
        <v>1.4156480906014699E-3</v>
      </c>
      <c r="D20699" s="1">
        <v>0</v>
      </c>
      <c r="E20699" s="1">
        <v>8.5959885386819397E-4</v>
      </c>
      <c r="F20699" s="1">
        <v>1.30235250341092E-3</v>
      </c>
    </row>
    <row r="20700" spans="1:6" x14ac:dyDescent="0.25">
      <c r="A20700" s="2" t="str">
        <f t="shared" si="729"/>
        <v>39540</v>
      </c>
      <c r="B20700" s="2" t="str">
        <f>"53150"</f>
        <v>53150</v>
      </c>
      <c r="C20700" s="1">
        <v>1.85300278525884E-3</v>
      </c>
      <c r="D20700" s="1">
        <v>4.7080979284369102E-4</v>
      </c>
      <c r="E20700" s="1">
        <v>2.8653295128939801E-3</v>
      </c>
      <c r="F20700" s="1">
        <v>1.7984867904246001E-3</v>
      </c>
    </row>
    <row r="20701" spans="1:6" x14ac:dyDescent="0.25">
      <c r="A20701" s="2" t="str">
        <f t="shared" si="729"/>
        <v>39540</v>
      </c>
      <c r="B20701" s="2" t="str">
        <f>"53408"</f>
        <v>53408</v>
      </c>
      <c r="C20701" s="1">
        <v>1.0795755357594999E-2</v>
      </c>
      <c r="D20701" s="1">
        <v>4.00188323917137E-2</v>
      </c>
      <c r="E20701" s="1">
        <v>5.7306590257879598E-4</v>
      </c>
      <c r="F20701" s="1">
        <v>1.2351676520444801E-2</v>
      </c>
    </row>
    <row r="20702" spans="1:6" x14ac:dyDescent="0.25">
      <c r="A20702" s="2" t="str">
        <f t="shared" si="729"/>
        <v>39540</v>
      </c>
      <c r="B20702" s="2" t="str">
        <f>"53144"</f>
        <v>53144</v>
      </c>
      <c r="C20702" s="1">
        <v>3.4528002209792101E-5</v>
      </c>
      <c r="D20702" s="1">
        <v>0</v>
      </c>
      <c r="E20702" s="1">
        <v>0</v>
      </c>
      <c r="F20702" s="1">
        <v>3.1008392938355301E-5</v>
      </c>
    </row>
    <row r="20703" spans="1:6" x14ac:dyDescent="0.25">
      <c r="A20703" s="2" t="str">
        <f t="shared" si="729"/>
        <v>39540</v>
      </c>
      <c r="B20703" s="2" t="str">
        <f>"53139"</f>
        <v>53139</v>
      </c>
      <c r="C20703" s="1">
        <v>1.27638514835531E-2</v>
      </c>
      <c r="D20703" s="1">
        <v>5.0219711236660297E-3</v>
      </c>
      <c r="E20703" s="1">
        <v>8.3094555873925498E-3</v>
      </c>
      <c r="F20703" s="1">
        <v>1.20932732459585E-2</v>
      </c>
    </row>
    <row r="20704" spans="1:6" x14ac:dyDescent="0.25">
      <c r="A20704" s="2" t="str">
        <f t="shared" si="729"/>
        <v>39540</v>
      </c>
      <c r="B20704" s="2" t="str">
        <f>"53182"</f>
        <v>53182</v>
      </c>
      <c r="C20704" s="1">
        <v>3.7796653085652401E-2</v>
      </c>
      <c r="D20704" s="1">
        <v>4.6139359698681701E-2</v>
      </c>
      <c r="E20704" s="1">
        <v>4.04011461318051E-2</v>
      </c>
      <c r="F20704" s="1">
        <v>3.8440071112581103E-2</v>
      </c>
    </row>
    <row r="20705" spans="1:6" x14ac:dyDescent="0.25">
      <c r="A20705" s="2" t="str">
        <f t="shared" ref="A20705:A20731" si="730">"32860"</f>
        <v>32860</v>
      </c>
      <c r="B20705" s="2" t="str">
        <f>"54767"</f>
        <v>54767</v>
      </c>
      <c r="C20705" s="1">
        <v>4.0987806127676998E-4</v>
      </c>
      <c r="D20705" s="1">
        <v>0</v>
      </c>
      <c r="E20705" s="1">
        <v>0</v>
      </c>
      <c r="F20705" s="1">
        <v>3.6481371699575901E-4</v>
      </c>
    </row>
    <row r="20706" spans="1:6" x14ac:dyDescent="0.25">
      <c r="A20706" s="2" t="str">
        <f t="shared" si="730"/>
        <v>32860</v>
      </c>
      <c r="B20706" s="2" t="str">
        <f>"54765"</f>
        <v>54765</v>
      </c>
      <c r="C20706" s="1">
        <v>0</v>
      </c>
      <c r="D20706" s="1">
        <v>0</v>
      </c>
      <c r="E20706" s="1">
        <v>9.1996320147194101E-4</v>
      </c>
      <c r="F20706" s="1">
        <v>4.5601714624469801E-5</v>
      </c>
    </row>
    <row r="20707" spans="1:6" x14ac:dyDescent="0.25">
      <c r="A20707" s="2" t="str">
        <f t="shared" si="730"/>
        <v>32860</v>
      </c>
      <c r="B20707" s="2" t="str">
        <f>"54757"</f>
        <v>54757</v>
      </c>
      <c r="C20707" s="1">
        <v>7.9413874372374193E-3</v>
      </c>
      <c r="D20707" s="1">
        <v>7.55287009063444E-4</v>
      </c>
      <c r="E20707" s="1">
        <v>0</v>
      </c>
      <c r="F20707" s="1">
        <v>7.1138674814173004E-3</v>
      </c>
    </row>
    <row r="20708" spans="1:6" x14ac:dyDescent="0.25">
      <c r="A20708" s="2" t="str">
        <f t="shared" si="730"/>
        <v>32860</v>
      </c>
      <c r="B20708" s="2" t="str">
        <f>"54749"</f>
        <v>54749</v>
      </c>
      <c r="C20708" s="1">
        <v>2.6129726406394001E-2</v>
      </c>
      <c r="D20708" s="1">
        <v>1.13293051359516E-2</v>
      </c>
      <c r="E20708" s="1">
        <v>1.8399264029438801E-2</v>
      </c>
      <c r="F20708" s="1">
        <v>2.4852934470335999E-2</v>
      </c>
    </row>
    <row r="20709" spans="1:6" x14ac:dyDescent="0.25">
      <c r="A20709" s="2" t="str">
        <f t="shared" si="730"/>
        <v>32860</v>
      </c>
      <c r="B20709" s="2" t="str">
        <f>"54735"</f>
        <v>54735</v>
      </c>
      <c r="C20709" s="1">
        <v>0</v>
      </c>
      <c r="D20709" s="1">
        <v>7.55287009063444E-4</v>
      </c>
      <c r="E20709" s="1">
        <v>0</v>
      </c>
      <c r="F20709" s="1">
        <v>4.5601714624469801E-5</v>
      </c>
    </row>
    <row r="20710" spans="1:6" x14ac:dyDescent="0.25">
      <c r="A20710" s="2" t="str">
        <f t="shared" si="730"/>
        <v>32860</v>
      </c>
      <c r="B20710" s="2" t="str">
        <f>"54740"</f>
        <v>54740</v>
      </c>
      <c r="C20710" s="1">
        <v>1.2142637565324301E-2</v>
      </c>
      <c r="D20710" s="1">
        <v>1.51057401812688E-3</v>
      </c>
      <c r="E20710" s="1">
        <v>0</v>
      </c>
      <c r="F20710" s="1">
        <v>1.08988097952483E-2</v>
      </c>
    </row>
    <row r="20711" spans="1:6" x14ac:dyDescent="0.25">
      <c r="A20711" s="2" t="str">
        <f t="shared" si="730"/>
        <v>32860</v>
      </c>
      <c r="B20711" s="2" t="str">
        <f>"54721"</f>
        <v>54721</v>
      </c>
      <c r="C20711" s="1">
        <v>1.6395122451070799E-3</v>
      </c>
      <c r="D20711" s="1">
        <v>0</v>
      </c>
      <c r="E20711" s="1">
        <v>9.1996320147194101E-4</v>
      </c>
      <c r="F20711" s="1">
        <v>1.5048565826074999E-3</v>
      </c>
    </row>
    <row r="20712" spans="1:6" x14ac:dyDescent="0.25">
      <c r="A20712" s="2" t="str">
        <f t="shared" si="730"/>
        <v>32860</v>
      </c>
      <c r="B20712" s="2" t="str">
        <f>"54027"</f>
        <v>54027</v>
      </c>
      <c r="C20712" s="1">
        <v>2.0493903063838499E-4</v>
      </c>
      <c r="D20712" s="1">
        <v>0</v>
      </c>
      <c r="E20712" s="1">
        <v>0</v>
      </c>
      <c r="F20712" s="1">
        <v>1.8240685849787899E-4</v>
      </c>
    </row>
    <row r="20713" spans="1:6" x14ac:dyDescent="0.25">
      <c r="A20713" s="2" t="str">
        <f t="shared" si="730"/>
        <v>32860</v>
      </c>
      <c r="B20713" s="2" t="str">
        <f>"54013"</f>
        <v>54013</v>
      </c>
      <c r="C20713" s="1">
        <v>1.48580797212829E-3</v>
      </c>
      <c r="D20713" s="1">
        <v>7.55287009063444E-4</v>
      </c>
      <c r="E20713" s="1">
        <v>0</v>
      </c>
      <c r="F20713" s="1">
        <v>1.36805143873409E-3</v>
      </c>
    </row>
    <row r="20714" spans="1:6" x14ac:dyDescent="0.25">
      <c r="A20714" s="2" t="str">
        <f t="shared" si="730"/>
        <v>32860</v>
      </c>
      <c r="B20714" s="2" t="str">
        <f>"54764"</f>
        <v>54764</v>
      </c>
      <c r="C20714" s="1">
        <v>0</v>
      </c>
      <c r="D20714" s="1">
        <v>0</v>
      </c>
      <c r="E20714" s="1">
        <v>9.1996320147194101E-4</v>
      </c>
      <c r="F20714" s="1">
        <v>4.5601714624469801E-5</v>
      </c>
    </row>
    <row r="20715" spans="1:6" x14ac:dyDescent="0.25">
      <c r="A20715" s="2" t="str">
        <f t="shared" si="730"/>
        <v>32860</v>
      </c>
      <c r="B20715" s="2" t="str">
        <f>"54772"</f>
        <v>54772</v>
      </c>
      <c r="C20715" s="1">
        <v>2.7154421559586001E-2</v>
      </c>
      <c r="D20715" s="1">
        <v>3.7764350453172199E-3</v>
      </c>
      <c r="E20715" s="1">
        <v>2.7598896044158201E-3</v>
      </c>
      <c r="F20715" s="1">
        <v>2.4533722467964699E-2</v>
      </c>
    </row>
    <row r="20716" spans="1:6" x14ac:dyDescent="0.25">
      <c r="A20716" s="2" t="str">
        <f t="shared" si="730"/>
        <v>32860</v>
      </c>
      <c r="B20716" s="2" t="str">
        <f>"54751"</f>
        <v>54751</v>
      </c>
      <c r="C20716" s="1">
        <v>0.58597192335280202</v>
      </c>
      <c r="D20716" s="1">
        <v>0.85120845921450095</v>
      </c>
      <c r="E20716" s="1">
        <v>0.87304507819687205</v>
      </c>
      <c r="F20716" s="1">
        <v>0.616215969720461</v>
      </c>
    </row>
    <row r="20717" spans="1:6" x14ac:dyDescent="0.25">
      <c r="A20717" s="2" t="str">
        <f t="shared" si="730"/>
        <v>32860</v>
      </c>
      <c r="B20717" s="2" t="str">
        <f>"54737"</f>
        <v>54737</v>
      </c>
      <c r="C20717" s="1">
        <v>1.0810533866174799E-2</v>
      </c>
      <c r="D20717" s="1">
        <v>3.0211480362537699E-3</v>
      </c>
      <c r="E20717" s="1">
        <v>3.6798528058877601E-3</v>
      </c>
      <c r="F20717" s="1">
        <v>9.9867755027589003E-3</v>
      </c>
    </row>
    <row r="20718" spans="1:6" x14ac:dyDescent="0.25">
      <c r="A20718" s="2" t="str">
        <f t="shared" si="730"/>
        <v>32860</v>
      </c>
      <c r="B20718" s="2" t="str">
        <f>"54734"</f>
        <v>54734</v>
      </c>
      <c r="C20718" s="1">
        <v>1.7675991392560701E-2</v>
      </c>
      <c r="D20718" s="1">
        <v>5.2870090634441003E-3</v>
      </c>
      <c r="E20718" s="1">
        <v>2.7598896044158201E-3</v>
      </c>
      <c r="F20718" s="1">
        <v>1.6188608691686798E-2</v>
      </c>
    </row>
    <row r="20719" spans="1:6" x14ac:dyDescent="0.25">
      <c r="A20719" s="2" t="str">
        <f t="shared" si="730"/>
        <v>32860</v>
      </c>
      <c r="B20719" s="2" t="str">
        <f>"54703"</f>
        <v>54703</v>
      </c>
      <c r="C20719" s="1">
        <v>6.9679270417050904E-3</v>
      </c>
      <c r="D20719" s="1">
        <v>0</v>
      </c>
      <c r="E20719" s="1">
        <v>1.8399264029438801E-3</v>
      </c>
      <c r="F20719" s="1">
        <v>6.2930366181768397E-3</v>
      </c>
    </row>
    <row r="20720" spans="1:6" x14ac:dyDescent="0.25">
      <c r="A20720" s="2" t="str">
        <f t="shared" si="730"/>
        <v>32860</v>
      </c>
      <c r="B20720" s="2" t="str">
        <f>"54761"</f>
        <v>54761</v>
      </c>
      <c r="C20720" s="1">
        <v>1.0246951531919201E-4</v>
      </c>
      <c r="D20720" s="1">
        <v>0</v>
      </c>
      <c r="E20720" s="1">
        <v>0</v>
      </c>
      <c r="F20720" s="1">
        <v>9.1203429248939698E-5</v>
      </c>
    </row>
    <row r="20721" spans="1:6" x14ac:dyDescent="0.25">
      <c r="A20721" s="2" t="str">
        <f t="shared" si="730"/>
        <v>32860</v>
      </c>
      <c r="B20721" s="2" t="str">
        <f>"54755"</f>
        <v>54755</v>
      </c>
      <c r="C20721" s="1">
        <v>2.02377292755405E-2</v>
      </c>
      <c r="D20721" s="1">
        <v>1.0574018126888201E-2</v>
      </c>
      <c r="E20721" s="1">
        <v>3.6798528058877601E-3</v>
      </c>
      <c r="F20721" s="1">
        <v>1.8833508139905999E-2</v>
      </c>
    </row>
    <row r="20722" spans="1:6" x14ac:dyDescent="0.25">
      <c r="A20722" s="2" t="str">
        <f t="shared" si="730"/>
        <v>32860</v>
      </c>
      <c r="B20722" s="2" t="str">
        <f>"54724"</f>
        <v>54724</v>
      </c>
      <c r="C20722" s="1">
        <v>1.5370427297878799E-4</v>
      </c>
      <c r="D20722" s="1">
        <v>0</v>
      </c>
      <c r="E20722" s="1">
        <v>0</v>
      </c>
      <c r="F20722" s="1">
        <v>1.36805143873409E-4</v>
      </c>
    </row>
    <row r="20723" spans="1:6" x14ac:dyDescent="0.25">
      <c r="A20723" s="2" t="str">
        <f t="shared" si="730"/>
        <v>32860</v>
      </c>
      <c r="B20723" s="2" t="str">
        <f>"54701"</f>
        <v>54701</v>
      </c>
      <c r="C20723" s="1">
        <v>5.5845885848959899E-3</v>
      </c>
      <c r="D20723" s="1">
        <v>0</v>
      </c>
      <c r="E20723" s="1">
        <v>0</v>
      </c>
      <c r="F20723" s="1">
        <v>4.97058689406721E-3</v>
      </c>
    </row>
    <row r="20724" spans="1:6" x14ac:dyDescent="0.25">
      <c r="A20724" s="2" t="str">
        <f t="shared" si="730"/>
        <v>32860</v>
      </c>
      <c r="B20724" s="2" t="str">
        <f>"54762"</f>
        <v>54762</v>
      </c>
      <c r="C20724" s="1">
        <v>2.8691464289373899E-3</v>
      </c>
      <c r="D20724" s="1">
        <v>7.55287009063444E-4</v>
      </c>
      <c r="E20724" s="1">
        <v>0</v>
      </c>
      <c r="F20724" s="1">
        <v>2.59929773359478E-3</v>
      </c>
    </row>
    <row r="20725" spans="1:6" x14ac:dyDescent="0.25">
      <c r="A20725" s="2" t="str">
        <f t="shared" si="730"/>
        <v>32860</v>
      </c>
      <c r="B20725" s="2" t="str">
        <f>"54739"</f>
        <v>54739</v>
      </c>
      <c r="C20725" s="1">
        <v>7.8286709703863103E-2</v>
      </c>
      <c r="D20725" s="1">
        <v>3.32326283987915E-2</v>
      </c>
      <c r="E20725" s="1">
        <v>2.57589696412143E-2</v>
      </c>
      <c r="F20725" s="1">
        <v>7.2962743399151805E-2</v>
      </c>
    </row>
    <row r="20726" spans="1:6" x14ac:dyDescent="0.25">
      <c r="A20726" s="2" t="str">
        <f t="shared" si="730"/>
        <v>32860</v>
      </c>
      <c r="B20726" s="2" t="str">
        <f>"54725"</f>
        <v>54725</v>
      </c>
      <c r="C20726" s="1">
        <v>6.8347166717901406E-2</v>
      </c>
      <c r="D20726" s="1">
        <v>3.02114803625377E-2</v>
      </c>
      <c r="E20726" s="1">
        <v>1.8399264029438801E-2</v>
      </c>
      <c r="F20726" s="1">
        <v>6.3568790186511001E-2</v>
      </c>
    </row>
    <row r="20727" spans="1:6" x14ac:dyDescent="0.25">
      <c r="A20727" s="2" t="str">
        <f t="shared" si="730"/>
        <v>32860</v>
      </c>
      <c r="B20727" s="2" t="str">
        <f>"54763"</f>
        <v>54763</v>
      </c>
      <c r="C20727" s="1">
        <v>1.9264268880008099E-2</v>
      </c>
      <c r="D20727" s="1">
        <v>7.55287009063444E-4</v>
      </c>
      <c r="E20727" s="1">
        <v>4.5998160073597001E-3</v>
      </c>
      <c r="F20727" s="1">
        <v>1.7419854986547401E-2</v>
      </c>
    </row>
    <row r="20728" spans="1:6" x14ac:dyDescent="0.25">
      <c r="A20728" s="2" t="str">
        <f t="shared" si="730"/>
        <v>32860</v>
      </c>
      <c r="B20728" s="2" t="str">
        <f>"54005"</f>
        <v>54005</v>
      </c>
      <c r="C20728" s="1">
        <v>2.9203811865969802E-3</v>
      </c>
      <c r="D20728" s="1">
        <v>0</v>
      </c>
      <c r="E20728" s="1">
        <v>0</v>
      </c>
      <c r="F20728" s="1">
        <v>2.59929773359478E-3</v>
      </c>
    </row>
    <row r="20729" spans="1:6" x14ac:dyDescent="0.25">
      <c r="A20729" s="2" t="str">
        <f t="shared" si="730"/>
        <v>32860</v>
      </c>
      <c r="B20729" s="2" t="str">
        <f>"54728"</f>
        <v>54728</v>
      </c>
      <c r="C20729" s="1">
        <v>6.1481709191515499E-4</v>
      </c>
      <c r="D20729" s="1">
        <v>0</v>
      </c>
      <c r="E20729" s="1">
        <v>0</v>
      </c>
      <c r="F20729" s="1">
        <v>5.4722057549363805E-4</v>
      </c>
    </row>
    <row r="20730" spans="1:6" x14ac:dyDescent="0.25">
      <c r="A20730" s="2" t="str">
        <f t="shared" si="730"/>
        <v>32860</v>
      </c>
      <c r="B20730" s="2" t="str">
        <f>"54736"</f>
        <v>54736</v>
      </c>
      <c r="C20730" s="1">
        <v>1.0759299108515201E-3</v>
      </c>
      <c r="D20730" s="1">
        <v>0</v>
      </c>
      <c r="E20730" s="1">
        <v>0</v>
      </c>
      <c r="F20730" s="1">
        <v>9.5763600711386699E-4</v>
      </c>
    </row>
    <row r="20731" spans="1:6" x14ac:dyDescent="0.25">
      <c r="A20731" s="2" t="str">
        <f t="shared" si="730"/>
        <v>32860</v>
      </c>
      <c r="B20731" s="2" t="str">
        <f>"54730"</f>
        <v>54730</v>
      </c>
      <c r="C20731" s="1">
        <v>0.102008402500256</v>
      </c>
      <c r="D20731" s="1">
        <v>4.6072507552869998E-2</v>
      </c>
      <c r="E20731" s="1">
        <v>4.2318307267709201E-2</v>
      </c>
      <c r="F20731" s="1">
        <v>9.5672397282137805E-2</v>
      </c>
    </row>
    <row r="20732" spans="1:6" x14ac:dyDescent="0.25">
      <c r="A20732" s="2" t="str">
        <f t="shared" ref="A20732:A20763" si="731">"24580"</f>
        <v>24580</v>
      </c>
      <c r="B20732" s="2" t="str">
        <f>"54229"</f>
        <v>54229</v>
      </c>
      <c r="C20732" s="1">
        <v>1.2330903171976E-2</v>
      </c>
      <c r="D20732" s="1">
        <v>4.7444275355832E-3</v>
      </c>
      <c r="E20732" s="1">
        <v>6.7744418783679703E-3</v>
      </c>
      <c r="F20732" s="1">
        <v>1.15935661809572E-2</v>
      </c>
    </row>
    <row r="20733" spans="1:6" x14ac:dyDescent="0.25">
      <c r="A20733" s="2" t="str">
        <f t="shared" si="731"/>
        <v>24580</v>
      </c>
      <c r="B20733" s="2" t="str">
        <f>"54171"</f>
        <v>54171</v>
      </c>
      <c r="C20733" s="1">
        <v>1.0135551026549301E-2</v>
      </c>
      <c r="D20733" s="1">
        <v>7.1614000537105005E-4</v>
      </c>
      <c r="E20733" s="1">
        <v>3.0792917628945301E-4</v>
      </c>
      <c r="F20733" s="1">
        <v>9.1040003905201207E-3</v>
      </c>
    </row>
    <row r="20734" spans="1:6" x14ac:dyDescent="0.25">
      <c r="A20734" s="2" t="str">
        <f t="shared" si="731"/>
        <v>24580</v>
      </c>
      <c r="B20734" s="2" t="str">
        <f>"54311"</f>
        <v>54311</v>
      </c>
      <c r="C20734" s="1">
        <v>0.103872300263989</v>
      </c>
      <c r="D20734" s="1">
        <v>6.8928475516963503E-2</v>
      </c>
      <c r="E20734" s="1">
        <v>0.106235565819861</v>
      </c>
      <c r="F20734" s="1">
        <v>0.101584047252935</v>
      </c>
    </row>
    <row r="20735" spans="1:6" x14ac:dyDescent="0.25">
      <c r="A20735" s="2" t="str">
        <f t="shared" si="731"/>
        <v>24580</v>
      </c>
      <c r="B20735" s="2" t="str">
        <f>"54305"</f>
        <v>54305</v>
      </c>
      <c r="C20735" s="1">
        <v>6.9964026316869299E-3</v>
      </c>
      <c r="D20735" s="1">
        <v>3.1510160236326197E-2</v>
      </c>
      <c r="E20735" s="1">
        <v>3.0792917628945301E-4</v>
      </c>
      <c r="F20735" s="1">
        <v>8.4022845427253398E-3</v>
      </c>
    </row>
    <row r="20736" spans="1:6" x14ac:dyDescent="0.25">
      <c r="A20736" s="2" t="str">
        <f t="shared" si="731"/>
        <v>24580</v>
      </c>
      <c r="B20736" s="2" t="str">
        <f>"54137"</f>
        <v>54137</v>
      </c>
      <c r="C20736" s="1">
        <v>9.7115266246289701E-4</v>
      </c>
      <c r="D20736" s="1">
        <v>3.5807000268552503E-4</v>
      </c>
      <c r="E20736" s="1">
        <v>0</v>
      </c>
      <c r="F20736" s="1">
        <v>8.9087403285250505E-4</v>
      </c>
    </row>
    <row r="20737" spans="1:6" x14ac:dyDescent="0.25">
      <c r="A20737" s="2" t="str">
        <f t="shared" si="731"/>
        <v>24580</v>
      </c>
      <c r="B20737" s="2" t="str">
        <f>"54303"</f>
        <v>54303</v>
      </c>
      <c r="C20737" s="1">
        <v>8.7684142855188801E-2</v>
      </c>
      <c r="D20737" s="1">
        <v>0.12129621340972099</v>
      </c>
      <c r="E20737" s="1">
        <v>0.155196304849884</v>
      </c>
      <c r="F20737" s="1">
        <v>9.2650899416660507E-2</v>
      </c>
    </row>
    <row r="20738" spans="1:6" x14ac:dyDescent="0.25">
      <c r="A20738" s="2" t="str">
        <f t="shared" si="731"/>
        <v>24580</v>
      </c>
      <c r="B20738" s="2" t="str">
        <f>"54114"</f>
        <v>54114</v>
      </c>
      <c r="C20738" s="1">
        <v>2.4552380691843598E-3</v>
      </c>
      <c r="D20738" s="1">
        <v>4.4758750335690601E-4</v>
      </c>
      <c r="E20738" s="1">
        <v>0</v>
      </c>
      <c r="F20738" s="1">
        <v>2.22108320519391E-3</v>
      </c>
    </row>
    <row r="20739" spans="1:6" x14ac:dyDescent="0.25">
      <c r="A20739" s="2" t="str">
        <f t="shared" si="731"/>
        <v>24580</v>
      </c>
      <c r="B20739" s="2" t="str">
        <f>"54162"</f>
        <v>54162</v>
      </c>
      <c r="C20739" s="1">
        <v>1.8561326238903501E-2</v>
      </c>
      <c r="D20739" s="1">
        <v>9.7574075731805508E-3</v>
      </c>
      <c r="E20739" s="1">
        <v>7.5442648190916003E-3</v>
      </c>
      <c r="F20739" s="1">
        <v>1.7524590564057502E-2</v>
      </c>
    </row>
    <row r="20740" spans="1:6" x14ac:dyDescent="0.25">
      <c r="A20740" s="2" t="str">
        <f t="shared" si="731"/>
        <v>24580</v>
      </c>
      <c r="B20740" s="2" t="str">
        <f>"54313"</f>
        <v>54313</v>
      </c>
      <c r="C20740" s="1">
        <v>0.10710035700119</v>
      </c>
      <c r="D20740" s="1">
        <v>6.8928475516963503E-2</v>
      </c>
      <c r="E20740" s="1">
        <v>6.7282525019245504E-2</v>
      </c>
      <c r="F20740" s="1">
        <v>0.10292035830221299</v>
      </c>
    </row>
    <row r="20741" spans="1:6" x14ac:dyDescent="0.25">
      <c r="A20741" s="2" t="str">
        <f t="shared" si="731"/>
        <v>24580</v>
      </c>
      <c r="B20741" s="2" t="str">
        <f>"54130"</f>
        <v>54130</v>
      </c>
      <c r="C20741" s="1">
        <v>1.86023608584442E-3</v>
      </c>
      <c r="D20741" s="1">
        <v>1.7903500134276199E-3</v>
      </c>
      <c r="E20741" s="1">
        <v>3.0792917628945301E-4</v>
      </c>
      <c r="F20741" s="1">
        <v>1.7939518195796999E-3</v>
      </c>
    </row>
    <row r="20742" spans="1:6" x14ac:dyDescent="0.25">
      <c r="A20742" s="2" t="str">
        <f t="shared" si="731"/>
        <v>24580</v>
      </c>
      <c r="B20742" s="2" t="str">
        <f>"54126"</f>
        <v>54126</v>
      </c>
      <c r="C20742" s="1">
        <v>1.0456988879618099E-2</v>
      </c>
      <c r="D20742" s="1">
        <v>3.1331125234983401E-3</v>
      </c>
      <c r="E20742" s="1">
        <v>2.3094688221708998E-3</v>
      </c>
      <c r="F20742" s="1">
        <v>9.6348636840692097E-3</v>
      </c>
    </row>
    <row r="20743" spans="1:6" x14ac:dyDescent="0.25">
      <c r="A20743" s="2" t="str">
        <f t="shared" si="731"/>
        <v>24580</v>
      </c>
      <c r="B20743" s="2" t="str">
        <f>"54241"</f>
        <v>54241</v>
      </c>
      <c r="C20743" s="1">
        <v>1.36782065135619E-5</v>
      </c>
      <c r="D20743" s="1">
        <v>0</v>
      </c>
      <c r="E20743" s="1">
        <v>0</v>
      </c>
      <c r="F20743" s="1">
        <v>1.22037538746918E-5</v>
      </c>
    </row>
    <row r="20744" spans="1:6" x14ac:dyDescent="0.25">
      <c r="A20744" s="2" t="str">
        <f t="shared" si="731"/>
        <v>24580</v>
      </c>
      <c r="B20744" s="2" t="str">
        <f>"54104"</f>
        <v>54104</v>
      </c>
      <c r="C20744" s="1">
        <v>6.8391032567809699E-5</v>
      </c>
      <c r="D20744" s="1">
        <v>0</v>
      </c>
      <c r="E20744" s="1">
        <v>0</v>
      </c>
      <c r="F20744" s="1">
        <v>6.1018769373459199E-5</v>
      </c>
    </row>
    <row r="20745" spans="1:6" x14ac:dyDescent="0.25">
      <c r="A20745" s="2" t="str">
        <f t="shared" si="731"/>
        <v>24580</v>
      </c>
      <c r="B20745" s="2" t="str">
        <f>"54217"</f>
        <v>54217</v>
      </c>
      <c r="C20745" s="1">
        <v>2.06814482485056E-2</v>
      </c>
      <c r="D20745" s="1">
        <v>1.45913526094351E-2</v>
      </c>
      <c r="E20745" s="1">
        <v>9.0839107005388706E-3</v>
      </c>
      <c r="F20745" s="1">
        <v>1.9806692538624798E-2</v>
      </c>
    </row>
    <row r="20746" spans="1:6" x14ac:dyDescent="0.25">
      <c r="A20746" s="2" t="str">
        <f t="shared" si="731"/>
        <v>24580</v>
      </c>
      <c r="B20746" s="2" t="str">
        <f>"54216"</f>
        <v>54216</v>
      </c>
      <c r="C20746" s="1">
        <v>1.9491444281825698E-2</v>
      </c>
      <c r="D20746" s="1">
        <v>1.4501835108763701E-2</v>
      </c>
      <c r="E20746" s="1">
        <v>9.2378752886835992E-3</v>
      </c>
      <c r="F20746" s="1">
        <v>1.8744965951526599E-2</v>
      </c>
    </row>
    <row r="20747" spans="1:6" x14ac:dyDescent="0.25">
      <c r="A20747" s="2" t="str">
        <f t="shared" si="731"/>
        <v>24580</v>
      </c>
      <c r="B20747" s="2" t="str">
        <f>"54208"</f>
        <v>54208</v>
      </c>
      <c r="C20747" s="1">
        <v>1.6769481185626899E-2</v>
      </c>
      <c r="D20747" s="1">
        <v>7.42995255572464E-3</v>
      </c>
      <c r="E20747" s="1">
        <v>6.1585835257890603E-3</v>
      </c>
      <c r="F20747" s="1">
        <v>1.57123331136657E-2</v>
      </c>
    </row>
    <row r="20748" spans="1:6" x14ac:dyDescent="0.25">
      <c r="A20748" s="2" t="str">
        <f t="shared" si="731"/>
        <v>24580</v>
      </c>
      <c r="B20748" s="2" t="str">
        <f>"54153"</f>
        <v>54153</v>
      </c>
      <c r="C20748" s="1">
        <v>2.3724849197773099E-2</v>
      </c>
      <c r="D20748" s="1">
        <v>2.3990690179930101E-2</v>
      </c>
      <c r="E20748" s="1">
        <v>1.44726712856043E-2</v>
      </c>
      <c r="F20748" s="1">
        <v>2.3376290546972201E-2</v>
      </c>
    </row>
    <row r="20749" spans="1:6" x14ac:dyDescent="0.25">
      <c r="A20749" s="2" t="str">
        <f t="shared" si="731"/>
        <v>24580</v>
      </c>
      <c r="B20749" s="2" t="str">
        <f>"54149"</f>
        <v>54149</v>
      </c>
      <c r="C20749" s="1">
        <v>7.2836449684717296E-3</v>
      </c>
      <c r="D20749" s="1">
        <v>1.879867514099E-3</v>
      </c>
      <c r="E20749" s="1">
        <v>7.6982294072363297E-4</v>
      </c>
      <c r="F20749" s="1">
        <v>6.6571477386444004E-3</v>
      </c>
    </row>
    <row r="20750" spans="1:6" x14ac:dyDescent="0.25">
      <c r="A20750" s="2" t="str">
        <f t="shared" si="731"/>
        <v>24580</v>
      </c>
      <c r="B20750" s="2" t="str">
        <f>"54139"</f>
        <v>54139</v>
      </c>
      <c r="C20750" s="1">
        <v>9.8756651027917201E-3</v>
      </c>
      <c r="D20750" s="1">
        <v>4.9234625369259603E-3</v>
      </c>
      <c r="E20750" s="1">
        <v>1.07775211701308E-3</v>
      </c>
      <c r="F20750" s="1">
        <v>9.1894266676429606E-3</v>
      </c>
    </row>
    <row r="20751" spans="1:6" x14ac:dyDescent="0.25">
      <c r="A20751" s="2" t="str">
        <f t="shared" si="731"/>
        <v>24580</v>
      </c>
      <c r="B20751" s="2" t="str">
        <f>"54112"</f>
        <v>54112</v>
      </c>
      <c r="C20751" s="1">
        <v>1.7302931239655799E-3</v>
      </c>
      <c r="D20751" s="1">
        <v>4.4758750335690601E-4</v>
      </c>
      <c r="E20751" s="1">
        <v>0</v>
      </c>
      <c r="F20751" s="1">
        <v>1.57428424983524E-3</v>
      </c>
    </row>
    <row r="20752" spans="1:6" x14ac:dyDescent="0.25">
      <c r="A20752" s="2" t="str">
        <f t="shared" si="731"/>
        <v>24580</v>
      </c>
      <c r="B20752" s="2" t="str">
        <f>"54111"</f>
        <v>54111</v>
      </c>
      <c r="C20752" s="1">
        <v>4.9241543448822899E-4</v>
      </c>
      <c r="D20752" s="1">
        <v>0</v>
      </c>
      <c r="E20752" s="1">
        <v>0</v>
      </c>
      <c r="F20752" s="1">
        <v>4.39335139488906E-4</v>
      </c>
    </row>
    <row r="20753" spans="1:6" x14ac:dyDescent="0.25">
      <c r="A20753" s="2" t="str">
        <f t="shared" si="731"/>
        <v>24580</v>
      </c>
      <c r="B20753" s="2" t="str">
        <f>"54115"</f>
        <v>54115</v>
      </c>
      <c r="C20753" s="1">
        <v>0.132801707040172</v>
      </c>
      <c r="D20753" s="1">
        <v>0.126935815952018</v>
      </c>
      <c r="E20753" s="1">
        <v>0.147806004618937</v>
      </c>
      <c r="F20753" s="1">
        <v>0.13299650972639099</v>
      </c>
    </row>
    <row r="20754" spans="1:6" x14ac:dyDescent="0.25">
      <c r="A20754" s="2" t="str">
        <f t="shared" si="731"/>
        <v>24580</v>
      </c>
      <c r="B20754" s="2" t="str">
        <f>"54154"</f>
        <v>54154</v>
      </c>
      <c r="C20754" s="1">
        <v>1.7070401728925301E-2</v>
      </c>
      <c r="D20754" s="1">
        <v>1.6471220123534101E-2</v>
      </c>
      <c r="E20754" s="1">
        <v>1.3548883756735901E-2</v>
      </c>
      <c r="F20754" s="1">
        <v>1.68899953625735E-2</v>
      </c>
    </row>
    <row r="20755" spans="1:6" x14ac:dyDescent="0.25">
      <c r="A20755" s="2" t="str">
        <f t="shared" si="731"/>
        <v>24580</v>
      </c>
      <c r="B20755" s="2" t="str">
        <f>"54201"</f>
        <v>54201</v>
      </c>
      <c r="C20755" s="1">
        <v>1.7870576809968598E-2</v>
      </c>
      <c r="D20755" s="1">
        <v>1.82615701369617E-2</v>
      </c>
      <c r="E20755" s="1">
        <v>1.03156274056966E-2</v>
      </c>
      <c r="F20755" s="1">
        <v>1.7597813087305601E-2</v>
      </c>
    </row>
    <row r="20756" spans="1:6" x14ac:dyDescent="0.25">
      <c r="A20756" s="2" t="str">
        <f t="shared" si="731"/>
        <v>24580</v>
      </c>
      <c r="B20756" s="2" t="str">
        <f>"54138"</f>
        <v>54138</v>
      </c>
      <c r="C20756" s="1">
        <v>5.3755351598298402E-3</v>
      </c>
      <c r="D20756" s="1">
        <v>3.2226300241697198E-3</v>
      </c>
      <c r="E20756" s="1">
        <v>1.07775211701308E-3</v>
      </c>
      <c r="F20756" s="1">
        <v>5.0584559810597698E-3</v>
      </c>
    </row>
    <row r="20757" spans="1:6" x14ac:dyDescent="0.25">
      <c r="A20757" s="2" t="str">
        <f t="shared" si="731"/>
        <v>24580</v>
      </c>
      <c r="B20757" s="2" t="str">
        <f>"54124"</f>
        <v>54124</v>
      </c>
      <c r="C20757" s="1">
        <v>1.19684306993666E-2</v>
      </c>
      <c r="D20757" s="1">
        <v>8.2356100617670697E-3</v>
      </c>
      <c r="E20757" s="1">
        <v>4.0030792917628904E-3</v>
      </c>
      <c r="F20757" s="1">
        <v>1.1398306118962099E-2</v>
      </c>
    </row>
    <row r="20758" spans="1:6" x14ac:dyDescent="0.25">
      <c r="A20758" s="2" t="str">
        <f t="shared" si="731"/>
        <v>24580</v>
      </c>
      <c r="B20758" s="2" t="str">
        <f>"54302"</f>
        <v>54302</v>
      </c>
      <c r="C20758" s="1">
        <v>9.3346920351803406E-2</v>
      </c>
      <c r="D20758" s="1">
        <v>8.7011010652582502E-2</v>
      </c>
      <c r="E20758" s="1">
        <v>0.17813702848344801</v>
      </c>
      <c r="F20758" s="1">
        <v>9.6275414317444005E-2</v>
      </c>
    </row>
    <row r="20759" spans="1:6" x14ac:dyDescent="0.25">
      <c r="A20759" s="2" t="str">
        <f t="shared" si="731"/>
        <v>24580</v>
      </c>
      <c r="B20759" s="2" t="str">
        <f>"54101"</f>
        <v>54101</v>
      </c>
      <c r="C20759" s="1">
        <v>8.0359463267176395E-3</v>
      </c>
      <c r="D20759" s="1">
        <v>3.9387700295407703E-3</v>
      </c>
      <c r="E20759" s="1">
        <v>7.6982294072363297E-4</v>
      </c>
      <c r="F20759" s="1">
        <v>7.4686973713114103E-3</v>
      </c>
    </row>
    <row r="20760" spans="1:6" x14ac:dyDescent="0.25">
      <c r="A20760" s="2" t="str">
        <f t="shared" si="731"/>
        <v>24580</v>
      </c>
      <c r="B20760" s="2" t="str">
        <f>"54230"</f>
        <v>54230</v>
      </c>
      <c r="C20760" s="1">
        <v>6.1551929311028705E-5</v>
      </c>
      <c r="D20760" s="1">
        <v>8.9517500671381202E-5</v>
      </c>
      <c r="E20760" s="1">
        <v>0</v>
      </c>
      <c r="F20760" s="1">
        <v>6.1018769373459199E-5</v>
      </c>
    </row>
    <row r="20761" spans="1:6" x14ac:dyDescent="0.25">
      <c r="A20761" s="2" t="str">
        <f t="shared" si="731"/>
        <v>24580</v>
      </c>
      <c r="B20761" s="2" t="str">
        <f>"54165"</f>
        <v>54165</v>
      </c>
      <c r="C20761" s="1">
        <v>2.0517309770342899E-4</v>
      </c>
      <c r="D20761" s="1">
        <v>3.5807000268552503E-4</v>
      </c>
      <c r="E20761" s="1">
        <v>0</v>
      </c>
      <c r="F20761" s="1">
        <v>2.0746381586976101E-4</v>
      </c>
    </row>
    <row r="20762" spans="1:6" x14ac:dyDescent="0.25">
      <c r="A20762" s="2" t="str">
        <f t="shared" si="731"/>
        <v>24580</v>
      </c>
      <c r="B20762" s="2" t="str">
        <f>"54227"</f>
        <v>54227</v>
      </c>
      <c r="C20762" s="1">
        <v>2.0517309770342902E-5</v>
      </c>
      <c r="D20762" s="1">
        <v>0</v>
      </c>
      <c r="E20762" s="1">
        <v>0</v>
      </c>
      <c r="F20762" s="1">
        <v>1.8305630812037702E-5</v>
      </c>
    </row>
    <row r="20763" spans="1:6" x14ac:dyDescent="0.25">
      <c r="A20763" s="2" t="str">
        <f t="shared" si="731"/>
        <v>24580</v>
      </c>
      <c r="B20763" s="2" t="str">
        <f>"54205"</f>
        <v>54205</v>
      </c>
      <c r="C20763" s="1">
        <v>5.9705371431697796E-3</v>
      </c>
      <c r="D20763" s="1">
        <v>2.32745501745591E-3</v>
      </c>
      <c r="E20763" s="1">
        <v>1.2317167051578101E-3</v>
      </c>
      <c r="F20763" s="1">
        <v>5.5344023821727499E-3</v>
      </c>
    </row>
    <row r="20764" spans="1:6" x14ac:dyDescent="0.25">
      <c r="A20764" s="2" t="str">
        <f t="shared" ref="A20764:A20780" si="732">"24580"</f>
        <v>24580</v>
      </c>
      <c r="B20764" s="2" t="str">
        <f>"54180"</f>
        <v>54180</v>
      </c>
      <c r="C20764" s="1">
        <v>7.6939911638785902E-3</v>
      </c>
      <c r="D20764" s="1">
        <v>5.3710500402828704E-3</v>
      </c>
      <c r="E20764" s="1">
        <v>3.8491147036181601E-3</v>
      </c>
      <c r="F20764" s="1">
        <v>7.3832710941885704E-3</v>
      </c>
    </row>
    <row r="20765" spans="1:6" x14ac:dyDescent="0.25">
      <c r="A20765" s="2" t="str">
        <f t="shared" si="732"/>
        <v>24580</v>
      </c>
      <c r="B20765" s="2" t="str">
        <f>"54155"</f>
        <v>54155</v>
      </c>
      <c r="C20765" s="1">
        <v>1.7938967842536398E-2</v>
      </c>
      <c r="D20765" s="1">
        <v>6.3557425476680604E-3</v>
      </c>
      <c r="E20765" s="1">
        <v>2.1247113163972198E-2</v>
      </c>
      <c r="F20765" s="1">
        <v>1.7280515486563602E-2</v>
      </c>
    </row>
    <row r="20766" spans="1:6" x14ac:dyDescent="0.25">
      <c r="A20766" s="2" t="str">
        <f t="shared" si="732"/>
        <v>24580</v>
      </c>
      <c r="B20766" s="2" t="str">
        <f>"54308"</f>
        <v>54308</v>
      </c>
      <c r="C20766" s="1">
        <v>4.1923702964067298E-3</v>
      </c>
      <c r="D20766" s="1">
        <v>1.78139826336048E-2</v>
      </c>
      <c r="E20766" s="1">
        <v>3.0792917628945301E-4</v>
      </c>
      <c r="F20766" s="1">
        <v>4.9669278269995802E-3</v>
      </c>
    </row>
    <row r="20767" spans="1:6" x14ac:dyDescent="0.25">
      <c r="A20767" s="2" t="str">
        <f t="shared" si="732"/>
        <v>24580</v>
      </c>
      <c r="B20767" s="2" t="str">
        <f>"54491"</f>
        <v>54491</v>
      </c>
      <c r="C20767" s="1">
        <v>5.7448467356960103E-4</v>
      </c>
      <c r="D20767" s="1">
        <v>1.79035001342762E-4</v>
      </c>
      <c r="E20767" s="1">
        <v>1.5396458814472599E-4</v>
      </c>
      <c r="F20767" s="1">
        <v>5.3086329354909499E-4</v>
      </c>
    </row>
    <row r="20768" spans="1:6" x14ac:dyDescent="0.25">
      <c r="A20768" s="2" t="str">
        <f t="shared" si="732"/>
        <v>24580</v>
      </c>
      <c r="B20768" s="2" t="str">
        <f>"54175"</f>
        <v>54175</v>
      </c>
      <c r="C20768" s="1">
        <v>5.72432942592567E-3</v>
      </c>
      <c r="D20768" s="1">
        <v>7.1614000537105005E-4</v>
      </c>
      <c r="E20768" s="1">
        <v>7.6982294072363297E-4</v>
      </c>
      <c r="F20768" s="1">
        <v>5.1865953967440304E-3</v>
      </c>
    </row>
    <row r="20769" spans="1:6" x14ac:dyDescent="0.25">
      <c r="A20769" s="2" t="str">
        <f t="shared" si="732"/>
        <v>24580</v>
      </c>
      <c r="B20769" s="2" t="str">
        <f>"54173"</f>
        <v>54173</v>
      </c>
      <c r="C20769" s="1">
        <v>1.12298075476343E-2</v>
      </c>
      <c r="D20769" s="1">
        <v>6.8033300510249696E-3</v>
      </c>
      <c r="E20769" s="1">
        <v>2.00153964588144E-3</v>
      </c>
      <c r="F20769" s="1">
        <v>1.0562348978545801E-2</v>
      </c>
    </row>
    <row r="20770" spans="1:6" x14ac:dyDescent="0.25">
      <c r="A20770" s="2" t="str">
        <f t="shared" si="732"/>
        <v>24580</v>
      </c>
      <c r="B20770" s="2" t="str">
        <f>"54344"</f>
        <v>54344</v>
      </c>
      <c r="C20770" s="1">
        <v>0</v>
      </c>
      <c r="D20770" s="1">
        <v>8.9517500671381202E-5</v>
      </c>
      <c r="E20770" s="1">
        <v>0</v>
      </c>
      <c r="F20770" s="1">
        <v>6.1018769373459203E-6</v>
      </c>
    </row>
    <row r="20771" spans="1:6" x14ac:dyDescent="0.25">
      <c r="A20771" s="2" t="str">
        <f t="shared" si="732"/>
        <v>24580</v>
      </c>
      <c r="B20771" s="2" t="str">
        <f>"54324"</f>
        <v>54324</v>
      </c>
      <c r="C20771" s="1">
        <v>1.4088552708968801E-3</v>
      </c>
      <c r="D20771" s="1">
        <v>1.18163100886223E-2</v>
      </c>
      <c r="E20771" s="1">
        <v>3.0792917628945301E-4</v>
      </c>
      <c r="F20771" s="1">
        <v>2.0746381586976099E-3</v>
      </c>
    </row>
    <row r="20772" spans="1:6" x14ac:dyDescent="0.25">
      <c r="A20772" s="2" t="str">
        <f t="shared" si="732"/>
        <v>24580</v>
      </c>
      <c r="B20772" s="2" t="str">
        <f>"54304"</f>
        <v>54304</v>
      </c>
      <c r="C20772" s="1">
        <v>9.1637144537608198E-2</v>
      </c>
      <c r="D20772" s="1">
        <v>0.15943066869573</v>
      </c>
      <c r="E20772" s="1">
        <v>0.151039260969976</v>
      </c>
      <c r="F20772" s="1">
        <v>9.8612433184447498E-2</v>
      </c>
    </row>
    <row r="20773" spans="1:6" x14ac:dyDescent="0.25">
      <c r="A20773" s="2" t="str">
        <f t="shared" si="732"/>
        <v>24580</v>
      </c>
      <c r="B20773" s="2" t="str">
        <f>"54141"</f>
        <v>54141</v>
      </c>
      <c r="C20773" s="1">
        <v>8.2137630113939403E-3</v>
      </c>
      <c r="D20773" s="1">
        <v>2.7750425208128101E-3</v>
      </c>
      <c r="E20773" s="1">
        <v>7.6982294072363297E-4</v>
      </c>
      <c r="F20773" s="1">
        <v>7.54802177149691E-3</v>
      </c>
    </row>
    <row r="20774" spans="1:6" x14ac:dyDescent="0.25">
      <c r="A20774" s="2" t="str">
        <f t="shared" si="732"/>
        <v>24580</v>
      </c>
      <c r="B20774" s="2" t="str">
        <f>"54301"</f>
        <v>54301</v>
      </c>
      <c r="C20774" s="1">
        <v>7.0627419332776997E-2</v>
      </c>
      <c r="D20774" s="1">
        <v>8.7548115656610803E-2</v>
      </c>
      <c r="E20774" s="1">
        <v>7.1593533487297897E-2</v>
      </c>
      <c r="F20774" s="1">
        <v>7.1819091552561498E-2</v>
      </c>
    </row>
    <row r="20775" spans="1:6" x14ac:dyDescent="0.25">
      <c r="A20775" s="2" t="str">
        <f t="shared" si="732"/>
        <v>24580</v>
      </c>
      <c r="B20775" s="2" t="str">
        <f>"54110"</f>
        <v>54110</v>
      </c>
      <c r="C20775" s="1">
        <v>1.91494891189867E-4</v>
      </c>
      <c r="D20775" s="1">
        <v>8.9517500671381202E-5</v>
      </c>
      <c r="E20775" s="1">
        <v>0</v>
      </c>
      <c r="F20775" s="1">
        <v>1.7695443118303101E-4</v>
      </c>
    </row>
    <row r="20776" spans="1:6" x14ac:dyDescent="0.25">
      <c r="A20776" s="2" t="str">
        <f t="shared" si="732"/>
        <v>24580</v>
      </c>
      <c r="B20776" s="2" t="str">
        <f>"54213"</f>
        <v>54213</v>
      </c>
      <c r="C20776" s="1">
        <v>2.9408144004158099E-4</v>
      </c>
      <c r="D20776" s="1">
        <v>0</v>
      </c>
      <c r="E20776" s="1">
        <v>0</v>
      </c>
      <c r="F20776" s="1">
        <v>2.6238070830587401E-4</v>
      </c>
    </row>
    <row r="20777" spans="1:6" x14ac:dyDescent="0.25">
      <c r="A20777" s="2" t="str">
        <f t="shared" si="732"/>
        <v>24580</v>
      </c>
      <c r="B20777" s="2" t="str">
        <f>"54157"</f>
        <v>54157</v>
      </c>
      <c r="C20777" s="1">
        <v>6.1551929311028705E-5</v>
      </c>
      <c r="D20777" s="1">
        <v>0</v>
      </c>
      <c r="E20777" s="1">
        <v>0</v>
      </c>
      <c r="F20777" s="1">
        <v>5.4916892436113298E-5</v>
      </c>
    </row>
    <row r="20778" spans="1:6" x14ac:dyDescent="0.25">
      <c r="A20778" s="2" t="str">
        <f t="shared" si="732"/>
        <v>24580</v>
      </c>
      <c r="B20778" s="2" t="str">
        <f>"54174"</f>
        <v>54174</v>
      </c>
      <c r="C20778" s="1">
        <v>1.27480884706397E-2</v>
      </c>
      <c r="D20778" s="1">
        <v>4.7444275355832E-3</v>
      </c>
      <c r="E20778" s="1">
        <v>2.61739799846035E-3</v>
      </c>
      <c r="F20778" s="1">
        <v>1.1801029996827E-2</v>
      </c>
    </row>
    <row r="20779" spans="1:6" x14ac:dyDescent="0.25">
      <c r="A20779" s="2" t="str">
        <f t="shared" si="732"/>
        <v>24580</v>
      </c>
      <c r="B20779" s="2" t="str">
        <f>"54161"</f>
        <v>54161</v>
      </c>
      <c r="C20779" s="1">
        <v>5.8132377682638204E-3</v>
      </c>
      <c r="D20779" s="1">
        <v>7.1614000537105005E-4</v>
      </c>
      <c r="E20779" s="1">
        <v>1.07775211701308E-3</v>
      </c>
      <c r="F20779" s="1">
        <v>5.27812355080422E-3</v>
      </c>
    </row>
    <row r="20780" spans="1:6" x14ac:dyDescent="0.25">
      <c r="A20780" s="2" t="str">
        <f t="shared" si="732"/>
        <v>24580</v>
      </c>
      <c r="B20780" s="2" t="str">
        <f>"54307"</f>
        <v>54307</v>
      </c>
      <c r="C20780" s="1">
        <v>6.36720513206308E-3</v>
      </c>
      <c r="D20780" s="1">
        <v>4.9324142869930997E-2</v>
      </c>
      <c r="E20780" s="1">
        <v>3.0792917628945301E-4</v>
      </c>
      <c r="F20780" s="1">
        <v>9.0551853750213494E-3</v>
      </c>
    </row>
    <row r="20781" spans="1:6" x14ac:dyDescent="0.25">
      <c r="A20781" s="2" t="str">
        <f t="shared" ref="A20781:A20805" si="733">"20740"</f>
        <v>20740</v>
      </c>
      <c r="B20781" s="2" t="str">
        <f>"54755"</f>
        <v>54755</v>
      </c>
      <c r="C20781" s="1">
        <v>4.3650129405250803E-3</v>
      </c>
      <c r="D20781" s="1">
        <v>2.9559562518474702E-4</v>
      </c>
      <c r="E20781" s="1">
        <v>5.2452137424599998E-4</v>
      </c>
      <c r="F20781" s="1">
        <v>3.88703791845153E-3</v>
      </c>
    </row>
    <row r="20782" spans="1:6" x14ac:dyDescent="0.25">
      <c r="A20782" s="2" t="str">
        <f t="shared" si="733"/>
        <v>20740</v>
      </c>
      <c r="B20782" s="2" t="str">
        <f>"54739"</f>
        <v>54739</v>
      </c>
      <c r="C20782" s="1">
        <v>6.4509483280326503E-3</v>
      </c>
      <c r="D20782" s="1">
        <v>1.6257759385161E-3</v>
      </c>
      <c r="E20782" s="1">
        <v>5.2452137424599998E-4</v>
      </c>
      <c r="F20782" s="1">
        <v>5.8248906416445596E-3</v>
      </c>
    </row>
    <row r="20783" spans="1:6" x14ac:dyDescent="0.25">
      <c r="A20783" s="2" t="str">
        <f t="shared" si="733"/>
        <v>20740</v>
      </c>
      <c r="B20783" s="2" t="str">
        <f>"54730"</f>
        <v>54730</v>
      </c>
      <c r="C20783" s="1">
        <v>3.4508066904446102E-3</v>
      </c>
      <c r="D20783" s="1">
        <v>5.9119125036949404E-4</v>
      </c>
      <c r="E20783" s="1">
        <v>7.8678206136900003E-4</v>
      </c>
      <c r="F20783" s="1">
        <v>3.1164298180004898E-3</v>
      </c>
    </row>
    <row r="20784" spans="1:6" x14ac:dyDescent="0.25">
      <c r="A20784" s="2" t="str">
        <f t="shared" si="733"/>
        <v>20740</v>
      </c>
      <c r="B20784" s="2" t="str">
        <f>"54720"</f>
        <v>54720</v>
      </c>
      <c r="C20784" s="1">
        <v>5.4208567786461999E-2</v>
      </c>
      <c r="D20784" s="1">
        <v>4.7590895654744302E-2</v>
      </c>
      <c r="E20784" s="1">
        <v>5.3501180173092001E-2</v>
      </c>
      <c r="F20784" s="1">
        <v>5.3670587702001303E-2</v>
      </c>
    </row>
    <row r="20785" spans="1:6" x14ac:dyDescent="0.25">
      <c r="A20785" s="2" t="str">
        <f t="shared" si="733"/>
        <v>20740</v>
      </c>
      <c r="B20785" s="2" t="str">
        <f>"54732"</f>
        <v>54732</v>
      </c>
      <c r="C20785" s="1">
        <v>1.7730450793814301E-2</v>
      </c>
      <c r="D20785" s="1">
        <v>1.00502512562814E-2</v>
      </c>
      <c r="E20785" s="1">
        <v>5.7697351167059997E-3</v>
      </c>
      <c r="F20785" s="1">
        <v>1.66247365200244E-2</v>
      </c>
    </row>
    <row r="20786" spans="1:6" x14ac:dyDescent="0.25">
      <c r="A20786" s="2" t="str">
        <f t="shared" si="733"/>
        <v>20740</v>
      </c>
      <c r="B20786" s="2" t="str">
        <f>"54701"</f>
        <v>54701</v>
      </c>
      <c r="C20786" s="1">
        <v>0.22273154526608499</v>
      </c>
      <c r="D20786" s="1">
        <v>0.32663316582914498</v>
      </c>
      <c r="E20786" s="1">
        <v>0.351953842119066</v>
      </c>
      <c r="F20786" s="1">
        <v>0.23628204256476501</v>
      </c>
    </row>
    <row r="20787" spans="1:6" x14ac:dyDescent="0.25">
      <c r="A20787" s="2" t="str">
        <f t="shared" si="733"/>
        <v>20740</v>
      </c>
      <c r="B20787" s="2" t="str">
        <f>"54757"</f>
        <v>54757</v>
      </c>
      <c r="C20787" s="1">
        <v>1.51165934872461E-2</v>
      </c>
      <c r="D20787" s="1">
        <v>2.5125628140703501E-3</v>
      </c>
      <c r="E20787" s="1">
        <v>6.8187778651979999E-3</v>
      </c>
      <c r="F20787" s="1">
        <v>1.37916185036603E-2</v>
      </c>
    </row>
    <row r="20788" spans="1:6" x14ac:dyDescent="0.25">
      <c r="A20788" s="2" t="str">
        <f t="shared" si="733"/>
        <v>20740</v>
      </c>
      <c r="B20788" s="2" t="str">
        <f>"54729"</f>
        <v>54729</v>
      </c>
      <c r="C20788" s="1">
        <v>0.20559339711316801</v>
      </c>
      <c r="D20788" s="1">
        <v>0.202187407626367</v>
      </c>
      <c r="E20788" s="1">
        <v>0.22187254130605799</v>
      </c>
      <c r="F20788" s="1">
        <v>0.20603567462206199</v>
      </c>
    </row>
    <row r="20789" spans="1:6" x14ac:dyDescent="0.25">
      <c r="A20789" s="2" t="str">
        <f t="shared" si="733"/>
        <v>20740</v>
      </c>
      <c r="B20789" s="2" t="str">
        <f>"54722"</f>
        <v>54722</v>
      </c>
      <c r="C20789" s="1">
        <v>2.3318697449235801E-2</v>
      </c>
      <c r="D20789" s="1">
        <v>1.41885900088678E-2</v>
      </c>
      <c r="E20789" s="1">
        <v>9.7036454235510002E-3</v>
      </c>
      <c r="F20789" s="1">
        <v>2.2030325695247099E-2</v>
      </c>
    </row>
    <row r="20790" spans="1:6" x14ac:dyDescent="0.25">
      <c r="A20790" s="2" t="str">
        <f t="shared" si="733"/>
        <v>20740</v>
      </c>
      <c r="B20790" s="2" t="str">
        <f>"54702"</f>
        <v>54702</v>
      </c>
      <c r="C20790" s="1">
        <v>1.4356900969573601E-2</v>
      </c>
      <c r="D20790" s="1">
        <v>7.7298255985811401E-2</v>
      </c>
      <c r="E20790" s="1">
        <v>1.049042748492E-3</v>
      </c>
      <c r="F20790" s="1">
        <v>1.86079191314793E-2</v>
      </c>
    </row>
    <row r="20791" spans="1:6" x14ac:dyDescent="0.25">
      <c r="A20791" s="2" t="str">
        <f t="shared" si="733"/>
        <v>20740</v>
      </c>
      <c r="B20791" s="2" t="str">
        <f>"54433"</f>
        <v>54433</v>
      </c>
      <c r="C20791" s="1">
        <v>1.12022455995776E-3</v>
      </c>
      <c r="D20791" s="1">
        <v>0</v>
      </c>
      <c r="E20791" s="1">
        <v>0</v>
      </c>
      <c r="F20791" s="1">
        <v>9.8592506969470304E-4</v>
      </c>
    </row>
    <row r="20792" spans="1:6" x14ac:dyDescent="0.25">
      <c r="A20792" s="2" t="str">
        <f t="shared" si="733"/>
        <v>20740</v>
      </c>
      <c r="B20792" s="2" t="str">
        <f>"54724"</f>
        <v>54724</v>
      </c>
      <c r="C20792" s="1">
        <v>4.3456987239740903E-2</v>
      </c>
      <c r="D20792" s="1">
        <v>4.0201005025125601E-2</v>
      </c>
      <c r="E20792" s="1">
        <v>1.9931812221347999E-2</v>
      </c>
      <c r="F20792" s="1">
        <v>4.2190793499693999E-2</v>
      </c>
    </row>
    <row r="20793" spans="1:6" x14ac:dyDescent="0.25">
      <c r="A20793" s="2" t="str">
        <f t="shared" si="733"/>
        <v>20740</v>
      </c>
      <c r="B20793" s="2" t="str">
        <f>"54774"</f>
        <v>54774</v>
      </c>
      <c r="C20793" s="1">
        <v>0</v>
      </c>
      <c r="D20793" s="1">
        <v>1.47797812592373E-4</v>
      </c>
      <c r="E20793" s="1">
        <v>0</v>
      </c>
      <c r="F20793" s="1">
        <v>1.1332472065456299E-5</v>
      </c>
    </row>
    <row r="20794" spans="1:6" x14ac:dyDescent="0.25">
      <c r="A20794" s="2" t="str">
        <f t="shared" si="733"/>
        <v>20740</v>
      </c>
      <c r="B20794" s="2" t="str">
        <f>"54770"</f>
        <v>54770</v>
      </c>
      <c r="C20794" s="1">
        <v>1.9700500882015798E-3</v>
      </c>
      <c r="D20794" s="1">
        <v>4.4339343777711999E-4</v>
      </c>
      <c r="E20794" s="1">
        <v>0</v>
      </c>
      <c r="F20794" s="1">
        <v>1.76786564221119E-3</v>
      </c>
    </row>
    <row r="20795" spans="1:6" x14ac:dyDescent="0.25">
      <c r="A20795" s="2" t="str">
        <f t="shared" si="733"/>
        <v>20740</v>
      </c>
      <c r="B20795" s="2" t="str">
        <f>"54758"</f>
        <v>54758</v>
      </c>
      <c r="C20795" s="1">
        <v>3.3477975355059599E-3</v>
      </c>
      <c r="D20795" s="1">
        <v>1.1823825007389801E-3</v>
      </c>
      <c r="E20795" s="1">
        <v>0</v>
      </c>
      <c r="F20795" s="1">
        <v>3.0371025135423001E-3</v>
      </c>
    </row>
    <row r="20796" spans="1:6" x14ac:dyDescent="0.25">
      <c r="A20796" s="2" t="str">
        <f t="shared" si="733"/>
        <v>20740</v>
      </c>
      <c r="B20796" s="2" t="str">
        <f>"54738"</f>
        <v>54738</v>
      </c>
      <c r="C20796" s="1">
        <v>1.08545897016597E-2</v>
      </c>
      <c r="D20796" s="1">
        <v>1.9213715637008499E-3</v>
      </c>
      <c r="E20796" s="1">
        <v>5.2452137424599998E-4</v>
      </c>
      <c r="F20796" s="1">
        <v>9.7232610321615499E-3</v>
      </c>
    </row>
    <row r="20797" spans="1:6" x14ac:dyDescent="0.25">
      <c r="A20797" s="2" t="str">
        <f t="shared" si="733"/>
        <v>20740</v>
      </c>
      <c r="B20797" s="2" t="str">
        <f>"54768"</f>
        <v>54768</v>
      </c>
      <c r="C20797" s="1">
        <v>2.1863693135727402E-2</v>
      </c>
      <c r="D20797" s="1">
        <v>2.2760863139225498E-2</v>
      </c>
      <c r="E20797" s="1">
        <v>1.2588512981904E-2</v>
      </c>
      <c r="F20797" s="1">
        <v>2.1531696924366999E-2</v>
      </c>
    </row>
    <row r="20798" spans="1:6" x14ac:dyDescent="0.25">
      <c r="A20798" s="2" t="str">
        <f t="shared" si="733"/>
        <v>20740</v>
      </c>
      <c r="B20798" s="2" t="str">
        <f>"54727"</f>
        <v>54727</v>
      </c>
      <c r="C20798" s="1">
        <v>2.9048581692697899E-2</v>
      </c>
      <c r="D20798" s="1">
        <v>9.6068578185042799E-3</v>
      </c>
      <c r="E20798" s="1">
        <v>1.1277209546289E-2</v>
      </c>
      <c r="F20798" s="1">
        <v>2.6789963962738798E-2</v>
      </c>
    </row>
    <row r="20799" spans="1:6" x14ac:dyDescent="0.25">
      <c r="A20799" s="2" t="str">
        <f t="shared" si="733"/>
        <v>20740</v>
      </c>
      <c r="B20799" s="2" t="str">
        <f>"54766"</f>
        <v>54766</v>
      </c>
      <c r="C20799" s="1">
        <v>8.8845396134581403E-4</v>
      </c>
      <c r="D20799" s="1">
        <v>2.9559562518474702E-4</v>
      </c>
      <c r="E20799" s="1">
        <v>0</v>
      </c>
      <c r="F20799" s="1">
        <v>8.0460551664740098E-4</v>
      </c>
    </row>
    <row r="20800" spans="1:6" x14ac:dyDescent="0.25">
      <c r="A20800" s="2" t="str">
        <f t="shared" si="733"/>
        <v>20740</v>
      </c>
      <c r="B20800" s="2" t="str">
        <f>"54741"</f>
        <v>54741</v>
      </c>
      <c r="C20800" s="1">
        <v>7.7771911978677102E-3</v>
      </c>
      <c r="D20800" s="1">
        <v>1.77357375110848E-3</v>
      </c>
      <c r="E20800" s="1">
        <v>3.4093889325989999E-3</v>
      </c>
      <c r="F20800" s="1">
        <v>7.1281249291720401E-3</v>
      </c>
    </row>
    <row r="20801" spans="1:6" x14ac:dyDescent="0.25">
      <c r="A20801" s="2" t="str">
        <f t="shared" si="733"/>
        <v>20740</v>
      </c>
      <c r="B20801" s="2" t="str">
        <f>"54748"</f>
        <v>54748</v>
      </c>
      <c r="C20801" s="1">
        <v>7.6870581872963903E-3</v>
      </c>
      <c r="D20801" s="1">
        <v>1.6257759385161E-3</v>
      </c>
      <c r="E20801" s="1">
        <v>2.0980854969839999E-3</v>
      </c>
      <c r="F20801" s="1">
        <v>6.9808027923211101E-3</v>
      </c>
    </row>
    <row r="20802" spans="1:6" x14ac:dyDescent="0.25">
      <c r="A20802" s="2" t="str">
        <f t="shared" si="733"/>
        <v>20740</v>
      </c>
      <c r="B20802" s="2" t="str">
        <f>"54726"</f>
        <v>54726</v>
      </c>
      <c r="C20802" s="1">
        <v>1.0751580546721E-2</v>
      </c>
      <c r="D20802" s="1">
        <v>1.77357375110848E-3</v>
      </c>
      <c r="E20802" s="1">
        <v>2.0980854969839999E-3</v>
      </c>
      <c r="F20802" s="1">
        <v>9.6892636159651799E-3</v>
      </c>
    </row>
    <row r="20803" spans="1:6" x14ac:dyDescent="0.25">
      <c r="A20803" s="2" t="str">
        <f t="shared" si="733"/>
        <v>20740</v>
      </c>
      <c r="B20803" s="2" t="str">
        <f>"54703"</f>
        <v>54703</v>
      </c>
      <c r="C20803" s="1">
        <v>0.25086592070870201</v>
      </c>
      <c r="D20803" s="1">
        <v>0.22287910138929901</v>
      </c>
      <c r="E20803" s="1">
        <v>0.282717020718594</v>
      </c>
      <c r="F20803" s="1">
        <v>0.25009632601255599</v>
      </c>
    </row>
    <row r="20804" spans="1:6" x14ac:dyDescent="0.25">
      <c r="A20804" s="2" t="str">
        <f t="shared" si="733"/>
        <v>20740</v>
      </c>
      <c r="B20804" s="2" t="str">
        <f>"54745"</f>
        <v>54745</v>
      </c>
      <c r="C20804" s="1">
        <v>1.6610226233856499E-2</v>
      </c>
      <c r="D20804" s="1">
        <v>7.0942950044339302E-3</v>
      </c>
      <c r="E20804" s="1">
        <v>4.1961709939679999E-3</v>
      </c>
      <c r="F20804" s="1">
        <v>1.53441671766279E-2</v>
      </c>
    </row>
    <row r="20805" spans="1:6" x14ac:dyDescent="0.25">
      <c r="A20805" s="2" t="str">
        <f t="shared" si="733"/>
        <v>20740</v>
      </c>
      <c r="B20805" s="2" t="str">
        <f>"54742"</f>
        <v>54742</v>
      </c>
      <c r="C20805" s="1">
        <v>2.6434724386129801E-2</v>
      </c>
      <c r="D20805" s="1">
        <v>5.3207212533254496E-3</v>
      </c>
      <c r="E20805" s="1">
        <v>8.6546026750590008E-3</v>
      </c>
      <c r="F20805" s="1">
        <v>2.4047505722898301E-2</v>
      </c>
    </row>
    <row r="20806" spans="1:6" x14ac:dyDescent="0.25">
      <c r="A20806" s="2" t="str">
        <f t="shared" ref="A20806:A20837" si="734">"40340"</f>
        <v>40340</v>
      </c>
      <c r="B20806" s="2" t="str">
        <f>"55968"</f>
        <v>55968</v>
      </c>
      <c r="C20806" s="1">
        <v>1.0099747025383999E-3</v>
      </c>
      <c r="D20806" s="1">
        <v>2.8449502133712597E-4</v>
      </c>
      <c r="E20806" s="1">
        <v>2.3310023310023299E-4</v>
      </c>
      <c r="F20806" s="1">
        <v>9.36825030576928E-4</v>
      </c>
    </row>
    <row r="20807" spans="1:6" x14ac:dyDescent="0.25">
      <c r="A20807" s="2" t="str">
        <f t="shared" si="734"/>
        <v>40340</v>
      </c>
      <c r="B20807" s="2" t="str">
        <f>"55971"</f>
        <v>55971</v>
      </c>
      <c r="C20807" s="1">
        <v>1.23409289843502E-2</v>
      </c>
      <c r="D20807" s="1">
        <v>7.39687055476529E-3</v>
      </c>
      <c r="E20807" s="1">
        <v>1.21212121212121E-2</v>
      </c>
      <c r="F20807" s="1">
        <v>1.20312621982425E-2</v>
      </c>
    </row>
    <row r="20808" spans="1:6" x14ac:dyDescent="0.25">
      <c r="A20808" s="2" t="str">
        <f t="shared" si="734"/>
        <v>40340</v>
      </c>
      <c r="B20808" s="2" t="str">
        <f>"55924"</f>
        <v>55924</v>
      </c>
      <c r="C20808" s="1">
        <v>4.1553244904437101E-3</v>
      </c>
      <c r="D20808" s="1">
        <v>9.95732574679943E-4</v>
      </c>
      <c r="E20808" s="1">
        <v>4.1958041958041897E-3</v>
      </c>
      <c r="F20808" s="1">
        <v>3.9641577682745901E-3</v>
      </c>
    </row>
    <row r="20809" spans="1:6" x14ac:dyDescent="0.25">
      <c r="A20809" s="2" t="str">
        <f t="shared" si="734"/>
        <v>40340</v>
      </c>
      <c r="B20809" s="2" t="str">
        <f>"55917"</f>
        <v>55917</v>
      </c>
      <c r="C20809" s="1">
        <v>1.6351971374431199E-3</v>
      </c>
      <c r="D20809" s="1">
        <v>5.6899004267425303E-4</v>
      </c>
      <c r="E20809" s="1">
        <v>2.3310023310023299E-4</v>
      </c>
      <c r="F20809" s="1">
        <v>1.5180035217681701E-3</v>
      </c>
    </row>
    <row r="20810" spans="1:6" x14ac:dyDescent="0.25">
      <c r="A20810" s="2" t="str">
        <f t="shared" si="734"/>
        <v>40340</v>
      </c>
      <c r="B20810" s="2" t="str">
        <f>"55041"</f>
        <v>55041</v>
      </c>
      <c r="C20810" s="1">
        <v>3.09821763512018E-2</v>
      </c>
      <c r="D20810" s="1">
        <v>3.5704125177809298E-2</v>
      </c>
      <c r="E20810" s="1">
        <v>1.9580419580419499E-2</v>
      </c>
      <c r="F20810" s="1">
        <v>3.0845831562329201E-2</v>
      </c>
    </row>
    <row r="20811" spans="1:6" x14ac:dyDescent="0.25">
      <c r="A20811" s="2" t="str">
        <f t="shared" si="734"/>
        <v>40340</v>
      </c>
      <c r="B20811" s="2" t="str">
        <f>"55982"</f>
        <v>55982</v>
      </c>
      <c r="C20811" s="1">
        <v>9.61880669084193E-6</v>
      </c>
      <c r="D20811" s="1">
        <v>0</v>
      </c>
      <c r="E20811" s="1">
        <v>0</v>
      </c>
      <c r="F20811" s="1">
        <v>8.6743058386752592E-6</v>
      </c>
    </row>
    <row r="20812" spans="1:6" x14ac:dyDescent="0.25">
      <c r="A20812" s="2" t="str">
        <f t="shared" si="734"/>
        <v>40340</v>
      </c>
      <c r="B20812" s="2" t="str">
        <f>"55991"</f>
        <v>55991</v>
      </c>
      <c r="C20812" s="1">
        <v>6.8485903638794499E-3</v>
      </c>
      <c r="D20812" s="1">
        <v>5.1209103840682696E-3</v>
      </c>
      <c r="E20812" s="1">
        <v>4.1958041958041897E-3</v>
      </c>
      <c r="F20812" s="1">
        <v>6.6445182724252398E-3</v>
      </c>
    </row>
    <row r="20813" spans="1:6" x14ac:dyDescent="0.25">
      <c r="A20813" s="2" t="str">
        <f t="shared" si="734"/>
        <v>40340</v>
      </c>
      <c r="B20813" s="2" t="str">
        <f>"55961"</f>
        <v>55961</v>
      </c>
      <c r="C20813" s="1">
        <v>9.907370891567189E-4</v>
      </c>
      <c r="D20813" s="1">
        <v>5.6899004267425303E-4</v>
      </c>
      <c r="E20813" s="1">
        <v>9.3240093240093197E-4</v>
      </c>
      <c r="F20813" s="1">
        <v>9.6284794809295296E-4</v>
      </c>
    </row>
    <row r="20814" spans="1:6" x14ac:dyDescent="0.25">
      <c r="A20814" s="2" t="str">
        <f t="shared" si="734"/>
        <v>40340</v>
      </c>
      <c r="B20814" s="2" t="str">
        <f>"55957"</f>
        <v>55957</v>
      </c>
      <c r="C20814" s="1">
        <v>3.2992506949587799E-3</v>
      </c>
      <c r="D20814" s="1">
        <v>5.6899004267425303E-4</v>
      </c>
      <c r="E20814" s="1">
        <v>1.1655011655011601E-3</v>
      </c>
      <c r="F20814" s="1">
        <v>3.0533556552136899E-3</v>
      </c>
    </row>
    <row r="20815" spans="1:6" x14ac:dyDescent="0.25">
      <c r="A20815" s="2" t="str">
        <f t="shared" si="734"/>
        <v>40340</v>
      </c>
      <c r="B20815" s="2" t="str">
        <f>"55951"</f>
        <v>55951</v>
      </c>
      <c r="C20815" s="1">
        <v>1.18311322297355E-3</v>
      </c>
      <c r="D20815" s="1">
        <v>0</v>
      </c>
      <c r="E20815" s="1">
        <v>0</v>
      </c>
      <c r="F20815" s="1">
        <v>1.0669396181570501E-3</v>
      </c>
    </row>
    <row r="20816" spans="1:6" x14ac:dyDescent="0.25">
      <c r="A20816" s="2" t="str">
        <f t="shared" si="734"/>
        <v>40340</v>
      </c>
      <c r="B20816" s="2" t="str">
        <f>"55934"</f>
        <v>55934</v>
      </c>
      <c r="C20816" s="1">
        <v>1.3812606408049001E-2</v>
      </c>
      <c r="D20816" s="1">
        <v>6.2588904694167802E-3</v>
      </c>
      <c r="E20816" s="1">
        <v>6.5268065268065199E-3</v>
      </c>
      <c r="F20816" s="1">
        <v>1.3080853204722199E-2</v>
      </c>
    </row>
    <row r="20817" spans="1:6" x14ac:dyDescent="0.25">
      <c r="A20817" s="2" t="str">
        <f t="shared" si="734"/>
        <v>40340</v>
      </c>
      <c r="B20817" s="2" t="str">
        <f>"55923"</f>
        <v>55923</v>
      </c>
      <c r="C20817" s="1">
        <v>1.9833979396515999E-2</v>
      </c>
      <c r="D20817" s="1">
        <v>1.8918918918918899E-2</v>
      </c>
      <c r="E20817" s="1">
        <v>2.12121212121212E-2</v>
      </c>
      <c r="F20817" s="1">
        <v>1.9829463147211599E-2</v>
      </c>
    </row>
    <row r="20818" spans="1:6" x14ac:dyDescent="0.25">
      <c r="A20818" s="2" t="str">
        <f t="shared" si="734"/>
        <v>40340</v>
      </c>
      <c r="B20818" s="2" t="str">
        <f>"55981"</f>
        <v>55981</v>
      </c>
      <c r="C20818" s="1">
        <v>2.3431413098890901E-2</v>
      </c>
      <c r="D20818" s="1">
        <v>3.1578947368420998E-2</v>
      </c>
      <c r="E20818" s="1">
        <v>2.96037296037296E-2</v>
      </c>
      <c r="F20818" s="1">
        <v>2.41579417607105E-2</v>
      </c>
    </row>
    <row r="20819" spans="1:6" x14ac:dyDescent="0.25">
      <c r="A20819" s="2" t="str">
        <f t="shared" si="734"/>
        <v>40340</v>
      </c>
      <c r="B20819" s="2" t="str">
        <f>"55976"</f>
        <v>55976</v>
      </c>
      <c r="C20819" s="1">
        <v>3.2819368429152597E-2</v>
      </c>
      <c r="D20819" s="1">
        <v>2.6315789473684199E-2</v>
      </c>
      <c r="E20819" s="1">
        <v>2.2610722610722601E-2</v>
      </c>
      <c r="F20819" s="1">
        <v>3.2042885768066402E-2</v>
      </c>
    </row>
    <row r="20820" spans="1:6" x14ac:dyDescent="0.25">
      <c r="A20820" s="2" t="str">
        <f t="shared" si="734"/>
        <v>40340</v>
      </c>
      <c r="B20820" s="2" t="str">
        <f>"55962"</f>
        <v>55962</v>
      </c>
      <c r="C20820" s="1">
        <v>3.46277040870309E-3</v>
      </c>
      <c r="D20820" s="1">
        <v>1.1379800853485E-3</v>
      </c>
      <c r="E20820" s="1">
        <v>2.3310023310023299E-4</v>
      </c>
      <c r="F20820" s="1">
        <v>3.2008188544711698E-3</v>
      </c>
    </row>
    <row r="20821" spans="1:6" x14ac:dyDescent="0.25">
      <c r="A20821" s="2" t="str">
        <f t="shared" si="734"/>
        <v>40340</v>
      </c>
      <c r="B20821" s="2" t="str">
        <f>"55956"</f>
        <v>55956</v>
      </c>
      <c r="C20821" s="1">
        <v>7.4738127987841801E-3</v>
      </c>
      <c r="D20821" s="1">
        <v>1.9914651493598799E-3</v>
      </c>
      <c r="E20821" s="1">
        <v>4.6620046620046603E-3</v>
      </c>
      <c r="F20821" s="1">
        <v>7.0348620351656302E-3</v>
      </c>
    </row>
    <row r="20822" spans="1:6" x14ac:dyDescent="0.25">
      <c r="A20822" s="2" t="str">
        <f t="shared" si="734"/>
        <v>40340</v>
      </c>
      <c r="B20822" s="2" t="str">
        <f>"55955"</f>
        <v>55955</v>
      </c>
      <c r="C20822" s="1">
        <v>1.02632667391283E-2</v>
      </c>
      <c r="D20822" s="1">
        <v>5.1209103840682696E-3</v>
      </c>
      <c r="E20822" s="1">
        <v>2.7972027972027898E-3</v>
      </c>
      <c r="F20822" s="1">
        <v>9.6718510101229099E-3</v>
      </c>
    </row>
    <row r="20823" spans="1:6" x14ac:dyDescent="0.25">
      <c r="A20823" s="2" t="str">
        <f t="shared" si="734"/>
        <v>40340</v>
      </c>
      <c r="B20823" s="2" t="str">
        <f>"55935"</f>
        <v>55935</v>
      </c>
      <c r="C20823" s="1">
        <v>3.8667602897184501E-3</v>
      </c>
      <c r="D20823" s="1">
        <v>3.55618776671408E-3</v>
      </c>
      <c r="E20823" s="1">
        <v>2.0979020979020901E-3</v>
      </c>
      <c r="F20823" s="1">
        <v>3.7819973456624102E-3</v>
      </c>
    </row>
    <row r="20824" spans="1:6" x14ac:dyDescent="0.25">
      <c r="A20824" s="2" t="str">
        <f t="shared" si="734"/>
        <v>40340</v>
      </c>
      <c r="B20824" s="2" t="str">
        <f>"55932"</f>
        <v>55932</v>
      </c>
      <c r="C20824" s="1">
        <v>8.0701788136163799E-3</v>
      </c>
      <c r="D20824" s="1">
        <v>6.6856330014224696E-3</v>
      </c>
      <c r="E20824" s="1">
        <v>6.7599067599067499E-3</v>
      </c>
      <c r="F20824" s="1">
        <v>7.9369898423878593E-3</v>
      </c>
    </row>
    <row r="20825" spans="1:6" x14ac:dyDescent="0.25">
      <c r="A20825" s="2" t="str">
        <f t="shared" si="734"/>
        <v>40340</v>
      </c>
      <c r="B20825" s="2" t="str">
        <f>"55920"</f>
        <v>55920</v>
      </c>
      <c r="C20825" s="1">
        <v>3.16939680463241E-2</v>
      </c>
      <c r="D20825" s="1">
        <v>2.1052631578947299E-2</v>
      </c>
      <c r="E20825" s="1">
        <v>1.6083916083915999E-2</v>
      </c>
      <c r="F20825" s="1">
        <v>3.04641621054275E-2</v>
      </c>
    </row>
    <row r="20826" spans="1:6" x14ac:dyDescent="0.25">
      <c r="A20826" s="2" t="str">
        <f t="shared" si="734"/>
        <v>40340</v>
      </c>
      <c r="B20826" s="2" t="str">
        <f>"55901"</f>
        <v>55901</v>
      </c>
      <c r="C20826" s="1">
        <v>0.24072025624501001</v>
      </c>
      <c r="D20826" s="1">
        <v>0.22076813655760999</v>
      </c>
      <c r="E20826" s="1">
        <v>0.29813519813519801</v>
      </c>
      <c r="F20826" s="1">
        <v>0.24164013774797599</v>
      </c>
    </row>
    <row r="20827" spans="1:6" x14ac:dyDescent="0.25">
      <c r="A20827" s="2" t="str">
        <f t="shared" si="734"/>
        <v>40340</v>
      </c>
      <c r="B20827" s="2" t="str">
        <f>"55985"</f>
        <v>55985</v>
      </c>
      <c r="C20827" s="1">
        <v>7.4353375720208103E-3</v>
      </c>
      <c r="D20827" s="1">
        <v>3.2716927453769499E-3</v>
      </c>
      <c r="E20827" s="1">
        <v>3.49650349650349E-3</v>
      </c>
      <c r="F20827" s="1">
        <v>7.0348620351656302E-3</v>
      </c>
    </row>
    <row r="20828" spans="1:6" x14ac:dyDescent="0.25">
      <c r="A20828" s="2" t="str">
        <f t="shared" si="734"/>
        <v>40340</v>
      </c>
      <c r="B20828" s="2" t="str">
        <f>"55929"</f>
        <v>55929</v>
      </c>
      <c r="C20828" s="1">
        <v>5.1075863528370598E-3</v>
      </c>
      <c r="D20828" s="1">
        <v>2.27596017069701E-3</v>
      </c>
      <c r="E20828" s="1">
        <v>3.0303030303030299E-3</v>
      </c>
      <c r="F20828" s="1">
        <v>4.85761126965814E-3</v>
      </c>
    </row>
    <row r="20829" spans="1:6" x14ac:dyDescent="0.25">
      <c r="A20829" s="2" t="str">
        <f t="shared" si="734"/>
        <v>40340</v>
      </c>
      <c r="B20829" s="2" t="str">
        <f>"55910"</f>
        <v>55910</v>
      </c>
      <c r="C20829" s="1">
        <v>9.7149947577503495E-4</v>
      </c>
      <c r="D20829" s="1">
        <v>2.8449502133712597E-4</v>
      </c>
      <c r="E20829" s="1">
        <v>0</v>
      </c>
      <c r="F20829" s="1">
        <v>8.93453501383551E-4</v>
      </c>
    </row>
    <row r="20830" spans="1:6" x14ac:dyDescent="0.25">
      <c r="A20830" s="2" t="str">
        <f t="shared" si="734"/>
        <v>40340</v>
      </c>
      <c r="B20830" s="2" t="str">
        <f>"55979"</f>
        <v>55979</v>
      </c>
      <c r="C20830" s="1">
        <v>1.4428210036262901E-4</v>
      </c>
      <c r="D20830" s="1">
        <v>0</v>
      </c>
      <c r="E20830" s="1">
        <v>0</v>
      </c>
      <c r="F20830" s="1">
        <v>1.3011458758012799E-4</v>
      </c>
    </row>
    <row r="20831" spans="1:6" x14ac:dyDescent="0.25">
      <c r="A20831" s="2" t="str">
        <f t="shared" si="734"/>
        <v>40340</v>
      </c>
      <c r="B20831" s="2" t="str">
        <f>"55967"</f>
        <v>55967</v>
      </c>
      <c r="C20831" s="1">
        <v>9.6188066908419297E-5</v>
      </c>
      <c r="D20831" s="1">
        <v>0</v>
      </c>
      <c r="E20831" s="1">
        <v>0</v>
      </c>
      <c r="F20831" s="1">
        <v>8.6743058386752606E-5</v>
      </c>
    </row>
    <row r="20832" spans="1:6" x14ac:dyDescent="0.25">
      <c r="A20832" s="2" t="str">
        <f t="shared" si="734"/>
        <v>40340</v>
      </c>
      <c r="B20832" s="2" t="str">
        <f>"55946"</f>
        <v>55946</v>
      </c>
      <c r="C20832" s="1">
        <v>1.4428210036262901E-4</v>
      </c>
      <c r="D20832" s="1">
        <v>0</v>
      </c>
      <c r="E20832" s="1">
        <v>0</v>
      </c>
      <c r="F20832" s="1">
        <v>1.3011458758012799E-4</v>
      </c>
    </row>
    <row r="20833" spans="1:6" x14ac:dyDescent="0.25">
      <c r="A20833" s="2" t="str">
        <f t="shared" si="734"/>
        <v>40340</v>
      </c>
      <c r="B20833" s="2" t="str">
        <f>"55973"</f>
        <v>55973</v>
      </c>
      <c r="C20833" s="1">
        <v>9.6188066908419297E-5</v>
      </c>
      <c r="D20833" s="1">
        <v>0</v>
      </c>
      <c r="E20833" s="1">
        <v>0</v>
      </c>
      <c r="F20833" s="1">
        <v>8.6743058386752606E-5</v>
      </c>
    </row>
    <row r="20834" spans="1:6" x14ac:dyDescent="0.25">
      <c r="A20834" s="2" t="str">
        <f t="shared" si="734"/>
        <v>40340</v>
      </c>
      <c r="B20834" s="2" t="str">
        <f>"55963"</f>
        <v>55963</v>
      </c>
      <c r="C20834" s="1">
        <v>9.8015640179679297E-3</v>
      </c>
      <c r="D20834" s="1">
        <v>2.56045519203413E-3</v>
      </c>
      <c r="E20834" s="1">
        <v>6.9930069930069897E-4</v>
      </c>
      <c r="F20834" s="1">
        <v>9.0212780722222705E-3</v>
      </c>
    </row>
    <row r="20835" spans="1:6" x14ac:dyDescent="0.25">
      <c r="A20835" s="2" t="str">
        <f t="shared" si="734"/>
        <v>40340</v>
      </c>
      <c r="B20835" s="2" t="str">
        <f>"55975"</f>
        <v>55975</v>
      </c>
      <c r="C20835" s="1">
        <v>1.9766647749680101E-2</v>
      </c>
      <c r="D20835" s="1">
        <v>2.44665718349928E-2</v>
      </c>
      <c r="E20835" s="1">
        <v>1.9813519813519798E-2</v>
      </c>
      <c r="F20835" s="1">
        <v>2.00549950990172E-2</v>
      </c>
    </row>
    <row r="20836" spans="1:6" x14ac:dyDescent="0.25">
      <c r="A20836" s="2" t="str">
        <f t="shared" si="734"/>
        <v>40340</v>
      </c>
      <c r="B20836" s="2" t="str">
        <f>"55922"</f>
        <v>55922</v>
      </c>
      <c r="C20836" s="1">
        <v>3.4820080220847802E-3</v>
      </c>
      <c r="D20836" s="1">
        <v>9.95732574679943E-4</v>
      </c>
      <c r="E20836" s="1">
        <v>2.5641025641025602E-3</v>
      </c>
      <c r="F20836" s="1">
        <v>3.29623621869659E-3</v>
      </c>
    </row>
    <row r="20837" spans="1:6" x14ac:dyDescent="0.25">
      <c r="A20837" s="2" t="str">
        <f t="shared" si="734"/>
        <v>40340</v>
      </c>
      <c r="B20837" s="2" t="str">
        <f>"55964"</f>
        <v>55964</v>
      </c>
      <c r="C20837" s="1">
        <v>1.9199138154920501E-2</v>
      </c>
      <c r="D20837" s="1">
        <v>2.5320056899004201E-2</v>
      </c>
      <c r="E20837" s="1">
        <v>1.25874125874125E-2</v>
      </c>
      <c r="F20837" s="1">
        <v>1.9326353408568399E-2</v>
      </c>
    </row>
    <row r="20838" spans="1:6" x14ac:dyDescent="0.25">
      <c r="A20838" s="2" t="str">
        <f t="shared" ref="A20838:A20855" si="735">"40340"</f>
        <v>40340</v>
      </c>
      <c r="B20838" s="2" t="str">
        <f>"55949"</f>
        <v>55949</v>
      </c>
      <c r="C20838" s="1">
        <v>9.9362273116397094E-3</v>
      </c>
      <c r="D20838" s="1">
        <v>3.2716927453769499E-3</v>
      </c>
      <c r="E20838" s="1">
        <v>3.0303030303030299E-3</v>
      </c>
      <c r="F20838" s="1">
        <v>9.2728329415438498E-3</v>
      </c>
    </row>
    <row r="20839" spans="1:6" x14ac:dyDescent="0.25">
      <c r="A20839" s="2" t="str">
        <f t="shared" si="735"/>
        <v>40340</v>
      </c>
      <c r="B20839" s="2" t="str">
        <f>"55940"</f>
        <v>55940</v>
      </c>
      <c r="C20839" s="1">
        <v>1.07538258803612E-2</v>
      </c>
      <c r="D20839" s="1">
        <v>4.9786628733997102E-3</v>
      </c>
      <c r="E20839" s="1">
        <v>4.6620046620046603E-3</v>
      </c>
      <c r="F20839" s="1">
        <v>1.0174960748766001E-2</v>
      </c>
    </row>
    <row r="20840" spans="1:6" x14ac:dyDescent="0.25">
      <c r="A20840" s="2" t="str">
        <f t="shared" si="735"/>
        <v>40340</v>
      </c>
      <c r="B20840" s="2" t="str">
        <f>"55906"</f>
        <v>55906</v>
      </c>
      <c r="C20840" s="1">
        <v>8.4231890191702796E-2</v>
      </c>
      <c r="D20840" s="1">
        <v>8.36415362731152E-2</v>
      </c>
      <c r="E20840" s="1">
        <v>8.4848484848484798E-2</v>
      </c>
      <c r="F20840" s="1">
        <v>8.4218835387698004E-2</v>
      </c>
    </row>
    <row r="20841" spans="1:6" x14ac:dyDescent="0.25">
      <c r="A20841" s="2" t="str">
        <f t="shared" si="735"/>
        <v>40340</v>
      </c>
      <c r="B20841" s="2" t="str">
        <f>"55904"</f>
        <v>55904</v>
      </c>
      <c r="C20841" s="1">
        <v>0.13090234025566699</v>
      </c>
      <c r="D20841" s="1">
        <v>0.14722617354196299</v>
      </c>
      <c r="E20841" s="1">
        <v>0.19463869463869399</v>
      </c>
      <c r="F20841" s="1">
        <v>0.13426958007685399</v>
      </c>
    </row>
    <row r="20842" spans="1:6" x14ac:dyDescent="0.25">
      <c r="A20842" s="2" t="str">
        <f t="shared" si="735"/>
        <v>40340</v>
      </c>
      <c r="B20842" s="2" t="str">
        <f>"55902"</f>
        <v>55902</v>
      </c>
      <c r="C20842" s="1">
        <v>0.115185210122832</v>
      </c>
      <c r="D20842" s="1">
        <v>0.130440967283072</v>
      </c>
      <c r="E20842" s="1">
        <v>0.16060606060606</v>
      </c>
      <c r="F20842" s="1">
        <v>0.117805747595048</v>
      </c>
    </row>
    <row r="20843" spans="1:6" x14ac:dyDescent="0.25">
      <c r="A20843" s="2" t="str">
        <f t="shared" si="735"/>
        <v>40340</v>
      </c>
      <c r="B20843" s="2" t="str">
        <f>"55027"</f>
        <v>55027</v>
      </c>
      <c r="C20843" s="1">
        <v>4.2322749439704498E-4</v>
      </c>
      <c r="D20843" s="1">
        <v>0</v>
      </c>
      <c r="E20843" s="1">
        <v>0</v>
      </c>
      <c r="F20843" s="1">
        <v>3.8166945690171103E-4</v>
      </c>
    </row>
    <row r="20844" spans="1:6" x14ac:dyDescent="0.25">
      <c r="A20844" s="2" t="str">
        <f t="shared" si="735"/>
        <v>40340</v>
      </c>
      <c r="B20844" s="2" t="str">
        <f>"55990"</f>
        <v>55990</v>
      </c>
      <c r="C20844" s="1">
        <v>4.2515125573521304E-3</v>
      </c>
      <c r="D20844" s="1">
        <v>3.4139402560455102E-3</v>
      </c>
      <c r="E20844" s="1">
        <v>1.86480186480186E-3</v>
      </c>
      <c r="F20844" s="1">
        <v>4.1116209675320699E-3</v>
      </c>
    </row>
    <row r="20845" spans="1:6" x14ac:dyDescent="0.25">
      <c r="A20845" s="2" t="str">
        <f t="shared" si="735"/>
        <v>40340</v>
      </c>
      <c r="B20845" s="2" t="str">
        <f>"55972"</f>
        <v>55972</v>
      </c>
      <c r="C20845" s="1">
        <v>7.5988572857651202E-4</v>
      </c>
      <c r="D20845" s="1">
        <v>2.8449502133712597E-4</v>
      </c>
      <c r="E20845" s="1">
        <v>2.3310023310023299E-4</v>
      </c>
      <c r="F20845" s="1">
        <v>7.1129307877137104E-4</v>
      </c>
    </row>
    <row r="20846" spans="1:6" x14ac:dyDescent="0.25">
      <c r="A20846" s="2" t="str">
        <f t="shared" si="735"/>
        <v>40340</v>
      </c>
      <c r="B20846" s="2" t="str">
        <f>"55965"</f>
        <v>55965</v>
      </c>
      <c r="C20846" s="1">
        <v>1.1494473995556099E-2</v>
      </c>
      <c r="D20846" s="1">
        <v>1.12375533428165E-2</v>
      </c>
      <c r="E20846" s="1">
        <v>9.0909090909090905E-3</v>
      </c>
      <c r="F20846" s="1">
        <v>1.13893635661806E-2</v>
      </c>
    </row>
    <row r="20847" spans="1:6" x14ac:dyDescent="0.25">
      <c r="A20847" s="2" t="str">
        <f t="shared" si="735"/>
        <v>40340</v>
      </c>
      <c r="B20847" s="2" t="str">
        <f>"55954"</f>
        <v>55954</v>
      </c>
      <c r="C20847" s="1">
        <v>6.86782797726114E-3</v>
      </c>
      <c r="D20847" s="1">
        <v>4.5519203413940199E-3</v>
      </c>
      <c r="E20847" s="1">
        <v>4.4289044289044198E-3</v>
      </c>
      <c r="F20847" s="1">
        <v>6.6358439665865701E-3</v>
      </c>
    </row>
    <row r="20848" spans="1:6" x14ac:dyDescent="0.25">
      <c r="A20848" s="2" t="str">
        <f t="shared" si="735"/>
        <v>40340</v>
      </c>
      <c r="B20848" s="2" t="str">
        <f>"55939"</f>
        <v>55939</v>
      </c>
      <c r="C20848" s="1">
        <v>9.7149947577503497E-3</v>
      </c>
      <c r="D20848" s="1">
        <v>1.1095305832147901E-2</v>
      </c>
      <c r="E20848" s="1">
        <v>5.8275058275058201E-3</v>
      </c>
      <c r="F20848" s="1">
        <v>9.6545023984455601E-3</v>
      </c>
    </row>
    <row r="20849" spans="1:6" x14ac:dyDescent="0.25">
      <c r="A20849" s="2" t="str">
        <f t="shared" si="735"/>
        <v>40340</v>
      </c>
      <c r="B20849" s="2" t="str">
        <f>"55945"</f>
        <v>55945</v>
      </c>
      <c r="C20849" s="1">
        <v>6.7427834902801902E-3</v>
      </c>
      <c r="D20849" s="1">
        <v>2.56045519203413E-3</v>
      </c>
      <c r="E20849" s="1">
        <v>1.86480186480186E-3</v>
      </c>
      <c r="F20849" s="1">
        <v>6.3062203447169099E-3</v>
      </c>
    </row>
    <row r="20850" spans="1:6" x14ac:dyDescent="0.25">
      <c r="A20850" s="2" t="str">
        <f t="shared" si="735"/>
        <v>40340</v>
      </c>
      <c r="B20850" s="2" t="str">
        <f>"55905"</f>
        <v>55905</v>
      </c>
      <c r="C20850" s="1">
        <v>0</v>
      </c>
      <c r="D20850" s="1">
        <v>1.42247510668563E-3</v>
      </c>
      <c r="E20850" s="1">
        <v>0</v>
      </c>
      <c r="F20850" s="1">
        <v>8.6743058386752606E-5</v>
      </c>
    </row>
    <row r="20851" spans="1:6" x14ac:dyDescent="0.25">
      <c r="A20851" s="2" t="str">
        <f t="shared" si="735"/>
        <v>40340</v>
      </c>
      <c r="B20851" s="2" t="str">
        <f>"55903"</f>
        <v>55903</v>
      </c>
      <c r="C20851" s="1">
        <v>2.1613458634321799E-2</v>
      </c>
      <c r="D20851" s="1">
        <v>9.1749644381223294E-2</v>
      </c>
      <c r="E20851" s="1">
        <v>1.63170163170163E-3</v>
      </c>
      <c r="F20851" s="1">
        <v>2.5146812626319501E-2</v>
      </c>
    </row>
    <row r="20852" spans="1:6" x14ac:dyDescent="0.25">
      <c r="A20852" s="2" t="str">
        <f t="shared" si="735"/>
        <v>40340</v>
      </c>
      <c r="B20852" s="2" t="str">
        <f>"55974"</f>
        <v>55974</v>
      </c>
      <c r="C20852" s="1">
        <v>2.8856420072525799E-5</v>
      </c>
      <c r="D20852" s="1">
        <v>0</v>
      </c>
      <c r="E20852" s="1">
        <v>0</v>
      </c>
      <c r="F20852" s="1">
        <v>2.60229175160257E-5</v>
      </c>
    </row>
    <row r="20853" spans="1:6" x14ac:dyDescent="0.25">
      <c r="A20853" s="2" t="str">
        <f t="shared" si="735"/>
        <v>40340</v>
      </c>
      <c r="B20853" s="2" t="str">
        <f>"55960"</f>
        <v>55960</v>
      </c>
      <c r="C20853" s="1">
        <v>1.42069774823735E-2</v>
      </c>
      <c r="D20853" s="1">
        <v>7.5391180654338502E-3</v>
      </c>
      <c r="E20853" s="1">
        <v>3.2634032634032599E-3</v>
      </c>
      <c r="F20853" s="1">
        <v>1.3393128214914601E-2</v>
      </c>
    </row>
    <row r="20854" spans="1:6" x14ac:dyDescent="0.25">
      <c r="A20854" s="2" t="str">
        <f t="shared" si="735"/>
        <v>40340</v>
      </c>
      <c r="B20854" s="2" t="str">
        <f>"55944"</f>
        <v>55944</v>
      </c>
      <c r="C20854" s="1">
        <v>3.1193790098400301E-2</v>
      </c>
      <c r="D20854" s="1">
        <v>2.6173541963015599E-2</v>
      </c>
      <c r="E20854" s="1">
        <v>1.93473193473193E-2</v>
      </c>
      <c r="F20854" s="1">
        <v>3.0446813493750099E-2</v>
      </c>
    </row>
    <row r="20855" spans="1:6" x14ac:dyDescent="0.25">
      <c r="A20855" s="2" t="str">
        <f t="shared" si="735"/>
        <v>40340</v>
      </c>
      <c r="B20855" s="2" t="str">
        <f>"55927"</f>
        <v>55927</v>
      </c>
      <c r="C20855" s="1">
        <v>1.7544703404095599E-2</v>
      </c>
      <c r="D20855" s="1">
        <v>1.66429587482219E-2</v>
      </c>
      <c r="E20855" s="1">
        <v>9.0909090909090905E-3</v>
      </c>
      <c r="F20855" s="1">
        <v>1.7175125560577001E-2</v>
      </c>
    </row>
    <row r="20856" spans="1:6" x14ac:dyDescent="0.25">
      <c r="A20856" s="2" t="str">
        <f t="shared" ref="A20856:A20867" si="736">"35580"</f>
        <v>35580</v>
      </c>
      <c r="B20856" s="2" t="str">
        <f>"56084"</f>
        <v>56084</v>
      </c>
      <c r="C20856" s="1">
        <v>0</v>
      </c>
      <c r="D20856" s="1">
        <v>0</v>
      </c>
      <c r="E20856" s="1">
        <v>2.8248587570621399E-3</v>
      </c>
      <c r="F20856" s="1">
        <v>7.3222523248151104E-5</v>
      </c>
    </row>
    <row r="20857" spans="1:6" x14ac:dyDescent="0.25">
      <c r="A20857" s="2" t="str">
        <f t="shared" si="736"/>
        <v>35580</v>
      </c>
      <c r="B20857" s="2" t="str">
        <f>"56087"</f>
        <v>56087</v>
      </c>
      <c r="C20857" s="1">
        <v>0.110886116960959</v>
      </c>
      <c r="D20857" s="1">
        <v>0.14942528735632099</v>
      </c>
      <c r="E20857" s="1">
        <v>0.18361581920903899</v>
      </c>
      <c r="F20857" s="1">
        <v>0.115471919162334</v>
      </c>
    </row>
    <row r="20858" spans="1:6" x14ac:dyDescent="0.25">
      <c r="A20858" s="2" t="str">
        <f t="shared" si="736"/>
        <v>35580</v>
      </c>
      <c r="B20858" s="2" t="str">
        <f>"56266"</f>
        <v>56266</v>
      </c>
      <c r="C20858" s="1">
        <v>7.8567957233111902E-3</v>
      </c>
      <c r="D20858" s="1">
        <v>5.2246603970741903E-3</v>
      </c>
      <c r="E20858" s="1">
        <v>0</v>
      </c>
      <c r="F20858" s="1">
        <v>7.4686973713114103E-3</v>
      </c>
    </row>
    <row r="20859" spans="1:6" x14ac:dyDescent="0.25">
      <c r="A20859" s="2" t="str">
        <f t="shared" si="736"/>
        <v>35580</v>
      </c>
      <c r="B20859" s="2" t="str">
        <f>"56062"</f>
        <v>56062</v>
      </c>
      <c r="C20859" s="1">
        <v>2.0249473513688598E-3</v>
      </c>
      <c r="D20859" s="1">
        <v>0</v>
      </c>
      <c r="E20859" s="1">
        <v>2.8248587570621399E-3</v>
      </c>
      <c r="F20859" s="1">
        <v>1.90378560445192E-3</v>
      </c>
    </row>
    <row r="20860" spans="1:6" x14ac:dyDescent="0.25">
      <c r="A20860" s="2" t="str">
        <f t="shared" si="736"/>
        <v>35580</v>
      </c>
      <c r="B20860" s="2" t="str">
        <f>"56019"</f>
        <v>56019</v>
      </c>
      <c r="C20860" s="1">
        <v>2.72962902964522E-2</v>
      </c>
      <c r="D20860" s="1">
        <v>9.4043887147335394E-3</v>
      </c>
      <c r="E20860" s="1">
        <v>1.41242937853107E-2</v>
      </c>
      <c r="F20860" s="1">
        <v>2.5701105660101E-2</v>
      </c>
    </row>
    <row r="20861" spans="1:6" x14ac:dyDescent="0.25">
      <c r="A20861" s="2" t="str">
        <f t="shared" si="736"/>
        <v>35580</v>
      </c>
      <c r="B20861" s="2" t="str">
        <f>"56081"</f>
        <v>56081</v>
      </c>
      <c r="C20861" s="1">
        <v>2.2679410335331202E-3</v>
      </c>
      <c r="D20861" s="1">
        <v>1.0449320794148299E-3</v>
      </c>
      <c r="E20861" s="1">
        <v>0</v>
      </c>
      <c r="F20861" s="1">
        <v>2.1234531741963799E-3</v>
      </c>
    </row>
    <row r="20862" spans="1:6" x14ac:dyDescent="0.25">
      <c r="A20862" s="2" t="str">
        <f t="shared" si="736"/>
        <v>35580</v>
      </c>
      <c r="B20862" s="2" t="str">
        <f>"56073"</f>
        <v>56073</v>
      </c>
      <c r="C20862" s="1">
        <v>0.60092337599222401</v>
      </c>
      <c r="D20862" s="1">
        <v>0.63845350052246597</v>
      </c>
      <c r="E20862" s="1">
        <v>0.61016949152542299</v>
      </c>
      <c r="F20862" s="1">
        <v>0.603792926704254</v>
      </c>
    </row>
    <row r="20863" spans="1:6" x14ac:dyDescent="0.25">
      <c r="A20863" s="2" t="str">
        <f t="shared" si="736"/>
        <v>35580</v>
      </c>
      <c r="B20863" s="2" t="str">
        <f>"56030"</f>
        <v>56030</v>
      </c>
      <c r="C20863" s="1">
        <v>5.6698525838328199E-4</v>
      </c>
      <c r="D20863" s="1">
        <v>4.17972831765935E-3</v>
      </c>
      <c r="E20863" s="1">
        <v>0</v>
      </c>
      <c r="F20863" s="1">
        <v>8.0544775572966205E-4</v>
      </c>
    </row>
    <row r="20864" spans="1:6" x14ac:dyDescent="0.25">
      <c r="A20864" s="2" t="str">
        <f t="shared" si="736"/>
        <v>35580</v>
      </c>
      <c r="B20864" s="2" t="str">
        <f>"56083"</f>
        <v>56083</v>
      </c>
      <c r="C20864" s="1">
        <v>2.9159241859711602E-3</v>
      </c>
      <c r="D20864" s="1">
        <v>0</v>
      </c>
      <c r="E20864" s="1">
        <v>0</v>
      </c>
      <c r="F20864" s="1">
        <v>2.6360108369334399E-3</v>
      </c>
    </row>
    <row r="20865" spans="1:6" x14ac:dyDescent="0.25">
      <c r="A20865" s="2" t="str">
        <f t="shared" si="736"/>
        <v>35580</v>
      </c>
      <c r="B20865" s="2" t="str">
        <f>"56041"</f>
        <v>56041</v>
      </c>
      <c r="C20865" s="1">
        <v>4.04179491333225E-2</v>
      </c>
      <c r="D20865" s="1">
        <v>5.2246603970741903E-3</v>
      </c>
      <c r="E20865" s="1">
        <v>2.8248587570621399E-3</v>
      </c>
      <c r="F20865" s="1">
        <v>3.6977374240316302E-2</v>
      </c>
    </row>
    <row r="20866" spans="1:6" x14ac:dyDescent="0.25">
      <c r="A20866" s="2" t="str">
        <f t="shared" si="736"/>
        <v>35580</v>
      </c>
      <c r="B20866" s="2" t="str">
        <f>"56085"</f>
        <v>56085</v>
      </c>
      <c r="C20866" s="1">
        <v>0.2044386845942</v>
      </c>
      <c r="D20866" s="1">
        <v>0.18704284221525599</v>
      </c>
      <c r="E20866" s="1">
        <v>0.18361581920903899</v>
      </c>
      <c r="F20866" s="1">
        <v>0.20267994435088199</v>
      </c>
    </row>
    <row r="20867" spans="1:6" x14ac:dyDescent="0.25">
      <c r="A20867" s="2" t="str">
        <f t="shared" si="736"/>
        <v>35580</v>
      </c>
      <c r="B20867" s="2" t="str">
        <f>"55333"</f>
        <v>55333</v>
      </c>
      <c r="C20867" s="1">
        <v>4.0498947027377199E-4</v>
      </c>
      <c r="D20867" s="1">
        <v>0</v>
      </c>
      <c r="E20867" s="1">
        <v>0</v>
      </c>
      <c r="F20867" s="1">
        <v>3.6611261624075502E-4</v>
      </c>
    </row>
    <row r="20868" spans="1:6" x14ac:dyDescent="0.25">
      <c r="A20868" s="2" t="str">
        <f t="shared" ref="A20868:A20912" si="737">"33500"</f>
        <v>33500</v>
      </c>
      <c r="B20868" s="2" t="str">
        <f>"58748"</f>
        <v>58748</v>
      </c>
      <c r="C20868" s="1">
        <v>1.7559702990166501E-4</v>
      </c>
      <c r="D20868" s="1">
        <v>0</v>
      </c>
      <c r="E20868" s="1">
        <v>0</v>
      </c>
      <c r="F20868" s="1">
        <v>1.4998928647953701E-4</v>
      </c>
    </row>
    <row r="20869" spans="1:6" x14ac:dyDescent="0.25">
      <c r="A20869" s="2" t="str">
        <f t="shared" si="737"/>
        <v>33500</v>
      </c>
      <c r="B20869" s="2" t="str">
        <f>"58792"</f>
        <v>58792</v>
      </c>
      <c r="C20869" s="1">
        <v>3.7878787878787802E-3</v>
      </c>
      <c r="D20869" s="1">
        <v>9.2621179376350699E-4</v>
      </c>
      <c r="E20869" s="1">
        <v>2.8034763106251698E-4</v>
      </c>
      <c r="F20869" s="1">
        <v>3.3211913434754601E-3</v>
      </c>
    </row>
    <row r="20870" spans="1:6" x14ac:dyDescent="0.25">
      <c r="A20870" s="2" t="str">
        <f t="shared" si="737"/>
        <v>33500</v>
      </c>
      <c r="B20870" s="2" t="str">
        <f>"58785"</f>
        <v>58785</v>
      </c>
      <c r="C20870" s="1">
        <v>1.19907686132851E-2</v>
      </c>
      <c r="D20870" s="1">
        <v>2.46989811670268E-3</v>
      </c>
      <c r="E20870" s="1">
        <v>2.8034763106251698E-4</v>
      </c>
      <c r="F20870" s="1">
        <v>1.04349689307906E-2</v>
      </c>
    </row>
    <row r="20871" spans="1:6" x14ac:dyDescent="0.25">
      <c r="A20871" s="2" t="str">
        <f t="shared" si="737"/>
        <v>33500</v>
      </c>
      <c r="B20871" s="2" t="str">
        <f>"58384"</f>
        <v>58384</v>
      </c>
      <c r="C20871" s="1">
        <v>1.1790086293397501E-3</v>
      </c>
      <c r="D20871" s="1">
        <v>0</v>
      </c>
      <c r="E20871" s="1">
        <v>0</v>
      </c>
      <c r="F20871" s="1">
        <v>1.0070709235054599E-3</v>
      </c>
    </row>
    <row r="20872" spans="1:6" x14ac:dyDescent="0.25">
      <c r="A20872" s="2" t="str">
        <f t="shared" si="737"/>
        <v>33500</v>
      </c>
      <c r="B20872" s="2" t="str">
        <f>"58721"</f>
        <v>58721</v>
      </c>
      <c r="C20872" s="1">
        <v>1.25426449929761E-4</v>
      </c>
      <c r="D20872" s="1">
        <v>0</v>
      </c>
      <c r="E20872" s="1">
        <v>0</v>
      </c>
      <c r="F20872" s="1">
        <v>1.0713520462823999E-4</v>
      </c>
    </row>
    <row r="20873" spans="1:6" x14ac:dyDescent="0.25">
      <c r="A20873" s="2" t="str">
        <f t="shared" si="737"/>
        <v>33500</v>
      </c>
      <c r="B20873" s="2" t="str">
        <f>"58712"</f>
        <v>58712</v>
      </c>
      <c r="C20873" s="1">
        <v>2.1071643588199802E-3</v>
      </c>
      <c r="D20873" s="1">
        <v>6.1747452917567097E-4</v>
      </c>
      <c r="E20873" s="1">
        <v>2.8034763106251698E-4</v>
      </c>
      <c r="F20873" s="1">
        <v>1.86415256053139E-3</v>
      </c>
    </row>
    <row r="20874" spans="1:6" x14ac:dyDescent="0.25">
      <c r="A20874" s="2" t="str">
        <f t="shared" si="737"/>
        <v>33500</v>
      </c>
      <c r="B20874" s="2" t="str">
        <f>"58701"</f>
        <v>58701</v>
      </c>
      <c r="C20874" s="1">
        <v>0.43169275536825202</v>
      </c>
      <c r="D20874" s="1">
        <v>0.55387465267057701</v>
      </c>
      <c r="E20874" s="1">
        <v>0.32632464255677002</v>
      </c>
      <c r="F20874" s="1">
        <v>0.43211913434754601</v>
      </c>
    </row>
    <row r="20875" spans="1:6" x14ac:dyDescent="0.25">
      <c r="A20875" s="2" t="str">
        <f t="shared" si="737"/>
        <v>33500</v>
      </c>
      <c r="B20875" s="2" t="str">
        <f>"58768"</f>
        <v>58768</v>
      </c>
      <c r="C20875" s="1">
        <v>3.16074653822998E-3</v>
      </c>
      <c r="D20875" s="1">
        <v>1.23494905835134E-3</v>
      </c>
      <c r="E20875" s="1">
        <v>2.8034763106251698E-4</v>
      </c>
      <c r="F20875" s="1">
        <v>2.8069423612599102E-3</v>
      </c>
    </row>
    <row r="20876" spans="1:6" x14ac:dyDescent="0.25">
      <c r="A20876" s="2" t="str">
        <f t="shared" si="737"/>
        <v>33500</v>
      </c>
      <c r="B20876" s="2" t="str">
        <f>"58779"</f>
        <v>58779</v>
      </c>
      <c r="C20876" s="1">
        <v>1.95665261890427E-3</v>
      </c>
      <c r="D20876" s="1">
        <v>3.0873726458783499E-4</v>
      </c>
      <c r="E20876" s="1">
        <v>2.8034763106251698E-4</v>
      </c>
      <c r="F20876" s="1">
        <v>1.7141632740518501E-3</v>
      </c>
    </row>
    <row r="20877" spans="1:6" x14ac:dyDescent="0.25">
      <c r="A20877" s="2" t="str">
        <f t="shared" si="737"/>
        <v>33500</v>
      </c>
      <c r="B20877" s="2" t="str">
        <f>"58778"</f>
        <v>58778</v>
      </c>
      <c r="C20877" s="1">
        <v>1.5051173991571299E-4</v>
      </c>
      <c r="D20877" s="1">
        <v>3.0873726458783499E-4</v>
      </c>
      <c r="E20877" s="1">
        <v>0</v>
      </c>
      <c r="F20877" s="1">
        <v>1.4998928647953701E-4</v>
      </c>
    </row>
    <row r="20878" spans="1:6" x14ac:dyDescent="0.25">
      <c r="A20878" s="2" t="str">
        <f t="shared" si="737"/>
        <v>33500</v>
      </c>
      <c r="B20878" s="2" t="str">
        <f>"58787"</f>
        <v>58787</v>
      </c>
      <c r="C20878" s="1">
        <v>2.0820790688340302E-3</v>
      </c>
      <c r="D20878" s="1">
        <v>1.23494905835134E-3</v>
      </c>
      <c r="E20878" s="1">
        <v>2.8034763106251698E-4</v>
      </c>
      <c r="F20878" s="1">
        <v>1.8855796014570301E-3</v>
      </c>
    </row>
    <row r="20879" spans="1:6" x14ac:dyDescent="0.25">
      <c r="A20879" s="2" t="str">
        <f t="shared" si="737"/>
        <v>33500</v>
      </c>
      <c r="B20879" s="2" t="str">
        <f>"58759"</f>
        <v>58759</v>
      </c>
      <c r="C20879" s="1">
        <v>3.5621111780052101E-3</v>
      </c>
      <c r="D20879" s="1">
        <v>3.0873726458783499E-4</v>
      </c>
      <c r="E20879" s="1">
        <v>0</v>
      </c>
      <c r="F20879" s="1">
        <v>3.0640668523676802E-3</v>
      </c>
    </row>
    <row r="20880" spans="1:6" x14ac:dyDescent="0.25">
      <c r="A20880" s="2" t="str">
        <f t="shared" si="737"/>
        <v>33500</v>
      </c>
      <c r="B20880" s="2" t="str">
        <f>"58736"</f>
        <v>58736</v>
      </c>
      <c r="C20880" s="1">
        <v>5.11739915713425E-3</v>
      </c>
      <c r="D20880" s="1">
        <v>1.8524235875270101E-3</v>
      </c>
      <c r="E20880" s="1">
        <v>1.4017381553125801E-3</v>
      </c>
      <c r="F20880" s="1">
        <v>4.6068137990143499E-3</v>
      </c>
    </row>
    <row r="20881" spans="1:6" x14ac:dyDescent="0.25">
      <c r="A20881" s="2" t="str">
        <f t="shared" si="737"/>
        <v>33500</v>
      </c>
      <c r="B20881" s="2" t="str">
        <f>"58735"</f>
        <v>58735</v>
      </c>
      <c r="C20881" s="1">
        <v>4.1641581376680699E-3</v>
      </c>
      <c r="D20881" s="1">
        <v>3.0873726458783499E-4</v>
      </c>
      <c r="E20881" s="1">
        <v>2.8034763106251698E-4</v>
      </c>
      <c r="F20881" s="1">
        <v>3.5997428755088902E-3</v>
      </c>
    </row>
    <row r="20882" spans="1:6" x14ac:dyDescent="0.25">
      <c r="A20882" s="2" t="str">
        <f t="shared" si="737"/>
        <v>33500</v>
      </c>
      <c r="B20882" s="2" t="str">
        <f>"58707"</f>
        <v>58707</v>
      </c>
      <c r="C20882" s="1">
        <v>0</v>
      </c>
      <c r="D20882" s="1">
        <v>3.0873726458783499E-4</v>
      </c>
      <c r="E20882" s="1">
        <v>2.8034763106251698E-4</v>
      </c>
      <c r="F20882" s="1">
        <v>4.2854081851296303E-5</v>
      </c>
    </row>
    <row r="20883" spans="1:6" x14ac:dyDescent="0.25">
      <c r="A20883" s="2" t="str">
        <f t="shared" si="737"/>
        <v>33500</v>
      </c>
      <c r="B20883" s="2" t="str">
        <f>"58716"</f>
        <v>58716</v>
      </c>
      <c r="C20883" s="1">
        <v>3.2610876981737898E-4</v>
      </c>
      <c r="D20883" s="1">
        <v>0</v>
      </c>
      <c r="E20883" s="1">
        <v>0</v>
      </c>
      <c r="F20883" s="1">
        <v>2.7855153203342598E-4</v>
      </c>
    </row>
    <row r="20884" spans="1:6" x14ac:dyDescent="0.25">
      <c r="A20884" s="2" t="str">
        <f t="shared" si="737"/>
        <v>33500</v>
      </c>
      <c r="B20884" s="2" t="str">
        <f>"58710"</f>
        <v>58710</v>
      </c>
      <c r="C20884" s="1">
        <v>3.3112582781456902E-3</v>
      </c>
      <c r="D20884" s="1">
        <v>1.54368632293917E-3</v>
      </c>
      <c r="E20884" s="1">
        <v>8.4104289318755198E-4</v>
      </c>
      <c r="F20884" s="1">
        <v>2.9997857295907399E-3</v>
      </c>
    </row>
    <row r="20885" spans="1:6" x14ac:dyDescent="0.25">
      <c r="A20885" s="2" t="str">
        <f t="shared" si="737"/>
        <v>33500</v>
      </c>
      <c r="B20885" s="2" t="str">
        <f>"58762"</f>
        <v>58762</v>
      </c>
      <c r="C20885" s="1">
        <v>2.2576760987357E-4</v>
      </c>
      <c r="D20885" s="1">
        <v>0</v>
      </c>
      <c r="E20885" s="1">
        <v>0</v>
      </c>
      <c r="F20885" s="1">
        <v>1.9284336833083301E-4</v>
      </c>
    </row>
    <row r="20886" spans="1:6" x14ac:dyDescent="0.25">
      <c r="A20886" s="2" t="str">
        <f t="shared" si="737"/>
        <v>33500</v>
      </c>
      <c r="B20886" s="2" t="str">
        <f>"58723"</f>
        <v>58723</v>
      </c>
      <c r="C20886" s="1">
        <v>6.7730282962070998E-4</v>
      </c>
      <c r="D20886" s="1">
        <v>0</v>
      </c>
      <c r="E20886" s="1">
        <v>2.8034763106251698E-4</v>
      </c>
      <c r="F20886" s="1">
        <v>5.9995714591814804E-4</v>
      </c>
    </row>
    <row r="20887" spans="1:6" x14ac:dyDescent="0.25">
      <c r="A20887" s="2" t="str">
        <f t="shared" si="737"/>
        <v>33500</v>
      </c>
      <c r="B20887" s="2" t="str">
        <f>"58789"</f>
        <v>58789</v>
      </c>
      <c r="C20887" s="1">
        <v>5.2929961870359201E-3</v>
      </c>
      <c r="D20887" s="1">
        <v>2.1611608521148501E-3</v>
      </c>
      <c r="E20887" s="1">
        <v>1.1213905242500699E-3</v>
      </c>
      <c r="F20887" s="1">
        <v>4.7568030854938902E-3</v>
      </c>
    </row>
    <row r="20888" spans="1:6" x14ac:dyDescent="0.25">
      <c r="A20888" s="2" t="str">
        <f t="shared" si="737"/>
        <v>33500</v>
      </c>
      <c r="B20888" s="2" t="str">
        <f>"58761"</f>
        <v>58761</v>
      </c>
      <c r="C20888" s="1">
        <v>8.6795103351394697E-3</v>
      </c>
      <c r="D20888" s="1">
        <v>1.8524235875270101E-3</v>
      </c>
      <c r="E20888" s="1">
        <v>8.4104289318755198E-4</v>
      </c>
      <c r="F20888" s="1">
        <v>7.6065995286050897E-3</v>
      </c>
    </row>
    <row r="20889" spans="1:6" x14ac:dyDescent="0.25">
      <c r="A20889" s="2" t="str">
        <f t="shared" si="737"/>
        <v>33500</v>
      </c>
      <c r="B20889" s="2" t="str">
        <f>"58703"</f>
        <v>58703</v>
      </c>
      <c r="C20889" s="1">
        <v>0.29427553682520502</v>
      </c>
      <c r="D20889" s="1">
        <v>0.175671503550478</v>
      </c>
      <c r="E20889" s="1">
        <v>0.19231847490888701</v>
      </c>
      <c r="F20889" s="1">
        <v>0.27825155346046698</v>
      </c>
    </row>
    <row r="20890" spans="1:6" x14ac:dyDescent="0.25">
      <c r="A20890" s="2" t="str">
        <f t="shared" si="737"/>
        <v>33500</v>
      </c>
      <c r="B20890" s="2" t="str">
        <f>"58722"</f>
        <v>58722</v>
      </c>
      <c r="C20890" s="1">
        <v>2.2626931567328899E-2</v>
      </c>
      <c r="D20890" s="1">
        <v>4.6310589688175301E-3</v>
      </c>
      <c r="E20890" s="1">
        <v>7.00869077656293E-3</v>
      </c>
      <c r="F20890" s="1">
        <v>2.0184272551960501E-2</v>
      </c>
    </row>
    <row r="20891" spans="1:6" x14ac:dyDescent="0.25">
      <c r="A20891" s="2" t="str">
        <f t="shared" si="737"/>
        <v>33500</v>
      </c>
      <c r="B20891" s="2" t="str">
        <f>"58771"</f>
        <v>58771</v>
      </c>
      <c r="C20891" s="1">
        <v>9.0307043949428001E-4</v>
      </c>
      <c r="D20891" s="1">
        <v>3.0873726458783499E-4</v>
      </c>
      <c r="E20891" s="1">
        <v>0</v>
      </c>
      <c r="F20891" s="1">
        <v>7.9280051424898202E-4</v>
      </c>
    </row>
    <row r="20892" spans="1:6" x14ac:dyDescent="0.25">
      <c r="A20892" s="2" t="str">
        <f t="shared" si="737"/>
        <v>33500</v>
      </c>
      <c r="B20892" s="2" t="str">
        <f>"58368"</f>
        <v>58368</v>
      </c>
      <c r="C20892" s="1">
        <v>5.5187637969094901E-4</v>
      </c>
      <c r="D20892" s="1">
        <v>3.0873726458783499E-4</v>
      </c>
      <c r="E20892" s="1">
        <v>0</v>
      </c>
      <c r="F20892" s="1">
        <v>4.9282194128990697E-4</v>
      </c>
    </row>
    <row r="20893" spans="1:6" x14ac:dyDescent="0.25">
      <c r="A20893" s="2" t="str">
        <f t="shared" si="737"/>
        <v>33500</v>
      </c>
      <c r="B20893" s="2" t="str">
        <f>"58731"</f>
        <v>58731</v>
      </c>
      <c r="C20893" s="1">
        <v>3.9383905277944999E-3</v>
      </c>
      <c r="D20893" s="1">
        <v>2.1611608521148501E-3</v>
      </c>
      <c r="E20893" s="1">
        <v>0</v>
      </c>
      <c r="F20893" s="1">
        <v>3.5140347118062902E-3</v>
      </c>
    </row>
    <row r="20894" spans="1:6" x14ac:dyDescent="0.25">
      <c r="A20894" s="2" t="str">
        <f t="shared" si="737"/>
        <v>33500</v>
      </c>
      <c r="B20894" s="2" t="str">
        <f>"58734"</f>
        <v>58734</v>
      </c>
      <c r="C20894" s="1">
        <v>3.2861729881597402E-3</v>
      </c>
      <c r="D20894" s="1">
        <v>9.2621179376350699E-4</v>
      </c>
      <c r="E20894" s="1">
        <v>2.8034763106251698E-4</v>
      </c>
      <c r="F20894" s="1">
        <v>2.8926505249625002E-3</v>
      </c>
    </row>
    <row r="20895" spans="1:6" x14ac:dyDescent="0.25">
      <c r="A20895" s="2" t="str">
        <f t="shared" si="737"/>
        <v>33500</v>
      </c>
      <c r="B20895" s="2" t="str">
        <f>"58744"</f>
        <v>58744</v>
      </c>
      <c r="C20895" s="1">
        <v>2.5085289985952199E-3</v>
      </c>
      <c r="D20895" s="1">
        <v>6.1747452917567097E-4</v>
      </c>
      <c r="E20895" s="1">
        <v>8.4104289318755198E-4</v>
      </c>
      <c r="F20895" s="1">
        <v>2.2498392971930501E-3</v>
      </c>
    </row>
    <row r="20896" spans="1:6" x14ac:dyDescent="0.25">
      <c r="A20896" s="2" t="str">
        <f t="shared" si="737"/>
        <v>33500</v>
      </c>
      <c r="B20896" s="2" t="str">
        <f>"58702"</f>
        <v>58702</v>
      </c>
      <c r="C20896" s="1">
        <v>4.5730483644390897E-2</v>
      </c>
      <c r="D20896" s="1">
        <v>0.213646187094782</v>
      </c>
      <c r="E20896" s="1">
        <v>5.6069526212503495E-4</v>
      </c>
      <c r="F20896" s="1">
        <v>5.3931862009856397E-2</v>
      </c>
    </row>
    <row r="20897" spans="1:6" x14ac:dyDescent="0.25">
      <c r="A20897" s="2" t="str">
        <f t="shared" si="737"/>
        <v>33500</v>
      </c>
      <c r="B20897" s="2" t="str">
        <f>"58790"</f>
        <v>58790</v>
      </c>
      <c r="C20897" s="1">
        <v>1.6405779650812701E-2</v>
      </c>
      <c r="D20897" s="1">
        <v>2.46989811670268E-3</v>
      </c>
      <c r="E20897" s="1">
        <v>4.7659097280627902E-3</v>
      </c>
      <c r="F20897" s="1">
        <v>1.45489607885151E-2</v>
      </c>
    </row>
    <row r="20898" spans="1:6" x14ac:dyDescent="0.25">
      <c r="A20898" s="2" t="str">
        <f t="shared" si="737"/>
        <v>33500</v>
      </c>
      <c r="B20898" s="2" t="str">
        <f>"58788"</f>
        <v>58788</v>
      </c>
      <c r="C20898" s="1">
        <v>1.2567730282962E-2</v>
      </c>
      <c r="D20898" s="1">
        <v>8.9533806730472294E-3</v>
      </c>
      <c r="E20898" s="1">
        <v>7.8497336697504905E-3</v>
      </c>
      <c r="F20898" s="1">
        <v>1.19562888365116E-2</v>
      </c>
    </row>
    <row r="20899" spans="1:6" x14ac:dyDescent="0.25">
      <c r="A20899" s="2" t="str">
        <f t="shared" si="737"/>
        <v>33500</v>
      </c>
      <c r="B20899" s="2" t="str">
        <f>"58740"</f>
        <v>58740</v>
      </c>
      <c r="C20899" s="1">
        <v>8.1527192454344706E-3</v>
      </c>
      <c r="D20899" s="1">
        <v>1.54368632293917E-3</v>
      </c>
      <c r="E20899" s="1">
        <v>1.96243341743762E-3</v>
      </c>
      <c r="F20899" s="1">
        <v>7.2209127919434296E-3</v>
      </c>
    </row>
    <row r="20900" spans="1:6" x14ac:dyDescent="0.25">
      <c r="A20900" s="2" t="str">
        <f t="shared" si="737"/>
        <v>33500</v>
      </c>
      <c r="B20900" s="2" t="str">
        <f>"58705"</f>
        <v>58705</v>
      </c>
      <c r="C20900" s="1">
        <v>4.61569335741521E-3</v>
      </c>
      <c r="D20900" s="1">
        <v>6.1747452917567097E-4</v>
      </c>
      <c r="E20900" s="1">
        <v>2.8034763106251698E-4</v>
      </c>
      <c r="F20900" s="1">
        <v>4.0068566530962E-3</v>
      </c>
    </row>
    <row r="20901" spans="1:6" x14ac:dyDescent="0.25">
      <c r="A20901" s="2" t="str">
        <f t="shared" si="737"/>
        <v>33500</v>
      </c>
      <c r="B20901" s="2" t="str">
        <f>"58725"</f>
        <v>58725</v>
      </c>
      <c r="C20901" s="1">
        <v>2.5085289985952199E-3</v>
      </c>
      <c r="D20901" s="1">
        <v>0</v>
      </c>
      <c r="E20901" s="1">
        <v>2.8034763106251698E-4</v>
      </c>
      <c r="F20901" s="1">
        <v>2.1641311334904601E-3</v>
      </c>
    </row>
    <row r="20902" spans="1:6" x14ac:dyDescent="0.25">
      <c r="A20902" s="2" t="str">
        <f t="shared" si="737"/>
        <v>33500</v>
      </c>
      <c r="B20902" s="2" t="str">
        <f>"58750"</f>
        <v>58750</v>
      </c>
      <c r="C20902" s="1">
        <v>1.07866746939594E-3</v>
      </c>
      <c r="D20902" s="1">
        <v>0</v>
      </c>
      <c r="E20902" s="1">
        <v>0</v>
      </c>
      <c r="F20902" s="1">
        <v>9.2136275980287102E-4</v>
      </c>
    </row>
    <row r="20903" spans="1:6" x14ac:dyDescent="0.25">
      <c r="A20903" s="2" t="str">
        <f t="shared" si="737"/>
        <v>33500</v>
      </c>
      <c r="B20903" s="2" t="str">
        <f>"58746"</f>
        <v>58746</v>
      </c>
      <c r="C20903" s="1">
        <v>1.45996387718242E-2</v>
      </c>
      <c r="D20903" s="1">
        <v>6.7922198209323797E-3</v>
      </c>
      <c r="E20903" s="1">
        <v>6.1676478833753798E-3</v>
      </c>
      <c r="F20903" s="1">
        <v>1.3413327619455699E-2</v>
      </c>
    </row>
    <row r="20904" spans="1:6" x14ac:dyDescent="0.25">
      <c r="A20904" s="2" t="str">
        <f t="shared" si="737"/>
        <v>33500</v>
      </c>
      <c r="B20904" s="2" t="str">
        <f>"58713"</f>
        <v>58713</v>
      </c>
      <c r="C20904" s="1">
        <v>4.7662050973309203E-4</v>
      </c>
      <c r="D20904" s="1">
        <v>0</v>
      </c>
      <c r="E20904" s="1">
        <v>2.8034763106251698E-4</v>
      </c>
      <c r="F20904" s="1">
        <v>4.2854081851296301E-4</v>
      </c>
    </row>
    <row r="20905" spans="1:6" x14ac:dyDescent="0.25">
      <c r="A20905" s="2" t="str">
        <f t="shared" si="737"/>
        <v>33500</v>
      </c>
      <c r="B20905" s="2" t="str">
        <f>"58718"</f>
        <v>58718</v>
      </c>
      <c r="C20905" s="1">
        <v>7.2245635159542401E-3</v>
      </c>
      <c r="D20905" s="1">
        <v>5.2485334979932002E-3</v>
      </c>
      <c r="E20905" s="1">
        <v>2.8034763106251698E-4</v>
      </c>
      <c r="F20905" s="1">
        <v>6.5566745232483303E-3</v>
      </c>
    </row>
    <row r="20906" spans="1:6" x14ac:dyDescent="0.25">
      <c r="A20906" s="2" t="str">
        <f t="shared" si="737"/>
        <v>33500</v>
      </c>
      <c r="B20906" s="2" t="str">
        <f>"58704"</f>
        <v>58704</v>
      </c>
      <c r="C20906" s="1">
        <v>4.3347381095725397E-2</v>
      </c>
      <c r="D20906" s="1">
        <v>1.8524235875270101E-3</v>
      </c>
      <c r="E20906" s="1">
        <v>0.43986543313708898</v>
      </c>
      <c r="F20906" s="1">
        <v>7.0773516177415799E-2</v>
      </c>
    </row>
    <row r="20907" spans="1:6" x14ac:dyDescent="0.25">
      <c r="A20907" s="2" t="str">
        <f t="shared" si="737"/>
        <v>33500</v>
      </c>
      <c r="B20907" s="2" t="str">
        <f>"58756"</f>
        <v>58756</v>
      </c>
      <c r="C20907" s="1">
        <v>1.5302026891430801E-3</v>
      </c>
      <c r="D20907" s="1">
        <v>0</v>
      </c>
      <c r="E20907" s="1">
        <v>2.8034763106251698E-4</v>
      </c>
      <c r="F20907" s="1">
        <v>1.32847653739018E-3</v>
      </c>
    </row>
    <row r="20908" spans="1:6" x14ac:dyDescent="0.25">
      <c r="A20908" s="2" t="str">
        <f t="shared" si="737"/>
        <v>33500</v>
      </c>
      <c r="B20908" s="2" t="str">
        <f>"58782"</f>
        <v>58782</v>
      </c>
      <c r="C20908" s="1">
        <v>3.7627934978928298E-3</v>
      </c>
      <c r="D20908" s="1">
        <v>1.23494905835134E-3</v>
      </c>
      <c r="E20908" s="1">
        <v>2.8034763106251698E-4</v>
      </c>
      <c r="F20908" s="1">
        <v>3.3211913434754601E-3</v>
      </c>
    </row>
    <row r="20909" spans="1:6" x14ac:dyDescent="0.25">
      <c r="A20909" s="2" t="str">
        <f t="shared" si="737"/>
        <v>33500</v>
      </c>
      <c r="B20909" s="2" t="str">
        <f>"58758"</f>
        <v>58758</v>
      </c>
      <c r="C20909" s="1">
        <v>2.50852899859522E-5</v>
      </c>
      <c r="D20909" s="1">
        <v>0</v>
      </c>
      <c r="E20909" s="1">
        <v>0</v>
      </c>
      <c r="F20909" s="1">
        <v>2.1427040925648101E-5</v>
      </c>
    </row>
    <row r="20910" spans="1:6" x14ac:dyDescent="0.25">
      <c r="A20910" s="2" t="str">
        <f t="shared" si="737"/>
        <v>33500</v>
      </c>
      <c r="B20910" s="2" t="str">
        <f>"58781"</f>
        <v>58781</v>
      </c>
      <c r="C20910" s="1">
        <v>1.09121011438892E-2</v>
      </c>
      <c r="D20910" s="1">
        <v>2.46989811670268E-3</v>
      </c>
      <c r="E20910" s="1">
        <v>1.4017381553125801E-3</v>
      </c>
      <c r="F20910" s="1">
        <v>9.5993143346903703E-3</v>
      </c>
    </row>
    <row r="20911" spans="1:6" x14ac:dyDescent="0.25">
      <c r="A20911" s="2" t="str">
        <f t="shared" si="737"/>
        <v>33500</v>
      </c>
      <c r="B20911" s="2" t="str">
        <f>"58741"</f>
        <v>58741</v>
      </c>
      <c r="C20911" s="1">
        <v>5.4936785069235397E-3</v>
      </c>
      <c r="D20911" s="1">
        <v>9.2621179376350699E-4</v>
      </c>
      <c r="E20911" s="1">
        <v>1.4017381553125801E-3</v>
      </c>
      <c r="F20911" s="1">
        <v>4.8639382901221303E-3</v>
      </c>
    </row>
    <row r="20912" spans="1:6" x14ac:dyDescent="0.25">
      <c r="A20912" s="2" t="str">
        <f t="shared" si="737"/>
        <v>33500</v>
      </c>
      <c r="B20912" s="2" t="str">
        <f>"58733"</f>
        <v>58733</v>
      </c>
      <c r="C20912" s="1">
        <v>3.7126229179209299E-3</v>
      </c>
      <c r="D20912" s="1">
        <v>3.0873726458783499E-4</v>
      </c>
      <c r="E20912" s="1">
        <v>8.4104289318755198E-4</v>
      </c>
      <c r="F20912" s="1">
        <v>3.2569102206985198E-3</v>
      </c>
    </row>
    <row r="20913" spans="1:6" x14ac:dyDescent="0.25">
      <c r="A20913" s="2" t="str">
        <f t="shared" ref="A20913:A20933" si="738">"24500"</f>
        <v>24500</v>
      </c>
      <c r="B20913" s="2" t="str">
        <f>"59465"</f>
        <v>59465</v>
      </c>
      <c r="C20913" s="1">
        <v>1.0460494200237101E-3</v>
      </c>
      <c r="D20913" s="1">
        <v>2.13447171824973E-4</v>
      </c>
      <c r="E20913" s="1">
        <v>5.16262261228704E-4</v>
      </c>
      <c r="F20913" s="1">
        <v>9.4679800970971502E-4</v>
      </c>
    </row>
    <row r="20914" spans="1:6" x14ac:dyDescent="0.25">
      <c r="A20914" s="2" t="str">
        <f t="shared" si="738"/>
        <v>24500</v>
      </c>
      <c r="B20914" s="2" t="str">
        <f>"59405"</f>
        <v>59405</v>
      </c>
      <c r="C20914" s="1">
        <v>0.38011111369394901</v>
      </c>
      <c r="D20914" s="1">
        <v>0.290074706510138</v>
      </c>
      <c r="E20914" s="1">
        <v>0.50955085183273097</v>
      </c>
      <c r="F20914" s="1">
        <v>0.37666445075643101</v>
      </c>
    </row>
    <row r="20915" spans="1:6" x14ac:dyDescent="0.25">
      <c r="A20915" s="2" t="str">
        <f t="shared" si="738"/>
        <v>24500</v>
      </c>
      <c r="B20915" s="2" t="str">
        <f>"59402"</f>
        <v>59402</v>
      </c>
      <c r="C20915" s="1">
        <v>0</v>
      </c>
      <c r="D20915" s="1">
        <v>3.2657417289220898E-2</v>
      </c>
      <c r="E20915" s="1">
        <v>0</v>
      </c>
      <c r="F20915" s="1">
        <v>3.0821296911826899E-3</v>
      </c>
    </row>
    <row r="20916" spans="1:6" x14ac:dyDescent="0.25">
      <c r="A20916" s="2" t="str">
        <f t="shared" si="738"/>
        <v>24500</v>
      </c>
      <c r="B20916" s="2" t="str">
        <f>"59477"</f>
        <v>59477</v>
      </c>
      <c r="C20916" s="1">
        <v>1.1622771333596701E-4</v>
      </c>
      <c r="D20916" s="1">
        <v>0</v>
      </c>
      <c r="E20916" s="1">
        <v>5.16262261228704E-4</v>
      </c>
      <c r="F20916" s="1">
        <v>1.2086783102677199E-4</v>
      </c>
    </row>
    <row r="20917" spans="1:6" x14ac:dyDescent="0.25">
      <c r="A20917" s="2" t="str">
        <f t="shared" si="738"/>
        <v>24500</v>
      </c>
      <c r="B20917" s="2" t="str">
        <f>"59468"</f>
        <v>59468</v>
      </c>
      <c r="C20917" s="1">
        <v>8.1359399335177403E-4</v>
      </c>
      <c r="D20917" s="1">
        <v>2.13447171824973E-4</v>
      </c>
      <c r="E20917" s="1">
        <v>0</v>
      </c>
      <c r="F20917" s="1">
        <v>7.2520698616063302E-4</v>
      </c>
    </row>
    <row r="20918" spans="1:6" x14ac:dyDescent="0.25">
      <c r="A20918" s="2" t="str">
        <f t="shared" si="738"/>
        <v>24500</v>
      </c>
      <c r="B20918" s="2" t="str">
        <f>"59406"</f>
        <v>59406</v>
      </c>
      <c r="C20918" s="1">
        <v>2.4268346544549999E-2</v>
      </c>
      <c r="D20918" s="1">
        <v>4.9306296691568802E-2</v>
      </c>
      <c r="E20918" s="1">
        <v>1.0325245224574E-3</v>
      </c>
      <c r="F20918" s="1">
        <v>2.5724703370197999E-2</v>
      </c>
    </row>
    <row r="20919" spans="1:6" x14ac:dyDescent="0.25">
      <c r="A20919" s="2" t="str">
        <f t="shared" si="738"/>
        <v>24500</v>
      </c>
      <c r="B20919" s="2" t="str">
        <f>"59436"</f>
        <v>59436</v>
      </c>
      <c r="C20919" s="1">
        <v>6.97366280015806E-5</v>
      </c>
      <c r="D20919" s="1">
        <v>0</v>
      </c>
      <c r="E20919" s="1">
        <v>0</v>
      </c>
      <c r="F20919" s="1">
        <v>6.0433915513386099E-5</v>
      </c>
    </row>
    <row r="20920" spans="1:6" x14ac:dyDescent="0.25">
      <c r="A20920" s="2" t="str">
        <f t="shared" si="738"/>
        <v>24500</v>
      </c>
      <c r="B20920" s="2" t="str">
        <f>"59412"</f>
        <v>59412</v>
      </c>
      <c r="C20920" s="1">
        <v>1.31569771496315E-2</v>
      </c>
      <c r="D20920" s="1">
        <v>8.5378868729989296E-4</v>
      </c>
      <c r="E20920" s="1">
        <v>8.2601961796592606E-3</v>
      </c>
      <c r="F20920" s="1">
        <v>1.18047581636147E-2</v>
      </c>
    </row>
    <row r="20921" spans="1:6" x14ac:dyDescent="0.25">
      <c r="A20921" s="2" t="str">
        <f t="shared" si="738"/>
        <v>24500</v>
      </c>
      <c r="B20921" s="2" t="str">
        <f>"59404"</f>
        <v>59404</v>
      </c>
      <c r="C20921" s="1">
        <v>0.28540877286780197</v>
      </c>
      <c r="D20921" s="1">
        <v>0.169903948772678</v>
      </c>
      <c r="E20921" s="1">
        <v>0.18482188951987599</v>
      </c>
      <c r="F20921" s="1">
        <v>0.27058278439193401</v>
      </c>
    </row>
    <row r="20922" spans="1:6" x14ac:dyDescent="0.25">
      <c r="A20922" s="2" t="str">
        <f t="shared" si="738"/>
        <v>24500</v>
      </c>
      <c r="B20922" s="2" t="str">
        <f>"59483"</f>
        <v>59483</v>
      </c>
      <c r="C20922" s="1">
        <v>4.4166531067667703E-3</v>
      </c>
      <c r="D20922" s="1">
        <v>2.13447171824973E-4</v>
      </c>
      <c r="E20922" s="1">
        <v>5.16262261228704E-4</v>
      </c>
      <c r="F20922" s="1">
        <v>3.8677705928567099E-3</v>
      </c>
    </row>
    <row r="20923" spans="1:6" x14ac:dyDescent="0.25">
      <c r="A20923" s="2" t="str">
        <f t="shared" si="738"/>
        <v>24500</v>
      </c>
      <c r="B20923" s="2" t="str">
        <f>"59403"</f>
        <v>59403</v>
      </c>
      <c r="C20923" s="1">
        <v>4.5677491341035298E-2</v>
      </c>
      <c r="D20923" s="1">
        <v>0.15581643543223</v>
      </c>
      <c r="E20923" s="1">
        <v>1.0325245224574E-3</v>
      </c>
      <c r="F20923" s="1">
        <v>5.4330090046534101E-2</v>
      </c>
    </row>
    <row r="20924" spans="1:6" x14ac:dyDescent="0.25">
      <c r="A20924" s="2" t="str">
        <f t="shared" si="738"/>
        <v>24500</v>
      </c>
      <c r="B20924" s="2" t="str">
        <f>"59463"</f>
        <v>59463</v>
      </c>
      <c r="C20924" s="1">
        <v>2.5337641507240899E-3</v>
      </c>
      <c r="D20924" s="1">
        <v>4.2689434364994599E-4</v>
      </c>
      <c r="E20924" s="1">
        <v>5.16262261228704E-4</v>
      </c>
      <c r="F20924" s="1">
        <v>2.2561995124997401E-3</v>
      </c>
    </row>
    <row r="20925" spans="1:6" x14ac:dyDescent="0.25">
      <c r="A20925" s="2" t="str">
        <f t="shared" si="738"/>
        <v>24500</v>
      </c>
      <c r="B20925" s="2" t="str">
        <f>"59443"</f>
        <v>59443</v>
      </c>
      <c r="C20925" s="1">
        <v>5.6951579534624203E-3</v>
      </c>
      <c r="D20925" s="1">
        <v>6.4034151547491904E-4</v>
      </c>
      <c r="E20925" s="1">
        <v>1.5487867836861101E-3</v>
      </c>
      <c r="F20925" s="1">
        <v>5.0563042646199702E-3</v>
      </c>
    </row>
    <row r="20926" spans="1:6" x14ac:dyDescent="0.25">
      <c r="A20926" s="2" t="str">
        <f t="shared" si="738"/>
        <v>24500</v>
      </c>
      <c r="B20926" s="2" t="str">
        <f>"59414"</f>
        <v>59414</v>
      </c>
      <c r="C20926" s="1">
        <v>2.1106952741811701E-2</v>
      </c>
      <c r="D20926" s="1">
        <v>4.4610458911419397E-2</v>
      </c>
      <c r="E20926" s="1">
        <v>9.2927207021166695E-3</v>
      </c>
      <c r="F20926" s="1">
        <v>2.2864164702564398E-2</v>
      </c>
    </row>
    <row r="20927" spans="1:6" x14ac:dyDescent="0.25">
      <c r="A20927" s="2" t="str">
        <f t="shared" si="738"/>
        <v>24500</v>
      </c>
      <c r="B20927" s="2" t="str">
        <f>"59401"</f>
        <v>59401</v>
      </c>
      <c r="C20927" s="1">
        <v>0.162416606615681</v>
      </c>
      <c r="D20927" s="1">
        <v>0.24354322305229401</v>
      </c>
      <c r="E20927" s="1">
        <v>0.27000516262261198</v>
      </c>
      <c r="F20927" s="1">
        <v>0.174271267702101</v>
      </c>
    </row>
    <row r="20928" spans="1:6" x14ac:dyDescent="0.25">
      <c r="A20928" s="2" t="str">
        <f t="shared" si="738"/>
        <v>24500</v>
      </c>
      <c r="B20928" s="2" t="str">
        <f>"59485"</f>
        <v>59485</v>
      </c>
      <c r="C20928" s="1">
        <v>3.9052511680885099E-3</v>
      </c>
      <c r="D20928" s="1">
        <v>0</v>
      </c>
      <c r="E20928" s="1">
        <v>5.16262261228704E-4</v>
      </c>
      <c r="F20928" s="1">
        <v>3.4044439072540801E-3</v>
      </c>
    </row>
    <row r="20929" spans="1:6" x14ac:dyDescent="0.25">
      <c r="A20929" s="2" t="str">
        <f t="shared" si="738"/>
        <v>24500</v>
      </c>
      <c r="B20929" s="2" t="str">
        <f>"59472"</f>
        <v>59472</v>
      </c>
      <c r="C20929" s="1">
        <v>5.9973500081359297E-3</v>
      </c>
      <c r="D20929" s="1">
        <v>8.5378868729989296E-4</v>
      </c>
      <c r="E20929" s="1">
        <v>1.5487867836861101E-3</v>
      </c>
      <c r="F20929" s="1">
        <v>5.3383292036824296E-3</v>
      </c>
    </row>
    <row r="20930" spans="1:6" x14ac:dyDescent="0.25">
      <c r="A20930" s="2" t="str">
        <f t="shared" si="738"/>
        <v>24500</v>
      </c>
      <c r="B20930" s="2" t="str">
        <f>"59440"</f>
        <v>59440</v>
      </c>
      <c r="C20930" s="1">
        <v>8.1359399335177403E-4</v>
      </c>
      <c r="D20930" s="1">
        <v>0</v>
      </c>
      <c r="E20930" s="1">
        <v>5.16262261228704E-4</v>
      </c>
      <c r="F20930" s="1">
        <v>7.2520698616063302E-4</v>
      </c>
    </row>
    <row r="20931" spans="1:6" x14ac:dyDescent="0.25">
      <c r="A20931" s="2" t="str">
        <f t="shared" si="738"/>
        <v>24500</v>
      </c>
      <c r="B20931" s="2" t="str">
        <f>"59421"</f>
        <v>59421</v>
      </c>
      <c r="C20931" s="1">
        <v>2.4965712824565799E-2</v>
      </c>
      <c r="D20931" s="1">
        <v>8.7513340448238993E-3</v>
      </c>
      <c r="E20931" s="1">
        <v>7.22767165720185E-3</v>
      </c>
      <c r="F20931" s="1">
        <v>2.2743296871537599E-2</v>
      </c>
    </row>
    <row r="20932" spans="1:6" x14ac:dyDescent="0.25">
      <c r="A20932" s="2" t="str">
        <f t="shared" si="738"/>
        <v>24500</v>
      </c>
      <c r="B20932" s="2" t="str">
        <f>"59480"</f>
        <v>59480</v>
      </c>
      <c r="C20932" s="1">
        <v>3.7890234547525502E-3</v>
      </c>
      <c r="D20932" s="1">
        <v>4.2689434364994599E-4</v>
      </c>
      <c r="E20932" s="1">
        <v>5.16262261228704E-4</v>
      </c>
      <c r="F20932" s="1">
        <v>3.3440099917406898E-3</v>
      </c>
    </row>
    <row r="20933" spans="1:6" x14ac:dyDescent="0.25">
      <c r="A20933" s="2" t="str">
        <f t="shared" si="738"/>
        <v>24500</v>
      </c>
      <c r="B20933" s="2" t="str">
        <f>"59487"</f>
        <v>59487</v>
      </c>
      <c r="C20933" s="1">
        <v>1.3691624630976999E-2</v>
      </c>
      <c r="D20933" s="1">
        <v>1.4941302027748099E-3</v>
      </c>
      <c r="E20933" s="1">
        <v>2.0650490449148099E-3</v>
      </c>
      <c r="F20933" s="1">
        <v>1.20867831026772E-2</v>
      </c>
    </row>
    <row r="20934" spans="1:6" x14ac:dyDescent="0.25">
      <c r="A20934" s="2" t="str">
        <f t="shared" ref="A20934:A20944" si="739">"34020"</f>
        <v>34020</v>
      </c>
      <c r="B20934" s="2" t="str">
        <f>"70523"</f>
        <v>70523</v>
      </c>
      <c r="C20934" s="1">
        <v>4.26693975081071E-5</v>
      </c>
      <c r="D20934" s="1">
        <v>0</v>
      </c>
      <c r="E20934" s="1">
        <v>0</v>
      </c>
      <c r="F20934" s="1">
        <v>3.7176103200862398E-5</v>
      </c>
    </row>
    <row r="20935" spans="1:6" x14ac:dyDescent="0.25">
      <c r="A20935" s="2" t="str">
        <f t="shared" si="739"/>
        <v>34020</v>
      </c>
      <c r="B20935" s="2" t="str">
        <f>"70340"</f>
        <v>70340</v>
      </c>
      <c r="C20935" s="1">
        <v>0</v>
      </c>
      <c r="D20935" s="1">
        <v>3.6576444769568302E-4</v>
      </c>
      <c r="E20935" s="1">
        <v>1.3717421124828501E-3</v>
      </c>
      <c r="F20935" s="1">
        <v>7.4352206401724904E-5</v>
      </c>
    </row>
    <row r="20936" spans="1:6" x14ac:dyDescent="0.25">
      <c r="A20936" s="2" t="str">
        <f t="shared" si="739"/>
        <v>34020</v>
      </c>
      <c r="B20936" s="2" t="str">
        <f>"70392"</f>
        <v>70392</v>
      </c>
      <c r="C20936" s="1">
        <v>0.116956818569721</v>
      </c>
      <c r="D20936" s="1">
        <v>4.5354791514264803E-2</v>
      </c>
      <c r="E20936" s="1">
        <v>0.13717421124828499</v>
      </c>
      <c r="F20936" s="1">
        <v>0.110227145990557</v>
      </c>
    </row>
    <row r="20937" spans="1:6" x14ac:dyDescent="0.25">
      <c r="A20937" s="2" t="str">
        <f t="shared" si="739"/>
        <v>34020</v>
      </c>
      <c r="B20937" s="2" t="str">
        <f>"70540"</f>
        <v>70540</v>
      </c>
      <c r="C20937" s="1">
        <v>0</v>
      </c>
      <c r="D20937" s="1">
        <v>0</v>
      </c>
      <c r="E20937" s="1">
        <v>1.3717421124828501E-3</v>
      </c>
      <c r="F20937" s="1">
        <v>3.7176103200862398E-5</v>
      </c>
    </row>
    <row r="20938" spans="1:6" x14ac:dyDescent="0.25">
      <c r="A20938" s="2" t="str">
        <f t="shared" si="739"/>
        <v>34020</v>
      </c>
      <c r="B20938" s="2" t="str">
        <f>"70538"</f>
        <v>70538</v>
      </c>
      <c r="C20938" s="1">
        <v>0.252090800477897</v>
      </c>
      <c r="D20938" s="1">
        <v>0.22201901975127999</v>
      </c>
      <c r="E20938" s="1">
        <v>0.23045267489711899</v>
      </c>
      <c r="F20938" s="1">
        <v>0.248447897691363</v>
      </c>
    </row>
    <row r="20939" spans="1:6" x14ac:dyDescent="0.25">
      <c r="A20939" s="2" t="str">
        <f t="shared" si="739"/>
        <v>34020</v>
      </c>
      <c r="B20939" s="2" t="str">
        <f>"70522"</f>
        <v>70522</v>
      </c>
      <c r="C20939" s="1">
        <v>0</v>
      </c>
      <c r="D20939" s="1">
        <v>0</v>
      </c>
      <c r="E20939" s="1">
        <v>1.3717421124828501E-3</v>
      </c>
      <c r="F20939" s="1">
        <v>3.7176103200862398E-5</v>
      </c>
    </row>
    <row r="20940" spans="1:6" x14ac:dyDescent="0.25">
      <c r="A20940" s="2" t="str">
        <f t="shared" si="739"/>
        <v>34020</v>
      </c>
      <c r="B20940" s="2" t="str">
        <f>"70514"</f>
        <v>70514</v>
      </c>
      <c r="C20940" s="1">
        <v>6.2724014336917504E-3</v>
      </c>
      <c r="D20940" s="1">
        <v>2.5603511338697801E-3</v>
      </c>
      <c r="E20940" s="1">
        <v>1.3717421124828501E-3</v>
      </c>
      <c r="F20940" s="1">
        <v>5.7622959961336796E-3</v>
      </c>
    </row>
    <row r="20941" spans="1:6" x14ac:dyDescent="0.25">
      <c r="A20941" s="2" t="str">
        <f t="shared" si="739"/>
        <v>34020</v>
      </c>
      <c r="B20941" s="2" t="str">
        <f>"70342"</f>
        <v>70342</v>
      </c>
      <c r="C20941" s="1">
        <v>0.122290493258235</v>
      </c>
      <c r="D20941" s="1">
        <v>7.4250182882223806E-2</v>
      </c>
      <c r="E20941" s="1">
        <v>0.120713305898491</v>
      </c>
      <c r="F20941" s="1">
        <v>0.117364957805122</v>
      </c>
    </row>
    <row r="20942" spans="1:6" x14ac:dyDescent="0.25">
      <c r="A20942" s="2" t="str">
        <f t="shared" si="739"/>
        <v>34020</v>
      </c>
      <c r="B20942" s="2" t="str">
        <f>"70544"</f>
        <v>70544</v>
      </c>
      <c r="C20942" s="1">
        <v>5.1032599419696102E-2</v>
      </c>
      <c r="D20942" s="1">
        <v>1.4264813460131601E-2</v>
      </c>
      <c r="E20942" s="1">
        <v>4.25240054869684E-2</v>
      </c>
      <c r="F20942" s="1">
        <v>4.7064946652291897E-2</v>
      </c>
    </row>
    <row r="20943" spans="1:6" x14ac:dyDescent="0.25">
      <c r="A20943" s="2" t="str">
        <f t="shared" si="739"/>
        <v>34020</v>
      </c>
      <c r="B20943" s="2" t="str">
        <f>"70381"</f>
        <v>70381</v>
      </c>
      <c r="C20943" s="1">
        <v>8.2223928998122503E-2</v>
      </c>
      <c r="D20943" s="1">
        <v>0.18434528163862399</v>
      </c>
      <c r="E20943" s="1">
        <v>5.4869684499314099E-3</v>
      </c>
      <c r="F20943" s="1">
        <v>9.0523811294100101E-2</v>
      </c>
    </row>
    <row r="20944" spans="1:6" x14ac:dyDescent="0.25">
      <c r="A20944" s="2" t="str">
        <f t="shared" si="739"/>
        <v>34020</v>
      </c>
      <c r="B20944" s="2" t="str">
        <f>"70380"</f>
        <v>70380</v>
      </c>
      <c r="C20944" s="1">
        <v>0.36909028844512698</v>
      </c>
      <c r="D20944" s="1">
        <v>0.45683979517190898</v>
      </c>
      <c r="E20944" s="1">
        <v>0.45816186556927202</v>
      </c>
      <c r="F20944" s="1">
        <v>0.380423064054425</v>
      </c>
    </row>
    <row r="20945" spans="1:6" x14ac:dyDescent="0.25">
      <c r="A20945" s="2" t="str">
        <f t="shared" ref="A20945:A20965" si="740">"25460"</f>
        <v>25460</v>
      </c>
      <c r="B20945" s="2" t="str">
        <f>"72683"</f>
        <v>72683</v>
      </c>
      <c r="C20945" s="1">
        <v>4.2118399500818901E-3</v>
      </c>
      <c r="D20945" s="1">
        <v>4.516711833785E-4</v>
      </c>
      <c r="E20945" s="1">
        <v>2.59740259740259E-3</v>
      </c>
      <c r="F20945" s="1">
        <v>3.89504620941184E-3</v>
      </c>
    </row>
    <row r="20946" spans="1:6" x14ac:dyDescent="0.25">
      <c r="A20946" s="2" t="str">
        <f t="shared" si="740"/>
        <v>25460</v>
      </c>
      <c r="B20946" s="2" t="str">
        <f>"72648"</f>
        <v>72648</v>
      </c>
      <c r="C20946" s="1">
        <v>1.48194368613992E-2</v>
      </c>
      <c r="D20946" s="1">
        <v>5.4200542005420002E-3</v>
      </c>
      <c r="E20946" s="1">
        <v>2.59740259740259E-3</v>
      </c>
      <c r="F20946" s="1">
        <v>1.3915937820898601E-2</v>
      </c>
    </row>
    <row r="20947" spans="1:6" x14ac:dyDescent="0.25">
      <c r="A20947" s="2" t="str">
        <f t="shared" si="740"/>
        <v>25460</v>
      </c>
      <c r="B20947" s="2" t="str">
        <f>"72602"</f>
        <v>72602</v>
      </c>
      <c r="C20947" s="1">
        <v>7.7919039076514998E-2</v>
      </c>
      <c r="D20947" s="1">
        <v>0.211382113821138</v>
      </c>
      <c r="E20947" s="1">
        <v>5.1948051948051896E-3</v>
      </c>
      <c r="F20947" s="1">
        <v>8.7390673134804003E-2</v>
      </c>
    </row>
    <row r="20948" spans="1:6" x14ac:dyDescent="0.25">
      <c r="A20948" s="2" t="str">
        <f t="shared" si="740"/>
        <v>25460</v>
      </c>
      <c r="B20948" s="2" t="str">
        <f>"72601"</f>
        <v>72601</v>
      </c>
      <c r="C20948" s="1">
        <v>0.577178067233445</v>
      </c>
      <c r="D20948" s="1">
        <v>0.69150858175248398</v>
      </c>
      <c r="E20948" s="1">
        <v>0.92467532467532398</v>
      </c>
      <c r="F20948" s="1">
        <v>0.59087850996777702</v>
      </c>
    </row>
    <row r="20949" spans="1:6" x14ac:dyDescent="0.25">
      <c r="A20949" s="2" t="str">
        <f t="shared" si="740"/>
        <v>25460</v>
      </c>
      <c r="B20949" s="2" t="str">
        <f>"72655"</f>
        <v>72655</v>
      </c>
      <c r="C20949" s="1">
        <v>1.9460260510100601E-2</v>
      </c>
      <c r="D20949" s="1">
        <v>0</v>
      </c>
      <c r="E20949" s="1">
        <v>2.59740259740259E-3</v>
      </c>
      <c r="F20949" s="1">
        <v>1.7704755497326499E-2</v>
      </c>
    </row>
    <row r="20950" spans="1:6" x14ac:dyDescent="0.25">
      <c r="A20950" s="2" t="str">
        <f t="shared" si="740"/>
        <v>25460</v>
      </c>
      <c r="B20950" s="2" t="str">
        <f>"72628"</f>
        <v>72628</v>
      </c>
      <c r="C20950" s="1">
        <v>1.6652367210045999E-2</v>
      </c>
      <c r="D20950" s="1">
        <v>3.1616982836494998E-3</v>
      </c>
      <c r="E20950" s="1">
        <v>2.59740259740259E-3</v>
      </c>
      <c r="F20950" s="1">
        <v>1.54031372826741E-2</v>
      </c>
    </row>
    <row r="20951" spans="1:6" x14ac:dyDescent="0.25">
      <c r="A20951" s="2" t="str">
        <f t="shared" si="740"/>
        <v>25460</v>
      </c>
      <c r="B20951" s="2" t="str">
        <f>"72611"</f>
        <v>72611</v>
      </c>
      <c r="C20951" s="1">
        <v>1.45854457530613E-2</v>
      </c>
      <c r="D20951" s="1">
        <v>8.5817524841914992E-3</v>
      </c>
      <c r="E20951" s="1">
        <v>2.59740259740259E-3</v>
      </c>
      <c r="F20951" s="1">
        <v>1.39513473318933E-2</v>
      </c>
    </row>
    <row r="20952" spans="1:6" x14ac:dyDescent="0.25">
      <c r="A20952" s="2" t="str">
        <f t="shared" si="740"/>
        <v>25460</v>
      </c>
      <c r="B20952" s="2" t="str">
        <f>"72685"</f>
        <v>72685</v>
      </c>
      <c r="C20952" s="1">
        <v>3.7711566960455502E-2</v>
      </c>
      <c r="D20952" s="1">
        <v>2.0325203252032499E-2</v>
      </c>
      <c r="E20952" s="1">
        <v>1.0389610389610299E-2</v>
      </c>
      <c r="F20952" s="1">
        <v>3.5976063170567597E-2</v>
      </c>
    </row>
    <row r="20953" spans="1:6" x14ac:dyDescent="0.25">
      <c r="A20953" s="2" t="str">
        <f t="shared" si="740"/>
        <v>25460</v>
      </c>
      <c r="B20953" s="2" t="str">
        <f>"72643"</f>
        <v>72643</v>
      </c>
      <c r="C20953" s="1">
        <v>2.7298962639419699E-4</v>
      </c>
      <c r="D20953" s="1">
        <v>0</v>
      </c>
      <c r="E20953" s="1">
        <v>0</v>
      </c>
      <c r="F20953" s="1">
        <v>2.4786657696257203E-4</v>
      </c>
    </row>
    <row r="20954" spans="1:6" x14ac:dyDescent="0.25">
      <c r="A20954" s="2" t="str">
        <f t="shared" si="740"/>
        <v>25460</v>
      </c>
      <c r="B20954" s="2" t="str">
        <f>"72641"</f>
        <v>72641</v>
      </c>
      <c r="C20954" s="1">
        <v>4.1962405428593703E-2</v>
      </c>
      <c r="D20954" s="1">
        <v>1.4001806684733499E-2</v>
      </c>
      <c r="E20954" s="1">
        <v>5.1948051948051896E-3</v>
      </c>
      <c r="F20954" s="1">
        <v>3.92691476930703E-2</v>
      </c>
    </row>
    <row r="20955" spans="1:6" x14ac:dyDescent="0.25">
      <c r="A20955" s="2" t="str">
        <f t="shared" si="740"/>
        <v>25460</v>
      </c>
      <c r="B20955" s="2" t="str">
        <f>"72666"</f>
        <v>72666</v>
      </c>
      <c r="C20955" s="1">
        <v>1.1192574682162001E-2</v>
      </c>
      <c r="D20955" s="1">
        <v>9.03342366757E-4</v>
      </c>
      <c r="E20955" s="1">
        <v>5.1948051948051896E-3</v>
      </c>
      <c r="F20955" s="1">
        <v>1.0304167699444E-2</v>
      </c>
    </row>
    <row r="20956" spans="1:6" x14ac:dyDescent="0.25">
      <c r="A20956" s="2" t="str">
        <f t="shared" si="740"/>
        <v>25460</v>
      </c>
      <c r="B20956" s="2" t="str">
        <f>"72638"</f>
        <v>72638</v>
      </c>
      <c r="C20956" s="1">
        <v>3.8998518056313798E-4</v>
      </c>
      <c r="D20956" s="1">
        <v>4.516711833785E-4</v>
      </c>
      <c r="E20956" s="1">
        <v>0</v>
      </c>
      <c r="F20956" s="1">
        <v>3.8950462094118399E-4</v>
      </c>
    </row>
    <row r="20957" spans="1:6" x14ac:dyDescent="0.25">
      <c r="A20957" s="2" t="str">
        <f t="shared" si="740"/>
        <v>25460</v>
      </c>
      <c r="B20957" s="2" t="str">
        <f>"72633"</f>
        <v>72633</v>
      </c>
      <c r="C20957" s="1">
        <v>1.9694251618438401E-2</v>
      </c>
      <c r="D20957" s="1">
        <v>2.7100271002710001E-3</v>
      </c>
      <c r="E20957" s="1">
        <v>0</v>
      </c>
      <c r="F20957" s="1">
        <v>1.8094260118267699E-2</v>
      </c>
    </row>
    <row r="20958" spans="1:6" x14ac:dyDescent="0.25">
      <c r="A20958" s="2" t="str">
        <f t="shared" si="740"/>
        <v>25460</v>
      </c>
      <c r="B20958" s="2" t="str">
        <f>"72615"</f>
        <v>72615</v>
      </c>
      <c r="C20958" s="1">
        <v>0</v>
      </c>
      <c r="D20958" s="1">
        <v>0</v>
      </c>
      <c r="E20958" s="1">
        <v>2.59740259740259E-3</v>
      </c>
      <c r="F20958" s="1">
        <v>3.5409510994653098E-5</v>
      </c>
    </row>
    <row r="20959" spans="1:6" x14ac:dyDescent="0.25">
      <c r="A20959" s="2" t="str">
        <f t="shared" si="740"/>
        <v>25460</v>
      </c>
      <c r="B20959" s="2" t="str">
        <f>"72624"</f>
        <v>72624</v>
      </c>
      <c r="C20959" s="1">
        <v>1.6535371655876999E-2</v>
      </c>
      <c r="D20959" s="1">
        <v>2.2583559168924999E-3</v>
      </c>
      <c r="E20959" s="1">
        <v>0</v>
      </c>
      <c r="F20959" s="1">
        <v>1.51906802167062E-2</v>
      </c>
    </row>
    <row r="20960" spans="1:6" x14ac:dyDescent="0.25">
      <c r="A20960" s="2" t="str">
        <f t="shared" si="740"/>
        <v>25460</v>
      </c>
      <c r="B20960" s="2" t="str">
        <f>"72670"</f>
        <v>72670</v>
      </c>
      <c r="C20960" s="1">
        <v>4.5628266125887201E-3</v>
      </c>
      <c r="D20960" s="1">
        <v>3.613369467028E-3</v>
      </c>
      <c r="E20960" s="1">
        <v>2.59740259740259E-3</v>
      </c>
      <c r="F20960" s="1">
        <v>4.4615983853262898E-3</v>
      </c>
    </row>
    <row r="20961" spans="1:6" x14ac:dyDescent="0.25">
      <c r="A20961" s="2" t="str">
        <f t="shared" si="740"/>
        <v>25460</v>
      </c>
      <c r="B20961" s="2" t="str">
        <f>"72640"</f>
        <v>72640</v>
      </c>
      <c r="C20961" s="1">
        <v>1.44294516808361E-2</v>
      </c>
      <c r="D20961" s="1">
        <v>0</v>
      </c>
      <c r="E20961" s="1">
        <v>2.59740259740259E-3</v>
      </c>
      <c r="F20961" s="1">
        <v>1.3136928579016299E-2</v>
      </c>
    </row>
    <row r="20962" spans="1:6" x14ac:dyDescent="0.25">
      <c r="A20962" s="2" t="str">
        <f t="shared" si="740"/>
        <v>25460</v>
      </c>
      <c r="B20962" s="2" t="str">
        <f>"72682"</f>
        <v>72682</v>
      </c>
      <c r="C20962" s="1">
        <v>1.16995554168941E-4</v>
      </c>
      <c r="D20962" s="1">
        <v>0</v>
      </c>
      <c r="E20962" s="1">
        <v>2.59740259740259E-3</v>
      </c>
      <c r="F20962" s="1">
        <v>1.4163804397861201E-4</v>
      </c>
    </row>
    <row r="20963" spans="1:6" x14ac:dyDescent="0.25">
      <c r="A20963" s="2" t="str">
        <f t="shared" si="740"/>
        <v>25460</v>
      </c>
      <c r="B20963" s="2" t="str">
        <f>"72644"</f>
        <v>72644</v>
      </c>
      <c r="C20963" s="1">
        <v>4.8709149052335997E-2</v>
      </c>
      <c r="D20963" s="1">
        <v>1.3550135501355001E-2</v>
      </c>
      <c r="E20963" s="1">
        <v>1.8181818181818101E-2</v>
      </c>
      <c r="F20963" s="1">
        <v>4.5536631139123901E-2</v>
      </c>
    </row>
    <row r="20964" spans="1:6" x14ac:dyDescent="0.25">
      <c r="A20964" s="2" t="str">
        <f t="shared" si="740"/>
        <v>25460</v>
      </c>
      <c r="B20964" s="2" t="str">
        <f>"72687"</f>
        <v>72687</v>
      </c>
      <c r="C20964" s="1">
        <v>1.16995554168941E-4</v>
      </c>
      <c r="D20964" s="1">
        <v>0</v>
      </c>
      <c r="E20964" s="1">
        <v>0</v>
      </c>
      <c r="F20964" s="1">
        <v>1.06228532983959E-4</v>
      </c>
    </row>
    <row r="20965" spans="1:6" x14ac:dyDescent="0.25">
      <c r="A20965" s="2" t="str">
        <f t="shared" si="740"/>
        <v>25460</v>
      </c>
      <c r="B20965" s="2" t="str">
        <f>"72662"</f>
        <v>72662</v>
      </c>
      <c r="C20965" s="1">
        <v>7.9478979798767599E-2</v>
      </c>
      <c r="D20965" s="1">
        <v>2.1680216802168001E-2</v>
      </c>
      <c r="E20965" s="1">
        <v>7.7922077922077896E-3</v>
      </c>
      <c r="F20965" s="1">
        <v>7.3970468467830397E-2</v>
      </c>
    </row>
    <row r="20966" spans="1:6" x14ac:dyDescent="0.25">
      <c r="A20966" s="2" t="str">
        <f t="shared" ref="A20966:A20997" si="741">"22220"</f>
        <v>22220</v>
      </c>
      <c r="B20966" s="2" t="str">
        <f>"72959"</f>
        <v>72959</v>
      </c>
      <c r="C20966" s="1">
        <v>5.3244497594032002E-3</v>
      </c>
      <c r="D20966" s="1">
        <v>5.9760105860758896E-4</v>
      </c>
      <c r="E20966" s="1">
        <v>1.5661707126076699E-4</v>
      </c>
      <c r="F20966" s="1">
        <v>4.8030356346065199E-3</v>
      </c>
    </row>
    <row r="20967" spans="1:6" x14ac:dyDescent="0.25">
      <c r="A20967" s="2" t="str">
        <f t="shared" si="741"/>
        <v>22220</v>
      </c>
      <c r="B20967" s="2" t="str">
        <f>"72715"</f>
        <v>72715</v>
      </c>
      <c r="C20967" s="1">
        <v>3.5375660471756797E-2</v>
      </c>
      <c r="D20967" s="1">
        <v>7.5980706022964898E-3</v>
      </c>
      <c r="E20967" s="1">
        <v>1.5661707126076699E-3</v>
      </c>
      <c r="F20967" s="1">
        <v>3.2231851671811897E-2</v>
      </c>
    </row>
    <row r="20968" spans="1:6" x14ac:dyDescent="0.25">
      <c r="A20968" s="2" t="str">
        <f t="shared" si="741"/>
        <v>22220</v>
      </c>
      <c r="B20968" s="2" t="str">
        <f>"72762"</f>
        <v>72762</v>
      </c>
      <c r="C20968" s="1">
        <v>6.8912779086179599E-2</v>
      </c>
      <c r="D20968" s="1">
        <v>6.5010458018525605E-2</v>
      </c>
      <c r="E20968" s="1">
        <v>9.2560689115113504E-2</v>
      </c>
      <c r="F20968" s="1">
        <v>6.9128887502312594E-2</v>
      </c>
    </row>
    <row r="20969" spans="1:6" x14ac:dyDescent="0.25">
      <c r="A20969" s="2" t="str">
        <f t="shared" si="741"/>
        <v>22220</v>
      </c>
      <c r="B20969" s="2" t="str">
        <f>"72758"</f>
        <v>72758</v>
      </c>
      <c r="C20969" s="1">
        <v>7.2105821913629201E-2</v>
      </c>
      <c r="D20969" s="1">
        <v>6.3815255901310403E-2</v>
      </c>
      <c r="E20969" s="1">
        <v>4.3539545810493303E-2</v>
      </c>
      <c r="F20969" s="1">
        <v>7.07395731682985E-2</v>
      </c>
    </row>
    <row r="20970" spans="1:6" x14ac:dyDescent="0.25">
      <c r="A20970" s="2" t="str">
        <f t="shared" si="741"/>
        <v>22220</v>
      </c>
      <c r="B20970" s="2" t="str">
        <f>"72768"</f>
        <v>72768</v>
      </c>
      <c r="C20970" s="1">
        <v>2.46088014090064E-3</v>
      </c>
      <c r="D20970" s="1">
        <v>3.4148631920433598E-4</v>
      </c>
      <c r="E20970" s="1">
        <v>3.1323414252153398E-4</v>
      </c>
      <c r="F20970" s="1">
        <v>2.2310173076155598E-3</v>
      </c>
    </row>
    <row r="20971" spans="1:6" x14ac:dyDescent="0.25">
      <c r="A20971" s="2" t="str">
        <f t="shared" si="741"/>
        <v>22220</v>
      </c>
      <c r="B20971" s="2" t="str">
        <f>"72764"</f>
        <v>72764</v>
      </c>
      <c r="C20971" s="1">
        <v>8.5362034110645996E-2</v>
      </c>
      <c r="D20971" s="1">
        <v>0.103897212617919</v>
      </c>
      <c r="E20971" s="1">
        <v>0.150822239624119</v>
      </c>
      <c r="F20971" s="1">
        <v>8.8453487823724197E-2</v>
      </c>
    </row>
    <row r="20972" spans="1:6" x14ac:dyDescent="0.25">
      <c r="A20972" s="2" t="str">
        <f t="shared" si="741"/>
        <v>22220</v>
      </c>
      <c r="B20972" s="2" t="str">
        <f>"72739"</f>
        <v>72739</v>
      </c>
      <c r="C20972" s="1">
        <v>9.1113578770536099E-4</v>
      </c>
      <c r="D20972" s="1">
        <v>2.34771844452981E-3</v>
      </c>
      <c r="E20972" s="1">
        <v>6.2646828504306904E-4</v>
      </c>
      <c r="F20972" s="1">
        <v>1.02663072854505E-3</v>
      </c>
    </row>
    <row r="20973" spans="1:6" x14ac:dyDescent="0.25">
      <c r="A20973" s="2" t="str">
        <f t="shared" si="741"/>
        <v>22220</v>
      </c>
      <c r="B20973" s="2" t="str">
        <f>"72756"</f>
        <v>72756</v>
      </c>
      <c r="C20973" s="1">
        <v>7.4668391316550495E-2</v>
      </c>
      <c r="D20973" s="1">
        <v>8.6950954027404201E-2</v>
      </c>
      <c r="E20973" s="1">
        <v>5.6538762725136998E-2</v>
      </c>
      <c r="F20973" s="1">
        <v>7.5292299544001795E-2</v>
      </c>
    </row>
    <row r="20974" spans="1:6" x14ac:dyDescent="0.25">
      <c r="A20974" s="2" t="str">
        <f t="shared" si="741"/>
        <v>22220</v>
      </c>
      <c r="B20974" s="2" t="str">
        <f>"72632"</f>
        <v>72632</v>
      </c>
      <c r="C20974" s="1">
        <v>5.2878416250757499E-5</v>
      </c>
      <c r="D20974" s="1">
        <v>0</v>
      </c>
      <c r="E20974" s="1">
        <v>0</v>
      </c>
      <c r="F20974" s="1">
        <v>4.7159715445532299E-5</v>
      </c>
    </row>
    <row r="20975" spans="1:6" x14ac:dyDescent="0.25">
      <c r="A20975" s="2" t="str">
        <f t="shared" si="741"/>
        <v>22220</v>
      </c>
      <c r="B20975" s="2" t="str">
        <f>"72735"</f>
        <v>72735</v>
      </c>
      <c r="C20975" s="1">
        <v>4.0675704808274998E-6</v>
      </c>
      <c r="D20975" s="1">
        <v>0</v>
      </c>
      <c r="E20975" s="1">
        <v>1.5661707126076699E-4</v>
      </c>
      <c r="F20975" s="1">
        <v>7.2553408377741996E-6</v>
      </c>
    </row>
    <row r="20976" spans="1:6" x14ac:dyDescent="0.25">
      <c r="A20976" s="2" t="str">
        <f t="shared" si="741"/>
        <v>22220</v>
      </c>
      <c r="B20976" s="2" t="str">
        <f>"72733"</f>
        <v>72733</v>
      </c>
      <c r="C20976" s="1">
        <v>0</v>
      </c>
      <c r="D20976" s="1">
        <v>0</v>
      </c>
      <c r="E20976" s="1">
        <v>1.5661707126076699E-4</v>
      </c>
      <c r="F20976" s="1">
        <v>3.6276704188870998E-6</v>
      </c>
    </row>
    <row r="20977" spans="1:6" x14ac:dyDescent="0.25">
      <c r="A20977" s="2" t="str">
        <f t="shared" si="741"/>
        <v>22220</v>
      </c>
      <c r="B20977" s="2" t="str">
        <f>"72734"</f>
        <v>72734</v>
      </c>
      <c r="C20977" s="1">
        <v>1.19708599250753E-2</v>
      </c>
      <c r="D20977" s="1">
        <v>4.6954368890596296E-3</v>
      </c>
      <c r="E20977" s="1">
        <v>1.8794048551292E-3</v>
      </c>
      <c r="F20977" s="1">
        <v>1.1118809833888899E-2</v>
      </c>
    </row>
    <row r="20978" spans="1:6" x14ac:dyDescent="0.25">
      <c r="A20978" s="2" t="str">
        <f t="shared" si="741"/>
        <v>22220</v>
      </c>
      <c r="B20978" s="2" t="str">
        <f>"72713"</f>
        <v>72713</v>
      </c>
      <c r="C20978" s="1">
        <v>4.0630961532985899E-2</v>
      </c>
      <c r="D20978" s="1">
        <v>7.5980706022964898E-3</v>
      </c>
      <c r="E20978" s="1">
        <v>4.5105716523100997E-2</v>
      </c>
      <c r="F20978" s="1">
        <v>3.79272942294646E-2</v>
      </c>
    </row>
    <row r="20979" spans="1:6" x14ac:dyDescent="0.25">
      <c r="A20979" s="2" t="str">
        <f t="shared" si="741"/>
        <v>22220</v>
      </c>
      <c r="B20979" s="2" t="str">
        <f>"72749"</f>
        <v>72749</v>
      </c>
      <c r="C20979" s="1">
        <v>9.3554121059032596E-5</v>
      </c>
      <c r="D20979" s="1">
        <v>4.2685789900542099E-5</v>
      </c>
      <c r="E20979" s="1">
        <v>1.5661707126076699E-4</v>
      </c>
      <c r="F20979" s="1">
        <v>9.0691760472177502E-5</v>
      </c>
    </row>
    <row r="20980" spans="1:6" x14ac:dyDescent="0.25">
      <c r="A20980" s="2" t="str">
        <f t="shared" si="741"/>
        <v>22220</v>
      </c>
      <c r="B20980" s="2" t="str">
        <f>"72741"</f>
        <v>72741</v>
      </c>
      <c r="C20980" s="1">
        <v>7.68770820876398E-4</v>
      </c>
      <c r="D20980" s="1">
        <v>1.15251632731463E-3</v>
      </c>
      <c r="E20980" s="1">
        <v>3.1323414252153398E-4</v>
      </c>
      <c r="F20980" s="1">
        <v>7.9083215131738797E-4</v>
      </c>
    </row>
    <row r="20981" spans="1:6" x14ac:dyDescent="0.25">
      <c r="A20981" s="2" t="str">
        <f t="shared" si="741"/>
        <v>22220</v>
      </c>
      <c r="B20981" s="2" t="str">
        <f>"72852"</f>
        <v>72852</v>
      </c>
      <c r="C20981" s="1">
        <v>2.0337852404137501E-5</v>
      </c>
      <c r="D20981" s="1">
        <v>0</v>
      </c>
      <c r="E20981" s="1">
        <v>0</v>
      </c>
      <c r="F20981" s="1">
        <v>1.8138352094435501E-5</v>
      </c>
    </row>
    <row r="20982" spans="1:6" x14ac:dyDescent="0.25">
      <c r="A20982" s="2" t="str">
        <f t="shared" si="741"/>
        <v>22220</v>
      </c>
      <c r="B20982" s="2" t="str">
        <f>"72712"</f>
        <v>72712</v>
      </c>
      <c r="C20982" s="1">
        <v>7.1621781026410702E-2</v>
      </c>
      <c r="D20982" s="1">
        <v>0.16860887010714101</v>
      </c>
      <c r="E20982" s="1">
        <v>0.133124510571652</v>
      </c>
      <c r="F20982" s="1">
        <v>8.1288838746422204E-2</v>
      </c>
    </row>
    <row r="20983" spans="1:6" x14ac:dyDescent="0.25">
      <c r="A20983" s="2" t="str">
        <f t="shared" si="741"/>
        <v>22220</v>
      </c>
      <c r="B20983" s="2" t="str">
        <f>"72760"</f>
        <v>72760</v>
      </c>
      <c r="C20983" s="1">
        <v>4.4743275289102502E-4</v>
      </c>
      <c r="D20983" s="1">
        <v>1.7074315960216799E-4</v>
      </c>
      <c r="E20983" s="1">
        <v>3.1323414252153398E-4</v>
      </c>
      <c r="F20983" s="1">
        <v>4.2080976859090301E-4</v>
      </c>
    </row>
    <row r="20984" spans="1:6" x14ac:dyDescent="0.25">
      <c r="A20984" s="2" t="str">
        <f t="shared" si="741"/>
        <v>22220</v>
      </c>
      <c r="B20984" s="2" t="str">
        <f>"72765"</f>
        <v>72765</v>
      </c>
      <c r="C20984" s="1">
        <v>5.5237607129637496E-3</v>
      </c>
      <c r="D20984" s="1">
        <v>1.2634993810560401E-2</v>
      </c>
      <c r="E20984" s="1">
        <v>3.1323414252153398E-4</v>
      </c>
      <c r="F20984" s="1">
        <v>6.0074222136770397E-3</v>
      </c>
    </row>
    <row r="20985" spans="1:6" x14ac:dyDescent="0.25">
      <c r="A20985" s="2" t="str">
        <f t="shared" si="741"/>
        <v>22220</v>
      </c>
      <c r="B20985" s="2" t="str">
        <f>"72948"</f>
        <v>72948</v>
      </c>
      <c r="C20985" s="1">
        <v>2.84729933657925E-5</v>
      </c>
      <c r="D20985" s="1">
        <v>0</v>
      </c>
      <c r="E20985" s="1">
        <v>0</v>
      </c>
      <c r="F20985" s="1">
        <v>2.5393692932209701E-5</v>
      </c>
    </row>
    <row r="20986" spans="1:6" x14ac:dyDescent="0.25">
      <c r="A20986" s="2" t="str">
        <f t="shared" si="741"/>
        <v>22220</v>
      </c>
      <c r="B20986" s="2" t="str">
        <f>"72716"</f>
        <v>72716</v>
      </c>
      <c r="C20986" s="1">
        <v>0</v>
      </c>
      <c r="D20986" s="1">
        <v>8.5371579801084198E-5</v>
      </c>
      <c r="E20986" s="1">
        <v>0</v>
      </c>
      <c r="F20986" s="1">
        <v>7.2553408377741996E-6</v>
      </c>
    </row>
    <row r="20987" spans="1:6" x14ac:dyDescent="0.25">
      <c r="A20987" s="2" t="str">
        <f t="shared" si="741"/>
        <v>22220</v>
      </c>
      <c r="B20987" s="2" t="str">
        <f>"72717"</f>
        <v>72717</v>
      </c>
      <c r="C20987" s="1">
        <v>1.89142027358479E-3</v>
      </c>
      <c r="D20987" s="1">
        <v>1.28057369701626E-4</v>
      </c>
      <c r="E20987" s="1">
        <v>1.5661707126076699E-4</v>
      </c>
      <c r="F20987" s="1">
        <v>1.7013774264580501E-3</v>
      </c>
    </row>
    <row r="20988" spans="1:6" x14ac:dyDescent="0.25">
      <c r="A20988" s="2" t="str">
        <f t="shared" si="741"/>
        <v>22220</v>
      </c>
      <c r="B20988" s="2" t="str">
        <f>"72757"</f>
        <v>72757</v>
      </c>
      <c r="C20988" s="1">
        <v>6.67895072951876E-3</v>
      </c>
      <c r="D20988" s="1">
        <v>2.3007640756392101E-2</v>
      </c>
      <c r="E20988" s="1">
        <v>3.1323414252153398E-4</v>
      </c>
      <c r="F20988" s="1">
        <v>7.9192045244305398E-3</v>
      </c>
    </row>
    <row r="20989" spans="1:6" x14ac:dyDescent="0.25">
      <c r="A20989" s="2" t="str">
        <f t="shared" si="741"/>
        <v>22220</v>
      </c>
      <c r="B20989" s="2" t="str">
        <f>"72773"</f>
        <v>72773</v>
      </c>
      <c r="C20989" s="1">
        <v>3.4126916334142701E-3</v>
      </c>
      <c r="D20989" s="1">
        <v>2.1342894950271001E-4</v>
      </c>
      <c r="E20989" s="1">
        <v>3.1323414252153398E-4</v>
      </c>
      <c r="F20989" s="1">
        <v>3.0690091743784801E-3</v>
      </c>
    </row>
    <row r="20990" spans="1:6" x14ac:dyDescent="0.25">
      <c r="A20990" s="2" t="str">
        <f t="shared" si="741"/>
        <v>22220</v>
      </c>
      <c r="B20990" s="2" t="str">
        <f>"72766"</f>
        <v>72766</v>
      </c>
      <c r="C20990" s="1">
        <v>6.33320723864842E-3</v>
      </c>
      <c r="D20990" s="1">
        <v>1.5879113843001599E-2</v>
      </c>
      <c r="E20990" s="1">
        <v>3.1323414252153398E-4</v>
      </c>
      <c r="F20990" s="1">
        <v>7.0050315788709903E-3</v>
      </c>
    </row>
    <row r="20991" spans="1:6" x14ac:dyDescent="0.25">
      <c r="A20991" s="2" t="str">
        <f t="shared" si="741"/>
        <v>22220</v>
      </c>
      <c r="B20991" s="2" t="str">
        <f>"72745"</f>
        <v>72745</v>
      </c>
      <c r="C20991" s="1">
        <v>2.70005328517329E-2</v>
      </c>
      <c r="D20991" s="1">
        <v>3.9484355658001402E-2</v>
      </c>
      <c r="E20991" s="1">
        <v>1.8010963194988201E-2</v>
      </c>
      <c r="F20991" s="1">
        <v>2.78532534762151E-2</v>
      </c>
    </row>
    <row r="20992" spans="1:6" x14ac:dyDescent="0.25">
      <c r="A20992" s="2" t="str">
        <f t="shared" si="741"/>
        <v>22220</v>
      </c>
      <c r="B20992" s="2" t="str">
        <f>"72719"</f>
        <v>72719</v>
      </c>
      <c r="C20992" s="1">
        <v>2.8131317445402999E-2</v>
      </c>
      <c r="D20992" s="1">
        <v>1.12690485337431E-2</v>
      </c>
      <c r="E20992" s="1">
        <v>2.5058731401722701E-3</v>
      </c>
      <c r="F20992" s="1">
        <v>2.6104716334311499E-2</v>
      </c>
    </row>
    <row r="20993" spans="1:6" x14ac:dyDescent="0.25">
      <c r="A20993" s="2" t="str">
        <f t="shared" si="741"/>
        <v>22220</v>
      </c>
      <c r="B20993" s="2" t="str">
        <f>"72702"</f>
        <v>72702</v>
      </c>
      <c r="C20993" s="1">
        <v>8.5663034326227197E-3</v>
      </c>
      <c r="D20993" s="1">
        <v>3.0733768728390301E-2</v>
      </c>
      <c r="E20993" s="1">
        <v>3.1323414252153398E-4</v>
      </c>
      <c r="F20993" s="1">
        <v>1.02590519446127E-2</v>
      </c>
    </row>
    <row r="20994" spans="1:6" x14ac:dyDescent="0.25">
      <c r="A20994" s="2" t="str">
        <f t="shared" si="741"/>
        <v>22220</v>
      </c>
      <c r="B20994" s="2" t="str">
        <f>"72701"</f>
        <v>72701</v>
      </c>
      <c r="C20994" s="1">
        <v>8.84127119712666E-2</v>
      </c>
      <c r="D20994" s="1">
        <v>9.03658172194476E-2</v>
      </c>
      <c r="E20994" s="1">
        <v>0.170242756460454</v>
      </c>
      <c r="F20994" s="1">
        <v>9.0474100247044303E-2</v>
      </c>
    </row>
    <row r="20995" spans="1:6" x14ac:dyDescent="0.25">
      <c r="A20995" s="2" t="str">
        <f t="shared" si="741"/>
        <v>22220</v>
      </c>
      <c r="B20995" s="2" t="str">
        <f>"72753"</f>
        <v>72753</v>
      </c>
      <c r="C20995" s="1">
        <v>1.7710201873522902E-2</v>
      </c>
      <c r="D20995" s="1">
        <v>5.3784095274682997E-3</v>
      </c>
      <c r="E20995" s="1">
        <v>1.23727486296006E-2</v>
      </c>
      <c r="F20995" s="1">
        <v>1.6538549439706299E-2</v>
      </c>
    </row>
    <row r="20996" spans="1:6" x14ac:dyDescent="0.25">
      <c r="A20996" s="2" t="str">
        <f t="shared" si="741"/>
        <v>22220</v>
      </c>
      <c r="B20996" s="2" t="str">
        <f>"72744"</f>
        <v>72744</v>
      </c>
      <c r="C20996" s="1">
        <v>9.7987772883134597E-3</v>
      </c>
      <c r="D20996" s="1">
        <v>3.1587484526401101E-3</v>
      </c>
      <c r="E20996" s="1">
        <v>1.7227877838684399E-3</v>
      </c>
      <c r="F20996" s="1">
        <v>9.04741002470443E-3</v>
      </c>
    </row>
    <row r="20997" spans="1:6" x14ac:dyDescent="0.25">
      <c r="A20997" s="2" t="str">
        <f t="shared" si="741"/>
        <v>22220</v>
      </c>
      <c r="B20997" s="2" t="str">
        <f>"72736"</f>
        <v>72736</v>
      </c>
      <c r="C20997" s="1">
        <v>1.13200486481429E-2</v>
      </c>
      <c r="D20997" s="1">
        <v>6.1467537456780597E-3</v>
      </c>
      <c r="E20997" s="1">
        <v>1.5661707126076699E-3</v>
      </c>
      <c r="F20997" s="1">
        <v>1.0654468020271399E-2</v>
      </c>
    </row>
    <row r="20998" spans="1:6" x14ac:dyDescent="0.25">
      <c r="A20998" s="2" t="str">
        <f t="shared" ref="A20998:A21021" si="742">"22220"</f>
        <v>22220</v>
      </c>
      <c r="B20998" s="2" t="str">
        <f>"72729"</f>
        <v>72729</v>
      </c>
      <c r="C20998" s="1">
        <v>4.3116247096771498E-4</v>
      </c>
      <c r="D20998" s="1">
        <v>8.5371579801084198E-5</v>
      </c>
      <c r="E20998" s="1">
        <v>1.5661707126076699E-4</v>
      </c>
      <c r="F20998" s="1">
        <v>3.9541607565869399E-4</v>
      </c>
    </row>
    <row r="20999" spans="1:6" x14ac:dyDescent="0.25">
      <c r="A20999" s="2" t="str">
        <f t="shared" si="742"/>
        <v>22220</v>
      </c>
      <c r="B20999" s="2" t="str">
        <f>"72728"</f>
        <v>72728</v>
      </c>
      <c r="C20999" s="1">
        <v>0</v>
      </c>
      <c r="D20999" s="1">
        <v>0</v>
      </c>
      <c r="E20999" s="1">
        <v>1.5661707126076699E-4</v>
      </c>
      <c r="F20999" s="1">
        <v>3.6276704188870998E-6</v>
      </c>
    </row>
    <row r="21000" spans="1:6" x14ac:dyDescent="0.25">
      <c r="A21000" s="2" t="str">
        <f t="shared" si="742"/>
        <v>22220</v>
      </c>
      <c r="B21000" s="2" t="str">
        <f>"72722"</f>
        <v>72722</v>
      </c>
      <c r="C21000" s="1">
        <v>4.8119358788189402E-3</v>
      </c>
      <c r="D21000" s="1">
        <v>1.5793742263200501E-3</v>
      </c>
      <c r="E21000" s="1">
        <v>4.2286609240407202E-3</v>
      </c>
      <c r="F21000" s="1">
        <v>4.5237050123522098E-3</v>
      </c>
    </row>
    <row r="21001" spans="1:6" x14ac:dyDescent="0.25">
      <c r="A21001" s="2" t="str">
        <f t="shared" si="742"/>
        <v>22220</v>
      </c>
      <c r="B21001" s="2" t="str">
        <f>"72718"</f>
        <v>72718</v>
      </c>
      <c r="C21001" s="1">
        <v>7.0124915089466201E-3</v>
      </c>
      <c r="D21001" s="1">
        <v>5.1222947880650497E-4</v>
      </c>
      <c r="E21001" s="1">
        <v>1.09631949882537E-3</v>
      </c>
      <c r="F21001" s="1">
        <v>6.3230295401202202E-3</v>
      </c>
    </row>
    <row r="21002" spans="1:6" x14ac:dyDescent="0.25">
      <c r="A21002" s="2" t="str">
        <f t="shared" si="742"/>
        <v>22220</v>
      </c>
      <c r="B21002" s="2" t="str">
        <f>"72770"</f>
        <v>72770</v>
      </c>
      <c r="C21002" s="1">
        <v>3.3069348009127598E-3</v>
      </c>
      <c r="D21002" s="1">
        <v>6.6589832244845597E-3</v>
      </c>
      <c r="E21002" s="1">
        <v>3.1323414252153398E-4</v>
      </c>
      <c r="F21002" s="1">
        <v>3.52246797673937E-3</v>
      </c>
    </row>
    <row r="21003" spans="1:6" x14ac:dyDescent="0.25">
      <c r="A21003" s="2" t="str">
        <f t="shared" si="742"/>
        <v>22220</v>
      </c>
      <c r="B21003" s="2" t="str">
        <f>"72727"</f>
        <v>72727</v>
      </c>
      <c r="C21003" s="1">
        <v>1.3016225538648001E-2</v>
      </c>
      <c r="D21003" s="1">
        <v>2.2623468647287302E-3</v>
      </c>
      <c r="E21003" s="1">
        <v>1.8794048551292E-3</v>
      </c>
      <c r="F21003" s="1">
        <v>1.1844343917666301E-2</v>
      </c>
    </row>
    <row r="21004" spans="1:6" x14ac:dyDescent="0.25">
      <c r="A21004" s="2" t="str">
        <f t="shared" si="742"/>
        <v>22220</v>
      </c>
      <c r="B21004" s="2" t="str">
        <f>"72711"</f>
        <v>72711</v>
      </c>
      <c r="C21004" s="1">
        <v>0</v>
      </c>
      <c r="D21004" s="1">
        <v>0</v>
      </c>
      <c r="E21004" s="1">
        <v>1.5661707126076699E-4</v>
      </c>
      <c r="F21004" s="1">
        <v>3.6276704188870998E-6</v>
      </c>
    </row>
    <row r="21005" spans="1:6" x14ac:dyDescent="0.25">
      <c r="A21005" s="2" t="str">
        <f t="shared" si="742"/>
        <v>22220</v>
      </c>
      <c r="B21005" s="2" t="str">
        <f>"72704"</f>
        <v>72704</v>
      </c>
      <c r="C21005" s="1">
        <v>5.95451642688338E-2</v>
      </c>
      <c r="D21005" s="1">
        <v>2.3306441285695902E-2</v>
      </c>
      <c r="E21005" s="1">
        <v>4.1033672670321E-2</v>
      </c>
      <c r="F21005" s="1">
        <v>5.6036624960549002E-2</v>
      </c>
    </row>
    <row r="21006" spans="1:6" x14ac:dyDescent="0.25">
      <c r="A21006" s="2" t="str">
        <f t="shared" si="742"/>
        <v>22220</v>
      </c>
      <c r="B21006" s="2" t="str">
        <f>"72703"</f>
        <v>72703</v>
      </c>
      <c r="C21006" s="1">
        <v>7.5872392178875397E-2</v>
      </c>
      <c r="D21006" s="1">
        <v>0.12775856917232201</v>
      </c>
      <c r="E21006" s="1">
        <v>0.15755677368833201</v>
      </c>
      <c r="F21006" s="1">
        <v>8.2173990328630597E-2</v>
      </c>
    </row>
    <row r="21007" spans="1:6" x14ac:dyDescent="0.25">
      <c r="A21007" s="2" t="str">
        <f t="shared" si="742"/>
        <v>22220</v>
      </c>
      <c r="B21007" s="2" t="str">
        <f>"72776"</f>
        <v>72776</v>
      </c>
      <c r="C21007" s="1">
        <v>1.9890419651246499E-3</v>
      </c>
      <c r="D21007" s="1">
        <v>4.2685789900542099E-5</v>
      </c>
      <c r="E21007" s="1">
        <v>3.1323414252153398E-4</v>
      </c>
      <c r="F21007" s="1">
        <v>1.7848138460924499E-3</v>
      </c>
    </row>
    <row r="21008" spans="1:6" x14ac:dyDescent="0.25">
      <c r="A21008" s="2" t="str">
        <f t="shared" si="742"/>
        <v>22220</v>
      </c>
      <c r="B21008" s="2" t="str">
        <f>"72774"</f>
        <v>72774</v>
      </c>
      <c r="C21008" s="1">
        <v>1.0982440298234201E-2</v>
      </c>
      <c r="D21008" s="1">
        <v>2.8172621334357699E-3</v>
      </c>
      <c r="E21008" s="1">
        <v>9.39702427564604E-4</v>
      </c>
      <c r="F21008" s="1">
        <v>1.0055902401155E-2</v>
      </c>
    </row>
    <row r="21009" spans="1:6" x14ac:dyDescent="0.25">
      <c r="A21009" s="2" t="str">
        <f t="shared" si="742"/>
        <v>22220</v>
      </c>
      <c r="B21009" s="2" t="str">
        <f>"72769"</f>
        <v>72769</v>
      </c>
      <c r="C21009" s="1">
        <v>1.8792175621423E-3</v>
      </c>
      <c r="D21009" s="1">
        <v>7.6834421820975703E-4</v>
      </c>
      <c r="E21009" s="1">
        <v>1.5661707126076699E-4</v>
      </c>
      <c r="F21009" s="1">
        <v>1.74490947148469E-3</v>
      </c>
    </row>
    <row r="21010" spans="1:6" x14ac:dyDescent="0.25">
      <c r="A21010" s="2" t="str">
        <f t="shared" si="742"/>
        <v>22220</v>
      </c>
      <c r="B21010" s="2" t="str">
        <f>"72747"</f>
        <v>72747</v>
      </c>
      <c r="C21010" s="1">
        <v>3.8235162519778499E-4</v>
      </c>
      <c r="D21010" s="1">
        <v>8.5371579801084198E-5</v>
      </c>
      <c r="E21010" s="1">
        <v>7.8308535630383701E-4</v>
      </c>
      <c r="F21010" s="1">
        <v>3.66394712307597E-4</v>
      </c>
    </row>
    <row r="21011" spans="1:6" x14ac:dyDescent="0.25">
      <c r="A21011" s="2" t="str">
        <f t="shared" si="742"/>
        <v>22220</v>
      </c>
      <c r="B21011" s="2" t="str">
        <f>"72751"</f>
        <v>72751</v>
      </c>
      <c r="C21011" s="1">
        <v>1.29104687061465E-2</v>
      </c>
      <c r="D21011" s="1">
        <v>4.8661800486617997E-3</v>
      </c>
      <c r="E21011" s="1">
        <v>4.07204385277995E-3</v>
      </c>
      <c r="F21011" s="1">
        <v>1.20220997681918E-2</v>
      </c>
    </row>
    <row r="21012" spans="1:6" x14ac:dyDescent="0.25">
      <c r="A21012" s="2" t="str">
        <f t="shared" si="742"/>
        <v>22220</v>
      </c>
      <c r="B21012" s="2" t="str">
        <f>"72740"</f>
        <v>72740</v>
      </c>
      <c r="C21012" s="1">
        <v>1.8340675298051199E-2</v>
      </c>
      <c r="D21012" s="1">
        <v>7.1285269133905304E-3</v>
      </c>
      <c r="E21012" s="1">
        <v>6.7345340642129903E-3</v>
      </c>
      <c r="F21012" s="1">
        <v>1.7118976706728201E-2</v>
      </c>
    </row>
    <row r="21013" spans="1:6" x14ac:dyDescent="0.25">
      <c r="A21013" s="2" t="str">
        <f t="shared" si="742"/>
        <v>22220</v>
      </c>
      <c r="B21013" s="2" t="str">
        <f>"72738"</f>
        <v>72738</v>
      </c>
      <c r="C21013" s="1">
        <v>4.9705711275712097E-3</v>
      </c>
      <c r="D21013" s="1">
        <v>1.49400264651897E-3</v>
      </c>
      <c r="E21013" s="1">
        <v>1.5661707126076699E-4</v>
      </c>
      <c r="F21013" s="1">
        <v>4.5636093869599699E-3</v>
      </c>
    </row>
    <row r="21014" spans="1:6" x14ac:dyDescent="0.25">
      <c r="A21014" s="2" t="str">
        <f t="shared" si="742"/>
        <v>22220</v>
      </c>
      <c r="B21014" s="2" t="str">
        <f>"72732"</f>
        <v>72732</v>
      </c>
      <c r="C21014" s="1">
        <v>1.11898863927564E-2</v>
      </c>
      <c r="D21014" s="1">
        <v>2.9026337132368601E-3</v>
      </c>
      <c r="E21014" s="1">
        <v>4.38527799530148E-3</v>
      </c>
      <c r="F21014" s="1">
        <v>1.03279776825715E-2</v>
      </c>
    </row>
    <row r="21015" spans="1:6" x14ac:dyDescent="0.25">
      <c r="A21015" s="2" t="str">
        <f t="shared" si="742"/>
        <v>22220</v>
      </c>
      <c r="B21015" s="2" t="str">
        <f>"72730"</f>
        <v>72730</v>
      </c>
      <c r="C21015" s="1">
        <v>2.1529650555019899E-2</v>
      </c>
      <c r="D21015" s="1">
        <v>1.8739061766337901E-2</v>
      </c>
      <c r="E21015" s="1">
        <v>4.07204385277995E-3</v>
      </c>
      <c r="F21015" s="1">
        <v>2.0888126271951898E-2</v>
      </c>
    </row>
    <row r="21016" spans="1:6" x14ac:dyDescent="0.25">
      <c r="A21016" s="2" t="str">
        <f t="shared" si="742"/>
        <v>22220</v>
      </c>
      <c r="B21016" s="2" t="str">
        <f>"72721"</f>
        <v>72721</v>
      </c>
      <c r="C21016" s="1">
        <v>1.0128250497260401E-3</v>
      </c>
      <c r="D21016" s="1">
        <v>4.2685789900542099E-5</v>
      </c>
      <c r="E21016" s="1">
        <v>3.1323414252153398E-4</v>
      </c>
      <c r="F21016" s="1">
        <v>9.1417294555955003E-4</v>
      </c>
    </row>
    <row r="21017" spans="1:6" x14ac:dyDescent="0.25">
      <c r="A21017" s="2" t="str">
        <f t="shared" si="742"/>
        <v>22220</v>
      </c>
      <c r="B21017" s="2" t="str">
        <f>"72714"</f>
        <v>72714</v>
      </c>
      <c r="C21017" s="1">
        <v>2.4454233730734899E-2</v>
      </c>
      <c r="D21017" s="1">
        <v>7.9395569215008292E-3</v>
      </c>
      <c r="E21017" s="1">
        <v>1.5661707126076699E-4</v>
      </c>
      <c r="F21017" s="1">
        <v>2.2487928926681101E-2</v>
      </c>
    </row>
    <row r="21018" spans="1:6" x14ac:dyDescent="0.25">
      <c r="A21018" s="2" t="str">
        <f t="shared" si="742"/>
        <v>22220</v>
      </c>
      <c r="B21018" s="2" t="str">
        <f>"72761"</f>
        <v>72761</v>
      </c>
      <c r="C21018" s="1">
        <v>3.8157878680642798E-2</v>
      </c>
      <c r="D21018" s="1">
        <v>3.9484355658001402E-2</v>
      </c>
      <c r="E21018" s="1">
        <v>3.5238841033672599E-2</v>
      </c>
      <c r="F21018" s="1">
        <v>3.8202997181299998E-2</v>
      </c>
    </row>
    <row r="21019" spans="1:6" x14ac:dyDescent="0.25">
      <c r="A21019" s="2" t="str">
        <f t="shared" si="742"/>
        <v>22220</v>
      </c>
      <c r="B21019" s="2" t="str">
        <f>"72737"</f>
        <v>72737</v>
      </c>
      <c r="C21019" s="1">
        <v>0</v>
      </c>
      <c r="D21019" s="1">
        <v>0</v>
      </c>
      <c r="E21019" s="1">
        <v>1.5661707126076699E-4</v>
      </c>
      <c r="F21019" s="1">
        <v>3.6276704188870998E-6</v>
      </c>
    </row>
    <row r="21020" spans="1:6" x14ac:dyDescent="0.25">
      <c r="A21020" s="2" t="str">
        <f t="shared" si="742"/>
        <v>22220</v>
      </c>
      <c r="B21020" s="2" t="str">
        <f>"72752"</f>
        <v>72752</v>
      </c>
      <c r="C21020" s="1">
        <v>1.1104467412659E-3</v>
      </c>
      <c r="D21020" s="1">
        <v>4.2685789900542099E-5</v>
      </c>
      <c r="E21020" s="1">
        <v>3.1323414252153398E-4</v>
      </c>
      <c r="F21020" s="1">
        <v>1.00123703561284E-3</v>
      </c>
    </row>
    <row r="21021" spans="1:6" x14ac:dyDescent="0.25">
      <c r="A21021" s="2" t="str">
        <f t="shared" si="742"/>
        <v>22220</v>
      </c>
      <c r="B21021" s="2" t="str">
        <f>"72742"</f>
        <v>72742</v>
      </c>
      <c r="C21021" s="1">
        <v>1.5538119236761E-3</v>
      </c>
      <c r="D21021" s="1">
        <v>1.7074315960216799E-4</v>
      </c>
      <c r="E21021" s="1">
        <v>1.5661707126076699E-4</v>
      </c>
      <c r="F21021" s="1">
        <v>1.4039084521093E-3</v>
      </c>
    </row>
    <row r="21022" spans="1:6" x14ac:dyDescent="0.25">
      <c r="A21022" s="2" t="str">
        <f t="shared" ref="A21022:A21032" si="743">"33060"</f>
        <v>33060</v>
      </c>
      <c r="B21022" s="2" t="str">
        <f>"74344"</f>
        <v>74344</v>
      </c>
      <c r="C21022" s="1">
        <v>4.20921887938172E-3</v>
      </c>
      <c r="D21022" s="1">
        <v>1.57728706624605E-3</v>
      </c>
      <c r="E21022" s="1">
        <v>0</v>
      </c>
      <c r="F21022" s="1">
        <v>3.9338120512019898E-3</v>
      </c>
    </row>
    <row r="21023" spans="1:6" x14ac:dyDescent="0.25">
      <c r="A21023" s="2" t="str">
        <f t="shared" si="743"/>
        <v>33060</v>
      </c>
      <c r="B21023" s="2" t="str">
        <f>"74363"</f>
        <v>74363</v>
      </c>
      <c r="C21023" s="1">
        <v>8.0251173060999104E-2</v>
      </c>
      <c r="D21023" s="1">
        <v>3.2334384858044102E-2</v>
      </c>
      <c r="E21023" s="1">
        <v>2.74509803921568E-2</v>
      </c>
      <c r="F21023" s="1">
        <v>7.5616609428660594E-2</v>
      </c>
    </row>
    <row r="21024" spans="1:6" x14ac:dyDescent="0.25">
      <c r="A21024" s="2" t="str">
        <f t="shared" si="743"/>
        <v>33060</v>
      </c>
      <c r="B21024" s="2" t="str">
        <f>"74343"</f>
        <v>74343</v>
      </c>
      <c r="C21024" s="1">
        <v>9.3982887110129698E-2</v>
      </c>
      <c r="D21024" s="1">
        <v>2.3659305993690798E-2</v>
      </c>
      <c r="E21024" s="1">
        <v>7.4509803921568599E-2</v>
      </c>
      <c r="F21024" s="1">
        <v>8.8104901654698697E-2</v>
      </c>
    </row>
    <row r="21025" spans="1:6" x14ac:dyDescent="0.25">
      <c r="A21025" s="2" t="str">
        <f t="shared" si="743"/>
        <v>33060</v>
      </c>
      <c r="B21025" s="2" t="str">
        <f>"74360"</f>
        <v>74360</v>
      </c>
      <c r="C21025" s="1">
        <v>7.5903947005244205E-4</v>
      </c>
      <c r="D21025" s="1">
        <v>4.7318611987381704E-3</v>
      </c>
      <c r="E21025" s="1">
        <v>3.9215686274509803E-3</v>
      </c>
      <c r="F21025" s="1">
        <v>1.1239463003434201E-3</v>
      </c>
    </row>
    <row r="21026" spans="1:6" x14ac:dyDescent="0.25">
      <c r="A21026" s="2" t="str">
        <f t="shared" si="743"/>
        <v>33060</v>
      </c>
      <c r="B21026" s="2" t="str">
        <f>"74370"</f>
        <v>74370</v>
      </c>
      <c r="C21026" s="1">
        <v>0.12772564173337</v>
      </c>
      <c r="D21026" s="1">
        <v>8.5173501577286995E-2</v>
      </c>
      <c r="E21026" s="1">
        <v>8.6274509803921498E-2</v>
      </c>
      <c r="F21026" s="1">
        <v>0.123696534498907</v>
      </c>
    </row>
    <row r="21027" spans="1:6" x14ac:dyDescent="0.25">
      <c r="A21027" s="2" t="str">
        <f t="shared" si="743"/>
        <v>33060</v>
      </c>
      <c r="B21027" s="2" t="str">
        <f>"74335"</f>
        <v>74335</v>
      </c>
      <c r="C21027" s="1">
        <v>0</v>
      </c>
      <c r="D21027" s="1">
        <v>0</v>
      </c>
      <c r="E21027" s="1">
        <v>3.9215686274509803E-3</v>
      </c>
      <c r="F21027" s="1">
        <v>6.2441461130190396E-5</v>
      </c>
    </row>
    <row r="21028" spans="1:6" x14ac:dyDescent="0.25">
      <c r="A21028" s="2" t="str">
        <f t="shared" si="743"/>
        <v>33060</v>
      </c>
      <c r="B21028" s="2" t="str">
        <f>"74331"</f>
        <v>74331</v>
      </c>
      <c r="C21028" s="1">
        <v>3.6157880209770898E-2</v>
      </c>
      <c r="D21028" s="1">
        <v>1.5772870662460501E-2</v>
      </c>
      <c r="E21028" s="1">
        <v>1.9607843137254902E-2</v>
      </c>
      <c r="F21028" s="1">
        <v>3.4280362160474503E-2</v>
      </c>
    </row>
    <row r="21029" spans="1:6" x14ac:dyDescent="0.25">
      <c r="A21029" s="2" t="str">
        <f t="shared" si="743"/>
        <v>33060</v>
      </c>
      <c r="B21029" s="2" t="str">
        <f>"74358"</f>
        <v>74358</v>
      </c>
      <c r="C21029" s="1">
        <v>6.9003588186585703E-5</v>
      </c>
      <c r="D21029" s="1">
        <v>0</v>
      </c>
      <c r="E21029" s="1">
        <v>3.9215686274509803E-3</v>
      </c>
      <c r="F21029" s="1">
        <v>1.2488292226038001E-4</v>
      </c>
    </row>
    <row r="21030" spans="1:6" x14ac:dyDescent="0.25">
      <c r="A21030" s="2" t="str">
        <f t="shared" si="743"/>
        <v>33060</v>
      </c>
      <c r="B21030" s="2" t="str">
        <f>"74354"</f>
        <v>74354</v>
      </c>
      <c r="C21030" s="1">
        <v>0.57756003312172199</v>
      </c>
      <c r="D21030" s="1">
        <v>0.73817034700315398</v>
      </c>
      <c r="E21030" s="1">
        <v>0.74509803921568596</v>
      </c>
      <c r="F21030" s="1">
        <v>0.59294411489228804</v>
      </c>
    </row>
    <row r="21031" spans="1:6" x14ac:dyDescent="0.25">
      <c r="A21031" s="2" t="str">
        <f t="shared" si="743"/>
        <v>33060</v>
      </c>
      <c r="B21031" s="2" t="str">
        <f>"74333"</f>
        <v>74333</v>
      </c>
      <c r="C21031" s="1">
        <v>2.07010764559757E-3</v>
      </c>
      <c r="D21031" s="1">
        <v>0</v>
      </c>
      <c r="E21031" s="1">
        <v>0</v>
      </c>
      <c r="F21031" s="1">
        <v>1.87324383390571E-3</v>
      </c>
    </row>
    <row r="21032" spans="1:6" x14ac:dyDescent="0.25">
      <c r="A21032" s="2" t="str">
        <f t="shared" si="743"/>
        <v>33060</v>
      </c>
      <c r="B21032" s="2" t="str">
        <f>"74339"</f>
        <v>74339</v>
      </c>
      <c r="C21032" s="1">
        <v>7.7215015180789395E-2</v>
      </c>
      <c r="D21032" s="1">
        <v>9.8580441640378505E-2</v>
      </c>
      <c r="E21032" s="1">
        <v>3.5294117647058802E-2</v>
      </c>
      <c r="F21032" s="1">
        <v>7.8239150796128601E-2</v>
      </c>
    </row>
    <row r="21033" spans="1:6" x14ac:dyDescent="0.25">
      <c r="A21033" s="2" t="str">
        <f t="shared" ref="A21033:A21048" si="744">"11980"</f>
        <v>11980</v>
      </c>
      <c r="B21033" s="2" t="str">
        <f>"75763"</f>
        <v>75763</v>
      </c>
      <c r="C21033" s="1">
        <v>3.4624896949711402E-2</v>
      </c>
      <c r="D21033" s="1">
        <v>1.1605415860735E-2</v>
      </c>
      <c r="E21033" s="1">
        <v>1.9021739130434701E-2</v>
      </c>
      <c r="F21033" s="1">
        <v>3.3152151363013901E-2</v>
      </c>
    </row>
    <row r="21034" spans="1:6" x14ac:dyDescent="0.25">
      <c r="A21034" s="2" t="str">
        <f t="shared" si="744"/>
        <v>11980</v>
      </c>
      <c r="B21034" s="2" t="str">
        <f>"75148"</f>
        <v>75148</v>
      </c>
      <c r="C21034" s="1">
        <v>7.1411064815846303E-2</v>
      </c>
      <c r="D21034" s="1">
        <v>5.60928433268858E-2</v>
      </c>
      <c r="E21034" s="1">
        <v>8.2880434782608606E-2</v>
      </c>
      <c r="F21034" s="1">
        <v>7.07646985602257E-2</v>
      </c>
    </row>
    <row r="21035" spans="1:6" x14ac:dyDescent="0.25">
      <c r="A21035" s="2" t="str">
        <f t="shared" si="744"/>
        <v>11980</v>
      </c>
      <c r="B21035" s="2" t="str">
        <f>"75803"</f>
        <v>75803</v>
      </c>
      <c r="C21035" s="1">
        <v>6.0159087364363502E-4</v>
      </c>
      <c r="D21035" s="1">
        <v>0</v>
      </c>
      <c r="E21035" s="1">
        <v>0</v>
      </c>
      <c r="F21035" s="1">
        <v>5.6014273266669404E-4</v>
      </c>
    </row>
    <row r="21036" spans="1:6" x14ac:dyDescent="0.25">
      <c r="A21036" s="2" t="str">
        <f t="shared" si="744"/>
        <v>11980</v>
      </c>
      <c r="B21036" s="2" t="str">
        <f>"75752"</f>
        <v>75752</v>
      </c>
      <c r="C21036" s="1">
        <v>8.6896459526302802E-2</v>
      </c>
      <c r="D21036" s="1">
        <v>3.3268858800773599E-2</v>
      </c>
      <c r="E21036" s="1">
        <v>3.125E-2</v>
      </c>
      <c r="F21036" s="1">
        <v>8.3170822787436205E-2</v>
      </c>
    </row>
    <row r="21037" spans="1:6" x14ac:dyDescent="0.25">
      <c r="A21037" s="2" t="str">
        <f t="shared" si="744"/>
        <v>11980</v>
      </c>
      <c r="B21037" s="2" t="str">
        <f>"75782"</f>
        <v>75782</v>
      </c>
      <c r="C21037" s="1">
        <v>0</v>
      </c>
      <c r="D21037" s="1">
        <v>0</v>
      </c>
      <c r="E21037" s="1">
        <v>1.35869565217391E-3</v>
      </c>
      <c r="F21037" s="1">
        <v>2.0746027135803401E-5</v>
      </c>
    </row>
    <row r="21038" spans="1:6" x14ac:dyDescent="0.25">
      <c r="A21038" s="2" t="str">
        <f t="shared" si="744"/>
        <v>11980</v>
      </c>
      <c r="B21038" s="2" t="str">
        <f>"75778"</f>
        <v>75778</v>
      </c>
      <c r="C21038" s="1">
        <v>2.1612709164234301E-2</v>
      </c>
      <c r="D21038" s="1">
        <v>1.7021276595744601E-2</v>
      </c>
      <c r="E21038" s="1">
        <v>6.7934782608695598E-3</v>
      </c>
      <c r="F21038" s="1">
        <v>2.1140201651383701E-2</v>
      </c>
    </row>
    <row r="21039" spans="1:6" x14ac:dyDescent="0.25">
      <c r="A21039" s="2" t="str">
        <f t="shared" si="744"/>
        <v>11980</v>
      </c>
      <c r="B21039" s="2" t="str">
        <f>"75143"</f>
        <v>75143</v>
      </c>
      <c r="C21039" s="1">
        <v>0.12225663421046699</v>
      </c>
      <c r="D21039" s="1">
        <v>0.14081237911025099</v>
      </c>
      <c r="E21039" s="1">
        <v>9.2391304347825998E-2</v>
      </c>
      <c r="F21039" s="1">
        <v>0.12279573461682</v>
      </c>
    </row>
    <row r="21040" spans="1:6" x14ac:dyDescent="0.25">
      <c r="A21040" s="2" t="str">
        <f t="shared" si="744"/>
        <v>11980</v>
      </c>
      <c r="B21040" s="2" t="str">
        <f>"75756"</f>
        <v>75756</v>
      </c>
      <c r="C21040" s="1">
        <v>4.00837770994407E-2</v>
      </c>
      <c r="D21040" s="1">
        <v>3.17214700193423E-2</v>
      </c>
      <c r="E21040" s="1">
        <v>3.2608695652173898E-2</v>
      </c>
      <c r="F21040" s="1">
        <v>3.9521181693705602E-2</v>
      </c>
    </row>
    <row r="21041" spans="1:6" x14ac:dyDescent="0.25">
      <c r="A21041" s="2" t="str">
        <f t="shared" si="744"/>
        <v>11980</v>
      </c>
      <c r="B21041" s="2" t="str">
        <f>"75751"</f>
        <v>75751</v>
      </c>
      <c r="C21041" s="1">
        <v>0.165593458256277</v>
      </c>
      <c r="D21041" s="1">
        <v>0.43172147001934202</v>
      </c>
      <c r="E21041" s="1">
        <v>0.44836956521739102</v>
      </c>
      <c r="F21041" s="1">
        <v>0.184183228911663</v>
      </c>
    </row>
    <row r="21042" spans="1:6" x14ac:dyDescent="0.25">
      <c r="A21042" s="2" t="str">
        <f t="shared" si="744"/>
        <v>11980</v>
      </c>
      <c r="B21042" s="2" t="str">
        <f>"75156"</f>
        <v>75156</v>
      </c>
      <c r="C21042" s="1">
        <v>0.20505336333860599</v>
      </c>
      <c r="D21042" s="1">
        <v>0.186460348162475</v>
      </c>
      <c r="E21042" s="1">
        <v>0.16440217391304299</v>
      </c>
      <c r="F21042" s="1">
        <v>0.203435542093689</v>
      </c>
    </row>
    <row r="21043" spans="1:6" x14ac:dyDescent="0.25">
      <c r="A21043" s="2" t="str">
        <f t="shared" si="744"/>
        <v>11980</v>
      </c>
      <c r="B21043" s="2" t="str">
        <f>"75124"</f>
        <v>75124</v>
      </c>
      <c r="C21043" s="1">
        <v>6.1429112542055603E-2</v>
      </c>
      <c r="D21043" s="1">
        <v>4.1005802707930299E-2</v>
      </c>
      <c r="E21043" s="1">
        <v>3.5326086956521702E-2</v>
      </c>
      <c r="F21043" s="1">
        <v>5.9935272395336199E-2</v>
      </c>
    </row>
    <row r="21044" spans="1:6" x14ac:dyDescent="0.25">
      <c r="A21044" s="2" t="str">
        <f t="shared" si="744"/>
        <v>11980</v>
      </c>
      <c r="B21044" s="2" t="str">
        <f>"75770"</f>
        <v>75770</v>
      </c>
      <c r="C21044" s="1">
        <v>3.7944787326485499E-2</v>
      </c>
      <c r="D21044" s="1">
        <v>9.6711798839458404E-3</v>
      </c>
      <c r="E21044" s="1">
        <v>5.4347826086956503E-3</v>
      </c>
      <c r="F21044" s="1">
        <v>3.5932118999211601E-2</v>
      </c>
    </row>
    <row r="21045" spans="1:6" x14ac:dyDescent="0.25">
      <c r="A21045" s="2" t="str">
        <f t="shared" si="744"/>
        <v>11980</v>
      </c>
      <c r="B21045" s="2" t="str">
        <f>"75163"</f>
        <v>75163</v>
      </c>
      <c r="C21045" s="1">
        <v>3.4869989527862501E-2</v>
      </c>
      <c r="D21045" s="1">
        <v>6.5764023210831699E-3</v>
      </c>
      <c r="E21045" s="1">
        <v>6.7934782608695598E-3</v>
      </c>
      <c r="F21045" s="1">
        <v>3.2923945064520101E-2</v>
      </c>
    </row>
    <row r="21046" spans="1:6" x14ac:dyDescent="0.25">
      <c r="A21046" s="2" t="str">
        <f t="shared" si="744"/>
        <v>11980</v>
      </c>
      <c r="B21046" s="2" t="str">
        <f>"75853"</f>
        <v>75853</v>
      </c>
      <c r="C21046" s="1">
        <v>2.00530291214545E-4</v>
      </c>
      <c r="D21046" s="1">
        <v>0</v>
      </c>
      <c r="E21046" s="1">
        <v>0</v>
      </c>
      <c r="F21046" s="1">
        <v>1.86714244222231E-4</v>
      </c>
    </row>
    <row r="21047" spans="1:6" x14ac:dyDescent="0.25">
      <c r="A21047" s="2" t="str">
        <f t="shared" si="744"/>
        <v>11980</v>
      </c>
      <c r="B21047" s="2" t="str">
        <f>"75758"</f>
        <v>75758</v>
      </c>
      <c r="C21047" s="1">
        <v>0.11145027962835</v>
      </c>
      <c r="D21047" s="1">
        <v>3.2882011605415797E-2</v>
      </c>
      <c r="E21047" s="1">
        <v>5.9782608695652099E-2</v>
      </c>
      <c r="F21047" s="1">
        <v>0.106447865233807</v>
      </c>
    </row>
    <row r="21048" spans="1:6" x14ac:dyDescent="0.25">
      <c r="A21048" s="2" t="str">
        <f t="shared" si="744"/>
        <v>11980</v>
      </c>
      <c r="B21048" s="2" t="str">
        <f>"75147"</f>
        <v>75147</v>
      </c>
      <c r="C21048" s="1">
        <v>5.9713464494997801E-3</v>
      </c>
      <c r="D21048" s="1">
        <v>1.1605415860735E-3</v>
      </c>
      <c r="E21048" s="1">
        <v>1.3586956521739101E-2</v>
      </c>
      <c r="F21048" s="1">
        <v>5.8296336251607798E-3</v>
      </c>
    </row>
    <row r="21049" spans="1:6" x14ac:dyDescent="0.25">
      <c r="A21049" s="2" t="str">
        <f t="shared" ref="A21049:A21080" si="745">"28660"</f>
        <v>28660</v>
      </c>
      <c r="B21049" s="2" t="str">
        <f>"76824"</f>
        <v>76824</v>
      </c>
      <c r="C21049" s="1">
        <v>4.8325754244209304E-6</v>
      </c>
      <c r="D21049" s="1">
        <v>0</v>
      </c>
      <c r="E21049" s="1">
        <v>0</v>
      </c>
      <c r="F21049" s="1">
        <v>4.28008902585173E-6</v>
      </c>
    </row>
    <row r="21050" spans="1:6" x14ac:dyDescent="0.25">
      <c r="A21050" s="2" t="str">
        <f t="shared" si="745"/>
        <v>28660</v>
      </c>
      <c r="B21050" s="2" t="str">
        <f>"76558"</f>
        <v>76558</v>
      </c>
      <c r="C21050" s="1">
        <v>0</v>
      </c>
      <c r="D21050" s="1">
        <v>6.8352699931647294E-5</v>
      </c>
      <c r="E21050" s="1">
        <v>0</v>
      </c>
      <c r="F21050" s="1">
        <v>4.28008902585173E-6</v>
      </c>
    </row>
    <row r="21051" spans="1:6" x14ac:dyDescent="0.25">
      <c r="A21051" s="2" t="str">
        <f t="shared" si="745"/>
        <v>28660</v>
      </c>
      <c r="B21051" s="2" t="str">
        <f>"76561"</f>
        <v>76561</v>
      </c>
      <c r="C21051" s="1">
        <v>2.2761430249022599E-3</v>
      </c>
      <c r="D21051" s="1">
        <v>4.1011619958988301E-4</v>
      </c>
      <c r="E21051" s="1">
        <v>9.10520652263885E-4</v>
      </c>
      <c r="F21051" s="1">
        <v>2.0886834446156399E-3</v>
      </c>
    </row>
    <row r="21052" spans="1:6" x14ac:dyDescent="0.25">
      <c r="A21052" s="2" t="str">
        <f t="shared" si="745"/>
        <v>28660</v>
      </c>
      <c r="B21052" s="2" t="str">
        <f>"76554"</f>
        <v>76554</v>
      </c>
      <c r="C21052" s="1">
        <v>6.4128275882065801E-3</v>
      </c>
      <c r="D21052" s="1">
        <v>5.1264524948735398E-3</v>
      </c>
      <c r="E21052" s="1">
        <v>1.7382666997765E-3</v>
      </c>
      <c r="F21052" s="1">
        <v>6.0905666837870196E-3</v>
      </c>
    </row>
    <row r="21053" spans="1:6" x14ac:dyDescent="0.25">
      <c r="A21053" s="2" t="str">
        <f t="shared" si="745"/>
        <v>28660</v>
      </c>
      <c r="B21053" s="2" t="str">
        <f>"76548"</f>
        <v>76548</v>
      </c>
      <c r="C21053" s="1">
        <v>6.9299131586196203E-2</v>
      </c>
      <c r="D21053" s="1">
        <v>7.9084073820915896E-2</v>
      </c>
      <c r="E21053" s="1">
        <v>0.11199404022845701</v>
      </c>
      <c r="F21053" s="1">
        <v>7.2119500085601695E-2</v>
      </c>
    </row>
    <row r="21054" spans="1:6" x14ac:dyDescent="0.25">
      <c r="A21054" s="2" t="str">
        <f t="shared" si="745"/>
        <v>28660</v>
      </c>
      <c r="B21054" s="2" t="str">
        <f>"76540"</f>
        <v>76540</v>
      </c>
      <c r="C21054" s="1">
        <v>7.8770979418061205E-3</v>
      </c>
      <c r="D21054" s="1">
        <v>1.6062884483937102E-2</v>
      </c>
      <c r="E21054" s="1">
        <v>8.2774604751262296E-5</v>
      </c>
      <c r="F21054" s="1">
        <v>7.9866461222393402E-3</v>
      </c>
    </row>
    <row r="21055" spans="1:6" x14ac:dyDescent="0.25">
      <c r="A21055" s="2" t="str">
        <f t="shared" si="745"/>
        <v>28660</v>
      </c>
      <c r="B21055" s="2" t="str">
        <f>"76534"</f>
        <v>76534</v>
      </c>
      <c r="C21055" s="1">
        <v>4.2864944014613703E-3</v>
      </c>
      <c r="D21055" s="1">
        <v>1.23034859876965E-3</v>
      </c>
      <c r="E21055" s="1">
        <v>2.0693651187815498E-3</v>
      </c>
      <c r="F21055" s="1">
        <v>3.9804827940421103E-3</v>
      </c>
    </row>
    <row r="21056" spans="1:6" x14ac:dyDescent="0.25">
      <c r="A21056" s="2" t="str">
        <f t="shared" si="745"/>
        <v>28660</v>
      </c>
      <c r="B21056" s="2" t="str">
        <f>"76542"</f>
        <v>76542</v>
      </c>
      <c r="C21056" s="1">
        <v>9.8966312116716304E-2</v>
      </c>
      <c r="D21056" s="1">
        <v>6.3978127136021801E-2</v>
      </c>
      <c r="E21056" s="1">
        <v>0.117871037165797</v>
      </c>
      <c r="F21056" s="1">
        <v>9.77529532614278E-2</v>
      </c>
    </row>
    <row r="21057" spans="1:6" x14ac:dyDescent="0.25">
      <c r="A21057" s="2" t="str">
        <f t="shared" si="745"/>
        <v>28660</v>
      </c>
      <c r="B21057" s="2" t="str">
        <f>"76598"</f>
        <v>76598</v>
      </c>
      <c r="C21057" s="1">
        <v>0</v>
      </c>
      <c r="D21057" s="1">
        <v>1.3670539986329399E-4</v>
      </c>
      <c r="E21057" s="1">
        <v>0</v>
      </c>
      <c r="F21057" s="1">
        <v>8.5601780517034701E-6</v>
      </c>
    </row>
    <row r="21058" spans="1:6" x14ac:dyDescent="0.25">
      <c r="A21058" s="2" t="str">
        <f t="shared" si="745"/>
        <v>28660</v>
      </c>
      <c r="B21058" s="2" t="str">
        <f>"76596"</f>
        <v>76596</v>
      </c>
      <c r="C21058" s="1">
        <v>0</v>
      </c>
      <c r="D21058" s="1">
        <v>2.0505809979494099E-4</v>
      </c>
      <c r="E21058" s="1">
        <v>0</v>
      </c>
      <c r="F21058" s="1">
        <v>1.28402670775552E-5</v>
      </c>
    </row>
    <row r="21059" spans="1:6" x14ac:dyDescent="0.25">
      <c r="A21059" s="2" t="str">
        <f t="shared" si="745"/>
        <v>28660</v>
      </c>
      <c r="B21059" s="2" t="str">
        <f>"76526"</f>
        <v>76526</v>
      </c>
      <c r="C21059" s="1">
        <v>0</v>
      </c>
      <c r="D21059" s="1">
        <v>6.8352699931647294E-5</v>
      </c>
      <c r="E21059" s="1">
        <v>0</v>
      </c>
      <c r="F21059" s="1">
        <v>4.28008902585173E-6</v>
      </c>
    </row>
    <row r="21060" spans="1:6" x14ac:dyDescent="0.25">
      <c r="A21060" s="2" t="str">
        <f t="shared" si="745"/>
        <v>28660</v>
      </c>
      <c r="B21060" s="2" t="str">
        <f>"76508"</f>
        <v>76508</v>
      </c>
      <c r="C21060" s="1">
        <v>0</v>
      </c>
      <c r="D21060" s="1">
        <v>6.8352699931647294E-5</v>
      </c>
      <c r="E21060" s="1">
        <v>0</v>
      </c>
      <c r="F21060" s="1">
        <v>4.28008902585173E-6</v>
      </c>
    </row>
    <row r="21061" spans="1:6" x14ac:dyDescent="0.25">
      <c r="A21061" s="2" t="str">
        <f t="shared" si="745"/>
        <v>28660</v>
      </c>
      <c r="B21061" s="2" t="str">
        <f>"76503"</f>
        <v>76503</v>
      </c>
      <c r="C21061" s="1">
        <v>4.9727201117291397E-3</v>
      </c>
      <c r="D21061" s="1">
        <v>3.0280246069719699E-2</v>
      </c>
      <c r="E21061" s="1">
        <v>8.2774604751262296E-5</v>
      </c>
      <c r="F21061" s="1">
        <v>6.3045711350796004E-3</v>
      </c>
    </row>
    <row r="21062" spans="1:6" x14ac:dyDescent="0.25">
      <c r="A21062" s="2" t="str">
        <f t="shared" si="745"/>
        <v>28660</v>
      </c>
      <c r="B21062" s="2" t="str">
        <f>"76549"</f>
        <v>76549</v>
      </c>
      <c r="C21062" s="1">
        <v>0.10573675028633001</v>
      </c>
      <c r="D21062" s="1">
        <v>4.5522898154477097E-2</v>
      </c>
      <c r="E21062" s="1">
        <v>0.195844714841486</v>
      </c>
      <c r="F21062" s="1">
        <v>0.10662557781201799</v>
      </c>
    </row>
    <row r="21063" spans="1:6" x14ac:dyDescent="0.25">
      <c r="A21063" s="2" t="str">
        <f t="shared" si="745"/>
        <v>28660</v>
      </c>
      <c r="B21063" s="2" t="str">
        <f>"76689"</f>
        <v>76689</v>
      </c>
      <c r="C21063" s="1">
        <v>4.7359239159325099E-4</v>
      </c>
      <c r="D21063" s="1">
        <v>0</v>
      </c>
      <c r="E21063" s="1">
        <v>0</v>
      </c>
      <c r="F21063" s="1">
        <v>4.1944872453347E-4</v>
      </c>
    </row>
    <row r="21064" spans="1:6" x14ac:dyDescent="0.25">
      <c r="A21064" s="2" t="str">
        <f t="shared" si="745"/>
        <v>28660</v>
      </c>
      <c r="B21064" s="2" t="str">
        <f>"76519"</f>
        <v>76519</v>
      </c>
      <c r="C21064" s="1">
        <v>7.15221162814298E-4</v>
      </c>
      <c r="D21064" s="1">
        <v>4.7846889952153101E-4</v>
      </c>
      <c r="E21064" s="1">
        <v>8.2774604751262304E-4</v>
      </c>
      <c r="F21064" s="1">
        <v>7.0621468926553596E-4</v>
      </c>
    </row>
    <row r="21065" spans="1:6" x14ac:dyDescent="0.25">
      <c r="A21065" s="2" t="str">
        <f t="shared" si="745"/>
        <v>28660</v>
      </c>
      <c r="B21065" s="2" t="str">
        <f>"76501"</f>
        <v>76501</v>
      </c>
      <c r="C21065" s="1">
        <v>3.7892223902884499E-2</v>
      </c>
      <c r="D21065" s="1">
        <v>5.0922761449077203E-2</v>
      </c>
      <c r="E21065" s="1">
        <v>2.33424385398559E-2</v>
      </c>
      <c r="F21065" s="1">
        <v>3.79558294812532E-2</v>
      </c>
    </row>
    <row r="21066" spans="1:6" x14ac:dyDescent="0.25">
      <c r="A21066" s="2" t="str">
        <f t="shared" si="745"/>
        <v>28660</v>
      </c>
      <c r="B21066" s="2" t="str">
        <f>"76570"</f>
        <v>76570</v>
      </c>
      <c r="C21066" s="1">
        <v>1.9330301697683701E-5</v>
      </c>
      <c r="D21066" s="1">
        <v>0</v>
      </c>
      <c r="E21066" s="1">
        <v>0</v>
      </c>
      <c r="F21066" s="1">
        <v>1.71203561034069E-5</v>
      </c>
    </row>
    <row r="21067" spans="1:6" x14ac:dyDescent="0.25">
      <c r="A21067" s="2" t="str">
        <f t="shared" si="745"/>
        <v>28660</v>
      </c>
      <c r="B21067" s="2" t="str">
        <f>"76559"</f>
        <v>76559</v>
      </c>
      <c r="C21067" s="1">
        <v>1.5304766369141101E-2</v>
      </c>
      <c r="D21067" s="1">
        <v>6.4935064935064896E-3</v>
      </c>
      <c r="E21067" s="1">
        <v>2.1521397235328199E-2</v>
      </c>
      <c r="F21067" s="1">
        <v>1.50744735490498E-2</v>
      </c>
    </row>
    <row r="21068" spans="1:6" x14ac:dyDescent="0.25">
      <c r="A21068" s="2" t="str">
        <f t="shared" si="745"/>
        <v>28660</v>
      </c>
      <c r="B21068" s="2" t="str">
        <f>"76634"</f>
        <v>76634</v>
      </c>
      <c r="C21068" s="1">
        <v>8.6986357639576805E-5</v>
      </c>
      <c r="D21068" s="1">
        <v>0</v>
      </c>
      <c r="E21068" s="1">
        <v>0</v>
      </c>
      <c r="F21068" s="1">
        <v>7.70416024653312E-5</v>
      </c>
    </row>
    <row r="21069" spans="1:6" x14ac:dyDescent="0.25">
      <c r="A21069" s="2" t="str">
        <f t="shared" si="745"/>
        <v>28660</v>
      </c>
      <c r="B21069" s="2" t="str">
        <f>"76513"</f>
        <v>76513</v>
      </c>
      <c r="C21069" s="1">
        <v>9.3640813999004396E-2</v>
      </c>
      <c r="D21069" s="1">
        <v>0.104237867395762</v>
      </c>
      <c r="E21069" s="1">
        <v>4.2546146842148802E-2</v>
      </c>
      <c r="F21069" s="1">
        <v>9.1662386577640795E-2</v>
      </c>
    </row>
    <row r="21070" spans="1:6" x14ac:dyDescent="0.25">
      <c r="A21070" s="2" t="str">
        <f t="shared" si="745"/>
        <v>28660</v>
      </c>
      <c r="B21070" s="2" t="str">
        <f>"76550"</f>
        <v>76550</v>
      </c>
      <c r="C21070" s="1">
        <v>2.64728481749778E-2</v>
      </c>
      <c r="D21070" s="1">
        <v>4.0054682159945301E-2</v>
      </c>
      <c r="E21070" s="1">
        <v>1.4899428855227201E-2</v>
      </c>
      <c r="F21070" s="1">
        <v>2.6724875877418199E-2</v>
      </c>
    </row>
    <row r="21071" spans="1:6" x14ac:dyDescent="0.25">
      <c r="A21071" s="2" t="str">
        <f t="shared" si="745"/>
        <v>28660</v>
      </c>
      <c r="B21071" s="2" t="str">
        <f>"76547"</f>
        <v>76547</v>
      </c>
      <c r="C21071" s="1">
        <v>6.4804836441484702E-3</v>
      </c>
      <c r="D21071" s="1">
        <v>2.06425153793574E-2</v>
      </c>
      <c r="E21071" s="1">
        <v>8.2774604751262296E-5</v>
      </c>
      <c r="F21071" s="1">
        <v>7.0364663585002502E-3</v>
      </c>
    </row>
    <row r="21072" spans="1:6" x14ac:dyDescent="0.25">
      <c r="A21072" s="2" t="str">
        <f t="shared" si="745"/>
        <v>28660</v>
      </c>
      <c r="B21072" s="2" t="str">
        <f>"76543"</f>
        <v>76543</v>
      </c>
      <c r="C21072" s="1">
        <v>6.97727239777894E-2</v>
      </c>
      <c r="D21072" s="1">
        <v>7.3820915926178995E-2</v>
      </c>
      <c r="E21072" s="1">
        <v>9.4031950997433902E-2</v>
      </c>
      <c r="F21072" s="1">
        <v>7.1280602636534796E-2</v>
      </c>
    </row>
    <row r="21073" spans="1:6" x14ac:dyDescent="0.25">
      <c r="A21073" s="2" t="str">
        <f t="shared" si="745"/>
        <v>28660</v>
      </c>
      <c r="B21073" s="2" t="str">
        <f>"76638"</f>
        <v>76638</v>
      </c>
      <c r="C21073" s="1">
        <v>4.8325754244209304E-6</v>
      </c>
      <c r="D21073" s="1">
        <v>0</v>
      </c>
      <c r="E21073" s="1">
        <v>0</v>
      </c>
      <c r="F21073" s="1">
        <v>4.28008902585173E-6</v>
      </c>
    </row>
    <row r="21074" spans="1:6" x14ac:dyDescent="0.25">
      <c r="A21074" s="2" t="str">
        <f t="shared" si="745"/>
        <v>28660</v>
      </c>
      <c r="B21074" s="2" t="str">
        <f>"76571"</f>
        <v>76571</v>
      </c>
      <c r="C21074" s="1">
        <v>1.8040004059363301E-2</v>
      </c>
      <c r="D21074" s="1">
        <v>1.4695830485304101E-2</v>
      </c>
      <c r="E21074" s="1">
        <v>1.6968793974008699E-2</v>
      </c>
      <c r="F21074" s="1">
        <v>1.7775209724362199E-2</v>
      </c>
    </row>
    <row r="21075" spans="1:6" x14ac:dyDescent="0.25">
      <c r="A21075" s="2" t="str">
        <f t="shared" si="745"/>
        <v>28660</v>
      </c>
      <c r="B21075" s="2" t="str">
        <f>"76525"</f>
        <v>76525</v>
      </c>
      <c r="C21075" s="1">
        <v>1.69623397397174E-3</v>
      </c>
      <c r="D21075" s="1">
        <v>3.4176349965823598E-4</v>
      </c>
      <c r="E21075" s="1">
        <v>0</v>
      </c>
      <c r="F21075" s="1">
        <v>1.52371169320321E-3</v>
      </c>
    </row>
    <row r="21076" spans="1:6" x14ac:dyDescent="0.25">
      <c r="A21076" s="2" t="str">
        <f t="shared" si="745"/>
        <v>28660</v>
      </c>
      <c r="B21076" s="2" t="str">
        <f>"76853"</f>
        <v>76853</v>
      </c>
      <c r="C21076" s="1">
        <v>5.6686109728457503E-3</v>
      </c>
      <c r="D21076" s="1">
        <v>9.5693779904306201E-4</v>
      </c>
      <c r="E21076" s="1">
        <v>3.0626603757966998E-3</v>
      </c>
      <c r="F21076" s="1">
        <v>5.23882896764252E-3</v>
      </c>
    </row>
    <row r="21077" spans="1:6" x14ac:dyDescent="0.25">
      <c r="A21077" s="2" t="str">
        <f t="shared" si="745"/>
        <v>28660</v>
      </c>
      <c r="B21077" s="2" t="str">
        <f>"76569"</f>
        <v>76569</v>
      </c>
      <c r="C21077" s="1">
        <v>5.3206655422874498E-3</v>
      </c>
      <c r="D21077" s="1">
        <v>1.7771701982228199E-3</v>
      </c>
      <c r="E21077" s="1">
        <v>2.7315619567916498E-3</v>
      </c>
      <c r="F21077" s="1">
        <v>4.9649032699880099E-3</v>
      </c>
    </row>
    <row r="21078" spans="1:6" x14ac:dyDescent="0.25">
      <c r="A21078" s="2" t="str">
        <f t="shared" si="745"/>
        <v>28660</v>
      </c>
      <c r="B21078" s="2" t="str">
        <f>"76557"</f>
        <v>76557</v>
      </c>
      <c r="C21078" s="1">
        <v>4.5426208989556797E-3</v>
      </c>
      <c r="D21078" s="1">
        <v>5.4682159945317803E-4</v>
      </c>
      <c r="E21078" s="1">
        <v>1.32439367602019E-3</v>
      </c>
      <c r="F21078" s="1">
        <v>4.1260058209210701E-3</v>
      </c>
    </row>
    <row r="21079" spans="1:6" x14ac:dyDescent="0.25">
      <c r="A21079" s="2" t="str">
        <f t="shared" si="745"/>
        <v>28660</v>
      </c>
      <c r="B21079" s="2" t="str">
        <f>"76657"</f>
        <v>76657</v>
      </c>
      <c r="C21079" s="1">
        <v>3.09284827162939E-4</v>
      </c>
      <c r="D21079" s="1">
        <v>6.8352699931647294E-5</v>
      </c>
      <c r="E21079" s="1">
        <v>0</v>
      </c>
      <c r="F21079" s="1">
        <v>2.7820578668036198E-4</v>
      </c>
    </row>
    <row r="21080" spans="1:6" x14ac:dyDescent="0.25">
      <c r="A21080" s="2" t="str">
        <f t="shared" si="745"/>
        <v>28660</v>
      </c>
      <c r="B21080" s="2" t="str">
        <f>"76539"</f>
        <v>76539</v>
      </c>
      <c r="C21080" s="1">
        <v>1.76292351482875E-2</v>
      </c>
      <c r="D21080" s="1">
        <v>3.3492822966507099E-3</v>
      </c>
      <c r="E21080" s="1">
        <v>2.31768893303534E-3</v>
      </c>
      <c r="F21080" s="1">
        <v>1.5943331621297699E-2</v>
      </c>
    </row>
    <row r="21081" spans="1:6" x14ac:dyDescent="0.25">
      <c r="A21081" s="2" t="str">
        <f t="shared" ref="A21081:A21097" si="746">"28660"</f>
        <v>28660</v>
      </c>
      <c r="B21081" s="2" t="str">
        <f>"76564"</f>
        <v>76564</v>
      </c>
      <c r="C21081" s="1">
        <v>0</v>
      </c>
      <c r="D21081" s="1">
        <v>6.8352699931647294E-5</v>
      </c>
      <c r="E21081" s="1">
        <v>0</v>
      </c>
      <c r="F21081" s="1">
        <v>4.28008902585173E-6</v>
      </c>
    </row>
    <row r="21082" spans="1:6" x14ac:dyDescent="0.25">
      <c r="A21082" s="2" t="str">
        <f t="shared" si="746"/>
        <v>28660</v>
      </c>
      <c r="B21082" s="2" t="str">
        <f>"76566"</f>
        <v>76566</v>
      </c>
      <c r="C21082" s="1">
        <v>1.15015295101218E-3</v>
      </c>
      <c r="D21082" s="1">
        <v>2.0505809979494099E-4</v>
      </c>
      <c r="E21082" s="1">
        <v>0</v>
      </c>
      <c r="F21082" s="1">
        <v>1.0315014552302599E-3</v>
      </c>
    </row>
    <row r="21083" spans="1:6" x14ac:dyDescent="0.25">
      <c r="A21083" s="2" t="str">
        <f t="shared" si="746"/>
        <v>28660</v>
      </c>
      <c r="B21083" s="2" t="str">
        <f>"76544"</f>
        <v>76544</v>
      </c>
      <c r="C21083" s="1">
        <v>3.9409652586152699E-2</v>
      </c>
      <c r="D21083" s="1">
        <v>3.2946001367053897E-2</v>
      </c>
      <c r="E21083" s="1">
        <v>9.5521893882956704E-2</v>
      </c>
      <c r="F21083" s="1">
        <v>4.1906351652114301E-2</v>
      </c>
    </row>
    <row r="21084" spans="1:6" x14ac:dyDescent="0.25">
      <c r="A21084" s="2" t="str">
        <f t="shared" si="746"/>
        <v>28660</v>
      </c>
      <c r="B21084" s="2" t="str">
        <f>"76533"</f>
        <v>76533</v>
      </c>
      <c r="C21084" s="1">
        <v>4.8325754244209304E-6</v>
      </c>
      <c r="D21084" s="1">
        <v>1.3670539986329399E-4</v>
      </c>
      <c r="E21084" s="1">
        <v>0</v>
      </c>
      <c r="F21084" s="1">
        <v>1.28402670775552E-5</v>
      </c>
    </row>
    <row r="21085" spans="1:6" x14ac:dyDescent="0.25">
      <c r="A21085" s="2" t="str">
        <f t="shared" si="746"/>
        <v>28660</v>
      </c>
      <c r="B21085" s="2" t="str">
        <f>"76541"</f>
        <v>76541</v>
      </c>
      <c r="C21085" s="1">
        <v>5.2646076673641601E-2</v>
      </c>
      <c r="D21085" s="1">
        <v>9.7334244702665704E-2</v>
      </c>
      <c r="E21085" s="1">
        <v>6.3570896448969405E-2</v>
      </c>
      <c r="F21085" s="1">
        <v>5.6009244992295801E-2</v>
      </c>
    </row>
    <row r="21086" spans="1:6" x14ac:dyDescent="0.25">
      <c r="A21086" s="2" t="str">
        <f t="shared" si="746"/>
        <v>28660</v>
      </c>
      <c r="B21086" s="2" t="str">
        <f>"76538"</f>
        <v>76538</v>
      </c>
      <c r="C21086" s="1">
        <v>1.2226415823784901E-3</v>
      </c>
      <c r="D21086" s="1">
        <v>1.3670539986329399E-4</v>
      </c>
      <c r="E21086" s="1">
        <v>0</v>
      </c>
      <c r="F21086" s="1">
        <v>1.09142270159219E-3</v>
      </c>
    </row>
    <row r="21087" spans="1:6" x14ac:dyDescent="0.25">
      <c r="A21087" s="2" t="str">
        <f t="shared" si="746"/>
        <v>28660</v>
      </c>
      <c r="B21087" s="2" t="str">
        <f>"76537"</f>
        <v>76537</v>
      </c>
      <c r="C21087" s="1">
        <v>9.6651508488418696E-5</v>
      </c>
      <c r="D21087" s="1">
        <v>0</v>
      </c>
      <c r="E21087" s="1">
        <v>1.65549209502524E-4</v>
      </c>
      <c r="F21087" s="1">
        <v>9.4161958568738201E-5</v>
      </c>
    </row>
    <row r="21088" spans="1:6" x14ac:dyDescent="0.25">
      <c r="A21088" s="2" t="str">
        <f t="shared" si="746"/>
        <v>28660</v>
      </c>
      <c r="B21088" s="2" t="str">
        <f>"76579"</f>
        <v>76579</v>
      </c>
      <c r="C21088" s="1">
        <v>9.4670152564406106E-3</v>
      </c>
      <c r="D21088" s="1">
        <v>4.1011619958988303E-3</v>
      </c>
      <c r="E21088" s="1">
        <v>9.3535303368926393E-3</v>
      </c>
      <c r="F21088" s="1">
        <v>9.1251498031158992E-3</v>
      </c>
    </row>
    <row r="21089" spans="1:6" x14ac:dyDescent="0.25">
      <c r="A21089" s="2" t="str">
        <f t="shared" si="746"/>
        <v>28660</v>
      </c>
      <c r="B21089" s="2" t="str">
        <f>"76527"</f>
        <v>76527</v>
      </c>
      <c r="C21089" s="1">
        <v>5.5091359838398601E-4</v>
      </c>
      <c r="D21089" s="1">
        <v>1.3670539986329399E-4</v>
      </c>
      <c r="E21089" s="1">
        <v>5.7942223325883598E-4</v>
      </c>
      <c r="F21089" s="1">
        <v>5.2645095017976303E-4</v>
      </c>
    </row>
    <row r="21090" spans="1:6" x14ac:dyDescent="0.25">
      <c r="A21090" s="2" t="str">
        <f t="shared" si="746"/>
        <v>28660</v>
      </c>
      <c r="B21090" s="2" t="str">
        <f>"76522"</f>
        <v>76522</v>
      </c>
      <c r="C21090" s="1">
        <v>9.2104055014038594E-2</v>
      </c>
      <c r="D21090" s="1">
        <v>7.6896787423103199E-2</v>
      </c>
      <c r="E21090" s="1">
        <v>8.6251138150815296E-2</v>
      </c>
      <c r="F21090" s="1">
        <v>9.0849169662728907E-2</v>
      </c>
    </row>
    <row r="21091" spans="1:6" x14ac:dyDescent="0.25">
      <c r="A21091" s="2" t="str">
        <f t="shared" si="746"/>
        <v>28660</v>
      </c>
      <c r="B21091" s="2" t="str">
        <f>"76511"</f>
        <v>76511</v>
      </c>
      <c r="C21091" s="1">
        <v>1.7832203316113201E-3</v>
      </c>
      <c r="D21091" s="1">
        <v>8.8858509911141396E-4</v>
      </c>
      <c r="E21091" s="1">
        <v>4.9664762850757304E-4</v>
      </c>
      <c r="F21091" s="1">
        <v>1.66067454203047E-3</v>
      </c>
    </row>
    <row r="21092" spans="1:6" x14ac:dyDescent="0.25">
      <c r="A21092" s="2" t="str">
        <f t="shared" si="746"/>
        <v>28660</v>
      </c>
      <c r="B21092" s="2" t="str">
        <f>"76504"</f>
        <v>76504</v>
      </c>
      <c r="C21092" s="1">
        <v>5.8551483842284001E-2</v>
      </c>
      <c r="D21092" s="1">
        <v>9.7812713602187198E-2</v>
      </c>
      <c r="E21092" s="1">
        <v>2.7563943382170299E-2</v>
      </c>
      <c r="F21092" s="1">
        <v>5.9407635678822103E-2</v>
      </c>
    </row>
    <row r="21093" spans="1:6" x14ac:dyDescent="0.25">
      <c r="A21093" s="2" t="str">
        <f t="shared" si="746"/>
        <v>28660</v>
      </c>
      <c r="B21093" s="2" t="str">
        <f>"76656"</f>
        <v>76656</v>
      </c>
      <c r="C21093" s="1">
        <v>9.6651508488418692E-6</v>
      </c>
      <c r="D21093" s="1">
        <v>0</v>
      </c>
      <c r="E21093" s="1">
        <v>0</v>
      </c>
      <c r="F21093" s="1">
        <v>8.5601780517034701E-6</v>
      </c>
    </row>
    <row r="21094" spans="1:6" x14ac:dyDescent="0.25">
      <c r="A21094" s="2" t="str">
        <f t="shared" si="746"/>
        <v>28660</v>
      </c>
      <c r="B21094" s="2" t="str">
        <f>"76599"</f>
        <v>76599</v>
      </c>
      <c r="C21094" s="1">
        <v>0</v>
      </c>
      <c r="D21094" s="1">
        <v>1.3670539986329399E-4</v>
      </c>
      <c r="E21094" s="1">
        <v>0</v>
      </c>
      <c r="F21094" s="1">
        <v>8.5601780517034701E-6</v>
      </c>
    </row>
    <row r="21095" spans="1:6" x14ac:dyDescent="0.25">
      <c r="A21095" s="2" t="str">
        <f t="shared" si="746"/>
        <v>28660</v>
      </c>
      <c r="B21095" s="2" t="str">
        <f>"76597"</f>
        <v>76597</v>
      </c>
      <c r="C21095" s="1">
        <v>0</v>
      </c>
      <c r="D21095" s="1">
        <v>6.8352699931647294E-5</v>
      </c>
      <c r="E21095" s="1">
        <v>0</v>
      </c>
      <c r="F21095" s="1">
        <v>4.28008902585173E-6</v>
      </c>
    </row>
    <row r="21096" spans="1:6" x14ac:dyDescent="0.25">
      <c r="A21096" s="2" t="str">
        <f t="shared" si="746"/>
        <v>28660</v>
      </c>
      <c r="B21096" s="2" t="str">
        <f>"76528"</f>
        <v>76528</v>
      </c>
      <c r="C21096" s="1">
        <v>4.2207713756892397E-2</v>
      </c>
      <c r="D21096" s="1">
        <v>4.9829118250170799E-2</v>
      </c>
      <c r="E21096" s="1">
        <v>2.4501283006373598E-2</v>
      </c>
      <c r="F21096" s="1">
        <v>4.1769388803287101E-2</v>
      </c>
    </row>
    <row r="21097" spans="1:6" x14ac:dyDescent="0.25">
      <c r="A21097" s="2" t="str">
        <f t="shared" si="746"/>
        <v>28660</v>
      </c>
      <c r="B21097" s="2" t="str">
        <f>"76502"</f>
        <v>76502</v>
      </c>
      <c r="C21097" s="1">
        <v>9.6893137259639703E-2</v>
      </c>
      <c r="D21097" s="1">
        <v>7.8673957621325993E-2</v>
      </c>
      <c r="E21097" s="1">
        <v>3.7745219766575598E-2</v>
      </c>
      <c r="F21097" s="1">
        <v>9.2693888032871E-2</v>
      </c>
    </row>
    <row r="21098" spans="1:6" x14ac:dyDescent="0.25">
      <c r="A21098" s="2" t="str">
        <f t="shared" ref="A21098:A21132" si="747">"17780"</f>
        <v>17780</v>
      </c>
      <c r="B21098" s="2" t="str">
        <f>"77870"</f>
        <v>77870</v>
      </c>
      <c r="C21098" s="1">
        <v>0</v>
      </c>
      <c r="D21098" s="1">
        <v>1.00979501161264E-4</v>
      </c>
      <c r="E21098" s="1">
        <v>0</v>
      </c>
      <c r="F21098" s="1">
        <v>7.3020949710471903E-6</v>
      </c>
    </row>
    <row r="21099" spans="1:6" x14ac:dyDescent="0.25">
      <c r="A21099" s="2" t="str">
        <f t="shared" si="747"/>
        <v>17780</v>
      </c>
      <c r="B21099" s="2" t="str">
        <f>"77845"</f>
        <v>77845</v>
      </c>
      <c r="C21099" s="1">
        <v>0.233384890717241</v>
      </c>
      <c r="D21099" s="1">
        <v>0.168029889932343</v>
      </c>
      <c r="E21099" s="1">
        <v>0.17739668259769401</v>
      </c>
      <c r="F21099" s="1">
        <v>0.22720468502413299</v>
      </c>
    </row>
    <row r="21100" spans="1:6" x14ac:dyDescent="0.25">
      <c r="A21100" s="2" t="str">
        <f t="shared" si="747"/>
        <v>17780</v>
      </c>
      <c r="B21100" s="2" t="str">
        <f>"76687"</f>
        <v>76687</v>
      </c>
      <c r="C21100" s="1">
        <v>1.40905520419153E-3</v>
      </c>
      <c r="D21100" s="1">
        <v>3.0293850348379198E-4</v>
      </c>
      <c r="E21100" s="1">
        <v>0</v>
      </c>
      <c r="F21100" s="1">
        <v>1.2924708098753499E-3</v>
      </c>
    </row>
    <row r="21101" spans="1:6" x14ac:dyDescent="0.25">
      <c r="A21101" s="2" t="str">
        <f t="shared" si="747"/>
        <v>17780</v>
      </c>
      <c r="B21101" s="2" t="str">
        <f>"77879"</f>
        <v>77879</v>
      </c>
      <c r="C21101" s="1">
        <v>1.9921125300638901E-2</v>
      </c>
      <c r="D21101" s="1">
        <v>7.6744420882560796E-3</v>
      </c>
      <c r="E21101" s="1">
        <v>2.53022209727298E-3</v>
      </c>
      <c r="F21101" s="1">
        <v>1.8583831701315098E-2</v>
      </c>
    </row>
    <row r="21102" spans="1:6" x14ac:dyDescent="0.25">
      <c r="A21102" s="2" t="str">
        <f t="shared" si="747"/>
        <v>17780</v>
      </c>
      <c r="B21102" s="2" t="str">
        <f>"77863"</f>
        <v>77863</v>
      </c>
      <c r="C21102" s="1">
        <v>0</v>
      </c>
      <c r="D21102" s="1">
        <v>0</v>
      </c>
      <c r="E21102" s="1">
        <v>2.81135788585886E-4</v>
      </c>
      <c r="F21102" s="1">
        <v>7.3020949710471903E-6</v>
      </c>
    </row>
    <row r="21103" spans="1:6" x14ac:dyDescent="0.25">
      <c r="A21103" s="2" t="str">
        <f t="shared" si="747"/>
        <v>17780</v>
      </c>
      <c r="B21103" s="2" t="str">
        <f>"77856"</f>
        <v>77856</v>
      </c>
      <c r="C21103" s="1">
        <v>1.7596994015564301E-2</v>
      </c>
      <c r="D21103" s="1">
        <v>9.8959911138038897E-3</v>
      </c>
      <c r="E21103" s="1">
        <v>1.6868147315153199E-3</v>
      </c>
      <c r="F21103" s="1">
        <v>1.6626870249074398E-2</v>
      </c>
    </row>
    <row r="21104" spans="1:6" x14ac:dyDescent="0.25">
      <c r="A21104" s="2" t="str">
        <f t="shared" si="747"/>
        <v>17780</v>
      </c>
      <c r="B21104" s="2" t="str">
        <f>"77878"</f>
        <v>77878</v>
      </c>
      <c r="C21104" s="1">
        <v>0</v>
      </c>
      <c r="D21104" s="1">
        <v>1.00979501161264E-4</v>
      </c>
      <c r="E21104" s="1">
        <v>0</v>
      </c>
      <c r="F21104" s="1">
        <v>7.3020949710471903E-6</v>
      </c>
    </row>
    <row r="21105" spans="1:6" x14ac:dyDescent="0.25">
      <c r="A21105" s="2" t="str">
        <f t="shared" si="747"/>
        <v>17780</v>
      </c>
      <c r="B21105" s="2" t="str">
        <f>"77868"</f>
        <v>77868</v>
      </c>
      <c r="C21105" s="1">
        <v>3.9356369496384202E-3</v>
      </c>
      <c r="D21105" s="1">
        <v>2.5244875290315999E-3</v>
      </c>
      <c r="E21105" s="1">
        <v>0</v>
      </c>
      <c r="F21105" s="1">
        <v>3.7313705302051102E-3</v>
      </c>
    </row>
    <row r="21106" spans="1:6" x14ac:dyDescent="0.25">
      <c r="A21106" s="2" t="str">
        <f t="shared" si="747"/>
        <v>17780</v>
      </c>
      <c r="B21106" s="2" t="str">
        <f>"77862"</f>
        <v>77862</v>
      </c>
      <c r="C21106" s="1">
        <v>0</v>
      </c>
      <c r="D21106" s="1">
        <v>1.00979501161264E-4</v>
      </c>
      <c r="E21106" s="1">
        <v>0</v>
      </c>
      <c r="F21106" s="1">
        <v>7.3020949710471903E-6</v>
      </c>
    </row>
    <row r="21107" spans="1:6" x14ac:dyDescent="0.25">
      <c r="A21107" s="2" t="str">
        <f t="shared" si="747"/>
        <v>17780</v>
      </c>
      <c r="B21107" s="2" t="str">
        <f>"77808"</f>
        <v>77808</v>
      </c>
      <c r="C21107" s="1">
        <v>5.1300946658352699E-2</v>
      </c>
      <c r="D21107" s="1">
        <v>4.8975058063213103E-2</v>
      </c>
      <c r="E21107" s="1">
        <v>1.09642957548495E-2</v>
      </c>
      <c r="F21107" s="1">
        <v>5.0085069406412601E-2</v>
      </c>
    </row>
    <row r="21108" spans="1:6" x14ac:dyDescent="0.25">
      <c r="A21108" s="2" t="str">
        <f t="shared" si="747"/>
        <v>17780</v>
      </c>
      <c r="B21108" s="2" t="str">
        <f>"76653"</f>
        <v>76653</v>
      </c>
      <c r="C21108" s="1">
        <v>2.42940552446816E-5</v>
      </c>
      <c r="D21108" s="1">
        <v>0</v>
      </c>
      <c r="E21108" s="1">
        <v>0</v>
      </c>
      <c r="F21108" s="1">
        <v>2.1906284913141501E-5</v>
      </c>
    </row>
    <row r="21109" spans="1:6" x14ac:dyDescent="0.25">
      <c r="A21109" s="2" t="str">
        <f t="shared" si="747"/>
        <v>17780</v>
      </c>
      <c r="B21109" s="2" t="str">
        <f>"77803"</f>
        <v>77803</v>
      </c>
      <c r="C21109" s="1">
        <v>8.7507186991343203E-2</v>
      </c>
      <c r="D21109" s="1">
        <v>0.110572553771584</v>
      </c>
      <c r="E21109" s="1">
        <v>6.1568737700309198E-2</v>
      </c>
      <c r="F21109" s="1">
        <v>8.8501391049091896E-2</v>
      </c>
    </row>
    <row r="21110" spans="1:6" x14ac:dyDescent="0.25">
      <c r="A21110" s="2" t="str">
        <f t="shared" si="747"/>
        <v>17780</v>
      </c>
      <c r="B21110" s="2" t="str">
        <f>"77852"</f>
        <v>77852</v>
      </c>
      <c r="C21110" s="1">
        <v>0</v>
      </c>
      <c r="D21110" s="1">
        <v>1.00979501161264E-4</v>
      </c>
      <c r="E21110" s="1">
        <v>0</v>
      </c>
      <c r="F21110" s="1">
        <v>7.3020949710471903E-6</v>
      </c>
    </row>
    <row r="21111" spans="1:6" x14ac:dyDescent="0.25">
      <c r="A21111" s="2" t="str">
        <f t="shared" si="747"/>
        <v>17780</v>
      </c>
      <c r="B21111" s="2" t="str">
        <f>"77806"</f>
        <v>77806</v>
      </c>
      <c r="C21111" s="1">
        <v>1.0600306105096E-2</v>
      </c>
      <c r="D21111" s="1">
        <v>2.5547813793799799E-2</v>
      </c>
      <c r="E21111" s="1">
        <v>5.6227157717177298E-4</v>
      </c>
      <c r="F21111" s="1">
        <v>1.14204765347178E-2</v>
      </c>
    </row>
    <row r="21112" spans="1:6" x14ac:dyDescent="0.25">
      <c r="A21112" s="2" t="str">
        <f t="shared" si="747"/>
        <v>17780</v>
      </c>
      <c r="B21112" s="2" t="str">
        <f>"77805"</f>
        <v>77805</v>
      </c>
      <c r="C21112" s="1">
        <v>1.9046539311830299E-2</v>
      </c>
      <c r="D21112" s="1">
        <v>7.0685650812884901E-2</v>
      </c>
      <c r="E21112" s="1">
        <v>5.6227157717177298E-4</v>
      </c>
      <c r="F21112" s="1">
        <v>2.23005980415781E-2</v>
      </c>
    </row>
    <row r="21113" spans="1:6" x14ac:dyDescent="0.25">
      <c r="A21113" s="2" t="str">
        <f t="shared" si="747"/>
        <v>17780</v>
      </c>
      <c r="B21113" s="2" t="str">
        <f>"77867"</f>
        <v>77867</v>
      </c>
      <c r="C21113" s="1">
        <v>0</v>
      </c>
      <c r="D21113" s="1">
        <v>1.00979501161264E-4</v>
      </c>
      <c r="E21113" s="1">
        <v>0</v>
      </c>
      <c r="F21113" s="1">
        <v>7.3020949710471903E-6</v>
      </c>
    </row>
    <row r="21114" spans="1:6" x14ac:dyDescent="0.25">
      <c r="A21114" s="2" t="str">
        <f t="shared" si="747"/>
        <v>17780</v>
      </c>
      <c r="B21114" s="2" t="str">
        <f>"77881"</f>
        <v>77881</v>
      </c>
      <c r="C21114" s="1">
        <v>2.81811040838306E-3</v>
      </c>
      <c r="D21114" s="1">
        <v>1.2420478642835501E-2</v>
      </c>
      <c r="E21114" s="1">
        <v>2.81135788585886E-4</v>
      </c>
      <c r="F21114" s="1">
        <v>3.4465888263342701E-3</v>
      </c>
    </row>
    <row r="21115" spans="1:6" x14ac:dyDescent="0.25">
      <c r="A21115" s="2" t="str">
        <f t="shared" si="747"/>
        <v>17780</v>
      </c>
      <c r="B21115" s="2" t="str">
        <f>"77865"</f>
        <v>77865</v>
      </c>
      <c r="C21115" s="1">
        <v>1.13372257808514E-4</v>
      </c>
      <c r="D21115" s="1">
        <v>0</v>
      </c>
      <c r="E21115" s="1">
        <v>0</v>
      </c>
      <c r="F21115" s="1">
        <v>1.0222932959466E-4</v>
      </c>
    </row>
    <row r="21116" spans="1:6" x14ac:dyDescent="0.25">
      <c r="A21116" s="2" t="str">
        <f t="shared" si="747"/>
        <v>17780</v>
      </c>
      <c r="B21116" s="2" t="str">
        <f>"77837"</f>
        <v>77837</v>
      </c>
      <c r="C21116" s="1">
        <v>3.9356369496384202E-3</v>
      </c>
      <c r="D21116" s="1">
        <v>3.0293850348379202E-3</v>
      </c>
      <c r="E21116" s="1">
        <v>1.1245431543435401E-3</v>
      </c>
      <c r="F21116" s="1">
        <v>3.7970893849445398E-3</v>
      </c>
    </row>
    <row r="21117" spans="1:6" x14ac:dyDescent="0.25">
      <c r="A21117" s="2" t="str">
        <f t="shared" si="747"/>
        <v>17780</v>
      </c>
      <c r="B21117" s="2" t="str">
        <f>"76556"</f>
        <v>76556</v>
      </c>
      <c r="C21117" s="1">
        <v>1.3766631305319501E-4</v>
      </c>
      <c r="D21117" s="1">
        <v>0</v>
      </c>
      <c r="E21117" s="1">
        <v>0</v>
      </c>
      <c r="F21117" s="1">
        <v>1.24135614507802E-4</v>
      </c>
    </row>
    <row r="21118" spans="1:6" x14ac:dyDescent="0.25">
      <c r="A21118" s="2" t="str">
        <f t="shared" si="747"/>
        <v>17780</v>
      </c>
      <c r="B21118" s="2" t="str">
        <f>"76629"</f>
        <v>76629</v>
      </c>
      <c r="C21118" s="1">
        <v>6.9400017815640499E-3</v>
      </c>
      <c r="D21118" s="1">
        <v>3.53428254064424E-3</v>
      </c>
      <c r="E21118" s="1">
        <v>4.2170368287882997E-3</v>
      </c>
      <c r="F21118" s="1">
        <v>6.6230001387397996E-3</v>
      </c>
    </row>
    <row r="21119" spans="1:6" x14ac:dyDescent="0.25">
      <c r="A21119" s="2" t="str">
        <f t="shared" si="747"/>
        <v>17780</v>
      </c>
      <c r="B21119" s="2" t="str">
        <f>"77882"</f>
        <v>77882</v>
      </c>
      <c r="C21119" s="1">
        <v>0</v>
      </c>
      <c r="D21119" s="1">
        <v>1.00979501161264E-4</v>
      </c>
      <c r="E21119" s="1">
        <v>0</v>
      </c>
      <c r="F21119" s="1">
        <v>7.3020949710471903E-6</v>
      </c>
    </row>
    <row r="21120" spans="1:6" x14ac:dyDescent="0.25">
      <c r="A21120" s="2" t="str">
        <f t="shared" si="747"/>
        <v>17780</v>
      </c>
      <c r="B21120" s="2" t="str">
        <f>"77836"</f>
        <v>77836</v>
      </c>
      <c r="C21120" s="1">
        <v>4.28142233595439E-2</v>
      </c>
      <c r="D21120" s="1">
        <v>4.3017267494698502E-2</v>
      </c>
      <c r="E21120" s="1">
        <v>2.0522912566769701E-2</v>
      </c>
      <c r="F21120" s="1">
        <v>4.2249921502478999E-2</v>
      </c>
    </row>
    <row r="21121" spans="1:6" x14ac:dyDescent="0.25">
      <c r="A21121" s="2" t="str">
        <f t="shared" si="747"/>
        <v>17780</v>
      </c>
      <c r="B21121" s="2" t="str">
        <f>"77842"</f>
        <v>77842</v>
      </c>
      <c r="C21121" s="1">
        <v>1.5029922178043E-2</v>
      </c>
      <c r="D21121" s="1">
        <v>7.6744420882560796E-2</v>
      </c>
      <c r="E21121" s="1">
        <v>2.81135788585886E-4</v>
      </c>
      <c r="F21121" s="1">
        <v>1.91095825392305E-2</v>
      </c>
    </row>
    <row r="21122" spans="1:6" x14ac:dyDescent="0.25">
      <c r="A21122" s="2" t="str">
        <f t="shared" si="747"/>
        <v>17780</v>
      </c>
      <c r="B21122" s="2" t="str">
        <f>"77840"</f>
        <v>77840</v>
      </c>
      <c r="C21122" s="1">
        <v>0.196806141537165</v>
      </c>
      <c r="D21122" s="1">
        <v>0.15692214480460401</v>
      </c>
      <c r="E21122" s="1">
        <v>0.43969637334832701</v>
      </c>
      <c r="F21122" s="1">
        <v>0.200230746201085</v>
      </c>
    </row>
    <row r="21123" spans="1:6" x14ac:dyDescent="0.25">
      <c r="A21123" s="2" t="str">
        <f t="shared" si="747"/>
        <v>17780</v>
      </c>
      <c r="B21123" s="2" t="str">
        <f>"77807"</f>
        <v>77807</v>
      </c>
      <c r="C21123" s="1">
        <v>4.7519172058597202E-2</v>
      </c>
      <c r="D21123" s="1">
        <v>2.2417449257800599E-2</v>
      </c>
      <c r="E21123" s="1">
        <v>1.34945178521225E-2</v>
      </c>
      <c r="F21123" s="1">
        <v>4.4820258932287603E-2</v>
      </c>
    </row>
    <row r="21124" spans="1:6" x14ac:dyDescent="0.25">
      <c r="A21124" s="2" t="str">
        <f t="shared" si="747"/>
        <v>17780</v>
      </c>
      <c r="B21124" s="2" t="str">
        <f>"76567"</f>
        <v>76567</v>
      </c>
      <c r="C21124" s="1">
        <v>9.0697806246811403E-4</v>
      </c>
      <c r="D21124" s="1">
        <v>1.00979501161264E-4</v>
      </c>
      <c r="E21124" s="1">
        <v>0</v>
      </c>
      <c r="F21124" s="1">
        <v>8.2513673172833197E-4</v>
      </c>
    </row>
    <row r="21125" spans="1:6" x14ac:dyDescent="0.25">
      <c r="A21125" s="2" t="str">
        <f t="shared" si="747"/>
        <v>17780</v>
      </c>
      <c r="B21125" s="2" t="str">
        <f>"77866"</f>
        <v>77866</v>
      </c>
      <c r="C21125" s="1">
        <v>0</v>
      </c>
      <c r="D21125" s="1">
        <v>1.00979501161264E-4</v>
      </c>
      <c r="E21125" s="1">
        <v>0</v>
      </c>
      <c r="F21125" s="1">
        <v>7.3020949710471903E-6</v>
      </c>
    </row>
    <row r="21126" spans="1:6" x14ac:dyDescent="0.25">
      <c r="A21126" s="2" t="str">
        <f t="shared" si="747"/>
        <v>17780</v>
      </c>
      <c r="B21126" s="2" t="str">
        <f>"77838"</f>
        <v>77838</v>
      </c>
      <c r="C21126" s="1">
        <v>0</v>
      </c>
      <c r="D21126" s="1">
        <v>1.00979501161264E-4</v>
      </c>
      <c r="E21126" s="1">
        <v>0</v>
      </c>
      <c r="F21126" s="1">
        <v>7.3020949710471903E-6</v>
      </c>
    </row>
    <row r="21127" spans="1:6" x14ac:dyDescent="0.25">
      <c r="A21127" s="2" t="str">
        <f t="shared" si="747"/>
        <v>17780</v>
      </c>
      <c r="B21127" s="2" t="str">
        <f>"77844"</f>
        <v>77844</v>
      </c>
      <c r="C21127" s="1">
        <v>0</v>
      </c>
      <c r="D21127" s="1">
        <v>1.00979501161264E-4</v>
      </c>
      <c r="E21127" s="1">
        <v>0</v>
      </c>
      <c r="F21127" s="1">
        <v>7.3020949710471903E-6</v>
      </c>
    </row>
    <row r="21128" spans="1:6" x14ac:dyDescent="0.25">
      <c r="A21128" s="2" t="str">
        <f t="shared" si="747"/>
        <v>17780</v>
      </c>
      <c r="B21128" s="2" t="str">
        <f>"77843"</f>
        <v>77843</v>
      </c>
      <c r="C21128" s="1">
        <v>0</v>
      </c>
      <c r="D21128" s="1">
        <v>3.0293850348379198E-4</v>
      </c>
      <c r="E21128" s="1">
        <v>2.81135788585886E-4</v>
      </c>
      <c r="F21128" s="1">
        <v>2.92083798841887E-5</v>
      </c>
    </row>
    <row r="21129" spans="1:6" x14ac:dyDescent="0.25">
      <c r="A21129" s="2" t="str">
        <f t="shared" si="747"/>
        <v>17780</v>
      </c>
      <c r="B21129" s="2" t="str">
        <f>"77859"</f>
        <v>77859</v>
      </c>
      <c r="C21129" s="1">
        <v>2.8950415833245601E-2</v>
      </c>
      <c r="D21129" s="1">
        <v>3.2717358376249603E-2</v>
      </c>
      <c r="E21129" s="1">
        <v>1.85549620466685E-2</v>
      </c>
      <c r="F21129" s="1">
        <v>2.8952806560202101E-2</v>
      </c>
    </row>
    <row r="21130" spans="1:6" x14ac:dyDescent="0.25">
      <c r="A21130" s="2" t="str">
        <f t="shared" si="747"/>
        <v>17780</v>
      </c>
      <c r="B21130" s="2" t="str">
        <f>"77841"</f>
        <v>77841</v>
      </c>
      <c r="C21130" s="1">
        <v>4.7381505745543999E-2</v>
      </c>
      <c r="D21130" s="1">
        <v>1.01989296172876E-2</v>
      </c>
      <c r="E21130" s="1">
        <v>2.81135788585886E-4</v>
      </c>
      <c r="F21130" s="1">
        <v>4.3469371362643901E-2</v>
      </c>
    </row>
    <row r="21131" spans="1:6" x14ac:dyDescent="0.25">
      <c r="A21131" s="2" t="str">
        <f t="shared" si="747"/>
        <v>17780</v>
      </c>
      <c r="B21131" s="2" t="str">
        <f>"77802"</f>
        <v>77802</v>
      </c>
      <c r="C21131" s="1">
        <v>0.10197024788034301</v>
      </c>
      <c r="D21131" s="1">
        <v>0.14450166616176899</v>
      </c>
      <c r="E21131" s="1">
        <v>0.11020522912566701</v>
      </c>
      <c r="F21131" s="1">
        <v>0.10525969900764499</v>
      </c>
    </row>
    <row r="21132" spans="1:6" x14ac:dyDescent="0.25">
      <c r="A21132" s="2" t="str">
        <f t="shared" si="747"/>
        <v>17780</v>
      </c>
      <c r="B21132" s="2" t="str">
        <f>"77801"</f>
        <v>77801</v>
      </c>
      <c r="C21132" s="1">
        <v>5.9949630325459302E-2</v>
      </c>
      <c r="D21132" s="1">
        <v>4.8975058063213103E-2</v>
      </c>
      <c r="E21132" s="1">
        <v>0.13550745009839699</v>
      </c>
      <c r="F21132" s="1">
        <v>6.1118534907665001E-2</v>
      </c>
    </row>
    <row r="21133" spans="1:6" x14ac:dyDescent="0.25">
      <c r="A21133" s="2" t="str">
        <f t="shared" ref="A21133:A21172" si="748">"13140"</f>
        <v>13140</v>
      </c>
      <c r="B21133" s="2" t="str">
        <f>"77662"</f>
        <v>77662</v>
      </c>
      <c r="C21133" s="1">
        <v>6.6911933777879906E-2</v>
      </c>
      <c r="D21133" s="1">
        <v>4.6642915867360898E-2</v>
      </c>
      <c r="E21133" s="1">
        <v>5.55816135084427E-2</v>
      </c>
      <c r="F21133" s="1">
        <v>6.4956865312229606E-2</v>
      </c>
    </row>
    <row r="21134" spans="1:6" x14ac:dyDescent="0.25">
      <c r="A21134" s="2" t="str">
        <f t="shared" si="748"/>
        <v>13140</v>
      </c>
      <c r="B21134" s="2" t="str">
        <f>"77632"</f>
        <v>77632</v>
      </c>
      <c r="C21134" s="1">
        <v>4.7774828069148602E-2</v>
      </c>
      <c r="D21134" s="1">
        <v>2.0772814469717699E-2</v>
      </c>
      <c r="E21134" s="1">
        <v>2.55628517823639E-2</v>
      </c>
      <c r="F21134" s="1">
        <v>4.5028405769994999E-2</v>
      </c>
    </row>
    <row r="21135" spans="1:6" x14ac:dyDescent="0.25">
      <c r="A21135" s="2" t="str">
        <f t="shared" si="748"/>
        <v>13140</v>
      </c>
      <c r="B21135" s="2" t="str">
        <f>"77725"</f>
        <v>77725</v>
      </c>
      <c r="C21135" s="1">
        <v>5.3356048412383202E-3</v>
      </c>
      <c r="D21135" s="1">
        <v>6.1386681282543099E-3</v>
      </c>
      <c r="E21135" s="1">
        <v>4.6904315196998102E-4</v>
      </c>
      <c r="F21135" s="1">
        <v>5.3070862459962996E-3</v>
      </c>
    </row>
    <row r="21136" spans="1:6" x14ac:dyDescent="0.25">
      <c r="A21136" s="2" t="str">
        <f t="shared" si="748"/>
        <v>13140</v>
      </c>
      <c r="B21136" s="2" t="str">
        <f>"77713"</f>
        <v>77713</v>
      </c>
      <c r="C21136" s="1">
        <v>3.7814335583937701E-2</v>
      </c>
      <c r="D21136" s="1">
        <v>1.20032885722115E-2</v>
      </c>
      <c r="E21136" s="1">
        <v>1.4774859287054401E-2</v>
      </c>
      <c r="F21136" s="1">
        <v>3.5153017090220402E-2</v>
      </c>
    </row>
    <row r="21137" spans="1:6" x14ac:dyDescent="0.25">
      <c r="A21137" s="2" t="str">
        <f t="shared" si="748"/>
        <v>13140</v>
      </c>
      <c r="B21137" s="2" t="str">
        <f>"77622"</f>
        <v>77622</v>
      </c>
      <c r="C21137" s="1">
        <v>2.1269257300528801E-3</v>
      </c>
      <c r="D21137" s="1">
        <v>1.0413812003288499E-3</v>
      </c>
      <c r="E21137" s="1">
        <v>2.0872420262664101E-2</v>
      </c>
      <c r="F21137" s="1">
        <v>2.40806116007761E-3</v>
      </c>
    </row>
    <row r="21138" spans="1:6" x14ac:dyDescent="0.25">
      <c r="A21138" s="2" t="str">
        <f t="shared" si="748"/>
        <v>13140</v>
      </c>
      <c r="B21138" s="2" t="str">
        <f>"77708"</f>
        <v>77708</v>
      </c>
      <c r="C21138" s="1">
        <v>2.8658625807395598E-2</v>
      </c>
      <c r="D21138" s="1">
        <v>2.19786242806248E-2</v>
      </c>
      <c r="E21138" s="1">
        <v>3.4943714821763602E-2</v>
      </c>
      <c r="F21138" s="1">
        <v>2.8214060271666699E-2</v>
      </c>
    </row>
    <row r="21139" spans="1:6" x14ac:dyDescent="0.25">
      <c r="A21139" s="2" t="str">
        <f t="shared" si="748"/>
        <v>13140</v>
      </c>
      <c r="B21139" s="2" t="str">
        <f>"77659"</f>
        <v>77659</v>
      </c>
      <c r="C21139" s="1">
        <v>1.04726269361817E-2</v>
      </c>
      <c r="D21139" s="1">
        <v>4.3299534118936599E-3</v>
      </c>
      <c r="E21139" s="1">
        <v>5.1594746716697899E-3</v>
      </c>
      <c r="F21139" s="1">
        <v>9.8426577513852104E-3</v>
      </c>
    </row>
    <row r="21140" spans="1:6" x14ac:dyDescent="0.25">
      <c r="A21140" s="2" t="str">
        <f t="shared" si="748"/>
        <v>13140</v>
      </c>
      <c r="B21140" s="2" t="str">
        <f>"77726"</f>
        <v>77726</v>
      </c>
      <c r="C21140" s="1">
        <v>7.4207236773343897E-3</v>
      </c>
      <c r="D21140" s="1">
        <v>3.4036722389695802E-2</v>
      </c>
      <c r="E21140" s="1">
        <v>2.3452157598499E-4</v>
      </c>
      <c r="F21140" s="1">
        <v>9.5480793958805706E-3</v>
      </c>
    </row>
    <row r="21141" spans="1:6" x14ac:dyDescent="0.25">
      <c r="A21141" s="2" t="str">
        <f t="shared" si="748"/>
        <v>13140</v>
      </c>
      <c r="B21141" s="2" t="str">
        <f>"77625"</f>
        <v>77625</v>
      </c>
      <c r="C21141" s="1">
        <v>2.0161374610673299E-2</v>
      </c>
      <c r="D21141" s="1">
        <v>1.0249383392710301E-2</v>
      </c>
      <c r="E21141" s="1">
        <v>1.03189493433395E-2</v>
      </c>
      <c r="F21141" s="1">
        <v>1.9119538026325E-2</v>
      </c>
    </row>
    <row r="21142" spans="1:6" x14ac:dyDescent="0.25">
      <c r="A21142" s="2" t="str">
        <f t="shared" si="748"/>
        <v>13140</v>
      </c>
      <c r="B21142" s="2" t="str">
        <f>"77613"</f>
        <v>77613</v>
      </c>
      <c r="C21142" s="1">
        <v>0</v>
      </c>
      <c r="D21142" s="1">
        <v>5.4809536859413502E-5</v>
      </c>
      <c r="E21142" s="1">
        <v>0</v>
      </c>
      <c r="F21142" s="1">
        <v>4.6758469127720698E-6</v>
      </c>
    </row>
    <row r="21143" spans="1:6" x14ac:dyDescent="0.25">
      <c r="A21143" s="2" t="str">
        <f t="shared" si="748"/>
        <v>13140</v>
      </c>
      <c r="B21143" s="2" t="str">
        <f>"77619"</f>
        <v>77619</v>
      </c>
      <c r="C21143" s="1">
        <v>4.2512385292334698E-2</v>
      </c>
      <c r="D21143" s="1">
        <v>2.7898054261441398E-2</v>
      </c>
      <c r="E21143" s="1">
        <v>2.6969981238273901E-2</v>
      </c>
      <c r="F21143" s="1">
        <v>4.0955743108970599E-2</v>
      </c>
    </row>
    <row r="21144" spans="1:6" x14ac:dyDescent="0.25">
      <c r="A21144" s="2" t="str">
        <f t="shared" si="748"/>
        <v>13140</v>
      </c>
      <c r="B21144" s="2" t="str">
        <f>"77519"</f>
        <v>77519</v>
      </c>
      <c r="C21144" s="1">
        <v>8.6226718785927697E-4</v>
      </c>
      <c r="D21144" s="1">
        <v>3.2885722115648099E-4</v>
      </c>
      <c r="E21144" s="1">
        <v>2.3452157598498999E-3</v>
      </c>
      <c r="F21144" s="1">
        <v>8.4632829121174496E-4</v>
      </c>
    </row>
    <row r="21145" spans="1:6" x14ac:dyDescent="0.25">
      <c r="A21145" s="2" t="str">
        <f t="shared" si="748"/>
        <v>13140</v>
      </c>
      <c r="B21145" s="2" t="str">
        <f>"77664"</f>
        <v>77664</v>
      </c>
      <c r="C21145" s="1">
        <v>1.14968958381237E-4</v>
      </c>
      <c r="D21145" s="1">
        <v>0</v>
      </c>
      <c r="E21145" s="1">
        <v>0</v>
      </c>
      <c r="F21145" s="1">
        <v>1.02868632080985E-4</v>
      </c>
    </row>
    <row r="21146" spans="1:6" x14ac:dyDescent="0.25">
      <c r="A21146" s="2" t="str">
        <f t="shared" si="748"/>
        <v>13140</v>
      </c>
      <c r="B21146" s="2" t="str">
        <f>"77663"</f>
        <v>77663</v>
      </c>
      <c r="C21146" s="1">
        <v>0</v>
      </c>
      <c r="D21146" s="1">
        <v>1.09619073718827E-4</v>
      </c>
      <c r="E21146" s="1">
        <v>0</v>
      </c>
      <c r="F21146" s="1">
        <v>9.3516938255441498E-6</v>
      </c>
    </row>
    <row r="21147" spans="1:6" x14ac:dyDescent="0.25">
      <c r="A21147" s="2" t="str">
        <f t="shared" si="748"/>
        <v>13140</v>
      </c>
      <c r="B21147" s="2" t="str">
        <f>"77585"</f>
        <v>77585</v>
      </c>
      <c r="C21147" s="1">
        <v>1.4684671502330699E-3</v>
      </c>
      <c r="D21147" s="1">
        <v>3.8366675801589399E-4</v>
      </c>
      <c r="E21147" s="1">
        <v>6.0975609756097502E-3</v>
      </c>
      <c r="F21147" s="1">
        <v>1.46821593061043E-3</v>
      </c>
    </row>
    <row r="21148" spans="1:6" x14ac:dyDescent="0.25">
      <c r="A21148" s="2" t="str">
        <f t="shared" si="748"/>
        <v>13140</v>
      </c>
      <c r="B21148" s="2" t="str">
        <f>"77665"</f>
        <v>77665</v>
      </c>
      <c r="C21148" s="1">
        <v>2.7697067246388899E-3</v>
      </c>
      <c r="D21148" s="1">
        <v>8.2214305289120303E-4</v>
      </c>
      <c r="E21148" s="1">
        <v>4.6904315196998102E-4</v>
      </c>
      <c r="F21148" s="1">
        <v>2.5576882612863201E-3</v>
      </c>
    </row>
    <row r="21149" spans="1:6" x14ac:dyDescent="0.25">
      <c r="A21149" s="2" t="str">
        <f t="shared" si="748"/>
        <v>13140</v>
      </c>
      <c r="B21149" s="2" t="str">
        <f>"77703"</f>
        <v>77703</v>
      </c>
      <c r="C21149" s="1">
        <v>3.6387675327661503E-2</v>
      </c>
      <c r="D21149" s="1">
        <v>2.95423403672238E-2</v>
      </c>
      <c r="E21149" s="1">
        <v>5.5347091932457702E-2</v>
      </c>
      <c r="F21149" s="1">
        <v>3.6181703411030303E-2</v>
      </c>
    </row>
    <row r="21150" spans="1:6" x14ac:dyDescent="0.25">
      <c r="A21150" s="2" t="str">
        <f t="shared" si="748"/>
        <v>13140</v>
      </c>
      <c r="B21150" s="2" t="str">
        <f>"77656"</f>
        <v>77656</v>
      </c>
      <c r="C21150" s="1">
        <v>4.3714333493593001E-2</v>
      </c>
      <c r="D21150" s="1">
        <v>2.82269114825979E-2</v>
      </c>
      <c r="E21150" s="1">
        <v>3.1660412757973697E-2</v>
      </c>
      <c r="F21150" s="1">
        <v>4.2152759918640197E-2</v>
      </c>
    </row>
    <row r="21151" spans="1:6" x14ac:dyDescent="0.25">
      <c r="A21151" s="2" t="str">
        <f t="shared" si="748"/>
        <v>13140</v>
      </c>
      <c r="B21151" s="2" t="str">
        <f>"77670"</f>
        <v>77670</v>
      </c>
      <c r="C21151" s="1">
        <v>9.3804218315600204E-3</v>
      </c>
      <c r="D21151" s="1">
        <v>8.9887640449438193E-3</v>
      </c>
      <c r="E21151" s="1">
        <v>2.3452157598499E-4</v>
      </c>
      <c r="F21151" s="1">
        <v>9.1646599490332603E-3</v>
      </c>
    </row>
    <row r="21152" spans="1:6" x14ac:dyDescent="0.25">
      <c r="A21152" s="2" t="str">
        <f t="shared" si="748"/>
        <v>13140</v>
      </c>
      <c r="B21152" s="2" t="str">
        <f>"77651"</f>
        <v>77651</v>
      </c>
      <c r="C21152" s="1">
        <v>3.5410439181420998E-2</v>
      </c>
      <c r="D21152" s="1">
        <v>2.7021101671690799E-2</v>
      </c>
      <c r="E21152" s="1">
        <v>1.9934333958724199E-2</v>
      </c>
      <c r="F21152" s="1">
        <v>3.4386178196525799E-2</v>
      </c>
    </row>
    <row r="21153" spans="1:6" x14ac:dyDescent="0.25">
      <c r="A21153" s="2" t="str">
        <f t="shared" si="748"/>
        <v>13140</v>
      </c>
      <c r="B21153" s="2" t="str">
        <f>"77640"</f>
        <v>77640</v>
      </c>
      <c r="C21153" s="1">
        <v>5.0183950333409902E-2</v>
      </c>
      <c r="D21153" s="1">
        <v>5.1082488352973403E-2</v>
      </c>
      <c r="E21153" s="1">
        <v>3.65853658536585E-2</v>
      </c>
      <c r="F21153" s="1">
        <v>4.9989479344446197E-2</v>
      </c>
    </row>
    <row r="21154" spans="1:6" x14ac:dyDescent="0.25">
      <c r="A21154" s="2" t="str">
        <f t="shared" si="748"/>
        <v>13140</v>
      </c>
      <c r="B21154" s="2" t="str">
        <f>"77626"</f>
        <v>77626</v>
      </c>
      <c r="C21154" s="1">
        <v>0</v>
      </c>
      <c r="D21154" s="1">
        <v>5.4809536859413502E-5</v>
      </c>
      <c r="E21154" s="1">
        <v>0</v>
      </c>
      <c r="F21154" s="1">
        <v>4.6758469127720698E-6</v>
      </c>
    </row>
    <row r="21155" spans="1:6" x14ac:dyDescent="0.25">
      <c r="A21155" s="2" t="str">
        <f t="shared" si="748"/>
        <v>13140</v>
      </c>
      <c r="B21155" s="2" t="str">
        <f>"77701"</f>
        <v>77701</v>
      </c>
      <c r="C21155" s="1">
        <v>3.4799013357302601E-2</v>
      </c>
      <c r="D21155" s="1">
        <v>0.105508358454371</v>
      </c>
      <c r="E21155" s="1">
        <v>9.0056285178236301E-2</v>
      </c>
      <c r="F21155" s="1">
        <v>4.19329951137399E-2</v>
      </c>
    </row>
    <row r="21156" spans="1:6" x14ac:dyDescent="0.25">
      <c r="A21156" s="2" t="str">
        <f t="shared" si="748"/>
        <v>13140</v>
      </c>
      <c r="B21156" s="2" t="str">
        <f>"77657"</f>
        <v>77657</v>
      </c>
      <c r="C21156" s="1">
        <v>5.4490060410961702E-2</v>
      </c>
      <c r="D21156" s="1">
        <v>3.8421485338448802E-2</v>
      </c>
      <c r="E21156" s="1">
        <v>3.2598499061913602E-2</v>
      </c>
      <c r="F21156" s="1">
        <v>5.2682767166202897E-2</v>
      </c>
    </row>
    <row r="21157" spans="1:6" x14ac:dyDescent="0.25">
      <c r="A21157" s="2" t="str">
        <f t="shared" si="748"/>
        <v>13140</v>
      </c>
      <c r="B21157" s="2" t="str">
        <f>"77639"</f>
        <v>77639</v>
      </c>
      <c r="C21157" s="1">
        <v>0</v>
      </c>
      <c r="D21157" s="1">
        <v>5.4809536859413502E-5</v>
      </c>
      <c r="E21157" s="1">
        <v>0</v>
      </c>
      <c r="F21157" s="1">
        <v>4.6758469127720698E-6</v>
      </c>
    </row>
    <row r="21158" spans="1:6" x14ac:dyDescent="0.25">
      <c r="A21158" s="2" t="str">
        <f t="shared" si="748"/>
        <v>13140</v>
      </c>
      <c r="B21158" s="2" t="str">
        <f>"77720"</f>
        <v>77720</v>
      </c>
      <c r="C21158" s="1">
        <v>1.01224941992934E-2</v>
      </c>
      <c r="D21158" s="1">
        <v>2.19786242806248E-2</v>
      </c>
      <c r="E21158" s="1">
        <v>4.6904315196998102E-4</v>
      </c>
      <c r="F21158" s="1">
        <v>1.0941481775886599E-2</v>
      </c>
    </row>
    <row r="21159" spans="1:6" x14ac:dyDescent="0.25">
      <c r="A21159" s="2" t="str">
        <f t="shared" si="748"/>
        <v>13140</v>
      </c>
      <c r="B21159" s="2" t="str">
        <f>"77630"</f>
        <v>77630</v>
      </c>
      <c r="C21159" s="1">
        <v>7.6313259056418406E-2</v>
      </c>
      <c r="D21159" s="1">
        <v>7.2951493559879399E-2</v>
      </c>
      <c r="E21159" s="1">
        <v>5.6285178236397698E-2</v>
      </c>
      <c r="F21159" s="1">
        <v>7.5627147967175498E-2</v>
      </c>
    </row>
    <row r="21160" spans="1:6" x14ac:dyDescent="0.25">
      <c r="A21160" s="2" t="str">
        <f t="shared" si="748"/>
        <v>13140</v>
      </c>
      <c r="B21160" s="2" t="str">
        <f>"77611"</f>
        <v>77611</v>
      </c>
      <c r="C21160" s="1">
        <v>2.28788227178661E-2</v>
      </c>
      <c r="D21160" s="1">
        <v>1.9347766511372901E-2</v>
      </c>
      <c r="E21160" s="1">
        <v>2.4624765478424002E-2</v>
      </c>
      <c r="F21160" s="1">
        <v>2.2612395670165701E-2</v>
      </c>
    </row>
    <row r="21161" spans="1:6" x14ac:dyDescent="0.25">
      <c r="A21161" s="2" t="str">
        <f t="shared" si="748"/>
        <v>13140</v>
      </c>
      <c r="B21161" s="2" t="str">
        <f>"77564"</f>
        <v>77564</v>
      </c>
      <c r="C21161" s="1">
        <v>4.9645686573715996E-4</v>
      </c>
      <c r="D21161" s="1">
        <v>0</v>
      </c>
      <c r="E21161" s="1">
        <v>0</v>
      </c>
      <c r="F21161" s="1">
        <v>4.4420545671334703E-4</v>
      </c>
    </row>
    <row r="21162" spans="1:6" x14ac:dyDescent="0.25">
      <c r="A21162" s="2" t="str">
        <f t="shared" si="748"/>
        <v>13140</v>
      </c>
      <c r="B21162" s="2" t="str">
        <f>"77374"</f>
        <v>77374</v>
      </c>
      <c r="C21162" s="1">
        <v>0</v>
      </c>
      <c r="D21162" s="1">
        <v>5.4809536859413502E-5</v>
      </c>
      <c r="E21162" s="1">
        <v>0</v>
      </c>
      <c r="F21162" s="1">
        <v>4.6758469127720698E-6</v>
      </c>
    </row>
    <row r="21163" spans="1:6" x14ac:dyDescent="0.25">
      <c r="A21163" s="2" t="str">
        <f t="shared" si="748"/>
        <v>13140</v>
      </c>
      <c r="B21163" s="2" t="str">
        <f>"77376"</f>
        <v>77376</v>
      </c>
      <c r="C21163" s="1">
        <v>0</v>
      </c>
      <c r="D21163" s="1">
        <v>5.4809536859413502E-5</v>
      </c>
      <c r="E21163" s="1">
        <v>0</v>
      </c>
      <c r="F21163" s="1">
        <v>4.6758469127720698E-6</v>
      </c>
    </row>
    <row r="21164" spans="1:6" x14ac:dyDescent="0.25">
      <c r="A21164" s="2" t="str">
        <f t="shared" si="748"/>
        <v>13140</v>
      </c>
      <c r="B21164" s="2" t="str">
        <f>"77707"</f>
        <v>77707</v>
      </c>
      <c r="C21164" s="1">
        <v>3.7903175233596001E-2</v>
      </c>
      <c r="D21164" s="1">
        <v>5.9468347492463602E-2</v>
      </c>
      <c r="E21164" s="1">
        <v>4.1979362101313297E-2</v>
      </c>
      <c r="F21164" s="1">
        <v>3.9824188156079701E-2</v>
      </c>
    </row>
    <row r="21165" spans="1:6" x14ac:dyDescent="0.25">
      <c r="A21165" s="2" t="str">
        <f t="shared" si="748"/>
        <v>13140</v>
      </c>
      <c r="B21165" s="2" t="str">
        <f>"77706"</f>
        <v>77706</v>
      </c>
      <c r="C21165" s="1">
        <v>7.6250548715483105E-2</v>
      </c>
      <c r="D21165" s="1">
        <v>7.5143875034255903E-2</v>
      </c>
      <c r="E21165" s="1">
        <v>0.10811444652908</v>
      </c>
      <c r="F21165" s="1">
        <v>7.6791433848455798E-2</v>
      </c>
    </row>
    <row r="21166" spans="1:6" x14ac:dyDescent="0.25">
      <c r="A21166" s="2" t="str">
        <f t="shared" si="748"/>
        <v>13140</v>
      </c>
      <c r="B21166" s="2" t="str">
        <f>"77705"</f>
        <v>77705</v>
      </c>
      <c r="C21166" s="1">
        <v>7.1860824850017699E-2</v>
      </c>
      <c r="D21166" s="1">
        <v>6.5332967936420905E-2</v>
      </c>
      <c r="E21166" s="1">
        <v>9.4277673545966195E-2</v>
      </c>
      <c r="F21166" s="1">
        <v>7.1750870876487502E-2</v>
      </c>
    </row>
    <row r="21167" spans="1:6" x14ac:dyDescent="0.25">
      <c r="A21167" s="2" t="str">
        <f t="shared" si="748"/>
        <v>13140</v>
      </c>
      <c r="B21167" s="2" t="str">
        <f>"77704"</f>
        <v>77704</v>
      </c>
      <c r="C21167" s="1">
        <v>9.2393235644557693E-3</v>
      </c>
      <c r="D21167" s="1">
        <v>2.5924910934502599E-2</v>
      </c>
      <c r="E21167" s="1">
        <v>4.6904315196998102E-4</v>
      </c>
      <c r="F21167" s="1">
        <v>1.04879246253477E-2</v>
      </c>
    </row>
    <row r="21168" spans="1:6" x14ac:dyDescent="0.25">
      <c r="A21168" s="2" t="str">
        <f t="shared" si="748"/>
        <v>13140</v>
      </c>
      <c r="B21168" s="2" t="str">
        <f>"77702"</f>
        <v>77702</v>
      </c>
      <c r="C21168" s="1">
        <v>7.9433098517945593E-3</v>
      </c>
      <c r="D21168" s="1">
        <v>3.9243628391339998E-2</v>
      </c>
      <c r="E21168" s="1">
        <v>4.0103189493433299E-2</v>
      </c>
      <c r="F21168" s="1">
        <v>1.12547635190423E-2</v>
      </c>
    </row>
    <row r="21169" spans="1:6" x14ac:dyDescent="0.25">
      <c r="A21169" s="2" t="str">
        <f t="shared" si="748"/>
        <v>13140</v>
      </c>
      <c r="B21169" s="2" t="str">
        <f>"77655"</f>
        <v>77655</v>
      </c>
      <c r="C21169" s="1">
        <v>1.04517234892033E-4</v>
      </c>
      <c r="D21169" s="1">
        <v>2.7404768429706701E-4</v>
      </c>
      <c r="E21169" s="1">
        <v>0</v>
      </c>
      <c r="F21169" s="1">
        <v>1.16896172819301E-4</v>
      </c>
    </row>
    <row r="21170" spans="1:6" x14ac:dyDescent="0.25">
      <c r="A21170" s="2" t="str">
        <f t="shared" si="748"/>
        <v>13140</v>
      </c>
      <c r="B21170" s="2" t="str">
        <f>"77642"</f>
        <v>77642</v>
      </c>
      <c r="C21170" s="1">
        <v>8.6911306674470598E-2</v>
      </c>
      <c r="D21170" s="1">
        <v>7.3006303096738806E-2</v>
      </c>
      <c r="E21170" s="1">
        <v>0.11702626641651</v>
      </c>
      <c r="F21170" s="1">
        <v>8.6325485703598007E-2</v>
      </c>
    </row>
    <row r="21171" spans="1:6" x14ac:dyDescent="0.25">
      <c r="A21171" s="2" t="str">
        <f t="shared" si="748"/>
        <v>13140</v>
      </c>
      <c r="B21171" s="2" t="str">
        <f>"77629"</f>
        <v>77629</v>
      </c>
      <c r="C21171" s="1">
        <v>0</v>
      </c>
      <c r="D21171" s="1">
        <v>5.4809536859413502E-5</v>
      </c>
      <c r="E21171" s="1">
        <v>0</v>
      </c>
      <c r="F21171" s="1">
        <v>4.6758469127720698E-6</v>
      </c>
    </row>
    <row r="21172" spans="1:6" x14ac:dyDescent="0.25">
      <c r="A21172" s="2" t="str">
        <f t="shared" si="748"/>
        <v>13140</v>
      </c>
      <c r="B21172" s="2" t="str">
        <f>"77627"</f>
        <v>77627</v>
      </c>
      <c r="C21172" s="1">
        <v>6.1205292752774899E-2</v>
      </c>
      <c r="D21172" s="1">
        <v>7.1471636064675201E-2</v>
      </c>
      <c r="E21172" s="1">
        <v>4.6435272045028099E-2</v>
      </c>
      <c r="F21172" s="1">
        <v>6.1786641105370202E-2</v>
      </c>
    </row>
    <row r="21173" spans="1:6" x14ac:dyDescent="0.25">
      <c r="A21173" s="2" t="str">
        <f t="shared" ref="A21173:A21178" si="749">"49820"</f>
        <v>49820</v>
      </c>
      <c r="B21173" s="2" t="str">
        <f>"78361"</f>
        <v>78361</v>
      </c>
      <c r="C21173" s="1">
        <v>6.79717237629146E-4</v>
      </c>
      <c r="D21173" s="1">
        <v>0</v>
      </c>
      <c r="E21173" s="1">
        <v>0</v>
      </c>
      <c r="F21173" s="1">
        <v>6.3059654433093696E-4</v>
      </c>
    </row>
    <row r="21174" spans="1:6" x14ac:dyDescent="0.25">
      <c r="A21174" s="2" t="str">
        <f t="shared" si="749"/>
        <v>49820</v>
      </c>
      <c r="B21174" s="2" t="str">
        <f>"78584"</f>
        <v>78584</v>
      </c>
      <c r="C21174" s="1">
        <v>5.7096247960848204E-3</v>
      </c>
      <c r="D21174" s="1">
        <v>0</v>
      </c>
      <c r="E21174" s="1">
        <v>0</v>
      </c>
      <c r="F21174" s="1">
        <v>5.2970109723798698E-3</v>
      </c>
    </row>
    <row r="21175" spans="1:6" x14ac:dyDescent="0.25">
      <c r="A21175" s="2" t="str">
        <f t="shared" si="749"/>
        <v>49820</v>
      </c>
      <c r="B21175" s="2" t="str">
        <f>"78360"</f>
        <v>78360</v>
      </c>
      <c r="C21175" s="1">
        <v>1.35943447525829E-4</v>
      </c>
      <c r="D21175" s="1">
        <v>0</v>
      </c>
      <c r="E21175" s="1">
        <v>0</v>
      </c>
      <c r="F21175" s="1">
        <v>1.26119308866187E-4</v>
      </c>
    </row>
    <row r="21176" spans="1:6" x14ac:dyDescent="0.25">
      <c r="A21176" s="2" t="str">
        <f t="shared" si="749"/>
        <v>49820</v>
      </c>
      <c r="B21176" s="2" t="str">
        <f>"78564"</f>
        <v>78564</v>
      </c>
      <c r="C21176" s="1">
        <v>6.5252854812398002E-3</v>
      </c>
      <c r="D21176" s="1">
        <v>5.2356020942408302E-3</v>
      </c>
      <c r="E21176" s="1">
        <v>5.2356020942408302E-3</v>
      </c>
      <c r="F21176" s="1">
        <v>6.4320847521755504E-3</v>
      </c>
    </row>
    <row r="21177" spans="1:6" x14ac:dyDescent="0.25">
      <c r="A21177" s="2" t="str">
        <f t="shared" si="749"/>
        <v>49820</v>
      </c>
      <c r="B21177" s="2" t="str">
        <f>"78076"</f>
        <v>78076</v>
      </c>
      <c r="C21177" s="1">
        <v>0.98232735182164199</v>
      </c>
      <c r="D21177" s="1">
        <v>0.99476439790575899</v>
      </c>
      <c r="E21177" s="1">
        <v>0.98429319371727697</v>
      </c>
      <c r="F21177" s="1">
        <v>0.98297389330306395</v>
      </c>
    </row>
    <row r="21178" spans="1:6" x14ac:dyDescent="0.25">
      <c r="A21178" s="2" t="str">
        <f t="shared" si="749"/>
        <v>49820</v>
      </c>
      <c r="B21178" s="2" t="str">
        <f>"78067"</f>
        <v>78067</v>
      </c>
      <c r="C21178" s="1">
        <v>4.6220772158781899E-3</v>
      </c>
      <c r="D21178" s="1">
        <v>0</v>
      </c>
      <c r="E21178" s="1">
        <v>1.04712041884816E-2</v>
      </c>
      <c r="F21178" s="1">
        <v>4.5402951191827398E-3</v>
      </c>
    </row>
    <row r="21179" spans="1:6" x14ac:dyDescent="0.25">
      <c r="A21179" s="2" t="str">
        <f t="shared" ref="A21179:A21185" si="750">"25820"</f>
        <v>25820</v>
      </c>
      <c r="B21179" s="2" t="str">
        <f>"79092"</f>
        <v>79092</v>
      </c>
      <c r="C21179" s="1">
        <v>4.6236835345491896E-3</v>
      </c>
      <c r="D21179" s="1">
        <v>1.2626262626262599E-3</v>
      </c>
      <c r="E21179" s="1">
        <v>0</v>
      </c>
      <c r="F21179" s="1">
        <v>4.15310360309799E-3</v>
      </c>
    </row>
    <row r="21180" spans="1:6" x14ac:dyDescent="0.25">
      <c r="A21180" s="2" t="str">
        <f t="shared" si="750"/>
        <v>25820</v>
      </c>
      <c r="B21180" s="2" t="str">
        <f>"79098"</f>
        <v>79098</v>
      </c>
      <c r="C21180" s="1">
        <v>8.4767531466735102E-3</v>
      </c>
      <c r="D21180" s="1">
        <v>8.8383838383838294E-3</v>
      </c>
      <c r="E21180" s="1">
        <v>0</v>
      </c>
      <c r="F21180" s="1">
        <v>8.1939611628689991E-3</v>
      </c>
    </row>
    <row r="21181" spans="1:6" x14ac:dyDescent="0.25">
      <c r="A21181" s="2" t="str">
        <f t="shared" si="750"/>
        <v>25820</v>
      </c>
      <c r="B21181" s="2" t="str">
        <f>"79035"</f>
        <v>79035</v>
      </c>
      <c r="C21181" s="1">
        <v>3.2108913434369299E-3</v>
      </c>
      <c r="D21181" s="1">
        <v>0</v>
      </c>
      <c r="E21181" s="1">
        <v>3.0211480362537699E-3</v>
      </c>
      <c r="F21181" s="1">
        <v>2.91839712650129E-3</v>
      </c>
    </row>
    <row r="21182" spans="1:6" x14ac:dyDescent="0.25">
      <c r="A21182" s="2" t="str">
        <f t="shared" si="750"/>
        <v>25820</v>
      </c>
      <c r="B21182" s="2" t="str">
        <f>"79045"</f>
        <v>79045</v>
      </c>
      <c r="C21182" s="1">
        <v>0.98201900847675305</v>
      </c>
      <c r="D21182" s="1">
        <v>0.98989898989898895</v>
      </c>
      <c r="E21182" s="1">
        <v>0.99395770392749205</v>
      </c>
      <c r="F21182" s="1">
        <v>0.98316309350095399</v>
      </c>
    </row>
    <row r="21183" spans="1:6" x14ac:dyDescent="0.25">
      <c r="A21183" s="2" t="str">
        <f t="shared" si="750"/>
        <v>25820</v>
      </c>
      <c r="B21183" s="2" t="str">
        <f>"79025"</f>
        <v>79025</v>
      </c>
      <c r="C21183" s="1">
        <v>0</v>
      </c>
      <c r="D21183" s="1">
        <v>0</v>
      </c>
      <c r="E21183" s="1">
        <v>3.0211480362537699E-3</v>
      </c>
      <c r="F21183" s="1">
        <v>1.12246043326972E-4</v>
      </c>
    </row>
    <row r="21184" spans="1:6" x14ac:dyDescent="0.25">
      <c r="A21184" s="2" t="str">
        <f t="shared" si="750"/>
        <v>25820</v>
      </c>
      <c r="B21184" s="2" t="str">
        <f>"79001"</f>
        <v>79001</v>
      </c>
      <c r="C21184" s="1">
        <v>1.4127921911122499E-3</v>
      </c>
      <c r="D21184" s="1">
        <v>0</v>
      </c>
      <c r="E21184" s="1">
        <v>0</v>
      </c>
      <c r="F21184" s="1">
        <v>1.23470647659669E-3</v>
      </c>
    </row>
    <row r="21185" spans="1:6" x14ac:dyDescent="0.25">
      <c r="A21185" s="2" t="str">
        <f t="shared" si="750"/>
        <v>25820</v>
      </c>
      <c r="B21185" s="2" t="str">
        <f>"79015"</f>
        <v>79015</v>
      </c>
      <c r="C21185" s="1">
        <v>2.5687130747495499E-4</v>
      </c>
      <c r="D21185" s="1">
        <v>0</v>
      </c>
      <c r="E21185" s="1">
        <v>0</v>
      </c>
      <c r="F21185" s="1">
        <v>2.24492086653945E-4</v>
      </c>
    </row>
    <row r="21186" spans="1:6" x14ac:dyDescent="0.25">
      <c r="A21186" s="2" t="str">
        <f t="shared" ref="A21186:A21195" si="751">"30220"</f>
        <v>30220</v>
      </c>
      <c r="B21186" s="2" t="str">
        <f>"79358"</f>
        <v>79358</v>
      </c>
      <c r="C21186" s="1">
        <v>4.5552677029360902E-2</v>
      </c>
      <c r="D21186" s="1">
        <v>9.0909090909090905E-3</v>
      </c>
      <c r="E21186" s="1">
        <v>5.3278688524590098E-2</v>
      </c>
      <c r="F21186" s="1">
        <v>4.3242729519102803E-2</v>
      </c>
    </row>
    <row r="21187" spans="1:6" x14ac:dyDescent="0.25">
      <c r="A21187" s="2" t="str">
        <f t="shared" si="751"/>
        <v>30220</v>
      </c>
      <c r="B21187" s="2" t="str">
        <f>"79367"</f>
        <v>79367</v>
      </c>
      <c r="C21187" s="1">
        <v>5.3972366148531898E-4</v>
      </c>
      <c r="D21187" s="1">
        <v>0</v>
      </c>
      <c r="E21187" s="1">
        <v>0</v>
      </c>
      <c r="F21187" s="1">
        <v>4.7519482988024999E-4</v>
      </c>
    </row>
    <row r="21188" spans="1:6" x14ac:dyDescent="0.25">
      <c r="A21188" s="2" t="str">
        <f t="shared" si="751"/>
        <v>30220</v>
      </c>
      <c r="B21188" s="2" t="str">
        <f>"79380"</f>
        <v>79380</v>
      </c>
      <c r="C21188" s="1">
        <v>0</v>
      </c>
      <c r="D21188" s="1">
        <v>0</v>
      </c>
      <c r="E21188" s="1">
        <v>2.04918032786885E-3</v>
      </c>
      <c r="F21188" s="1">
        <v>9.5038965976050106E-5</v>
      </c>
    </row>
    <row r="21189" spans="1:6" x14ac:dyDescent="0.25">
      <c r="A21189" s="2" t="str">
        <f t="shared" si="751"/>
        <v>30220</v>
      </c>
      <c r="B21189" s="2" t="str">
        <f>"79372"</f>
        <v>79372</v>
      </c>
      <c r="C21189" s="1">
        <v>1.4032815198618299E-3</v>
      </c>
      <c r="D21189" s="1">
        <v>1.29870129870129E-3</v>
      </c>
      <c r="E21189" s="1">
        <v>4.0983606557376999E-3</v>
      </c>
      <c r="F21189" s="1">
        <v>1.5206234556168E-3</v>
      </c>
    </row>
    <row r="21190" spans="1:6" x14ac:dyDescent="0.25">
      <c r="A21190" s="2" t="str">
        <f t="shared" si="751"/>
        <v>30220</v>
      </c>
      <c r="B21190" s="2" t="str">
        <f>"79363"</f>
        <v>79363</v>
      </c>
      <c r="C21190" s="1">
        <v>1.94300518134715E-3</v>
      </c>
      <c r="D21190" s="1">
        <v>1.29870129870129E-3</v>
      </c>
      <c r="E21190" s="1">
        <v>0</v>
      </c>
      <c r="F21190" s="1">
        <v>1.8057403535449499E-3</v>
      </c>
    </row>
    <row r="21191" spans="1:6" x14ac:dyDescent="0.25">
      <c r="A21191" s="2" t="str">
        <f t="shared" si="751"/>
        <v>30220</v>
      </c>
      <c r="B21191" s="2" t="str">
        <f>"79339"</f>
        <v>79339</v>
      </c>
      <c r="C21191" s="1">
        <v>9.2832469775474893E-3</v>
      </c>
      <c r="D21191" s="1">
        <v>0</v>
      </c>
      <c r="E21191" s="1">
        <v>1.63934426229508E-2</v>
      </c>
      <c r="F21191" s="1">
        <v>8.9336628017487093E-3</v>
      </c>
    </row>
    <row r="21192" spans="1:6" x14ac:dyDescent="0.25">
      <c r="A21192" s="2" t="str">
        <f t="shared" si="751"/>
        <v>30220</v>
      </c>
      <c r="B21192" s="2" t="str">
        <f>"79336"</f>
        <v>79336</v>
      </c>
      <c r="C21192" s="1">
        <v>0.82253886010362598</v>
      </c>
      <c r="D21192" s="1">
        <v>0.95844155844155798</v>
      </c>
      <c r="E21192" s="1">
        <v>0.67418032786885196</v>
      </c>
      <c r="F21192" s="1">
        <v>0.82560349743394701</v>
      </c>
    </row>
    <row r="21193" spans="1:6" x14ac:dyDescent="0.25">
      <c r="A21193" s="2" t="str">
        <f t="shared" si="751"/>
        <v>30220</v>
      </c>
      <c r="B21193" s="2" t="str">
        <f>"79407"</f>
        <v>79407</v>
      </c>
      <c r="C21193" s="1">
        <v>4.5552677029360902E-2</v>
      </c>
      <c r="D21193" s="1">
        <v>7.7922077922077896E-3</v>
      </c>
      <c r="E21193" s="1">
        <v>4.50819672131147E-2</v>
      </c>
      <c r="F21193" s="1">
        <v>4.2767534689222501E-2</v>
      </c>
    </row>
    <row r="21194" spans="1:6" x14ac:dyDescent="0.25">
      <c r="A21194" s="2" t="str">
        <f t="shared" si="751"/>
        <v>30220</v>
      </c>
      <c r="B21194" s="2" t="str">
        <f>"79353"</f>
        <v>79353</v>
      </c>
      <c r="C21194" s="1">
        <v>1.4032815198618299E-3</v>
      </c>
      <c r="D21194" s="1">
        <v>2.59740259740259E-3</v>
      </c>
      <c r="E21194" s="1">
        <v>1.8442622950819599E-2</v>
      </c>
      <c r="F21194" s="1">
        <v>2.2809351834251999E-3</v>
      </c>
    </row>
    <row r="21195" spans="1:6" x14ac:dyDescent="0.25">
      <c r="A21195" s="2" t="str">
        <f t="shared" si="751"/>
        <v>30220</v>
      </c>
      <c r="B21195" s="2" t="str">
        <f>"79313"</f>
        <v>79313</v>
      </c>
      <c r="C21195" s="1">
        <v>7.1783246977547399E-2</v>
      </c>
      <c r="D21195" s="1">
        <v>1.94805194805194E-2</v>
      </c>
      <c r="E21195" s="1">
        <v>0.186475409836065</v>
      </c>
      <c r="F21195" s="1">
        <v>7.3275042767534604E-2</v>
      </c>
    </row>
    <row r="21196" spans="1:6" x14ac:dyDescent="0.25">
      <c r="A21196" s="2" t="str">
        <f t="shared" ref="A21196:A21227" si="752">"17820"</f>
        <v>17820</v>
      </c>
      <c r="B21196" s="2" t="str">
        <f>"80970"</f>
        <v>80970</v>
      </c>
      <c r="C21196" s="1">
        <v>3.7592306524631401E-3</v>
      </c>
      <c r="D21196" s="1">
        <v>1.09730301427815E-2</v>
      </c>
      <c r="E21196" s="1">
        <v>0</v>
      </c>
      <c r="F21196" s="1">
        <v>4.1353169026865297E-3</v>
      </c>
    </row>
    <row r="21197" spans="1:6" x14ac:dyDescent="0.25">
      <c r="A21197" s="2" t="str">
        <f t="shared" si="752"/>
        <v>17820</v>
      </c>
      <c r="B21197" s="2" t="str">
        <f>"80933"</f>
        <v>80933</v>
      </c>
      <c r="C21197" s="1">
        <v>1.98825500858699E-3</v>
      </c>
      <c r="D21197" s="1">
        <v>9.9814912744579497E-3</v>
      </c>
      <c r="E21197" s="1">
        <v>1.02706311302829E-4</v>
      </c>
      <c r="F21197" s="1">
        <v>2.5200802692233902E-3</v>
      </c>
    </row>
    <row r="21198" spans="1:6" x14ac:dyDescent="0.25">
      <c r="A21198" s="2" t="str">
        <f t="shared" si="752"/>
        <v>17820</v>
      </c>
      <c r="B21198" s="2" t="str">
        <f>"80932"</f>
        <v>80932</v>
      </c>
      <c r="C21198" s="1">
        <v>2.7502209999017702E-3</v>
      </c>
      <c r="D21198" s="1">
        <v>7.3373876255949204E-3</v>
      </c>
      <c r="E21198" s="1">
        <v>1.02706311302829E-4</v>
      </c>
      <c r="F21198" s="1">
        <v>2.9763910998646601E-3</v>
      </c>
    </row>
    <row r="21199" spans="1:6" x14ac:dyDescent="0.25">
      <c r="A21199" s="2" t="str">
        <f t="shared" si="752"/>
        <v>17820</v>
      </c>
      <c r="B21199" s="2" t="str">
        <f>"80922"</f>
        <v>80922</v>
      </c>
      <c r="C21199" s="1">
        <v>3.2871689094064099E-2</v>
      </c>
      <c r="D21199" s="1">
        <v>1.13365943945002E-2</v>
      </c>
      <c r="E21199" s="1">
        <v>1.49951214502131E-2</v>
      </c>
      <c r="F21199" s="1">
        <v>3.02798533582921E-2</v>
      </c>
    </row>
    <row r="21200" spans="1:6" x14ac:dyDescent="0.25">
      <c r="A21200" s="2" t="str">
        <f t="shared" si="752"/>
        <v>17820</v>
      </c>
      <c r="B21200" s="2" t="str">
        <f>"80921"</f>
        <v>80921</v>
      </c>
      <c r="C21200" s="1">
        <v>2.8365374598554E-2</v>
      </c>
      <c r="D21200" s="1">
        <v>1.8277366472765701E-2</v>
      </c>
      <c r="E21200" s="1">
        <v>1.35572330919735E-2</v>
      </c>
      <c r="F21200" s="1">
        <v>2.68264100263934E-2</v>
      </c>
    </row>
    <row r="21201" spans="1:6" x14ac:dyDescent="0.25">
      <c r="A21201" s="2" t="str">
        <f t="shared" si="752"/>
        <v>17820</v>
      </c>
      <c r="B21201" s="2" t="str">
        <f>"80912"</f>
        <v>80912</v>
      </c>
      <c r="C21201" s="1">
        <v>0</v>
      </c>
      <c r="D21201" s="1">
        <v>2.7432575356953902E-3</v>
      </c>
      <c r="E21201" s="1">
        <v>9.7570995737687998E-4</v>
      </c>
      <c r="F21201" s="1">
        <v>2.6445286775801001E-4</v>
      </c>
    </row>
    <row r="21202" spans="1:6" x14ac:dyDescent="0.25">
      <c r="A21202" s="2" t="str">
        <f t="shared" si="752"/>
        <v>17820</v>
      </c>
      <c r="B21202" s="2" t="str">
        <f>"80913"</f>
        <v>80913</v>
      </c>
      <c r="C21202" s="1">
        <v>2.0835007575013401E-5</v>
      </c>
      <c r="D21202" s="1">
        <v>2.1020624008461102E-2</v>
      </c>
      <c r="E21202" s="1">
        <v>2.5676577825707301E-3</v>
      </c>
      <c r="F21202" s="1">
        <v>1.79672389565E-3</v>
      </c>
    </row>
    <row r="21203" spans="1:6" x14ac:dyDescent="0.25">
      <c r="A21203" s="2" t="str">
        <f t="shared" si="752"/>
        <v>17820</v>
      </c>
      <c r="B21203" s="2" t="str">
        <f>"80860"</f>
        <v>80860</v>
      </c>
      <c r="C21203" s="1">
        <v>0</v>
      </c>
      <c r="D21203" s="1">
        <v>0</v>
      </c>
      <c r="E21203" s="1">
        <v>5.1353155651414698E-5</v>
      </c>
      <c r="F21203" s="1">
        <v>2.5926751740981302E-6</v>
      </c>
    </row>
    <row r="21204" spans="1:6" x14ac:dyDescent="0.25">
      <c r="A21204" s="2" t="str">
        <f t="shared" si="752"/>
        <v>17820</v>
      </c>
      <c r="B21204" s="2" t="str">
        <f>"80827"</f>
        <v>80827</v>
      </c>
      <c r="C21204" s="1">
        <v>3.2443083223949499E-4</v>
      </c>
      <c r="D21204" s="1">
        <v>3.3051295610787902E-5</v>
      </c>
      <c r="E21204" s="1">
        <v>5.1353155651414698E-5</v>
      </c>
      <c r="F21204" s="1">
        <v>2.8778694432489302E-4</v>
      </c>
    </row>
    <row r="21205" spans="1:6" x14ac:dyDescent="0.25">
      <c r="A21205" s="2" t="str">
        <f t="shared" si="752"/>
        <v>17820</v>
      </c>
      <c r="B21205" s="2" t="str">
        <f>"80809"</f>
        <v>80809</v>
      </c>
      <c r="C21205" s="1">
        <v>2.06861860923348E-3</v>
      </c>
      <c r="D21205" s="1">
        <v>6.6102591221575799E-4</v>
      </c>
      <c r="E21205" s="1">
        <v>1.95141991475376E-3</v>
      </c>
      <c r="F21205" s="1">
        <v>1.9522844060958901E-3</v>
      </c>
    </row>
    <row r="21206" spans="1:6" x14ac:dyDescent="0.25">
      <c r="A21206" s="2" t="str">
        <f t="shared" si="752"/>
        <v>17820</v>
      </c>
      <c r="B21206" s="2" t="str">
        <f>"80808"</f>
        <v>80808</v>
      </c>
      <c r="C21206" s="1">
        <v>8.7120095960092001E-3</v>
      </c>
      <c r="D21206" s="1">
        <v>3.6356425171866699E-3</v>
      </c>
      <c r="E21206" s="1">
        <v>6.57320392338109E-3</v>
      </c>
      <c r="F21206" s="1">
        <v>8.2058169260205999E-3</v>
      </c>
    </row>
    <row r="21207" spans="1:6" x14ac:dyDescent="0.25">
      <c r="A21207" s="2" t="str">
        <f t="shared" si="752"/>
        <v>17820</v>
      </c>
      <c r="B21207" s="2" t="str">
        <f>"80831"</f>
        <v>80831</v>
      </c>
      <c r="C21207" s="1">
        <v>3.5440347885097902E-2</v>
      </c>
      <c r="D21207" s="1">
        <v>1.40468006345848E-2</v>
      </c>
      <c r="E21207" s="1">
        <v>5.18666872079289E-3</v>
      </c>
      <c r="F21207" s="1">
        <v>3.2234730439562098E-2</v>
      </c>
    </row>
    <row r="21208" spans="1:6" x14ac:dyDescent="0.25">
      <c r="A21208" s="2" t="str">
        <f t="shared" si="752"/>
        <v>17820</v>
      </c>
      <c r="B21208" s="2" t="str">
        <f>"80106"</f>
        <v>80106</v>
      </c>
      <c r="C21208" s="1">
        <v>3.34253050096287E-3</v>
      </c>
      <c r="D21208" s="1">
        <v>6.6102591221575804E-5</v>
      </c>
      <c r="E21208" s="1">
        <v>3.5947208955990301E-4</v>
      </c>
      <c r="F21208" s="1">
        <v>2.93490829707909E-3</v>
      </c>
    </row>
    <row r="21209" spans="1:6" x14ac:dyDescent="0.25">
      <c r="A21209" s="2" t="str">
        <f t="shared" si="752"/>
        <v>17820</v>
      </c>
      <c r="B21209" s="2" t="str">
        <f>"80951"</f>
        <v>80951</v>
      </c>
      <c r="C21209" s="1">
        <v>4.5777488071958097E-3</v>
      </c>
      <c r="D21209" s="1">
        <v>5.6187202538339497E-4</v>
      </c>
      <c r="E21209" s="1">
        <v>2.5676577825707299E-4</v>
      </c>
      <c r="F21209" s="1">
        <v>4.0445732715930901E-3</v>
      </c>
    </row>
    <row r="21210" spans="1:6" x14ac:dyDescent="0.25">
      <c r="A21210" s="2" t="str">
        <f t="shared" si="752"/>
        <v>17820</v>
      </c>
      <c r="B21210" s="2" t="str">
        <f>"80906"</f>
        <v>80906</v>
      </c>
      <c r="C21210" s="1">
        <v>5.1611290192961901E-2</v>
      </c>
      <c r="D21210" s="1">
        <v>3.53318350079323E-2</v>
      </c>
      <c r="E21210" s="1">
        <v>7.6721614543213607E-2</v>
      </c>
      <c r="F21210" s="1">
        <v>5.1602013990075198E-2</v>
      </c>
    </row>
    <row r="21211" spans="1:6" x14ac:dyDescent="0.25">
      <c r="A21211" s="2" t="str">
        <f t="shared" si="752"/>
        <v>17820</v>
      </c>
      <c r="B21211" s="2" t="str">
        <f>"80133"</f>
        <v>80133</v>
      </c>
      <c r="C21211" s="1">
        <v>6.4380173406791601E-3</v>
      </c>
      <c r="D21211" s="1">
        <v>7.0729772607086103E-3</v>
      </c>
      <c r="E21211" s="1">
        <v>1.6433009808452699E-3</v>
      </c>
      <c r="F21211" s="1">
        <v>6.2457544944024097E-3</v>
      </c>
    </row>
    <row r="21212" spans="1:6" x14ac:dyDescent="0.25">
      <c r="A21212" s="2" t="str">
        <f t="shared" si="752"/>
        <v>17820</v>
      </c>
      <c r="B21212" s="2" t="str">
        <f>"80950"</f>
        <v>80950</v>
      </c>
      <c r="C21212" s="1">
        <v>0</v>
      </c>
      <c r="D21212" s="1">
        <v>3.3051295610787902E-5</v>
      </c>
      <c r="E21212" s="1">
        <v>0</v>
      </c>
      <c r="F21212" s="1">
        <v>2.5926751740981302E-6</v>
      </c>
    </row>
    <row r="21213" spans="1:6" x14ac:dyDescent="0.25">
      <c r="A21213" s="2" t="str">
        <f t="shared" si="752"/>
        <v>17820</v>
      </c>
      <c r="B21213" s="2" t="str">
        <f>"80960"</f>
        <v>80960</v>
      </c>
      <c r="C21213" s="1">
        <v>3.0746518321412698E-3</v>
      </c>
      <c r="D21213" s="1">
        <v>5.8831306187202498E-3</v>
      </c>
      <c r="E21213" s="1">
        <v>1.02706311302829E-4</v>
      </c>
      <c r="F21213" s="1">
        <v>3.14491498618104E-3</v>
      </c>
    </row>
    <row r="21214" spans="1:6" x14ac:dyDescent="0.25">
      <c r="A21214" s="2" t="str">
        <f t="shared" si="752"/>
        <v>17820</v>
      </c>
      <c r="B21214" s="2" t="str">
        <f>"80936"</f>
        <v>80936</v>
      </c>
      <c r="C21214" s="1">
        <v>2.4734130421194501E-3</v>
      </c>
      <c r="D21214" s="1">
        <v>1.35840824960338E-2</v>
      </c>
      <c r="E21214" s="1">
        <v>1.02706311302829E-4</v>
      </c>
      <c r="F21214" s="1">
        <v>3.2252879165780798E-3</v>
      </c>
    </row>
    <row r="21215" spans="1:6" x14ac:dyDescent="0.25">
      <c r="A21215" s="2" t="str">
        <f t="shared" si="752"/>
        <v>17820</v>
      </c>
      <c r="B21215" s="2" t="str">
        <f>"80941"</f>
        <v>80941</v>
      </c>
      <c r="C21215" s="1">
        <v>0</v>
      </c>
      <c r="D21215" s="1">
        <v>3.3051295610787902E-5</v>
      </c>
      <c r="E21215" s="1">
        <v>0</v>
      </c>
      <c r="F21215" s="1">
        <v>2.5926751740981302E-6</v>
      </c>
    </row>
    <row r="21216" spans="1:6" x14ac:dyDescent="0.25">
      <c r="A21216" s="2" t="str">
        <f t="shared" si="752"/>
        <v>17820</v>
      </c>
      <c r="B21216" s="2" t="str">
        <f>"80939"</f>
        <v>80939</v>
      </c>
      <c r="C21216" s="1">
        <v>0</v>
      </c>
      <c r="D21216" s="1">
        <v>1.25594923320994E-3</v>
      </c>
      <c r="E21216" s="1">
        <v>3.5947208955990301E-4</v>
      </c>
      <c r="F21216" s="1">
        <v>1.16670382834416E-4</v>
      </c>
    </row>
    <row r="21217" spans="1:6" x14ac:dyDescent="0.25">
      <c r="A21217" s="2" t="str">
        <f t="shared" si="752"/>
        <v>17820</v>
      </c>
      <c r="B21217" s="2" t="str">
        <f>"80918"</f>
        <v>80918</v>
      </c>
      <c r="C21217" s="1">
        <v>6.06923770660142E-2</v>
      </c>
      <c r="D21217" s="1">
        <v>6.80856689582231E-2</v>
      </c>
      <c r="E21217" s="1">
        <v>6.4910388743388198E-2</v>
      </c>
      <c r="F21217" s="1">
        <v>6.1485291753737299E-2</v>
      </c>
    </row>
    <row r="21218" spans="1:6" x14ac:dyDescent="0.25">
      <c r="A21218" s="2" t="str">
        <f t="shared" si="752"/>
        <v>17820</v>
      </c>
      <c r="B21218" s="2" t="str">
        <f>"80914"</f>
        <v>80914</v>
      </c>
      <c r="C21218" s="1">
        <v>1.74716420664755E-3</v>
      </c>
      <c r="D21218" s="1">
        <v>8.4941829719725002E-3</v>
      </c>
      <c r="E21218" s="1">
        <v>2.4135983156164898E-3</v>
      </c>
      <c r="F21218" s="1">
        <v>2.3100735801214402E-3</v>
      </c>
    </row>
    <row r="21219" spans="1:6" x14ac:dyDescent="0.25">
      <c r="A21219" s="2" t="str">
        <f t="shared" si="752"/>
        <v>17820</v>
      </c>
      <c r="B21219" s="2" t="str">
        <f>"80910"</f>
        <v>80910</v>
      </c>
      <c r="C21219" s="1">
        <v>4.12979614433302E-2</v>
      </c>
      <c r="D21219" s="1">
        <v>3.5959809624537202E-2</v>
      </c>
      <c r="E21219" s="1">
        <v>5.6283058593950497E-2</v>
      </c>
      <c r="F21219" s="1">
        <v>4.1635770620841901E-2</v>
      </c>
    </row>
    <row r="21220" spans="1:6" x14ac:dyDescent="0.25">
      <c r="A21220" s="2" t="str">
        <f t="shared" si="752"/>
        <v>17820</v>
      </c>
      <c r="B21220" s="2" t="str">
        <f>"80917"</f>
        <v>80917</v>
      </c>
      <c r="C21220" s="1">
        <v>4.1047941352430103E-2</v>
      </c>
      <c r="D21220" s="1">
        <v>2.57469592808038E-2</v>
      </c>
      <c r="E21220" s="1">
        <v>5.5820880193087799E-2</v>
      </c>
      <c r="F21220" s="1">
        <v>4.0593515200854503E-2</v>
      </c>
    </row>
    <row r="21221" spans="1:6" x14ac:dyDescent="0.25">
      <c r="A21221" s="2" t="str">
        <f t="shared" si="752"/>
        <v>17820</v>
      </c>
      <c r="B21221" s="2" t="str">
        <f>"80909"</f>
        <v>80909</v>
      </c>
      <c r="C21221" s="1">
        <v>5.1891074580397802E-2</v>
      </c>
      <c r="D21221" s="1">
        <v>9.3270756213643502E-2</v>
      </c>
      <c r="E21221" s="1">
        <v>7.8673034457967403E-2</v>
      </c>
      <c r="F21221" s="1">
        <v>5.64892066932502E-2</v>
      </c>
    </row>
    <row r="21222" spans="1:6" x14ac:dyDescent="0.25">
      <c r="A21222" s="2" t="str">
        <f t="shared" si="752"/>
        <v>17820</v>
      </c>
      <c r="B21222" s="2" t="str">
        <f>"80829"</f>
        <v>80829</v>
      </c>
      <c r="C21222" s="1">
        <v>1.13193619725394E-2</v>
      </c>
      <c r="D21222" s="1">
        <v>1.1171337916446301E-2</v>
      </c>
      <c r="E21222" s="1">
        <v>2.0798028038822899E-2</v>
      </c>
      <c r="F21222" s="1">
        <v>1.17863013414501E-2</v>
      </c>
    </row>
    <row r="21223" spans="1:6" x14ac:dyDescent="0.25">
      <c r="A21223" s="2" t="str">
        <f t="shared" si="752"/>
        <v>17820</v>
      </c>
      <c r="B21223" s="2" t="str">
        <f>"80938"</f>
        <v>80938</v>
      </c>
      <c r="C21223" s="1">
        <v>5.6849806383250999E-4</v>
      </c>
      <c r="D21223" s="1">
        <v>6.6102591221575804E-5</v>
      </c>
      <c r="E21223" s="1">
        <v>5.1353155651414698E-5</v>
      </c>
      <c r="F21223" s="1">
        <v>5.0297898377503795E-4</v>
      </c>
    </row>
    <row r="21224" spans="1:6" x14ac:dyDescent="0.25">
      <c r="A21224" s="2" t="str">
        <f t="shared" si="752"/>
        <v>17820</v>
      </c>
      <c r="B21224" s="2" t="str">
        <f>"80997"</f>
        <v>80997</v>
      </c>
      <c r="C21224" s="1">
        <v>0</v>
      </c>
      <c r="D21224" s="1">
        <v>3.3051295610787902E-5</v>
      </c>
      <c r="E21224" s="1">
        <v>0</v>
      </c>
      <c r="F21224" s="1">
        <v>2.5926751740981302E-6</v>
      </c>
    </row>
    <row r="21225" spans="1:6" x14ac:dyDescent="0.25">
      <c r="A21225" s="2" t="str">
        <f t="shared" si="752"/>
        <v>17820</v>
      </c>
      <c r="B21225" s="2" t="str">
        <f>"80947"</f>
        <v>80947</v>
      </c>
      <c r="C21225" s="1">
        <v>0</v>
      </c>
      <c r="D21225" s="1">
        <v>3.3051295610787902E-5</v>
      </c>
      <c r="E21225" s="1">
        <v>0</v>
      </c>
      <c r="F21225" s="1">
        <v>2.5926751740981302E-6</v>
      </c>
    </row>
    <row r="21226" spans="1:6" x14ac:dyDescent="0.25">
      <c r="A21226" s="2" t="str">
        <f t="shared" si="752"/>
        <v>17820</v>
      </c>
      <c r="B21226" s="2" t="str">
        <f>"80928"</f>
        <v>80928</v>
      </c>
      <c r="C21226" s="1">
        <v>1.4554741005973601E-3</v>
      </c>
      <c r="D21226" s="1">
        <v>1.6525647805393901E-4</v>
      </c>
      <c r="E21226" s="1">
        <v>7.1894417911980602E-4</v>
      </c>
      <c r="F21226" s="1">
        <v>1.31707898844185E-3</v>
      </c>
    </row>
    <row r="21227" spans="1:6" x14ac:dyDescent="0.25">
      <c r="A21227" s="2" t="str">
        <f t="shared" si="752"/>
        <v>17820</v>
      </c>
      <c r="B21227" s="2" t="str">
        <f>"80927"</f>
        <v>80927</v>
      </c>
      <c r="C21227" s="1">
        <v>7.4142862670512196E-3</v>
      </c>
      <c r="D21227" s="1">
        <v>9.9153886832363801E-5</v>
      </c>
      <c r="E21227" s="1">
        <v>5.1353155651414698E-5</v>
      </c>
      <c r="F21227" s="1">
        <v>6.4687245593748497E-3</v>
      </c>
    </row>
    <row r="21228" spans="1:6" x14ac:dyDescent="0.25">
      <c r="A21228" s="2" t="str">
        <f t="shared" ref="A21228:A21259" si="753">"17820"</f>
        <v>17820</v>
      </c>
      <c r="B21228" s="2" t="str">
        <f>"80920"</f>
        <v>80920</v>
      </c>
      <c r="C21228" s="1">
        <v>4.4976828495146899E-2</v>
      </c>
      <c r="D21228" s="1">
        <v>5.3708355367530401E-2</v>
      </c>
      <c r="E21228" s="1">
        <v>3.01956555230318E-2</v>
      </c>
      <c r="F21228" s="1">
        <v>4.4915504716076103E-2</v>
      </c>
    </row>
    <row r="21229" spans="1:6" x14ac:dyDescent="0.25">
      <c r="A21229" s="2" t="str">
        <f t="shared" si="753"/>
        <v>17820</v>
      </c>
      <c r="B21229" s="2" t="str">
        <f>"80866"</f>
        <v>80866</v>
      </c>
      <c r="C21229" s="1">
        <v>1.00573557994243E-2</v>
      </c>
      <c r="D21229" s="1">
        <v>1.4740877842411401E-2</v>
      </c>
      <c r="E21229" s="1">
        <v>1.02706311302829E-4</v>
      </c>
      <c r="F21229" s="1">
        <v>9.9221678912735697E-3</v>
      </c>
    </row>
    <row r="21230" spans="1:6" x14ac:dyDescent="0.25">
      <c r="A21230" s="2" t="str">
        <f t="shared" si="753"/>
        <v>17820</v>
      </c>
      <c r="B21230" s="2" t="str">
        <f>"80840"</f>
        <v>80840</v>
      </c>
      <c r="C21230" s="1">
        <v>3.4199176719557798E-3</v>
      </c>
      <c r="D21230" s="1">
        <v>1.38815441565309E-2</v>
      </c>
      <c r="E21230" s="1">
        <v>1.73060134545267E-2</v>
      </c>
      <c r="F21230" s="1">
        <v>4.94163888183105E-3</v>
      </c>
    </row>
    <row r="21231" spans="1:6" x14ac:dyDescent="0.25">
      <c r="A21231" s="2" t="str">
        <f t="shared" si="753"/>
        <v>17820</v>
      </c>
      <c r="B21231" s="2" t="str">
        <f>"80832"</f>
        <v>80832</v>
      </c>
      <c r="C21231" s="1">
        <v>6.1612093828968299E-4</v>
      </c>
      <c r="D21231" s="1">
        <v>0</v>
      </c>
      <c r="E21231" s="1">
        <v>5.1353155651414698E-5</v>
      </c>
      <c r="F21231" s="1">
        <v>5.3927643621241199E-4</v>
      </c>
    </row>
    <row r="21232" spans="1:6" x14ac:dyDescent="0.25">
      <c r="A21232" s="2" t="str">
        <f t="shared" si="753"/>
        <v>17820</v>
      </c>
      <c r="B21232" s="2" t="str">
        <f>"80817"</f>
        <v>80817</v>
      </c>
      <c r="C21232" s="1">
        <v>3.51843749348906E-2</v>
      </c>
      <c r="D21232" s="1">
        <v>1.7649391856160698E-2</v>
      </c>
      <c r="E21232" s="1">
        <v>1.41734709597904E-2</v>
      </c>
      <c r="F21232" s="1">
        <v>3.2748080124033498E-2</v>
      </c>
    </row>
    <row r="21233" spans="1:6" x14ac:dyDescent="0.25">
      <c r="A21233" s="2" t="str">
        <f t="shared" si="753"/>
        <v>17820</v>
      </c>
      <c r="B21233" s="2" t="str">
        <f>"80816"</f>
        <v>80816</v>
      </c>
      <c r="C21233" s="1">
        <v>8.5512823947162392E-3</v>
      </c>
      <c r="D21233" s="1">
        <v>4.2966684294024299E-4</v>
      </c>
      <c r="E21233" s="1">
        <v>1.5405946695424401E-3</v>
      </c>
      <c r="F21233" s="1">
        <v>7.5602408076701696E-3</v>
      </c>
    </row>
    <row r="21234" spans="1:6" x14ac:dyDescent="0.25">
      <c r="A21234" s="2" t="str">
        <f t="shared" si="753"/>
        <v>17820</v>
      </c>
      <c r="B21234" s="2" t="str">
        <f>"80814"</f>
        <v>80814</v>
      </c>
      <c r="C21234" s="1">
        <v>6.7624481729186498E-3</v>
      </c>
      <c r="D21234" s="1">
        <v>5.6187202538339497E-4</v>
      </c>
      <c r="E21234" s="1">
        <v>7.1894417911980602E-4</v>
      </c>
      <c r="F21234" s="1">
        <v>5.9709309259480103E-3</v>
      </c>
    </row>
    <row r="21235" spans="1:6" x14ac:dyDescent="0.25">
      <c r="A21235" s="2" t="str">
        <f t="shared" si="753"/>
        <v>17820</v>
      </c>
      <c r="B21235" s="2" t="str">
        <f>"80118"</f>
        <v>80118</v>
      </c>
      <c r="C21235" s="1">
        <v>2.3811437228586801E-5</v>
      </c>
      <c r="D21235" s="1">
        <v>0</v>
      </c>
      <c r="E21235" s="1">
        <v>5.1353155651414698E-5</v>
      </c>
      <c r="F21235" s="1">
        <v>2.3334076566883199E-5</v>
      </c>
    </row>
    <row r="21236" spans="1:6" x14ac:dyDescent="0.25">
      <c r="A21236" s="2" t="str">
        <f t="shared" si="753"/>
        <v>17820</v>
      </c>
      <c r="B21236" s="2" t="str">
        <f>"80977"</f>
        <v>80977</v>
      </c>
      <c r="C21236" s="1">
        <v>0</v>
      </c>
      <c r="D21236" s="1">
        <v>3.3051295610787902E-5</v>
      </c>
      <c r="E21236" s="1">
        <v>0</v>
      </c>
      <c r="F21236" s="1">
        <v>2.5926751740981302E-6</v>
      </c>
    </row>
    <row r="21237" spans="1:6" x14ac:dyDescent="0.25">
      <c r="A21237" s="2" t="str">
        <f t="shared" si="753"/>
        <v>17820</v>
      </c>
      <c r="B21237" s="2" t="str">
        <f>"80931"</f>
        <v>80931</v>
      </c>
      <c r="C21237" s="1">
        <v>3.3752712271521799E-3</v>
      </c>
      <c r="D21237" s="1">
        <v>6.1144896879957601E-3</v>
      </c>
      <c r="E21237" s="1">
        <v>1.02706311302829E-4</v>
      </c>
      <c r="F21237" s="1">
        <v>3.42492390498364E-3</v>
      </c>
    </row>
    <row r="21238" spans="1:6" x14ac:dyDescent="0.25">
      <c r="A21238" s="2" t="str">
        <f t="shared" si="753"/>
        <v>17820</v>
      </c>
      <c r="B21238" s="2" t="str">
        <f>"80946"</f>
        <v>80946</v>
      </c>
      <c r="C21238" s="1">
        <v>0</v>
      </c>
      <c r="D21238" s="1">
        <v>3.3051295610787902E-5</v>
      </c>
      <c r="E21238" s="1">
        <v>0</v>
      </c>
      <c r="F21238" s="1">
        <v>2.5926751740981302E-6</v>
      </c>
    </row>
    <row r="21239" spans="1:6" x14ac:dyDescent="0.25">
      <c r="A21239" s="2" t="str">
        <f t="shared" si="753"/>
        <v>17820</v>
      </c>
      <c r="B21239" s="2" t="str">
        <f>"80962"</f>
        <v>80962</v>
      </c>
      <c r="C21239" s="1">
        <v>3.8455471124167698E-3</v>
      </c>
      <c r="D21239" s="1">
        <v>1.5699365415124199E-2</v>
      </c>
      <c r="E21239" s="1">
        <v>1.02706311302829E-4</v>
      </c>
      <c r="F21239" s="1">
        <v>4.5864423829795999E-3</v>
      </c>
    </row>
    <row r="21240" spans="1:6" x14ac:dyDescent="0.25">
      <c r="A21240" s="2" t="str">
        <f t="shared" si="753"/>
        <v>17820</v>
      </c>
      <c r="B21240" s="2" t="str">
        <f>"80935"</f>
        <v>80935</v>
      </c>
      <c r="C21240" s="1">
        <v>6.3517008807255299E-3</v>
      </c>
      <c r="D21240" s="1">
        <v>1.0807773664727601E-2</v>
      </c>
      <c r="E21240" s="1">
        <v>1.02706311302829E-4</v>
      </c>
      <c r="F21240" s="1">
        <v>6.3857589538037097E-3</v>
      </c>
    </row>
    <row r="21241" spans="1:6" x14ac:dyDescent="0.25">
      <c r="A21241" s="2" t="str">
        <f t="shared" si="753"/>
        <v>17820</v>
      </c>
      <c r="B21241" s="2" t="str">
        <f>"80926"</f>
        <v>80926</v>
      </c>
      <c r="C21241" s="1">
        <v>2.1549350691870998E-3</v>
      </c>
      <c r="D21241" s="1">
        <v>3.6356425171866699E-4</v>
      </c>
      <c r="E21241" s="1">
        <v>4.6217840086273297E-4</v>
      </c>
      <c r="F21241" s="1">
        <v>1.92895032952901E-3</v>
      </c>
    </row>
    <row r="21242" spans="1:6" x14ac:dyDescent="0.25">
      <c r="A21242" s="2" t="str">
        <f t="shared" si="753"/>
        <v>17820</v>
      </c>
      <c r="B21242" s="2" t="str">
        <f>"80923"</f>
        <v>80923</v>
      </c>
      <c r="C21242" s="1">
        <v>3.5618933664312298E-2</v>
      </c>
      <c r="D21242" s="1">
        <v>9.1552088841882606E-3</v>
      </c>
      <c r="E21242" s="1">
        <v>9.2435680172546601E-3</v>
      </c>
      <c r="F21242" s="1">
        <v>3.22113963629952E-2</v>
      </c>
    </row>
    <row r="21243" spans="1:6" x14ac:dyDescent="0.25">
      <c r="A21243" s="2" t="str">
        <f t="shared" si="753"/>
        <v>17820</v>
      </c>
      <c r="B21243" s="2" t="str">
        <f>"80919"</f>
        <v>80919</v>
      </c>
      <c r="C21243" s="1">
        <v>3.7401815026802697E-2</v>
      </c>
      <c r="D21243" s="1">
        <v>2.8126652564780499E-2</v>
      </c>
      <c r="E21243" s="1">
        <v>3.0144302367380402E-2</v>
      </c>
      <c r="F21243" s="1">
        <v>3.6307823138070301E-2</v>
      </c>
    </row>
    <row r="21244" spans="1:6" x14ac:dyDescent="0.25">
      <c r="A21244" s="2" t="str">
        <f t="shared" si="753"/>
        <v>17820</v>
      </c>
      <c r="B21244" s="2" t="str">
        <f>"80864"</f>
        <v>80864</v>
      </c>
      <c r="C21244" s="1">
        <v>2.0924300464620601E-3</v>
      </c>
      <c r="D21244" s="1">
        <v>6.6102591221575804E-5</v>
      </c>
      <c r="E21244" s="1">
        <v>5.6488471216556196E-4</v>
      </c>
      <c r="F21244" s="1">
        <v>1.85635542465426E-3</v>
      </c>
    </row>
    <row r="21245" spans="1:6" x14ac:dyDescent="0.25">
      <c r="A21245" s="2" t="str">
        <f t="shared" si="753"/>
        <v>17820</v>
      </c>
      <c r="B21245" s="2" t="str">
        <f>"80863"</f>
        <v>80863</v>
      </c>
      <c r="C21245" s="1">
        <v>2.0903465457045599E-2</v>
      </c>
      <c r="D21245" s="1">
        <v>1.6657852987837101E-2</v>
      </c>
      <c r="E21245" s="1">
        <v>1.9462845991886201E-2</v>
      </c>
      <c r="F21245" s="1">
        <v>2.0497689926419801E-2</v>
      </c>
    </row>
    <row r="21246" spans="1:6" x14ac:dyDescent="0.25">
      <c r="A21246" s="2" t="str">
        <f t="shared" si="753"/>
        <v>17820</v>
      </c>
      <c r="B21246" s="2" t="str">
        <f>"80833"</f>
        <v>80833</v>
      </c>
      <c r="C21246" s="1">
        <v>5.2385161902891004E-4</v>
      </c>
      <c r="D21246" s="1">
        <v>6.6102591221575804E-5</v>
      </c>
      <c r="E21246" s="1">
        <v>2.5676577825707299E-4</v>
      </c>
      <c r="F21246" s="1">
        <v>4.7445955685995902E-4</v>
      </c>
    </row>
    <row r="21247" spans="1:6" x14ac:dyDescent="0.25">
      <c r="A21247" s="2" t="str">
        <f t="shared" si="753"/>
        <v>17820</v>
      </c>
      <c r="B21247" s="2" t="str">
        <f>"80819"</f>
        <v>80819</v>
      </c>
      <c r="C21247" s="1">
        <v>2.9764296535733501E-6</v>
      </c>
      <c r="D21247" s="1">
        <v>0</v>
      </c>
      <c r="E21247" s="1">
        <v>5.1353155651414698E-5</v>
      </c>
      <c r="F21247" s="1">
        <v>5.1853503481962696E-6</v>
      </c>
    </row>
    <row r="21248" spans="1:6" x14ac:dyDescent="0.25">
      <c r="A21248" s="2" t="str">
        <f t="shared" si="753"/>
        <v>17820</v>
      </c>
      <c r="B21248" s="2" t="str">
        <f>"80135"</f>
        <v>80135</v>
      </c>
      <c r="C21248" s="1">
        <v>2.3513794263229401E-4</v>
      </c>
      <c r="D21248" s="1">
        <v>3.3051295610787902E-5</v>
      </c>
      <c r="E21248" s="1">
        <v>5.1353155651414698E-5</v>
      </c>
      <c r="F21248" s="1">
        <v>2.10006689101949E-4</v>
      </c>
    </row>
    <row r="21249" spans="1:6" x14ac:dyDescent="0.25">
      <c r="A21249" s="2" t="str">
        <f t="shared" si="753"/>
        <v>17820</v>
      </c>
      <c r="B21249" s="2" t="str">
        <f>"80132"</f>
        <v>80132</v>
      </c>
      <c r="C21249" s="1">
        <v>3.61993374467591E-2</v>
      </c>
      <c r="D21249" s="1">
        <v>2.8027498677948098E-2</v>
      </c>
      <c r="E21249" s="1">
        <v>9.4489806398603098E-3</v>
      </c>
      <c r="F21249" s="1">
        <v>3.4207756247050802E-2</v>
      </c>
    </row>
    <row r="21250" spans="1:6" x14ac:dyDescent="0.25">
      <c r="A21250" s="2" t="str">
        <f t="shared" si="753"/>
        <v>17820</v>
      </c>
      <c r="B21250" s="2" t="str">
        <f>"80949"</f>
        <v>80949</v>
      </c>
      <c r="C21250" s="1">
        <v>3.1609682920949E-3</v>
      </c>
      <c r="D21250" s="1">
        <v>1.32205182443151E-2</v>
      </c>
      <c r="E21250" s="1">
        <v>1.02706311302829E-4</v>
      </c>
      <c r="F21250" s="1">
        <v>3.79567645487967E-3</v>
      </c>
    </row>
    <row r="21251" spans="1:6" x14ac:dyDescent="0.25">
      <c r="A21251" s="2" t="str">
        <f t="shared" si="753"/>
        <v>17820</v>
      </c>
      <c r="B21251" s="2" t="str">
        <f>"80942"</f>
        <v>80942</v>
      </c>
      <c r="C21251" s="1">
        <v>0</v>
      </c>
      <c r="D21251" s="1">
        <v>3.3051295610787902E-5</v>
      </c>
      <c r="E21251" s="1">
        <v>0</v>
      </c>
      <c r="F21251" s="1">
        <v>2.5926751740981302E-6</v>
      </c>
    </row>
    <row r="21252" spans="1:6" x14ac:dyDescent="0.25">
      <c r="A21252" s="2" t="str">
        <f t="shared" si="753"/>
        <v>17820</v>
      </c>
      <c r="B21252" s="2" t="str">
        <f>"80903"</f>
        <v>80903</v>
      </c>
      <c r="C21252" s="1">
        <v>2.2897673324939801E-2</v>
      </c>
      <c r="D21252" s="1">
        <v>9.1618191433104096E-2</v>
      </c>
      <c r="E21252" s="1">
        <v>7.0045704308529702E-2</v>
      </c>
      <c r="F21252" s="1">
        <v>3.0668754634406801E-2</v>
      </c>
    </row>
    <row r="21253" spans="1:6" x14ac:dyDescent="0.25">
      <c r="A21253" s="2" t="str">
        <f t="shared" si="753"/>
        <v>17820</v>
      </c>
      <c r="B21253" s="2" t="str">
        <f>"80908"</f>
        <v>80908</v>
      </c>
      <c r="C21253" s="1">
        <v>2.59574430088132E-2</v>
      </c>
      <c r="D21253" s="1">
        <v>9.1882601797990404E-3</v>
      </c>
      <c r="E21253" s="1">
        <v>4.0055461408103499E-3</v>
      </c>
      <c r="F21253" s="1">
        <v>2.3533712555288699E-2</v>
      </c>
    </row>
    <row r="21254" spans="1:6" x14ac:dyDescent="0.25">
      <c r="A21254" s="2" t="str">
        <f t="shared" si="753"/>
        <v>17820</v>
      </c>
      <c r="B21254" s="2" t="str">
        <f>"80907"</f>
        <v>80907</v>
      </c>
      <c r="C21254" s="1">
        <v>4.1312843591598099E-2</v>
      </c>
      <c r="D21254" s="1">
        <v>7.9984135378106794E-2</v>
      </c>
      <c r="E21254" s="1">
        <v>6.8556462794638701E-2</v>
      </c>
      <c r="F21254" s="1">
        <v>4.5721826695220603E-2</v>
      </c>
    </row>
    <row r="21255" spans="1:6" x14ac:dyDescent="0.25">
      <c r="A21255" s="2" t="str">
        <f t="shared" si="753"/>
        <v>17820</v>
      </c>
      <c r="B21255" s="2" t="str">
        <f>"81008"</f>
        <v>81008</v>
      </c>
      <c r="C21255" s="1">
        <v>8.9292889607200508E-6</v>
      </c>
      <c r="D21255" s="1">
        <v>0</v>
      </c>
      <c r="E21255" s="1">
        <v>0</v>
      </c>
      <c r="F21255" s="1">
        <v>7.7780255222944108E-6</v>
      </c>
    </row>
    <row r="21256" spans="1:6" x14ac:dyDescent="0.25">
      <c r="A21256" s="2" t="str">
        <f t="shared" si="753"/>
        <v>17820</v>
      </c>
      <c r="B21256" s="2" t="str">
        <f>"80937"</f>
        <v>80937</v>
      </c>
      <c r="C21256" s="1">
        <v>1.6042955832760301E-3</v>
      </c>
      <c r="D21256" s="1">
        <v>6.4119513484928604E-3</v>
      </c>
      <c r="E21256" s="1">
        <v>1.02706311302829E-4</v>
      </c>
      <c r="F21256" s="1">
        <v>1.9056162529621299E-3</v>
      </c>
    </row>
    <row r="21257" spans="1:6" x14ac:dyDescent="0.25">
      <c r="A21257" s="2" t="str">
        <f t="shared" si="753"/>
        <v>17820</v>
      </c>
      <c r="B21257" s="2" t="str">
        <f>"80934"</f>
        <v>80934</v>
      </c>
      <c r="C21257" s="1">
        <v>2.1668407878013998E-3</v>
      </c>
      <c r="D21257" s="1">
        <v>5.0237969328397599E-3</v>
      </c>
      <c r="E21257" s="1">
        <v>1.02706311302829E-4</v>
      </c>
      <c r="F21257" s="1">
        <v>2.2867395035545499E-3</v>
      </c>
    </row>
    <row r="21258" spans="1:6" x14ac:dyDescent="0.25">
      <c r="A21258" s="2" t="str">
        <f t="shared" si="753"/>
        <v>17820</v>
      </c>
      <c r="B21258" s="2" t="str">
        <f>"80930"</f>
        <v>80930</v>
      </c>
      <c r="C21258" s="1">
        <v>1.8632449631369101E-3</v>
      </c>
      <c r="D21258" s="1">
        <v>1.6525647805393901E-4</v>
      </c>
      <c r="E21258" s="1">
        <v>7.2407949468494799E-3</v>
      </c>
      <c r="F21258" s="1">
        <v>2.0015452344037598E-3</v>
      </c>
    </row>
    <row r="21259" spans="1:6" x14ac:dyDescent="0.25">
      <c r="A21259" s="2" t="str">
        <f t="shared" si="753"/>
        <v>17820</v>
      </c>
      <c r="B21259" s="2" t="str">
        <f>"80924"</f>
        <v>80924</v>
      </c>
      <c r="C21259" s="1">
        <v>1.57899593122066E-2</v>
      </c>
      <c r="D21259" s="1">
        <v>3.6686938127974602E-3</v>
      </c>
      <c r="E21259" s="1">
        <v>3.8001335182046899E-3</v>
      </c>
      <c r="F21259" s="1">
        <v>1.4233786705798701E-2</v>
      </c>
    </row>
    <row r="21260" spans="1:6" x14ac:dyDescent="0.25">
      <c r="A21260" s="2" t="str">
        <f t="shared" ref="A21260:A21271" si="754">"17820"</f>
        <v>17820</v>
      </c>
      <c r="B21260" s="2" t="str">
        <f>"80916"</f>
        <v>80916</v>
      </c>
      <c r="C21260" s="1">
        <v>4.6277528253758402E-2</v>
      </c>
      <c r="D21260" s="1">
        <v>2.96139608672659E-2</v>
      </c>
      <c r="E21260" s="1">
        <v>6.36779130077543E-2</v>
      </c>
      <c r="F21260" s="1">
        <v>4.5848867778751398E-2</v>
      </c>
    </row>
    <row r="21261" spans="1:6" x14ac:dyDescent="0.25">
      <c r="A21261" s="2" t="str">
        <f t="shared" si="754"/>
        <v>17820</v>
      </c>
      <c r="B21261" s="2" t="str">
        <f>"80911"</f>
        <v>80911</v>
      </c>
      <c r="C21261" s="1">
        <v>3.6154691001955501E-2</v>
      </c>
      <c r="D21261" s="1">
        <v>1.0047593865679501E-2</v>
      </c>
      <c r="E21261" s="1">
        <v>5.0839624094900599E-3</v>
      </c>
      <c r="F21261" s="1">
        <v>3.2538073434931598E-2</v>
      </c>
    </row>
    <row r="21262" spans="1:6" x14ac:dyDescent="0.25">
      <c r="A21262" s="2" t="str">
        <f t="shared" si="754"/>
        <v>17820</v>
      </c>
      <c r="B21262" s="2" t="str">
        <f>"80904"</f>
        <v>80904</v>
      </c>
      <c r="C21262" s="1">
        <v>3.4696240471704498E-2</v>
      </c>
      <c r="D21262" s="1">
        <v>3.6257271285034302E-2</v>
      </c>
      <c r="E21262" s="1">
        <v>7.6721614543213607E-2</v>
      </c>
      <c r="F21262" s="1">
        <v>3.6940435880550203E-2</v>
      </c>
    </row>
    <row r="21263" spans="1:6" x14ac:dyDescent="0.25">
      <c r="A21263" s="2" t="str">
        <f t="shared" si="754"/>
        <v>17820</v>
      </c>
      <c r="B21263" s="2" t="str">
        <f>"80835"</f>
        <v>80835</v>
      </c>
      <c r="C21263" s="1">
        <v>5.65521634178936E-5</v>
      </c>
      <c r="D21263" s="1">
        <v>0</v>
      </c>
      <c r="E21263" s="1">
        <v>0</v>
      </c>
      <c r="F21263" s="1">
        <v>4.9260828307864598E-5</v>
      </c>
    </row>
    <row r="21264" spans="1:6" x14ac:dyDescent="0.25">
      <c r="A21264" s="2" t="str">
        <f t="shared" si="754"/>
        <v>17820</v>
      </c>
      <c r="B21264" s="2" t="str">
        <f>"80813"</f>
        <v>80813</v>
      </c>
      <c r="C21264" s="1">
        <v>9.9710393394707294E-4</v>
      </c>
      <c r="D21264" s="1">
        <v>1.3220518244315101E-4</v>
      </c>
      <c r="E21264" s="1">
        <v>5.1353155651414698E-5</v>
      </c>
      <c r="F21264" s="1">
        <v>8.8150955919336603E-4</v>
      </c>
    </row>
    <row r="21265" spans="1:6" x14ac:dyDescent="0.25">
      <c r="A21265" s="2" t="str">
        <f t="shared" si="754"/>
        <v>17820</v>
      </c>
      <c r="B21265" s="2" t="str">
        <f>"80929"</f>
        <v>80929</v>
      </c>
      <c r="C21265" s="1">
        <v>5.5361591556464301E-4</v>
      </c>
      <c r="D21265" s="1">
        <v>8.2628239026969798E-4</v>
      </c>
      <c r="E21265" s="1">
        <v>3.5947208955990301E-4</v>
      </c>
      <c r="F21265" s="1">
        <v>5.6520318795339397E-4</v>
      </c>
    </row>
    <row r="21266" spans="1:6" x14ac:dyDescent="0.25">
      <c r="A21266" s="2" t="str">
        <f t="shared" si="754"/>
        <v>17820</v>
      </c>
      <c r="B21266" s="2" t="str">
        <f>"80925"</f>
        <v>80925</v>
      </c>
      <c r="C21266" s="1">
        <v>1.42332866033877E-2</v>
      </c>
      <c r="D21266" s="1">
        <v>6.6102591221575799E-4</v>
      </c>
      <c r="E21266" s="1">
        <v>2.0541262260565901E-4</v>
      </c>
      <c r="F21266" s="1">
        <v>1.2460396886715601E-2</v>
      </c>
    </row>
    <row r="21267" spans="1:6" x14ac:dyDescent="0.25">
      <c r="A21267" s="2" t="str">
        <f t="shared" si="754"/>
        <v>17820</v>
      </c>
      <c r="B21267" s="2" t="str">
        <f>"80915"</f>
        <v>80915</v>
      </c>
      <c r="C21267" s="1">
        <v>2.8151071663496698E-2</v>
      </c>
      <c r="D21267" s="1">
        <v>3.9132734003172902E-2</v>
      </c>
      <c r="E21267" s="1">
        <v>2.8963179787397899E-2</v>
      </c>
      <c r="F21267" s="1">
        <v>2.90535180009437E-2</v>
      </c>
    </row>
    <row r="21268" spans="1:6" x14ac:dyDescent="0.25">
      <c r="A21268" s="2" t="str">
        <f t="shared" si="754"/>
        <v>17820</v>
      </c>
      <c r="B21268" s="2" t="str">
        <f>"80902"</f>
        <v>80902</v>
      </c>
      <c r="C21268" s="1">
        <v>1.36528828209409E-2</v>
      </c>
      <c r="D21268" s="1">
        <v>1.25594923320994E-3</v>
      </c>
      <c r="E21268" s="1">
        <v>9.9676475119395994E-2</v>
      </c>
      <c r="F21268" s="1">
        <v>1.7023505193128299E-2</v>
      </c>
    </row>
    <row r="21269" spans="1:6" x14ac:dyDescent="0.25">
      <c r="A21269" s="2" t="str">
        <f t="shared" si="754"/>
        <v>17820</v>
      </c>
      <c r="B21269" s="2" t="str">
        <f>"80901"</f>
        <v>80901</v>
      </c>
      <c r="C21269" s="1">
        <v>3.9586514392525498E-3</v>
      </c>
      <c r="D21269" s="1">
        <v>1.5269698572184E-2</v>
      </c>
      <c r="E21269" s="1">
        <v>1.02706311302829E-4</v>
      </c>
      <c r="F21269" s="1">
        <v>4.6512592623320498E-3</v>
      </c>
    </row>
    <row r="21270" spans="1:6" x14ac:dyDescent="0.25">
      <c r="A21270" s="2" t="str">
        <f t="shared" si="754"/>
        <v>17820</v>
      </c>
      <c r="B21270" s="2" t="str">
        <f>"80841"</f>
        <v>80841</v>
      </c>
      <c r="C21270" s="1">
        <v>1.50875219139633E-2</v>
      </c>
      <c r="D21270" s="1">
        <v>6.6102591221575804E-5</v>
      </c>
      <c r="E21270" s="1">
        <v>1.02706311302829E-4</v>
      </c>
      <c r="F21270" s="1">
        <v>1.31526411581998E-2</v>
      </c>
    </row>
    <row r="21271" spans="1:6" x14ac:dyDescent="0.25">
      <c r="A21271" s="2" t="str">
        <f t="shared" si="754"/>
        <v>17820</v>
      </c>
      <c r="B21271" s="2" t="str">
        <f>"80905"</f>
        <v>80905</v>
      </c>
      <c r="C21271" s="1">
        <v>2.7868310846407299E-2</v>
      </c>
      <c r="D21271" s="1">
        <v>3.4274193548386997E-2</v>
      </c>
      <c r="E21271" s="1">
        <v>3.1582190725619998E-2</v>
      </c>
      <c r="F21271" s="1">
        <v>2.8558317042690899E-2</v>
      </c>
    </row>
    <row r="21272" spans="1:6" x14ac:dyDescent="0.25">
      <c r="A21272" s="2" t="str">
        <f t="shared" ref="A21272:A21292" si="755">"39380"</f>
        <v>39380</v>
      </c>
      <c r="B21272" s="2" t="str">
        <f>"81010"</f>
        <v>81010</v>
      </c>
      <c r="C21272" s="1">
        <v>0</v>
      </c>
      <c r="D21272" s="1">
        <v>1.5008254539996901E-4</v>
      </c>
      <c r="E21272" s="1">
        <v>0</v>
      </c>
      <c r="F21272" s="1">
        <v>1.1705489874751201E-5</v>
      </c>
    </row>
    <row r="21273" spans="1:6" x14ac:dyDescent="0.25">
      <c r="A21273" s="2" t="str">
        <f t="shared" si="755"/>
        <v>39380</v>
      </c>
      <c r="B21273" s="2" t="str">
        <f>"81022"</f>
        <v>81022</v>
      </c>
      <c r="C21273" s="1">
        <v>8.5017347776571196E-3</v>
      </c>
      <c r="D21273" s="1">
        <v>1.35074290859972E-3</v>
      </c>
      <c r="E21273" s="1">
        <v>2.7666769136181898E-3</v>
      </c>
      <c r="F21273" s="1">
        <v>7.7256233173358304E-3</v>
      </c>
    </row>
    <row r="21274" spans="1:6" x14ac:dyDescent="0.25">
      <c r="A21274" s="2" t="str">
        <f t="shared" si="755"/>
        <v>39380</v>
      </c>
      <c r="B21274" s="2" t="str">
        <f>"81007"</f>
        <v>81007</v>
      </c>
      <c r="C21274" s="1">
        <v>0.163678258336202</v>
      </c>
      <c r="D21274" s="1">
        <v>9.7553654509980395E-2</v>
      </c>
      <c r="E21274" s="1">
        <v>7.6544727943436794E-2</v>
      </c>
      <c r="F21274" s="1">
        <v>0.15520309024932599</v>
      </c>
    </row>
    <row r="21275" spans="1:6" x14ac:dyDescent="0.25">
      <c r="A21275" s="2" t="str">
        <f t="shared" si="755"/>
        <v>39380</v>
      </c>
      <c r="B21275" s="2" t="str">
        <f>"81006"</f>
        <v>81006</v>
      </c>
      <c r="C21275" s="1">
        <v>6.5643456842439801E-2</v>
      </c>
      <c r="D21275" s="1">
        <v>5.7031367251988499E-2</v>
      </c>
      <c r="E21275" s="1">
        <v>2.33630494927758E-2</v>
      </c>
      <c r="F21275" s="1">
        <v>6.3361816692028505E-2</v>
      </c>
    </row>
    <row r="21276" spans="1:6" x14ac:dyDescent="0.25">
      <c r="A21276" s="2" t="str">
        <f t="shared" si="755"/>
        <v>39380</v>
      </c>
      <c r="B21276" s="2" t="str">
        <f>"81253"</f>
        <v>81253</v>
      </c>
      <c r="C21276" s="1">
        <v>1.32425775352914E-5</v>
      </c>
      <c r="D21276" s="1">
        <v>0</v>
      </c>
      <c r="E21276" s="1">
        <v>0</v>
      </c>
      <c r="F21276" s="1">
        <v>1.1705489874751201E-5</v>
      </c>
    </row>
    <row r="21277" spans="1:6" x14ac:dyDescent="0.25">
      <c r="A21277" s="2" t="str">
        <f t="shared" si="755"/>
        <v>39380</v>
      </c>
      <c r="B21277" s="2" t="str">
        <f>"81004"</f>
        <v>81004</v>
      </c>
      <c r="C21277" s="1">
        <v>0.168180734698201</v>
      </c>
      <c r="D21277" s="1">
        <v>0.144829656310971</v>
      </c>
      <c r="E21277" s="1">
        <v>0.20811558561328</v>
      </c>
      <c r="F21277" s="1">
        <v>0.16788013578368199</v>
      </c>
    </row>
    <row r="21278" spans="1:6" x14ac:dyDescent="0.25">
      <c r="A21278" s="2" t="str">
        <f t="shared" si="755"/>
        <v>39380</v>
      </c>
      <c r="B21278" s="2" t="str">
        <f>"81001"</f>
        <v>81001</v>
      </c>
      <c r="C21278" s="1">
        <v>0.194308340175331</v>
      </c>
      <c r="D21278" s="1">
        <v>0.105658111961578</v>
      </c>
      <c r="E21278" s="1">
        <v>0.19551183522901899</v>
      </c>
      <c r="F21278" s="1">
        <v>0.18744000936439101</v>
      </c>
    </row>
    <row r="21279" spans="1:6" x14ac:dyDescent="0.25">
      <c r="A21279" s="2" t="str">
        <f t="shared" si="755"/>
        <v>39380</v>
      </c>
      <c r="B21279" s="2" t="str">
        <f>"81039"</f>
        <v>81039</v>
      </c>
      <c r="C21279" s="1">
        <v>1.3904706412056001E-3</v>
      </c>
      <c r="D21279" s="1">
        <v>1.5008254539996901E-4</v>
      </c>
      <c r="E21279" s="1">
        <v>0</v>
      </c>
      <c r="F21279" s="1">
        <v>1.24078192672363E-3</v>
      </c>
    </row>
    <row r="21280" spans="1:6" x14ac:dyDescent="0.25">
      <c r="A21280" s="2" t="str">
        <f t="shared" si="755"/>
        <v>39380</v>
      </c>
      <c r="B21280" s="2" t="str">
        <f>"81008"</f>
        <v>81008</v>
      </c>
      <c r="C21280" s="1">
        <v>8.5997298514182793E-2</v>
      </c>
      <c r="D21280" s="1">
        <v>0.18460153084196301</v>
      </c>
      <c r="E21280" s="1">
        <v>0.117737473101752</v>
      </c>
      <c r="F21280" s="1">
        <v>9.4896406414608406E-2</v>
      </c>
    </row>
    <row r="21281" spans="1:6" x14ac:dyDescent="0.25">
      <c r="A21281" s="2" t="str">
        <f t="shared" si="755"/>
        <v>39380</v>
      </c>
      <c r="B21281" s="2" t="str">
        <f>"81005"</f>
        <v>81005</v>
      </c>
      <c r="C21281" s="1">
        <v>0.18801811584606801</v>
      </c>
      <c r="D21281" s="1">
        <v>0.11286207414077699</v>
      </c>
      <c r="E21281" s="1">
        <v>0.16231171226560001</v>
      </c>
      <c r="F21281" s="1">
        <v>0.181177572281399</v>
      </c>
    </row>
    <row r="21282" spans="1:6" x14ac:dyDescent="0.25">
      <c r="A21282" s="2" t="str">
        <f t="shared" si="755"/>
        <v>39380</v>
      </c>
      <c r="B21282" s="2" t="str">
        <f>"81019"</f>
        <v>81019</v>
      </c>
      <c r="C21282" s="1">
        <v>1.32425775352914E-5</v>
      </c>
      <c r="D21282" s="1">
        <v>0</v>
      </c>
      <c r="E21282" s="1">
        <v>3.0740854595757701E-4</v>
      </c>
      <c r="F21282" s="1">
        <v>2.34109797495025E-5</v>
      </c>
    </row>
    <row r="21283" spans="1:6" x14ac:dyDescent="0.25">
      <c r="A21283" s="2" t="str">
        <f t="shared" si="755"/>
        <v>39380</v>
      </c>
      <c r="B21283" s="2" t="str">
        <f>"81003"</f>
        <v>81003</v>
      </c>
      <c r="C21283" s="1">
        <v>8.66594273909473E-2</v>
      </c>
      <c r="D21283" s="1">
        <v>0.25994296863274802</v>
      </c>
      <c r="E21283" s="1">
        <v>0.18628957885029199</v>
      </c>
      <c r="F21283" s="1">
        <v>0.10396816106754</v>
      </c>
    </row>
    <row r="21284" spans="1:6" x14ac:dyDescent="0.25">
      <c r="A21284" s="2" t="str">
        <f t="shared" si="755"/>
        <v>39380</v>
      </c>
      <c r="B21284" s="2" t="str">
        <f>"81069"</f>
        <v>81069</v>
      </c>
      <c r="C21284" s="1">
        <v>9.28304685223931E-3</v>
      </c>
      <c r="D21284" s="1">
        <v>6.0033018159987895E-4</v>
      </c>
      <c r="E21284" s="1">
        <v>1.7829695665539502E-2</v>
      </c>
      <c r="F21284" s="1">
        <v>8.9312887744352094E-3</v>
      </c>
    </row>
    <row r="21285" spans="1:6" x14ac:dyDescent="0.25">
      <c r="A21285" s="2" t="str">
        <f t="shared" si="755"/>
        <v>39380</v>
      </c>
      <c r="B21285" s="2" t="str">
        <f>"81011"</f>
        <v>81011</v>
      </c>
      <c r="C21285" s="1">
        <v>0</v>
      </c>
      <c r="D21285" s="1">
        <v>1.5008254539996901E-4</v>
      </c>
      <c r="E21285" s="1">
        <v>0</v>
      </c>
      <c r="F21285" s="1">
        <v>1.1705489874751201E-5</v>
      </c>
    </row>
    <row r="21286" spans="1:6" x14ac:dyDescent="0.25">
      <c r="A21286" s="2" t="str">
        <f t="shared" si="755"/>
        <v>39380</v>
      </c>
      <c r="B21286" s="2" t="str">
        <f>"80817"</f>
        <v>80817</v>
      </c>
      <c r="C21286" s="1">
        <v>1.37722806367031E-3</v>
      </c>
      <c r="D21286" s="1">
        <v>0</v>
      </c>
      <c r="E21286" s="1">
        <v>0</v>
      </c>
      <c r="F21286" s="1">
        <v>1.2173709469741299E-3</v>
      </c>
    </row>
    <row r="21287" spans="1:6" x14ac:dyDescent="0.25">
      <c r="A21287" s="2" t="str">
        <f t="shared" si="755"/>
        <v>39380</v>
      </c>
      <c r="B21287" s="2" t="str">
        <f>"81062"</f>
        <v>81062</v>
      </c>
      <c r="C21287" s="1">
        <v>2.6485155070582898E-5</v>
      </c>
      <c r="D21287" s="1">
        <v>0</v>
      </c>
      <c r="E21287" s="1">
        <v>0</v>
      </c>
      <c r="F21287" s="1">
        <v>2.34109797495025E-5</v>
      </c>
    </row>
    <row r="21288" spans="1:6" x14ac:dyDescent="0.25">
      <c r="A21288" s="2" t="str">
        <f t="shared" si="755"/>
        <v>39380</v>
      </c>
      <c r="B21288" s="2" t="str">
        <f>"81012"</f>
        <v>81012</v>
      </c>
      <c r="C21288" s="1">
        <v>0</v>
      </c>
      <c r="D21288" s="1">
        <v>1.5008254539996901E-4</v>
      </c>
      <c r="E21288" s="1">
        <v>0</v>
      </c>
      <c r="F21288" s="1">
        <v>1.1705489874751201E-5</v>
      </c>
    </row>
    <row r="21289" spans="1:6" x14ac:dyDescent="0.25">
      <c r="A21289" s="2" t="str">
        <f t="shared" si="755"/>
        <v>39380</v>
      </c>
      <c r="B21289" s="2" t="str">
        <f>"81009"</f>
        <v>81009</v>
      </c>
      <c r="C21289" s="1">
        <v>0</v>
      </c>
      <c r="D21289" s="1">
        <v>1.5008254539996901E-4</v>
      </c>
      <c r="E21289" s="1">
        <v>0</v>
      </c>
      <c r="F21289" s="1">
        <v>1.1705489874751201E-5</v>
      </c>
    </row>
    <row r="21290" spans="1:6" x14ac:dyDescent="0.25">
      <c r="A21290" s="2" t="str">
        <f t="shared" si="755"/>
        <v>39380</v>
      </c>
      <c r="B21290" s="2" t="str">
        <f>"81025"</f>
        <v>81025</v>
      </c>
      <c r="C21290" s="1">
        <v>6.3167094843340297E-3</v>
      </c>
      <c r="D21290" s="1">
        <v>2.25123818099954E-3</v>
      </c>
      <c r="E21290" s="1">
        <v>4.9185367353212399E-3</v>
      </c>
      <c r="F21290" s="1">
        <v>5.9463888563736304E-3</v>
      </c>
    </row>
    <row r="21291" spans="1:6" x14ac:dyDescent="0.25">
      <c r="A21291" s="2" t="str">
        <f t="shared" si="755"/>
        <v>39380</v>
      </c>
      <c r="B21291" s="2" t="str">
        <f>"81023"</f>
        <v>81023</v>
      </c>
      <c r="C21291" s="1">
        <v>9.9054479963980105E-3</v>
      </c>
      <c r="D21291" s="1">
        <v>1.05057781779978E-3</v>
      </c>
      <c r="E21291" s="1">
        <v>3.6889025514909302E-3</v>
      </c>
      <c r="F21291" s="1">
        <v>8.9781107339342095E-3</v>
      </c>
    </row>
    <row r="21292" spans="1:6" x14ac:dyDescent="0.25">
      <c r="A21292" s="2" t="str">
        <f t="shared" si="755"/>
        <v>39380</v>
      </c>
      <c r="B21292" s="2" t="str">
        <f>"81002"</f>
        <v>81002</v>
      </c>
      <c r="C21292" s="1">
        <v>1.0686760070980199E-2</v>
      </c>
      <c r="D21292" s="1">
        <v>3.15173345339936E-2</v>
      </c>
      <c r="E21292" s="1">
        <v>6.1481709191515499E-4</v>
      </c>
      <c r="F21292" s="1">
        <v>1.1927894182371499E-2</v>
      </c>
    </row>
    <row r="21293" spans="1:6" x14ac:dyDescent="0.25">
      <c r="A21293" s="2" t="str">
        <f t="shared" ref="A21293:A21307" si="756">"16220"</f>
        <v>16220</v>
      </c>
      <c r="B21293" s="2" t="str">
        <f>"82635"</f>
        <v>82635</v>
      </c>
      <c r="C21293" s="1">
        <v>1.88345812212249E-3</v>
      </c>
      <c r="D21293" s="1">
        <v>0</v>
      </c>
      <c r="E21293" s="1">
        <v>5.8548009367681401E-4</v>
      </c>
      <c r="F21293" s="1">
        <v>1.6247919473725901E-3</v>
      </c>
    </row>
    <row r="21294" spans="1:6" x14ac:dyDescent="0.25">
      <c r="A21294" s="2" t="str">
        <f t="shared" si="756"/>
        <v>16220</v>
      </c>
      <c r="B21294" s="2" t="str">
        <f>"82648"</f>
        <v>82648</v>
      </c>
      <c r="C21294" s="1">
        <v>3.9529367995163402E-4</v>
      </c>
      <c r="D21294" s="1">
        <v>0</v>
      </c>
      <c r="E21294" s="1">
        <v>5.8548009367681401E-4</v>
      </c>
      <c r="F21294" s="1">
        <v>3.5666164698422702E-4</v>
      </c>
    </row>
    <row r="21295" spans="1:6" x14ac:dyDescent="0.25">
      <c r="A21295" s="2" t="str">
        <f t="shared" si="756"/>
        <v>16220</v>
      </c>
      <c r="B21295" s="2" t="str">
        <f>"82620"</f>
        <v>82620</v>
      </c>
      <c r="C21295" s="1">
        <v>4.4179881876947401E-4</v>
      </c>
      <c r="D21295" s="1">
        <v>0</v>
      </c>
      <c r="E21295" s="1">
        <v>5.8548009367681401E-4</v>
      </c>
      <c r="F21295" s="1">
        <v>3.9629071887136401E-4</v>
      </c>
    </row>
    <row r="21296" spans="1:6" x14ac:dyDescent="0.25">
      <c r="A21296" s="2" t="str">
        <f t="shared" si="756"/>
        <v>16220</v>
      </c>
      <c r="B21296" s="2" t="str">
        <f>"82644"</f>
        <v>82644</v>
      </c>
      <c r="C21296" s="1">
        <v>4.7063200483653402E-2</v>
      </c>
      <c r="D21296" s="1">
        <v>7.3166492874521996E-2</v>
      </c>
      <c r="E21296" s="1">
        <v>1.17096018735362E-3</v>
      </c>
      <c r="F21296" s="1">
        <v>4.84861694539113E-2</v>
      </c>
    </row>
    <row r="21297" spans="1:6" x14ac:dyDescent="0.25">
      <c r="A21297" s="2" t="str">
        <f t="shared" si="756"/>
        <v>16220</v>
      </c>
      <c r="B21297" s="2" t="str">
        <f>"82602"</f>
        <v>82602</v>
      </c>
      <c r="C21297" s="1">
        <v>3.8855043482304702E-2</v>
      </c>
      <c r="D21297" s="1">
        <v>0.12182829336114</v>
      </c>
      <c r="E21297" s="1">
        <v>1.17096018735362E-3</v>
      </c>
      <c r="F21297" s="1">
        <v>4.7039708330030898E-2</v>
      </c>
    </row>
    <row r="21298" spans="1:6" x14ac:dyDescent="0.25">
      <c r="A21298" s="2" t="str">
        <f t="shared" si="756"/>
        <v>16220</v>
      </c>
      <c r="B21298" s="2" t="str">
        <f>"82639"</f>
        <v>82639</v>
      </c>
      <c r="C21298" s="1">
        <v>1.6276798586243701E-4</v>
      </c>
      <c r="D21298" s="1">
        <v>1.7379214459506401E-4</v>
      </c>
      <c r="E21298" s="1">
        <v>0</v>
      </c>
      <c r="F21298" s="1">
        <v>1.5851628754854499E-4</v>
      </c>
    </row>
    <row r="21299" spans="1:6" x14ac:dyDescent="0.25">
      <c r="A21299" s="2" t="str">
        <f t="shared" si="756"/>
        <v>16220</v>
      </c>
      <c r="B21299" s="2" t="str">
        <f>"82604"</f>
        <v>82604</v>
      </c>
      <c r="C21299" s="1">
        <v>0.27442682416406999</v>
      </c>
      <c r="D21299" s="1">
        <v>0.16023635731664901</v>
      </c>
      <c r="E21299" s="1">
        <v>0.179156908665105</v>
      </c>
      <c r="F21299" s="1">
        <v>0.25818340334469297</v>
      </c>
    </row>
    <row r="21300" spans="1:6" x14ac:dyDescent="0.25">
      <c r="A21300" s="2" t="str">
        <f t="shared" si="756"/>
        <v>16220</v>
      </c>
      <c r="B21300" s="2" t="str">
        <f>"82638"</f>
        <v>82638</v>
      </c>
      <c r="C21300" s="1">
        <v>2.7903083290703597E-4</v>
      </c>
      <c r="D21300" s="1">
        <v>1.7379214459506401E-4</v>
      </c>
      <c r="E21300" s="1">
        <v>5.8548009367681401E-4</v>
      </c>
      <c r="F21300" s="1">
        <v>2.7740350320995403E-4</v>
      </c>
    </row>
    <row r="21301" spans="1:6" x14ac:dyDescent="0.25">
      <c r="A21301" s="2" t="str">
        <f t="shared" si="756"/>
        <v>16220</v>
      </c>
      <c r="B21301" s="2" t="str">
        <f>"82643"</f>
        <v>82643</v>
      </c>
      <c r="C21301" s="1">
        <v>1.3951541645351799E-4</v>
      </c>
      <c r="D21301" s="1">
        <v>0</v>
      </c>
      <c r="E21301" s="1">
        <v>5.8548009367681401E-4</v>
      </c>
      <c r="F21301" s="1">
        <v>1.3870175160497701E-4</v>
      </c>
    </row>
    <row r="21302" spans="1:6" x14ac:dyDescent="0.25">
      <c r="A21302" s="2" t="str">
        <f t="shared" si="756"/>
        <v>16220</v>
      </c>
      <c r="B21302" s="2" t="str">
        <f>"82601"</f>
        <v>82601</v>
      </c>
      <c r="C21302" s="1">
        <v>0.31160768264893202</v>
      </c>
      <c r="D21302" s="1">
        <v>0.453597497393117</v>
      </c>
      <c r="E21302" s="1">
        <v>0.53278688524590101</v>
      </c>
      <c r="F21302" s="1">
        <v>0.33528176270111698</v>
      </c>
    </row>
    <row r="21303" spans="1:6" x14ac:dyDescent="0.25">
      <c r="A21303" s="2" t="str">
        <f t="shared" si="756"/>
        <v>16220</v>
      </c>
      <c r="B21303" s="2" t="str">
        <f>"82646"</f>
        <v>82646</v>
      </c>
      <c r="C21303" s="1">
        <v>6.9757708226758999E-4</v>
      </c>
      <c r="D21303" s="1">
        <v>0</v>
      </c>
      <c r="E21303" s="1">
        <v>5.8548009367681401E-4</v>
      </c>
      <c r="F21303" s="1">
        <v>6.1425061425061402E-4</v>
      </c>
    </row>
    <row r="21304" spans="1:6" x14ac:dyDescent="0.25">
      <c r="A21304" s="2" t="str">
        <f t="shared" si="756"/>
        <v>16220</v>
      </c>
      <c r="B21304" s="2" t="str">
        <f>"82609"</f>
        <v>82609</v>
      </c>
      <c r="C21304" s="1">
        <v>0.21415616425615</v>
      </c>
      <c r="D21304" s="1">
        <v>0.10531803962460801</v>
      </c>
      <c r="E21304" s="1">
        <v>0.26346604215456598</v>
      </c>
      <c r="F21304" s="1">
        <v>0.203416025996671</v>
      </c>
    </row>
    <row r="21305" spans="1:6" x14ac:dyDescent="0.25">
      <c r="A21305" s="2" t="str">
        <f t="shared" si="756"/>
        <v>16220</v>
      </c>
      <c r="B21305" s="2" t="str">
        <f>"82605"</f>
        <v>82605</v>
      </c>
      <c r="C21305" s="1">
        <v>3.26001023113053E-2</v>
      </c>
      <c r="D21305" s="1">
        <v>5.8394160583941597E-2</v>
      </c>
      <c r="E21305" s="1">
        <v>1.17096018735362E-3</v>
      </c>
      <c r="F21305" s="1">
        <v>3.4477292541808598E-2</v>
      </c>
    </row>
    <row r="21306" spans="1:6" x14ac:dyDescent="0.25">
      <c r="A21306" s="2" t="str">
        <f t="shared" si="756"/>
        <v>16220</v>
      </c>
      <c r="B21306" s="2" t="str">
        <f>"82630"</f>
        <v>82630</v>
      </c>
      <c r="C21306" s="1">
        <v>2.5577826349811598E-4</v>
      </c>
      <c r="D21306" s="1">
        <v>0</v>
      </c>
      <c r="E21306" s="1">
        <v>5.8548009367681401E-4</v>
      </c>
      <c r="F21306" s="1">
        <v>2.3777443132281799E-4</v>
      </c>
    </row>
    <row r="21307" spans="1:6" x14ac:dyDescent="0.25">
      <c r="A21307" s="2" t="str">
        <f t="shared" si="756"/>
        <v>16220</v>
      </c>
      <c r="B21307" s="2" t="str">
        <f>"82636"</f>
        <v>82636</v>
      </c>
      <c r="C21307" s="1">
        <v>7.7035762451750894E-2</v>
      </c>
      <c r="D21307" s="1">
        <v>2.7111574556830002E-2</v>
      </c>
      <c r="E21307" s="1">
        <v>1.6978922716627601E-2</v>
      </c>
      <c r="F21307" s="1">
        <v>6.9311246730601503E-2</v>
      </c>
    </row>
    <row r="21308" spans="1:6" x14ac:dyDescent="0.25">
      <c r="A21308" s="2" t="str">
        <f t="shared" ref="A21308:A21321" si="757">"13940"</f>
        <v>13940</v>
      </c>
      <c r="B21308" s="2" t="str">
        <f>"83274"</f>
        <v>83274</v>
      </c>
      <c r="C21308" s="1">
        <v>0.19868656028573001</v>
      </c>
      <c r="D21308" s="1">
        <v>0.132660977501939</v>
      </c>
      <c r="E21308" s="1">
        <v>0.201550387596899</v>
      </c>
      <c r="F21308" s="1">
        <v>0.19432268837403399</v>
      </c>
    </row>
    <row r="21309" spans="1:6" x14ac:dyDescent="0.25">
      <c r="A21309" s="2" t="str">
        <f t="shared" si="757"/>
        <v>13940</v>
      </c>
      <c r="B21309" s="2" t="str">
        <f>"83210"</f>
        <v>83210</v>
      </c>
      <c r="C21309" s="1">
        <v>5.5705973846419697E-2</v>
      </c>
      <c r="D21309" s="1">
        <v>2.1722265321954998E-2</v>
      </c>
      <c r="E21309" s="1">
        <v>1.1627906976744099E-2</v>
      </c>
      <c r="F21309" s="1">
        <v>5.2233354205802503E-2</v>
      </c>
    </row>
    <row r="21310" spans="1:6" x14ac:dyDescent="0.25">
      <c r="A21310" s="2" t="str">
        <f t="shared" si="757"/>
        <v>13940</v>
      </c>
      <c r="B21310" s="2" t="str">
        <f>"83202"</f>
        <v>83202</v>
      </c>
      <c r="C21310" s="1">
        <v>3.01860706261881E-2</v>
      </c>
      <c r="D21310" s="1">
        <v>4.6547711404189198E-3</v>
      </c>
      <c r="E21310" s="1">
        <v>5.8139534883720903E-3</v>
      </c>
      <c r="F21310" s="1">
        <v>2.7812565226466201E-2</v>
      </c>
    </row>
    <row r="21311" spans="1:6" x14ac:dyDescent="0.25">
      <c r="A21311" s="2" t="str">
        <f t="shared" si="757"/>
        <v>13940</v>
      </c>
      <c r="B21311" s="2" t="str">
        <f>"83211"</f>
        <v>83211</v>
      </c>
      <c r="C21311" s="1">
        <v>5.7607005011809395E-4</v>
      </c>
      <c r="D21311" s="1">
        <v>0</v>
      </c>
      <c r="E21311" s="1">
        <v>0</v>
      </c>
      <c r="F21311" s="1">
        <v>5.2181173032769704E-4</v>
      </c>
    </row>
    <row r="21312" spans="1:6" x14ac:dyDescent="0.25">
      <c r="A21312" s="2" t="str">
        <f t="shared" si="757"/>
        <v>13940</v>
      </c>
      <c r="B21312" s="2" t="str">
        <f>"83256"</f>
        <v>83256</v>
      </c>
      <c r="C21312" s="1">
        <v>4.6085604009447499E-3</v>
      </c>
      <c r="D21312" s="1">
        <v>1.5515903801396401E-3</v>
      </c>
      <c r="E21312" s="1">
        <v>0</v>
      </c>
      <c r="F21312" s="1">
        <v>4.2788561886871199E-3</v>
      </c>
    </row>
    <row r="21313" spans="1:6" x14ac:dyDescent="0.25">
      <c r="A21313" s="2" t="str">
        <f t="shared" si="757"/>
        <v>13940</v>
      </c>
      <c r="B21313" s="2" t="str">
        <f>"83262"</f>
        <v>83262</v>
      </c>
      <c r="C21313" s="1">
        <v>2.8803502505904698E-2</v>
      </c>
      <c r="D21313" s="1">
        <v>6.9821567106283901E-3</v>
      </c>
      <c r="E21313" s="1">
        <v>0</v>
      </c>
      <c r="F21313" s="1">
        <v>2.6560217073679799E-2</v>
      </c>
    </row>
    <row r="21314" spans="1:6" x14ac:dyDescent="0.25">
      <c r="A21314" s="2" t="str">
        <f t="shared" si="757"/>
        <v>13940</v>
      </c>
      <c r="B21314" s="2" t="str">
        <f>"83402"</f>
        <v>83402</v>
      </c>
      <c r="C21314" s="1">
        <v>1.15214010023618E-4</v>
      </c>
      <c r="D21314" s="1">
        <v>0</v>
      </c>
      <c r="E21314" s="1">
        <v>0</v>
      </c>
      <c r="F21314" s="1">
        <v>1.0436234606553901E-4</v>
      </c>
    </row>
    <row r="21315" spans="1:6" x14ac:dyDescent="0.25">
      <c r="A21315" s="2" t="str">
        <f t="shared" si="757"/>
        <v>13940</v>
      </c>
      <c r="B21315" s="2" t="str">
        <f>"83404"</f>
        <v>83404</v>
      </c>
      <c r="C21315" s="1">
        <v>1.7282101503542801E-4</v>
      </c>
      <c r="D21315" s="1">
        <v>0</v>
      </c>
      <c r="E21315" s="1">
        <v>0</v>
      </c>
      <c r="F21315" s="1">
        <v>1.56543519098309E-4</v>
      </c>
    </row>
    <row r="21316" spans="1:6" x14ac:dyDescent="0.25">
      <c r="A21316" s="2" t="str">
        <f t="shared" si="757"/>
        <v>13940</v>
      </c>
      <c r="B21316" s="2" t="str">
        <f>"83277"</f>
        <v>83277</v>
      </c>
      <c r="C21316" s="1">
        <v>3.7444553257676102E-3</v>
      </c>
      <c r="D21316" s="1">
        <v>7.7579519006982102E-4</v>
      </c>
      <c r="E21316" s="1">
        <v>1.9379844961240299E-3</v>
      </c>
      <c r="F21316" s="1">
        <v>3.4961385931955701E-3</v>
      </c>
    </row>
    <row r="21317" spans="1:6" x14ac:dyDescent="0.25">
      <c r="A21317" s="2" t="str">
        <f t="shared" si="757"/>
        <v>13940</v>
      </c>
      <c r="B21317" s="2" t="str">
        <f>"83236"</f>
        <v>83236</v>
      </c>
      <c r="C21317" s="1">
        <v>4.8677919234978898E-2</v>
      </c>
      <c r="D21317" s="1">
        <v>1.7067494181536001E-2</v>
      </c>
      <c r="E21317" s="1">
        <v>9.6899224806201497E-3</v>
      </c>
      <c r="F21317" s="1">
        <v>4.5501982884575201E-2</v>
      </c>
    </row>
    <row r="21318" spans="1:6" x14ac:dyDescent="0.25">
      <c r="A21318" s="2" t="str">
        <f t="shared" si="757"/>
        <v>13940</v>
      </c>
      <c r="B21318" s="2" t="str">
        <f>"83218"</f>
        <v>83218</v>
      </c>
      <c r="C21318" s="1">
        <v>0</v>
      </c>
      <c r="D21318" s="1">
        <v>0</v>
      </c>
      <c r="E21318" s="1">
        <v>1.9379844961240299E-3</v>
      </c>
      <c r="F21318" s="1">
        <v>5.21811730327697E-5</v>
      </c>
    </row>
    <row r="21319" spans="1:6" x14ac:dyDescent="0.25">
      <c r="A21319" s="2" t="str">
        <f t="shared" si="757"/>
        <v>13940</v>
      </c>
      <c r="B21319" s="2" t="str">
        <f>"83203"</f>
        <v>83203</v>
      </c>
      <c r="C21319" s="1">
        <v>0</v>
      </c>
      <c r="D21319" s="1">
        <v>0</v>
      </c>
      <c r="E21319" s="1">
        <v>1.9379844961240299E-3</v>
      </c>
      <c r="F21319" s="1">
        <v>5.21811730327697E-5</v>
      </c>
    </row>
    <row r="21320" spans="1:6" x14ac:dyDescent="0.25">
      <c r="A21320" s="2" t="str">
        <f t="shared" si="757"/>
        <v>13940</v>
      </c>
      <c r="B21320" s="2" t="str">
        <f>"83215"</f>
        <v>83215</v>
      </c>
      <c r="C21320" s="1">
        <v>1.90103116538971E-3</v>
      </c>
      <c r="D21320" s="1">
        <v>7.7579519006982102E-4</v>
      </c>
      <c r="E21320" s="1">
        <v>0</v>
      </c>
      <c r="F21320" s="1">
        <v>1.7741598831141701E-3</v>
      </c>
    </row>
    <row r="21321" spans="1:6" x14ac:dyDescent="0.25">
      <c r="A21321" s="2" t="str">
        <f t="shared" si="757"/>
        <v>13940</v>
      </c>
      <c r="B21321" s="2" t="str">
        <f>"83221"</f>
        <v>83221</v>
      </c>
      <c r="C21321" s="1">
        <v>0.62682182153349797</v>
      </c>
      <c r="D21321" s="1">
        <v>0.81380915438324197</v>
      </c>
      <c r="E21321" s="1">
        <v>0.76550387596899205</v>
      </c>
      <c r="F21321" s="1">
        <v>0.643132957628887</v>
      </c>
    </row>
    <row r="21322" spans="1:6" x14ac:dyDescent="0.25">
      <c r="A21322" s="2" t="str">
        <f t="shared" ref="A21322:A21335" si="758">"46300"</f>
        <v>46300</v>
      </c>
      <c r="B21322" s="2" t="str">
        <f>"83344"</f>
        <v>83344</v>
      </c>
      <c r="C21322" s="1">
        <v>6.8506910961105699E-3</v>
      </c>
      <c r="D21322" s="1">
        <v>3.6886041545331001E-3</v>
      </c>
      <c r="E21322" s="1">
        <v>5.1698670605612902E-3</v>
      </c>
      <c r="F21322" s="1">
        <v>6.5208507311526002E-3</v>
      </c>
    </row>
    <row r="21323" spans="1:6" x14ac:dyDescent="0.25">
      <c r="A21323" s="2" t="str">
        <f t="shared" si="758"/>
        <v>46300</v>
      </c>
      <c r="B21323" s="2" t="str">
        <f>"83334"</f>
        <v>83334</v>
      </c>
      <c r="C21323" s="1">
        <v>1.6333172613307599E-2</v>
      </c>
      <c r="D21323" s="1">
        <v>2.3296447291787999E-3</v>
      </c>
      <c r="E21323" s="1">
        <v>5.9084194977843396E-3</v>
      </c>
      <c r="F21323" s="1">
        <v>1.4800732041008499E-2</v>
      </c>
    </row>
    <row r="21324" spans="1:6" x14ac:dyDescent="0.25">
      <c r="A21324" s="2" t="str">
        <f t="shared" si="758"/>
        <v>46300</v>
      </c>
      <c r="B21324" s="2" t="str">
        <f>"83301"</f>
        <v>83301</v>
      </c>
      <c r="C21324" s="1">
        <v>0.53290742526518797</v>
      </c>
      <c r="D21324" s="1">
        <v>0.55193166375461</v>
      </c>
      <c r="E21324" s="1">
        <v>0.787296898079763</v>
      </c>
      <c r="F21324" s="1">
        <v>0.54076864305893602</v>
      </c>
    </row>
    <row r="21325" spans="1:6" x14ac:dyDescent="0.25">
      <c r="A21325" s="2" t="str">
        <f t="shared" si="758"/>
        <v>46300</v>
      </c>
      <c r="B21325" s="2" t="str">
        <f>"83328"</f>
        <v>83328</v>
      </c>
      <c r="C21325" s="1">
        <v>6.00891996142719E-2</v>
      </c>
      <c r="D21325" s="1">
        <v>2.7373325567850899E-2</v>
      </c>
      <c r="E21325" s="1">
        <v>1.8463810930575999E-2</v>
      </c>
      <c r="F21325" s="1">
        <v>5.6093530676427202E-2</v>
      </c>
    </row>
    <row r="21326" spans="1:6" x14ac:dyDescent="0.25">
      <c r="A21326" s="2" t="str">
        <f t="shared" si="758"/>
        <v>46300</v>
      </c>
      <c r="B21326" s="2" t="str">
        <f>"83347"</f>
        <v>83347</v>
      </c>
      <c r="C21326" s="1">
        <v>1.1652201864352199E-3</v>
      </c>
      <c r="D21326" s="1">
        <v>5.8241118229469997E-4</v>
      </c>
      <c r="E21326" s="1">
        <v>0</v>
      </c>
      <c r="F21326" s="1">
        <v>1.0838471242515201E-3</v>
      </c>
    </row>
    <row r="21327" spans="1:6" x14ac:dyDescent="0.25">
      <c r="A21327" s="2" t="str">
        <f t="shared" si="758"/>
        <v>46300</v>
      </c>
      <c r="B21327" s="2" t="str">
        <f>"83302"</f>
        <v>83302</v>
      </c>
      <c r="C21327" s="1">
        <v>1.9889103182256498E-3</v>
      </c>
      <c r="D21327" s="1">
        <v>7.7654824305959996E-4</v>
      </c>
      <c r="E21327" s="1">
        <v>7.3855243722304202E-4</v>
      </c>
      <c r="F21327" s="1">
        <v>1.84787050692063E-3</v>
      </c>
    </row>
    <row r="21328" spans="1:6" x14ac:dyDescent="0.25">
      <c r="A21328" s="2" t="str">
        <f t="shared" si="758"/>
        <v>46300</v>
      </c>
      <c r="B21328" s="2" t="str">
        <f>"83332"</f>
        <v>83332</v>
      </c>
      <c r="C21328" s="1">
        <v>1.9085503053680401E-3</v>
      </c>
      <c r="D21328" s="1">
        <v>3.8827412152979998E-4</v>
      </c>
      <c r="E21328" s="1">
        <v>7.3855243722304202E-4</v>
      </c>
      <c r="F21328" s="1">
        <v>1.7412625930598199E-3</v>
      </c>
    </row>
    <row r="21329" spans="1:6" x14ac:dyDescent="0.25">
      <c r="A21329" s="2" t="str">
        <f t="shared" si="758"/>
        <v>46300</v>
      </c>
      <c r="B21329" s="2" t="str">
        <f>"83341"</f>
        <v>83341</v>
      </c>
      <c r="C21329" s="1">
        <v>6.8165380906460904E-2</v>
      </c>
      <c r="D21329" s="1">
        <v>3.53329450592118E-2</v>
      </c>
      <c r="E21329" s="1">
        <v>2.8064992614475599E-2</v>
      </c>
      <c r="F21329" s="1">
        <v>6.4195732129848401E-2</v>
      </c>
    </row>
    <row r="21330" spans="1:6" x14ac:dyDescent="0.25">
      <c r="A21330" s="2" t="str">
        <f t="shared" si="758"/>
        <v>46300</v>
      </c>
      <c r="B21330" s="2" t="str">
        <f>"83325"</f>
        <v>83325</v>
      </c>
      <c r="C21330" s="1">
        <v>6.7904210864673702E-3</v>
      </c>
      <c r="D21330" s="1">
        <v>2.9120559114735002E-3</v>
      </c>
      <c r="E21330" s="1">
        <v>2.21565731166912E-3</v>
      </c>
      <c r="F21330" s="1">
        <v>6.3254028890744598E-3</v>
      </c>
    </row>
    <row r="21331" spans="1:6" x14ac:dyDescent="0.25">
      <c r="A21331" s="2" t="str">
        <f t="shared" si="758"/>
        <v>46300</v>
      </c>
      <c r="B21331" s="2" t="str">
        <f>"83321"</f>
        <v>83321</v>
      </c>
      <c r="C21331" s="1">
        <v>2.57152041144326E-3</v>
      </c>
      <c r="D21331" s="1">
        <v>9.7068530382449995E-4</v>
      </c>
      <c r="E21331" s="1">
        <v>7.3855243722304202E-4</v>
      </c>
      <c r="F21331" s="1">
        <v>2.3809100762246498E-3</v>
      </c>
    </row>
    <row r="21332" spans="1:6" x14ac:dyDescent="0.25">
      <c r="A21332" s="2" t="str">
        <f t="shared" si="758"/>
        <v>46300</v>
      </c>
      <c r="B21332" s="2" t="str">
        <f>"83338"</f>
        <v>83338</v>
      </c>
      <c r="C21332" s="1">
        <v>0.157766795242687</v>
      </c>
      <c r="D21332" s="1">
        <v>0.14637934381673401</v>
      </c>
      <c r="E21332" s="1">
        <v>0.10856720827178699</v>
      </c>
      <c r="F21332" s="1">
        <v>0.15554094632291501</v>
      </c>
    </row>
    <row r="21333" spans="1:6" x14ac:dyDescent="0.25">
      <c r="A21333" s="2" t="str">
        <f t="shared" si="758"/>
        <v>46300</v>
      </c>
      <c r="B21333" s="2" t="str">
        <f>"83335"</f>
        <v>83335</v>
      </c>
      <c r="C21333" s="1">
        <v>1.4183542269366699E-2</v>
      </c>
      <c r="D21333" s="1">
        <v>4.8534265191225003E-3</v>
      </c>
      <c r="E21333" s="1">
        <v>6.6469719350073803E-3</v>
      </c>
      <c r="F21333" s="1">
        <v>1.3148309376166E-2</v>
      </c>
    </row>
    <row r="21334" spans="1:6" x14ac:dyDescent="0.25">
      <c r="A21334" s="2" t="str">
        <f t="shared" si="758"/>
        <v>46300</v>
      </c>
      <c r="B21334" s="2" t="str">
        <f>"83316"</f>
        <v>83316</v>
      </c>
      <c r="C21334" s="1">
        <v>8.53825136612021E-2</v>
      </c>
      <c r="D21334" s="1">
        <v>4.8922539312754802E-2</v>
      </c>
      <c r="E21334" s="1">
        <v>3.2496307237813798E-2</v>
      </c>
      <c r="F21334" s="1">
        <v>8.0773262735203702E-2</v>
      </c>
    </row>
    <row r="21335" spans="1:6" x14ac:dyDescent="0.25">
      <c r="A21335" s="2" t="str">
        <f t="shared" si="758"/>
        <v>46300</v>
      </c>
      <c r="B21335" s="2" t="str">
        <f>"83303"</f>
        <v>83303</v>
      </c>
      <c r="C21335" s="1">
        <v>4.3896657023465097E-2</v>
      </c>
      <c r="D21335" s="1">
        <v>0.17355853232381999</v>
      </c>
      <c r="E21335" s="1">
        <v>2.9542097488921698E-3</v>
      </c>
      <c r="F21335" s="1">
        <v>5.4778699738810603E-2</v>
      </c>
    </row>
    <row r="21336" spans="1:6" x14ac:dyDescent="0.25">
      <c r="A21336" s="2" t="str">
        <f t="shared" ref="A21336:A21348" si="759">"30300"</f>
        <v>30300</v>
      </c>
      <c r="B21336" s="2" t="str">
        <f>"83545"</f>
        <v>83545</v>
      </c>
      <c r="C21336" s="1">
        <v>4.0605758029622196E-3</v>
      </c>
      <c r="D21336" s="1">
        <v>5.2283025444405697E-3</v>
      </c>
      <c r="E21336" s="1">
        <v>3.9893617021276497E-3</v>
      </c>
      <c r="F21336" s="1">
        <v>4.1548027195072298E-3</v>
      </c>
    </row>
    <row r="21337" spans="1:6" x14ac:dyDescent="0.25">
      <c r="A21337" s="2" t="str">
        <f t="shared" si="759"/>
        <v>30300</v>
      </c>
      <c r="B21337" s="2" t="str">
        <f>"99403"</f>
        <v>99403</v>
      </c>
      <c r="C21337" s="1">
        <v>0.32424696288899901</v>
      </c>
      <c r="D21337" s="1">
        <v>0.26699198326943102</v>
      </c>
      <c r="E21337" s="1">
        <v>0.23404255319148901</v>
      </c>
      <c r="F21337" s="1">
        <v>0.315532570166773</v>
      </c>
    </row>
    <row r="21338" spans="1:6" x14ac:dyDescent="0.25">
      <c r="A21338" s="2" t="str">
        <f t="shared" si="759"/>
        <v>30300</v>
      </c>
      <c r="B21338" s="2" t="str">
        <f>"83548"</f>
        <v>83548</v>
      </c>
      <c r="C21338" s="1">
        <v>7.9880179730404302E-4</v>
      </c>
      <c r="D21338" s="1">
        <v>6.9710700592540901E-4</v>
      </c>
      <c r="E21338" s="1">
        <v>0</v>
      </c>
      <c r="F21338" s="1">
        <v>7.5541867627404197E-4</v>
      </c>
    </row>
    <row r="21339" spans="1:6" x14ac:dyDescent="0.25">
      <c r="A21339" s="2" t="str">
        <f t="shared" si="759"/>
        <v>30300</v>
      </c>
      <c r="B21339" s="2" t="str">
        <f>"83535"</f>
        <v>83535</v>
      </c>
      <c r="C21339" s="1">
        <v>6.7898152770843696E-3</v>
      </c>
      <c r="D21339" s="1">
        <v>1.39421401185081E-3</v>
      </c>
      <c r="E21339" s="1">
        <v>0</v>
      </c>
      <c r="F21339" s="1">
        <v>6.0433494101923401E-3</v>
      </c>
    </row>
    <row r="21340" spans="1:6" x14ac:dyDescent="0.25">
      <c r="A21340" s="2" t="str">
        <f t="shared" si="759"/>
        <v>30300</v>
      </c>
      <c r="B21340" s="2" t="str">
        <f>"83540"</f>
        <v>83540</v>
      </c>
      <c r="C21340" s="1">
        <v>1.36129139623897E-2</v>
      </c>
      <c r="D21340" s="1">
        <v>3.1369815266643398E-3</v>
      </c>
      <c r="E21340" s="1">
        <v>6.6489361702127604E-4</v>
      </c>
      <c r="F21340" s="1">
        <v>1.21738625138009E-2</v>
      </c>
    </row>
    <row r="21341" spans="1:6" x14ac:dyDescent="0.25">
      <c r="A21341" s="2" t="str">
        <f t="shared" si="759"/>
        <v>30300</v>
      </c>
      <c r="B21341" s="2" t="str">
        <f>"83524"</f>
        <v>83524</v>
      </c>
      <c r="C21341" s="1">
        <v>1.35130637377267E-2</v>
      </c>
      <c r="D21341" s="1">
        <v>4.1826420355524502E-3</v>
      </c>
      <c r="E21341" s="1">
        <v>3.32446808510638E-3</v>
      </c>
      <c r="F21341" s="1">
        <v>1.22900807716892E-2</v>
      </c>
    </row>
    <row r="21342" spans="1:6" x14ac:dyDescent="0.25">
      <c r="A21342" s="2" t="str">
        <f t="shared" si="759"/>
        <v>30300</v>
      </c>
      <c r="B21342" s="2" t="str">
        <f>"83541"</f>
        <v>83541</v>
      </c>
      <c r="C21342" s="1">
        <v>1.00183058745215E-2</v>
      </c>
      <c r="D21342" s="1">
        <v>2.4398745207389301E-3</v>
      </c>
      <c r="E21342" s="1">
        <v>5.9840425531914798E-3</v>
      </c>
      <c r="F21342" s="1">
        <v>9.2102969376488993E-3</v>
      </c>
    </row>
    <row r="21343" spans="1:6" x14ac:dyDescent="0.25">
      <c r="A21343" s="2" t="str">
        <f t="shared" si="759"/>
        <v>30300</v>
      </c>
      <c r="B21343" s="2" t="str">
        <f>"99401"</f>
        <v>99401</v>
      </c>
      <c r="C21343" s="1">
        <v>1.1649192877350601E-3</v>
      </c>
      <c r="D21343" s="1">
        <v>0</v>
      </c>
      <c r="E21343" s="1">
        <v>4.1888297872340399E-2</v>
      </c>
      <c r="F21343" s="1">
        <v>2.8473473182636902E-3</v>
      </c>
    </row>
    <row r="21344" spans="1:6" x14ac:dyDescent="0.25">
      <c r="A21344" s="2" t="str">
        <f t="shared" si="759"/>
        <v>30300</v>
      </c>
      <c r="B21344" s="2" t="str">
        <f>"83832"</f>
        <v>83832</v>
      </c>
      <c r="C21344" s="1">
        <v>2.72923947412215E-3</v>
      </c>
      <c r="D21344" s="1">
        <v>3.4855350296270402E-4</v>
      </c>
      <c r="E21344" s="1">
        <v>0</v>
      </c>
      <c r="F21344" s="1">
        <v>2.4115288511825199E-3</v>
      </c>
    </row>
    <row r="21345" spans="1:6" x14ac:dyDescent="0.25">
      <c r="A21345" s="2" t="str">
        <f t="shared" si="759"/>
        <v>30300</v>
      </c>
      <c r="B21345" s="2" t="str">
        <f>"83537"</f>
        <v>83537</v>
      </c>
      <c r="C21345" s="1">
        <v>4.3934098851722402E-3</v>
      </c>
      <c r="D21345" s="1">
        <v>2.4398745207389301E-3</v>
      </c>
      <c r="E21345" s="1">
        <v>0</v>
      </c>
      <c r="F21345" s="1">
        <v>4.0385844616189197E-3</v>
      </c>
    </row>
    <row r="21346" spans="1:6" x14ac:dyDescent="0.25">
      <c r="A21346" s="2" t="str">
        <f t="shared" si="759"/>
        <v>30300</v>
      </c>
      <c r="B21346" s="2" t="str">
        <f>"83501"</f>
        <v>83501</v>
      </c>
      <c r="C21346" s="1">
        <v>0.581394574804459</v>
      </c>
      <c r="D21346" s="1">
        <v>0.69327291739281904</v>
      </c>
      <c r="E21346" s="1">
        <v>0.66023936170212705</v>
      </c>
      <c r="F21346" s="1">
        <v>0.59416584345400603</v>
      </c>
    </row>
    <row r="21347" spans="1:6" x14ac:dyDescent="0.25">
      <c r="A21347" s="2" t="str">
        <f t="shared" si="759"/>
        <v>30300</v>
      </c>
      <c r="B21347" s="2" t="str">
        <f>"99402"</f>
        <v>99402</v>
      </c>
      <c r="C21347" s="1">
        <v>3.6611749043102E-2</v>
      </c>
      <c r="D21347" s="1">
        <v>1.98675496688741E-2</v>
      </c>
      <c r="E21347" s="1">
        <v>4.9867021276595702E-2</v>
      </c>
      <c r="F21347" s="1">
        <v>3.5795223429600703E-2</v>
      </c>
    </row>
    <row r="21348" spans="1:6" x14ac:dyDescent="0.25">
      <c r="A21348" s="2" t="str">
        <f t="shared" si="759"/>
        <v>30300</v>
      </c>
      <c r="B21348" s="2" t="str">
        <f>"83555"</f>
        <v>83555</v>
      </c>
      <c r="C21348" s="1">
        <v>6.6566816442003597E-4</v>
      </c>
      <c r="D21348" s="1">
        <v>0</v>
      </c>
      <c r="E21348" s="1">
        <v>0</v>
      </c>
      <c r="F21348" s="1">
        <v>5.8109128944157102E-4</v>
      </c>
    </row>
    <row r="21349" spans="1:6" x14ac:dyDescent="0.25">
      <c r="A21349" s="2" t="str">
        <f t="shared" ref="A21349:A21357" si="760">"25200"</f>
        <v>25200</v>
      </c>
      <c r="B21349" s="2" t="str">
        <f>"83327"</f>
        <v>83327</v>
      </c>
      <c r="C21349" s="1">
        <v>1.1316408792749399E-2</v>
      </c>
      <c r="D21349" s="1">
        <v>2.69106566200215E-3</v>
      </c>
      <c r="E21349" s="1">
        <v>8.7336244541484694E-3</v>
      </c>
      <c r="F21349" s="1">
        <v>1.0563061020944699E-2</v>
      </c>
    </row>
    <row r="21350" spans="1:6" x14ac:dyDescent="0.25">
      <c r="A21350" s="2" t="str">
        <f t="shared" si="760"/>
        <v>25200</v>
      </c>
      <c r="B21350" s="2" t="str">
        <f>"83354"</f>
        <v>83354</v>
      </c>
      <c r="C21350" s="1">
        <v>1.36698212407991E-2</v>
      </c>
      <c r="D21350" s="1">
        <v>5.3821313240043E-3</v>
      </c>
      <c r="E21350" s="1">
        <v>8.7336244541484694E-3</v>
      </c>
      <c r="F21350" s="1">
        <v>1.29204823646749E-2</v>
      </c>
    </row>
    <row r="21351" spans="1:6" x14ac:dyDescent="0.25">
      <c r="A21351" s="2" t="str">
        <f t="shared" si="760"/>
        <v>25200</v>
      </c>
      <c r="B21351" s="2" t="str">
        <f>"83320"</f>
        <v>83320</v>
      </c>
      <c r="C21351" s="1">
        <v>1.0815682739972901E-2</v>
      </c>
      <c r="D21351" s="1">
        <v>5.9203444564047301E-3</v>
      </c>
      <c r="E21351" s="1">
        <v>4.36681222707423E-2</v>
      </c>
      <c r="F21351" s="1">
        <v>1.0744401124308601E-2</v>
      </c>
    </row>
    <row r="21352" spans="1:6" x14ac:dyDescent="0.25">
      <c r="A21352" s="2" t="str">
        <f t="shared" si="760"/>
        <v>25200</v>
      </c>
      <c r="B21352" s="2" t="str">
        <f>"83340"</f>
        <v>83340</v>
      </c>
      <c r="C21352" s="1">
        <v>0.34570126683691299</v>
      </c>
      <c r="D21352" s="1">
        <v>0.36221743810548901</v>
      </c>
      <c r="E21352" s="1">
        <v>2.62008733624454E-2</v>
      </c>
      <c r="F21352" s="1">
        <v>0.34377550095203502</v>
      </c>
    </row>
    <row r="21353" spans="1:6" x14ac:dyDescent="0.25">
      <c r="A21353" s="2" t="str">
        <f t="shared" si="760"/>
        <v>25200</v>
      </c>
      <c r="B21353" s="2" t="str">
        <f>"83353"</f>
        <v>83353</v>
      </c>
      <c r="C21353" s="1">
        <v>0.11531720995443299</v>
      </c>
      <c r="D21353" s="1">
        <v>8.9881593110871905E-2</v>
      </c>
      <c r="E21353" s="1">
        <v>8.7336244541484694E-3</v>
      </c>
      <c r="F21353" s="1">
        <v>0.112068183878864</v>
      </c>
    </row>
    <row r="21354" spans="1:6" x14ac:dyDescent="0.25">
      <c r="A21354" s="2" t="str">
        <f t="shared" si="760"/>
        <v>25200</v>
      </c>
      <c r="B21354" s="2" t="str">
        <f>"83348"</f>
        <v>83348</v>
      </c>
      <c r="C21354" s="1">
        <v>1.00145210555305E-4</v>
      </c>
      <c r="D21354" s="1">
        <v>0</v>
      </c>
      <c r="E21354" s="1">
        <v>4.3668122270742304E-3</v>
      </c>
      <c r="F21354" s="1">
        <v>1.36005077522894E-4</v>
      </c>
    </row>
    <row r="21355" spans="1:6" x14ac:dyDescent="0.25">
      <c r="A21355" s="2" t="str">
        <f t="shared" si="760"/>
        <v>25200</v>
      </c>
      <c r="B21355" s="2" t="str">
        <f>"83322"</f>
        <v>83322</v>
      </c>
      <c r="C21355" s="1">
        <v>1.95283160582845E-3</v>
      </c>
      <c r="D21355" s="1">
        <v>1.07642626480086E-3</v>
      </c>
      <c r="E21355" s="1">
        <v>4.3668122270742304E-3</v>
      </c>
      <c r="F21355" s="1">
        <v>1.90407108532051E-3</v>
      </c>
    </row>
    <row r="21356" spans="1:6" x14ac:dyDescent="0.25">
      <c r="A21356" s="2" t="str">
        <f t="shared" si="760"/>
        <v>25200</v>
      </c>
      <c r="B21356" s="2" t="str">
        <f>"83333"</f>
        <v>83333</v>
      </c>
      <c r="C21356" s="1">
        <v>0.45475940113163998</v>
      </c>
      <c r="D21356" s="1">
        <v>0.45801937567276602</v>
      </c>
      <c r="E21356" s="1">
        <v>0.79475982532750999</v>
      </c>
      <c r="F21356" s="1">
        <v>0.45856378638135797</v>
      </c>
    </row>
    <row r="21357" spans="1:6" x14ac:dyDescent="0.25">
      <c r="A21357" s="2" t="str">
        <f t="shared" si="760"/>
        <v>25200</v>
      </c>
      <c r="B21357" s="2" t="str">
        <f>"83313"</f>
        <v>83313</v>
      </c>
      <c r="C21357" s="1">
        <v>4.6367232487106301E-2</v>
      </c>
      <c r="D21357" s="1">
        <v>7.4811625403659807E-2</v>
      </c>
      <c r="E21357" s="1">
        <v>0.10043668122270701</v>
      </c>
      <c r="F21357" s="1">
        <v>4.9324508114969599E-2</v>
      </c>
    </row>
    <row r="21358" spans="1:6" x14ac:dyDescent="0.25">
      <c r="A21358" s="2" t="str">
        <f t="shared" ref="A21358:A21372" si="761">"39940"</f>
        <v>39940</v>
      </c>
      <c r="B21358" s="2" t="str">
        <f>"83452"</f>
        <v>83452</v>
      </c>
      <c r="C21358" s="1">
        <v>4.7605446063029601E-5</v>
      </c>
      <c r="D21358" s="1">
        <v>0</v>
      </c>
      <c r="E21358" s="1">
        <v>0</v>
      </c>
      <c r="F21358" s="1">
        <v>4.2419614829897303E-5</v>
      </c>
    </row>
    <row r="21359" spans="1:6" x14ac:dyDescent="0.25">
      <c r="A21359" s="2" t="str">
        <f t="shared" si="761"/>
        <v>39940</v>
      </c>
      <c r="B21359" s="2" t="str">
        <f>"83433"</f>
        <v>83433</v>
      </c>
      <c r="C21359" s="1">
        <v>0</v>
      </c>
      <c r="D21359" s="1">
        <v>0</v>
      </c>
      <c r="E21359" s="1">
        <v>1.29870129870129E-3</v>
      </c>
      <c r="F21359" s="1">
        <v>4.2419614829897303E-5</v>
      </c>
    </row>
    <row r="21360" spans="1:6" x14ac:dyDescent="0.25">
      <c r="A21360" s="2" t="str">
        <f t="shared" si="761"/>
        <v>39940</v>
      </c>
      <c r="B21360" s="2" t="str">
        <f>"83422"</f>
        <v>83422</v>
      </c>
      <c r="C21360" s="1">
        <v>1.90421784252118E-4</v>
      </c>
      <c r="D21360" s="1">
        <v>0</v>
      </c>
      <c r="E21360" s="1">
        <v>0</v>
      </c>
      <c r="F21360" s="1">
        <v>1.6967845931958899E-4</v>
      </c>
    </row>
    <row r="21361" spans="1:6" x14ac:dyDescent="0.25">
      <c r="A21361" s="2" t="str">
        <f t="shared" si="761"/>
        <v>39940</v>
      </c>
      <c r="B21361" s="2" t="str">
        <f>"83429"</f>
        <v>83429</v>
      </c>
      <c r="C21361" s="1">
        <v>3.7037037037037E-2</v>
      </c>
      <c r="D21361" s="1">
        <v>1.8909899888765201E-2</v>
      </c>
      <c r="E21361" s="1">
        <v>3.89610389610389E-3</v>
      </c>
      <c r="F21361" s="1">
        <v>3.4571986086366302E-2</v>
      </c>
    </row>
    <row r="21362" spans="1:6" x14ac:dyDescent="0.25">
      <c r="A21362" s="2" t="str">
        <f t="shared" si="761"/>
        <v>39940</v>
      </c>
      <c r="B21362" s="2" t="str">
        <f>"83420"</f>
        <v>83420</v>
      </c>
      <c r="C21362" s="1">
        <v>2.85156621917547E-2</v>
      </c>
      <c r="D21362" s="1">
        <v>1.8353726362625101E-2</v>
      </c>
      <c r="E21362" s="1">
        <v>1.29870129870129E-3</v>
      </c>
      <c r="F21362" s="1">
        <v>2.6851616187325001E-2</v>
      </c>
    </row>
    <row r="21363" spans="1:6" x14ac:dyDescent="0.25">
      <c r="A21363" s="2" t="str">
        <f t="shared" si="761"/>
        <v>39940</v>
      </c>
      <c r="B21363" s="2" t="str">
        <f>"83438"</f>
        <v>83438</v>
      </c>
      <c r="C21363" s="1">
        <v>2.2374559649623901E-3</v>
      </c>
      <c r="D21363" s="1">
        <v>0</v>
      </c>
      <c r="E21363" s="1">
        <v>1.29870129870129E-3</v>
      </c>
      <c r="F21363" s="1">
        <v>2.03614151183507E-3</v>
      </c>
    </row>
    <row r="21364" spans="1:6" x14ac:dyDescent="0.25">
      <c r="A21364" s="2" t="str">
        <f t="shared" si="761"/>
        <v>39940</v>
      </c>
      <c r="B21364" s="2" t="str">
        <f>"83440"</f>
        <v>83440</v>
      </c>
      <c r="C21364" s="1">
        <v>0.73902694468247099</v>
      </c>
      <c r="D21364" s="1">
        <v>0.75528364849833096</v>
      </c>
      <c r="E21364" s="1">
        <v>0.84545454545454501</v>
      </c>
      <c r="F21364" s="1">
        <v>0.74374310681259004</v>
      </c>
    </row>
    <row r="21365" spans="1:6" x14ac:dyDescent="0.25">
      <c r="A21365" s="2" t="str">
        <f t="shared" si="761"/>
        <v>39940</v>
      </c>
      <c r="B21365" s="2" t="str">
        <f>"83434"</f>
        <v>83434</v>
      </c>
      <c r="C21365" s="1">
        <v>2.3802723031514802E-3</v>
      </c>
      <c r="D21365" s="1">
        <v>1.1123470522803099E-3</v>
      </c>
      <c r="E21365" s="1">
        <v>0</v>
      </c>
      <c r="F21365" s="1">
        <v>2.2058199711546601E-3</v>
      </c>
    </row>
    <row r="21366" spans="1:6" x14ac:dyDescent="0.25">
      <c r="A21366" s="2" t="str">
        <f t="shared" si="761"/>
        <v>39940</v>
      </c>
      <c r="B21366" s="2" t="str">
        <f>"83441"</f>
        <v>83441</v>
      </c>
      <c r="C21366" s="1">
        <v>0</v>
      </c>
      <c r="D21366" s="1">
        <v>5.5617352614015497E-4</v>
      </c>
      <c r="E21366" s="1">
        <v>1.29870129870129E-3</v>
      </c>
      <c r="F21366" s="1">
        <v>8.4839229659794605E-5</v>
      </c>
    </row>
    <row r="21367" spans="1:6" x14ac:dyDescent="0.25">
      <c r="A21367" s="2" t="str">
        <f t="shared" si="761"/>
        <v>39940</v>
      </c>
      <c r="B21367" s="2" t="str">
        <f>"83451"</f>
        <v>83451</v>
      </c>
      <c r="C21367" s="1">
        <v>1.0711225364181599E-2</v>
      </c>
      <c r="D21367" s="1">
        <v>5.5617352614015497E-4</v>
      </c>
      <c r="E21367" s="1">
        <v>1.16883116883116E-2</v>
      </c>
      <c r="F21367" s="1">
        <v>9.96860948502587E-3</v>
      </c>
    </row>
    <row r="21368" spans="1:6" x14ac:dyDescent="0.25">
      <c r="A21368" s="2" t="str">
        <f t="shared" si="761"/>
        <v>39940</v>
      </c>
      <c r="B21368" s="2" t="str">
        <f>"83421"</f>
        <v>83421</v>
      </c>
      <c r="C21368" s="1">
        <v>4.8557554984290201E-3</v>
      </c>
      <c r="D21368" s="1">
        <v>0</v>
      </c>
      <c r="E21368" s="1">
        <v>1.29870129870129E-3</v>
      </c>
      <c r="F21368" s="1">
        <v>4.3692203274794204E-3</v>
      </c>
    </row>
    <row r="21369" spans="1:6" x14ac:dyDescent="0.25">
      <c r="A21369" s="2" t="str">
        <f t="shared" si="761"/>
        <v>39940</v>
      </c>
      <c r="B21369" s="2" t="str">
        <f>"83460"</f>
        <v>83460</v>
      </c>
      <c r="C21369" s="1">
        <v>0</v>
      </c>
      <c r="D21369" s="1">
        <v>6.5072302558398201E-2</v>
      </c>
      <c r="E21369" s="1">
        <v>3.89610389610389E-3</v>
      </c>
      <c r="F21369" s="1">
        <v>5.0903537795876797E-3</v>
      </c>
    </row>
    <row r="21370" spans="1:6" x14ac:dyDescent="0.25">
      <c r="A21370" s="2" t="str">
        <f t="shared" si="761"/>
        <v>39940</v>
      </c>
      <c r="B21370" s="2" t="str">
        <f>"83448"</f>
        <v>83448</v>
      </c>
      <c r="C21370" s="1">
        <v>3.8560411311053901E-2</v>
      </c>
      <c r="D21370" s="1">
        <v>1.72413793103448E-2</v>
      </c>
      <c r="E21370" s="1">
        <v>7.7922077922077896E-3</v>
      </c>
      <c r="F21370" s="1">
        <v>3.5929413760922999E-2</v>
      </c>
    </row>
    <row r="21371" spans="1:6" x14ac:dyDescent="0.25">
      <c r="A21371" s="2" t="str">
        <f t="shared" si="761"/>
        <v>39940</v>
      </c>
      <c r="B21371" s="2" t="str">
        <f>"83445"</f>
        <v>83445</v>
      </c>
      <c r="C21371" s="1">
        <v>0.12905836427687301</v>
      </c>
      <c r="D21371" s="1">
        <v>0.12291434927697401</v>
      </c>
      <c r="E21371" s="1">
        <v>0.11948051948051901</v>
      </c>
      <c r="F21371" s="1">
        <v>0.128276915245609</v>
      </c>
    </row>
    <row r="21372" spans="1:6" x14ac:dyDescent="0.25">
      <c r="A21372" s="2" t="str">
        <f t="shared" si="761"/>
        <v>39940</v>
      </c>
      <c r="B21372" s="2" t="str">
        <f>"83436"</f>
        <v>83436</v>
      </c>
      <c r="C21372" s="1">
        <v>7.3788441397695803E-3</v>
      </c>
      <c r="D21372" s="1">
        <v>0</v>
      </c>
      <c r="E21372" s="1">
        <v>1.29870129870129E-3</v>
      </c>
      <c r="F21372" s="1">
        <v>6.6174599134639798E-3</v>
      </c>
    </row>
    <row r="21373" spans="1:6" x14ac:dyDescent="0.25">
      <c r="A21373" s="2" t="str">
        <f t="shared" ref="A21373:A21404" si="762">"36260"</f>
        <v>36260</v>
      </c>
      <c r="B21373" s="2" t="str">
        <f>"84316"</f>
        <v>84316</v>
      </c>
      <c r="C21373" s="1">
        <v>1.19764303850023E-5</v>
      </c>
      <c r="D21373" s="1">
        <v>9.8517314418008901E-5</v>
      </c>
      <c r="E21373" s="1">
        <v>9.7172286463900395E-5</v>
      </c>
      <c r="F21373" s="1">
        <v>2.13459321768581E-5</v>
      </c>
    </row>
    <row r="21374" spans="1:6" x14ac:dyDescent="0.25">
      <c r="A21374" s="2" t="str">
        <f t="shared" si="762"/>
        <v>36260</v>
      </c>
      <c r="B21374" s="2" t="str">
        <f>"84313"</f>
        <v>84313</v>
      </c>
      <c r="C21374" s="1">
        <v>5.2696293694010098E-4</v>
      </c>
      <c r="D21374" s="1">
        <v>0</v>
      </c>
      <c r="E21374" s="1">
        <v>9.7172286463900395E-5</v>
      </c>
      <c r="F21374" s="1">
        <v>4.7316816325368899E-4</v>
      </c>
    </row>
    <row r="21375" spans="1:6" x14ac:dyDescent="0.25">
      <c r="A21375" s="2" t="str">
        <f t="shared" si="762"/>
        <v>36260</v>
      </c>
      <c r="B21375" s="2" t="str">
        <f>"84201"</f>
        <v>84201</v>
      </c>
      <c r="C21375" s="1">
        <v>0</v>
      </c>
      <c r="D21375" s="1">
        <v>2.46293286045022E-4</v>
      </c>
      <c r="E21375" s="1">
        <v>0</v>
      </c>
      <c r="F21375" s="1">
        <v>1.7788276814048402E-5</v>
      </c>
    </row>
    <row r="21376" spans="1:6" x14ac:dyDescent="0.25">
      <c r="A21376" s="2" t="str">
        <f t="shared" si="762"/>
        <v>36260</v>
      </c>
      <c r="B21376" s="2" t="str">
        <f>"84050"</f>
        <v>84050</v>
      </c>
      <c r="C21376" s="1">
        <v>1.4938600833559501E-2</v>
      </c>
      <c r="D21376" s="1">
        <v>6.1573321511255597E-3</v>
      </c>
      <c r="E21376" s="1">
        <v>5.7331649013701198E-3</v>
      </c>
      <c r="F21376" s="1">
        <v>1.39673549543908E-2</v>
      </c>
    </row>
    <row r="21377" spans="1:6" x14ac:dyDescent="0.25">
      <c r="A21377" s="2" t="str">
        <f t="shared" si="762"/>
        <v>36260</v>
      </c>
      <c r="B21377" s="2" t="str">
        <f>"84408"</f>
        <v>84408</v>
      </c>
      <c r="C21377" s="1">
        <v>2.1278124650687398E-3</v>
      </c>
      <c r="D21377" s="1">
        <v>1.1181715186443999E-2</v>
      </c>
      <c r="E21377" s="1">
        <v>6.7048877660091299E-3</v>
      </c>
      <c r="F21377" s="1">
        <v>2.94929629576923E-3</v>
      </c>
    </row>
    <row r="21378" spans="1:6" x14ac:dyDescent="0.25">
      <c r="A21378" s="2" t="str">
        <f t="shared" si="762"/>
        <v>36260</v>
      </c>
      <c r="B21378" s="2" t="str">
        <f>"84331"</f>
        <v>84331</v>
      </c>
      <c r="C21378" s="1">
        <v>1.0140044392635201E-3</v>
      </c>
      <c r="D21378" s="1">
        <v>1.9703462883601699E-4</v>
      </c>
      <c r="E21378" s="1">
        <v>4.85861432319502E-4</v>
      </c>
      <c r="F21378" s="1">
        <v>9.3566336041894902E-4</v>
      </c>
    </row>
    <row r="21379" spans="1:6" x14ac:dyDescent="0.25">
      <c r="A21379" s="2" t="str">
        <f t="shared" si="762"/>
        <v>36260</v>
      </c>
      <c r="B21379" s="2" t="str">
        <f>"84324"</f>
        <v>84324</v>
      </c>
      <c r="C21379" s="1">
        <v>1.6886766842853201E-3</v>
      </c>
      <c r="D21379" s="1">
        <v>1.9703462883601699E-4</v>
      </c>
      <c r="E21379" s="1">
        <v>9.7172286463900395E-5</v>
      </c>
      <c r="F21379" s="1">
        <v>1.52267649528254E-3</v>
      </c>
    </row>
    <row r="21380" spans="1:6" x14ac:dyDescent="0.25">
      <c r="A21380" s="2" t="str">
        <f t="shared" si="762"/>
        <v>36260</v>
      </c>
      <c r="B21380" s="2" t="str">
        <f>"84317"</f>
        <v>84317</v>
      </c>
      <c r="C21380" s="1">
        <v>4.1917506347508102E-3</v>
      </c>
      <c r="D21380" s="1">
        <v>4.4332791488103999E-4</v>
      </c>
      <c r="E21380" s="1">
        <v>1.1660674375668001E-3</v>
      </c>
      <c r="F21380" s="1">
        <v>3.81024889356918E-3</v>
      </c>
    </row>
    <row r="21381" spans="1:6" x14ac:dyDescent="0.25">
      <c r="A21381" s="2" t="str">
        <f t="shared" si="762"/>
        <v>36260</v>
      </c>
      <c r="B21381" s="2" t="str">
        <f>"84314"</f>
        <v>84314</v>
      </c>
      <c r="C21381" s="1">
        <v>1.6886766842853201E-3</v>
      </c>
      <c r="D21381" s="1">
        <v>3.9406925767203501E-4</v>
      </c>
      <c r="E21381" s="1">
        <v>9.7172286463900395E-5</v>
      </c>
      <c r="F21381" s="1">
        <v>1.5369071167337801E-3</v>
      </c>
    </row>
    <row r="21382" spans="1:6" x14ac:dyDescent="0.25">
      <c r="A21382" s="2" t="str">
        <f t="shared" si="762"/>
        <v>36260</v>
      </c>
      <c r="B21382" s="2" t="str">
        <f>"84334"</f>
        <v>84334</v>
      </c>
      <c r="C21382" s="1">
        <v>3.9921434616674301E-4</v>
      </c>
      <c r="D21382" s="1">
        <v>0</v>
      </c>
      <c r="E21382" s="1">
        <v>9.7172286463900395E-5</v>
      </c>
      <c r="F21382" s="1">
        <v>3.5932319164377901E-4</v>
      </c>
    </row>
    <row r="21383" spans="1:6" x14ac:dyDescent="0.25">
      <c r="A21383" s="2" t="str">
        <f t="shared" si="762"/>
        <v>36260</v>
      </c>
      <c r="B21383" s="2" t="str">
        <f>"84401"</f>
        <v>84401</v>
      </c>
      <c r="C21383" s="1">
        <v>6.6880379413314497E-2</v>
      </c>
      <c r="D21383" s="1">
        <v>0.12659474902714099</v>
      </c>
      <c r="E21383" s="1">
        <v>0.121465358079875</v>
      </c>
      <c r="F21383" s="1">
        <v>7.3191643779083798E-2</v>
      </c>
    </row>
    <row r="21384" spans="1:6" x14ac:dyDescent="0.25">
      <c r="A21384" s="2" t="str">
        <f t="shared" si="762"/>
        <v>36260</v>
      </c>
      <c r="B21384" s="2" t="str">
        <f>"84015"</f>
        <v>84015</v>
      </c>
      <c r="C21384" s="1">
        <v>9.0517860849847503E-2</v>
      </c>
      <c r="D21384" s="1">
        <v>5.8568543421506303E-2</v>
      </c>
      <c r="E21384" s="1">
        <v>0.13672140705470701</v>
      </c>
      <c r="F21384" s="1">
        <v>8.9901951018200907E-2</v>
      </c>
    </row>
    <row r="21385" spans="1:6" x14ac:dyDescent="0.25">
      <c r="A21385" s="2" t="str">
        <f t="shared" si="762"/>
        <v>36260</v>
      </c>
      <c r="B21385" s="2" t="str">
        <f>"84010"</f>
        <v>84010</v>
      </c>
      <c r="C21385" s="1">
        <v>6.6469188636762794E-2</v>
      </c>
      <c r="D21385" s="1">
        <v>7.5513521501403794E-2</v>
      </c>
      <c r="E21385" s="1">
        <v>7.68632785929452E-2</v>
      </c>
      <c r="F21385" s="1">
        <v>6.7502952853951095E-2</v>
      </c>
    </row>
    <row r="21386" spans="1:6" x14ac:dyDescent="0.25">
      <c r="A21386" s="2" t="str">
        <f t="shared" si="762"/>
        <v>36260</v>
      </c>
      <c r="B21386" s="2" t="str">
        <f>"84407"</f>
        <v>84407</v>
      </c>
      <c r="C21386" s="1">
        <v>0</v>
      </c>
      <c r="D21386" s="1">
        <v>4.9258657209004403E-5</v>
      </c>
      <c r="E21386" s="1">
        <v>0</v>
      </c>
      <c r="F21386" s="1">
        <v>3.5576553628096901E-6</v>
      </c>
    </row>
    <row r="21387" spans="1:6" x14ac:dyDescent="0.25">
      <c r="A21387" s="2" t="str">
        <f t="shared" si="762"/>
        <v>36260</v>
      </c>
      <c r="B21387" s="2" t="str">
        <f>"84415"</f>
        <v>84415</v>
      </c>
      <c r="C21387" s="1">
        <v>1.8443702792903501E-3</v>
      </c>
      <c r="D21387" s="1">
        <v>1.54672183636274E-2</v>
      </c>
      <c r="E21387" s="1">
        <v>1.943445729278E-4</v>
      </c>
      <c r="F21387" s="1">
        <v>2.7678558722659401E-3</v>
      </c>
    </row>
    <row r="21388" spans="1:6" x14ac:dyDescent="0.25">
      <c r="A21388" s="2" t="str">
        <f t="shared" si="762"/>
        <v>36260</v>
      </c>
      <c r="B21388" s="2" t="str">
        <f>"84306"</f>
        <v>84306</v>
      </c>
      <c r="C21388" s="1">
        <v>8.7028727464350105E-4</v>
      </c>
      <c r="D21388" s="1">
        <v>2.46293286045022E-4</v>
      </c>
      <c r="E21388" s="1">
        <v>4.85861432319502E-4</v>
      </c>
      <c r="F21388" s="1">
        <v>8.1114542272061002E-4</v>
      </c>
    </row>
    <row r="21389" spans="1:6" x14ac:dyDescent="0.25">
      <c r="A21389" s="2" t="str">
        <f t="shared" si="762"/>
        <v>36260</v>
      </c>
      <c r="B21389" s="2" t="str">
        <f>"84307"</f>
        <v>84307</v>
      </c>
      <c r="C21389" s="1">
        <v>2.8982961531705599E-3</v>
      </c>
      <c r="D21389" s="1">
        <v>1.32998374464312E-3</v>
      </c>
      <c r="E21389" s="1">
        <v>1.4575842969584999E-3</v>
      </c>
      <c r="F21389" s="1">
        <v>2.7322793186378399E-3</v>
      </c>
    </row>
    <row r="21390" spans="1:6" x14ac:dyDescent="0.25">
      <c r="A21390" s="2" t="str">
        <f t="shared" si="762"/>
        <v>36260</v>
      </c>
      <c r="B21390" s="2" t="str">
        <f>"84087"</f>
        <v>84087</v>
      </c>
      <c r="C21390" s="1">
        <v>1.9130351468310301E-2</v>
      </c>
      <c r="D21390" s="1">
        <v>2.5121915176592201E-2</v>
      </c>
      <c r="E21390" s="1">
        <v>8.7455057817510395E-3</v>
      </c>
      <c r="F21390" s="1">
        <v>1.9182877716269801E-2</v>
      </c>
    </row>
    <row r="21391" spans="1:6" x14ac:dyDescent="0.25">
      <c r="A21391" s="2" t="str">
        <f t="shared" si="762"/>
        <v>36260</v>
      </c>
      <c r="B21391" s="2" t="str">
        <f>"84025"</f>
        <v>84025</v>
      </c>
      <c r="C21391" s="1">
        <v>3.1717579802947697E-2</v>
      </c>
      <c r="D21391" s="1">
        <v>3.0540367469582701E-2</v>
      </c>
      <c r="E21391" s="1">
        <v>1.4089981537265499E-2</v>
      </c>
      <c r="F21391" s="1">
        <v>3.0987178210072401E-2</v>
      </c>
    </row>
    <row r="21392" spans="1:6" x14ac:dyDescent="0.25">
      <c r="A21392" s="2" t="str">
        <f t="shared" si="762"/>
        <v>36260</v>
      </c>
      <c r="B21392" s="2" t="str">
        <f>"84312"</f>
        <v>84312</v>
      </c>
      <c r="C21392" s="1">
        <v>6.3914216821295599E-3</v>
      </c>
      <c r="D21392" s="1">
        <v>1.52701837347913E-3</v>
      </c>
      <c r="E21392" s="1">
        <v>6.7048877660091299E-3</v>
      </c>
      <c r="F21392" s="1">
        <v>6.05157177213928E-3</v>
      </c>
    </row>
    <row r="21393" spans="1:6" x14ac:dyDescent="0.25">
      <c r="A21393" s="2" t="str">
        <f t="shared" si="762"/>
        <v>36260</v>
      </c>
      <c r="B21393" s="2" t="str">
        <f>"84302"</f>
        <v>84302</v>
      </c>
      <c r="C21393" s="1">
        <v>4.0648004726697801E-2</v>
      </c>
      <c r="D21393" s="1">
        <v>4.9357174523422399E-2</v>
      </c>
      <c r="E21393" s="1">
        <v>4.2658633757652303E-2</v>
      </c>
      <c r="F21393" s="1">
        <v>4.1350628281937002E-2</v>
      </c>
    </row>
    <row r="21394" spans="1:6" x14ac:dyDescent="0.25">
      <c r="A21394" s="2" t="str">
        <f t="shared" si="762"/>
        <v>36260</v>
      </c>
      <c r="B21394" s="2" t="str">
        <f>"84056"</f>
        <v>84056</v>
      </c>
      <c r="C21394" s="1">
        <v>1.32818612969675E-2</v>
      </c>
      <c r="D21394" s="1">
        <v>5.4184522929904904E-4</v>
      </c>
      <c r="E21394" s="1">
        <v>0.10290545136527</v>
      </c>
      <c r="F21394" s="1">
        <v>1.56430106302742E-2</v>
      </c>
    </row>
    <row r="21395" spans="1:6" x14ac:dyDescent="0.25">
      <c r="A21395" s="2" t="str">
        <f t="shared" si="762"/>
        <v>36260</v>
      </c>
      <c r="B21395" s="2" t="str">
        <f>"84018"</f>
        <v>84018</v>
      </c>
      <c r="C21395" s="1">
        <v>2.3952860770004599E-4</v>
      </c>
      <c r="D21395" s="1">
        <v>4.9258657209004403E-5</v>
      </c>
      <c r="E21395" s="1">
        <v>2.91516859391701E-4</v>
      </c>
      <c r="F21395" s="1">
        <v>2.2768994321982001E-4</v>
      </c>
    </row>
    <row r="21396" spans="1:6" x14ac:dyDescent="0.25">
      <c r="A21396" s="2" t="str">
        <f t="shared" si="762"/>
        <v>36260</v>
      </c>
      <c r="B21396" s="2" t="str">
        <f>"84412"</f>
        <v>84412</v>
      </c>
      <c r="C21396" s="1">
        <v>5.14986506555099E-3</v>
      </c>
      <c r="D21396" s="1">
        <v>1.38416826757302E-2</v>
      </c>
      <c r="E21396" s="1">
        <v>1.943445729278E-4</v>
      </c>
      <c r="F21396" s="1">
        <v>5.5961918856996399E-3</v>
      </c>
    </row>
    <row r="21397" spans="1:6" x14ac:dyDescent="0.25">
      <c r="A21397" s="2" t="str">
        <f t="shared" si="762"/>
        <v>36260</v>
      </c>
      <c r="B21397" s="2" t="str">
        <f>"84310"</f>
        <v>84310</v>
      </c>
      <c r="C21397" s="1">
        <v>1.0639062325343699E-2</v>
      </c>
      <c r="D21397" s="1">
        <v>5.12290034973646E-3</v>
      </c>
      <c r="E21397" s="1">
        <v>8.5511612088232398E-3</v>
      </c>
      <c r="F21397" s="1">
        <v>1.01642213715472E-2</v>
      </c>
    </row>
    <row r="21398" spans="1:6" x14ac:dyDescent="0.25">
      <c r="A21398" s="2" t="str">
        <f t="shared" si="762"/>
        <v>36260</v>
      </c>
      <c r="B21398" s="2" t="str">
        <f>"84340"</f>
        <v>84340</v>
      </c>
      <c r="C21398" s="1">
        <v>5.4612522555610504E-3</v>
      </c>
      <c r="D21398" s="1">
        <v>1.77331165952416E-3</v>
      </c>
      <c r="E21398" s="1">
        <v>2.3321348751336101E-3</v>
      </c>
      <c r="F21398" s="1">
        <v>5.0803318580922401E-3</v>
      </c>
    </row>
    <row r="21399" spans="1:6" x14ac:dyDescent="0.25">
      <c r="A21399" s="2" t="str">
        <f t="shared" si="762"/>
        <v>36260</v>
      </c>
      <c r="B21399" s="2" t="str">
        <f>"84301"</f>
        <v>84301</v>
      </c>
      <c r="C21399" s="1">
        <v>9.5811443080018498E-5</v>
      </c>
      <c r="D21399" s="1">
        <v>0</v>
      </c>
      <c r="E21399" s="1">
        <v>9.7172286463900395E-5</v>
      </c>
      <c r="F21399" s="1">
        <v>8.8941384070242299E-5</v>
      </c>
    </row>
    <row r="21400" spans="1:6" x14ac:dyDescent="0.25">
      <c r="A21400" s="2" t="str">
        <f t="shared" si="762"/>
        <v>36260</v>
      </c>
      <c r="B21400" s="2" t="str">
        <f>"84054"</f>
        <v>84054</v>
      </c>
      <c r="C21400" s="1">
        <v>3.2643757086054603E-2</v>
      </c>
      <c r="D21400" s="1">
        <v>5.4874144130830901E-2</v>
      </c>
      <c r="E21400" s="1">
        <v>2.47789330482946E-2</v>
      </c>
      <c r="F21400" s="1">
        <v>3.3961378093381303E-2</v>
      </c>
    </row>
    <row r="21401" spans="1:6" x14ac:dyDescent="0.25">
      <c r="A21401" s="2" t="str">
        <f t="shared" si="762"/>
        <v>36260</v>
      </c>
      <c r="B21401" s="2" t="str">
        <f>"84089"</f>
        <v>84089</v>
      </c>
      <c r="C21401" s="1">
        <v>3.9721827443590998E-3</v>
      </c>
      <c r="D21401" s="1">
        <v>8.2261957539037402E-3</v>
      </c>
      <c r="E21401" s="1">
        <v>1.943445729278E-4</v>
      </c>
      <c r="F21401" s="1">
        <v>4.14111084231048E-3</v>
      </c>
    </row>
    <row r="21402" spans="1:6" x14ac:dyDescent="0.25">
      <c r="A21402" s="2" t="str">
        <f t="shared" si="762"/>
        <v>36260</v>
      </c>
      <c r="B21402" s="2" t="str">
        <f>"84014"</f>
        <v>84014</v>
      </c>
      <c r="C21402" s="1">
        <v>2.5913003209683299E-2</v>
      </c>
      <c r="D21402" s="1">
        <v>3.6845475592335301E-2</v>
      </c>
      <c r="E21402" s="1">
        <v>1.53532212612962E-2</v>
      </c>
      <c r="F21402" s="1">
        <v>2.63159767187033E-2</v>
      </c>
    </row>
    <row r="21403" spans="1:6" x14ac:dyDescent="0.25">
      <c r="A21403" s="2" t="str">
        <f t="shared" si="762"/>
        <v>36260</v>
      </c>
      <c r="B21403" s="2" t="str">
        <f>"84330"</f>
        <v>84330</v>
      </c>
      <c r="C21403" s="1">
        <v>5.9083723232677997E-4</v>
      </c>
      <c r="D21403" s="1">
        <v>0</v>
      </c>
      <c r="E21403" s="1">
        <v>9.7172286463900395E-5</v>
      </c>
      <c r="F21403" s="1">
        <v>5.3009064905864395E-4</v>
      </c>
    </row>
    <row r="21404" spans="1:6" x14ac:dyDescent="0.25">
      <c r="A21404" s="2" t="str">
        <f t="shared" si="762"/>
        <v>36260</v>
      </c>
      <c r="B21404" s="2" t="str">
        <f>"84315"</f>
        <v>84315</v>
      </c>
      <c r="C21404" s="1">
        <v>1.12059466969004E-2</v>
      </c>
      <c r="D21404" s="1">
        <v>1.6255356878971401E-3</v>
      </c>
      <c r="E21404" s="1">
        <v>1.7491011563502E-3</v>
      </c>
      <c r="F21404" s="1">
        <v>1.0167779026910099E-2</v>
      </c>
    </row>
    <row r="21405" spans="1:6" x14ac:dyDescent="0.25">
      <c r="A21405" s="2" t="str">
        <f t="shared" ref="A21405:A21423" si="763">"36260"</f>
        <v>36260</v>
      </c>
      <c r="B21405" s="2" t="str">
        <f>"84067"</f>
        <v>84067</v>
      </c>
      <c r="C21405" s="1">
        <v>5.6576657138750902E-2</v>
      </c>
      <c r="D21405" s="1">
        <v>3.6008078419782201E-2</v>
      </c>
      <c r="E21405" s="1">
        <v>4.2075600038868899E-2</v>
      </c>
      <c r="F21405" s="1">
        <v>5.4560202644049399E-2</v>
      </c>
    </row>
    <row r="21406" spans="1:6" x14ac:dyDescent="0.25">
      <c r="A21406" s="2" t="str">
        <f t="shared" si="763"/>
        <v>36260</v>
      </c>
      <c r="B21406" s="2" t="str">
        <f>"84016"</f>
        <v>84016</v>
      </c>
      <c r="C21406" s="1">
        <v>1.20961946888523E-3</v>
      </c>
      <c r="D21406" s="1">
        <v>1.07876459287719E-2</v>
      </c>
      <c r="E21406" s="1">
        <v>2.91516859391701E-4</v>
      </c>
      <c r="F21406" s="1">
        <v>1.86776906547508E-3</v>
      </c>
    </row>
    <row r="21407" spans="1:6" x14ac:dyDescent="0.25">
      <c r="A21407" s="2" t="str">
        <f t="shared" si="763"/>
        <v>36260</v>
      </c>
      <c r="B21407" s="2" t="str">
        <f>"84017"</f>
        <v>84017</v>
      </c>
      <c r="C21407" s="1">
        <v>2.3952860770004601E-5</v>
      </c>
      <c r="D21407" s="1">
        <v>0</v>
      </c>
      <c r="E21407" s="1">
        <v>0</v>
      </c>
      <c r="F21407" s="1">
        <v>2.13459321768581E-5</v>
      </c>
    </row>
    <row r="21408" spans="1:6" x14ac:dyDescent="0.25">
      <c r="A21408" s="2" t="str">
        <f t="shared" si="763"/>
        <v>36260</v>
      </c>
      <c r="B21408" s="2" t="str">
        <f>"84409"</f>
        <v>84409</v>
      </c>
      <c r="C21408" s="1">
        <v>4.4871692509142001E-3</v>
      </c>
      <c r="D21408" s="1">
        <v>1.58120289640904E-2</v>
      </c>
      <c r="E21408" s="1">
        <v>1.943445729278E-4</v>
      </c>
      <c r="F21408" s="1">
        <v>5.1479273099856197E-3</v>
      </c>
    </row>
    <row r="21409" spans="1:6" x14ac:dyDescent="0.25">
      <c r="A21409" s="2" t="str">
        <f t="shared" si="763"/>
        <v>36260</v>
      </c>
      <c r="B21409" s="2" t="str">
        <f>"84405"</f>
        <v>84405</v>
      </c>
      <c r="C21409" s="1">
        <v>5.0380850486243002E-2</v>
      </c>
      <c r="D21409" s="1">
        <v>5.37411950150238E-2</v>
      </c>
      <c r="E21409" s="1">
        <v>4.67398697891361E-2</v>
      </c>
      <c r="F21409" s="1">
        <v>5.0490244908995098E-2</v>
      </c>
    </row>
    <row r="21410" spans="1:6" x14ac:dyDescent="0.25">
      <c r="A21410" s="2" t="str">
        <f t="shared" si="763"/>
        <v>36260</v>
      </c>
      <c r="B21410" s="2" t="str">
        <f>"84404"</f>
        <v>84404</v>
      </c>
      <c r="C21410" s="1">
        <v>9.2685594749532904E-2</v>
      </c>
      <c r="D21410" s="1">
        <v>6.78784296340081E-2</v>
      </c>
      <c r="E21410" s="1">
        <v>8.3373821786026606E-2</v>
      </c>
      <c r="F21410" s="1">
        <v>9.0553001949595105E-2</v>
      </c>
    </row>
    <row r="21411" spans="1:6" x14ac:dyDescent="0.25">
      <c r="A21411" s="2" t="str">
        <f t="shared" si="763"/>
        <v>36260</v>
      </c>
      <c r="B21411" s="2" t="str">
        <f>"84337"</f>
        <v>84337</v>
      </c>
      <c r="C21411" s="1">
        <v>1.9916803730258802E-2</v>
      </c>
      <c r="D21411" s="1">
        <v>1.7831633909659601E-2</v>
      </c>
      <c r="E21411" s="1">
        <v>2.55563113400058E-2</v>
      </c>
      <c r="F21411" s="1">
        <v>1.9972677206813599E-2</v>
      </c>
    </row>
    <row r="21412" spans="1:6" x14ac:dyDescent="0.25">
      <c r="A21412" s="2" t="str">
        <f t="shared" si="763"/>
        <v>36260</v>
      </c>
      <c r="B21412" s="2" t="str">
        <f>"84041"</f>
        <v>84041</v>
      </c>
      <c r="C21412" s="1">
        <v>7.8269964709451703E-2</v>
      </c>
      <c r="D21412" s="1">
        <v>0.113491946209546</v>
      </c>
      <c r="E21412" s="1">
        <v>9.7560975609756004E-2</v>
      </c>
      <c r="F21412" s="1">
        <v>8.1520114983421293E-2</v>
      </c>
    </row>
    <row r="21413" spans="1:6" x14ac:dyDescent="0.25">
      <c r="A21413" s="2" t="str">
        <f t="shared" si="763"/>
        <v>36260</v>
      </c>
      <c r="B21413" s="2" t="str">
        <f>"84040"</f>
        <v>84040</v>
      </c>
      <c r="C21413" s="1">
        <v>3.4112865879948197E-2</v>
      </c>
      <c r="D21413" s="1">
        <v>7.1425052953056397E-3</v>
      </c>
      <c r="E21413" s="1">
        <v>9.3285395005344406E-3</v>
      </c>
      <c r="F21413" s="1">
        <v>3.1257560017645902E-2</v>
      </c>
    </row>
    <row r="21414" spans="1:6" x14ac:dyDescent="0.25">
      <c r="A21414" s="2" t="str">
        <f t="shared" si="763"/>
        <v>36260</v>
      </c>
      <c r="B21414" s="2" t="str">
        <f>"84414"</f>
        <v>84414</v>
      </c>
      <c r="C21414" s="1">
        <v>4.1829679191351402E-2</v>
      </c>
      <c r="D21414" s="1">
        <v>9.7039554701738792E-3</v>
      </c>
      <c r="E21414" s="1">
        <v>1.8851423573996599E-2</v>
      </c>
      <c r="F21414" s="1">
        <v>3.8668156138378498E-2</v>
      </c>
    </row>
    <row r="21415" spans="1:6" x14ac:dyDescent="0.25">
      <c r="A21415" s="2" t="str">
        <f t="shared" si="763"/>
        <v>36260</v>
      </c>
      <c r="B21415" s="2" t="str">
        <f>"84311"</f>
        <v>84311</v>
      </c>
      <c r="C21415" s="1">
        <v>1.20961946888523E-3</v>
      </c>
      <c r="D21415" s="1">
        <v>0</v>
      </c>
      <c r="E21415" s="1">
        <v>4.85861432319502E-4</v>
      </c>
      <c r="F21415" s="1">
        <v>1.0957578517453799E-3</v>
      </c>
    </row>
    <row r="21416" spans="1:6" x14ac:dyDescent="0.25">
      <c r="A21416" s="2" t="str">
        <f t="shared" si="763"/>
        <v>36260</v>
      </c>
      <c r="B21416" s="2" t="str">
        <f>"84329"</f>
        <v>84329</v>
      </c>
      <c r="C21416" s="1">
        <v>1.36132092042859E-3</v>
      </c>
      <c r="D21416" s="1">
        <v>0</v>
      </c>
      <c r="E21416" s="1">
        <v>9.7172286463900395E-5</v>
      </c>
      <c r="F21416" s="1">
        <v>1.2167181340809101E-3</v>
      </c>
    </row>
    <row r="21417" spans="1:6" x14ac:dyDescent="0.25">
      <c r="A21417" s="2" t="str">
        <f t="shared" si="763"/>
        <v>36260</v>
      </c>
      <c r="B21417" s="2" t="str">
        <f>"84309"</f>
        <v>84309</v>
      </c>
      <c r="C21417" s="1">
        <v>1.06989444772687E-3</v>
      </c>
      <c r="D21417" s="1">
        <v>9.8517314418008901E-5</v>
      </c>
      <c r="E21417" s="1">
        <v>4.85861432319502E-4</v>
      </c>
      <c r="F21417" s="1">
        <v>9.7835522477266509E-4</v>
      </c>
    </row>
    <row r="21418" spans="1:6" x14ac:dyDescent="0.25">
      <c r="A21418" s="2" t="str">
        <f t="shared" si="763"/>
        <v>36260</v>
      </c>
      <c r="B21418" s="2" t="str">
        <f>"84402"</f>
        <v>84402</v>
      </c>
      <c r="C21418" s="1">
        <v>6.8026124586813104E-3</v>
      </c>
      <c r="D21418" s="1">
        <v>1.2363922959460099E-2</v>
      </c>
      <c r="E21418" s="1">
        <v>1.943445729278E-4</v>
      </c>
      <c r="F21418" s="1">
        <v>6.9623315450185698E-3</v>
      </c>
    </row>
    <row r="21419" spans="1:6" x14ac:dyDescent="0.25">
      <c r="A21419" s="2" t="str">
        <f t="shared" si="763"/>
        <v>36260</v>
      </c>
      <c r="B21419" s="2" t="str">
        <f>"84336"</f>
        <v>84336</v>
      </c>
      <c r="C21419" s="1">
        <v>7.7447583156348295E-4</v>
      </c>
      <c r="D21419" s="1">
        <v>4.9258657209004403E-5</v>
      </c>
      <c r="E21419" s="1">
        <v>2.91516859391701E-4</v>
      </c>
      <c r="F21419" s="1">
        <v>7.0441576183631898E-4</v>
      </c>
    </row>
    <row r="21420" spans="1:6" x14ac:dyDescent="0.25">
      <c r="A21420" s="2" t="str">
        <f t="shared" si="763"/>
        <v>36260</v>
      </c>
      <c r="B21420" s="2" t="str">
        <f>"84403"</f>
        <v>84403</v>
      </c>
      <c r="C21420" s="1">
        <v>5.8916053207288002E-2</v>
      </c>
      <c r="D21420" s="1">
        <v>5.1475296783409598E-2</v>
      </c>
      <c r="E21420" s="1">
        <v>6.2190263336896298E-2</v>
      </c>
      <c r="F21420" s="1">
        <v>5.8498527130679698E-2</v>
      </c>
    </row>
    <row r="21421" spans="1:6" x14ac:dyDescent="0.25">
      <c r="A21421" s="2" t="str">
        <f t="shared" si="763"/>
        <v>36260</v>
      </c>
      <c r="B21421" s="2" t="str">
        <f>"84075"</f>
        <v>84075</v>
      </c>
      <c r="C21421" s="1">
        <v>3.5857432572696898E-2</v>
      </c>
      <c r="D21421" s="1">
        <v>1.1428008472488999E-2</v>
      </c>
      <c r="E21421" s="1">
        <v>1.19521912350597E-2</v>
      </c>
      <c r="F21421" s="1">
        <v>3.3217828122554097E-2</v>
      </c>
    </row>
    <row r="21422" spans="1:6" x14ac:dyDescent="0.25">
      <c r="A21422" s="2" t="str">
        <f t="shared" si="763"/>
        <v>36260</v>
      </c>
      <c r="B21422" s="2" t="str">
        <f>"84037"</f>
        <v>84037</v>
      </c>
      <c r="C21422" s="1">
        <v>4.7861807961930902E-2</v>
      </c>
      <c r="D21422" s="1">
        <v>4.5958327176001103E-2</v>
      </c>
      <c r="E21422" s="1">
        <v>1.9628801865707899E-2</v>
      </c>
      <c r="F21422" s="1">
        <v>4.6690668981514402E-2</v>
      </c>
    </row>
    <row r="21423" spans="1:6" x14ac:dyDescent="0.25">
      <c r="A21423" s="2" t="str">
        <f t="shared" si="763"/>
        <v>36260</v>
      </c>
      <c r="B21423" s="2" t="str">
        <f>"84011"</f>
        <v>84011</v>
      </c>
      <c r="C21423" s="1">
        <v>3.5051019593440101E-3</v>
      </c>
      <c r="D21423" s="1">
        <v>2.0097532141273799E-2</v>
      </c>
      <c r="E21423" s="1">
        <v>1.943445729278E-4</v>
      </c>
      <c r="F21423" s="1">
        <v>4.5822601072988802E-3</v>
      </c>
    </row>
    <row r="21424" spans="1:6" x14ac:dyDescent="0.25">
      <c r="A21424" s="2" t="str">
        <f t="shared" ref="A21424:A21455" si="764">"10740"</f>
        <v>10740</v>
      </c>
      <c r="B21424" s="2" t="str">
        <f>"87041"</f>
        <v>87041</v>
      </c>
      <c r="C21424" s="1">
        <v>2.7117606975482901E-4</v>
      </c>
      <c r="D21424" s="1">
        <v>5.02260170768458E-5</v>
      </c>
      <c r="E21424" s="1">
        <v>5.9063256747976998E-5</v>
      </c>
      <c r="F21424" s="1">
        <v>2.4579838387562598E-4</v>
      </c>
    </row>
    <row r="21425" spans="1:6" x14ac:dyDescent="0.25">
      <c r="A21425" s="2" t="str">
        <f t="shared" si="764"/>
        <v>10740</v>
      </c>
      <c r="B21425" s="2" t="str">
        <f>"87059"</f>
        <v>87059</v>
      </c>
      <c r="C21425" s="1">
        <v>9.1342298367844497E-3</v>
      </c>
      <c r="D21425" s="1">
        <v>2.03415369161225E-3</v>
      </c>
      <c r="E21425" s="1">
        <v>7.0875908097572504E-4</v>
      </c>
      <c r="F21425" s="1">
        <v>8.2629223379522901E-3</v>
      </c>
    </row>
    <row r="21426" spans="1:6" x14ac:dyDescent="0.25">
      <c r="A21426" s="2" t="str">
        <f t="shared" si="764"/>
        <v>10740</v>
      </c>
      <c r="B21426" s="2" t="str">
        <f>"87042"</f>
        <v>87042</v>
      </c>
      <c r="C21426" s="1">
        <v>5.9612380462343599E-3</v>
      </c>
      <c r="D21426" s="1">
        <v>5.1481667503766896E-3</v>
      </c>
      <c r="E21426" s="1">
        <v>7.0875908097572504E-4</v>
      </c>
      <c r="F21426" s="1">
        <v>5.71276410524267E-3</v>
      </c>
    </row>
    <row r="21427" spans="1:6" x14ac:dyDescent="0.25">
      <c r="A21427" s="2" t="str">
        <f t="shared" si="764"/>
        <v>10740</v>
      </c>
      <c r="B21427" s="2" t="str">
        <f>"87195"</f>
        <v>87195</v>
      </c>
      <c r="C21427" s="1">
        <v>3.1359078835750702E-3</v>
      </c>
      <c r="D21427" s="1">
        <v>5.02260170768458E-3</v>
      </c>
      <c r="E21427" s="1">
        <v>5.9063256747976998E-5</v>
      </c>
      <c r="F21427" s="1">
        <v>3.18308907118935E-3</v>
      </c>
    </row>
    <row r="21428" spans="1:6" x14ac:dyDescent="0.25">
      <c r="A21428" s="2" t="str">
        <f t="shared" si="764"/>
        <v>10740</v>
      </c>
      <c r="B21428" s="2" t="str">
        <f>"87181"</f>
        <v>87181</v>
      </c>
      <c r="C21428" s="1">
        <v>2.6561348370857602E-3</v>
      </c>
      <c r="D21428" s="1">
        <v>6.9814163736815604E-3</v>
      </c>
      <c r="E21428" s="1">
        <v>5.9063256747976998E-5</v>
      </c>
      <c r="F21428" s="1">
        <v>2.9188558085230499E-3</v>
      </c>
    </row>
    <row r="21429" spans="1:6" x14ac:dyDescent="0.25">
      <c r="A21429" s="2" t="str">
        <f t="shared" si="764"/>
        <v>10740</v>
      </c>
      <c r="B21429" s="2" t="str">
        <f>"87119"</f>
        <v>87119</v>
      </c>
      <c r="C21429" s="1">
        <v>1.8078404650321901E-3</v>
      </c>
      <c r="D21429" s="1">
        <v>4.6207935710698101E-3</v>
      </c>
      <c r="E21429" s="1">
        <v>5.9063256747976998E-5</v>
      </c>
      <c r="F21429" s="1">
        <v>1.9766286703331499E-3</v>
      </c>
    </row>
    <row r="21430" spans="1:6" x14ac:dyDescent="0.25">
      <c r="A21430" s="2" t="str">
        <f t="shared" si="764"/>
        <v>10740</v>
      </c>
      <c r="B21430" s="2" t="str">
        <f>"87018"</f>
        <v>87018</v>
      </c>
      <c r="C21430" s="1">
        <v>2.3177441859387001E-6</v>
      </c>
      <c r="D21430" s="1">
        <v>0</v>
      </c>
      <c r="E21430" s="1">
        <v>5.9063256747976998E-5</v>
      </c>
      <c r="F21430" s="1">
        <v>4.0966397312604297E-6</v>
      </c>
    </row>
    <row r="21431" spans="1:6" x14ac:dyDescent="0.25">
      <c r="A21431" s="2" t="str">
        <f t="shared" si="764"/>
        <v>10740</v>
      </c>
      <c r="B21431" s="2" t="str">
        <f>"87026"</f>
        <v>87026</v>
      </c>
      <c r="C21431" s="1">
        <v>1.2793947906381601E-3</v>
      </c>
      <c r="D21431" s="1">
        <v>0</v>
      </c>
      <c r="E21431" s="1">
        <v>1.7718977024393099E-4</v>
      </c>
      <c r="F21431" s="1">
        <v>1.1368175254247699E-3</v>
      </c>
    </row>
    <row r="21432" spans="1:6" x14ac:dyDescent="0.25">
      <c r="A21432" s="2" t="str">
        <f t="shared" si="764"/>
        <v>10740</v>
      </c>
      <c r="B21432" s="2" t="str">
        <f>"87107"</f>
        <v>87107</v>
      </c>
      <c r="C21432" s="1">
        <v>3.5987613975070297E-2</v>
      </c>
      <c r="D21432" s="1">
        <v>7.9959819186338502E-2</v>
      </c>
      <c r="E21432" s="1">
        <v>7.8613194731557395E-2</v>
      </c>
      <c r="F21432" s="1">
        <v>4.1052426746960802E-2</v>
      </c>
    </row>
    <row r="21433" spans="1:6" x14ac:dyDescent="0.25">
      <c r="A21433" s="2" t="str">
        <f t="shared" si="764"/>
        <v>10740</v>
      </c>
      <c r="B21433" s="2" t="str">
        <f>"87106"</f>
        <v>87106</v>
      </c>
      <c r="C21433" s="1">
        <v>3.1797132486893101E-2</v>
      </c>
      <c r="D21433" s="1">
        <v>3.5283776996484099E-2</v>
      </c>
      <c r="E21433" s="1">
        <v>9.1902427499852293E-2</v>
      </c>
      <c r="F21433" s="1">
        <v>3.4165975358711999E-2</v>
      </c>
    </row>
    <row r="21434" spans="1:6" x14ac:dyDescent="0.25">
      <c r="A21434" s="2" t="str">
        <f t="shared" si="764"/>
        <v>10740</v>
      </c>
      <c r="B21434" s="2" t="str">
        <f>"87061"</f>
        <v>87061</v>
      </c>
      <c r="C21434" s="1">
        <v>2.3177441859387001E-6</v>
      </c>
      <c r="D21434" s="1">
        <v>0</v>
      </c>
      <c r="E21434" s="1">
        <v>5.9063256747976998E-5</v>
      </c>
      <c r="F21434" s="1">
        <v>4.0966397312604297E-6</v>
      </c>
    </row>
    <row r="21435" spans="1:6" x14ac:dyDescent="0.25">
      <c r="A21435" s="2" t="str">
        <f t="shared" si="764"/>
        <v>10740</v>
      </c>
      <c r="B21435" s="2" t="str">
        <f>"87072"</f>
        <v>87072</v>
      </c>
      <c r="C21435" s="1">
        <v>0</v>
      </c>
      <c r="D21435" s="1">
        <v>0</v>
      </c>
      <c r="E21435" s="1">
        <v>5.9063256747976998E-5</v>
      </c>
      <c r="F21435" s="1">
        <v>2.0483198656302102E-6</v>
      </c>
    </row>
    <row r="21436" spans="1:6" x14ac:dyDescent="0.25">
      <c r="A21436" s="2" t="str">
        <f t="shared" si="764"/>
        <v>10740</v>
      </c>
      <c r="B21436" s="2" t="str">
        <f>"87048"</f>
        <v>87048</v>
      </c>
      <c r="C21436" s="1">
        <v>1.50050758597672E-2</v>
      </c>
      <c r="D21436" s="1">
        <v>1.22551481667503E-2</v>
      </c>
      <c r="E21436" s="1">
        <v>8.2688559447167899E-4</v>
      </c>
      <c r="F21436" s="1">
        <v>1.4289079382636301E-2</v>
      </c>
    </row>
    <row r="21437" spans="1:6" x14ac:dyDescent="0.25">
      <c r="A21437" s="2" t="str">
        <f t="shared" si="764"/>
        <v>10740</v>
      </c>
      <c r="B21437" s="2" t="str">
        <f>"87035"</f>
        <v>87035</v>
      </c>
      <c r="C21437" s="1">
        <v>3.2564305812438801E-3</v>
      </c>
      <c r="D21437" s="1">
        <v>7.0316423907584098E-4</v>
      </c>
      <c r="E21437" s="1">
        <v>1.77189770243931E-3</v>
      </c>
      <c r="F21437" s="1">
        <v>2.9966919634169999E-3</v>
      </c>
    </row>
    <row r="21438" spans="1:6" x14ac:dyDescent="0.25">
      <c r="A21438" s="2" t="str">
        <f t="shared" si="764"/>
        <v>10740</v>
      </c>
      <c r="B21438" s="2" t="str">
        <f>"87191"</f>
        <v>87191</v>
      </c>
      <c r="C21438" s="1">
        <v>2.1253714185057899E-3</v>
      </c>
      <c r="D21438" s="1">
        <v>7.1823204419889496E-3</v>
      </c>
      <c r="E21438" s="1">
        <v>1.18126513495954E-4</v>
      </c>
      <c r="F21438" s="1">
        <v>2.46822543808441E-3</v>
      </c>
    </row>
    <row r="21439" spans="1:6" x14ac:dyDescent="0.25">
      <c r="A21439" s="2" t="str">
        <f t="shared" si="764"/>
        <v>10740</v>
      </c>
      <c r="B21439" s="2" t="str">
        <f>"87176"</f>
        <v>87176</v>
      </c>
      <c r="C21439" s="1">
        <v>3.45343883704867E-3</v>
      </c>
      <c r="D21439" s="1">
        <v>1.19789050728277E-2</v>
      </c>
      <c r="E21439" s="1">
        <v>1.18126513495954E-4</v>
      </c>
      <c r="F21439" s="1">
        <v>4.0331418154258896E-3</v>
      </c>
    </row>
    <row r="21440" spans="1:6" x14ac:dyDescent="0.25">
      <c r="A21440" s="2" t="str">
        <f t="shared" si="764"/>
        <v>10740</v>
      </c>
      <c r="B21440" s="2" t="str">
        <f>"87151"</f>
        <v>87151</v>
      </c>
      <c r="C21440" s="1">
        <v>0</v>
      </c>
      <c r="D21440" s="1">
        <v>7.53390256152687E-5</v>
      </c>
      <c r="E21440" s="1">
        <v>0</v>
      </c>
      <c r="F21440" s="1">
        <v>6.1449595968906501E-6</v>
      </c>
    </row>
    <row r="21441" spans="1:6" x14ac:dyDescent="0.25">
      <c r="A21441" s="2" t="str">
        <f t="shared" si="764"/>
        <v>10740</v>
      </c>
      <c r="B21441" s="2" t="str">
        <f>"87122"</f>
        <v>87122</v>
      </c>
      <c r="C21441" s="1">
        <v>1.71559424643183E-2</v>
      </c>
      <c r="D21441" s="1">
        <v>5.5750878955298797E-3</v>
      </c>
      <c r="E21441" s="1">
        <v>5.2566298505699596E-3</v>
      </c>
      <c r="F21441" s="1">
        <v>1.5798691123605799E-2</v>
      </c>
    </row>
    <row r="21442" spans="1:6" x14ac:dyDescent="0.25">
      <c r="A21442" s="2" t="str">
        <f t="shared" si="764"/>
        <v>10740</v>
      </c>
      <c r="B21442" s="2" t="str">
        <f>"87022"</f>
        <v>87022</v>
      </c>
      <c r="C21442" s="1">
        <v>0</v>
      </c>
      <c r="D21442" s="1">
        <v>0</v>
      </c>
      <c r="E21442" s="1">
        <v>5.9063256747976998E-5</v>
      </c>
      <c r="F21442" s="1">
        <v>2.0483198656302102E-6</v>
      </c>
    </row>
    <row r="21443" spans="1:6" x14ac:dyDescent="0.25">
      <c r="A21443" s="2" t="str">
        <f t="shared" si="764"/>
        <v>10740</v>
      </c>
      <c r="B21443" s="2" t="str">
        <f>"87013"</f>
        <v>87013</v>
      </c>
      <c r="C21443" s="1">
        <v>4.9159354183760003E-3</v>
      </c>
      <c r="D21443" s="1">
        <v>2.4108488196885902E-3</v>
      </c>
      <c r="E21443" s="1">
        <v>1.18126513495954E-4</v>
      </c>
      <c r="F21443" s="1">
        <v>4.5452217818334499E-3</v>
      </c>
    </row>
    <row r="21444" spans="1:6" x14ac:dyDescent="0.25">
      <c r="A21444" s="2" t="str">
        <f t="shared" si="764"/>
        <v>10740</v>
      </c>
      <c r="B21444" s="2" t="str">
        <f>"87109"</f>
        <v>87109</v>
      </c>
      <c r="C21444" s="1">
        <v>4.7138281253621399E-2</v>
      </c>
      <c r="D21444" s="1">
        <v>8.0386740331491693E-2</v>
      </c>
      <c r="E21444" s="1">
        <v>5.9535762801960899E-2</v>
      </c>
      <c r="F21444" s="1">
        <v>5.0280107741624898E-2</v>
      </c>
    </row>
    <row r="21445" spans="1:6" x14ac:dyDescent="0.25">
      <c r="A21445" s="2" t="str">
        <f t="shared" si="764"/>
        <v>10740</v>
      </c>
      <c r="B21445" s="2" t="str">
        <f>"87060"</f>
        <v>87060</v>
      </c>
      <c r="C21445" s="1">
        <v>0</v>
      </c>
      <c r="D21445" s="1">
        <v>0</v>
      </c>
      <c r="E21445" s="1">
        <v>5.9063256747976998E-5</v>
      </c>
      <c r="F21445" s="1">
        <v>2.0483198656302102E-6</v>
      </c>
    </row>
    <row r="21446" spans="1:6" x14ac:dyDescent="0.25">
      <c r="A21446" s="2" t="str">
        <f t="shared" si="764"/>
        <v>10740</v>
      </c>
      <c r="B21446" s="2" t="str">
        <f>"87196"</f>
        <v>87196</v>
      </c>
      <c r="C21446" s="1">
        <v>2.9296286510265201E-3</v>
      </c>
      <c r="D21446" s="1">
        <v>4.9974886991461503E-3</v>
      </c>
      <c r="E21446" s="1">
        <v>5.9063256747976998E-5</v>
      </c>
      <c r="F21446" s="1">
        <v>2.9987402832826302E-3</v>
      </c>
    </row>
    <row r="21447" spans="1:6" x14ac:dyDescent="0.25">
      <c r="A21447" s="2" t="str">
        <f t="shared" si="764"/>
        <v>10740</v>
      </c>
      <c r="B21447" s="2" t="str">
        <f>"87197"</f>
        <v>87197</v>
      </c>
      <c r="C21447" s="1">
        <v>1.7661210696852899E-3</v>
      </c>
      <c r="D21447" s="1">
        <v>8.9151180311401301E-3</v>
      </c>
      <c r="E21447" s="1">
        <v>5.9063256747976998E-5</v>
      </c>
      <c r="F21447" s="1">
        <v>2.2900216097745799E-3</v>
      </c>
    </row>
    <row r="21448" spans="1:6" x14ac:dyDescent="0.25">
      <c r="A21448" s="2" t="str">
        <f t="shared" si="764"/>
        <v>10740</v>
      </c>
      <c r="B21448" s="2" t="str">
        <f>"87192"</f>
        <v>87192</v>
      </c>
      <c r="C21448" s="1">
        <v>2.6816300231310799E-3</v>
      </c>
      <c r="D21448" s="1">
        <v>8.2119537920642798E-3</v>
      </c>
      <c r="E21448" s="1">
        <v>1.18126513495954E-4</v>
      </c>
      <c r="F21448" s="1">
        <v>3.0438033203265E-3</v>
      </c>
    </row>
    <row r="21449" spans="1:6" x14ac:dyDescent="0.25">
      <c r="A21449" s="2" t="str">
        <f t="shared" si="764"/>
        <v>10740</v>
      </c>
      <c r="B21449" s="2" t="str">
        <f>"87009"</f>
        <v>87009</v>
      </c>
      <c r="C21449" s="1">
        <v>1.39064651156322E-5</v>
      </c>
      <c r="D21449" s="1">
        <v>0</v>
      </c>
      <c r="E21449" s="1">
        <v>5.9063256747976998E-5</v>
      </c>
      <c r="F21449" s="1">
        <v>1.43382390594115E-5</v>
      </c>
    </row>
    <row r="21450" spans="1:6" x14ac:dyDescent="0.25">
      <c r="A21450" s="2" t="str">
        <f t="shared" si="764"/>
        <v>10740</v>
      </c>
      <c r="B21450" s="2" t="str">
        <f>"87108"</f>
        <v>87108</v>
      </c>
      <c r="C21450" s="1">
        <v>4.6466135439699199E-2</v>
      </c>
      <c r="D21450" s="1">
        <v>4.9121044701155102E-2</v>
      </c>
      <c r="E21450" s="1">
        <v>0.190419939755478</v>
      </c>
      <c r="F21450" s="1">
        <v>5.1675013570119097E-2</v>
      </c>
    </row>
    <row r="21451" spans="1:6" x14ac:dyDescent="0.25">
      <c r="A21451" s="2" t="str">
        <f t="shared" si="764"/>
        <v>10740</v>
      </c>
      <c r="B21451" s="2" t="str">
        <f>"87111"</f>
        <v>87111</v>
      </c>
      <c r="C21451" s="1">
        <v>6.6512304903883102E-2</v>
      </c>
      <c r="D21451" s="1">
        <v>3.3776996484178798E-2</v>
      </c>
      <c r="E21451" s="1">
        <v>4.3411493709763098E-2</v>
      </c>
      <c r="F21451" s="1">
        <v>6.3041140504501103E-2</v>
      </c>
    </row>
    <row r="21452" spans="1:6" x14ac:dyDescent="0.25">
      <c r="A21452" s="2" t="str">
        <f t="shared" si="764"/>
        <v>10740</v>
      </c>
      <c r="B21452" s="2" t="str">
        <f>"87544"</f>
        <v>87544</v>
      </c>
      <c r="C21452" s="1">
        <v>7.41678139500387E-5</v>
      </c>
      <c r="D21452" s="1">
        <v>0</v>
      </c>
      <c r="E21452" s="1">
        <v>0</v>
      </c>
      <c r="F21452" s="1">
        <v>6.5546235700166902E-5</v>
      </c>
    </row>
    <row r="21453" spans="1:6" x14ac:dyDescent="0.25">
      <c r="A21453" s="2" t="str">
        <f t="shared" si="764"/>
        <v>10740</v>
      </c>
      <c r="B21453" s="2" t="str">
        <f>"87046"</f>
        <v>87046</v>
      </c>
      <c r="C21453" s="1">
        <v>9.7345255809425804E-5</v>
      </c>
      <c r="D21453" s="1">
        <v>5.02260170768458E-5</v>
      </c>
      <c r="E21453" s="1">
        <v>5.9063256747976998E-5</v>
      </c>
      <c r="F21453" s="1">
        <v>9.2174393953359696E-5</v>
      </c>
    </row>
    <row r="21454" spans="1:6" x14ac:dyDescent="0.25">
      <c r="A21454" s="2" t="str">
        <f t="shared" si="764"/>
        <v>10740</v>
      </c>
      <c r="B21454" s="2" t="str">
        <f>"87036"</f>
        <v>87036</v>
      </c>
      <c r="C21454" s="1">
        <v>9.5259286042080897E-4</v>
      </c>
      <c r="D21454" s="1">
        <v>2.7624309392265098E-4</v>
      </c>
      <c r="E21454" s="1">
        <v>2.3625302699190799E-4</v>
      </c>
      <c r="F21454" s="1">
        <v>8.7258426275847202E-4</v>
      </c>
    </row>
    <row r="21455" spans="1:6" x14ac:dyDescent="0.25">
      <c r="A21455" s="2" t="str">
        <f t="shared" si="764"/>
        <v>10740</v>
      </c>
      <c r="B21455" s="2" t="str">
        <f>"87044"</f>
        <v>87044</v>
      </c>
      <c r="C21455" s="1">
        <v>3.2680193021735799E-4</v>
      </c>
      <c r="D21455" s="1">
        <v>2.51130085384229E-5</v>
      </c>
      <c r="E21455" s="1">
        <v>2.3625302699190799E-4</v>
      </c>
      <c r="F21455" s="1">
        <v>2.99054700382011E-4</v>
      </c>
    </row>
    <row r="21456" spans="1:6" x14ac:dyDescent="0.25">
      <c r="A21456" s="2" t="str">
        <f t="shared" ref="A21456:A21487" si="765">"10740"</f>
        <v>10740</v>
      </c>
      <c r="B21456" s="2" t="str">
        <f>"87103"</f>
        <v>87103</v>
      </c>
      <c r="C21456" s="1">
        <v>2.5889202556935299E-3</v>
      </c>
      <c r="D21456" s="1">
        <v>9.3169261677548895E-3</v>
      </c>
      <c r="E21456" s="1">
        <v>5.9063256747976998E-5</v>
      </c>
      <c r="F21456" s="1">
        <v>3.0499482799233898E-3</v>
      </c>
    </row>
    <row r="21457" spans="1:6" x14ac:dyDescent="0.25">
      <c r="A21457" s="2" t="str">
        <f t="shared" si="765"/>
        <v>10740</v>
      </c>
      <c r="B21457" s="2" t="str">
        <f>"87102"</f>
        <v>87102</v>
      </c>
      <c r="C21457" s="1">
        <v>2.8522159952161698E-2</v>
      </c>
      <c r="D21457" s="1">
        <v>7.3380210949271704E-2</v>
      </c>
      <c r="E21457" s="1">
        <v>6.2547988896107701E-2</v>
      </c>
      <c r="F21457" s="1">
        <v>3.33609856515193E-2</v>
      </c>
    </row>
    <row r="21458" spans="1:6" x14ac:dyDescent="0.25">
      <c r="A21458" s="2" t="str">
        <f t="shared" si="765"/>
        <v>10740</v>
      </c>
      <c r="B21458" s="2" t="str">
        <f>"87104"</f>
        <v>87104</v>
      </c>
      <c r="C21458" s="1">
        <v>1.48636934644249E-2</v>
      </c>
      <c r="D21458" s="1">
        <v>2.07684580612757E-2</v>
      </c>
      <c r="E21458" s="1">
        <v>2.6401275766345701E-2</v>
      </c>
      <c r="F21458" s="1">
        <v>1.57454348070994E-2</v>
      </c>
    </row>
    <row r="21459" spans="1:6" x14ac:dyDescent="0.25">
      <c r="A21459" s="2" t="str">
        <f t="shared" si="765"/>
        <v>10740</v>
      </c>
      <c r="B21459" s="2" t="str">
        <f>"87154"</f>
        <v>87154</v>
      </c>
      <c r="C21459" s="1">
        <v>2.9041334649812E-3</v>
      </c>
      <c r="D21459" s="1">
        <v>9.4927172275238499E-3</v>
      </c>
      <c r="E21459" s="1">
        <v>1.18126513495954E-4</v>
      </c>
      <c r="F21459" s="1">
        <v>3.34490634057414E-3</v>
      </c>
    </row>
    <row r="21460" spans="1:6" x14ac:dyDescent="0.25">
      <c r="A21460" s="2" t="str">
        <f t="shared" si="765"/>
        <v>10740</v>
      </c>
      <c r="B21460" s="2" t="str">
        <f>"87125"</f>
        <v>87125</v>
      </c>
      <c r="C21460" s="1">
        <v>2.2598005812902401E-3</v>
      </c>
      <c r="D21460" s="1">
        <v>1.3812154696132501E-2</v>
      </c>
      <c r="E21460" s="1">
        <v>5.9063256747976998E-5</v>
      </c>
      <c r="F21460" s="1">
        <v>3.1257361149517101E-3</v>
      </c>
    </row>
    <row r="21461" spans="1:6" x14ac:dyDescent="0.25">
      <c r="A21461" s="2" t="str">
        <f t="shared" si="765"/>
        <v>10740</v>
      </c>
      <c r="B21461" s="2" t="str">
        <f>"87198"</f>
        <v>87198</v>
      </c>
      <c r="C21461" s="1">
        <v>5.4907359764887996E-3</v>
      </c>
      <c r="D21461" s="1">
        <v>6.6800602712204903E-3</v>
      </c>
      <c r="E21461" s="1">
        <v>5.9063256747976998E-5</v>
      </c>
      <c r="F21461" s="1">
        <v>5.3993711658012504E-3</v>
      </c>
    </row>
    <row r="21462" spans="1:6" x14ac:dyDescent="0.25">
      <c r="A21462" s="2" t="str">
        <f t="shared" si="765"/>
        <v>10740</v>
      </c>
      <c r="B21462" s="2" t="str">
        <f>"87006"</f>
        <v>87006</v>
      </c>
      <c r="C21462" s="1">
        <v>1.62242093015709E-5</v>
      </c>
      <c r="D21462" s="1">
        <v>0</v>
      </c>
      <c r="E21462" s="1">
        <v>5.9063256747976998E-5</v>
      </c>
      <c r="F21462" s="1">
        <v>1.6386558925041699E-5</v>
      </c>
    </row>
    <row r="21463" spans="1:6" x14ac:dyDescent="0.25">
      <c r="A21463" s="2" t="str">
        <f t="shared" si="765"/>
        <v>10740</v>
      </c>
      <c r="B21463" s="2" t="str">
        <f>"87004"</f>
        <v>87004</v>
      </c>
      <c r="C21463" s="1">
        <v>1.51464582551094E-2</v>
      </c>
      <c r="D21463" s="1">
        <v>1.30336514314414E-2</v>
      </c>
      <c r="E21463" s="1">
        <v>5.4928828775618601E-3</v>
      </c>
      <c r="F21463" s="1">
        <v>1.46393420796591E-2</v>
      </c>
    </row>
    <row r="21464" spans="1:6" x14ac:dyDescent="0.25">
      <c r="A21464" s="2" t="str">
        <f t="shared" si="765"/>
        <v>10740</v>
      </c>
      <c r="B21464" s="2" t="str">
        <f>"87002"</f>
        <v>87002</v>
      </c>
      <c r="C21464" s="1">
        <v>2.25192025105805E-2</v>
      </c>
      <c r="D21464" s="1">
        <v>1.5419387242591599E-2</v>
      </c>
      <c r="E21464" s="1">
        <v>9.1548047959364408E-3</v>
      </c>
      <c r="F21464" s="1">
        <v>2.14766337911328E-2</v>
      </c>
    </row>
    <row r="21465" spans="1:6" x14ac:dyDescent="0.25">
      <c r="A21465" s="2" t="str">
        <f t="shared" si="765"/>
        <v>10740</v>
      </c>
      <c r="B21465" s="2" t="str">
        <f>"87001"</f>
        <v>87001</v>
      </c>
      <c r="C21465" s="1">
        <v>4.5311898835101701E-3</v>
      </c>
      <c r="D21465" s="1">
        <v>1.9337016574585599E-3</v>
      </c>
      <c r="E21465" s="1">
        <v>6.4969582422774697E-4</v>
      </c>
      <c r="F21465" s="1">
        <v>4.1847174854825302E-3</v>
      </c>
    </row>
    <row r="21466" spans="1:6" x14ac:dyDescent="0.25">
      <c r="A21466" s="2" t="str">
        <f t="shared" si="765"/>
        <v>10740</v>
      </c>
      <c r="B21466" s="2" t="str">
        <f>"87110"</f>
        <v>87110</v>
      </c>
      <c r="C21466" s="1">
        <v>4.4716238579315497E-2</v>
      </c>
      <c r="D21466" s="1">
        <v>9.6760421898543406E-2</v>
      </c>
      <c r="E21466" s="1">
        <v>6.4969582422774702E-2</v>
      </c>
      <c r="F21466" s="1">
        <v>4.9663563462070202E-2</v>
      </c>
    </row>
    <row r="21467" spans="1:6" x14ac:dyDescent="0.25">
      <c r="A21467" s="2" t="str">
        <f t="shared" si="765"/>
        <v>10740</v>
      </c>
      <c r="B21467" s="2" t="str">
        <f>"87105"</f>
        <v>87105</v>
      </c>
      <c r="C21467" s="1">
        <v>4.8767655416336299E-2</v>
      </c>
      <c r="D21467" s="1">
        <v>2.8201908588648902E-2</v>
      </c>
      <c r="E21467" s="1">
        <v>5.1266906857244103E-2</v>
      </c>
      <c r="F21467" s="1">
        <v>4.7176903145195098E-2</v>
      </c>
    </row>
    <row r="21468" spans="1:6" x14ac:dyDescent="0.25">
      <c r="A21468" s="2" t="str">
        <f t="shared" si="765"/>
        <v>10740</v>
      </c>
      <c r="B21468" s="2" t="str">
        <f>"87032"</f>
        <v>87032</v>
      </c>
      <c r="C21468" s="1">
        <v>4.6354883718774103E-6</v>
      </c>
      <c r="D21468" s="1">
        <v>0</v>
      </c>
      <c r="E21468" s="1">
        <v>2.3625302699190799E-4</v>
      </c>
      <c r="F21468" s="1">
        <v>1.22899191937813E-5</v>
      </c>
    </row>
    <row r="21469" spans="1:6" x14ac:dyDescent="0.25">
      <c r="A21469" s="2" t="str">
        <f t="shared" si="765"/>
        <v>10740</v>
      </c>
      <c r="B21469" s="2" t="str">
        <f>"87083"</f>
        <v>87083</v>
      </c>
      <c r="C21469" s="1">
        <v>6.6982806973628697E-4</v>
      </c>
      <c r="D21469" s="1">
        <v>1.7579105976896E-4</v>
      </c>
      <c r="E21469" s="1">
        <v>1.7718977024393099E-4</v>
      </c>
      <c r="F21469" s="1">
        <v>6.1244763982343405E-4</v>
      </c>
    </row>
    <row r="21470" spans="1:6" x14ac:dyDescent="0.25">
      <c r="A21470" s="2" t="str">
        <f t="shared" si="765"/>
        <v>10740</v>
      </c>
      <c r="B21470" s="2" t="str">
        <f>"87062"</f>
        <v>87062</v>
      </c>
      <c r="C21470" s="1">
        <v>4.4037139532835399E-5</v>
      </c>
      <c r="D21470" s="1">
        <v>0</v>
      </c>
      <c r="E21470" s="1">
        <v>0</v>
      </c>
      <c r="F21470" s="1">
        <v>3.8918077446974102E-5</v>
      </c>
    </row>
    <row r="21471" spans="1:6" x14ac:dyDescent="0.25">
      <c r="A21471" s="2" t="str">
        <f t="shared" si="765"/>
        <v>10740</v>
      </c>
      <c r="B21471" s="2" t="str">
        <f>"87068"</f>
        <v>87068</v>
      </c>
      <c r="C21471" s="1">
        <v>4.4176204183991796E-3</v>
      </c>
      <c r="D21471" s="1">
        <v>3.9427423405323904E-3</v>
      </c>
      <c r="E21471" s="1">
        <v>1.18126513495954E-3</v>
      </c>
      <c r="F21471" s="1">
        <v>4.2666502801077403E-3</v>
      </c>
    </row>
    <row r="21472" spans="1:6" x14ac:dyDescent="0.25">
      <c r="A21472" s="2" t="str">
        <f t="shared" si="765"/>
        <v>10740</v>
      </c>
      <c r="B21472" s="2" t="str">
        <f>"87043"</f>
        <v>87043</v>
      </c>
      <c r="C21472" s="1">
        <v>9.6510867902487793E-3</v>
      </c>
      <c r="D21472" s="1">
        <v>4.1938724259166201E-3</v>
      </c>
      <c r="E21472" s="1">
        <v>1.7718977024393099E-4</v>
      </c>
      <c r="F21472" s="1">
        <v>8.8774182976413506E-3</v>
      </c>
    </row>
    <row r="21473" spans="1:6" x14ac:dyDescent="0.25">
      <c r="A21473" s="2" t="str">
        <f t="shared" si="765"/>
        <v>10740</v>
      </c>
      <c r="B21473" s="2" t="str">
        <f>"87131"</f>
        <v>87131</v>
      </c>
      <c r="C21473" s="1">
        <v>0</v>
      </c>
      <c r="D21473" s="1">
        <v>2.51130085384229E-5</v>
      </c>
      <c r="E21473" s="1">
        <v>0</v>
      </c>
      <c r="F21473" s="1">
        <v>2.0483198656302102E-6</v>
      </c>
    </row>
    <row r="21474" spans="1:6" x14ac:dyDescent="0.25">
      <c r="A21474" s="2" t="str">
        <f t="shared" si="765"/>
        <v>10740</v>
      </c>
      <c r="B21474" s="2" t="str">
        <f>"87190"</f>
        <v>87190</v>
      </c>
      <c r="C21474" s="1">
        <v>2.1809972789683199E-3</v>
      </c>
      <c r="D21474" s="1">
        <v>1.0572576594676E-2</v>
      </c>
      <c r="E21474" s="1">
        <v>1.18126513495954E-4</v>
      </c>
      <c r="F21474" s="1">
        <v>2.7939082967196101E-3</v>
      </c>
    </row>
    <row r="21475" spans="1:6" x14ac:dyDescent="0.25">
      <c r="A21475" s="2" t="str">
        <f t="shared" si="765"/>
        <v>10740</v>
      </c>
      <c r="B21475" s="2" t="str">
        <f>"87174"</f>
        <v>87174</v>
      </c>
      <c r="C21475" s="1">
        <v>3.5716437905315502E-3</v>
      </c>
      <c r="D21475" s="1">
        <v>1.16022099447513E-2</v>
      </c>
      <c r="E21475" s="1">
        <v>5.9063256747976998E-5</v>
      </c>
      <c r="F21475" s="1">
        <v>4.1048330107229499E-3</v>
      </c>
    </row>
    <row r="21476" spans="1:6" x14ac:dyDescent="0.25">
      <c r="A21476" s="2" t="str">
        <f t="shared" si="765"/>
        <v>10740</v>
      </c>
      <c r="B21476" s="2" t="str">
        <f>"87144"</f>
        <v>87144</v>
      </c>
      <c r="C21476" s="1">
        <v>4.0136376067900603E-2</v>
      </c>
      <c r="D21476" s="1">
        <v>5.2486187845303799E-3</v>
      </c>
      <c r="E21476" s="1">
        <v>2.1853404996751498E-3</v>
      </c>
      <c r="F21476" s="1">
        <v>3.5974641800063399E-2</v>
      </c>
    </row>
    <row r="21477" spans="1:6" x14ac:dyDescent="0.25">
      <c r="A21477" s="2" t="str">
        <f t="shared" si="765"/>
        <v>10740</v>
      </c>
      <c r="B21477" s="2" t="str">
        <f>"87124"</f>
        <v>87124</v>
      </c>
      <c r="C21477" s="1">
        <v>5.3644189183551398E-2</v>
      </c>
      <c r="D21477" s="1">
        <v>3.9226519337016499E-2</v>
      </c>
      <c r="E21477" s="1">
        <v>4.5419644439194301E-2</v>
      </c>
      <c r="F21477" s="1">
        <v>5.2182996896795397E-2</v>
      </c>
    </row>
    <row r="21478" spans="1:6" x14ac:dyDescent="0.25">
      <c r="A21478" s="2" t="str">
        <f t="shared" si="765"/>
        <v>10740</v>
      </c>
      <c r="B21478" s="2" t="str">
        <f>"87115"</f>
        <v>87115</v>
      </c>
      <c r="C21478" s="1">
        <v>0</v>
      </c>
      <c r="D21478" s="1">
        <v>2.51130085384229E-5</v>
      </c>
      <c r="E21478" s="1">
        <v>1.18126513495954E-4</v>
      </c>
      <c r="F21478" s="1">
        <v>6.1449595968906501E-6</v>
      </c>
    </row>
    <row r="21479" spans="1:6" x14ac:dyDescent="0.25">
      <c r="A21479" s="2" t="str">
        <f t="shared" si="765"/>
        <v>10740</v>
      </c>
      <c r="B21479" s="2" t="str">
        <f>"87120"</f>
        <v>87120</v>
      </c>
      <c r="C21479" s="1">
        <v>6.3184024252875101E-2</v>
      </c>
      <c r="D21479" s="1">
        <v>2.2626820693118999E-2</v>
      </c>
      <c r="E21479" s="1">
        <v>1.35254857952867E-2</v>
      </c>
      <c r="F21479" s="1">
        <v>5.8153849305107398E-2</v>
      </c>
    </row>
    <row r="21480" spans="1:6" x14ac:dyDescent="0.25">
      <c r="A21480" s="2" t="str">
        <f t="shared" si="765"/>
        <v>10740</v>
      </c>
      <c r="B21480" s="2" t="str">
        <f>"87117"</f>
        <v>87117</v>
      </c>
      <c r="C21480" s="1">
        <v>0</v>
      </c>
      <c r="D21480" s="1">
        <v>1.5067805123053701E-3</v>
      </c>
      <c r="E21480" s="1">
        <v>2.95316283739885E-4</v>
      </c>
      <c r="F21480" s="1">
        <v>1.3314079126596401E-4</v>
      </c>
    </row>
    <row r="21481" spans="1:6" x14ac:dyDescent="0.25">
      <c r="A21481" s="2" t="str">
        <f t="shared" si="765"/>
        <v>10740</v>
      </c>
      <c r="B21481" s="2" t="str">
        <f>"87114"</f>
        <v>87114</v>
      </c>
      <c r="C21481" s="1">
        <v>6.5738178345779594E-2</v>
      </c>
      <c r="D21481" s="1">
        <v>3.2697137117026598E-2</v>
      </c>
      <c r="E21481" s="1">
        <v>3.0771956765695999E-2</v>
      </c>
      <c r="F21481" s="1">
        <v>6.1830583463913701E-2</v>
      </c>
    </row>
    <row r="21482" spans="1:6" x14ac:dyDescent="0.25">
      <c r="A21482" s="2" t="str">
        <f t="shared" si="765"/>
        <v>10740</v>
      </c>
      <c r="B21482" s="2" t="str">
        <f>"87123"</f>
        <v>87123</v>
      </c>
      <c r="C21482" s="1">
        <v>4.7476671904768501E-2</v>
      </c>
      <c r="D21482" s="1">
        <v>2.8402812656956301E-2</v>
      </c>
      <c r="E21482" s="1">
        <v>5.9890142342448702E-2</v>
      </c>
      <c r="F21482" s="1">
        <v>4.6351430239346098E-2</v>
      </c>
    </row>
    <row r="21483" spans="1:6" x14ac:dyDescent="0.25">
      <c r="A21483" s="2" t="str">
        <f t="shared" si="765"/>
        <v>10740</v>
      </c>
      <c r="B21483" s="2" t="str">
        <f>"87016"</f>
        <v>87016</v>
      </c>
      <c r="C21483" s="1">
        <v>1.5297111627195401E-3</v>
      </c>
      <c r="D21483" s="1">
        <v>7.53390256152687E-5</v>
      </c>
      <c r="E21483" s="1">
        <v>4.7250605398381599E-4</v>
      </c>
      <c r="F21483" s="1">
        <v>1.3744226298378699E-3</v>
      </c>
    </row>
    <row r="21484" spans="1:6" x14ac:dyDescent="0.25">
      <c r="A21484" s="2" t="str">
        <f t="shared" si="765"/>
        <v>10740</v>
      </c>
      <c r="B21484" s="2" t="str">
        <f>"87008"</f>
        <v>87008</v>
      </c>
      <c r="C21484" s="1">
        <v>2.1439133719933002E-3</v>
      </c>
      <c r="D21484" s="1">
        <v>2.68709191361125E-3</v>
      </c>
      <c r="E21484" s="1">
        <v>1.00407536471561E-3</v>
      </c>
      <c r="F21484" s="1">
        <v>2.1486875390460901E-3</v>
      </c>
    </row>
    <row r="21485" spans="1:6" x14ac:dyDescent="0.25">
      <c r="A21485" s="2" t="str">
        <f t="shared" si="765"/>
        <v>10740</v>
      </c>
      <c r="B21485" s="2" t="str">
        <f>"87063"</f>
        <v>87063</v>
      </c>
      <c r="C21485" s="1">
        <v>2.3177441859386999E-5</v>
      </c>
      <c r="D21485" s="1">
        <v>0</v>
      </c>
      <c r="E21485" s="1">
        <v>5.9063256747976998E-5</v>
      </c>
      <c r="F21485" s="1">
        <v>2.2531518521932299E-5</v>
      </c>
    </row>
    <row r="21486" spans="1:6" x14ac:dyDescent="0.25">
      <c r="A21486" s="2" t="str">
        <f t="shared" si="765"/>
        <v>10740</v>
      </c>
      <c r="B21486" s="2" t="str">
        <f>"87184"</f>
        <v>87184</v>
      </c>
      <c r="C21486" s="1">
        <v>1.3164786976131799E-3</v>
      </c>
      <c r="D21486" s="1">
        <v>4.3445504771471603E-3</v>
      </c>
      <c r="E21486" s="1">
        <v>5.9063256747976998E-5</v>
      </c>
      <c r="F21486" s="1">
        <v>1.51985334029762E-3</v>
      </c>
    </row>
    <row r="21487" spans="1:6" x14ac:dyDescent="0.25">
      <c r="A21487" s="2" t="str">
        <f t="shared" si="765"/>
        <v>10740</v>
      </c>
      <c r="B21487" s="2" t="str">
        <f>"87194"</f>
        <v>87194</v>
      </c>
      <c r="C21487" s="1">
        <v>1.2631705813365901E-3</v>
      </c>
      <c r="D21487" s="1">
        <v>4.0683073832245096E-3</v>
      </c>
      <c r="E21487" s="1">
        <v>1.18126513495954E-4</v>
      </c>
      <c r="F21487" s="1">
        <v>1.45225878473182E-3</v>
      </c>
    </row>
    <row r="21488" spans="1:6" x14ac:dyDescent="0.25">
      <c r="A21488" s="2" t="str">
        <f t="shared" ref="A21488:A21508" si="766">"10740"</f>
        <v>10740</v>
      </c>
      <c r="B21488" s="2" t="str">
        <f>"87031"</f>
        <v>87031</v>
      </c>
      <c r="C21488" s="1">
        <v>4.4071905695624497E-2</v>
      </c>
      <c r="D21488" s="1">
        <v>2.3581115017579101E-2</v>
      </c>
      <c r="E21488" s="1">
        <v>1.6006142578701699E-2</v>
      </c>
      <c r="F21488" s="1">
        <v>4.1427269282371101E-2</v>
      </c>
    </row>
    <row r="21489" spans="1:6" x14ac:dyDescent="0.25">
      <c r="A21489" s="2" t="str">
        <f t="shared" si="766"/>
        <v>10740</v>
      </c>
      <c r="B21489" s="2" t="str">
        <f>"88321"</f>
        <v>88321</v>
      </c>
      <c r="C21489" s="1">
        <v>1.18204953482874E-4</v>
      </c>
      <c r="D21489" s="1">
        <v>2.51130085384229E-5</v>
      </c>
      <c r="E21489" s="1">
        <v>0</v>
      </c>
      <c r="F21489" s="1">
        <v>1.06512633012771E-4</v>
      </c>
    </row>
    <row r="21490" spans="1:6" x14ac:dyDescent="0.25">
      <c r="A21490" s="2" t="str">
        <f t="shared" si="766"/>
        <v>10740</v>
      </c>
      <c r="B21490" s="2" t="str">
        <f>"87101"</f>
        <v>87101</v>
      </c>
      <c r="C21490" s="1">
        <v>0</v>
      </c>
      <c r="D21490" s="1">
        <v>1.55700652938221E-3</v>
      </c>
      <c r="E21490" s="1">
        <v>1.18126513495954E-4</v>
      </c>
      <c r="F21490" s="1">
        <v>1.3109247140033299E-4</v>
      </c>
    </row>
    <row r="21491" spans="1:6" x14ac:dyDescent="0.25">
      <c r="A21491" s="2" t="str">
        <f t="shared" si="766"/>
        <v>10740</v>
      </c>
      <c r="B21491" s="2" t="str">
        <f>"87153"</f>
        <v>87153</v>
      </c>
      <c r="C21491" s="1">
        <v>9.1782669763172805E-4</v>
      </c>
      <c r="D21491" s="1">
        <v>2.1094927172275201E-3</v>
      </c>
      <c r="E21491" s="1">
        <v>1.18126513495954E-4</v>
      </c>
      <c r="F21491" s="1">
        <v>9.8729017523376396E-4</v>
      </c>
    </row>
    <row r="21492" spans="1:6" x14ac:dyDescent="0.25">
      <c r="A21492" s="2" t="str">
        <f t="shared" si="766"/>
        <v>10740</v>
      </c>
      <c r="B21492" s="2" t="str">
        <f>"87113"</f>
        <v>87113</v>
      </c>
      <c r="C21492" s="1">
        <v>1.62103028364553E-2</v>
      </c>
      <c r="D21492" s="1">
        <v>2.9758915118031099E-2</v>
      </c>
      <c r="E21492" s="1">
        <v>2.2857480361467099E-2</v>
      </c>
      <c r="F21492" s="1">
        <v>1.7545907968988399E-2</v>
      </c>
    </row>
    <row r="21493" spans="1:6" x14ac:dyDescent="0.25">
      <c r="A21493" s="2" t="str">
        <f t="shared" si="766"/>
        <v>10740</v>
      </c>
      <c r="B21493" s="2" t="str">
        <f>"87112"</f>
        <v>87112</v>
      </c>
      <c r="C21493" s="1">
        <v>5.2260495904545998E-2</v>
      </c>
      <c r="D21493" s="1">
        <v>4.7438473129080803E-2</v>
      </c>
      <c r="E21493" s="1">
        <v>8.9776150256925105E-2</v>
      </c>
      <c r="F21493" s="1">
        <v>5.3168238752163498E-2</v>
      </c>
    </row>
    <row r="21494" spans="1:6" x14ac:dyDescent="0.25">
      <c r="A21494" s="2" t="str">
        <f t="shared" si="766"/>
        <v>10740</v>
      </c>
      <c r="B21494" s="2" t="str">
        <f>"87121"</f>
        <v>87121</v>
      </c>
      <c r="C21494" s="1">
        <v>5.9707407973967001E-2</v>
      </c>
      <c r="D21494" s="1">
        <v>2.4409844299346999E-2</v>
      </c>
      <c r="E21494" s="1">
        <v>1.7423660740653199E-2</v>
      </c>
      <c r="F21494" s="1">
        <v>5.5361989328253501E-2</v>
      </c>
    </row>
    <row r="21495" spans="1:6" x14ac:dyDescent="0.25">
      <c r="A21495" s="2" t="str">
        <f t="shared" si="766"/>
        <v>10740</v>
      </c>
      <c r="B21495" s="2" t="str">
        <f>"87023"</f>
        <v>87023</v>
      </c>
      <c r="C21495" s="1">
        <v>1.2284044185475101E-4</v>
      </c>
      <c r="D21495" s="1">
        <v>2.51130085384229E-5</v>
      </c>
      <c r="E21495" s="1">
        <v>5.9063256747976998E-5</v>
      </c>
      <c r="F21495" s="1">
        <v>1.12657592609661E-4</v>
      </c>
    </row>
    <row r="21496" spans="1:6" x14ac:dyDescent="0.25">
      <c r="A21496" s="2" t="str">
        <f t="shared" si="766"/>
        <v>10740</v>
      </c>
      <c r="B21496" s="2" t="str">
        <f>"87024"</f>
        <v>87024</v>
      </c>
      <c r="C21496" s="1">
        <v>5.28445674394025E-4</v>
      </c>
      <c r="D21496" s="1">
        <v>1.7579105976896E-4</v>
      </c>
      <c r="E21496" s="1">
        <v>5.9063256747976998E-5</v>
      </c>
      <c r="F21496" s="1">
        <v>4.8340348828873099E-4</v>
      </c>
    </row>
    <row r="21497" spans="1:6" x14ac:dyDescent="0.25">
      <c r="A21497" s="2" t="str">
        <f t="shared" si="766"/>
        <v>10740</v>
      </c>
      <c r="B21497" s="2" t="str">
        <f>"87015"</f>
        <v>87015</v>
      </c>
      <c r="C21497" s="1">
        <v>4.09081848818182E-3</v>
      </c>
      <c r="D21497" s="1">
        <v>2.51130085384229E-5</v>
      </c>
      <c r="E21497" s="1">
        <v>1.7718977024393099E-4</v>
      </c>
      <c r="F21497" s="1">
        <v>3.62347784229985E-3</v>
      </c>
    </row>
    <row r="21498" spans="1:6" x14ac:dyDescent="0.25">
      <c r="A21498" s="2" t="str">
        <f t="shared" si="766"/>
        <v>10740</v>
      </c>
      <c r="B21498" s="2" t="str">
        <f>"87053"</f>
        <v>87053</v>
      </c>
      <c r="C21498" s="1">
        <v>5.7248281392686105E-4</v>
      </c>
      <c r="D21498" s="1">
        <v>1.2556504269211401E-4</v>
      </c>
      <c r="E21498" s="1">
        <v>1.18126513495954E-4</v>
      </c>
      <c r="F21498" s="1">
        <v>5.2027324587007498E-4</v>
      </c>
    </row>
    <row r="21499" spans="1:6" x14ac:dyDescent="0.25">
      <c r="A21499" s="2" t="str">
        <f t="shared" si="766"/>
        <v>10740</v>
      </c>
      <c r="B21499" s="2" t="str">
        <f>"87052"</f>
        <v>87052</v>
      </c>
      <c r="C21499" s="1">
        <v>3.2448418603141899E-4</v>
      </c>
      <c r="D21499" s="1">
        <v>1.00452034153691E-4</v>
      </c>
      <c r="E21499" s="1">
        <v>5.9063256747976998E-5</v>
      </c>
      <c r="F21499" s="1">
        <v>2.9700638051638099E-4</v>
      </c>
    </row>
    <row r="21500" spans="1:6" x14ac:dyDescent="0.25">
      <c r="A21500" s="2" t="str">
        <f t="shared" si="766"/>
        <v>10740</v>
      </c>
      <c r="B21500" s="2" t="str">
        <f>"87070"</f>
        <v>87070</v>
      </c>
      <c r="C21500" s="1">
        <v>0</v>
      </c>
      <c r="D21500" s="1">
        <v>0</v>
      </c>
      <c r="E21500" s="1">
        <v>5.9063256747976998E-5</v>
      </c>
      <c r="F21500" s="1">
        <v>2.0483198656302102E-6</v>
      </c>
    </row>
    <row r="21501" spans="1:6" x14ac:dyDescent="0.25">
      <c r="A21501" s="2" t="str">
        <f t="shared" si="766"/>
        <v>10740</v>
      </c>
      <c r="B21501" s="2" t="str">
        <f>"87047"</f>
        <v>87047</v>
      </c>
      <c r="C21501" s="1">
        <v>4.8950757207025502E-3</v>
      </c>
      <c r="D21501" s="1">
        <v>4.5203415369161198E-4</v>
      </c>
      <c r="E21501" s="1">
        <v>1.18126513495954E-4</v>
      </c>
      <c r="F21501" s="1">
        <v>4.3670179535236203E-3</v>
      </c>
    </row>
    <row r="21502" spans="1:6" x14ac:dyDescent="0.25">
      <c r="A21502" s="2" t="str">
        <f t="shared" si="766"/>
        <v>10740</v>
      </c>
      <c r="B21502" s="2" t="str">
        <f>"87185"</f>
        <v>87185</v>
      </c>
      <c r="C21502" s="1">
        <v>1.2933012557537901E-3</v>
      </c>
      <c r="D21502" s="1">
        <v>1.1049723756906E-3</v>
      </c>
      <c r="E21502" s="1">
        <v>1.18126513495954E-4</v>
      </c>
      <c r="F21502" s="1">
        <v>1.2371851988406499E-3</v>
      </c>
    </row>
    <row r="21503" spans="1:6" x14ac:dyDescent="0.25">
      <c r="A21503" s="2" t="str">
        <f t="shared" si="766"/>
        <v>10740</v>
      </c>
      <c r="B21503" s="2" t="str">
        <f>"87193"</f>
        <v>87193</v>
      </c>
      <c r="C21503" s="1">
        <v>3.75938106959258E-3</v>
      </c>
      <c r="D21503" s="1">
        <v>1.5344048216976301E-2</v>
      </c>
      <c r="E21503" s="1">
        <v>1.18126513495954E-4</v>
      </c>
      <c r="F21503" s="1">
        <v>4.5779948996835301E-3</v>
      </c>
    </row>
    <row r="21504" spans="1:6" x14ac:dyDescent="0.25">
      <c r="A21504" s="2" t="str">
        <f t="shared" si="766"/>
        <v>10740</v>
      </c>
      <c r="B21504" s="2" t="str">
        <f>"87199"</f>
        <v>87199</v>
      </c>
      <c r="C21504" s="1">
        <v>5.6158941625294896E-3</v>
      </c>
      <c r="D21504" s="1">
        <v>2.6167754897036599E-2</v>
      </c>
      <c r="E21504" s="1">
        <v>1.18126513495954E-4</v>
      </c>
      <c r="F21504" s="1">
        <v>7.1015249741399602E-3</v>
      </c>
    </row>
    <row r="21505" spans="1:6" x14ac:dyDescent="0.25">
      <c r="A21505" s="2" t="str">
        <f t="shared" si="766"/>
        <v>10740</v>
      </c>
      <c r="B21505" s="2" t="str">
        <f>"87187"</f>
        <v>87187</v>
      </c>
      <c r="C21505" s="1">
        <v>1.7336726510821499E-3</v>
      </c>
      <c r="D21505" s="1">
        <v>1.85836263184329E-3</v>
      </c>
      <c r="E21505" s="1">
        <v>1.18126513495954E-4</v>
      </c>
      <c r="F21505" s="1">
        <v>1.68781556927929E-3</v>
      </c>
    </row>
    <row r="21506" spans="1:6" x14ac:dyDescent="0.25">
      <c r="A21506" s="2" t="str">
        <f t="shared" si="766"/>
        <v>10740</v>
      </c>
      <c r="B21506" s="2" t="str">
        <f>"87116"</f>
        <v>87116</v>
      </c>
      <c r="C21506" s="1">
        <v>5.5417263485794503E-3</v>
      </c>
      <c r="D21506" s="1">
        <v>3.5158211953792E-4</v>
      </c>
      <c r="E21506" s="1">
        <v>4.7250605398381599E-4</v>
      </c>
      <c r="F21506" s="1">
        <v>4.9425958357657103E-3</v>
      </c>
    </row>
    <row r="21507" spans="1:6" x14ac:dyDescent="0.25">
      <c r="A21507" s="2" t="str">
        <f t="shared" si="766"/>
        <v>10740</v>
      </c>
      <c r="B21507" s="2" t="str">
        <f>"87027"</f>
        <v>87027</v>
      </c>
      <c r="C21507" s="1">
        <v>2.10914720920422E-4</v>
      </c>
      <c r="D21507" s="1">
        <v>0</v>
      </c>
      <c r="E21507" s="1">
        <v>5.9063256747976998E-5</v>
      </c>
      <c r="F21507" s="1">
        <v>1.8844542763797901E-4</v>
      </c>
    </row>
    <row r="21508" spans="1:6" x14ac:dyDescent="0.25">
      <c r="A21508" s="2" t="str">
        <f t="shared" si="766"/>
        <v>10740</v>
      </c>
      <c r="B21508" s="2" t="str">
        <f>"87025"</f>
        <v>87025</v>
      </c>
      <c r="C21508" s="1">
        <v>1.7962517441024899E-3</v>
      </c>
      <c r="D21508" s="1">
        <v>1.2556504269211401E-4</v>
      </c>
      <c r="E21508" s="1">
        <v>2.95316283739885E-4</v>
      </c>
      <c r="F21508" s="1">
        <v>1.6079310945197199E-3</v>
      </c>
    </row>
    <row r="21509" spans="1:6" x14ac:dyDescent="0.25">
      <c r="A21509" s="2" t="str">
        <f>"19700"</f>
        <v>19700</v>
      </c>
      <c r="B21509" s="2" t="str">
        <f>"88029"</f>
        <v>88029</v>
      </c>
      <c r="C21509" s="1">
        <v>0</v>
      </c>
      <c r="D21509" s="1">
        <v>1.0193679918450501E-3</v>
      </c>
      <c r="E21509" s="1">
        <v>0</v>
      </c>
      <c r="F21509" s="1">
        <v>7.4388157405341006E-5</v>
      </c>
    </row>
    <row r="21510" spans="1:6" x14ac:dyDescent="0.25">
      <c r="A21510" s="2" t="str">
        <f>"19700"</f>
        <v>19700</v>
      </c>
      <c r="B21510" s="2" t="str">
        <f>"88031"</f>
        <v>88031</v>
      </c>
      <c r="C21510" s="1">
        <v>0.120583148010872</v>
      </c>
      <c r="D21510" s="1">
        <v>0.19367991845056001</v>
      </c>
      <c r="E21510" s="1">
        <v>6.2305295950155701E-3</v>
      </c>
      <c r="F21510" s="1">
        <v>0.12318678866324401</v>
      </c>
    </row>
    <row r="21511" spans="1:6" x14ac:dyDescent="0.25">
      <c r="A21511" s="2" t="str">
        <f>"19700"</f>
        <v>19700</v>
      </c>
      <c r="B21511" s="2" t="str">
        <f>"88030"</f>
        <v>88030</v>
      </c>
      <c r="C21511" s="1">
        <v>0.879416851989127</v>
      </c>
      <c r="D21511" s="1">
        <v>0.80530071355759403</v>
      </c>
      <c r="E21511" s="1">
        <v>0.99376947040498398</v>
      </c>
      <c r="F21511" s="1">
        <v>0.87673882317934904</v>
      </c>
    </row>
    <row r="21512" spans="1:6" x14ac:dyDescent="0.25">
      <c r="A21512" s="2" t="str">
        <f t="shared" ref="A21512:A21526" si="767">"38780"</f>
        <v>38780</v>
      </c>
      <c r="B21512" s="2" t="str">
        <f>"88123"</f>
        <v>88123</v>
      </c>
      <c r="C21512" s="1">
        <v>2.26860254083484E-4</v>
      </c>
      <c r="D21512" s="1">
        <v>0</v>
      </c>
      <c r="E21512" s="1">
        <v>1.1627906976744099E-2</v>
      </c>
      <c r="F21512" s="1">
        <v>5.1461506792918805E-4</v>
      </c>
    </row>
    <row r="21513" spans="1:6" x14ac:dyDescent="0.25">
      <c r="A21513" s="2" t="str">
        <f t="shared" si="767"/>
        <v>38780</v>
      </c>
      <c r="B21513" s="2" t="str">
        <f>"88101"</f>
        <v>88101</v>
      </c>
      <c r="C21513" s="1">
        <v>9.0744101633393804E-4</v>
      </c>
      <c r="D21513" s="1">
        <v>0</v>
      </c>
      <c r="E21513" s="1">
        <v>0</v>
      </c>
      <c r="F21513" s="1">
        <v>8.2338410868670203E-4</v>
      </c>
    </row>
    <row r="21514" spans="1:6" x14ac:dyDescent="0.25">
      <c r="A21514" s="2" t="str">
        <f t="shared" si="767"/>
        <v>38780</v>
      </c>
      <c r="B21514" s="2" t="str">
        <f>"88113"</f>
        <v>88113</v>
      </c>
      <c r="C21514" s="1">
        <v>2.72232304900181E-3</v>
      </c>
      <c r="D21514" s="1">
        <v>1.5576323987538899E-3</v>
      </c>
      <c r="E21514" s="1">
        <v>0</v>
      </c>
      <c r="F21514" s="1">
        <v>2.57307533964594E-3</v>
      </c>
    </row>
    <row r="21515" spans="1:6" x14ac:dyDescent="0.25">
      <c r="A21515" s="2" t="str">
        <f t="shared" si="767"/>
        <v>38780</v>
      </c>
      <c r="B21515" s="2" t="str">
        <f>"88134"</f>
        <v>88134</v>
      </c>
      <c r="C21515" s="1">
        <v>2.3820326678765801E-3</v>
      </c>
      <c r="D21515" s="1">
        <v>1.5576323987538899E-3</v>
      </c>
      <c r="E21515" s="1">
        <v>0</v>
      </c>
      <c r="F21515" s="1">
        <v>2.2643062988884298E-3</v>
      </c>
    </row>
    <row r="21516" spans="1:6" x14ac:dyDescent="0.25">
      <c r="A21516" s="2" t="str">
        <f t="shared" si="767"/>
        <v>38780</v>
      </c>
      <c r="B21516" s="2" t="str">
        <f>"88130"</f>
        <v>88130</v>
      </c>
      <c r="C21516" s="1">
        <v>0.94566696914700499</v>
      </c>
      <c r="D21516" s="1">
        <v>0.95015576323987505</v>
      </c>
      <c r="E21516" s="1">
        <v>0.94961240310077499</v>
      </c>
      <c r="F21516" s="1">
        <v>0.94606834088101999</v>
      </c>
    </row>
    <row r="21517" spans="1:6" x14ac:dyDescent="0.25">
      <c r="A21517" s="2" t="str">
        <f t="shared" si="767"/>
        <v>38780</v>
      </c>
      <c r="B21517" s="2" t="str">
        <f>"88114"</f>
        <v>88114</v>
      </c>
      <c r="C21517" s="1">
        <v>1.13430127041742E-4</v>
      </c>
      <c r="D21517" s="1">
        <v>3.1152647975077798E-3</v>
      </c>
      <c r="E21517" s="1">
        <v>0</v>
      </c>
      <c r="F21517" s="1">
        <v>3.08769040757513E-4</v>
      </c>
    </row>
    <row r="21518" spans="1:6" x14ac:dyDescent="0.25">
      <c r="A21518" s="2" t="str">
        <f t="shared" si="767"/>
        <v>38780</v>
      </c>
      <c r="B21518" s="2" t="str">
        <f>"88126"</f>
        <v>88126</v>
      </c>
      <c r="C21518" s="1">
        <v>3.62976406533575E-3</v>
      </c>
      <c r="D21518" s="1">
        <v>3.1152647975077798E-3</v>
      </c>
      <c r="E21518" s="1">
        <v>0</v>
      </c>
      <c r="F21518" s="1">
        <v>3.4993824619184801E-3</v>
      </c>
    </row>
    <row r="21519" spans="1:6" x14ac:dyDescent="0.25">
      <c r="A21519" s="2" t="str">
        <f t="shared" si="767"/>
        <v>38780</v>
      </c>
      <c r="B21519" s="2" t="str">
        <f>"88116"</f>
        <v>88116</v>
      </c>
      <c r="C21519" s="1">
        <v>1.06624319419237E-2</v>
      </c>
      <c r="D21519" s="1">
        <v>4.6728971962616802E-3</v>
      </c>
      <c r="E21519" s="1">
        <v>1.5503875968992199E-2</v>
      </c>
      <c r="F21519" s="1">
        <v>1.03952243721696E-2</v>
      </c>
    </row>
    <row r="21520" spans="1:6" x14ac:dyDescent="0.25">
      <c r="A21520" s="2" t="str">
        <f t="shared" si="767"/>
        <v>38780</v>
      </c>
      <c r="B21520" s="2" t="str">
        <f>"88122"</f>
        <v>88122</v>
      </c>
      <c r="C21520" s="1">
        <v>0</v>
      </c>
      <c r="D21520" s="1">
        <v>1.5576323987538899E-3</v>
      </c>
      <c r="E21520" s="1">
        <v>0</v>
      </c>
      <c r="F21520" s="1">
        <v>1.0292301358583699E-4</v>
      </c>
    </row>
    <row r="21521" spans="1:6" x14ac:dyDescent="0.25">
      <c r="A21521" s="2" t="str">
        <f t="shared" si="767"/>
        <v>38780</v>
      </c>
      <c r="B21521" s="2" t="str">
        <f>"88124"</f>
        <v>88124</v>
      </c>
      <c r="C21521" s="1">
        <v>1.81488203266787E-3</v>
      </c>
      <c r="D21521" s="1">
        <v>0</v>
      </c>
      <c r="E21521" s="1">
        <v>0</v>
      </c>
      <c r="F21521" s="1">
        <v>1.6467682173733999E-3</v>
      </c>
    </row>
    <row r="21522" spans="1:6" x14ac:dyDescent="0.25">
      <c r="A21522" s="2" t="str">
        <f t="shared" si="767"/>
        <v>38780</v>
      </c>
      <c r="B21522" s="2" t="str">
        <f>"88132"</f>
        <v>88132</v>
      </c>
      <c r="C21522" s="1">
        <v>1.41787658802177E-2</v>
      </c>
      <c r="D21522" s="1">
        <v>1.5576323987538899E-3</v>
      </c>
      <c r="E21522" s="1">
        <v>2.3255813953488299E-2</v>
      </c>
      <c r="F21522" s="1">
        <v>1.35858377933305E-2</v>
      </c>
    </row>
    <row r="21523" spans="1:6" x14ac:dyDescent="0.25">
      <c r="A21523" s="2" t="str">
        <f t="shared" si="767"/>
        <v>38780</v>
      </c>
      <c r="B21523" s="2" t="str">
        <f>"88115"</f>
        <v>88115</v>
      </c>
      <c r="C21523" s="1">
        <v>0</v>
      </c>
      <c r="D21523" s="1">
        <v>1.5576323987538899E-3</v>
      </c>
      <c r="E21523" s="1">
        <v>0</v>
      </c>
      <c r="F21523" s="1">
        <v>1.0292301358583699E-4</v>
      </c>
    </row>
    <row r="21524" spans="1:6" x14ac:dyDescent="0.25">
      <c r="A21524" s="2" t="str">
        <f t="shared" si="767"/>
        <v>38780</v>
      </c>
      <c r="B21524" s="2" t="str">
        <f>"88135"</f>
        <v>88135</v>
      </c>
      <c r="C21524" s="1">
        <v>1.81488203266787E-3</v>
      </c>
      <c r="D21524" s="1">
        <v>3.1152647975077798E-3</v>
      </c>
      <c r="E21524" s="1">
        <v>0</v>
      </c>
      <c r="F21524" s="1">
        <v>1.85261424454508E-3</v>
      </c>
    </row>
    <row r="21525" spans="1:6" x14ac:dyDescent="0.25">
      <c r="A21525" s="2" t="str">
        <f t="shared" si="767"/>
        <v>38780</v>
      </c>
      <c r="B21525" s="2" t="str">
        <f>"88118"</f>
        <v>88118</v>
      </c>
      <c r="C21525" s="1">
        <v>1.3044464609800299E-2</v>
      </c>
      <c r="D21525" s="1">
        <v>1.86915887850467E-2</v>
      </c>
      <c r="E21525" s="1">
        <v>0</v>
      </c>
      <c r="F21525" s="1">
        <v>1.30712227254013E-2</v>
      </c>
    </row>
    <row r="21526" spans="1:6" x14ac:dyDescent="0.25">
      <c r="A21526" s="2" t="str">
        <f t="shared" si="767"/>
        <v>38780</v>
      </c>
      <c r="B21526" s="2" t="str">
        <f>"88125"</f>
        <v>88125</v>
      </c>
      <c r="C21526" s="1">
        <v>2.8357531760435498E-3</v>
      </c>
      <c r="D21526" s="1">
        <v>9.3457943925233603E-3</v>
      </c>
      <c r="E21526" s="1">
        <v>0</v>
      </c>
      <c r="F21526" s="1">
        <v>3.1906134211609699E-3</v>
      </c>
    </row>
    <row r="21527" spans="1:6" x14ac:dyDescent="0.25">
      <c r="A21527" s="2" t="str">
        <f t="shared" ref="A21527:A21543" si="768">"10460"</f>
        <v>10460</v>
      </c>
      <c r="B21527" s="2" t="str">
        <f>"88347"</f>
        <v>88347</v>
      </c>
      <c r="C21527" s="1">
        <v>2.3847607968590901E-3</v>
      </c>
      <c r="D21527" s="1">
        <v>1.7391304347826001E-3</v>
      </c>
      <c r="E21527" s="1">
        <v>6.0514372163388798E-3</v>
      </c>
      <c r="F21527" s="1">
        <v>2.5343953656770399E-3</v>
      </c>
    </row>
    <row r="21528" spans="1:6" x14ac:dyDescent="0.25">
      <c r="A21528" s="2" t="str">
        <f t="shared" si="768"/>
        <v>10460</v>
      </c>
      <c r="B21528" s="2" t="str">
        <f>"88352"</f>
        <v>88352</v>
      </c>
      <c r="C21528" s="1">
        <v>7.1135669623382206E-2</v>
      </c>
      <c r="D21528" s="1">
        <v>5.5652173913043397E-2</v>
      </c>
      <c r="E21528" s="1">
        <v>1.81543116490166E-2</v>
      </c>
      <c r="F21528" s="1">
        <v>6.7497672494051905E-2</v>
      </c>
    </row>
    <row r="21529" spans="1:6" x14ac:dyDescent="0.25">
      <c r="A21529" s="2" t="str">
        <f t="shared" si="768"/>
        <v>10460</v>
      </c>
      <c r="B21529" s="2" t="str">
        <f>"88340"</f>
        <v>88340</v>
      </c>
      <c r="C21529" s="1">
        <v>4.4292569434346299E-2</v>
      </c>
      <c r="D21529" s="1">
        <v>1.7391304347826E-2</v>
      </c>
      <c r="E21529" s="1">
        <v>2.37014624306606E-2</v>
      </c>
      <c r="F21529" s="1">
        <v>4.1636495293265699E-2</v>
      </c>
    </row>
    <row r="21530" spans="1:6" x14ac:dyDescent="0.25">
      <c r="A21530" s="2" t="str">
        <f t="shared" si="768"/>
        <v>10460</v>
      </c>
      <c r="B21530" s="2" t="str">
        <f>"88349"</f>
        <v>88349</v>
      </c>
      <c r="C21530" s="1">
        <v>0</v>
      </c>
      <c r="D21530" s="1">
        <v>4.3478260869565197E-4</v>
      </c>
      <c r="E21530" s="1">
        <v>2.52143217347453E-3</v>
      </c>
      <c r="F21530" s="1">
        <v>1.5516706320471699E-4</v>
      </c>
    </row>
    <row r="21531" spans="1:6" x14ac:dyDescent="0.25">
      <c r="A21531" s="2" t="str">
        <f t="shared" si="768"/>
        <v>10460</v>
      </c>
      <c r="B21531" s="2" t="str">
        <f>"88354"</f>
        <v>88354</v>
      </c>
      <c r="C21531" s="1">
        <v>1.2214628471717301E-3</v>
      </c>
      <c r="D21531" s="1">
        <v>4.3478260869565197E-4</v>
      </c>
      <c r="E21531" s="1">
        <v>2.0171457387796201E-3</v>
      </c>
      <c r="F21531" s="1">
        <v>1.2154753284369501E-3</v>
      </c>
    </row>
    <row r="21532" spans="1:6" x14ac:dyDescent="0.25">
      <c r="A21532" s="2" t="str">
        <f t="shared" si="768"/>
        <v>10460</v>
      </c>
      <c r="B21532" s="2" t="str">
        <f>"88342"</f>
        <v>88342</v>
      </c>
      <c r="C21532" s="1">
        <v>0</v>
      </c>
      <c r="D21532" s="1">
        <v>4.3478260869565197E-4</v>
      </c>
      <c r="E21532" s="1">
        <v>0</v>
      </c>
      <c r="F21532" s="1">
        <v>2.58611772007861E-5</v>
      </c>
    </row>
    <row r="21533" spans="1:6" x14ac:dyDescent="0.25">
      <c r="A21533" s="2" t="str">
        <f t="shared" si="768"/>
        <v>10460</v>
      </c>
      <c r="B21533" s="2" t="str">
        <f>"88339"</f>
        <v>88339</v>
      </c>
      <c r="C21533" s="1">
        <v>1.3581503562599901E-2</v>
      </c>
      <c r="D21533" s="1">
        <v>2.6086956521739102E-3</v>
      </c>
      <c r="E21533" s="1">
        <v>7.06001008572869E-3</v>
      </c>
      <c r="F21533" s="1">
        <v>1.25943932967828E-2</v>
      </c>
    </row>
    <row r="21534" spans="1:6" x14ac:dyDescent="0.25">
      <c r="A21534" s="2" t="str">
        <f t="shared" si="768"/>
        <v>10460</v>
      </c>
      <c r="B21534" s="2" t="str">
        <f>"88081"</f>
        <v>88081</v>
      </c>
      <c r="C21534" s="1">
        <v>8.5822306238185195E-2</v>
      </c>
      <c r="D21534" s="1">
        <v>1.21739130434782E-2</v>
      </c>
      <c r="E21534" s="1">
        <v>2.7231467473524899E-2</v>
      </c>
      <c r="F21534" s="1">
        <v>7.8436950449984402E-2</v>
      </c>
    </row>
    <row r="21535" spans="1:6" x14ac:dyDescent="0.25">
      <c r="A21535" s="2" t="str">
        <f t="shared" si="768"/>
        <v>10460</v>
      </c>
      <c r="B21535" s="2" t="str">
        <f>"88337"</f>
        <v>88337</v>
      </c>
      <c r="C21535" s="1">
        <v>5.4675003635306002E-2</v>
      </c>
      <c r="D21535" s="1">
        <v>3.34782608695652E-2</v>
      </c>
      <c r="E21535" s="1">
        <v>2.52143217347453E-3</v>
      </c>
      <c r="F21535" s="1">
        <v>5.0739629667942397E-2</v>
      </c>
    </row>
    <row r="21536" spans="1:6" x14ac:dyDescent="0.25">
      <c r="A21536" s="2" t="str">
        <f t="shared" si="768"/>
        <v>10460</v>
      </c>
      <c r="B21536" s="2" t="str">
        <f>"88325"</f>
        <v>88325</v>
      </c>
      <c r="C21536" s="1">
        <v>0</v>
      </c>
      <c r="D21536" s="1">
        <v>4.3478260869565197E-4</v>
      </c>
      <c r="E21536" s="1">
        <v>4.2864346949067003E-2</v>
      </c>
      <c r="F21536" s="1">
        <v>2.2240612392676099E-3</v>
      </c>
    </row>
    <row r="21537" spans="1:6" x14ac:dyDescent="0.25">
      <c r="A21537" s="2" t="str">
        <f t="shared" si="768"/>
        <v>10460</v>
      </c>
      <c r="B21537" s="2" t="str">
        <f>"88317"</f>
        <v>88317</v>
      </c>
      <c r="C21537" s="1">
        <v>2.9576850370801201E-2</v>
      </c>
      <c r="D21537" s="1">
        <v>5.2173913043478204E-3</v>
      </c>
      <c r="E21537" s="1">
        <v>6.5557236510337805E-2</v>
      </c>
      <c r="F21537" s="1">
        <v>2.9973104375711102E-2</v>
      </c>
    </row>
    <row r="21538" spans="1:6" x14ac:dyDescent="0.25">
      <c r="A21538" s="2" t="str">
        <f t="shared" si="768"/>
        <v>10460</v>
      </c>
      <c r="B21538" s="2" t="str">
        <f>"88311"</f>
        <v>88311</v>
      </c>
      <c r="C21538" s="1">
        <v>8.1721680965537197E-2</v>
      </c>
      <c r="D21538" s="1">
        <v>0.17260869565217299</v>
      </c>
      <c r="E21538" s="1">
        <v>2.0171457387796201E-3</v>
      </c>
      <c r="F21538" s="1">
        <v>8.3040239991724399E-2</v>
      </c>
    </row>
    <row r="21539" spans="1:6" x14ac:dyDescent="0.25">
      <c r="A21539" s="2" t="str">
        <f t="shared" si="768"/>
        <v>10460</v>
      </c>
      <c r="B21539" s="2" t="str">
        <f>"88330"</f>
        <v>88330</v>
      </c>
      <c r="C21539" s="1">
        <v>7.1455576559546305E-2</v>
      </c>
      <c r="D21539" s="1">
        <v>1.6956521739130401E-2</v>
      </c>
      <c r="E21539" s="1">
        <v>0.43318204740292399</v>
      </c>
      <c r="F21539" s="1">
        <v>8.6764249508637606E-2</v>
      </c>
    </row>
    <row r="21540" spans="1:6" x14ac:dyDescent="0.25">
      <c r="A21540" s="2" t="str">
        <f t="shared" si="768"/>
        <v>10460</v>
      </c>
      <c r="B21540" s="2" t="str">
        <f>"88314"</f>
        <v>88314</v>
      </c>
      <c r="C21540" s="1">
        <v>2.6174203867965601E-3</v>
      </c>
      <c r="D21540" s="1">
        <v>4.3478260869565197E-4</v>
      </c>
      <c r="E21540" s="1">
        <v>0</v>
      </c>
      <c r="F21540" s="1">
        <v>2.35336712527154E-3</v>
      </c>
    </row>
    <row r="21541" spans="1:6" x14ac:dyDescent="0.25">
      <c r="A21541" s="2" t="str">
        <f t="shared" si="768"/>
        <v>10460</v>
      </c>
      <c r="B21541" s="2" t="str">
        <f>"88310"</f>
        <v>88310</v>
      </c>
      <c r="C21541" s="1">
        <v>0.54102079395085001</v>
      </c>
      <c r="D21541" s="1">
        <v>0.67913043478260804</v>
      </c>
      <c r="E21541" s="1">
        <v>0.36712052445789201</v>
      </c>
      <c r="F21541" s="1">
        <v>0.54031757525602497</v>
      </c>
    </row>
    <row r="21542" spans="1:6" x14ac:dyDescent="0.25">
      <c r="A21542" s="2" t="str">
        <f t="shared" si="768"/>
        <v>10460</v>
      </c>
      <c r="B21542" s="2" t="str">
        <f>"88350"</f>
        <v>88350</v>
      </c>
      <c r="C21542" s="1">
        <v>8.7247346226552202E-5</v>
      </c>
      <c r="D21542" s="1">
        <v>8.6956521739130395E-4</v>
      </c>
      <c r="E21542" s="1">
        <v>0</v>
      </c>
      <c r="F21542" s="1">
        <v>1.2930588600393E-4</v>
      </c>
    </row>
    <row r="21543" spans="1:6" x14ac:dyDescent="0.25">
      <c r="A21543" s="2" t="str">
        <f t="shared" si="768"/>
        <v>10460</v>
      </c>
      <c r="B21543" s="2" t="str">
        <f>"88344"</f>
        <v>88344</v>
      </c>
      <c r="C21543" s="1">
        <v>4.0715428239057703E-4</v>
      </c>
      <c r="D21543" s="1">
        <v>0</v>
      </c>
      <c r="E21543" s="1">
        <v>0</v>
      </c>
      <c r="F21543" s="1">
        <v>3.62056480811006E-4</v>
      </c>
    </row>
    <row r="21544" spans="1:6" x14ac:dyDescent="0.25">
      <c r="A21544" s="2" t="str">
        <f t="shared" ref="A21544:A21553" si="769">"23820"</f>
        <v>23820</v>
      </c>
      <c r="B21544" s="2" t="str">
        <f>"89411"</f>
        <v>89411</v>
      </c>
      <c r="C21544" s="1">
        <v>3.1648589331721703E-2</v>
      </c>
      <c r="D21544" s="1">
        <v>2.8447024673439701E-2</v>
      </c>
      <c r="E21544" s="1">
        <v>2.61083743842364E-2</v>
      </c>
      <c r="F21544" s="1">
        <v>3.10451319282656E-2</v>
      </c>
    </row>
    <row r="21545" spans="1:6" x14ac:dyDescent="0.25">
      <c r="A21545" s="2" t="str">
        <f t="shared" si="769"/>
        <v>23820</v>
      </c>
      <c r="B21545" s="2" t="str">
        <f>"89410"</f>
        <v>89410</v>
      </c>
      <c r="C21545" s="1">
        <v>0.16918477050796699</v>
      </c>
      <c r="D21545" s="1">
        <v>0.28969521044992702</v>
      </c>
      <c r="E21545" s="1">
        <v>0.21133004926108301</v>
      </c>
      <c r="F21545" s="1">
        <v>0.18274909248523499</v>
      </c>
    </row>
    <row r="21546" spans="1:6" x14ac:dyDescent="0.25">
      <c r="A21546" s="2" t="str">
        <f t="shared" si="769"/>
        <v>23820</v>
      </c>
      <c r="B21546" s="2" t="str">
        <f>"89705"</f>
        <v>89705</v>
      </c>
      <c r="C21546" s="1">
        <v>7.3698272845828403E-2</v>
      </c>
      <c r="D21546" s="1">
        <v>0.131494920174165</v>
      </c>
      <c r="E21546" s="1">
        <v>3.8916256157635401E-2</v>
      </c>
      <c r="F21546" s="1">
        <v>7.71793899333586E-2</v>
      </c>
    </row>
    <row r="21547" spans="1:6" x14ac:dyDescent="0.25">
      <c r="A21547" s="2" t="str">
        <f t="shared" si="769"/>
        <v>23820</v>
      </c>
      <c r="B21547" s="2" t="str">
        <f>"89460"</f>
        <v>89460</v>
      </c>
      <c r="C21547" s="1">
        <v>0.24049747129361601</v>
      </c>
      <c r="D21547" s="1">
        <v>3.7735849056603703E-2</v>
      </c>
      <c r="E21547" s="1">
        <v>0.36551724137931002</v>
      </c>
      <c r="F21547" s="1">
        <v>0.228449910603023</v>
      </c>
    </row>
    <row r="21548" spans="1:6" x14ac:dyDescent="0.25">
      <c r="A21548" s="2" t="str">
        <f t="shared" si="769"/>
        <v>23820</v>
      </c>
      <c r="B21548" s="2" t="str">
        <f>"89413"</f>
        <v>89413</v>
      </c>
      <c r="C21548" s="1">
        <v>2.5764178249944301E-3</v>
      </c>
      <c r="D21548" s="1">
        <v>2.90275761973875E-4</v>
      </c>
      <c r="E21548" s="1">
        <v>1.47783251231527E-2</v>
      </c>
      <c r="F21548" s="1">
        <v>3.0340792111394001E-3</v>
      </c>
    </row>
    <row r="21549" spans="1:6" x14ac:dyDescent="0.25">
      <c r="A21549" s="2" t="str">
        <f t="shared" si="769"/>
        <v>23820</v>
      </c>
      <c r="B21549" s="2" t="str">
        <f>"89449"</f>
        <v>89449</v>
      </c>
      <c r="C21549" s="1">
        <v>0.12573555138522199</v>
      </c>
      <c r="D21549" s="1">
        <v>0.117561683599419</v>
      </c>
      <c r="E21549" s="1">
        <v>7.2906403940886599E-2</v>
      </c>
      <c r="F21549" s="1">
        <v>0.122067508262447</v>
      </c>
    </row>
    <row r="21550" spans="1:6" x14ac:dyDescent="0.25">
      <c r="A21550" s="2" t="str">
        <f t="shared" si="769"/>
        <v>23820</v>
      </c>
      <c r="B21550" s="2" t="str">
        <f>"89423"</f>
        <v>89423</v>
      </c>
      <c r="C21550" s="1">
        <v>0.22179458634180399</v>
      </c>
      <c r="D21550" s="1">
        <v>0.29492017416545702</v>
      </c>
      <c r="E21550" s="1">
        <v>0.120197044334975</v>
      </c>
      <c r="F21550" s="1">
        <v>0.223031912011702</v>
      </c>
    </row>
    <row r="21551" spans="1:6" x14ac:dyDescent="0.25">
      <c r="A21551" s="2" t="str">
        <f t="shared" si="769"/>
        <v>23820</v>
      </c>
      <c r="B21551" s="2" t="str">
        <f>"89701"</f>
        <v>89701</v>
      </c>
      <c r="C21551" s="1">
        <v>2.2265339228346901E-4</v>
      </c>
      <c r="D21551" s="1">
        <v>0</v>
      </c>
      <c r="E21551" s="1">
        <v>0</v>
      </c>
      <c r="F21551" s="1">
        <v>1.8962995069621199E-4</v>
      </c>
    </row>
    <row r="21552" spans="1:6" x14ac:dyDescent="0.25">
      <c r="A21552" s="2" t="str">
        <f t="shared" si="769"/>
        <v>23820</v>
      </c>
      <c r="B21552" s="2" t="str">
        <f>"89448"</f>
        <v>89448</v>
      </c>
      <c r="C21552" s="1">
        <v>0.10693724355100299</v>
      </c>
      <c r="D21552" s="1">
        <v>9.4920174165457102E-2</v>
      </c>
      <c r="E21552" s="1">
        <v>0.14679802955665</v>
      </c>
      <c r="F21552" s="1">
        <v>0.10800780191797101</v>
      </c>
    </row>
    <row r="21553" spans="1:6" x14ac:dyDescent="0.25">
      <c r="A21553" s="2" t="str">
        <f t="shared" si="769"/>
        <v>23820</v>
      </c>
      <c r="B21553" s="2" t="str">
        <f>"89444"</f>
        <v>89444</v>
      </c>
      <c r="C21553" s="1">
        <v>2.7704443525557398E-2</v>
      </c>
      <c r="D21553" s="1">
        <v>4.9346879535558698E-3</v>
      </c>
      <c r="E21553" s="1">
        <v>3.4482758620689598E-3</v>
      </c>
      <c r="F21553" s="1">
        <v>2.4245543696158601E-2</v>
      </c>
    </row>
    <row r="21554" spans="1:6" x14ac:dyDescent="0.25">
      <c r="A21554" s="2" t="str">
        <f t="shared" ref="A21554:A21573" si="770">"11220"</f>
        <v>11220</v>
      </c>
      <c r="B21554" s="2" t="str">
        <f>"12068"</f>
        <v>12068</v>
      </c>
      <c r="C21554" s="1">
        <v>5.1597784405624202E-2</v>
      </c>
      <c r="D21554" s="1">
        <v>3.9650145772594701E-2</v>
      </c>
      <c r="E21554" s="1">
        <v>1.4184397163120499E-2</v>
      </c>
      <c r="F21554" s="1">
        <v>4.9215216812982097E-2</v>
      </c>
    </row>
    <row r="21555" spans="1:6" x14ac:dyDescent="0.25">
      <c r="A21555" s="2" t="str">
        <f t="shared" si="770"/>
        <v>11220</v>
      </c>
      <c r="B21555" s="2" t="str">
        <f>"12095"</f>
        <v>12095</v>
      </c>
      <c r="C21555" s="1">
        <v>7.6693651469961601E-3</v>
      </c>
      <c r="D21555" s="1">
        <v>5.83090379008746E-3</v>
      </c>
      <c r="E21555" s="1">
        <v>0</v>
      </c>
      <c r="F21555" s="1">
        <v>7.2207654011325201E-3</v>
      </c>
    </row>
    <row r="21556" spans="1:6" x14ac:dyDescent="0.25">
      <c r="A21556" s="2" t="str">
        <f t="shared" si="770"/>
        <v>11220</v>
      </c>
      <c r="B21556" s="2" t="str">
        <f>"12070"</f>
        <v>12070</v>
      </c>
      <c r="C21556" s="1">
        <v>1.7895185342991001E-2</v>
      </c>
      <c r="D21556" s="1">
        <v>5.2478134110787097E-3</v>
      </c>
      <c r="E21556" s="1">
        <v>8.8652482269503501E-4</v>
      </c>
      <c r="F21556" s="1">
        <v>1.63417322236157E-2</v>
      </c>
    </row>
    <row r="21557" spans="1:6" x14ac:dyDescent="0.25">
      <c r="A21557" s="2" t="str">
        <f t="shared" si="770"/>
        <v>11220</v>
      </c>
      <c r="B21557" s="2" t="str">
        <f>"12066"</f>
        <v>12066</v>
      </c>
      <c r="C21557" s="1">
        <v>1.2441414571793701E-2</v>
      </c>
      <c r="D21557" s="1">
        <v>1.1661807580174901E-3</v>
      </c>
      <c r="E21557" s="1">
        <v>0</v>
      </c>
      <c r="F21557" s="1">
        <v>1.1173184357541799E-2</v>
      </c>
    </row>
    <row r="21558" spans="1:6" x14ac:dyDescent="0.25">
      <c r="A21558" s="2" t="str">
        <f t="shared" si="770"/>
        <v>11220</v>
      </c>
      <c r="B21558" s="2" t="str">
        <f>"12010"</f>
        <v>12010</v>
      </c>
      <c r="C21558" s="1">
        <v>0.52019599488708901</v>
      </c>
      <c r="D21558" s="1">
        <v>0.66588921282798796</v>
      </c>
      <c r="E21558" s="1">
        <v>0.69503546099290703</v>
      </c>
      <c r="F21558" s="1">
        <v>0.53718694181583204</v>
      </c>
    </row>
    <row r="21559" spans="1:6" x14ac:dyDescent="0.25">
      <c r="A21559" s="2" t="str">
        <f t="shared" si="770"/>
        <v>11220</v>
      </c>
      <c r="B21559" s="2" t="str">
        <f>"13428"</f>
        <v>13428</v>
      </c>
      <c r="C21559" s="1">
        <v>2.27524499360886E-2</v>
      </c>
      <c r="D21559" s="1">
        <v>2.2740524781341101E-2</v>
      </c>
      <c r="E21559" s="1">
        <v>1.50709219858156E-2</v>
      </c>
      <c r="F21559" s="1">
        <v>2.2422376771937799E-2</v>
      </c>
    </row>
    <row r="21560" spans="1:6" x14ac:dyDescent="0.25">
      <c r="A21560" s="2" t="str">
        <f t="shared" si="770"/>
        <v>11220</v>
      </c>
      <c r="B21560" s="2" t="str">
        <f>"13320"</f>
        <v>13320</v>
      </c>
      <c r="C21560" s="1">
        <v>6.81721346399659E-4</v>
      </c>
      <c r="D21560" s="1">
        <v>0</v>
      </c>
      <c r="E21560" s="1">
        <v>0</v>
      </c>
      <c r="F21560" s="1">
        <v>6.08064454832212E-4</v>
      </c>
    </row>
    <row r="21561" spans="1:6" x14ac:dyDescent="0.25">
      <c r="A21561" s="2" t="str">
        <f t="shared" si="770"/>
        <v>11220</v>
      </c>
      <c r="B21561" s="2" t="str">
        <f>"12086"</f>
        <v>12086</v>
      </c>
      <c r="C21561" s="1">
        <v>2.3647209203238099E-2</v>
      </c>
      <c r="D21561" s="1">
        <v>4.0816326530612197E-3</v>
      </c>
      <c r="E21561" s="1">
        <v>1.0638297872340399E-2</v>
      </c>
      <c r="F21561" s="1">
        <v>2.1814312317105601E-2</v>
      </c>
    </row>
    <row r="21562" spans="1:6" x14ac:dyDescent="0.25">
      <c r="A21562" s="2" t="str">
        <f t="shared" si="770"/>
        <v>11220</v>
      </c>
      <c r="B21562" s="2" t="str">
        <f>"12160"</f>
        <v>12160</v>
      </c>
      <c r="C21562" s="1">
        <v>1.27822752449936E-3</v>
      </c>
      <c r="D21562" s="1">
        <v>0</v>
      </c>
      <c r="E21562" s="1">
        <v>1.77304964539007E-3</v>
      </c>
      <c r="F21562" s="1">
        <v>1.2161289096644201E-3</v>
      </c>
    </row>
    <row r="21563" spans="1:6" x14ac:dyDescent="0.25">
      <c r="A21563" s="2" t="str">
        <f t="shared" si="770"/>
        <v>11220</v>
      </c>
      <c r="B21563" s="2" t="str">
        <f>"13459"</f>
        <v>13459</v>
      </c>
      <c r="C21563" s="1">
        <v>1.5338730293992301E-3</v>
      </c>
      <c r="D21563" s="1">
        <v>0</v>
      </c>
      <c r="E21563" s="1">
        <v>0</v>
      </c>
      <c r="F21563" s="1">
        <v>1.3681450233724701E-3</v>
      </c>
    </row>
    <row r="21564" spans="1:6" x14ac:dyDescent="0.25">
      <c r="A21564" s="2" t="str">
        <f t="shared" si="770"/>
        <v>11220</v>
      </c>
      <c r="B21564" s="2" t="str">
        <f>"13410"</f>
        <v>13410</v>
      </c>
      <c r="C21564" s="1">
        <v>6.9876438005964997E-3</v>
      </c>
      <c r="D21564" s="1">
        <v>0</v>
      </c>
      <c r="E21564" s="1">
        <v>7.9787234042553098E-3</v>
      </c>
      <c r="F21564" s="1">
        <v>6.5746969178732901E-3</v>
      </c>
    </row>
    <row r="21565" spans="1:6" x14ac:dyDescent="0.25">
      <c r="A21565" s="2" t="str">
        <f t="shared" si="770"/>
        <v>11220</v>
      </c>
      <c r="B21565" s="2" t="str">
        <f>"12053"</f>
        <v>12053</v>
      </c>
      <c r="C21565" s="1">
        <v>2.0877716233489501E-3</v>
      </c>
      <c r="D21565" s="1">
        <v>0</v>
      </c>
      <c r="E21565" s="1">
        <v>0</v>
      </c>
      <c r="F21565" s="1">
        <v>1.8621973929236399E-3</v>
      </c>
    </row>
    <row r="21566" spans="1:6" x14ac:dyDescent="0.25">
      <c r="A21566" s="2" t="str">
        <f t="shared" si="770"/>
        <v>11220</v>
      </c>
      <c r="B21566" s="2" t="str">
        <f>"12177"</f>
        <v>12177</v>
      </c>
      <c r="C21566" s="1">
        <v>8.2658713250958592E-3</v>
      </c>
      <c r="D21566" s="1">
        <v>0</v>
      </c>
      <c r="E21566" s="1">
        <v>5.31914893617021E-3</v>
      </c>
      <c r="F21566" s="1">
        <v>7.60080568540265E-3</v>
      </c>
    </row>
    <row r="21567" spans="1:6" x14ac:dyDescent="0.25">
      <c r="A21567" s="2" t="str">
        <f t="shared" si="770"/>
        <v>11220</v>
      </c>
      <c r="B21567" s="2" t="str">
        <f>"13452"</f>
        <v>13452</v>
      </c>
      <c r="C21567" s="1">
        <v>5.1938645078824001E-2</v>
      </c>
      <c r="D21567" s="1">
        <v>4.83965014577259E-2</v>
      </c>
      <c r="E21567" s="1">
        <v>3.2801418439716297E-2</v>
      </c>
      <c r="F21567" s="1">
        <v>5.08873940637707E-2</v>
      </c>
    </row>
    <row r="21568" spans="1:6" x14ac:dyDescent="0.25">
      <c r="A21568" s="2" t="str">
        <f t="shared" si="770"/>
        <v>11220</v>
      </c>
      <c r="B21568" s="2" t="str">
        <f>"12069"</f>
        <v>12069</v>
      </c>
      <c r="C21568" s="1">
        <v>2.8121005538985899E-3</v>
      </c>
      <c r="D21568" s="1">
        <v>0</v>
      </c>
      <c r="E21568" s="1">
        <v>1.77304964539007E-3</v>
      </c>
      <c r="F21568" s="1">
        <v>2.5842739330369001E-3</v>
      </c>
    </row>
    <row r="21569" spans="1:6" x14ac:dyDescent="0.25">
      <c r="A21569" s="2" t="str">
        <f t="shared" si="770"/>
        <v>11220</v>
      </c>
      <c r="B21569" s="2" t="str">
        <f>"12166"</f>
        <v>12166</v>
      </c>
      <c r="C21569" s="1">
        <v>2.8802726885385498E-2</v>
      </c>
      <c r="D21569" s="1">
        <v>8.7463556851311904E-3</v>
      </c>
      <c r="E21569" s="1">
        <v>8.8652482269503501E-4</v>
      </c>
      <c r="F21569" s="1">
        <v>2.6298787671493101E-2</v>
      </c>
    </row>
    <row r="21570" spans="1:6" x14ac:dyDescent="0.25">
      <c r="A21570" s="2" t="str">
        <f t="shared" si="770"/>
        <v>11220</v>
      </c>
      <c r="B21570" s="2" t="str">
        <f>"13339"</f>
        <v>13339</v>
      </c>
      <c r="C21570" s="1">
        <v>0.108308478909245</v>
      </c>
      <c r="D21570" s="1">
        <v>9.5626822157434399E-2</v>
      </c>
      <c r="E21570" s="1">
        <v>9.39716312056737E-2</v>
      </c>
      <c r="F21570" s="1">
        <v>0.106867327936761</v>
      </c>
    </row>
    <row r="21571" spans="1:6" x14ac:dyDescent="0.25">
      <c r="A21571" s="2" t="str">
        <f t="shared" si="770"/>
        <v>11220</v>
      </c>
      <c r="B21571" s="2" t="str">
        <f>"12072"</f>
        <v>12072</v>
      </c>
      <c r="C21571" s="1">
        <v>5.1512569237324203E-2</v>
      </c>
      <c r="D21571" s="1">
        <v>2.79883381924198E-2</v>
      </c>
      <c r="E21571" s="1">
        <v>9.7517730496453903E-3</v>
      </c>
      <c r="F21571" s="1">
        <v>4.8189108045452803E-2</v>
      </c>
    </row>
    <row r="21572" spans="1:6" x14ac:dyDescent="0.25">
      <c r="A21572" s="2" t="str">
        <f t="shared" si="770"/>
        <v>11220</v>
      </c>
      <c r="B21572" s="2" t="str">
        <f>"13317"</f>
        <v>13317</v>
      </c>
      <c r="C21572" s="1">
        <v>7.2773753728163595E-2</v>
      </c>
      <c r="D21572" s="1">
        <v>7.40524781341107E-2</v>
      </c>
      <c r="E21572" s="1">
        <v>0.102836879432624</v>
      </c>
      <c r="F21572" s="1">
        <v>7.4145859461102803E-2</v>
      </c>
    </row>
    <row r="21573" spans="1:6" x14ac:dyDescent="0.25">
      <c r="A21573" s="2" t="str">
        <f t="shared" si="770"/>
        <v>11220</v>
      </c>
      <c r="B21573" s="2" t="str">
        <f>"12137"</f>
        <v>12137</v>
      </c>
      <c r="C21573" s="1">
        <v>6.8172134639965902E-3</v>
      </c>
      <c r="D21573" s="1">
        <v>5.8309037900874602E-4</v>
      </c>
      <c r="E21573" s="1">
        <v>7.09219858156028E-3</v>
      </c>
      <c r="F21573" s="1">
        <v>6.4226808041652397E-3</v>
      </c>
    </row>
    <row r="21574" spans="1:6" x14ac:dyDescent="0.25">
      <c r="A21574" s="2" t="str">
        <f t="shared" ref="A21574:A21591" si="771">"18660"</f>
        <v>18660</v>
      </c>
      <c r="B21574" s="2" t="str">
        <f>"13738"</f>
        <v>13738</v>
      </c>
      <c r="C21574" s="1">
        <v>1.4954668660622399E-3</v>
      </c>
      <c r="D21574" s="1">
        <v>0</v>
      </c>
      <c r="E21574" s="1">
        <v>7.9681274900398398E-4</v>
      </c>
      <c r="F21574" s="1">
        <v>1.3677055702917701E-3</v>
      </c>
    </row>
    <row r="21575" spans="1:6" x14ac:dyDescent="0.25">
      <c r="A21575" s="2" t="str">
        <f t="shared" si="771"/>
        <v>18660</v>
      </c>
      <c r="B21575" s="2" t="str">
        <f>"13087"</f>
        <v>13087</v>
      </c>
      <c r="C21575" s="1">
        <v>6.4024675203289997E-3</v>
      </c>
      <c r="D21575" s="1">
        <v>0</v>
      </c>
      <c r="E21575" s="1">
        <v>1.5936254980079599E-3</v>
      </c>
      <c r="F21575" s="1">
        <v>5.7609416445623301E-3</v>
      </c>
    </row>
    <row r="21576" spans="1:6" x14ac:dyDescent="0.25">
      <c r="A21576" s="2" t="str">
        <f t="shared" si="771"/>
        <v>18660</v>
      </c>
      <c r="B21576" s="2" t="str">
        <f>"13141"</f>
        <v>13141</v>
      </c>
      <c r="C21576" s="1">
        <v>1.0187868025049E-2</v>
      </c>
      <c r="D21576" s="1">
        <v>4.0677966101694898E-3</v>
      </c>
      <c r="E21576" s="1">
        <v>5.5776892430278802E-3</v>
      </c>
      <c r="F21576" s="1">
        <v>9.5739389920424401E-3</v>
      </c>
    </row>
    <row r="21577" spans="1:6" x14ac:dyDescent="0.25">
      <c r="A21577" s="2" t="str">
        <f t="shared" si="771"/>
        <v>18660</v>
      </c>
      <c r="B21577" s="2" t="str">
        <f>"13841"</f>
        <v>13841</v>
      </c>
      <c r="C21577" s="1">
        <v>1.7758669034489199E-3</v>
      </c>
      <c r="D21577" s="1">
        <v>0</v>
      </c>
      <c r="E21577" s="1">
        <v>0</v>
      </c>
      <c r="F21577" s="1">
        <v>1.57493368700265E-3</v>
      </c>
    </row>
    <row r="21578" spans="1:6" x14ac:dyDescent="0.25">
      <c r="A21578" s="2" t="str">
        <f t="shared" si="771"/>
        <v>18660</v>
      </c>
      <c r="B21578" s="2" t="str">
        <f>"13077"</f>
        <v>13077</v>
      </c>
      <c r="C21578" s="1">
        <v>0.13319001775866901</v>
      </c>
      <c r="D21578" s="1">
        <v>0.11389830508474499</v>
      </c>
      <c r="E21578" s="1">
        <v>0.13227091633466101</v>
      </c>
      <c r="F21578" s="1">
        <v>0.131962864721485</v>
      </c>
    </row>
    <row r="21579" spans="1:6" x14ac:dyDescent="0.25">
      <c r="A21579" s="2" t="str">
        <f t="shared" si="771"/>
        <v>18660</v>
      </c>
      <c r="B21579" s="2" t="str">
        <f>"13052"</f>
        <v>13052</v>
      </c>
      <c r="C21579" s="1">
        <v>8.1783344237779197E-3</v>
      </c>
      <c r="D21579" s="1">
        <v>6.7796610169491497E-4</v>
      </c>
      <c r="E21579" s="1">
        <v>3.9840637450199202E-3</v>
      </c>
      <c r="F21579" s="1">
        <v>7.5016578249336796E-3</v>
      </c>
    </row>
    <row r="21580" spans="1:6" x14ac:dyDescent="0.25">
      <c r="A21580" s="2" t="str">
        <f t="shared" si="771"/>
        <v>18660</v>
      </c>
      <c r="B21580" s="2" t="str">
        <f>"13045"</f>
        <v>13045</v>
      </c>
      <c r="C21580" s="1">
        <v>0.58799887839984999</v>
      </c>
      <c r="D21580" s="1">
        <v>0.81491525423728794</v>
      </c>
      <c r="E21580" s="1">
        <v>0.77211155378485996</v>
      </c>
      <c r="F21580" s="1">
        <v>0.611447281167108</v>
      </c>
    </row>
    <row r="21581" spans="1:6" x14ac:dyDescent="0.25">
      <c r="A21581" s="2" t="str">
        <f t="shared" si="771"/>
        <v>18660</v>
      </c>
      <c r="B21581" s="2" t="str">
        <f>"13158"</f>
        <v>13158</v>
      </c>
      <c r="C21581" s="1">
        <v>2.9301803906907099E-2</v>
      </c>
      <c r="D21581" s="1">
        <v>1.1525423728813501E-2</v>
      </c>
      <c r="E21581" s="1">
        <v>1.9920318725099601E-2</v>
      </c>
      <c r="F21581" s="1">
        <v>2.7727122015915099E-2</v>
      </c>
    </row>
    <row r="21582" spans="1:6" x14ac:dyDescent="0.25">
      <c r="A21582" s="2" t="str">
        <f t="shared" si="771"/>
        <v>18660</v>
      </c>
      <c r="B21582" s="2" t="str">
        <f>"13101"</f>
        <v>13101</v>
      </c>
      <c r="C21582" s="1">
        <v>4.8836339844845297E-2</v>
      </c>
      <c r="D21582" s="1">
        <v>1.49152542372881E-2</v>
      </c>
      <c r="E21582" s="1">
        <v>1.67330677290836E-2</v>
      </c>
      <c r="F21582" s="1">
        <v>4.50928381962864E-2</v>
      </c>
    </row>
    <row r="21583" spans="1:6" x14ac:dyDescent="0.25">
      <c r="A21583" s="2" t="str">
        <f t="shared" si="771"/>
        <v>18660</v>
      </c>
      <c r="B21583" s="2" t="str">
        <f>"13863"</f>
        <v>13863</v>
      </c>
      <c r="C21583" s="1">
        <v>9.4868679315823906E-3</v>
      </c>
      <c r="D21583" s="1">
        <v>6.7796610169491497E-4</v>
      </c>
      <c r="E21583" s="1">
        <v>2.3904382470119499E-3</v>
      </c>
      <c r="F21583" s="1">
        <v>8.5792440318302292E-3</v>
      </c>
    </row>
    <row r="21584" spans="1:6" x14ac:dyDescent="0.25">
      <c r="A21584" s="2" t="str">
        <f t="shared" si="771"/>
        <v>18660</v>
      </c>
      <c r="B21584" s="2" t="str">
        <f>"13784"</f>
        <v>13784</v>
      </c>
      <c r="C21584" s="1">
        <v>3.5517338068978398E-3</v>
      </c>
      <c r="D21584" s="1">
        <v>0</v>
      </c>
      <c r="E21584" s="1">
        <v>2.3904382470119499E-3</v>
      </c>
      <c r="F21584" s="1">
        <v>3.2742042440318301E-3</v>
      </c>
    </row>
    <row r="21585" spans="1:6" x14ac:dyDescent="0.25">
      <c r="A21585" s="2" t="str">
        <f t="shared" si="771"/>
        <v>18660</v>
      </c>
      <c r="B21585" s="2" t="str">
        <f>"13803"</f>
        <v>13803</v>
      </c>
      <c r="C21585" s="1">
        <v>6.9539209271894498E-2</v>
      </c>
      <c r="D21585" s="1">
        <v>2.1694915254237199E-2</v>
      </c>
      <c r="E21585" s="1">
        <v>1.8326693227091601E-2</v>
      </c>
      <c r="F21585" s="1">
        <v>6.3950596816976096E-2</v>
      </c>
    </row>
    <row r="21586" spans="1:6" x14ac:dyDescent="0.25">
      <c r="A21586" s="2" t="str">
        <f t="shared" si="771"/>
        <v>18660</v>
      </c>
      <c r="B21586" s="2" t="str">
        <f>"13073"</f>
        <v>13073</v>
      </c>
      <c r="C21586" s="1">
        <v>5.1406673520889797E-4</v>
      </c>
      <c r="D21586" s="1">
        <v>0</v>
      </c>
      <c r="E21586" s="1">
        <v>0</v>
      </c>
      <c r="F21586" s="1">
        <v>4.5590185676392498E-4</v>
      </c>
    </row>
    <row r="21587" spans="1:6" x14ac:dyDescent="0.25">
      <c r="A21587" s="2" t="str">
        <f t="shared" si="771"/>
        <v>18660</v>
      </c>
      <c r="B21587" s="2" t="str">
        <f>"13835"</f>
        <v>13835</v>
      </c>
      <c r="C21587" s="1">
        <v>6.3557341807645501E-3</v>
      </c>
      <c r="D21587" s="1">
        <v>6.7796610169491497E-4</v>
      </c>
      <c r="E21587" s="1">
        <v>1.5936254980079599E-3</v>
      </c>
      <c r="F21587" s="1">
        <v>5.7609416445623301E-3</v>
      </c>
    </row>
    <row r="21588" spans="1:6" x14ac:dyDescent="0.25">
      <c r="A21588" s="2" t="str">
        <f t="shared" si="771"/>
        <v>18660</v>
      </c>
      <c r="B21588" s="2" t="str">
        <f>"13053"</f>
        <v>13053</v>
      </c>
      <c r="C21588" s="1">
        <v>1.00476680063557E-2</v>
      </c>
      <c r="D21588" s="1">
        <v>2.0338983050847402E-3</v>
      </c>
      <c r="E21588" s="1">
        <v>3.1872509960159299E-3</v>
      </c>
      <c r="F21588" s="1">
        <v>9.2009283819628595E-3</v>
      </c>
    </row>
    <row r="21589" spans="1:6" x14ac:dyDescent="0.25">
      <c r="A21589" s="2" t="str">
        <f t="shared" si="771"/>
        <v>18660</v>
      </c>
      <c r="B21589" s="2" t="str">
        <f>"13040"</f>
        <v>13040</v>
      </c>
      <c r="C21589" s="1">
        <v>5.15468735395831E-2</v>
      </c>
      <c r="D21589" s="1">
        <v>1.22033898305084E-2</v>
      </c>
      <c r="E21589" s="1">
        <v>1.4342629482071699E-2</v>
      </c>
      <c r="F21589" s="1">
        <v>4.72065649867374E-2</v>
      </c>
    </row>
    <row r="21590" spans="1:6" x14ac:dyDescent="0.25">
      <c r="A21590" s="2" t="str">
        <f t="shared" si="771"/>
        <v>18660</v>
      </c>
      <c r="B21590" s="2" t="str">
        <f>"13159"</f>
        <v>13159</v>
      </c>
      <c r="C21590" s="1">
        <v>2.0983269464435898E-2</v>
      </c>
      <c r="D21590" s="1">
        <v>2.7118644067796599E-3</v>
      </c>
      <c r="E21590" s="1">
        <v>4.7808764940238998E-3</v>
      </c>
      <c r="F21590" s="1">
        <v>1.9023541114058299E-2</v>
      </c>
    </row>
    <row r="21591" spans="1:6" x14ac:dyDescent="0.25">
      <c r="A21591" s="2" t="str">
        <f t="shared" si="771"/>
        <v>18660</v>
      </c>
      <c r="B21591" s="2" t="str">
        <f>"13862"</f>
        <v>13862</v>
      </c>
      <c r="C21591" s="1">
        <v>6.0753341433778798E-4</v>
      </c>
      <c r="D21591" s="1">
        <v>0</v>
      </c>
      <c r="E21591" s="1">
        <v>0</v>
      </c>
      <c r="F21591" s="1">
        <v>5.3879310344827499E-4</v>
      </c>
    </row>
    <row r="21592" spans="1:6" x14ac:dyDescent="0.25">
      <c r="A21592" s="2" t="str">
        <f t="shared" ref="A21592:A21623" si="772">"40380"</f>
        <v>40380</v>
      </c>
      <c r="B21592" s="2" t="str">
        <f>"14608"</f>
        <v>14608</v>
      </c>
      <c r="C21592" s="1">
        <v>1.2236768883812201E-2</v>
      </c>
      <c r="D21592" s="1">
        <v>1.6440152298343301E-2</v>
      </c>
      <c r="E21592" s="1">
        <v>1.69737211259702E-2</v>
      </c>
      <c r="F21592" s="1">
        <v>1.27043388754165E-2</v>
      </c>
    </row>
    <row r="21593" spans="1:6" x14ac:dyDescent="0.25">
      <c r="A21593" s="2" t="str">
        <f t="shared" si="772"/>
        <v>40380</v>
      </c>
      <c r="B21593" s="2" t="str">
        <f>"14605"</f>
        <v>14605</v>
      </c>
      <c r="C21593" s="1">
        <v>1.04657860566831E-2</v>
      </c>
      <c r="D21593" s="1">
        <v>1.3843011674525301E-2</v>
      </c>
      <c r="E21593" s="1">
        <v>1.7254278499953202E-2</v>
      </c>
      <c r="F21593" s="1">
        <v>1.0952738184546101E-2</v>
      </c>
    </row>
    <row r="21594" spans="1:6" x14ac:dyDescent="0.25">
      <c r="A21594" s="2" t="str">
        <f t="shared" si="772"/>
        <v>40380</v>
      </c>
      <c r="B21594" s="2" t="str">
        <f>"14590"</f>
        <v>14590</v>
      </c>
      <c r="C21594" s="1">
        <v>5.50234796786066E-3</v>
      </c>
      <c r="D21594" s="1">
        <v>4.0343932020474498E-3</v>
      </c>
      <c r="E21594" s="1">
        <v>1.3092677452539001E-3</v>
      </c>
      <c r="F21594" s="1">
        <v>5.2443343393987997E-3</v>
      </c>
    </row>
    <row r="21595" spans="1:6" x14ac:dyDescent="0.25">
      <c r="A21595" s="2" t="str">
        <f t="shared" si="772"/>
        <v>40380</v>
      </c>
      <c r="B21595" s="2" t="str">
        <f>"14563"</f>
        <v>14563</v>
      </c>
      <c r="C21595" s="1">
        <v>0</v>
      </c>
      <c r="D21595" s="1">
        <v>0</v>
      </c>
      <c r="E21595" s="1">
        <v>4.6759562330496503E-5</v>
      </c>
      <c r="F21595" s="1">
        <v>1.7446222020621401E-6</v>
      </c>
    </row>
    <row r="21596" spans="1:6" x14ac:dyDescent="0.25">
      <c r="A21596" s="2" t="str">
        <f t="shared" si="772"/>
        <v>40380</v>
      </c>
      <c r="B21596" s="2" t="str">
        <f>"14572"</f>
        <v>14572</v>
      </c>
      <c r="C21596" s="1">
        <v>1.02510031338781E-3</v>
      </c>
      <c r="D21596" s="1">
        <v>2.5214957512796502E-4</v>
      </c>
      <c r="E21596" s="1">
        <v>0</v>
      </c>
      <c r="F21596" s="1">
        <v>9.3337287810324595E-4</v>
      </c>
    </row>
    <row r="21597" spans="1:6" x14ac:dyDescent="0.25">
      <c r="A21597" s="2" t="str">
        <f t="shared" si="772"/>
        <v>40380</v>
      </c>
      <c r="B21597" s="2" t="str">
        <f>"14555"</f>
        <v>14555</v>
      </c>
      <c r="C21597" s="1">
        <v>1.94085659334758E-3</v>
      </c>
      <c r="D21597" s="1">
        <v>8.3209359792228699E-4</v>
      </c>
      <c r="E21597" s="1">
        <v>8.8843168427943495E-4</v>
      </c>
      <c r="F21597" s="1">
        <v>1.824874823357E-3</v>
      </c>
    </row>
    <row r="21598" spans="1:6" x14ac:dyDescent="0.25">
      <c r="A21598" s="2" t="str">
        <f t="shared" si="772"/>
        <v>40380</v>
      </c>
      <c r="B21598" s="2" t="str">
        <f>"14621"</f>
        <v>14621</v>
      </c>
      <c r="C21598" s="1">
        <v>2.94486912885999E-2</v>
      </c>
      <c r="D21598" s="1">
        <v>2.53410323003605E-2</v>
      </c>
      <c r="E21598" s="1">
        <v>4.36266716543533E-2</v>
      </c>
      <c r="F21598" s="1">
        <v>2.96934698790976E-2</v>
      </c>
    </row>
    <row r="21599" spans="1:6" x14ac:dyDescent="0.25">
      <c r="A21599" s="2" t="str">
        <f t="shared" si="772"/>
        <v>40380</v>
      </c>
      <c r="B21599" s="2" t="str">
        <f>"14508"</f>
        <v>14508</v>
      </c>
      <c r="C21599" s="1">
        <v>0</v>
      </c>
      <c r="D21599" s="1">
        <v>0</v>
      </c>
      <c r="E21599" s="1">
        <v>4.6759562330496503E-5</v>
      </c>
      <c r="F21599" s="1">
        <v>1.7446222020621401E-6</v>
      </c>
    </row>
    <row r="21600" spans="1:6" x14ac:dyDescent="0.25">
      <c r="A21600" s="2" t="str">
        <f t="shared" si="772"/>
        <v>40380</v>
      </c>
      <c r="B21600" s="2" t="str">
        <f>"14488"</f>
        <v>14488</v>
      </c>
      <c r="C21600" s="1">
        <v>0</v>
      </c>
      <c r="D21600" s="1">
        <v>0</v>
      </c>
      <c r="E21600" s="1">
        <v>4.6759562330496503E-5</v>
      </c>
      <c r="F21600" s="1">
        <v>1.7446222020621401E-6</v>
      </c>
    </row>
    <row r="21601" spans="1:6" x14ac:dyDescent="0.25">
      <c r="A21601" s="2" t="str">
        <f t="shared" si="772"/>
        <v>40380</v>
      </c>
      <c r="B21601" s="2" t="str">
        <f>"14517"</f>
        <v>14517</v>
      </c>
      <c r="C21601" s="1">
        <v>2.3333235704731999E-3</v>
      </c>
      <c r="D21601" s="1">
        <v>5.0429915025593101E-4</v>
      </c>
      <c r="E21601" s="1">
        <v>8.8843168427943495E-4</v>
      </c>
      <c r="F21601" s="1">
        <v>2.15286379734468E-3</v>
      </c>
    </row>
    <row r="21602" spans="1:6" x14ac:dyDescent="0.25">
      <c r="A21602" s="2" t="str">
        <f t="shared" si="772"/>
        <v>40380</v>
      </c>
      <c r="B21602" s="2" t="str">
        <f>"14482"</f>
        <v>14482</v>
      </c>
      <c r="C21602" s="1">
        <v>2.3235607103457001E-4</v>
      </c>
      <c r="D21602" s="1">
        <v>2.0171966010237201E-4</v>
      </c>
      <c r="E21602" s="1">
        <v>2.3379781165248201E-4</v>
      </c>
      <c r="F21602" s="1">
        <v>2.30290130672202E-4</v>
      </c>
    </row>
    <row r="21603" spans="1:6" x14ac:dyDescent="0.25">
      <c r="A21603" s="2" t="str">
        <f t="shared" si="772"/>
        <v>40380</v>
      </c>
      <c r="B21603" s="2" t="str">
        <f>"14477"</f>
        <v>14477</v>
      </c>
      <c r="C21603" s="1">
        <v>1.53667418406896E-3</v>
      </c>
      <c r="D21603" s="1">
        <v>3.53009405179152E-4</v>
      </c>
      <c r="E21603" s="1">
        <v>4.2083606097446903E-4</v>
      </c>
      <c r="F21603" s="1">
        <v>1.41314398367033E-3</v>
      </c>
    </row>
    <row r="21604" spans="1:6" x14ac:dyDescent="0.25">
      <c r="A21604" s="2" t="str">
        <f t="shared" si="772"/>
        <v>40380</v>
      </c>
      <c r="B21604" s="2" t="str">
        <f>"14472"</f>
        <v>14472</v>
      </c>
      <c r="C21604" s="1">
        <v>7.2909039432192003E-3</v>
      </c>
      <c r="D21604" s="1">
        <v>4.7656269699185502E-3</v>
      </c>
      <c r="E21604" s="1">
        <v>5.1435518563546197E-3</v>
      </c>
      <c r="F21604" s="1">
        <v>7.0360613409166202E-3</v>
      </c>
    </row>
    <row r="21605" spans="1:6" x14ac:dyDescent="0.25">
      <c r="A21605" s="2" t="str">
        <f t="shared" si="772"/>
        <v>40380</v>
      </c>
      <c r="B21605" s="2" t="str">
        <f>"14098"</f>
        <v>14098</v>
      </c>
      <c r="C21605" s="1">
        <v>2.4368098878247298E-3</v>
      </c>
      <c r="D21605" s="1">
        <v>8.3209359792228699E-4</v>
      </c>
      <c r="E21605" s="1">
        <v>1.3560273075844001E-3</v>
      </c>
      <c r="F21605" s="1">
        <v>2.2854550847014E-3</v>
      </c>
    </row>
    <row r="21606" spans="1:6" x14ac:dyDescent="0.25">
      <c r="A21606" s="2" t="str">
        <f t="shared" si="772"/>
        <v>40380</v>
      </c>
      <c r="B21606" s="2" t="str">
        <f>"14462"</f>
        <v>14462</v>
      </c>
      <c r="C21606" s="1">
        <v>4.9595329447714995E-4</v>
      </c>
      <c r="D21606" s="1">
        <v>5.0429915025593101E-4</v>
      </c>
      <c r="E21606" s="1">
        <v>4.6759562330496503E-5</v>
      </c>
      <c r="F21606" s="1">
        <v>4.7977110556708902E-4</v>
      </c>
    </row>
    <row r="21607" spans="1:6" x14ac:dyDescent="0.25">
      <c r="A21607" s="2" t="str">
        <f t="shared" si="772"/>
        <v>40380</v>
      </c>
      <c r="B21607" s="2" t="str">
        <f>"14424"</f>
        <v>14424</v>
      </c>
      <c r="C21607" s="1">
        <v>2.7777289634771399E-2</v>
      </c>
      <c r="D21607" s="1">
        <v>2.8518116946972899E-2</v>
      </c>
      <c r="E21607" s="1">
        <v>2.6839988777705E-2</v>
      </c>
      <c r="F21607" s="1">
        <v>2.7793576301052E-2</v>
      </c>
    </row>
    <row r="21608" spans="1:6" x14ac:dyDescent="0.25">
      <c r="A21608" s="2" t="str">
        <f t="shared" si="772"/>
        <v>40380</v>
      </c>
      <c r="B21608" s="2" t="str">
        <f>"14416"</f>
        <v>14416</v>
      </c>
      <c r="C21608" s="1">
        <v>2.0111491862656001E-4</v>
      </c>
      <c r="D21608" s="1">
        <v>7.5644872538389694E-5</v>
      </c>
      <c r="E21608" s="1">
        <v>9.35191246609931E-5</v>
      </c>
      <c r="F21608" s="1">
        <v>1.8841919782271101E-4</v>
      </c>
    </row>
    <row r="21609" spans="1:6" x14ac:dyDescent="0.25">
      <c r="A21609" s="2" t="str">
        <f t="shared" si="772"/>
        <v>40380</v>
      </c>
      <c r="B21609" s="2" t="str">
        <f>"14415"</f>
        <v>14415</v>
      </c>
      <c r="C21609" s="1">
        <v>4.8814300637514697E-5</v>
      </c>
      <c r="D21609" s="1">
        <v>0</v>
      </c>
      <c r="E21609" s="1">
        <v>2.7120546151688002E-3</v>
      </c>
      <c r="F21609" s="1">
        <v>1.4480364277115701E-4</v>
      </c>
    </row>
    <row r="21610" spans="1:6" x14ac:dyDescent="0.25">
      <c r="A21610" s="2" t="str">
        <f t="shared" si="772"/>
        <v>40380</v>
      </c>
      <c r="B21610" s="2" t="str">
        <f>"14418"</f>
        <v>14418</v>
      </c>
      <c r="C21610" s="1">
        <v>1.51910103583945E-3</v>
      </c>
      <c r="D21610" s="1">
        <v>8.0687864040949E-4</v>
      </c>
      <c r="E21610" s="1">
        <v>1.8703824932198601E-4</v>
      </c>
      <c r="F21610" s="1">
        <v>1.4201224724785799E-3</v>
      </c>
    </row>
    <row r="21611" spans="1:6" x14ac:dyDescent="0.25">
      <c r="A21611" s="2" t="str">
        <f t="shared" si="772"/>
        <v>40380</v>
      </c>
      <c r="B21611" s="2" t="str">
        <f>"14614"</f>
        <v>14614</v>
      </c>
      <c r="C21611" s="1">
        <v>5.9358189575217895E-4</v>
      </c>
      <c r="D21611" s="1">
        <v>2.5139312640258201E-2</v>
      </c>
      <c r="E21611" s="1">
        <v>6.3593004769475301E-3</v>
      </c>
      <c r="F21611" s="1">
        <v>2.5070221043632999E-3</v>
      </c>
    </row>
    <row r="21612" spans="1:6" x14ac:dyDescent="0.25">
      <c r="A21612" s="2" t="str">
        <f t="shared" si="772"/>
        <v>40380</v>
      </c>
      <c r="B21612" s="2" t="str">
        <f>"14592"</f>
        <v>14592</v>
      </c>
      <c r="C21612" s="1">
        <v>1.89399486473557E-4</v>
      </c>
      <c r="D21612" s="1">
        <v>0</v>
      </c>
      <c r="E21612" s="1">
        <v>4.6759562330496503E-5</v>
      </c>
      <c r="F21612" s="1">
        <v>1.7097297580209001E-4</v>
      </c>
    </row>
    <row r="21613" spans="1:6" x14ac:dyDescent="0.25">
      <c r="A21613" s="2" t="str">
        <f t="shared" si="772"/>
        <v>40380</v>
      </c>
      <c r="B21613" s="2" t="str">
        <f>"14602"</f>
        <v>14602</v>
      </c>
      <c r="C21613" s="1">
        <v>1.14420720694334E-3</v>
      </c>
      <c r="D21613" s="1">
        <v>2.6223555813308401E-3</v>
      </c>
      <c r="E21613" s="1">
        <v>9.35191246609931E-5</v>
      </c>
      <c r="F21613" s="1">
        <v>1.2072785638270001E-3</v>
      </c>
    </row>
    <row r="21614" spans="1:6" x14ac:dyDescent="0.25">
      <c r="A21614" s="2" t="str">
        <f t="shared" si="772"/>
        <v>40380</v>
      </c>
      <c r="B21614" s="2" t="str">
        <f>"14610"</f>
        <v>14610</v>
      </c>
      <c r="C21614" s="1">
        <v>1.5722109949330699E-2</v>
      </c>
      <c r="D21614" s="1">
        <v>1.8381704026828701E-2</v>
      </c>
      <c r="E21614" s="1">
        <v>2.3333021602917701E-2</v>
      </c>
      <c r="F21614" s="1">
        <v>1.6190094035136601E-2</v>
      </c>
    </row>
    <row r="21615" spans="1:6" x14ac:dyDescent="0.25">
      <c r="A21615" s="2" t="str">
        <f t="shared" si="772"/>
        <v>40380</v>
      </c>
      <c r="B21615" s="2" t="str">
        <f>"14873"</f>
        <v>14873</v>
      </c>
      <c r="C21615" s="1">
        <v>1.9525720255005899E-6</v>
      </c>
      <c r="D21615" s="1">
        <v>0</v>
      </c>
      <c r="E21615" s="1">
        <v>0</v>
      </c>
      <c r="F21615" s="1">
        <v>1.7446222020621401E-6</v>
      </c>
    </row>
    <row r="21616" spans="1:6" x14ac:dyDescent="0.25">
      <c r="A21616" s="2" t="str">
        <f t="shared" si="772"/>
        <v>40380</v>
      </c>
      <c r="B21616" s="2" t="str">
        <f>"14842"</f>
        <v>14842</v>
      </c>
      <c r="C21616" s="1">
        <v>9.1185113590877499E-4</v>
      </c>
      <c r="D21616" s="1">
        <v>3.53009405179152E-4</v>
      </c>
      <c r="E21616" s="1">
        <v>1.4027868699148901E-4</v>
      </c>
      <c r="F21616" s="1">
        <v>8.4439714579807705E-4</v>
      </c>
    </row>
    <row r="21617" spans="1:6" x14ac:dyDescent="0.25">
      <c r="A21617" s="2" t="str">
        <f t="shared" si="772"/>
        <v>40380</v>
      </c>
      <c r="B21617" s="2" t="str">
        <f>"14652"</f>
        <v>14652</v>
      </c>
      <c r="C21617" s="1">
        <v>0</v>
      </c>
      <c r="D21617" s="1">
        <v>0</v>
      </c>
      <c r="E21617" s="1">
        <v>4.6759562330496503E-5</v>
      </c>
      <c r="F21617" s="1">
        <v>1.7446222020621401E-6</v>
      </c>
    </row>
    <row r="21618" spans="1:6" x14ac:dyDescent="0.25">
      <c r="A21618" s="2" t="str">
        <f t="shared" si="772"/>
        <v>40380</v>
      </c>
      <c r="B21618" s="2" t="str">
        <f>"14649"</f>
        <v>14649</v>
      </c>
      <c r="C21618" s="1">
        <v>0</v>
      </c>
      <c r="D21618" s="1">
        <v>0</v>
      </c>
      <c r="E21618" s="1">
        <v>4.6759562330496503E-5</v>
      </c>
      <c r="F21618" s="1">
        <v>1.7446222020621401E-6</v>
      </c>
    </row>
    <row r="21619" spans="1:6" x14ac:dyDescent="0.25">
      <c r="A21619" s="2" t="str">
        <f t="shared" si="772"/>
        <v>40380</v>
      </c>
      <c r="B21619" s="2" t="str">
        <f>"14556"</f>
        <v>14556</v>
      </c>
      <c r="C21619" s="1">
        <v>2.5383436331507601E-5</v>
      </c>
      <c r="D21619" s="1">
        <v>7.5644872538389694E-5</v>
      </c>
      <c r="E21619" s="1">
        <v>4.6759562330496503E-5</v>
      </c>
      <c r="F21619" s="1">
        <v>2.9658577435056401E-5</v>
      </c>
    </row>
    <row r="21620" spans="1:6" x14ac:dyDescent="0.25">
      <c r="A21620" s="2" t="str">
        <f t="shared" si="772"/>
        <v>40380</v>
      </c>
      <c r="B21620" s="2" t="str">
        <f>"14564"</f>
        <v>14564</v>
      </c>
      <c r="C21620" s="1">
        <v>1.43982661160413E-2</v>
      </c>
      <c r="D21620" s="1">
        <v>2.8039032754229799E-2</v>
      </c>
      <c r="E21620" s="1">
        <v>1.0193584588048201E-2</v>
      </c>
      <c r="F21620" s="1">
        <v>1.5185191646748799E-2</v>
      </c>
    </row>
    <row r="21621" spans="1:6" x14ac:dyDescent="0.25">
      <c r="A21621" s="2" t="str">
        <f t="shared" si="772"/>
        <v>40380</v>
      </c>
      <c r="B21621" s="2" t="str">
        <f>"14560"</f>
        <v>14560</v>
      </c>
      <c r="C21621" s="1">
        <v>2.1204932196936398E-3</v>
      </c>
      <c r="D21621" s="1">
        <v>4.7908419274313499E-4</v>
      </c>
      <c r="E21621" s="1">
        <v>4.2083606097446903E-4</v>
      </c>
      <c r="F21621" s="1">
        <v>1.94350913309722E-3</v>
      </c>
    </row>
    <row r="21622" spans="1:6" x14ac:dyDescent="0.25">
      <c r="A21622" s="2" t="str">
        <f t="shared" si="772"/>
        <v>40380</v>
      </c>
      <c r="B21622" s="2" t="str">
        <f>"14486"</f>
        <v>14486</v>
      </c>
      <c r="C21622" s="1">
        <v>2.9874351990159001E-4</v>
      </c>
      <c r="D21622" s="1">
        <v>1.2607478756398199E-4</v>
      </c>
      <c r="E21622" s="1">
        <v>4.6759562330496503E-5</v>
      </c>
      <c r="F21622" s="1">
        <v>2.7739493012788002E-4</v>
      </c>
    </row>
    <row r="21623" spans="1:6" x14ac:dyDescent="0.25">
      <c r="A21623" s="2" t="str">
        <f t="shared" si="772"/>
        <v>40380</v>
      </c>
      <c r="B21623" s="2" t="str">
        <f>"14515"</f>
        <v>14515</v>
      </c>
      <c r="C21623" s="1">
        <v>3.1241152408009398E-5</v>
      </c>
      <c r="D21623" s="1">
        <v>0</v>
      </c>
      <c r="E21623" s="1">
        <v>4.6759562330496503E-5</v>
      </c>
      <c r="F21623" s="1">
        <v>2.9658577435056401E-5</v>
      </c>
    </row>
    <row r="21624" spans="1:6" x14ac:dyDescent="0.25">
      <c r="A21624" s="2" t="str">
        <f t="shared" ref="A21624:A21655" si="773">"40380"</f>
        <v>40380</v>
      </c>
      <c r="B21624" s="2" t="str">
        <f>"14480"</f>
        <v>14480</v>
      </c>
      <c r="C21624" s="1">
        <v>1.8979000087865701E-3</v>
      </c>
      <c r="D21624" s="1">
        <v>3.7570286694066902E-3</v>
      </c>
      <c r="E21624" s="1">
        <v>1.02871037127092E-3</v>
      </c>
      <c r="F21624" s="1">
        <v>1.9941031769570199E-3</v>
      </c>
    </row>
    <row r="21625" spans="1:6" x14ac:dyDescent="0.25">
      <c r="A21625" s="2" t="str">
        <f t="shared" si="773"/>
        <v>40380</v>
      </c>
      <c r="B21625" s="2" t="str">
        <f>"14487"</f>
        <v>14487</v>
      </c>
      <c r="C21625" s="1">
        <v>5.1391695711175498E-3</v>
      </c>
      <c r="D21625" s="1">
        <v>1.18510300310143E-3</v>
      </c>
      <c r="E21625" s="1">
        <v>1.7301038062283701E-3</v>
      </c>
      <c r="F21625" s="1">
        <v>4.7383939008007799E-3</v>
      </c>
    </row>
    <row r="21626" spans="1:6" x14ac:dyDescent="0.25">
      <c r="A21626" s="2" t="str">
        <f t="shared" si="773"/>
        <v>40380</v>
      </c>
      <c r="B21626" s="2" t="str">
        <f>"14471"</f>
        <v>14471</v>
      </c>
      <c r="C21626" s="1">
        <v>3.0167237793984102E-3</v>
      </c>
      <c r="D21626" s="1">
        <v>1.53811240828059E-3</v>
      </c>
      <c r="E21626" s="1">
        <v>8.4167212194893805E-4</v>
      </c>
      <c r="F21626" s="1">
        <v>2.8332664561489199E-3</v>
      </c>
    </row>
    <row r="21627" spans="1:6" x14ac:dyDescent="0.25">
      <c r="A21627" s="2" t="str">
        <f t="shared" si="773"/>
        <v>40380</v>
      </c>
      <c r="B21627" s="2" t="str">
        <f>"14429"</f>
        <v>14429</v>
      </c>
      <c r="C21627" s="1">
        <v>0</v>
      </c>
      <c r="D21627" s="1">
        <v>0</v>
      </c>
      <c r="E21627" s="1">
        <v>4.6759562330496503E-5</v>
      </c>
      <c r="F21627" s="1">
        <v>1.7446222020621401E-6</v>
      </c>
    </row>
    <row r="21628" spans="1:6" x14ac:dyDescent="0.25">
      <c r="A21628" s="2" t="str">
        <f t="shared" si="773"/>
        <v>40380</v>
      </c>
      <c r="B21628" s="2" t="str">
        <f>"14441"</f>
        <v>14441</v>
      </c>
      <c r="C21628" s="1">
        <v>2.4797664723857498E-4</v>
      </c>
      <c r="D21628" s="1">
        <v>0</v>
      </c>
      <c r="E21628" s="1">
        <v>1.4027868699148901E-4</v>
      </c>
      <c r="F21628" s="1">
        <v>2.2680088626807801E-4</v>
      </c>
    </row>
    <row r="21629" spans="1:6" x14ac:dyDescent="0.25">
      <c r="A21629" s="2" t="str">
        <f t="shared" si="773"/>
        <v>40380</v>
      </c>
      <c r="B21629" s="2" t="str">
        <f>"14450"</f>
        <v>14450</v>
      </c>
      <c r="C21629" s="1">
        <v>3.7450331449101301E-2</v>
      </c>
      <c r="D21629" s="1">
        <v>3.4040192642275299E-2</v>
      </c>
      <c r="E21629" s="1">
        <v>3.7033573365753199E-2</v>
      </c>
      <c r="F21629" s="1">
        <v>3.7198834592369001E-2</v>
      </c>
    </row>
    <row r="21630" spans="1:6" x14ac:dyDescent="0.25">
      <c r="A21630" s="2" t="str">
        <f t="shared" si="773"/>
        <v>40380</v>
      </c>
      <c r="B21630" s="2" t="str">
        <f>"14423"</f>
        <v>14423</v>
      </c>
      <c r="C21630" s="1">
        <v>3.9676263558171996E-3</v>
      </c>
      <c r="D21630" s="1">
        <v>3.4544491792531302E-3</v>
      </c>
      <c r="E21630" s="1">
        <v>3.6004862994482301E-3</v>
      </c>
      <c r="F21630" s="1">
        <v>3.9184214658315704E-3</v>
      </c>
    </row>
    <row r="21631" spans="1:6" x14ac:dyDescent="0.25">
      <c r="A21631" s="2" t="str">
        <f t="shared" si="773"/>
        <v>40380</v>
      </c>
      <c r="B21631" s="2" t="str">
        <f>"14414"</f>
        <v>14414</v>
      </c>
      <c r="C21631" s="1">
        <v>6.1291235880463497E-3</v>
      </c>
      <c r="D21631" s="1">
        <v>7.5140573388133803E-3</v>
      </c>
      <c r="E21631" s="1">
        <v>6.63985785093051E-3</v>
      </c>
      <c r="F21631" s="1">
        <v>6.2440028611804102E-3</v>
      </c>
    </row>
    <row r="21632" spans="1:6" x14ac:dyDescent="0.25">
      <c r="A21632" s="2" t="str">
        <f t="shared" si="773"/>
        <v>40380</v>
      </c>
      <c r="B21632" s="2" t="str">
        <f>"14589"</f>
        <v>14589</v>
      </c>
      <c r="C21632" s="1">
        <v>6.6055511622684897E-3</v>
      </c>
      <c r="D21632" s="1">
        <v>2.9501500289971999E-3</v>
      </c>
      <c r="E21632" s="1">
        <v>1.91714205555036E-3</v>
      </c>
      <c r="F21632" s="1">
        <v>6.17770721750204E-3</v>
      </c>
    </row>
    <row r="21633" spans="1:6" x14ac:dyDescent="0.25">
      <c r="A21633" s="2" t="str">
        <f t="shared" si="773"/>
        <v>40380</v>
      </c>
      <c r="B21633" s="2" t="str">
        <f>"14857"</f>
        <v>14857</v>
      </c>
      <c r="C21633" s="1">
        <v>0</v>
      </c>
      <c r="D21633" s="1">
        <v>0</v>
      </c>
      <c r="E21633" s="1">
        <v>4.6759562330496503E-5</v>
      </c>
      <c r="F21633" s="1">
        <v>1.7446222020621401E-6</v>
      </c>
    </row>
    <row r="21634" spans="1:6" x14ac:dyDescent="0.25">
      <c r="A21634" s="2" t="str">
        <f t="shared" si="773"/>
        <v>40380</v>
      </c>
      <c r="B21634" s="2" t="str">
        <f>"14846"</f>
        <v>14846</v>
      </c>
      <c r="C21634" s="1">
        <v>4.9204815042614802E-4</v>
      </c>
      <c r="D21634" s="1">
        <v>1.2607478756398199E-4</v>
      </c>
      <c r="E21634" s="1">
        <v>4.6759562330496503E-5</v>
      </c>
      <c r="F21634" s="1">
        <v>4.5011252813203302E-4</v>
      </c>
    </row>
    <row r="21635" spans="1:6" x14ac:dyDescent="0.25">
      <c r="A21635" s="2" t="str">
        <f t="shared" si="773"/>
        <v>40380</v>
      </c>
      <c r="B21635" s="2" t="str">
        <f>"14653"</f>
        <v>14653</v>
      </c>
      <c r="C21635" s="1">
        <v>0</v>
      </c>
      <c r="D21635" s="1">
        <v>0</v>
      </c>
      <c r="E21635" s="1">
        <v>4.6759562330496503E-5</v>
      </c>
      <c r="F21635" s="1">
        <v>1.7446222020621401E-6</v>
      </c>
    </row>
    <row r="21636" spans="1:6" x14ac:dyDescent="0.25">
      <c r="A21636" s="2" t="str">
        <f t="shared" si="773"/>
        <v>40380</v>
      </c>
      <c r="B21636" s="2" t="str">
        <f>"14650"</f>
        <v>14650</v>
      </c>
      <c r="C21636" s="1">
        <v>0</v>
      </c>
      <c r="D21636" s="1">
        <v>0</v>
      </c>
      <c r="E21636" s="1">
        <v>4.6759562330496503E-5</v>
      </c>
      <c r="F21636" s="1">
        <v>1.7446222020621401E-6</v>
      </c>
    </row>
    <row r="21637" spans="1:6" x14ac:dyDescent="0.25">
      <c r="A21637" s="2" t="str">
        <f t="shared" si="773"/>
        <v>40380</v>
      </c>
      <c r="B21637" s="2" t="str">
        <f>"14837"</f>
        <v>14837</v>
      </c>
      <c r="C21637" s="1">
        <v>4.1023538255767402E-3</v>
      </c>
      <c r="D21637" s="1">
        <v>2.6223555813308401E-3</v>
      </c>
      <c r="E21637" s="1">
        <v>2.8055737398297899E-3</v>
      </c>
      <c r="F21637" s="1">
        <v>3.9515692876707503E-3</v>
      </c>
    </row>
    <row r="21638" spans="1:6" x14ac:dyDescent="0.25">
      <c r="A21638" s="2" t="str">
        <f t="shared" si="773"/>
        <v>40380</v>
      </c>
      <c r="B21638" s="2" t="str">
        <f>"14547"</f>
        <v>14547</v>
      </c>
      <c r="C21638" s="1">
        <v>5.8577160765017697E-6</v>
      </c>
      <c r="D21638" s="1">
        <v>0</v>
      </c>
      <c r="E21638" s="1">
        <v>4.6759562330496503E-5</v>
      </c>
      <c r="F21638" s="1">
        <v>6.9784888082485697E-6</v>
      </c>
    </row>
    <row r="21639" spans="1:6" x14ac:dyDescent="0.25">
      <c r="A21639" s="2" t="str">
        <f t="shared" si="773"/>
        <v>40380</v>
      </c>
      <c r="B21639" s="2" t="str">
        <f>"14530"</f>
        <v>14530</v>
      </c>
      <c r="C21639" s="1">
        <v>1.3668004178504101E-5</v>
      </c>
      <c r="D21639" s="1">
        <v>0</v>
      </c>
      <c r="E21639" s="1">
        <v>0</v>
      </c>
      <c r="F21639" s="1">
        <v>1.2212355414435E-5</v>
      </c>
    </row>
    <row r="21640" spans="1:6" x14ac:dyDescent="0.25">
      <c r="A21640" s="2" t="str">
        <f t="shared" si="773"/>
        <v>40380</v>
      </c>
      <c r="B21640" s="2" t="str">
        <f>"14568"</f>
        <v>14568</v>
      </c>
      <c r="C21640" s="1">
        <v>4.5358248152378702E-3</v>
      </c>
      <c r="D21640" s="1">
        <v>9.0773847046067698E-4</v>
      </c>
      <c r="E21640" s="1">
        <v>1.3560273075844001E-3</v>
      </c>
      <c r="F21640" s="1">
        <v>4.16615781852439E-3</v>
      </c>
    </row>
    <row r="21641" spans="1:6" x14ac:dyDescent="0.25">
      <c r="A21641" s="2" t="str">
        <f t="shared" si="773"/>
        <v>40380</v>
      </c>
      <c r="B21641" s="2" t="str">
        <f>"14559"</f>
        <v>14559</v>
      </c>
      <c r="C21641" s="1">
        <v>1.51285280535785E-2</v>
      </c>
      <c r="D21641" s="1">
        <v>1.27839834589878E-2</v>
      </c>
      <c r="E21641" s="1">
        <v>8.9778359674553398E-3</v>
      </c>
      <c r="F21641" s="1">
        <v>1.4736823740818901E-2</v>
      </c>
    </row>
    <row r="21642" spans="1:6" x14ac:dyDescent="0.25">
      <c r="A21642" s="2" t="str">
        <f t="shared" si="773"/>
        <v>40380</v>
      </c>
      <c r="B21642" s="2" t="str">
        <f>"14548"</f>
        <v>14548</v>
      </c>
      <c r="C21642" s="1">
        <v>3.3096095832235001E-3</v>
      </c>
      <c r="D21642" s="1">
        <v>1.3616077056910101E-3</v>
      </c>
      <c r="E21642" s="1">
        <v>1.3092677452539001E-3</v>
      </c>
      <c r="F21642" s="1">
        <v>3.10019365306442E-3</v>
      </c>
    </row>
    <row r="21643" spans="1:6" x14ac:dyDescent="0.25">
      <c r="A21643" s="2" t="str">
        <f t="shared" si="773"/>
        <v>40380</v>
      </c>
      <c r="B21643" s="2" t="str">
        <f>"14538"</f>
        <v>14538</v>
      </c>
      <c r="C21643" s="1">
        <v>0</v>
      </c>
      <c r="D21643" s="1">
        <v>0</v>
      </c>
      <c r="E21643" s="1">
        <v>4.6759562330496503E-5</v>
      </c>
      <c r="F21643" s="1">
        <v>1.7446222020621401E-6</v>
      </c>
    </row>
    <row r="21644" spans="1:6" x14ac:dyDescent="0.25">
      <c r="A21644" s="2" t="str">
        <f t="shared" si="773"/>
        <v>40380</v>
      </c>
      <c r="B21644" s="2" t="str">
        <f>"14518"</f>
        <v>14518</v>
      </c>
      <c r="C21644" s="1">
        <v>0</v>
      </c>
      <c r="D21644" s="1">
        <v>0</v>
      </c>
      <c r="E21644" s="1">
        <v>4.6759562330496503E-5</v>
      </c>
      <c r="F21644" s="1">
        <v>1.7446222020621401E-6</v>
      </c>
    </row>
    <row r="21645" spans="1:6" x14ac:dyDescent="0.25">
      <c r="A21645" s="2" t="str">
        <f t="shared" si="773"/>
        <v>40380</v>
      </c>
      <c r="B21645" s="2" t="str">
        <f>"14519"</f>
        <v>14519</v>
      </c>
      <c r="C21645" s="1">
        <v>1.14459772134844E-2</v>
      </c>
      <c r="D21645" s="1">
        <v>1.12963009657328E-2</v>
      </c>
      <c r="E21645" s="1">
        <v>5.19031141868512E-3</v>
      </c>
      <c r="F21645" s="1">
        <v>1.1202219159441E-2</v>
      </c>
    </row>
    <row r="21646" spans="1:6" x14ac:dyDescent="0.25">
      <c r="A21646" s="2" t="str">
        <f t="shared" si="773"/>
        <v>40380</v>
      </c>
      <c r="B21646" s="2" t="str">
        <f>"14513"</f>
        <v>14513</v>
      </c>
      <c r="C21646" s="1">
        <v>1.20200333889816E-2</v>
      </c>
      <c r="D21646" s="1">
        <v>1.43977407398068E-2</v>
      </c>
      <c r="E21646" s="1">
        <v>1.3326475264191499E-2</v>
      </c>
      <c r="F21646" s="1">
        <v>1.22332908808597E-2</v>
      </c>
    </row>
    <row r="21647" spans="1:6" x14ac:dyDescent="0.25">
      <c r="A21647" s="2" t="str">
        <f t="shared" si="773"/>
        <v>40380</v>
      </c>
      <c r="B21647" s="2" t="str">
        <f>"14504"</f>
        <v>14504</v>
      </c>
      <c r="C21647" s="1">
        <v>1.49762274355895E-3</v>
      </c>
      <c r="D21647" s="1">
        <v>4.53869235230338E-4</v>
      </c>
      <c r="E21647" s="1">
        <v>1.8703824932198601E-4</v>
      </c>
      <c r="F21647" s="1">
        <v>1.37650691742703E-3</v>
      </c>
    </row>
    <row r="21648" spans="1:6" x14ac:dyDescent="0.25">
      <c r="A21648" s="2" t="str">
        <f t="shared" si="773"/>
        <v>40380</v>
      </c>
      <c r="B21648" s="2" t="str">
        <f>"14489"</f>
        <v>14489</v>
      </c>
      <c r="C21648" s="1">
        <v>6.1486493083013497E-3</v>
      </c>
      <c r="D21648" s="1">
        <v>6.6063188683527004E-3</v>
      </c>
      <c r="E21648" s="1">
        <v>5.0500327316936296E-3</v>
      </c>
      <c r="F21648" s="1">
        <v>6.1393255290566797E-3</v>
      </c>
    </row>
    <row r="21649" spans="1:6" x14ac:dyDescent="0.25">
      <c r="A21649" s="2" t="str">
        <f t="shared" si="773"/>
        <v>40380</v>
      </c>
      <c r="B21649" s="2" t="str">
        <f>"14478"</f>
        <v>14478</v>
      </c>
      <c r="C21649" s="1">
        <v>3.2002655497954599E-3</v>
      </c>
      <c r="D21649" s="1">
        <v>7.8166368289669399E-4</v>
      </c>
      <c r="E21649" s="1">
        <v>1.5898251192368799E-3</v>
      </c>
      <c r="F21649" s="1">
        <v>2.9728362323138899E-3</v>
      </c>
    </row>
    <row r="21650" spans="1:6" x14ac:dyDescent="0.25">
      <c r="A21650" s="2" t="str">
        <f t="shared" si="773"/>
        <v>40380</v>
      </c>
      <c r="B21650" s="2" t="str">
        <f>"14476"</f>
        <v>14476</v>
      </c>
      <c r="C21650" s="1">
        <v>1.7885559753585401E-3</v>
      </c>
      <c r="D21650" s="1">
        <v>4.2865427771754199E-4</v>
      </c>
      <c r="E21650" s="1">
        <v>3.2731693631347599E-4</v>
      </c>
      <c r="F21650" s="1">
        <v>1.6399448699384101E-3</v>
      </c>
    </row>
    <row r="21651" spans="1:6" x14ac:dyDescent="0.25">
      <c r="A21651" s="2" t="str">
        <f t="shared" si="773"/>
        <v>40380</v>
      </c>
      <c r="B21651" s="2" t="str">
        <f>"14527"</f>
        <v>14527</v>
      </c>
      <c r="C21651" s="1">
        <v>1.2988509113629899E-2</v>
      </c>
      <c r="D21651" s="1">
        <v>1.61627877657026E-2</v>
      </c>
      <c r="E21651" s="1">
        <v>8.8843168427943497E-3</v>
      </c>
      <c r="F21651" s="1">
        <v>1.3055007938031001E-2</v>
      </c>
    </row>
    <row r="21652" spans="1:6" x14ac:dyDescent="0.25">
      <c r="A21652" s="2" t="str">
        <f t="shared" si="773"/>
        <v>40380</v>
      </c>
      <c r="B21652" s="2" t="str">
        <f>"14430"</f>
        <v>14430</v>
      </c>
      <c r="C21652" s="1">
        <v>0</v>
      </c>
      <c r="D21652" s="1">
        <v>0</v>
      </c>
      <c r="E21652" s="1">
        <v>4.6759562330496503E-5</v>
      </c>
      <c r="F21652" s="1">
        <v>1.7446222020621401E-6</v>
      </c>
    </row>
    <row r="21653" spans="1:6" x14ac:dyDescent="0.25">
      <c r="A21653" s="2" t="str">
        <f t="shared" si="773"/>
        <v>40380</v>
      </c>
      <c r="B21653" s="2" t="str">
        <f>"14463"</f>
        <v>14463</v>
      </c>
      <c r="C21653" s="1">
        <v>1.7182633824405099E-4</v>
      </c>
      <c r="D21653" s="1">
        <v>0</v>
      </c>
      <c r="E21653" s="1">
        <v>4.6759562330496503E-5</v>
      </c>
      <c r="F21653" s="1">
        <v>1.5527137598352999E-4</v>
      </c>
    </row>
    <row r="21654" spans="1:6" x14ac:dyDescent="0.25">
      <c r="A21654" s="2" t="str">
        <f t="shared" si="773"/>
        <v>40380</v>
      </c>
      <c r="B21654" s="2" t="str">
        <f>"14452"</f>
        <v>14452</v>
      </c>
      <c r="C21654" s="1">
        <v>0</v>
      </c>
      <c r="D21654" s="1">
        <v>0</v>
      </c>
      <c r="E21654" s="1">
        <v>4.6759562330496503E-5</v>
      </c>
      <c r="F21654" s="1">
        <v>1.7446222020621401E-6</v>
      </c>
    </row>
    <row r="21655" spans="1:6" x14ac:dyDescent="0.25">
      <c r="A21655" s="2" t="str">
        <f t="shared" si="773"/>
        <v>40380</v>
      </c>
      <c r="B21655" s="2" t="str">
        <f>"14456"</f>
        <v>14456</v>
      </c>
      <c r="C21655" s="1">
        <v>2.23315662556502E-2</v>
      </c>
      <c r="D21655" s="1">
        <v>2.7232154113820298E-2</v>
      </c>
      <c r="E21655" s="1">
        <v>1.8189469746563099E-2</v>
      </c>
      <c r="F21655" s="1">
        <v>2.2516094139814001E-2</v>
      </c>
    </row>
    <row r="21656" spans="1:6" x14ac:dyDescent="0.25">
      <c r="A21656" s="2" t="str">
        <f t="shared" ref="A21656:A21687" si="774">"40380"</f>
        <v>40380</v>
      </c>
      <c r="B21656" s="2" t="str">
        <f>"14435"</f>
        <v>14435</v>
      </c>
      <c r="C21656" s="1">
        <v>2.9971980591434002E-3</v>
      </c>
      <c r="D21656" s="1">
        <v>3.0257949015355899E-4</v>
      </c>
      <c r="E21656" s="1">
        <v>2.3379781165248201E-4</v>
      </c>
      <c r="F21656" s="1">
        <v>2.7076536576004402E-3</v>
      </c>
    </row>
    <row r="21657" spans="1:6" x14ac:dyDescent="0.25">
      <c r="A21657" s="2" t="str">
        <f t="shared" si="774"/>
        <v>40380</v>
      </c>
      <c r="B21657" s="2" t="str">
        <f>"14433"</f>
        <v>14433</v>
      </c>
      <c r="C21657" s="1">
        <v>3.5322027941305598E-3</v>
      </c>
      <c r="D21657" s="1">
        <v>2.8492901989460098E-3</v>
      </c>
      <c r="E21657" s="1">
        <v>1.9639016178808499E-3</v>
      </c>
      <c r="F21657" s="1">
        <v>3.42643800485004E-3</v>
      </c>
    </row>
    <row r="21658" spans="1:6" x14ac:dyDescent="0.25">
      <c r="A21658" s="2" t="str">
        <f t="shared" si="774"/>
        <v>40380</v>
      </c>
      <c r="B21658" s="2" t="str">
        <f>"14432"</f>
        <v>14432</v>
      </c>
      <c r="C21658" s="1">
        <v>4.8579991994454601E-3</v>
      </c>
      <c r="D21658" s="1">
        <v>2.7484303688948201E-3</v>
      </c>
      <c r="E21658" s="1">
        <v>2.7120546151688002E-3</v>
      </c>
      <c r="F21658" s="1">
        <v>4.6319719464749899E-3</v>
      </c>
    </row>
    <row r="21659" spans="1:6" x14ac:dyDescent="0.25">
      <c r="A21659" s="2" t="str">
        <f t="shared" si="774"/>
        <v>40380</v>
      </c>
      <c r="B21659" s="2" t="str">
        <f>"13165"</f>
        <v>13165</v>
      </c>
      <c r="C21659" s="1">
        <v>1.9525720255005899E-6</v>
      </c>
      <c r="D21659" s="1">
        <v>0</v>
      </c>
      <c r="E21659" s="1">
        <v>0</v>
      </c>
      <c r="F21659" s="1">
        <v>1.7446222020621401E-6</v>
      </c>
    </row>
    <row r="21660" spans="1:6" x14ac:dyDescent="0.25">
      <c r="A21660" s="2" t="str">
        <f t="shared" si="774"/>
        <v>40380</v>
      </c>
      <c r="B21660" s="2" t="str">
        <f>"14612"</f>
        <v>14612</v>
      </c>
      <c r="C21660" s="1">
        <v>3.16746233976705E-2</v>
      </c>
      <c r="D21660" s="1">
        <v>1.15988804558864E-2</v>
      </c>
      <c r="E21660" s="1">
        <v>3.6846535116431302E-2</v>
      </c>
      <c r="F21660" s="1">
        <v>3.0478549870025601E-2</v>
      </c>
    </row>
    <row r="21661" spans="1:6" x14ac:dyDescent="0.25">
      <c r="A21661" s="2" t="str">
        <f t="shared" si="774"/>
        <v>40380</v>
      </c>
      <c r="B21661" s="2" t="str">
        <f>"14585"</f>
        <v>14585</v>
      </c>
      <c r="C21661" s="1">
        <v>1.3863261381054099E-4</v>
      </c>
      <c r="D21661" s="1">
        <v>0</v>
      </c>
      <c r="E21661" s="1">
        <v>4.6759562330496503E-5</v>
      </c>
      <c r="F21661" s="1">
        <v>1.25612798548474E-4</v>
      </c>
    </row>
    <row r="21662" spans="1:6" x14ac:dyDescent="0.25">
      <c r="A21662" s="2" t="str">
        <f t="shared" si="774"/>
        <v>40380</v>
      </c>
      <c r="B21662" s="2" t="str">
        <f>"14603"</f>
        <v>14603</v>
      </c>
      <c r="C21662" s="1">
        <v>2.3098927061671898E-3</v>
      </c>
      <c r="D21662" s="1">
        <v>4.68998209738016E-3</v>
      </c>
      <c r="E21662" s="1">
        <v>4.6759562330496503E-5</v>
      </c>
      <c r="F21662" s="1">
        <v>2.3901324168251301E-3</v>
      </c>
    </row>
    <row r="21663" spans="1:6" x14ac:dyDescent="0.25">
      <c r="A21663" s="2" t="str">
        <f t="shared" si="774"/>
        <v>40380</v>
      </c>
      <c r="B21663" s="2" t="str">
        <f>"14609"</f>
        <v>14609</v>
      </c>
      <c r="C21663" s="1">
        <v>3.8077107069286999E-2</v>
      </c>
      <c r="D21663" s="1">
        <v>2.6803499836102699E-2</v>
      </c>
      <c r="E21663" s="1">
        <v>2.6980267464696499E-2</v>
      </c>
      <c r="F21663" s="1">
        <v>3.6883057973795701E-2</v>
      </c>
    </row>
    <row r="21664" spans="1:6" x14ac:dyDescent="0.25">
      <c r="A21664" s="2" t="str">
        <f t="shared" si="774"/>
        <v>40380</v>
      </c>
      <c r="B21664" s="2" t="str">
        <f>"14639"</f>
        <v>14639</v>
      </c>
      <c r="C21664" s="1">
        <v>0</v>
      </c>
      <c r="D21664" s="1">
        <v>0</v>
      </c>
      <c r="E21664" s="1">
        <v>4.6759562330496503E-5</v>
      </c>
      <c r="F21664" s="1">
        <v>1.7446222020621401E-6</v>
      </c>
    </row>
    <row r="21665" spans="1:6" x14ac:dyDescent="0.25">
      <c r="A21665" s="2" t="str">
        <f t="shared" si="774"/>
        <v>40380</v>
      </c>
      <c r="B21665" s="2" t="str">
        <f>"14638"</f>
        <v>14638</v>
      </c>
      <c r="C21665" s="1">
        <v>0</v>
      </c>
      <c r="D21665" s="1">
        <v>0</v>
      </c>
      <c r="E21665" s="1">
        <v>4.6759562330496503E-5</v>
      </c>
      <c r="F21665" s="1">
        <v>1.7446222020621401E-6</v>
      </c>
    </row>
    <row r="21666" spans="1:6" x14ac:dyDescent="0.25">
      <c r="A21666" s="2" t="str">
        <f t="shared" si="774"/>
        <v>40380</v>
      </c>
      <c r="B21666" s="2" t="str">
        <f>"14651"</f>
        <v>14651</v>
      </c>
      <c r="C21666" s="1">
        <v>0</v>
      </c>
      <c r="D21666" s="1">
        <v>0</v>
      </c>
      <c r="E21666" s="1">
        <v>4.6759562330496503E-5</v>
      </c>
      <c r="F21666" s="1">
        <v>1.7446222020621401E-6</v>
      </c>
    </row>
    <row r="21667" spans="1:6" x14ac:dyDescent="0.25">
      <c r="A21667" s="2" t="str">
        <f t="shared" si="774"/>
        <v>40380</v>
      </c>
      <c r="B21667" s="2" t="str">
        <f>"14545"</f>
        <v>14545</v>
      </c>
      <c r="C21667" s="1">
        <v>1.2886975368303801E-4</v>
      </c>
      <c r="D21667" s="1">
        <v>1.76504702589576E-4</v>
      </c>
      <c r="E21667" s="1">
        <v>4.6759562330496503E-5</v>
      </c>
      <c r="F21667" s="1">
        <v>1.2910204295259799E-4</v>
      </c>
    </row>
    <row r="21668" spans="1:6" x14ac:dyDescent="0.25">
      <c r="A21668" s="2" t="str">
        <f t="shared" si="774"/>
        <v>40380</v>
      </c>
      <c r="B21668" s="2" t="str">
        <f>"14551"</f>
        <v>14551</v>
      </c>
      <c r="C21668" s="1">
        <v>4.6939831493034096E-3</v>
      </c>
      <c r="D21668" s="1">
        <v>4.8160568849441397E-3</v>
      </c>
      <c r="E21668" s="1">
        <v>4.6291966707191603E-3</v>
      </c>
      <c r="F21668" s="1">
        <v>4.7000122123554101E-3</v>
      </c>
    </row>
    <row r="21669" spans="1:6" x14ac:dyDescent="0.25">
      <c r="A21669" s="2" t="str">
        <f t="shared" si="774"/>
        <v>40380</v>
      </c>
      <c r="B21669" s="2" t="str">
        <f>"14544"</f>
        <v>14544</v>
      </c>
      <c r="C21669" s="1">
        <v>1.8764217165060601E-3</v>
      </c>
      <c r="D21669" s="1">
        <v>4.03439320204745E-4</v>
      </c>
      <c r="E21669" s="1">
        <v>6.5463387262695199E-4</v>
      </c>
      <c r="F21669" s="1">
        <v>1.72892060224358E-3</v>
      </c>
    </row>
    <row r="21670" spans="1:6" x14ac:dyDescent="0.25">
      <c r="A21670" s="2" t="str">
        <f t="shared" si="774"/>
        <v>40380</v>
      </c>
      <c r="B21670" s="2" t="str">
        <f>"14532"</f>
        <v>14532</v>
      </c>
      <c r="C21670" s="1">
        <v>3.5224399340030598E-3</v>
      </c>
      <c r="D21670" s="1">
        <v>3.07622481656118E-3</v>
      </c>
      <c r="E21670" s="1">
        <v>3.6472458617787299E-3</v>
      </c>
      <c r="F21670" s="1">
        <v>3.4962228929325298E-3</v>
      </c>
    </row>
    <row r="21671" spans="1:6" x14ac:dyDescent="0.25">
      <c r="A21671" s="2" t="str">
        <f t="shared" si="774"/>
        <v>40380</v>
      </c>
      <c r="B21671" s="2" t="str">
        <f>"14520"</f>
        <v>14520</v>
      </c>
      <c r="C21671" s="1">
        <v>0</v>
      </c>
      <c r="D21671" s="1">
        <v>0</v>
      </c>
      <c r="E21671" s="1">
        <v>4.6759562330496503E-5</v>
      </c>
      <c r="F21671" s="1">
        <v>1.7446222020621401E-6</v>
      </c>
    </row>
    <row r="21672" spans="1:6" x14ac:dyDescent="0.25">
      <c r="A21672" s="2" t="str">
        <f t="shared" si="774"/>
        <v>40380</v>
      </c>
      <c r="B21672" s="2" t="str">
        <f>"14512"</f>
        <v>14512</v>
      </c>
      <c r="C21672" s="1">
        <v>4.5826865438498799E-3</v>
      </c>
      <c r="D21672" s="1">
        <v>2.2693461761516898E-3</v>
      </c>
      <c r="E21672" s="1">
        <v>1.3560273075844001E-3</v>
      </c>
      <c r="F21672" s="1">
        <v>4.3022383502852399E-3</v>
      </c>
    </row>
    <row r="21673" spans="1:6" x14ac:dyDescent="0.25">
      <c r="A21673" s="2" t="str">
        <f t="shared" si="774"/>
        <v>40380</v>
      </c>
      <c r="B21673" s="2" t="str">
        <f>"14506"</f>
        <v>14506</v>
      </c>
      <c r="C21673" s="1">
        <v>1.58548848470647E-3</v>
      </c>
      <c r="D21673" s="1">
        <v>4.68998209738016E-3</v>
      </c>
      <c r="E21673" s="1">
        <v>4.2083606097446903E-4</v>
      </c>
      <c r="F21673" s="1">
        <v>1.75683455747657E-3</v>
      </c>
    </row>
    <row r="21674" spans="1:6" x14ac:dyDescent="0.25">
      <c r="A21674" s="2" t="str">
        <f t="shared" si="774"/>
        <v>40380</v>
      </c>
      <c r="B21674" s="2" t="str">
        <f>"14481"</f>
        <v>14481</v>
      </c>
      <c r="C21674" s="1">
        <v>1.53667418406896E-3</v>
      </c>
      <c r="D21674" s="1">
        <v>6.80803852845507E-4</v>
      </c>
      <c r="E21674" s="1">
        <v>6.0787431029645498E-4</v>
      </c>
      <c r="F21674" s="1">
        <v>1.44280256110539E-3</v>
      </c>
    </row>
    <row r="21675" spans="1:6" x14ac:dyDescent="0.25">
      <c r="A21675" s="2" t="str">
        <f t="shared" si="774"/>
        <v>40380</v>
      </c>
      <c r="B21675" s="2" t="str">
        <f>"14470"</f>
        <v>14470</v>
      </c>
      <c r="C21675" s="1">
        <v>6.6641283230335097E-3</v>
      </c>
      <c r="D21675" s="1">
        <v>3.1014397740739799E-3</v>
      </c>
      <c r="E21675" s="1">
        <v>3.36668848779575E-3</v>
      </c>
      <c r="F21675" s="1">
        <v>6.2945969050402098E-3</v>
      </c>
    </row>
    <row r="21676" spans="1:6" x14ac:dyDescent="0.25">
      <c r="A21676" s="2" t="str">
        <f t="shared" si="774"/>
        <v>40380</v>
      </c>
      <c r="B21676" s="2" t="str">
        <f>"14105"</f>
        <v>14105</v>
      </c>
      <c r="C21676" s="1">
        <v>1.7182633824405099E-4</v>
      </c>
      <c r="D21676" s="1">
        <v>7.5644872538389694E-5</v>
      </c>
      <c r="E21676" s="1">
        <v>1.4027868699148901E-4</v>
      </c>
      <c r="F21676" s="1">
        <v>1.6399448699384099E-4</v>
      </c>
    </row>
    <row r="21677" spans="1:6" x14ac:dyDescent="0.25">
      <c r="A21677" s="2" t="str">
        <f t="shared" si="774"/>
        <v>40380</v>
      </c>
      <c r="B21677" s="2" t="str">
        <f>"14103"</f>
        <v>14103</v>
      </c>
      <c r="C21677" s="1">
        <v>9.0716496304757404E-3</v>
      </c>
      <c r="D21677" s="1">
        <v>9.2034594921707492E-3</v>
      </c>
      <c r="E21677" s="1">
        <v>1.03806228373702E-2</v>
      </c>
      <c r="F21677" s="1">
        <v>9.1296079833911893E-3</v>
      </c>
    </row>
    <row r="21678" spans="1:6" x14ac:dyDescent="0.25">
      <c r="A21678" s="2" t="str">
        <f t="shared" si="774"/>
        <v>40380</v>
      </c>
      <c r="B21678" s="2" t="str">
        <f>"14461"</f>
        <v>14461</v>
      </c>
      <c r="C21678" s="1">
        <v>0</v>
      </c>
      <c r="D21678" s="1">
        <v>0</v>
      </c>
      <c r="E21678" s="1">
        <v>4.6759562330496503E-5</v>
      </c>
      <c r="F21678" s="1">
        <v>1.7446222020621401E-6</v>
      </c>
    </row>
    <row r="21679" spans="1:6" x14ac:dyDescent="0.25">
      <c r="A21679" s="2" t="str">
        <f t="shared" si="774"/>
        <v>40380</v>
      </c>
      <c r="B21679" s="2" t="str">
        <f>"14467"</f>
        <v>14467</v>
      </c>
      <c r="C21679" s="1">
        <v>1.01397065284245E-2</v>
      </c>
      <c r="D21679" s="1">
        <v>8.0435714465821092E-3</v>
      </c>
      <c r="E21679" s="1">
        <v>1.17366501449546E-2</v>
      </c>
      <c r="F21679" s="1">
        <v>1.0054257750484101E-2</v>
      </c>
    </row>
    <row r="21680" spans="1:6" x14ac:dyDescent="0.25">
      <c r="A21680" s="2" t="str">
        <f t="shared" si="774"/>
        <v>40380</v>
      </c>
      <c r="B21680" s="2" t="str">
        <f>"14445"</f>
        <v>14445</v>
      </c>
      <c r="C21680" s="1">
        <v>7.1210301770006498E-3</v>
      </c>
      <c r="D21680" s="1">
        <v>1.19266749035527E-2</v>
      </c>
      <c r="E21680" s="1">
        <v>9.02459552978584E-3</v>
      </c>
      <c r="F21680" s="1">
        <v>7.5245555574940202E-3</v>
      </c>
    </row>
    <row r="21681" spans="1:6" x14ac:dyDescent="0.25">
      <c r="A21681" s="2" t="str">
        <f t="shared" si="774"/>
        <v>40380</v>
      </c>
      <c r="B21681" s="2" t="str">
        <f>"14420"</f>
        <v>14420</v>
      </c>
      <c r="C21681" s="1">
        <v>2.0714836618535699E-2</v>
      </c>
      <c r="D21681" s="1">
        <v>1.43473108247812E-2</v>
      </c>
      <c r="E21681" s="1">
        <v>1.4682502571775899E-2</v>
      </c>
      <c r="F21681" s="1">
        <v>2.0049198346098099E-2</v>
      </c>
    </row>
    <row r="21682" spans="1:6" x14ac:dyDescent="0.25">
      <c r="A21682" s="2" t="str">
        <f t="shared" si="774"/>
        <v>40380</v>
      </c>
      <c r="B21682" s="2" t="str">
        <f>"14058"</f>
        <v>14058</v>
      </c>
      <c r="C21682" s="1">
        <v>7.4197736969022396E-5</v>
      </c>
      <c r="D21682" s="1">
        <v>7.5644872538389694E-5</v>
      </c>
      <c r="E21682" s="1">
        <v>0</v>
      </c>
      <c r="F21682" s="1">
        <v>7.1529510284547797E-5</v>
      </c>
    </row>
    <row r="21683" spans="1:6" x14ac:dyDescent="0.25">
      <c r="A21683" s="2" t="str">
        <f t="shared" si="774"/>
        <v>40380</v>
      </c>
      <c r="B21683" s="2" t="str">
        <f>"13148"</f>
        <v>13148</v>
      </c>
      <c r="C21683" s="1">
        <v>1.9525720255005899E-5</v>
      </c>
      <c r="D21683" s="1">
        <v>0</v>
      </c>
      <c r="E21683" s="1">
        <v>0</v>
      </c>
      <c r="F21683" s="1">
        <v>1.7446222020621399E-5</v>
      </c>
    </row>
    <row r="21684" spans="1:6" x14ac:dyDescent="0.25">
      <c r="A21684" s="2" t="str">
        <f t="shared" si="774"/>
        <v>40380</v>
      </c>
      <c r="B21684" s="2" t="str">
        <f>"14878"</f>
        <v>14878</v>
      </c>
      <c r="C21684" s="1">
        <v>2.0111491862656001E-4</v>
      </c>
      <c r="D21684" s="1">
        <v>2.26934617615169E-4</v>
      </c>
      <c r="E21684" s="1">
        <v>9.35191246609931E-5</v>
      </c>
      <c r="F21684" s="1">
        <v>1.98886931035084E-4</v>
      </c>
    </row>
    <row r="21685" spans="1:6" x14ac:dyDescent="0.25">
      <c r="A21685" s="2" t="str">
        <f t="shared" si="774"/>
        <v>40380</v>
      </c>
      <c r="B21685" s="2" t="str">
        <f>"14884"</f>
        <v>14884</v>
      </c>
      <c r="C21685" s="1">
        <v>1.9525720255005899E-6</v>
      </c>
      <c r="D21685" s="1">
        <v>0</v>
      </c>
      <c r="E21685" s="1">
        <v>0</v>
      </c>
      <c r="F21685" s="1">
        <v>1.7446222020621401E-6</v>
      </c>
    </row>
    <row r="21686" spans="1:6" x14ac:dyDescent="0.25">
      <c r="A21686" s="2" t="str">
        <f t="shared" si="774"/>
        <v>40380</v>
      </c>
      <c r="B21686" s="2" t="str">
        <f>"14618"</f>
        <v>14618</v>
      </c>
      <c r="C21686" s="1">
        <v>1.9332415624481299E-2</v>
      </c>
      <c r="D21686" s="1">
        <v>3.5401800347966403E-2</v>
      </c>
      <c r="E21686" s="1">
        <v>2.51098849714766E-2</v>
      </c>
      <c r="F21686" s="1">
        <v>2.0659816116819898E-2</v>
      </c>
    </row>
    <row r="21687" spans="1:6" x14ac:dyDescent="0.25">
      <c r="A21687" s="2" t="str">
        <f t="shared" si="774"/>
        <v>40380</v>
      </c>
      <c r="B21687" s="2" t="str">
        <f>"14616"</f>
        <v>14616</v>
      </c>
      <c r="C21687" s="1">
        <v>2.60746468285348E-2</v>
      </c>
      <c r="D21687" s="1">
        <v>1.34900022693461E-2</v>
      </c>
      <c r="E21687" s="1">
        <v>2.5998316655756099E-2</v>
      </c>
      <c r="F21687" s="1">
        <v>2.5201067708787599E-2</v>
      </c>
    </row>
    <row r="21688" spans="1:6" x14ac:dyDescent="0.25">
      <c r="A21688" s="2" t="str">
        <f t="shared" ref="A21688:A21719" si="775">"40380"</f>
        <v>40380</v>
      </c>
      <c r="B21688" s="2" t="str">
        <f>"14586"</f>
        <v>14586</v>
      </c>
      <c r="C21688" s="1">
        <v>9.5773657850803905E-3</v>
      </c>
      <c r="D21688" s="1">
        <v>3.6309538818427001E-3</v>
      </c>
      <c r="E21688" s="1">
        <v>4.2551201720751799E-3</v>
      </c>
      <c r="F21688" s="1">
        <v>8.9673581185994097E-3</v>
      </c>
    </row>
    <row r="21689" spans="1:6" x14ac:dyDescent="0.25">
      <c r="A21689" s="2" t="str">
        <f t="shared" si="775"/>
        <v>40380</v>
      </c>
      <c r="B21689" s="2" t="str">
        <f>"14647"</f>
        <v>14647</v>
      </c>
      <c r="C21689" s="1">
        <v>0</v>
      </c>
      <c r="D21689" s="1">
        <v>0</v>
      </c>
      <c r="E21689" s="1">
        <v>4.6759562330496503E-5</v>
      </c>
      <c r="F21689" s="1">
        <v>1.7446222020621401E-6</v>
      </c>
    </row>
    <row r="21690" spans="1:6" x14ac:dyDescent="0.25">
      <c r="A21690" s="2" t="str">
        <f t="shared" si="775"/>
        <v>40380</v>
      </c>
      <c r="B21690" s="2" t="str">
        <f>"14646"</f>
        <v>14646</v>
      </c>
      <c r="C21690" s="1">
        <v>0</v>
      </c>
      <c r="D21690" s="1">
        <v>0</v>
      </c>
      <c r="E21690" s="1">
        <v>4.6759562330496503E-5</v>
      </c>
      <c r="F21690" s="1">
        <v>1.7446222020621401E-6</v>
      </c>
    </row>
    <row r="21691" spans="1:6" x14ac:dyDescent="0.25">
      <c r="A21691" s="2" t="str">
        <f t="shared" si="775"/>
        <v>40380</v>
      </c>
      <c r="B21691" s="2" t="str">
        <f>"14561"</f>
        <v>14561</v>
      </c>
      <c r="C21691" s="1">
        <v>2.09901492741313E-3</v>
      </c>
      <c r="D21691" s="1">
        <v>1.0085983005118601E-3</v>
      </c>
      <c r="E21691" s="1">
        <v>3.2731693631347599E-4</v>
      </c>
      <c r="F21691" s="1">
        <v>1.95746611071372E-3</v>
      </c>
    </row>
    <row r="21692" spans="1:6" x14ac:dyDescent="0.25">
      <c r="A21692" s="2" t="str">
        <f t="shared" si="775"/>
        <v>40380</v>
      </c>
      <c r="B21692" s="2" t="str">
        <f>"14622"</f>
        <v>14622</v>
      </c>
      <c r="C21692" s="1">
        <v>1.1297581739546401E-2</v>
      </c>
      <c r="D21692" s="1">
        <v>1.20023197760911E-2</v>
      </c>
      <c r="E21692" s="1">
        <v>9.9597867763957706E-3</v>
      </c>
      <c r="F21692" s="1">
        <v>1.12964287583523E-2</v>
      </c>
    </row>
    <row r="21693" spans="1:6" x14ac:dyDescent="0.25">
      <c r="A21693" s="2" t="str">
        <f t="shared" si="775"/>
        <v>40380</v>
      </c>
      <c r="B21693" s="2" t="str">
        <f>"14525"</f>
        <v>14525</v>
      </c>
      <c r="C21693" s="1">
        <v>9.1770885198527702E-5</v>
      </c>
      <c r="D21693" s="1">
        <v>1.0085983005118601E-4</v>
      </c>
      <c r="E21693" s="1">
        <v>0</v>
      </c>
      <c r="F21693" s="1">
        <v>8.8975732305169298E-5</v>
      </c>
    </row>
    <row r="21694" spans="1:6" x14ac:dyDescent="0.25">
      <c r="A21694" s="2" t="str">
        <f t="shared" si="775"/>
        <v>40380</v>
      </c>
      <c r="B21694" s="2" t="str">
        <f>"14502"</f>
        <v>14502</v>
      </c>
      <c r="C21694" s="1">
        <v>9.5871286452078996E-3</v>
      </c>
      <c r="D21694" s="1">
        <v>9.9094783025290602E-3</v>
      </c>
      <c r="E21694" s="1">
        <v>6.5930982886000097E-3</v>
      </c>
      <c r="F21694" s="1">
        <v>9.4977232680263004E-3</v>
      </c>
    </row>
    <row r="21695" spans="1:6" x14ac:dyDescent="0.25">
      <c r="A21695" s="2" t="str">
        <f t="shared" si="775"/>
        <v>40380</v>
      </c>
      <c r="B21695" s="2" t="str">
        <f>"14125"</f>
        <v>14125</v>
      </c>
      <c r="C21695" s="1">
        <v>9.7628601275029496E-6</v>
      </c>
      <c r="D21695" s="1">
        <v>2.5214957512796502E-5</v>
      </c>
      <c r="E21695" s="1">
        <v>0</v>
      </c>
      <c r="F21695" s="1">
        <v>1.04677332123728E-5</v>
      </c>
    </row>
    <row r="21696" spans="1:6" x14ac:dyDescent="0.25">
      <c r="A21696" s="2" t="str">
        <f t="shared" si="775"/>
        <v>40380</v>
      </c>
      <c r="B21696" s="2" t="str">
        <f>"14464"</f>
        <v>14464</v>
      </c>
      <c r="C21696" s="1">
        <v>7.0468324400316303E-3</v>
      </c>
      <c r="D21696" s="1">
        <v>1.9667666859981298E-3</v>
      </c>
      <c r="E21696" s="1">
        <v>1.1222294959319101E-3</v>
      </c>
      <c r="F21696" s="1">
        <v>6.47429299185261E-3</v>
      </c>
    </row>
    <row r="21697" spans="1:6" x14ac:dyDescent="0.25">
      <c r="A21697" s="2" t="str">
        <f t="shared" si="775"/>
        <v>40380</v>
      </c>
      <c r="B21697" s="2" t="str">
        <f>"14454"</f>
        <v>14454</v>
      </c>
      <c r="C21697" s="1">
        <v>8.0973161897509392E-3</v>
      </c>
      <c r="D21697" s="1">
        <v>1.2884843289038999E-2</v>
      </c>
      <c r="E21697" s="1">
        <v>1.06611802113532E-2</v>
      </c>
      <c r="F21697" s="1">
        <v>8.5242240792756298E-3</v>
      </c>
    </row>
    <row r="21698" spans="1:6" x14ac:dyDescent="0.25">
      <c r="A21698" s="2" t="str">
        <f t="shared" si="775"/>
        <v>40380</v>
      </c>
      <c r="B21698" s="2" t="str">
        <f>"14422"</f>
        <v>14422</v>
      </c>
      <c r="C21698" s="1">
        <v>2.9288580382508801E-5</v>
      </c>
      <c r="D21698" s="1">
        <v>0</v>
      </c>
      <c r="E21698" s="1">
        <v>0</v>
      </c>
      <c r="F21698" s="1">
        <v>2.6169333030932099E-5</v>
      </c>
    </row>
    <row r="21699" spans="1:6" x14ac:dyDescent="0.25">
      <c r="A21699" s="2" t="str">
        <f t="shared" si="775"/>
        <v>40380</v>
      </c>
      <c r="B21699" s="2" t="str">
        <f>"14413"</f>
        <v>14413</v>
      </c>
      <c r="C21699" s="1">
        <v>0</v>
      </c>
      <c r="D21699" s="1">
        <v>0</v>
      </c>
      <c r="E21699" s="1">
        <v>4.6759562330496503E-5</v>
      </c>
      <c r="F21699" s="1">
        <v>1.7446222020621401E-6</v>
      </c>
    </row>
    <row r="21700" spans="1:6" x14ac:dyDescent="0.25">
      <c r="A21700" s="2" t="str">
        <f t="shared" si="775"/>
        <v>40380</v>
      </c>
      <c r="B21700" s="2" t="str">
        <f>"14012"</f>
        <v>14012</v>
      </c>
      <c r="C21700" s="1">
        <v>4.8814300637514697E-5</v>
      </c>
      <c r="D21700" s="1">
        <v>0</v>
      </c>
      <c r="E21700" s="1">
        <v>0</v>
      </c>
      <c r="F21700" s="1">
        <v>4.3615555051553501E-5</v>
      </c>
    </row>
    <row r="21701" spans="1:6" x14ac:dyDescent="0.25">
      <c r="A21701" s="2" t="str">
        <f t="shared" si="775"/>
        <v>40380</v>
      </c>
      <c r="B21701" s="2" t="str">
        <f>"13143"</f>
        <v>13143</v>
      </c>
      <c r="C21701" s="1">
        <v>1.58744105673198E-3</v>
      </c>
      <c r="D21701" s="1">
        <v>5.29514107768728E-4</v>
      </c>
      <c r="E21701" s="1">
        <v>7.0139343495744801E-4</v>
      </c>
      <c r="F21701" s="1">
        <v>1.48118424955075E-3</v>
      </c>
    </row>
    <row r="21702" spans="1:6" x14ac:dyDescent="0.25">
      <c r="A21702" s="2" t="str">
        <f t="shared" si="775"/>
        <v>40380</v>
      </c>
      <c r="B21702" s="2" t="str">
        <f>"14606"</f>
        <v>14606</v>
      </c>
      <c r="C21702" s="1">
        <v>2.4688320690429401E-2</v>
      </c>
      <c r="D21702" s="1">
        <v>3.1569126806021301E-2</v>
      </c>
      <c r="E21702" s="1">
        <v>3.4602076124567401E-2</v>
      </c>
      <c r="F21702" s="1">
        <v>2.55342905493815E-2</v>
      </c>
    </row>
    <row r="21703" spans="1:6" x14ac:dyDescent="0.25">
      <c r="A21703" s="2" t="str">
        <f t="shared" si="775"/>
        <v>40380</v>
      </c>
      <c r="B21703" s="2" t="str">
        <f>"14604"</f>
        <v>14604</v>
      </c>
      <c r="C21703" s="1">
        <v>6.8535278095070698E-3</v>
      </c>
      <c r="D21703" s="1">
        <v>2.1735293376030598E-2</v>
      </c>
      <c r="E21703" s="1">
        <v>8.5102403441503702E-3</v>
      </c>
      <c r="F21703" s="1">
        <v>7.9450095081910008E-3</v>
      </c>
    </row>
    <row r="21704" spans="1:6" x14ac:dyDescent="0.25">
      <c r="A21704" s="2" t="str">
        <f t="shared" si="775"/>
        <v>40380</v>
      </c>
      <c r="B21704" s="2" t="str">
        <f>"14642"</f>
        <v>14642</v>
      </c>
      <c r="C21704" s="1">
        <v>0</v>
      </c>
      <c r="D21704" s="1">
        <v>0</v>
      </c>
      <c r="E21704" s="1">
        <v>4.6759562330496503E-5</v>
      </c>
      <c r="F21704" s="1">
        <v>1.7446222020621401E-6</v>
      </c>
    </row>
    <row r="21705" spans="1:6" x14ac:dyDescent="0.25">
      <c r="A21705" s="2" t="str">
        <f t="shared" si="775"/>
        <v>40380</v>
      </c>
      <c r="B21705" s="2" t="str">
        <f>"14836"</f>
        <v>14836</v>
      </c>
      <c r="C21705" s="1">
        <v>6.1896533208368701E-4</v>
      </c>
      <c r="D21705" s="1">
        <v>5.0429915025593098E-5</v>
      </c>
      <c r="E21705" s="1">
        <v>1.4027868699148901E-4</v>
      </c>
      <c r="F21705" s="1">
        <v>5.6176834906401004E-4</v>
      </c>
    </row>
    <row r="21706" spans="1:6" x14ac:dyDescent="0.25">
      <c r="A21706" s="2" t="str">
        <f t="shared" si="775"/>
        <v>40380</v>
      </c>
      <c r="B21706" s="2" t="str">
        <f>"14558"</f>
        <v>14558</v>
      </c>
      <c r="C21706" s="1">
        <v>0</v>
      </c>
      <c r="D21706" s="1">
        <v>0</v>
      </c>
      <c r="E21706" s="1">
        <v>4.6759562330496503E-5</v>
      </c>
      <c r="F21706" s="1">
        <v>1.7446222020621401E-6</v>
      </c>
    </row>
    <row r="21707" spans="1:6" x14ac:dyDescent="0.25">
      <c r="A21707" s="2" t="str">
        <f t="shared" si="775"/>
        <v>40380</v>
      </c>
      <c r="B21707" s="2" t="str">
        <f>"14546"</f>
        <v>14546</v>
      </c>
      <c r="C21707" s="1">
        <v>4.1980298548262599E-3</v>
      </c>
      <c r="D21707" s="1">
        <v>2.64757053884364E-3</v>
      </c>
      <c r="E21707" s="1">
        <v>2.9458524268212798E-3</v>
      </c>
      <c r="F21707" s="1">
        <v>4.0440342643800397E-3</v>
      </c>
    </row>
    <row r="21708" spans="1:6" x14ac:dyDescent="0.25">
      <c r="A21708" s="2" t="str">
        <f t="shared" si="775"/>
        <v>40380</v>
      </c>
      <c r="B21708" s="2" t="str">
        <f>"14543"</f>
        <v>14543</v>
      </c>
      <c r="C21708" s="1">
        <v>2.5110076247937502E-3</v>
      </c>
      <c r="D21708" s="1">
        <v>1.7146171108701599E-3</v>
      </c>
      <c r="E21708" s="1">
        <v>4.2083606097446903E-4</v>
      </c>
      <c r="F21708" s="1">
        <v>2.3779200614106998E-3</v>
      </c>
    </row>
    <row r="21709" spans="1:6" x14ac:dyDescent="0.25">
      <c r="A21709" s="2" t="str">
        <f t="shared" si="775"/>
        <v>40380</v>
      </c>
      <c r="B21709" s="2" t="str">
        <f>"14623"</f>
        <v>14623</v>
      </c>
      <c r="C21709" s="1">
        <v>2.07558406310712E-2</v>
      </c>
      <c r="D21709" s="1">
        <v>5.4817317632819697E-2</v>
      </c>
      <c r="E21709" s="1">
        <v>5.5223043112316399E-2</v>
      </c>
      <c r="F21709" s="1">
        <v>2.4398541495839001E-2</v>
      </c>
    </row>
    <row r="21710" spans="1:6" x14ac:dyDescent="0.25">
      <c r="A21710" s="2" t="str">
        <f t="shared" si="775"/>
        <v>40380</v>
      </c>
      <c r="B21710" s="2" t="str">
        <f>"14620"</f>
        <v>14620</v>
      </c>
      <c r="C21710" s="1">
        <v>2.56021243983637E-2</v>
      </c>
      <c r="D21710" s="1">
        <v>1.8659068559469399E-2</v>
      </c>
      <c r="E21710" s="1">
        <v>5.3586458430749002E-2</v>
      </c>
      <c r="F21710" s="1">
        <v>2.6165843786528E-2</v>
      </c>
    </row>
    <row r="21711" spans="1:6" x14ac:dyDescent="0.25">
      <c r="A21711" s="2" t="str">
        <f t="shared" si="775"/>
        <v>40380</v>
      </c>
      <c r="B21711" s="2" t="str">
        <f>"14475"</f>
        <v>14475</v>
      </c>
      <c r="C21711" s="1">
        <v>2.08925206728563E-4</v>
      </c>
      <c r="D21711" s="1">
        <v>5.0429915025593098E-5</v>
      </c>
      <c r="E21711" s="1">
        <v>4.6759562330496503E-5</v>
      </c>
      <c r="F21711" s="1">
        <v>1.9190844222683501E-4</v>
      </c>
    </row>
    <row r="21712" spans="1:6" x14ac:dyDescent="0.25">
      <c r="A21712" s="2" t="str">
        <f t="shared" si="775"/>
        <v>40380</v>
      </c>
      <c r="B21712" s="2" t="str">
        <f>"14507"</f>
        <v>14507</v>
      </c>
      <c r="C21712" s="1">
        <v>1.6557810776245E-3</v>
      </c>
      <c r="D21712" s="1">
        <v>5.79944022794321E-4</v>
      </c>
      <c r="E21712" s="1">
        <v>3.2731693631347599E-4</v>
      </c>
      <c r="F21712" s="1">
        <v>1.5317782934105601E-3</v>
      </c>
    </row>
    <row r="21713" spans="1:6" x14ac:dyDescent="0.25">
      <c r="A21713" s="2" t="str">
        <f t="shared" si="775"/>
        <v>40380</v>
      </c>
      <c r="B21713" s="2" t="str">
        <f>"14522"</f>
        <v>14522</v>
      </c>
      <c r="C21713" s="1">
        <v>8.4565894424430497E-3</v>
      </c>
      <c r="D21713" s="1">
        <v>6.3541692932247403E-3</v>
      </c>
      <c r="E21713" s="1">
        <v>6.3593004769475301E-3</v>
      </c>
      <c r="F21713" s="1">
        <v>8.2328721715312497E-3</v>
      </c>
    </row>
    <row r="21714" spans="1:6" x14ac:dyDescent="0.25">
      <c r="A21714" s="2" t="str">
        <f t="shared" si="775"/>
        <v>40380</v>
      </c>
      <c r="B21714" s="2" t="str">
        <f>"14485"</f>
        <v>14485</v>
      </c>
      <c r="C21714" s="1">
        <v>3.5322027941305598E-3</v>
      </c>
      <c r="D21714" s="1">
        <v>2.8240752414332099E-3</v>
      </c>
      <c r="E21714" s="1">
        <v>2.8523333021602901E-3</v>
      </c>
      <c r="F21714" s="1">
        <v>3.45784120448716E-3</v>
      </c>
    </row>
    <row r="21715" spans="1:6" x14ac:dyDescent="0.25">
      <c r="A21715" s="2" t="str">
        <f t="shared" si="775"/>
        <v>40380</v>
      </c>
      <c r="B21715" s="2" t="str">
        <f>"13146"</f>
        <v>13146</v>
      </c>
      <c r="C21715" s="1">
        <v>1.7397416747210201E-3</v>
      </c>
      <c r="D21715" s="1">
        <v>9.8338334299906708E-4</v>
      </c>
      <c r="E21715" s="1">
        <v>6.5463387262695199E-4</v>
      </c>
      <c r="F21715" s="1">
        <v>1.64692335874666E-3</v>
      </c>
    </row>
    <row r="21716" spans="1:6" x14ac:dyDescent="0.25">
      <c r="A21716" s="2" t="str">
        <f t="shared" si="775"/>
        <v>40380</v>
      </c>
      <c r="B21716" s="2" t="str">
        <f>"14617"</f>
        <v>14617</v>
      </c>
      <c r="C21716" s="1">
        <v>2.22397953704517E-2</v>
      </c>
      <c r="D21716" s="1">
        <v>1.39943014196021E-2</v>
      </c>
      <c r="E21716" s="1">
        <v>1.3653792200504999E-2</v>
      </c>
      <c r="F21716" s="1">
        <v>2.1348941886634401E-2</v>
      </c>
    </row>
    <row r="21717" spans="1:6" x14ac:dyDescent="0.25">
      <c r="A21717" s="2" t="str">
        <f t="shared" si="775"/>
        <v>40380</v>
      </c>
      <c r="B21717" s="2" t="str">
        <f>"14615"</f>
        <v>14615</v>
      </c>
      <c r="C21717" s="1">
        <v>1.4900077126595E-2</v>
      </c>
      <c r="D21717" s="1">
        <v>1.34900022693461E-2</v>
      </c>
      <c r="E21717" s="1">
        <v>3.6519218180117802E-2</v>
      </c>
      <c r="F21717" s="1">
        <v>1.5609134841849901E-2</v>
      </c>
    </row>
    <row r="21718" spans="1:6" x14ac:dyDescent="0.25">
      <c r="A21718" s="2" t="str">
        <f t="shared" si="775"/>
        <v>40380</v>
      </c>
      <c r="B21718" s="2" t="str">
        <f>"14613"</f>
        <v>14613</v>
      </c>
      <c r="C21718" s="1">
        <v>1.2853781643870301E-2</v>
      </c>
      <c r="D21718" s="1">
        <v>8.3209359792228692E-3</v>
      </c>
      <c r="E21718" s="1">
        <v>1.1643131020293599E-2</v>
      </c>
      <c r="F21718" s="1">
        <v>1.2494984211169E-2</v>
      </c>
    </row>
    <row r="21719" spans="1:6" x14ac:dyDescent="0.25">
      <c r="A21719" s="2" t="str">
        <f t="shared" si="775"/>
        <v>40380</v>
      </c>
      <c r="B21719" s="2" t="str">
        <f>"14611"</f>
        <v>14611</v>
      </c>
      <c r="C21719" s="1">
        <v>1.56127659159027E-2</v>
      </c>
      <c r="D21719" s="1">
        <v>2.1407498928364299E-2</v>
      </c>
      <c r="E21719" s="1">
        <v>1.69737211259702E-2</v>
      </c>
      <c r="F21719" s="1">
        <v>1.6064481236588199E-2</v>
      </c>
    </row>
    <row r="21720" spans="1:6" x14ac:dyDescent="0.25">
      <c r="A21720" s="2" t="str">
        <f t="shared" ref="A21720:A21754" si="776">"40380"</f>
        <v>40380</v>
      </c>
      <c r="B21720" s="2" t="str">
        <f>"14627"</f>
        <v>14627</v>
      </c>
      <c r="C21720" s="1">
        <v>0</v>
      </c>
      <c r="D21720" s="1">
        <v>2.5214957512796502E-5</v>
      </c>
      <c r="E21720" s="1">
        <v>0</v>
      </c>
      <c r="F21720" s="1">
        <v>1.7446222020621401E-6</v>
      </c>
    </row>
    <row r="21721" spans="1:6" x14ac:dyDescent="0.25">
      <c r="A21721" s="2" t="str">
        <f t="shared" si="776"/>
        <v>40380</v>
      </c>
      <c r="B21721" s="2" t="str">
        <f>"14643"</f>
        <v>14643</v>
      </c>
      <c r="C21721" s="1">
        <v>0</v>
      </c>
      <c r="D21721" s="1">
        <v>0</v>
      </c>
      <c r="E21721" s="1">
        <v>4.6759562330496503E-5</v>
      </c>
      <c r="F21721" s="1">
        <v>1.7446222020621401E-6</v>
      </c>
    </row>
    <row r="21722" spans="1:6" x14ac:dyDescent="0.25">
      <c r="A21722" s="2" t="str">
        <f t="shared" si="776"/>
        <v>40380</v>
      </c>
      <c r="B21722" s="2" t="str">
        <f>"14542"</f>
        <v>14542</v>
      </c>
      <c r="C21722" s="1">
        <v>0</v>
      </c>
      <c r="D21722" s="1">
        <v>0</v>
      </c>
      <c r="E21722" s="1">
        <v>4.6759562330496503E-5</v>
      </c>
      <c r="F21722" s="1">
        <v>1.7446222020621401E-6</v>
      </c>
    </row>
    <row r="21723" spans="1:6" x14ac:dyDescent="0.25">
      <c r="A21723" s="2" t="str">
        <f t="shared" si="776"/>
        <v>40380</v>
      </c>
      <c r="B21723" s="2" t="str">
        <f>"14571"</f>
        <v>14571</v>
      </c>
      <c r="C21723" s="1">
        <v>1.3160335451873899E-3</v>
      </c>
      <c r="D21723" s="1">
        <v>6.30373937819914E-4</v>
      </c>
      <c r="E21723" s="1">
        <v>1.8703824932198601E-4</v>
      </c>
      <c r="F21723" s="1">
        <v>1.22646940804968E-3</v>
      </c>
    </row>
    <row r="21724" spans="1:6" x14ac:dyDescent="0.25">
      <c r="A21724" s="2" t="str">
        <f t="shared" si="776"/>
        <v>40380</v>
      </c>
      <c r="B21724" s="2" t="str">
        <f>"14537"</f>
        <v>14537</v>
      </c>
      <c r="C21724" s="1">
        <v>1.6011090609104799E-4</v>
      </c>
      <c r="D21724" s="1">
        <v>0</v>
      </c>
      <c r="E21724" s="1">
        <v>4.6759562330496503E-5</v>
      </c>
      <c r="F21724" s="1">
        <v>1.4480364277115701E-4</v>
      </c>
    </row>
    <row r="21725" spans="1:6" x14ac:dyDescent="0.25">
      <c r="A21725" s="2" t="str">
        <f t="shared" si="776"/>
        <v>40380</v>
      </c>
      <c r="B21725" s="2" t="str">
        <f>"14580"</f>
        <v>14580</v>
      </c>
      <c r="C21725" s="1">
        <v>4.7656425426392902E-2</v>
      </c>
      <c r="D21725" s="1">
        <v>3.8704959782142702E-2</v>
      </c>
      <c r="E21725" s="1">
        <v>4.3860469466005698E-2</v>
      </c>
      <c r="F21725" s="1">
        <v>4.6895444791430402E-2</v>
      </c>
    </row>
    <row r="21726" spans="1:6" x14ac:dyDescent="0.25">
      <c r="A21726" s="2" t="str">
        <f t="shared" si="776"/>
        <v>40380</v>
      </c>
      <c r="B21726" s="2" t="str">
        <f>"14619"</f>
        <v>14619</v>
      </c>
      <c r="C21726" s="1">
        <v>1.24125003661072E-2</v>
      </c>
      <c r="D21726" s="1">
        <v>5.1438513326105004E-3</v>
      </c>
      <c r="E21726" s="1">
        <v>4.20836060974469E-3</v>
      </c>
      <c r="F21726" s="1">
        <v>1.16034822659153E-2</v>
      </c>
    </row>
    <row r="21727" spans="1:6" x14ac:dyDescent="0.25">
      <c r="A21727" s="2" t="str">
        <f t="shared" si="776"/>
        <v>40380</v>
      </c>
      <c r="B21727" s="2" t="str">
        <f>"14511"</f>
        <v>14511</v>
      </c>
      <c r="C21727" s="1">
        <v>5.5062531119116605E-4</v>
      </c>
      <c r="D21727" s="1">
        <v>0</v>
      </c>
      <c r="E21727" s="1">
        <v>2.3379781165248201E-4</v>
      </c>
      <c r="F21727" s="1">
        <v>5.0070657199183504E-4</v>
      </c>
    </row>
    <row r="21728" spans="1:6" x14ac:dyDescent="0.25">
      <c r="A21728" s="2" t="str">
        <f t="shared" si="776"/>
        <v>40380</v>
      </c>
      <c r="B21728" s="2" t="str">
        <f>"14514"</f>
        <v>14514</v>
      </c>
      <c r="C21728" s="1">
        <v>6.5489265735289796E-3</v>
      </c>
      <c r="D21728" s="1">
        <v>4.68998209738016E-3</v>
      </c>
      <c r="E21728" s="1">
        <v>7.71532778453193E-3</v>
      </c>
      <c r="F21728" s="1">
        <v>6.4638252586402397E-3</v>
      </c>
    </row>
    <row r="21729" spans="1:6" x14ac:dyDescent="0.25">
      <c r="A21729" s="2" t="str">
        <f t="shared" si="776"/>
        <v>40380</v>
      </c>
      <c r="B21729" s="2" t="str">
        <f>"14510"</f>
        <v>14510</v>
      </c>
      <c r="C21729" s="1">
        <v>4.52410938308486E-3</v>
      </c>
      <c r="D21729" s="1">
        <v>4.7151970548929599E-3</v>
      </c>
      <c r="E21729" s="1">
        <v>4.2551201720751799E-3</v>
      </c>
      <c r="F21729" s="1">
        <v>4.5272946143512603E-3</v>
      </c>
    </row>
    <row r="21730" spans="1:6" x14ac:dyDescent="0.25">
      <c r="A21730" s="2" t="str">
        <f t="shared" si="776"/>
        <v>40380</v>
      </c>
      <c r="B21730" s="2" t="str">
        <f>"14428"</f>
        <v>14428</v>
      </c>
      <c r="C21730" s="1">
        <v>7.0975993126946397E-3</v>
      </c>
      <c r="D21730" s="1">
        <v>1.9919816435109302E-3</v>
      </c>
      <c r="E21730" s="1">
        <v>2.29121855419433E-3</v>
      </c>
      <c r="F21730" s="1">
        <v>6.5650133463598399E-3</v>
      </c>
    </row>
    <row r="21731" spans="1:6" x14ac:dyDescent="0.25">
      <c r="A21731" s="2" t="str">
        <f t="shared" si="776"/>
        <v>40380</v>
      </c>
      <c r="B21731" s="2" t="str">
        <f>"14425"</f>
        <v>14425</v>
      </c>
      <c r="C21731" s="1">
        <v>1.08367747415282E-2</v>
      </c>
      <c r="D21731" s="1">
        <v>4.6647671398673601E-3</v>
      </c>
      <c r="E21731" s="1">
        <v>7.0606939119049802E-3</v>
      </c>
      <c r="F21731" s="1">
        <v>1.02688462813377E-2</v>
      </c>
    </row>
    <row r="21732" spans="1:6" x14ac:dyDescent="0.25">
      <c r="A21732" s="2" t="str">
        <f t="shared" si="776"/>
        <v>40380</v>
      </c>
      <c r="B21732" s="2" t="str">
        <f>"14468"</f>
        <v>14468</v>
      </c>
      <c r="C21732" s="1">
        <v>1.5960323736441798E-2</v>
      </c>
      <c r="D21732" s="1">
        <v>7.1610479336342301E-3</v>
      </c>
      <c r="E21732" s="1">
        <v>4.8629944823716399E-3</v>
      </c>
      <c r="F21732" s="1">
        <v>1.4937455294056001E-2</v>
      </c>
    </row>
    <row r="21733" spans="1:6" x14ac:dyDescent="0.25">
      <c r="A21733" s="2" t="str">
        <f t="shared" si="776"/>
        <v>40380</v>
      </c>
      <c r="B21733" s="2" t="str">
        <f>"13156"</f>
        <v>13156</v>
      </c>
      <c r="C21733" s="1">
        <v>7.8102881020023597E-5</v>
      </c>
      <c r="D21733" s="1">
        <v>0</v>
      </c>
      <c r="E21733" s="1">
        <v>0</v>
      </c>
      <c r="F21733" s="1">
        <v>6.9784888082485705E-5</v>
      </c>
    </row>
    <row r="21734" spans="1:6" x14ac:dyDescent="0.25">
      <c r="A21734" s="2" t="str">
        <f t="shared" si="776"/>
        <v>40380</v>
      </c>
      <c r="B21734" s="2" t="str">
        <f>"14607"</f>
        <v>14607</v>
      </c>
      <c r="C21734" s="1">
        <v>2.1021390426539301E-2</v>
      </c>
      <c r="D21734" s="1">
        <v>3.04092387604326E-2</v>
      </c>
      <c r="E21734" s="1">
        <v>6.89235948751519E-2</v>
      </c>
      <c r="F21734" s="1">
        <v>2.3458190128927501E-2</v>
      </c>
    </row>
    <row r="21735" spans="1:6" x14ac:dyDescent="0.25">
      <c r="A21735" s="2" t="str">
        <f t="shared" si="776"/>
        <v>40380</v>
      </c>
      <c r="B21735" s="2" t="str">
        <f>"14692"</f>
        <v>14692</v>
      </c>
      <c r="C21735" s="1">
        <v>1.90375772486307E-3</v>
      </c>
      <c r="D21735" s="1">
        <v>1.06154971128873E-2</v>
      </c>
      <c r="E21735" s="1">
        <v>1.4027868699148901E-4</v>
      </c>
      <c r="F21735" s="1">
        <v>2.4407264606849301E-3</v>
      </c>
    </row>
    <row r="21736" spans="1:6" x14ac:dyDescent="0.25">
      <c r="A21736" s="2" t="str">
        <f t="shared" si="776"/>
        <v>40380</v>
      </c>
      <c r="B21736" s="2" t="str">
        <f>"14822"</f>
        <v>14822</v>
      </c>
      <c r="C21736" s="1">
        <v>6.4434876841519396E-5</v>
      </c>
      <c r="D21736" s="1">
        <v>0</v>
      </c>
      <c r="E21736" s="1">
        <v>0</v>
      </c>
      <c r="F21736" s="1">
        <v>5.7572532668050697E-5</v>
      </c>
    </row>
    <row r="21737" spans="1:6" x14ac:dyDescent="0.25">
      <c r="A21737" s="2" t="str">
        <f t="shared" si="776"/>
        <v>40380</v>
      </c>
      <c r="B21737" s="2" t="str">
        <f>"14539"</f>
        <v>14539</v>
      </c>
      <c r="C21737" s="1">
        <v>1.9916234660105999E-4</v>
      </c>
      <c r="D21737" s="1">
        <v>0</v>
      </c>
      <c r="E21737" s="1">
        <v>4.6759562330496503E-5</v>
      </c>
      <c r="F21737" s="1">
        <v>1.7969608681240001E-4</v>
      </c>
    </row>
    <row r="21738" spans="1:6" x14ac:dyDescent="0.25">
      <c r="A21738" s="2" t="str">
        <f t="shared" si="776"/>
        <v>40380</v>
      </c>
      <c r="B21738" s="2" t="str">
        <f>"14534"</f>
        <v>14534</v>
      </c>
      <c r="C21738" s="1">
        <v>2.6611604135547501E-2</v>
      </c>
      <c r="D21738" s="1">
        <v>3.5704379838119901E-2</v>
      </c>
      <c r="E21738" s="1">
        <v>1.3466753951183E-2</v>
      </c>
      <c r="F21738" s="1">
        <v>2.6750292224218802E-2</v>
      </c>
    </row>
    <row r="21739" spans="1:6" x14ac:dyDescent="0.25">
      <c r="A21739" s="2" t="str">
        <f t="shared" si="776"/>
        <v>40380</v>
      </c>
      <c r="B21739" s="2" t="str">
        <f>"14533"</f>
        <v>14533</v>
      </c>
      <c r="C21739" s="1">
        <v>1.23207294809087E-3</v>
      </c>
      <c r="D21739" s="1">
        <v>3.7822436269194801E-4</v>
      </c>
      <c r="E21739" s="1">
        <v>3.7407649864397202E-4</v>
      </c>
      <c r="F21739" s="1">
        <v>1.14098292014864E-3</v>
      </c>
    </row>
    <row r="21740" spans="1:6" x14ac:dyDescent="0.25">
      <c r="A21740" s="2" t="str">
        <f t="shared" si="776"/>
        <v>40380</v>
      </c>
      <c r="B21740" s="2" t="str">
        <f>"14625"</f>
        <v>14625</v>
      </c>
      <c r="C21740" s="1">
        <v>1.09129250505228E-2</v>
      </c>
      <c r="D21740" s="1">
        <v>1.6112357850676998E-2</v>
      </c>
      <c r="E21740" s="1">
        <v>1.1269054521649601E-2</v>
      </c>
      <c r="F21740" s="1">
        <v>1.128596102514E-2</v>
      </c>
    </row>
    <row r="21741" spans="1:6" x14ac:dyDescent="0.25">
      <c r="A21741" s="2" t="str">
        <f t="shared" si="776"/>
        <v>40380</v>
      </c>
      <c r="B21741" s="2" t="str">
        <f>"14624"</f>
        <v>14624</v>
      </c>
      <c r="C21741" s="1">
        <v>3.3646721143426102E-2</v>
      </c>
      <c r="D21741" s="1">
        <v>4.6067727375879303E-2</v>
      </c>
      <c r="E21741" s="1">
        <v>2.99728794538483E-2</v>
      </c>
      <c r="F21741" s="1">
        <v>3.43690573806242E-2</v>
      </c>
    </row>
    <row r="21742" spans="1:6" x14ac:dyDescent="0.25">
      <c r="A21742" s="2" t="str">
        <f t="shared" si="776"/>
        <v>40380</v>
      </c>
      <c r="B21742" s="2" t="str">
        <f>"14626"</f>
        <v>14626</v>
      </c>
      <c r="C21742" s="1">
        <v>2.7382870085620199E-2</v>
      </c>
      <c r="D21742" s="1">
        <v>2.8467687031947301E-2</v>
      </c>
      <c r="E21742" s="1">
        <v>3.06275133264752E-2</v>
      </c>
      <c r="F21742" s="1">
        <v>2.75789877701983E-2</v>
      </c>
    </row>
    <row r="21743" spans="1:6" x14ac:dyDescent="0.25">
      <c r="A21743" s="2" t="str">
        <f t="shared" si="776"/>
        <v>40380</v>
      </c>
      <c r="B21743" s="2" t="str">
        <f>"14479"</f>
        <v>14479</v>
      </c>
      <c r="C21743" s="1">
        <v>1.5425319001454601E-4</v>
      </c>
      <c r="D21743" s="1">
        <v>7.5644872538389694E-5</v>
      </c>
      <c r="E21743" s="1">
        <v>4.6759562330496503E-5</v>
      </c>
      <c r="F21743" s="1">
        <v>1.4480364277115701E-4</v>
      </c>
    </row>
    <row r="21744" spans="1:6" x14ac:dyDescent="0.25">
      <c r="A21744" s="2" t="str">
        <f t="shared" si="776"/>
        <v>40380</v>
      </c>
      <c r="B21744" s="2" t="str">
        <f>"14526"</f>
        <v>14526</v>
      </c>
      <c r="C21744" s="1">
        <v>1.82253072860225E-2</v>
      </c>
      <c r="D21744" s="1">
        <v>1.60619279356514E-2</v>
      </c>
      <c r="E21744" s="1">
        <v>6.8268961002524997E-3</v>
      </c>
      <c r="F21744" s="1">
        <v>1.76503428182627E-2</v>
      </c>
    </row>
    <row r="21745" spans="1:6" x14ac:dyDescent="0.25">
      <c r="A21745" s="2" t="str">
        <f t="shared" si="776"/>
        <v>40380</v>
      </c>
      <c r="B21745" s="2" t="str">
        <f>"14516"</f>
        <v>14516</v>
      </c>
      <c r="C21745" s="1">
        <v>1.9486668814495799E-3</v>
      </c>
      <c r="D21745" s="1">
        <v>8.3209359792228699E-4</v>
      </c>
      <c r="E21745" s="1">
        <v>2.3379781165248201E-4</v>
      </c>
      <c r="F21745" s="1">
        <v>1.80742860133638E-3</v>
      </c>
    </row>
    <row r="21746" spans="1:6" x14ac:dyDescent="0.25">
      <c r="A21746" s="2" t="str">
        <f t="shared" si="776"/>
        <v>40380</v>
      </c>
      <c r="B21746" s="2" t="str">
        <f>"14505"</f>
        <v>14505</v>
      </c>
      <c r="C21746" s="1">
        <v>4.1843618506477599E-3</v>
      </c>
      <c r="D21746" s="1">
        <v>1.76504702589576E-3</v>
      </c>
      <c r="E21746" s="1">
        <v>6.0787431029645498E-4</v>
      </c>
      <c r="F21746" s="1">
        <v>3.8835290217903301E-3</v>
      </c>
    </row>
    <row r="21747" spans="1:6" x14ac:dyDescent="0.25">
      <c r="A21747" s="2" t="str">
        <f t="shared" si="776"/>
        <v>40380</v>
      </c>
      <c r="B21747" s="2" t="str">
        <f>"14469"</f>
        <v>14469</v>
      </c>
      <c r="C21747" s="1">
        <v>4.8365209071649599E-3</v>
      </c>
      <c r="D21747" s="1">
        <v>2.4206359212284698E-3</v>
      </c>
      <c r="E21747" s="1">
        <v>2.0106611802113501E-3</v>
      </c>
      <c r="F21747" s="1">
        <v>4.5639316805945601E-3</v>
      </c>
    </row>
    <row r="21748" spans="1:6" x14ac:dyDescent="0.25">
      <c r="A21748" s="2" t="str">
        <f t="shared" si="776"/>
        <v>40380</v>
      </c>
      <c r="B21748" s="2" t="str">
        <f>"14453"</f>
        <v>14453</v>
      </c>
      <c r="C21748" s="1">
        <v>4.8814300637514697E-5</v>
      </c>
      <c r="D21748" s="1">
        <v>0</v>
      </c>
      <c r="E21748" s="1">
        <v>4.6759562330496503E-5</v>
      </c>
      <c r="F21748" s="1">
        <v>4.5360177253615702E-5</v>
      </c>
    </row>
    <row r="21749" spans="1:6" x14ac:dyDescent="0.25">
      <c r="A21749" s="2" t="str">
        <f t="shared" si="776"/>
        <v>40380</v>
      </c>
      <c r="B21749" s="2" t="str">
        <f>"14449"</f>
        <v>14449</v>
      </c>
      <c r="C21749" s="1">
        <v>0</v>
      </c>
      <c r="D21749" s="1">
        <v>0</v>
      </c>
      <c r="E21749" s="1">
        <v>4.6759562330496503E-5</v>
      </c>
      <c r="F21749" s="1">
        <v>1.7446222020621401E-6</v>
      </c>
    </row>
    <row r="21750" spans="1:6" x14ac:dyDescent="0.25">
      <c r="A21750" s="2" t="str">
        <f t="shared" si="776"/>
        <v>40380</v>
      </c>
      <c r="B21750" s="2" t="str">
        <f>"14466"</f>
        <v>14466</v>
      </c>
      <c r="C21750" s="1">
        <v>1.4820021673549401E-3</v>
      </c>
      <c r="D21750" s="1">
        <v>1.5128974507677901E-4</v>
      </c>
      <c r="E21750" s="1">
        <v>4.2083606097446903E-4</v>
      </c>
      <c r="F21750" s="1">
        <v>1.35033758439609E-3</v>
      </c>
    </row>
    <row r="21751" spans="1:6" x14ac:dyDescent="0.25">
      <c r="A21751" s="2" t="str">
        <f t="shared" si="776"/>
        <v>40380</v>
      </c>
      <c r="B21751" s="2" t="str">
        <f>"14437"</f>
        <v>14437</v>
      </c>
      <c r="C21751" s="1">
        <v>7.8747229788438799E-3</v>
      </c>
      <c r="D21751" s="1">
        <v>7.8670667439925297E-3</v>
      </c>
      <c r="E21751" s="1">
        <v>1.2344524455250999E-2</v>
      </c>
      <c r="F21751" s="1">
        <v>8.0409637293044102E-3</v>
      </c>
    </row>
    <row r="21752" spans="1:6" x14ac:dyDescent="0.25">
      <c r="A21752" s="2" t="str">
        <f t="shared" si="776"/>
        <v>40380</v>
      </c>
      <c r="B21752" s="2" t="str">
        <f>"14410"</f>
        <v>14410</v>
      </c>
      <c r="C21752" s="1">
        <v>0</v>
      </c>
      <c r="D21752" s="1">
        <v>0</v>
      </c>
      <c r="E21752" s="1">
        <v>4.6759562330496503E-5</v>
      </c>
      <c r="F21752" s="1">
        <v>1.7446222020621401E-6</v>
      </c>
    </row>
    <row r="21753" spans="1:6" x14ac:dyDescent="0.25">
      <c r="A21753" s="2" t="str">
        <f t="shared" si="776"/>
        <v>40380</v>
      </c>
      <c r="B21753" s="2" t="str">
        <f>"14411"</f>
        <v>14411</v>
      </c>
      <c r="C21753" s="1">
        <v>1.05399837936521E-2</v>
      </c>
      <c r="D21753" s="1">
        <v>1.0968506518066501E-2</v>
      </c>
      <c r="E21753" s="1">
        <v>8.8375572804638494E-3</v>
      </c>
      <c r="F21753" s="1">
        <v>1.05061149008182E-2</v>
      </c>
    </row>
    <row r="21754" spans="1:6" x14ac:dyDescent="0.25">
      <c r="A21754" s="2" t="str">
        <f t="shared" si="776"/>
        <v>40380</v>
      </c>
      <c r="B21754" s="2" t="str">
        <f>"13154"</f>
        <v>13154</v>
      </c>
      <c r="C21754" s="1">
        <v>2.1478292280506401E-5</v>
      </c>
      <c r="D21754" s="1">
        <v>0</v>
      </c>
      <c r="E21754" s="1">
        <v>4.6759562330496503E-5</v>
      </c>
      <c r="F21754" s="1">
        <v>2.0935466424745701E-5</v>
      </c>
    </row>
    <row r="21755" spans="1:6" x14ac:dyDescent="0.25">
      <c r="A21755" s="2" t="str">
        <f t="shared" ref="A21755:A21779" si="777">"35260"</f>
        <v>35260</v>
      </c>
      <c r="B21755" s="2" t="str">
        <f>"16132"</f>
        <v>16132</v>
      </c>
      <c r="C21755" s="1">
        <v>1.98876348630239E-4</v>
      </c>
      <c r="D21755" s="1">
        <v>0</v>
      </c>
      <c r="E21755" s="1">
        <v>6.7294751009421201E-4</v>
      </c>
      <c r="F21755" s="1">
        <v>2.0065547455019701E-4</v>
      </c>
    </row>
    <row r="21756" spans="1:6" x14ac:dyDescent="0.25">
      <c r="A21756" s="2" t="str">
        <f t="shared" si="777"/>
        <v>35260</v>
      </c>
      <c r="B21756" s="2" t="str">
        <f>"16123"</f>
        <v>16123</v>
      </c>
      <c r="C21756" s="1">
        <v>2.2373589220901898E-3</v>
      </c>
      <c r="D21756" s="1">
        <v>3.1836994587710899E-4</v>
      </c>
      <c r="E21756" s="1">
        <v>0</v>
      </c>
      <c r="F21756" s="1">
        <v>2.0288497982297701E-3</v>
      </c>
    </row>
    <row r="21757" spans="1:6" x14ac:dyDescent="0.25">
      <c r="A21757" s="2" t="str">
        <f t="shared" si="777"/>
        <v>35260</v>
      </c>
      <c r="B21757" s="2" t="str">
        <f>"16140"</f>
        <v>16140</v>
      </c>
      <c r="C21757" s="1">
        <v>0</v>
      </c>
      <c r="D21757" s="1">
        <v>0</v>
      </c>
      <c r="E21757" s="1">
        <v>1.3458950201884199E-3</v>
      </c>
      <c r="F21757" s="1">
        <v>4.4590105455599397E-5</v>
      </c>
    </row>
    <row r="21758" spans="1:6" x14ac:dyDescent="0.25">
      <c r="A21758" s="2" t="str">
        <f t="shared" si="777"/>
        <v>35260</v>
      </c>
      <c r="B21758" s="2" t="str">
        <f>"16141"</f>
        <v>16141</v>
      </c>
      <c r="C21758" s="1">
        <v>1.1683985482026499E-2</v>
      </c>
      <c r="D21758" s="1">
        <v>1.59184972938554E-3</v>
      </c>
      <c r="E21758" s="1">
        <v>0</v>
      </c>
      <c r="F21758" s="1">
        <v>1.0590150045704801E-2</v>
      </c>
    </row>
    <row r="21759" spans="1:6" x14ac:dyDescent="0.25">
      <c r="A21759" s="2" t="str">
        <f t="shared" si="777"/>
        <v>35260</v>
      </c>
      <c r="B21759" s="2" t="str">
        <f>"16102"</f>
        <v>16102</v>
      </c>
      <c r="C21759" s="1">
        <v>6.3292397951573598E-2</v>
      </c>
      <c r="D21759" s="1">
        <v>4.2979942693409698E-2</v>
      </c>
      <c r="E21759" s="1">
        <v>4.17227456258411E-2</v>
      </c>
      <c r="F21759" s="1">
        <v>6.1155329632354503E-2</v>
      </c>
    </row>
    <row r="21760" spans="1:6" x14ac:dyDescent="0.25">
      <c r="A21760" s="2" t="str">
        <f t="shared" si="777"/>
        <v>35260</v>
      </c>
      <c r="B21760" s="2" t="str">
        <f>"16601"</f>
        <v>16601</v>
      </c>
      <c r="C21760" s="1">
        <v>2.4859543578779801E-5</v>
      </c>
      <c r="D21760" s="1">
        <v>0</v>
      </c>
      <c r="E21760" s="1">
        <v>0</v>
      </c>
      <c r="F21760" s="1">
        <v>2.2295052727799699E-5</v>
      </c>
    </row>
    <row r="21761" spans="1:6" x14ac:dyDescent="0.25">
      <c r="A21761" s="2" t="str">
        <f t="shared" si="777"/>
        <v>35260</v>
      </c>
      <c r="B21761" s="2" t="str">
        <f>"16160"</f>
        <v>16160</v>
      </c>
      <c r="C21761" s="1">
        <v>2.4859543578779801E-5</v>
      </c>
      <c r="D21761" s="1">
        <v>0</v>
      </c>
      <c r="E21761" s="1">
        <v>6.7294751009421201E-4</v>
      </c>
      <c r="F21761" s="1">
        <v>4.4590105455599397E-5</v>
      </c>
    </row>
    <row r="21762" spans="1:6" x14ac:dyDescent="0.25">
      <c r="A21762" s="2" t="str">
        <f t="shared" si="777"/>
        <v>35260</v>
      </c>
      <c r="B21762" s="2" t="str">
        <f>"16143"</f>
        <v>16143</v>
      </c>
      <c r="C21762" s="1">
        <v>2.4635807686570799E-2</v>
      </c>
      <c r="D21762" s="1">
        <v>1.0824578159821701E-2</v>
      </c>
      <c r="E21762" s="1">
        <v>6.7294751009421201E-4</v>
      </c>
      <c r="F21762" s="1">
        <v>2.2874724098722401E-2</v>
      </c>
    </row>
    <row r="21763" spans="1:6" x14ac:dyDescent="0.25">
      <c r="A21763" s="2" t="str">
        <f t="shared" si="777"/>
        <v>35260</v>
      </c>
      <c r="B21763" s="2" t="str">
        <f>"16105"</f>
        <v>16105</v>
      </c>
      <c r="C21763" s="1">
        <v>0.18043056729478399</v>
      </c>
      <c r="D21763" s="1">
        <v>0.18560967844635401</v>
      </c>
      <c r="E21763" s="1">
        <v>0.281965006729475</v>
      </c>
      <c r="F21763" s="1">
        <v>0.18415713553162499</v>
      </c>
    </row>
    <row r="21764" spans="1:6" x14ac:dyDescent="0.25">
      <c r="A21764" s="2" t="str">
        <f t="shared" si="777"/>
        <v>35260</v>
      </c>
      <c r="B21764" s="2" t="str">
        <f>"16172"</f>
        <v>16172</v>
      </c>
      <c r="C21764" s="1">
        <v>0</v>
      </c>
      <c r="D21764" s="1">
        <v>9.5510983763132703E-4</v>
      </c>
      <c r="E21764" s="1">
        <v>0</v>
      </c>
      <c r="F21764" s="1">
        <v>6.6885158183399099E-5</v>
      </c>
    </row>
    <row r="21765" spans="1:6" x14ac:dyDescent="0.25">
      <c r="A21765" s="2" t="str">
        <f t="shared" si="777"/>
        <v>35260</v>
      </c>
      <c r="B21765" s="2" t="str">
        <f>"16108"</f>
        <v>16108</v>
      </c>
      <c r="C21765" s="1">
        <v>0</v>
      </c>
      <c r="D21765" s="1">
        <v>3.1836994587710899E-4</v>
      </c>
      <c r="E21765" s="1">
        <v>6.7294751009421201E-4</v>
      </c>
      <c r="F21765" s="1">
        <v>4.4590105455599397E-5</v>
      </c>
    </row>
    <row r="21766" spans="1:6" x14ac:dyDescent="0.25">
      <c r="A21766" s="2" t="str">
        <f t="shared" si="777"/>
        <v>35260</v>
      </c>
      <c r="B21766" s="2" t="str">
        <f>"16159"</f>
        <v>16159</v>
      </c>
      <c r="C21766" s="1">
        <v>3.40575747029284E-3</v>
      </c>
      <c r="D21766" s="1">
        <v>0</v>
      </c>
      <c r="E21766" s="1">
        <v>0</v>
      </c>
      <c r="F21766" s="1">
        <v>3.0544222237085502E-3</v>
      </c>
    </row>
    <row r="21767" spans="1:6" x14ac:dyDescent="0.25">
      <c r="A21767" s="2" t="str">
        <f t="shared" si="777"/>
        <v>35260</v>
      </c>
      <c r="B21767" s="2" t="str">
        <f>"16101"</f>
        <v>16101</v>
      </c>
      <c r="C21767" s="1">
        <v>0.3960871078407</v>
      </c>
      <c r="D21767" s="1">
        <v>0.50334288443170905</v>
      </c>
      <c r="E21767" s="1">
        <v>0.41049798115746899</v>
      </c>
      <c r="F21767" s="1">
        <v>0.40407553563864101</v>
      </c>
    </row>
    <row r="21768" spans="1:6" x14ac:dyDescent="0.25">
      <c r="A21768" s="2" t="str">
        <f t="shared" si="777"/>
        <v>35260</v>
      </c>
      <c r="B21768" s="2" t="str">
        <f>"16057"</f>
        <v>16057</v>
      </c>
      <c r="C21768" s="1">
        <v>8.5019639039427206E-3</v>
      </c>
      <c r="D21768" s="1">
        <v>6.68576886341929E-3</v>
      </c>
      <c r="E21768" s="1">
        <v>0</v>
      </c>
      <c r="F21768" s="1">
        <v>8.0931041401912894E-3</v>
      </c>
    </row>
    <row r="21769" spans="1:6" x14ac:dyDescent="0.25">
      <c r="A21769" s="2" t="str">
        <f t="shared" si="777"/>
        <v>35260</v>
      </c>
      <c r="B21769" s="2" t="str">
        <f>"16051"</f>
        <v>16051</v>
      </c>
      <c r="C21769" s="1">
        <v>1.29766817481231E-2</v>
      </c>
      <c r="D21769" s="1">
        <v>6.68576886341929E-3</v>
      </c>
      <c r="E21769" s="1">
        <v>0</v>
      </c>
      <c r="F21769" s="1">
        <v>1.21062136311952E-2</v>
      </c>
    </row>
    <row r="21770" spans="1:6" x14ac:dyDescent="0.25">
      <c r="A21770" s="2" t="str">
        <f t="shared" si="777"/>
        <v>35260</v>
      </c>
      <c r="B21770" s="2" t="str">
        <f>"16120"</f>
        <v>16120</v>
      </c>
      <c r="C21770" s="1">
        <v>1.9813056232287501E-2</v>
      </c>
      <c r="D21770" s="1">
        <v>5.0939191340337404E-3</v>
      </c>
      <c r="E21770" s="1">
        <v>6.7294751009421201E-4</v>
      </c>
      <c r="F21770" s="1">
        <v>1.81481729204289E-2</v>
      </c>
    </row>
    <row r="21771" spans="1:6" x14ac:dyDescent="0.25">
      <c r="A21771" s="2" t="str">
        <f t="shared" si="777"/>
        <v>35260</v>
      </c>
      <c r="B21771" s="2" t="str">
        <f>"16116"</f>
        <v>16116</v>
      </c>
      <c r="C21771" s="1">
        <v>3.24914234574653E-2</v>
      </c>
      <c r="D21771" s="1">
        <v>1.4645017510347001E-2</v>
      </c>
      <c r="E21771" s="1">
        <v>3.3647375504710598E-3</v>
      </c>
      <c r="F21771" s="1">
        <v>3.0276681604351902E-2</v>
      </c>
    </row>
    <row r="21772" spans="1:6" x14ac:dyDescent="0.25">
      <c r="A21772" s="2" t="str">
        <f t="shared" si="777"/>
        <v>35260</v>
      </c>
      <c r="B21772" s="2" t="str">
        <f>"16112"</f>
        <v>16112</v>
      </c>
      <c r="C21772" s="1">
        <v>1.5537214736737401E-2</v>
      </c>
      <c r="D21772" s="1">
        <v>8.9143584845590498E-3</v>
      </c>
      <c r="E21772" s="1">
        <v>3.3647375504710598E-3</v>
      </c>
      <c r="F21772" s="1">
        <v>1.4670144694892201E-2</v>
      </c>
    </row>
    <row r="21773" spans="1:6" x14ac:dyDescent="0.25">
      <c r="A21773" s="2" t="str">
        <f t="shared" si="777"/>
        <v>35260</v>
      </c>
      <c r="B21773" s="2" t="str">
        <f>"16155"</f>
        <v>16155</v>
      </c>
      <c r="C21773" s="1">
        <v>0</v>
      </c>
      <c r="D21773" s="1">
        <v>0</v>
      </c>
      <c r="E21773" s="1">
        <v>6.7294751009421201E-4</v>
      </c>
      <c r="F21773" s="1">
        <v>2.2295052727799699E-5</v>
      </c>
    </row>
    <row r="21774" spans="1:6" x14ac:dyDescent="0.25">
      <c r="A21774" s="2" t="str">
        <f t="shared" si="777"/>
        <v>35260</v>
      </c>
      <c r="B21774" s="2" t="str">
        <f>"16127"</f>
        <v>16127</v>
      </c>
      <c r="C21774" s="1">
        <v>4.2261224083925799E-4</v>
      </c>
      <c r="D21774" s="1">
        <v>3.1836994587710899E-4</v>
      </c>
      <c r="E21774" s="1">
        <v>0</v>
      </c>
      <c r="F21774" s="1">
        <v>4.0131094910039403E-4</v>
      </c>
    </row>
    <row r="21775" spans="1:6" x14ac:dyDescent="0.25">
      <c r="A21775" s="2" t="str">
        <f t="shared" si="777"/>
        <v>35260</v>
      </c>
      <c r="B21775" s="2" t="str">
        <f>"16117"</f>
        <v>16117</v>
      </c>
      <c r="C21775" s="1">
        <v>0.13983493263063601</v>
      </c>
      <c r="D21775" s="1">
        <v>0.14645017510347</v>
      </c>
      <c r="E21775" s="1">
        <v>0.18169582772543699</v>
      </c>
      <c r="F21775" s="1">
        <v>0.14168506008516699</v>
      </c>
    </row>
    <row r="21776" spans="1:6" x14ac:dyDescent="0.25">
      <c r="A21776" s="2" t="str">
        <f t="shared" si="777"/>
        <v>35260</v>
      </c>
      <c r="B21776" s="2" t="str">
        <f>"16037"</f>
        <v>16037</v>
      </c>
      <c r="C21776" s="1">
        <v>2.03848257345995E-3</v>
      </c>
      <c r="D21776" s="1">
        <v>0</v>
      </c>
      <c r="E21776" s="1">
        <v>0</v>
      </c>
      <c r="F21776" s="1">
        <v>1.8281943236795699E-3</v>
      </c>
    </row>
    <row r="21777" spans="1:6" x14ac:dyDescent="0.25">
      <c r="A21777" s="2" t="str">
        <f t="shared" si="777"/>
        <v>35260</v>
      </c>
      <c r="B21777" s="2" t="str">
        <f>"16157"</f>
        <v>16157</v>
      </c>
      <c r="C21777" s="1">
        <v>2.5829065778352301E-2</v>
      </c>
      <c r="D21777" s="1">
        <v>1.49633874562241E-2</v>
      </c>
      <c r="E21777" s="1">
        <v>7.4024226110363297E-3</v>
      </c>
      <c r="F21777" s="1">
        <v>2.4457672842396201E-2</v>
      </c>
    </row>
    <row r="21778" spans="1:6" x14ac:dyDescent="0.25">
      <c r="A21778" s="2" t="str">
        <f t="shared" si="777"/>
        <v>35260</v>
      </c>
      <c r="B21778" s="2" t="str">
        <f>"16156"</f>
        <v>16156</v>
      </c>
      <c r="C21778" s="1">
        <v>2.5754487147615902E-2</v>
      </c>
      <c r="D21778" s="1">
        <v>9.5510983763132697E-3</v>
      </c>
      <c r="E21778" s="1">
        <v>5.3835800807537004E-3</v>
      </c>
      <c r="F21778" s="1">
        <v>2.3944886629656801E-2</v>
      </c>
    </row>
    <row r="21779" spans="1:6" x14ac:dyDescent="0.25">
      <c r="A21779" s="2" t="str">
        <f t="shared" si="777"/>
        <v>35260</v>
      </c>
      <c r="B21779" s="2" t="str">
        <f>"16142"</f>
        <v>16142</v>
      </c>
      <c r="C21779" s="1">
        <v>3.4778501466712998E-2</v>
      </c>
      <c r="D21779" s="1">
        <v>4.0751353072269902E-2</v>
      </c>
      <c r="E21779" s="1">
        <v>5.92193808882907E-2</v>
      </c>
      <c r="F21779" s="1">
        <v>3.60065101553965E-2</v>
      </c>
    </row>
    <row r="21780" spans="1:6" x14ac:dyDescent="0.25">
      <c r="A21780" s="2" t="str">
        <f t="shared" ref="A21780:A21813" si="778">"48700"</f>
        <v>48700</v>
      </c>
      <c r="B21780" s="2" t="str">
        <f>"17846"</f>
        <v>17846</v>
      </c>
      <c r="C21780" s="1">
        <v>2.3857588548357401E-4</v>
      </c>
      <c r="D21780" s="1">
        <v>0</v>
      </c>
      <c r="E21780" s="1">
        <v>0</v>
      </c>
      <c r="F21780" s="1">
        <v>2.1098073583588901E-4</v>
      </c>
    </row>
    <row r="21781" spans="1:6" x14ac:dyDescent="0.25">
      <c r="A21781" s="2" t="str">
        <f t="shared" si="778"/>
        <v>48700</v>
      </c>
      <c r="B21781" s="2" t="str">
        <f>"17752"</f>
        <v>17752</v>
      </c>
      <c r="C21781" s="1">
        <v>3.8208845659754E-2</v>
      </c>
      <c r="D21781" s="1">
        <v>2.7861901877649899E-2</v>
      </c>
      <c r="E21781" s="1">
        <v>2.2079116835326498E-2</v>
      </c>
      <c r="F21781" s="1">
        <v>3.6808023759676699E-2</v>
      </c>
    </row>
    <row r="21782" spans="1:6" x14ac:dyDescent="0.25">
      <c r="A21782" s="2" t="str">
        <f t="shared" si="778"/>
        <v>48700</v>
      </c>
      <c r="B21782" s="2" t="str">
        <f>"17724"</f>
        <v>17724</v>
      </c>
      <c r="C21782" s="1">
        <v>4.4044778858506097E-4</v>
      </c>
      <c r="D21782" s="1">
        <v>0</v>
      </c>
      <c r="E21782" s="1">
        <v>0</v>
      </c>
      <c r="F21782" s="1">
        <v>3.8950289692779501E-4</v>
      </c>
    </row>
    <row r="21783" spans="1:6" x14ac:dyDescent="0.25">
      <c r="A21783" s="2" t="str">
        <f t="shared" si="778"/>
        <v>48700</v>
      </c>
      <c r="B21783" s="2" t="str">
        <f>"17705"</f>
        <v>17705</v>
      </c>
      <c r="C21783" s="1">
        <v>0</v>
      </c>
      <c r="D21783" s="1">
        <v>2.0189783969311499E-4</v>
      </c>
      <c r="E21783" s="1">
        <v>0</v>
      </c>
      <c r="F21783" s="1">
        <v>1.62292873719914E-5</v>
      </c>
    </row>
    <row r="21784" spans="1:6" x14ac:dyDescent="0.25">
      <c r="A21784" s="2" t="str">
        <f t="shared" si="778"/>
        <v>48700</v>
      </c>
      <c r="B21784" s="2" t="str">
        <f>"16930"</f>
        <v>16930</v>
      </c>
      <c r="C21784" s="1">
        <v>2.05542301339695E-3</v>
      </c>
      <c r="D21784" s="1">
        <v>6.0569351907934497E-4</v>
      </c>
      <c r="E21784" s="1">
        <v>0</v>
      </c>
      <c r="F21784" s="1">
        <v>1.8663680477790201E-3</v>
      </c>
    </row>
    <row r="21785" spans="1:6" x14ac:dyDescent="0.25">
      <c r="A21785" s="2" t="str">
        <f t="shared" si="778"/>
        <v>48700</v>
      </c>
      <c r="B21785" s="2" t="str">
        <f>"17737"</f>
        <v>17737</v>
      </c>
      <c r="C21785" s="1">
        <v>5.6817764727472901E-2</v>
      </c>
      <c r="D21785" s="1">
        <v>3.2303654350898402E-2</v>
      </c>
      <c r="E21785" s="1">
        <v>3.81784728610855E-2</v>
      </c>
      <c r="F21785" s="1">
        <v>5.4189590535079601E-2</v>
      </c>
    </row>
    <row r="21786" spans="1:6" x14ac:dyDescent="0.25">
      <c r="A21786" s="2" t="str">
        <f t="shared" si="778"/>
        <v>48700</v>
      </c>
      <c r="B21786" s="2" t="str">
        <f>"17728"</f>
        <v>17728</v>
      </c>
      <c r="C21786" s="1">
        <v>4.2007707836300201E-2</v>
      </c>
      <c r="D21786" s="1">
        <v>1.4940440137290499E-2</v>
      </c>
      <c r="E21786" s="1">
        <v>2.4839006439742399E-2</v>
      </c>
      <c r="F21786" s="1">
        <v>3.9226187578103401E-2</v>
      </c>
    </row>
    <row r="21787" spans="1:6" x14ac:dyDescent="0.25">
      <c r="A21787" s="2" t="str">
        <f t="shared" si="778"/>
        <v>48700</v>
      </c>
      <c r="B21787" s="2" t="str">
        <f>"17756"</f>
        <v>17756</v>
      </c>
      <c r="C21787" s="1">
        <v>8.3703431822352695E-2</v>
      </c>
      <c r="D21787" s="1">
        <v>0.11245709670906499</v>
      </c>
      <c r="E21787" s="1">
        <v>6.3937442502299893E-2</v>
      </c>
      <c r="F21787" s="1">
        <v>8.5317363714559197E-2</v>
      </c>
    </row>
    <row r="21788" spans="1:6" x14ac:dyDescent="0.25">
      <c r="A21788" s="2" t="str">
        <f t="shared" si="778"/>
        <v>48700</v>
      </c>
      <c r="B21788" s="2" t="str">
        <f>"17744"</f>
        <v>17744</v>
      </c>
      <c r="C21788" s="1">
        <v>2.6702147182969298E-2</v>
      </c>
      <c r="D21788" s="1">
        <v>9.6910963052695299E-3</v>
      </c>
      <c r="E21788" s="1">
        <v>5.9797608095676098E-3</v>
      </c>
      <c r="F21788" s="1">
        <v>2.4603599655939098E-2</v>
      </c>
    </row>
    <row r="21789" spans="1:6" x14ac:dyDescent="0.25">
      <c r="A21789" s="2" t="str">
        <f t="shared" si="778"/>
        <v>48700</v>
      </c>
      <c r="B21789" s="2" t="str">
        <f>"17771"</f>
        <v>17771</v>
      </c>
      <c r="C21789" s="1">
        <v>2.7748210680858799E-2</v>
      </c>
      <c r="D21789" s="1">
        <v>5.8550373511003402E-3</v>
      </c>
      <c r="E21789" s="1">
        <v>6.4397424103035802E-3</v>
      </c>
      <c r="F21789" s="1">
        <v>2.5236541863446701E-2</v>
      </c>
    </row>
    <row r="21790" spans="1:6" x14ac:dyDescent="0.25">
      <c r="A21790" s="2" t="str">
        <f t="shared" si="778"/>
        <v>48700</v>
      </c>
      <c r="B21790" s="2" t="str">
        <f>"17739"</f>
        <v>17739</v>
      </c>
      <c r="C21790" s="1">
        <v>4.9550376215819398E-4</v>
      </c>
      <c r="D21790" s="1">
        <v>2.0189783969311499E-4</v>
      </c>
      <c r="E21790" s="1">
        <v>0</v>
      </c>
      <c r="F21790" s="1">
        <v>4.5442004641576102E-4</v>
      </c>
    </row>
    <row r="21791" spans="1:6" x14ac:dyDescent="0.25">
      <c r="A21791" s="2" t="str">
        <f t="shared" si="778"/>
        <v>48700</v>
      </c>
      <c r="B21791" s="2" t="str">
        <f>"17701"</f>
        <v>17701</v>
      </c>
      <c r="C21791" s="1">
        <v>0.39524683428151902</v>
      </c>
      <c r="D21791" s="1">
        <v>0.46517262265293702</v>
      </c>
      <c r="E21791" s="1">
        <v>0.62373505059797596</v>
      </c>
      <c r="F21791" s="1">
        <v>0.40892935391206903</v>
      </c>
    </row>
    <row r="21792" spans="1:6" x14ac:dyDescent="0.25">
      <c r="A21792" s="2" t="str">
        <f t="shared" si="778"/>
        <v>48700</v>
      </c>
      <c r="B21792" s="2" t="str">
        <f>"17763"</f>
        <v>17763</v>
      </c>
      <c r="C21792" s="1">
        <v>7.3407964764176897E-5</v>
      </c>
      <c r="D21792" s="1">
        <v>1.0094891984655701E-3</v>
      </c>
      <c r="E21792" s="1">
        <v>0</v>
      </c>
      <c r="F21792" s="1">
        <v>1.46063586347923E-4</v>
      </c>
    </row>
    <row r="21793" spans="1:6" x14ac:dyDescent="0.25">
      <c r="A21793" s="2" t="str">
        <f t="shared" si="778"/>
        <v>48700</v>
      </c>
      <c r="B21793" s="2" t="str">
        <f>"17745"</f>
        <v>17745</v>
      </c>
      <c r="C21793" s="1">
        <v>1.9636630574417298E-3</v>
      </c>
      <c r="D21793" s="1">
        <v>4.0379567938622998E-4</v>
      </c>
      <c r="E21793" s="1">
        <v>0</v>
      </c>
      <c r="F21793" s="1">
        <v>1.76899232354707E-3</v>
      </c>
    </row>
    <row r="21794" spans="1:6" x14ac:dyDescent="0.25">
      <c r="A21794" s="2" t="str">
        <f t="shared" si="778"/>
        <v>48700</v>
      </c>
      <c r="B21794" s="2" t="str">
        <f>"17742"</f>
        <v>17742</v>
      </c>
      <c r="C21794" s="1">
        <v>4.7715177096714899E-4</v>
      </c>
      <c r="D21794" s="1">
        <v>4.0379567938622998E-4</v>
      </c>
      <c r="E21794" s="1">
        <v>9.1996320147194101E-4</v>
      </c>
      <c r="F21794" s="1">
        <v>4.8687862115974403E-4</v>
      </c>
    </row>
    <row r="21795" spans="1:6" x14ac:dyDescent="0.25">
      <c r="A21795" s="2" t="str">
        <f t="shared" si="778"/>
        <v>48700</v>
      </c>
      <c r="B21795" s="2" t="str">
        <f>"17769"</f>
        <v>17769</v>
      </c>
      <c r="C21795" s="1">
        <v>6.2396770049550298E-4</v>
      </c>
      <c r="D21795" s="1">
        <v>6.0569351907934497E-4</v>
      </c>
      <c r="E21795" s="1">
        <v>0</v>
      </c>
      <c r="F21795" s="1">
        <v>6.0048363276368505E-4</v>
      </c>
    </row>
    <row r="21796" spans="1:6" x14ac:dyDescent="0.25">
      <c r="A21796" s="2" t="str">
        <f t="shared" si="778"/>
        <v>48700</v>
      </c>
      <c r="B21796" s="2" t="str">
        <f>"17723"</f>
        <v>17723</v>
      </c>
      <c r="C21796" s="1">
        <v>1.30299137456414E-3</v>
      </c>
      <c r="D21796" s="1">
        <v>1.2113870381586899E-3</v>
      </c>
      <c r="E21796" s="1">
        <v>4.5998160073597001E-4</v>
      </c>
      <c r="F21796" s="1">
        <v>1.2658844150153299E-3</v>
      </c>
    </row>
    <row r="21797" spans="1:6" x14ac:dyDescent="0.25">
      <c r="A21797" s="2" t="str">
        <f t="shared" si="778"/>
        <v>48700</v>
      </c>
      <c r="B21797" s="2" t="str">
        <f>"17762"</f>
        <v>17762</v>
      </c>
      <c r="C21797" s="1">
        <v>5.5055973573132601E-5</v>
      </c>
      <c r="D21797" s="1">
        <v>2.0189783969311499E-4</v>
      </c>
      <c r="E21797" s="1">
        <v>0</v>
      </c>
      <c r="F21797" s="1">
        <v>6.4917149487965899E-5</v>
      </c>
    </row>
    <row r="21798" spans="1:6" x14ac:dyDescent="0.25">
      <c r="A21798" s="2" t="str">
        <f t="shared" si="778"/>
        <v>48700</v>
      </c>
      <c r="B21798" s="2" t="str">
        <f>"17810"</f>
        <v>17810</v>
      </c>
      <c r="C21798" s="1">
        <v>8.3501559919251199E-3</v>
      </c>
      <c r="D21798" s="1">
        <v>5.0474459923278798E-3</v>
      </c>
      <c r="E21798" s="1">
        <v>9.1996320147194101E-4</v>
      </c>
      <c r="F21798" s="1">
        <v>7.8225165132999007E-3</v>
      </c>
    </row>
    <row r="21799" spans="1:6" x14ac:dyDescent="0.25">
      <c r="A21799" s="2" t="str">
        <f t="shared" si="778"/>
        <v>48700</v>
      </c>
      <c r="B21799" s="2" t="str">
        <f>"17721"</f>
        <v>17721</v>
      </c>
      <c r="C21799" s="1">
        <v>0</v>
      </c>
      <c r="D21799" s="1">
        <v>2.0189783969311499E-4</v>
      </c>
      <c r="E21799" s="1">
        <v>0</v>
      </c>
      <c r="F21799" s="1">
        <v>1.62292873719914E-5</v>
      </c>
    </row>
    <row r="21800" spans="1:6" x14ac:dyDescent="0.25">
      <c r="A21800" s="2" t="str">
        <f t="shared" si="778"/>
        <v>48700</v>
      </c>
      <c r="B21800" s="2" t="str">
        <f>"17740"</f>
        <v>17740</v>
      </c>
      <c r="C21800" s="1">
        <v>8.3630023857588498E-2</v>
      </c>
      <c r="D21800" s="1">
        <v>5.9357964869775799E-2</v>
      </c>
      <c r="E21800" s="1">
        <v>7.5436982520699095E-2</v>
      </c>
      <c r="F21800" s="1">
        <v>8.1389876170537306E-2</v>
      </c>
    </row>
    <row r="21801" spans="1:6" x14ac:dyDescent="0.25">
      <c r="A21801" s="2" t="str">
        <f t="shared" si="778"/>
        <v>48700</v>
      </c>
      <c r="B21801" s="2" t="str">
        <f>"17772"</f>
        <v>17772</v>
      </c>
      <c r="C21801" s="1">
        <v>7.3407964764176897E-5</v>
      </c>
      <c r="D21801" s="1">
        <v>0</v>
      </c>
      <c r="E21801" s="1">
        <v>0</v>
      </c>
      <c r="F21801" s="1">
        <v>6.4917149487965899E-5</v>
      </c>
    </row>
    <row r="21802" spans="1:6" x14ac:dyDescent="0.25">
      <c r="A21802" s="2" t="str">
        <f t="shared" si="778"/>
        <v>48700</v>
      </c>
      <c r="B21802" s="2" t="str">
        <f>"17814"</f>
        <v>17814</v>
      </c>
      <c r="C21802" s="1">
        <v>1.21123141860891E-3</v>
      </c>
      <c r="D21802" s="1">
        <v>0</v>
      </c>
      <c r="E21802" s="1">
        <v>0</v>
      </c>
      <c r="F21802" s="1">
        <v>1.0711329665514301E-3</v>
      </c>
    </row>
    <row r="21803" spans="1:6" x14ac:dyDescent="0.25">
      <c r="A21803" s="2" t="str">
        <f t="shared" si="778"/>
        <v>48700</v>
      </c>
      <c r="B21803" s="2" t="str">
        <f>"17727"</f>
        <v>17727</v>
      </c>
      <c r="C21803" s="1">
        <v>6.4231969168654704E-4</v>
      </c>
      <c r="D21803" s="1">
        <v>1.2113870381586899E-3</v>
      </c>
      <c r="E21803" s="1">
        <v>4.5998160073597001E-4</v>
      </c>
      <c r="F21803" s="1">
        <v>6.8163006962364205E-4</v>
      </c>
    </row>
    <row r="21804" spans="1:6" x14ac:dyDescent="0.25">
      <c r="A21804" s="2" t="str">
        <f t="shared" si="778"/>
        <v>48700</v>
      </c>
      <c r="B21804" s="2" t="str">
        <f>"17720"</f>
        <v>17720</v>
      </c>
      <c r="C21804" s="1">
        <v>1.83519911910442E-5</v>
      </c>
      <c r="D21804" s="1">
        <v>2.0189783969311499E-4</v>
      </c>
      <c r="E21804" s="1">
        <v>0</v>
      </c>
      <c r="F21804" s="1">
        <v>3.2458574743982902E-5</v>
      </c>
    </row>
    <row r="21805" spans="1:6" x14ac:dyDescent="0.25">
      <c r="A21805" s="2" t="str">
        <f t="shared" si="778"/>
        <v>48700</v>
      </c>
      <c r="B21805" s="2" t="str">
        <f>"17702"</f>
        <v>17702</v>
      </c>
      <c r="C21805" s="1">
        <v>8.81079097082033E-2</v>
      </c>
      <c r="D21805" s="1">
        <v>5.6329497274379102E-2</v>
      </c>
      <c r="E21805" s="1">
        <v>6.3477460901563906E-2</v>
      </c>
      <c r="F21805" s="1">
        <v>8.4684421507051605E-2</v>
      </c>
    </row>
    <row r="21806" spans="1:6" x14ac:dyDescent="0.25">
      <c r="A21806" s="2" t="str">
        <f t="shared" si="778"/>
        <v>48700</v>
      </c>
      <c r="B21806" s="2" t="str">
        <f>"17747"</f>
        <v>17747</v>
      </c>
      <c r="C21806" s="1">
        <v>1.83519911910442E-5</v>
      </c>
      <c r="D21806" s="1">
        <v>0</v>
      </c>
      <c r="E21806" s="1">
        <v>0</v>
      </c>
      <c r="F21806" s="1">
        <v>1.62292873719914E-5</v>
      </c>
    </row>
    <row r="21807" spans="1:6" x14ac:dyDescent="0.25">
      <c r="A21807" s="2" t="str">
        <f t="shared" si="778"/>
        <v>48700</v>
      </c>
      <c r="B21807" s="2" t="str">
        <f>"17754"</f>
        <v>17754</v>
      </c>
      <c r="C21807" s="1">
        <v>0.10879060378051</v>
      </c>
      <c r="D21807" s="1">
        <v>0.133858267716535</v>
      </c>
      <c r="E21807" s="1">
        <v>7.0837166513339406E-2</v>
      </c>
      <c r="F21807" s="1">
        <v>0.109466543324082</v>
      </c>
    </row>
    <row r="21808" spans="1:6" x14ac:dyDescent="0.25">
      <c r="A21808" s="2" t="str">
        <f t="shared" si="778"/>
        <v>48700</v>
      </c>
      <c r="B21808" s="2" t="str">
        <f>"17776"</f>
        <v>17776</v>
      </c>
      <c r="C21808" s="1">
        <v>2.6426867315103601E-3</v>
      </c>
      <c r="D21808" s="1">
        <v>2.2208762366242602E-3</v>
      </c>
      <c r="E21808" s="1">
        <v>0</v>
      </c>
      <c r="F21808" s="1">
        <v>2.5155395426586799E-3</v>
      </c>
    </row>
    <row r="21809" spans="1:6" x14ac:dyDescent="0.25">
      <c r="A21809" s="2" t="str">
        <f t="shared" si="778"/>
        <v>48700</v>
      </c>
      <c r="B21809" s="2" t="str">
        <f>"17774"</f>
        <v>17774</v>
      </c>
      <c r="C21809" s="1">
        <v>9.4145714810056798E-3</v>
      </c>
      <c r="D21809" s="1">
        <v>1.81708055723803E-3</v>
      </c>
      <c r="E21809" s="1">
        <v>1.8399264029438801E-3</v>
      </c>
      <c r="F21809" s="1">
        <v>8.5366051576675206E-3</v>
      </c>
    </row>
    <row r="21810" spans="1:6" x14ac:dyDescent="0.25">
      <c r="A21810" s="2" t="str">
        <f t="shared" si="778"/>
        <v>48700</v>
      </c>
      <c r="B21810" s="2" t="str">
        <f>"17703"</f>
        <v>17703</v>
      </c>
      <c r="C21810" s="1">
        <v>1.29565057808772E-2</v>
      </c>
      <c r="D21810" s="1">
        <v>6.4001615182717506E-2</v>
      </c>
      <c r="E21810" s="1">
        <v>4.5998160073597001E-4</v>
      </c>
      <c r="F21810" s="1">
        <v>1.6618790268919201E-2</v>
      </c>
    </row>
    <row r="21811" spans="1:6" x14ac:dyDescent="0.25">
      <c r="A21811" s="2" t="str">
        <f t="shared" si="778"/>
        <v>48700</v>
      </c>
      <c r="B21811" s="2" t="str">
        <f>"17758"</f>
        <v>17758</v>
      </c>
      <c r="C21811" s="1">
        <v>1.4498073040924899E-3</v>
      </c>
      <c r="D21811" s="1">
        <v>1.4132848778518E-3</v>
      </c>
      <c r="E21811" s="1">
        <v>0</v>
      </c>
      <c r="F21811" s="1">
        <v>1.39571871399126E-3</v>
      </c>
    </row>
    <row r="21812" spans="1:6" x14ac:dyDescent="0.25">
      <c r="A21812" s="2" t="str">
        <f t="shared" si="778"/>
        <v>48700</v>
      </c>
      <c r="B21812" s="2" t="str">
        <f>"17765"</f>
        <v>17765</v>
      </c>
      <c r="C21812" s="1">
        <v>2.5325747843640998E-3</v>
      </c>
      <c r="D21812" s="1">
        <v>6.0569351907934497E-4</v>
      </c>
      <c r="E21812" s="1">
        <v>0</v>
      </c>
      <c r="F21812" s="1">
        <v>2.2883295194508001E-3</v>
      </c>
    </row>
    <row r="21813" spans="1:6" x14ac:dyDescent="0.25">
      <c r="A21813" s="2" t="str">
        <f t="shared" si="778"/>
        <v>48700</v>
      </c>
      <c r="B21813" s="2" t="str">
        <f>"16938"</f>
        <v>16938</v>
      </c>
      <c r="C21813" s="1">
        <v>2.0003670398238199E-3</v>
      </c>
      <c r="D21813" s="1">
        <v>6.0569351907934497E-4</v>
      </c>
      <c r="E21813" s="1">
        <v>0</v>
      </c>
      <c r="F21813" s="1">
        <v>1.81768018566304E-3</v>
      </c>
    </row>
    <row r="21814" spans="1:6" x14ac:dyDescent="0.25">
      <c r="A21814" s="2" t="str">
        <f t="shared" ref="A21814:A21853" si="779">"20700"</f>
        <v>20700</v>
      </c>
      <c r="B21814" s="2" t="str">
        <f>"18610"</f>
        <v>18610</v>
      </c>
      <c r="C21814" s="1">
        <v>2.0870342994148802E-2</v>
      </c>
      <c r="D21814" s="1">
        <v>1.1310958650101901E-2</v>
      </c>
      <c r="E21814" s="1">
        <v>5.0111358574610196E-3</v>
      </c>
      <c r="F21814" s="1">
        <v>1.9957575895810001E-2</v>
      </c>
    </row>
    <row r="21815" spans="1:6" x14ac:dyDescent="0.25">
      <c r="A21815" s="2" t="str">
        <f t="shared" si="779"/>
        <v>20700</v>
      </c>
      <c r="B21815" s="2" t="str">
        <f>"18341"</f>
        <v>18341</v>
      </c>
      <c r="C21815" s="1">
        <v>0</v>
      </c>
      <c r="D21815" s="1">
        <v>1.8542555164101601E-4</v>
      </c>
      <c r="E21815" s="1">
        <v>0</v>
      </c>
      <c r="F21815" s="1">
        <v>1.140432908332E-5</v>
      </c>
    </row>
    <row r="21816" spans="1:6" x14ac:dyDescent="0.25">
      <c r="A21816" s="2" t="str">
        <f t="shared" si="779"/>
        <v>20700</v>
      </c>
      <c r="B21816" s="2" t="str">
        <f>"18333"</f>
        <v>18333</v>
      </c>
      <c r="C21816" s="1">
        <v>1.0435171497074399E-3</v>
      </c>
      <c r="D21816" s="1">
        <v>3.8939365844613302E-3</v>
      </c>
      <c r="E21816" s="1">
        <v>1.1135857461024401E-3</v>
      </c>
      <c r="F21816" s="1">
        <v>1.22026321191524E-3</v>
      </c>
    </row>
    <row r="21817" spans="1:6" x14ac:dyDescent="0.25">
      <c r="A21817" s="2" t="str">
        <f t="shared" si="779"/>
        <v>20700</v>
      </c>
      <c r="B21817" s="2" t="str">
        <f>"18334"</f>
        <v>18334</v>
      </c>
      <c r="C21817" s="1">
        <v>2.2087779668807501E-2</v>
      </c>
      <c r="D21817" s="1">
        <v>1.11255330984609E-3</v>
      </c>
      <c r="E21817" s="1">
        <v>4.4543429844097898E-3</v>
      </c>
      <c r="F21817" s="1">
        <v>2.04365577173094E-2</v>
      </c>
    </row>
    <row r="21818" spans="1:6" x14ac:dyDescent="0.25">
      <c r="A21818" s="2" t="str">
        <f t="shared" si="779"/>
        <v>20700</v>
      </c>
      <c r="B21818" s="2" t="str">
        <f>"18210"</f>
        <v>18210</v>
      </c>
      <c r="C21818" s="1">
        <v>1.17892592270519E-2</v>
      </c>
      <c r="D21818" s="1">
        <v>7.4170220656406404E-4</v>
      </c>
      <c r="E21818" s="1">
        <v>0</v>
      </c>
      <c r="F21818" s="1">
        <v>1.08683256164039E-2</v>
      </c>
    </row>
    <row r="21819" spans="1:6" x14ac:dyDescent="0.25">
      <c r="A21819" s="2" t="str">
        <f t="shared" si="779"/>
        <v>20700</v>
      </c>
      <c r="B21819" s="2" t="str">
        <f>"18071"</f>
        <v>18071</v>
      </c>
      <c r="C21819" s="1">
        <v>1.2919736139235E-3</v>
      </c>
      <c r="D21819" s="1">
        <v>1.8542555164101601E-4</v>
      </c>
      <c r="E21819" s="1">
        <v>1.1135857461024401E-3</v>
      </c>
      <c r="F21819" s="1">
        <v>1.22026321191524E-3</v>
      </c>
    </row>
    <row r="21820" spans="1:6" x14ac:dyDescent="0.25">
      <c r="A21820" s="2" t="str">
        <f t="shared" si="779"/>
        <v>20700</v>
      </c>
      <c r="B21820" s="2" t="str">
        <f>"18424"</f>
        <v>18424</v>
      </c>
      <c r="C21820" s="1">
        <v>3.8634980185596902E-3</v>
      </c>
      <c r="D21820" s="1">
        <v>3.7085110328203202E-4</v>
      </c>
      <c r="E21820" s="1">
        <v>5.5679287305122405E-4</v>
      </c>
      <c r="F21820" s="1">
        <v>3.5809593321624801E-3</v>
      </c>
    </row>
    <row r="21821" spans="1:6" x14ac:dyDescent="0.25">
      <c r="A21821" s="2" t="str">
        <f t="shared" si="779"/>
        <v>20700</v>
      </c>
      <c r="B21821" s="2" t="str">
        <f>"18370"</f>
        <v>18370</v>
      </c>
      <c r="C21821" s="1">
        <v>1.28079307303377E-2</v>
      </c>
      <c r="D21821" s="1">
        <v>1.53903207862043E-2</v>
      </c>
      <c r="E21821" s="1">
        <v>5.0111358574610196E-3</v>
      </c>
      <c r="F21821" s="1">
        <v>1.28070615605683E-2</v>
      </c>
    </row>
    <row r="21822" spans="1:6" x14ac:dyDescent="0.25">
      <c r="A21822" s="2" t="str">
        <f t="shared" si="779"/>
        <v>20700</v>
      </c>
      <c r="B21822" s="2" t="str">
        <f>"18349"</f>
        <v>18349</v>
      </c>
      <c r="C21822" s="1">
        <v>0</v>
      </c>
      <c r="D21822" s="1">
        <v>1.8542555164101601E-4</v>
      </c>
      <c r="E21822" s="1">
        <v>0</v>
      </c>
      <c r="F21822" s="1">
        <v>1.140432908332E-5</v>
      </c>
    </row>
    <row r="21823" spans="1:6" x14ac:dyDescent="0.25">
      <c r="A21823" s="2" t="str">
        <f t="shared" si="779"/>
        <v>20700</v>
      </c>
      <c r="B21823" s="2" t="str">
        <f>"18346"</f>
        <v>18346</v>
      </c>
      <c r="C21823" s="1">
        <v>2.44853845484924E-2</v>
      </c>
      <c r="D21823" s="1">
        <v>2.48470239198961E-2</v>
      </c>
      <c r="E21823" s="1">
        <v>8.3518930957683698E-3</v>
      </c>
      <c r="F21823" s="1">
        <v>2.4177177656638401E-2</v>
      </c>
    </row>
    <row r="21824" spans="1:6" x14ac:dyDescent="0.25">
      <c r="A21824" s="2" t="str">
        <f t="shared" si="779"/>
        <v>20700</v>
      </c>
      <c r="B21824" s="2" t="str">
        <f>"18355"</f>
        <v>18355</v>
      </c>
      <c r="C21824" s="1">
        <v>7.5033852193249397E-3</v>
      </c>
      <c r="D21824" s="1">
        <v>3.5230854811793E-3</v>
      </c>
      <c r="E21824" s="1">
        <v>2.2271714922048901E-3</v>
      </c>
      <c r="F21824" s="1">
        <v>7.1505143352416497E-3</v>
      </c>
    </row>
    <row r="21825" spans="1:6" x14ac:dyDescent="0.25">
      <c r="A21825" s="2" t="str">
        <f t="shared" si="779"/>
        <v>20700</v>
      </c>
      <c r="B21825" s="2" t="str">
        <f>"18372"</f>
        <v>18372</v>
      </c>
      <c r="C21825" s="1">
        <v>2.2572269774028798E-2</v>
      </c>
      <c r="D21825" s="1">
        <v>7.5097348414611506E-2</v>
      </c>
      <c r="E21825" s="1">
        <v>2.4498886414253799E-2</v>
      </c>
      <c r="F21825" s="1">
        <v>2.5842209702803098E-2</v>
      </c>
    </row>
    <row r="21826" spans="1:6" x14ac:dyDescent="0.25">
      <c r="A21826" s="2" t="str">
        <f t="shared" si="779"/>
        <v>20700</v>
      </c>
      <c r="B21826" s="2" t="str">
        <f>"18352"</f>
        <v>18352</v>
      </c>
      <c r="C21826" s="1">
        <v>1.2422823210802799E-5</v>
      </c>
      <c r="D21826" s="1">
        <v>1.8542555164101601E-4</v>
      </c>
      <c r="E21826" s="1">
        <v>0</v>
      </c>
      <c r="F21826" s="1">
        <v>2.2808658166639999E-5</v>
      </c>
    </row>
    <row r="21827" spans="1:6" x14ac:dyDescent="0.25">
      <c r="A21827" s="2" t="str">
        <f t="shared" si="779"/>
        <v>20700</v>
      </c>
      <c r="B21827" s="2" t="str">
        <f>"18354"</f>
        <v>18354</v>
      </c>
      <c r="C21827" s="1">
        <v>4.8945923450563304E-3</v>
      </c>
      <c r="D21827" s="1">
        <v>7.9732987205636905E-3</v>
      </c>
      <c r="E21827" s="1">
        <v>8.3518930957683698E-3</v>
      </c>
      <c r="F21827" s="1">
        <v>5.1547567456606503E-3</v>
      </c>
    </row>
    <row r="21828" spans="1:6" x14ac:dyDescent="0.25">
      <c r="A21828" s="2" t="str">
        <f t="shared" si="779"/>
        <v>20700</v>
      </c>
      <c r="B21828" s="2" t="str">
        <f>"18302"</f>
        <v>18302</v>
      </c>
      <c r="C21828" s="1">
        <v>9.5792389778501005E-2</v>
      </c>
      <c r="D21828" s="1">
        <v>4.3018727980715703E-2</v>
      </c>
      <c r="E21828" s="1">
        <v>9.0757238307349594E-2</v>
      </c>
      <c r="F21828" s="1">
        <v>9.2443491549392104E-2</v>
      </c>
    </row>
    <row r="21829" spans="1:6" x14ac:dyDescent="0.25">
      <c r="A21829" s="2" t="str">
        <f t="shared" si="779"/>
        <v>20700</v>
      </c>
      <c r="B21829" s="2" t="str">
        <f>"18301"</f>
        <v>18301</v>
      </c>
      <c r="C21829" s="1">
        <v>0.186156005813881</v>
      </c>
      <c r="D21829" s="1">
        <v>0.208418320044502</v>
      </c>
      <c r="E21829" s="1">
        <v>0.27728285077950998</v>
      </c>
      <c r="F21829" s="1">
        <v>0.18939169308669501</v>
      </c>
    </row>
    <row r="21830" spans="1:6" x14ac:dyDescent="0.25">
      <c r="A21830" s="2" t="str">
        <f t="shared" si="779"/>
        <v>20700</v>
      </c>
      <c r="B21830" s="2" t="str">
        <f>"18357"</f>
        <v>18357</v>
      </c>
      <c r="C21830" s="1">
        <v>0</v>
      </c>
      <c r="D21830" s="1">
        <v>3.7085110328203202E-4</v>
      </c>
      <c r="E21830" s="1">
        <v>0</v>
      </c>
      <c r="F21830" s="1">
        <v>2.2808658166639999E-5</v>
      </c>
    </row>
    <row r="21831" spans="1:6" x14ac:dyDescent="0.25">
      <c r="A21831" s="2" t="str">
        <f t="shared" si="779"/>
        <v>20700</v>
      </c>
      <c r="B21831" s="2" t="str">
        <f>"18347"</f>
        <v>18347</v>
      </c>
      <c r="C21831" s="1">
        <v>1.98640943140738E-2</v>
      </c>
      <c r="D21831" s="1">
        <v>8.52957537548674E-3</v>
      </c>
      <c r="E21831" s="1">
        <v>7.79510022271714E-3</v>
      </c>
      <c r="F21831" s="1">
        <v>1.8919781949227901E-2</v>
      </c>
    </row>
    <row r="21832" spans="1:6" x14ac:dyDescent="0.25">
      <c r="A21832" s="2" t="str">
        <f t="shared" si="779"/>
        <v>20700</v>
      </c>
      <c r="B21832" s="2" t="str">
        <f>"18330"</f>
        <v>18330</v>
      </c>
      <c r="C21832" s="1">
        <v>3.9330658285401901E-2</v>
      </c>
      <c r="D21832" s="1">
        <v>1.39069163730762E-2</v>
      </c>
      <c r="E21832" s="1">
        <v>1.6703786191536701E-2</v>
      </c>
      <c r="F21832" s="1">
        <v>3.7303560431539803E-2</v>
      </c>
    </row>
    <row r="21833" spans="1:6" x14ac:dyDescent="0.25">
      <c r="A21833" s="2" t="str">
        <f t="shared" si="779"/>
        <v>20700</v>
      </c>
      <c r="B21833" s="2" t="str">
        <f>"18325"</f>
        <v>18325</v>
      </c>
      <c r="C21833" s="1">
        <v>9.9755270382747094E-3</v>
      </c>
      <c r="D21833" s="1">
        <v>3.3376599295382899E-3</v>
      </c>
      <c r="E21833" s="1">
        <v>4.4543429844097898E-3</v>
      </c>
      <c r="F21833" s="1">
        <v>9.4541888100722997E-3</v>
      </c>
    </row>
    <row r="21834" spans="1:6" x14ac:dyDescent="0.25">
      <c r="A21834" s="2" t="str">
        <f t="shared" si="779"/>
        <v>20700</v>
      </c>
      <c r="B21834" s="2" t="str">
        <f>"18320"</f>
        <v>18320</v>
      </c>
      <c r="C21834" s="1">
        <v>4.8449010522131197E-3</v>
      </c>
      <c r="D21834" s="1">
        <v>7.4170220656406402E-3</v>
      </c>
      <c r="E21834" s="1">
        <v>1.1135857461024401E-3</v>
      </c>
      <c r="F21834" s="1">
        <v>4.9266701639942498E-3</v>
      </c>
    </row>
    <row r="21835" spans="1:6" x14ac:dyDescent="0.25">
      <c r="A21835" s="2" t="str">
        <f t="shared" si="779"/>
        <v>20700</v>
      </c>
      <c r="B21835" s="2" t="str">
        <f>"18058"</f>
        <v>18058</v>
      </c>
      <c r="C21835" s="1">
        <v>4.3057505248642797E-2</v>
      </c>
      <c r="D21835" s="1">
        <v>7.0461709623586104E-3</v>
      </c>
      <c r="E21835" s="1">
        <v>6.1247216035634697E-3</v>
      </c>
      <c r="F21835" s="1">
        <v>4.00862167278698E-2</v>
      </c>
    </row>
    <row r="21836" spans="1:6" x14ac:dyDescent="0.25">
      <c r="A21836" s="2" t="str">
        <f t="shared" si="779"/>
        <v>20700</v>
      </c>
      <c r="B21836" s="2" t="str">
        <f>"18356"</f>
        <v>18356</v>
      </c>
      <c r="C21836" s="1">
        <v>6.5965191249363299E-3</v>
      </c>
      <c r="D21836" s="1">
        <v>8.3441498238457194E-3</v>
      </c>
      <c r="E21836" s="1">
        <v>1.1135857461024401E-3</v>
      </c>
      <c r="F21836" s="1">
        <v>6.5917022101589697E-3</v>
      </c>
    </row>
    <row r="21837" spans="1:6" x14ac:dyDescent="0.25">
      <c r="A21837" s="2" t="str">
        <f t="shared" si="779"/>
        <v>20700</v>
      </c>
      <c r="B21837" s="2" t="str">
        <f>"18360"</f>
        <v>18360</v>
      </c>
      <c r="C21837" s="1">
        <v>0.15954631849634099</v>
      </c>
      <c r="D21837" s="1">
        <v>0.29000556276654899</v>
      </c>
      <c r="E21837" s="1">
        <v>0.31792873051224901</v>
      </c>
      <c r="F21837" s="1">
        <v>0.170814041009967</v>
      </c>
    </row>
    <row r="21838" spans="1:6" x14ac:dyDescent="0.25">
      <c r="A21838" s="2" t="str">
        <f t="shared" si="779"/>
        <v>20700</v>
      </c>
      <c r="B21838" s="2" t="str">
        <f>"18328"</f>
        <v>18328</v>
      </c>
      <c r="C21838" s="1">
        <v>2.48456464216057E-5</v>
      </c>
      <c r="D21838" s="1">
        <v>0</v>
      </c>
      <c r="E21838" s="1">
        <v>0</v>
      </c>
      <c r="F21838" s="1">
        <v>2.2808658166639999E-5</v>
      </c>
    </row>
    <row r="21839" spans="1:6" x14ac:dyDescent="0.25">
      <c r="A21839" s="2" t="str">
        <f t="shared" si="779"/>
        <v>20700</v>
      </c>
      <c r="B21839" s="2" t="str">
        <f>"18327"</f>
        <v>18327</v>
      </c>
      <c r="C21839" s="1">
        <v>7.4288482800601201E-3</v>
      </c>
      <c r="D21839" s="1">
        <v>1.37214908214351E-2</v>
      </c>
      <c r="E21839" s="1">
        <v>1.1135857461024401E-3</v>
      </c>
      <c r="F21839" s="1">
        <v>7.6865178021576896E-3</v>
      </c>
    </row>
    <row r="21840" spans="1:6" x14ac:dyDescent="0.25">
      <c r="A21840" s="2" t="str">
        <f t="shared" si="779"/>
        <v>20700</v>
      </c>
      <c r="B21840" s="2" t="str">
        <f>"18353"</f>
        <v>18353</v>
      </c>
      <c r="C21840" s="1">
        <v>5.8387269090773498E-2</v>
      </c>
      <c r="D21840" s="1">
        <v>7.4170220656406402E-3</v>
      </c>
      <c r="E21840" s="1">
        <v>1.5033407572383001E-2</v>
      </c>
      <c r="F21840" s="1">
        <v>5.4364436740186498E-2</v>
      </c>
    </row>
    <row r="21841" spans="1:6" x14ac:dyDescent="0.25">
      <c r="A21841" s="2" t="str">
        <f t="shared" si="779"/>
        <v>20700</v>
      </c>
      <c r="B21841" s="2" t="str">
        <f>"18326"</f>
        <v>18326</v>
      </c>
      <c r="C21841" s="1">
        <v>3.1404897076909598E-2</v>
      </c>
      <c r="D21841" s="1">
        <v>2.79992582977934E-2</v>
      </c>
      <c r="E21841" s="1">
        <v>2.5055679287305101E-2</v>
      </c>
      <c r="F21841" s="1">
        <v>3.1065392422963699E-2</v>
      </c>
    </row>
    <row r="21842" spans="1:6" x14ac:dyDescent="0.25">
      <c r="A21842" s="2" t="str">
        <f t="shared" si="779"/>
        <v>20700</v>
      </c>
      <c r="B21842" s="2" t="str">
        <f>"18466"</f>
        <v>18466</v>
      </c>
      <c r="C21842" s="1">
        <v>0.105345540827608</v>
      </c>
      <c r="D21842" s="1">
        <v>3.2078620433895699E-2</v>
      </c>
      <c r="E21842" s="1">
        <v>3.1180400890868501E-2</v>
      </c>
      <c r="F21842" s="1">
        <v>9.9320301986634094E-2</v>
      </c>
    </row>
    <row r="21843" spans="1:6" x14ac:dyDescent="0.25">
      <c r="A21843" s="2" t="str">
        <f t="shared" si="779"/>
        <v>20700</v>
      </c>
      <c r="B21843" s="2" t="str">
        <f>"18323"</f>
        <v>18323</v>
      </c>
      <c r="C21843" s="1">
        <v>4.9691292843211502E-5</v>
      </c>
      <c r="D21843" s="1">
        <v>3.7085110328203202E-4</v>
      </c>
      <c r="E21843" s="1">
        <v>0</v>
      </c>
      <c r="F21843" s="1">
        <v>6.84259744999201E-5</v>
      </c>
    </row>
    <row r="21844" spans="1:6" x14ac:dyDescent="0.25">
      <c r="A21844" s="2" t="str">
        <f t="shared" si="779"/>
        <v>20700</v>
      </c>
      <c r="B21844" s="2" t="str">
        <f>"18321"</f>
        <v>18321</v>
      </c>
      <c r="C21844" s="1">
        <v>8.4847882529783692E-3</v>
      </c>
      <c r="D21844" s="1">
        <v>2.3734470610050001E-2</v>
      </c>
      <c r="E21844" s="1">
        <v>1.2249443207126899E-2</v>
      </c>
      <c r="F21844" s="1">
        <v>9.49980612640558E-3</v>
      </c>
    </row>
    <row r="21845" spans="1:6" x14ac:dyDescent="0.25">
      <c r="A21845" s="2" t="str">
        <f t="shared" si="779"/>
        <v>20700</v>
      </c>
      <c r="B21845" s="2" t="str">
        <f>"18348"</f>
        <v>18348</v>
      </c>
      <c r="C21845" s="1">
        <v>0</v>
      </c>
      <c r="D21845" s="1">
        <v>1.8542555164101601E-4</v>
      </c>
      <c r="E21845" s="1">
        <v>0</v>
      </c>
      <c r="F21845" s="1">
        <v>1.140432908332E-5</v>
      </c>
    </row>
    <row r="21846" spans="1:6" x14ac:dyDescent="0.25">
      <c r="A21846" s="2" t="str">
        <f t="shared" si="779"/>
        <v>20700</v>
      </c>
      <c r="B21846" s="2" t="str">
        <f>"18331"</f>
        <v>18331</v>
      </c>
      <c r="C21846" s="1">
        <v>2.4224505261065598E-3</v>
      </c>
      <c r="D21846" s="1">
        <v>7.78787316892267E-3</v>
      </c>
      <c r="E21846" s="1">
        <v>8.3518930957683698E-3</v>
      </c>
      <c r="F21846" s="1">
        <v>2.8738909289966401E-3</v>
      </c>
    </row>
    <row r="21847" spans="1:6" x14ac:dyDescent="0.25">
      <c r="A21847" s="2" t="str">
        <f t="shared" si="779"/>
        <v>20700</v>
      </c>
      <c r="B21847" s="2" t="str">
        <f>"18344"</f>
        <v>18344</v>
      </c>
      <c r="C21847" s="1">
        <v>2.8224654334944099E-2</v>
      </c>
      <c r="D21847" s="1">
        <v>6.65677730391247E-2</v>
      </c>
      <c r="E21847" s="1">
        <v>7.0155902004454304E-2</v>
      </c>
      <c r="F21847" s="1">
        <v>3.1441735282713303E-2</v>
      </c>
    </row>
    <row r="21848" spans="1:6" x14ac:dyDescent="0.25">
      <c r="A21848" s="2" t="str">
        <f t="shared" si="779"/>
        <v>20700</v>
      </c>
      <c r="B21848" s="2" t="str">
        <f>"18332"</f>
        <v>18332</v>
      </c>
      <c r="C21848" s="1">
        <v>1.54043007813955E-2</v>
      </c>
      <c r="D21848" s="1">
        <v>2.78138327461524E-3</v>
      </c>
      <c r="E21848" s="1">
        <v>6.6815144766146899E-3</v>
      </c>
      <c r="F21848" s="1">
        <v>1.4449284948566401E-2</v>
      </c>
    </row>
    <row r="21849" spans="1:6" x14ac:dyDescent="0.25">
      <c r="A21849" s="2" t="str">
        <f t="shared" si="779"/>
        <v>20700</v>
      </c>
      <c r="B21849" s="2" t="str">
        <f>"18322"</f>
        <v>18322</v>
      </c>
      <c r="C21849" s="1">
        <v>1.1528379939624999E-2</v>
      </c>
      <c r="D21849" s="1">
        <v>4.5243834600407901E-2</v>
      </c>
      <c r="E21849" s="1">
        <v>3.8975501113585699E-2</v>
      </c>
      <c r="F21849" s="1">
        <v>1.41641767214834E-2</v>
      </c>
    </row>
    <row r="21850" spans="1:6" x14ac:dyDescent="0.25">
      <c r="A21850" s="2" t="str">
        <f t="shared" si="779"/>
        <v>20700</v>
      </c>
      <c r="B21850" s="2" t="str">
        <f>"18342"</f>
        <v>18342</v>
      </c>
      <c r="C21850" s="1">
        <v>1.2422823210802799E-5</v>
      </c>
      <c r="D21850" s="1">
        <v>1.8542555164101601E-4</v>
      </c>
      <c r="E21850" s="1">
        <v>0</v>
      </c>
      <c r="F21850" s="1">
        <v>2.2808658166639999E-5</v>
      </c>
    </row>
    <row r="21851" spans="1:6" x14ac:dyDescent="0.25">
      <c r="A21851" s="2" t="str">
        <f t="shared" si="779"/>
        <v>20700</v>
      </c>
      <c r="B21851" s="2" t="str">
        <f>"18335"</f>
        <v>18335</v>
      </c>
      <c r="C21851" s="1">
        <v>1.3789333763991199E-2</v>
      </c>
      <c r="D21851" s="1">
        <v>2.09530873354348E-2</v>
      </c>
      <c r="E21851" s="1">
        <v>5.5679287305122405E-4</v>
      </c>
      <c r="F21851" s="1">
        <v>1.3958898797983701E-2</v>
      </c>
    </row>
    <row r="21852" spans="1:6" x14ac:dyDescent="0.25">
      <c r="A21852" s="2" t="str">
        <f t="shared" si="779"/>
        <v>20700</v>
      </c>
      <c r="B21852" s="2" t="str">
        <f>"18350"</f>
        <v>18350</v>
      </c>
      <c r="C21852" s="1">
        <v>1.7814328484291299E-2</v>
      </c>
      <c r="D21852" s="1">
        <v>1.55757463378453E-2</v>
      </c>
      <c r="E21852" s="1">
        <v>6.6815144766146899E-3</v>
      </c>
      <c r="F21852" s="1">
        <v>1.7448623497479599E-2</v>
      </c>
    </row>
    <row r="21853" spans="1:6" x14ac:dyDescent="0.25">
      <c r="A21853" s="2" t="str">
        <f t="shared" si="779"/>
        <v>20700</v>
      </c>
      <c r="B21853" s="2" t="str">
        <f>"18324"</f>
        <v>18324</v>
      </c>
      <c r="C21853" s="1">
        <v>1.2919736139235E-3</v>
      </c>
      <c r="D21853" s="1">
        <v>0</v>
      </c>
      <c r="E21853" s="1">
        <v>0</v>
      </c>
      <c r="F21853" s="1">
        <v>1.18605022466528E-3</v>
      </c>
    </row>
    <row r="21854" spans="1:6" x14ac:dyDescent="0.25">
      <c r="A21854" s="2" t="str">
        <f t="shared" ref="A21854:A21896" si="780">"40420"</f>
        <v>40420</v>
      </c>
      <c r="B21854" s="2" t="str">
        <f>"61084"</f>
        <v>61084</v>
      </c>
      <c r="C21854" s="1">
        <v>4.0585682619961899E-4</v>
      </c>
      <c r="D21854" s="1">
        <v>1.3426423200859201E-4</v>
      </c>
      <c r="E21854" s="1">
        <v>2.8702640642939102E-4</v>
      </c>
      <c r="F21854" s="1">
        <v>3.7908130469895901E-4</v>
      </c>
    </row>
    <row r="21855" spans="1:6" x14ac:dyDescent="0.25">
      <c r="A21855" s="2" t="str">
        <f t="shared" si="780"/>
        <v>40420</v>
      </c>
      <c r="B21855" s="2" t="str">
        <f>"61072"</f>
        <v>61072</v>
      </c>
      <c r="C21855" s="1">
        <v>2.97149636289844E-2</v>
      </c>
      <c r="D21855" s="1">
        <v>1.41648764769065E-2</v>
      </c>
      <c r="E21855" s="1">
        <v>1.40642939150401E-2</v>
      </c>
      <c r="F21855" s="1">
        <v>2.7843247133540999E-2</v>
      </c>
    </row>
    <row r="21856" spans="1:6" x14ac:dyDescent="0.25">
      <c r="A21856" s="2" t="str">
        <f t="shared" si="780"/>
        <v>40420</v>
      </c>
      <c r="B21856" s="2" t="str">
        <f>"61115"</f>
        <v>61115</v>
      </c>
      <c r="C21856" s="1">
        <v>6.1103306172145697E-2</v>
      </c>
      <c r="D21856" s="1">
        <v>4.49785177228786E-2</v>
      </c>
      <c r="E21856" s="1">
        <v>5.1951779563719797E-2</v>
      </c>
      <c r="F21856" s="1">
        <v>5.9433355858454301E-2</v>
      </c>
    </row>
    <row r="21857" spans="1:6" x14ac:dyDescent="0.25">
      <c r="A21857" s="2" t="str">
        <f t="shared" si="780"/>
        <v>40420</v>
      </c>
      <c r="B21857" s="2" t="str">
        <f>"61052"</f>
        <v>61052</v>
      </c>
      <c r="C21857" s="1">
        <v>4.3707658206112803E-5</v>
      </c>
      <c r="D21857" s="1">
        <v>0</v>
      </c>
      <c r="E21857" s="1">
        <v>0</v>
      </c>
      <c r="F21857" s="1">
        <v>3.8457523665111797E-5</v>
      </c>
    </row>
    <row r="21858" spans="1:6" x14ac:dyDescent="0.25">
      <c r="A21858" s="2" t="str">
        <f t="shared" si="780"/>
        <v>40420</v>
      </c>
      <c r="B21858" s="2" t="str">
        <f>"61104"</f>
        <v>61104</v>
      </c>
      <c r="C21858" s="1">
        <v>5.6876151228497297E-2</v>
      </c>
      <c r="D21858" s="1">
        <v>9.6535982814178301E-2</v>
      </c>
      <c r="E21858" s="1">
        <v>0.103185993111366</v>
      </c>
      <c r="F21858" s="1">
        <v>6.1894637373021401E-2</v>
      </c>
    </row>
    <row r="21859" spans="1:6" x14ac:dyDescent="0.25">
      <c r="A21859" s="2" t="str">
        <f t="shared" si="780"/>
        <v>40420</v>
      </c>
      <c r="B21859" s="2" t="str">
        <f>"61111"</f>
        <v>61111</v>
      </c>
      <c r="C21859" s="1">
        <v>6.9101807623864295E-2</v>
      </c>
      <c r="D21859" s="1">
        <v>0.100093984962406</v>
      </c>
      <c r="E21859" s="1">
        <v>8.9839265212399502E-2</v>
      </c>
      <c r="F21859" s="1">
        <v>7.2431998857262106E-2</v>
      </c>
    </row>
    <row r="21860" spans="1:6" x14ac:dyDescent="0.25">
      <c r="A21860" s="2" t="str">
        <f t="shared" si="780"/>
        <v>40420</v>
      </c>
      <c r="B21860" s="2" t="str">
        <f>"61101"</f>
        <v>61101</v>
      </c>
      <c r="C21860" s="1">
        <v>5.7818987855514897E-2</v>
      </c>
      <c r="D21860" s="1">
        <v>6.61922663802363E-2</v>
      </c>
      <c r="E21860" s="1">
        <v>4.5350172215843802E-2</v>
      </c>
      <c r="F21860" s="1">
        <v>5.8026909278701598E-2</v>
      </c>
    </row>
    <row r="21861" spans="1:6" x14ac:dyDescent="0.25">
      <c r="A21861" s="2" t="str">
        <f t="shared" si="780"/>
        <v>40420</v>
      </c>
      <c r="B21861" s="2" t="str">
        <f>"61077"</f>
        <v>61077</v>
      </c>
      <c r="C21861" s="1">
        <v>0</v>
      </c>
      <c r="D21861" s="1">
        <v>0</v>
      </c>
      <c r="E21861" s="1">
        <v>2.8702640642939102E-4</v>
      </c>
      <c r="F21861" s="1">
        <v>1.09878639043176E-5</v>
      </c>
    </row>
    <row r="21862" spans="1:6" x14ac:dyDescent="0.25">
      <c r="A21862" s="2" t="str">
        <f t="shared" si="780"/>
        <v>40420</v>
      </c>
      <c r="B21862" s="2" t="str">
        <f>"61063"</f>
        <v>61063</v>
      </c>
      <c r="C21862" s="1">
        <v>1.07146202116699E-2</v>
      </c>
      <c r="D21862" s="1">
        <v>4.0950590762620798E-3</v>
      </c>
      <c r="E21862" s="1">
        <v>3.0137772675086099E-3</v>
      </c>
      <c r="F21862" s="1">
        <v>9.8780896499815907E-3</v>
      </c>
    </row>
    <row r="21863" spans="1:6" x14ac:dyDescent="0.25">
      <c r="A21863" s="2" t="str">
        <f t="shared" si="780"/>
        <v>40420</v>
      </c>
      <c r="B21863" s="2" t="str">
        <f>"61132"</f>
        <v>61132</v>
      </c>
      <c r="C21863" s="1">
        <v>6.28765883050794E-3</v>
      </c>
      <c r="D21863" s="1">
        <v>1.9468313641245901E-2</v>
      </c>
      <c r="E21863" s="1">
        <v>2.8702640642939102E-4</v>
      </c>
      <c r="F21863" s="1">
        <v>7.1366176058543299E-3</v>
      </c>
    </row>
    <row r="21864" spans="1:6" x14ac:dyDescent="0.25">
      <c r="A21864" s="2" t="str">
        <f t="shared" si="780"/>
        <v>40420</v>
      </c>
      <c r="B21864" s="2" t="str">
        <f>"61125"</f>
        <v>61125</v>
      </c>
      <c r="C21864" s="1">
        <v>5.3260903499734603E-3</v>
      </c>
      <c r="D21864" s="1">
        <v>2.0743823845327601E-2</v>
      </c>
      <c r="E21864" s="1">
        <v>4.3053960964408702E-4</v>
      </c>
      <c r="F21864" s="1">
        <v>6.4004307242650398E-3</v>
      </c>
    </row>
    <row r="21865" spans="1:6" x14ac:dyDescent="0.25">
      <c r="A21865" s="2" t="str">
        <f t="shared" si="780"/>
        <v>40420</v>
      </c>
      <c r="B21865" s="2" t="str">
        <f>"61047"</f>
        <v>61047</v>
      </c>
      <c r="C21865" s="1">
        <v>9.9903218756829297E-5</v>
      </c>
      <c r="D21865" s="1">
        <v>0</v>
      </c>
      <c r="E21865" s="1">
        <v>0</v>
      </c>
      <c r="F21865" s="1">
        <v>8.7902911234541395E-5</v>
      </c>
    </row>
    <row r="21866" spans="1:6" x14ac:dyDescent="0.25">
      <c r="A21866" s="2" t="str">
        <f t="shared" si="780"/>
        <v>40420</v>
      </c>
      <c r="B21866" s="2" t="str">
        <f>"61019"</f>
        <v>61019</v>
      </c>
      <c r="C21866" s="1">
        <v>4.7953545003278E-3</v>
      </c>
      <c r="D21866" s="1">
        <v>7.3845327604726103E-4</v>
      </c>
      <c r="E21866" s="1">
        <v>7.1756601607347805E-4</v>
      </c>
      <c r="F21866" s="1">
        <v>4.3072426504925298E-3</v>
      </c>
    </row>
    <row r="21867" spans="1:6" x14ac:dyDescent="0.25">
      <c r="A21867" s="2" t="str">
        <f t="shared" si="780"/>
        <v>40420</v>
      </c>
      <c r="B21867" s="2" t="str">
        <f>"60152"</f>
        <v>60152</v>
      </c>
      <c r="C21867" s="1">
        <v>2.49758046892073E-5</v>
      </c>
      <c r="D21867" s="1">
        <v>0</v>
      </c>
      <c r="E21867" s="1">
        <v>0</v>
      </c>
      <c r="F21867" s="1">
        <v>2.1975727808635301E-5</v>
      </c>
    </row>
    <row r="21868" spans="1:6" x14ac:dyDescent="0.25">
      <c r="A21868" s="2" t="str">
        <f t="shared" si="780"/>
        <v>40420</v>
      </c>
      <c r="B21868" s="2" t="str">
        <f>"60145"</f>
        <v>60145</v>
      </c>
      <c r="C21868" s="1">
        <v>3.55905216821204E-4</v>
      </c>
      <c r="D21868" s="1">
        <v>2.0139634801288899E-4</v>
      </c>
      <c r="E21868" s="1">
        <v>0</v>
      </c>
      <c r="F21868" s="1">
        <v>3.2963591712952998E-4</v>
      </c>
    </row>
    <row r="21869" spans="1:6" x14ac:dyDescent="0.25">
      <c r="A21869" s="2" t="str">
        <f t="shared" si="780"/>
        <v>40420</v>
      </c>
      <c r="B21869" s="2" t="str">
        <f>"60146"</f>
        <v>60146</v>
      </c>
      <c r="C21869" s="1">
        <v>2.1853829103056399E-4</v>
      </c>
      <c r="D21869" s="1">
        <v>6.7132116004296399E-5</v>
      </c>
      <c r="E21869" s="1">
        <v>2.8702640642939102E-4</v>
      </c>
      <c r="F21869" s="1">
        <v>2.08769414182035E-4</v>
      </c>
    </row>
    <row r="21870" spans="1:6" x14ac:dyDescent="0.25">
      <c r="A21870" s="2" t="str">
        <f t="shared" si="780"/>
        <v>40420</v>
      </c>
      <c r="B21870" s="2" t="str">
        <f>"61065"</f>
        <v>61065</v>
      </c>
      <c r="C21870" s="1">
        <v>3.3111673066716599E-2</v>
      </c>
      <c r="D21870" s="1">
        <v>9.0628356605800195E-3</v>
      </c>
      <c r="E21870" s="1">
        <v>1.0907003444316801E-2</v>
      </c>
      <c r="F21870" s="1">
        <v>3.02935407842038E-2</v>
      </c>
    </row>
    <row r="21871" spans="1:6" x14ac:dyDescent="0.25">
      <c r="A21871" s="2" t="str">
        <f t="shared" si="780"/>
        <v>40420</v>
      </c>
      <c r="B21871" s="2" t="str">
        <f>"61131"</f>
        <v>61131</v>
      </c>
      <c r="C21871" s="1">
        <v>1.4798164278355299E-3</v>
      </c>
      <c r="D21871" s="1">
        <v>7.4516648764768999E-3</v>
      </c>
      <c r="E21871" s="1">
        <v>2.8702640642939102E-4</v>
      </c>
      <c r="F21871" s="1">
        <v>1.92287618325559E-3</v>
      </c>
    </row>
    <row r="21872" spans="1:6" x14ac:dyDescent="0.25">
      <c r="A21872" s="2" t="str">
        <f t="shared" si="780"/>
        <v>40420</v>
      </c>
      <c r="B21872" s="2" t="str">
        <f>"61110"</f>
        <v>61110</v>
      </c>
      <c r="C21872" s="1">
        <v>4.4769129905404097E-3</v>
      </c>
      <c r="D21872" s="1">
        <v>1.4836197636949501E-2</v>
      </c>
      <c r="E21872" s="1">
        <v>2.8702640642939102E-4</v>
      </c>
      <c r="F21872" s="1">
        <v>5.1642960350293098E-3</v>
      </c>
    </row>
    <row r="21873" spans="1:6" x14ac:dyDescent="0.25">
      <c r="A21873" s="2" t="str">
        <f t="shared" si="780"/>
        <v>40420</v>
      </c>
      <c r="B21873" s="2" t="str">
        <f>"61108"</f>
        <v>61108</v>
      </c>
      <c r="C21873" s="1">
        <v>7.9960038712497197E-2</v>
      </c>
      <c r="D21873" s="1">
        <v>0.112177765843179</v>
      </c>
      <c r="E21873" s="1">
        <v>0.102324913892078</v>
      </c>
      <c r="F21873" s="1">
        <v>8.3452826353292694E-2</v>
      </c>
    </row>
    <row r="21874" spans="1:6" x14ac:dyDescent="0.25">
      <c r="A21874" s="2" t="str">
        <f t="shared" si="780"/>
        <v>40420</v>
      </c>
      <c r="B21874" s="2" t="str">
        <f>"61011"</f>
        <v>61011</v>
      </c>
      <c r="C21874" s="1">
        <v>7.9235740376510204E-3</v>
      </c>
      <c r="D21874" s="1">
        <v>2.6181525241675599E-3</v>
      </c>
      <c r="E21874" s="1">
        <v>2.8702640642939102E-4</v>
      </c>
      <c r="F21874" s="1">
        <v>7.19705085732808E-3</v>
      </c>
    </row>
    <row r="21875" spans="1:6" x14ac:dyDescent="0.25">
      <c r="A21875" s="2" t="str">
        <f t="shared" si="780"/>
        <v>40420</v>
      </c>
      <c r="B21875" s="2" t="str">
        <f>"61130"</f>
        <v>61130</v>
      </c>
      <c r="C21875" s="1">
        <v>6.2439511723018295E-4</v>
      </c>
      <c r="D21875" s="1">
        <v>3.8936627282491901E-3</v>
      </c>
      <c r="E21875" s="1">
        <v>2.8702640642939102E-4</v>
      </c>
      <c r="F21875" s="1">
        <v>8.7902911234541403E-4</v>
      </c>
    </row>
    <row r="21876" spans="1:6" x14ac:dyDescent="0.25">
      <c r="A21876" s="2" t="str">
        <f t="shared" si="780"/>
        <v>40420</v>
      </c>
      <c r="B21876" s="2" t="str">
        <f>"61112"</f>
        <v>61112</v>
      </c>
      <c r="C21876" s="1">
        <v>6.3063906840248496E-4</v>
      </c>
      <c r="D21876" s="1">
        <v>2.4973147153598201E-2</v>
      </c>
      <c r="E21876" s="1">
        <v>4.7359357060849502E-3</v>
      </c>
      <c r="F21876" s="1">
        <v>2.77992956779237E-3</v>
      </c>
    </row>
    <row r="21877" spans="1:6" x14ac:dyDescent="0.25">
      <c r="A21877" s="2" t="str">
        <f t="shared" si="780"/>
        <v>40420</v>
      </c>
      <c r="B21877" s="2" t="str">
        <f>"61024"</f>
        <v>61024</v>
      </c>
      <c r="C21877" s="1">
        <v>7.40532609034997E-3</v>
      </c>
      <c r="D21877" s="1">
        <v>2.2824919441460701E-3</v>
      </c>
      <c r="E21877" s="1">
        <v>4.0183696900114802E-3</v>
      </c>
      <c r="F21877" s="1">
        <v>6.8564270762942296E-3</v>
      </c>
    </row>
    <row r="21878" spans="1:6" x14ac:dyDescent="0.25">
      <c r="A21878" s="2" t="str">
        <f t="shared" si="780"/>
        <v>40420</v>
      </c>
      <c r="B21878" s="2" t="str">
        <f>"61012"</f>
        <v>61012</v>
      </c>
      <c r="C21878" s="1">
        <v>5.7943866878960998E-3</v>
      </c>
      <c r="D21878" s="1">
        <v>1.812567132116E-3</v>
      </c>
      <c r="E21878" s="1">
        <v>5.1664753157290404E-3</v>
      </c>
      <c r="F21878" s="1">
        <v>5.4444865645894101E-3</v>
      </c>
    </row>
    <row r="21879" spans="1:6" x14ac:dyDescent="0.25">
      <c r="A21879" s="2" t="str">
        <f t="shared" si="780"/>
        <v>40420</v>
      </c>
      <c r="B21879" s="2" t="str">
        <f>"60033"</f>
        <v>60033</v>
      </c>
      <c r="C21879" s="1">
        <v>2.6848990040897802E-4</v>
      </c>
      <c r="D21879" s="1">
        <v>0</v>
      </c>
      <c r="E21879" s="1">
        <v>0</v>
      </c>
      <c r="F21879" s="1">
        <v>2.3623907394283001E-4</v>
      </c>
    </row>
    <row r="21880" spans="1:6" x14ac:dyDescent="0.25">
      <c r="A21880" s="2" t="str">
        <f t="shared" si="780"/>
        <v>40420</v>
      </c>
      <c r="B21880" s="2" t="str">
        <f>"61088"</f>
        <v>61088</v>
      </c>
      <c r="C21880" s="1">
        <v>1.48793356435952E-2</v>
      </c>
      <c r="D21880" s="1">
        <v>6.1761546723952702E-3</v>
      </c>
      <c r="E21880" s="1">
        <v>3.1572904707232998E-3</v>
      </c>
      <c r="F21880" s="1">
        <v>1.37183480845406E-2</v>
      </c>
    </row>
    <row r="21881" spans="1:6" x14ac:dyDescent="0.25">
      <c r="A21881" s="2" t="str">
        <f t="shared" si="780"/>
        <v>40420</v>
      </c>
      <c r="B21881" s="2" t="str">
        <f>"61073"</f>
        <v>61073</v>
      </c>
      <c r="C21881" s="1">
        <v>5.5283943679560403E-2</v>
      </c>
      <c r="D21881" s="1">
        <v>4.5851235230934401E-2</v>
      </c>
      <c r="E21881" s="1">
        <v>7.3909299655568306E-2</v>
      </c>
      <c r="F21881" s="1">
        <v>5.5225003983100603E-2</v>
      </c>
    </row>
    <row r="21882" spans="1:6" x14ac:dyDescent="0.25">
      <c r="A21882" s="2" t="str">
        <f t="shared" si="780"/>
        <v>40420</v>
      </c>
      <c r="B21882" s="2" t="str">
        <f>"61126"</f>
        <v>61126</v>
      </c>
      <c r="C21882" s="1">
        <v>7.6113764790359303E-3</v>
      </c>
      <c r="D21882" s="1">
        <v>1.36278195488721E-2</v>
      </c>
      <c r="E21882" s="1">
        <v>1.43513203214695E-4</v>
      </c>
      <c r="F21882" s="1">
        <v>7.8178651679220307E-3</v>
      </c>
    </row>
    <row r="21883" spans="1:6" x14ac:dyDescent="0.25">
      <c r="A21883" s="2" t="str">
        <f t="shared" si="780"/>
        <v>40420</v>
      </c>
      <c r="B21883" s="2" t="str">
        <f>"61039"</f>
        <v>61039</v>
      </c>
      <c r="C21883" s="1">
        <v>1.2487902344603599E-5</v>
      </c>
      <c r="D21883" s="1">
        <v>0</v>
      </c>
      <c r="E21883" s="1">
        <v>0</v>
      </c>
      <c r="F21883" s="1">
        <v>1.09878639043176E-5</v>
      </c>
    </row>
    <row r="21884" spans="1:6" x14ac:dyDescent="0.25">
      <c r="A21884" s="2" t="str">
        <f t="shared" si="780"/>
        <v>40420</v>
      </c>
      <c r="B21884" s="2" t="str">
        <f>"61105"</f>
        <v>61105</v>
      </c>
      <c r="C21884" s="1">
        <v>4.48940089288501E-3</v>
      </c>
      <c r="D21884" s="1">
        <v>1.5641783029000999E-2</v>
      </c>
      <c r="E21884" s="1">
        <v>2.8702640642939102E-4</v>
      </c>
      <c r="F21884" s="1">
        <v>5.2412110823595297E-3</v>
      </c>
    </row>
    <row r="21885" spans="1:6" x14ac:dyDescent="0.25">
      <c r="A21885" s="2" t="str">
        <f t="shared" si="780"/>
        <v>40420</v>
      </c>
      <c r="B21885" s="2" t="str">
        <f>"61107"</f>
        <v>61107</v>
      </c>
      <c r="C21885" s="1">
        <v>8.98879210764571E-2</v>
      </c>
      <c r="D21885" s="1">
        <v>6.9683136412459698E-2</v>
      </c>
      <c r="E21885" s="1">
        <v>0.117106773823191</v>
      </c>
      <c r="F21885" s="1">
        <v>8.9276394222581101E-2</v>
      </c>
    </row>
    <row r="21886" spans="1:6" x14ac:dyDescent="0.25">
      <c r="A21886" s="2" t="str">
        <f t="shared" si="780"/>
        <v>40420</v>
      </c>
      <c r="B21886" s="2" t="str">
        <f>"61020"</f>
        <v>61020</v>
      </c>
      <c r="C21886" s="1">
        <v>1.9356248634135601E-4</v>
      </c>
      <c r="D21886" s="1">
        <v>6.7132116004296399E-5</v>
      </c>
      <c r="E21886" s="1">
        <v>0</v>
      </c>
      <c r="F21886" s="1">
        <v>1.75805822469082E-4</v>
      </c>
    </row>
    <row r="21887" spans="1:6" x14ac:dyDescent="0.25">
      <c r="A21887" s="2" t="str">
        <f t="shared" si="780"/>
        <v>40420</v>
      </c>
      <c r="B21887" s="2" t="str">
        <f>"61079"</f>
        <v>61079</v>
      </c>
      <c r="C21887" s="1">
        <v>7.4927414067621901E-5</v>
      </c>
      <c r="D21887" s="1">
        <v>6.7132116004296399E-5</v>
      </c>
      <c r="E21887" s="1">
        <v>1.43513203214695E-4</v>
      </c>
      <c r="F21887" s="1">
        <v>7.6915047330223702E-5</v>
      </c>
    </row>
    <row r="21888" spans="1:6" x14ac:dyDescent="0.25">
      <c r="A21888" s="2" t="str">
        <f t="shared" si="780"/>
        <v>40420</v>
      </c>
      <c r="B21888" s="2" t="str">
        <f>"61103"</f>
        <v>61103</v>
      </c>
      <c r="C21888" s="1">
        <v>7.0637819612250602E-2</v>
      </c>
      <c r="D21888" s="1">
        <v>4.7462406015037498E-2</v>
      </c>
      <c r="E21888" s="1">
        <v>9.2135476463834604E-2</v>
      </c>
      <c r="F21888" s="1">
        <v>6.9564166378235204E-2</v>
      </c>
    </row>
    <row r="21889" spans="1:6" x14ac:dyDescent="0.25">
      <c r="A21889" s="2" t="str">
        <f t="shared" si="780"/>
        <v>40420</v>
      </c>
      <c r="B21889" s="2" t="str">
        <f>"61102"</f>
        <v>61102</v>
      </c>
      <c r="C21889" s="1">
        <v>4.5780649995317002E-2</v>
      </c>
      <c r="D21889" s="1">
        <v>2.8665413533834502E-2</v>
      </c>
      <c r="E21889" s="1">
        <v>2.41102181400688E-2</v>
      </c>
      <c r="F21889" s="1">
        <v>4.3550398584763103E-2</v>
      </c>
    </row>
    <row r="21890" spans="1:6" x14ac:dyDescent="0.25">
      <c r="A21890" s="2" t="str">
        <f t="shared" si="780"/>
        <v>40420</v>
      </c>
      <c r="B21890" s="2" t="str">
        <f>"61038"</f>
        <v>61038</v>
      </c>
      <c r="C21890" s="1">
        <v>3.19065904904623E-3</v>
      </c>
      <c r="D21890" s="1">
        <v>1.6783029001074101E-3</v>
      </c>
      <c r="E21890" s="1">
        <v>8.6107921928817405E-4</v>
      </c>
      <c r="F21890" s="1">
        <v>2.9777111180700898E-3</v>
      </c>
    </row>
    <row r="21891" spans="1:6" x14ac:dyDescent="0.25">
      <c r="A21891" s="2" t="str">
        <f t="shared" si="780"/>
        <v>40420</v>
      </c>
      <c r="B21891" s="2" t="str">
        <f>"61109"</f>
        <v>61109</v>
      </c>
      <c r="C21891" s="1">
        <v>7.6376010739596004E-2</v>
      </c>
      <c r="D21891" s="1">
        <v>7.6060687432867799E-2</v>
      </c>
      <c r="E21891" s="1">
        <v>0.102611940298507</v>
      </c>
      <c r="F21891" s="1">
        <v>7.7354561886396403E-2</v>
      </c>
    </row>
    <row r="21892" spans="1:6" x14ac:dyDescent="0.25">
      <c r="A21892" s="2" t="str">
        <f t="shared" si="780"/>
        <v>40420</v>
      </c>
      <c r="B21892" s="2" t="str">
        <f>"61016"</f>
        <v>61016</v>
      </c>
      <c r="C21892" s="1">
        <v>1.45171864756017E-2</v>
      </c>
      <c r="D21892" s="1">
        <v>6.1761546723952702E-3</v>
      </c>
      <c r="E21892" s="1">
        <v>6.0275545350172198E-3</v>
      </c>
      <c r="F21892" s="1">
        <v>1.3509578670358501E-2</v>
      </c>
    </row>
    <row r="21893" spans="1:6" x14ac:dyDescent="0.25">
      <c r="A21893" s="2" t="str">
        <f t="shared" si="780"/>
        <v>40420</v>
      </c>
      <c r="B21893" s="2" t="str">
        <f>"60135"</f>
        <v>60135</v>
      </c>
      <c r="C21893" s="1">
        <v>4.3707658206112803E-5</v>
      </c>
      <c r="D21893" s="1">
        <v>0</v>
      </c>
      <c r="E21893" s="1">
        <v>0</v>
      </c>
      <c r="F21893" s="1">
        <v>3.8457523665111797E-5</v>
      </c>
    </row>
    <row r="21894" spans="1:6" x14ac:dyDescent="0.25">
      <c r="A21894" s="2" t="str">
        <f t="shared" si="780"/>
        <v>40420</v>
      </c>
      <c r="B21894" s="2" t="str">
        <f>"61080"</f>
        <v>61080</v>
      </c>
      <c r="C21894" s="1">
        <v>3.5440666853985198E-2</v>
      </c>
      <c r="D21894" s="1">
        <v>3.3163265306122403E-2</v>
      </c>
      <c r="E21894" s="1">
        <v>2.5975889781859898E-2</v>
      </c>
      <c r="F21894" s="1">
        <v>3.4891961828160699E-2</v>
      </c>
    </row>
    <row r="21895" spans="1:6" x14ac:dyDescent="0.25">
      <c r="A21895" s="2" t="str">
        <f t="shared" si="780"/>
        <v>40420</v>
      </c>
      <c r="B21895" s="2" t="str">
        <f>"61114"</f>
        <v>61114</v>
      </c>
      <c r="C21895" s="1">
        <v>4.2652430457993801E-2</v>
      </c>
      <c r="D21895" s="1">
        <v>2.2354994629430702E-2</v>
      </c>
      <c r="E21895" s="1">
        <v>4.7359357060849497E-2</v>
      </c>
      <c r="F21895" s="1">
        <v>4.1171526049478303E-2</v>
      </c>
    </row>
    <row r="21896" spans="1:6" x14ac:dyDescent="0.25">
      <c r="A21896" s="2" t="str">
        <f t="shared" si="780"/>
        <v>40420</v>
      </c>
      <c r="B21896" s="2" t="str">
        <f>"61008"</f>
        <v>61008</v>
      </c>
      <c r="C21896" s="1">
        <v>9.4364834066997499E-2</v>
      </c>
      <c r="D21896" s="1">
        <v>8.6801825993555307E-2</v>
      </c>
      <c r="E21896" s="1">
        <v>6.8168771526980407E-2</v>
      </c>
      <c r="F21896" s="1">
        <v>9.27430652843933E-2</v>
      </c>
    </row>
    <row r="21897" spans="1:6" x14ac:dyDescent="0.25">
      <c r="A21897" s="2" t="str">
        <f t="shared" ref="A21897:A21918" si="781">"28100"</f>
        <v>28100</v>
      </c>
      <c r="B21897" s="2" t="str">
        <f>"60941"</f>
        <v>60941</v>
      </c>
      <c r="C21897" s="1">
        <v>1.77490689013035E-2</v>
      </c>
      <c r="D21897" s="1">
        <v>6.3332605372352002E-3</v>
      </c>
      <c r="E21897" s="1">
        <v>1.3644524236983801E-2</v>
      </c>
      <c r="F21897" s="1">
        <v>1.6667798221196201E-2</v>
      </c>
    </row>
    <row r="21898" spans="1:6" x14ac:dyDescent="0.25">
      <c r="A21898" s="2" t="str">
        <f t="shared" si="781"/>
        <v>28100</v>
      </c>
      <c r="B21898" s="2" t="str">
        <f>"60910"</f>
        <v>60910</v>
      </c>
      <c r="C21898" s="1">
        <v>4.6942892613283599E-3</v>
      </c>
      <c r="D21898" s="1">
        <v>4.36776588774841E-4</v>
      </c>
      <c r="E21898" s="1">
        <v>0</v>
      </c>
      <c r="F21898" s="1">
        <v>4.14148957838278E-3</v>
      </c>
    </row>
    <row r="21899" spans="1:6" x14ac:dyDescent="0.25">
      <c r="A21899" s="2" t="str">
        <f t="shared" si="781"/>
        <v>28100</v>
      </c>
      <c r="B21899" s="2" t="str">
        <f>"60922"</f>
        <v>60922</v>
      </c>
      <c r="C21899" s="1">
        <v>1.2143078833022901E-2</v>
      </c>
      <c r="D21899" s="1">
        <v>4.3677658877484104E-3</v>
      </c>
      <c r="E21899" s="1">
        <v>2.6211849192100501E-2</v>
      </c>
      <c r="F21899" s="1">
        <v>1.2203815601873801E-2</v>
      </c>
    </row>
    <row r="21900" spans="1:6" x14ac:dyDescent="0.25">
      <c r="A21900" s="2" t="str">
        <f t="shared" si="781"/>
        <v>28100</v>
      </c>
      <c r="B21900" s="2" t="str">
        <f>"60964"</f>
        <v>60964</v>
      </c>
      <c r="C21900" s="1">
        <v>4.1259310986964601E-2</v>
      </c>
      <c r="D21900" s="1">
        <v>1.33216859576326E-2</v>
      </c>
      <c r="E21900" s="1">
        <v>5.38599640933572E-2</v>
      </c>
      <c r="F21900" s="1">
        <v>3.9683617353520197E-2</v>
      </c>
    </row>
    <row r="21901" spans="1:6" x14ac:dyDescent="0.25">
      <c r="A21901" s="2" t="str">
        <f t="shared" si="781"/>
        <v>28100</v>
      </c>
      <c r="B21901" s="2" t="str">
        <f>"60958"</f>
        <v>60958</v>
      </c>
      <c r="C21901" s="1">
        <v>2.7021260086902501E-2</v>
      </c>
      <c r="D21901" s="1">
        <v>6.7700371260100397E-3</v>
      </c>
      <c r="E21901" s="1">
        <v>3.9497307001795301E-3</v>
      </c>
      <c r="F21901" s="1">
        <v>2.4356711249915099E-2</v>
      </c>
    </row>
    <row r="21902" spans="1:6" x14ac:dyDescent="0.25">
      <c r="A21902" s="2" t="str">
        <f t="shared" si="781"/>
        <v>28100</v>
      </c>
      <c r="B21902" s="2" t="str">
        <f>"60961"</f>
        <v>60961</v>
      </c>
      <c r="C21902" s="1">
        <v>8.2053072625698307E-3</v>
      </c>
      <c r="D21902" s="1">
        <v>8.7355317754968297E-4</v>
      </c>
      <c r="E21902" s="1">
        <v>1.4362657091561901E-3</v>
      </c>
      <c r="F21902" s="1">
        <v>7.3155000339466302E-3</v>
      </c>
    </row>
    <row r="21903" spans="1:6" x14ac:dyDescent="0.25">
      <c r="A21903" s="2" t="str">
        <f t="shared" si="781"/>
        <v>28100</v>
      </c>
      <c r="B21903" s="2" t="str">
        <f>"60940"</f>
        <v>60940</v>
      </c>
      <c r="C21903" s="1">
        <v>2.63423339540657E-2</v>
      </c>
      <c r="D21903" s="1">
        <v>1.41952391351823E-2</v>
      </c>
      <c r="E21903" s="1">
        <v>1.25673249551166E-2</v>
      </c>
      <c r="F21903" s="1">
        <v>2.47470975626315E-2</v>
      </c>
    </row>
    <row r="21904" spans="1:6" x14ac:dyDescent="0.25">
      <c r="A21904" s="2" t="str">
        <f t="shared" si="781"/>
        <v>28100</v>
      </c>
      <c r="B21904" s="2" t="str">
        <f>"60481"</f>
        <v>60481</v>
      </c>
      <c r="C21904" s="1">
        <v>6.2073246430788297E-4</v>
      </c>
      <c r="D21904" s="1">
        <v>0</v>
      </c>
      <c r="E21904" s="1">
        <v>0</v>
      </c>
      <c r="F21904" s="1">
        <v>5.4314617421413497E-4</v>
      </c>
    </row>
    <row r="21905" spans="1:6" x14ac:dyDescent="0.25">
      <c r="A21905" s="2" t="str">
        <f t="shared" si="781"/>
        <v>28100</v>
      </c>
      <c r="B21905" s="2" t="str">
        <f>"60954"</f>
        <v>60954</v>
      </c>
      <c r="C21905" s="1">
        <v>5.29562383612662E-2</v>
      </c>
      <c r="D21905" s="1">
        <v>5.5470626774404799E-2</v>
      </c>
      <c r="E21905" s="1">
        <v>3.4111310592459601E-2</v>
      </c>
      <c r="F21905" s="1">
        <v>5.22608459501663E-2</v>
      </c>
    </row>
    <row r="21906" spans="1:6" x14ac:dyDescent="0.25">
      <c r="A21906" s="2" t="str">
        <f t="shared" si="781"/>
        <v>28100</v>
      </c>
      <c r="B21906" s="2" t="str">
        <f>"60935"</f>
        <v>60935</v>
      </c>
      <c r="C21906" s="1">
        <v>1.15611421477343E-2</v>
      </c>
      <c r="D21906" s="1">
        <v>1.31032976632452E-3</v>
      </c>
      <c r="E21906" s="1">
        <v>1.0771992818671399E-3</v>
      </c>
      <c r="F21906" s="1">
        <v>1.0268857356235899E-2</v>
      </c>
    </row>
    <row r="21907" spans="1:6" x14ac:dyDescent="0.25">
      <c r="A21907" s="2" t="str">
        <f t="shared" si="781"/>
        <v>28100</v>
      </c>
      <c r="B21907" s="2" t="str">
        <f>"60914"</f>
        <v>60914</v>
      </c>
      <c r="C21907" s="1">
        <v>0.25120266914959599</v>
      </c>
      <c r="D21907" s="1">
        <v>0.26141078838174198</v>
      </c>
      <c r="E21907" s="1">
        <v>0.324955116696588</v>
      </c>
      <c r="F21907" s="1">
        <v>0.25548238169597298</v>
      </c>
    </row>
    <row r="21908" spans="1:6" x14ac:dyDescent="0.25">
      <c r="A21908" s="2" t="str">
        <f t="shared" si="781"/>
        <v>28100</v>
      </c>
      <c r="B21908" s="2" t="str">
        <f>"60424"</f>
        <v>60424</v>
      </c>
      <c r="C21908" s="1">
        <v>9.6989447548106704E-5</v>
      </c>
      <c r="D21908" s="1">
        <v>0</v>
      </c>
      <c r="E21908" s="1">
        <v>0</v>
      </c>
      <c r="F21908" s="1">
        <v>8.48665897209586E-5</v>
      </c>
    </row>
    <row r="21909" spans="1:6" x14ac:dyDescent="0.25">
      <c r="A21909" s="2" t="str">
        <f t="shared" si="781"/>
        <v>28100</v>
      </c>
      <c r="B21909" s="2" t="str">
        <f>"60915"</f>
        <v>60915</v>
      </c>
      <c r="C21909" s="1">
        <v>9.3924581005586497E-2</v>
      </c>
      <c r="D21909" s="1">
        <v>0.141734003057436</v>
      </c>
      <c r="E21909" s="1">
        <v>0.10520646319569101</v>
      </c>
      <c r="F21909" s="1">
        <v>9.8173670989204903E-2</v>
      </c>
    </row>
    <row r="21910" spans="1:6" x14ac:dyDescent="0.25">
      <c r="A21910" s="2" t="str">
        <f t="shared" si="781"/>
        <v>28100</v>
      </c>
      <c r="B21910" s="2" t="str">
        <f>"60468"</f>
        <v>60468</v>
      </c>
      <c r="C21910" s="1">
        <v>4.6554934823091199E-4</v>
      </c>
      <c r="D21910" s="1">
        <v>1.5287180607119399E-3</v>
      </c>
      <c r="E21910" s="1">
        <v>0</v>
      </c>
      <c r="F21910" s="1">
        <v>5.2617285626994296E-4</v>
      </c>
    </row>
    <row r="21911" spans="1:6" x14ac:dyDescent="0.25">
      <c r="A21911" s="2" t="str">
        <f t="shared" si="781"/>
        <v>28100</v>
      </c>
      <c r="B21911" s="2" t="str">
        <f>"60401"</f>
        <v>60401</v>
      </c>
      <c r="C21911" s="1">
        <v>7.3711980136561097E-4</v>
      </c>
      <c r="D21911" s="1">
        <v>2.1838829438742001E-4</v>
      </c>
      <c r="E21911" s="1">
        <v>1.4362657091561901E-3</v>
      </c>
      <c r="F21911" s="1">
        <v>7.2985267160024397E-4</v>
      </c>
    </row>
    <row r="21912" spans="1:6" x14ac:dyDescent="0.25">
      <c r="A21912" s="2" t="str">
        <f t="shared" si="781"/>
        <v>28100</v>
      </c>
      <c r="B21912" s="2" t="str">
        <f>"60917"</f>
        <v>60917</v>
      </c>
      <c r="C21912" s="1">
        <v>4.1899441340782096E-3</v>
      </c>
      <c r="D21912" s="1">
        <v>4.36776588774841E-4</v>
      </c>
      <c r="E21912" s="1">
        <v>0</v>
      </c>
      <c r="F21912" s="1">
        <v>3.7001833118337898E-3</v>
      </c>
    </row>
    <row r="21913" spans="1:6" x14ac:dyDescent="0.25">
      <c r="A21913" s="2" t="str">
        <f t="shared" si="781"/>
        <v>28100</v>
      </c>
      <c r="B21913" s="2" t="str">
        <f>"60913"</f>
        <v>60913</v>
      </c>
      <c r="C21913" s="1">
        <v>1.1735723153320899E-2</v>
      </c>
      <c r="D21913" s="1">
        <v>2.6206595326490499E-3</v>
      </c>
      <c r="E21913" s="1">
        <v>1.4362657091561901E-3</v>
      </c>
      <c r="F21913" s="1">
        <v>1.0540430443342999E-2</v>
      </c>
    </row>
    <row r="21914" spans="1:6" x14ac:dyDescent="0.25">
      <c r="A21914" s="2" t="str">
        <f t="shared" si="781"/>
        <v>28100</v>
      </c>
      <c r="B21914" s="2" t="str">
        <f>"60901"</f>
        <v>60901</v>
      </c>
      <c r="C21914" s="1">
        <v>0.32396415270018603</v>
      </c>
      <c r="D21914" s="1">
        <v>0.40642061585499001</v>
      </c>
      <c r="E21914" s="1">
        <v>0.33967684021543898</v>
      </c>
      <c r="F21914" s="1">
        <v>0.33111548645529199</v>
      </c>
    </row>
    <row r="21915" spans="1:6" x14ac:dyDescent="0.25">
      <c r="A21915" s="2" t="str">
        <f t="shared" si="781"/>
        <v>28100</v>
      </c>
      <c r="B21915" s="2" t="str">
        <f>"60944"</f>
        <v>60944</v>
      </c>
      <c r="C21915" s="1">
        <v>0</v>
      </c>
      <c r="D21915" s="1">
        <v>2.1838829438742001E-4</v>
      </c>
      <c r="E21915" s="1">
        <v>0</v>
      </c>
      <c r="F21915" s="1">
        <v>1.6973317944191701E-5</v>
      </c>
    </row>
    <row r="21916" spans="1:6" x14ac:dyDescent="0.25">
      <c r="A21916" s="2" t="str">
        <f t="shared" si="781"/>
        <v>28100</v>
      </c>
      <c r="B21916" s="2" t="str">
        <f>"60950"</f>
        <v>60950</v>
      </c>
      <c r="C21916" s="1">
        <v>0.10971446306641799</v>
      </c>
      <c r="D21916" s="1">
        <v>8.16772221008953E-2</v>
      </c>
      <c r="E21916" s="1">
        <v>8.0071813285457802E-2</v>
      </c>
      <c r="F21916" s="1">
        <v>0.10613415710503001</v>
      </c>
    </row>
    <row r="21917" spans="1:6" x14ac:dyDescent="0.25">
      <c r="A21917" s="2" t="str">
        <f t="shared" si="781"/>
        <v>28100</v>
      </c>
      <c r="B21917" s="2" t="str">
        <f>"60969"</f>
        <v>60969</v>
      </c>
      <c r="C21917" s="1">
        <v>6.0133457479826099E-4</v>
      </c>
      <c r="D21917" s="1">
        <v>2.1838829438742001E-4</v>
      </c>
      <c r="E21917" s="1">
        <v>0</v>
      </c>
      <c r="F21917" s="1">
        <v>5.4314617421413497E-4</v>
      </c>
    </row>
    <row r="21918" spans="1:6" x14ac:dyDescent="0.25">
      <c r="A21918" s="2" t="str">
        <f t="shared" si="781"/>
        <v>28100</v>
      </c>
      <c r="B21918" s="2" t="str">
        <f>"60919"</f>
        <v>60919</v>
      </c>
      <c r="C21918" s="1">
        <v>8.1471135940409597E-4</v>
      </c>
      <c r="D21918" s="1">
        <v>4.36776588774841E-4</v>
      </c>
      <c r="E21918" s="1">
        <v>3.5906642728904801E-4</v>
      </c>
      <c r="F21918" s="1">
        <v>7.6379930748862702E-4</v>
      </c>
    </row>
    <row r="21919" spans="1:6" x14ac:dyDescent="0.25">
      <c r="A21919" s="2" t="str">
        <f t="shared" ref="A21919:A21936" si="782">"44580"</f>
        <v>44580</v>
      </c>
      <c r="B21919" s="2" t="str">
        <f>"61064"</f>
        <v>61064</v>
      </c>
      <c r="C21919" s="1">
        <v>1.4908684308609699E-4</v>
      </c>
      <c r="D21919" s="1">
        <v>0</v>
      </c>
      <c r="E21919" s="1">
        <v>0</v>
      </c>
      <c r="F21919" s="1">
        <v>1.3379268822958799E-4</v>
      </c>
    </row>
    <row r="21920" spans="1:6" x14ac:dyDescent="0.25">
      <c r="A21920" s="2" t="str">
        <f t="shared" si="782"/>
        <v>44580</v>
      </c>
      <c r="B21920" s="2" t="str">
        <f>"61261"</f>
        <v>61261</v>
      </c>
      <c r="C21920" s="1">
        <v>1.8225866567275401E-2</v>
      </c>
      <c r="D21920" s="1">
        <v>5.5970149253731297E-3</v>
      </c>
      <c r="E21920" s="1">
        <v>0</v>
      </c>
      <c r="F21920" s="1">
        <v>1.6757534200755899E-2</v>
      </c>
    </row>
    <row r="21921" spans="1:6" x14ac:dyDescent="0.25">
      <c r="A21921" s="2" t="str">
        <f t="shared" si="782"/>
        <v>44580</v>
      </c>
      <c r="B21921" s="2" t="str">
        <f>"61243"</f>
        <v>61243</v>
      </c>
      <c r="C21921" s="1">
        <v>3.8017144986954902E-3</v>
      </c>
      <c r="D21921" s="1">
        <v>2.3320895522388001E-3</v>
      </c>
      <c r="E21921" s="1">
        <v>0</v>
      </c>
      <c r="F21921" s="1">
        <v>3.5789544101414799E-3</v>
      </c>
    </row>
    <row r="21922" spans="1:6" x14ac:dyDescent="0.25">
      <c r="A21922" s="2" t="str">
        <f t="shared" si="782"/>
        <v>44580</v>
      </c>
      <c r="B21922" s="2" t="str">
        <f>"61252"</f>
        <v>61252</v>
      </c>
      <c r="C21922" s="1">
        <v>9.9105478941483402E-2</v>
      </c>
      <c r="D21922" s="1">
        <v>0.111940298507462</v>
      </c>
      <c r="E21922" s="1">
        <v>8.3423618634886204E-2</v>
      </c>
      <c r="F21922" s="1">
        <v>9.9541760042813607E-2</v>
      </c>
    </row>
    <row r="21923" spans="1:6" x14ac:dyDescent="0.25">
      <c r="A21923" s="2" t="str">
        <f t="shared" si="782"/>
        <v>44580</v>
      </c>
      <c r="B21923" s="2" t="str">
        <f>"61037"</f>
        <v>61037</v>
      </c>
      <c r="C21923" s="1">
        <v>0</v>
      </c>
      <c r="D21923" s="1">
        <v>0</v>
      </c>
      <c r="E21923" s="1">
        <v>1.0834236186348799E-3</v>
      </c>
      <c r="F21923" s="1">
        <v>3.3448172057396998E-5</v>
      </c>
    </row>
    <row r="21924" spans="1:6" x14ac:dyDescent="0.25">
      <c r="A21924" s="2" t="str">
        <f t="shared" si="782"/>
        <v>44580</v>
      </c>
      <c r="B21924" s="2" t="str">
        <f>"61014"</f>
        <v>61014</v>
      </c>
      <c r="C21924" s="1">
        <v>2.8699217294073701E-3</v>
      </c>
      <c r="D21924" s="1">
        <v>4.6641791044776102E-4</v>
      </c>
      <c r="E21924" s="1">
        <v>0</v>
      </c>
      <c r="F21924" s="1">
        <v>2.6089574204769699E-3</v>
      </c>
    </row>
    <row r="21925" spans="1:6" x14ac:dyDescent="0.25">
      <c r="A21925" s="2" t="str">
        <f t="shared" si="782"/>
        <v>44580</v>
      </c>
      <c r="B21925" s="2" t="str">
        <f>"61071"</f>
        <v>61071</v>
      </c>
      <c r="C21925" s="1">
        <v>0.24137159895639199</v>
      </c>
      <c r="D21925" s="1">
        <v>0.24300373134328301</v>
      </c>
      <c r="E21925" s="1">
        <v>0.22101841820151599</v>
      </c>
      <c r="F21925" s="1">
        <v>0.240860286985316</v>
      </c>
    </row>
    <row r="21926" spans="1:6" x14ac:dyDescent="0.25">
      <c r="A21926" s="2" t="str">
        <f t="shared" si="782"/>
        <v>44580</v>
      </c>
      <c r="B21926" s="2" t="str">
        <f>"61230"</f>
        <v>61230</v>
      </c>
      <c r="C21926" s="1">
        <v>2.1990309355199401E-2</v>
      </c>
      <c r="D21926" s="1">
        <v>3.7313432835820799E-3</v>
      </c>
      <c r="E21926" s="1">
        <v>2.1668472372697702E-3</v>
      </c>
      <c r="F21926" s="1">
        <v>2.0068903234438201E-2</v>
      </c>
    </row>
    <row r="21927" spans="1:6" x14ac:dyDescent="0.25">
      <c r="A21927" s="2" t="str">
        <f t="shared" si="782"/>
        <v>44580</v>
      </c>
      <c r="B21927" s="2" t="str">
        <f>"61254"</f>
        <v>61254</v>
      </c>
      <c r="C21927" s="1">
        <v>3.7271710771524397E-5</v>
      </c>
      <c r="D21927" s="1">
        <v>0</v>
      </c>
      <c r="E21927" s="1">
        <v>0</v>
      </c>
      <c r="F21927" s="1">
        <v>3.3448172057396998E-5</v>
      </c>
    </row>
    <row r="21928" spans="1:6" x14ac:dyDescent="0.25">
      <c r="A21928" s="2" t="str">
        <f t="shared" si="782"/>
        <v>44580</v>
      </c>
      <c r="B21928" s="2" t="str">
        <f>"61283"</f>
        <v>61283</v>
      </c>
      <c r="C21928" s="1">
        <v>1.9381289601192599E-2</v>
      </c>
      <c r="D21928" s="1">
        <v>4.6641791044776098E-3</v>
      </c>
      <c r="E21928" s="1">
        <v>0</v>
      </c>
      <c r="F21928" s="1">
        <v>1.7727531190420399E-2</v>
      </c>
    </row>
    <row r="21929" spans="1:6" x14ac:dyDescent="0.25">
      <c r="A21929" s="2" t="str">
        <f t="shared" si="782"/>
        <v>44580</v>
      </c>
      <c r="B21929" s="2" t="str">
        <f>"61376"</f>
        <v>61376</v>
      </c>
      <c r="C21929" s="1">
        <v>3.7271710771524397E-5</v>
      </c>
      <c r="D21929" s="1">
        <v>0</v>
      </c>
      <c r="E21929" s="1">
        <v>0</v>
      </c>
      <c r="F21929" s="1">
        <v>3.3448172057396998E-5</v>
      </c>
    </row>
    <row r="21930" spans="1:6" x14ac:dyDescent="0.25">
      <c r="A21930" s="2" t="str">
        <f t="shared" si="782"/>
        <v>44580</v>
      </c>
      <c r="B21930" s="2" t="str">
        <f>"61051"</f>
        <v>61051</v>
      </c>
      <c r="C21930" s="1">
        <v>2.2363026462914599E-4</v>
      </c>
      <c r="D21930" s="1">
        <v>0</v>
      </c>
      <c r="E21930" s="1">
        <v>0</v>
      </c>
      <c r="F21930" s="1">
        <v>2.0068903234438199E-4</v>
      </c>
    </row>
    <row r="21931" spans="1:6" x14ac:dyDescent="0.25">
      <c r="A21931" s="2" t="str">
        <f t="shared" si="782"/>
        <v>44580</v>
      </c>
      <c r="B21931" s="2" t="str">
        <f>"61270"</f>
        <v>61270</v>
      </c>
      <c r="C21931" s="1">
        <v>0.124860231084606</v>
      </c>
      <c r="D21931" s="1">
        <v>0.12686567164179099</v>
      </c>
      <c r="E21931" s="1">
        <v>0.12676056338028099</v>
      </c>
      <c r="F21931" s="1">
        <v>0.12506271532260699</v>
      </c>
    </row>
    <row r="21932" spans="1:6" x14ac:dyDescent="0.25">
      <c r="A21932" s="2" t="str">
        <f t="shared" si="782"/>
        <v>44580</v>
      </c>
      <c r="B21932" s="2" t="str">
        <f>"61250"</f>
        <v>61250</v>
      </c>
      <c r="C21932" s="1">
        <v>4.5732389116660402E-2</v>
      </c>
      <c r="D21932" s="1">
        <v>1.1660447761193999E-2</v>
      </c>
      <c r="E21932" s="1">
        <v>1.95016251354279E-2</v>
      </c>
      <c r="F21932" s="1">
        <v>4.2479178512894199E-2</v>
      </c>
    </row>
    <row r="21933" spans="1:6" x14ac:dyDescent="0.25">
      <c r="A21933" s="2" t="str">
        <f t="shared" si="782"/>
        <v>44580</v>
      </c>
      <c r="B21933" s="2" t="str">
        <f>"61081"</f>
        <v>61081</v>
      </c>
      <c r="C21933" s="1">
        <v>0.36574729780096898</v>
      </c>
      <c r="D21933" s="1">
        <v>0.43097014925373101</v>
      </c>
      <c r="E21933" s="1">
        <v>0.51679306608884001</v>
      </c>
      <c r="F21933" s="1">
        <v>0.37508780145164999</v>
      </c>
    </row>
    <row r="21934" spans="1:6" x14ac:dyDescent="0.25">
      <c r="A21934" s="2" t="str">
        <f t="shared" si="782"/>
        <v>44580</v>
      </c>
      <c r="B21934" s="2" t="str">
        <f>"61277"</f>
        <v>61277</v>
      </c>
      <c r="C21934" s="1">
        <v>5.0354081252329402E-2</v>
      </c>
      <c r="D21934" s="1">
        <v>5.5970149253731297E-2</v>
      </c>
      <c r="E21934" s="1">
        <v>2.9252437703141902E-2</v>
      </c>
      <c r="F21934" s="1">
        <v>5.0105361741980797E-2</v>
      </c>
    </row>
    <row r="21935" spans="1:6" x14ac:dyDescent="0.25">
      <c r="A21935" s="2" t="str">
        <f t="shared" si="782"/>
        <v>44580</v>
      </c>
      <c r="B21935" s="2" t="str">
        <f>"61251"</f>
        <v>61251</v>
      </c>
      <c r="C21935" s="1">
        <v>6.0380171449869501E-3</v>
      </c>
      <c r="D21935" s="1">
        <v>2.7985074626865601E-3</v>
      </c>
      <c r="E21935" s="1">
        <v>0</v>
      </c>
      <c r="F21935" s="1">
        <v>5.6192929056427003E-3</v>
      </c>
    </row>
    <row r="21936" spans="1:6" x14ac:dyDescent="0.25">
      <c r="A21936" s="2" t="str">
        <f t="shared" si="782"/>
        <v>44580</v>
      </c>
      <c r="B21936" s="2" t="str">
        <f>"61042"</f>
        <v>61042</v>
      </c>
      <c r="C21936" s="1">
        <v>7.4543421543048793E-5</v>
      </c>
      <c r="D21936" s="1">
        <v>0</v>
      </c>
      <c r="E21936" s="1">
        <v>0</v>
      </c>
      <c r="F21936" s="1">
        <v>6.6896344114794105E-5</v>
      </c>
    </row>
    <row r="21937" spans="1:6" x14ac:dyDescent="0.25">
      <c r="A21937" s="2" t="str">
        <f t="shared" ref="A21937:A22000" si="783">"41180"</f>
        <v>41180</v>
      </c>
      <c r="B21937" s="2" t="str">
        <f>"63128"</f>
        <v>63128</v>
      </c>
      <c r="C21937" s="1">
        <v>9.8201380320761499E-3</v>
      </c>
      <c r="D21937" s="1">
        <v>6.7781741138302799E-3</v>
      </c>
      <c r="E21937" s="1">
        <v>1.6091281451140999E-2</v>
      </c>
      <c r="F21937" s="1">
        <v>9.7902959193595408E-3</v>
      </c>
    </row>
    <row r="21938" spans="1:6" x14ac:dyDescent="0.25">
      <c r="A21938" s="2" t="str">
        <f t="shared" si="783"/>
        <v>41180</v>
      </c>
      <c r="B21938" s="2" t="str">
        <f>"63373"</f>
        <v>63373</v>
      </c>
      <c r="C21938" s="1">
        <v>2.3640127218906801E-4</v>
      </c>
      <c r="D21938" s="1">
        <v>2.3173244833607799E-4</v>
      </c>
      <c r="E21938" s="1">
        <v>1.3653208503998401E-4</v>
      </c>
      <c r="F21938" s="1">
        <v>2.3271642952063E-4</v>
      </c>
    </row>
    <row r="21939" spans="1:6" x14ac:dyDescent="0.25">
      <c r="A21939" s="2" t="str">
        <f t="shared" si="783"/>
        <v>41180</v>
      </c>
      <c r="B21939" s="2" t="str">
        <f>"63377"</f>
        <v>63377</v>
      </c>
      <c r="C21939" s="1">
        <v>1.08861326575953E-3</v>
      </c>
      <c r="D21939" s="1">
        <v>4.9656953214873901E-4</v>
      </c>
      <c r="E21939" s="1">
        <v>9.7522917885703106E-5</v>
      </c>
      <c r="F21939" s="1">
        <v>1.0093021748290201E-3</v>
      </c>
    </row>
    <row r="21940" spans="1:6" x14ac:dyDescent="0.25">
      <c r="A21940" s="2" t="str">
        <f t="shared" si="783"/>
        <v>41180</v>
      </c>
      <c r="B21940" s="2" t="str">
        <f>"63171"</f>
        <v>63171</v>
      </c>
      <c r="C21940" s="1">
        <v>0</v>
      </c>
      <c r="D21940" s="1">
        <v>8.2761588691456493E-6</v>
      </c>
      <c r="E21940" s="1">
        <v>0</v>
      </c>
      <c r="F21940" s="1">
        <v>6.48235179723203E-7</v>
      </c>
    </row>
    <row r="21941" spans="1:6" x14ac:dyDescent="0.25">
      <c r="A21941" s="2" t="str">
        <f t="shared" si="783"/>
        <v>41180</v>
      </c>
      <c r="B21941" s="2" t="str">
        <f>"63167"</f>
        <v>63167</v>
      </c>
      <c r="C21941" s="1">
        <v>0</v>
      </c>
      <c r="D21941" s="1">
        <v>8.2761588691456493E-6</v>
      </c>
      <c r="E21941" s="1">
        <v>0</v>
      </c>
      <c r="F21941" s="1">
        <v>6.48235179723203E-7</v>
      </c>
    </row>
    <row r="21942" spans="1:6" x14ac:dyDescent="0.25">
      <c r="A21942" s="2" t="str">
        <f t="shared" si="783"/>
        <v>41180</v>
      </c>
      <c r="B21942" s="2" t="str">
        <f>"63302"</f>
        <v>63302</v>
      </c>
      <c r="C21942" s="1">
        <v>7.7341156950744598E-4</v>
      </c>
      <c r="D21942" s="1">
        <v>4.0222132104047797E-3</v>
      </c>
      <c r="E21942" s="1">
        <v>3.9009167154281199E-5</v>
      </c>
      <c r="F21942" s="1">
        <v>1.00346805821151E-3</v>
      </c>
    </row>
    <row r="21943" spans="1:6" x14ac:dyDescent="0.25">
      <c r="A21943" s="2" t="str">
        <f t="shared" si="783"/>
        <v>41180</v>
      </c>
      <c r="B21943" s="2" t="str">
        <f>"63178"</f>
        <v>63178</v>
      </c>
      <c r="C21943" s="1">
        <v>3.6408714451341098E-4</v>
      </c>
      <c r="D21943" s="1">
        <v>6.2071191518592295E-4</v>
      </c>
      <c r="E21943" s="1">
        <v>3.9009167154281199E-5</v>
      </c>
      <c r="F21943" s="1">
        <v>3.73383463520565E-4</v>
      </c>
    </row>
    <row r="21944" spans="1:6" x14ac:dyDescent="0.25">
      <c r="A21944" s="2" t="str">
        <f t="shared" si="783"/>
        <v>41180</v>
      </c>
      <c r="B21944" s="2" t="str">
        <f>"63332"</f>
        <v>63332</v>
      </c>
      <c r="C21944" s="1">
        <v>5.8735501269197498E-4</v>
      </c>
      <c r="D21944" s="1">
        <v>2.7311324268180598E-4</v>
      </c>
      <c r="E21944" s="1">
        <v>5.8513750731421798E-5</v>
      </c>
      <c r="F21944" s="1">
        <v>5.4516578614721397E-4</v>
      </c>
    </row>
    <row r="21945" spans="1:6" x14ac:dyDescent="0.25">
      <c r="A21945" s="2" t="str">
        <f t="shared" si="783"/>
        <v>41180</v>
      </c>
      <c r="B21945" s="2" t="str">
        <f>"63147"</f>
        <v>63147</v>
      </c>
      <c r="C21945" s="1">
        <v>3.55404505195355E-3</v>
      </c>
      <c r="D21945" s="1">
        <v>5.2057039286926097E-3</v>
      </c>
      <c r="E21945" s="1">
        <v>3.8424029646967001E-3</v>
      </c>
      <c r="F21945" s="1">
        <v>3.6929958188830899E-3</v>
      </c>
    </row>
    <row r="21946" spans="1:6" x14ac:dyDescent="0.25">
      <c r="A21946" s="2" t="str">
        <f t="shared" si="783"/>
        <v>41180</v>
      </c>
      <c r="B21946" s="2" t="str">
        <f>"63346"</f>
        <v>63346</v>
      </c>
      <c r="C21946" s="1">
        <v>0</v>
      </c>
      <c r="D21946" s="1">
        <v>0</v>
      </c>
      <c r="E21946" s="1">
        <v>1.9504583577140599E-5</v>
      </c>
      <c r="F21946" s="1">
        <v>6.48235179723203E-7</v>
      </c>
    </row>
    <row r="21947" spans="1:6" x14ac:dyDescent="0.25">
      <c r="A21947" s="2" t="str">
        <f t="shared" si="783"/>
        <v>41180</v>
      </c>
      <c r="B21947" s="2" t="str">
        <f>"63351"</f>
        <v>63351</v>
      </c>
      <c r="C21947" s="1">
        <v>2.2472713529084201E-4</v>
      </c>
      <c r="D21947" s="1">
        <v>2.48284766074369E-5</v>
      </c>
      <c r="E21947" s="1">
        <v>0</v>
      </c>
      <c r="F21947" s="1">
        <v>2.0160114089391601E-4</v>
      </c>
    </row>
    <row r="21948" spans="1:6" x14ac:dyDescent="0.25">
      <c r="A21948" s="2" t="str">
        <f t="shared" si="783"/>
        <v>41180</v>
      </c>
      <c r="B21948" s="2" t="str">
        <f>"63347"</f>
        <v>63347</v>
      </c>
      <c r="C21948" s="1">
        <v>1.0572390228455501E-3</v>
      </c>
      <c r="D21948" s="1">
        <v>1.4897085964462101E-4</v>
      </c>
      <c r="E21948" s="1">
        <v>1.17027501462843E-4</v>
      </c>
      <c r="F21948" s="1">
        <v>9.5485041973227805E-4</v>
      </c>
    </row>
    <row r="21949" spans="1:6" x14ac:dyDescent="0.25">
      <c r="A21949" s="2" t="str">
        <f t="shared" si="783"/>
        <v>41180</v>
      </c>
      <c r="B21949" s="2" t="str">
        <f>"63344"</f>
        <v>63344</v>
      </c>
      <c r="C21949" s="1">
        <v>2.1159373128033901E-4</v>
      </c>
      <c r="D21949" s="1">
        <v>3.3104635476582597E-5</v>
      </c>
      <c r="E21949" s="1">
        <v>0</v>
      </c>
      <c r="F21949" s="1">
        <v>1.90581142838621E-4</v>
      </c>
    </row>
    <row r="21950" spans="1:6" x14ac:dyDescent="0.25">
      <c r="A21950" s="2" t="str">
        <f t="shared" si="783"/>
        <v>41180</v>
      </c>
      <c r="B21950" s="2" t="str">
        <f>"63123"</f>
        <v>63123</v>
      </c>
      <c r="C21950" s="1">
        <v>1.7649835723004801E-2</v>
      </c>
      <c r="D21950" s="1">
        <v>1.0378303221908599E-2</v>
      </c>
      <c r="E21950" s="1">
        <v>2.8398673688316702E-2</v>
      </c>
      <c r="F21950" s="1">
        <v>1.7437526334554102E-2</v>
      </c>
    </row>
    <row r="21951" spans="1:6" x14ac:dyDescent="0.25">
      <c r="A21951" s="2" t="str">
        <f t="shared" si="783"/>
        <v>41180</v>
      </c>
      <c r="B21951" s="2" t="str">
        <f>"63113"</f>
        <v>63113</v>
      </c>
      <c r="C21951" s="1">
        <v>6.8206144827882998E-3</v>
      </c>
      <c r="D21951" s="1">
        <v>7.5064760943150998E-3</v>
      </c>
      <c r="E21951" s="1">
        <v>4.9346596450165698E-3</v>
      </c>
      <c r="F21951" s="1">
        <v>6.81165526853142E-3</v>
      </c>
    </row>
    <row r="21952" spans="1:6" x14ac:dyDescent="0.25">
      <c r="A21952" s="2" t="str">
        <f t="shared" si="783"/>
        <v>41180</v>
      </c>
      <c r="B21952" s="2" t="str">
        <f>"63019"</f>
        <v>63019</v>
      </c>
      <c r="C21952" s="1">
        <v>1.43810773915016E-3</v>
      </c>
      <c r="D21952" s="1">
        <v>2.6897516324723299E-3</v>
      </c>
      <c r="E21952" s="1">
        <v>1.6968987712112299E-3</v>
      </c>
      <c r="F21952" s="1">
        <v>1.5447444332803901E-3</v>
      </c>
    </row>
    <row r="21953" spans="1:6" x14ac:dyDescent="0.25">
      <c r="A21953" s="2" t="str">
        <f t="shared" si="783"/>
        <v>41180</v>
      </c>
      <c r="B21953" s="2" t="str">
        <f>"63016"</f>
        <v>63016</v>
      </c>
      <c r="C21953" s="1">
        <v>2.9083193547704499E-3</v>
      </c>
      <c r="D21953" s="1">
        <v>1.6469556149599799E-3</v>
      </c>
      <c r="E21953" s="1">
        <v>3.7058708796567101E-4</v>
      </c>
      <c r="F21953" s="1">
        <v>2.7251806955563402E-3</v>
      </c>
    </row>
    <row r="21954" spans="1:6" x14ac:dyDescent="0.25">
      <c r="A21954" s="2" t="str">
        <f t="shared" si="783"/>
        <v>41180</v>
      </c>
      <c r="B21954" s="2" t="str">
        <f>"63023"</f>
        <v>63023</v>
      </c>
      <c r="C21954" s="1">
        <v>1.6307309979708799E-3</v>
      </c>
      <c r="D21954" s="1">
        <v>3.1449403702753399E-4</v>
      </c>
      <c r="E21954" s="1">
        <v>1.9504583577140599E-5</v>
      </c>
      <c r="F21954" s="1">
        <v>1.47408679869056E-3</v>
      </c>
    </row>
    <row r="21955" spans="1:6" x14ac:dyDescent="0.25">
      <c r="A21955" s="2" t="str">
        <f t="shared" si="783"/>
        <v>41180</v>
      </c>
      <c r="B21955" s="2" t="str">
        <f>"63108"</f>
        <v>63108</v>
      </c>
      <c r="C21955" s="1">
        <v>1.07686616550569E-2</v>
      </c>
      <c r="D21955" s="1">
        <v>1.1628003211149599E-2</v>
      </c>
      <c r="E21955" s="1">
        <v>1.8314803978935E-2</v>
      </c>
      <c r="F21955" s="1">
        <v>1.10867662788059E-2</v>
      </c>
    </row>
    <row r="21956" spans="1:6" x14ac:dyDescent="0.25">
      <c r="A21956" s="2" t="str">
        <f t="shared" si="783"/>
        <v>41180</v>
      </c>
      <c r="B21956" s="2" t="str">
        <f>"63110"</f>
        <v>63110</v>
      </c>
      <c r="C21956" s="1">
        <v>8.0237802168616808E-3</v>
      </c>
      <c r="D21956" s="1">
        <v>1.03286462686937E-2</v>
      </c>
      <c r="E21956" s="1">
        <v>1.64033547883752E-2</v>
      </c>
      <c r="F21956" s="1">
        <v>8.4828055618578393E-3</v>
      </c>
    </row>
    <row r="21957" spans="1:6" x14ac:dyDescent="0.25">
      <c r="A21957" s="2" t="str">
        <f t="shared" si="783"/>
        <v>41180</v>
      </c>
      <c r="B21957" s="2" t="str">
        <f>"63074"</f>
        <v>63074</v>
      </c>
      <c r="C21957" s="1">
        <v>5.9399467805284099E-3</v>
      </c>
      <c r="D21957" s="1">
        <v>5.4374363770286899E-3</v>
      </c>
      <c r="E21957" s="1">
        <v>8.9135946947532605E-3</v>
      </c>
      <c r="F21957" s="1">
        <v>5.9994165883382397E-3</v>
      </c>
    </row>
    <row r="21958" spans="1:6" x14ac:dyDescent="0.25">
      <c r="A21958" s="2" t="str">
        <f t="shared" si="783"/>
        <v>41180</v>
      </c>
      <c r="B21958" s="2" t="str">
        <f>"63087"</f>
        <v>63087</v>
      </c>
      <c r="C21958" s="1">
        <v>3.7940944919233197E-5</v>
      </c>
      <c r="D21958" s="1">
        <v>8.2761588691456493E-6</v>
      </c>
      <c r="E21958" s="1">
        <v>1.9504583577140599E-5</v>
      </c>
      <c r="F21958" s="1">
        <v>3.5004699705052903E-5</v>
      </c>
    </row>
    <row r="21959" spans="1:6" x14ac:dyDescent="0.25">
      <c r="A21959" s="2" t="str">
        <f t="shared" si="783"/>
        <v>41180</v>
      </c>
      <c r="B21959" s="2" t="str">
        <f>"63077"</f>
        <v>63077</v>
      </c>
      <c r="C21959" s="1">
        <v>4.1837188109015997E-3</v>
      </c>
      <c r="D21959" s="1">
        <v>3.4925390427794599E-3</v>
      </c>
      <c r="E21959" s="1">
        <v>3.4133021259996001E-3</v>
      </c>
      <c r="F21959" s="1">
        <v>4.1039769228276004E-3</v>
      </c>
    </row>
    <row r="21960" spans="1:6" x14ac:dyDescent="0.25">
      <c r="A21960" s="2" t="str">
        <f t="shared" si="783"/>
        <v>41180</v>
      </c>
      <c r="B21960" s="2" t="str">
        <f>"63006"</f>
        <v>63006</v>
      </c>
      <c r="C21960" s="1">
        <v>1.0441056188350501E-3</v>
      </c>
      <c r="D21960" s="1">
        <v>6.1078052454294901E-3</v>
      </c>
      <c r="E21960" s="1">
        <v>7.8018334308562506E-5</v>
      </c>
      <c r="F21960" s="1">
        <v>1.40861504553852E-3</v>
      </c>
    </row>
    <row r="21961" spans="1:6" x14ac:dyDescent="0.25">
      <c r="A21961" s="2" t="str">
        <f t="shared" si="783"/>
        <v>41180</v>
      </c>
      <c r="B21961" s="2" t="str">
        <f>"63041"</f>
        <v>63041</v>
      </c>
      <c r="C21961" s="1">
        <v>1.6416755013129699E-4</v>
      </c>
      <c r="D21961" s="1">
        <v>8.2761588691456493E-6</v>
      </c>
      <c r="E21961" s="1">
        <v>1.9504583577140599E-5</v>
      </c>
      <c r="F21961" s="1">
        <v>1.4714938579716701E-4</v>
      </c>
    </row>
    <row r="21962" spans="1:6" x14ac:dyDescent="0.25">
      <c r="A21962" s="2" t="str">
        <f t="shared" si="783"/>
        <v>41180</v>
      </c>
      <c r="B21962" s="2" t="str">
        <f>"63034"</f>
        <v>63034</v>
      </c>
      <c r="C21962" s="1">
        <v>5.3518621342803002E-3</v>
      </c>
      <c r="D21962" s="1">
        <v>1.5393655496610901E-3</v>
      </c>
      <c r="E21962" s="1">
        <v>9.9473376243417204E-4</v>
      </c>
      <c r="F21962" s="1">
        <v>4.9084367808640899E-3</v>
      </c>
    </row>
    <row r="21963" spans="1:6" x14ac:dyDescent="0.25">
      <c r="A21963" s="2" t="str">
        <f t="shared" si="783"/>
        <v>41180</v>
      </c>
      <c r="B21963" s="2" t="str">
        <f>"62685"</f>
        <v>62685</v>
      </c>
      <c r="C21963" s="1">
        <v>7.0190748100581405E-4</v>
      </c>
      <c r="D21963" s="1">
        <v>2.6483708381266002E-4</v>
      </c>
      <c r="E21963" s="1">
        <v>1.5603666861712501E-4</v>
      </c>
      <c r="F21963" s="1">
        <v>6.4953165008264902E-4</v>
      </c>
    </row>
    <row r="21964" spans="1:6" x14ac:dyDescent="0.25">
      <c r="A21964" s="2" t="str">
        <f t="shared" si="783"/>
        <v>41180</v>
      </c>
      <c r="B21964" s="2" t="str">
        <f>"62203"</f>
        <v>62203</v>
      </c>
      <c r="C21964" s="1">
        <v>2.5624730491605198E-3</v>
      </c>
      <c r="D21964" s="1">
        <v>1.9697258108566599E-3</v>
      </c>
      <c r="E21964" s="1">
        <v>7.0216500877706201E-4</v>
      </c>
      <c r="F21964" s="1">
        <v>2.4542183904320402E-3</v>
      </c>
    </row>
    <row r="21965" spans="1:6" x14ac:dyDescent="0.25">
      <c r="A21965" s="2" t="str">
        <f t="shared" si="783"/>
        <v>41180</v>
      </c>
      <c r="B21965" s="2" t="str">
        <f>"62202"</f>
        <v>62202</v>
      </c>
      <c r="C21965" s="1">
        <v>9.0766414383704002E-4</v>
      </c>
      <c r="D21965" s="1">
        <v>1.24142383037184E-3</v>
      </c>
      <c r="E21965" s="1">
        <v>3.9009167154281199E-5</v>
      </c>
      <c r="F21965" s="1">
        <v>9.0493631089359197E-4</v>
      </c>
    </row>
    <row r="21966" spans="1:6" x14ac:dyDescent="0.25">
      <c r="A21966" s="2" t="str">
        <f t="shared" si="783"/>
        <v>41180</v>
      </c>
      <c r="B21966" s="2" t="str">
        <f>"62091"</f>
        <v>62091</v>
      </c>
      <c r="C21966" s="1">
        <v>7.296335561391E-7</v>
      </c>
      <c r="D21966" s="1">
        <v>0</v>
      </c>
      <c r="E21966" s="1">
        <v>0</v>
      </c>
      <c r="F21966" s="1">
        <v>6.48235179723203E-7</v>
      </c>
    </row>
    <row r="21967" spans="1:6" x14ac:dyDescent="0.25">
      <c r="A21967" s="2" t="str">
        <f t="shared" si="783"/>
        <v>41180</v>
      </c>
      <c r="B21967" s="2" t="str">
        <f>"62087"</f>
        <v>62087</v>
      </c>
      <c r="C21967" s="1">
        <v>6.2821449183576503E-4</v>
      </c>
      <c r="D21967" s="1">
        <v>3.97255625718991E-4</v>
      </c>
      <c r="E21967" s="1">
        <v>4.0959625511995302E-4</v>
      </c>
      <c r="F21967" s="1">
        <v>6.02858717142579E-4</v>
      </c>
    </row>
    <row r="21968" spans="1:6" x14ac:dyDescent="0.25">
      <c r="A21968" s="2" t="str">
        <f t="shared" si="783"/>
        <v>41180</v>
      </c>
      <c r="B21968" s="2" t="str">
        <f>"62065"</f>
        <v>62065</v>
      </c>
      <c r="C21968" s="1">
        <v>6.8585554277075404E-5</v>
      </c>
      <c r="D21968" s="1">
        <v>3.3104635476582597E-5</v>
      </c>
      <c r="E21968" s="1">
        <v>1.9504583577140599E-5</v>
      </c>
      <c r="F21968" s="1">
        <v>6.4175282792597094E-5</v>
      </c>
    </row>
    <row r="21969" spans="1:6" x14ac:dyDescent="0.25">
      <c r="A21969" s="2" t="str">
        <f t="shared" si="783"/>
        <v>41180</v>
      </c>
      <c r="B21969" s="2" t="str">
        <f>"62061"</f>
        <v>62061</v>
      </c>
      <c r="C21969" s="1">
        <v>5.4941406777274198E-4</v>
      </c>
      <c r="D21969" s="1">
        <v>2.5656092494351498E-4</v>
      </c>
      <c r="E21969" s="1">
        <v>1.17027501462843E-4</v>
      </c>
      <c r="F21969" s="1">
        <v>5.1210579198133002E-4</v>
      </c>
    </row>
    <row r="21970" spans="1:6" x14ac:dyDescent="0.25">
      <c r="A21970" s="2" t="str">
        <f t="shared" si="783"/>
        <v>41180</v>
      </c>
      <c r="B21970" s="2" t="str">
        <f>"62279"</f>
        <v>62279</v>
      </c>
      <c r="C21970" s="1">
        <v>7.296335561391E-7</v>
      </c>
      <c r="D21970" s="1">
        <v>0</v>
      </c>
      <c r="E21970" s="1">
        <v>1.9504583577140599E-5</v>
      </c>
      <c r="F21970" s="1">
        <v>1.2964703594464001E-6</v>
      </c>
    </row>
    <row r="21971" spans="1:6" x14ac:dyDescent="0.25">
      <c r="A21971" s="2" t="str">
        <f t="shared" si="783"/>
        <v>41180</v>
      </c>
      <c r="B21971" s="2" t="str">
        <f>"62256"</f>
        <v>62256</v>
      </c>
      <c r="C21971" s="1">
        <v>0</v>
      </c>
      <c r="D21971" s="1">
        <v>0</v>
      </c>
      <c r="E21971" s="1">
        <v>1.9504583577140599E-5</v>
      </c>
      <c r="F21971" s="1">
        <v>6.48235179723203E-7</v>
      </c>
    </row>
    <row r="21972" spans="1:6" x14ac:dyDescent="0.25">
      <c r="A21972" s="2" t="str">
        <f t="shared" si="783"/>
        <v>41180</v>
      </c>
      <c r="B21972" s="2" t="str">
        <f>"62254"</f>
        <v>62254</v>
      </c>
      <c r="C21972" s="1">
        <v>2.1093706107981301E-3</v>
      </c>
      <c r="D21972" s="1">
        <v>1.62212713835254E-3</v>
      </c>
      <c r="E21972" s="1">
        <v>1.4238346011312599E-3</v>
      </c>
      <c r="F21972" s="1">
        <v>2.0484231679253201E-3</v>
      </c>
    </row>
    <row r="21973" spans="1:6" x14ac:dyDescent="0.25">
      <c r="A21973" s="2" t="str">
        <f t="shared" si="783"/>
        <v>41180</v>
      </c>
      <c r="B21973" s="2" t="str">
        <f>"62249"</f>
        <v>62249</v>
      </c>
      <c r="C21973" s="1">
        <v>5.2686839088804402E-3</v>
      </c>
      <c r="D21973" s="1">
        <v>6.0250436567380302E-3</v>
      </c>
      <c r="E21973" s="1">
        <v>7.1971913399648899E-3</v>
      </c>
      <c r="F21973" s="1">
        <v>5.3920202249375998E-3</v>
      </c>
    </row>
    <row r="21974" spans="1:6" x14ac:dyDescent="0.25">
      <c r="A21974" s="2" t="str">
        <f t="shared" si="783"/>
        <v>41180</v>
      </c>
      <c r="B21974" s="2" t="str">
        <f>"62243"</f>
        <v>62243</v>
      </c>
      <c r="C21974" s="1">
        <v>2.08018526855257E-3</v>
      </c>
      <c r="D21974" s="1">
        <v>1.704888727044E-3</v>
      </c>
      <c r="E21974" s="1">
        <v>1.0922566803198701E-3</v>
      </c>
      <c r="F21974" s="1">
        <v>2.01795611447833E-3</v>
      </c>
    </row>
    <row r="21975" spans="1:6" x14ac:dyDescent="0.25">
      <c r="A21975" s="2" t="str">
        <f t="shared" si="783"/>
        <v>41180</v>
      </c>
      <c r="B21975" s="2" t="str">
        <f>"62239"</f>
        <v>62239</v>
      </c>
      <c r="C21975" s="1">
        <v>1.6978572851356799E-3</v>
      </c>
      <c r="D21975" s="1">
        <v>1.2000430360261101E-3</v>
      </c>
      <c r="E21975" s="1">
        <v>1.5408621025940999E-3</v>
      </c>
      <c r="F21975" s="1">
        <v>1.65364794347389E-3</v>
      </c>
    </row>
    <row r="21976" spans="1:6" x14ac:dyDescent="0.25">
      <c r="A21976" s="2" t="str">
        <f t="shared" si="783"/>
        <v>41180</v>
      </c>
      <c r="B21976" s="2" t="str">
        <f>"62258"</f>
        <v>62258</v>
      </c>
      <c r="C21976" s="1">
        <v>3.4380333165274402E-3</v>
      </c>
      <c r="D21976" s="1">
        <v>2.1269728293704299E-3</v>
      </c>
      <c r="E21976" s="1">
        <v>2.67212795006826E-3</v>
      </c>
      <c r="F21976" s="1">
        <v>3.30988882766667E-3</v>
      </c>
    </row>
    <row r="21977" spans="1:6" x14ac:dyDescent="0.25">
      <c r="A21977" s="2" t="str">
        <f t="shared" si="783"/>
        <v>41180</v>
      </c>
      <c r="B21977" s="2" t="str">
        <f>"62040"</f>
        <v>62040</v>
      </c>
      <c r="C21977" s="1">
        <v>1.53361677164877E-2</v>
      </c>
      <c r="D21977" s="1">
        <v>1.41108508718933E-2</v>
      </c>
      <c r="E21977" s="1">
        <v>1.3692217671152701E-2</v>
      </c>
      <c r="F21977" s="1">
        <v>1.51855573201957E-2</v>
      </c>
    </row>
    <row r="21978" spans="1:6" x14ac:dyDescent="0.25">
      <c r="A21978" s="2" t="str">
        <f t="shared" si="783"/>
        <v>41180</v>
      </c>
      <c r="B21978" s="2" t="str">
        <f>"62034"</f>
        <v>62034</v>
      </c>
      <c r="C21978" s="1">
        <v>4.8739521550091799E-3</v>
      </c>
      <c r="D21978" s="1">
        <v>3.9228993039750297E-3</v>
      </c>
      <c r="E21978" s="1">
        <v>4.7396138092451702E-3</v>
      </c>
      <c r="F21978" s="1">
        <v>4.7949956244125302E-3</v>
      </c>
    </row>
    <row r="21979" spans="1:6" x14ac:dyDescent="0.25">
      <c r="A21979" s="2" t="str">
        <f t="shared" si="783"/>
        <v>41180</v>
      </c>
      <c r="B21979" s="2" t="str">
        <f>"62230"</f>
        <v>62230</v>
      </c>
      <c r="C21979" s="1">
        <v>2.0707000323227599E-3</v>
      </c>
      <c r="D21979" s="1">
        <v>2.5490569316968599E-3</v>
      </c>
      <c r="E21979" s="1">
        <v>6.0464209089135896E-4</v>
      </c>
      <c r="F21979" s="1">
        <v>2.0594431659806101E-3</v>
      </c>
    </row>
    <row r="21980" spans="1:6" x14ac:dyDescent="0.25">
      <c r="A21980" s="2" t="str">
        <f t="shared" si="783"/>
        <v>41180</v>
      </c>
      <c r="B21980" s="2" t="str">
        <f>"62025"</f>
        <v>62025</v>
      </c>
      <c r="C21980" s="1">
        <v>1.12086306894088E-2</v>
      </c>
      <c r="D21980" s="1">
        <v>1.34901389567074E-2</v>
      </c>
      <c r="E21980" s="1">
        <v>1.29315389116442E-2</v>
      </c>
      <c r="F21980" s="1">
        <v>1.1444592098013099E-2</v>
      </c>
    </row>
    <row r="21981" spans="1:6" x14ac:dyDescent="0.25">
      <c r="A21981" s="2" t="str">
        <f t="shared" si="783"/>
        <v>41180</v>
      </c>
      <c r="B21981" s="2" t="str">
        <f>"65453"</f>
        <v>65453</v>
      </c>
      <c r="C21981" s="1">
        <v>2.9185342245564E-6</v>
      </c>
      <c r="D21981" s="1">
        <v>0</v>
      </c>
      <c r="E21981" s="1">
        <v>0</v>
      </c>
      <c r="F21981" s="1">
        <v>2.5929407188928099E-6</v>
      </c>
    </row>
    <row r="21982" spans="1:6" x14ac:dyDescent="0.25">
      <c r="A21982" s="2" t="str">
        <f t="shared" si="783"/>
        <v>41180</v>
      </c>
      <c r="B21982" s="2" t="str">
        <f>"63628"</f>
        <v>63628</v>
      </c>
      <c r="C21982" s="1">
        <v>5.1074348929737003E-6</v>
      </c>
      <c r="D21982" s="1">
        <v>0</v>
      </c>
      <c r="E21982" s="1">
        <v>0</v>
      </c>
      <c r="F21982" s="1">
        <v>4.5376462580624198E-6</v>
      </c>
    </row>
    <row r="21983" spans="1:6" x14ac:dyDescent="0.25">
      <c r="A21983" s="2" t="str">
        <f t="shared" si="783"/>
        <v>41180</v>
      </c>
      <c r="B21983" s="2" t="str">
        <f>"63378"</f>
        <v>63378</v>
      </c>
      <c r="C21983" s="1">
        <v>0</v>
      </c>
      <c r="D21983" s="1">
        <v>0</v>
      </c>
      <c r="E21983" s="1">
        <v>1.9504583577140599E-5</v>
      </c>
      <c r="F21983" s="1">
        <v>6.48235179723203E-7</v>
      </c>
    </row>
    <row r="21984" spans="1:6" x14ac:dyDescent="0.25">
      <c r="A21984" s="2" t="str">
        <f t="shared" si="783"/>
        <v>41180</v>
      </c>
      <c r="B21984" s="2" t="str">
        <f>"63133"</f>
        <v>63133</v>
      </c>
      <c r="C21984" s="1">
        <v>2.8098188246916699E-3</v>
      </c>
      <c r="D21984" s="1">
        <v>3.4015012952188601E-3</v>
      </c>
      <c r="E21984" s="1">
        <v>9.9473376243417204E-4</v>
      </c>
      <c r="F21984" s="1">
        <v>2.7958383301461701E-3</v>
      </c>
    </row>
    <row r="21985" spans="1:6" x14ac:dyDescent="0.25">
      <c r="A21985" s="2" t="str">
        <f t="shared" si="783"/>
        <v>41180</v>
      </c>
      <c r="B21985" s="2" t="str">
        <f>"63369"</f>
        <v>63369</v>
      </c>
      <c r="C21985" s="1">
        <v>9.0693451028090095E-4</v>
      </c>
      <c r="D21985" s="1">
        <v>3.3104635476582602E-4</v>
      </c>
      <c r="E21985" s="1">
        <v>1.3653208503998401E-4</v>
      </c>
      <c r="F21985" s="1">
        <v>8.3622338184293204E-4</v>
      </c>
    </row>
    <row r="21986" spans="1:6" x14ac:dyDescent="0.25">
      <c r="A21986" s="2" t="str">
        <f t="shared" si="783"/>
        <v>41180</v>
      </c>
      <c r="B21986" s="2" t="str">
        <f>"63333"</f>
        <v>63333</v>
      </c>
      <c r="C21986" s="1">
        <v>8.0259691175300999E-6</v>
      </c>
      <c r="D21986" s="1">
        <v>0</v>
      </c>
      <c r="E21986" s="1">
        <v>0</v>
      </c>
      <c r="F21986" s="1">
        <v>7.1305869769552297E-6</v>
      </c>
    </row>
    <row r="21987" spans="1:6" x14ac:dyDescent="0.25">
      <c r="A21987" s="2" t="str">
        <f t="shared" si="783"/>
        <v>41180</v>
      </c>
      <c r="B21987" s="2" t="str">
        <f>"63156"</f>
        <v>63156</v>
      </c>
      <c r="C21987" s="1">
        <v>4.4799500346940702E-4</v>
      </c>
      <c r="D21987" s="1">
        <v>1.57247018513767E-3</v>
      </c>
      <c r="E21987" s="1">
        <v>3.9009167154281199E-5</v>
      </c>
      <c r="F21987" s="1">
        <v>5.2247755485690199E-4</v>
      </c>
    </row>
    <row r="21988" spans="1:6" x14ac:dyDescent="0.25">
      <c r="A21988" s="2" t="str">
        <f t="shared" si="783"/>
        <v>41180</v>
      </c>
      <c r="B21988" s="2" t="str">
        <f>"63177"</f>
        <v>63177</v>
      </c>
      <c r="C21988" s="1">
        <v>4.7426181149041498E-4</v>
      </c>
      <c r="D21988" s="1">
        <v>2.1931821003235898E-3</v>
      </c>
      <c r="E21988" s="1">
        <v>3.9009167154281199E-5</v>
      </c>
      <c r="F21988" s="1">
        <v>5.9443165980617701E-4</v>
      </c>
    </row>
    <row r="21989" spans="1:6" x14ac:dyDescent="0.25">
      <c r="A21989" s="2" t="str">
        <f t="shared" si="783"/>
        <v>41180</v>
      </c>
      <c r="B21989" s="2" t="str">
        <f>"63342"</f>
        <v>63342</v>
      </c>
      <c r="C21989" s="1">
        <v>0</v>
      </c>
      <c r="D21989" s="1">
        <v>0</v>
      </c>
      <c r="E21989" s="1">
        <v>3.9009167154281199E-5</v>
      </c>
      <c r="F21989" s="1">
        <v>1.2964703594464001E-6</v>
      </c>
    </row>
    <row r="21990" spans="1:6" x14ac:dyDescent="0.25">
      <c r="A21990" s="2" t="str">
        <f t="shared" si="783"/>
        <v>41180</v>
      </c>
      <c r="B21990" s="2" t="str">
        <f>"63121"</f>
        <v>63121</v>
      </c>
      <c r="C21990" s="1">
        <v>1.0074050509612501E-2</v>
      </c>
      <c r="D21990" s="1">
        <v>6.2071191518592297E-3</v>
      </c>
      <c r="E21990" s="1">
        <v>1.8392822313243601E-2</v>
      </c>
      <c r="F21990" s="1">
        <v>1.0047645285709599E-2</v>
      </c>
    </row>
    <row r="21991" spans="1:6" x14ac:dyDescent="0.25">
      <c r="A21991" s="2" t="str">
        <f t="shared" si="783"/>
        <v>41180</v>
      </c>
      <c r="B21991" s="2" t="str">
        <f>"63119"</f>
        <v>63119</v>
      </c>
      <c r="C21991" s="1">
        <v>1.20623019500916E-2</v>
      </c>
      <c r="D21991" s="1">
        <v>1.4218440937192199E-2</v>
      </c>
      <c r="E21991" s="1">
        <v>9.2841817827189303E-3</v>
      </c>
      <c r="F21991" s="1">
        <v>1.21388519754967E-2</v>
      </c>
    </row>
    <row r="21992" spans="1:6" x14ac:dyDescent="0.25">
      <c r="A21992" s="2" t="str">
        <f t="shared" si="783"/>
        <v>41180</v>
      </c>
      <c r="B21992" s="2" t="str">
        <f>"63141"</f>
        <v>63141</v>
      </c>
      <c r="C21992" s="1">
        <v>7.51668489534501E-3</v>
      </c>
      <c r="D21992" s="1">
        <v>2.4439497140587099E-2</v>
      </c>
      <c r="E21992" s="1">
        <v>1.4160327677004E-2</v>
      </c>
      <c r="F21992" s="1">
        <v>9.0629760477101001E-3</v>
      </c>
    </row>
    <row r="21993" spans="1:6" x14ac:dyDescent="0.25">
      <c r="A21993" s="2" t="str">
        <f t="shared" si="783"/>
        <v>41180</v>
      </c>
      <c r="B21993" s="2" t="str">
        <f>"63138"</f>
        <v>63138</v>
      </c>
      <c r="C21993" s="1">
        <v>6.9672708275722601E-3</v>
      </c>
      <c r="D21993" s="1">
        <v>3.6580622201623698E-3</v>
      </c>
      <c r="E21993" s="1">
        <v>7.9578700994733693E-3</v>
      </c>
      <c r="F21993" s="1">
        <v>6.7409976339415896E-3</v>
      </c>
    </row>
    <row r="21994" spans="1:6" x14ac:dyDescent="0.25">
      <c r="A21994" s="2" t="str">
        <f t="shared" si="783"/>
        <v>41180</v>
      </c>
      <c r="B21994" s="2" t="str">
        <f>"63117"</f>
        <v>63117</v>
      </c>
      <c r="C21994" s="1">
        <v>4.0275772298878302E-3</v>
      </c>
      <c r="D21994" s="1">
        <v>9.0292893262379006E-3</v>
      </c>
      <c r="E21994" s="1">
        <v>8.0163838502047904E-3</v>
      </c>
      <c r="F21994" s="1">
        <v>4.5519074320163298E-3</v>
      </c>
    </row>
    <row r="21995" spans="1:6" x14ac:dyDescent="0.25">
      <c r="A21995" s="2" t="str">
        <f t="shared" si="783"/>
        <v>41180</v>
      </c>
      <c r="B21995" s="2" t="str">
        <f>"63021"</f>
        <v>63021</v>
      </c>
      <c r="C21995" s="1">
        <v>1.7090936419002199E-2</v>
      </c>
      <c r="D21995" s="1">
        <v>4.9077622094033701E-3</v>
      </c>
      <c r="E21995" s="1">
        <v>2.6389701579871201E-2</v>
      </c>
      <c r="F21995" s="1">
        <v>1.64457265095776E-2</v>
      </c>
    </row>
    <row r="21996" spans="1:6" x14ac:dyDescent="0.25">
      <c r="A21996" s="2" t="str">
        <f t="shared" si="783"/>
        <v>41180</v>
      </c>
      <c r="B21996" s="2" t="str">
        <f>"63015"</f>
        <v>63015</v>
      </c>
      <c r="C21996" s="1">
        <v>7.0774454945492704E-4</v>
      </c>
      <c r="D21996" s="1">
        <v>1.57247018513767E-4</v>
      </c>
      <c r="E21996" s="1">
        <v>7.8018334308562506E-5</v>
      </c>
      <c r="F21996" s="1">
        <v>6.4369753346514103E-4</v>
      </c>
    </row>
    <row r="21997" spans="1:6" x14ac:dyDescent="0.25">
      <c r="A21997" s="2" t="str">
        <f t="shared" si="783"/>
        <v>41180</v>
      </c>
      <c r="B21997" s="2" t="str">
        <f>"63066"</f>
        <v>63066</v>
      </c>
      <c r="C21997" s="1">
        <v>0</v>
      </c>
      <c r="D21997" s="1">
        <v>0</v>
      </c>
      <c r="E21997" s="1">
        <v>1.9504583577140599E-5</v>
      </c>
      <c r="F21997" s="1">
        <v>6.48235179723203E-7</v>
      </c>
    </row>
    <row r="21998" spans="1:6" x14ac:dyDescent="0.25">
      <c r="A21998" s="2" t="str">
        <f t="shared" si="783"/>
        <v>41180</v>
      </c>
      <c r="B21998" s="2" t="str">
        <f>"63055"</f>
        <v>63055</v>
      </c>
      <c r="C21998" s="1">
        <v>8.2229701776876502E-4</v>
      </c>
      <c r="D21998" s="1">
        <v>6.2898807405506896E-4</v>
      </c>
      <c r="E21998" s="1">
        <v>2.5355958650282801E-4</v>
      </c>
      <c r="F21998" s="1">
        <v>7.8825397854341496E-4</v>
      </c>
    </row>
    <row r="21999" spans="1:6" x14ac:dyDescent="0.25">
      <c r="A21999" s="2" t="str">
        <f t="shared" si="783"/>
        <v>41180</v>
      </c>
      <c r="B21999" s="2" t="str">
        <f>"63091"</f>
        <v>63091</v>
      </c>
      <c r="C21999" s="1">
        <v>5.6181783822710699E-5</v>
      </c>
      <c r="D21999" s="1">
        <v>8.2761588691456493E-6</v>
      </c>
      <c r="E21999" s="1">
        <v>0</v>
      </c>
      <c r="F21999" s="1">
        <v>5.0562344018409803E-5</v>
      </c>
    </row>
    <row r="22000" spans="1:6" x14ac:dyDescent="0.25">
      <c r="A22000" s="2" t="str">
        <f t="shared" si="783"/>
        <v>41180</v>
      </c>
      <c r="B22000" s="2" t="str">
        <f>"63039"</f>
        <v>63039</v>
      </c>
      <c r="C22000" s="1">
        <v>2.82368186225831E-4</v>
      </c>
      <c r="D22000" s="1">
        <v>2.3173244833607799E-4</v>
      </c>
      <c r="E22000" s="1">
        <v>1.9504583577140599E-5</v>
      </c>
      <c r="F22000" s="1">
        <v>2.6966583476485201E-4</v>
      </c>
    </row>
    <row r="22001" spans="1:6" x14ac:dyDescent="0.25">
      <c r="A22001" s="2" t="str">
        <f t="shared" ref="A22001:A22064" si="784">"41180"</f>
        <v>41180</v>
      </c>
      <c r="B22001" s="2" t="str">
        <f>"63048"</f>
        <v>63048</v>
      </c>
      <c r="C22001" s="1">
        <v>1.2950995621469001E-3</v>
      </c>
      <c r="D22001" s="1">
        <v>1.05107217638149E-3</v>
      </c>
      <c r="E22001" s="1">
        <v>2.5355958650282801E-4</v>
      </c>
      <c r="F22001" s="1">
        <v>1.24137036916993E-3</v>
      </c>
    </row>
    <row r="22002" spans="1:6" x14ac:dyDescent="0.25">
      <c r="A22002" s="2" t="str">
        <f t="shared" si="784"/>
        <v>41180</v>
      </c>
      <c r="B22002" s="2" t="str">
        <f>"63043"</f>
        <v>63043</v>
      </c>
      <c r="C22002" s="1">
        <v>7.6129965247553697E-3</v>
      </c>
      <c r="D22002" s="1">
        <v>1.21245727432983E-2</v>
      </c>
      <c r="E22002" s="1">
        <v>1.2755997659449901E-2</v>
      </c>
      <c r="F22002" s="1">
        <v>8.1372962110653705E-3</v>
      </c>
    </row>
    <row r="22003" spans="1:6" x14ac:dyDescent="0.25">
      <c r="A22003" s="2" t="str">
        <f t="shared" si="784"/>
        <v>41180</v>
      </c>
      <c r="B22003" s="2" t="str">
        <f>"63037"</f>
        <v>63037</v>
      </c>
      <c r="C22003" s="1">
        <v>1.14844321736294E-3</v>
      </c>
      <c r="D22003" s="1">
        <v>3.6415099024240803E-4</v>
      </c>
      <c r="E22003" s="1">
        <v>4.6811000585137498E-4</v>
      </c>
      <c r="F22003" s="1">
        <v>1.0644021651054999E-3</v>
      </c>
    </row>
    <row r="22004" spans="1:6" x14ac:dyDescent="0.25">
      <c r="A22004" s="2" t="str">
        <f t="shared" si="784"/>
        <v>41180</v>
      </c>
      <c r="B22004" s="2" t="str">
        <f>"62649"</f>
        <v>62649</v>
      </c>
      <c r="C22004" s="1">
        <v>1.91893625264583E-4</v>
      </c>
      <c r="D22004" s="1">
        <v>9.1037747560602101E-5</v>
      </c>
      <c r="E22004" s="1">
        <v>3.9009167154281199E-5</v>
      </c>
      <c r="F22004" s="1">
        <v>1.7891290960360401E-4</v>
      </c>
    </row>
    <row r="22005" spans="1:6" x14ac:dyDescent="0.25">
      <c r="A22005" s="2" t="str">
        <f t="shared" si="784"/>
        <v>41180</v>
      </c>
      <c r="B22005" s="2" t="str">
        <f>"62215"</f>
        <v>62215</v>
      </c>
      <c r="C22005" s="1">
        <v>5.6400673889552401E-4</v>
      </c>
      <c r="D22005" s="1">
        <v>1.3241854190633001E-4</v>
      </c>
      <c r="E22005" s="1">
        <v>9.7522917885703106E-5</v>
      </c>
      <c r="F22005" s="1">
        <v>5.1469873270022304E-4</v>
      </c>
    </row>
    <row r="22006" spans="1:6" x14ac:dyDescent="0.25">
      <c r="A22006" s="2" t="str">
        <f t="shared" si="784"/>
        <v>41180</v>
      </c>
      <c r="B22006" s="2" t="str">
        <f>"62208"</f>
        <v>62208</v>
      </c>
      <c r="C22006" s="1">
        <v>6.2325298365401901E-3</v>
      </c>
      <c r="D22006" s="1">
        <v>1.05355502404224E-2</v>
      </c>
      <c r="E22006" s="1">
        <v>6.2999804954164199E-3</v>
      </c>
      <c r="F22006" s="1">
        <v>6.5718082520338297E-3</v>
      </c>
    </row>
    <row r="22007" spans="1:6" x14ac:dyDescent="0.25">
      <c r="A22007" s="2" t="str">
        <f t="shared" si="784"/>
        <v>41180</v>
      </c>
      <c r="B22007" s="2" t="str">
        <f>"62056"</f>
        <v>62056</v>
      </c>
      <c r="C22007" s="1">
        <v>1.0141906430333401E-4</v>
      </c>
      <c r="D22007" s="1">
        <v>2.48284766074369E-5</v>
      </c>
      <c r="E22007" s="1">
        <v>0</v>
      </c>
      <c r="F22007" s="1">
        <v>9.2049395520694903E-5</v>
      </c>
    </row>
    <row r="22008" spans="1:6" x14ac:dyDescent="0.25">
      <c r="A22008" s="2" t="str">
        <f t="shared" si="784"/>
        <v>41180</v>
      </c>
      <c r="B22008" s="2" t="str">
        <f>"62090"</f>
        <v>62090</v>
      </c>
      <c r="C22008" s="1">
        <v>4.0202808943264398E-4</v>
      </c>
      <c r="D22008" s="1">
        <v>4.5518873780301002E-4</v>
      </c>
      <c r="E22008" s="1">
        <v>1.3653208503998401E-4</v>
      </c>
      <c r="F22008" s="1">
        <v>3.97368165170323E-4</v>
      </c>
    </row>
    <row r="22009" spans="1:6" x14ac:dyDescent="0.25">
      <c r="A22009" s="2" t="str">
        <f t="shared" si="784"/>
        <v>41180</v>
      </c>
      <c r="B22009" s="2" t="str">
        <f>"62289"</f>
        <v>62289</v>
      </c>
      <c r="C22009" s="1">
        <v>1.5249341323307099E-4</v>
      </c>
      <c r="D22009" s="1">
        <v>0</v>
      </c>
      <c r="E22009" s="1">
        <v>5.8513750731421798E-5</v>
      </c>
      <c r="F22009" s="1">
        <v>1.37425858101319E-4</v>
      </c>
    </row>
    <row r="22010" spans="1:6" x14ac:dyDescent="0.25">
      <c r="A22010" s="2" t="str">
        <f t="shared" si="784"/>
        <v>41180</v>
      </c>
      <c r="B22010" s="2" t="str">
        <f>"62250"</f>
        <v>62250</v>
      </c>
      <c r="C22010" s="1">
        <v>1.3133404010503799E-5</v>
      </c>
      <c r="D22010" s="1">
        <v>0</v>
      </c>
      <c r="E22010" s="1">
        <v>0</v>
      </c>
      <c r="F22010" s="1">
        <v>1.16682332350176E-5</v>
      </c>
    </row>
    <row r="22011" spans="1:6" x14ac:dyDescent="0.25">
      <c r="A22011" s="2" t="str">
        <f t="shared" si="784"/>
        <v>41180</v>
      </c>
      <c r="B22011" s="2" t="str">
        <f>"62278"</f>
        <v>62278</v>
      </c>
      <c r="C22011" s="1">
        <v>4.3559123301504198E-4</v>
      </c>
      <c r="D22011" s="1">
        <v>1.1586622416803899E-4</v>
      </c>
      <c r="E22011" s="1">
        <v>0</v>
      </c>
      <c r="F22011" s="1">
        <v>3.9607169481087697E-4</v>
      </c>
    </row>
    <row r="22012" spans="1:6" x14ac:dyDescent="0.25">
      <c r="A22012" s="2" t="str">
        <f t="shared" si="784"/>
        <v>41180</v>
      </c>
      <c r="B22012" s="2" t="str">
        <f>"62226"</f>
        <v>62226</v>
      </c>
      <c r="C22012" s="1">
        <v>1.06285720122782E-2</v>
      </c>
      <c r="D22012" s="1">
        <v>9.0541178028453392E-3</v>
      </c>
      <c r="E22012" s="1">
        <v>1.57597035303296E-2</v>
      </c>
      <c r="F22012" s="1">
        <v>1.06757851748614E-2</v>
      </c>
    </row>
    <row r="22013" spans="1:6" x14ac:dyDescent="0.25">
      <c r="A22013" s="2" t="str">
        <f t="shared" si="784"/>
        <v>41180</v>
      </c>
      <c r="B22013" s="2" t="str">
        <f>"62221"</f>
        <v>62221</v>
      </c>
      <c r="C22013" s="1">
        <v>9.6618075503939593E-3</v>
      </c>
      <c r="D22013" s="1">
        <v>4.3946403595163403E-3</v>
      </c>
      <c r="E22013" s="1">
        <v>1.18977959820557E-2</v>
      </c>
      <c r="F22013" s="1">
        <v>9.3235665899588302E-3</v>
      </c>
    </row>
    <row r="22014" spans="1:6" x14ac:dyDescent="0.25">
      <c r="A22014" s="2" t="str">
        <f t="shared" si="784"/>
        <v>41180</v>
      </c>
      <c r="B22014" s="2" t="str">
        <f>"62023"</f>
        <v>62023</v>
      </c>
      <c r="C22014" s="1">
        <v>0</v>
      </c>
      <c r="D22014" s="1">
        <v>0</v>
      </c>
      <c r="E22014" s="1">
        <v>1.9504583577140599E-5</v>
      </c>
      <c r="F22014" s="1">
        <v>6.48235179723203E-7</v>
      </c>
    </row>
    <row r="22015" spans="1:6" x14ac:dyDescent="0.25">
      <c r="A22015" s="2" t="str">
        <f t="shared" si="784"/>
        <v>41180</v>
      </c>
      <c r="B22015" s="2" t="str">
        <f>"62024"</f>
        <v>62024</v>
      </c>
      <c r="C22015" s="1">
        <v>3.4263591796292099E-3</v>
      </c>
      <c r="D22015" s="1">
        <v>3.0704549404530299E-3</v>
      </c>
      <c r="E22015" s="1">
        <v>3.6083479617710101E-3</v>
      </c>
      <c r="F22015" s="1">
        <v>3.4045311639062598E-3</v>
      </c>
    </row>
    <row r="22016" spans="1:6" x14ac:dyDescent="0.25">
      <c r="A22016" s="2" t="str">
        <f t="shared" si="784"/>
        <v>41180</v>
      </c>
      <c r="B22016" s="2" t="str">
        <f>"62018"</f>
        <v>62018</v>
      </c>
      <c r="C22016" s="1">
        <v>1.2870735930293701E-3</v>
      </c>
      <c r="D22016" s="1">
        <v>7.0347350387737996E-4</v>
      </c>
      <c r="E22016" s="1">
        <v>2.14550419348546E-4</v>
      </c>
      <c r="F22016" s="1">
        <v>1.20571743428515E-3</v>
      </c>
    </row>
    <row r="22017" spans="1:6" x14ac:dyDescent="0.25">
      <c r="A22017" s="2" t="str">
        <f t="shared" si="784"/>
        <v>41180</v>
      </c>
      <c r="B22017" s="2" t="str">
        <f>"62010"</f>
        <v>62010</v>
      </c>
      <c r="C22017" s="1">
        <v>3.77658328657598E-3</v>
      </c>
      <c r="D22017" s="1">
        <v>2.00283044633324E-3</v>
      </c>
      <c r="E22017" s="1">
        <v>4.91515506143943E-3</v>
      </c>
      <c r="F22017" s="1">
        <v>3.6754934690305602E-3</v>
      </c>
    </row>
    <row r="22018" spans="1:6" x14ac:dyDescent="0.25">
      <c r="A22018" s="2" t="str">
        <f t="shared" si="784"/>
        <v>41180</v>
      </c>
      <c r="B22018" s="2" t="str">
        <f>"62002"</f>
        <v>62002</v>
      </c>
      <c r="C22018" s="1">
        <v>1.19791237246917E-2</v>
      </c>
      <c r="D22018" s="1">
        <v>1.55840071506012E-2</v>
      </c>
      <c r="E22018" s="1">
        <v>1.06299980495416E-2</v>
      </c>
      <c r="F22018" s="1">
        <v>1.2216640197063399E-2</v>
      </c>
    </row>
    <row r="22019" spans="1:6" x14ac:dyDescent="0.25">
      <c r="A22019" s="2" t="str">
        <f t="shared" si="784"/>
        <v>41180</v>
      </c>
      <c r="B22019" s="2" t="str">
        <f>"63124"</f>
        <v>63124</v>
      </c>
      <c r="C22019" s="1">
        <v>3.9349137682581602E-3</v>
      </c>
      <c r="D22019" s="1">
        <v>4.3698118829089E-3</v>
      </c>
      <c r="E22019" s="1">
        <v>3.8228983811195599E-3</v>
      </c>
      <c r="F22019" s="1">
        <v>3.9652545943668297E-3</v>
      </c>
    </row>
    <row r="22020" spans="1:6" x14ac:dyDescent="0.25">
      <c r="A22020" s="2" t="str">
        <f t="shared" si="784"/>
        <v>41180</v>
      </c>
      <c r="B22020" s="2" t="str">
        <f>"63348"</f>
        <v>63348</v>
      </c>
      <c r="C22020" s="1">
        <v>2.9827419774966402E-3</v>
      </c>
      <c r="D22020" s="1">
        <v>9.0210131673687597E-4</v>
      </c>
      <c r="E22020" s="1">
        <v>1.9504583577140599E-5</v>
      </c>
      <c r="F22020" s="1">
        <v>2.721291284478E-3</v>
      </c>
    </row>
    <row r="22021" spans="1:6" x14ac:dyDescent="0.25">
      <c r="A22021" s="2" t="str">
        <f t="shared" si="784"/>
        <v>41180</v>
      </c>
      <c r="B22021" s="2" t="str">
        <f>"63343"</f>
        <v>63343</v>
      </c>
      <c r="C22021" s="1">
        <v>1.6409458677568299E-3</v>
      </c>
      <c r="D22021" s="1">
        <v>1.29108078358672E-3</v>
      </c>
      <c r="E22021" s="1">
        <v>9.5572459527988997E-4</v>
      </c>
      <c r="F22021" s="1">
        <v>1.59076913104074E-3</v>
      </c>
    </row>
    <row r="22022" spans="1:6" x14ac:dyDescent="0.25">
      <c r="A22022" s="2" t="str">
        <f t="shared" si="784"/>
        <v>41180</v>
      </c>
      <c r="B22022" s="2" t="str">
        <f>"63120"</f>
        <v>63120</v>
      </c>
      <c r="C22022" s="1">
        <v>3.9246988984722201E-3</v>
      </c>
      <c r="D22022" s="1">
        <v>3.0373503049764502E-3</v>
      </c>
      <c r="E22022" s="1">
        <v>4.0959625511995303E-3</v>
      </c>
      <c r="F22022" s="1">
        <v>3.8608887304314001E-3</v>
      </c>
    </row>
    <row r="22023" spans="1:6" x14ac:dyDescent="0.25">
      <c r="A22023" s="2" t="str">
        <f t="shared" si="784"/>
        <v>41180</v>
      </c>
      <c r="B22023" s="2" t="str">
        <f>"63114"</f>
        <v>63114</v>
      </c>
      <c r="C22023" s="1">
        <v>1.25402119293627E-2</v>
      </c>
      <c r="D22023" s="1">
        <v>1.11231575201317E-2</v>
      </c>
      <c r="E22023" s="1">
        <v>1.2755997659449901E-2</v>
      </c>
      <c r="F22023" s="1">
        <v>1.2436391922989599E-2</v>
      </c>
    </row>
    <row r="22024" spans="1:6" x14ac:dyDescent="0.25">
      <c r="A22024" s="2" t="str">
        <f t="shared" si="784"/>
        <v>41180</v>
      </c>
      <c r="B22024" s="2" t="str">
        <f>"63111"</f>
        <v>63111</v>
      </c>
      <c r="C22024" s="1">
        <v>8.0091875457388995E-3</v>
      </c>
      <c r="D22024" s="1">
        <v>5.79331120840195E-3</v>
      </c>
      <c r="E22024" s="1">
        <v>1.4004291008386901E-2</v>
      </c>
      <c r="F22024" s="1">
        <v>8.0348750526691003E-3</v>
      </c>
    </row>
    <row r="22025" spans="1:6" x14ac:dyDescent="0.25">
      <c r="A22025" s="2" t="str">
        <f t="shared" si="784"/>
        <v>41180</v>
      </c>
      <c r="B22025" s="2" t="str">
        <f>"63024"</f>
        <v>63024</v>
      </c>
      <c r="C22025" s="1">
        <v>2.9185342245564001E-5</v>
      </c>
      <c r="D22025" s="1">
        <v>2.06903971728641E-4</v>
      </c>
      <c r="E22025" s="1">
        <v>3.9009167154281199E-5</v>
      </c>
      <c r="F22025" s="1">
        <v>4.3431757041454601E-5</v>
      </c>
    </row>
    <row r="22026" spans="1:6" x14ac:dyDescent="0.25">
      <c r="A22026" s="2" t="str">
        <f t="shared" si="784"/>
        <v>41180</v>
      </c>
      <c r="B22026" s="2" t="str">
        <f>"63028"</f>
        <v>63028</v>
      </c>
      <c r="C22026" s="1">
        <v>8.9401999633723899E-3</v>
      </c>
      <c r="D22026" s="1">
        <v>7.8292462902117797E-3</v>
      </c>
      <c r="E22026" s="1">
        <v>4.3105129705480697E-3</v>
      </c>
      <c r="F22026" s="1">
        <v>8.6993161118853902E-3</v>
      </c>
    </row>
    <row r="22027" spans="1:6" x14ac:dyDescent="0.25">
      <c r="A22027" s="2" t="str">
        <f t="shared" si="784"/>
        <v>41180</v>
      </c>
      <c r="B22027" s="2" t="str">
        <f>"63104"</f>
        <v>63104</v>
      </c>
      <c r="C22027" s="1">
        <v>8.3579523855733893E-3</v>
      </c>
      <c r="D22027" s="1">
        <v>7.8209701313426399E-3</v>
      </c>
      <c r="E22027" s="1">
        <v>1.5896235615369601E-2</v>
      </c>
      <c r="F22027" s="1">
        <v>8.5664279000421308E-3</v>
      </c>
    </row>
    <row r="22028" spans="1:6" x14ac:dyDescent="0.25">
      <c r="A22028" s="2" t="str">
        <f t="shared" si="784"/>
        <v>41180</v>
      </c>
      <c r="B22028" s="2" t="str">
        <f>"63065"</f>
        <v>63065</v>
      </c>
      <c r="C22028" s="1">
        <v>0</v>
      </c>
      <c r="D22028" s="1">
        <v>0</v>
      </c>
      <c r="E22028" s="1">
        <v>1.9504583577140599E-5</v>
      </c>
      <c r="F22028" s="1">
        <v>6.48235179723203E-7</v>
      </c>
    </row>
    <row r="22029" spans="1:6" x14ac:dyDescent="0.25">
      <c r="A22029" s="2" t="str">
        <f t="shared" si="784"/>
        <v>41180</v>
      </c>
      <c r="B22029" s="2" t="str">
        <f>"63042"</f>
        <v>63042</v>
      </c>
      <c r="C22029" s="1">
        <v>7.1971053977560803E-3</v>
      </c>
      <c r="D22029" s="1">
        <v>1.0552102558160701E-2</v>
      </c>
      <c r="E22029" s="1">
        <v>1.5233079773746799E-2</v>
      </c>
      <c r="F22029" s="1">
        <v>7.7269633423005801E-3</v>
      </c>
    </row>
    <row r="22030" spans="1:6" x14ac:dyDescent="0.25">
      <c r="A22030" s="2" t="str">
        <f t="shared" si="784"/>
        <v>41180</v>
      </c>
      <c r="B22030" s="2" t="str">
        <f>"62882"</f>
        <v>62882</v>
      </c>
      <c r="C22030" s="1">
        <v>1.60519382350602E-5</v>
      </c>
      <c r="D22030" s="1">
        <v>8.2761588691456493E-6</v>
      </c>
      <c r="E22030" s="1">
        <v>0</v>
      </c>
      <c r="F22030" s="1">
        <v>1.4909409133633599E-5</v>
      </c>
    </row>
    <row r="22031" spans="1:6" x14ac:dyDescent="0.25">
      <c r="A22031" s="2" t="str">
        <f t="shared" si="784"/>
        <v>41180</v>
      </c>
      <c r="B22031" s="2" t="str">
        <f>"62801"</f>
        <v>62801</v>
      </c>
      <c r="C22031" s="1">
        <v>1.4286225029203499E-3</v>
      </c>
      <c r="D22031" s="1">
        <v>1.3572900545398799E-3</v>
      </c>
      <c r="E22031" s="1">
        <v>4.0959625511995302E-4</v>
      </c>
      <c r="F22031" s="1">
        <v>1.38916799014682E-3</v>
      </c>
    </row>
    <row r="22032" spans="1:6" x14ac:dyDescent="0.25">
      <c r="A22032" s="2" t="str">
        <f t="shared" si="784"/>
        <v>41180</v>
      </c>
      <c r="B22032" s="2" t="str">
        <f>"62875"</f>
        <v>62875</v>
      </c>
      <c r="C22032" s="1">
        <v>1.0214869785947401E-5</v>
      </c>
      <c r="D22032" s="1">
        <v>0</v>
      </c>
      <c r="E22032" s="1">
        <v>0</v>
      </c>
      <c r="F22032" s="1">
        <v>9.0752925161248498E-6</v>
      </c>
    </row>
    <row r="22033" spans="1:6" x14ac:dyDescent="0.25">
      <c r="A22033" s="2" t="str">
        <f t="shared" si="784"/>
        <v>41180</v>
      </c>
      <c r="B22033" s="2" t="str">
        <f>"62638"</f>
        <v>62638</v>
      </c>
      <c r="C22033" s="1">
        <v>6.5667020052518997E-6</v>
      </c>
      <c r="D22033" s="1">
        <v>0</v>
      </c>
      <c r="E22033" s="1">
        <v>0</v>
      </c>
      <c r="F22033" s="1">
        <v>5.8341166175088298E-6</v>
      </c>
    </row>
    <row r="22034" spans="1:6" x14ac:dyDescent="0.25">
      <c r="A22034" s="2" t="str">
        <f t="shared" si="784"/>
        <v>41180</v>
      </c>
      <c r="B22034" s="2" t="str">
        <f>"62626"</f>
        <v>62626</v>
      </c>
      <c r="C22034" s="1">
        <v>2.7813631160022501E-3</v>
      </c>
      <c r="D22034" s="1">
        <v>3.8566900330218698E-3</v>
      </c>
      <c r="E22034" s="1">
        <v>2.55510044860542E-3</v>
      </c>
      <c r="F22034" s="1">
        <v>2.8580689073996E-3</v>
      </c>
    </row>
    <row r="22035" spans="1:6" x14ac:dyDescent="0.25">
      <c r="A22035" s="2" t="str">
        <f t="shared" si="784"/>
        <v>41180</v>
      </c>
      <c r="B22035" s="2" t="str">
        <f>"62219"</f>
        <v>62219</v>
      </c>
      <c r="C22035" s="1">
        <v>2.9477195668019599E-4</v>
      </c>
      <c r="D22035" s="1">
        <v>1.6552317738291299E-5</v>
      </c>
      <c r="E22035" s="1">
        <v>1.9504583577140599E-5</v>
      </c>
      <c r="F22035" s="1">
        <v>2.6383171814734299E-4</v>
      </c>
    </row>
    <row r="22036" spans="1:6" x14ac:dyDescent="0.25">
      <c r="A22036" s="2" t="str">
        <f t="shared" si="784"/>
        <v>41180</v>
      </c>
      <c r="B22036" s="2" t="str">
        <f>"62216"</f>
        <v>62216</v>
      </c>
      <c r="C22036" s="1">
        <v>9.1569011295457E-4</v>
      </c>
      <c r="D22036" s="1">
        <v>3.3932251363497101E-4</v>
      </c>
      <c r="E22036" s="1">
        <v>9.7522917885703106E-5</v>
      </c>
      <c r="F22036" s="1">
        <v>8.4335396881988697E-4</v>
      </c>
    </row>
    <row r="22037" spans="1:6" x14ac:dyDescent="0.25">
      <c r="A22037" s="2" t="str">
        <f t="shared" si="784"/>
        <v>41180</v>
      </c>
      <c r="B22037" s="2" t="str">
        <f>"62069"</f>
        <v>62069</v>
      </c>
      <c r="C22037" s="1">
        <v>1.22140657297685E-3</v>
      </c>
      <c r="D22037" s="1">
        <v>7.3657813935396304E-4</v>
      </c>
      <c r="E22037" s="1">
        <v>3.3157792081138997E-4</v>
      </c>
      <c r="F22037" s="1">
        <v>1.1538586199073E-3</v>
      </c>
    </row>
    <row r="22038" spans="1:6" x14ac:dyDescent="0.25">
      <c r="A22038" s="2" t="str">
        <f t="shared" si="784"/>
        <v>41180</v>
      </c>
      <c r="B22038" s="2" t="str">
        <f>"62054"</f>
        <v>62054</v>
      </c>
      <c r="C22038" s="1">
        <v>2.5901991242938002E-4</v>
      </c>
      <c r="D22038" s="1">
        <v>1.6552317738291299E-5</v>
      </c>
      <c r="E22038" s="1">
        <v>0</v>
      </c>
      <c r="F22038" s="1">
        <v>2.31419959161183E-4</v>
      </c>
    </row>
    <row r="22039" spans="1:6" x14ac:dyDescent="0.25">
      <c r="A22039" s="2" t="str">
        <f t="shared" si="784"/>
        <v>41180</v>
      </c>
      <c r="B22039" s="2" t="str">
        <f>"62095"</f>
        <v>62095</v>
      </c>
      <c r="C22039" s="1">
        <v>3.90062099111962E-3</v>
      </c>
      <c r="D22039" s="1">
        <v>4.0801463224888002E-3</v>
      </c>
      <c r="E22039" s="1">
        <v>2.43807294714257E-3</v>
      </c>
      <c r="F22039" s="1">
        <v>3.86607461186918E-3</v>
      </c>
    </row>
    <row r="22040" spans="1:6" x14ac:dyDescent="0.25">
      <c r="A22040" s="2" t="str">
        <f t="shared" si="784"/>
        <v>41180</v>
      </c>
      <c r="B22040" s="2" t="str">
        <f>"62248"</f>
        <v>62248</v>
      </c>
      <c r="C22040" s="1">
        <v>1.2257843743136799E-4</v>
      </c>
      <c r="D22040" s="1">
        <v>0</v>
      </c>
      <c r="E22040" s="1">
        <v>5.8513750731421798E-5</v>
      </c>
      <c r="F22040" s="1">
        <v>1.1084821573266699E-4</v>
      </c>
    </row>
    <row r="22041" spans="1:6" x14ac:dyDescent="0.25">
      <c r="A22041" s="2" t="str">
        <f t="shared" si="784"/>
        <v>41180</v>
      </c>
      <c r="B22041" s="2" t="str">
        <f>"62026"</f>
        <v>62026</v>
      </c>
      <c r="C22041" s="1">
        <v>0</v>
      </c>
      <c r="D22041" s="1">
        <v>0</v>
      </c>
      <c r="E22041" s="1">
        <v>1.9504583577140599E-5</v>
      </c>
      <c r="F22041" s="1">
        <v>6.48235179723203E-7</v>
      </c>
    </row>
    <row r="22042" spans="1:6" x14ac:dyDescent="0.25">
      <c r="A22042" s="2" t="str">
        <f t="shared" si="784"/>
        <v>41180</v>
      </c>
      <c r="B22042" s="2" t="str">
        <f>"62045"</f>
        <v>62045</v>
      </c>
      <c r="C22042" s="1">
        <v>2.99149758017031E-4</v>
      </c>
      <c r="D22042" s="1">
        <v>3.3104635476582597E-5</v>
      </c>
      <c r="E22042" s="1">
        <v>5.8513750731421798E-5</v>
      </c>
      <c r="F22042" s="1">
        <v>2.7031406994457499E-4</v>
      </c>
    </row>
    <row r="22043" spans="1:6" x14ac:dyDescent="0.25">
      <c r="A22043" s="2" t="str">
        <f t="shared" si="784"/>
        <v>41180</v>
      </c>
      <c r="B22043" s="2" t="str">
        <f>"62231"</f>
        <v>62231</v>
      </c>
      <c r="C22043" s="1">
        <v>2.6339771376621499E-3</v>
      </c>
      <c r="D22043" s="1">
        <v>2.7973416977712302E-3</v>
      </c>
      <c r="E22043" s="1">
        <v>5.6563292373707798E-4</v>
      </c>
      <c r="F22043" s="1">
        <v>2.5780313097591798E-3</v>
      </c>
    </row>
    <row r="22044" spans="1:6" x14ac:dyDescent="0.25">
      <c r="A22044" s="2" t="str">
        <f t="shared" si="784"/>
        <v>41180</v>
      </c>
      <c r="B22044" s="2" t="str">
        <f>"62017"</f>
        <v>62017</v>
      </c>
      <c r="C22044" s="1">
        <v>3.6481677806955001E-6</v>
      </c>
      <c r="D22044" s="1">
        <v>0</v>
      </c>
      <c r="E22044" s="1">
        <v>0</v>
      </c>
      <c r="F22044" s="1">
        <v>3.2411758986160098E-6</v>
      </c>
    </row>
    <row r="22045" spans="1:6" x14ac:dyDescent="0.25">
      <c r="A22045" s="2" t="str">
        <f t="shared" si="784"/>
        <v>41180</v>
      </c>
      <c r="B22045" s="2" t="str">
        <f>"62013"</f>
        <v>62013</v>
      </c>
      <c r="C22045" s="1">
        <v>3.4438703849765502E-4</v>
      </c>
      <c r="D22045" s="1">
        <v>1.8207549512120401E-4</v>
      </c>
      <c r="E22045" s="1">
        <v>5.8513750731421798E-5</v>
      </c>
      <c r="F22045" s="1">
        <v>3.2217288432243198E-4</v>
      </c>
    </row>
    <row r="22046" spans="1:6" x14ac:dyDescent="0.25">
      <c r="A22046" s="2" t="str">
        <f t="shared" si="784"/>
        <v>41180</v>
      </c>
      <c r="B22046" s="2" t="str">
        <f>"65441"</f>
        <v>65441</v>
      </c>
      <c r="C22046" s="1">
        <v>2.0429739571894801E-5</v>
      </c>
      <c r="D22046" s="1">
        <v>8.2761588691456493E-6</v>
      </c>
      <c r="E22046" s="1">
        <v>0</v>
      </c>
      <c r="F22046" s="1">
        <v>1.87988202119729E-5</v>
      </c>
    </row>
    <row r="22047" spans="1:6" x14ac:dyDescent="0.25">
      <c r="A22047" s="2" t="str">
        <f t="shared" si="784"/>
        <v>41180</v>
      </c>
      <c r="B22047" s="2" t="str">
        <f>"63380"</f>
        <v>63380</v>
      </c>
      <c r="C22047" s="1">
        <v>3.1812023047664701E-4</v>
      </c>
      <c r="D22047" s="1">
        <v>7.8623509256883599E-4</v>
      </c>
      <c r="E22047" s="1">
        <v>1.3653208503998401E-4</v>
      </c>
      <c r="F22047" s="1">
        <v>3.4875052669108299E-4</v>
      </c>
    </row>
    <row r="22048" spans="1:6" x14ac:dyDescent="0.25">
      <c r="A22048" s="2" t="str">
        <f t="shared" si="784"/>
        <v>41180</v>
      </c>
      <c r="B22048" s="2" t="str">
        <f>"63379"</f>
        <v>63379</v>
      </c>
      <c r="C22048" s="1">
        <v>9.1233379859632993E-3</v>
      </c>
      <c r="D22048" s="1">
        <v>8.2844350280147899E-3</v>
      </c>
      <c r="E22048" s="1">
        <v>4.1544763019309497E-3</v>
      </c>
      <c r="F22048" s="1">
        <v>8.8924901954428991E-3</v>
      </c>
    </row>
    <row r="22049" spans="1:6" x14ac:dyDescent="0.25">
      <c r="A22049" s="2" t="str">
        <f t="shared" si="784"/>
        <v>41180</v>
      </c>
      <c r="B22049" s="2" t="str">
        <f>"63135"</f>
        <v>63135</v>
      </c>
      <c r="C22049" s="1">
        <v>6.8629332290443702E-3</v>
      </c>
      <c r="D22049" s="1">
        <v>4.2208410232642797E-3</v>
      </c>
      <c r="E22049" s="1">
        <v>4.7786229763994497E-3</v>
      </c>
      <c r="F22049" s="1">
        <v>6.5867176611674703E-3</v>
      </c>
    </row>
    <row r="22050" spans="1:6" x14ac:dyDescent="0.25">
      <c r="A22050" s="2" t="str">
        <f t="shared" si="784"/>
        <v>41180</v>
      </c>
      <c r="B22050" s="2" t="str">
        <f>"63160"</f>
        <v>63160</v>
      </c>
      <c r="C22050" s="1">
        <v>0</v>
      </c>
      <c r="D22050" s="1">
        <v>8.2761588691456493E-6</v>
      </c>
      <c r="E22050" s="1">
        <v>0</v>
      </c>
      <c r="F22050" s="1">
        <v>6.48235179723203E-7</v>
      </c>
    </row>
    <row r="22051" spans="1:6" x14ac:dyDescent="0.25">
      <c r="A22051" s="2" t="str">
        <f t="shared" si="784"/>
        <v>41180</v>
      </c>
      <c r="B22051" s="2" t="str">
        <f>"63363"</f>
        <v>63363</v>
      </c>
      <c r="C22051" s="1">
        <v>4.8885448261319702E-5</v>
      </c>
      <c r="D22051" s="1">
        <v>8.2761588691456493E-6</v>
      </c>
      <c r="E22051" s="1">
        <v>0</v>
      </c>
      <c r="F22051" s="1">
        <v>4.4079992221177802E-5</v>
      </c>
    </row>
    <row r="22052" spans="1:6" x14ac:dyDescent="0.25">
      <c r="A22052" s="2" t="str">
        <f t="shared" si="784"/>
        <v>41180</v>
      </c>
      <c r="B22052" s="2" t="str">
        <f>"63359"</f>
        <v>63359</v>
      </c>
      <c r="C22052" s="1">
        <v>2.5537174464868499E-5</v>
      </c>
      <c r="D22052" s="1">
        <v>0</v>
      </c>
      <c r="E22052" s="1">
        <v>0</v>
      </c>
      <c r="F22052" s="1">
        <v>2.2688231290312102E-5</v>
      </c>
    </row>
    <row r="22053" spans="1:6" x14ac:dyDescent="0.25">
      <c r="A22053" s="2" t="str">
        <f t="shared" si="784"/>
        <v>41180</v>
      </c>
      <c r="B22053" s="2" t="str">
        <f>"63362"</f>
        <v>63362</v>
      </c>
      <c r="C22053" s="1">
        <v>3.3745551971433299E-3</v>
      </c>
      <c r="D22053" s="1">
        <v>1.5062609141845E-3</v>
      </c>
      <c r="E22053" s="1">
        <v>9.7522917885703095E-4</v>
      </c>
      <c r="F22053" s="1">
        <v>3.14847826791559E-3</v>
      </c>
    </row>
    <row r="22054" spans="1:6" x14ac:dyDescent="0.25">
      <c r="A22054" s="2" t="str">
        <f t="shared" si="784"/>
        <v>41180</v>
      </c>
      <c r="B22054" s="2" t="str">
        <f>"63341"</f>
        <v>63341</v>
      </c>
      <c r="C22054" s="1">
        <v>1.2119213367470399E-3</v>
      </c>
      <c r="D22054" s="1">
        <v>3.97255625718991E-4</v>
      </c>
      <c r="E22054" s="1">
        <v>1.7554125219426499E-4</v>
      </c>
      <c r="F22054" s="1">
        <v>1.1136680387644599E-3</v>
      </c>
    </row>
    <row r="22055" spans="1:6" x14ac:dyDescent="0.25">
      <c r="A22055" s="2" t="str">
        <f t="shared" si="784"/>
        <v>41180</v>
      </c>
      <c r="B22055" s="2" t="str">
        <f>"63145"</f>
        <v>63145</v>
      </c>
      <c r="C22055" s="1">
        <v>4.3048379812206898E-5</v>
      </c>
      <c r="D22055" s="1">
        <v>3.97255625718991E-4</v>
      </c>
      <c r="E22055" s="1">
        <v>3.9009167154281199E-5</v>
      </c>
      <c r="F22055" s="1">
        <v>7.0657634589829101E-5</v>
      </c>
    </row>
    <row r="22056" spans="1:6" x14ac:dyDescent="0.25">
      <c r="A22056" s="2" t="str">
        <f t="shared" si="784"/>
        <v>41180</v>
      </c>
      <c r="B22056" s="2" t="str">
        <f>"63137"</f>
        <v>63137</v>
      </c>
      <c r="C22056" s="1">
        <v>6.4937386496379899E-3</v>
      </c>
      <c r="D22056" s="1">
        <v>2.5904377260425799E-3</v>
      </c>
      <c r="E22056" s="1">
        <v>6.3389896625707003E-3</v>
      </c>
      <c r="F22056" s="1">
        <v>6.1828671441999097E-3</v>
      </c>
    </row>
    <row r="22057" spans="1:6" x14ac:dyDescent="0.25">
      <c r="A22057" s="2" t="str">
        <f t="shared" si="784"/>
        <v>41180</v>
      </c>
      <c r="B22057" s="2" t="str">
        <f>"63115"</f>
        <v>63115</v>
      </c>
      <c r="C22057" s="1">
        <v>8.80011032059368E-3</v>
      </c>
      <c r="D22057" s="1">
        <v>6.1740145163826504E-3</v>
      </c>
      <c r="E22057" s="1">
        <v>7.7433196801248204E-3</v>
      </c>
      <c r="F22057" s="1">
        <v>8.5592973130651801E-3</v>
      </c>
    </row>
    <row r="22058" spans="1:6" x14ac:dyDescent="0.25">
      <c r="A22058" s="2" t="str">
        <f t="shared" si="784"/>
        <v>41180</v>
      </c>
      <c r="B22058" s="2" t="str">
        <f>"63112"</f>
        <v>63112</v>
      </c>
      <c r="C22058" s="1">
        <v>9.8048157273972203E-3</v>
      </c>
      <c r="D22058" s="1">
        <v>5.2719131996457804E-3</v>
      </c>
      <c r="E22058" s="1">
        <v>2.2995904037448799E-2</v>
      </c>
      <c r="F22058" s="1">
        <v>9.8881794314977407E-3</v>
      </c>
    </row>
    <row r="22059" spans="1:6" x14ac:dyDescent="0.25">
      <c r="A22059" s="2" t="str">
        <f t="shared" si="784"/>
        <v>41180</v>
      </c>
      <c r="B22059" s="2" t="str">
        <f>"63030"</f>
        <v>63030</v>
      </c>
      <c r="C22059" s="1">
        <v>2.8455708689424901E-5</v>
      </c>
      <c r="D22059" s="1">
        <v>0</v>
      </c>
      <c r="E22059" s="1">
        <v>1.9504583577140599E-5</v>
      </c>
      <c r="F22059" s="1">
        <v>2.5929407188928099E-5</v>
      </c>
    </row>
    <row r="22060" spans="1:6" x14ac:dyDescent="0.25">
      <c r="A22060" s="2" t="str">
        <f t="shared" si="784"/>
        <v>41180</v>
      </c>
      <c r="B22060" s="2" t="str">
        <f>"63014"</f>
        <v>63014</v>
      </c>
      <c r="C22060" s="1">
        <v>2.8528672045038798E-4</v>
      </c>
      <c r="D22060" s="1">
        <v>2.3173244833607799E-4</v>
      </c>
      <c r="E22060" s="1">
        <v>1.17027501462843E-4</v>
      </c>
      <c r="F22060" s="1">
        <v>2.7549995138236098E-4</v>
      </c>
    </row>
    <row r="22061" spans="1:6" x14ac:dyDescent="0.25">
      <c r="A22061" s="2" t="str">
        <f t="shared" si="784"/>
        <v>41180</v>
      </c>
      <c r="B22061" s="2" t="str">
        <f>"63084"</f>
        <v>63084</v>
      </c>
      <c r="C22061" s="1">
        <v>6.7622437982971803E-3</v>
      </c>
      <c r="D22061" s="1">
        <v>8.2265019159307694E-3</v>
      </c>
      <c r="E22061" s="1">
        <v>4.5055588063194797E-3</v>
      </c>
      <c r="F22061" s="1">
        <v>6.8019317408355697E-3</v>
      </c>
    </row>
    <row r="22062" spans="1:6" x14ac:dyDescent="0.25">
      <c r="A22062" s="2" t="str">
        <f t="shared" si="784"/>
        <v>41180</v>
      </c>
      <c r="B22062" s="2" t="str">
        <f>"63010"</f>
        <v>63010</v>
      </c>
      <c r="C22062" s="1">
        <v>1.16223329157397E-2</v>
      </c>
      <c r="D22062" s="1">
        <v>1.13962707628135E-2</v>
      </c>
      <c r="E22062" s="1">
        <v>5.0516871464794198E-3</v>
      </c>
      <c r="F22062" s="1">
        <v>1.1386250931838E-2</v>
      </c>
    </row>
    <row r="22063" spans="1:6" x14ac:dyDescent="0.25">
      <c r="A22063" s="2" t="str">
        <f t="shared" si="784"/>
        <v>41180</v>
      </c>
      <c r="B22063" s="2" t="str">
        <f>"63047"</f>
        <v>63047</v>
      </c>
      <c r="C22063" s="1">
        <v>0</v>
      </c>
      <c r="D22063" s="1">
        <v>0</v>
      </c>
      <c r="E22063" s="1">
        <v>1.9504583577140599E-5</v>
      </c>
      <c r="F22063" s="1">
        <v>6.48235179723203E-7</v>
      </c>
    </row>
    <row r="22064" spans="1:6" x14ac:dyDescent="0.25">
      <c r="A22064" s="2" t="str">
        <f t="shared" si="784"/>
        <v>41180</v>
      </c>
      <c r="B22064" s="2" t="str">
        <f>"63049"</f>
        <v>63049</v>
      </c>
      <c r="C22064" s="1">
        <v>5.6480933580727701E-3</v>
      </c>
      <c r="D22064" s="1">
        <v>4.94914300374909E-3</v>
      </c>
      <c r="E22064" s="1">
        <v>3.3352837916910401E-3</v>
      </c>
      <c r="F22064" s="1">
        <v>5.5164813794444604E-3</v>
      </c>
    </row>
    <row r="22065" spans="1:6" x14ac:dyDescent="0.25">
      <c r="A22065" s="2" t="str">
        <f t="shared" ref="A22065:A22128" si="785">"41180"</f>
        <v>41180</v>
      </c>
      <c r="B22065" s="2" t="str">
        <f>"62630"</f>
        <v>62630</v>
      </c>
      <c r="C22065" s="1">
        <v>1.86786190371609E-4</v>
      </c>
      <c r="D22065" s="1">
        <v>8.2761588691456506E-5</v>
      </c>
      <c r="E22065" s="1">
        <v>0</v>
      </c>
      <c r="F22065" s="1">
        <v>1.72430557806372E-4</v>
      </c>
    </row>
    <row r="22066" spans="1:6" x14ac:dyDescent="0.25">
      <c r="A22066" s="2" t="str">
        <f t="shared" si="785"/>
        <v>41180</v>
      </c>
      <c r="B22066" s="2" t="str">
        <f>"62220"</f>
        <v>62220</v>
      </c>
      <c r="C22066" s="1">
        <v>6.8578257941513997E-3</v>
      </c>
      <c r="D22066" s="1">
        <v>9.1699840270133802E-3</v>
      </c>
      <c r="E22066" s="1">
        <v>8.9526038619075401E-3</v>
      </c>
      <c r="F22066" s="1">
        <v>7.1085469808446497E-3</v>
      </c>
    </row>
    <row r="22067" spans="1:6" x14ac:dyDescent="0.25">
      <c r="A22067" s="2" t="str">
        <f t="shared" si="785"/>
        <v>41180</v>
      </c>
      <c r="B22067" s="2" t="str">
        <f>"62204"</f>
        <v>62204</v>
      </c>
      <c r="C22067" s="1">
        <v>2.6420031067796801E-3</v>
      </c>
      <c r="D22067" s="1">
        <v>1.46488011983878E-3</v>
      </c>
      <c r="E22067" s="1">
        <v>1.3653208503998399E-3</v>
      </c>
      <c r="F22067" s="1">
        <v>2.5073736751693499E-3</v>
      </c>
    </row>
    <row r="22068" spans="1:6" x14ac:dyDescent="0.25">
      <c r="A22068" s="2" t="str">
        <f t="shared" si="785"/>
        <v>41180</v>
      </c>
      <c r="B22068" s="2" t="str">
        <f>"62097"</f>
        <v>62097</v>
      </c>
      <c r="C22068" s="1">
        <v>9.798978658948109E-4</v>
      </c>
      <c r="D22068" s="1">
        <v>5.7105496197104903E-4</v>
      </c>
      <c r="E22068" s="1">
        <v>1.7554125219426499E-4</v>
      </c>
      <c r="F22068" s="1">
        <v>9.2114219038667204E-4</v>
      </c>
    </row>
    <row r="22069" spans="1:6" x14ac:dyDescent="0.25">
      <c r="A22069" s="2" t="str">
        <f t="shared" si="785"/>
        <v>41180</v>
      </c>
      <c r="B22069" s="2" t="str">
        <f>"62071"</f>
        <v>62071</v>
      </c>
      <c r="C22069" s="1">
        <v>0</v>
      </c>
      <c r="D22069" s="1">
        <v>5.7933112084019497E-5</v>
      </c>
      <c r="E22069" s="1">
        <v>1.9504583577140599E-5</v>
      </c>
      <c r="F22069" s="1">
        <v>5.1858814377856198E-6</v>
      </c>
    </row>
    <row r="22070" spans="1:6" x14ac:dyDescent="0.25">
      <c r="A22070" s="2" t="str">
        <f t="shared" si="785"/>
        <v>41180</v>
      </c>
      <c r="B22070" s="2" t="str">
        <f>"62093"</f>
        <v>62093</v>
      </c>
      <c r="C22070" s="1">
        <v>1.5760084812604499E-4</v>
      </c>
      <c r="D22070" s="1">
        <v>0</v>
      </c>
      <c r="E22070" s="1">
        <v>1.9504583577140599E-5</v>
      </c>
      <c r="F22070" s="1">
        <v>1.40667033999935E-4</v>
      </c>
    </row>
    <row r="22071" spans="1:6" x14ac:dyDescent="0.25">
      <c r="A22071" s="2" t="str">
        <f t="shared" si="785"/>
        <v>41180</v>
      </c>
      <c r="B22071" s="2" t="str">
        <f>"62086"</f>
        <v>62086</v>
      </c>
      <c r="C22071" s="1">
        <v>4.6550620881674501E-4</v>
      </c>
      <c r="D22071" s="1">
        <v>9.1037747560602101E-5</v>
      </c>
      <c r="E22071" s="1">
        <v>1.9504583577140599E-5</v>
      </c>
      <c r="F22071" s="1">
        <v>4.2135286682008202E-4</v>
      </c>
    </row>
    <row r="22072" spans="1:6" x14ac:dyDescent="0.25">
      <c r="A22072" s="2" t="str">
        <f t="shared" si="785"/>
        <v>41180</v>
      </c>
      <c r="B22072" s="2" t="str">
        <f>"62060"</f>
        <v>62060</v>
      </c>
      <c r="C22072" s="1">
        <v>1.9940885089281598E-3</v>
      </c>
      <c r="D22072" s="1">
        <v>2.3587052777065101E-3</v>
      </c>
      <c r="E22072" s="1">
        <v>3.3157792081138998E-3</v>
      </c>
      <c r="F22072" s="1">
        <v>2.0665737529575699E-3</v>
      </c>
    </row>
    <row r="22073" spans="1:6" x14ac:dyDescent="0.25">
      <c r="A22073" s="2" t="str">
        <f t="shared" si="785"/>
        <v>41180</v>
      </c>
      <c r="B22073" s="2" t="str">
        <f>"62295"</f>
        <v>62295</v>
      </c>
      <c r="C22073" s="1">
        <v>4.2464672967295599E-4</v>
      </c>
      <c r="D22073" s="1">
        <v>1.73799336252058E-4</v>
      </c>
      <c r="E22073" s="1">
        <v>1.9504583577140599E-4</v>
      </c>
      <c r="F22073" s="1">
        <v>3.97368165170323E-4</v>
      </c>
    </row>
    <row r="22074" spans="1:6" x14ac:dyDescent="0.25">
      <c r="A22074" s="2" t="str">
        <f t="shared" si="785"/>
        <v>41180</v>
      </c>
      <c r="B22074" s="2" t="str">
        <f>"62255"</f>
        <v>62255</v>
      </c>
      <c r="C22074" s="1">
        <v>3.5168337405904599E-4</v>
      </c>
      <c r="D22074" s="1">
        <v>7.4485429822310803E-5</v>
      </c>
      <c r="E22074" s="1">
        <v>5.8513750731421798E-5</v>
      </c>
      <c r="F22074" s="1">
        <v>3.20228178783262E-4</v>
      </c>
    </row>
    <row r="22075" spans="1:6" x14ac:dyDescent="0.25">
      <c r="A22075" s="2" t="str">
        <f t="shared" si="785"/>
        <v>41180</v>
      </c>
      <c r="B22075" s="2" t="str">
        <f>"62245"</f>
        <v>62245</v>
      </c>
      <c r="C22075" s="1">
        <v>5.98299516034062E-4</v>
      </c>
      <c r="D22075" s="1">
        <v>1.4897085964462101E-4</v>
      </c>
      <c r="E22075" s="1">
        <v>1.5603666861712501E-4</v>
      </c>
      <c r="F22075" s="1">
        <v>5.4840696204583002E-4</v>
      </c>
    </row>
    <row r="22076" spans="1:6" x14ac:dyDescent="0.25">
      <c r="A22076" s="2" t="str">
        <f t="shared" si="785"/>
        <v>41180</v>
      </c>
      <c r="B22076" s="2" t="str">
        <f>"62236"</f>
        <v>62236</v>
      </c>
      <c r="C22076" s="1">
        <v>4.2296857249383597E-3</v>
      </c>
      <c r="D22076" s="1">
        <v>4.0966986402270903E-3</v>
      </c>
      <c r="E22076" s="1">
        <v>3.7058708796567099E-3</v>
      </c>
      <c r="F22076" s="1">
        <v>4.2018604349658003E-3</v>
      </c>
    </row>
    <row r="22077" spans="1:6" x14ac:dyDescent="0.25">
      <c r="A22077" s="2" t="str">
        <f t="shared" si="785"/>
        <v>41180</v>
      </c>
      <c r="B22077" s="2" t="str">
        <f>"62269"</f>
        <v>62269</v>
      </c>
      <c r="C22077" s="1">
        <v>1.1601903176167799E-2</v>
      </c>
      <c r="D22077" s="1">
        <v>1.1884564136093101E-2</v>
      </c>
      <c r="E22077" s="1">
        <v>1.3692217671152701E-2</v>
      </c>
      <c r="F22077" s="1">
        <v>1.16935144070268E-2</v>
      </c>
    </row>
    <row r="22078" spans="1:6" x14ac:dyDescent="0.25">
      <c r="A22078" s="2" t="str">
        <f t="shared" si="785"/>
        <v>41180</v>
      </c>
      <c r="B22078" s="2" t="str">
        <f>"62264"</f>
        <v>62264</v>
      </c>
      <c r="C22078" s="1">
        <v>1.1367690804647099E-3</v>
      </c>
      <c r="D22078" s="1">
        <v>8.5244436352200205E-4</v>
      </c>
      <c r="E22078" s="1">
        <v>7.2166959235420299E-4</v>
      </c>
      <c r="F22078" s="1">
        <v>1.10070333516999E-3</v>
      </c>
    </row>
    <row r="22079" spans="1:6" x14ac:dyDescent="0.25">
      <c r="A22079" s="2" t="str">
        <f t="shared" si="785"/>
        <v>41180</v>
      </c>
      <c r="B22079" s="2" t="str">
        <f>"62046"</f>
        <v>62046</v>
      </c>
      <c r="C22079" s="1">
        <v>2.7142368288374501E-4</v>
      </c>
      <c r="D22079" s="1">
        <v>1.6552317738291299E-5</v>
      </c>
      <c r="E22079" s="1">
        <v>5.8513750731421798E-5</v>
      </c>
      <c r="F22079" s="1">
        <v>2.4438466275564702E-4</v>
      </c>
    </row>
    <row r="22080" spans="1:6" x14ac:dyDescent="0.25">
      <c r="A22080" s="2" t="str">
        <f t="shared" si="785"/>
        <v>41180</v>
      </c>
      <c r="B22080" s="2" t="str">
        <f>"62047"</f>
        <v>62047</v>
      </c>
      <c r="C22080" s="1">
        <v>6.4718496429538104E-4</v>
      </c>
      <c r="D22080" s="1">
        <v>3.3104635476582602E-4</v>
      </c>
      <c r="E22080" s="1">
        <v>9.7522917885703106E-5</v>
      </c>
      <c r="F22080" s="1">
        <v>6.0415518750202497E-4</v>
      </c>
    </row>
    <row r="22081" spans="1:6" x14ac:dyDescent="0.25">
      <c r="A22081" s="2" t="str">
        <f t="shared" si="785"/>
        <v>41180</v>
      </c>
      <c r="B22081" s="2" t="str">
        <f>"62223"</f>
        <v>62223</v>
      </c>
      <c r="C22081" s="1">
        <v>6.5353277623379199E-3</v>
      </c>
      <c r="D22081" s="1">
        <v>6.2236714695975302E-3</v>
      </c>
      <c r="E22081" s="1">
        <v>6.6315584162278101E-3</v>
      </c>
      <c r="F22081" s="1">
        <v>6.5141153210384701E-3</v>
      </c>
    </row>
    <row r="22082" spans="1:6" x14ac:dyDescent="0.25">
      <c r="A22082" s="2" t="str">
        <f t="shared" si="785"/>
        <v>41180</v>
      </c>
      <c r="B22082" s="2" t="str">
        <f>"62234"</f>
        <v>62234</v>
      </c>
      <c r="C22082" s="1">
        <v>1.1602632809723901E-2</v>
      </c>
      <c r="D22082" s="1">
        <v>9.9893237550587998E-3</v>
      </c>
      <c r="E22082" s="1">
        <v>1.21903647357128E-2</v>
      </c>
      <c r="F22082" s="1">
        <v>1.14958026772112E-2</v>
      </c>
    </row>
    <row r="22083" spans="1:6" x14ac:dyDescent="0.25">
      <c r="A22083" s="2" t="str">
        <f t="shared" si="785"/>
        <v>41180</v>
      </c>
      <c r="B22083" s="2" t="str">
        <f>"62021"</f>
        <v>62021</v>
      </c>
      <c r="C22083" s="1">
        <v>3.1593132980823002E-4</v>
      </c>
      <c r="D22083" s="1">
        <v>9.1037747560602101E-5</v>
      </c>
      <c r="E22083" s="1">
        <v>1.9504583577140599E-5</v>
      </c>
      <c r="F22083" s="1">
        <v>2.88464654976825E-4</v>
      </c>
    </row>
    <row r="22084" spans="1:6" x14ac:dyDescent="0.25">
      <c r="A22084" s="2" t="str">
        <f t="shared" si="785"/>
        <v>41180</v>
      </c>
      <c r="B22084" s="2" t="str">
        <f>"62012"</f>
        <v>62012</v>
      </c>
      <c r="C22084" s="1">
        <v>2.0597555289806799E-3</v>
      </c>
      <c r="D22084" s="1">
        <v>5.7933112084019504E-4</v>
      </c>
      <c r="E22084" s="1">
        <v>2.7306417007996801E-4</v>
      </c>
      <c r="F22084" s="1">
        <v>1.8844196674553499E-3</v>
      </c>
    </row>
    <row r="22085" spans="1:6" x14ac:dyDescent="0.25">
      <c r="A22085" s="2" t="str">
        <f t="shared" si="785"/>
        <v>41180</v>
      </c>
      <c r="B22085" s="2" t="str">
        <f>"63627"</f>
        <v>63627</v>
      </c>
      <c r="C22085" s="1">
        <v>8.9015293848970195E-5</v>
      </c>
      <c r="D22085" s="1">
        <v>0</v>
      </c>
      <c r="E22085" s="1">
        <v>1.9504583577140599E-5</v>
      </c>
      <c r="F22085" s="1">
        <v>7.9732927105953994E-5</v>
      </c>
    </row>
    <row r="22086" spans="1:6" x14ac:dyDescent="0.25">
      <c r="A22086" s="2" t="str">
        <f t="shared" si="785"/>
        <v>41180</v>
      </c>
      <c r="B22086" s="2" t="str">
        <f>"63386"</f>
        <v>63386</v>
      </c>
      <c r="C22086" s="1">
        <v>2.1743079972945099E-4</v>
      </c>
      <c r="D22086" s="1">
        <v>1.90351653990349E-4</v>
      </c>
      <c r="E22086" s="1">
        <v>1.9504583577140599E-5</v>
      </c>
      <c r="F22086" s="1">
        <v>2.08731727870871E-4</v>
      </c>
    </row>
    <row r="22087" spans="1:6" x14ac:dyDescent="0.25">
      <c r="A22087" s="2" t="str">
        <f t="shared" si="785"/>
        <v>41180</v>
      </c>
      <c r="B22087" s="2" t="str">
        <f>"63389"</f>
        <v>63389</v>
      </c>
      <c r="C22087" s="1">
        <v>2.4012240332537699E-3</v>
      </c>
      <c r="D22087" s="1">
        <v>1.04279601751235E-3</v>
      </c>
      <c r="E22087" s="1">
        <v>8.3869709381704702E-4</v>
      </c>
      <c r="F22087" s="1">
        <v>2.2428937218422801E-3</v>
      </c>
    </row>
    <row r="22088" spans="1:6" x14ac:dyDescent="0.25">
      <c r="A22088" s="2" t="str">
        <f t="shared" si="785"/>
        <v>41180</v>
      </c>
      <c r="B22088" s="2" t="str">
        <f>"63385"</f>
        <v>63385</v>
      </c>
      <c r="C22088" s="1">
        <v>1.3675521742715101E-2</v>
      </c>
      <c r="D22088" s="1">
        <v>1.25880376399705E-2</v>
      </c>
      <c r="E22088" s="1">
        <v>5.8123659059879E-3</v>
      </c>
      <c r="F22088" s="1">
        <v>1.3329011765468499E-2</v>
      </c>
    </row>
    <row r="22089" spans="1:6" x14ac:dyDescent="0.25">
      <c r="A22089" s="2" t="str">
        <f t="shared" si="785"/>
        <v>41180</v>
      </c>
      <c r="B22089" s="2" t="str">
        <f>"63383"</f>
        <v>63383</v>
      </c>
      <c r="C22089" s="1">
        <v>5.6218265500517601E-3</v>
      </c>
      <c r="D22089" s="1">
        <v>5.7436542551870797E-3</v>
      </c>
      <c r="E22089" s="1">
        <v>2.6916325336453998E-3</v>
      </c>
      <c r="F22089" s="1">
        <v>5.5339837292969797E-3</v>
      </c>
    </row>
    <row r="22090" spans="1:6" x14ac:dyDescent="0.25">
      <c r="A22090" s="2" t="str">
        <f t="shared" si="785"/>
        <v>41180</v>
      </c>
      <c r="B22090" s="2" t="str">
        <f>"63381"</f>
        <v>63381</v>
      </c>
      <c r="C22090" s="1">
        <v>1.7000461858041001E-4</v>
      </c>
      <c r="D22090" s="1">
        <v>3.3104635476582597E-5</v>
      </c>
      <c r="E22090" s="1">
        <v>1.9504583577140599E-5</v>
      </c>
      <c r="F22090" s="1">
        <v>1.54279972774122E-4</v>
      </c>
    </row>
    <row r="22091" spans="1:6" x14ac:dyDescent="0.25">
      <c r="A22091" s="2" t="str">
        <f t="shared" si="785"/>
        <v>41180</v>
      </c>
      <c r="B22091" s="2" t="str">
        <f>"63134"</f>
        <v>63134</v>
      </c>
      <c r="C22091" s="1">
        <v>4.2610599678523401E-3</v>
      </c>
      <c r="D22091" s="1">
        <v>5.0401807513097002E-3</v>
      </c>
      <c r="E22091" s="1">
        <v>3.8814121318509801E-3</v>
      </c>
      <c r="F22091" s="1">
        <v>4.3094674747998496E-3</v>
      </c>
    </row>
    <row r="22092" spans="1:6" x14ac:dyDescent="0.25">
      <c r="A22092" s="2" t="str">
        <f t="shared" si="785"/>
        <v>41180</v>
      </c>
      <c r="B22092" s="2" t="str">
        <f>"63132"</f>
        <v>63132</v>
      </c>
      <c r="C22092" s="1">
        <v>5.11619049564737E-3</v>
      </c>
      <c r="D22092" s="1">
        <v>1.4425344908920799E-2</v>
      </c>
      <c r="E22092" s="1">
        <v>1.5174566023015401E-2</v>
      </c>
      <c r="F22092" s="1">
        <v>6.1796259683012901E-3</v>
      </c>
    </row>
    <row r="22093" spans="1:6" x14ac:dyDescent="0.25">
      <c r="A22093" s="2" t="str">
        <f t="shared" si="785"/>
        <v>41180</v>
      </c>
      <c r="B22093" s="2" t="str">
        <f>"63127"</f>
        <v>63127</v>
      </c>
      <c r="C22093" s="1">
        <v>2.02765165251055E-3</v>
      </c>
      <c r="D22093" s="1">
        <v>6.2981568994198399E-3</v>
      </c>
      <c r="E22093" s="1">
        <v>2.20401794421689E-3</v>
      </c>
      <c r="F22093" s="1">
        <v>2.36800311152886E-3</v>
      </c>
    </row>
    <row r="22094" spans="1:6" x14ac:dyDescent="0.25">
      <c r="A22094" s="2" t="str">
        <f t="shared" si="785"/>
        <v>41180</v>
      </c>
      <c r="B22094" s="2" t="str">
        <f>"63155"</f>
        <v>63155</v>
      </c>
      <c r="C22094" s="1">
        <v>0</v>
      </c>
      <c r="D22094" s="1">
        <v>9.4348211108260399E-4</v>
      </c>
      <c r="E22094" s="1">
        <v>5.8513750731421798E-5</v>
      </c>
      <c r="F22094" s="1">
        <v>7.5843516027614802E-5</v>
      </c>
    </row>
    <row r="22095" spans="1:6" x14ac:dyDescent="0.25">
      <c r="A22095" s="2" t="str">
        <f t="shared" si="785"/>
        <v>41180</v>
      </c>
      <c r="B22095" s="2" t="str">
        <f>"63304"</f>
        <v>63304</v>
      </c>
      <c r="C22095" s="1">
        <v>1.1941912413328599E-2</v>
      </c>
      <c r="D22095" s="1">
        <v>1.1636279370018701E-2</v>
      </c>
      <c r="E22095" s="1">
        <v>2.75014628437682E-3</v>
      </c>
      <c r="F22095" s="1">
        <v>1.1612485009561401E-2</v>
      </c>
    </row>
    <row r="22096" spans="1:6" x14ac:dyDescent="0.25">
      <c r="A22096" s="2" t="str">
        <f t="shared" si="785"/>
        <v>41180</v>
      </c>
      <c r="B22096" s="2" t="str">
        <f>"63334"</f>
        <v>63334</v>
      </c>
      <c r="C22096" s="1">
        <v>2.4807540908729399E-5</v>
      </c>
      <c r="D22096" s="1">
        <v>0</v>
      </c>
      <c r="E22096" s="1">
        <v>0</v>
      </c>
      <c r="F22096" s="1">
        <v>2.2039996110588901E-5</v>
      </c>
    </row>
    <row r="22097" spans="1:6" x14ac:dyDescent="0.25">
      <c r="A22097" s="2" t="str">
        <f t="shared" si="785"/>
        <v>41180</v>
      </c>
      <c r="B22097" s="2" t="str">
        <f>"63338"</f>
        <v>63338</v>
      </c>
      <c r="C22097" s="1">
        <v>1.08715399864725E-4</v>
      </c>
      <c r="D22097" s="1">
        <v>1.6304032972216901E-3</v>
      </c>
      <c r="E22097" s="1">
        <v>3.9009167154281199E-5</v>
      </c>
      <c r="F22097" s="1">
        <v>2.2558584254367401E-4</v>
      </c>
    </row>
    <row r="22098" spans="1:6" x14ac:dyDescent="0.25">
      <c r="A22098" s="2" t="str">
        <f t="shared" si="785"/>
        <v>41180</v>
      </c>
      <c r="B22098" s="2" t="str">
        <f>"63365"</f>
        <v>63365</v>
      </c>
      <c r="C22098" s="1">
        <v>2.9185342245564E-6</v>
      </c>
      <c r="D22098" s="1">
        <v>0</v>
      </c>
      <c r="E22098" s="1">
        <v>1.9504583577140599E-5</v>
      </c>
      <c r="F22098" s="1">
        <v>3.2411758986160098E-6</v>
      </c>
    </row>
    <row r="22099" spans="1:6" x14ac:dyDescent="0.25">
      <c r="A22099" s="2" t="str">
        <f t="shared" si="785"/>
        <v>41180</v>
      </c>
      <c r="B22099" s="2" t="str">
        <f>"63122"</f>
        <v>63122</v>
      </c>
      <c r="C22099" s="1">
        <v>1.38929525424446E-2</v>
      </c>
      <c r="D22099" s="1">
        <v>1.4425344908920799E-2</v>
      </c>
      <c r="E22099" s="1">
        <v>1.4842988102204E-2</v>
      </c>
      <c r="F22099" s="1">
        <v>1.3966226947136401E-2</v>
      </c>
    </row>
    <row r="22100" spans="1:6" x14ac:dyDescent="0.25">
      <c r="A22100" s="2" t="str">
        <f t="shared" si="785"/>
        <v>41180</v>
      </c>
      <c r="B22100" s="2" t="str">
        <f>"63116"</f>
        <v>63116</v>
      </c>
      <c r="C22100" s="1">
        <v>1.6290528407917601E-2</v>
      </c>
      <c r="D22100" s="1">
        <v>8.27615886914565E-3</v>
      </c>
      <c r="E22100" s="1">
        <v>2.1455041934854601E-2</v>
      </c>
      <c r="F22100" s="1">
        <v>1.5834440735098598E-2</v>
      </c>
    </row>
    <row r="22101" spans="1:6" x14ac:dyDescent="0.25">
      <c r="A22101" s="2" t="str">
        <f t="shared" si="785"/>
        <v>41180</v>
      </c>
      <c r="B22101" s="2" t="str">
        <f>"63017"</f>
        <v>63017</v>
      </c>
      <c r="C22101" s="1">
        <v>1.34376612034138E-2</v>
      </c>
      <c r="D22101" s="1">
        <v>1.9722086585173999E-2</v>
      </c>
      <c r="E22101" s="1">
        <v>1.53696118587868E-2</v>
      </c>
      <c r="F22101" s="1">
        <v>1.3994101059864501E-2</v>
      </c>
    </row>
    <row r="22102" spans="1:6" x14ac:dyDescent="0.25">
      <c r="A22102" s="2" t="str">
        <f t="shared" si="785"/>
        <v>41180</v>
      </c>
      <c r="B22102" s="2" t="str">
        <f>"63106"</f>
        <v>63106</v>
      </c>
      <c r="C22102" s="1">
        <v>4.1669372391103998E-3</v>
      </c>
      <c r="D22102" s="1">
        <v>3.9642800983207601E-3</v>
      </c>
      <c r="E22102" s="1">
        <v>3.6473571289252901E-3</v>
      </c>
      <c r="F22102" s="1">
        <v>4.13379574109486E-3</v>
      </c>
    </row>
    <row r="22103" spans="1:6" x14ac:dyDescent="0.25">
      <c r="A22103" s="2" t="str">
        <f t="shared" si="785"/>
        <v>41180</v>
      </c>
      <c r="B22103" s="2" t="str">
        <f>"63105"</f>
        <v>63105</v>
      </c>
      <c r="C22103" s="1">
        <v>6.1705109842683696E-3</v>
      </c>
      <c r="D22103" s="1">
        <v>2.19732017975817E-2</v>
      </c>
      <c r="E22103" s="1">
        <v>2.4926857811585702E-2</v>
      </c>
      <c r="F22103" s="1">
        <v>8.0316338767704894E-3</v>
      </c>
    </row>
    <row r="22104" spans="1:6" x14ac:dyDescent="0.25">
      <c r="A22104" s="2" t="str">
        <f t="shared" si="785"/>
        <v>41180</v>
      </c>
      <c r="B22104" s="2" t="str">
        <f>"63057"</f>
        <v>63057</v>
      </c>
      <c r="C22104" s="1">
        <v>0</v>
      </c>
      <c r="D22104" s="1">
        <v>8.2761588691456493E-6</v>
      </c>
      <c r="E22104" s="1">
        <v>7.8018334308562506E-5</v>
      </c>
      <c r="F22104" s="1">
        <v>3.2411758986160098E-6</v>
      </c>
    </row>
    <row r="22105" spans="1:6" x14ac:dyDescent="0.25">
      <c r="A22105" s="2" t="str">
        <f t="shared" si="785"/>
        <v>41180</v>
      </c>
      <c r="B22105" s="2" t="str">
        <f>"63102"</f>
        <v>63102</v>
      </c>
      <c r="C22105" s="1">
        <v>1.11706897444896E-3</v>
      </c>
      <c r="D22105" s="1">
        <v>8.2678827102764998E-3</v>
      </c>
      <c r="E22105" s="1">
        <v>1.6383850204798099E-3</v>
      </c>
      <c r="F22105" s="1">
        <v>1.69448675979645E-3</v>
      </c>
    </row>
    <row r="22106" spans="1:6" x14ac:dyDescent="0.25">
      <c r="A22106" s="2" t="str">
        <f t="shared" si="785"/>
        <v>41180</v>
      </c>
      <c r="B22106" s="2" t="str">
        <f>"63090"</f>
        <v>63090</v>
      </c>
      <c r="C22106" s="1">
        <v>7.9486279605793502E-3</v>
      </c>
      <c r="D22106" s="1">
        <v>1.22487151263355E-2</v>
      </c>
      <c r="E22106" s="1">
        <v>8.2894480202847596E-3</v>
      </c>
      <c r="F22106" s="1">
        <v>8.2967620652772793E-3</v>
      </c>
    </row>
    <row r="22107" spans="1:6" x14ac:dyDescent="0.25">
      <c r="A22107" s="2" t="str">
        <f t="shared" si="785"/>
        <v>41180</v>
      </c>
      <c r="B22107" s="2" t="str">
        <f>"63080"</f>
        <v>63080</v>
      </c>
      <c r="C22107" s="1">
        <v>3.5941748975412001E-3</v>
      </c>
      <c r="D22107" s="1">
        <v>4.1132509579653804E-3</v>
      </c>
      <c r="E22107" s="1">
        <v>1.5603666861712499E-3</v>
      </c>
      <c r="F22107" s="1">
        <v>3.56723819401678E-3</v>
      </c>
    </row>
    <row r="22108" spans="1:6" x14ac:dyDescent="0.25">
      <c r="A22108" s="2" t="str">
        <f t="shared" si="785"/>
        <v>41180</v>
      </c>
      <c r="B22108" s="2" t="str">
        <f>"63011"</f>
        <v>63011</v>
      </c>
      <c r="C22108" s="1">
        <v>1.14121984515716E-2</v>
      </c>
      <c r="D22108" s="1">
        <v>1.5790911122329901E-2</v>
      </c>
      <c r="E22108" s="1">
        <v>9.0696313633703892E-3</v>
      </c>
      <c r="F22108" s="1">
        <v>1.16773085275337E-2</v>
      </c>
    </row>
    <row r="22109" spans="1:6" x14ac:dyDescent="0.25">
      <c r="A22109" s="2" t="str">
        <f t="shared" si="785"/>
        <v>41180</v>
      </c>
      <c r="B22109" s="2" t="str">
        <f>"62668"</f>
        <v>62668</v>
      </c>
      <c r="C22109" s="1">
        <v>1.4592671122782E-6</v>
      </c>
      <c r="D22109" s="1">
        <v>0</v>
      </c>
      <c r="E22109" s="1">
        <v>0</v>
      </c>
      <c r="F22109" s="1">
        <v>1.2964703594464001E-6</v>
      </c>
    </row>
    <row r="22110" spans="1:6" x14ac:dyDescent="0.25">
      <c r="A22110" s="2" t="str">
        <f t="shared" si="785"/>
        <v>41180</v>
      </c>
      <c r="B22110" s="2" t="str">
        <f>"62218"</f>
        <v>62218</v>
      </c>
      <c r="C22110" s="1">
        <v>4.3048379812206898E-4</v>
      </c>
      <c r="D22110" s="1">
        <v>8.2761588691456506E-5</v>
      </c>
      <c r="E22110" s="1">
        <v>5.8513750731421798E-5</v>
      </c>
      <c r="F22110" s="1">
        <v>3.9088581337309099E-4</v>
      </c>
    </row>
    <row r="22111" spans="1:6" x14ac:dyDescent="0.25">
      <c r="A22111" s="2" t="str">
        <f t="shared" si="785"/>
        <v>41180</v>
      </c>
      <c r="B22111" s="2" t="str">
        <f>"62205"</f>
        <v>62205</v>
      </c>
      <c r="C22111" s="1">
        <v>3.5613413875149398E-3</v>
      </c>
      <c r="D22111" s="1">
        <v>3.2028734823593601E-3</v>
      </c>
      <c r="E22111" s="1">
        <v>6.9826409206163401E-3</v>
      </c>
      <c r="F22111" s="1">
        <v>3.64697112112274E-3</v>
      </c>
    </row>
    <row r="22112" spans="1:6" x14ac:dyDescent="0.25">
      <c r="A22112" s="2" t="str">
        <f t="shared" si="785"/>
        <v>41180</v>
      </c>
      <c r="B22112" s="2" t="str">
        <f>"62062"</f>
        <v>62062</v>
      </c>
      <c r="C22112" s="1">
        <v>3.0929166444736401E-3</v>
      </c>
      <c r="D22112" s="1">
        <v>3.8566900330218698E-3</v>
      </c>
      <c r="E22112" s="1">
        <v>2.71113711722254E-3</v>
      </c>
      <c r="F22112" s="1">
        <v>3.14005121057919E-3</v>
      </c>
    </row>
    <row r="22113" spans="1:6" x14ac:dyDescent="0.25">
      <c r="A22113" s="2" t="str">
        <f t="shared" si="785"/>
        <v>41180</v>
      </c>
      <c r="B22113" s="2" t="str">
        <f>"62294"</f>
        <v>62294</v>
      </c>
      <c r="C22113" s="1">
        <v>5.1074348929737003E-3</v>
      </c>
      <c r="D22113" s="1">
        <v>3.9394516217133302E-3</v>
      </c>
      <c r="E22113" s="1">
        <v>4.64209089135946E-3</v>
      </c>
      <c r="F22113" s="1">
        <v>5.0004861763847898E-3</v>
      </c>
    </row>
    <row r="22114" spans="1:6" x14ac:dyDescent="0.25">
      <c r="A22114" s="2" t="str">
        <f t="shared" si="785"/>
        <v>41180</v>
      </c>
      <c r="B22114" s="2" t="str">
        <f>"62293"</f>
        <v>62293</v>
      </c>
      <c r="C22114" s="1">
        <v>1.5088821940956499E-3</v>
      </c>
      <c r="D22114" s="1">
        <v>1.09245297072722E-3</v>
      </c>
      <c r="E22114" s="1">
        <v>2.5355958650282801E-4</v>
      </c>
      <c r="F22114" s="1">
        <v>1.43454445272744E-3</v>
      </c>
    </row>
    <row r="22115" spans="1:6" x14ac:dyDescent="0.25">
      <c r="A22115" s="2" t="str">
        <f t="shared" si="785"/>
        <v>41180</v>
      </c>
      <c r="B22115" s="2" t="str">
        <f>"62285"</f>
        <v>62285</v>
      </c>
      <c r="C22115" s="1">
        <v>1.40673349623618E-3</v>
      </c>
      <c r="D22115" s="1">
        <v>6.3726423292421498E-4</v>
      </c>
      <c r="E22115" s="1">
        <v>1.7554125219426499E-4</v>
      </c>
      <c r="F22115" s="1">
        <v>1.3055456519625299E-3</v>
      </c>
    </row>
    <row r="22116" spans="1:6" x14ac:dyDescent="0.25">
      <c r="A22116" s="2" t="str">
        <f t="shared" si="785"/>
        <v>41180</v>
      </c>
      <c r="B22116" s="2" t="str">
        <f>"62252"</f>
        <v>62252</v>
      </c>
      <c r="C22116" s="1">
        <v>0</v>
      </c>
      <c r="D22116" s="1">
        <v>0</v>
      </c>
      <c r="E22116" s="1">
        <v>1.9504583577140599E-5</v>
      </c>
      <c r="F22116" s="1">
        <v>6.48235179723203E-7</v>
      </c>
    </row>
    <row r="22117" spans="1:6" x14ac:dyDescent="0.25">
      <c r="A22117" s="2" t="str">
        <f t="shared" si="785"/>
        <v>41180</v>
      </c>
      <c r="B22117" s="2" t="str">
        <f>"62244"</f>
        <v>62244</v>
      </c>
      <c r="C22117" s="1">
        <v>3.2395729892576E-4</v>
      </c>
      <c r="D22117" s="1">
        <v>1.6552317738291299E-5</v>
      </c>
      <c r="E22117" s="1">
        <v>1.9504583577140599E-5</v>
      </c>
      <c r="F22117" s="1">
        <v>2.8976112533627102E-4</v>
      </c>
    </row>
    <row r="22118" spans="1:6" x14ac:dyDescent="0.25">
      <c r="A22118" s="2" t="str">
        <f t="shared" si="785"/>
        <v>41180</v>
      </c>
      <c r="B22118" s="2" t="str">
        <f>"62273"</f>
        <v>62273</v>
      </c>
      <c r="C22118" s="1">
        <v>2.1889006684172999E-6</v>
      </c>
      <c r="D22118" s="1">
        <v>0</v>
      </c>
      <c r="E22118" s="1">
        <v>1.9504583577140599E-5</v>
      </c>
      <c r="F22118" s="1">
        <v>2.5929407188928099E-6</v>
      </c>
    </row>
    <row r="22119" spans="1:6" x14ac:dyDescent="0.25">
      <c r="A22119" s="2" t="str">
        <f t="shared" si="785"/>
        <v>41180</v>
      </c>
      <c r="B22119" s="2" t="str">
        <f>"62275"</f>
        <v>62275</v>
      </c>
      <c r="C22119" s="1">
        <v>1.1396876146892701E-3</v>
      </c>
      <c r="D22119" s="1">
        <v>3.6415099024240803E-4</v>
      </c>
      <c r="E22119" s="1">
        <v>1.3653208503998401E-4</v>
      </c>
      <c r="F22119" s="1">
        <v>1.04560334489352E-3</v>
      </c>
    </row>
    <row r="22120" spans="1:6" x14ac:dyDescent="0.25">
      <c r="A22120" s="2" t="str">
        <f t="shared" si="785"/>
        <v>41180</v>
      </c>
      <c r="B22120" s="2" t="str">
        <f>"62266"</f>
        <v>62266</v>
      </c>
      <c r="C22120" s="1">
        <v>2.9185342245564E-6</v>
      </c>
      <c r="D22120" s="1">
        <v>8.2761588691456493E-6</v>
      </c>
      <c r="E22120" s="1">
        <v>1.9504583577140599E-5</v>
      </c>
      <c r="F22120" s="1">
        <v>3.8894110783392199E-6</v>
      </c>
    </row>
    <row r="22121" spans="1:6" x14ac:dyDescent="0.25">
      <c r="A22121" s="2" t="str">
        <f t="shared" si="785"/>
        <v>41180</v>
      </c>
      <c r="B22121" s="2" t="str">
        <f>"62265"</f>
        <v>62265</v>
      </c>
      <c r="C22121" s="1">
        <v>1.3541998801941701E-3</v>
      </c>
      <c r="D22121" s="1">
        <v>9.7658674655918599E-4</v>
      </c>
      <c r="E22121" s="1">
        <v>4.2910083869709303E-4</v>
      </c>
      <c r="F22121" s="1">
        <v>1.29387741872751E-3</v>
      </c>
    </row>
    <row r="22122" spans="1:6" x14ac:dyDescent="0.25">
      <c r="A22122" s="2" t="str">
        <f t="shared" si="785"/>
        <v>41180</v>
      </c>
      <c r="B22122" s="2" t="str">
        <f>"62262"</f>
        <v>62262</v>
      </c>
      <c r="C22122" s="1">
        <v>5.98299516034062E-4</v>
      </c>
      <c r="D22122" s="1">
        <v>2.7311324268180598E-4</v>
      </c>
      <c r="E22122" s="1">
        <v>1.3653208503998401E-4</v>
      </c>
      <c r="F22122" s="1">
        <v>5.5748225456195505E-4</v>
      </c>
    </row>
    <row r="22123" spans="1:6" x14ac:dyDescent="0.25">
      <c r="A22123" s="2" t="str">
        <f t="shared" si="785"/>
        <v>41180</v>
      </c>
      <c r="B22123" s="2" t="str">
        <f>"62260"</f>
        <v>62260</v>
      </c>
      <c r="C22123" s="1">
        <v>2.3720386910082102E-3</v>
      </c>
      <c r="D22123" s="1">
        <v>1.4897085964462101E-3</v>
      </c>
      <c r="E22123" s="1">
        <v>8.1919251023990604E-4</v>
      </c>
      <c r="F22123" s="1">
        <v>2.2513207791786801E-3</v>
      </c>
    </row>
    <row r="22124" spans="1:6" x14ac:dyDescent="0.25">
      <c r="A22124" s="2" t="str">
        <f t="shared" si="785"/>
        <v>41180</v>
      </c>
      <c r="B22124" s="2" t="str">
        <f>"62028"</f>
        <v>62028</v>
      </c>
      <c r="C22124" s="1">
        <v>1.8605655681546999E-4</v>
      </c>
      <c r="D22124" s="1">
        <v>8.2761588691456493E-6</v>
      </c>
      <c r="E22124" s="1">
        <v>3.5108250438853101E-4</v>
      </c>
      <c r="F22124" s="1">
        <v>1.7761643924415701E-4</v>
      </c>
    </row>
    <row r="22125" spans="1:6" x14ac:dyDescent="0.25">
      <c r="A22125" s="2" t="str">
        <f t="shared" si="785"/>
        <v>41180</v>
      </c>
      <c r="B22125" s="2" t="str">
        <f>"62033"</f>
        <v>62033</v>
      </c>
      <c r="C22125" s="1">
        <v>1.7343389629426401E-3</v>
      </c>
      <c r="D22125" s="1">
        <v>1.5476417085302299E-3</v>
      </c>
      <c r="E22125" s="1">
        <v>5.0711917300565602E-4</v>
      </c>
      <c r="F22125" s="1">
        <v>1.6789291154830899E-3</v>
      </c>
    </row>
    <row r="22126" spans="1:6" x14ac:dyDescent="0.25">
      <c r="A22126" s="2" t="str">
        <f t="shared" si="785"/>
        <v>41180</v>
      </c>
      <c r="B22126" s="2" t="str">
        <f>"62222"</f>
        <v>62222</v>
      </c>
      <c r="C22126" s="1">
        <v>6.6761470386727596E-4</v>
      </c>
      <c r="D22126" s="1">
        <v>2.1186966705012801E-3</v>
      </c>
      <c r="E22126" s="1">
        <v>3.9009167154281199E-5</v>
      </c>
      <c r="F22126" s="1">
        <v>7.6037986581531695E-4</v>
      </c>
    </row>
    <row r="22127" spans="1:6" x14ac:dyDescent="0.25">
      <c r="A22127" s="2" t="str">
        <f t="shared" si="785"/>
        <v>41180</v>
      </c>
      <c r="B22127" s="2" t="str">
        <f>"62225"</f>
        <v>62225</v>
      </c>
      <c r="C22127" s="1">
        <v>2.1071817101297199E-3</v>
      </c>
      <c r="D22127" s="1">
        <v>9.0210131673687597E-4</v>
      </c>
      <c r="E22127" s="1">
        <v>1.7710161888043599E-2</v>
      </c>
      <c r="F22127" s="1">
        <v>2.5313583768190998E-3</v>
      </c>
    </row>
    <row r="22128" spans="1:6" x14ac:dyDescent="0.25">
      <c r="A22128" s="2" t="str">
        <f t="shared" si="785"/>
        <v>41180</v>
      </c>
      <c r="B22128" s="2" t="str">
        <f>"63131"</f>
        <v>63131</v>
      </c>
      <c r="C22128" s="1">
        <v>5.1855056834805803E-3</v>
      </c>
      <c r="D22128" s="1">
        <v>1.41108508718933E-2</v>
      </c>
      <c r="E22128" s="1">
        <v>1.9309537741369199E-3</v>
      </c>
      <c r="F22128" s="1">
        <v>5.7764236865134599E-3</v>
      </c>
    </row>
    <row r="22129" spans="1:6" x14ac:dyDescent="0.25">
      <c r="A22129" s="2" t="str">
        <f t="shared" ref="A22129:A22192" si="786">"41180"</f>
        <v>41180</v>
      </c>
      <c r="B22129" s="2" t="str">
        <f>"63126"</f>
        <v>63126</v>
      </c>
      <c r="C22129" s="1">
        <v>5.1935316525981096E-3</v>
      </c>
      <c r="D22129" s="1">
        <v>7.8292462902117797E-3</v>
      </c>
      <c r="E22129" s="1">
        <v>4.0569533840452499E-3</v>
      </c>
      <c r="F22129" s="1">
        <v>5.3622014066703298E-3</v>
      </c>
    </row>
    <row r="22130" spans="1:6" x14ac:dyDescent="0.25">
      <c r="A22130" s="2" t="str">
        <f t="shared" si="786"/>
        <v>41180</v>
      </c>
      <c r="B22130" s="2" t="str">
        <f>"63125"</f>
        <v>63125</v>
      </c>
      <c r="C22130" s="1">
        <v>1.1462543166945199E-2</v>
      </c>
      <c r="D22130" s="1">
        <v>9.2527456157048306E-3</v>
      </c>
      <c r="E22130" s="1">
        <v>1.81977764774722E-2</v>
      </c>
      <c r="F22130" s="1">
        <v>1.1513305027063801E-2</v>
      </c>
    </row>
    <row r="22131" spans="1:6" x14ac:dyDescent="0.25">
      <c r="A22131" s="2" t="str">
        <f t="shared" si="786"/>
        <v>41180</v>
      </c>
      <c r="B22131" s="2" t="str">
        <f>"63129"</f>
        <v>63129</v>
      </c>
      <c r="C22131" s="1">
        <v>1.6891746458176302E-2</v>
      </c>
      <c r="D22131" s="1">
        <v>9.3272310455271394E-3</v>
      </c>
      <c r="E22131" s="1">
        <v>2.2995904037448799E-2</v>
      </c>
      <c r="F22131" s="1">
        <v>1.6502122970213501E-2</v>
      </c>
    </row>
    <row r="22132" spans="1:6" x14ac:dyDescent="0.25">
      <c r="A22132" s="2" t="str">
        <f t="shared" si="786"/>
        <v>41180</v>
      </c>
      <c r="B22132" s="2" t="str">
        <f>"63367"</f>
        <v>63367</v>
      </c>
      <c r="C22132" s="1">
        <v>8.9737631069547897E-3</v>
      </c>
      <c r="D22132" s="1">
        <v>5.1146661811320099E-3</v>
      </c>
      <c r="E22132" s="1">
        <v>1.9114491905597799E-3</v>
      </c>
      <c r="F22132" s="1">
        <v>8.4367808640974894E-3</v>
      </c>
    </row>
    <row r="22133" spans="1:6" x14ac:dyDescent="0.25">
      <c r="A22133" s="2" t="str">
        <f t="shared" si="786"/>
        <v>41180</v>
      </c>
      <c r="B22133" s="2" t="str">
        <f>"63166"</f>
        <v>63166</v>
      </c>
      <c r="C22133" s="1">
        <v>1.6781571791199299E-5</v>
      </c>
      <c r="D22133" s="1">
        <v>5.7933112084019497E-5</v>
      </c>
      <c r="E22133" s="1">
        <v>3.9009167154281199E-5</v>
      </c>
      <c r="F22133" s="1">
        <v>2.0743525751142499E-5</v>
      </c>
    </row>
    <row r="22134" spans="1:6" x14ac:dyDescent="0.25">
      <c r="A22134" s="2" t="str">
        <f t="shared" si="786"/>
        <v>41180</v>
      </c>
      <c r="B22134" s="2" t="str">
        <f>"63180"</f>
        <v>63180</v>
      </c>
      <c r="C22134" s="1">
        <v>0</v>
      </c>
      <c r="D22134" s="1">
        <v>3.3104635476582597E-5</v>
      </c>
      <c r="E22134" s="1">
        <v>1.9504583577140599E-5</v>
      </c>
      <c r="F22134" s="1">
        <v>3.2411758986160098E-6</v>
      </c>
    </row>
    <row r="22135" spans="1:6" x14ac:dyDescent="0.25">
      <c r="A22135" s="2" t="str">
        <f t="shared" si="786"/>
        <v>41180</v>
      </c>
      <c r="B22135" s="2" t="str">
        <f>"63303"</f>
        <v>63303</v>
      </c>
      <c r="C22135" s="1">
        <v>1.53529492882789E-2</v>
      </c>
      <c r="D22135" s="1">
        <v>1.0179675409049099E-2</v>
      </c>
      <c r="E22135" s="1">
        <v>6.1049346596450099E-3</v>
      </c>
      <c r="F22135" s="1">
        <v>1.4640391534048501E-2</v>
      </c>
    </row>
    <row r="22136" spans="1:6" x14ac:dyDescent="0.25">
      <c r="A22136" s="2" t="str">
        <f t="shared" si="786"/>
        <v>41180</v>
      </c>
      <c r="B22136" s="2" t="str">
        <f>"63349"</f>
        <v>63349</v>
      </c>
      <c r="C22136" s="1">
        <v>7.4787439504257704E-4</v>
      </c>
      <c r="D22136" s="1">
        <v>2.3173244833607799E-4</v>
      </c>
      <c r="E22136" s="1">
        <v>1.7554125219426499E-4</v>
      </c>
      <c r="F22136" s="1">
        <v>6.8842576086604204E-4</v>
      </c>
    </row>
    <row r="22137" spans="1:6" x14ac:dyDescent="0.25">
      <c r="A22137" s="2" t="str">
        <f t="shared" si="786"/>
        <v>41180</v>
      </c>
      <c r="B22137" s="2" t="str">
        <f>"63140"</f>
        <v>63140</v>
      </c>
      <c r="C22137" s="1">
        <v>1.78760221254079E-4</v>
      </c>
      <c r="D22137" s="1">
        <v>3.8070330798069903E-4</v>
      </c>
      <c r="E22137" s="1">
        <v>5.2662375658279602E-4</v>
      </c>
      <c r="F22137" s="1">
        <v>2.0613878715197801E-4</v>
      </c>
    </row>
    <row r="22138" spans="1:6" x14ac:dyDescent="0.25">
      <c r="A22138" s="2" t="str">
        <f t="shared" si="786"/>
        <v>41180</v>
      </c>
      <c r="B22138" s="2" t="str">
        <f>"63031"</f>
        <v>63031</v>
      </c>
      <c r="C22138" s="1">
        <v>1.4660527043502901E-2</v>
      </c>
      <c r="D22138" s="1">
        <v>8.4830628408742899E-3</v>
      </c>
      <c r="E22138" s="1">
        <v>8.0163838502047904E-3</v>
      </c>
      <c r="F22138" s="1">
        <v>1.3955855184260801E-2</v>
      </c>
    </row>
    <row r="22139" spans="1:6" x14ac:dyDescent="0.25">
      <c r="A22139" s="2" t="str">
        <f t="shared" si="786"/>
        <v>41180</v>
      </c>
      <c r="B22139" s="2" t="str">
        <f>"63022"</f>
        <v>63022</v>
      </c>
      <c r="C22139" s="1">
        <v>6.7928884076550204E-4</v>
      </c>
      <c r="D22139" s="1">
        <v>3.0787310993221802E-3</v>
      </c>
      <c r="E22139" s="1">
        <v>5.8513750731421798E-5</v>
      </c>
      <c r="F22139" s="1">
        <v>8.4659514471850303E-4</v>
      </c>
    </row>
    <row r="22140" spans="1:6" x14ac:dyDescent="0.25">
      <c r="A22140" s="2" t="str">
        <f t="shared" si="786"/>
        <v>41180</v>
      </c>
      <c r="B22140" s="2" t="str">
        <f>"63109"</f>
        <v>63109</v>
      </c>
      <c r="C22140" s="1">
        <v>1.10539483755073E-2</v>
      </c>
      <c r="D22140" s="1">
        <v>7.2747436459790196E-3</v>
      </c>
      <c r="E22140" s="1">
        <v>2.26838307002145E-2</v>
      </c>
      <c r="F22140" s="1">
        <v>1.11444592098013E-2</v>
      </c>
    </row>
    <row r="22141" spans="1:6" x14ac:dyDescent="0.25">
      <c r="A22141" s="2" t="str">
        <f t="shared" si="786"/>
        <v>41180</v>
      </c>
      <c r="B22141" s="2" t="str">
        <f>"63053"</f>
        <v>63053</v>
      </c>
      <c r="C22141" s="1">
        <v>0</v>
      </c>
      <c r="D22141" s="1">
        <v>0</v>
      </c>
      <c r="E22141" s="1">
        <v>1.9504583577140599E-5</v>
      </c>
      <c r="F22141" s="1">
        <v>6.48235179723203E-7</v>
      </c>
    </row>
    <row r="22142" spans="1:6" x14ac:dyDescent="0.25">
      <c r="A22142" s="2" t="str">
        <f t="shared" si="786"/>
        <v>41180</v>
      </c>
      <c r="B22142" s="2" t="str">
        <f>"63069"</f>
        <v>63069</v>
      </c>
      <c r="C22142" s="1">
        <v>5.1234868312087598E-3</v>
      </c>
      <c r="D22142" s="1">
        <v>5.3215701528606498E-3</v>
      </c>
      <c r="E22142" s="1">
        <v>3.3547883752681799E-3</v>
      </c>
      <c r="F22142" s="1">
        <v>5.0802191034907398E-3</v>
      </c>
    </row>
    <row r="22143" spans="1:6" x14ac:dyDescent="0.25">
      <c r="A22143" s="2" t="str">
        <f t="shared" si="786"/>
        <v>41180</v>
      </c>
      <c r="B22143" s="2" t="str">
        <f>"63052"</f>
        <v>63052</v>
      </c>
      <c r="C22143" s="1">
        <v>9.0715340034774293E-3</v>
      </c>
      <c r="D22143" s="1">
        <v>4.8829337327959297E-3</v>
      </c>
      <c r="E22143" s="1">
        <v>2.75014628437682E-3</v>
      </c>
      <c r="F22143" s="1">
        <v>8.5333679058762508E-3</v>
      </c>
    </row>
    <row r="22144" spans="1:6" x14ac:dyDescent="0.25">
      <c r="A22144" s="2" t="str">
        <f t="shared" si="786"/>
        <v>41180</v>
      </c>
      <c r="B22144" s="2" t="str">
        <f>"63050"</f>
        <v>63050</v>
      </c>
      <c r="C22144" s="1">
        <v>5.7779681310655296E-3</v>
      </c>
      <c r="D22144" s="1">
        <v>4.6594774433289998E-3</v>
      </c>
      <c r="E22144" s="1">
        <v>1.3653208503998399E-3</v>
      </c>
      <c r="F22144" s="1">
        <v>5.5437072569928299E-3</v>
      </c>
    </row>
    <row r="22145" spans="1:6" x14ac:dyDescent="0.25">
      <c r="A22145" s="2" t="str">
        <f t="shared" si="786"/>
        <v>41180</v>
      </c>
      <c r="B22145" s="2" t="str">
        <f>"63103"</f>
        <v>63103</v>
      </c>
      <c r="C22145" s="1">
        <v>4.5332132842922203E-3</v>
      </c>
      <c r="D22145" s="1">
        <v>1.61881667480488E-2</v>
      </c>
      <c r="E22145" s="1">
        <v>4.9346596450165698E-3</v>
      </c>
      <c r="F22145" s="1">
        <v>5.45943668362882E-3</v>
      </c>
    </row>
    <row r="22146" spans="1:6" x14ac:dyDescent="0.25">
      <c r="A22146" s="2" t="str">
        <f t="shared" si="786"/>
        <v>41180</v>
      </c>
      <c r="B22146" s="2" t="str">
        <f>"63005"</f>
        <v>63005</v>
      </c>
      <c r="C22146" s="1">
        <v>5.0928422218509102E-3</v>
      </c>
      <c r="D22146" s="1">
        <v>1.43839641145751E-2</v>
      </c>
      <c r="E22146" s="1">
        <v>3.5108250438853099E-3</v>
      </c>
      <c r="F22146" s="1">
        <v>5.7679966291770603E-3</v>
      </c>
    </row>
    <row r="22147" spans="1:6" x14ac:dyDescent="0.25">
      <c r="A22147" s="2" t="str">
        <f t="shared" si="786"/>
        <v>41180</v>
      </c>
      <c r="B22147" s="2" t="str">
        <f>"63038"</f>
        <v>63038</v>
      </c>
      <c r="C22147" s="1">
        <v>1.9058028486353201E-3</v>
      </c>
      <c r="D22147" s="1">
        <v>3.1449403702753399E-4</v>
      </c>
      <c r="E22147" s="1">
        <v>8.7770626097132801E-4</v>
      </c>
      <c r="F22147" s="1">
        <v>1.74699380935403E-3</v>
      </c>
    </row>
    <row r="22148" spans="1:6" x14ac:dyDescent="0.25">
      <c r="A22148" s="2" t="str">
        <f t="shared" si="786"/>
        <v>41180</v>
      </c>
      <c r="B22148" s="2" t="str">
        <f>"62674"</f>
        <v>62674</v>
      </c>
      <c r="C22148" s="1">
        <v>5.1803982485876103E-4</v>
      </c>
      <c r="D22148" s="1">
        <v>1.8207549512120401E-4</v>
      </c>
      <c r="E22148" s="1">
        <v>6.6315584162278103E-4</v>
      </c>
      <c r="F22148" s="1">
        <v>4.9654814766797299E-4</v>
      </c>
    </row>
    <row r="22149" spans="1:6" x14ac:dyDescent="0.25">
      <c r="A22149" s="2" t="str">
        <f t="shared" si="786"/>
        <v>41180</v>
      </c>
      <c r="B22149" s="2" t="str">
        <f>"62667"</f>
        <v>62667</v>
      </c>
      <c r="C22149" s="1">
        <v>2.07215929943504E-4</v>
      </c>
      <c r="D22149" s="1">
        <v>1.6552317738291299E-5</v>
      </c>
      <c r="E22149" s="1">
        <v>3.9009167154281199E-5</v>
      </c>
      <c r="F22149" s="1">
        <v>1.8669173176028201E-4</v>
      </c>
    </row>
    <row r="22150" spans="1:6" x14ac:dyDescent="0.25">
      <c r="A22150" s="2" t="str">
        <f t="shared" si="786"/>
        <v>41180</v>
      </c>
      <c r="B22150" s="2" t="str">
        <f>"62560"</f>
        <v>62560</v>
      </c>
      <c r="C22150" s="1">
        <v>1.8970472459616599E-5</v>
      </c>
      <c r="D22150" s="1">
        <v>8.2761588691456493E-6</v>
      </c>
      <c r="E22150" s="1">
        <v>0</v>
      </c>
      <c r="F22150" s="1">
        <v>1.7502349852526401E-5</v>
      </c>
    </row>
    <row r="22151" spans="1:6" x14ac:dyDescent="0.25">
      <c r="A22151" s="2" t="str">
        <f t="shared" si="786"/>
        <v>41180</v>
      </c>
      <c r="B22151" s="2" t="str">
        <f>"62207"</f>
        <v>62207</v>
      </c>
      <c r="C22151" s="1">
        <v>3.05789423377896E-3</v>
      </c>
      <c r="D22151" s="1">
        <v>2.28421984788419E-3</v>
      </c>
      <c r="E22151" s="1">
        <v>1.4238346011312599E-3</v>
      </c>
      <c r="F22151" s="1">
        <v>2.94298771594334E-3</v>
      </c>
    </row>
    <row r="22152" spans="1:6" x14ac:dyDescent="0.25">
      <c r="A22152" s="2" t="str">
        <f t="shared" si="786"/>
        <v>41180</v>
      </c>
      <c r="B22152" s="2" t="str">
        <f>"62058"</f>
        <v>62058</v>
      </c>
      <c r="C22152" s="1">
        <v>2.9404232312405703E-4</v>
      </c>
      <c r="D22152" s="1">
        <v>0</v>
      </c>
      <c r="E22152" s="1">
        <v>2.7306417007996801E-4</v>
      </c>
      <c r="F22152" s="1">
        <v>2.7031406994457499E-4</v>
      </c>
    </row>
    <row r="22153" spans="1:6" x14ac:dyDescent="0.25">
      <c r="A22153" s="2" t="str">
        <f t="shared" si="786"/>
        <v>41180</v>
      </c>
      <c r="B22153" s="2" t="str">
        <f>"62082"</f>
        <v>62082</v>
      </c>
      <c r="C22153" s="1">
        <v>3.6481677806955001E-6</v>
      </c>
      <c r="D22153" s="1">
        <v>0</v>
      </c>
      <c r="E22153" s="1">
        <v>0</v>
      </c>
      <c r="F22153" s="1">
        <v>3.2411758986160098E-6</v>
      </c>
    </row>
    <row r="22154" spans="1:6" x14ac:dyDescent="0.25">
      <c r="A22154" s="2" t="str">
        <f t="shared" si="786"/>
        <v>41180</v>
      </c>
      <c r="B22154" s="2" t="str">
        <f>"62088"</f>
        <v>62088</v>
      </c>
      <c r="C22154" s="1">
        <v>2.38006466012574E-3</v>
      </c>
      <c r="D22154" s="1">
        <v>1.8207549512120401E-3</v>
      </c>
      <c r="E22154" s="1">
        <v>9.1671542812560899E-4</v>
      </c>
      <c r="F22154" s="1">
        <v>2.2876219492431798E-3</v>
      </c>
    </row>
    <row r="22155" spans="1:6" x14ac:dyDescent="0.25">
      <c r="A22155" s="2" t="str">
        <f t="shared" si="786"/>
        <v>41180</v>
      </c>
      <c r="B22155" s="2" t="str">
        <f>"62079"</f>
        <v>62079</v>
      </c>
      <c r="C22155" s="1">
        <v>1.05796865640169E-4</v>
      </c>
      <c r="D22155" s="1">
        <v>1.6552317738291299E-5</v>
      </c>
      <c r="E22155" s="1">
        <v>1.9504583577140599E-5</v>
      </c>
      <c r="F22155" s="1">
        <v>9.5938806599034094E-5</v>
      </c>
    </row>
    <row r="22156" spans="1:6" x14ac:dyDescent="0.25">
      <c r="A22156" s="2" t="str">
        <f t="shared" si="786"/>
        <v>41180</v>
      </c>
      <c r="B22156" s="2" t="str">
        <f>"62074"</f>
        <v>62074</v>
      </c>
      <c r="C22156" s="1">
        <v>3.1228316202753397E-4</v>
      </c>
      <c r="D22156" s="1">
        <v>3.3104635476582597E-5</v>
      </c>
      <c r="E22156" s="1">
        <v>5.8513750731421798E-5</v>
      </c>
      <c r="F22156" s="1">
        <v>2.8198230317959299E-4</v>
      </c>
    </row>
    <row r="22157" spans="1:6" x14ac:dyDescent="0.25">
      <c r="A22157" s="2" t="str">
        <f t="shared" si="786"/>
        <v>41180</v>
      </c>
      <c r="B22157" s="2" t="str">
        <f>"62067"</f>
        <v>62067</v>
      </c>
      <c r="C22157" s="1">
        <v>8.7483063381078104E-4</v>
      </c>
      <c r="D22157" s="1">
        <v>1.3241854190633001E-4</v>
      </c>
      <c r="E22157" s="1">
        <v>5.8513750731421798E-5</v>
      </c>
      <c r="F22157" s="1">
        <v>7.8955044890286104E-4</v>
      </c>
    </row>
    <row r="22158" spans="1:6" x14ac:dyDescent="0.25">
      <c r="A22158" s="2" t="str">
        <f t="shared" si="786"/>
        <v>41180</v>
      </c>
      <c r="B22158" s="2" t="str">
        <f>"62063"</f>
        <v>62063</v>
      </c>
      <c r="C22158" s="1">
        <v>3.77220548523914E-4</v>
      </c>
      <c r="D22158" s="1">
        <v>3.3104635476582597E-5</v>
      </c>
      <c r="E22158" s="1">
        <v>1.9504583577140599E-5</v>
      </c>
      <c r="F22158" s="1">
        <v>3.38378763815512E-4</v>
      </c>
    </row>
    <row r="22159" spans="1:6" x14ac:dyDescent="0.25">
      <c r="A22159" s="2" t="str">
        <f t="shared" si="786"/>
        <v>41180</v>
      </c>
      <c r="B22159" s="2" t="str">
        <f>"62059"</f>
        <v>62059</v>
      </c>
      <c r="C22159" s="1">
        <v>4.3923940079573797E-4</v>
      </c>
      <c r="D22159" s="1">
        <v>2.48284766074369E-5</v>
      </c>
      <c r="E22159" s="1">
        <v>5.8513750731421798E-5</v>
      </c>
      <c r="F22159" s="1">
        <v>3.9412698927170699E-4</v>
      </c>
    </row>
    <row r="22160" spans="1:6" x14ac:dyDescent="0.25">
      <c r="A22160" s="2" t="str">
        <f t="shared" si="786"/>
        <v>41180</v>
      </c>
      <c r="B22160" s="2" t="str">
        <f>"62053"</f>
        <v>62053</v>
      </c>
      <c r="C22160" s="1">
        <v>4.3194306523434701E-4</v>
      </c>
      <c r="D22160" s="1">
        <v>9.1037747560602101E-5</v>
      </c>
      <c r="E22160" s="1">
        <v>5.8513750731421798E-5</v>
      </c>
      <c r="F22160" s="1">
        <v>3.9283051891226103E-4</v>
      </c>
    </row>
    <row r="22161" spans="1:6" x14ac:dyDescent="0.25">
      <c r="A22161" s="2" t="str">
        <f t="shared" si="786"/>
        <v>41180</v>
      </c>
      <c r="B22161" s="2" t="str">
        <f>"62298"</f>
        <v>62298</v>
      </c>
      <c r="C22161" s="1">
        <v>5.5678336668974699E-3</v>
      </c>
      <c r="D22161" s="1">
        <v>3.6828906967698101E-3</v>
      </c>
      <c r="E22161" s="1">
        <v>4.7786229763994497E-3</v>
      </c>
      <c r="F22161" s="1">
        <v>5.3939649304767696E-3</v>
      </c>
    </row>
    <row r="22162" spans="1:6" x14ac:dyDescent="0.25">
      <c r="A22162" s="2" t="str">
        <f t="shared" si="786"/>
        <v>41180</v>
      </c>
      <c r="B22162" s="2" t="str">
        <f>"62282"</f>
        <v>62282</v>
      </c>
      <c r="C22162" s="1">
        <v>2.32023470852233E-4</v>
      </c>
      <c r="D22162" s="1">
        <v>1.6552317738291299E-5</v>
      </c>
      <c r="E22162" s="1">
        <v>1.5603666861712501E-4</v>
      </c>
      <c r="F22162" s="1">
        <v>2.1262113894920999E-4</v>
      </c>
    </row>
    <row r="22163" spans="1:6" x14ac:dyDescent="0.25">
      <c r="A22163" s="2" t="str">
        <f t="shared" si="786"/>
        <v>41180</v>
      </c>
      <c r="B22163" s="2" t="str">
        <f>"62253"</f>
        <v>62253</v>
      </c>
      <c r="C22163" s="1">
        <v>2.8528672045038798E-4</v>
      </c>
      <c r="D22163" s="1">
        <v>2.3173244833607799E-4</v>
      </c>
      <c r="E22163" s="1">
        <v>9.7522917885703106E-5</v>
      </c>
      <c r="F22163" s="1">
        <v>2.74851716202638E-4</v>
      </c>
    </row>
    <row r="22164" spans="1:6" x14ac:dyDescent="0.25">
      <c r="A22164" s="2" t="str">
        <f t="shared" si="786"/>
        <v>41180</v>
      </c>
      <c r="B22164" s="2" t="str">
        <f>"62277"</f>
        <v>62277</v>
      </c>
      <c r="C22164" s="1">
        <v>1.14552468313838E-4</v>
      </c>
      <c r="D22164" s="1">
        <v>1.6552317738291299E-5</v>
      </c>
      <c r="E22164" s="1">
        <v>0</v>
      </c>
      <c r="F22164" s="1">
        <v>1.03069393575989E-4</v>
      </c>
    </row>
    <row r="22165" spans="1:6" x14ac:dyDescent="0.25">
      <c r="A22165" s="2" t="str">
        <f t="shared" si="786"/>
        <v>41180</v>
      </c>
      <c r="B22165" s="2" t="str">
        <f>"62030"</f>
        <v>62030</v>
      </c>
      <c r="C22165" s="1">
        <v>0</v>
      </c>
      <c r="D22165" s="1">
        <v>0</v>
      </c>
      <c r="E22165" s="1">
        <v>1.9504583577140599E-5</v>
      </c>
      <c r="F22165" s="1">
        <v>6.48235179723203E-7</v>
      </c>
    </row>
    <row r="22166" spans="1:6" x14ac:dyDescent="0.25">
      <c r="A22166" s="2" t="str">
        <f t="shared" si="786"/>
        <v>41180</v>
      </c>
      <c r="B22166" s="2" t="str">
        <f>"62044"</f>
        <v>62044</v>
      </c>
      <c r="C22166" s="1">
        <v>1.16011735426116E-4</v>
      </c>
      <c r="D22166" s="1">
        <v>5.7933112084019497E-5</v>
      </c>
      <c r="E22166" s="1">
        <v>0</v>
      </c>
      <c r="F22166" s="1">
        <v>1.07607039834051E-4</v>
      </c>
    </row>
    <row r="22167" spans="1:6" x14ac:dyDescent="0.25">
      <c r="A22167" s="2" t="str">
        <f t="shared" si="786"/>
        <v>41180</v>
      </c>
      <c r="B22167" s="2" t="str">
        <f>"62048"</f>
        <v>62048</v>
      </c>
      <c r="C22167" s="1">
        <v>5.0271752017984003E-4</v>
      </c>
      <c r="D22167" s="1">
        <v>5.4622648536361304E-4</v>
      </c>
      <c r="E22167" s="1">
        <v>1.7554125219426499E-4</v>
      </c>
      <c r="F22167" s="1">
        <v>4.9525167730852702E-4</v>
      </c>
    </row>
    <row r="22168" spans="1:6" x14ac:dyDescent="0.25">
      <c r="A22168" s="2" t="str">
        <f t="shared" si="786"/>
        <v>41180</v>
      </c>
      <c r="B22168" s="2" t="str">
        <f>"62037"</f>
        <v>62037</v>
      </c>
      <c r="C22168" s="1">
        <v>6.9096297766372704E-4</v>
      </c>
      <c r="D22168" s="1">
        <v>7.6140661596139903E-4</v>
      </c>
      <c r="E22168" s="1">
        <v>9.7522917885703106E-5</v>
      </c>
      <c r="F22168" s="1">
        <v>6.7675752763102399E-4</v>
      </c>
    </row>
    <row r="22169" spans="1:6" x14ac:dyDescent="0.25">
      <c r="A22169" s="2" t="str">
        <f t="shared" si="786"/>
        <v>41180</v>
      </c>
      <c r="B22169" s="2" t="str">
        <f>"62035"</f>
        <v>62035</v>
      </c>
      <c r="C22169" s="1">
        <v>6.0231250059282699E-3</v>
      </c>
      <c r="D22169" s="1">
        <v>4.5105065836843804E-3</v>
      </c>
      <c r="E22169" s="1">
        <v>4.9541642285937104E-3</v>
      </c>
      <c r="F22169" s="1">
        <v>5.8691213172138799E-3</v>
      </c>
    </row>
    <row r="22170" spans="1:6" x14ac:dyDescent="0.25">
      <c r="A22170" s="2" t="str">
        <f t="shared" si="786"/>
        <v>41180</v>
      </c>
      <c r="B22170" s="2" t="str">
        <f>"62022"</f>
        <v>62022</v>
      </c>
      <c r="C22170" s="1">
        <v>3.94002120315114E-4</v>
      </c>
      <c r="D22170" s="1">
        <v>1.1586622416803899E-4</v>
      </c>
      <c r="E22170" s="1">
        <v>1.9504583577140599E-5</v>
      </c>
      <c r="F22170" s="1">
        <v>3.5977052474637703E-4</v>
      </c>
    </row>
    <row r="22171" spans="1:6" x14ac:dyDescent="0.25">
      <c r="A22171" s="2" t="str">
        <f t="shared" si="786"/>
        <v>41180</v>
      </c>
      <c r="B22171" s="2" t="str">
        <f>"62001"</f>
        <v>62001</v>
      </c>
      <c r="C22171" s="1">
        <v>5.5160296844115897E-4</v>
      </c>
      <c r="D22171" s="1">
        <v>9.9313906429747805E-5</v>
      </c>
      <c r="E22171" s="1">
        <v>1.9504583577140599E-4</v>
      </c>
      <c r="F22171" s="1">
        <v>5.0432696982465205E-4</v>
      </c>
    </row>
    <row r="22172" spans="1:6" x14ac:dyDescent="0.25">
      <c r="A22172" s="2" t="str">
        <f t="shared" si="786"/>
        <v>41180</v>
      </c>
      <c r="B22172" s="2" t="str">
        <f>"65041"</f>
        <v>65041</v>
      </c>
      <c r="C22172" s="1">
        <v>4.5237280480624201E-5</v>
      </c>
      <c r="D22172" s="1">
        <v>2.48284766074369E-5</v>
      </c>
      <c r="E22172" s="1">
        <v>1.9504583577140599E-5</v>
      </c>
      <c r="F22172" s="1">
        <v>4.27835218617314E-5</v>
      </c>
    </row>
    <row r="22173" spans="1:6" x14ac:dyDescent="0.25">
      <c r="A22173" s="2" t="str">
        <f t="shared" si="786"/>
        <v>41180</v>
      </c>
      <c r="B22173" s="2" t="str">
        <f>"63387"</f>
        <v>63387</v>
      </c>
      <c r="C22173" s="1">
        <v>1.4592671122782E-6</v>
      </c>
      <c r="D22173" s="1">
        <v>0</v>
      </c>
      <c r="E22173" s="1">
        <v>1.9504583577140599E-5</v>
      </c>
      <c r="F22173" s="1">
        <v>1.9447055391696099E-6</v>
      </c>
    </row>
    <row r="22174" spans="1:6" x14ac:dyDescent="0.25">
      <c r="A22174" s="2" t="str">
        <f t="shared" si="786"/>
        <v>41180</v>
      </c>
      <c r="B22174" s="2" t="str">
        <f>"63390"</f>
        <v>63390</v>
      </c>
      <c r="C22174" s="1">
        <v>4.4398201891064203E-3</v>
      </c>
      <c r="D22174" s="1">
        <v>2.36698143657565E-3</v>
      </c>
      <c r="E22174" s="1">
        <v>1.0727520967427301E-3</v>
      </c>
      <c r="F22174" s="1">
        <v>4.1655592649012998E-3</v>
      </c>
    </row>
    <row r="22175" spans="1:6" x14ac:dyDescent="0.25">
      <c r="A22175" s="2" t="str">
        <f t="shared" si="786"/>
        <v>41180</v>
      </c>
      <c r="B22175" s="2" t="str">
        <f>"63376"</f>
        <v>63376</v>
      </c>
      <c r="C22175" s="1">
        <v>2.3257799235489901E-2</v>
      </c>
      <c r="D22175" s="1">
        <v>2.5093313691249602E-2</v>
      </c>
      <c r="E22175" s="1">
        <v>1.23659059879071E-2</v>
      </c>
      <c r="F22175" s="1">
        <v>2.3039574757722101E-2</v>
      </c>
    </row>
    <row r="22176" spans="1:6" x14ac:dyDescent="0.25">
      <c r="A22176" s="2" t="str">
        <f t="shared" si="786"/>
        <v>41180</v>
      </c>
      <c r="B22176" s="2" t="str">
        <f>"63150"</f>
        <v>63150</v>
      </c>
      <c r="C22176" s="1">
        <v>0</v>
      </c>
      <c r="D22176" s="1">
        <v>8.2761588691456493E-6</v>
      </c>
      <c r="E22176" s="1">
        <v>0</v>
      </c>
      <c r="F22176" s="1">
        <v>6.48235179723203E-7</v>
      </c>
    </row>
    <row r="22177" spans="1:6" x14ac:dyDescent="0.25">
      <c r="A22177" s="2" t="str">
        <f t="shared" si="786"/>
        <v>41180</v>
      </c>
      <c r="B22177" s="2" t="str">
        <f>"63151"</f>
        <v>63151</v>
      </c>
      <c r="C22177" s="1">
        <v>6.8731480988303202E-4</v>
      </c>
      <c r="D22177" s="1">
        <v>1.65523177382913E-3</v>
      </c>
      <c r="E22177" s="1">
        <v>3.9009167154281199E-5</v>
      </c>
      <c r="F22177" s="1">
        <v>7.4158104560334396E-4</v>
      </c>
    </row>
    <row r="22178" spans="1:6" x14ac:dyDescent="0.25">
      <c r="A22178" s="2" t="str">
        <f t="shared" si="786"/>
        <v>41180</v>
      </c>
      <c r="B22178" s="2" t="str">
        <f>"63366"</f>
        <v>63366</v>
      </c>
      <c r="C22178" s="1">
        <v>1.7468886601082301E-2</v>
      </c>
      <c r="D22178" s="1">
        <v>1.5840568075544698E-2</v>
      </c>
      <c r="E22178" s="1">
        <v>2.7306417007996798E-3</v>
      </c>
      <c r="F22178" s="1">
        <v>1.6851521732084401E-2</v>
      </c>
    </row>
    <row r="22179" spans="1:6" x14ac:dyDescent="0.25">
      <c r="A22179" s="2" t="str">
        <f t="shared" si="786"/>
        <v>41180</v>
      </c>
      <c r="B22179" s="2" t="str">
        <f>"63144"</f>
        <v>63144</v>
      </c>
      <c r="C22179" s="1">
        <v>3.8984320904512102E-3</v>
      </c>
      <c r="D22179" s="1">
        <v>9.3934403164803101E-3</v>
      </c>
      <c r="E22179" s="1">
        <v>1.4433391847083999E-3</v>
      </c>
      <c r="F22179" s="1">
        <v>4.2472368975464197E-3</v>
      </c>
    </row>
    <row r="22180" spans="1:6" x14ac:dyDescent="0.25">
      <c r="A22180" s="2" t="str">
        <f t="shared" si="786"/>
        <v>41180</v>
      </c>
      <c r="B22180" s="2" t="str">
        <f>"63143"</f>
        <v>63143</v>
      </c>
      <c r="C22180" s="1">
        <v>4.1939336806875397E-3</v>
      </c>
      <c r="D22180" s="1">
        <v>5.9009012737008398E-3</v>
      </c>
      <c r="E22180" s="1">
        <v>9.7132826214160299E-3</v>
      </c>
      <c r="F22180" s="1">
        <v>4.5110686156937703E-3</v>
      </c>
    </row>
    <row r="22181" spans="1:6" x14ac:dyDescent="0.25">
      <c r="A22181" s="2" t="str">
        <f t="shared" si="786"/>
        <v>41180</v>
      </c>
      <c r="B22181" s="2" t="str">
        <f>"63136"</f>
        <v>63136</v>
      </c>
      <c r="C22181" s="1">
        <v>1.67662494865203E-2</v>
      </c>
      <c r="D22181" s="1">
        <v>1.0899701230664799E-2</v>
      </c>
      <c r="E22181" s="1">
        <v>1.8002730641700701E-2</v>
      </c>
      <c r="F22181" s="1">
        <v>1.63478429974394E-2</v>
      </c>
    </row>
    <row r="22182" spans="1:6" x14ac:dyDescent="0.25">
      <c r="A22182" s="2" t="str">
        <f t="shared" si="786"/>
        <v>41180</v>
      </c>
      <c r="B22182" s="2" t="str">
        <f>"63032"</f>
        <v>63032</v>
      </c>
      <c r="C22182" s="1">
        <v>7.8143753862497595E-4</v>
      </c>
      <c r="D22182" s="1">
        <v>3.1366642114062002E-3</v>
      </c>
      <c r="E22182" s="1">
        <v>3.9009167154281199E-5</v>
      </c>
      <c r="F22182" s="1">
        <v>9.41237480958091E-4</v>
      </c>
    </row>
    <row r="22183" spans="1:6" x14ac:dyDescent="0.25">
      <c r="A22183" s="2" t="str">
        <f t="shared" si="786"/>
        <v>41180</v>
      </c>
      <c r="B22183" s="2" t="str">
        <f>"63026"</f>
        <v>63026</v>
      </c>
      <c r="C22183" s="1">
        <v>1.4607263793904699E-2</v>
      </c>
      <c r="D22183" s="1">
        <v>1.7015782634963401E-2</v>
      </c>
      <c r="E22183" s="1">
        <v>1.01618880436902E-2</v>
      </c>
      <c r="F22183" s="1">
        <v>1.4648170356205199E-2</v>
      </c>
    </row>
    <row r="22184" spans="1:6" x14ac:dyDescent="0.25">
      <c r="A22184" s="2" t="str">
        <f t="shared" si="786"/>
        <v>41180</v>
      </c>
      <c r="B22184" s="2" t="str">
        <f>"63020"</f>
        <v>63020</v>
      </c>
      <c r="C22184" s="1">
        <v>6.6870915420148497E-3</v>
      </c>
      <c r="D22184" s="1">
        <v>3.6166814258166398E-3</v>
      </c>
      <c r="E22184" s="1">
        <v>2.0674858591769002E-3</v>
      </c>
      <c r="F22184" s="1">
        <v>6.2930671247528602E-3</v>
      </c>
    </row>
    <row r="22185" spans="1:6" x14ac:dyDescent="0.25">
      <c r="A22185" s="2" t="str">
        <f t="shared" si="786"/>
        <v>41180</v>
      </c>
      <c r="B22185" s="2" t="str">
        <f>"63013"</f>
        <v>63013</v>
      </c>
      <c r="C22185" s="1">
        <v>5.5889930400254998E-4</v>
      </c>
      <c r="D22185" s="1">
        <v>1.9862781285949501E-4</v>
      </c>
      <c r="E22185" s="1">
        <v>1.9504583577140599E-5</v>
      </c>
      <c r="F22185" s="1">
        <v>5.1275402716105404E-4</v>
      </c>
    </row>
    <row r="22186" spans="1:6" x14ac:dyDescent="0.25">
      <c r="A22186" s="2" t="str">
        <f t="shared" si="786"/>
        <v>41180</v>
      </c>
      <c r="B22186" s="2" t="str">
        <f>"63107"</f>
        <v>63107</v>
      </c>
      <c r="C22186" s="1">
        <v>4.83747047720223E-3</v>
      </c>
      <c r="D22186" s="1">
        <v>3.5835767903400601E-3</v>
      </c>
      <c r="E22186" s="1">
        <v>2.00897210844548E-3</v>
      </c>
      <c r="F22186" s="1">
        <v>4.6452532978964699E-3</v>
      </c>
    </row>
    <row r="22187" spans="1:6" x14ac:dyDescent="0.25">
      <c r="A22187" s="2" t="str">
        <f t="shared" si="786"/>
        <v>41180</v>
      </c>
      <c r="B22187" s="2" t="str">
        <f>"63068"</f>
        <v>63068</v>
      </c>
      <c r="C22187" s="1">
        <v>1.71463885692688E-3</v>
      </c>
      <c r="D22187" s="1">
        <v>1.5890225028759601E-3</v>
      </c>
      <c r="E22187" s="1">
        <v>6.8266042519992103E-4</v>
      </c>
      <c r="F22187" s="1">
        <v>1.6705020581466901E-3</v>
      </c>
    </row>
    <row r="22188" spans="1:6" x14ac:dyDescent="0.25">
      <c r="A22188" s="2" t="str">
        <f t="shared" si="786"/>
        <v>41180</v>
      </c>
      <c r="B22188" s="2" t="str">
        <f>"63061"</f>
        <v>63061</v>
      </c>
      <c r="C22188" s="1">
        <v>7.4422622726188201E-5</v>
      </c>
      <c r="D22188" s="1">
        <v>1.6552317738291299E-5</v>
      </c>
      <c r="E22188" s="1">
        <v>1.9504583577140599E-5</v>
      </c>
      <c r="F22188" s="1">
        <v>6.8064693870936298E-5</v>
      </c>
    </row>
    <row r="22189" spans="1:6" x14ac:dyDescent="0.25">
      <c r="A22189" s="2" t="str">
        <f t="shared" si="786"/>
        <v>41180</v>
      </c>
      <c r="B22189" s="2" t="str">
        <f>"63060"</f>
        <v>63060</v>
      </c>
      <c r="C22189" s="1">
        <v>7.7341156950744598E-4</v>
      </c>
      <c r="D22189" s="1">
        <v>1.57247018513767E-4</v>
      </c>
      <c r="E22189" s="1">
        <v>9.7522917885703106E-5</v>
      </c>
      <c r="F22189" s="1">
        <v>7.0268693481995203E-4</v>
      </c>
    </row>
    <row r="22190" spans="1:6" x14ac:dyDescent="0.25">
      <c r="A22190" s="2" t="str">
        <f t="shared" si="786"/>
        <v>41180</v>
      </c>
      <c r="B22190" s="2" t="str">
        <f>"63051"</f>
        <v>63051</v>
      </c>
      <c r="C22190" s="1">
        <v>4.6601695230604296E-3</v>
      </c>
      <c r="D22190" s="1">
        <v>2.00283044633324E-3</v>
      </c>
      <c r="E22190" s="1">
        <v>2.14550419348546E-4</v>
      </c>
      <c r="F22190" s="1">
        <v>4.3042815933620696E-3</v>
      </c>
    </row>
    <row r="22191" spans="1:6" x14ac:dyDescent="0.25">
      <c r="A22191" s="2" t="str">
        <f t="shared" si="786"/>
        <v>41180</v>
      </c>
      <c r="B22191" s="2" t="str">
        <f>"63079"</f>
        <v>63079</v>
      </c>
      <c r="C22191" s="1">
        <v>0</v>
      </c>
      <c r="D22191" s="1">
        <v>0</v>
      </c>
      <c r="E22191" s="1">
        <v>1.9504583577140599E-5</v>
      </c>
      <c r="F22191" s="1">
        <v>6.48235179723203E-7</v>
      </c>
    </row>
    <row r="22192" spans="1:6" x14ac:dyDescent="0.25">
      <c r="A22192" s="2" t="str">
        <f t="shared" si="786"/>
        <v>41180</v>
      </c>
      <c r="B22192" s="2" t="str">
        <f>"63089"</f>
        <v>63089</v>
      </c>
      <c r="C22192" s="1">
        <v>1.9678217009071498E-3</v>
      </c>
      <c r="D22192" s="1">
        <v>9.0210131673687597E-4</v>
      </c>
      <c r="E22192" s="1">
        <v>3.7058708796567101E-4</v>
      </c>
      <c r="F22192" s="1">
        <v>1.8312643827180499E-3</v>
      </c>
    </row>
    <row r="22193" spans="1:6" x14ac:dyDescent="0.25">
      <c r="A22193" s="2" t="str">
        <f t="shared" ref="A22193:A22236" si="787">"41180"</f>
        <v>41180</v>
      </c>
      <c r="B22193" s="2" t="str">
        <f>"63045"</f>
        <v>63045</v>
      </c>
      <c r="C22193" s="1">
        <v>0</v>
      </c>
      <c r="D22193" s="1">
        <v>3.8649661918910101E-3</v>
      </c>
      <c r="E22193" s="1">
        <v>6.0464209089135896E-4</v>
      </c>
      <c r="F22193" s="1">
        <v>3.2282111950215502E-4</v>
      </c>
    </row>
    <row r="22194" spans="1:6" x14ac:dyDescent="0.25">
      <c r="A22194" s="2" t="str">
        <f t="shared" si="787"/>
        <v>41180</v>
      </c>
      <c r="B22194" s="2" t="str">
        <f>"63044"</f>
        <v>63044</v>
      </c>
      <c r="C22194" s="1">
        <v>3.6080379351078498E-3</v>
      </c>
      <c r="D22194" s="1">
        <v>1.1280404538645501E-2</v>
      </c>
      <c r="E22194" s="1">
        <v>1.09810805539301E-2</v>
      </c>
      <c r="F22194" s="1">
        <v>4.4540239198781299E-3</v>
      </c>
    </row>
    <row r="22195" spans="1:6" x14ac:dyDescent="0.25">
      <c r="A22195" s="2" t="str">
        <f t="shared" si="787"/>
        <v>41180</v>
      </c>
      <c r="B22195" s="2" t="str">
        <f>"62690"</f>
        <v>62690</v>
      </c>
      <c r="C22195" s="1">
        <v>1.3439850104082201E-3</v>
      </c>
      <c r="D22195" s="1">
        <v>1.5062609141845E-3</v>
      </c>
      <c r="E22195" s="1">
        <v>1.0532475131655901E-3</v>
      </c>
      <c r="F22195" s="1">
        <v>1.34703270346481E-3</v>
      </c>
    </row>
    <row r="22196" spans="1:6" x14ac:dyDescent="0.25">
      <c r="A22196" s="2" t="str">
        <f t="shared" si="787"/>
        <v>41180</v>
      </c>
      <c r="B22196" s="2" t="str">
        <f>"62572"</f>
        <v>62572</v>
      </c>
      <c r="C22196" s="1">
        <v>8.8285660292831099E-5</v>
      </c>
      <c r="D22196" s="1">
        <v>3.3104635476582597E-5</v>
      </c>
      <c r="E22196" s="1">
        <v>0</v>
      </c>
      <c r="F22196" s="1">
        <v>8.1029397465400395E-5</v>
      </c>
    </row>
    <row r="22197" spans="1:6" x14ac:dyDescent="0.25">
      <c r="A22197" s="2" t="str">
        <f t="shared" si="787"/>
        <v>41180</v>
      </c>
      <c r="B22197" s="2" t="str">
        <f>"62355"</f>
        <v>62355</v>
      </c>
      <c r="C22197" s="1">
        <v>1.4592671122782E-6</v>
      </c>
      <c r="D22197" s="1">
        <v>0</v>
      </c>
      <c r="E22197" s="1">
        <v>0</v>
      </c>
      <c r="F22197" s="1">
        <v>1.2964703594464001E-6</v>
      </c>
    </row>
    <row r="22198" spans="1:6" x14ac:dyDescent="0.25">
      <c r="A22198" s="2" t="str">
        <f t="shared" si="787"/>
        <v>41180</v>
      </c>
      <c r="B22198" s="2" t="str">
        <f>"62070"</f>
        <v>62070</v>
      </c>
      <c r="C22198" s="1">
        <v>4.66965475929024E-5</v>
      </c>
      <c r="D22198" s="1">
        <v>0</v>
      </c>
      <c r="E22198" s="1">
        <v>0</v>
      </c>
      <c r="F22198" s="1">
        <v>4.1487051502284999E-5</v>
      </c>
    </row>
    <row r="22199" spans="1:6" x14ac:dyDescent="0.25">
      <c r="A22199" s="2" t="str">
        <f t="shared" si="787"/>
        <v>41180</v>
      </c>
      <c r="B22199" s="2" t="str">
        <f>"62085"</f>
        <v>62085</v>
      </c>
      <c r="C22199" s="1">
        <v>5.2533616042015197E-5</v>
      </c>
      <c r="D22199" s="1">
        <v>0</v>
      </c>
      <c r="E22199" s="1">
        <v>1.9504583577140599E-5</v>
      </c>
      <c r="F22199" s="1">
        <v>4.7321168119793799E-5</v>
      </c>
    </row>
    <row r="22200" spans="1:6" x14ac:dyDescent="0.25">
      <c r="A22200" s="2" t="str">
        <f t="shared" si="787"/>
        <v>41180</v>
      </c>
      <c r="B22200" s="2" t="str">
        <f>"62284"</f>
        <v>62284</v>
      </c>
      <c r="C22200" s="1">
        <v>2.0502702927508701E-4</v>
      </c>
      <c r="D22200" s="1">
        <v>9.9313906429747805E-5</v>
      </c>
      <c r="E22200" s="1">
        <v>5.8513750731421798E-5</v>
      </c>
      <c r="F22200" s="1">
        <v>1.91877613198068E-4</v>
      </c>
    </row>
    <row r="22201" spans="1:6" x14ac:dyDescent="0.25">
      <c r="A22201" s="2" t="str">
        <f t="shared" si="787"/>
        <v>41180</v>
      </c>
      <c r="B22201" s="2" t="str">
        <f>"62246"</f>
        <v>62246</v>
      </c>
      <c r="C22201" s="1">
        <v>2.9251009265616498E-3</v>
      </c>
      <c r="D22201" s="1">
        <v>3.3766728186114198E-3</v>
      </c>
      <c r="E22201" s="1">
        <v>1.8139262726740699E-3</v>
      </c>
      <c r="F22201" s="1">
        <v>2.9235406605516399E-3</v>
      </c>
    </row>
    <row r="22202" spans="1:6" x14ac:dyDescent="0.25">
      <c r="A22202" s="2" t="str">
        <f t="shared" si="787"/>
        <v>41180</v>
      </c>
      <c r="B22202" s="2" t="str">
        <f>"62240"</f>
        <v>62240</v>
      </c>
      <c r="C22202" s="1">
        <v>6.2456632405506903E-4</v>
      </c>
      <c r="D22202" s="1">
        <v>2.3173244833607799E-4</v>
      </c>
      <c r="E22202" s="1">
        <v>1.3653208503998401E-4</v>
      </c>
      <c r="F22202" s="1">
        <v>5.77577545133374E-4</v>
      </c>
    </row>
    <row r="22203" spans="1:6" x14ac:dyDescent="0.25">
      <c r="A22203" s="2" t="str">
        <f t="shared" si="787"/>
        <v>41180</v>
      </c>
      <c r="B22203" s="2" t="str">
        <f>"62257"</f>
        <v>62257</v>
      </c>
      <c r="C22203" s="1">
        <v>1.01419064303334E-3</v>
      </c>
      <c r="D22203" s="1">
        <v>9.7658674655918599E-4</v>
      </c>
      <c r="E22203" s="1">
        <v>7.9968792666276496E-4</v>
      </c>
      <c r="F22203" s="1">
        <v>1.0041162933912399E-3</v>
      </c>
    </row>
    <row r="22204" spans="1:6" x14ac:dyDescent="0.25">
      <c r="A22204" s="2" t="str">
        <f t="shared" si="787"/>
        <v>41180</v>
      </c>
      <c r="B22204" s="2" t="str">
        <f>"62052"</f>
        <v>62052</v>
      </c>
      <c r="C22204" s="1">
        <v>4.2822193409803701E-3</v>
      </c>
      <c r="D22204" s="1">
        <v>4.3118787708248804E-3</v>
      </c>
      <c r="E22204" s="1">
        <v>2.7696508679539598E-3</v>
      </c>
      <c r="F22204" s="1">
        <v>4.2342721939519603E-3</v>
      </c>
    </row>
    <row r="22205" spans="1:6" x14ac:dyDescent="0.25">
      <c r="A22205" s="2" t="str">
        <f t="shared" si="787"/>
        <v>41180</v>
      </c>
      <c r="B22205" s="2" t="str">
        <f>"62232"</f>
        <v>62232</v>
      </c>
      <c r="C22205" s="1">
        <v>2.8207633280337599E-3</v>
      </c>
      <c r="D22205" s="1">
        <v>1.6883364093057099E-3</v>
      </c>
      <c r="E22205" s="1">
        <v>6.8266042519992103E-4</v>
      </c>
      <c r="F22205" s="1">
        <v>2.66100541276375E-3</v>
      </c>
    </row>
    <row r="22206" spans="1:6" x14ac:dyDescent="0.25">
      <c r="A22206" s="2" t="str">
        <f t="shared" si="787"/>
        <v>41180</v>
      </c>
      <c r="B22206" s="2" t="str">
        <f>"63130"</f>
        <v>63130</v>
      </c>
      <c r="C22206" s="1">
        <v>1.0586253266022199E-2</v>
      </c>
      <c r="D22206" s="1">
        <v>7.7630370192586203E-3</v>
      </c>
      <c r="E22206" s="1">
        <v>2.28008582016773E-2</v>
      </c>
      <c r="F22206" s="1">
        <v>1.07710757462807E-2</v>
      </c>
    </row>
    <row r="22207" spans="1:6" x14ac:dyDescent="0.25">
      <c r="A22207" s="2" t="str">
        <f t="shared" si="787"/>
        <v>41180</v>
      </c>
      <c r="B22207" s="2" t="str">
        <f>"63368"</f>
        <v>63368</v>
      </c>
      <c r="C22207" s="1">
        <v>1.29480770872444E-2</v>
      </c>
      <c r="D22207" s="1">
        <v>9.5589634938632196E-3</v>
      </c>
      <c r="E22207" s="1">
        <v>1.3653208503998399E-3</v>
      </c>
      <c r="F22207" s="1">
        <v>1.22976695945288E-2</v>
      </c>
    </row>
    <row r="22208" spans="1:6" x14ac:dyDescent="0.25">
      <c r="A22208" s="2" t="str">
        <f t="shared" si="787"/>
        <v>41180</v>
      </c>
      <c r="B22208" s="2" t="str">
        <f>"63164"</f>
        <v>63164</v>
      </c>
      <c r="C22208" s="1">
        <v>0</v>
      </c>
      <c r="D22208" s="1">
        <v>8.2761588691456493E-6</v>
      </c>
      <c r="E22208" s="1">
        <v>0</v>
      </c>
      <c r="F22208" s="1">
        <v>6.48235179723203E-7</v>
      </c>
    </row>
    <row r="22209" spans="1:6" x14ac:dyDescent="0.25">
      <c r="A22209" s="2" t="str">
        <f t="shared" si="787"/>
        <v>41180</v>
      </c>
      <c r="B22209" s="2" t="str">
        <f>"63301"</f>
        <v>63301</v>
      </c>
      <c r="C22209" s="1">
        <v>1.78497553173869E-2</v>
      </c>
      <c r="D22209" s="1">
        <v>1.9109650828857301E-2</v>
      </c>
      <c r="E22209" s="1">
        <v>1.3711722254729801E-2</v>
      </c>
      <c r="F22209" s="1">
        <v>1.78109097980747E-2</v>
      </c>
    </row>
    <row r="22210" spans="1:6" x14ac:dyDescent="0.25">
      <c r="A22210" s="2" t="str">
        <f t="shared" si="787"/>
        <v>41180</v>
      </c>
      <c r="B22210" s="2" t="str">
        <f>"63357"</f>
        <v>63357</v>
      </c>
      <c r="C22210" s="1">
        <v>1.91382881775285E-3</v>
      </c>
      <c r="D22210" s="1">
        <v>9.3520595221345797E-4</v>
      </c>
      <c r="E22210" s="1">
        <v>1.1312658474741501E-3</v>
      </c>
      <c r="F22210" s="1">
        <v>1.81116909214663E-3</v>
      </c>
    </row>
    <row r="22211" spans="1:6" x14ac:dyDescent="0.25">
      <c r="A22211" s="2" t="str">
        <f t="shared" si="787"/>
        <v>41180</v>
      </c>
      <c r="B22211" s="2" t="str">
        <f>"63118"</f>
        <v>63118</v>
      </c>
      <c r="C22211" s="1">
        <v>1.1271379175236801E-2</v>
      </c>
      <c r="D22211" s="1">
        <v>1.07921111653659E-2</v>
      </c>
      <c r="E22211" s="1">
        <v>1.5915740198946701E-2</v>
      </c>
      <c r="F22211" s="1">
        <v>1.13881956373772E-2</v>
      </c>
    </row>
    <row r="22212" spans="1:6" x14ac:dyDescent="0.25">
      <c r="A22212" s="2" t="str">
        <f t="shared" si="787"/>
        <v>41180</v>
      </c>
      <c r="B22212" s="2" t="str">
        <f>"63139"</f>
        <v>63139</v>
      </c>
      <c r="C22212" s="1">
        <v>9.6691038859553508E-3</v>
      </c>
      <c r="D22212" s="1">
        <v>7.83752244908093E-3</v>
      </c>
      <c r="E22212" s="1">
        <v>1.35751901696898E-2</v>
      </c>
      <c r="F22212" s="1">
        <v>9.6554630019771107E-3</v>
      </c>
    </row>
    <row r="22213" spans="1:6" x14ac:dyDescent="0.25">
      <c r="A22213" s="2" t="str">
        <f t="shared" si="787"/>
        <v>41180</v>
      </c>
      <c r="B22213" s="2" t="str">
        <f>"63146"</f>
        <v>63146</v>
      </c>
      <c r="C22213" s="1">
        <v>1.1944830947553201E-2</v>
      </c>
      <c r="D22213" s="1">
        <v>1.3903946900164599E-2</v>
      </c>
      <c r="E22213" s="1">
        <v>3.1226838307002101E-2</v>
      </c>
      <c r="F22213" s="1">
        <v>1.27391177519203E-2</v>
      </c>
    </row>
    <row r="22214" spans="1:6" x14ac:dyDescent="0.25">
      <c r="A22214" s="2" t="str">
        <f t="shared" si="787"/>
        <v>41180</v>
      </c>
      <c r="B22214" s="2" t="str">
        <f>"63025"</f>
        <v>63025</v>
      </c>
      <c r="C22214" s="1">
        <v>5.7261641485796501E-3</v>
      </c>
      <c r="D22214" s="1">
        <v>5.4870933302435601E-3</v>
      </c>
      <c r="E22214" s="1">
        <v>2.1455041934854602E-3</v>
      </c>
      <c r="F22214" s="1">
        <v>5.5884354843937301E-3</v>
      </c>
    </row>
    <row r="22215" spans="1:6" x14ac:dyDescent="0.25">
      <c r="A22215" s="2" t="str">
        <f t="shared" si="787"/>
        <v>41180</v>
      </c>
      <c r="B22215" s="2" t="str">
        <f>"63073"</f>
        <v>63073</v>
      </c>
      <c r="C22215" s="1">
        <v>2.6996441577146698E-4</v>
      </c>
      <c r="D22215" s="1">
        <v>4.1380794345728199E-5</v>
      </c>
      <c r="E22215" s="1">
        <v>5.8513750731421798E-5</v>
      </c>
      <c r="F22215" s="1">
        <v>2.4503289793537E-4</v>
      </c>
    </row>
    <row r="22216" spans="1:6" x14ac:dyDescent="0.25">
      <c r="A22216" s="2" t="str">
        <f t="shared" si="787"/>
        <v>41180</v>
      </c>
      <c r="B22216" s="2" t="str">
        <f>"63072"</f>
        <v>63072</v>
      </c>
      <c r="C22216" s="1">
        <v>1.12071714222965E-3</v>
      </c>
      <c r="D22216" s="1">
        <v>1.4897085964462101E-4</v>
      </c>
      <c r="E22216" s="1">
        <v>1.9504583577140599E-5</v>
      </c>
      <c r="F22216" s="1">
        <v>1.0080057044695801E-3</v>
      </c>
    </row>
    <row r="22217" spans="1:6" x14ac:dyDescent="0.25">
      <c r="A22217" s="2" t="str">
        <f t="shared" si="787"/>
        <v>41180</v>
      </c>
      <c r="B22217" s="2" t="str">
        <f>"63070"</f>
        <v>63070</v>
      </c>
      <c r="C22217" s="1">
        <v>2.58728059006924E-3</v>
      </c>
      <c r="D22217" s="1">
        <v>1.1586622416803901E-3</v>
      </c>
      <c r="E22217" s="1">
        <v>2.2625316949483102E-3</v>
      </c>
      <c r="F22217" s="1">
        <v>2.4645901533076201E-3</v>
      </c>
    </row>
    <row r="22218" spans="1:6" x14ac:dyDescent="0.25">
      <c r="A22218" s="2" t="str">
        <f t="shared" si="787"/>
        <v>41180</v>
      </c>
      <c r="B22218" s="2" t="str">
        <f>"63056"</f>
        <v>63056</v>
      </c>
      <c r="C22218" s="1">
        <v>7.0044821389353602E-4</v>
      </c>
      <c r="D22218" s="1">
        <v>8.2761588691456506E-5</v>
      </c>
      <c r="E22218" s="1">
        <v>5.8513750731421798E-5</v>
      </c>
      <c r="F22218" s="1">
        <v>6.3073282987067701E-4</v>
      </c>
    </row>
    <row r="22219" spans="1:6" x14ac:dyDescent="0.25">
      <c r="A22219" s="2" t="str">
        <f t="shared" si="787"/>
        <v>41180</v>
      </c>
      <c r="B22219" s="2" t="str">
        <f>"63101"</f>
        <v>63101</v>
      </c>
      <c r="C22219" s="1">
        <v>2.5566359807113999E-3</v>
      </c>
      <c r="D22219" s="1">
        <v>9.7658674655918595E-3</v>
      </c>
      <c r="E22219" s="1">
        <v>5.0126779793251402E-3</v>
      </c>
      <c r="F22219" s="1">
        <v>3.20293002301234E-3</v>
      </c>
    </row>
    <row r="22220" spans="1:6" x14ac:dyDescent="0.25">
      <c r="A22220" s="2" t="str">
        <f t="shared" si="787"/>
        <v>41180</v>
      </c>
      <c r="B22220" s="2" t="str">
        <f>"63088"</f>
        <v>63088</v>
      </c>
      <c r="C22220" s="1">
        <v>2.9564751694756298E-3</v>
      </c>
      <c r="D22220" s="1">
        <v>3.2028734823593601E-3</v>
      </c>
      <c r="E22220" s="1">
        <v>6.5730446654963899E-3</v>
      </c>
      <c r="F22220" s="1">
        <v>3.0959712183580199E-3</v>
      </c>
    </row>
    <row r="22221" spans="1:6" x14ac:dyDescent="0.25">
      <c r="A22221" s="2" t="str">
        <f t="shared" si="787"/>
        <v>41180</v>
      </c>
      <c r="B22221" s="2" t="str">
        <f>"63012"</f>
        <v>63012</v>
      </c>
      <c r="C22221" s="1">
        <v>3.0739461720140199E-3</v>
      </c>
      <c r="D22221" s="1">
        <v>1.1752145594186799E-3</v>
      </c>
      <c r="E22221" s="1">
        <v>3.7058708796567101E-4</v>
      </c>
      <c r="F22221" s="1">
        <v>2.8353806761092898E-3</v>
      </c>
    </row>
    <row r="22222" spans="1:6" x14ac:dyDescent="0.25">
      <c r="A22222" s="2" t="str">
        <f t="shared" si="787"/>
        <v>41180</v>
      </c>
      <c r="B22222" s="2" t="str">
        <f>"63040"</f>
        <v>63040</v>
      </c>
      <c r="C22222" s="1">
        <v>2.7477999724198499E-3</v>
      </c>
      <c r="D22222" s="1">
        <v>3.6332337435549399E-3</v>
      </c>
      <c r="E22222" s="1">
        <v>3.2182562902282E-3</v>
      </c>
      <c r="F22222" s="1">
        <v>2.8327877353903899E-3</v>
      </c>
    </row>
    <row r="22223" spans="1:6" x14ac:dyDescent="0.25">
      <c r="A22223" s="2" t="str">
        <f t="shared" si="787"/>
        <v>41180</v>
      </c>
      <c r="B22223" s="2" t="str">
        <f>"63033"</f>
        <v>63033</v>
      </c>
      <c r="C22223" s="1">
        <v>1.37842371425798E-2</v>
      </c>
      <c r="D22223" s="1">
        <v>8.5409959529583104E-3</v>
      </c>
      <c r="E22223" s="1">
        <v>1.2795006826604199E-2</v>
      </c>
      <c r="F22223" s="1">
        <v>1.3340679998703499E-2</v>
      </c>
    </row>
    <row r="22224" spans="1:6" x14ac:dyDescent="0.25">
      <c r="A22224" s="2" t="str">
        <f t="shared" si="787"/>
        <v>41180</v>
      </c>
      <c r="B22224" s="2" t="str">
        <f>"62672"</f>
        <v>62672</v>
      </c>
      <c r="C22224" s="1">
        <v>0</v>
      </c>
      <c r="D22224" s="1">
        <v>8.2761588691456493E-6</v>
      </c>
      <c r="E22224" s="1">
        <v>0</v>
      </c>
      <c r="F22224" s="1">
        <v>6.48235179723203E-7</v>
      </c>
    </row>
    <row r="22225" spans="1:6" x14ac:dyDescent="0.25">
      <c r="A22225" s="2" t="str">
        <f t="shared" si="787"/>
        <v>41180</v>
      </c>
      <c r="B22225" s="2" t="str">
        <f>"62640"</f>
        <v>62640</v>
      </c>
      <c r="C22225" s="1">
        <v>1.3228256372801799E-3</v>
      </c>
      <c r="D22225" s="1">
        <v>8.2761588691456498E-4</v>
      </c>
      <c r="E22225" s="1">
        <v>9.3622001170274997E-4</v>
      </c>
      <c r="F22225" s="1">
        <v>1.2711891874371999E-3</v>
      </c>
    </row>
    <row r="22226" spans="1:6" x14ac:dyDescent="0.25">
      <c r="A22226" s="2" t="str">
        <f t="shared" si="787"/>
        <v>41180</v>
      </c>
      <c r="B22226" s="2" t="str">
        <f>"62206"</f>
        <v>62206</v>
      </c>
      <c r="C22226" s="1">
        <v>5.1818575156998897E-3</v>
      </c>
      <c r="D22226" s="1">
        <v>4.6180966489832703E-3</v>
      </c>
      <c r="E22226" s="1">
        <v>2.0284766920226202E-3</v>
      </c>
      <c r="F22226" s="1">
        <v>5.0328979353709497E-3</v>
      </c>
    </row>
    <row r="22227" spans="1:6" x14ac:dyDescent="0.25">
      <c r="A22227" s="2" t="str">
        <f t="shared" si="787"/>
        <v>41180</v>
      </c>
      <c r="B22227" s="2" t="str">
        <f>"62201"</f>
        <v>62201</v>
      </c>
      <c r="C22227" s="1">
        <v>2.1188558470279402E-3</v>
      </c>
      <c r="D22227" s="1">
        <v>4.1711840700494E-3</v>
      </c>
      <c r="E22227" s="1">
        <v>1.4043300175541199E-3</v>
      </c>
      <c r="F22227" s="1">
        <v>2.25585842543674E-3</v>
      </c>
    </row>
    <row r="22228" spans="1:6" x14ac:dyDescent="0.25">
      <c r="A22228" s="2" t="str">
        <f t="shared" si="787"/>
        <v>41180</v>
      </c>
      <c r="B22228" s="2" t="str">
        <f>"62084"</f>
        <v>62084</v>
      </c>
      <c r="C22228" s="1">
        <v>5.3044359531312498E-4</v>
      </c>
      <c r="D22228" s="1">
        <v>5.4622648536361304E-4</v>
      </c>
      <c r="E22228" s="1">
        <v>4.2910083869709303E-4</v>
      </c>
      <c r="F22228" s="1">
        <v>5.2831167147440999E-4</v>
      </c>
    </row>
    <row r="22229" spans="1:6" x14ac:dyDescent="0.25">
      <c r="A22229" s="2" t="str">
        <f t="shared" si="787"/>
        <v>41180</v>
      </c>
      <c r="B22229" s="2" t="str">
        <f>"62081"</f>
        <v>62081</v>
      </c>
      <c r="C22229" s="1">
        <v>9.1204194517387498E-5</v>
      </c>
      <c r="D22229" s="1">
        <v>0</v>
      </c>
      <c r="E22229" s="1">
        <v>0</v>
      </c>
      <c r="F22229" s="1">
        <v>8.1029397465400395E-5</v>
      </c>
    </row>
    <row r="22230" spans="1:6" x14ac:dyDescent="0.25">
      <c r="A22230" s="2" t="str">
        <f t="shared" si="787"/>
        <v>41180</v>
      </c>
      <c r="B22230" s="2" t="str">
        <f>"62281"</f>
        <v>62281</v>
      </c>
      <c r="C22230" s="1">
        <v>8.3470078822312996E-4</v>
      </c>
      <c r="D22230" s="1">
        <v>1.90351653990349E-4</v>
      </c>
      <c r="E22230" s="1">
        <v>5.2662375658279602E-4</v>
      </c>
      <c r="F22230" s="1">
        <v>7.7399280458950498E-4</v>
      </c>
    </row>
    <row r="22231" spans="1:6" x14ac:dyDescent="0.25">
      <c r="A22231" s="2" t="str">
        <f t="shared" si="787"/>
        <v>41180</v>
      </c>
      <c r="B22231" s="2" t="str">
        <f>"62036"</f>
        <v>62036</v>
      </c>
      <c r="C22231" s="1">
        <v>5.2898432820084695E-4</v>
      </c>
      <c r="D22231" s="1">
        <v>1.3241854190633001E-4</v>
      </c>
      <c r="E22231" s="1">
        <v>5.8513750731421798E-5</v>
      </c>
      <c r="F22231" s="1">
        <v>4.82286973714063E-4</v>
      </c>
    </row>
    <row r="22232" spans="1:6" x14ac:dyDescent="0.25">
      <c r="A22232" s="2" t="str">
        <f t="shared" si="787"/>
        <v>41180</v>
      </c>
      <c r="B22232" s="2" t="str">
        <f>"62031"</f>
        <v>62031</v>
      </c>
      <c r="C22232" s="1">
        <v>3.5533154183974101E-4</v>
      </c>
      <c r="D22232" s="1">
        <v>1.1586622416803899E-4</v>
      </c>
      <c r="E22232" s="1">
        <v>1.9504583577140599E-5</v>
      </c>
      <c r="F22232" s="1">
        <v>3.2541406022104798E-4</v>
      </c>
    </row>
    <row r="22233" spans="1:6" x14ac:dyDescent="0.25">
      <c r="A22233" s="2" t="str">
        <f t="shared" si="787"/>
        <v>41180</v>
      </c>
      <c r="B22233" s="2" t="str">
        <f>"62019"</f>
        <v>62019</v>
      </c>
      <c r="C22233" s="1">
        <v>7.2233722057770899E-5</v>
      </c>
      <c r="D22233" s="1">
        <v>2.48284766074369E-5</v>
      </c>
      <c r="E22233" s="1">
        <v>0</v>
      </c>
      <c r="F22233" s="1">
        <v>6.6119988331766696E-5</v>
      </c>
    </row>
    <row r="22234" spans="1:6" x14ac:dyDescent="0.25">
      <c r="A22234" s="2" t="str">
        <f t="shared" si="787"/>
        <v>41180</v>
      </c>
      <c r="B22234" s="2" t="str">
        <f>"62014"</f>
        <v>62014</v>
      </c>
      <c r="C22234" s="1">
        <v>1.26226605212064E-3</v>
      </c>
      <c r="D22234" s="1">
        <v>6.2071191518592295E-4</v>
      </c>
      <c r="E22234" s="1">
        <v>7.2166959235420299E-4</v>
      </c>
      <c r="F22234" s="1">
        <v>1.1940492010501401E-3</v>
      </c>
    </row>
    <row r="22235" spans="1:6" x14ac:dyDescent="0.25">
      <c r="A22235" s="2" t="str">
        <f t="shared" si="787"/>
        <v>41180</v>
      </c>
      <c r="B22235" s="2" t="str">
        <f>"62009"</f>
        <v>62009</v>
      </c>
      <c r="C22235" s="1">
        <v>6.5083313207607704E-4</v>
      </c>
      <c r="D22235" s="1">
        <v>5.3795032649446703E-4</v>
      </c>
      <c r="E22235" s="1">
        <v>3.3157792081138997E-4</v>
      </c>
      <c r="F22235" s="1">
        <v>6.3138106505040005E-4</v>
      </c>
    </row>
    <row r="22236" spans="1:6" x14ac:dyDescent="0.25">
      <c r="A22236" s="2" t="str">
        <f t="shared" si="787"/>
        <v>41180</v>
      </c>
      <c r="B22236" s="2" t="str">
        <f>"62006"</f>
        <v>62006</v>
      </c>
      <c r="C22236" s="1">
        <v>3.3854997004854198E-4</v>
      </c>
      <c r="D22236" s="1">
        <v>1.6552317738291299E-5</v>
      </c>
      <c r="E22236" s="1">
        <v>1.9504583577140599E-5</v>
      </c>
      <c r="F22236" s="1">
        <v>3.0272582893073601E-4</v>
      </c>
    </row>
    <row r="22237" spans="1:6" x14ac:dyDescent="0.25">
      <c r="A22237" s="2" t="str">
        <f t="shared" ref="A22237:A22274" si="788">"16020"</f>
        <v>16020</v>
      </c>
      <c r="B22237" s="2" t="str">
        <f>"63785"</f>
        <v>63785</v>
      </c>
      <c r="C22237" s="1">
        <v>1.0433438526437799E-2</v>
      </c>
      <c r="D22237" s="1">
        <v>6.6459902525476202E-4</v>
      </c>
      <c r="E22237" s="1">
        <v>7.4682598954443598E-4</v>
      </c>
      <c r="F22237" s="1">
        <v>9.3450814357096505E-3</v>
      </c>
    </row>
    <row r="22238" spans="1:6" x14ac:dyDescent="0.25">
      <c r="A22238" s="2" t="str">
        <f t="shared" si="788"/>
        <v>16020</v>
      </c>
      <c r="B22238" s="2" t="str">
        <f>"63764"</f>
        <v>63764</v>
      </c>
      <c r="C22238" s="1">
        <v>5.53873897082501E-2</v>
      </c>
      <c r="D22238" s="1">
        <v>2.7470093043863501E-2</v>
      </c>
      <c r="E22238" s="1">
        <v>1.4936519790888701E-2</v>
      </c>
      <c r="F22238" s="1">
        <v>5.1951024144638903E-2</v>
      </c>
    </row>
    <row r="22239" spans="1:6" x14ac:dyDescent="0.25">
      <c r="A22239" s="2" t="str">
        <f t="shared" si="788"/>
        <v>16020</v>
      </c>
      <c r="B22239" s="2" t="str">
        <f>"63730"</f>
        <v>63730</v>
      </c>
      <c r="C22239" s="1">
        <v>2.49028573882054E-3</v>
      </c>
      <c r="D22239" s="1">
        <v>2.2153300841825399E-4</v>
      </c>
      <c r="E22239" s="1">
        <v>0</v>
      </c>
      <c r="F22239" s="1">
        <v>2.23137658771026E-3</v>
      </c>
    </row>
    <row r="22240" spans="1:6" x14ac:dyDescent="0.25">
      <c r="A22240" s="2" t="str">
        <f t="shared" si="788"/>
        <v>16020</v>
      </c>
      <c r="B22240" s="2" t="str">
        <f>"62988"</f>
        <v>62988</v>
      </c>
      <c r="C22240" s="1">
        <v>1.4941714432923201E-2</v>
      </c>
      <c r="D22240" s="1">
        <v>4.6521931767833404E-3</v>
      </c>
      <c r="E22240" s="1">
        <v>4.4809559372666098E-3</v>
      </c>
      <c r="F22240" s="1">
        <v>1.3788763016363399E-2</v>
      </c>
    </row>
    <row r="22241" spans="1:6" x14ac:dyDescent="0.25">
      <c r="A22241" s="2" t="str">
        <f t="shared" si="788"/>
        <v>16020</v>
      </c>
      <c r="B22241" s="2" t="str">
        <f>"62969"</f>
        <v>62969</v>
      </c>
      <c r="C22241" s="1">
        <v>4.2506601404005903E-3</v>
      </c>
      <c r="D22241" s="1">
        <v>2.6583961010190498E-3</v>
      </c>
      <c r="E22241" s="1">
        <v>7.4682598954443598E-4</v>
      </c>
      <c r="F22241" s="1">
        <v>4.0241064957851702E-3</v>
      </c>
    </row>
    <row r="22242" spans="1:6" x14ac:dyDescent="0.25">
      <c r="A22242" s="2" t="str">
        <f t="shared" si="788"/>
        <v>16020</v>
      </c>
      <c r="B22242" s="2" t="str">
        <f>"63702"</f>
        <v>63702</v>
      </c>
      <c r="C22242" s="1">
        <v>2.6105064296601602E-2</v>
      </c>
      <c r="D22242" s="1">
        <v>9.9689853788214405E-2</v>
      </c>
      <c r="E22242" s="1">
        <v>7.4682598954443598E-4</v>
      </c>
      <c r="F22242" s="1">
        <v>3.1792348476179497E-2</v>
      </c>
    </row>
    <row r="22243" spans="1:6" x14ac:dyDescent="0.25">
      <c r="A22243" s="2" t="str">
        <f t="shared" si="788"/>
        <v>16020</v>
      </c>
      <c r="B22243" s="2" t="str">
        <f>"63751"</f>
        <v>63751</v>
      </c>
      <c r="C22243" s="1">
        <v>2.2691655395976899E-2</v>
      </c>
      <c r="D22243" s="1">
        <v>4.2091271599468301E-3</v>
      </c>
      <c r="E22243" s="1">
        <v>2.2404779686333001E-3</v>
      </c>
      <c r="F22243" s="1">
        <v>2.0578250753327899E-2</v>
      </c>
    </row>
    <row r="22244" spans="1:6" x14ac:dyDescent="0.25">
      <c r="A22244" s="2" t="str">
        <f t="shared" si="788"/>
        <v>16020</v>
      </c>
      <c r="B22244" s="2" t="str">
        <f>"62914"</f>
        <v>62914</v>
      </c>
      <c r="C22244" s="1">
        <v>4.4803675318262799E-2</v>
      </c>
      <c r="D22244" s="1">
        <v>6.6459902525476205E-2</v>
      </c>
      <c r="E22244" s="1">
        <v>2.7632561613144101E-2</v>
      </c>
      <c r="F22244" s="1">
        <v>4.6229545714612602E-2</v>
      </c>
    </row>
    <row r="22245" spans="1:6" x14ac:dyDescent="0.25">
      <c r="A22245" s="2" t="str">
        <f t="shared" si="788"/>
        <v>16020</v>
      </c>
      <c r="B22245" s="2" t="str">
        <f>"63787"</f>
        <v>63787</v>
      </c>
      <c r="C22245" s="1">
        <v>1.4576758764303E-2</v>
      </c>
      <c r="D22245" s="1">
        <v>3.32299512627381E-3</v>
      </c>
      <c r="E22245" s="1">
        <v>7.4682598954443598E-4</v>
      </c>
      <c r="F22245" s="1">
        <v>1.32547583628943E-2</v>
      </c>
    </row>
    <row r="22246" spans="1:6" x14ac:dyDescent="0.25">
      <c r="A22246" s="2" t="str">
        <f t="shared" si="788"/>
        <v>16020</v>
      </c>
      <c r="B22246" s="2" t="str">
        <f>"63752"</f>
        <v>63752</v>
      </c>
      <c r="C22246" s="1">
        <v>0</v>
      </c>
      <c r="D22246" s="1">
        <v>0</v>
      </c>
      <c r="E22246" s="1">
        <v>7.4682598954443598E-4</v>
      </c>
      <c r="F22246" s="1">
        <v>1.9071594766754301E-5</v>
      </c>
    </row>
    <row r="22247" spans="1:6" x14ac:dyDescent="0.25">
      <c r="A22247" s="2" t="str">
        <f t="shared" si="788"/>
        <v>16020</v>
      </c>
      <c r="B22247" s="2" t="str">
        <f>"63779"</f>
        <v>63779</v>
      </c>
      <c r="C22247" s="1">
        <v>0</v>
      </c>
      <c r="D22247" s="1">
        <v>0</v>
      </c>
      <c r="E22247" s="1">
        <v>7.4682598954443598E-4</v>
      </c>
      <c r="F22247" s="1">
        <v>1.9071594766754301E-5</v>
      </c>
    </row>
    <row r="22248" spans="1:6" x14ac:dyDescent="0.25">
      <c r="A22248" s="2" t="str">
        <f t="shared" si="788"/>
        <v>16020</v>
      </c>
      <c r="B22248" s="2" t="str">
        <f>"63770"</f>
        <v>63770</v>
      </c>
      <c r="C22248" s="1">
        <v>3.0055172709903102E-4</v>
      </c>
      <c r="D22248" s="1">
        <v>0</v>
      </c>
      <c r="E22248" s="1">
        <v>7.4682598954443598E-4</v>
      </c>
      <c r="F22248" s="1">
        <v>2.86073921501315E-4</v>
      </c>
    </row>
    <row r="22249" spans="1:6" x14ac:dyDescent="0.25">
      <c r="A22249" s="2" t="str">
        <f t="shared" si="788"/>
        <v>16020</v>
      </c>
      <c r="B22249" s="2" t="str">
        <f>"63760"</f>
        <v>63760</v>
      </c>
      <c r="C22249" s="1">
        <v>4.8517635945986501E-3</v>
      </c>
      <c r="D22249" s="1">
        <v>2.2153300841825399E-4</v>
      </c>
      <c r="E22249" s="1">
        <v>7.4682598954443598E-4</v>
      </c>
      <c r="F22249" s="1">
        <v>4.3483236068199999E-3</v>
      </c>
    </row>
    <row r="22250" spans="1:6" x14ac:dyDescent="0.25">
      <c r="A22250" s="2" t="str">
        <f t="shared" si="788"/>
        <v>16020</v>
      </c>
      <c r="B22250" s="2" t="str">
        <f>"63740"</f>
        <v>63740</v>
      </c>
      <c r="C22250" s="1">
        <v>6.80534982074236E-3</v>
      </c>
      <c r="D22250" s="1">
        <v>3.9875941515285698E-3</v>
      </c>
      <c r="E22250" s="1">
        <v>1.49365197908887E-3</v>
      </c>
      <c r="F22250" s="1">
        <v>6.4271274363962303E-3</v>
      </c>
    </row>
    <row r="22251" spans="1:6" x14ac:dyDescent="0.25">
      <c r="A22251" s="2" t="str">
        <f t="shared" si="788"/>
        <v>16020</v>
      </c>
      <c r="B22251" s="2" t="str">
        <f>"62952"</f>
        <v>62952</v>
      </c>
      <c r="C22251" s="1">
        <v>3.86423649127326E-4</v>
      </c>
      <c r="D22251" s="1">
        <v>0</v>
      </c>
      <c r="E22251" s="1">
        <v>0</v>
      </c>
      <c r="F22251" s="1">
        <v>3.4328870580157899E-4</v>
      </c>
    </row>
    <row r="22252" spans="1:6" x14ac:dyDescent="0.25">
      <c r="A22252" s="2" t="str">
        <f t="shared" si="788"/>
        <v>16020</v>
      </c>
      <c r="B22252" s="2" t="str">
        <f>"63781"</f>
        <v>63781</v>
      </c>
      <c r="C22252" s="1">
        <v>1.1764453317876299E-2</v>
      </c>
      <c r="D22252" s="1">
        <v>2.8799291094373002E-3</v>
      </c>
      <c r="E22252" s="1">
        <v>7.4682598954443598E-4</v>
      </c>
      <c r="F22252" s="1">
        <v>1.07182362589159E-2</v>
      </c>
    </row>
    <row r="22253" spans="1:6" x14ac:dyDescent="0.25">
      <c r="A22253" s="2" t="str">
        <f t="shared" si="788"/>
        <v>16020</v>
      </c>
      <c r="B22253" s="2" t="str">
        <f>"63743"</f>
        <v>63743</v>
      </c>
      <c r="C22253" s="1">
        <v>9.6605912281831597E-4</v>
      </c>
      <c r="D22253" s="1">
        <v>2.2153300841825399E-4</v>
      </c>
      <c r="E22253" s="1">
        <v>7.4682598954443598E-4</v>
      </c>
      <c r="F22253" s="1">
        <v>8.96364954037456E-4</v>
      </c>
    </row>
    <row r="22254" spans="1:6" x14ac:dyDescent="0.25">
      <c r="A22254" s="2" t="str">
        <f t="shared" si="788"/>
        <v>16020</v>
      </c>
      <c r="B22254" s="2" t="str">
        <f>"63771"</f>
        <v>63771</v>
      </c>
      <c r="C22254" s="1">
        <v>3.6495566862025202E-4</v>
      </c>
      <c r="D22254" s="1">
        <v>0</v>
      </c>
      <c r="E22254" s="1">
        <v>0</v>
      </c>
      <c r="F22254" s="1">
        <v>3.2421711103482398E-4</v>
      </c>
    </row>
    <row r="22255" spans="1:6" x14ac:dyDescent="0.25">
      <c r="A22255" s="2" t="str">
        <f t="shared" si="788"/>
        <v>16020</v>
      </c>
      <c r="B22255" s="2" t="str">
        <f>"63739"</f>
        <v>63739</v>
      </c>
      <c r="C22255" s="1">
        <v>5.60314291234623E-3</v>
      </c>
      <c r="D22255" s="1">
        <v>1.3291980505095199E-3</v>
      </c>
      <c r="E22255" s="1">
        <v>7.4682598954443598E-4</v>
      </c>
      <c r="F22255" s="1">
        <v>5.1111873974901698E-3</v>
      </c>
    </row>
    <row r="22256" spans="1:6" x14ac:dyDescent="0.25">
      <c r="A22256" s="2" t="str">
        <f t="shared" si="788"/>
        <v>16020</v>
      </c>
      <c r="B22256" s="2" t="str">
        <f>"62993"</f>
        <v>62993</v>
      </c>
      <c r="C22256" s="1">
        <v>0</v>
      </c>
      <c r="D22256" s="1">
        <v>0</v>
      </c>
      <c r="E22256" s="1">
        <v>7.4682598954443598E-4</v>
      </c>
      <c r="F22256" s="1">
        <v>1.9071594766754301E-5</v>
      </c>
    </row>
    <row r="22257" spans="1:6" x14ac:dyDescent="0.25">
      <c r="A22257" s="2" t="str">
        <f t="shared" si="788"/>
        <v>16020</v>
      </c>
      <c r="B22257" s="2" t="str">
        <f>"63782"</f>
        <v>63782</v>
      </c>
      <c r="C22257" s="1">
        <v>4.4653399454713198E-3</v>
      </c>
      <c r="D22257" s="1">
        <v>1.10766504209127E-3</v>
      </c>
      <c r="E22257" s="1">
        <v>7.4682598954443598E-4</v>
      </c>
      <c r="F22257" s="1">
        <v>4.0813212800854398E-3</v>
      </c>
    </row>
    <row r="22258" spans="1:6" x14ac:dyDescent="0.25">
      <c r="A22258" s="2" t="str">
        <f t="shared" si="788"/>
        <v>16020</v>
      </c>
      <c r="B22258" s="2" t="str">
        <f>"63744"</f>
        <v>63744</v>
      </c>
      <c r="C22258" s="1">
        <v>0</v>
      </c>
      <c r="D22258" s="1">
        <v>0</v>
      </c>
      <c r="E22258" s="1">
        <v>7.4682598954443598E-4</v>
      </c>
      <c r="F22258" s="1">
        <v>1.9071594766754301E-5</v>
      </c>
    </row>
    <row r="22259" spans="1:6" x14ac:dyDescent="0.25">
      <c r="A22259" s="2" t="str">
        <f t="shared" si="788"/>
        <v>16020</v>
      </c>
      <c r="B22259" s="2" t="str">
        <f>"63769"</f>
        <v>63769</v>
      </c>
      <c r="C22259" s="1">
        <v>1.37824434855413E-2</v>
      </c>
      <c r="D22259" s="1">
        <v>4.43066016836508E-3</v>
      </c>
      <c r="E22259" s="1">
        <v>7.4682598954443598E-4</v>
      </c>
      <c r="F22259" s="1">
        <v>1.26444673303581E-2</v>
      </c>
    </row>
    <row r="22260" spans="1:6" x14ac:dyDescent="0.25">
      <c r="A22260" s="2" t="str">
        <f t="shared" si="788"/>
        <v>16020</v>
      </c>
      <c r="B22260" s="2" t="str">
        <f>"63755"</f>
        <v>63755</v>
      </c>
      <c r="C22260" s="1">
        <v>0.24540048517635901</v>
      </c>
      <c r="D22260" s="1">
        <v>0.17456801063358399</v>
      </c>
      <c r="E22260" s="1">
        <v>0.18297236743838599</v>
      </c>
      <c r="F22260" s="1">
        <v>0.23770835717282601</v>
      </c>
    </row>
    <row r="22261" spans="1:6" x14ac:dyDescent="0.25">
      <c r="A22261" s="2" t="str">
        <f t="shared" si="788"/>
        <v>16020</v>
      </c>
      <c r="B22261" s="2" t="str">
        <f>"63750"</f>
        <v>63750</v>
      </c>
      <c r="C22261" s="1">
        <v>1.1807389278890501E-3</v>
      </c>
      <c r="D22261" s="1">
        <v>0</v>
      </c>
      <c r="E22261" s="1">
        <v>7.4682598954443598E-4</v>
      </c>
      <c r="F22261" s="1">
        <v>1.06800930693824E-3</v>
      </c>
    </row>
    <row r="22262" spans="1:6" x14ac:dyDescent="0.25">
      <c r="A22262" s="2" t="str">
        <f t="shared" si="788"/>
        <v>16020</v>
      </c>
      <c r="B22262" s="2" t="str">
        <f>"63775"</f>
        <v>63775</v>
      </c>
      <c r="C22262" s="1">
        <v>1.1378029668749001E-3</v>
      </c>
      <c r="D22262" s="1">
        <v>4.4306601683650798E-4</v>
      </c>
      <c r="E22262" s="1">
        <v>0</v>
      </c>
      <c r="F22262" s="1">
        <v>1.04893771217149E-3</v>
      </c>
    </row>
    <row r="22263" spans="1:6" x14ac:dyDescent="0.25">
      <c r="A22263" s="2" t="str">
        <f t="shared" si="788"/>
        <v>16020</v>
      </c>
      <c r="B22263" s="2" t="str">
        <f>"63780"</f>
        <v>63780</v>
      </c>
      <c r="C22263" s="1">
        <v>0</v>
      </c>
      <c r="D22263" s="1">
        <v>6.4244572441293701E-3</v>
      </c>
      <c r="E22263" s="1">
        <v>7.4682598954443598E-4</v>
      </c>
      <c r="F22263" s="1">
        <v>5.7214784300263098E-4</v>
      </c>
    </row>
    <row r="22264" spans="1:6" x14ac:dyDescent="0.25">
      <c r="A22264" s="2" t="str">
        <f t="shared" si="788"/>
        <v>16020</v>
      </c>
      <c r="B22264" s="2" t="str">
        <f>"63747"</f>
        <v>63747</v>
      </c>
      <c r="C22264" s="1">
        <v>4.3365320624288804E-3</v>
      </c>
      <c r="D22264" s="1">
        <v>6.6459902525476202E-4</v>
      </c>
      <c r="E22264" s="1">
        <v>7.4682598954443598E-4</v>
      </c>
      <c r="F22264" s="1">
        <v>3.9287485219513998E-3</v>
      </c>
    </row>
    <row r="22265" spans="1:6" x14ac:dyDescent="0.25">
      <c r="A22265" s="2" t="str">
        <f t="shared" si="788"/>
        <v>16020</v>
      </c>
      <c r="B22265" s="2" t="str">
        <f>"63703"</f>
        <v>63703</v>
      </c>
      <c r="C22265" s="1">
        <v>9.1410660999119805E-2</v>
      </c>
      <c r="D22265" s="1">
        <v>0.276694727514399</v>
      </c>
      <c r="E22265" s="1">
        <v>0.279312920089619</v>
      </c>
      <c r="F22265" s="1">
        <v>0.112160048823282</v>
      </c>
    </row>
    <row r="22266" spans="1:6" x14ac:dyDescent="0.25">
      <c r="A22266" s="2" t="str">
        <f t="shared" si="788"/>
        <v>16020</v>
      </c>
      <c r="B22266" s="2" t="str">
        <f>"62992"</f>
        <v>62992</v>
      </c>
      <c r="C22266" s="1">
        <v>4.0789162963440003E-4</v>
      </c>
      <c r="D22266" s="1">
        <v>0</v>
      </c>
      <c r="E22266" s="1">
        <v>0</v>
      </c>
      <c r="F22266" s="1">
        <v>3.6236030056833302E-4</v>
      </c>
    </row>
    <row r="22267" spans="1:6" x14ac:dyDescent="0.25">
      <c r="A22267" s="2" t="str">
        <f t="shared" si="788"/>
        <v>16020</v>
      </c>
      <c r="B22267" s="2" t="str">
        <f>"62990"</f>
        <v>62990</v>
      </c>
      <c r="C22267" s="1">
        <v>1.0562246409480201E-2</v>
      </c>
      <c r="D22267" s="1">
        <v>1.3291980505095199E-3</v>
      </c>
      <c r="E22267" s="1">
        <v>1.49365197908887E-3</v>
      </c>
      <c r="F22267" s="1">
        <v>9.5357973833771897E-3</v>
      </c>
    </row>
    <row r="22268" spans="1:6" x14ac:dyDescent="0.25">
      <c r="A22268" s="2" t="str">
        <f t="shared" si="788"/>
        <v>16020</v>
      </c>
      <c r="B22268" s="2" t="str">
        <f>"62962"</f>
        <v>62962</v>
      </c>
      <c r="C22268" s="1">
        <v>8.3725123977587397E-4</v>
      </c>
      <c r="D22268" s="1">
        <v>0</v>
      </c>
      <c r="E22268" s="1">
        <v>7.4682598954443598E-4</v>
      </c>
      <c r="F22268" s="1">
        <v>7.6286379067017497E-4</v>
      </c>
    </row>
    <row r="22269" spans="1:6" x14ac:dyDescent="0.25">
      <c r="A22269" s="2" t="str">
        <f t="shared" si="788"/>
        <v>16020</v>
      </c>
      <c r="B22269" s="2" t="str">
        <f>"63662"</f>
        <v>63662</v>
      </c>
      <c r="C22269" s="1">
        <v>1.2000601103454101E-2</v>
      </c>
      <c r="D22269" s="1">
        <v>4.6521931767833404E-3</v>
      </c>
      <c r="E22269" s="1">
        <v>7.4682598954443598E-4</v>
      </c>
      <c r="F22269" s="1">
        <v>1.1080596559484301E-2</v>
      </c>
    </row>
    <row r="22270" spans="1:6" x14ac:dyDescent="0.25">
      <c r="A22270" s="2" t="str">
        <f t="shared" si="788"/>
        <v>16020</v>
      </c>
      <c r="B22270" s="2" t="str">
        <f>"63701"</f>
        <v>63701</v>
      </c>
      <c r="C22270" s="1">
        <v>0.36177840750520501</v>
      </c>
      <c r="D22270" s="1">
        <v>0.301727957465662</v>
      </c>
      <c r="E22270" s="1">
        <v>0.46676624346527201</v>
      </c>
      <c r="F22270" s="1">
        <v>0.359289773810886</v>
      </c>
    </row>
    <row r="22271" spans="1:6" x14ac:dyDescent="0.25">
      <c r="A22271" s="2" t="str">
        <f t="shared" si="788"/>
        <v>16020</v>
      </c>
      <c r="B22271" s="2" t="str">
        <f>"63745"</f>
        <v>63745</v>
      </c>
      <c r="C22271" s="1">
        <v>2.1467980507073601E-5</v>
      </c>
      <c r="D22271" s="1">
        <v>0</v>
      </c>
      <c r="E22271" s="1">
        <v>7.4682598954443598E-4</v>
      </c>
      <c r="F22271" s="1">
        <v>3.8143189533508697E-5</v>
      </c>
    </row>
    <row r="22272" spans="1:6" x14ac:dyDescent="0.25">
      <c r="A22272" s="2" t="str">
        <f t="shared" si="788"/>
        <v>16020</v>
      </c>
      <c r="B22272" s="2" t="str">
        <f>"63732"</f>
        <v>63732</v>
      </c>
      <c r="C22272" s="1">
        <v>4.0789162963439998E-3</v>
      </c>
      <c r="D22272" s="1">
        <v>4.4306601683650798E-4</v>
      </c>
      <c r="E22272" s="1">
        <v>0</v>
      </c>
      <c r="F22272" s="1">
        <v>3.6617461952168401E-3</v>
      </c>
    </row>
    <row r="22273" spans="1:6" x14ac:dyDescent="0.25">
      <c r="A22273" s="2" t="str">
        <f t="shared" si="788"/>
        <v>16020</v>
      </c>
      <c r="B22273" s="2" t="str">
        <f>"63766"</f>
        <v>63766</v>
      </c>
      <c r="C22273" s="1">
        <v>1.195766514244E-2</v>
      </c>
      <c r="D22273" s="1">
        <v>4.2091271599468301E-3</v>
      </c>
      <c r="E22273" s="1">
        <v>7.4682598954443598E-4</v>
      </c>
      <c r="F22273" s="1">
        <v>1.10043101804172E-2</v>
      </c>
    </row>
    <row r="22274" spans="1:6" x14ac:dyDescent="0.25">
      <c r="A22274" s="2" t="str">
        <f t="shared" si="788"/>
        <v>16020</v>
      </c>
      <c r="B22274" s="2" t="str">
        <f>"62957"</f>
        <v>62957</v>
      </c>
      <c r="C22274" s="1">
        <v>9.91820699426804E-3</v>
      </c>
      <c r="D22274" s="1">
        <v>5.3167922020380997E-3</v>
      </c>
      <c r="E22274" s="1">
        <v>2.2404779686333001E-3</v>
      </c>
      <c r="F22274" s="1">
        <v>9.3260098409428897E-3</v>
      </c>
    </row>
    <row r="22275" spans="1:6" x14ac:dyDescent="0.25">
      <c r="A22275" s="2" t="str">
        <f t="shared" ref="A22275:A22288" si="789">"40620"</f>
        <v>40620</v>
      </c>
      <c r="B22275" s="2" t="str">
        <f>"65401"</f>
        <v>65401</v>
      </c>
      <c r="C22275" s="1">
        <v>0.67051679476835502</v>
      </c>
      <c r="D22275" s="1">
        <v>0.63150492264416302</v>
      </c>
      <c r="E22275" s="1">
        <v>0.85840707964601703</v>
      </c>
      <c r="F22275" s="1">
        <v>0.67533194092197502</v>
      </c>
    </row>
    <row r="22276" spans="1:6" x14ac:dyDescent="0.25">
      <c r="A22276" s="2" t="str">
        <f t="shared" si="789"/>
        <v>40620</v>
      </c>
      <c r="B22276" s="2" t="str">
        <f>"65550"</f>
        <v>65550</v>
      </c>
      <c r="C22276" s="1">
        <v>5.07452545755658E-2</v>
      </c>
      <c r="D22276" s="1">
        <v>3.7505860290670402E-3</v>
      </c>
      <c r="E22276" s="1">
        <v>4.4247787610619399E-3</v>
      </c>
      <c r="F22276" s="1">
        <v>4.5054453229896999E-2</v>
      </c>
    </row>
    <row r="22277" spans="1:6" x14ac:dyDescent="0.25">
      <c r="A22277" s="2" t="str">
        <f t="shared" si="789"/>
        <v>40620</v>
      </c>
      <c r="B22277" s="2" t="str">
        <f>"65462"</f>
        <v>65462</v>
      </c>
      <c r="C22277" s="1">
        <v>3.0744405282602201E-2</v>
      </c>
      <c r="D22277" s="1">
        <v>5.15705578996718E-3</v>
      </c>
      <c r="E22277" s="1">
        <v>2.6548672566371599E-3</v>
      </c>
      <c r="F22277" s="1">
        <v>2.7524988810980099E-2</v>
      </c>
    </row>
    <row r="22278" spans="1:6" x14ac:dyDescent="0.25">
      <c r="A22278" s="2" t="str">
        <f t="shared" si="789"/>
        <v>40620</v>
      </c>
      <c r="B22278" s="2" t="str">
        <f>"65459"</f>
        <v>65459</v>
      </c>
      <c r="C22278" s="1">
        <v>3.22731326170962E-3</v>
      </c>
      <c r="D22278" s="1">
        <v>0</v>
      </c>
      <c r="E22278" s="1">
        <v>0</v>
      </c>
      <c r="F22278" s="1">
        <v>2.83455169327166E-3</v>
      </c>
    </row>
    <row r="22279" spans="1:6" x14ac:dyDescent="0.25">
      <c r="A22279" s="2" t="str">
        <f t="shared" si="789"/>
        <v>40620</v>
      </c>
      <c r="B22279" s="2" t="str">
        <f>"65409"</f>
        <v>65409</v>
      </c>
      <c r="C22279" s="1">
        <v>0</v>
      </c>
      <c r="D22279" s="1">
        <v>2.5785278949835899E-2</v>
      </c>
      <c r="E22279" s="1">
        <v>0</v>
      </c>
      <c r="F22279" s="1">
        <v>2.0513203043413301E-3</v>
      </c>
    </row>
    <row r="22280" spans="1:6" x14ac:dyDescent="0.25">
      <c r="A22280" s="2" t="str">
        <f t="shared" si="789"/>
        <v>40620</v>
      </c>
      <c r="B22280" s="2" t="str">
        <f>"65542"</f>
        <v>65542</v>
      </c>
      <c r="C22280" s="1">
        <v>3.82181833623508E-4</v>
      </c>
      <c r="D22280" s="1">
        <v>0</v>
      </c>
      <c r="E22280" s="1">
        <v>0</v>
      </c>
      <c r="F22280" s="1">
        <v>3.3567059525585501E-4</v>
      </c>
    </row>
    <row r="22281" spans="1:6" x14ac:dyDescent="0.25">
      <c r="A22281" s="2" t="str">
        <f t="shared" si="789"/>
        <v>40620</v>
      </c>
      <c r="B22281" s="2" t="str">
        <f>"65461"</f>
        <v>65461</v>
      </c>
      <c r="C22281" s="1">
        <v>2.7602021317253301E-3</v>
      </c>
      <c r="D22281" s="1">
        <v>1.40646976090014E-3</v>
      </c>
      <c r="E22281" s="1">
        <v>8.8495575221238904E-4</v>
      </c>
      <c r="F22281" s="1">
        <v>2.5734745636282201E-3</v>
      </c>
    </row>
    <row r="22282" spans="1:6" x14ac:dyDescent="0.25">
      <c r="A22282" s="2" t="str">
        <f t="shared" si="789"/>
        <v>40620</v>
      </c>
      <c r="B22282" s="2" t="str">
        <f>"65560"</f>
        <v>65560</v>
      </c>
      <c r="C22282" s="1">
        <v>2.03830311265871E-3</v>
      </c>
      <c r="D22282" s="1">
        <v>0</v>
      </c>
      <c r="E22282" s="1">
        <v>0</v>
      </c>
      <c r="F22282" s="1">
        <v>1.79024317469789E-3</v>
      </c>
    </row>
    <row r="22283" spans="1:6" x14ac:dyDescent="0.25">
      <c r="A22283" s="2" t="str">
        <f t="shared" si="789"/>
        <v>40620</v>
      </c>
      <c r="B22283" s="2" t="str">
        <f>"65559"</f>
        <v>65559</v>
      </c>
      <c r="C22283" s="1">
        <v>0.16917915835067299</v>
      </c>
      <c r="D22283" s="1">
        <v>0.13455227379278001</v>
      </c>
      <c r="E22283" s="1">
        <v>0.12743362831858401</v>
      </c>
      <c r="F22283" s="1">
        <v>0.1646650753394</v>
      </c>
    </row>
    <row r="22284" spans="1:6" x14ac:dyDescent="0.25">
      <c r="A22284" s="2" t="str">
        <f t="shared" si="789"/>
        <v>40620</v>
      </c>
      <c r="B22284" s="2" t="str">
        <f>"65453"</f>
        <v>65453</v>
      </c>
      <c r="C22284" s="1">
        <v>8.4929296360779599E-5</v>
      </c>
      <c r="D22284" s="1">
        <v>0</v>
      </c>
      <c r="E22284" s="1">
        <v>0</v>
      </c>
      <c r="F22284" s="1">
        <v>7.4593465612412296E-5</v>
      </c>
    </row>
    <row r="22285" spans="1:6" x14ac:dyDescent="0.25">
      <c r="A22285" s="2" t="str">
        <f t="shared" si="789"/>
        <v>40620</v>
      </c>
      <c r="B22285" s="2" t="str">
        <f>"65529"</f>
        <v>65529</v>
      </c>
      <c r="C22285" s="1">
        <v>5.2231517261879402E-3</v>
      </c>
      <c r="D22285" s="1">
        <v>9.3764650726676005E-4</v>
      </c>
      <c r="E22285" s="1">
        <v>3.5398230088495501E-3</v>
      </c>
      <c r="F22285" s="1">
        <v>4.8112785320005898E-3</v>
      </c>
    </row>
    <row r="22286" spans="1:6" x14ac:dyDescent="0.25">
      <c r="A22286" s="2" t="str">
        <f t="shared" si="789"/>
        <v>40620</v>
      </c>
      <c r="B22286" s="2" t="str">
        <f>"65436"</f>
        <v>65436</v>
      </c>
      <c r="C22286" s="1">
        <v>3.1423839653488398E-3</v>
      </c>
      <c r="D22286" s="1">
        <v>9.3764650726676005E-4</v>
      </c>
      <c r="E22286" s="1">
        <v>8.8495575221238904E-4</v>
      </c>
      <c r="F22286" s="1">
        <v>2.8718484260778698E-3</v>
      </c>
    </row>
    <row r="22287" spans="1:6" x14ac:dyDescent="0.25">
      <c r="A22287" s="2" t="str">
        <f t="shared" si="789"/>
        <v>40620</v>
      </c>
      <c r="B22287" s="2" t="str">
        <f>"65449"</f>
        <v>65449</v>
      </c>
      <c r="C22287" s="1">
        <v>8.0682831542740598E-4</v>
      </c>
      <c r="D22287" s="1">
        <v>4.6882325363338003E-4</v>
      </c>
      <c r="E22287" s="1">
        <v>0</v>
      </c>
      <c r="F22287" s="1">
        <v>7.4593465612412299E-4</v>
      </c>
    </row>
    <row r="22288" spans="1:6" x14ac:dyDescent="0.25">
      <c r="A22288" s="2" t="str">
        <f t="shared" si="789"/>
        <v>40620</v>
      </c>
      <c r="B22288" s="2" t="str">
        <f>"65402"</f>
        <v>65402</v>
      </c>
      <c r="C22288" s="1">
        <v>6.11490933797613E-2</v>
      </c>
      <c r="D22288" s="1">
        <v>0.19549929676511901</v>
      </c>
      <c r="E22288" s="1">
        <v>1.7699115044247701E-3</v>
      </c>
      <c r="F22288" s="1">
        <v>6.93346262867372E-2</v>
      </c>
    </row>
    <row r="22289" spans="1:6" x14ac:dyDescent="0.25">
      <c r="A22289" s="2" t="str">
        <f t="shared" ref="A22289:A22301" si="790">"29940"</f>
        <v>29940</v>
      </c>
      <c r="B22289" s="2" t="str">
        <f>"66050"</f>
        <v>66050</v>
      </c>
      <c r="C22289" s="1">
        <v>1.22716997380602E-2</v>
      </c>
      <c r="D22289" s="1">
        <v>3.7444418441375999E-3</v>
      </c>
      <c r="E22289" s="1">
        <v>1.5748031496062901E-3</v>
      </c>
      <c r="F22289" s="1">
        <v>1.12548160700868E-2</v>
      </c>
    </row>
    <row r="22290" spans="1:6" x14ac:dyDescent="0.25">
      <c r="A22290" s="2" t="str">
        <f t="shared" si="790"/>
        <v>29940</v>
      </c>
      <c r="B22290" s="2" t="str">
        <f>"66044"</f>
        <v>66044</v>
      </c>
      <c r="C22290" s="1">
        <v>0.243926943916179</v>
      </c>
      <c r="D22290" s="1">
        <v>0.44020594430142701</v>
      </c>
      <c r="E22290" s="1">
        <v>0.31889763779527502</v>
      </c>
      <c r="F22290" s="1">
        <v>0.26037953030327199</v>
      </c>
    </row>
    <row r="22291" spans="1:6" x14ac:dyDescent="0.25">
      <c r="A22291" s="2" t="str">
        <f t="shared" si="790"/>
        <v>29940</v>
      </c>
      <c r="B22291" s="2" t="str">
        <f>"66021"</f>
        <v>66021</v>
      </c>
      <c r="C22291" s="1">
        <v>1.2917578671642299E-3</v>
      </c>
      <c r="D22291" s="1">
        <v>0</v>
      </c>
      <c r="E22291" s="1">
        <v>0</v>
      </c>
      <c r="F22291" s="1">
        <v>1.1510607344406901E-3</v>
      </c>
    </row>
    <row r="22292" spans="1:6" x14ac:dyDescent="0.25">
      <c r="A22292" s="2" t="str">
        <f t="shared" si="790"/>
        <v>29940</v>
      </c>
      <c r="B22292" s="2" t="str">
        <f>"66049"</f>
        <v>66049</v>
      </c>
      <c r="C22292" s="1">
        <v>0.27849940794431</v>
      </c>
      <c r="D22292" s="1">
        <v>0.168265855370933</v>
      </c>
      <c r="E22292" s="1">
        <v>0.41732283464566899</v>
      </c>
      <c r="F22292" s="1">
        <v>0.276606289267957</v>
      </c>
    </row>
    <row r="22293" spans="1:6" x14ac:dyDescent="0.25">
      <c r="A22293" s="2" t="str">
        <f t="shared" si="790"/>
        <v>29940</v>
      </c>
      <c r="B22293" s="2" t="str">
        <f>"66047"</f>
        <v>66047</v>
      </c>
      <c r="C22293" s="1">
        <v>0.16378413290753099</v>
      </c>
      <c r="D22293" s="1">
        <v>7.5824947343786503E-2</v>
      </c>
      <c r="E22293" s="1">
        <v>7.1259842519684993E-2</v>
      </c>
      <c r="F22293" s="1">
        <v>0.154018321050023</v>
      </c>
    </row>
    <row r="22294" spans="1:6" x14ac:dyDescent="0.25">
      <c r="A22294" s="2" t="str">
        <f t="shared" si="790"/>
        <v>29940</v>
      </c>
      <c r="B22294" s="2" t="str">
        <f>"66006"</f>
        <v>66006</v>
      </c>
      <c r="C22294" s="1">
        <v>5.2836484983314697E-2</v>
      </c>
      <c r="D22294" s="1">
        <v>2.64451205242218E-2</v>
      </c>
      <c r="E22294" s="1">
        <v>1.33858267716535E-2</v>
      </c>
      <c r="F22294" s="1">
        <v>4.9431663762369897E-2</v>
      </c>
    </row>
    <row r="22295" spans="1:6" x14ac:dyDescent="0.25">
      <c r="A22295" s="2" t="str">
        <f t="shared" si="790"/>
        <v>29940</v>
      </c>
      <c r="B22295" s="2" t="str">
        <f>"66409"</f>
        <v>66409</v>
      </c>
      <c r="C22295" s="1">
        <v>1.4352865190713599E-3</v>
      </c>
      <c r="D22295" s="1">
        <v>2.340276152586E-4</v>
      </c>
      <c r="E22295" s="1">
        <v>0</v>
      </c>
      <c r="F22295" s="1">
        <v>1.29494332624578E-3</v>
      </c>
    </row>
    <row r="22296" spans="1:6" x14ac:dyDescent="0.25">
      <c r="A22296" s="2" t="str">
        <f t="shared" si="790"/>
        <v>29940</v>
      </c>
      <c r="B22296" s="2" t="str">
        <f>"66524"</f>
        <v>66524</v>
      </c>
      <c r="C22296" s="1">
        <v>3.7676271125623403E-4</v>
      </c>
      <c r="D22296" s="1">
        <v>0</v>
      </c>
      <c r="E22296" s="1">
        <v>0</v>
      </c>
      <c r="F22296" s="1">
        <v>3.3572604754520302E-4</v>
      </c>
    </row>
    <row r="22297" spans="1:6" x14ac:dyDescent="0.25">
      <c r="A22297" s="2" t="str">
        <f t="shared" si="790"/>
        <v>29940</v>
      </c>
      <c r="B22297" s="2" t="str">
        <f>"66542"</f>
        <v>66542</v>
      </c>
      <c r="C22297" s="1">
        <v>1.7941081488392101E-5</v>
      </c>
      <c r="D22297" s="1">
        <v>0</v>
      </c>
      <c r="E22297" s="1">
        <v>0</v>
      </c>
      <c r="F22297" s="1">
        <v>1.5986954645009601E-5</v>
      </c>
    </row>
    <row r="22298" spans="1:6" x14ac:dyDescent="0.25">
      <c r="A22298" s="2" t="str">
        <f t="shared" si="790"/>
        <v>29940</v>
      </c>
      <c r="B22298" s="2" t="str">
        <f>"66092"</f>
        <v>66092</v>
      </c>
      <c r="C22298" s="1">
        <v>2.15292977860705E-3</v>
      </c>
      <c r="D22298" s="1">
        <v>2.340276152586E-4</v>
      </c>
      <c r="E22298" s="1">
        <v>0</v>
      </c>
      <c r="F22298" s="1">
        <v>1.93442151204617E-3</v>
      </c>
    </row>
    <row r="22299" spans="1:6" x14ac:dyDescent="0.25">
      <c r="A22299" s="2" t="str">
        <f t="shared" si="790"/>
        <v>29940</v>
      </c>
      <c r="B22299" s="2" t="str">
        <f>"66045"</f>
        <v>66045</v>
      </c>
      <c r="C22299" s="1">
        <v>0</v>
      </c>
      <c r="D22299" s="1">
        <v>2.05944301427568E-2</v>
      </c>
      <c r="E22299" s="1">
        <v>1.1811023622047201E-2</v>
      </c>
      <c r="F22299" s="1">
        <v>1.88646064811114E-3</v>
      </c>
    </row>
    <row r="22300" spans="1:6" x14ac:dyDescent="0.25">
      <c r="A22300" s="2" t="str">
        <f t="shared" si="790"/>
        <v>29940</v>
      </c>
      <c r="B22300" s="2" t="str">
        <f>"66046"</f>
        <v>66046</v>
      </c>
      <c r="C22300" s="1">
        <v>0.18348344038178599</v>
      </c>
      <c r="D22300" s="1">
        <v>0.23145331149075499</v>
      </c>
      <c r="E22300" s="1">
        <v>0.15236220472440901</v>
      </c>
      <c r="F22300" s="1">
        <v>0.185496634746047</v>
      </c>
    </row>
    <row r="22301" spans="1:6" x14ac:dyDescent="0.25">
      <c r="A22301" s="2" t="str">
        <f t="shared" si="790"/>
        <v>29940</v>
      </c>
      <c r="B22301" s="2" t="str">
        <f>"66025"</f>
        <v>66025</v>
      </c>
      <c r="C22301" s="1">
        <v>5.9923212171229603E-2</v>
      </c>
      <c r="D22301" s="1">
        <v>3.2997893751462601E-2</v>
      </c>
      <c r="E22301" s="1">
        <v>1.33858267716535E-2</v>
      </c>
      <c r="F22301" s="1">
        <v>5.61941455772089E-2</v>
      </c>
    </row>
    <row r="22302" spans="1:6" x14ac:dyDescent="0.25">
      <c r="A22302" s="2" t="str">
        <f t="shared" ref="A22302:A22333" si="791">"45820"</f>
        <v>45820</v>
      </c>
      <c r="B22302" s="2" t="str">
        <f>"66413"</f>
        <v>66413</v>
      </c>
      <c r="C22302" s="1">
        <v>8.3432333656784704E-3</v>
      </c>
      <c r="D22302" s="1">
        <v>6.5215104659724398E-3</v>
      </c>
      <c r="E22302" s="1">
        <v>5.8044621803011003E-3</v>
      </c>
      <c r="F22302" s="1">
        <v>8.0932883174101404E-3</v>
      </c>
    </row>
    <row r="22303" spans="1:6" x14ac:dyDescent="0.25">
      <c r="A22303" s="2" t="str">
        <f t="shared" si="791"/>
        <v>45820</v>
      </c>
      <c r="B22303" s="2" t="str">
        <f>"66699"</f>
        <v>66699</v>
      </c>
      <c r="C22303" s="1">
        <v>0</v>
      </c>
      <c r="D22303" s="1">
        <v>1.0518565267697399E-4</v>
      </c>
      <c r="E22303" s="1">
        <v>0</v>
      </c>
      <c r="F22303" s="1">
        <v>7.9815466641125694E-6</v>
      </c>
    </row>
    <row r="22304" spans="1:6" x14ac:dyDescent="0.25">
      <c r="A22304" s="2" t="str">
        <f t="shared" si="791"/>
        <v>45820</v>
      </c>
      <c r="B22304" s="2" t="str">
        <f>"66675"</f>
        <v>66675</v>
      </c>
      <c r="C22304" s="1">
        <v>4.40740371273884E-3</v>
      </c>
      <c r="D22304" s="1">
        <v>1.20963500578521E-2</v>
      </c>
      <c r="E22304" s="1">
        <v>3.6277888626881898E-4</v>
      </c>
      <c r="F22304" s="1">
        <v>4.8128726384598797E-3</v>
      </c>
    </row>
    <row r="22305" spans="1:6" x14ac:dyDescent="0.25">
      <c r="A22305" s="2" t="str">
        <f t="shared" si="791"/>
        <v>45820</v>
      </c>
      <c r="B22305" s="2" t="str">
        <f>"66647"</f>
        <v>66647</v>
      </c>
      <c r="C22305" s="1">
        <v>4.5343659596078598E-5</v>
      </c>
      <c r="D22305" s="1">
        <v>2.1037130535394899E-4</v>
      </c>
      <c r="E22305" s="1">
        <v>1.81389443134409E-4</v>
      </c>
      <c r="F22305" s="1">
        <v>6.3852373312900501E-5</v>
      </c>
    </row>
    <row r="22306" spans="1:6" x14ac:dyDescent="0.25">
      <c r="A22306" s="2" t="str">
        <f t="shared" si="791"/>
        <v>45820</v>
      </c>
      <c r="B22306" s="2" t="str">
        <f>"66622"</f>
        <v>66622</v>
      </c>
      <c r="C22306" s="1">
        <v>0</v>
      </c>
      <c r="D22306" s="1">
        <v>1.0518565267697399E-4</v>
      </c>
      <c r="E22306" s="1">
        <v>0</v>
      </c>
      <c r="F22306" s="1">
        <v>7.9815466641125694E-6</v>
      </c>
    </row>
    <row r="22307" spans="1:6" x14ac:dyDescent="0.25">
      <c r="A22307" s="2" t="str">
        <f t="shared" si="791"/>
        <v>45820</v>
      </c>
      <c r="B22307" s="2" t="str">
        <f>"66618"</f>
        <v>66618</v>
      </c>
      <c r="C22307" s="1">
        <v>3.4134706943927999E-2</v>
      </c>
      <c r="D22307" s="1">
        <v>2.3456400546965302E-2</v>
      </c>
      <c r="E22307" s="1">
        <v>1.92272809722474E-2</v>
      </c>
      <c r="F22307" s="1">
        <v>3.2668470496212701E-2</v>
      </c>
    </row>
    <row r="22308" spans="1:6" x14ac:dyDescent="0.25">
      <c r="A22308" s="2" t="str">
        <f t="shared" si="791"/>
        <v>45820</v>
      </c>
      <c r="B22308" s="2" t="str">
        <f>"66615"</f>
        <v>66615</v>
      </c>
      <c r="C22308" s="1">
        <v>1.48727203475138E-2</v>
      </c>
      <c r="D22308" s="1">
        <v>1.40948774587146E-2</v>
      </c>
      <c r="E22308" s="1">
        <v>1.6506439325231201E-2</v>
      </c>
      <c r="F22308" s="1">
        <v>1.48855845285699E-2</v>
      </c>
    </row>
    <row r="22309" spans="1:6" x14ac:dyDescent="0.25">
      <c r="A22309" s="2" t="str">
        <f t="shared" si="791"/>
        <v>45820</v>
      </c>
      <c r="B22309" s="2" t="str">
        <f>"66614"</f>
        <v>66614</v>
      </c>
      <c r="C22309" s="1">
        <v>0.13548685487308301</v>
      </c>
      <c r="D22309" s="1">
        <v>9.2668560008414794E-2</v>
      </c>
      <c r="E22309" s="1">
        <v>0.17449664429530201</v>
      </c>
      <c r="F22309" s="1">
        <v>0.13395429766380099</v>
      </c>
    </row>
    <row r="22310" spans="1:6" x14ac:dyDescent="0.25">
      <c r="A22310" s="2" t="str">
        <f t="shared" si="791"/>
        <v>45820</v>
      </c>
      <c r="B22310" s="2" t="str">
        <f>"66536"</f>
        <v>66536</v>
      </c>
      <c r="C22310" s="1">
        <v>4.62505327880002E-4</v>
      </c>
      <c r="D22310" s="1">
        <v>0</v>
      </c>
      <c r="E22310" s="1">
        <v>0</v>
      </c>
      <c r="F22310" s="1">
        <v>4.07058879869741E-4</v>
      </c>
    </row>
    <row r="22311" spans="1:6" x14ac:dyDescent="0.25">
      <c r="A22311" s="2" t="str">
        <f t="shared" si="791"/>
        <v>45820</v>
      </c>
      <c r="B22311" s="2" t="str">
        <f>"66509"</f>
        <v>66509</v>
      </c>
      <c r="C22311" s="1">
        <v>1.03202169240675E-2</v>
      </c>
      <c r="D22311" s="1">
        <v>3.1555695803092399E-3</v>
      </c>
      <c r="E22311" s="1">
        <v>6.8927988391075598E-3</v>
      </c>
      <c r="F22311" s="1">
        <v>9.6257452769197595E-3</v>
      </c>
    </row>
    <row r="22312" spans="1:6" x14ac:dyDescent="0.25">
      <c r="A22312" s="2" t="str">
        <f t="shared" si="791"/>
        <v>45820</v>
      </c>
      <c r="B22312" s="2" t="str">
        <f>"66543"</f>
        <v>66543</v>
      </c>
      <c r="C22312" s="1">
        <v>3.4279806654635399E-3</v>
      </c>
      <c r="D22312" s="1">
        <v>1.1570421794467199E-3</v>
      </c>
      <c r="E22312" s="1">
        <v>1.63250498820968E-3</v>
      </c>
      <c r="F22312" s="1">
        <v>3.1766555723167999E-3</v>
      </c>
    </row>
    <row r="22313" spans="1:6" x14ac:dyDescent="0.25">
      <c r="A22313" s="2" t="str">
        <f t="shared" si="791"/>
        <v>45820</v>
      </c>
      <c r="B22313" s="2" t="str">
        <f>"66502"</f>
        <v>66502</v>
      </c>
      <c r="C22313" s="1">
        <v>8.1618587272941598E-5</v>
      </c>
      <c r="D22313" s="1">
        <v>0</v>
      </c>
      <c r="E22313" s="1">
        <v>0</v>
      </c>
      <c r="F22313" s="1">
        <v>7.1833919977013096E-5</v>
      </c>
    </row>
    <row r="22314" spans="1:6" x14ac:dyDescent="0.25">
      <c r="A22314" s="2" t="str">
        <f t="shared" si="791"/>
        <v>45820</v>
      </c>
      <c r="B22314" s="2" t="str">
        <f>"66070"</f>
        <v>66070</v>
      </c>
      <c r="C22314" s="1">
        <v>1.0945959426493301E-2</v>
      </c>
      <c r="D22314" s="1">
        <v>2.7348269696013399E-3</v>
      </c>
      <c r="E22314" s="1">
        <v>9.0694721567204702E-4</v>
      </c>
      <c r="F22314" s="1">
        <v>9.8811547701713603E-3</v>
      </c>
    </row>
    <row r="22315" spans="1:6" x14ac:dyDescent="0.25">
      <c r="A22315" s="2" t="str">
        <f t="shared" si="791"/>
        <v>45820</v>
      </c>
      <c r="B22315" s="2" t="str">
        <f>"66088"</f>
        <v>66088</v>
      </c>
      <c r="C22315" s="1">
        <v>9.4768248555804398E-3</v>
      </c>
      <c r="D22315" s="1">
        <v>7.7837382980961304E-3</v>
      </c>
      <c r="E22315" s="1">
        <v>3.4463994195537799E-3</v>
      </c>
      <c r="F22315" s="1">
        <v>9.0830001037601003E-3</v>
      </c>
    </row>
    <row r="22316" spans="1:6" x14ac:dyDescent="0.25">
      <c r="A22316" s="2" t="str">
        <f t="shared" si="791"/>
        <v>45820</v>
      </c>
      <c r="B22316" s="2" t="str">
        <f>"66086"</f>
        <v>66086</v>
      </c>
      <c r="C22316" s="1">
        <v>1.1789351494980399E-4</v>
      </c>
      <c r="D22316" s="1">
        <v>0</v>
      </c>
      <c r="E22316" s="1">
        <v>0</v>
      </c>
      <c r="F22316" s="1">
        <v>1.03760106633463E-4</v>
      </c>
    </row>
    <row r="22317" spans="1:6" x14ac:dyDescent="0.25">
      <c r="A22317" s="2" t="str">
        <f t="shared" si="791"/>
        <v>45820</v>
      </c>
      <c r="B22317" s="2" t="str">
        <f>"66058"</f>
        <v>66058</v>
      </c>
      <c r="C22317" s="1">
        <v>4.5343659596078598E-5</v>
      </c>
      <c r="D22317" s="1">
        <v>0</v>
      </c>
      <c r="E22317" s="1">
        <v>0</v>
      </c>
      <c r="F22317" s="1">
        <v>3.9907733320562798E-5</v>
      </c>
    </row>
    <row r="22318" spans="1:6" x14ac:dyDescent="0.25">
      <c r="A22318" s="2" t="str">
        <f t="shared" si="791"/>
        <v>45820</v>
      </c>
      <c r="B22318" s="2" t="str">
        <f>"66420"</f>
        <v>66420</v>
      </c>
      <c r="C22318" s="1">
        <v>8.1618587272941598E-5</v>
      </c>
      <c r="D22318" s="1">
        <v>0</v>
      </c>
      <c r="E22318" s="1">
        <v>1.81389443134409E-4</v>
      </c>
      <c r="F22318" s="1">
        <v>7.9815466641125704E-5</v>
      </c>
    </row>
    <row r="22319" spans="1:6" x14ac:dyDescent="0.25">
      <c r="A22319" s="2" t="str">
        <f t="shared" si="791"/>
        <v>45820</v>
      </c>
      <c r="B22319" s="2" t="str">
        <f>"66418"</f>
        <v>66418</v>
      </c>
      <c r="C22319" s="1">
        <v>2.1402207329349102E-3</v>
      </c>
      <c r="D22319" s="1">
        <v>6.3111391606184898E-4</v>
      </c>
      <c r="E22319" s="1">
        <v>0</v>
      </c>
      <c r="F22319" s="1">
        <v>1.93153429271524E-3</v>
      </c>
    </row>
    <row r="22320" spans="1:6" x14ac:dyDescent="0.25">
      <c r="A22320" s="2" t="str">
        <f t="shared" si="791"/>
        <v>45820</v>
      </c>
      <c r="B22320" s="2" t="str">
        <f>"66416"</f>
        <v>66416</v>
      </c>
      <c r="C22320" s="1">
        <v>1.98605229030824E-3</v>
      </c>
      <c r="D22320" s="1">
        <v>2.1037130535394899E-4</v>
      </c>
      <c r="E22320" s="1">
        <v>1.81389443134409E-4</v>
      </c>
      <c r="F22320" s="1">
        <v>1.7719033594329899E-3</v>
      </c>
    </row>
    <row r="22321" spans="1:6" x14ac:dyDescent="0.25">
      <c r="A22321" s="2" t="str">
        <f t="shared" si="791"/>
        <v>45820</v>
      </c>
      <c r="B22321" s="2" t="str">
        <f>"66414"</f>
        <v>66414</v>
      </c>
      <c r="C22321" s="1">
        <v>1.1689595443868999E-2</v>
      </c>
      <c r="D22321" s="1">
        <v>2.4192700115704198E-3</v>
      </c>
      <c r="E22321" s="1">
        <v>7.9811354979140194E-3</v>
      </c>
      <c r="F22321" s="1">
        <v>1.08229772765366E-2</v>
      </c>
    </row>
    <row r="22322" spans="1:6" x14ac:dyDescent="0.25">
      <c r="A22322" s="2" t="str">
        <f t="shared" si="791"/>
        <v>45820</v>
      </c>
      <c r="B22322" s="2" t="str">
        <f>"66407"</f>
        <v>66407</v>
      </c>
      <c r="C22322" s="1">
        <v>6.62017430102748E-4</v>
      </c>
      <c r="D22322" s="1">
        <v>0</v>
      </c>
      <c r="E22322" s="1">
        <v>0</v>
      </c>
      <c r="F22322" s="1">
        <v>5.8265290648021697E-4</v>
      </c>
    </row>
    <row r="22323" spans="1:6" x14ac:dyDescent="0.25">
      <c r="A22323" s="2" t="str">
        <f t="shared" si="791"/>
        <v>45820</v>
      </c>
      <c r="B22323" s="2" t="str">
        <f>"66617"</f>
        <v>66617</v>
      </c>
      <c r="C22323" s="1">
        <v>3.3663132884128803E-2</v>
      </c>
      <c r="D22323" s="1">
        <v>1.11496791837593E-2</v>
      </c>
      <c r="E22323" s="1">
        <v>1.83203337565753E-2</v>
      </c>
      <c r="F22323" s="1">
        <v>3.1279681376657098E-2</v>
      </c>
    </row>
    <row r="22324" spans="1:6" x14ac:dyDescent="0.25">
      <c r="A22324" s="2" t="str">
        <f t="shared" si="791"/>
        <v>45820</v>
      </c>
      <c r="B22324" s="2" t="str">
        <f>"66609"</f>
        <v>66609</v>
      </c>
      <c r="C22324" s="1">
        <v>3.5286435897668403E-2</v>
      </c>
      <c r="D22324" s="1">
        <v>3.8182391921741797E-2</v>
      </c>
      <c r="E22324" s="1">
        <v>2.7571195356430201E-2</v>
      </c>
      <c r="F22324" s="1">
        <v>3.5166694602079898E-2</v>
      </c>
    </row>
    <row r="22325" spans="1:6" x14ac:dyDescent="0.25">
      <c r="A22325" s="2" t="str">
        <f t="shared" si="791"/>
        <v>45820</v>
      </c>
      <c r="B22325" s="2" t="str">
        <f>"66526"</f>
        <v>66526</v>
      </c>
      <c r="C22325" s="1">
        <v>3.0289564610180499E-3</v>
      </c>
      <c r="D22325" s="1">
        <v>7.3629956873882399E-4</v>
      </c>
      <c r="E22325" s="1">
        <v>1.8138944313440899E-3</v>
      </c>
      <c r="F22325" s="1">
        <v>2.8015228791035099E-3</v>
      </c>
    </row>
    <row r="22326" spans="1:6" x14ac:dyDescent="0.25">
      <c r="A22326" s="2" t="str">
        <f t="shared" si="791"/>
        <v>45820</v>
      </c>
      <c r="B22326" s="2" t="str">
        <f>"66507"</f>
        <v>66507</v>
      </c>
      <c r="C22326" s="1">
        <v>4.64319074263845E-3</v>
      </c>
      <c r="D22326" s="1">
        <v>5.2592826338487397E-4</v>
      </c>
      <c r="E22326" s="1">
        <v>1.2697261019408599E-3</v>
      </c>
      <c r="F22326" s="1">
        <v>4.1823304519949802E-3</v>
      </c>
    </row>
    <row r="22327" spans="1:6" x14ac:dyDescent="0.25">
      <c r="A22327" s="2" t="str">
        <f t="shared" si="791"/>
        <v>45820</v>
      </c>
      <c r="B22327" s="2" t="str">
        <f>"66601"</f>
        <v>66601</v>
      </c>
      <c r="C22327" s="1">
        <v>2.49390127778432E-3</v>
      </c>
      <c r="D22327" s="1">
        <v>3.3028294940570101E-2</v>
      </c>
      <c r="E22327" s="1">
        <v>1.81389443134409E-4</v>
      </c>
      <c r="F22327" s="1">
        <v>4.7091125318264098E-3</v>
      </c>
    </row>
    <row r="22328" spans="1:6" x14ac:dyDescent="0.25">
      <c r="A22328" s="2" t="str">
        <f t="shared" si="791"/>
        <v>45820</v>
      </c>
      <c r="B22328" s="2" t="str">
        <f>"66608"</f>
        <v>66608</v>
      </c>
      <c r="C22328" s="1">
        <v>2.9518722397047201E-2</v>
      </c>
      <c r="D22328" s="1">
        <v>7.4576627747975105E-2</v>
      </c>
      <c r="E22328" s="1">
        <v>4.8793760203156102E-2</v>
      </c>
      <c r="F22328" s="1">
        <v>3.3785887029188499E-2</v>
      </c>
    </row>
    <row r="22329" spans="1:6" x14ac:dyDescent="0.25">
      <c r="A22329" s="2" t="str">
        <f t="shared" si="791"/>
        <v>45820</v>
      </c>
      <c r="B22329" s="2" t="str">
        <f>"66846"</f>
        <v>66846</v>
      </c>
      <c r="C22329" s="1">
        <v>1.8137463838431401E-5</v>
      </c>
      <c r="D22329" s="1">
        <v>0</v>
      </c>
      <c r="E22329" s="1">
        <v>0</v>
      </c>
      <c r="F22329" s="1">
        <v>1.5963093328225102E-5</v>
      </c>
    </row>
    <row r="22330" spans="1:6" x14ac:dyDescent="0.25">
      <c r="A22330" s="2" t="str">
        <f t="shared" si="791"/>
        <v>45820</v>
      </c>
      <c r="B22330" s="2" t="str">
        <f>"66419"</f>
        <v>66419</v>
      </c>
      <c r="C22330" s="1">
        <v>1.92257116687373E-3</v>
      </c>
      <c r="D22330" s="1">
        <v>1.0518565267697399E-4</v>
      </c>
      <c r="E22330" s="1">
        <v>3.6277888626881898E-4</v>
      </c>
      <c r="F22330" s="1">
        <v>1.7160325327841999E-3</v>
      </c>
    </row>
    <row r="22331" spans="1:6" x14ac:dyDescent="0.25">
      <c r="A22331" s="2" t="str">
        <f t="shared" si="791"/>
        <v>45820</v>
      </c>
      <c r="B22331" s="2" t="str">
        <f>"66431"</f>
        <v>66431</v>
      </c>
      <c r="C22331" s="1">
        <v>2.7478257715223601E-3</v>
      </c>
      <c r="D22331" s="1">
        <v>2.1037130535394899E-4</v>
      </c>
      <c r="E22331" s="1">
        <v>9.0694721567204702E-4</v>
      </c>
      <c r="F22331" s="1">
        <v>2.4742794658748901E-3</v>
      </c>
    </row>
    <row r="22332" spans="1:6" x14ac:dyDescent="0.25">
      <c r="A22332" s="2" t="str">
        <f t="shared" si="791"/>
        <v>45820</v>
      </c>
      <c r="B22332" s="2" t="str">
        <f>"66423"</f>
        <v>66423</v>
      </c>
      <c r="C22332" s="1">
        <v>3.91769218910119E-3</v>
      </c>
      <c r="D22332" s="1">
        <v>1.1570421794467199E-3</v>
      </c>
      <c r="E22332" s="1">
        <v>1.9952838744785001E-3</v>
      </c>
      <c r="F22332" s="1">
        <v>3.6236221855071001E-3</v>
      </c>
    </row>
    <row r="22333" spans="1:6" x14ac:dyDescent="0.25">
      <c r="A22333" s="2" t="str">
        <f t="shared" si="791"/>
        <v>45820</v>
      </c>
      <c r="B22333" s="2" t="str">
        <f>"66401"</f>
        <v>66401</v>
      </c>
      <c r="C22333" s="1">
        <v>9.2229003618424007E-3</v>
      </c>
      <c r="D22333" s="1">
        <v>3.89186914904806E-3</v>
      </c>
      <c r="E22333" s="1">
        <v>2.17667331761291E-3</v>
      </c>
      <c r="F22333" s="1">
        <v>8.5083287439439992E-3</v>
      </c>
    </row>
    <row r="22334" spans="1:6" x14ac:dyDescent="0.25">
      <c r="A22334" s="2" t="str">
        <f t="shared" ref="A22334:A22365" si="792">"45820"</f>
        <v>45820</v>
      </c>
      <c r="B22334" s="2" t="str">
        <f>"66629"</f>
        <v>66629</v>
      </c>
      <c r="C22334" s="1">
        <v>0</v>
      </c>
      <c r="D22334" s="1">
        <v>1.0518565267697399E-4</v>
      </c>
      <c r="E22334" s="1">
        <v>0</v>
      </c>
      <c r="F22334" s="1">
        <v>7.9815466641125694E-6</v>
      </c>
    </row>
    <row r="22335" spans="1:6" x14ac:dyDescent="0.25">
      <c r="A22335" s="2" t="str">
        <f t="shared" si="792"/>
        <v>45820</v>
      </c>
      <c r="B22335" s="2" t="str">
        <f>"66512"</f>
        <v>66512</v>
      </c>
      <c r="C22335" s="1">
        <v>1.39930533513498E-2</v>
      </c>
      <c r="D22335" s="1">
        <v>7.4681813400652103E-3</v>
      </c>
      <c r="E22335" s="1">
        <v>3.9905677489570097E-3</v>
      </c>
      <c r="F22335" s="1">
        <v>1.30578103424881E-2</v>
      </c>
    </row>
    <row r="22336" spans="1:6" x14ac:dyDescent="0.25">
      <c r="A22336" s="2" t="str">
        <f t="shared" si="792"/>
        <v>45820</v>
      </c>
      <c r="B22336" s="2" t="str">
        <f>"66604"</f>
        <v>66604</v>
      </c>
      <c r="C22336" s="1">
        <v>0.10902429513281101</v>
      </c>
      <c r="D22336" s="1">
        <v>0.14252655937729999</v>
      </c>
      <c r="E22336" s="1">
        <v>0.18828224197351701</v>
      </c>
      <c r="F22336" s="1">
        <v>0.115053995163182</v>
      </c>
    </row>
    <row r="22337" spans="1:6" x14ac:dyDescent="0.25">
      <c r="A22337" s="2" t="str">
        <f t="shared" si="792"/>
        <v>45820</v>
      </c>
      <c r="B22337" s="2" t="str">
        <f>"66547"</f>
        <v>66547</v>
      </c>
      <c r="C22337" s="1">
        <v>2.1946331244501998E-3</v>
      </c>
      <c r="D22337" s="1">
        <v>4.2074261070789901E-4</v>
      </c>
      <c r="E22337" s="1">
        <v>2.3580627607473199E-3</v>
      </c>
      <c r="F22337" s="1">
        <v>2.06722058600515E-3</v>
      </c>
    </row>
    <row r="22338" spans="1:6" x14ac:dyDescent="0.25">
      <c r="A22338" s="2" t="str">
        <f t="shared" si="792"/>
        <v>45820</v>
      </c>
      <c r="B22338" s="2" t="str">
        <f>"66002"</f>
        <v>66002</v>
      </c>
      <c r="C22338" s="1">
        <v>3.4461181293019699E-4</v>
      </c>
      <c r="D22338" s="1">
        <v>2.1037130535394899E-4</v>
      </c>
      <c r="E22338" s="1">
        <v>0</v>
      </c>
      <c r="F22338" s="1">
        <v>3.19261866564502E-4</v>
      </c>
    </row>
    <row r="22339" spans="1:6" x14ac:dyDescent="0.25">
      <c r="A22339" s="2" t="str">
        <f t="shared" si="792"/>
        <v>45820</v>
      </c>
      <c r="B22339" s="2" t="str">
        <f>"66073"</f>
        <v>66073</v>
      </c>
      <c r="C22339" s="1">
        <v>8.6425015190125902E-3</v>
      </c>
      <c r="D22339" s="1">
        <v>6.2059535079415102E-3</v>
      </c>
      <c r="E22339" s="1">
        <v>1.8138944313440899E-3</v>
      </c>
      <c r="F22339" s="1">
        <v>8.1571406907230398E-3</v>
      </c>
    </row>
    <row r="22340" spans="1:6" x14ac:dyDescent="0.25">
      <c r="A22340" s="2" t="str">
        <f t="shared" si="792"/>
        <v>45820</v>
      </c>
      <c r="B22340" s="2" t="str">
        <f>"66060"</f>
        <v>66060</v>
      </c>
      <c r="C22340" s="1">
        <v>3.2919496866753101E-3</v>
      </c>
      <c r="D22340" s="1">
        <v>2.7348269696013399E-3</v>
      </c>
      <c r="E22340" s="1">
        <v>5.4416832940322804E-4</v>
      </c>
      <c r="F22340" s="1">
        <v>3.1287662923321202E-3</v>
      </c>
    </row>
    <row r="22341" spans="1:6" x14ac:dyDescent="0.25">
      <c r="A22341" s="2" t="str">
        <f t="shared" si="792"/>
        <v>45820</v>
      </c>
      <c r="B22341" s="2" t="str">
        <f>"66439"</f>
        <v>66439</v>
      </c>
      <c r="C22341" s="1">
        <v>2.72061957576472E-5</v>
      </c>
      <c r="D22341" s="1">
        <v>0</v>
      </c>
      <c r="E22341" s="1">
        <v>0</v>
      </c>
      <c r="F22341" s="1">
        <v>2.39446399923377E-5</v>
      </c>
    </row>
    <row r="22342" spans="1:6" x14ac:dyDescent="0.25">
      <c r="A22342" s="2" t="str">
        <f t="shared" si="792"/>
        <v>45820</v>
      </c>
      <c r="B22342" s="2" t="str">
        <f>"66683"</f>
        <v>66683</v>
      </c>
      <c r="C22342" s="1">
        <v>0</v>
      </c>
      <c r="D22342" s="1">
        <v>2.5244556642473898E-3</v>
      </c>
      <c r="E22342" s="1">
        <v>5.4416832940322804E-4</v>
      </c>
      <c r="F22342" s="1">
        <v>2.1550175993103899E-4</v>
      </c>
    </row>
    <row r="22343" spans="1:6" x14ac:dyDescent="0.25">
      <c r="A22343" s="2" t="str">
        <f t="shared" si="792"/>
        <v>45820</v>
      </c>
      <c r="B22343" s="2" t="str">
        <f>"66626"</f>
        <v>66626</v>
      </c>
      <c r="C22343" s="1">
        <v>0</v>
      </c>
      <c r="D22343" s="1">
        <v>1.0518565267697399E-4</v>
      </c>
      <c r="E22343" s="1">
        <v>0</v>
      </c>
      <c r="F22343" s="1">
        <v>7.9815466641125694E-6</v>
      </c>
    </row>
    <row r="22344" spans="1:6" x14ac:dyDescent="0.25">
      <c r="A22344" s="2" t="str">
        <f t="shared" si="792"/>
        <v>45820</v>
      </c>
      <c r="B22344" s="2" t="str">
        <f>"66624"</f>
        <v>66624</v>
      </c>
      <c r="C22344" s="1">
        <v>0</v>
      </c>
      <c r="D22344" s="1">
        <v>2.1037130535394899E-4</v>
      </c>
      <c r="E22344" s="1">
        <v>0</v>
      </c>
      <c r="F22344" s="1">
        <v>1.5963093328225102E-5</v>
      </c>
    </row>
    <row r="22345" spans="1:6" x14ac:dyDescent="0.25">
      <c r="A22345" s="2" t="str">
        <f t="shared" si="792"/>
        <v>45820</v>
      </c>
      <c r="B22345" s="2" t="str">
        <f>"66611"</f>
        <v>66611</v>
      </c>
      <c r="C22345" s="1">
        <v>4.5189491153451999E-2</v>
      </c>
      <c r="D22345" s="1">
        <v>5.3434311559903198E-2</v>
      </c>
      <c r="E22345" s="1">
        <v>9.1238889896608E-2</v>
      </c>
      <c r="F22345" s="1">
        <v>4.7841390704690699E-2</v>
      </c>
    </row>
    <row r="22346" spans="1:6" x14ac:dyDescent="0.25">
      <c r="A22346" s="2" t="str">
        <f t="shared" si="792"/>
        <v>45820</v>
      </c>
      <c r="B22346" s="2" t="str">
        <f>"66528"</f>
        <v>66528</v>
      </c>
      <c r="C22346" s="1">
        <v>2.9382691418258899E-3</v>
      </c>
      <c r="D22346" s="1">
        <v>4.2074261070789901E-4</v>
      </c>
      <c r="E22346" s="1">
        <v>3.6277888626881898E-3</v>
      </c>
      <c r="F22346" s="1">
        <v>2.7775782391111698E-3</v>
      </c>
    </row>
    <row r="22347" spans="1:6" x14ac:dyDescent="0.25">
      <c r="A22347" s="2" t="str">
        <f t="shared" si="792"/>
        <v>45820</v>
      </c>
      <c r="B22347" s="2" t="str">
        <f>"66523"</f>
        <v>66523</v>
      </c>
      <c r="C22347" s="1">
        <v>1.6777154050549099E-2</v>
      </c>
      <c r="D22347" s="1">
        <v>1.93541600925633E-2</v>
      </c>
      <c r="E22347" s="1">
        <v>1.88645020859785E-2</v>
      </c>
      <c r="F22347" s="1">
        <v>1.7064546767872599E-2</v>
      </c>
    </row>
    <row r="22348" spans="1:6" x14ac:dyDescent="0.25">
      <c r="A22348" s="2" t="str">
        <f t="shared" si="792"/>
        <v>45820</v>
      </c>
      <c r="B22348" s="2" t="str">
        <f>"66451"</f>
        <v>66451</v>
      </c>
      <c r="C22348" s="1">
        <v>7.8535218420408195E-3</v>
      </c>
      <c r="D22348" s="1">
        <v>2.3140843588934398E-3</v>
      </c>
      <c r="E22348" s="1">
        <v>4.35334663522582E-3</v>
      </c>
      <c r="F22348" s="1">
        <v>7.2791705576706603E-3</v>
      </c>
    </row>
    <row r="22349" spans="1:6" x14ac:dyDescent="0.25">
      <c r="A22349" s="2" t="str">
        <f t="shared" si="792"/>
        <v>45820</v>
      </c>
      <c r="B22349" s="2" t="str">
        <f>"66095"</f>
        <v>66095</v>
      </c>
      <c r="C22349" s="1">
        <v>5.4412391515294401E-5</v>
      </c>
      <c r="D22349" s="1">
        <v>0</v>
      </c>
      <c r="E22349" s="1">
        <v>0</v>
      </c>
      <c r="F22349" s="1">
        <v>4.78892799846754E-5</v>
      </c>
    </row>
    <row r="22350" spans="1:6" x14ac:dyDescent="0.25">
      <c r="A22350" s="2" t="str">
        <f t="shared" si="792"/>
        <v>45820</v>
      </c>
      <c r="B22350" s="2" t="str">
        <f>"66871"</f>
        <v>66871</v>
      </c>
      <c r="C22350" s="1">
        <v>1.2696224686902001E-4</v>
      </c>
      <c r="D22350" s="1">
        <v>0</v>
      </c>
      <c r="E22350" s="1">
        <v>0</v>
      </c>
      <c r="F22350" s="1">
        <v>1.11741653297576E-4</v>
      </c>
    </row>
    <row r="22351" spans="1:6" x14ac:dyDescent="0.25">
      <c r="A22351" s="2" t="str">
        <f t="shared" si="792"/>
        <v>45820</v>
      </c>
      <c r="B22351" s="2" t="str">
        <f>"66432"</f>
        <v>66432</v>
      </c>
      <c r="C22351" s="1">
        <v>2.9019942141490302E-4</v>
      </c>
      <c r="D22351" s="1">
        <v>0</v>
      </c>
      <c r="E22351" s="1">
        <v>1.81389443134409E-4</v>
      </c>
      <c r="F22351" s="1">
        <v>2.6339103991571399E-4</v>
      </c>
    </row>
    <row r="22352" spans="1:6" x14ac:dyDescent="0.25">
      <c r="A22352" s="2" t="str">
        <f t="shared" si="792"/>
        <v>45820</v>
      </c>
      <c r="B22352" s="2" t="str">
        <f>"66409"</f>
        <v>66409</v>
      </c>
      <c r="C22352" s="1">
        <v>1.10729216733624E-2</v>
      </c>
      <c r="D22352" s="1">
        <v>9.4667087409277303E-4</v>
      </c>
      <c r="E22352" s="1">
        <v>1.2697261019408599E-3</v>
      </c>
      <c r="F22352" s="1">
        <v>9.8731732235072499E-3</v>
      </c>
    </row>
    <row r="22353" spans="1:6" x14ac:dyDescent="0.25">
      <c r="A22353" s="2" t="str">
        <f t="shared" si="792"/>
        <v>45820</v>
      </c>
      <c r="B22353" s="2" t="str">
        <f>"66524"</f>
        <v>66524</v>
      </c>
      <c r="C22353" s="1">
        <v>9.9030552557835792E-3</v>
      </c>
      <c r="D22353" s="1">
        <v>1.4725991374776399E-3</v>
      </c>
      <c r="E22353" s="1">
        <v>3.4463994195537799E-3</v>
      </c>
      <c r="F22353" s="1">
        <v>8.9792399971266399E-3</v>
      </c>
    </row>
    <row r="22354" spans="1:6" x14ac:dyDescent="0.25">
      <c r="A22354" s="2" t="str">
        <f t="shared" si="792"/>
        <v>45820</v>
      </c>
      <c r="B22354" s="2" t="str">
        <f>"66607"</f>
        <v>66607</v>
      </c>
      <c r="C22354" s="1">
        <v>3.7517343949795501E-2</v>
      </c>
      <c r="D22354" s="1">
        <v>3.7446092353003002E-2</v>
      </c>
      <c r="E22354" s="1">
        <v>1.9408670415381801E-2</v>
      </c>
      <c r="F22354" s="1">
        <v>3.6715114654917801E-2</v>
      </c>
    </row>
    <row r="22355" spans="1:6" x14ac:dyDescent="0.25">
      <c r="A22355" s="2" t="str">
        <f t="shared" si="792"/>
        <v>45820</v>
      </c>
      <c r="B22355" s="2" t="str">
        <f>"66606"</f>
        <v>66606</v>
      </c>
      <c r="C22355" s="1">
        <v>5.3777580280949297E-2</v>
      </c>
      <c r="D22355" s="1">
        <v>4.2389818028820803E-2</v>
      </c>
      <c r="E22355" s="1">
        <v>7.4913840014511096E-2</v>
      </c>
      <c r="F22355" s="1">
        <v>5.3843513796103401E-2</v>
      </c>
    </row>
    <row r="22356" spans="1:6" x14ac:dyDescent="0.25">
      <c r="A22356" s="2" t="str">
        <f t="shared" si="792"/>
        <v>45820</v>
      </c>
      <c r="B22356" s="2" t="str">
        <f>"66546"</f>
        <v>66546</v>
      </c>
      <c r="C22356" s="1">
        <v>4.40740371273884E-3</v>
      </c>
      <c r="D22356" s="1">
        <v>1.0518565267697399E-3</v>
      </c>
      <c r="E22356" s="1">
        <v>1.8138944313440899E-3</v>
      </c>
      <c r="F22356" s="1">
        <v>4.0386626120409597E-3</v>
      </c>
    </row>
    <row r="22357" spans="1:6" x14ac:dyDescent="0.25">
      <c r="A22357" s="2" t="str">
        <f t="shared" si="792"/>
        <v>45820</v>
      </c>
      <c r="B22357" s="2" t="str">
        <f>"66542"</f>
        <v>66542</v>
      </c>
      <c r="C22357" s="1">
        <v>1.2532987512356099E-2</v>
      </c>
      <c r="D22357" s="1">
        <v>2.1037130535394898E-3</v>
      </c>
      <c r="E22357" s="1">
        <v>1.63250498820968E-3</v>
      </c>
      <c r="F22357" s="1">
        <v>1.1261962343062801E-2</v>
      </c>
    </row>
    <row r="22358" spans="1:6" x14ac:dyDescent="0.25">
      <c r="A22358" s="2" t="str">
        <f t="shared" si="792"/>
        <v>45820</v>
      </c>
      <c r="B22358" s="2" t="str">
        <f>"66539"</f>
        <v>66539</v>
      </c>
      <c r="C22358" s="1">
        <v>1.04381104390173E-2</v>
      </c>
      <c r="D22358" s="1">
        <v>2.8400126222783199E-3</v>
      </c>
      <c r="E22358" s="1">
        <v>3.4463994195537799E-3</v>
      </c>
      <c r="F22358" s="1">
        <v>9.5539113569427393E-3</v>
      </c>
    </row>
    <row r="22359" spans="1:6" x14ac:dyDescent="0.25">
      <c r="A22359" s="2" t="str">
        <f t="shared" si="792"/>
        <v>45820</v>
      </c>
      <c r="B22359" s="2" t="str">
        <f>"66440"</f>
        <v>66440</v>
      </c>
      <c r="C22359" s="1">
        <v>7.5451849567874903E-3</v>
      </c>
      <c r="D22359" s="1">
        <v>1.68297044283159E-3</v>
      </c>
      <c r="E22359" s="1">
        <v>1.2697261019408599E-3</v>
      </c>
      <c r="F22359" s="1">
        <v>6.8242223978162396E-3</v>
      </c>
    </row>
    <row r="22360" spans="1:6" x14ac:dyDescent="0.25">
      <c r="A22360" s="2" t="str">
        <f t="shared" si="792"/>
        <v>45820</v>
      </c>
      <c r="B22360" s="2" t="str">
        <f>"66044"</f>
        <v>66044</v>
      </c>
      <c r="C22360" s="1">
        <v>2.23997678404628E-3</v>
      </c>
      <c r="D22360" s="1">
        <v>6.3111391606184898E-4</v>
      </c>
      <c r="E22360" s="1">
        <v>0</v>
      </c>
      <c r="F22360" s="1">
        <v>2.0193313060204799E-3</v>
      </c>
    </row>
    <row r="22361" spans="1:6" x14ac:dyDescent="0.25">
      <c r="A22361" s="2" t="str">
        <f t="shared" si="792"/>
        <v>45820</v>
      </c>
      <c r="B22361" s="2" t="str">
        <f>"66066"</f>
        <v>66066</v>
      </c>
      <c r="C22361" s="1">
        <v>1.06285538093208E-2</v>
      </c>
      <c r="D22361" s="1">
        <v>4.10224045440201E-3</v>
      </c>
      <c r="E22361" s="1">
        <v>3.4463994195537799E-3</v>
      </c>
      <c r="F22361" s="1">
        <v>9.8173023968584593E-3</v>
      </c>
    </row>
    <row r="22362" spans="1:6" x14ac:dyDescent="0.25">
      <c r="A22362" s="2" t="str">
        <f t="shared" si="792"/>
        <v>45820</v>
      </c>
      <c r="B22362" s="2" t="str">
        <f>"66050"</f>
        <v>66050</v>
      </c>
      <c r="C22362" s="1">
        <v>2.2671829798039301E-4</v>
      </c>
      <c r="D22362" s="1">
        <v>0</v>
      </c>
      <c r="E22362" s="1">
        <v>0</v>
      </c>
      <c r="F22362" s="1">
        <v>1.9953866660281399E-4</v>
      </c>
    </row>
    <row r="22363" spans="1:6" x14ac:dyDescent="0.25">
      <c r="A22363" s="2" t="str">
        <f t="shared" si="792"/>
        <v>45820</v>
      </c>
      <c r="B22363" s="2" t="str">
        <f>"66054"</f>
        <v>66054</v>
      </c>
      <c r="C22363" s="1">
        <v>8.2706835103247504E-3</v>
      </c>
      <c r="D22363" s="1">
        <v>1.78815609550857E-3</v>
      </c>
      <c r="E22363" s="1">
        <v>3.0836205332849601E-3</v>
      </c>
      <c r="F22363" s="1">
        <v>7.5505431442504899E-3</v>
      </c>
    </row>
    <row r="22364" spans="1:6" x14ac:dyDescent="0.25">
      <c r="A22364" s="2" t="str">
        <f t="shared" si="792"/>
        <v>45820</v>
      </c>
      <c r="B22364" s="2" t="str">
        <f>"66402"</f>
        <v>66402</v>
      </c>
      <c r="C22364" s="1">
        <v>1.1009440549927901E-2</v>
      </c>
      <c r="D22364" s="1">
        <v>1.3674134848006699E-3</v>
      </c>
      <c r="E22364" s="1">
        <v>6.7114093959731499E-3</v>
      </c>
      <c r="F22364" s="1">
        <v>1.00886749834382E-2</v>
      </c>
    </row>
    <row r="22365" spans="1:6" x14ac:dyDescent="0.25">
      <c r="A22365" s="2" t="str">
        <f t="shared" si="792"/>
        <v>45820</v>
      </c>
      <c r="B22365" s="2" t="str">
        <f>"66630"</f>
        <v>66630</v>
      </c>
      <c r="C22365" s="1">
        <v>0</v>
      </c>
      <c r="D22365" s="1">
        <v>1.0518565267697399E-4</v>
      </c>
      <c r="E22365" s="1">
        <v>0</v>
      </c>
      <c r="F22365" s="1">
        <v>7.9815466641125694E-6</v>
      </c>
    </row>
    <row r="22366" spans="1:6" x14ac:dyDescent="0.25">
      <c r="A22366" s="2" t="str">
        <f t="shared" ref="A22366:A22391" si="793">"45820"</f>
        <v>45820</v>
      </c>
      <c r="B22366" s="2" t="str">
        <f>"66619"</f>
        <v>66619</v>
      </c>
      <c r="C22366" s="1">
        <v>1.14538084139694E-2</v>
      </c>
      <c r="D22366" s="1">
        <v>9.4667087409277297E-3</v>
      </c>
      <c r="E22366" s="1">
        <v>1.63250498820968E-3</v>
      </c>
      <c r="F22366" s="1">
        <v>1.0870866556521299E-2</v>
      </c>
    </row>
    <row r="22367" spans="1:6" x14ac:dyDescent="0.25">
      <c r="A22367" s="2" t="str">
        <f t="shared" si="793"/>
        <v>45820</v>
      </c>
      <c r="B22367" s="2" t="str">
        <f>"66616"</f>
        <v>66616</v>
      </c>
      <c r="C22367" s="1">
        <v>2.52382809311773E-2</v>
      </c>
      <c r="D22367" s="1">
        <v>1.251709266856E-2</v>
      </c>
      <c r="E22367" s="1">
        <v>6.1672410665699201E-3</v>
      </c>
      <c r="F22367" s="1">
        <v>2.34338210058345E-2</v>
      </c>
    </row>
    <row r="22368" spans="1:6" x14ac:dyDescent="0.25">
      <c r="A22368" s="2" t="str">
        <f t="shared" si="793"/>
        <v>45820</v>
      </c>
      <c r="B22368" s="2" t="str">
        <f>"66516"</f>
        <v>66516</v>
      </c>
      <c r="C22368" s="1">
        <v>1.3240348602054899E-3</v>
      </c>
      <c r="D22368" s="1">
        <v>8.4148522141579802E-4</v>
      </c>
      <c r="E22368" s="1">
        <v>7.2555777253763797E-4</v>
      </c>
      <c r="F22368" s="1">
        <v>1.2610843729297799E-3</v>
      </c>
    </row>
    <row r="22369" spans="1:6" x14ac:dyDescent="0.25">
      <c r="A22369" s="2" t="str">
        <f t="shared" si="793"/>
        <v>45820</v>
      </c>
      <c r="B22369" s="2" t="str">
        <f>"66550"</f>
        <v>66550</v>
      </c>
      <c r="C22369" s="1">
        <v>1.7230590646509801E-4</v>
      </c>
      <c r="D22369" s="1">
        <v>0</v>
      </c>
      <c r="E22369" s="1">
        <v>0</v>
      </c>
      <c r="F22369" s="1">
        <v>1.5164938661813799E-4</v>
      </c>
    </row>
    <row r="22370" spans="1:6" x14ac:dyDescent="0.25">
      <c r="A22370" s="2" t="str">
        <f t="shared" si="793"/>
        <v>45820</v>
      </c>
      <c r="B22370" s="2" t="str">
        <f>"66537"</f>
        <v>66537</v>
      </c>
      <c r="C22370" s="1">
        <v>6.13953150930905E-3</v>
      </c>
      <c r="D22370" s="1">
        <v>1.0518565267697399E-3</v>
      </c>
      <c r="E22370" s="1">
        <v>1.9952838744785001E-3</v>
      </c>
      <c r="F22370" s="1">
        <v>5.5711195715505701E-3</v>
      </c>
    </row>
    <row r="22371" spans="1:6" x14ac:dyDescent="0.25">
      <c r="A22371" s="2" t="str">
        <f t="shared" si="793"/>
        <v>45820</v>
      </c>
      <c r="B22371" s="2" t="str">
        <f>"66552"</f>
        <v>66552</v>
      </c>
      <c r="C22371" s="1">
        <v>2.0223272179851E-3</v>
      </c>
      <c r="D22371" s="1">
        <v>6.3111391606184898E-4</v>
      </c>
      <c r="E22371" s="1">
        <v>1.81389443134409E-4</v>
      </c>
      <c r="F22371" s="1">
        <v>1.8357557327458899E-3</v>
      </c>
    </row>
    <row r="22372" spans="1:6" x14ac:dyDescent="0.25">
      <c r="A22372" s="2" t="str">
        <f t="shared" si="793"/>
        <v>45820</v>
      </c>
      <c r="B22372" s="2" t="str">
        <f>"66501"</f>
        <v>66501</v>
      </c>
      <c r="C22372" s="1">
        <v>2.72061957576472E-5</v>
      </c>
      <c r="D22372" s="1">
        <v>0</v>
      </c>
      <c r="E22372" s="1">
        <v>1.81389443134409E-4</v>
      </c>
      <c r="F22372" s="1">
        <v>3.1926186656450203E-5</v>
      </c>
    </row>
    <row r="22373" spans="1:6" x14ac:dyDescent="0.25">
      <c r="A22373" s="2" t="str">
        <f t="shared" si="793"/>
        <v>45820</v>
      </c>
      <c r="B22373" s="2" t="str">
        <f>"66429"</f>
        <v>66429</v>
      </c>
      <c r="C22373" s="1">
        <v>2.3034579074807898E-3</v>
      </c>
      <c r="D22373" s="1">
        <v>9.4667087409277303E-4</v>
      </c>
      <c r="E22373" s="1">
        <v>0</v>
      </c>
      <c r="F22373" s="1">
        <v>2.0991467726616002E-3</v>
      </c>
    </row>
    <row r="22374" spans="1:6" x14ac:dyDescent="0.25">
      <c r="A22374" s="2" t="str">
        <f t="shared" si="793"/>
        <v>45820</v>
      </c>
      <c r="B22374" s="2" t="str">
        <f>"66436"</f>
        <v>66436</v>
      </c>
      <c r="C22374" s="1">
        <v>2.3451740743091799E-2</v>
      </c>
      <c r="D22374" s="1">
        <v>3.5657936257494402E-2</v>
      </c>
      <c r="E22374" s="1">
        <v>2.06783965173226E-2</v>
      </c>
      <c r="F22374" s="1">
        <v>2.42559203122381E-2</v>
      </c>
    </row>
    <row r="22375" spans="1:6" x14ac:dyDescent="0.25">
      <c r="A22375" s="2" t="str">
        <f t="shared" si="793"/>
        <v>45820</v>
      </c>
      <c r="B22375" s="2" t="str">
        <f>"66636"</f>
        <v>66636</v>
      </c>
      <c r="C22375" s="1">
        <v>0</v>
      </c>
      <c r="D22375" s="1">
        <v>4.2074261070789901E-4</v>
      </c>
      <c r="E22375" s="1">
        <v>0</v>
      </c>
      <c r="F22375" s="1">
        <v>3.1926186656450203E-5</v>
      </c>
    </row>
    <row r="22376" spans="1:6" x14ac:dyDescent="0.25">
      <c r="A22376" s="2" t="str">
        <f t="shared" si="793"/>
        <v>45820</v>
      </c>
      <c r="B22376" s="2" t="str">
        <f>"66625"</f>
        <v>66625</v>
      </c>
      <c r="C22376" s="1">
        <v>0</v>
      </c>
      <c r="D22376" s="1">
        <v>1.0518565267697399E-4</v>
      </c>
      <c r="E22376" s="1">
        <v>0</v>
      </c>
      <c r="F22376" s="1">
        <v>7.9815466641125694E-6</v>
      </c>
    </row>
    <row r="22377" spans="1:6" x14ac:dyDescent="0.25">
      <c r="A22377" s="2" t="str">
        <f t="shared" si="793"/>
        <v>45820</v>
      </c>
      <c r="B22377" s="2" t="str">
        <f>"66621"</f>
        <v>66621</v>
      </c>
      <c r="C22377" s="1">
        <v>0</v>
      </c>
      <c r="D22377" s="1">
        <v>7.7837382980961295E-2</v>
      </c>
      <c r="E22377" s="1">
        <v>1.4511155450752701E-3</v>
      </c>
      <c r="F22377" s="1">
        <v>5.9701969047562002E-3</v>
      </c>
    </row>
    <row r="22378" spans="1:6" x14ac:dyDescent="0.25">
      <c r="A22378" s="2" t="str">
        <f t="shared" si="793"/>
        <v>45820</v>
      </c>
      <c r="B22378" s="2" t="str">
        <f>"66612"</f>
        <v>66612</v>
      </c>
      <c r="C22378" s="1">
        <v>1.4582520926098901E-2</v>
      </c>
      <c r="D22378" s="1">
        <v>5.1225412853686703E-2</v>
      </c>
      <c r="E22378" s="1">
        <v>6.3849083983312099E-2</v>
      </c>
      <c r="F22378" s="1">
        <v>1.9530844687083399E-2</v>
      </c>
    </row>
    <row r="22379" spans="1:6" x14ac:dyDescent="0.25">
      <c r="A22379" s="2" t="str">
        <f t="shared" si="793"/>
        <v>45820</v>
      </c>
      <c r="B22379" s="2" t="str">
        <f>"66510"</f>
        <v>66510</v>
      </c>
      <c r="C22379" s="1">
        <v>3.6909738911208002E-3</v>
      </c>
      <c r="D22379" s="1">
        <v>3.78668349637109E-3</v>
      </c>
      <c r="E22379" s="1">
        <v>1.4511155450752701E-3</v>
      </c>
      <c r="F22379" s="1">
        <v>3.59967754551476E-3</v>
      </c>
    </row>
    <row r="22380" spans="1:6" x14ac:dyDescent="0.25">
      <c r="A22380" s="2" t="str">
        <f t="shared" si="793"/>
        <v>45820</v>
      </c>
      <c r="B22380" s="2" t="str">
        <f>"66868"</f>
        <v>66868</v>
      </c>
      <c r="C22380" s="1">
        <v>2.4485576181882399E-4</v>
      </c>
      <c r="D22380" s="1">
        <v>0</v>
      </c>
      <c r="E22380" s="1">
        <v>0</v>
      </c>
      <c r="F22380" s="1">
        <v>2.1550175993103899E-4</v>
      </c>
    </row>
    <row r="22381" spans="1:6" x14ac:dyDescent="0.25">
      <c r="A22381" s="2" t="str">
        <f t="shared" si="793"/>
        <v>45820</v>
      </c>
      <c r="B22381" s="2" t="str">
        <f>"66856"</f>
        <v>66856</v>
      </c>
      <c r="C22381" s="1">
        <v>1.0791790983866699E-3</v>
      </c>
      <c r="D22381" s="1">
        <v>3.15556958030924E-4</v>
      </c>
      <c r="E22381" s="1">
        <v>3.6277888626881898E-4</v>
      </c>
      <c r="F22381" s="1">
        <v>9.8971178634995791E-4</v>
      </c>
    </row>
    <row r="22382" spans="1:6" x14ac:dyDescent="0.25">
      <c r="A22382" s="2" t="str">
        <f t="shared" si="793"/>
        <v>45820</v>
      </c>
      <c r="B22382" s="2" t="str">
        <f>"66834"</f>
        <v>66834</v>
      </c>
      <c r="C22382" s="1">
        <v>2.9745440695027599E-3</v>
      </c>
      <c r="D22382" s="1">
        <v>6.3111391606184898E-4</v>
      </c>
      <c r="E22382" s="1">
        <v>5.4416832940322804E-4</v>
      </c>
      <c r="F22382" s="1">
        <v>2.68978122580593E-3</v>
      </c>
    </row>
    <row r="22383" spans="1:6" x14ac:dyDescent="0.25">
      <c r="A22383" s="2" t="str">
        <f t="shared" si="793"/>
        <v>45820</v>
      </c>
      <c r="B22383" s="2" t="str">
        <f>"66422"</f>
        <v>66422</v>
      </c>
      <c r="C22383" s="1">
        <v>3.5368054484941303E-4</v>
      </c>
      <c r="D22383" s="1">
        <v>0</v>
      </c>
      <c r="E22383" s="1">
        <v>0</v>
      </c>
      <c r="F22383" s="1">
        <v>3.1128031990039002E-4</v>
      </c>
    </row>
    <row r="22384" spans="1:6" x14ac:dyDescent="0.25">
      <c r="A22384" s="2" t="str">
        <f t="shared" si="793"/>
        <v>45820</v>
      </c>
      <c r="B22384" s="2" t="str">
        <f>"66667"</f>
        <v>66667</v>
      </c>
      <c r="C22384" s="1">
        <v>1.5507531581858899E-3</v>
      </c>
      <c r="D22384" s="1">
        <v>1.19911644051751E-2</v>
      </c>
      <c r="E22384" s="1">
        <v>3.6277888626881898E-4</v>
      </c>
      <c r="F22384" s="1">
        <v>2.2907038926002999E-3</v>
      </c>
    </row>
    <row r="22385" spans="1:6" x14ac:dyDescent="0.25">
      <c r="A22385" s="2" t="str">
        <f t="shared" si="793"/>
        <v>45820</v>
      </c>
      <c r="B22385" s="2" t="str">
        <f>"66620"</f>
        <v>66620</v>
      </c>
      <c r="C22385" s="1">
        <v>0</v>
      </c>
      <c r="D22385" s="1">
        <v>4.2074261070789901E-4</v>
      </c>
      <c r="E22385" s="1">
        <v>1.81389443134409E-4</v>
      </c>
      <c r="F22385" s="1">
        <v>3.9907733320562798E-5</v>
      </c>
    </row>
    <row r="22386" spans="1:6" x14ac:dyDescent="0.25">
      <c r="A22386" s="2" t="str">
        <f t="shared" si="793"/>
        <v>45820</v>
      </c>
      <c r="B22386" s="2" t="str">
        <f>"66610"</f>
        <v>66610</v>
      </c>
      <c r="C22386" s="1">
        <v>3.5186679846556997E-2</v>
      </c>
      <c r="D22386" s="1">
        <v>3.0503839276322699E-3</v>
      </c>
      <c r="E22386" s="1">
        <v>1.9952838744785001E-3</v>
      </c>
      <c r="F22386" s="1">
        <v>3.1287662923321198E-2</v>
      </c>
    </row>
    <row r="22387" spans="1:6" x14ac:dyDescent="0.25">
      <c r="A22387" s="2" t="str">
        <f t="shared" si="793"/>
        <v>45820</v>
      </c>
      <c r="B22387" s="2" t="str">
        <f>"66533"</f>
        <v>66533</v>
      </c>
      <c r="C22387" s="1">
        <v>6.5657619095121902E-3</v>
      </c>
      <c r="D22387" s="1">
        <v>2.3140843588934398E-3</v>
      </c>
      <c r="E22387" s="1">
        <v>3.8091783058226002E-3</v>
      </c>
      <c r="F22387" s="1">
        <v>6.1218462913743398E-3</v>
      </c>
    </row>
    <row r="22388" spans="1:6" x14ac:dyDescent="0.25">
      <c r="A22388" s="2" t="str">
        <f t="shared" si="793"/>
        <v>45820</v>
      </c>
      <c r="B22388" s="2" t="str">
        <f>"66605"</f>
        <v>66605</v>
      </c>
      <c r="C22388" s="1">
        <v>7.9650672446471796E-2</v>
      </c>
      <c r="D22388" s="1">
        <v>4.3862417166298497E-2</v>
      </c>
      <c r="E22388" s="1">
        <v>4.4984581897333502E-2</v>
      </c>
      <c r="F22388" s="1">
        <v>7.5409652882535497E-2</v>
      </c>
    </row>
    <row r="22389" spans="1:6" x14ac:dyDescent="0.25">
      <c r="A22389" s="2" t="str">
        <f t="shared" si="793"/>
        <v>45820</v>
      </c>
      <c r="B22389" s="2" t="str">
        <f>"66603"</f>
        <v>66603</v>
      </c>
      <c r="C22389" s="1">
        <v>1.04653166347749E-2</v>
      </c>
      <c r="D22389" s="1">
        <v>7.4366256442621195E-2</v>
      </c>
      <c r="E22389" s="1">
        <v>7.0741882822419694E-2</v>
      </c>
      <c r="F22389" s="1">
        <v>1.79664615409173E-2</v>
      </c>
    </row>
    <row r="22390" spans="1:6" x14ac:dyDescent="0.25">
      <c r="A22390" s="2" t="str">
        <f t="shared" si="793"/>
        <v>45820</v>
      </c>
      <c r="B22390" s="2" t="str">
        <f>"66540"</f>
        <v>66540</v>
      </c>
      <c r="C22390" s="1">
        <v>2.14928946485412E-3</v>
      </c>
      <c r="D22390" s="1">
        <v>5.2592826338487397E-4</v>
      </c>
      <c r="E22390" s="1">
        <v>1.81389443134409E-4</v>
      </c>
      <c r="F22390" s="1">
        <v>1.93951583937935E-3</v>
      </c>
    </row>
    <row r="22391" spans="1:6" x14ac:dyDescent="0.25">
      <c r="A22391" s="2" t="str">
        <f t="shared" si="793"/>
        <v>45820</v>
      </c>
      <c r="B22391" s="2" t="str">
        <f>"66097"</f>
        <v>66097</v>
      </c>
      <c r="C22391" s="1">
        <v>3.8632797975858999E-3</v>
      </c>
      <c r="D22391" s="1">
        <v>1.1570421794467199E-3</v>
      </c>
      <c r="E22391" s="1">
        <v>1.08833665880645E-3</v>
      </c>
      <c r="F22391" s="1">
        <v>3.5358251722018598E-3</v>
      </c>
    </row>
    <row r="22392" spans="1:6" x14ac:dyDescent="0.25">
      <c r="A22392" s="2" t="str">
        <f t="shared" ref="A22392:A22404" si="794">"17700"</f>
        <v>17700</v>
      </c>
      <c r="B22392" s="2" t="str">
        <f>"67351"</f>
        <v>67351</v>
      </c>
      <c r="C22392" s="1">
        <v>4.6427949625674602E-3</v>
      </c>
      <c r="D22392" s="1">
        <v>9.9206349206349201E-4</v>
      </c>
      <c r="E22392" s="1">
        <v>1.8939393939393901E-3</v>
      </c>
      <c r="F22392" s="1">
        <v>4.1972187104930402E-3</v>
      </c>
    </row>
    <row r="22393" spans="1:6" x14ac:dyDescent="0.25">
      <c r="A22393" s="2" t="str">
        <f t="shared" si="794"/>
        <v>17700</v>
      </c>
      <c r="B22393" s="2" t="str">
        <f>"67301"</f>
        <v>67301</v>
      </c>
      <c r="C22393" s="1">
        <v>0.42278451627879898</v>
      </c>
      <c r="D22393" s="1">
        <v>0.49553571428571402</v>
      </c>
      <c r="E22393" s="1">
        <v>0.33522727272727199</v>
      </c>
      <c r="F22393" s="1">
        <v>0.42786346396965802</v>
      </c>
    </row>
    <row r="22394" spans="1:6" x14ac:dyDescent="0.25">
      <c r="A22394" s="2" t="str">
        <f t="shared" si="794"/>
        <v>17700</v>
      </c>
      <c r="B22394" s="2" t="str">
        <f>"67347"</f>
        <v>67347</v>
      </c>
      <c r="C22394" s="1">
        <v>1.0620393476873E-2</v>
      </c>
      <c r="D22394" s="1">
        <v>1.48809523809523E-3</v>
      </c>
      <c r="E22394" s="1">
        <v>5.6818181818181802E-3</v>
      </c>
      <c r="F22394" s="1">
        <v>9.5575221238938003E-3</v>
      </c>
    </row>
    <row r="22395" spans="1:6" x14ac:dyDescent="0.25">
      <c r="A22395" s="2" t="str">
        <f t="shared" si="794"/>
        <v>17700</v>
      </c>
      <c r="B22395" s="2" t="str">
        <f>"66757"</f>
        <v>66757</v>
      </c>
      <c r="C22395" s="1">
        <v>1.2883756021124701E-2</v>
      </c>
      <c r="D22395" s="1">
        <v>4.96031746031746E-4</v>
      </c>
      <c r="E22395" s="1">
        <v>1.8939393939393901E-3</v>
      </c>
      <c r="F22395" s="1">
        <v>1.1327433628318499E-2</v>
      </c>
    </row>
    <row r="22396" spans="1:6" x14ac:dyDescent="0.25">
      <c r="A22396" s="2" t="str">
        <f t="shared" si="794"/>
        <v>17700</v>
      </c>
      <c r="B22396" s="2" t="str">
        <f>"67363"</f>
        <v>67363</v>
      </c>
      <c r="C22396" s="1">
        <v>2.3213974812837299E-4</v>
      </c>
      <c r="D22396" s="1">
        <v>0</v>
      </c>
      <c r="E22396" s="1">
        <v>1.8939393939393901E-3</v>
      </c>
      <c r="F22396" s="1">
        <v>2.5284450063211102E-4</v>
      </c>
    </row>
    <row r="22397" spans="1:6" x14ac:dyDescent="0.25">
      <c r="A22397" s="2" t="str">
        <f t="shared" si="794"/>
        <v>17700</v>
      </c>
      <c r="B22397" s="2" t="str">
        <f>"66776"</f>
        <v>66776</v>
      </c>
      <c r="C22397" s="1">
        <v>1.7410481109627899E-4</v>
      </c>
      <c r="D22397" s="1">
        <v>0</v>
      </c>
      <c r="E22397" s="1">
        <v>0</v>
      </c>
      <c r="F22397" s="1">
        <v>1.5170670037926599E-4</v>
      </c>
    </row>
    <row r="22398" spans="1:6" x14ac:dyDescent="0.25">
      <c r="A22398" s="2" t="str">
        <f t="shared" si="794"/>
        <v>17700</v>
      </c>
      <c r="B22398" s="2" t="str">
        <f>"67344"</f>
        <v>67344</v>
      </c>
      <c r="C22398" s="1">
        <v>1.9441703905751201E-2</v>
      </c>
      <c r="D22398" s="1">
        <v>3.4722222222222199E-3</v>
      </c>
      <c r="E22398" s="1">
        <v>1.3257575757575701E-2</v>
      </c>
      <c r="F22398" s="1">
        <v>1.7648546144121299E-2</v>
      </c>
    </row>
    <row r="22399" spans="1:6" x14ac:dyDescent="0.25">
      <c r="A22399" s="2" t="str">
        <f t="shared" si="794"/>
        <v>17700</v>
      </c>
      <c r="B22399" s="2" t="str">
        <f>"67337"</f>
        <v>67337</v>
      </c>
      <c r="C22399" s="1">
        <v>0.352794382218095</v>
      </c>
      <c r="D22399" s="1">
        <v>0.35714285714285698</v>
      </c>
      <c r="E22399" s="1">
        <v>0.46590909090909</v>
      </c>
      <c r="F22399" s="1">
        <v>0.35625790139064401</v>
      </c>
    </row>
    <row r="22400" spans="1:6" x14ac:dyDescent="0.25">
      <c r="A22400" s="2" t="str">
        <f t="shared" si="794"/>
        <v>17700</v>
      </c>
      <c r="B22400" s="2" t="str">
        <f>"66736"</f>
        <v>66736</v>
      </c>
      <c r="C22400" s="1">
        <v>2.3213974812837299E-4</v>
      </c>
      <c r="D22400" s="1">
        <v>0</v>
      </c>
      <c r="E22400" s="1">
        <v>0</v>
      </c>
      <c r="F22400" s="1">
        <v>2.0227560050568901E-4</v>
      </c>
    </row>
    <row r="22401" spans="1:6" x14ac:dyDescent="0.25">
      <c r="A22401" s="2" t="str">
        <f t="shared" si="794"/>
        <v>17700</v>
      </c>
      <c r="B22401" s="2" t="str">
        <f>"67340"</f>
        <v>67340</v>
      </c>
      <c r="C22401" s="1">
        <v>9.1114851140386508E-3</v>
      </c>
      <c r="D22401" s="1">
        <v>0</v>
      </c>
      <c r="E22401" s="1">
        <v>1.8939393939393901E-3</v>
      </c>
      <c r="F22401" s="1">
        <v>7.9898862199747102E-3</v>
      </c>
    </row>
    <row r="22402" spans="1:6" x14ac:dyDescent="0.25">
      <c r="A22402" s="2" t="str">
        <f t="shared" si="794"/>
        <v>17700</v>
      </c>
      <c r="B22402" s="2" t="str">
        <f>"67333"</f>
        <v>67333</v>
      </c>
      <c r="C22402" s="1">
        <v>8.3396204515118103E-2</v>
      </c>
      <c r="D22402" s="1">
        <v>7.4404761904761904E-2</v>
      </c>
      <c r="E22402" s="1">
        <v>5.4924242424242403E-2</v>
      </c>
      <c r="F22402" s="1">
        <v>8.1719342604298306E-2</v>
      </c>
    </row>
    <row r="22403" spans="1:6" x14ac:dyDescent="0.25">
      <c r="A22403" s="2" t="str">
        <f t="shared" si="794"/>
        <v>17700</v>
      </c>
      <c r="B22403" s="2" t="str">
        <f>"67364"</f>
        <v>67364</v>
      </c>
      <c r="C22403" s="1">
        <v>4.6427949625674602E-3</v>
      </c>
      <c r="D22403" s="1">
        <v>0</v>
      </c>
      <c r="E22403" s="1">
        <v>1.8939393939393901E-3</v>
      </c>
      <c r="F22403" s="1">
        <v>4.0960809102402003E-3</v>
      </c>
    </row>
    <row r="22404" spans="1:6" x14ac:dyDescent="0.25">
      <c r="A22404" s="2" t="str">
        <f t="shared" si="794"/>
        <v>17700</v>
      </c>
      <c r="B22404" s="2" t="str">
        <f>"67335"</f>
        <v>67335</v>
      </c>
      <c r="C22404" s="1">
        <v>7.9043584237711101E-2</v>
      </c>
      <c r="D22404" s="1">
        <v>6.6468253968253899E-2</v>
      </c>
      <c r="E22404" s="1">
        <v>0.115530303030303</v>
      </c>
      <c r="F22404" s="1">
        <v>7.8735777496839396E-2</v>
      </c>
    </row>
    <row r="22405" spans="1:6" x14ac:dyDescent="0.25">
      <c r="A22405" s="2" t="str">
        <f t="shared" ref="A22405:A22419" si="795">"25580"</f>
        <v>25580</v>
      </c>
      <c r="B22405" s="2" t="str">
        <f>"68945"</f>
        <v>68945</v>
      </c>
      <c r="C22405" s="1">
        <v>2.0318320352184199E-4</v>
      </c>
      <c r="D22405" s="1">
        <v>0</v>
      </c>
      <c r="E22405" s="1">
        <v>0</v>
      </c>
      <c r="F22405" s="1">
        <v>1.7410481109627899E-4</v>
      </c>
    </row>
    <row r="22406" spans="1:6" x14ac:dyDescent="0.25">
      <c r="A22406" s="2" t="str">
        <f t="shared" si="795"/>
        <v>25580</v>
      </c>
      <c r="B22406" s="2" t="str">
        <f>"68950"</f>
        <v>68950</v>
      </c>
      <c r="C22406" s="1">
        <v>5.75685743311886E-3</v>
      </c>
      <c r="D22406" s="1">
        <v>5.4495912806539501E-4</v>
      </c>
      <c r="E22406" s="1">
        <v>1.58478605388272E-3</v>
      </c>
      <c r="F22406" s="1">
        <v>5.0490395217921103E-3</v>
      </c>
    </row>
    <row r="22407" spans="1:6" x14ac:dyDescent="0.25">
      <c r="A22407" s="2" t="str">
        <f t="shared" si="795"/>
        <v>25580</v>
      </c>
      <c r="B22407" s="2" t="str">
        <f>"68902"</f>
        <v>68902</v>
      </c>
      <c r="C22407" s="1">
        <v>5.8381307145275903E-2</v>
      </c>
      <c r="D22407" s="1">
        <v>0.19400544959127999</v>
      </c>
      <c r="E22407" s="1">
        <v>4.7543581616481699E-3</v>
      </c>
      <c r="F22407" s="1">
        <v>7.0860658116185901E-2</v>
      </c>
    </row>
    <row r="22408" spans="1:6" x14ac:dyDescent="0.25">
      <c r="A22408" s="2" t="str">
        <f t="shared" si="795"/>
        <v>25580</v>
      </c>
      <c r="B22408" s="2" t="str">
        <f>"68930"</f>
        <v>68930</v>
      </c>
      <c r="C22408" s="1">
        <v>3.0477480528276302E-3</v>
      </c>
      <c r="D22408" s="1">
        <v>5.4495912806539501E-4</v>
      </c>
      <c r="E22408" s="1">
        <v>0</v>
      </c>
      <c r="F22408" s="1">
        <v>2.6696071034762901E-3</v>
      </c>
    </row>
    <row r="22409" spans="1:6" x14ac:dyDescent="0.25">
      <c r="A22409" s="2" t="str">
        <f t="shared" si="795"/>
        <v>25580</v>
      </c>
      <c r="B22409" s="2" t="str">
        <f>"68941"</f>
        <v>68941</v>
      </c>
      <c r="C22409" s="1">
        <v>9.0755164239756103E-3</v>
      </c>
      <c r="D22409" s="1">
        <v>1.08991825613079E-3</v>
      </c>
      <c r="E22409" s="1">
        <v>0</v>
      </c>
      <c r="F22409" s="1">
        <v>7.8927514363646908E-3</v>
      </c>
    </row>
    <row r="22410" spans="1:6" x14ac:dyDescent="0.25">
      <c r="A22410" s="2" t="str">
        <f t="shared" si="795"/>
        <v>25580</v>
      </c>
      <c r="B22410" s="2" t="str">
        <f>"68901"</f>
        <v>68901</v>
      </c>
      <c r="C22410" s="1">
        <v>0.81300372502539697</v>
      </c>
      <c r="D22410" s="1">
        <v>0.79291553133514903</v>
      </c>
      <c r="E22410" s="1">
        <v>0.95879556259904897</v>
      </c>
      <c r="F22410" s="1">
        <v>0.81620335441935998</v>
      </c>
    </row>
    <row r="22411" spans="1:6" x14ac:dyDescent="0.25">
      <c r="A22411" s="2" t="str">
        <f t="shared" si="795"/>
        <v>25580</v>
      </c>
      <c r="B22411" s="2" t="str">
        <f>"68980"</f>
        <v>68980</v>
      </c>
      <c r="C22411" s="1">
        <v>1.8286488316965699E-3</v>
      </c>
      <c r="D22411" s="1">
        <v>5.4495912806539501E-4</v>
      </c>
      <c r="E22411" s="1">
        <v>1.58478605388272E-3</v>
      </c>
      <c r="F22411" s="1">
        <v>1.6830131739307001E-3</v>
      </c>
    </row>
    <row r="22412" spans="1:6" x14ac:dyDescent="0.25">
      <c r="A22412" s="2" t="str">
        <f t="shared" si="795"/>
        <v>25580</v>
      </c>
      <c r="B22412" s="2" t="str">
        <f>"68973"</f>
        <v>68973</v>
      </c>
      <c r="C22412" s="1">
        <v>9.6850660345411399E-3</v>
      </c>
      <c r="D22412" s="1">
        <v>3.2697547683923698E-3</v>
      </c>
      <c r="E22412" s="1">
        <v>3.1695721077654501E-3</v>
      </c>
      <c r="F22412" s="1">
        <v>8.7632754918460908E-3</v>
      </c>
    </row>
    <row r="22413" spans="1:6" x14ac:dyDescent="0.25">
      <c r="A22413" s="2" t="str">
        <f t="shared" si="795"/>
        <v>25580</v>
      </c>
      <c r="B22413" s="2" t="str">
        <f>"68957"</f>
        <v>68957</v>
      </c>
      <c r="C22413" s="1">
        <v>2.0318320352184199E-4</v>
      </c>
      <c r="D22413" s="1">
        <v>0</v>
      </c>
      <c r="E22413" s="1">
        <v>0</v>
      </c>
      <c r="F22413" s="1">
        <v>1.7410481109627899E-4</v>
      </c>
    </row>
    <row r="22414" spans="1:6" x14ac:dyDescent="0.25">
      <c r="A22414" s="2" t="str">
        <f t="shared" si="795"/>
        <v>25580</v>
      </c>
      <c r="B22414" s="2" t="str">
        <f>"68956"</f>
        <v>68956</v>
      </c>
      <c r="C22414" s="1">
        <v>3.1764307483914601E-2</v>
      </c>
      <c r="D22414" s="1">
        <v>1.6348773841961799E-3</v>
      </c>
      <c r="E22414" s="1">
        <v>3.1695721077654501E-3</v>
      </c>
      <c r="F22414" s="1">
        <v>2.7508560153212201E-2</v>
      </c>
    </row>
    <row r="22415" spans="1:6" x14ac:dyDescent="0.25">
      <c r="A22415" s="2" t="str">
        <f t="shared" si="795"/>
        <v>25580</v>
      </c>
      <c r="B22415" s="2" t="str">
        <f>"68883"</f>
        <v>68883</v>
      </c>
      <c r="C22415" s="1">
        <v>3.8604808669150002E-3</v>
      </c>
      <c r="D22415" s="1">
        <v>1.08991825613079E-3</v>
      </c>
      <c r="E22415" s="1">
        <v>0</v>
      </c>
      <c r="F22415" s="1">
        <v>3.4240612848934998E-3</v>
      </c>
    </row>
    <row r="22416" spans="1:6" x14ac:dyDescent="0.25">
      <c r="A22416" s="2" t="str">
        <f t="shared" si="795"/>
        <v>25580</v>
      </c>
      <c r="B22416" s="2" t="str">
        <f>"68955"</f>
        <v>68955</v>
      </c>
      <c r="C22416" s="1">
        <v>5.1066711818489603E-2</v>
      </c>
      <c r="D22416" s="1">
        <v>3.2697547683923698E-3</v>
      </c>
      <c r="E22416" s="1">
        <v>2.3771790808240802E-2</v>
      </c>
      <c r="F22416" s="1">
        <v>4.4977076199872297E-2</v>
      </c>
    </row>
    <row r="22417" spans="1:6" x14ac:dyDescent="0.25">
      <c r="A22417" s="2" t="str">
        <f t="shared" si="795"/>
        <v>25580</v>
      </c>
      <c r="B22417" s="2" t="str">
        <f>"68928"</f>
        <v>68928</v>
      </c>
      <c r="C22417" s="1">
        <v>1.08364375211649E-3</v>
      </c>
      <c r="D22417" s="1">
        <v>0</v>
      </c>
      <c r="E22417" s="1">
        <v>0</v>
      </c>
      <c r="F22417" s="1">
        <v>9.2855899251349295E-4</v>
      </c>
    </row>
    <row r="22418" spans="1:6" x14ac:dyDescent="0.25">
      <c r="A22418" s="2" t="str">
        <f t="shared" si="795"/>
        <v>25580</v>
      </c>
      <c r="B22418" s="2" t="str">
        <f>"68925"</f>
        <v>68925</v>
      </c>
      <c r="C22418" s="1">
        <v>1.0633254317643E-2</v>
      </c>
      <c r="D22418" s="1">
        <v>1.08991825613079E-3</v>
      </c>
      <c r="E22418" s="1">
        <v>3.1695721077654501E-3</v>
      </c>
      <c r="F22418" s="1">
        <v>9.3436248621670201E-3</v>
      </c>
    </row>
    <row r="22419" spans="1:6" x14ac:dyDescent="0.25">
      <c r="A22419" s="2" t="str">
        <f t="shared" si="795"/>
        <v>25580</v>
      </c>
      <c r="B22419" s="2" t="str">
        <f>"68932"</f>
        <v>68932</v>
      </c>
      <c r="C22419" s="1">
        <v>4.0636640704368399E-4</v>
      </c>
      <c r="D22419" s="1">
        <v>0</v>
      </c>
      <c r="E22419" s="1">
        <v>0</v>
      </c>
      <c r="F22419" s="1">
        <v>3.4820962219255902E-4</v>
      </c>
    </row>
    <row r="22420" spans="1:6" x14ac:dyDescent="0.25">
      <c r="A22420" s="2" t="str">
        <f t="shared" ref="A22420:A22457" si="796">"41500"</f>
        <v>41500</v>
      </c>
      <c r="B22420" s="2" t="str">
        <f>"93943"</f>
        <v>93943</v>
      </c>
      <c r="C22420" s="1">
        <v>5.2550755271132701E-5</v>
      </c>
      <c r="D22420" s="1">
        <v>1.54399323181049E-2</v>
      </c>
      <c r="E22420" s="1">
        <v>1.15942028985507E-4</v>
      </c>
      <c r="F22420" s="1">
        <v>1.5191146881287699E-3</v>
      </c>
    </row>
    <row r="22421" spans="1:6" x14ac:dyDescent="0.25">
      <c r="A22421" s="2" t="str">
        <f t="shared" si="796"/>
        <v>41500</v>
      </c>
      <c r="B22421" s="2" t="str">
        <f>"93915"</f>
        <v>93915</v>
      </c>
      <c r="C22421" s="1">
        <v>9.5583984865382395E-3</v>
      </c>
      <c r="D22421" s="1">
        <v>5.4462774957698802E-3</v>
      </c>
      <c r="E22421" s="1">
        <v>2.3188405797101399E-4</v>
      </c>
      <c r="F22421" s="1">
        <v>8.7625754527162897E-3</v>
      </c>
    </row>
    <row r="22422" spans="1:6" x14ac:dyDescent="0.25">
      <c r="A22422" s="2" t="str">
        <f t="shared" si="796"/>
        <v>41500</v>
      </c>
      <c r="B22422" s="2" t="str">
        <f>"93944"</f>
        <v>93944</v>
      </c>
      <c r="C22422" s="1">
        <v>1.23727833799477E-2</v>
      </c>
      <c r="D22422" s="1">
        <v>5.1818950930625999E-3</v>
      </c>
      <c r="E22422" s="1">
        <v>3.1304347826086902E-3</v>
      </c>
      <c r="F22422" s="1">
        <v>1.12877263581488E-2</v>
      </c>
    </row>
    <row r="22423" spans="1:6" x14ac:dyDescent="0.25">
      <c r="A22423" s="2" t="str">
        <f t="shared" si="796"/>
        <v>41500</v>
      </c>
      <c r="B22423" s="2" t="str">
        <f>"93922"</f>
        <v>93922</v>
      </c>
      <c r="C22423" s="1">
        <v>1.34121205397546E-2</v>
      </c>
      <c r="D22423" s="1">
        <v>2.2895516074449999E-2</v>
      </c>
      <c r="E22423" s="1">
        <v>2.3188405797101399E-4</v>
      </c>
      <c r="F22423" s="1">
        <v>1.37424547283702E-2</v>
      </c>
    </row>
    <row r="22424" spans="1:6" x14ac:dyDescent="0.25">
      <c r="A22424" s="2" t="str">
        <f t="shared" si="796"/>
        <v>41500</v>
      </c>
      <c r="B22424" s="2" t="str">
        <f>"93920"</f>
        <v>93920</v>
      </c>
      <c r="C22424" s="1">
        <v>2.6392157091724398E-3</v>
      </c>
      <c r="D22424" s="1">
        <v>2.5380710659898401E-3</v>
      </c>
      <c r="E22424" s="1">
        <v>1.27536231884057E-3</v>
      </c>
      <c r="F22424" s="1">
        <v>2.57042253521126E-3</v>
      </c>
    </row>
    <row r="22425" spans="1:6" x14ac:dyDescent="0.25">
      <c r="A22425" s="2" t="str">
        <f t="shared" si="796"/>
        <v>41500</v>
      </c>
      <c r="B22425" s="2" t="str">
        <f>"93950"</f>
        <v>93950</v>
      </c>
      <c r="C22425" s="1">
        <v>5.6381121433117402E-2</v>
      </c>
      <c r="D22425" s="1">
        <v>6.6254230118443294E-2</v>
      </c>
      <c r="E22425" s="1">
        <v>6.08695652173913E-2</v>
      </c>
      <c r="F22425" s="1">
        <v>5.7515090543259498E-2</v>
      </c>
    </row>
    <row r="22426" spans="1:6" x14ac:dyDescent="0.25">
      <c r="A22426" s="2" t="str">
        <f t="shared" si="796"/>
        <v>41500</v>
      </c>
      <c r="B22426" s="2" t="str">
        <f>"93906"</f>
        <v>93906</v>
      </c>
      <c r="C22426" s="1">
        <v>0.10433660510443001</v>
      </c>
      <c r="D22426" s="1">
        <v>5.19775803722504E-2</v>
      </c>
      <c r="E22426" s="1">
        <v>0.13286956521739099</v>
      </c>
      <c r="F22426" s="1">
        <v>0.100593561368209</v>
      </c>
    </row>
    <row r="22427" spans="1:6" x14ac:dyDescent="0.25">
      <c r="A22427" s="2" t="str">
        <f t="shared" si="796"/>
        <v>41500</v>
      </c>
      <c r="B22427" s="2" t="str">
        <f>"93962"</f>
        <v>93962</v>
      </c>
      <c r="C22427" s="1">
        <v>3.3515703917366799E-3</v>
      </c>
      <c r="D22427" s="1">
        <v>5.8692893401015196E-3</v>
      </c>
      <c r="E22427" s="1">
        <v>6.9565217391304298E-4</v>
      </c>
      <c r="F22427" s="1">
        <v>3.4758551307846998E-3</v>
      </c>
    </row>
    <row r="22428" spans="1:6" x14ac:dyDescent="0.25">
      <c r="A22428" s="2" t="str">
        <f t="shared" si="796"/>
        <v>41500</v>
      </c>
      <c r="B22428" s="2" t="str">
        <f>"93912"</f>
        <v>93912</v>
      </c>
      <c r="C22428" s="1">
        <v>1.4889380660154199E-2</v>
      </c>
      <c r="D22428" s="1">
        <v>2.4851945854483901E-2</v>
      </c>
      <c r="E22428" s="1">
        <v>2.3188405797101399E-4</v>
      </c>
      <c r="F22428" s="1">
        <v>1.5201207243460701E-2</v>
      </c>
    </row>
    <row r="22429" spans="1:6" x14ac:dyDescent="0.25">
      <c r="A22429" s="2" t="str">
        <f t="shared" si="796"/>
        <v>41500</v>
      </c>
      <c r="B22429" s="2" t="str">
        <f>"93210"</f>
        <v>93210</v>
      </c>
      <c r="C22429" s="1">
        <v>1.7516918423710899E-5</v>
      </c>
      <c r="D22429" s="1">
        <v>5.2876480541455098E-5</v>
      </c>
      <c r="E22429" s="1">
        <v>0</v>
      </c>
      <c r="F22429" s="1">
        <v>2.0120724346076399E-5</v>
      </c>
    </row>
    <row r="22430" spans="1:6" x14ac:dyDescent="0.25">
      <c r="A22430" s="2" t="str">
        <f t="shared" si="796"/>
        <v>41500</v>
      </c>
      <c r="B22430" s="2" t="str">
        <f>"95039"</f>
        <v>95039</v>
      </c>
      <c r="C22430" s="1">
        <v>7.3863006019980904E-3</v>
      </c>
      <c r="D22430" s="1">
        <v>1.19500846023688E-2</v>
      </c>
      <c r="E22430" s="1">
        <v>2.8985507246376799E-3</v>
      </c>
      <c r="F22430" s="1">
        <v>7.6257545271629697E-3</v>
      </c>
    </row>
    <row r="22431" spans="1:6" x14ac:dyDescent="0.25">
      <c r="A22431" s="2" t="str">
        <f t="shared" si="796"/>
        <v>41500</v>
      </c>
      <c r="B22431" s="2" t="str">
        <f>"93955"</f>
        <v>93955</v>
      </c>
      <c r="C22431" s="1">
        <v>7.4470259192002897E-2</v>
      </c>
      <c r="D22431" s="1">
        <v>6.6201353637901805E-2</v>
      </c>
      <c r="E22431" s="1">
        <v>8.4405797101449201E-2</v>
      </c>
      <c r="F22431" s="1">
        <v>7.4114688128772602E-2</v>
      </c>
    </row>
    <row r="22432" spans="1:6" x14ac:dyDescent="0.25">
      <c r="A22432" s="2" t="str">
        <f t="shared" si="796"/>
        <v>41500</v>
      </c>
      <c r="B22432" s="2" t="str">
        <f>"93924"</f>
        <v>93924</v>
      </c>
      <c r="C22432" s="1">
        <v>1.67870468227229E-2</v>
      </c>
      <c r="D22432" s="1">
        <v>1.20029610829103E-2</v>
      </c>
      <c r="E22432" s="1">
        <v>7.07246376811594E-3</v>
      </c>
      <c r="F22432" s="1">
        <v>1.59104627766599E-2</v>
      </c>
    </row>
    <row r="22433" spans="1:6" x14ac:dyDescent="0.25">
      <c r="A22433" s="2" t="str">
        <f t="shared" si="796"/>
        <v>41500</v>
      </c>
      <c r="B22433" s="2" t="str">
        <f>"93921"</f>
        <v>93921</v>
      </c>
      <c r="C22433" s="1">
        <v>2.62753776355663E-2</v>
      </c>
      <c r="D22433" s="1">
        <v>3.08798646362098E-2</v>
      </c>
      <c r="E22433" s="1">
        <v>3.47826086956521E-4</v>
      </c>
      <c r="F22433" s="1">
        <v>2.55885311871227E-2</v>
      </c>
    </row>
    <row r="22434" spans="1:6" x14ac:dyDescent="0.25">
      <c r="A22434" s="2" t="str">
        <f t="shared" si="796"/>
        <v>41500</v>
      </c>
      <c r="B22434" s="2" t="str">
        <f>"93905"</f>
        <v>93905</v>
      </c>
      <c r="C22434" s="1">
        <v>8.1605483963261102E-2</v>
      </c>
      <c r="D22434" s="1">
        <v>4.0133248730964403E-2</v>
      </c>
      <c r="E22434" s="1">
        <v>0.14817391304347799</v>
      </c>
      <c r="F22434" s="1">
        <v>8.0548289738430506E-2</v>
      </c>
    </row>
    <row r="22435" spans="1:6" x14ac:dyDescent="0.25">
      <c r="A22435" s="2" t="str">
        <f t="shared" si="796"/>
        <v>41500</v>
      </c>
      <c r="B22435" s="2" t="str">
        <f>"93426"</f>
        <v>93426</v>
      </c>
      <c r="C22435" s="1">
        <v>2.5399531714380801E-3</v>
      </c>
      <c r="D22435" s="1">
        <v>8.46023688663282E-4</v>
      </c>
      <c r="E22435" s="1">
        <v>6.9565217391304298E-4</v>
      </c>
      <c r="F22435" s="1">
        <v>2.2987927565392302E-3</v>
      </c>
    </row>
    <row r="22436" spans="1:6" x14ac:dyDescent="0.25">
      <c r="A22436" s="2" t="str">
        <f t="shared" si="796"/>
        <v>41500</v>
      </c>
      <c r="B22436" s="2" t="str">
        <f>"95004"</f>
        <v>95004</v>
      </c>
      <c r="C22436" s="1">
        <v>7.9585199371726492E-3</v>
      </c>
      <c r="D22436" s="1">
        <v>5.39340101522842E-3</v>
      </c>
      <c r="E22436" s="1">
        <v>6.9565217391304298E-4</v>
      </c>
      <c r="F22436" s="1">
        <v>7.39939637826961E-3</v>
      </c>
    </row>
    <row r="22437" spans="1:6" x14ac:dyDescent="0.25">
      <c r="A22437" s="2" t="str">
        <f t="shared" si="796"/>
        <v>41500</v>
      </c>
      <c r="B22437" s="2" t="str">
        <f>"93960"</f>
        <v>93960</v>
      </c>
      <c r="C22437" s="1">
        <v>3.47126933429871E-2</v>
      </c>
      <c r="D22437" s="1">
        <v>2.03574450084602E-2</v>
      </c>
      <c r="E22437" s="1">
        <v>1.1130434782608599E-2</v>
      </c>
      <c r="F22437" s="1">
        <v>3.2323943661971798E-2</v>
      </c>
    </row>
    <row r="22438" spans="1:6" x14ac:dyDescent="0.25">
      <c r="A22438" s="2" t="str">
        <f t="shared" si="796"/>
        <v>41500</v>
      </c>
      <c r="B22438" s="2" t="str">
        <f>"93930"</f>
        <v>93930</v>
      </c>
      <c r="C22438" s="1">
        <v>3.6207470381810401E-2</v>
      </c>
      <c r="D22438" s="1">
        <v>2.9505076142131902E-2</v>
      </c>
      <c r="E22438" s="1">
        <v>3.48985507246376E-2</v>
      </c>
      <c r="F22438" s="1">
        <v>3.5513078470824903E-2</v>
      </c>
    </row>
    <row r="22439" spans="1:6" x14ac:dyDescent="0.25">
      <c r="A22439" s="2" t="str">
        <f t="shared" si="796"/>
        <v>41500</v>
      </c>
      <c r="B22439" s="2" t="str">
        <f>"93927"</f>
        <v>93927</v>
      </c>
      <c r="C22439" s="1">
        <v>4.4265252856717403E-2</v>
      </c>
      <c r="D22439" s="1">
        <v>1.92470389170896E-2</v>
      </c>
      <c r="E22439" s="1">
        <v>2.36521739130434E-2</v>
      </c>
      <c r="F22439" s="1">
        <v>4.0990945674044203E-2</v>
      </c>
    </row>
    <row r="22440" spans="1:6" x14ac:dyDescent="0.25">
      <c r="A22440" s="2" t="str">
        <f t="shared" si="796"/>
        <v>41500</v>
      </c>
      <c r="B22440" s="2" t="str">
        <f>"93926"</f>
        <v>93926</v>
      </c>
      <c r="C22440" s="1">
        <v>2.0926878543526602E-2</v>
      </c>
      <c r="D22440" s="1">
        <v>8.6188663282571899E-3</v>
      </c>
      <c r="E22440" s="1">
        <v>1.05507246376811E-2</v>
      </c>
      <c r="F22440" s="1">
        <v>1.93058350100603E-2</v>
      </c>
    </row>
    <row r="22441" spans="1:6" x14ac:dyDescent="0.25">
      <c r="A22441" s="2" t="str">
        <f t="shared" si="796"/>
        <v>41500</v>
      </c>
      <c r="B22441" s="2" t="str">
        <f>"93451"</f>
        <v>93451</v>
      </c>
      <c r="C22441" s="1">
        <v>1.44222628355219E-3</v>
      </c>
      <c r="D22441" s="1">
        <v>2.1150592216582001E-4</v>
      </c>
      <c r="E22441" s="1">
        <v>0</v>
      </c>
      <c r="F22441" s="1">
        <v>1.26257545271629E-3</v>
      </c>
    </row>
    <row r="22442" spans="1:6" x14ac:dyDescent="0.25">
      <c r="A22442" s="2" t="str">
        <f t="shared" si="796"/>
        <v>41500</v>
      </c>
      <c r="B22442" s="2" t="str">
        <f>"93932"</f>
        <v>93932</v>
      </c>
      <c r="C22442" s="1">
        <v>5.8389728079036296E-6</v>
      </c>
      <c r="D22442" s="1">
        <v>5.2876480541455098E-5</v>
      </c>
      <c r="E22442" s="1">
        <v>0</v>
      </c>
      <c r="F22442" s="1">
        <v>1.00603621730382E-5</v>
      </c>
    </row>
    <row r="22443" spans="1:6" x14ac:dyDescent="0.25">
      <c r="A22443" s="2" t="str">
        <f t="shared" si="796"/>
        <v>41500</v>
      </c>
      <c r="B22443" s="2" t="str">
        <f>"93942"</f>
        <v>93942</v>
      </c>
      <c r="C22443" s="1">
        <v>7.7249610248565003E-3</v>
      </c>
      <c r="D22443" s="1">
        <v>3.5268612521150502E-2</v>
      </c>
      <c r="E22443" s="1">
        <v>2.3188405797101399E-4</v>
      </c>
      <c r="F22443" s="1">
        <v>1.0020120724346E-2</v>
      </c>
    </row>
    <row r="22444" spans="1:6" x14ac:dyDescent="0.25">
      <c r="A22444" s="2" t="str">
        <f t="shared" si="796"/>
        <v>41500</v>
      </c>
      <c r="B22444" s="2" t="str">
        <f>"93901"</f>
        <v>93901</v>
      </c>
      <c r="C22444" s="1">
        <v>6.2412780343681903E-2</v>
      </c>
      <c r="D22444" s="1">
        <v>0.15059221658206401</v>
      </c>
      <c r="E22444" s="1">
        <v>0.138086956521739</v>
      </c>
      <c r="F22444" s="1">
        <v>7.40845070422535E-2</v>
      </c>
    </row>
    <row r="22445" spans="1:6" x14ac:dyDescent="0.25">
      <c r="A22445" s="2" t="str">
        <f t="shared" si="796"/>
        <v>41500</v>
      </c>
      <c r="B22445" s="2" t="str">
        <f>"93954"</f>
        <v>93954</v>
      </c>
      <c r="C22445" s="1">
        <v>0</v>
      </c>
      <c r="D22445" s="1">
        <v>5.2876480541455098E-5</v>
      </c>
      <c r="E22445" s="1">
        <v>0</v>
      </c>
      <c r="F22445" s="1">
        <v>5.03018108651911E-6</v>
      </c>
    </row>
    <row r="22446" spans="1:6" x14ac:dyDescent="0.25">
      <c r="A22446" s="2" t="str">
        <f t="shared" si="796"/>
        <v>41500</v>
      </c>
      <c r="B22446" s="2" t="str">
        <f>"93953"</f>
        <v>93953</v>
      </c>
      <c r="C22446" s="1">
        <v>2.1913664948062302E-2</v>
      </c>
      <c r="D22446" s="1">
        <v>7.7728426395938998E-3</v>
      </c>
      <c r="E22446" s="1">
        <v>3.47826086956521E-4</v>
      </c>
      <c r="F22446" s="1">
        <v>1.9632796780684102E-2</v>
      </c>
    </row>
    <row r="22447" spans="1:6" x14ac:dyDescent="0.25">
      <c r="A22447" s="2" t="str">
        <f t="shared" si="796"/>
        <v>41500</v>
      </c>
      <c r="B22447" s="2" t="str">
        <f>"93940"</f>
        <v>93940</v>
      </c>
      <c r="C22447" s="1">
        <v>9.1981338642905905E-2</v>
      </c>
      <c r="D22447" s="1">
        <v>0.17491539763113301</v>
      </c>
      <c r="E22447" s="1">
        <v>0.20115942028985501</v>
      </c>
      <c r="F22447" s="1">
        <v>0.104607645875251</v>
      </c>
    </row>
    <row r="22448" spans="1:6" x14ac:dyDescent="0.25">
      <c r="A22448" s="2" t="str">
        <f t="shared" si="796"/>
        <v>41500</v>
      </c>
      <c r="B22448" s="2" t="str">
        <f>"93933"</f>
        <v>93933</v>
      </c>
      <c r="C22448" s="1">
        <v>8.1477026561487295E-2</v>
      </c>
      <c r="D22448" s="1">
        <v>4.2935702199661502E-2</v>
      </c>
      <c r="E22448" s="1">
        <v>5.28695652173913E-2</v>
      </c>
      <c r="F22448" s="1">
        <v>7.6569416498993903E-2</v>
      </c>
    </row>
    <row r="22449" spans="1:6" x14ac:dyDescent="0.25">
      <c r="A22449" s="2" t="str">
        <f t="shared" si="796"/>
        <v>41500</v>
      </c>
      <c r="B22449" s="2" t="str">
        <f>"93907"</f>
        <v>93907</v>
      </c>
      <c r="C22449" s="1">
        <v>4.4399549231299199E-2</v>
      </c>
      <c r="D22449" s="1">
        <v>3.3365059221658201E-2</v>
      </c>
      <c r="E22449" s="1">
        <v>3.2000000000000001E-2</v>
      </c>
      <c r="F22449" s="1">
        <v>4.2811871227364101E-2</v>
      </c>
    </row>
    <row r="22450" spans="1:6" x14ac:dyDescent="0.25">
      <c r="A22450" s="2" t="str">
        <f t="shared" si="796"/>
        <v>41500</v>
      </c>
      <c r="B22450" s="2" t="str">
        <f>"93902"</f>
        <v>93902</v>
      </c>
      <c r="C22450" s="1">
        <v>8.5424172179630106E-3</v>
      </c>
      <c r="D22450" s="1">
        <v>2.6543993231810399E-2</v>
      </c>
      <c r="E22450" s="1">
        <v>2.3188405797101399E-4</v>
      </c>
      <c r="F22450" s="1">
        <v>9.8943661971830892E-3</v>
      </c>
    </row>
    <row r="22451" spans="1:6" x14ac:dyDescent="0.25">
      <c r="A22451" s="2" t="str">
        <f t="shared" si="796"/>
        <v>41500</v>
      </c>
      <c r="B22451" s="2" t="str">
        <f>"95076"</f>
        <v>95076</v>
      </c>
      <c r="C22451" s="1">
        <v>1.8538738665094E-2</v>
      </c>
      <c r="D22451" s="1">
        <v>1.02580372250423E-2</v>
      </c>
      <c r="E22451" s="1">
        <v>1.3333333333333299E-2</v>
      </c>
      <c r="F22451" s="1">
        <v>1.75251509054325E-2</v>
      </c>
    </row>
    <row r="22452" spans="1:6" x14ac:dyDescent="0.25">
      <c r="A22452" s="2" t="str">
        <f t="shared" si="796"/>
        <v>41500</v>
      </c>
      <c r="B22452" s="2" t="str">
        <f>"95012"</f>
        <v>95012</v>
      </c>
      <c r="C22452" s="1">
        <v>2.1633394253282898E-2</v>
      </c>
      <c r="D22452" s="1">
        <v>1.7819373942470299E-2</v>
      </c>
      <c r="E22452" s="1">
        <v>1.4492753623188401E-2</v>
      </c>
      <c r="F22452" s="1">
        <v>2.0960764587525101E-2</v>
      </c>
    </row>
    <row r="22453" spans="1:6" x14ac:dyDescent="0.25">
      <c r="A22453" s="2" t="str">
        <f t="shared" si="796"/>
        <v>41500</v>
      </c>
      <c r="B22453" s="2" t="str">
        <f>"93925"</f>
        <v>93925</v>
      </c>
      <c r="C22453" s="1">
        <v>1.1561166159649099E-3</v>
      </c>
      <c r="D22453" s="1">
        <v>0</v>
      </c>
      <c r="E22453" s="1">
        <v>2.4347826086956498E-3</v>
      </c>
      <c r="F22453" s="1">
        <v>1.10160965794768E-3</v>
      </c>
    </row>
    <row r="22454" spans="1:6" x14ac:dyDescent="0.25">
      <c r="A22454" s="2" t="str">
        <f t="shared" si="796"/>
        <v>41500</v>
      </c>
      <c r="B22454" s="2" t="str">
        <f>"93923"</f>
        <v>93923</v>
      </c>
      <c r="C22454" s="1">
        <v>3.9313803915615099E-2</v>
      </c>
      <c r="D22454" s="1">
        <v>4.1455160744500799E-2</v>
      </c>
      <c r="E22454" s="1">
        <v>1.5536231884057901E-2</v>
      </c>
      <c r="F22454" s="1">
        <v>3.8485915492957698E-2</v>
      </c>
    </row>
    <row r="22455" spans="1:6" x14ac:dyDescent="0.25">
      <c r="A22455" s="2" t="str">
        <f t="shared" si="796"/>
        <v>41500</v>
      </c>
      <c r="B22455" s="2" t="str">
        <f>"93908"</f>
        <v>93908</v>
      </c>
      <c r="C22455" s="1">
        <v>2.8797813888580701E-2</v>
      </c>
      <c r="D22455" s="1">
        <v>1.2743231810490601E-2</v>
      </c>
      <c r="E22455" s="1">
        <v>4.8695652173912996E-3</v>
      </c>
      <c r="F22455" s="1">
        <v>2.62323943661971E-2</v>
      </c>
    </row>
    <row r="22456" spans="1:6" x14ac:dyDescent="0.25">
      <c r="A22456" s="2" t="str">
        <f t="shared" si="796"/>
        <v>41500</v>
      </c>
      <c r="B22456" s="2" t="str">
        <f>"93928"</f>
        <v>93928</v>
      </c>
      <c r="C22456" s="1">
        <v>0</v>
      </c>
      <c r="D22456" s="1">
        <v>5.2876480541455098E-5</v>
      </c>
      <c r="E22456" s="1">
        <v>0</v>
      </c>
      <c r="F22456" s="1">
        <v>5.03018108651911E-6</v>
      </c>
    </row>
    <row r="22457" spans="1:6" x14ac:dyDescent="0.25">
      <c r="A22457" s="2" t="str">
        <f t="shared" si="796"/>
        <v>41500</v>
      </c>
      <c r="B22457" s="2" t="str">
        <f>"93450"</f>
        <v>93450</v>
      </c>
      <c r="C22457" s="1">
        <v>5.1382960709551897E-4</v>
      </c>
      <c r="D22457" s="1">
        <v>3.1725888324873002E-4</v>
      </c>
      <c r="E22457" s="1">
        <v>2.3188405797101399E-4</v>
      </c>
      <c r="F22457" s="1">
        <v>4.8289738430583502E-4</v>
      </c>
    </row>
    <row r="22458" spans="1:6" x14ac:dyDescent="0.25">
      <c r="A22458" s="2" t="str">
        <f t="shared" ref="A22458:A22521" si="797">"41860"</f>
        <v>41860</v>
      </c>
      <c r="B22458" s="2" t="str">
        <f>"95377"</f>
        <v>95377</v>
      </c>
      <c r="C22458" s="1">
        <v>1.0261872730202E-5</v>
      </c>
      <c r="D22458" s="1">
        <v>8.8950956889918699E-6</v>
      </c>
      <c r="E22458" s="1">
        <v>0</v>
      </c>
      <c r="F22458" s="1">
        <v>9.4638594565249601E-6</v>
      </c>
    </row>
    <row r="22459" spans="1:6" x14ac:dyDescent="0.25">
      <c r="A22459" s="2" t="str">
        <f t="shared" si="797"/>
        <v>41860</v>
      </c>
      <c r="B22459" s="2" t="str">
        <f>"94803"</f>
        <v>94803</v>
      </c>
      <c r="C22459" s="1">
        <v>5.03806641689268E-3</v>
      </c>
      <c r="D22459" s="1">
        <v>1.82349461624333E-3</v>
      </c>
      <c r="E22459" s="1">
        <v>2.6851778184421899E-3</v>
      </c>
      <c r="F22459" s="1">
        <v>4.5744855209402897E-3</v>
      </c>
    </row>
    <row r="22460" spans="1:6" x14ac:dyDescent="0.25">
      <c r="A22460" s="2" t="str">
        <f t="shared" si="797"/>
        <v>41860</v>
      </c>
      <c r="B22460" s="2" t="str">
        <f>"94945"</f>
        <v>94945</v>
      </c>
      <c r="C22460" s="1">
        <v>3.62090179285178E-3</v>
      </c>
      <c r="D22460" s="1">
        <v>5.1102324733258301E-3</v>
      </c>
      <c r="E22460" s="1">
        <v>4.0244516933195399E-3</v>
      </c>
      <c r="F22460" s="1">
        <v>3.79113606319793E-3</v>
      </c>
    </row>
    <row r="22461" spans="1:6" x14ac:dyDescent="0.25">
      <c r="A22461" s="2" t="str">
        <f t="shared" si="797"/>
        <v>41860</v>
      </c>
      <c r="B22461" s="2" t="str">
        <f>"94978"</f>
        <v>94978</v>
      </c>
      <c r="C22461" s="1">
        <v>3.8482022738257497E-4</v>
      </c>
      <c r="D22461" s="1">
        <v>9.4288014303313796E-4</v>
      </c>
      <c r="E22461" s="1">
        <v>1.32601373750232E-5</v>
      </c>
      <c r="F22461" s="1">
        <v>4.1468911436773001E-4</v>
      </c>
    </row>
    <row r="22462" spans="1:6" x14ac:dyDescent="0.25">
      <c r="A22462" s="2" t="str">
        <f t="shared" si="797"/>
        <v>41860</v>
      </c>
      <c r="B22462" s="2" t="str">
        <f>"94948"</f>
        <v>94948</v>
      </c>
      <c r="C22462" s="1">
        <v>1.03490986484087E-3</v>
      </c>
      <c r="D22462" s="1">
        <v>2.86422081185538E-3</v>
      </c>
      <c r="E22462" s="1">
        <v>1.32601373750232E-5</v>
      </c>
      <c r="F22462" s="1">
        <v>1.1455571696693599E-3</v>
      </c>
    </row>
    <row r="22463" spans="1:6" x14ac:dyDescent="0.25">
      <c r="A22463" s="2" t="str">
        <f t="shared" si="797"/>
        <v>41860</v>
      </c>
      <c r="B22463" s="2" t="str">
        <f>"94974"</f>
        <v>94974</v>
      </c>
      <c r="C22463" s="1">
        <v>0</v>
      </c>
      <c r="D22463" s="1">
        <v>4.4475478444959298E-6</v>
      </c>
      <c r="E22463" s="1">
        <v>0</v>
      </c>
      <c r="F22463" s="1">
        <v>4.3017542984204302E-7</v>
      </c>
    </row>
    <row r="22464" spans="1:6" x14ac:dyDescent="0.25">
      <c r="A22464" s="2" t="str">
        <f t="shared" si="797"/>
        <v>41860</v>
      </c>
      <c r="B22464" s="2" t="str">
        <f>"94947"</f>
        <v>94947</v>
      </c>
      <c r="C22464" s="1">
        <v>5.0904019678167101E-3</v>
      </c>
      <c r="D22464" s="1">
        <v>1.6722779895304699E-3</v>
      </c>
      <c r="E22464" s="1">
        <v>3.98467128119447E-3</v>
      </c>
      <c r="F22464" s="1">
        <v>4.6880518344185901E-3</v>
      </c>
    </row>
    <row r="22465" spans="1:6" x14ac:dyDescent="0.25">
      <c r="A22465" s="2" t="str">
        <f t="shared" si="797"/>
        <v>41860</v>
      </c>
      <c r="B22465" s="2" t="str">
        <f>"94666"</f>
        <v>94666</v>
      </c>
      <c r="C22465" s="1">
        <v>0</v>
      </c>
      <c r="D22465" s="1">
        <v>4.4475478444959298E-6</v>
      </c>
      <c r="E22465" s="1">
        <v>0</v>
      </c>
      <c r="F22465" s="1">
        <v>4.3017542984204302E-7</v>
      </c>
    </row>
    <row r="22466" spans="1:6" x14ac:dyDescent="0.25">
      <c r="A22466" s="2" t="str">
        <f t="shared" si="797"/>
        <v>41860</v>
      </c>
      <c r="B22466" s="2" t="str">
        <f>"94620"</f>
        <v>94620</v>
      </c>
      <c r="C22466" s="1">
        <v>6.1673855108514098E-4</v>
      </c>
      <c r="D22466" s="1">
        <v>7.7387332494229303E-4</v>
      </c>
      <c r="E22466" s="1">
        <v>1.32601373750232E-5</v>
      </c>
      <c r="F22466" s="1">
        <v>5.9278174232233599E-4</v>
      </c>
    </row>
    <row r="22467" spans="1:6" x14ac:dyDescent="0.25">
      <c r="A22467" s="2" t="str">
        <f t="shared" si="797"/>
        <v>41860</v>
      </c>
      <c r="B22467" s="2" t="str">
        <f>"94618"</f>
        <v>94618</v>
      </c>
      <c r="C22467" s="1">
        <v>4.0216279229661703E-3</v>
      </c>
      <c r="D22467" s="1">
        <v>2.47728414938423E-3</v>
      </c>
      <c r="E22467" s="1">
        <v>2.64539740631712E-3</v>
      </c>
      <c r="F22467" s="1">
        <v>3.7829627300309302E-3</v>
      </c>
    </row>
    <row r="22468" spans="1:6" x14ac:dyDescent="0.25">
      <c r="A22468" s="2" t="str">
        <f t="shared" si="797"/>
        <v>41860</v>
      </c>
      <c r="B22468" s="2" t="str">
        <f>"94612"</f>
        <v>94612</v>
      </c>
      <c r="C22468" s="1">
        <v>6.3500468454490101E-3</v>
      </c>
      <c r="D22468" s="1">
        <v>2.0743363146729001E-2</v>
      </c>
      <c r="E22468" s="1">
        <v>5.2112339883841098E-3</v>
      </c>
      <c r="F22468" s="1">
        <v>7.6683072123642703E-3</v>
      </c>
    </row>
    <row r="22469" spans="1:6" x14ac:dyDescent="0.25">
      <c r="A22469" s="2" t="str">
        <f t="shared" si="797"/>
        <v>41860</v>
      </c>
      <c r="B22469" s="2" t="str">
        <f>"94914"</f>
        <v>94914</v>
      </c>
      <c r="C22469" s="1">
        <v>2.2268263824538301E-4</v>
      </c>
      <c r="D22469" s="1">
        <v>4.9367781073904901E-4</v>
      </c>
      <c r="E22469" s="1">
        <v>1.32601373750232E-5</v>
      </c>
      <c r="F22469" s="1">
        <v>2.35305960123598E-4</v>
      </c>
    </row>
    <row r="22470" spans="1:6" x14ac:dyDescent="0.25">
      <c r="A22470" s="2" t="str">
        <f t="shared" si="797"/>
        <v>41860</v>
      </c>
      <c r="B22470" s="2" t="str">
        <f>"94912"</f>
        <v>94912</v>
      </c>
      <c r="C22470" s="1">
        <v>1.29812690037055E-3</v>
      </c>
      <c r="D22470" s="1">
        <v>2.2326690179369601E-3</v>
      </c>
      <c r="E22470" s="1">
        <v>1.32601373750232E-5</v>
      </c>
      <c r="F22470" s="1">
        <v>1.30515225414076E-3</v>
      </c>
    </row>
    <row r="22471" spans="1:6" x14ac:dyDescent="0.25">
      <c r="A22471" s="2" t="str">
        <f t="shared" si="797"/>
        <v>41860</v>
      </c>
      <c r="B22471" s="2" t="str">
        <f>"94904"</f>
        <v>94904</v>
      </c>
      <c r="C22471" s="1">
        <v>2.91488494901388E-3</v>
      </c>
      <c r="D22471" s="1">
        <v>2.4906267929177199E-3</v>
      </c>
      <c r="E22471" s="1">
        <v>3.3216644124433102E-3</v>
      </c>
      <c r="F22471" s="1">
        <v>2.9002427479950499E-3</v>
      </c>
    </row>
    <row r="22472" spans="1:6" x14ac:dyDescent="0.25">
      <c r="A22472" s="2" t="str">
        <f t="shared" si="797"/>
        <v>41860</v>
      </c>
      <c r="B22472" s="2" t="str">
        <f>"94570"</f>
        <v>94570</v>
      </c>
      <c r="C22472" s="1">
        <v>2.8271459371706498E-4</v>
      </c>
      <c r="D22472" s="1">
        <v>8.6282428183221099E-4</v>
      </c>
      <c r="E22472" s="1">
        <v>1.32601373750232E-5</v>
      </c>
      <c r="F22472" s="1">
        <v>3.2134104609200602E-4</v>
      </c>
    </row>
    <row r="22473" spans="1:6" x14ac:dyDescent="0.25">
      <c r="A22473" s="2" t="str">
        <f t="shared" si="797"/>
        <v>41860</v>
      </c>
      <c r="B22473" s="2" t="str">
        <f>"94568"</f>
        <v>94568</v>
      </c>
      <c r="C22473" s="1">
        <v>1.25292335099401E-2</v>
      </c>
      <c r="D22473" s="1">
        <v>8.1167748162050794E-3</v>
      </c>
      <c r="E22473" s="1">
        <v>4.6145278065080697E-3</v>
      </c>
      <c r="F22473" s="1">
        <v>1.1588926079944601E-2</v>
      </c>
    </row>
    <row r="22474" spans="1:6" x14ac:dyDescent="0.25">
      <c r="A22474" s="2" t="str">
        <f t="shared" si="797"/>
        <v>41860</v>
      </c>
      <c r="B22474" s="2" t="str">
        <f>"94604"</f>
        <v>94604</v>
      </c>
      <c r="C22474" s="1">
        <v>1.67679000411501E-3</v>
      </c>
      <c r="D22474" s="1">
        <v>1.3920824753272201E-3</v>
      </c>
      <c r="E22474" s="1">
        <v>6.6300686875116001E-6</v>
      </c>
      <c r="F22474" s="1">
        <v>1.5408883896941999E-3</v>
      </c>
    </row>
    <row r="22475" spans="1:6" x14ac:dyDescent="0.25">
      <c r="A22475" s="2" t="str">
        <f t="shared" si="797"/>
        <v>41860</v>
      </c>
      <c r="B22475" s="2" t="str">
        <f>"94560"</f>
        <v>94560</v>
      </c>
      <c r="C22475" s="1">
        <v>8.4793854369659295E-3</v>
      </c>
      <c r="D22475" s="1">
        <v>8.4992639308317294E-3</v>
      </c>
      <c r="E22475" s="1">
        <v>5.9670618187604397E-3</v>
      </c>
      <c r="F22475" s="1">
        <v>8.3183022868555997E-3</v>
      </c>
    </row>
    <row r="22476" spans="1:6" x14ac:dyDescent="0.25">
      <c r="A22476" s="2" t="str">
        <f t="shared" si="797"/>
        <v>41860</v>
      </c>
      <c r="B22476" s="2" t="str">
        <f>"94561"</f>
        <v>94561</v>
      </c>
      <c r="C22476" s="1">
        <v>7.6399642476354E-3</v>
      </c>
      <c r="D22476" s="1">
        <v>2.4328086709392701E-3</v>
      </c>
      <c r="E22476" s="1">
        <v>8.6853899806401899E-4</v>
      </c>
      <c r="F22476" s="1">
        <v>6.6969710917809304E-3</v>
      </c>
    </row>
    <row r="22477" spans="1:6" x14ac:dyDescent="0.25">
      <c r="A22477" s="2" t="str">
        <f t="shared" si="797"/>
        <v>41860</v>
      </c>
      <c r="B22477" s="2" t="str">
        <f>"94556"</f>
        <v>94556</v>
      </c>
      <c r="C22477" s="1">
        <v>3.0970331899749701E-3</v>
      </c>
      <c r="D22477" s="1">
        <v>1.7612289464203901E-3</v>
      </c>
      <c r="E22477" s="1">
        <v>1.6575171718779E-3</v>
      </c>
      <c r="F22477" s="1">
        <v>2.8744322222045301E-3</v>
      </c>
    </row>
    <row r="22478" spans="1:6" x14ac:dyDescent="0.25">
      <c r="A22478" s="2" t="str">
        <f t="shared" si="797"/>
        <v>41860</v>
      </c>
      <c r="B22478" s="2" t="str">
        <f>"94555"</f>
        <v>94555</v>
      </c>
      <c r="C22478" s="1">
        <v>6.0483477871810703E-3</v>
      </c>
      <c r="D22478" s="1">
        <v>9.8290807363360204E-4</v>
      </c>
      <c r="E22478" s="1">
        <v>1.32601373750232E-4</v>
      </c>
      <c r="F22478" s="1">
        <v>5.1745802455699401E-3</v>
      </c>
    </row>
    <row r="22479" spans="1:6" x14ac:dyDescent="0.25">
      <c r="A22479" s="2" t="str">
        <f t="shared" si="797"/>
        <v>41860</v>
      </c>
      <c r="B22479" s="2" t="str">
        <f>"94553"</f>
        <v>94553</v>
      </c>
      <c r="C22479" s="1">
        <v>1.1183388901374099E-2</v>
      </c>
      <c r="D22479" s="1">
        <v>9.0062843851042695E-3</v>
      </c>
      <c r="E22479" s="1">
        <v>4.7073487681332299E-3</v>
      </c>
      <c r="F22479" s="1">
        <v>1.05526334694551E-2</v>
      </c>
    </row>
    <row r="22480" spans="1:6" x14ac:dyDescent="0.25">
      <c r="A22480" s="2" t="str">
        <f t="shared" si="797"/>
        <v>41860</v>
      </c>
      <c r="B22480" s="2" t="str">
        <f>"94520"</f>
        <v>94520</v>
      </c>
      <c r="C22480" s="1">
        <v>7.0632470001980498E-3</v>
      </c>
      <c r="D22480" s="1">
        <v>1.49837886881068E-2</v>
      </c>
      <c r="E22480" s="1">
        <v>1.04158379080807E-2</v>
      </c>
      <c r="F22480" s="1">
        <v>8.0468615906252698E-3</v>
      </c>
    </row>
    <row r="22481" spans="1:6" x14ac:dyDescent="0.25">
      <c r="A22481" s="2" t="str">
        <f t="shared" si="797"/>
        <v>41860</v>
      </c>
      <c r="B22481" s="2" t="str">
        <f>"94549"</f>
        <v>94549</v>
      </c>
      <c r="C22481" s="1">
        <v>6.2207472490484602E-3</v>
      </c>
      <c r="D22481" s="1">
        <v>7.4585377352196797E-3</v>
      </c>
      <c r="E22481" s="1">
        <v>3.5338266104436799E-3</v>
      </c>
      <c r="F22481" s="1">
        <v>6.1661346113558498E-3</v>
      </c>
    </row>
    <row r="22482" spans="1:6" x14ac:dyDescent="0.25">
      <c r="A22482" s="2" t="str">
        <f t="shared" si="797"/>
        <v>41860</v>
      </c>
      <c r="B22482" s="2" t="str">
        <f>"94550"</f>
        <v>94550</v>
      </c>
      <c r="C22482" s="1">
        <v>9.4835096836161994E-3</v>
      </c>
      <c r="D22482" s="1">
        <v>5.99529449438052E-3</v>
      </c>
      <c r="E22482" s="1">
        <v>3.6399077094438599E-3</v>
      </c>
      <c r="F22482" s="1">
        <v>8.7669752601808506E-3</v>
      </c>
    </row>
    <row r="22483" spans="1:6" x14ac:dyDescent="0.25">
      <c r="A22483" s="2" t="str">
        <f t="shared" si="797"/>
        <v>41860</v>
      </c>
      <c r="B22483" s="2" t="str">
        <f>"94509"</f>
        <v>94509</v>
      </c>
      <c r="C22483" s="1">
        <v>1.25112752326623E-2</v>
      </c>
      <c r="D22483" s="1">
        <v>8.5882148877216499E-3</v>
      </c>
      <c r="E22483" s="1">
        <v>6.4576869016363002E-3</v>
      </c>
      <c r="F22483" s="1">
        <v>1.1739057304959499E-2</v>
      </c>
    </row>
    <row r="22484" spans="1:6" x14ac:dyDescent="0.25">
      <c r="A22484" s="2" t="str">
        <f t="shared" si="797"/>
        <v>41860</v>
      </c>
      <c r="B22484" s="2" t="str">
        <f>"94110"</f>
        <v>94110</v>
      </c>
      <c r="C22484" s="1">
        <v>1.50295388006538E-2</v>
      </c>
      <c r="D22484" s="1">
        <v>1.4539033903657199E-2</v>
      </c>
      <c r="E22484" s="1">
        <v>2.0692444373723699E-2</v>
      </c>
      <c r="F22484" s="1">
        <v>1.5349519687623801E-2</v>
      </c>
    </row>
    <row r="22485" spans="1:6" x14ac:dyDescent="0.25">
      <c r="A22485" s="2" t="str">
        <f t="shared" si="797"/>
        <v>41860</v>
      </c>
      <c r="B22485" s="2" t="str">
        <f>"94123"</f>
        <v>94123</v>
      </c>
      <c r="C22485" s="1">
        <v>8.1371519814136904E-3</v>
      </c>
      <c r="D22485" s="1">
        <v>6.2310145301388E-3</v>
      </c>
      <c r="E22485" s="1">
        <v>2.6507014612671301E-2</v>
      </c>
      <c r="F22485" s="1">
        <v>9.1446692875821606E-3</v>
      </c>
    </row>
    <row r="22486" spans="1:6" x14ac:dyDescent="0.25">
      <c r="A22486" s="2" t="str">
        <f t="shared" si="797"/>
        <v>41860</v>
      </c>
      <c r="B22486" s="2" t="str">
        <f>"94147"</f>
        <v>94147</v>
      </c>
      <c r="C22486" s="1">
        <v>1.1093084421348301E-3</v>
      </c>
      <c r="D22486" s="1">
        <v>1.2853413270593199E-3</v>
      </c>
      <c r="E22486" s="1">
        <v>2.6520274750046401E-5</v>
      </c>
      <c r="F22486" s="1">
        <v>1.0560806802622101E-3</v>
      </c>
    </row>
    <row r="22487" spans="1:6" x14ac:dyDescent="0.25">
      <c r="A22487" s="2" t="str">
        <f t="shared" si="797"/>
        <v>41860</v>
      </c>
      <c r="B22487" s="2" t="str">
        <f>"94146"</f>
        <v>94146</v>
      </c>
      <c r="C22487" s="1">
        <v>3.0375143281397899E-4</v>
      </c>
      <c r="D22487" s="1">
        <v>7.1160765511934902E-4</v>
      </c>
      <c r="E22487" s="1">
        <v>1.32601373750232E-5</v>
      </c>
      <c r="F22487" s="1">
        <v>3.2435227410090102E-4</v>
      </c>
    </row>
    <row r="22488" spans="1:6" x14ac:dyDescent="0.25">
      <c r="A22488" s="2" t="str">
        <f t="shared" si="797"/>
        <v>41860</v>
      </c>
      <c r="B22488" s="2" t="str">
        <f>"94117"</f>
        <v>94117</v>
      </c>
      <c r="C22488" s="1">
        <v>1.01572016283539E-2</v>
      </c>
      <c r="D22488" s="1">
        <v>4.7321909065436698E-3</v>
      </c>
      <c r="E22488" s="1">
        <v>1.7224918450155099E-2</v>
      </c>
      <c r="F22488" s="1">
        <v>1.00910552332346E-2</v>
      </c>
    </row>
    <row r="22489" spans="1:6" x14ac:dyDescent="0.25">
      <c r="A22489" s="2" t="str">
        <f t="shared" si="797"/>
        <v>41860</v>
      </c>
      <c r="B22489" s="2" t="str">
        <f>"94115"</f>
        <v>94115</v>
      </c>
      <c r="C22489" s="1">
        <v>1.07298141266992E-2</v>
      </c>
      <c r="D22489" s="1">
        <v>7.8543694933798196E-3</v>
      </c>
      <c r="E22489" s="1">
        <v>2.3576524252791199E-2</v>
      </c>
      <c r="F22489" s="1">
        <v>1.1285222226476099E-2</v>
      </c>
    </row>
    <row r="22490" spans="1:6" x14ac:dyDescent="0.25">
      <c r="A22490" s="2" t="str">
        <f t="shared" si="797"/>
        <v>41860</v>
      </c>
      <c r="B22490" s="2" t="str">
        <f>"94066"</f>
        <v>94066</v>
      </c>
      <c r="C22490" s="1">
        <v>9.52404408090049E-3</v>
      </c>
      <c r="D22490" s="1">
        <v>7.0493633335260604E-3</v>
      </c>
      <c r="E22490" s="1">
        <v>1.1708701302145399E-2</v>
      </c>
      <c r="F22490" s="1">
        <v>9.4264341941287001E-3</v>
      </c>
    </row>
    <row r="22491" spans="1:6" x14ac:dyDescent="0.25">
      <c r="A22491" s="2" t="str">
        <f t="shared" si="797"/>
        <v>41860</v>
      </c>
      <c r="B22491" s="2" t="str">
        <f>"94030"</f>
        <v>94030</v>
      </c>
      <c r="C22491" s="1">
        <v>4.9826523041495898E-3</v>
      </c>
      <c r="D22491" s="1">
        <v>4.2251704522711401E-3</v>
      </c>
      <c r="E22491" s="1">
        <v>3.9714111438194401E-3</v>
      </c>
      <c r="F22491" s="1">
        <v>4.8437753400214102E-3</v>
      </c>
    </row>
    <row r="22492" spans="1:6" x14ac:dyDescent="0.25">
      <c r="A22492" s="2" t="str">
        <f t="shared" si="797"/>
        <v>41860</v>
      </c>
      <c r="B22492" s="2" t="str">
        <f>"94028"</f>
        <v>94028</v>
      </c>
      <c r="C22492" s="1">
        <v>1.4884846395157999E-3</v>
      </c>
      <c r="D22492" s="1">
        <v>5.9597141116245504E-4</v>
      </c>
      <c r="E22492" s="1">
        <v>1.7768584082531E-3</v>
      </c>
      <c r="F22492" s="1">
        <v>1.4208694447682699E-3</v>
      </c>
    </row>
    <row r="22493" spans="1:6" x14ac:dyDescent="0.25">
      <c r="A22493" s="2" t="str">
        <f t="shared" si="797"/>
        <v>41860</v>
      </c>
      <c r="B22493" s="2" t="str">
        <f>"94017"</f>
        <v>94017</v>
      </c>
      <c r="C22493" s="1">
        <v>5.5978515743251996E-4</v>
      </c>
      <c r="D22493" s="1">
        <v>7.6497822925330095E-4</v>
      </c>
      <c r="E22493" s="1">
        <v>1.32601373750232E-5</v>
      </c>
      <c r="F22493" s="1">
        <v>5.4417191875018496E-4</v>
      </c>
    </row>
    <row r="22494" spans="1:6" x14ac:dyDescent="0.25">
      <c r="A22494" s="2" t="str">
        <f t="shared" si="797"/>
        <v>41860</v>
      </c>
      <c r="B22494" s="2" t="str">
        <f>"94015"</f>
        <v>94015</v>
      </c>
      <c r="C22494" s="1">
        <v>1.07636783067089E-2</v>
      </c>
      <c r="D22494" s="1">
        <v>6.1376160254043898E-3</v>
      </c>
      <c r="E22494" s="1">
        <v>1.17020712334579E-2</v>
      </c>
      <c r="F22494" s="1">
        <v>1.03771218940796E-2</v>
      </c>
    </row>
    <row r="22495" spans="1:6" x14ac:dyDescent="0.25">
      <c r="A22495" s="2" t="str">
        <f t="shared" si="797"/>
        <v>41860</v>
      </c>
      <c r="B22495" s="2" t="str">
        <f>"94709"</f>
        <v>94709</v>
      </c>
      <c r="C22495" s="1">
        <v>3.3089408618536399E-3</v>
      </c>
      <c r="D22495" s="1">
        <v>2.7263468286759999E-3</v>
      </c>
      <c r="E22495" s="1">
        <v>5.2974248813217701E-3</v>
      </c>
      <c r="F22495" s="1">
        <v>3.3816090539883002E-3</v>
      </c>
    </row>
    <row r="22496" spans="1:6" x14ac:dyDescent="0.25">
      <c r="A22496" s="2" t="str">
        <f t="shared" si="797"/>
        <v>41860</v>
      </c>
      <c r="B22496" s="2" t="str">
        <f>"94708"</f>
        <v>94708</v>
      </c>
      <c r="C22496" s="1">
        <v>2.50697550798835E-3</v>
      </c>
      <c r="D22496" s="1">
        <v>1.33426435334878E-4</v>
      </c>
      <c r="E22496" s="1">
        <v>2.78462884875487E-4</v>
      </c>
      <c r="F22496" s="1">
        <v>2.13280978115685E-3</v>
      </c>
    </row>
    <row r="22497" spans="1:6" x14ac:dyDescent="0.25">
      <c r="A22497" s="2" t="str">
        <f t="shared" si="797"/>
        <v>41860</v>
      </c>
      <c r="B22497" s="2" t="str">
        <f>"94705"</f>
        <v>94705</v>
      </c>
      <c r="C22497" s="1">
        <v>3.43208333461606E-3</v>
      </c>
      <c r="D22497" s="1">
        <v>3.8293386941109999E-3</v>
      </c>
      <c r="E22497" s="1">
        <v>4.6012676691330502E-3</v>
      </c>
      <c r="F22497" s="1">
        <v>3.5463662436178E-3</v>
      </c>
    </row>
    <row r="22498" spans="1:6" x14ac:dyDescent="0.25">
      <c r="A22498" s="2" t="str">
        <f t="shared" si="797"/>
        <v>41860</v>
      </c>
      <c r="B22498" s="2" t="str">
        <f>"94720"</f>
        <v>94720</v>
      </c>
      <c r="C22498" s="1">
        <v>3.84820227382575E-5</v>
      </c>
      <c r="D22498" s="1">
        <v>4.2785410264050902E-3</v>
      </c>
      <c r="E22498" s="1">
        <v>2.3072639032540301E-3</v>
      </c>
      <c r="F22498" s="1">
        <v>5.9579297033123002E-4</v>
      </c>
    </row>
    <row r="22499" spans="1:6" x14ac:dyDescent="0.25">
      <c r="A22499" s="2" t="str">
        <f t="shared" si="797"/>
        <v>41860</v>
      </c>
      <c r="B22499" s="2" t="str">
        <f>"94929"</f>
        <v>94929</v>
      </c>
      <c r="C22499" s="1">
        <v>0</v>
      </c>
      <c r="D22499" s="1">
        <v>4.4475478444959298E-6</v>
      </c>
      <c r="E22499" s="1">
        <v>6.6300686875116001E-6</v>
      </c>
      <c r="F22499" s="1">
        <v>8.6035085968408699E-7</v>
      </c>
    </row>
    <row r="22500" spans="1:6" x14ac:dyDescent="0.25">
      <c r="A22500" s="2" t="str">
        <f t="shared" si="797"/>
        <v>41860</v>
      </c>
      <c r="B22500" s="2" t="str">
        <f>"94952"</f>
        <v>94952</v>
      </c>
      <c r="C22500" s="1">
        <v>1.21603191852894E-4</v>
      </c>
      <c r="D22500" s="1">
        <v>3.1132834911471501E-5</v>
      </c>
      <c r="E22500" s="1">
        <v>6.6300686875116001E-6</v>
      </c>
      <c r="F22500" s="1">
        <v>1.053929803113E-4</v>
      </c>
    </row>
    <row r="22501" spans="1:6" x14ac:dyDescent="0.25">
      <c r="A22501" s="2" t="str">
        <f t="shared" si="797"/>
        <v>41860</v>
      </c>
      <c r="B22501" s="2" t="str">
        <f>"94613"</f>
        <v>94613</v>
      </c>
      <c r="C22501" s="1">
        <v>0</v>
      </c>
      <c r="D22501" s="1">
        <v>4.4475478444959298E-6</v>
      </c>
      <c r="E22501" s="1">
        <v>0</v>
      </c>
      <c r="F22501" s="1">
        <v>4.3017542984204302E-7</v>
      </c>
    </row>
    <row r="22502" spans="1:6" x14ac:dyDescent="0.25">
      <c r="A22502" s="2" t="str">
        <f t="shared" si="797"/>
        <v>41860</v>
      </c>
      <c r="B22502" s="2" t="str">
        <f>"94913"</f>
        <v>94913</v>
      </c>
      <c r="C22502" s="1">
        <v>1.3237815821960601E-4</v>
      </c>
      <c r="D22502" s="1">
        <v>6.0486650685144701E-4</v>
      </c>
      <c r="E22502" s="1">
        <v>1.32601373750232E-5</v>
      </c>
      <c r="F22502" s="1">
        <v>1.7034947021744899E-4</v>
      </c>
    </row>
    <row r="22503" spans="1:6" x14ac:dyDescent="0.25">
      <c r="A22503" s="2" t="str">
        <f t="shared" si="797"/>
        <v>41860</v>
      </c>
      <c r="B22503" s="2" t="str">
        <f>"94609"</f>
        <v>94609</v>
      </c>
      <c r="C22503" s="1">
        <v>5.9590694944283099E-3</v>
      </c>
      <c r="D22503" s="1">
        <v>6.2043292430718298E-3</v>
      </c>
      <c r="E22503" s="1">
        <v>8.2279152412018906E-3</v>
      </c>
      <c r="F22503" s="1">
        <v>6.1299998752491203E-3</v>
      </c>
    </row>
    <row r="22504" spans="1:6" x14ac:dyDescent="0.25">
      <c r="A22504" s="2" t="str">
        <f t="shared" si="797"/>
        <v>41860</v>
      </c>
      <c r="B22504" s="2" t="str">
        <f>"94575"</f>
        <v>94575</v>
      </c>
      <c r="C22504" s="1">
        <v>0</v>
      </c>
      <c r="D22504" s="1">
        <v>8.8950956889918699E-6</v>
      </c>
      <c r="E22504" s="1">
        <v>0</v>
      </c>
      <c r="F22504" s="1">
        <v>8.6035085968408699E-7</v>
      </c>
    </row>
    <row r="22505" spans="1:6" x14ac:dyDescent="0.25">
      <c r="A22505" s="2" t="str">
        <f t="shared" si="797"/>
        <v>41860</v>
      </c>
      <c r="B22505" s="2" t="str">
        <f>"94588"</f>
        <v>94588</v>
      </c>
      <c r="C22505" s="1">
        <v>7.4085590175693499E-3</v>
      </c>
      <c r="D22505" s="1">
        <v>1.0113723798383699E-2</v>
      </c>
      <c r="E22505" s="1">
        <v>5.4631765985095598E-3</v>
      </c>
      <c r="F22505" s="1">
        <v>7.5439865131399202E-3</v>
      </c>
    </row>
    <row r="22506" spans="1:6" x14ac:dyDescent="0.25">
      <c r="A22506" s="2" t="str">
        <f t="shared" si="797"/>
        <v>41860</v>
      </c>
      <c r="B22506" s="2" t="str">
        <f>"94595"</f>
        <v>94595</v>
      </c>
      <c r="C22506" s="1">
        <v>5.6327419416078899E-3</v>
      </c>
      <c r="D22506" s="1">
        <v>1.9124455731332501E-3</v>
      </c>
      <c r="E22506" s="1">
        <v>1.4990585302463701E-2</v>
      </c>
      <c r="F22506" s="1">
        <v>5.8800679505108897E-3</v>
      </c>
    </row>
    <row r="22507" spans="1:6" x14ac:dyDescent="0.25">
      <c r="A22507" s="2" t="str">
        <f t="shared" si="797"/>
        <v>41860</v>
      </c>
      <c r="B22507" s="2" t="str">
        <f>"94523"</f>
        <v>94523</v>
      </c>
      <c r="C22507" s="1">
        <v>7.7574626903962199E-3</v>
      </c>
      <c r="D22507" s="1">
        <v>7.2717407257508497E-3</v>
      </c>
      <c r="E22507" s="1">
        <v>4.2034635478823499E-3</v>
      </c>
      <c r="F22507" s="1">
        <v>7.4798903740934501E-3</v>
      </c>
    </row>
    <row r="22508" spans="1:6" x14ac:dyDescent="0.25">
      <c r="A22508" s="2" t="str">
        <f t="shared" si="797"/>
        <v>41860</v>
      </c>
      <c r="B22508" s="2" t="str">
        <f>"94518"</f>
        <v>94518</v>
      </c>
      <c r="C22508" s="1">
        <v>5.4126247715450496E-3</v>
      </c>
      <c r="D22508" s="1">
        <v>2.6151581325636101E-3</v>
      </c>
      <c r="E22508" s="1">
        <v>4.0111915559445099E-3</v>
      </c>
      <c r="F22508" s="1">
        <v>5.0511198972052699E-3</v>
      </c>
    </row>
    <row r="22509" spans="1:6" x14ac:dyDescent="0.25">
      <c r="A22509" s="2" t="str">
        <f t="shared" si="797"/>
        <v>41860</v>
      </c>
      <c r="B22509" s="2" t="str">
        <f>"94543"</f>
        <v>94543</v>
      </c>
      <c r="C22509" s="1">
        <v>2.43719477342298E-4</v>
      </c>
      <c r="D22509" s="1">
        <v>5.6928612409547902E-4</v>
      </c>
      <c r="E22509" s="1">
        <v>1.32601373750232E-5</v>
      </c>
      <c r="F22509" s="1">
        <v>2.60256135054436E-4</v>
      </c>
    </row>
    <row r="22510" spans="1:6" x14ac:dyDescent="0.25">
      <c r="A22510" s="2" t="str">
        <f t="shared" si="797"/>
        <v>41860</v>
      </c>
      <c r="B22510" s="2" t="str">
        <f>"94526"</f>
        <v>94526</v>
      </c>
      <c r="C22510" s="1">
        <v>7.22538458933524E-3</v>
      </c>
      <c r="D22510" s="1">
        <v>8.2368586080064695E-3</v>
      </c>
      <c r="E22510" s="1">
        <v>1.96250033150343E-3</v>
      </c>
      <c r="F22510" s="1">
        <v>6.9817472263363697E-3</v>
      </c>
    </row>
    <row r="22511" spans="1:6" x14ac:dyDescent="0.25">
      <c r="A22511" s="2" t="str">
        <f t="shared" si="797"/>
        <v>41860</v>
      </c>
      <c r="B22511" s="2" t="str">
        <f>"94108"</f>
        <v>94108</v>
      </c>
      <c r="C22511" s="1">
        <v>4.1883833548319498E-3</v>
      </c>
      <c r="D22511" s="1">
        <v>1.6362528519900499E-2</v>
      </c>
      <c r="E22511" s="1">
        <v>9.7064205585169795E-3</v>
      </c>
      <c r="F22511" s="1">
        <v>5.7239142694782297E-3</v>
      </c>
    </row>
    <row r="22512" spans="1:6" x14ac:dyDescent="0.25">
      <c r="A22512" s="2" t="str">
        <f t="shared" si="797"/>
        <v>41860</v>
      </c>
      <c r="B22512" s="2" t="str">
        <f>"94143"</f>
        <v>94143</v>
      </c>
      <c r="C22512" s="1">
        <v>0</v>
      </c>
      <c r="D22512" s="1">
        <v>1.8679700946882901E-4</v>
      </c>
      <c r="E22512" s="1">
        <v>0</v>
      </c>
      <c r="F22512" s="1">
        <v>1.8067368053365801E-5</v>
      </c>
    </row>
    <row r="22513" spans="1:6" x14ac:dyDescent="0.25">
      <c r="A22513" s="2" t="str">
        <f t="shared" si="797"/>
        <v>41860</v>
      </c>
      <c r="B22513" s="2" t="str">
        <f>"94140"</f>
        <v>94140</v>
      </c>
      <c r="C22513" s="1">
        <v>4.6948067740674201E-4</v>
      </c>
      <c r="D22513" s="1">
        <v>5.2925819349501602E-4</v>
      </c>
      <c r="E22513" s="1">
        <v>1.32601373750232E-5</v>
      </c>
      <c r="F22513" s="1">
        <v>4.45661745316357E-4</v>
      </c>
    </row>
    <row r="22514" spans="1:6" x14ac:dyDescent="0.25">
      <c r="A22514" s="2" t="str">
        <f t="shared" si="797"/>
        <v>41860</v>
      </c>
      <c r="B22514" s="2" t="str">
        <f>"94132"</f>
        <v>94132</v>
      </c>
      <c r="C22514" s="1">
        <v>6.34029806635532E-3</v>
      </c>
      <c r="D22514" s="1">
        <v>3.2066819958815702E-3</v>
      </c>
      <c r="E22514" s="1">
        <v>3.3216644124433102E-3</v>
      </c>
      <c r="F22514" s="1">
        <v>5.8413521618251099E-3</v>
      </c>
    </row>
    <row r="22515" spans="1:6" x14ac:dyDescent="0.25">
      <c r="A22515" s="2" t="str">
        <f t="shared" si="797"/>
        <v>41860</v>
      </c>
      <c r="B22515" s="2" t="str">
        <f>"94129"</f>
        <v>94129</v>
      </c>
      <c r="C22515" s="1">
        <v>1.1154655657729599E-3</v>
      </c>
      <c r="D22515" s="1">
        <v>2.9175913859893301E-3</v>
      </c>
      <c r="E22515" s="1">
        <v>6.5637680006364798E-3</v>
      </c>
      <c r="F22515" s="1">
        <v>1.6432701419966001E-3</v>
      </c>
    </row>
    <row r="22516" spans="1:6" x14ac:dyDescent="0.25">
      <c r="A22516" s="2" t="str">
        <f t="shared" si="797"/>
        <v>41860</v>
      </c>
      <c r="B22516" s="2" t="str">
        <f>"94116"</f>
        <v>94116</v>
      </c>
      <c r="C22516" s="1">
        <v>8.0760938386689896E-3</v>
      </c>
      <c r="D22516" s="1">
        <v>3.2911854049269898E-3</v>
      </c>
      <c r="E22516" s="1">
        <v>5.7283793460100197E-3</v>
      </c>
      <c r="F22516" s="1">
        <v>7.4609626551804002E-3</v>
      </c>
    </row>
    <row r="22517" spans="1:6" x14ac:dyDescent="0.25">
      <c r="A22517" s="2" t="str">
        <f t="shared" si="797"/>
        <v>41860</v>
      </c>
      <c r="B22517" s="2" t="str">
        <f>"94062"</f>
        <v>94062</v>
      </c>
      <c r="C22517" s="1">
        <v>5.7846176580148801E-3</v>
      </c>
      <c r="D22517" s="1">
        <v>2.9398291252118098E-3</v>
      </c>
      <c r="E22517" s="1">
        <v>3.1161322831304498E-3</v>
      </c>
      <c r="F22517" s="1">
        <v>5.33632620719055E-3</v>
      </c>
    </row>
    <row r="22518" spans="1:6" x14ac:dyDescent="0.25">
      <c r="A22518" s="2" t="str">
        <f t="shared" si="797"/>
        <v>41860</v>
      </c>
      <c r="B22518" s="2" t="str">
        <f>"94060"</f>
        <v>94060</v>
      </c>
      <c r="C22518" s="1">
        <v>9.6461603663899003E-5</v>
      </c>
      <c r="D22518" s="1">
        <v>1.2453133964588601E-4</v>
      </c>
      <c r="E22518" s="1">
        <v>2.4531254143792902E-4</v>
      </c>
      <c r="F22518" s="1">
        <v>1.0883438375003701E-4</v>
      </c>
    </row>
    <row r="22519" spans="1:6" x14ac:dyDescent="0.25">
      <c r="A22519" s="2" t="str">
        <f t="shared" si="797"/>
        <v>41860</v>
      </c>
      <c r="B22519" s="2" t="str">
        <f>"94020"</f>
        <v>94020</v>
      </c>
      <c r="C22519" s="1">
        <v>1.8830536459920699E-4</v>
      </c>
      <c r="D22519" s="1">
        <v>8.8950956889918699E-6</v>
      </c>
      <c r="E22519" s="1">
        <v>3.3150343437558001E-5</v>
      </c>
      <c r="F22519" s="1">
        <v>1.60885610760924E-4</v>
      </c>
    </row>
    <row r="22520" spans="1:6" x14ac:dyDescent="0.25">
      <c r="A22520" s="2" t="str">
        <f t="shared" si="797"/>
        <v>41860</v>
      </c>
      <c r="B22520" s="2" t="str">
        <f>"95035"</f>
        <v>95035</v>
      </c>
      <c r="C22520" s="1">
        <v>1.7958277277853499E-5</v>
      </c>
      <c r="D22520" s="1">
        <v>8.8950956889918699E-6</v>
      </c>
      <c r="E22520" s="1">
        <v>0</v>
      </c>
      <c r="F22520" s="1">
        <v>1.5916490904155601E-5</v>
      </c>
    </row>
    <row r="22521" spans="1:6" x14ac:dyDescent="0.25">
      <c r="A22521" s="2" t="str">
        <f t="shared" si="797"/>
        <v>41860</v>
      </c>
      <c r="B22521" s="2" t="str">
        <f>"94801"</f>
        <v>94801</v>
      </c>
      <c r="C22521" s="1">
        <v>5.4218604570022396E-3</v>
      </c>
      <c r="D22521" s="1">
        <v>3.6603318760201498E-3</v>
      </c>
      <c r="E22521" s="1">
        <v>4.16368313575728E-3</v>
      </c>
      <c r="F22521" s="1">
        <v>5.1698483158416804E-3</v>
      </c>
    </row>
    <row r="22522" spans="1:6" x14ac:dyDescent="0.25">
      <c r="A22522" s="2" t="str">
        <f t="shared" ref="A22522:A22585" si="798">"41860"</f>
        <v>41860</v>
      </c>
      <c r="B22522" s="2" t="str">
        <f>"94942"</f>
        <v>94942</v>
      </c>
      <c r="C22522" s="1">
        <v>6.9985972019977801E-4</v>
      </c>
      <c r="D22522" s="1">
        <v>1.86797009468829E-3</v>
      </c>
      <c r="E22522" s="1">
        <v>1.32601373750232E-5</v>
      </c>
      <c r="F22522" s="1">
        <v>7.6829331769788999E-4</v>
      </c>
    </row>
    <row r="22523" spans="1:6" x14ac:dyDescent="0.25">
      <c r="A22523" s="2" t="str">
        <f t="shared" si="798"/>
        <v>41860</v>
      </c>
      <c r="B22523" s="2" t="str">
        <f>"94946"</f>
        <v>94946</v>
      </c>
      <c r="C22523" s="1">
        <v>7.7477139113025194E-5</v>
      </c>
      <c r="D22523" s="1">
        <v>0</v>
      </c>
      <c r="E22523" s="1">
        <v>3.9780412125069601E-5</v>
      </c>
      <c r="F22523" s="1">
        <v>6.7537542485200804E-5</v>
      </c>
    </row>
    <row r="22524" spans="1:6" x14ac:dyDescent="0.25">
      <c r="A22524" s="2" t="str">
        <f t="shared" si="798"/>
        <v>41860</v>
      </c>
      <c r="B22524" s="2" t="str">
        <f>"94930"</f>
        <v>94930</v>
      </c>
      <c r="C22524" s="1">
        <v>1.98567237329409E-3</v>
      </c>
      <c r="D22524" s="1">
        <v>1.2853413270593199E-3</v>
      </c>
      <c r="E22524" s="1">
        <v>9.2820961625162399E-4</v>
      </c>
      <c r="F22524" s="1">
        <v>1.8493241728909399E-3</v>
      </c>
    </row>
    <row r="22525" spans="1:6" x14ac:dyDescent="0.25">
      <c r="A22525" s="2" t="str">
        <f t="shared" si="798"/>
        <v>41860</v>
      </c>
      <c r="B22525" s="2" t="str">
        <f>"94966"</f>
        <v>94966</v>
      </c>
      <c r="C22525" s="1">
        <v>1.16061780578584E-3</v>
      </c>
      <c r="D22525" s="1">
        <v>1.4676907886836501E-3</v>
      </c>
      <c r="E22525" s="1">
        <v>1.32601373750232E-5</v>
      </c>
      <c r="F22525" s="1">
        <v>1.1158750650102601E-3</v>
      </c>
    </row>
    <row r="22526" spans="1:6" x14ac:dyDescent="0.25">
      <c r="A22526" s="2" t="str">
        <f t="shared" si="798"/>
        <v>41860</v>
      </c>
      <c r="B22526" s="2" t="str">
        <f>"94960"</f>
        <v>94960</v>
      </c>
      <c r="C22526" s="1">
        <v>3.3433181354998098E-3</v>
      </c>
      <c r="D22526" s="1">
        <v>2.7930600463434399E-3</v>
      </c>
      <c r="E22526" s="1">
        <v>2.7315882992547799E-3</v>
      </c>
      <c r="F22526" s="1">
        <v>3.2504055478864802E-3</v>
      </c>
    </row>
    <row r="22527" spans="1:6" x14ac:dyDescent="0.25">
      <c r="A22527" s="2" t="str">
        <f t="shared" si="798"/>
        <v>41860</v>
      </c>
      <c r="B22527" s="2" t="str">
        <f>"94661"</f>
        <v>94661</v>
      </c>
      <c r="C22527" s="1">
        <v>6.8754547292353499E-5</v>
      </c>
      <c r="D22527" s="1">
        <v>4.5364988013858499E-4</v>
      </c>
      <c r="E22527" s="1">
        <v>6.6300686875116001E-6</v>
      </c>
      <c r="F22527" s="1">
        <v>1.01951576872564E-4</v>
      </c>
    </row>
    <row r="22528" spans="1:6" x14ac:dyDescent="0.25">
      <c r="A22528" s="2" t="str">
        <f t="shared" si="798"/>
        <v>41860</v>
      </c>
      <c r="B22528" s="2" t="str">
        <f>"94701"</f>
        <v>94701</v>
      </c>
      <c r="C22528" s="1">
        <v>5.3259119469748503E-4</v>
      </c>
      <c r="D22528" s="1">
        <v>6.5378953314090197E-4</v>
      </c>
      <c r="E22528" s="1">
        <v>6.6300686875116001E-6</v>
      </c>
      <c r="F22528" s="1">
        <v>5.1018805979266405E-4</v>
      </c>
    </row>
    <row r="22529" spans="1:6" x14ac:dyDescent="0.25">
      <c r="A22529" s="2" t="str">
        <f t="shared" si="798"/>
        <v>41860</v>
      </c>
      <c r="B22529" s="2" t="str">
        <f>"94624"</f>
        <v>94624</v>
      </c>
      <c r="C22529" s="1">
        <v>2.8630624917263598E-4</v>
      </c>
      <c r="D22529" s="1">
        <v>1.4676907886836501E-4</v>
      </c>
      <c r="E22529" s="1">
        <v>1.32601373750232E-5</v>
      </c>
      <c r="F22529" s="1">
        <v>2.5509402989633203E-4</v>
      </c>
    </row>
    <row r="22530" spans="1:6" x14ac:dyDescent="0.25">
      <c r="A22530" s="2" t="str">
        <f t="shared" si="798"/>
        <v>41860</v>
      </c>
      <c r="B22530" s="2" t="str">
        <f>"94924"</f>
        <v>94924</v>
      </c>
      <c r="C22530" s="1">
        <v>8.9791386389267703E-5</v>
      </c>
      <c r="D22530" s="1">
        <v>2.2237739222479599E-5</v>
      </c>
      <c r="E22530" s="1">
        <v>1.45861511125255E-4</v>
      </c>
      <c r="F22530" s="1">
        <v>8.6895436828092796E-5</v>
      </c>
    </row>
    <row r="22531" spans="1:6" x14ac:dyDescent="0.25">
      <c r="A22531" s="2" t="str">
        <f t="shared" si="798"/>
        <v>41860</v>
      </c>
      <c r="B22531" s="2" t="str">
        <f>"94602"</f>
        <v>94602</v>
      </c>
      <c r="C22531" s="1">
        <v>6.5398914909577501E-3</v>
      </c>
      <c r="D22531" s="1">
        <v>2.62850077609709E-3</v>
      </c>
      <c r="E22531" s="1">
        <v>6.1195533985732003E-3</v>
      </c>
      <c r="F22531" s="1">
        <v>6.13430162954754E-3</v>
      </c>
    </row>
    <row r="22532" spans="1:6" x14ac:dyDescent="0.25">
      <c r="A22532" s="2" t="str">
        <f t="shared" si="798"/>
        <v>41860</v>
      </c>
      <c r="B22532" s="2" t="str">
        <f>"94586"</f>
        <v>94586</v>
      </c>
      <c r="C22532" s="1">
        <v>3.97134474658818E-4</v>
      </c>
      <c r="D22532" s="1">
        <v>4.4030723660509698E-4</v>
      </c>
      <c r="E22532" s="1">
        <v>1.32601373750232E-5</v>
      </c>
      <c r="F22532" s="1">
        <v>3.76403501111788E-4</v>
      </c>
    </row>
    <row r="22533" spans="1:6" x14ac:dyDescent="0.25">
      <c r="A22533" s="2" t="str">
        <f t="shared" si="798"/>
        <v>41860</v>
      </c>
      <c r="B22533" s="2" t="str">
        <f>"94552"</f>
        <v>94552</v>
      </c>
      <c r="C22533" s="1">
        <v>2.6034371116522501E-3</v>
      </c>
      <c r="D22533" s="1">
        <v>4.09174401693626E-4</v>
      </c>
      <c r="E22533" s="1">
        <v>4.6410480812581201E-5</v>
      </c>
      <c r="F22533" s="1">
        <v>2.2252974985728898E-3</v>
      </c>
    </row>
    <row r="22534" spans="1:6" x14ac:dyDescent="0.25">
      <c r="A22534" s="2" t="str">
        <f t="shared" si="798"/>
        <v>41860</v>
      </c>
      <c r="B22534" s="2" t="str">
        <f>"94517"</f>
        <v>94517</v>
      </c>
      <c r="C22534" s="1">
        <v>2.9477229417505298E-3</v>
      </c>
      <c r="D22534" s="1">
        <v>1.80125687702085E-3</v>
      </c>
      <c r="E22534" s="1">
        <v>2.9172302225051E-4</v>
      </c>
      <c r="F22534" s="1">
        <v>2.6645066124416101E-3</v>
      </c>
    </row>
    <row r="22535" spans="1:6" x14ac:dyDescent="0.25">
      <c r="A22535" s="2" t="str">
        <f t="shared" si="798"/>
        <v>41860</v>
      </c>
      <c r="B22535" s="2" t="str">
        <f>"94513"</f>
        <v>94513</v>
      </c>
      <c r="C22535" s="1">
        <v>1.2233691575310301E-2</v>
      </c>
      <c r="D22535" s="1">
        <v>1.0407261956120401E-2</v>
      </c>
      <c r="E22535" s="1">
        <v>3.3017742063807701E-3</v>
      </c>
      <c r="F22535" s="1">
        <v>1.1477510643615499E-2</v>
      </c>
    </row>
    <row r="22536" spans="1:6" x14ac:dyDescent="0.25">
      <c r="A22536" s="2" t="str">
        <f t="shared" si="798"/>
        <v>41860</v>
      </c>
      <c r="B22536" s="2" t="str">
        <f>"94547"</f>
        <v>94547</v>
      </c>
      <c r="C22536" s="1">
        <v>4.8174361531933404E-3</v>
      </c>
      <c r="D22536" s="1">
        <v>1.5788794847960499E-3</v>
      </c>
      <c r="E22536" s="1">
        <v>1.0674410586893599E-3</v>
      </c>
      <c r="F22536" s="1">
        <v>4.2608876325854403E-3</v>
      </c>
    </row>
    <row r="22537" spans="1:6" x14ac:dyDescent="0.25">
      <c r="A22537" s="2" t="str">
        <f t="shared" si="798"/>
        <v>41860</v>
      </c>
      <c r="B22537" s="2" t="str">
        <f>"94538"</f>
        <v>94538</v>
      </c>
      <c r="C22537" s="1">
        <v>1.22039321443927E-2</v>
      </c>
      <c r="D22537" s="1">
        <v>1.91600361140884E-2</v>
      </c>
      <c r="E22537" s="1">
        <v>5.7151192086350002E-3</v>
      </c>
      <c r="F22537" s="1">
        <v>1.24557295710763E-2</v>
      </c>
    </row>
    <row r="22538" spans="1:6" x14ac:dyDescent="0.25">
      <c r="A22538" s="2" t="str">
        <f t="shared" si="798"/>
        <v>41860</v>
      </c>
      <c r="B22538" s="2" t="str">
        <f>"94505"</f>
        <v>94505</v>
      </c>
      <c r="C22538" s="1">
        <v>3.4300309600700202E-3</v>
      </c>
      <c r="D22538" s="1">
        <v>1.2275232050808699E-3</v>
      </c>
      <c r="E22538" s="1">
        <v>1.9890206062534799E-4</v>
      </c>
      <c r="F22538" s="1">
        <v>3.00735643002572E-3</v>
      </c>
    </row>
    <row r="22539" spans="1:6" x14ac:dyDescent="0.25">
      <c r="A22539" s="2" t="str">
        <f t="shared" si="798"/>
        <v>41860</v>
      </c>
      <c r="B22539" s="2" t="str">
        <f>"94531"</f>
        <v>94531</v>
      </c>
      <c r="C22539" s="1">
        <v>7.5245181794206303E-3</v>
      </c>
      <c r="D22539" s="1">
        <v>3.0599129170131999E-3</v>
      </c>
      <c r="E22539" s="1">
        <v>5.0388522025088104E-4</v>
      </c>
      <c r="F22539" s="1">
        <v>6.6371767070328904E-3</v>
      </c>
    </row>
    <row r="22540" spans="1:6" x14ac:dyDescent="0.25">
      <c r="A22540" s="2" t="str">
        <f t="shared" si="798"/>
        <v>41860</v>
      </c>
      <c r="B22540" s="2" t="str">
        <f>"94131"</f>
        <v>94131</v>
      </c>
      <c r="C22540" s="1">
        <v>7.4819314075902903E-3</v>
      </c>
      <c r="D22540" s="1">
        <v>2.1348229653580398E-3</v>
      </c>
      <c r="E22540" s="1">
        <v>7.9096719442013404E-3</v>
      </c>
      <c r="F22540" s="1">
        <v>6.9925016120824203E-3</v>
      </c>
    </row>
    <row r="22541" spans="1:6" x14ac:dyDescent="0.25">
      <c r="A22541" s="2" t="str">
        <f t="shared" si="798"/>
        <v>41860</v>
      </c>
      <c r="B22541" s="2" t="str">
        <f>"94002"</f>
        <v>94002</v>
      </c>
      <c r="C22541" s="1">
        <v>6.18277831994672E-3</v>
      </c>
      <c r="D22541" s="1">
        <v>7.0226780464590797E-3</v>
      </c>
      <c r="E22541" s="1">
        <v>7.5715384411382501E-3</v>
      </c>
      <c r="F22541" s="1">
        <v>6.3541212741968301E-3</v>
      </c>
    </row>
    <row r="22542" spans="1:6" x14ac:dyDescent="0.25">
      <c r="A22542" s="2" t="str">
        <f t="shared" si="798"/>
        <v>41860</v>
      </c>
      <c r="B22542" s="2" t="str">
        <f>"94080"</f>
        <v>94080</v>
      </c>
      <c r="C22542" s="1">
        <v>1.1557434162390001E-2</v>
      </c>
      <c r="D22542" s="1">
        <v>1.60423050750968E-2</v>
      </c>
      <c r="E22542" s="1">
        <v>1.2053464873896001E-2</v>
      </c>
      <c r="F22542" s="1">
        <v>1.2023403264085099E-2</v>
      </c>
    </row>
    <row r="22543" spans="1:6" x14ac:dyDescent="0.25">
      <c r="A22543" s="2" t="str">
        <f t="shared" si="798"/>
        <v>41860</v>
      </c>
      <c r="B22543" s="2" t="str">
        <f>"94064"</f>
        <v>94064</v>
      </c>
      <c r="C22543" s="1">
        <v>1.0051504339232799E-3</v>
      </c>
      <c r="D22543" s="1">
        <v>1.6011172240185301E-3</v>
      </c>
      <c r="E22543" s="1">
        <v>1.32601373750232E-5</v>
      </c>
      <c r="F22543" s="1">
        <v>9.9843717266338296E-4</v>
      </c>
    </row>
    <row r="22544" spans="1:6" x14ac:dyDescent="0.25">
      <c r="A22544" s="2" t="str">
        <f t="shared" si="798"/>
        <v>41860</v>
      </c>
      <c r="B22544" s="2" t="str">
        <f>"94941"</f>
        <v>94941</v>
      </c>
      <c r="C22544" s="1">
        <v>7.13867176476503E-3</v>
      </c>
      <c r="D22544" s="1">
        <v>6.6935595059663799E-3</v>
      </c>
      <c r="E22544" s="1">
        <v>8.16161455432678E-3</v>
      </c>
      <c r="F22544" s="1">
        <v>7.1619907314401801E-3</v>
      </c>
    </row>
    <row r="22545" spans="1:6" x14ac:dyDescent="0.25">
      <c r="A22545" s="2" t="str">
        <f t="shared" si="798"/>
        <v>41860</v>
      </c>
      <c r="B22545" s="2" t="str">
        <f>"94939"</f>
        <v>94939</v>
      </c>
      <c r="C22545" s="1">
        <v>1.91383926418267E-3</v>
      </c>
      <c r="D22545" s="1">
        <v>2.41057093171679E-3</v>
      </c>
      <c r="E22545" s="1">
        <v>3.2155833134431201E-3</v>
      </c>
      <c r="F22545" s="1">
        <v>2.0463445197586002E-3</v>
      </c>
    </row>
    <row r="22546" spans="1:6" x14ac:dyDescent="0.25">
      <c r="A22546" s="2" t="str">
        <f t="shared" si="798"/>
        <v>41860</v>
      </c>
      <c r="B22546" s="2" t="str">
        <f>"94977"</f>
        <v>94977</v>
      </c>
      <c r="C22546" s="1">
        <v>4.29972467395464E-4</v>
      </c>
      <c r="D22546" s="1">
        <v>4.7144007151656898E-4</v>
      </c>
      <c r="E22546" s="1">
        <v>1.32601373750232E-5</v>
      </c>
      <c r="F22546" s="1">
        <v>4.0694595663057302E-4</v>
      </c>
    </row>
    <row r="22547" spans="1:6" x14ac:dyDescent="0.25">
      <c r="A22547" s="2" t="str">
        <f t="shared" si="798"/>
        <v>41860</v>
      </c>
      <c r="B22547" s="2" t="str">
        <f>"94965"</f>
        <v>94965</v>
      </c>
      <c r="C22547" s="1">
        <v>3.3428050418633001E-3</v>
      </c>
      <c r="D22547" s="1">
        <v>6.8581187762127302E-3</v>
      </c>
      <c r="E22547" s="1">
        <v>5.9736918874479499E-3</v>
      </c>
      <c r="F22547" s="1">
        <v>3.8535115005250199E-3</v>
      </c>
    </row>
    <row r="22548" spans="1:6" x14ac:dyDescent="0.25">
      <c r="A22548" s="2" t="str">
        <f t="shared" si="798"/>
        <v>41860</v>
      </c>
      <c r="B22548" s="2" t="str">
        <f>"94615"</f>
        <v>94615</v>
      </c>
      <c r="C22548" s="1">
        <v>0</v>
      </c>
      <c r="D22548" s="1">
        <v>4.4475478444959298E-6</v>
      </c>
      <c r="E22548" s="1">
        <v>3.1161322831304498E-4</v>
      </c>
      <c r="F22548" s="1">
        <v>2.06484206324181E-5</v>
      </c>
    </row>
    <row r="22549" spans="1:6" x14ac:dyDescent="0.25">
      <c r="A22549" s="2" t="str">
        <f t="shared" si="798"/>
        <v>41860</v>
      </c>
      <c r="B22549" s="2" t="str">
        <f>"94619"</f>
        <v>94619</v>
      </c>
      <c r="C22549" s="1">
        <v>5.2397122160411499E-3</v>
      </c>
      <c r="D22549" s="1">
        <v>2.32606752267137E-3</v>
      </c>
      <c r="E22549" s="1">
        <v>3.5470867478186998E-3</v>
      </c>
      <c r="F22549" s="1">
        <v>4.8480770943198298E-3</v>
      </c>
    </row>
    <row r="22550" spans="1:6" x14ac:dyDescent="0.25">
      <c r="A22550" s="2" t="str">
        <f t="shared" si="798"/>
        <v>41860</v>
      </c>
      <c r="B22550" s="2" t="str">
        <f>"94920"</f>
        <v>94920</v>
      </c>
      <c r="C22550" s="1">
        <v>3.4443975818923001E-3</v>
      </c>
      <c r="D22550" s="1">
        <v>2.7485845678984801E-3</v>
      </c>
      <c r="E22550" s="1">
        <v>3.5271965417561701E-3</v>
      </c>
      <c r="F22550" s="1">
        <v>3.3824694048479901E-3</v>
      </c>
    </row>
    <row r="22551" spans="1:6" x14ac:dyDescent="0.25">
      <c r="A22551" s="2" t="str">
        <f t="shared" si="798"/>
        <v>41860</v>
      </c>
      <c r="B22551" s="2" t="str">
        <f>"94610"</f>
        <v>94610</v>
      </c>
      <c r="C22551" s="1">
        <v>8.7574821879544008E-3</v>
      </c>
      <c r="D22551" s="1">
        <v>4.6121071147422798E-3</v>
      </c>
      <c r="E22551" s="1">
        <v>1.1078844776831799E-2</v>
      </c>
      <c r="F22551" s="1">
        <v>8.5071493005562503E-3</v>
      </c>
    </row>
    <row r="22552" spans="1:6" x14ac:dyDescent="0.25">
      <c r="A22552" s="2" t="str">
        <f t="shared" si="798"/>
        <v>41860</v>
      </c>
      <c r="B22552" s="2" t="str">
        <f>"94569"</f>
        <v>94569</v>
      </c>
      <c r="C22552" s="1">
        <v>0</v>
      </c>
      <c r="D22552" s="1">
        <v>0</v>
      </c>
      <c r="E22552" s="1">
        <v>6.6300686875116001E-6</v>
      </c>
      <c r="F22552" s="1">
        <v>4.3017542984204302E-7</v>
      </c>
    </row>
    <row r="22553" spans="1:6" x14ac:dyDescent="0.25">
      <c r="A22553" s="2" t="str">
        <f t="shared" si="798"/>
        <v>41860</v>
      </c>
      <c r="B22553" s="2" t="str">
        <f>"94564"</f>
        <v>94564</v>
      </c>
      <c r="C22553" s="1">
        <v>4.1109062157189298E-3</v>
      </c>
      <c r="D22553" s="1">
        <v>3.7270450936875898E-3</v>
      </c>
      <c r="E22553" s="1">
        <v>2.2409632163789199E-3</v>
      </c>
      <c r="F22553" s="1">
        <v>3.9524518493886896E-3</v>
      </c>
    </row>
    <row r="22554" spans="1:6" x14ac:dyDescent="0.25">
      <c r="A22554" s="2" t="str">
        <f t="shared" si="798"/>
        <v>41860</v>
      </c>
      <c r="B22554" s="2" t="str">
        <f>"94605"</f>
        <v>94605</v>
      </c>
      <c r="C22554" s="1">
        <v>9.0396836880349603E-3</v>
      </c>
      <c r="D22554" s="1">
        <v>3.8204435984220101E-3</v>
      </c>
      <c r="E22554" s="1">
        <v>6.9284217784496196E-3</v>
      </c>
      <c r="F22554" s="1">
        <v>8.39788474137638E-3</v>
      </c>
    </row>
    <row r="22555" spans="1:6" x14ac:dyDescent="0.25">
      <c r="A22555" s="2" t="str">
        <f t="shared" si="798"/>
        <v>41860</v>
      </c>
      <c r="B22555" s="2" t="str">
        <f>"94606"</f>
        <v>94606</v>
      </c>
      <c r="C22555" s="1">
        <v>8.3726619605718304E-3</v>
      </c>
      <c r="D22555" s="1">
        <v>4.9590158466129601E-3</v>
      </c>
      <c r="E22555" s="1">
        <v>1.2716471742647201E-2</v>
      </c>
      <c r="F22555" s="1">
        <v>8.3243247428733905E-3</v>
      </c>
    </row>
    <row r="22556" spans="1:6" x14ac:dyDescent="0.25">
      <c r="A22556" s="2" t="str">
        <f t="shared" si="798"/>
        <v>41860</v>
      </c>
      <c r="B22556" s="2" t="str">
        <f>"94583"</f>
        <v>94583</v>
      </c>
      <c r="C22556" s="1">
        <v>8.0093916659226792E-3</v>
      </c>
      <c r="D22556" s="1">
        <v>1.21729384503853E-2</v>
      </c>
      <c r="E22556" s="1">
        <v>4.0310817620070501E-3</v>
      </c>
      <c r="F22556" s="1">
        <v>8.1539752726559403E-3</v>
      </c>
    </row>
    <row r="22557" spans="1:6" x14ac:dyDescent="0.25">
      <c r="A22557" s="2" t="str">
        <f t="shared" si="798"/>
        <v>41860</v>
      </c>
      <c r="B22557" s="2" t="str">
        <f>"94579"</f>
        <v>94579</v>
      </c>
      <c r="C22557" s="1">
        <v>3.63680769558359E-3</v>
      </c>
      <c r="D22557" s="1">
        <v>9.5622278656662602E-4</v>
      </c>
      <c r="E22557" s="1">
        <v>4.64104808125812E-4</v>
      </c>
      <c r="F22557" s="1">
        <v>3.1716834442253798E-3</v>
      </c>
    </row>
    <row r="22558" spans="1:6" x14ac:dyDescent="0.25">
      <c r="A22558" s="2" t="str">
        <f t="shared" si="798"/>
        <v>41860</v>
      </c>
      <c r="B22558" s="2" t="str">
        <f>"94557"</f>
        <v>94557</v>
      </c>
      <c r="C22558" s="1">
        <v>1.60085214591151E-4</v>
      </c>
      <c r="D22558" s="1">
        <v>2.8909060989223501E-4</v>
      </c>
      <c r="E22558" s="1">
        <v>1.32601373750232E-5</v>
      </c>
      <c r="F22558" s="1">
        <v>1.6303648791013401E-4</v>
      </c>
    </row>
    <row r="22559" spans="1:6" x14ac:dyDescent="0.25">
      <c r="A22559" s="2" t="str">
        <f t="shared" si="798"/>
        <v>41860</v>
      </c>
      <c r="B22559" s="2" t="str">
        <f>"94511"</f>
        <v>94511</v>
      </c>
      <c r="C22559" s="1">
        <v>0</v>
      </c>
      <c r="D22559" s="1">
        <v>0</v>
      </c>
      <c r="E22559" s="1">
        <v>1.32601373750232E-5</v>
      </c>
      <c r="F22559" s="1">
        <v>8.6035085968408699E-7</v>
      </c>
    </row>
    <row r="22560" spans="1:6" x14ac:dyDescent="0.25">
      <c r="A22560" s="2" t="str">
        <f t="shared" si="798"/>
        <v>41860</v>
      </c>
      <c r="B22560" s="2" t="str">
        <f>"94541"</f>
        <v>94541</v>
      </c>
      <c r="C22560" s="1">
        <v>1.17406085906241E-2</v>
      </c>
      <c r="D22560" s="1">
        <v>7.8454743976908298E-3</v>
      </c>
      <c r="E22560" s="1">
        <v>7.7173999522634996E-3</v>
      </c>
      <c r="F22560" s="1">
        <v>1.11028278442231E-2</v>
      </c>
    </row>
    <row r="22561" spans="1:6" x14ac:dyDescent="0.25">
      <c r="A22561" s="2" t="str">
        <f t="shared" si="798"/>
        <v>41860</v>
      </c>
      <c r="B22561" s="2" t="str">
        <f>"94401"</f>
        <v>94401</v>
      </c>
      <c r="C22561" s="1">
        <v>7.3377520957309504E-3</v>
      </c>
      <c r="D22561" s="1">
        <v>9.2597946122405395E-3</v>
      </c>
      <c r="E22561" s="1">
        <v>1.73906701673429E-2</v>
      </c>
      <c r="F22561" s="1">
        <v>8.1759142195778796E-3</v>
      </c>
    </row>
    <row r="22562" spans="1:6" x14ac:dyDescent="0.25">
      <c r="A22562" s="2" t="str">
        <f t="shared" si="798"/>
        <v>41860</v>
      </c>
      <c r="B22562" s="2" t="str">
        <f>"94122"</f>
        <v>94122</v>
      </c>
      <c r="C22562" s="1">
        <v>1.21202978816416E-2</v>
      </c>
      <c r="D22562" s="1">
        <v>6.1331684775598897E-3</v>
      </c>
      <c r="E22562" s="1">
        <v>2.1852706394038201E-2</v>
      </c>
      <c r="F22562" s="1">
        <v>1.2172674138240301E-2</v>
      </c>
    </row>
    <row r="22563" spans="1:6" x14ac:dyDescent="0.25">
      <c r="A22563" s="2" t="str">
        <f t="shared" si="798"/>
        <v>41860</v>
      </c>
      <c r="B22563" s="2" t="str">
        <f>"94121"</f>
        <v>94121</v>
      </c>
      <c r="C22563" s="1">
        <v>1.00181532528597E-2</v>
      </c>
      <c r="D22563" s="1">
        <v>3.8426813376444798E-3</v>
      </c>
      <c r="E22563" s="1">
        <v>2.3510223565916099E-2</v>
      </c>
      <c r="F22563" s="1">
        <v>1.02962489132693E-2</v>
      </c>
    </row>
    <row r="22564" spans="1:6" x14ac:dyDescent="0.25">
      <c r="A22564" s="2" t="str">
        <f t="shared" si="798"/>
        <v>41860</v>
      </c>
      <c r="B22564" s="2" t="str">
        <f>"94141"</f>
        <v>94141</v>
      </c>
      <c r="C22564" s="1">
        <v>3.9149044465720698E-4</v>
      </c>
      <c r="D22564" s="1">
        <v>9.4288014303313796E-4</v>
      </c>
      <c r="E22564" s="1">
        <v>6.6300686875116001E-6</v>
      </c>
      <c r="F22564" s="1">
        <v>4.1985121952583398E-4</v>
      </c>
    </row>
    <row r="22565" spans="1:6" x14ac:dyDescent="0.25">
      <c r="A22565" s="2" t="str">
        <f t="shared" si="798"/>
        <v>41860</v>
      </c>
      <c r="B22565" s="2" t="str">
        <f>"94133"</f>
        <v>94133</v>
      </c>
      <c r="C22565" s="1">
        <v>7.4593552875838499E-3</v>
      </c>
      <c r="D22565" s="1">
        <v>1.24798192516555E-2</v>
      </c>
      <c r="E22565" s="1">
        <v>1.9518922216034101E-2</v>
      </c>
      <c r="F22565" s="1">
        <v>8.7273991206353804E-3</v>
      </c>
    </row>
    <row r="22566" spans="1:6" x14ac:dyDescent="0.25">
      <c r="A22566" s="2" t="str">
        <f t="shared" si="798"/>
        <v>41860</v>
      </c>
      <c r="B22566" s="2" t="str">
        <f>"94105"</f>
        <v>94105</v>
      </c>
      <c r="C22566" s="1">
        <v>4.6619687813307803E-3</v>
      </c>
      <c r="D22566" s="1">
        <v>1.76256321077373E-2</v>
      </c>
      <c r="E22566" s="1">
        <v>1.7284589068342699E-2</v>
      </c>
      <c r="F22566" s="1">
        <v>6.7348265296070303E-3</v>
      </c>
    </row>
    <row r="22567" spans="1:6" x14ac:dyDescent="0.25">
      <c r="A22567" s="2" t="str">
        <f t="shared" si="798"/>
        <v>41860</v>
      </c>
      <c r="B22567" s="2" t="str">
        <f>"94103"</f>
        <v>94103</v>
      </c>
      <c r="C22567" s="1">
        <v>9.6164009354723096E-3</v>
      </c>
      <c r="D22567" s="1">
        <v>2.7272363382449E-2</v>
      </c>
      <c r="E22567" s="1">
        <v>2.1176439387911999E-2</v>
      </c>
      <c r="F22567" s="1">
        <v>1.20741639648064E-2</v>
      </c>
    </row>
    <row r="22568" spans="1:6" x14ac:dyDescent="0.25">
      <c r="A22568" s="2" t="str">
        <f t="shared" si="798"/>
        <v>41860</v>
      </c>
      <c r="B22568" s="2" t="str">
        <f>"94005"</f>
        <v>94005</v>
      </c>
      <c r="C22568" s="1">
        <v>1.5346630668017099E-3</v>
      </c>
      <c r="D22568" s="1">
        <v>3.0643604648577E-3</v>
      </c>
      <c r="E22568" s="1">
        <v>9.14949478876601E-4</v>
      </c>
      <c r="F22568" s="1">
        <v>1.6424097911369199E-3</v>
      </c>
    </row>
    <row r="22569" spans="1:6" x14ac:dyDescent="0.25">
      <c r="A22569" s="2" t="str">
        <f t="shared" si="798"/>
        <v>41860</v>
      </c>
      <c r="B22569" s="2" t="str">
        <f>"94037"</f>
        <v>94037</v>
      </c>
      <c r="C22569" s="1">
        <v>6.2597423654232298E-5</v>
      </c>
      <c r="D22569" s="1">
        <v>0</v>
      </c>
      <c r="E22569" s="1">
        <v>1.32601373750232E-5</v>
      </c>
      <c r="F22569" s="1">
        <v>5.3341753300413397E-5</v>
      </c>
    </row>
    <row r="22570" spans="1:6" x14ac:dyDescent="0.25">
      <c r="A22570" s="2" t="str">
        <f t="shared" si="798"/>
        <v>41860</v>
      </c>
      <c r="B22570" s="2" t="str">
        <f>"94027"</f>
        <v>94027</v>
      </c>
      <c r="C22570" s="1">
        <v>1.3766302267566E-3</v>
      </c>
      <c r="D22570" s="1">
        <v>2.8464306204773902E-4</v>
      </c>
      <c r="E22570" s="1">
        <v>7.6245789906383404E-4</v>
      </c>
      <c r="F22570" s="1">
        <v>1.23116208020792E-3</v>
      </c>
    </row>
    <row r="22571" spans="1:6" x14ac:dyDescent="0.25">
      <c r="A22571" s="2" t="str">
        <f t="shared" si="798"/>
        <v>41860</v>
      </c>
      <c r="B22571" s="2" t="str">
        <f>"94044"</f>
        <v>94044</v>
      </c>
      <c r="C22571" s="1">
        <v>8.0991830523119406E-3</v>
      </c>
      <c r="D22571" s="1">
        <v>4.40307236605097E-3</v>
      </c>
      <c r="E22571" s="1">
        <v>7.2466650754501802E-3</v>
      </c>
      <c r="F22571" s="1">
        <v>7.6863745804176403E-3</v>
      </c>
    </row>
    <row r="22572" spans="1:6" x14ac:dyDescent="0.25">
      <c r="A22572" s="2" t="str">
        <f t="shared" si="798"/>
        <v>41860</v>
      </c>
      <c r="B22572" s="2" t="str">
        <f>"94021"</f>
        <v>94021</v>
      </c>
      <c r="C22572" s="1">
        <v>3.9508210011277698E-5</v>
      </c>
      <c r="D22572" s="1">
        <v>1.7790191377983699E-5</v>
      </c>
      <c r="E22572" s="1">
        <v>6.6300686875116001E-6</v>
      </c>
      <c r="F22572" s="1">
        <v>3.5274385247047501E-5</v>
      </c>
    </row>
    <row r="22573" spans="1:6" x14ac:dyDescent="0.25">
      <c r="A22573" s="2" t="str">
        <f t="shared" si="798"/>
        <v>41860</v>
      </c>
      <c r="B22573" s="2" t="str">
        <f>"94019"</f>
        <v>94019</v>
      </c>
      <c r="C22573" s="1">
        <v>3.8553855847369002E-3</v>
      </c>
      <c r="D22573" s="1">
        <v>4.1540096867592E-3</v>
      </c>
      <c r="E22573" s="1">
        <v>1.73044792744052E-3</v>
      </c>
      <c r="F22573" s="1">
        <v>3.7463978184943598E-3</v>
      </c>
    </row>
    <row r="22574" spans="1:6" x14ac:dyDescent="0.25">
      <c r="A22574" s="2" t="str">
        <f t="shared" si="798"/>
        <v>41860</v>
      </c>
      <c r="B22574" s="2" t="str">
        <f>"94712"</f>
        <v>94712</v>
      </c>
      <c r="C22574" s="1">
        <v>5.4387925470070697E-4</v>
      </c>
      <c r="D22574" s="1">
        <v>5.8262876762896698E-4</v>
      </c>
      <c r="E22574" s="1">
        <v>6.6300686875116001E-6</v>
      </c>
      <c r="F22574" s="1">
        <v>5.1276911237171604E-4</v>
      </c>
    </row>
    <row r="22575" spans="1:6" x14ac:dyDescent="0.25">
      <c r="A22575" s="2" t="str">
        <f t="shared" si="798"/>
        <v>41860</v>
      </c>
      <c r="B22575" s="2" t="str">
        <f>"94937"</f>
        <v>94937</v>
      </c>
      <c r="C22575" s="1">
        <v>5.9005768198661599E-5</v>
      </c>
      <c r="D22575" s="1">
        <v>8.8950956889918699E-6</v>
      </c>
      <c r="E22575" s="1">
        <v>5.9670618187604401E-5</v>
      </c>
      <c r="F22575" s="1">
        <v>5.4202104160097499E-5</v>
      </c>
    </row>
    <row r="22576" spans="1:6" x14ac:dyDescent="0.25">
      <c r="A22576" s="2" t="str">
        <f t="shared" si="798"/>
        <v>41860</v>
      </c>
      <c r="B22576" s="2" t="str">
        <f>"94963"</f>
        <v>94963</v>
      </c>
      <c r="C22576" s="1">
        <v>3.0785618190605998E-6</v>
      </c>
      <c r="D22576" s="1">
        <v>4.4475478444959298E-6</v>
      </c>
      <c r="E22576" s="1">
        <v>0</v>
      </c>
      <c r="F22576" s="1">
        <v>3.0112280088943E-6</v>
      </c>
    </row>
    <row r="22577" spans="1:6" x14ac:dyDescent="0.25">
      <c r="A22577" s="2" t="str">
        <f t="shared" si="798"/>
        <v>41860</v>
      </c>
      <c r="B22577" s="2" t="str">
        <f>"94957"</f>
        <v>94957</v>
      </c>
      <c r="C22577" s="1">
        <v>9.8719215664543405E-4</v>
      </c>
      <c r="D22577" s="1">
        <v>5.9597141116245504E-4</v>
      </c>
      <c r="E22577" s="1">
        <v>7.2930755562627595E-5</v>
      </c>
      <c r="F22577" s="1">
        <v>8.9003296434318801E-4</v>
      </c>
    </row>
    <row r="22578" spans="1:6" x14ac:dyDescent="0.25">
      <c r="A22578" s="2" t="str">
        <f t="shared" si="798"/>
        <v>41860</v>
      </c>
      <c r="B22578" s="2" t="str">
        <f>"94956"</f>
        <v>94956</v>
      </c>
      <c r="C22578" s="1">
        <v>6.3623610927252496E-5</v>
      </c>
      <c r="D22578" s="1">
        <v>1.7790191377983699E-5</v>
      </c>
      <c r="E22578" s="1">
        <v>2.05532129312859E-4</v>
      </c>
      <c r="F22578" s="1">
        <v>6.8397893344884899E-5</v>
      </c>
    </row>
    <row r="22579" spans="1:6" x14ac:dyDescent="0.25">
      <c r="A22579" s="2" t="str">
        <f t="shared" si="798"/>
        <v>41860</v>
      </c>
      <c r="B22579" s="2" t="str">
        <f>"94614"</f>
        <v>94614</v>
      </c>
      <c r="C22579" s="1">
        <v>3.65835762831702E-4</v>
      </c>
      <c r="D22579" s="1">
        <v>5.8262876762896698E-4</v>
      </c>
      <c r="E22579" s="1">
        <v>1.32601373750232E-5</v>
      </c>
      <c r="F22579" s="1">
        <v>3.6392841364636902E-4</v>
      </c>
    </row>
    <row r="22580" spans="1:6" x14ac:dyDescent="0.25">
      <c r="A22580" s="2" t="str">
        <f t="shared" si="798"/>
        <v>41860</v>
      </c>
      <c r="B22580" s="2" t="str">
        <f>"94702"</f>
        <v>94702</v>
      </c>
      <c r="C22580" s="1">
        <v>4.5342084658397596E-3</v>
      </c>
      <c r="D22580" s="1">
        <v>3.1043883954581602E-3</v>
      </c>
      <c r="E22580" s="1">
        <v>4.72723897419577E-3</v>
      </c>
      <c r="F22580" s="1">
        <v>4.40843780502126E-3</v>
      </c>
    </row>
    <row r="22581" spans="1:6" x14ac:dyDescent="0.25">
      <c r="A22581" s="2" t="str">
        <f t="shared" si="798"/>
        <v>41860</v>
      </c>
      <c r="B22581" s="2" t="str">
        <f>"94807"</f>
        <v>94807</v>
      </c>
      <c r="C22581" s="1">
        <v>3.6891432465076197E-4</v>
      </c>
      <c r="D22581" s="1">
        <v>6.6713217667439004E-4</v>
      </c>
      <c r="E22581" s="1">
        <v>6.6300686875116001E-6</v>
      </c>
      <c r="F22581" s="1">
        <v>3.74252623962578E-4</v>
      </c>
    </row>
    <row r="22582" spans="1:6" x14ac:dyDescent="0.25">
      <c r="A22582" s="2" t="str">
        <f t="shared" si="798"/>
        <v>41860</v>
      </c>
      <c r="B22582" s="2" t="str">
        <f>"94806"</f>
        <v>94806</v>
      </c>
      <c r="C22582" s="1">
        <v>1.11992948041059E-2</v>
      </c>
      <c r="D22582" s="1">
        <v>5.7417842672442499E-3</v>
      </c>
      <c r="E22582" s="1">
        <v>6.2455247036359201E-3</v>
      </c>
      <c r="F22582" s="1">
        <v>1.0350020841999499E-2</v>
      </c>
    </row>
    <row r="22583" spans="1:6" x14ac:dyDescent="0.25">
      <c r="A22583" s="2" t="str">
        <f t="shared" si="798"/>
        <v>41860</v>
      </c>
      <c r="B22583" s="2" t="str">
        <f>"94577"</f>
        <v>94577</v>
      </c>
      <c r="C22583" s="1">
        <v>9.6820769209456092E-3</v>
      </c>
      <c r="D22583" s="1">
        <v>1.48103343221714E-2</v>
      </c>
      <c r="E22583" s="1">
        <v>5.2178640570716304E-3</v>
      </c>
      <c r="F22583" s="1">
        <v>9.8884426057790596E-3</v>
      </c>
    </row>
    <row r="22584" spans="1:6" x14ac:dyDescent="0.25">
      <c r="A22584" s="2" t="str">
        <f t="shared" si="798"/>
        <v>41860</v>
      </c>
      <c r="B22584" s="2" t="str">
        <f>"94597"</f>
        <v>94597</v>
      </c>
      <c r="C22584" s="1">
        <v>5.8913411344089801E-3</v>
      </c>
      <c r="D22584" s="1">
        <v>3.6380941367976701E-3</v>
      </c>
      <c r="E22584" s="1">
        <v>5.3106850186967897E-3</v>
      </c>
      <c r="F22584" s="1">
        <v>5.6357283063606101E-3</v>
      </c>
    </row>
    <row r="22585" spans="1:6" x14ac:dyDescent="0.25">
      <c r="A22585" s="2" t="str">
        <f t="shared" si="798"/>
        <v>41860</v>
      </c>
      <c r="B22585" s="2" t="str">
        <f>"94601"</f>
        <v>94601</v>
      </c>
      <c r="C22585" s="1">
        <v>8.8236712670642092E-3</v>
      </c>
      <c r="D22585" s="1">
        <v>7.9077400675137705E-3</v>
      </c>
      <c r="E22585" s="1">
        <v>1.0793751823268799E-2</v>
      </c>
      <c r="F22585" s="1">
        <v>8.8629043810356297E-3</v>
      </c>
    </row>
    <row r="22586" spans="1:6" x14ac:dyDescent="0.25">
      <c r="A22586" s="2" t="str">
        <f t="shared" ref="A22586:A22649" si="799">"41860"</f>
        <v>41860</v>
      </c>
      <c r="B22586" s="2" t="str">
        <f>"94582"</f>
        <v>94582</v>
      </c>
      <c r="C22586" s="1">
        <v>8.0812247750340904E-3</v>
      </c>
      <c r="D22586" s="1">
        <v>4.4030723660509698E-4</v>
      </c>
      <c r="E22586" s="1">
        <v>2.4929058265043599E-3</v>
      </c>
      <c r="F22586" s="1">
        <v>6.9795963491871603E-3</v>
      </c>
    </row>
    <row r="22587" spans="1:6" x14ac:dyDescent="0.25">
      <c r="A22587" s="2" t="str">
        <f t="shared" si="799"/>
        <v>41860</v>
      </c>
      <c r="B22587" s="2" t="str">
        <f>"94587"</f>
        <v>94587</v>
      </c>
      <c r="C22587" s="1">
        <v>1.18683689061151E-2</v>
      </c>
      <c r="D22587" s="1">
        <v>7.3117686563513203E-3</v>
      </c>
      <c r="E22587" s="1">
        <v>4.0443418993820696E-3</v>
      </c>
      <c r="F22587" s="1">
        <v>1.0920003286540201E-2</v>
      </c>
    </row>
    <row r="22588" spans="1:6" x14ac:dyDescent="0.25">
      <c r="A22588" s="2" t="str">
        <f t="shared" si="799"/>
        <v>41860</v>
      </c>
      <c r="B22588" s="2" t="str">
        <f>"94524"</f>
        <v>94524</v>
      </c>
      <c r="C22588" s="1">
        <v>4.3664268467009601E-4</v>
      </c>
      <c r="D22588" s="1">
        <v>1.58332703264055E-3</v>
      </c>
      <c r="E22588" s="1">
        <v>1.32601373750232E-5</v>
      </c>
      <c r="F22588" s="1">
        <v>5.2008209467903105E-4</v>
      </c>
    </row>
    <row r="22589" spans="1:6" x14ac:dyDescent="0.25">
      <c r="A22589" s="2" t="str">
        <f t="shared" si="799"/>
        <v>41860</v>
      </c>
      <c r="B22589" s="2" t="str">
        <f>"94521"</f>
        <v>94521</v>
      </c>
      <c r="C22589" s="1">
        <v>8.4460343505927699E-3</v>
      </c>
      <c r="D22589" s="1">
        <v>3.6603318760201498E-3</v>
      </c>
      <c r="E22589" s="1">
        <v>5.8410905136977199E-3</v>
      </c>
      <c r="F22589" s="1">
        <v>7.8141366830807198E-3</v>
      </c>
    </row>
    <row r="22590" spans="1:6" x14ac:dyDescent="0.25">
      <c r="A22590" s="2" t="str">
        <f t="shared" si="799"/>
        <v>41860</v>
      </c>
      <c r="B22590" s="2" t="str">
        <f>"94516"</f>
        <v>94516</v>
      </c>
      <c r="C22590" s="1">
        <v>0</v>
      </c>
      <c r="D22590" s="1">
        <v>0</v>
      </c>
      <c r="E22590" s="1">
        <v>6.6300686875116001E-6</v>
      </c>
      <c r="F22590" s="1">
        <v>4.3017542984204302E-7</v>
      </c>
    </row>
    <row r="22591" spans="1:6" x14ac:dyDescent="0.25">
      <c r="A22591" s="2" t="str">
        <f t="shared" si="799"/>
        <v>41860</v>
      </c>
      <c r="B22591" s="2" t="str">
        <f>"94519"</f>
        <v>94519</v>
      </c>
      <c r="C22591" s="1">
        <v>3.7496882956158202E-3</v>
      </c>
      <c r="D22591" s="1">
        <v>1.8635225468437899E-3</v>
      </c>
      <c r="E22591" s="1">
        <v>2.6387673376296098E-3</v>
      </c>
      <c r="F22591" s="1">
        <v>3.4951753674665998E-3</v>
      </c>
    </row>
    <row r="22592" spans="1:6" x14ac:dyDescent="0.25">
      <c r="A22592" s="2" t="str">
        <f t="shared" si="799"/>
        <v>41860</v>
      </c>
      <c r="B22592" s="2" t="str">
        <f>"94506"</f>
        <v>94506</v>
      </c>
      <c r="C22592" s="1">
        <v>4.4782812594601597E-3</v>
      </c>
      <c r="D22592" s="1">
        <v>1.2364183007698699E-3</v>
      </c>
      <c r="E22592" s="1">
        <v>2.6520274750046401E-4</v>
      </c>
      <c r="F22592" s="1">
        <v>3.8913669383511202E-3</v>
      </c>
    </row>
    <row r="22593" spans="1:6" x14ac:dyDescent="0.25">
      <c r="A22593" s="2" t="str">
        <f t="shared" si="799"/>
        <v>41860</v>
      </c>
      <c r="B22593" s="2" t="str">
        <f>"94403"</f>
        <v>94403</v>
      </c>
      <c r="C22593" s="1">
        <v>9.6343592127501702E-3</v>
      </c>
      <c r="D22593" s="1">
        <v>7.8855023282912908E-3</v>
      </c>
      <c r="E22593" s="1">
        <v>1.66613626117166E-2</v>
      </c>
      <c r="F22593" s="1">
        <v>9.9211359384470503E-3</v>
      </c>
    </row>
    <row r="22594" spans="1:6" x14ac:dyDescent="0.25">
      <c r="A22594" s="2" t="str">
        <f t="shared" si="799"/>
        <v>41860</v>
      </c>
      <c r="B22594" s="2" t="str">
        <f>"94125"</f>
        <v>94125</v>
      </c>
      <c r="C22594" s="1">
        <v>3.2478827191089398E-4</v>
      </c>
      <c r="D22594" s="1">
        <v>2.2237739222479599E-4</v>
      </c>
      <c r="E22594" s="1">
        <v>1.32601373750232E-5</v>
      </c>
      <c r="F22594" s="1">
        <v>2.9467016944180002E-4</v>
      </c>
    </row>
    <row r="22595" spans="1:6" x14ac:dyDescent="0.25">
      <c r="A22595" s="2" t="str">
        <f t="shared" si="799"/>
        <v>41860</v>
      </c>
      <c r="B22595" s="2" t="str">
        <f>"94010"</f>
        <v>94010</v>
      </c>
      <c r="C22595" s="1">
        <v>9.2084914944467796E-3</v>
      </c>
      <c r="D22595" s="1">
        <v>1.51661381497311E-2</v>
      </c>
      <c r="E22595" s="1">
        <v>1.3525340122523599E-2</v>
      </c>
      <c r="F22595" s="1">
        <v>1.0064814532014301E-2</v>
      </c>
    </row>
    <row r="22596" spans="1:6" x14ac:dyDescent="0.25">
      <c r="A22596" s="2" t="str">
        <f t="shared" si="799"/>
        <v>41860</v>
      </c>
      <c r="B22596" s="2" t="str">
        <f>"94074"</f>
        <v>94074</v>
      </c>
      <c r="C22596" s="1">
        <v>5.1309363651010102E-5</v>
      </c>
      <c r="D22596" s="1">
        <v>8.8950956889918699E-6</v>
      </c>
      <c r="E22596" s="1">
        <v>1.98902060625348E-5</v>
      </c>
      <c r="F22596" s="1">
        <v>4.5168420133414602E-5</v>
      </c>
    </row>
    <row r="22597" spans="1:6" x14ac:dyDescent="0.25">
      <c r="A22597" s="2" t="str">
        <f t="shared" si="799"/>
        <v>41860</v>
      </c>
      <c r="B22597" s="2" t="str">
        <f>"94063"</f>
        <v>94063</v>
      </c>
      <c r="C22597" s="1">
        <v>6.5337343673196203E-3</v>
      </c>
      <c r="D22597" s="1">
        <v>1.55486272643577E-2</v>
      </c>
      <c r="E22597" s="1">
        <v>1.0488768663643301E-2</v>
      </c>
      <c r="F22597" s="1">
        <v>7.6622847563464803E-3</v>
      </c>
    </row>
    <row r="22598" spans="1:6" x14ac:dyDescent="0.25">
      <c r="A22598" s="2" t="str">
        <f t="shared" si="799"/>
        <v>41860</v>
      </c>
      <c r="B22598" s="2" t="str">
        <f>"94061"</f>
        <v>94061</v>
      </c>
      <c r="C22598" s="1">
        <v>7.3290295039102797E-3</v>
      </c>
      <c r="D22598" s="1">
        <v>2.0903474869130899E-3</v>
      </c>
      <c r="E22598" s="1">
        <v>6.7560399925743198E-3</v>
      </c>
      <c r="F22598" s="1">
        <v>6.7851570548985501E-3</v>
      </c>
    </row>
    <row r="22599" spans="1:6" x14ac:dyDescent="0.25">
      <c r="A22599" s="2" t="str">
        <f t="shared" si="799"/>
        <v>41860</v>
      </c>
      <c r="B22599" s="2" t="str">
        <f>"94018"</f>
        <v>94018</v>
      </c>
      <c r="C22599" s="1">
        <v>1.46744780041888E-3</v>
      </c>
      <c r="D22599" s="1">
        <v>6.5378953314090197E-4</v>
      </c>
      <c r="E22599" s="1">
        <v>1.32601373750232E-5</v>
      </c>
      <c r="F22599" s="1">
        <v>1.29439786839471E-3</v>
      </c>
    </row>
    <row r="22600" spans="1:6" x14ac:dyDescent="0.25">
      <c r="A22600" s="2" t="str">
        <f t="shared" si="799"/>
        <v>41860</v>
      </c>
      <c r="B22600" s="2" t="str">
        <f>"94707"</f>
        <v>94707</v>
      </c>
      <c r="C22600" s="1">
        <v>3.1611698945387301E-3</v>
      </c>
      <c r="D22600" s="1">
        <v>2.71300418514252E-3</v>
      </c>
      <c r="E22600" s="1">
        <v>6.0996631925106697E-4</v>
      </c>
      <c r="F22600" s="1">
        <v>2.9522939750059401E-3</v>
      </c>
    </row>
    <row r="22601" spans="1:6" x14ac:dyDescent="0.25">
      <c r="A22601" s="2" t="str">
        <f t="shared" si="799"/>
        <v>41860</v>
      </c>
      <c r="B22601" s="2" t="str">
        <f>"94938"</f>
        <v>94938</v>
      </c>
      <c r="C22601" s="1">
        <v>5.6440300016111101E-6</v>
      </c>
      <c r="D22601" s="1">
        <v>4.4475478444959298E-6</v>
      </c>
      <c r="E22601" s="1">
        <v>0</v>
      </c>
      <c r="F22601" s="1">
        <v>5.16210515810452E-6</v>
      </c>
    </row>
    <row r="22602" spans="1:6" x14ac:dyDescent="0.25">
      <c r="A22602" s="2" t="str">
        <f t="shared" si="799"/>
        <v>41860</v>
      </c>
      <c r="B22602" s="2" t="str">
        <f>"94662"</f>
        <v>94662</v>
      </c>
      <c r="C22602" s="1">
        <v>5.03344857416409E-4</v>
      </c>
      <c r="D22602" s="1">
        <v>1.18749527448041E-3</v>
      </c>
      <c r="E22602" s="1">
        <v>6.6300686875116001E-6</v>
      </c>
      <c r="F22602" s="1">
        <v>5.3728911187271198E-4</v>
      </c>
    </row>
    <row r="22603" spans="1:6" x14ac:dyDescent="0.25">
      <c r="A22603" s="2" t="str">
        <f t="shared" si="799"/>
        <v>41860</v>
      </c>
      <c r="B22603" s="2" t="str">
        <f>"94572"</f>
        <v>94572</v>
      </c>
      <c r="C22603" s="1">
        <v>1.82456097142992E-3</v>
      </c>
      <c r="D22603" s="1">
        <v>1.2453133964588599E-3</v>
      </c>
      <c r="E22603" s="1">
        <v>7.6908796775134499E-4</v>
      </c>
      <c r="F22603" s="1">
        <v>1.7000532987357501E-3</v>
      </c>
    </row>
    <row r="22604" spans="1:6" x14ac:dyDescent="0.25">
      <c r="A22604" s="2" t="str">
        <f t="shared" si="799"/>
        <v>41860</v>
      </c>
      <c r="B22604" s="2" t="str">
        <f>"94566"</f>
        <v>94566</v>
      </c>
      <c r="C22604" s="1">
        <v>9.31931971993296E-3</v>
      </c>
      <c r="D22604" s="1">
        <v>1.02560453294076E-2</v>
      </c>
      <c r="E22604" s="1">
        <v>7.0146126713872704E-3</v>
      </c>
      <c r="F22604" s="1">
        <v>9.2603864782096704E-3</v>
      </c>
    </row>
    <row r="22605" spans="1:6" x14ac:dyDescent="0.25">
      <c r="A22605" s="2" t="str">
        <f t="shared" si="799"/>
        <v>41860</v>
      </c>
      <c r="B22605" s="2" t="str">
        <f>"94548"</f>
        <v>94548</v>
      </c>
      <c r="C22605" s="1">
        <v>4.1509275193667101E-4</v>
      </c>
      <c r="D22605" s="1">
        <v>2.9798570558122698E-4</v>
      </c>
      <c r="E22605" s="1">
        <v>1.32601373750232E-5</v>
      </c>
      <c r="F22605" s="1">
        <v>3.77694027401314E-4</v>
      </c>
    </row>
    <row r="22606" spans="1:6" x14ac:dyDescent="0.25">
      <c r="A22606" s="2" t="str">
        <f t="shared" si="799"/>
        <v>41860</v>
      </c>
      <c r="B22606" s="2" t="str">
        <f>"94542"</f>
        <v>94542</v>
      </c>
      <c r="C22606" s="1">
        <v>3.0929284408828901E-3</v>
      </c>
      <c r="D22606" s="1">
        <v>1.2897888749038199E-4</v>
      </c>
      <c r="E22606" s="1">
        <v>5.7681597581350904E-4</v>
      </c>
      <c r="F22606" s="1">
        <v>2.6429978409495099E-3</v>
      </c>
    </row>
    <row r="22607" spans="1:6" x14ac:dyDescent="0.25">
      <c r="A22607" s="2" t="str">
        <f t="shared" si="799"/>
        <v>41860</v>
      </c>
      <c r="B22607" s="2" t="str">
        <f>"94545"</f>
        <v>94545</v>
      </c>
      <c r="C22607" s="1">
        <v>5.6973917398081596E-3</v>
      </c>
      <c r="D22607" s="1">
        <v>1.5028264166551701E-2</v>
      </c>
      <c r="E22607" s="1">
        <v>2.5525764446919599E-3</v>
      </c>
      <c r="F22607" s="1">
        <v>6.3958482908915001E-3</v>
      </c>
    </row>
    <row r="22608" spans="1:6" x14ac:dyDescent="0.25">
      <c r="A22608" s="2" t="str">
        <f t="shared" si="799"/>
        <v>41860</v>
      </c>
      <c r="B22608" s="2" t="str">
        <f>"94502"</f>
        <v>94502</v>
      </c>
      <c r="C22608" s="1">
        <v>2.7065689325907801E-3</v>
      </c>
      <c r="D22608" s="1">
        <v>1.40542511886071E-3</v>
      </c>
      <c r="E22608" s="1">
        <v>4.5747473943830001E-4</v>
      </c>
      <c r="F22608" s="1">
        <v>2.4347929329059598E-3</v>
      </c>
    </row>
    <row r="22609" spans="1:6" x14ac:dyDescent="0.25">
      <c r="A22609" s="2" t="str">
        <f t="shared" si="799"/>
        <v>41860</v>
      </c>
      <c r="B22609" s="2" t="str">
        <f>"94404"</f>
        <v>94404</v>
      </c>
      <c r="C22609" s="1">
        <v>8.5501923588043195E-3</v>
      </c>
      <c r="D22609" s="1">
        <v>6.9826501158586204E-3</v>
      </c>
      <c r="E22609" s="1">
        <v>1.54812103853395E-2</v>
      </c>
      <c r="F22609" s="1">
        <v>8.8482784164209995E-3</v>
      </c>
    </row>
    <row r="22610" spans="1:6" x14ac:dyDescent="0.25">
      <c r="A22610" s="2" t="str">
        <f t="shared" si="799"/>
        <v>41860</v>
      </c>
      <c r="B22610" s="2" t="str">
        <f>"94112"</f>
        <v>94112</v>
      </c>
      <c r="C22610" s="1">
        <v>1.11664568113693E-2</v>
      </c>
      <c r="D22610" s="1">
        <v>5.0746520905698596E-3</v>
      </c>
      <c r="E22610" s="1">
        <v>5.2510144005091797E-3</v>
      </c>
      <c r="F22610" s="1">
        <v>1.0193436985536999E-2</v>
      </c>
    </row>
    <row r="22611" spans="1:6" x14ac:dyDescent="0.25">
      <c r="A22611" s="2" t="str">
        <f t="shared" si="799"/>
        <v>41860</v>
      </c>
      <c r="B22611" s="2" t="str">
        <f>"94109"</f>
        <v>94109</v>
      </c>
      <c r="C22611" s="1">
        <v>1.9212278125484199E-2</v>
      </c>
      <c r="D22611" s="1">
        <v>1.2328602624942699E-2</v>
      </c>
      <c r="E22611" s="1">
        <v>3.01601824594902E-2</v>
      </c>
      <c r="F22611" s="1">
        <v>1.9256803116878999E-2</v>
      </c>
    </row>
    <row r="22612" spans="1:6" x14ac:dyDescent="0.25">
      <c r="A22612" s="2" t="str">
        <f t="shared" si="799"/>
        <v>41860</v>
      </c>
      <c r="B22612" s="2" t="str">
        <f>"94303"</f>
        <v>94303</v>
      </c>
      <c r="C22612" s="1">
        <v>3.9472293456722001E-3</v>
      </c>
      <c r="D22612" s="1">
        <v>1.4187677623942001E-3</v>
      </c>
      <c r="E22612" s="1">
        <v>4.859840347946E-3</v>
      </c>
      <c r="F22612" s="1">
        <v>3.76188413396867E-3</v>
      </c>
    </row>
    <row r="22613" spans="1:6" x14ac:dyDescent="0.25">
      <c r="A22613" s="2" t="str">
        <f t="shared" si="799"/>
        <v>41860</v>
      </c>
      <c r="B22613" s="2" t="str">
        <f>"94402"</f>
        <v>94402</v>
      </c>
      <c r="C22613" s="1">
        <v>5.7651200998274903E-3</v>
      </c>
      <c r="D22613" s="1">
        <v>8.0055861200926792E-3</v>
      </c>
      <c r="E22613" s="1">
        <v>8.3671466836396403E-3</v>
      </c>
      <c r="F22613" s="1">
        <v>6.1506482958815396E-3</v>
      </c>
    </row>
    <row r="22614" spans="1:6" x14ac:dyDescent="0.25">
      <c r="A22614" s="2" t="str">
        <f t="shared" si="799"/>
        <v>41860</v>
      </c>
      <c r="B22614" s="2" t="str">
        <f>"94134"</f>
        <v>94134</v>
      </c>
      <c r="C22614" s="1">
        <v>6.3582563436331702E-3</v>
      </c>
      <c r="D22614" s="1">
        <v>2.7263468286759999E-3</v>
      </c>
      <c r="E22614" s="1">
        <v>2.2940037658790101E-3</v>
      </c>
      <c r="F22614" s="1">
        <v>5.7432721638211197E-3</v>
      </c>
    </row>
    <row r="22615" spans="1:6" x14ac:dyDescent="0.25">
      <c r="A22615" s="2" t="str">
        <f t="shared" si="799"/>
        <v>41860</v>
      </c>
      <c r="B22615" s="2" t="str">
        <f>"94130"</f>
        <v>94130</v>
      </c>
      <c r="C22615" s="1">
        <v>5.5516731470392901E-4</v>
      </c>
      <c r="D22615" s="1">
        <v>6.4934198529640599E-4</v>
      </c>
      <c r="E22615" s="1">
        <v>3.3548147558808698E-3</v>
      </c>
      <c r="F22615" s="1">
        <v>7.4592419534610401E-4</v>
      </c>
    </row>
    <row r="22616" spans="1:6" x14ac:dyDescent="0.25">
      <c r="A22616" s="2" t="str">
        <f t="shared" si="799"/>
        <v>41860</v>
      </c>
      <c r="B22616" s="2" t="str">
        <f>"94104"</f>
        <v>94104</v>
      </c>
      <c r="C22616" s="1">
        <v>3.2786683372995401E-4</v>
      </c>
      <c r="D22616" s="1">
        <v>1.7736820803849699E-2</v>
      </c>
      <c r="E22616" s="1">
        <v>5.7283793460100197E-3</v>
      </c>
      <c r="F22616" s="1">
        <v>2.3620932852626599E-3</v>
      </c>
    </row>
    <row r="22617" spans="1:6" x14ac:dyDescent="0.25">
      <c r="A22617" s="2" t="str">
        <f t="shared" si="799"/>
        <v>41860</v>
      </c>
      <c r="B22617" s="2" t="str">
        <f>"94118"</f>
        <v>94118</v>
      </c>
      <c r="C22617" s="1">
        <v>9.5471332945434497E-3</v>
      </c>
      <c r="D22617" s="1">
        <v>8.0189287636261708E-3</v>
      </c>
      <c r="E22617" s="1">
        <v>1.6111066910653098E-2</v>
      </c>
      <c r="F22617" s="1">
        <v>9.8252068175922799E-3</v>
      </c>
    </row>
    <row r="22618" spans="1:6" x14ac:dyDescent="0.25">
      <c r="A22618" s="2" t="str">
        <f t="shared" si="799"/>
        <v>41860</v>
      </c>
      <c r="B22618" s="2" t="str">
        <f>"94114"</f>
        <v>94114</v>
      </c>
      <c r="C22618" s="1">
        <v>9.4845358708892206E-3</v>
      </c>
      <c r="D22618" s="1">
        <v>5.1280226647038097E-3</v>
      </c>
      <c r="E22618" s="1">
        <v>1.31474262073355E-2</v>
      </c>
      <c r="F22618" s="1">
        <v>9.3008229686148292E-3</v>
      </c>
    </row>
    <row r="22619" spans="1:6" x14ac:dyDescent="0.25">
      <c r="A22619" s="2" t="str">
        <f t="shared" si="799"/>
        <v>41860</v>
      </c>
      <c r="B22619" s="2" t="str">
        <f>"94102"</f>
        <v>94102</v>
      </c>
      <c r="C22619" s="1">
        <v>1.02074848047319E-2</v>
      </c>
      <c r="D22619" s="1">
        <v>1.75989468206704E-2</v>
      </c>
      <c r="E22619" s="1">
        <v>2.6394303444983599E-2</v>
      </c>
      <c r="F22619" s="1">
        <v>1.19726425633637E-2</v>
      </c>
    </row>
    <row r="22620" spans="1:6" x14ac:dyDescent="0.25">
      <c r="A22620" s="2" t="str">
        <f t="shared" si="799"/>
        <v>41860</v>
      </c>
      <c r="B22620" s="2" t="str">
        <f>"94011"</f>
        <v>94011</v>
      </c>
      <c r="C22620" s="1">
        <v>9.2562092026422197E-4</v>
      </c>
      <c r="D22620" s="1">
        <v>2.82864042909941E-3</v>
      </c>
      <c r="E22620" s="1">
        <v>3.9780412125069601E-5</v>
      </c>
      <c r="F22620" s="1">
        <v>1.05220910139363E-3</v>
      </c>
    </row>
    <row r="22621" spans="1:6" x14ac:dyDescent="0.25">
      <c r="A22621" s="2" t="str">
        <f t="shared" si="799"/>
        <v>41860</v>
      </c>
      <c r="B22621" s="2" t="str">
        <f>"94026"</f>
        <v>94026</v>
      </c>
      <c r="C22621" s="1">
        <v>9.1228048571496002E-4</v>
      </c>
      <c r="D22621" s="1">
        <v>2.9442766730563099E-3</v>
      </c>
      <c r="E22621" s="1">
        <v>1.98902060625348E-5</v>
      </c>
      <c r="F22621" s="1">
        <v>1.05091857510411E-3</v>
      </c>
    </row>
    <row r="22622" spans="1:6" x14ac:dyDescent="0.25">
      <c r="A22622" s="2" t="str">
        <f t="shared" si="799"/>
        <v>41860</v>
      </c>
      <c r="B22622" s="2" t="str">
        <f>"94014"</f>
        <v>94014</v>
      </c>
      <c r="C22622" s="1">
        <v>7.2787463275322904E-3</v>
      </c>
      <c r="D22622" s="1">
        <v>4.5676316362973203E-3</v>
      </c>
      <c r="E22622" s="1">
        <v>1.0508658869705799E-2</v>
      </c>
      <c r="F22622" s="1">
        <v>7.2260868704866503E-3</v>
      </c>
    </row>
    <row r="22623" spans="1:6" x14ac:dyDescent="0.25">
      <c r="A22623" s="2" t="str">
        <f t="shared" si="799"/>
        <v>41860</v>
      </c>
      <c r="B22623" s="2" t="str">
        <f>"94025"</f>
        <v>94025</v>
      </c>
      <c r="C22623" s="1">
        <v>8.9078186234518592E-3</v>
      </c>
      <c r="D22623" s="1">
        <v>1.0416157051809399E-2</v>
      </c>
      <c r="E22623" s="1">
        <v>1.51430768822765E-2</v>
      </c>
      <c r="F22623" s="1">
        <v>9.4582671759370109E-3</v>
      </c>
    </row>
    <row r="22624" spans="1:6" x14ac:dyDescent="0.25">
      <c r="A22624" s="2" t="str">
        <f t="shared" si="799"/>
        <v>41860</v>
      </c>
      <c r="B22624" s="2" t="str">
        <f>"94805"</f>
        <v>94805</v>
      </c>
      <c r="C22624" s="1">
        <v>2.8805076753677002E-3</v>
      </c>
      <c r="D22624" s="1">
        <v>2.1348229653580398E-3</v>
      </c>
      <c r="E22624" s="1">
        <v>9.4809982231415903E-4</v>
      </c>
      <c r="F22624" s="1">
        <v>2.68300415592482E-3</v>
      </c>
    </row>
    <row r="22625" spans="1:6" x14ac:dyDescent="0.25">
      <c r="A22625" s="2" t="str">
        <f t="shared" si="799"/>
        <v>41860</v>
      </c>
      <c r="B22625" s="2" t="str">
        <f>"94804"</f>
        <v>94804</v>
      </c>
      <c r="C22625" s="1">
        <v>8.2695301396333003E-3</v>
      </c>
      <c r="D22625" s="1">
        <v>6.3955738003851504E-3</v>
      </c>
      <c r="E22625" s="1">
        <v>4.1172726549447E-3</v>
      </c>
      <c r="F22625" s="1">
        <v>7.8188686128089803E-3</v>
      </c>
    </row>
    <row r="22626" spans="1:6" x14ac:dyDescent="0.25">
      <c r="A22626" s="2" t="str">
        <f t="shared" si="799"/>
        <v>41860</v>
      </c>
      <c r="B22626" s="2" t="str">
        <f>"94710"</f>
        <v>94710</v>
      </c>
      <c r="C22626" s="1">
        <v>1.8856191141746199E-3</v>
      </c>
      <c r="D22626" s="1">
        <v>8.7572217058124995E-3</v>
      </c>
      <c r="E22626" s="1">
        <v>3.6200175033813298E-3</v>
      </c>
      <c r="F22626" s="1">
        <v>2.6627859107222502E-3</v>
      </c>
    </row>
    <row r="22627" spans="1:6" x14ac:dyDescent="0.25">
      <c r="A22627" s="2" t="str">
        <f t="shared" si="799"/>
        <v>41860</v>
      </c>
      <c r="B22627" s="2" t="str">
        <f>"94704"</f>
        <v>94704</v>
      </c>
      <c r="C22627" s="1">
        <v>5.7394654180019898E-3</v>
      </c>
      <c r="D22627" s="1">
        <v>8.0055861200926792E-3</v>
      </c>
      <c r="E22627" s="1">
        <v>7.9892327684514802E-3</v>
      </c>
      <c r="F22627" s="1">
        <v>6.1046195248884404E-3</v>
      </c>
    </row>
    <row r="22628" spans="1:6" x14ac:dyDescent="0.25">
      <c r="A22628" s="2" t="str">
        <f t="shared" si="799"/>
        <v>41860</v>
      </c>
      <c r="B22628" s="2" t="str">
        <f>"94933"</f>
        <v>94933</v>
      </c>
      <c r="C22628" s="1">
        <v>5.1309363651010103E-7</v>
      </c>
      <c r="D22628" s="1">
        <v>4.4475478444959298E-6</v>
      </c>
      <c r="E22628" s="1">
        <v>6.6300686875116001E-6</v>
      </c>
      <c r="F22628" s="1">
        <v>1.29052628952613E-6</v>
      </c>
    </row>
    <row r="22629" spans="1:6" x14ac:dyDescent="0.25">
      <c r="A22629" s="2" t="str">
        <f t="shared" si="799"/>
        <v>41860</v>
      </c>
      <c r="B22629" s="2" t="str">
        <f>"94940"</f>
        <v>94940</v>
      </c>
      <c r="C22629" s="1">
        <v>1.74451836413434E-5</v>
      </c>
      <c r="D22629" s="1">
        <v>0</v>
      </c>
      <c r="E22629" s="1">
        <v>3.3150343437558001E-5</v>
      </c>
      <c r="F22629" s="1">
        <v>1.6776841763839699E-5</v>
      </c>
    </row>
    <row r="22630" spans="1:6" x14ac:dyDescent="0.25">
      <c r="A22630" s="2" t="str">
        <f t="shared" si="799"/>
        <v>41860</v>
      </c>
      <c r="B22630" s="2" t="str">
        <f>"94979"</f>
        <v>94979</v>
      </c>
      <c r="C22630" s="1">
        <v>5.8236127743896404E-4</v>
      </c>
      <c r="D22630" s="1">
        <v>1.4009775710162201E-3</v>
      </c>
      <c r="E22630" s="1">
        <v>1.32601373750232E-5</v>
      </c>
      <c r="F22630" s="1">
        <v>6.2461472413064705E-4</v>
      </c>
    </row>
    <row r="22631" spans="1:6" x14ac:dyDescent="0.25">
      <c r="A22631" s="2" t="str">
        <f t="shared" si="799"/>
        <v>41860</v>
      </c>
      <c r="B22631" s="2" t="str">
        <f>"94964"</f>
        <v>94964</v>
      </c>
      <c r="C22631" s="1">
        <v>0</v>
      </c>
      <c r="D22631" s="1">
        <v>4.4475478444959298E-6</v>
      </c>
      <c r="E22631" s="1">
        <v>0</v>
      </c>
      <c r="F22631" s="1">
        <v>4.3017542984204302E-7</v>
      </c>
    </row>
    <row r="22632" spans="1:6" x14ac:dyDescent="0.25">
      <c r="A22632" s="2" t="str">
        <f t="shared" si="799"/>
        <v>41860</v>
      </c>
      <c r="B22632" s="2" t="str">
        <f>"94973"</f>
        <v>94973</v>
      </c>
      <c r="C22632" s="1">
        <v>4.6332355376862099E-4</v>
      </c>
      <c r="D22632" s="1">
        <v>3.4246118402618699E-4</v>
      </c>
      <c r="E22632" s="1">
        <v>1.32601373750232E-5</v>
      </c>
      <c r="F22632" s="1">
        <v>4.22432272104887E-4</v>
      </c>
    </row>
    <row r="22633" spans="1:6" x14ac:dyDescent="0.25">
      <c r="A22633" s="2" t="str">
        <f t="shared" si="799"/>
        <v>41860</v>
      </c>
      <c r="B22633" s="2" t="str">
        <f>"94970"</f>
        <v>94970</v>
      </c>
      <c r="C22633" s="1">
        <v>7.1833109111414102E-6</v>
      </c>
      <c r="D22633" s="1">
        <v>8.8950956889918699E-6</v>
      </c>
      <c r="E22633" s="1">
        <v>3.9780412125069601E-5</v>
      </c>
      <c r="F22633" s="1">
        <v>9.4638594565249601E-6</v>
      </c>
    </row>
    <row r="22634" spans="1:6" x14ac:dyDescent="0.25">
      <c r="A22634" s="2" t="str">
        <f t="shared" si="799"/>
        <v>41860</v>
      </c>
      <c r="B22634" s="2" t="str">
        <f>"94971"</f>
        <v>94971</v>
      </c>
      <c r="C22634" s="1">
        <v>2.0523745460403999E-6</v>
      </c>
      <c r="D22634" s="1">
        <v>1.3342643533487801E-5</v>
      </c>
      <c r="E22634" s="1">
        <v>0</v>
      </c>
      <c r="F22634" s="1">
        <v>3.0112280088943E-6</v>
      </c>
    </row>
    <row r="22635" spans="1:6" x14ac:dyDescent="0.25">
      <c r="A22635" s="2" t="str">
        <f t="shared" si="799"/>
        <v>41860</v>
      </c>
      <c r="B22635" s="2" t="str">
        <f>"94850"</f>
        <v>94850</v>
      </c>
      <c r="C22635" s="1">
        <v>0</v>
      </c>
      <c r="D22635" s="1">
        <v>8.8950956889918699E-6</v>
      </c>
      <c r="E22635" s="1">
        <v>1.32601373750232E-5</v>
      </c>
      <c r="F22635" s="1">
        <v>1.7207017193681699E-6</v>
      </c>
    </row>
    <row r="22636" spans="1:6" x14ac:dyDescent="0.25">
      <c r="A22636" s="2" t="str">
        <f t="shared" si="799"/>
        <v>41860</v>
      </c>
      <c r="B22636" s="2" t="str">
        <f>"94915"</f>
        <v>94915</v>
      </c>
      <c r="C22636" s="1">
        <v>4.7922945650043399E-4</v>
      </c>
      <c r="D22636" s="1">
        <v>1.7389912071979099E-3</v>
      </c>
      <c r="E22636" s="1">
        <v>1.32601373750232E-5</v>
      </c>
      <c r="F22636" s="1">
        <v>5.7084279540039204E-4</v>
      </c>
    </row>
    <row r="22637" spans="1:6" x14ac:dyDescent="0.25">
      <c r="A22637" s="2" t="str">
        <f t="shared" si="799"/>
        <v>41860</v>
      </c>
      <c r="B22637" s="2" t="str">
        <f>"94903"</f>
        <v>94903</v>
      </c>
      <c r="C22637" s="1">
        <v>6.8118311183081003E-3</v>
      </c>
      <c r="D22637" s="1">
        <v>9.9224792410704307E-3</v>
      </c>
      <c r="E22637" s="1">
        <v>8.6920200493277103E-3</v>
      </c>
      <c r="F22637" s="1">
        <v>7.2346903790834896E-3</v>
      </c>
    </row>
    <row r="22638" spans="1:6" x14ac:dyDescent="0.25">
      <c r="A22638" s="2" t="str">
        <f t="shared" si="799"/>
        <v>41860</v>
      </c>
      <c r="B22638" s="2" t="str">
        <f>"94608"</f>
        <v>94608</v>
      </c>
      <c r="C22638" s="1">
        <v>8.2874884169111505E-3</v>
      </c>
      <c r="D22638" s="1">
        <v>9.4110112389534008E-3</v>
      </c>
      <c r="E22638" s="1">
        <v>7.9759726310764494E-3</v>
      </c>
      <c r="F22638" s="1">
        <v>8.3759457944544303E-3</v>
      </c>
    </row>
    <row r="22639" spans="1:6" x14ac:dyDescent="0.25">
      <c r="A22639" s="2" t="str">
        <f t="shared" si="799"/>
        <v>41860</v>
      </c>
      <c r="B22639" s="2" t="str">
        <f>"94611"</f>
        <v>94611</v>
      </c>
      <c r="C22639" s="1">
        <v>9.7523707491474904E-3</v>
      </c>
      <c r="D22639" s="1">
        <v>4.9278830117014897E-3</v>
      </c>
      <c r="E22639" s="1">
        <v>6.1924841541358298E-3</v>
      </c>
      <c r="F22639" s="1">
        <v>9.0547626227451793E-3</v>
      </c>
    </row>
    <row r="22640" spans="1:6" x14ac:dyDescent="0.25">
      <c r="A22640" s="2" t="str">
        <f t="shared" si="799"/>
        <v>41860</v>
      </c>
      <c r="B22640" s="2" t="str">
        <f>"94565"</f>
        <v>94565</v>
      </c>
      <c r="C22640" s="1">
        <v>1.7122447743978499E-2</v>
      </c>
      <c r="D22640" s="1">
        <v>7.9121876153582706E-3</v>
      </c>
      <c r="E22640" s="1">
        <v>6.5505078632614603E-3</v>
      </c>
      <c r="F22640" s="1">
        <v>1.55456796836317E-2</v>
      </c>
    </row>
    <row r="22641" spans="1:6" x14ac:dyDescent="0.25">
      <c r="A22641" s="2" t="str">
        <f t="shared" si="799"/>
        <v>41860</v>
      </c>
      <c r="B22641" s="2" t="str">
        <f>"94603"</f>
        <v>94603</v>
      </c>
      <c r="C22641" s="1">
        <v>5.4731698206532502E-3</v>
      </c>
      <c r="D22641" s="1">
        <v>2.8731159075443698E-3</v>
      </c>
      <c r="E22641" s="1">
        <v>3.9117405256318396E-3</v>
      </c>
      <c r="F22641" s="1">
        <v>5.1203781414098396E-3</v>
      </c>
    </row>
    <row r="22642" spans="1:6" x14ac:dyDescent="0.25">
      <c r="A22642" s="2" t="str">
        <f t="shared" si="799"/>
        <v>41860</v>
      </c>
      <c r="B22642" s="2" t="str">
        <f>"94563"</f>
        <v>94563</v>
      </c>
      <c r="C22642" s="1">
        <v>4.2166035048400103E-3</v>
      </c>
      <c r="D22642" s="1">
        <v>3.8071009548885201E-3</v>
      </c>
      <c r="E22642" s="1">
        <v>5.0388522025088104E-4</v>
      </c>
      <c r="F22642" s="1">
        <v>3.9361051830547004E-3</v>
      </c>
    </row>
    <row r="22643" spans="1:6" x14ac:dyDescent="0.25">
      <c r="A22643" s="2" t="str">
        <f t="shared" si="799"/>
        <v>41860</v>
      </c>
      <c r="B22643" s="2" t="str">
        <f>"94580"</f>
        <v>94580</v>
      </c>
      <c r="C22643" s="1">
        <v>4.9775213677844899E-3</v>
      </c>
      <c r="D22643" s="1">
        <v>2.2015361830254798E-3</v>
      </c>
      <c r="E22643" s="1">
        <v>9.8788023443922802E-4</v>
      </c>
      <c r="F22643" s="1">
        <v>4.4501648217159396E-3</v>
      </c>
    </row>
    <row r="22644" spans="1:6" x14ac:dyDescent="0.25">
      <c r="A22644" s="2" t="str">
        <f t="shared" si="799"/>
        <v>41860</v>
      </c>
      <c r="B22644" s="2" t="str">
        <f>"94522"</f>
        <v>94522</v>
      </c>
      <c r="C22644" s="1">
        <v>3.7455835465237299E-4</v>
      </c>
      <c r="D22644" s="1">
        <v>8.5392918614321902E-4</v>
      </c>
      <c r="E22644" s="1">
        <v>1.32601373750232E-5</v>
      </c>
      <c r="F22644" s="1">
        <v>3.97482097174048E-4</v>
      </c>
    </row>
    <row r="22645" spans="1:6" x14ac:dyDescent="0.25">
      <c r="A22645" s="2" t="str">
        <f t="shared" si="799"/>
        <v>41860</v>
      </c>
      <c r="B22645" s="2" t="str">
        <f>"94525"</f>
        <v>94525</v>
      </c>
      <c r="C22645" s="1">
        <v>8.6558896479253995E-4</v>
      </c>
      <c r="D22645" s="1">
        <v>4.5364988013858499E-4</v>
      </c>
      <c r="E22645" s="1">
        <v>4.9062508287585804E-4</v>
      </c>
      <c r="F22645" s="1">
        <v>8.0141682579572705E-4</v>
      </c>
    </row>
    <row r="22646" spans="1:6" x14ac:dyDescent="0.25">
      <c r="A22646" s="2" t="str">
        <f t="shared" si="799"/>
        <v>41860</v>
      </c>
      <c r="B22646" s="2" t="str">
        <f>"94514"</f>
        <v>94514</v>
      </c>
      <c r="C22646" s="1">
        <v>1.1493297457826199E-4</v>
      </c>
      <c r="D22646" s="1">
        <v>1.64559270246349E-4</v>
      </c>
      <c r="E22646" s="1">
        <v>1.3923144243774301E-4</v>
      </c>
      <c r="F22646" s="1">
        <v>1.2130947121545601E-4</v>
      </c>
    </row>
    <row r="22647" spans="1:6" x14ac:dyDescent="0.25">
      <c r="A22647" s="2" t="str">
        <f t="shared" si="799"/>
        <v>41860</v>
      </c>
      <c r="B22647" s="2" t="str">
        <f>"94546"</f>
        <v>94546</v>
      </c>
      <c r="C22647" s="1">
        <v>9.3280423117536402E-3</v>
      </c>
      <c r="D22647" s="1">
        <v>6.3199654870287197E-3</v>
      </c>
      <c r="E22647" s="1">
        <v>3.7128384650064899E-3</v>
      </c>
      <c r="F22647" s="1">
        <v>8.67276684104544E-3</v>
      </c>
    </row>
    <row r="22648" spans="1:6" x14ac:dyDescent="0.25">
      <c r="A22648" s="2" t="str">
        <f t="shared" si="799"/>
        <v>41860</v>
      </c>
      <c r="B22648" s="2" t="str">
        <f>"94540"</f>
        <v>94540</v>
      </c>
      <c r="C22648" s="1">
        <v>5.66968468343661E-4</v>
      </c>
      <c r="D22648" s="1">
        <v>1.0273835520785599E-3</v>
      </c>
      <c r="E22648" s="1">
        <v>1.32601373750232E-5</v>
      </c>
      <c r="F22648" s="1">
        <v>5.7557472512865398E-4</v>
      </c>
    </row>
    <row r="22649" spans="1:6" x14ac:dyDescent="0.25">
      <c r="A22649" s="2" t="str">
        <f t="shared" si="799"/>
        <v>41860</v>
      </c>
      <c r="B22649" s="2" t="str">
        <f>"94544"</f>
        <v>94544</v>
      </c>
      <c r="C22649" s="1">
        <v>1.2523076386302E-2</v>
      </c>
      <c r="D22649" s="1">
        <v>8.2813340864514307E-3</v>
      </c>
      <c r="E22649" s="1">
        <v>8.7649508048903303E-3</v>
      </c>
      <c r="F22649" s="1">
        <v>1.1868970284771799E-2</v>
      </c>
    </row>
    <row r="22650" spans="1:6" x14ac:dyDescent="0.25">
      <c r="A22650" s="2" t="str">
        <f t="shared" ref="A22650:A22689" si="800">"41860"</f>
        <v>41860</v>
      </c>
      <c r="B22650" s="2" t="str">
        <f>"94539"</f>
        <v>94539</v>
      </c>
      <c r="C22650" s="1">
        <v>9.64154252366131E-3</v>
      </c>
      <c r="D22650" s="1">
        <v>7.8143415627793603E-3</v>
      </c>
      <c r="E22650" s="1">
        <v>1.9558702628159198E-3</v>
      </c>
      <c r="F22650" s="1">
        <v>8.9661464841977196E-3</v>
      </c>
    </row>
    <row r="22651" spans="1:6" x14ac:dyDescent="0.25">
      <c r="A22651" s="2" t="str">
        <f t="shared" si="800"/>
        <v>41860</v>
      </c>
      <c r="B22651" s="2" t="str">
        <f>"94507"</f>
        <v>94507</v>
      </c>
      <c r="C22651" s="1">
        <v>3.2140185390992699E-3</v>
      </c>
      <c r="D22651" s="1">
        <v>2.93093402952282E-3</v>
      </c>
      <c r="E22651" s="1">
        <v>5.4366563237595101E-4</v>
      </c>
      <c r="F22651" s="1">
        <v>3.01337888604351E-3</v>
      </c>
    </row>
    <row r="22652" spans="1:6" x14ac:dyDescent="0.25">
      <c r="A22652" s="2" t="str">
        <f t="shared" si="800"/>
        <v>41860</v>
      </c>
      <c r="B22652" s="2" t="str">
        <f>"94530"</f>
        <v>94530</v>
      </c>
      <c r="C22652" s="1">
        <v>6.5809389818785504E-3</v>
      </c>
      <c r="D22652" s="1">
        <v>4.3408066962280301E-3</v>
      </c>
      <c r="E22652" s="1">
        <v>3.6332776407563502E-3</v>
      </c>
      <c r="F22652" s="1">
        <v>6.1730174182333198E-3</v>
      </c>
    </row>
    <row r="22653" spans="1:6" x14ac:dyDescent="0.25">
      <c r="A22653" s="2" t="str">
        <f t="shared" si="800"/>
        <v>41860</v>
      </c>
      <c r="B22653" s="2" t="str">
        <f>"94536"</f>
        <v>94536</v>
      </c>
      <c r="C22653" s="1">
        <v>1.3127500690110899E-2</v>
      </c>
      <c r="D22653" s="1">
        <v>5.5105117793304596E-3</v>
      </c>
      <c r="E22653" s="1">
        <v>4.3161747155700501E-3</v>
      </c>
      <c r="F22653" s="1">
        <v>1.18190699349101E-2</v>
      </c>
    </row>
    <row r="22654" spans="1:6" x14ac:dyDescent="0.25">
      <c r="A22654" s="2" t="str">
        <f t="shared" si="800"/>
        <v>41860</v>
      </c>
      <c r="B22654" s="2" t="str">
        <f>"94111"</f>
        <v>94111</v>
      </c>
      <c r="C22654" s="1">
        <v>1.3053102112816899E-3</v>
      </c>
      <c r="D22654" s="1">
        <v>1.7478863028869002E-2</v>
      </c>
      <c r="E22654" s="1">
        <v>6.4444267642612702E-3</v>
      </c>
      <c r="F22654" s="1">
        <v>3.2030862506038501E-3</v>
      </c>
    </row>
    <row r="22655" spans="1:6" x14ac:dyDescent="0.25">
      <c r="A22655" s="2" t="str">
        <f t="shared" si="800"/>
        <v>41860</v>
      </c>
      <c r="B22655" s="2" t="str">
        <f>"94126"</f>
        <v>94126</v>
      </c>
      <c r="C22655" s="1">
        <v>7.30645338390384E-4</v>
      </c>
      <c r="D22655" s="1">
        <v>8.8950956889918701E-4</v>
      </c>
      <c r="E22655" s="1">
        <v>1.32601373750232E-5</v>
      </c>
      <c r="F22655" s="1">
        <v>6.9946524892316303E-4</v>
      </c>
    </row>
    <row r="22656" spans="1:6" x14ac:dyDescent="0.25">
      <c r="A22656" s="2" t="str">
        <f t="shared" si="800"/>
        <v>41860</v>
      </c>
      <c r="B22656" s="2" t="str">
        <f>"94124"</f>
        <v>94124</v>
      </c>
      <c r="C22656" s="1">
        <v>6.3654396545443099E-3</v>
      </c>
      <c r="D22656" s="1">
        <v>1.24842667995E-2</v>
      </c>
      <c r="E22656" s="1">
        <v>7.0079826026997602E-3</v>
      </c>
      <c r="F22656" s="1">
        <v>6.9989542435300502E-3</v>
      </c>
    </row>
    <row r="22657" spans="1:6" x14ac:dyDescent="0.25">
      <c r="A22657" s="2" t="str">
        <f t="shared" si="800"/>
        <v>41860</v>
      </c>
      <c r="B22657" s="2" t="str">
        <f>"94159"</f>
        <v>94159</v>
      </c>
      <c r="C22657" s="1">
        <v>5.4387925470070697E-4</v>
      </c>
      <c r="D22657" s="1">
        <v>1.0852016740569999E-3</v>
      </c>
      <c r="E22657" s="1">
        <v>1.32601373750232E-5</v>
      </c>
      <c r="F22657" s="1">
        <v>5.61809111373709E-4</v>
      </c>
    </row>
    <row r="22658" spans="1:6" x14ac:dyDescent="0.25">
      <c r="A22658" s="2" t="str">
        <f t="shared" si="800"/>
        <v>41860</v>
      </c>
      <c r="B22658" s="2" t="str">
        <f>"94158"</f>
        <v>94158</v>
      </c>
      <c r="C22658" s="1">
        <v>2.8204757198960202E-3</v>
      </c>
      <c r="D22658" s="1">
        <v>1.4676907886836501E-3</v>
      </c>
      <c r="E22658" s="1">
        <v>5.0255920651337896E-3</v>
      </c>
      <c r="F22658" s="1">
        <v>2.8327052055098501E-3</v>
      </c>
    </row>
    <row r="22659" spans="1:6" x14ac:dyDescent="0.25">
      <c r="A22659" s="2" t="str">
        <f t="shared" si="800"/>
        <v>41860</v>
      </c>
      <c r="B22659" s="2" t="str">
        <f>"94188"</f>
        <v>94188</v>
      </c>
      <c r="C22659" s="1">
        <v>9.3998754208650501E-4</v>
      </c>
      <c r="D22659" s="1">
        <v>1.7434387550424001E-3</v>
      </c>
      <c r="E22659" s="1">
        <v>1.7238178587530099E-4</v>
      </c>
      <c r="F22659" s="1">
        <v>9.6789471714459801E-4</v>
      </c>
    </row>
    <row r="22660" spans="1:6" x14ac:dyDescent="0.25">
      <c r="A22660" s="2" t="str">
        <f t="shared" si="800"/>
        <v>41860</v>
      </c>
      <c r="B22660" s="2" t="str">
        <f>"94038"</f>
        <v>94038</v>
      </c>
      <c r="C22660" s="1">
        <v>4.0637016011600002E-4</v>
      </c>
      <c r="D22660" s="1">
        <v>2.0013965300231699E-4</v>
      </c>
      <c r="E22660" s="1">
        <v>2.5194261012543998E-4</v>
      </c>
      <c r="F22660" s="1">
        <v>3.76403501111788E-4</v>
      </c>
    </row>
    <row r="22661" spans="1:6" x14ac:dyDescent="0.25">
      <c r="A22661" s="2" t="str">
        <f t="shared" si="800"/>
        <v>41860</v>
      </c>
      <c r="B22661" s="2" t="str">
        <f>"95391"</f>
        <v>95391</v>
      </c>
      <c r="C22661" s="1">
        <v>2.6680869098525201E-5</v>
      </c>
      <c r="D22661" s="1">
        <v>2.6685287066975601E-5</v>
      </c>
      <c r="E22661" s="1">
        <v>2.6520274750046401E-5</v>
      </c>
      <c r="F22661" s="1">
        <v>2.6670876650206699E-5</v>
      </c>
    </row>
    <row r="22662" spans="1:6" x14ac:dyDescent="0.25">
      <c r="A22662" s="2" t="str">
        <f t="shared" si="800"/>
        <v>41860</v>
      </c>
      <c r="B22662" s="2" t="str">
        <f>"94802"</f>
        <v>94802</v>
      </c>
      <c r="C22662" s="1">
        <v>5.6132443834205003E-4</v>
      </c>
      <c r="D22662" s="1">
        <v>4.09174401693626E-4</v>
      </c>
      <c r="E22662" s="1">
        <v>1.32601373750232E-5</v>
      </c>
      <c r="F22662" s="1">
        <v>5.1104841065234801E-4</v>
      </c>
    </row>
    <row r="22663" spans="1:6" x14ac:dyDescent="0.25">
      <c r="A22663" s="2" t="str">
        <f t="shared" si="800"/>
        <v>41860</v>
      </c>
      <c r="B22663" s="2" t="str">
        <f>"94706"</f>
        <v>94706</v>
      </c>
      <c r="C22663" s="1">
        <v>4.7045555531611098E-3</v>
      </c>
      <c r="D22663" s="1">
        <v>3.7626254764435599E-3</v>
      </c>
      <c r="E22663" s="1">
        <v>4.0841223115071403E-3</v>
      </c>
      <c r="F22663" s="1">
        <v>4.5731949946507602E-3</v>
      </c>
    </row>
    <row r="22664" spans="1:6" x14ac:dyDescent="0.25">
      <c r="A22664" s="2" t="str">
        <f t="shared" si="800"/>
        <v>41860</v>
      </c>
      <c r="B22664" s="2" t="str">
        <f>"94703"</f>
        <v>94703</v>
      </c>
      <c r="C22664" s="1">
        <v>4.9841915850591199E-3</v>
      </c>
      <c r="D22664" s="1">
        <v>2.1704033481140098E-3</v>
      </c>
      <c r="E22664" s="1">
        <v>7.8698915320762706E-3</v>
      </c>
      <c r="F22664" s="1">
        <v>4.8992679704710296E-3</v>
      </c>
    </row>
    <row r="22665" spans="1:6" x14ac:dyDescent="0.25">
      <c r="A22665" s="2" t="str">
        <f t="shared" si="800"/>
        <v>41860</v>
      </c>
      <c r="B22665" s="2" t="str">
        <f>"94976"</f>
        <v>94976</v>
      </c>
      <c r="C22665" s="1">
        <v>3.2530136554740399E-4</v>
      </c>
      <c r="D22665" s="1">
        <v>7.7832087278678901E-4</v>
      </c>
      <c r="E22665" s="1">
        <v>1.32601373750232E-5</v>
      </c>
      <c r="F22665" s="1">
        <v>3.4887227360189701E-4</v>
      </c>
    </row>
    <row r="22666" spans="1:6" x14ac:dyDescent="0.25">
      <c r="A22666" s="2" t="str">
        <f t="shared" si="800"/>
        <v>41860</v>
      </c>
      <c r="B22666" s="2" t="str">
        <f>"94950"</f>
        <v>94950</v>
      </c>
      <c r="C22666" s="1">
        <v>0</v>
      </c>
      <c r="D22666" s="1">
        <v>4.4475478444959298E-6</v>
      </c>
      <c r="E22666" s="1">
        <v>0</v>
      </c>
      <c r="F22666" s="1">
        <v>4.3017542984204302E-7</v>
      </c>
    </row>
    <row r="22667" spans="1:6" x14ac:dyDescent="0.25">
      <c r="A22667" s="2" t="str">
        <f t="shared" si="800"/>
        <v>41860</v>
      </c>
      <c r="B22667" s="2" t="str">
        <f>"94949"</f>
        <v>94949</v>
      </c>
      <c r="C22667" s="1">
        <v>3.8923283265656201E-3</v>
      </c>
      <c r="D22667" s="1">
        <v>7.5208034050426196E-3</v>
      </c>
      <c r="E22667" s="1">
        <v>5.9736918874479499E-3</v>
      </c>
      <c r="F22667" s="1">
        <v>4.3783255249323196E-3</v>
      </c>
    </row>
    <row r="22668" spans="1:6" x14ac:dyDescent="0.25">
      <c r="A22668" s="2" t="str">
        <f t="shared" si="800"/>
        <v>41860</v>
      </c>
      <c r="B22668" s="2" t="str">
        <f>"94623"</f>
        <v>94623</v>
      </c>
      <c r="C22668" s="1">
        <v>4.0483087920646898E-4</v>
      </c>
      <c r="D22668" s="1">
        <v>1.05406883914553E-3</v>
      </c>
      <c r="E22668" s="1">
        <v>1.32601373750232E-5</v>
      </c>
      <c r="F22668" s="1">
        <v>4.42220341877621E-4</v>
      </c>
    </row>
    <row r="22669" spans="1:6" x14ac:dyDescent="0.25">
      <c r="A22669" s="2" t="str">
        <f t="shared" si="800"/>
        <v>41860</v>
      </c>
      <c r="B22669" s="2" t="str">
        <f>"94621"</f>
        <v>94621</v>
      </c>
      <c r="C22669" s="1">
        <v>5.1011769341834197E-3</v>
      </c>
      <c r="D22669" s="1">
        <v>8.7705643493459808E-3</v>
      </c>
      <c r="E22669" s="1">
        <v>6.1527037420107599E-3</v>
      </c>
      <c r="F22669" s="1">
        <v>5.5243128700315199E-3</v>
      </c>
    </row>
    <row r="22670" spans="1:6" x14ac:dyDescent="0.25">
      <c r="A22670" s="2" t="str">
        <f t="shared" si="800"/>
        <v>41860</v>
      </c>
      <c r="B22670" s="2" t="str">
        <f>"94925"</f>
        <v>94925</v>
      </c>
      <c r="C22670" s="1">
        <v>2.2406799106396099E-3</v>
      </c>
      <c r="D22670" s="1">
        <v>3.3712412661279201E-3</v>
      </c>
      <c r="E22670" s="1">
        <v>2.6586575436921499E-3</v>
      </c>
      <c r="F22670" s="1">
        <v>2.3771494253071301E-3</v>
      </c>
    </row>
    <row r="22671" spans="1:6" x14ac:dyDescent="0.25">
      <c r="A22671" s="2" t="str">
        <f t="shared" si="800"/>
        <v>41860</v>
      </c>
      <c r="B22671" s="2" t="str">
        <f>"94901"</f>
        <v>94901</v>
      </c>
      <c r="C22671" s="1">
        <v>8.5573756697154592E-3</v>
      </c>
      <c r="D22671" s="1">
        <v>1.7065241079330901E-2</v>
      </c>
      <c r="E22671" s="1">
        <v>1.6873524809716999E-2</v>
      </c>
      <c r="F22671" s="1">
        <v>9.9198454121575304E-3</v>
      </c>
    </row>
    <row r="22672" spans="1:6" x14ac:dyDescent="0.25">
      <c r="A22672" s="2" t="str">
        <f t="shared" si="800"/>
        <v>41860</v>
      </c>
      <c r="B22672" s="2" t="str">
        <f>"94820"</f>
        <v>94820</v>
      </c>
      <c r="C22672" s="1">
        <v>5.0950198105453003E-4</v>
      </c>
      <c r="D22672" s="1">
        <v>1.0006982650115799E-3</v>
      </c>
      <c r="E22672" s="1">
        <v>1.32601373750232E-5</v>
      </c>
      <c r="F22672" s="1">
        <v>5.2481402440729299E-4</v>
      </c>
    </row>
    <row r="22673" spans="1:6" x14ac:dyDescent="0.25">
      <c r="A22673" s="2" t="str">
        <f t="shared" si="800"/>
        <v>41860</v>
      </c>
      <c r="B22673" s="2" t="str">
        <f>"94607"</f>
        <v>94607</v>
      </c>
      <c r="C22673" s="1">
        <v>6.6281435964374797E-3</v>
      </c>
      <c r="D22673" s="1">
        <v>1.3476069968822601E-2</v>
      </c>
      <c r="E22673" s="1">
        <v>5.9140212692603399E-3</v>
      </c>
      <c r="F22673" s="1">
        <v>7.2441542385400098E-3</v>
      </c>
    </row>
    <row r="22674" spans="1:6" x14ac:dyDescent="0.25">
      <c r="A22674" s="2" t="str">
        <f t="shared" si="800"/>
        <v>41860</v>
      </c>
      <c r="B22674" s="2" t="str">
        <f>"94598"</f>
        <v>94598</v>
      </c>
      <c r="C22674" s="1">
        <v>6.34696828362995E-3</v>
      </c>
      <c r="D22674" s="1">
        <v>6.0219797814474903E-3</v>
      </c>
      <c r="E22674" s="1">
        <v>3.93826080038189E-3</v>
      </c>
      <c r="F22674" s="1">
        <v>6.1592518044783799E-3</v>
      </c>
    </row>
    <row r="22675" spans="1:6" x14ac:dyDescent="0.25">
      <c r="A22675" s="2" t="str">
        <f t="shared" si="800"/>
        <v>41860</v>
      </c>
      <c r="B22675" s="2" t="str">
        <f>"94596"</f>
        <v>94596</v>
      </c>
      <c r="C22675" s="1">
        <v>6.1068404617432197E-3</v>
      </c>
      <c r="D22675" s="1">
        <v>1.44011599204778E-2</v>
      </c>
      <c r="E22675" s="1">
        <v>5.1913437823215801E-3</v>
      </c>
      <c r="F22675" s="1">
        <v>6.8496833693748602E-3</v>
      </c>
    </row>
    <row r="22676" spans="1:6" x14ac:dyDescent="0.25">
      <c r="A22676" s="2" t="str">
        <f t="shared" si="800"/>
        <v>41860</v>
      </c>
      <c r="B22676" s="2" t="str">
        <f>"94578"</f>
        <v>94578</v>
      </c>
      <c r="C22676" s="1">
        <v>7.9498728040874999E-3</v>
      </c>
      <c r="D22676" s="1">
        <v>5.1636030474597801E-3</v>
      </c>
      <c r="E22676" s="1">
        <v>4.8929906913835596E-3</v>
      </c>
      <c r="F22676" s="1">
        <v>7.4820412512426604E-3</v>
      </c>
    </row>
    <row r="22677" spans="1:6" x14ac:dyDescent="0.25">
      <c r="A22677" s="2" t="str">
        <f t="shared" si="800"/>
        <v>41860</v>
      </c>
      <c r="B22677" s="2" t="str">
        <f>"94551"</f>
        <v>94551</v>
      </c>
      <c r="C22677" s="1">
        <v>8.2720956078158499E-3</v>
      </c>
      <c r="D22677" s="1">
        <v>1.10254711065054E-2</v>
      </c>
      <c r="E22677" s="1">
        <v>4.9128808974460902E-3</v>
      </c>
      <c r="F22677" s="1">
        <v>8.32045316400481E-3</v>
      </c>
    </row>
    <row r="22678" spans="1:6" x14ac:dyDescent="0.25">
      <c r="A22678" s="2" t="str">
        <f t="shared" si="800"/>
        <v>41860</v>
      </c>
      <c r="B22678" s="2" t="str">
        <f>"94537"</f>
        <v>94537</v>
      </c>
      <c r="C22678" s="1">
        <v>6.5214201200433804E-4</v>
      </c>
      <c r="D22678" s="1">
        <v>1.43211040592769E-3</v>
      </c>
      <c r="E22678" s="1">
        <v>6.6300686875116001E-6</v>
      </c>
      <c r="F22678" s="1">
        <v>6.8569963516821697E-4</v>
      </c>
    </row>
    <row r="22679" spans="1:6" x14ac:dyDescent="0.25">
      <c r="A22679" s="2" t="str">
        <f t="shared" si="800"/>
        <v>41860</v>
      </c>
      <c r="B22679" s="2" t="str">
        <f>"94528"</f>
        <v>94528</v>
      </c>
      <c r="C22679" s="1">
        <v>2.9656812190283801E-4</v>
      </c>
      <c r="D22679" s="1">
        <v>2.0903474869130899E-4</v>
      </c>
      <c r="E22679" s="1">
        <v>1.32601373750232E-5</v>
      </c>
      <c r="F22679" s="1">
        <v>2.6971999451096102E-4</v>
      </c>
    </row>
    <row r="22680" spans="1:6" x14ac:dyDescent="0.25">
      <c r="A22680" s="2" t="str">
        <f t="shared" si="800"/>
        <v>41860</v>
      </c>
      <c r="B22680" s="2" t="str">
        <f>"94497"</f>
        <v>94497</v>
      </c>
      <c r="C22680" s="1">
        <v>0</v>
      </c>
      <c r="D22680" s="1">
        <v>1.3342643533487801E-5</v>
      </c>
      <c r="E22680" s="1">
        <v>0</v>
      </c>
      <c r="F22680" s="1">
        <v>1.29052628952613E-6</v>
      </c>
    </row>
    <row r="22681" spans="1:6" x14ac:dyDescent="0.25">
      <c r="A22681" s="2" t="str">
        <f t="shared" si="800"/>
        <v>41860</v>
      </c>
      <c r="B22681" s="2" t="str">
        <f>"94501"</f>
        <v>94501</v>
      </c>
      <c r="C22681" s="1">
        <v>1.5290190368001E-2</v>
      </c>
      <c r="D22681" s="1">
        <v>1.19327708667825E-2</v>
      </c>
      <c r="E22681" s="1">
        <v>2.3695865489166398E-2</v>
      </c>
      <c r="F22681" s="1">
        <v>1.55108354738145E-2</v>
      </c>
    </row>
    <row r="22682" spans="1:6" x14ac:dyDescent="0.25">
      <c r="A22682" s="2" t="str">
        <f t="shared" si="800"/>
        <v>41860</v>
      </c>
      <c r="B22682" s="2" t="str">
        <f>"94119"</f>
        <v>94119</v>
      </c>
      <c r="C22682" s="1">
        <v>1.19653436034155E-3</v>
      </c>
      <c r="D22682" s="1">
        <v>1.48992852790613E-3</v>
      </c>
      <c r="E22682" s="1">
        <v>1.32601373750232E-5</v>
      </c>
      <c r="F22682" s="1">
        <v>1.1481382222484099E-3</v>
      </c>
    </row>
    <row r="22683" spans="1:6" x14ac:dyDescent="0.25">
      <c r="A22683" s="2" t="str">
        <f t="shared" si="800"/>
        <v>41860</v>
      </c>
      <c r="B22683" s="2" t="str">
        <f>"94127"</f>
        <v>94127</v>
      </c>
      <c r="C22683" s="1">
        <v>4.1026967175347602E-3</v>
      </c>
      <c r="D22683" s="1">
        <v>2.62850077609709E-3</v>
      </c>
      <c r="E22683" s="1">
        <v>1.2530829819396899E-3</v>
      </c>
      <c r="F22683" s="1">
        <v>3.7752195722937699E-3</v>
      </c>
    </row>
    <row r="22684" spans="1:6" x14ac:dyDescent="0.25">
      <c r="A22684" s="2" t="str">
        <f t="shared" si="800"/>
        <v>41860</v>
      </c>
      <c r="B22684" s="2" t="str">
        <f>"94164"</f>
        <v>94164</v>
      </c>
      <c r="C22684" s="1">
        <v>9.2869948208328297E-4</v>
      </c>
      <c r="D22684" s="1">
        <v>1.0095933607005699E-3</v>
      </c>
      <c r="E22684" s="1">
        <v>1.32601373750232E-5</v>
      </c>
      <c r="F22684" s="1">
        <v>8.7712770144792698E-4</v>
      </c>
    </row>
    <row r="22685" spans="1:6" x14ac:dyDescent="0.25">
      <c r="A22685" s="2" t="str">
        <f t="shared" si="800"/>
        <v>41860</v>
      </c>
      <c r="B22685" s="2" t="str">
        <f>"94128"</f>
        <v>94128</v>
      </c>
      <c r="C22685" s="1">
        <v>8.1684506932408105E-4</v>
      </c>
      <c r="D22685" s="1">
        <v>1.7300961115089099E-3</v>
      </c>
      <c r="E22685" s="1">
        <v>2.78462884875487E-4</v>
      </c>
      <c r="F22685" s="1">
        <v>8.7024489457045401E-4</v>
      </c>
    </row>
    <row r="22686" spans="1:6" x14ac:dyDescent="0.25">
      <c r="A22686" s="2" t="str">
        <f t="shared" si="800"/>
        <v>41860</v>
      </c>
      <c r="B22686" s="2" t="str">
        <f>"94107"</f>
        <v>94107</v>
      </c>
      <c r="C22686" s="1">
        <v>9.7744337755174202E-3</v>
      </c>
      <c r="D22686" s="1">
        <v>1.7060793531486401E-2</v>
      </c>
      <c r="E22686" s="1">
        <v>2.1448272204100002E-2</v>
      </c>
      <c r="F22686" s="1">
        <v>1.1236612402904E-2</v>
      </c>
    </row>
    <row r="22687" spans="1:6" x14ac:dyDescent="0.25">
      <c r="A22687" s="2" t="str">
        <f t="shared" si="800"/>
        <v>41860</v>
      </c>
      <c r="B22687" s="2" t="str">
        <f>"94083"</f>
        <v>94083</v>
      </c>
      <c r="C22687" s="1">
        <v>6.3315754745346404E-4</v>
      </c>
      <c r="D22687" s="1">
        <v>1.3031315184372999E-3</v>
      </c>
      <c r="E22687" s="1">
        <v>3.3150343437558001E-5</v>
      </c>
      <c r="F22687" s="1">
        <v>6.5902875851801097E-4</v>
      </c>
    </row>
    <row r="22688" spans="1:6" x14ac:dyDescent="0.25">
      <c r="A22688" s="2" t="str">
        <f t="shared" si="800"/>
        <v>41860</v>
      </c>
      <c r="B22688" s="2" t="str">
        <f>"94070"</f>
        <v>94070</v>
      </c>
      <c r="C22688" s="1">
        <v>7.0652993747440896E-3</v>
      </c>
      <c r="D22688" s="1">
        <v>1.26043505913014E-2</v>
      </c>
      <c r="E22688" s="1">
        <v>8.8312514917654496E-3</v>
      </c>
      <c r="F22688" s="1">
        <v>7.7156265096468904E-3</v>
      </c>
    </row>
    <row r="22689" spans="1:6" x14ac:dyDescent="0.25">
      <c r="A22689" s="2" t="str">
        <f t="shared" si="800"/>
        <v>41860</v>
      </c>
      <c r="B22689" s="2" t="str">
        <f>"94065"</f>
        <v>94065</v>
      </c>
      <c r="C22689" s="1">
        <v>2.6465369771191002E-3</v>
      </c>
      <c r="D22689" s="1">
        <v>2.41057093171679E-3</v>
      </c>
      <c r="E22689" s="1">
        <v>1.91608985069085E-3</v>
      </c>
      <c r="F22689" s="1">
        <v>2.5763206493239999E-3</v>
      </c>
    </row>
    <row r="22690" spans="1:6" x14ac:dyDescent="0.25">
      <c r="A22690" s="2" t="str">
        <f t="shared" ref="A22690:A22712" si="801">"42100"</f>
        <v>42100</v>
      </c>
      <c r="B22690" s="2" t="str">
        <f>"95033"</f>
        <v>95033</v>
      </c>
      <c r="C22690" s="1">
        <v>1.9090052266300998E-2</v>
      </c>
      <c r="D22690" s="1">
        <v>8.4045384507634095E-4</v>
      </c>
      <c r="E22690" s="1">
        <v>2.9445444135449E-3</v>
      </c>
      <c r="F22690" s="1">
        <v>1.6469609995550701E-2</v>
      </c>
    </row>
    <row r="22691" spans="1:6" x14ac:dyDescent="0.25">
      <c r="A22691" s="2" t="str">
        <f t="shared" si="801"/>
        <v>42100</v>
      </c>
      <c r="B22691" s="2" t="str">
        <f>"95018"</f>
        <v>95018</v>
      </c>
      <c r="C22691" s="1">
        <v>3.8334332962042597E-2</v>
      </c>
      <c r="D22691" s="1">
        <v>2.9065695475556801E-2</v>
      </c>
      <c r="E22691" s="1">
        <v>1.4886307868477E-2</v>
      </c>
      <c r="F22691" s="1">
        <v>3.6323586261223402E-2</v>
      </c>
    </row>
    <row r="22692" spans="1:6" x14ac:dyDescent="0.25">
      <c r="A22692" s="2" t="str">
        <f t="shared" si="801"/>
        <v>42100</v>
      </c>
      <c r="B22692" s="2" t="str">
        <f>"95010"</f>
        <v>95010</v>
      </c>
      <c r="C22692" s="1">
        <v>5.3208808156970197E-2</v>
      </c>
      <c r="D22692" s="1">
        <v>8.2504552458327399E-2</v>
      </c>
      <c r="E22692" s="1">
        <v>0.16456731555700899</v>
      </c>
      <c r="F22692" s="1">
        <v>6.1224936360785097E-2</v>
      </c>
    </row>
    <row r="22693" spans="1:6" x14ac:dyDescent="0.25">
      <c r="A22693" s="2" t="str">
        <f t="shared" si="801"/>
        <v>42100</v>
      </c>
      <c r="B22693" s="2" t="str">
        <f>"95007"</f>
        <v>95007</v>
      </c>
      <c r="C22693" s="1">
        <v>5.6550424128180897E-4</v>
      </c>
      <c r="D22693" s="1">
        <v>1.4007564084605599E-4</v>
      </c>
      <c r="E22693" s="1">
        <v>6.5434320300997802E-4</v>
      </c>
      <c r="F22693" s="1">
        <v>5.2516028329479701E-4</v>
      </c>
    </row>
    <row r="22694" spans="1:6" x14ac:dyDescent="0.25">
      <c r="A22694" s="2" t="str">
        <f t="shared" si="801"/>
        <v>42100</v>
      </c>
      <c r="B22694" s="2" t="str">
        <f>"95065"</f>
        <v>95065</v>
      </c>
      <c r="C22694" s="1">
        <v>2.77182760688886E-2</v>
      </c>
      <c r="D22694" s="1">
        <v>2.0451043563524299E-2</v>
      </c>
      <c r="E22694" s="1">
        <v>1.3577621462457E-2</v>
      </c>
      <c r="F22694" s="1">
        <v>2.6330953092975201E-2</v>
      </c>
    </row>
    <row r="22695" spans="1:6" x14ac:dyDescent="0.25">
      <c r="A22695" s="2" t="str">
        <f t="shared" si="801"/>
        <v>42100</v>
      </c>
      <c r="B22695" s="2" t="str">
        <f>"95062"</f>
        <v>95062</v>
      </c>
      <c r="C22695" s="1">
        <v>0.14284123040013699</v>
      </c>
      <c r="D22695" s="1">
        <v>0.10344586076481201</v>
      </c>
      <c r="E22695" s="1">
        <v>0.176999836414199</v>
      </c>
      <c r="F22695" s="1">
        <v>0.14026155899665199</v>
      </c>
    </row>
    <row r="22696" spans="1:6" x14ac:dyDescent="0.25">
      <c r="A22696" s="2" t="str">
        <f t="shared" si="801"/>
        <v>42100</v>
      </c>
      <c r="B22696" s="2" t="str">
        <f>"95076"</f>
        <v>95076</v>
      </c>
      <c r="C22696" s="1">
        <v>0.17625739011224401</v>
      </c>
      <c r="D22696" s="1">
        <v>0.135873371620675</v>
      </c>
      <c r="E22696" s="1">
        <v>0.18665139865859601</v>
      </c>
      <c r="F22696" s="1">
        <v>0.17251515306234</v>
      </c>
    </row>
    <row r="22697" spans="1:6" x14ac:dyDescent="0.25">
      <c r="A22697" s="2" t="str">
        <f t="shared" si="801"/>
        <v>42100</v>
      </c>
      <c r="B22697" s="2" t="str">
        <f>"95066"</f>
        <v>95066</v>
      </c>
      <c r="C22697" s="1">
        <v>5.4031359780652898E-2</v>
      </c>
      <c r="D22697" s="1">
        <v>7.24191063174114E-2</v>
      </c>
      <c r="E22697" s="1">
        <v>5.5782758056600601E-2</v>
      </c>
      <c r="F22697" s="1">
        <v>5.60243907776019E-2</v>
      </c>
    </row>
    <row r="22698" spans="1:6" x14ac:dyDescent="0.25">
      <c r="A22698" s="2" t="str">
        <f t="shared" si="801"/>
        <v>42100</v>
      </c>
      <c r="B22698" s="2" t="str">
        <f>"95041"</f>
        <v>95041</v>
      </c>
      <c r="C22698" s="1">
        <v>6.7689144032216598E-4</v>
      </c>
      <c r="D22698" s="1">
        <v>7.0037820423028403E-5</v>
      </c>
      <c r="E22698" s="1">
        <v>0</v>
      </c>
      <c r="F22698" s="1">
        <v>5.8351142588310796E-4</v>
      </c>
    </row>
    <row r="22699" spans="1:6" x14ac:dyDescent="0.25">
      <c r="A22699" s="2" t="str">
        <f t="shared" si="801"/>
        <v>42100</v>
      </c>
      <c r="B22699" s="2" t="str">
        <f>"95005"</f>
        <v>95005</v>
      </c>
      <c r="C22699" s="1">
        <v>2.7075657612886599E-2</v>
      </c>
      <c r="D22699" s="1">
        <v>1.1206051267684499E-2</v>
      </c>
      <c r="E22699" s="1">
        <v>9.9787338459021695E-3</v>
      </c>
      <c r="F22699" s="1">
        <v>2.4660651636384801E-2</v>
      </c>
    </row>
    <row r="22700" spans="1:6" x14ac:dyDescent="0.25">
      <c r="A22700" s="2" t="str">
        <f t="shared" si="801"/>
        <v>42100</v>
      </c>
      <c r="B22700" s="2" t="str">
        <f>"95001"</f>
        <v>95001</v>
      </c>
      <c r="C22700" s="1">
        <v>1.47373832576471E-2</v>
      </c>
      <c r="D22700" s="1">
        <v>3.5579212774898401E-2</v>
      </c>
      <c r="E22700" s="1">
        <v>3.2717160150498901E-4</v>
      </c>
      <c r="F22700" s="1">
        <v>1.62653809964916E-2</v>
      </c>
    </row>
    <row r="22701" spans="1:6" x14ac:dyDescent="0.25">
      <c r="A22701" s="2" t="str">
        <f t="shared" si="801"/>
        <v>42100</v>
      </c>
      <c r="B22701" s="2" t="str">
        <f>"95003"</f>
        <v>95003</v>
      </c>
      <c r="C22701" s="1">
        <v>0.102750406991688</v>
      </c>
      <c r="D22701" s="1">
        <v>9.8613251155623999E-2</v>
      </c>
      <c r="E22701" s="1">
        <v>7.0505480124325198E-2</v>
      </c>
      <c r="F22701" s="1">
        <v>0.100881831642365</v>
      </c>
    </row>
    <row r="22702" spans="1:6" x14ac:dyDescent="0.25">
      <c r="A22702" s="2" t="str">
        <f t="shared" si="801"/>
        <v>42100</v>
      </c>
      <c r="B22702" s="2" t="str">
        <f>"95067"</f>
        <v>95067</v>
      </c>
      <c r="C22702" s="1">
        <v>6.7774826493016797E-3</v>
      </c>
      <c r="D22702" s="1">
        <v>1.6949152542372801E-2</v>
      </c>
      <c r="E22702" s="1">
        <v>3.2717160150498901E-4</v>
      </c>
      <c r="F22702" s="1">
        <v>7.5491790723627101E-3</v>
      </c>
    </row>
    <row r="22703" spans="1:6" x14ac:dyDescent="0.25">
      <c r="A22703" s="2" t="str">
        <f t="shared" si="801"/>
        <v>42100</v>
      </c>
      <c r="B22703" s="2" t="str">
        <f>"95006"</f>
        <v>95006</v>
      </c>
      <c r="C22703" s="1">
        <v>3.58238368605946E-2</v>
      </c>
      <c r="D22703" s="1">
        <v>7.9843115282252405E-3</v>
      </c>
      <c r="E22703" s="1">
        <v>1.1287420251922101E-2</v>
      </c>
      <c r="F22703" s="1">
        <v>3.1830548281923499E-2</v>
      </c>
    </row>
    <row r="22704" spans="1:6" x14ac:dyDescent="0.25">
      <c r="A22704" s="2" t="str">
        <f t="shared" si="801"/>
        <v>42100</v>
      </c>
      <c r="B22704" s="2" t="str">
        <f>"95064"</f>
        <v>95064</v>
      </c>
      <c r="C22704" s="1">
        <v>4.2584183017736199E-3</v>
      </c>
      <c r="D22704" s="1">
        <v>2.3112480739599299E-3</v>
      </c>
      <c r="E22704" s="1">
        <v>3.2717160150498901E-4</v>
      </c>
      <c r="F22704" s="1">
        <v>3.88035098212266E-3</v>
      </c>
    </row>
    <row r="22705" spans="1:6" x14ac:dyDescent="0.25">
      <c r="A22705" s="2" t="str">
        <f t="shared" si="801"/>
        <v>42100</v>
      </c>
      <c r="B22705" s="2" t="str">
        <f>"94060"</f>
        <v>94060</v>
      </c>
      <c r="C22705" s="1">
        <v>8.5682460800274098E-6</v>
      </c>
      <c r="D22705" s="1">
        <v>0</v>
      </c>
      <c r="E22705" s="1">
        <v>0</v>
      </c>
      <c r="F22705" s="1">
        <v>7.2938928235388498E-6</v>
      </c>
    </row>
    <row r="22706" spans="1:6" x14ac:dyDescent="0.25">
      <c r="A22706" s="2" t="str">
        <f t="shared" si="801"/>
        <v>42100</v>
      </c>
      <c r="B22706" s="2" t="str">
        <f>"95061"</f>
        <v>95061</v>
      </c>
      <c r="C22706" s="1">
        <v>1.50715448547682E-2</v>
      </c>
      <c r="D22706" s="1">
        <v>3.9431292898165E-2</v>
      </c>
      <c r="E22706" s="1">
        <v>3.2717160150498901E-4</v>
      </c>
      <c r="F22706" s="1">
        <v>1.69510069219042E-2</v>
      </c>
    </row>
    <row r="22707" spans="1:6" x14ac:dyDescent="0.25">
      <c r="A22707" s="2" t="str">
        <f t="shared" si="801"/>
        <v>42100</v>
      </c>
      <c r="B22707" s="2" t="str">
        <f>"95060"</f>
        <v>95060</v>
      </c>
      <c r="C22707" s="1">
        <v>0.16910290463542099</v>
      </c>
      <c r="D22707" s="1">
        <v>0.19015268244852199</v>
      </c>
      <c r="E22707" s="1">
        <v>0.23294618027155201</v>
      </c>
      <c r="F22707" s="1">
        <v>0.17414169116198999</v>
      </c>
    </row>
    <row r="22708" spans="1:6" x14ac:dyDescent="0.25">
      <c r="A22708" s="2" t="str">
        <f t="shared" si="801"/>
        <v>42100</v>
      </c>
      <c r="B22708" s="2" t="str">
        <f>"95077"</f>
        <v>95077</v>
      </c>
      <c r="C22708" s="1">
        <v>1.5688458572530199E-2</v>
      </c>
      <c r="D22708" s="1">
        <v>2.76649390670962E-2</v>
      </c>
      <c r="E22708" s="1">
        <v>3.2717160150498901E-4</v>
      </c>
      <c r="F22708" s="1">
        <v>1.6250793210844501E-2</v>
      </c>
    </row>
    <row r="22709" spans="1:6" x14ac:dyDescent="0.25">
      <c r="A22709" s="2" t="str">
        <f t="shared" si="801"/>
        <v>42100</v>
      </c>
      <c r="B22709" s="2" t="str">
        <f>"95017"</f>
        <v>95017</v>
      </c>
      <c r="C22709" s="1">
        <v>1.91928712192614E-3</v>
      </c>
      <c r="D22709" s="1">
        <v>5.6030256338422701E-4</v>
      </c>
      <c r="E22709" s="1">
        <v>1.6358580075249399E-4</v>
      </c>
      <c r="F22709" s="1">
        <v>1.6994770278845499E-3</v>
      </c>
    </row>
    <row r="22710" spans="1:6" x14ac:dyDescent="0.25">
      <c r="A22710" s="2" t="str">
        <f t="shared" si="801"/>
        <v>42100</v>
      </c>
      <c r="B22710" s="2" t="str">
        <f>"95019"</f>
        <v>95019</v>
      </c>
      <c r="C22710" s="1">
        <v>2.9466198269214199E-2</v>
      </c>
      <c r="D22710" s="1">
        <v>3.0116262781902201E-2</v>
      </c>
      <c r="E22710" s="1">
        <v>1.8485195485031799E-2</v>
      </c>
      <c r="F22710" s="1">
        <v>2.9044281223331699E-2</v>
      </c>
    </row>
    <row r="22711" spans="1:6" x14ac:dyDescent="0.25">
      <c r="A22711" s="2" t="str">
        <f t="shared" si="801"/>
        <v>42100</v>
      </c>
      <c r="B22711" s="2" t="str">
        <f>"95063"</f>
        <v>95063</v>
      </c>
      <c r="C22711" s="1">
        <v>1.6236826321651899E-2</v>
      </c>
      <c r="D22711" s="1">
        <v>2.9065695475556801E-2</v>
      </c>
      <c r="E22711" s="1">
        <v>3.2717160150498901E-4</v>
      </c>
      <c r="F22711" s="1">
        <v>1.6863480208021801E-2</v>
      </c>
    </row>
    <row r="22712" spans="1:6" x14ac:dyDescent="0.25">
      <c r="A22712" s="2" t="str">
        <f t="shared" si="801"/>
        <v>42100</v>
      </c>
      <c r="B22712" s="2" t="str">
        <f>"95073"</f>
        <v>95073</v>
      </c>
      <c r="C22712" s="1">
        <v>4.8359180875674701E-2</v>
      </c>
      <c r="D22712" s="1">
        <v>6.5555399915954604E-2</v>
      </c>
      <c r="E22712" s="1">
        <v>3.86062489775887E-2</v>
      </c>
      <c r="F22712" s="1">
        <v>4.97151734852408E-2</v>
      </c>
    </row>
    <row r="22713" spans="1:6" x14ac:dyDescent="0.25">
      <c r="A22713" s="2" t="str">
        <f t="shared" ref="A22713:A22745" si="802">"33700"</f>
        <v>33700</v>
      </c>
      <c r="B22713" s="2" t="str">
        <f>"95316"</f>
        <v>95316</v>
      </c>
      <c r="C22713" s="1">
        <v>1.5857357401572399E-2</v>
      </c>
      <c r="D22713" s="1">
        <v>1.0230941147255999E-2</v>
      </c>
      <c r="E22713" s="1">
        <v>3.9670430271589799E-3</v>
      </c>
      <c r="F22713" s="1">
        <v>1.5027577318469199E-2</v>
      </c>
    </row>
    <row r="22714" spans="1:6" x14ac:dyDescent="0.25">
      <c r="A22714" s="2" t="str">
        <f t="shared" si="802"/>
        <v>33700</v>
      </c>
      <c r="B22714" s="2" t="str">
        <f>"95230"</f>
        <v>95230</v>
      </c>
      <c r="C22714" s="1">
        <v>3.8281457051149898E-4</v>
      </c>
      <c r="D22714" s="1">
        <v>0</v>
      </c>
      <c r="E22714" s="1">
        <v>0</v>
      </c>
      <c r="F22714" s="1">
        <v>3.3847849576684898E-4</v>
      </c>
    </row>
    <row r="22715" spans="1:6" x14ac:dyDescent="0.25">
      <c r="A22715" s="2" t="str">
        <f t="shared" si="802"/>
        <v>33700</v>
      </c>
      <c r="B22715" s="2" t="str">
        <f>"95367"</f>
        <v>95367</v>
      </c>
      <c r="C22715" s="1">
        <v>4.2148865789137797E-2</v>
      </c>
      <c r="D22715" s="1">
        <v>2.49317109510802E-2</v>
      </c>
      <c r="E22715" s="1">
        <v>2.1666158071406701E-2</v>
      </c>
      <c r="F22715" s="1">
        <v>4.0061967601532703E-2</v>
      </c>
    </row>
    <row r="22716" spans="1:6" x14ac:dyDescent="0.25">
      <c r="A22716" s="2" t="str">
        <f t="shared" si="802"/>
        <v>33700</v>
      </c>
      <c r="B22716" s="2" t="str">
        <f>"95329"</f>
        <v>95329</v>
      </c>
      <c r="C22716" s="1">
        <v>1.8110073912659299E-3</v>
      </c>
      <c r="D22716" s="1">
        <v>1.5396076483734701E-3</v>
      </c>
      <c r="E22716" s="1">
        <v>1.3732072017088801E-3</v>
      </c>
      <c r="F22716" s="1">
        <v>1.7748423688287299E-3</v>
      </c>
    </row>
    <row r="22717" spans="1:6" x14ac:dyDescent="0.25">
      <c r="A22717" s="2" t="str">
        <f t="shared" si="802"/>
        <v>33700</v>
      </c>
      <c r="B22717" s="2" t="str">
        <f>"95385"</f>
        <v>95385</v>
      </c>
      <c r="C22717" s="1">
        <v>5.2023518556690903E-4</v>
      </c>
      <c r="D22717" s="1">
        <v>4.4698286565681599E-4</v>
      </c>
      <c r="E22717" s="1">
        <v>3.0515715593530597E-4</v>
      </c>
      <c r="F22717" s="1">
        <v>5.0771774365027296E-4</v>
      </c>
    </row>
    <row r="22718" spans="1:6" x14ac:dyDescent="0.25">
      <c r="A22718" s="2" t="str">
        <f t="shared" si="802"/>
        <v>33700</v>
      </c>
      <c r="B22718" s="2" t="str">
        <f>"95381"</f>
        <v>95381</v>
      </c>
      <c r="C22718" s="1">
        <v>8.2256053868881105E-3</v>
      </c>
      <c r="D22718" s="1">
        <v>3.5559970201142203E-2</v>
      </c>
      <c r="E22718" s="1">
        <v>3.0515715593530597E-4</v>
      </c>
      <c r="F22718" s="1">
        <v>1.0388686139305501E-2</v>
      </c>
    </row>
    <row r="22719" spans="1:6" x14ac:dyDescent="0.25">
      <c r="A22719" s="2" t="str">
        <f t="shared" si="802"/>
        <v>33700</v>
      </c>
      <c r="B22719" s="2" t="str">
        <f>"95324"</f>
        <v>95324</v>
      </c>
      <c r="C22719" s="1">
        <v>2.9447274654730699E-5</v>
      </c>
      <c r="D22719" s="1">
        <v>0</v>
      </c>
      <c r="E22719" s="1">
        <v>0</v>
      </c>
      <c r="F22719" s="1">
        <v>2.60368073666806E-5</v>
      </c>
    </row>
    <row r="22720" spans="1:6" x14ac:dyDescent="0.25">
      <c r="A22720" s="2" t="str">
        <f t="shared" si="802"/>
        <v>33700</v>
      </c>
      <c r="B22720" s="2" t="str">
        <f>"95352"</f>
        <v>95352</v>
      </c>
      <c r="C22720" s="1">
        <v>4.8048136478302198E-3</v>
      </c>
      <c r="D22720" s="1">
        <v>1.8624286069034001E-2</v>
      </c>
      <c r="E22720" s="1">
        <v>3.0515715593530597E-4</v>
      </c>
      <c r="F22720" s="1">
        <v>5.8843184648698296E-3</v>
      </c>
    </row>
    <row r="22721" spans="1:6" x14ac:dyDescent="0.25">
      <c r="A22721" s="2" t="str">
        <f t="shared" si="802"/>
        <v>33700</v>
      </c>
      <c r="B22721" s="2" t="str">
        <f>"94550"</f>
        <v>94550</v>
      </c>
      <c r="C22721" s="1">
        <v>5.3986670200339603E-5</v>
      </c>
      <c r="D22721" s="1">
        <v>0</v>
      </c>
      <c r="E22721" s="1">
        <v>0</v>
      </c>
      <c r="F22721" s="1">
        <v>4.7734146838914597E-5</v>
      </c>
    </row>
    <row r="22722" spans="1:6" x14ac:dyDescent="0.25">
      <c r="A22722" s="2" t="str">
        <f t="shared" si="802"/>
        <v>33700</v>
      </c>
      <c r="B22722" s="2" t="str">
        <f>"95397"</f>
        <v>95397</v>
      </c>
      <c r="C22722" s="1">
        <v>0</v>
      </c>
      <c r="D22722" s="1">
        <v>0</v>
      </c>
      <c r="E22722" s="1">
        <v>1.5257857796765299E-4</v>
      </c>
      <c r="F22722" s="1">
        <v>4.3394678944467797E-6</v>
      </c>
    </row>
    <row r="22723" spans="1:6" x14ac:dyDescent="0.25">
      <c r="A22723" s="2" t="str">
        <f t="shared" si="802"/>
        <v>33700</v>
      </c>
      <c r="B22723" s="2" t="str">
        <f>"95380"</f>
        <v>95380</v>
      </c>
      <c r="C22723" s="1">
        <v>7.1100444653847197E-2</v>
      </c>
      <c r="D22723" s="1">
        <v>9.7044946610379906E-2</v>
      </c>
      <c r="E22723" s="1">
        <v>7.9340860543179695E-2</v>
      </c>
      <c r="F22723" s="1">
        <v>7.3601714957711797E-2</v>
      </c>
    </row>
    <row r="22724" spans="1:6" x14ac:dyDescent="0.25">
      <c r="A22724" s="2" t="str">
        <f t="shared" si="802"/>
        <v>33700</v>
      </c>
      <c r="B22724" s="2" t="str">
        <f>"95313"</f>
        <v>95313</v>
      </c>
      <c r="C22724" s="1">
        <v>2.1398352915770898E-3</v>
      </c>
      <c r="D22724" s="1">
        <v>8.9396573131363198E-4</v>
      </c>
      <c r="E22724" s="1">
        <v>7.6289288983826605E-4</v>
      </c>
      <c r="F22724" s="1">
        <v>1.9918157635510701E-3</v>
      </c>
    </row>
    <row r="22725" spans="1:6" x14ac:dyDescent="0.25">
      <c r="A22725" s="2" t="str">
        <f t="shared" si="802"/>
        <v>33700</v>
      </c>
      <c r="B22725" s="2" t="str">
        <f>"95326"</f>
        <v>95326</v>
      </c>
      <c r="C22725" s="1">
        <v>2.1894048705792198E-2</v>
      </c>
      <c r="D22725" s="1">
        <v>1.28135088154954E-2</v>
      </c>
      <c r="E22725" s="1">
        <v>6.4083002746414403E-3</v>
      </c>
      <c r="F22725" s="1">
        <v>2.0660206645461102E-2</v>
      </c>
    </row>
    <row r="22726" spans="1:6" x14ac:dyDescent="0.25">
      <c r="A22726" s="2" t="str">
        <f t="shared" si="802"/>
        <v>33700</v>
      </c>
      <c r="B22726" s="2" t="str">
        <f>"95353"</f>
        <v>95353</v>
      </c>
      <c r="C22726" s="1">
        <v>5.9287179638191096E-3</v>
      </c>
      <c r="D22726" s="1">
        <v>1.9518251800347601E-2</v>
      </c>
      <c r="E22726" s="1">
        <v>3.0515715593530597E-4</v>
      </c>
      <c r="F22726" s="1">
        <v>6.9561670347981896E-3</v>
      </c>
    </row>
    <row r="22727" spans="1:6" x14ac:dyDescent="0.25">
      <c r="A22727" s="2" t="str">
        <f t="shared" si="802"/>
        <v>33700</v>
      </c>
      <c r="B22727" s="2" t="str">
        <f>"95355"</f>
        <v>95355</v>
      </c>
      <c r="C22727" s="1">
        <v>0.112542575851271</v>
      </c>
      <c r="D22727" s="1">
        <v>5.1303700024832297E-2</v>
      </c>
      <c r="E22727" s="1">
        <v>0.112145254806225</v>
      </c>
      <c r="F22727" s="1">
        <v>0.107180517524941</v>
      </c>
    </row>
    <row r="22728" spans="1:6" x14ac:dyDescent="0.25">
      <c r="A22728" s="2" t="str">
        <f t="shared" si="802"/>
        <v>33700</v>
      </c>
      <c r="B22728" s="2" t="str">
        <f>"95360"</f>
        <v>95360</v>
      </c>
      <c r="C22728" s="1">
        <v>2.3891555503204799E-2</v>
      </c>
      <c r="D22728" s="1">
        <v>1.59423888750931E-2</v>
      </c>
      <c r="E22728" s="1">
        <v>1.15959719255416E-2</v>
      </c>
      <c r="F22728" s="1">
        <v>2.2847298464262301E-2</v>
      </c>
    </row>
    <row r="22729" spans="1:6" x14ac:dyDescent="0.25">
      <c r="A22729" s="2" t="str">
        <f t="shared" si="802"/>
        <v>33700</v>
      </c>
      <c r="B22729" s="2" t="str">
        <f>"95323"</f>
        <v>95323</v>
      </c>
      <c r="C22729" s="1">
        <v>1.8600861823571499E-3</v>
      </c>
      <c r="D22729" s="1">
        <v>1.0926247827166601E-3</v>
      </c>
      <c r="E22729" s="1">
        <v>1.5257857796765299E-4</v>
      </c>
      <c r="F22729" s="1">
        <v>1.7444660935675999E-3</v>
      </c>
    </row>
    <row r="22730" spans="1:6" x14ac:dyDescent="0.25">
      <c r="A22730" s="2" t="str">
        <f t="shared" si="802"/>
        <v>33700</v>
      </c>
      <c r="B22730" s="2" t="str">
        <f>"95350"</f>
        <v>95350</v>
      </c>
      <c r="C22730" s="1">
        <v>0.102461792161135</v>
      </c>
      <c r="D22730" s="1">
        <v>0.10216041718400699</v>
      </c>
      <c r="E22730" s="1">
        <v>0.18050045773573301</v>
      </c>
      <c r="F22730" s="1">
        <v>0.10465494721037299</v>
      </c>
    </row>
    <row r="22731" spans="1:6" x14ac:dyDescent="0.25">
      <c r="A22731" s="2" t="str">
        <f t="shared" si="802"/>
        <v>33700</v>
      </c>
      <c r="B22731" s="2" t="str">
        <f>"95358"</f>
        <v>95358</v>
      </c>
      <c r="C22731" s="1">
        <v>5.6308097018954201E-2</v>
      </c>
      <c r="D22731" s="1">
        <v>3.2431090141544501E-2</v>
      </c>
      <c r="E22731" s="1">
        <v>2.1666158071406701E-2</v>
      </c>
      <c r="F22731" s="1">
        <v>5.3236592129073099E-2</v>
      </c>
    </row>
    <row r="22732" spans="1:6" x14ac:dyDescent="0.25">
      <c r="A22732" s="2" t="str">
        <f t="shared" si="802"/>
        <v>33700</v>
      </c>
      <c r="B22732" s="2" t="str">
        <f>"95386"</f>
        <v>95386</v>
      </c>
      <c r="C22732" s="1">
        <v>1.6554276235067701E-2</v>
      </c>
      <c r="D22732" s="1">
        <v>7.00273156195679E-3</v>
      </c>
      <c r="E22732" s="1">
        <v>2.0903265181568501E-2</v>
      </c>
      <c r="F22732" s="1">
        <v>1.58433972826252E-2</v>
      </c>
    </row>
    <row r="22733" spans="1:6" x14ac:dyDescent="0.25">
      <c r="A22733" s="2" t="str">
        <f t="shared" si="802"/>
        <v>33700</v>
      </c>
      <c r="B22733" s="2" t="str">
        <f>"95357"</f>
        <v>95357</v>
      </c>
      <c r="C22733" s="1">
        <v>3.0173640762880701E-2</v>
      </c>
      <c r="D22733" s="1">
        <v>4.0824435063322499E-2</v>
      </c>
      <c r="E22733" s="1">
        <v>5.6454073848031701E-3</v>
      </c>
      <c r="F22733" s="1">
        <v>3.04066515363886E-2</v>
      </c>
    </row>
    <row r="22734" spans="1:6" x14ac:dyDescent="0.25">
      <c r="A22734" s="2" t="str">
        <f t="shared" si="802"/>
        <v>33700</v>
      </c>
      <c r="B22734" s="2" t="str">
        <f>"95354"</f>
        <v>95354</v>
      </c>
      <c r="C22734" s="1">
        <v>4.8995357146362703E-2</v>
      </c>
      <c r="D22734" s="1">
        <v>0.120884032778743</v>
      </c>
      <c r="E22734" s="1">
        <v>0.138236191638693</v>
      </c>
      <c r="F22734" s="1">
        <v>5.78147307577144E-2</v>
      </c>
    </row>
    <row r="22735" spans="1:6" x14ac:dyDescent="0.25">
      <c r="A22735" s="2" t="str">
        <f t="shared" si="802"/>
        <v>33700</v>
      </c>
      <c r="B22735" s="2" t="str">
        <f>"95387"</f>
        <v>95387</v>
      </c>
      <c r="C22735" s="1">
        <v>4.6232221207927202E-3</v>
      </c>
      <c r="D22735" s="1">
        <v>3.3275391110007399E-3</v>
      </c>
      <c r="E22735" s="1">
        <v>3.0515715593530597E-4</v>
      </c>
      <c r="F22735" s="1">
        <v>4.3872020412856899E-3</v>
      </c>
    </row>
    <row r="22736" spans="1:6" x14ac:dyDescent="0.25">
      <c r="A22736" s="2" t="str">
        <f t="shared" si="802"/>
        <v>33700</v>
      </c>
      <c r="B22736" s="2" t="str">
        <f>"95307"</f>
        <v>95307</v>
      </c>
      <c r="C22736" s="1">
        <v>7.7029162617666402E-2</v>
      </c>
      <c r="D22736" s="1">
        <v>6.8636702259746704E-2</v>
      </c>
      <c r="E22736" s="1">
        <v>7.5068660360085401E-2</v>
      </c>
      <c r="F22736" s="1">
        <v>7.6240111437535493E-2</v>
      </c>
    </row>
    <row r="22737" spans="1:6" x14ac:dyDescent="0.25">
      <c r="A22737" s="2" t="str">
        <f t="shared" si="802"/>
        <v>33700</v>
      </c>
      <c r="B22737" s="2" t="str">
        <f>"95361"</f>
        <v>95361</v>
      </c>
      <c r="C22737" s="1">
        <v>6.8263690528774804E-2</v>
      </c>
      <c r="D22737" s="1">
        <v>7.69307176558231E-2</v>
      </c>
      <c r="E22737" s="1">
        <v>6.3625267012511394E-2</v>
      </c>
      <c r="F22737" s="1">
        <v>6.88890528243426E-2</v>
      </c>
    </row>
    <row r="22738" spans="1:6" x14ac:dyDescent="0.25">
      <c r="A22738" s="2" t="str">
        <f t="shared" si="802"/>
        <v>33700</v>
      </c>
      <c r="B22738" s="2" t="str">
        <f>"95319"</f>
        <v>95319</v>
      </c>
      <c r="C22738" s="1">
        <v>7.3029241143732103E-3</v>
      </c>
      <c r="D22738" s="1">
        <v>4.2711696051651298E-3</v>
      </c>
      <c r="E22738" s="1">
        <v>3.0515715593530597E-4</v>
      </c>
      <c r="F22738" s="1">
        <v>6.8390014016481201E-3</v>
      </c>
    </row>
    <row r="22739" spans="1:6" x14ac:dyDescent="0.25">
      <c r="A22739" s="2" t="str">
        <f t="shared" si="802"/>
        <v>33700</v>
      </c>
      <c r="B22739" s="2" t="str">
        <f>"95368"</f>
        <v>95368</v>
      </c>
      <c r="C22739" s="1">
        <v>2.4161488854206499E-2</v>
      </c>
      <c r="D22739" s="1">
        <v>2.21504842314377E-2</v>
      </c>
      <c r="E22739" s="1">
        <v>8.3918217882209302E-3</v>
      </c>
      <c r="F22739" s="1">
        <v>2.3537273859479301E-2</v>
      </c>
    </row>
    <row r="22740" spans="1:6" x14ac:dyDescent="0.25">
      <c r="A22740" s="2" t="str">
        <f t="shared" si="802"/>
        <v>33700</v>
      </c>
      <c r="B22740" s="2" t="str">
        <f>"95351"</f>
        <v>95351</v>
      </c>
      <c r="C22740" s="1">
        <v>6.7527508662406602E-2</v>
      </c>
      <c r="D22740" s="1">
        <v>8.8601936925751107E-2</v>
      </c>
      <c r="E22740" s="1">
        <v>0.10741531888922699</v>
      </c>
      <c r="F22740" s="1">
        <v>7.0503334881076796E-2</v>
      </c>
    </row>
    <row r="22741" spans="1:6" x14ac:dyDescent="0.25">
      <c r="A22741" s="2" t="str">
        <f t="shared" si="802"/>
        <v>33700</v>
      </c>
      <c r="B22741" s="2" t="str">
        <f>"95382"</f>
        <v>95382</v>
      </c>
      <c r="C22741" s="1">
        <v>6.8474729330467096E-2</v>
      </c>
      <c r="D22741" s="1">
        <v>3.07921529674695E-2</v>
      </c>
      <c r="E22741" s="1">
        <v>2.2886786695148001E-2</v>
      </c>
      <c r="F22741" s="1">
        <v>6.3885646342045493E-2</v>
      </c>
    </row>
    <row r="22742" spans="1:6" x14ac:dyDescent="0.25">
      <c r="A22742" s="2" t="str">
        <f t="shared" si="802"/>
        <v>33700</v>
      </c>
      <c r="B22742" s="2" t="str">
        <f>"95322"</f>
        <v>95322</v>
      </c>
      <c r="C22742" s="1">
        <v>4.9078791091217802E-5</v>
      </c>
      <c r="D22742" s="1">
        <v>4.9664762850757299E-5</v>
      </c>
      <c r="E22742" s="1">
        <v>0</v>
      </c>
      <c r="F22742" s="1">
        <v>4.7734146838914597E-5</v>
      </c>
    </row>
    <row r="22743" spans="1:6" x14ac:dyDescent="0.25">
      <c r="A22743" s="2" t="str">
        <f t="shared" si="802"/>
        <v>33700</v>
      </c>
      <c r="B22743" s="2" t="str">
        <f>"95363"</f>
        <v>95363</v>
      </c>
      <c r="C22743" s="1">
        <v>4.5064145979956199E-2</v>
      </c>
      <c r="D22743" s="1">
        <v>3.2530419667245999E-2</v>
      </c>
      <c r="E22743" s="1">
        <v>2.1361000915471402E-2</v>
      </c>
      <c r="F22743" s="1">
        <v>4.3294871182895503E-2</v>
      </c>
    </row>
    <row r="22744" spans="1:6" x14ac:dyDescent="0.25">
      <c r="A22744" s="2" t="str">
        <f t="shared" si="802"/>
        <v>33700</v>
      </c>
      <c r="B22744" s="2" t="str">
        <f>"95356"</f>
        <v>95356</v>
      </c>
      <c r="C22744" s="1">
        <v>5.9807414823758002E-2</v>
      </c>
      <c r="D22744" s="1">
        <v>7.7427365284330696E-2</v>
      </c>
      <c r="E22744" s="1">
        <v>8.9563625267012503E-2</v>
      </c>
      <c r="F22744" s="1">
        <v>6.2193253863211201E-2</v>
      </c>
    </row>
    <row r="22745" spans="1:6" x14ac:dyDescent="0.25">
      <c r="A22745" s="2" t="str">
        <f t="shared" si="802"/>
        <v>33700</v>
      </c>
      <c r="B22745" s="2" t="str">
        <f>"95328"</f>
        <v>95328</v>
      </c>
      <c r="C22745" s="1">
        <v>1.00120733826084E-2</v>
      </c>
      <c r="D22745" s="1">
        <v>2.03625527688105E-3</v>
      </c>
      <c r="E22745" s="1">
        <v>5.3402502288678599E-3</v>
      </c>
      <c r="F22745" s="1">
        <v>9.1823140646493905E-3</v>
      </c>
    </row>
    <row r="22746" spans="1:6" x14ac:dyDescent="0.25">
      <c r="A22746" s="2" t="str">
        <f t="shared" ref="A22746:A22785" si="803">"21700"</f>
        <v>21700</v>
      </c>
      <c r="B22746" s="2" t="str">
        <f>"95518"</f>
        <v>95518</v>
      </c>
      <c r="C22746" s="1">
        <v>2.56344758155399E-2</v>
      </c>
      <c r="D22746" s="1">
        <v>4.8942516268980399E-2</v>
      </c>
      <c r="E22746" s="1">
        <v>0</v>
      </c>
      <c r="F22746" s="1">
        <v>2.6660991370970801E-2</v>
      </c>
    </row>
    <row r="22747" spans="1:6" x14ac:dyDescent="0.25">
      <c r="A22747" s="2" t="str">
        <f t="shared" si="803"/>
        <v>21700</v>
      </c>
      <c r="B22747" s="2" t="str">
        <f>"95503"</f>
        <v>95503</v>
      </c>
      <c r="C22747" s="1">
        <v>0.163844269808117</v>
      </c>
      <c r="D22747" s="1">
        <v>6.2771149674620302E-2</v>
      </c>
      <c r="E22747" s="1">
        <v>9.1615769017212606E-2</v>
      </c>
      <c r="F22747" s="1">
        <v>0.15087257671322901</v>
      </c>
    </row>
    <row r="22748" spans="1:6" x14ac:dyDescent="0.25">
      <c r="A22748" s="2" t="str">
        <f t="shared" si="803"/>
        <v>21700</v>
      </c>
      <c r="B22748" s="2" t="str">
        <f>"95502"</f>
        <v>95502</v>
      </c>
      <c r="C22748" s="1">
        <v>5.5791798770867401E-2</v>
      </c>
      <c r="D22748" s="1">
        <v>8.0938177874186501E-2</v>
      </c>
      <c r="E22748" s="1">
        <v>1.6657412548584101E-3</v>
      </c>
      <c r="F22748" s="1">
        <v>5.5669491416115199E-2</v>
      </c>
    </row>
    <row r="22749" spans="1:6" x14ac:dyDescent="0.25">
      <c r="A22749" s="2" t="str">
        <f t="shared" si="803"/>
        <v>21700</v>
      </c>
      <c r="B22749" s="2" t="str">
        <f>"95534"</f>
        <v>95534</v>
      </c>
      <c r="C22749" s="1">
        <v>5.0938378085979103E-3</v>
      </c>
      <c r="D22749" s="1">
        <v>9.4902386117136604E-3</v>
      </c>
      <c r="E22749" s="1">
        <v>5.5524708495280296E-4</v>
      </c>
      <c r="F22749" s="1">
        <v>5.30124211585342E-3</v>
      </c>
    </row>
    <row r="22750" spans="1:6" x14ac:dyDescent="0.25">
      <c r="A22750" s="2" t="str">
        <f t="shared" si="803"/>
        <v>21700</v>
      </c>
      <c r="B22750" s="2" t="str">
        <f>"95519"</f>
        <v>95519</v>
      </c>
      <c r="C22750" s="1">
        <v>0.12802211837538099</v>
      </c>
      <c r="D22750" s="1">
        <v>5.36876355748373E-2</v>
      </c>
      <c r="E22750" s="1">
        <v>0.11077179344808399</v>
      </c>
      <c r="F22750" s="1">
        <v>0.120148589560035</v>
      </c>
    </row>
    <row r="22751" spans="1:6" x14ac:dyDescent="0.25">
      <c r="A22751" s="2" t="str">
        <f t="shared" si="803"/>
        <v>21700</v>
      </c>
      <c r="B22751" s="2" t="str">
        <f>"95558"</f>
        <v>95558</v>
      </c>
      <c r="C22751" s="1">
        <v>1.0367988459978E-3</v>
      </c>
      <c r="D22751" s="1">
        <v>2.7114967462038998E-4</v>
      </c>
      <c r="E22751" s="1">
        <v>2.7762354247640099E-4</v>
      </c>
      <c r="F22751" s="1">
        <v>9.2868475022249701E-4</v>
      </c>
    </row>
    <row r="22752" spans="1:6" x14ac:dyDescent="0.25">
      <c r="A22752" s="2" t="str">
        <f t="shared" si="803"/>
        <v>21700</v>
      </c>
      <c r="B22752" s="2" t="str">
        <f>"95571"</f>
        <v>95571</v>
      </c>
      <c r="C22752" s="1">
        <v>0</v>
      </c>
      <c r="D22752" s="1">
        <v>1.3557483731019499E-4</v>
      </c>
      <c r="E22752" s="1">
        <v>2.7762354247640099E-4</v>
      </c>
      <c r="F22752" s="1">
        <v>2.5796798617291501E-5</v>
      </c>
    </row>
    <row r="22753" spans="1:6" x14ac:dyDescent="0.25">
      <c r="A22753" s="2" t="str">
        <f t="shared" si="803"/>
        <v>21700</v>
      </c>
      <c r="B22753" s="2" t="str">
        <f>"95550"</f>
        <v>95550</v>
      </c>
      <c r="C22753" s="1">
        <v>6.61147090201499E-4</v>
      </c>
      <c r="D22753" s="1">
        <v>2.7114967462038998E-4</v>
      </c>
      <c r="E22753" s="1">
        <v>8.3287062742920504E-4</v>
      </c>
      <c r="F22753" s="1">
        <v>6.3202156612364403E-4</v>
      </c>
    </row>
    <row r="22754" spans="1:6" x14ac:dyDescent="0.25">
      <c r="A22754" s="2" t="str">
        <f t="shared" si="803"/>
        <v>21700</v>
      </c>
      <c r="B22754" s="2" t="str">
        <f>"95589"</f>
        <v>95589</v>
      </c>
      <c r="C22754" s="1">
        <v>9.4664242460669196E-3</v>
      </c>
      <c r="D22754" s="1">
        <v>3.7960954446854601E-3</v>
      </c>
      <c r="E22754" s="1">
        <v>1.6657412548584101E-3</v>
      </c>
      <c r="F22754" s="1">
        <v>8.5645371409407995E-3</v>
      </c>
    </row>
    <row r="22755" spans="1:6" x14ac:dyDescent="0.25">
      <c r="A22755" s="2" t="str">
        <f t="shared" si="803"/>
        <v>21700</v>
      </c>
      <c r="B22755" s="2" t="str">
        <f>"95524"</f>
        <v>95524</v>
      </c>
      <c r="C22755" s="1">
        <v>1.9609021652567199E-2</v>
      </c>
      <c r="D22755" s="1">
        <v>1.8302603036876301E-2</v>
      </c>
      <c r="E22755" s="1">
        <v>1.6657412548584101E-3</v>
      </c>
      <c r="F22755" s="1">
        <v>1.86510854003018E-2</v>
      </c>
    </row>
    <row r="22756" spans="1:6" x14ac:dyDescent="0.25">
      <c r="A22756" s="2" t="str">
        <f t="shared" si="803"/>
        <v>21700</v>
      </c>
      <c r="B22756" s="2" t="str">
        <f>"95537"</f>
        <v>95537</v>
      </c>
      <c r="C22756" s="1">
        <v>0</v>
      </c>
      <c r="D22756" s="1">
        <v>1.3557483731019499E-4</v>
      </c>
      <c r="E22756" s="1">
        <v>0</v>
      </c>
      <c r="F22756" s="1">
        <v>1.28983993086457E-5</v>
      </c>
    </row>
    <row r="22757" spans="1:6" x14ac:dyDescent="0.25">
      <c r="A22757" s="2" t="str">
        <f t="shared" si="803"/>
        <v>21700</v>
      </c>
      <c r="B22757" s="2" t="str">
        <f>"95560"</f>
        <v>95560</v>
      </c>
      <c r="C22757" s="1">
        <v>2.90754458986341E-2</v>
      </c>
      <c r="D22757" s="1">
        <v>3.1317787418654999E-2</v>
      </c>
      <c r="E22757" s="1">
        <v>5.2748473070516298E-3</v>
      </c>
      <c r="F22757" s="1">
        <v>2.8183002489390999E-2</v>
      </c>
    </row>
    <row r="22758" spans="1:6" x14ac:dyDescent="0.25">
      <c r="A22758" s="2" t="str">
        <f t="shared" si="803"/>
        <v>21700</v>
      </c>
      <c r="B22758" s="2" t="str">
        <f>"95545"</f>
        <v>95545</v>
      </c>
      <c r="C22758" s="1">
        <v>0</v>
      </c>
      <c r="D22758" s="1">
        <v>1.3557483731019499E-4</v>
      </c>
      <c r="E22758" s="1">
        <v>0</v>
      </c>
      <c r="F22758" s="1">
        <v>1.28983993086457E-5</v>
      </c>
    </row>
    <row r="22759" spans="1:6" x14ac:dyDescent="0.25">
      <c r="A22759" s="2" t="str">
        <f t="shared" si="803"/>
        <v>21700</v>
      </c>
      <c r="B22759" s="2" t="str">
        <f>"95565"</f>
        <v>95565</v>
      </c>
      <c r="C22759" s="1">
        <v>1.4725548827215201E-3</v>
      </c>
      <c r="D22759" s="1">
        <v>1.3557483731019499E-4</v>
      </c>
      <c r="E22759" s="1">
        <v>2.7762354247640099E-4</v>
      </c>
      <c r="F22759" s="1">
        <v>1.28983993086457E-3</v>
      </c>
    </row>
    <row r="22760" spans="1:6" x14ac:dyDescent="0.25">
      <c r="A22760" s="2" t="str">
        <f t="shared" si="803"/>
        <v>21700</v>
      </c>
      <c r="B22760" s="2" t="str">
        <f>"95540"</f>
        <v>95540</v>
      </c>
      <c r="C22760" s="1">
        <v>0.104130666706736</v>
      </c>
      <c r="D22760" s="1">
        <v>0.113340563991323</v>
      </c>
      <c r="E22760" s="1">
        <v>7.9677956690727303E-2</v>
      </c>
      <c r="F22760" s="1">
        <v>0.103870809632524</v>
      </c>
    </row>
    <row r="22761" spans="1:6" x14ac:dyDescent="0.25">
      <c r="A22761" s="2" t="str">
        <f t="shared" si="803"/>
        <v>21700</v>
      </c>
      <c r="B22761" s="2" t="str">
        <f>"95526"</f>
        <v>95526</v>
      </c>
      <c r="C22761" s="1">
        <v>3.5311265044852798E-3</v>
      </c>
      <c r="D22761" s="1">
        <v>2.7114967462038998E-4</v>
      </c>
      <c r="E22761" s="1">
        <v>2.2209883398112101E-3</v>
      </c>
      <c r="F22761" s="1">
        <v>3.1601078306182201E-3</v>
      </c>
    </row>
    <row r="22762" spans="1:6" x14ac:dyDescent="0.25">
      <c r="A22762" s="2" t="str">
        <f t="shared" si="803"/>
        <v>21700</v>
      </c>
      <c r="B22762" s="2" t="str">
        <f>"95568"</f>
        <v>95568</v>
      </c>
      <c r="C22762" s="1">
        <v>1.5026070231852201E-5</v>
      </c>
      <c r="D22762" s="1">
        <v>0</v>
      </c>
      <c r="E22762" s="1">
        <v>0</v>
      </c>
      <c r="F22762" s="1">
        <v>1.28983993086457E-5</v>
      </c>
    </row>
    <row r="22763" spans="1:6" x14ac:dyDescent="0.25">
      <c r="A22763" s="2" t="str">
        <f t="shared" si="803"/>
        <v>21700</v>
      </c>
      <c r="B22763" s="2" t="str">
        <f>"95587"</f>
        <v>95587</v>
      </c>
      <c r="C22763" s="1">
        <v>1.5026070231852201E-4</v>
      </c>
      <c r="D22763" s="1">
        <v>0</v>
      </c>
      <c r="E22763" s="1">
        <v>5.5524708495280296E-4</v>
      </c>
      <c r="F22763" s="1">
        <v>1.5478079170374901E-4</v>
      </c>
    </row>
    <row r="22764" spans="1:6" x14ac:dyDescent="0.25">
      <c r="A22764" s="2" t="str">
        <f t="shared" si="803"/>
        <v>21700</v>
      </c>
      <c r="B22764" s="2" t="str">
        <f>"95573"</f>
        <v>95573</v>
      </c>
      <c r="C22764" s="1">
        <v>2.5544319394148798E-4</v>
      </c>
      <c r="D22764" s="1">
        <v>0</v>
      </c>
      <c r="E22764" s="1">
        <v>2.7762354247640099E-4</v>
      </c>
      <c r="F22764" s="1">
        <v>2.3217118755562401E-4</v>
      </c>
    </row>
    <row r="22765" spans="1:6" x14ac:dyDescent="0.25">
      <c r="A22765" s="2" t="str">
        <f t="shared" si="803"/>
        <v>21700</v>
      </c>
      <c r="B22765" s="2" t="str">
        <f>"95554"</f>
        <v>95554</v>
      </c>
      <c r="C22765" s="1">
        <v>2.2989887454733901E-3</v>
      </c>
      <c r="D22765" s="1">
        <v>1.3557483731019499E-4</v>
      </c>
      <c r="E22765" s="1">
        <v>2.7762354247640099E-4</v>
      </c>
      <c r="F22765" s="1">
        <v>1.9992518928400901E-3</v>
      </c>
    </row>
    <row r="22766" spans="1:6" x14ac:dyDescent="0.25">
      <c r="A22766" s="2" t="str">
        <f t="shared" si="803"/>
        <v>21700</v>
      </c>
      <c r="B22766" s="2" t="str">
        <f>"95525"</f>
        <v>95525</v>
      </c>
      <c r="C22766" s="1">
        <v>1.93836305990894E-3</v>
      </c>
      <c r="D22766" s="1">
        <v>1.3557483731019499E-4</v>
      </c>
      <c r="E22766" s="1">
        <v>2.7762354247640099E-4</v>
      </c>
      <c r="F22766" s="1">
        <v>1.68969030943259E-3</v>
      </c>
    </row>
    <row r="22767" spans="1:6" x14ac:dyDescent="0.25">
      <c r="A22767" s="2" t="str">
        <f t="shared" si="803"/>
        <v>21700</v>
      </c>
      <c r="B22767" s="2" t="str">
        <f>"95521"</f>
        <v>95521</v>
      </c>
      <c r="C22767" s="1">
        <v>0.16579765893825699</v>
      </c>
      <c r="D22767" s="1">
        <v>0.176382863340563</v>
      </c>
      <c r="E22767" s="1">
        <v>0.27873403664630703</v>
      </c>
      <c r="F22767" s="1">
        <v>0.172051748378026</v>
      </c>
    </row>
    <row r="22768" spans="1:6" x14ac:dyDescent="0.25">
      <c r="A22768" s="2" t="str">
        <f t="shared" si="803"/>
        <v>21700</v>
      </c>
      <c r="B22768" s="2" t="str">
        <f>"95564"</f>
        <v>95564</v>
      </c>
      <c r="C22768" s="1">
        <v>1.32229418040299E-3</v>
      </c>
      <c r="D22768" s="1">
        <v>3.3893709327548799E-3</v>
      </c>
      <c r="E22768" s="1">
        <v>1.3881177123820001E-3</v>
      </c>
      <c r="F22768" s="1">
        <v>1.5220111184202001E-3</v>
      </c>
    </row>
    <row r="22769" spans="1:6" x14ac:dyDescent="0.25">
      <c r="A22769" s="2" t="str">
        <f t="shared" si="803"/>
        <v>21700</v>
      </c>
      <c r="B22769" s="2" t="str">
        <f>"95546"</f>
        <v>95546</v>
      </c>
      <c r="C22769" s="1">
        <v>9.9021802827906399E-3</v>
      </c>
      <c r="D22769" s="1">
        <v>5.4229934924077995E-4</v>
      </c>
      <c r="E22769" s="1">
        <v>8.3287062742920504E-4</v>
      </c>
      <c r="F22769" s="1">
        <v>8.5903339395581001E-3</v>
      </c>
    </row>
    <row r="22770" spans="1:6" x14ac:dyDescent="0.25">
      <c r="A22770" s="2" t="str">
        <f t="shared" si="803"/>
        <v>21700</v>
      </c>
      <c r="B22770" s="2" t="str">
        <f>"95559"</f>
        <v>95559</v>
      </c>
      <c r="C22770" s="1">
        <v>0</v>
      </c>
      <c r="D22770" s="1">
        <v>0</v>
      </c>
      <c r="E22770" s="1">
        <v>2.7762354247640099E-4</v>
      </c>
      <c r="F22770" s="1">
        <v>1.28983993086457E-5</v>
      </c>
    </row>
    <row r="22771" spans="1:6" x14ac:dyDescent="0.25">
      <c r="A22771" s="2" t="str">
        <f t="shared" si="803"/>
        <v>21700</v>
      </c>
      <c r="B22771" s="2" t="str">
        <f>"95555"</f>
        <v>95555</v>
      </c>
      <c r="C22771" s="1">
        <v>0</v>
      </c>
      <c r="D22771" s="1">
        <v>5.4229934924077995E-4</v>
      </c>
      <c r="E22771" s="1">
        <v>2.7762354247640099E-4</v>
      </c>
      <c r="F22771" s="1">
        <v>6.4491996543228895E-5</v>
      </c>
    </row>
    <row r="22772" spans="1:6" x14ac:dyDescent="0.25">
      <c r="A22772" s="2" t="str">
        <f t="shared" si="803"/>
        <v>21700</v>
      </c>
      <c r="B22772" s="2" t="str">
        <f>"95553"</f>
        <v>95553</v>
      </c>
      <c r="C22772" s="1">
        <v>1.5026070231852201E-5</v>
      </c>
      <c r="D22772" s="1">
        <v>1.3557483731019499E-4</v>
      </c>
      <c r="E22772" s="1">
        <v>0</v>
      </c>
      <c r="F22772" s="1">
        <v>2.5796798617291501E-5</v>
      </c>
    </row>
    <row r="22773" spans="1:6" x14ac:dyDescent="0.25">
      <c r="A22773" s="2" t="str">
        <f t="shared" si="803"/>
        <v>21700</v>
      </c>
      <c r="B22773" s="2" t="str">
        <f>"95549"</f>
        <v>95549</v>
      </c>
      <c r="C22773" s="1">
        <v>6.1306366545957197E-3</v>
      </c>
      <c r="D22773" s="1">
        <v>2.7114967462038998E-4</v>
      </c>
      <c r="E22773" s="1">
        <v>2.7762354247640099E-4</v>
      </c>
      <c r="F22773" s="1">
        <v>5.30124211585342E-3</v>
      </c>
    </row>
    <row r="22774" spans="1:6" x14ac:dyDescent="0.25">
      <c r="A22774" s="2" t="str">
        <f t="shared" si="803"/>
        <v>21700</v>
      </c>
      <c r="B22774" s="2" t="str">
        <f>"95536"</f>
        <v>95536</v>
      </c>
      <c r="C22774" s="1">
        <v>1.16452044296855E-2</v>
      </c>
      <c r="D22774" s="1">
        <v>5.2874186550976102E-3</v>
      </c>
      <c r="E22774" s="1">
        <v>3.6091060521932202E-3</v>
      </c>
      <c r="F22774" s="1">
        <v>1.066697622825E-2</v>
      </c>
    </row>
    <row r="22775" spans="1:6" x14ac:dyDescent="0.25">
      <c r="A22775" s="2" t="str">
        <f t="shared" si="803"/>
        <v>21700</v>
      </c>
      <c r="B22775" s="2" t="str">
        <f>"95514"</f>
        <v>95514</v>
      </c>
      <c r="C22775" s="1">
        <v>1.11192919715706E-3</v>
      </c>
      <c r="D22775" s="1">
        <v>0</v>
      </c>
      <c r="E22775" s="1">
        <v>5.5524708495280296E-4</v>
      </c>
      <c r="F22775" s="1">
        <v>9.8027834745708004E-4</v>
      </c>
    </row>
    <row r="22776" spans="1:6" x14ac:dyDescent="0.25">
      <c r="A22776" s="2" t="str">
        <f t="shared" si="803"/>
        <v>21700</v>
      </c>
      <c r="B22776" s="2" t="str">
        <f>"95569"</f>
        <v>95569</v>
      </c>
      <c r="C22776" s="1">
        <v>1.3974245315622599E-3</v>
      </c>
      <c r="D22776" s="1">
        <v>1.3557483731019499E-4</v>
      </c>
      <c r="E22776" s="1">
        <v>0</v>
      </c>
      <c r="F22776" s="1">
        <v>1.2124495350126999E-3</v>
      </c>
    </row>
    <row r="22777" spans="1:6" x14ac:dyDescent="0.25">
      <c r="A22777" s="2" t="str">
        <f t="shared" si="803"/>
        <v>21700</v>
      </c>
      <c r="B22777" s="2" t="str">
        <f>"95551"</f>
        <v>95551</v>
      </c>
      <c r="C22777" s="1">
        <v>5.1990203002208798E-3</v>
      </c>
      <c r="D22777" s="1">
        <v>1.0845986984815599E-3</v>
      </c>
      <c r="E22777" s="1">
        <v>2.7762354247640099E-4</v>
      </c>
      <c r="F22777" s="1">
        <v>4.5789317545692496E-3</v>
      </c>
    </row>
    <row r="22778" spans="1:6" x14ac:dyDescent="0.25">
      <c r="A22778" s="2" t="str">
        <f t="shared" si="803"/>
        <v>21700</v>
      </c>
      <c r="B22778" s="2" t="str">
        <f>"95511"</f>
        <v>95511</v>
      </c>
      <c r="C22778" s="1">
        <v>5.40938528346681E-4</v>
      </c>
      <c r="D22778" s="1">
        <v>1.3557483731019499E-4</v>
      </c>
      <c r="E22778" s="1">
        <v>5.5524708495280296E-4</v>
      </c>
      <c r="F22778" s="1">
        <v>5.0303757303718597E-4</v>
      </c>
    </row>
    <row r="22779" spans="1:6" x14ac:dyDescent="0.25">
      <c r="A22779" s="2" t="str">
        <f t="shared" si="803"/>
        <v>21700</v>
      </c>
      <c r="B22779" s="2" t="str">
        <f>"95528"</f>
        <v>95528</v>
      </c>
      <c r="C22779" s="1">
        <v>5.9352977415816398E-3</v>
      </c>
      <c r="D22779" s="1">
        <v>2.7114967462038998E-4</v>
      </c>
      <c r="E22779" s="1">
        <v>1.3881177123820001E-3</v>
      </c>
      <c r="F22779" s="1">
        <v>5.18515652207561E-3</v>
      </c>
    </row>
    <row r="22780" spans="1:6" x14ac:dyDescent="0.25">
      <c r="A22780" s="2" t="str">
        <f t="shared" si="803"/>
        <v>21700</v>
      </c>
      <c r="B22780" s="2" t="str">
        <f>"95501"</f>
        <v>95501</v>
      </c>
      <c r="C22780" s="1">
        <v>0.16680440564379101</v>
      </c>
      <c r="D22780" s="1">
        <v>0.33419197396963102</v>
      </c>
      <c r="E22780" s="1">
        <v>0.36757357023875598</v>
      </c>
      <c r="F22780" s="1">
        <v>0.192057165705735</v>
      </c>
    </row>
    <row r="22781" spans="1:6" x14ac:dyDescent="0.25">
      <c r="A22781" s="2" t="str">
        <f t="shared" si="803"/>
        <v>21700</v>
      </c>
      <c r="B22781" s="2" t="str">
        <f>"95547"</f>
        <v>95547</v>
      </c>
      <c r="C22781" s="1">
        <v>2.6596144310378502E-3</v>
      </c>
      <c r="D22781" s="1">
        <v>0</v>
      </c>
      <c r="E22781" s="1">
        <v>8.3287062742920504E-4</v>
      </c>
      <c r="F22781" s="1">
        <v>2.3217118755562401E-3</v>
      </c>
    </row>
    <row r="22782" spans="1:6" x14ac:dyDescent="0.25">
      <c r="A22782" s="2" t="str">
        <f t="shared" si="803"/>
        <v>21700</v>
      </c>
      <c r="B22782" s="2" t="str">
        <f>"95556"</f>
        <v>95556</v>
      </c>
      <c r="C22782" s="1">
        <v>0</v>
      </c>
      <c r="D22782" s="1">
        <v>1.3557483731019499E-4</v>
      </c>
      <c r="E22782" s="1">
        <v>0</v>
      </c>
      <c r="F22782" s="1">
        <v>1.28983993086457E-5</v>
      </c>
    </row>
    <row r="22783" spans="1:6" x14ac:dyDescent="0.25">
      <c r="A22783" s="2" t="str">
        <f t="shared" si="803"/>
        <v>21700</v>
      </c>
      <c r="B22783" s="2" t="str">
        <f>"95570"</f>
        <v>95570</v>
      </c>
      <c r="C22783" s="1">
        <v>1.5882556235067801E-2</v>
      </c>
      <c r="D22783" s="1">
        <v>5.6941431670281904E-3</v>
      </c>
      <c r="E22783" s="1">
        <v>6.3853414769572403E-3</v>
      </c>
      <c r="F22783" s="1">
        <v>1.4472004024300499E-2</v>
      </c>
    </row>
    <row r="22784" spans="1:6" x14ac:dyDescent="0.25">
      <c r="A22784" s="2" t="str">
        <f t="shared" si="803"/>
        <v>21700</v>
      </c>
      <c r="B22784" s="2" t="str">
        <f>"95562"</f>
        <v>95562</v>
      </c>
      <c r="C22784" s="1">
        <v>2.4282129494673201E-2</v>
      </c>
      <c r="D22784" s="1">
        <v>1.05748373101952E-2</v>
      </c>
      <c r="E22784" s="1">
        <v>2.3320377568017699E-2</v>
      </c>
      <c r="F22784" s="1">
        <v>2.2933353970772199E-2</v>
      </c>
    </row>
    <row r="22785" spans="1:6" x14ac:dyDescent="0.25">
      <c r="A22785" s="2" t="str">
        <f t="shared" si="803"/>
        <v>21700</v>
      </c>
      <c r="B22785" s="2" t="str">
        <f>"95542"</f>
        <v>95542</v>
      </c>
      <c r="C22785" s="1">
        <v>2.93459151628074E-2</v>
      </c>
      <c r="D22785" s="1">
        <v>3.7011930585683202E-2</v>
      </c>
      <c r="E22785" s="1">
        <v>1.55469183786785E-2</v>
      </c>
      <c r="F22785" s="1">
        <v>2.9434147222329701E-2</v>
      </c>
    </row>
    <row r="22786" spans="1:6" x14ac:dyDescent="0.25">
      <c r="A22786" s="2" t="str">
        <f t="shared" ref="A22786:A22832" si="804">"41420"</f>
        <v>41420</v>
      </c>
      <c r="B22786" s="2" t="str">
        <f>"97396"</f>
        <v>97396</v>
      </c>
      <c r="C22786" s="1">
        <v>2.7453632917076301E-3</v>
      </c>
      <c r="D22786" s="1">
        <v>4.5853530721865502E-4</v>
      </c>
      <c r="E22786" s="1">
        <v>1.4607069821793699E-3</v>
      </c>
      <c r="F22786" s="1">
        <v>2.5246787346310099E-3</v>
      </c>
    </row>
    <row r="22787" spans="1:6" x14ac:dyDescent="0.25">
      <c r="A22787" s="2" t="str">
        <f t="shared" si="804"/>
        <v>41420</v>
      </c>
      <c r="B22787" s="2" t="str">
        <f>"97375"</f>
        <v>97375</v>
      </c>
      <c r="C22787" s="1">
        <v>2.7226273638260002E-3</v>
      </c>
      <c r="D22787" s="1">
        <v>6.5505043888379398E-5</v>
      </c>
      <c r="E22787" s="1">
        <v>1.4607069821793699E-4</v>
      </c>
      <c r="F22787" s="1">
        <v>2.4287409427150301E-3</v>
      </c>
    </row>
    <row r="22788" spans="1:6" x14ac:dyDescent="0.25">
      <c r="A22788" s="2" t="str">
        <f t="shared" si="804"/>
        <v>41420</v>
      </c>
      <c r="B22788" s="2" t="str">
        <f>"97308"</f>
        <v>97308</v>
      </c>
      <c r="C22788" s="1">
        <v>3.9731033973160199E-3</v>
      </c>
      <c r="D22788" s="1">
        <v>2.8232673915891501E-2</v>
      </c>
      <c r="E22788" s="1">
        <v>1.4607069821793699E-4</v>
      </c>
      <c r="F22788" s="1">
        <v>5.7108232977353601E-3</v>
      </c>
    </row>
    <row r="22789" spans="1:6" x14ac:dyDescent="0.25">
      <c r="A22789" s="2" t="str">
        <f t="shared" si="804"/>
        <v>41420</v>
      </c>
      <c r="B22789" s="2" t="str">
        <f>"97306"</f>
        <v>97306</v>
      </c>
      <c r="C22789" s="1">
        <v>7.9524591747994894E-2</v>
      </c>
      <c r="D22789" s="1">
        <v>1.60487357526529E-2</v>
      </c>
      <c r="E22789" s="1">
        <v>0.102249488752556</v>
      </c>
      <c r="F22789" s="1">
        <v>7.54172031608977E-2</v>
      </c>
    </row>
    <row r="22790" spans="1:6" x14ac:dyDescent="0.25">
      <c r="A22790" s="2" t="str">
        <f t="shared" si="804"/>
        <v>41420</v>
      </c>
      <c r="B22790" s="2" t="str">
        <f>"97305"</f>
        <v>97305</v>
      </c>
      <c r="C22790" s="1">
        <v>9.3433295629586202E-2</v>
      </c>
      <c r="D22790" s="1">
        <v>6.0657670640639302E-2</v>
      </c>
      <c r="E22790" s="1">
        <v>0.12678936605316901</v>
      </c>
      <c r="F22790" s="1">
        <v>9.2059885379585399E-2</v>
      </c>
    </row>
    <row r="22791" spans="1:6" x14ac:dyDescent="0.25">
      <c r="A22791" s="2" t="str">
        <f t="shared" si="804"/>
        <v>41420</v>
      </c>
      <c r="B22791" s="2" t="str">
        <f>"97026"</f>
        <v>97026</v>
      </c>
      <c r="C22791" s="1">
        <v>9.6855052775772499E-3</v>
      </c>
      <c r="D22791" s="1">
        <v>4.1923228088562798E-3</v>
      </c>
      <c r="E22791" s="1">
        <v>8.7642418930762404E-4</v>
      </c>
      <c r="F22791" s="1">
        <v>8.9575601504708492E-3</v>
      </c>
    </row>
    <row r="22792" spans="1:6" x14ac:dyDescent="0.25">
      <c r="A22792" s="2" t="str">
        <f t="shared" si="804"/>
        <v>41420</v>
      </c>
      <c r="B22792" s="2" t="str">
        <f>"97381"</f>
        <v>97381</v>
      </c>
      <c r="C22792" s="1">
        <v>3.7002722627363802E-2</v>
      </c>
      <c r="D22792" s="1">
        <v>2.9739289925324201E-2</v>
      </c>
      <c r="E22792" s="1">
        <v>2.3371311714869902E-2</v>
      </c>
      <c r="F22792" s="1">
        <v>3.5971622611022699E-2</v>
      </c>
    </row>
    <row r="22793" spans="1:6" x14ac:dyDescent="0.25">
      <c r="A22793" s="2" t="str">
        <f t="shared" si="804"/>
        <v>41420</v>
      </c>
      <c r="B22793" s="2" t="str">
        <f>"97371"</f>
        <v>97371</v>
      </c>
      <c r="C22793" s="1">
        <v>1.9211859059983E-3</v>
      </c>
      <c r="D22793" s="1">
        <v>9.8257565832569091E-4</v>
      </c>
      <c r="E22793" s="1">
        <v>1.4607069821793699E-4</v>
      </c>
      <c r="F22793" s="1">
        <v>1.7874725441187601E-3</v>
      </c>
    </row>
    <row r="22794" spans="1:6" x14ac:dyDescent="0.25">
      <c r="A22794" s="2" t="str">
        <f t="shared" si="804"/>
        <v>41420</v>
      </c>
      <c r="B22794" s="2" t="str">
        <f>"97317"</f>
        <v>97317</v>
      </c>
      <c r="C22794" s="1">
        <v>5.0695435194079499E-2</v>
      </c>
      <c r="D22794" s="1">
        <v>2.03065636053976E-2</v>
      </c>
      <c r="E22794" s="1">
        <v>4.26526438796377E-2</v>
      </c>
      <c r="F22794" s="1">
        <v>4.8074932464843803E-2</v>
      </c>
    </row>
    <row r="22795" spans="1:6" x14ac:dyDescent="0.25">
      <c r="A22795" s="2" t="str">
        <f t="shared" si="804"/>
        <v>41420</v>
      </c>
      <c r="B22795" s="2" t="str">
        <f>"97302"</f>
        <v>97302</v>
      </c>
      <c r="C22795" s="1">
        <v>0.103800878743612</v>
      </c>
      <c r="D22795" s="1">
        <v>0.16572776103759901</v>
      </c>
      <c r="E22795" s="1">
        <v>0.119924043236926</v>
      </c>
      <c r="F22795" s="1">
        <v>0.10913176298316001</v>
      </c>
    </row>
    <row r="22796" spans="1:6" x14ac:dyDescent="0.25">
      <c r="A22796" s="2" t="str">
        <f t="shared" si="804"/>
        <v>41420</v>
      </c>
      <c r="B22796" s="2" t="str">
        <f>"97137"</f>
        <v>97137</v>
      </c>
      <c r="C22796" s="1">
        <v>4.7802288371141203E-3</v>
      </c>
      <c r="D22796" s="1">
        <v>5.17489846718197E-3</v>
      </c>
      <c r="E22796" s="1">
        <v>4.3821209465381202E-4</v>
      </c>
      <c r="F22796" s="1">
        <v>4.6605569441288503E-3</v>
      </c>
    </row>
    <row r="22797" spans="1:6" x14ac:dyDescent="0.25">
      <c r="A22797" s="2" t="str">
        <f t="shared" si="804"/>
        <v>41420</v>
      </c>
      <c r="B22797" s="2" t="str">
        <f>"97002"</f>
        <v>97002</v>
      </c>
      <c r="C22797" s="1">
        <v>1.6000409246701802E-2</v>
      </c>
      <c r="D22797" s="1">
        <v>2.4105856150923598E-2</v>
      </c>
      <c r="E22797" s="1">
        <v>5.1124744376278104E-3</v>
      </c>
      <c r="F22797" s="1">
        <v>1.6248832336085199E-2</v>
      </c>
    </row>
    <row r="22798" spans="1:6" x14ac:dyDescent="0.25">
      <c r="A22798" s="2" t="str">
        <f t="shared" si="804"/>
        <v>41420</v>
      </c>
      <c r="B22798" s="2" t="str">
        <f>"97392"</f>
        <v>97392</v>
      </c>
      <c r="C22798" s="1">
        <v>1.9689313545497401E-2</v>
      </c>
      <c r="D22798" s="1">
        <v>1.04153019782523E-2</v>
      </c>
      <c r="E22798" s="1">
        <v>2.0449897750511202E-3</v>
      </c>
      <c r="F22798" s="1">
        <v>1.8364513115705999E-2</v>
      </c>
    </row>
    <row r="22799" spans="1:6" x14ac:dyDescent="0.25">
      <c r="A22799" s="2" t="str">
        <f t="shared" si="804"/>
        <v>41420</v>
      </c>
      <c r="B22799" s="2" t="str">
        <f>"97346"</f>
        <v>97346</v>
      </c>
      <c r="C22799" s="1">
        <v>1.4153115106318799E-3</v>
      </c>
      <c r="D22799" s="1">
        <v>2.62020175553517E-4</v>
      </c>
      <c r="E22799" s="1">
        <v>2.1910604732690601E-3</v>
      </c>
      <c r="F22799" s="1">
        <v>1.35322780176222E-3</v>
      </c>
    </row>
    <row r="22800" spans="1:6" x14ac:dyDescent="0.25">
      <c r="A22800" s="2" t="str">
        <f t="shared" si="804"/>
        <v>41420</v>
      </c>
      <c r="B22800" s="2" t="str">
        <f>"97350"</f>
        <v>97350</v>
      </c>
      <c r="C22800" s="1">
        <v>9.2080507920628803E-4</v>
      </c>
      <c r="D22800" s="1">
        <v>1.9651513166513799E-4</v>
      </c>
      <c r="E22800" s="1">
        <v>5.8428279287174904E-4</v>
      </c>
      <c r="F22800" s="1">
        <v>8.5334141230528396E-4</v>
      </c>
    </row>
    <row r="22801" spans="1:6" x14ac:dyDescent="0.25">
      <c r="A22801" s="2" t="str">
        <f t="shared" si="804"/>
        <v>41420</v>
      </c>
      <c r="B22801" s="2" t="str">
        <f>"97347"</f>
        <v>97347</v>
      </c>
      <c r="C22801" s="1">
        <v>3.1034541558434101E-3</v>
      </c>
      <c r="D22801" s="1">
        <v>1.17909078999082E-3</v>
      </c>
      <c r="E22801" s="1">
        <v>1.89891907683318E-3</v>
      </c>
      <c r="F22801" s="1">
        <v>2.9134792597641898E-3</v>
      </c>
    </row>
    <row r="22802" spans="1:6" x14ac:dyDescent="0.25">
      <c r="A22802" s="2" t="str">
        <f t="shared" si="804"/>
        <v>41420</v>
      </c>
      <c r="B22802" s="2" t="str">
        <f>"97314"</f>
        <v>97314</v>
      </c>
      <c r="C22802" s="1">
        <v>0</v>
      </c>
      <c r="D22802" s="1">
        <v>6.5505043888379398E-5</v>
      </c>
      <c r="E22802" s="1">
        <v>0</v>
      </c>
      <c r="F22802" s="1">
        <v>5.0493574692620297E-6</v>
      </c>
    </row>
    <row r="22803" spans="1:6" x14ac:dyDescent="0.25">
      <c r="A22803" s="2" t="str">
        <f t="shared" si="804"/>
        <v>41420</v>
      </c>
      <c r="B22803" s="2" t="str">
        <f>"97020"</f>
        <v>97020</v>
      </c>
      <c r="C22803" s="1">
        <v>2.1371772208738501E-3</v>
      </c>
      <c r="D22803" s="1">
        <v>1.3101008777675801E-4</v>
      </c>
      <c r="E22803" s="1">
        <v>8.7642418930762404E-4</v>
      </c>
      <c r="F22803" s="1">
        <v>1.9389532681966201E-3</v>
      </c>
    </row>
    <row r="22804" spans="1:6" x14ac:dyDescent="0.25">
      <c r="A22804" s="2" t="str">
        <f t="shared" si="804"/>
        <v>41420</v>
      </c>
      <c r="B22804" s="2" t="str">
        <f>"97370"</f>
        <v>97370</v>
      </c>
      <c r="C22804" s="1">
        <v>1.13679639408183E-4</v>
      </c>
      <c r="D22804" s="1">
        <v>0</v>
      </c>
      <c r="E22804" s="1">
        <v>0</v>
      </c>
      <c r="F22804" s="1">
        <v>1.0098714938524E-4</v>
      </c>
    </row>
    <row r="22805" spans="1:6" x14ac:dyDescent="0.25">
      <c r="A22805" s="2" t="str">
        <f t="shared" si="804"/>
        <v>41420</v>
      </c>
      <c r="B22805" s="2" t="str">
        <f>"97303"</f>
        <v>97303</v>
      </c>
      <c r="C22805" s="1">
        <v>9.7372295135079806E-2</v>
      </c>
      <c r="D22805" s="1">
        <v>7.28416088038778E-2</v>
      </c>
      <c r="E22805" s="1">
        <v>9.0417762196903298E-2</v>
      </c>
      <c r="F22805" s="1">
        <v>9.52409805852205E-2</v>
      </c>
    </row>
    <row r="22806" spans="1:6" x14ac:dyDescent="0.25">
      <c r="A22806" s="2" t="str">
        <f t="shared" si="804"/>
        <v>41420</v>
      </c>
      <c r="B22806" s="2" t="str">
        <f>"97384"</f>
        <v>97384</v>
      </c>
      <c r="C22806" s="1">
        <v>0</v>
      </c>
      <c r="D22806" s="1">
        <v>0</v>
      </c>
      <c r="E22806" s="1">
        <v>1.4607069821793699E-4</v>
      </c>
      <c r="F22806" s="1">
        <v>5.0493574692620297E-6</v>
      </c>
    </row>
    <row r="22807" spans="1:6" x14ac:dyDescent="0.25">
      <c r="A22807" s="2" t="str">
        <f t="shared" si="804"/>
        <v>41420</v>
      </c>
      <c r="B22807" s="2" t="str">
        <f>"97361"</f>
        <v>97361</v>
      </c>
      <c r="C22807" s="1">
        <v>2.80675029698805E-2</v>
      </c>
      <c r="D22807" s="1">
        <v>1.3297523909341E-2</v>
      </c>
      <c r="E22807" s="1">
        <v>5.3315804849547101E-2</v>
      </c>
      <c r="F22807" s="1">
        <v>2.7801762225756699E-2</v>
      </c>
    </row>
    <row r="22808" spans="1:6" x14ac:dyDescent="0.25">
      <c r="A22808" s="2" t="str">
        <f t="shared" si="804"/>
        <v>41420</v>
      </c>
      <c r="B22808" s="2" t="str">
        <f>"97358"</f>
        <v>97358</v>
      </c>
      <c r="C22808" s="1">
        <v>2.23948889634122E-3</v>
      </c>
      <c r="D22808" s="1">
        <v>8.5156557054893198E-4</v>
      </c>
      <c r="E22808" s="1">
        <v>0</v>
      </c>
      <c r="F22808" s="1">
        <v>2.0550884899896401E-3</v>
      </c>
    </row>
    <row r="22809" spans="1:6" x14ac:dyDescent="0.25">
      <c r="A22809" s="2" t="str">
        <f t="shared" si="804"/>
        <v>41420</v>
      </c>
      <c r="B22809" s="2" t="str">
        <f>"97338"</f>
        <v>97338</v>
      </c>
      <c r="C22809" s="1">
        <v>5.7118334820641901E-2</v>
      </c>
      <c r="D22809" s="1">
        <v>5.0766409013494003E-2</v>
      </c>
      <c r="E22809" s="1">
        <v>5.1124744376278099E-2</v>
      </c>
      <c r="F22809" s="1">
        <v>5.6421520361533903E-2</v>
      </c>
    </row>
    <row r="22810" spans="1:6" x14ac:dyDescent="0.25">
      <c r="A22810" s="2" t="str">
        <f t="shared" si="804"/>
        <v>41420</v>
      </c>
      <c r="B22810" s="2" t="str">
        <f>"97310"</f>
        <v>97310</v>
      </c>
      <c r="C22810" s="1">
        <v>0</v>
      </c>
      <c r="D22810" s="1">
        <v>1.9651513166513799E-4</v>
      </c>
      <c r="E22810" s="1">
        <v>4.0899795501022403E-3</v>
      </c>
      <c r="F22810" s="1">
        <v>1.56530081547123E-4</v>
      </c>
    </row>
    <row r="22811" spans="1:6" x14ac:dyDescent="0.25">
      <c r="A22811" s="2" t="str">
        <f t="shared" si="804"/>
        <v>41420</v>
      </c>
      <c r="B22811" s="2" t="str">
        <f>"97311"</f>
        <v>97311</v>
      </c>
      <c r="C22811" s="1">
        <v>0</v>
      </c>
      <c r="D22811" s="1">
        <v>6.5505043888379398E-5</v>
      </c>
      <c r="E22811" s="1">
        <v>0</v>
      </c>
      <c r="F22811" s="1">
        <v>5.0493574692620297E-6</v>
      </c>
    </row>
    <row r="22812" spans="1:6" x14ac:dyDescent="0.25">
      <c r="A22812" s="2" t="str">
        <f t="shared" si="804"/>
        <v>41420</v>
      </c>
      <c r="B22812" s="2" t="str">
        <f>"97383"</f>
        <v>97383</v>
      </c>
      <c r="C22812" s="1">
        <v>2.2582460368435701E-2</v>
      </c>
      <c r="D22812" s="1">
        <v>2.4367876326477099E-2</v>
      </c>
      <c r="E22812" s="1">
        <v>2.5562372188139001E-2</v>
      </c>
      <c r="F22812" s="1">
        <v>2.2823095761064401E-2</v>
      </c>
    </row>
    <row r="22813" spans="1:6" x14ac:dyDescent="0.25">
      <c r="A22813" s="2" t="str">
        <f t="shared" si="804"/>
        <v>41420</v>
      </c>
      <c r="B22813" s="2" t="str">
        <f>"97373"</f>
        <v>97373</v>
      </c>
      <c r="C22813" s="1">
        <v>0</v>
      </c>
      <c r="D22813" s="1">
        <v>0</v>
      </c>
      <c r="E22813" s="1">
        <v>1.4607069821793699E-4</v>
      </c>
      <c r="F22813" s="1">
        <v>5.0493574692620297E-6</v>
      </c>
    </row>
    <row r="22814" spans="1:6" x14ac:dyDescent="0.25">
      <c r="A22814" s="2" t="str">
        <f t="shared" si="804"/>
        <v>41420</v>
      </c>
      <c r="B22814" s="2" t="str">
        <f>"97360"</f>
        <v>97360</v>
      </c>
      <c r="C22814" s="1">
        <v>1.2220561236379701E-3</v>
      </c>
      <c r="D22814" s="1">
        <v>3.9303026333027598E-4</v>
      </c>
      <c r="E22814" s="1">
        <v>8.7642418930762404E-4</v>
      </c>
      <c r="F22814" s="1">
        <v>1.14620414552248E-3</v>
      </c>
    </row>
    <row r="22815" spans="1:6" x14ac:dyDescent="0.25">
      <c r="A22815" s="2" t="str">
        <f t="shared" si="804"/>
        <v>41420</v>
      </c>
      <c r="B22815" s="2" t="str">
        <f>"97307"</f>
        <v>97307</v>
      </c>
      <c r="C22815" s="1">
        <v>5.0075881159304904E-3</v>
      </c>
      <c r="D22815" s="1">
        <v>2.3516310755928201E-2</v>
      </c>
      <c r="E22815" s="1">
        <v>4.3821209465381202E-4</v>
      </c>
      <c r="F22815" s="1">
        <v>6.2763513342927102E-3</v>
      </c>
    </row>
    <row r="22816" spans="1:6" x14ac:dyDescent="0.25">
      <c r="A22816" s="2" t="str">
        <f t="shared" si="804"/>
        <v>41420</v>
      </c>
      <c r="B22816" s="2" t="str">
        <f>"97304"</f>
        <v>97304</v>
      </c>
      <c r="C22816" s="1">
        <v>7.9365440252823494E-2</v>
      </c>
      <c r="D22816" s="1">
        <v>5.1814489715708102E-2</v>
      </c>
      <c r="E22816" s="1">
        <v>5.4192229038854803E-2</v>
      </c>
      <c r="F22816" s="1">
        <v>7.6371531722588301E-2</v>
      </c>
    </row>
    <row r="22817" spans="1:6" x14ac:dyDescent="0.25">
      <c r="A22817" s="2" t="str">
        <f t="shared" si="804"/>
        <v>41420</v>
      </c>
      <c r="B22817" s="2" t="str">
        <f>"97378"</f>
        <v>97378</v>
      </c>
      <c r="C22817" s="1">
        <v>2.8931468229382701E-3</v>
      </c>
      <c r="D22817" s="1">
        <v>2.62020175553517E-4</v>
      </c>
      <c r="E22817" s="1">
        <v>0</v>
      </c>
      <c r="F22817" s="1">
        <v>2.59032038173142E-3</v>
      </c>
    </row>
    <row r="22818" spans="1:6" x14ac:dyDescent="0.25">
      <c r="A22818" s="2" t="str">
        <f t="shared" si="804"/>
        <v>41420</v>
      </c>
      <c r="B22818" s="2" t="str">
        <f>"97352"</f>
        <v>97352</v>
      </c>
      <c r="C22818" s="1">
        <v>1.9257330915746301E-2</v>
      </c>
      <c r="D22818" s="1">
        <v>8.1226254421590399E-3</v>
      </c>
      <c r="E22818" s="1">
        <v>4.0899795501022403E-3</v>
      </c>
      <c r="F22818" s="1">
        <v>1.7874725441187601E-2</v>
      </c>
    </row>
    <row r="22819" spans="1:6" x14ac:dyDescent="0.25">
      <c r="A22819" s="2" t="str">
        <f t="shared" si="804"/>
        <v>41420</v>
      </c>
      <c r="B22819" s="2" t="str">
        <f>"97351"</f>
        <v>97351</v>
      </c>
      <c r="C22819" s="1">
        <v>2.3406637754145001E-2</v>
      </c>
      <c r="D22819" s="1">
        <v>1.7882876981527501E-2</v>
      </c>
      <c r="E22819" s="1">
        <v>1.59217061057551E-2</v>
      </c>
      <c r="F22819" s="1">
        <v>2.2722108611679101E-2</v>
      </c>
    </row>
    <row r="22820" spans="1:6" x14ac:dyDescent="0.25">
      <c r="A22820" s="2" t="str">
        <f t="shared" si="804"/>
        <v>41420</v>
      </c>
      <c r="B22820" s="2" t="str">
        <f>"97301"</f>
        <v>97301</v>
      </c>
      <c r="C22820" s="1">
        <v>0.118005149687665</v>
      </c>
      <c r="D22820" s="1">
        <v>0.26012052928075402</v>
      </c>
      <c r="E22820" s="1">
        <v>0.21633070406076499</v>
      </c>
      <c r="F22820" s="1">
        <v>0.132358807341765</v>
      </c>
    </row>
    <row r="22821" spans="1:6" x14ac:dyDescent="0.25">
      <c r="A22821" s="2" t="str">
        <f t="shared" si="804"/>
        <v>41420</v>
      </c>
      <c r="B22821" s="2" t="str">
        <f>"97101"</f>
        <v>97101</v>
      </c>
      <c r="C22821" s="1">
        <v>9.9469684482160806E-4</v>
      </c>
      <c r="D22821" s="1">
        <v>2.62020175553517E-4</v>
      </c>
      <c r="E22821" s="1">
        <v>0</v>
      </c>
      <c r="F22821" s="1">
        <v>9.0383498699790404E-4</v>
      </c>
    </row>
    <row r="22822" spans="1:6" x14ac:dyDescent="0.25">
      <c r="A22822" s="2" t="str">
        <f t="shared" si="804"/>
        <v>41420</v>
      </c>
      <c r="B22822" s="2" t="str">
        <f>"97071"</f>
        <v>97071</v>
      </c>
      <c r="C22822" s="1">
        <v>5.6220265669317197E-2</v>
      </c>
      <c r="D22822" s="1">
        <v>5.2928075461810498E-2</v>
      </c>
      <c r="E22822" s="1">
        <v>3.8708735027753398E-2</v>
      </c>
      <c r="F22822" s="1">
        <v>5.5361155292988899E-2</v>
      </c>
    </row>
    <row r="22823" spans="1:6" x14ac:dyDescent="0.25">
      <c r="A22823" s="2" t="str">
        <f t="shared" si="804"/>
        <v>41420</v>
      </c>
      <c r="B22823" s="2" t="str">
        <f>"97385"</f>
        <v>97385</v>
      </c>
      <c r="C22823" s="1">
        <v>8.1224102357147308E-3</v>
      </c>
      <c r="D22823" s="1">
        <v>2.2271714922048901E-3</v>
      </c>
      <c r="E22823" s="1">
        <v>2.48320186970493E-3</v>
      </c>
      <c r="F22823" s="1">
        <v>7.4730490545078104E-3</v>
      </c>
    </row>
    <row r="22824" spans="1:6" x14ac:dyDescent="0.25">
      <c r="A22824" s="2" t="str">
        <f t="shared" si="804"/>
        <v>41420</v>
      </c>
      <c r="B22824" s="2" t="str">
        <f>"97342"</f>
        <v>97342</v>
      </c>
      <c r="C22824" s="1">
        <v>2.00076165358403E-3</v>
      </c>
      <c r="D22824" s="1">
        <v>0</v>
      </c>
      <c r="E22824" s="1">
        <v>4.3821209465381202E-4</v>
      </c>
      <c r="F22824" s="1">
        <v>1.79252190158802E-3</v>
      </c>
    </row>
    <row r="22825" spans="1:6" x14ac:dyDescent="0.25">
      <c r="A22825" s="2" t="str">
        <f t="shared" si="804"/>
        <v>41420</v>
      </c>
      <c r="B22825" s="2" t="str">
        <f>"97344"</f>
        <v>97344</v>
      </c>
      <c r="C22825" s="1">
        <v>2.91588275081991E-3</v>
      </c>
      <c r="D22825" s="1">
        <v>1.17909078999082E-3</v>
      </c>
      <c r="E22825" s="1">
        <v>1.1685655857434901E-3</v>
      </c>
      <c r="F22825" s="1">
        <v>2.7216036759322298E-3</v>
      </c>
    </row>
    <row r="22826" spans="1:6" x14ac:dyDescent="0.25">
      <c r="A22826" s="2" t="str">
        <f t="shared" si="804"/>
        <v>41420</v>
      </c>
      <c r="B22826" s="2" t="str">
        <f>"97362"</f>
        <v>97362</v>
      </c>
      <c r="C22826" s="1">
        <v>8.4918690637913203E-3</v>
      </c>
      <c r="D22826" s="1">
        <v>5.2404035110703504E-3</v>
      </c>
      <c r="E22826" s="1">
        <v>5.9888986269354301E-3</v>
      </c>
      <c r="F22826" s="1">
        <v>8.1547123128581801E-3</v>
      </c>
    </row>
    <row r="22827" spans="1:6" x14ac:dyDescent="0.25">
      <c r="A22827" s="2" t="str">
        <f t="shared" si="804"/>
        <v>41420</v>
      </c>
      <c r="B22827" s="2" t="str">
        <f>"97326"</f>
        <v>97326</v>
      </c>
      <c r="C22827" s="1">
        <v>1.7051945911227499E-5</v>
      </c>
      <c r="D22827" s="1">
        <v>0</v>
      </c>
      <c r="E22827" s="1">
        <v>0</v>
      </c>
      <c r="F22827" s="1">
        <v>1.5148072407786099E-5</v>
      </c>
    </row>
    <row r="22828" spans="1:6" x14ac:dyDescent="0.25">
      <c r="A22828" s="2" t="str">
        <f t="shared" si="804"/>
        <v>41420</v>
      </c>
      <c r="B22828" s="2" t="str">
        <f>"97325"</f>
        <v>97325</v>
      </c>
      <c r="C22828" s="1">
        <v>1.5977673318820201E-2</v>
      </c>
      <c r="D22828" s="1">
        <v>3.2097471505305899E-3</v>
      </c>
      <c r="E22828" s="1">
        <v>1.0224948875255601E-3</v>
      </c>
      <c r="F22828" s="1">
        <v>1.44765078643742E-2</v>
      </c>
    </row>
    <row r="22829" spans="1:6" x14ac:dyDescent="0.25">
      <c r="A22829" s="2" t="str">
        <f t="shared" si="804"/>
        <v>41420</v>
      </c>
      <c r="B22829" s="2" t="str">
        <f>"97313"</f>
        <v>97313</v>
      </c>
      <c r="C22829" s="1">
        <v>0</v>
      </c>
      <c r="D22829" s="1">
        <v>6.5505043888379398E-5</v>
      </c>
      <c r="E22829" s="1">
        <v>1.4607069821793699E-4</v>
      </c>
      <c r="F22829" s="1">
        <v>1.0098714938524E-5</v>
      </c>
    </row>
    <row r="22830" spans="1:6" x14ac:dyDescent="0.25">
      <c r="A22830" s="2" t="str">
        <f t="shared" si="804"/>
        <v>41420</v>
      </c>
      <c r="B22830" s="2" t="str">
        <f>"97312"</f>
        <v>97312</v>
      </c>
      <c r="C22830" s="1">
        <v>0</v>
      </c>
      <c r="D22830" s="1">
        <v>1.3101008777675801E-4</v>
      </c>
      <c r="E22830" s="1">
        <v>0</v>
      </c>
      <c r="F22830" s="1">
        <v>1.0098714938524E-5</v>
      </c>
    </row>
    <row r="22831" spans="1:6" x14ac:dyDescent="0.25">
      <c r="A22831" s="2" t="str">
        <f t="shared" si="804"/>
        <v>41420</v>
      </c>
      <c r="B22831" s="2" t="str">
        <f>"97309"</f>
        <v>97309</v>
      </c>
      <c r="C22831" s="1">
        <v>5.10421580942745E-3</v>
      </c>
      <c r="D22831" s="1">
        <v>3.53072186558364E-2</v>
      </c>
      <c r="E22831" s="1">
        <v>1.4607069821793699E-4</v>
      </c>
      <c r="F22831" s="1">
        <v>7.2609760407987998E-3</v>
      </c>
    </row>
    <row r="22832" spans="1:6" x14ac:dyDescent="0.25">
      <c r="A22832" s="2" t="str">
        <f t="shared" si="804"/>
        <v>41420</v>
      </c>
      <c r="B22832" s="2" t="str">
        <f>"97032"</f>
        <v>97032</v>
      </c>
      <c r="C22832" s="1">
        <v>9.9526524301864899E-3</v>
      </c>
      <c r="D22832" s="1">
        <v>7.0090396960565899E-3</v>
      </c>
      <c r="E22832" s="1">
        <v>2.3371311714869901E-3</v>
      </c>
      <c r="F22832" s="1">
        <v>9.4624958973970504E-3</v>
      </c>
    </row>
    <row r="22833" spans="1:6" x14ac:dyDescent="0.25">
      <c r="A22833" s="2" t="str">
        <f t="shared" ref="A22833:A22874" si="805">"21660"</f>
        <v>21660</v>
      </c>
      <c r="B22833" s="2" t="str">
        <f>"97498"</f>
        <v>97498</v>
      </c>
      <c r="C22833" s="1">
        <v>1.65747037940031E-4</v>
      </c>
      <c r="D22833" s="1">
        <v>0</v>
      </c>
      <c r="E22833" s="1">
        <v>0</v>
      </c>
      <c r="F22833" s="1">
        <v>1.46802545840278E-4</v>
      </c>
    </row>
    <row r="22834" spans="1:6" x14ac:dyDescent="0.25">
      <c r="A22834" s="2" t="str">
        <f t="shared" si="805"/>
        <v>21660</v>
      </c>
      <c r="B22834" s="2" t="str">
        <f>"97439"</f>
        <v>97439</v>
      </c>
      <c r="C22834" s="1">
        <v>6.2983874417211996E-2</v>
      </c>
      <c r="D22834" s="1">
        <v>5.6324052997140002E-2</v>
      </c>
      <c r="E22834" s="1">
        <v>3.1557903755533301E-2</v>
      </c>
      <c r="F22834" s="1">
        <v>6.1401348689195299E-2</v>
      </c>
    </row>
    <row r="22835" spans="1:6" x14ac:dyDescent="0.25">
      <c r="A22835" s="2" t="str">
        <f t="shared" si="805"/>
        <v>21660</v>
      </c>
      <c r="B22835" s="2" t="str">
        <f>"97419"</f>
        <v>97419</v>
      </c>
      <c r="C22835" s="1">
        <v>3.1331536849309202E-3</v>
      </c>
      <c r="D22835" s="1">
        <v>1.7510068289266299E-4</v>
      </c>
      <c r="E22835" s="1">
        <v>8.5677566757103995E-4</v>
      </c>
      <c r="F22835" s="1">
        <v>2.8176617669343801E-3</v>
      </c>
    </row>
    <row r="22836" spans="1:6" x14ac:dyDescent="0.25">
      <c r="A22836" s="2" t="str">
        <f t="shared" si="805"/>
        <v>21660</v>
      </c>
      <c r="B22836" s="2" t="str">
        <f>"97452"</f>
        <v>97452</v>
      </c>
      <c r="C22836" s="1">
        <v>3.6090080841781002E-3</v>
      </c>
      <c r="D22836" s="1">
        <v>1.7510068289266301E-3</v>
      </c>
      <c r="E22836" s="1">
        <v>7.13979722975867E-4</v>
      </c>
      <c r="F22836" s="1">
        <v>3.36225185634186E-3</v>
      </c>
    </row>
    <row r="22837" spans="1:6" x14ac:dyDescent="0.25">
      <c r="A22837" s="2" t="str">
        <f t="shared" si="805"/>
        <v>21660</v>
      </c>
      <c r="B22837" s="2" t="str">
        <f>"97463"</f>
        <v>97463</v>
      </c>
      <c r="C22837" s="1">
        <v>1.3826510971384501E-2</v>
      </c>
      <c r="D22837" s="1">
        <v>3.0934453977703798E-3</v>
      </c>
      <c r="E22837" s="1">
        <v>1.5707553905469001E-2</v>
      </c>
      <c r="F22837" s="1">
        <v>1.3018070919836301E-2</v>
      </c>
    </row>
    <row r="22838" spans="1:6" x14ac:dyDescent="0.25">
      <c r="A22838" s="2" t="str">
        <f t="shared" si="805"/>
        <v>21660</v>
      </c>
      <c r="B22838" s="2" t="str">
        <f>"97412"</f>
        <v>97412</v>
      </c>
      <c r="C22838" s="1">
        <v>1.38478976859574E-3</v>
      </c>
      <c r="D22838" s="1">
        <v>2.3346757719021699E-4</v>
      </c>
      <c r="E22838" s="1">
        <v>0</v>
      </c>
      <c r="F22838" s="1">
        <v>1.24545385664494E-3</v>
      </c>
    </row>
    <row r="22839" spans="1:6" x14ac:dyDescent="0.25">
      <c r="A22839" s="2" t="str">
        <f t="shared" si="805"/>
        <v>21660</v>
      </c>
      <c r="B22839" s="2" t="str">
        <f>"97402"</f>
        <v>97402</v>
      </c>
      <c r="C22839" s="1">
        <v>0.13590187775353901</v>
      </c>
      <c r="D22839" s="1">
        <v>0.237728360473939</v>
      </c>
      <c r="E22839" s="1">
        <v>0.223761245180636</v>
      </c>
      <c r="F22839" s="1">
        <v>0.14707720866797899</v>
      </c>
    </row>
    <row r="22840" spans="1:6" x14ac:dyDescent="0.25">
      <c r="A22840" s="2" t="str">
        <f t="shared" si="805"/>
        <v>21660</v>
      </c>
      <c r="B22840" s="2" t="str">
        <f>"97324"</f>
        <v>97324</v>
      </c>
      <c r="C22840" s="1">
        <v>7.4853501005175494E-5</v>
      </c>
      <c r="D22840" s="1">
        <v>0</v>
      </c>
      <c r="E22840" s="1">
        <v>0</v>
      </c>
      <c r="F22840" s="1">
        <v>6.6297923927867799E-5</v>
      </c>
    </row>
    <row r="22841" spans="1:6" x14ac:dyDescent="0.25">
      <c r="A22841" s="2" t="str">
        <f t="shared" si="805"/>
        <v>21660</v>
      </c>
      <c r="B22841" s="2" t="str">
        <f>"97390"</f>
        <v>97390</v>
      </c>
      <c r="C22841" s="1">
        <v>9.0893536934856005E-5</v>
      </c>
      <c r="D22841" s="1">
        <v>5.8366894297554403E-5</v>
      </c>
      <c r="E22841" s="1">
        <v>0</v>
      </c>
      <c r="F22841" s="1">
        <v>8.5240187907258605E-5</v>
      </c>
    </row>
    <row r="22842" spans="1:6" x14ac:dyDescent="0.25">
      <c r="A22842" s="2" t="str">
        <f t="shared" si="805"/>
        <v>21660</v>
      </c>
      <c r="B22842" s="2" t="str">
        <f>"97448"</f>
        <v>97448</v>
      </c>
      <c r="C22842" s="1">
        <v>3.4079729671927697E-2</v>
      </c>
      <c r="D22842" s="1">
        <v>2.69655051654701E-2</v>
      </c>
      <c r="E22842" s="1">
        <v>1.9420248464943501E-2</v>
      </c>
      <c r="F22842" s="1">
        <v>3.3016366116078097E-2</v>
      </c>
    </row>
    <row r="22843" spans="1:6" x14ac:dyDescent="0.25">
      <c r="A22843" s="2" t="str">
        <f t="shared" si="805"/>
        <v>21660</v>
      </c>
      <c r="B22843" s="2" t="str">
        <f>"97413"</f>
        <v>97413</v>
      </c>
      <c r="C22843" s="1">
        <v>4.6462637409641098E-3</v>
      </c>
      <c r="D22843" s="1">
        <v>1.5759061460339601E-3</v>
      </c>
      <c r="E22843" s="1">
        <v>5.2834499500214096E-3</v>
      </c>
      <c r="F22843" s="1">
        <v>4.4182830731928999E-3</v>
      </c>
    </row>
    <row r="22844" spans="1:6" x14ac:dyDescent="0.25">
      <c r="A22844" s="2" t="str">
        <f t="shared" si="805"/>
        <v>21660</v>
      </c>
      <c r="B22844" s="2" t="str">
        <f>"97408"</f>
        <v>97408</v>
      </c>
      <c r="C22844" s="1">
        <v>3.5485906155096399E-2</v>
      </c>
      <c r="D22844" s="1">
        <v>1.74517013949687E-2</v>
      </c>
      <c r="E22844" s="1">
        <v>3.72697415393402E-2</v>
      </c>
      <c r="F22844" s="1">
        <v>3.4081868464918903E-2</v>
      </c>
    </row>
    <row r="22845" spans="1:6" x14ac:dyDescent="0.25">
      <c r="A22845" s="2" t="str">
        <f t="shared" si="805"/>
        <v>21660</v>
      </c>
      <c r="B22845" s="2" t="str">
        <f>"97405"</f>
        <v>97405</v>
      </c>
      <c r="C22845" s="1">
        <v>0.117306129432396</v>
      </c>
      <c r="D22845" s="1">
        <v>7.0332107628553006E-2</v>
      </c>
      <c r="E22845" s="1">
        <v>5.7832357561045197E-2</v>
      </c>
      <c r="F22845" s="1">
        <v>0.111522579178663</v>
      </c>
    </row>
    <row r="22846" spans="1:6" x14ac:dyDescent="0.25">
      <c r="A22846" s="2" t="str">
        <f t="shared" si="805"/>
        <v>21660</v>
      </c>
      <c r="B22846" s="2" t="str">
        <f>"97490"</f>
        <v>97490</v>
      </c>
      <c r="C22846" s="1">
        <v>1.00517558492664E-3</v>
      </c>
      <c r="D22846" s="1">
        <v>3.5020136578532598E-4</v>
      </c>
      <c r="E22846" s="1">
        <v>2.85591889190346E-4</v>
      </c>
      <c r="F22846" s="1">
        <v>9.2817093499015005E-4</v>
      </c>
    </row>
    <row r="22847" spans="1:6" x14ac:dyDescent="0.25">
      <c r="A22847" s="2" t="str">
        <f t="shared" si="805"/>
        <v>21660</v>
      </c>
      <c r="B22847" s="2" t="str">
        <f>"97478"</f>
        <v>97478</v>
      </c>
      <c r="C22847" s="1">
        <v>8.07081141195089E-2</v>
      </c>
      <c r="D22847" s="1">
        <v>3.4669935212747298E-2</v>
      </c>
      <c r="E22847" s="1">
        <v>4.4266742824503699E-2</v>
      </c>
      <c r="F22847" s="1">
        <v>7.5764320351568396E-2</v>
      </c>
    </row>
    <row r="22848" spans="1:6" x14ac:dyDescent="0.25">
      <c r="A22848" s="2" t="str">
        <f t="shared" si="805"/>
        <v>21660</v>
      </c>
      <c r="B22848" s="2" t="str">
        <f>"97446"</f>
        <v>97446</v>
      </c>
      <c r="C22848" s="1">
        <v>1.12280251507763E-4</v>
      </c>
      <c r="D22848" s="1">
        <v>0</v>
      </c>
      <c r="E22848" s="1">
        <v>0</v>
      </c>
      <c r="F22848" s="1">
        <v>9.9446885891801699E-5</v>
      </c>
    </row>
    <row r="22849" spans="1:6" x14ac:dyDescent="0.25">
      <c r="A22849" s="2" t="str">
        <f t="shared" si="805"/>
        <v>21660</v>
      </c>
      <c r="B22849" s="2" t="str">
        <f>"97454"</f>
        <v>97454</v>
      </c>
      <c r="C22849" s="1">
        <v>3.65178151332392E-3</v>
      </c>
      <c r="D22849" s="1">
        <v>1.1673378859510801E-4</v>
      </c>
      <c r="E22849" s="1">
        <v>2.85591889190346E-4</v>
      </c>
      <c r="F22849" s="1">
        <v>3.2533338384603699E-3</v>
      </c>
    </row>
    <row r="22850" spans="1:6" x14ac:dyDescent="0.25">
      <c r="A22850" s="2" t="str">
        <f t="shared" si="805"/>
        <v>21660</v>
      </c>
      <c r="B22850" s="2" t="str">
        <f>"97453"</f>
        <v>97453</v>
      </c>
      <c r="C22850" s="1">
        <v>3.2507806150819099E-3</v>
      </c>
      <c r="D22850" s="1">
        <v>1.2840716745461901E-3</v>
      </c>
      <c r="E22850" s="1">
        <v>1.4279594459517301E-3</v>
      </c>
      <c r="F22850" s="1">
        <v>3.0307622367025302E-3</v>
      </c>
    </row>
    <row r="22851" spans="1:6" x14ac:dyDescent="0.25">
      <c r="A22851" s="2" t="str">
        <f t="shared" si="805"/>
        <v>21660</v>
      </c>
      <c r="B22851" s="2" t="str">
        <f>"97404"</f>
        <v>97404</v>
      </c>
      <c r="C22851" s="1">
        <v>8.2205184139612406E-2</v>
      </c>
      <c r="D22851" s="1">
        <v>4.8619622949862801E-2</v>
      </c>
      <c r="E22851" s="1">
        <v>4.3552763101527898E-2</v>
      </c>
      <c r="F22851" s="1">
        <v>7.8198401272920104E-2</v>
      </c>
    </row>
    <row r="22852" spans="1:6" x14ac:dyDescent="0.25">
      <c r="A22852" s="2" t="str">
        <f t="shared" si="805"/>
        <v>21660</v>
      </c>
      <c r="B22852" s="2" t="str">
        <f>"97493"</f>
        <v>97493</v>
      </c>
      <c r="C22852" s="1">
        <v>1.4810299841738299E-3</v>
      </c>
      <c r="D22852" s="1">
        <v>4.0856826008287998E-4</v>
      </c>
      <c r="E22852" s="1">
        <v>1.1423675567613801E-3</v>
      </c>
      <c r="F22852" s="1">
        <v>1.38278527049552E-3</v>
      </c>
    </row>
    <row r="22853" spans="1:6" x14ac:dyDescent="0.25">
      <c r="A22853" s="2" t="str">
        <f t="shared" si="805"/>
        <v>21660</v>
      </c>
      <c r="B22853" s="2" t="str">
        <f>"97401"</f>
        <v>97401</v>
      </c>
      <c r="C22853" s="1">
        <v>0.123855810770349</v>
      </c>
      <c r="D22853" s="1">
        <v>0.22675538434599801</v>
      </c>
      <c r="E22853" s="1">
        <v>0.33714122518920397</v>
      </c>
      <c r="F22853" s="1">
        <v>0.13927773147446501</v>
      </c>
    </row>
    <row r="22854" spans="1:6" x14ac:dyDescent="0.25">
      <c r="A22854" s="2" t="str">
        <f t="shared" si="805"/>
        <v>21660</v>
      </c>
      <c r="B22854" s="2" t="str">
        <f>"97475"</f>
        <v>97475</v>
      </c>
      <c r="C22854" s="1">
        <v>8.6348860088113193E-3</v>
      </c>
      <c r="D22854" s="1">
        <v>2.6148368645304301E-2</v>
      </c>
      <c r="E22854" s="1">
        <v>2.85591889190346E-4</v>
      </c>
      <c r="F22854" s="1">
        <v>9.7789437793604998E-3</v>
      </c>
    </row>
    <row r="22855" spans="1:6" x14ac:dyDescent="0.25">
      <c r="A22855" s="2" t="str">
        <f t="shared" si="805"/>
        <v>21660</v>
      </c>
      <c r="B22855" s="2" t="str">
        <f>"97431"</f>
        <v>97431</v>
      </c>
      <c r="C22855" s="1">
        <v>5.4215321442320002E-3</v>
      </c>
      <c r="D22855" s="1">
        <v>6.4203583727309797E-4</v>
      </c>
      <c r="E22855" s="1">
        <v>2.7131229473082901E-3</v>
      </c>
      <c r="F22855" s="1">
        <v>4.9439308986209997E-3</v>
      </c>
    </row>
    <row r="22856" spans="1:6" x14ac:dyDescent="0.25">
      <c r="A22856" s="2" t="str">
        <f t="shared" si="805"/>
        <v>21660</v>
      </c>
      <c r="B22856" s="2" t="str">
        <f>"97456"</f>
        <v>97456</v>
      </c>
      <c r="C22856" s="1">
        <v>3.8496086231233102E-4</v>
      </c>
      <c r="D22856" s="1">
        <v>1.1673378859510801E-4</v>
      </c>
      <c r="E22856" s="1">
        <v>1.42795944595173E-4</v>
      </c>
      <c r="F22856" s="1">
        <v>3.5516744961357698E-4</v>
      </c>
    </row>
    <row r="22857" spans="1:6" x14ac:dyDescent="0.25">
      <c r="A22857" s="2" t="str">
        <f t="shared" si="805"/>
        <v>21660</v>
      </c>
      <c r="B22857" s="2" t="str">
        <f>"97455"</f>
        <v>97455</v>
      </c>
      <c r="C22857" s="1">
        <v>5.3894520723726403E-3</v>
      </c>
      <c r="D22857" s="1">
        <v>1.86774061752174E-3</v>
      </c>
      <c r="E22857" s="1">
        <v>8.5677566757103995E-4</v>
      </c>
      <c r="F22857" s="1">
        <v>4.9534020306106902E-3</v>
      </c>
    </row>
    <row r="22858" spans="1:6" x14ac:dyDescent="0.25">
      <c r="A22858" s="2" t="str">
        <f t="shared" si="805"/>
        <v>21660</v>
      </c>
      <c r="B22858" s="2" t="str">
        <f>"97477"</f>
        <v>97477</v>
      </c>
      <c r="C22858" s="1">
        <v>9.3235382180589396E-2</v>
      </c>
      <c r="D22858" s="1">
        <v>0.109437926807914</v>
      </c>
      <c r="E22858" s="1">
        <v>9.2531772097672396E-2</v>
      </c>
      <c r="F22858" s="1">
        <v>9.4526632823155002E-2</v>
      </c>
    </row>
    <row r="22859" spans="1:6" x14ac:dyDescent="0.25">
      <c r="A22859" s="2" t="str">
        <f t="shared" si="805"/>
        <v>21660</v>
      </c>
      <c r="B22859" s="2" t="str">
        <f>"97440"</f>
        <v>97440</v>
      </c>
      <c r="C22859" s="1">
        <v>1.05971170708755E-2</v>
      </c>
      <c r="D22859" s="1">
        <v>3.6771143407459198E-2</v>
      </c>
      <c r="E22859" s="1">
        <v>1.42795944595173E-4</v>
      </c>
      <c r="F22859" s="1">
        <v>1.2374033944537E-2</v>
      </c>
    </row>
    <row r="22860" spans="1:6" x14ac:dyDescent="0.25">
      <c r="A22860" s="2" t="str">
        <f t="shared" si="805"/>
        <v>21660</v>
      </c>
      <c r="B22860" s="2" t="str">
        <f>"97437"</f>
        <v>97437</v>
      </c>
      <c r="C22860" s="1">
        <v>4.8922109585525404E-3</v>
      </c>
      <c r="D22860" s="1">
        <v>2.9183447148777199E-4</v>
      </c>
      <c r="E22860" s="1">
        <v>1.42795944595173E-4</v>
      </c>
      <c r="F22860" s="1">
        <v>4.3614562812547301E-3</v>
      </c>
    </row>
    <row r="22861" spans="1:6" x14ac:dyDescent="0.25">
      <c r="A22861" s="2" t="str">
        <f t="shared" si="805"/>
        <v>21660</v>
      </c>
      <c r="B22861" s="2" t="str">
        <f>"97461"</f>
        <v>97461</v>
      </c>
      <c r="C22861" s="1">
        <v>1.7216305231190299E-3</v>
      </c>
      <c r="D22861" s="1">
        <v>2.3346757719021699E-4</v>
      </c>
      <c r="E22861" s="1">
        <v>2.85591889190346E-4</v>
      </c>
      <c r="F22861" s="1">
        <v>1.5532656463100401E-3</v>
      </c>
    </row>
    <row r="22862" spans="1:6" x14ac:dyDescent="0.25">
      <c r="A22862" s="2" t="str">
        <f t="shared" si="805"/>
        <v>21660</v>
      </c>
      <c r="B22862" s="2" t="str">
        <f>"97492"</f>
        <v>97492</v>
      </c>
      <c r="C22862" s="1">
        <v>1.8927242397022901E-3</v>
      </c>
      <c r="D22862" s="1">
        <v>2.3346757719021699E-4</v>
      </c>
      <c r="E22862" s="1">
        <v>5.7118377838069297E-4</v>
      </c>
      <c r="F22862" s="1">
        <v>1.7142748901348599E-3</v>
      </c>
    </row>
    <row r="22863" spans="1:6" x14ac:dyDescent="0.25">
      <c r="A22863" s="2" t="str">
        <f t="shared" si="805"/>
        <v>21660</v>
      </c>
      <c r="B22863" s="2" t="str">
        <f>"97489"</f>
        <v>97489</v>
      </c>
      <c r="C22863" s="1">
        <v>2.7268061080456801E-3</v>
      </c>
      <c r="D22863" s="1">
        <v>9.9223720305842509E-4</v>
      </c>
      <c r="E22863" s="1">
        <v>1.4279594459517301E-3</v>
      </c>
      <c r="F22863" s="1">
        <v>2.5429989392332102E-3</v>
      </c>
    </row>
    <row r="22864" spans="1:6" x14ac:dyDescent="0.25">
      <c r="A22864" s="2" t="str">
        <f t="shared" si="805"/>
        <v>21660</v>
      </c>
      <c r="B22864" s="2" t="str">
        <f>"97488"</f>
        <v>97488</v>
      </c>
      <c r="C22864" s="1">
        <v>3.6143547628213302E-3</v>
      </c>
      <c r="D22864" s="1">
        <v>5.8366894297554397E-4</v>
      </c>
      <c r="E22864" s="1">
        <v>9.9957161216621408E-4</v>
      </c>
      <c r="F22864" s="1">
        <v>3.28174723442945E-3</v>
      </c>
    </row>
    <row r="22865" spans="1:6" x14ac:dyDescent="0.25">
      <c r="A22865" s="2" t="str">
        <f t="shared" si="805"/>
        <v>21660</v>
      </c>
      <c r="B22865" s="2" t="str">
        <f>"97487"</f>
        <v>97487</v>
      </c>
      <c r="C22865" s="1">
        <v>1.8328414388981501E-2</v>
      </c>
      <c r="D22865" s="1">
        <v>6.36199147843343E-3</v>
      </c>
      <c r="E22865" s="1">
        <v>5.2834499500214096E-3</v>
      </c>
      <c r="F22865" s="1">
        <v>1.69249128655856E-2</v>
      </c>
    </row>
    <row r="22866" spans="1:6" x14ac:dyDescent="0.25">
      <c r="A22866" s="2" t="str">
        <f t="shared" si="805"/>
        <v>21660</v>
      </c>
      <c r="B22866" s="2" t="str">
        <f>"97434"</f>
        <v>97434</v>
      </c>
      <c r="C22866" s="1">
        <v>2.2349116728688102E-3</v>
      </c>
      <c r="D22866" s="1">
        <v>1.7510068289266299E-4</v>
      </c>
      <c r="E22866" s="1">
        <v>5.7118377838069297E-4</v>
      </c>
      <c r="F22866" s="1">
        <v>2.01261554781027E-3</v>
      </c>
    </row>
    <row r="22867" spans="1:6" x14ac:dyDescent="0.25">
      <c r="A22867" s="2" t="str">
        <f t="shared" si="805"/>
        <v>21660</v>
      </c>
      <c r="B22867" s="2" t="str">
        <f>"97438"</f>
        <v>97438</v>
      </c>
      <c r="C22867" s="1">
        <v>2.3364985670901199E-3</v>
      </c>
      <c r="D22867" s="1">
        <v>5.8366894297554397E-4</v>
      </c>
      <c r="E22867" s="1">
        <v>0</v>
      </c>
      <c r="F22867" s="1">
        <v>2.11679799969692E-3</v>
      </c>
    </row>
    <row r="22868" spans="1:6" x14ac:dyDescent="0.25">
      <c r="A22868" s="2" t="str">
        <f t="shared" si="805"/>
        <v>21660</v>
      </c>
      <c r="B22868" s="2" t="str">
        <f>"97409"</f>
        <v>97409</v>
      </c>
      <c r="C22868" s="1">
        <v>0</v>
      </c>
      <c r="D22868" s="1">
        <v>0</v>
      </c>
      <c r="E22868" s="1">
        <v>1.42795944595173E-4</v>
      </c>
      <c r="F22868" s="1">
        <v>4.7355659948476997E-6</v>
      </c>
    </row>
    <row r="22869" spans="1:6" x14ac:dyDescent="0.25">
      <c r="A22869" s="2" t="str">
        <f t="shared" si="805"/>
        <v>21660</v>
      </c>
      <c r="B22869" s="2" t="str">
        <f>"97403"</f>
        <v>97403</v>
      </c>
      <c r="C22869" s="1">
        <v>5.5728431498353201E-2</v>
      </c>
      <c r="D22869" s="1">
        <v>3.26270939123329E-2</v>
      </c>
      <c r="E22869" s="1">
        <v>3.5698986148793299E-2</v>
      </c>
      <c r="F22869" s="1">
        <v>5.3189877254129402E-2</v>
      </c>
    </row>
    <row r="22870" spans="1:6" x14ac:dyDescent="0.25">
      <c r="A22870" s="2" t="str">
        <f t="shared" si="805"/>
        <v>21660</v>
      </c>
      <c r="B22870" s="2" t="str">
        <f>"97480"</f>
        <v>97480</v>
      </c>
      <c r="C22870" s="1">
        <v>1.2564694811582999E-3</v>
      </c>
      <c r="D22870" s="1">
        <v>2.3346757719021699E-4</v>
      </c>
      <c r="E22870" s="1">
        <v>2.85591889190346E-4</v>
      </c>
      <c r="F22870" s="1">
        <v>1.1412714047582899E-3</v>
      </c>
    </row>
    <row r="22871" spans="1:6" x14ac:dyDescent="0.25">
      <c r="A22871" s="2" t="str">
        <f t="shared" si="805"/>
        <v>21660</v>
      </c>
      <c r="B22871" s="2" t="str">
        <f>"97430"</f>
        <v>97430</v>
      </c>
      <c r="C22871" s="1">
        <v>1.28854955301766E-3</v>
      </c>
      <c r="D22871" s="1">
        <v>1.1673378859510801E-4</v>
      </c>
      <c r="E22871" s="1">
        <v>1.42795944595173E-4</v>
      </c>
      <c r="F22871" s="1">
        <v>1.15547810274283E-3</v>
      </c>
    </row>
    <row r="22872" spans="1:6" x14ac:dyDescent="0.25">
      <c r="A22872" s="2" t="str">
        <f t="shared" si="805"/>
        <v>21660</v>
      </c>
      <c r="B22872" s="2" t="str">
        <f>"97426"</f>
        <v>97426</v>
      </c>
      <c r="C22872" s="1">
        <v>2.4327387826682E-2</v>
      </c>
      <c r="D22872" s="1">
        <v>6.5370921613260901E-3</v>
      </c>
      <c r="E22872" s="1">
        <v>1.55647579608739E-2</v>
      </c>
      <c r="F22872" s="1">
        <v>2.2593385361418299E-2</v>
      </c>
    </row>
    <row r="22873" spans="1:6" x14ac:dyDescent="0.25">
      <c r="A22873" s="2" t="str">
        <f t="shared" si="805"/>
        <v>21660</v>
      </c>
      <c r="B22873" s="2" t="str">
        <f>"97424"</f>
        <v>97424</v>
      </c>
      <c r="C22873" s="1">
        <v>4.6104409940544898E-2</v>
      </c>
      <c r="D22873" s="1">
        <v>4.8094320901184803E-2</v>
      </c>
      <c r="E22873" s="1">
        <v>2.1562187633871101E-2</v>
      </c>
      <c r="F22873" s="1">
        <v>4.5451962418548202E-2</v>
      </c>
    </row>
    <row r="22874" spans="1:6" x14ac:dyDescent="0.25">
      <c r="A22874" s="2" t="str">
        <f t="shared" si="805"/>
        <v>21660</v>
      </c>
      <c r="B22874" s="2" t="str">
        <f>"97451"</f>
        <v>97451</v>
      </c>
      <c r="C22874" s="1">
        <v>9.2497540527824095E-4</v>
      </c>
      <c r="D22874" s="1">
        <v>5.8366894297554403E-5</v>
      </c>
      <c r="E22874" s="1">
        <v>1.42795944595173E-4</v>
      </c>
      <c r="F22874" s="1">
        <v>8.2872404909834798E-4</v>
      </c>
    </row>
    <row r="22875" spans="1:6" x14ac:dyDescent="0.25">
      <c r="A22875" s="2" t="str">
        <f>"27580"</f>
        <v>27580</v>
      </c>
      <c r="B22875" s="2" t="str">
        <f>"00664"</f>
        <v>00664</v>
      </c>
      <c r="C22875" s="1">
        <v>1</v>
      </c>
      <c r="D22875" s="1">
        <v>1</v>
      </c>
      <c r="E22875" s="1">
        <v>1</v>
      </c>
      <c r="F22875" s="1">
        <v>1</v>
      </c>
    </row>
    <row r="22876" spans="1:6" x14ac:dyDescent="0.25">
      <c r="A22876" s="2" t="str">
        <f t="shared" ref="A22876:A22916" si="806">"38340"</f>
        <v>38340</v>
      </c>
      <c r="B22876" s="2" t="str">
        <f>"01242"</f>
        <v>01242</v>
      </c>
      <c r="C22876" s="1">
        <v>0</v>
      </c>
      <c r="D22876" s="1">
        <v>0</v>
      </c>
      <c r="E22876" s="1">
        <v>3.3989027164458702E-2</v>
      </c>
      <c r="F22876" s="1">
        <v>2.88951583545686E-3</v>
      </c>
    </row>
    <row r="22877" spans="1:6" x14ac:dyDescent="0.25">
      <c r="A22877" s="2" t="str">
        <f t="shared" si="806"/>
        <v>38340</v>
      </c>
      <c r="B22877" s="2" t="str">
        <f>"01229"</f>
        <v>01229</v>
      </c>
      <c r="C22877" s="1">
        <v>0</v>
      </c>
      <c r="D22877" s="1">
        <v>1.3751375137513699E-4</v>
      </c>
      <c r="E22877" s="1">
        <v>7.6274588518667197E-3</v>
      </c>
      <c r="F22877" s="1">
        <v>6.5981070258463699E-4</v>
      </c>
    </row>
    <row r="22878" spans="1:6" x14ac:dyDescent="0.25">
      <c r="A22878" s="2" t="str">
        <f t="shared" si="806"/>
        <v>38340</v>
      </c>
      <c r="B22878" s="2" t="str">
        <f>"01230"</f>
        <v>01230</v>
      </c>
      <c r="C22878" s="1">
        <v>6.7032080810289899E-2</v>
      </c>
      <c r="D22878" s="1">
        <v>0.13242574257425699</v>
      </c>
      <c r="E22878" s="1">
        <v>5.4596547571256503E-2</v>
      </c>
      <c r="F22878" s="1">
        <v>7.1384692391700005E-2</v>
      </c>
    </row>
    <row r="22879" spans="1:6" x14ac:dyDescent="0.25">
      <c r="A22879" s="2" t="str">
        <f t="shared" si="806"/>
        <v>38340</v>
      </c>
      <c r="B22879" s="2" t="str">
        <f>"01270"</f>
        <v>01270</v>
      </c>
      <c r="C22879" s="1">
        <v>5.6999138861930799E-3</v>
      </c>
      <c r="D22879" s="1">
        <v>1.9251925192519199E-3</v>
      </c>
      <c r="E22879" s="1">
        <v>5.3526027030643595E-4</v>
      </c>
      <c r="F22879" s="1">
        <v>4.9485802693847803E-3</v>
      </c>
    </row>
    <row r="22880" spans="1:6" x14ac:dyDescent="0.25">
      <c r="A22880" s="2" t="str">
        <f t="shared" si="806"/>
        <v>38340</v>
      </c>
      <c r="B22880" s="2" t="str">
        <f>"01262"</f>
        <v>01262</v>
      </c>
      <c r="C22880" s="1">
        <v>0</v>
      </c>
      <c r="D22880" s="1">
        <v>0</v>
      </c>
      <c r="E22880" s="1">
        <v>0.133547437441455</v>
      </c>
      <c r="F22880" s="1">
        <v>1.13532945030942E-2</v>
      </c>
    </row>
    <row r="22881" spans="1:6" x14ac:dyDescent="0.25">
      <c r="A22881" s="2" t="str">
        <f t="shared" si="806"/>
        <v>38340</v>
      </c>
      <c r="B22881" s="2" t="str">
        <f>"01259"</f>
        <v>01259</v>
      </c>
      <c r="C22881" s="1">
        <v>2.44672562500854E-3</v>
      </c>
      <c r="D22881" s="1">
        <v>2.0627062706270599E-3</v>
      </c>
      <c r="E22881" s="1">
        <v>8.0289040545965407E-3</v>
      </c>
      <c r="F22881" s="1">
        <v>2.88951583545686E-3</v>
      </c>
    </row>
    <row r="22882" spans="1:6" x14ac:dyDescent="0.25">
      <c r="A22882" s="2" t="str">
        <f t="shared" si="806"/>
        <v>38340</v>
      </c>
      <c r="B22882" s="2" t="str">
        <f>"01256"</f>
        <v>01256</v>
      </c>
      <c r="C22882" s="1">
        <v>4.9344578247378897E-3</v>
      </c>
      <c r="D22882" s="1">
        <v>9.6259625962596203E-4</v>
      </c>
      <c r="E22882" s="1">
        <v>1.3381506757660899E-4</v>
      </c>
      <c r="F22882" s="1">
        <v>4.1977611940298499E-3</v>
      </c>
    </row>
    <row r="22883" spans="1:6" x14ac:dyDescent="0.25">
      <c r="A22883" s="2" t="str">
        <f t="shared" si="806"/>
        <v>38340</v>
      </c>
      <c r="B22883" s="2" t="str">
        <f>"01225"</f>
        <v>01225</v>
      </c>
      <c r="C22883" s="1">
        <v>2.0134228187919399E-2</v>
      </c>
      <c r="D22883" s="1">
        <v>4.9504950495049497E-3</v>
      </c>
      <c r="E22883" s="1">
        <v>2.3417636825906502E-2</v>
      </c>
      <c r="F22883" s="1">
        <v>1.9157262468147002E-2</v>
      </c>
    </row>
    <row r="22884" spans="1:6" x14ac:dyDescent="0.25">
      <c r="A22884" s="2" t="str">
        <f t="shared" si="806"/>
        <v>38340</v>
      </c>
      <c r="B22884" s="2" t="str">
        <f>"01236"</f>
        <v>01236</v>
      </c>
      <c r="C22884" s="1">
        <v>4.5653986522505704E-3</v>
      </c>
      <c r="D22884" s="1">
        <v>5.5005500550055003E-4</v>
      </c>
      <c r="E22884" s="1">
        <v>6.1822561220393403E-2</v>
      </c>
      <c r="F22884" s="1">
        <v>9.1008372770294797E-3</v>
      </c>
    </row>
    <row r="22885" spans="1:6" x14ac:dyDescent="0.25">
      <c r="A22885" s="2" t="str">
        <f t="shared" si="806"/>
        <v>38340</v>
      </c>
      <c r="B22885" s="2" t="str">
        <f>"01029"</f>
        <v>01029</v>
      </c>
      <c r="C22885" s="1">
        <v>0</v>
      </c>
      <c r="D22885" s="1">
        <v>0</v>
      </c>
      <c r="E22885" s="1">
        <v>5.3392211963067003E-2</v>
      </c>
      <c r="F22885" s="1">
        <v>4.5390425919184501E-3</v>
      </c>
    </row>
    <row r="22886" spans="1:6" x14ac:dyDescent="0.25">
      <c r="A22886" s="2" t="str">
        <f t="shared" si="806"/>
        <v>38340</v>
      </c>
      <c r="B22886" s="2" t="str">
        <f>"01008"</f>
        <v>01008</v>
      </c>
      <c r="C22886" s="1">
        <v>4.6474118016922E-4</v>
      </c>
      <c r="D22886" s="1">
        <v>1.3751375137513699E-4</v>
      </c>
      <c r="E22886" s="1">
        <v>0</v>
      </c>
      <c r="F22886" s="1">
        <v>3.9816163087003998E-4</v>
      </c>
    </row>
    <row r="22887" spans="1:6" x14ac:dyDescent="0.25">
      <c r="A22887" s="2" t="str">
        <f t="shared" si="806"/>
        <v>38340</v>
      </c>
      <c r="B22887" s="2" t="str">
        <f>"01266"</f>
        <v>01266</v>
      </c>
      <c r="C22887" s="1">
        <v>1.3914897688596E-2</v>
      </c>
      <c r="D22887" s="1">
        <v>1.2238723872387201E-2</v>
      </c>
      <c r="E22887" s="1">
        <v>1.2980061554931E-2</v>
      </c>
      <c r="F22887" s="1">
        <v>1.3696760101929301E-2</v>
      </c>
    </row>
    <row r="22888" spans="1:6" x14ac:dyDescent="0.25">
      <c r="A22888" s="2" t="str">
        <f t="shared" si="806"/>
        <v>38340</v>
      </c>
      <c r="B22888" s="2" t="str">
        <f>"01252"</f>
        <v>01252</v>
      </c>
      <c r="C22888" s="1">
        <v>0</v>
      </c>
      <c r="D22888" s="1">
        <v>0</v>
      </c>
      <c r="E22888" s="1">
        <v>1.3381506757660899E-4</v>
      </c>
      <c r="F22888" s="1">
        <v>1.13760465962868E-5</v>
      </c>
    </row>
    <row r="22889" spans="1:6" x14ac:dyDescent="0.25">
      <c r="A22889" s="2" t="str">
        <f t="shared" si="806"/>
        <v>38340</v>
      </c>
      <c r="B22889" s="2" t="str">
        <f>"01227"</f>
        <v>01227</v>
      </c>
      <c r="C22889" s="1">
        <v>4.3330280621659599E-3</v>
      </c>
      <c r="D22889" s="1">
        <v>1.14136413641364E-2</v>
      </c>
      <c r="E22889" s="1">
        <v>2.6763013515321797E-4</v>
      </c>
      <c r="F22889" s="1">
        <v>4.5731707317073099E-3</v>
      </c>
    </row>
    <row r="22890" spans="1:6" x14ac:dyDescent="0.25">
      <c r="A22890" s="2" t="str">
        <f t="shared" si="806"/>
        <v>38340</v>
      </c>
      <c r="B22890" s="2" t="str">
        <f>"01226"</f>
        <v>01226</v>
      </c>
      <c r="C22890" s="1">
        <v>3.99677414945529E-2</v>
      </c>
      <c r="D22890" s="1">
        <v>2.1452145214521399E-2</v>
      </c>
      <c r="E22890" s="1">
        <v>1.1508095811588299E-2</v>
      </c>
      <c r="F22890" s="1">
        <v>3.6016563523844101E-2</v>
      </c>
    </row>
    <row r="22891" spans="1:6" x14ac:dyDescent="0.25">
      <c r="A22891" s="2" t="str">
        <f t="shared" si="806"/>
        <v>38340</v>
      </c>
      <c r="B22891" s="2" t="str">
        <f>"01235"</f>
        <v>01235</v>
      </c>
      <c r="C22891" s="1">
        <v>1.31767793436214E-2</v>
      </c>
      <c r="D22891" s="1">
        <v>6.6006600660065999E-3</v>
      </c>
      <c r="E22891" s="1">
        <v>1.96708149337615E-2</v>
      </c>
      <c r="F22891" s="1">
        <v>1.31848380050964E-2</v>
      </c>
    </row>
    <row r="22892" spans="1:6" x14ac:dyDescent="0.25">
      <c r="A22892" s="2" t="str">
        <f t="shared" si="806"/>
        <v>38340</v>
      </c>
      <c r="B22892" s="2" t="str">
        <f>"01220"</f>
        <v>01220</v>
      </c>
      <c r="C22892" s="1">
        <v>6.0840088027446997E-2</v>
      </c>
      <c r="D22892" s="1">
        <v>4.7854785478547802E-2</v>
      </c>
      <c r="E22892" s="1">
        <v>3.1580355948079702E-2</v>
      </c>
      <c r="F22892" s="1">
        <v>5.7278394612304301E-2</v>
      </c>
    </row>
    <row r="22893" spans="1:6" x14ac:dyDescent="0.25">
      <c r="A22893" s="2" t="str">
        <f t="shared" si="806"/>
        <v>38340</v>
      </c>
      <c r="B22893" s="2" t="str">
        <f>"01026"</f>
        <v>01026</v>
      </c>
      <c r="C22893" s="1">
        <v>3.9639688896786398E-4</v>
      </c>
      <c r="D22893" s="1">
        <v>0</v>
      </c>
      <c r="E22893" s="1">
        <v>1.3381506757660899E-4</v>
      </c>
      <c r="F22893" s="1">
        <v>3.4128139788860501E-4</v>
      </c>
    </row>
    <row r="22894" spans="1:6" x14ac:dyDescent="0.25">
      <c r="A22894" s="2" t="str">
        <f t="shared" si="806"/>
        <v>38340</v>
      </c>
      <c r="B22894" s="2" t="str">
        <f>"01244"</f>
        <v>01244</v>
      </c>
      <c r="C22894" s="1">
        <v>0</v>
      </c>
      <c r="D22894" s="1">
        <v>1.3751375137513699E-4</v>
      </c>
      <c r="E22894" s="1">
        <v>1.2980061554931E-2</v>
      </c>
      <c r="F22894" s="1">
        <v>1.11485256643611E-3</v>
      </c>
    </row>
    <row r="22895" spans="1:6" x14ac:dyDescent="0.25">
      <c r="A22895" s="2" t="str">
        <f t="shared" si="806"/>
        <v>38340</v>
      </c>
      <c r="B22895" s="2" t="str">
        <f>"01223"</f>
        <v>01223</v>
      </c>
      <c r="C22895" s="1">
        <v>1.92730901187823E-2</v>
      </c>
      <c r="D22895" s="1">
        <v>3.9878987898789801E-3</v>
      </c>
      <c r="E22895" s="1">
        <v>1.3381506757660899E-4</v>
      </c>
      <c r="F22895" s="1">
        <v>1.6381507098652999E-2</v>
      </c>
    </row>
    <row r="22896" spans="1:6" x14ac:dyDescent="0.25">
      <c r="A22896" s="2" t="str">
        <f t="shared" si="806"/>
        <v>38340</v>
      </c>
      <c r="B22896" s="2" t="str">
        <f>"01247"</f>
        <v>01247</v>
      </c>
      <c r="C22896" s="1">
        <v>0.12636859443130699</v>
      </c>
      <c r="D22896" s="1">
        <v>0.13352585258525801</v>
      </c>
      <c r="E22896" s="1">
        <v>6.9182389937106903E-2</v>
      </c>
      <c r="F22896" s="1">
        <v>0.122099108117946</v>
      </c>
    </row>
    <row r="22897" spans="1:6" x14ac:dyDescent="0.25">
      <c r="A22897" s="2" t="str">
        <f t="shared" si="806"/>
        <v>38340</v>
      </c>
      <c r="B22897" s="2" t="str">
        <f>"01245"</f>
        <v>01245</v>
      </c>
      <c r="C22897" s="1">
        <v>1.8863024371574199E-3</v>
      </c>
      <c r="D22897" s="1">
        <v>1.3751375137513699E-4</v>
      </c>
      <c r="E22897" s="1">
        <v>2.90378696641241E-2</v>
      </c>
      <c r="F22897" s="1">
        <v>4.0498725882781202E-3</v>
      </c>
    </row>
    <row r="22898" spans="1:6" x14ac:dyDescent="0.25">
      <c r="A22898" s="2" t="str">
        <f t="shared" si="806"/>
        <v>38340</v>
      </c>
      <c r="B22898" s="2" t="str">
        <f>"01222"</f>
        <v>01222</v>
      </c>
      <c r="C22898" s="1">
        <v>3.6905917248732201E-3</v>
      </c>
      <c r="D22898" s="1">
        <v>6.8756875687568696E-4</v>
      </c>
      <c r="E22898" s="1">
        <v>3.4791917569918299E-3</v>
      </c>
      <c r="F22898" s="1">
        <v>3.4241900254823399E-3</v>
      </c>
    </row>
    <row r="22899" spans="1:6" x14ac:dyDescent="0.25">
      <c r="A22899" s="2" t="str">
        <f t="shared" si="806"/>
        <v>38340</v>
      </c>
      <c r="B22899" s="2" t="str">
        <f>"01070"</f>
        <v>01070</v>
      </c>
      <c r="C22899" s="1">
        <v>6.8344291201355897E-5</v>
      </c>
      <c r="D22899" s="1">
        <v>0</v>
      </c>
      <c r="E22899" s="1">
        <v>0</v>
      </c>
      <c r="F22899" s="1">
        <v>5.6880232981434198E-5</v>
      </c>
    </row>
    <row r="22900" spans="1:6" x14ac:dyDescent="0.25">
      <c r="A22900" s="2" t="str">
        <f t="shared" si="806"/>
        <v>38340</v>
      </c>
      <c r="B22900" s="2" t="str">
        <f>"01260"</f>
        <v>01260</v>
      </c>
      <c r="C22900" s="1">
        <v>0</v>
      </c>
      <c r="D22900" s="1">
        <v>0</v>
      </c>
      <c r="E22900" s="1">
        <v>1.1775725946741601E-2</v>
      </c>
      <c r="F22900" s="1">
        <v>1.0010921004732401E-3</v>
      </c>
    </row>
    <row r="22901" spans="1:6" x14ac:dyDescent="0.25">
      <c r="A22901" s="2" t="str">
        <f t="shared" si="806"/>
        <v>38340</v>
      </c>
      <c r="B22901" s="2" t="str">
        <f>"01237"</f>
        <v>01237</v>
      </c>
      <c r="C22901" s="1">
        <v>2.8472231714484798E-2</v>
      </c>
      <c r="D22901" s="1">
        <v>3.6166116611661102E-2</v>
      </c>
      <c r="E22901" s="1">
        <v>5.0582095543958198E-2</v>
      </c>
      <c r="F22901" s="1">
        <v>3.0988350928285401E-2</v>
      </c>
    </row>
    <row r="22902" spans="1:6" x14ac:dyDescent="0.25">
      <c r="A22902" s="2" t="str">
        <f t="shared" si="806"/>
        <v>38340</v>
      </c>
      <c r="B22902" s="2" t="str">
        <f>"01202"</f>
        <v>01202</v>
      </c>
      <c r="C22902" s="1">
        <v>4.2113752238275501E-2</v>
      </c>
      <c r="D22902" s="1">
        <v>7.9482948294829395E-2</v>
      </c>
      <c r="E22902" s="1">
        <v>2.6763013515321797E-4</v>
      </c>
      <c r="F22902" s="1">
        <v>4.16477065890061E-2</v>
      </c>
    </row>
    <row r="22903" spans="1:6" x14ac:dyDescent="0.25">
      <c r="A22903" s="2" t="str">
        <f t="shared" si="806"/>
        <v>38340</v>
      </c>
      <c r="B22903" s="2" t="str">
        <f>"01201"</f>
        <v>01201</v>
      </c>
      <c r="C22903" s="1">
        <v>0.315873645074426</v>
      </c>
      <c r="D22903" s="1">
        <v>0.30954345434543401</v>
      </c>
      <c r="E22903" s="1">
        <v>0.152816807172487</v>
      </c>
      <c r="F22903" s="1">
        <v>0.301487986894794</v>
      </c>
    </row>
    <row r="22904" spans="1:6" x14ac:dyDescent="0.25">
      <c r="A22904" s="2" t="str">
        <f t="shared" si="806"/>
        <v>38340</v>
      </c>
      <c r="B22904" s="2" t="str">
        <f>"01343"</f>
        <v>01343</v>
      </c>
      <c r="C22904" s="1">
        <v>1.1481840921827701E-3</v>
      </c>
      <c r="D22904" s="1">
        <v>1.3751375137513699E-4</v>
      </c>
      <c r="E22904" s="1">
        <v>2.6763013515321797E-4</v>
      </c>
      <c r="F22904" s="1">
        <v>9.8971605387695592E-4</v>
      </c>
    </row>
    <row r="22905" spans="1:6" x14ac:dyDescent="0.25">
      <c r="A22905" s="2" t="str">
        <f t="shared" si="806"/>
        <v>38340</v>
      </c>
      <c r="B22905" s="2" t="str">
        <f>"01258"</f>
        <v>01258</v>
      </c>
      <c r="C22905" s="1">
        <v>1.0648040569171201E-2</v>
      </c>
      <c r="D22905" s="1">
        <v>6.6006600660065999E-3</v>
      </c>
      <c r="E22905" s="1">
        <v>2.4621972434096001E-2</v>
      </c>
      <c r="F22905" s="1">
        <v>1.1501183108846E-2</v>
      </c>
    </row>
    <row r="22906" spans="1:6" x14ac:dyDescent="0.25">
      <c r="A22906" s="2" t="str">
        <f t="shared" si="806"/>
        <v>38340</v>
      </c>
      <c r="B22906" s="2" t="str">
        <f>"01267"</f>
        <v>01267</v>
      </c>
      <c r="C22906" s="1">
        <v>8.8984267144165394E-2</v>
      </c>
      <c r="D22906" s="1">
        <v>7.0269526952695199E-2</v>
      </c>
      <c r="E22906" s="1">
        <v>1.9536999866184901E-2</v>
      </c>
      <c r="F22906" s="1">
        <v>8.1532125955587897E-2</v>
      </c>
    </row>
    <row r="22907" spans="1:6" x14ac:dyDescent="0.25">
      <c r="A22907" s="2" t="str">
        <f t="shared" si="806"/>
        <v>38340</v>
      </c>
      <c r="B22907" s="2" t="str">
        <f>"01257"</f>
        <v>01257</v>
      </c>
      <c r="C22907" s="1">
        <v>2.6503916127885802E-2</v>
      </c>
      <c r="D22907" s="1">
        <v>2.26897689768976E-2</v>
      </c>
      <c r="E22907" s="1">
        <v>6.1554931085240098E-3</v>
      </c>
      <c r="F22907" s="1">
        <v>2.4458500182016701E-2</v>
      </c>
    </row>
    <row r="22908" spans="1:6" x14ac:dyDescent="0.25">
      <c r="A22908" s="2" t="str">
        <f t="shared" si="806"/>
        <v>38340</v>
      </c>
      <c r="B22908" s="2" t="str">
        <f>"01254"</f>
        <v>01254</v>
      </c>
      <c r="C22908" s="1">
        <v>7.1351440014215603E-3</v>
      </c>
      <c r="D22908" s="1">
        <v>1.37513751375137E-3</v>
      </c>
      <c r="E22908" s="1">
        <v>1.3381506757660899E-4</v>
      </c>
      <c r="F22908" s="1">
        <v>6.0634328358208896E-3</v>
      </c>
    </row>
    <row r="22909" spans="1:6" x14ac:dyDescent="0.25">
      <c r="A22909" s="2" t="str">
        <f t="shared" si="806"/>
        <v>38340</v>
      </c>
      <c r="B22909" s="2" t="str">
        <f>"01253"</f>
        <v>01253</v>
      </c>
      <c r="C22909" s="1">
        <v>5.6042318785111801E-4</v>
      </c>
      <c r="D22909" s="1">
        <v>4.12541254125412E-4</v>
      </c>
      <c r="E22909" s="1">
        <v>6.8513314599223801E-2</v>
      </c>
      <c r="F22909" s="1">
        <v>6.3250819075354901E-3</v>
      </c>
    </row>
    <row r="22910" spans="1:6" x14ac:dyDescent="0.25">
      <c r="A22910" s="2" t="str">
        <f t="shared" si="806"/>
        <v>38340</v>
      </c>
      <c r="B22910" s="2" t="str">
        <f>"01224"</f>
        <v>01224</v>
      </c>
      <c r="C22910" s="1">
        <v>1.4762366899492799E-3</v>
      </c>
      <c r="D22910" s="1">
        <v>0</v>
      </c>
      <c r="E22910" s="1">
        <v>4.0144520272982701E-4</v>
      </c>
      <c r="F22910" s="1">
        <v>1.2627411721878401E-3</v>
      </c>
    </row>
    <row r="22911" spans="1:6" x14ac:dyDescent="0.25">
      <c r="A22911" s="2" t="str">
        <f t="shared" si="806"/>
        <v>38340</v>
      </c>
      <c r="B22911" s="2" t="str">
        <f>"01238"</f>
        <v>01238</v>
      </c>
      <c r="C22911" s="1">
        <v>4.1307289602099499E-2</v>
      </c>
      <c r="D22911" s="1">
        <v>4.5379537953795297E-2</v>
      </c>
      <c r="E22911" s="1">
        <v>3.2383246353539397E-2</v>
      </c>
      <c r="F22911" s="1">
        <v>4.0885511467054901E-2</v>
      </c>
    </row>
    <row r="22912" spans="1:6" x14ac:dyDescent="0.25">
      <c r="A22912" s="2" t="str">
        <f t="shared" si="806"/>
        <v>38340</v>
      </c>
      <c r="B22912" s="2" t="str">
        <f>"01240"</f>
        <v>01240</v>
      </c>
      <c r="C22912" s="1">
        <v>4.1867712789950599E-2</v>
      </c>
      <c r="D22912" s="1">
        <v>4.5792079207920701E-2</v>
      </c>
      <c r="E22912" s="1">
        <v>4.1482670948748801E-2</v>
      </c>
      <c r="F22912" s="1">
        <v>4.2159628685839001E-2</v>
      </c>
    </row>
    <row r="22913" spans="1:6" x14ac:dyDescent="0.25">
      <c r="A22913" s="2" t="str">
        <f t="shared" si="806"/>
        <v>38340</v>
      </c>
      <c r="B22913" s="2" t="str">
        <f>"01367"</f>
        <v>01367</v>
      </c>
      <c r="C22913" s="1">
        <v>2.8704602304569399E-4</v>
      </c>
      <c r="D22913" s="1">
        <v>1.3751375137513699E-4</v>
      </c>
      <c r="E22913" s="1">
        <v>0</v>
      </c>
      <c r="F22913" s="1">
        <v>2.5027302511831001E-4</v>
      </c>
    </row>
    <row r="22914" spans="1:6" x14ac:dyDescent="0.25">
      <c r="A22914" s="2" t="str">
        <f t="shared" si="806"/>
        <v>38340</v>
      </c>
      <c r="B22914" s="2" t="str">
        <f>"01264"</f>
        <v>01264</v>
      </c>
      <c r="C22914" s="1">
        <v>0</v>
      </c>
      <c r="D22914" s="1">
        <v>0</v>
      </c>
      <c r="E22914" s="1">
        <v>1.7262143717382501E-2</v>
      </c>
      <c r="F22914" s="1">
        <v>1.467510010921E-3</v>
      </c>
    </row>
    <row r="22915" spans="1:6" x14ac:dyDescent="0.25">
      <c r="A22915" s="2" t="str">
        <f t="shared" si="806"/>
        <v>38340</v>
      </c>
      <c r="B22915" s="2" t="str">
        <f>"01263"</f>
        <v>01263</v>
      </c>
      <c r="C22915" s="1">
        <v>0</v>
      </c>
      <c r="D22915" s="1">
        <v>1.3751375137513699E-4</v>
      </c>
      <c r="E22915" s="1">
        <v>0</v>
      </c>
      <c r="F22915" s="1">
        <v>1.13760465962868E-5</v>
      </c>
    </row>
    <row r="22916" spans="1:6" x14ac:dyDescent="0.25">
      <c r="A22916" s="2" t="str">
        <f t="shared" si="806"/>
        <v>38340</v>
      </c>
      <c r="B22916" s="2" t="str">
        <f>"01255"</f>
        <v>01255</v>
      </c>
      <c r="C22916" s="1">
        <v>4.4287100698478599E-3</v>
      </c>
      <c r="D22916" s="1">
        <v>6.8756875687568696E-4</v>
      </c>
      <c r="E22916" s="1">
        <v>5.6202328382175797E-3</v>
      </c>
      <c r="F22916" s="1">
        <v>4.2205132872224198E-3</v>
      </c>
    </row>
    <row r="22917" spans="1:6" x14ac:dyDescent="0.25">
      <c r="A22917" s="2" t="str">
        <f t="shared" ref="A22917:A22945" si="807">"30340"</f>
        <v>30340</v>
      </c>
      <c r="B22917" s="2" t="str">
        <f>"04254"</f>
        <v>04254</v>
      </c>
      <c r="C22917" s="1">
        <v>2.9249256915698602E-2</v>
      </c>
      <c r="D22917" s="1">
        <v>2.33998623537508E-2</v>
      </c>
      <c r="E22917" s="1">
        <v>2.3781767311727601E-2</v>
      </c>
      <c r="F22917" s="1">
        <v>2.84782711421235E-2</v>
      </c>
    </row>
    <row r="22918" spans="1:6" x14ac:dyDescent="0.25">
      <c r="A22918" s="2" t="str">
        <f t="shared" si="807"/>
        <v>30340</v>
      </c>
      <c r="B22918" s="2" t="str">
        <f>"04241"</f>
        <v>04241</v>
      </c>
      <c r="C22918" s="1">
        <v>1.2199347179926601E-2</v>
      </c>
      <c r="D22918" s="1">
        <v>3.50997935306262E-2</v>
      </c>
      <c r="E22918" s="1">
        <v>2.33154581487526E-4</v>
      </c>
      <c r="F22918" s="1">
        <v>1.29632838218847E-2</v>
      </c>
    </row>
    <row r="22919" spans="1:6" x14ac:dyDescent="0.25">
      <c r="A22919" s="2" t="str">
        <f t="shared" si="807"/>
        <v>30340</v>
      </c>
      <c r="B22919" s="2" t="str">
        <f>"04238"</f>
        <v>04238</v>
      </c>
      <c r="C22919" s="1">
        <v>5.4705592735097203E-5</v>
      </c>
      <c r="D22919" s="1">
        <v>0</v>
      </c>
      <c r="E22919" s="1">
        <v>0</v>
      </c>
      <c r="F22919" s="1">
        <v>4.7253768488036902E-5</v>
      </c>
    </row>
    <row r="22920" spans="1:6" x14ac:dyDescent="0.25">
      <c r="A22920" s="2" t="str">
        <f t="shared" si="807"/>
        <v>30340</v>
      </c>
      <c r="B22920" s="2" t="str">
        <f>"04282"</f>
        <v>04282</v>
      </c>
      <c r="C22920" s="1">
        <v>4.18862488375061E-2</v>
      </c>
      <c r="D22920" s="1">
        <v>3.0740995641202098E-2</v>
      </c>
      <c r="E22920" s="1">
        <v>1.0958265329913701E-2</v>
      </c>
      <c r="F22920" s="1">
        <v>3.9031612771118399E-2</v>
      </c>
    </row>
    <row r="22921" spans="1:6" x14ac:dyDescent="0.25">
      <c r="A22921" s="2" t="str">
        <f t="shared" si="807"/>
        <v>30340</v>
      </c>
      <c r="B22921" s="2" t="str">
        <f>"04239"</f>
        <v>04239</v>
      </c>
      <c r="C22921" s="1">
        <v>7.2940790313463005E-5</v>
      </c>
      <c r="D22921" s="1">
        <v>0</v>
      </c>
      <c r="E22921" s="1">
        <v>0</v>
      </c>
      <c r="F22921" s="1">
        <v>6.3005024650715806E-5</v>
      </c>
    </row>
    <row r="22922" spans="1:6" x14ac:dyDescent="0.25">
      <c r="A22922" s="2" t="str">
        <f t="shared" si="807"/>
        <v>30340</v>
      </c>
      <c r="B22922" s="2" t="str">
        <f>"04236"</f>
        <v>04236</v>
      </c>
      <c r="C22922" s="1">
        <v>3.1492186217837601E-2</v>
      </c>
      <c r="D22922" s="1">
        <v>7.1117228722183904E-3</v>
      </c>
      <c r="E22922" s="1">
        <v>5.5957099557006201E-3</v>
      </c>
      <c r="F22922" s="1">
        <v>2.8068738481893899E-2</v>
      </c>
    </row>
    <row r="22923" spans="1:6" x14ac:dyDescent="0.25">
      <c r="A22923" s="2" t="str">
        <f t="shared" si="807"/>
        <v>30340</v>
      </c>
      <c r="B22923" s="2" t="str">
        <f>"04240"</f>
        <v>04240</v>
      </c>
      <c r="C22923" s="1">
        <v>0.33133353999890502</v>
      </c>
      <c r="D22923" s="1">
        <v>0.38128011011699903</v>
      </c>
      <c r="E22923" s="1">
        <v>0.60923292142690599</v>
      </c>
      <c r="F22923" s="1">
        <v>0.353536944571329</v>
      </c>
    </row>
    <row r="22924" spans="1:6" x14ac:dyDescent="0.25">
      <c r="A22924" s="2" t="str">
        <f t="shared" si="807"/>
        <v>30340</v>
      </c>
      <c r="B22924" s="2" t="str">
        <f>"04270"</f>
        <v>04270</v>
      </c>
      <c r="C22924" s="1">
        <v>2.3705756851875401E-4</v>
      </c>
      <c r="D22924" s="1">
        <v>0</v>
      </c>
      <c r="E22924" s="1">
        <v>0</v>
      </c>
      <c r="F22924" s="1">
        <v>2.0476633011482599E-4</v>
      </c>
    </row>
    <row r="22925" spans="1:6" x14ac:dyDescent="0.25">
      <c r="A22925" s="2" t="str">
        <f t="shared" si="807"/>
        <v>30340</v>
      </c>
      <c r="B22925" s="2" t="str">
        <f>"04258"</f>
        <v>04258</v>
      </c>
      <c r="C22925" s="1">
        <v>1.92563686427542E-2</v>
      </c>
      <c r="D22925" s="1">
        <v>3.2117458132599201E-3</v>
      </c>
      <c r="E22925" s="1">
        <v>2.33154581487526E-4</v>
      </c>
      <c r="F22925" s="1">
        <v>1.68695953502291E-2</v>
      </c>
    </row>
    <row r="22926" spans="1:6" x14ac:dyDescent="0.25">
      <c r="A22926" s="2" t="str">
        <f t="shared" si="807"/>
        <v>30340</v>
      </c>
      <c r="B22926" s="2" t="str">
        <f>"04243"</f>
        <v>04243</v>
      </c>
      <c r="C22926" s="1">
        <v>3.2294534911285699E-2</v>
      </c>
      <c r="D22926" s="1">
        <v>5.8958476714842799E-2</v>
      </c>
      <c r="E22926" s="1">
        <v>2.33154581487526E-4</v>
      </c>
      <c r="F22926" s="1">
        <v>3.1959298754075598E-2</v>
      </c>
    </row>
    <row r="22927" spans="1:6" x14ac:dyDescent="0.25">
      <c r="A22927" s="2" t="str">
        <f t="shared" si="807"/>
        <v>30340</v>
      </c>
      <c r="B22927" s="2" t="str">
        <f>"04250"</f>
        <v>04250</v>
      </c>
      <c r="C22927" s="1">
        <v>3.6962745491347301E-2</v>
      </c>
      <c r="D22927" s="1">
        <v>1.6746960311998099E-2</v>
      </c>
      <c r="E22927" s="1">
        <v>1.46887386337141E-2</v>
      </c>
      <c r="F22927" s="1">
        <v>3.40699670798746E-2</v>
      </c>
    </row>
    <row r="22928" spans="1:6" x14ac:dyDescent="0.25">
      <c r="A22928" s="2" t="str">
        <f t="shared" si="807"/>
        <v>30340</v>
      </c>
      <c r="B22928" s="2" t="str">
        <f>"04288"</f>
        <v>04288</v>
      </c>
      <c r="C22928" s="1">
        <v>0</v>
      </c>
      <c r="D22928" s="1">
        <v>0</v>
      </c>
      <c r="E22928" s="1">
        <v>2.33154581487526E-4</v>
      </c>
      <c r="F22928" s="1">
        <v>1.5751256162678901E-5</v>
      </c>
    </row>
    <row r="22929" spans="1:6" x14ac:dyDescent="0.25">
      <c r="A22929" s="2" t="str">
        <f t="shared" si="807"/>
        <v>30340</v>
      </c>
      <c r="B22929" s="2" t="str">
        <f>"04266"</f>
        <v>04266</v>
      </c>
      <c r="C22929" s="1">
        <v>0</v>
      </c>
      <c r="D22929" s="1">
        <v>0</v>
      </c>
      <c r="E22929" s="1">
        <v>2.33154581487526E-4</v>
      </c>
      <c r="F22929" s="1">
        <v>1.5751256162678901E-5</v>
      </c>
    </row>
    <row r="22930" spans="1:6" x14ac:dyDescent="0.25">
      <c r="A22930" s="2" t="str">
        <f t="shared" si="807"/>
        <v>30340</v>
      </c>
      <c r="B22930" s="2" t="str">
        <f>"04274"</f>
        <v>04274</v>
      </c>
      <c r="C22930" s="1">
        <v>4.5879757107168198E-2</v>
      </c>
      <c r="D22930" s="1">
        <v>1.6058729066299599E-2</v>
      </c>
      <c r="E22930" s="1">
        <v>3.9636278852879401E-3</v>
      </c>
      <c r="F22930" s="1">
        <v>4.1000519791453298E-2</v>
      </c>
    </row>
    <row r="22931" spans="1:6" x14ac:dyDescent="0.25">
      <c r="A22931" s="2" t="str">
        <f t="shared" si="807"/>
        <v>30340</v>
      </c>
      <c r="B22931" s="2" t="str">
        <f>"04256"</f>
        <v>04256</v>
      </c>
      <c r="C22931" s="1">
        <v>2.5583982202447099E-2</v>
      </c>
      <c r="D22931" s="1">
        <v>1.5829318651066699E-2</v>
      </c>
      <c r="E22931" s="1">
        <v>1.8186057356027002E-2</v>
      </c>
      <c r="F22931" s="1">
        <v>2.4414447052152399E-2</v>
      </c>
    </row>
    <row r="22932" spans="1:6" x14ac:dyDescent="0.25">
      <c r="A22932" s="2" t="str">
        <f t="shared" si="807"/>
        <v>30340</v>
      </c>
      <c r="B22932" s="2" t="str">
        <f>"04228"</f>
        <v>04228</v>
      </c>
      <c r="C22932" s="1">
        <v>0</v>
      </c>
      <c r="D22932" s="1">
        <v>0</v>
      </c>
      <c r="E22932" s="1">
        <v>2.33154581487526E-4</v>
      </c>
      <c r="F22932" s="1">
        <v>1.5751256162678901E-5</v>
      </c>
    </row>
    <row r="22933" spans="1:6" x14ac:dyDescent="0.25">
      <c r="A22933" s="2" t="str">
        <f t="shared" si="807"/>
        <v>30340</v>
      </c>
      <c r="B22933" s="2" t="str">
        <f>"04220"</f>
        <v>04220</v>
      </c>
      <c r="C22933" s="1">
        <v>7.2940790313463005E-5</v>
      </c>
      <c r="D22933" s="1">
        <v>0</v>
      </c>
      <c r="E22933" s="1">
        <v>0</v>
      </c>
      <c r="F22933" s="1">
        <v>6.3005024650715806E-5</v>
      </c>
    </row>
    <row r="22934" spans="1:6" x14ac:dyDescent="0.25">
      <c r="A22934" s="2" t="str">
        <f t="shared" si="807"/>
        <v>30340</v>
      </c>
      <c r="B22934" s="2" t="str">
        <f>"04210"</f>
        <v>04210</v>
      </c>
      <c r="C22934" s="1">
        <v>0.204197742482539</v>
      </c>
      <c r="D22934" s="1">
        <v>0.27850424409268099</v>
      </c>
      <c r="E22934" s="1">
        <v>0.27115877826999302</v>
      </c>
      <c r="F22934" s="1">
        <v>0.213823302408367</v>
      </c>
    </row>
    <row r="22935" spans="1:6" x14ac:dyDescent="0.25">
      <c r="A22935" s="2" t="str">
        <f t="shared" si="807"/>
        <v>30340</v>
      </c>
      <c r="B22935" s="2" t="str">
        <f>"04291"</f>
        <v>04291</v>
      </c>
      <c r="C22935" s="1">
        <v>0</v>
      </c>
      <c r="D22935" s="1">
        <v>0</v>
      </c>
      <c r="E22935" s="1">
        <v>2.33154581487526E-4</v>
      </c>
      <c r="F22935" s="1">
        <v>1.5751256162678901E-5</v>
      </c>
    </row>
    <row r="22936" spans="1:6" x14ac:dyDescent="0.25">
      <c r="A22936" s="2" t="str">
        <f t="shared" si="807"/>
        <v>30340</v>
      </c>
      <c r="B22936" s="2" t="str">
        <f>"04260"</f>
        <v>04260</v>
      </c>
      <c r="C22936" s="1">
        <v>9.11759878918288E-5</v>
      </c>
      <c r="D22936" s="1">
        <v>0</v>
      </c>
      <c r="E22936" s="1">
        <v>0</v>
      </c>
      <c r="F22936" s="1">
        <v>7.8756280813394798E-5</v>
      </c>
    </row>
    <row r="22937" spans="1:6" x14ac:dyDescent="0.25">
      <c r="A22937" s="2" t="str">
        <f t="shared" si="807"/>
        <v>30340</v>
      </c>
      <c r="B22937" s="2" t="str">
        <f>"04252"</f>
        <v>04252</v>
      </c>
      <c r="C22937" s="1">
        <v>4.1539780083517198E-2</v>
      </c>
      <c r="D22937" s="1">
        <v>2.9364533149805E-2</v>
      </c>
      <c r="E22937" s="1">
        <v>2.6812776871065501E-2</v>
      </c>
      <c r="F22937" s="1">
        <v>3.9708916786113602E-2</v>
      </c>
    </row>
    <row r="22938" spans="1:6" x14ac:dyDescent="0.25">
      <c r="A22938" s="2" t="str">
        <f t="shared" si="807"/>
        <v>30340</v>
      </c>
      <c r="B22938" s="2" t="str">
        <f>"04223"</f>
        <v>04223</v>
      </c>
      <c r="C22938" s="1">
        <v>0</v>
      </c>
      <c r="D22938" s="1">
        <v>0</v>
      </c>
      <c r="E22938" s="1">
        <v>2.33154581487526E-4</v>
      </c>
      <c r="F22938" s="1">
        <v>1.5751256162678901E-5</v>
      </c>
    </row>
    <row r="22939" spans="1:6" x14ac:dyDescent="0.25">
      <c r="A22939" s="2" t="str">
        <f t="shared" si="807"/>
        <v>30340</v>
      </c>
      <c r="B22939" s="2" t="str">
        <f>"04280"</f>
        <v>04280</v>
      </c>
      <c r="C22939" s="1">
        <v>5.0712084465435098E-2</v>
      </c>
      <c r="D22939" s="1">
        <v>1.44528561596696E-2</v>
      </c>
      <c r="E22939" s="1">
        <v>3.26416414082536E-3</v>
      </c>
      <c r="F22939" s="1">
        <v>4.5017090112936503E-2</v>
      </c>
    </row>
    <row r="22940" spans="1:6" x14ac:dyDescent="0.25">
      <c r="A22940" s="2" t="str">
        <f t="shared" si="807"/>
        <v>30340</v>
      </c>
      <c r="B22940" s="2" t="str">
        <f>"04211"</f>
        <v>04211</v>
      </c>
      <c r="C22940" s="1">
        <v>1.0777001768814101E-2</v>
      </c>
      <c r="D22940" s="1">
        <v>3.4411562284927699E-2</v>
      </c>
      <c r="E22940" s="1">
        <v>2.33154581487526E-4</v>
      </c>
      <c r="F22940" s="1">
        <v>1.16874320727077E-2</v>
      </c>
    </row>
    <row r="22941" spans="1:6" x14ac:dyDescent="0.25">
      <c r="A22941" s="2" t="str">
        <f t="shared" si="807"/>
        <v>30340</v>
      </c>
      <c r="B22941" s="2" t="str">
        <f>"04222"</f>
        <v>04222</v>
      </c>
      <c r="C22941" s="1">
        <v>3.0434544758292398E-2</v>
      </c>
      <c r="D22941" s="1">
        <v>3.8999770589584698E-3</v>
      </c>
      <c r="E22941" s="1">
        <v>2.0983912333877299E-3</v>
      </c>
      <c r="F22941" s="1">
        <v>2.66983791957408E-2</v>
      </c>
    </row>
    <row r="22942" spans="1:6" x14ac:dyDescent="0.25">
      <c r="A22942" s="2" t="str">
        <f t="shared" si="807"/>
        <v>30340</v>
      </c>
      <c r="B22942" s="2" t="str">
        <f>"04212"</f>
        <v>04212</v>
      </c>
      <c r="C22942" s="1">
        <v>1.9384015025802798E-2</v>
      </c>
      <c r="D22942" s="1">
        <v>3.8770360174351898E-2</v>
      </c>
      <c r="E22942" s="1">
        <v>2.33154581487526E-4</v>
      </c>
      <c r="F22942" s="1">
        <v>1.94212988485831E-2</v>
      </c>
    </row>
    <row r="22943" spans="1:6" x14ac:dyDescent="0.25">
      <c r="A22943" s="2" t="str">
        <f t="shared" si="807"/>
        <v>30340</v>
      </c>
      <c r="B22943" s="2" t="str">
        <f>"04263"</f>
        <v>04263</v>
      </c>
      <c r="C22943" s="1">
        <v>1.7724612046171501E-2</v>
      </c>
      <c r="D22943" s="1">
        <v>5.2764395503555796E-3</v>
      </c>
      <c r="E22943" s="1">
        <v>4.6630916297505202E-3</v>
      </c>
      <c r="F22943" s="1">
        <v>1.5987525005119099E-2</v>
      </c>
    </row>
    <row r="22944" spans="1:6" x14ac:dyDescent="0.25">
      <c r="A22944" s="2" t="str">
        <f t="shared" si="807"/>
        <v>30340</v>
      </c>
      <c r="B22944" s="2" t="str">
        <f>"04253"</f>
        <v>04253</v>
      </c>
      <c r="C22944" s="1">
        <v>1.85634311347763E-2</v>
      </c>
      <c r="D22944" s="1">
        <v>6.8823124569855404E-3</v>
      </c>
      <c r="E22944" s="1">
        <v>3.0310095593378398E-3</v>
      </c>
      <c r="F22944" s="1">
        <v>1.6712082788602301E-2</v>
      </c>
    </row>
    <row r="22945" spans="1:6" x14ac:dyDescent="0.25">
      <c r="A22945" s="2" t="str">
        <f t="shared" si="807"/>
        <v>30340</v>
      </c>
      <c r="B22945" s="2" t="str">
        <f>"04230"</f>
        <v>04230</v>
      </c>
      <c r="C22945" s="1">
        <v>0</v>
      </c>
      <c r="D22945" s="1">
        <v>0</v>
      </c>
      <c r="E22945" s="1">
        <v>2.33154581487526E-4</v>
      </c>
      <c r="F22945" s="1">
        <v>1.5751256162678901E-5</v>
      </c>
    </row>
    <row r="22946" spans="1:6" x14ac:dyDescent="0.25">
      <c r="A22946" s="2" t="str">
        <f t="shared" ref="A22946:A22980" si="808">"12740"</f>
        <v>12740</v>
      </c>
      <c r="B22946" s="2" t="str">
        <f>"05663"</f>
        <v>05663</v>
      </c>
      <c r="C22946" s="1">
        <v>7.7185696184710606E-2</v>
      </c>
      <c r="D22946" s="1">
        <v>4.8273926466460802E-2</v>
      </c>
      <c r="E22946" s="1">
        <v>6.45549318364073E-2</v>
      </c>
      <c r="F22946" s="1">
        <v>7.3283240012764997E-2</v>
      </c>
    </row>
    <row r="22947" spans="1:6" x14ac:dyDescent="0.25">
      <c r="A22947" s="2" t="str">
        <f t="shared" si="808"/>
        <v>12740</v>
      </c>
      <c r="B22947" s="2" t="str">
        <f>"05670"</f>
        <v>05670</v>
      </c>
      <c r="C22947" s="1">
        <v>4.6811206532450999E-3</v>
      </c>
      <c r="D22947" s="1">
        <v>5.6132472635419498E-4</v>
      </c>
      <c r="E22947" s="1">
        <v>8.0192461908580495E-4</v>
      </c>
      <c r="F22947" s="1">
        <v>3.97458585975804E-3</v>
      </c>
    </row>
    <row r="22948" spans="1:6" x14ac:dyDescent="0.25">
      <c r="A22948" s="2" t="str">
        <f t="shared" si="808"/>
        <v>12740</v>
      </c>
      <c r="B22948" s="2" t="str">
        <f>"05674"</f>
        <v>05674</v>
      </c>
      <c r="C22948" s="1">
        <v>2.78403491482472E-2</v>
      </c>
      <c r="D22948" s="1">
        <v>1.93657030592197E-2</v>
      </c>
      <c r="E22948" s="1">
        <v>6.8163592622293503E-3</v>
      </c>
      <c r="F22948" s="1">
        <v>2.5443151817575199E-2</v>
      </c>
    </row>
    <row r="22949" spans="1:6" x14ac:dyDescent="0.25">
      <c r="A22949" s="2" t="str">
        <f t="shared" si="808"/>
        <v>12740</v>
      </c>
      <c r="B22949" s="2" t="str">
        <f>"05633"</f>
        <v>05633</v>
      </c>
      <c r="C22949" s="1">
        <v>0</v>
      </c>
      <c r="D22949" s="1">
        <v>1.51557676115632E-2</v>
      </c>
      <c r="E22949" s="1">
        <v>1.08259823576583E-2</v>
      </c>
      <c r="F22949" s="1">
        <v>2.34993762511241E-3</v>
      </c>
    </row>
    <row r="22950" spans="1:6" x14ac:dyDescent="0.25">
      <c r="A22950" s="2" t="str">
        <f t="shared" si="808"/>
        <v>12740</v>
      </c>
      <c r="B22950" s="2" t="str">
        <f>"05620"</f>
        <v>05620</v>
      </c>
      <c r="C22950" s="1">
        <v>7.0392791778121894E-5</v>
      </c>
      <c r="D22950" s="1">
        <v>1.40331181588548E-2</v>
      </c>
      <c r="E22950" s="1">
        <v>6.8163592622293503E-3</v>
      </c>
      <c r="F22950" s="1">
        <v>2.0017987176883501E-3</v>
      </c>
    </row>
    <row r="22951" spans="1:6" x14ac:dyDescent="0.25">
      <c r="A22951" s="2" t="str">
        <f t="shared" si="808"/>
        <v>12740</v>
      </c>
      <c r="B22951" s="2" t="str">
        <f>"05060"</f>
        <v>05060</v>
      </c>
      <c r="C22951" s="1">
        <v>1.54864141911868E-3</v>
      </c>
      <c r="D22951" s="1">
        <v>2.80662363177097E-4</v>
      </c>
      <c r="E22951" s="1">
        <v>4.0096230954290199E-4</v>
      </c>
      <c r="F22951" s="1">
        <v>1.3345324784588999E-3</v>
      </c>
    </row>
    <row r="22952" spans="1:6" x14ac:dyDescent="0.25">
      <c r="A22952" s="2" t="str">
        <f t="shared" si="808"/>
        <v>12740</v>
      </c>
      <c r="B22952" s="2" t="str">
        <f>"05677"</f>
        <v>05677</v>
      </c>
      <c r="C22952" s="1">
        <v>3.34013796987188E-2</v>
      </c>
      <c r="D22952" s="1">
        <v>1.4594442885209001E-2</v>
      </c>
      <c r="E22952" s="1">
        <v>1.4835605453087399E-2</v>
      </c>
      <c r="F22952" s="1">
        <v>3.01140154921813E-2</v>
      </c>
    </row>
    <row r="22953" spans="1:6" x14ac:dyDescent="0.25">
      <c r="A22953" s="2" t="str">
        <f t="shared" si="808"/>
        <v>12740</v>
      </c>
      <c r="B22953" s="2" t="str">
        <f>"05658"</f>
        <v>05658</v>
      </c>
      <c r="C22953" s="1">
        <v>2.1469801492327099E-2</v>
      </c>
      <c r="D22953" s="1">
        <v>5.89390962671905E-3</v>
      </c>
      <c r="E22953" s="1">
        <v>1.6038492381716099E-3</v>
      </c>
      <c r="F22953" s="1">
        <v>1.8422350517856598E-2</v>
      </c>
    </row>
    <row r="22954" spans="1:6" x14ac:dyDescent="0.25">
      <c r="A22954" s="2" t="str">
        <f t="shared" si="808"/>
        <v>12740</v>
      </c>
      <c r="B22954" s="2" t="str">
        <f>"05654"</f>
        <v>05654</v>
      </c>
      <c r="C22954" s="1">
        <v>1.20723637899479E-2</v>
      </c>
      <c r="D22954" s="1">
        <v>2.2452989054167799E-3</v>
      </c>
      <c r="E22954" s="1">
        <v>7.2173215717722498E-3</v>
      </c>
      <c r="F22954" s="1">
        <v>1.07052714032899E-2</v>
      </c>
    </row>
    <row r="22955" spans="1:6" x14ac:dyDescent="0.25">
      <c r="A22955" s="2" t="str">
        <f t="shared" si="808"/>
        <v>12740</v>
      </c>
      <c r="B22955" s="2" t="str">
        <f>"05660"</f>
        <v>05660</v>
      </c>
      <c r="C22955" s="1">
        <v>3.0444882444037698E-2</v>
      </c>
      <c r="D22955" s="1">
        <v>4.2099354476564602E-3</v>
      </c>
      <c r="E22955" s="1">
        <v>8.0192461908580506E-3</v>
      </c>
      <c r="F22955" s="1">
        <v>2.6110418056804599E-2</v>
      </c>
    </row>
    <row r="22956" spans="1:6" x14ac:dyDescent="0.25">
      <c r="A22956" s="2" t="str">
        <f t="shared" si="808"/>
        <v>12740</v>
      </c>
      <c r="B22956" s="2" t="str">
        <f>"05640"</f>
        <v>05640</v>
      </c>
      <c r="C22956" s="1">
        <v>1.05589187667182E-3</v>
      </c>
      <c r="D22956" s="1">
        <v>2.80662363177097E-4</v>
      </c>
      <c r="E22956" s="1">
        <v>4.0096230954290199E-4</v>
      </c>
      <c r="F22956" s="1">
        <v>9.2837041979749904E-4</v>
      </c>
    </row>
    <row r="22957" spans="1:6" x14ac:dyDescent="0.25">
      <c r="A22957" s="2" t="str">
        <f t="shared" si="808"/>
        <v>12740</v>
      </c>
      <c r="B22957" s="2" t="str">
        <f>"05669"</f>
        <v>05669</v>
      </c>
      <c r="C22957" s="1">
        <v>7.5672251161481002E-3</v>
      </c>
      <c r="D22957" s="1">
        <v>1.9646365422396799E-3</v>
      </c>
      <c r="E22957" s="1">
        <v>1.2028869286287E-3</v>
      </c>
      <c r="F22957" s="1">
        <v>6.5276045142011602E-3</v>
      </c>
    </row>
    <row r="22958" spans="1:6" x14ac:dyDescent="0.25">
      <c r="A22958" s="2" t="str">
        <f t="shared" si="808"/>
        <v>12740</v>
      </c>
      <c r="B22958" s="2" t="str">
        <f>"05873"</f>
        <v>05873</v>
      </c>
      <c r="C22958" s="1">
        <v>1.2670702520061899E-3</v>
      </c>
      <c r="D22958" s="1">
        <v>0</v>
      </c>
      <c r="E22958" s="1">
        <v>0</v>
      </c>
      <c r="F22958" s="1">
        <v>1.04441672227218E-3</v>
      </c>
    </row>
    <row r="22959" spans="1:6" x14ac:dyDescent="0.25">
      <c r="A22959" s="2" t="str">
        <f t="shared" si="808"/>
        <v>12740</v>
      </c>
      <c r="B22959" s="2" t="str">
        <f>"05843"</f>
        <v>05843</v>
      </c>
      <c r="C22959" s="1">
        <v>9.8549908489370592E-4</v>
      </c>
      <c r="D22959" s="1">
        <v>0</v>
      </c>
      <c r="E22959" s="1">
        <v>0</v>
      </c>
      <c r="F22959" s="1">
        <v>8.1232411732281098E-4</v>
      </c>
    </row>
    <row r="22960" spans="1:6" x14ac:dyDescent="0.25">
      <c r="A22960" s="2" t="str">
        <f t="shared" si="808"/>
        <v>12740</v>
      </c>
      <c r="B22960" s="2" t="str">
        <f>"05681"</f>
        <v>05681</v>
      </c>
      <c r="C22960" s="1">
        <v>1.02069548078276E-3</v>
      </c>
      <c r="D22960" s="1">
        <v>5.6132472635419498E-4</v>
      </c>
      <c r="E22960" s="1">
        <v>1.2028869286287E-3</v>
      </c>
      <c r="F22960" s="1">
        <v>9.8639357103484193E-4</v>
      </c>
    </row>
    <row r="22961" spans="1:6" x14ac:dyDescent="0.25">
      <c r="A22961" s="2" t="str">
        <f t="shared" si="808"/>
        <v>12740</v>
      </c>
      <c r="B22961" s="2" t="str">
        <f>"05678"</f>
        <v>05678</v>
      </c>
      <c r="C22961" s="1">
        <v>0</v>
      </c>
      <c r="D22961" s="1">
        <v>0</v>
      </c>
      <c r="E22961" s="1">
        <v>4.0096230954290199E-4</v>
      </c>
      <c r="F22961" s="1">
        <v>2.9011575618671801E-5</v>
      </c>
    </row>
    <row r="22962" spans="1:6" x14ac:dyDescent="0.25">
      <c r="A22962" s="2" t="str">
        <f t="shared" si="808"/>
        <v>12740</v>
      </c>
      <c r="B22962" s="2" t="str">
        <f>"05671"</f>
        <v>05671</v>
      </c>
      <c r="C22962" s="1">
        <v>0</v>
      </c>
      <c r="D22962" s="1">
        <v>1.6278417064271598E-2</v>
      </c>
      <c r="E22962" s="1">
        <v>9.6230954290296693E-3</v>
      </c>
      <c r="F22962" s="1">
        <v>2.3789492007310902E-3</v>
      </c>
    </row>
    <row r="22963" spans="1:6" x14ac:dyDescent="0.25">
      <c r="A22963" s="2" t="str">
        <f t="shared" si="808"/>
        <v>12740</v>
      </c>
      <c r="B22963" s="2" t="str">
        <f>"05673"</f>
        <v>05673</v>
      </c>
      <c r="C22963" s="1">
        <v>4.2200478670983997E-2</v>
      </c>
      <c r="D22963" s="1">
        <v>4.3502666292450101E-2</v>
      </c>
      <c r="E22963" s="1">
        <v>2.6463512429831498E-2</v>
      </c>
      <c r="F22963" s="1">
        <v>4.1196437378514E-2</v>
      </c>
    </row>
    <row r="22964" spans="1:6" x14ac:dyDescent="0.25">
      <c r="A22964" s="2" t="str">
        <f t="shared" si="808"/>
        <v>12740</v>
      </c>
      <c r="B22964" s="2" t="str">
        <f>"05601"</f>
        <v>05601</v>
      </c>
      <c r="C22964" s="1">
        <v>3.0550471631704899E-2</v>
      </c>
      <c r="D22964" s="1">
        <v>0.11198428290766201</v>
      </c>
      <c r="E22964" s="1">
        <v>4.0096230954290199E-4</v>
      </c>
      <c r="F22964" s="1">
        <v>3.6786677884475899E-2</v>
      </c>
    </row>
    <row r="22965" spans="1:6" x14ac:dyDescent="0.25">
      <c r="A22965" s="2" t="str">
        <f t="shared" si="808"/>
        <v>12740</v>
      </c>
      <c r="B22965" s="2" t="str">
        <f>"05609"</f>
        <v>05609</v>
      </c>
      <c r="C22965" s="1">
        <v>0</v>
      </c>
      <c r="D22965" s="1">
        <v>1.0103845074375501E-2</v>
      </c>
      <c r="E22965" s="1">
        <v>2.8067361668003199E-3</v>
      </c>
      <c r="F22965" s="1">
        <v>1.2474977516028799E-3</v>
      </c>
    </row>
    <row r="22966" spans="1:6" x14ac:dyDescent="0.25">
      <c r="A22966" s="2" t="str">
        <f t="shared" si="808"/>
        <v>12740</v>
      </c>
      <c r="B22966" s="2" t="str">
        <f>"05682"</f>
        <v>05682</v>
      </c>
      <c r="C22966" s="1">
        <v>2.1399408700548999E-2</v>
      </c>
      <c r="D22966" s="1">
        <v>4.2099354476564602E-3</v>
      </c>
      <c r="E22966" s="1">
        <v>1.2028869286287E-3</v>
      </c>
      <c r="F22966" s="1">
        <v>1.8161246337288502E-2</v>
      </c>
    </row>
    <row r="22967" spans="1:6" x14ac:dyDescent="0.25">
      <c r="A22967" s="2" t="str">
        <f t="shared" si="808"/>
        <v>12740</v>
      </c>
      <c r="B22967" s="2" t="str">
        <f>"05664"</f>
        <v>05664</v>
      </c>
      <c r="C22967" s="1">
        <v>0</v>
      </c>
      <c r="D22967" s="1">
        <v>5.6132472635419498E-4</v>
      </c>
      <c r="E22967" s="1">
        <v>0</v>
      </c>
      <c r="F22967" s="1">
        <v>5.8023151237343697E-5</v>
      </c>
    </row>
    <row r="22968" spans="1:6" x14ac:dyDescent="0.25">
      <c r="A22968" s="2" t="str">
        <f t="shared" si="808"/>
        <v>12740</v>
      </c>
      <c r="B22968" s="2" t="str">
        <f>"05602"</f>
        <v>05602</v>
      </c>
      <c r="C22968" s="1">
        <v>0.22360270308320401</v>
      </c>
      <c r="D22968" s="1">
        <v>0.28487229862475399</v>
      </c>
      <c r="E22968" s="1">
        <v>0.32758620689655099</v>
      </c>
      <c r="F22968" s="1">
        <v>0.237459746438829</v>
      </c>
    </row>
    <row r="22969" spans="1:6" x14ac:dyDescent="0.25">
      <c r="A22969" s="2" t="str">
        <f t="shared" si="808"/>
        <v>12740</v>
      </c>
      <c r="B22969" s="2" t="str">
        <f>"05648"</f>
        <v>05648</v>
      </c>
      <c r="C22969" s="1">
        <v>5.2090665915810203E-3</v>
      </c>
      <c r="D22969" s="1">
        <v>5.6132472635419498E-4</v>
      </c>
      <c r="E22969" s="1">
        <v>4.0096230954290199E-4</v>
      </c>
      <c r="F22969" s="1">
        <v>4.3807479184194403E-3</v>
      </c>
    </row>
    <row r="22970" spans="1:6" x14ac:dyDescent="0.25">
      <c r="A22970" s="2" t="str">
        <f t="shared" si="808"/>
        <v>12740</v>
      </c>
      <c r="B22970" s="2" t="str">
        <f>"05651"</f>
        <v>05651</v>
      </c>
      <c r="C22970" s="1">
        <v>2.0237927636210001E-2</v>
      </c>
      <c r="D22970" s="1">
        <v>1.06651698007297E-2</v>
      </c>
      <c r="E22970" s="1">
        <v>1.2028869286287E-3</v>
      </c>
      <c r="F22970" s="1">
        <v>1.7871130581101801E-2</v>
      </c>
    </row>
    <row r="22971" spans="1:6" x14ac:dyDescent="0.25">
      <c r="A22971" s="2" t="str">
        <f t="shared" si="808"/>
        <v>12740</v>
      </c>
      <c r="B22971" s="2" t="str">
        <f>"05680"</f>
        <v>05680</v>
      </c>
      <c r="C22971" s="1">
        <v>5.9833873011403598E-4</v>
      </c>
      <c r="D22971" s="1">
        <v>0</v>
      </c>
      <c r="E22971" s="1">
        <v>0</v>
      </c>
      <c r="F22971" s="1">
        <v>4.9319678551742096E-4</v>
      </c>
    </row>
    <row r="22972" spans="1:6" x14ac:dyDescent="0.25">
      <c r="A22972" s="2" t="str">
        <f t="shared" si="808"/>
        <v>12740</v>
      </c>
      <c r="B22972" s="2" t="str">
        <f>"05650"</f>
        <v>05650</v>
      </c>
      <c r="C22972" s="1">
        <v>1.64015204843024E-2</v>
      </c>
      <c r="D22972" s="1">
        <v>8.4198708953129296E-4</v>
      </c>
      <c r="E22972" s="1">
        <v>2.00481154771451E-3</v>
      </c>
      <c r="F22972" s="1">
        <v>1.37514868432504E-2</v>
      </c>
    </row>
    <row r="22973" spans="1:6" x14ac:dyDescent="0.25">
      <c r="A22973" s="2" t="str">
        <f t="shared" si="808"/>
        <v>12740</v>
      </c>
      <c r="B22973" s="2" t="str">
        <f>"05604"</f>
        <v>05604</v>
      </c>
      <c r="C22973" s="1">
        <v>0</v>
      </c>
      <c r="D22973" s="1">
        <v>2.80662363177097E-4</v>
      </c>
      <c r="E22973" s="1">
        <v>0</v>
      </c>
      <c r="F22973" s="1">
        <v>2.9011575618671801E-5</v>
      </c>
    </row>
    <row r="22974" spans="1:6" x14ac:dyDescent="0.25">
      <c r="A22974" s="2" t="str">
        <f t="shared" si="808"/>
        <v>12740</v>
      </c>
      <c r="B22974" s="2" t="str">
        <f>"05603"</f>
        <v>05603</v>
      </c>
      <c r="C22974" s="1">
        <v>0</v>
      </c>
      <c r="D22974" s="1">
        <v>2.80662363177097E-4</v>
      </c>
      <c r="E22974" s="1">
        <v>0</v>
      </c>
      <c r="F22974" s="1">
        <v>2.9011575618671801E-5</v>
      </c>
    </row>
    <row r="22975" spans="1:6" x14ac:dyDescent="0.25">
      <c r="A22975" s="2" t="str">
        <f t="shared" si="808"/>
        <v>12740</v>
      </c>
      <c r="B22975" s="2" t="str">
        <f>"05666"</f>
        <v>05666</v>
      </c>
      <c r="C22975" s="1">
        <v>7.03927917781219E-4</v>
      </c>
      <c r="D22975" s="1">
        <v>2.80662363177097E-4</v>
      </c>
      <c r="E22975" s="1">
        <v>0</v>
      </c>
      <c r="F22975" s="1">
        <v>6.0924308799210805E-4</v>
      </c>
    </row>
    <row r="22976" spans="1:6" x14ac:dyDescent="0.25">
      <c r="A22976" s="2" t="str">
        <f t="shared" si="808"/>
        <v>12740</v>
      </c>
      <c r="B22976" s="2" t="str">
        <f>"05667"</f>
        <v>05667</v>
      </c>
      <c r="C22976" s="1">
        <v>3.5935520202731198E-2</v>
      </c>
      <c r="D22976" s="1">
        <v>3.3679483581251701E-3</v>
      </c>
      <c r="E22976" s="1">
        <v>1.52365677626303E-2</v>
      </c>
      <c r="F22976" s="1">
        <v>3.1071397487597501E-2</v>
      </c>
    </row>
    <row r="22977" spans="1:6" x14ac:dyDescent="0.25">
      <c r="A22977" s="2" t="str">
        <f t="shared" si="808"/>
        <v>12740</v>
      </c>
      <c r="B22977" s="2" t="str">
        <f>"05676"</f>
        <v>05676</v>
      </c>
      <c r="C22977" s="1">
        <v>8.0881317753061996E-2</v>
      </c>
      <c r="D22977" s="1">
        <v>8.3076059500420907E-2</v>
      </c>
      <c r="E22977" s="1">
        <v>0.13552526062550099</v>
      </c>
      <c r="F22977" s="1">
        <v>8.5061939713945794E-2</v>
      </c>
    </row>
    <row r="22978" spans="1:6" x14ac:dyDescent="0.25">
      <c r="A22978" s="2" t="str">
        <f t="shared" si="808"/>
        <v>12740</v>
      </c>
      <c r="B22978" s="2" t="str">
        <f>"05649"</f>
        <v>05649</v>
      </c>
      <c r="C22978" s="1">
        <v>1.37265943967337E-3</v>
      </c>
      <c r="D22978" s="1">
        <v>0</v>
      </c>
      <c r="E22978" s="1">
        <v>1.2028869286287E-3</v>
      </c>
      <c r="F22978" s="1">
        <v>1.21848617598421E-3</v>
      </c>
    </row>
    <row r="22979" spans="1:6" x14ac:dyDescent="0.25">
      <c r="A22979" s="2" t="str">
        <f t="shared" si="808"/>
        <v>12740</v>
      </c>
      <c r="B22979" s="2" t="str">
        <f>"05647"</f>
        <v>05647</v>
      </c>
      <c r="C22979" s="1">
        <v>1.32690412501759E-2</v>
      </c>
      <c r="D22979" s="1">
        <v>2.80662363177097E-3</v>
      </c>
      <c r="E22979" s="1">
        <v>3.2076984763432198E-3</v>
      </c>
      <c r="F22979" s="1">
        <v>1.1459572369375301E-2</v>
      </c>
    </row>
    <row r="22980" spans="1:6" x14ac:dyDescent="0.25">
      <c r="A22980" s="2" t="str">
        <f t="shared" si="808"/>
        <v>12740</v>
      </c>
      <c r="B22980" s="2" t="str">
        <f>"05641"</f>
        <v>05641</v>
      </c>
      <c r="C22980" s="1">
        <v>0.28702660847529199</v>
      </c>
      <c r="D22980" s="1">
        <v>0.29890541678360899</v>
      </c>
      <c r="E22980" s="1">
        <v>0.34803528468323902</v>
      </c>
      <c r="F22980" s="1">
        <v>0.29266877484116099</v>
      </c>
    </row>
    <row r="22981" spans="1:6" x14ac:dyDescent="0.25">
      <c r="A22981" s="2" t="str">
        <f t="shared" ref="A22981:A23012" si="809">"25540"</f>
        <v>25540</v>
      </c>
      <c r="B22981" s="2" t="str">
        <f>"06489"</f>
        <v>06489</v>
      </c>
      <c r="C22981" s="1">
        <v>2.5408711153870601E-2</v>
      </c>
      <c r="D22981" s="1">
        <v>2.3802701205417599E-2</v>
      </c>
      <c r="E22981" s="1">
        <v>1.7135088994973201E-2</v>
      </c>
      <c r="F22981" s="1">
        <v>2.4876273070799201E-2</v>
      </c>
    </row>
    <row r="22982" spans="1:6" x14ac:dyDescent="0.25">
      <c r="A22982" s="2" t="str">
        <f t="shared" si="809"/>
        <v>25540</v>
      </c>
      <c r="B22982" s="2" t="str">
        <f>"06457"</f>
        <v>06457</v>
      </c>
      <c r="C22982" s="1">
        <v>3.9995684745930501E-2</v>
      </c>
      <c r="D22982" s="1">
        <v>3.58950847230977E-2</v>
      </c>
      <c r="E22982" s="1">
        <v>3.0666118681040699E-2</v>
      </c>
      <c r="F22982" s="1">
        <v>3.9210734600732301E-2</v>
      </c>
    </row>
    <row r="22983" spans="1:6" x14ac:dyDescent="0.25">
      <c r="A22983" s="2" t="str">
        <f t="shared" si="809"/>
        <v>25540</v>
      </c>
      <c r="B22983" s="2" t="str">
        <f>"06438"</f>
        <v>06438</v>
      </c>
      <c r="C22983" s="1">
        <v>1.9312530507431399E-3</v>
      </c>
      <c r="D22983" s="1">
        <v>8.4054482587349799E-4</v>
      </c>
      <c r="E22983" s="1">
        <v>7.2713477284941895E-4</v>
      </c>
      <c r="F22983" s="1">
        <v>1.7846858860449499E-3</v>
      </c>
    </row>
    <row r="22984" spans="1:6" x14ac:dyDescent="0.25">
      <c r="A22984" s="2" t="str">
        <f t="shared" si="809"/>
        <v>25540</v>
      </c>
      <c r="B22984" s="2" t="str">
        <f>"06420"</f>
        <v>06420</v>
      </c>
      <c r="C22984" s="1">
        <v>7.25104167403561E-5</v>
      </c>
      <c r="D22984" s="1">
        <v>0</v>
      </c>
      <c r="E22984" s="1">
        <v>0</v>
      </c>
      <c r="F22984" s="1">
        <v>6.3133840662504907E-5</v>
      </c>
    </row>
    <row r="22985" spans="1:6" x14ac:dyDescent="0.25">
      <c r="A22985" s="2" t="str">
        <f t="shared" si="809"/>
        <v>25540</v>
      </c>
      <c r="B22985" s="2" t="str">
        <f>"06251"</f>
        <v>06251</v>
      </c>
      <c r="C22985" s="1">
        <v>0</v>
      </c>
      <c r="D22985" s="1">
        <v>0</v>
      </c>
      <c r="E22985" s="1">
        <v>3.1614555341279099E-5</v>
      </c>
      <c r="F22985" s="1">
        <v>1.5398497722562101E-6</v>
      </c>
    </row>
    <row r="22986" spans="1:6" x14ac:dyDescent="0.25">
      <c r="A22986" s="2" t="str">
        <f t="shared" si="809"/>
        <v>25540</v>
      </c>
      <c r="B22986" s="2" t="str">
        <f>"06167"</f>
        <v>06167</v>
      </c>
      <c r="C22986" s="1">
        <v>0</v>
      </c>
      <c r="D22986" s="1">
        <v>1.91032914971249E-5</v>
      </c>
      <c r="E22986" s="1">
        <v>3.1614555341279099E-5</v>
      </c>
      <c r="F22986" s="1">
        <v>3.0796995445124299E-6</v>
      </c>
    </row>
    <row r="22987" spans="1:6" x14ac:dyDescent="0.25">
      <c r="A22987" s="2" t="str">
        <f t="shared" si="809"/>
        <v>25540</v>
      </c>
      <c r="B22987" s="2" t="str">
        <f>"06155"</f>
        <v>06155</v>
      </c>
      <c r="C22987" s="1">
        <v>0</v>
      </c>
      <c r="D22987" s="1">
        <v>3.8206582994249901E-5</v>
      </c>
      <c r="E22987" s="1">
        <v>3.1614555341279099E-5</v>
      </c>
      <c r="F22987" s="1">
        <v>4.6195493167686504E-6</v>
      </c>
    </row>
    <row r="22988" spans="1:6" x14ac:dyDescent="0.25">
      <c r="A22988" s="2" t="str">
        <f t="shared" si="809"/>
        <v>25540</v>
      </c>
      <c r="B22988" s="2" t="str">
        <f>"06132"</f>
        <v>06132</v>
      </c>
      <c r="C22988" s="1">
        <v>1.01868292786451E-3</v>
      </c>
      <c r="D22988" s="1">
        <v>7.6413165988499802E-4</v>
      </c>
      <c r="E22988" s="1">
        <v>3.1614555341279099E-5</v>
      </c>
      <c r="F22988" s="1">
        <v>9.5008730948208597E-4</v>
      </c>
    </row>
    <row r="22989" spans="1:6" x14ac:dyDescent="0.25">
      <c r="A22989" s="2" t="str">
        <f t="shared" si="809"/>
        <v>25540</v>
      </c>
      <c r="B22989" s="2" t="str">
        <f>"06231"</f>
        <v>06231</v>
      </c>
      <c r="C22989" s="1">
        <v>2.7094136206396399E-3</v>
      </c>
      <c r="D22989" s="1">
        <v>3.6296253844537399E-4</v>
      </c>
      <c r="E22989" s="1">
        <v>7.2713477284941895E-4</v>
      </c>
      <c r="F22989" s="1">
        <v>2.4237235415312799E-3</v>
      </c>
    </row>
    <row r="22990" spans="1:6" x14ac:dyDescent="0.25">
      <c r="A22990" s="2" t="str">
        <f t="shared" si="809"/>
        <v>25540</v>
      </c>
      <c r="B22990" s="2" t="str">
        <f>"06119"</f>
        <v>06119</v>
      </c>
      <c r="C22990" s="1">
        <v>1.23798272483534E-2</v>
      </c>
      <c r="D22990" s="1">
        <v>7.3165606433988504E-3</v>
      </c>
      <c r="E22990" s="1">
        <v>1.3531029686067401E-2</v>
      </c>
      <c r="F22990" s="1">
        <v>1.20277665710933E-2</v>
      </c>
    </row>
    <row r="22991" spans="1:6" x14ac:dyDescent="0.25">
      <c r="A22991" s="2" t="str">
        <f t="shared" si="809"/>
        <v>25540</v>
      </c>
      <c r="B22991" s="2" t="str">
        <f>"06110"</f>
        <v>06110</v>
      </c>
      <c r="C22991" s="1">
        <v>9.6226628654701805E-3</v>
      </c>
      <c r="D22991" s="1">
        <v>1.39454027929012E-2</v>
      </c>
      <c r="E22991" s="1">
        <v>8.75723182953431E-3</v>
      </c>
      <c r="F22991" s="1">
        <v>9.9289513315080902E-3</v>
      </c>
    </row>
    <row r="22992" spans="1:6" x14ac:dyDescent="0.25">
      <c r="A22992" s="2" t="str">
        <f t="shared" si="809"/>
        <v>25540</v>
      </c>
      <c r="B22992" s="2" t="str">
        <f>"06108"</f>
        <v>06108</v>
      </c>
      <c r="C22992" s="1">
        <v>1.7413111298184E-2</v>
      </c>
      <c r="D22992" s="1">
        <v>2.7451429881368498E-2</v>
      </c>
      <c r="E22992" s="1">
        <v>2.7093673927476199E-2</v>
      </c>
      <c r="F22992" s="1">
        <v>1.8693776235190401E-2</v>
      </c>
    </row>
    <row r="22993" spans="1:6" x14ac:dyDescent="0.25">
      <c r="A22993" s="2" t="str">
        <f t="shared" si="809"/>
        <v>25540</v>
      </c>
      <c r="B22993" s="2" t="str">
        <f>"06062"</f>
        <v>06062</v>
      </c>
      <c r="C22993" s="1">
        <v>1.5460635686443701E-2</v>
      </c>
      <c r="D22993" s="1">
        <v>2.1758649015225302E-2</v>
      </c>
      <c r="E22993" s="1">
        <v>1.7071859884290701E-2</v>
      </c>
      <c r="F22993" s="1">
        <v>1.6046774476681999E-2</v>
      </c>
    </row>
    <row r="22994" spans="1:6" x14ac:dyDescent="0.25">
      <c r="A22994" s="2" t="str">
        <f t="shared" si="809"/>
        <v>25540</v>
      </c>
      <c r="B22994" s="2" t="str">
        <f>"06050"</f>
        <v>06050</v>
      </c>
      <c r="C22994" s="1">
        <v>3.3885355725493198E-3</v>
      </c>
      <c r="D22994" s="1">
        <v>5.8456071981202304E-3</v>
      </c>
      <c r="E22994" s="1">
        <v>6.3229110682558198E-5</v>
      </c>
      <c r="F22994" s="1">
        <v>3.4246258934978301E-3</v>
      </c>
    </row>
    <row r="22995" spans="1:6" x14ac:dyDescent="0.25">
      <c r="A22995" s="2" t="str">
        <f t="shared" si="809"/>
        <v>25540</v>
      </c>
      <c r="B22995" s="2" t="str">
        <f>"06040"</f>
        <v>06040</v>
      </c>
      <c r="C22995" s="1">
        <v>2.7520355973089699E-2</v>
      </c>
      <c r="D22995" s="1">
        <v>2.13383766022885E-2</v>
      </c>
      <c r="E22995" s="1">
        <v>3.9865954285352903E-2</v>
      </c>
      <c r="F22995" s="1">
        <v>2.7623365064504302E-2</v>
      </c>
    </row>
    <row r="22996" spans="1:6" x14ac:dyDescent="0.25">
      <c r="A22996" s="2" t="str">
        <f t="shared" si="809"/>
        <v>25540</v>
      </c>
      <c r="B22996" s="2" t="str">
        <f>"06051"</f>
        <v>06051</v>
      </c>
      <c r="C22996" s="1">
        <v>2.4013327768306201E-2</v>
      </c>
      <c r="D22996" s="1">
        <v>2.18923720557051E-2</v>
      </c>
      <c r="E22996" s="1">
        <v>4.5999178021561102E-2</v>
      </c>
      <c r="F22996" s="1">
        <v>2.4913229465333302E-2</v>
      </c>
    </row>
    <row r="22997" spans="1:6" x14ac:dyDescent="0.25">
      <c r="A22997" s="2" t="str">
        <f t="shared" si="809"/>
        <v>25540</v>
      </c>
      <c r="B22997" s="2" t="str">
        <f>"06032"</f>
        <v>06032</v>
      </c>
      <c r="C22997" s="1">
        <v>1.4889395086269699E-2</v>
      </c>
      <c r="D22997" s="1">
        <v>2.3401532083978001E-2</v>
      </c>
      <c r="E22997" s="1">
        <v>1.9221649647497702E-2</v>
      </c>
      <c r="F22997" s="1">
        <v>1.5786539865170701E-2</v>
      </c>
    </row>
    <row r="22998" spans="1:6" x14ac:dyDescent="0.25">
      <c r="A22998" s="2" t="str">
        <f t="shared" si="809"/>
        <v>25540</v>
      </c>
      <c r="B22998" s="2" t="str">
        <f>"06006"</f>
        <v>06006</v>
      </c>
      <c r="C22998" s="1">
        <v>0</v>
      </c>
      <c r="D22998" s="1">
        <v>5.7309874491374798E-5</v>
      </c>
      <c r="E22998" s="1">
        <v>0</v>
      </c>
      <c r="F22998" s="1">
        <v>4.6195493167686504E-6</v>
      </c>
    </row>
    <row r="22999" spans="1:6" x14ac:dyDescent="0.25">
      <c r="A22999" s="2" t="str">
        <f t="shared" si="809"/>
        <v>25540</v>
      </c>
      <c r="B22999" s="2" t="str">
        <f>"06010"</f>
        <v>06010</v>
      </c>
      <c r="C22999" s="1">
        <v>4.8497088972049802E-2</v>
      </c>
      <c r="D22999" s="1">
        <v>3.1482224387261899E-2</v>
      </c>
      <c r="E22999" s="1">
        <v>5.43138060763175E-2</v>
      </c>
      <c r="F22999" s="1">
        <v>4.7408894788224402E-2</v>
      </c>
    </row>
    <row r="23000" spans="1:6" x14ac:dyDescent="0.25">
      <c r="A23000" s="2" t="str">
        <f t="shared" si="809"/>
        <v>25540</v>
      </c>
      <c r="B23000" s="2" t="str">
        <f>"06459"</f>
        <v>06459</v>
      </c>
      <c r="C23000" s="1">
        <v>7.0741869990591296E-6</v>
      </c>
      <c r="D23000" s="1">
        <v>3.8206582994249901E-5</v>
      </c>
      <c r="E23000" s="1">
        <v>5.6906199614302402E-4</v>
      </c>
      <c r="F23000" s="1">
        <v>3.6956394534149203E-5</v>
      </c>
    </row>
    <row r="23001" spans="1:6" x14ac:dyDescent="0.25">
      <c r="A23001" s="2" t="str">
        <f t="shared" si="809"/>
        <v>25540</v>
      </c>
      <c r="B23001" s="2" t="str">
        <f>"06422"</f>
        <v>06422</v>
      </c>
      <c r="C23001" s="1">
        <v>5.4630409100234097E-3</v>
      </c>
      <c r="D23001" s="1">
        <v>4.2218274208646097E-3</v>
      </c>
      <c r="E23001" s="1">
        <v>1.7704150991116299E-3</v>
      </c>
      <c r="F23001" s="1">
        <v>5.1831343334144296E-3</v>
      </c>
    </row>
    <row r="23002" spans="1:6" x14ac:dyDescent="0.25">
      <c r="A23002" s="2" t="str">
        <f t="shared" si="809"/>
        <v>25540</v>
      </c>
      <c r="B23002" s="2" t="str">
        <f>"06142"</f>
        <v>06142</v>
      </c>
      <c r="C23002" s="1">
        <v>2.10457063222009E-4</v>
      </c>
      <c r="D23002" s="1">
        <v>5.7309874491374795E-4</v>
      </c>
      <c r="E23002" s="1">
        <v>3.1614555341279099E-5</v>
      </c>
      <c r="F23002" s="1">
        <v>2.3097746583843201E-4</v>
      </c>
    </row>
    <row r="23003" spans="1:6" x14ac:dyDescent="0.25">
      <c r="A23003" s="2" t="str">
        <f t="shared" si="809"/>
        <v>25540</v>
      </c>
      <c r="B23003" s="2" t="str">
        <f>"06154"</f>
        <v>06154</v>
      </c>
      <c r="C23003" s="1">
        <v>0</v>
      </c>
      <c r="D23003" s="1">
        <v>1.91032914971249E-5</v>
      </c>
      <c r="E23003" s="1">
        <v>3.1614555341279099E-5</v>
      </c>
      <c r="F23003" s="1">
        <v>3.0796995445124299E-6</v>
      </c>
    </row>
    <row r="23004" spans="1:6" x14ac:dyDescent="0.25">
      <c r="A23004" s="2" t="str">
        <f t="shared" si="809"/>
        <v>25540</v>
      </c>
      <c r="B23004" s="2" t="str">
        <f>"06128"</f>
        <v>06128</v>
      </c>
      <c r="C23004" s="1">
        <v>8.4890243988709497E-4</v>
      </c>
      <c r="D23004" s="1">
        <v>2.0822587731866198E-3</v>
      </c>
      <c r="E23004" s="1">
        <v>3.1614555341279099E-5</v>
      </c>
      <c r="F23004" s="1">
        <v>9.0851136563116898E-4</v>
      </c>
    </row>
    <row r="23005" spans="1:6" x14ac:dyDescent="0.25">
      <c r="A23005" s="2" t="str">
        <f t="shared" si="809"/>
        <v>25540</v>
      </c>
      <c r="B23005" s="2" t="str">
        <f>"06143"</f>
        <v>06143</v>
      </c>
      <c r="C23005" s="1">
        <v>4.9519308993413902E-4</v>
      </c>
      <c r="D23005" s="1">
        <v>1.49005673677574E-3</v>
      </c>
      <c r="E23005" s="1">
        <v>3.1614555341279099E-5</v>
      </c>
      <c r="F23005" s="1">
        <v>5.52806068239982E-4</v>
      </c>
    </row>
    <row r="23006" spans="1:6" x14ac:dyDescent="0.25">
      <c r="A23006" s="2" t="str">
        <f t="shared" si="809"/>
        <v>25540</v>
      </c>
      <c r="B23006" s="2" t="str">
        <f>"06118"</f>
        <v>06118</v>
      </c>
      <c r="C23006" s="1">
        <v>2.0336519075545199E-2</v>
      </c>
      <c r="D23006" s="1">
        <v>6.2658796110569804E-3</v>
      </c>
      <c r="E23006" s="1">
        <v>1.03379595965982E-2</v>
      </c>
      <c r="F23006" s="1">
        <v>1.8715334132002E-2</v>
      </c>
    </row>
    <row r="23007" spans="1:6" x14ac:dyDescent="0.25">
      <c r="A23007" s="2" t="str">
        <f t="shared" si="809"/>
        <v>25540</v>
      </c>
      <c r="B23007" s="2" t="str">
        <f>"06102"</f>
        <v>06102</v>
      </c>
      <c r="C23007" s="1">
        <v>1.7685467497647801E-6</v>
      </c>
      <c r="D23007" s="1">
        <v>1.91032914971249E-5</v>
      </c>
      <c r="E23007" s="1">
        <v>6.3229110682558198E-5</v>
      </c>
      <c r="F23007" s="1">
        <v>6.15939908902487E-6</v>
      </c>
    </row>
    <row r="23008" spans="1:6" x14ac:dyDescent="0.25">
      <c r="A23008" s="2" t="str">
        <f t="shared" si="809"/>
        <v>25540</v>
      </c>
      <c r="B23008" s="2" t="str">
        <f>"06101"</f>
        <v>06101</v>
      </c>
      <c r="C23008" s="1">
        <v>0</v>
      </c>
      <c r="D23008" s="1">
        <v>5.7309874491374798E-5</v>
      </c>
      <c r="E23008" s="1">
        <v>2.2130188738895301E-4</v>
      </c>
      <c r="F23008" s="1">
        <v>1.53984977225621E-5</v>
      </c>
    </row>
    <row r="23009" spans="1:6" x14ac:dyDescent="0.25">
      <c r="A23009" s="2" t="str">
        <f t="shared" si="809"/>
        <v>25540</v>
      </c>
      <c r="B23009" s="2" t="str">
        <f>"06090"</f>
        <v>06090</v>
      </c>
      <c r="C23009" s="1">
        <v>7.8700330364532805E-4</v>
      </c>
      <c r="D23009" s="1">
        <v>0</v>
      </c>
      <c r="E23009" s="1">
        <v>3.1614555341279099E-5</v>
      </c>
      <c r="F23009" s="1">
        <v>6.8677299842627296E-4</v>
      </c>
    </row>
    <row r="23010" spans="1:6" x14ac:dyDescent="0.25">
      <c r="A23010" s="2" t="str">
        <f t="shared" si="809"/>
        <v>25540</v>
      </c>
      <c r="B23010" s="2" t="str">
        <f>"06081"</f>
        <v>06081</v>
      </c>
      <c r="C23010" s="1">
        <v>1.4731994425540599E-3</v>
      </c>
      <c r="D23010" s="1">
        <v>1.16530078132462E-3</v>
      </c>
      <c r="E23010" s="1">
        <v>8.8520754955581497E-4</v>
      </c>
      <c r="F23010" s="1">
        <v>1.4197414900202301E-3</v>
      </c>
    </row>
    <row r="23011" spans="1:6" x14ac:dyDescent="0.25">
      <c r="A23011" s="2" t="str">
        <f t="shared" si="809"/>
        <v>25540</v>
      </c>
      <c r="B23011" s="2" t="str">
        <f>"06082"</f>
        <v>06082</v>
      </c>
      <c r="C23011" s="1">
        <v>3.2097354961481001E-2</v>
      </c>
      <c r="D23011" s="1">
        <v>2.2962156379544098E-2</v>
      </c>
      <c r="E23011" s="1">
        <v>1.8209983876576699E-2</v>
      </c>
      <c r="F23011" s="1">
        <v>3.0684586411749599E-2</v>
      </c>
    </row>
    <row r="23012" spans="1:6" x14ac:dyDescent="0.25">
      <c r="A23012" s="2" t="str">
        <f t="shared" si="809"/>
        <v>25540</v>
      </c>
      <c r="B23012" s="2" t="str">
        <f>"06072"</f>
        <v>06072</v>
      </c>
      <c r="C23012" s="1">
        <v>0</v>
      </c>
      <c r="D23012" s="1">
        <v>1.91032914971249E-5</v>
      </c>
      <c r="E23012" s="1">
        <v>4.0150485283424403E-3</v>
      </c>
      <c r="F23012" s="1">
        <v>1.97100770848795E-4</v>
      </c>
    </row>
    <row r="23013" spans="1:6" x14ac:dyDescent="0.25">
      <c r="A23013" s="2" t="str">
        <f t="shared" ref="A23013:A23044" si="810">"25540"</f>
        <v>25540</v>
      </c>
      <c r="B23013" s="2" t="str">
        <f>"06073"</f>
        <v>06073</v>
      </c>
      <c r="C23013" s="1">
        <v>4.6901859803761999E-3</v>
      </c>
      <c r="D23013" s="1">
        <v>3.6487286759508599E-3</v>
      </c>
      <c r="E23013" s="1">
        <v>5.6906199614302402E-4</v>
      </c>
      <c r="F23013" s="1">
        <v>4.4055101984250399E-3</v>
      </c>
    </row>
    <row r="23014" spans="1:6" x14ac:dyDescent="0.25">
      <c r="A23014" s="2" t="str">
        <f t="shared" si="810"/>
        <v>25540</v>
      </c>
      <c r="B23014" s="2" t="str">
        <f>"06060"</f>
        <v>06060</v>
      </c>
      <c r="C23014" s="1">
        <v>1.5846178877892401E-3</v>
      </c>
      <c r="D23014" s="1">
        <v>3.8206582994249901E-5</v>
      </c>
      <c r="E23014" s="1">
        <v>9.4843666023837305E-5</v>
      </c>
      <c r="F23014" s="1">
        <v>1.3874046448028501E-3</v>
      </c>
    </row>
    <row r="23015" spans="1:6" x14ac:dyDescent="0.25">
      <c r="A23015" s="2" t="str">
        <f t="shared" si="810"/>
        <v>25540</v>
      </c>
      <c r="B23015" s="2" t="str">
        <f>"06052"</f>
        <v>06052</v>
      </c>
      <c r="C23015" s="1">
        <v>6.1899136241767398E-3</v>
      </c>
      <c r="D23015" s="1">
        <v>4.3746537528416103E-3</v>
      </c>
      <c r="E23015" s="1">
        <v>6.41775473427966E-3</v>
      </c>
      <c r="F23015" s="1">
        <v>6.0546893045114502E-3</v>
      </c>
    </row>
    <row r="23016" spans="1:6" x14ac:dyDescent="0.25">
      <c r="A23016" s="2" t="str">
        <f t="shared" si="810"/>
        <v>25540</v>
      </c>
      <c r="B23016" s="2" t="str">
        <f>"06041"</f>
        <v>06041</v>
      </c>
      <c r="C23016" s="1">
        <v>0</v>
      </c>
      <c r="D23016" s="1">
        <v>1.91032914971249E-5</v>
      </c>
      <c r="E23016" s="1">
        <v>3.1614555341279099E-5</v>
      </c>
      <c r="F23016" s="1">
        <v>3.0796995445124299E-6</v>
      </c>
    </row>
    <row r="23017" spans="1:6" x14ac:dyDescent="0.25">
      <c r="A23017" s="2" t="str">
        <f t="shared" si="810"/>
        <v>25540</v>
      </c>
      <c r="B23017" s="2" t="str">
        <f>"06013"</f>
        <v>06013</v>
      </c>
      <c r="C23017" s="1">
        <v>6.3897594069001603E-3</v>
      </c>
      <c r="D23017" s="1">
        <v>1.75750281773549E-3</v>
      </c>
      <c r="E23017" s="1">
        <v>1.58072776706395E-3</v>
      </c>
      <c r="F23017" s="1">
        <v>5.7821358948221E-3</v>
      </c>
    </row>
    <row r="23018" spans="1:6" x14ac:dyDescent="0.25">
      <c r="A23018" s="2" t="str">
        <f t="shared" si="810"/>
        <v>25540</v>
      </c>
      <c r="B23018" s="2" t="str">
        <f>"06030"</f>
        <v>06030</v>
      </c>
      <c r="C23018" s="1">
        <v>0</v>
      </c>
      <c r="D23018" s="1">
        <v>3.8206582994249901E-5</v>
      </c>
      <c r="E23018" s="1">
        <v>0</v>
      </c>
      <c r="F23018" s="1">
        <v>3.0796995445124299E-6</v>
      </c>
    </row>
    <row r="23019" spans="1:6" x14ac:dyDescent="0.25">
      <c r="A23019" s="2" t="str">
        <f t="shared" si="810"/>
        <v>25540</v>
      </c>
      <c r="B23019" s="2" t="str">
        <f>"06451"</f>
        <v>06451</v>
      </c>
      <c r="C23019" s="1">
        <v>1.16724085484475E-4</v>
      </c>
      <c r="D23019" s="1">
        <v>0</v>
      </c>
      <c r="E23019" s="1">
        <v>0</v>
      </c>
      <c r="F23019" s="1">
        <v>1.0163008496891E-4</v>
      </c>
    </row>
    <row r="23020" spans="1:6" x14ac:dyDescent="0.25">
      <c r="A23020" s="2" t="str">
        <f t="shared" si="810"/>
        <v>25540</v>
      </c>
      <c r="B23020" s="2" t="str">
        <f>"06415"</f>
        <v>06415</v>
      </c>
      <c r="C23020" s="1">
        <v>1.00630310061616E-3</v>
      </c>
      <c r="D23020" s="1">
        <v>1.91032914971249E-5</v>
      </c>
      <c r="E23020" s="1">
        <v>6.3229110682558198E-5</v>
      </c>
      <c r="F23020" s="1">
        <v>8.8079406973055701E-4</v>
      </c>
    </row>
    <row r="23021" spans="1:6" x14ac:dyDescent="0.25">
      <c r="A23021" s="2" t="str">
        <f t="shared" si="810"/>
        <v>25540</v>
      </c>
      <c r="B23021" s="2" t="str">
        <f>"06412"</f>
        <v>06412</v>
      </c>
      <c r="C23021" s="1">
        <v>4.1401679411993504E-3</v>
      </c>
      <c r="D23021" s="1">
        <v>5.0050623722467302E-3</v>
      </c>
      <c r="E23021" s="1">
        <v>2.6556226486674399E-3</v>
      </c>
      <c r="F23021" s="1">
        <v>4.1375763380524502E-3</v>
      </c>
    </row>
    <row r="23022" spans="1:6" x14ac:dyDescent="0.25">
      <c r="A23022" s="2" t="str">
        <f t="shared" si="810"/>
        <v>25540</v>
      </c>
      <c r="B23022" s="2" t="str">
        <f>"06409"</f>
        <v>06409</v>
      </c>
      <c r="C23022" s="1">
        <v>4.9873018343366796E-4</v>
      </c>
      <c r="D23022" s="1">
        <v>2.5025311861233599E-3</v>
      </c>
      <c r="E23022" s="1">
        <v>1.10650943694476E-3</v>
      </c>
      <c r="F23022" s="1">
        <v>6.8985269797078503E-4</v>
      </c>
    </row>
    <row r="23023" spans="1:6" x14ac:dyDescent="0.25">
      <c r="A23023" s="2" t="str">
        <f t="shared" si="810"/>
        <v>25540</v>
      </c>
      <c r="B23023" s="2" t="str">
        <f>"06248"</f>
        <v>06248</v>
      </c>
      <c r="C23023" s="1">
        <v>3.7334021887534502E-3</v>
      </c>
      <c r="D23023" s="1">
        <v>1.60467648575849E-3</v>
      </c>
      <c r="E23023" s="1">
        <v>1.2961967689924399E-3</v>
      </c>
      <c r="F23023" s="1">
        <v>3.4431040907649002E-3</v>
      </c>
    </row>
    <row r="23024" spans="1:6" x14ac:dyDescent="0.25">
      <c r="A23024" s="2" t="str">
        <f t="shared" si="810"/>
        <v>25540</v>
      </c>
      <c r="B23024" s="2" t="str">
        <f>"06250"</f>
        <v>06250</v>
      </c>
      <c r="C23024" s="1">
        <v>4.6760376063780798E-3</v>
      </c>
      <c r="D23024" s="1">
        <v>3.70603855044224E-3</v>
      </c>
      <c r="E23024" s="1">
        <v>5.53254718472384E-3</v>
      </c>
      <c r="F23024" s="1">
        <v>4.6395673638079801E-3</v>
      </c>
    </row>
    <row r="23025" spans="1:6" x14ac:dyDescent="0.25">
      <c r="A23025" s="2" t="str">
        <f t="shared" si="810"/>
        <v>25540</v>
      </c>
      <c r="B23025" s="2" t="str">
        <f>"06138"</f>
        <v>06138</v>
      </c>
      <c r="C23025" s="1">
        <v>1.02575711486357E-3</v>
      </c>
      <c r="D23025" s="1">
        <v>2.1777752306722398E-3</v>
      </c>
      <c r="E23025" s="1">
        <v>6.3229110682558198E-5</v>
      </c>
      <c r="F23025" s="1">
        <v>1.0717354414903201E-3</v>
      </c>
    </row>
    <row r="23026" spans="1:6" x14ac:dyDescent="0.25">
      <c r="A23026" s="2" t="str">
        <f t="shared" si="810"/>
        <v>25540</v>
      </c>
      <c r="B23026" s="2" t="str">
        <f>"06129"</f>
        <v>06129</v>
      </c>
      <c r="C23026" s="1">
        <v>9.1433866962839202E-4</v>
      </c>
      <c r="D23026" s="1">
        <v>2.92280359906011E-3</v>
      </c>
      <c r="E23026" s="1">
        <v>6.3229110682558198E-5</v>
      </c>
      <c r="F23026" s="1">
        <v>1.0347790469561701E-3</v>
      </c>
    </row>
    <row r="23027" spans="1:6" x14ac:dyDescent="0.25">
      <c r="A23027" s="2" t="str">
        <f t="shared" si="810"/>
        <v>25540</v>
      </c>
      <c r="B23027" s="2" t="str">
        <f>"06145"</f>
        <v>06145</v>
      </c>
      <c r="C23027" s="1">
        <v>9.0195884238003903E-5</v>
      </c>
      <c r="D23027" s="1">
        <v>4.9668557892524798E-4</v>
      </c>
      <c r="E23027" s="1">
        <v>3.1614555341279099E-5</v>
      </c>
      <c r="F23027" s="1">
        <v>1.20108282235985E-4</v>
      </c>
    </row>
    <row r="23028" spans="1:6" x14ac:dyDescent="0.25">
      <c r="A23028" s="2" t="str">
        <f t="shared" si="810"/>
        <v>25540</v>
      </c>
      <c r="B23028" s="2" t="str">
        <f>"06120"</f>
        <v>06120</v>
      </c>
      <c r="C23028" s="1">
        <v>9.0195884238003891E-3</v>
      </c>
      <c r="D23028" s="1">
        <v>1.15192847727663E-2</v>
      </c>
      <c r="E23028" s="1">
        <v>1.7546078214409899E-2</v>
      </c>
      <c r="F23028" s="1">
        <v>9.6363798747794108E-3</v>
      </c>
    </row>
    <row r="23029" spans="1:6" x14ac:dyDescent="0.25">
      <c r="A23029" s="2" t="str">
        <f t="shared" si="810"/>
        <v>25540</v>
      </c>
      <c r="B23029" s="2" t="str">
        <f>"06123"</f>
        <v>06123</v>
      </c>
      <c r="C23029" s="1">
        <v>2.4317517809265702E-3</v>
      </c>
      <c r="D23029" s="1">
        <v>1.9485357327067401E-3</v>
      </c>
      <c r="E23029" s="1">
        <v>3.1614555341279099E-5</v>
      </c>
      <c r="F23029" s="1">
        <v>2.2758979633946898E-3</v>
      </c>
    </row>
    <row r="23030" spans="1:6" x14ac:dyDescent="0.25">
      <c r="A23030" s="2" t="str">
        <f t="shared" si="810"/>
        <v>25540</v>
      </c>
      <c r="B23030" s="2" t="str">
        <f>"06117"</f>
        <v>06117</v>
      </c>
      <c r="C23030" s="1">
        <v>1.0841191576058101E-2</v>
      </c>
      <c r="D23030" s="1">
        <v>4.4128603358358602E-3</v>
      </c>
      <c r="E23030" s="1">
        <v>4.4260377477790703E-3</v>
      </c>
      <c r="F23030" s="1">
        <v>1.00105633694376E-2</v>
      </c>
    </row>
    <row r="23031" spans="1:6" x14ac:dyDescent="0.25">
      <c r="A23031" s="2" t="str">
        <f t="shared" si="810"/>
        <v>25540</v>
      </c>
      <c r="B23031" s="2" t="str">
        <f>"06103"</f>
        <v>06103</v>
      </c>
      <c r="C23031" s="1">
        <v>3.7899956847459301E-3</v>
      </c>
      <c r="D23031" s="1">
        <v>2.3764494622423402E-2</v>
      </c>
      <c r="E23031" s="1">
        <v>6.2280674022319798E-3</v>
      </c>
      <c r="F23031" s="1">
        <v>5.5188215837662803E-3</v>
      </c>
    </row>
    <row r="23032" spans="1:6" x14ac:dyDescent="0.25">
      <c r="A23032" s="2" t="str">
        <f t="shared" si="810"/>
        <v>25540</v>
      </c>
      <c r="B23032" s="2" t="str">
        <f>"06091"</f>
        <v>06091</v>
      </c>
      <c r="C23032" s="1">
        <v>1.7331758147694801E-4</v>
      </c>
      <c r="D23032" s="1">
        <v>7.6413165988499802E-5</v>
      </c>
      <c r="E23032" s="1">
        <v>0</v>
      </c>
      <c r="F23032" s="1">
        <v>1.5706467677013399E-4</v>
      </c>
    </row>
    <row r="23033" spans="1:6" x14ac:dyDescent="0.25">
      <c r="A23033" s="2" t="str">
        <f t="shared" si="810"/>
        <v>25540</v>
      </c>
      <c r="B23033" s="2" t="str">
        <f>"06085"</f>
        <v>06085</v>
      </c>
      <c r="C23033" s="1">
        <v>6.3526199251551004E-3</v>
      </c>
      <c r="D23033" s="1">
        <v>5.90291707261161E-3</v>
      </c>
      <c r="E23033" s="1">
        <v>4.4260377477790703E-3</v>
      </c>
      <c r="F23033" s="1">
        <v>6.2225329296873699E-3</v>
      </c>
    </row>
    <row r="23034" spans="1:6" x14ac:dyDescent="0.25">
      <c r="A23034" s="2" t="str">
        <f t="shared" si="810"/>
        <v>25540</v>
      </c>
      <c r="B23034" s="2" t="str">
        <f>"06065"</f>
        <v>06065</v>
      </c>
      <c r="C23034" s="1">
        <v>3.11264227958601E-4</v>
      </c>
      <c r="D23034" s="1">
        <v>0</v>
      </c>
      <c r="E23034" s="1">
        <v>1.2645822136511599E-4</v>
      </c>
      <c r="F23034" s="1">
        <v>2.7717295900611899E-4</v>
      </c>
    </row>
    <row r="23035" spans="1:6" x14ac:dyDescent="0.25">
      <c r="A23035" s="2" t="str">
        <f t="shared" si="810"/>
        <v>25540</v>
      </c>
      <c r="B23035" s="2" t="str">
        <f>"06028"</f>
        <v>06028</v>
      </c>
      <c r="C23035" s="1">
        <v>0</v>
      </c>
      <c r="D23035" s="1">
        <v>1.91032914971249E-5</v>
      </c>
      <c r="E23035" s="1">
        <v>0</v>
      </c>
      <c r="F23035" s="1">
        <v>1.5398497722562101E-6</v>
      </c>
    </row>
    <row r="23036" spans="1:6" x14ac:dyDescent="0.25">
      <c r="A23036" s="2" t="str">
        <f t="shared" si="810"/>
        <v>25540</v>
      </c>
      <c r="B23036" s="2" t="str">
        <f>"06027"</f>
        <v>06027</v>
      </c>
      <c r="C23036" s="1">
        <v>1.00276600711663E-3</v>
      </c>
      <c r="D23036" s="1">
        <v>9.5516457485624699E-5</v>
      </c>
      <c r="E23036" s="1">
        <v>3.1614555341279099E-5</v>
      </c>
      <c r="F23036" s="1">
        <v>8.8233391950281299E-4</v>
      </c>
    </row>
    <row r="23037" spans="1:6" x14ac:dyDescent="0.25">
      <c r="A23037" s="2" t="str">
        <f t="shared" si="810"/>
        <v>25540</v>
      </c>
      <c r="B23037" s="2" t="str">
        <f>"06019"</f>
        <v>06019</v>
      </c>
      <c r="C23037" s="1">
        <v>9.2689535155172208E-3</v>
      </c>
      <c r="D23037" s="1">
        <v>1.3773473169427E-2</v>
      </c>
      <c r="E23037" s="1">
        <v>2.8136954253738401E-3</v>
      </c>
      <c r="F23037" s="1">
        <v>9.3176309719223693E-3</v>
      </c>
    </row>
    <row r="23038" spans="1:6" x14ac:dyDescent="0.25">
      <c r="A23038" s="2" t="str">
        <f t="shared" si="810"/>
        <v>25540</v>
      </c>
      <c r="B23038" s="2" t="str">
        <f>"06469"</f>
        <v>06469</v>
      </c>
      <c r="C23038" s="1">
        <v>2.3946122991815098E-3</v>
      </c>
      <c r="D23038" s="1">
        <v>6.8771849389649795E-4</v>
      </c>
      <c r="E23038" s="1">
        <v>1.80202965445291E-3</v>
      </c>
      <c r="F23038" s="1">
        <v>2.2281626204547402E-3</v>
      </c>
    </row>
    <row r="23039" spans="1:6" x14ac:dyDescent="0.25">
      <c r="A23039" s="2" t="str">
        <f t="shared" si="810"/>
        <v>25540</v>
      </c>
      <c r="B23039" s="2" t="str">
        <f>"06426"</f>
        <v>06426</v>
      </c>
      <c r="C23039" s="1">
        <v>4.5097942119001902E-3</v>
      </c>
      <c r="D23039" s="1">
        <v>9.9528148700021007E-3</v>
      </c>
      <c r="E23039" s="1">
        <v>3.4776010875406998E-3</v>
      </c>
      <c r="F23039" s="1">
        <v>4.8982621255470298E-3</v>
      </c>
    </row>
    <row r="23040" spans="1:6" x14ac:dyDescent="0.25">
      <c r="A23040" s="2" t="str">
        <f t="shared" si="810"/>
        <v>25540</v>
      </c>
      <c r="B23040" s="2" t="str">
        <f>"06424"</f>
        <v>06424</v>
      </c>
      <c r="C23040" s="1">
        <v>9.5713750097270005E-3</v>
      </c>
      <c r="D23040" s="1">
        <v>4.62299654230423E-3</v>
      </c>
      <c r="E23040" s="1">
        <v>4.5524959691441904E-3</v>
      </c>
      <c r="F23040" s="1">
        <v>8.9280489795415495E-3</v>
      </c>
    </row>
    <row r="23041" spans="1:6" x14ac:dyDescent="0.25">
      <c r="A23041" s="2" t="str">
        <f t="shared" si="810"/>
        <v>25540</v>
      </c>
      <c r="B23041" s="2" t="str">
        <f>"06455"</f>
        <v>06455</v>
      </c>
      <c r="C23041" s="1">
        <v>2.2354430917026799E-3</v>
      </c>
      <c r="D23041" s="1">
        <v>2.42611802013486E-3</v>
      </c>
      <c r="E23041" s="1">
        <v>3.79374664095349E-4</v>
      </c>
      <c r="F23041" s="1">
        <v>2.1604092304754702E-3</v>
      </c>
    </row>
    <row r="23042" spans="1:6" x14ac:dyDescent="0.25">
      <c r="A23042" s="2" t="str">
        <f t="shared" si="810"/>
        <v>25540</v>
      </c>
      <c r="B23042" s="2" t="str">
        <f>"06226"</f>
        <v>06226</v>
      </c>
      <c r="C23042" s="1">
        <v>6.9327032590779495E-4</v>
      </c>
      <c r="D23042" s="1">
        <v>9.1695799186199698E-4</v>
      </c>
      <c r="E23042" s="1">
        <v>2.30786253991337E-3</v>
      </c>
      <c r="F23042" s="1">
        <v>7.8994293316743999E-4</v>
      </c>
    </row>
    <row r="23043" spans="1:6" x14ac:dyDescent="0.25">
      <c r="A23043" s="2" t="str">
        <f t="shared" si="810"/>
        <v>25540</v>
      </c>
      <c r="B23043" s="2" t="str">
        <f>"06147"</f>
        <v>06147</v>
      </c>
      <c r="C23043" s="1">
        <v>6.5613084416273396E-4</v>
      </c>
      <c r="D23043" s="1">
        <v>1.85301927522112E-3</v>
      </c>
      <c r="E23043" s="1">
        <v>6.3229110682558198E-5</v>
      </c>
      <c r="F23043" s="1">
        <v>7.2372939296042201E-4</v>
      </c>
    </row>
    <row r="23044" spans="1:6" x14ac:dyDescent="0.25">
      <c r="A23044" s="2" t="str">
        <f t="shared" si="810"/>
        <v>25540</v>
      </c>
      <c r="B23044" s="2" t="str">
        <f>"06131"</f>
        <v>06131</v>
      </c>
      <c r="C23044" s="1">
        <v>1.18315777559264E-3</v>
      </c>
      <c r="D23044" s="1">
        <v>3.9161747569106103E-3</v>
      </c>
      <c r="E23044" s="1">
        <v>3.1614555341279099E-5</v>
      </c>
      <c r="F23044" s="1">
        <v>1.34736855072419E-3</v>
      </c>
    </row>
    <row r="23045" spans="1:6" x14ac:dyDescent="0.25">
      <c r="A23045" s="2" t="str">
        <f t="shared" ref="A23045:A23076" si="811">"25540"</f>
        <v>25540</v>
      </c>
      <c r="B23045" s="2" t="str">
        <f>"06107"</f>
        <v>06107</v>
      </c>
      <c r="C23045" s="1">
        <v>1.4074095034628101E-2</v>
      </c>
      <c r="D23045" s="1">
        <v>1.63524175215389E-2</v>
      </c>
      <c r="E23045" s="1">
        <v>9.1049919382883808E-3</v>
      </c>
      <c r="F23045" s="1">
        <v>1.4015712627076101E-2</v>
      </c>
    </row>
    <row r="23046" spans="1:6" x14ac:dyDescent="0.25">
      <c r="A23046" s="2" t="str">
        <f t="shared" si="811"/>
        <v>25540</v>
      </c>
      <c r="B23046" s="2" t="str">
        <f>"06096"</f>
        <v>06096</v>
      </c>
      <c r="C23046" s="1">
        <v>1.09968236900374E-2</v>
      </c>
      <c r="D23046" s="1">
        <v>1.35060270884673E-2</v>
      </c>
      <c r="E23046" s="1">
        <v>5.6590054060889601E-3</v>
      </c>
      <c r="F23046" s="1">
        <v>1.09390927821081E-2</v>
      </c>
    </row>
    <row r="23047" spans="1:6" x14ac:dyDescent="0.25">
      <c r="A23047" s="2" t="str">
        <f t="shared" si="811"/>
        <v>25540</v>
      </c>
      <c r="B23047" s="2" t="str">
        <f>"06077"</f>
        <v>06077</v>
      </c>
      <c r="C23047" s="1">
        <v>0</v>
      </c>
      <c r="D23047" s="1">
        <v>0</v>
      </c>
      <c r="E23047" s="1">
        <v>4.10989219436628E-4</v>
      </c>
      <c r="F23047" s="1">
        <v>2.0018047039330802E-5</v>
      </c>
    </row>
    <row r="23048" spans="1:6" x14ac:dyDescent="0.25">
      <c r="A23048" s="2" t="str">
        <f t="shared" si="811"/>
        <v>25540</v>
      </c>
      <c r="B23048" s="2" t="str">
        <f>"06064"</f>
        <v>06064</v>
      </c>
      <c r="C23048" s="1">
        <v>0</v>
      </c>
      <c r="D23048" s="1">
        <v>1.91032914971249E-5</v>
      </c>
      <c r="E23048" s="1">
        <v>0</v>
      </c>
      <c r="F23048" s="1">
        <v>1.5398497722562101E-6</v>
      </c>
    </row>
    <row r="23049" spans="1:6" x14ac:dyDescent="0.25">
      <c r="A23049" s="2" t="str">
        <f t="shared" si="811"/>
        <v>25540</v>
      </c>
      <c r="B23049" s="2" t="str">
        <f>"06026"</f>
        <v>06026</v>
      </c>
      <c r="C23049" s="1">
        <v>4.8157527996094997E-3</v>
      </c>
      <c r="D23049" s="1">
        <v>7.0300112709419799E-3</v>
      </c>
      <c r="E23049" s="1">
        <v>2.24463342923081E-3</v>
      </c>
      <c r="F23049" s="1">
        <v>4.8690049798741598E-3</v>
      </c>
    </row>
    <row r="23050" spans="1:6" x14ac:dyDescent="0.25">
      <c r="A23050" s="2" t="str">
        <f t="shared" si="811"/>
        <v>25540</v>
      </c>
      <c r="B23050" s="2" t="str">
        <f>"06002"</f>
        <v>06002</v>
      </c>
      <c r="C23050" s="1">
        <v>1.8824411604496299E-2</v>
      </c>
      <c r="D23050" s="1">
        <v>2.6992950885437499E-2</v>
      </c>
      <c r="E23050" s="1">
        <v>2.59555499351901E-2</v>
      </c>
      <c r="F23050" s="1">
        <v>1.9830185367115501E-2</v>
      </c>
    </row>
    <row r="23051" spans="1:6" x14ac:dyDescent="0.25">
      <c r="A23051" s="2" t="str">
        <f t="shared" si="811"/>
        <v>25540</v>
      </c>
      <c r="B23051" s="2" t="str">
        <f>"06467"</f>
        <v>06467</v>
      </c>
      <c r="C23051" s="1">
        <v>0</v>
      </c>
      <c r="D23051" s="1">
        <v>0</v>
      </c>
      <c r="E23051" s="1">
        <v>5.94353640416047E-3</v>
      </c>
      <c r="F23051" s="1">
        <v>2.89491757184169E-4</v>
      </c>
    </row>
    <row r="23052" spans="1:6" x14ac:dyDescent="0.25">
      <c r="A23052" s="2" t="str">
        <f t="shared" si="811"/>
        <v>25540</v>
      </c>
      <c r="B23052" s="2" t="str">
        <f>"06447"</f>
        <v>06447</v>
      </c>
      <c r="C23052" s="1">
        <v>4.2144469046894702E-3</v>
      </c>
      <c r="D23052" s="1">
        <v>2.92280359906011E-3</v>
      </c>
      <c r="E23052" s="1">
        <v>8.2197843887325697E-4</v>
      </c>
      <c r="F23052" s="1">
        <v>3.9450951165204296E-3</v>
      </c>
    </row>
    <row r="23053" spans="1:6" x14ac:dyDescent="0.25">
      <c r="A23053" s="2" t="str">
        <f t="shared" si="811"/>
        <v>25540</v>
      </c>
      <c r="B23053" s="2" t="str">
        <f>"06414"</f>
        <v>06414</v>
      </c>
      <c r="C23053" s="1">
        <v>0</v>
      </c>
      <c r="D23053" s="1">
        <v>0</v>
      </c>
      <c r="E23053" s="1">
        <v>4.3628086370965102E-3</v>
      </c>
      <c r="F23053" s="1">
        <v>2.12499268571358E-4</v>
      </c>
    </row>
    <row r="23054" spans="1:6" x14ac:dyDescent="0.25">
      <c r="A23054" s="2" t="str">
        <f t="shared" si="811"/>
        <v>25540</v>
      </c>
      <c r="B23054" s="2" t="str">
        <f>"06413"</f>
        <v>06413</v>
      </c>
      <c r="C23054" s="1">
        <v>1.18917083454184E-2</v>
      </c>
      <c r="D23054" s="1">
        <v>1.34296139224788E-2</v>
      </c>
      <c r="E23054" s="1">
        <v>1.04960323733046E-2</v>
      </c>
      <c r="F23054" s="1">
        <v>1.1947694382936001E-2</v>
      </c>
    </row>
    <row r="23055" spans="1:6" x14ac:dyDescent="0.25">
      <c r="A23055" s="2" t="str">
        <f t="shared" si="811"/>
        <v>25540</v>
      </c>
      <c r="B23055" s="2" t="str">
        <f>"06269"</f>
        <v>06269</v>
      </c>
      <c r="C23055" s="1">
        <v>1.17802899001832E-2</v>
      </c>
      <c r="D23055" s="1">
        <v>5.3107150362007296E-3</v>
      </c>
      <c r="E23055" s="1">
        <v>3.9202048623186098E-3</v>
      </c>
      <c r="F23055" s="1">
        <v>1.08759589414456E-2</v>
      </c>
    </row>
    <row r="23056" spans="1:6" x14ac:dyDescent="0.25">
      <c r="A23056" s="2" t="str">
        <f t="shared" si="811"/>
        <v>25540</v>
      </c>
      <c r="B23056" s="2" t="str">
        <f>"06279"</f>
        <v>06279</v>
      </c>
      <c r="C23056" s="1">
        <v>4.7114085413733804E-3</v>
      </c>
      <c r="D23056" s="1">
        <v>2.0058456071981199E-3</v>
      </c>
      <c r="E23056" s="1">
        <v>2.0233315418418602E-3</v>
      </c>
      <c r="F23056" s="1">
        <v>4.3623944048018599E-3</v>
      </c>
    </row>
    <row r="23057" spans="1:6" x14ac:dyDescent="0.25">
      <c r="A23057" s="2" t="str">
        <f t="shared" si="811"/>
        <v>25540</v>
      </c>
      <c r="B23057" s="2" t="str">
        <f>"06268"</f>
        <v>06268</v>
      </c>
      <c r="C23057" s="1">
        <v>8.2626504149010595E-3</v>
      </c>
      <c r="D23057" s="1">
        <v>5.6163677001547299E-3</v>
      </c>
      <c r="E23057" s="1">
        <v>2.60820081565552E-2</v>
      </c>
      <c r="F23057" s="1">
        <v>8.9172700311357603E-3</v>
      </c>
    </row>
    <row r="23058" spans="1:6" x14ac:dyDescent="0.25">
      <c r="A23058" s="2" t="str">
        <f t="shared" si="811"/>
        <v>25540</v>
      </c>
      <c r="B23058" s="2" t="str">
        <f>"06235"</f>
        <v>06235</v>
      </c>
      <c r="C23058" s="1">
        <v>5.30564024929434E-6</v>
      </c>
      <c r="D23058" s="1">
        <v>0</v>
      </c>
      <c r="E23058" s="1">
        <v>0</v>
      </c>
      <c r="F23058" s="1">
        <v>4.6195493167686504E-6</v>
      </c>
    </row>
    <row r="23059" spans="1:6" x14ac:dyDescent="0.25">
      <c r="A23059" s="2" t="str">
        <f t="shared" si="811"/>
        <v>25540</v>
      </c>
      <c r="B23059" s="2" t="str">
        <f>"06237"</f>
        <v>06237</v>
      </c>
      <c r="C23059" s="1">
        <v>5.6416641317496496E-3</v>
      </c>
      <c r="D23059" s="1">
        <v>2.78908055858024E-3</v>
      </c>
      <c r="E23059" s="1">
        <v>1.80202965445291E-3</v>
      </c>
      <c r="F23059" s="1">
        <v>5.2247102772653396E-3</v>
      </c>
    </row>
    <row r="23060" spans="1:6" x14ac:dyDescent="0.25">
      <c r="A23060" s="2" t="str">
        <f t="shared" si="811"/>
        <v>25540</v>
      </c>
      <c r="B23060" s="2" t="str">
        <f>"06141"</f>
        <v>06141</v>
      </c>
      <c r="C23060" s="1">
        <v>4.5628506143931399E-4</v>
      </c>
      <c r="D23060" s="1">
        <v>2.19687852216936E-3</v>
      </c>
      <c r="E23060" s="1">
        <v>3.1614555341279099E-5</v>
      </c>
      <c r="F23060" s="1">
        <v>5.7590381482382495E-4</v>
      </c>
    </row>
    <row r="23061" spans="1:6" x14ac:dyDescent="0.25">
      <c r="A23061" s="2" t="str">
        <f t="shared" si="811"/>
        <v>25540</v>
      </c>
      <c r="B23061" s="2" t="str">
        <f>"06153"</f>
        <v>06153</v>
      </c>
      <c r="C23061" s="1">
        <v>0</v>
      </c>
      <c r="D23061" s="1">
        <v>1.91032914971249E-5</v>
      </c>
      <c r="E23061" s="1">
        <v>3.1614555341279099E-5</v>
      </c>
      <c r="F23061" s="1">
        <v>3.0796995445124299E-6</v>
      </c>
    </row>
    <row r="23062" spans="1:6" x14ac:dyDescent="0.25">
      <c r="A23062" s="2" t="str">
        <f t="shared" si="811"/>
        <v>25540</v>
      </c>
      <c r="B23062" s="2" t="str">
        <f>"06146"</f>
        <v>06146</v>
      </c>
      <c r="C23062" s="1">
        <v>3.8377464469895701E-4</v>
      </c>
      <c r="D23062" s="1">
        <v>1.7766061092326199E-3</v>
      </c>
      <c r="E23062" s="1">
        <v>3.1614555341279099E-5</v>
      </c>
      <c r="F23062" s="1">
        <v>4.7889327917168402E-4</v>
      </c>
    </row>
    <row r="23063" spans="1:6" x14ac:dyDescent="0.25">
      <c r="A23063" s="2" t="str">
        <f t="shared" si="811"/>
        <v>25540</v>
      </c>
      <c r="B23063" s="2" t="str">
        <f>"06144"</f>
        <v>06144</v>
      </c>
      <c r="C23063" s="1">
        <v>3.4309806945436702E-4</v>
      </c>
      <c r="D23063" s="1">
        <v>1.50916002827287E-3</v>
      </c>
      <c r="E23063" s="1">
        <v>3.1614555341279099E-5</v>
      </c>
      <c r="F23063" s="1">
        <v>4.21918837598203E-4</v>
      </c>
    </row>
    <row r="23064" spans="1:6" x14ac:dyDescent="0.25">
      <c r="A23064" s="2" t="str">
        <f t="shared" si="811"/>
        <v>25540</v>
      </c>
      <c r="B23064" s="2" t="str">
        <f>"06134"</f>
        <v>06134</v>
      </c>
      <c r="C23064" s="1">
        <v>1.73671290826901E-3</v>
      </c>
      <c r="D23064" s="1">
        <v>2.3879114371406101E-3</v>
      </c>
      <c r="E23064" s="1">
        <v>3.1614555341279099E-5</v>
      </c>
      <c r="F23064" s="1">
        <v>1.7061535476598901E-3</v>
      </c>
    </row>
    <row r="23065" spans="1:6" x14ac:dyDescent="0.25">
      <c r="A23065" s="2" t="str">
        <f t="shared" si="811"/>
        <v>25540</v>
      </c>
      <c r="B23065" s="2" t="str">
        <f>"06232"</f>
        <v>06232</v>
      </c>
      <c r="C23065" s="1">
        <v>2.3026478681937401E-3</v>
      </c>
      <c r="D23065" s="1">
        <v>5.3489216191949802E-4</v>
      </c>
      <c r="E23065" s="1">
        <v>7.9036388353197803E-4</v>
      </c>
      <c r="F23065" s="1">
        <v>2.0864964414071701E-3</v>
      </c>
    </row>
    <row r="23066" spans="1:6" x14ac:dyDescent="0.25">
      <c r="A23066" s="2" t="str">
        <f t="shared" si="811"/>
        <v>25540</v>
      </c>
      <c r="B23066" s="2" t="str">
        <f>"06111"</f>
        <v>06111</v>
      </c>
      <c r="C23066" s="1">
        <v>2.3212176090662701E-2</v>
      </c>
      <c r="D23066" s="1">
        <v>2.3936424245897502E-2</v>
      </c>
      <c r="E23066" s="1">
        <v>2.1592741298093601E-2</v>
      </c>
      <c r="F23066" s="1">
        <v>2.3191677419950901E-2</v>
      </c>
    </row>
    <row r="23067" spans="1:6" x14ac:dyDescent="0.25">
      <c r="A23067" s="2" t="str">
        <f t="shared" si="811"/>
        <v>25540</v>
      </c>
      <c r="B23067" s="2" t="str">
        <f>"06092"</f>
        <v>06092</v>
      </c>
      <c r="C23067" s="1">
        <v>3.29480259481179E-3</v>
      </c>
      <c r="D23067" s="1">
        <v>2.2159818136664902E-3</v>
      </c>
      <c r="E23067" s="1">
        <v>1.8968733204767401E-4</v>
      </c>
      <c r="F23067" s="1">
        <v>3.0566017979285899E-3</v>
      </c>
    </row>
    <row r="23068" spans="1:6" x14ac:dyDescent="0.25">
      <c r="A23068" s="2" t="str">
        <f t="shared" si="811"/>
        <v>25540</v>
      </c>
      <c r="B23068" s="2" t="str">
        <f>"06089"</f>
        <v>06089</v>
      </c>
      <c r="C23068" s="1">
        <v>2.8827312021165899E-3</v>
      </c>
      <c r="D23068" s="1">
        <v>2.4452213116319902E-3</v>
      </c>
      <c r="E23068" s="1">
        <v>1.2961967689924399E-3</v>
      </c>
      <c r="F23068" s="1">
        <v>2.7701897402889301E-3</v>
      </c>
    </row>
    <row r="23069" spans="1:6" x14ac:dyDescent="0.25">
      <c r="A23069" s="2" t="str">
        <f t="shared" si="811"/>
        <v>25540</v>
      </c>
      <c r="B23069" s="2" t="str">
        <f>"06080"</f>
        <v>06080</v>
      </c>
      <c r="C23069" s="1">
        <v>0</v>
      </c>
      <c r="D23069" s="1">
        <v>3.8206582994249901E-5</v>
      </c>
      <c r="E23069" s="1">
        <v>3.1614555341279099E-5</v>
      </c>
      <c r="F23069" s="1">
        <v>4.6195493167686504E-6</v>
      </c>
    </row>
    <row r="23070" spans="1:6" x14ac:dyDescent="0.25">
      <c r="A23070" s="2" t="str">
        <f t="shared" si="811"/>
        <v>25540</v>
      </c>
      <c r="B23070" s="2" t="str">
        <f>"06074"</f>
        <v>06074</v>
      </c>
      <c r="C23070" s="1">
        <v>2.0218026443310999E-2</v>
      </c>
      <c r="D23070" s="1">
        <v>2.7890805585802401E-2</v>
      </c>
      <c r="E23070" s="1">
        <v>1.65976415541715E-2</v>
      </c>
      <c r="F23070" s="1">
        <v>2.0660164394361601E-2</v>
      </c>
    </row>
    <row r="23071" spans="1:6" x14ac:dyDescent="0.25">
      <c r="A23071" s="2" t="str">
        <f t="shared" si="811"/>
        <v>25540</v>
      </c>
      <c r="B23071" s="2" t="str">
        <f>"06071"</f>
        <v>06071</v>
      </c>
      <c r="C23071" s="1">
        <v>6.4021392341485099E-3</v>
      </c>
      <c r="D23071" s="1">
        <v>2.46432460312911E-3</v>
      </c>
      <c r="E23071" s="1">
        <v>2.24463342923081E-3</v>
      </c>
      <c r="F23071" s="1">
        <v>5.8822261300187501E-3</v>
      </c>
    </row>
    <row r="23072" spans="1:6" x14ac:dyDescent="0.25">
      <c r="A23072" s="2" t="str">
        <f t="shared" si="811"/>
        <v>25540</v>
      </c>
      <c r="B23072" s="2" t="str">
        <f>"06045"</f>
        <v>06045</v>
      </c>
      <c r="C23072" s="1">
        <v>2.55201295991058E-3</v>
      </c>
      <c r="D23072" s="1">
        <v>6.95359810495348E-3</v>
      </c>
      <c r="E23072" s="1">
        <v>6.3229110682558198E-5</v>
      </c>
      <c r="F23072" s="1">
        <v>2.7855882380114902E-3</v>
      </c>
    </row>
    <row r="23073" spans="1:6" x14ac:dyDescent="0.25">
      <c r="A23073" s="2" t="str">
        <f t="shared" si="811"/>
        <v>25540</v>
      </c>
      <c r="B23073" s="2" t="str">
        <f>"06042"</f>
        <v>06042</v>
      </c>
      <c r="C23073" s="1">
        <v>1.9289539399684402E-2</v>
      </c>
      <c r="D23073" s="1">
        <v>2.07079679828834E-2</v>
      </c>
      <c r="E23073" s="1">
        <v>3.2025544560715699E-2</v>
      </c>
      <c r="F23073" s="1">
        <v>2.00242064384198E-2</v>
      </c>
    </row>
    <row r="23074" spans="1:6" x14ac:dyDescent="0.25">
      <c r="A23074" s="2" t="str">
        <f t="shared" si="811"/>
        <v>25540</v>
      </c>
      <c r="B23074" s="2" t="str">
        <f>"06037"</f>
        <v>06037</v>
      </c>
      <c r="C23074" s="1">
        <v>1.47620597202866E-2</v>
      </c>
      <c r="D23074" s="1">
        <v>2.08225877318662E-2</v>
      </c>
      <c r="E23074" s="1">
        <v>4.8054124118744202E-3</v>
      </c>
      <c r="F23074" s="1">
        <v>1.47656194661648E-2</v>
      </c>
    </row>
    <row r="23075" spans="1:6" x14ac:dyDescent="0.25">
      <c r="A23075" s="2" t="str">
        <f t="shared" si="811"/>
        <v>25540</v>
      </c>
      <c r="B23075" s="2" t="str">
        <f>"06011"</f>
        <v>06011</v>
      </c>
      <c r="C23075" s="1">
        <v>2.7854611308795298E-3</v>
      </c>
      <c r="D23075" s="1">
        <v>9.1313733356257198E-3</v>
      </c>
      <c r="E23075" s="1">
        <v>1.2645822136511599E-4</v>
      </c>
      <c r="F23075" s="1">
        <v>3.16747098153104E-3</v>
      </c>
    </row>
    <row r="23076" spans="1:6" x14ac:dyDescent="0.25">
      <c r="A23076" s="2" t="str">
        <f t="shared" si="811"/>
        <v>25540</v>
      </c>
      <c r="B23076" s="2" t="str">
        <f>"06022"</f>
        <v>06022</v>
      </c>
      <c r="C23076" s="1">
        <v>0</v>
      </c>
      <c r="D23076" s="1">
        <v>1.91032914971249E-5</v>
      </c>
      <c r="E23076" s="1">
        <v>0</v>
      </c>
      <c r="F23076" s="1">
        <v>1.5398497722562101E-6</v>
      </c>
    </row>
    <row r="23077" spans="1:6" x14ac:dyDescent="0.25">
      <c r="A23077" s="2" t="str">
        <f t="shared" ref="A23077:A23108" si="812">"25540"</f>
        <v>25540</v>
      </c>
      <c r="B23077" s="2" t="str">
        <f>"06001"</f>
        <v>06001</v>
      </c>
      <c r="C23077" s="1">
        <v>1.5396968003452201E-2</v>
      </c>
      <c r="D23077" s="1">
        <v>2.28857432135556E-2</v>
      </c>
      <c r="E23077" s="1">
        <v>8.1881698333912904E-3</v>
      </c>
      <c r="F23077" s="1">
        <v>1.5649493235439901E-2</v>
      </c>
    </row>
    <row r="23078" spans="1:6" x14ac:dyDescent="0.25">
      <c r="A23078" s="2" t="str">
        <f t="shared" si="812"/>
        <v>25540</v>
      </c>
      <c r="B23078" s="2" t="str">
        <f>"06480"</f>
        <v>06480</v>
      </c>
      <c r="C23078" s="1">
        <v>7.9920627621870508E-3</v>
      </c>
      <c r="D23078" s="1">
        <v>9.8955049955107201E-3</v>
      </c>
      <c r="E23078" s="1">
        <v>4.9002560778982603E-3</v>
      </c>
      <c r="F23078" s="1">
        <v>7.9949000175542802E-3</v>
      </c>
    </row>
    <row r="23079" spans="1:6" x14ac:dyDescent="0.25">
      <c r="A23079" s="2" t="str">
        <f t="shared" si="812"/>
        <v>25540</v>
      </c>
      <c r="B23079" s="2" t="str">
        <f>"06456"</f>
        <v>06456</v>
      </c>
      <c r="C23079" s="1">
        <v>0</v>
      </c>
      <c r="D23079" s="1">
        <v>0</v>
      </c>
      <c r="E23079" s="1">
        <v>3.4776010875406998E-3</v>
      </c>
      <c r="F23079" s="1">
        <v>1.69383474948184E-4</v>
      </c>
    </row>
    <row r="23080" spans="1:6" x14ac:dyDescent="0.25">
      <c r="A23080" s="2" t="str">
        <f t="shared" si="812"/>
        <v>25540</v>
      </c>
      <c r="B23080" s="2" t="str">
        <f>"06442"</f>
        <v>06442</v>
      </c>
      <c r="C23080" s="1">
        <v>1.98077235973655E-3</v>
      </c>
      <c r="D23080" s="1">
        <v>3.2475595545112401E-4</v>
      </c>
      <c r="E23080" s="1">
        <v>3.79374664095349E-4</v>
      </c>
      <c r="F23080" s="1">
        <v>1.7692873883223899E-3</v>
      </c>
    </row>
    <row r="23081" spans="1:6" x14ac:dyDescent="0.25">
      <c r="A23081" s="2" t="str">
        <f t="shared" si="812"/>
        <v>25540</v>
      </c>
      <c r="B23081" s="2" t="str">
        <f>"06441"</f>
        <v>06441</v>
      </c>
      <c r="C23081" s="1">
        <v>3.7616989367496899E-3</v>
      </c>
      <c r="D23081" s="1">
        <v>1.0888876153361199E-3</v>
      </c>
      <c r="E23081" s="1">
        <v>5.6906199614302402E-4</v>
      </c>
      <c r="F23081" s="1">
        <v>3.3907491985081901E-3</v>
      </c>
    </row>
    <row r="23082" spans="1:6" x14ac:dyDescent="0.25">
      <c r="A23082" s="2" t="str">
        <f t="shared" si="812"/>
        <v>25540</v>
      </c>
      <c r="B23082" s="2" t="str">
        <f>"06419"</f>
        <v>06419</v>
      </c>
      <c r="C23082" s="1">
        <v>4.6760376063780798E-3</v>
      </c>
      <c r="D23082" s="1">
        <v>1.60467648575849E-3</v>
      </c>
      <c r="E23082" s="1">
        <v>1.10650943694476E-3</v>
      </c>
      <c r="F23082" s="1">
        <v>4.2546049207439303E-3</v>
      </c>
    </row>
    <row r="23083" spans="1:6" x14ac:dyDescent="0.25">
      <c r="A23083" s="2" t="str">
        <f t="shared" si="812"/>
        <v>25540</v>
      </c>
      <c r="B23083" s="2" t="str">
        <f>"06416"</f>
        <v>06416</v>
      </c>
      <c r="C23083" s="1">
        <v>1.0528158801349699E-2</v>
      </c>
      <c r="D23083" s="1">
        <v>1.03539839914417E-2</v>
      </c>
      <c r="E23083" s="1">
        <v>1.1665770920931901E-2</v>
      </c>
      <c r="F23083" s="1">
        <v>1.05695288367666E-2</v>
      </c>
    </row>
    <row r="23084" spans="1:6" x14ac:dyDescent="0.25">
      <c r="A23084" s="2" t="str">
        <f t="shared" si="812"/>
        <v>25540</v>
      </c>
      <c r="B23084" s="2" t="str">
        <f>"06199"</f>
        <v>06199</v>
      </c>
      <c r="C23084" s="1">
        <v>0</v>
      </c>
      <c r="D23084" s="1">
        <v>1.91032914971249E-5</v>
      </c>
      <c r="E23084" s="1">
        <v>3.1614555341279099E-5</v>
      </c>
      <c r="F23084" s="1">
        <v>3.0796995445124299E-6</v>
      </c>
    </row>
    <row r="23085" spans="1:6" x14ac:dyDescent="0.25">
      <c r="A23085" s="2" t="str">
        <f t="shared" si="812"/>
        <v>25540</v>
      </c>
      <c r="B23085" s="2" t="str">
        <f>"06183"</f>
        <v>06183</v>
      </c>
      <c r="C23085" s="1">
        <v>0</v>
      </c>
      <c r="D23085" s="1">
        <v>3.8206582994249901E-5</v>
      </c>
      <c r="E23085" s="1">
        <v>0</v>
      </c>
      <c r="F23085" s="1">
        <v>3.0796995445124299E-6</v>
      </c>
    </row>
    <row r="23086" spans="1:6" x14ac:dyDescent="0.25">
      <c r="A23086" s="2" t="str">
        <f t="shared" si="812"/>
        <v>25540</v>
      </c>
      <c r="B23086" s="2" t="str">
        <f>"06137"</f>
        <v>06137</v>
      </c>
      <c r="C23086" s="1">
        <v>5.0226727693319798E-4</v>
      </c>
      <c r="D23086" s="1">
        <v>3.4385924694824901E-3</v>
      </c>
      <c r="E23086" s="1">
        <v>3.1614555341279099E-5</v>
      </c>
      <c r="F23086" s="1">
        <v>7.1603014409914103E-4</v>
      </c>
    </row>
    <row r="23087" spans="1:6" x14ac:dyDescent="0.25">
      <c r="A23087" s="2" t="str">
        <f t="shared" si="812"/>
        <v>25540</v>
      </c>
      <c r="B23087" s="2" t="str">
        <f>"06126"</f>
        <v>06126</v>
      </c>
      <c r="C23087" s="1">
        <v>2.4122977666791601E-3</v>
      </c>
      <c r="D23087" s="1">
        <v>3.4959023439738602E-3</v>
      </c>
      <c r="E23087" s="1">
        <v>3.1614555341279099E-5</v>
      </c>
      <c r="F23087" s="1">
        <v>2.3836874474526199E-3</v>
      </c>
    </row>
    <row r="23088" spans="1:6" x14ac:dyDescent="0.25">
      <c r="A23088" s="2" t="str">
        <f t="shared" si="812"/>
        <v>25540</v>
      </c>
      <c r="B23088" s="2" t="str">
        <f>"06127"</f>
        <v>06127</v>
      </c>
      <c r="C23088" s="1">
        <v>6.5789939091249897E-4</v>
      </c>
      <c r="D23088" s="1">
        <v>5.0432689552409801E-3</v>
      </c>
      <c r="E23088" s="1">
        <v>3.1614555341279099E-5</v>
      </c>
      <c r="F23088" s="1">
        <v>9.8088430492721109E-4</v>
      </c>
    </row>
    <row r="23089" spans="1:6" x14ac:dyDescent="0.25">
      <c r="A23089" s="2" t="str">
        <f t="shared" si="812"/>
        <v>25540</v>
      </c>
      <c r="B23089" s="2" t="str">
        <f>"06115"</f>
        <v>06115</v>
      </c>
      <c r="C23089" s="1">
        <v>0</v>
      </c>
      <c r="D23089" s="1">
        <v>0</v>
      </c>
      <c r="E23089" s="1">
        <v>2.8453099807151201E-4</v>
      </c>
      <c r="F23089" s="1">
        <v>1.3858647950305899E-5</v>
      </c>
    </row>
    <row r="23090" spans="1:6" x14ac:dyDescent="0.25">
      <c r="A23090" s="2" t="str">
        <f t="shared" si="812"/>
        <v>25540</v>
      </c>
      <c r="B23090" s="2" t="str">
        <f>"06105"</f>
        <v>06105</v>
      </c>
      <c r="C23090" s="1">
        <v>2.0248091738057E-2</v>
      </c>
      <c r="D23090" s="1">
        <v>1.4747741035780399E-2</v>
      </c>
      <c r="E23090" s="1">
        <v>3.8917517625114598E-2</v>
      </c>
      <c r="F23090" s="1">
        <v>2.07140591363906E-2</v>
      </c>
    </row>
    <row r="23091" spans="1:6" x14ac:dyDescent="0.25">
      <c r="A23091" s="2" t="str">
        <f t="shared" si="812"/>
        <v>25540</v>
      </c>
      <c r="B23091" s="2" t="str">
        <f>"06078"</f>
        <v>06078</v>
      </c>
      <c r="C23091" s="1">
        <v>9.0867932002914494E-3</v>
      </c>
      <c r="D23091" s="1">
        <v>7.9660725543010992E-3</v>
      </c>
      <c r="E23091" s="1">
        <v>6.1648382915494198E-3</v>
      </c>
      <c r="F23091" s="1">
        <v>8.8541361904732503E-3</v>
      </c>
    </row>
    <row r="23092" spans="1:6" x14ac:dyDescent="0.25">
      <c r="A23092" s="2" t="str">
        <f t="shared" si="812"/>
        <v>25540</v>
      </c>
      <c r="B23092" s="2" t="str">
        <f>"06076"</f>
        <v>06076</v>
      </c>
      <c r="C23092" s="1">
        <v>1.01231615956536E-2</v>
      </c>
      <c r="D23092" s="1">
        <v>6.6479454409994797E-3</v>
      </c>
      <c r="E23092" s="1">
        <v>1.29303531345831E-2</v>
      </c>
      <c r="F23092" s="1">
        <v>9.9797663739925498E-3</v>
      </c>
    </row>
    <row r="23093" spans="1:6" x14ac:dyDescent="0.25">
      <c r="A23093" s="2" t="str">
        <f t="shared" si="812"/>
        <v>25540</v>
      </c>
      <c r="B23093" s="2" t="str">
        <f>"06053"</f>
        <v>06053</v>
      </c>
      <c r="C23093" s="1">
        <v>2.56757617130851E-2</v>
      </c>
      <c r="D23093" s="1">
        <v>9.7235753720365994E-3</v>
      </c>
      <c r="E23093" s="1">
        <v>3.2784293888906399E-2</v>
      </c>
      <c r="F23093" s="1">
        <v>2.4736146741523801E-2</v>
      </c>
    </row>
    <row r="23094" spans="1:6" x14ac:dyDescent="0.25">
      <c r="A23094" s="2" t="str">
        <f t="shared" si="812"/>
        <v>25540</v>
      </c>
      <c r="B23094" s="2" t="str">
        <f>"06043"</f>
        <v>06043</v>
      </c>
      <c r="C23094" s="1">
        <v>3.6396692110159199E-3</v>
      </c>
      <c r="D23094" s="1">
        <v>1.37543698779299E-3</v>
      </c>
      <c r="E23094" s="1">
        <v>2.2130188738895299E-3</v>
      </c>
      <c r="F23094" s="1">
        <v>3.3876694989636801E-3</v>
      </c>
    </row>
    <row r="23095" spans="1:6" x14ac:dyDescent="0.25">
      <c r="A23095" s="2" t="str">
        <f t="shared" si="812"/>
        <v>25540</v>
      </c>
      <c r="B23095" s="2" t="str">
        <f>"06033"</f>
        <v>06033</v>
      </c>
      <c r="C23095" s="1">
        <v>2.3022941588437901E-2</v>
      </c>
      <c r="D23095" s="1">
        <v>3.6659216382982703E-2</v>
      </c>
      <c r="E23095" s="1">
        <v>2.09288356359267E-2</v>
      </c>
      <c r="F23095" s="1">
        <v>2.4020116597424701E-2</v>
      </c>
    </row>
    <row r="23096" spans="1:6" x14ac:dyDescent="0.25">
      <c r="A23096" s="2" t="str">
        <f t="shared" si="812"/>
        <v>25540</v>
      </c>
      <c r="B23096" s="2" t="str">
        <f>"06025"</f>
        <v>06025</v>
      </c>
      <c r="C23096" s="1">
        <v>0</v>
      </c>
      <c r="D23096" s="1">
        <v>1.91032914971249E-5</v>
      </c>
      <c r="E23096" s="1">
        <v>0</v>
      </c>
      <c r="F23096" s="1">
        <v>1.5398497722562101E-6</v>
      </c>
    </row>
    <row r="23097" spans="1:6" x14ac:dyDescent="0.25">
      <c r="A23097" s="2" t="str">
        <f t="shared" si="812"/>
        <v>25540</v>
      </c>
      <c r="B23097" s="2" t="str">
        <f>"06020"</f>
        <v>06020</v>
      </c>
      <c r="C23097" s="1">
        <v>0</v>
      </c>
      <c r="D23097" s="1">
        <v>0</v>
      </c>
      <c r="E23097" s="1">
        <v>3.1614555341279099E-5</v>
      </c>
      <c r="F23097" s="1">
        <v>1.5398497722562101E-6</v>
      </c>
    </row>
    <row r="23098" spans="1:6" x14ac:dyDescent="0.25">
      <c r="A23098" s="2" t="str">
        <f t="shared" si="812"/>
        <v>25540</v>
      </c>
      <c r="B23098" s="2" t="str">
        <f>"06029"</f>
        <v>06029</v>
      </c>
      <c r="C23098" s="1">
        <v>1.2625655246570699E-2</v>
      </c>
      <c r="D23098" s="1">
        <v>4.2600340038588596E-3</v>
      </c>
      <c r="E23098" s="1">
        <v>1.58388922259808E-2</v>
      </c>
      <c r="F23098" s="1">
        <v>1.2107838759250601E-2</v>
      </c>
    </row>
    <row r="23099" spans="1:6" x14ac:dyDescent="0.25">
      <c r="A23099" s="2" t="str">
        <f t="shared" si="812"/>
        <v>25540</v>
      </c>
      <c r="B23099" s="2" t="str">
        <f>"06023"</f>
        <v>06023</v>
      </c>
      <c r="C23099" s="1">
        <v>1.37239227781747E-3</v>
      </c>
      <c r="D23099" s="1">
        <v>3.5341089269681101E-3</v>
      </c>
      <c r="E23099" s="1">
        <v>5.0583288546046505E-4</v>
      </c>
      <c r="F23099" s="1">
        <v>1.5044332274943199E-3</v>
      </c>
    </row>
    <row r="23100" spans="1:6" x14ac:dyDescent="0.25">
      <c r="A23100" s="2" t="str">
        <f t="shared" si="812"/>
        <v>25540</v>
      </c>
      <c r="B23100" s="2" t="str">
        <f>"06791"</f>
        <v>06791</v>
      </c>
      <c r="C23100" s="1">
        <v>3.0065294746001299E-5</v>
      </c>
      <c r="D23100" s="1">
        <v>0</v>
      </c>
      <c r="E23100" s="1">
        <v>0</v>
      </c>
      <c r="F23100" s="1">
        <v>2.61774461283557E-5</v>
      </c>
    </row>
    <row r="23101" spans="1:6" x14ac:dyDescent="0.25">
      <c r="A23101" s="2" t="str">
        <f t="shared" si="812"/>
        <v>25540</v>
      </c>
      <c r="B23101" s="2" t="str">
        <f>"06423"</f>
        <v>06423</v>
      </c>
      <c r="C23101" s="1">
        <v>4.4779603704044298E-3</v>
      </c>
      <c r="D23101" s="1">
        <v>2.6744608095974902E-3</v>
      </c>
      <c r="E23101" s="1">
        <v>6.3229110682558201E-4</v>
      </c>
      <c r="F23101" s="1">
        <v>4.1452755869137402E-3</v>
      </c>
    </row>
    <row r="23102" spans="1:6" x14ac:dyDescent="0.25">
      <c r="A23102" s="2" t="str">
        <f t="shared" si="812"/>
        <v>25540</v>
      </c>
      <c r="B23102" s="2" t="str">
        <f>"06238"</f>
        <v>06238</v>
      </c>
      <c r="C23102" s="1">
        <v>9.3184728245106398E-3</v>
      </c>
      <c r="D23102" s="1">
        <v>2.33060156264924E-3</v>
      </c>
      <c r="E23102" s="1">
        <v>2.4659353166197702E-3</v>
      </c>
      <c r="F23102" s="1">
        <v>8.4214384044692496E-3</v>
      </c>
    </row>
    <row r="23103" spans="1:6" x14ac:dyDescent="0.25">
      <c r="A23103" s="2" t="str">
        <f t="shared" si="812"/>
        <v>25540</v>
      </c>
      <c r="B23103" s="2" t="str">
        <f>"06242"</f>
        <v>06242</v>
      </c>
      <c r="C23103" s="1">
        <v>3.89080284948252E-5</v>
      </c>
      <c r="D23103" s="1">
        <v>0</v>
      </c>
      <c r="E23103" s="1">
        <v>0</v>
      </c>
      <c r="F23103" s="1">
        <v>3.3876694989636803E-5</v>
      </c>
    </row>
    <row r="23104" spans="1:6" x14ac:dyDescent="0.25">
      <c r="A23104" s="2" t="str">
        <f t="shared" si="812"/>
        <v>25540</v>
      </c>
      <c r="B23104" s="2" t="str">
        <f>"06161"</f>
        <v>06161</v>
      </c>
      <c r="C23104" s="1">
        <v>0</v>
      </c>
      <c r="D23104" s="1">
        <v>1.91032914971249E-5</v>
      </c>
      <c r="E23104" s="1">
        <v>3.1614555341279099E-5</v>
      </c>
      <c r="F23104" s="1">
        <v>3.0796995445124299E-6</v>
      </c>
    </row>
    <row r="23105" spans="1:6" x14ac:dyDescent="0.25">
      <c r="A23105" s="2" t="str">
        <f t="shared" si="812"/>
        <v>25540</v>
      </c>
      <c r="B23105" s="2" t="str">
        <f>"06156"</f>
        <v>06156</v>
      </c>
      <c r="C23105" s="1">
        <v>0</v>
      </c>
      <c r="D23105" s="1">
        <v>7.6413165988499802E-5</v>
      </c>
      <c r="E23105" s="1">
        <v>3.1614555341279099E-5</v>
      </c>
      <c r="F23105" s="1">
        <v>7.6992488612810904E-6</v>
      </c>
    </row>
    <row r="23106" spans="1:6" x14ac:dyDescent="0.25">
      <c r="A23106" s="2" t="str">
        <f t="shared" si="812"/>
        <v>25540</v>
      </c>
      <c r="B23106" s="2" t="str">
        <f>"06152"</f>
        <v>06152</v>
      </c>
      <c r="C23106" s="1">
        <v>0</v>
      </c>
      <c r="D23106" s="1">
        <v>1.91032914971249E-5</v>
      </c>
      <c r="E23106" s="1">
        <v>3.1614555341279099E-5</v>
      </c>
      <c r="F23106" s="1">
        <v>3.0796995445124299E-6</v>
      </c>
    </row>
    <row r="23107" spans="1:6" x14ac:dyDescent="0.25">
      <c r="A23107" s="2" t="str">
        <f t="shared" si="812"/>
        <v>25540</v>
      </c>
      <c r="B23107" s="2" t="str">
        <f>"06088"</f>
        <v>06088</v>
      </c>
      <c r="C23107" s="1">
        <v>4.4691176366555996E-3</v>
      </c>
      <c r="D23107" s="1">
        <v>8.6346877567004699E-3</v>
      </c>
      <c r="E23107" s="1">
        <v>5.4060889633587303E-3</v>
      </c>
      <c r="F23107" s="1">
        <v>4.8505267826070798E-3</v>
      </c>
    </row>
    <row r="23108" spans="1:6" x14ac:dyDescent="0.25">
      <c r="A23108" s="2" t="str">
        <f t="shared" si="812"/>
        <v>25540</v>
      </c>
      <c r="B23108" s="2" t="str">
        <f>"06084"</f>
        <v>06084</v>
      </c>
      <c r="C23108" s="1">
        <v>9.8278142884429005E-3</v>
      </c>
      <c r="D23108" s="1">
        <v>5.5590578256633598E-3</v>
      </c>
      <c r="E23108" s="1">
        <v>5.6273908507476801E-3</v>
      </c>
      <c r="F23108" s="1">
        <v>9.2791347276159706E-3</v>
      </c>
    </row>
    <row r="23109" spans="1:6" x14ac:dyDescent="0.25">
      <c r="A23109" s="2" t="str">
        <f t="shared" ref="A23109:A23131" si="813">"25540"</f>
        <v>25540</v>
      </c>
      <c r="B23109" s="2" t="str">
        <f>"06070"</f>
        <v>06070</v>
      </c>
      <c r="C23109" s="1">
        <v>1.23886699821023E-2</v>
      </c>
      <c r="D23109" s="1">
        <v>1.34487172139759E-2</v>
      </c>
      <c r="E23109" s="1">
        <v>4.5208814138029104E-3</v>
      </c>
      <c r="F23109" s="1">
        <v>1.20909004117558E-2</v>
      </c>
    </row>
    <row r="23110" spans="1:6" x14ac:dyDescent="0.25">
      <c r="A23110" s="2" t="str">
        <f t="shared" si="813"/>
        <v>25540</v>
      </c>
      <c r="B23110" s="2" t="str">
        <f>"06067"</f>
        <v>06067</v>
      </c>
      <c r="C23110" s="1">
        <v>1.7453787873428599E-2</v>
      </c>
      <c r="D23110" s="1">
        <v>2.4490419699314099E-2</v>
      </c>
      <c r="E23110" s="1">
        <v>6.0510258923208202E-2</v>
      </c>
      <c r="F23110" s="1">
        <v>2.0118137274527399E-2</v>
      </c>
    </row>
    <row r="23111" spans="1:6" x14ac:dyDescent="0.25">
      <c r="A23111" s="2" t="str">
        <f t="shared" si="813"/>
        <v>25540</v>
      </c>
      <c r="B23111" s="2" t="str">
        <f>"06066"</f>
        <v>06066</v>
      </c>
      <c r="C23111" s="1">
        <v>2.91969382918668E-2</v>
      </c>
      <c r="D23111" s="1">
        <v>2.5579307314650301E-2</v>
      </c>
      <c r="E23111" s="1">
        <v>2.2920552622427301E-2</v>
      </c>
      <c r="F23111" s="1">
        <v>2.85996298201147E-2</v>
      </c>
    </row>
    <row r="23112" spans="1:6" x14ac:dyDescent="0.25">
      <c r="A23112" s="2" t="str">
        <f t="shared" si="813"/>
        <v>25540</v>
      </c>
      <c r="B23112" s="2" t="str">
        <f>"06786"</f>
        <v>06786</v>
      </c>
      <c r="C23112" s="1">
        <v>3.5370934995295601E-6</v>
      </c>
      <c r="D23112" s="1">
        <v>0</v>
      </c>
      <c r="E23112" s="1">
        <v>3.1614555341279099E-5</v>
      </c>
      <c r="F23112" s="1">
        <v>4.6195493167686504E-6</v>
      </c>
    </row>
    <row r="23113" spans="1:6" x14ac:dyDescent="0.25">
      <c r="A23113" s="2" t="str">
        <f t="shared" si="813"/>
        <v>25540</v>
      </c>
      <c r="B23113" s="2" t="str">
        <f>"06498"</f>
        <v>06498</v>
      </c>
      <c r="C23113" s="1">
        <v>8.3440035653902407E-3</v>
      </c>
      <c r="D23113" s="1">
        <v>9.83819512101935E-3</v>
      </c>
      <c r="E23113" s="1">
        <v>3.7305175302709301E-3</v>
      </c>
      <c r="F23113" s="1">
        <v>8.2397361313430208E-3</v>
      </c>
    </row>
    <row r="23114" spans="1:6" x14ac:dyDescent="0.25">
      <c r="A23114" s="2" t="str">
        <f t="shared" si="813"/>
        <v>25540</v>
      </c>
      <c r="B23114" s="2" t="str">
        <f>"06481"</f>
        <v>06481</v>
      </c>
      <c r="C23114" s="1">
        <v>1.00276600711663E-3</v>
      </c>
      <c r="D23114" s="1">
        <v>5.1578887042237295E-4</v>
      </c>
      <c r="E23114" s="1">
        <v>1.2645822136511599E-3</v>
      </c>
      <c r="F23114" s="1">
        <v>9.7626475561044196E-4</v>
      </c>
    </row>
    <row r="23115" spans="1:6" x14ac:dyDescent="0.25">
      <c r="A23115" s="2" t="str">
        <f t="shared" si="813"/>
        <v>25540</v>
      </c>
      <c r="B23115" s="2" t="str">
        <f>"06479"</f>
        <v>06479</v>
      </c>
      <c r="C23115" s="1">
        <v>8.2538076811522407E-3</v>
      </c>
      <c r="D23115" s="1">
        <v>8.1380021777752304E-3</v>
      </c>
      <c r="E23115" s="1">
        <v>5.97515095950175E-3</v>
      </c>
      <c r="F23115" s="1">
        <v>8.1334864970573403E-3</v>
      </c>
    </row>
    <row r="23116" spans="1:6" x14ac:dyDescent="0.25">
      <c r="A23116" s="2" t="str">
        <f t="shared" si="813"/>
        <v>25540</v>
      </c>
      <c r="B23116" s="2" t="str">
        <f>"06475"</f>
        <v>06475</v>
      </c>
      <c r="C23116" s="1">
        <v>1.1679482735446599E-2</v>
      </c>
      <c r="D23116" s="1">
        <v>2.0918104189351801E-2</v>
      </c>
      <c r="E23116" s="1">
        <v>8.5991590528279194E-3</v>
      </c>
      <c r="F23116" s="1">
        <v>1.22741425346543E-2</v>
      </c>
    </row>
    <row r="23117" spans="1:6" x14ac:dyDescent="0.25">
      <c r="A23117" s="2" t="str">
        <f t="shared" si="813"/>
        <v>25540</v>
      </c>
      <c r="B23117" s="2" t="str">
        <f>"06444"</f>
        <v>06444</v>
      </c>
      <c r="C23117" s="1">
        <v>9.1964430987768705E-4</v>
      </c>
      <c r="D23117" s="1">
        <v>1.37543698779299E-3</v>
      </c>
      <c r="E23117" s="1">
        <v>6.9235876197401196E-3</v>
      </c>
      <c r="F23117" s="1">
        <v>1.24881816529979E-3</v>
      </c>
    </row>
    <row r="23118" spans="1:6" x14ac:dyDescent="0.25">
      <c r="A23118" s="2" t="str">
        <f t="shared" si="813"/>
        <v>25540</v>
      </c>
      <c r="B23118" s="2" t="str">
        <f>"06417"</f>
        <v>06417</v>
      </c>
      <c r="C23118" s="1">
        <v>3.6255208370177998E-3</v>
      </c>
      <c r="D23118" s="1">
        <v>3.2857661375054899E-3</v>
      </c>
      <c r="E23118" s="1">
        <v>2.5923935379848799E-3</v>
      </c>
      <c r="F23118" s="1">
        <v>3.5478138752783198E-3</v>
      </c>
    </row>
    <row r="23119" spans="1:6" x14ac:dyDescent="0.25">
      <c r="A23119" s="2" t="str">
        <f t="shared" si="813"/>
        <v>25540</v>
      </c>
      <c r="B23119" s="2" t="str">
        <f>"06160"</f>
        <v>06160</v>
      </c>
      <c r="C23119" s="1">
        <v>0</v>
      </c>
      <c r="D23119" s="1">
        <v>3.8206582994249901E-5</v>
      </c>
      <c r="E23119" s="1">
        <v>0</v>
      </c>
      <c r="F23119" s="1">
        <v>3.0796995445124299E-6</v>
      </c>
    </row>
    <row r="23120" spans="1:6" x14ac:dyDescent="0.25">
      <c r="A23120" s="2" t="str">
        <f t="shared" si="813"/>
        <v>25540</v>
      </c>
      <c r="B23120" s="2" t="str">
        <f>"06133"</f>
        <v>06133</v>
      </c>
      <c r="C23120" s="1">
        <v>1.68896214602536E-3</v>
      </c>
      <c r="D23120" s="1">
        <v>4.6994097082927299E-3</v>
      </c>
      <c r="E23120" s="1">
        <v>3.1614555341279099E-5</v>
      </c>
      <c r="F23120" s="1">
        <v>1.85089942625197E-3</v>
      </c>
    </row>
    <row r="23121" spans="1:6" x14ac:dyDescent="0.25">
      <c r="A23121" s="2" t="str">
        <f t="shared" si="813"/>
        <v>25540</v>
      </c>
      <c r="B23121" s="2" t="str">
        <f>"06112"</f>
        <v>06112</v>
      </c>
      <c r="C23121" s="1">
        <v>1.59982738983722E-2</v>
      </c>
      <c r="D23121" s="1">
        <v>7.3165606433988504E-3</v>
      </c>
      <c r="E23121" s="1">
        <v>2.52916442730232E-2</v>
      </c>
      <c r="F23121" s="1">
        <v>1.5751123320408799E-2</v>
      </c>
    </row>
    <row r="23122" spans="1:6" x14ac:dyDescent="0.25">
      <c r="A23122" s="2" t="str">
        <f t="shared" si="813"/>
        <v>25540</v>
      </c>
      <c r="B23122" s="2" t="str">
        <f>"06114"</f>
        <v>06114</v>
      </c>
      <c r="C23122" s="1">
        <v>1.8320375780813299E-2</v>
      </c>
      <c r="D23122" s="1">
        <v>1.93325309950904E-2</v>
      </c>
      <c r="E23122" s="1">
        <v>4.0403401726154697E-2</v>
      </c>
      <c r="F23122" s="1">
        <v>1.9477559769268901E-2</v>
      </c>
    </row>
    <row r="23123" spans="1:6" x14ac:dyDescent="0.25">
      <c r="A23123" s="2" t="str">
        <f t="shared" si="813"/>
        <v>25540</v>
      </c>
      <c r="B23123" s="2" t="str">
        <f>"06109"</f>
        <v>06109</v>
      </c>
      <c r="C23123" s="1">
        <v>2.0829943618729599E-2</v>
      </c>
      <c r="D23123" s="1">
        <v>1.55118726956654E-2</v>
      </c>
      <c r="E23123" s="1">
        <v>1.4669153678353501E-2</v>
      </c>
      <c r="F23123" s="1">
        <v>2.0101198927032601E-2</v>
      </c>
    </row>
    <row r="23124" spans="1:6" x14ac:dyDescent="0.25">
      <c r="A23124" s="2" t="str">
        <f t="shared" si="813"/>
        <v>25540</v>
      </c>
      <c r="B23124" s="2" t="str">
        <f>"06106"</f>
        <v>06106</v>
      </c>
      <c r="C23124" s="1">
        <v>2.8240154500243999E-2</v>
      </c>
      <c r="D23124" s="1">
        <v>3.8378512617724E-2</v>
      </c>
      <c r="E23124" s="1">
        <v>4.9666466441149498E-2</v>
      </c>
      <c r="F23124" s="1">
        <v>3.0100983348064499E-2</v>
      </c>
    </row>
    <row r="23125" spans="1:6" x14ac:dyDescent="0.25">
      <c r="A23125" s="2" t="str">
        <f t="shared" si="813"/>
        <v>25540</v>
      </c>
      <c r="B23125" s="2" t="str">
        <f>"06093"</f>
        <v>06093</v>
      </c>
      <c r="C23125" s="1">
        <v>2.6811168726434101E-3</v>
      </c>
      <c r="D23125" s="1">
        <v>2.8654937245687397E-4</v>
      </c>
      <c r="E23125" s="1">
        <v>6.3229110682558201E-4</v>
      </c>
      <c r="F23125" s="1">
        <v>2.3883069967693899E-3</v>
      </c>
    </row>
    <row r="23126" spans="1:6" x14ac:dyDescent="0.25">
      <c r="A23126" s="2" t="str">
        <f t="shared" si="813"/>
        <v>25540</v>
      </c>
      <c r="B23126" s="2" t="str">
        <f>"06095"</f>
        <v>06095</v>
      </c>
      <c r="C23126" s="1">
        <v>2.1128828019439799E-2</v>
      </c>
      <c r="D23126" s="1">
        <v>1.7899784132806001E-2</v>
      </c>
      <c r="E23126" s="1">
        <v>1.29619676899244E-2</v>
      </c>
      <c r="F23126" s="1">
        <v>2.04707628723741E-2</v>
      </c>
    </row>
    <row r="23127" spans="1:6" x14ac:dyDescent="0.25">
      <c r="A23127" s="2" t="str">
        <f t="shared" si="813"/>
        <v>25540</v>
      </c>
      <c r="B23127" s="2" t="str">
        <f>"06083"</f>
        <v>06083</v>
      </c>
      <c r="C23127" s="1">
        <v>1.8056862315098401E-3</v>
      </c>
      <c r="D23127" s="1">
        <v>4.7567195827841104E-3</v>
      </c>
      <c r="E23127" s="1">
        <v>6.3229110682558198E-5</v>
      </c>
      <c r="F23127" s="1">
        <v>1.95868891030991E-3</v>
      </c>
    </row>
    <row r="23128" spans="1:6" x14ac:dyDescent="0.25">
      <c r="A23128" s="2" t="str">
        <f t="shared" si="813"/>
        <v>25540</v>
      </c>
      <c r="B23128" s="2" t="str">
        <f>"06075"</f>
        <v>06075</v>
      </c>
      <c r="C23128" s="1">
        <v>0</v>
      </c>
      <c r="D23128" s="1">
        <v>3.8206582994249901E-5</v>
      </c>
      <c r="E23128" s="1">
        <v>9.4843666023837305E-5</v>
      </c>
      <c r="F23128" s="1">
        <v>7.6992488612810904E-6</v>
      </c>
    </row>
    <row r="23129" spans="1:6" x14ac:dyDescent="0.25">
      <c r="A23129" s="2" t="str">
        <f t="shared" si="813"/>
        <v>25540</v>
      </c>
      <c r="B23129" s="2" t="str">
        <f>"06034"</f>
        <v>06034</v>
      </c>
      <c r="C23129" s="1">
        <v>1.3635495440686401E-3</v>
      </c>
      <c r="D23129" s="1">
        <v>4.9286492062582303E-3</v>
      </c>
      <c r="E23129" s="1">
        <v>6.3229110682558198E-5</v>
      </c>
      <c r="F23129" s="1">
        <v>1.58758511519616E-3</v>
      </c>
    </row>
    <row r="23130" spans="1:6" x14ac:dyDescent="0.25">
      <c r="A23130" s="2" t="str">
        <f t="shared" si="813"/>
        <v>25540</v>
      </c>
      <c r="B23130" s="2" t="str">
        <f>"06035"</f>
        <v>06035</v>
      </c>
      <c r="C23130" s="1">
        <v>6.7222461958559403E-3</v>
      </c>
      <c r="D23130" s="1">
        <v>5.2725084532064797E-3</v>
      </c>
      <c r="E23130" s="1">
        <v>1.2013531029686001E-3</v>
      </c>
      <c r="F23130" s="1">
        <v>6.3364818128343299E-3</v>
      </c>
    </row>
    <row r="23131" spans="1:6" x14ac:dyDescent="0.25">
      <c r="A23131" s="2" t="str">
        <f t="shared" si="813"/>
        <v>25540</v>
      </c>
      <c r="B23131" s="2" t="str">
        <f>"06016"</f>
        <v>06016</v>
      </c>
      <c r="C23131" s="1">
        <v>5.1146372003197504E-3</v>
      </c>
      <c r="D23131" s="1">
        <v>1.16530078132462E-3</v>
      </c>
      <c r="E23131" s="1">
        <v>4.5841105244854704E-3</v>
      </c>
      <c r="F23131" s="1">
        <v>4.7704545944497597E-3</v>
      </c>
    </row>
    <row r="23132" spans="1:6" x14ac:dyDescent="0.25">
      <c r="A23132" s="2" t="str">
        <f t="shared" ref="A23132:A23195" si="814">"37980"</f>
        <v>37980</v>
      </c>
      <c r="B23132" s="2" t="str">
        <f>"19525"</f>
        <v>19525</v>
      </c>
      <c r="C23132" s="1">
        <v>2.1109825830252899E-3</v>
      </c>
      <c r="D23132" s="1">
        <v>8.8324121032537397E-4</v>
      </c>
      <c r="E23132" s="1">
        <v>5.9037498333618901E-4</v>
      </c>
      <c r="F23132" s="1">
        <v>1.96173960753561E-3</v>
      </c>
    </row>
    <row r="23133" spans="1:6" x14ac:dyDescent="0.25">
      <c r="A23133" s="2" t="str">
        <f t="shared" si="814"/>
        <v>37980</v>
      </c>
      <c r="B23133" s="2" t="str">
        <f>"19897"</f>
        <v>19897</v>
      </c>
      <c r="C23133" s="1">
        <v>0</v>
      </c>
      <c r="D23133" s="1">
        <v>4.0702359922828299E-6</v>
      </c>
      <c r="E23133" s="1">
        <v>0</v>
      </c>
      <c r="F23133" s="1">
        <v>3.2350587195508102E-7</v>
      </c>
    </row>
    <row r="23134" spans="1:6" x14ac:dyDescent="0.25">
      <c r="A23134" s="2" t="str">
        <f t="shared" si="814"/>
        <v>37980</v>
      </c>
      <c r="B23134" s="2" t="str">
        <f>"19894"</f>
        <v>19894</v>
      </c>
      <c r="C23134" s="1">
        <v>0</v>
      </c>
      <c r="D23134" s="1">
        <v>1.2210707976848399E-5</v>
      </c>
      <c r="E23134" s="1">
        <v>0</v>
      </c>
      <c r="F23134" s="1">
        <v>9.7051761586524491E-7</v>
      </c>
    </row>
    <row r="23135" spans="1:6" x14ac:dyDescent="0.25">
      <c r="A23135" s="2" t="str">
        <f t="shared" si="814"/>
        <v>37980</v>
      </c>
      <c r="B23135" s="2" t="str">
        <f>"19899"</f>
        <v>19899</v>
      </c>
      <c r="C23135" s="1">
        <v>6.7690107026999397E-4</v>
      </c>
      <c r="D23135" s="1">
        <v>2.0961715360256501E-3</v>
      </c>
      <c r="E23135" s="1">
        <v>1.90443543011674E-5</v>
      </c>
      <c r="F23135" s="1">
        <v>7.6735592827745398E-4</v>
      </c>
    </row>
    <row r="23136" spans="1:6" x14ac:dyDescent="0.25">
      <c r="A23136" s="2" t="str">
        <f t="shared" si="814"/>
        <v>37980</v>
      </c>
      <c r="B23136" s="2" t="str">
        <f>"19735"</f>
        <v>19735</v>
      </c>
      <c r="C23136" s="1">
        <v>7.2981247468462901E-7</v>
      </c>
      <c r="D23136" s="1">
        <v>4.0702359922828299E-6</v>
      </c>
      <c r="E23136" s="1">
        <v>0</v>
      </c>
      <c r="F23136" s="1">
        <v>9.7051761586524491E-7</v>
      </c>
    </row>
    <row r="23137" spans="1:6" x14ac:dyDescent="0.25">
      <c r="A23137" s="2" t="str">
        <f t="shared" si="814"/>
        <v>37980</v>
      </c>
      <c r="B23137" s="2" t="str">
        <f>"19470"</f>
        <v>19470</v>
      </c>
      <c r="C23137" s="1">
        <v>0</v>
      </c>
      <c r="D23137" s="1">
        <v>4.0702359922828299E-6</v>
      </c>
      <c r="E23137" s="1">
        <v>0</v>
      </c>
      <c r="F23137" s="1">
        <v>3.2350587195508102E-7</v>
      </c>
    </row>
    <row r="23138" spans="1:6" x14ac:dyDescent="0.25">
      <c r="A23138" s="2" t="str">
        <f t="shared" si="814"/>
        <v>37980</v>
      </c>
      <c r="B23138" s="2" t="str">
        <f>"19481"</f>
        <v>19481</v>
      </c>
      <c r="C23138" s="1">
        <v>1.03268465167875E-4</v>
      </c>
      <c r="D23138" s="1">
        <v>4.4365572315882801E-4</v>
      </c>
      <c r="E23138" s="1">
        <v>1.90443543011674E-5</v>
      </c>
      <c r="F23138" s="1">
        <v>1.2746131355030201E-4</v>
      </c>
    </row>
    <row r="23139" spans="1:6" x14ac:dyDescent="0.25">
      <c r="A23139" s="2" t="str">
        <f t="shared" si="814"/>
        <v>37980</v>
      </c>
      <c r="B23139" s="2" t="str">
        <f>"19486"</f>
        <v>19486</v>
      </c>
      <c r="C23139" s="1">
        <v>0</v>
      </c>
      <c r="D23139" s="1">
        <v>4.0702359922828299E-6</v>
      </c>
      <c r="E23139" s="1">
        <v>9.5221771505837001E-6</v>
      </c>
      <c r="F23139" s="1">
        <v>6.4701174391016299E-7</v>
      </c>
    </row>
    <row r="23140" spans="1:6" x14ac:dyDescent="0.25">
      <c r="A23140" s="2" t="str">
        <f t="shared" si="814"/>
        <v>37980</v>
      </c>
      <c r="B23140" s="2" t="str">
        <f>"19477"</f>
        <v>19477</v>
      </c>
      <c r="C23140" s="1">
        <v>1.3319077662994399E-4</v>
      </c>
      <c r="D23140" s="1">
        <v>1.1315256058546199E-3</v>
      </c>
      <c r="E23140" s="1">
        <v>5.7133062903502201E-5</v>
      </c>
      <c r="F23140" s="1">
        <v>2.0995531089884801E-4</v>
      </c>
    </row>
    <row r="23141" spans="1:6" x14ac:dyDescent="0.25">
      <c r="A23141" s="2" t="str">
        <f t="shared" si="814"/>
        <v>37980</v>
      </c>
      <c r="B23141" s="2" t="str">
        <f>"19465"</f>
        <v>19465</v>
      </c>
      <c r="C23141" s="1">
        <v>2.6349879398488499E-3</v>
      </c>
      <c r="D23141" s="1">
        <v>1.75020147668161E-3</v>
      </c>
      <c r="E23141" s="1">
        <v>1.6187701155992299E-3</v>
      </c>
      <c r="F23141" s="1">
        <v>2.5301394245606898E-3</v>
      </c>
    </row>
    <row r="23142" spans="1:6" x14ac:dyDescent="0.25">
      <c r="A23142" s="2" t="str">
        <f t="shared" si="814"/>
        <v>37980</v>
      </c>
      <c r="B23142" s="2" t="str">
        <f>"19462"</f>
        <v>19462</v>
      </c>
      <c r="C23142" s="1">
        <v>2.4671310706713902E-3</v>
      </c>
      <c r="D23142" s="1">
        <v>4.0702359922828299E-3</v>
      </c>
      <c r="E23142" s="1">
        <v>2.4852882363023401E-3</v>
      </c>
      <c r="F23142" s="1">
        <v>2.5951641048236598E-3</v>
      </c>
    </row>
    <row r="23143" spans="1:6" x14ac:dyDescent="0.25">
      <c r="A23143" s="2" t="str">
        <f t="shared" si="814"/>
        <v>37980</v>
      </c>
      <c r="B23143" s="2" t="str">
        <f>"19456"</f>
        <v>19456</v>
      </c>
      <c r="C23143" s="1">
        <v>2.5288002247822401E-4</v>
      </c>
      <c r="D23143" s="1">
        <v>9.2394357024820205E-4</v>
      </c>
      <c r="E23143" s="1">
        <v>0</v>
      </c>
      <c r="F23143" s="1">
        <v>2.9762540219867501E-4</v>
      </c>
    </row>
    <row r="23144" spans="1:6" x14ac:dyDescent="0.25">
      <c r="A23144" s="2" t="str">
        <f t="shared" si="814"/>
        <v>37980</v>
      </c>
      <c r="B23144" s="2" t="str">
        <f>"19181"</f>
        <v>19181</v>
      </c>
      <c r="C23144" s="1">
        <v>0</v>
      </c>
      <c r="D23144" s="1">
        <v>4.0702359922828299E-6</v>
      </c>
      <c r="E23144" s="1">
        <v>0</v>
      </c>
      <c r="F23144" s="1">
        <v>3.2350587195508102E-7</v>
      </c>
    </row>
    <row r="23145" spans="1:6" x14ac:dyDescent="0.25">
      <c r="A23145" s="2" t="str">
        <f t="shared" si="814"/>
        <v>37980</v>
      </c>
      <c r="B23145" s="2" t="str">
        <f>"19176"</f>
        <v>19176</v>
      </c>
      <c r="C23145" s="1">
        <v>0</v>
      </c>
      <c r="D23145" s="1">
        <v>9.7685663814787898E-5</v>
      </c>
      <c r="E23145" s="1">
        <v>1.90443543011674E-5</v>
      </c>
      <c r="F23145" s="1">
        <v>8.4111526708321206E-6</v>
      </c>
    </row>
    <row r="23146" spans="1:6" x14ac:dyDescent="0.25">
      <c r="A23146" s="2" t="str">
        <f t="shared" si="814"/>
        <v>37980</v>
      </c>
      <c r="B23146" s="2" t="str">
        <f>"19172"</f>
        <v>19172</v>
      </c>
      <c r="C23146" s="1">
        <v>0</v>
      </c>
      <c r="D23146" s="1">
        <v>4.0702359922828299E-6</v>
      </c>
      <c r="E23146" s="1">
        <v>0</v>
      </c>
      <c r="F23146" s="1">
        <v>3.2350587195508102E-7</v>
      </c>
    </row>
    <row r="23147" spans="1:6" x14ac:dyDescent="0.25">
      <c r="A23147" s="2" t="str">
        <f t="shared" si="814"/>
        <v>37980</v>
      </c>
      <c r="B23147" s="2" t="str">
        <f>"19320"</f>
        <v>19320</v>
      </c>
      <c r="C23147" s="1">
        <v>8.0691716263505998E-3</v>
      </c>
      <c r="D23147" s="1">
        <v>3.9806908004526098E-3</v>
      </c>
      <c r="E23147" s="1">
        <v>5.0467538898093601E-3</v>
      </c>
      <c r="F23147" s="1">
        <v>7.6415322014509804E-3</v>
      </c>
    </row>
    <row r="23148" spans="1:6" x14ac:dyDescent="0.25">
      <c r="A23148" s="2" t="str">
        <f t="shared" si="814"/>
        <v>37980</v>
      </c>
      <c r="B23148" s="2" t="str">
        <f>"19310"</f>
        <v>19310</v>
      </c>
      <c r="C23148" s="1">
        <v>3.1673861401312903E-4</v>
      </c>
      <c r="D23148" s="1">
        <v>1.18036843776202E-4</v>
      </c>
      <c r="E23148" s="1">
        <v>2.1901007446342499E-4</v>
      </c>
      <c r="F23148" s="1">
        <v>2.9762540219867501E-4</v>
      </c>
    </row>
    <row r="23149" spans="1:6" x14ac:dyDescent="0.25">
      <c r="A23149" s="2" t="str">
        <f t="shared" si="814"/>
        <v>37980</v>
      </c>
      <c r="B23149" s="2" t="str">
        <f>"19432"</f>
        <v>19432</v>
      </c>
      <c r="C23149" s="1">
        <v>0</v>
      </c>
      <c r="D23149" s="1">
        <v>4.0702359922828299E-6</v>
      </c>
      <c r="E23149" s="1">
        <v>0</v>
      </c>
      <c r="F23149" s="1">
        <v>3.2350587195508102E-7</v>
      </c>
    </row>
    <row r="23150" spans="1:6" x14ac:dyDescent="0.25">
      <c r="A23150" s="2" t="str">
        <f t="shared" si="814"/>
        <v>37980</v>
      </c>
      <c r="B23150" s="2" t="str">
        <f>"19428"</f>
        <v>19428</v>
      </c>
      <c r="C23150" s="1">
        <v>3.69029677824283E-3</v>
      </c>
      <c r="D23150" s="1">
        <v>6.74845127520493E-3</v>
      </c>
      <c r="E23150" s="1">
        <v>6.7512235997638503E-3</v>
      </c>
      <c r="F23150" s="1">
        <v>4.0373532819994199E-3</v>
      </c>
    </row>
    <row r="23151" spans="1:6" x14ac:dyDescent="0.25">
      <c r="A23151" s="2" t="str">
        <f t="shared" si="814"/>
        <v>37980</v>
      </c>
      <c r="B23151" s="2" t="str">
        <f>"19369"</f>
        <v>19369</v>
      </c>
      <c r="C23151" s="1">
        <v>1.8391274362052599E-4</v>
      </c>
      <c r="D23151" s="1">
        <v>3.09337935413495E-4</v>
      </c>
      <c r="E23151" s="1">
        <v>1.90443543011674E-5</v>
      </c>
      <c r="F23151" s="1">
        <v>1.8828041747785701E-4</v>
      </c>
    </row>
    <row r="23152" spans="1:6" x14ac:dyDescent="0.25">
      <c r="A23152" s="2" t="str">
        <f t="shared" si="814"/>
        <v>37980</v>
      </c>
      <c r="B23152" s="2" t="str">
        <f>"19390"</f>
        <v>19390</v>
      </c>
      <c r="C23152" s="1">
        <v>1.9934827746010599E-3</v>
      </c>
      <c r="D23152" s="1">
        <v>1.39202070936072E-3</v>
      </c>
      <c r="E23152" s="1">
        <v>1.1236169037688701E-3</v>
      </c>
      <c r="F23152" s="1">
        <v>1.91612527958994E-3</v>
      </c>
    </row>
    <row r="23153" spans="1:6" x14ac:dyDescent="0.25">
      <c r="A23153" s="2" t="str">
        <f t="shared" si="814"/>
        <v>37980</v>
      </c>
      <c r="B23153" s="2" t="str">
        <f>"19381"</f>
        <v>19381</v>
      </c>
      <c r="C23153" s="1">
        <v>3.3863298825366798E-4</v>
      </c>
      <c r="D23153" s="1">
        <v>1.0745423019626599E-3</v>
      </c>
      <c r="E23153" s="1">
        <v>9.5221771505837001E-6</v>
      </c>
      <c r="F23153" s="1">
        <v>3.8594250524241199E-4</v>
      </c>
    </row>
    <row r="23154" spans="1:6" x14ac:dyDescent="0.25">
      <c r="A23154" s="2" t="str">
        <f t="shared" si="814"/>
        <v>37980</v>
      </c>
      <c r="B23154" s="2" t="str">
        <f>"19409"</f>
        <v>19409</v>
      </c>
      <c r="C23154" s="1">
        <v>0</v>
      </c>
      <c r="D23154" s="1">
        <v>0</v>
      </c>
      <c r="E23154" s="1">
        <v>9.5221771505837001E-6</v>
      </c>
      <c r="F23154" s="1">
        <v>3.2350587195508102E-7</v>
      </c>
    </row>
    <row r="23155" spans="1:6" x14ac:dyDescent="0.25">
      <c r="A23155" s="2" t="str">
        <f t="shared" si="814"/>
        <v>37980</v>
      </c>
      <c r="B23155" s="2" t="str">
        <f>"19145"</f>
        <v>19145</v>
      </c>
      <c r="C23155" s="1">
        <v>7.7684888867805401E-3</v>
      </c>
      <c r="D23155" s="1">
        <v>6.0402302125477196E-3</v>
      </c>
      <c r="E23155" s="1">
        <v>5.6942619360490498E-3</v>
      </c>
      <c r="F23155" s="1">
        <v>7.5606557334622097E-3</v>
      </c>
    </row>
    <row r="23156" spans="1:6" x14ac:dyDescent="0.25">
      <c r="A23156" s="2" t="str">
        <f t="shared" si="814"/>
        <v>37980</v>
      </c>
      <c r="B23156" s="2" t="str">
        <f>"19360"</f>
        <v>19360</v>
      </c>
      <c r="C23156" s="1">
        <v>0</v>
      </c>
      <c r="D23156" s="1">
        <v>4.0702359922828299E-6</v>
      </c>
      <c r="E23156" s="1">
        <v>0</v>
      </c>
      <c r="F23156" s="1">
        <v>3.2350587195508102E-7</v>
      </c>
    </row>
    <row r="23157" spans="1:6" x14ac:dyDescent="0.25">
      <c r="A23157" s="2" t="str">
        <f t="shared" si="814"/>
        <v>37980</v>
      </c>
      <c r="B23157" s="2" t="str">
        <f>"19352"</f>
        <v>19352</v>
      </c>
      <c r="C23157" s="1">
        <v>1.03122502672938E-3</v>
      </c>
      <c r="D23157" s="1">
        <v>5.29130678996768E-5</v>
      </c>
      <c r="E23157" s="1">
        <v>3.3327620027042901E-4</v>
      </c>
      <c r="F23157" s="1">
        <v>9.2975587599890502E-4</v>
      </c>
    </row>
    <row r="23158" spans="1:6" x14ac:dyDescent="0.25">
      <c r="A23158" s="2" t="str">
        <f t="shared" si="814"/>
        <v>37980</v>
      </c>
      <c r="B23158" s="2" t="str">
        <f>"19102"</f>
        <v>19102</v>
      </c>
      <c r="C23158" s="1">
        <v>2.1569607689304201E-3</v>
      </c>
      <c r="D23158" s="1">
        <v>8.5800574717322092E-3</v>
      </c>
      <c r="E23158" s="1">
        <v>5.8561389476089803E-3</v>
      </c>
      <c r="F23158" s="1">
        <v>2.7931496984601699E-3</v>
      </c>
    </row>
    <row r="23159" spans="1:6" x14ac:dyDescent="0.25">
      <c r="A23159" s="2" t="str">
        <f t="shared" si="814"/>
        <v>37980</v>
      </c>
      <c r="B23159" s="2" t="str">
        <f>"19081"</f>
        <v>19081</v>
      </c>
      <c r="C23159" s="1">
        <v>1.4866280109325899E-3</v>
      </c>
      <c r="D23159" s="1">
        <v>1.41237188932214E-3</v>
      </c>
      <c r="E23159" s="1">
        <v>1.36167133253347E-3</v>
      </c>
      <c r="F23159" s="1">
        <v>1.47648079960299E-3</v>
      </c>
    </row>
    <row r="23160" spans="1:6" x14ac:dyDescent="0.25">
      <c r="A23160" s="2" t="str">
        <f t="shared" si="814"/>
        <v>37980</v>
      </c>
      <c r="B23160" s="2" t="str">
        <f>"19070"</f>
        <v>19070</v>
      </c>
      <c r="C23160" s="1">
        <v>1.0728243377864E-3</v>
      </c>
      <c r="D23160" s="1">
        <v>5.8611398288872698E-4</v>
      </c>
      <c r="E23160" s="1">
        <v>9.5221771505837004E-4</v>
      </c>
      <c r="F23160" s="1">
        <v>1.0300426963049799E-3</v>
      </c>
    </row>
    <row r="23161" spans="1:6" x14ac:dyDescent="0.25">
      <c r="A23161" s="2" t="str">
        <f t="shared" si="814"/>
        <v>37980</v>
      </c>
      <c r="B23161" s="2" t="str">
        <f>"19129"</f>
        <v>19129</v>
      </c>
      <c r="C23161" s="1">
        <v>1.9934827746010599E-3</v>
      </c>
      <c r="D23161" s="1">
        <v>1.7176395887433501E-3</v>
      </c>
      <c r="E23161" s="1">
        <v>2.98996362528328E-3</v>
      </c>
      <c r="F23161" s="1">
        <v>2.0054129002495501E-3</v>
      </c>
    </row>
    <row r="23162" spans="1:6" x14ac:dyDescent="0.25">
      <c r="A23162" s="2" t="str">
        <f t="shared" si="814"/>
        <v>37980</v>
      </c>
      <c r="B23162" s="2" t="str">
        <f>"19128"</f>
        <v>19128</v>
      </c>
      <c r="C23162" s="1">
        <v>6.8200975759278599E-3</v>
      </c>
      <c r="D23162" s="1">
        <v>3.41085776153301E-3</v>
      </c>
      <c r="E23162" s="1">
        <v>8.8365803957416791E-3</v>
      </c>
      <c r="F23162" s="1">
        <v>6.6176361167131501E-3</v>
      </c>
    </row>
    <row r="23163" spans="1:6" x14ac:dyDescent="0.25">
      <c r="A23163" s="2" t="str">
        <f t="shared" si="814"/>
        <v>37980</v>
      </c>
      <c r="B23163" s="2" t="str">
        <f>"19064"</f>
        <v>19064</v>
      </c>
      <c r="C23163" s="1">
        <v>3.2910893545903298E-3</v>
      </c>
      <c r="D23163" s="1">
        <v>3.3742256376024602E-3</v>
      </c>
      <c r="E23163" s="1">
        <v>2.4091108190976698E-3</v>
      </c>
      <c r="F23163" s="1">
        <v>3.2677328126182801E-3</v>
      </c>
    </row>
    <row r="23164" spans="1:6" x14ac:dyDescent="0.25">
      <c r="A23164" s="2" t="str">
        <f t="shared" si="814"/>
        <v>37980</v>
      </c>
      <c r="B23164" s="2" t="str">
        <f>"19063"</f>
        <v>19063</v>
      </c>
      <c r="C23164" s="1">
        <v>6.34571946738285E-3</v>
      </c>
      <c r="D23164" s="1">
        <v>8.2585088283418599E-3</v>
      </c>
      <c r="E23164" s="1">
        <v>8.3223828296101598E-3</v>
      </c>
      <c r="F23164" s="1">
        <v>6.5649046595844703E-3</v>
      </c>
    </row>
    <row r="23165" spans="1:6" x14ac:dyDescent="0.25">
      <c r="A23165" s="2" t="str">
        <f t="shared" si="814"/>
        <v>37980</v>
      </c>
      <c r="B23165" s="2" t="str">
        <f>"19056"</f>
        <v>19056</v>
      </c>
      <c r="C23165" s="1">
        <v>2.1084282393638901E-3</v>
      </c>
      <c r="D23165" s="1">
        <v>1.0989637179163599E-3</v>
      </c>
      <c r="E23165" s="1">
        <v>4.8563103467976902E-4</v>
      </c>
      <c r="F23165" s="1">
        <v>1.97306231305404E-3</v>
      </c>
    </row>
    <row r="23166" spans="1:6" x14ac:dyDescent="0.25">
      <c r="A23166" s="2" t="str">
        <f t="shared" si="814"/>
        <v>37980</v>
      </c>
      <c r="B23166" s="2" t="str">
        <f>"19055"</f>
        <v>19055</v>
      </c>
      <c r="C23166" s="1">
        <v>1.8168681557273799E-3</v>
      </c>
      <c r="D23166" s="1">
        <v>7.16361534641778E-4</v>
      </c>
      <c r="E23166" s="1">
        <v>3.3327620027042901E-4</v>
      </c>
      <c r="F23166" s="1">
        <v>1.67899547544687E-3</v>
      </c>
    </row>
    <row r="23167" spans="1:6" x14ac:dyDescent="0.25">
      <c r="A23167" s="2" t="str">
        <f t="shared" si="814"/>
        <v>37980</v>
      </c>
      <c r="B23167" s="2" t="str">
        <f>"18946"</f>
        <v>18946</v>
      </c>
      <c r="C23167" s="1">
        <v>0</v>
      </c>
      <c r="D23167" s="1">
        <v>0</v>
      </c>
      <c r="E23167" s="1">
        <v>9.5221771505837001E-6</v>
      </c>
      <c r="F23167" s="1">
        <v>3.2350587195508102E-7</v>
      </c>
    </row>
    <row r="23168" spans="1:6" x14ac:dyDescent="0.25">
      <c r="A23168" s="2" t="str">
        <f t="shared" si="814"/>
        <v>37980</v>
      </c>
      <c r="B23168" s="2" t="str">
        <f>"18963"</f>
        <v>18963</v>
      </c>
      <c r="C23168" s="1">
        <v>1.64572713041384E-4</v>
      </c>
      <c r="D23168" s="1">
        <v>1.5466896770674699E-4</v>
      </c>
      <c r="E23168" s="1">
        <v>1.90443543011674E-5</v>
      </c>
      <c r="F23168" s="1">
        <v>1.5884138312994501E-4</v>
      </c>
    </row>
    <row r="23169" spans="1:6" x14ac:dyDescent="0.25">
      <c r="A23169" s="2" t="str">
        <f t="shared" si="814"/>
        <v>37980</v>
      </c>
      <c r="B23169" s="2" t="str">
        <f>"18916"</f>
        <v>18916</v>
      </c>
      <c r="C23169" s="1">
        <v>0</v>
      </c>
      <c r="D23169" s="1">
        <v>0</v>
      </c>
      <c r="E23169" s="1">
        <v>9.5221771505837001E-6</v>
      </c>
      <c r="F23169" s="1">
        <v>3.2350587195508102E-7</v>
      </c>
    </row>
    <row r="23170" spans="1:6" x14ac:dyDescent="0.25">
      <c r="A23170" s="2" t="str">
        <f t="shared" si="814"/>
        <v>37980</v>
      </c>
      <c r="B23170" s="2" t="str">
        <f>"18912"</f>
        <v>18912</v>
      </c>
      <c r="C23170" s="1">
        <v>2.30255835763E-4</v>
      </c>
      <c r="D23170" s="1">
        <v>6.1053539884242398E-4</v>
      </c>
      <c r="E23170" s="1">
        <v>1.90443543011674E-5</v>
      </c>
      <c r="F23170" s="1">
        <v>2.53305097740829E-4</v>
      </c>
    </row>
    <row r="23171" spans="1:6" x14ac:dyDescent="0.25">
      <c r="A23171" s="2" t="str">
        <f t="shared" si="814"/>
        <v>37980</v>
      </c>
      <c r="B23171" s="2" t="str">
        <f>"19043"</f>
        <v>19043</v>
      </c>
      <c r="C23171" s="1">
        <v>4.20007079181004E-4</v>
      </c>
      <c r="D23171" s="1">
        <v>7.0822106265721197E-4</v>
      </c>
      <c r="E23171" s="1">
        <v>8.4747376640195E-4</v>
      </c>
      <c r="F23171" s="1">
        <v>4.5743730294448497E-4</v>
      </c>
    </row>
    <row r="23172" spans="1:6" x14ac:dyDescent="0.25">
      <c r="A23172" s="2" t="str">
        <f t="shared" si="814"/>
        <v>37980</v>
      </c>
      <c r="B23172" s="2" t="str">
        <f>"19033"</f>
        <v>19033</v>
      </c>
      <c r="C23172" s="1">
        <v>1.16186145969793E-3</v>
      </c>
      <c r="D23172" s="1">
        <v>1.21293032570028E-3</v>
      </c>
      <c r="E23172" s="1">
        <v>1.0760060180159501E-3</v>
      </c>
      <c r="F23172" s="1">
        <v>1.1630036096785101E-3</v>
      </c>
    </row>
    <row r="23173" spans="1:6" x14ac:dyDescent="0.25">
      <c r="A23173" s="2" t="str">
        <f t="shared" si="814"/>
        <v>37980</v>
      </c>
      <c r="B23173" s="2" t="str">
        <f>"19029"</f>
        <v>19029</v>
      </c>
      <c r="C23173" s="1">
        <v>6.8748335115292099E-4</v>
      </c>
      <c r="D23173" s="1">
        <v>9.5650545818646497E-4</v>
      </c>
      <c r="E23173" s="1">
        <v>1.1426612580700401E-3</v>
      </c>
      <c r="F23173" s="1">
        <v>7.2432964730742805E-4</v>
      </c>
    </row>
    <row r="23174" spans="1:6" x14ac:dyDescent="0.25">
      <c r="A23174" s="2" t="str">
        <f t="shared" si="814"/>
        <v>37980</v>
      </c>
      <c r="B23174" s="2" t="str">
        <f>"19014"</f>
        <v>19014</v>
      </c>
      <c r="C23174" s="1">
        <v>3.1878208894224598E-3</v>
      </c>
      <c r="D23174" s="1">
        <v>3.6021588531702999E-3</v>
      </c>
      <c r="E23174" s="1">
        <v>1.67590317850273E-3</v>
      </c>
      <c r="F23174" s="1">
        <v>3.1693870275439299E-3</v>
      </c>
    </row>
    <row r="23175" spans="1:6" x14ac:dyDescent="0.25">
      <c r="A23175" s="2" t="str">
        <f t="shared" si="814"/>
        <v>37980</v>
      </c>
      <c r="B23175" s="2" t="str">
        <f>"19012"</f>
        <v>19012</v>
      </c>
      <c r="C23175" s="1">
        <v>8.55340220330386E-4</v>
      </c>
      <c r="D23175" s="1">
        <v>5.7390327491187903E-4</v>
      </c>
      <c r="E23175" s="1">
        <v>5.7133062903502198E-4</v>
      </c>
      <c r="F23175" s="1">
        <v>8.2332244412568298E-4</v>
      </c>
    </row>
    <row r="23176" spans="1:6" x14ac:dyDescent="0.25">
      <c r="A23176" s="2" t="str">
        <f t="shared" si="814"/>
        <v>37980</v>
      </c>
      <c r="B23176" s="2" t="str">
        <f>"19021"</f>
        <v>19021</v>
      </c>
      <c r="C23176" s="1">
        <v>1.4559758869958301E-3</v>
      </c>
      <c r="D23176" s="1">
        <v>1.0664018299780999E-3</v>
      </c>
      <c r="E23176" s="1">
        <v>7.8081852634786402E-4</v>
      </c>
      <c r="F23176" s="1">
        <v>1.40207444905332E-3</v>
      </c>
    </row>
    <row r="23177" spans="1:6" x14ac:dyDescent="0.25">
      <c r="A23177" s="2" t="str">
        <f t="shared" si="814"/>
        <v>37980</v>
      </c>
      <c r="B23177" s="2" t="str">
        <f>"19020"</f>
        <v>19020</v>
      </c>
      <c r="C23177" s="1">
        <v>9.1500239013585401E-3</v>
      </c>
      <c r="D23177" s="1">
        <v>1.01878006886839E-2</v>
      </c>
      <c r="E23177" s="1">
        <v>7.5701308347140396E-3</v>
      </c>
      <c r="F23177" s="1">
        <v>9.17883210498153E-3</v>
      </c>
    </row>
    <row r="23178" spans="1:6" x14ac:dyDescent="0.25">
      <c r="A23178" s="2" t="str">
        <f t="shared" si="814"/>
        <v>37980</v>
      </c>
      <c r="B23178" s="2" t="str">
        <f>"18981"</f>
        <v>18981</v>
      </c>
      <c r="C23178" s="1">
        <v>0</v>
      </c>
      <c r="D23178" s="1">
        <v>0</v>
      </c>
      <c r="E23178" s="1">
        <v>9.5221771505837001E-6</v>
      </c>
      <c r="F23178" s="1">
        <v>3.2350587195508102E-7</v>
      </c>
    </row>
    <row r="23179" spans="1:6" x14ac:dyDescent="0.25">
      <c r="A23179" s="2" t="str">
        <f t="shared" si="814"/>
        <v>37980</v>
      </c>
      <c r="B23179" s="2" t="str">
        <f>"18974"</f>
        <v>18974</v>
      </c>
      <c r="C23179" s="1">
        <v>6.8897946672602404E-3</v>
      </c>
      <c r="D23179" s="1">
        <v>8.0590672647200007E-3</v>
      </c>
      <c r="E23179" s="1">
        <v>2.3710221104953398E-3</v>
      </c>
      <c r="F23179" s="1">
        <v>6.8292089569717699E-3</v>
      </c>
    </row>
    <row r="23180" spans="1:6" x14ac:dyDescent="0.25">
      <c r="A23180" s="2" t="str">
        <f t="shared" si="814"/>
        <v>37980</v>
      </c>
      <c r="B23180" s="2" t="str">
        <f>"18081"</f>
        <v>18081</v>
      </c>
      <c r="C23180" s="1">
        <v>2.0106333677561499E-4</v>
      </c>
      <c r="D23180" s="1">
        <v>2.0351179961414101E-4</v>
      </c>
      <c r="E23180" s="1">
        <v>9.5221771505837001E-6</v>
      </c>
      <c r="F23180" s="1">
        <v>1.94750534916959E-4</v>
      </c>
    </row>
    <row r="23181" spans="1:6" x14ac:dyDescent="0.25">
      <c r="A23181" s="2" t="str">
        <f t="shared" si="814"/>
        <v>37980</v>
      </c>
      <c r="B23181" s="2" t="str">
        <f>"18077"</f>
        <v>18077</v>
      </c>
      <c r="C23181" s="1">
        <v>3.2440164499731699E-4</v>
      </c>
      <c r="D23181" s="1">
        <v>1.09896371791636E-4</v>
      </c>
      <c r="E23181" s="1">
        <v>3.8088708602334801E-5</v>
      </c>
      <c r="F23181" s="1">
        <v>2.9762540219867501E-4</v>
      </c>
    </row>
    <row r="23182" spans="1:6" x14ac:dyDescent="0.25">
      <c r="A23182" s="2" t="str">
        <f t="shared" si="814"/>
        <v>37980</v>
      </c>
      <c r="B23182" s="2" t="str">
        <f>"18070"</f>
        <v>18070</v>
      </c>
      <c r="C23182" s="1">
        <v>9.1226559335578705E-5</v>
      </c>
      <c r="D23182" s="1">
        <v>3.2561887938262599E-5</v>
      </c>
      <c r="E23182" s="1">
        <v>5.7133062903502201E-5</v>
      </c>
      <c r="F23182" s="1">
        <v>8.5405550196141603E-5</v>
      </c>
    </row>
    <row r="23183" spans="1:6" x14ac:dyDescent="0.25">
      <c r="A23183" s="2" t="str">
        <f t="shared" si="814"/>
        <v>37980</v>
      </c>
      <c r="B23183" s="2" t="str">
        <f>"21918"</f>
        <v>21918</v>
      </c>
      <c r="C23183" s="1">
        <v>6.7252219542188597E-4</v>
      </c>
      <c r="D23183" s="1">
        <v>1.91301091637293E-4</v>
      </c>
      <c r="E23183" s="1">
        <v>1.1426612580700399E-4</v>
      </c>
      <c r="F23183" s="1">
        <v>6.1530816845856498E-4</v>
      </c>
    </row>
    <row r="23184" spans="1:6" x14ac:dyDescent="0.25">
      <c r="A23184" s="2" t="str">
        <f t="shared" si="814"/>
        <v>37980</v>
      </c>
      <c r="B23184" s="2" t="str">
        <f>"21901"</f>
        <v>21901</v>
      </c>
      <c r="C23184" s="1">
        <v>3.1235973916502102E-3</v>
      </c>
      <c r="D23184" s="1">
        <v>1.69321817278965E-3</v>
      </c>
      <c r="E23184" s="1">
        <v>2.6281208935611E-3</v>
      </c>
      <c r="F23184" s="1">
        <v>2.9930763273284099E-3</v>
      </c>
    </row>
    <row r="23185" spans="1:6" x14ac:dyDescent="0.25">
      <c r="A23185" s="2" t="str">
        <f t="shared" si="814"/>
        <v>37980</v>
      </c>
      <c r="B23185" s="2" t="str">
        <f>"08224"</f>
        <v>08224</v>
      </c>
      <c r="C23185" s="1">
        <v>9.8524684082424995E-6</v>
      </c>
      <c r="D23185" s="1">
        <v>0</v>
      </c>
      <c r="E23185" s="1">
        <v>9.5221771505837001E-6</v>
      </c>
      <c r="F23185" s="1">
        <v>9.0581644147422904E-6</v>
      </c>
    </row>
    <row r="23186" spans="1:6" x14ac:dyDescent="0.25">
      <c r="A23186" s="2" t="str">
        <f t="shared" si="814"/>
        <v>37980</v>
      </c>
      <c r="B23186" s="2" t="str">
        <f>"08347"</f>
        <v>08347</v>
      </c>
      <c r="C23186" s="1">
        <v>1.3647493276602499E-4</v>
      </c>
      <c r="D23186" s="1">
        <v>1.9537132762957501E-4</v>
      </c>
      <c r="E23186" s="1">
        <v>1.90443543011674E-5</v>
      </c>
      <c r="F23186" s="1">
        <v>1.3716648970895401E-4</v>
      </c>
    </row>
    <row r="23187" spans="1:6" x14ac:dyDescent="0.25">
      <c r="A23187" s="2" t="str">
        <f t="shared" si="814"/>
        <v>37980</v>
      </c>
      <c r="B23187" s="2" t="str">
        <f>"08101"</f>
        <v>08101</v>
      </c>
      <c r="C23187" s="1">
        <v>5.0065135763365605E-4</v>
      </c>
      <c r="D23187" s="1">
        <v>1.05826135799353E-3</v>
      </c>
      <c r="E23187" s="1">
        <v>1.90443543011674E-5</v>
      </c>
      <c r="F23187" s="1">
        <v>5.2860859477460301E-4</v>
      </c>
    </row>
    <row r="23188" spans="1:6" x14ac:dyDescent="0.25">
      <c r="A23188" s="2" t="str">
        <f t="shared" si="814"/>
        <v>37980</v>
      </c>
      <c r="B23188" s="2" t="str">
        <f>"08093"</f>
        <v>08093</v>
      </c>
      <c r="C23188" s="1">
        <v>1.5866123199643799E-3</v>
      </c>
      <c r="D23188" s="1">
        <v>1.51412778912921E-3</v>
      </c>
      <c r="E23188" s="1">
        <v>1.1045725494677099E-3</v>
      </c>
      <c r="F23188" s="1">
        <v>1.5644743967747701E-3</v>
      </c>
    </row>
    <row r="23189" spans="1:6" x14ac:dyDescent="0.25">
      <c r="A23189" s="2" t="str">
        <f t="shared" si="814"/>
        <v>37980</v>
      </c>
      <c r="B23189" s="2" t="str">
        <f>"08016"</f>
        <v>08016</v>
      </c>
      <c r="C23189" s="1">
        <v>5.2050225694507696E-3</v>
      </c>
      <c r="D23189" s="1">
        <v>5.6861196812191097E-3</v>
      </c>
      <c r="E23189" s="1">
        <v>2.6376430707116798E-3</v>
      </c>
      <c r="F23189" s="1">
        <v>5.1560365872200904E-3</v>
      </c>
    </row>
    <row r="23190" spans="1:6" x14ac:dyDescent="0.25">
      <c r="A23190" s="2" t="str">
        <f t="shared" si="814"/>
        <v>37980</v>
      </c>
      <c r="B23190" s="2" t="str">
        <f>"08001"</f>
        <v>08001</v>
      </c>
      <c r="C23190" s="1">
        <v>1.3683983900336801E-4</v>
      </c>
      <c r="D23190" s="1">
        <v>7.7334483853373805E-5</v>
      </c>
      <c r="E23190" s="1">
        <v>9.5221771505837001E-6</v>
      </c>
      <c r="F23190" s="1">
        <v>1.27784819422257E-4</v>
      </c>
    </row>
    <row r="23191" spans="1:6" x14ac:dyDescent="0.25">
      <c r="A23191" s="2" t="str">
        <f t="shared" si="814"/>
        <v>37980</v>
      </c>
      <c r="B23191" s="2" t="str">
        <f>"08065"</f>
        <v>08065</v>
      </c>
      <c r="C23191" s="1">
        <v>1.2436004568625999E-3</v>
      </c>
      <c r="D23191" s="1">
        <v>8.3032814242569696E-4</v>
      </c>
      <c r="E23191" s="1">
        <v>8.6651812070311703E-4</v>
      </c>
      <c r="F23191" s="1">
        <v>1.1979422438496601E-3</v>
      </c>
    </row>
    <row r="23192" spans="1:6" x14ac:dyDescent="0.25">
      <c r="A23192" s="2" t="str">
        <f t="shared" si="814"/>
        <v>37980</v>
      </c>
      <c r="B23192" s="2" t="str">
        <f>"08045"</f>
        <v>08045</v>
      </c>
      <c r="C23192" s="1">
        <v>4.5430826549118199E-4</v>
      </c>
      <c r="D23192" s="1">
        <v>3.2154864339034302E-4</v>
      </c>
      <c r="E23192" s="1">
        <v>5.0467538898093601E-4</v>
      </c>
      <c r="F23192" s="1">
        <v>4.45467585682147E-4</v>
      </c>
    </row>
    <row r="23193" spans="1:6" x14ac:dyDescent="0.25">
      <c r="A23193" s="2" t="str">
        <f t="shared" si="814"/>
        <v>37980</v>
      </c>
      <c r="B23193" s="2" t="str">
        <f>"08056"</f>
        <v>08056</v>
      </c>
      <c r="C23193" s="1">
        <v>6.1596172863382704E-4</v>
      </c>
      <c r="D23193" s="1">
        <v>1.99441563621858E-4</v>
      </c>
      <c r="E23193" s="1">
        <v>1.99965720162257E-4</v>
      </c>
      <c r="F23193" s="1">
        <v>5.6872332289703304E-4</v>
      </c>
    </row>
    <row r="23194" spans="1:6" x14ac:dyDescent="0.25">
      <c r="A23194" s="2" t="str">
        <f t="shared" si="814"/>
        <v>37980</v>
      </c>
      <c r="B23194" s="2" t="str">
        <f>"08026"</f>
        <v>08026</v>
      </c>
      <c r="C23194" s="1">
        <v>3.0871067679159799E-4</v>
      </c>
      <c r="D23194" s="1">
        <v>6.1053539884242398E-4</v>
      </c>
      <c r="E23194" s="1">
        <v>4.18975794625683E-4</v>
      </c>
      <c r="F23194" s="1">
        <v>3.3644610683328501E-4</v>
      </c>
    </row>
    <row r="23195" spans="1:6" x14ac:dyDescent="0.25">
      <c r="A23195" s="2" t="str">
        <f t="shared" si="814"/>
        <v>37980</v>
      </c>
      <c r="B23195" s="2" t="str">
        <f>"08021"</f>
        <v>08021</v>
      </c>
      <c r="C23195" s="1">
        <v>8.07136106377466E-3</v>
      </c>
      <c r="D23195" s="1">
        <v>3.8585837206841201E-3</v>
      </c>
      <c r="E23195" s="1">
        <v>8.2081167038031509E-3</v>
      </c>
      <c r="F23195" s="1">
        <v>7.7411720100131502E-3</v>
      </c>
    </row>
    <row r="23196" spans="1:6" x14ac:dyDescent="0.25">
      <c r="A23196" s="2" t="str">
        <f t="shared" ref="A23196:A23259" si="815">"37980"</f>
        <v>37980</v>
      </c>
      <c r="B23196" s="2" t="str">
        <f>"19543"</f>
        <v>19543</v>
      </c>
      <c r="C23196" s="1">
        <v>4.59781859051316E-5</v>
      </c>
      <c r="D23196" s="1">
        <v>4.0702359922828299E-6</v>
      </c>
      <c r="E23196" s="1">
        <v>0</v>
      </c>
      <c r="F23196" s="1">
        <v>4.1085245738295297E-5</v>
      </c>
    </row>
    <row r="23197" spans="1:6" x14ac:dyDescent="0.25">
      <c r="A23197" s="2" t="str">
        <f t="shared" si="815"/>
        <v>37980</v>
      </c>
      <c r="B23197" s="2" t="str">
        <f>"19898"</f>
        <v>19898</v>
      </c>
      <c r="C23197" s="1">
        <v>0</v>
      </c>
      <c r="D23197" s="1">
        <v>8.1404719845656599E-6</v>
      </c>
      <c r="E23197" s="1">
        <v>0</v>
      </c>
      <c r="F23197" s="1">
        <v>6.4701174391016299E-7</v>
      </c>
    </row>
    <row r="23198" spans="1:6" x14ac:dyDescent="0.25">
      <c r="A23198" s="2" t="str">
        <f t="shared" si="815"/>
        <v>37980</v>
      </c>
      <c r="B23198" s="2" t="str">
        <f>"19808"</f>
        <v>19808</v>
      </c>
      <c r="C23198" s="1">
        <v>6.4157814649525797E-3</v>
      </c>
      <c r="D23198" s="1">
        <v>5.6413470853039997E-3</v>
      </c>
      <c r="E23198" s="1">
        <v>5.2467196099716196E-3</v>
      </c>
      <c r="F23198" s="1">
        <v>6.3145111146912401E-3</v>
      </c>
    </row>
    <row r="23199" spans="1:6" x14ac:dyDescent="0.25">
      <c r="A23199" s="2" t="str">
        <f t="shared" si="815"/>
        <v>37980</v>
      </c>
      <c r="B23199" s="2" t="str">
        <f>"19711"</f>
        <v>19711</v>
      </c>
      <c r="C23199" s="1">
        <v>7.98743262918593E-3</v>
      </c>
      <c r="D23199" s="1">
        <v>5.9506850207174996E-3</v>
      </c>
      <c r="E23199" s="1">
        <v>8.9508465215486794E-3</v>
      </c>
      <c r="F23199" s="1">
        <v>7.8582811356608905E-3</v>
      </c>
    </row>
    <row r="23200" spans="1:6" x14ac:dyDescent="0.25">
      <c r="A23200" s="2" t="str">
        <f t="shared" si="815"/>
        <v>37980</v>
      </c>
      <c r="B23200" s="2" t="str">
        <f>"19709"</f>
        <v>19709</v>
      </c>
      <c r="C23200" s="1">
        <v>7.3999335870647996E-3</v>
      </c>
      <c r="D23200" s="1">
        <v>5.3686412738210504E-3</v>
      </c>
      <c r="E23200" s="1">
        <v>1.58068140699689E-3</v>
      </c>
      <c r="F23200" s="1">
        <v>7.0407817972304E-3</v>
      </c>
    </row>
    <row r="23201" spans="1:6" x14ac:dyDescent="0.25">
      <c r="A23201" s="2" t="str">
        <f t="shared" si="815"/>
        <v>37980</v>
      </c>
      <c r="B23201" s="2" t="str">
        <f>"19731"</f>
        <v>19731</v>
      </c>
      <c r="C23201" s="1">
        <v>2.00698430538273E-5</v>
      </c>
      <c r="D23201" s="1">
        <v>0</v>
      </c>
      <c r="E23201" s="1">
        <v>9.5221771505837001E-6</v>
      </c>
      <c r="F23201" s="1">
        <v>1.8116328829484499E-5</v>
      </c>
    </row>
    <row r="23202" spans="1:6" x14ac:dyDescent="0.25">
      <c r="A23202" s="2" t="str">
        <f t="shared" si="815"/>
        <v>37980</v>
      </c>
      <c r="B23202" s="2" t="str">
        <f>"19803"</f>
        <v>19803</v>
      </c>
      <c r="C23202" s="1">
        <v>3.5311976587615798E-3</v>
      </c>
      <c r="D23202" s="1">
        <v>5.6861196812191097E-3</v>
      </c>
      <c r="E23202" s="1">
        <v>1.82825801291207E-3</v>
      </c>
      <c r="F23202" s="1">
        <v>3.6446171534459501E-3</v>
      </c>
    </row>
    <row r="23203" spans="1:6" x14ac:dyDescent="0.25">
      <c r="A23203" s="2" t="str">
        <f t="shared" si="815"/>
        <v>37980</v>
      </c>
      <c r="B23203" s="2" t="str">
        <f>"19482"</f>
        <v>19482</v>
      </c>
      <c r="C23203" s="1">
        <v>5.4735935601347197E-6</v>
      </c>
      <c r="D23203" s="1">
        <v>7.32642478610909E-5</v>
      </c>
      <c r="E23203" s="1">
        <v>9.5221771505837001E-6</v>
      </c>
      <c r="F23203" s="1">
        <v>1.09991996464727E-5</v>
      </c>
    </row>
    <row r="23204" spans="1:6" x14ac:dyDescent="0.25">
      <c r="A23204" s="2" t="str">
        <f t="shared" si="815"/>
        <v>37980</v>
      </c>
      <c r="B23204" s="2" t="str">
        <f>"19492"</f>
        <v>19492</v>
      </c>
      <c r="C23204" s="1">
        <v>5.6925373025401097E-5</v>
      </c>
      <c r="D23204" s="1">
        <v>6.5123775876525306E-5</v>
      </c>
      <c r="E23204" s="1">
        <v>9.5221771505837001E-6</v>
      </c>
      <c r="F23204" s="1">
        <v>5.5966515848229101E-5</v>
      </c>
    </row>
    <row r="23205" spans="1:6" x14ac:dyDescent="0.25">
      <c r="A23205" s="2" t="str">
        <f t="shared" si="815"/>
        <v>37980</v>
      </c>
      <c r="B23205" s="2" t="str">
        <f>"19451"</f>
        <v>19451</v>
      </c>
      <c r="C23205" s="1">
        <v>2.9192498987385101E-6</v>
      </c>
      <c r="D23205" s="1">
        <v>1.6280943969131299E-5</v>
      </c>
      <c r="E23205" s="1">
        <v>9.5221771505837001E-6</v>
      </c>
      <c r="F23205" s="1">
        <v>4.2055763354160603E-6</v>
      </c>
    </row>
    <row r="23206" spans="1:6" x14ac:dyDescent="0.25">
      <c r="A23206" s="2" t="str">
        <f t="shared" si="815"/>
        <v>37980</v>
      </c>
      <c r="B23206" s="2" t="str">
        <f>"19192"</f>
        <v>19192</v>
      </c>
      <c r="C23206" s="1">
        <v>0</v>
      </c>
      <c r="D23206" s="1">
        <v>4.0702359922828299E-6</v>
      </c>
      <c r="E23206" s="1">
        <v>1.90443543011674E-5</v>
      </c>
      <c r="F23206" s="1">
        <v>9.7051761586524491E-7</v>
      </c>
    </row>
    <row r="23207" spans="1:6" x14ac:dyDescent="0.25">
      <c r="A23207" s="2" t="str">
        <f t="shared" si="815"/>
        <v>37980</v>
      </c>
      <c r="B23207" s="2" t="str">
        <f>"19190"</f>
        <v>19190</v>
      </c>
      <c r="C23207" s="1">
        <v>0</v>
      </c>
      <c r="D23207" s="1">
        <v>0</v>
      </c>
      <c r="E23207" s="1">
        <v>9.5221771505837001E-6</v>
      </c>
      <c r="F23207" s="1">
        <v>3.2350587195508102E-7</v>
      </c>
    </row>
    <row r="23208" spans="1:6" x14ac:dyDescent="0.25">
      <c r="A23208" s="2" t="str">
        <f t="shared" si="815"/>
        <v>37980</v>
      </c>
      <c r="B23208" s="2" t="str">
        <f>"19311"</f>
        <v>19311</v>
      </c>
      <c r="C23208" s="1">
        <v>1.09216436836554E-3</v>
      </c>
      <c r="D23208" s="1">
        <v>6.9601035468036402E-4</v>
      </c>
      <c r="E23208" s="1">
        <v>8.6651812070311703E-4</v>
      </c>
      <c r="F23208" s="1">
        <v>1.05301161321379E-3</v>
      </c>
    </row>
    <row r="23209" spans="1:6" x14ac:dyDescent="0.25">
      <c r="A23209" s="2" t="str">
        <f t="shared" si="815"/>
        <v>37980</v>
      </c>
      <c r="B23209" s="2" t="str">
        <f>"19148"</f>
        <v>19148</v>
      </c>
      <c r="C23209" s="1">
        <v>8.3373777107972093E-3</v>
      </c>
      <c r="D23209" s="1">
        <v>7.3386354940859402E-3</v>
      </c>
      <c r="E23209" s="1">
        <v>7.8177074406292207E-3</v>
      </c>
      <c r="F23209" s="1">
        <v>8.2403415704398394E-3</v>
      </c>
    </row>
    <row r="23210" spans="1:6" x14ac:dyDescent="0.25">
      <c r="A23210" s="2" t="str">
        <f t="shared" si="815"/>
        <v>37980</v>
      </c>
      <c r="B23210" s="2" t="str">
        <f>"19440"</f>
        <v>19440</v>
      </c>
      <c r="C23210" s="1">
        <v>3.2560583558054702E-3</v>
      </c>
      <c r="D23210" s="1">
        <v>2.4543523033465401E-3</v>
      </c>
      <c r="E23210" s="1">
        <v>2.1615342131825E-3</v>
      </c>
      <c r="F23210" s="1">
        <v>3.1551527691779102E-3</v>
      </c>
    </row>
    <row r="23211" spans="1:6" x14ac:dyDescent="0.25">
      <c r="A23211" s="2" t="str">
        <f t="shared" si="815"/>
        <v>37980</v>
      </c>
      <c r="B23211" s="2" t="str">
        <f>"19373"</f>
        <v>19373</v>
      </c>
      <c r="C23211" s="1">
        <v>3.0907558302893998E-4</v>
      </c>
      <c r="D23211" s="1">
        <v>3.6632123930545403E-5</v>
      </c>
      <c r="E23211" s="1">
        <v>8.5699594355253294E-5</v>
      </c>
      <c r="F23211" s="1">
        <v>2.79832579241145E-4</v>
      </c>
    </row>
    <row r="23212" spans="1:6" x14ac:dyDescent="0.25">
      <c r="A23212" s="2" t="str">
        <f t="shared" si="815"/>
        <v>37980</v>
      </c>
      <c r="B23212" s="2" t="str">
        <f>"19423"</f>
        <v>19423</v>
      </c>
      <c r="C23212" s="1">
        <v>0</v>
      </c>
      <c r="D23212" s="1">
        <v>4.0702359922828299E-6</v>
      </c>
      <c r="E23212" s="1">
        <v>0</v>
      </c>
      <c r="F23212" s="1">
        <v>3.2350587195508102E-7</v>
      </c>
    </row>
    <row r="23213" spans="1:6" x14ac:dyDescent="0.25">
      <c r="A23213" s="2" t="str">
        <f t="shared" si="815"/>
        <v>37980</v>
      </c>
      <c r="B23213" s="2" t="str">
        <f>"19404"</f>
        <v>19404</v>
      </c>
      <c r="C23213" s="1">
        <v>3.2659108242137099E-4</v>
      </c>
      <c r="D23213" s="1">
        <v>6.5530799475753605E-4</v>
      </c>
      <c r="E23213" s="1">
        <v>9.5221771505837001E-6</v>
      </c>
      <c r="F23213" s="1">
        <v>3.4194570665652103E-4</v>
      </c>
    </row>
    <row r="23214" spans="1:6" x14ac:dyDescent="0.25">
      <c r="A23214" s="2" t="str">
        <f t="shared" si="815"/>
        <v>37980</v>
      </c>
      <c r="B23214" s="2" t="str">
        <f>"19141"</f>
        <v>19141</v>
      </c>
      <c r="C23214" s="1">
        <v>5.4028017500903098E-3</v>
      </c>
      <c r="D23214" s="1">
        <v>4.1760621280821798E-3</v>
      </c>
      <c r="E23214" s="1">
        <v>1.0169685196823401E-2</v>
      </c>
      <c r="F23214" s="1">
        <v>5.46724923604088E-3</v>
      </c>
    </row>
    <row r="23215" spans="1:6" x14ac:dyDescent="0.25">
      <c r="A23215" s="2" t="str">
        <f t="shared" si="815"/>
        <v>37980</v>
      </c>
      <c r="B23215" s="2" t="str">
        <f>"19354"</f>
        <v>19354</v>
      </c>
      <c r="C23215" s="1">
        <v>0</v>
      </c>
      <c r="D23215" s="1">
        <v>0</v>
      </c>
      <c r="E23215" s="1">
        <v>9.5221771505837001E-6</v>
      </c>
      <c r="F23215" s="1">
        <v>3.2350587195508102E-7</v>
      </c>
    </row>
    <row r="23216" spans="1:6" x14ac:dyDescent="0.25">
      <c r="A23216" s="2" t="str">
        <f t="shared" si="815"/>
        <v>37980</v>
      </c>
      <c r="B23216" s="2" t="str">
        <f>"19350"</f>
        <v>19350</v>
      </c>
      <c r="C23216" s="1">
        <v>1.4592600431319099E-3</v>
      </c>
      <c r="D23216" s="1">
        <v>1.4652849572218099E-4</v>
      </c>
      <c r="E23216" s="1">
        <v>4.5706450322801799E-4</v>
      </c>
      <c r="F23216" s="1">
        <v>1.32087447519259E-3</v>
      </c>
    </row>
    <row r="23217" spans="1:6" x14ac:dyDescent="0.25">
      <c r="A23217" s="2" t="str">
        <f t="shared" si="815"/>
        <v>37980</v>
      </c>
      <c r="B23217" s="2" t="str">
        <f>"19344"</f>
        <v>19344</v>
      </c>
      <c r="C23217" s="1">
        <v>1.7723495947716201E-3</v>
      </c>
      <c r="D23217" s="1">
        <v>6.7972941071123305E-4</v>
      </c>
      <c r="E23217" s="1">
        <v>7.0464110914319404E-4</v>
      </c>
      <c r="F23217" s="1">
        <v>1.6492329352270001E-3</v>
      </c>
    </row>
    <row r="23218" spans="1:6" x14ac:dyDescent="0.25">
      <c r="A23218" s="2" t="str">
        <f t="shared" si="815"/>
        <v>37980</v>
      </c>
      <c r="B23218" s="2" t="str">
        <f>"19134"</f>
        <v>19134</v>
      </c>
      <c r="C23218" s="1">
        <v>8.6763756052882206E-3</v>
      </c>
      <c r="D23218" s="1">
        <v>9.6830914256408503E-3</v>
      </c>
      <c r="E23218" s="1">
        <v>5.0943647755622799E-3</v>
      </c>
      <c r="F23218" s="1">
        <v>8.6346952283530808E-3</v>
      </c>
    </row>
    <row r="23219" spans="1:6" x14ac:dyDescent="0.25">
      <c r="A23219" s="2" t="str">
        <f t="shared" si="815"/>
        <v>37980</v>
      </c>
      <c r="B23219" s="2" t="str">
        <f>"19087"</f>
        <v>19087</v>
      </c>
      <c r="C23219" s="1">
        <v>5.1437183215772703E-3</v>
      </c>
      <c r="D23219" s="1">
        <v>8.9789405989759204E-3</v>
      </c>
      <c r="E23219" s="1">
        <v>7.00832238282961E-3</v>
      </c>
      <c r="F23219" s="1">
        <v>5.5118930463706802E-3</v>
      </c>
    </row>
    <row r="23220" spans="1:6" x14ac:dyDescent="0.25">
      <c r="A23220" s="2" t="str">
        <f t="shared" si="815"/>
        <v>37980</v>
      </c>
      <c r="B23220" s="2" t="str">
        <f>"19131"</f>
        <v>19131</v>
      </c>
      <c r="C23220" s="1">
        <v>8.2549089011578394E-3</v>
      </c>
      <c r="D23220" s="1">
        <v>4.52203218742622E-3</v>
      </c>
      <c r="E23220" s="1">
        <v>5.1610200156163698E-3</v>
      </c>
      <c r="F23220" s="1">
        <v>7.8531050417096106E-3</v>
      </c>
    </row>
    <row r="23221" spans="1:6" x14ac:dyDescent="0.25">
      <c r="A23221" s="2" t="str">
        <f t="shared" si="815"/>
        <v>37980</v>
      </c>
      <c r="B23221" s="2" t="str">
        <f>"19120"</f>
        <v>19120</v>
      </c>
      <c r="C23221" s="1">
        <v>8.6942560109179896E-3</v>
      </c>
      <c r="D23221" s="1">
        <v>5.9181231327792303E-3</v>
      </c>
      <c r="E23221" s="1">
        <v>5.15149783846578E-3</v>
      </c>
      <c r="F23221" s="1">
        <v>8.35324511975216E-3</v>
      </c>
    </row>
    <row r="23222" spans="1:6" x14ac:dyDescent="0.25">
      <c r="A23222" s="2" t="str">
        <f t="shared" si="815"/>
        <v>37980</v>
      </c>
      <c r="B23222" s="2" t="str">
        <f>"19114"</f>
        <v>19114</v>
      </c>
      <c r="C23222" s="1">
        <v>5.5013264341727298E-3</v>
      </c>
      <c r="D23222" s="1">
        <v>3.9481289125143397E-3</v>
      </c>
      <c r="E23222" s="1">
        <v>6.5417357024510001E-3</v>
      </c>
      <c r="F23222" s="1">
        <v>5.4132237554243802E-3</v>
      </c>
    </row>
    <row r="23223" spans="1:6" x14ac:dyDescent="0.25">
      <c r="A23223" s="2" t="str">
        <f t="shared" si="815"/>
        <v>37980</v>
      </c>
      <c r="B23223" s="2" t="str">
        <f>"19061"</f>
        <v>19061</v>
      </c>
      <c r="C23223" s="1">
        <v>3.2790474487580401E-3</v>
      </c>
      <c r="D23223" s="1">
        <v>2.7759009467368898E-3</v>
      </c>
      <c r="E23223" s="1">
        <v>3.1042297510902798E-3</v>
      </c>
      <c r="F23223" s="1">
        <v>3.2331176843190799E-3</v>
      </c>
    </row>
    <row r="23224" spans="1:6" x14ac:dyDescent="0.25">
      <c r="A23224" s="2" t="str">
        <f t="shared" si="815"/>
        <v>37980</v>
      </c>
      <c r="B23224" s="2" t="str">
        <f>"19103"</f>
        <v>19103</v>
      </c>
      <c r="C23224" s="1">
        <v>7.9206547877522793E-3</v>
      </c>
      <c r="D23224" s="1">
        <v>1.7282222023232902E-2</v>
      </c>
      <c r="E23224" s="1">
        <v>2.24913824296787E-2</v>
      </c>
      <c r="F23224" s="1">
        <v>9.1597452585361807E-3</v>
      </c>
    </row>
    <row r="23225" spans="1:6" x14ac:dyDescent="0.25">
      <c r="A23225" s="2" t="str">
        <f t="shared" si="815"/>
        <v>37980</v>
      </c>
      <c r="B23225" s="2" t="str">
        <f>"19052"</f>
        <v>19052</v>
      </c>
      <c r="C23225" s="1">
        <v>2.0434749291169598E-5</v>
      </c>
      <c r="D23225" s="1">
        <v>2.03511799614141E-5</v>
      </c>
      <c r="E23225" s="1">
        <v>4.7610885752918501E-5</v>
      </c>
      <c r="F23225" s="1">
        <v>2.1351387549035401E-5</v>
      </c>
    </row>
    <row r="23226" spans="1:6" x14ac:dyDescent="0.25">
      <c r="A23226" s="2" t="str">
        <f t="shared" si="815"/>
        <v>37980</v>
      </c>
      <c r="B23226" s="2" t="str">
        <f>"19047"</f>
        <v>19047</v>
      </c>
      <c r="C23226" s="1">
        <v>5.2696109734603602E-3</v>
      </c>
      <c r="D23226" s="1">
        <v>7.8026423972061901E-3</v>
      </c>
      <c r="E23226" s="1">
        <v>5.1610200156163698E-3</v>
      </c>
      <c r="F23226" s="1">
        <v>5.46724923604088E-3</v>
      </c>
    </row>
    <row r="23227" spans="1:6" x14ac:dyDescent="0.25">
      <c r="A23227" s="2" t="str">
        <f t="shared" si="815"/>
        <v>37980</v>
      </c>
      <c r="B23227" s="2" t="str">
        <f>"18949"</f>
        <v>18949</v>
      </c>
      <c r="C23227" s="1">
        <v>2.1821392993070401E-4</v>
      </c>
      <c r="D23227" s="1">
        <v>6.3902705078840399E-4</v>
      </c>
      <c r="E23227" s="1">
        <v>1.90443543011674E-5</v>
      </c>
      <c r="F23227" s="1">
        <v>2.4489394506999599E-4</v>
      </c>
    </row>
    <row r="23228" spans="1:6" x14ac:dyDescent="0.25">
      <c r="A23228" s="2" t="str">
        <f t="shared" si="815"/>
        <v>37980</v>
      </c>
      <c r="B23228" s="2" t="str">
        <f>"18964"</f>
        <v>18964</v>
      </c>
      <c r="C23228" s="1">
        <v>2.2759202023040102E-3</v>
      </c>
      <c r="D23228" s="1">
        <v>2.9305699144436298E-3</v>
      </c>
      <c r="E23228" s="1">
        <v>3.5136833685653801E-3</v>
      </c>
      <c r="F23228" s="1">
        <v>2.3700040179429199E-3</v>
      </c>
    </row>
    <row r="23229" spans="1:6" x14ac:dyDescent="0.25">
      <c r="A23229" s="2" t="str">
        <f t="shared" si="815"/>
        <v>37980</v>
      </c>
      <c r="B23229" s="2" t="str">
        <f>"18954"</f>
        <v>18954</v>
      </c>
      <c r="C23229" s="1">
        <v>1.3851840769514201E-3</v>
      </c>
      <c r="D23229" s="1">
        <v>2.2793321556783801E-3</v>
      </c>
      <c r="E23229" s="1">
        <v>4.8563103467976902E-4</v>
      </c>
      <c r="F23229" s="1">
        <v>1.4256903777060399E-3</v>
      </c>
    </row>
    <row r="23230" spans="1:6" x14ac:dyDescent="0.25">
      <c r="A23230" s="2" t="str">
        <f t="shared" si="815"/>
        <v>37980</v>
      </c>
      <c r="B23230" s="2" t="str">
        <f>"18950"</f>
        <v>18950</v>
      </c>
      <c r="C23230" s="1">
        <v>1.8208821243381499E-4</v>
      </c>
      <c r="D23230" s="1">
        <v>1.5873920369903E-4</v>
      </c>
      <c r="E23230" s="1">
        <v>1.90443543011674E-5</v>
      </c>
      <c r="F23230" s="1">
        <v>1.7469317085574401E-4</v>
      </c>
    </row>
    <row r="23231" spans="1:6" x14ac:dyDescent="0.25">
      <c r="A23231" s="2" t="str">
        <f t="shared" si="815"/>
        <v>37980</v>
      </c>
      <c r="B23231" s="2" t="str">
        <f>"18913"</f>
        <v>18913</v>
      </c>
      <c r="C23231" s="1">
        <v>1.7150593155088699E-5</v>
      </c>
      <c r="D23231" s="1">
        <v>0</v>
      </c>
      <c r="E23231" s="1">
        <v>9.5221771505837001E-6</v>
      </c>
      <c r="F23231" s="1">
        <v>1.5528281853843902E-5</v>
      </c>
    </row>
    <row r="23232" spans="1:6" x14ac:dyDescent="0.25">
      <c r="A23232" s="2" t="str">
        <f t="shared" si="815"/>
        <v>37980</v>
      </c>
      <c r="B23232" s="2" t="str">
        <f>"18943"</f>
        <v>18943</v>
      </c>
      <c r="C23232" s="1">
        <v>0</v>
      </c>
      <c r="D23232" s="1">
        <v>0</v>
      </c>
      <c r="E23232" s="1">
        <v>9.5221771505837001E-6</v>
      </c>
      <c r="F23232" s="1">
        <v>3.2350587195508102E-7</v>
      </c>
    </row>
    <row r="23233" spans="1:6" x14ac:dyDescent="0.25">
      <c r="A23233" s="2" t="str">
        <f t="shared" si="815"/>
        <v>37980</v>
      </c>
      <c r="B23233" s="2" t="str">
        <f>"18936"</f>
        <v>18936</v>
      </c>
      <c r="C23233" s="1">
        <v>2.2149808606678501E-4</v>
      </c>
      <c r="D23233" s="1">
        <v>2.3688773475086002E-3</v>
      </c>
      <c r="E23233" s="1">
        <v>3.9993144032451499E-4</v>
      </c>
      <c r="F23233" s="1">
        <v>3.9823572837670502E-4</v>
      </c>
    </row>
    <row r="23234" spans="1:6" x14ac:dyDescent="0.25">
      <c r="A23234" s="2" t="str">
        <f t="shared" si="815"/>
        <v>37980</v>
      </c>
      <c r="B23234" s="2" t="str">
        <f>"18942"</f>
        <v>18942</v>
      </c>
      <c r="C23234" s="1">
        <v>4.6489054637410902E-4</v>
      </c>
      <c r="D23234" s="1">
        <v>3.9481289125143401E-4</v>
      </c>
      <c r="E23234" s="1">
        <v>4.0945361747509899E-4</v>
      </c>
      <c r="F23234" s="1">
        <v>4.5743730294448497E-4</v>
      </c>
    </row>
    <row r="23235" spans="1:6" x14ac:dyDescent="0.25">
      <c r="A23235" s="2" t="str">
        <f t="shared" si="815"/>
        <v>37980</v>
      </c>
      <c r="B23235" s="2" t="str">
        <f>"18940"</f>
        <v>18940</v>
      </c>
      <c r="C23235" s="1">
        <v>4.7558229912823798E-3</v>
      </c>
      <c r="D23235" s="1">
        <v>6.0768623364782599E-3</v>
      </c>
      <c r="E23235" s="1">
        <v>2.72334266506694E-3</v>
      </c>
      <c r="F23235" s="1">
        <v>4.7917689753986699E-3</v>
      </c>
    </row>
    <row r="23236" spans="1:6" x14ac:dyDescent="0.25">
      <c r="A23236" s="2" t="str">
        <f t="shared" si="815"/>
        <v>37980</v>
      </c>
      <c r="B23236" s="2" t="str">
        <f>"18930"</f>
        <v>18930</v>
      </c>
      <c r="C23236" s="1">
        <v>3.8132701802271899E-4</v>
      </c>
      <c r="D23236" s="1">
        <v>1.0175589980707E-4</v>
      </c>
      <c r="E23236" s="1">
        <v>5.7133062903502201E-5</v>
      </c>
      <c r="F23236" s="1">
        <v>3.48092318223668E-4</v>
      </c>
    </row>
    <row r="23237" spans="1:6" x14ac:dyDescent="0.25">
      <c r="A23237" s="2" t="str">
        <f t="shared" si="815"/>
        <v>37980</v>
      </c>
      <c r="B23237" s="2" t="str">
        <f>"18923"</f>
        <v>18923</v>
      </c>
      <c r="C23237" s="1">
        <v>1.42678338800845E-4</v>
      </c>
      <c r="D23237" s="1">
        <v>1.3838802373761599E-4</v>
      </c>
      <c r="E23237" s="1">
        <v>1.90443543011674E-4</v>
      </c>
      <c r="F23237" s="1">
        <v>1.4396011302001099E-4</v>
      </c>
    </row>
    <row r="23238" spans="1:6" x14ac:dyDescent="0.25">
      <c r="A23238" s="2" t="str">
        <f t="shared" si="815"/>
        <v>37980</v>
      </c>
      <c r="B23238" s="2" t="str">
        <f>"19036"</f>
        <v>19036</v>
      </c>
      <c r="C23238" s="1">
        <v>2.1846936429684299E-3</v>
      </c>
      <c r="D23238" s="1">
        <v>1.4205123613066999E-3</v>
      </c>
      <c r="E23238" s="1">
        <v>1.44737092688872E-3</v>
      </c>
      <c r="F23238" s="1">
        <v>2.0989060972445698E-3</v>
      </c>
    </row>
    <row r="23239" spans="1:6" x14ac:dyDescent="0.25">
      <c r="A23239" s="2" t="str">
        <f t="shared" si="815"/>
        <v>37980</v>
      </c>
      <c r="B23239" s="2" t="str">
        <f>"19030"</f>
        <v>19030</v>
      </c>
      <c r="C23239" s="1">
        <v>1.93327324543958E-3</v>
      </c>
      <c r="D23239" s="1">
        <v>2.5927403270841602E-3</v>
      </c>
      <c r="E23239" s="1">
        <v>9.6173989220895404E-4</v>
      </c>
      <c r="F23239" s="1">
        <v>1.95268144312087E-3</v>
      </c>
    </row>
    <row r="23240" spans="1:6" x14ac:dyDescent="0.25">
      <c r="A23240" s="2" t="str">
        <f t="shared" si="815"/>
        <v>37980</v>
      </c>
      <c r="B23240" s="2" t="str">
        <f>"19026"</f>
        <v>19026</v>
      </c>
      <c r="C23240" s="1">
        <v>5.2006436946026701E-3</v>
      </c>
      <c r="D23240" s="1">
        <v>2.6822855189143802E-3</v>
      </c>
      <c r="E23240" s="1">
        <v>4.4659010836237498E-3</v>
      </c>
      <c r="F23240" s="1">
        <v>4.9755203106691499E-3</v>
      </c>
    </row>
    <row r="23241" spans="1:6" x14ac:dyDescent="0.25">
      <c r="A23241" s="2" t="str">
        <f t="shared" si="815"/>
        <v>37980</v>
      </c>
      <c r="B23241" s="2" t="str">
        <f>"19015"</f>
        <v>19015</v>
      </c>
      <c r="C23241" s="1">
        <v>2.7181865619628999E-3</v>
      </c>
      <c r="D23241" s="1">
        <v>1.7664824206507399E-3</v>
      </c>
      <c r="E23241" s="1">
        <v>8.9508465215486796E-4</v>
      </c>
      <c r="F23241" s="1">
        <v>2.5806063405856799E-3</v>
      </c>
    </row>
    <row r="23242" spans="1:6" x14ac:dyDescent="0.25">
      <c r="A23242" s="2" t="str">
        <f t="shared" si="815"/>
        <v>37980</v>
      </c>
      <c r="B23242" s="2" t="str">
        <f>"19003"</f>
        <v>19003</v>
      </c>
      <c r="C23242" s="1">
        <v>2.43976310287071E-3</v>
      </c>
      <c r="D23242" s="1">
        <v>4.1679216560976196E-3</v>
      </c>
      <c r="E23242" s="1">
        <v>6.4750804623969196E-3</v>
      </c>
      <c r="F23242" s="1">
        <v>2.71421426570313E-3</v>
      </c>
    </row>
    <row r="23243" spans="1:6" x14ac:dyDescent="0.25">
      <c r="A23243" s="2" t="str">
        <f t="shared" si="815"/>
        <v>37980</v>
      </c>
      <c r="B23243" s="2" t="str">
        <f>"18042"</f>
        <v>18042</v>
      </c>
      <c r="C23243" s="1">
        <v>3.6490623734231401E-6</v>
      </c>
      <c r="D23243" s="1">
        <v>0</v>
      </c>
      <c r="E23243" s="1">
        <v>0</v>
      </c>
      <c r="F23243" s="1">
        <v>3.2350587195508099E-6</v>
      </c>
    </row>
    <row r="23244" spans="1:6" x14ac:dyDescent="0.25">
      <c r="A23244" s="2" t="str">
        <f t="shared" si="815"/>
        <v>37980</v>
      </c>
      <c r="B23244" s="2" t="str">
        <f>"18055"</f>
        <v>18055</v>
      </c>
      <c r="C23244" s="1">
        <v>7.5535591129859107E-5</v>
      </c>
      <c r="D23244" s="1">
        <v>4.0702359922828299E-6</v>
      </c>
      <c r="E23244" s="1">
        <v>9.5221771505837001E-5</v>
      </c>
      <c r="F23244" s="1">
        <v>7.0524280086207798E-5</v>
      </c>
    </row>
    <row r="23245" spans="1:6" x14ac:dyDescent="0.25">
      <c r="A23245" s="2" t="str">
        <f t="shared" si="815"/>
        <v>37980</v>
      </c>
      <c r="B23245" s="2" t="str">
        <f>"21920"</f>
        <v>21920</v>
      </c>
      <c r="C23245" s="1">
        <v>5.1086873227924003E-5</v>
      </c>
      <c r="D23245" s="1">
        <v>4.0702359922828299E-6</v>
      </c>
      <c r="E23245" s="1">
        <v>0</v>
      </c>
      <c r="F23245" s="1">
        <v>4.56143279456665E-5</v>
      </c>
    </row>
    <row r="23246" spans="1:6" x14ac:dyDescent="0.25">
      <c r="A23246" s="2" t="str">
        <f t="shared" si="815"/>
        <v>37980</v>
      </c>
      <c r="B23246" s="2" t="str">
        <f>"08360"</f>
        <v>08360</v>
      </c>
      <c r="C23246" s="1">
        <v>1.6566743175341E-4</v>
      </c>
      <c r="D23246" s="1">
        <v>1.13966607783919E-4</v>
      </c>
      <c r="E23246" s="1">
        <v>0</v>
      </c>
      <c r="F23246" s="1">
        <v>1.5592983028234899E-4</v>
      </c>
    </row>
    <row r="23247" spans="1:6" x14ac:dyDescent="0.25">
      <c r="A23247" s="2" t="str">
        <f t="shared" si="815"/>
        <v>37980</v>
      </c>
      <c r="B23247" s="2" t="str">
        <f>"08511"</f>
        <v>08511</v>
      </c>
      <c r="C23247" s="1">
        <v>1.3720474524071E-4</v>
      </c>
      <c r="D23247" s="1">
        <v>1.13966607783919E-4</v>
      </c>
      <c r="E23247" s="1">
        <v>6.6655240054085894E-5</v>
      </c>
      <c r="F23247" s="1">
        <v>1.3296091337353799E-4</v>
      </c>
    </row>
    <row r="23248" spans="1:6" x14ac:dyDescent="0.25">
      <c r="A23248" s="2" t="str">
        <f t="shared" si="815"/>
        <v>37980</v>
      </c>
      <c r="B23248" s="2" t="str">
        <f>"08110"</f>
        <v>08110</v>
      </c>
      <c r="C23248" s="1">
        <v>2.5419368493265599E-3</v>
      </c>
      <c r="D23248" s="1">
        <v>3.9847610364448904E-3</v>
      </c>
      <c r="E23248" s="1">
        <v>1.6568588242015601E-3</v>
      </c>
      <c r="F23248" s="1">
        <v>2.6265441744033001E-3</v>
      </c>
    </row>
    <row r="23249" spans="1:6" x14ac:dyDescent="0.25">
      <c r="A23249" s="2" t="str">
        <f t="shared" si="815"/>
        <v>37980</v>
      </c>
      <c r="B23249" s="2" t="str">
        <f>"08106"</f>
        <v>08106</v>
      </c>
      <c r="C23249" s="1">
        <v>1.57019153928398E-3</v>
      </c>
      <c r="D23249" s="1">
        <v>1.1518767858160401E-3</v>
      </c>
      <c r="E23249" s="1">
        <v>1.38071568683463E-3</v>
      </c>
      <c r="F23249" s="1">
        <v>1.53050628021949E-3</v>
      </c>
    </row>
    <row r="23250" spans="1:6" x14ac:dyDescent="0.25">
      <c r="A23250" s="2" t="str">
        <f t="shared" si="815"/>
        <v>37980</v>
      </c>
      <c r="B23250" s="2" t="str">
        <f>"08322"</f>
        <v>08322</v>
      </c>
      <c r="C23250" s="1">
        <v>1.6008436632207301E-3</v>
      </c>
      <c r="D23250" s="1">
        <v>1.0094185260861399E-3</v>
      </c>
      <c r="E23250" s="1">
        <v>2.47576605915176E-4</v>
      </c>
      <c r="F23250" s="1">
        <v>1.5078608691826299E-3</v>
      </c>
    </row>
    <row r="23251" spans="1:6" x14ac:dyDescent="0.25">
      <c r="A23251" s="2" t="str">
        <f t="shared" si="815"/>
        <v>37980</v>
      </c>
      <c r="B23251" s="2" t="str">
        <f>"08302"</f>
        <v>08302</v>
      </c>
      <c r="C23251" s="1">
        <v>2.2952602328831599E-4</v>
      </c>
      <c r="D23251" s="1">
        <v>6.5123775876525306E-5</v>
      </c>
      <c r="E23251" s="1">
        <v>0</v>
      </c>
      <c r="F23251" s="1">
        <v>2.0866128741102701E-4</v>
      </c>
    </row>
    <row r="23252" spans="1:6" x14ac:dyDescent="0.25">
      <c r="A23252" s="2" t="str">
        <f t="shared" si="815"/>
        <v>37980</v>
      </c>
      <c r="B23252" s="2" t="str">
        <f>"08011"</f>
        <v>08011</v>
      </c>
      <c r="C23252" s="1">
        <v>0</v>
      </c>
      <c r="D23252" s="1">
        <v>0</v>
      </c>
      <c r="E23252" s="1">
        <v>9.5221771505837001E-6</v>
      </c>
      <c r="F23252" s="1">
        <v>3.2350587195508102E-7</v>
      </c>
    </row>
    <row r="23253" spans="1:6" x14ac:dyDescent="0.25">
      <c r="A23253" s="2" t="str">
        <f t="shared" si="815"/>
        <v>37980</v>
      </c>
      <c r="B23253" s="2" t="str">
        <f>"08020"</f>
        <v>08020</v>
      </c>
      <c r="C23253" s="1">
        <v>4.26575391453166E-4</v>
      </c>
      <c r="D23253" s="1">
        <v>2.93056991444363E-4</v>
      </c>
      <c r="E23253" s="1">
        <v>5.1419756613152001E-4</v>
      </c>
      <c r="F23253" s="1">
        <v>4.1894010418183099E-4</v>
      </c>
    </row>
    <row r="23254" spans="1:6" x14ac:dyDescent="0.25">
      <c r="A23254" s="2" t="str">
        <f t="shared" si="815"/>
        <v>37980</v>
      </c>
      <c r="B23254" s="2" t="str">
        <f>"08010"</f>
        <v>08010</v>
      </c>
      <c r="C23254" s="1">
        <v>1.8212470305754901E-3</v>
      </c>
      <c r="D23254" s="1">
        <v>8.7917097433309096E-4</v>
      </c>
      <c r="E23254" s="1">
        <v>8.6651812070311703E-4</v>
      </c>
      <c r="F23254" s="1">
        <v>1.71393410961802E-3</v>
      </c>
    </row>
    <row r="23255" spans="1:6" x14ac:dyDescent="0.25">
      <c r="A23255" s="2" t="str">
        <f t="shared" si="815"/>
        <v>37980</v>
      </c>
      <c r="B23255" s="2" t="str">
        <f>"08039"</f>
        <v>08039</v>
      </c>
      <c r="C23255" s="1">
        <v>1.45962494936925E-6</v>
      </c>
      <c r="D23255" s="1">
        <v>0</v>
      </c>
      <c r="E23255" s="1">
        <v>9.5221771505837001E-6</v>
      </c>
      <c r="F23255" s="1">
        <v>1.6175293597754001E-6</v>
      </c>
    </row>
    <row r="23256" spans="1:6" x14ac:dyDescent="0.25">
      <c r="A23256" s="2" t="str">
        <f t="shared" si="815"/>
        <v>37980</v>
      </c>
      <c r="B23256" s="2" t="str">
        <f>"08052"</f>
        <v>08052</v>
      </c>
      <c r="C23256" s="1">
        <v>3.5935966253471101E-3</v>
      </c>
      <c r="D23256" s="1">
        <v>2.5031951352539402E-3</v>
      </c>
      <c r="E23256" s="1">
        <v>9.7602315793482997E-3</v>
      </c>
      <c r="F23256" s="1">
        <v>3.7164354570199802E-3</v>
      </c>
    </row>
    <row r="23257" spans="1:6" x14ac:dyDescent="0.25">
      <c r="A23257" s="2" t="str">
        <f t="shared" si="815"/>
        <v>37980</v>
      </c>
      <c r="B23257" s="2" t="str">
        <f>"08043"</f>
        <v>08043</v>
      </c>
      <c r="C23257" s="1">
        <v>4.8842699868268799E-3</v>
      </c>
      <c r="D23257" s="1">
        <v>6.6751870273438398E-3</v>
      </c>
      <c r="E23257" s="1">
        <v>4.55160067797901E-3</v>
      </c>
      <c r="F23257" s="1">
        <v>5.01531153291963E-3</v>
      </c>
    </row>
    <row r="23258" spans="1:6" x14ac:dyDescent="0.25">
      <c r="A23258" s="2" t="str">
        <f t="shared" si="815"/>
        <v>37980</v>
      </c>
      <c r="B23258" s="2" t="str">
        <f>"08054"</f>
        <v>08054</v>
      </c>
      <c r="C23258" s="1">
        <v>7.6896691395146001E-3</v>
      </c>
      <c r="D23258" s="1">
        <v>9.0806964987829898E-3</v>
      </c>
      <c r="E23258" s="1">
        <v>3.2184958768972901E-3</v>
      </c>
      <c r="F23258" s="1">
        <v>7.64832582476204E-3</v>
      </c>
    </row>
    <row r="23259" spans="1:6" x14ac:dyDescent="0.25">
      <c r="A23259" s="2" t="str">
        <f t="shared" si="815"/>
        <v>37980</v>
      </c>
      <c r="B23259" s="2" t="str">
        <f>"08031"</f>
        <v>08031</v>
      </c>
      <c r="C23259" s="1">
        <v>1.8088402185058501E-3</v>
      </c>
      <c r="D23259" s="1">
        <v>1.4612147212295301E-3</v>
      </c>
      <c r="E23259" s="1">
        <v>8.4747376640195E-4</v>
      </c>
      <c r="F23259" s="1">
        <v>1.7485492379172101E-3</v>
      </c>
    </row>
    <row r="23260" spans="1:6" x14ac:dyDescent="0.25">
      <c r="A23260" s="2" t="str">
        <f t="shared" ref="A23260:A23323" si="816">"37980"</f>
        <v>37980</v>
      </c>
      <c r="B23260" s="2" t="str">
        <f>"08028"</f>
        <v>08028</v>
      </c>
      <c r="C23260" s="1">
        <v>3.4027506632170802E-3</v>
      </c>
      <c r="D23260" s="1">
        <v>2.8491651945979799E-3</v>
      </c>
      <c r="E23260" s="1">
        <v>1.66638100135214E-3</v>
      </c>
      <c r="F23260" s="1">
        <v>3.29975989394183E-3</v>
      </c>
    </row>
    <row r="23261" spans="1:6" x14ac:dyDescent="0.25">
      <c r="A23261" s="2" t="str">
        <f t="shared" si="816"/>
        <v>37980</v>
      </c>
      <c r="B23261" s="2" t="str">
        <f>"19714"</f>
        <v>19714</v>
      </c>
      <c r="C23261" s="1">
        <v>5.5100841838689497E-4</v>
      </c>
      <c r="D23261" s="1">
        <v>1.8478871404964E-3</v>
      </c>
      <c r="E23261" s="1">
        <v>1.90443543011674E-5</v>
      </c>
      <c r="F23261" s="1">
        <v>6.3601254426369003E-4</v>
      </c>
    </row>
    <row r="23262" spans="1:6" x14ac:dyDescent="0.25">
      <c r="A23262" s="2" t="str">
        <f t="shared" si="816"/>
        <v>37980</v>
      </c>
      <c r="B23262" s="2" t="str">
        <f>"19802"</f>
        <v>19802</v>
      </c>
      <c r="C23262" s="1">
        <v>4.4489368456774999E-3</v>
      </c>
      <c r="D23262" s="1">
        <v>3.29689115374909E-3</v>
      </c>
      <c r="E23262" s="1">
        <v>4.5992115637319298E-3</v>
      </c>
      <c r="F23262" s="1">
        <v>4.3624766833142703E-3</v>
      </c>
    </row>
    <row r="23263" spans="1:6" x14ac:dyDescent="0.25">
      <c r="A23263" s="2" t="str">
        <f t="shared" si="816"/>
        <v>37980</v>
      </c>
      <c r="B23263" s="2" t="str">
        <f>"19805"</f>
        <v>19805</v>
      </c>
      <c r="C23263" s="1">
        <v>6.8350587316588999E-3</v>
      </c>
      <c r="D23263" s="1">
        <v>5.7105410971728101E-3</v>
      </c>
      <c r="E23263" s="1">
        <v>1.05600944599973E-2</v>
      </c>
      <c r="F23263" s="1">
        <v>6.8722352379417999E-3</v>
      </c>
    </row>
    <row r="23264" spans="1:6" x14ac:dyDescent="0.25">
      <c r="A23264" s="2" t="str">
        <f t="shared" si="816"/>
        <v>37980</v>
      </c>
      <c r="B23264" s="2" t="str">
        <f>"19319"</f>
        <v>19319</v>
      </c>
      <c r="C23264" s="1">
        <v>3.3571373835492897E-5</v>
      </c>
      <c r="D23264" s="1">
        <v>2.44214159536969E-5</v>
      </c>
      <c r="E23264" s="1">
        <v>0</v>
      </c>
      <c r="F23264" s="1">
        <v>3.1703575451597998E-5</v>
      </c>
    </row>
    <row r="23265" spans="1:6" x14ac:dyDescent="0.25">
      <c r="A23265" s="2" t="str">
        <f t="shared" si="816"/>
        <v>37980</v>
      </c>
      <c r="B23265" s="2" t="str">
        <f>"19330"</f>
        <v>19330</v>
      </c>
      <c r="C23265" s="1">
        <v>8.5971909517849302E-4</v>
      </c>
      <c r="D23265" s="1">
        <v>2.6049510350610101E-4</v>
      </c>
      <c r="E23265" s="1">
        <v>2.47576605915176E-4</v>
      </c>
      <c r="F23265" s="1">
        <v>7.9129536280213005E-4</v>
      </c>
    </row>
    <row r="23266" spans="1:6" x14ac:dyDescent="0.25">
      <c r="A23266" s="2" t="str">
        <f t="shared" si="816"/>
        <v>37980</v>
      </c>
      <c r="B23266" s="2" t="str">
        <f>"19442"</f>
        <v>19442</v>
      </c>
      <c r="C23266" s="1">
        <v>2.5835361603835798E-4</v>
      </c>
      <c r="D23266" s="1">
        <v>6.91940118688081E-4</v>
      </c>
      <c r="E23266" s="1">
        <v>9.5221771505837001E-6</v>
      </c>
      <c r="F23266" s="1">
        <v>2.8436166144851598E-4</v>
      </c>
    </row>
    <row r="23267" spans="1:6" x14ac:dyDescent="0.25">
      <c r="A23267" s="2" t="str">
        <f t="shared" si="816"/>
        <v>37980</v>
      </c>
      <c r="B23267" s="2" t="str">
        <f>"19446"</f>
        <v>19446</v>
      </c>
      <c r="C23267" s="1">
        <v>9.3339366449790694E-3</v>
      </c>
      <c r="D23267" s="1">
        <v>6.83799646703515E-3</v>
      </c>
      <c r="E23267" s="1">
        <v>8.3033384753089905E-3</v>
      </c>
      <c r="F23267" s="1">
        <v>9.1005436839684001E-3</v>
      </c>
    </row>
    <row r="23268" spans="1:6" x14ac:dyDescent="0.25">
      <c r="A23268" s="2" t="str">
        <f t="shared" si="816"/>
        <v>37980</v>
      </c>
      <c r="B23268" s="2" t="str">
        <f>"19375"</f>
        <v>19375</v>
      </c>
      <c r="C23268" s="1">
        <v>0</v>
      </c>
      <c r="D23268" s="1">
        <v>0</v>
      </c>
      <c r="E23268" s="1">
        <v>9.5221771505837001E-6</v>
      </c>
      <c r="F23268" s="1">
        <v>3.2350587195508102E-7</v>
      </c>
    </row>
    <row r="23269" spans="1:6" x14ac:dyDescent="0.25">
      <c r="A23269" s="2" t="str">
        <f t="shared" si="816"/>
        <v>37980</v>
      </c>
      <c r="B23269" s="2" t="str">
        <f>"19395"</f>
        <v>19395</v>
      </c>
      <c r="C23269" s="1">
        <v>1.72965556500257E-4</v>
      </c>
      <c r="D23269" s="1">
        <v>6.5937823074981798E-4</v>
      </c>
      <c r="E23269" s="1">
        <v>1.90443543011674E-5</v>
      </c>
      <c r="F23269" s="1">
        <v>2.0639674630734201E-4</v>
      </c>
    </row>
    <row r="23270" spans="1:6" x14ac:dyDescent="0.25">
      <c r="A23270" s="2" t="str">
        <f t="shared" si="816"/>
        <v>37980</v>
      </c>
      <c r="B23270" s="2" t="str">
        <f>"19399"</f>
        <v>19399</v>
      </c>
      <c r="C23270" s="1">
        <v>3.28415613608083E-4</v>
      </c>
      <c r="D23270" s="1">
        <v>1.3513183494379001E-3</v>
      </c>
      <c r="E23270" s="1">
        <v>2.85665314517511E-5</v>
      </c>
      <c r="F23270" s="1">
        <v>3.9952975186452602E-4</v>
      </c>
    </row>
    <row r="23271" spans="1:6" x14ac:dyDescent="0.25">
      <c r="A23271" s="2" t="str">
        <f t="shared" si="816"/>
        <v>37980</v>
      </c>
      <c r="B23271" s="2" t="str">
        <f>"19382"</f>
        <v>19382</v>
      </c>
      <c r="C23271" s="1">
        <v>8.2107552464394194E-3</v>
      </c>
      <c r="D23271" s="1">
        <v>7.59913059759204E-3</v>
      </c>
      <c r="E23271" s="1">
        <v>9.2460340132167803E-3</v>
      </c>
      <c r="F23271" s="1">
        <v>8.1973152894698094E-3</v>
      </c>
    </row>
    <row r="23272" spans="1:6" x14ac:dyDescent="0.25">
      <c r="A23272" s="2" t="str">
        <f t="shared" si="816"/>
        <v>37980</v>
      </c>
      <c r="B23272" s="2" t="str">
        <f>"19425"</f>
        <v>19425</v>
      </c>
      <c r="C23272" s="1">
        <v>2.2306718288735701E-3</v>
      </c>
      <c r="D23272" s="1">
        <v>1.7054288807665E-3</v>
      </c>
      <c r="E23272" s="1">
        <v>5.3324192043268704E-4</v>
      </c>
      <c r="F23272" s="1">
        <v>2.1312566844400699E-3</v>
      </c>
    </row>
    <row r="23273" spans="1:6" x14ac:dyDescent="0.25">
      <c r="A23273" s="2" t="str">
        <f t="shared" si="816"/>
        <v>37980</v>
      </c>
      <c r="B23273" s="2" t="str">
        <f>"19406"</f>
        <v>19406</v>
      </c>
      <c r="C23273" s="1">
        <v>4.9722123900263803E-3</v>
      </c>
      <c r="D23273" s="1">
        <v>1.07739146715726E-2</v>
      </c>
      <c r="E23273" s="1">
        <v>7.9605400978879793E-3</v>
      </c>
      <c r="F23273" s="1">
        <v>5.5348619632794903E-3</v>
      </c>
    </row>
    <row r="23274" spans="1:6" x14ac:dyDescent="0.25">
      <c r="A23274" s="2" t="str">
        <f t="shared" si="816"/>
        <v>37980</v>
      </c>
      <c r="B23274" s="2" t="str">
        <f>"19346"</f>
        <v>19346</v>
      </c>
      <c r="C23274" s="1">
        <v>0</v>
      </c>
      <c r="D23274" s="1">
        <v>0</v>
      </c>
      <c r="E23274" s="1">
        <v>9.5221771505837001E-6</v>
      </c>
      <c r="F23274" s="1">
        <v>3.2350587195508102E-7</v>
      </c>
    </row>
    <row r="23275" spans="1:6" x14ac:dyDescent="0.25">
      <c r="A23275" s="2" t="str">
        <f t="shared" si="816"/>
        <v>37980</v>
      </c>
      <c r="B23275" s="2" t="str">
        <f>"19342"</f>
        <v>19342</v>
      </c>
      <c r="C23275" s="1">
        <v>3.2556934495681302E-3</v>
      </c>
      <c r="D23275" s="1">
        <v>3.27653997378768E-3</v>
      </c>
      <c r="E23275" s="1">
        <v>1.5997257612980599E-3</v>
      </c>
      <c r="F23275" s="1">
        <v>3.20109060299553E-3</v>
      </c>
    </row>
    <row r="23276" spans="1:6" x14ac:dyDescent="0.25">
      <c r="A23276" s="2" t="str">
        <f t="shared" si="816"/>
        <v>37980</v>
      </c>
      <c r="B23276" s="2" t="str">
        <f>"19339"</f>
        <v>19339</v>
      </c>
      <c r="C23276" s="1">
        <v>0</v>
      </c>
      <c r="D23276" s="1">
        <v>4.0702359922828299E-6</v>
      </c>
      <c r="E23276" s="1">
        <v>0</v>
      </c>
      <c r="F23276" s="1">
        <v>3.2350587195508102E-7</v>
      </c>
    </row>
    <row r="23277" spans="1:6" x14ac:dyDescent="0.25">
      <c r="A23277" s="2" t="str">
        <f t="shared" si="816"/>
        <v>37980</v>
      </c>
      <c r="B23277" s="2" t="str">
        <f>"19135"</f>
        <v>19135</v>
      </c>
      <c r="C23277" s="1">
        <v>4.7379425856526099E-3</v>
      </c>
      <c r="D23277" s="1">
        <v>4.5627345473490503E-3</v>
      </c>
      <c r="E23277" s="1">
        <v>4.5230341465272604E-3</v>
      </c>
      <c r="F23277" s="1">
        <v>4.7167156131050899E-3</v>
      </c>
    </row>
    <row r="23278" spans="1:6" x14ac:dyDescent="0.25">
      <c r="A23278" s="2" t="str">
        <f t="shared" si="816"/>
        <v>37980</v>
      </c>
      <c r="B23278" s="2" t="str">
        <f>"19076"</f>
        <v>19076</v>
      </c>
      <c r="C23278" s="1">
        <v>1.0082359337768099E-3</v>
      </c>
      <c r="D23278" s="1">
        <v>7.8555554651058598E-4</v>
      </c>
      <c r="E23278" s="1">
        <v>2.2091450989354198E-3</v>
      </c>
      <c r="F23278" s="1">
        <v>1.0313367197927999E-3</v>
      </c>
    </row>
    <row r="23279" spans="1:6" x14ac:dyDescent="0.25">
      <c r="A23279" s="2" t="str">
        <f t="shared" si="816"/>
        <v>37980</v>
      </c>
      <c r="B23279" s="2" t="str">
        <f>"19075"</f>
        <v>19075</v>
      </c>
      <c r="C23279" s="1">
        <v>1.03414427662812E-3</v>
      </c>
      <c r="D23279" s="1">
        <v>6.2681634281155604E-4</v>
      </c>
      <c r="E23279" s="1">
        <v>4.7610885752918502E-4</v>
      </c>
      <c r="F23279" s="1">
        <v>9.8281083899953801E-4</v>
      </c>
    </row>
    <row r="23280" spans="1:6" x14ac:dyDescent="0.25">
      <c r="A23280" s="2" t="str">
        <f t="shared" si="816"/>
        <v>37980</v>
      </c>
      <c r="B23280" s="2" t="str">
        <f>"19072"</f>
        <v>19072</v>
      </c>
      <c r="C23280" s="1">
        <v>1.7380484084614401E-3</v>
      </c>
      <c r="D23280" s="1">
        <v>2.42993088739285E-3</v>
      </c>
      <c r="E23280" s="1">
        <v>2.8185644365727701E-3</v>
      </c>
      <c r="F23280" s="1">
        <v>1.8297492117779399E-3</v>
      </c>
    </row>
    <row r="23281" spans="1:6" x14ac:dyDescent="0.25">
      <c r="A23281" s="2" t="str">
        <f t="shared" si="816"/>
        <v>37980</v>
      </c>
      <c r="B23281" s="2" t="str">
        <f>"19086"</f>
        <v>19086</v>
      </c>
      <c r="C23281" s="1">
        <v>1.6862317227588301E-3</v>
      </c>
      <c r="D23281" s="1">
        <v>1.99441563621858E-4</v>
      </c>
      <c r="E23281" s="1">
        <v>2.3805442876459199E-4</v>
      </c>
      <c r="F23281" s="1">
        <v>1.5188600688291001E-3</v>
      </c>
    </row>
    <row r="23282" spans="1:6" x14ac:dyDescent="0.25">
      <c r="A23282" s="2" t="str">
        <f t="shared" si="816"/>
        <v>37980</v>
      </c>
      <c r="B23282" s="2" t="str">
        <f>"19132"</f>
        <v>19132</v>
      </c>
      <c r="C23282" s="1">
        <v>7.2904617158621003E-3</v>
      </c>
      <c r="D23282" s="1">
        <v>5.2180425421065896E-3</v>
      </c>
      <c r="E23282" s="1">
        <v>6.8369231941191001E-3</v>
      </c>
      <c r="F23282" s="1">
        <v>7.1103355597007404E-3</v>
      </c>
    </row>
    <row r="23283" spans="1:6" x14ac:dyDescent="0.25">
      <c r="A23283" s="2" t="str">
        <f t="shared" si="816"/>
        <v>37980</v>
      </c>
      <c r="B23283" s="2" t="str">
        <f>"19118"</f>
        <v>19118</v>
      </c>
      <c r="C23283" s="1">
        <v>1.8949580905186401E-3</v>
      </c>
      <c r="D23283" s="1">
        <v>2.5276165512076302E-3</v>
      </c>
      <c r="E23283" s="1">
        <v>2.7423870193681002E-3</v>
      </c>
      <c r="F23283" s="1">
        <v>1.9740328306699002E-3</v>
      </c>
    </row>
    <row r="23284" spans="1:6" x14ac:dyDescent="0.25">
      <c r="A23284" s="2" t="str">
        <f t="shared" si="816"/>
        <v>37980</v>
      </c>
      <c r="B23284" s="2" t="str">
        <f>"19112"</f>
        <v>19112</v>
      </c>
      <c r="C23284" s="1">
        <v>1.45962494936925E-6</v>
      </c>
      <c r="D23284" s="1">
        <v>1.1966493817311501E-3</v>
      </c>
      <c r="E23284" s="1">
        <v>4.18975794625683E-4</v>
      </c>
      <c r="F23284" s="1">
        <v>1.10639008208637E-4</v>
      </c>
    </row>
    <row r="23285" spans="1:6" x14ac:dyDescent="0.25">
      <c r="A23285" s="2" t="str">
        <f t="shared" si="816"/>
        <v>37980</v>
      </c>
      <c r="B23285" s="2" t="str">
        <f>"19121"</f>
        <v>19121</v>
      </c>
      <c r="C23285" s="1">
        <v>7.8677433833376498E-3</v>
      </c>
      <c r="D23285" s="1">
        <v>4.7296142230326497E-3</v>
      </c>
      <c r="E23285" s="1">
        <v>2.4719571882915299E-2</v>
      </c>
      <c r="F23285" s="1">
        <v>8.1908451720307095E-3</v>
      </c>
    </row>
    <row r="23286" spans="1:6" x14ac:dyDescent="0.25">
      <c r="A23286" s="2" t="str">
        <f t="shared" si="816"/>
        <v>37980</v>
      </c>
      <c r="B23286" s="2" t="str">
        <f>"19105"</f>
        <v>19105</v>
      </c>
      <c r="C23286" s="1">
        <v>3.5468886269673E-4</v>
      </c>
      <c r="D23286" s="1">
        <v>4.5586643113567699E-4</v>
      </c>
      <c r="E23286" s="1">
        <v>9.5221771505837001E-6</v>
      </c>
      <c r="F23286" s="1">
        <v>3.5100387107126299E-4</v>
      </c>
    </row>
    <row r="23287" spans="1:6" x14ac:dyDescent="0.25">
      <c r="A23287" s="2" t="str">
        <f t="shared" si="816"/>
        <v>37980</v>
      </c>
      <c r="B23287" s="2" t="str">
        <f>"19111"</f>
        <v>19111</v>
      </c>
      <c r="C23287" s="1">
        <v>9.4645730779476193E-3</v>
      </c>
      <c r="D23287" s="1">
        <v>4.8720724827625503E-3</v>
      </c>
      <c r="E23287" s="1">
        <v>8.7127920927840899E-3</v>
      </c>
      <c r="F23287" s="1">
        <v>9.0740162024680899E-3</v>
      </c>
    </row>
    <row r="23288" spans="1:6" x14ac:dyDescent="0.25">
      <c r="A23288" s="2" t="str">
        <f t="shared" si="816"/>
        <v>37980</v>
      </c>
      <c r="B23288" s="2" t="str">
        <f>"18956"</f>
        <v>18956</v>
      </c>
      <c r="C23288" s="1">
        <v>0</v>
      </c>
      <c r="D23288" s="1">
        <v>0</v>
      </c>
      <c r="E23288" s="1">
        <v>9.5221771505837001E-6</v>
      </c>
      <c r="F23288" s="1">
        <v>3.2350587195508102E-7</v>
      </c>
    </row>
    <row r="23289" spans="1:6" x14ac:dyDescent="0.25">
      <c r="A23289" s="2" t="str">
        <f t="shared" si="816"/>
        <v>37980</v>
      </c>
      <c r="B23289" s="2" t="str">
        <f>"18947"</f>
        <v>18947</v>
      </c>
      <c r="C23289" s="1">
        <v>9.15184843254525E-4</v>
      </c>
      <c r="D23289" s="1">
        <v>1.28212433756909E-3</v>
      </c>
      <c r="E23289" s="1">
        <v>3.0470966881867802E-4</v>
      </c>
      <c r="F23289" s="1">
        <v>9.23609264431758E-4</v>
      </c>
    </row>
    <row r="23290" spans="1:6" x14ac:dyDescent="0.25">
      <c r="A23290" s="2" t="str">
        <f t="shared" si="816"/>
        <v>37980</v>
      </c>
      <c r="B23290" s="2" t="str">
        <f>"18921"</f>
        <v>18921</v>
      </c>
      <c r="C23290" s="1">
        <v>0</v>
      </c>
      <c r="D23290" s="1">
        <v>0</v>
      </c>
      <c r="E23290" s="1">
        <v>9.5221771505837001E-6</v>
      </c>
      <c r="F23290" s="1">
        <v>3.2350587195508102E-7</v>
      </c>
    </row>
    <row r="23291" spans="1:6" x14ac:dyDescent="0.25">
      <c r="A23291" s="2" t="str">
        <f t="shared" si="816"/>
        <v>37980</v>
      </c>
      <c r="B23291" s="2" t="str">
        <f>"19044"</f>
        <v>19044</v>
      </c>
      <c r="C23291" s="1">
        <v>2.7955466842794702E-3</v>
      </c>
      <c r="D23291" s="1">
        <v>5.0837247543612501E-3</v>
      </c>
      <c r="E23291" s="1">
        <v>3.1994515225961199E-3</v>
      </c>
      <c r="F23291" s="1">
        <v>2.99113529209668E-3</v>
      </c>
    </row>
    <row r="23292" spans="1:6" x14ac:dyDescent="0.25">
      <c r="A23292" s="2" t="str">
        <f t="shared" si="816"/>
        <v>37980</v>
      </c>
      <c r="B23292" s="2" t="str">
        <f>"19031"</f>
        <v>19031</v>
      </c>
      <c r="C23292" s="1">
        <v>8.5424550161835905E-4</v>
      </c>
      <c r="D23292" s="1">
        <v>1.59146227298258E-3</v>
      </c>
      <c r="E23292" s="1">
        <v>7.5225199489611298E-4</v>
      </c>
      <c r="F23292" s="1">
        <v>9.0937500606573496E-4</v>
      </c>
    </row>
    <row r="23293" spans="1:6" x14ac:dyDescent="0.25">
      <c r="A23293" s="2" t="str">
        <f t="shared" si="816"/>
        <v>37980</v>
      </c>
      <c r="B23293" s="2" t="str">
        <f>"19025"</f>
        <v>19025</v>
      </c>
      <c r="C23293" s="1">
        <v>8.7212590724813205E-4</v>
      </c>
      <c r="D23293" s="1">
        <v>7.6927460254145501E-4</v>
      </c>
      <c r="E23293" s="1">
        <v>4.7610885752918502E-4</v>
      </c>
      <c r="F23293" s="1">
        <v>8.5049693736990995E-4</v>
      </c>
    </row>
    <row r="23294" spans="1:6" x14ac:dyDescent="0.25">
      <c r="A23294" s="2" t="str">
        <f t="shared" si="816"/>
        <v>37980</v>
      </c>
      <c r="B23294" s="2" t="str">
        <f>"19017"</f>
        <v>19017</v>
      </c>
      <c r="C23294" s="1">
        <v>1.3136624544323299E-4</v>
      </c>
      <c r="D23294" s="1">
        <v>6.1460563483470699E-4</v>
      </c>
      <c r="E23294" s="1">
        <v>1.0474394865642E-4</v>
      </c>
      <c r="F23294" s="1">
        <v>1.68870065160552E-4</v>
      </c>
    </row>
    <row r="23295" spans="1:6" x14ac:dyDescent="0.25">
      <c r="A23295" s="2" t="str">
        <f t="shared" si="816"/>
        <v>37980</v>
      </c>
      <c r="B23295" s="2" t="str">
        <f>"18970"</f>
        <v>18970</v>
      </c>
      <c r="C23295" s="1">
        <v>2.1675430498133499E-4</v>
      </c>
      <c r="D23295" s="1">
        <v>2.6049510350610101E-4</v>
      </c>
      <c r="E23295" s="1">
        <v>1.90443543011674E-5</v>
      </c>
      <c r="F23295" s="1">
        <v>2.1351387549035399E-4</v>
      </c>
    </row>
    <row r="23296" spans="1:6" x14ac:dyDescent="0.25">
      <c r="A23296" s="2" t="str">
        <f t="shared" si="816"/>
        <v>37980</v>
      </c>
      <c r="B23296" s="2" t="str">
        <f>"19002"</f>
        <v>19002</v>
      </c>
      <c r="C23296" s="1">
        <v>4.9667387964662402E-3</v>
      </c>
      <c r="D23296" s="1">
        <v>4.6604202111638401E-3</v>
      </c>
      <c r="E23296" s="1">
        <v>3.5136833685653801E-3</v>
      </c>
      <c r="F23296" s="1">
        <v>4.8930263133206099E-3</v>
      </c>
    </row>
    <row r="23297" spans="1:6" x14ac:dyDescent="0.25">
      <c r="A23297" s="2" t="str">
        <f t="shared" si="816"/>
        <v>37980</v>
      </c>
      <c r="B23297" s="2" t="str">
        <f>"19006"</f>
        <v>19006</v>
      </c>
      <c r="C23297" s="1">
        <v>3.3673547581948801E-3</v>
      </c>
      <c r="D23297" s="1">
        <v>5.9262636047638E-3</v>
      </c>
      <c r="E23297" s="1">
        <v>2.59003218495876E-3</v>
      </c>
      <c r="F23297" s="1">
        <v>3.5443303331398699E-3</v>
      </c>
    </row>
    <row r="23298" spans="1:6" x14ac:dyDescent="0.25">
      <c r="A23298" s="2" t="str">
        <f t="shared" si="816"/>
        <v>37980</v>
      </c>
      <c r="B23298" s="2" t="str">
        <f>"21914"</f>
        <v>21914</v>
      </c>
      <c r="C23298" s="1">
        <v>1.64572713041384E-4</v>
      </c>
      <c r="D23298" s="1">
        <v>4.0702359922828299E-6</v>
      </c>
      <c r="E23298" s="1">
        <v>0</v>
      </c>
      <c r="F23298" s="1">
        <v>1.4622465412369599E-4</v>
      </c>
    </row>
    <row r="23299" spans="1:6" x14ac:dyDescent="0.25">
      <c r="A23299" s="2" t="str">
        <f t="shared" si="816"/>
        <v>37980</v>
      </c>
      <c r="B23299" s="2" t="str">
        <f>"21912"</f>
        <v>21912</v>
      </c>
      <c r="C23299" s="1">
        <v>2.1055089894651501E-4</v>
      </c>
      <c r="D23299" s="1">
        <v>1.6280943969131299E-5</v>
      </c>
      <c r="E23299" s="1">
        <v>9.5221771505837001E-6</v>
      </c>
      <c r="F23299" s="1">
        <v>1.8828041747785701E-4</v>
      </c>
    </row>
    <row r="23300" spans="1:6" x14ac:dyDescent="0.25">
      <c r="A23300" s="2" t="str">
        <f t="shared" si="816"/>
        <v>37980</v>
      </c>
      <c r="B23300" s="2" t="str">
        <f>"08501"</f>
        <v>08501</v>
      </c>
      <c r="C23300" s="1">
        <v>4.9992154515897098E-5</v>
      </c>
      <c r="D23300" s="1">
        <v>0</v>
      </c>
      <c r="E23300" s="1">
        <v>0</v>
      </c>
      <c r="F23300" s="1">
        <v>4.4320304457846198E-5</v>
      </c>
    </row>
    <row r="23301" spans="1:6" x14ac:dyDescent="0.25">
      <c r="A23301" s="2" t="str">
        <f t="shared" si="816"/>
        <v>37980</v>
      </c>
      <c r="B23301" s="2" t="str">
        <f>"08109"</f>
        <v>08109</v>
      </c>
      <c r="C23301" s="1">
        <v>3.4899632539418901E-3</v>
      </c>
      <c r="D23301" s="1">
        <v>4.0702359922828299E-3</v>
      </c>
      <c r="E23301" s="1">
        <v>4.2945018949132503E-3</v>
      </c>
      <c r="F23301" s="1">
        <v>3.5634171795852201E-3</v>
      </c>
    </row>
    <row r="23302" spans="1:6" x14ac:dyDescent="0.25">
      <c r="A23302" s="2" t="str">
        <f t="shared" si="816"/>
        <v>37980</v>
      </c>
      <c r="B23302" s="2" t="str">
        <f>"08318"</f>
        <v>08318</v>
      </c>
      <c r="C23302" s="1">
        <v>2.0690183657309201E-3</v>
      </c>
      <c r="D23302" s="1">
        <v>1.3879504733684399E-3</v>
      </c>
      <c r="E23302" s="1">
        <v>4.6658668037860101E-4</v>
      </c>
      <c r="F23302" s="1">
        <v>1.9604455840477901E-3</v>
      </c>
    </row>
    <row r="23303" spans="1:6" x14ac:dyDescent="0.25">
      <c r="A23303" s="2" t="str">
        <f t="shared" si="816"/>
        <v>37980</v>
      </c>
      <c r="B23303" s="2" t="str">
        <f>"08084"</f>
        <v>08084</v>
      </c>
      <c r="C23303" s="1">
        <v>1.19762227095747E-3</v>
      </c>
      <c r="D23303" s="1">
        <v>1.2495624496308201E-3</v>
      </c>
      <c r="E23303" s="1">
        <v>1.02839513226304E-3</v>
      </c>
      <c r="F23303" s="1">
        <v>1.1960012086179299E-3</v>
      </c>
    </row>
    <row r="23304" spans="1:6" x14ac:dyDescent="0.25">
      <c r="A23304" s="2" t="str">
        <f t="shared" si="816"/>
        <v>37980</v>
      </c>
      <c r="B23304" s="2" t="str">
        <f>"08014"</f>
        <v>08014</v>
      </c>
      <c r="C23304" s="1">
        <v>7.9549559740624599E-5</v>
      </c>
      <c r="D23304" s="1">
        <v>6.5123775876525306E-5</v>
      </c>
      <c r="E23304" s="1">
        <v>8.5699594355253294E-5</v>
      </c>
      <c r="F23304" s="1">
        <v>7.8611926885084794E-5</v>
      </c>
    </row>
    <row r="23305" spans="1:6" x14ac:dyDescent="0.25">
      <c r="A23305" s="2" t="str">
        <f t="shared" si="816"/>
        <v>37980</v>
      </c>
      <c r="B23305" s="2" t="str">
        <f>"08078"</f>
        <v>08078</v>
      </c>
      <c r="C23305" s="1">
        <v>1.27607711198607E-3</v>
      </c>
      <c r="D23305" s="1">
        <v>1.1640874937928901E-3</v>
      </c>
      <c r="E23305" s="1">
        <v>1.47593745834047E-3</v>
      </c>
      <c r="F23305" s="1">
        <v>1.27396612375911E-3</v>
      </c>
    </row>
    <row r="23306" spans="1:6" x14ac:dyDescent="0.25">
      <c r="A23306" s="2" t="str">
        <f t="shared" si="816"/>
        <v>37980</v>
      </c>
      <c r="B23306" s="2" t="str">
        <f>"08071"</f>
        <v>08071</v>
      </c>
      <c r="C23306" s="1">
        <v>1.42349923187237E-3</v>
      </c>
      <c r="D23306" s="1">
        <v>1.1274553698623401E-3</v>
      </c>
      <c r="E23306" s="1">
        <v>1.6949475328039E-3</v>
      </c>
      <c r="F23306" s="1">
        <v>1.4091915782363301E-3</v>
      </c>
    </row>
    <row r="23307" spans="1:6" x14ac:dyDescent="0.25">
      <c r="A23307" s="2" t="str">
        <f t="shared" si="816"/>
        <v>37980</v>
      </c>
      <c r="B23307" s="2" t="str">
        <f>"08067"</f>
        <v>08067</v>
      </c>
      <c r="C23307" s="1">
        <v>2.6054305346241198E-4</v>
      </c>
      <c r="D23307" s="1">
        <v>2.2793321556783801E-4</v>
      </c>
      <c r="E23307" s="1">
        <v>6.6655240054085894E-5</v>
      </c>
      <c r="F23307" s="1">
        <v>2.5136406250909801E-4</v>
      </c>
    </row>
    <row r="23308" spans="1:6" x14ac:dyDescent="0.25">
      <c r="A23308" s="2" t="str">
        <f t="shared" si="816"/>
        <v>37980</v>
      </c>
      <c r="B23308" s="2" t="str">
        <f>"08063"</f>
        <v>08063</v>
      </c>
      <c r="C23308" s="1">
        <v>4.46645234506993E-4</v>
      </c>
      <c r="D23308" s="1">
        <v>1.3838802373761599E-4</v>
      </c>
      <c r="E23308" s="1">
        <v>2.7614313736692699E-4</v>
      </c>
      <c r="F23308" s="1">
        <v>4.1635205720619002E-4</v>
      </c>
    </row>
    <row r="23309" spans="1:6" x14ac:dyDescent="0.25">
      <c r="A23309" s="2" t="str">
        <f t="shared" si="816"/>
        <v>37980</v>
      </c>
      <c r="B23309" s="2" t="str">
        <f>"08038"</f>
        <v>08038</v>
      </c>
      <c r="C23309" s="1">
        <v>7.2981247468462901E-7</v>
      </c>
      <c r="D23309" s="1">
        <v>0</v>
      </c>
      <c r="E23309" s="1">
        <v>9.5221771505837001E-6</v>
      </c>
      <c r="F23309" s="1">
        <v>9.7051761586524491E-7</v>
      </c>
    </row>
    <row r="23310" spans="1:6" x14ac:dyDescent="0.25">
      <c r="A23310" s="2" t="str">
        <f t="shared" si="816"/>
        <v>37980</v>
      </c>
      <c r="B23310" s="2" t="str">
        <f>"08060"</f>
        <v>08060</v>
      </c>
      <c r="C23310" s="1">
        <v>3.9938987677116296E-3</v>
      </c>
      <c r="D23310" s="1">
        <v>4.3592227477349099E-3</v>
      </c>
      <c r="E23310" s="1">
        <v>4.6563446266354299E-3</v>
      </c>
      <c r="F23310" s="1">
        <v>4.04544092879829E-3</v>
      </c>
    </row>
    <row r="23311" spans="1:6" x14ac:dyDescent="0.25">
      <c r="A23311" s="2" t="str">
        <f t="shared" si="816"/>
        <v>37980</v>
      </c>
      <c r="B23311" s="2" t="str">
        <f>"08053"</f>
        <v>08053</v>
      </c>
      <c r="C23311" s="1">
        <v>7.3944599935046604E-3</v>
      </c>
      <c r="D23311" s="1">
        <v>9.0766262627907102E-3</v>
      </c>
      <c r="E23311" s="1">
        <v>3.4375059513607098E-3</v>
      </c>
      <c r="F23311" s="1">
        <v>7.3937267035333902E-3</v>
      </c>
    </row>
    <row r="23312" spans="1:6" x14ac:dyDescent="0.25">
      <c r="A23312" s="2" t="str">
        <f t="shared" si="816"/>
        <v>37980</v>
      </c>
      <c r="B23312" s="2" t="str">
        <f>"08025"</f>
        <v>08025</v>
      </c>
      <c r="C23312" s="1">
        <v>0</v>
      </c>
      <c r="D23312" s="1">
        <v>0</v>
      </c>
      <c r="E23312" s="1">
        <v>9.5221771505837001E-6</v>
      </c>
      <c r="F23312" s="1">
        <v>3.2350587195508102E-7</v>
      </c>
    </row>
    <row r="23313" spans="1:6" x14ac:dyDescent="0.25">
      <c r="A23313" s="2" t="str">
        <f t="shared" si="816"/>
        <v>37980</v>
      </c>
      <c r="B23313" s="2" t="str">
        <f>"08033"</f>
        <v>08033</v>
      </c>
      <c r="C23313" s="1">
        <v>2.7820451534977999E-3</v>
      </c>
      <c r="D23313" s="1">
        <v>3.6021588531702999E-3</v>
      </c>
      <c r="E23313" s="1">
        <v>2.32341122474242E-3</v>
      </c>
      <c r="F23313" s="1">
        <v>2.83164689722283E-3</v>
      </c>
    </row>
    <row r="23314" spans="1:6" x14ac:dyDescent="0.25">
      <c r="A23314" s="2" t="str">
        <f t="shared" si="816"/>
        <v>37980</v>
      </c>
      <c r="B23314" s="2" t="str">
        <f>"08022"</f>
        <v>08022</v>
      </c>
      <c r="C23314" s="1">
        <v>1.49210160449272E-3</v>
      </c>
      <c r="D23314" s="1">
        <v>1.19257914573886E-3</v>
      </c>
      <c r="E23314" s="1">
        <v>2.5709878306576001E-4</v>
      </c>
      <c r="F23314" s="1">
        <v>1.4263373894499499E-3</v>
      </c>
    </row>
    <row r="23315" spans="1:6" x14ac:dyDescent="0.25">
      <c r="A23315" s="2" t="str">
        <f t="shared" si="816"/>
        <v>37980</v>
      </c>
      <c r="B23315" s="2" t="str">
        <f>"19977"</f>
        <v>19977</v>
      </c>
      <c r="C23315" s="1">
        <v>2.7404458424407801E-4</v>
      </c>
      <c r="D23315" s="1">
        <v>2.5235463152153498E-4</v>
      </c>
      <c r="E23315" s="1">
        <v>5.7133062903502201E-5</v>
      </c>
      <c r="F23315" s="1">
        <v>2.6495130913121198E-4</v>
      </c>
    </row>
    <row r="23316" spans="1:6" x14ac:dyDescent="0.25">
      <c r="A23316" s="2" t="str">
        <f t="shared" si="816"/>
        <v>37980</v>
      </c>
      <c r="B23316" s="2" t="str">
        <f>"19712"</f>
        <v>19712</v>
      </c>
      <c r="C23316" s="1">
        <v>0</v>
      </c>
      <c r="D23316" s="1">
        <v>2.03511799614141E-5</v>
      </c>
      <c r="E23316" s="1">
        <v>3.8088708602334801E-5</v>
      </c>
      <c r="F23316" s="1">
        <v>2.9115528475957301E-6</v>
      </c>
    </row>
    <row r="23317" spans="1:6" x14ac:dyDescent="0.25">
      <c r="A23317" s="2" t="str">
        <f t="shared" si="816"/>
        <v>37980</v>
      </c>
      <c r="B23317" s="2" t="str">
        <f>"19726"</f>
        <v>19726</v>
      </c>
      <c r="C23317" s="1">
        <v>0</v>
      </c>
      <c r="D23317" s="1">
        <v>4.0702359922828301E-5</v>
      </c>
      <c r="E23317" s="1">
        <v>0</v>
      </c>
      <c r="F23317" s="1">
        <v>3.2350587195508099E-6</v>
      </c>
    </row>
    <row r="23318" spans="1:6" x14ac:dyDescent="0.25">
      <c r="A23318" s="2" t="str">
        <f t="shared" si="816"/>
        <v>37980</v>
      </c>
      <c r="B23318" s="2" t="str">
        <f>"19732"</f>
        <v>19732</v>
      </c>
      <c r="C23318" s="1">
        <v>3.6125717496889102E-5</v>
      </c>
      <c r="D23318" s="1">
        <v>1.2210707976848399E-5</v>
      </c>
      <c r="E23318" s="1">
        <v>9.5221771505837001E-6</v>
      </c>
      <c r="F23318" s="1">
        <v>3.3321104811373402E-5</v>
      </c>
    </row>
    <row r="23319" spans="1:6" x14ac:dyDescent="0.25">
      <c r="A23319" s="2" t="str">
        <f t="shared" si="816"/>
        <v>37980</v>
      </c>
      <c r="B23319" s="2" t="str">
        <f>"19472"</f>
        <v>19472</v>
      </c>
      <c r="C23319" s="1">
        <v>0</v>
      </c>
      <c r="D23319" s="1">
        <v>4.0702359922828299E-6</v>
      </c>
      <c r="E23319" s="1">
        <v>0</v>
      </c>
      <c r="F23319" s="1">
        <v>3.2350587195508102E-7</v>
      </c>
    </row>
    <row r="23320" spans="1:6" x14ac:dyDescent="0.25">
      <c r="A23320" s="2" t="str">
        <f t="shared" si="816"/>
        <v>37980</v>
      </c>
      <c r="B23320" s="2" t="str">
        <f>"19473"</f>
        <v>19473</v>
      </c>
      <c r="C23320" s="1">
        <v>2.17593589327222E-3</v>
      </c>
      <c r="D23320" s="1">
        <v>5.5762233094274795E-4</v>
      </c>
      <c r="E23320" s="1">
        <v>1.06648384086537E-3</v>
      </c>
      <c r="F23320" s="1">
        <v>2.0096184765849602E-3</v>
      </c>
    </row>
    <row r="23321" spans="1:6" x14ac:dyDescent="0.25">
      <c r="A23321" s="2" t="str">
        <f t="shared" si="816"/>
        <v>37980</v>
      </c>
      <c r="B23321" s="2" t="str">
        <f>"19703"</f>
        <v>19703</v>
      </c>
      <c r="C23321" s="1">
        <v>2.8192655897067201E-3</v>
      </c>
      <c r="D23321" s="1">
        <v>2.7433390587986201E-3</v>
      </c>
      <c r="E23321" s="1">
        <v>2.9423527395303602E-3</v>
      </c>
      <c r="F23321" s="1">
        <v>2.8174126388568E-3</v>
      </c>
    </row>
    <row r="23322" spans="1:6" x14ac:dyDescent="0.25">
      <c r="A23322" s="2" t="str">
        <f t="shared" si="816"/>
        <v>37980</v>
      </c>
      <c r="B23322" s="2" t="str">
        <f>"19707"</f>
        <v>19707</v>
      </c>
      <c r="C23322" s="1">
        <v>2.7218356243363202E-3</v>
      </c>
      <c r="D23322" s="1">
        <v>3.3945768175638802E-3</v>
      </c>
      <c r="E23322" s="1">
        <v>5.1419756613152001E-4</v>
      </c>
      <c r="F23322" s="1">
        <v>2.7003035132090601E-3</v>
      </c>
    </row>
    <row r="23323" spans="1:6" x14ac:dyDescent="0.25">
      <c r="A23323" s="2" t="str">
        <f t="shared" si="816"/>
        <v>37980</v>
      </c>
      <c r="B23323" s="2" t="str">
        <f>"19436"</f>
        <v>19436</v>
      </c>
      <c r="C23323" s="1">
        <v>1.68951587889491E-4</v>
      </c>
      <c r="D23323" s="1">
        <v>4.0702359922828301E-5</v>
      </c>
      <c r="E23323" s="1">
        <v>9.5221771505837001E-6</v>
      </c>
      <c r="F23323" s="1">
        <v>1.53341783306708E-4</v>
      </c>
    </row>
    <row r="23324" spans="1:6" x14ac:dyDescent="0.25">
      <c r="A23324" s="2" t="str">
        <f t="shared" ref="A23324:A23387" si="817">"37980"</f>
        <v>37980</v>
      </c>
      <c r="B23324" s="2" t="str">
        <f>"19443"</f>
        <v>19443</v>
      </c>
      <c r="C23324" s="1">
        <v>1.15675277237513E-4</v>
      </c>
      <c r="D23324" s="1">
        <v>4.6400690312024199E-4</v>
      </c>
      <c r="E23324" s="1">
        <v>1.90443543011674E-5</v>
      </c>
      <c r="F23324" s="1">
        <v>1.4007804255655E-4</v>
      </c>
    </row>
    <row r="23325" spans="1:6" x14ac:dyDescent="0.25">
      <c r="A23325" s="2" t="str">
        <f t="shared" si="817"/>
        <v>37980</v>
      </c>
      <c r="B23325" s="2" t="str">
        <f>"19435"</f>
        <v>19435</v>
      </c>
      <c r="C23325" s="1">
        <v>3.02872176994121E-5</v>
      </c>
      <c r="D23325" s="1">
        <v>4.0702359922828299E-6</v>
      </c>
      <c r="E23325" s="1">
        <v>9.5221771505837001E-6</v>
      </c>
      <c r="F23325" s="1">
        <v>2.7497999116181899E-5</v>
      </c>
    </row>
    <row r="23326" spans="1:6" x14ac:dyDescent="0.25">
      <c r="A23326" s="2" t="str">
        <f t="shared" si="817"/>
        <v>37980</v>
      </c>
      <c r="B23326" s="2" t="str">
        <f>"19366"</f>
        <v>19366</v>
      </c>
      <c r="C23326" s="1">
        <v>0</v>
      </c>
      <c r="D23326" s="1">
        <v>0</v>
      </c>
      <c r="E23326" s="1">
        <v>9.5221771505837001E-6</v>
      </c>
      <c r="F23326" s="1">
        <v>3.2350587195508102E-7</v>
      </c>
    </row>
    <row r="23327" spans="1:6" x14ac:dyDescent="0.25">
      <c r="A23327" s="2" t="str">
        <f t="shared" si="817"/>
        <v>37980</v>
      </c>
      <c r="B23327" s="2" t="str">
        <f>"19142"</f>
        <v>19142</v>
      </c>
      <c r="C23327" s="1">
        <v>4.4109865969939E-3</v>
      </c>
      <c r="D23327" s="1">
        <v>3.3294530416873502E-3</v>
      </c>
      <c r="E23327" s="1">
        <v>2.6376430707116798E-3</v>
      </c>
      <c r="F23327" s="1">
        <v>4.26477790998384E-3</v>
      </c>
    </row>
    <row r="23328" spans="1:6" x14ac:dyDescent="0.25">
      <c r="A23328" s="2" t="str">
        <f t="shared" si="817"/>
        <v>37980</v>
      </c>
      <c r="B23328" s="2" t="str">
        <f>"19335"</f>
        <v>19335</v>
      </c>
      <c r="C23328" s="1">
        <v>7.4656167097864202E-3</v>
      </c>
      <c r="D23328" s="1">
        <v>4.9371962586390698E-3</v>
      </c>
      <c r="E23328" s="1">
        <v>4.6944333352377599E-3</v>
      </c>
      <c r="F23328" s="1">
        <v>7.1705076518843803E-3</v>
      </c>
    </row>
    <row r="23329" spans="1:6" x14ac:dyDescent="0.25">
      <c r="A23329" s="2" t="str">
        <f t="shared" si="817"/>
        <v>37980</v>
      </c>
      <c r="B23329" s="2" t="str">
        <f>"19363"</f>
        <v>19363</v>
      </c>
      <c r="C23329" s="1">
        <v>2.36167316807946E-3</v>
      </c>
      <c r="D23329" s="1">
        <v>1.7786931286275899E-3</v>
      </c>
      <c r="E23329" s="1">
        <v>1.66638100135214E-3</v>
      </c>
      <c r="F23329" s="1">
        <v>2.29171559692979E-3</v>
      </c>
    </row>
    <row r="23330" spans="1:6" x14ac:dyDescent="0.25">
      <c r="A23330" s="2" t="str">
        <f t="shared" si="817"/>
        <v>37980</v>
      </c>
      <c r="B23330" s="2" t="str">
        <f>"19095"</f>
        <v>19095</v>
      </c>
      <c r="C23330" s="1">
        <v>1.64426750546447E-3</v>
      </c>
      <c r="D23330" s="1">
        <v>9.2801380624048496E-4</v>
      </c>
      <c r="E23330" s="1">
        <v>6.4750804623969196E-4</v>
      </c>
      <c r="F23330" s="1">
        <v>1.5534751971282999E-3</v>
      </c>
    </row>
    <row r="23331" spans="1:6" x14ac:dyDescent="0.25">
      <c r="A23331" s="2" t="str">
        <f t="shared" si="817"/>
        <v>37980</v>
      </c>
      <c r="B23331" s="2" t="str">
        <f>"19083"</f>
        <v>19083</v>
      </c>
      <c r="C23331" s="1">
        <v>5.2520954740679299E-3</v>
      </c>
      <c r="D23331" s="1">
        <v>4.7133332790635198E-3</v>
      </c>
      <c r="E23331" s="1">
        <v>3.0090079795844502E-3</v>
      </c>
      <c r="F23331" s="1">
        <v>5.1330676703112803E-3</v>
      </c>
    </row>
    <row r="23332" spans="1:6" x14ac:dyDescent="0.25">
      <c r="A23332" s="2" t="str">
        <f t="shared" si="817"/>
        <v>37980</v>
      </c>
      <c r="B23332" s="2" t="str">
        <f>"19067"</f>
        <v>19067</v>
      </c>
      <c r="C23332" s="1">
        <v>8.3687596472086408E-3</v>
      </c>
      <c r="D23332" s="1">
        <v>7.2979331341631098E-3</v>
      </c>
      <c r="E23332" s="1">
        <v>4.7039555123883497E-3</v>
      </c>
      <c r="F23332" s="1">
        <v>8.1591415965791107E-3</v>
      </c>
    </row>
    <row r="23333" spans="1:6" x14ac:dyDescent="0.25">
      <c r="A23333" s="2" t="str">
        <f t="shared" si="817"/>
        <v>37980</v>
      </c>
      <c r="B23333" s="2" t="str">
        <f>"19107"</f>
        <v>19107</v>
      </c>
      <c r="C23333" s="1">
        <v>4.3566155676298896E-3</v>
      </c>
      <c r="D23333" s="1">
        <v>1.52755956790374E-2</v>
      </c>
      <c r="E23333" s="1">
        <v>1.56354148812584E-2</v>
      </c>
      <c r="F23333" s="1">
        <v>5.6076507844693797E-3</v>
      </c>
    </row>
    <row r="23334" spans="1:6" x14ac:dyDescent="0.25">
      <c r="A23334" s="2" t="str">
        <f t="shared" si="817"/>
        <v>37980</v>
      </c>
      <c r="B23334" s="2" t="str">
        <f>"19104"</f>
        <v>19104</v>
      </c>
      <c r="C23334" s="1">
        <v>9.7189127253752092E-3</v>
      </c>
      <c r="D23334" s="1">
        <v>1.05948242879122E-2</v>
      </c>
      <c r="E23334" s="1">
        <v>3.86124283456169E-2</v>
      </c>
      <c r="F23334" s="1">
        <v>1.0770157489128501E-2</v>
      </c>
    </row>
    <row r="23335" spans="1:6" x14ac:dyDescent="0.25">
      <c r="A23335" s="2" t="str">
        <f t="shared" si="817"/>
        <v>37980</v>
      </c>
      <c r="B23335" s="2" t="str">
        <f>"19053"</f>
        <v>19053</v>
      </c>
      <c r="C23335" s="1">
        <v>4.1263597318668896E-3</v>
      </c>
      <c r="D23335" s="1">
        <v>6.45946451975285E-3</v>
      </c>
      <c r="E23335" s="1">
        <v>3.6469938486735601E-3</v>
      </c>
      <c r="F23335" s="1">
        <v>4.2955109678195699E-3</v>
      </c>
    </row>
    <row r="23336" spans="1:6" x14ac:dyDescent="0.25">
      <c r="A23336" s="2" t="str">
        <f t="shared" si="817"/>
        <v>37980</v>
      </c>
      <c r="B23336" s="2" t="str">
        <f>"18957"</f>
        <v>18957</v>
      </c>
      <c r="C23336" s="1">
        <v>0</v>
      </c>
      <c r="D23336" s="1">
        <v>0</v>
      </c>
      <c r="E23336" s="1">
        <v>9.5221771505837001E-6</v>
      </c>
      <c r="F23336" s="1">
        <v>3.2350587195508102E-7</v>
      </c>
    </row>
    <row r="23337" spans="1:6" x14ac:dyDescent="0.25">
      <c r="A23337" s="2" t="str">
        <f t="shared" si="817"/>
        <v>37980</v>
      </c>
      <c r="B23337" s="2" t="str">
        <f>"18955"</f>
        <v>18955</v>
      </c>
      <c r="C23337" s="1">
        <v>3.8862514276956502E-4</v>
      </c>
      <c r="D23337" s="1">
        <v>2.4421415953696901E-4</v>
      </c>
      <c r="E23337" s="1">
        <v>3.8088708602334801E-4</v>
      </c>
      <c r="F23337" s="1">
        <v>3.7688434082766998E-4</v>
      </c>
    </row>
    <row r="23338" spans="1:6" x14ac:dyDescent="0.25">
      <c r="A23338" s="2" t="str">
        <f t="shared" si="817"/>
        <v>37980</v>
      </c>
      <c r="B23338" s="2" t="str">
        <f>"18933"</f>
        <v>18933</v>
      </c>
      <c r="C23338" s="1">
        <v>4.4153654718420099E-5</v>
      </c>
      <c r="D23338" s="1">
        <v>1.2210707976848399E-5</v>
      </c>
      <c r="E23338" s="1">
        <v>7.6177417204669601E-5</v>
      </c>
      <c r="F23338" s="1">
        <v>4.2702775098070802E-5</v>
      </c>
    </row>
    <row r="23339" spans="1:6" x14ac:dyDescent="0.25">
      <c r="A23339" s="2" t="str">
        <f t="shared" si="817"/>
        <v>37980</v>
      </c>
      <c r="B23339" s="2" t="str">
        <f>"18922"</f>
        <v>18922</v>
      </c>
      <c r="C23339" s="1">
        <v>0</v>
      </c>
      <c r="D23339" s="1">
        <v>0</v>
      </c>
      <c r="E23339" s="1">
        <v>9.5221771505837001E-6</v>
      </c>
      <c r="F23339" s="1">
        <v>3.2350587195508102E-7</v>
      </c>
    </row>
    <row r="23340" spans="1:6" x14ac:dyDescent="0.25">
      <c r="A23340" s="2" t="str">
        <f t="shared" si="817"/>
        <v>37980</v>
      </c>
      <c r="B23340" s="2" t="str">
        <f>"18911"</f>
        <v>18911</v>
      </c>
      <c r="C23340" s="1">
        <v>0</v>
      </c>
      <c r="D23340" s="1">
        <v>4.0702359922828299E-6</v>
      </c>
      <c r="E23340" s="1">
        <v>0</v>
      </c>
      <c r="F23340" s="1">
        <v>3.2350587195508102E-7</v>
      </c>
    </row>
    <row r="23341" spans="1:6" x14ac:dyDescent="0.25">
      <c r="A23341" s="2" t="str">
        <f t="shared" si="817"/>
        <v>37980</v>
      </c>
      <c r="B23341" s="2" t="str">
        <f>"18931"</f>
        <v>18931</v>
      </c>
      <c r="C23341" s="1">
        <v>1.7880405629773399E-4</v>
      </c>
      <c r="D23341" s="1">
        <v>6.2681634281155604E-4</v>
      </c>
      <c r="E23341" s="1">
        <v>1.90443543011674E-5</v>
      </c>
      <c r="F23341" s="1">
        <v>2.08984793282982E-4</v>
      </c>
    </row>
    <row r="23342" spans="1:6" x14ac:dyDescent="0.25">
      <c r="A23342" s="2" t="str">
        <f t="shared" si="817"/>
        <v>37980</v>
      </c>
      <c r="B23342" s="2" t="str">
        <f>"18935"</f>
        <v>18935</v>
      </c>
      <c r="C23342" s="1">
        <v>0</v>
      </c>
      <c r="D23342" s="1">
        <v>0</v>
      </c>
      <c r="E23342" s="1">
        <v>9.5221771505837001E-6</v>
      </c>
      <c r="F23342" s="1">
        <v>3.2350587195508102E-7</v>
      </c>
    </row>
    <row r="23343" spans="1:6" x14ac:dyDescent="0.25">
      <c r="A23343" s="2" t="str">
        <f t="shared" si="817"/>
        <v>37980</v>
      </c>
      <c r="B23343" s="2" t="str">
        <f>"18934"</f>
        <v>18934</v>
      </c>
      <c r="C23343" s="1">
        <v>2.2624186715223498E-5</v>
      </c>
      <c r="D23343" s="1">
        <v>0</v>
      </c>
      <c r="E23343" s="1">
        <v>2.85665314517511E-5</v>
      </c>
      <c r="F23343" s="1">
        <v>2.10278816770803E-5</v>
      </c>
    </row>
    <row r="23344" spans="1:6" x14ac:dyDescent="0.25">
      <c r="A23344" s="2" t="str">
        <f t="shared" si="817"/>
        <v>37980</v>
      </c>
      <c r="B23344" s="2" t="str">
        <f>"18917"</f>
        <v>18917</v>
      </c>
      <c r="C23344" s="1">
        <v>4.3752257857343501E-4</v>
      </c>
      <c r="D23344" s="1">
        <v>1.7909038366044401E-4</v>
      </c>
      <c r="E23344" s="1">
        <v>2.9518749166809402E-4</v>
      </c>
      <c r="F23344" s="1">
        <v>4.1214648087077398E-4</v>
      </c>
    </row>
    <row r="23345" spans="1:6" x14ac:dyDescent="0.25">
      <c r="A23345" s="2" t="str">
        <f t="shared" si="817"/>
        <v>37980</v>
      </c>
      <c r="B23345" s="2" t="str">
        <f>"18914"</f>
        <v>18914</v>
      </c>
      <c r="C23345" s="1">
        <v>3.0520757691311199E-3</v>
      </c>
      <c r="D23345" s="1">
        <v>2.2671214477015299E-3</v>
      </c>
      <c r="E23345" s="1">
        <v>1.0093507779618701E-3</v>
      </c>
      <c r="F23345" s="1">
        <v>2.9202875061385201E-3</v>
      </c>
    </row>
    <row r="23346" spans="1:6" x14ac:dyDescent="0.25">
      <c r="A23346" s="2" t="str">
        <f t="shared" si="817"/>
        <v>37980</v>
      </c>
      <c r="B23346" s="2" t="str">
        <f>"19032"</f>
        <v>19032</v>
      </c>
      <c r="C23346" s="1">
        <v>9.6408227905839499E-4</v>
      </c>
      <c r="D23346" s="1">
        <v>1.40423141733757E-3</v>
      </c>
      <c r="E23346" s="1">
        <v>1.09505037231712E-3</v>
      </c>
      <c r="F23346" s="1">
        <v>1.0035152148046599E-3</v>
      </c>
    </row>
    <row r="23347" spans="1:6" x14ac:dyDescent="0.25">
      <c r="A23347" s="2" t="str">
        <f t="shared" si="817"/>
        <v>37980</v>
      </c>
      <c r="B23347" s="2" t="str">
        <f>"19008"</f>
        <v>19008</v>
      </c>
      <c r="C23347" s="1">
        <v>2.9958802085804002E-3</v>
      </c>
      <c r="D23347" s="1">
        <v>3.7161254609542199E-3</v>
      </c>
      <c r="E23347" s="1">
        <v>2.6471652478622701E-3</v>
      </c>
      <c r="F23347" s="1">
        <v>3.0412787022497199E-3</v>
      </c>
    </row>
    <row r="23348" spans="1:6" x14ac:dyDescent="0.25">
      <c r="A23348" s="2" t="str">
        <f t="shared" si="817"/>
        <v>37980</v>
      </c>
      <c r="B23348" s="2" t="str">
        <f>"18971"</f>
        <v>18971</v>
      </c>
      <c r="C23348" s="1">
        <v>0</v>
      </c>
      <c r="D23348" s="1">
        <v>0</v>
      </c>
      <c r="E23348" s="1">
        <v>9.5221771505837001E-6</v>
      </c>
      <c r="F23348" s="1">
        <v>3.2350587195508102E-7</v>
      </c>
    </row>
    <row r="23349" spans="1:6" x14ac:dyDescent="0.25">
      <c r="A23349" s="2" t="str">
        <f t="shared" si="817"/>
        <v>37980</v>
      </c>
      <c r="B23349" s="2" t="str">
        <f>"18980"</f>
        <v>18980</v>
      </c>
      <c r="C23349" s="1">
        <v>0</v>
      </c>
      <c r="D23349" s="1">
        <v>0</v>
      </c>
      <c r="E23349" s="1">
        <v>9.5221771505837001E-6</v>
      </c>
      <c r="F23349" s="1">
        <v>3.2350587195508102E-7</v>
      </c>
    </row>
    <row r="23350" spans="1:6" x14ac:dyDescent="0.25">
      <c r="A23350" s="2" t="str">
        <f t="shared" si="817"/>
        <v>37980</v>
      </c>
      <c r="B23350" s="2" t="str">
        <f>"18039"</f>
        <v>18039</v>
      </c>
      <c r="C23350" s="1">
        <v>3.6490623734231398E-7</v>
      </c>
      <c r="D23350" s="1">
        <v>4.0702359922828299E-6</v>
      </c>
      <c r="E23350" s="1">
        <v>0</v>
      </c>
      <c r="F23350" s="1">
        <v>6.4701174391016299E-7</v>
      </c>
    </row>
    <row r="23351" spans="1:6" x14ac:dyDescent="0.25">
      <c r="A23351" s="2" t="str">
        <f t="shared" si="817"/>
        <v>37980</v>
      </c>
      <c r="B23351" s="2" t="str">
        <f>"18076"</f>
        <v>18076</v>
      </c>
      <c r="C23351" s="1">
        <v>4.8021660834248598E-4</v>
      </c>
      <c r="D23351" s="1">
        <v>3.4597005934404001E-4</v>
      </c>
      <c r="E23351" s="1">
        <v>4.5706450322801799E-4</v>
      </c>
      <c r="F23351" s="1">
        <v>4.6876000846291302E-4</v>
      </c>
    </row>
    <row r="23352" spans="1:6" x14ac:dyDescent="0.25">
      <c r="A23352" s="2" t="str">
        <f t="shared" si="817"/>
        <v>37980</v>
      </c>
      <c r="B23352" s="2" t="str">
        <f>"18054"</f>
        <v>18054</v>
      </c>
      <c r="C23352" s="1">
        <v>8.48771908058224E-4</v>
      </c>
      <c r="D23352" s="1">
        <v>5.0877949903535395E-4</v>
      </c>
      <c r="E23352" s="1">
        <v>1.99965720162257E-4</v>
      </c>
      <c r="F23352" s="1">
        <v>7.9970651547296202E-4</v>
      </c>
    </row>
    <row r="23353" spans="1:6" x14ac:dyDescent="0.25">
      <c r="A23353" s="2" t="str">
        <f t="shared" si="817"/>
        <v>37980</v>
      </c>
      <c r="B23353" s="2" t="str">
        <f>"17527"</f>
        <v>17527</v>
      </c>
      <c r="C23353" s="1">
        <v>5.2181591939951002E-5</v>
      </c>
      <c r="D23353" s="1">
        <v>4.0702359922828301E-5</v>
      </c>
      <c r="E23353" s="1">
        <v>0</v>
      </c>
      <c r="F23353" s="1">
        <v>4.9496398409127502E-5</v>
      </c>
    </row>
    <row r="23354" spans="1:6" x14ac:dyDescent="0.25">
      <c r="A23354" s="2" t="str">
        <f t="shared" si="817"/>
        <v>37980</v>
      </c>
      <c r="B23354" s="2" t="str">
        <f>"21916"</f>
        <v>21916</v>
      </c>
      <c r="C23354" s="1">
        <v>0</v>
      </c>
      <c r="D23354" s="1">
        <v>4.0702359922828299E-6</v>
      </c>
      <c r="E23354" s="1">
        <v>0</v>
      </c>
      <c r="F23354" s="1">
        <v>3.2350587195508102E-7</v>
      </c>
    </row>
    <row r="23355" spans="1:6" x14ac:dyDescent="0.25">
      <c r="A23355" s="2" t="str">
        <f t="shared" si="817"/>
        <v>37980</v>
      </c>
      <c r="B23355" s="2" t="str">
        <f>"21902"</f>
        <v>21902</v>
      </c>
      <c r="C23355" s="1">
        <v>4.59781859051316E-5</v>
      </c>
      <c r="D23355" s="1">
        <v>8.9545191830222304E-5</v>
      </c>
      <c r="E23355" s="1">
        <v>1.90443543011674E-5</v>
      </c>
      <c r="F23355" s="1">
        <v>4.8525880793262199E-5</v>
      </c>
    </row>
    <row r="23356" spans="1:6" x14ac:dyDescent="0.25">
      <c r="A23356" s="2" t="str">
        <f t="shared" si="817"/>
        <v>37980</v>
      </c>
      <c r="B23356" s="2" t="str">
        <f>"21903"</f>
        <v>21903</v>
      </c>
      <c r="C23356" s="1">
        <v>1.37971048339129E-3</v>
      </c>
      <c r="D23356" s="1">
        <v>9.7685663814787906E-4</v>
      </c>
      <c r="E23356" s="1">
        <v>1.5140261669428E-3</v>
      </c>
      <c r="F23356" s="1">
        <v>1.3522545447722399E-3</v>
      </c>
    </row>
    <row r="23357" spans="1:6" x14ac:dyDescent="0.25">
      <c r="A23357" s="2" t="str">
        <f t="shared" si="817"/>
        <v>37980</v>
      </c>
      <c r="B23357" s="2" t="str">
        <f>"21921"</f>
        <v>21921</v>
      </c>
      <c r="C23357" s="1">
        <v>7.1758811573366197E-3</v>
      </c>
      <c r="D23357" s="1">
        <v>6.0320897405631499E-3</v>
      </c>
      <c r="E23357" s="1">
        <v>5.44668533013388E-3</v>
      </c>
      <c r="F23357" s="1">
        <v>7.0262240329924197E-3</v>
      </c>
    </row>
    <row r="23358" spans="1:6" x14ac:dyDescent="0.25">
      <c r="A23358" s="2" t="str">
        <f t="shared" si="817"/>
        <v>37980</v>
      </c>
      <c r="B23358" s="2" t="str">
        <f>"08344"</f>
        <v>08344</v>
      </c>
      <c r="C23358" s="1">
        <v>9.3160562393492896E-4</v>
      </c>
      <c r="D23358" s="1">
        <v>8.0183649047971804E-4</v>
      </c>
      <c r="E23358" s="1">
        <v>2.5709878306576001E-4</v>
      </c>
      <c r="F23358" s="1">
        <v>8.9837580641926196E-4</v>
      </c>
    </row>
    <row r="23359" spans="1:6" x14ac:dyDescent="0.25">
      <c r="A23359" s="2" t="str">
        <f t="shared" si="817"/>
        <v>37980</v>
      </c>
      <c r="B23359" s="2" t="str">
        <f>"08096"</f>
        <v>08096</v>
      </c>
      <c r="C23359" s="1">
        <v>5.9702309491576101E-3</v>
      </c>
      <c r="D23359" s="1">
        <v>7.0659296826029901E-3</v>
      </c>
      <c r="E23359" s="1">
        <v>3.6374716715229698E-3</v>
      </c>
      <c r="F23359" s="1">
        <v>5.9780650078579498E-3</v>
      </c>
    </row>
    <row r="23360" spans="1:6" x14ac:dyDescent="0.25">
      <c r="A23360" s="2" t="str">
        <f t="shared" si="817"/>
        <v>37980</v>
      </c>
      <c r="B23360" s="2" t="str">
        <f>"08088"</f>
        <v>08088</v>
      </c>
      <c r="C23360" s="1">
        <v>3.8435573979266001E-3</v>
      </c>
      <c r="D23360" s="1">
        <v>2.4217904154082799E-3</v>
      </c>
      <c r="E23360" s="1">
        <v>6.66552400540859E-4</v>
      </c>
      <c r="F23360" s="1">
        <v>3.6226187541529998E-3</v>
      </c>
    </row>
    <row r="23361" spans="1:6" x14ac:dyDescent="0.25">
      <c r="A23361" s="2" t="str">
        <f t="shared" si="817"/>
        <v>37980</v>
      </c>
      <c r="B23361" s="2" t="str">
        <f>"08081"</f>
        <v>08081</v>
      </c>
      <c r="C23361" s="1">
        <v>6.9992665384629397E-3</v>
      </c>
      <c r="D23361" s="1">
        <v>3.3538744576410498E-3</v>
      </c>
      <c r="E23361" s="1">
        <v>8.4747376640195E-4</v>
      </c>
      <c r="F23361" s="1">
        <v>6.5005269910654098E-3</v>
      </c>
    </row>
    <row r="23362" spans="1:6" x14ac:dyDescent="0.25">
      <c r="A23362" s="2" t="str">
        <f t="shared" si="817"/>
        <v>37980</v>
      </c>
      <c r="B23362" s="2" t="str">
        <f>"08042"</f>
        <v>08042</v>
      </c>
      <c r="C23362" s="1">
        <v>0</v>
      </c>
      <c r="D23362" s="1">
        <v>0</v>
      </c>
      <c r="E23362" s="1">
        <v>9.5221771505837001E-6</v>
      </c>
      <c r="F23362" s="1">
        <v>3.2350587195508102E-7</v>
      </c>
    </row>
    <row r="23363" spans="1:6" x14ac:dyDescent="0.25">
      <c r="A23363" s="2" t="str">
        <f t="shared" si="817"/>
        <v>37980</v>
      </c>
      <c r="B23363" s="2" t="str">
        <f>"08048"</f>
        <v>08048</v>
      </c>
      <c r="C23363" s="1">
        <v>1.9413011826611101E-3</v>
      </c>
      <c r="D23363" s="1">
        <v>1.7054288807665E-3</v>
      </c>
      <c r="E23363" s="1">
        <v>6.2846369193852395E-4</v>
      </c>
      <c r="F23363" s="1">
        <v>1.87795158669925E-3</v>
      </c>
    </row>
    <row r="23364" spans="1:6" x14ac:dyDescent="0.25">
      <c r="A23364" s="2" t="str">
        <f t="shared" si="817"/>
        <v>37980</v>
      </c>
      <c r="B23364" s="2" t="str">
        <f>"08059"</f>
        <v>08059</v>
      </c>
      <c r="C23364" s="1">
        <v>8.7832931328295097E-4</v>
      </c>
      <c r="D23364" s="1">
        <v>6.7972941071123305E-4</v>
      </c>
      <c r="E23364" s="1">
        <v>4.0945361747509899E-4</v>
      </c>
      <c r="F23364" s="1">
        <v>8.4661486690644895E-4</v>
      </c>
    </row>
    <row r="23365" spans="1:6" x14ac:dyDescent="0.25">
      <c r="A23365" s="2" t="str">
        <f t="shared" si="817"/>
        <v>37980</v>
      </c>
      <c r="B23365" s="2" t="str">
        <f>"08057"</f>
        <v>08057</v>
      </c>
      <c r="C23365" s="1">
        <v>3.2122696073243898E-3</v>
      </c>
      <c r="D23365" s="1">
        <v>6.7606619831817802E-3</v>
      </c>
      <c r="E23365" s="1">
        <v>3.4470281285113001E-3</v>
      </c>
      <c r="F23365" s="1">
        <v>3.50227456978571E-3</v>
      </c>
    </row>
    <row r="23366" spans="1:6" x14ac:dyDescent="0.25">
      <c r="A23366" s="2" t="str">
        <f t="shared" si="817"/>
        <v>37980</v>
      </c>
      <c r="B23366" s="2" t="str">
        <f>"19806"</f>
        <v>19806</v>
      </c>
      <c r="C23366" s="1">
        <v>2.2569450779622098E-3</v>
      </c>
      <c r="D23366" s="1">
        <v>2.2142083798018602E-3</v>
      </c>
      <c r="E23366" s="1">
        <v>5.38003009007979E-3</v>
      </c>
      <c r="F23366" s="1">
        <v>2.3596518300403602E-3</v>
      </c>
    </row>
    <row r="23367" spans="1:6" x14ac:dyDescent="0.25">
      <c r="A23367" s="2" t="str">
        <f t="shared" si="817"/>
        <v>37980</v>
      </c>
      <c r="B23367" s="2" t="str">
        <f>"19484"</f>
        <v>19484</v>
      </c>
      <c r="C23367" s="1">
        <v>2.7732874038015901E-5</v>
      </c>
      <c r="D23367" s="1">
        <v>1.09896371791636E-4</v>
      </c>
      <c r="E23367" s="1">
        <v>9.5221771505837001E-6</v>
      </c>
      <c r="F23367" s="1">
        <v>3.3644610683328503E-5</v>
      </c>
    </row>
    <row r="23368" spans="1:6" x14ac:dyDescent="0.25">
      <c r="A23368" s="2" t="str">
        <f t="shared" si="817"/>
        <v>37980</v>
      </c>
      <c r="B23368" s="2" t="str">
        <f>"19480"</f>
        <v>19480</v>
      </c>
      <c r="C23368" s="1">
        <v>1.51800994734402E-4</v>
      </c>
      <c r="D23368" s="1">
        <v>7.2857224261862704E-4</v>
      </c>
      <c r="E23368" s="1">
        <v>1.90443543011674E-5</v>
      </c>
      <c r="F23368" s="1">
        <v>1.9313300555718301E-4</v>
      </c>
    </row>
    <row r="23369" spans="1:6" x14ac:dyDescent="0.25">
      <c r="A23369" s="2" t="str">
        <f t="shared" si="817"/>
        <v>37980</v>
      </c>
      <c r="B23369" s="2" t="str">
        <f>"19490"</f>
        <v>19490</v>
      </c>
      <c r="C23369" s="1">
        <v>2.0033352430093E-4</v>
      </c>
      <c r="D23369" s="1">
        <v>4.8842831907393899E-4</v>
      </c>
      <c r="E23369" s="1">
        <v>2.85665314517511E-5</v>
      </c>
      <c r="F23369" s="1">
        <v>2.1739594595381501E-4</v>
      </c>
    </row>
    <row r="23370" spans="1:6" x14ac:dyDescent="0.25">
      <c r="A23370" s="2" t="str">
        <f t="shared" si="817"/>
        <v>37980</v>
      </c>
      <c r="B23370" s="2" t="str">
        <f>"19504"</f>
        <v>19504</v>
      </c>
      <c r="C23370" s="1">
        <v>2.3281017942439601E-4</v>
      </c>
      <c r="D23370" s="1">
        <v>2.44214159536969E-5</v>
      </c>
      <c r="E23370" s="1">
        <v>0</v>
      </c>
      <c r="F23370" s="1">
        <v>2.0833778153907199E-4</v>
      </c>
    </row>
    <row r="23371" spans="1:6" x14ac:dyDescent="0.25">
      <c r="A23371" s="2" t="str">
        <f t="shared" si="817"/>
        <v>37980</v>
      </c>
      <c r="B23371" s="2" t="str">
        <f>"19453"</f>
        <v>19453</v>
      </c>
      <c r="C23371" s="1">
        <v>2.5288002247822401E-4</v>
      </c>
      <c r="D23371" s="1">
        <v>5.29130678996768E-5</v>
      </c>
      <c r="E23371" s="1">
        <v>1.90443543011674E-4</v>
      </c>
      <c r="F23371" s="1">
        <v>2.34865263039389E-4</v>
      </c>
    </row>
    <row r="23372" spans="1:6" x14ac:dyDescent="0.25">
      <c r="A23372" s="2" t="str">
        <f t="shared" si="817"/>
        <v>37980</v>
      </c>
      <c r="B23372" s="2" t="str">
        <f>"19333"</f>
        <v>19333</v>
      </c>
      <c r="C23372" s="1">
        <v>1.5690968205719501E-3</v>
      </c>
      <c r="D23372" s="1">
        <v>1.51412778912921E-3</v>
      </c>
      <c r="E23372" s="1">
        <v>1.1045725494677099E-3</v>
      </c>
      <c r="F23372" s="1">
        <v>1.54894611492093E-3</v>
      </c>
    </row>
    <row r="23373" spans="1:6" x14ac:dyDescent="0.25">
      <c r="A23373" s="2" t="str">
        <f t="shared" si="817"/>
        <v>37980</v>
      </c>
      <c r="B23373" s="2" t="str">
        <f>"19301"</f>
        <v>19301</v>
      </c>
      <c r="C23373" s="1">
        <v>1.3775210459672301E-3</v>
      </c>
      <c r="D23373" s="1">
        <v>3.8178813607612902E-3</v>
      </c>
      <c r="E23373" s="1">
        <v>1.91395760726732E-3</v>
      </c>
      <c r="F23373" s="1">
        <v>1.5897078547872699E-3</v>
      </c>
    </row>
    <row r="23374" spans="1:6" x14ac:dyDescent="0.25">
      <c r="A23374" s="2" t="str">
        <f t="shared" si="817"/>
        <v>37980</v>
      </c>
      <c r="B23374" s="2" t="str">
        <f>"19153"</f>
        <v>19153</v>
      </c>
      <c r="C23374" s="1">
        <v>1.9912933371770102E-3</v>
      </c>
      <c r="D23374" s="1">
        <v>2.7107771708603599E-3</v>
      </c>
      <c r="E23374" s="1">
        <v>3.7041269115770598E-3</v>
      </c>
      <c r="F23374" s="1">
        <v>2.1066702381714901E-3</v>
      </c>
    </row>
    <row r="23375" spans="1:6" x14ac:dyDescent="0.25">
      <c r="A23375" s="2" t="str">
        <f t="shared" si="817"/>
        <v>37980</v>
      </c>
      <c r="B23375" s="2" t="str">
        <f>"19430"</f>
        <v>19430</v>
      </c>
      <c r="C23375" s="1">
        <v>0</v>
      </c>
      <c r="D23375" s="1">
        <v>4.0702359922828299E-6</v>
      </c>
      <c r="E23375" s="1">
        <v>0</v>
      </c>
      <c r="F23375" s="1">
        <v>3.2350587195508102E-7</v>
      </c>
    </row>
    <row r="23376" spans="1:6" x14ac:dyDescent="0.25">
      <c r="A23376" s="2" t="str">
        <f t="shared" si="817"/>
        <v>37980</v>
      </c>
      <c r="B23376" s="2" t="str">
        <f>"19380"</f>
        <v>19380</v>
      </c>
      <c r="C23376" s="1">
        <v>8.05676481428097E-3</v>
      </c>
      <c r="D23376" s="1">
        <v>8.4009670880717605E-3</v>
      </c>
      <c r="E23376" s="1">
        <v>7.0749776228836896E-3</v>
      </c>
      <c r="F23376" s="1">
        <v>8.0507671294741592E-3</v>
      </c>
    </row>
    <row r="23377" spans="1:6" x14ac:dyDescent="0.25">
      <c r="A23377" s="2" t="str">
        <f t="shared" si="817"/>
        <v>37980</v>
      </c>
      <c r="B23377" s="2" t="str">
        <f>"19144"</f>
        <v>19144</v>
      </c>
      <c r="C23377" s="1">
        <v>9.0394573114438194E-3</v>
      </c>
      <c r="D23377" s="1">
        <v>5.7634541650724899E-3</v>
      </c>
      <c r="E23377" s="1">
        <v>1.8387324077777101E-2</v>
      </c>
      <c r="F23377" s="1">
        <v>9.0966616135049402E-3</v>
      </c>
    </row>
    <row r="23378" spans="1:6" x14ac:dyDescent="0.25">
      <c r="A23378" s="2" t="str">
        <f t="shared" si="817"/>
        <v>37980</v>
      </c>
      <c r="B23378" s="2" t="str">
        <f>"19347"</f>
        <v>19347</v>
      </c>
      <c r="C23378" s="1">
        <v>0</v>
      </c>
      <c r="D23378" s="1">
        <v>0</v>
      </c>
      <c r="E23378" s="1">
        <v>9.5221771505837001E-6</v>
      </c>
      <c r="F23378" s="1">
        <v>3.2350587195508102E-7</v>
      </c>
    </row>
    <row r="23379" spans="1:6" x14ac:dyDescent="0.25">
      <c r="A23379" s="2" t="str">
        <f t="shared" si="817"/>
        <v>37980</v>
      </c>
      <c r="B23379" s="2" t="str">
        <f>"19351"</f>
        <v>19351</v>
      </c>
      <c r="C23379" s="1">
        <v>0</v>
      </c>
      <c r="D23379" s="1">
        <v>4.0702359922828299E-6</v>
      </c>
      <c r="E23379" s="1">
        <v>0</v>
      </c>
      <c r="F23379" s="1">
        <v>3.2350587195508102E-7</v>
      </c>
    </row>
    <row r="23380" spans="1:6" x14ac:dyDescent="0.25">
      <c r="A23380" s="2" t="str">
        <f t="shared" si="817"/>
        <v>37980</v>
      </c>
      <c r="B23380" s="2" t="str">
        <f>"19358"</f>
        <v>19358</v>
      </c>
      <c r="C23380" s="1">
        <v>3.6490623734231398E-7</v>
      </c>
      <c r="D23380" s="1">
        <v>0</v>
      </c>
      <c r="E23380" s="1">
        <v>9.5221771505837001E-6</v>
      </c>
      <c r="F23380" s="1">
        <v>6.4701174391016299E-7</v>
      </c>
    </row>
    <row r="23381" spans="1:6" x14ac:dyDescent="0.25">
      <c r="A23381" s="2" t="str">
        <f t="shared" si="817"/>
        <v>37980</v>
      </c>
      <c r="B23381" s="2" t="str">
        <f>"19343"</f>
        <v>19343</v>
      </c>
      <c r="C23381" s="1">
        <v>1.1162481800301399E-3</v>
      </c>
      <c r="D23381" s="1">
        <v>3.1340817140577802E-4</v>
      </c>
      <c r="E23381" s="1">
        <v>2.0948789731284101E-4</v>
      </c>
      <c r="F23381" s="1">
        <v>1.0216315436341399E-3</v>
      </c>
    </row>
    <row r="23382" spans="1:6" x14ac:dyDescent="0.25">
      <c r="A23382" s="2" t="str">
        <f t="shared" si="817"/>
        <v>37980</v>
      </c>
      <c r="B23382" s="2" t="str">
        <f>"19139"</f>
        <v>19139</v>
      </c>
      <c r="C23382" s="1">
        <v>7.6247158292676604E-3</v>
      </c>
      <c r="D23382" s="1">
        <v>5.9628957286943403E-3</v>
      </c>
      <c r="E23382" s="1">
        <v>1.38166790454969E-2</v>
      </c>
      <c r="F23382" s="1">
        <v>7.7029983171224498E-3</v>
      </c>
    </row>
    <row r="23383" spans="1:6" x14ac:dyDescent="0.25">
      <c r="A23383" s="2" t="str">
        <f t="shared" si="817"/>
        <v>37980</v>
      </c>
      <c r="B23383" s="2" t="str">
        <f>"19138"</f>
        <v>19138</v>
      </c>
      <c r="C23383" s="1">
        <v>5.0061486700992098E-3</v>
      </c>
      <c r="D23383" s="1">
        <v>2.6578641029606801E-3</v>
      </c>
      <c r="E23383" s="1">
        <v>2.3329334018929999E-3</v>
      </c>
      <c r="F23383" s="1">
        <v>4.7286853303674303E-3</v>
      </c>
    </row>
    <row r="23384" spans="1:6" x14ac:dyDescent="0.25">
      <c r="A23384" s="2" t="str">
        <f t="shared" si="817"/>
        <v>37980</v>
      </c>
      <c r="B23384" s="2" t="str">
        <f>"19140"</f>
        <v>19140</v>
      </c>
      <c r="C23384" s="1">
        <v>8.2195129961356393E-3</v>
      </c>
      <c r="D23384" s="1">
        <v>7.4810937538158399E-3</v>
      </c>
      <c r="E23384" s="1">
        <v>6.9321449656249397E-3</v>
      </c>
      <c r="F23384" s="1">
        <v>8.1170858332249504E-3</v>
      </c>
    </row>
    <row r="23385" spans="1:6" x14ac:dyDescent="0.25">
      <c r="A23385" s="2" t="str">
        <f t="shared" si="817"/>
        <v>37980</v>
      </c>
      <c r="B23385" s="2" t="str">
        <f>"19094"</f>
        <v>19094</v>
      </c>
      <c r="C23385" s="1">
        <v>7.0864791291877505E-4</v>
      </c>
      <c r="D23385" s="1">
        <v>5.2913067899676804E-4</v>
      </c>
      <c r="E23385" s="1">
        <v>4.2849797177626602E-4</v>
      </c>
      <c r="F23385" s="1">
        <v>6.84861930928908E-4</v>
      </c>
    </row>
    <row r="23386" spans="1:6" x14ac:dyDescent="0.25">
      <c r="A23386" s="2" t="str">
        <f t="shared" si="817"/>
        <v>37980</v>
      </c>
      <c r="B23386" s="2" t="str">
        <f>"19079"</f>
        <v>19079</v>
      </c>
      <c r="C23386" s="1">
        <v>1.5428235714832999E-3</v>
      </c>
      <c r="D23386" s="1">
        <v>1.5751813290134501E-3</v>
      </c>
      <c r="E23386" s="1">
        <v>2.0377459102249099E-3</v>
      </c>
      <c r="F23386" s="1">
        <v>1.5622098556710899E-3</v>
      </c>
    </row>
    <row r="23387" spans="1:6" x14ac:dyDescent="0.25">
      <c r="A23387" s="2" t="str">
        <f t="shared" si="817"/>
        <v>37980</v>
      </c>
      <c r="B23387" s="2" t="str">
        <f>"19074"</f>
        <v>19074</v>
      </c>
      <c r="C23387" s="1">
        <v>8.6190853260254701E-4</v>
      </c>
      <c r="D23387" s="1">
        <v>4.2737477918969698E-4</v>
      </c>
      <c r="E23387" s="1">
        <v>1.54259269839456E-3</v>
      </c>
      <c r="F23387" s="1">
        <v>8.5049693736990995E-4</v>
      </c>
    </row>
    <row r="23388" spans="1:6" x14ac:dyDescent="0.25">
      <c r="A23388" s="2" t="str">
        <f t="shared" ref="A23388:A23451" si="818">"37980"</f>
        <v>37980</v>
      </c>
      <c r="B23388" s="2" t="str">
        <f>"19125"</f>
        <v>19125</v>
      </c>
      <c r="C23388" s="1">
        <v>4.7218867112095502E-3</v>
      </c>
      <c r="D23388" s="1">
        <v>4.7621761109709103E-3</v>
      </c>
      <c r="E23388" s="1">
        <v>8.4461711325677508E-3</v>
      </c>
      <c r="F23388" s="1">
        <v>4.8516175617103604E-3</v>
      </c>
    </row>
    <row r="23389" spans="1:6" x14ac:dyDescent="0.25">
      <c r="A23389" s="2" t="str">
        <f t="shared" si="818"/>
        <v>37980</v>
      </c>
      <c r="B23389" s="2" t="str">
        <f>"19123"</f>
        <v>19123</v>
      </c>
      <c r="C23389" s="1">
        <v>3.6965001842776402E-3</v>
      </c>
      <c r="D23389" s="1">
        <v>5.88149100884869E-3</v>
      </c>
      <c r="E23389" s="1">
        <v>1.18265440210249E-2</v>
      </c>
      <c r="F23389" s="1">
        <v>4.1463747608482798E-3</v>
      </c>
    </row>
    <row r="23390" spans="1:6" x14ac:dyDescent="0.25">
      <c r="A23390" s="2" t="str">
        <f t="shared" si="818"/>
        <v>37980</v>
      </c>
      <c r="B23390" s="2" t="str">
        <f>"19126"</f>
        <v>19126</v>
      </c>
      <c r="C23390" s="1">
        <v>2.3879464171681001E-3</v>
      </c>
      <c r="D23390" s="1">
        <v>1.07047206597038E-3</v>
      </c>
      <c r="E23390" s="1">
        <v>3.0375745110361998E-3</v>
      </c>
      <c r="F23390" s="1">
        <v>2.3053028435519101E-3</v>
      </c>
    </row>
    <row r="23391" spans="1:6" x14ac:dyDescent="0.25">
      <c r="A23391" s="2" t="str">
        <f t="shared" si="818"/>
        <v>37980</v>
      </c>
      <c r="B23391" s="2" t="str">
        <f>"19066"</f>
        <v>19066</v>
      </c>
      <c r="C23391" s="1">
        <v>7.9950956601701104E-4</v>
      </c>
      <c r="D23391" s="1">
        <v>2.1979274358327201E-4</v>
      </c>
      <c r="E23391" s="1">
        <v>3.9040926317393201E-4</v>
      </c>
      <c r="F23391" s="1">
        <v>7.3953442328931703E-4</v>
      </c>
    </row>
    <row r="23392" spans="1:6" x14ac:dyDescent="0.25">
      <c r="A23392" s="2" t="str">
        <f t="shared" si="818"/>
        <v>37980</v>
      </c>
      <c r="B23392" s="2" t="str">
        <f>"19050"</f>
        <v>19050</v>
      </c>
      <c r="C23392" s="1">
        <v>4.7623913035545499E-3</v>
      </c>
      <c r="D23392" s="1">
        <v>3.69984451698509E-3</v>
      </c>
      <c r="E23392" s="1">
        <v>1.08362375973642E-2</v>
      </c>
      <c r="F23392" s="1">
        <v>4.8842916547778203E-3</v>
      </c>
    </row>
    <row r="23393" spans="1:6" x14ac:dyDescent="0.25">
      <c r="A23393" s="2" t="str">
        <f t="shared" si="818"/>
        <v>37980</v>
      </c>
      <c r="B23393" s="2" t="str">
        <f>"18953"</f>
        <v>18953</v>
      </c>
      <c r="C23393" s="1">
        <v>3.6490623734231398E-7</v>
      </c>
      <c r="D23393" s="1">
        <v>0</v>
      </c>
      <c r="E23393" s="1">
        <v>9.5221771505837001E-6</v>
      </c>
      <c r="F23393" s="1">
        <v>6.4701174391016299E-7</v>
      </c>
    </row>
    <row r="23394" spans="1:6" x14ac:dyDescent="0.25">
      <c r="A23394" s="2" t="str">
        <f t="shared" si="818"/>
        <v>37980</v>
      </c>
      <c r="B23394" s="2" t="str">
        <f>"18928"</f>
        <v>18928</v>
      </c>
      <c r="C23394" s="1">
        <v>1.7697952511102201E-4</v>
      </c>
      <c r="D23394" s="1">
        <v>4.0295336323599998E-4</v>
      </c>
      <c r="E23394" s="1">
        <v>2.85665314517511E-5</v>
      </c>
      <c r="F23394" s="1">
        <v>1.89897946837633E-4</v>
      </c>
    </row>
    <row r="23395" spans="1:6" x14ac:dyDescent="0.25">
      <c r="A23395" s="2" t="str">
        <f t="shared" si="818"/>
        <v>37980</v>
      </c>
      <c r="B23395" s="2" t="str">
        <f>"18927"</f>
        <v>18927</v>
      </c>
      <c r="C23395" s="1">
        <v>2.2624186715223498E-5</v>
      </c>
      <c r="D23395" s="1">
        <v>7.32642478610909E-5</v>
      </c>
      <c r="E23395" s="1">
        <v>5.7133062903502201E-5</v>
      </c>
      <c r="F23395" s="1">
        <v>2.7821504988137E-5</v>
      </c>
    </row>
    <row r="23396" spans="1:6" x14ac:dyDescent="0.25">
      <c r="A23396" s="2" t="str">
        <f t="shared" si="818"/>
        <v>37980</v>
      </c>
      <c r="B23396" s="2" t="str">
        <f>"19035"</f>
        <v>19035</v>
      </c>
      <c r="C23396" s="1">
        <v>9.7831362231474593E-4</v>
      </c>
      <c r="D23396" s="1">
        <v>8.5067932238711203E-4</v>
      </c>
      <c r="E23396" s="1">
        <v>1.6187701155992299E-4</v>
      </c>
      <c r="F23396" s="1">
        <v>9.4043156977342195E-4</v>
      </c>
    </row>
    <row r="23397" spans="1:6" x14ac:dyDescent="0.25">
      <c r="A23397" s="2" t="str">
        <f t="shared" si="818"/>
        <v>37980</v>
      </c>
      <c r="B23397" s="2" t="str">
        <f>"19028"</f>
        <v>19028</v>
      </c>
      <c r="C23397" s="1">
        <v>2.0033352430093E-4</v>
      </c>
      <c r="D23397" s="1">
        <v>5.41341386973616E-4</v>
      </c>
      <c r="E23397" s="1">
        <v>9.5221771505837001E-6</v>
      </c>
      <c r="F23397" s="1">
        <v>2.2095451054532001E-4</v>
      </c>
    </row>
    <row r="23398" spans="1:6" x14ac:dyDescent="0.25">
      <c r="A23398" s="2" t="str">
        <f t="shared" si="818"/>
        <v>37980</v>
      </c>
      <c r="B23398" s="2" t="str">
        <f>"19010"</f>
        <v>19010</v>
      </c>
      <c r="C23398" s="1">
        <v>3.3480147276157301E-3</v>
      </c>
      <c r="D23398" s="1">
        <v>4.8232296508551502E-3</v>
      </c>
      <c r="E23398" s="1">
        <v>4.2754575406120801E-3</v>
      </c>
      <c r="F23398" s="1">
        <v>3.49677496996247E-3</v>
      </c>
    </row>
    <row r="23399" spans="1:6" x14ac:dyDescent="0.25">
      <c r="A23399" s="2" t="str">
        <f t="shared" si="818"/>
        <v>37980</v>
      </c>
      <c r="B23399" s="2" t="str">
        <f>"19016"</f>
        <v>19016</v>
      </c>
      <c r="C23399" s="1">
        <v>2.5835361603835798E-4</v>
      </c>
      <c r="D23399" s="1">
        <v>6.7158893872666702E-4</v>
      </c>
      <c r="E23399" s="1">
        <v>9.5221771505837001E-6</v>
      </c>
      <c r="F23399" s="1">
        <v>2.8274413208874102E-4</v>
      </c>
    </row>
    <row r="23400" spans="1:6" x14ac:dyDescent="0.25">
      <c r="A23400" s="2" t="str">
        <f t="shared" si="818"/>
        <v>37980</v>
      </c>
      <c r="B23400" s="2" t="str">
        <f>"19023"</f>
        <v>19023</v>
      </c>
      <c r="C23400" s="1">
        <v>3.0765244870330499E-3</v>
      </c>
      <c r="D23400" s="1">
        <v>2.7596200027677599E-3</v>
      </c>
      <c r="E23400" s="1">
        <v>5.5133405701879596E-3</v>
      </c>
      <c r="F23400" s="1">
        <v>3.1341248875008301E-3</v>
      </c>
    </row>
    <row r="23401" spans="1:6" x14ac:dyDescent="0.25">
      <c r="A23401" s="2" t="str">
        <f t="shared" si="818"/>
        <v>37980</v>
      </c>
      <c r="B23401" s="2" t="str">
        <f>"18041"</f>
        <v>18041</v>
      </c>
      <c r="C23401" s="1">
        <v>7.4696306783971801E-4</v>
      </c>
      <c r="D23401" s="1">
        <v>5.0470926304307104E-4</v>
      </c>
      <c r="E23401" s="1">
        <v>9.7126206935953805E-4</v>
      </c>
      <c r="F23401" s="1">
        <v>7.3532884695390105E-4</v>
      </c>
    </row>
    <row r="23402" spans="1:6" x14ac:dyDescent="0.25">
      <c r="A23402" s="2" t="str">
        <f t="shared" si="818"/>
        <v>37980</v>
      </c>
      <c r="B23402" s="2" t="str">
        <f>"18036"</f>
        <v>18036</v>
      </c>
      <c r="C23402" s="1">
        <v>3.06156333130202E-4</v>
      </c>
      <c r="D23402" s="1">
        <v>1.09896371791636E-4</v>
      </c>
      <c r="E23402" s="1">
        <v>4.7610885752918501E-5</v>
      </c>
      <c r="F23402" s="1">
        <v>2.8177361447287598E-4</v>
      </c>
    </row>
    <row r="23403" spans="1:6" x14ac:dyDescent="0.25">
      <c r="A23403" s="2" t="str">
        <f t="shared" si="818"/>
        <v>37980</v>
      </c>
      <c r="B23403" s="2" t="str">
        <f>"18074"</f>
        <v>18074</v>
      </c>
      <c r="C23403" s="1">
        <v>7.5207175516250999E-4</v>
      </c>
      <c r="D23403" s="1">
        <v>1.18036843776202E-4</v>
      </c>
      <c r="E23403" s="1">
        <v>1.7139918871050599E-4</v>
      </c>
      <c r="F23403" s="1">
        <v>6.8195037808131199E-4</v>
      </c>
    </row>
    <row r="23404" spans="1:6" x14ac:dyDescent="0.25">
      <c r="A23404" s="2" t="str">
        <f t="shared" si="818"/>
        <v>37980</v>
      </c>
      <c r="B23404" s="2" t="str">
        <f>"17555"</f>
        <v>17555</v>
      </c>
      <c r="C23404" s="1">
        <v>1.09471871202694E-5</v>
      </c>
      <c r="D23404" s="1">
        <v>4.0702359922828299E-6</v>
      </c>
      <c r="E23404" s="1">
        <v>0</v>
      </c>
      <c r="F23404" s="1">
        <v>1.00286820306075E-5</v>
      </c>
    </row>
    <row r="23405" spans="1:6" x14ac:dyDescent="0.25">
      <c r="A23405" s="2" t="str">
        <f t="shared" si="818"/>
        <v>37980</v>
      </c>
      <c r="B23405" s="2" t="str">
        <f>"21930"</f>
        <v>21930</v>
      </c>
      <c r="C23405" s="1">
        <v>1.8610218104458E-5</v>
      </c>
      <c r="D23405" s="1">
        <v>4.0702359922828299E-6</v>
      </c>
      <c r="E23405" s="1">
        <v>0</v>
      </c>
      <c r="F23405" s="1">
        <v>1.6822305341664201E-5</v>
      </c>
    </row>
    <row r="23406" spans="1:6" x14ac:dyDescent="0.25">
      <c r="A23406" s="2" t="str">
        <f t="shared" si="818"/>
        <v>37980</v>
      </c>
      <c r="B23406" s="2" t="str">
        <f>"08640"</f>
        <v>08640</v>
      </c>
      <c r="C23406" s="1">
        <v>5.8895866707049595E-4</v>
      </c>
      <c r="D23406" s="1">
        <v>3.1340817140577802E-4</v>
      </c>
      <c r="E23406" s="1">
        <v>2.7042983107657698E-3</v>
      </c>
      <c r="F23406" s="1">
        <v>6.3892409711128605E-4</v>
      </c>
    </row>
    <row r="23407" spans="1:6" x14ac:dyDescent="0.25">
      <c r="A23407" s="2" t="str">
        <f t="shared" si="818"/>
        <v>37980</v>
      </c>
      <c r="B23407" s="2" t="str">
        <f>"08620"</f>
        <v>08620</v>
      </c>
      <c r="C23407" s="1">
        <v>2.2441733596552301E-4</v>
      </c>
      <c r="D23407" s="1">
        <v>1.91301091637293E-4</v>
      </c>
      <c r="E23407" s="1">
        <v>1.7139918871050599E-4</v>
      </c>
      <c r="F23407" s="1">
        <v>2.19983992929455E-4</v>
      </c>
    </row>
    <row r="23408" spans="1:6" x14ac:dyDescent="0.25">
      <c r="A23408" s="2" t="str">
        <f t="shared" si="818"/>
        <v>37980</v>
      </c>
      <c r="B23408" s="2" t="str">
        <f>"08505"</f>
        <v>08505</v>
      </c>
      <c r="C23408" s="1">
        <v>2.9031940242954502E-3</v>
      </c>
      <c r="D23408" s="1">
        <v>2.8857973185285198E-3</v>
      </c>
      <c r="E23408" s="1">
        <v>1.6854253556533099E-3</v>
      </c>
      <c r="F23408" s="1">
        <v>2.86043891982683E-3</v>
      </c>
    </row>
    <row r="23409" spans="1:6" x14ac:dyDescent="0.25">
      <c r="A23409" s="2" t="str">
        <f t="shared" si="818"/>
        <v>37980</v>
      </c>
      <c r="B23409" s="2" t="str">
        <f>"08107"</f>
        <v>08107</v>
      </c>
      <c r="C23409" s="1">
        <v>2.2481873282659999E-3</v>
      </c>
      <c r="D23409" s="1">
        <v>1.2210707976848399E-3</v>
      </c>
      <c r="E23409" s="1">
        <v>2.3995886419470899E-3</v>
      </c>
      <c r="F23409" s="1">
        <v>2.17169491843446E-3</v>
      </c>
    </row>
    <row r="23410" spans="1:6" x14ac:dyDescent="0.25">
      <c r="A23410" s="2" t="str">
        <f t="shared" si="818"/>
        <v>37980</v>
      </c>
      <c r="B23410" s="2" t="str">
        <f>"08090"</f>
        <v>08090</v>
      </c>
      <c r="C23410" s="1">
        <v>1.1892294274986001E-3</v>
      </c>
      <c r="D23410" s="1">
        <v>3.41899823351757E-4</v>
      </c>
      <c r="E23410" s="1">
        <v>3.8088708602334801E-4</v>
      </c>
      <c r="F23410" s="1">
        <v>1.0944203648240399E-3</v>
      </c>
    </row>
    <row r="23411" spans="1:6" x14ac:dyDescent="0.25">
      <c r="A23411" s="2" t="str">
        <f t="shared" si="818"/>
        <v>37980</v>
      </c>
      <c r="B23411" s="2" t="str">
        <f>"08089"</f>
        <v>08089</v>
      </c>
      <c r="C23411" s="1">
        <v>5.7436241757680302E-4</v>
      </c>
      <c r="D23411" s="1">
        <v>2.1979274358327201E-4</v>
      </c>
      <c r="E23411" s="1">
        <v>1.90443543011674E-4</v>
      </c>
      <c r="F23411" s="1">
        <v>5.3313767698197399E-4</v>
      </c>
    </row>
    <row r="23412" spans="1:6" x14ac:dyDescent="0.25">
      <c r="A23412" s="2" t="str">
        <f t="shared" si="818"/>
        <v>37980</v>
      </c>
      <c r="B23412" s="2" t="str">
        <f>"08007"</f>
        <v>08007</v>
      </c>
      <c r="C23412" s="1">
        <v>8.8599234426714002E-4</v>
      </c>
      <c r="D23412" s="1">
        <v>6.3495681479612098E-4</v>
      </c>
      <c r="E23412" s="1">
        <v>8.9508465215486796E-4</v>
      </c>
      <c r="F23412" s="1">
        <v>8.6634872509570903E-4</v>
      </c>
    </row>
    <row r="23413" spans="1:6" x14ac:dyDescent="0.25">
      <c r="A23413" s="2" t="str">
        <f t="shared" si="818"/>
        <v>37980</v>
      </c>
      <c r="B23413" s="2" t="str">
        <f>"08070"</f>
        <v>08070</v>
      </c>
      <c r="C23413" s="1">
        <v>2.12667355123101E-3</v>
      </c>
      <c r="D23413" s="1">
        <v>1.40423141733757E-3</v>
      </c>
      <c r="E23413" s="1">
        <v>1.0569616637147901E-3</v>
      </c>
      <c r="F23413" s="1">
        <v>2.0329108993657301E-3</v>
      </c>
    </row>
    <row r="23414" spans="1:6" x14ac:dyDescent="0.25">
      <c r="A23414" s="2" t="str">
        <f t="shared" si="818"/>
        <v>37980</v>
      </c>
      <c r="B23414" s="2" t="str">
        <f>"08079"</f>
        <v>08079</v>
      </c>
      <c r="C23414" s="1">
        <v>1.91575774604715E-3</v>
      </c>
      <c r="D23414" s="1">
        <v>1.6769372288205199E-3</v>
      </c>
      <c r="E23414" s="1">
        <v>1.3235826239311301E-3</v>
      </c>
      <c r="F23414" s="1">
        <v>1.8766575632114201E-3</v>
      </c>
    </row>
    <row r="23415" spans="1:6" x14ac:dyDescent="0.25">
      <c r="A23415" s="2" t="str">
        <f t="shared" si="818"/>
        <v>37980</v>
      </c>
      <c r="B23415" s="2" t="str">
        <f>"08049"</f>
        <v>08049</v>
      </c>
      <c r="C23415" s="1">
        <v>8.1593034669741598E-4</v>
      </c>
      <c r="D23415" s="1">
        <v>4.1516407121284799E-4</v>
      </c>
      <c r="E23415" s="1">
        <v>6.5703022339027499E-4</v>
      </c>
      <c r="F23415" s="1">
        <v>7.7867863379588198E-4</v>
      </c>
    </row>
    <row r="23416" spans="1:6" x14ac:dyDescent="0.25">
      <c r="A23416" s="2" t="str">
        <f t="shared" si="818"/>
        <v>37980</v>
      </c>
      <c r="B23416" s="2" t="str">
        <f>"08046"</f>
        <v>08046</v>
      </c>
      <c r="C23416" s="1">
        <v>4.7445108979247697E-3</v>
      </c>
      <c r="D23416" s="1">
        <v>3.3782958735947498E-3</v>
      </c>
      <c r="E23416" s="1">
        <v>6.9511893199261003E-4</v>
      </c>
      <c r="F23416" s="1">
        <v>4.4983491495354097E-3</v>
      </c>
    </row>
    <row r="23417" spans="1:6" x14ac:dyDescent="0.25">
      <c r="A23417" s="2" t="str">
        <f t="shared" si="818"/>
        <v>37980</v>
      </c>
      <c r="B23417" s="2" t="str">
        <f>"08032"</f>
        <v>08032</v>
      </c>
      <c r="C23417" s="1">
        <v>4.3423842243735402E-5</v>
      </c>
      <c r="D23417" s="1">
        <v>0</v>
      </c>
      <c r="E23417" s="1">
        <v>9.5221771505837001E-6</v>
      </c>
      <c r="F23417" s="1">
        <v>3.88207046346098E-5</v>
      </c>
    </row>
    <row r="23418" spans="1:6" x14ac:dyDescent="0.25">
      <c r="A23418" s="2" t="str">
        <f t="shared" si="818"/>
        <v>37980</v>
      </c>
      <c r="B23418" s="2" t="str">
        <f>"19938"</f>
        <v>19938</v>
      </c>
      <c r="C23418" s="1">
        <v>9.9984309031794197E-5</v>
      </c>
      <c r="D23418" s="1">
        <v>4.0702359922828299E-6</v>
      </c>
      <c r="E23418" s="1">
        <v>0</v>
      </c>
      <c r="F23418" s="1">
        <v>8.8964114787647497E-5</v>
      </c>
    </row>
    <row r="23419" spans="1:6" x14ac:dyDescent="0.25">
      <c r="A23419" s="2" t="str">
        <f t="shared" si="818"/>
        <v>37980</v>
      </c>
      <c r="B23419" s="2" t="str">
        <f>"19895"</f>
        <v>19895</v>
      </c>
      <c r="C23419" s="1">
        <v>0</v>
      </c>
      <c r="D23419" s="1">
        <v>4.0702359922828299E-6</v>
      </c>
      <c r="E23419" s="1">
        <v>0</v>
      </c>
      <c r="F23419" s="1">
        <v>3.2350587195508102E-7</v>
      </c>
    </row>
    <row r="23420" spans="1:6" x14ac:dyDescent="0.25">
      <c r="A23420" s="2" t="str">
        <f t="shared" si="818"/>
        <v>37980</v>
      </c>
      <c r="B23420" s="2" t="str">
        <f>"19890"</f>
        <v>19890</v>
      </c>
      <c r="C23420" s="1">
        <v>0</v>
      </c>
      <c r="D23420" s="1">
        <v>8.1404719845656599E-6</v>
      </c>
      <c r="E23420" s="1">
        <v>0</v>
      </c>
      <c r="F23420" s="1">
        <v>6.4701174391016299E-7</v>
      </c>
    </row>
    <row r="23421" spans="1:6" x14ac:dyDescent="0.25">
      <c r="A23421" s="2" t="str">
        <f t="shared" si="818"/>
        <v>37980</v>
      </c>
      <c r="B23421" s="2" t="str">
        <f>"19807"</f>
        <v>19807</v>
      </c>
      <c r="C23421" s="1">
        <v>1.7059366595753201E-3</v>
      </c>
      <c r="D23421" s="1">
        <v>2.5357570231921999E-3</v>
      </c>
      <c r="E23421" s="1">
        <v>2.8280866137233599E-3</v>
      </c>
      <c r="F23421" s="1">
        <v>1.8100153535886799E-3</v>
      </c>
    </row>
    <row r="23422" spans="1:6" x14ac:dyDescent="0.25">
      <c r="A23422" s="2" t="str">
        <f t="shared" si="818"/>
        <v>37980</v>
      </c>
      <c r="B23422" s="2" t="str">
        <f>"19708"</f>
        <v>19708</v>
      </c>
      <c r="C23422" s="1">
        <v>0</v>
      </c>
      <c r="D23422" s="1">
        <v>0</v>
      </c>
      <c r="E23422" s="1">
        <v>9.5221771505837001E-6</v>
      </c>
      <c r="F23422" s="1">
        <v>3.2350587195508102E-7</v>
      </c>
    </row>
    <row r="23423" spans="1:6" x14ac:dyDescent="0.25">
      <c r="A23423" s="2" t="str">
        <f t="shared" si="818"/>
        <v>37980</v>
      </c>
      <c r="B23423" s="2" t="str">
        <f>"19715"</f>
        <v>19715</v>
      </c>
      <c r="C23423" s="1">
        <v>3.2586126994668701E-4</v>
      </c>
      <c r="D23423" s="1">
        <v>4.3551525117426301E-4</v>
      </c>
      <c r="E23423" s="1">
        <v>1.90443543011674E-5</v>
      </c>
      <c r="F23423" s="1">
        <v>3.2415288369899199E-4</v>
      </c>
    </row>
    <row r="23424" spans="1:6" x14ac:dyDescent="0.25">
      <c r="A23424" s="2" t="str">
        <f t="shared" si="818"/>
        <v>37980</v>
      </c>
      <c r="B23424" s="2" t="str">
        <f>"19713"</f>
        <v>19713</v>
      </c>
      <c r="C23424" s="1">
        <v>4.87587714336801E-3</v>
      </c>
      <c r="D23424" s="1">
        <v>5.5843637814120403E-3</v>
      </c>
      <c r="E23424" s="1">
        <v>7.1511550400883599E-3</v>
      </c>
      <c r="F23424" s="1">
        <v>5.0094884272244402E-3</v>
      </c>
    </row>
    <row r="23425" spans="1:6" x14ac:dyDescent="0.25">
      <c r="A23425" s="2" t="str">
        <f t="shared" si="818"/>
        <v>37980</v>
      </c>
      <c r="B23425" s="2" t="str">
        <f>"19736"</f>
        <v>19736</v>
      </c>
      <c r="C23425" s="1">
        <v>1.20419058322963E-5</v>
      </c>
      <c r="D23425" s="1">
        <v>2.03511799614141E-5</v>
      </c>
      <c r="E23425" s="1">
        <v>9.5221771505837001E-6</v>
      </c>
      <c r="F23425" s="1">
        <v>1.26167290062481E-5</v>
      </c>
    </row>
    <row r="23426" spans="1:6" x14ac:dyDescent="0.25">
      <c r="A23426" s="2" t="str">
        <f t="shared" si="818"/>
        <v>37980</v>
      </c>
      <c r="B23426" s="2" t="str">
        <f>"19804"</f>
        <v>19804</v>
      </c>
      <c r="C23426" s="1">
        <v>3.0360198946880498E-3</v>
      </c>
      <c r="D23426" s="1">
        <v>5.2221127780988702E-3</v>
      </c>
      <c r="E23426" s="1">
        <v>3.55177207716772E-3</v>
      </c>
      <c r="F23426" s="1">
        <v>3.22729457862389E-3</v>
      </c>
    </row>
    <row r="23427" spans="1:6" x14ac:dyDescent="0.25">
      <c r="A23427" s="2" t="str">
        <f t="shared" si="818"/>
        <v>37980</v>
      </c>
      <c r="B23427" s="2" t="str">
        <f>"19801"</f>
        <v>19801</v>
      </c>
      <c r="C23427" s="1">
        <v>3.3253905409005098E-3</v>
      </c>
      <c r="D23427" s="1">
        <v>1.32323372109114E-2</v>
      </c>
      <c r="E23427" s="1">
        <v>9.3793444933249499E-3</v>
      </c>
      <c r="F23427" s="1">
        <v>4.31847988472838E-3</v>
      </c>
    </row>
    <row r="23428" spans="1:6" x14ac:dyDescent="0.25">
      <c r="A23428" s="2" t="str">
        <f t="shared" si="818"/>
        <v>37980</v>
      </c>
      <c r="B23428" s="2" t="str">
        <f>"19505"</f>
        <v>19505</v>
      </c>
      <c r="C23428" s="1">
        <v>3.6490623734231397E-5</v>
      </c>
      <c r="D23428" s="1">
        <v>2.03511799614141E-5</v>
      </c>
      <c r="E23428" s="1">
        <v>3.8088708602334801E-5</v>
      </c>
      <c r="F23428" s="1">
        <v>3.5262140043103899E-5</v>
      </c>
    </row>
    <row r="23429" spans="1:6" x14ac:dyDescent="0.25">
      <c r="A23429" s="2" t="str">
        <f t="shared" si="818"/>
        <v>37980</v>
      </c>
      <c r="B23429" s="2" t="str">
        <f>"19475"</f>
        <v>19475</v>
      </c>
      <c r="C23429" s="1">
        <v>1.7435220020215799E-3</v>
      </c>
      <c r="D23429" s="1">
        <v>8.9952215429450505E-4</v>
      </c>
      <c r="E23429" s="1">
        <v>1.6187701155992299E-3</v>
      </c>
      <c r="F23429" s="1">
        <v>1.6722018521358099E-3</v>
      </c>
    </row>
    <row r="23430" spans="1:6" x14ac:dyDescent="0.25">
      <c r="A23430" s="2" t="str">
        <f t="shared" si="818"/>
        <v>37980</v>
      </c>
      <c r="B23430" s="2" t="str">
        <f>"19706"</f>
        <v>19706</v>
      </c>
      <c r="C23430" s="1">
        <v>3.3169976974416399E-4</v>
      </c>
      <c r="D23430" s="1">
        <v>3.0119746342892898E-4</v>
      </c>
      <c r="E23430" s="1">
        <v>2.47576605915176E-4</v>
      </c>
      <c r="F23430" s="1">
        <v>3.2641742480267699E-4</v>
      </c>
    </row>
    <row r="23431" spans="1:6" x14ac:dyDescent="0.25">
      <c r="A23431" s="2" t="str">
        <f t="shared" si="818"/>
        <v>37980</v>
      </c>
      <c r="B23431" s="2" t="str">
        <f>"19460"</f>
        <v>19460</v>
      </c>
      <c r="C23431" s="1">
        <v>6.9452604153362697E-3</v>
      </c>
      <c r="D23431" s="1">
        <v>5.63727684931172E-3</v>
      </c>
      <c r="E23431" s="1">
        <v>5.8942276562113103E-3</v>
      </c>
      <c r="F23431" s="1">
        <v>6.8055930283190498E-3</v>
      </c>
    </row>
    <row r="23432" spans="1:6" x14ac:dyDescent="0.25">
      <c r="A23432" s="2" t="str">
        <f t="shared" si="818"/>
        <v>37980</v>
      </c>
      <c r="B23432" s="2" t="str">
        <f>"19316"</f>
        <v>19316</v>
      </c>
      <c r="C23432" s="1">
        <v>0</v>
      </c>
      <c r="D23432" s="1">
        <v>0</v>
      </c>
      <c r="E23432" s="1">
        <v>9.5221771505837001E-6</v>
      </c>
      <c r="F23432" s="1">
        <v>3.2350587195508102E-7</v>
      </c>
    </row>
    <row r="23433" spans="1:6" x14ac:dyDescent="0.25">
      <c r="A23433" s="2" t="str">
        <f t="shared" si="818"/>
        <v>37980</v>
      </c>
      <c r="B23433" s="2" t="str">
        <f>"19318"</f>
        <v>19318</v>
      </c>
      <c r="C23433" s="1">
        <v>0</v>
      </c>
      <c r="D23433" s="1">
        <v>0</v>
      </c>
      <c r="E23433" s="1">
        <v>9.5221771505837001E-6</v>
      </c>
      <c r="F23433" s="1">
        <v>3.2350587195508102E-7</v>
      </c>
    </row>
    <row r="23434" spans="1:6" x14ac:dyDescent="0.25">
      <c r="A23434" s="2" t="str">
        <f t="shared" si="818"/>
        <v>37980</v>
      </c>
      <c r="B23434" s="2" t="str">
        <f>"19160"</f>
        <v>19160</v>
      </c>
      <c r="C23434" s="1">
        <v>3.8059720554803399E-4</v>
      </c>
      <c r="D23434" s="1">
        <v>3.7853194728230298E-4</v>
      </c>
      <c r="E23434" s="1">
        <v>9.5221771505837001E-6</v>
      </c>
      <c r="F23434" s="1">
        <v>3.6782617641292802E-4</v>
      </c>
    </row>
    <row r="23435" spans="1:6" x14ac:dyDescent="0.25">
      <c r="A23435" s="2" t="str">
        <f t="shared" si="818"/>
        <v>37980</v>
      </c>
      <c r="B23435" s="2" t="str">
        <f>"19154"</f>
        <v>19154</v>
      </c>
      <c r="C23435" s="1">
        <v>4.7715139594880999E-3</v>
      </c>
      <c r="D23435" s="1">
        <v>2.9631318023819E-3</v>
      </c>
      <c r="E23435" s="1">
        <v>2.8185644365727701E-3</v>
      </c>
      <c r="F23435" s="1">
        <v>4.5614327945666501E-3</v>
      </c>
    </row>
    <row r="23436" spans="1:6" x14ac:dyDescent="0.25">
      <c r="A23436" s="2" t="str">
        <f t="shared" si="818"/>
        <v>37980</v>
      </c>
      <c r="B23436" s="2" t="str">
        <f>"19151"</f>
        <v>19151</v>
      </c>
      <c r="C23436" s="1">
        <v>4.9992154515897096E-3</v>
      </c>
      <c r="D23436" s="1">
        <v>3.56552672923976E-3</v>
      </c>
      <c r="E23436" s="1">
        <v>6.64647965110742E-3</v>
      </c>
      <c r="F23436" s="1">
        <v>4.9412286882419198E-3</v>
      </c>
    </row>
    <row r="23437" spans="1:6" x14ac:dyDescent="0.25">
      <c r="A23437" s="2" t="str">
        <f t="shared" si="818"/>
        <v>37980</v>
      </c>
      <c r="B23437" s="2" t="str">
        <f>"19149"</f>
        <v>19149</v>
      </c>
      <c r="C23437" s="1">
        <v>7.3196542148494899E-3</v>
      </c>
      <c r="D23437" s="1">
        <v>4.6034369072718798E-3</v>
      </c>
      <c r="E23437" s="1">
        <v>2.4186329962482601E-3</v>
      </c>
      <c r="F23437" s="1">
        <v>6.9372599182047703E-3</v>
      </c>
    </row>
    <row r="23438" spans="1:6" x14ac:dyDescent="0.25">
      <c r="A23438" s="2" t="str">
        <f t="shared" si="818"/>
        <v>37980</v>
      </c>
      <c r="B23438" s="2" t="str">
        <f>"19147"</f>
        <v>19147</v>
      </c>
      <c r="C23438" s="1">
        <v>7.6141335483847399E-3</v>
      </c>
      <c r="D23438" s="1">
        <v>9.0847667347752799E-3</v>
      </c>
      <c r="E23438" s="1">
        <v>2.28817916928526E-2</v>
      </c>
      <c r="F23438" s="1">
        <v>8.2497232407265399E-3</v>
      </c>
    </row>
    <row r="23439" spans="1:6" x14ac:dyDescent="0.25">
      <c r="A23439" s="2" t="str">
        <f t="shared" si="818"/>
        <v>37980</v>
      </c>
      <c r="B23439" s="2" t="str">
        <f>"19152"</f>
        <v>19152</v>
      </c>
      <c r="C23439" s="1">
        <v>5.17546516422605E-3</v>
      </c>
      <c r="D23439" s="1">
        <v>2.8613759025748302E-3</v>
      </c>
      <c r="E23439" s="1">
        <v>4.0088365803957401E-3</v>
      </c>
      <c r="F23439" s="1">
        <v>4.9519043820164298E-3</v>
      </c>
    </row>
    <row r="23440" spans="1:6" x14ac:dyDescent="0.25">
      <c r="A23440" s="2" t="str">
        <f t="shared" si="818"/>
        <v>37980</v>
      </c>
      <c r="B23440" s="2" t="str">
        <f>"19437"</f>
        <v>19437</v>
      </c>
      <c r="C23440" s="1">
        <v>2.4083811664592699E-4</v>
      </c>
      <c r="D23440" s="1">
        <v>2.1165227159870701E-4</v>
      </c>
      <c r="E23440" s="1">
        <v>9.5221771505837001E-6</v>
      </c>
      <c r="F23440" s="1">
        <v>2.3065968670397301E-4</v>
      </c>
    </row>
    <row r="23441" spans="1:6" x14ac:dyDescent="0.25">
      <c r="A23441" s="2" t="str">
        <f t="shared" si="818"/>
        <v>37980</v>
      </c>
      <c r="B23441" s="2" t="str">
        <f>"19383"</f>
        <v>19383</v>
      </c>
      <c r="C23441" s="1">
        <v>0</v>
      </c>
      <c r="D23441" s="1">
        <v>4.8842831907393902E-5</v>
      </c>
      <c r="E23441" s="1">
        <v>4.3802014892684998E-4</v>
      </c>
      <c r="F23441" s="1">
        <v>1.8763340573394701E-5</v>
      </c>
    </row>
    <row r="23442" spans="1:6" x14ac:dyDescent="0.25">
      <c r="A23442" s="2" t="str">
        <f t="shared" si="818"/>
        <v>37980</v>
      </c>
      <c r="B23442" s="2" t="str">
        <f>"19376"</f>
        <v>19376</v>
      </c>
      <c r="C23442" s="1">
        <v>0</v>
      </c>
      <c r="D23442" s="1">
        <v>4.0702359922828299E-6</v>
      </c>
      <c r="E23442" s="1">
        <v>0</v>
      </c>
      <c r="F23442" s="1">
        <v>3.2350587195508102E-7</v>
      </c>
    </row>
    <row r="23443" spans="1:6" x14ac:dyDescent="0.25">
      <c r="A23443" s="2" t="str">
        <f t="shared" si="818"/>
        <v>37980</v>
      </c>
      <c r="B23443" s="2" t="str">
        <f>"19372"</f>
        <v>19372</v>
      </c>
      <c r="C23443" s="1">
        <v>3.5870283130749498E-4</v>
      </c>
      <c r="D23443" s="1">
        <v>5.0470926304307104E-4</v>
      </c>
      <c r="E23443" s="1">
        <v>1.90443543011674E-4</v>
      </c>
      <c r="F23443" s="1">
        <v>3.6459111769337701E-4</v>
      </c>
    </row>
    <row r="23444" spans="1:6" x14ac:dyDescent="0.25">
      <c r="A23444" s="2" t="str">
        <f t="shared" si="818"/>
        <v>37980</v>
      </c>
      <c r="B23444" s="2" t="str">
        <f>"19426"</f>
        <v>19426</v>
      </c>
      <c r="C23444" s="1">
        <v>5.23859394328627E-3</v>
      </c>
      <c r="D23444" s="1">
        <v>4.4854000634956797E-3</v>
      </c>
      <c r="E23444" s="1">
        <v>3.3041954712525398E-3</v>
      </c>
      <c r="F23444" s="1">
        <v>5.1130103062500603E-3</v>
      </c>
    </row>
    <row r="23445" spans="1:6" x14ac:dyDescent="0.25">
      <c r="A23445" s="2" t="str">
        <f t="shared" si="818"/>
        <v>37980</v>
      </c>
      <c r="B23445" s="2" t="str">
        <f>"19143"</f>
        <v>19143</v>
      </c>
      <c r="C23445" s="1">
        <v>1.11945935491875E-2</v>
      </c>
      <c r="D23445" s="1">
        <v>5.2261830140911498E-3</v>
      </c>
      <c r="E23445" s="1">
        <v>1.52735721495362E-2</v>
      </c>
      <c r="F23445" s="1">
        <v>1.0858798098044201E-2</v>
      </c>
    </row>
    <row r="23446" spans="1:6" x14ac:dyDescent="0.25">
      <c r="A23446" s="2" t="str">
        <f t="shared" si="818"/>
        <v>37980</v>
      </c>
      <c r="B23446" s="2" t="str">
        <f>"19362"</f>
        <v>19362</v>
      </c>
      <c r="C23446" s="1">
        <v>5.1597741960203295E-4</v>
      </c>
      <c r="D23446" s="1">
        <v>2.1572250759099E-4</v>
      </c>
      <c r="E23446" s="1">
        <v>1.1426612580700399E-4</v>
      </c>
      <c r="F23446" s="1">
        <v>4.7846518462156599E-4</v>
      </c>
    </row>
    <row r="23447" spans="1:6" x14ac:dyDescent="0.25">
      <c r="A23447" s="2" t="str">
        <f t="shared" si="818"/>
        <v>37980</v>
      </c>
      <c r="B23447" s="2" t="str">
        <f>"19357"</f>
        <v>19357</v>
      </c>
      <c r="C23447" s="1">
        <v>0</v>
      </c>
      <c r="D23447" s="1">
        <v>0</v>
      </c>
      <c r="E23447" s="1">
        <v>9.5221771505837001E-6</v>
      </c>
      <c r="F23447" s="1">
        <v>3.2350587195508102E-7</v>
      </c>
    </row>
    <row r="23448" spans="1:6" x14ac:dyDescent="0.25">
      <c r="A23448" s="2" t="str">
        <f t="shared" si="818"/>
        <v>37980</v>
      </c>
      <c r="B23448" s="2" t="str">
        <f>"19136"</f>
        <v>19136</v>
      </c>
      <c r="C23448" s="1">
        <v>4.8375619884470601E-3</v>
      </c>
      <c r="D23448" s="1">
        <v>3.9644098564834704E-3</v>
      </c>
      <c r="E23448" s="1">
        <v>3.8469595688358101E-3</v>
      </c>
      <c r="F23448" s="1">
        <v>4.7345084360626202E-3</v>
      </c>
    </row>
    <row r="23449" spans="1:6" x14ac:dyDescent="0.25">
      <c r="A23449" s="2" t="str">
        <f t="shared" si="818"/>
        <v>37980</v>
      </c>
      <c r="B23449" s="2" t="str">
        <f>"19096"</f>
        <v>19096</v>
      </c>
      <c r="C23449" s="1">
        <v>2.3255474505825698E-3</v>
      </c>
      <c r="D23449" s="1">
        <v>3.2846804457722402E-3</v>
      </c>
      <c r="E23449" s="1">
        <v>9.6173989220895404E-4</v>
      </c>
      <c r="F23449" s="1">
        <v>2.35544625370495E-3</v>
      </c>
    </row>
    <row r="23450" spans="1:6" x14ac:dyDescent="0.25">
      <c r="A23450" s="2" t="str">
        <f t="shared" si="818"/>
        <v>37980</v>
      </c>
      <c r="B23450" s="2" t="str">
        <f>"19082"</f>
        <v>19082</v>
      </c>
      <c r="C23450" s="1">
        <v>6.1264108187401196E-3</v>
      </c>
      <c r="D23450" s="1">
        <v>5.3686412738210504E-3</v>
      </c>
      <c r="E23450" s="1">
        <v>7.9034070349844696E-3</v>
      </c>
      <c r="F23450" s="1">
        <v>6.1265542030853404E-3</v>
      </c>
    </row>
    <row r="23451" spans="1:6" x14ac:dyDescent="0.25">
      <c r="A23451" s="2" t="str">
        <f t="shared" si="818"/>
        <v>37980</v>
      </c>
      <c r="B23451" s="2" t="str">
        <f>"19127"</f>
        <v>19127</v>
      </c>
      <c r="C23451" s="1">
        <v>1.3979557952583999E-3</v>
      </c>
      <c r="D23451" s="1">
        <v>1.8723085564501E-3</v>
      </c>
      <c r="E23451" s="1">
        <v>3.2946732941019599E-3</v>
      </c>
      <c r="F23451" s="1">
        <v>1.5000967282557101E-3</v>
      </c>
    </row>
    <row r="23452" spans="1:6" x14ac:dyDescent="0.25">
      <c r="A23452" s="2" t="str">
        <f t="shared" ref="A23452:A23515" si="819">"37980"</f>
        <v>37980</v>
      </c>
      <c r="B23452" s="2" t="str">
        <f>"19133"</f>
        <v>19133</v>
      </c>
      <c r="C23452" s="1">
        <v>3.95448889407866E-3</v>
      </c>
      <c r="D23452" s="1">
        <v>4.9534772026081997E-3</v>
      </c>
      <c r="E23452" s="1">
        <v>3.5136833685653801E-3</v>
      </c>
      <c r="F23452" s="1">
        <v>4.0189134472979797E-3</v>
      </c>
    </row>
    <row r="23453" spans="1:6" x14ac:dyDescent="0.25">
      <c r="A23453" s="2" t="str">
        <f t="shared" si="819"/>
        <v>37980</v>
      </c>
      <c r="B23453" s="2" t="str">
        <f>"19116"</f>
        <v>19116</v>
      </c>
      <c r="C23453" s="1">
        <v>5.0024996077257904E-3</v>
      </c>
      <c r="D23453" s="1">
        <v>3.1707138379883201E-3</v>
      </c>
      <c r="E23453" s="1">
        <v>3.0756632196385302E-3</v>
      </c>
      <c r="F23453" s="1">
        <v>4.7914454695267101E-3</v>
      </c>
    </row>
    <row r="23454" spans="1:6" x14ac:dyDescent="0.25">
      <c r="A23454" s="2" t="str">
        <f t="shared" si="819"/>
        <v>37980</v>
      </c>
      <c r="B23454" s="2" t="str">
        <f>"19108"</f>
        <v>19108</v>
      </c>
      <c r="C23454" s="1">
        <v>0</v>
      </c>
      <c r="D23454" s="1">
        <v>1.18036843776202E-4</v>
      </c>
      <c r="E23454" s="1">
        <v>2.85665314517511E-5</v>
      </c>
      <c r="F23454" s="1">
        <v>1.0352187902562599E-5</v>
      </c>
    </row>
    <row r="23455" spans="1:6" x14ac:dyDescent="0.25">
      <c r="A23455" s="2" t="str">
        <f t="shared" si="819"/>
        <v>37980</v>
      </c>
      <c r="B23455" s="2" t="str">
        <f>"19106"</f>
        <v>19106</v>
      </c>
      <c r="C23455" s="1">
        <v>3.6589148418313898E-3</v>
      </c>
      <c r="D23455" s="1">
        <v>1.03424696563906E-2</v>
      </c>
      <c r="E23455" s="1">
        <v>1.42832657258755E-2</v>
      </c>
      <c r="F23455" s="1">
        <v>4.5510806066640904E-3</v>
      </c>
    </row>
    <row r="23456" spans="1:6" x14ac:dyDescent="0.25">
      <c r="A23456" s="2" t="str">
        <f t="shared" si="819"/>
        <v>37980</v>
      </c>
      <c r="B23456" s="2" t="str">
        <f>"18966"</f>
        <v>18966</v>
      </c>
      <c r="C23456" s="1">
        <v>5.9647573555974701E-3</v>
      </c>
      <c r="D23456" s="1">
        <v>5.4703971736281198E-3</v>
      </c>
      <c r="E23456" s="1">
        <v>2.1139233274295802E-3</v>
      </c>
      <c r="F23456" s="1">
        <v>5.79463717845942E-3</v>
      </c>
    </row>
    <row r="23457" spans="1:6" x14ac:dyDescent="0.25">
      <c r="A23457" s="2" t="str">
        <f t="shared" si="819"/>
        <v>37980</v>
      </c>
      <c r="B23457" s="2" t="str">
        <f>"18902"</f>
        <v>18902</v>
      </c>
      <c r="C23457" s="1">
        <v>2.7897081844819901E-3</v>
      </c>
      <c r="D23457" s="1">
        <v>1.78276336461988E-3</v>
      </c>
      <c r="E23457" s="1">
        <v>1.3711935096840501E-3</v>
      </c>
      <c r="F23457" s="1">
        <v>2.6614828085744502E-3</v>
      </c>
    </row>
    <row r="23458" spans="1:6" x14ac:dyDescent="0.25">
      <c r="A23458" s="2" t="str">
        <f t="shared" si="819"/>
        <v>37980</v>
      </c>
      <c r="B23458" s="2" t="str">
        <f>"18944"</f>
        <v>18944</v>
      </c>
      <c r="C23458" s="1">
        <v>3.7891863685625901E-3</v>
      </c>
      <c r="D23458" s="1">
        <v>1.6403051048899801E-3</v>
      </c>
      <c r="E23458" s="1">
        <v>2.4852882363023401E-3</v>
      </c>
      <c r="F23458" s="1">
        <v>3.5740928733597401E-3</v>
      </c>
    </row>
    <row r="23459" spans="1:6" x14ac:dyDescent="0.25">
      <c r="A23459" s="2" t="str">
        <f t="shared" si="819"/>
        <v>37980</v>
      </c>
      <c r="B23459" s="2" t="str">
        <f>"19039"</f>
        <v>19039</v>
      </c>
      <c r="C23459" s="1">
        <v>0</v>
      </c>
      <c r="D23459" s="1">
        <v>4.0702359922828299E-6</v>
      </c>
      <c r="E23459" s="1">
        <v>0</v>
      </c>
      <c r="F23459" s="1">
        <v>3.2350587195508102E-7</v>
      </c>
    </row>
    <row r="23460" spans="1:6" x14ac:dyDescent="0.25">
      <c r="A23460" s="2" t="str">
        <f t="shared" si="819"/>
        <v>37980</v>
      </c>
      <c r="B23460" s="2" t="str">
        <f>"19040"</f>
        <v>19040</v>
      </c>
      <c r="C23460" s="1">
        <v>3.5228048153027E-3</v>
      </c>
      <c r="D23460" s="1">
        <v>3.6184397971394302E-3</v>
      </c>
      <c r="E23460" s="1">
        <v>2.5805100078081802E-3</v>
      </c>
      <c r="F23460" s="1">
        <v>3.4983924993222501E-3</v>
      </c>
    </row>
    <row r="23461" spans="1:6" x14ac:dyDescent="0.25">
      <c r="A23461" s="2" t="str">
        <f t="shared" si="819"/>
        <v>37980</v>
      </c>
      <c r="B23461" s="2" t="str">
        <f>"19034"</f>
        <v>19034</v>
      </c>
      <c r="C23461" s="1">
        <v>1.11223421141937E-3</v>
      </c>
      <c r="D23461" s="1">
        <v>3.7242659329387901E-3</v>
      </c>
      <c r="E23461" s="1">
        <v>1.8663467215143999E-3</v>
      </c>
      <c r="F23461" s="1">
        <v>1.3454609214611801E-3</v>
      </c>
    </row>
    <row r="23462" spans="1:6" x14ac:dyDescent="0.25">
      <c r="A23462" s="2" t="str">
        <f t="shared" si="819"/>
        <v>37980</v>
      </c>
      <c r="B23462" s="2" t="str">
        <f>"19046"</f>
        <v>19046</v>
      </c>
      <c r="C23462" s="1">
        <v>3.7151104023821001E-3</v>
      </c>
      <c r="D23462" s="1">
        <v>5.3157282059213698E-3</v>
      </c>
      <c r="E23462" s="1">
        <v>5.5419071016397101E-3</v>
      </c>
      <c r="F23462" s="1">
        <v>3.9043923686258798E-3</v>
      </c>
    </row>
    <row r="23463" spans="1:6" x14ac:dyDescent="0.25">
      <c r="A23463" s="2" t="str">
        <f t="shared" si="819"/>
        <v>37980</v>
      </c>
      <c r="B23463" s="2" t="str">
        <f>"19018"</f>
        <v>19018</v>
      </c>
      <c r="C23463" s="1">
        <v>3.8789533029487998E-3</v>
      </c>
      <c r="D23463" s="1">
        <v>2.5479677311690502E-3</v>
      </c>
      <c r="E23463" s="1">
        <v>3.0090079795844502E-3</v>
      </c>
      <c r="F23463" s="1">
        <v>3.7436099502642E-3</v>
      </c>
    </row>
    <row r="23464" spans="1:6" x14ac:dyDescent="0.25">
      <c r="A23464" s="2" t="str">
        <f t="shared" si="819"/>
        <v>37980</v>
      </c>
      <c r="B23464" s="2" t="str">
        <f>"18979"</f>
        <v>18979</v>
      </c>
      <c r="C23464" s="1">
        <v>0</v>
      </c>
      <c r="D23464" s="1">
        <v>0</v>
      </c>
      <c r="E23464" s="1">
        <v>9.5221771505837001E-6</v>
      </c>
      <c r="F23464" s="1">
        <v>3.2350587195508102E-7</v>
      </c>
    </row>
    <row r="23465" spans="1:6" x14ac:dyDescent="0.25">
      <c r="A23465" s="2" t="str">
        <f t="shared" si="819"/>
        <v>37980</v>
      </c>
      <c r="B23465" s="2" t="str">
        <f>"18969"</f>
        <v>18969</v>
      </c>
      <c r="C23465" s="1">
        <v>2.4926745072853499E-3</v>
      </c>
      <c r="D23465" s="1">
        <v>1.7746228926353101E-3</v>
      </c>
      <c r="E23465" s="1">
        <v>1.71399188710506E-3</v>
      </c>
      <c r="F23465" s="1">
        <v>2.4091482284494901E-3</v>
      </c>
    </row>
    <row r="23466" spans="1:6" x14ac:dyDescent="0.25">
      <c r="A23466" s="2" t="str">
        <f t="shared" si="819"/>
        <v>37980</v>
      </c>
      <c r="B23466" s="2" t="str">
        <f>"18977"</f>
        <v>18977</v>
      </c>
      <c r="C23466" s="1">
        <v>8.0060428472903799E-4</v>
      </c>
      <c r="D23466" s="1">
        <v>1.3228266974919199E-3</v>
      </c>
      <c r="E23466" s="1">
        <v>4.18975794625683E-4</v>
      </c>
      <c r="F23466" s="1">
        <v>8.2914554982087404E-4</v>
      </c>
    </row>
    <row r="23467" spans="1:6" x14ac:dyDescent="0.25">
      <c r="A23467" s="2" t="str">
        <f t="shared" si="819"/>
        <v>37980</v>
      </c>
      <c r="B23467" s="2" t="str">
        <f>"18972"</f>
        <v>18972</v>
      </c>
      <c r="C23467" s="1">
        <v>5.0466532624442097E-4</v>
      </c>
      <c r="D23467" s="1">
        <v>1.13966607783919E-4</v>
      </c>
      <c r="E23467" s="1">
        <v>1.23788302957588E-4</v>
      </c>
      <c r="F23467" s="1">
        <v>4.6067236166403598E-4</v>
      </c>
    </row>
    <row r="23468" spans="1:6" x14ac:dyDescent="0.25">
      <c r="A23468" s="2" t="str">
        <f t="shared" si="819"/>
        <v>37980</v>
      </c>
      <c r="B23468" s="2" t="str">
        <f>"21911"</f>
        <v>21911</v>
      </c>
      <c r="C23468" s="1">
        <v>1.63149578715748E-3</v>
      </c>
      <c r="D23468" s="1">
        <v>7.0415082666493004E-4</v>
      </c>
      <c r="E23468" s="1">
        <v>2.1901007446342499E-4</v>
      </c>
      <c r="F23468" s="1">
        <v>1.5098019044143601E-3</v>
      </c>
    </row>
    <row r="23469" spans="1:6" x14ac:dyDescent="0.25">
      <c r="A23469" s="2" t="str">
        <f t="shared" si="819"/>
        <v>37980</v>
      </c>
      <c r="B23469" s="2" t="str">
        <f>"08215"</f>
        <v>08215</v>
      </c>
      <c r="C23469" s="1">
        <v>1.41218713851475E-4</v>
      </c>
      <c r="D23469" s="1">
        <v>8.1404719845656602E-5</v>
      </c>
      <c r="E23469" s="1">
        <v>4.7610885752918501E-5</v>
      </c>
      <c r="F23469" s="1">
        <v>1.3328441924549301E-4</v>
      </c>
    </row>
    <row r="23470" spans="1:6" x14ac:dyDescent="0.25">
      <c r="A23470" s="2" t="str">
        <f t="shared" si="819"/>
        <v>37980</v>
      </c>
      <c r="B23470" s="2" t="str">
        <f>"08554"</f>
        <v>08554</v>
      </c>
      <c r="C23470" s="1">
        <v>5.6998354272869503E-4</v>
      </c>
      <c r="D23470" s="1">
        <v>2.6456533949838402E-4</v>
      </c>
      <c r="E23470" s="1">
        <v>4.0945361747509899E-4</v>
      </c>
      <c r="F23470" s="1">
        <v>5.40254806164986E-4</v>
      </c>
    </row>
    <row r="23471" spans="1:6" x14ac:dyDescent="0.25">
      <c r="A23471" s="2" t="str">
        <f t="shared" si="819"/>
        <v>37980</v>
      </c>
      <c r="B23471" s="2" t="str">
        <f>"08105"</f>
        <v>08105</v>
      </c>
      <c r="C23471" s="1">
        <v>3.6125717496889101E-3</v>
      </c>
      <c r="D23471" s="1">
        <v>2.1735060198790298E-3</v>
      </c>
      <c r="E23471" s="1">
        <v>3.68508255727589E-3</v>
      </c>
      <c r="F23471" s="1">
        <v>3.5006570404259398E-3</v>
      </c>
    </row>
    <row r="23472" spans="1:6" x14ac:dyDescent="0.25">
      <c r="A23472" s="2" t="str">
        <f t="shared" si="819"/>
        <v>37980</v>
      </c>
      <c r="B23472" s="2" t="str">
        <f>"08095"</f>
        <v>08095</v>
      </c>
      <c r="C23472" s="1">
        <v>0</v>
      </c>
      <c r="D23472" s="1">
        <v>0</v>
      </c>
      <c r="E23472" s="1">
        <v>9.5221771505837001E-6</v>
      </c>
      <c r="F23472" s="1">
        <v>3.2350587195508102E-7</v>
      </c>
    </row>
    <row r="23473" spans="1:6" x14ac:dyDescent="0.25">
      <c r="A23473" s="2" t="str">
        <f t="shared" si="819"/>
        <v>37980</v>
      </c>
      <c r="B23473" s="2" t="str">
        <f>"08103"</f>
        <v>08103</v>
      </c>
      <c r="C23473" s="1">
        <v>2.1179158015347901E-3</v>
      </c>
      <c r="D23473" s="1">
        <v>3.3905065815715901E-3</v>
      </c>
      <c r="E23473" s="1">
        <v>1.5521148755451399E-3</v>
      </c>
      <c r="F23473" s="1">
        <v>2.19983992929455E-3</v>
      </c>
    </row>
    <row r="23474" spans="1:6" x14ac:dyDescent="0.25">
      <c r="A23474" s="2" t="str">
        <f t="shared" si="819"/>
        <v>37980</v>
      </c>
      <c r="B23474" s="2" t="str">
        <f>"08102"</f>
        <v>08102</v>
      </c>
      <c r="C23474" s="1">
        <v>1.2538178315081899E-3</v>
      </c>
      <c r="D23474" s="1">
        <v>1.5670408570288899E-3</v>
      </c>
      <c r="E23474" s="1">
        <v>1.1236169037688701E-3</v>
      </c>
      <c r="F23474" s="1">
        <v>1.27428962963106E-3</v>
      </c>
    </row>
    <row r="23475" spans="1:6" x14ac:dyDescent="0.25">
      <c r="A23475" s="2" t="str">
        <f t="shared" si="819"/>
        <v>37980</v>
      </c>
      <c r="B23475" s="2" t="str">
        <f>"08099"</f>
        <v>08099</v>
      </c>
      <c r="C23475" s="1">
        <v>2.9156008363650902E-4</v>
      </c>
      <c r="D23475" s="1">
        <v>8.7510073834080903E-4</v>
      </c>
      <c r="E23475" s="1">
        <v>1.90443543011674E-5</v>
      </c>
      <c r="F23475" s="1">
        <v>3.2868196590636302E-4</v>
      </c>
    </row>
    <row r="23476" spans="1:6" x14ac:dyDescent="0.25">
      <c r="A23476" s="2" t="str">
        <f t="shared" si="819"/>
        <v>37980</v>
      </c>
      <c r="B23476" s="2" t="str">
        <f>"08085"</f>
        <v>08085</v>
      </c>
      <c r="C23476" s="1">
        <v>3.02397798885576E-3</v>
      </c>
      <c r="D23476" s="1">
        <v>3.6469314490854099E-3</v>
      </c>
      <c r="E23476" s="1">
        <v>1.19979432097354E-3</v>
      </c>
      <c r="F23476" s="1">
        <v>3.0115161620298501E-3</v>
      </c>
    </row>
    <row r="23477" spans="1:6" x14ac:dyDescent="0.25">
      <c r="A23477" s="2" t="str">
        <f t="shared" si="819"/>
        <v>37980</v>
      </c>
      <c r="B23477" s="2" t="str">
        <f>"08018"</f>
        <v>08018</v>
      </c>
      <c r="C23477" s="1">
        <v>0</v>
      </c>
      <c r="D23477" s="1">
        <v>0</v>
      </c>
      <c r="E23477" s="1">
        <v>9.5221771505837001E-6</v>
      </c>
      <c r="F23477" s="1">
        <v>3.2350587195508102E-7</v>
      </c>
    </row>
    <row r="23478" spans="1:6" x14ac:dyDescent="0.25">
      <c r="A23478" s="2" t="str">
        <f t="shared" si="819"/>
        <v>37980</v>
      </c>
      <c r="B23478" s="2" t="str">
        <f>"08015"</f>
        <v>08015</v>
      </c>
      <c r="C23478" s="1">
        <v>3.55272712676477E-3</v>
      </c>
      <c r="D23478" s="1">
        <v>1.4449337772603999E-3</v>
      </c>
      <c r="E23478" s="1">
        <v>1.3426269782323E-3</v>
      </c>
      <c r="F23478" s="1">
        <v>3.3101120818443898E-3</v>
      </c>
    </row>
    <row r="23479" spans="1:6" x14ac:dyDescent="0.25">
      <c r="A23479" s="2" t="str">
        <f t="shared" si="819"/>
        <v>37980</v>
      </c>
      <c r="B23479" s="2" t="str">
        <f>"08009"</f>
        <v>08009</v>
      </c>
      <c r="C23479" s="1">
        <v>2.2503767656900501E-3</v>
      </c>
      <c r="D23479" s="1">
        <v>3.1259412420732101E-3</v>
      </c>
      <c r="E23479" s="1">
        <v>1.54259269839456E-3</v>
      </c>
      <c r="F23479" s="1">
        <v>2.2959211732652102E-3</v>
      </c>
    </row>
    <row r="23480" spans="1:6" x14ac:dyDescent="0.25">
      <c r="A23480" s="2" t="str">
        <f t="shared" si="819"/>
        <v>37980</v>
      </c>
      <c r="B23480" s="2" t="str">
        <f>"08004"</f>
        <v>08004</v>
      </c>
      <c r="C23480" s="1">
        <v>1.97523746273395E-3</v>
      </c>
      <c r="D23480" s="1">
        <v>1.53854920508291E-3</v>
      </c>
      <c r="E23480" s="1">
        <v>7.2368546344436097E-4</v>
      </c>
      <c r="F23480" s="1">
        <v>1.89800895076046E-3</v>
      </c>
    </row>
    <row r="23481" spans="1:6" x14ac:dyDescent="0.25">
      <c r="A23481" s="2" t="str">
        <f t="shared" si="819"/>
        <v>37980</v>
      </c>
      <c r="B23481" s="2" t="str">
        <f>"08002"</f>
        <v>08002</v>
      </c>
      <c r="C23481" s="1">
        <v>4.0052108610692397E-3</v>
      </c>
      <c r="D23481" s="1">
        <v>6.1338456403702201E-3</v>
      </c>
      <c r="E23481" s="1">
        <v>3.3613285341560399E-3</v>
      </c>
      <c r="F23481" s="1">
        <v>4.1525213724154303E-3</v>
      </c>
    </row>
    <row r="23482" spans="1:6" x14ac:dyDescent="0.25">
      <c r="A23482" s="2" t="str">
        <f t="shared" si="819"/>
        <v>37980</v>
      </c>
      <c r="B23482" s="2" t="str">
        <f>"08074"</f>
        <v>08074</v>
      </c>
      <c r="C23482" s="1">
        <v>0</v>
      </c>
      <c r="D23482" s="1">
        <v>0</v>
      </c>
      <c r="E23482" s="1">
        <v>9.5221771505837001E-6</v>
      </c>
      <c r="F23482" s="1">
        <v>3.2350587195508102E-7</v>
      </c>
    </row>
    <row r="23483" spans="1:6" x14ac:dyDescent="0.25">
      <c r="A23483" s="2" t="str">
        <f t="shared" si="819"/>
        <v>37980</v>
      </c>
      <c r="B23483" s="2" t="str">
        <f>"08077"</f>
        <v>08077</v>
      </c>
      <c r="C23483" s="1">
        <v>3.0633878624887301E-3</v>
      </c>
      <c r="D23483" s="1">
        <v>4.9616176745927703E-3</v>
      </c>
      <c r="E23483" s="1">
        <v>2.0853567959778301E-3</v>
      </c>
      <c r="F23483" s="1">
        <v>3.18103323893431E-3</v>
      </c>
    </row>
    <row r="23484" spans="1:6" x14ac:dyDescent="0.25">
      <c r="A23484" s="2" t="str">
        <f t="shared" si="819"/>
        <v>37980</v>
      </c>
      <c r="B23484" s="2" t="str">
        <f>"08068"</f>
        <v>08068</v>
      </c>
      <c r="C23484" s="1">
        <v>1.04874052612181E-3</v>
      </c>
      <c r="D23484" s="1">
        <v>5.1284973502763599E-4</v>
      </c>
      <c r="E23484" s="1">
        <v>4.0945361747509899E-4</v>
      </c>
      <c r="F23484" s="1">
        <v>9.8442836835931405E-4</v>
      </c>
    </row>
    <row r="23485" spans="1:6" x14ac:dyDescent="0.25">
      <c r="A23485" s="2" t="str">
        <f t="shared" si="819"/>
        <v>37980</v>
      </c>
      <c r="B23485" s="2" t="str">
        <f>"08062"</f>
        <v>08062</v>
      </c>
      <c r="C23485" s="1">
        <v>2.5083654754910699E-3</v>
      </c>
      <c r="D23485" s="1">
        <v>1.8234657245427E-3</v>
      </c>
      <c r="E23485" s="1">
        <v>4.6658668037860101E-4</v>
      </c>
      <c r="F23485" s="1">
        <v>2.3845617821808998E-3</v>
      </c>
    </row>
    <row r="23486" spans="1:6" x14ac:dyDescent="0.25">
      <c r="A23486" s="2" t="str">
        <f t="shared" si="819"/>
        <v>37980</v>
      </c>
      <c r="B23486" s="2" t="str">
        <f>"08051"</f>
        <v>08051</v>
      </c>
      <c r="C23486" s="1">
        <v>1.7384133146987799E-3</v>
      </c>
      <c r="D23486" s="1">
        <v>6.3495681479612098E-4</v>
      </c>
      <c r="E23486" s="1">
        <v>2.1901007446342499E-4</v>
      </c>
      <c r="F23486" s="1">
        <v>1.5990895250739599E-3</v>
      </c>
    </row>
    <row r="23487" spans="1:6" x14ac:dyDescent="0.25">
      <c r="A23487" s="2" t="str">
        <f t="shared" si="819"/>
        <v>37980</v>
      </c>
      <c r="B23487" s="2" t="str">
        <f>"08036"</f>
        <v>08036</v>
      </c>
      <c r="C23487" s="1">
        <v>1.06370168185284E-3</v>
      </c>
      <c r="D23487" s="1">
        <v>2.00255610820315E-3</v>
      </c>
      <c r="E23487" s="1">
        <v>2.9518749166809402E-4</v>
      </c>
      <c r="F23487" s="1">
        <v>1.1122131877815699E-3</v>
      </c>
    </row>
    <row r="23488" spans="1:6" x14ac:dyDescent="0.25">
      <c r="A23488" s="2" t="str">
        <f t="shared" si="819"/>
        <v>37980</v>
      </c>
      <c r="B23488" s="2" t="str">
        <f>"08035"</f>
        <v>08035</v>
      </c>
      <c r="C23488" s="1">
        <v>1.1655105220713499E-3</v>
      </c>
      <c r="D23488" s="1">
        <v>1.2739838655845201E-3</v>
      </c>
      <c r="E23488" s="1">
        <v>1.4092822182863801E-3</v>
      </c>
      <c r="F23488" s="1">
        <v>1.18241396199582E-3</v>
      </c>
    </row>
    <row r="23489" spans="1:6" x14ac:dyDescent="0.25">
      <c r="A23489" s="2" t="str">
        <f t="shared" si="819"/>
        <v>37980</v>
      </c>
      <c r="B23489" s="2" t="str">
        <f>"08030"</f>
        <v>08030</v>
      </c>
      <c r="C23489" s="1">
        <v>2.0270541484365499E-3</v>
      </c>
      <c r="D23489" s="1">
        <v>1.75020147668161E-3</v>
      </c>
      <c r="E23489" s="1">
        <v>1.4568931040393001E-3</v>
      </c>
      <c r="F23489" s="1">
        <v>1.9856790420602899E-3</v>
      </c>
    </row>
    <row r="23490" spans="1:6" x14ac:dyDescent="0.25">
      <c r="A23490" s="2" t="str">
        <f t="shared" si="819"/>
        <v>37980</v>
      </c>
      <c r="B23490" s="2" t="str">
        <f>"08029"</f>
        <v>08029</v>
      </c>
      <c r="C23490" s="1">
        <v>7.3784041190616003E-4</v>
      </c>
      <c r="D23490" s="1">
        <v>2.9712722743664602E-4</v>
      </c>
      <c r="E23490" s="1">
        <v>3.3327620027042901E-4</v>
      </c>
      <c r="F23490" s="1">
        <v>6.8906750726432399E-4</v>
      </c>
    </row>
    <row r="23491" spans="1:6" x14ac:dyDescent="0.25">
      <c r="A23491" s="2" t="str">
        <f t="shared" si="819"/>
        <v>37980</v>
      </c>
      <c r="B23491" s="2" t="str">
        <f>"19520"</f>
        <v>19520</v>
      </c>
      <c r="C23491" s="1">
        <v>9.4547206095393704E-4</v>
      </c>
      <c r="D23491" s="1">
        <v>9.1987333425592001E-4</v>
      </c>
      <c r="E23491" s="1">
        <v>2.47576605915176E-4</v>
      </c>
      <c r="F23491" s="1">
        <v>9.19727193968297E-4</v>
      </c>
    </row>
    <row r="23492" spans="1:6" x14ac:dyDescent="0.25">
      <c r="A23492" s="2" t="str">
        <f t="shared" si="819"/>
        <v>37980</v>
      </c>
      <c r="B23492" s="2" t="str">
        <f>"19896"</f>
        <v>19896</v>
      </c>
      <c r="C23492" s="1">
        <v>0</v>
      </c>
      <c r="D23492" s="1">
        <v>8.1404719845656599E-6</v>
      </c>
      <c r="E23492" s="1">
        <v>0</v>
      </c>
      <c r="F23492" s="1">
        <v>6.4701174391016299E-7</v>
      </c>
    </row>
    <row r="23493" spans="1:6" x14ac:dyDescent="0.25">
      <c r="A23493" s="2" t="str">
        <f t="shared" si="819"/>
        <v>37980</v>
      </c>
      <c r="B23493" s="2" t="str">
        <f>"19892"</f>
        <v>19892</v>
      </c>
      <c r="C23493" s="1">
        <v>0</v>
      </c>
      <c r="D23493" s="1">
        <v>4.0702359922828299E-6</v>
      </c>
      <c r="E23493" s="1">
        <v>0</v>
      </c>
      <c r="F23493" s="1">
        <v>3.2350587195508102E-7</v>
      </c>
    </row>
    <row r="23494" spans="1:6" x14ac:dyDescent="0.25">
      <c r="A23494" s="2" t="str">
        <f t="shared" si="819"/>
        <v>37980</v>
      </c>
      <c r="B23494" s="2" t="str">
        <f>"19710"</f>
        <v>19710</v>
      </c>
      <c r="C23494" s="1">
        <v>2.0544221162372301E-4</v>
      </c>
      <c r="D23494" s="1">
        <v>5.0470926304307104E-4</v>
      </c>
      <c r="E23494" s="1">
        <v>1.90443543011674E-5</v>
      </c>
      <c r="F23494" s="1">
        <v>2.2289554577705099E-4</v>
      </c>
    </row>
    <row r="23495" spans="1:6" x14ac:dyDescent="0.25">
      <c r="A23495" s="2" t="str">
        <f t="shared" si="819"/>
        <v>37980</v>
      </c>
      <c r="B23495" s="2" t="str">
        <f>"19718"</f>
        <v>19718</v>
      </c>
      <c r="C23495" s="1">
        <v>0</v>
      </c>
      <c r="D23495" s="1">
        <v>4.0702359922828299E-6</v>
      </c>
      <c r="E23495" s="1">
        <v>0</v>
      </c>
      <c r="F23495" s="1">
        <v>3.2350587195508102E-7</v>
      </c>
    </row>
    <row r="23496" spans="1:6" x14ac:dyDescent="0.25">
      <c r="A23496" s="2" t="str">
        <f t="shared" si="819"/>
        <v>37980</v>
      </c>
      <c r="B23496" s="2" t="str">
        <f>"19717"</f>
        <v>19717</v>
      </c>
      <c r="C23496" s="1">
        <v>1.7880405629773399E-3</v>
      </c>
      <c r="D23496" s="1">
        <v>4.8842831907393902E-5</v>
      </c>
      <c r="E23496" s="1">
        <v>1.09505037231712E-3</v>
      </c>
      <c r="F23496" s="1">
        <v>1.6262640183181899E-3</v>
      </c>
    </row>
    <row r="23497" spans="1:6" x14ac:dyDescent="0.25">
      <c r="A23497" s="2" t="str">
        <f t="shared" si="819"/>
        <v>37980</v>
      </c>
      <c r="B23497" s="2" t="str">
        <f>"19716"</f>
        <v>19716</v>
      </c>
      <c r="C23497" s="1">
        <v>1.82453118671157E-6</v>
      </c>
      <c r="D23497" s="1">
        <v>1.4978468451600801E-3</v>
      </c>
      <c r="E23497" s="1">
        <v>1.11409472661829E-3</v>
      </c>
      <c r="F23497" s="1">
        <v>1.5851787725798999E-4</v>
      </c>
    </row>
    <row r="23498" spans="1:6" x14ac:dyDescent="0.25">
      <c r="A23498" s="2" t="str">
        <f t="shared" si="819"/>
        <v>37980</v>
      </c>
      <c r="B23498" s="2" t="str">
        <f>"19734"</f>
        <v>19734</v>
      </c>
      <c r="C23498" s="1">
        <v>2.1697324872373999E-3</v>
      </c>
      <c r="D23498" s="1">
        <v>8.3439837841797998E-4</v>
      </c>
      <c r="E23498" s="1">
        <v>1.23788302957588E-4</v>
      </c>
      <c r="F23498" s="1">
        <v>1.9940901947311201E-3</v>
      </c>
    </row>
    <row r="23499" spans="1:6" x14ac:dyDescent="0.25">
      <c r="A23499" s="2" t="str">
        <f t="shared" si="819"/>
        <v>37980</v>
      </c>
      <c r="B23499" s="2" t="str">
        <f>"19733"</f>
        <v>19733</v>
      </c>
      <c r="C23499" s="1">
        <v>5.5100841838689501E-5</v>
      </c>
      <c r="D23499" s="1">
        <v>5.6983303891959597E-5</v>
      </c>
      <c r="E23499" s="1">
        <v>4.7610885752918501E-5</v>
      </c>
      <c r="F23499" s="1">
        <v>5.49959982323639E-5</v>
      </c>
    </row>
    <row r="23500" spans="1:6" x14ac:dyDescent="0.25">
      <c r="A23500" s="2" t="str">
        <f t="shared" si="819"/>
        <v>37980</v>
      </c>
      <c r="B23500" s="2" t="str">
        <f>"19468"</f>
        <v>19468</v>
      </c>
      <c r="C23500" s="1">
        <v>4.3204898501329999E-3</v>
      </c>
      <c r="D23500" s="1">
        <v>3.7608980568693299E-3</v>
      </c>
      <c r="E23500" s="1">
        <v>4.1326248833533199E-3</v>
      </c>
      <c r="F23500" s="1">
        <v>4.2696304980631697E-3</v>
      </c>
    </row>
    <row r="23501" spans="1:6" x14ac:dyDescent="0.25">
      <c r="A23501" s="2" t="str">
        <f t="shared" si="819"/>
        <v>37980</v>
      </c>
      <c r="B23501" s="2" t="str">
        <f>"19702"</f>
        <v>19702</v>
      </c>
      <c r="C23501" s="1">
        <v>8.4811507683100803E-3</v>
      </c>
      <c r="D23501" s="1">
        <v>5.7471732211033504E-3</v>
      </c>
      <c r="E23501" s="1">
        <v>3.2946732941019599E-3</v>
      </c>
      <c r="F23501" s="1">
        <v>8.0876467988770396E-3</v>
      </c>
    </row>
    <row r="23502" spans="1:6" x14ac:dyDescent="0.25">
      <c r="A23502" s="2" t="str">
        <f t="shared" si="819"/>
        <v>37980</v>
      </c>
      <c r="B23502" s="2" t="str">
        <f>"19701"</f>
        <v>19701</v>
      </c>
      <c r="C23502" s="1">
        <v>6.4022799341709102E-3</v>
      </c>
      <c r="D23502" s="1">
        <v>5.0837247543612501E-3</v>
      </c>
      <c r="E23502" s="1">
        <v>3.71364908872764E-4</v>
      </c>
      <c r="F23502" s="1">
        <v>6.0925860865300501E-3</v>
      </c>
    </row>
    <row r="23503" spans="1:6" x14ac:dyDescent="0.25">
      <c r="A23503" s="2" t="str">
        <f t="shared" si="819"/>
        <v>37980</v>
      </c>
      <c r="B23503" s="2" t="str">
        <f>"19457"</f>
        <v>19457</v>
      </c>
      <c r="C23503" s="1">
        <v>1.2297340198435999E-4</v>
      </c>
      <c r="D23503" s="1">
        <v>2.5235463152153498E-4</v>
      </c>
      <c r="E23503" s="1">
        <v>9.5221771505837001E-6</v>
      </c>
      <c r="F23503" s="1">
        <v>1.2940234878203199E-4</v>
      </c>
    </row>
    <row r="23504" spans="1:6" x14ac:dyDescent="0.25">
      <c r="A23504" s="2" t="str">
        <f t="shared" si="819"/>
        <v>37980</v>
      </c>
      <c r="B23504" s="2" t="str">
        <f>"19454"</f>
        <v>19454</v>
      </c>
      <c r="C23504" s="1">
        <v>4.5595034355922198E-3</v>
      </c>
      <c r="D23504" s="1">
        <v>3.9969717444217397E-3</v>
      </c>
      <c r="E23504" s="1">
        <v>1.91395760726732E-3</v>
      </c>
      <c r="F23504" s="1">
        <v>4.4249133166015999E-3</v>
      </c>
    </row>
    <row r="23505" spans="1:6" x14ac:dyDescent="0.25">
      <c r="A23505" s="2" t="str">
        <f t="shared" si="819"/>
        <v>37980</v>
      </c>
      <c r="B23505" s="2" t="str">
        <f>"19331"</f>
        <v>19331</v>
      </c>
      <c r="C23505" s="1">
        <v>2.10185992709173E-4</v>
      </c>
      <c r="D23505" s="1">
        <v>4.7214737510480802E-4</v>
      </c>
      <c r="E23505" s="1">
        <v>1.90443543011674E-5</v>
      </c>
      <c r="F23505" s="1">
        <v>2.2451307513682601E-4</v>
      </c>
    </row>
    <row r="23506" spans="1:6" x14ac:dyDescent="0.25">
      <c r="A23506" s="2" t="str">
        <f t="shared" si="819"/>
        <v>37980</v>
      </c>
      <c r="B23506" s="2" t="str">
        <f>"19150"</f>
        <v>19150</v>
      </c>
      <c r="C23506" s="1">
        <v>3.6319117802680601E-3</v>
      </c>
      <c r="D23506" s="1">
        <v>1.3635290574147401E-3</v>
      </c>
      <c r="E23506" s="1">
        <v>1.31406044678055E-3</v>
      </c>
      <c r="F23506" s="1">
        <v>3.37287222100368E-3</v>
      </c>
    </row>
    <row r="23507" spans="1:6" x14ac:dyDescent="0.25">
      <c r="A23507" s="2" t="str">
        <f t="shared" si="819"/>
        <v>37980</v>
      </c>
      <c r="B23507" s="2" t="str">
        <f>"19444"</f>
        <v>19444</v>
      </c>
      <c r="C23507" s="1">
        <v>1.9267049331674201E-3</v>
      </c>
      <c r="D23507" s="1">
        <v>1.3757397653915899E-3</v>
      </c>
      <c r="E23507" s="1">
        <v>5.6180845188443798E-4</v>
      </c>
      <c r="F23507" s="1">
        <v>1.83654283508899E-3</v>
      </c>
    </row>
    <row r="23508" spans="1:6" x14ac:dyDescent="0.25">
      <c r="A23508" s="2" t="str">
        <f t="shared" si="819"/>
        <v>37980</v>
      </c>
      <c r="B23508" s="2" t="str">
        <f>"19438"</f>
        <v>19438</v>
      </c>
      <c r="C23508" s="1">
        <v>3.6906616844801701E-3</v>
      </c>
      <c r="D23508" s="1">
        <v>2.4909844272770899E-3</v>
      </c>
      <c r="E23508" s="1">
        <v>1.4188043954369699E-3</v>
      </c>
      <c r="F23508" s="1">
        <v>3.5181263575115099E-3</v>
      </c>
    </row>
    <row r="23509" spans="1:6" x14ac:dyDescent="0.25">
      <c r="A23509" s="2" t="str">
        <f t="shared" si="819"/>
        <v>37980</v>
      </c>
      <c r="B23509" s="2" t="str">
        <f>"19367"</f>
        <v>19367</v>
      </c>
      <c r="C23509" s="1">
        <v>0</v>
      </c>
      <c r="D23509" s="1">
        <v>4.0702359922828299E-6</v>
      </c>
      <c r="E23509" s="1">
        <v>0</v>
      </c>
      <c r="F23509" s="1">
        <v>3.2350587195508102E-7</v>
      </c>
    </row>
    <row r="23510" spans="1:6" x14ac:dyDescent="0.25">
      <c r="A23510" s="2" t="str">
        <f t="shared" si="819"/>
        <v>37980</v>
      </c>
      <c r="B23510" s="2" t="str">
        <f>"19374"</f>
        <v>19374</v>
      </c>
      <c r="C23510" s="1">
        <v>9.6335246658371101E-5</v>
      </c>
      <c r="D23510" s="1">
        <v>1.5873920369903E-4</v>
      </c>
      <c r="E23510" s="1">
        <v>2.47576605915176E-4</v>
      </c>
      <c r="F23510" s="1">
        <v>1.06433431873221E-4</v>
      </c>
    </row>
    <row r="23511" spans="1:6" x14ac:dyDescent="0.25">
      <c r="A23511" s="2" t="str">
        <f t="shared" si="819"/>
        <v>37980</v>
      </c>
      <c r="B23511" s="2" t="str">
        <f>"19365"</f>
        <v>19365</v>
      </c>
      <c r="C23511" s="1">
        <v>1.0917994621281999E-3</v>
      </c>
      <c r="D23511" s="1">
        <v>1.0053482900938501E-3</v>
      </c>
      <c r="E23511" s="1">
        <v>7.7129634919728002E-4</v>
      </c>
      <c r="F23511" s="1">
        <v>1.07403949489087E-3</v>
      </c>
    </row>
    <row r="23512" spans="1:6" x14ac:dyDescent="0.25">
      <c r="A23512" s="2" t="str">
        <f t="shared" si="819"/>
        <v>37980</v>
      </c>
      <c r="B23512" s="2" t="str">
        <f>"19422"</f>
        <v>19422</v>
      </c>
      <c r="C23512" s="1">
        <v>3.38085628897654E-3</v>
      </c>
      <c r="D23512" s="1">
        <v>5.5436614214892099E-3</v>
      </c>
      <c r="E23512" s="1">
        <v>2.5995543621093499E-3</v>
      </c>
      <c r="F23512" s="1">
        <v>3.5262140043103899E-3</v>
      </c>
    </row>
    <row r="23513" spans="1:6" x14ac:dyDescent="0.25">
      <c r="A23513" s="2" t="str">
        <f t="shared" si="819"/>
        <v>37980</v>
      </c>
      <c r="B23513" s="2" t="str">
        <f>"19405"</f>
        <v>19405</v>
      </c>
      <c r="C23513" s="1">
        <v>8.7869421952029405E-4</v>
      </c>
      <c r="D23513" s="1">
        <v>1.1193148978777699E-3</v>
      </c>
      <c r="E23513" s="1">
        <v>1.5045039897922201E-3</v>
      </c>
      <c r="F23513" s="1">
        <v>9.1908018222438702E-4</v>
      </c>
    </row>
    <row r="23514" spans="1:6" x14ac:dyDescent="0.25">
      <c r="A23514" s="2" t="str">
        <f t="shared" si="819"/>
        <v>37980</v>
      </c>
      <c r="B23514" s="2" t="str">
        <f>"19403"</f>
        <v>19403</v>
      </c>
      <c r="C23514" s="1">
        <v>7.38971621241921E-3</v>
      </c>
      <c r="D23514" s="1">
        <v>4.5871559633027499E-3</v>
      </c>
      <c r="E23514" s="1">
        <v>4.2849797177626596E-3</v>
      </c>
      <c r="F23514" s="1">
        <v>7.0614861730355196E-3</v>
      </c>
    </row>
    <row r="23515" spans="1:6" x14ac:dyDescent="0.25">
      <c r="A23515" s="2" t="str">
        <f t="shared" si="819"/>
        <v>37980</v>
      </c>
      <c r="B23515" s="2" t="str">
        <f>"19146"</f>
        <v>19146</v>
      </c>
      <c r="C23515" s="1">
        <v>8.1052973438474896E-3</v>
      </c>
      <c r="D23515" s="1">
        <v>5.01046050650016E-3</v>
      </c>
      <c r="E23515" s="1">
        <v>1.32072597078596E-2</v>
      </c>
      <c r="F23515" s="1">
        <v>8.0326508006446796E-3</v>
      </c>
    </row>
    <row r="23516" spans="1:6" x14ac:dyDescent="0.25">
      <c r="A23516" s="2" t="str">
        <f t="shared" ref="A23516:A23579" si="820">"37980"</f>
        <v>37980</v>
      </c>
      <c r="B23516" s="2" t="str">
        <f>"19341"</f>
        <v>19341</v>
      </c>
      <c r="C23516" s="1">
        <v>3.3191871348656901E-3</v>
      </c>
      <c r="D23516" s="1">
        <v>9.1173286227135397E-3</v>
      </c>
      <c r="E23516" s="1">
        <v>2.72334266506694E-3</v>
      </c>
      <c r="F23516" s="1">
        <v>3.75978524386196E-3</v>
      </c>
    </row>
    <row r="23517" spans="1:6" x14ac:dyDescent="0.25">
      <c r="A23517" s="2" t="str">
        <f t="shared" si="820"/>
        <v>37980</v>
      </c>
      <c r="B23517" s="2" t="str">
        <f>"19137"</f>
        <v>19137</v>
      </c>
      <c r="C23517" s="1">
        <v>1.2994311111759801E-3</v>
      </c>
      <c r="D23517" s="1">
        <v>1.8071847805735701E-3</v>
      </c>
      <c r="E23517" s="1">
        <v>2.4186329962482601E-3</v>
      </c>
      <c r="F23517" s="1">
        <v>1.37781150865669E-3</v>
      </c>
    </row>
    <row r="23518" spans="1:6" x14ac:dyDescent="0.25">
      <c r="A23518" s="2" t="str">
        <f t="shared" si="820"/>
        <v>37980</v>
      </c>
      <c r="B23518" s="2" t="str">
        <f>"19091"</f>
        <v>19091</v>
      </c>
      <c r="C23518" s="1">
        <v>0</v>
      </c>
      <c r="D23518" s="1">
        <v>4.0702359922828299E-6</v>
      </c>
      <c r="E23518" s="1">
        <v>1.90443543011674E-5</v>
      </c>
      <c r="F23518" s="1">
        <v>9.7051761586524491E-7</v>
      </c>
    </row>
    <row r="23519" spans="1:6" x14ac:dyDescent="0.25">
      <c r="A23519" s="2" t="str">
        <f t="shared" si="820"/>
        <v>37980</v>
      </c>
      <c r="B23519" s="2" t="str">
        <f>"19090"</f>
        <v>19090</v>
      </c>
      <c r="C23519" s="1">
        <v>3.4093189754892399E-3</v>
      </c>
      <c r="D23519" s="1">
        <v>5.6576280292731304E-3</v>
      </c>
      <c r="E23519" s="1">
        <v>3.3327620027042899E-3</v>
      </c>
      <c r="F23519" s="1">
        <v>3.58541557887817E-3</v>
      </c>
    </row>
    <row r="23520" spans="1:6" x14ac:dyDescent="0.25">
      <c r="A23520" s="2" t="str">
        <f t="shared" si="820"/>
        <v>37980</v>
      </c>
      <c r="B23520" s="2" t="str">
        <f>"19078"</f>
        <v>19078</v>
      </c>
      <c r="C23520" s="1">
        <v>2.0423802104049299E-3</v>
      </c>
      <c r="D23520" s="1">
        <v>1.1600172578006E-3</v>
      </c>
      <c r="E23520" s="1">
        <v>3.05661886533737E-3</v>
      </c>
      <c r="F23520" s="1">
        <v>2.00670692373737E-3</v>
      </c>
    </row>
    <row r="23521" spans="1:6" x14ac:dyDescent="0.25">
      <c r="A23521" s="2" t="str">
        <f t="shared" si="820"/>
        <v>37980</v>
      </c>
      <c r="B23521" s="2" t="str">
        <f>"19073"</f>
        <v>19073</v>
      </c>
      <c r="C23521" s="1">
        <v>3.2385428564130399E-3</v>
      </c>
      <c r="D23521" s="1">
        <v>4.2167644880050101E-3</v>
      </c>
      <c r="E23521" s="1">
        <v>2.52337694490468E-3</v>
      </c>
      <c r="F23521" s="1">
        <v>3.2919957530149098E-3</v>
      </c>
    </row>
    <row r="23522" spans="1:6" x14ac:dyDescent="0.25">
      <c r="A23522" s="2" t="str">
        <f t="shared" si="820"/>
        <v>37980</v>
      </c>
      <c r="B23522" s="2" t="str">
        <f>"19113"</f>
        <v>19113</v>
      </c>
      <c r="C23522" s="1">
        <v>0</v>
      </c>
      <c r="D23522" s="1">
        <v>7.7741507452602104E-4</v>
      </c>
      <c r="E23522" s="1">
        <v>4.2849797177626602E-4</v>
      </c>
      <c r="F23522" s="1">
        <v>7.6347385781399304E-5</v>
      </c>
    </row>
    <row r="23523" spans="1:6" x14ac:dyDescent="0.25">
      <c r="A23523" s="2" t="str">
        <f t="shared" si="820"/>
        <v>37980</v>
      </c>
      <c r="B23523" s="2" t="str">
        <f>"19119"</f>
        <v>19119</v>
      </c>
      <c r="C23523" s="1">
        <v>4.7985170210514396E-3</v>
      </c>
      <c r="D23523" s="1">
        <v>2.1409441319407601E-3</v>
      </c>
      <c r="E23523" s="1">
        <v>8.3985602468148301E-3</v>
      </c>
      <c r="F23523" s="1">
        <v>4.7095984839220801E-3</v>
      </c>
    </row>
    <row r="23524" spans="1:6" x14ac:dyDescent="0.25">
      <c r="A23524" s="2" t="str">
        <f t="shared" si="820"/>
        <v>37980</v>
      </c>
      <c r="B23524" s="2" t="str">
        <f>"19122"</f>
        <v>19122</v>
      </c>
      <c r="C23524" s="1">
        <v>4.38033447305714E-3</v>
      </c>
      <c r="D23524" s="1">
        <v>4.5952964352873101E-3</v>
      </c>
      <c r="E23524" s="1">
        <v>9.1508122417109407E-3</v>
      </c>
      <c r="F23524" s="1">
        <v>4.5594917593349202E-3</v>
      </c>
    </row>
    <row r="23525" spans="1:6" x14ac:dyDescent="0.25">
      <c r="A23525" s="2" t="str">
        <f t="shared" si="820"/>
        <v>37980</v>
      </c>
      <c r="B23525" s="2" t="str">
        <f>"19060"</f>
        <v>19060</v>
      </c>
      <c r="C23525" s="1">
        <v>1.4855332922205601E-3</v>
      </c>
      <c r="D23525" s="1">
        <v>3.33759351367192E-4</v>
      </c>
      <c r="E23525" s="1">
        <v>2.9518749166809402E-4</v>
      </c>
      <c r="F23525" s="1">
        <v>1.3535485682600601E-3</v>
      </c>
    </row>
    <row r="23526" spans="1:6" x14ac:dyDescent="0.25">
      <c r="A23526" s="2" t="str">
        <f t="shared" si="820"/>
        <v>37980</v>
      </c>
      <c r="B23526" s="2" t="str">
        <f>"19058"</f>
        <v>19058</v>
      </c>
      <c r="C23526" s="1">
        <v>3.24036738759975E-4</v>
      </c>
      <c r="D23526" s="1">
        <v>6.91940118688081E-4</v>
      </c>
      <c r="E23526" s="1">
        <v>9.5221771505837001E-6</v>
      </c>
      <c r="F23526" s="1">
        <v>3.4259271840043101E-4</v>
      </c>
    </row>
    <row r="23527" spans="1:6" x14ac:dyDescent="0.25">
      <c r="A23527" s="2" t="str">
        <f t="shared" si="820"/>
        <v>37980</v>
      </c>
      <c r="B23527" s="2" t="str">
        <f>"19110"</f>
        <v>19110</v>
      </c>
      <c r="C23527" s="1">
        <v>1.0253865269319E-4</v>
      </c>
      <c r="D23527" s="1">
        <v>1.18036843776202E-3</v>
      </c>
      <c r="E23527" s="1">
        <v>2.1901007446342499E-4</v>
      </c>
      <c r="F23527" s="1">
        <v>1.92162487941318E-4</v>
      </c>
    </row>
    <row r="23528" spans="1:6" x14ac:dyDescent="0.25">
      <c r="A23528" s="2" t="str">
        <f t="shared" si="820"/>
        <v>37980</v>
      </c>
      <c r="B23528" s="2" t="str">
        <f>"19109"</f>
        <v>19109</v>
      </c>
      <c r="C23528" s="1">
        <v>1.82453118671157E-6</v>
      </c>
      <c r="D23528" s="1">
        <v>3.7446171129002003E-4</v>
      </c>
      <c r="E23528" s="1">
        <v>3.8088708602334801E-5</v>
      </c>
      <c r="F23528" s="1">
        <v>3.26740930674632E-5</v>
      </c>
    </row>
    <row r="23529" spans="1:6" x14ac:dyDescent="0.25">
      <c r="A23529" s="2" t="str">
        <f t="shared" si="820"/>
        <v>37980</v>
      </c>
      <c r="B23529" s="2" t="str">
        <f>"19057"</f>
        <v>19057</v>
      </c>
      <c r="C23529" s="1">
        <v>2.3135055447502701E-3</v>
      </c>
      <c r="D23529" s="1">
        <v>2.4787737193002401E-3</v>
      </c>
      <c r="E23529" s="1">
        <v>9.1412900645603597E-4</v>
      </c>
      <c r="F23529" s="1">
        <v>2.2790988679235501E-3</v>
      </c>
    </row>
    <row r="23530" spans="1:6" x14ac:dyDescent="0.25">
      <c r="A23530" s="2" t="str">
        <f t="shared" si="820"/>
        <v>37980</v>
      </c>
      <c r="B23530" s="2" t="str">
        <f>"18968"</f>
        <v>18968</v>
      </c>
      <c r="C23530" s="1">
        <v>0</v>
      </c>
      <c r="D23530" s="1">
        <v>0</v>
      </c>
      <c r="E23530" s="1">
        <v>9.5221771505837001E-6</v>
      </c>
      <c r="F23530" s="1">
        <v>3.2350587195508102E-7</v>
      </c>
    </row>
    <row r="23531" spans="1:6" x14ac:dyDescent="0.25">
      <c r="A23531" s="2" t="str">
        <f t="shared" si="820"/>
        <v>37980</v>
      </c>
      <c r="B23531" s="2" t="str">
        <f>"18960"</f>
        <v>18960</v>
      </c>
      <c r="C23531" s="1">
        <v>1.9445853387971899E-3</v>
      </c>
      <c r="D23531" s="1">
        <v>9.2394357024820205E-4</v>
      </c>
      <c r="E23531" s="1">
        <v>1.7901693043097301E-3</v>
      </c>
      <c r="F23531" s="1">
        <v>1.8582177285099901E-3</v>
      </c>
    </row>
    <row r="23532" spans="1:6" x14ac:dyDescent="0.25">
      <c r="A23532" s="2" t="str">
        <f t="shared" si="820"/>
        <v>37980</v>
      </c>
      <c r="B23532" s="2" t="str">
        <f>"18951"</f>
        <v>18951</v>
      </c>
      <c r="C23532" s="1">
        <v>5.4677550603372399E-3</v>
      </c>
      <c r="D23532" s="1">
        <v>5.5477316574815E-3</v>
      </c>
      <c r="E23532" s="1">
        <v>4.7039555123883497E-3</v>
      </c>
      <c r="F23532" s="1">
        <v>5.4481623895955298E-3</v>
      </c>
    </row>
    <row r="23533" spans="1:6" x14ac:dyDescent="0.25">
      <c r="A23533" s="2" t="str">
        <f t="shared" si="820"/>
        <v>37980</v>
      </c>
      <c r="B23533" s="2" t="str">
        <f>"18910"</f>
        <v>18910</v>
      </c>
      <c r="C23533" s="1">
        <v>0</v>
      </c>
      <c r="D23533" s="1">
        <v>0</v>
      </c>
      <c r="E23533" s="1">
        <v>9.5221771505837001E-6</v>
      </c>
      <c r="F23533" s="1">
        <v>3.2350587195508102E-7</v>
      </c>
    </row>
    <row r="23534" spans="1:6" x14ac:dyDescent="0.25">
      <c r="A23534" s="2" t="str">
        <f t="shared" si="820"/>
        <v>37980</v>
      </c>
      <c r="B23534" s="2" t="str">
        <f>"18920"</f>
        <v>18920</v>
      </c>
      <c r="C23534" s="1">
        <v>8.5023153300759296E-5</v>
      </c>
      <c r="D23534" s="1">
        <v>8.1404719845656599E-6</v>
      </c>
      <c r="E23534" s="1">
        <v>9.5221771505837001E-6</v>
      </c>
      <c r="F23534" s="1">
        <v>7.6347385781399304E-5</v>
      </c>
    </row>
    <row r="23535" spans="1:6" x14ac:dyDescent="0.25">
      <c r="A23535" s="2" t="str">
        <f t="shared" si="820"/>
        <v>37980</v>
      </c>
      <c r="B23535" s="2" t="str">
        <f>"18918"</f>
        <v>18918</v>
      </c>
      <c r="C23535" s="1">
        <v>0</v>
      </c>
      <c r="D23535" s="1">
        <v>0</v>
      </c>
      <c r="E23535" s="1">
        <v>9.5221771505837001E-6</v>
      </c>
      <c r="F23535" s="1">
        <v>3.2350587195508102E-7</v>
      </c>
    </row>
    <row r="23536" spans="1:6" x14ac:dyDescent="0.25">
      <c r="A23536" s="2" t="str">
        <f t="shared" si="820"/>
        <v>37980</v>
      </c>
      <c r="B23536" s="2" t="str">
        <f>"18929"</f>
        <v>18929</v>
      </c>
      <c r="C23536" s="1">
        <v>1.2315585510303099E-3</v>
      </c>
      <c r="D23536" s="1">
        <v>1.2292112696694101E-3</v>
      </c>
      <c r="E23536" s="1">
        <v>3.3327620027042901E-4</v>
      </c>
      <c r="F23536" s="1">
        <v>1.20085379669726E-3</v>
      </c>
    </row>
    <row r="23537" spans="1:6" x14ac:dyDescent="0.25">
      <c r="A23537" s="2" t="str">
        <f t="shared" si="820"/>
        <v>37980</v>
      </c>
      <c r="B23537" s="2" t="str">
        <f>"19041"</f>
        <v>19041</v>
      </c>
      <c r="C23537" s="1">
        <v>1.14617049149221E-3</v>
      </c>
      <c r="D23537" s="1">
        <v>1.1396660778391901E-3</v>
      </c>
      <c r="E23537" s="1">
        <v>1.47593745834047E-3</v>
      </c>
      <c r="F23537" s="1">
        <v>1.15685699811137E-3</v>
      </c>
    </row>
    <row r="23538" spans="1:6" x14ac:dyDescent="0.25">
      <c r="A23538" s="2" t="str">
        <f t="shared" si="820"/>
        <v>37980</v>
      </c>
      <c r="B23538" s="2" t="str">
        <f>"19027"</f>
        <v>19027</v>
      </c>
      <c r="C23538" s="1">
        <v>3.3348781030714098E-3</v>
      </c>
      <c r="D23538" s="1">
        <v>3.58587790920117E-3</v>
      </c>
      <c r="E23538" s="1">
        <v>2.29484469329067E-3</v>
      </c>
      <c r="F23538" s="1">
        <v>3.3194937521310898E-3</v>
      </c>
    </row>
    <row r="23539" spans="1:6" x14ac:dyDescent="0.25">
      <c r="A23539" s="2" t="str">
        <f t="shared" si="820"/>
        <v>37980</v>
      </c>
      <c r="B23539" s="2" t="str">
        <f>"18901"</f>
        <v>18901</v>
      </c>
      <c r="C23539" s="1">
        <v>5.09664541696011E-3</v>
      </c>
      <c r="D23539" s="1">
        <v>8.4172480320408895E-3</v>
      </c>
      <c r="E23539" s="1">
        <v>5.48477403873621E-3</v>
      </c>
      <c r="F23539" s="1">
        <v>5.3737560390458598E-3</v>
      </c>
    </row>
    <row r="23540" spans="1:6" x14ac:dyDescent="0.25">
      <c r="A23540" s="2" t="str">
        <f t="shared" si="820"/>
        <v>37980</v>
      </c>
      <c r="B23540" s="2" t="str">
        <f>"19001"</f>
        <v>19001</v>
      </c>
      <c r="C23540" s="1">
        <v>2.5152986940005701E-3</v>
      </c>
      <c r="D23540" s="1">
        <v>2.6456533949838399E-3</v>
      </c>
      <c r="E23540" s="1">
        <v>2.1805785674836602E-3</v>
      </c>
      <c r="F23540" s="1">
        <v>2.51428763683489E-3</v>
      </c>
    </row>
    <row r="23541" spans="1:6" x14ac:dyDescent="0.25">
      <c r="A23541" s="2" t="str">
        <f t="shared" si="820"/>
        <v>37980</v>
      </c>
      <c r="B23541" s="2" t="str">
        <f>"21922"</f>
        <v>21922</v>
      </c>
      <c r="C23541" s="1">
        <v>0</v>
      </c>
      <c r="D23541" s="1">
        <v>4.0702359922828299E-6</v>
      </c>
      <c r="E23541" s="1">
        <v>0</v>
      </c>
      <c r="F23541" s="1">
        <v>3.2350587195508102E-7</v>
      </c>
    </row>
    <row r="23542" spans="1:6" x14ac:dyDescent="0.25">
      <c r="A23542" s="2" t="str">
        <f t="shared" si="820"/>
        <v>37980</v>
      </c>
      <c r="B23542" s="2" t="str">
        <f>"21913"</f>
        <v>21913</v>
      </c>
      <c r="C23542" s="1">
        <v>1.6566743175341E-4</v>
      </c>
      <c r="D23542" s="1">
        <v>8.1404719845656599E-6</v>
      </c>
      <c r="E23542" s="1">
        <v>1.90443543011674E-5</v>
      </c>
      <c r="F23542" s="1">
        <v>1.4816568935542701E-4</v>
      </c>
    </row>
    <row r="23543" spans="1:6" x14ac:dyDescent="0.25">
      <c r="A23543" s="2" t="str">
        <f t="shared" si="820"/>
        <v>37980</v>
      </c>
      <c r="B23543" s="2" t="str">
        <f>"21917"</f>
        <v>21917</v>
      </c>
      <c r="C23543" s="1">
        <v>3.4848545666191E-4</v>
      </c>
      <c r="D23543" s="1">
        <v>1.09896371791636E-4</v>
      </c>
      <c r="E23543" s="1">
        <v>1.4283265725875501E-4</v>
      </c>
      <c r="F23543" s="1">
        <v>3.22535354339216E-4</v>
      </c>
    </row>
    <row r="23544" spans="1:6" x14ac:dyDescent="0.25">
      <c r="A23544" s="2" t="str">
        <f t="shared" si="820"/>
        <v>37980</v>
      </c>
      <c r="B23544" s="2" t="str">
        <f>"21904"</f>
        <v>21904</v>
      </c>
      <c r="C23544" s="1">
        <v>1.20783964560306E-3</v>
      </c>
      <c r="D23544" s="1">
        <v>3.82602183274586E-4</v>
      </c>
      <c r="E23544" s="1">
        <v>5.1419756613152001E-4</v>
      </c>
      <c r="F23544" s="1">
        <v>1.11868330522067E-3</v>
      </c>
    </row>
    <row r="23545" spans="1:6" x14ac:dyDescent="0.25">
      <c r="A23545" s="2" t="str">
        <f t="shared" si="820"/>
        <v>37980</v>
      </c>
      <c r="B23545" s="2" t="str">
        <f>"08641"</f>
        <v>08641</v>
      </c>
      <c r="C23545" s="1">
        <v>5.2291063811153705E-4</v>
      </c>
      <c r="D23545" s="1">
        <v>1.5873920369903E-4</v>
      </c>
      <c r="E23545" s="1">
        <v>1.67590317850273E-3</v>
      </c>
      <c r="F23545" s="1">
        <v>5.3313767698197399E-4</v>
      </c>
    </row>
    <row r="23546" spans="1:6" x14ac:dyDescent="0.25">
      <c r="A23546" s="2" t="str">
        <f t="shared" si="820"/>
        <v>37980</v>
      </c>
      <c r="B23546" s="2" t="str">
        <f>"08562"</f>
        <v>08562</v>
      </c>
      <c r="C23546" s="1">
        <v>1.2749823932740401E-3</v>
      </c>
      <c r="D23546" s="1">
        <v>7.7741507452602104E-4</v>
      </c>
      <c r="E23546" s="1">
        <v>1.47593745834047E-3</v>
      </c>
      <c r="F23546" s="1">
        <v>1.2422625483075099E-3</v>
      </c>
    </row>
    <row r="23547" spans="1:6" x14ac:dyDescent="0.25">
      <c r="A23547" s="2" t="str">
        <f t="shared" si="820"/>
        <v>37980</v>
      </c>
      <c r="B23547" s="2" t="str">
        <f>"08515"</f>
        <v>08515</v>
      </c>
      <c r="C23547" s="1">
        <v>6.9989016322255905E-4</v>
      </c>
      <c r="D23547" s="1">
        <v>1.75020147668161E-4</v>
      </c>
      <c r="E23547" s="1">
        <v>1.8092136586109E-4</v>
      </c>
      <c r="F23547" s="1">
        <v>6.4054162647106199E-4</v>
      </c>
    </row>
    <row r="23548" spans="1:6" x14ac:dyDescent="0.25">
      <c r="A23548" s="2" t="str">
        <f t="shared" si="820"/>
        <v>37980</v>
      </c>
      <c r="B23548" s="2" t="str">
        <f>"08108"</f>
        <v>08108</v>
      </c>
      <c r="C23548" s="1">
        <v>3.4823002229577098E-3</v>
      </c>
      <c r="D23548" s="1">
        <v>3.4027172895484399E-3</v>
      </c>
      <c r="E23548" s="1">
        <v>3.9612256946428203E-3</v>
      </c>
      <c r="F23548" s="1">
        <v>3.4922458877551001E-3</v>
      </c>
    </row>
    <row r="23549" spans="1:6" x14ac:dyDescent="0.25">
      <c r="A23549" s="2" t="str">
        <f t="shared" si="820"/>
        <v>37980</v>
      </c>
      <c r="B23549" s="2" t="str">
        <f>"08343"</f>
        <v>08343</v>
      </c>
      <c r="C23549" s="1">
        <v>6.6266972701364303E-4</v>
      </c>
      <c r="D23549" s="1">
        <v>2.1979274358327201E-4</v>
      </c>
      <c r="E23549" s="1">
        <v>8.5699594355253294E-5</v>
      </c>
      <c r="F23549" s="1">
        <v>6.0786753340359798E-4</v>
      </c>
    </row>
    <row r="23550" spans="1:6" x14ac:dyDescent="0.25">
      <c r="A23550" s="2" t="str">
        <f t="shared" si="820"/>
        <v>37980</v>
      </c>
      <c r="B23550" s="2" t="str">
        <f>"08098"</f>
        <v>08098</v>
      </c>
      <c r="C23550" s="1">
        <v>1.4348113252299799E-3</v>
      </c>
      <c r="D23550" s="1">
        <v>1.00127805410157E-3</v>
      </c>
      <c r="E23550" s="1">
        <v>8.0938505779961495E-4</v>
      </c>
      <c r="F23550" s="1">
        <v>1.3791055321445099E-3</v>
      </c>
    </row>
    <row r="23551" spans="1:6" x14ac:dyDescent="0.25">
      <c r="A23551" s="2" t="str">
        <f t="shared" si="820"/>
        <v>37980</v>
      </c>
      <c r="B23551" s="2" t="str">
        <f>"08097"</f>
        <v>08097</v>
      </c>
      <c r="C23551" s="1">
        <v>4.4992939064307399E-4</v>
      </c>
      <c r="D23551" s="1">
        <v>7.7741507452602104E-4</v>
      </c>
      <c r="E23551" s="1">
        <v>4.7610885752918502E-4</v>
      </c>
      <c r="F23551" s="1">
        <v>4.7684765526179E-4</v>
      </c>
    </row>
    <row r="23552" spans="1:6" x14ac:dyDescent="0.25">
      <c r="A23552" s="2" t="str">
        <f t="shared" si="820"/>
        <v>37980</v>
      </c>
      <c r="B23552" s="2" t="str">
        <f>"08104"</f>
        <v>08104</v>
      </c>
      <c r="C23552" s="1">
        <v>3.7753199315435802E-3</v>
      </c>
      <c r="D23552" s="1">
        <v>2.3892285274700201E-3</v>
      </c>
      <c r="E23552" s="1">
        <v>1.24740520672646E-3</v>
      </c>
      <c r="F23552" s="1">
        <v>3.5792689673110199E-3</v>
      </c>
    </row>
    <row r="23553" spans="1:6" x14ac:dyDescent="0.25">
      <c r="A23553" s="2" t="str">
        <f t="shared" si="820"/>
        <v>37980</v>
      </c>
      <c r="B23553" s="2" t="str">
        <f>"08073"</f>
        <v>08073</v>
      </c>
      <c r="C23553" s="1">
        <v>1.77344431348365E-4</v>
      </c>
      <c r="D23553" s="1">
        <v>4.5993666712796001E-4</v>
      </c>
      <c r="E23553" s="1">
        <v>1.90443543011674E-5</v>
      </c>
      <c r="F23553" s="1">
        <v>1.9442702904500401E-4</v>
      </c>
    </row>
    <row r="23554" spans="1:6" x14ac:dyDescent="0.25">
      <c r="A23554" s="2" t="str">
        <f t="shared" si="820"/>
        <v>37980</v>
      </c>
      <c r="B23554" s="2" t="str">
        <f>"08072"</f>
        <v>08072</v>
      </c>
      <c r="C23554" s="1">
        <v>0</v>
      </c>
      <c r="D23554" s="1">
        <v>0</v>
      </c>
      <c r="E23554" s="1">
        <v>9.5221771505837001E-6</v>
      </c>
      <c r="F23554" s="1">
        <v>3.2350587195508102E-7</v>
      </c>
    </row>
    <row r="23555" spans="1:6" x14ac:dyDescent="0.25">
      <c r="A23555" s="2" t="str">
        <f t="shared" si="820"/>
        <v>37980</v>
      </c>
      <c r="B23555" s="2" t="str">
        <f>"08064"</f>
        <v>08064</v>
      </c>
      <c r="C23555" s="1">
        <v>0</v>
      </c>
      <c r="D23555" s="1">
        <v>0</v>
      </c>
      <c r="E23555" s="1">
        <v>9.5221771505837001E-6</v>
      </c>
      <c r="F23555" s="1">
        <v>3.2350587195508102E-7</v>
      </c>
    </row>
    <row r="23556" spans="1:6" x14ac:dyDescent="0.25">
      <c r="A23556" s="2" t="str">
        <f t="shared" si="820"/>
        <v>37980</v>
      </c>
      <c r="B23556" s="2" t="str">
        <f>"08075"</f>
        <v>08075</v>
      </c>
      <c r="C23556" s="1">
        <v>4.3945658163134903E-3</v>
      </c>
      <c r="D23556" s="1">
        <v>2.8817270825362402E-3</v>
      </c>
      <c r="E23556" s="1">
        <v>2.65668742501285E-3</v>
      </c>
      <c r="F23556" s="1">
        <v>4.2152815115747101E-3</v>
      </c>
    </row>
    <row r="23557" spans="1:6" x14ac:dyDescent="0.25">
      <c r="A23557" s="2" t="str">
        <f t="shared" si="820"/>
        <v>37980</v>
      </c>
      <c r="B23557" s="2" t="str">
        <f>"08069"</f>
        <v>08069</v>
      </c>
      <c r="C23557" s="1">
        <v>2.3901358545921599E-3</v>
      </c>
      <c r="D23557" s="1">
        <v>1.8763787924423801E-3</v>
      </c>
      <c r="E23557" s="1">
        <v>1.33310480108171E-3</v>
      </c>
      <c r="F23557" s="1">
        <v>2.3133904903507902E-3</v>
      </c>
    </row>
    <row r="23558" spans="1:6" x14ac:dyDescent="0.25">
      <c r="A23558" s="2" t="str">
        <f t="shared" si="820"/>
        <v>37980</v>
      </c>
      <c r="B23558" s="2" t="str">
        <f>"08066"</f>
        <v>08066</v>
      </c>
      <c r="C23558" s="1">
        <v>1.3808052021033099E-3</v>
      </c>
      <c r="D23558" s="1">
        <v>1.63623486889769E-3</v>
      </c>
      <c r="E23558" s="1">
        <v>1.5711592298463101E-3</v>
      </c>
      <c r="F23558" s="1">
        <v>1.4075740488765599E-3</v>
      </c>
    </row>
    <row r="23559" spans="1:6" x14ac:dyDescent="0.25">
      <c r="A23559" s="2" t="str">
        <f t="shared" si="820"/>
        <v>37980</v>
      </c>
      <c r="B23559" s="2" t="str">
        <f>"08041"</f>
        <v>08041</v>
      </c>
      <c r="C23559" s="1">
        <v>1.25527745645756E-4</v>
      </c>
      <c r="D23559" s="1">
        <v>6.5123775876525306E-5</v>
      </c>
      <c r="E23559" s="1">
        <v>2.85665314517511E-5</v>
      </c>
      <c r="F23559" s="1">
        <v>1.17432631519694E-4</v>
      </c>
    </row>
    <row r="23560" spans="1:6" x14ac:dyDescent="0.25">
      <c r="A23560" s="2" t="str">
        <f t="shared" si="820"/>
        <v>37980</v>
      </c>
      <c r="B23560" s="2" t="str">
        <f>"08037"</f>
        <v>08037</v>
      </c>
      <c r="C23560" s="1">
        <v>6.58655758402878E-4</v>
      </c>
      <c r="D23560" s="1">
        <v>5.8611398288872698E-4</v>
      </c>
      <c r="E23560" s="1">
        <v>4.18975794625683E-4</v>
      </c>
      <c r="F23560" s="1">
        <v>6.4474720280647798E-4</v>
      </c>
    </row>
    <row r="23561" spans="1:6" x14ac:dyDescent="0.25">
      <c r="A23561" s="2" t="str">
        <f t="shared" si="820"/>
        <v>37980</v>
      </c>
      <c r="B23561" s="2" t="str">
        <f>"08055"</f>
        <v>08055</v>
      </c>
      <c r="C23561" s="1">
        <v>4.3540612239685002E-3</v>
      </c>
      <c r="D23561" s="1">
        <v>5.2668853740139802E-3</v>
      </c>
      <c r="E23561" s="1">
        <v>1.5711592298463101E-3</v>
      </c>
      <c r="F23561" s="1">
        <v>4.3320671313505001E-3</v>
      </c>
    </row>
    <row r="23562" spans="1:6" x14ac:dyDescent="0.25">
      <c r="A23562" s="2" t="str">
        <f t="shared" si="820"/>
        <v>37980</v>
      </c>
      <c r="B23562" s="2" t="str">
        <f>"08027"</f>
        <v>08027</v>
      </c>
      <c r="C23562" s="1">
        <v>7.5572081753593401E-4</v>
      </c>
      <c r="D23562" s="1">
        <v>4.5586643113567699E-4</v>
      </c>
      <c r="E23562" s="1">
        <v>5.2371974328210402E-4</v>
      </c>
      <c r="F23562" s="1">
        <v>7.2400614143547305E-4</v>
      </c>
    </row>
    <row r="23563" spans="1:6" x14ac:dyDescent="0.25">
      <c r="A23563" s="2" t="str">
        <f t="shared" si="820"/>
        <v>37980</v>
      </c>
      <c r="B23563" s="2" t="str">
        <f>"19884"</f>
        <v>19884</v>
      </c>
      <c r="C23563" s="1">
        <v>0</v>
      </c>
      <c r="D23563" s="1">
        <v>4.4772595915111098E-5</v>
      </c>
      <c r="E23563" s="1">
        <v>3.8088708602334801E-5</v>
      </c>
      <c r="F23563" s="1">
        <v>4.8525880793262199E-6</v>
      </c>
    </row>
    <row r="23564" spans="1:6" x14ac:dyDescent="0.25">
      <c r="A23564" s="2" t="str">
        <f t="shared" si="820"/>
        <v>37980</v>
      </c>
      <c r="B23564" s="2" t="str">
        <f>"19810"</f>
        <v>19810</v>
      </c>
      <c r="C23564" s="1">
        <v>3.9566783315027202E-3</v>
      </c>
      <c r="D23564" s="1">
        <v>3.0811686461581001E-3</v>
      </c>
      <c r="E23564" s="1">
        <v>3.6469938486735601E-3</v>
      </c>
      <c r="F23564" s="1">
        <v>3.8765708636377401E-3</v>
      </c>
    </row>
    <row r="23565" spans="1:6" x14ac:dyDescent="0.25">
      <c r="A23565" s="2" t="str">
        <f t="shared" si="820"/>
        <v>37980</v>
      </c>
      <c r="B23565" s="2" t="str">
        <f>"19809"</f>
        <v>19809</v>
      </c>
      <c r="C23565" s="1">
        <v>2.6875344380261402E-3</v>
      </c>
      <c r="D23565" s="1">
        <v>3.1910650179497401E-3</v>
      </c>
      <c r="E23565" s="1">
        <v>3.7326934430288099E-3</v>
      </c>
      <c r="F23565" s="1">
        <v>2.7630636523683499E-3</v>
      </c>
    </row>
    <row r="23566" spans="1:6" x14ac:dyDescent="0.25">
      <c r="A23566" s="2" t="str">
        <f t="shared" si="820"/>
        <v>37980</v>
      </c>
      <c r="B23566" s="2" t="str">
        <f>"19730"</f>
        <v>19730</v>
      </c>
      <c r="C23566" s="1">
        <v>6.4223497772247396E-5</v>
      </c>
      <c r="D23566" s="1">
        <v>1.2210707976848399E-5</v>
      </c>
      <c r="E23566" s="1">
        <v>1.90443543011674E-5</v>
      </c>
      <c r="F23566" s="1">
        <v>5.8554562823869801E-5</v>
      </c>
    </row>
    <row r="23567" spans="1:6" x14ac:dyDescent="0.25">
      <c r="A23567" s="2" t="str">
        <f t="shared" si="820"/>
        <v>37980</v>
      </c>
      <c r="B23567" s="2" t="str">
        <f>"19721"</f>
        <v>19721</v>
      </c>
      <c r="C23567" s="1">
        <v>0</v>
      </c>
      <c r="D23567" s="1">
        <v>0</v>
      </c>
      <c r="E23567" s="1">
        <v>9.5221771505837001E-6</v>
      </c>
      <c r="F23567" s="1">
        <v>3.2350587195508102E-7</v>
      </c>
    </row>
    <row r="23568" spans="1:6" x14ac:dyDescent="0.25">
      <c r="A23568" s="2" t="str">
        <f t="shared" si="820"/>
        <v>37980</v>
      </c>
      <c r="B23568" s="2" t="str">
        <f>"19720"</f>
        <v>19720</v>
      </c>
      <c r="C23568" s="1">
        <v>9.2281138361498E-3</v>
      </c>
      <c r="D23568" s="1">
        <v>9.2801380624048507E-3</v>
      </c>
      <c r="E23568" s="1">
        <v>8.8175360414405098E-3</v>
      </c>
      <c r="F23568" s="1">
        <v>9.2182998213600504E-3</v>
      </c>
    </row>
    <row r="23569" spans="1:6" x14ac:dyDescent="0.25">
      <c r="A23569" s="2" t="str">
        <f t="shared" si="820"/>
        <v>37980</v>
      </c>
      <c r="B23569" s="2" t="str">
        <f>"19474"</f>
        <v>19474</v>
      </c>
      <c r="C23569" s="1">
        <v>3.51404706560649E-4</v>
      </c>
      <c r="D23569" s="1">
        <v>1.1193148978777699E-3</v>
      </c>
      <c r="E23569" s="1">
        <v>1.90443543011674E-5</v>
      </c>
      <c r="F23569" s="1">
        <v>4.0114728122430098E-4</v>
      </c>
    </row>
    <row r="23570" spans="1:6" x14ac:dyDescent="0.25">
      <c r="A23570" s="2" t="str">
        <f t="shared" si="820"/>
        <v>37980</v>
      </c>
      <c r="B23570" s="2" t="str">
        <f>"19512"</f>
        <v>19512</v>
      </c>
      <c r="C23570" s="1">
        <v>2.3062074200034299E-4</v>
      </c>
      <c r="D23570" s="1">
        <v>2.5235463152153498E-4</v>
      </c>
      <c r="E23570" s="1">
        <v>3.1423184596926198E-4</v>
      </c>
      <c r="F23570" s="1">
        <v>2.3518876891134399E-4</v>
      </c>
    </row>
    <row r="23571" spans="1:6" x14ac:dyDescent="0.25">
      <c r="A23571" s="2" t="str">
        <f t="shared" si="820"/>
        <v>37980</v>
      </c>
      <c r="B23571" s="2" t="str">
        <f>"19450"</f>
        <v>19450</v>
      </c>
      <c r="C23571" s="1">
        <v>1.3866437019007899E-4</v>
      </c>
      <c r="D23571" s="1">
        <v>2.32003451560121E-4</v>
      </c>
      <c r="E23571" s="1">
        <v>1.90443543011674E-5</v>
      </c>
      <c r="F23571" s="1">
        <v>1.4201907778828001E-4</v>
      </c>
    </row>
    <row r="23572" spans="1:6" x14ac:dyDescent="0.25">
      <c r="A23572" s="2" t="str">
        <f t="shared" si="820"/>
        <v>37980</v>
      </c>
      <c r="B23572" s="2" t="str">
        <f>"19464"</f>
        <v>19464</v>
      </c>
      <c r="C23572" s="1">
        <v>7.8206704787204904E-3</v>
      </c>
      <c r="D23572" s="1">
        <v>8.5963384157013399E-3</v>
      </c>
      <c r="E23572" s="1">
        <v>1.20265097411872E-2</v>
      </c>
      <c r="F23572" s="1">
        <v>8.02521016558971E-3</v>
      </c>
    </row>
    <row r="23573" spans="1:6" x14ac:dyDescent="0.25">
      <c r="A23573" s="2" t="str">
        <f t="shared" si="820"/>
        <v>37980</v>
      </c>
      <c r="B23573" s="2" t="str">
        <f>"19317"</f>
        <v>19317</v>
      </c>
      <c r="C23573" s="1">
        <v>1.8781724036008899E-3</v>
      </c>
      <c r="D23573" s="1">
        <v>3.40678752554073E-3</v>
      </c>
      <c r="E23573" s="1">
        <v>1.2854939153287999E-3</v>
      </c>
      <c r="F23573" s="1">
        <v>1.9795324304931398E-3</v>
      </c>
    </row>
    <row r="23574" spans="1:6" x14ac:dyDescent="0.25">
      <c r="A23574" s="2" t="str">
        <f t="shared" si="820"/>
        <v>37980</v>
      </c>
      <c r="B23574" s="2" t="str">
        <f>"19312"</f>
        <v>19312</v>
      </c>
      <c r="C23574" s="1">
        <v>1.66068828614487E-3</v>
      </c>
      <c r="D23574" s="1">
        <v>2.3322452235780599E-3</v>
      </c>
      <c r="E23574" s="1">
        <v>1.42832657258755E-3</v>
      </c>
      <c r="F23574" s="1">
        <v>1.7061699686911E-3</v>
      </c>
    </row>
    <row r="23575" spans="1:6" x14ac:dyDescent="0.25">
      <c r="A23575" s="2" t="str">
        <f t="shared" si="820"/>
        <v>37980</v>
      </c>
      <c r="B23575" s="2" t="str">
        <f>"19371"</f>
        <v>19371</v>
      </c>
      <c r="C23575" s="1">
        <v>0</v>
      </c>
      <c r="D23575" s="1">
        <v>0</v>
      </c>
      <c r="E23575" s="1">
        <v>9.5221771505837001E-6</v>
      </c>
      <c r="F23575" s="1">
        <v>3.2350587195508102E-7</v>
      </c>
    </row>
    <row r="23576" spans="1:6" x14ac:dyDescent="0.25">
      <c r="A23576" s="2" t="str">
        <f t="shared" si="820"/>
        <v>37980</v>
      </c>
      <c r="B23576" s="2" t="str">
        <f>"19408"</f>
        <v>19408</v>
      </c>
      <c r="C23576" s="1">
        <v>1.57274588294537E-4</v>
      </c>
      <c r="D23576" s="1">
        <v>4.68077139112525E-4</v>
      </c>
      <c r="E23576" s="1">
        <v>9.5221771505837001E-6</v>
      </c>
      <c r="F23576" s="1">
        <v>1.7695771195942901E-4</v>
      </c>
    </row>
    <row r="23577" spans="1:6" x14ac:dyDescent="0.25">
      <c r="A23577" s="2" t="str">
        <f t="shared" si="820"/>
        <v>37980</v>
      </c>
      <c r="B23577" s="2" t="str">
        <f>"19407"</f>
        <v>19407</v>
      </c>
      <c r="C23577" s="1">
        <v>6.6777841433643601E-5</v>
      </c>
      <c r="D23577" s="1">
        <v>2.5642486751381799E-4</v>
      </c>
      <c r="E23577" s="1">
        <v>1.90443543011674E-5</v>
      </c>
      <c r="F23577" s="1">
        <v>8.0229456244860299E-5</v>
      </c>
    </row>
    <row r="23578" spans="1:6" x14ac:dyDescent="0.25">
      <c r="A23578" s="2" t="str">
        <f t="shared" si="820"/>
        <v>37980</v>
      </c>
      <c r="B23578" s="2" t="str">
        <f>"19421"</f>
        <v>19421</v>
      </c>
      <c r="C23578" s="1">
        <v>7.2981247468462901E-7</v>
      </c>
      <c r="D23578" s="1">
        <v>1.2210707976848399E-5</v>
      </c>
      <c r="E23578" s="1">
        <v>0</v>
      </c>
      <c r="F23578" s="1">
        <v>1.6175293597754001E-6</v>
      </c>
    </row>
    <row r="23579" spans="1:6" x14ac:dyDescent="0.25">
      <c r="A23579" s="2" t="str">
        <f t="shared" si="820"/>
        <v>37980</v>
      </c>
      <c r="B23579" s="2" t="str">
        <f>"19401"</f>
        <v>19401</v>
      </c>
      <c r="C23579" s="1">
        <v>6.67924376831373E-3</v>
      </c>
      <c r="D23579" s="1">
        <v>6.7565917471894997E-3</v>
      </c>
      <c r="E23579" s="1">
        <v>1.1845588375326101E-2</v>
      </c>
      <c r="F23579" s="1">
        <v>6.8609125324233704E-3</v>
      </c>
    </row>
    <row r="23580" spans="1:6" x14ac:dyDescent="0.25">
      <c r="A23580" s="2" t="str">
        <f t="shared" ref="A23580:A23621" si="821">"37980"</f>
        <v>37980</v>
      </c>
      <c r="B23580" s="2" t="str">
        <f>"19345"</f>
        <v>19345</v>
      </c>
      <c r="C23580" s="1">
        <v>0</v>
      </c>
      <c r="D23580" s="1">
        <v>4.0702359922828299E-6</v>
      </c>
      <c r="E23580" s="1">
        <v>0</v>
      </c>
      <c r="F23580" s="1">
        <v>3.2350587195508102E-7</v>
      </c>
    </row>
    <row r="23581" spans="1:6" x14ac:dyDescent="0.25">
      <c r="A23581" s="2" t="str">
        <f t="shared" si="821"/>
        <v>37980</v>
      </c>
      <c r="B23581" s="2" t="str">
        <f>"19355"</f>
        <v>19355</v>
      </c>
      <c r="C23581" s="1">
        <v>4.7379425856526099E-3</v>
      </c>
      <c r="D23581" s="1">
        <v>7.1880367623714803E-3</v>
      </c>
      <c r="E23581" s="1">
        <v>4.1897579462568304E-3</v>
      </c>
      <c r="F23581" s="1">
        <v>4.91405419499769E-3</v>
      </c>
    </row>
    <row r="23582" spans="1:6" x14ac:dyDescent="0.25">
      <c r="A23582" s="2" t="str">
        <f t="shared" si="821"/>
        <v>37980</v>
      </c>
      <c r="B23582" s="2" t="str">
        <f>"19348"</f>
        <v>19348</v>
      </c>
      <c r="C23582" s="1">
        <v>3.41077860043861E-3</v>
      </c>
      <c r="D23582" s="1">
        <v>3.6672826290468298E-3</v>
      </c>
      <c r="E23582" s="1">
        <v>3.4279837742101299E-3</v>
      </c>
      <c r="F23582" s="1">
        <v>3.4317502896995E-3</v>
      </c>
    </row>
    <row r="23583" spans="1:6" x14ac:dyDescent="0.25">
      <c r="A23583" s="2" t="str">
        <f t="shared" si="821"/>
        <v>37980</v>
      </c>
      <c r="B23583" s="2" t="str">
        <f>"19101"</f>
        <v>19101</v>
      </c>
      <c r="C23583" s="1">
        <v>9.5495962312483799E-4</v>
      </c>
      <c r="D23583" s="1">
        <v>2.1287334239639198E-3</v>
      </c>
      <c r="E23583" s="1">
        <v>9.5221771505837001E-6</v>
      </c>
      <c r="F23583" s="1">
        <v>1.01613194381091E-3</v>
      </c>
    </row>
    <row r="23584" spans="1:6" x14ac:dyDescent="0.25">
      <c r="A23584" s="2" t="str">
        <f t="shared" si="821"/>
        <v>37980</v>
      </c>
      <c r="B23584" s="2" t="str">
        <f>"19085"</f>
        <v>19085</v>
      </c>
      <c r="C23584" s="1">
        <v>7.8199406662458003E-4</v>
      </c>
      <c r="D23584" s="1">
        <v>3.41899823351757E-4</v>
      </c>
      <c r="E23584" s="1">
        <v>1.5235483440933901E-4</v>
      </c>
      <c r="F23584" s="1">
        <v>7.2562367079524802E-4</v>
      </c>
    </row>
    <row r="23585" spans="1:6" x14ac:dyDescent="0.25">
      <c r="A23585" s="2" t="str">
        <f t="shared" si="821"/>
        <v>37980</v>
      </c>
      <c r="B23585" s="2" t="str">
        <f>"19130"</f>
        <v>19130</v>
      </c>
      <c r="C23585" s="1">
        <v>6.6766894246523302E-3</v>
      </c>
      <c r="D23585" s="1">
        <v>4.0417443403368497E-3</v>
      </c>
      <c r="E23585" s="1">
        <v>2.20533622807518E-2</v>
      </c>
      <c r="F23585" s="1">
        <v>6.9896678694614904E-3</v>
      </c>
    </row>
    <row r="23586" spans="1:6" x14ac:dyDescent="0.25">
      <c r="A23586" s="2" t="str">
        <f t="shared" si="821"/>
        <v>37980</v>
      </c>
      <c r="B23586" s="2" t="str">
        <f>"19115"</f>
        <v>19115</v>
      </c>
      <c r="C23586" s="1">
        <v>5.7881427367237901E-3</v>
      </c>
      <c r="D23586" s="1">
        <v>4.1638514201053304E-3</v>
      </c>
      <c r="E23586" s="1">
        <v>3.5612942543182999E-3</v>
      </c>
      <c r="F23586" s="1">
        <v>5.5833878440727496E-3</v>
      </c>
    </row>
    <row r="23587" spans="1:6" x14ac:dyDescent="0.25">
      <c r="A23587" s="2" t="str">
        <f t="shared" si="821"/>
        <v>37980</v>
      </c>
      <c r="B23587" s="2" t="str">
        <f>"19124"</f>
        <v>19124</v>
      </c>
      <c r="C23587" s="1">
        <v>9.3372208011151502E-3</v>
      </c>
      <c r="D23587" s="1">
        <v>8.9504489470299403E-3</v>
      </c>
      <c r="E23587" s="1">
        <v>9.7983202879506296E-3</v>
      </c>
      <c r="F23587" s="1">
        <v>9.3221452062576295E-3</v>
      </c>
    </row>
    <row r="23588" spans="1:6" x14ac:dyDescent="0.25">
      <c r="A23588" s="2" t="str">
        <f t="shared" si="821"/>
        <v>37980</v>
      </c>
      <c r="B23588" s="2" t="str">
        <f>"19054"</f>
        <v>19054</v>
      </c>
      <c r="C23588" s="1">
        <v>2.42078797852891E-3</v>
      </c>
      <c r="D23588" s="1">
        <v>8.7917097433309096E-4</v>
      </c>
      <c r="E23588" s="1">
        <v>4.2849797177626602E-4</v>
      </c>
      <c r="F23588" s="1">
        <v>2.23057298713028E-3</v>
      </c>
    </row>
    <row r="23589" spans="1:6" x14ac:dyDescent="0.25">
      <c r="A23589" s="2" t="str">
        <f t="shared" si="821"/>
        <v>37980</v>
      </c>
      <c r="B23589" s="2" t="str">
        <f>"18958"</f>
        <v>18958</v>
      </c>
      <c r="C23589" s="1">
        <v>0</v>
      </c>
      <c r="D23589" s="1">
        <v>0</v>
      </c>
      <c r="E23589" s="1">
        <v>9.5221771505837001E-6</v>
      </c>
      <c r="F23589" s="1">
        <v>3.2350587195508102E-7</v>
      </c>
    </row>
    <row r="23590" spans="1:6" x14ac:dyDescent="0.25">
      <c r="A23590" s="2" t="str">
        <f t="shared" si="821"/>
        <v>37980</v>
      </c>
      <c r="B23590" s="2" t="str">
        <f>"18962"</f>
        <v>18962</v>
      </c>
      <c r="C23590" s="1">
        <v>1.5034136978503299E-4</v>
      </c>
      <c r="D23590" s="1">
        <v>2.8491651945979801E-4</v>
      </c>
      <c r="E23590" s="1">
        <v>1.90443543011674E-5</v>
      </c>
      <c r="F23590" s="1">
        <v>1.5657684202625901E-4</v>
      </c>
    </row>
    <row r="23591" spans="1:6" x14ac:dyDescent="0.25">
      <c r="A23591" s="2" t="str">
        <f t="shared" si="821"/>
        <v>37980</v>
      </c>
      <c r="B23591" s="2" t="str">
        <f>"18932"</f>
        <v>18932</v>
      </c>
      <c r="C23591" s="1">
        <v>8.7942403199497803E-5</v>
      </c>
      <c r="D23591" s="1">
        <v>4.8842831907393902E-5</v>
      </c>
      <c r="E23591" s="1">
        <v>5.7133062903502201E-5</v>
      </c>
      <c r="F23591" s="1">
        <v>8.3788020836366207E-5</v>
      </c>
    </row>
    <row r="23592" spans="1:6" x14ac:dyDescent="0.25">
      <c r="A23592" s="2" t="str">
        <f t="shared" si="821"/>
        <v>37980</v>
      </c>
      <c r="B23592" s="2" t="str">
        <f>"18938"</f>
        <v>18938</v>
      </c>
      <c r="C23592" s="1">
        <v>2.4565487897884601E-3</v>
      </c>
      <c r="D23592" s="1">
        <v>2.9061484984899402E-3</v>
      </c>
      <c r="E23592" s="1">
        <v>2.1329676817307499E-3</v>
      </c>
      <c r="F23592" s="1">
        <v>2.4812900378954699E-3</v>
      </c>
    </row>
    <row r="23593" spans="1:6" x14ac:dyDescent="0.25">
      <c r="A23593" s="2" t="str">
        <f t="shared" si="821"/>
        <v>37980</v>
      </c>
      <c r="B23593" s="2" t="str">
        <f>"18925"</f>
        <v>18925</v>
      </c>
      <c r="C23593" s="1">
        <v>8.1447072174804596E-4</v>
      </c>
      <c r="D23593" s="1">
        <v>2.68635575490666E-4</v>
      </c>
      <c r="E23593" s="1">
        <v>1.99965720162257E-4</v>
      </c>
      <c r="F23593" s="1">
        <v>7.5021011706383396E-4</v>
      </c>
    </row>
    <row r="23594" spans="1:6" x14ac:dyDescent="0.25">
      <c r="A23594" s="2" t="str">
        <f t="shared" si="821"/>
        <v>37980</v>
      </c>
      <c r="B23594" s="2" t="str">
        <f>"18915"</f>
        <v>18915</v>
      </c>
      <c r="C23594" s="1">
        <v>2.16389398743992E-4</v>
      </c>
      <c r="D23594" s="1">
        <v>7.9776625448743502E-4</v>
      </c>
      <c r="E23594" s="1">
        <v>4.2849797177626602E-4</v>
      </c>
      <c r="F23594" s="1">
        <v>2.6980389721053801E-4</v>
      </c>
    </row>
    <row r="23595" spans="1:6" x14ac:dyDescent="0.25">
      <c r="A23595" s="2" t="str">
        <f t="shared" si="821"/>
        <v>37980</v>
      </c>
      <c r="B23595" s="2" t="str">
        <f>"19038"</f>
        <v>19038</v>
      </c>
      <c r="C23595" s="1">
        <v>4.6759085253044201E-3</v>
      </c>
      <c r="D23595" s="1">
        <v>4.8191594148628697E-3</v>
      </c>
      <c r="E23595" s="1">
        <v>4.4373345521720002E-3</v>
      </c>
      <c r="F23595" s="1">
        <v>4.6791889319583004E-3</v>
      </c>
    </row>
    <row r="23596" spans="1:6" x14ac:dyDescent="0.25">
      <c r="A23596" s="2" t="str">
        <f t="shared" si="821"/>
        <v>37980</v>
      </c>
      <c r="B23596" s="2" t="str">
        <f>"19009"</f>
        <v>19009</v>
      </c>
      <c r="C23596" s="1">
        <v>1.8829161846863399E-4</v>
      </c>
      <c r="D23596" s="1">
        <v>3.66321239305454E-4</v>
      </c>
      <c r="E23596" s="1">
        <v>1.1521834352206199E-3</v>
      </c>
      <c r="F23596" s="1">
        <v>2.3518876891134399E-4</v>
      </c>
    </row>
    <row r="23597" spans="1:6" x14ac:dyDescent="0.25">
      <c r="A23597" s="2" t="str">
        <f t="shared" si="821"/>
        <v>37980</v>
      </c>
      <c r="B23597" s="2" t="str">
        <f>"19013"</f>
        <v>19013</v>
      </c>
      <c r="C23597" s="1">
        <v>5.7370558634958699E-3</v>
      </c>
      <c r="D23597" s="1">
        <v>5.0063902705078803E-3</v>
      </c>
      <c r="E23597" s="1">
        <v>9.1412900645603604E-3</v>
      </c>
      <c r="F23597" s="1">
        <v>5.79463717845942E-3</v>
      </c>
    </row>
    <row r="23598" spans="1:6" x14ac:dyDescent="0.25">
      <c r="A23598" s="2" t="str">
        <f t="shared" si="821"/>
        <v>37980</v>
      </c>
      <c r="B23598" s="2" t="str">
        <f>"19007"</f>
        <v>19007</v>
      </c>
      <c r="C23598" s="1">
        <v>3.6060034374167499E-3</v>
      </c>
      <c r="D23598" s="1">
        <v>5.9425445487329299E-3</v>
      </c>
      <c r="E23598" s="1">
        <v>5.5799958102420496E-3</v>
      </c>
      <c r="F23598" s="1">
        <v>3.8587780406802098E-3</v>
      </c>
    </row>
    <row r="23599" spans="1:6" x14ac:dyDescent="0.25">
      <c r="A23599" s="2" t="str">
        <f t="shared" si="821"/>
        <v>37980</v>
      </c>
      <c r="B23599" s="2" t="str">
        <f>"19022"</f>
        <v>19022</v>
      </c>
      <c r="C23599" s="1">
        <v>6.2508438456738502E-4</v>
      </c>
      <c r="D23599" s="1">
        <v>9.2394357024820205E-4</v>
      </c>
      <c r="E23599" s="1">
        <v>2.1329676817307499E-3</v>
      </c>
      <c r="F23599" s="1">
        <v>7.0006670691079699E-4</v>
      </c>
    </row>
    <row r="23600" spans="1:6" x14ac:dyDescent="0.25">
      <c r="A23600" s="2" t="str">
        <f t="shared" si="821"/>
        <v>37980</v>
      </c>
      <c r="B23600" s="2" t="str">
        <f>"19004"</f>
        <v>19004</v>
      </c>
      <c r="C23600" s="1">
        <v>2.1186456140094801E-3</v>
      </c>
      <c r="D23600" s="1">
        <v>8.9870810709604902E-3</v>
      </c>
      <c r="E23600" s="1">
        <v>3.0661410424879499E-3</v>
      </c>
      <c r="F23600" s="1">
        <v>2.69674494861756E-3</v>
      </c>
    </row>
    <row r="23601" spans="1:6" x14ac:dyDescent="0.25">
      <c r="A23601" s="2" t="str">
        <f t="shared" si="821"/>
        <v>37980</v>
      </c>
      <c r="B23601" s="2" t="str">
        <f>"18976"</f>
        <v>18976</v>
      </c>
      <c r="C23601" s="1">
        <v>3.3801264765018599E-3</v>
      </c>
      <c r="D23601" s="1">
        <v>3.0160448702815702E-3</v>
      </c>
      <c r="E23601" s="1">
        <v>1.4092822182863801E-3</v>
      </c>
      <c r="F23601" s="1">
        <v>3.28423161208799E-3</v>
      </c>
    </row>
    <row r="23602" spans="1:6" x14ac:dyDescent="0.25">
      <c r="A23602" s="2" t="str">
        <f t="shared" si="821"/>
        <v>37980</v>
      </c>
      <c r="B23602" s="2" t="str">
        <f>"18084"</f>
        <v>18084</v>
      </c>
      <c r="C23602" s="1">
        <v>0</v>
      </c>
      <c r="D23602" s="1">
        <v>4.0702359922828299E-6</v>
      </c>
      <c r="E23602" s="1">
        <v>0</v>
      </c>
      <c r="F23602" s="1">
        <v>3.2350587195508102E-7</v>
      </c>
    </row>
    <row r="23603" spans="1:6" x14ac:dyDescent="0.25">
      <c r="A23603" s="2" t="str">
        <f t="shared" si="821"/>
        <v>37980</v>
      </c>
      <c r="B23603" s="2" t="str">
        <f>"18073"</f>
        <v>18073</v>
      </c>
      <c r="C23603" s="1">
        <v>1.48042460489777E-3</v>
      </c>
      <c r="D23603" s="1">
        <v>9.4836498620189905E-4</v>
      </c>
      <c r="E23603" s="1">
        <v>8.2842941210078199E-4</v>
      </c>
      <c r="F23603" s="1">
        <v>1.4159852015473899E-3</v>
      </c>
    </row>
    <row r="23604" spans="1:6" x14ac:dyDescent="0.25">
      <c r="A23604" s="2" t="str">
        <f t="shared" si="821"/>
        <v>37980</v>
      </c>
      <c r="B23604" s="2" t="str">
        <f>"21919"</f>
        <v>21919</v>
      </c>
      <c r="C23604" s="1">
        <v>8.4037906459935097E-4</v>
      </c>
      <c r="D23604" s="1">
        <v>6.1053539884242401E-5</v>
      </c>
      <c r="E23604" s="1">
        <v>9.5221771505837001E-6</v>
      </c>
      <c r="F23604" s="1">
        <v>7.5021011706383396E-4</v>
      </c>
    </row>
    <row r="23605" spans="1:6" x14ac:dyDescent="0.25">
      <c r="A23605" s="2" t="str">
        <f t="shared" si="821"/>
        <v>37980</v>
      </c>
      <c r="B23605" s="2" t="str">
        <f>"21915"</f>
        <v>21915</v>
      </c>
      <c r="C23605" s="1">
        <v>6.5719613345350896E-4</v>
      </c>
      <c r="D23605" s="1">
        <v>2.8491651945979801E-4</v>
      </c>
      <c r="E23605" s="1">
        <v>2.5709878306576001E-4</v>
      </c>
      <c r="F23605" s="1">
        <v>6.1401414497074501E-4</v>
      </c>
    </row>
    <row r="23606" spans="1:6" x14ac:dyDescent="0.25">
      <c r="A23606" s="2" t="str">
        <f t="shared" si="821"/>
        <v>37980</v>
      </c>
      <c r="B23606" s="2" t="str">
        <f>"08610"</f>
        <v>08610</v>
      </c>
      <c r="C23606" s="1">
        <v>5.6195560550716399E-5</v>
      </c>
      <c r="D23606" s="1">
        <v>4.0702359922828299E-6</v>
      </c>
      <c r="E23606" s="1">
        <v>0</v>
      </c>
      <c r="F23606" s="1">
        <v>5.0143410153037602E-5</v>
      </c>
    </row>
    <row r="23607" spans="1:6" x14ac:dyDescent="0.25">
      <c r="A23607" s="2" t="str">
        <f t="shared" si="821"/>
        <v>37980</v>
      </c>
      <c r="B23607" s="2" t="str">
        <f>"08518"</f>
        <v>08518</v>
      </c>
      <c r="C23607" s="1">
        <v>9.5532452936217998E-4</v>
      </c>
      <c r="D23607" s="1">
        <v>3.2968911537490899E-4</v>
      </c>
      <c r="E23607" s="1">
        <v>1.6568588242015601E-3</v>
      </c>
      <c r="F23607" s="1">
        <v>9.2943237012695003E-4</v>
      </c>
    </row>
    <row r="23608" spans="1:6" x14ac:dyDescent="0.25">
      <c r="A23608" s="2" t="str">
        <f t="shared" si="821"/>
        <v>37980</v>
      </c>
      <c r="B23608" s="2" t="str">
        <f>"08328"</f>
        <v>08328</v>
      </c>
      <c r="C23608" s="1">
        <v>3.8497608039614198E-4</v>
      </c>
      <c r="D23608" s="1">
        <v>4.1923430720513101E-4</v>
      </c>
      <c r="E23608" s="1">
        <v>9.5221771505837001E-5</v>
      </c>
      <c r="F23608" s="1">
        <v>3.7785485844353501E-4</v>
      </c>
    </row>
    <row r="23609" spans="1:6" x14ac:dyDescent="0.25">
      <c r="A23609" s="2" t="str">
        <f t="shared" si="821"/>
        <v>37980</v>
      </c>
      <c r="B23609" s="2" t="str">
        <f>"08312"</f>
        <v>08312</v>
      </c>
      <c r="C23609" s="1">
        <v>1.22207098885941E-3</v>
      </c>
      <c r="D23609" s="1">
        <v>5.7797351090416204E-4</v>
      </c>
      <c r="E23609" s="1">
        <v>8.5699594355253303E-4</v>
      </c>
      <c r="F23609" s="1">
        <v>1.1584745274711399E-3</v>
      </c>
    </row>
    <row r="23610" spans="1:6" x14ac:dyDescent="0.25">
      <c r="A23610" s="2" t="str">
        <f t="shared" si="821"/>
        <v>37980</v>
      </c>
      <c r="B23610" s="2" t="str">
        <f>"08094"</f>
        <v>08094</v>
      </c>
      <c r="C23610" s="1">
        <v>5.8669624839897301E-3</v>
      </c>
      <c r="D23610" s="1">
        <v>3.9196372605683604E-3</v>
      </c>
      <c r="E23610" s="1">
        <v>1.8663467215143999E-3</v>
      </c>
      <c r="F23610" s="1">
        <v>5.5762707148897398E-3</v>
      </c>
    </row>
    <row r="23611" spans="1:6" x14ac:dyDescent="0.25">
      <c r="A23611" s="2" t="str">
        <f t="shared" si="821"/>
        <v>37980</v>
      </c>
      <c r="B23611" s="2" t="str">
        <f>"08091"</f>
        <v>08091</v>
      </c>
      <c r="C23611" s="1">
        <v>8.5971909517849302E-4</v>
      </c>
      <c r="D23611" s="1">
        <v>2.8328842506288501E-3</v>
      </c>
      <c r="E23611" s="1">
        <v>1.58068140699689E-3</v>
      </c>
      <c r="F23611" s="1">
        <v>1.0410418959514499E-3</v>
      </c>
    </row>
    <row r="23612" spans="1:6" x14ac:dyDescent="0.25">
      <c r="A23612" s="2" t="str">
        <f t="shared" si="821"/>
        <v>37980</v>
      </c>
      <c r="B23612" s="2" t="str">
        <f>"08087"</f>
        <v>08087</v>
      </c>
      <c r="C23612" s="1">
        <v>1.7479008768696801E-4</v>
      </c>
      <c r="D23612" s="1">
        <v>1.5873920369903E-4</v>
      </c>
      <c r="E23612" s="1">
        <v>2.85665314517511E-5</v>
      </c>
      <c r="F23612" s="1">
        <v>1.6854655928859701E-4</v>
      </c>
    </row>
    <row r="23613" spans="1:6" x14ac:dyDescent="0.25">
      <c r="A23613" s="2" t="str">
        <f t="shared" si="821"/>
        <v>37980</v>
      </c>
      <c r="B23613" s="2" t="str">
        <f>"08086"</f>
        <v>08086</v>
      </c>
      <c r="C23613" s="1">
        <v>1.3731421711191301E-3</v>
      </c>
      <c r="D23613" s="1">
        <v>6.67518702734384E-4</v>
      </c>
      <c r="E23613" s="1">
        <v>4.0945361747509899E-4</v>
      </c>
      <c r="F23613" s="1">
        <v>1.28431831166167E-3</v>
      </c>
    </row>
    <row r="23614" spans="1:6" x14ac:dyDescent="0.25">
      <c r="A23614" s="2" t="str">
        <f t="shared" si="821"/>
        <v>37980</v>
      </c>
      <c r="B23614" s="2" t="str">
        <f>"08083"</f>
        <v>08083</v>
      </c>
      <c r="C23614" s="1">
        <v>1.5012242604262799E-3</v>
      </c>
      <c r="D23614" s="1">
        <v>1.11524466188549E-3</v>
      </c>
      <c r="E23614" s="1">
        <v>5.2371974328210402E-4</v>
      </c>
      <c r="F23614" s="1">
        <v>1.4373365890964201E-3</v>
      </c>
    </row>
    <row r="23615" spans="1:6" x14ac:dyDescent="0.25">
      <c r="A23615" s="2" t="str">
        <f t="shared" si="821"/>
        <v>37980</v>
      </c>
      <c r="B23615" s="2" t="str">
        <f>"08080"</f>
        <v>08080</v>
      </c>
      <c r="C23615" s="1">
        <v>5.6669938659261497E-3</v>
      </c>
      <c r="D23615" s="1">
        <v>4.8313701228397199E-3</v>
      </c>
      <c r="E23615" s="1">
        <v>1.3426269782323E-3</v>
      </c>
      <c r="F23615" s="1">
        <v>5.4536619894187599E-3</v>
      </c>
    </row>
    <row r="23616" spans="1:6" x14ac:dyDescent="0.25">
      <c r="A23616" s="2" t="str">
        <f t="shared" si="821"/>
        <v>37980</v>
      </c>
      <c r="B23616" s="2" t="str">
        <f>"08019"</f>
        <v>08019</v>
      </c>
      <c r="C23616" s="1">
        <v>1.2954171425652101E-4</v>
      </c>
      <c r="D23616" s="1">
        <v>7.32642478610909E-5</v>
      </c>
      <c r="E23616" s="1">
        <v>2.85665314517511E-5</v>
      </c>
      <c r="F23616" s="1">
        <v>1.2163820785511E-4</v>
      </c>
    </row>
    <row r="23617" spans="1:6" x14ac:dyDescent="0.25">
      <c r="A23617" s="2" t="str">
        <f t="shared" si="821"/>
        <v>37980</v>
      </c>
      <c r="B23617" s="2" t="str">
        <f>"08012"</f>
        <v>08012</v>
      </c>
      <c r="C23617" s="1">
        <v>6.2274898464839403E-3</v>
      </c>
      <c r="D23617" s="1">
        <v>7.6723948454531302E-3</v>
      </c>
      <c r="E23617" s="1">
        <v>2.4186329962482601E-3</v>
      </c>
      <c r="F23617" s="1">
        <v>6.2129302708973403E-3</v>
      </c>
    </row>
    <row r="23618" spans="1:6" x14ac:dyDescent="0.25">
      <c r="A23618" s="2" t="str">
        <f t="shared" si="821"/>
        <v>37980</v>
      </c>
      <c r="B23618" s="2" t="str">
        <f>"08003"</f>
        <v>08003</v>
      </c>
      <c r="C23618" s="1">
        <v>4.4493017519148404E-3</v>
      </c>
      <c r="D23618" s="1">
        <v>4.67670115513297E-3</v>
      </c>
      <c r="E23618" s="1">
        <v>2.0758346188272398E-3</v>
      </c>
      <c r="F23618" s="1">
        <v>4.3867396237109004E-3</v>
      </c>
    </row>
    <row r="23619" spans="1:6" x14ac:dyDescent="0.25">
      <c r="A23619" s="2" t="str">
        <f t="shared" si="821"/>
        <v>37980</v>
      </c>
      <c r="B23619" s="2" t="str">
        <f>"08061"</f>
        <v>08061</v>
      </c>
      <c r="C23619" s="1">
        <v>4.5211882806712799E-4</v>
      </c>
      <c r="D23619" s="1">
        <v>4.4772595915111098E-5</v>
      </c>
      <c r="E23619" s="1">
        <v>9.5221771505837001E-6</v>
      </c>
      <c r="F23619" s="1">
        <v>4.0470584581580698E-4</v>
      </c>
    </row>
    <row r="23620" spans="1:6" x14ac:dyDescent="0.25">
      <c r="A23620" s="2" t="str">
        <f t="shared" si="821"/>
        <v>37980</v>
      </c>
      <c r="B23620" s="2" t="str">
        <f>"08023"</f>
        <v>08023</v>
      </c>
      <c r="C23620" s="1">
        <v>4.7437810854500897E-6</v>
      </c>
      <c r="D23620" s="1">
        <v>0</v>
      </c>
      <c r="E23620" s="1">
        <v>9.5221771505837001E-6</v>
      </c>
      <c r="F23620" s="1">
        <v>4.5290822073711401E-6</v>
      </c>
    </row>
    <row r="23621" spans="1:6" x14ac:dyDescent="0.25">
      <c r="A23621" s="2" t="str">
        <f t="shared" si="821"/>
        <v>37980</v>
      </c>
      <c r="B23621" s="2" t="str">
        <f>"08034"</f>
        <v>08034</v>
      </c>
      <c r="C23621" s="1">
        <v>3.32794488456191E-3</v>
      </c>
      <c r="D23621" s="1">
        <v>6.9926654347418999E-3</v>
      </c>
      <c r="E23621" s="1">
        <v>2.2662781618389199E-3</v>
      </c>
      <c r="F23621" s="1">
        <v>3.5831510377744799E-3</v>
      </c>
    </row>
    <row r="23622" spans="1:6" x14ac:dyDescent="0.25">
      <c r="A23622" s="2" t="str">
        <f t="shared" ref="A23622:A23639" si="822">"29300"</f>
        <v>29300</v>
      </c>
      <c r="B23622" s="2" t="str">
        <f>"36855"</f>
        <v>36855</v>
      </c>
      <c r="C23622" s="1">
        <v>1.7649463084754499E-2</v>
      </c>
      <c r="D23622" s="1">
        <v>5.5063913470993096E-3</v>
      </c>
      <c r="E23622" s="1">
        <v>5.8555627846454102E-3</v>
      </c>
      <c r="F23622" s="1">
        <v>1.6328083642138599E-2</v>
      </c>
    </row>
    <row r="23623" spans="1:6" x14ac:dyDescent="0.25">
      <c r="A23623" s="2" t="str">
        <f t="shared" si="822"/>
        <v>29300</v>
      </c>
      <c r="B23623" s="2" t="str">
        <f>"36801"</f>
        <v>36801</v>
      </c>
      <c r="C23623" s="1">
        <v>2.6009735072269899E-3</v>
      </c>
      <c r="D23623" s="1">
        <v>1.9665683382497499E-4</v>
      </c>
      <c r="E23623" s="1">
        <v>6.5061808718282297E-4</v>
      </c>
      <c r="F23623" s="1">
        <v>2.3491265219692898E-3</v>
      </c>
    </row>
    <row r="23624" spans="1:6" x14ac:dyDescent="0.25">
      <c r="A23624" s="2" t="str">
        <f t="shared" si="822"/>
        <v>29300</v>
      </c>
      <c r="B23624" s="2" t="str">
        <f>"31833"</f>
        <v>31833</v>
      </c>
      <c r="C23624" s="1">
        <v>4.1634154497826301E-2</v>
      </c>
      <c r="D23624" s="1">
        <v>6.2340216322517197E-2</v>
      </c>
      <c r="E23624" s="1">
        <v>0.108653220559531</v>
      </c>
      <c r="F23624" s="1">
        <v>4.5080068819481199E-2</v>
      </c>
    </row>
    <row r="23625" spans="1:6" x14ac:dyDescent="0.25">
      <c r="A23625" s="2" t="str">
        <f t="shared" si="822"/>
        <v>29300</v>
      </c>
      <c r="B23625" s="2" t="str">
        <f>"30240"</f>
        <v>30240</v>
      </c>
      <c r="C23625" s="1">
        <v>0.246516553338535</v>
      </c>
      <c r="D23625" s="1">
        <v>0.28987217305801299</v>
      </c>
      <c r="E23625" s="1">
        <v>0.34808067664281001</v>
      </c>
      <c r="F23625" s="1">
        <v>0.25274616199047101</v>
      </c>
    </row>
    <row r="23626" spans="1:6" x14ac:dyDescent="0.25">
      <c r="A23626" s="2" t="str">
        <f t="shared" si="822"/>
        <v>29300</v>
      </c>
      <c r="B23626" s="2" t="str">
        <f>"36852"</f>
        <v>36852</v>
      </c>
      <c r="C23626" s="1">
        <v>6.2794931817337302E-3</v>
      </c>
      <c r="D23626" s="1">
        <v>4.1297935103244802E-3</v>
      </c>
      <c r="E23626" s="1">
        <v>2.6024723487312901E-3</v>
      </c>
      <c r="F23626" s="1">
        <v>6.0051614610905201E-3</v>
      </c>
    </row>
    <row r="23627" spans="1:6" x14ac:dyDescent="0.25">
      <c r="A23627" s="2" t="str">
        <f t="shared" si="822"/>
        <v>29300</v>
      </c>
      <c r="B23627" s="2" t="str">
        <f>"36276"</f>
        <v>36276</v>
      </c>
      <c r="C23627" s="1">
        <v>3.6413629101177802E-3</v>
      </c>
      <c r="D23627" s="1">
        <v>1.37659783677482E-3</v>
      </c>
      <c r="E23627" s="1">
        <v>0</v>
      </c>
      <c r="F23627" s="1">
        <v>3.3582583377448302E-3</v>
      </c>
    </row>
    <row r="23628" spans="1:6" x14ac:dyDescent="0.25">
      <c r="A23628" s="2" t="str">
        <f t="shared" si="822"/>
        <v>29300</v>
      </c>
      <c r="B23628" s="2" t="str">
        <f>"31822"</f>
        <v>31822</v>
      </c>
      <c r="C23628" s="1">
        <v>1.4416824582915299E-2</v>
      </c>
      <c r="D23628" s="1">
        <v>3.5398230088495501E-3</v>
      </c>
      <c r="E23628" s="1">
        <v>1.95185426154847E-3</v>
      </c>
      <c r="F23628" s="1">
        <v>1.3184886183165601E-2</v>
      </c>
    </row>
    <row r="23629" spans="1:6" x14ac:dyDescent="0.25">
      <c r="A23629" s="2" t="str">
        <f t="shared" si="822"/>
        <v>29300</v>
      </c>
      <c r="B23629" s="2" t="str">
        <f>"30261"</f>
        <v>30261</v>
      </c>
      <c r="C23629" s="1">
        <v>3.455579088173E-3</v>
      </c>
      <c r="D23629" s="1">
        <v>3.9331366764994998E-4</v>
      </c>
      <c r="E23629" s="1">
        <v>6.5061808718282297E-4</v>
      </c>
      <c r="F23629" s="1">
        <v>3.1266543144520902E-3</v>
      </c>
    </row>
    <row r="23630" spans="1:6" x14ac:dyDescent="0.25">
      <c r="A23630" s="2" t="str">
        <f t="shared" si="822"/>
        <v>29300</v>
      </c>
      <c r="B23630" s="2" t="str">
        <f>"36863"</f>
        <v>36863</v>
      </c>
      <c r="C23630" s="1">
        <v>0.131646416230074</v>
      </c>
      <c r="D23630" s="1">
        <v>0.106981317600786</v>
      </c>
      <c r="E23630" s="1">
        <v>0.10019518542615399</v>
      </c>
      <c r="F23630" s="1">
        <v>0.12877183695076699</v>
      </c>
    </row>
    <row r="23631" spans="1:6" x14ac:dyDescent="0.25">
      <c r="A23631" s="2" t="str">
        <f t="shared" si="822"/>
        <v>29300</v>
      </c>
      <c r="B23631" s="2" t="str">
        <f>"36850"</f>
        <v>36850</v>
      </c>
      <c r="C23631" s="1">
        <v>3.3626871772006002E-3</v>
      </c>
      <c r="D23631" s="1">
        <v>1.5732546705997999E-3</v>
      </c>
      <c r="E23631" s="1">
        <v>1.3012361743656401E-3</v>
      </c>
      <c r="F23631" s="1">
        <v>3.1597406034939101E-3</v>
      </c>
    </row>
    <row r="23632" spans="1:6" x14ac:dyDescent="0.25">
      <c r="A23632" s="2" t="str">
        <f t="shared" si="822"/>
        <v>29300</v>
      </c>
      <c r="B23632" s="2" t="str">
        <f>"30220"</f>
        <v>30220</v>
      </c>
      <c r="C23632" s="1">
        <v>1.8578382194478499E-5</v>
      </c>
      <c r="D23632" s="1">
        <v>0</v>
      </c>
      <c r="E23632" s="1">
        <v>0</v>
      </c>
      <c r="F23632" s="1">
        <v>1.6543144520910498E-5</v>
      </c>
    </row>
    <row r="23633" spans="1:6" x14ac:dyDescent="0.25">
      <c r="A23633" s="2" t="str">
        <f t="shared" si="822"/>
        <v>29300</v>
      </c>
      <c r="B23633" s="2" t="str">
        <f>"30241"</f>
        <v>30241</v>
      </c>
      <c r="C23633" s="1">
        <v>0.26167651320922902</v>
      </c>
      <c r="D23633" s="1">
        <v>0.31347099311700999</v>
      </c>
      <c r="E23633" s="1">
        <v>0.16135328562133999</v>
      </c>
      <c r="F23633" s="1">
        <v>0.26348266278454202</v>
      </c>
    </row>
    <row r="23634" spans="1:6" x14ac:dyDescent="0.25">
      <c r="A23634" s="2" t="str">
        <f t="shared" si="822"/>
        <v>29300</v>
      </c>
      <c r="B23634" s="2" t="str">
        <f>"36879"</f>
        <v>36879</v>
      </c>
      <c r="C23634" s="1">
        <v>5.8150336268717696E-3</v>
      </c>
      <c r="D23634" s="1">
        <v>2.1632251720747199E-3</v>
      </c>
      <c r="E23634" s="1">
        <v>1.95185426154847E-3</v>
      </c>
      <c r="F23634" s="1">
        <v>5.4096082583377399E-3</v>
      </c>
    </row>
    <row r="23635" spans="1:6" x14ac:dyDescent="0.25">
      <c r="A23635" s="2" t="str">
        <f t="shared" si="822"/>
        <v>29300</v>
      </c>
      <c r="B23635" s="2" t="str">
        <f>"36862"</f>
        <v>36862</v>
      </c>
      <c r="C23635" s="1">
        <v>6.4318359157284496E-2</v>
      </c>
      <c r="D23635" s="1">
        <v>5.3883972468043197E-2</v>
      </c>
      <c r="E23635" s="1">
        <v>7.0917371502927706E-2</v>
      </c>
      <c r="F23635" s="1">
        <v>6.3608390682901E-2</v>
      </c>
    </row>
    <row r="23636" spans="1:6" x14ac:dyDescent="0.25">
      <c r="A23636" s="2" t="str">
        <f t="shared" si="822"/>
        <v>29300</v>
      </c>
      <c r="B23636" s="2" t="str">
        <f>"36854"</f>
        <v>36854</v>
      </c>
      <c r="C23636" s="1">
        <v>0.121279678965555</v>
      </c>
      <c r="D23636" s="1">
        <v>0.102261553588987</v>
      </c>
      <c r="E23636" s="1">
        <v>5.4651919323357098E-2</v>
      </c>
      <c r="F23636" s="1">
        <v>0.11798570672313299</v>
      </c>
    </row>
    <row r="23637" spans="1:6" x14ac:dyDescent="0.25">
      <c r="A23637" s="2" t="str">
        <f t="shared" si="822"/>
        <v>29300</v>
      </c>
      <c r="B23637" s="2" t="str">
        <f>"30217"</f>
        <v>30217</v>
      </c>
      <c r="C23637" s="1">
        <v>5.9450823022331198E-4</v>
      </c>
      <c r="D23637" s="1">
        <v>1.9665683382497499E-4</v>
      </c>
      <c r="E23637" s="1">
        <v>0</v>
      </c>
      <c r="F23637" s="1">
        <v>5.4592376919004697E-4</v>
      </c>
    </row>
    <row r="23638" spans="1:6" x14ac:dyDescent="0.25">
      <c r="A23638" s="2" t="str">
        <f t="shared" si="822"/>
        <v>29300</v>
      </c>
      <c r="B23638" s="2" t="str">
        <f>"36274"</f>
        <v>36274</v>
      </c>
      <c r="C23638" s="1">
        <v>6.3723850927061201E-3</v>
      </c>
      <c r="D23638" s="1">
        <v>4.1297935103244802E-3</v>
      </c>
      <c r="E23638" s="1">
        <v>1.95185426154847E-3</v>
      </c>
      <c r="F23638" s="1">
        <v>6.0713340391741599E-3</v>
      </c>
    </row>
    <row r="23639" spans="1:6" x14ac:dyDescent="0.25">
      <c r="A23639" s="2" t="str">
        <f t="shared" si="822"/>
        <v>29300</v>
      </c>
      <c r="B23639" s="2" t="str">
        <f>"30230"</f>
        <v>30230</v>
      </c>
      <c r="C23639" s="1">
        <v>6.8721435737375894E-2</v>
      </c>
      <c r="D23639" s="1">
        <v>4.7984267453293997E-2</v>
      </c>
      <c r="E23639" s="1">
        <v>0.13923227065712401</v>
      </c>
      <c r="F23639" s="1">
        <v>6.8769851773424998E-2</v>
      </c>
    </row>
    <row r="23640" spans="1:6" x14ac:dyDescent="0.25">
      <c r="A23640" s="2" t="str">
        <f t="shared" ref="A23640:A23665" si="823">"20140"</f>
        <v>20140</v>
      </c>
      <c r="B23640" s="2" t="str">
        <f>"31075"</f>
        <v>31075</v>
      </c>
      <c r="C23640" s="1">
        <v>3.2044975404075797E-2</v>
      </c>
      <c r="D23640" s="1">
        <v>8.1608860390556606E-3</v>
      </c>
      <c r="E23640" s="1">
        <v>8.8626292466765094E-3</v>
      </c>
      <c r="F23640" s="1">
        <v>2.9584456820300802E-2</v>
      </c>
    </row>
    <row r="23641" spans="1:6" x14ac:dyDescent="0.25">
      <c r="A23641" s="2" t="str">
        <f t="shared" si="823"/>
        <v>20140</v>
      </c>
      <c r="B23641" s="2" t="str">
        <f>"30470"</f>
        <v>30470</v>
      </c>
      <c r="C23641" s="1">
        <v>4.3851018973998504E-3</v>
      </c>
      <c r="D23641" s="1">
        <v>8.7438064704167795E-4</v>
      </c>
      <c r="E23641" s="1">
        <v>0</v>
      </c>
      <c r="F23641" s="1">
        <v>4.0067535216591404E-3</v>
      </c>
    </row>
    <row r="23642" spans="1:6" x14ac:dyDescent="0.25">
      <c r="A23642" s="2" t="str">
        <f t="shared" si="823"/>
        <v>20140</v>
      </c>
      <c r="B23642" s="2" t="str">
        <f>"30411"</f>
        <v>30411</v>
      </c>
      <c r="C23642" s="1">
        <v>3.0920590302178398E-3</v>
      </c>
      <c r="D23642" s="1">
        <v>8.7438064704167795E-4</v>
      </c>
      <c r="E23642" s="1">
        <v>0</v>
      </c>
      <c r="F23642" s="1">
        <v>2.8475669682231598E-3</v>
      </c>
    </row>
    <row r="23643" spans="1:6" x14ac:dyDescent="0.25">
      <c r="A23643" s="2" t="str">
        <f t="shared" si="823"/>
        <v>20140</v>
      </c>
      <c r="B23643" s="2" t="str">
        <f>"31042"</f>
        <v>31042</v>
      </c>
      <c r="C23643" s="1">
        <v>2.2487702037947901E-4</v>
      </c>
      <c r="D23643" s="1">
        <v>1.16584086272223E-3</v>
      </c>
      <c r="E23643" s="1">
        <v>0</v>
      </c>
      <c r="F23643" s="1">
        <v>3.0239649220069001E-4</v>
      </c>
    </row>
    <row r="23644" spans="1:6" x14ac:dyDescent="0.25">
      <c r="A23644" s="2" t="str">
        <f t="shared" si="823"/>
        <v>20140</v>
      </c>
      <c r="B23644" s="2" t="str">
        <f>"31019"</f>
        <v>31019</v>
      </c>
      <c r="C23644" s="1">
        <v>2.9880534082923401E-2</v>
      </c>
      <c r="D23644" s="1">
        <v>3.20606237248615E-3</v>
      </c>
      <c r="E23644" s="1">
        <v>8.8626292466765094E-3</v>
      </c>
      <c r="F23644" s="1">
        <v>2.72156842980621E-2</v>
      </c>
    </row>
    <row r="23645" spans="1:6" x14ac:dyDescent="0.25">
      <c r="A23645" s="2" t="str">
        <f t="shared" si="823"/>
        <v>20140</v>
      </c>
      <c r="B23645" s="2" t="str">
        <f>"31035"</f>
        <v>31035</v>
      </c>
      <c r="C23645" s="1">
        <v>1.6865776528460899E-4</v>
      </c>
      <c r="D23645" s="1">
        <v>0</v>
      </c>
      <c r="E23645" s="1">
        <v>0</v>
      </c>
      <c r="F23645" s="1">
        <v>1.51198246100345E-4</v>
      </c>
    </row>
    <row r="23646" spans="1:6" x14ac:dyDescent="0.25">
      <c r="A23646" s="2" t="str">
        <f t="shared" si="823"/>
        <v>20140</v>
      </c>
      <c r="B23646" s="2" t="str">
        <f>"31027"</f>
        <v>31027</v>
      </c>
      <c r="C23646" s="1">
        <v>0.17759662684469399</v>
      </c>
      <c r="D23646" s="1">
        <v>0.105508598076362</v>
      </c>
      <c r="E23646" s="1">
        <v>0.12407680945347099</v>
      </c>
      <c r="F23646" s="1">
        <v>0.17045082277045501</v>
      </c>
    </row>
    <row r="23647" spans="1:6" x14ac:dyDescent="0.25">
      <c r="A23647" s="2" t="str">
        <f t="shared" si="823"/>
        <v>20140</v>
      </c>
      <c r="B23647" s="2" t="str">
        <f>"31009"</f>
        <v>31009</v>
      </c>
      <c r="C23647" s="1">
        <v>2.0014054813773701E-2</v>
      </c>
      <c r="D23647" s="1">
        <v>1.7487612940833501E-3</v>
      </c>
      <c r="E23647" s="1">
        <v>7.3855243722304202E-3</v>
      </c>
      <c r="F23647" s="1">
        <v>1.8219388655091599E-2</v>
      </c>
    </row>
    <row r="23648" spans="1:6" x14ac:dyDescent="0.25">
      <c r="A23648" s="2" t="str">
        <f t="shared" si="823"/>
        <v>20140</v>
      </c>
      <c r="B23648" s="2" t="str">
        <f>"30413"</f>
        <v>30413</v>
      </c>
      <c r="C23648" s="1">
        <v>1.7427969079409601E-3</v>
      </c>
      <c r="D23648" s="1">
        <v>0</v>
      </c>
      <c r="E23648" s="1">
        <v>0</v>
      </c>
      <c r="F23648" s="1">
        <v>1.5623818763702299E-3</v>
      </c>
    </row>
    <row r="23649" spans="1:6" x14ac:dyDescent="0.25">
      <c r="A23649" s="2" t="str">
        <f t="shared" si="823"/>
        <v>20140</v>
      </c>
      <c r="B23649" s="2" t="str">
        <f>"30428"</f>
        <v>30428</v>
      </c>
      <c r="C23649" s="1">
        <v>3.8229093464511501E-3</v>
      </c>
      <c r="D23649" s="1">
        <v>8.7438064704167795E-4</v>
      </c>
      <c r="E23649" s="1">
        <v>4.4313146233382504E-3</v>
      </c>
      <c r="F23649" s="1">
        <v>3.5783584910414998E-3</v>
      </c>
    </row>
    <row r="23650" spans="1:6" x14ac:dyDescent="0.25">
      <c r="A23650" s="2" t="str">
        <f t="shared" si="823"/>
        <v>20140</v>
      </c>
      <c r="B23650" s="2" t="str">
        <f>"31037"</f>
        <v>31037</v>
      </c>
      <c r="C23650" s="1">
        <v>3.0920590302178398E-4</v>
      </c>
      <c r="D23650" s="1">
        <v>0</v>
      </c>
      <c r="E23650" s="1">
        <v>0</v>
      </c>
      <c r="F23650" s="1">
        <v>2.77196784517299E-4</v>
      </c>
    </row>
    <row r="23651" spans="1:6" x14ac:dyDescent="0.25">
      <c r="A23651" s="2" t="str">
        <f t="shared" si="823"/>
        <v>20140</v>
      </c>
      <c r="B23651" s="2" t="str">
        <f>"31040"</f>
        <v>31040</v>
      </c>
      <c r="C23651" s="1">
        <v>6.38088545326774E-2</v>
      </c>
      <c r="D23651" s="1">
        <v>0.14747886913436301</v>
      </c>
      <c r="E23651" s="1">
        <v>5.9084194977843396E-3</v>
      </c>
      <c r="F23651" s="1">
        <v>7.0055187359826604E-2</v>
      </c>
    </row>
    <row r="23652" spans="1:6" x14ac:dyDescent="0.25">
      <c r="A23652" s="2" t="str">
        <f t="shared" si="823"/>
        <v>20140</v>
      </c>
      <c r="B23652" s="2" t="str">
        <f>"31002"</f>
        <v>31002</v>
      </c>
      <c r="C23652" s="1">
        <v>2.1925509486999201E-2</v>
      </c>
      <c r="D23652" s="1">
        <v>5.8292043136111901E-3</v>
      </c>
      <c r="E23652" s="1">
        <v>1.1816838995568599E-2</v>
      </c>
      <c r="F23652" s="1">
        <v>2.0361363808179801E-2</v>
      </c>
    </row>
    <row r="23653" spans="1:6" x14ac:dyDescent="0.25">
      <c r="A23653" s="2" t="str">
        <f t="shared" si="823"/>
        <v>20140</v>
      </c>
      <c r="B23653" s="2" t="str">
        <f>"30454"</f>
        <v>30454</v>
      </c>
      <c r="C23653" s="1">
        <v>1.1834153197470099E-2</v>
      </c>
      <c r="D23653" s="1">
        <v>2.6231419411250302E-3</v>
      </c>
      <c r="E23653" s="1">
        <v>0</v>
      </c>
      <c r="F23653" s="1">
        <v>1.0835874303858E-2</v>
      </c>
    </row>
    <row r="23654" spans="1:6" x14ac:dyDescent="0.25">
      <c r="A23654" s="2" t="str">
        <f t="shared" si="823"/>
        <v>20140</v>
      </c>
      <c r="B23654" s="2" t="str">
        <f>"30436"</f>
        <v>30436</v>
      </c>
      <c r="C23654" s="1">
        <v>1.6865776528460899E-4</v>
      </c>
      <c r="D23654" s="1">
        <v>0</v>
      </c>
      <c r="E23654" s="1">
        <v>0</v>
      </c>
      <c r="F23654" s="1">
        <v>1.51198246100345E-4</v>
      </c>
    </row>
    <row r="23655" spans="1:6" x14ac:dyDescent="0.25">
      <c r="A23655" s="2" t="str">
        <f t="shared" si="823"/>
        <v>20140</v>
      </c>
      <c r="B23655" s="2" t="str">
        <f>"31096"</f>
        <v>31096</v>
      </c>
      <c r="C23655" s="1">
        <v>7.8482080112438499E-2</v>
      </c>
      <c r="D23655" s="1">
        <v>6.2081025939959102E-2</v>
      </c>
      <c r="E23655" s="1">
        <v>0.107828655834564</v>
      </c>
      <c r="F23655" s="1">
        <v>7.7564700249477106E-2</v>
      </c>
    </row>
    <row r="23656" spans="1:6" x14ac:dyDescent="0.25">
      <c r="A23656" s="2" t="str">
        <f t="shared" si="823"/>
        <v>20140</v>
      </c>
      <c r="B23656" s="2" t="str">
        <f>"31022"</f>
        <v>31022</v>
      </c>
      <c r="C23656" s="1">
        <v>1.7203092059030201E-2</v>
      </c>
      <c r="D23656" s="1">
        <v>8.4523462547362194E-3</v>
      </c>
      <c r="E23656" s="1">
        <v>4.4313146233382504E-3</v>
      </c>
      <c r="F23656" s="1">
        <v>1.6228611748103701E-2</v>
      </c>
    </row>
    <row r="23657" spans="1:6" x14ac:dyDescent="0.25">
      <c r="A23657" s="2" t="str">
        <f t="shared" si="823"/>
        <v>20140</v>
      </c>
      <c r="B23657" s="2" t="str">
        <f>"30457"</f>
        <v>30457</v>
      </c>
      <c r="C23657" s="1">
        <v>8.0505973295853794E-2</v>
      </c>
      <c r="D23657" s="1">
        <v>8.4814922763042797E-2</v>
      </c>
      <c r="E23657" s="1">
        <v>8.7149187592319002E-2</v>
      </c>
      <c r="F23657" s="1">
        <v>8.09918604944182E-2</v>
      </c>
    </row>
    <row r="23658" spans="1:6" x14ac:dyDescent="0.25">
      <c r="A23658" s="2" t="str">
        <f t="shared" si="823"/>
        <v>20140</v>
      </c>
      <c r="B23658" s="2" t="str">
        <f>"31065"</f>
        <v>31065</v>
      </c>
      <c r="C23658" s="1">
        <v>1.2565003513703399E-2</v>
      </c>
      <c r="D23658" s="1">
        <v>5.2462838822500699E-3</v>
      </c>
      <c r="E23658" s="1">
        <v>0</v>
      </c>
      <c r="F23658" s="1">
        <v>1.1717864072776699E-2</v>
      </c>
    </row>
    <row r="23659" spans="1:6" x14ac:dyDescent="0.25">
      <c r="A23659" s="2" t="str">
        <f t="shared" si="823"/>
        <v>20140</v>
      </c>
      <c r="B23659" s="2" t="str">
        <f>"31049"</f>
        <v>31049</v>
      </c>
      <c r="C23659" s="1">
        <v>1.6416022487701999E-2</v>
      </c>
      <c r="D23659" s="1">
        <v>2.9146021568055899E-3</v>
      </c>
      <c r="E23659" s="1">
        <v>4.4313146233382504E-3</v>
      </c>
      <c r="F23659" s="1">
        <v>1.50442254869843E-2</v>
      </c>
    </row>
    <row r="23660" spans="1:6" x14ac:dyDescent="0.25">
      <c r="A23660" s="2" t="str">
        <f t="shared" si="823"/>
        <v>20140</v>
      </c>
      <c r="B23660" s="2" t="str">
        <f>"30477"</f>
        <v>30477</v>
      </c>
      <c r="C23660" s="1">
        <v>2.81096275474349E-5</v>
      </c>
      <c r="D23660" s="1">
        <v>0</v>
      </c>
      <c r="E23660" s="1">
        <v>0</v>
      </c>
      <c r="F23660" s="1">
        <v>2.5199707683390801E-5</v>
      </c>
    </row>
    <row r="23661" spans="1:6" x14ac:dyDescent="0.25">
      <c r="A23661" s="2" t="str">
        <f t="shared" si="823"/>
        <v>20140</v>
      </c>
      <c r="B23661" s="2" t="str">
        <f>"31089"</f>
        <v>31089</v>
      </c>
      <c r="C23661" s="1">
        <v>2.0801124385101798E-3</v>
      </c>
      <c r="D23661" s="1">
        <v>8.7438064704167795E-4</v>
      </c>
      <c r="E23661" s="1">
        <v>0</v>
      </c>
      <c r="F23661" s="1">
        <v>1.94037749162109E-3</v>
      </c>
    </row>
    <row r="23662" spans="1:6" x14ac:dyDescent="0.25">
      <c r="A23662" s="2" t="str">
        <f t="shared" si="823"/>
        <v>20140</v>
      </c>
      <c r="B23662" s="2" t="str">
        <f>"31012"</f>
        <v>31012</v>
      </c>
      <c r="C23662" s="1">
        <v>3.3731553056921902E-4</v>
      </c>
      <c r="D23662" s="1">
        <v>0</v>
      </c>
      <c r="E23662" s="1">
        <v>0</v>
      </c>
      <c r="F23662" s="1">
        <v>3.0239649220069001E-4</v>
      </c>
    </row>
    <row r="23663" spans="1:6" x14ac:dyDescent="0.25">
      <c r="A23663" s="2" t="str">
        <f t="shared" si="823"/>
        <v>20140</v>
      </c>
      <c r="B23663" s="2" t="str">
        <f>"30474"</f>
        <v>30474</v>
      </c>
      <c r="C23663" s="1">
        <v>7.0274068868587405E-4</v>
      </c>
      <c r="D23663" s="1">
        <v>0</v>
      </c>
      <c r="E23663" s="1">
        <v>0</v>
      </c>
      <c r="F23663" s="1">
        <v>6.2999269208477101E-4</v>
      </c>
    </row>
    <row r="23664" spans="1:6" x14ac:dyDescent="0.25">
      <c r="A23664" s="2" t="str">
        <f t="shared" si="823"/>
        <v>20140</v>
      </c>
      <c r="B23664" s="2" t="str">
        <f>"31021"</f>
        <v>31021</v>
      </c>
      <c r="C23664" s="1">
        <v>0.42054813773717398</v>
      </c>
      <c r="D23664" s="1">
        <v>0.55727193238122896</v>
      </c>
      <c r="E23664" s="1">
        <v>0.62481536189069398</v>
      </c>
      <c r="F23664" s="1">
        <v>0.43585414409192802</v>
      </c>
    </row>
    <row r="23665" spans="1:6" x14ac:dyDescent="0.25">
      <c r="A23665" s="2" t="str">
        <f t="shared" si="823"/>
        <v>20140</v>
      </c>
      <c r="B23665" s="2" t="str">
        <f>"31011"</f>
        <v>31011</v>
      </c>
      <c r="C23665" s="1">
        <v>1.12438510189739E-4</v>
      </c>
      <c r="D23665" s="1">
        <v>0</v>
      </c>
      <c r="E23665" s="1">
        <v>0</v>
      </c>
      <c r="F23665" s="1">
        <v>1.00798830733563E-4</v>
      </c>
    </row>
    <row r="23666" spans="1:6" x14ac:dyDescent="0.25">
      <c r="A23666" s="2" t="str">
        <f t="shared" ref="A23666:A23676" si="824">"25980"</f>
        <v>25980</v>
      </c>
      <c r="B23666" s="2" t="str">
        <f>"31320"</f>
        <v>31320</v>
      </c>
      <c r="C23666" s="1">
        <v>0.13701496947015901</v>
      </c>
      <c r="D23666" s="1">
        <v>0.11522633744855899</v>
      </c>
      <c r="E23666" s="1">
        <v>3.7873754152823902E-2</v>
      </c>
      <c r="F23666" s="1">
        <v>0.13257199602780501</v>
      </c>
    </row>
    <row r="23667" spans="1:6" x14ac:dyDescent="0.25">
      <c r="A23667" s="2" t="str">
        <f t="shared" si="824"/>
        <v>25980</v>
      </c>
      <c r="B23667" s="2" t="str">
        <f>"31316"</f>
        <v>31316</v>
      </c>
      <c r="C23667" s="1">
        <v>0.112664959621823</v>
      </c>
      <c r="D23667" s="1">
        <v>2.6977594878829399E-2</v>
      </c>
      <c r="E23667" s="1">
        <v>6.4451827242524906E-2</v>
      </c>
      <c r="F23667" s="1">
        <v>0.106797869459239</v>
      </c>
    </row>
    <row r="23668" spans="1:6" x14ac:dyDescent="0.25">
      <c r="A23668" s="2" t="str">
        <f t="shared" si="824"/>
        <v>25980</v>
      </c>
      <c r="B23668" s="2" t="str">
        <f>"31301"</f>
        <v>31301</v>
      </c>
      <c r="C23668" s="1">
        <v>7.4478038211542197E-2</v>
      </c>
      <c r="D23668" s="1">
        <v>1.8747142203932299E-2</v>
      </c>
      <c r="E23668" s="1">
        <v>3.5880398671096297E-2</v>
      </c>
      <c r="F23668" s="1">
        <v>7.0416177665432803E-2</v>
      </c>
    </row>
    <row r="23669" spans="1:6" x14ac:dyDescent="0.25">
      <c r="A23669" s="2" t="str">
        <f t="shared" si="824"/>
        <v>25980</v>
      </c>
      <c r="B23669" s="2" t="str">
        <f>"31314"</f>
        <v>31314</v>
      </c>
      <c r="C23669" s="1">
        <v>1.96966712625566E-4</v>
      </c>
      <c r="D23669" s="1">
        <v>4.9839963420210298E-2</v>
      </c>
      <c r="E23669" s="1">
        <v>6.6445182724252398E-3</v>
      </c>
      <c r="F23669" s="1">
        <v>2.8662995395865301E-3</v>
      </c>
    </row>
    <row r="23670" spans="1:6" x14ac:dyDescent="0.25">
      <c r="A23670" s="2" t="str">
        <f t="shared" si="824"/>
        <v>25980</v>
      </c>
      <c r="B23670" s="2" t="str">
        <f>"30427"</f>
        <v>30427</v>
      </c>
      <c r="C23670" s="1">
        <v>2.05337797912152E-2</v>
      </c>
      <c r="D23670" s="1">
        <v>4.1152263374485496E-3</v>
      </c>
      <c r="E23670" s="1">
        <v>1.3953488372093001E-2</v>
      </c>
      <c r="F23670" s="1">
        <v>1.9499864584273701E-2</v>
      </c>
    </row>
    <row r="23671" spans="1:6" x14ac:dyDescent="0.25">
      <c r="A23671" s="2" t="str">
        <f t="shared" si="824"/>
        <v>25980</v>
      </c>
      <c r="B23671" s="2" t="str">
        <f>"31315"</f>
        <v>31315</v>
      </c>
      <c r="C23671" s="1">
        <v>0.123670474689777</v>
      </c>
      <c r="D23671" s="1">
        <v>1.7832647462277001E-2</v>
      </c>
      <c r="E23671" s="1">
        <v>0.43521594684385301</v>
      </c>
      <c r="F23671" s="1">
        <v>0.12902861785681999</v>
      </c>
    </row>
    <row r="23672" spans="1:6" x14ac:dyDescent="0.25">
      <c r="A23672" s="2" t="str">
        <f t="shared" si="824"/>
        <v>25980</v>
      </c>
      <c r="B23672" s="2" t="str">
        <f>"31313"</f>
        <v>31313</v>
      </c>
      <c r="C23672" s="1">
        <v>0.45777526098089399</v>
      </c>
      <c r="D23672" s="1">
        <v>0.58847736625514402</v>
      </c>
      <c r="E23672" s="1">
        <v>0.40132890365448498</v>
      </c>
      <c r="F23672" s="1">
        <v>0.462309289518822</v>
      </c>
    </row>
    <row r="23673" spans="1:6" x14ac:dyDescent="0.25">
      <c r="A23673" s="2" t="str">
        <f t="shared" si="824"/>
        <v>25980</v>
      </c>
      <c r="B23673" s="2" t="str">
        <f>"31323"</f>
        <v>31323</v>
      </c>
      <c r="C23673" s="1">
        <v>1.54372661020287E-2</v>
      </c>
      <c r="D23673" s="1">
        <v>1.37174211248285E-2</v>
      </c>
      <c r="E23673" s="1">
        <v>6.6445182724252398E-4</v>
      </c>
      <c r="F23673" s="1">
        <v>1.4850591315338E-2</v>
      </c>
    </row>
    <row r="23674" spans="1:6" x14ac:dyDescent="0.25">
      <c r="A23674" s="2" t="str">
        <f t="shared" si="824"/>
        <v>25980</v>
      </c>
      <c r="B23674" s="2" t="str">
        <f>"31333"</f>
        <v>31333</v>
      </c>
      <c r="C23674" s="1">
        <v>0</v>
      </c>
      <c r="D23674" s="1">
        <v>4.5724737082761702E-4</v>
      </c>
      <c r="E23674" s="1">
        <v>0</v>
      </c>
      <c r="F23674" s="1">
        <v>2.2569287713279701E-5</v>
      </c>
    </row>
    <row r="23675" spans="1:6" x14ac:dyDescent="0.25">
      <c r="A23675" s="2" t="str">
        <f t="shared" si="824"/>
        <v>25980</v>
      </c>
      <c r="B23675" s="2" t="str">
        <f>"31310"</f>
        <v>31310</v>
      </c>
      <c r="C23675" s="1">
        <v>4.5794760685444101E-2</v>
      </c>
      <c r="D23675" s="1">
        <v>0.15409236396890699</v>
      </c>
      <c r="E23675" s="1">
        <v>1.3289036544850399E-3</v>
      </c>
      <c r="F23675" s="1">
        <v>4.9629863681502198E-2</v>
      </c>
    </row>
    <row r="23676" spans="1:6" x14ac:dyDescent="0.25">
      <c r="A23676" s="2" t="str">
        <f t="shared" si="824"/>
        <v>25980</v>
      </c>
      <c r="B23676" s="2" t="str">
        <f>"31309"</f>
        <v>31309</v>
      </c>
      <c r="C23676" s="1">
        <v>1.24335237344888E-2</v>
      </c>
      <c r="D23676" s="1">
        <v>1.05166895290352E-2</v>
      </c>
      <c r="E23676" s="1">
        <v>2.6578073089700898E-3</v>
      </c>
      <c r="F23676" s="1">
        <v>1.20068610634648E-2</v>
      </c>
    </row>
    <row r="23677" spans="1:6" x14ac:dyDescent="0.25">
      <c r="A23677" s="2" t="str">
        <f t="shared" ref="A23677:A23698" si="825">"23580"</f>
        <v>23580</v>
      </c>
      <c r="B23677" s="2" t="str">
        <f>"30519"</f>
        <v>30519</v>
      </c>
      <c r="C23677" s="1">
        <v>1.26586462189317E-2</v>
      </c>
      <c r="D23677" s="1">
        <v>4.7687701009204797E-3</v>
      </c>
      <c r="E23677" s="1">
        <v>5.93311758360302E-3</v>
      </c>
      <c r="F23677" s="1">
        <v>1.1836007831639401E-2</v>
      </c>
    </row>
    <row r="23678" spans="1:6" x14ac:dyDescent="0.25">
      <c r="A23678" s="2" t="str">
        <f t="shared" si="825"/>
        <v>23580</v>
      </c>
      <c r="B23678" s="2" t="str">
        <f>"30542"</f>
        <v>30542</v>
      </c>
      <c r="C23678" s="1">
        <v>0.177210029966508</v>
      </c>
      <c r="D23678" s="1">
        <v>0.116890318287678</v>
      </c>
      <c r="E23678" s="1">
        <v>9.9244875943905006E-2</v>
      </c>
      <c r="F23678" s="1">
        <v>0.170436545027007</v>
      </c>
    </row>
    <row r="23679" spans="1:6" x14ac:dyDescent="0.25">
      <c r="A23679" s="2" t="str">
        <f t="shared" si="825"/>
        <v>23580</v>
      </c>
      <c r="B23679" s="2" t="str">
        <f>"30531"</f>
        <v>30531</v>
      </c>
      <c r="C23679" s="1">
        <v>4.4068394147717198E-4</v>
      </c>
      <c r="D23679" s="1">
        <v>1.10901630253964E-4</v>
      </c>
      <c r="E23679" s="1">
        <v>0</v>
      </c>
      <c r="F23679" s="1">
        <v>4.0338846308995502E-4</v>
      </c>
    </row>
    <row r="23680" spans="1:6" x14ac:dyDescent="0.25">
      <c r="A23680" s="2" t="str">
        <f t="shared" si="825"/>
        <v>23580</v>
      </c>
      <c r="B23680" s="2" t="str">
        <f>"30503"</f>
        <v>30503</v>
      </c>
      <c r="C23680" s="1">
        <v>1.8354486162524199E-2</v>
      </c>
      <c r="D23680" s="1">
        <v>7.2307862925584998E-2</v>
      </c>
      <c r="E23680" s="1">
        <v>5.3937432578209197E-4</v>
      </c>
      <c r="F23680" s="1">
        <v>2.2816045022087901E-2</v>
      </c>
    </row>
    <row r="23681" spans="1:6" x14ac:dyDescent="0.25">
      <c r="A23681" s="2" t="str">
        <f t="shared" si="825"/>
        <v>23580</v>
      </c>
      <c r="B23681" s="2" t="str">
        <f>"30501"</f>
        <v>30501</v>
      </c>
      <c r="C23681" s="1">
        <v>0.151925788824255</v>
      </c>
      <c r="D23681" s="1">
        <v>0.383719640678717</v>
      </c>
      <c r="E23681" s="1">
        <v>0.42179072276159602</v>
      </c>
      <c r="F23681" s="1">
        <v>0.17741221381556199</v>
      </c>
    </row>
    <row r="23682" spans="1:6" x14ac:dyDescent="0.25">
      <c r="A23682" s="2" t="str">
        <f t="shared" si="825"/>
        <v>23580</v>
      </c>
      <c r="B23682" s="2" t="str">
        <f>"30575"</f>
        <v>30575</v>
      </c>
      <c r="C23682" s="1">
        <v>2.26952229860743E-3</v>
      </c>
      <c r="D23682" s="1">
        <v>8.8721304203171695E-4</v>
      </c>
      <c r="E23682" s="1">
        <v>1.6181229773462699E-3</v>
      </c>
      <c r="F23682" s="1">
        <v>2.1350072314761E-3</v>
      </c>
    </row>
    <row r="23683" spans="1:6" x14ac:dyDescent="0.25">
      <c r="A23683" s="2" t="str">
        <f t="shared" si="825"/>
        <v>23580</v>
      </c>
      <c r="B23683" s="2" t="str">
        <f>"30528"</f>
        <v>30528</v>
      </c>
      <c r="C23683" s="1">
        <v>3.3051295610787902E-5</v>
      </c>
      <c r="D23683" s="1">
        <v>0</v>
      </c>
      <c r="E23683" s="1">
        <v>0</v>
      </c>
      <c r="F23683" s="1">
        <v>2.95162290065821E-5</v>
      </c>
    </row>
    <row r="23684" spans="1:6" x14ac:dyDescent="0.25">
      <c r="A23684" s="2" t="str">
        <f t="shared" si="825"/>
        <v>23580</v>
      </c>
      <c r="B23684" s="2" t="str">
        <f>"30527"</f>
        <v>30527</v>
      </c>
      <c r="C23684" s="1">
        <v>2.7730037017451001E-2</v>
      </c>
      <c r="D23684" s="1">
        <v>1.874237551292E-2</v>
      </c>
      <c r="E23684" s="1">
        <v>7.5512405609492904E-3</v>
      </c>
      <c r="F23684" s="1">
        <v>2.6564606105923899E-2</v>
      </c>
    </row>
    <row r="23685" spans="1:6" x14ac:dyDescent="0.25">
      <c r="A23685" s="2" t="str">
        <f t="shared" si="825"/>
        <v>23580</v>
      </c>
      <c r="B23685" s="2" t="str">
        <f>"30518"</f>
        <v>30518</v>
      </c>
      <c r="C23685" s="1">
        <v>2.5096950467124901E-2</v>
      </c>
      <c r="D23685" s="1">
        <v>7.8407452589553006E-2</v>
      </c>
      <c r="E23685" s="1">
        <v>9.2233009708737795E-2</v>
      </c>
      <c r="F23685" s="1">
        <v>3.1051072914924299E-2</v>
      </c>
    </row>
    <row r="23686" spans="1:6" x14ac:dyDescent="0.25">
      <c r="A23686" s="2" t="str">
        <f t="shared" si="825"/>
        <v>23580</v>
      </c>
      <c r="B23686" s="2" t="str">
        <f>"30517"</f>
        <v>30517</v>
      </c>
      <c r="C23686" s="1">
        <v>1.6734972677595598E-2</v>
      </c>
      <c r="D23686" s="1">
        <v>1.9075080403681902E-2</v>
      </c>
      <c r="E23686" s="1">
        <v>1.45631067961165E-2</v>
      </c>
      <c r="F23686" s="1">
        <v>1.6902960477769301E-2</v>
      </c>
    </row>
    <row r="23687" spans="1:6" x14ac:dyDescent="0.25">
      <c r="A23687" s="2" t="str">
        <f t="shared" si="825"/>
        <v>23580</v>
      </c>
      <c r="B23687" s="2" t="str">
        <f>"30554"</f>
        <v>30554</v>
      </c>
      <c r="C23687" s="1">
        <v>2.8446148422351401E-2</v>
      </c>
      <c r="D23687" s="1">
        <v>7.3195075967616699E-3</v>
      </c>
      <c r="E23687" s="1">
        <v>3.77562028047464E-3</v>
      </c>
      <c r="F23687" s="1">
        <v>2.6121862670825099E-2</v>
      </c>
    </row>
    <row r="23688" spans="1:6" x14ac:dyDescent="0.25">
      <c r="A23688" s="2" t="str">
        <f t="shared" si="825"/>
        <v>23580</v>
      </c>
      <c r="B23688" s="2" t="str">
        <f>"30543"</f>
        <v>30543</v>
      </c>
      <c r="C23688" s="1">
        <v>1.53137669663317E-2</v>
      </c>
      <c r="D23688" s="1">
        <v>2.43983586558722E-3</v>
      </c>
      <c r="E23688" s="1">
        <v>5.3937432578209197E-4</v>
      </c>
      <c r="F23688" s="1">
        <v>1.39021438621001E-2</v>
      </c>
    </row>
    <row r="23689" spans="1:6" x14ac:dyDescent="0.25">
      <c r="A23689" s="2" t="str">
        <f t="shared" si="825"/>
        <v>23580</v>
      </c>
      <c r="B23689" s="2" t="str">
        <f>"30510"</f>
        <v>30510</v>
      </c>
      <c r="C23689" s="1">
        <v>2.5229155649568102E-3</v>
      </c>
      <c r="D23689" s="1">
        <v>1.5526228235555001E-3</v>
      </c>
      <c r="E23689" s="1">
        <v>0</v>
      </c>
      <c r="F23689" s="1">
        <v>2.3908145495331501E-3</v>
      </c>
    </row>
    <row r="23690" spans="1:6" x14ac:dyDescent="0.25">
      <c r="A23690" s="2" t="str">
        <f t="shared" si="825"/>
        <v>23580</v>
      </c>
      <c r="B23690" s="2" t="str">
        <f>"30566"</f>
        <v>30566</v>
      </c>
      <c r="C23690" s="1">
        <v>5.2716816499206703E-2</v>
      </c>
      <c r="D23690" s="1">
        <v>6.8204502606188294E-2</v>
      </c>
      <c r="E23690" s="1">
        <v>9.1693635382955704E-2</v>
      </c>
      <c r="F23690" s="1">
        <v>5.48017985222208E-2</v>
      </c>
    </row>
    <row r="23691" spans="1:6" x14ac:dyDescent="0.25">
      <c r="A23691" s="2" t="str">
        <f t="shared" si="825"/>
        <v>23580</v>
      </c>
      <c r="B23691" s="2" t="str">
        <f>"30564"</f>
        <v>30564</v>
      </c>
      <c r="C23691" s="1">
        <v>2.04367177860038E-2</v>
      </c>
      <c r="D23691" s="1">
        <v>1.8298768991904101E-2</v>
      </c>
      <c r="E23691" s="1">
        <v>3.77562028047464E-3</v>
      </c>
      <c r="F23691" s="1">
        <v>1.9943132065447299E-2</v>
      </c>
    </row>
    <row r="23692" spans="1:6" x14ac:dyDescent="0.25">
      <c r="A23692" s="2" t="str">
        <f t="shared" si="825"/>
        <v>23580</v>
      </c>
      <c r="B23692" s="2" t="str">
        <f>"30567"</f>
        <v>30567</v>
      </c>
      <c r="C23692" s="1">
        <v>3.52547153181738E-4</v>
      </c>
      <c r="D23692" s="1">
        <v>1.10901630253964E-4</v>
      </c>
      <c r="E23692" s="1">
        <v>0</v>
      </c>
      <c r="F23692" s="1">
        <v>3.2467851907240302E-4</v>
      </c>
    </row>
    <row r="23693" spans="1:6" x14ac:dyDescent="0.25">
      <c r="A23693" s="2" t="str">
        <f t="shared" si="825"/>
        <v>23580</v>
      </c>
      <c r="B23693" s="2" t="str">
        <f>"30548"</f>
        <v>30548</v>
      </c>
      <c r="C23693" s="1">
        <v>2.4248633879781399E-2</v>
      </c>
      <c r="D23693" s="1">
        <v>2.6616391260951499E-3</v>
      </c>
      <c r="E23693" s="1">
        <v>3.2362459546925498E-3</v>
      </c>
      <c r="F23693" s="1">
        <v>2.1950235637894899E-2</v>
      </c>
    </row>
    <row r="23694" spans="1:6" x14ac:dyDescent="0.25">
      <c r="A23694" s="2" t="str">
        <f t="shared" si="825"/>
        <v>23580</v>
      </c>
      <c r="B23694" s="2" t="str">
        <f>"30533"</f>
        <v>30533</v>
      </c>
      <c r="C23694" s="1">
        <v>2.0381632293319202E-3</v>
      </c>
      <c r="D23694" s="1">
        <v>3.3270489076189401E-4</v>
      </c>
      <c r="E23694" s="1">
        <v>2.15749730312837E-3</v>
      </c>
      <c r="F23694" s="1">
        <v>1.88903865642125E-3</v>
      </c>
    </row>
    <row r="23695" spans="1:6" x14ac:dyDescent="0.25">
      <c r="A23695" s="2" t="str">
        <f t="shared" si="825"/>
        <v>23580</v>
      </c>
      <c r="B23695" s="2" t="str">
        <f>"30504"</f>
        <v>30504</v>
      </c>
      <c r="C23695" s="1">
        <v>0.135774722369116</v>
      </c>
      <c r="D23695" s="1">
        <v>0.107241876455583</v>
      </c>
      <c r="E23695" s="1">
        <v>6.3646170442286903E-2</v>
      </c>
      <c r="F23695" s="1">
        <v>0.131927704916419</v>
      </c>
    </row>
    <row r="23696" spans="1:6" x14ac:dyDescent="0.25">
      <c r="A23696" s="2" t="str">
        <f t="shared" si="825"/>
        <v>23580</v>
      </c>
      <c r="B23696" s="2" t="str">
        <f>"30507"</f>
        <v>30507</v>
      </c>
      <c r="C23696" s="1">
        <v>0.114478670897232</v>
      </c>
      <c r="D23696" s="1">
        <v>5.3565487412664897E-2</v>
      </c>
      <c r="E23696" s="1">
        <v>6.0409924487594302E-2</v>
      </c>
      <c r="F23696" s="1">
        <v>0.10808843062210299</v>
      </c>
    </row>
    <row r="23697" spans="1:6" x14ac:dyDescent="0.25">
      <c r="A23697" s="2" t="str">
        <f t="shared" si="825"/>
        <v>23580</v>
      </c>
      <c r="B23697" s="2" t="str">
        <f>"30502"</f>
        <v>30502</v>
      </c>
      <c r="C23697" s="1">
        <v>4.9576943416181898E-3</v>
      </c>
      <c r="D23697" s="1">
        <v>1.26427858489519E-2</v>
      </c>
      <c r="E23697" s="1">
        <v>1.07874865156418E-3</v>
      </c>
      <c r="F23697" s="1">
        <v>5.5687285392418198E-3</v>
      </c>
    </row>
    <row r="23698" spans="1:6" x14ac:dyDescent="0.25">
      <c r="A23698" s="2" t="str">
        <f t="shared" si="825"/>
        <v>23580</v>
      </c>
      <c r="B23698" s="2" t="str">
        <f>"30506"</f>
        <v>30506</v>
      </c>
      <c r="C23698" s="1">
        <v>0.1662590340208</v>
      </c>
      <c r="D23698" s="1">
        <v>3.07197515803482E-2</v>
      </c>
      <c r="E23698" s="1">
        <v>0.12621359223300899</v>
      </c>
      <c r="F23698" s="1">
        <v>0.153504068320231</v>
      </c>
    </row>
    <row r="23699" spans="1:6" x14ac:dyDescent="0.25">
      <c r="A23699" s="2" t="str">
        <f t="shared" ref="A23699:A23730" si="826">"16860"</f>
        <v>16860</v>
      </c>
      <c r="B23699" s="2" t="str">
        <f>"37366"</f>
        <v>37366</v>
      </c>
      <c r="C23699" s="1">
        <v>3.4670216896876902E-6</v>
      </c>
      <c r="D23699" s="1">
        <v>0</v>
      </c>
      <c r="E23699" s="1">
        <v>0</v>
      </c>
      <c r="F23699" s="1">
        <v>3.06326562495213E-6</v>
      </c>
    </row>
    <row r="23700" spans="1:6" x14ac:dyDescent="0.25">
      <c r="A23700" s="2" t="str">
        <f t="shared" si="826"/>
        <v>16860</v>
      </c>
      <c r="B23700" s="2" t="str">
        <f>"37363"</f>
        <v>37363</v>
      </c>
      <c r="C23700" s="1">
        <v>6.5634187607477606E-2</v>
      </c>
      <c r="D23700" s="1">
        <v>3.34693058713387E-2</v>
      </c>
      <c r="E23700" s="1">
        <v>4.0325564187939297E-2</v>
      </c>
      <c r="F23700" s="1">
        <v>6.2058698295905303E-2</v>
      </c>
    </row>
    <row r="23701" spans="1:6" x14ac:dyDescent="0.25">
      <c r="A23701" s="2" t="str">
        <f t="shared" si="826"/>
        <v>16860</v>
      </c>
      <c r="B23701" s="2" t="str">
        <f>"37405"</f>
        <v>37405</v>
      </c>
      <c r="C23701" s="1">
        <v>4.0824180396072503E-2</v>
      </c>
      <c r="D23701" s="1">
        <v>4.9652266951985997E-2</v>
      </c>
      <c r="E23701" s="1">
        <v>7.2265384141077804E-2</v>
      </c>
      <c r="F23701" s="1">
        <v>4.2413975843087197E-2</v>
      </c>
    </row>
    <row r="23702" spans="1:6" x14ac:dyDescent="0.25">
      <c r="A23702" s="2" t="str">
        <f t="shared" si="826"/>
        <v>16860</v>
      </c>
      <c r="B23702" s="2" t="str">
        <f>"37407"</f>
        <v>37407</v>
      </c>
      <c r="C23702" s="1">
        <v>1.3594192045265401E-2</v>
      </c>
      <c r="D23702" s="1">
        <v>2.11983415808479E-2</v>
      </c>
      <c r="E23702" s="1">
        <v>2.2567517573066902E-2</v>
      </c>
      <c r="F23702" s="1">
        <v>1.4513752531023201E-2</v>
      </c>
    </row>
    <row r="23703" spans="1:6" x14ac:dyDescent="0.25">
      <c r="A23703" s="2" t="str">
        <f t="shared" si="826"/>
        <v>16860</v>
      </c>
      <c r="B23703" s="2" t="str">
        <f>"37419"</f>
        <v>37419</v>
      </c>
      <c r="C23703" s="1">
        <v>1.23356631719088E-2</v>
      </c>
      <c r="D23703" s="1">
        <v>1.0398555570415901E-2</v>
      </c>
      <c r="E23703" s="1">
        <v>8.6323837711185097E-3</v>
      </c>
      <c r="F23703" s="1">
        <v>1.20662032966864E-2</v>
      </c>
    </row>
    <row r="23704" spans="1:6" x14ac:dyDescent="0.25">
      <c r="A23704" s="2" t="str">
        <f t="shared" si="826"/>
        <v>16860</v>
      </c>
      <c r="B23704" s="2" t="str">
        <f>"37406"</f>
        <v>37406</v>
      </c>
      <c r="C23704" s="1">
        <v>2.4636656126920699E-2</v>
      </c>
      <c r="D23704" s="1">
        <v>3.23993580312959E-2</v>
      </c>
      <c r="E23704" s="1">
        <v>1.70181280059193E-2</v>
      </c>
      <c r="F23704" s="1">
        <v>2.51586005777318E-2</v>
      </c>
    </row>
    <row r="23705" spans="1:6" x14ac:dyDescent="0.25">
      <c r="A23705" s="2" t="str">
        <f t="shared" si="826"/>
        <v>16860</v>
      </c>
      <c r="B23705" s="2" t="str">
        <f>"37340"</f>
        <v>37340</v>
      </c>
      <c r="C23705" s="1">
        <v>8.7368946580129801E-4</v>
      </c>
      <c r="D23705" s="1">
        <v>3.3435870001337402E-4</v>
      </c>
      <c r="E23705" s="1">
        <v>6.1659884079417896E-4</v>
      </c>
      <c r="F23705" s="1">
        <v>8.1789192186221998E-4</v>
      </c>
    </row>
    <row r="23706" spans="1:6" x14ac:dyDescent="0.25">
      <c r="A23706" s="2" t="str">
        <f t="shared" si="826"/>
        <v>16860</v>
      </c>
      <c r="B23706" s="2" t="str">
        <f>"37327"</f>
        <v>37327</v>
      </c>
      <c r="C23706" s="1">
        <v>2.27783325012481E-2</v>
      </c>
      <c r="D23706" s="1">
        <v>1.3073425170522899E-2</v>
      </c>
      <c r="E23706" s="1">
        <v>1.1592058206930499E-2</v>
      </c>
      <c r="F23706" s="1">
        <v>2.16113389840373E-2</v>
      </c>
    </row>
    <row r="23707" spans="1:6" x14ac:dyDescent="0.25">
      <c r="A23707" s="2" t="str">
        <f t="shared" si="826"/>
        <v>16860</v>
      </c>
      <c r="B23707" s="2" t="str">
        <f>"37308"</f>
        <v>37308</v>
      </c>
      <c r="C23707" s="1">
        <v>3.5606312753092501E-3</v>
      </c>
      <c r="D23707" s="1">
        <v>7.3558914002942299E-4</v>
      </c>
      <c r="E23707" s="1">
        <v>0</v>
      </c>
      <c r="F23707" s="1">
        <v>3.21336564057479E-3</v>
      </c>
    </row>
    <row r="23708" spans="1:6" x14ac:dyDescent="0.25">
      <c r="A23708" s="2" t="str">
        <f t="shared" si="826"/>
        <v>16860</v>
      </c>
      <c r="B23708" s="2" t="str">
        <f>"30747"</f>
        <v>30747</v>
      </c>
      <c r="C23708" s="1">
        <v>4.71514949797525E-4</v>
      </c>
      <c r="D23708" s="1">
        <v>6.6871740002674796E-5</v>
      </c>
      <c r="E23708" s="1">
        <v>0</v>
      </c>
      <c r="F23708" s="1">
        <v>4.22730656243394E-4</v>
      </c>
    </row>
    <row r="23709" spans="1:6" x14ac:dyDescent="0.25">
      <c r="A23709" s="2" t="str">
        <f t="shared" si="826"/>
        <v>16860</v>
      </c>
      <c r="B23709" s="2" t="str">
        <f>"30746"</f>
        <v>30746</v>
      </c>
      <c r="C23709" s="1">
        <v>2.4269151827813801E-5</v>
      </c>
      <c r="D23709" s="1">
        <v>0</v>
      </c>
      <c r="E23709" s="1">
        <v>0</v>
      </c>
      <c r="F23709" s="1">
        <v>2.1442859374664901E-5</v>
      </c>
    </row>
    <row r="23710" spans="1:6" x14ac:dyDescent="0.25">
      <c r="A23710" s="2" t="str">
        <f t="shared" si="826"/>
        <v>16860</v>
      </c>
      <c r="B23710" s="2" t="str">
        <f>"37365"</f>
        <v>37365</v>
      </c>
      <c r="C23710" s="1">
        <v>1.1787873744938101E-4</v>
      </c>
      <c r="D23710" s="1">
        <v>3.3435870001337398E-5</v>
      </c>
      <c r="E23710" s="1">
        <v>0</v>
      </c>
      <c r="F23710" s="1">
        <v>1.07214296873324E-4</v>
      </c>
    </row>
    <row r="23711" spans="1:6" x14ac:dyDescent="0.25">
      <c r="A23711" s="2" t="str">
        <f t="shared" si="826"/>
        <v>16860</v>
      </c>
      <c r="B23711" s="2" t="str">
        <f>"37353"</f>
        <v>37353</v>
      </c>
      <c r="C23711" s="1">
        <v>1.1683863094247499E-3</v>
      </c>
      <c r="D23711" s="1">
        <v>3.3435870001337402E-4</v>
      </c>
      <c r="E23711" s="1">
        <v>0</v>
      </c>
      <c r="F23711" s="1">
        <v>1.0629531718583901E-3</v>
      </c>
    </row>
    <row r="23712" spans="1:6" x14ac:dyDescent="0.25">
      <c r="A23712" s="2" t="str">
        <f t="shared" si="826"/>
        <v>16860</v>
      </c>
      <c r="B23712" s="2" t="str">
        <f>"37421"</f>
        <v>37421</v>
      </c>
      <c r="C23712" s="1">
        <v>8.3898457868752399E-2</v>
      </c>
      <c r="D23712" s="1">
        <v>0.132874147385314</v>
      </c>
      <c r="E23712" s="1">
        <v>0.101862128499198</v>
      </c>
      <c r="F23712" s="1">
        <v>8.8831639857987005E-2</v>
      </c>
    </row>
    <row r="23713" spans="1:6" x14ac:dyDescent="0.25">
      <c r="A23713" s="2" t="str">
        <f t="shared" si="826"/>
        <v>16860</v>
      </c>
      <c r="B23713" s="2" t="str">
        <f>"37396"</f>
        <v>37396</v>
      </c>
      <c r="C23713" s="1">
        <v>1.76818106174072E-4</v>
      </c>
      <c r="D23713" s="1">
        <v>3.3435870001337398E-5</v>
      </c>
      <c r="E23713" s="1">
        <v>0</v>
      </c>
      <c r="F23713" s="1">
        <v>1.5928981249751099E-4</v>
      </c>
    </row>
    <row r="23714" spans="1:6" x14ac:dyDescent="0.25">
      <c r="A23714" s="2" t="str">
        <f t="shared" si="826"/>
        <v>16860</v>
      </c>
      <c r="B23714" s="2" t="str">
        <f>"37415"</f>
        <v>37415</v>
      </c>
      <c r="C23714" s="1">
        <v>4.8323348310867001E-2</v>
      </c>
      <c r="D23714" s="1">
        <v>4.14939146716597E-2</v>
      </c>
      <c r="E23714" s="1">
        <v>5.1054384017757998E-2</v>
      </c>
      <c r="F23714" s="1">
        <v>4.7765500889878597E-2</v>
      </c>
    </row>
    <row r="23715" spans="1:6" x14ac:dyDescent="0.25">
      <c r="A23715" s="2" t="str">
        <f t="shared" si="826"/>
        <v>16860</v>
      </c>
      <c r="B23715" s="2" t="str">
        <f>"37377"</f>
        <v>37377</v>
      </c>
      <c r="C23715" s="1">
        <v>2.9050174737893099E-2</v>
      </c>
      <c r="D23715" s="1">
        <v>1.6316704560652599E-2</v>
      </c>
      <c r="E23715" s="1">
        <v>2.0964360587002E-2</v>
      </c>
      <c r="F23715" s="1">
        <v>2.76827314526924E-2</v>
      </c>
    </row>
    <row r="23716" spans="1:6" x14ac:dyDescent="0.25">
      <c r="A23716" s="2" t="str">
        <f t="shared" si="826"/>
        <v>16860</v>
      </c>
      <c r="B23716" s="2" t="str">
        <f>"37110"</f>
        <v>37110</v>
      </c>
      <c r="C23716" s="1">
        <v>1.73351084484384E-5</v>
      </c>
      <c r="D23716" s="1">
        <v>0</v>
      </c>
      <c r="E23716" s="1">
        <v>0</v>
      </c>
      <c r="F23716" s="1">
        <v>1.5316328124760598E-5</v>
      </c>
    </row>
    <row r="23717" spans="1:6" x14ac:dyDescent="0.25">
      <c r="A23717" s="2" t="str">
        <f t="shared" si="826"/>
        <v>16860</v>
      </c>
      <c r="B23717" s="2" t="str">
        <f>"30738"</f>
        <v>30738</v>
      </c>
      <c r="C23717" s="1">
        <v>7.0484550951350703E-3</v>
      </c>
      <c r="D23717" s="1">
        <v>2.0730239400829202E-3</v>
      </c>
      <c r="E23717" s="1">
        <v>4.9327907263534295E-4</v>
      </c>
      <c r="F23717" s="1">
        <v>6.4297945467745301E-3</v>
      </c>
    </row>
    <row r="23718" spans="1:6" x14ac:dyDescent="0.25">
      <c r="A23718" s="2" t="str">
        <f t="shared" si="826"/>
        <v>16860</v>
      </c>
      <c r="B23718" s="2" t="str">
        <f>"30731"</f>
        <v>30731</v>
      </c>
      <c r="C23718" s="1">
        <v>1.42147889277195E-3</v>
      </c>
      <c r="D23718" s="1">
        <v>3.3435870001337402E-4</v>
      </c>
      <c r="E23718" s="1">
        <v>0</v>
      </c>
      <c r="F23718" s="1">
        <v>1.2865715624798899E-3</v>
      </c>
    </row>
    <row r="23719" spans="1:6" x14ac:dyDescent="0.25">
      <c r="A23719" s="2" t="str">
        <f t="shared" si="826"/>
        <v>16860</v>
      </c>
      <c r="B23719" s="2" t="str">
        <f>"30707"</f>
        <v>30707</v>
      </c>
      <c r="C23719" s="1">
        <v>2.5139374271925401E-2</v>
      </c>
      <c r="D23719" s="1">
        <v>9.9304533903972099E-3</v>
      </c>
      <c r="E23719" s="1">
        <v>8.7557035392773399E-3</v>
      </c>
      <c r="F23719" s="1">
        <v>2.3339020796510301E-2</v>
      </c>
    </row>
    <row r="23720" spans="1:6" x14ac:dyDescent="0.25">
      <c r="A23720" s="2" t="str">
        <f t="shared" si="826"/>
        <v>16860</v>
      </c>
      <c r="B23720" s="2" t="str">
        <f>"37343"</f>
        <v>37343</v>
      </c>
      <c r="C23720" s="1">
        <v>7.3507793864758406E-2</v>
      </c>
      <c r="D23720" s="1">
        <v>6.77076367527083E-2</v>
      </c>
      <c r="E23720" s="1">
        <v>0.111234430879269</v>
      </c>
      <c r="F23720" s="1">
        <v>7.3913536264470101E-2</v>
      </c>
    </row>
    <row r="23721" spans="1:6" x14ac:dyDescent="0.25">
      <c r="A23721" s="2" t="str">
        <f t="shared" si="826"/>
        <v>16860</v>
      </c>
      <c r="B23721" s="2" t="str">
        <f>"37401"</f>
        <v>37401</v>
      </c>
      <c r="C23721" s="1">
        <v>4.1361568757974096E-3</v>
      </c>
      <c r="D23721" s="1">
        <v>1.36083990905443E-2</v>
      </c>
      <c r="E23721" s="1">
        <v>2.4663953631767099E-4</v>
      </c>
      <c r="F23721" s="1">
        <v>4.9073515311733196E-3</v>
      </c>
    </row>
    <row r="23722" spans="1:6" x14ac:dyDescent="0.25">
      <c r="A23722" s="2" t="str">
        <f t="shared" si="826"/>
        <v>16860</v>
      </c>
      <c r="B23722" s="2" t="str">
        <f>"37410"</f>
        <v>37410</v>
      </c>
      <c r="C23722" s="1">
        <v>7.6725189992788503E-3</v>
      </c>
      <c r="D23722" s="1">
        <v>5.6506620302260203E-3</v>
      </c>
      <c r="E23722" s="1">
        <v>8.1391046984831596E-3</v>
      </c>
      <c r="F23722" s="1">
        <v>7.4988742498828297E-3</v>
      </c>
    </row>
    <row r="23723" spans="1:6" x14ac:dyDescent="0.25">
      <c r="A23723" s="2" t="str">
        <f t="shared" si="826"/>
        <v>16860</v>
      </c>
      <c r="B23723" s="2" t="str">
        <f>"37379"</f>
        <v>37379</v>
      </c>
      <c r="C23723" s="1">
        <v>4.4599767016142398E-2</v>
      </c>
      <c r="D23723" s="1">
        <v>1.6517319780660601E-2</v>
      </c>
      <c r="E23723" s="1">
        <v>1.3935133801948401E-2</v>
      </c>
      <c r="F23723" s="1">
        <v>4.1265251233730198E-2</v>
      </c>
    </row>
    <row r="23724" spans="1:6" x14ac:dyDescent="0.25">
      <c r="A23724" s="2" t="str">
        <f t="shared" si="826"/>
        <v>16860</v>
      </c>
      <c r="B23724" s="2" t="str">
        <f>"30741"</f>
        <v>30741</v>
      </c>
      <c r="C23724" s="1">
        <v>5.2553114772285997E-2</v>
      </c>
      <c r="D23724" s="1">
        <v>3.8651865721545997E-2</v>
      </c>
      <c r="E23724" s="1">
        <v>4.0325564187939297E-2</v>
      </c>
      <c r="F23724" s="1">
        <v>5.0975803264828499E-2</v>
      </c>
    </row>
    <row r="23725" spans="1:6" x14ac:dyDescent="0.25">
      <c r="A23725" s="2" t="str">
        <f t="shared" si="826"/>
        <v>16860</v>
      </c>
      <c r="B23725" s="2" t="str">
        <f>"30736"</f>
        <v>30736</v>
      </c>
      <c r="C23725" s="1">
        <v>6.6032895101791694E-2</v>
      </c>
      <c r="D23725" s="1">
        <v>4.8314832151932503E-2</v>
      </c>
      <c r="E23725" s="1">
        <v>1.4798372179060299E-3</v>
      </c>
      <c r="F23725" s="1">
        <v>6.2806135108393599E-2</v>
      </c>
    </row>
    <row r="23726" spans="1:6" x14ac:dyDescent="0.25">
      <c r="A23726" s="2" t="str">
        <f t="shared" si="826"/>
        <v>16860</v>
      </c>
      <c r="B23726" s="2" t="str">
        <f>"37373"</f>
        <v>37373</v>
      </c>
      <c r="C23726" s="1">
        <v>5.7621900482609399E-3</v>
      </c>
      <c r="D23726" s="1">
        <v>2.47425438009897E-3</v>
      </c>
      <c r="E23726" s="1">
        <v>1.10987791342952E-3</v>
      </c>
      <c r="F23726" s="1">
        <v>5.3453985155414701E-3</v>
      </c>
    </row>
    <row r="23727" spans="1:6" x14ac:dyDescent="0.25">
      <c r="A23727" s="2" t="str">
        <f t="shared" si="826"/>
        <v>16860</v>
      </c>
      <c r="B23727" s="2" t="str">
        <f>"37356"</f>
        <v>37356</v>
      </c>
      <c r="C23727" s="1">
        <v>1.86525766905197E-3</v>
      </c>
      <c r="D23727" s="1">
        <v>2.47425438009897E-3</v>
      </c>
      <c r="E23727" s="1">
        <v>4.9327907263534295E-4</v>
      </c>
      <c r="F23727" s="1">
        <v>1.8869716249705099E-3</v>
      </c>
    </row>
    <row r="23728" spans="1:6" x14ac:dyDescent="0.25">
      <c r="A23728" s="2" t="str">
        <f t="shared" si="826"/>
        <v>16860</v>
      </c>
      <c r="B23728" s="2" t="str">
        <f>"37422"</f>
        <v>37422</v>
      </c>
      <c r="C23728" s="1">
        <v>4.5591335219393103E-3</v>
      </c>
      <c r="D23728" s="1">
        <v>1.7520395880700802E-2</v>
      </c>
      <c r="E23728" s="1">
        <v>2.4663953631767099E-4</v>
      </c>
      <c r="F23728" s="1">
        <v>5.6394720155368804E-3</v>
      </c>
    </row>
    <row r="23729" spans="1:6" x14ac:dyDescent="0.25">
      <c r="A23729" s="2" t="str">
        <f t="shared" si="826"/>
        <v>16860</v>
      </c>
      <c r="B23729" s="2" t="str">
        <f>"37403"</f>
        <v>37403</v>
      </c>
      <c r="C23729" s="1">
        <v>1.02727852665446E-2</v>
      </c>
      <c r="D23729" s="1">
        <v>2.6982747091079302E-2</v>
      </c>
      <c r="E23729" s="1">
        <v>4.2052040942162999E-2</v>
      </c>
      <c r="F23729" s="1">
        <v>1.25930849841782E-2</v>
      </c>
    </row>
    <row r="23730" spans="1:6" x14ac:dyDescent="0.25">
      <c r="A23730" s="2" t="str">
        <f t="shared" si="826"/>
        <v>16860</v>
      </c>
      <c r="B23730" s="2" t="str">
        <f>"37402"</f>
        <v>37402</v>
      </c>
      <c r="C23730" s="1">
        <v>1.25090142563931E-2</v>
      </c>
      <c r="D23730" s="1">
        <v>5.6105389862244198E-2</v>
      </c>
      <c r="E23730" s="1">
        <v>4.9081267727216597E-2</v>
      </c>
      <c r="F23730" s="1">
        <v>1.7411601812227898E-2</v>
      </c>
    </row>
    <row r="23731" spans="1:6" x14ac:dyDescent="0.25">
      <c r="A23731" s="2" t="str">
        <f t="shared" ref="A23731:A23762" si="827">"16860"</f>
        <v>16860</v>
      </c>
      <c r="B23731" s="2" t="str">
        <f>"37408"</f>
        <v>37408</v>
      </c>
      <c r="C23731" s="1">
        <v>6.8751040106506903E-3</v>
      </c>
      <c r="D23731" s="1">
        <v>2.6949311221077899E-2</v>
      </c>
      <c r="E23731" s="1">
        <v>2.3430755950178801E-2</v>
      </c>
      <c r="F23731" s="1">
        <v>9.1254682967324106E-3</v>
      </c>
    </row>
    <row r="23732" spans="1:6" x14ac:dyDescent="0.25">
      <c r="A23732" s="2" t="str">
        <f t="shared" si="827"/>
        <v>16860</v>
      </c>
      <c r="B23732" s="2" t="str">
        <f>"37336"</f>
        <v>37336</v>
      </c>
      <c r="C23732" s="1">
        <v>2.1460864259166801E-3</v>
      </c>
      <c r="D23732" s="1">
        <v>8.3589675003343503E-4</v>
      </c>
      <c r="E23732" s="1">
        <v>0</v>
      </c>
      <c r="F23732" s="1">
        <v>1.9727430624691699E-3</v>
      </c>
    </row>
    <row r="23733" spans="1:6" x14ac:dyDescent="0.25">
      <c r="A23733" s="2" t="str">
        <f t="shared" si="827"/>
        <v>16860</v>
      </c>
      <c r="B23733" s="2" t="str">
        <f>"37384"</f>
        <v>37384</v>
      </c>
      <c r="C23733" s="1">
        <v>3.73398235979364E-3</v>
      </c>
      <c r="D23733" s="1">
        <v>4.1460478801658403E-3</v>
      </c>
      <c r="E23733" s="1">
        <v>2.4663953631767099E-4</v>
      </c>
      <c r="F23733" s="1">
        <v>3.6851085468174202E-3</v>
      </c>
    </row>
    <row r="23734" spans="1:6" x14ac:dyDescent="0.25">
      <c r="A23734" s="2" t="str">
        <f t="shared" si="827"/>
        <v>16860</v>
      </c>
      <c r="B23734" s="2" t="str">
        <f>"37315"</f>
        <v>37315</v>
      </c>
      <c r="C23734" s="1">
        <v>6.5665390802684799E-3</v>
      </c>
      <c r="D23734" s="1">
        <v>4.3800989701752004E-3</v>
      </c>
      <c r="E23734" s="1">
        <v>1.2331976815883501E-4</v>
      </c>
      <c r="F23734" s="1">
        <v>6.2061761561530201E-3</v>
      </c>
    </row>
    <row r="23735" spans="1:6" x14ac:dyDescent="0.25">
      <c r="A23735" s="2" t="str">
        <f t="shared" si="827"/>
        <v>16860</v>
      </c>
      <c r="B23735" s="2" t="str">
        <f>"37304"</f>
        <v>37304</v>
      </c>
      <c r="C23735" s="1">
        <v>0</v>
      </c>
      <c r="D23735" s="1">
        <v>0</v>
      </c>
      <c r="E23735" s="1">
        <v>1.2331976815883501E-4</v>
      </c>
      <c r="F23735" s="1">
        <v>3.06326562495213E-6</v>
      </c>
    </row>
    <row r="23736" spans="1:6" x14ac:dyDescent="0.25">
      <c r="A23736" s="2" t="str">
        <f t="shared" si="827"/>
        <v>16860</v>
      </c>
      <c r="B23736" s="2" t="str">
        <f>"37311"</f>
        <v>37311</v>
      </c>
      <c r="C23736" s="1">
        <v>1.3868086758750701E-4</v>
      </c>
      <c r="D23736" s="1">
        <v>0</v>
      </c>
      <c r="E23736" s="1">
        <v>2.4663953631767099E-4</v>
      </c>
      <c r="F23736" s="1">
        <v>1.2865715624798901E-4</v>
      </c>
    </row>
    <row r="23737" spans="1:6" x14ac:dyDescent="0.25">
      <c r="A23737" s="2" t="str">
        <f t="shared" si="827"/>
        <v>16860</v>
      </c>
      <c r="B23737" s="2" t="str">
        <f>"37302"</f>
        <v>37302</v>
      </c>
      <c r="C23737" s="1">
        <v>7.37435513396571E-3</v>
      </c>
      <c r="D23737" s="1">
        <v>9.6964023003878502E-4</v>
      </c>
      <c r="E23737" s="1">
        <v>4.5628314218769204E-3</v>
      </c>
      <c r="F23737" s="1">
        <v>6.7177415155200296E-3</v>
      </c>
    </row>
    <row r="23738" spans="1:6" x14ac:dyDescent="0.25">
      <c r="A23738" s="2" t="str">
        <f t="shared" si="827"/>
        <v>16860</v>
      </c>
      <c r="B23738" s="2" t="str">
        <f>"30752"</f>
        <v>30752</v>
      </c>
      <c r="C23738" s="1">
        <v>1.9484661896044801E-2</v>
      </c>
      <c r="D23738" s="1">
        <v>1.45446034505817E-2</v>
      </c>
      <c r="E23738" s="1">
        <v>8.2624244666420002E-3</v>
      </c>
      <c r="F23738" s="1">
        <v>1.8753312155956901E-2</v>
      </c>
    </row>
    <row r="23739" spans="1:6" x14ac:dyDescent="0.25">
      <c r="A23739" s="2" t="str">
        <f t="shared" si="827"/>
        <v>16860</v>
      </c>
      <c r="B23739" s="2" t="str">
        <f>"30750"</f>
        <v>30750</v>
      </c>
      <c r="C23739" s="1">
        <v>5.5680368336384302E-3</v>
      </c>
      <c r="D23739" s="1">
        <v>1.5714858900628501E-3</v>
      </c>
      <c r="E23739" s="1">
        <v>2.5897151313355499E-3</v>
      </c>
      <c r="F23739" s="1">
        <v>5.12790665616987E-3</v>
      </c>
    </row>
    <row r="23740" spans="1:6" x14ac:dyDescent="0.25">
      <c r="A23740" s="2" t="str">
        <f t="shared" si="827"/>
        <v>16860</v>
      </c>
      <c r="B23740" s="2" t="str">
        <f>"30739"</f>
        <v>30739</v>
      </c>
      <c r="C23740" s="1">
        <v>8.2792477949741993E-3</v>
      </c>
      <c r="D23740" s="1">
        <v>3.9454326601578099E-3</v>
      </c>
      <c r="E23740" s="1">
        <v>1.7264767542237E-3</v>
      </c>
      <c r="F23740" s="1">
        <v>7.71942937487938E-3</v>
      </c>
    </row>
    <row r="23741" spans="1:6" x14ac:dyDescent="0.25">
      <c r="A23741" s="2" t="str">
        <f t="shared" si="827"/>
        <v>16860</v>
      </c>
      <c r="B23741" s="2" t="str">
        <f>"37347"</f>
        <v>37347</v>
      </c>
      <c r="C23741" s="1">
        <v>1.32058856160204E-2</v>
      </c>
      <c r="D23741" s="1">
        <v>1.35415273505416E-2</v>
      </c>
      <c r="E23741" s="1">
        <v>8.7557035392773399E-3</v>
      </c>
      <c r="F23741" s="1">
        <v>1.31260932029199E-2</v>
      </c>
    </row>
    <row r="23742" spans="1:6" x14ac:dyDescent="0.25">
      <c r="A23742" s="2" t="str">
        <f t="shared" si="827"/>
        <v>16860</v>
      </c>
      <c r="B23742" s="2" t="str">
        <f>"37424"</f>
        <v>37424</v>
      </c>
      <c r="C23742" s="1">
        <v>2.66267265768014E-3</v>
      </c>
      <c r="D23742" s="1">
        <v>9.86358165039454E-3</v>
      </c>
      <c r="E23742" s="1">
        <v>2.4663953631767099E-4</v>
      </c>
      <c r="F23742" s="1">
        <v>3.2623778905740198E-3</v>
      </c>
    </row>
    <row r="23743" spans="1:6" x14ac:dyDescent="0.25">
      <c r="A23743" s="2" t="str">
        <f t="shared" si="827"/>
        <v>16860</v>
      </c>
      <c r="B23743" s="2" t="str">
        <f>"37412"</f>
        <v>37412</v>
      </c>
      <c r="C23743" s="1">
        <v>4.0598823986242802E-2</v>
      </c>
      <c r="D23743" s="1">
        <v>4.08586331416343E-2</v>
      </c>
      <c r="E23743" s="1">
        <v>6.3633000369959294E-2</v>
      </c>
      <c r="F23743" s="1">
        <v>4.1194796124356302E-2</v>
      </c>
    </row>
    <row r="23744" spans="1:6" x14ac:dyDescent="0.25">
      <c r="A23744" s="2" t="str">
        <f t="shared" si="827"/>
        <v>16860</v>
      </c>
      <c r="B23744" s="2" t="str">
        <f>"37411"</f>
        <v>37411</v>
      </c>
      <c r="C23744" s="1">
        <v>3.1348810118155997E-2</v>
      </c>
      <c r="D23744" s="1">
        <v>3.6545405911461798E-2</v>
      </c>
      <c r="E23744" s="1">
        <v>6.0919965470464903E-2</v>
      </c>
      <c r="F23744" s="1">
        <v>3.2559450327616202E-2</v>
      </c>
    </row>
    <row r="23745" spans="1:6" x14ac:dyDescent="0.25">
      <c r="A23745" s="2" t="str">
        <f t="shared" si="827"/>
        <v>16860</v>
      </c>
      <c r="B23745" s="2" t="str">
        <f>"30757"</f>
        <v>30757</v>
      </c>
      <c r="C23745" s="1">
        <v>2.8048205469573401E-3</v>
      </c>
      <c r="D23745" s="1">
        <v>1.1368195800454701E-3</v>
      </c>
      <c r="E23745" s="1">
        <v>1.10987791342952E-3</v>
      </c>
      <c r="F23745" s="1">
        <v>2.6099023124592198E-3</v>
      </c>
    </row>
    <row r="23746" spans="1:6" x14ac:dyDescent="0.25">
      <c r="A23746" s="2" t="str">
        <f t="shared" si="827"/>
        <v>16860</v>
      </c>
      <c r="B23746" s="2" t="str">
        <f>"30753"</f>
        <v>30753</v>
      </c>
      <c r="C23746" s="1">
        <v>1.9900704498807299E-3</v>
      </c>
      <c r="D23746" s="1">
        <v>3.6779457001471101E-4</v>
      </c>
      <c r="E23746" s="1">
        <v>0</v>
      </c>
      <c r="F23746" s="1">
        <v>1.79201039059699E-3</v>
      </c>
    </row>
    <row r="23747" spans="1:6" x14ac:dyDescent="0.25">
      <c r="A23747" s="2" t="str">
        <f t="shared" si="827"/>
        <v>16860</v>
      </c>
      <c r="B23747" s="2" t="str">
        <f>"30726"</f>
        <v>30726</v>
      </c>
      <c r="C23747" s="1">
        <v>0</v>
      </c>
      <c r="D23747" s="1">
        <v>3.3435870001337398E-5</v>
      </c>
      <c r="E23747" s="1">
        <v>0</v>
      </c>
      <c r="F23747" s="1">
        <v>3.06326562495213E-6</v>
      </c>
    </row>
    <row r="23748" spans="1:6" x14ac:dyDescent="0.25">
      <c r="A23748" s="2" t="str">
        <f t="shared" si="827"/>
        <v>16860</v>
      </c>
      <c r="B23748" s="2" t="str">
        <f>"30725"</f>
        <v>30725</v>
      </c>
      <c r="C23748" s="1">
        <v>9.0489266100848703E-3</v>
      </c>
      <c r="D23748" s="1">
        <v>5.1825598502073002E-3</v>
      </c>
      <c r="E23748" s="1">
        <v>4.19287211740041E-3</v>
      </c>
      <c r="F23748" s="1">
        <v>8.5740804842410201E-3</v>
      </c>
    </row>
    <row r="23749" spans="1:6" x14ac:dyDescent="0.25">
      <c r="A23749" s="2" t="str">
        <f t="shared" si="827"/>
        <v>16860</v>
      </c>
      <c r="B23749" s="2" t="str">
        <f>"37351"</f>
        <v>37351</v>
      </c>
      <c r="C23749" s="1">
        <v>7.4887668497254103E-4</v>
      </c>
      <c r="D23749" s="1">
        <v>3.3435870001337398E-5</v>
      </c>
      <c r="E23749" s="1">
        <v>1.2331976815883501E-4</v>
      </c>
      <c r="F23749" s="1">
        <v>6.6779190623956499E-4</v>
      </c>
    </row>
    <row r="23750" spans="1:6" x14ac:dyDescent="0.25">
      <c r="A23750" s="2" t="str">
        <f t="shared" si="827"/>
        <v>16860</v>
      </c>
      <c r="B23750" s="2" t="str">
        <f>"37397"</f>
        <v>37397</v>
      </c>
      <c r="C23750" s="1">
        <v>1.6856659455261502E-2</v>
      </c>
      <c r="D23750" s="1">
        <v>4.0123044001604902E-3</v>
      </c>
      <c r="E23750" s="1">
        <v>8.1391046984831596E-3</v>
      </c>
      <c r="F23750" s="1">
        <v>1.5463364874758301E-2</v>
      </c>
    </row>
    <row r="23751" spans="1:6" x14ac:dyDescent="0.25">
      <c r="A23751" s="2" t="str">
        <f t="shared" si="827"/>
        <v>16860</v>
      </c>
      <c r="B23751" s="2" t="str">
        <f>"37409"</f>
        <v>37409</v>
      </c>
      <c r="C23751" s="1">
        <v>6.7676263382703697E-3</v>
      </c>
      <c r="D23751" s="1">
        <v>1.1903169720476101E-2</v>
      </c>
      <c r="E23751" s="1">
        <v>1.36884942656307E-2</v>
      </c>
      <c r="F23751" s="1">
        <v>7.4100395467592102E-3</v>
      </c>
    </row>
    <row r="23752" spans="1:6" x14ac:dyDescent="0.25">
      <c r="A23752" s="2" t="str">
        <f t="shared" si="827"/>
        <v>16860</v>
      </c>
      <c r="B23752" s="2" t="str">
        <f>"30710"</f>
        <v>30710</v>
      </c>
      <c r="C23752" s="1">
        <v>4.5071281965939898E-5</v>
      </c>
      <c r="D23752" s="1">
        <v>0</v>
      </c>
      <c r="E23752" s="1">
        <v>0</v>
      </c>
      <c r="F23752" s="1">
        <v>3.98224531243777E-5</v>
      </c>
    </row>
    <row r="23753" spans="1:6" x14ac:dyDescent="0.25">
      <c r="A23753" s="2" t="str">
        <f t="shared" si="827"/>
        <v>16860</v>
      </c>
      <c r="B23753" s="2" t="str">
        <f>"30728"</f>
        <v>30728</v>
      </c>
      <c r="C23753" s="1">
        <v>3.1178926055361399E-2</v>
      </c>
      <c r="D23753" s="1">
        <v>2.2602648120904099E-2</v>
      </c>
      <c r="E23753" s="1">
        <v>1.93612036009372E-2</v>
      </c>
      <c r="F23753" s="1">
        <v>3.0099648030779601E-2</v>
      </c>
    </row>
    <row r="23754" spans="1:6" x14ac:dyDescent="0.25">
      <c r="A23754" s="2" t="str">
        <f t="shared" si="827"/>
        <v>16860</v>
      </c>
      <c r="B23754" s="2" t="str">
        <f>"37350"</f>
        <v>37350</v>
      </c>
      <c r="C23754" s="1">
        <v>3.2555333666167401E-3</v>
      </c>
      <c r="D23754" s="1">
        <v>1.4377424100575E-3</v>
      </c>
      <c r="E23754" s="1">
        <v>1.8497965223825299E-3</v>
      </c>
      <c r="F23754" s="1">
        <v>3.0540758280772802E-3</v>
      </c>
    </row>
    <row r="23755" spans="1:6" x14ac:dyDescent="0.25">
      <c r="A23755" s="2" t="str">
        <f t="shared" si="827"/>
        <v>16860</v>
      </c>
      <c r="B23755" s="2" t="str">
        <f>"37414"</f>
        <v>37414</v>
      </c>
      <c r="C23755" s="1">
        <v>3.1411216508570399E-3</v>
      </c>
      <c r="D23755" s="1">
        <v>1.2170656680486801E-2</v>
      </c>
      <c r="E23755" s="1">
        <v>2.4663953631767099E-4</v>
      </c>
      <c r="F23755" s="1">
        <v>3.89647387493911E-3</v>
      </c>
    </row>
    <row r="23756" spans="1:6" x14ac:dyDescent="0.25">
      <c r="A23756" s="2" t="str">
        <f t="shared" si="827"/>
        <v>16860</v>
      </c>
      <c r="B23756" s="2" t="str">
        <f>"37416"</f>
        <v>37416</v>
      </c>
      <c r="C23756" s="1">
        <v>2.91784545404116E-2</v>
      </c>
      <c r="D23756" s="1">
        <v>3.3335562391333402E-2</v>
      </c>
      <c r="E23756" s="1">
        <v>5.3520779380934698E-2</v>
      </c>
      <c r="F23756" s="1">
        <v>3.01639766089036E-2</v>
      </c>
    </row>
    <row r="23757" spans="1:6" x14ac:dyDescent="0.25">
      <c r="A23757" s="2" t="str">
        <f t="shared" si="827"/>
        <v>16860</v>
      </c>
      <c r="B23757" s="2" t="str">
        <f>"37338"</f>
        <v>37338</v>
      </c>
      <c r="C23757" s="1">
        <v>1.52895656515227E-3</v>
      </c>
      <c r="D23757" s="1">
        <v>6.6871740002674796E-5</v>
      </c>
      <c r="E23757" s="1">
        <v>0</v>
      </c>
      <c r="F23757" s="1">
        <v>1.3570266718537899E-3</v>
      </c>
    </row>
    <row r="23758" spans="1:6" x14ac:dyDescent="0.25">
      <c r="A23758" s="2" t="str">
        <f t="shared" si="827"/>
        <v>16860</v>
      </c>
      <c r="B23758" s="2" t="str">
        <f>"37341"</f>
        <v>37341</v>
      </c>
      <c r="C23758" s="1">
        <v>2.09928163310589E-2</v>
      </c>
      <c r="D23758" s="1">
        <v>3.6779457001471102E-3</v>
      </c>
      <c r="E23758" s="1">
        <v>5.0561104945122696E-3</v>
      </c>
      <c r="F23758" s="1">
        <v>1.9010626468452901E-2</v>
      </c>
    </row>
    <row r="23759" spans="1:6" x14ac:dyDescent="0.25">
      <c r="A23759" s="2" t="str">
        <f t="shared" si="827"/>
        <v>16860</v>
      </c>
      <c r="B23759" s="2" t="str">
        <f>"37374"</f>
        <v>37374</v>
      </c>
      <c r="C23759" s="1">
        <v>3.2936706052033001E-3</v>
      </c>
      <c r="D23759" s="1">
        <v>7.3558914002942299E-4</v>
      </c>
      <c r="E23759" s="1">
        <v>2.34307559501788E-3</v>
      </c>
      <c r="F23759" s="1">
        <v>3.03569623432756E-3</v>
      </c>
    </row>
    <row r="23760" spans="1:6" x14ac:dyDescent="0.25">
      <c r="A23760" s="2" t="str">
        <f t="shared" si="827"/>
        <v>16860</v>
      </c>
      <c r="B23760" s="2" t="str">
        <f>"37387"</f>
        <v>37387</v>
      </c>
      <c r="C23760" s="1">
        <v>5.5472347035003E-4</v>
      </c>
      <c r="D23760" s="1">
        <v>3.3435870001337398E-5</v>
      </c>
      <c r="E23760" s="1">
        <v>0</v>
      </c>
      <c r="F23760" s="1">
        <v>4.9318576561729302E-4</v>
      </c>
    </row>
    <row r="23761" spans="1:6" x14ac:dyDescent="0.25">
      <c r="A23761" s="2" t="str">
        <f t="shared" si="827"/>
        <v>16860</v>
      </c>
      <c r="B23761" s="2" t="str">
        <f>"37375"</f>
        <v>37375</v>
      </c>
      <c r="C23761" s="1">
        <v>8.3555222721473296E-4</v>
      </c>
      <c r="D23761" s="1">
        <v>6.6871740002674796E-5</v>
      </c>
      <c r="E23761" s="1">
        <v>0</v>
      </c>
      <c r="F23761" s="1">
        <v>7.4437354686336904E-4</v>
      </c>
    </row>
    <row r="23762" spans="1:6" x14ac:dyDescent="0.25">
      <c r="A23762" s="2" t="str">
        <f t="shared" si="827"/>
        <v>16860</v>
      </c>
      <c r="B23762" s="2" t="str">
        <f>"30740"</f>
        <v>30740</v>
      </c>
      <c r="C23762" s="1">
        <v>5.0271814500471503E-4</v>
      </c>
      <c r="D23762" s="1">
        <v>0</v>
      </c>
      <c r="E23762" s="1">
        <v>0</v>
      </c>
      <c r="F23762" s="1">
        <v>4.4417351561805901E-4</v>
      </c>
    </row>
    <row r="23763" spans="1:6" x14ac:dyDescent="0.25">
      <c r="A23763" s="2" t="str">
        <f t="shared" ref="A23763:A23768" si="828">"16860"</f>
        <v>16860</v>
      </c>
      <c r="B23763" s="2" t="str">
        <f>"37367"</f>
        <v>37367</v>
      </c>
      <c r="C23763" s="1">
        <v>5.2005325345315299E-5</v>
      </c>
      <c r="D23763" s="1">
        <v>0</v>
      </c>
      <c r="E23763" s="1">
        <v>0</v>
      </c>
      <c r="F23763" s="1">
        <v>4.5948984374281999E-5</v>
      </c>
    </row>
    <row r="23764" spans="1:6" x14ac:dyDescent="0.25">
      <c r="A23764" s="2" t="str">
        <f t="shared" si="828"/>
        <v>16860</v>
      </c>
      <c r="B23764" s="2" t="str">
        <f>"37450"</f>
        <v>37450</v>
      </c>
      <c r="C23764" s="1">
        <v>6.9340433793753804E-6</v>
      </c>
      <c r="D23764" s="1">
        <v>4.1460478801658403E-3</v>
      </c>
      <c r="E23764" s="1">
        <v>8.6323837711185097E-4</v>
      </c>
      <c r="F23764" s="1">
        <v>4.0741432811863397E-4</v>
      </c>
    </row>
    <row r="23765" spans="1:6" x14ac:dyDescent="0.25">
      <c r="A23765" s="2" t="str">
        <f t="shared" si="828"/>
        <v>16860</v>
      </c>
      <c r="B23765" s="2" t="str">
        <f>"37404"</f>
        <v>37404</v>
      </c>
      <c r="C23765" s="1">
        <v>2.3832307094913099E-2</v>
      </c>
      <c r="D23765" s="1">
        <v>3.8651865721545997E-2</v>
      </c>
      <c r="E23765" s="1">
        <v>7.4978419040572203E-2</v>
      </c>
      <c r="F23765" s="1">
        <v>2.6460488468336499E-2</v>
      </c>
    </row>
    <row r="23766" spans="1:6" x14ac:dyDescent="0.25">
      <c r="A23766" s="2" t="str">
        <f t="shared" si="828"/>
        <v>16860</v>
      </c>
      <c r="B23766" s="2" t="str">
        <f>"37380"</f>
        <v>37380</v>
      </c>
      <c r="C23766" s="1">
        <v>1.12712875131746E-2</v>
      </c>
      <c r="D23766" s="1">
        <v>1.23712719004948E-2</v>
      </c>
      <c r="E23766" s="1">
        <v>6.1659884079417896E-3</v>
      </c>
      <c r="F23766" s="1">
        <v>1.1245248109199199E-2</v>
      </c>
    </row>
    <row r="23767" spans="1:6" x14ac:dyDescent="0.25">
      <c r="A23767" s="2" t="str">
        <f t="shared" si="828"/>
        <v>16860</v>
      </c>
      <c r="B23767" s="2" t="str">
        <f>"30755"</f>
        <v>30755</v>
      </c>
      <c r="C23767" s="1">
        <v>5.7795251567093796E-3</v>
      </c>
      <c r="D23767" s="1">
        <v>1.0030761000401199E-3</v>
      </c>
      <c r="E23767" s="1">
        <v>0</v>
      </c>
      <c r="F23767" s="1">
        <v>5.1983617655437702E-3</v>
      </c>
    </row>
    <row r="23768" spans="1:6" x14ac:dyDescent="0.25">
      <c r="A23768" s="2" t="str">
        <f t="shared" si="828"/>
        <v>16860</v>
      </c>
      <c r="B23768" s="2" t="str">
        <f>"30742"</f>
        <v>30742</v>
      </c>
      <c r="C23768" s="1">
        <v>1.3781411216508501E-2</v>
      </c>
      <c r="D23768" s="1">
        <v>2.81195666711247E-2</v>
      </c>
      <c r="E23768" s="1">
        <v>9.0023430755950106E-3</v>
      </c>
      <c r="F23768" s="1">
        <v>1.4976305640390901E-2</v>
      </c>
    </row>
    <row r="23769" spans="1:6" x14ac:dyDescent="0.25">
      <c r="A23769" s="2" t="str">
        <f>"22340"</f>
        <v>22340</v>
      </c>
      <c r="B23769" s="2" t="str">
        <f>"31783"</f>
        <v>31783</v>
      </c>
      <c r="C23769" s="1">
        <v>7.9242791107197799E-3</v>
      </c>
      <c r="D23769" s="1">
        <v>1.13250283125707E-3</v>
      </c>
      <c r="E23769" s="1">
        <v>0</v>
      </c>
      <c r="F23769" s="1">
        <v>7.1477528639968596E-3</v>
      </c>
    </row>
    <row r="23770" spans="1:6" x14ac:dyDescent="0.25">
      <c r="A23770" s="2" t="str">
        <f>"22340"</f>
        <v>22340</v>
      </c>
      <c r="B23770" s="2" t="str">
        <f>"31079"</f>
        <v>31079</v>
      </c>
      <c r="C23770" s="1">
        <v>8.3645168390931099E-3</v>
      </c>
      <c r="D23770" s="1">
        <v>0</v>
      </c>
      <c r="E23770" s="1">
        <v>0</v>
      </c>
      <c r="F23770" s="1">
        <v>7.4414961323802896E-3</v>
      </c>
    </row>
    <row r="23771" spans="1:6" x14ac:dyDescent="0.25">
      <c r="A23771" s="2" t="str">
        <f>"22340"</f>
        <v>22340</v>
      </c>
      <c r="B23771" s="2" t="str">
        <f>"31750"</f>
        <v>31750</v>
      </c>
      <c r="C23771" s="1">
        <v>0.97171472595201402</v>
      </c>
      <c r="D23771" s="1">
        <v>0.99886749716874201</v>
      </c>
      <c r="E23771" s="1">
        <v>1</v>
      </c>
      <c r="F23771" s="1">
        <v>0.97473807891902398</v>
      </c>
    </row>
    <row r="23772" spans="1:6" x14ac:dyDescent="0.25">
      <c r="A23772" s="2" t="str">
        <f>"22340"</f>
        <v>22340</v>
      </c>
      <c r="B23772" s="2" t="str">
        <f>"31798"</f>
        <v>31798</v>
      </c>
      <c r="C23772" s="1">
        <v>1.18864186660796E-2</v>
      </c>
      <c r="D23772" s="1">
        <v>0</v>
      </c>
      <c r="E23772" s="1">
        <v>0</v>
      </c>
      <c r="F23772" s="1">
        <v>1.05747576618035E-2</v>
      </c>
    </row>
    <row r="23773" spans="1:6" x14ac:dyDescent="0.25">
      <c r="A23773" s="2" t="str">
        <f>"22340"</f>
        <v>22340</v>
      </c>
      <c r="B23773" s="2" t="str">
        <f>"31001"</f>
        <v>31001</v>
      </c>
      <c r="C23773" s="1">
        <v>1.1005943209333E-4</v>
      </c>
      <c r="D23773" s="1">
        <v>0</v>
      </c>
      <c r="E23773" s="1">
        <v>0</v>
      </c>
      <c r="F23773" s="1">
        <v>9.7914422794477594E-5</v>
      </c>
    </row>
    <row r="23774" spans="1:6" x14ac:dyDescent="0.25">
      <c r="A23774" s="2" t="str">
        <f t="shared" ref="A23774:A23783" si="829">"29380"</f>
        <v>29380</v>
      </c>
      <c r="B23774" s="2" t="str">
        <f>"32096"</f>
        <v>32096</v>
      </c>
      <c r="C23774" s="1">
        <v>1.4563810960573201E-2</v>
      </c>
      <c r="D23774" s="1">
        <v>6.5015479876160904E-3</v>
      </c>
      <c r="E23774" s="1">
        <v>0</v>
      </c>
      <c r="F23774" s="1">
        <v>1.3488072211476399E-2</v>
      </c>
    </row>
    <row r="23775" spans="1:6" x14ac:dyDescent="0.25">
      <c r="A23775" s="2" t="str">
        <f t="shared" si="829"/>
        <v>29380</v>
      </c>
      <c r="B23775" s="2" t="str">
        <f>"32087"</f>
        <v>32087</v>
      </c>
      <c r="C23775" s="1">
        <v>0</v>
      </c>
      <c r="D23775" s="1">
        <v>3.0959752321981399E-4</v>
      </c>
      <c r="E23775" s="1">
        <v>0</v>
      </c>
      <c r="F23775" s="1">
        <v>2.5789813023855501E-5</v>
      </c>
    </row>
    <row r="23776" spans="1:6" x14ac:dyDescent="0.25">
      <c r="A23776" s="2" t="str">
        <f t="shared" si="829"/>
        <v>29380</v>
      </c>
      <c r="B23776" s="2" t="str">
        <f>"32038"</f>
        <v>32038</v>
      </c>
      <c r="C23776" s="1">
        <v>0.142272766833966</v>
      </c>
      <c r="D23776" s="1">
        <v>2.6315789473684199E-2</v>
      </c>
      <c r="E23776" s="1">
        <v>5.5762081784386597E-3</v>
      </c>
      <c r="F23776" s="1">
        <v>0.128820116054158</v>
      </c>
    </row>
    <row r="23777" spans="1:6" x14ac:dyDescent="0.25">
      <c r="A23777" s="2" t="str">
        <f t="shared" si="829"/>
        <v>29380</v>
      </c>
      <c r="B23777" s="2" t="str">
        <f>"32025"</f>
        <v>32025</v>
      </c>
      <c r="C23777" s="1">
        <v>0.26293190983202203</v>
      </c>
      <c r="D23777" s="1">
        <v>0.32848297213622202</v>
      </c>
      <c r="E23777" s="1">
        <v>0.50557620817843796</v>
      </c>
      <c r="F23777" s="1">
        <v>0.275125725338491</v>
      </c>
    </row>
    <row r="23778" spans="1:6" x14ac:dyDescent="0.25">
      <c r="A23778" s="2" t="str">
        <f t="shared" si="829"/>
        <v>29380</v>
      </c>
      <c r="B23778" s="2" t="str">
        <f>"32643"</f>
        <v>32643</v>
      </c>
      <c r="C23778" s="1">
        <v>1.9495778815747399E-2</v>
      </c>
      <c r="D23778" s="1">
        <v>1.54798761609907E-3</v>
      </c>
      <c r="E23778" s="1">
        <v>7.4349442379182101E-3</v>
      </c>
      <c r="F23778" s="1">
        <v>1.7666021921341001E-2</v>
      </c>
    </row>
    <row r="23779" spans="1:6" x14ac:dyDescent="0.25">
      <c r="A23779" s="2" t="str">
        <f t="shared" si="829"/>
        <v>29380</v>
      </c>
      <c r="B23779" s="2" t="str">
        <f>"32055"</f>
        <v>32055</v>
      </c>
      <c r="C23779" s="1">
        <v>0.240302880849458</v>
      </c>
      <c r="D23779" s="1">
        <v>0.402476780185758</v>
      </c>
      <c r="E23779" s="1">
        <v>0.43494423791821502</v>
      </c>
      <c r="F23779" s="1">
        <v>0.25921341070277198</v>
      </c>
    </row>
    <row r="23780" spans="1:6" x14ac:dyDescent="0.25">
      <c r="A23780" s="2" t="str">
        <f t="shared" si="829"/>
        <v>29380</v>
      </c>
      <c r="B23780" s="2" t="str">
        <f>"32061"</f>
        <v>32061</v>
      </c>
      <c r="C23780" s="1">
        <v>4.4967942208941304E-3</v>
      </c>
      <c r="D23780" s="1">
        <v>9.2879256965944202E-4</v>
      </c>
      <c r="E23780" s="1">
        <v>9.2936802973977604E-4</v>
      </c>
      <c r="F23780" s="1">
        <v>4.1005802707930299E-3</v>
      </c>
    </row>
    <row r="23781" spans="1:6" x14ac:dyDescent="0.25">
      <c r="A23781" s="2" t="str">
        <f t="shared" si="829"/>
        <v>29380</v>
      </c>
      <c r="B23781" s="2" t="str">
        <f>"32024"</f>
        <v>32024</v>
      </c>
      <c r="C23781" s="1">
        <v>0.248484145173924</v>
      </c>
      <c r="D23781" s="1">
        <v>8.3900928792569607E-2</v>
      </c>
      <c r="E23781" s="1">
        <v>4.3680297397769498E-2</v>
      </c>
      <c r="F23781" s="1">
        <v>0.22909090909090901</v>
      </c>
    </row>
    <row r="23782" spans="1:6" x14ac:dyDescent="0.25">
      <c r="A23782" s="2" t="str">
        <f t="shared" si="829"/>
        <v>29380</v>
      </c>
      <c r="B23782" s="2" t="str">
        <f>"32056"</f>
        <v>32056</v>
      </c>
      <c r="C23782" s="1">
        <v>6.4579767327163501E-2</v>
      </c>
      <c r="D23782" s="1">
        <v>0.14860681114551</v>
      </c>
      <c r="E23782" s="1">
        <v>1.8587360594795499E-3</v>
      </c>
      <c r="F23782" s="1">
        <v>6.9838813668600896E-2</v>
      </c>
    </row>
    <row r="23783" spans="1:6" x14ac:dyDescent="0.25">
      <c r="A23783" s="2" t="str">
        <f t="shared" si="829"/>
        <v>29380</v>
      </c>
      <c r="B23783" s="2" t="str">
        <f>"32094"</f>
        <v>32094</v>
      </c>
      <c r="C23783" s="1">
        <v>2.8721459862485099E-3</v>
      </c>
      <c r="D23783" s="1">
        <v>9.2879256965944202E-4</v>
      </c>
      <c r="E23783" s="1">
        <v>0</v>
      </c>
      <c r="F23783" s="1">
        <v>2.6305609284332601E-3</v>
      </c>
    </row>
    <row r="23784" spans="1:6" x14ac:dyDescent="0.25">
      <c r="A23784" s="2" t="str">
        <f t="shared" ref="A23784:A23796" si="830">"45540"</f>
        <v>45540</v>
      </c>
      <c r="B23784" s="2" t="str">
        <f>"34785"</f>
        <v>34785</v>
      </c>
      <c r="C23784" s="1">
        <v>0.10863618601015999</v>
      </c>
      <c r="D23784" s="1">
        <v>0.26342975206611502</v>
      </c>
      <c r="E23784" s="1">
        <v>0.122715404699738</v>
      </c>
      <c r="F23784" s="1">
        <v>0.114358528095474</v>
      </c>
    </row>
    <row r="23785" spans="1:6" x14ac:dyDescent="0.25">
      <c r="A23785" s="2" t="str">
        <f t="shared" si="830"/>
        <v>45540</v>
      </c>
      <c r="B23785" s="2" t="str">
        <f>"34491"</f>
        <v>34491</v>
      </c>
      <c r="C23785" s="1">
        <v>2.60518431679041E-5</v>
      </c>
      <c r="D23785" s="1">
        <v>0</v>
      </c>
      <c r="E23785" s="1">
        <v>0</v>
      </c>
      <c r="F23785" s="1">
        <v>2.4863252113376398E-5</v>
      </c>
    </row>
    <row r="23786" spans="1:6" x14ac:dyDescent="0.25">
      <c r="A23786" s="2" t="str">
        <f t="shared" si="830"/>
        <v>45540</v>
      </c>
      <c r="B23786" s="2" t="str">
        <f>"33585"</f>
        <v>33585</v>
      </c>
      <c r="C23786" s="1">
        <v>7.1772827927575802E-3</v>
      </c>
      <c r="D23786" s="1">
        <v>2.92699724517906E-2</v>
      </c>
      <c r="E23786" s="1">
        <v>2.7415143603133098E-2</v>
      </c>
      <c r="F23786" s="1">
        <v>8.1675783192441502E-3</v>
      </c>
    </row>
    <row r="23787" spans="1:6" x14ac:dyDescent="0.25">
      <c r="A23787" s="2" t="str">
        <f t="shared" si="830"/>
        <v>45540</v>
      </c>
      <c r="B23787" s="2" t="str">
        <f>"32163"</f>
        <v>32163</v>
      </c>
      <c r="C23787" s="1">
        <v>0.19593591246580599</v>
      </c>
      <c r="D23787" s="1">
        <v>7.9201101928374595E-2</v>
      </c>
      <c r="E23787" s="1">
        <v>7.4412532637075701E-2</v>
      </c>
      <c r="F23787" s="1">
        <v>0.19056439582297299</v>
      </c>
    </row>
    <row r="23788" spans="1:6" x14ac:dyDescent="0.25">
      <c r="A23788" s="2" t="str">
        <f t="shared" si="830"/>
        <v>45540</v>
      </c>
      <c r="B23788" s="2" t="str">
        <f>"33538"</f>
        <v>33538</v>
      </c>
      <c r="C23788" s="1">
        <v>3.3645955451348103E-2</v>
      </c>
      <c r="D23788" s="1">
        <v>3.61570247933884E-2</v>
      </c>
      <c r="E23788" s="1">
        <v>3.6553524804177499E-2</v>
      </c>
      <c r="F23788" s="1">
        <v>3.3764296369965099E-2</v>
      </c>
    </row>
    <row r="23789" spans="1:6" x14ac:dyDescent="0.25">
      <c r="A23789" s="2" t="str">
        <f t="shared" si="830"/>
        <v>45540</v>
      </c>
      <c r="B23789" s="2" t="str">
        <f>"34731"</f>
        <v>34731</v>
      </c>
      <c r="C23789" s="1">
        <v>1.5631105900742399E-4</v>
      </c>
      <c r="D23789" s="1">
        <v>0</v>
      </c>
      <c r="E23789" s="1">
        <v>1.3054830287206199E-3</v>
      </c>
      <c r="F23789" s="1">
        <v>1.6161113873694601E-4</v>
      </c>
    </row>
    <row r="23790" spans="1:6" x14ac:dyDescent="0.25">
      <c r="A23790" s="2" t="str">
        <f t="shared" si="830"/>
        <v>45540</v>
      </c>
      <c r="B23790" s="2" t="str">
        <f>"34484"</f>
        <v>34484</v>
      </c>
      <c r="C23790" s="1">
        <v>5.5047544613781398E-2</v>
      </c>
      <c r="D23790" s="1">
        <v>0.101239669421487</v>
      </c>
      <c r="E23790" s="1">
        <v>3.0026109660574399E-2</v>
      </c>
      <c r="F23790" s="1">
        <v>5.6476877175534498E-2</v>
      </c>
    </row>
    <row r="23791" spans="1:6" x14ac:dyDescent="0.25">
      <c r="A23791" s="2" t="str">
        <f t="shared" si="830"/>
        <v>45540</v>
      </c>
      <c r="B23791" s="2" t="str">
        <f>"33513"</f>
        <v>33513</v>
      </c>
      <c r="C23791" s="1">
        <v>7.3153575615474697E-2</v>
      </c>
      <c r="D23791" s="1">
        <v>0.163223140495867</v>
      </c>
      <c r="E23791" s="1">
        <v>0.21018276762401999</v>
      </c>
      <c r="F23791" s="1">
        <v>7.7710094480357997E-2</v>
      </c>
    </row>
    <row r="23792" spans="1:6" x14ac:dyDescent="0.25">
      <c r="A23792" s="2" t="str">
        <f t="shared" si="830"/>
        <v>45540</v>
      </c>
      <c r="B23792" s="2" t="str">
        <f>"32159"</f>
        <v>32159</v>
      </c>
      <c r="C23792" s="1">
        <v>7.5823889540184902E-2</v>
      </c>
      <c r="D23792" s="1">
        <v>9.9173553719008198E-2</v>
      </c>
      <c r="E23792" s="1">
        <v>0.18668407310704899</v>
      </c>
      <c r="F23792" s="1">
        <v>7.7722526106414697E-2</v>
      </c>
    </row>
    <row r="23793" spans="1:6" x14ac:dyDescent="0.25">
      <c r="A23793" s="2" t="str">
        <f t="shared" si="830"/>
        <v>45540</v>
      </c>
      <c r="B23793" s="2" t="str">
        <f>"33521"</f>
        <v>33521</v>
      </c>
      <c r="C23793" s="1">
        <v>0</v>
      </c>
      <c r="D23793" s="1">
        <v>3.44352617079889E-4</v>
      </c>
      <c r="E23793" s="1">
        <v>1.3054830287206199E-3</v>
      </c>
      <c r="F23793" s="1">
        <v>2.4863252113376398E-5</v>
      </c>
    </row>
    <row r="23794" spans="1:6" x14ac:dyDescent="0.25">
      <c r="A23794" s="2" t="str">
        <f t="shared" si="830"/>
        <v>45540</v>
      </c>
      <c r="B23794" s="2" t="str">
        <f>"33597"</f>
        <v>33597</v>
      </c>
      <c r="C23794" s="1">
        <v>4.9498502019017801E-2</v>
      </c>
      <c r="D23794" s="1">
        <v>3.68457300275482E-2</v>
      </c>
      <c r="E23794" s="1">
        <v>2.0887728459529999E-2</v>
      </c>
      <c r="F23794" s="1">
        <v>4.87692690203878E-2</v>
      </c>
    </row>
    <row r="23795" spans="1:6" x14ac:dyDescent="0.25">
      <c r="A23795" s="2" t="str">
        <f t="shared" si="830"/>
        <v>45540</v>
      </c>
      <c r="B23795" s="2" t="str">
        <f>"33514"</f>
        <v>33514</v>
      </c>
      <c r="C23795" s="1">
        <v>9.1181451087664397E-3</v>
      </c>
      <c r="D23795" s="1">
        <v>7.2314049586776801E-3</v>
      </c>
      <c r="E23795" s="1">
        <v>5.2219321148824997E-3</v>
      </c>
      <c r="F23795" s="1">
        <v>9.0129288910989497E-3</v>
      </c>
    </row>
    <row r="23796" spans="1:6" x14ac:dyDescent="0.25">
      <c r="A23796" s="2" t="str">
        <f t="shared" si="830"/>
        <v>45540</v>
      </c>
      <c r="B23796" s="2" t="str">
        <f>"32162"</f>
        <v>32162</v>
      </c>
      <c r="C23796" s="1">
        <v>0.39178064348052599</v>
      </c>
      <c r="D23796" s="1">
        <v>0.18388429752066099</v>
      </c>
      <c r="E23796" s="1">
        <v>0.28328981723237501</v>
      </c>
      <c r="F23796" s="1">
        <v>0.38324216807558398</v>
      </c>
    </row>
    <row r="23797" spans="1:6" x14ac:dyDescent="0.25">
      <c r="A23797" s="2" t="str">
        <f t="shared" ref="A23797:A23836" si="831">"37860"</f>
        <v>37860</v>
      </c>
      <c r="B23797" s="2" t="str">
        <f>"32513"</f>
        <v>32513</v>
      </c>
      <c r="C23797" s="1">
        <v>4.8700020472118499E-3</v>
      </c>
      <c r="D23797" s="1">
        <v>1.1964704122837601E-2</v>
      </c>
      <c r="E23797" s="1">
        <v>3.5310734463276798E-4</v>
      </c>
      <c r="F23797" s="1">
        <v>5.2872979726662E-3</v>
      </c>
    </row>
    <row r="23798" spans="1:6" x14ac:dyDescent="0.25">
      <c r="A23798" s="2" t="str">
        <f t="shared" si="831"/>
        <v>37860</v>
      </c>
      <c r="B23798" s="2" t="str">
        <f>"32520"</f>
        <v>32520</v>
      </c>
      <c r="C23798" s="1">
        <v>0</v>
      </c>
      <c r="D23798" s="1">
        <v>4.9852933845156697E-5</v>
      </c>
      <c r="E23798" s="1">
        <v>0</v>
      </c>
      <c r="F23798" s="1">
        <v>3.5749141126884398E-6</v>
      </c>
    </row>
    <row r="23799" spans="1:6" x14ac:dyDescent="0.25">
      <c r="A23799" s="2" t="str">
        <f t="shared" si="831"/>
        <v>37860</v>
      </c>
      <c r="B23799" s="2" t="str">
        <f>"32514"</f>
        <v>32514</v>
      </c>
      <c r="C23799" s="1">
        <v>8.0116848553566003E-2</v>
      </c>
      <c r="D23799" s="1">
        <v>5.2495139338950003E-2</v>
      </c>
      <c r="E23799" s="1">
        <v>9.93997175141242E-2</v>
      </c>
      <c r="F23799" s="1">
        <v>7.8526563399314298E-2</v>
      </c>
    </row>
    <row r="23800" spans="1:6" x14ac:dyDescent="0.25">
      <c r="A23800" s="2" t="str">
        <f t="shared" si="831"/>
        <v>37860</v>
      </c>
      <c r="B23800" s="2" t="str">
        <f>"32526"</f>
        <v>32526</v>
      </c>
      <c r="C23800" s="1">
        <v>7.5577549959843102E-2</v>
      </c>
      <c r="D23800" s="1">
        <v>2.7319407747145901E-2</v>
      </c>
      <c r="E23800" s="1">
        <v>5.5614406779661001E-2</v>
      </c>
      <c r="F23800" s="1">
        <v>7.1712777100530103E-2</v>
      </c>
    </row>
    <row r="23801" spans="1:6" x14ac:dyDescent="0.25">
      <c r="A23801" s="2" t="str">
        <f t="shared" si="831"/>
        <v>37860</v>
      </c>
      <c r="B23801" s="2" t="str">
        <f>"32504"</f>
        <v>32504</v>
      </c>
      <c r="C23801" s="1">
        <v>4.3715846994535498E-2</v>
      </c>
      <c r="D23801" s="1">
        <v>8.1559399770676499E-2</v>
      </c>
      <c r="E23801" s="1">
        <v>8.4922316384180699E-2</v>
      </c>
      <c r="F23801" s="1">
        <v>4.7263939483853899E-2</v>
      </c>
    </row>
    <row r="23802" spans="1:6" x14ac:dyDescent="0.25">
      <c r="A23802" s="2" t="str">
        <f t="shared" si="831"/>
        <v>37860</v>
      </c>
      <c r="B23802" s="2" t="str">
        <f>"32583"</f>
        <v>32583</v>
      </c>
      <c r="C23802" s="1">
        <v>4.6192185949827498E-2</v>
      </c>
      <c r="D23802" s="1">
        <v>2.07388204795852E-2</v>
      </c>
      <c r="E23802" s="1">
        <v>9.1807909604519709E-3</v>
      </c>
      <c r="F23802" s="1">
        <v>4.3617527088911603E-2</v>
      </c>
    </row>
    <row r="23803" spans="1:6" x14ac:dyDescent="0.25">
      <c r="A23803" s="2" t="str">
        <f t="shared" si="831"/>
        <v>37860</v>
      </c>
      <c r="B23803" s="2" t="str">
        <f>"32566"</f>
        <v>32566</v>
      </c>
      <c r="C23803" s="1">
        <v>8.1793987496259907E-2</v>
      </c>
      <c r="D23803" s="1">
        <v>4.8656463432872998E-2</v>
      </c>
      <c r="E23803" s="1">
        <v>3.5487288135593202E-2</v>
      </c>
      <c r="F23803" s="1">
        <v>7.8480089515849297E-2</v>
      </c>
    </row>
    <row r="23804" spans="1:6" x14ac:dyDescent="0.25">
      <c r="A23804" s="2" t="str">
        <f t="shared" si="831"/>
        <v>37860</v>
      </c>
      <c r="B23804" s="2" t="str">
        <f>"32562"</f>
        <v>32562</v>
      </c>
      <c r="C23804" s="1">
        <v>3.25585423851592E-3</v>
      </c>
      <c r="D23804" s="1">
        <v>1.5055586021237299E-2</v>
      </c>
      <c r="E23804" s="1">
        <v>3.5310734463276798E-4</v>
      </c>
      <c r="F23804" s="1">
        <v>4.04322786145062E-3</v>
      </c>
    </row>
    <row r="23805" spans="1:6" x14ac:dyDescent="0.25">
      <c r="A23805" s="2" t="str">
        <f t="shared" si="831"/>
        <v>37860</v>
      </c>
      <c r="B23805" s="2" t="str">
        <f>"32512"</f>
        <v>32512</v>
      </c>
      <c r="C23805" s="1">
        <v>0</v>
      </c>
      <c r="D23805" s="1">
        <v>1.4955880153546999E-4</v>
      </c>
      <c r="E23805" s="1">
        <v>1.7655367231638399E-4</v>
      </c>
      <c r="F23805" s="1">
        <v>1.42996564507537E-5</v>
      </c>
    </row>
    <row r="23806" spans="1:6" x14ac:dyDescent="0.25">
      <c r="A23806" s="2" t="str">
        <f t="shared" si="831"/>
        <v>37860</v>
      </c>
      <c r="B23806" s="2" t="str">
        <f>"32501"</f>
        <v>32501</v>
      </c>
      <c r="C23806" s="1">
        <v>2.38224594888269E-2</v>
      </c>
      <c r="D23806" s="1">
        <v>5.4339697891220798E-2</v>
      </c>
      <c r="E23806" s="1">
        <v>5.2612994350282397E-2</v>
      </c>
      <c r="F23806" s="1">
        <v>2.6593786084289299E-2</v>
      </c>
    </row>
    <row r="23807" spans="1:6" x14ac:dyDescent="0.25">
      <c r="A23807" s="2" t="str">
        <f t="shared" si="831"/>
        <v>37860</v>
      </c>
      <c r="B23807" s="2" t="str">
        <f>"32563"</f>
        <v>32563</v>
      </c>
      <c r="C23807" s="1">
        <v>4.9684256940835503E-2</v>
      </c>
      <c r="D23807" s="1">
        <v>3.4747494890074199E-2</v>
      </c>
      <c r="E23807" s="1">
        <v>5.3319209039548003E-2</v>
      </c>
      <c r="F23807" s="1">
        <v>4.8686755300703898E-2</v>
      </c>
    </row>
    <row r="23808" spans="1:6" x14ac:dyDescent="0.25">
      <c r="A23808" s="2" t="str">
        <f t="shared" si="831"/>
        <v>37860</v>
      </c>
      <c r="B23808" s="2" t="str">
        <f>"32524"</f>
        <v>32524</v>
      </c>
      <c r="C23808" s="1">
        <v>4.9487409647092102E-3</v>
      </c>
      <c r="D23808" s="1">
        <v>1.8894261927314401E-2</v>
      </c>
      <c r="E23808" s="1">
        <v>3.5310734463276798E-4</v>
      </c>
      <c r="F23808" s="1">
        <v>5.8557093165836601E-3</v>
      </c>
    </row>
    <row r="23809" spans="1:6" x14ac:dyDescent="0.25">
      <c r="A23809" s="2" t="str">
        <f t="shared" si="831"/>
        <v>37860</v>
      </c>
      <c r="B23809" s="2" t="str">
        <f>"32568"</f>
        <v>32568</v>
      </c>
      <c r="C23809" s="1">
        <v>6.5038345852821196E-3</v>
      </c>
      <c r="D23809" s="1">
        <v>2.9911760307094002E-3</v>
      </c>
      <c r="E23809" s="1">
        <v>1.0593220338983001E-3</v>
      </c>
      <c r="F23809" s="1">
        <v>6.1417024455987399E-3</v>
      </c>
    </row>
    <row r="23810" spans="1:6" x14ac:dyDescent="0.25">
      <c r="A23810" s="2" t="str">
        <f t="shared" si="831"/>
        <v>37860</v>
      </c>
      <c r="B23810" s="2" t="str">
        <f>"32571"</f>
        <v>32571</v>
      </c>
      <c r="C23810" s="1">
        <v>6.4211587219098906E-2</v>
      </c>
      <c r="D23810" s="1">
        <v>4.0530435216112402E-2</v>
      </c>
      <c r="E23810" s="1">
        <v>3.3368644067796598E-2</v>
      </c>
      <c r="F23810" s="1">
        <v>6.1888913118862299E-2</v>
      </c>
    </row>
    <row r="23811" spans="1:6" x14ac:dyDescent="0.25">
      <c r="A23811" s="2" t="str">
        <f t="shared" si="831"/>
        <v>37860</v>
      </c>
      <c r="B23811" s="2" t="str">
        <f>"32503"</f>
        <v>32503</v>
      </c>
      <c r="C23811" s="1">
        <v>6.5058030582195503E-2</v>
      </c>
      <c r="D23811" s="1">
        <v>7.9814547086096005E-2</v>
      </c>
      <c r="E23811" s="1">
        <v>0.10416666666666601</v>
      </c>
      <c r="F23811" s="1">
        <v>6.6908092533076793E-2</v>
      </c>
    </row>
    <row r="23812" spans="1:6" x14ac:dyDescent="0.25">
      <c r="A23812" s="2" t="str">
        <f t="shared" si="831"/>
        <v>37860</v>
      </c>
      <c r="B23812" s="2" t="str">
        <f>"32591"</f>
        <v>32591</v>
      </c>
      <c r="C23812" s="1">
        <v>5.21645328420024E-3</v>
      </c>
      <c r="D23812" s="1">
        <v>2.94630839024876E-2</v>
      </c>
      <c r="E23812" s="1">
        <v>3.5310734463276798E-4</v>
      </c>
      <c r="F23812" s="1">
        <v>6.8566852681364301E-3</v>
      </c>
    </row>
    <row r="23813" spans="1:6" x14ac:dyDescent="0.25">
      <c r="A23813" s="2" t="str">
        <f t="shared" si="831"/>
        <v>37860</v>
      </c>
      <c r="B23813" s="2" t="str">
        <f>"32570"</f>
        <v>32570</v>
      </c>
      <c r="C23813" s="1">
        <v>5.8101447221303601E-2</v>
      </c>
      <c r="D23813" s="1">
        <v>4.6762051946756998E-2</v>
      </c>
      <c r="E23813" s="1">
        <v>4.7669491525423699E-2</v>
      </c>
      <c r="F23813" s="1">
        <v>5.70770787231836E-2</v>
      </c>
    </row>
    <row r="23814" spans="1:6" x14ac:dyDescent="0.25">
      <c r="A23814" s="2" t="str">
        <f t="shared" si="831"/>
        <v>37860</v>
      </c>
      <c r="B23814" s="2" t="str">
        <f>"32559"</f>
        <v>32559</v>
      </c>
      <c r="C23814" s="1">
        <v>0</v>
      </c>
      <c r="D23814" s="1">
        <v>4.9852933845156697E-5</v>
      </c>
      <c r="E23814" s="1">
        <v>0</v>
      </c>
      <c r="F23814" s="1">
        <v>3.5749141126884398E-6</v>
      </c>
    </row>
    <row r="23815" spans="1:6" x14ac:dyDescent="0.25">
      <c r="A23815" s="2" t="str">
        <f t="shared" si="831"/>
        <v>37860</v>
      </c>
      <c r="B23815" s="2" t="str">
        <f>"32561"</f>
        <v>32561</v>
      </c>
      <c r="C23815" s="1">
        <v>2.6818475299601501E-2</v>
      </c>
      <c r="D23815" s="1">
        <v>2.9114113365571501E-2</v>
      </c>
      <c r="E23815" s="1">
        <v>3.1956214689265502E-2</v>
      </c>
      <c r="F23815" s="1">
        <v>2.7087124231840301E-2</v>
      </c>
    </row>
    <row r="23816" spans="1:6" x14ac:dyDescent="0.25">
      <c r="A23816" s="2" t="str">
        <f t="shared" si="831"/>
        <v>37860</v>
      </c>
      <c r="B23816" s="2" t="str">
        <f>"32523"</f>
        <v>32523</v>
      </c>
      <c r="C23816" s="1">
        <v>2.40153698366954E-3</v>
      </c>
      <c r="D23816" s="1">
        <v>1.07682337105538E-2</v>
      </c>
      <c r="E23816" s="1">
        <v>3.5310734463276798E-4</v>
      </c>
      <c r="F23816" s="1">
        <v>2.9600288853060298E-3</v>
      </c>
    </row>
    <row r="23817" spans="1:6" x14ac:dyDescent="0.25">
      <c r="A23817" s="2" t="str">
        <f t="shared" si="831"/>
        <v>37860</v>
      </c>
      <c r="B23817" s="2" t="str">
        <f>"32508"</f>
        <v>32508</v>
      </c>
      <c r="C23817" s="1">
        <v>2.3700414166706002E-3</v>
      </c>
      <c r="D23817" s="1">
        <v>6.13191086295428E-3</v>
      </c>
      <c r="E23817" s="1">
        <v>1.55367231638418E-2</v>
      </c>
      <c r="F23817" s="1">
        <v>2.9064051736156999E-3</v>
      </c>
    </row>
    <row r="23818" spans="1:6" x14ac:dyDescent="0.25">
      <c r="A23818" s="2" t="str">
        <f t="shared" si="831"/>
        <v>37860</v>
      </c>
      <c r="B23818" s="2" t="str">
        <f>"32507"</f>
        <v>32507</v>
      </c>
      <c r="C23818" s="1">
        <v>8.4317569802050296E-2</v>
      </c>
      <c r="D23818" s="1">
        <v>5.8627050201904299E-2</v>
      </c>
      <c r="E23818" s="1">
        <v>9.0572033898304996E-2</v>
      </c>
      <c r="F23818" s="1">
        <v>8.2601965487779094E-2</v>
      </c>
    </row>
    <row r="23819" spans="1:6" x14ac:dyDescent="0.25">
      <c r="A23819" s="2" t="str">
        <f t="shared" si="831"/>
        <v>37860</v>
      </c>
      <c r="B23819" s="2" t="str">
        <f>"32502"</f>
        <v>32502</v>
      </c>
      <c r="C23819" s="1">
        <v>1.09053400733846E-2</v>
      </c>
      <c r="D23819" s="1">
        <v>7.8119547335360598E-2</v>
      </c>
      <c r="E23819" s="1">
        <v>4.7846045197740099E-2</v>
      </c>
      <c r="F23819" s="1">
        <v>1.6473204231268301E-2</v>
      </c>
    </row>
    <row r="23820" spans="1:6" x14ac:dyDescent="0.25">
      <c r="A23820" s="2" t="str">
        <f t="shared" si="831"/>
        <v>37860</v>
      </c>
      <c r="B23820" s="2" t="str">
        <f>"32569"</f>
        <v>32569</v>
      </c>
      <c r="C23820" s="1">
        <v>3.93694587486811E-5</v>
      </c>
      <c r="D23820" s="1">
        <v>0</v>
      </c>
      <c r="E23820" s="1">
        <v>0</v>
      </c>
      <c r="F23820" s="1">
        <v>3.5749141126884402E-5</v>
      </c>
    </row>
    <row r="23821" spans="1:6" x14ac:dyDescent="0.25">
      <c r="A23821" s="2" t="str">
        <f t="shared" si="831"/>
        <v>37860</v>
      </c>
      <c r="B23821" s="2" t="str">
        <f>"32565"</f>
        <v>32565</v>
      </c>
      <c r="C23821" s="1">
        <v>1.1519503629864E-2</v>
      </c>
      <c r="D23821" s="1">
        <v>8.3752928859863393E-3</v>
      </c>
      <c r="E23821" s="1">
        <v>1.23587570621468E-3</v>
      </c>
      <c r="F23821" s="1">
        <v>1.10858086634468E-2</v>
      </c>
    </row>
    <row r="23822" spans="1:6" x14ac:dyDescent="0.25">
      <c r="A23822" s="2" t="str">
        <f t="shared" si="831"/>
        <v>37860</v>
      </c>
      <c r="B23822" s="2" t="str">
        <f>"32560"</f>
        <v>32560</v>
      </c>
      <c r="C23822" s="1">
        <v>3.5235665580069602E-3</v>
      </c>
      <c r="D23822" s="1">
        <v>5.5336756568123997E-3</v>
      </c>
      <c r="E23822" s="1">
        <v>3.5310734463276798E-4</v>
      </c>
      <c r="F23822" s="1">
        <v>3.60351342558995E-3</v>
      </c>
    </row>
    <row r="23823" spans="1:6" x14ac:dyDescent="0.25">
      <c r="A23823" s="2" t="str">
        <f t="shared" si="831"/>
        <v>37860</v>
      </c>
      <c r="B23823" s="2" t="str">
        <f>"32516"</f>
        <v>32516</v>
      </c>
      <c r="C23823" s="1">
        <v>3.9684414418670504E-3</v>
      </c>
      <c r="D23823" s="1">
        <v>8.9735280921282197E-3</v>
      </c>
      <c r="E23823" s="1">
        <v>3.5310734463276798E-4</v>
      </c>
      <c r="F23823" s="1">
        <v>4.2541477940992401E-3</v>
      </c>
    </row>
    <row r="23824" spans="1:6" x14ac:dyDescent="0.25">
      <c r="A23824" s="2" t="str">
        <f t="shared" si="831"/>
        <v>37860</v>
      </c>
      <c r="B23824" s="2" t="str">
        <f>"32533"</f>
        <v>32533</v>
      </c>
      <c r="C23824" s="1">
        <v>5.5546369348514098E-2</v>
      </c>
      <c r="D23824" s="1">
        <v>2.6771025474849101E-2</v>
      </c>
      <c r="E23824" s="1">
        <v>1.4653954802259801E-2</v>
      </c>
      <c r="F23824" s="1">
        <v>5.2654909965787998E-2</v>
      </c>
    </row>
    <row r="23825" spans="1:6" x14ac:dyDescent="0.25">
      <c r="A23825" s="2" t="str">
        <f t="shared" si="831"/>
        <v>37860</v>
      </c>
      <c r="B23825" s="2" t="str">
        <f>"32506"</f>
        <v>32506</v>
      </c>
      <c r="C23825" s="1">
        <v>6.7530432591612705E-2</v>
      </c>
      <c r="D23825" s="1">
        <v>3.2853083403958303E-2</v>
      </c>
      <c r="E23825" s="1">
        <v>9.7810734463276802E-2</v>
      </c>
      <c r="F23825" s="1">
        <v>6.5656872593635895E-2</v>
      </c>
    </row>
    <row r="23826" spans="1:6" x14ac:dyDescent="0.25">
      <c r="A23826" s="2" t="str">
        <f t="shared" si="831"/>
        <v>37860</v>
      </c>
      <c r="B23826" s="2" t="str">
        <f>"32577"</f>
        <v>32577</v>
      </c>
      <c r="C23826" s="1">
        <v>9.5077242878064908E-3</v>
      </c>
      <c r="D23826" s="1">
        <v>2.9413230968642502E-3</v>
      </c>
      <c r="E23826" s="1">
        <v>2.64830508474576E-3</v>
      </c>
      <c r="F23826" s="1">
        <v>8.8979612264815308E-3</v>
      </c>
    </row>
    <row r="23827" spans="1:6" x14ac:dyDescent="0.25">
      <c r="A23827" s="2" t="str">
        <f t="shared" si="831"/>
        <v>37860</v>
      </c>
      <c r="B23827" s="2" t="str">
        <f>"32572"</f>
        <v>32572</v>
      </c>
      <c r="C23827" s="1">
        <v>6.0471488637974203E-3</v>
      </c>
      <c r="D23827" s="1">
        <v>1.3609850939727801E-2</v>
      </c>
      <c r="E23827" s="1">
        <v>3.5310734463276798E-4</v>
      </c>
      <c r="F23827" s="1">
        <v>6.4741694580787599E-3</v>
      </c>
    </row>
    <row r="23828" spans="1:6" x14ac:dyDescent="0.25">
      <c r="A23828" s="2" t="str">
        <f t="shared" si="831"/>
        <v>37860</v>
      </c>
      <c r="B23828" s="2" t="str">
        <f>"32564"</f>
        <v>32564</v>
      </c>
      <c r="C23828" s="1">
        <v>7.9132612084849003E-4</v>
      </c>
      <c r="D23828" s="1">
        <v>2.9911760307093998E-4</v>
      </c>
      <c r="E23828" s="1">
        <v>1.0593220338983001E-3</v>
      </c>
      <c r="F23828" s="1">
        <v>7.6145670600263795E-4</v>
      </c>
    </row>
    <row r="23829" spans="1:6" x14ac:dyDescent="0.25">
      <c r="A23829" s="2" t="str">
        <f t="shared" si="831"/>
        <v>37860</v>
      </c>
      <c r="B23829" s="2" t="str">
        <f>"32522"</f>
        <v>32522</v>
      </c>
      <c r="C23829" s="1">
        <v>1.9330404245602401E-3</v>
      </c>
      <c r="D23829" s="1">
        <v>6.8298519367864701E-3</v>
      </c>
      <c r="E23829" s="1">
        <v>3.5310734463276798E-4</v>
      </c>
      <c r="F23829" s="1">
        <v>2.25219589099371E-3</v>
      </c>
    </row>
    <row r="23830" spans="1:6" x14ac:dyDescent="0.25">
      <c r="A23830" s="2" t="str">
        <f t="shared" si="831"/>
        <v>37860</v>
      </c>
      <c r="B23830" s="2" t="str">
        <f>"32509"</f>
        <v>32509</v>
      </c>
      <c r="C23830" s="1">
        <v>0</v>
      </c>
      <c r="D23830" s="1">
        <v>9.47205743057978E-4</v>
      </c>
      <c r="E23830" s="1">
        <v>7.0621468926553596E-4</v>
      </c>
      <c r="F23830" s="1">
        <v>8.2223024591834105E-5</v>
      </c>
    </row>
    <row r="23831" spans="1:6" x14ac:dyDescent="0.25">
      <c r="A23831" s="2" t="str">
        <f t="shared" si="831"/>
        <v>37860</v>
      </c>
      <c r="B23831" s="2" t="str">
        <f>"32531"</f>
        <v>32531</v>
      </c>
      <c r="C23831" s="1">
        <v>2.00784239618273E-4</v>
      </c>
      <c r="D23831" s="1">
        <v>0</v>
      </c>
      <c r="E23831" s="1">
        <v>0</v>
      </c>
      <c r="F23831" s="1">
        <v>1.8232061974711E-4</v>
      </c>
    </row>
    <row r="23832" spans="1:6" x14ac:dyDescent="0.25">
      <c r="A23832" s="2" t="str">
        <f t="shared" si="831"/>
        <v>37860</v>
      </c>
      <c r="B23832" s="2" t="str">
        <f>"32505"</f>
        <v>32505</v>
      </c>
      <c r="C23832" s="1">
        <v>5.5566054077888498E-2</v>
      </c>
      <c r="D23832" s="1">
        <v>9.1679545341243299E-2</v>
      </c>
      <c r="E23832" s="1">
        <v>6.1087570621468898E-2</v>
      </c>
      <c r="F23832" s="1">
        <v>5.8267525122708899E-2</v>
      </c>
    </row>
    <row r="23833" spans="1:6" x14ac:dyDescent="0.25">
      <c r="A23833" s="2" t="str">
        <f t="shared" si="831"/>
        <v>37860</v>
      </c>
      <c r="B23833" s="2" t="str">
        <f>"32511"</f>
        <v>32511</v>
      </c>
      <c r="C23833" s="1">
        <v>0</v>
      </c>
      <c r="D23833" s="1">
        <v>9.9705867690313499E-4</v>
      </c>
      <c r="E23833" s="1">
        <v>5.29661016949152E-4</v>
      </c>
      <c r="F23833" s="1">
        <v>8.2223024591834105E-5</v>
      </c>
    </row>
    <row r="23834" spans="1:6" x14ac:dyDescent="0.25">
      <c r="A23834" s="2" t="str">
        <f t="shared" si="831"/>
        <v>37860</v>
      </c>
      <c r="B23834" s="2" t="str">
        <f>"32530"</f>
        <v>32530</v>
      </c>
      <c r="C23834" s="1">
        <v>2.9645202437756802E-3</v>
      </c>
      <c r="D23834" s="1">
        <v>2.5424996261029899E-3</v>
      </c>
      <c r="E23834" s="1">
        <v>3.5310734463276798E-4</v>
      </c>
      <c r="F23834" s="1">
        <v>2.88138077482688E-3</v>
      </c>
    </row>
    <row r="23835" spans="1:6" x14ac:dyDescent="0.25">
      <c r="A23835" s="2" t="str">
        <f t="shared" si="831"/>
        <v>37860</v>
      </c>
      <c r="B23835" s="2" t="str">
        <f>"32535"</f>
        <v>32535</v>
      </c>
      <c r="C23835" s="1">
        <v>9.6966976898001603E-3</v>
      </c>
      <c r="D23835" s="1">
        <v>7.2785283413928899E-3</v>
      </c>
      <c r="E23835" s="1">
        <v>5.12005649717514E-3</v>
      </c>
      <c r="F23835" s="1">
        <v>9.43062342927211E-3</v>
      </c>
    </row>
    <row r="23836" spans="1:6" x14ac:dyDescent="0.25">
      <c r="A23836" s="2" t="str">
        <f t="shared" si="831"/>
        <v>37860</v>
      </c>
      <c r="B23836" s="2" t="str">
        <f>"32534"</f>
        <v>32534</v>
      </c>
      <c r="C23836" s="1">
        <v>3.1282971921701999E-2</v>
      </c>
      <c r="D23836" s="1">
        <v>4.2026023231467098E-2</v>
      </c>
      <c r="E23836" s="1">
        <v>4.8728813559322001E-2</v>
      </c>
      <c r="F23836" s="1">
        <v>3.2406596431520697E-2</v>
      </c>
    </row>
    <row r="23837" spans="1:6" x14ac:dyDescent="0.25">
      <c r="A23837" s="2" t="str">
        <f t="shared" ref="A23837:A23857" si="832">"10760"</f>
        <v>10760</v>
      </c>
      <c r="B23837" s="2" t="str">
        <f>"36853"</f>
        <v>36853</v>
      </c>
      <c r="C23837" s="1">
        <v>0.190846833800947</v>
      </c>
      <c r="D23837" s="1">
        <v>0.229605866177818</v>
      </c>
      <c r="E23837" s="1">
        <v>0.124370956146657</v>
      </c>
      <c r="F23837" s="1">
        <v>0.190631808278867</v>
      </c>
    </row>
    <row r="23838" spans="1:6" x14ac:dyDescent="0.25">
      <c r="A23838" s="2" t="str">
        <f t="shared" si="832"/>
        <v>10760</v>
      </c>
      <c r="B23838" s="2" t="str">
        <f>"36255"</f>
        <v>36255</v>
      </c>
      <c r="C23838" s="1">
        <v>3.6202371255317201E-4</v>
      </c>
      <c r="D23838" s="1">
        <v>4.58295142071494E-4</v>
      </c>
      <c r="E23838" s="1">
        <v>0</v>
      </c>
      <c r="F23838" s="1">
        <v>3.5403050108932398E-4</v>
      </c>
    </row>
    <row r="23839" spans="1:6" x14ac:dyDescent="0.25">
      <c r="A23839" s="2" t="str">
        <f t="shared" si="832"/>
        <v>10760</v>
      </c>
      <c r="B23839" s="2" t="str">
        <f>"35136"</f>
        <v>35136</v>
      </c>
      <c r="C23839" s="1">
        <v>3.4693939119679003E-2</v>
      </c>
      <c r="D23839" s="1">
        <v>3.0247479376718601E-2</v>
      </c>
      <c r="E23839" s="1">
        <v>3.5945363048166699E-3</v>
      </c>
      <c r="F23839" s="1">
        <v>3.3251633986928097E-2</v>
      </c>
    </row>
    <row r="23840" spans="1:6" x14ac:dyDescent="0.25">
      <c r="A23840" s="2" t="str">
        <f t="shared" si="832"/>
        <v>10760</v>
      </c>
      <c r="B23840" s="2" t="str">
        <f>"36879"</f>
        <v>36879</v>
      </c>
      <c r="C23840" s="1">
        <v>1.02573385223398E-3</v>
      </c>
      <c r="D23840" s="1">
        <v>4.58295142071494E-4</v>
      </c>
      <c r="E23840" s="1">
        <v>7.18907260963335E-4</v>
      </c>
      <c r="F23840" s="1">
        <v>9.8039215686274508E-4</v>
      </c>
    </row>
    <row r="23841" spans="1:6" x14ac:dyDescent="0.25">
      <c r="A23841" s="2" t="str">
        <f t="shared" si="832"/>
        <v>10760</v>
      </c>
      <c r="B23841" s="2" t="str">
        <f>"35046"</f>
        <v>35046</v>
      </c>
      <c r="C23841" s="1">
        <v>4.3442845506380598E-3</v>
      </c>
      <c r="D23841" s="1">
        <v>2.2914757103574702E-3</v>
      </c>
      <c r="E23841" s="1">
        <v>0</v>
      </c>
      <c r="F23841" s="1">
        <v>4.0577342047930197E-3</v>
      </c>
    </row>
    <row r="23842" spans="1:6" x14ac:dyDescent="0.25">
      <c r="A23842" s="2" t="str">
        <f t="shared" si="832"/>
        <v>10760</v>
      </c>
      <c r="B23842" s="2" t="str">
        <f>"35010"</f>
        <v>35010</v>
      </c>
      <c r="C23842" s="1">
        <v>0.354602226445832</v>
      </c>
      <c r="D23842" s="1">
        <v>0.48120989917506801</v>
      </c>
      <c r="E23842" s="1">
        <v>0.78001437814521901</v>
      </c>
      <c r="F23842" s="1">
        <v>0.37824074074073999</v>
      </c>
    </row>
    <row r="23843" spans="1:6" x14ac:dyDescent="0.25">
      <c r="A23843" s="2" t="str">
        <f t="shared" si="832"/>
        <v>10760</v>
      </c>
      <c r="B23843" s="2" t="str">
        <f>"36256"</f>
        <v>36256</v>
      </c>
      <c r="C23843" s="1">
        <v>2.60657073038284E-2</v>
      </c>
      <c r="D23843" s="1">
        <v>2.1539871677360201E-2</v>
      </c>
      <c r="E23843" s="1">
        <v>1.43781452192667E-3</v>
      </c>
      <c r="F23843" s="1">
        <v>2.48638344226579E-2</v>
      </c>
    </row>
    <row r="23844" spans="1:6" x14ac:dyDescent="0.25">
      <c r="A23844" s="2" t="str">
        <f t="shared" si="832"/>
        <v>10760</v>
      </c>
      <c r="B23844" s="2" t="str">
        <f>"36026"</f>
        <v>36026</v>
      </c>
      <c r="C23844" s="1">
        <v>1.4631791715690699E-2</v>
      </c>
      <c r="D23844" s="1">
        <v>5.0412465627864304E-3</v>
      </c>
      <c r="E23844" s="1">
        <v>1.43781452192667E-3</v>
      </c>
      <c r="F23844" s="1">
        <v>1.35620915032679E-2</v>
      </c>
    </row>
    <row r="23845" spans="1:6" x14ac:dyDescent="0.25">
      <c r="A23845" s="2" t="str">
        <f t="shared" si="832"/>
        <v>10760</v>
      </c>
      <c r="B23845" s="2" t="str">
        <f>"35183"</f>
        <v>35183</v>
      </c>
      <c r="C23845" s="1">
        <v>2.2083446465743499E-2</v>
      </c>
      <c r="D23845" s="1">
        <v>1.2832263978001799E-2</v>
      </c>
      <c r="E23845" s="1">
        <v>7.18907260963335E-4</v>
      </c>
      <c r="F23845" s="1">
        <v>2.0724400871459599E-2</v>
      </c>
    </row>
    <row r="23846" spans="1:6" x14ac:dyDescent="0.25">
      <c r="A23846" s="2" t="str">
        <f t="shared" si="832"/>
        <v>10760</v>
      </c>
      <c r="B23846" s="2" t="str">
        <f>"36849"</f>
        <v>36849</v>
      </c>
      <c r="C23846" s="1">
        <v>0</v>
      </c>
      <c r="D23846" s="1">
        <v>0</v>
      </c>
      <c r="E23846" s="1">
        <v>2.1567217828900001E-3</v>
      </c>
      <c r="F23846" s="1">
        <v>8.1699346405228698E-5</v>
      </c>
    </row>
    <row r="23847" spans="1:6" x14ac:dyDescent="0.25">
      <c r="A23847" s="2" t="str">
        <f t="shared" si="832"/>
        <v>10760</v>
      </c>
      <c r="B23847" s="2" t="str">
        <f>"36276"</f>
        <v>36276</v>
      </c>
      <c r="C23847" s="1">
        <v>1.02573385223398E-3</v>
      </c>
      <c r="D23847" s="1">
        <v>0</v>
      </c>
      <c r="E23847" s="1">
        <v>0</v>
      </c>
      <c r="F23847" s="1">
        <v>9.2592592592592499E-4</v>
      </c>
    </row>
    <row r="23848" spans="1:6" x14ac:dyDescent="0.25">
      <c r="A23848" s="2" t="str">
        <f t="shared" si="832"/>
        <v>10760</v>
      </c>
      <c r="B23848" s="2" t="str">
        <f>"36078"</f>
        <v>36078</v>
      </c>
      <c r="C23848" s="1">
        <v>7.3249464506591797E-2</v>
      </c>
      <c r="D23848" s="1">
        <v>7.3785517873510495E-2</v>
      </c>
      <c r="E23848" s="1">
        <v>1.0064701653486699E-2</v>
      </c>
      <c r="F23848" s="1">
        <v>7.0887799564270104E-2</v>
      </c>
    </row>
    <row r="23849" spans="1:6" x14ac:dyDescent="0.25">
      <c r="A23849" s="2" t="str">
        <f t="shared" si="832"/>
        <v>10760</v>
      </c>
      <c r="B23849" s="2" t="str">
        <f>"35151"</f>
        <v>35151</v>
      </c>
      <c r="C23849" s="1">
        <v>5.2131414607656801E-2</v>
      </c>
      <c r="D23849" s="1">
        <v>1.7873510540788201E-2</v>
      </c>
      <c r="E23849" s="1">
        <v>0</v>
      </c>
      <c r="F23849" s="1">
        <v>4.8120915032679699E-2</v>
      </c>
    </row>
    <row r="23850" spans="1:6" x14ac:dyDescent="0.25">
      <c r="A23850" s="2" t="str">
        <f t="shared" si="832"/>
        <v>10760</v>
      </c>
      <c r="B23850" s="2" t="str">
        <f>"35089"</f>
        <v>35089</v>
      </c>
      <c r="C23850" s="1">
        <v>4.7937973270582503E-2</v>
      </c>
      <c r="D23850" s="1">
        <v>2.84142988084326E-2</v>
      </c>
      <c r="E23850" s="1">
        <v>8.6268871315600196E-3</v>
      </c>
      <c r="F23850" s="1">
        <v>4.5288671023965103E-2</v>
      </c>
    </row>
    <row r="23851" spans="1:6" x14ac:dyDescent="0.25">
      <c r="A23851" s="2" t="str">
        <f t="shared" si="832"/>
        <v>10760</v>
      </c>
      <c r="B23851" s="2" t="str">
        <f>"36866"</f>
        <v>36866</v>
      </c>
      <c r="C23851" s="1">
        <v>1.42999366458503E-2</v>
      </c>
      <c r="D23851" s="1">
        <v>9.6241979835013699E-3</v>
      </c>
      <c r="E23851" s="1">
        <v>0</v>
      </c>
      <c r="F23851" s="1">
        <v>1.3480392156862701E-2</v>
      </c>
    </row>
    <row r="23852" spans="1:6" x14ac:dyDescent="0.25">
      <c r="A23852" s="2" t="str">
        <f t="shared" si="832"/>
        <v>10760</v>
      </c>
      <c r="B23852" s="2" t="str">
        <f>"36850"</f>
        <v>36850</v>
      </c>
      <c r="C23852" s="1">
        <v>3.7680634748242597E-2</v>
      </c>
      <c r="D23852" s="1">
        <v>2.47479376718606E-2</v>
      </c>
      <c r="E23852" s="1">
        <v>2.8037383177569999E-2</v>
      </c>
      <c r="F23852" s="1">
        <v>3.6546840958605602E-2</v>
      </c>
    </row>
    <row r="23853" spans="1:6" x14ac:dyDescent="0.25">
      <c r="A23853" s="2" t="str">
        <f t="shared" si="832"/>
        <v>10760</v>
      </c>
      <c r="B23853" s="2" t="str">
        <f>"36251"</f>
        <v>36251</v>
      </c>
      <c r="C23853" s="1">
        <v>0</v>
      </c>
      <c r="D23853" s="1">
        <v>2.2914757103574702E-3</v>
      </c>
      <c r="E23853" s="1">
        <v>0</v>
      </c>
      <c r="F23853" s="1">
        <v>1.3616557734204699E-4</v>
      </c>
    </row>
    <row r="23854" spans="1:6" x14ac:dyDescent="0.25">
      <c r="A23854" s="2" t="str">
        <f t="shared" si="832"/>
        <v>10760</v>
      </c>
      <c r="B23854" s="2" t="str">
        <f>"36080"</f>
        <v>36080</v>
      </c>
      <c r="C23854" s="1">
        <v>3.01686427127643E-4</v>
      </c>
      <c r="D23854" s="1">
        <v>0</v>
      </c>
      <c r="E23854" s="1">
        <v>0</v>
      </c>
      <c r="F23854" s="1">
        <v>2.7233115468409502E-4</v>
      </c>
    </row>
    <row r="23855" spans="1:6" x14ac:dyDescent="0.25">
      <c r="A23855" s="2" t="str">
        <f t="shared" si="832"/>
        <v>10760</v>
      </c>
      <c r="B23855" s="2" t="str">
        <f>"36861"</f>
        <v>36861</v>
      </c>
      <c r="C23855" s="1">
        <v>6.7306241892177196E-2</v>
      </c>
      <c r="D23855" s="1">
        <v>2.74977085242896E-2</v>
      </c>
      <c r="E23855" s="1">
        <v>3.1631919482386701E-2</v>
      </c>
      <c r="F23855" s="1">
        <v>6.3589324618736301E-2</v>
      </c>
    </row>
    <row r="23856" spans="1:6" x14ac:dyDescent="0.25">
      <c r="A23856" s="2" t="str">
        <f t="shared" si="832"/>
        <v>10760</v>
      </c>
      <c r="B23856" s="2" t="str">
        <f>"35150"</f>
        <v>35150</v>
      </c>
      <c r="C23856" s="1">
        <v>3.9822608380848902E-3</v>
      </c>
      <c r="D23856" s="1">
        <v>4.1246562786434399E-3</v>
      </c>
      <c r="E23856" s="1">
        <v>0</v>
      </c>
      <c r="F23856" s="1">
        <v>3.8398692810457501E-3</v>
      </c>
    </row>
    <row r="23857" spans="1:6" x14ac:dyDescent="0.25">
      <c r="A23857" s="2" t="str">
        <f t="shared" si="832"/>
        <v>10760</v>
      </c>
      <c r="B23857" s="2" t="str">
        <f>"35072"</f>
        <v>35072</v>
      </c>
      <c r="C23857" s="1">
        <v>5.3428666244305603E-2</v>
      </c>
      <c r="D23857" s="1">
        <v>2.7956003666361098E-2</v>
      </c>
      <c r="E23857" s="1">
        <v>7.1890726096333502E-3</v>
      </c>
      <c r="F23857" s="1">
        <v>5.0163398692810397E-2</v>
      </c>
    </row>
    <row r="23858" spans="1:6" x14ac:dyDescent="0.25">
      <c r="A23858" s="2" t="str">
        <f t="shared" ref="A23858:A23889" si="833">"33860"</f>
        <v>33860</v>
      </c>
      <c r="B23858" s="2" t="str">
        <f>"36761"</f>
        <v>36761</v>
      </c>
      <c r="C23858" s="1">
        <v>1.4485080367221701E-3</v>
      </c>
      <c r="D23858" s="1">
        <v>1.2575101299427099E-3</v>
      </c>
      <c r="E23858" s="1">
        <v>5.6322162771050405E-4</v>
      </c>
      <c r="F23858" s="1">
        <v>1.4031008090777499E-3</v>
      </c>
    </row>
    <row r="23859" spans="1:6" x14ac:dyDescent="0.25">
      <c r="A23859" s="2" t="str">
        <f t="shared" si="833"/>
        <v>33860</v>
      </c>
      <c r="B23859" s="2" t="str">
        <f>"36064"</f>
        <v>36064</v>
      </c>
      <c r="C23859" s="1">
        <v>2.74017761705443E-2</v>
      </c>
      <c r="D23859" s="1">
        <v>7.3121885333705897E-3</v>
      </c>
      <c r="E23859" s="1">
        <v>1.9712756969867602E-3</v>
      </c>
      <c r="F23859" s="1">
        <v>2.4726919865896702E-2</v>
      </c>
    </row>
    <row r="23860" spans="1:6" x14ac:dyDescent="0.25">
      <c r="A23860" s="2" t="str">
        <f t="shared" si="833"/>
        <v>33860</v>
      </c>
      <c r="B23860" s="2" t="str">
        <f>"36046"</f>
        <v>36046</v>
      </c>
      <c r="C23860" s="1">
        <v>1.69825080167427E-3</v>
      </c>
      <c r="D23860" s="1">
        <v>7.9176563737133805E-4</v>
      </c>
      <c r="E23860" s="1">
        <v>5.6322162771050405E-4</v>
      </c>
      <c r="F23860" s="1">
        <v>1.5779420313927399E-3</v>
      </c>
    </row>
    <row r="23861" spans="1:6" x14ac:dyDescent="0.25">
      <c r="A23861" s="2" t="str">
        <f t="shared" si="833"/>
        <v>33860</v>
      </c>
      <c r="B23861" s="2" t="str">
        <f>"36120"</f>
        <v>36120</v>
      </c>
      <c r="C23861" s="1">
        <v>4.6951639810994599E-3</v>
      </c>
      <c r="D23861" s="1">
        <v>7.5916352289134102E-3</v>
      </c>
      <c r="E23861" s="1">
        <v>2.8161081385525203E-4</v>
      </c>
      <c r="F23861" s="1">
        <v>4.8299887664514599E-3</v>
      </c>
    </row>
    <row r="23862" spans="1:6" x14ac:dyDescent="0.25">
      <c r="A23862" s="2" t="str">
        <f t="shared" si="833"/>
        <v>33860</v>
      </c>
      <c r="B23862" s="2" t="str">
        <f>"36006"</f>
        <v>36006</v>
      </c>
      <c r="C23862" s="1">
        <v>2.4874379389228998E-3</v>
      </c>
      <c r="D23862" s="1">
        <v>4.1917004331423698E-4</v>
      </c>
      <c r="E23862" s="1">
        <v>7.0402703463813001E-4</v>
      </c>
      <c r="F23862" s="1">
        <v>2.2379676456318102E-3</v>
      </c>
    </row>
    <row r="23863" spans="1:6" x14ac:dyDescent="0.25">
      <c r="A23863" s="2" t="str">
        <f t="shared" si="833"/>
        <v>33860</v>
      </c>
      <c r="B23863" s="2" t="str">
        <f>"36080"</f>
        <v>36080</v>
      </c>
      <c r="C23863" s="1">
        <v>7.2775041707041702E-3</v>
      </c>
      <c r="D23863" s="1">
        <v>1.4903823762283999E-3</v>
      </c>
      <c r="E23863" s="1">
        <v>9.1523514502956892E-3</v>
      </c>
      <c r="F23863" s="1">
        <v>6.7925814869371701E-3</v>
      </c>
    </row>
    <row r="23864" spans="1:6" x14ac:dyDescent="0.25">
      <c r="A23864" s="2" t="str">
        <f t="shared" si="833"/>
        <v>33860</v>
      </c>
      <c r="B23864" s="2" t="str">
        <f>"36065"</f>
        <v>36065</v>
      </c>
      <c r="C23864" s="1">
        <v>0</v>
      </c>
      <c r="D23864" s="1">
        <v>4.6574449257137498E-5</v>
      </c>
      <c r="E23864" s="1">
        <v>0</v>
      </c>
      <c r="F23864" s="1">
        <v>4.3710305578746301E-6</v>
      </c>
    </row>
    <row r="23865" spans="1:6" x14ac:dyDescent="0.25">
      <c r="A23865" s="2" t="str">
        <f t="shared" si="833"/>
        <v>33860</v>
      </c>
      <c r="B23865" s="2" t="str">
        <f>"36067"</f>
        <v>36067</v>
      </c>
      <c r="C23865" s="1">
        <v>6.4488576765931005E-2</v>
      </c>
      <c r="D23865" s="1">
        <v>4.6295002561594703E-2</v>
      </c>
      <c r="E23865" s="1">
        <v>2.42185299915516E-2</v>
      </c>
      <c r="F23865" s="1">
        <v>6.1530997163201102E-2</v>
      </c>
    </row>
    <row r="23866" spans="1:6" x14ac:dyDescent="0.25">
      <c r="A23866" s="2" t="str">
        <f t="shared" si="833"/>
        <v>33860</v>
      </c>
      <c r="B23866" s="2" t="str">
        <f>"36124"</f>
        <v>36124</v>
      </c>
      <c r="C23866" s="1">
        <v>5.8689549763743304E-3</v>
      </c>
      <c r="D23866" s="1">
        <v>2.9574775278282301E-2</v>
      </c>
      <c r="E23866" s="1">
        <v>2.8161081385525203E-4</v>
      </c>
      <c r="F23866" s="1">
        <v>7.9203073708688197E-3</v>
      </c>
    </row>
    <row r="23867" spans="1:6" x14ac:dyDescent="0.25">
      <c r="A23867" s="2" t="str">
        <f t="shared" si="833"/>
        <v>33860</v>
      </c>
      <c r="B23867" s="2" t="str">
        <f>"36119"</f>
        <v>36119</v>
      </c>
      <c r="C23867" s="1">
        <v>0</v>
      </c>
      <c r="D23867" s="1">
        <v>0</v>
      </c>
      <c r="E23867" s="1">
        <v>4.2241622078287798E-4</v>
      </c>
      <c r="F23867" s="1">
        <v>1.31130916736238E-5</v>
      </c>
    </row>
    <row r="23868" spans="1:6" x14ac:dyDescent="0.25">
      <c r="A23868" s="2" t="str">
        <f t="shared" si="833"/>
        <v>33860</v>
      </c>
      <c r="B23868" s="2" t="str">
        <f>"36117"</f>
        <v>36117</v>
      </c>
      <c r="C23868" s="1">
        <v>0.119676732965046</v>
      </c>
      <c r="D23868" s="1">
        <v>0.150714917796097</v>
      </c>
      <c r="E23868" s="1">
        <v>0.11743170937764</v>
      </c>
      <c r="F23868" s="1">
        <v>0.122519986537225</v>
      </c>
    </row>
    <row r="23869" spans="1:6" x14ac:dyDescent="0.25">
      <c r="A23869" s="2" t="str">
        <f t="shared" si="833"/>
        <v>33860</v>
      </c>
      <c r="B23869" s="2" t="str">
        <f>"36091"</f>
        <v>36091</v>
      </c>
      <c r="C23869" s="1">
        <v>1.0888784551911499E-3</v>
      </c>
      <c r="D23869" s="1">
        <v>1.39723347771412E-4</v>
      </c>
      <c r="E23869" s="1">
        <v>0</v>
      </c>
      <c r="F23869" s="1">
        <v>9.65997753290293E-4</v>
      </c>
    </row>
    <row r="23870" spans="1:6" x14ac:dyDescent="0.25">
      <c r="A23870" s="2" t="str">
        <f t="shared" si="833"/>
        <v>33860</v>
      </c>
      <c r="B23870" s="2" t="str">
        <f>"36110"</f>
        <v>36110</v>
      </c>
      <c r="C23870" s="1">
        <v>2.9339780026572601E-2</v>
      </c>
      <c r="D23870" s="1">
        <v>2.3520096874854401E-2</v>
      </c>
      <c r="E23870" s="1">
        <v>1.43621515066178E-2</v>
      </c>
      <c r="F23870" s="1">
        <v>2.8328649045585401E-2</v>
      </c>
    </row>
    <row r="23871" spans="1:6" x14ac:dyDescent="0.25">
      <c r="A23871" s="2" t="str">
        <f t="shared" si="833"/>
        <v>33860</v>
      </c>
      <c r="B23871" s="2" t="str">
        <f>"36107"</f>
        <v>36107</v>
      </c>
      <c r="C23871" s="1">
        <v>2.4789466849145299E-2</v>
      </c>
      <c r="D23871" s="1">
        <v>3.4371943551767502E-2</v>
      </c>
      <c r="E23871" s="1">
        <v>1.70374542382427E-2</v>
      </c>
      <c r="F23871" s="1">
        <v>2.5448139907946001E-2</v>
      </c>
    </row>
    <row r="23872" spans="1:6" x14ac:dyDescent="0.25">
      <c r="A23872" s="2" t="str">
        <f t="shared" si="833"/>
        <v>33860</v>
      </c>
      <c r="B23872" s="2" t="str">
        <f>"36024"</f>
        <v>36024</v>
      </c>
      <c r="C23872" s="1">
        <v>1.8196257854409901E-2</v>
      </c>
      <c r="D23872" s="1">
        <v>9.0354431558846808E-3</v>
      </c>
      <c r="E23872" s="1">
        <v>2.95691354548014E-3</v>
      </c>
      <c r="F23872" s="1">
        <v>1.6863435892280301E-2</v>
      </c>
    </row>
    <row r="23873" spans="1:6" x14ac:dyDescent="0.25">
      <c r="A23873" s="2" t="str">
        <f t="shared" si="833"/>
        <v>33860</v>
      </c>
      <c r="B23873" s="2" t="str">
        <f>"36022"</f>
        <v>36022</v>
      </c>
      <c r="C23873" s="1">
        <v>3.0958113143462199E-2</v>
      </c>
      <c r="D23873" s="1">
        <v>4.9368916212565702E-3</v>
      </c>
      <c r="E23873" s="1">
        <v>2.95691354548014E-3</v>
      </c>
      <c r="F23873" s="1">
        <v>2.7646768278556999E-2</v>
      </c>
    </row>
    <row r="23874" spans="1:6" x14ac:dyDescent="0.25">
      <c r="A23874" s="2" t="str">
        <f t="shared" si="833"/>
        <v>33860</v>
      </c>
      <c r="B23874" s="2" t="str">
        <f>"36057"</f>
        <v>36057</v>
      </c>
      <c r="C23874" s="1">
        <v>0</v>
      </c>
      <c r="D23874" s="1">
        <v>4.6574449257137498E-5</v>
      </c>
      <c r="E23874" s="1">
        <v>0</v>
      </c>
      <c r="F23874" s="1">
        <v>4.3710305578746301E-6</v>
      </c>
    </row>
    <row r="23875" spans="1:6" x14ac:dyDescent="0.25">
      <c r="A23875" s="2" t="str">
        <f t="shared" si="833"/>
        <v>33860</v>
      </c>
      <c r="B23875" s="2" t="str">
        <f>"36130"</f>
        <v>36130</v>
      </c>
      <c r="C23875" s="1">
        <v>0</v>
      </c>
      <c r="D23875" s="1">
        <v>4.6574449257137498E-5</v>
      </c>
      <c r="E23875" s="1">
        <v>2.6753027316248901E-3</v>
      </c>
      <c r="F23875" s="1">
        <v>8.7420611157492601E-5</v>
      </c>
    </row>
    <row r="23876" spans="1:6" x14ac:dyDescent="0.25">
      <c r="A23876" s="2" t="str">
        <f t="shared" si="833"/>
        <v>33860</v>
      </c>
      <c r="B23876" s="2" t="str">
        <f>"36008"</f>
        <v>36008</v>
      </c>
      <c r="C23876" s="1">
        <v>1.39855948373175E-4</v>
      </c>
      <c r="D23876" s="1">
        <v>1.8629779702854999E-4</v>
      </c>
      <c r="E23876" s="1">
        <v>0</v>
      </c>
      <c r="F23876" s="1">
        <v>1.39872977851988E-4</v>
      </c>
    </row>
    <row r="23877" spans="1:6" x14ac:dyDescent="0.25">
      <c r="A23877" s="2" t="str">
        <f t="shared" si="833"/>
        <v>33860</v>
      </c>
      <c r="B23877" s="2" t="str">
        <f>"36013"</f>
        <v>36013</v>
      </c>
      <c r="C23877" s="1">
        <v>1.07389388929402E-3</v>
      </c>
      <c r="D23877" s="1">
        <v>2.7944669554282498E-4</v>
      </c>
      <c r="E23877" s="1">
        <v>5.6322162771050405E-4</v>
      </c>
      <c r="F23877" s="1">
        <v>9.8348187552179094E-4</v>
      </c>
    </row>
    <row r="23878" spans="1:6" x14ac:dyDescent="0.25">
      <c r="A23878" s="2" t="str">
        <f t="shared" si="833"/>
        <v>33860</v>
      </c>
      <c r="B23878" s="2" t="str">
        <f>"35010"</f>
        <v>35010</v>
      </c>
      <c r="C23878" s="1">
        <v>2.15777748918613E-3</v>
      </c>
      <c r="D23878" s="1">
        <v>3.2602114479996202E-4</v>
      </c>
      <c r="E23878" s="1">
        <v>2.2528865108420101E-3</v>
      </c>
      <c r="F23878" s="1">
        <v>1.9888189038329502E-3</v>
      </c>
    </row>
    <row r="23879" spans="1:6" x14ac:dyDescent="0.25">
      <c r="A23879" s="2" t="str">
        <f t="shared" si="833"/>
        <v>33860</v>
      </c>
      <c r="B23879" s="2" t="str">
        <f>"36758"</f>
        <v>36758</v>
      </c>
      <c r="C23879" s="1">
        <v>8.0916655844480098E-4</v>
      </c>
      <c r="D23879" s="1">
        <v>9.3148898514274997E-5</v>
      </c>
      <c r="E23879" s="1">
        <v>0</v>
      </c>
      <c r="F23879" s="1">
        <v>7.1684901149143897E-4</v>
      </c>
    </row>
    <row r="23880" spans="1:6" x14ac:dyDescent="0.25">
      <c r="A23880" s="2" t="str">
        <f t="shared" si="833"/>
        <v>33860</v>
      </c>
      <c r="B23880" s="2" t="str">
        <f>"36032"</f>
        <v>36032</v>
      </c>
      <c r="C23880" s="1">
        <v>5.02981928613528E-3</v>
      </c>
      <c r="D23880" s="1">
        <v>1.8164035210283601E-3</v>
      </c>
      <c r="E23880" s="1">
        <v>2.1120811039143901E-3</v>
      </c>
      <c r="F23880" s="1">
        <v>4.6376634219049799E-3</v>
      </c>
    </row>
    <row r="23881" spans="1:6" x14ac:dyDescent="0.25">
      <c r="A23881" s="2" t="str">
        <f t="shared" si="833"/>
        <v>33860</v>
      </c>
      <c r="B23881" s="2" t="str">
        <f>"36123"</f>
        <v>36123</v>
      </c>
      <c r="C23881" s="1">
        <v>3.9908893839345396E-3</v>
      </c>
      <c r="D23881" s="1">
        <v>1.2155931256112799E-2</v>
      </c>
      <c r="E23881" s="1">
        <v>2.8161081385525203E-4</v>
      </c>
      <c r="F23881" s="1">
        <v>4.6420344524628499E-3</v>
      </c>
    </row>
    <row r="23882" spans="1:6" x14ac:dyDescent="0.25">
      <c r="A23882" s="2" t="str">
        <f t="shared" si="833"/>
        <v>33860</v>
      </c>
      <c r="B23882" s="2" t="str">
        <f>"36101"</f>
        <v>36101</v>
      </c>
      <c r="C23882" s="1">
        <v>2.0079318302148701E-3</v>
      </c>
      <c r="D23882" s="1">
        <v>1.0758697778398701E-2</v>
      </c>
      <c r="E23882" s="1">
        <v>2.8161081385525203E-4</v>
      </c>
      <c r="F23882" s="1">
        <v>2.7756044042503902E-3</v>
      </c>
    </row>
    <row r="23883" spans="1:6" x14ac:dyDescent="0.25">
      <c r="A23883" s="2" t="str">
        <f t="shared" si="833"/>
        <v>33860</v>
      </c>
      <c r="B23883" s="2" t="str">
        <f>"36112"</f>
        <v>36112</v>
      </c>
      <c r="C23883" s="1">
        <v>1.09387331049019E-3</v>
      </c>
      <c r="D23883" s="1">
        <v>3.2602114479996202E-4</v>
      </c>
      <c r="E23883" s="1">
        <v>0</v>
      </c>
      <c r="F23883" s="1">
        <v>9.8785290607966594E-4</v>
      </c>
    </row>
    <row r="23884" spans="1:6" x14ac:dyDescent="0.25">
      <c r="A23884" s="2" t="str">
        <f t="shared" si="833"/>
        <v>33860</v>
      </c>
      <c r="B23884" s="2" t="str">
        <f>"36116"</f>
        <v>36116</v>
      </c>
      <c r="C23884" s="1">
        <v>0.101460495689439</v>
      </c>
      <c r="D23884" s="1">
        <v>7.5916352289134098E-2</v>
      </c>
      <c r="E23884" s="1">
        <v>0.19783159673331399</v>
      </c>
      <c r="F23884" s="1">
        <v>0.102054821465256</v>
      </c>
    </row>
    <row r="23885" spans="1:6" x14ac:dyDescent="0.25">
      <c r="A23885" s="2" t="str">
        <f t="shared" si="833"/>
        <v>33860</v>
      </c>
      <c r="B23885" s="2" t="str">
        <f>"36785"</f>
        <v>36785</v>
      </c>
      <c r="C23885" s="1">
        <v>2.64227845319321E-3</v>
      </c>
      <c r="D23885" s="1">
        <v>7.4519118811419997E-4</v>
      </c>
      <c r="E23885" s="1">
        <v>1.4080540692762601E-4</v>
      </c>
      <c r="F23885" s="1">
        <v>2.3865826845995402E-3</v>
      </c>
    </row>
    <row r="23886" spans="1:6" x14ac:dyDescent="0.25">
      <c r="A23886" s="2" t="str">
        <f t="shared" si="833"/>
        <v>33860</v>
      </c>
      <c r="B23886" s="2" t="str">
        <f>"36775"</f>
        <v>36775</v>
      </c>
      <c r="C23886" s="1">
        <v>3.49639870932939E-4</v>
      </c>
      <c r="D23886" s="1">
        <v>4.6574449257137498E-5</v>
      </c>
      <c r="E23886" s="1">
        <v>0</v>
      </c>
      <c r="F23886" s="1">
        <v>3.1034316960909801E-4</v>
      </c>
    </row>
    <row r="23887" spans="1:6" x14ac:dyDescent="0.25">
      <c r="A23887" s="2" t="str">
        <f t="shared" si="833"/>
        <v>33860</v>
      </c>
      <c r="B23887" s="2" t="str">
        <f>"36752"</f>
        <v>36752</v>
      </c>
      <c r="C23887" s="1">
        <v>4.8949581930611396E-3</v>
      </c>
      <c r="D23887" s="1">
        <v>2.65474360765683E-3</v>
      </c>
      <c r="E23887" s="1">
        <v>5.7730216840326601E-3</v>
      </c>
      <c r="F23887" s="1">
        <v>4.7119709413888499E-3</v>
      </c>
    </row>
    <row r="23888" spans="1:6" x14ac:dyDescent="0.25">
      <c r="A23888" s="2" t="str">
        <f t="shared" si="833"/>
        <v>33860</v>
      </c>
      <c r="B23888" s="2" t="str">
        <f>"36069"</f>
        <v>36069</v>
      </c>
      <c r="C23888" s="1">
        <v>7.3274527236945903E-3</v>
      </c>
      <c r="D23888" s="1">
        <v>3.8656792883424102E-3</v>
      </c>
      <c r="E23888" s="1">
        <v>1.40805406927626E-3</v>
      </c>
      <c r="F23888" s="1">
        <v>6.8188076702844196E-3</v>
      </c>
    </row>
    <row r="23889" spans="1:6" x14ac:dyDescent="0.25">
      <c r="A23889" s="2" t="str">
        <f t="shared" si="833"/>
        <v>33860</v>
      </c>
      <c r="B23889" s="2" t="str">
        <f>"36052"</f>
        <v>36052</v>
      </c>
      <c r="C23889" s="1">
        <v>2.1927414762794302E-3</v>
      </c>
      <c r="D23889" s="1">
        <v>7.9176563737133805E-4</v>
      </c>
      <c r="E23889" s="1">
        <v>8.4483244156575597E-4</v>
      </c>
      <c r="F23889" s="1">
        <v>2.0194161177380702E-3</v>
      </c>
    </row>
    <row r="23890" spans="1:6" x14ac:dyDescent="0.25">
      <c r="A23890" s="2" t="str">
        <f t="shared" ref="A23890:A23925" si="834">"33860"</f>
        <v>33860</v>
      </c>
      <c r="B23890" s="2" t="str">
        <f>"36029"</f>
        <v>36029</v>
      </c>
      <c r="C23890" s="1">
        <v>1.0988681657892299E-4</v>
      </c>
      <c r="D23890" s="1">
        <v>0</v>
      </c>
      <c r="E23890" s="1">
        <v>0</v>
      </c>
      <c r="F23890" s="1">
        <v>9.6162672273241801E-5</v>
      </c>
    </row>
    <row r="23891" spans="1:6" x14ac:dyDescent="0.25">
      <c r="A23891" s="2" t="str">
        <f t="shared" si="834"/>
        <v>33860</v>
      </c>
      <c r="B23891" s="2" t="str">
        <f>"36036"</f>
        <v>36036</v>
      </c>
      <c r="C23891" s="1">
        <v>4.3405292548674796E-3</v>
      </c>
      <c r="D23891" s="1">
        <v>1.07121233291416E-3</v>
      </c>
      <c r="E23891" s="1">
        <v>4.5480146437623201E-2</v>
      </c>
      <c r="F23891" s="1">
        <v>5.3108021278176704E-3</v>
      </c>
    </row>
    <row r="23892" spans="1:6" x14ac:dyDescent="0.25">
      <c r="A23892" s="2" t="str">
        <f t="shared" si="834"/>
        <v>33860</v>
      </c>
      <c r="B23892" s="2" t="str">
        <f>"36121"</f>
        <v>36121</v>
      </c>
      <c r="C23892" s="1">
        <v>3.1767279701907002E-3</v>
      </c>
      <c r="D23892" s="1">
        <v>9.3148898514274995E-3</v>
      </c>
      <c r="E23892" s="1">
        <v>1.4080540692762601E-4</v>
      </c>
      <c r="F23892" s="1">
        <v>3.6585525769410598E-3</v>
      </c>
    </row>
    <row r="23893" spans="1:6" x14ac:dyDescent="0.25">
      <c r="A23893" s="2" t="str">
        <f t="shared" si="834"/>
        <v>33860</v>
      </c>
      <c r="B23893" s="2" t="str">
        <f>"36104"</f>
        <v>36104</v>
      </c>
      <c r="C23893" s="1">
        <v>3.41098668371577E-2</v>
      </c>
      <c r="D23893" s="1">
        <v>0.13678915746821199</v>
      </c>
      <c r="E23893" s="1">
        <v>0.11574204449450801</v>
      </c>
      <c r="F23893" s="1">
        <v>4.6280471546776503E-2</v>
      </c>
    </row>
    <row r="23894" spans="1:6" x14ac:dyDescent="0.25">
      <c r="A23894" s="2" t="str">
        <f t="shared" si="834"/>
        <v>33860</v>
      </c>
      <c r="B23894" s="2" t="str">
        <f>"36113"</f>
        <v>36113</v>
      </c>
      <c r="C23894" s="1">
        <v>3.1117948513031501E-3</v>
      </c>
      <c r="D23894" s="1">
        <v>2.3287224628568701E-4</v>
      </c>
      <c r="E23894" s="1">
        <v>1.40805406927626E-3</v>
      </c>
      <c r="F23894" s="1">
        <v>2.7887174959240102E-3</v>
      </c>
    </row>
    <row r="23895" spans="1:6" x14ac:dyDescent="0.25">
      <c r="A23895" s="2" t="str">
        <f t="shared" si="834"/>
        <v>33860</v>
      </c>
      <c r="B23895" s="2" t="str">
        <f>"36025"</f>
        <v>36025</v>
      </c>
      <c r="C23895" s="1">
        <v>8.9807498276774905E-3</v>
      </c>
      <c r="D23895" s="1">
        <v>5.5889339108565004E-3</v>
      </c>
      <c r="E23895" s="1">
        <v>2.5344973246972601E-3</v>
      </c>
      <c r="F23895" s="1">
        <v>8.4623151600452806E-3</v>
      </c>
    </row>
    <row r="23896" spans="1:6" x14ac:dyDescent="0.25">
      <c r="A23896" s="2" t="str">
        <f t="shared" si="834"/>
        <v>33860</v>
      </c>
      <c r="B23896" s="2" t="str">
        <f>"36078"</f>
        <v>36078</v>
      </c>
      <c r="C23896" s="1">
        <v>2.2242090646633898E-2</v>
      </c>
      <c r="D23896" s="1">
        <v>1.8583205253597801E-2</v>
      </c>
      <c r="E23896" s="1">
        <v>6.0546324978879096E-3</v>
      </c>
      <c r="F23896" s="1">
        <v>2.13961945807963E-2</v>
      </c>
    </row>
    <row r="23897" spans="1:6" x14ac:dyDescent="0.25">
      <c r="A23897" s="2" t="str">
        <f t="shared" si="834"/>
        <v>33860</v>
      </c>
      <c r="B23897" s="2" t="str">
        <f>"36701"</f>
        <v>36701</v>
      </c>
      <c r="C23897" s="1">
        <v>4.9948552990419798E-6</v>
      </c>
      <c r="D23897" s="1">
        <v>0</v>
      </c>
      <c r="E23897" s="1">
        <v>0</v>
      </c>
      <c r="F23897" s="1">
        <v>4.3710305578746301E-6</v>
      </c>
    </row>
    <row r="23898" spans="1:6" x14ac:dyDescent="0.25">
      <c r="A23898" s="2" t="str">
        <f t="shared" si="834"/>
        <v>33860</v>
      </c>
      <c r="B23898" s="2" t="str">
        <f>"36054"</f>
        <v>36054</v>
      </c>
      <c r="C23898" s="1">
        <v>4.0733044963687397E-2</v>
      </c>
      <c r="D23898" s="1">
        <v>3.4977411392110198E-2</v>
      </c>
      <c r="E23898" s="1">
        <v>5.7730216840326601E-3</v>
      </c>
      <c r="F23898" s="1">
        <v>3.9107610401304303E-2</v>
      </c>
    </row>
    <row r="23899" spans="1:6" x14ac:dyDescent="0.25">
      <c r="A23899" s="2" t="str">
        <f t="shared" si="834"/>
        <v>33860</v>
      </c>
      <c r="B23899" s="2" t="str">
        <f>"36125"</f>
        <v>36125</v>
      </c>
      <c r="C23899" s="1">
        <v>7.3274527236945903E-3</v>
      </c>
      <c r="D23899" s="1">
        <v>5.7752317078850497E-3</v>
      </c>
      <c r="E23899" s="1">
        <v>2.8161081385525203E-4</v>
      </c>
      <c r="F23899" s="1">
        <v>6.9630516786942801E-3</v>
      </c>
    </row>
    <row r="23900" spans="1:6" x14ac:dyDescent="0.25">
      <c r="A23900" s="2" t="str">
        <f t="shared" si="834"/>
        <v>33860</v>
      </c>
      <c r="B23900" s="2" t="str">
        <f>"36102"</f>
        <v>36102</v>
      </c>
      <c r="C23900" s="1">
        <v>2.3026282928583501E-3</v>
      </c>
      <c r="D23900" s="1">
        <v>9.1285920543989502E-3</v>
      </c>
      <c r="E23900" s="1">
        <v>2.8161081385525203E-4</v>
      </c>
      <c r="F23900" s="1">
        <v>2.8805091376393802E-3</v>
      </c>
    </row>
    <row r="23901" spans="1:6" x14ac:dyDescent="0.25">
      <c r="A23901" s="2" t="str">
        <f t="shared" si="834"/>
        <v>33860</v>
      </c>
      <c r="B23901" s="2" t="str">
        <f>"36115"</f>
        <v>36115</v>
      </c>
      <c r="C23901" s="1">
        <v>1.59835369569343E-3</v>
      </c>
      <c r="D23901" s="1">
        <v>1.39723347771412E-4</v>
      </c>
      <c r="E23901" s="1">
        <v>1.4643762320473101E-2</v>
      </c>
      <c r="F23901" s="1">
        <v>1.8664300482124599E-3</v>
      </c>
    </row>
    <row r="23902" spans="1:6" x14ac:dyDescent="0.25">
      <c r="A23902" s="2" t="str">
        <f t="shared" si="834"/>
        <v>33860</v>
      </c>
      <c r="B23902" s="2" t="str">
        <f>"36106"</f>
        <v>36106</v>
      </c>
      <c r="C23902" s="1">
        <v>3.8155699629381701E-2</v>
      </c>
      <c r="D23902" s="1">
        <v>6.2875506497135594E-2</v>
      </c>
      <c r="E23902" s="1">
        <v>6.2799211489721202E-2</v>
      </c>
      <c r="F23902" s="1">
        <v>4.1240673313547097E-2</v>
      </c>
    </row>
    <row r="23903" spans="1:6" x14ac:dyDescent="0.25">
      <c r="A23903" s="2" t="str">
        <f t="shared" si="834"/>
        <v>33860</v>
      </c>
      <c r="B23903" s="2" t="str">
        <f>"36749"</f>
        <v>36749</v>
      </c>
      <c r="C23903" s="1">
        <v>2.0329061067100801E-3</v>
      </c>
      <c r="D23903" s="1">
        <v>1.8629779702854999E-4</v>
      </c>
      <c r="E23903" s="1">
        <v>9.8563784849338204E-4</v>
      </c>
      <c r="F23903" s="1">
        <v>1.8270907731915899E-3</v>
      </c>
    </row>
    <row r="23904" spans="1:6" x14ac:dyDescent="0.25">
      <c r="A23904" s="2" t="str">
        <f t="shared" si="834"/>
        <v>33860</v>
      </c>
      <c r="B23904" s="2" t="str">
        <f>"36066"</f>
        <v>36066</v>
      </c>
      <c r="C23904" s="1">
        <v>4.7411166498506498E-2</v>
      </c>
      <c r="D23904" s="1">
        <v>3.4791113595081698E-2</v>
      </c>
      <c r="E23904" s="1">
        <v>5.5195719515629398E-2</v>
      </c>
      <c r="F23904" s="1">
        <v>4.6468425860765099E-2</v>
      </c>
    </row>
    <row r="23905" spans="1:6" x14ac:dyDescent="0.25">
      <c r="A23905" s="2" t="str">
        <f t="shared" si="834"/>
        <v>33860</v>
      </c>
      <c r="B23905" s="2" t="str">
        <f>"36041"</f>
        <v>36041</v>
      </c>
      <c r="C23905" s="1">
        <v>1.2487138247604899E-4</v>
      </c>
      <c r="D23905" s="1">
        <v>0</v>
      </c>
      <c r="E23905" s="1">
        <v>0</v>
      </c>
      <c r="F23905" s="1">
        <v>1.09275763946865E-4</v>
      </c>
    </row>
    <row r="23906" spans="1:6" x14ac:dyDescent="0.25">
      <c r="A23906" s="2" t="str">
        <f t="shared" si="834"/>
        <v>33860</v>
      </c>
      <c r="B23906" s="2" t="str">
        <f>"36043"</f>
        <v>36043</v>
      </c>
      <c r="C23906" s="1">
        <v>1.08138617224259E-2</v>
      </c>
      <c r="D23906" s="1">
        <v>2.9807647524567999E-3</v>
      </c>
      <c r="E23906" s="1">
        <v>5.9138270909602896E-3</v>
      </c>
      <c r="F23906" s="1">
        <v>9.9266103969332803E-3</v>
      </c>
    </row>
    <row r="23907" spans="1:6" x14ac:dyDescent="0.25">
      <c r="A23907" s="2" t="str">
        <f t="shared" si="834"/>
        <v>33860</v>
      </c>
      <c r="B23907" s="2" t="str">
        <f>"36040"</f>
        <v>36040</v>
      </c>
      <c r="C23907" s="1">
        <v>9.74995754372995E-3</v>
      </c>
      <c r="D23907" s="1">
        <v>2.5615947091425601E-3</v>
      </c>
      <c r="E23907" s="1">
        <v>4.0833568009011499E-3</v>
      </c>
      <c r="F23907" s="1">
        <v>8.8994182158327398E-3</v>
      </c>
    </row>
    <row r="23908" spans="1:6" x14ac:dyDescent="0.25">
      <c r="A23908" s="2" t="str">
        <f t="shared" si="834"/>
        <v>33860</v>
      </c>
      <c r="B23908" s="2" t="str">
        <f>"36118"</f>
        <v>36118</v>
      </c>
      <c r="C23908" s="1">
        <v>0</v>
      </c>
      <c r="D23908" s="1">
        <v>4.6574449257137498E-5</v>
      </c>
      <c r="E23908" s="1">
        <v>0</v>
      </c>
      <c r="F23908" s="1">
        <v>4.3710305578746301E-6</v>
      </c>
    </row>
    <row r="23909" spans="1:6" x14ac:dyDescent="0.25">
      <c r="A23909" s="2" t="str">
        <f t="shared" si="834"/>
        <v>33860</v>
      </c>
      <c r="B23909" s="2" t="str">
        <f>"36103"</f>
        <v>36103</v>
      </c>
      <c r="C23909" s="1">
        <v>2.53738649191332E-3</v>
      </c>
      <c r="D23909" s="1">
        <v>9.5943365469703303E-3</v>
      </c>
      <c r="E23909" s="1">
        <v>2.8161081385525203E-4</v>
      </c>
      <c r="F23909" s="1">
        <v>3.1296578794382298E-3</v>
      </c>
    </row>
    <row r="23910" spans="1:6" x14ac:dyDescent="0.25">
      <c r="A23910" s="2" t="str">
        <f t="shared" si="834"/>
        <v>33860</v>
      </c>
      <c r="B23910" s="2" t="str">
        <f>"36114"</f>
        <v>36114</v>
      </c>
      <c r="C23910" s="1">
        <v>4.9948552990419798E-6</v>
      </c>
      <c r="D23910" s="1">
        <v>1.07121233291416E-3</v>
      </c>
      <c r="E23910" s="1">
        <v>0</v>
      </c>
      <c r="F23910" s="1">
        <v>1.04904733388991E-4</v>
      </c>
    </row>
    <row r="23911" spans="1:6" x14ac:dyDescent="0.25">
      <c r="A23911" s="2" t="str">
        <f t="shared" si="834"/>
        <v>33860</v>
      </c>
      <c r="B23911" s="2" t="str">
        <f>"36111"</f>
        <v>36111</v>
      </c>
      <c r="C23911" s="1">
        <v>3.3135870053844503E-2</v>
      </c>
      <c r="D23911" s="1">
        <v>2.03996087746262E-2</v>
      </c>
      <c r="E23911" s="1">
        <v>3.9003097718952398E-2</v>
      </c>
      <c r="F23911" s="1">
        <v>3.2122703569820603E-2</v>
      </c>
    </row>
    <row r="23912" spans="1:6" x14ac:dyDescent="0.25">
      <c r="A23912" s="2" t="str">
        <f t="shared" si="834"/>
        <v>33860</v>
      </c>
      <c r="B23912" s="2" t="str">
        <f>"36026"</f>
        <v>36026</v>
      </c>
      <c r="C23912" s="1">
        <v>1.38856977313367E-3</v>
      </c>
      <c r="D23912" s="1">
        <v>2.3287224628568701E-4</v>
      </c>
      <c r="E23912" s="1">
        <v>1.4080540692762601E-4</v>
      </c>
      <c r="F23912" s="1">
        <v>1.2413726784363901E-3</v>
      </c>
    </row>
    <row r="23913" spans="1:6" x14ac:dyDescent="0.25">
      <c r="A23913" s="2" t="str">
        <f t="shared" si="834"/>
        <v>33860</v>
      </c>
      <c r="B23913" s="2" t="str">
        <f>"35136"</f>
        <v>35136</v>
      </c>
      <c r="C23913" s="1">
        <v>9.9897105980839697E-6</v>
      </c>
      <c r="D23913" s="1">
        <v>0</v>
      </c>
      <c r="E23913" s="1">
        <v>0</v>
      </c>
      <c r="F23913" s="1">
        <v>8.7420611157492601E-6</v>
      </c>
    </row>
    <row r="23914" spans="1:6" x14ac:dyDescent="0.25">
      <c r="A23914" s="2" t="str">
        <f t="shared" si="834"/>
        <v>33860</v>
      </c>
      <c r="B23914" s="2" t="str">
        <f>"36703"</f>
        <v>36703</v>
      </c>
      <c r="C23914" s="1">
        <v>6.0937234648312198E-4</v>
      </c>
      <c r="D23914" s="1">
        <v>4.65744492571375E-4</v>
      </c>
      <c r="E23914" s="1">
        <v>0</v>
      </c>
      <c r="F23914" s="1">
        <v>5.7697603363945102E-4</v>
      </c>
    </row>
    <row r="23915" spans="1:6" x14ac:dyDescent="0.25">
      <c r="A23915" s="2" t="str">
        <f t="shared" si="834"/>
        <v>33860</v>
      </c>
      <c r="B23915" s="2" t="str">
        <f>"36068"</f>
        <v>36068</v>
      </c>
      <c r="C23915" s="1">
        <v>6.5632398629411701E-3</v>
      </c>
      <c r="D23915" s="1">
        <v>1.8443481905826401E-2</v>
      </c>
      <c r="E23915" s="1">
        <v>2.8161081385525203E-4</v>
      </c>
      <c r="F23915" s="1">
        <v>7.4832043150813597E-3</v>
      </c>
    </row>
    <row r="23916" spans="1:6" x14ac:dyDescent="0.25">
      <c r="A23916" s="2" t="str">
        <f t="shared" si="834"/>
        <v>33860</v>
      </c>
      <c r="B23916" s="2" t="str">
        <f>"36051"</f>
        <v>36051</v>
      </c>
      <c r="C23916" s="1">
        <v>5.2695723404892897E-3</v>
      </c>
      <c r="D23916" s="1">
        <v>1.4903823762283999E-3</v>
      </c>
      <c r="E23916" s="1">
        <v>1.68966488313151E-3</v>
      </c>
      <c r="F23916" s="1">
        <v>4.8037625831042104E-3</v>
      </c>
    </row>
    <row r="23917" spans="1:6" x14ac:dyDescent="0.25">
      <c r="A23917" s="2" t="str">
        <f t="shared" si="834"/>
        <v>33860</v>
      </c>
      <c r="B23917" s="2" t="str">
        <f>"36047"</f>
        <v>36047</v>
      </c>
      <c r="C23917" s="1">
        <v>3.7611260401786101E-3</v>
      </c>
      <c r="D23917" s="1">
        <v>8.84914535885613E-4</v>
      </c>
      <c r="E23917" s="1">
        <v>1.4080540692762601E-4</v>
      </c>
      <c r="F23917" s="1">
        <v>3.3788066212370798E-3</v>
      </c>
    </row>
    <row r="23918" spans="1:6" x14ac:dyDescent="0.25">
      <c r="A23918" s="2" t="str">
        <f t="shared" si="834"/>
        <v>33860</v>
      </c>
      <c r="B23918" s="2" t="str">
        <f>"36131"</f>
        <v>36131</v>
      </c>
      <c r="C23918" s="1">
        <v>0</v>
      </c>
      <c r="D23918" s="1">
        <v>0</v>
      </c>
      <c r="E23918" s="1">
        <v>1.4080540692762601E-4</v>
      </c>
      <c r="F23918" s="1">
        <v>4.3710305578746301E-6</v>
      </c>
    </row>
    <row r="23919" spans="1:6" x14ac:dyDescent="0.25">
      <c r="A23919" s="2" t="str">
        <f t="shared" si="834"/>
        <v>33860</v>
      </c>
      <c r="B23919" s="2" t="str">
        <f>"36105"</f>
        <v>36105</v>
      </c>
      <c r="C23919" s="1">
        <v>3.2311718929502603E-2</v>
      </c>
      <c r="D23919" s="1">
        <v>2.6314563830282699E-2</v>
      </c>
      <c r="E23919" s="1">
        <v>7.2937200788510195E-2</v>
      </c>
      <c r="F23919" s="1">
        <v>3.3010022773069199E-2</v>
      </c>
    </row>
    <row r="23920" spans="1:6" x14ac:dyDescent="0.25">
      <c r="A23920" s="2" t="str">
        <f t="shared" si="834"/>
        <v>33860</v>
      </c>
      <c r="B23920" s="2" t="str">
        <f>"36093"</f>
        <v>36093</v>
      </c>
      <c r="C23920" s="1">
        <v>2.50641838905926E-2</v>
      </c>
      <c r="D23920" s="1">
        <v>9.2683154021703604E-3</v>
      </c>
      <c r="E23920" s="1">
        <v>1.68966488313151E-3</v>
      </c>
      <c r="F23920" s="1">
        <v>2.28561187871264E-2</v>
      </c>
    </row>
    <row r="23921" spans="1:6" x14ac:dyDescent="0.25">
      <c r="A23921" s="2" t="str">
        <f t="shared" si="834"/>
        <v>33860</v>
      </c>
      <c r="B23921" s="2" t="str">
        <f>"36092"</f>
        <v>36092</v>
      </c>
      <c r="C23921" s="1">
        <v>5.3969411506148597E-2</v>
      </c>
      <c r="D23921" s="1">
        <v>5.4911275674165101E-2</v>
      </c>
      <c r="E23921" s="1">
        <v>2.12616164460715E-2</v>
      </c>
      <c r="F23921" s="1">
        <v>5.3042455819808598E-2</v>
      </c>
    </row>
    <row r="23922" spans="1:6" x14ac:dyDescent="0.25">
      <c r="A23922" s="2" t="str">
        <f t="shared" si="834"/>
        <v>33860</v>
      </c>
      <c r="B23922" s="2" t="str">
        <f>"36109"</f>
        <v>36109</v>
      </c>
      <c r="C23922" s="1">
        <v>5.8140115680848703E-2</v>
      </c>
      <c r="D23922" s="1">
        <v>5.0114107400679897E-2</v>
      </c>
      <c r="E23922" s="1">
        <v>3.3652492255702597E-2</v>
      </c>
      <c r="F23922" s="1">
        <v>5.6626700877265797E-2</v>
      </c>
    </row>
    <row r="23923" spans="1:6" x14ac:dyDescent="0.25">
      <c r="A23923" s="2" t="str">
        <f t="shared" si="834"/>
        <v>33860</v>
      </c>
      <c r="B23923" s="2" t="str">
        <f>"36108"</f>
        <v>36108</v>
      </c>
      <c r="C23923" s="1">
        <v>5.8819416001518403E-2</v>
      </c>
      <c r="D23923" s="1">
        <v>5.1837362023194E-2</v>
      </c>
      <c r="E23923" s="1">
        <v>9.7296536186989496E-2</v>
      </c>
      <c r="F23923" s="1">
        <v>5.9358594975937401E-2</v>
      </c>
    </row>
    <row r="23924" spans="1:6" x14ac:dyDescent="0.25">
      <c r="A23924" s="2" t="str">
        <f t="shared" si="834"/>
        <v>33860</v>
      </c>
      <c r="B23924" s="2" t="str">
        <f>"36020"</f>
        <v>36020</v>
      </c>
      <c r="C23924" s="1">
        <v>2.5723504790066201E-3</v>
      </c>
      <c r="D23924" s="1">
        <v>8.3834008662847504E-4</v>
      </c>
      <c r="E23924" s="1">
        <v>8.4483244156575597E-4</v>
      </c>
      <c r="F23924" s="1">
        <v>2.3559854706944202E-3</v>
      </c>
    </row>
    <row r="23925" spans="1:6" x14ac:dyDescent="0.25">
      <c r="A23925" s="2" t="str">
        <f t="shared" si="834"/>
        <v>33860</v>
      </c>
      <c r="B23925" s="2" t="str">
        <f>"36003"</f>
        <v>36003</v>
      </c>
      <c r="C23925" s="1">
        <v>4.9299221801544398E-3</v>
      </c>
      <c r="D23925" s="1">
        <v>1.5369568254855301E-3</v>
      </c>
      <c r="E23925" s="1">
        <v>2.2528865108420101E-3</v>
      </c>
      <c r="F23925" s="1">
        <v>4.5283876579581099E-3</v>
      </c>
    </row>
    <row r="23926" spans="1:6" x14ac:dyDescent="0.25">
      <c r="A23926" s="2" t="str">
        <f t="shared" ref="A23926:A23957" si="835">"46220"</f>
        <v>46220</v>
      </c>
      <c r="B23926" s="2" t="str">
        <f>"35481"</f>
        <v>35481</v>
      </c>
      <c r="C23926" s="1">
        <v>1.13406653647171E-2</v>
      </c>
      <c r="D23926" s="1">
        <v>6.1460592913955099E-3</v>
      </c>
      <c r="E23926" s="1">
        <v>4.4843049327354199E-3</v>
      </c>
      <c r="F23926" s="1">
        <v>1.0821568505504E-2</v>
      </c>
    </row>
    <row r="23927" spans="1:6" x14ac:dyDescent="0.25">
      <c r="A23927" s="2" t="str">
        <f t="shared" si="835"/>
        <v>46220</v>
      </c>
      <c r="B23927" s="2" t="str">
        <f>"35480"</f>
        <v>35480</v>
      </c>
      <c r="C23927" s="1">
        <v>6.48919039298317E-3</v>
      </c>
      <c r="D23927" s="1">
        <v>8.1344902386117101E-4</v>
      </c>
      <c r="E23927" s="1">
        <v>0</v>
      </c>
      <c r="F23927" s="1">
        <v>5.9456433857826901E-3</v>
      </c>
    </row>
    <row r="23928" spans="1:6" x14ac:dyDescent="0.25">
      <c r="A23928" s="2" t="str">
        <f t="shared" si="835"/>
        <v>46220</v>
      </c>
      <c r="B23928" s="2" t="str">
        <f>"35468"</f>
        <v>35468</v>
      </c>
      <c r="C23928" s="1">
        <v>0</v>
      </c>
      <c r="D23928" s="1">
        <v>9.0383224873463402E-5</v>
      </c>
      <c r="E23928" s="1">
        <v>0</v>
      </c>
      <c r="F23928" s="1">
        <v>6.2192922445425696E-6</v>
      </c>
    </row>
    <row r="23929" spans="1:6" x14ac:dyDescent="0.25">
      <c r="A23929" s="2" t="str">
        <f t="shared" si="835"/>
        <v>46220</v>
      </c>
      <c r="B23929" s="2" t="str">
        <f>"35473"</f>
        <v>35473</v>
      </c>
      <c r="C23929" s="1">
        <v>5.4476307945318103E-2</v>
      </c>
      <c r="D23929" s="1">
        <v>3.4255242227042598E-2</v>
      </c>
      <c r="E23929" s="1">
        <v>2.8752308098127101E-2</v>
      </c>
      <c r="F23929" s="1">
        <v>5.2478387959450201E-2</v>
      </c>
    </row>
    <row r="23930" spans="1:6" x14ac:dyDescent="0.25">
      <c r="A23930" s="2" t="str">
        <f t="shared" si="835"/>
        <v>46220</v>
      </c>
      <c r="B23930" s="2" t="str">
        <f>"35475"</f>
        <v>35475</v>
      </c>
      <c r="C23930" s="1">
        <v>5.3941823414533803E-2</v>
      </c>
      <c r="D23930" s="1">
        <v>1.50036153289949E-2</v>
      </c>
      <c r="E23930" s="1">
        <v>7.9134792930625095E-4</v>
      </c>
      <c r="F23930" s="1">
        <v>5.00093289383668E-2</v>
      </c>
    </row>
    <row r="23931" spans="1:6" x14ac:dyDescent="0.25">
      <c r="A23931" s="2" t="str">
        <f t="shared" si="835"/>
        <v>46220</v>
      </c>
      <c r="B23931" s="2" t="str">
        <f>"35447"</f>
        <v>35447</v>
      </c>
      <c r="C23931" s="1">
        <v>1.11967656833521E-2</v>
      </c>
      <c r="D23931" s="1">
        <v>6.9595083152566798E-3</v>
      </c>
      <c r="E23931" s="1">
        <v>2.1102611448166699E-3</v>
      </c>
      <c r="F23931" s="1">
        <v>1.0690963368368601E-2</v>
      </c>
    </row>
    <row r="23932" spans="1:6" x14ac:dyDescent="0.25">
      <c r="A23932" s="2" t="str">
        <f t="shared" si="835"/>
        <v>46220</v>
      </c>
      <c r="B23932" s="2" t="str">
        <f>"35443"</f>
        <v>35443</v>
      </c>
      <c r="C23932" s="1">
        <v>7.7020591359166701E-3</v>
      </c>
      <c r="D23932" s="1">
        <v>2.4403470715835102E-3</v>
      </c>
      <c r="E23932" s="1">
        <v>5.2756528620416705E-4</v>
      </c>
      <c r="F23932" s="1">
        <v>7.1708439579575801E-3</v>
      </c>
    </row>
    <row r="23933" spans="1:6" x14ac:dyDescent="0.25">
      <c r="A23933" s="2" t="str">
        <f t="shared" si="835"/>
        <v>46220</v>
      </c>
      <c r="B23933" s="2" t="str">
        <f>"35453"</f>
        <v>35453</v>
      </c>
      <c r="C23933" s="1">
        <v>4.0805838215643903E-2</v>
      </c>
      <c r="D23933" s="1">
        <v>2.1330441070137301E-2</v>
      </c>
      <c r="E23933" s="1">
        <v>2.32128725929833E-2</v>
      </c>
      <c r="F23933" s="1">
        <v>3.9050936003482799E-2</v>
      </c>
    </row>
    <row r="23934" spans="1:6" x14ac:dyDescent="0.25">
      <c r="A23934" s="2" t="str">
        <f t="shared" si="835"/>
        <v>46220</v>
      </c>
      <c r="B23934" s="2" t="str">
        <f>"35006"</f>
        <v>35006</v>
      </c>
      <c r="C23934" s="1">
        <v>3.1520882584712298E-4</v>
      </c>
      <c r="D23934" s="1">
        <v>5.4229934924077995E-4</v>
      </c>
      <c r="E23934" s="1">
        <v>0</v>
      </c>
      <c r="F23934" s="1">
        <v>3.2340319671621297E-4</v>
      </c>
    </row>
    <row r="23935" spans="1:6" x14ac:dyDescent="0.25">
      <c r="A23935" s="2" t="str">
        <f t="shared" si="835"/>
        <v>46220</v>
      </c>
      <c r="B23935" s="2" t="str">
        <f>"36738"</f>
        <v>36738</v>
      </c>
      <c r="C23935" s="1">
        <v>8.3598862507280598E-4</v>
      </c>
      <c r="D23935" s="1">
        <v>1.8076644974692599E-4</v>
      </c>
      <c r="E23935" s="1">
        <v>1.05513057240833E-3</v>
      </c>
      <c r="F23935" s="1">
        <v>7.9606940730144902E-4</v>
      </c>
    </row>
    <row r="23936" spans="1:6" x14ac:dyDescent="0.25">
      <c r="A23936" s="2" t="str">
        <f t="shared" si="835"/>
        <v>46220</v>
      </c>
      <c r="B23936" s="2" t="str">
        <f>"35478"</f>
        <v>35478</v>
      </c>
      <c r="C23936" s="1">
        <v>0</v>
      </c>
      <c r="D23936" s="1">
        <v>9.0383224873463402E-5</v>
      </c>
      <c r="E23936" s="1">
        <v>0</v>
      </c>
      <c r="F23936" s="1">
        <v>6.2192922445425696E-6</v>
      </c>
    </row>
    <row r="23937" spans="1:6" x14ac:dyDescent="0.25">
      <c r="A23937" s="2" t="str">
        <f t="shared" si="835"/>
        <v>46220</v>
      </c>
      <c r="B23937" s="2" t="str">
        <f>"35458"</f>
        <v>35458</v>
      </c>
      <c r="C23937" s="1">
        <v>2.15164285469558E-3</v>
      </c>
      <c r="D23937" s="1">
        <v>4.5191612436731702E-4</v>
      </c>
      <c r="E23937" s="1">
        <v>0</v>
      </c>
      <c r="F23937" s="1">
        <v>1.98395422600908E-3</v>
      </c>
    </row>
    <row r="23938" spans="1:6" x14ac:dyDescent="0.25">
      <c r="A23938" s="2" t="str">
        <f t="shared" si="835"/>
        <v>46220</v>
      </c>
      <c r="B23938" s="2" t="str">
        <f>"35457"</f>
        <v>35457</v>
      </c>
      <c r="C23938" s="1">
        <v>4.3855140987425901E-4</v>
      </c>
      <c r="D23938" s="1">
        <v>1.8076644974692599E-4</v>
      </c>
      <c r="E23938" s="1">
        <v>0</v>
      </c>
      <c r="F23938" s="1">
        <v>4.1047328813980901E-4</v>
      </c>
    </row>
    <row r="23939" spans="1:6" x14ac:dyDescent="0.25">
      <c r="A23939" s="2" t="str">
        <f t="shared" si="835"/>
        <v>46220</v>
      </c>
      <c r="B23939" s="2" t="str">
        <f>"35446"</f>
        <v>35446</v>
      </c>
      <c r="C23939" s="1">
        <v>8.7367663685887498E-3</v>
      </c>
      <c r="D23939" s="1">
        <v>4.1576283441793196E-3</v>
      </c>
      <c r="E23939" s="1">
        <v>0</v>
      </c>
      <c r="F23939" s="1">
        <v>8.2156850550407293E-3</v>
      </c>
    </row>
    <row r="23940" spans="1:6" x14ac:dyDescent="0.25">
      <c r="A23940" s="2" t="str">
        <f t="shared" si="835"/>
        <v>46220</v>
      </c>
      <c r="B23940" s="2" t="str">
        <f>"35405"</f>
        <v>35405</v>
      </c>
      <c r="C23940" s="1">
        <v>0.14917600301504</v>
      </c>
      <c r="D23940" s="1">
        <v>0.115509761388286</v>
      </c>
      <c r="E23940" s="1">
        <v>0.19519915589554199</v>
      </c>
      <c r="F23940" s="1">
        <v>0.147944523913178</v>
      </c>
    </row>
    <row r="23941" spans="1:6" x14ac:dyDescent="0.25">
      <c r="A23941" s="2" t="str">
        <f t="shared" si="835"/>
        <v>46220</v>
      </c>
      <c r="B23941" s="2" t="str">
        <f>"36786"</f>
        <v>36786</v>
      </c>
      <c r="C23941" s="1">
        <v>1.0963785246856399E-4</v>
      </c>
      <c r="D23941" s="1">
        <v>0</v>
      </c>
      <c r="E23941" s="1">
        <v>0</v>
      </c>
      <c r="F23941" s="1">
        <v>9.9508675912681101E-5</v>
      </c>
    </row>
    <row r="23942" spans="1:6" x14ac:dyDescent="0.25">
      <c r="A23942" s="2" t="str">
        <f t="shared" si="835"/>
        <v>46220</v>
      </c>
      <c r="B23942" s="2" t="str">
        <f>"35574"</f>
        <v>35574</v>
      </c>
      <c r="C23942" s="1">
        <v>1.19231164559564E-3</v>
      </c>
      <c r="D23942" s="1">
        <v>0</v>
      </c>
      <c r="E23942" s="1">
        <v>0</v>
      </c>
      <c r="F23942" s="1">
        <v>1.0821568505504E-3</v>
      </c>
    </row>
    <row r="23943" spans="1:6" x14ac:dyDescent="0.25">
      <c r="A23943" s="2" t="str">
        <f t="shared" si="835"/>
        <v>46220</v>
      </c>
      <c r="B23943" s="2" t="str">
        <f>"35456"</f>
        <v>35456</v>
      </c>
      <c r="C23943" s="1">
        <v>1.5671360537225398E-2</v>
      </c>
      <c r="D23943" s="1">
        <v>6.5979754157628303E-3</v>
      </c>
      <c r="E23943" s="1">
        <v>5.2756528620416705E-4</v>
      </c>
      <c r="F23943" s="1">
        <v>1.4689968281609501E-2</v>
      </c>
    </row>
    <row r="23944" spans="1:6" x14ac:dyDescent="0.25">
      <c r="A23944" s="2" t="str">
        <f t="shared" si="835"/>
        <v>46220</v>
      </c>
      <c r="B23944" s="2" t="str">
        <f>"35402"</f>
        <v>35402</v>
      </c>
      <c r="C23944" s="1">
        <v>5.0570459451125503E-3</v>
      </c>
      <c r="D23944" s="1">
        <v>2.1149674620390399E-2</v>
      </c>
      <c r="E23944" s="1">
        <v>5.2756528620416705E-4</v>
      </c>
      <c r="F23944" s="1">
        <v>6.05759064618446E-3</v>
      </c>
    </row>
    <row r="23945" spans="1:6" x14ac:dyDescent="0.25">
      <c r="A23945" s="2" t="str">
        <f t="shared" si="835"/>
        <v>46220</v>
      </c>
      <c r="B23945" s="2" t="str">
        <f>"35404"</f>
        <v>35404</v>
      </c>
      <c r="C23945" s="1">
        <v>8.9101312228046695E-2</v>
      </c>
      <c r="D23945" s="1">
        <v>9.9783080260303594E-2</v>
      </c>
      <c r="E23945" s="1">
        <v>0.13109997362173501</v>
      </c>
      <c r="F23945" s="1">
        <v>9.0826543939299703E-2</v>
      </c>
    </row>
    <row r="23946" spans="1:6" x14ac:dyDescent="0.25">
      <c r="A23946" s="2" t="str">
        <f t="shared" si="835"/>
        <v>46220</v>
      </c>
      <c r="B23946" s="2" t="str">
        <f>"35466"</f>
        <v>35466</v>
      </c>
      <c r="C23946" s="1">
        <v>2.0056874635967999E-2</v>
      </c>
      <c r="D23946" s="1">
        <v>7.9537237888647801E-3</v>
      </c>
      <c r="E23946" s="1">
        <v>7.1221313637562598E-3</v>
      </c>
      <c r="F23946" s="1">
        <v>1.8919087007898499E-2</v>
      </c>
    </row>
    <row r="23947" spans="1:6" x14ac:dyDescent="0.25">
      <c r="A23947" s="2" t="str">
        <f t="shared" si="835"/>
        <v>46220</v>
      </c>
      <c r="B23947" s="2" t="str">
        <f>"35462"</f>
        <v>35462</v>
      </c>
      <c r="C23947" s="1">
        <v>1.89604961112824E-2</v>
      </c>
      <c r="D23947" s="1">
        <v>2.1149674620390399E-2</v>
      </c>
      <c r="E23947" s="1">
        <v>7.1221313637562598E-3</v>
      </c>
      <c r="F23947" s="1">
        <v>1.8832016916474899E-2</v>
      </c>
    </row>
    <row r="23948" spans="1:6" x14ac:dyDescent="0.25">
      <c r="A23948" s="2" t="str">
        <f t="shared" si="835"/>
        <v>46220</v>
      </c>
      <c r="B23948" s="2" t="str">
        <f>"35449"</f>
        <v>35449</v>
      </c>
      <c r="C23948" s="1">
        <v>0</v>
      </c>
      <c r="D23948" s="1">
        <v>0</v>
      </c>
      <c r="E23948" s="1">
        <v>2.6378264310208298E-4</v>
      </c>
      <c r="F23948" s="1">
        <v>6.2192922445425696E-6</v>
      </c>
    </row>
    <row r="23949" spans="1:6" x14ac:dyDescent="0.25">
      <c r="A23949" s="2" t="str">
        <f t="shared" si="835"/>
        <v>46220</v>
      </c>
      <c r="B23949" s="2" t="str">
        <f>"35444"</f>
        <v>35444</v>
      </c>
      <c r="C23949" s="1">
        <v>1.41569877000034E-2</v>
      </c>
      <c r="D23949" s="1">
        <v>1.17498192335502E-2</v>
      </c>
      <c r="E23949" s="1">
        <v>5.2756528620416705E-4</v>
      </c>
      <c r="F23949" s="1">
        <v>1.3670004353504499E-2</v>
      </c>
    </row>
    <row r="23950" spans="1:6" x14ac:dyDescent="0.25">
      <c r="A23950" s="2" t="str">
        <f t="shared" si="835"/>
        <v>46220</v>
      </c>
      <c r="B23950" s="2" t="str">
        <f>"36765"</f>
        <v>36765</v>
      </c>
      <c r="C23950" s="1">
        <v>3.6728680576969099E-3</v>
      </c>
      <c r="D23950" s="1">
        <v>9.9421547360809795E-4</v>
      </c>
      <c r="E23950" s="1">
        <v>1.05513057240833E-3</v>
      </c>
      <c r="F23950" s="1">
        <v>3.4268300267429499E-3</v>
      </c>
    </row>
    <row r="23951" spans="1:6" x14ac:dyDescent="0.25">
      <c r="A23951" s="2" t="str">
        <f t="shared" si="835"/>
        <v>46220</v>
      </c>
      <c r="B23951" s="2" t="str">
        <f>"36744"</f>
        <v>36744</v>
      </c>
      <c r="C23951" s="1">
        <v>2.71490732175283E-2</v>
      </c>
      <c r="D23951" s="1">
        <v>3.0639913232104101E-2</v>
      </c>
      <c r="E23951" s="1">
        <v>9.8654708520179296E-2</v>
      </c>
      <c r="F23951" s="1">
        <v>2.9075191243236501E-2</v>
      </c>
    </row>
    <row r="23952" spans="1:6" x14ac:dyDescent="0.25">
      <c r="A23952" s="2" t="str">
        <f t="shared" si="835"/>
        <v>46220</v>
      </c>
      <c r="B23952" s="2" t="str">
        <f>"35579"</f>
        <v>35579</v>
      </c>
      <c r="C23952" s="1">
        <v>1.1649021824785E-4</v>
      </c>
      <c r="D23952" s="1">
        <v>2.7114967462038998E-4</v>
      </c>
      <c r="E23952" s="1">
        <v>0</v>
      </c>
      <c r="F23952" s="1">
        <v>1.2438584489085099E-4</v>
      </c>
    </row>
    <row r="23953" spans="1:6" x14ac:dyDescent="0.25">
      <c r="A23953" s="2" t="str">
        <f t="shared" si="835"/>
        <v>46220</v>
      </c>
      <c r="B23953" s="2" t="str">
        <f>"35576"</f>
        <v>35576</v>
      </c>
      <c r="C23953" s="1">
        <v>1.07582142734779E-3</v>
      </c>
      <c r="D23953" s="1">
        <v>1.8076644974692599E-4</v>
      </c>
      <c r="E23953" s="1">
        <v>0</v>
      </c>
      <c r="F23953" s="1">
        <v>9.8886746688226792E-4</v>
      </c>
    </row>
    <row r="23954" spans="1:6" x14ac:dyDescent="0.25">
      <c r="A23954" s="2" t="str">
        <f t="shared" si="835"/>
        <v>46220</v>
      </c>
      <c r="B23954" s="2" t="str">
        <f>"35546"</f>
        <v>35546</v>
      </c>
      <c r="C23954" s="1">
        <v>5.9684105937574897E-3</v>
      </c>
      <c r="D23954" s="1">
        <v>2.1691973969631198E-3</v>
      </c>
      <c r="E23954" s="1">
        <v>0</v>
      </c>
      <c r="F23954" s="1">
        <v>5.5662665588655999E-3</v>
      </c>
    </row>
    <row r="23955" spans="1:6" x14ac:dyDescent="0.25">
      <c r="A23955" s="2" t="str">
        <f t="shared" si="835"/>
        <v>46220</v>
      </c>
      <c r="B23955" s="2" t="str">
        <f>"35491"</f>
        <v>35491</v>
      </c>
      <c r="C23955" s="1">
        <v>0</v>
      </c>
      <c r="D23955" s="1">
        <v>9.0383224873463402E-5</v>
      </c>
      <c r="E23955" s="1">
        <v>0</v>
      </c>
      <c r="F23955" s="1">
        <v>6.2192922445425696E-6</v>
      </c>
    </row>
    <row r="23956" spans="1:6" x14ac:dyDescent="0.25">
      <c r="A23956" s="2" t="str">
        <f t="shared" si="835"/>
        <v>46220</v>
      </c>
      <c r="B23956" s="2" t="str">
        <f>"35482"</f>
        <v>35482</v>
      </c>
      <c r="C23956" s="1">
        <v>0</v>
      </c>
      <c r="D23956" s="1">
        <v>9.0383224873463402E-5</v>
      </c>
      <c r="E23956" s="1">
        <v>0</v>
      </c>
      <c r="F23956" s="1">
        <v>6.2192922445425696E-6</v>
      </c>
    </row>
    <row r="23957" spans="1:6" x14ac:dyDescent="0.25">
      <c r="A23957" s="2" t="str">
        <f t="shared" si="835"/>
        <v>46220</v>
      </c>
      <c r="B23957" s="2" t="str">
        <f>"35461"</f>
        <v>35461</v>
      </c>
      <c r="C23957" s="1">
        <v>7.9830061328673707E-3</v>
      </c>
      <c r="D23957" s="1">
        <v>2.9826464208242902E-3</v>
      </c>
      <c r="E23957" s="1">
        <v>1.31891321551041E-3</v>
      </c>
      <c r="F23957" s="1">
        <v>7.4818085701847097E-3</v>
      </c>
    </row>
    <row r="23958" spans="1:6" x14ac:dyDescent="0.25">
      <c r="A23958" s="2" t="str">
        <f t="shared" ref="A23958:A23982" si="836">"46220"</f>
        <v>46220</v>
      </c>
      <c r="B23958" s="2" t="str">
        <f>"35452"</f>
        <v>35452</v>
      </c>
      <c r="C23958" s="1">
        <v>1.3218213588241301E-2</v>
      </c>
      <c r="D23958" s="1">
        <v>4.24801156905278E-3</v>
      </c>
      <c r="E23958" s="1">
        <v>1.31891321551041E-3</v>
      </c>
      <c r="F23958" s="1">
        <v>1.23204179364388E-2</v>
      </c>
    </row>
    <row r="23959" spans="1:6" x14ac:dyDescent="0.25">
      <c r="A23959" s="2" t="str">
        <f t="shared" si="836"/>
        <v>46220</v>
      </c>
      <c r="B23959" s="2" t="str">
        <f>"35442"</f>
        <v>35442</v>
      </c>
      <c r="C23959" s="1">
        <v>1.6897934011717498E-2</v>
      </c>
      <c r="D23959" s="1">
        <v>2.44034707158351E-2</v>
      </c>
      <c r="E23959" s="1">
        <v>3.6929570034291699E-3</v>
      </c>
      <c r="F23959" s="1">
        <v>1.7103053672492E-2</v>
      </c>
    </row>
    <row r="23960" spans="1:6" x14ac:dyDescent="0.25">
      <c r="A23960" s="2" t="str">
        <f t="shared" si="836"/>
        <v>46220</v>
      </c>
      <c r="B23960" s="2" t="str">
        <f>"35184"</f>
        <v>35184</v>
      </c>
      <c r="C23960" s="1">
        <v>4.8651797032925602E-4</v>
      </c>
      <c r="D23960" s="1">
        <v>0</v>
      </c>
      <c r="E23960" s="1">
        <v>0</v>
      </c>
      <c r="F23960" s="1">
        <v>4.4156974936252201E-4</v>
      </c>
    </row>
    <row r="23961" spans="1:6" x14ac:dyDescent="0.25">
      <c r="A23961" s="2" t="str">
        <f t="shared" si="836"/>
        <v>46220</v>
      </c>
      <c r="B23961" s="2" t="str">
        <f>"36742"</f>
        <v>36742</v>
      </c>
      <c r="C23961" s="1">
        <v>1.8090245657313099E-3</v>
      </c>
      <c r="D23961" s="1">
        <v>1.2653651482284799E-3</v>
      </c>
      <c r="E23961" s="1">
        <v>2.6378264310208298E-4</v>
      </c>
      <c r="F23961" s="1">
        <v>1.7351825362273701E-3</v>
      </c>
    </row>
    <row r="23962" spans="1:6" x14ac:dyDescent="0.25">
      <c r="A23962" s="2" t="str">
        <f t="shared" si="836"/>
        <v>46220</v>
      </c>
      <c r="B23962" s="2" t="str">
        <f>"35555"</f>
        <v>35555</v>
      </c>
      <c r="C23962" s="1">
        <v>9.7303594065851204E-4</v>
      </c>
      <c r="D23962" s="1">
        <v>7.23065798987707E-4</v>
      </c>
      <c r="E23962" s="1">
        <v>0</v>
      </c>
      <c r="F23962" s="1">
        <v>9.3289383668138505E-4</v>
      </c>
    </row>
    <row r="23963" spans="1:6" x14ac:dyDescent="0.25">
      <c r="A23963" s="2" t="str">
        <f t="shared" si="836"/>
        <v>46220</v>
      </c>
      <c r="B23963" s="2" t="str">
        <f>"35441"</f>
        <v>35441</v>
      </c>
      <c r="C23963" s="1">
        <v>5.09816013978826E-3</v>
      </c>
      <c r="D23963" s="1">
        <v>1.7172812725958001E-3</v>
      </c>
      <c r="E23963" s="1">
        <v>5.2756528620416705E-4</v>
      </c>
      <c r="F23963" s="1">
        <v>4.7577585670750596E-3</v>
      </c>
    </row>
    <row r="23964" spans="1:6" x14ac:dyDescent="0.25">
      <c r="A23964" s="2" t="str">
        <f t="shared" si="836"/>
        <v>46220</v>
      </c>
      <c r="B23964" s="2" t="str">
        <f>"35403"</f>
        <v>35403</v>
      </c>
      <c r="C23964" s="1">
        <v>6.8249563161681499E-3</v>
      </c>
      <c r="D23964" s="1">
        <v>5.6579898770788097E-2</v>
      </c>
      <c r="E23964" s="1">
        <v>5.2756528620416705E-4</v>
      </c>
      <c r="F23964" s="1">
        <v>1.0100130605137101E-2</v>
      </c>
    </row>
    <row r="23965" spans="1:6" x14ac:dyDescent="0.25">
      <c r="A23965" s="2" t="str">
        <f t="shared" si="836"/>
        <v>46220</v>
      </c>
      <c r="B23965" s="2" t="str">
        <f>"35401"</f>
        <v>35401</v>
      </c>
      <c r="C23965" s="1">
        <v>0.14659951348202899</v>
      </c>
      <c r="D23965" s="1">
        <v>0.24439624005784499</v>
      </c>
      <c r="E23965" s="1">
        <v>0.39672909522553401</v>
      </c>
      <c r="F23965" s="1">
        <v>0.15922632004477799</v>
      </c>
    </row>
    <row r="23966" spans="1:6" x14ac:dyDescent="0.25">
      <c r="A23966" s="2" t="str">
        <f t="shared" si="836"/>
        <v>46220</v>
      </c>
      <c r="B23966" s="2" t="str">
        <f>"35111"</f>
        <v>35111</v>
      </c>
      <c r="C23966" s="1">
        <v>2.6635145784081899E-2</v>
      </c>
      <c r="D23966" s="1">
        <v>1.1207519884309399E-2</v>
      </c>
      <c r="E23966" s="1">
        <v>1.5826958586125E-3</v>
      </c>
      <c r="F23966" s="1">
        <v>2.49828969463275E-2</v>
      </c>
    </row>
    <row r="23967" spans="1:6" x14ac:dyDescent="0.25">
      <c r="A23967" s="2" t="str">
        <f t="shared" si="836"/>
        <v>46220</v>
      </c>
      <c r="B23967" s="2" t="str">
        <f>"35476"</f>
        <v>35476</v>
      </c>
      <c r="C23967" s="1">
        <v>3.4460547504025697E-2</v>
      </c>
      <c r="D23967" s="1">
        <v>0.115600144613159</v>
      </c>
      <c r="E23967" s="1">
        <v>4.80084410445792E-2</v>
      </c>
      <c r="F23967" s="1">
        <v>4.0363206667081201E-2</v>
      </c>
    </row>
    <row r="23968" spans="1:6" x14ac:dyDescent="0.25">
      <c r="A23968" s="2" t="str">
        <f t="shared" si="836"/>
        <v>46220</v>
      </c>
      <c r="B23968" s="2" t="str">
        <f>"35471"</f>
        <v>35471</v>
      </c>
      <c r="C23968" s="1">
        <v>0</v>
      </c>
      <c r="D23968" s="1">
        <v>9.0383224873463402E-5</v>
      </c>
      <c r="E23968" s="1">
        <v>0</v>
      </c>
      <c r="F23968" s="1">
        <v>6.2192922445425696E-6</v>
      </c>
    </row>
    <row r="23969" spans="1:6" x14ac:dyDescent="0.25">
      <c r="A23969" s="2" t="str">
        <f t="shared" si="836"/>
        <v>46220</v>
      </c>
      <c r="B23969" s="2" t="str">
        <f>"35474"</f>
        <v>35474</v>
      </c>
      <c r="C23969" s="1">
        <v>2.2557988145407201E-2</v>
      </c>
      <c r="D23969" s="1">
        <v>9.3998553868402009E-3</v>
      </c>
      <c r="E23969" s="1">
        <v>6.8583487206541798E-3</v>
      </c>
      <c r="F23969" s="1">
        <v>2.12824180608246E-2</v>
      </c>
    </row>
    <row r="23970" spans="1:6" x14ac:dyDescent="0.25">
      <c r="A23970" s="2" t="str">
        <f t="shared" si="836"/>
        <v>46220</v>
      </c>
      <c r="B23970" s="2" t="str">
        <f>"35469"</f>
        <v>35469</v>
      </c>
      <c r="C23970" s="1">
        <v>1.6103059581320401E-3</v>
      </c>
      <c r="D23970" s="1">
        <v>1.1749819233550199E-3</v>
      </c>
      <c r="E23970" s="1">
        <v>2.6378264310208298E-4</v>
      </c>
      <c r="F23970" s="1">
        <v>1.5486037688911001E-3</v>
      </c>
    </row>
    <row r="23971" spans="1:6" x14ac:dyDescent="0.25">
      <c r="A23971" s="2" t="str">
        <f t="shared" si="836"/>
        <v>46220</v>
      </c>
      <c r="B23971" s="2" t="str">
        <f>"35440"</f>
        <v>35440</v>
      </c>
      <c r="C23971" s="1">
        <v>0</v>
      </c>
      <c r="D23971" s="1">
        <v>9.0383224873463402E-5</v>
      </c>
      <c r="E23971" s="1">
        <v>0</v>
      </c>
      <c r="F23971" s="1">
        <v>6.2192922445425696E-6</v>
      </c>
    </row>
    <row r="23972" spans="1:6" x14ac:dyDescent="0.25">
      <c r="A23972" s="2" t="str">
        <f t="shared" si="836"/>
        <v>46220</v>
      </c>
      <c r="B23972" s="2" t="str">
        <f>"35407"</f>
        <v>35407</v>
      </c>
      <c r="C23972" s="1">
        <v>9.3671840202829999E-3</v>
      </c>
      <c r="D23972" s="1">
        <v>2.5216919739696302E-2</v>
      </c>
      <c r="E23972" s="1">
        <v>5.2756528620416705E-4</v>
      </c>
      <c r="F23972" s="1">
        <v>1.0249393619006101E-2</v>
      </c>
    </row>
    <row r="23973" spans="1:6" x14ac:dyDescent="0.25">
      <c r="A23973" s="2" t="str">
        <f t="shared" si="836"/>
        <v>46220</v>
      </c>
      <c r="B23973" s="2" t="str">
        <f>"36756"</f>
        <v>36756</v>
      </c>
      <c r="C23973" s="1">
        <v>1.8501387604070299E-4</v>
      </c>
      <c r="D23973" s="1">
        <v>9.0383224873463402E-5</v>
      </c>
      <c r="E23973" s="1">
        <v>0</v>
      </c>
      <c r="F23973" s="1">
        <v>1.7414018284719101E-4</v>
      </c>
    </row>
    <row r="23974" spans="1:6" x14ac:dyDescent="0.25">
      <c r="A23974" s="2" t="str">
        <f t="shared" si="836"/>
        <v>46220</v>
      </c>
      <c r="B23974" s="2" t="str">
        <f>"36776"</f>
        <v>36776</v>
      </c>
      <c r="C23974" s="1">
        <v>6.2836194196046096E-3</v>
      </c>
      <c r="D23974" s="1">
        <v>1.2653651482284799E-3</v>
      </c>
      <c r="E23974" s="1">
        <v>0</v>
      </c>
      <c r="F23974" s="1">
        <v>5.7901610796691301E-3</v>
      </c>
    </row>
    <row r="23975" spans="1:6" x14ac:dyDescent="0.25">
      <c r="A23975" s="2" t="str">
        <f t="shared" si="836"/>
        <v>46220</v>
      </c>
      <c r="B23975" s="2" t="str">
        <f>"36740"</f>
        <v>36740</v>
      </c>
      <c r="C23975" s="1">
        <v>8.3393291533901993E-3</v>
      </c>
      <c r="D23975" s="1">
        <v>2.2595806218365798E-3</v>
      </c>
      <c r="E23975" s="1">
        <v>0</v>
      </c>
      <c r="F23975" s="1">
        <v>7.7243609677218701E-3</v>
      </c>
    </row>
    <row r="23976" spans="1:6" x14ac:dyDescent="0.25">
      <c r="A23976" s="2" t="str">
        <f t="shared" si="836"/>
        <v>46220</v>
      </c>
      <c r="B23976" s="2" t="str">
        <f>"35490"</f>
        <v>35490</v>
      </c>
      <c r="C23976" s="1">
        <v>1.63428923835954E-2</v>
      </c>
      <c r="D23976" s="1">
        <v>6.9595083152566798E-3</v>
      </c>
      <c r="E23976" s="1">
        <v>1.31891321551041E-3</v>
      </c>
      <c r="F23976" s="1">
        <v>1.53429939672865E-2</v>
      </c>
    </row>
    <row r="23977" spans="1:6" x14ac:dyDescent="0.25">
      <c r="A23977" s="2" t="str">
        <f t="shared" si="836"/>
        <v>46220</v>
      </c>
      <c r="B23977" s="2" t="str">
        <f>"35486"</f>
        <v>35486</v>
      </c>
      <c r="C23977" s="1">
        <v>6.3596806797546798E-2</v>
      </c>
      <c r="D23977" s="1">
        <v>2.7205350686912499E-2</v>
      </c>
      <c r="E23977" s="1">
        <v>2.6378264310208298E-4</v>
      </c>
      <c r="F23977" s="1">
        <v>5.9599477579451401E-2</v>
      </c>
    </row>
    <row r="23978" spans="1:6" x14ac:dyDescent="0.25">
      <c r="A23978" s="2" t="str">
        <f t="shared" si="836"/>
        <v>46220</v>
      </c>
      <c r="B23978" s="2" t="str">
        <f>"35464"</f>
        <v>35464</v>
      </c>
      <c r="C23978" s="1">
        <v>2.0557097337855801E-4</v>
      </c>
      <c r="D23978" s="1">
        <v>9.0383224873463402E-5</v>
      </c>
      <c r="E23978" s="1">
        <v>0</v>
      </c>
      <c r="F23978" s="1">
        <v>1.92798059580819E-4</v>
      </c>
    </row>
    <row r="23979" spans="1:6" x14ac:dyDescent="0.25">
      <c r="A23979" s="2" t="str">
        <f t="shared" si="836"/>
        <v>46220</v>
      </c>
      <c r="B23979" s="2" t="str">
        <f>"35463"</f>
        <v>35463</v>
      </c>
      <c r="C23979" s="1">
        <v>6.1945386644738998E-3</v>
      </c>
      <c r="D23979" s="1">
        <v>9.0383224873463405E-4</v>
      </c>
      <c r="E23979" s="1">
        <v>0</v>
      </c>
      <c r="F23979" s="1">
        <v>5.6844331115119004E-3</v>
      </c>
    </row>
    <row r="23980" spans="1:6" x14ac:dyDescent="0.25">
      <c r="A23980" s="2" t="str">
        <f t="shared" si="836"/>
        <v>46220</v>
      </c>
      <c r="B23980" s="2" t="str">
        <f>"35448"</f>
        <v>35448</v>
      </c>
      <c r="C23980" s="1">
        <v>0</v>
      </c>
      <c r="D23980" s="1">
        <v>9.0383224873463402E-5</v>
      </c>
      <c r="E23980" s="1">
        <v>0</v>
      </c>
      <c r="F23980" s="1">
        <v>6.2192922445425696E-6</v>
      </c>
    </row>
    <row r="23981" spans="1:6" x14ac:dyDescent="0.25">
      <c r="A23981" s="2" t="str">
        <f t="shared" si="836"/>
        <v>46220</v>
      </c>
      <c r="B23981" s="2" t="str">
        <f>"35406"</f>
        <v>35406</v>
      </c>
      <c r="C23981" s="1">
        <v>5.3242882105046699E-2</v>
      </c>
      <c r="D23981" s="1">
        <v>4.91684743311641E-2</v>
      </c>
      <c r="E23981" s="1">
        <v>3.3764178317066698E-2</v>
      </c>
      <c r="F23981" s="1">
        <v>5.2503265128428303E-2</v>
      </c>
    </row>
    <row r="23982" spans="1:6" x14ac:dyDescent="0.25">
      <c r="A23982" s="2" t="str">
        <f t="shared" si="836"/>
        <v>46220</v>
      </c>
      <c r="B23982" s="2" t="str">
        <f>"35188"</f>
        <v>35188</v>
      </c>
      <c r="C23982" s="1">
        <v>1.19231164559564E-3</v>
      </c>
      <c r="D23982" s="1">
        <v>1.89804772234273E-3</v>
      </c>
      <c r="E23982" s="1">
        <v>0</v>
      </c>
      <c r="F23982" s="1">
        <v>1.2127619876858E-3</v>
      </c>
    </row>
    <row r="23983" spans="1:6" x14ac:dyDescent="0.25">
      <c r="A23983" s="2" t="str">
        <f t="shared" ref="A23983:A24004" si="837">"42460"</f>
        <v>42460</v>
      </c>
      <c r="B23983" s="2" t="str">
        <f>"35769"</f>
        <v>35769</v>
      </c>
      <c r="C23983" s="1">
        <v>0.16213236601586101</v>
      </c>
      <c r="D23983" s="1">
        <v>0.16353478923311299</v>
      </c>
      <c r="E23983" s="1">
        <v>0.19414893617021201</v>
      </c>
      <c r="F23983" s="1">
        <v>0.16261817226890701</v>
      </c>
    </row>
    <row r="23984" spans="1:6" x14ac:dyDescent="0.25">
      <c r="A23984" s="2" t="str">
        <f t="shared" si="837"/>
        <v>42460</v>
      </c>
      <c r="B23984" s="2" t="str">
        <f>"35751"</f>
        <v>35751</v>
      </c>
      <c r="C23984" s="1">
        <v>4.9788399302962399E-3</v>
      </c>
      <c r="D23984" s="1">
        <v>0</v>
      </c>
      <c r="E23984" s="1">
        <v>2.6595744680850998E-3</v>
      </c>
      <c r="F23984" s="1">
        <v>4.6284138655462099E-3</v>
      </c>
    </row>
    <row r="23985" spans="1:6" x14ac:dyDescent="0.25">
      <c r="A23985" s="2" t="str">
        <f t="shared" si="837"/>
        <v>42460</v>
      </c>
      <c r="B23985" s="2" t="str">
        <f>"35744"</f>
        <v>35744</v>
      </c>
      <c r="C23985" s="1">
        <v>4.4845122515025398E-2</v>
      </c>
      <c r="D23985" s="1">
        <v>1.2696800406297599E-2</v>
      </c>
      <c r="E23985" s="1">
        <v>3.4574468085106301E-2</v>
      </c>
      <c r="F23985" s="1">
        <v>4.2640493697478903E-2</v>
      </c>
    </row>
    <row r="23986" spans="1:6" x14ac:dyDescent="0.25">
      <c r="A23986" s="2" t="str">
        <f t="shared" si="837"/>
        <v>42460</v>
      </c>
      <c r="B23986" s="2" t="str">
        <f>"35768"</f>
        <v>35768</v>
      </c>
      <c r="C23986" s="1">
        <v>0.211316191898716</v>
      </c>
      <c r="D23986" s="1">
        <v>0.50380904012188898</v>
      </c>
      <c r="E23986" s="1">
        <v>0.34574468085106302</v>
      </c>
      <c r="F23986" s="1">
        <v>0.23188025210084001</v>
      </c>
    </row>
    <row r="23987" spans="1:6" x14ac:dyDescent="0.25">
      <c r="A23987" s="2" t="str">
        <f t="shared" si="837"/>
        <v>42460</v>
      </c>
      <c r="B23987" s="2" t="str">
        <f>"35764"</f>
        <v>35764</v>
      </c>
      <c r="C23987" s="1">
        <v>1.1771400120914601E-2</v>
      </c>
      <c r="D23987" s="1">
        <v>7.1102082275266596E-3</v>
      </c>
      <c r="E23987" s="1">
        <v>2.6595744680850998E-3</v>
      </c>
      <c r="F23987" s="1">
        <v>1.13576680672268E-2</v>
      </c>
    </row>
    <row r="23988" spans="1:6" x14ac:dyDescent="0.25">
      <c r="A23988" s="2" t="str">
        <f t="shared" si="837"/>
        <v>42460</v>
      </c>
      <c r="B23988" s="2" t="str">
        <f>"35752"</f>
        <v>35752</v>
      </c>
      <c r="C23988" s="1">
        <v>4.0506419147195799E-2</v>
      </c>
      <c r="D23988" s="1">
        <v>2.0822752666328E-2</v>
      </c>
      <c r="E23988" s="1">
        <v>2.1276595744680799E-2</v>
      </c>
      <c r="F23988" s="1">
        <v>3.8996848739495701E-2</v>
      </c>
    </row>
    <row r="23989" spans="1:6" x14ac:dyDescent="0.25">
      <c r="A23989" s="2" t="str">
        <f t="shared" si="837"/>
        <v>42460</v>
      </c>
      <c r="B23989" s="2" t="str">
        <f>"35740"</f>
        <v>35740</v>
      </c>
      <c r="C23989" s="1">
        <v>6.03506525836622E-2</v>
      </c>
      <c r="D23989" s="1">
        <v>3.2503809040121803E-2</v>
      </c>
      <c r="E23989" s="1">
        <v>8.7765957446808499E-2</v>
      </c>
      <c r="F23989" s="1">
        <v>5.88891806722689E-2</v>
      </c>
    </row>
    <row r="23990" spans="1:6" x14ac:dyDescent="0.25">
      <c r="A23990" s="2" t="str">
        <f t="shared" si="837"/>
        <v>42460</v>
      </c>
      <c r="B23990" s="2" t="str">
        <f>"35755"</f>
        <v>35755</v>
      </c>
      <c r="C23990" s="1">
        <v>8.1439596002702702E-3</v>
      </c>
      <c r="D23990" s="1">
        <v>3.0472320975114199E-3</v>
      </c>
      <c r="E23990" s="1">
        <v>2.6595744680850998E-3</v>
      </c>
      <c r="F23990" s="1">
        <v>7.7468487394957899E-3</v>
      </c>
    </row>
    <row r="23991" spans="1:6" x14ac:dyDescent="0.25">
      <c r="A23991" s="2" t="str">
        <f t="shared" si="837"/>
        <v>42460</v>
      </c>
      <c r="B23991" s="2" t="str">
        <f>"35774"</f>
        <v>35774</v>
      </c>
      <c r="C23991" s="1">
        <v>2.5605462498666299E-3</v>
      </c>
      <c r="D23991" s="1">
        <v>1.52361604875571E-3</v>
      </c>
      <c r="E23991" s="1">
        <v>7.9787234042553098E-3</v>
      </c>
      <c r="F23991" s="1">
        <v>2.5603991596638599E-3</v>
      </c>
    </row>
    <row r="23992" spans="1:6" x14ac:dyDescent="0.25">
      <c r="A23992" s="2" t="str">
        <f t="shared" si="837"/>
        <v>42460</v>
      </c>
      <c r="B23992" s="2" t="str">
        <f>"35771"</f>
        <v>35771</v>
      </c>
      <c r="C23992" s="1">
        <v>6.8601301611010301E-2</v>
      </c>
      <c r="D23992" s="1">
        <v>3.3011681056373698E-2</v>
      </c>
      <c r="E23992" s="1">
        <v>6.1170212765957403E-2</v>
      </c>
      <c r="F23992" s="1">
        <v>6.6209296218487299E-2</v>
      </c>
    </row>
    <row r="23993" spans="1:6" x14ac:dyDescent="0.25">
      <c r="A23993" s="2" t="str">
        <f t="shared" si="837"/>
        <v>42460</v>
      </c>
      <c r="B23993" s="2" t="str">
        <f>"35958"</f>
        <v>35958</v>
      </c>
      <c r="C23993" s="1">
        <v>6.1559799423877001E-2</v>
      </c>
      <c r="D23993" s="1">
        <v>2.59014728288471E-2</v>
      </c>
      <c r="E23993" s="1">
        <v>1.8617021276595699E-2</v>
      </c>
      <c r="F23993" s="1">
        <v>5.8725052521008403E-2</v>
      </c>
    </row>
    <row r="23994" spans="1:6" x14ac:dyDescent="0.25">
      <c r="A23994" s="2" t="str">
        <f t="shared" si="837"/>
        <v>42460</v>
      </c>
      <c r="B23994" s="2" t="str">
        <f>"35979"</f>
        <v>35979</v>
      </c>
      <c r="C23994" s="1">
        <v>7.5038230378036202E-3</v>
      </c>
      <c r="D23994" s="1">
        <v>3.5551041137633298E-3</v>
      </c>
      <c r="E23994" s="1">
        <v>2.6595744680850998E-3</v>
      </c>
      <c r="F23994" s="1">
        <v>7.1888130252100802E-3</v>
      </c>
    </row>
    <row r="23995" spans="1:6" x14ac:dyDescent="0.25">
      <c r="A23995" s="2" t="str">
        <f t="shared" si="837"/>
        <v>42460</v>
      </c>
      <c r="B23995" s="2" t="str">
        <f>"35978"</f>
        <v>35978</v>
      </c>
      <c r="C23995" s="1">
        <v>2.1373448557914499E-2</v>
      </c>
      <c r="D23995" s="1">
        <v>6.6023362112747497E-3</v>
      </c>
      <c r="E23995" s="1">
        <v>1.5957446808510599E-2</v>
      </c>
      <c r="F23995" s="1">
        <v>2.0351890756302501E-2</v>
      </c>
    </row>
    <row r="23996" spans="1:6" x14ac:dyDescent="0.25">
      <c r="A23996" s="2" t="str">
        <f t="shared" si="837"/>
        <v>42460</v>
      </c>
      <c r="B23996" s="2" t="str">
        <f>"35772"</f>
        <v>35772</v>
      </c>
      <c r="C23996" s="1">
        <v>8.7592019630854501E-2</v>
      </c>
      <c r="D23996" s="1">
        <v>8.8877602844083206E-2</v>
      </c>
      <c r="E23996" s="1">
        <v>0.10106382978723399</v>
      </c>
      <c r="F23996" s="1">
        <v>8.78413865546218E-2</v>
      </c>
    </row>
    <row r="23997" spans="1:6" x14ac:dyDescent="0.25">
      <c r="A23997" s="2" t="str">
        <f t="shared" si="837"/>
        <v>42460</v>
      </c>
      <c r="B23997" s="2" t="str">
        <f>"35765"</f>
        <v>35765</v>
      </c>
      <c r="C23997" s="1">
        <v>7.2122052704576903E-2</v>
      </c>
      <c r="D23997" s="1">
        <v>3.7074657186388998E-2</v>
      </c>
      <c r="E23997" s="1">
        <v>5.0531914893616997E-2</v>
      </c>
      <c r="F23997" s="1">
        <v>6.9590336134453701E-2</v>
      </c>
    </row>
    <row r="23998" spans="1:6" x14ac:dyDescent="0.25">
      <c r="A23998" s="2" t="str">
        <f t="shared" si="837"/>
        <v>42460</v>
      </c>
      <c r="B23998" s="2" t="str">
        <f>"35966"</f>
        <v>35966</v>
      </c>
      <c r="C23998" s="1">
        <v>4.8436999893310503E-2</v>
      </c>
      <c r="D23998" s="1">
        <v>2.6409344845098999E-2</v>
      </c>
      <c r="E23998" s="1">
        <v>2.1276595744680799E-2</v>
      </c>
      <c r="F23998" s="1">
        <v>4.6678046218487299E-2</v>
      </c>
    </row>
    <row r="23999" spans="1:6" x14ac:dyDescent="0.25">
      <c r="A23999" s="2" t="str">
        <f t="shared" si="837"/>
        <v>42460</v>
      </c>
      <c r="B23999" s="2" t="str">
        <f>"35971"</f>
        <v>35971</v>
      </c>
      <c r="C23999" s="1">
        <v>1.45808883672961E-3</v>
      </c>
      <c r="D23999" s="1">
        <v>1.0157440325038001E-3</v>
      </c>
      <c r="E23999" s="1">
        <v>7.9787234042553098E-3</v>
      </c>
      <c r="F23999" s="1">
        <v>1.50997899159663E-3</v>
      </c>
    </row>
    <row r="24000" spans="1:6" x14ac:dyDescent="0.25">
      <c r="A24000" s="2" t="str">
        <f t="shared" si="837"/>
        <v>42460</v>
      </c>
      <c r="B24000" s="2" t="str">
        <f>"35776"</f>
        <v>35776</v>
      </c>
      <c r="C24000" s="1">
        <v>5.6189764927628998E-2</v>
      </c>
      <c r="D24000" s="1">
        <v>1.9807008633824199E-2</v>
      </c>
      <c r="E24000" s="1">
        <v>1.0638297872340399E-2</v>
      </c>
      <c r="F24000" s="1">
        <v>5.3275997899159599E-2</v>
      </c>
    </row>
    <row r="24001" spans="1:6" x14ac:dyDescent="0.25">
      <c r="A24001" s="2" t="str">
        <f t="shared" si="837"/>
        <v>42460</v>
      </c>
      <c r="B24001" s="2" t="str">
        <f>"35766"</f>
        <v>35766</v>
      </c>
      <c r="C24001" s="1">
        <v>3.0939933852555199E-3</v>
      </c>
      <c r="D24001" s="1">
        <v>1.52361604875571E-3</v>
      </c>
      <c r="E24001" s="1">
        <v>2.6595744680850998E-3</v>
      </c>
      <c r="F24001" s="1">
        <v>2.9871323529411702E-3</v>
      </c>
    </row>
    <row r="24002" spans="1:6" x14ac:dyDescent="0.25">
      <c r="A24002" s="2" t="str">
        <f t="shared" si="837"/>
        <v>42460</v>
      </c>
      <c r="B24002" s="2" t="str">
        <f>"35748"</f>
        <v>35748</v>
      </c>
      <c r="C24002" s="1">
        <v>2.8450513887407001E-3</v>
      </c>
      <c r="D24002" s="1">
        <v>3.0472320975114199E-3</v>
      </c>
      <c r="E24002" s="1">
        <v>0</v>
      </c>
      <c r="F24002" s="1">
        <v>2.82300420168067E-3</v>
      </c>
    </row>
    <row r="24003" spans="1:6" x14ac:dyDescent="0.25">
      <c r="A24003" s="2" t="str">
        <f t="shared" si="837"/>
        <v>42460</v>
      </c>
      <c r="B24003" s="2" t="str">
        <f>"35746"</f>
        <v>35746</v>
      </c>
      <c r="C24003" s="1">
        <v>1.4936519790888701E-2</v>
      </c>
      <c r="D24003" s="1">
        <v>3.5551041137633298E-3</v>
      </c>
      <c r="E24003" s="1">
        <v>5.31914893617021E-3</v>
      </c>
      <c r="F24003" s="1">
        <v>1.40821953781512E-2</v>
      </c>
    </row>
    <row r="24004" spans="1:6" x14ac:dyDescent="0.25">
      <c r="A24004" s="2" t="str">
        <f t="shared" si="837"/>
        <v>42460</v>
      </c>
      <c r="B24004" s="2" t="str">
        <f>"35745"</f>
        <v>35745</v>
      </c>
      <c r="C24004" s="1">
        <v>7.6816387495999101E-3</v>
      </c>
      <c r="D24004" s="1">
        <v>4.5708481462671396E-3</v>
      </c>
      <c r="E24004" s="1">
        <v>2.6595744680850998E-3</v>
      </c>
      <c r="F24004" s="1">
        <v>7.41859243697478E-3</v>
      </c>
    </row>
    <row r="24005" spans="1:6" x14ac:dyDescent="0.25">
      <c r="A24005" s="2" t="str">
        <f t="shared" ref="A24005:A24014" si="838">"12120"</f>
        <v>12120</v>
      </c>
      <c r="B24005" s="2" t="str">
        <f>"36502"</f>
        <v>36502</v>
      </c>
      <c r="C24005" s="1">
        <v>0.42733068929163098</v>
      </c>
      <c r="D24005" s="1">
        <v>0.47071583514099702</v>
      </c>
      <c r="E24005" s="1">
        <v>0.46788990825687998</v>
      </c>
      <c r="F24005" s="1">
        <v>0.43173115906121801</v>
      </c>
    </row>
    <row r="24006" spans="1:6" x14ac:dyDescent="0.25">
      <c r="A24006" s="2" t="str">
        <f t="shared" si="838"/>
        <v>12120</v>
      </c>
      <c r="B24006" s="2" t="str">
        <f>"36426"</f>
        <v>36426</v>
      </c>
      <c r="C24006" s="1">
        <v>0.44219087303579402</v>
      </c>
      <c r="D24006" s="1">
        <v>0.453904555314533</v>
      </c>
      <c r="E24006" s="1">
        <v>0.44036697247706402</v>
      </c>
      <c r="F24006" s="1">
        <v>0.44312806883192901</v>
      </c>
    </row>
    <row r="24007" spans="1:6" x14ac:dyDescent="0.25">
      <c r="A24007" s="2" t="str">
        <f t="shared" si="838"/>
        <v>12120</v>
      </c>
      <c r="B24007" s="2" t="str">
        <f>"36475"</f>
        <v>36475</v>
      </c>
      <c r="C24007" s="1">
        <v>1.00406646920026E-4</v>
      </c>
      <c r="D24007" s="1">
        <v>0</v>
      </c>
      <c r="E24007" s="1">
        <v>0</v>
      </c>
      <c r="F24007" s="1">
        <v>9.0094148385062303E-5</v>
      </c>
    </row>
    <row r="24008" spans="1:6" x14ac:dyDescent="0.25">
      <c r="A24008" s="2" t="str">
        <f t="shared" si="838"/>
        <v>12120</v>
      </c>
      <c r="B24008" s="2" t="str">
        <f>"36543"</f>
        <v>36543</v>
      </c>
      <c r="C24008" s="1">
        <v>0</v>
      </c>
      <c r="D24008" s="1">
        <v>5.4229934924077995E-4</v>
      </c>
      <c r="E24008" s="1">
        <v>0</v>
      </c>
      <c r="F24008" s="1">
        <v>4.5047074192531097E-5</v>
      </c>
    </row>
    <row r="24009" spans="1:6" x14ac:dyDescent="0.25">
      <c r="A24009" s="2" t="str">
        <f t="shared" si="838"/>
        <v>12120</v>
      </c>
      <c r="B24009" s="2" t="str">
        <f>"36441"</f>
        <v>36441</v>
      </c>
      <c r="C24009" s="1">
        <v>0.100958883478086</v>
      </c>
      <c r="D24009" s="1">
        <v>5.69414316702819E-2</v>
      </c>
      <c r="E24009" s="1">
        <v>7.7981651376146696E-2</v>
      </c>
      <c r="F24009" s="1">
        <v>9.6851209513941994E-2</v>
      </c>
    </row>
    <row r="24010" spans="1:6" x14ac:dyDescent="0.25">
      <c r="A24010" s="2" t="str">
        <f t="shared" si="838"/>
        <v>12120</v>
      </c>
      <c r="B24010" s="2" t="str">
        <f>"36562"</f>
        <v>36562</v>
      </c>
      <c r="C24010" s="1">
        <v>4.8697223756212597E-3</v>
      </c>
      <c r="D24010" s="1">
        <v>5.4229934924077995E-4</v>
      </c>
      <c r="E24010" s="1">
        <v>1.14678899082568E-2</v>
      </c>
      <c r="F24010" s="1">
        <v>4.6398486418307103E-3</v>
      </c>
    </row>
    <row r="24011" spans="1:6" x14ac:dyDescent="0.25">
      <c r="A24011" s="2" t="str">
        <f t="shared" si="838"/>
        <v>12120</v>
      </c>
      <c r="B24011" s="2" t="str">
        <f>"36432"</f>
        <v>36432</v>
      </c>
      <c r="C24011" s="1">
        <v>1.35548973342035E-2</v>
      </c>
      <c r="D24011" s="1">
        <v>6.5075921908893698E-3</v>
      </c>
      <c r="E24011" s="1">
        <v>0</v>
      </c>
      <c r="F24011" s="1">
        <v>1.27032749222937E-2</v>
      </c>
    </row>
    <row r="24012" spans="1:6" x14ac:dyDescent="0.25">
      <c r="A24012" s="2" t="str">
        <f t="shared" si="838"/>
        <v>12120</v>
      </c>
      <c r="B24012" s="2" t="str">
        <f>"36483"</f>
        <v>36483</v>
      </c>
      <c r="C24012" s="1">
        <v>7.6811084893819897E-3</v>
      </c>
      <c r="D24012" s="1">
        <v>5.9652928416485899E-3</v>
      </c>
      <c r="E24012" s="1">
        <v>2.2935779816513702E-3</v>
      </c>
      <c r="F24012" s="1">
        <v>7.4327672417676396E-3</v>
      </c>
    </row>
    <row r="24013" spans="1:6" x14ac:dyDescent="0.25">
      <c r="A24013" s="2" t="str">
        <f t="shared" si="838"/>
        <v>12120</v>
      </c>
      <c r="B24013" s="2" t="str">
        <f>"36420"</f>
        <v>36420</v>
      </c>
      <c r="C24013" s="1">
        <v>3.3134193483608599E-3</v>
      </c>
      <c r="D24013" s="1">
        <v>2.1691973969631198E-3</v>
      </c>
      <c r="E24013" s="1">
        <v>0</v>
      </c>
      <c r="F24013" s="1">
        <v>3.15329519347718E-3</v>
      </c>
    </row>
    <row r="24014" spans="1:6" x14ac:dyDescent="0.25">
      <c r="A24014" s="2" t="str">
        <f t="shared" si="838"/>
        <v>12120</v>
      </c>
      <c r="B24014" s="2" t="str">
        <f>"36503"</f>
        <v>36503</v>
      </c>
      <c r="C24014" s="1">
        <v>0</v>
      </c>
      <c r="D24014" s="1">
        <v>2.7114967462039002E-3</v>
      </c>
      <c r="E24014" s="1">
        <v>0</v>
      </c>
      <c r="F24014" s="1">
        <v>2.25235370962655E-4</v>
      </c>
    </row>
    <row r="24015" spans="1:6" x14ac:dyDescent="0.25">
      <c r="A24015" s="2" t="str">
        <f t="shared" ref="A24015:A24027" si="839">"32280"</f>
        <v>32280</v>
      </c>
      <c r="B24015" s="2" t="str">
        <f>"38261"</f>
        <v>38261</v>
      </c>
      <c r="C24015" s="1">
        <v>4.1684035014589402E-4</v>
      </c>
      <c r="D24015" s="1">
        <v>6.9735006973500597E-4</v>
      </c>
      <c r="E24015" s="1">
        <v>0</v>
      </c>
      <c r="F24015" s="1">
        <v>4.2076473991479497E-4</v>
      </c>
    </row>
    <row r="24016" spans="1:6" x14ac:dyDescent="0.25">
      <c r="A24016" s="2" t="str">
        <f t="shared" si="839"/>
        <v>32280</v>
      </c>
      <c r="B24016" s="2" t="str">
        <f>"38242"</f>
        <v>38242</v>
      </c>
      <c r="C24016" s="1">
        <v>5.8953135234919296E-3</v>
      </c>
      <c r="D24016" s="1">
        <v>1.39470013947001E-3</v>
      </c>
      <c r="E24016" s="1">
        <v>0</v>
      </c>
      <c r="F24016" s="1">
        <v>5.3121548414242804E-3</v>
      </c>
    </row>
    <row r="24017" spans="1:6" x14ac:dyDescent="0.25">
      <c r="A24017" s="2" t="str">
        <f t="shared" si="839"/>
        <v>32280</v>
      </c>
      <c r="B24017" s="2" t="str">
        <f>"38238"</f>
        <v>38238</v>
      </c>
      <c r="C24017" s="1">
        <v>0</v>
      </c>
      <c r="D24017" s="1">
        <v>0</v>
      </c>
      <c r="E24017" s="1">
        <v>1.2722646310432499E-3</v>
      </c>
      <c r="F24017" s="1">
        <v>5.2595592489349297E-5</v>
      </c>
    </row>
    <row r="24018" spans="1:6" x14ac:dyDescent="0.25">
      <c r="A24018" s="2" t="str">
        <f t="shared" si="839"/>
        <v>32280</v>
      </c>
      <c r="B24018" s="2" t="str">
        <f>"38255"</f>
        <v>38255</v>
      </c>
      <c r="C24018" s="1">
        <v>6.6396712916095904E-2</v>
      </c>
      <c r="D24018" s="1">
        <v>5.9274755927475498E-2</v>
      </c>
      <c r="E24018" s="1">
        <v>1.1450381679389301E-2</v>
      </c>
      <c r="F24018" s="1">
        <v>6.3588071319623393E-2</v>
      </c>
    </row>
    <row r="24019" spans="1:6" x14ac:dyDescent="0.25">
      <c r="A24019" s="2" t="str">
        <f t="shared" si="839"/>
        <v>32280</v>
      </c>
      <c r="B24019" s="2" t="str">
        <f>"38225"</f>
        <v>38225</v>
      </c>
      <c r="C24019" s="1">
        <v>0.17888405883403699</v>
      </c>
      <c r="D24019" s="1">
        <v>0.24755927475592701</v>
      </c>
      <c r="E24019" s="1">
        <v>0.16793893129770901</v>
      </c>
      <c r="F24019" s="1">
        <v>0.18361121338031799</v>
      </c>
    </row>
    <row r="24020" spans="1:6" x14ac:dyDescent="0.25">
      <c r="A24020" s="2" t="str">
        <f t="shared" si="839"/>
        <v>32280</v>
      </c>
      <c r="B24020" s="2" t="str">
        <f>"38201"</f>
        <v>38201</v>
      </c>
      <c r="C24020" s="1">
        <v>5.5142023462156797E-2</v>
      </c>
      <c r="D24020" s="1">
        <v>1.95258019525801E-2</v>
      </c>
      <c r="E24020" s="1">
        <v>1.27226463104325E-2</v>
      </c>
      <c r="F24020" s="1">
        <v>5.0702151159732797E-2</v>
      </c>
    </row>
    <row r="24021" spans="1:6" x14ac:dyDescent="0.25">
      <c r="A24021" s="2" t="str">
        <f t="shared" si="839"/>
        <v>32280</v>
      </c>
      <c r="B24021" s="2" t="str">
        <f>"38257"</f>
        <v>38257</v>
      </c>
      <c r="C24021" s="1">
        <v>4.9425355803013101E-3</v>
      </c>
      <c r="D24021" s="1">
        <v>6.9735006973500597E-4</v>
      </c>
      <c r="E24021" s="1">
        <v>0</v>
      </c>
      <c r="F24021" s="1">
        <v>4.4180297691053397E-3</v>
      </c>
    </row>
    <row r="24022" spans="1:6" x14ac:dyDescent="0.25">
      <c r="A24022" s="2" t="str">
        <f t="shared" si="839"/>
        <v>32280</v>
      </c>
      <c r="B24022" s="2" t="str">
        <f>"38226"</f>
        <v>38226</v>
      </c>
      <c r="C24022" s="1">
        <v>1.18501756684332E-2</v>
      </c>
      <c r="D24022" s="1">
        <v>2.78940027894002E-3</v>
      </c>
      <c r="E24022" s="1">
        <v>0</v>
      </c>
      <c r="F24022" s="1">
        <v>1.06769052753379E-2</v>
      </c>
    </row>
    <row r="24023" spans="1:6" x14ac:dyDescent="0.25">
      <c r="A24023" s="2" t="str">
        <f t="shared" si="839"/>
        <v>32280</v>
      </c>
      <c r="B24023" s="2" t="str">
        <f>"38241"</f>
        <v>38241</v>
      </c>
      <c r="C24023" s="1">
        <v>2.7213720002381901E-2</v>
      </c>
      <c r="D24023" s="1">
        <v>1.1157601115760101E-2</v>
      </c>
      <c r="E24023" s="1">
        <v>0</v>
      </c>
      <c r="F24023" s="1">
        <v>2.4877715247462202E-2</v>
      </c>
    </row>
    <row r="24024" spans="1:6" x14ac:dyDescent="0.25">
      <c r="A24024" s="2" t="str">
        <f t="shared" si="839"/>
        <v>32280</v>
      </c>
      <c r="B24024" s="2" t="str">
        <f>"38237"</f>
        <v>38237</v>
      </c>
      <c r="C24024" s="1">
        <v>0.45012802953611603</v>
      </c>
      <c r="D24024" s="1">
        <v>0.44560669456066898</v>
      </c>
      <c r="E24024" s="1">
        <v>0.73409669211195905</v>
      </c>
      <c r="F24024" s="1">
        <v>0.46152632409403999</v>
      </c>
    </row>
    <row r="24025" spans="1:6" x14ac:dyDescent="0.25">
      <c r="A24025" s="2" t="str">
        <f t="shared" si="839"/>
        <v>32280</v>
      </c>
      <c r="B24025" s="2" t="str">
        <f>"38230"</f>
        <v>38230</v>
      </c>
      <c r="C24025" s="1">
        <v>0.10557970582980999</v>
      </c>
      <c r="D24025" s="1">
        <v>0.118549511854951</v>
      </c>
      <c r="E24025" s="1">
        <v>5.08905852417302E-2</v>
      </c>
      <c r="F24025" s="1">
        <v>0.104297059906379</v>
      </c>
    </row>
    <row r="24026" spans="1:6" x14ac:dyDescent="0.25">
      <c r="A24026" s="2" t="str">
        <f t="shared" si="839"/>
        <v>32280</v>
      </c>
      <c r="B24026" s="2" t="str">
        <f>"38224"</f>
        <v>38224</v>
      </c>
      <c r="C24026" s="1">
        <v>2.5605907223247701E-3</v>
      </c>
      <c r="D24026" s="1">
        <v>0</v>
      </c>
      <c r="E24026" s="1">
        <v>2.5445292620865098E-3</v>
      </c>
      <c r="F24026" s="1">
        <v>2.3668016620207199E-3</v>
      </c>
    </row>
    <row r="24027" spans="1:6" x14ac:dyDescent="0.25">
      <c r="A24027" s="2" t="str">
        <f t="shared" si="839"/>
        <v>32280</v>
      </c>
      <c r="B24027" s="2" t="str">
        <f>"38229"</f>
        <v>38229</v>
      </c>
      <c r="C24027" s="1">
        <v>9.0990293574703701E-2</v>
      </c>
      <c r="D24027" s="1">
        <v>9.2747559274755906E-2</v>
      </c>
      <c r="E24027" s="1">
        <v>1.90839694656488E-2</v>
      </c>
      <c r="F24027" s="1">
        <v>8.8150213012149495E-2</v>
      </c>
    </row>
    <row r="24028" spans="1:6" x14ac:dyDescent="0.25">
      <c r="A24028" s="2" t="str">
        <f t="shared" ref="A24028:A24038" si="840">"29980"</f>
        <v>29980</v>
      </c>
      <c r="B24028" s="2" t="str">
        <f>"38483"</f>
        <v>38483</v>
      </c>
      <c r="C24028" s="1">
        <v>9.0719202468549698E-2</v>
      </c>
      <c r="D24028" s="1">
        <v>3.9896373056994797E-2</v>
      </c>
      <c r="E24028" s="1">
        <v>2.9850746268656699E-2</v>
      </c>
      <c r="F24028" s="1">
        <v>8.5801487340411806E-2</v>
      </c>
    </row>
    <row r="24029" spans="1:6" x14ac:dyDescent="0.25">
      <c r="A24029" s="2" t="str">
        <f t="shared" si="840"/>
        <v>29980</v>
      </c>
      <c r="B24029" s="2" t="str">
        <f>"38463"</f>
        <v>38463</v>
      </c>
      <c r="C24029" s="1">
        <v>2.4448136719677101E-2</v>
      </c>
      <c r="D24029" s="1">
        <v>1.13989637305699E-2</v>
      </c>
      <c r="E24029" s="1">
        <v>0</v>
      </c>
      <c r="F24029" s="1">
        <v>2.3083867085070701E-2</v>
      </c>
    </row>
    <row r="24030" spans="1:6" x14ac:dyDescent="0.25">
      <c r="A24030" s="2" t="str">
        <f t="shared" si="840"/>
        <v>29980</v>
      </c>
      <c r="B24030" s="2" t="str">
        <f>"38468"</f>
        <v>38468</v>
      </c>
      <c r="C24030" s="1">
        <v>0.114787562307144</v>
      </c>
      <c r="D24030" s="1">
        <v>5.8549222797927403E-2</v>
      </c>
      <c r="E24030" s="1">
        <v>7.4626865671641703E-3</v>
      </c>
      <c r="F24030" s="1">
        <v>0.108885354425482</v>
      </c>
    </row>
    <row r="24031" spans="1:6" x14ac:dyDescent="0.25">
      <c r="A24031" s="2" t="str">
        <f t="shared" si="840"/>
        <v>29980</v>
      </c>
      <c r="B24031" s="2" t="str">
        <f>"38456"</f>
        <v>38456</v>
      </c>
      <c r="C24031" s="1">
        <v>7.6714929978637506E-2</v>
      </c>
      <c r="D24031" s="1">
        <v>6.8911917098445505E-2</v>
      </c>
      <c r="E24031" s="1">
        <v>1.11940298507462E-2</v>
      </c>
      <c r="F24031" s="1">
        <v>7.5312728366934603E-2</v>
      </c>
    </row>
    <row r="24032" spans="1:6" x14ac:dyDescent="0.25">
      <c r="A24032" s="2" t="str">
        <f t="shared" si="840"/>
        <v>29980</v>
      </c>
      <c r="B24032" s="2" t="str">
        <f>"38473"</f>
        <v>38473</v>
      </c>
      <c r="C24032" s="1">
        <v>7.1208165202943201E-4</v>
      </c>
      <c r="D24032" s="1">
        <v>5.1813471502590595E-4</v>
      </c>
      <c r="E24032" s="1">
        <v>0</v>
      </c>
      <c r="F24032" s="1">
        <v>6.8778747367063498E-4</v>
      </c>
    </row>
    <row r="24033" spans="1:6" x14ac:dyDescent="0.25">
      <c r="A24033" s="2" t="str">
        <f t="shared" si="840"/>
        <v>29980</v>
      </c>
      <c r="B24033" s="2" t="str">
        <f>"38474"</f>
        <v>38474</v>
      </c>
      <c r="C24033" s="1">
        <v>6.0764300973178203E-3</v>
      </c>
      <c r="D24033" s="1">
        <v>3.1088082901554398E-3</v>
      </c>
      <c r="E24033" s="1">
        <v>0</v>
      </c>
      <c r="F24033" s="1">
        <v>5.7602200919915697E-3</v>
      </c>
    </row>
    <row r="24034" spans="1:6" x14ac:dyDescent="0.25">
      <c r="A24034" s="2" t="str">
        <f t="shared" si="840"/>
        <v>29980</v>
      </c>
      <c r="B24034" s="2" t="str">
        <f>"38486"</f>
        <v>38486</v>
      </c>
      <c r="C24034" s="1">
        <v>2.24543080939947E-2</v>
      </c>
      <c r="D24034" s="1">
        <v>2.5906735751295299E-3</v>
      </c>
      <c r="E24034" s="1">
        <v>0</v>
      </c>
      <c r="F24034" s="1">
        <v>2.0547650775910201E-2</v>
      </c>
    </row>
    <row r="24035" spans="1:6" x14ac:dyDescent="0.25">
      <c r="A24035" s="2" t="str">
        <f t="shared" si="840"/>
        <v>29980</v>
      </c>
      <c r="B24035" s="2" t="str">
        <f>"38469"</f>
        <v>38469</v>
      </c>
      <c r="C24035" s="1">
        <v>9.8504628530738103E-2</v>
      </c>
      <c r="D24035" s="1">
        <v>8.2901554404144998E-2</v>
      </c>
      <c r="E24035" s="1">
        <v>5.9701492537313397E-2</v>
      </c>
      <c r="F24035" s="1">
        <v>9.6763100202037503E-2</v>
      </c>
    </row>
    <row r="24036" spans="1:6" x14ac:dyDescent="0.25">
      <c r="A24036" s="2" t="str">
        <f t="shared" si="840"/>
        <v>29980</v>
      </c>
      <c r="B24036" s="2" t="str">
        <f>"38464"</f>
        <v>38464</v>
      </c>
      <c r="C24036" s="1">
        <v>0.51996202231189104</v>
      </c>
      <c r="D24036" s="1">
        <v>0.70207253886010301</v>
      </c>
      <c r="E24036" s="1">
        <v>0.88805970149253699</v>
      </c>
      <c r="F24036" s="1">
        <v>0.53931135279198705</v>
      </c>
    </row>
    <row r="24037" spans="1:6" x14ac:dyDescent="0.25">
      <c r="A24037" s="2" t="str">
        <f t="shared" si="840"/>
        <v>29980</v>
      </c>
      <c r="B24037" s="2" t="str">
        <f>"38457"</f>
        <v>38457</v>
      </c>
      <c r="C24037" s="1">
        <v>2.1267505340612301E-2</v>
      </c>
      <c r="D24037" s="1">
        <v>1.50259067357512E-2</v>
      </c>
      <c r="E24037" s="1">
        <v>0</v>
      </c>
      <c r="F24037" s="1">
        <v>2.0504664058805799E-2</v>
      </c>
    </row>
    <row r="24038" spans="1:6" x14ac:dyDescent="0.25">
      <c r="A24038" s="2" t="str">
        <f t="shared" si="840"/>
        <v>29980</v>
      </c>
      <c r="B24038" s="2" t="str">
        <f>"38481"</f>
        <v>38481</v>
      </c>
      <c r="C24038" s="1">
        <v>2.4353192499406501E-2</v>
      </c>
      <c r="D24038" s="1">
        <v>1.50259067357512E-2</v>
      </c>
      <c r="E24038" s="1">
        <v>3.7313432835820799E-3</v>
      </c>
      <c r="F24038" s="1">
        <v>2.33417873876972E-2</v>
      </c>
    </row>
    <row r="24039" spans="1:6" x14ac:dyDescent="0.25">
      <c r="A24039" s="2" t="str">
        <f t="shared" ref="A24039:A24050" si="841">"35020"</f>
        <v>35020</v>
      </c>
      <c r="B24039" s="2" t="str">
        <f>"39661"</f>
        <v>39661</v>
      </c>
      <c r="C24039" s="1">
        <v>1.24471503466937E-2</v>
      </c>
      <c r="D24039" s="1">
        <v>5.9364796675571302E-4</v>
      </c>
      <c r="E24039" s="1">
        <v>0</v>
      </c>
      <c r="F24039" s="1">
        <v>1.11315021510875E-2</v>
      </c>
    </row>
    <row r="24040" spans="1:6" x14ac:dyDescent="0.25">
      <c r="A24040" s="2" t="str">
        <f t="shared" si="841"/>
        <v>35020</v>
      </c>
      <c r="B24040" s="2" t="str">
        <f>"39122"</f>
        <v>39122</v>
      </c>
      <c r="C24040" s="1">
        <v>3.1320818535430402E-2</v>
      </c>
      <c r="D24040" s="1">
        <v>4.86791332739685E-2</v>
      </c>
      <c r="E24040" s="1">
        <v>6.5573770491803201E-3</v>
      </c>
      <c r="F24040" s="1">
        <v>3.28529739161827E-2</v>
      </c>
    </row>
    <row r="24041" spans="1:6" x14ac:dyDescent="0.25">
      <c r="A24041" s="2" t="str">
        <f t="shared" si="841"/>
        <v>35020</v>
      </c>
      <c r="B24041" s="2" t="str">
        <f>"71334"</f>
        <v>71334</v>
      </c>
      <c r="C24041" s="1">
        <v>0.14121427363436401</v>
      </c>
      <c r="D24041" s="1">
        <v>0.113089937666963</v>
      </c>
      <c r="E24041" s="1">
        <v>0.118032786885245</v>
      </c>
      <c r="F24041" s="1">
        <v>0.13815096723728101</v>
      </c>
    </row>
    <row r="24042" spans="1:6" x14ac:dyDescent="0.25">
      <c r="A24042" s="2" t="str">
        <f t="shared" si="841"/>
        <v>35020</v>
      </c>
      <c r="B24042" s="2" t="str">
        <f>"71354"</f>
        <v>71354</v>
      </c>
      <c r="C24042" s="1">
        <v>2.28986977845425E-2</v>
      </c>
      <c r="D24042" s="1">
        <v>2.07776788364499E-3</v>
      </c>
      <c r="E24042" s="1">
        <v>3.27868852459016E-3</v>
      </c>
      <c r="F24042" s="1">
        <v>2.0608321549986399E-2</v>
      </c>
    </row>
    <row r="24043" spans="1:6" x14ac:dyDescent="0.25">
      <c r="A24043" s="2" t="str">
        <f t="shared" si="841"/>
        <v>35020</v>
      </c>
      <c r="B24043" s="2" t="str">
        <f>"71326"</f>
        <v>71326</v>
      </c>
      <c r="C24043" s="1">
        <v>8.8956536445120894E-3</v>
      </c>
      <c r="D24043" s="1">
        <v>3.85871178391214E-3</v>
      </c>
      <c r="E24043" s="1">
        <v>9.8360655737704892E-3</v>
      </c>
      <c r="F24043" s="1">
        <v>8.3937543247390098E-3</v>
      </c>
    </row>
    <row r="24044" spans="1:6" x14ac:dyDescent="0.25">
      <c r="A24044" s="2" t="str">
        <f t="shared" si="841"/>
        <v>35020</v>
      </c>
      <c r="B24044" s="2" t="str">
        <f>"39121"</f>
        <v>39121</v>
      </c>
      <c r="C24044" s="1">
        <v>4.20091324200913E-2</v>
      </c>
      <c r="D24044" s="1">
        <v>0.11071534579994</v>
      </c>
      <c r="E24044" s="1">
        <v>3.27868852459016E-3</v>
      </c>
      <c r="F24044" s="1">
        <v>4.8617587773398703E-2</v>
      </c>
    </row>
    <row r="24045" spans="1:6" x14ac:dyDescent="0.25">
      <c r="A24045" s="2" t="str">
        <f t="shared" si="841"/>
        <v>35020</v>
      </c>
      <c r="B24045" s="2" t="str">
        <f>"39120"</f>
        <v>39120</v>
      </c>
      <c r="C24045" s="1">
        <v>0.54459665144596603</v>
      </c>
      <c r="D24045" s="1">
        <v>0.54882754526565702</v>
      </c>
      <c r="E24045" s="1">
        <v>0.66229508196721298</v>
      </c>
      <c r="F24045" s="1">
        <v>0.54610547850416602</v>
      </c>
    </row>
    <row r="24046" spans="1:6" x14ac:dyDescent="0.25">
      <c r="A24046" s="2" t="str">
        <f t="shared" si="841"/>
        <v>35020</v>
      </c>
      <c r="B24046" s="2" t="str">
        <f>"71343"</f>
        <v>71343</v>
      </c>
      <c r="C24046" s="1">
        <v>1.83663115169964E-2</v>
      </c>
      <c r="D24046" s="1">
        <v>4.7491837340457102E-3</v>
      </c>
      <c r="E24046" s="1">
        <v>0</v>
      </c>
      <c r="F24046" s="1">
        <v>1.68175937904269E-2</v>
      </c>
    </row>
    <row r="24047" spans="1:6" x14ac:dyDescent="0.25">
      <c r="A24047" s="2" t="str">
        <f t="shared" si="841"/>
        <v>35020</v>
      </c>
      <c r="B24047" s="2" t="str">
        <f>"71373"</f>
        <v>71373</v>
      </c>
      <c r="C24047" s="1">
        <v>0.131439201758836</v>
      </c>
      <c r="D24047" s="1">
        <v>0.15048975957257299</v>
      </c>
      <c r="E24047" s="1">
        <v>0.190163934426229</v>
      </c>
      <c r="F24047" s="1">
        <v>0.13390896236348801</v>
      </c>
    </row>
    <row r="24048" spans="1:6" x14ac:dyDescent="0.25">
      <c r="A24048" s="2" t="str">
        <f t="shared" si="841"/>
        <v>35020</v>
      </c>
      <c r="B24048" s="2" t="str">
        <f>"71316"</f>
        <v>71316</v>
      </c>
      <c r="C24048" s="1">
        <v>1.65736512768476E-3</v>
      </c>
      <c r="D24048" s="1">
        <v>2.9682398337785602E-4</v>
      </c>
      <c r="E24048" s="1">
        <v>3.27868852459016E-3</v>
      </c>
      <c r="F24048" s="1">
        <v>1.53434218839315E-3</v>
      </c>
    </row>
    <row r="24049" spans="1:6" x14ac:dyDescent="0.25">
      <c r="A24049" s="2" t="str">
        <f t="shared" si="841"/>
        <v>35020</v>
      </c>
      <c r="B24049" s="2" t="str">
        <f>"39190"</f>
        <v>39190</v>
      </c>
      <c r="C24049" s="1">
        <v>4.5154743784880699E-2</v>
      </c>
      <c r="D24049" s="1">
        <v>1.6325319085782102E-2</v>
      </c>
      <c r="E24049" s="1">
        <v>3.27868852459016E-3</v>
      </c>
      <c r="F24049" s="1">
        <v>4.18484310598995E-2</v>
      </c>
    </row>
    <row r="24050" spans="1:6" x14ac:dyDescent="0.25">
      <c r="A24050" s="2" t="str">
        <f t="shared" si="841"/>
        <v>35020</v>
      </c>
      <c r="B24050" s="2" t="str">
        <f>"39165"</f>
        <v>39165</v>
      </c>
      <c r="C24050" s="1">
        <v>0</v>
      </c>
      <c r="D24050" s="1">
        <v>2.9682398337785602E-4</v>
      </c>
      <c r="E24050" s="1">
        <v>0</v>
      </c>
      <c r="F24050" s="1">
        <v>3.0085140948885299E-5</v>
      </c>
    </row>
    <row r="24051" spans="1:6" x14ac:dyDescent="0.25">
      <c r="A24051" s="2" t="str">
        <f t="shared" ref="A24051:A24076" si="842">"29860"</f>
        <v>29860</v>
      </c>
      <c r="B24051" s="2" t="str">
        <f>"39345"</f>
        <v>39345</v>
      </c>
      <c r="C24051" s="1">
        <v>8.5172657143552403E-4</v>
      </c>
      <c r="D24051" s="1">
        <v>1.6108247422680401E-3</v>
      </c>
      <c r="E24051" s="1">
        <v>0</v>
      </c>
      <c r="F24051" s="1">
        <v>8.94894626157769E-4</v>
      </c>
    </row>
    <row r="24052" spans="1:6" x14ac:dyDescent="0.25">
      <c r="A24052" s="2" t="str">
        <f t="shared" si="842"/>
        <v>29860</v>
      </c>
      <c r="B24052" s="2" t="str">
        <f>"39336"</f>
        <v>39336</v>
      </c>
      <c r="C24052" s="1">
        <v>1.21675224490789E-4</v>
      </c>
      <c r="D24052" s="1">
        <v>0</v>
      </c>
      <c r="E24052" s="1">
        <v>0</v>
      </c>
      <c r="F24052" s="1">
        <v>1.11861828269721E-4</v>
      </c>
    </row>
    <row r="24053" spans="1:6" x14ac:dyDescent="0.25">
      <c r="A24053" s="2" t="str">
        <f t="shared" si="842"/>
        <v>29860</v>
      </c>
      <c r="B24053" s="2" t="str">
        <f>"39477"</f>
        <v>39477</v>
      </c>
      <c r="C24053" s="1">
        <v>0</v>
      </c>
      <c r="D24053" s="1">
        <v>3.2216494845360802E-4</v>
      </c>
      <c r="E24053" s="1">
        <v>0</v>
      </c>
      <c r="F24053" s="1">
        <v>2.2372365653944201E-5</v>
      </c>
    </row>
    <row r="24054" spans="1:6" x14ac:dyDescent="0.25">
      <c r="A24054" s="2" t="str">
        <f t="shared" si="842"/>
        <v>29860</v>
      </c>
      <c r="B24054" s="2" t="str">
        <f>"39437"</f>
        <v>39437</v>
      </c>
      <c r="C24054" s="1">
        <v>0.15219137079307901</v>
      </c>
      <c r="D24054" s="1">
        <v>0.13563144329896901</v>
      </c>
      <c r="E24054" s="1">
        <v>0.14371257485029901</v>
      </c>
      <c r="F24054" s="1">
        <v>0.15094635106716101</v>
      </c>
    </row>
    <row r="24055" spans="1:6" x14ac:dyDescent="0.25">
      <c r="A24055" s="2" t="str">
        <f t="shared" si="842"/>
        <v>29860</v>
      </c>
      <c r="B24055" s="2" t="str">
        <f>"39356"</f>
        <v>39356</v>
      </c>
      <c r="C24055" s="1">
        <v>1.0610079575596801E-2</v>
      </c>
      <c r="D24055" s="1">
        <v>2.89948453608247E-3</v>
      </c>
      <c r="E24055" s="1">
        <v>0</v>
      </c>
      <c r="F24055" s="1">
        <v>9.9557027160051895E-3</v>
      </c>
    </row>
    <row r="24056" spans="1:6" x14ac:dyDescent="0.25">
      <c r="A24056" s="2" t="str">
        <f t="shared" si="842"/>
        <v>29860</v>
      </c>
      <c r="B24056" s="2" t="str">
        <f>"39481"</f>
        <v>39481</v>
      </c>
      <c r="C24056" s="1">
        <v>2.2217895992018101E-2</v>
      </c>
      <c r="D24056" s="1">
        <v>3.5438144329896898E-3</v>
      </c>
      <c r="E24056" s="1">
        <v>0</v>
      </c>
      <c r="F24056" s="1">
        <v>2.0672065864244402E-2</v>
      </c>
    </row>
    <row r="24057" spans="1:6" x14ac:dyDescent="0.25">
      <c r="A24057" s="2" t="str">
        <f t="shared" si="842"/>
        <v>29860</v>
      </c>
      <c r="B24057" s="2" t="str">
        <f>"39401"</f>
        <v>39401</v>
      </c>
      <c r="C24057" s="1">
        <v>4.1612926775849903E-3</v>
      </c>
      <c r="D24057" s="1">
        <v>3.2216494845360802E-4</v>
      </c>
      <c r="E24057" s="1">
        <v>3.9920159680638702E-3</v>
      </c>
      <c r="F24057" s="1">
        <v>3.89279162378629E-3</v>
      </c>
    </row>
    <row r="24058" spans="1:6" x14ac:dyDescent="0.25">
      <c r="A24058" s="2" t="str">
        <f t="shared" si="842"/>
        <v>29860</v>
      </c>
      <c r="B24058" s="2" t="str">
        <f>"39332"</f>
        <v>39332</v>
      </c>
      <c r="C24058" s="1">
        <v>1.19241720000973E-3</v>
      </c>
      <c r="D24058" s="1">
        <v>0</v>
      </c>
      <c r="E24058" s="1">
        <v>0</v>
      </c>
      <c r="F24058" s="1">
        <v>1.0962459170432599E-3</v>
      </c>
    </row>
    <row r="24059" spans="1:6" x14ac:dyDescent="0.25">
      <c r="A24059" s="2" t="str">
        <f t="shared" si="842"/>
        <v>29860</v>
      </c>
      <c r="B24059" s="2" t="str">
        <f>"39330"</f>
        <v>39330</v>
      </c>
      <c r="C24059" s="1">
        <v>9.7340179592631296E-4</v>
      </c>
      <c r="D24059" s="1">
        <v>3.2216494845360802E-4</v>
      </c>
      <c r="E24059" s="1">
        <v>0</v>
      </c>
      <c r="F24059" s="1">
        <v>9.1726699181171405E-4</v>
      </c>
    </row>
    <row r="24060" spans="1:6" x14ac:dyDescent="0.25">
      <c r="A24060" s="2" t="str">
        <f t="shared" si="842"/>
        <v>29860</v>
      </c>
      <c r="B24060" s="2" t="str">
        <f>"39168"</f>
        <v>39168</v>
      </c>
      <c r="C24060" s="1">
        <v>1.7521232326673599E-2</v>
      </c>
      <c r="D24060" s="1">
        <v>3.5438144329896898E-3</v>
      </c>
      <c r="E24060" s="1">
        <v>0</v>
      </c>
      <c r="F24060" s="1">
        <v>1.6354199293033202E-2</v>
      </c>
    </row>
    <row r="24061" spans="1:6" x14ac:dyDescent="0.25">
      <c r="A24061" s="2" t="str">
        <f t="shared" si="842"/>
        <v>29860</v>
      </c>
      <c r="B24061" s="2" t="str">
        <f>"39347"</f>
        <v>39347</v>
      </c>
      <c r="C24061" s="1">
        <v>1.4844377387876201E-2</v>
      </c>
      <c r="D24061" s="1">
        <v>2.5773195876288599E-3</v>
      </c>
      <c r="E24061" s="1">
        <v>0</v>
      </c>
      <c r="F24061" s="1">
        <v>1.38261219741375E-2</v>
      </c>
    </row>
    <row r="24062" spans="1:6" x14ac:dyDescent="0.25">
      <c r="A24062" s="2" t="str">
        <f t="shared" si="842"/>
        <v>29860</v>
      </c>
      <c r="B24062" s="2" t="str">
        <f>"39476"</f>
        <v>39476</v>
      </c>
      <c r="C24062" s="1">
        <v>1.87379845715815E-3</v>
      </c>
      <c r="D24062" s="1">
        <v>3.2216494845360802E-4</v>
      </c>
      <c r="E24062" s="1">
        <v>0</v>
      </c>
      <c r="F24062" s="1">
        <v>1.7450445210076501E-3</v>
      </c>
    </row>
    <row r="24063" spans="1:6" x14ac:dyDescent="0.25">
      <c r="A24063" s="2" t="str">
        <f t="shared" si="842"/>
        <v>29860</v>
      </c>
      <c r="B24063" s="2" t="str">
        <f>"39366"</f>
        <v>39366</v>
      </c>
      <c r="C24063" s="1">
        <v>9.66101282456866E-3</v>
      </c>
      <c r="D24063" s="1">
        <v>3.2216494845360801E-3</v>
      </c>
      <c r="E24063" s="1">
        <v>1.9960079840319299E-3</v>
      </c>
      <c r="F24063" s="1">
        <v>9.1279251868092506E-3</v>
      </c>
    </row>
    <row r="24064" spans="1:6" x14ac:dyDescent="0.25">
      <c r="A24064" s="2" t="str">
        <f t="shared" si="842"/>
        <v>29860</v>
      </c>
      <c r="B24064" s="2" t="str">
        <f>"39465"</f>
        <v>39465</v>
      </c>
      <c r="C24064" s="1">
        <v>4.1369576326868301E-4</v>
      </c>
      <c r="D24064" s="1">
        <v>9.6649484536082402E-4</v>
      </c>
      <c r="E24064" s="1">
        <v>0</v>
      </c>
      <c r="F24064" s="1">
        <v>4.4744731307888401E-4</v>
      </c>
    </row>
    <row r="24065" spans="1:6" x14ac:dyDescent="0.25">
      <c r="A24065" s="2" t="str">
        <f t="shared" si="842"/>
        <v>29860</v>
      </c>
      <c r="B24065" s="2" t="str">
        <f>"39459"</f>
        <v>39459</v>
      </c>
      <c r="C24065" s="1">
        <v>4.38517509064804E-2</v>
      </c>
      <c r="D24065" s="1">
        <v>1.9974226804123699E-2</v>
      </c>
      <c r="E24065" s="1">
        <v>9.9800399201596807E-3</v>
      </c>
      <c r="F24065" s="1">
        <v>4.1813951407221703E-2</v>
      </c>
    </row>
    <row r="24066" spans="1:6" x14ac:dyDescent="0.25">
      <c r="A24066" s="2" t="str">
        <f t="shared" si="842"/>
        <v>29860</v>
      </c>
      <c r="B24066" s="2" t="str">
        <f>"39348"</f>
        <v>39348</v>
      </c>
      <c r="C24066" s="1">
        <v>7.9332246367994508E-3</v>
      </c>
      <c r="D24066" s="1">
        <v>1.2886597938144299E-3</v>
      </c>
      <c r="E24066" s="1">
        <v>0</v>
      </c>
      <c r="F24066" s="1">
        <v>7.3828806658016001E-3</v>
      </c>
    </row>
    <row r="24067" spans="1:6" x14ac:dyDescent="0.25">
      <c r="A24067" s="2" t="str">
        <f t="shared" si="842"/>
        <v>29860</v>
      </c>
      <c r="B24067" s="2" t="str">
        <f>"39338"</f>
        <v>39338</v>
      </c>
      <c r="C24067" s="1">
        <v>3.1951913951281198E-2</v>
      </c>
      <c r="D24067" s="1">
        <v>5.4768041237113398E-3</v>
      </c>
      <c r="E24067" s="1">
        <v>0</v>
      </c>
      <c r="F24067" s="1">
        <v>2.9755246319745798E-2</v>
      </c>
    </row>
    <row r="24068" spans="1:6" x14ac:dyDescent="0.25">
      <c r="A24068" s="2" t="str">
        <f t="shared" si="842"/>
        <v>29860</v>
      </c>
      <c r="B24068" s="2" t="str">
        <f>"39443"</f>
        <v>39443</v>
      </c>
      <c r="C24068" s="1">
        <v>0.27698148103083198</v>
      </c>
      <c r="D24068" s="1">
        <v>0.134342783505154</v>
      </c>
      <c r="E24068" s="1">
        <v>0.149700598802395</v>
      </c>
      <c r="F24068" s="1">
        <v>0.26564946977493398</v>
      </c>
    </row>
    <row r="24069" spans="1:6" x14ac:dyDescent="0.25">
      <c r="A24069" s="2" t="str">
        <f t="shared" si="842"/>
        <v>29860</v>
      </c>
      <c r="B24069" s="2" t="str">
        <f>"39439"</f>
        <v>39439</v>
      </c>
      <c r="C24069" s="1">
        <v>4.6260920351397998E-2</v>
      </c>
      <c r="D24069" s="1">
        <v>2.9317010309278298E-2</v>
      </c>
      <c r="E24069" s="1">
        <v>1.9960079840319299E-2</v>
      </c>
      <c r="F24069" s="1">
        <v>4.4789476039196301E-2</v>
      </c>
    </row>
    <row r="24070" spans="1:6" x14ac:dyDescent="0.25">
      <c r="A24070" s="2" t="str">
        <f t="shared" si="842"/>
        <v>29860</v>
      </c>
      <c r="B24070" s="2" t="str">
        <f>"39436"</f>
        <v>39436</v>
      </c>
      <c r="C24070" s="1">
        <v>0</v>
      </c>
      <c r="D24070" s="1">
        <v>3.2216494845360802E-4</v>
      </c>
      <c r="E24070" s="1">
        <v>0</v>
      </c>
      <c r="F24070" s="1">
        <v>2.2372365653944201E-5</v>
      </c>
    </row>
    <row r="24071" spans="1:6" x14ac:dyDescent="0.25">
      <c r="A24071" s="2" t="str">
        <f t="shared" si="842"/>
        <v>29860</v>
      </c>
      <c r="B24071" s="2" t="str">
        <f>"39422"</f>
        <v>39422</v>
      </c>
      <c r="C24071" s="1">
        <v>4.7721023045287497E-2</v>
      </c>
      <c r="D24071" s="1">
        <v>2.4806701030927799E-2</v>
      </c>
      <c r="E24071" s="1">
        <v>1.9960079840319299E-2</v>
      </c>
      <c r="F24071" s="1">
        <v>4.5818604859277801E-2</v>
      </c>
    </row>
    <row r="24072" spans="1:6" x14ac:dyDescent="0.25">
      <c r="A24072" s="2" t="str">
        <f t="shared" si="842"/>
        <v>29860</v>
      </c>
      <c r="B24072" s="2" t="str">
        <f>"39480"</f>
        <v>39480</v>
      </c>
      <c r="C24072" s="1">
        <v>3.4215073126809901E-2</v>
      </c>
      <c r="D24072" s="1">
        <v>1.03092783505154E-2</v>
      </c>
      <c r="E24072" s="1">
        <v>1.5968063872255401E-2</v>
      </c>
      <c r="F24072" s="1">
        <v>3.2350440735603302E-2</v>
      </c>
    </row>
    <row r="24073" spans="1:6" x14ac:dyDescent="0.25">
      <c r="A24073" s="2" t="str">
        <f t="shared" si="842"/>
        <v>29860</v>
      </c>
      <c r="B24073" s="2" t="str">
        <f>"39479"</f>
        <v>39479</v>
      </c>
      <c r="C24073" s="1">
        <v>1.0804759934782001E-2</v>
      </c>
      <c r="D24073" s="1">
        <v>2.89948453608247E-3</v>
      </c>
      <c r="E24073" s="1">
        <v>0</v>
      </c>
      <c r="F24073" s="1">
        <v>1.01346816412367E-2</v>
      </c>
    </row>
    <row r="24074" spans="1:6" x14ac:dyDescent="0.25">
      <c r="A24074" s="2" t="str">
        <f t="shared" si="842"/>
        <v>29860</v>
      </c>
      <c r="B24074" s="2" t="str">
        <f>"39460"</f>
        <v>39460</v>
      </c>
      <c r="C24074" s="1">
        <v>0</v>
      </c>
      <c r="D24074" s="1">
        <v>3.2216494845360802E-4</v>
      </c>
      <c r="E24074" s="1">
        <v>0</v>
      </c>
      <c r="F24074" s="1">
        <v>2.2372365653944201E-5</v>
      </c>
    </row>
    <row r="24075" spans="1:6" x14ac:dyDescent="0.25">
      <c r="A24075" s="2" t="str">
        <f t="shared" si="842"/>
        <v>29860</v>
      </c>
      <c r="B24075" s="2" t="str">
        <f>"39464"</f>
        <v>39464</v>
      </c>
      <c r="C24075" s="1">
        <v>2.76689460492054E-2</v>
      </c>
      <c r="D24075" s="1">
        <v>3.86597938144329E-3</v>
      </c>
      <c r="E24075" s="1">
        <v>0</v>
      </c>
      <c r="F24075" s="1">
        <v>2.5705848136381899E-2</v>
      </c>
    </row>
    <row r="24076" spans="1:6" x14ac:dyDescent="0.25">
      <c r="A24076" s="2" t="str">
        <f t="shared" si="842"/>
        <v>29860</v>
      </c>
      <c r="B24076" s="2" t="str">
        <f>"39440"</f>
        <v>39440</v>
      </c>
      <c r="C24076" s="1">
        <v>0.235976930377436</v>
      </c>
      <c r="D24076" s="1">
        <v>0.611791237113402</v>
      </c>
      <c r="E24076" s="1">
        <v>0.63473053892215503</v>
      </c>
      <c r="F24076" s="1">
        <v>0.26654436440109103</v>
      </c>
    </row>
    <row r="24077" spans="1:6" x14ac:dyDescent="0.25">
      <c r="A24077" s="2" t="str">
        <f t="shared" ref="A24077:A24090" si="843">"15020"</f>
        <v>15020</v>
      </c>
      <c r="B24077" s="2" t="str">
        <f>"39629"</f>
        <v>39629</v>
      </c>
      <c r="C24077" s="1">
        <v>0.169340891621829</v>
      </c>
      <c r="D24077" s="1">
        <v>5.59174809989142E-2</v>
      </c>
      <c r="E24077" s="1">
        <v>0.10300429184549301</v>
      </c>
      <c r="F24077" s="1">
        <v>0.159538683325324</v>
      </c>
    </row>
    <row r="24078" spans="1:6" x14ac:dyDescent="0.25">
      <c r="A24078" s="2" t="str">
        <f t="shared" si="843"/>
        <v>15020</v>
      </c>
      <c r="B24078" s="2" t="str">
        <f>"39601"</f>
        <v>39601</v>
      </c>
      <c r="C24078" s="1">
        <v>0.58041890853189804</v>
      </c>
      <c r="D24078" s="1">
        <v>0.71444082519000995</v>
      </c>
      <c r="E24078" s="1">
        <v>0.84549356223175898</v>
      </c>
      <c r="F24078" s="1">
        <v>0.59390153335371898</v>
      </c>
    </row>
    <row r="24079" spans="1:6" x14ac:dyDescent="0.25">
      <c r="A24079" s="2" t="str">
        <f t="shared" si="843"/>
        <v>15020</v>
      </c>
      <c r="B24079" s="2" t="str">
        <f>"39647"</f>
        <v>39647</v>
      </c>
      <c r="C24079" s="1">
        <v>2.4500384319754002E-3</v>
      </c>
      <c r="D24079" s="1">
        <v>0</v>
      </c>
      <c r="E24079" s="1">
        <v>0</v>
      </c>
      <c r="F24079" s="1">
        <v>2.2279498492857402E-3</v>
      </c>
    </row>
    <row r="24080" spans="1:6" x14ac:dyDescent="0.25">
      <c r="A24080" s="2" t="str">
        <f t="shared" si="843"/>
        <v>15020</v>
      </c>
      <c r="B24080" s="2" t="str">
        <f>"39662"</f>
        <v>39662</v>
      </c>
      <c r="C24080" s="1">
        <v>2.4500384319754001E-2</v>
      </c>
      <c r="D24080" s="1">
        <v>3.2573289902280101E-3</v>
      </c>
      <c r="E24080" s="1">
        <v>0</v>
      </c>
      <c r="F24080" s="1">
        <v>2.2541610239832199E-2</v>
      </c>
    </row>
    <row r="24081" spans="1:6" x14ac:dyDescent="0.25">
      <c r="A24081" s="2" t="str">
        <f t="shared" si="843"/>
        <v>15020</v>
      </c>
      <c r="B24081" s="2" t="str">
        <f>"39668"</f>
        <v>39668</v>
      </c>
      <c r="C24081" s="1">
        <v>4.8039969254419597E-3</v>
      </c>
      <c r="D24081" s="1">
        <v>5.4288816503800198E-4</v>
      </c>
      <c r="E24081" s="1">
        <v>0</v>
      </c>
      <c r="F24081" s="1">
        <v>4.41221440740902E-3</v>
      </c>
    </row>
    <row r="24082" spans="1:6" x14ac:dyDescent="0.25">
      <c r="A24082" s="2" t="str">
        <f t="shared" si="843"/>
        <v>15020</v>
      </c>
      <c r="B24082" s="2" t="str">
        <f>"39641"</f>
        <v>39641</v>
      </c>
      <c r="C24082" s="1">
        <v>2.0176787086856199E-3</v>
      </c>
      <c r="D24082" s="1">
        <v>0</v>
      </c>
      <c r="E24082" s="1">
        <v>0</v>
      </c>
      <c r="F24082" s="1">
        <v>1.83478222882355E-3</v>
      </c>
    </row>
    <row r="24083" spans="1:6" x14ac:dyDescent="0.25">
      <c r="A24083" s="2" t="str">
        <f t="shared" si="843"/>
        <v>15020</v>
      </c>
      <c r="B24083" s="2" t="str">
        <f>"39665"</f>
        <v>39665</v>
      </c>
      <c r="C24083" s="1">
        <v>6.1010760953112897E-3</v>
      </c>
      <c r="D24083" s="1">
        <v>0</v>
      </c>
      <c r="E24083" s="1">
        <v>0</v>
      </c>
      <c r="F24083" s="1">
        <v>5.54803197763313E-3</v>
      </c>
    </row>
    <row r="24084" spans="1:6" x14ac:dyDescent="0.25">
      <c r="A24084" s="2" t="str">
        <f t="shared" si="843"/>
        <v>15020</v>
      </c>
      <c r="B24084" s="2" t="str">
        <f>"39664"</f>
        <v>39664</v>
      </c>
      <c r="C24084" s="1">
        <v>8.3109146810145997E-3</v>
      </c>
      <c r="D24084" s="1">
        <v>0</v>
      </c>
      <c r="E24084" s="1">
        <v>0</v>
      </c>
      <c r="F24084" s="1">
        <v>7.5575553711065401E-3</v>
      </c>
    </row>
    <row r="24085" spans="1:6" x14ac:dyDescent="0.25">
      <c r="A24085" s="2" t="str">
        <f t="shared" si="843"/>
        <v>15020</v>
      </c>
      <c r="B24085" s="2" t="str">
        <f>"39603"</f>
        <v>39603</v>
      </c>
      <c r="C24085" s="1">
        <v>7.3308993082244395E-2</v>
      </c>
      <c r="D24085" s="1">
        <v>7.8175895765472306E-2</v>
      </c>
      <c r="E24085" s="1">
        <v>8.58369098712446E-3</v>
      </c>
      <c r="F24085" s="1">
        <v>7.3041806823642405E-2</v>
      </c>
    </row>
    <row r="24086" spans="1:6" x14ac:dyDescent="0.25">
      <c r="A24086" s="2" t="str">
        <f t="shared" si="843"/>
        <v>15020</v>
      </c>
      <c r="B24086" s="2" t="str">
        <f>"39602"</f>
        <v>39602</v>
      </c>
      <c r="C24086" s="1">
        <v>3.8816295157570999E-2</v>
      </c>
      <c r="D24086" s="1">
        <v>0.13572204125949999</v>
      </c>
      <c r="E24086" s="1">
        <v>8.58369098712446E-3</v>
      </c>
      <c r="F24086" s="1">
        <v>4.6306408632213497E-2</v>
      </c>
    </row>
    <row r="24087" spans="1:6" x14ac:dyDescent="0.25">
      <c r="A24087" s="2" t="str">
        <f t="shared" si="843"/>
        <v>15020</v>
      </c>
      <c r="B24087" s="2" t="str">
        <f>"39191"</f>
        <v>39191</v>
      </c>
      <c r="C24087" s="1">
        <v>7.2204073789392698E-2</v>
      </c>
      <c r="D24087" s="1">
        <v>8.1433224755700293E-3</v>
      </c>
      <c r="E24087" s="1">
        <v>3.4334763948497798E-2</v>
      </c>
      <c r="F24087" s="1">
        <v>6.6663754313922505E-2</v>
      </c>
    </row>
    <row r="24088" spans="1:6" x14ac:dyDescent="0.25">
      <c r="A24088" s="2" t="str">
        <f t="shared" si="843"/>
        <v>15020</v>
      </c>
      <c r="B24088" s="2" t="str">
        <f>"39666"</f>
        <v>39666</v>
      </c>
      <c r="C24088" s="1">
        <v>1.5661029976940799E-2</v>
      </c>
      <c r="D24088" s="1">
        <v>3.2573289902280101E-3</v>
      </c>
      <c r="E24088" s="1">
        <v>0</v>
      </c>
      <c r="F24088" s="1">
        <v>1.45035166659385E-2</v>
      </c>
    </row>
    <row r="24089" spans="1:6" x14ac:dyDescent="0.25">
      <c r="A24089" s="2" t="str">
        <f t="shared" si="843"/>
        <v>15020</v>
      </c>
      <c r="B24089" s="2" t="str">
        <f>"39083"</f>
        <v>39083</v>
      </c>
      <c r="C24089" s="1">
        <v>5.2843966179861603E-4</v>
      </c>
      <c r="D24089" s="1">
        <v>0</v>
      </c>
      <c r="E24089" s="1">
        <v>0</v>
      </c>
      <c r="F24089" s="1">
        <v>4.80538202787121E-4</v>
      </c>
    </row>
    <row r="24090" spans="1:6" x14ac:dyDescent="0.25">
      <c r="A24090" s="2" t="str">
        <f t="shared" si="843"/>
        <v>15020</v>
      </c>
      <c r="B24090" s="2" t="str">
        <f>"39654"</f>
        <v>39654</v>
      </c>
      <c r="C24090" s="1">
        <v>1.5372790161414199E-3</v>
      </c>
      <c r="D24090" s="1">
        <v>5.4288816503800198E-4</v>
      </c>
      <c r="E24090" s="1">
        <v>0</v>
      </c>
      <c r="F24090" s="1">
        <v>1.4416146083613599E-3</v>
      </c>
    </row>
    <row r="24091" spans="1:6" x14ac:dyDescent="0.25">
      <c r="A24091" s="2" t="str">
        <f t="shared" ref="A24091:A24103" si="844">"12680"</f>
        <v>12680</v>
      </c>
      <c r="B24091" s="2" t="str">
        <f>"40071"</f>
        <v>40071</v>
      </c>
      <c r="C24091" s="1">
        <v>5.3580126643935704E-4</v>
      </c>
      <c r="D24091" s="1">
        <v>0</v>
      </c>
      <c r="E24091" s="1">
        <v>0</v>
      </c>
      <c r="F24091" s="1">
        <v>4.86230827034433E-4</v>
      </c>
    </row>
    <row r="24092" spans="1:6" x14ac:dyDescent="0.25">
      <c r="A24092" s="2" t="str">
        <f t="shared" si="844"/>
        <v>12680</v>
      </c>
      <c r="B24092" s="2" t="str">
        <f>"40069"</f>
        <v>40069</v>
      </c>
      <c r="C24092" s="1">
        <v>1.9483682415976601E-3</v>
      </c>
      <c r="D24092" s="1">
        <v>0</v>
      </c>
      <c r="E24092" s="1">
        <v>2.3724792408066401E-3</v>
      </c>
      <c r="F24092" s="1">
        <v>1.8565177032223801E-3</v>
      </c>
    </row>
    <row r="24093" spans="1:6" x14ac:dyDescent="0.25">
      <c r="A24093" s="2" t="str">
        <f t="shared" si="844"/>
        <v>12680</v>
      </c>
      <c r="B24093" s="2" t="str">
        <f>"40012"</f>
        <v>40012</v>
      </c>
      <c r="C24093" s="1">
        <v>1.10082805650267E-2</v>
      </c>
      <c r="D24093" s="1">
        <v>1.2E-2</v>
      </c>
      <c r="E24093" s="1">
        <v>9.4899169632265707E-3</v>
      </c>
      <c r="F24093" s="1">
        <v>1.10064978119612E-2</v>
      </c>
    </row>
    <row r="24094" spans="1:6" x14ac:dyDescent="0.25">
      <c r="A24094" s="2" t="str">
        <f t="shared" si="844"/>
        <v>12680</v>
      </c>
      <c r="B24094" s="2" t="str">
        <f>"40051"</f>
        <v>40051</v>
      </c>
      <c r="C24094" s="1">
        <v>7.7545056015586894E-2</v>
      </c>
      <c r="D24094" s="1">
        <v>4.48E-2</v>
      </c>
      <c r="E24094" s="1">
        <v>5.9311981020166001E-2</v>
      </c>
      <c r="F24094" s="1">
        <v>7.5056358573133503E-2</v>
      </c>
    </row>
    <row r="24095" spans="1:6" x14ac:dyDescent="0.25">
      <c r="A24095" s="2" t="str">
        <f t="shared" si="844"/>
        <v>12680</v>
      </c>
      <c r="B24095" s="2" t="str">
        <f>"40004"</f>
        <v>40004</v>
      </c>
      <c r="C24095" s="1">
        <v>0.64763760350706201</v>
      </c>
      <c r="D24095" s="1">
        <v>0.87680000000000002</v>
      </c>
      <c r="E24095" s="1">
        <v>0.75682087781731899</v>
      </c>
      <c r="F24095" s="1">
        <v>0.66436812093886699</v>
      </c>
    </row>
    <row r="24096" spans="1:6" x14ac:dyDescent="0.25">
      <c r="A24096" s="2" t="str">
        <f t="shared" si="844"/>
        <v>12680</v>
      </c>
      <c r="B24096" s="2" t="str">
        <f>"40048"</f>
        <v>40048</v>
      </c>
      <c r="C24096" s="1">
        <v>0</v>
      </c>
      <c r="D24096" s="1">
        <v>0</v>
      </c>
      <c r="E24096" s="1">
        <v>1.18623962040332E-3</v>
      </c>
      <c r="F24096" s="1">
        <v>4.4202802457675803E-5</v>
      </c>
    </row>
    <row r="24097" spans="1:6" x14ac:dyDescent="0.25">
      <c r="A24097" s="2" t="str">
        <f t="shared" si="844"/>
        <v>12680</v>
      </c>
      <c r="B24097" s="2" t="str">
        <f>"40013"</f>
        <v>40013</v>
      </c>
      <c r="C24097" s="1">
        <v>0.121285923039454</v>
      </c>
      <c r="D24097" s="1">
        <v>2.64E-2</v>
      </c>
      <c r="E24097" s="1">
        <v>1.54211150652431E-2</v>
      </c>
      <c r="F24097" s="1">
        <v>0.112098307032665</v>
      </c>
    </row>
    <row r="24098" spans="1:6" x14ac:dyDescent="0.25">
      <c r="A24098" s="2" t="str">
        <f t="shared" si="844"/>
        <v>12680</v>
      </c>
      <c r="B24098" s="2" t="str">
        <f>"40008"</f>
        <v>40008</v>
      </c>
      <c r="C24098" s="1">
        <v>7.5450560155869401E-2</v>
      </c>
      <c r="D24098" s="1">
        <v>0.02</v>
      </c>
      <c r="E24098" s="1">
        <v>8.7781731909845701E-2</v>
      </c>
      <c r="F24098" s="1">
        <v>7.2846218450249703E-2</v>
      </c>
    </row>
    <row r="24099" spans="1:6" x14ac:dyDescent="0.25">
      <c r="A24099" s="2" t="str">
        <f t="shared" si="844"/>
        <v>12680</v>
      </c>
      <c r="B24099" s="2" t="str">
        <f>"42748"</f>
        <v>42748</v>
      </c>
      <c r="C24099" s="1">
        <v>9.7418412079883001E-5</v>
      </c>
      <c r="D24099" s="1">
        <v>0</v>
      </c>
      <c r="E24099" s="1">
        <v>0</v>
      </c>
      <c r="F24099" s="1">
        <v>8.8405604915351606E-5</v>
      </c>
    </row>
    <row r="24100" spans="1:6" x14ac:dyDescent="0.25">
      <c r="A24100" s="2" t="str">
        <f t="shared" si="844"/>
        <v>12680</v>
      </c>
      <c r="B24100" s="2" t="str">
        <f>"40107"</f>
        <v>40107</v>
      </c>
      <c r="C24100" s="1">
        <v>5.0219191427179698E-2</v>
      </c>
      <c r="D24100" s="1">
        <v>1.44E-2</v>
      </c>
      <c r="E24100" s="1">
        <v>5.4567022538552702E-2</v>
      </c>
      <c r="F24100" s="1">
        <v>4.8402068691155001E-2</v>
      </c>
    </row>
    <row r="24101" spans="1:6" x14ac:dyDescent="0.25">
      <c r="A24101" s="2" t="str">
        <f t="shared" si="844"/>
        <v>12680</v>
      </c>
      <c r="B24101" s="2" t="str">
        <f>"40052"</f>
        <v>40052</v>
      </c>
      <c r="C24101" s="1">
        <v>1.03263516804676E-2</v>
      </c>
      <c r="D24101" s="1">
        <v>5.5999999999999999E-3</v>
      </c>
      <c r="E24101" s="1">
        <v>7.1174377224199198E-3</v>
      </c>
      <c r="F24101" s="1">
        <v>9.94563055297705E-3</v>
      </c>
    </row>
    <row r="24102" spans="1:6" x14ac:dyDescent="0.25">
      <c r="A24102" s="2" t="str">
        <f t="shared" si="844"/>
        <v>12680</v>
      </c>
      <c r="B24102" s="2" t="str">
        <f>"40020"</f>
        <v>40020</v>
      </c>
      <c r="C24102" s="1">
        <v>0</v>
      </c>
      <c r="D24102" s="1">
        <v>0</v>
      </c>
      <c r="E24102" s="1">
        <v>1.18623962040332E-3</v>
      </c>
      <c r="F24102" s="1">
        <v>4.4202802457675803E-5</v>
      </c>
    </row>
    <row r="24103" spans="1:6" x14ac:dyDescent="0.25">
      <c r="A24103" s="2" t="str">
        <f t="shared" si="844"/>
        <v>12680</v>
      </c>
      <c r="B24103" s="2" t="str">
        <f>"40037"</f>
        <v>40037</v>
      </c>
      <c r="C24103" s="1">
        <v>3.9454456892352597E-3</v>
      </c>
      <c r="D24103" s="1">
        <v>0</v>
      </c>
      <c r="E24103" s="1">
        <v>4.7449584816132801E-3</v>
      </c>
      <c r="F24103" s="1">
        <v>3.75723820890244E-3</v>
      </c>
    </row>
    <row r="24104" spans="1:6" x14ac:dyDescent="0.25">
      <c r="A24104" s="2" t="str">
        <f t="shared" ref="A24104:A24167" si="845">"17140"</f>
        <v>17140</v>
      </c>
      <c r="B24104" s="2" t="str">
        <f>"47016"</f>
        <v>47016</v>
      </c>
      <c r="C24104" s="1">
        <v>3.4006388550601198E-4</v>
      </c>
      <c r="D24104" s="1">
        <v>4.7750931143157203E-5</v>
      </c>
      <c r="E24104" s="1">
        <v>0</v>
      </c>
      <c r="F24104" s="1">
        <v>3.0090840432935099E-4</v>
      </c>
    </row>
    <row r="24105" spans="1:6" x14ac:dyDescent="0.25">
      <c r="A24105" s="2" t="str">
        <f t="shared" si="845"/>
        <v>17140</v>
      </c>
      <c r="B24105" s="2" t="str">
        <f>"47012"</f>
        <v>47012</v>
      </c>
      <c r="C24105" s="1">
        <v>4.5923157187991301E-3</v>
      </c>
      <c r="D24105" s="1">
        <v>4.1423932766688903E-3</v>
      </c>
      <c r="E24105" s="1">
        <v>1.92687282639345E-3</v>
      </c>
      <c r="F24105" s="1">
        <v>4.4161486945237197E-3</v>
      </c>
    </row>
    <row r="24106" spans="1:6" x14ac:dyDescent="0.25">
      <c r="A24106" s="2" t="str">
        <f t="shared" si="845"/>
        <v>17140</v>
      </c>
      <c r="B24106" s="2" t="str">
        <f>"47060"</f>
        <v>47060</v>
      </c>
      <c r="C24106" s="1">
        <v>3.0005067048778302E-3</v>
      </c>
      <c r="D24106" s="1">
        <v>1.9219749785120801E-3</v>
      </c>
      <c r="E24106" s="1">
        <v>1.5352320080208E-3</v>
      </c>
      <c r="F24106" s="1">
        <v>2.8446439575473301E-3</v>
      </c>
    </row>
    <row r="24107" spans="1:6" x14ac:dyDescent="0.25">
      <c r="A24107" s="2" t="str">
        <f t="shared" si="845"/>
        <v>17140</v>
      </c>
      <c r="B24107" s="2" t="str">
        <f>"45262"</f>
        <v>45262</v>
      </c>
      <c r="C24107" s="1">
        <v>1.00081479694504E-3</v>
      </c>
      <c r="D24107" s="1">
        <v>2.5666125489446998E-3</v>
      </c>
      <c r="E24107" s="1">
        <v>1.5665632734906099E-5</v>
      </c>
      <c r="F24107" s="1">
        <v>1.05868900565453E-3</v>
      </c>
    </row>
    <row r="24108" spans="1:6" x14ac:dyDescent="0.25">
      <c r="A24108" s="2" t="str">
        <f t="shared" si="845"/>
        <v>17140</v>
      </c>
      <c r="B24108" s="2" t="str">
        <f>"45246"</f>
        <v>45246</v>
      </c>
      <c r="C24108" s="1">
        <v>7.54341143176584E-3</v>
      </c>
      <c r="D24108" s="1">
        <v>2.7647789131888E-2</v>
      </c>
      <c r="E24108" s="1">
        <v>1.0401980135977601E-2</v>
      </c>
      <c r="F24108" s="1">
        <v>9.1255771296050604E-3</v>
      </c>
    </row>
    <row r="24109" spans="1:6" x14ac:dyDescent="0.25">
      <c r="A24109" s="2" t="str">
        <f t="shared" si="845"/>
        <v>17140</v>
      </c>
      <c r="B24109" s="2" t="str">
        <f>"45247"</f>
        <v>45247</v>
      </c>
      <c r="C24109" s="1">
        <v>1.01011568954008E-2</v>
      </c>
      <c r="D24109" s="1">
        <v>6.4105625059688604E-3</v>
      </c>
      <c r="E24109" s="1">
        <v>1.0762289688880501E-2</v>
      </c>
      <c r="F24109" s="1">
        <v>9.8748814378505408E-3</v>
      </c>
    </row>
    <row r="24110" spans="1:6" x14ac:dyDescent="0.25">
      <c r="A24110" s="2" t="str">
        <f t="shared" si="845"/>
        <v>17140</v>
      </c>
      <c r="B24110" s="2" t="str">
        <f>"45162"</f>
        <v>45162</v>
      </c>
      <c r="C24110" s="1">
        <v>1.00953438375289E-3</v>
      </c>
      <c r="D24110" s="1">
        <v>2.9844331964473301E-4</v>
      </c>
      <c r="E24110" s="1">
        <v>6.2662530939624599E-5</v>
      </c>
      <c r="F24110" s="1">
        <v>9.0781098883587397E-4</v>
      </c>
    </row>
    <row r="24111" spans="1:6" x14ac:dyDescent="0.25">
      <c r="A24111" s="2" t="str">
        <f t="shared" si="845"/>
        <v>17140</v>
      </c>
      <c r="B24111" s="2" t="str">
        <f>"45144"</f>
        <v>45144</v>
      </c>
      <c r="C24111" s="1">
        <v>6.2005950633574802E-5</v>
      </c>
      <c r="D24111" s="1">
        <v>3.5813198357367902E-5</v>
      </c>
      <c r="E24111" s="1">
        <v>9.3993796409436899E-5</v>
      </c>
      <c r="F24111" s="1">
        <v>6.1876939481810206E-5</v>
      </c>
    </row>
    <row r="24112" spans="1:6" x14ac:dyDescent="0.25">
      <c r="A24112" s="2" t="str">
        <f t="shared" si="845"/>
        <v>17140</v>
      </c>
      <c r="B24112" s="2" t="str">
        <f>"45234"</f>
        <v>45234</v>
      </c>
      <c r="C24112" s="1">
        <v>0</v>
      </c>
      <c r="D24112" s="1">
        <v>5.9688663928946599E-5</v>
      </c>
      <c r="E24112" s="1">
        <v>6.2662530939624599E-5</v>
      </c>
      <c r="F24112" s="1">
        <v>7.6286637717300301E-6</v>
      </c>
    </row>
    <row r="24113" spans="1:6" x14ac:dyDescent="0.25">
      <c r="A24113" s="2" t="str">
        <f t="shared" si="845"/>
        <v>17140</v>
      </c>
      <c r="B24113" s="2" t="str">
        <f>"45236"</f>
        <v>45236</v>
      </c>
      <c r="C24113" s="1">
        <v>1.2419598143309301E-2</v>
      </c>
      <c r="D24113" s="1">
        <v>1.8610925413045501E-2</v>
      </c>
      <c r="E24113" s="1">
        <v>1.5916282858664602E-2</v>
      </c>
      <c r="F24113" s="1">
        <v>1.30484055668902E-2</v>
      </c>
    </row>
    <row r="24114" spans="1:6" x14ac:dyDescent="0.25">
      <c r="A24114" s="2" t="str">
        <f t="shared" si="845"/>
        <v>17140</v>
      </c>
      <c r="B24114" s="2" t="str">
        <f>"45119"</f>
        <v>45119</v>
      </c>
      <c r="C24114" s="1">
        <v>0</v>
      </c>
      <c r="D24114" s="1">
        <v>0</v>
      </c>
      <c r="E24114" s="1">
        <v>1.5665632734906099E-5</v>
      </c>
      <c r="F24114" s="1">
        <v>8.4762930797000397E-7</v>
      </c>
    </row>
    <row r="24115" spans="1:6" x14ac:dyDescent="0.25">
      <c r="A24115" s="2" t="str">
        <f t="shared" si="845"/>
        <v>17140</v>
      </c>
      <c r="B24115" s="2" t="str">
        <f>"45130"</f>
        <v>45130</v>
      </c>
      <c r="C24115" s="1">
        <v>1.56661909647641E-3</v>
      </c>
      <c r="D24115" s="1">
        <v>3.2231878521631101E-4</v>
      </c>
      <c r="E24115" s="1">
        <v>2.0365322555378001E-4</v>
      </c>
      <c r="F24115" s="1">
        <v>1.4045217633062901E-3</v>
      </c>
    </row>
    <row r="24116" spans="1:6" x14ac:dyDescent="0.25">
      <c r="A24116" s="2" t="str">
        <f t="shared" si="845"/>
        <v>17140</v>
      </c>
      <c r="B24116" s="2" t="str">
        <f>"45120"</f>
        <v>45120</v>
      </c>
      <c r="C24116" s="1">
        <v>1.22946173990635E-3</v>
      </c>
      <c r="D24116" s="1">
        <v>1.5519052621526099E-4</v>
      </c>
      <c r="E24116" s="1">
        <v>4.5430334931227797E-4</v>
      </c>
      <c r="F24116" s="1">
        <v>1.1112420227486701E-3</v>
      </c>
    </row>
    <row r="24117" spans="1:6" x14ac:dyDescent="0.25">
      <c r="A24117" s="2" t="str">
        <f t="shared" si="845"/>
        <v>17140</v>
      </c>
      <c r="B24117" s="2" t="str">
        <f>"45113"</f>
        <v>45113</v>
      </c>
      <c r="C24117" s="1">
        <v>5.6967967144596905E-4</v>
      </c>
      <c r="D24117" s="1">
        <v>7.1626396714735899E-5</v>
      </c>
      <c r="E24117" s="1">
        <v>1.5665632734906099E-5</v>
      </c>
      <c r="F24117" s="1">
        <v>5.0433943824215201E-4</v>
      </c>
    </row>
    <row r="24118" spans="1:6" x14ac:dyDescent="0.25">
      <c r="A24118" s="2" t="str">
        <f t="shared" si="845"/>
        <v>17140</v>
      </c>
      <c r="B24118" s="2" t="str">
        <f>"45211"</f>
        <v>45211</v>
      </c>
      <c r="C24118" s="1">
        <v>1.84428949415739E-2</v>
      </c>
      <c r="D24118" s="1">
        <v>1.4026836023302401E-2</v>
      </c>
      <c r="E24118" s="1">
        <v>3.1628912491775497E-2</v>
      </c>
      <c r="F24118" s="1">
        <v>1.8842799516173101E-2</v>
      </c>
    </row>
    <row r="24119" spans="1:6" x14ac:dyDescent="0.25">
      <c r="A24119" s="2" t="str">
        <f t="shared" si="845"/>
        <v>17140</v>
      </c>
      <c r="B24119" s="2" t="str">
        <f>"45207"</f>
        <v>45207</v>
      </c>
      <c r="C24119" s="1">
        <v>3.88602918736357E-3</v>
      </c>
      <c r="D24119" s="1">
        <v>3.8081367586667901E-3</v>
      </c>
      <c r="E24119" s="1">
        <v>5.2636525989284699E-3</v>
      </c>
      <c r="F24119" s="1">
        <v>3.9550383509880296E-3</v>
      </c>
    </row>
    <row r="24120" spans="1:6" x14ac:dyDescent="0.25">
      <c r="A24120" s="2" t="str">
        <f t="shared" si="845"/>
        <v>17140</v>
      </c>
      <c r="B24120" s="2" t="str">
        <f>"45202"</f>
        <v>45202</v>
      </c>
      <c r="C24120" s="1">
        <v>1.2161885910988501E-2</v>
      </c>
      <c r="D24120" s="1">
        <v>5.3361665552478198E-2</v>
      </c>
      <c r="E24120" s="1">
        <v>4.4631387661747603E-2</v>
      </c>
      <c r="F24120" s="1">
        <v>1.6844089607979899E-2</v>
      </c>
    </row>
    <row r="24121" spans="1:6" x14ac:dyDescent="0.25">
      <c r="A24121" s="2" t="str">
        <f t="shared" si="845"/>
        <v>17140</v>
      </c>
      <c r="B24121" s="2" t="str">
        <f>"45067"</f>
        <v>45067</v>
      </c>
      <c r="C24121" s="1">
        <v>5.4526482838399802E-3</v>
      </c>
      <c r="D24121" s="1">
        <v>2.10104097029892E-3</v>
      </c>
      <c r="E24121" s="1">
        <v>5.3733120280728096E-3</v>
      </c>
      <c r="F24121" s="1">
        <v>5.2103773560916097E-3</v>
      </c>
    </row>
    <row r="24122" spans="1:6" x14ac:dyDescent="0.25">
      <c r="A24122" s="2" t="str">
        <f t="shared" si="845"/>
        <v>17140</v>
      </c>
      <c r="B24122" s="2" t="str">
        <f>"45055"</f>
        <v>45055</v>
      </c>
      <c r="C24122" s="1">
        <v>3.0034132338137801E-5</v>
      </c>
      <c r="D24122" s="1">
        <v>0</v>
      </c>
      <c r="E24122" s="1">
        <v>1.5665632734906099E-5</v>
      </c>
      <c r="F24122" s="1">
        <v>2.71241378550401E-5</v>
      </c>
    </row>
    <row r="24123" spans="1:6" x14ac:dyDescent="0.25">
      <c r="A24123" s="2" t="str">
        <f t="shared" si="845"/>
        <v>17140</v>
      </c>
      <c r="B24123" s="2" t="str">
        <f>"45063"</f>
        <v>45063</v>
      </c>
      <c r="C24123" s="1">
        <v>0</v>
      </c>
      <c r="D24123" s="1">
        <v>0</v>
      </c>
      <c r="E24123" s="1">
        <v>1.5665632734906099E-5</v>
      </c>
      <c r="F24123" s="1">
        <v>8.4762930797000397E-7</v>
      </c>
    </row>
    <row r="24124" spans="1:6" x14ac:dyDescent="0.25">
      <c r="A24124" s="2" t="str">
        <f t="shared" si="845"/>
        <v>17140</v>
      </c>
      <c r="B24124" s="2" t="str">
        <f>"45053"</f>
        <v>45053</v>
      </c>
      <c r="C24124" s="1">
        <v>1.23721248373554E-3</v>
      </c>
      <c r="D24124" s="1">
        <v>2.1487919014420701E-4</v>
      </c>
      <c r="E24124" s="1">
        <v>1.09659429144343E-4</v>
      </c>
      <c r="F24124" s="1">
        <v>1.10361335897694E-3</v>
      </c>
    </row>
    <row r="24125" spans="1:6" x14ac:dyDescent="0.25">
      <c r="A24125" s="2" t="str">
        <f t="shared" si="845"/>
        <v>17140</v>
      </c>
      <c r="B24125" s="2" t="str">
        <f>"45041"</f>
        <v>45041</v>
      </c>
      <c r="C24125" s="1">
        <v>6.0358917569870501E-4</v>
      </c>
      <c r="D24125" s="1">
        <v>2.93668226530417E-3</v>
      </c>
      <c r="E24125" s="1">
        <v>3.13312654698123E-5</v>
      </c>
      <c r="F24125" s="1">
        <v>7.3828512724187305E-4</v>
      </c>
    </row>
    <row r="24126" spans="1:6" x14ac:dyDescent="0.25">
      <c r="A24126" s="2" t="str">
        <f t="shared" si="845"/>
        <v>17140</v>
      </c>
      <c r="B24126" s="2" t="str">
        <f>"45002"</f>
        <v>45002</v>
      </c>
      <c r="C24126" s="1">
        <v>5.9516024178445301E-3</v>
      </c>
      <c r="D24126" s="1">
        <v>3.8917008881673102E-3</v>
      </c>
      <c r="E24126" s="1">
        <v>4.0730645110755997E-3</v>
      </c>
      <c r="F24126" s="1">
        <v>5.7036976133301503E-3</v>
      </c>
    </row>
    <row r="24127" spans="1:6" x14ac:dyDescent="0.25">
      <c r="A24127" s="2" t="str">
        <f t="shared" si="845"/>
        <v>17140</v>
      </c>
      <c r="B24127" s="2" t="str">
        <f>"45030"</f>
        <v>45030</v>
      </c>
      <c r="C24127" s="1">
        <v>8.6672692869993791E-3</v>
      </c>
      <c r="D24127" s="1">
        <v>7.3775188616178001E-3</v>
      </c>
      <c r="E24127" s="1">
        <v>7.2688535889964502E-3</v>
      </c>
      <c r="F24127" s="1">
        <v>8.5000267003231995E-3</v>
      </c>
    </row>
    <row r="24128" spans="1:6" x14ac:dyDescent="0.25">
      <c r="A24128" s="2" t="str">
        <f t="shared" si="845"/>
        <v>17140</v>
      </c>
      <c r="B24128" s="2" t="str">
        <f>"41095"</f>
        <v>41095</v>
      </c>
      <c r="C24128" s="1">
        <v>1.64218884881108E-3</v>
      </c>
      <c r="D24128" s="1">
        <v>7.1626396714735902E-4</v>
      </c>
      <c r="E24128" s="1">
        <v>5.6396277845662099E-4</v>
      </c>
      <c r="F24128" s="1">
        <v>1.51810409057427E-3</v>
      </c>
    </row>
    <row r="24129" spans="1:6" x14ac:dyDescent="0.25">
      <c r="A24129" s="2" t="str">
        <f t="shared" si="845"/>
        <v>17140</v>
      </c>
      <c r="B24129" s="2" t="str">
        <f>"41080"</f>
        <v>41080</v>
      </c>
      <c r="C24129" s="1">
        <v>5.6483545655272105E-4</v>
      </c>
      <c r="D24129" s="1">
        <v>1.5519052621526099E-4</v>
      </c>
      <c r="E24129" s="1">
        <v>1.5665632734906099E-5</v>
      </c>
      <c r="F24129" s="1">
        <v>5.06034696858092E-4</v>
      </c>
    </row>
    <row r="24130" spans="1:6" x14ac:dyDescent="0.25">
      <c r="A24130" s="2" t="str">
        <f t="shared" si="845"/>
        <v>17140</v>
      </c>
      <c r="B24130" s="2" t="str">
        <f>"41033"</f>
        <v>41033</v>
      </c>
      <c r="C24130" s="1">
        <v>9.8725099524394895E-4</v>
      </c>
      <c r="D24130" s="1">
        <v>1.6712825900104999E-4</v>
      </c>
      <c r="E24130" s="1">
        <v>1.5665632734906099E-5</v>
      </c>
      <c r="F24130" s="1">
        <v>8.76448704440984E-4</v>
      </c>
    </row>
    <row r="24131" spans="1:6" x14ac:dyDescent="0.25">
      <c r="A24131" s="2" t="str">
        <f t="shared" si="845"/>
        <v>17140</v>
      </c>
      <c r="B24131" s="2" t="str">
        <f>"41043"</f>
        <v>41043</v>
      </c>
      <c r="C24131" s="1">
        <v>8.6808330887004799E-4</v>
      </c>
      <c r="D24131" s="1">
        <v>2.2681692292999701E-4</v>
      </c>
      <c r="E24131" s="1">
        <v>3.13312654698123E-5</v>
      </c>
      <c r="F24131" s="1">
        <v>7.7727607540849296E-4</v>
      </c>
    </row>
    <row r="24132" spans="1:6" x14ac:dyDescent="0.25">
      <c r="A24132" s="2" t="str">
        <f t="shared" si="845"/>
        <v>17140</v>
      </c>
      <c r="B24132" s="2" t="str">
        <f>"41025"</f>
        <v>41025</v>
      </c>
      <c r="C24132" s="1">
        <v>0</v>
      </c>
      <c r="D24132" s="1">
        <v>2.3875465571578602E-5</v>
      </c>
      <c r="E24132" s="1">
        <v>3.13312654698123E-5</v>
      </c>
      <c r="F24132" s="1">
        <v>3.39051723188001E-6</v>
      </c>
    </row>
    <row r="24133" spans="1:6" x14ac:dyDescent="0.25">
      <c r="A24133" s="2" t="str">
        <f t="shared" si="845"/>
        <v>17140</v>
      </c>
      <c r="B24133" s="2" t="str">
        <f>"41006"</f>
        <v>41006</v>
      </c>
      <c r="C24133" s="1">
        <v>1.8834307504948301E-3</v>
      </c>
      <c r="D24133" s="1">
        <v>9.1920542450577697E-4</v>
      </c>
      <c r="E24133" s="1">
        <v>9.2427233135946305E-4</v>
      </c>
      <c r="F24133" s="1">
        <v>1.7630689605775999E-3</v>
      </c>
    </row>
    <row r="24134" spans="1:6" x14ac:dyDescent="0.25">
      <c r="A24134" s="2" t="str">
        <f t="shared" si="845"/>
        <v>17140</v>
      </c>
      <c r="B24134" s="2" t="str">
        <f>"41004"</f>
        <v>41004</v>
      </c>
      <c r="C24134" s="1">
        <v>1.98128389133844E-3</v>
      </c>
      <c r="D24134" s="1">
        <v>4.7750931143157198E-4</v>
      </c>
      <c r="E24134" s="1">
        <v>1.8798759281887301E-4</v>
      </c>
      <c r="F24134" s="1">
        <v>1.7774786588130901E-3</v>
      </c>
    </row>
    <row r="24135" spans="1:6" x14ac:dyDescent="0.25">
      <c r="A24135" s="2" t="str">
        <f t="shared" si="845"/>
        <v>17140</v>
      </c>
      <c r="B24135" s="2" t="str">
        <f>"47003"</f>
        <v>47003</v>
      </c>
      <c r="C24135" s="1">
        <v>3.0227900933867699E-4</v>
      </c>
      <c r="D24135" s="1">
        <v>7.1626396714735899E-5</v>
      </c>
      <c r="E24135" s="1">
        <v>2.34984491023592E-4</v>
      </c>
      <c r="F24135" s="1">
        <v>2.8226055955401098E-4</v>
      </c>
    </row>
    <row r="24136" spans="1:6" x14ac:dyDescent="0.25">
      <c r="A24136" s="2" t="str">
        <f t="shared" si="845"/>
        <v>17140</v>
      </c>
      <c r="B24136" s="2" t="str">
        <f>"47025"</f>
        <v>47025</v>
      </c>
      <c r="C24136" s="1">
        <v>9.9170767294573803E-3</v>
      </c>
      <c r="D24136" s="1">
        <v>1.0982714162926101E-2</v>
      </c>
      <c r="E24136" s="1">
        <v>5.7492872137105602E-3</v>
      </c>
      <c r="F24136" s="1">
        <v>9.7672325157383503E-3</v>
      </c>
    </row>
    <row r="24137" spans="1:6" x14ac:dyDescent="0.25">
      <c r="A24137" s="2" t="str">
        <f t="shared" si="845"/>
        <v>17140</v>
      </c>
      <c r="B24137" s="2" t="str">
        <f>"45999"</f>
        <v>45999</v>
      </c>
      <c r="C24137" s="1">
        <v>0</v>
      </c>
      <c r="D24137" s="1">
        <v>0</v>
      </c>
      <c r="E24137" s="1">
        <v>3.13312654698123E-5</v>
      </c>
      <c r="F24137" s="1">
        <v>1.6952586159399999E-6</v>
      </c>
    </row>
    <row r="24138" spans="1:6" x14ac:dyDescent="0.25">
      <c r="A24138" s="2" t="str">
        <f t="shared" si="845"/>
        <v>17140</v>
      </c>
      <c r="B24138" s="2" t="str">
        <f>"45253"</f>
        <v>45253</v>
      </c>
      <c r="C24138" s="1">
        <v>1.3515359552162E-3</v>
      </c>
      <c r="D24138" s="1">
        <v>3.4500047750931099E-3</v>
      </c>
      <c r="E24138" s="1">
        <v>1.5665632734906099E-5</v>
      </c>
      <c r="F24138" s="1">
        <v>1.4282553839294501E-3</v>
      </c>
    </row>
    <row r="24139" spans="1:6" x14ac:dyDescent="0.25">
      <c r="A24139" s="2" t="str">
        <f t="shared" si="845"/>
        <v>17140</v>
      </c>
      <c r="B24139" s="2" t="str">
        <f>"45252"</f>
        <v>45252</v>
      </c>
      <c r="C24139" s="1">
        <v>2.01034918069793E-3</v>
      </c>
      <c r="D24139" s="1">
        <v>3.4619425078788999E-4</v>
      </c>
      <c r="E24139" s="1">
        <v>8.3027853495002595E-4</v>
      </c>
      <c r="F24139" s="1">
        <v>1.8283364172912899E-3</v>
      </c>
    </row>
    <row r="24140" spans="1:6" x14ac:dyDescent="0.25">
      <c r="A24140" s="2" t="str">
        <f t="shared" si="845"/>
        <v>17140</v>
      </c>
      <c r="B24140" s="2" t="str">
        <f>"45242"</f>
        <v>45242</v>
      </c>
      <c r="C24140" s="1">
        <v>9.9567992915820108E-3</v>
      </c>
      <c r="D24140" s="1">
        <v>3.8976697545602103E-2</v>
      </c>
      <c r="E24140" s="1">
        <v>1.12635899363975E-2</v>
      </c>
      <c r="F24140" s="1">
        <v>1.2088041560960199E-2</v>
      </c>
    </row>
    <row r="24141" spans="1:6" x14ac:dyDescent="0.25">
      <c r="A24141" s="2" t="str">
        <f t="shared" si="845"/>
        <v>17140</v>
      </c>
      <c r="B24141" s="2" t="str">
        <f>"45140"</f>
        <v>45140</v>
      </c>
      <c r="C24141" s="1">
        <v>2.25304434684966E-2</v>
      </c>
      <c r="D24141" s="1">
        <v>1.4444656670805E-2</v>
      </c>
      <c r="E24141" s="1">
        <v>1.10286054453739E-2</v>
      </c>
      <c r="F24141" s="1">
        <v>2.1333982052297001E-2</v>
      </c>
    </row>
    <row r="24142" spans="1:6" x14ac:dyDescent="0.25">
      <c r="A24142" s="2" t="str">
        <f t="shared" si="845"/>
        <v>17140</v>
      </c>
      <c r="B24142" s="2" t="str">
        <f>"45217"</f>
        <v>45217</v>
      </c>
      <c r="C24142" s="1">
        <v>3.3182872018749001E-3</v>
      </c>
      <c r="D24142" s="1">
        <v>3.3425651800210099E-3</v>
      </c>
      <c r="E24142" s="1">
        <v>6.5795657486605796E-3</v>
      </c>
      <c r="F24142" s="1">
        <v>3.4964708953762599E-3</v>
      </c>
    </row>
    <row r="24143" spans="1:6" x14ac:dyDescent="0.25">
      <c r="A24143" s="2" t="str">
        <f t="shared" si="845"/>
        <v>17140</v>
      </c>
      <c r="B24143" s="2" t="str">
        <f>"45214"</f>
        <v>45214</v>
      </c>
      <c r="C24143" s="1">
        <v>5.22109481194273E-3</v>
      </c>
      <c r="D24143" s="1">
        <v>8.0818450959793692E-3</v>
      </c>
      <c r="E24143" s="1">
        <v>1.39894100322712E-2</v>
      </c>
      <c r="F24143" s="1">
        <v>5.8986523541632498E-3</v>
      </c>
    </row>
    <row r="24144" spans="1:6" x14ac:dyDescent="0.25">
      <c r="A24144" s="2" t="str">
        <f t="shared" si="845"/>
        <v>17140</v>
      </c>
      <c r="B24144" s="2" t="str">
        <f>"45226"</f>
        <v>45226</v>
      </c>
      <c r="C24144" s="1">
        <v>3.2310913337964399E-3</v>
      </c>
      <c r="D24144" s="1">
        <v>5.6942985388215E-3</v>
      </c>
      <c r="E24144" s="1">
        <v>5.4046432935426197E-3</v>
      </c>
      <c r="F24144" s="1">
        <v>3.5235950332313001E-3</v>
      </c>
    </row>
    <row r="24145" spans="1:6" x14ac:dyDescent="0.25">
      <c r="A24145" s="2" t="str">
        <f t="shared" si="845"/>
        <v>17140</v>
      </c>
      <c r="B24145" s="2" t="str">
        <f>"45111"</f>
        <v>45111</v>
      </c>
      <c r="C24145" s="1">
        <v>1.7826710807152701E-4</v>
      </c>
      <c r="D24145" s="1">
        <v>1.4325279342947101E-4</v>
      </c>
      <c r="E24145" s="1">
        <v>3.13312654698123E-5</v>
      </c>
      <c r="F24145" s="1">
        <v>1.6783060297806E-4</v>
      </c>
    </row>
    <row r="24146" spans="1:6" x14ac:dyDescent="0.25">
      <c r="A24146" s="2" t="str">
        <f t="shared" si="845"/>
        <v>17140</v>
      </c>
      <c r="B24146" s="2" t="str">
        <f>"45208"</f>
        <v>45208</v>
      </c>
      <c r="C24146" s="1">
        <v>9.9151390435000802E-3</v>
      </c>
      <c r="D24146" s="1">
        <v>9.1323655811288307E-3</v>
      </c>
      <c r="E24146" s="1">
        <v>1.31591314973211E-2</v>
      </c>
      <c r="F24146" s="1">
        <v>1.0035083377056799E-2</v>
      </c>
    </row>
    <row r="24147" spans="1:6" x14ac:dyDescent="0.25">
      <c r="A24147" s="2" t="str">
        <f t="shared" si="845"/>
        <v>17140</v>
      </c>
      <c r="B24147" s="2" t="str">
        <f>"45206"</f>
        <v>45206</v>
      </c>
      <c r="C24147" s="1">
        <v>7.9367616810975799E-3</v>
      </c>
      <c r="D24147" s="1">
        <v>1.31673192627256E-2</v>
      </c>
      <c r="E24147" s="1">
        <v>1.7764827521383499E-2</v>
      </c>
      <c r="F24147" s="1">
        <v>8.8399260528191706E-3</v>
      </c>
    </row>
    <row r="24148" spans="1:6" x14ac:dyDescent="0.25">
      <c r="A24148" s="2" t="str">
        <f t="shared" si="845"/>
        <v>17140</v>
      </c>
      <c r="B24148" s="2" t="str">
        <f>"45062"</f>
        <v>45062</v>
      </c>
      <c r="C24148" s="1">
        <v>0</v>
      </c>
      <c r="D24148" s="1">
        <v>0</v>
      </c>
      <c r="E24148" s="1">
        <v>1.5665632734906099E-5</v>
      </c>
      <c r="F24148" s="1">
        <v>8.4762930797000397E-7</v>
      </c>
    </row>
    <row r="24149" spans="1:6" x14ac:dyDescent="0.25">
      <c r="A24149" s="2" t="str">
        <f t="shared" si="845"/>
        <v>17140</v>
      </c>
      <c r="B24149" s="2" t="str">
        <f>"45040"</f>
        <v>45040</v>
      </c>
      <c r="C24149" s="1">
        <v>2.1837720738762102E-2</v>
      </c>
      <c r="D24149" s="1">
        <v>2.45797918059402E-2</v>
      </c>
      <c r="E24149" s="1">
        <v>1.09972741799041E-2</v>
      </c>
      <c r="F24149" s="1">
        <v>2.1445869120949E-2</v>
      </c>
    </row>
    <row r="24150" spans="1:6" x14ac:dyDescent="0.25">
      <c r="A24150" s="2" t="str">
        <f t="shared" si="845"/>
        <v>17140</v>
      </c>
      <c r="B24150" s="2" t="str">
        <f>"45036"</f>
        <v>45036</v>
      </c>
      <c r="C24150" s="1">
        <v>1.53474416247884E-2</v>
      </c>
      <c r="D24150" s="1">
        <v>1.4540158533091299E-2</v>
      </c>
      <c r="E24150" s="1">
        <v>2.0052009900679801E-2</v>
      </c>
      <c r="F24150" s="1">
        <v>1.55446738788619E-2</v>
      </c>
    </row>
    <row r="24151" spans="1:6" x14ac:dyDescent="0.25">
      <c r="A24151" s="2" t="str">
        <f t="shared" si="845"/>
        <v>17140</v>
      </c>
      <c r="B24151" s="2" t="str">
        <f>"45033"</f>
        <v>45033</v>
      </c>
      <c r="C24151" s="1">
        <v>1.5210834764798801E-4</v>
      </c>
      <c r="D24151" s="1">
        <v>1.1937732785789299E-4</v>
      </c>
      <c r="E24151" s="1">
        <v>4.6996898204718402E-5</v>
      </c>
      <c r="F24151" s="1">
        <v>1.4409698235490001E-4</v>
      </c>
    </row>
    <row r="24152" spans="1:6" x14ac:dyDescent="0.25">
      <c r="A24152" s="2" t="str">
        <f t="shared" si="845"/>
        <v>17140</v>
      </c>
      <c r="B24152" s="2" t="str">
        <f>"45015"</f>
        <v>45015</v>
      </c>
      <c r="C24152" s="1">
        <v>5.1416496876934602E-3</v>
      </c>
      <c r="D24152" s="1">
        <v>4.6318403208862498E-3</v>
      </c>
      <c r="E24152" s="1">
        <v>4.0260676128708803E-3</v>
      </c>
      <c r="F24152" s="1">
        <v>5.0450896410374601E-3</v>
      </c>
    </row>
    <row r="24153" spans="1:6" x14ac:dyDescent="0.25">
      <c r="A24153" s="2" t="str">
        <f t="shared" si="845"/>
        <v>17140</v>
      </c>
      <c r="B24153" s="2" t="str">
        <f>"41083"</f>
        <v>41083</v>
      </c>
      <c r="C24153" s="1">
        <v>2.42210744662401E-4</v>
      </c>
      <c r="D24153" s="1">
        <v>9.5501862286314501E-5</v>
      </c>
      <c r="E24153" s="1">
        <v>3.13312654698123E-5</v>
      </c>
      <c r="F24153" s="1">
        <v>2.2038362007220099E-4</v>
      </c>
    </row>
    <row r="24154" spans="1:6" x14ac:dyDescent="0.25">
      <c r="A24154" s="2" t="str">
        <f t="shared" si="845"/>
        <v>17140</v>
      </c>
      <c r="B24154" s="2" t="str">
        <f>"41061"</f>
        <v>41061</v>
      </c>
      <c r="C24154" s="1">
        <v>0</v>
      </c>
      <c r="D24154" s="1">
        <v>0</v>
      </c>
      <c r="E24154" s="1">
        <v>1.5665632734906099E-5</v>
      </c>
      <c r="F24154" s="1">
        <v>8.4762930797000397E-7</v>
      </c>
    </row>
    <row r="24155" spans="1:6" x14ac:dyDescent="0.25">
      <c r="A24155" s="2" t="str">
        <f t="shared" si="845"/>
        <v>17140</v>
      </c>
      <c r="B24155" s="2" t="str">
        <f>"41052"</f>
        <v>41052</v>
      </c>
      <c r="C24155" s="1">
        <v>8.8164711057114195E-5</v>
      </c>
      <c r="D24155" s="1">
        <v>0</v>
      </c>
      <c r="E24155" s="1">
        <v>0</v>
      </c>
      <c r="F24155" s="1">
        <v>7.71342670252703E-5</v>
      </c>
    </row>
    <row r="24156" spans="1:6" x14ac:dyDescent="0.25">
      <c r="A24156" s="2" t="str">
        <f t="shared" si="845"/>
        <v>17140</v>
      </c>
      <c r="B24156" s="2" t="str">
        <f>"41045"</f>
        <v>41045</v>
      </c>
      <c r="C24156" s="1">
        <v>1.64703306370433E-4</v>
      </c>
      <c r="D24156" s="1">
        <v>9.5501862286314501E-5</v>
      </c>
      <c r="E24156" s="1">
        <v>0</v>
      </c>
      <c r="F24156" s="1">
        <v>1.5087801681866E-4</v>
      </c>
    </row>
    <row r="24157" spans="1:6" x14ac:dyDescent="0.25">
      <c r="A24157" s="2" t="str">
        <f t="shared" si="845"/>
        <v>17140</v>
      </c>
      <c r="B24157" s="2" t="str">
        <f>"41044"</f>
        <v>41044</v>
      </c>
      <c r="C24157" s="1">
        <v>2.66431819128642E-4</v>
      </c>
      <c r="D24157" s="1">
        <v>5.9688663928946599E-5</v>
      </c>
      <c r="E24157" s="1">
        <v>1.5665632734906099E-5</v>
      </c>
      <c r="F24157" s="1">
        <v>2.3818383553957101E-4</v>
      </c>
    </row>
    <row r="24158" spans="1:6" x14ac:dyDescent="0.25">
      <c r="A24158" s="2" t="str">
        <f t="shared" si="845"/>
        <v>17140</v>
      </c>
      <c r="B24158" s="2" t="str">
        <f>"41017"</f>
        <v>41017</v>
      </c>
      <c r="C24158" s="1">
        <v>1.7680415517376601E-2</v>
      </c>
      <c r="D24158" s="1">
        <v>2.04015853309139E-2</v>
      </c>
      <c r="E24158" s="1">
        <v>1.7435849233950501E-2</v>
      </c>
      <c r="F24158" s="1">
        <v>1.7860397148235899E-2</v>
      </c>
    </row>
    <row r="24159" spans="1:6" x14ac:dyDescent="0.25">
      <c r="A24159" s="2" t="str">
        <f t="shared" si="845"/>
        <v>17140</v>
      </c>
      <c r="B24159" s="2" t="str">
        <f>"41001"</f>
        <v>41001</v>
      </c>
      <c r="C24159" s="1">
        <v>7.70327052324302E-3</v>
      </c>
      <c r="D24159" s="1">
        <v>4.7750931143157203E-3</v>
      </c>
      <c r="E24159" s="1">
        <v>3.3054485070652001E-3</v>
      </c>
      <c r="F24159" s="1">
        <v>7.2574021348391698E-3</v>
      </c>
    </row>
    <row r="24160" spans="1:6" x14ac:dyDescent="0.25">
      <c r="A24160" s="2" t="str">
        <f t="shared" si="845"/>
        <v>17140</v>
      </c>
      <c r="B24160" s="2" t="str">
        <f>"47331"</f>
        <v>47331</v>
      </c>
      <c r="C24160" s="1">
        <v>1.10448099566055E-4</v>
      </c>
      <c r="D24160" s="1">
        <v>3.5813198357367902E-5</v>
      </c>
      <c r="E24160" s="1">
        <v>1.5665632734906099E-5</v>
      </c>
      <c r="F24160" s="1">
        <v>1.0002025834045999E-4</v>
      </c>
    </row>
    <row r="24161" spans="1:6" x14ac:dyDescent="0.25">
      <c r="A24161" s="2" t="str">
        <f t="shared" si="845"/>
        <v>17140</v>
      </c>
      <c r="B24161" s="2" t="str">
        <f>"47325"</f>
        <v>47325</v>
      </c>
      <c r="C24161" s="1">
        <v>2.5868107529944498E-4</v>
      </c>
      <c r="D24161" s="1">
        <v>5.9688663928946599E-5</v>
      </c>
      <c r="E24161" s="1">
        <v>4.6996898204718402E-5</v>
      </c>
      <c r="F24161" s="1">
        <v>2.33098059691751E-4</v>
      </c>
    </row>
    <row r="24162" spans="1:6" x14ac:dyDescent="0.25">
      <c r="A24162" s="2" t="str">
        <f t="shared" si="845"/>
        <v>17140</v>
      </c>
      <c r="B24162" s="2" t="str">
        <f>"47030"</f>
        <v>47030</v>
      </c>
      <c r="C24162" s="1">
        <v>5.8615000208301195E-4</v>
      </c>
      <c r="D24162" s="1">
        <v>2.3875465571578599E-4</v>
      </c>
      <c r="E24162" s="1">
        <v>9.3993796409436899E-5</v>
      </c>
      <c r="F24162" s="1">
        <v>5.3485409332907198E-4</v>
      </c>
    </row>
    <row r="24163" spans="1:6" x14ac:dyDescent="0.25">
      <c r="A24163" s="2" t="str">
        <f t="shared" si="845"/>
        <v>17140</v>
      </c>
      <c r="B24163" s="2" t="str">
        <f>"47032"</f>
        <v>47032</v>
      </c>
      <c r="C24163" s="1">
        <v>1.3486294262802501E-3</v>
      </c>
      <c r="D24163" s="1">
        <v>2.1487919014420701E-4</v>
      </c>
      <c r="E24163" s="1">
        <v>1.09659429144343E-4</v>
      </c>
      <c r="F24163" s="1">
        <v>1.20109072939349E-3</v>
      </c>
    </row>
    <row r="24164" spans="1:6" x14ac:dyDescent="0.25">
      <c r="A24164" s="2" t="str">
        <f t="shared" si="845"/>
        <v>17140</v>
      </c>
      <c r="B24164" s="2" t="str">
        <f>"45327"</f>
        <v>45327</v>
      </c>
      <c r="C24164" s="1">
        <v>9.3977768929011905E-5</v>
      </c>
      <c r="D24164" s="1">
        <v>0</v>
      </c>
      <c r="E24164" s="1">
        <v>0</v>
      </c>
      <c r="F24164" s="1">
        <v>8.22200428730903E-5</v>
      </c>
    </row>
    <row r="24165" spans="1:6" x14ac:dyDescent="0.25">
      <c r="A24165" s="2" t="str">
        <f t="shared" si="845"/>
        <v>17140</v>
      </c>
      <c r="B24165" s="2" t="str">
        <f>"45251"</f>
        <v>45251</v>
      </c>
      <c r="C24165" s="1">
        <v>8.5955749065793098E-3</v>
      </c>
      <c r="D24165" s="1">
        <v>7.0074491452583303E-3</v>
      </c>
      <c r="E24165" s="1">
        <v>5.0756650061095903E-3</v>
      </c>
      <c r="F24165" s="1">
        <v>8.2923575198705496E-3</v>
      </c>
    </row>
    <row r="24166" spans="1:6" x14ac:dyDescent="0.25">
      <c r="A24166" s="2" t="str">
        <f t="shared" si="845"/>
        <v>17140</v>
      </c>
      <c r="B24166" s="2" t="str">
        <f>"45244"</f>
        <v>45244</v>
      </c>
      <c r="C24166" s="1">
        <v>1.14313783050867E-2</v>
      </c>
      <c r="D24166" s="1">
        <v>6.5299398338267501E-3</v>
      </c>
      <c r="E24166" s="1">
        <v>5.3733120280728096E-3</v>
      </c>
      <c r="F24166" s="1">
        <v>1.0755568288831299E-2</v>
      </c>
    </row>
    <row r="24167" spans="1:6" x14ac:dyDescent="0.25">
      <c r="A24167" s="2" t="str">
        <f t="shared" si="845"/>
        <v>17140</v>
      </c>
      <c r="B24167" s="2" t="str">
        <f>"45201"</f>
        <v>45201</v>
      </c>
      <c r="C24167" s="1">
        <v>1.9667512466587001E-3</v>
      </c>
      <c r="D24167" s="1">
        <v>5.4674816158914999E-3</v>
      </c>
      <c r="E24167" s="1">
        <v>1.5665632734906099E-5</v>
      </c>
      <c r="F24167" s="1">
        <v>2.1097493475373398E-3</v>
      </c>
    </row>
    <row r="24168" spans="1:6" x14ac:dyDescent="0.25">
      <c r="A24168" s="2" t="str">
        <f t="shared" ref="A24168:A24231" si="846">"17140"</f>
        <v>17140</v>
      </c>
      <c r="B24168" s="2" t="str">
        <f>"45152"</f>
        <v>45152</v>
      </c>
      <c r="C24168" s="1">
        <v>5.1804034068394502E-3</v>
      </c>
      <c r="D24168" s="1">
        <v>1.5399675293668201E-3</v>
      </c>
      <c r="E24168" s="1">
        <v>1.4099069461415499E-3</v>
      </c>
      <c r="F24168" s="1">
        <v>4.7179047281610403E-3</v>
      </c>
    </row>
    <row r="24169" spans="1:6" x14ac:dyDescent="0.25">
      <c r="A24169" s="2" t="str">
        <f t="shared" si="846"/>
        <v>17140</v>
      </c>
      <c r="B24169" s="2" t="str">
        <f>"45235"</f>
        <v>45235</v>
      </c>
      <c r="C24169" s="1">
        <v>0</v>
      </c>
      <c r="D24169" s="1">
        <v>0</v>
      </c>
      <c r="E24169" s="1">
        <v>3.13312654698123E-5</v>
      </c>
      <c r="F24169" s="1">
        <v>1.6952586159399999E-6</v>
      </c>
    </row>
    <row r="24170" spans="1:6" x14ac:dyDescent="0.25">
      <c r="A24170" s="2" t="str">
        <f t="shared" si="846"/>
        <v>17140</v>
      </c>
      <c r="B24170" s="2" t="str">
        <f>"45112"</f>
        <v>45112</v>
      </c>
      <c r="C24170" s="1">
        <v>0</v>
      </c>
      <c r="D24170" s="1">
        <v>0</v>
      </c>
      <c r="E24170" s="1">
        <v>1.5665632734906099E-5</v>
      </c>
      <c r="F24170" s="1">
        <v>8.4762930797000397E-7</v>
      </c>
    </row>
    <row r="24171" spans="1:6" x14ac:dyDescent="0.25">
      <c r="A24171" s="2" t="str">
        <f t="shared" si="846"/>
        <v>17140</v>
      </c>
      <c r="B24171" s="2" t="str">
        <f>"45032"</f>
        <v>45032</v>
      </c>
      <c r="C24171" s="1">
        <v>0</v>
      </c>
      <c r="D24171" s="1">
        <v>0</v>
      </c>
      <c r="E24171" s="1">
        <v>1.5665632734906099E-5</v>
      </c>
      <c r="F24171" s="1">
        <v>8.4762930797000397E-7</v>
      </c>
    </row>
    <row r="24172" spans="1:6" x14ac:dyDescent="0.25">
      <c r="A24172" s="2" t="str">
        <f t="shared" si="846"/>
        <v>17140</v>
      </c>
      <c r="B24172" s="2" t="str">
        <f>"45003"</f>
        <v>45003</v>
      </c>
      <c r="C24172" s="1">
        <v>8.7195868078464601E-5</v>
      </c>
      <c r="D24172" s="1">
        <v>4.7750931143157203E-5</v>
      </c>
      <c r="E24172" s="1">
        <v>6.2662530939624599E-5</v>
      </c>
      <c r="F24172" s="1">
        <v>8.3067672181060402E-5</v>
      </c>
    </row>
    <row r="24173" spans="1:6" x14ac:dyDescent="0.25">
      <c r="A24173" s="2" t="str">
        <f t="shared" si="846"/>
        <v>17140</v>
      </c>
      <c r="B24173" s="2" t="str">
        <f>"45018"</f>
        <v>45018</v>
      </c>
      <c r="C24173" s="1">
        <v>8.1285925908702004E-4</v>
      </c>
      <c r="D24173" s="1">
        <v>4.0707668799541503E-3</v>
      </c>
      <c r="E24173" s="1">
        <v>1.5665632734906099E-5</v>
      </c>
      <c r="F24173" s="1">
        <v>1.0010502127125701E-3</v>
      </c>
    </row>
    <row r="24174" spans="1:6" x14ac:dyDescent="0.25">
      <c r="A24174" s="2" t="str">
        <f t="shared" si="846"/>
        <v>17140</v>
      </c>
      <c r="B24174" s="2" t="str">
        <f>"45011"</f>
        <v>45011</v>
      </c>
      <c r="C24174" s="1">
        <v>2.74705738166309E-2</v>
      </c>
      <c r="D24174" s="1">
        <v>2.2228058447139699E-2</v>
      </c>
      <c r="E24174" s="1">
        <v>1.5023341792774999E-2</v>
      </c>
      <c r="F24174" s="1">
        <v>2.6424843675964801E-2</v>
      </c>
    </row>
    <row r="24175" spans="1:6" x14ac:dyDescent="0.25">
      <c r="A24175" s="2" t="str">
        <f t="shared" si="846"/>
        <v>17140</v>
      </c>
      <c r="B24175" s="2" t="str">
        <f>"41097"</f>
        <v>41097</v>
      </c>
      <c r="C24175" s="1">
        <v>3.1080482755079398E-3</v>
      </c>
      <c r="D24175" s="1">
        <v>3.0321841275904801E-3</v>
      </c>
      <c r="E24175" s="1">
        <v>1.37857568067174E-3</v>
      </c>
      <c r="F24175" s="1">
        <v>3.0090840432935098E-3</v>
      </c>
    </row>
    <row r="24176" spans="1:6" x14ac:dyDescent="0.25">
      <c r="A24176" s="2" t="str">
        <f t="shared" si="846"/>
        <v>17140</v>
      </c>
      <c r="B24176" s="2" t="str">
        <f>"41085"</f>
        <v>41085</v>
      </c>
      <c r="C24176" s="1">
        <v>3.5459653018575602E-4</v>
      </c>
      <c r="D24176" s="1">
        <v>0</v>
      </c>
      <c r="E24176" s="1">
        <v>4.6996898204718402E-5</v>
      </c>
      <c r="F24176" s="1">
        <v>3.1277521464093101E-4</v>
      </c>
    </row>
    <row r="24177" spans="1:6" x14ac:dyDescent="0.25">
      <c r="A24177" s="2" t="str">
        <f t="shared" si="846"/>
        <v>17140</v>
      </c>
      <c r="B24177" s="2" t="str">
        <f>"41076"</f>
        <v>41076</v>
      </c>
      <c r="C24177" s="1">
        <v>8.6285155678533995E-3</v>
      </c>
      <c r="D24177" s="1">
        <v>6.8522586190430702E-3</v>
      </c>
      <c r="E24177" s="1">
        <v>1.3237459660995699E-2</v>
      </c>
      <c r="F24177" s="1">
        <v>8.7517726047902904E-3</v>
      </c>
    </row>
    <row r="24178" spans="1:6" x14ac:dyDescent="0.25">
      <c r="A24178" s="2" t="str">
        <f t="shared" si="846"/>
        <v>17140</v>
      </c>
      <c r="B24178" s="2" t="str">
        <f>"41048"</f>
        <v>41048</v>
      </c>
      <c r="C24178" s="1">
        <v>5.8750638225312096E-3</v>
      </c>
      <c r="D24178" s="1">
        <v>7.8789036386209509E-3</v>
      </c>
      <c r="E24178" s="1">
        <v>2.0521978882727001E-3</v>
      </c>
      <c r="F24178" s="1">
        <v>5.8104989061343697E-3</v>
      </c>
    </row>
    <row r="24179" spans="1:6" x14ac:dyDescent="0.25">
      <c r="A24179" s="2" t="str">
        <f t="shared" si="846"/>
        <v>17140</v>
      </c>
      <c r="B24179" s="2" t="str">
        <f>"41010"</f>
        <v>41010</v>
      </c>
      <c r="C24179" s="1">
        <v>8.0607735823647303E-4</v>
      </c>
      <c r="D24179" s="1">
        <v>2.2681692292999701E-4</v>
      </c>
      <c r="E24179" s="1">
        <v>1.56656327349061E-4</v>
      </c>
      <c r="F24179" s="1">
        <v>7.2980883416217301E-4</v>
      </c>
    </row>
    <row r="24180" spans="1:6" x14ac:dyDescent="0.25">
      <c r="A24180" s="2" t="str">
        <f t="shared" si="846"/>
        <v>17140</v>
      </c>
      <c r="B24180" s="2" t="str">
        <f>"41002"</f>
        <v>41002</v>
      </c>
      <c r="C24180" s="1">
        <v>1.2207421530984999E-3</v>
      </c>
      <c r="D24180" s="1">
        <v>9.7889408843472407E-4</v>
      </c>
      <c r="E24180" s="1">
        <v>6.1095967666134003E-4</v>
      </c>
      <c r="F24180" s="1">
        <v>1.17057607430657E-3</v>
      </c>
    </row>
    <row r="24181" spans="1:6" x14ac:dyDescent="0.25">
      <c r="A24181" s="2" t="str">
        <f t="shared" si="846"/>
        <v>17140</v>
      </c>
      <c r="B24181" s="2" t="str">
        <f>"47040"</f>
        <v>47040</v>
      </c>
      <c r="C24181" s="1">
        <v>2.1576133134526701E-3</v>
      </c>
      <c r="D24181" s="1">
        <v>1.6832203227962899E-3</v>
      </c>
      <c r="E24181" s="1">
        <v>1.4725694770811701E-3</v>
      </c>
      <c r="F24181" s="1">
        <v>2.0868633562221499E-3</v>
      </c>
    </row>
    <row r="24182" spans="1:6" x14ac:dyDescent="0.25">
      <c r="A24182" s="2" t="str">
        <f t="shared" si="846"/>
        <v>17140</v>
      </c>
      <c r="B24182" s="2" t="str">
        <f>"45697"</f>
        <v>45697</v>
      </c>
      <c r="C24182" s="1">
        <v>5.5127165485162604E-4</v>
      </c>
      <c r="D24182" s="1">
        <v>1.4325279342947101E-4</v>
      </c>
      <c r="E24182" s="1">
        <v>0</v>
      </c>
      <c r="F24182" s="1">
        <v>4.92472627930572E-4</v>
      </c>
    </row>
    <row r="24183" spans="1:6" x14ac:dyDescent="0.25">
      <c r="A24183" s="2" t="str">
        <f t="shared" si="846"/>
        <v>17140</v>
      </c>
      <c r="B24183" s="2" t="str">
        <f>"45258"</f>
        <v>45258</v>
      </c>
      <c r="C24183" s="1">
        <v>4.9604760506859798E-4</v>
      </c>
      <c r="D24183" s="1">
        <v>1.9816636424410199E-3</v>
      </c>
      <c r="E24183" s="1">
        <v>3.13312654698123E-5</v>
      </c>
      <c r="F24183" s="1">
        <v>5.7638792941960197E-4</v>
      </c>
    </row>
    <row r="24184" spans="1:6" x14ac:dyDescent="0.25">
      <c r="A24184" s="2" t="str">
        <f t="shared" si="846"/>
        <v>17140</v>
      </c>
      <c r="B24184" s="2" t="str">
        <f>"45254"</f>
        <v>45254</v>
      </c>
      <c r="C24184" s="1">
        <v>6.6947049824687803E-4</v>
      </c>
      <c r="D24184" s="1">
        <v>3.8917008881673102E-3</v>
      </c>
      <c r="E24184" s="1">
        <v>1.5665632734906099E-5</v>
      </c>
      <c r="F24184" s="1">
        <v>8.62886635513464E-4</v>
      </c>
    </row>
    <row r="24185" spans="1:6" x14ac:dyDescent="0.25">
      <c r="A24185" s="2" t="str">
        <f t="shared" si="846"/>
        <v>17140</v>
      </c>
      <c r="B24185" s="2" t="str">
        <f>"45171"</f>
        <v>45171</v>
      </c>
      <c r="C24185" s="1">
        <v>2.30681513216471E-3</v>
      </c>
      <c r="D24185" s="1">
        <v>4.7750931143157198E-4</v>
      </c>
      <c r="E24185" s="1">
        <v>3.91640818372654E-4</v>
      </c>
      <c r="F24185" s="1">
        <v>2.07330128729463E-3</v>
      </c>
    </row>
    <row r="24186" spans="1:6" x14ac:dyDescent="0.25">
      <c r="A24186" s="2" t="str">
        <f t="shared" si="846"/>
        <v>17140</v>
      </c>
      <c r="B24186" s="2" t="str">
        <f>"45168"</f>
        <v>45168</v>
      </c>
      <c r="C24186" s="1">
        <v>6.1521529144250003E-4</v>
      </c>
      <c r="D24186" s="1">
        <v>1.91003724572629E-4</v>
      </c>
      <c r="E24186" s="1">
        <v>7.8328163674530797E-5</v>
      </c>
      <c r="F24186" s="1">
        <v>5.5604482602832203E-4</v>
      </c>
    </row>
    <row r="24187" spans="1:6" x14ac:dyDescent="0.25">
      <c r="A24187" s="2" t="str">
        <f t="shared" si="846"/>
        <v>17140</v>
      </c>
      <c r="B24187" s="2" t="str">
        <f>"45157"</f>
        <v>45157</v>
      </c>
      <c r="C24187" s="1">
        <v>4.3597934039232298E-3</v>
      </c>
      <c r="D24187" s="1">
        <v>1.7787221850826E-3</v>
      </c>
      <c r="E24187" s="1">
        <v>3.38377667073973E-3</v>
      </c>
      <c r="F24187" s="1">
        <v>4.1237165832740596E-3</v>
      </c>
    </row>
    <row r="24188" spans="1:6" x14ac:dyDescent="0.25">
      <c r="A24188" s="2" t="str">
        <f t="shared" si="846"/>
        <v>17140</v>
      </c>
      <c r="B24188" s="2" t="str">
        <f>"45231"</f>
        <v>45231</v>
      </c>
      <c r="C24188" s="1">
        <v>1.8397359321577302E-2</v>
      </c>
      <c r="D24188" s="1">
        <v>1.21884251742908E-2</v>
      </c>
      <c r="E24188" s="1">
        <v>1.41460663596202E-2</v>
      </c>
      <c r="F24188" s="1">
        <v>1.7726471717576599E-2</v>
      </c>
    </row>
    <row r="24189" spans="1:6" x14ac:dyDescent="0.25">
      <c r="A24189" s="2" t="str">
        <f t="shared" si="846"/>
        <v>17140</v>
      </c>
      <c r="B24189" s="2" t="str">
        <f>"45071"</f>
        <v>45071</v>
      </c>
      <c r="C24189" s="1">
        <v>7.1694380420070901E-4</v>
      </c>
      <c r="D24189" s="1">
        <v>5.4197306847483502E-3</v>
      </c>
      <c r="E24189" s="1">
        <v>1.5665632734906099E-5</v>
      </c>
      <c r="F24189" s="1">
        <v>1.01291702302415E-3</v>
      </c>
    </row>
    <row r="24190" spans="1:6" x14ac:dyDescent="0.25">
      <c r="A24190" s="2" t="str">
        <f t="shared" si="846"/>
        <v>17140</v>
      </c>
      <c r="B24190" s="2" t="str">
        <f>"45054"</f>
        <v>45054</v>
      </c>
      <c r="C24190" s="1">
        <v>9.3687116035416997E-4</v>
      </c>
      <c r="D24190" s="1">
        <v>2.5069238850157499E-4</v>
      </c>
      <c r="E24190" s="1">
        <v>4.6996898204718402E-5</v>
      </c>
      <c r="F24190" s="1">
        <v>8.4000064419827397E-4</v>
      </c>
    </row>
    <row r="24191" spans="1:6" x14ac:dyDescent="0.25">
      <c r="A24191" s="2" t="str">
        <f t="shared" si="846"/>
        <v>17140</v>
      </c>
      <c r="B24191" s="2" t="str">
        <f>"41092"</f>
        <v>41092</v>
      </c>
      <c r="C24191" s="1">
        <v>1.3902896743621801E-3</v>
      </c>
      <c r="D24191" s="1">
        <v>4.5363384585999403E-4</v>
      </c>
      <c r="E24191" s="1">
        <v>1.09659429144343E-4</v>
      </c>
      <c r="F24191" s="1">
        <v>1.2544913757956001E-3</v>
      </c>
    </row>
    <row r="24192" spans="1:6" x14ac:dyDescent="0.25">
      <c r="A24192" s="2" t="str">
        <f t="shared" si="846"/>
        <v>17140</v>
      </c>
      <c r="B24192" s="2" t="str">
        <f>"41064"</f>
        <v>41064</v>
      </c>
      <c r="C24192" s="1">
        <v>4.16602480819331E-5</v>
      </c>
      <c r="D24192" s="1">
        <v>0</v>
      </c>
      <c r="E24192" s="1">
        <v>0</v>
      </c>
      <c r="F24192" s="1">
        <v>3.64480602427101E-5</v>
      </c>
    </row>
    <row r="24193" spans="1:6" x14ac:dyDescent="0.25">
      <c r="A24193" s="2" t="str">
        <f t="shared" si="846"/>
        <v>17140</v>
      </c>
      <c r="B24193" s="2" t="str">
        <f>"41030"</f>
        <v>41030</v>
      </c>
      <c r="C24193" s="1">
        <v>2.5228671164035702E-3</v>
      </c>
      <c r="D24193" s="1">
        <v>7.8789036386209504E-4</v>
      </c>
      <c r="E24193" s="1">
        <v>3.77541748911238E-3</v>
      </c>
      <c r="F24193" s="1">
        <v>2.4674489155006802E-3</v>
      </c>
    </row>
    <row r="24194" spans="1:6" x14ac:dyDescent="0.25">
      <c r="A24194" s="2" t="str">
        <f t="shared" si="846"/>
        <v>17140</v>
      </c>
      <c r="B24194" s="2" t="str">
        <f>"41007"</f>
        <v>41007</v>
      </c>
      <c r="C24194" s="1">
        <v>3.0082574487070302E-3</v>
      </c>
      <c r="D24194" s="1">
        <v>5.4913570814630805E-4</v>
      </c>
      <c r="E24194" s="1">
        <v>1.7232196008396699E-4</v>
      </c>
      <c r="F24194" s="1">
        <v>2.6802038718011499E-3</v>
      </c>
    </row>
    <row r="24195" spans="1:6" x14ac:dyDescent="0.25">
      <c r="A24195" s="2" t="str">
        <f t="shared" si="846"/>
        <v>17140</v>
      </c>
      <c r="B24195" s="2" t="str">
        <f>"47041"</f>
        <v>47041</v>
      </c>
      <c r="C24195" s="1">
        <v>1.03569314417643E-3</v>
      </c>
      <c r="D24195" s="1">
        <v>2.62630121287365E-4</v>
      </c>
      <c r="E24195" s="1">
        <v>0</v>
      </c>
      <c r="F24195" s="1">
        <v>9.2476357499527405E-4</v>
      </c>
    </row>
    <row r="24196" spans="1:6" x14ac:dyDescent="0.25">
      <c r="A24196" s="2" t="str">
        <f t="shared" si="846"/>
        <v>17140</v>
      </c>
      <c r="B24196" s="2" t="str">
        <f>"46173"</f>
        <v>46173</v>
      </c>
      <c r="C24196" s="1">
        <v>1.02697355736858E-4</v>
      </c>
      <c r="D24196" s="1">
        <v>3.5813198357367902E-5</v>
      </c>
      <c r="E24196" s="1">
        <v>0</v>
      </c>
      <c r="F24196" s="1">
        <v>9.2391594568730394E-5</v>
      </c>
    </row>
    <row r="24197" spans="1:6" x14ac:dyDescent="0.25">
      <c r="A24197" s="2" t="str">
        <f t="shared" si="846"/>
        <v>17140</v>
      </c>
      <c r="B24197" s="2" t="str">
        <f>"45250"</f>
        <v>45250</v>
      </c>
      <c r="C24197" s="1">
        <v>7.6926132504778798E-4</v>
      </c>
      <c r="D24197" s="1">
        <v>3.7603858275236301E-3</v>
      </c>
      <c r="E24197" s="1">
        <v>1.5665632734906099E-5</v>
      </c>
      <c r="F24197" s="1">
        <v>9.4086853184670402E-4</v>
      </c>
    </row>
    <row r="24198" spans="1:6" x14ac:dyDescent="0.25">
      <c r="A24198" s="2" t="str">
        <f t="shared" si="846"/>
        <v>17140</v>
      </c>
      <c r="B24198" s="2" t="str">
        <f>"45160"</f>
        <v>45160</v>
      </c>
      <c r="C24198" s="1">
        <v>5.0379834889779503E-5</v>
      </c>
      <c r="D24198" s="1">
        <v>1.1937732785789301E-5</v>
      </c>
      <c r="E24198" s="1">
        <v>4.6996898204718402E-5</v>
      </c>
      <c r="F24198" s="1">
        <v>4.7467241246320201E-5</v>
      </c>
    </row>
    <row r="24199" spans="1:6" x14ac:dyDescent="0.25">
      <c r="A24199" s="2" t="str">
        <f t="shared" si="846"/>
        <v>17140</v>
      </c>
      <c r="B24199" s="2" t="str">
        <f>"45167"</f>
        <v>45167</v>
      </c>
      <c r="C24199" s="1">
        <v>1.9173402547475701E-3</v>
      </c>
      <c r="D24199" s="1">
        <v>1.6951580555820799E-3</v>
      </c>
      <c r="E24199" s="1">
        <v>8.9294106588965101E-4</v>
      </c>
      <c r="F24199" s="1">
        <v>1.8461366327586601E-3</v>
      </c>
    </row>
    <row r="24200" spans="1:6" x14ac:dyDescent="0.25">
      <c r="A24200" s="2" t="str">
        <f t="shared" si="846"/>
        <v>17140</v>
      </c>
      <c r="B24200" s="2" t="str">
        <f>"45154"</f>
        <v>45154</v>
      </c>
      <c r="C24200" s="1">
        <v>3.77267455886157E-3</v>
      </c>
      <c r="D24200" s="1">
        <v>2.4711106866583802E-3</v>
      </c>
      <c r="E24200" s="1">
        <v>1.04959739323871E-3</v>
      </c>
      <c r="F24200" s="1">
        <v>3.5329189556189701E-3</v>
      </c>
    </row>
    <row r="24201" spans="1:6" x14ac:dyDescent="0.25">
      <c r="A24201" s="2" t="str">
        <f t="shared" si="846"/>
        <v>17140</v>
      </c>
      <c r="B24201" s="2" t="str">
        <f>"45220"</f>
        <v>45220</v>
      </c>
      <c r="C24201" s="1">
        <v>8.3824294512764002E-3</v>
      </c>
      <c r="D24201" s="1">
        <v>3.1515614554483802E-3</v>
      </c>
      <c r="E24201" s="1">
        <v>1.50860043237146E-2</v>
      </c>
      <c r="F24201" s="1">
        <v>8.3737299334356707E-3</v>
      </c>
    </row>
    <row r="24202" spans="1:6" x14ac:dyDescent="0.25">
      <c r="A24202" s="2" t="str">
        <f t="shared" si="846"/>
        <v>17140</v>
      </c>
      <c r="B24202" s="2" t="str">
        <f>"45229"</f>
        <v>45229</v>
      </c>
      <c r="C24202" s="1">
        <v>7.5424425887871899E-3</v>
      </c>
      <c r="D24202" s="1">
        <v>4.4766497946709897E-3</v>
      </c>
      <c r="E24202" s="1">
        <v>1.7827490052323199E-2</v>
      </c>
      <c r="F24202" s="1">
        <v>7.8812573055050909E-3</v>
      </c>
    </row>
    <row r="24203" spans="1:6" x14ac:dyDescent="0.25">
      <c r="A24203" s="2" t="str">
        <f t="shared" si="846"/>
        <v>17140</v>
      </c>
      <c r="B24203" s="2" t="str">
        <f>"45133"</f>
        <v>45133</v>
      </c>
      <c r="C24203" s="1">
        <v>1.35638017010945E-5</v>
      </c>
      <c r="D24203" s="1">
        <v>0</v>
      </c>
      <c r="E24203" s="1">
        <v>0</v>
      </c>
      <c r="F24203" s="1">
        <v>1.1866810311579999E-5</v>
      </c>
    </row>
    <row r="24204" spans="1:6" x14ac:dyDescent="0.25">
      <c r="A24204" s="2" t="str">
        <f t="shared" si="846"/>
        <v>17140</v>
      </c>
      <c r="B24204" s="2" t="str">
        <f>"45205"</f>
        <v>45205</v>
      </c>
      <c r="C24204" s="1">
        <v>9.2514816031250904E-3</v>
      </c>
      <c r="D24204" s="1">
        <v>4.2020819405978399E-3</v>
      </c>
      <c r="E24204" s="1">
        <v>1.46943635053419E-2</v>
      </c>
      <c r="F24204" s="1">
        <v>9.1874540690868693E-3</v>
      </c>
    </row>
    <row r="24205" spans="1:6" x14ac:dyDescent="0.25">
      <c r="A24205" s="2" t="str">
        <f t="shared" si="846"/>
        <v>17140</v>
      </c>
      <c r="B24205" s="2" t="str">
        <f>"45212"</f>
        <v>45212</v>
      </c>
      <c r="C24205" s="1">
        <v>1.14701320242327E-2</v>
      </c>
      <c r="D24205" s="1">
        <v>1.1722853595645099E-2</v>
      </c>
      <c r="E24205" s="1">
        <v>2.0443650719052499E-2</v>
      </c>
      <c r="F24205" s="1">
        <v>1.1973611604384199E-2</v>
      </c>
    </row>
    <row r="24206" spans="1:6" x14ac:dyDescent="0.25">
      <c r="A24206" s="2" t="str">
        <f t="shared" si="846"/>
        <v>17140</v>
      </c>
      <c r="B24206" s="2" t="str">
        <f>"45068"</f>
        <v>45068</v>
      </c>
      <c r="C24206" s="1">
        <v>4.3210396847772397E-3</v>
      </c>
      <c r="D24206" s="1">
        <v>1.5280297965810301E-3</v>
      </c>
      <c r="E24206" s="1">
        <v>5.6396277845662099E-4</v>
      </c>
      <c r="F24206" s="1">
        <v>3.9194379200532901E-3</v>
      </c>
    </row>
    <row r="24207" spans="1:6" x14ac:dyDescent="0.25">
      <c r="A24207" s="2" t="str">
        <f t="shared" si="846"/>
        <v>17140</v>
      </c>
      <c r="B24207" s="2" t="str">
        <f>"45103"</f>
        <v>45103</v>
      </c>
      <c r="C24207" s="1">
        <v>1.4742883606111E-2</v>
      </c>
      <c r="D24207" s="1">
        <v>1.06723331104956E-2</v>
      </c>
      <c r="E24207" s="1">
        <v>1.1012939812639001E-2</v>
      </c>
      <c r="F24207" s="1">
        <v>1.42520391842076E-2</v>
      </c>
    </row>
    <row r="24208" spans="1:6" x14ac:dyDescent="0.25">
      <c r="A24208" s="2" t="str">
        <f t="shared" si="846"/>
        <v>17140</v>
      </c>
      <c r="B24208" s="2" t="str">
        <f>"45061"</f>
        <v>45061</v>
      </c>
      <c r="C24208" s="1">
        <v>5.1929983655618899E-4</v>
      </c>
      <c r="D24208" s="1">
        <v>1.43252793429471E-3</v>
      </c>
      <c r="E24208" s="1">
        <v>3.13312654698123E-5</v>
      </c>
      <c r="F24208" s="1">
        <v>5.5774008464426201E-4</v>
      </c>
    </row>
    <row r="24209" spans="1:6" x14ac:dyDescent="0.25">
      <c r="A24209" s="2" t="str">
        <f t="shared" si="846"/>
        <v>17140</v>
      </c>
      <c r="B24209" s="2" t="str">
        <f>"45065"</f>
        <v>45065</v>
      </c>
      <c r="C24209" s="1">
        <v>2.65559860447857E-3</v>
      </c>
      <c r="D24209" s="1">
        <v>1.3250883392226099E-3</v>
      </c>
      <c r="E24209" s="1">
        <v>1.7232196008396699E-3</v>
      </c>
      <c r="F24209" s="1">
        <v>2.5106780102071499E-3</v>
      </c>
    </row>
    <row r="24210" spans="1:6" x14ac:dyDescent="0.25">
      <c r="A24210" s="2" t="str">
        <f t="shared" si="846"/>
        <v>17140</v>
      </c>
      <c r="B24210" s="2" t="str">
        <f>"45013"</f>
        <v>45013</v>
      </c>
      <c r="C24210" s="1">
        <v>2.2904416858255301E-2</v>
      </c>
      <c r="D24210" s="1">
        <v>1.20451723808614E-2</v>
      </c>
      <c r="E24210" s="1">
        <v>1.31904627627909E-2</v>
      </c>
      <c r="F24210" s="1">
        <v>2.1607766318771301E-2</v>
      </c>
    </row>
    <row r="24211" spans="1:6" x14ac:dyDescent="0.25">
      <c r="A24211" s="2" t="str">
        <f t="shared" si="846"/>
        <v>17140</v>
      </c>
      <c r="B24211" s="2" t="str">
        <f>"41091"</f>
        <v>41091</v>
      </c>
      <c r="C24211" s="1">
        <v>9.4936923477874999E-3</v>
      </c>
      <c r="D24211" s="1">
        <v>3.8439499570241602E-3</v>
      </c>
      <c r="E24211" s="1">
        <v>7.9894726948021402E-4</v>
      </c>
      <c r="F24211" s="1">
        <v>8.6220853206708803E-3</v>
      </c>
    </row>
    <row r="24212" spans="1:6" x14ac:dyDescent="0.25">
      <c r="A24212" s="2" t="str">
        <f t="shared" si="846"/>
        <v>17140</v>
      </c>
      <c r="B24212" s="2" t="str">
        <f>"41063"</f>
        <v>41063</v>
      </c>
      <c r="C24212" s="1">
        <v>1.2653089301163799E-3</v>
      </c>
      <c r="D24212" s="1">
        <v>1.6712825900104999E-4</v>
      </c>
      <c r="E24212" s="1">
        <v>0</v>
      </c>
      <c r="F24212" s="1">
        <v>1.1188706865204001E-3</v>
      </c>
    </row>
    <row r="24213" spans="1:6" x14ac:dyDescent="0.25">
      <c r="A24213" s="2" t="str">
        <f t="shared" si="846"/>
        <v>17140</v>
      </c>
      <c r="B24213" s="2" t="str">
        <f>"41059"</f>
        <v>41059</v>
      </c>
      <c r="C24213" s="1">
        <v>1.2091160373546999E-3</v>
      </c>
      <c r="D24213" s="1">
        <v>3.3425651800210102E-4</v>
      </c>
      <c r="E24213" s="1">
        <v>2.97647021963217E-4</v>
      </c>
      <c r="F24213" s="1">
        <v>1.0976799538211499E-3</v>
      </c>
    </row>
    <row r="24214" spans="1:6" x14ac:dyDescent="0.25">
      <c r="A24214" s="2" t="str">
        <f t="shared" si="846"/>
        <v>17140</v>
      </c>
      <c r="B24214" s="2" t="str">
        <f>"41046"</f>
        <v>41046</v>
      </c>
      <c r="C24214" s="1">
        <v>7.5666636632534302E-4</v>
      </c>
      <c r="D24214" s="1">
        <v>2.3875465571578599E-4</v>
      </c>
      <c r="E24214" s="1">
        <v>3.13312654698123E-5</v>
      </c>
      <c r="F24214" s="1">
        <v>6.8064633429991298E-4</v>
      </c>
    </row>
    <row r="24215" spans="1:6" x14ac:dyDescent="0.25">
      <c r="A24215" s="2" t="str">
        <f t="shared" si="846"/>
        <v>17140</v>
      </c>
      <c r="B24215" s="2" t="str">
        <f>"41018"</f>
        <v>41018</v>
      </c>
      <c r="C24215" s="1">
        <v>1.23643740935262E-2</v>
      </c>
      <c r="D24215" s="1">
        <v>1.3573202177442401E-2</v>
      </c>
      <c r="E24215" s="1">
        <v>1.12635899363975E-2</v>
      </c>
      <c r="F24215" s="1">
        <v>1.2390645223905501E-2</v>
      </c>
    </row>
    <row r="24216" spans="1:6" x14ac:dyDescent="0.25">
      <c r="A24216" s="2" t="str">
        <f t="shared" si="846"/>
        <v>17140</v>
      </c>
      <c r="B24216" s="2" t="str">
        <f>"41016"</f>
        <v>41016</v>
      </c>
      <c r="C24216" s="1">
        <v>2.8067381091479099E-3</v>
      </c>
      <c r="D24216" s="1">
        <v>1.5757807277241901E-3</v>
      </c>
      <c r="E24216" s="1">
        <v>2.1305260519472301E-3</v>
      </c>
      <c r="F24216" s="1">
        <v>2.6827467597250599E-3</v>
      </c>
    </row>
    <row r="24217" spans="1:6" x14ac:dyDescent="0.25">
      <c r="A24217" s="2" t="str">
        <f t="shared" si="846"/>
        <v>17140</v>
      </c>
      <c r="B24217" s="2" t="str">
        <f>"41015"</f>
        <v>41015</v>
      </c>
      <c r="C24217" s="1">
        <v>9.7262146626634002E-3</v>
      </c>
      <c r="D24217" s="1">
        <v>6.7806322223283302E-3</v>
      </c>
      <c r="E24217" s="1">
        <v>5.6396277845662101E-3</v>
      </c>
      <c r="F24217" s="1">
        <v>9.2959506205070302E-3</v>
      </c>
    </row>
    <row r="24218" spans="1:6" x14ac:dyDescent="0.25">
      <c r="A24218" s="2" t="str">
        <f t="shared" si="846"/>
        <v>17140</v>
      </c>
      <c r="B24218" s="2" t="str">
        <f>"47240"</f>
        <v>47240</v>
      </c>
      <c r="C24218" s="1">
        <v>7.0725537441421294E-5</v>
      </c>
      <c r="D24218" s="1">
        <v>0</v>
      </c>
      <c r="E24218" s="1">
        <v>0</v>
      </c>
      <c r="F24218" s="1">
        <v>6.1876939481810206E-5</v>
      </c>
    </row>
    <row r="24219" spans="1:6" x14ac:dyDescent="0.25">
      <c r="A24219" s="2" t="str">
        <f t="shared" si="846"/>
        <v>17140</v>
      </c>
      <c r="B24219" s="2" t="str">
        <f>"47017"</f>
        <v>47017</v>
      </c>
      <c r="C24219" s="1">
        <v>1.1626115743795199E-5</v>
      </c>
      <c r="D24219" s="1">
        <v>0</v>
      </c>
      <c r="E24219" s="1">
        <v>0</v>
      </c>
      <c r="F24219" s="1">
        <v>1.0171551695639999E-5</v>
      </c>
    </row>
    <row r="24220" spans="1:6" x14ac:dyDescent="0.25">
      <c r="A24220" s="2" t="str">
        <f t="shared" si="846"/>
        <v>17140</v>
      </c>
      <c r="B24220" s="2" t="str">
        <f>"47010"</f>
        <v>47010</v>
      </c>
      <c r="C24220" s="1">
        <v>1.1335462850200399E-4</v>
      </c>
      <c r="D24220" s="1">
        <v>5.9688663928946599E-5</v>
      </c>
      <c r="E24220" s="1">
        <v>6.2662530939624599E-5</v>
      </c>
      <c r="F24220" s="1">
        <v>1.0680129280421999E-4</v>
      </c>
    </row>
    <row r="24221" spans="1:6" x14ac:dyDescent="0.25">
      <c r="A24221" s="2" t="str">
        <f t="shared" si="846"/>
        <v>17140</v>
      </c>
      <c r="B24221" s="2" t="str">
        <f>"47022"</f>
        <v>47022</v>
      </c>
      <c r="C24221" s="1">
        <v>1.2275240539490501E-3</v>
      </c>
      <c r="D24221" s="1">
        <v>3.7006971635946897E-4</v>
      </c>
      <c r="E24221" s="1">
        <v>1.09659429144343E-4</v>
      </c>
      <c r="F24221" s="1">
        <v>1.1061562469008501E-3</v>
      </c>
    </row>
    <row r="24222" spans="1:6" x14ac:dyDescent="0.25">
      <c r="A24222" s="2" t="str">
        <f t="shared" si="846"/>
        <v>17140</v>
      </c>
      <c r="B24222" s="2" t="str">
        <f>"45458"</f>
        <v>45458</v>
      </c>
      <c r="C24222" s="1">
        <v>1.2604647152231301E-3</v>
      </c>
      <c r="D24222" s="1">
        <v>3.2231878521631101E-4</v>
      </c>
      <c r="E24222" s="1">
        <v>3.13312654698123E-5</v>
      </c>
      <c r="F24222" s="1">
        <v>1.1273469796001E-3</v>
      </c>
    </row>
    <row r="24223" spans="1:6" x14ac:dyDescent="0.25">
      <c r="A24223" s="2" t="str">
        <f t="shared" si="846"/>
        <v>17140</v>
      </c>
      <c r="B24223" s="2" t="str">
        <f>"45342"</f>
        <v>45342</v>
      </c>
      <c r="C24223" s="1">
        <v>6.8787851484122106E-5</v>
      </c>
      <c r="D24223" s="1">
        <v>4.7750931143157203E-5</v>
      </c>
      <c r="E24223" s="1">
        <v>0</v>
      </c>
      <c r="F24223" s="1">
        <v>6.3572198097750301E-5</v>
      </c>
    </row>
    <row r="24224" spans="1:6" x14ac:dyDescent="0.25">
      <c r="A24224" s="2" t="str">
        <f t="shared" si="846"/>
        <v>17140</v>
      </c>
      <c r="B24224" s="2" t="str">
        <f>"45267"</f>
        <v>45267</v>
      </c>
      <c r="C24224" s="1">
        <v>0</v>
      </c>
      <c r="D24224" s="1">
        <v>2.3875465571578602E-5</v>
      </c>
      <c r="E24224" s="1">
        <v>0</v>
      </c>
      <c r="F24224" s="1">
        <v>1.6952586159399999E-6</v>
      </c>
    </row>
    <row r="24225" spans="1:6" x14ac:dyDescent="0.25">
      <c r="A24225" s="2" t="str">
        <f t="shared" si="846"/>
        <v>17140</v>
      </c>
      <c r="B24225" s="2" t="str">
        <f>"45148"</f>
        <v>45148</v>
      </c>
      <c r="C24225" s="1">
        <v>5.52240497830276E-5</v>
      </c>
      <c r="D24225" s="1">
        <v>1.1937732785789301E-5</v>
      </c>
      <c r="E24225" s="1">
        <v>0</v>
      </c>
      <c r="F24225" s="1">
        <v>4.91624998622602E-5</v>
      </c>
    </row>
    <row r="24226" spans="1:6" x14ac:dyDescent="0.25">
      <c r="A24226" s="2" t="str">
        <f t="shared" si="846"/>
        <v>17140</v>
      </c>
      <c r="B24226" s="2" t="str">
        <f>"45240"</f>
        <v>45240</v>
      </c>
      <c r="C24226" s="1">
        <v>1.1363559296581199E-2</v>
      </c>
      <c r="D24226" s="1">
        <v>1.1961608251360899E-2</v>
      </c>
      <c r="E24226" s="1">
        <v>1.0073001848544601E-2</v>
      </c>
      <c r="F24226" s="1">
        <v>1.1336194364790801E-2</v>
      </c>
    </row>
    <row r="24227" spans="1:6" x14ac:dyDescent="0.25">
      <c r="A24227" s="2" t="str">
        <f t="shared" si="846"/>
        <v>17140</v>
      </c>
      <c r="B24227" s="2" t="str">
        <f>"45238"</f>
        <v>45238</v>
      </c>
      <c r="C24227" s="1">
        <v>2.0138370154210699E-2</v>
      </c>
      <c r="D24227" s="1">
        <v>1.0350014325279299E-2</v>
      </c>
      <c r="E24227" s="1">
        <v>2.4924021681235701E-2</v>
      </c>
      <c r="F24227" s="1">
        <v>1.9702295634454699E-2</v>
      </c>
    </row>
    <row r="24228" spans="1:6" x14ac:dyDescent="0.25">
      <c r="A24228" s="2" t="str">
        <f t="shared" si="846"/>
        <v>17140</v>
      </c>
      <c r="B24228" s="2" t="str">
        <f>"45223"</f>
        <v>45223</v>
      </c>
      <c r="C24228" s="1">
        <v>7.0095789505299003E-3</v>
      </c>
      <c r="D24228" s="1">
        <v>6.5418775666125396E-3</v>
      </c>
      <c r="E24228" s="1">
        <v>1.03863145032427E-2</v>
      </c>
      <c r="F24228" s="1">
        <v>7.1590771351146502E-3</v>
      </c>
    </row>
    <row r="24229" spans="1:6" x14ac:dyDescent="0.25">
      <c r="A24229" s="2" t="str">
        <f t="shared" si="846"/>
        <v>17140</v>
      </c>
      <c r="B24229" s="2" t="str">
        <f>"45215"</f>
        <v>45215</v>
      </c>
      <c r="C24229" s="1">
        <v>1.4878521623122001E-2</v>
      </c>
      <c r="D24229" s="1">
        <v>1.8957119663833399E-2</v>
      </c>
      <c r="E24229" s="1">
        <v>1.5775292164050499E-2</v>
      </c>
      <c r="F24229" s="1">
        <v>1.52166413366775E-2</v>
      </c>
    </row>
    <row r="24230" spans="1:6" x14ac:dyDescent="0.25">
      <c r="A24230" s="2" t="str">
        <f t="shared" si="846"/>
        <v>17140</v>
      </c>
      <c r="B24230" s="2" t="str">
        <f>"45232"</f>
        <v>45232</v>
      </c>
      <c r="C24230" s="1">
        <v>3.1070794325292902E-3</v>
      </c>
      <c r="D24230" s="1">
        <v>3.1754369210199502E-3</v>
      </c>
      <c r="E24230" s="1">
        <v>1.7388852335745799E-3</v>
      </c>
      <c r="F24230" s="1">
        <v>3.0379034397644898E-3</v>
      </c>
    </row>
    <row r="24231" spans="1:6" x14ac:dyDescent="0.25">
      <c r="A24231" s="2" t="str">
        <f t="shared" si="846"/>
        <v>17140</v>
      </c>
      <c r="B24231" s="2" t="str">
        <f>"45225"</f>
        <v>45225</v>
      </c>
      <c r="C24231" s="1">
        <v>5.1038648115261298E-3</v>
      </c>
      <c r="D24231" s="1">
        <v>3.9752650176678398E-3</v>
      </c>
      <c r="E24231" s="1">
        <v>6.0939311338784902E-3</v>
      </c>
      <c r="F24231" s="1">
        <v>5.07729955474032E-3</v>
      </c>
    </row>
    <row r="24232" spans="1:6" x14ac:dyDescent="0.25">
      <c r="A24232" s="2" t="str">
        <f t="shared" ref="A24232:A24295" si="847">"17140"</f>
        <v>17140</v>
      </c>
      <c r="B24232" s="2" t="str">
        <f>"45224"</f>
        <v>45224</v>
      </c>
      <c r="C24232" s="1">
        <v>1.00662785481694E-2</v>
      </c>
      <c r="D24232" s="1">
        <v>5.6942985388215E-3</v>
      </c>
      <c r="E24232" s="1">
        <v>1.22661904314315E-2</v>
      </c>
      <c r="F24232" s="1">
        <v>9.8748814378505408E-3</v>
      </c>
    </row>
    <row r="24233" spans="1:6" x14ac:dyDescent="0.25">
      <c r="A24233" s="2" t="str">
        <f t="shared" si="847"/>
        <v>17140</v>
      </c>
      <c r="B24233" s="2" t="str">
        <f>"45115"</f>
        <v>45115</v>
      </c>
      <c r="C24233" s="1">
        <v>0</v>
      </c>
      <c r="D24233" s="1">
        <v>0</v>
      </c>
      <c r="E24233" s="1">
        <v>1.5665632734906099E-5</v>
      </c>
      <c r="F24233" s="1">
        <v>8.4762930797000397E-7</v>
      </c>
    </row>
    <row r="24234" spans="1:6" x14ac:dyDescent="0.25">
      <c r="A24234" s="2" t="str">
        <f t="shared" si="847"/>
        <v>17140</v>
      </c>
      <c r="B24234" s="2" t="str">
        <f>"45107"</f>
        <v>45107</v>
      </c>
      <c r="C24234" s="1">
        <v>1.2585270292658299E-3</v>
      </c>
      <c r="D24234" s="1">
        <v>1.91003724572629E-4</v>
      </c>
      <c r="E24234" s="1">
        <v>0</v>
      </c>
      <c r="F24234" s="1">
        <v>1.11463253998055E-3</v>
      </c>
    </row>
    <row r="24235" spans="1:6" x14ac:dyDescent="0.25">
      <c r="A24235" s="2" t="str">
        <f t="shared" si="847"/>
        <v>17140</v>
      </c>
      <c r="B24235" s="2" t="str">
        <f>"45106"</f>
        <v>45106</v>
      </c>
      <c r="C24235" s="1">
        <v>5.0990205966328804E-3</v>
      </c>
      <c r="D24235" s="1">
        <v>2.7934294718747E-3</v>
      </c>
      <c r="E24235" s="1">
        <v>2.3185136447661102E-3</v>
      </c>
      <c r="F24235" s="1">
        <v>4.7848674434906703E-3</v>
      </c>
    </row>
    <row r="24236" spans="1:6" x14ac:dyDescent="0.25">
      <c r="A24236" s="2" t="str">
        <f t="shared" si="847"/>
        <v>17140</v>
      </c>
      <c r="B24236" s="2" t="str">
        <f>"45204"</f>
        <v>45204</v>
      </c>
      <c r="C24236" s="1">
        <v>3.445205632078E-3</v>
      </c>
      <c r="D24236" s="1">
        <v>2.16072963422786E-3</v>
      </c>
      <c r="E24236" s="1">
        <v>6.7988846069492702E-3</v>
      </c>
      <c r="F24236" s="1">
        <v>3.5354618435428798E-3</v>
      </c>
    </row>
    <row r="24237" spans="1:6" x14ac:dyDescent="0.25">
      <c r="A24237" s="2" t="str">
        <f t="shared" si="847"/>
        <v>17140</v>
      </c>
      <c r="B24237" s="2" t="str">
        <f>"45052"</f>
        <v>45052</v>
      </c>
      <c r="C24237" s="1">
        <v>1.60052860072915E-3</v>
      </c>
      <c r="D24237" s="1">
        <v>8.4757902779104095E-4</v>
      </c>
      <c r="E24237" s="1">
        <v>6.1095967666134003E-4</v>
      </c>
      <c r="F24237" s="1">
        <v>1.4935228406431399E-3</v>
      </c>
    </row>
    <row r="24238" spans="1:6" x14ac:dyDescent="0.25">
      <c r="A24238" s="2" t="str">
        <f t="shared" si="847"/>
        <v>17140</v>
      </c>
      <c r="B24238" s="2" t="str">
        <f>"45044"</f>
        <v>45044</v>
      </c>
      <c r="C24238" s="1">
        <v>2.2788155700817402E-2</v>
      </c>
      <c r="D24238" s="1">
        <v>1.6879954159106099E-2</v>
      </c>
      <c r="E24238" s="1">
        <v>1.9629037816837398E-2</v>
      </c>
      <c r="F24238" s="1">
        <v>2.21977163171184E-2</v>
      </c>
    </row>
    <row r="24239" spans="1:6" x14ac:dyDescent="0.25">
      <c r="A24239" s="2" t="str">
        <f t="shared" si="847"/>
        <v>17140</v>
      </c>
      <c r="B24239" s="2" t="str">
        <f>"45001"</f>
        <v>45001</v>
      </c>
      <c r="C24239" s="1">
        <v>3.5944074507900402E-4</v>
      </c>
      <c r="D24239" s="1">
        <v>4.7750931143157203E-5</v>
      </c>
      <c r="E24239" s="1">
        <v>1.09659429144343E-4</v>
      </c>
      <c r="F24239" s="1">
        <v>3.2379439564454102E-4</v>
      </c>
    </row>
    <row r="24240" spans="1:6" x14ac:dyDescent="0.25">
      <c r="A24240" s="2" t="str">
        <f t="shared" si="847"/>
        <v>17140</v>
      </c>
      <c r="B24240" s="2" t="str">
        <f>"45005"</f>
        <v>45005</v>
      </c>
      <c r="C24240" s="1">
        <v>1.3447540543656499E-2</v>
      </c>
      <c r="D24240" s="1">
        <v>1.2809187279151899E-2</v>
      </c>
      <c r="E24240" s="1">
        <v>7.04953473070777E-3</v>
      </c>
      <c r="F24240" s="1">
        <v>1.30560342306619E-2</v>
      </c>
    </row>
    <row r="24241" spans="1:6" x14ac:dyDescent="0.25">
      <c r="A24241" s="2" t="str">
        <f t="shared" si="847"/>
        <v>17140</v>
      </c>
      <c r="B24241" s="2" t="str">
        <f>"41094"</f>
        <v>41094</v>
      </c>
      <c r="C24241" s="1">
        <v>5.6464168795699104E-3</v>
      </c>
      <c r="D24241" s="1">
        <v>4.7392799159583603E-3</v>
      </c>
      <c r="E24241" s="1">
        <v>2.7414857286085698E-3</v>
      </c>
      <c r="F24241" s="1">
        <v>5.4248275710080196E-3</v>
      </c>
    </row>
    <row r="24242" spans="1:6" x14ac:dyDescent="0.25">
      <c r="A24242" s="2" t="str">
        <f t="shared" si="847"/>
        <v>17140</v>
      </c>
      <c r="B24242" s="2" t="str">
        <f>"41086"</f>
        <v>41086</v>
      </c>
      <c r="C24242" s="1">
        <v>6.0068264676275604E-4</v>
      </c>
      <c r="D24242" s="1">
        <v>3.4619425078788999E-4</v>
      </c>
      <c r="E24242" s="1">
        <v>0</v>
      </c>
      <c r="F24242" s="1">
        <v>5.5011142087253197E-4</v>
      </c>
    </row>
    <row r="24243" spans="1:6" x14ac:dyDescent="0.25">
      <c r="A24243" s="2" t="str">
        <f t="shared" si="847"/>
        <v>17140</v>
      </c>
      <c r="B24243" s="2" t="str">
        <f>"41053"</f>
        <v>41053</v>
      </c>
      <c r="C24243" s="1">
        <v>0</v>
      </c>
      <c r="D24243" s="1">
        <v>0</v>
      </c>
      <c r="E24243" s="1">
        <v>1.5665632734906099E-5</v>
      </c>
      <c r="F24243" s="1">
        <v>8.4762930797000397E-7</v>
      </c>
    </row>
    <row r="24244" spans="1:6" x14ac:dyDescent="0.25">
      <c r="A24244" s="2" t="str">
        <f t="shared" si="847"/>
        <v>17140</v>
      </c>
      <c r="B24244" s="2" t="str">
        <f>"41073"</f>
        <v>41073</v>
      </c>
      <c r="C24244" s="1">
        <v>2.9462514980734501E-3</v>
      </c>
      <c r="D24244" s="1">
        <v>2.3994842899436502E-3</v>
      </c>
      <c r="E24244" s="1">
        <v>7.3315161199360799E-3</v>
      </c>
      <c r="F24244" s="1">
        <v>3.14470473256871E-3</v>
      </c>
    </row>
    <row r="24245" spans="1:6" x14ac:dyDescent="0.25">
      <c r="A24245" s="2" t="str">
        <f t="shared" si="847"/>
        <v>17140</v>
      </c>
      <c r="B24245" s="2" t="str">
        <f>"41075"</f>
        <v>41075</v>
      </c>
      <c r="C24245" s="1">
        <v>7.7090835811149203E-3</v>
      </c>
      <c r="D24245" s="1">
        <v>5.3481042880336102E-3</v>
      </c>
      <c r="E24245" s="1">
        <v>1.1780555816649401E-2</v>
      </c>
      <c r="F24245" s="1">
        <v>7.7617415730813202E-3</v>
      </c>
    </row>
    <row r="24246" spans="1:6" x14ac:dyDescent="0.25">
      <c r="A24246" s="2" t="str">
        <f t="shared" si="847"/>
        <v>17140</v>
      </c>
      <c r="B24246" s="2" t="str">
        <f>"41035"</f>
        <v>41035</v>
      </c>
      <c r="C24246" s="1">
        <v>4.7938350583582503E-3</v>
      </c>
      <c r="D24246" s="1">
        <v>2.9963709292331201E-3</v>
      </c>
      <c r="E24246" s="1">
        <v>2.1305260519472301E-3</v>
      </c>
      <c r="F24246" s="1">
        <v>4.5221023580199696E-3</v>
      </c>
    </row>
    <row r="24247" spans="1:6" x14ac:dyDescent="0.25">
      <c r="A24247" s="2" t="str">
        <f t="shared" si="847"/>
        <v>17140</v>
      </c>
      <c r="B24247" s="2" t="str">
        <f>"41011"</f>
        <v>41011</v>
      </c>
      <c r="C24247" s="1">
        <v>1.3894177156814E-2</v>
      </c>
      <c r="D24247" s="1">
        <v>1.7094833349250299E-2</v>
      </c>
      <c r="E24247" s="1">
        <v>2.586395964533E-2</v>
      </c>
      <c r="F24247" s="1">
        <v>1.47690930620693E-2</v>
      </c>
    </row>
    <row r="24248" spans="1:6" x14ac:dyDescent="0.25">
      <c r="A24248" s="2" t="str">
        <f t="shared" si="847"/>
        <v>17140</v>
      </c>
      <c r="B24248" s="2" t="str">
        <f>"47011"</f>
        <v>47011</v>
      </c>
      <c r="C24248" s="1">
        <v>3.3231314167681502E-4</v>
      </c>
      <c r="D24248" s="1">
        <v>5.9688663928946599E-5</v>
      </c>
      <c r="E24248" s="1">
        <v>1.5665632734906099E-5</v>
      </c>
      <c r="F24248" s="1">
        <v>2.9582262848153098E-4</v>
      </c>
    </row>
    <row r="24249" spans="1:6" x14ac:dyDescent="0.25">
      <c r="A24249" s="2" t="str">
        <f t="shared" si="847"/>
        <v>17140</v>
      </c>
      <c r="B24249" s="2" t="str">
        <f>"47035"</f>
        <v>47035</v>
      </c>
      <c r="C24249" s="1">
        <v>1.03666198715507E-4</v>
      </c>
      <c r="D24249" s="1">
        <v>8.35641295005252E-5</v>
      </c>
      <c r="E24249" s="1">
        <v>3.13312654698123E-5</v>
      </c>
      <c r="F24249" s="1">
        <v>9.8324999724520401E-5</v>
      </c>
    </row>
    <row r="24250" spans="1:6" x14ac:dyDescent="0.25">
      <c r="A24250" s="2" t="str">
        <f t="shared" si="847"/>
        <v>17140</v>
      </c>
      <c r="B24250" s="2" t="str">
        <f>"47024"</f>
        <v>47024</v>
      </c>
      <c r="C24250" s="1">
        <v>1.0686338054505099E-3</v>
      </c>
      <c r="D24250" s="1">
        <v>2.86505586858943E-4</v>
      </c>
      <c r="E24250" s="1">
        <v>3.13312654698123E-5</v>
      </c>
      <c r="F24250" s="1">
        <v>9.56973488698134E-4</v>
      </c>
    </row>
    <row r="24251" spans="1:6" x14ac:dyDescent="0.25">
      <c r="A24251" s="2" t="str">
        <f t="shared" si="847"/>
        <v>17140</v>
      </c>
      <c r="B24251" s="2" t="str">
        <f>"47018"</f>
        <v>47018</v>
      </c>
      <c r="C24251" s="1">
        <v>1.5113950466933801E-3</v>
      </c>
      <c r="D24251" s="1">
        <v>7.1626396714735902E-4</v>
      </c>
      <c r="E24251" s="1">
        <v>1.61356017169533E-3</v>
      </c>
      <c r="F24251" s="1">
        <v>1.4604652976323101E-3</v>
      </c>
    </row>
    <row r="24252" spans="1:6" x14ac:dyDescent="0.25">
      <c r="A24252" s="2" t="str">
        <f t="shared" si="847"/>
        <v>17140</v>
      </c>
      <c r="B24252" s="2" t="str">
        <f>"45275"</f>
        <v>45275</v>
      </c>
      <c r="C24252" s="1">
        <v>0</v>
      </c>
      <c r="D24252" s="1">
        <v>1.1937732785789301E-5</v>
      </c>
      <c r="E24252" s="1">
        <v>0</v>
      </c>
      <c r="F24252" s="1">
        <v>8.4762930797000397E-7</v>
      </c>
    </row>
    <row r="24253" spans="1:6" x14ac:dyDescent="0.25">
      <c r="A24253" s="2" t="str">
        <f t="shared" si="847"/>
        <v>17140</v>
      </c>
      <c r="B24253" s="2" t="str">
        <f>"45255"</f>
        <v>45255</v>
      </c>
      <c r="C24253" s="1">
        <v>9.4617205294920594E-3</v>
      </c>
      <c r="D24253" s="1">
        <v>1.1197593353070299E-2</v>
      </c>
      <c r="E24253" s="1">
        <v>9.0547357207757598E-3</v>
      </c>
      <c r="F24253" s="1">
        <v>9.5629538525175799E-3</v>
      </c>
    </row>
    <row r="24254" spans="1:6" x14ac:dyDescent="0.25">
      <c r="A24254" s="2" t="str">
        <f t="shared" si="847"/>
        <v>17140</v>
      </c>
      <c r="B24254" s="2" t="str">
        <f>"45245"</f>
        <v>45245</v>
      </c>
      <c r="C24254" s="1">
        <v>8.9424206929358697E-3</v>
      </c>
      <c r="D24254" s="1">
        <v>9.6218126253461902E-3</v>
      </c>
      <c r="E24254" s="1">
        <v>1.0370648870507799E-2</v>
      </c>
      <c r="F24254" s="1">
        <v>9.0679383366630995E-3</v>
      </c>
    </row>
    <row r="24255" spans="1:6" x14ac:dyDescent="0.25">
      <c r="A24255" s="2" t="str">
        <f t="shared" si="847"/>
        <v>17140</v>
      </c>
      <c r="B24255" s="2" t="str">
        <f>"45158"</f>
        <v>45158</v>
      </c>
      <c r="C24255" s="1">
        <v>0</v>
      </c>
      <c r="D24255" s="1">
        <v>0</v>
      </c>
      <c r="E24255" s="1">
        <v>1.5665632734906099E-5</v>
      </c>
      <c r="F24255" s="1">
        <v>8.4762930797000397E-7</v>
      </c>
    </row>
    <row r="24256" spans="1:6" x14ac:dyDescent="0.25">
      <c r="A24256" s="2" t="str">
        <f t="shared" si="847"/>
        <v>17140</v>
      </c>
      <c r="B24256" s="2" t="str">
        <f>"45176"</f>
        <v>45176</v>
      </c>
      <c r="C24256" s="1">
        <v>3.9567547248049902E-3</v>
      </c>
      <c r="D24256" s="1">
        <v>2.0532900391557599E-3</v>
      </c>
      <c r="E24256" s="1">
        <v>3.4777704671491599E-3</v>
      </c>
      <c r="F24256" s="1">
        <v>3.79568404108967E-3</v>
      </c>
    </row>
    <row r="24257" spans="1:6" x14ac:dyDescent="0.25">
      <c r="A24257" s="2" t="str">
        <f t="shared" si="847"/>
        <v>17140</v>
      </c>
      <c r="B24257" s="2" t="str">
        <f>"45147"</f>
        <v>45147</v>
      </c>
      <c r="C24257" s="1">
        <v>0</v>
      </c>
      <c r="D24257" s="1">
        <v>0</v>
      </c>
      <c r="E24257" s="1">
        <v>1.5665632734906099E-5</v>
      </c>
      <c r="F24257" s="1">
        <v>8.4762930797000397E-7</v>
      </c>
    </row>
    <row r="24258" spans="1:6" x14ac:dyDescent="0.25">
      <c r="A24258" s="2" t="str">
        <f t="shared" si="847"/>
        <v>17140</v>
      </c>
      <c r="B24258" s="2" t="str">
        <f>"45156"</f>
        <v>45156</v>
      </c>
      <c r="C24258" s="1">
        <v>0</v>
      </c>
      <c r="D24258" s="1">
        <v>0</v>
      </c>
      <c r="E24258" s="1">
        <v>1.5665632734906099E-5</v>
      </c>
      <c r="F24258" s="1">
        <v>8.4762930797000397E-7</v>
      </c>
    </row>
    <row r="24259" spans="1:6" x14ac:dyDescent="0.25">
      <c r="A24259" s="2" t="str">
        <f t="shared" si="847"/>
        <v>17140</v>
      </c>
      <c r="B24259" s="2" t="str">
        <f>"45153"</f>
        <v>45153</v>
      </c>
      <c r="C24259" s="1">
        <v>7.5182215143209503E-4</v>
      </c>
      <c r="D24259" s="1">
        <v>2.2681692292999701E-4</v>
      </c>
      <c r="E24259" s="1">
        <v>1.2532506187924901E-4</v>
      </c>
      <c r="F24259" s="1">
        <v>6.8064633429991298E-4</v>
      </c>
    </row>
    <row r="24260" spans="1:6" x14ac:dyDescent="0.25">
      <c r="A24260" s="2" t="str">
        <f t="shared" si="847"/>
        <v>17140</v>
      </c>
      <c r="B24260" s="2" t="str">
        <f>"45142"</f>
        <v>45142</v>
      </c>
      <c r="C24260" s="1">
        <v>1.2788727318174801E-4</v>
      </c>
      <c r="D24260" s="1">
        <v>1.1937732785789301E-5</v>
      </c>
      <c r="E24260" s="1">
        <v>0</v>
      </c>
      <c r="F24260" s="1">
        <v>1.1273469796001E-4</v>
      </c>
    </row>
    <row r="24261" spans="1:6" x14ac:dyDescent="0.25">
      <c r="A24261" s="2" t="str">
        <f t="shared" si="847"/>
        <v>17140</v>
      </c>
      <c r="B24261" s="2" t="str">
        <f>"45237"</f>
        <v>45237</v>
      </c>
      <c r="C24261" s="1">
        <v>1.0535198549835799E-2</v>
      </c>
      <c r="D24261" s="1">
        <v>1.04335784547798E-2</v>
      </c>
      <c r="E24261" s="1">
        <v>2.3702102327913002E-2</v>
      </c>
      <c r="F24261" s="1">
        <v>1.12404122529902E-2</v>
      </c>
    </row>
    <row r="24262" spans="1:6" x14ac:dyDescent="0.25">
      <c r="A24262" s="2" t="str">
        <f t="shared" si="847"/>
        <v>17140</v>
      </c>
      <c r="B24262" s="2" t="str">
        <f>"45241"</f>
        <v>45241</v>
      </c>
      <c r="C24262" s="1">
        <v>1.0471254913244901E-2</v>
      </c>
      <c r="D24262" s="1">
        <v>2.3970967433864902E-2</v>
      </c>
      <c r="E24262" s="1">
        <v>1.31121345991164E-2</v>
      </c>
      <c r="F24262" s="1">
        <v>1.15726829417144E-2</v>
      </c>
    </row>
    <row r="24263" spans="1:6" x14ac:dyDescent="0.25">
      <c r="A24263" s="2" t="str">
        <f t="shared" si="847"/>
        <v>17140</v>
      </c>
      <c r="B24263" s="2" t="str">
        <f>"45219"</f>
        <v>45219</v>
      </c>
      <c r="C24263" s="1">
        <v>9.7523734230869404E-3</v>
      </c>
      <c r="D24263" s="1">
        <v>9.1204278483430403E-3</v>
      </c>
      <c r="E24263" s="1">
        <v>2.1540245010495899E-2</v>
      </c>
      <c r="F24263" s="1">
        <v>1.03453157037738E-2</v>
      </c>
    </row>
    <row r="24264" spans="1:6" x14ac:dyDescent="0.25">
      <c r="A24264" s="2" t="str">
        <f t="shared" si="847"/>
        <v>17140</v>
      </c>
      <c r="B24264" s="2" t="str">
        <f>"45216"</f>
        <v>45216</v>
      </c>
      <c r="C24264" s="1">
        <v>4.6388201817743101E-3</v>
      </c>
      <c r="D24264" s="1">
        <v>6.2673097125393899E-3</v>
      </c>
      <c r="E24264" s="1">
        <v>7.1121972616473902E-3</v>
      </c>
      <c r="F24264" s="1">
        <v>4.8882782190630102E-3</v>
      </c>
    </row>
    <row r="24265" spans="1:6" x14ac:dyDescent="0.25">
      <c r="A24265" s="2" t="str">
        <f t="shared" si="847"/>
        <v>17140</v>
      </c>
      <c r="B24265" s="2" t="str">
        <f>"45230"</f>
        <v>45230</v>
      </c>
      <c r="C24265" s="1">
        <v>1.2699593764139001E-2</v>
      </c>
      <c r="D24265" s="1">
        <v>7.9266545697641091E-3</v>
      </c>
      <c r="E24265" s="1">
        <v>1.1388914998276699E-2</v>
      </c>
      <c r="F24265" s="1">
        <v>1.2289777336257E-2</v>
      </c>
    </row>
    <row r="24266" spans="1:6" x14ac:dyDescent="0.25">
      <c r="A24266" s="2" t="str">
        <f t="shared" si="847"/>
        <v>17140</v>
      </c>
      <c r="B24266" s="2" t="str">
        <f>"45227"</f>
        <v>45227</v>
      </c>
      <c r="C24266" s="1">
        <v>9.7281523486207003E-3</v>
      </c>
      <c r="D24266" s="1">
        <v>1.1806417725145599E-2</v>
      </c>
      <c r="E24266" s="1">
        <v>1.0871949118024801E-2</v>
      </c>
      <c r="F24266" s="1">
        <v>9.9376060066403201E-3</v>
      </c>
    </row>
    <row r="24267" spans="1:6" x14ac:dyDescent="0.25">
      <c r="A24267" s="2" t="str">
        <f t="shared" si="847"/>
        <v>17140</v>
      </c>
      <c r="B24267" s="2" t="str">
        <f>"45131"</f>
        <v>45131</v>
      </c>
      <c r="C24267" s="1">
        <v>1.93768595729921E-6</v>
      </c>
      <c r="D24267" s="1">
        <v>0</v>
      </c>
      <c r="E24267" s="1">
        <v>1.5665632734906099E-5</v>
      </c>
      <c r="F24267" s="1">
        <v>2.54288792391001E-6</v>
      </c>
    </row>
    <row r="24268" spans="1:6" x14ac:dyDescent="0.25">
      <c r="A24268" s="2" t="str">
        <f t="shared" si="847"/>
        <v>17140</v>
      </c>
      <c r="B24268" s="2" t="str">
        <f>"45118"</f>
        <v>45118</v>
      </c>
      <c r="C24268" s="1">
        <v>1.6402511628537801E-3</v>
      </c>
      <c r="D24268" s="1">
        <v>4.2975838028841499E-4</v>
      </c>
      <c r="E24268" s="1">
        <v>1.40990694614155E-4</v>
      </c>
      <c r="F24268" s="1">
        <v>1.4731797372518601E-3</v>
      </c>
    </row>
    <row r="24269" spans="1:6" x14ac:dyDescent="0.25">
      <c r="A24269" s="2" t="str">
        <f t="shared" si="847"/>
        <v>17140</v>
      </c>
      <c r="B24269" s="2" t="str">
        <f>"45209"</f>
        <v>45209</v>
      </c>
      <c r="C24269" s="1">
        <v>7.2469454802990604E-3</v>
      </c>
      <c r="D24269" s="1">
        <v>1.0051571005634599E-2</v>
      </c>
      <c r="E24269" s="1">
        <v>1.1169596139988001E-2</v>
      </c>
      <c r="F24269" s="1">
        <v>7.6583307975089804E-3</v>
      </c>
    </row>
    <row r="24270" spans="1:6" x14ac:dyDescent="0.25">
      <c r="A24270" s="2" t="str">
        <f t="shared" si="847"/>
        <v>17140</v>
      </c>
      <c r="B24270" s="2" t="str">
        <f>"45203"</f>
        <v>45203</v>
      </c>
      <c r="C24270" s="1">
        <v>1.2536828143725901E-3</v>
      </c>
      <c r="D24270" s="1">
        <v>5.7539872027504496E-3</v>
      </c>
      <c r="E24270" s="1">
        <v>1.92687282639345E-3</v>
      </c>
      <c r="F24270" s="1">
        <v>1.6096480558350299E-3</v>
      </c>
    </row>
    <row r="24271" spans="1:6" x14ac:dyDescent="0.25">
      <c r="A24271" s="2" t="str">
        <f t="shared" si="847"/>
        <v>17140</v>
      </c>
      <c r="B24271" s="2" t="str">
        <f>"45069"</f>
        <v>45069</v>
      </c>
      <c r="C24271" s="1">
        <v>2.10384252813762E-2</v>
      </c>
      <c r="D24271" s="1">
        <v>3.2112501193773201E-2</v>
      </c>
      <c r="E24271" s="1">
        <v>1.51643324873891E-2</v>
      </c>
      <c r="F24271" s="1">
        <v>2.1506898431122901E-2</v>
      </c>
    </row>
    <row r="24272" spans="1:6" x14ac:dyDescent="0.25">
      <c r="A24272" s="2" t="str">
        <f t="shared" si="847"/>
        <v>17140</v>
      </c>
      <c r="B24272" s="2" t="str">
        <f>"45051"</f>
        <v>45051</v>
      </c>
      <c r="C24272" s="1">
        <v>0</v>
      </c>
      <c r="D24272" s="1">
        <v>0</v>
      </c>
      <c r="E24272" s="1">
        <v>3.13312654698123E-5</v>
      </c>
      <c r="F24272" s="1">
        <v>1.6952586159399999E-6</v>
      </c>
    </row>
    <row r="24273" spans="1:6" x14ac:dyDescent="0.25">
      <c r="A24273" s="2" t="str">
        <f t="shared" si="847"/>
        <v>17140</v>
      </c>
      <c r="B24273" s="2" t="str">
        <f>"45066"</f>
        <v>45066</v>
      </c>
      <c r="C24273" s="1">
        <v>9.6477383813927797E-3</v>
      </c>
      <c r="D24273" s="1">
        <v>1.0302263394136099E-2</v>
      </c>
      <c r="E24273" s="1">
        <v>1.8798759281887299E-3</v>
      </c>
      <c r="F24273" s="1">
        <v>9.2739122584998106E-3</v>
      </c>
    </row>
    <row r="24274" spans="1:6" x14ac:dyDescent="0.25">
      <c r="A24274" s="2" t="str">
        <f t="shared" si="847"/>
        <v>17140</v>
      </c>
      <c r="B24274" s="2" t="str">
        <f>"41074"</f>
        <v>41074</v>
      </c>
      <c r="C24274" s="1">
        <v>2.7495763734075801E-3</v>
      </c>
      <c r="D24274" s="1">
        <v>1.4444656670805E-3</v>
      </c>
      <c r="E24274" s="1">
        <v>6.50123758498605E-3</v>
      </c>
      <c r="F24274" s="1">
        <v>2.8599012850907901E-3</v>
      </c>
    </row>
    <row r="24275" spans="1:6" x14ac:dyDescent="0.25">
      <c r="A24275" s="2" t="str">
        <f t="shared" si="847"/>
        <v>17140</v>
      </c>
      <c r="B24275" s="2" t="str">
        <f>"41071"</f>
        <v>41071</v>
      </c>
      <c r="C24275" s="1">
        <v>1.14536616935956E-2</v>
      </c>
      <c r="D24275" s="1">
        <v>1.0899150033425601E-2</v>
      </c>
      <c r="E24275" s="1">
        <v>2.5534981357896998E-2</v>
      </c>
      <c r="F24275" s="1">
        <v>1.21761950089891E-2</v>
      </c>
    </row>
    <row r="24276" spans="1:6" x14ac:dyDescent="0.25">
      <c r="A24276" s="2" t="str">
        <f t="shared" si="847"/>
        <v>17140</v>
      </c>
      <c r="B24276" s="2" t="str">
        <f>"41051"</f>
        <v>41051</v>
      </c>
      <c r="C24276" s="1">
        <v>1.1788881364208401E-2</v>
      </c>
      <c r="D24276" s="1">
        <v>5.3600420208193998E-3</v>
      </c>
      <c r="E24276" s="1">
        <v>4.0887301438104996E-3</v>
      </c>
      <c r="F24276" s="1">
        <v>1.09157702280377E-2</v>
      </c>
    </row>
    <row r="24277" spans="1:6" x14ac:dyDescent="0.25">
      <c r="A24277" s="2" t="str">
        <f t="shared" si="847"/>
        <v>17140</v>
      </c>
      <c r="B24277" s="2" t="str">
        <f>"41014"</f>
        <v>41014</v>
      </c>
      <c r="C24277" s="1">
        <v>3.52852612824186E-3</v>
      </c>
      <c r="D24277" s="1">
        <v>1.6832203227962899E-3</v>
      </c>
      <c r="E24277" s="1">
        <v>3.46210483441426E-3</v>
      </c>
      <c r="F24277" s="1">
        <v>3.39390774911189E-3</v>
      </c>
    </row>
    <row r="24278" spans="1:6" x14ac:dyDescent="0.25">
      <c r="A24278" s="2" t="str">
        <f t="shared" si="847"/>
        <v>17140</v>
      </c>
      <c r="B24278" s="2" t="str">
        <f>"47353"</f>
        <v>47353</v>
      </c>
      <c r="C24278" s="1">
        <v>2.6313775300123299E-3</v>
      </c>
      <c r="D24278" s="1">
        <v>2.9724954636615401E-3</v>
      </c>
      <c r="E24278" s="1">
        <v>1.04959739323871E-3</v>
      </c>
      <c r="F24278" s="1">
        <v>2.5700120617650501E-3</v>
      </c>
    </row>
    <row r="24279" spans="1:6" x14ac:dyDescent="0.25">
      <c r="A24279" s="2" t="str">
        <f t="shared" si="847"/>
        <v>17140</v>
      </c>
      <c r="B24279" s="2" t="str">
        <f>"47006"</f>
        <v>47006</v>
      </c>
      <c r="C24279" s="1">
        <v>1.5423980220101701E-3</v>
      </c>
      <c r="D24279" s="1">
        <v>1.2295864769363001E-3</v>
      </c>
      <c r="E24279" s="1">
        <v>5.1696588025190303E-4</v>
      </c>
      <c r="F24279" s="1">
        <v>1.4647034441721599E-3</v>
      </c>
    </row>
    <row r="24280" spans="1:6" x14ac:dyDescent="0.25">
      <c r="A24280" s="2" t="str">
        <f t="shared" si="847"/>
        <v>17140</v>
      </c>
      <c r="B24280" s="2" t="str">
        <f>"47001"</f>
        <v>47001</v>
      </c>
      <c r="C24280" s="1">
        <v>4.6698231570910997E-3</v>
      </c>
      <c r="D24280" s="1">
        <v>4.3214592684557296E-3</v>
      </c>
      <c r="E24280" s="1">
        <v>3.7127549581727599E-3</v>
      </c>
      <c r="F24280" s="1">
        <v>4.5933032198894504E-3</v>
      </c>
    </row>
    <row r="24281" spans="1:6" x14ac:dyDescent="0.25">
      <c r="A24281" s="2" t="str">
        <f t="shared" si="847"/>
        <v>17140</v>
      </c>
      <c r="B24281" s="2" t="str">
        <f>"47036"</f>
        <v>47036</v>
      </c>
      <c r="C24281" s="1">
        <v>2.91621736573531E-4</v>
      </c>
      <c r="D24281" s="1">
        <v>4.7750931143157203E-5</v>
      </c>
      <c r="E24281" s="1">
        <v>0</v>
      </c>
      <c r="F24281" s="1">
        <v>2.5852693893085101E-4</v>
      </c>
    </row>
    <row r="24282" spans="1:6" x14ac:dyDescent="0.25">
      <c r="A24282" s="2" t="str">
        <f t="shared" si="847"/>
        <v>17140</v>
      </c>
      <c r="B24282" s="2" t="str">
        <f>"47031"</f>
        <v>47031</v>
      </c>
      <c r="C24282" s="1">
        <v>2.14114298281563E-4</v>
      </c>
      <c r="D24282" s="1">
        <v>0</v>
      </c>
      <c r="E24282" s="1">
        <v>0</v>
      </c>
      <c r="F24282" s="1">
        <v>1.8732607706137001E-4</v>
      </c>
    </row>
    <row r="24283" spans="1:6" x14ac:dyDescent="0.25">
      <c r="A24283" s="2" t="str">
        <f t="shared" si="847"/>
        <v>17140</v>
      </c>
      <c r="B24283" s="2" t="str">
        <f>"45263"</f>
        <v>45263</v>
      </c>
      <c r="C24283" s="1">
        <v>0</v>
      </c>
      <c r="D24283" s="1">
        <v>0</v>
      </c>
      <c r="E24283" s="1">
        <v>4.6996898204718402E-5</v>
      </c>
      <c r="F24283" s="1">
        <v>2.54288792391001E-6</v>
      </c>
    </row>
    <row r="24284" spans="1:6" x14ac:dyDescent="0.25">
      <c r="A24284" s="2" t="str">
        <f t="shared" si="847"/>
        <v>17140</v>
      </c>
      <c r="B24284" s="2" t="str">
        <f>"45249"</f>
        <v>45249</v>
      </c>
      <c r="C24284" s="1">
        <v>6.2238472948450696E-3</v>
      </c>
      <c r="D24284" s="1">
        <v>1.1722853595645099E-2</v>
      </c>
      <c r="E24284" s="1">
        <v>8.4124447786446E-3</v>
      </c>
      <c r="F24284" s="1">
        <v>6.7327195932057396E-3</v>
      </c>
    </row>
    <row r="24285" spans="1:6" x14ac:dyDescent="0.25">
      <c r="A24285" s="2" t="str">
        <f t="shared" si="847"/>
        <v>17140</v>
      </c>
      <c r="B24285" s="2" t="str">
        <f>"45243"</f>
        <v>45243</v>
      </c>
      <c r="C24285" s="1">
        <v>6.1279318399587602E-3</v>
      </c>
      <c r="D24285" s="1">
        <v>5.9808041256804497E-3</v>
      </c>
      <c r="E24285" s="1">
        <v>2.14619168468214E-3</v>
      </c>
      <c r="F24285" s="1">
        <v>5.9020428713951302E-3</v>
      </c>
    </row>
    <row r="24286" spans="1:6" x14ac:dyDescent="0.25">
      <c r="A24286" s="2" t="str">
        <f t="shared" si="847"/>
        <v>17140</v>
      </c>
      <c r="B24286" s="2" t="str">
        <f>"45248"</f>
        <v>45248</v>
      </c>
      <c r="C24286" s="1">
        <v>1.0038182101788499E-2</v>
      </c>
      <c r="D24286" s="1">
        <v>4.6676535192436202E-3</v>
      </c>
      <c r="E24286" s="1">
        <v>6.4385750540464299E-3</v>
      </c>
      <c r="F24286" s="1">
        <v>9.4620859648691501E-3</v>
      </c>
    </row>
    <row r="24287" spans="1:6" x14ac:dyDescent="0.25">
      <c r="A24287" s="2" t="str">
        <f t="shared" si="847"/>
        <v>17140</v>
      </c>
      <c r="B24287" s="2" t="str">
        <f>"45174"</f>
        <v>45174</v>
      </c>
      <c r="C24287" s="1">
        <v>7.9638892844997704E-4</v>
      </c>
      <c r="D24287" s="1">
        <v>3.5813198357367902E-4</v>
      </c>
      <c r="E24287" s="1">
        <v>2.0365322555378001E-4</v>
      </c>
      <c r="F24287" s="1">
        <v>7.3319935139405299E-4</v>
      </c>
    </row>
    <row r="24288" spans="1:6" x14ac:dyDescent="0.25">
      <c r="A24288" s="2" t="str">
        <f t="shared" si="847"/>
        <v>17140</v>
      </c>
      <c r="B24288" s="2" t="str">
        <f>"45150"</f>
        <v>45150</v>
      </c>
      <c r="C24288" s="1">
        <v>1.4356315257629799E-2</v>
      </c>
      <c r="D24288" s="1">
        <v>1.8909368732690199E-2</v>
      </c>
      <c r="E24288" s="1">
        <v>1.4678697872607E-2</v>
      </c>
      <c r="F24288" s="1">
        <v>1.4697044570891901E-2</v>
      </c>
    </row>
    <row r="24289" spans="1:6" x14ac:dyDescent="0.25">
      <c r="A24289" s="2" t="str">
        <f t="shared" si="847"/>
        <v>17140</v>
      </c>
      <c r="B24289" s="2" t="str">
        <f>"45239"</f>
        <v>45239</v>
      </c>
      <c r="C24289" s="1">
        <v>1.2500980953515799E-2</v>
      </c>
      <c r="D24289" s="1">
        <v>7.8192149746920004E-3</v>
      </c>
      <c r="E24289" s="1">
        <v>1.5461979509352301E-2</v>
      </c>
      <c r="F24289" s="1">
        <v>1.23287682844237E-2</v>
      </c>
    </row>
    <row r="24290" spans="1:6" x14ac:dyDescent="0.25">
      <c r="A24290" s="2" t="str">
        <f t="shared" si="847"/>
        <v>17140</v>
      </c>
      <c r="B24290" s="2" t="str">
        <f>"45222"</f>
        <v>45222</v>
      </c>
      <c r="C24290" s="1">
        <v>6.5687553952443296E-4</v>
      </c>
      <c r="D24290" s="1">
        <v>2.10104097029892E-3</v>
      </c>
      <c r="E24290" s="1">
        <v>3.13312654698123E-5</v>
      </c>
      <c r="F24290" s="1">
        <v>7.2557068762232305E-4</v>
      </c>
    </row>
    <row r="24291" spans="1:6" x14ac:dyDescent="0.25">
      <c r="A24291" s="2" t="str">
        <f t="shared" si="847"/>
        <v>17140</v>
      </c>
      <c r="B24291" s="2" t="str">
        <f>"45218"</f>
        <v>45218</v>
      </c>
      <c r="C24291" s="1">
        <v>1.8805242215588799E-3</v>
      </c>
      <c r="D24291" s="1">
        <v>1.6593448572247099E-3</v>
      </c>
      <c r="E24291" s="1">
        <v>2.0365322555378001E-4</v>
      </c>
      <c r="F24291" s="1">
        <v>1.7740881415812099E-3</v>
      </c>
    </row>
    <row r="24292" spans="1:6" x14ac:dyDescent="0.25">
      <c r="A24292" s="2" t="str">
        <f t="shared" si="847"/>
        <v>17140</v>
      </c>
      <c r="B24292" s="2" t="str">
        <f>"45213"</f>
        <v>45213</v>
      </c>
      <c r="C24292" s="1">
        <v>5.8837834093390601E-3</v>
      </c>
      <c r="D24292" s="1">
        <v>3.8558876898099502E-3</v>
      </c>
      <c r="E24292" s="1">
        <v>1.1200927405457899E-2</v>
      </c>
      <c r="F24292" s="1">
        <v>6.0274920089746897E-3</v>
      </c>
    </row>
    <row r="24293" spans="1:6" x14ac:dyDescent="0.25">
      <c r="A24293" s="2" t="str">
        <f t="shared" si="847"/>
        <v>17140</v>
      </c>
      <c r="B24293" s="2" t="str">
        <f>"45233"</f>
        <v>45233</v>
      </c>
      <c r="C24293" s="1">
        <v>6.0417048148589496E-3</v>
      </c>
      <c r="D24293" s="1">
        <v>2.2920446948715401E-3</v>
      </c>
      <c r="E24293" s="1">
        <v>2.49083560485007E-3</v>
      </c>
      <c r="F24293" s="1">
        <v>5.5833342515984102E-3</v>
      </c>
    </row>
    <row r="24294" spans="1:6" x14ac:dyDescent="0.25">
      <c r="A24294" s="2" t="str">
        <f t="shared" si="847"/>
        <v>17140</v>
      </c>
      <c r="B24294" s="2" t="str">
        <f>"45122"</f>
        <v>45122</v>
      </c>
      <c r="C24294" s="1">
        <v>4.3956405941332601E-3</v>
      </c>
      <c r="D24294" s="1">
        <v>1.5519052621526101E-3</v>
      </c>
      <c r="E24294" s="1">
        <v>8.5064385750540407E-3</v>
      </c>
      <c r="F24294" s="1">
        <v>4.4161486945237197E-3</v>
      </c>
    </row>
    <row r="24295" spans="1:6" x14ac:dyDescent="0.25">
      <c r="A24295" s="2" t="str">
        <f t="shared" si="847"/>
        <v>17140</v>
      </c>
      <c r="B24295" s="2" t="str">
        <f>"45121"</f>
        <v>45121</v>
      </c>
      <c r="C24295" s="1">
        <v>4.0807666260721399E-3</v>
      </c>
      <c r="D24295" s="1">
        <v>3.7842612930952101E-3</v>
      </c>
      <c r="E24295" s="1">
        <v>3.3681110380048198E-3</v>
      </c>
      <c r="F24295" s="1">
        <v>4.0211534370096901E-3</v>
      </c>
    </row>
    <row r="24296" spans="1:6" x14ac:dyDescent="0.25">
      <c r="A24296" s="2" t="str">
        <f t="shared" ref="A24296:A24315" si="848">"17140"</f>
        <v>17140</v>
      </c>
      <c r="B24296" s="2" t="str">
        <f>"45102"</f>
        <v>45102</v>
      </c>
      <c r="C24296" s="1">
        <v>1.08287579723666E-2</v>
      </c>
      <c r="D24296" s="1">
        <v>7.4849584566899002E-3</v>
      </c>
      <c r="E24296" s="1">
        <v>1.6292258044302399E-2</v>
      </c>
      <c r="F24296" s="1">
        <v>1.08869508315667E-2</v>
      </c>
    </row>
    <row r="24297" spans="1:6" x14ac:dyDescent="0.25">
      <c r="A24297" s="2" t="str">
        <f t="shared" si="848"/>
        <v>17140</v>
      </c>
      <c r="B24297" s="2" t="str">
        <f>"45101"</f>
        <v>45101</v>
      </c>
      <c r="C24297" s="1">
        <v>1.29437421947587E-3</v>
      </c>
      <c r="D24297" s="1">
        <v>7.1626396714735902E-4</v>
      </c>
      <c r="E24297" s="1">
        <v>3.6030955290284098E-4</v>
      </c>
      <c r="F24297" s="1">
        <v>1.20278598800943E-3</v>
      </c>
    </row>
    <row r="24298" spans="1:6" x14ac:dyDescent="0.25">
      <c r="A24298" s="2" t="str">
        <f t="shared" si="848"/>
        <v>17140</v>
      </c>
      <c r="B24298" s="2" t="str">
        <f>"45064"</f>
        <v>45064</v>
      </c>
      <c r="C24298" s="1">
        <v>4.9410991911129896E-4</v>
      </c>
      <c r="D24298" s="1">
        <v>5.2526024257472999E-4</v>
      </c>
      <c r="E24298" s="1">
        <v>3.13312654698123E-5</v>
      </c>
      <c r="F24298" s="1">
        <v>4.7128189523132201E-4</v>
      </c>
    </row>
    <row r="24299" spans="1:6" x14ac:dyDescent="0.25">
      <c r="A24299" s="2" t="str">
        <f t="shared" si="848"/>
        <v>17140</v>
      </c>
      <c r="B24299" s="2" t="str">
        <f>"45056"</f>
        <v>45056</v>
      </c>
      <c r="C24299" s="1">
        <v>1.0447033838778701E-2</v>
      </c>
      <c r="D24299" s="1">
        <v>1.17944799923598E-2</v>
      </c>
      <c r="E24299" s="1">
        <v>1.43027226869693E-2</v>
      </c>
      <c r="F24299" s="1">
        <v>1.07513301422915E-2</v>
      </c>
    </row>
    <row r="24300" spans="1:6" x14ac:dyDescent="0.25">
      <c r="A24300" s="2" t="str">
        <f t="shared" si="848"/>
        <v>17140</v>
      </c>
      <c r="B24300" s="2" t="str">
        <f>"45050"</f>
        <v>45050</v>
      </c>
      <c r="C24300" s="1">
        <v>4.2134981141471401E-3</v>
      </c>
      <c r="D24300" s="1">
        <v>5.9091777289657097E-3</v>
      </c>
      <c r="E24300" s="1">
        <v>2.4751699721151702E-3</v>
      </c>
      <c r="F24300" s="1">
        <v>4.2398417984659603E-3</v>
      </c>
    </row>
    <row r="24301" spans="1:6" x14ac:dyDescent="0.25">
      <c r="A24301" s="2" t="str">
        <f t="shared" si="848"/>
        <v>17140</v>
      </c>
      <c r="B24301" s="2" t="str">
        <f>"45034"</f>
        <v>45034</v>
      </c>
      <c r="C24301" s="1">
        <v>4.4276124124286998E-4</v>
      </c>
      <c r="D24301" s="1">
        <v>3.5813198357367902E-5</v>
      </c>
      <c r="E24301" s="1">
        <v>0</v>
      </c>
      <c r="F24301" s="1">
        <v>3.8990948166620098E-4</v>
      </c>
    </row>
    <row r="24302" spans="1:6" x14ac:dyDescent="0.25">
      <c r="A24302" s="2" t="str">
        <f t="shared" si="848"/>
        <v>17140</v>
      </c>
      <c r="B24302" s="2" t="str">
        <f>"45039"</f>
        <v>45039</v>
      </c>
      <c r="C24302" s="1">
        <v>1.11213485519188E-2</v>
      </c>
      <c r="D24302" s="1">
        <v>6.4821889026835996E-3</v>
      </c>
      <c r="E24302" s="1">
        <v>4.5900303913275001E-3</v>
      </c>
      <c r="F24302" s="1">
        <v>1.04385549276506E-2</v>
      </c>
    </row>
    <row r="24303" spans="1:6" x14ac:dyDescent="0.25">
      <c r="A24303" s="2" t="str">
        <f t="shared" si="848"/>
        <v>17140</v>
      </c>
      <c r="B24303" s="2" t="str">
        <f>"45042"</f>
        <v>45042</v>
      </c>
      <c r="C24303" s="1">
        <v>1.1819884339525201E-2</v>
      </c>
      <c r="D24303" s="1">
        <v>6.8641963518288598E-3</v>
      </c>
      <c r="E24303" s="1">
        <v>5.0130024751699701E-3</v>
      </c>
      <c r="F24303" s="1">
        <v>1.10997057878672E-2</v>
      </c>
    </row>
    <row r="24304" spans="1:6" x14ac:dyDescent="0.25">
      <c r="A24304" s="2" t="str">
        <f t="shared" si="848"/>
        <v>17140</v>
      </c>
      <c r="B24304" s="2" t="str">
        <f>"45004"</f>
        <v>45004</v>
      </c>
      <c r="C24304" s="1">
        <v>0</v>
      </c>
      <c r="D24304" s="1">
        <v>1.1937732785789301E-5</v>
      </c>
      <c r="E24304" s="1">
        <v>0</v>
      </c>
      <c r="F24304" s="1">
        <v>8.4762930797000397E-7</v>
      </c>
    </row>
    <row r="24305" spans="1:6" x14ac:dyDescent="0.25">
      <c r="A24305" s="2" t="str">
        <f t="shared" si="848"/>
        <v>17140</v>
      </c>
      <c r="B24305" s="2" t="str">
        <f>"45012"</f>
        <v>45012</v>
      </c>
      <c r="C24305" s="1">
        <v>7.2469454802990597E-4</v>
      </c>
      <c r="D24305" s="1">
        <v>1.9816636424410199E-3</v>
      </c>
      <c r="E24305" s="1">
        <v>3.13312654698123E-5</v>
      </c>
      <c r="F24305" s="1">
        <v>7.7642844610052296E-4</v>
      </c>
    </row>
    <row r="24306" spans="1:6" x14ac:dyDescent="0.25">
      <c r="A24306" s="2" t="str">
        <f t="shared" si="848"/>
        <v>17140</v>
      </c>
      <c r="B24306" s="2" t="str">
        <f>"45014"</f>
        <v>45014</v>
      </c>
      <c r="C24306" s="1">
        <v>2.03263256920687E-2</v>
      </c>
      <c r="D24306" s="1">
        <v>2.3970967433864902E-2</v>
      </c>
      <c r="E24306" s="1">
        <v>2.72425353260018E-2</v>
      </c>
      <c r="F24306" s="1">
        <v>2.09593298981742E-2</v>
      </c>
    </row>
    <row r="24307" spans="1:6" x14ac:dyDescent="0.25">
      <c r="A24307" s="2" t="str">
        <f t="shared" si="848"/>
        <v>17140</v>
      </c>
      <c r="B24307" s="2" t="str">
        <f>"41099"</f>
        <v>41099</v>
      </c>
      <c r="C24307" s="1">
        <v>0</v>
      </c>
      <c r="D24307" s="1">
        <v>4.7750931143157203E-5</v>
      </c>
      <c r="E24307" s="1">
        <v>3.13312654698123E-5</v>
      </c>
      <c r="F24307" s="1">
        <v>5.08577584782002E-6</v>
      </c>
    </row>
    <row r="24308" spans="1:6" x14ac:dyDescent="0.25">
      <c r="A24308" s="2" t="str">
        <f t="shared" si="848"/>
        <v>17140</v>
      </c>
      <c r="B24308" s="2" t="str">
        <f>"41072"</f>
        <v>41072</v>
      </c>
      <c r="C24308" s="1">
        <v>7.21788019093957E-4</v>
      </c>
      <c r="D24308" s="1">
        <v>1.5519052621526101E-3</v>
      </c>
      <c r="E24308" s="1">
        <v>1.5665632734906099E-5</v>
      </c>
      <c r="F24308" s="1">
        <v>7.4252327378172302E-4</v>
      </c>
    </row>
    <row r="24309" spans="1:6" x14ac:dyDescent="0.25">
      <c r="A24309" s="2" t="str">
        <f t="shared" si="848"/>
        <v>17140</v>
      </c>
      <c r="B24309" s="2" t="str">
        <f>"41042"</f>
        <v>41042</v>
      </c>
      <c r="C24309" s="1">
        <v>2.2076056111509899E-2</v>
      </c>
      <c r="D24309" s="1">
        <v>3.1730493744627997E-2</v>
      </c>
      <c r="E24309" s="1">
        <v>2.5002349844910201E-2</v>
      </c>
      <c r="F24309" s="1">
        <v>2.29198964875089E-2</v>
      </c>
    </row>
    <row r="24310" spans="1:6" x14ac:dyDescent="0.25">
      <c r="A24310" s="2" t="str">
        <f t="shared" si="848"/>
        <v>17140</v>
      </c>
      <c r="B24310" s="2" t="str">
        <f>"41040"</f>
        <v>41040</v>
      </c>
      <c r="C24310" s="1">
        <v>3.5915009218540901E-3</v>
      </c>
      <c r="D24310" s="1">
        <v>3.2231878521631098E-3</v>
      </c>
      <c r="E24310" s="1">
        <v>1.61356017169533E-3</v>
      </c>
      <c r="F24310" s="1">
        <v>3.4583275765176099E-3</v>
      </c>
    </row>
    <row r="24311" spans="1:6" x14ac:dyDescent="0.25">
      <c r="A24311" s="2" t="str">
        <f t="shared" si="848"/>
        <v>17140</v>
      </c>
      <c r="B24311" s="2" t="str">
        <f>"41034"</f>
        <v>41034</v>
      </c>
      <c r="C24311" s="1">
        <v>2.9065289359488201E-6</v>
      </c>
      <c r="D24311" s="1">
        <v>0</v>
      </c>
      <c r="E24311" s="1">
        <v>0</v>
      </c>
      <c r="F24311" s="1">
        <v>2.54288792391001E-6</v>
      </c>
    </row>
    <row r="24312" spans="1:6" x14ac:dyDescent="0.25">
      <c r="A24312" s="2" t="str">
        <f t="shared" si="848"/>
        <v>17140</v>
      </c>
      <c r="B24312" s="2" t="str">
        <f>"41022"</f>
        <v>41022</v>
      </c>
      <c r="C24312" s="1">
        <v>1.0725091773651099E-3</v>
      </c>
      <c r="D24312" s="1">
        <v>3.3425651800210099E-3</v>
      </c>
      <c r="E24312" s="1">
        <v>3.13312654698123E-5</v>
      </c>
      <c r="F24312" s="1">
        <v>1.17735710877033E-3</v>
      </c>
    </row>
    <row r="24313" spans="1:6" x14ac:dyDescent="0.25">
      <c r="A24313" s="2" t="str">
        <f t="shared" si="848"/>
        <v>17140</v>
      </c>
      <c r="B24313" s="2" t="str">
        <f>"41012"</f>
        <v>41012</v>
      </c>
      <c r="C24313" s="1">
        <v>7.5860405228264205E-4</v>
      </c>
      <c r="D24313" s="1">
        <v>1.70709578836787E-3</v>
      </c>
      <c r="E24313" s="1">
        <v>1.5665632734906099E-5</v>
      </c>
      <c r="F24313" s="1">
        <v>7.85752368488193E-4</v>
      </c>
    </row>
    <row r="24314" spans="1:6" x14ac:dyDescent="0.25">
      <c r="A24314" s="2" t="str">
        <f t="shared" si="848"/>
        <v>17140</v>
      </c>
      <c r="B24314" s="2" t="str">
        <f>"41005"</f>
        <v>41005</v>
      </c>
      <c r="C24314" s="1">
        <v>9.4723778022572092E-3</v>
      </c>
      <c r="D24314" s="1">
        <v>5.9808041256804497E-3</v>
      </c>
      <c r="E24314" s="1">
        <v>5.3733120280728096E-3</v>
      </c>
      <c r="F24314" s="1">
        <v>9.0026708799494093E-3</v>
      </c>
    </row>
    <row r="24315" spans="1:6" x14ac:dyDescent="0.25">
      <c r="A24315" s="2" t="str">
        <f t="shared" si="848"/>
        <v>17140</v>
      </c>
      <c r="B24315" s="2" t="str">
        <f>"41003"</f>
        <v>41003</v>
      </c>
      <c r="C24315" s="1">
        <v>2.9549710848813003E-4</v>
      </c>
      <c r="D24315" s="1">
        <v>4.7750931143157203E-5</v>
      </c>
      <c r="E24315" s="1">
        <v>0</v>
      </c>
      <c r="F24315" s="1">
        <v>2.6191745616273098E-4</v>
      </c>
    </row>
    <row r="24316" spans="1:6" x14ac:dyDescent="0.25">
      <c r="A24316" s="2" t="str">
        <f t="shared" ref="A24316:A24334" si="849">"32460"</f>
        <v>32460</v>
      </c>
      <c r="B24316" s="2" t="str">
        <f>"42027"</f>
        <v>42027</v>
      </c>
      <c r="C24316" s="1">
        <v>4.5669381014748503E-2</v>
      </c>
      <c r="D24316" s="1">
        <v>1.3077593722755E-2</v>
      </c>
      <c r="E24316" s="1">
        <v>5.1948051948051896E-3</v>
      </c>
      <c r="F24316" s="1">
        <v>4.2895301943120502E-2</v>
      </c>
    </row>
    <row r="24317" spans="1:6" x14ac:dyDescent="0.25">
      <c r="A24317" s="2" t="str">
        <f t="shared" si="849"/>
        <v>32460</v>
      </c>
      <c r="B24317" s="2" t="str">
        <f>"42003"</f>
        <v>42003</v>
      </c>
      <c r="C24317" s="1">
        <v>5.6944365355048098E-5</v>
      </c>
      <c r="D24317" s="1">
        <v>0</v>
      </c>
      <c r="E24317" s="1">
        <v>0</v>
      </c>
      <c r="F24317" s="1">
        <v>5.2375216047766102E-5</v>
      </c>
    </row>
    <row r="24318" spans="1:6" x14ac:dyDescent="0.25">
      <c r="A24318" s="2" t="str">
        <f t="shared" si="849"/>
        <v>32460</v>
      </c>
      <c r="B24318" s="2" t="str">
        <f>"42079"</f>
        <v>42079</v>
      </c>
      <c r="C24318" s="1">
        <v>3.7924947326461997E-2</v>
      </c>
      <c r="D24318" s="1">
        <v>1.4821272885788999E-2</v>
      </c>
      <c r="E24318" s="1">
        <v>5.1948051948051896E-3</v>
      </c>
      <c r="F24318" s="1">
        <v>3.5877022992719797E-2</v>
      </c>
    </row>
    <row r="24319" spans="1:6" x14ac:dyDescent="0.25">
      <c r="A24319" s="2" t="str">
        <f t="shared" si="849"/>
        <v>32460</v>
      </c>
      <c r="B24319" s="2" t="str">
        <f>"42054"</f>
        <v>42054</v>
      </c>
      <c r="C24319" s="1">
        <v>1.25277603781105E-3</v>
      </c>
      <c r="D24319" s="1">
        <v>0</v>
      </c>
      <c r="E24319" s="1">
        <v>0</v>
      </c>
      <c r="F24319" s="1">
        <v>1.1522547530508501E-3</v>
      </c>
    </row>
    <row r="24320" spans="1:6" x14ac:dyDescent="0.25">
      <c r="A24320" s="2" t="str">
        <f t="shared" si="849"/>
        <v>32460</v>
      </c>
      <c r="B24320" s="2" t="str">
        <f>"42071"</f>
        <v>42071</v>
      </c>
      <c r="C24320" s="1">
        <v>3.9861055748533598E-4</v>
      </c>
      <c r="D24320" s="1">
        <v>0</v>
      </c>
      <c r="E24320" s="1">
        <v>0</v>
      </c>
      <c r="F24320" s="1">
        <v>3.6662651233436297E-4</v>
      </c>
    </row>
    <row r="24321" spans="1:6" x14ac:dyDescent="0.25">
      <c r="A24321" s="2" t="str">
        <f t="shared" si="849"/>
        <v>32460</v>
      </c>
      <c r="B24321" s="2" t="str">
        <f>"42051"</f>
        <v>42051</v>
      </c>
      <c r="C24321" s="1">
        <v>8.0974887534878401E-2</v>
      </c>
      <c r="D24321" s="1">
        <v>3.0514385353094999E-2</v>
      </c>
      <c r="E24321" s="1">
        <v>2.0779220779220699E-2</v>
      </c>
      <c r="F24321" s="1">
        <v>7.6729691509977396E-2</v>
      </c>
    </row>
    <row r="24322" spans="1:6" x14ac:dyDescent="0.25">
      <c r="A24322" s="2" t="str">
        <f t="shared" si="849"/>
        <v>32460</v>
      </c>
      <c r="B24322" s="2" t="str">
        <f>"42040"</f>
        <v>42040</v>
      </c>
      <c r="C24322" s="1">
        <v>1.85069187403906E-2</v>
      </c>
      <c r="D24322" s="1">
        <v>9.590235396687E-3</v>
      </c>
      <c r="E24322" s="1">
        <v>3.1168831168831099E-2</v>
      </c>
      <c r="F24322" s="1">
        <v>1.82265751846226E-2</v>
      </c>
    </row>
    <row r="24323" spans="1:6" x14ac:dyDescent="0.25">
      <c r="A24323" s="2" t="str">
        <f t="shared" si="849"/>
        <v>32460</v>
      </c>
      <c r="B24323" s="2" t="str">
        <f>"42061"</f>
        <v>42061</v>
      </c>
      <c r="C24323" s="1">
        <v>0</v>
      </c>
      <c r="D24323" s="1">
        <v>0</v>
      </c>
      <c r="E24323" s="1">
        <v>2.59740259740259E-3</v>
      </c>
      <c r="F24323" s="1">
        <v>5.2375216047766102E-5</v>
      </c>
    </row>
    <row r="24324" spans="1:6" x14ac:dyDescent="0.25">
      <c r="A24324" s="2" t="str">
        <f t="shared" si="849"/>
        <v>32460</v>
      </c>
      <c r="B24324" s="2" t="str">
        <f>"42069"</f>
        <v>42069</v>
      </c>
      <c r="C24324" s="1">
        <v>2.1695803200273301E-2</v>
      </c>
      <c r="D24324" s="1">
        <v>7.8465562336530008E-3</v>
      </c>
      <c r="E24324" s="1">
        <v>0</v>
      </c>
      <c r="F24324" s="1">
        <v>2.04263342586288E-2</v>
      </c>
    </row>
    <row r="24325" spans="1:6" x14ac:dyDescent="0.25">
      <c r="A24325" s="2" t="str">
        <f t="shared" si="849"/>
        <v>32460</v>
      </c>
      <c r="B24325" s="2" t="str">
        <f>"42085"</f>
        <v>42085</v>
      </c>
      <c r="C24325" s="1">
        <v>2.0670804623882402E-2</v>
      </c>
      <c r="D24325" s="1">
        <v>8.7183958151699995E-3</v>
      </c>
      <c r="E24325" s="1">
        <v>2.59740259740259E-3</v>
      </c>
      <c r="F24325" s="1">
        <v>1.9588330801864499E-2</v>
      </c>
    </row>
    <row r="24326" spans="1:6" x14ac:dyDescent="0.25">
      <c r="A24326" s="2" t="str">
        <f t="shared" si="849"/>
        <v>32460</v>
      </c>
      <c r="B24326" s="2" t="str">
        <f>"42088"</f>
        <v>42088</v>
      </c>
      <c r="C24326" s="1">
        <v>6.3492967370878603E-2</v>
      </c>
      <c r="D24326" s="1">
        <v>1.5693112467306002E-2</v>
      </c>
      <c r="E24326" s="1">
        <v>9.3506493506493496E-2</v>
      </c>
      <c r="F24326" s="1">
        <v>6.1226627559838598E-2</v>
      </c>
    </row>
    <row r="24327" spans="1:6" x14ac:dyDescent="0.25">
      <c r="A24327" s="2" t="str">
        <f t="shared" si="849"/>
        <v>32460</v>
      </c>
      <c r="B24327" s="2" t="str">
        <f>"42049"</f>
        <v>42049</v>
      </c>
      <c r="C24327" s="1">
        <v>5.6944365355048098E-5</v>
      </c>
      <c r="D24327" s="1">
        <v>0</v>
      </c>
      <c r="E24327" s="1">
        <v>0</v>
      </c>
      <c r="F24327" s="1">
        <v>5.2375216047766102E-5</v>
      </c>
    </row>
    <row r="24328" spans="1:6" x14ac:dyDescent="0.25">
      <c r="A24328" s="2" t="str">
        <f t="shared" si="849"/>
        <v>32460</v>
      </c>
      <c r="B24328" s="2" t="str">
        <f>"42035"</f>
        <v>42035</v>
      </c>
      <c r="C24328" s="1">
        <v>3.8152724787882202E-3</v>
      </c>
      <c r="D24328" s="1">
        <v>1.7436791630340001E-3</v>
      </c>
      <c r="E24328" s="1">
        <v>7.7922077922077896E-3</v>
      </c>
      <c r="F24328" s="1">
        <v>3.7710155554391599E-3</v>
      </c>
    </row>
    <row r="24329" spans="1:6" x14ac:dyDescent="0.25">
      <c r="A24329" s="2" t="str">
        <f t="shared" si="849"/>
        <v>32460</v>
      </c>
      <c r="B24329" s="2" t="str">
        <f>"42082"</f>
        <v>42082</v>
      </c>
      <c r="C24329" s="1">
        <v>4.2480496554865799E-2</v>
      </c>
      <c r="D24329" s="1">
        <v>2.7027027027027001E-2</v>
      </c>
      <c r="E24329" s="1">
        <v>2.59740259740259E-3</v>
      </c>
      <c r="F24329" s="1">
        <v>4.0747918085162101E-2</v>
      </c>
    </row>
    <row r="24330" spans="1:6" x14ac:dyDescent="0.25">
      <c r="A24330" s="2" t="str">
        <f t="shared" si="849"/>
        <v>32460</v>
      </c>
      <c r="B24330" s="2" t="str">
        <f>"42025"</f>
        <v>42025</v>
      </c>
      <c r="C24330" s="1">
        <v>2.7333295370423E-3</v>
      </c>
      <c r="D24330" s="1">
        <v>8.7183958151700004E-4</v>
      </c>
      <c r="E24330" s="1">
        <v>0</v>
      </c>
      <c r="F24330" s="1">
        <v>2.5663855863405399E-3</v>
      </c>
    </row>
    <row r="24331" spans="1:6" x14ac:dyDescent="0.25">
      <c r="A24331" s="2" t="str">
        <f t="shared" si="849"/>
        <v>32460</v>
      </c>
      <c r="B24331" s="2" t="str">
        <f>"42041"</f>
        <v>42041</v>
      </c>
      <c r="C24331" s="1">
        <v>1.5716644837993201E-2</v>
      </c>
      <c r="D24331" s="1">
        <v>6.9747166521360003E-3</v>
      </c>
      <c r="E24331" s="1">
        <v>2.59740259740259E-3</v>
      </c>
      <c r="F24331" s="1">
        <v>1.4926936573613299E-2</v>
      </c>
    </row>
    <row r="24332" spans="1:6" x14ac:dyDescent="0.25">
      <c r="A24332" s="2" t="str">
        <f t="shared" si="849"/>
        <v>32460</v>
      </c>
      <c r="B24332" s="2" t="str">
        <f>"42063"</f>
        <v>42063</v>
      </c>
      <c r="C24332" s="1">
        <v>0</v>
      </c>
      <c r="D24332" s="1">
        <v>0</v>
      </c>
      <c r="E24332" s="1">
        <v>2.59740259740259E-3</v>
      </c>
      <c r="F24332" s="1">
        <v>5.2375216047766102E-5</v>
      </c>
    </row>
    <row r="24333" spans="1:6" x14ac:dyDescent="0.25">
      <c r="A24333" s="2" t="str">
        <f t="shared" si="849"/>
        <v>32460</v>
      </c>
      <c r="B24333" s="2" t="str">
        <f>"42066"</f>
        <v>42066</v>
      </c>
      <c r="C24333" s="1">
        <v>0.61568247821877997</v>
      </c>
      <c r="D24333" s="1">
        <v>0.85440278988665996</v>
      </c>
      <c r="E24333" s="1">
        <v>0.729870129870129</v>
      </c>
      <c r="F24333" s="1">
        <v>0.63232598334468104</v>
      </c>
    </row>
    <row r="24334" spans="1:6" x14ac:dyDescent="0.25">
      <c r="A24334" s="2" t="str">
        <f t="shared" si="849"/>
        <v>32460</v>
      </c>
      <c r="B24334" s="2" t="str">
        <f>"42039"</f>
        <v>42039</v>
      </c>
      <c r="C24334" s="1">
        <v>2.8870793235009299E-2</v>
      </c>
      <c r="D24334" s="1">
        <v>8.7183958151699995E-3</v>
      </c>
      <c r="E24334" s="1">
        <v>9.3506493506493496E-2</v>
      </c>
      <c r="F24334" s="1">
        <v>2.8963494474414701E-2</v>
      </c>
    </row>
    <row r="24335" spans="1:6" x14ac:dyDescent="0.25">
      <c r="A24335" s="2" t="str">
        <f t="shared" ref="A24335:A24344" si="850">"34660"</f>
        <v>34660</v>
      </c>
      <c r="B24335" s="2" t="str">
        <f>"42036"</f>
        <v>42036</v>
      </c>
      <c r="C24335" s="1">
        <v>2.9130107796440201E-2</v>
      </c>
      <c r="D24335" s="1">
        <v>1.1508804235239899E-3</v>
      </c>
      <c r="E24335" s="1">
        <v>2.05680705190989E-2</v>
      </c>
      <c r="F24335" s="1">
        <v>2.0637329286798099E-2</v>
      </c>
    </row>
    <row r="24336" spans="1:6" x14ac:dyDescent="0.25">
      <c r="A24336" s="2" t="str">
        <f t="shared" si="850"/>
        <v>34660</v>
      </c>
      <c r="B24336" s="2" t="str">
        <f>"42076"</f>
        <v>42076</v>
      </c>
      <c r="C24336" s="1">
        <v>3.7653547254951097E-2</v>
      </c>
      <c r="D24336" s="1">
        <v>1.03579238117159E-3</v>
      </c>
      <c r="E24336" s="1">
        <v>1.9588638589618E-3</v>
      </c>
      <c r="F24336" s="1">
        <v>2.56954982296408E-2</v>
      </c>
    </row>
    <row r="24337" spans="1:6" x14ac:dyDescent="0.25">
      <c r="A24337" s="2" t="str">
        <f t="shared" si="850"/>
        <v>34660</v>
      </c>
      <c r="B24337" s="2" t="str">
        <f>"42025"</f>
        <v>42025</v>
      </c>
      <c r="C24337" s="1">
        <v>2.8077212333918202E-3</v>
      </c>
      <c r="D24337" s="1">
        <v>3.4526412705719801E-4</v>
      </c>
      <c r="E24337" s="1">
        <v>0</v>
      </c>
      <c r="F24337" s="1">
        <v>1.9895464508514499E-3</v>
      </c>
    </row>
    <row r="24338" spans="1:6" x14ac:dyDescent="0.25">
      <c r="A24338" s="2" t="str">
        <f t="shared" si="850"/>
        <v>34660</v>
      </c>
      <c r="B24338" s="2" t="str">
        <f>"42040"</f>
        <v>42040</v>
      </c>
      <c r="C24338" s="1">
        <v>8.8744046126848792E-3</v>
      </c>
      <c r="D24338" s="1">
        <v>4.6035216940959798E-4</v>
      </c>
      <c r="E24338" s="1">
        <v>1.9588638589618E-3</v>
      </c>
      <c r="F24338" s="1">
        <v>6.1709661102680802E-3</v>
      </c>
    </row>
    <row r="24339" spans="1:6" x14ac:dyDescent="0.25">
      <c r="A24339" s="2" t="str">
        <f t="shared" si="850"/>
        <v>34660</v>
      </c>
      <c r="B24339" s="2" t="str">
        <f>"42048"</f>
        <v>42048</v>
      </c>
      <c r="C24339" s="1">
        <v>1.3035848583604901E-3</v>
      </c>
      <c r="D24339" s="1">
        <v>0</v>
      </c>
      <c r="E24339" s="1">
        <v>0</v>
      </c>
      <c r="F24339" s="1">
        <v>8.7674928342606595E-4</v>
      </c>
    </row>
    <row r="24340" spans="1:6" x14ac:dyDescent="0.25">
      <c r="A24340" s="2" t="str">
        <f t="shared" si="850"/>
        <v>34660</v>
      </c>
      <c r="B24340" s="2" t="str">
        <f>"42054"</f>
        <v>42054</v>
      </c>
      <c r="C24340" s="1">
        <v>1.90523940837302E-2</v>
      </c>
      <c r="D24340" s="1">
        <v>3.4526412705719801E-4</v>
      </c>
      <c r="E24340" s="1">
        <v>1.8609206660137101E-2</v>
      </c>
      <c r="F24340" s="1">
        <v>1.35558927668184E-2</v>
      </c>
    </row>
    <row r="24341" spans="1:6" x14ac:dyDescent="0.25">
      <c r="A24341" s="2" t="str">
        <f t="shared" si="850"/>
        <v>34660</v>
      </c>
      <c r="B24341" s="2" t="str">
        <f>"42066"</f>
        <v>42066</v>
      </c>
      <c r="C24341" s="1">
        <v>6.5179242918024505E-4</v>
      </c>
      <c r="D24341" s="1">
        <v>0</v>
      </c>
      <c r="E24341" s="1">
        <v>0</v>
      </c>
      <c r="F24341" s="1">
        <v>4.3837464171303297E-4</v>
      </c>
    </row>
    <row r="24342" spans="1:6" x14ac:dyDescent="0.25">
      <c r="A24342" s="2" t="str">
        <f t="shared" si="850"/>
        <v>34660</v>
      </c>
      <c r="B24342" s="2" t="str">
        <f>"42071"</f>
        <v>42071</v>
      </c>
      <c r="C24342" s="1">
        <v>0.80486337427926702</v>
      </c>
      <c r="D24342" s="1">
        <v>0.990792956611808</v>
      </c>
      <c r="E24342" s="1">
        <v>0.90597453476983303</v>
      </c>
      <c r="F24342" s="1">
        <v>0.86282245827010595</v>
      </c>
    </row>
    <row r="24343" spans="1:6" x14ac:dyDescent="0.25">
      <c r="A24343" s="2" t="str">
        <f t="shared" si="850"/>
        <v>34660</v>
      </c>
      <c r="B24343" s="2" t="str">
        <f>"42020"</f>
        <v>42020</v>
      </c>
      <c r="C24343" s="1">
        <v>5.4700426171972898E-2</v>
      </c>
      <c r="D24343" s="1">
        <v>3.5677293129243799E-3</v>
      </c>
      <c r="E24343" s="1">
        <v>5.8765915768854001E-3</v>
      </c>
      <c r="F24343" s="1">
        <v>3.8037430450176997E-2</v>
      </c>
    </row>
    <row r="24344" spans="1:6" x14ac:dyDescent="0.25">
      <c r="A24344" s="2" t="str">
        <f t="shared" si="850"/>
        <v>34660</v>
      </c>
      <c r="B24344" s="2" t="str">
        <f>"42049"</f>
        <v>42049</v>
      </c>
      <c r="C24344" s="1">
        <v>4.0962647280019998E-2</v>
      </c>
      <c r="D24344" s="1">
        <v>2.3017608470479898E-3</v>
      </c>
      <c r="E24344" s="1">
        <v>4.5053868756121399E-2</v>
      </c>
      <c r="F24344" s="1">
        <v>2.9775754510200599E-2</v>
      </c>
    </row>
    <row r="24345" spans="1:6" x14ac:dyDescent="0.25">
      <c r="A24345" s="2" t="str">
        <f t="shared" ref="A24345:A24376" si="851">"18140"</f>
        <v>18140</v>
      </c>
      <c r="B24345" s="2" t="str">
        <f>"44813"</f>
        <v>44813</v>
      </c>
      <c r="C24345" s="1">
        <v>2.6686882068435302E-4</v>
      </c>
      <c r="D24345" s="1">
        <v>2.6396716248498601E-5</v>
      </c>
      <c r="E24345" s="1">
        <v>0</v>
      </c>
      <c r="F24345" s="1">
        <v>2.4061002725645601E-4</v>
      </c>
    </row>
    <row r="24346" spans="1:6" x14ac:dyDescent="0.25">
      <c r="A24346" s="2" t="str">
        <f t="shared" si="851"/>
        <v>18140</v>
      </c>
      <c r="B24346" s="2" t="str">
        <f>"44904"</f>
        <v>44904</v>
      </c>
      <c r="C24346" s="1">
        <v>6.7408299726645496E-4</v>
      </c>
      <c r="D24346" s="1">
        <v>3.9595074372748001E-5</v>
      </c>
      <c r="E24346" s="1">
        <v>1.13668655868144E-4</v>
      </c>
      <c r="F24346" s="1">
        <v>6.0960880423473597E-4</v>
      </c>
    </row>
    <row r="24347" spans="1:6" x14ac:dyDescent="0.25">
      <c r="A24347" s="2" t="str">
        <f t="shared" si="851"/>
        <v>18140</v>
      </c>
      <c r="B24347" s="2" t="str">
        <f>"43730"</f>
        <v>43730</v>
      </c>
      <c r="C24347" s="1">
        <v>9.9836582718170505E-4</v>
      </c>
      <c r="D24347" s="1">
        <v>1.45181939366742E-4</v>
      </c>
      <c r="E24347" s="1">
        <v>0</v>
      </c>
      <c r="F24347" s="1">
        <v>9.0347638693135605E-4</v>
      </c>
    </row>
    <row r="24348" spans="1:6" x14ac:dyDescent="0.25">
      <c r="A24348" s="2" t="str">
        <f t="shared" si="851"/>
        <v>18140</v>
      </c>
      <c r="B24348" s="2" t="str">
        <f>"43345"</f>
        <v>43345</v>
      </c>
      <c r="C24348" s="1">
        <v>1.0632223931647499E-5</v>
      </c>
      <c r="D24348" s="1">
        <v>0</v>
      </c>
      <c r="E24348" s="1">
        <v>0</v>
      </c>
      <c r="F24348" s="1">
        <v>9.5102777571721704E-6</v>
      </c>
    </row>
    <row r="24349" spans="1:6" x14ac:dyDescent="0.25">
      <c r="A24349" s="2" t="str">
        <f t="shared" si="851"/>
        <v>18140</v>
      </c>
      <c r="B24349" s="2" t="str">
        <f>"43319"</f>
        <v>43319</v>
      </c>
      <c r="C24349" s="1">
        <v>3.18966717949426E-6</v>
      </c>
      <c r="D24349" s="1">
        <v>2.6396716248498601E-5</v>
      </c>
      <c r="E24349" s="1">
        <v>0</v>
      </c>
      <c r="F24349" s="1">
        <v>4.7551388785860801E-6</v>
      </c>
    </row>
    <row r="24350" spans="1:6" x14ac:dyDescent="0.25">
      <c r="A24350" s="2" t="str">
        <f t="shared" si="851"/>
        <v>18140</v>
      </c>
      <c r="B24350" s="2" t="str">
        <f>"43317"</f>
        <v>43317</v>
      </c>
      <c r="C24350" s="1">
        <v>3.72127837607664E-5</v>
      </c>
      <c r="D24350" s="1">
        <v>2.6396716248498601E-5</v>
      </c>
      <c r="E24350" s="1">
        <v>0</v>
      </c>
      <c r="F24350" s="1">
        <v>3.5188027701537003E-5</v>
      </c>
    </row>
    <row r="24351" spans="1:6" x14ac:dyDescent="0.25">
      <c r="A24351" s="2" t="str">
        <f t="shared" si="851"/>
        <v>18140</v>
      </c>
      <c r="B24351" s="2" t="str">
        <f>"43358"</f>
        <v>43358</v>
      </c>
      <c r="C24351" s="1">
        <v>4.8270296649679899E-4</v>
      </c>
      <c r="D24351" s="1">
        <v>1.05586864993994E-4</v>
      </c>
      <c r="E24351" s="1">
        <v>0</v>
      </c>
      <c r="F24351" s="1">
        <v>4.3937483238135397E-4</v>
      </c>
    </row>
    <row r="24352" spans="1:6" x14ac:dyDescent="0.25">
      <c r="A24352" s="2" t="str">
        <f t="shared" si="851"/>
        <v>18140</v>
      </c>
      <c r="B24352" s="2" t="str">
        <f>"43229"</f>
        <v>43229</v>
      </c>
      <c r="C24352" s="1">
        <v>2.4106441320224499E-2</v>
      </c>
      <c r="D24352" s="1">
        <v>3.2058811883801601E-2</v>
      </c>
      <c r="E24352" s="1">
        <v>4.6831486217675397E-2</v>
      </c>
      <c r="F24352" s="1">
        <v>2.54399930004355E-2</v>
      </c>
    </row>
    <row r="24353" spans="1:6" x14ac:dyDescent="0.25">
      <c r="A24353" s="2" t="str">
        <f t="shared" si="851"/>
        <v>18140</v>
      </c>
      <c r="B24353" s="2" t="str">
        <f>"43231"</f>
        <v>43231</v>
      </c>
      <c r="C24353" s="1">
        <v>9.4573631872004998E-3</v>
      </c>
      <c r="D24353" s="1">
        <v>1.22744730555518E-2</v>
      </c>
      <c r="E24353" s="1">
        <v>8.6672350099459994E-3</v>
      </c>
      <c r="F24353" s="1">
        <v>9.63391136801541E-3</v>
      </c>
    </row>
    <row r="24354" spans="1:6" x14ac:dyDescent="0.25">
      <c r="A24354" s="2" t="str">
        <f t="shared" si="851"/>
        <v>18140</v>
      </c>
      <c r="B24354" s="2" t="str">
        <f>"43126"</f>
        <v>43126</v>
      </c>
      <c r="C24354" s="1">
        <v>1.57356914188383E-4</v>
      </c>
      <c r="D24354" s="1">
        <v>1.31983581242493E-5</v>
      </c>
      <c r="E24354" s="1">
        <v>0</v>
      </c>
      <c r="F24354" s="1">
        <v>1.41703138581865E-4</v>
      </c>
    </row>
    <row r="24355" spans="1:6" x14ac:dyDescent="0.25">
      <c r="A24355" s="2" t="str">
        <f t="shared" si="851"/>
        <v>18140</v>
      </c>
      <c r="B24355" s="2" t="str">
        <f>"43144"</f>
        <v>43144</v>
      </c>
      <c r="C24355" s="1">
        <v>0</v>
      </c>
      <c r="D24355" s="1">
        <v>1.31983581242493E-5</v>
      </c>
      <c r="E24355" s="1">
        <v>0</v>
      </c>
      <c r="F24355" s="1">
        <v>9.5102777571721704E-7</v>
      </c>
    </row>
    <row r="24356" spans="1:6" x14ac:dyDescent="0.25">
      <c r="A24356" s="2" t="str">
        <f t="shared" si="851"/>
        <v>18140</v>
      </c>
      <c r="B24356" s="2" t="str">
        <f>"43136"</f>
        <v>43136</v>
      </c>
      <c r="C24356" s="1">
        <v>5.5287564444567302E-4</v>
      </c>
      <c r="D24356" s="1">
        <v>6.5991790621246706E-5</v>
      </c>
      <c r="E24356" s="1">
        <v>0</v>
      </c>
      <c r="F24356" s="1">
        <v>4.9928958225153896E-4</v>
      </c>
    </row>
    <row r="24357" spans="1:6" x14ac:dyDescent="0.25">
      <c r="A24357" s="2" t="str">
        <f t="shared" si="851"/>
        <v>18140</v>
      </c>
      <c r="B24357" s="2" t="str">
        <f>"43130"</f>
        <v>43130</v>
      </c>
      <c r="C24357" s="1">
        <v>2.9351317385706201E-2</v>
      </c>
      <c r="D24357" s="1">
        <v>3.4170549183681502E-2</v>
      </c>
      <c r="E24357" s="1">
        <v>2.4268258027848801E-2</v>
      </c>
      <c r="F24357" s="1">
        <v>2.9528461408243799E-2</v>
      </c>
    </row>
    <row r="24358" spans="1:6" x14ac:dyDescent="0.25">
      <c r="A24358" s="2" t="str">
        <f t="shared" si="851"/>
        <v>18140</v>
      </c>
      <c r="B24358" s="2" t="str">
        <f>"43101"</f>
        <v>43101</v>
      </c>
      <c r="C24358" s="1">
        <v>2.1264447863295099E-6</v>
      </c>
      <c r="D24358" s="1">
        <v>0</v>
      </c>
      <c r="E24358" s="1">
        <v>0</v>
      </c>
      <c r="F24358" s="1">
        <v>1.9020555514344301E-6</v>
      </c>
    </row>
    <row r="24359" spans="1:6" x14ac:dyDescent="0.25">
      <c r="A24359" s="2" t="str">
        <f t="shared" si="851"/>
        <v>18140</v>
      </c>
      <c r="B24359" s="2" t="str">
        <f>"43102"</f>
        <v>43102</v>
      </c>
      <c r="C24359" s="1">
        <v>1.9361279779530199E-3</v>
      </c>
      <c r="D24359" s="1">
        <v>3.56355669354732E-4</v>
      </c>
      <c r="E24359" s="1">
        <v>0</v>
      </c>
      <c r="F24359" s="1">
        <v>1.75749932952541E-3</v>
      </c>
    </row>
    <row r="24360" spans="1:6" x14ac:dyDescent="0.25">
      <c r="A24360" s="2" t="str">
        <f t="shared" si="851"/>
        <v>18140</v>
      </c>
      <c r="B24360" s="2" t="str">
        <f>"43226"</f>
        <v>43226</v>
      </c>
      <c r="C24360" s="1">
        <v>5.1034674871908201E-5</v>
      </c>
      <c r="D24360" s="1">
        <v>3.0356223685773401E-4</v>
      </c>
      <c r="E24360" s="1">
        <v>2.8417163967036E-5</v>
      </c>
      <c r="F24360" s="1">
        <v>6.84739998516396E-5</v>
      </c>
    </row>
    <row r="24361" spans="1:6" x14ac:dyDescent="0.25">
      <c r="A24361" s="2" t="str">
        <f t="shared" si="851"/>
        <v>18140</v>
      </c>
      <c r="B24361" s="2" t="str">
        <f>"43221"</f>
        <v>43221</v>
      </c>
      <c r="C24361" s="1">
        <v>1.6448050422258699E-2</v>
      </c>
      <c r="D24361" s="1">
        <v>1.44785988623015E-2</v>
      </c>
      <c r="E24361" s="1">
        <v>8.0704745666382392E-3</v>
      </c>
      <c r="F24361" s="1">
        <v>1.6025769048610802E-2</v>
      </c>
    </row>
    <row r="24362" spans="1:6" x14ac:dyDescent="0.25">
      <c r="A24362" s="2" t="str">
        <f t="shared" si="851"/>
        <v>18140</v>
      </c>
      <c r="B24362" s="2" t="str">
        <f>"43210"</f>
        <v>43210</v>
      </c>
      <c r="C24362" s="1">
        <v>5.2097897265072999E-4</v>
      </c>
      <c r="D24362" s="1">
        <v>4.4214499716235299E-3</v>
      </c>
      <c r="E24362" s="1">
        <v>2.3302074452969499E-3</v>
      </c>
      <c r="F24362" s="1">
        <v>8.6258219257551595E-4</v>
      </c>
    </row>
    <row r="24363" spans="1:6" x14ac:dyDescent="0.25">
      <c r="A24363" s="2" t="str">
        <f t="shared" si="851"/>
        <v>18140</v>
      </c>
      <c r="B24363" s="2" t="str">
        <f>"43206"</f>
        <v>43206</v>
      </c>
      <c r="C24363" s="1">
        <v>1.3884621232338501E-2</v>
      </c>
      <c r="D24363" s="1">
        <v>1.02023308300447E-2</v>
      </c>
      <c r="E24363" s="1">
        <v>1.20772946859903E-2</v>
      </c>
      <c r="F24363" s="1">
        <v>1.35588029984003E-2</v>
      </c>
    </row>
    <row r="24364" spans="1:6" x14ac:dyDescent="0.25">
      <c r="A24364" s="2" t="str">
        <f t="shared" si="851"/>
        <v>18140</v>
      </c>
      <c r="B24364" s="2" t="str">
        <f>"43218"</f>
        <v>43218</v>
      </c>
      <c r="C24364" s="1">
        <v>0</v>
      </c>
      <c r="D24364" s="1">
        <v>1.31983581242493E-5</v>
      </c>
      <c r="E24364" s="1">
        <v>8.5251491901108199E-5</v>
      </c>
      <c r="F24364" s="1">
        <v>3.8041111028688698E-6</v>
      </c>
    </row>
    <row r="24365" spans="1:6" x14ac:dyDescent="0.25">
      <c r="A24365" s="2" t="str">
        <f t="shared" si="851"/>
        <v>18140</v>
      </c>
      <c r="B24365" s="2" t="str">
        <f>"43153"</f>
        <v>43153</v>
      </c>
      <c r="C24365" s="1">
        <v>3.5617950171019301E-4</v>
      </c>
      <c r="D24365" s="1">
        <v>2.5076880436073699E-4</v>
      </c>
      <c r="E24365" s="1">
        <v>0</v>
      </c>
      <c r="F24365" s="1">
        <v>3.3666383260389502E-4</v>
      </c>
    </row>
    <row r="24366" spans="1:6" x14ac:dyDescent="0.25">
      <c r="A24366" s="2" t="str">
        <f t="shared" si="851"/>
        <v>18140</v>
      </c>
      <c r="B24366" s="2" t="str">
        <f>"43148"</f>
        <v>43148</v>
      </c>
      <c r="C24366" s="1">
        <v>9.3031959401916099E-4</v>
      </c>
      <c r="D24366" s="1">
        <v>1.05586864993994E-4</v>
      </c>
      <c r="E24366" s="1">
        <v>3.4100596760443301E-4</v>
      </c>
      <c r="F24366" s="1">
        <v>8.5116985926690896E-4</v>
      </c>
    </row>
    <row r="24367" spans="1:6" x14ac:dyDescent="0.25">
      <c r="A24367" s="2" t="str">
        <f t="shared" si="851"/>
        <v>18140</v>
      </c>
      <c r="B24367" s="2" t="str">
        <f>"43147"</f>
        <v>43147</v>
      </c>
      <c r="C24367" s="1">
        <v>1.7947193996621001E-2</v>
      </c>
      <c r="D24367" s="1">
        <v>1.44785988623015E-2</v>
      </c>
      <c r="E24367" s="1">
        <v>8.3262290423415704E-3</v>
      </c>
      <c r="F24367" s="1">
        <v>1.7375277462353501E-2</v>
      </c>
    </row>
    <row r="24368" spans="1:6" x14ac:dyDescent="0.25">
      <c r="A24368" s="2" t="str">
        <f t="shared" si="851"/>
        <v>18140</v>
      </c>
      <c r="B24368" s="2" t="str">
        <f>"43073"</f>
        <v>43073</v>
      </c>
      <c r="C24368" s="1">
        <v>6.3793343589885302E-6</v>
      </c>
      <c r="D24368" s="1">
        <v>2.6396716248498601E-5</v>
      </c>
      <c r="E24368" s="1">
        <v>0</v>
      </c>
      <c r="F24368" s="1">
        <v>7.6082222057377397E-6</v>
      </c>
    </row>
    <row r="24369" spans="1:6" x14ac:dyDescent="0.25">
      <c r="A24369" s="2" t="str">
        <f t="shared" si="851"/>
        <v>18140</v>
      </c>
      <c r="B24369" s="2" t="str">
        <f>"43064"</f>
        <v>43064</v>
      </c>
      <c r="C24369" s="1">
        <v>7.4489360865122702E-3</v>
      </c>
      <c r="D24369" s="1">
        <v>7.7606345770586099E-3</v>
      </c>
      <c r="E24369" s="1">
        <v>4.6604148905939101E-3</v>
      </c>
      <c r="F24369" s="1">
        <v>7.3780734840141696E-3</v>
      </c>
    </row>
    <row r="24370" spans="1:6" x14ac:dyDescent="0.25">
      <c r="A24370" s="2" t="str">
        <f t="shared" si="851"/>
        <v>18140</v>
      </c>
      <c r="B24370" s="2" t="str">
        <f>"43018"</f>
        <v>43018</v>
      </c>
      <c r="C24370" s="1">
        <v>1.0632223931647501E-4</v>
      </c>
      <c r="D24370" s="1">
        <v>2.6396716248498601E-5</v>
      </c>
      <c r="E24370" s="1">
        <v>0</v>
      </c>
      <c r="F24370" s="1">
        <v>9.7004833123156097E-5</v>
      </c>
    </row>
    <row r="24371" spans="1:6" x14ac:dyDescent="0.25">
      <c r="A24371" s="2" t="str">
        <f t="shared" si="851"/>
        <v>18140</v>
      </c>
      <c r="B24371" s="2" t="str">
        <f>"43031"</f>
        <v>43031</v>
      </c>
      <c r="C24371" s="1">
        <v>5.8615450535172897E-3</v>
      </c>
      <c r="D24371" s="1">
        <v>3.7351353491625601E-3</v>
      </c>
      <c r="E24371" s="1">
        <v>3.0974708724069299E-3</v>
      </c>
      <c r="F24371" s="1">
        <v>5.6158190156101601E-3</v>
      </c>
    </row>
    <row r="24372" spans="1:6" x14ac:dyDescent="0.25">
      <c r="A24372" s="2" t="str">
        <f t="shared" si="851"/>
        <v>18140</v>
      </c>
      <c r="B24372" s="2" t="str">
        <f>"43026"</f>
        <v>43026</v>
      </c>
      <c r="C24372" s="1">
        <v>2.87676082918587E-2</v>
      </c>
      <c r="D24372" s="1">
        <v>2.86008420552483E-2</v>
      </c>
      <c r="E24372" s="1">
        <v>1.45211707871554E-2</v>
      </c>
      <c r="F24372" s="1">
        <v>2.8278810910951399E-2</v>
      </c>
    </row>
    <row r="24373" spans="1:6" x14ac:dyDescent="0.25">
      <c r="A24373" s="2" t="str">
        <f t="shared" si="851"/>
        <v>18140</v>
      </c>
      <c r="B24373" s="2" t="str">
        <f>"43002"</f>
        <v>43002</v>
      </c>
      <c r="C24373" s="1">
        <v>0</v>
      </c>
      <c r="D24373" s="1">
        <v>1.31983581242493E-5</v>
      </c>
      <c r="E24373" s="1">
        <v>0</v>
      </c>
      <c r="F24373" s="1">
        <v>9.5102777571721704E-7</v>
      </c>
    </row>
    <row r="24374" spans="1:6" x14ac:dyDescent="0.25">
      <c r="A24374" s="2" t="str">
        <f t="shared" si="851"/>
        <v>18140</v>
      </c>
      <c r="B24374" s="2" t="str">
        <f>"43013"</f>
        <v>43013</v>
      </c>
      <c r="C24374" s="1">
        <v>4.2847862444539599E-4</v>
      </c>
      <c r="D24374" s="1">
        <v>1.18785223118244E-4</v>
      </c>
      <c r="E24374" s="1">
        <v>5.6834327934072101E-5</v>
      </c>
      <c r="F24374" s="1">
        <v>3.9372549914692799E-4</v>
      </c>
    </row>
    <row r="24375" spans="1:6" x14ac:dyDescent="0.25">
      <c r="A24375" s="2" t="str">
        <f t="shared" si="851"/>
        <v>18140</v>
      </c>
      <c r="B24375" s="2" t="str">
        <f>"43008"</f>
        <v>43008</v>
      </c>
      <c r="C24375" s="1">
        <v>1.14190085025894E-3</v>
      </c>
      <c r="D24375" s="1">
        <v>3.9595074372748001E-5</v>
      </c>
      <c r="E24375" s="1">
        <v>7.6726342710997403E-4</v>
      </c>
      <c r="F24375" s="1">
        <v>1.0499346643918E-3</v>
      </c>
    </row>
    <row r="24376" spans="1:6" x14ac:dyDescent="0.25">
      <c r="A24376" s="2" t="str">
        <f t="shared" si="851"/>
        <v>18140</v>
      </c>
      <c r="B24376" s="2" t="str">
        <f>"45764"</f>
        <v>45764</v>
      </c>
      <c r="C24376" s="1">
        <v>6.5388177179632404E-4</v>
      </c>
      <c r="D24376" s="1">
        <v>1.05586864993994E-4</v>
      </c>
      <c r="E24376" s="1">
        <v>0</v>
      </c>
      <c r="F24376" s="1">
        <v>5.9249030427182604E-4</v>
      </c>
    </row>
    <row r="24377" spans="1:6" x14ac:dyDescent="0.25">
      <c r="A24377" s="2" t="str">
        <f t="shared" ref="A24377:A24408" si="852">"18140"</f>
        <v>18140</v>
      </c>
      <c r="B24377" s="2" t="str">
        <f>"45622"</f>
        <v>45622</v>
      </c>
      <c r="C24377" s="1">
        <v>1.1695446324812299E-5</v>
      </c>
      <c r="D24377" s="1">
        <v>0</v>
      </c>
      <c r="E24377" s="1">
        <v>0</v>
      </c>
      <c r="F24377" s="1">
        <v>1.0461305532889299E-5</v>
      </c>
    </row>
    <row r="24378" spans="1:6" x14ac:dyDescent="0.25">
      <c r="A24378" s="2" t="str">
        <f t="shared" si="852"/>
        <v>18140</v>
      </c>
      <c r="B24378" s="2" t="str">
        <f>"43830"</f>
        <v>43830</v>
      </c>
      <c r="C24378" s="1">
        <v>3.2534605230841499E-4</v>
      </c>
      <c r="D24378" s="1">
        <v>1.45181939366742E-4</v>
      </c>
      <c r="E24378" s="1">
        <v>2.8417163967036E-5</v>
      </c>
      <c r="F24378" s="1">
        <v>3.0242683267807499E-4</v>
      </c>
    </row>
    <row r="24379" spans="1:6" x14ac:dyDescent="0.25">
      <c r="A24379" s="2" t="str">
        <f t="shared" si="852"/>
        <v>18140</v>
      </c>
      <c r="B24379" s="2" t="str">
        <f>"43782"</f>
        <v>43782</v>
      </c>
      <c r="C24379" s="1">
        <v>4.6888107538565701E-4</v>
      </c>
      <c r="D24379" s="1">
        <v>3.9595074372748001E-5</v>
      </c>
      <c r="E24379" s="1">
        <v>0</v>
      </c>
      <c r="F24379" s="1">
        <v>4.2225633241844399E-4</v>
      </c>
    </row>
    <row r="24380" spans="1:6" x14ac:dyDescent="0.25">
      <c r="A24380" s="2" t="str">
        <f t="shared" si="852"/>
        <v>18140</v>
      </c>
      <c r="B24380" s="2" t="str">
        <f>"43236"</f>
        <v>43236</v>
      </c>
      <c r="C24380" s="1">
        <v>4.2528895726590197E-4</v>
      </c>
      <c r="D24380" s="1">
        <v>2.7056634154711099E-3</v>
      </c>
      <c r="E24380" s="1">
        <v>2.8417163967036E-5</v>
      </c>
      <c r="F24380" s="1">
        <v>5.7632283208463296E-4</v>
      </c>
    </row>
    <row r="24381" spans="1:6" x14ac:dyDescent="0.25">
      <c r="A24381" s="2" t="str">
        <f t="shared" si="852"/>
        <v>18140</v>
      </c>
      <c r="B24381" s="2" t="str">
        <f>"43234"</f>
        <v>43234</v>
      </c>
      <c r="C24381" s="1">
        <v>6.4005988068518299E-4</v>
      </c>
      <c r="D24381" s="1">
        <v>2.0457455092586399E-3</v>
      </c>
      <c r="E24381" s="1">
        <v>5.6834327934072101E-5</v>
      </c>
      <c r="F24381" s="1">
        <v>7.2183008176936799E-4</v>
      </c>
    </row>
    <row r="24382" spans="1:6" x14ac:dyDescent="0.25">
      <c r="A24382" s="2" t="str">
        <f t="shared" si="852"/>
        <v>18140</v>
      </c>
      <c r="B24382" s="2" t="str">
        <f>"43146"</f>
        <v>43146</v>
      </c>
      <c r="C24382" s="1">
        <v>3.9636930817181998E-3</v>
      </c>
      <c r="D24382" s="1">
        <v>1.2406456636794301E-3</v>
      </c>
      <c r="E24382" s="1">
        <v>5.9676044330775704E-4</v>
      </c>
      <c r="F24382" s="1">
        <v>3.65479974208126E-3</v>
      </c>
    </row>
    <row r="24383" spans="1:6" x14ac:dyDescent="0.25">
      <c r="A24383" s="2" t="str">
        <f t="shared" si="852"/>
        <v>18140</v>
      </c>
      <c r="B24383" s="2" t="str">
        <f>"43110"</f>
        <v>43110</v>
      </c>
      <c r="C24383" s="1">
        <v>1.8053516235937501E-2</v>
      </c>
      <c r="D24383" s="1">
        <v>9.7007932213232593E-3</v>
      </c>
      <c r="E24383" s="1">
        <v>4.4046604148905901E-3</v>
      </c>
      <c r="F24383" s="1">
        <v>1.6994866352066599E-2</v>
      </c>
    </row>
    <row r="24384" spans="1:6" x14ac:dyDescent="0.25">
      <c r="A24384" s="2" t="str">
        <f t="shared" si="852"/>
        <v>18140</v>
      </c>
      <c r="B24384" s="2" t="str">
        <f>"43227"</f>
        <v>43227</v>
      </c>
      <c r="C24384" s="1">
        <v>1.175179711165E-2</v>
      </c>
      <c r="D24384" s="1">
        <v>7.8134280095556105E-3</v>
      </c>
      <c r="E24384" s="1">
        <v>1.94089229894856E-2</v>
      </c>
      <c r="F24384" s="1">
        <v>1.17242704190418E-2</v>
      </c>
    </row>
    <row r="24385" spans="1:6" x14ac:dyDescent="0.25">
      <c r="A24385" s="2" t="str">
        <f t="shared" si="852"/>
        <v>18140</v>
      </c>
      <c r="B24385" s="2" t="str">
        <f>"43224"</f>
        <v>43224</v>
      </c>
      <c r="C24385" s="1">
        <v>2.1479218786714299E-2</v>
      </c>
      <c r="D24385" s="1">
        <v>1.5098921694141201E-2</v>
      </c>
      <c r="E24385" s="1">
        <v>3.42995169082125E-2</v>
      </c>
      <c r="F24385" s="1">
        <v>2.1448529425750401E-2</v>
      </c>
    </row>
    <row r="24386" spans="1:6" x14ac:dyDescent="0.25">
      <c r="A24386" s="2" t="str">
        <f t="shared" si="852"/>
        <v>18140</v>
      </c>
      <c r="B24386" s="2" t="str">
        <f>"43084"</f>
        <v>43084</v>
      </c>
      <c r="C24386" s="1">
        <v>1.0632223931647499E-5</v>
      </c>
      <c r="D24386" s="1">
        <v>0</v>
      </c>
      <c r="E24386" s="1">
        <v>0</v>
      </c>
      <c r="F24386" s="1">
        <v>9.5102777571721704E-6</v>
      </c>
    </row>
    <row r="24387" spans="1:6" x14ac:dyDescent="0.25">
      <c r="A24387" s="2" t="str">
        <f t="shared" si="852"/>
        <v>18140</v>
      </c>
      <c r="B24387" s="2" t="str">
        <f>"43085"</f>
        <v>43085</v>
      </c>
      <c r="C24387" s="1">
        <v>1.19165965825905E-2</v>
      </c>
      <c r="D24387" s="1">
        <v>2.39418216373883E-2</v>
      </c>
      <c r="E24387" s="1">
        <v>1.14805342426825E-2</v>
      </c>
      <c r="F24387" s="1">
        <v>1.27684989167793E-2</v>
      </c>
    </row>
    <row r="24388" spans="1:6" x14ac:dyDescent="0.25">
      <c r="A24388" s="2" t="str">
        <f t="shared" si="852"/>
        <v>18140</v>
      </c>
      <c r="B24388" s="2" t="str">
        <f>"43162"</f>
        <v>43162</v>
      </c>
      <c r="C24388" s="1">
        <v>3.1194945015453899E-3</v>
      </c>
      <c r="D24388" s="1">
        <v>2.8772420710863498E-3</v>
      </c>
      <c r="E24388" s="1">
        <v>1.4208581983517999E-3</v>
      </c>
      <c r="F24388" s="1">
        <v>3.0451909378465302E-3</v>
      </c>
    </row>
    <row r="24389" spans="1:6" x14ac:dyDescent="0.25">
      <c r="A24389" s="2" t="str">
        <f t="shared" si="852"/>
        <v>18140</v>
      </c>
      <c r="B24389" s="2" t="str">
        <f>"43149"</f>
        <v>43149</v>
      </c>
      <c r="C24389" s="1">
        <v>1.38112588872101E-3</v>
      </c>
      <c r="D24389" s="1">
        <v>8.7109163620045598E-4</v>
      </c>
      <c r="E24389" s="1">
        <v>1.7050298380221599E-4</v>
      </c>
      <c r="F24389" s="1">
        <v>1.3038590805083E-3</v>
      </c>
    </row>
    <row r="24390" spans="1:6" x14ac:dyDescent="0.25">
      <c r="A24390" s="2" t="str">
        <f t="shared" si="852"/>
        <v>18140</v>
      </c>
      <c r="B24390" s="2" t="str">
        <f>"43068"</f>
        <v>43068</v>
      </c>
      <c r="C24390" s="1">
        <v>2.6349840569802101E-2</v>
      </c>
      <c r="D24390" s="1">
        <v>2.2490002243720799E-2</v>
      </c>
      <c r="E24390" s="1">
        <v>1.5260017050298299E-2</v>
      </c>
      <c r="F24390" s="1">
        <v>2.5700574610982001E-2</v>
      </c>
    </row>
    <row r="24391" spans="1:6" x14ac:dyDescent="0.25">
      <c r="A24391" s="2" t="str">
        <f t="shared" si="852"/>
        <v>18140</v>
      </c>
      <c r="B24391" s="2" t="str">
        <f>"43061"</f>
        <v>43061</v>
      </c>
      <c r="C24391" s="1">
        <v>1.86063918803832E-3</v>
      </c>
      <c r="D24391" s="1">
        <v>3.8275238560322999E-4</v>
      </c>
      <c r="E24391" s="1">
        <v>5.6834327934072101E-5</v>
      </c>
      <c r="F24391" s="1">
        <v>1.6937804685523601E-3</v>
      </c>
    </row>
    <row r="24392" spans="1:6" x14ac:dyDescent="0.25">
      <c r="A24392" s="2" t="str">
        <f t="shared" si="852"/>
        <v>18140</v>
      </c>
      <c r="B24392" s="2" t="str">
        <f>"43055"</f>
        <v>43055</v>
      </c>
      <c r="C24392" s="1">
        <v>2.96617783245103E-2</v>
      </c>
      <c r="D24392" s="1">
        <v>2.66078899784866E-2</v>
      </c>
      <c r="E24392" s="1">
        <v>6.2773515203182695E-2</v>
      </c>
      <c r="F24392" s="1">
        <v>3.05498652393641E-2</v>
      </c>
    </row>
    <row r="24393" spans="1:6" x14ac:dyDescent="0.25">
      <c r="A24393" s="2" t="str">
        <f t="shared" si="852"/>
        <v>18140</v>
      </c>
      <c r="B24393" s="2" t="str">
        <f>"43740"</f>
        <v>43740</v>
      </c>
      <c r="C24393" s="1">
        <v>1.0632223931647501E-6</v>
      </c>
      <c r="D24393" s="1">
        <v>1.31983581242493E-5</v>
      </c>
      <c r="E24393" s="1">
        <v>0</v>
      </c>
      <c r="F24393" s="1">
        <v>1.9020555514344301E-6</v>
      </c>
    </row>
    <row r="24394" spans="1:6" x14ac:dyDescent="0.25">
      <c r="A24394" s="2" t="str">
        <f t="shared" si="852"/>
        <v>18140</v>
      </c>
      <c r="B24394" s="2" t="str">
        <f>"43822"</f>
        <v>43822</v>
      </c>
      <c r="C24394" s="1">
        <v>4.8695585606945801E-4</v>
      </c>
      <c r="D24394" s="1">
        <v>1.18785223118244E-4</v>
      </c>
      <c r="E24394" s="1">
        <v>0</v>
      </c>
      <c r="F24394" s="1">
        <v>4.4412997125994002E-4</v>
      </c>
    </row>
    <row r="24395" spans="1:6" x14ac:dyDescent="0.25">
      <c r="A24395" s="2" t="str">
        <f t="shared" si="852"/>
        <v>18140</v>
      </c>
      <c r="B24395" s="2" t="str">
        <f>"43321"</f>
        <v>43321</v>
      </c>
      <c r="C24395" s="1">
        <v>1.2439702000027601E-4</v>
      </c>
      <c r="D24395" s="1">
        <v>3.9595074372748001E-5</v>
      </c>
      <c r="E24395" s="1">
        <v>0</v>
      </c>
      <c r="F24395" s="1">
        <v>1.14123333086066E-4</v>
      </c>
    </row>
    <row r="24396" spans="1:6" x14ac:dyDescent="0.25">
      <c r="A24396" s="2" t="str">
        <f t="shared" si="852"/>
        <v>18140</v>
      </c>
      <c r="B24396" s="2" t="str">
        <f>"43344"</f>
        <v>43344</v>
      </c>
      <c r="C24396" s="1">
        <v>2.5017622911166701E-3</v>
      </c>
      <c r="D24396" s="1">
        <v>1.6497947655311599E-3</v>
      </c>
      <c r="E24396" s="1">
        <v>5.3992611537368503E-4</v>
      </c>
      <c r="F24396" s="1">
        <v>2.3747163559658898E-3</v>
      </c>
    </row>
    <row r="24397" spans="1:6" x14ac:dyDescent="0.25">
      <c r="A24397" s="2" t="str">
        <f t="shared" si="852"/>
        <v>18140</v>
      </c>
      <c r="B24397" s="2" t="str">
        <f>"43340"</f>
        <v>43340</v>
      </c>
      <c r="C24397" s="1">
        <v>6.2730121196720497E-5</v>
      </c>
      <c r="D24397" s="1">
        <v>0</v>
      </c>
      <c r="E24397" s="1">
        <v>0</v>
      </c>
      <c r="F24397" s="1">
        <v>5.6110638767315798E-5</v>
      </c>
    </row>
    <row r="24398" spans="1:6" x14ac:dyDescent="0.25">
      <c r="A24398" s="2" t="str">
        <f t="shared" si="852"/>
        <v>18140</v>
      </c>
      <c r="B24398" s="2" t="str">
        <f>"43291"</f>
        <v>43291</v>
      </c>
      <c r="C24398" s="1">
        <v>0</v>
      </c>
      <c r="D24398" s="1">
        <v>1.31983581242493E-5</v>
      </c>
      <c r="E24398" s="1">
        <v>0</v>
      </c>
      <c r="F24398" s="1">
        <v>9.5102777571721704E-7</v>
      </c>
    </row>
    <row r="24399" spans="1:6" x14ac:dyDescent="0.25">
      <c r="A24399" s="2" t="str">
        <f t="shared" si="852"/>
        <v>18140</v>
      </c>
      <c r="B24399" s="2" t="str">
        <f>"43235"</f>
        <v>43235</v>
      </c>
      <c r="C24399" s="1">
        <v>2.2565832072528699E-2</v>
      </c>
      <c r="D24399" s="1">
        <v>1.7751791677115301E-2</v>
      </c>
      <c r="E24399" s="1">
        <v>2.1028701335606699E-2</v>
      </c>
      <c r="F24399" s="1">
        <v>2.2167506424192601E-2</v>
      </c>
    </row>
    <row r="24400" spans="1:6" x14ac:dyDescent="0.25">
      <c r="A24400" s="2" t="str">
        <f t="shared" si="852"/>
        <v>18140</v>
      </c>
      <c r="B24400" s="2" t="str">
        <f>"43209"</f>
        <v>43209</v>
      </c>
      <c r="C24400" s="1">
        <v>1.39696790237917E-2</v>
      </c>
      <c r="D24400" s="1">
        <v>1.26308287249066E-2</v>
      </c>
      <c r="E24400" s="1">
        <v>2.2392725206024401E-2</v>
      </c>
      <c r="F24400" s="1">
        <v>1.4155097413775001E-2</v>
      </c>
    </row>
    <row r="24401" spans="1:6" x14ac:dyDescent="0.25">
      <c r="A24401" s="2" t="str">
        <f t="shared" si="852"/>
        <v>18140</v>
      </c>
      <c r="B24401" s="2" t="str">
        <f>"43077"</f>
        <v>43077</v>
      </c>
      <c r="C24401" s="1">
        <v>2.1264447863295099E-6</v>
      </c>
      <c r="D24401" s="1">
        <v>1.31983581242493E-5</v>
      </c>
      <c r="E24401" s="1">
        <v>0</v>
      </c>
      <c r="F24401" s="1">
        <v>2.8530833271516498E-6</v>
      </c>
    </row>
    <row r="24402" spans="1:6" x14ac:dyDescent="0.25">
      <c r="A24402" s="2" t="str">
        <f t="shared" si="852"/>
        <v>18140</v>
      </c>
      <c r="B24402" s="2" t="str">
        <f>"43076"</f>
        <v>43076</v>
      </c>
      <c r="C24402" s="1">
        <v>4.5197583933433696E-3</v>
      </c>
      <c r="D24402" s="1">
        <v>1.6497947655311599E-3</v>
      </c>
      <c r="E24402" s="1">
        <v>3.7510656436487602E-3</v>
      </c>
      <c r="F24402" s="1">
        <v>4.2872332129332098E-3</v>
      </c>
    </row>
    <row r="24403" spans="1:6" x14ac:dyDescent="0.25">
      <c r="A24403" s="2" t="str">
        <f t="shared" si="852"/>
        <v>18140</v>
      </c>
      <c r="B24403" s="2" t="str">
        <f>"43195"</f>
        <v>43195</v>
      </c>
      <c r="C24403" s="1">
        <v>0</v>
      </c>
      <c r="D24403" s="1">
        <v>0</v>
      </c>
      <c r="E24403" s="1">
        <v>1.13668655868144E-4</v>
      </c>
      <c r="F24403" s="1">
        <v>3.8041111028688698E-6</v>
      </c>
    </row>
    <row r="24404" spans="1:6" x14ac:dyDescent="0.25">
      <c r="A24404" s="2" t="str">
        <f t="shared" si="852"/>
        <v>18140</v>
      </c>
      <c r="B24404" s="2" t="str">
        <f>"43194"</f>
        <v>43194</v>
      </c>
      <c r="C24404" s="1">
        <v>0</v>
      </c>
      <c r="D24404" s="1">
        <v>1.18785223118244E-4</v>
      </c>
      <c r="E24404" s="1">
        <v>1.7050298380221599E-4</v>
      </c>
      <c r="F24404" s="1">
        <v>1.42654166357582E-5</v>
      </c>
    </row>
    <row r="24405" spans="1:6" x14ac:dyDescent="0.25">
      <c r="A24405" s="2" t="str">
        <f t="shared" si="852"/>
        <v>18140</v>
      </c>
      <c r="B24405" s="2" t="str">
        <f>"43060"</f>
        <v>43060</v>
      </c>
      <c r="C24405" s="1">
        <v>1.7011558290636001E-5</v>
      </c>
      <c r="D24405" s="1">
        <v>0</v>
      </c>
      <c r="E24405" s="1">
        <v>0</v>
      </c>
      <c r="F24405" s="1">
        <v>1.52164444114754E-5</v>
      </c>
    </row>
    <row r="24406" spans="1:6" x14ac:dyDescent="0.25">
      <c r="A24406" s="2" t="str">
        <f t="shared" si="852"/>
        <v>18140</v>
      </c>
      <c r="B24406" s="2" t="str">
        <f>"43056"</f>
        <v>43056</v>
      </c>
      <c r="C24406" s="1">
        <v>8.0975017463427792E-3</v>
      </c>
      <c r="D24406" s="1">
        <v>8.8428999432470599E-3</v>
      </c>
      <c r="E24406" s="1">
        <v>1.2958226768968399E-2</v>
      </c>
      <c r="F24406" s="1">
        <v>8.3138848153199094E-3</v>
      </c>
    </row>
    <row r="24407" spans="1:6" x14ac:dyDescent="0.25">
      <c r="A24407" s="2" t="str">
        <f t="shared" si="852"/>
        <v>18140</v>
      </c>
      <c r="B24407" s="2" t="str">
        <f>"43033"</f>
        <v>43033</v>
      </c>
      <c r="C24407" s="1">
        <v>1.6479947094053701E-4</v>
      </c>
      <c r="D24407" s="1">
        <v>2.6396716248498601E-5</v>
      </c>
      <c r="E24407" s="1">
        <v>2.8417163967035998E-4</v>
      </c>
      <c r="F24407" s="1">
        <v>1.5882163854477499E-4</v>
      </c>
    </row>
    <row r="24408" spans="1:6" x14ac:dyDescent="0.25">
      <c r="A24408" s="2" t="str">
        <f t="shared" si="852"/>
        <v>18140</v>
      </c>
      <c r="B24408" s="2" t="str">
        <f>"43015"</f>
        <v>43015</v>
      </c>
      <c r="C24408" s="1">
        <v>2.5942626393220002E-2</v>
      </c>
      <c r="D24408" s="1">
        <v>2.2912349703696801E-2</v>
      </c>
      <c r="E24408" s="1">
        <v>1.9210002841716301E-2</v>
      </c>
      <c r="F24408" s="1">
        <v>2.5498956722530001E-2</v>
      </c>
    </row>
    <row r="24409" spans="1:6" x14ac:dyDescent="0.25">
      <c r="A24409" s="2" t="str">
        <f t="shared" ref="A24409:A24440" si="853">"18140"</f>
        <v>18140</v>
      </c>
      <c r="B24409" s="2" t="str">
        <f>"45654"</f>
        <v>45654</v>
      </c>
      <c r="C24409" s="1">
        <v>2.0839158906029199E-4</v>
      </c>
      <c r="D24409" s="1">
        <v>2.6396716248498601E-5</v>
      </c>
      <c r="E24409" s="1">
        <v>0</v>
      </c>
      <c r="F24409" s="1">
        <v>1.88303499592009E-4</v>
      </c>
    </row>
    <row r="24410" spans="1:6" x14ac:dyDescent="0.25">
      <c r="A24410" s="2" t="str">
        <f t="shared" si="853"/>
        <v>18140</v>
      </c>
      <c r="B24410" s="2" t="str">
        <f>"43761"</f>
        <v>43761</v>
      </c>
      <c r="C24410" s="1">
        <v>0</v>
      </c>
      <c r="D24410" s="1">
        <v>1.31983581242493E-5</v>
      </c>
      <c r="E24410" s="1">
        <v>0</v>
      </c>
      <c r="F24410" s="1">
        <v>9.5102777571721704E-7</v>
      </c>
    </row>
    <row r="24411" spans="1:6" x14ac:dyDescent="0.25">
      <c r="A24411" s="2" t="str">
        <f t="shared" si="853"/>
        <v>18140</v>
      </c>
      <c r="B24411" s="2" t="str">
        <f>"43746"</f>
        <v>43746</v>
      </c>
      <c r="C24411" s="1">
        <v>5.1034674871908201E-5</v>
      </c>
      <c r="D24411" s="1">
        <v>1.31983581242493E-5</v>
      </c>
      <c r="E24411" s="1">
        <v>2.8417163967036E-5</v>
      </c>
      <c r="F24411" s="1">
        <v>4.7551388785860798E-5</v>
      </c>
    </row>
    <row r="24412" spans="1:6" x14ac:dyDescent="0.25">
      <c r="A24412" s="2" t="str">
        <f t="shared" si="853"/>
        <v>18140</v>
      </c>
      <c r="B24412" s="2" t="str">
        <f>"43777"</f>
        <v>43777</v>
      </c>
      <c r="C24412" s="1">
        <v>8.8672747589940595E-4</v>
      </c>
      <c r="D24412" s="1">
        <v>3.2995895310623298E-4</v>
      </c>
      <c r="E24412" s="1">
        <v>5.6834327934072104E-4</v>
      </c>
      <c r="F24412" s="1">
        <v>8.3595341485543403E-4</v>
      </c>
    </row>
    <row r="24413" spans="1:6" x14ac:dyDescent="0.25">
      <c r="A24413" s="2" t="str">
        <f t="shared" si="853"/>
        <v>18140</v>
      </c>
      <c r="B24413" s="2" t="str">
        <f>"43766"</f>
        <v>43766</v>
      </c>
      <c r="C24413" s="1">
        <v>7.4319245282216404E-4</v>
      </c>
      <c r="D24413" s="1">
        <v>9.2388506869745405E-5</v>
      </c>
      <c r="E24413" s="1">
        <v>1.9892014776925199E-4</v>
      </c>
      <c r="F24413" s="1">
        <v>6.7808280408637603E-4</v>
      </c>
    </row>
    <row r="24414" spans="1:6" x14ac:dyDescent="0.25">
      <c r="A24414" s="2" t="str">
        <f t="shared" si="853"/>
        <v>18140</v>
      </c>
      <c r="B24414" s="2" t="str">
        <f>"43342"</f>
        <v>43342</v>
      </c>
      <c r="C24414" s="1">
        <v>3.9339228547095898E-5</v>
      </c>
      <c r="D24414" s="1">
        <v>0</v>
      </c>
      <c r="E24414" s="1">
        <v>0</v>
      </c>
      <c r="F24414" s="1">
        <v>3.5188027701537003E-5</v>
      </c>
    </row>
    <row r="24415" spans="1:6" x14ac:dyDescent="0.25">
      <c r="A24415" s="2" t="str">
        <f t="shared" si="853"/>
        <v>18140</v>
      </c>
      <c r="B24415" s="2" t="str">
        <f>"43232"</f>
        <v>43232</v>
      </c>
      <c r="C24415" s="1">
        <v>2.21150257778269E-2</v>
      </c>
      <c r="D24415" s="1">
        <v>2.04574550925864E-2</v>
      </c>
      <c r="E24415" s="1">
        <v>4.3052003410059603E-2</v>
      </c>
      <c r="F24415" s="1">
        <v>2.2696277867491298E-2</v>
      </c>
    </row>
    <row r="24416" spans="1:6" x14ac:dyDescent="0.25">
      <c r="A24416" s="2" t="str">
        <f t="shared" si="853"/>
        <v>18140</v>
      </c>
      <c r="B24416" s="2" t="str">
        <f>"43103"</f>
        <v>43103</v>
      </c>
      <c r="C24416" s="1">
        <v>5.4936701054822904E-3</v>
      </c>
      <c r="D24416" s="1">
        <v>2.5340847598558699E-3</v>
      </c>
      <c r="E24416" s="1">
        <v>2.6712134129013901E-3</v>
      </c>
      <c r="F24416" s="1">
        <v>5.1859544609859799E-3</v>
      </c>
    </row>
    <row r="24417" spans="1:6" x14ac:dyDescent="0.25">
      <c r="A24417" s="2" t="str">
        <f t="shared" si="853"/>
        <v>18140</v>
      </c>
      <c r="B24417" s="2" t="str">
        <f>"43123"</f>
        <v>43123</v>
      </c>
      <c r="C24417" s="1">
        <v>2.9746836115963501E-2</v>
      </c>
      <c r="D24417" s="1">
        <v>2.51032771523222E-2</v>
      </c>
      <c r="E24417" s="1">
        <v>1.1196362603012201E-2</v>
      </c>
      <c r="F24417" s="1">
        <v>2.8791414882063E-2</v>
      </c>
    </row>
    <row r="24418" spans="1:6" x14ac:dyDescent="0.25">
      <c r="A24418" s="2" t="str">
        <f t="shared" si="853"/>
        <v>18140</v>
      </c>
      <c r="B24418" s="2" t="str">
        <f>"43220"</f>
        <v>43220</v>
      </c>
      <c r="C24418" s="1">
        <v>1.4694796695930001E-2</v>
      </c>
      <c r="D24418" s="1">
        <v>1.9744743753877001E-2</v>
      </c>
      <c r="E24418" s="1">
        <v>3.29923273657289E-2</v>
      </c>
      <c r="F24418" s="1">
        <v>1.56710356882683E-2</v>
      </c>
    </row>
    <row r="24419" spans="1:6" x14ac:dyDescent="0.25">
      <c r="A24419" s="2" t="str">
        <f t="shared" si="853"/>
        <v>18140</v>
      </c>
      <c r="B24419" s="2" t="str">
        <f>"43216"</f>
        <v>43216</v>
      </c>
      <c r="C24419" s="1">
        <v>1.8648920776109801E-3</v>
      </c>
      <c r="D24419" s="1">
        <v>8.1169902464133404E-3</v>
      </c>
      <c r="E24419" s="1">
        <v>1.7050298380221599E-4</v>
      </c>
      <c r="F24419" s="1">
        <v>2.25869096732839E-3</v>
      </c>
    </row>
    <row r="24420" spans="1:6" x14ac:dyDescent="0.25">
      <c r="A24420" s="2" t="str">
        <f t="shared" si="853"/>
        <v>18140</v>
      </c>
      <c r="B24420" s="2" t="str">
        <f>"43215"</f>
        <v>43215</v>
      </c>
      <c r="C24420" s="1">
        <v>1.46575839121693E-2</v>
      </c>
      <c r="D24420" s="1">
        <v>6.3616086158881799E-2</v>
      </c>
      <c r="E24420" s="1">
        <v>4.1631145211707798E-2</v>
      </c>
      <c r="F24420" s="1">
        <v>1.9088078486420201E-2</v>
      </c>
    </row>
    <row r="24421" spans="1:6" x14ac:dyDescent="0.25">
      <c r="A24421" s="2" t="str">
        <f t="shared" si="853"/>
        <v>18140</v>
      </c>
      <c r="B24421" s="2" t="str">
        <f>"43156"</f>
        <v>43156</v>
      </c>
      <c r="C24421" s="1">
        <v>1.04195794530146E-4</v>
      </c>
      <c r="D24421" s="1">
        <v>1.31983581242493E-5</v>
      </c>
      <c r="E24421" s="1">
        <v>0</v>
      </c>
      <c r="F24421" s="1">
        <v>9.41517497960045E-5</v>
      </c>
    </row>
    <row r="24422" spans="1:6" x14ac:dyDescent="0.25">
      <c r="A24422" s="2" t="str">
        <f t="shared" si="853"/>
        <v>18140</v>
      </c>
      <c r="B24422" s="2" t="str">
        <f>"43203"</f>
        <v>43203</v>
      </c>
      <c r="C24422" s="1">
        <v>6.00295363180821E-3</v>
      </c>
      <c r="D24422" s="1">
        <v>5.6488972771787096E-3</v>
      </c>
      <c r="E24422" s="1">
        <v>7.7010514350667799E-3</v>
      </c>
      <c r="F24422" s="1">
        <v>6.0342712369257402E-3</v>
      </c>
    </row>
    <row r="24423" spans="1:6" x14ac:dyDescent="0.25">
      <c r="A24423" s="2" t="str">
        <f t="shared" si="853"/>
        <v>18140</v>
      </c>
      <c r="B24423" s="2" t="str">
        <f>"43204"</f>
        <v>43204</v>
      </c>
      <c r="C24423" s="1">
        <v>2.0305421264660499E-2</v>
      </c>
      <c r="D24423" s="1">
        <v>1.52705003497564E-2</v>
      </c>
      <c r="E24423" s="1">
        <v>2.2762148337595899E-2</v>
      </c>
      <c r="F24423" s="1">
        <v>2.0024840845501699E-2</v>
      </c>
    </row>
    <row r="24424" spans="1:6" x14ac:dyDescent="0.25">
      <c r="A24424" s="2" t="str">
        <f t="shared" si="853"/>
        <v>18140</v>
      </c>
      <c r="B24424" s="2" t="str">
        <f>"43054"</f>
        <v>43054</v>
      </c>
      <c r="C24424" s="1">
        <v>1.2795881501737799E-2</v>
      </c>
      <c r="D24424" s="1">
        <v>1.3356738421740301E-2</v>
      </c>
      <c r="E24424" s="1">
        <v>6.8485365160556901E-3</v>
      </c>
      <c r="F24424" s="1">
        <v>1.2637257083730299E-2</v>
      </c>
    </row>
    <row r="24425" spans="1:6" x14ac:dyDescent="0.25">
      <c r="A24425" s="2" t="str">
        <f t="shared" si="853"/>
        <v>18140</v>
      </c>
      <c r="B24425" s="2" t="str">
        <f>"43021"</f>
        <v>43021</v>
      </c>
      <c r="C24425" s="1">
        <v>5.1470596053105801E-3</v>
      </c>
      <c r="D24425" s="1">
        <v>9.6348014307020202E-4</v>
      </c>
      <c r="E24425" s="1">
        <v>2.27337311736288E-4</v>
      </c>
      <c r="F24425" s="1">
        <v>4.6809587120801403E-3</v>
      </c>
    </row>
    <row r="24426" spans="1:6" x14ac:dyDescent="0.25">
      <c r="A24426" s="2" t="str">
        <f t="shared" si="853"/>
        <v>18140</v>
      </c>
      <c r="B24426" s="2" t="str">
        <f>"43019"</f>
        <v>43019</v>
      </c>
      <c r="C24426" s="1">
        <v>8.2080768752319105E-4</v>
      </c>
      <c r="D24426" s="1">
        <v>3.9595074372748001E-5</v>
      </c>
      <c r="E24426" s="1">
        <v>3.4100596760443301E-4</v>
      </c>
      <c r="F24426" s="1">
        <v>7.4845885948945001E-4</v>
      </c>
    </row>
    <row r="24427" spans="1:6" x14ac:dyDescent="0.25">
      <c r="A24427" s="2" t="str">
        <f t="shared" si="853"/>
        <v>18140</v>
      </c>
      <c r="B24427" s="2" t="str">
        <f>"43016"</f>
        <v>43016</v>
      </c>
      <c r="C24427" s="1">
        <v>2.2526492843981599E-2</v>
      </c>
      <c r="D24427" s="1">
        <v>1.7408634365884801E-2</v>
      </c>
      <c r="E24427" s="1">
        <v>1.9096334185848201E-2</v>
      </c>
      <c r="F24427" s="1">
        <v>2.2042921785573599E-2</v>
      </c>
    </row>
    <row r="24428" spans="1:6" x14ac:dyDescent="0.25">
      <c r="A24428" s="2" t="str">
        <f t="shared" si="853"/>
        <v>18140</v>
      </c>
      <c r="B24428" s="2" t="str">
        <f>"43007"</f>
        <v>43007</v>
      </c>
      <c r="C24428" s="1">
        <v>0</v>
      </c>
      <c r="D24428" s="1">
        <v>0</v>
      </c>
      <c r="E24428" s="1">
        <v>2.8417163967036E-5</v>
      </c>
      <c r="F24428" s="1">
        <v>9.5102777571721704E-7</v>
      </c>
    </row>
    <row r="24429" spans="1:6" x14ac:dyDescent="0.25">
      <c r="A24429" s="2" t="str">
        <f t="shared" si="853"/>
        <v>18140</v>
      </c>
      <c r="B24429" s="2" t="str">
        <f>"45644"</f>
        <v>45644</v>
      </c>
      <c r="C24429" s="1">
        <v>4.4549018273603197E-4</v>
      </c>
      <c r="D24429" s="1">
        <v>1.05586864993994E-4</v>
      </c>
      <c r="E24429" s="1">
        <v>5.6834327934072101E-5</v>
      </c>
      <c r="F24429" s="1">
        <v>4.0799091578268601E-4</v>
      </c>
    </row>
    <row r="24430" spans="1:6" x14ac:dyDescent="0.25">
      <c r="A24430" s="2" t="str">
        <f t="shared" si="853"/>
        <v>18140</v>
      </c>
      <c r="B24430" s="2" t="str">
        <f>"43721"</f>
        <v>43721</v>
      </c>
      <c r="C24430" s="1">
        <v>0</v>
      </c>
      <c r="D24430" s="1">
        <v>1.31983581242493E-5</v>
      </c>
      <c r="E24430" s="1">
        <v>0</v>
      </c>
      <c r="F24430" s="1">
        <v>9.5102777571721704E-7</v>
      </c>
    </row>
    <row r="24431" spans="1:6" x14ac:dyDescent="0.25">
      <c r="A24431" s="2" t="str">
        <f t="shared" si="853"/>
        <v>18140</v>
      </c>
      <c r="B24431" s="2" t="str">
        <f>"43334"</f>
        <v>43334</v>
      </c>
      <c r="C24431" s="1">
        <v>2.8271083434250801E-3</v>
      </c>
      <c r="D24431" s="1">
        <v>9.1068671057320397E-4</v>
      </c>
      <c r="E24431" s="1">
        <v>7.9568059107701004E-4</v>
      </c>
      <c r="F24431" s="1">
        <v>2.62103254987665E-3</v>
      </c>
    </row>
    <row r="24432" spans="1:6" x14ac:dyDescent="0.25">
      <c r="A24432" s="2" t="str">
        <f t="shared" si="853"/>
        <v>18140</v>
      </c>
      <c r="B24432" s="2" t="str">
        <f>"43315"</f>
        <v>43315</v>
      </c>
      <c r="C24432" s="1">
        <v>3.0971668312889302E-3</v>
      </c>
      <c r="D24432" s="1">
        <v>1.18785223118244E-3</v>
      </c>
      <c r="E24432" s="1">
        <v>1.4492753623188399E-3</v>
      </c>
      <c r="F24432" s="1">
        <v>2.9044388270403798E-3</v>
      </c>
    </row>
    <row r="24433" spans="1:6" x14ac:dyDescent="0.25">
      <c r="A24433" s="2" t="str">
        <f t="shared" si="853"/>
        <v>18140</v>
      </c>
      <c r="B24433" s="2" t="str">
        <f>"43302"</f>
        <v>43302</v>
      </c>
      <c r="C24433" s="1">
        <v>1.7011558290636001E-5</v>
      </c>
      <c r="D24433" s="1">
        <v>0</v>
      </c>
      <c r="E24433" s="1">
        <v>0</v>
      </c>
      <c r="F24433" s="1">
        <v>1.52164444114754E-5</v>
      </c>
    </row>
    <row r="24434" spans="1:6" x14ac:dyDescent="0.25">
      <c r="A24434" s="2" t="str">
        <f t="shared" si="853"/>
        <v>18140</v>
      </c>
      <c r="B24434" s="2" t="str">
        <f>"43145"</f>
        <v>43145</v>
      </c>
      <c r="C24434" s="1">
        <v>4.85892633676293E-4</v>
      </c>
      <c r="D24434" s="1">
        <v>4.7514089247297598E-4</v>
      </c>
      <c r="E24434" s="1">
        <v>1.13668655868144E-4</v>
      </c>
      <c r="F24434" s="1">
        <v>4.7266080453145699E-4</v>
      </c>
    </row>
    <row r="24435" spans="1:6" x14ac:dyDescent="0.25">
      <c r="A24435" s="2" t="str">
        <f t="shared" si="853"/>
        <v>18140</v>
      </c>
      <c r="B24435" s="2" t="str">
        <f>"43138"</f>
        <v>43138</v>
      </c>
      <c r="C24435" s="1">
        <v>9.2574773772855206E-3</v>
      </c>
      <c r="D24435" s="1">
        <v>9.3972309844655294E-3</v>
      </c>
      <c r="E24435" s="1">
        <v>5.3992611537368503E-3</v>
      </c>
      <c r="F24435" s="1">
        <v>9.1384258968667392E-3</v>
      </c>
    </row>
    <row r="24436" spans="1:6" x14ac:dyDescent="0.25">
      <c r="A24436" s="2" t="str">
        <f t="shared" si="853"/>
        <v>18140</v>
      </c>
      <c r="B24436" s="2" t="str">
        <f>"43135"</f>
        <v>43135</v>
      </c>
      <c r="C24436" s="1">
        <v>1.8819036359016101E-3</v>
      </c>
      <c r="D24436" s="1">
        <v>3.0356223685773401E-4</v>
      </c>
      <c r="E24436" s="1">
        <v>1.7050298380221599E-4</v>
      </c>
      <c r="F24436" s="1">
        <v>1.7108989685152699E-3</v>
      </c>
    </row>
    <row r="24437" spans="1:6" x14ac:dyDescent="0.25">
      <c r="A24437" s="2" t="str">
        <f t="shared" si="853"/>
        <v>18140</v>
      </c>
      <c r="B24437" s="2" t="str">
        <f>"43125"</f>
        <v>43125</v>
      </c>
      <c r="C24437" s="1">
        <v>6.8588476583058399E-3</v>
      </c>
      <c r="D24437" s="1">
        <v>1.0321116053162899E-2</v>
      </c>
      <c r="E24437" s="1">
        <v>4.3194089229894803E-3</v>
      </c>
      <c r="F24437" s="1">
        <v>7.0233401236716496E-3</v>
      </c>
    </row>
    <row r="24438" spans="1:6" x14ac:dyDescent="0.25">
      <c r="A24438" s="2" t="str">
        <f t="shared" si="853"/>
        <v>18140</v>
      </c>
      <c r="B24438" s="2" t="str">
        <f>"43115"</f>
        <v>43115</v>
      </c>
      <c r="C24438" s="1">
        <v>5.52875644445673E-5</v>
      </c>
      <c r="D24438" s="1">
        <v>0</v>
      </c>
      <c r="E24438" s="1">
        <v>0</v>
      </c>
      <c r="F24438" s="1">
        <v>4.9453444337295299E-5</v>
      </c>
    </row>
    <row r="24439" spans="1:6" x14ac:dyDescent="0.25">
      <c r="A24439" s="2" t="str">
        <f t="shared" si="853"/>
        <v>18140</v>
      </c>
      <c r="B24439" s="2" t="str">
        <f>"43109"</f>
        <v>43109</v>
      </c>
      <c r="C24439" s="1">
        <v>6.1347932085606405E-4</v>
      </c>
      <c r="D24439" s="1">
        <v>2.23052252299813E-3</v>
      </c>
      <c r="E24439" s="1">
        <v>2.8417163967036E-5</v>
      </c>
      <c r="F24439" s="1">
        <v>7.10417748460761E-4</v>
      </c>
    </row>
    <row r="24440" spans="1:6" x14ac:dyDescent="0.25">
      <c r="A24440" s="2" t="str">
        <f t="shared" si="853"/>
        <v>18140</v>
      </c>
      <c r="B24440" s="2" t="str">
        <f>"43111"</f>
        <v>43111</v>
      </c>
      <c r="C24440" s="1">
        <v>1.0632223931647501E-6</v>
      </c>
      <c r="D24440" s="1">
        <v>1.31983581242493E-5</v>
      </c>
      <c r="E24440" s="1">
        <v>0</v>
      </c>
      <c r="F24440" s="1">
        <v>1.9020555514344301E-6</v>
      </c>
    </row>
    <row r="24441" spans="1:6" x14ac:dyDescent="0.25">
      <c r="A24441" s="2" t="str">
        <f t="shared" ref="A24441:A24472" si="854">"18140"</f>
        <v>18140</v>
      </c>
      <c r="B24441" s="2" t="str">
        <f>"43116"</f>
        <v>43116</v>
      </c>
      <c r="C24441" s="1">
        <v>8.1974446513002604E-4</v>
      </c>
      <c r="D24441" s="1">
        <v>5.2793432496997303E-5</v>
      </c>
      <c r="E24441" s="1">
        <v>0</v>
      </c>
      <c r="F24441" s="1">
        <v>7.3704652618084303E-4</v>
      </c>
    </row>
    <row r="24442" spans="1:6" x14ac:dyDescent="0.25">
      <c r="A24442" s="2" t="str">
        <f t="shared" si="854"/>
        <v>18140</v>
      </c>
      <c r="B24442" s="2" t="str">
        <f>"43112"</f>
        <v>43112</v>
      </c>
      <c r="C24442" s="1">
        <v>2.0669043323122802E-3</v>
      </c>
      <c r="D24442" s="1">
        <v>2.0325471511343902E-3</v>
      </c>
      <c r="E24442" s="1">
        <v>2.27337311736288E-4</v>
      </c>
      <c r="F24442" s="1">
        <v>2.0028644956604602E-3</v>
      </c>
    </row>
    <row r="24443" spans="1:6" x14ac:dyDescent="0.25">
      <c r="A24443" s="2" t="str">
        <f t="shared" si="854"/>
        <v>18140</v>
      </c>
      <c r="B24443" s="2" t="str">
        <f>"43222"</f>
        <v>43222</v>
      </c>
      <c r="C24443" s="1">
        <v>2.4050090533386699E-3</v>
      </c>
      <c r="D24443" s="1">
        <v>4.67221877598426E-3</v>
      </c>
      <c r="E24443" s="1">
        <v>2.1597044614947401E-3</v>
      </c>
      <c r="F24443" s="1">
        <v>2.5601667722307399E-3</v>
      </c>
    </row>
    <row r="24444" spans="1:6" x14ac:dyDescent="0.25">
      <c r="A24444" s="2" t="str">
        <f t="shared" si="854"/>
        <v>18140</v>
      </c>
      <c r="B24444" s="2" t="str">
        <f>"43219"</f>
        <v>43219</v>
      </c>
      <c r="C24444" s="1">
        <v>1.40706851511423E-2</v>
      </c>
      <c r="D24444" s="1">
        <v>2.5987567146646899E-2</v>
      </c>
      <c r="E24444" s="1">
        <v>1.53452685421994E-2</v>
      </c>
      <c r="F24444" s="1">
        <v>1.49720302731161E-2</v>
      </c>
    </row>
    <row r="24445" spans="1:6" x14ac:dyDescent="0.25">
      <c r="A24445" s="2" t="str">
        <f t="shared" si="854"/>
        <v>18140</v>
      </c>
      <c r="B24445" s="2" t="str">
        <f>"43082"</f>
        <v>43082</v>
      </c>
      <c r="C24445" s="1">
        <v>1.3507177282764999E-2</v>
      </c>
      <c r="D24445" s="1">
        <v>1.0519091425026701E-2</v>
      </c>
      <c r="E24445" s="1">
        <v>8.7524865018471093E-3</v>
      </c>
      <c r="F24445" s="1">
        <v>1.3132742554879E-2</v>
      </c>
    </row>
    <row r="24446" spans="1:6" x14ac:dyDescent="0.25">
      <c r="A24446" s="2" t="str">
        <f t="shared" si="854"/>
        <v>18140</v>
      </c>
      <c r="B24446" s="2" t="str">
        <f>"43157"</f>
        <v>43157</v>
      </c>
      <c r="C24446" s="1">
        <v>2.0626514427396199E-4</v>
      </c>
      <c r="D24446" s="1">
        <v>1.31983581242493E-5</v>
      </c>
      <c r="E24446" s="1">
        <v>5.6834327934072101E-5</v>
      </c>
      <c r="F24446" s="1">
        <v>1.8735247181629101E-4</v>
      </c>
    </row>
    <row r="24447" spans="1:6" x14ac:dyDescent="0.25">
      <c r="A24447" s="2" t="str">
        <f t="shared" si="854"/>
        <v>18140</v>
      </c>
      <c r="B24447" s="2" t="str">
        <f>"43151"</f>
        <v>43151</v>
      </c>
      <c r="C24447" s="1">
        <v>2.1264447863295099E-6</v>
      </c>
      <c r="D24447" s="1">
        <v>1.31983581242493E-5</v>
      </c>
      <c r="E24447" s="1">
        <v>0</v>
      </c>
      <c r="F24447" s="1">
        <v>2.8530833271516498E-6</v>
      </c>
    </row>
    <row r="24448" spans="1:6" x14ac:dyDescent="0.25">
      <c r="A24448" s="2" t="str">
        <f t="shared" si="854"/>
        <v>18140</v>
      </c>
      <c r="B24448" s="2" t="str">
        <f>"43062"</f>
        <v>43062</v>
      </c>
      <c r="C24448" s="1">
        <v>1.2939416524814999E-2</v>
      </c>
      <c r="D24448" s="1">
        <v>5.9260627977879496E-3</v>
      </c>
      <c r="E24448" s="1">
        <v>5.56976413753907E-3</v>
      </c>
      <c r="F24448" s="1">
        <v>1.21874209458161E-2</v>
      </c>
    </row>
    <row r="24449" spans="1:6" x14ac:dyDescent="0.25">
      <c r="A24449" s="2" t="str">
        <f t="shared" si="854"/>
        <v>18140</v>
      </c>
      <c r="B24449" s="2" t="str">
        <f>"43074"</f>
        <v>43074</v>
      </c>
      <c r="C24449" s="1">
        <v>6.3176674601849699E-3</v>
      </c>
      <c r="D24449" s="1">
        <v>4.9757810128420003E-3</v>
      </c>
      <c r="E24449" s="1">
        <v>1.70502983802216E-3</v>
      </c>
      <c r="F24449" s="1">
        <v>6.0666061813001299E-3</v>
      </c>
    </row>
    <row r="24450" spans="1:6" x14ac:dyDescent="0.25">
      <c r="A24450" s="2" t="str">
        <f t="shared" si="854"/>
        <v>18140</v>
      </c>
      <c r="B24450" s="2" t="str">
        <f>"43050"</f>
        <v>43050</v>
      </c>
      <c r="C24450" s="1">
        <v>3.6149561367601603E-5</v>
      </c>
      <c r="D24450" s="1">
        <v>0</v>
      </c>
      <c r="E24450" s="1">
        <v>0</v>
      </c>
      <c r="F24450" s="1">
        <v>3.2334944374385298E-5</v>
      </c>
    </row>
    <row r="24451" spans="1:6" x14ac:dyDescent="0.25">
      <c r="A24451" s="2" t="str">
        <f t="shared" si="854"/>
        <v>18140</v>
      </c>
      <c r="B24451" s="2" t="str">
        <f>"43027"</f>
        <v>43027</v>
      </c>
      <c r="C24451" s="1">
        <v>0</v>
      </c>
      <c r="D24451" s="1">
        <v>1.31983581242493E-5</v>
      </c>
      <c r="E24451" s="1">
        <v>0</v>
      </c>
      <c r="F24451" s="1">
        <v>9.5102777571721704E-7</v>
      </c>
    </row>
    <row r="24452" spans="1:6" x14ac:dyDescent="0.25">
      <c r="A24452" s="2" t="str">
        <f t="shared" si="854"/>
        <v>18140</v>
      </c>
      <c r="B24452" s="2" t="str">
        <f>"43004"</f>
        <v>43004</v>
      </c>
      <c r="C24452" s="1">
        <v>1.2329126871138499E-2</v>
      </c>
      <c r="D24452" s="1">
        <v>4.6062269853630201E-3</v>
      </c>
      <c r="E24452" s="1">
        <v>2.1028701335606701E-3</v>
      </c>
      <c r="F24452" s="1">
        <v>1.1430402836345201E-2</v>
      </c>
    </row>
    <row r="24453" spans="1:6" x14ac:dyDescent="0.25">
      <c r="A24453" s="2" t="str">
        <f t="shared" si="854"/>
        <v>18140</v>
      </c>
      <c r="B24453" s="2" t="str">
        <f>"43003"</f>
        <v>43003</v>
      </c>
      <c r="C24453" s="1">
        <v>9.9942904957487006E-4</v>
      </c>
      <c r="D24453" s="1">
        <v>3.0356223685773401E-4</v>
      </c>
      <c r="E24453" s="1">
        <v>3.6942313157146901E-4</v>
      </c>
      <c r="F24453" s="1">
        <v>9.2820310910000405E-4</v>
      </c>
    </row>
    <row r="24454" spans="1:6" x14ac:dyDescent="0.25">
      <c r="A24454" s="2" t="str">
        <f t="shared" si="854"/>
        <v>18140</v>
      </c>
      <c r="B24454" s="2" t="str">
        <f>"45732"</f>
        <v>45732</v>
      </c>
      <c r="C24454" s="1">
        <v>1.35029243931923E-4</v>
      </c>
      <c r="D24454" s="1">
        <v>1.31983581242493E-5</v>
      </c>
      <c r="E24454" s="1">
        <v>0</v>
      </c>
      <c r="F24454" s="1">
        <v>1.2173155529180299E-4</v>
      </c>
    </row>
    <row r="24455" spans="1:6" x14ac:dyDescent="0.25">
      <c r="A24455" s="2" t="str">
        <f t="shared" si="854"/>
        <v>18140</v>
      </c>
      <c r="B24455" s="2" t="str">
        <f>"44833"</f>
        <v>44833</v>
      </c>
      <c r="C24455" s="1">
        <v>1.18761941316503E-3</v>
      </c>
      <c r="D24455" s="1">
        <v>2.2437208811223799E-4</v>
      </c>
      <c r="E24455" s="1">
        <v>1.13668655868144E-4</v>
      </c>
      <c r="F24455" s="1">
        <v>1.0822696087661901E-3</v>
      </c>
    </row>
    <row r="24456" spans="1:6" x14ac:dyDescent="0.25">
      <c r="A24456" s="2" t="str">
        <f t="shared" si="854"/>
        <v>18140</v>
      </c>
      <c r="B24456" s="2" t="str">
        <f>"43764"</f>
        <v>43764</v>
      </c>
      <c r="C24456" s="1">
        <v>3.81696839146147E-3</v>
      </c>
      <c r="D24456" s="1">
        <v>4.14428445101429E-3</v>
      </c>
      <c r="E24456" s="1">
        <v>2.04603580562659E-3</v>
      </c>
      <c r="F24456" s="1">
        <v>3.7812864362516498E-3</v>
      </c>
    </row>
    <row r="24457" spans="1:6" x14ac:dyDescent="0.25">
      <c r="A24457" s="2" t="str">
        <f t="shared" si="854"/>
        <v>18140</v>
      </c>
      <c r="B24457" s="2" t="str">
        <f>"43350"</f>
        <v>43350</v>
      </c>
      <c r="C24457" s="1">
        <v>3.18966717949426E-6</v>
      </c>
      <c r="D24457" s="1">
        <v>1.31983581242493E-5</v>
      </c>
      <c r="E24457" s="1">
        <v>0</v>
      </c>
      <c r="F24457" s="1">
        <v>3.8041111028688698E-6</v>
      </c>
    </row>
    <row r="24458" spans="1:6" x14ac:dyDescent="0.25">
      <c r="A24458" s="2" t="str">
        <f t="shared" si="854"/>
        <v>18140</v>
      </c>
      <c r="B24458" s="2" t="str">
        <f>"43325"</f>
        <v>43325</v>
      </c>
      <c r="C24458" s="1">
        <v>1.0632223931647501E-6</v>
      </c>
      <c r="D24458" s="1">
        <v>1.31983581242493E-5</v>
      </c>
      <c r="E24458" s="1">
        <v>0</v>
      </c>
      <c r="F24458" s="1">
        <v>1.9020555514344301E-6</v>
      </c>
    </row>
    <row r="24459" spans="1:6" x14ac:dyDescent="0.25">
      <c r="A24459" s="2" t="str">
        <f t="shared" si="854"/>
        <v>18140</v>
      </c>
      <c r="B24459" s="2" t="str">
        <f>"43314"</f>
        <v>43314</v>
      </c>
      <c r="C24459" s="1">
        <v>1.11638351282299E-4</v>
      </c>
      <c r="D24459" s="1">
        <v>1.31983581242493E-5</v>
      </c>
      <c r="E24459" s="1">
        <v>0</v>
      </c>
      <c r="F24459" s="1">
        <v>1.0080894422602501E-4</v>
      </c>
    </row>
    <row r="24460" spans="1:6" x14ac:dyDescent="0.25">
      <c r="A24460" s="2" t="str">
        <f t="shared" si="854"/>
        <v>18140</v>
      </c>
      <c r="B24460" s="2" t="str">
        <f>"43140"</f>
        <v>43140</v>
      </c>
      <c r="C24460" s="1">
        <v>8.9608383295925603E-3</v>
      </c>
      <c r="D24460" s="1">
        <v>8.2357754695315897E-3</v>
      </c>
      <c r="E24460" s="1">
        <v>8.6672350099459994E-3</v>
      </c>
      <c r="F24460" s="1">
        <v>8.8987668973859995E-3</v>
      </c>
    </row>
    <row r="24461" spans="1:6" x14ac:dyDescent="0.25">
      <c r="A24461" s="2" t="str">
        <f t="shared" si="854"/>
        <v>18140</v>
      </c>
      <c r="B24461" s="2" t="str">
        <f>"43113"</f>
        <v>43113</v>
      </c>
      <c r="C24461" s="1">
        <v>1.1831538791137399E-2</v>
      </c>
      <c r="D24461" s="1">
        <v>1.4834954531656201E-2</v>
      </c>
      <c r="E24461" s="1">
        <v>8.01364023870417E-3</v>
      </c>
      <c r="F24461" s="1">
        <v>1.19201821408396E-2</v>
      </c>
    </row>
    <row r="24462" spans="1:6" x14ac:dyDescent="0.25">
      <c r="A24462" s="2" t="str">
        <f t="shared" si="854"/>
        <v>18140</v>
      </c>
      <c r="B24462" s="2" t="str">
        <f>"43086"</f>
        <v>43086</v>
      </c>
      <c r="C24462" s="1">
        <v>1.7968458444484301E-3</v>
      </c>
      <c r="D24462" s="1">
        <v>9.6875948631990096E-3</v>
      </c>
      <c r="E24462" s="1">
        <v>5.6834327934072101E-5</v>
      </c>
      <c r="F24462" s="1">
        <v>2.3071933838899601E-3</v>
      </c>
    </row>
    <row r="24463" spans="1:6" x14ac:dyDescent="0.25">
      <c r="A24463" s="2" t="str">
        <f t="shared" si="854"/>
        <v>18140</v>
      </c>
      <c r="B24463" s="2" t="str">
        <f>"43223"</f>
        <v>43223</v>
      </c>
      <c r="C24463" s="1">
        <v>1.32009692335336E-2</v>
      </c>
      <c r="D24463" s="1">
        <v>1.2076497683688099E-2</v>
      </c>
      <c r="E24463" s="1">
        <v>1.48337595907928E-2</v>
      </c>
      <c r="F24463" s="1">
        <v>1.31745877770106E-2</v>
      </c>
    </row>
    <row r="24464" spans="1:6" x14ac:dyDescent="0.25">
      <c r="A24464" s="2" t="str">
        <f t="shared" si="854"/>
        <v>18140</v>
      </c>
      <c r="B24464" s="2" t="str">
        <f>"43205"</f>
        <v>43205</v>
      </c>
      <c r="C24464" s="1">
        <v>8.3197152265142103E-3</v>
      </c>
      <c r="D24464" s="1">
        <v>8.6713212876318099E-3</v>
      </c>
      <c r="E24464" s="1">
        <v>1.6510372264847899E-2</v>
      </c>
      <c r="F24464" s="1">
        <v>8.6191647313251397E-3</v>
      </c>
    </row>
    <row r="24465" spans="1:6" x14ac:dyDescent="0.25">
      <c r="A24465" s="2" t="str">
        <f t="shared" si="854"/>
        <v>18140</v>
      </c>
      <c r="B24465" s="2" t="str">
        <f>"43213"</f>
        <v>43213</v>
      </c>
      <c r="C24465" s="1">
        <v>1.8894525148930801E-2</v>
      </c>
      <c r="D24465" s="1">
        <v>2.4364169097364202E-2</v>
      </c>
      <c r="E24465" s="1">
        <v>3.8647342995168997E-2</v>
      </c>
      <c r="F24465" s="1">
        <v>1.9949709651220001E-2</v>
      </c>
    </row>
    <row r="24466" spans="1:6" x14ac:dyDescent="0.25">
      <c r="A24466" s="2" t="str">
        <f t="shared" si="854"/>
        <v>18140</v>
      </c>
      <c r="B24466" s="2" t="str">
        <f>"43212"</f>
        <v>43212</v>
      </c>
      <c r="C24466" s="1">
        <v>1.45863480118272E-2</v>
      </c>
      <c r="D24466" s="1">
        <v>1.9705148679504202E-2</v>
      </c>
      <c r="E24466" s="1">
        <v>3.53793691389599E-2</v>
      </c>
      <c r="F24466" s="1">
        <v>1.5651064104978199E-2</v>
      </c>
    </row>
    <row r="24467" spans="1:6" x14ac:dyDescent="0.25">
      <c r="A24467" s="2" t="str">
        <f t="shared" si="854"/>
        <v>18140</v>
      </c>
      <c r="B24467" s="2" t="str">
        <f>"43081"</f>
        <v>43081</v>
      </c>
      <c r="C24467" s="1">
        <v>2.9881865359895399E-2</v>
      </c>
      <c r="D24467" s="1">
        <v>2.42717805904945E-2</v>
      </c>
      <c r="E24467" s="1">
        <v>2.29610684853651E-2</v>
      </c>
      <c r="F24467" s="1">
        <v>2.9246006158855802E-2</v>
      </c>
    </row>
    <row r="24468" spans="1:6" x14ac:dyDescent="0.25">
      <c r="A24468" s="2" t="str">
        <f t="shared" si="854"/>
        <v>18140</v>
      </c>
      <c r="B24468" s="2" t="str">
        <f>"43158"</f>
        <v>43158</v>
      </c>
      <c r="C24468" s="1">
        <v>0</v>
      </c>
      <c r="D24468" s="1">
        <v>1.31983581242493E-5</v>
      </c>
      <c r="E24468" s="1">
        <v>0</v>
      </c>
      <c r="F24468" s="1">
        <v>9.5102777571721704E-7</v>
      </c>
    </row>
    <row r="24469" spans="1:6" x14ac:dyDescent="0.25">
      <c r="A24469" s="2" t="str">
        <f t="shared" si="854"/>
        <v>18140</v>
      </c>
      <c r="B24469" s="2" t="str">
        <f>"43164"</f>
        <v>43164</v>
      </c>
      <c r="C24469" s="1">
        <v>9.5583693145511503E-4</v>
      </c>
      <c r="D24469" s="1">
        <v>4.2234745997597799E-4</v>
      </c>
      <c r="E24469" s="1">
        <v>5.6834327934072101E-5</v>
      </c>
      <c r="F24469" s="1">
        <v>8.8730891474416405E-4</v>
      </c>
    </row>
    <row r="24470" spans="1:6" x14ac:dyDescent="0.25">
      <c r="A24470" s="2" t="str">
        <f t="shared" si="854"/>
        <v>18140</v>
      </c>
      <c r="B24470" s="2" t="str">
        <f>"43154"</f>
        <v>43154</v>
      </c>
      <c r="C24470" s="1">
        <v>1.31945898991746E-3</v>
      </c>
      <c r="D24470" s="1">
        <v>2.6396716248498601E-4</v>
      </c>
      <c r="E24470" s="1">
        <v>4.2625745950554102E-4</v>
      </c>
      <c r="F24470" s="1">
        <v>1.21351144181516E-3</v>
      </c>
    </row>
    <row r="24471" spans="1:6" x14ac:dyDescent="0.25">
      <c r="A24471" s="2" t="str">
        <f t="shared" si="854"/>
        <v>18140</v>
      </c>
      <c r="B24471" s="2" t="str">
        <f>"43155"</f>
        <v>43155</v>
      </c>
      <c r="C24471" s="1">
        <v>1.0323889437629701E-3</v>
      </c>
      <c r="D24471" s="1">
        <v>1.3198358124249301E-4</v>
      </c>
      <c r="E24471" s="1">
        <v>5.6834327934072101E-5</v>
      </c>
      <c r="F24471" s="1">
        <v>9.3486030353002395E-4</v>
      </c>
    </row>
    <row r="24472" spans="1:6" x14ac:dyDescent="0.25">
      <c r="A24472" s="2" t="str">
        <f t="shared" si="854"/>
        <v>18140</v>
      </c>
      <c r="B24472" s="2" t="str">
        <f>"43071"</f>
        <v>43071</v>
      </c>
      <c r="C24472" s="1">
        <v>1.02707283179715E-3</v>
      </c>
      <c r="D24472" s="1">
        <v>2.5076880436073699E-4</v>
      </c>
      <c r="E24472" s="1">
        <v>0</v>
      </c>
      <c r="F24472" s="1">
        <v>9.3676235908145896E-4</v>
      </c>
    </row>
    <row r="24473" spans="1:6" x14ac:dyDescent="0.25">
      <c r="A24473" s="2" t="str">
        <f t="shared" ref="A24473:A24504" si="855">"18140"</f>
        <v>18140</v>
      </c>
      <c r="B24473" s="2" t="str">
        <f>"43017"</f>
        <v>43017</v>
      </c>
      <c r="C24473" s="1">
        <v>1.92464517610684E-2</v>
      </c>
      <c r="D24473" s="1">
        <v>2.94191402589517E-2</v>
      </c>
      <c r="E24473" s="1">
        <v>2.6740551292980901E-2</v>
      </c>
      <c r="F24473" s="1">
        <v>2.02302628450566E-2</v>
      </c>
    </row>
    <row r="24474" spans="1:6" x14ac:dyDescent="0.25">
      <c r="A24474" s="2" t="str">
        <f t="shared" si="855"/>
        <v>18140</v>
      </c>
      <c r="B24474" s="2" t="str">
        <f>"43044"</f>
        <v>43044</v>
      </c>
      <c r="C24474" s="1">
        <v>7.2299122735203301E-5</v>
      </c>
      <c r="D24474" s="1">
        <v>1.31983581242493E-5</v>
      </c>
      <c r="E24474" s="1">
        <v>0</v>
      </c>
      <c r="F24474" s="1">
        <v>6.5620916524488003E-5</v>
      </c>
    </row>
    <row r="24475" spans="1:6" x14ac:dyDescent="0.25">
      <c r="A24475" s="2" t="str">
        <f t="shared" si="855"/>
        <v>18140</v>
      </c>
      <c r="B24475" s="2" t="str">
        <f>"43046"</f>
        <v>43046</v>
      </c>
      <c r="C24475" s="1">
        <v>1.6362992630805501E-3</v>
      </c>
      <c r="D24475" s="1">
        <v>6.7311626433671601E-4</v>
      </c>
      <c r="E24475" s="1">
        <v>3.9784029553850502E-4</v>
      </c>
      <c r="F24475" s="1">
        <v>1.5254485522504099E-3</v>
      </c>
    </row>
    <row r="24476" spans="1:6" x14ac:dyDescent="0.25">
      <c r="A24476" s="2" t="str">
        <f t="shared" si="855"/>
        <v>18140</v>
      </c>
      <c r="B24476" s="2" t="str">
        <f>"43025"</f>
        <v>43025</v>
      </c>
      <c r="C24476" s="1">
        <v>2.8334876777840702E-3</v>
      </c>
      <c r="D24476" s="1">
        <v>2.2041258067496401E-3</v>
      </c>
      <c r="E24476" s="1">
        <v>2.4438761011650999E-3</v>
      </c>
      <c r="F24476" s="1">
        <v>2.7750990495428399E-3</v>
      </c>
    </row>
    <row r="24477" spans="1:6" x14ac:dyDescent="0.25">
      <c r="A24477" s="2" t="str">
        <f t="shared" si="855"/>
        <v>18140</v>
      </c>
      <c r="B24477" s="2" t="str">
        <f>"43023"</f>
        <v>43023</v>
      </c>
      <c r="C24477" s="1">
        <v>7.8029891434361403E-3</v>
      </c>
      <c r="D24477" s="1">
        <v>4.4874417622447699E-3</v>
      </c>
      <c r="E24477" s="1">
        <v>3.4384768400113602E-3</v>
      </c>
      <c r="F24477" s="1">
        <v>7.4180166505942897E-3</v>
      </c>
    </row>
    <row r="24478" spans="1:6" x14ac:dyDescent="0.25">
      <c r="A24478" s="2" t="str">
        <f t="shared" si="855"/>
        <v>18140</v>
      </c>
      <c r="B24478" s="2" t="str">
        <f>"43011"</f>
        <v>43011</v>
      </c>
      <c r="C24478" s="1">
        <v>9.4201504034397299E-4</v>
      </c>
      <c r="D24478" s="1">
        <v>1.05586864993994E-4</v>
      </c>
      <c r="E24478" s="1">
        <v>5.6834327934072101E-5</v>
      </c>
      <c r="F24478" s="1">
        <v>8.5212088704262603E-4</v>
      </c>
    </row>
    <row r="24479" spans="1:6" x14ac:dyDescent="0.25">
      <c r="A24479" s="2" t="str">
        <f t="shared" si="855"/>
        <v>18140</v>
      </c>
      <c r="B24479" s="2" t="str">
        <f>"45369"</f>
        <v>45369</v>
      </c>
      <c r="C24479" s="1">
        <v>7.4425567521532896E-6</v>
      </c>
      <c r="D24479" s="1">
        <v>0</v>
      </c>
      <c r="E24479" s="1">
        <v>0</v>
      </c>
      <c r="F24479" s="1">
        <v>6.6571944300205201E-6</v>
      </c>
    </row>
    <row r="24480" spans="1:6" x14ac:dyDescent="0.25">
      <c r="A24480" s="2" t="str">
        <f t="shared" si="855"/>
        <v>18140</v>
      </c>
      <c r="B24480" s="2" t="str">
        <f>"44903"</f>
        <v>44903</v>
      </c>
      <c r="C24480" s="1">
        <v>1.7968458444484299E-4</v>
      </c>
      <c r="D24480" s="1">
        <v>3.9595074372748001E-5</v>
      </c>
      <c r="E24480" s="1">
        <v>2.8417163967036E-5</v>
      </c>
      <c r="F24480" s="1">
        <v>1.6452780519907799E-4</v>
      </c>
    </row>
    <row r="24481" spans="1:6" x14ac:dyDescent="0.25">
      <c r="A24481" s="2" t="str">
        <f t="shared" si="855"/>
        <v>18140</v>
      </c>
      <c r="B24481" s="2" t="str">
        <f>"43760"</f>
        <v>43760</v>
      </c>
      <c r="C24481" s="1">
        <v>5.8583553863377998E-4</v>
      </c>
      <c r="D24481" s="1">
        <v>1.8477701373949E-4</v>
      </c>
      <c r="E24481" s="1">
        <v>0</v>
      </c>
      <c r="F24481" s="1">
        <v>5.3733069328022699E-4</v>
      </c>
    </row>
    <row r="24482" spans="1:6" x14ac:dyDescent="0.25">
      <c r="A24482" s="2" t="str">
        <f t="shared" si="855"/>
        <v>18140</v>
      </c>
      <c r="B24482" s="2" t="str">
        <f>"43748"</f>
        <v>43748</v>
      </c>
      <c r="C24482" s="1">
        <v>9.31382816412326E-4</v>
      </c>
      <c r="D24482" s="1">
        <v>1.8477701373949E-4</v>
      </c>
      <c r="E24482" s="1">
        <v>1.13668655868144E-4</v>
      </c>
      <c r="F24482" s="1">
        <v>8.50218831491192E-4</v>
      </c>
    </row>
    <row r="24483" spans="1:6" x14ac:dyDescent="0.25">
      <c r="A24483" s="2" t="str">
        <f t="shared" si="855"/>
        <v>18140</v>
      </c>
      <c r="B24483" s="2" t="str">
        <f>"43731"</f>
        <v>43731</v>
      </c>
      <c r="C24483" s="1">
        <v>2.14983567897913E-3</v>
      </c>
      <c r="D24483" s="1">
        <v>1.41222431929467E-3</v>
      </c>
      <c r="E24483" s="1">
        <v>7.3884626314293803E-4</v>
      </c>
      <c r="F24483" s="1">
        <v>2.0494648566705999E-3</v>
      </c>
    </row>
    <row r="24484" spans="1:6" x14ac:dyDescent="0.25">
      <c r="A24484" s="2" t="str">
        <f t="shared" si="855"/>
        <v>18140</v>
      </c>
      <c r="B24484" s="2" t="str">
        <f>"43701"</f>
        <v>43701</v>
      </c>
      <c r="C24484" s="1">
        <v>3.18966717949426E-6</v>
      </c>
      <c r="D24484" s="1">
        <v>0</v>
      </c>
      <c r="E24484" s="1">
        <v>0</v>
      </c>
      <c r="F24484" s="1">
        <v>2.8530833271516498E-6</v>
      </c>
    </row>
    <row r="24485" spans="1:6" x14ac:dyDescent="0.25">
      <c r="A24485" s="2" t="str">
        <f t="shared" si="855"/>
        <v>18140</v>
      </c>
      <c r="B24485" s="2" t="str">
        <f>"43320"</f>
        <v>43320</v>
      </c>
      <c r="C24485" s="1">
        <v>5.8158264906112101E-4</v>
      </c>
      <c r="D24485" s="1">
        <v>3.6955402747898102E-4</v>
      </c>
      <c r="E24485" s="1">
        <v>1.13668655868144E-4</v>
      </c>
      <c r="F24485" s="1">
        <v>5.50645082140268E-4</v>
      </c>
    </row>
    <row r="24486" spans="1:6" x14ac:dyDescent="0.25">
      <c r="A24486" s="2" t="str">
        <f t="shared" si="855"/>
        <v>18140</v>
      </c>
      <c r="B24486" s="2" t="str">
        <f>"43287"</f>
        <v>43287</v>
      </c>
      <c r="C24486" s="1">
        <v>0</v>
      </c>
      <c r="D24486" s="1">
        <v>1.31983581242493E-5</v>
      </c>
      <c r="E24486" s="1">
        <v>0</v>
      </c>
      <c r="F24486" s="1">
        <v>9.5102777571721704E-7</v>
      </c>
    </row>
    <row r="24487" spans="1:6" x14ac:dyDescent="0.25">
      <c r="A24487" s="2" t="str">
        <f t="shared" si="855"/>
        <v>18140</v>
      </c>
      <c r="B24487" s="2" t="str">
        <f>"43137"</f>
        <v>43137</v>
      </c>
      <c r="C24487" s="1">
        <v>1.7947193996621E-3</v>
      </c>
      <c r="D24487" s="1">
        <v>1.6629931236554099E-3</v>
      </c>
      <c r="E24487" s="1">
        <v>9.6618357487922703E-4</v>
      </c>
      <c r="F24487" s="1">
        <v>1.75749932952541E-3</v>
      </c>
    </row>
    <row r="24488" spans="1:6" x14ac:dyDescent="0.25">
      <c r="A24488" s="2" t="str">
        <f t="shared" si="855"/>
        <v>18140</v>
      </c>
      <c r="B24488" s="2" t="str">
        <f>"43107"</f>
        <v>43107</v>
      </c>
      <c r="C24488" s="1">
        <v>1.67776493641398E-3</v>
      </c>
      <c r="D24488" s="1">
        <v>9.6348014307020202E-4</v>
      </c>
      <c r="E24488" s="1">
        <v>4.5467462347257702E-4</v>
      </c>
      <c r="F24488" s="1">
        <v>1.5853633021206E-3</v>
      </c>
    </row>
    <row r="24489" spans="1:6" x14ac:dyDescent="0.25">
      <c r="A24489" s="2" t="str">
        <f t="shared" si="855"/>
        <v>18140</v>
      </c>
      <c r="B24489" s="2" t="str">
        <f>"43105"</f>
        <v>43105</v>
      </c>
      <c r="C24489" s="1">
        <v>3.6415366965892801E-3</v>
      </c>
      <c r="D24489" s="1">
        <v>2.4284978948618699E-3</v>
      </c>
      <c r="E24489" s="1">
        <v>1.02301790281329E-3</v>
      </c>
      <c r="F24489" s="1">
        <v>3.4664962424892499E-3</v>
      </c>
    </row>
    <row r="24490" spans="1:6" x14ac:dyDescent="0.25">
      <c r="A24490" s="2" t="str">
        <f t="shared" si="855"/>
        <v>18140</v>
      </c>
      <c r="B24490" s="2" t="str">
        <f>"43228"</f>
        <v>43228</v>
      </c>
      <c r="C24490" s="1">
        <v>2.6174408874929899E-2</v>
      </c>
      <c r="D24490" s="1">
        <v>2.75977668378053E-2</v>
      </c>
      <c r="E24490" s="1">
        <v>2.74509803921568E-2</v>
      </c>
      <c r="F24490" s="1">
        <v>2.6319693692973899E-2</v>
      </c>
    </row>
    <row r="24491" spans="1:6" x14ac:dyDescent="0.25">
      <c r="A24491" s="2" t="str">
        <f t="shared" si="855"/>
        <v>18140</v>
      </c>
      <c r="B24491" s="2" t="str">
        <f>"43211"</f>
        <v>43211</v>
      </c>
      <c r="C24491" s="1">
        <v>1.1068145112845099E-2</v>
      </c>
      <c r="D24491" s="1">
        <v>7.5890559214433703E-3</v>
      </c>
      <c r="E24491" s="1">
        <v>3.8647342995168999E-3</v>
      </c>
      <c r="F24491" s="1">
        <v>1.05763798937511E-2</v>
      </c>
    </row>
    <row r="24492" spans="1:6" x14ac:dyDescent="0.25">
      <c r="A24492" s="2" t="str">
        <f t="shared" si="855"/>
        <v>18140</v>
      </c>
      <c r="B24492" s="2" t="str">
        <f>"43207"</f>
        <v>43207</v>
      </c>
      <c r="C24492" s="1">
        <v>2.2683849758170001E-2</v>
      </c>
      <c r="D24492" s="1">
        <v>2.1249356580041401E-2</v>
      </c>
      <c r="E24492" s="1">
        <v>1.7362887183859001E-2</v>
      </c>
      <c r="F24492" s="1">
        <v>2.2402410284794699E-2</v>
      </c>
    </row>
    <row r="24493" spans="1:6" x14ac:dyDescent="0.25">
      <c r="A24493" s="2" t="str">
        <f t="shared" si="855"/>
        <v>18140</v>
      </c>
      <c r="B24493" s="2" t="str">
        <f>"43217"</f>
        <v>43217</v>
      </c>
      <c r="C24493" s="1">
        <v>9.6327948820726795E-4</v>
      </c>
      <c r="D24493" s="1">
        <v>1.5442079005371699E-3</v>
      </c>
      <c r="E24493" s="1">
        <v>1.3356067064506901E-3</v>
      </c>
      <c r="F24493" s="1">
        <v>1.0175997200174199E-3</v>
      </c>
    </row>
    <row r="24494" spans="1:6" x14ac:dyDescent="0.25">
      <c r="A24494" s="2" t="str">
        <f t="shared" si="855"/>
        <v>18140</v>
      </c>
      <c r="B24494" s="2" t="str">
        <f>"43152"</f>
        <v>43152</v>
      </c>
      <c r="C24494" s="1">
        <v>5.0077774718060004E-4</v>
      </c>
      <c r="D24494" s="1">
        <v>1.9797537186374E-4</v>
      </c>
      <c r="E24494" s="1">
        <v>0</v>
      </c>
      <c r="F24494" s="1">
        <v>4.6219949899856702E-4</v>
      </c>
    </row>
    <row r="24495" spans="1:6" x14ac:dyDescent="0.25">
      <c r="A24495" s="2" t="str">
        <f t="shared" si="855"/>
        <v>18140</v>
      </c>
      <c r="B24495" s="2" t="str">
        <f>"43202"</f>
        <v>43202</v>
      </c>
      <c r="C24495" s="1">
        <v>1.19102172482315E-2</v>
      </c>
      <c r="D24495" s="1">
        <v>7.9322132326738494E-3</v>
      </c>
      <c r="E24495" s="1">
        <v>3.2423984086388101E-2</v>
      </c>
      <c r="F24495" s="1">
        <v>1.2310103528883599E-2</v>
      </c>
    </row>
    <row r="24496" spans="1:6" x14ac:dyDescent="0.25">
      <c r="A24496" s="2" t="str">
        <f t="shared" si="855"/>
        <v>18140</v>
      </c>
      <c r="B24496" s="2" t="str">
        <f>"43150"</f>
        <v>43150</v>
      </c>
      <c r="C24496" s="1">
        <v>8.7503202957459395E-4</v>
      </c>
      <c r="D24496" s="1">
        <v>1.18785223118244E-4</v>
      </c>
      <c r="E24496" s="1">
        <v>1.13668655868144E-4</v>
      </c>
      <c r="F24496" s="1">
        <v>7.9505922049959296E-4</v>
      </c>
    </row>
    <row r="24497" spans="1:6" x14ac:dyDescent="0.25">
      <c r="A24497" s="2" t="str">
        <f t="shared" si="855"/>
        <v>18140</v>
      </c>
      <c r="B24497" s="2" t="str">
        <f>"43067"</f>
        <v>43067</v>
      </c>
      <c r="C24497" s="1">
        <v>6.7089333008696003E-4</v>
      </c>
      <c r="D24497" s="1">
        <v>1.71578655615241E-4</v>
      </c>
      <c r="E24497" s="1">
        <v>5.6834327934072101E-5</v>
      </c>
      <c r="F24497" s="1">
        <v>6.1436394311332196E-4</v>
      </c>
    </row>
    <row r="24498" spans="1:6" x14ac:dyDescent="0.25">
      <c r="A24498" s="2" t="str">
        <f t="shared" si="855"/>
        <v>18140</v>
      </c>
      <c r="B24498" s="2" t="str">
        <f>"43065"</f>
        <v>43065</v>
      </c>
      <c r="C24498" s="1">
        <v>1.8501132863459901E-2</v>
      </c>
      <c r="D24498" s="1">
        <v>2.04310583763379E-2</v>
      </c>
      <c r="E24498" s="1">
        <v>4.4899119067917E-3</v>
      </c>
      <c r="F24498" s="1">
        <v>1.81712877106288E-2</v>
      </c>
    </row>
    <row r="24499" spans="1:6" x14ac:dyDescent="0.25">
      <c r="A24499" s="2" t="str">
        <f t="shared" si="855"/>
        <v>18140</v>
      </c>
      <c r="B24499" s="2" t="str">
        <f>"43029"</f>
        <v>43029</v>
      </c>
      <c r="C24499" s="1">
        <v>1.99885809914974E-4</v>
      </c>
      <c r="D24499" s="1">
        <v>1.18785223118244E-4</v>
      </c>
      <c r="E24499" s="1">
        <v>1.13668655868144E-4</v>
      </c>
      <c r="F24499" s="1">
        <v>1.9115658291915999E-4</v>
      </c>
    </row>
    <row r="24500" spans="1:6" x14ac:dyDescent="0.25">
      <c r="A24500" s="2" t="str">
        <f t="shared" si="855"/>
        <v>18140</v>
      </c>
      <c r="B24500" s="2" t="str">
        <f>"43040"</f>
        <v>43040</v>
      </c>
      <c r="C24500" s="1">
        <v>1.45257443354168E-2</v>
      </c>
      <c r="D24500" s="1">
        <v>1.23008697718003E-2</v>
      </c>
      <c r="E24500" s="1">
        <v>7.8431372549019607E-3</v>
      </c>
      <c r="F24500" s="1">
        <v>1.4141783024915E-2</v>
      </c>
    </row>
    <row r="24501" spans="1:6" x14ac:dyDescent="0.25">
      <c r="A24501" s="2" t="str">
        <f t="shared" si="855"/>
        <v>18140</v>
      </c>
      <c r="B24501" s="2" t="str">
        <f>"43035"</f>
        <v>43035</v>
      </c>
      <c r="C24501" s="1">
        <v>1.25056217884038E-2</v>
      </c>
      <c r="D24501" s="1">
        <v>1.3594308867976799E-2</v>
      </c>
      <c r="E24501" s="1">
        <v>4.0920716112531896E-3</v>
      </c>
      <c r="F24501" s="1">
        <v>1.23024953066779E-2</v>
      </c>
    </row>
    <row r="24502" spans="1:6" x14ac:dyDescent="0.25">
      <c r="A24502" s="2" t="str">
        <f t="shared" si="855"/>
        <v>18140</v>
      </c>
      <c r="B24502" s="2" t="str">
        <f>"43001"</f>
        <v>43001</v>
      </c>
      <c r="C24502" s="1">
        <v>9.8454393607056291E-4</v>
      </c>
      <c r="D24502" s="1">
        <v>2.6396716248498601E-4</v>
      </c>
      <c r="E24502" s="1">
        <v>3.9784029553850502E-4</v>
      </c>
      <c r="F24502" s="1">
        <v>9.1298666468852803E-4</v>
      </c>
    </row>
    <row r="24503" spans="1:6" x14ac:dyDescent="0.25">
      <c r="A24503" s="2" t="str">
        <f t="shared" si="855"/>
        <v>18140</v>
      </c>
      <c r="B24503" s="2" t="str">
        <f>"43739"</f>
        <v>43739</v>
      </c>
      <c r="C24503" s="1">
        <v>8.5589402649762804E-4</v>
      </c>
      <c r="D24503" s="1">
        <v>2.1117372998798899E-4</v>
      </c>
      <c r="E24503" s="1">
        <v>0</v>
      </c>
      <c r="F24503" s="1">
        <v>7.8079380386383498E-4</v>
      </c>
    </row>
    <row r="24504" spans="1:6" x14ac:dyDescent="0.25">
      <c r="A24504" s="2" t="str">
        <f t="shared" si="855"/>
        <v>18140</v>
      </c>
      <c r="B24504" s="2" t="str">
        <f>"43783"</f>
        <v>43783</v>
      </c>
      <c r="C24504" s="1">
        <v>2.00204776632923E-3</v>
      </c>
      <c r="D24504" s="1">
        <v>3.2995895310623298E-4</v>
      </c>
      <c r="E24504" s="1">
        <v>2.8417163967035998E-4</v>
      </c>
      <c r="F24504" s="1">
        <v>1.82407127382562E-3</v>
      </c>
    </row>
    <row r="24505" spans="1:6" x14ac:dyDescent="0.25">
      <c r="A24505" s="2" t="str">
        <f t="shared" ref="A24505:A24523" si="856">"18140"</f>
        <v>18140</v>
      </c>
      <c r="B24505" s="2" t="str">
        <f>"43349"</f>
        <v>43349</v>
      </c>
      <c r="C24505" s="1">
        <v>0</v>
      </c>
      <c r="D24505" s="1">
        <v>2.6396716248498601E-5</v>
      </c>
      <c r="E24505" s="1">
        <v>0</v>
      </c>
      <c r="F24505" s="1">
        <v>1.9020555514344301E-6</v>
      </c>
    </row>
    <row r="24506" spans="1:6" x14ac:dyDescent="0.25">
      <c r="A24506" s="2" t="str">
        <f t="shared" si="856"/>
        <v>18140</v>
      </c>
      <c r="B24506" s="2" t="str">
        <f>"43356"</f>
        <v>43356</v>
      </c>
      <c r="C24506" s="1">
        <v>8.2931346666850902E-5</v>
      </c>
      <c r="D24506" s="1">
        <v>2.6396716248498601E-5</v>
      </c>
      <c r="E24506" s="1">
        <v>0</v>
      </c>
      <c r="F24506" s="1">
        <v>7.6082222057377404E-5</v>
      </c>
    </row>
    <row r="24507" spans="1:6" x14ac:dyDescent="0.25">
      <c r="A24507" s="2" t="str">
        <f t="shared" si="856"/>
        <v>18140</v>
      </c>
      <c r="B24507" s="2" t="str">
        <f>"43338"</f>
        <v>43338</v>
      </c>
      <c r="C24507" s="1">
        <v>5.0141568061649799E-3</v>
      </c>
      <c r="D24507" s="1">
        <v>4.5402351947417697E-3</v>
      </c>
      <c r="E24507" s="1">
        <v>4.5751633986928098E-3</v>
      </c>
      <c r="F24507" s="1">
        <v>4.9653160170195897E-3</v>
      </c>
    </row>
    <row r="24508" spans="1:6" x14ac:dyDescent="0.25">
      <c r="A24508" s="2" t="str">
        <f t="shared" si="856"/>
        <v>18140</v>
      </c>
      <c r="B24508" s="2" t="str">
        <f>"43251"</f>
        <v>43251</v>
      </c>
      <c r="C24508" s="1">
        <v>0</v>
      </c>
      <c r="D24508" s="1">
        <v>1.31983581242493E-5</v>
      </c>
      <c r="E24508" s="1">
        <v>0</v>
      </c>
      <c r="F24508" s="1">
        <v>9.5102777571721704E-7</v>
      </c>
    </row>
    <row r="24509" spans="1:6" x14ac:dyDescent="0.25">
      <c r="A24509" s="2" t="str">
        <f t="shared" si="856"/>
        <v>18140</v>
      </c>
      <c r="B24509" s="2" t="str">
        <f>"43240"</f>
        <v>43240</v>
      </c>
      <c r="C24509" s="1">
        <v>3.9371125218890897E-3</v>
      </c>
      <c r="D24509" s="1">
        <v>1.0585083215647899E-2</v>
      </c>
      <c r="E24509" s="1">
        <v>4.2057402671213402E-3</v>
      </c>
      <c r="F24509" s="1">
        <v>4.4251322404122101E-3</v>
      </c>
    </row>
    <row r="24510" spans="1:6" x14ac:dyDescent="0.25">
      <c r="A24510" s="2" t="str">
        <f t="shared" si="856"/>
        <v>18140</v>
      </c>
      <c r="B24510" s="2" t="str">
        <f>"43230"</f>
        <v>43230</v>
      </c>
      <c r="C24510" s="1">
        <v>2.7662920225360599E-2</v>
      </c>
      <c r="D24510" s="1">
        <v>2.7360196391568802E-2</v>
      </c>
      <c r="E24510" s="1">
        <v>2.16538789428815E-2</v>
      </c>
      <c r="F24510" s="1">
        <v>2.7440004412768799E-2</v>
      </c>
    </row>
    <row r="24511" spans="1:6" x14ac:dyDescent="0.25">
      <c r="A24511" s="2" t="str">
        <f t="shared" si="856"/>
        <v>18140</v>
      </c>
      <c r="B24511" s="2" t="str">
        <f>"43127"</f>
        <v>43127</v>
      </c>
      <c r="C24511" s="1">
        <v>9.3563570598498503E-5</v>
      </c>
      <c r="D24511" s="1">
        <v>1.31983581242493E-5</v>
      </c>
      <c r="E24511" s="1">
        <v>0</v>
      </c>
      <c r="F24511" s="1">
        <v>8.4641472038832303E-5</v>
      </c>
    </row>
    <row r="24512" spans="1:6" x14ac:dyDescent="0.25">
      <c r="A24512" s="2" t="str">
        <f t="shared" si="856"/>
        <v>18140</v>
      </c>
      <c r="B24512" s="2" t="str">
        <f>"43143"</f>
        <v>43143</v>
      </c>
      <c r="C24512" s="1">
        <v>2.4305263907746298E-3</v>
      </c>
      <c r="D24512" s="1">
        <v>1.8345717792706501E-3</v>
      </c>
      <c r="E24512" s="1">
        <v>1.50610969025291E-3</v>
      </c>
      <c r="F24512" s="1">
        <v>2.3566468282272602E-3</v>
      </c>
    </row>
    <row r="24513" spans="1:6" x14ac:dyDescent="0.25">
      <c r="A24513" s="2" t="str">
        <f t="shared" si="856"/>
        <v>18140</v>
      </c>
      <c r="B24513" s="2" t="str">
        <f>"43117"</f>
        <v>43117</v>
      </c>
      <c r="C24513" s="1">
        <v>0</v>
      </c>
      <c r="D24513" s="1">
        <v>1.31983581242493E-5</v>
      </c>
      <c r="E24513" s="1">
        <v>0</v>
      </c>
      <c r="F24513" s="1">
        <v>9.5102777571721704E-7</v>
      </c>
    </row>
    <row r="24514" spans="1:6" x14ac:dyDescent="0.25">
      <c r="A24514" s="2" t="str">
        <f t="shared" si="856"/>
        <v>18140</v>
      </c>
      <c r="B24514" s="2" t="str">
        <f>"43119"</f>
        <v>43119</v>
      </c>
      <c r="C24514" s="1">
        <v>1.2328063648745301E-2</v>
      </c>
      <c r="D24514" s="1">
        <v>4.14428445101429E-3</v>
      </c>
      <c r="E24514" s="1">
        <v>1.1651037226484699E-3</v>
      </c>
      <c r="F24514" s="1">
        <v>1.13647819198207E-2</v>
      </c>
    </row>
    <row r="24515" spans="1:6" x14ac:dyDescent="0.25">
      <c r="A24515" s="2" t="str">
        <f t="shared" si="856"/>
        <v>18140</v>
      </c>
      <c r="B24515" s="2" t="str">
        <f>"43214"</f>
        <v>43214</v>
      </c>
      <c r="C24515" s="1">
        <v>1.5460316819008699E-2</v>
      </c>
      <c r="D24515" s="1">
        <v>2.2146844932490299E-2</v>
      </c>
      <c r="E24515" s="1">
        <v>1.5799943165672001E-2</v>
      </c>
      <c r="F24515" s="1">
        <v>1.5953490937656301E-2</v>
      </c>
    </row>
    <row r="24516" spans="1:6" x14ac:dyDescent="0.25">
      <c r="A24516" s="2" t="str">
        <f t="shared" si="856"/>
        <v>18140</v>
      </c>
      <c r="B24516" s="2" t="str">
        <f>"43080"</f>
        <v>43080</v>
      </c>
      <c r="C24516" s="1">
        <v>1.56293691795219E-3</v>
      </c>
      <c r="D24516" s="1">
        <v>7.6550477120646096E-4</v>
      </c>
      <c r="E24516" s="1">
        <v>4.5467462347257702E-4</v>
      </c>
      <c r="F24516" s="1">
        <v>1.46838688570738E-3</v>
      </c>
    </row>
    <row r="24517" spans="1:6" x14ac:dyDescent="0.25">
      <c r="A24517" s="2" t="str">
        <f t="shared" si="856"/>
        <v>18140</v>
      </c>
      <c r="B24517" s="2" t="str">
        <f>"43201"</f>
        <v>43201</v>
      </c>
      <c r="C24517" s="1">
        <v>2.1196401630132498E-2</v>
      </c>
      <c r="D24517" s="1">
        <v>1.52309052753837E-2</v>
      </c>
      <c r="E24517" s="1">
        <v>6.3626030122193797E-2</v>
      </c>
      <c r="F24517" s="1">
        <v>2.21865269797069E-2</v>
      </c>
    </row>
    <row r="24518" spans="1:6" x14ac:dyDescent="0.25">
      <c r="A24518" s="2" t="str">
        <f t="shared" si="856"/>
        <v>18140</v>
      </c>
      <c r="B24518" s="2" t="str">
        <f>"43069"</f>
        <v>43069</v>
      </c>
      <c r="C24518" s="1">
        <v>0</v>
      </c>
      <c r="D24518" s="1">
        <v>1.31983581242493E-5</v>
      </c>
      <c r="E24518" s="1">
        <v>0</v>
      </c>
      <c r="F24518" s="1">
        <v>9.5102777571721704E-7</v>
      </c>
    </row>
    <row r="24519" spans="1:6" x14ac:dyDescent="0.25">
      <c r="A24519" s="2" t="str">
        <f t="shared" si="856"/>
        <v>18140</v>
      </c>
      <c r="B24519" s="2" t="str">
        <f>"43066"</f>
        <v>43066</v>
      </c>
      <c r="C24519" s="1">
        <v>5.3799053094136598E-4</v>
      </c>
      <c r="D24519" s="1">
        <v>3.1676059498198401E-4</v>
      </c>
      <c r="E24519" s="1">
        <v>5.6834327934072101E-5</v>
      </c>
      <c r="F24519" s="1">
        <v>5.0594677668155898E-4</v>
      </c>
    </row>
    <row r="24520" spans="1:6" x14ac:dyDescent="0.25">
      <c r="A24520" s="2" t="str">
        <f t="shared" si="856"/>
        <v>18140</v>
      </c>
      <c r="B24520" s="2" t="str">
        <f>"43058"</f>
        <v>43058</v>
      </c>
      <c r="C24520" s="1">
        <v>1.38112588872101E-3</v>
      </c>
      <c r="D24520" s="1">
        <v>4.90978922222075E-3</v>
      </c>
      <c r="E24520" s="1">
        <v>2.8417163967036E-5</v>
      </c>
      <c r="F24520" s="1">
        <v>1.5901184409991801E-3</v>
      </c>
    </row>
    <row r="24521" spans="1:6" x14ac:dyDescent="0.25">
      <c r="A24521" s="2" t="str">
        <f t="shared" si="856"/>
        <v>18140</v>
      </c>
      <c r="B24521" s="2" t="str">
        <f>"43030"</f>
        <v>43030</v>
      </c>
      <c r="C24521" s="1">
        <v>3.9339228547095898E-5</v>
      </c>
      <c r="D24521" s="1">
        <v>1.31983581242493E-5</v>
      </c>
      <c r="E24521" s="1">
        <v>0</v>
      </c>
      <c r="F24521" s="1">
        <v>3.61390554772542E-5</v>
      </c>
    </row>
    <row r="24522" spans="1:6" x14ac:dyDescent="0.25">
      <c r="A24522" s="2" t="str">
        <f t="shared" si="856"/>
        <v>18140</v>
      </c>
      <c r="B24522" s="2" t="str">
        <f>"43036"</f>
        <v>43036</v>
      </c>
      <c r="C24522" s="1">
        <v>5.3161119658237699E-6</v>
      </c>
      <c r="D24522" s="1">
        <v>1.31983581242493E-5</v>
      </c>
      <c r="E24522" s="1">
        <v>0</v>
      </c>
      <c r="F24522" s="1">
        <v>5.7061666543032997E-6</v>
      </c>
    </row>
    <row r="24523" spans="1:6" x14ac:dyDescent="0.25">
      <c r="A24523" s="2" t="str">
        <f t="shared" si="856"/>
        <v>18140</v>
      </c>
      <c r="B24523" s="2" t="str">
        <f>"43045"</f>
        <v>43045</v>
      </c>
      <c r="C24523" s="1">
        <v>7.8572134854875395E-4</v>
      </c>
      <c r="D24523" s="1">
        <v>3.0356223685773401E-4</v>
      </c>
      <c r="E24523" s="1">
        <v>0</v>
      </c>
      <c r="F24523" s="1">
        <v>7.2468316509651898E-4</v>
      </c>
    </row>
    <row r="24524" spans="1:6" x14ac:dyDescent="0.25">
      <c r="A24524" s="2" t="str">
        <f t="shared" ref="A24524:A24534" si="857">"47920"</f>
        <v>47920</v>
      </c>
      <c r="B24524" s="2" t="str">
        <f>"45135"</f>
        <v>45135</v>
      </c>
      <c r="C24524" s="1">
        <v>1.40289679229544E-2</v>
      </c>
      <c r="D24524" s="1">
        <v>2.4610336341263301E-3</v>
      </c>
      <c r="E24524" s="1">
        <v>0</v>
      </c>
      <c r="F24524" s="1">
        <v>1.2752679419346E-2</v>
      </c>
    </row>
    <row r="24525" spans="1:6" x14ac:dyDescent="0.25">
      <c r="A24525" s="2" t="str">
        <f t="shared" si="857"/>
        <v>47920</v>
      </c>
      <c r="B24525" s="2" t="str">
        <f>"43160"</f>
        <v>43160</v>
      </c>
      <c r="C24525" s="1">
        <v>0.76704330021991296</v>
      </c>
      <c r="D24525" s="1">
        <v>0.72272354388843296</v>
      </c>
      <c r="E24525" s="1">
        <v>0.75892857142857095</v>
      </c>
      <c r="F24525" s="1">
        <v>0.76319359652692897</v>
      </c>
    </row>
    <row r="24526" spans="1:6" x14ac:dyDescent="0.25">
      <c r="A24526" s="2" t="str">
        <f t="shared" si="857"/>
        <v>47920</v>
      </c>
      <c r="B24526" s="2" t="str">
        <f>"45335"</f>
        <v>45335</v>
      </c>
      <c r="C24526" s="1">
        <v>1.74414195798892E-3</v>
      </c>
      <c r="D24526" s="1">
        <v>0</v>
      </c>
      <c r="E24526" s="1">
        <v>0</v>
      </c>
      <c r="F24526" s="1">
        <v>1.5601682268348901E-3</v>
      </c>
    </row>
    <row r="24527" spans="1:6" x14ac:dyDescent="0.25">
      <c r="A24527" s="2" t="str">
        <f t="shared" si="857"/>
        <v>47920</v>
      </c>
      <c r="B24527" s="2" t="str">
        <f>"43142"</f>
        <v>43142</v>
      </c>
      <c r="C24527" s="1">
        <v>0</v>
      </c>
      <c r="D24527" s="1">
        <v>8.2034454470877698E-4</v>
      </c>
      <c r="E24527" s="1">
        <v>0</v>
      </c>
      <c r="F24527" s="1">
        <v>6.7833401166734502E-5</v>
      </c>
    </row>
    <row r="24528" spans="1:6" x14ac:dyDescent="0.25">
      <c r="A24528" s="2" t="str">
        <f t="shared" si="857"/>
        <v>47920</v>
      </c>
      <c r="B24528" s="2" t="str">
        <f>"45123"</f>
        <v>45123</v>
      </c>
      <c r="C24528" s="1">
        <v>2.63896261469629E-2</v>
      </c>
      <c r="D24528" s="1">
        <v>5.7424118129614397E-3</v>
      </c>
      <c r="E24528" s="1">
        <v>5.9523809523809503E-3</v>
      </c>
      <c r="F24528" s="1">
        <v>2.4216524216524201E-2</v>
      </c>
    </row>
    <row r="24529" spans="1:6" x14ac:dyDescent="0.25">
      <c r="A24529" s="2" t="str">
        <f t="shared" si="857"/>
        <v>47920</v>
      </c>
      <c r="B24529" s="2" t="str">
        <f>"43128"</f>
        <v>43128</v>
      </c>
      <c r="C24529" s="1">
        <v>8.0154697808447695E-2</v>
      </c>
      <c r="D24529" s="1">
        <v>0.239540607054963</v>
      </c>
      <c r="E24529" s="1">
        <v>0.1875</v>
      </c>
      <c r="F24529" s="1">
        <v>9.5780762447429099E-2</v>
      </c>
    </row>
    <row r="24530" spans="1:6" x14ac:dyDescent="0.25">
      <c r="A24530" s="2" t="str">
        <f t="shared" si="857"/>
        <v>47920</v>
      </c>
      <c r="B24530" s="2" t="str">
        <f>"43106"</f>
        <v>43106</v>
      </c>
      <c r="C24530" s="1">
        <v>5.1414271631151802E-2</v>
      </c>
      <c r="D24530" s="1">
        <v>1.0664479081214101E-2</v>
      </c>
      <c r="E24530" s="1">
        <v>3.5714285714285698E-2</v>
      </c>
      <c r="F24530" s="1">
        <v>4.7686881020214303E-2</v>
      </c>
    </row>
    <row r="24531" spans="1:6" x14ac:dyDescent="0.25">
      <c r="A24531" s="2" t="str">
        <f t="shared" si="857"/>
        <v>47920</v>
      </c>
      <c r="B24531" s="2" t="str">
        <f>"43153"</f>
        <v>43153</v>
      </c>
      <c r="C24531" s="1">
        <v>2.2749677712899001E-3</v>
      </c>
      <c r="D24531" s="1">
        <v>3.2813781788351101E-3</v>
      </c>
      <c r="E24531" s="1">
        <v>0</v>
      </c>
      <c r="F24531" s="1">
        <v>2.3063356396689702E-3</v>
      </c>
    </row>
    <row r="24532" spans="1:6" x14ac:dyDescent="0.25">
      <c r="A24532" s="2" t="str">
        <f t="shared" si="857"/>
        <v>47920</v>
      </c>
      <c r="B24532" s="2" t="str">
        <f>"43143"</f>
        <v>43143</v>
      </c>
      <c r="C24532" s="1">
        <v>2.2294684158640998E-2</v>
      </c>
      <c r="D24532" s="1">
        <v>5.7424118129614397E-3</v>
      </c>
      <c r="E24532" s="1">
        <v>0</v>
      </c>
      <c r="F24532" s="1">
        <v>2.0417853751187001E-2</v>
      </c>
    </row>
    <row r="24533" spans="1:6" x14ac:dyDescent="0.25">
      <c r="A24533" s="2" t="str">
        <f t="shared" si="857"/>
        <v>47920</v>
      </c>
      <c r="B24533" s="2" t="str">
        <f>"45169"</f>
        <v>45169</v>
      </c>
      <c r="C24533" s="1">
        <v>1.0009858193675499E-2</v>
      </c>
      <c r="D24533" s="1">
        <v>1.64068908941755E-3</v>
      </c>
      <c r="E24533" s="1">
        <v>0</v>
      </c>
      <c r="F24533" s="1">
        <v>9.0896757563424194E-3</v>
      </c>
    </row>
    <row r="24534" spans="1:6" x14ac:dyDescent="0.25">
      <c r="A24534" s="2" t="str">
        <f t="shared" si="857"/>
        <v>47920</v>
      </c>
      <c r="B24534" s="2" t="str">
        <f>"43145"</f>
        <v>43145</v>
      </c>
      <c r="C24534" s="1">
        <v>2.4645484188973901E-2</v>
      </c>
      <c r="D24534" s="1">
        <v>7.3831009023789902E-3</v>
      </c>
      <c r="E24534" s="1">
        <v>1.1904761904761901E-2</v>
      </c>
      <c r="F24534" s="1">
        <v>2.2927689594356201E-2</v>
      </c>
    </row>
    <row r="24535" spans="1:6" x14ac:dyDescent="0.25">
      <c r="A24535" s="2" t="str">
        <f t="shared" ref="A24535:A24566" si="858">"19430"</f>
        <v>19430</v>
      </c>
      <c r="B24535" s="2" t="str">
        <f>"45437"</f>
        <v>45437</v>
      </c>
      <c r="C24535" s="1">
        <v>2.0241098403645302E-3</v>
      </c>
      <c r="D24535" s="1">
        <v>1.7654627607049801E-3</v>
      </c>
      <c r="E24535" s="1">
        <v>1.00847115772488E-4</v>
      </c>
      <c r="F24535" s="1">
        <v>1.92115137044331E-3</v>
      </c>
    </row>
    <row r="24536" spans="1:6" x14ac:dyDescent="0.25">
      <c r="A24536" s="2" t="str">
        <f t="shared" si="858"/>
        <v>19430</v>
      </c>
      <c r="B24536" s="2" t="str">
        <f>"45439"</f>
        <v>45439</v>
      </c>
      <c r="C24536" s="1">
        <v>1.34508580032106E-2</v>
      </c>
      <c r="D24536" s="1">
        <v>2.5374786797929299E-2</v>
      </c>
      <c r="E24536" s="1">
        <v>1.35639370713997E-2</v>
      </c>
      <c r="F24536" s="1">
        <v>1.4332713488771199E-2</v>
      </c>
    </row>
    <row r="24537" spans="1:6" x14ac:dyDescent="0.25">
      <c r="A24537" s="2" t="str">
        <f t="shared" si="858"/>
        <v>19430</v>
      </c>
      <c r="B24537" s="2" t="str">
        <f>"45343"</f>
        <v>45343</v>
      </c>
      <c r="C24537" s="1">
        <v>2.4179637255586201E-3</v>
      </c>
      <c r="D24537" s="1">
        <v>6.7925431640683404E-3</v>
      </c>
      <c r="E24537" s="1">
        <v>5.0423557886244398E-5</v>
      </c>
      <c r="F24537" s="1">
        <v>2.63635663435405E-3</v>
      </c>
    </row>
    <row r="24538" spans="1:6" x14ac:dyDescent="0.25">
      <c r="A24538" s="2" t="str">
        <f t="shared" si="858"/>
        <v>19430</v>
      </c>
      <c r="B24538" s="2" t="str">
        <f>"45406"</f>
        <v>45406</v>
      </c>
      <c r="C24538" s="1">
        <v>3.2941639828100201E-2</v>
      </c>
      <c r="D24538" s="1">
        <v>1.96594751488674E-2</v>
      </c>
      <c r="E24538" s="1">
        <v>4.0389269866881801E-2</v>
      </c>
      <c r="F24538" s="1">
        <v>3.2289867191884002E-2</v>
      </c>
    </row>
    <row r="24539" spans="1:6" x14ac:dyDescent="0.25">
      <c r="A24539" s="2" t="str">
        <f t="shared" si="858"/>
        <v>19430</v>
      </c>
      <c r="B24539" s="2" t="str">
        <f>"45405"</f>
        <v>45405</v>
      </c>
      <c r="C24539" s="1">
        <v>3.0625878693003299E-2</v>
      </c>
      <c r="D24539" s="1">
        <v>1.6846703970795001E-2</v>
      </c>
      <c r="E24539" s="1">
        <v>7.6391690197660303E-2</v>
      </c>
      <c r="F24539" s="1">
        <v>3.1609872033273499E-2</v>
      </c>
    </row>
    <row r="24540" spans="1:6" x14ac:dyDescent="0.25">
      <c r="A24540" s="2" t="str">
        <f t="shared" si="858"/>
        <v>19430</v>
      </c>
      <c r="B24540" s="2" t="str">
        <f>"45415"</f>
        <v>45415</v>
      </c>
      <c r="C24540" s="1">
        <v>1.42734642191223E-2</v>
      </c>
      <c r="D24540" s="1">
        <v>1.34354708399413E-2</v>
      </c>
      <c r="E24540" s="1">
        <v>1.71944332392093E-2</v>
      </c>
      <c r="F24540" s="1">
        <v>1.4339315383514999E-2</v>
      </c>
    </row>
    <row r="24541" spans="1:6" x14ac:dyDescent="0.25">
      <c r="A24541" s="2" t="str">
        <f t="shared" si="858"/>
        <v>19430</v>
      </c>
      <c r="B24541" s="2" t="str">
        <f>"45316"</f>
        <v>45316</v>
      </c>
      <c r="C24541" s="1">
        <v>2.4927461088233201E-6</v>
      </c>
      <c r="D24541" s="1">
        <v>2.99230976390675E-5</v>
      </c>
      <c r="E24541" s="1">
        <v>0</v>
      </c>
      <c r="F24541" s="1">
        <v>4.4012631625276402E-6</v>
      </c>
    </row>
    <row r="24542" spans="1:6" x14ac:dyDescent="0.25">
      <c r="A24542" s="2" t="str">
        <f t="shared" si="858"/>
        <v>19430</v>
      </c>
      <c r="B24542" s="2" t="str">
        <f>"45381"</f>
        <v>45381</v>
      </c>
      <c r="C24542" s="1">
        <v>3.36520724691148E-4</v>
      </c>
      <c r="D24542" s="1">
        <v>0</v>
      </c>
      <c r="E24542" s="1">
        <v>0</v>
      </c>
      <c r="F24542" s="1">
        <v>2.9708526347061598E-4</v>
      </c>
    </row>
    <row r="24543" spans="1:6" x14ac:dyDescent="0.25">
      <c r="A24543" s="2" t="str">
        <f t="shared" si="858"/>
        <v>19430</v>
      </c>
      <c r="B24543" s="2" t="str">
        <f>"45383"</f>
        <v>45383</v>
      </c>
      <c r="C24543" s="1">
        <v>7.8720922116640498E-3</v>
      </c>
      <c r="D24543" s="1">
        <v>4.63808013405547E-3</v>
      </c>
      <c r="E24543" s="1">
        <v>6.9584509883017301E-3</v>
      </c>
      <c r="F24543" s="1">
        <v>7.5943795869414504E-3</v>
      </c>
    </row>
    <row r="24544" spans="1:6" x14ac:dyDescent="0.25">
      <c r="A24544" s="2" t="str">
        <f t="shared" si="858"/>
        <v>19430</v>
      </c>
      <c r="B24544" s="2" t="str">
        <f>"45307"</f>
        <v>45307</v>
      </c>
      <c r="C24544" s="1">
        <v>0</v>
      </c>
      <c r="D24544" s="1">
        <v>2.99230976390675E-5</v>
      </c>
      <c r="E24544" s="1">
        <v>0</v>
      </c>
      <c r="F24544" s="1">
        <v>2.2006315812638201E-6</v>
      </c>
    </row>
    <row r="24545" spans="1:6" x14ac:dyDescent="0.25">
      <c r="A24545" s="2" t="str">
        <f t="shared" si="858"/>
        <v>19430</v>
      </c>
      <c r="B24545" s="2" t="str">
        <f>"45042"</f>
        <v>45042</v>
      </c>
      <c r="C24545" s="1">
        <v>1.02202590461756E-4</v>
      </c>
      <c r="D24545" s="1">
        <v>0</v>
      </c>
      <c r="E24545" s="1">
        <v>0</v>
      </c>
      <c r="F24545" s="1">
        <v>9.0225894831816702E-5</v>
      </c>
    </row>
    <row r="24546" spans="1:6" x14ac:dyDescent="0.25">
      <c r="A24546" s="2" t="str">
        <f t="shared" si="858"/>
        <v>19430</v>
      </c>
      <c r="B24546" s="2" t="str">
        <f>"45441"</f>
        <v>45441</v>
      </c>
      <c r="C24546" s="1">
        <v>4.2625958460878799E-4</v>
      </c>
      <c r="D24546" s="1">
        <v>2.6930787875160799E-3</v>
      </c>
      <c r="E24546" s="1">
        <v>5.0423557886244398E-5</v>
      </c>
      <c r="F24546" s="1">
        <v>5.7656547429112105E-4</v>
      </c>
    </row>
    <row r="24547" spans="1:6" x14ac:dyDescent="0.25">
      <c r="A24547" s="2" t="str">
        <f t="shared" si="858"/>
        <v>19430</v>
      </c>
      <c r="B24547" s="2" t="str">
        <f>"45490"</f>
        <v>45490</v>
      </c>
      <c r="C24547" s="1">
        <v>9.9709844352932899E-5</v>
      </c>
      <c r="D24547" s="1">
        <v>8.9769292917202701E-5</v>
      </c>
      <c r="E24547" s="1">
        <v>1.51270673658733E-4</v>
      </c>
      <c r="F24547" s="1">
        <v>1.01229052738135E-4</v>
      </c>
    </row>
    <row r="24548" spans="1:6" x14ac:dyDescent="0.25">
      <c r="A24548" s="2" t="str">
        <f t="shared" si="858"/>
        <v>19430</v>
      </c>
      <c r="B24548" s="2" t="str">
        <f>"45365"</f>
        <v>45365</v>
      </c>
      <c r="C24548" s="1">
        <v>4.9854922176466402E-6</v>
      </c>
      <c r="D24548" s="1">
        <v>0</v>
      </c>
      <c r="E24548" s="1">
        <v>0</v>
      </c>
      <c r="F24548" s="1">
        <v>4.4012631625276402E-6</v>
      </c>
    </row>
    <row r="24549" spans="1:6" x14ac:dyDescent="0.25">
      <c r="A24549" s="2" t="str">
        <f t="shared" si="858"/>
        <v>19430</v>
      </c>
      <c r="B24549" s="2" t="str">
        <f>"45361"</f>
        <v>45361</v>
      </c>
      <c r="C24549" s="1">
        <v>2.4927461088233201E-6</v>
      </c>
      <c r="D24549" s="1">
        <v>2.99230976390675E-5</v>
      </c>
      <c r="E24549" s="1">
        <v>0</v>
      </c>
      <c r="F24549" s="1">
        <v>4.4012631625276402E-6</v>
      </c>
    </row>
    <row r="24550" spans="1:6" x14ac:dyDescent="0.25">
      <c r="A24550" s="2" t="str">
        <f t="shared" si="858"/>
        <v>19430</v>
      </c>
      <c r="B24550" s="2" t="str">
        <f>"45368"</f>
        <v>45368</v>
      </c>
      <c r="C24550" s="1">
        <v>7.9767875482346297E-5</v>
      </c>
      <c r="D24550" s="1">
        <v>0</v>
      </c>
      <c r="E24550" s="1">
        <v>0</v>
      </c>
      <c r="F24550" s="1">
        <v>7.0420210600442298E-5</v>
      </c>
    </row>
    <row r="24551" spans="1:6" x14ac:dyDescent="0.25">
      <c r="A24551" s="2" t="str">
        <f t="shared" si="858"/>
        <v>19430</v>
      </c>
      <c r="B24551" s="2" t="str">
        <f>"45342"</f>
        <v>45342</v>
      </c>
      <c r="C24551" s="1">
        <v>4.3610593173864003E-2</v>
      </c>
      <c r="D24551" s="1">
        <v>3.4591100870762101E-2</v>
      </c>
      <c r="E24551" s="1">
        <v>4.1145623235175399E-2</v>
      </c>
      <c r="F24551" s="1">
        <v>4.2839694992462797E-2</v>
      </c>
    </row>
    <row r="24552" spans="1:6" x14ac:dyDescent="0.25">
      <c r="A24552" s="2" t="str">
        <f t="shared" si="858"/>
        <v>19430</v>
      </c>
      <c r="B24552" s="2" t="str">
        <f>"45356"</f>
        <v>45356</v>
      </c>
      <c r="C24552" s="1">
        <v>2.82153932057712E-2</v>
      </c>
      <c r="D24552" s="1">
        <v>2.86064813429486E-2</v>
      </c>
      <c r="E24552" s="1">
        <v>1.8807987091569101E-2</v>
      </c>
      <c r="F24552" s="1">
        <v>2.7833588239824798E-2</v>
      </c>
    </row>
    <row r="24553" spans="1:6" x14ac:dyDescent="0.25">
      <c r="A24553" s="2" t="str">
        <f t="shared" si="858"/>
        <v>19430</v>
      </c>
      <c r="B24553" s="2" t="str">
        <f>"45434"</f>
        <v>45434</v>
      </c>
      <c r="C24553" s="1">
        <v>1.43357828718429E-2</v>
      </c>
      <c r="D24553" s="1">
        <v>1.7056165654268499E-2</v>
      </c>
      <c r="E24553" s="1">
        <v>3.7313432835820799E-3</v>
      </c>
      <c r="F24553" s="1">
        <v>1.4073038962182099E-2</v>
      </c>
    </row>
    <row r="24554" spans="1:6" x14ac:dyDescent="0.25">
      <c r="A24554" s="2" t="str">
        <f t="shared" si="858"/>
        <v>19430</v>
      </c>
      <c r="B24554" s="2" t="str">
        <f>"45419"</f>
        <v>45419</v>
      </c>
      <c r="C24554" s="1">
        <v>1.9971881823892399E-2</v>
      </c>
      <c r="D24554" s="1">
        <v>1.0203776294921999E-2</v>
      </c>
      <c r="E24554" s="1">
        <v>4.0439693424767997E-2</v>
      </c>
      <c r="F24554" s="1">
        <v>2.0146782126470201E-2</v>
      </c>
    </row>
    <row r="24555" spans="1:6" x14ac:dyDescent="0.25">
      <c r="A24555" s="2" t="str">
        <f t="shared" si="858"/>
        <v>19430</v>
      </c>
      <c r="B24555" s="2" t="str">
        <f>"45416"</f>
        <v>45416</v>
      </c>
      <c r="C24555" s="1">
        <v>6.5808497272935697E-3</v>
      </c>
      <c r="D24555" s="1">
        <v>5.17669589155869E-3</v>
      </c>
      <c r="E24555" s="1">
        <v>2.0673658733360201E-3</v>
      </c>
      <c r="F24555" s="1">
        <v>6.2806025329269497E-3</v>
      </c>
    </row>
    <row r="24556" spans="1:6" x14ac:dyDescent="0.25">
      <c r="A24556" s="2" t="str">
        <f t="shared" si="858"/>
        <v>19430</v>
      </c>
      <c r="B24556" s="2" t="str">
        <f>"45424"</f>
        <v>45424</v>
      </c>
      <c r="C24556" s="1">
        <v>5.4546270353271899E-2</v>
      </c>
      <c r="D24556" s="1">
        <v>4.4256261408180897E-2</v>
      </c>
      <c r="E24556" s="1">
        <v>1.40681726502622E-2</v>
      </c>
      <c r="F24556" s="1">
        <v>5.2022930581076703E-2</v>
      </c>
    </row>
    <row r="24557" spans="1:6" x14ac:dyDescent="0.25">
      <c r="A24557" s="2" t="str">
        <f t="shared" si="858"/>
        <v>19430</v>
      </c>
      <c r="B24557" s="2" t="str">
        <f>"45325"</f>
        <v>45325</v>
      </c>
      <c r="C24557" s="1">
        <v>2.76196268857624E-3</v>
      </c>
      <c r="D24557" s="1">
        <v>1.3764624913971E-3</v>
      </c>
      <c r="E24557" s="1">
        <v>4.538120209762E-4</v>
      </c>
      <c r="F24557" s="1">
        <v>2.5593345290098198E-3</v>
      </c>
    </row>
    <row r="24558" spans="1:6" x14ac:dyDescent="0.25">
      <c r="A24558" s="2" t="str">
        <f t="shared" si="858"/>
        <v>19430</v>
      </c>
      <c r="B24558" s="2" t="str">
        <f>"45317"</f>
        <v>45317</v>
      </c>
      <c r="C24558" s="1">
        <v>4.6365077624113801E-4</v>
      </c>
      <c r="D24558" s="1">
        <v>8.9769292917202701E-5</v>
      </c>
      <c r="E24558" s="1">
        <v>0</v>
      </c>
      <c r="F24558" s="1">
        <v>4.1591936885886202E-4</v>
      </c>
    </row>
    <row r="24559" spans="1:6" x14ac:dyDescent="0.25">
      <c r="A24559" s="2" t="str">
        <f t="shared" si="858"/>
        <v>19430</v>
      </c>
      <c r="B24559" s="2" t="str">
        <f>"45359"</f>
        <v>45359</v>
      </c>
      <c r="C24559" s="1">
        <v>1.9518202032086599E-3</v>
      </c>
      <c r="D24559" s="1">
        <v>5.0869265986414904E-4</v>
      </c>
      <c r="E24559" s="1">
        <v>7.0592981040742205E-4</v>
      </c>
      <c r="F24559" s="1">
        <v>1.79131410714875E-3</v>
      </c>
    </row>
    <row r="24560" spans="1:6" x14ac:dyDescent="0.25">
      <c r="A24560" s="2" t="str">
        <f t="shared" si="858"/>
        <v>19430</v>
      </c>
      <c r="B24560" s="2" t="str">
        <f>"45354"</f>
        <v>45354</v>
      </c>
      <c r="C24560" s="1">
        <v>9.9709844352932905E-6</v>
      </c>
      <c r="D24560" s="1">
        <v>2.99230976390675E-5</v>
      </c>
      <c r="E24560" s="1">
        <v>0</v>
      </c>
      <c r="F24560" s="1">
        <v>1.10031579063191E-5</v>
      </c>
    </row>
    <row r="24561" spans="1:6" x14ac:dyDescent="0.25">
      <c r="A24561" s="2" t="str">
        <f t="shared" si="858"/>
        <v>19430</v>
      </c>
      <c r="B24561" s="2" t="str">
        <f>"45339"</f>
        <v>45339</v>
      </c>
      <c r="C24561" s="1">
        <v>1.4333290125734101E-3</v>
      </c>
      <c r="D24561" s="1">
        <v>3.2915407402974302E-4</v>
      </c>
      <c r="E24561" s="1">
        <v>3.02541347317466E-4</v>
      </c>
      <c r="F24561" s="1">
        <v>1.30277389610818E-3</v>
      </c>
    </row>
    <row r="24562" spans="1:6" x14ac:dyDescent="0.25">
      <c r="A24562" s="2" t="str">
        <f t="shared" si="858"/>
        <v>19430</v>
      </c>
      <c r="B24562" s="2" t="str">
        <f>"45433"</f>
        <v>45433</v>
      </c>
      <c r="C24562" s="1">
        <v>1.14167771784108E-3</v>
      </c>
      <c r="D24562" s="1">
        <v>2.8277327268918798E-2</v>
      </c>
      <c r="E24562" s="1">
        <v>4.0338846308995502E-4</v>
      </c>
      <c r="F24562" s="1">
        <v>3.1050911611632502E-3</v>
      </c>
    </row>
    <row r="24563" spans="1:6" x14ac:dyDescent="0.25">
      <c r="A24563" s="2" t="str">
        <f t="shared" si="858"/>
        <v>19430</v>
      </c>
      <c r="B24563" s="2" t="str">
        <f>"45429"</f>
        <v>45429</v>
      </c>
      <c r="C24563" s="1">
        <v>3.4053404592635401E-2</v>
      </c>
      <c r="D24563" s="1">
        <v>3.74038720488344E-2</v>
      </c>
      <c r="E24563" s="1">
        <v>3.8926986688180697E-2</v>
      </c>
      <c r="F24563" s="1">
        <v>3.4512505088960498E-2</v>
      </c>
    </row>
    <row r="24564" spans="1:6" x14ac:dyDescent="0.25">
      <c r="A24564" s="2" t="str">
        <f t="shared" si="858"/>
        <v>19430</v>
      </c>
      <c r="B24564" s="2" t="str">
        <f>"45426"</f>
        <v>45426</v>
      </c>
      <c r="C24564" s="1">
        <v>2.0637445034948299E-2</v>
      </c>
      <c r="D24564" s="1">
        <v>1.47221640384212E-2</v>
      </c>
      <c r="E24564" s="1">
        <v>2.32956837434449E-2</v>
      </c>
      <c r="F24564" s="1">
        <v>2.0318431389808801E-2</v>
      </c>
    </row>
    <row r="24565" spans="1:6" x14ac:dyDescent="0.25">
      <c r="A24565" s="2" t="str">
        <f t="shared" si="858"/>
        <v>19430</v>
      </c>
      <c r="B24565" s="2" t="str">
        <f>"45420"</f>
        <v>45420</v>
      </c>
      <c r="C24565" s="1">
        <v>3.2989002004167801E-2</v>
      </c>
      <c r="D24565" s="1">
        <v>2.1275322421376999E-2</v>
      </c>
      <c r="E24565" s="1">
        <v>3.2170229931423898E-2</v>
      </c>
      <c r="F24565" s="1">
        <v>3.2091810349570302E-2</v>
      </c>
    </row>
    <row r="24566" spans="1:6" x14ac:dyDescent="0.25">
      <c r="A24566" s="2" t="str">
        <f t="shared" si="858"/>
        <v>19430</v>
      </c>
      <c r="B24566" s="2" t="str">
        <f>"45417"</f>
        <v>45417</v>
      </c>
      <c r="C24566" s="1">
        <v>4.2314365197275897E-2</v>
      </c>
      <c r="D24566" s="1">
        <v>2.9504174272120601E-2</v>
      </c>
      <c r="E24566" s="1">
        <v>2.7329568374344401E-2</v>
      </c>
      <c r="F24566" s="1">
        <v>4.0718286148124498E-2</v>
      </c>
    </row>
    <row r="24567" spans="1:6" x14ac:dyDescent="0.25">
      <c r="A24567" s="2" t="str">
        <f t="shared" ref="A24567:A24598" si="859">"19430"</f>
        <v>19430</v>
      </c>
      <c r="B24567" s="2" t="str">
        <f>"45315"</f>
        <v>45315</v>
      </c>
      <c r="C24567" s="1">
        <v>5.3843315950583802E-3</v>
      </c>
      <c r="D24567" s="1">
        <v>4.5183877434992002E-3</v>
      </c>
      <c r="E24567" s="1">
        <v>8.5720048406615502E-4</v>
      </c>
      <c r="F24567" s="1">
        <v>5.1230703211821698E-3</v>
      </c>
    </row>
    <row r="24568" spans="1:6" x14ac:dyDescent="0.25">
      <c r="A24568" s="2" t="str">
        <f t="shared" si="859"/>
        <v>19430</v>
      </c>
      <c r="B24568" s="2" t="str">
        <f>"45378"</f>
        <v>45378</v>
      </c>
      <c r="C24568" s="1">
        <v>7.2289637155876303E-5</v>
      </c>
      <c r="D24568" s="1">
        <v>0</v>
      </c>
      <c r="E24568" s="1">
        <v>0</v>
      </c>
      <c r="F24568" s="1">
        <v>6.3818315856650803E-5</v>
      </c>
    </row>
    <row r="24569" spans="1:6" x14ac:dyDescent="0.25">
      <c r="A24569" s="2" t="str">
        <f t="shared" si="859"/>
        <v>19430</v>
      </c>
      <c r="B24569" s="2" t="str">
        <f>"45373"</f>
        <v>45373</v>
      </c>
      <c r="C24569" s="1">
        <v>4.2177264161290598E-2</v>
      </c>
      <c r="D24569" s="1">
        <v>4.7817110027229999E-2</v>
      </c>
      <c r="E24569" s="1">
        <v>4.9011698265429601E-2</v>
      </c>
      <c r="F24569" s="1">
        <v>4.2890309518831903E-2</v>
      </c>
    </row>
    <row r="24570" spans="1:6" x14ac:dyDescent="0.25">
      <c r="A24570" s="2" t="str">
        <f t="shared" si="859"/>
        <v>19430</v>
      </c>
      <c r="B24570" s="2" t="str">
        <f>"45066"</f>
        <v>45066</v>
      </c>
      <c r="C24570" s="1">
        <v>1.0668953345763801E-3</v>
      </c>
      <c r="D24570" s="1">
        <v>2.99230976390675E-5</v>
      </c>
      <c r="E24570" s="1">
        <v>0</v>
      </c>
      <c r="F24570" s="1">
        <v>9.4407094836217902E-4</v>
      </c>
    </row>
    <row r="24571" spans="1:6" x14ac:dyDescent="0.25">
      <c r="A24571" s="2" t="str">
        <f t="shared" si="859"/>
        <v>19430</v>
      </c>
      <c r="B24571" s="2" t="str">
        <f>"43153"</f>
        <v>43153</v>
      </c>
      <c r="C24571" s="1">
        <v>9.9709844352932905E-6</v>
      </c>
      <c r="D24571" s="1">
        <v>0</v>
      </c>
      <c r="E24571" s="1">
        <v>0</v>
      </c>
      <c r="F24571" s="1">
        <v>8.8025263250552906E-6</v>
      </c>
    </row>
    <row r="24572" spans="1:6" x14ac:dyDescent="0.25">
      <c r="A24572" s="2" t="str">
        <f t="shared" si="859"/>
        <v>19430</v>
      </c>
      <c r="B24572" s="2" t="str">
        <f>"45470"</f>
        <v>45470</v>
      </c>
      <c r="C24572" s="1">
        <v>0</v>
      </c>
      <c r="D24572" s="1">
        <v>0</v>
      </c>
      <c r="E24572" s="1">
        <v>5.0423557886244398E-5</v>
      </c>
      <c r="F24572" s="1">
        <v>2.2006315812638201E-6</v>
      </c>
    </row>
    <row r="24573" spans="1:6" x14ac:dyDescent="0.25">
      <c r="A24573" s="2" t="str">
        <f t="shared" si="859"/>
        <v>19430</v>
      </c>
      <c r="B24573" s="2" t="str">
        <f>"45459"</f>
        <v>45459</v>
      </c>
      <c r="C24573" s="1">
        <v>3.38340429350589E-2</v>
      </c>
      <c r="D24573" s="1">
        <v>6.4903198779137597E-2</v>
      </c>
      <c r="E24573" s="1">
        <v>4.3767648245260103E-2</v>
      </c>
      <c r="F24573" s="1">
        <v>3.6552490564791998E-2</v>
      </c>
    </row>
    <row r="24574" spans="1:6" x14ac:dyDescent="0.25">
      <c r="A24574" s="2" t="str">
        <f t="shared" si="859"/>
        <v>19430</v>
      </c>
      <c r="B24574" s="2" t="str">
        <f>"45345"</f>
        <v>45345</v>
      </c>
      <c r="C24574" s="1">
        <v>6.9348196747464801E-3</v>
      </c>
      <c r="D24574" s="1">
        <v>3.8600795954397099E-3</v>
      </c>
      <c r="E24574" s="1">
        <v>8.5720048406615502E-4</v>
      </c>
      <c r="F24574" s="1">
        <v>6.4434492699404697E-3</v>
      </c>
    </row>
    <row r="24575" spans="1:6" x14ac:dyDescent="0.25">
      <c r="A24575" s="2" t="str">
        <f t="shared" si="859"/>
        <v>19430</v>
      </c>
      <c r="B24575" s="2" t="str">
        <f>"45344"</f>
        <v>45344</v>
      </c>
      <c r="C24575" s="1">
        <v>1.83715388220278E-3</v>
      </c>
      <c r="D24575" s="1">
        <v>6.28385050420419E-4</v>
      </c>
      <c r="E24575" s="1">
        <v>2.01694231544977E-4</v>
      </c>
      <c r="F24575" s="1">
        <v>1.67688126492303E-3</v>
      </c>
    </row>
    <row r="24576" spans="1:6" x14ac:dyDescent="0.25">
      <c r="A24576" s="2" t="str">
        <f t="shared" si="859"/>
        <v>19430</v>
      </c>
      <c r="B24576" s="2" t="str">
        <f>"45335"</f>
        <v>45335</v>
      </c>
      <c r="C24576" s="1">
        <v>7.1467030939964702E-3</v>
      </c>
      <c r="D24576" s="1">
        <v>3.83015649780065E-3</v>
      </c>
      <c r="E24576" s="1">
        <v>2.5211778943122201E-3</v>
      </c>
      <c r="F24576" s="1">
        <v>6.7009231649483398E-3</v>
      </c>
    </row>
    <row r="24577" spans="1:6" x14ac:dyDescent="0.25">
      <c r="A24577" s="2" t="str">
        <f t="shared" si="859"/>
        <v>19430</v>
      </c>
      <c r="B24577" s="2" t="str">
        <f>"45431"</f>
        <v>45431</v>
      </c>
      <c r="C24577" s="1">
        <v>3.1775034649170898E-2</v>
      </c>
      <c r="D24577" s="1">
        <v>2.5554325383763701E-2</v>
      </c>
      <c r="E24577" s="1">
        <v>4.6339249697458597E-2</v>
      </c>
      <c r="F24577" s="1">
        <v>3.19531705599507E-2</v>
      </c>
    </row>
    <row r="24578" spans="1:6" x14ac:dyDescent="0.25">
      <c r="A24578" s="2" t="str">
        <f t="shared" si="859"/>
        <v>19430</v>
      </c>
      <c r="B24578" s="2" t="str">
        <f>"45430"</f>
        <v>45430</v>
      </c>
      <c r="C24578" s="1">
        <v>8.4578875472375303E-3</v>
      </c>
      <c r="D24578" s="1">
        <v>5.1467727939196201E-3</v>
      </c>
      <c r="E24578" s="1">
        <v>4.1347317466720402E-3</v>
      </c>
      <c r="F24578" s="1">
        <v>8.0257033768691595E-3</v>
      </c>
    </row>
    <row r="24579" spans="1:6" x14ac:dyDescent="0.25">
      <c r="A24579" s="2" t="str">
        <f t="shared" si="859"/>
        <v>19430</v>
      </c>
      <c r="B24579" s="2" t="str">
        <f>"45410"</f>
        <v>45410</v>
      </c>
      <c r="C24579" s="1">
        <v>2.0991414982401198E-2</v>
      </c>
      <c r="D24579" s="1">
        <v>9.3060833657500203E-3</v>
      </c>
      <c r="E24579" s="1">
        <v>2.6270673658733298E-2</v>
      </c>
      <c r="F24579" s="1">
        <v>2.0362444021434101E-2</v>
      </c>
    </row>
    <row r="24580" spans="1:6" x14ac:dyDescent="0.25">
      <c r="A24580" s="2" t="str">
        <f t="shared" si="859"/>
        <v>19430</v>
      </c>
      <c r="B24580" s="2" t="str">
        <f>"45324"</f>
        <v>45324</v>
      </c>
      <c r="C24580" s="1">
        <v>5.6179019054551201E-2</v>
      </c>
      <c r="D24580" s="1">
        <v>3.7912564708698603E-2</v>
      </c>
      <c r="E24580" s="1">
        <v>8.2543364259782107E-2</v>
      </c>
      <c r="F24580" s="1">
        <v>5.5986268058932899E-2</v>
      </c>
    </row>
    <row r="24581" spans="1:6" x14ac:dyDescent="0.25">
      <c r="A24581" s="2" t="str">
        <f t="shared" si="859"/>
        <v>19430</v>
      </c>
      <c r="B24581" s="2" t="str">
        <f>"45318"</f>
        <v>45318</v>
      </c>
      <c r="C24581" s="1">
        <v>5.8280404024289301E-3</v>
      </c>
      <c r="D24581" s="1">
        <v>5.0270804033633503E-3</v>
      </c>
      <c r="E24581" s="1">
        <v>3.7313432835820799E-3</v>
      </c>
      <c r="F24581" s="1">
        <v>5.6776294796606602E-3</v>
      </c>
    </row>
    <row r="24582" spans="1:6" x14ac:dyDescent="0.25">
      <c r="A24582" s="2" t="str">
        <f t="shared" si="859"/>
        <v>19430</v>
      </c>
      <c r="B24582" s="2" t="str">
        <f>"45314"</f>
        <v>45314</v>
      </c>
      <c r="C24582" s="1">
        <v>3.3652072469114798E-3</v>
      </c>
      <c r="D24582" s="1">
        <v>1.1969239055627E-3</v>
      </c>
      <c r="E24582" s="1">
        <v>1.00847115772488E-4</v>
      </c>
      <c r="F24582" s="1">
        <v>3.0632791611192398E-3</v>
      </c>
    </row>
    <row r="24583" spans="1:6" x14ac:dyDescent="0.25">
      <c r="A24583" s="2" t="str">
        <f t="shared" si="859"/>
        <v>19430</v>
      </c>
      <c r="B24583" s="2" t="str">
        <f>"45402"</f>
        <v>45402</v>
      </c>
      <c r="C24583" s="1">
        <v>1.9191652291830699E-2</v>
      </c>
      <c r="D24583" s="1">
        <v>6.3975582752326496E-2</v>
      </c>
      <c r="E24583" s="1">
        <v>3.0707946752722801E-2</v>
      </c>
      <c r="F24583" s="1">
        <v>2.2987797497881799E-2</v>
      </c>
    </row>
    <row r="24584" spans="1:6" x14ac:dyDescent="0.25">
      <c r="A24584" s="2" t="str">
        <f t="shared" si="859"/>
        <v>19430</v>
      </c>
      <c r="B24584" s="2" t="str">
        <f>"45301"</f>
        <v>45301</v>
      </c>
      <c r="C24584" s="1">
        <v>1.6701398929116199E-4</v>
      </c>
      <c r="D24584" s="1">
        <v>5.9846195278135102E-5</v>
      </c>
      <c r="E24584" s="1">
        <v>0</v>
      </c>
      <c r="F24584" s="1">
        <v>1.51843579107203E-4</v>
      </c>
    </row>
    <row r="24585" spans="1:6" x14ac:dyDescent="0.25">
      <c r="A24585" s="2" t="str">
        <f t="shared" si="859"/>
        <v>19430</v>
      </c>
      <c r="B24585" s="2" t="str">
        <f>"45308"</f>
        <v>45308</v>
      </c>
      <c r="C24585" s="1">
        <v>1.8246901516586699E-3</v>
      </c>
      <c r="D24585" s="1">
        <v>8.9769292917202704E-4</v>
      </c>
      <c r="E24585" s="1">
        <v>3.02541347317466E-4</v>
      </c>
      <c r="F24585" s="1">
        <v>1.6900850544106099E-3</v>
      </c>
    </row>
    <row r="24586" spans="1:6" x14ac:dyDescent="0.25">
      <c r="A24586" s="2" t="str">
        <f t="shared" si="859"/>
        <v>19430</v>
      </c>
      <c r="B24586" s="2" t="str">
        <f>"45169"</f>
        <v>45169</v>
      </c>
      <c r="C24586" s="1">
        <v>6.7304144938229704E-5</v>
      </c>
      <c r="D24586" s="1">
        <v>5.9846195278135102E-5</v>
      </c>
      <c r="E24586" s="1">
        <v>0</v>
      </c>
      <c r="F24586" s="1">
        <v>6.3818315856650803E-5</v>
      </c>
    </row>
    <row r="24587" spans="1:6" x14ac:dyDescent="0.25">
      <c r="A24587" s="2" t="str">
        <f t="shared" si="859"/>
        <v>19430</v>
      </c>
      <c r="B24587" s="2" t="str">
        <f>"45374"</f>
        <v>45374</v>
      </c>
      <c r="C24587" s="1">
        <v>0</v>
      </c>
      <c r="D24587" s="1">
        <v>0</v>
      </c>
      <c r="E24587" s="1">
        <v>5.0423557886244398E-5</v>
      </c>
      <c r="F24587" s="1">
        <v>2.2006315812638201E-6</v>
      </c>
    </row>
    <row r="24588" spans="1:6" x14ac:dyDescent="0.25">
      <c r="A24588" s="2" t="str">
        <f t="shared" si="859"/>
        <v>19430</v>
      </c>
      <c r="B24588" s="2" t="str">
        <f>"45384"</f>
        <v>45384</v>
      </c>
      <c r="C24588" s="1">
        <v>7.4782383264699696E-6</v>
      </c>
      <c r="D24588" s="1">
        <v>1.4961548819533699E-4</v>
      </c>
      <c r="E24588" s="1">
        <v>0</v>
      </c>
      <c r="F24588" s="1">
        <v>1.76050526501105E-5</v>
      </c>
    </row>
    <row r="24589" spans="1:6" x14ac:dyDescent="0.25">
      <c r="A24589" s="2" t="str">
        <f t="shared" si="859"/>
        <v>19430</v>
      </c>
      <c r="B24589" s="2" t="str">
        <f>"43128"</f>
        <v>43128</v>
      </c>
      <c r="C24589" s="1">
        <v>7.4782383264699696E-6</v>
      </c>
      <c r="D24589" s="1">
        <v>0</v>
      </c>
      <c r="E24589" s="1">
        <v>0</v>
      </c>
      <c r="F24589" s="1">
        <v>6.6018947437914603E-6</v>
      </c>
    </row>
    <row r="24590" spans="1:6" x14ac:dyDescent="0.25">
      <c r="A24590" s="2" t="str">
        <f t="shared" si="859"/>
        <v>19430</v>
      </c>
      <c r="B24590" s="2" t="str">
        <f>"45469"</f>
        <v>45469</v>
      </c>
      <c r="C24590" s="1">
        <v>0</v>
      </c>
      <c r="D24590" s="1">
        <v>8.9769292917202701E-5</v>
      </c>
      <c r="E24590" s="1">
        <v>0</v>
      </c>
      <c r="F24590" s="1">
        <v>6.6018947437914603E-6</v>
      </c>
    </row>
    <row r="24591" spans="1:6" x14ac:dyDescent="0.25">
      <c r="A24591" s="2" t="str">
        <f t="shared" si="859"/>
        <v>19430</v>
      </c>
      <c r="B24591" s="2" t="str">
        <f>"45481"</f>
        <v>45481</v>
      </c>
      <c r="C24591" s="1">
        <v>0</v>
      </c>
      <c r="D24591" s="1">
        <v>0</v>
      </c>
      <c r="E24591" s="1">
        <v>5.0423557886244398E-5</v>
      </c>
      <c r="F24591" s="1">
        <v>2.2006315812638201E-6</v>
      </c>
    </row>
    <row r="24592" spans="1:6" x14ac:dyDescent="0.25">
      <c r="A24592" s="2" t="str">
        <f t="shared" si="859"/>
        <v>19430</v>
      </c>
      <c r="B24592" s="2" t="str">
        <f>"45449"</f>
        <v>45449</v>
      </c>
      <c r="C24592" s="1">
        <v>2.3693551764365599E-2</v>
      </c>
      <c r="D24592" s="1">
        <v>2.41180166970884E-2</v>
      </c>
      <c r="E24592" s="1">
        <v>4.3918918918918901E-2</v>
      </c>
      <c r="F24592" s="1">
        <v>2.4607462341692001E-2</v>
      </c>
    </row>
    <row r="24593" spans="1:6" x14ac:dyDescent="0.25">
      <c r="A24593" s="2" t="str">
        <f t="shared" si="859"/>
        <v>19430</v>
      </c>
      <c r="B24593" s="2" t="str">
        <f>"45338"</f>
        <v>45338</v>
      </c>
      <c r="C24593" s="1">
        <v>3.7391191632349801E-5</v>
      </c>
      <c r="D24593" s="1">
        <v>0</v>
      </c>
      <c r="E24593" s="1">
        <v>0</v>
      </c>
      <c r="F24593" s="1">
        <v>3.3009473718957299E-5</v>
      </c>
    </row>
    <row r="24594" spans="1:6" x14ac:dyDescent="0.25">
      <c r="A24594" s="2" t="str">
        <f t="shared" si="859"/>
        <v>19430</v>
      </c>
      <c r="B24594" s="2" t="str">
        <f>"45404"</f>
        <v>45404</v>
      </c>
      <c r="C24594" s="1">
        <v>1.45850574827252E-2</v>
      </c>
      <c r="D24594" s="1">
        <v>2.8037942487806299E-2</v>
      </c>
      <c r="E24594" s="1">
        <v>1.9060104881000399E-2</v>
      </c>
      <c r="F24594" s="1">
        <v>1.5769725911336501E-2</v>
      </c>
    </row>
    <row r="24595" spans="1:6" x14ac:dyDescent="0.25">
      <c r="A24595" s="2" t="str">
        <f t="shared" si="859"/>
        <v>19430</v>
      </c>
      <c r="B24595" s="2" t="str">
        <f>"45403"</f>
        <v>45403</v>
      </c>
      <c r="C24595" s="1">
        <v>2.01463740515101E-2</v>
      </c>
      <c r="D24595" s="1">
        <v>1.5530087674676001E-2</v>
      </c>
      <c r="E24595" s="1">
        <v>3.3783783783783702E-2</v>
      </c>
      <c r="F24595" s="1">
        <v>2.0402055389896898E-2</v>
      </c>
    </row>
    <row r="24596" spans="1:6" x14ac:dyDescent="0.25">
      <c r="A24596" s="2" t="str">
        <f t="shared" si="859"/>
        <v>19430</v>
      </c>
      <c r="B24596" s="2" t="str">
        <f>"45385"</f>
        <v>45385</v>
      </c>
      <c r="C24596" s="1">
        <v>4.4278649131028698E-2</v>
      </c>
      <c r="D24596" s="1">
        <v>3.0461713396570798E-2</v>
      </c>
      <c r="E24596" s="1">
        <v>2.43041549011698E-2</v>
      </c>
      <c r="F24596" s="1">
        <v>4.2390766149884997E-2</v>
      </c>
    </row>
    <row r="24597" spans="1:6" x14ac:dyDescent="0.25">
      <c r="A24597" s="2" t="str">
        <f t="shared" si="859"/>
        <v>19430</v>
      </c>
      <c r="B24597" s="2" t="str">
        <f>"45305"</f>
        <v>45305</v>
      </c>
      <c r="C24597" s="1">
        <v>1.22618181093019E-2</v>
      </c>
      <c r="D24597" s="1">
        <v>1.02935455878392E-2</v>
      </c>
      <c r="E24597" s="1">
        <v>3.3279548204921301E-3</v>
      </c>
      <c r="F24597" s="1">
        <v>1.17271656965549E-2</v>
      </c>
    </row>
    <row r="24598" spans="1:6" x14ac:dyDescent="0.25">
      <c r="A24598" s="2" t="str">
        <f t="shared" si="859"/>
        <v>19430</v>
      </c>
      <c r="B24598" s="2" t="str">
        <f>"45005"</f>
        <v>45005</v>
      </c>
      <c r="C24598" s="1">
        <v>4.3623056904408102E-4</v>
      </c>
      <c r="D24598" s="1">
        <v>2.99230976390675E-5</v>
      </c>
      <c r="E24598" s="1">
        <v>2.01694231544977E-4</v>
      </c>
      <c r="F24598" s="1">
        <v>3.9611368462748802E-4</v>
      </c>
    </row>
    <row r="24599" spans="1:6" x14ac:dyDescent="0.25">
      <c r="A24599" s="2" t="str">
        <f t="shared" ref="A24599:A24623" si="860">"19430"</f>
        <v>19430</v>
      </c>
      <c r="B24599" s="2" t="str">
        <f>"45435"</f>
        <v>45435</v>
      </c>
      <c r="C24599" s="1">
        <v>0</v>
      </c>
      <c r="D24599" s="1">
        <v>5.9846195278135102E-5</v>
      </c>
      <c r="E24599" s="1">
        <v>5.0423557886244398E-5</v>
      </c>
      <c r="F24599" s="1">
        <v>6.6018947437914603E-6</v>
      </c>
    </row>
    <row r="24600" spans="1:6" x14ac:dyDescent="0.25">
      <c r="A24600" s="2" t="str">
        <f t="shared" si="860"/>
        <v>19430</v>
      </c>
      <c r="B24600" s="2" t="str">
        <f>"45448"</f>
        <v>45448</v>
      </c>
      <c r="C24600" s="1">
        <v>0</v>
      </c>
      <c r="D24600" s="1">
        <v>2.99230976390675E-5</v>
      </c>
      <c r="E24600" s="1">
        <v>0</v>
      </c>
      <c r="F24600" s="1">
        <v>2.2006315812638201E-6</v>
      </c>
    </row>
    <row r="24601" spans="1:6" x14ac:dyDescent="0.25">
      <c r="A24601" s="2" t="str">
        <f t="shared" si="860"/>
        <v>19430</v>
      </c>
      <c r="B24601" s="2" t="str">
        <f>"45475"</f>
        <v>45475</v>
      </c>
      <c r="C24601" s="1">
        <v>1.78729896002632E-3</v>
      </c>
      <c r="D24601" s="1">
        <v>1.37945480116101E-2</v>
      </c>
      <c r="E24601" s="1">
        <v>5.0423557886244398E-5</v>
      </c>
      <c r="F24601" s="1">
        <v>2.5945446343100401E-3</v>
      </c>
    </row>
    <row r="24602" spans="1:6" x14ac:dyDescent="0.25">
      <c r="A24602" s="2" t="str">
        <f t="shared" si="860"/>
        <v>19430</v>
      </c>
      <c r="B24602" s="2" t="str">
        <f>"45371"</f>
        <v>45371</v>
      </c>
      <c r="C24602" s="1">
        <v>2.5707690620294901E-2</v>
      </c>
      <c r="D24602" s="1">
        <v>2.3429785451389899E-2</v>
      </c>
      <c r="E24602" s="1">
        <v>2.2085518354175E-2</v>
      </c>
      <c r="F24602" s="1">
        <v>2.5382084658296899E-2</v>
      </c>
    </row>
    <row r="24603" spans="1:6" x14ac:dyDescent="0.25">
      <c r="A24603" s="2" t="str">
        <f t="shared" si="860"/>
        <v>19430</v>
      </c>
      <c r="B24603" s="2" t="str">
        <f>"45428"</f>
        <v>45428</v>
      </c>
      <c r="C24603" s="1">
        <v>0</v>
      </c>
      <c r="D24603" s="1">
        <v>2.99230976390675E-5</v>
      </c>
      <c r="E24603" s="1">
        <v>0</v>
      </c>
      <c r="F24603" s="1">
        <v>2.2006315812638201E-6</v>
      </c>
    </row>
    <row r="24604" spans="1:6" x14ac:dyDescent="0.25">
      <c r="A24604" s="2" t="str">
        <f t="shared" si="860"/>
        <v>19430</v>
      </c>
      <c r="B24604" s="2" t="str">
        <f>"45423"</f>
        <v>45423</v>
      </c>
      <c r="C24604" s="1">
        <v>0</v>
      </c>
      <c r="D24604" s="1">
        <v>5.0270804033633503E-3</v>
      </c>
      <c r="E24604" s="1">
        <v>2.01694231544977E-4</v>
      </c>
      <c r="F24604" s="1">
        <v>3.7850863197737701E-4</v>
      </c>
    </row>
    <row r="24605" spans="1:6" x14ac:dyDescent="0.25">
      <c r="A24605" s="2" t="str">
        <f t="shared" si="860"/>
        <v>19430</v>
      </c>
      <c r="B24605" s="2" t="str">
        <f>"45327"</f>
        <v>45327</v>
      </c>
      <c r="C24605" s="1">
        <v>9.7117388399756699E-3</v>
      </c>
      <c r="D24605" s="1">
        <v>5.7751578443400401E-3</v>
      </c>
      <c r="E24605" s="1">
        <v>2.9245663574021699E-3</v>
      </c>
      <c r="F24605" s="1">
        <v>9.1260191675010694E-3</v>
      </c>
    </row>
    <row r="24606" spans="1:6" x14ac:dyDescent="0.25">
      <c r="A24606" s="2" t="str">
        <f t="shared" si="860"/>
        <v>19430</v>
      </c>
      <c r="B24606" s="2" t="str">
        <f>"45326"</f>
        <v>45326</v>
      </c>
      <c r="C24606" s="1">
        <v>1.16660517892931E-3</v>
      </c>
      <c r="D24606" s="1">
        <v>5.3861575750321596E-4</v>
      </c>
      <c r="E24606" s="1">
        <v>0</v>
      </c>
      <c r="F24606" s="1">
        <v>1.0695069484942101E-3</v>
      </c>
    </row>
    <row r="24607" spans="1:6" x14ac:dyDescent="0.25">
      <c r="A24607" s="2" t="str">
        <f t="shared" si="860"/>
        <v>19430</v>
      </c>
      <c r="B24607" s="2" t="str">
        <f>"45322"</f>
        <v>45322</v>
      </c>
      <c r="C24607" s="1">
        <v>2.4187115493912701E-2</v>
      </c>
      <c r="D24607" s="1">
        <v>1.7894012388162399E-2</v>
      </c>
      <c r="E24607" s="1">
        <v>1.44211375554659E-2</v>
      </c>
      <c r="F24607" s="1">
        <v>2.3298086550840001E-2</v>
      </c>
    </row>
    <row r="24608" spans="1:6" x14ac:dyDescent="0.25">
      <c r="A24608" s="2" t="str">
        <f t="shared" si="860"/>
        <v>19430</v>
      </c>
      <c r="B24608" s="2" t="str">
        <f>"45387"</f>
        <v>45387</v>
      </c>
      <c r="C24608" s="1">
        <v>6.4512269296347598E-3</v>
      </c>
      <c r="D24608" s="1">
        <v>6.2539274065651204E-3</v>
      </c>
      <c r="E24608" s="1">
        <v>9.8325937878176606E-3</v>
      </c>
      <c r="F24608" s="1">
        <v>6.58428969114135E-3</v>
      </c>
    </row>
    <row r="24609" spans="1:6" x14ac:dyDescent="0.25">
      <c r="A24609" s="2" t="str">
        <f t="shared" si="860"/>
        <v>19430</v>
      </c>
      <c r="B24609" s="2" t="str">
        <f>"45309"</f>
        <v>45309</v>
      </c>
      <c r="C24609" s="1">
        <v>1.36054082619577E-2</v>
      </c>
      <c r="D24609" s="1">
        <v>7.6004668003231603E-3</v>
      </c>
      <c r="E24609" s="1">
        <v>6.8576038725292401E-3</v>
      </c>
      <c r="F24609" s="1">
        <v>1.28692934872308E-2</v>
      </c>
    </row>
    <row r="24610" spans="1:6" x14ac:dyDescent="0.25">
      <c r="A24610" s="2" t="str">
        <f t="shared" si="860"/>
        <v>19430</v>
      </c>
      <c r="B24610" s="2" t="str">
        <f>"45312"</f>
        <v>45312</v>
      </c>
      <c r="C24610" s="1">
        <v>1.38596683650576E-3</v>
      </c>
      <c r="D24610" s="1">
        <v>1.4961548819533699E-4</v>
      </c>
      <c r="E24610" s="1">
        <v>0</v>
      </c>
      <c r="F24610" s="1">
        <v>1.2345543170889999E-3</v>
      </c>
    </row>
    <row r="24611" spans="1:6" x14ac:dyDescent="0.25">
      <c r="A24611" s="2" t="str">
        <f t="shared" si="860"/>
        <v>19430</v>
      </c>
      <c r="B24611" s="2" t="str">
        <f>"45458"</f>
        <v>45458</v>
      </c>
      <c r="C24611" s="1">
        <v>3.5765921169397002E-2</v>
      </c>
      <c r="D24611" s="1">
        <v>2.04075525898441E-2</v>
      </c>
      <c r="E24611" s="1">
        <v>2.31948366276724E-2</v>
      </c>
      <c r="F24611" s="1">
        <v>3.4087783193776602E-2</v>
      </c>
    </row>
    <row r="24612" spans="1:6" x14ac:dyDescent="0.25">
      <c r="A24612" s="2" t="str">
        <f t="shared" si="860"/>
        <v>19430</v>
      </c>
      <c r="B24612" s="2" t="str">
        <f>"45440"</f>
        <v>45440</v>
      </c>
      <c r="C24612" s="1">
        <v>2.5480850724392001E-2</v>
      </c>
      <c r="D24612" s="1">
        <v>1.8851551512612499E-2</v>
      </c>
      <c r="E24612" s="1">
        <v>3.4388866478418698E-2</v>
      </c>
      <c r="F24612" s="1">
        <v>2.5382084658296899E-2</v>
      </c>
    </row>
    <row r="24613" spans="1:6" x14ac:dyDescent="0.25">
      <c r="A24613" s="2" t="str">
        <f t="shared" si="860"/>
        <v>19430</v>
      </c>
      <c r="B24613" s="2" t="str">
        <f>"45370"</f>
        <v>45370</v>
      </c>
      <c r="C24613" s="1">
        <v>3.0585994755262099E-3</v>
      </c>
      <c r="D24613" s="1">
        <v>1.16700080792363E-3</v>
      </c>
      <c r="E24613" s="1">
        <v>7.0592981040742205E-4</v>
      </c>
      <c r="F24613" s="1">
        <v>2.81680842401769E-3</v>
      </c>
    </row>
    <row r="24614" spans="1:6" x14ac:dyDescent="0.25">
      <c r="A24614" s="2" t="str">
        <f t="shared" si="860"/>
        <v>19430</v>
      </c>
      <c r="B24614" s="2" t="str">
        <f>"45337"</f>
        <v>45337</v>
      </c>
      <c r="C24614" s="1">
        <v>1.5056186497292799E-3</v>
      </c>
      <c r="D24614" s="1">
        <v>1.1969239055627E-3</v>
      </c>
      <c r="E24614" s="1">
        <v>5.0423557886244399E-4</v>
      </c>
      <c r="F24614" s="1">
        <v>1.4392130541465401E-3</v>
      </c>
    </row>
    <row r="24615" spans="1:6" x14ac:dyDescent="0.25">
      <c r="A24615" s="2" t="str">
        <f t="shared" si="860"/>
        <v>19430</v>
      </c>
      <c r="B24615" s="2" t="str">
        <f>"45432"</f>
        <v>45432</v>
      </c>
      <c r="C24615" s="1">
        <v>1.66515440069398E-2</v>
      </c>
      <c r="D24615" s="1">
        <v>1.88216284149735E-2</v>
      </c>
      <c r="E24615" s="1">
        <v>1.15974183138362E-2</v>
      </c>
      <c r="F24615" s="1">
        <v>1.65905614911479E-2</v>
      </c>
    </row>
    <row r="24616" spans="1:6" x14ac:dyDescent="0.25">
      <c r="A24616" s="2" t="str">
        <f t="shared" si="860"/>
        <v>19430</v>
      </c>
      <c r="B24616" s="2" t="str">
        <f>"45413"</f>
        <v>45413</v>
      </c>
      <c r="C24616" s="1">
        <v>1.7000528462175E-3</v>
      </c>
      <c r="D24616" s="1">
        <v>5.8350040396181798E-3</v>
      </c>
      <c r="E24616" s="1">
        <v>5.0423557886244398E-5</v>
      </c>
      <c r="F24616" s="1">
        <v>1.9321545283496301E-3</v>
      </c>
    </row>
    <row r="24617" spans="1:6" x14ac:dyDescent="0.25">
      <c r="A24617" s="2" t="str">
        <f t="shared" si="860"/>
        <v>19430</v>
      </c>
      <c r="B24617" s="2" t="str">
        <f>"45409"</f>
        <v>45409</v>
      </c>
      <c r="C24617" s="1">
        <v>1.2264310855410699E-2</v>
      </c>
      <c r="D24617" s="1">
        <v>1.84625512433047E-2</v>
      </c>
      <c r="E24617" s="1">
        <v>2.0018152480839001E-2</v>
      </c>
      <c r="F24617" s="1">
        <v>1.30585478032195E-2</v>
      </c>
    </row>
    <row r="24618" spans="1:6" x14ac:dyDescent="0.25">
      <c r="A24618" s="2" t="str">
        <f t="shared" si="860"/>
        <v>19430</v>
      </c>
      <c r="B24618" s="2" t="str">
        <f>"45422"</f>
        <v>45422</v>
      </c>
      <c r="C24618" s="1">
        <v>0</v>
      </c>
      <c r="D24618" s="1">
        <v>2.99230976390675E-5</v>
      </c>
      <c r="E24618" s="1">
        <v>3.5296490520371102E-4</v>
      </c>
      <c r="F24618" s="1">
        <v>1.76050526501105E-5</v>
      </c>
    </row>
    <row r="24619" spans="1:6" x14ac:dyDescent="0.25">
      <c r="A24619" s="2" t="str">
        <f t="shared" si="860"/>
        <v>19430</v>
      </c>
      <c r="B24619" s="2" t="str">
        <f>"45414"</f>
        <v>45414</v>
      </c>
      <c r="C24619" s="1">
        <v>2.5034649170912599E-2</v>
      </c>
      <c r="D24619" s="1">
        <v>4.2939645112061997E-2</v>
      </c>
      <c r="E24619" s="1">
        <v>1.33622428398547E-2</v>
      </c>
      <c r="F24619" s="1">
        <v>2.5842016658781001E-2</v>
      </c>
    </row>
    <row r="24620" spans="1:6" x14ac:dyDescent="0.25">
      <c r="A24620" s="2" t="str">
        <f t="shared" si="860"/>
        <v>19430</v>
      </c>
      <c r="B24620" s="2" t="str">
        <f>"45401"</f>
        <v>45401</v>
      </c>
      <c r="C24620" s="1">
        <v>4.0831181262525997E-3</v>
      </c>
      <c r="D24620" s="1">
        <v>1.6667165384960599E-2</v>
      </c>
      <c r="E24620" s="1">
        <v>1.00847115772488E-4</v>
      </c>
      <c r="F24620" s="1">
        <v>4.83478758403661E-3</v>
      </c>
    </row>
    <row r="24621" spans="1:6" x14ac:dyDescent="0.25">
      <c r="A24621" s="2" t="str">
        <f t="shared" si="860"/>
        <v>19430</v>
      </c>
      <c r="B24621" s="2" t="str">
        <f>"45377"</f>
        <v>45377</v>
      </c>
      <c r="C24621" s="1">
        <v>1.8715537785045502E-2</v>
      </c>
      <c r="D24621" s="1">
        <v>2.64220952152966E-2</v>
      </c>
      <c r="E24621" s="1">
        <v>2.4505849132714801E-2</v>
      </c>
      <c r="F24621" s="1">
        <v>1.95350065468789E-2</v>
      </c>
    </row>
    <row r="24622" spans="1:6" x14ac:dyDescent="0.25">
      <c r="A24622" s="2" t="str">
        <f t="shared" si="860"/>
        <v>19430</v>
      </c>
      <c r="B24622" s="2" t="str">
        <f>"45304"</f>
        <v>45304</v>
      </c>
      <c r="C24622" s="1">
        <v>2.2434714979409901E-5</v>
      </c>
      <c r="D24622" s="1">
        <v>0</v>
      </c>
      <c r="E24622" s="1">
        <v>0</v>
      </c>
      <c r="F24622" s="1">
        <v>1.98056842313744E-5</v>
      </c>
    </row>
    <row r="24623" spans="1:6" x14ac:dyDescent="0.25">
      <c r="A24623" s="2" t="str">
        <f t="shared" si="860"/>
        <v>19430</v>
      </c>
      <c r="B24623" s="2" t="str">
        <f>"45068"</f>
        <v>45068</v>
      </c>
      <c r="C24623" s="1">
        <v>2.7170932586174202E-4</v>
      </c>
      <c r="D24623" s="1">
        <v>3.89000269307878E-4</v>
      </c>
      <c r="E24623" s="1">
        <v>0</v>
      </c>
      <c r="F24623" s="1">
        <v>2.6847705291418598E-4</v>
      </c>
    </row>
    <row r="24624" spans="1:6" x14ac:dyDescent="0.25">
      <c r="A24624" s="2" t="str">
        <f t="shared" ref="A24624:A24655" si="861">"29200"</f>
        <v>29200</v>
      </c>
      <c r="B24624" s="2" t="str">
        <f>"47924"</f>
        <v>47924</v>
      </c>
      <c r="C24624" s="1">
        <v>7.7520940721649404E-4</v>
      </c>
      <c r="D24624" s="1">
        <v>0</v>
      </c>
      <c r="E24624" s="1">
        <v>1.88005264147396E-4</v>
      </c>
      <c r="F24624" s="1">
        <v>6.9498275908155295E-4</v>
      </c>
    </row>
    <row r="24625" spans="1:6" x14ac:dyDescent="0.25">
      <c r="A24625" s="2" t="str">
        <f t="shared" si="861"/>
        <v>29200</v>
      </c>
      <c r="B24625" s="2" t="str">
        <f>"46979"</f>
        <v>46979</v>
      </c>
      <c r="C24625" s="1">
        <v>9.0608891752577296E-5</v>
      </c>
      <c r="D24625" s="1">
        <v>0</v>
      </c>
      <c r="E24625" s="1">
        <v>0</v>
      </c>
      <c r="F24625" s="1">
        <v>8.0190318355563797E-5</v>
      </c>
    </row>
    <row r="24626" spans="1:6" x14ac:dyDescent="0.25">
      <c r="A24626" s="2" t="str">
        <f t="shared" si="861"/>
        <v>29200</v>
      </c>
      <c r="B24626" s="2" t="str">
        <f>"46916"</f>
        <v>46916</v>
      </c>
      <c r="C24626" s="1">
        <v>0</v>
      </c>
      <c r="D24626" s="1">
        <v>0</v>
      </c>
      <c r="E24626" s="1">
        <v>1.88005264147396E-4</v>
      </c>
      <c r="F24626" s="1">
        <v>8.9100353728404306E-6</v>
      </c>
    </row>
    <row r="24627" spans="1:6" x14ac:dyDescent="0.25">
      <c r="A24627" s="2" t="str">
        <f t="shared" si="861"/>
        <v>29200</v>
      </c>
      <c r="B24627" s="2" t="str">
        <f>"47986"</f>
        <v>47986</v>
      </c>
      <c r="C24627" s="1">
        <v>2.6175902061855599E-4</v>
      </c>
      <c r="D24627" s="1">
        <v>0</v>
      </c>
      <c r="E24627" s="1">
        <v>1.88005264147396E-4</v>
      </c>
      <c r="F24627" s="1">
        <v>2.40570955066691E-4</v>
      </c>
    </row>
    <row r="24628" spans="1:6" x14ac:dyDescent="0.25">
      <c r="A24628" s="2" t="str">
        <f t="shared" si="861"/>
        <v>29200</v>
      </c>
      <c r="B24628" s="2" t="str">
        <f>"47926"</f>
        <v>47926</v>
      </c>
      <c r="C24628" s="1">
        <v>1.2483891752577299E-3</v>
      </c>
      <c r="D24628" s="1">
        <v>2.6364355391510599E-4</v>
      </c>
      <c r="E24628" s="1">
        <v>1.88005264147396E-4</v>
      </c>
      <c r="F24628" s="1">
        <v>1.1315744923507301E-3</v>
      </c>
    </row>
    <row r="24629" spans="1:6" x14ac:dyDescent="0.25">
      <c r="A24629" s="2" t="str">
        <f t="shared" si="861"/>
        <v>29200</v>
      </c>
      <c r="B24629" s="2" t="str">
        <f>"47909"</f>
        <v>47909</v>
      </c>
      <c r="C24629" s="1">
        <v>0.18241583440721601</v>
      </c>
      <c r="D24629" s="1">
        <v>8.2520432375428401E-2</v>
      </c>
      <c r="E24629" s="1">
        <v>0.13291972175220901</v>
      </c>
      <c r="F24629" s="1">
        <v>0.17331800807249201</v>
      </c>
    </row>
    <row r="24630" spans="1:6" x14ac:dyDescent="0.25">
      <c r="A24630" s="2" t="str">
        <f t="shared" si="861"/>
        <v>29200</v>
      </c>
      <c r="B24630" s="2" t="str">
        <f>"46913"</f>
        <v>46913</v>
      </c>
      <c r="C24630" s="1">
        <v>5.74863079896907E-3</v>
      </c>
      <c r="D24630" s="1">
        <v>1.45003954653308E-3</v>
      </c>
      <c r="E24630" s="1">
        <v>3.76010528294792E-4</v>
      </c>
      <c r="F24630" s="1">
        <v>5.2034606577388096E-3</v>
      </c>
    </row>
    <row r="24631" spans="1:6" x14ac:dyDescent="0.25">
      <c r="A24631" s="2" t="str">
        <f t="shared" si="861"/>
        <v>29200</v>
      </c>
      <c r="B24631" s="2" t="str">
        <f>"46929"</f>
        <v>46929</v>
      </c>
      <c r="C24631" s="1">
        <v>1.42557989690721E-2</v>
      </c>
      <c r="D24631" s="1">
        <v>2.13551278671236E-2</v>
      </c>
      <c r="E24631" s="1">
        <v>7.52021056589584E-3</v>
      </c>
      <c r="F24631" s="1">
        <v>1.4416437233255801E-2</v>
      </c>
    </row>
    <row r="24632" spans="1:6" x14ac:dyDescent="0.25">
      <c r="A24632" s="2" t="str">
        <f t="shared" si="861"/>
        <v>29200</v>
      </c>
      <c r="B24632" s="2" t="str">
        <f>"47983"</f>
        <v>47983</v>
      </c>
      <c r="C24632" s="1">
        <v>3.02029639175257E-5</v>
      </c>
      <c r="D24632" s="1">
        <v>0</v>
      </c>
      <c r="E24632" s="1">
        <v>1.88005264147396E-4</v>
      </c>
      <c r="F24632" s="1">
        <v>3.5640141491361702E-5</v>
      </c>
    </row>
    <row r="24633" spans="1:6" x14ac:dyDescent="0.25">
      <c r="A24633" s="2" t="str">
        <f t="shared" si="861"/>
        <v>29200</v>
      </c>
      <c r="B24633" s="2" t="str">
        <f>"47995"</f>
        <v>47995</v>
      </c>
      <c r="C24633" s="1">
        <v>2.0135309278350502E-5</v>
      </c>
      <c r="D24633" s="1">
        <v>0</v>
      </c>
      <c r="E24633" s="1">
        <v>0</v>
      </c>
      <c r="F24633" s="1">
        <v>1.78200707456808E-5</v>
      </c>
    </row>
    <row r="24634" spans="1:6" x14ac:dyDescent="0.25">
      <c r="A24634" s="2" t="str">
        <f t="shared" si="861"/>
        <v>29200</v>
      </c>
      <c r="B24634" s="2" t="str">
        <f>"47970"</f>
        <v>47970</v>
      </c>
      <c r="C24634" s="1">
        <v>6.6849226804123699E-3</v>
      </c>
      <c r="D24634" s="1">
        <v>1.71368310044819E-3</v>
      </c>
      <c r="E24634" s="1">
        <v>1.31603684903177E-3</v>
      </c>
      <c r="F24634" s="1">
        <v>6.0944641950228503E-3</v>
      </c>
    </row>
    <row r="24635" spans="1:6" x14ac:dyDescent="0.25">
      <c r="A24635" s="2" t="str">
        <f t="shared" si="861"/>
        <v>29200</v>
      </c>
      <c r="B24635" s="2" t="str">
        <f>"47948"</f>
        <v>47948</v>
      </c>
      <c r="C24635" s="1">
        <v>2.2148840206185499E-4</v>
      </c>
      <c r="D24635" s="1">
        <v>3.9546533087266001E-4</v>
      </c>
      <c r="E24635" s="1">
        <v>0</v>
      </c>
      <c r="F24635" s="1">
        <v>2.2275088432100999E-4</v>
      </c>
    </row>
    <row r="24636" spans="1:6" x14ac:dyDescent="0.25">
      <c r="A24636" s="2" t="str">
        <f t="shared" si="861"/>
        <v>29200</v>
      </c>
      <c r="B24636" s="2" t="str">
        <f>"47917"</f>
        <v>47917</v>
      </c>
      <c r="C24636" s="1">
        <v>2.0940721649484501E-3</v>
      </c>
      <c r="D24636" s="1">
        <v>9.2275243870287296E-4</v>
      </c>
      <c r="E24636" s="1">
        <v>5.64015792442188E-4</v>
      </c>
      <c r="F24636" s="1">
        <v>1.9423877112792101E-3</v>
      </c>
    </row>
    <row r="24637" spans="1:6" x14ac:dyDescent="0.25">
      <c r="A24637" s="2" t="str">
        <f t="shared" si="861"/>
        <v>29200</v>
      </c>
      <c r="B24637" s="2" t="str">
        <f>"46917"</f>
        <v>46917</v>
      </c>
      <c r="C24637" s="1">
        <v>7.7319587628865904E-3</v>
      </c>
      <c r="D24637" s="1">
        <v>3.4273662008963801E-3</v>
      </c>
      <c r="E24637" s="1">
        <v>9.4002632073698E-4</v>
      </c>
      <c r="F24637" s="1">
        <v>7.1191182628994997E-3</v>
      </c>
    </row>
    <row r="24638" spans="1:6" x14ac:dyDescent="0.25">
      <c r="A24638" s="2" t="str">
        <f t="shared" si="861"/>
        <v>29200</v>
      </c>
      <c r="B24638" s="2" t="str">
        <f>"47982"</f>
        <v>47982</v>
      </c>
      <c r="C24638" s="1">
        <v>0</v>
      </c>
      <c r="D24638" s="1">
        <v>0</v>
      </c>
      <c r="E24638" s="1">
        <v>1.88005264147396E-4</v>
      </c>
      <c r="F24638" s="1">
        <v>8.9100353728404306E-6</v>
      </c>
    </row>
    <row r="24639" spans="1:6" x14ac:dyDescent="0.25">
      <c r="A24639" s="2" t="str">
        <f t="shared" si="861"/>
        <v>29200</v>
      </c>
      <c r="B24639" s="2" t="str">
        <f>"47977"</f>
        <v>47977</v>
      </c>
      <c r="C24639" s="1">
        <v>1.0671713917525701E-3</v>
      </c>
      <c r="D24639" s="1">
        <v>2.6364355391510599E-4</v>
      </c>
      <c r="E24639" s="1">
        <v>1.88005264147396E-4</v>
      </c>
      <c r="F24639" s="1">
        <v>9.7119385563960601E-4</v>
      </c>
    </row>
    <row r="24640" spans="1:6" x14ac:dyDescent="0.25">
      <c r="A24640" s="2" t="str">
        <f t="shared" si="861"/>
        <v>29200</v>
      </c>
      <c r="B24640" s="2" t="str">
        <f>"47955"</f>
        <v>47955</v>
      </c>
      <c r="C24640" s="1">
        <v>1.3087951030927799E-4</v>
      </c>
      <c r="D24640" s="1">
        <v>0</v>
      </c>
      <c r="E24640" s="1">
        <v>0</v>
      </c>
      <c r="F24640" s="1">
        <v>1.15830459846925E-4</v>
      </c>
    </row>
    <row r="24641" spans="1:6" x14ac:dyDescent="0.25">
      <c r="A24641" s="2" t="str">
        <f t="shared" si="861"/>
        <v>29200</v>
      </c>
      <c r="B24641" s="2" t="str">
        <f>"47950"</f>
        <v>47950</v>
      </c>
      <c r="C24641" s="1">
        <v>2.0135309278350501E-4</v>
      </c>
      <c r="D24641" s="1">
        <v>0</v>
      </c>
      <c r="E24641" s="1">
        <v>0</v>
      </c>
      <c r="F24641" s="1">
        <v>1.78200707456808E-4</v>
      </c>
    </row>
    <row r="24642" spans="1:6" x14ac:dyDescent="0.25">
      <c r="A24642" s="2" t="str">
        <f t="shared" si="861"/>
        <v>29200</v>
      </c>
      <c r="B24642" s="2" t="str">
        <f>"47944"</f>
        <v>47944</v>
      </c>
      <c r="C24642" s="1">
        <v>1.6802915592783501E-2</v>
      </c>
      <c r="D24642" s="1">
        <v>2.5441602952807799E-2</v>
      </c>
      <c r="E24642" s="1">
        <v>7.52021056589584E-3</v>
      </c>
      <c r="F24642" s="1">
        <v>1.6946887279142401E-2</v>
      </c>
    </row>
    <row r="24643" spans="1:6" x14ac:dyDescent="0.25">
      <c r="A24643" s="2" t="str">
        <f t="shared" si="861"/>
        <v>29200</v>
      </c>
      <c r="B24643" s="2" t="str">
        <f>"47921"</f>
        <v>47921</v>
      </c>
      <c r="C24643" s="1">
        <v>4.8727448453608196E-3</v>
      </c>
      <c r="D24643" s="1">
        <v>3.8228315317690399E-3</v>
      </c>
      <c r="E24643" s="1">
        <v>1.88005264147396E-3</v>
      </c>
      <c r="F24643" s="1">
        <v>4.6599484999955403E-3</v>
      </c>
    </row>
    <row r="24644" spans="1:6" x14ac:dyDescent="0.25">
      <c r="A24644" s="2" t="str">
        <f t="shared" si="861"/>
        <v>29200</v>
      </c>
      <c r="B24644" s="2" t="str">
        <f>"46065"</f>
        <v>46065</v>
      </c>
      <c r="C24644" s="1">
        <v>3.5639497422680399E-3</v>
      </c>
      <c r="D24644" s="1">
        <v>1.05457421566042E-3</v>
      </c>
      <c r="E24644" s="1">
        <v>5.64015792442188E-4</v>
      </c>
      <c r="F24644" s="1">
        <v>3.2521629110867502E-3</v>
      </c>
    </row>
    <row r="24645" spans="1:6" x14ac:dyDescent="0.25">
      <c r="A24645" s="2" t="str">
        <f t="shared" si="861"/>
        <v>29200</v>
      </c>
      <c r="B24645" s="2" t="str">
        <f>"47902"</f>
        <v>47902</v>
      </c>
      <c r="C24645" s="1">
        <v>7.9635148195876197E-3</v>
      </c>
      <c r="D24645" s="1">
        <v>4.0073820195096199E-2</v>
      </c>
      <c r="E24645" s="1">
        <v>3.76010528294792E-4</v>
      </c>
      <c r="F24645" s="1">
        <v>9.7743088040059493E-3</v>
      </c>
    </row>
    <row r="24646" spans="1:6" x14ac:dyDescent="0.25">
      <c r="A24646" s="2" t="str">
        <f t="shared" si="861"/>
        <v>29200</v>
      </c>
      <c r="B24646" s="2" t="str">
        <f>"47901"</f>
        <v>47901</v>
      </c>
      <c r="C24646" s="1">
        <v>2.6075225515463901E-2</v>
      </c>
      <c r="D24646" s="1">
        <v>9.5834431848141305E-2</v>
      </c>
      <c r="E24646" s="1">
        <v>0.11092310584696299</v>
      </c>
      <c r="F24646" s="1">
        <v>3.4811508201687498E-2</v>
      </c>
    </row>
    <row r="24647" spans="1:6" x14ac:dyDescent="0.25">
      <c r="A24647" s="2" t="str">
        <f t="shared" si="861"/>
        <v>29200</v>
      </c>
      <c r="B24647" s="2" t="str">
        <f>"47996"</f>
        <v>47996</v>
      </c>
      <c r="C24647" s="1">
        <v>7.4097938144329798E-3</v>
      </c>
      <c r="D24647" s="1">
        <v>4.0073820195096199E-2</v>
      </c>
      <c r="E24647" s="1">
        <v>3.76010528294792E-4</v>
      </c>
      <c r="F24647" s="1">
        <v>9.2842568584997204E-3</v>
      </c>
    </row>
    <row r="24648" spans="1:6" x14ac:dyDescent="0.25">
      <c r="A24648" s="2" t="str">
        <f t="shared" si="861"/>
        <v>29200</v>
      </c>
      <c r="B24648" s="2" t="str">
        <f>"47941"</f>
        <v>47941</v>
      </c>
      <c r="C24648" s="1">
        <v>4.2586179123711302E-3</v>
      </c>
      <c r="D24648" s="1">
        <v>1.9773266543632998E-3</v>
      </c>
      <c r="E24648" s="1">
        <v>1.57924421883812E-2</v>
      </c>
      <c r="F24648" s="1">
        <v>4.6510384646227003E-3</v>
      </c>
    </row>
    <row r="24649" spans="1:6" x14ac:dyDescent="0.25">
      <c r="A24649" s="2" t="str">
        <f t="shared" si="861"/>
        <v>29200</v>
      </c>
      <c r="B24649" s="2" t="str">
        <f>"47942"</f>
        <v>47942</v>
      </c>
      <c r="C24649" s="1">
        <v>2.95989046391752E-3</v>
      </c>
      <c r="D24649" s="1">
        <v>2.3727919852359601E-3</v>
      </c>
      <c r="E24649" s="1">
        <v>9.4002632073698E-4</v>
      </c>
      <c r="F24649" s="1">
        <v>2.82448121319041E-3</v>
      </c>
    </row>
    <row r="24650" spans="1:6" x14ac:dyDescent="0.25">
      <c r="A24650" s="2" t="str">
        <f t="shared" si="861"/>
        <v>29200</v>
      </c>
      <c r="B24650" s="2" t="str">
        <f>"47920"</f>
        <v>47920</v>
      </c>
      <c r="C24650" s="1">
        <v>9.8562338917525701E-3</v>
      </c>
      <c r="D24650" s="1">
        <v>3.6910097548114901E-3</v>
      </c>
      <c r="E24650" s="1">
        <v>3.3840947546531302E-3</v>
      </c>
      <c r="F24650" s="1">
        <v>9.1327862571614401E-3</v>
      </c>
    </row>
    <row r="24651" spans="1:6" x14ac:dyDescent="0.25">
      <c r="A24651" s="2" t="str">
        <f t="shared" si="861"/>
        <v>29200</v>
      </c>
      <c r="B24651" s="2" t="str">
        <f>"46920"</f>
        <v>46920</v>
      </c>
      <c r="C24651" s="1">
        <v>4.4398356958762798E-3</v>
      </c>
      <c r="D24651" s="1">
        <v>3.9546533087266001E-4</v>
      </c>
      <c r="E24651" s="1">
        <v>1.88005264147396E-4</v>
      </c>
      <c r="F24651" s="1">
        <v>3.9649657409139899E-3</v>
      </c>
    </row>
    <row r="24652" spans="1:6" x14ac:dyDescent="0.25">
      <c r="A24652" s="2" t="str">
        <f t="shared" si="861"/>
        <v>29200</v>
      </c>
      <c r="B24652" s="2" t="str">
        <f>"46041"</f>
        <v>46041</v>
      </c>
      <c r="C24652" s="1">
        <v>7.4500644329896903E-4</v>
      </c>
      <c r="D24652" s="1">
        <v>6.5910888478776599E-4</v>
      </c>
      <c r="E24652" s="1">
        <v>1.88005264147396E-4</v>
      </c>
      <c r="F24652" s="1">
        <v>7.1280282982723396E-4</v>
      </c>
    </row>
    <row r="24653" spans="1:6" x14ac:dyDescent="0.25">
      <c r="A24653" s="2" t="str">
        <f t="shared" si="861"/>
        <v>29200</v>
      </c>
      <c r="B24653" s="2" t="str">
        <f>"47906"</f>
        <v>47906</v>
      </c>
      <c r="C24653" s="1">
        <v>0.29047197164948402</v>
      </c>
      <c r="D24653" s="1">
        <v>0.13683100448193999</v>
      </c>
      <c r="E24653" s="1">
        <v>0.34066553863508098</v>
      </c>
      <c r="F24653" s="1">
        <v>0.28246594138978698</v>
      </c>
    </row>
    <row r="24654" spans="1:6" x14ac:dyDescent="0.25">
      <c r="A24654" s="2" t="str">
        <f t="shared" si="861"/>
        <v>29200</v>
      </c>
      <c r="B24654" s="2" t="str">
        <f>"47903"</f>
        <v>47903</v>
      </c>
      <c r="C24654" s="1">
        <v>1.7729139819587601E-2</v>
      </c>
      <c r="D24654" s="1">
        <v>5.4046928552596803E-2</v>
      </c>
      <c r="E24654" s="1">
        <v>3.76010528294792E-4</v>
      </c>
      <c r="F24654" s="1">
        <v>1.9361506865182201E-2</v>
      </c>
    </row>
    <row r="24655" spans="1:6" x14ac:dyDescent="0.25">
      <c r="A24655" s="2" t="str">
        <f t="shared" si="861"/>
        <v>29200</v>
      </c>
      <c r="B24655" s="2" t="str">
        <f>"47932"</f>
        <v>47932</v>
      </c>
      <c r="C24655" s="1">
        <v>2.6578608247422599E-3</v>
      </c>
      <c r="D24655" s="1">
        <v>1.9773266543632998E-3</v>
      </c>
      <c r="E24655" s="1">
        <v>1.88005264147396E-4</v>
      </c>
      <c r="F24655" s="1">
        <v>2.4948099043953201E-3</v>
      </c>
    </row>
    <row r="24656" spans="1:6" x14ac:dyDescent="0.25">
      <c r="A24656" s="2" t="str">
        <f t="shared" ref="A24656:A24676" si="862">"29200"</f>
        <v>29200</v>
      </c>
      <c r="B24656" s="2" t="str">
        <f>"47918"</f>
        <v>47918</v>
      </c>
      <c r="C24656" s="1">
        <v>6.0305251288659701E-3</v>
      </c>
      <c r="D24656" s="1">
        <v>2.6364355391510601E-3</v>
      </c>
      <c r="E24656" s="1">
        <v>0</v>
      </c>
      <c r="F24656" s="1">
        <v>5.5153118957882198E-3</v>
      </c>
    </row>
    <row r="24657" spans="1:6" x14ac:dyDescent="0.25">
      <c r="A24657" s="2" t="str">
        <f t="shared" si="862"/>
        <v>29200</v>
      </c>
      <c r="B24657" s="2" t="str">
        <f>"46977"</f>
        <v>46977</v>
      </c>
      <c r="C24657" s="1">
        <v>3.4230025773195798E-4</v>
      </c>
      <c r="D24657" s="1">
        <v>2.6364355391510599E-4</v>
      </c>
      <c r="E24657" s="1">
        <v>1.88005264147396E-4</v>
      </c>
      <c r="F24657" s="1">
        <v>3.2967130879509499E-4</v>
      </c>
    </row>
    <row r="24658" spans="1:6" x14ac:dyDescent="0.25">
      <c r="A24658" s="2" t="str">
        <f t="shared" si="862"/>
        <v>29200</v>
      </c>
      <c r="B24658" s="2" t="str">
        <f>"46915"</f>
        <v>46915</v>
      </c>
      <c r="C24658" s="1">
        <v>3.6142880154639099E-3</v>
      </c>
      <c r="D24658" s="1">
        <v>1.31821776957553E-3</v>
      </c>
      <c r="E24658" s="1">
        <v>1.31603684903177E-3</v>
      </c>
      <c r="F24658" s="1">
        <v>3.350173300188E-3</v>
      </c>
    </row>
    <row r="24659" spans="1:6" x14ac:dyDescent="0.25">
      <c r="A24659" s="2" t="str">
        <f t="shared" si="862"/>
        <v>29200</v>
      </c>
      <c r="B24659" s="2" t="str">
        <f>"47997"</f>
        <v>47997</v>
      </c>
      <c r="C24659" s="1">
        <v>5.2351804123711295E-4</v>
      </c>
      <c r="D24659" s="1">
        <v>6.5910888478776599E-4</v>
      </c>
      <c r="E24659" s="1">
        <v>5.64015792442188E-4</v>
      </c>
      <c r="F24659" s="1">
        <v>5.3460212237042501E-4</v>
      </c>
    </row>
    <row r="24660" spans="1:6" x14ac:dyDescent="0.25">
      <c r="A24660" s="2" t="str">
        <f t="shared" si="862"/>
        <v>29200</v>
      </c>
      <c r="B24660" s="2" t="str">
        <f>"47975"</f>
        <v>47975</v>
      </c>
      <c r="C24660" s="1">
        <v>2.3759664948453602E-3</v>
      </c>
      <c r="D24660" s="1">
        <v>6.5910888478776599E-4</v>
      </c>
      <c r="E24660" s="1">
        <v>9.4002632073698E-4</v>
      </c>
      <c r="F24660" s="1">
        <v>2.19186870171874E-3</v>
      </c>
    </row>
    <row r="24661" spans="1:6" x14ac:dyDescent="0.25">
      <c r="A24661" s="2" t="str">
        <f t="shared" si="862"/>
        <v>29200</v>
      </c>
      <c r="B24661" s="2" t="str">
        <f>"47962"</f>
        <v>47962</v>
      </c>
      <c r="C24661" s="1">
        <v>0</v>
      </c>
      <c r="D24661" s="1">
        <v>0</v>
      </c>
      <c r="E24661" s="1">
        <v>1.88005264147396E-4</v>
      </c>
      <c r="F24661" s="1">
        <v>8.9100353728404306E-6</v>
      </c>
    </row>
    <row r="24662" spans="1:6" x14ac:dyDescent="0.25">
      <c r="A24662" s="2" t="str">
        <f t="shared" si="862"/>
        <v>29200</v>
      </c>
      <c r="B24662" s="2" t="str">
        <f>"47992"</f>
        <v>47992</v>
      </c>
      <c r="C24662" s="1">
        <v>5.8895779639175196E-3</v>
      </c>
      <c r="D24662" s="1">
        <v>6.5910888478776599E-4</v>
      </c>
      <c r="E24662" s="1">
        <v>7.52021056589584E-4</v>
      </c>
      <c r="F24662" s="1">
        <v>5.2925610114672103E-3</v>
      </c>
    </row>
    <row r="24663" spans="1:6" x14ac:dyDescent="0.25">
      <c r="A24663" s="2" t="str">
        <f t="shared" si="862"/>
        <v>29200</v>
      </c>
      <c r="B24663" s="2" t="str">
        <f>"47991"</f>
        <v>47991</v>
      </c>
      <c r="C24663" s="1">
        <v>3.7048969072164899E-3</v>
      </c>
      <c r="D24663" s="1">
        <v>2.3727919852359601E-3</v>
      </c>
      <c r="E24663" s="1">
        <v>2.82007896221094E-3</v>
      </c>
      <c r="F24663" s="1">
        <v>3.57292418450901E-3</v>
      </c>
    </row>
    <row r="24664" spans="1:6" x14ac:dyDescent="0.25">
      <c r="A24664" s="2" t="str">
        <f t="shared" si="862"/>
        <v>29200</v>
      </c>
      <c r="B24664" s="2" t="str">
        <f>"47971"</f>
        <v>47971</v>
      </c>
      <c r="C24664" s="1">
        <v>6.8661404639175196E-3</v>
      </c>
      <c r="D24664" s="1">
        <v>3.6910097548114901E-3</v>
      </c>
      <c r="E24664" s="1">
        <v>4.7001316036849004E-3</v>
      </c>
      <c r="F24664" s="1">
        <v>6.5488759990377102E-3</v>
      </c>
    </row>
    <row r="24665" spans="1:6" x14ac:dyDescent="0.25">
      <c r="A24665" s="2" t="str">
        <f t="shared" si="862"/>
        <v>29200</v>
      </c>
      <c r="B24665" s="2" t="str">
        <f>"47923"</f>
        <v>47923</v>
      </c>
      <c r="C24665" s="1">
        <v>2.4363724226804098E-3</v>
      </c>
      <c r="D24665" s="1">
        <v>3.9546533087266001E-4</v>
      </c>
      <c r="E24665" s="1">
        <v>3.76010528294792E-4</v>
      </c>
      <c r="F24665" s="1">
        <v>2.2007787370915801E-3</v>
      </c>
    </row>
    <row r="24666" spans="1:6" x14ac:dyDescent="0.25">
      <c r="A24666" s="2" t="str">
        <f t="shared" si="862"/>
        <v>29200</v>
      </c>
      <c r="B24666" s="2" t="str">
        <f>"46058"</f>
        <v>46058</v>
      </c>
      <c r="C24666" s="1">
        <v>1.00676546391752E-4</v>
      </c>
      <c r="D24666" s="1">
        <v>0</v>
      </c>
      <c r="E24666" s="1">
        <v>0</v>
      </c>
      <c r="F24666" s="1">
        <v>8.9100353728404299E-5</v>
      </c>
    </row>
    <row r="24667" spans="1:6" x14ac:dyDescent="0.25">
      <c r="A24667" s="2" t="str">
        <f t="shared" si="862"/>
        <v>29200</v>
      </c>
      <c r="B24667" s="2" t="str">
        <f>"47907"</f>
        <v>47907</v>
      </c>
      <c r="C24667" s="1">
        <v>3.02029639175257E-5</v>
      </c>
      <c r="D24667" s="1">
        <v>1.99050883205905E-2</v>
      </c>
      <c r="E24667" s="1">
        <v>5.64015792442188E-4</v>
      </c>
      <c r="F24667" s="1">
        <v>1.3988755535359399E-3</v>
      </c>
    </row>
    <row r="24668" spans="1:6" x14ac:dyDescent="0.25">
      <c r="A24668" s="2" t="str">
        <f t="shared" si="862"/>
        <v>29200</v>
      </c>
      <c r="B24668" s="2" t="str">
        <f>"47905"</f>
        <v>47905</v>
      </c>
      <c r="C24668" s="1">
        <v>0.191315641108247</v>
      </c>
      <c r="D24668" s="1">
        <v>0.261138940152913</v>
      </c>
      <c r="E24668" s="1">
        <v>0.23914269599548699</v>
      </c>
      <c r="F24668" s="1">
        <v>0.19830174725793601</v>
      </c>
    </row>
    <row r="24669" spans="1:6" x14ac:dyDescent="0.25">
      <c r="A24669" s="2" t="str">
        <f t="shared" si="862"/>
        <v>29200</v>
      </c>
      <c r="B24669" s="2" t="str">
        <f>"47904"</f>
        <v>47904</v>
      </c>
      <c r="C24669" s="1">
        <v>7.6483972293814401E-2</v>
      </c>
      <c r="D24669" s="1">
        <v>0.1195623517005</v>
      </c>
      <c r="E24669" s="1">
        <v>8.9490505734160494E-2</v>
      </c>
      <c r="F24669" s="1">
        <v>8.0012117648107006E-2</v>
      </c>
    </row>
    <row r="24670" spans="1:6" x14ac:dyDescent="0.25">
      <c r="A24670" s="2" t="str">
        <f t="shared" si="862"/>
        <v>29200</v>
      </c>
      <c r="B24670" s="2" t="str">
        <f>"47967"</f>
        <v>47967</v>
      </c>
      <c r="C24670" s="1">
        <v>1.7115012886597899E-4</v>
      </c>
      <c r="D24670" s="1">
        <v>0</v>
      </c>
      <c r="E24670" s="1">
        <v>0</v>
      </c>
      <c r="F24670" s="1">
        <v>1.5147060133828701E-4</v>
      </c>
    </row>
    <row r="24671" spans="1:6" x14ac:dyDescent="0.25">
      <c r="A24671" s="2" t="str">
        <f t="shared" si="862"/>
        <v>29200</v>
      </c>
      <c r="B24671" s="2" t="str">
        <f>"47993"</f>
        <v>47993</v>
      </c>
      <c r="C24671" s="1">
        <v>1.7759342783505098E-2</v>
      </c>
      <c r="D24671" s="1">
        <v>1.9377801212760299E-2</v>
      </c>
      <c r="E24671" s="1">
        <v>7.52021056589584E-3</v>
      </c>
      <c r="F24671" s="1">
        <v>1.73834790124116E-2</v>
      </c>
    </row>
    <row r="24672" spans="1:6" x14ac:dyDescent="0.25">
      <c r="A24672" s="2" t="str">
        <f t="shared" si="862"/>
        <v>29200</v>
      </c>
      <c r="B24672" s="2" t="str">
        <f>"47981"</f>
        <v>47981</v>
      </c>
      <c r="C24672" s="1">
        <v>3.1713112113402001E-3</v>
      </c>
      <c r="D24672" s="1">
        <v>1.45003954653308E-3</v>
      </c>
      <c r="E24672" s="1">
        <v>1.88005264147396E-4</v>
      </c>
      <c r="F24672" s="1">
        <v>2.9135815669188202E-3</v>
      </c>
    </row>
    <row r="24673" spans="1:6" x14ac:dyDescent="0.25">
      <c r="A24673" s="2" t="str">
        <f t="shared" si="862"/>
        <v>29200</v>
      </c>
      <c r="B24673" s="2" t="str">
        <f>"47930"</f>
        <v>47930</v>
      </c>
      <c r="C24673" s="1">
        <v>2.99009342783505E-3</v>
      </c>
      <c r="D24673" s="1">
        <v>9.2275243870287296E-4</v>
      </c>
      <c r="E24673" s="1">
        <v>2.0680579056213499E-3</v>
      </c>
      <c r="F24673" s="1">
        <v>2.8066611424447298E-3</v>
      </c>
    </row>
    <row r="24674" spans="1:6" x14ac:dyDescent="0.25">
      <c r="A24674" s="2" t="str">
        <f t="shared" si="862"/>
        <v>29200</v>
      </c>
      <c r="B24674" s="2" t="str">
        <f>"47960"</f>
        <v>47960</v>
      </c>
      <c r="C24674" s="1">
        <v>1.5866623711340198E-2</v>
      </c>
      <c r="D24674" s="1">
        <v>1.9773266543632998E-3</v>
      </c>
      <c r="E24674" s="1">
        <v>3.9481105470953104E-3</v>
      </c>
      <c r="F24674" s="1">
        <v>1.43629770210187E-2</v>
      </c>
    </row>
    <row r="24675" spans="1:6" x14ac:dyDescent="0.25">
      <c r="A24675" s="2" t="str">
        <f t="shared" si="862"/>
        <v>29200</v>
      </c>
      <c r="B24675" s="2" t="str">
        <f>"46947"</f>
        <v>46947</v>
      </c>
      <c r="C24675" s="1">
        <v>8.7588595360824702E-4</v>
      </c>
      <c r="D24675" s="1">
        <v>9.2275243870287296E-4</v>
      </c>
      <c r="E24675" s="1">
        <v>3.76010528294792E-4</v>
      </c>
      <c r="F24675" s="1">
        <v>8.5536339579268101E-4</v>
      </c>
    </row>
    <row r="24676" spans="1:6" x14ac:dyDescent="0.25">
      <c r="A24676" s="2" t="str">
        <f t="shared" si="862"/>
        <v>29200</v>
      </c>
      <c r="B24676" s="2" t="str">
        <f>"46923"</f>
        <v>46923</v>
      </c>
      <c r="C24676" s="1">
        <v>3.66663981958762E-2</v>
      </c>
      <c r="D24676" s="1">
        <v>4.1523859741629303E-2</v>
      </c>
      <c r="E24676" s="1">
        <v>1.6544463244970799E-2</v>
      </c>
      <c r="F24676" s="1">
        <v>3.6041093083139498E-2</v>
      </c>
    </row>
    <row r="24677" spans="1:6" x14ac:dyDescent="0.25">
      <c r="A24677" s="2" t="str">
        <f t="shared" ref="A24677:A24695" si="863">"21140"</f>
        <v>21140</v>
      </c>
      <c r="B24677" s="2" t="str">
        <f>"46567"</f>
        <v>46567</v>
      </c>
      <c r="C24677" s="1">
        <v>4.8492837890326103E-3</v>
      </c>
      <c r="D24677" s="1">
        <v>1.0386612810155699E-3</v>
      </c>
      <c r="E24677" s="1">
        <v>5.6179775280898795E-4</v>
      </c>
      <c r="F24677" s="1">
        <v>4.3524787520836297E-3</v>
      </c>
    </row>
    <row r="24678" spans="1:6" x14ac:dyDescent="0.25">
      <c r="A24678" s="2" t="str">
        <f t="shared" si="863"/>
        <v>21140</v>
      </c>
      <c r="B24678" s="2" t="str">
        <f>"46514"</f>
        <v>46514</v>
      </c>
      <c r="C24678" s="1">
        <v>0.21948894198514601</v>
      </c>
      <c r="D24678" s="1">
        <v>0.245585689555683</v>
      </c>
      <c r="E24678" s="1">
        <v>0.22668539325842599</v>
      </c>
      <c r="F24678" s="1">
        <v>0.22207931183503701</v>
      </c>
    </row>
    <row r="24679" spans="1:6" x14ac:dyDescent="0.25">
      <c r="A24679" s="2" t="str">
        <f t="shared" si="863"/>
        <v>21140</v>
      </c>
      <c r="B24679" s="2" t="str">
        <f>"46507"</f>
        <v>46507</v>
      </c>
      <c r="C24679" s="1">
        <v>4.97875495815727E-2</v>
      </c>
      <c r="D24679" s="1">
        <v>2.0196191575302901E-2</v>
      </c>
      <c r="E24679" s="1">
        <v>1.12359550561797E-2</v>
      </c>
      <c r="F24679" s="1">
        <v>4.5737040314448502E-2</v>
      </c>
    </row>
    <row r="24680" spans="1:6" x14ac:dyDescent="0.25">
      <c r="A24680" s="2" t="str">
        <f t="shared" si="863"/>
        <v>21140</v>
      </c>
      <c r="B24680" s="2" t="str">
        <f>"46527"</f>
        <v>46527</v>
      </c>
      <c r="C24680" s="1">
        <v>7.7447299349113104E-3</v>
      </c>
      <c r="D24680" s="1">
        <v>3.7507212925562597E-2</v>
      </c>
      <c r="E24680" s="1">
        <v>5.6179775280898795E-4</v>
      </c>
      <c r="F24680" s="1">
        <v>1.0135204659107199E-2</v>
      </c>
    </row>
    <row r="24681" spans="1:6" x14ac:dyDescent="0.25">
      <c r="A24681" s="2" t="str">
        <f t="shared" si="863"/>
        <v>21140</v>
      </c>
      <c r="B24681" s="2" t="str">
        <f>"46515"</f>
        <v>46515</v>
      </c>
      <c r="C24681" s="1">
        <v>1.9714928025800001E-2</v>
      </c>
      <c r="D24681" s="1">
        <v>6.4396999422965895E-2</v>
      </c>
      <c r="E24681" s="1">
        <v>5.6179775280898795E-4</v>
      </c>
      <c r="F24681" s="1">
        <v>2.2997139505690101E-2</v>
      </c>
    </row>
    <row r="24682" spans="1:6" x14ac:dyDescent="0.25">
      <c r="A24682" s="2" t="str">
        <f t="shared" si="863"/>
        <v>21140</v>
      </c>
      <c r="B24682" s="2" t="str">
        <f>"46526"</f>
        <v>46526</v>
      </c>
      <c r="C24682" s="1">
        <v>0.156177540283188</v>
      </c>
      <c r="D24682" s="1">
        <v>0.141257934218118</v>
      </c>
      <c r="E24682" s="1">
        <v>0.160393258426966</v>
      </c>
      <c r="F24682" s="1">
        <v>0.155001749223139</v>
      </c>
    </row>
    <row r="24683" spans="1:6" x14ac:dyDescent="0.25">
      <c r="A24683" s="2" t="str">
        <f t="shared" si="863"/>
        <v>21140</v>
      </c>
      <c r="B24683" s="2" t="str">
        <f>"46516"</f>
        <v>46516</v>
      </c>
      <c r="C24683" s="1">
        <v>0.16617036051835499</v>
      </c>
      <c r="D24683" s="1">
        <v>0.21373341027120599</v>
      </c>
      <c r="E24683" s="1">
        <v>0.28595505617977501</v>
      </c>
      <c r="F24683" s="1">
        <v>0.17479883933899901</v>
      </c>
    </row>
    <row r="24684" spans="1:6" x14ac:dyDescent="0.25">
      <c r="A24684" s="2" t="str">
        <f t="shared" si="863"/>
        <v>21140</v>
      </c>
      <c r="B24684" s="2" t="str">
        <f>"46565"</f>
        <v>46565</v>
      </c>
      <c r="C24684" s="1">
        <v>5.8850531420298697E-5</v>
      </c>
      <c r="D24684" s="1">
        <v>0</v>
      </c>
      <c r="E24684" s="1">
        <v>0</v>
      </c>
      <c r="F24684" s="1">
        <v>5.1447739386331299E-5</v>
      </c>
    </row>
    <row r="24685" spans="1:6" x14ac:dyDescent="0.25">
      <c r="A24685" s="2" t="str">
        <f t="shared" si="863"/>
        <v>21140</v>
      </c>
      <c r="B24685" s="2" t="str">
        <f>"46528"</f>
        <v>46528</v>
      </c>
      <c r="C24685" s="1">
        <v>0.113758077235437</v>
      </c>
      <c r="D24685" s="1">
        <v>6.3473744950952093E-2</v>
      </c>
      <c r="E24685" s="1">
        <v>7.9775280898876394E-2</v>
      </c>
      <c r="F24685" s="1">
        <v>0.10802996316341799</v>
      </c>
    </row>
    <row r="24686" spans="1:6" x14ac:dyDescent="0.25">
      <c r="A24686" s="2" t="str">
        <f t="shared" si="863"/>
        <v>21140</v>
      </c>
      <c r="B24686" s="2" t="str">
        <f>"46517"</f>
        <v>46517</v>
      </c>
      <c r="C24686" s="1">
        <v>0.110980332152399</v>
      </c>
      <c r="D24686" s="1">
        <v>0.108251586843623</v>
      </c>
      <c r="E24686" s="1">
        <v>0.14943820224719101</v>
      </c>
      <c r="F24686" s="1">
        <v>0.112145782314325</v>
      </c>
    </row>
    <row r="24687" spans="1:6" x14ac:dyDescent="0.25">
      <c r="A24687" s="2" t="str">
        <f t="shared" si="863"/>
        <v>21140</v>
      </c>
      <c r="B24687" s="2" t="str">
        <f>"46573"</f>
        <v>46573</v>
      </c>
      <c r="C24687" s="1">
        <v>1.35356222266687E-2</v>
      </c>
      <c r="D24687" s="1">
        <v>1.48874783612233E-2</v>
      </c>
      <c r="E24687" s="1">
        <v>4.2134831460674104E-3</v>
      </c>
      <c r="F24687" s="1">
        <v>1.33146749531825E-2</v>
      </c>
    </row>
    <row r="24688" spans="1:6" x14ac:dyDescent="0.25">
      <c r="A24688" s="2" t="str">
        <f t="shared" si="863"/>
        <v>21140</v>
      </c>
      <c r="B24688" s="2" t="str">
        <f>"46561"</f>
        <v>46561</v>
      </c>
      <c r="C24688" s="1">
        <v>9.20422311413472E-3</v>
      </c>
      <c r="D24688" s="1">
        <v>9.2325447201384802E-4</v>
      </c>
      <c r="E24688" s="1">
        <v>1.37640449438202E-2</v>
      </c>
      <c r="F24688" s="1">
        <v>8.6329306690264007E-3</v>
      </c>
    </row>
    <row r="24689" spans="1:6" x14ac:dyDescent="0.25">
      <c r="A24689" s="2" t="str">
        <f t="shared" si="863"/>
        <v>21140</v>
      </c>
      <c r="B24689" s="2" t="str">
        <f>"46550"</f>
        <v>46550</v>
      </c>
      <c r="C24689" s="1">
        <v>4.5962265039253297E-2</v>
      </c>
      <c r="D24689" s="1">
        <v>4.2931332948643902E-2</v>
      </c>
      <c r="E24689" s="1">
        <v>3.5393258426966202E-2</v>
      </c>
      <c r="F24689" s="1">
        <v>4.5304879303603302E-2</v>
      </c>
    </row>
    <row r="24690" spans="1:6" x14ac:dyDescent="0.25">
      <c r="A24690" s="2" t="str">
        <f t="shared" si="863"/>
        <v>21140</v>
      </c>
      <c r="B24690" s="2" t="str">
        <f>"46543"</f>
        <v>46543</v>
      </c>
      <c r="C24690" s="1">
        <v>8.3332352491142896E-3</v>
      </c>
      <c r="D24690" s="1">
        <v>2.1927293710328902E-3</v>
      </c>
      <c r="E24690" s="1">
        <v>4.2134831460674104E-3</v>
      </c>
      <c r="F24690" s="1">
        <v>7.6348445249315696E-3</v>
      </c>
    </row>
    <row r="24691" spans="1:6" x14ac:dyDescent="0.25">
      <c r="A24691" s="2" t="str">
        <f t="shared" si="863"/>
        <v>21140</v>
      </c>
      <c r="B24691" s="2" t="str">
        <f>"46540"</f>
        <v>46540</v>
      </c>
      <c r="C24691" s="1">
        <v>4.6680241522580899E-2</v>
      </c>
      <c r="D24691" s="1">
        <v>3.3237160992498502E-2</v>
      </c>
      <c r="E24691" s="1">
        <v>2.4438202247190999E-2</v>
      </c>
      <c r="F24691" s="1">
        <v>4.4666927335212797E-2</v>
      </c>
    </row>
    <row r="24692" spans="1:6" x14ac:dyDescent="0.25">
      <c r="A24692" s="2" t="str">
        <f t="shared" si="863"/>
        <v>21140</v>
      </c>
      <c r="B24692" s="2" t="str">
        <f>"46767"</f>
        <v>46767</v>
      </c>
      <c r="C24692" s="1">
        <v>6.47355845623285E-4</v>
      </c>
      <c r="D24692" s="1">
        <v>2.30813618003462E-4</v>
      </c>
      <c r="E24692" s="1">
        <v>0</v>
      </c>
      <c r="F24692" s="1">
        <v>5.8650422900417701E-4</v>
      </c>
    </row>
    <row r="24693" spans="1:6" x14ac:dyDescent="0.25">
      <c r="A24693" s="2" t="str">
        <f t="shared" si="863"/>
        <v>21140</v>
      </c>
      <c r="B24693" s="2" t="str">
        <f>"46542"</f>
        <v>46542</v>
      </c>
      <c r="C24693" s="1">
        <v>1.4712632855074599E-3</v>
      </c>
      <c r="D24693" s="1">
        <v>1.15406809001731E-4</v>
      </c>
      <c r="E24693" s="1">
        <v>2.8089887640449397E-4</v>
      </c>
      <c r="F24693" s="1">
        <v>1.3067725804128099E-3</v>
      </c>
    </row>
    <row r="24694" spans="1:6" x14ac:dyDescent="0.25">
      <c r="A24694" s="2" t="str">
        <f t="shared" si="863"/>
        <v>21140</v>
      </c>
      <c r="B24694" s="2" t="str">
        <f>"46553"</f>
        <v>46553</v>
      </c>
      <c r="C24694" s="1">
        <v>1.6066195077741499E-2</v>
      </c>
      <c r="D24694" s="1">
        <v>9.5787651471436804E-3</v>
      </c>
      <c r="E24694" s="1">
        <v>2.5280898876404402E-3</v>
      </c>
      <c r="F24694" s="1">
        <v>1.49918712571769E-2</v>
      </c>
    </row>
    <row r="24695" spans="1:6" x14ac:dyDescent="0.25">
      <c r="A24695" s="2" t="str">
        <f t="shared" si="863"/>
        <v>21140</v>
      </c>
      <c r="B24695" s="2" t="str">
        <f>"46530"</f>
        <v>46530</v>
      </c>
      <c r="C24695" s="1">
        <v>9.3690046021115501E-3</v>
      </c>
      <c r="D24695" s="1">
        <v>4.6162723600692401E-4</v>
      </c>
      <c r="E24695" s="1">
        <v>0</v>
      </c>
      <c r="F24695" s="1">
        <v>8.2316383018130098E-3</v>
      </c>
    </row>
    <row r="24696" spans="1:6" x14ac:dyDescent="0.25">
      <c r="A24696" s="2" t="str">
        <f t="shared" ref="A24696:A24741" si="864">"43780"</f>
        <v>43780</v>
      </c>
      <c r="B24696" s="2" t="str">
        <f>"49045"</f>
        <v>49045</v>
      </c>
      <c r="C24696" s="1">
        <v>1.7037209784411199E-3</v>
      </c>
      <c r="D24696" s="1">
        <v>6.8991950939057095E-4</v>
      </c>
      <c r="E24696" s="1">
        <v>0</v>
      </c>
      <c r="F24696" s="1">
        <v>1.56890793625157E-3</v>
      </c>
    </row>
    <row r="24697" spans="1:6" x14ac:dyDescent="0.25">
      <c r="A24697" s="2" t="str">
        <f t="shared" si="864"/>
        <v>43780</v>
      </c>
      <c r="B24697" s="2" t="str">
        <f>"49095"</f>
        <v>49095</v>
      </c>
      <c r="C24697" s="1">
        <v>8.9979788557213898E-3</v>
      </c>
      <c r="D24697" s="1">
        <v>1.1498658489842799E-3</v>
      </c>
      <c r="E24697" s="1">
        <v>5.0369375419744705E-4</v>
      </c>
      <c r="F24697" s="1">
        <v>8.1156377437719505E-3</v>
      </c>
    </row>
    <row r="24698" spans="1:6" x14ac:dyDescent="0.25">
      <c r="A24698" s="2" t="str">
        <f t="shared" si="864"/>
        <v>43780</v>
      </c>
      <c r="B24698" s="2" t="str">
        <f>"46628"</f>
        <v>46628</v>
      </c>
      <c r="C24698" s="1">
        <v>8.1875777363183994E-2</v>
      </c>
      <c r="D24698" s="1">
        <v>7.6887696435415806E-2</v>
      </c>
      <c r="E24698" s="1">
        <v>4.2478173270651398E-2</v>
      </c>
      <c r="F24698" s="1">
        <v>8.0146969758145906E-2</v>
      </c>
    </row>
    <row r="24699" spans="1:6" x14ac:dyDescent="0.25">
      <c r="A24699" s="2" t="str">
        <f t="shared" si="864"/>
        <v>43780</v>
      </c>
      <c r="B24699" s="2" t="str">
        <f>"46554"</f>
        <v>46554</v>
      </c>
      <c r="C24699" s="1">
        <v>1.09089966832504E-2</v>
      </c>
      <c r="D24699" s="1">
        <v>5.4426983518589397E-3</v>
      </c>
      <c r="E24699" s="1">
        <v>3.1900604432504999E-3</v>
      </c>
      <c r="F24699" s="1">
        <v>1.0232509848934901E-2</v>
      </c>
    </row>
    <row r="24700" spans="1:6" x14ac:dyDescent="0.25">
      <c r="A24700" s="2" t="str">
        <f t="shared" si="864"/>
        <v>43780</v>
      </c>
      <c r="B24700" s="2" t="str">
        <f>"46544"</f>
        <v>46544</v>
      </c>
      <c r="C24700" s="1">
        <v>9.7306436567164104E-2</v>
      </c>
      <c r="D24700" s="1">
        <v>7.0525105404369404E-2</v>
      </c>
      <c r="E24700" s="1">
        <v>0.16067830758898499</v>
      </c>
      <c r="F24700" s="1">
        <v>9.7468405539629294E-2</v>
      </c>
    </row>
    <row r="24701" spans="1:6" x14ac:dyDescent="0.25">
      <c r="A24701" s="2" t="str">
        <f t="shared" si="864"/>
        <v>43780</v>
      </c>
      <c r="B24701" s="2" t="str">
        <f>"46545"</f>
        <v>46545</v>
      </c>
      <c r="C24701" s="1">
        <v>8.6727819237147494E-2</v>
      </c>
      <c r="D24701" s="1">
        <v>0.13721732464545799</v>
      </c>
      <c r="E24701" s="1">
        <v>0.24865681665547301</v>
      </c>
      <c r="F24701" s="1">
        <v>9.6089843051525903E-2</v>
      </c>
    </row>
    <row r="24702" spans="1:6" x14ac:dyDescent="0.25">
      <c r="A24702" s="2" t="str">
        <f t="shared" si="864"/>
        <v>43780</v>
      </c>
      <c r="B24702" s="2" t="str">
        <f>"49031"</f>
        <v>49031</v>
      </c>
      <c r="C24702" s="1">
        <v>2.8412624378109399E-2</v>
      </c>
      <c r="D24702" s="1">
        <v>1.9241088539670301E-2</v>
      </c>
      <c r="E24702" s="1">
        <v>1.29281396910678E-2</v>
      </c>
      <c r="F24702" s="1">
        <v>2.7190558865771802E-2</v>
      </c>
    </row>
    <row r="24703" spans="1:6" x14ac:dyDescent="0.25">
      <c r="A24703" s="2" t="str">
        <f t="shared" si="864"/>
        <v>43780</v>
      </c>
      <c r="B24703" s="2" t="str">
        <f>"49112"</f>
        <v>49112</v>
      </c>
      <c r="C24703" s="1">
        <v>3.44695791873963E-2</v>
      </c>
      <c r="D24703" s="1">
        <v>2.5297048677654199E-2</v>
      </c>
      <c r="E24703" s="1">
        <v>1.9308260577568799E-2</v>
      </c>
      <c r="F24703" s="1">
        <v>3.3258541030980103E-2</v>
      </c>
    </row>
    <row r="24704" spans="1:6" x14ac:dyDescent="0.25">
      <c r="A24704" s="2" t="str">
        <f t="shared" si="864"/>
        <v>43780</v>
      </c>
      <c r="B24704" s="2" t="str">
        <f>"46635"</f>
        <v>46635</v>
      </c>
      <c r="C24704" s="1">
        <v>1.7568407960199001E-2</v>
      </c>
      <c r="D24704" s="1">
        <v>1.96243771559984E-2</v>
      </c>
      <c r="E24704" s="1">
        <v>6.5480188045668204E-3</v>
      </c>
      <c r="F24704" s="1">
        <v>1.7344507957016499E-2</v>
      </c>
    </row>
    <row r="24705" spans="1:6" x14ac:dyDescent="0.25">
      <c r="A24705" s="2" t="str">
        <f t="shared" si="864"/>
        <v>43780</v>
      </c>
      <c r="B24705" s="2" t="str">
        <f>"46617"</f>
        <v>46617</v>
      </c>
      <c r="C24705" s="1">
        <v>3.3744040215588703E-2</v>
      </c>
      <c r="D24705" s="1">
        <v>3.6182445381372101E-2</v>
      </c>
      <c r="E24705" s="1">
        <v>3.8280725319005997E-2</v>
      </c>
      <c r="F24705" s="1">
        <v>3.4083371306288801E-2</v>
      </c>
    </row>
    <row r="24706" spans="1:6" x14ac:dyDescent="0.25">
      <c r="A24706" s="2" t="str">
        <f t="shared" si="864"/>
        <v>43780</v>
      </c>
      <c r="B24706" s="2" t="str">
        <f>"46616"</f>
        <v>46616</v>
      </c>
      <c r="C24706" s="1">
        <v>2.0049492122719701E-2</v>
      </c>
      <c r="D24706" s="1">
        <v>7.9724032196243702E-3</v>
      </c>
      <c r="E24706" s="1">
        <v>3.12290127602417E-2</v>
      </c>
      <c r="F24706" s="1">
        <v>1.9524828544895501E-2</v>
      </c>
    </row>
    <row r="24707" spans="1:6" x14ac:dyDescent="0.25">
      <c r="A24707" s="2" t="str">
        <f t="shared" si="864"/>
        <v>43780</v>
      </c>
      <c r="B24707" s="2" t="str">
        <f>"46615"</f>
        <v>46615</v>
      </c>
      <c r="C24707" s="1">
        <v>4.64604063018242E-2</v>
      </c>
      <c r="D24707" s="1">
        <v>3.1276351092372499E-2</v>
      </c>
      <c r="E24707" s="1">
        <v>6.6991269308260507E-2</v>
      </c>
      <c r="F24707" s="1">
        <v>4.6023222144673998E-2</v>
      </c>
    </row>
    <row r="24708" spans="1:6" x14ac:dyDescent="0.25">
      <c r="A24708" s="2" t="str">
        <f t="shared" si="864"/>
        <v>43780</v>
      </c>
      <c r="B24708" s="2" t="str">
        <f>"46601"</f>
        <v>46601</v>
      </c>
      <c r="C24708" s="1">
        <v>2.1293273217247E-2</v>
      </c>
      <c r="D24708" s="1">
        <v>0.102338060559601</v>
      </c>
      <c r="E24708" s="1">
        <v>5.9771658831430402E-2</v>
      </c>
      <c r="F24708" s="1">
        <v>2.8713322450957202E-2</v>
      </c>
    </row>
    <row r="24709" spans="1:6" x14ac:dyDescent="0.25">
      <c r="A24709" s="2" t="str">
        <f t="shared" si="864"/>
        <v>43780</v>
      </c>
      <c r="B24709" s="2" t="str">
        <f>"46561"</f>
        <v>46561</v>
      </c>
      <c r="C24709" s="1">
        <v>3.2331830431177398E-2</v>
      </c>
      <c r="D24709" s="1">
        <v>2.6140283633576001E-2</v>
      </c>
      <c r="E24709" s="1">
        <v>3.0221625251846801E-3</v>
      </c>
      <c r="F24709" s="1">
        <v>3.08590347755365E-2</v>
      </c>
    </row>
    <row r="24710" spans="1:6" x14ac:dyDescent="0.25">
      <c r="A24710" s="2" t="str">
        <f t="shared" si="864"/>
        <v>43780</v>
      </c>
      <c r="B24710" s="2" t="str">
        <f>"49042"</f>
        <v>49042</v>
      </c>
      <c r="C24710" s="1">
        <v>2.7207711442786E-4</v>
      </c>
      <c r="D24710" s="1">
        <v>7.6657723265618994E-5</v>
      </c>
      <c r="E24710" s="1">
        <v>0</v>
      </c>
      <c r="F24710" s="1">
        <v>2.4802588698094802E-4</v>
      </c>
    </row>
    <row r="24711" spans="1:6" x14ac:dyDescent="0.25">
      <c r="A24711" s="2" t="str">
        <f t="shared" si="864"/>
        <v>43780</v>
      </c>
      <c r="B24711" s="2" t="str">
        <f>"46680"</f>
        <v>46680</v>
      </c>
      <c r="C24711" s="1">
        <v>2.4810841625207201E-3</v>
      </c>
      <c r="D24711" s="1">
        <v>1.42583365274051E-2</v>
      </c>
      <c r="E24711" s="1">
        <v>3.3579583613163101E-4</v>
      </c>
      <c r="F24711" s="1">
        <v>3.2935530573516602E-3</v>
      </c>
    </row>
    <row r="24712" spans="1:6" x14ac:dyDescent="0.25">
      <c r="A24712" s="2" t="str">
        <f t="shared" si="864"/>
        <v>43780</v>
      </c>
      <c r="B24712" s="2" t="str">
        <f>"46624"</f>
        <v>46624</v>
      </c>
      <c r="C24712" s="1">
        <v>4.7030472636815897E-3</v>
      </c>
      <c r="D24712" s="1">
        <v>2.5680337293982301E-2</v>
      </c>
      <c r="E24712" s="1">
        <v>3.3579583613163101E-4</v>
      </c>
      <c r="F24712" s="1">
        <v>6.1314306479243602E-3</v>
      </c>
    </row>
    <row r="24713" spans="1:6" x14ac:dyDescent="0.25">
      <c r="A24713" s="2" t="str">
        <f t="shared" si="864"/>
        <v>43780</v>
      </c>
      <c r="B24713" s="2" t="str">
        <f>"46619"</f>
        <v>46619</v>
      </c>
      <c r="C24713" s="1">
        <v>5.9189728441127597E-2</v>
      </c>
      <c r="D24713" s="1">
        <v>5.8949789191261003E-2</v>
      </c>
      <c r="E24713" s="1">
        <v>3.4586971121558001E-2</v>
      </c>
      <c r="F24713" s="1">
        <v>5.83264597477057E-2</v>
      </c>
    </row>
    <row r="24714" spans="1:6" x14ac:dyDescent="0.25">
      <c r="A24714" s="2" t="str">
        <f t="shared" si="864"/>
        <v>43780</v>
      </c>
      <c r="B24714" s="2" t="str">
        <f>"46595"</f>
        <v>46595</v>
      </c>
      <c r="C24714" s="1">
        <v>0</v>
      </c>
      <c r="D24714" s="1">
        <v>0</v>
      </c>
      <c r="E24714" s="1">
        <v>1.6789791806581499E-4</v>
      </c>
      <c r="F24714" s="1">
        <v>5.7680438832778604E-6</v>
      </c>
    </row>
    <row r="24715" spans="1:6" x14ac:dyDescent="0.25">
      <c r="A24715" s="2" t="str">
        <f t="shared" si="864"/>
        <v>43780</v>
      </c>
      <c r="B24715" s="2" t="str">
        <f>"46614"</f>
        <v>46614</v>
      </c>
      <c r="C24715" s="1">
        <v>9.2577477197346603E-2</v>
      </c>
      <c r="D24715" s="1">
        <v>4.3618244538137202E-2</v>
      </c>
      <c r="E24715" s="1">
        <v>4.9026192075218203E-2</v>
      </c>
      <c r="F24715" s="1">
        <v>8.7397400919426105E-2</v>
      </c>
    </row>
    <row r="24716" spans="1:6" x14ac:dyDescent="0.25">
      <c r="A24716" s="2" t="str">
        <f t="shared" si="864"/>
        <v>43780</v>
      </c>
      <c r="B24716" s="2" t="str">
        <f>"46546"</f>
        <v>46546</v>
      </c>
      <c r="C24716" s="1">
        <v>6.1670812603648404E-3</v>
      </c>
      <c r="D24716" s="1">
        <v>3.1889612878497502E-2</v>
      </c>
      <c r="E24716" s="1">
        <v>3.3579583613163101E-4</v>
      </c>
      <c r="F24716" s="1">
        <v>7.9022201200906698E-3</v>
      </c>
    </row>
    <row r="24717" spans="1:6" x14ac:dyDescent="0.25">
      <c r="A24717" s="2" t="str">
        <f t="shared" si="864"/>
        <v>43780</v>
      </c>
      <c r="B24717" s="2" t="str">
        <f>"46550"</f>
        <v>46550</v>
      </c>
      <c r="C24717" s="1">
        <v>2.5264303482586998E-4</v>
      </c>
      <c r="D24717" s="1">
        <v>1.5331544653123799E-4</v>
      </c>
      <c r="E24717" s="1">
        <v>0</v>
      </c>
      <c r="F24717" s="1">
        <v>2.3648979921439201E-4</v>
      </c>
    </row>
    <row r="24718" spans="1:6" x14ac:dyDescent="0.25">
      <c r="A24718" s="2" t="str">
        <f t="shared" si="864"/>
        <v>43780</v>
      </c>
      <c r="B24718" s="2" t="str">
        <f>"46556"</f>
        <v>46556</v>
      </c>
      <c r="C24718" s="1">
        <v>3.8868159203980001E-3</v>
      </c>
      <c r="D24718" s="1">
        <v>1.11153698735147E-2</v>
      </c>
      <c r="E24718" s="1">
        <v>2.1323035594358601E-2</v>
      </c>
      <c r="F24718" s="1">
        <v>5.0297342662182897E-3</v>
      </c>
    </row>
    <row r="24719" spans="1:6" x14ac:dyDescent="0.25">
      <c r="A24719" s="2" t="str">
        <f t="shared" si="864"/>
        <v>43780</v>
      </c>
      <c r="B24719" s="2" t="str">
        <f>"46530"</f>
        <v>46530</v>
      </c>
      <c r="C24719" s="1">
        <v>7.7490153399668305E-2</v>
      </c>
      <c r="D24719" s="1">
        <v>7.6734380988884604E-2</v>
      </c>
      <c r="E24719" s="1">
        <v>5.4231027535258498E-2</v>
      </c>
      <c r="F24719" s="1">
        <v>7.6634231033229694E-2</v>
      </c>
    </row>
    <row r="24720" spans="1:6" x14ac:dyDescent="0.25">
      <c r="A24720" s="2" t="str">
        <f t="shared" si="864"/>
        <v>43780</v>
      </c>
      <c r="B24720" s="2" t="str">
        <f>"49120"</f>
        <v>49120</v>
      </c>
      <c r="C24720" s="1">
        <v>2.7674129353233799E-2</v>
      </c>
      <c r="D24720" s="1">
        <v>7.5891146032962802E-3</v>
      </c>
      <c r="E24720" s="1">
        <v>4.3653458697112098E-3</v>
      </c>
      <c r="F24720" s="1">
        <v>2.53620889547727E-2</v>
      </c>
    </row>
    <row r="24721" spans="1:6" x14ac:dyDescent="0.25">
      <c r="A24721" s="2" t="str">
        <f t="shared" si="864"/>
        <v>43780</v>
      </c>
      <c r="B24721" s="2" t="str">
        <f>"49065"</f>
        <v>49065</v>
      </c>
      <c r="C24721" s="1">
        <v>6.47802653399668E-6</v>
      </c>
      <c r="D24721" s="1">
        <v>0</v>
      </c>
      <c r="E24721" s="1">
        <v>0</v>
      </c>
      <c r="F24721" s="1">
        <v>5.7680438832778604E-6</v>
      </c>
    </row>
    <row r="24722" spans="1:6" x14ac:dyDescent="0.25">
      <c r="A24722" s="2" t="str">
        <f t="shared" si="864"/>
        <v>43780</v>
      </c>
      <c r="B24722" s="2" t="str">
        <f>"49061"</f>
        <v>49061</v>
      </c>
      <c r="C24722" s="1">
        <v>5.37676202321724E-3</v>
      </c>
      <c r="D24722" s="1">
        <v>1.0732081257186601E-3</v>
      </c>
      <c r="E24722" s="1">
        <v>3.3579583613163101E-4</v>
      </c>
      <c r="F24722" s="1">
        <v>4.8797651252530704E-3</v>
      </c>
    </row>
    <row r="24723" spans="1:6" x14ac:dyDescent="0.25">
      <c r="A24723" s="2" t="str">
        <f t="shared" si="864"/>
        <v>43780</v>
      </c>
      <c r="B24723" s="2" t="str">
        <f>"46660"</f>
        <v>46660</v>
      </c>
      <c r="C24723" s="1">
        <v>4.05524461028192E-3</v>
      </c>
      <c r="D24723" s="1">
        <v>1.89344576466078E-2</v>
      </c>
      <c r="E24723" s="1">
        <v>3.3579583613163101E-4</v>
      </c>
      <c r="F24723" s="1">
        <v>5.0470383978681302E-3</v>
      </c>
    </row>
    <row r="24724" spans="1:6" x14ac:dyDescent="0.25">
      <c r="A24724" s="2" t="str">
        <f t="shared" si="864"/>
        <v>43780</v>
      </c>
      <c r="B24724" s="2" t="str">
        <f>"46536"</f>
        <v>46536</v>
      </c>
      <c r="C24724" s="1">
        <v>8.5769071310116008E-3</v>
      </c>
      <c r="D24724" s="1">
        <v>2.2997316979685698E-3</v>
      </c>
      <c r="E24724" s="1">
        <v>1.44392209536601E-2</v>
      </c>
      <c r="F24724" s="1">
        <v>8.3059831919201198E-3</v>
      </c>
    </row>
    <row r="24725" spans="1:6" x14ac:dyDescent="0.25">
      <c r="A24725" s="2" t="str">
        <f t="shared" si="864"/>
        <v>43780</v>
      </c>
      <c r="B24725" s="2" t="str">
        <f>"49130"</f>
        <v>49130</v>
      </c>
      <c r="C24725" s="1">
        <v>8.7971600331674896E-3</v>
      </c>
      <c r="D24725" s="1">
        <v>6.0559601379839003E-3</v>
      </c>
      <c r="E24725" s="1">
        <v>1.67897918065815E-3</v>
      </c>
      <c r="F24725" s="1">
        <v>8.3463594991030603E-3</v>
      </c>
    </row>
    <row r="24726" spans="1:6" x14ac:dyDescent="0.25">
      <c r="A24726" s="2" t="str">
        <f t="shared" si="864"/>
        <v>43780</v>
      </c>
      <c r="B24726" s="2" t="str">
        <f>"49093"</f>
        <v>49093</v>
      </c>
      <c r="C24726" s="1">
        <v>1.8591936152570401E-3</v>
      </c>
      <c r="D24726" s="1">
        <v>9.1989267918742804E-4</v>
      </c>
      <c r="E24726" s="1">
        <v>3.3579583613163101E-4</v>
      </c>
      <c r="F24726" s="1">
        <v>1.73618120886663E-3</v>
      </c>
    </row>
    <row r="24727" spans="1:6" x14ac:dyDescent="0.25">
      <c r="A24727" s="2" t="str">
        <f t="shared" si="864"/>
        <v>43780</v>
      </c>
      <c r="B24727" s="2" t="str">
        <f>"46573"</f>
        <v>46573</v>
      </c>
      <c r="C24727" s="1">
        <v>1.43164386401326E-3</v>
      </c>
      <c r="D24727" s="1">
        <v>3.8328861632809503E-4</v>
      </c>
      <c r="E24727" s="1">
        <v>0</v>
      </c>
      <c r="F24727" s="1">
        <v>1.3035779176207901E-3</v>
      </c>
    </row>
    <row r="24728" spans="1:6" x14ac:dyDescent="0.25">
      <c r="A24728" s="2" t="str">
        <f t="shared" si="864"/>
        <v>43780</v>
      </c>
      <c r="B24728" s="2" t="str">
        <f>"46552"</f>
        <v>46552</v>
      </c>
      <c r="C24728" s="1">
        <v>9.0627591210613503E-3</v>
      </c>
      <c r="D24728" s="1">
        <v>4.2161747796090401E-3</v>
      </c>
      <c r="E24728" s="1">
        <v>1.5110812625923401E-3</v>
      </c>
      <c r="F24728" s="1">
        <v>8.4386482012355091E-3</v>
      </c>
    </row>
    <row r="24729" spans="1:6" x14ac:dyDescent="0.25">
      <c r="A24729" s="2" t="str">
        <f t="shared" si="864"/>
        <v>43780</v>
      </c>
      <c r="B24729" s="2" t="str">
        <f>"49111"</f>
        <v>49111</v>
      </c>
      <c r="C24729" s="1">
        <v>1.50290215588723E-3</v>
      </c>
      <c r="D24729" s="1">
        <v>1.5331544653123799E-4</v>
      </c>
      <c r="E24729" s="1">
        <v>6.7159167226326299E-4</v>
      </c>
      <c r="F24729" s="1">
        <v>1.37279444422013E-3</v>
      </c>
    </row>
    <row r="24730" spans="1:6" x14ac:dyDescent="0.25">
      <c r="A24730" s="2" t="str">
        <f t="shared" si="864"/>
        <v>43780</v>
      </c>
      <c r="B24730" s="2" t="str">
        <f>"49102"</f>
        <v>49102</v>
      </c>
      <c r="C24730" s="1">
        <v>5.8302238805970101E-5</v>
      </c>
      <c r="D24730" s="1">
        <v>7.6657723265618994E-5</v>
      </c>
      <c r="E24730" s="1">
        <v>0</v>
      </c>
      <c r="F24730" s="1">
        <v>5.7680438832778597E-5</v>
      </c>
    </row>
    <row r="24731" spans="1:6" x14ac:dyDescent="0.25">
      <c r="A24731" s="2" t="str">
        <f t="shared" si="864"/>
        <v>43780</v>
      </c>
      <c r="B24731" s="2" t="str">
        <f>"49047"</f>
        <v>49047</v>
      </c>
      <c r="C24731" s="1">
        <v>4.4465174129353198E-2</v>
      </c>
      <c r="D24731" s="1">
        <v>3.0893062476044401E-2</v>
      </c>
      <c r="E24731" s="1">
        <v>3.20685023505708E-2</v>
      </c>
      <c r="F24731" s="1">
        <v>4.3018071281486298E-2</v>
      </c>
    </row>
    <row r="24732" spans="1:6" x14ac:dyDescent="0.25">
      <c r="A24732" s="2" t="str">
        <f t="shared" si="864"/>
        <v>43780</v>
      </c>
      <c r="B24732" s="2" t="str">
        <f>"46634"</f>
        <v>46634</v>
      </c>
      <c r="C24732" s="1">
        <v>5.9209162520729598E-3</v>
      </c>
      <c r="D24732" s="1">
        <v>2.3610578765810599E-2</v>
      </c>
      <c r="E24732" s="1">
        <v>3.3579583613163101E-4</v>
      </c>
      <c r="F24732" s="1">
        <v>7.0600857131321E-3</v>
      </c>
    </row>
    <row r="24733" spans="1:6" x14ac:dyDescent="0.25">
      <c r="A24733" s="2" t="str">
        <f t="shared" si="864"/>
        <v>43780</v>
      </c>
      <c r="B24733" s="2" t="str">
        <f>"46613"</f>
        <v>46613</v>
      </c>
      <c r="C24733" s="1">
        <v>3.3361836650082903E-2</v>
      </c>
      <c r="D24733" s="1">
        <v>3.0049827520122599E-2</v>
      </c>
      <c r="E24733" s="1">
        <v>1.4942914707857601E-2</v>
      </c>
      <c r="F24733" s="1">
        <v>3.24798551067376E-2</v>
      </c>
    </row>
    <row r="24734" spans="1:6" x14ac:dyDescent="0.25">
      <c r="A24734" s="2" t="str">
        <f t="shared" si="864"/>
        <v>43780</v>
      </c>
      <c r="B24734" s="2" t="str">
        <f>"46574"</f>
        <v>46574</v>
      </c>
      <c r="C24734" s="1">
        <v>8.0910551409618496E-3</v>
      </c>
      <c r="D24734" s="1">
        <v>1.12686853200459E-2</v>
      </c>
      <c r="E24734" s="1">
        <v>5.7085292142377399E-3</v>
      </c>
      <c r="F24734" s="1">
        <v>8.2483027530873398E-3</v>
      </c>
    </row>
    <row r="24735" spans="1:6" x14ac:dyDescent="0.25">
      <c r="A24735" s="2" t="str">
        <f t="shared" si="864"/>
        <v>43780</v>
      </c>
      <c r="B24735" s="2" t="str">
        <f>"46506"</f>
        <v>46506</v>
      </c>
      <c r="C24735" s="1">
        <v>2.9215899668325E-3</v>
      </c>
      <c r="D24735" s="1">
        <v>5.3660406285933296E-4</v>
      </c>
      <c r="E24735" s="1">
        <v>0</v>
      </c>
      <c r="F24735" s="1">
        <v>2.6417640985412598E-3</v>
      </c>
    </row>
    <row r="24736" spans="1:6" x14ac:dyDescent="0.25">
      <c r="A24736" s="2" t="str">
        <f t="shared" si="864"/>
        <v>43780</v>
      </c>
      <c r="B24736" s="2" t="str">
        <f>"49099"</f>
        <v>49099</v>
      </c>
      <c r="C24736" s="1">
        <v>2.5523424543946898E-3</v>
      </c>
      <c r="D24736" s="1">
        <v>8.4323495592180905E-4</v>
      </c>
      <c r="E24736" s="1">
        <v>6.7159167226326299E-4</v>
      </c>
      <c r="F24736" s="1">
        <v>2.3591299482606399E-3</v>
      </c>
    </row>
    <row r="24737" spans="1:6" x14ac:dyDescent="0.25">
      <c r="A24737" s="2" t="str">
        <f t="shared" si="864"/>
        <v>43780</v>
      </c>
      <c r="B24737" s="2" t="str">
        <f>"49067"</f>
        <v>49067</v>
      </c>
      <c r="C24737" s="1">
        <v>1.0844216417910399E-2</v>
      </c>
      <c r="D24737" s="1">
        <v>2.6063625910310402E-3</v>
      </c>
      <c r="E24737" s="1">
        <v>3.1900604432504999E-3</v>
      </c>
      <c r="F24737" s="1">
        <v>9.9614117864208693E-3</v>
      </c>
    </row>
    <row r="24738" spans="1:6" x14ac:dyDescent="0.25">
      <c r="A24738" s="2" t="str">
        <f t="shared" si="864"/>
        <v>43780</v>
      </c>
      <c r="B24738" s="2" t="str">
        <f>"46637"</f>
        <v>46637</v>
      </c>
      <c r="C24738" s="1">
        <v>5.4512593283582003E-2</v>
      </c>
      <c r="D24738" s="1">
        <v>3.5952472211575298E-2</v>
      </c>
      <c r="E24738" s="1">
        <v>6.54801880456682E-2</v>
      </c>
      <c r="F24738" s="1">
        <v>5.3492838973518898E-2</v>
      </c>
    </row>
    <row r="24739" spans="1:6" x14ac:dyDescent="0.25">
      <c r="A24739" s="2" t="str">
        <f t="shared" si="864"/>
        <v>43780</v>
      </c>
      <c r="B24739" s="2" t="str">
        <f>"46626"</f>
        <v>46626</v>
      </c>
      <c r="C24739" s="1">
        <v>0</v>
      </c>
      <c r="D24739" s="1">
        <v>7.6657723265618994E-5</v>
      </c>
      <c r="E24739" s="1">
        <v>0</v>
      </c>
      <c r="F24739" s="1">
        <v>5.7680438832778604E-6</v>
      </c>
    </row>
    <row r="24740" spans="1:6" x14ac:dyDescent="0.25">
      <c r="A24740" s="2" t="str">
        <f t="shared" si="864"/>
        <v>43780</v>
      </c>
      <c r="B24740" s="2" t="str">
        <f>"46563"</f>
        <v>46563</v>
      </c>
      <c r="C24740" s="1">
        <v>3.8868159203979997E-5</v>
      </c>
      <c r="D24740" s="1">
        <v>0</v>
      </c>
      <c r="E24740" s="1">
        <v>0</v>
      </c>
      <c r="F24740" s="1">
        <v>3.4608263299667101E-5</v>
      </c>
    </row>
    <row r="24741" spans="1:6" x14ac:dyDescent="0.25">
      <c r="A24741" s="2" t="str">
        <f t="shared" si="864"/>
        <v>43780</v>
      </c>
      <c r="B24741" s="2" t="str">
        <f>"46517"</f>
        <v>46517</v>
      </c>
      <c r="C24741" s="1">
        <v>1.9434079601989999E-5</v>
      </c>
      <c r="D24741" s="1">
        <v>0</v>
      </c>
      <c r="E24741" s="1">
        <v>0</v>
      </c>
      <c r="F24741" s="1">
        <v>1.73041316498335E-5</v>
      </c>
    </row>
    <row r="24742" spans="1:6" x14ac:dyDescent="0.25">
      <c r="A24742" s="2" t="str">
        <f t="shared" ref="A24742:A24759" si="865">"47340"</f>
        <v>47340</v>
      </c>
      <c r="B24742" s="2" t="str">
        <f>"46970"</f>
        <v>46970</v>
      </c>
      <c r="C24742" s="1">
        <v>9.2032605837496703E-4</v>
      </c>
      <c r="D24742" s="1">
        <v>0</v>
      </c>
      <c r="E24742" s="1">
        <v>0</v>
      </c>
      <c r="F24742" s="1">
        <v>8.1272495065598505E-4</v>
      </c>
    </row>
    <row r="24743" spans="1:6" x14ac:dyDescent="0.25">
      <c r="A24743" s="2" t="str">
        <f t="shared" si="865"/>
        <v>47340</v>
      </c>
      <c r="B24743" s="2" t="str">
        <f>"46702"</f>
        <v>46702</v>
      </c>
      <c r="C24743" s="1">
        <v>3.7470418090980802E-3</v>
      </c>
      <c r="D24743" s="1">
        <v>0</v>
      </c>
      <c r="E24743" s="1">
        <v>3.7174721189590998E-3</v>
      </c>
      <c r="F24743" s="1">
        <v>3.42505514919308E-3</v>
      </c>
    </row>
    <row r="24744" spans="1:6" x14ac:dyDescent="0.25">
      <c r="A24744" s="2" t="str">
        <f t="shared" si="865"/>
        <v>47340</v>
      </c>
      <c r="B24744" s="2" t="str">
        <f>"46984"</f>
        <v>46984</v>
      </c>
      <c r="C24744" s="1">
        <v>0</v>
      </c>
      <c r="D24744" s="1">
        <v>0</v>
      </c>
      <c r="E24744" s="1">
        <v>1.8587360594795499E-3</v>
      </c>
      <c r="F24744" s="1">
        <v>5.8051782189713198E-5</v>
      </c>
    </row>
    <row r="24745" spans="1:6" x14ac:dyDescent="0.25">
      <c r="A24745" s="2" t="str">
        <f t="shared" si="865"/>
        <v>47340</v>
      </c>
      <c r="B24745" s="2" t="str">
        <f>"46980"</f>
        <v>46980</v>
      </c>
      <c r="C24745" s="1">
        <v>1.8406521167499299E-3</v>
      </c>
      <c r="D24745" s="1">
        <v>0</v>
      </c>
      <c r="E24745" s="1">
        <v>1.8587360594795499E-3</v>
      </c>
      <c r="F24745" s="1">
        <v>1.68350168350168E-3</v>
      </c>
    </row>
    <row r="24746" spans="1:6" x14ac:dyDescent="0.25">
      <c r="A24746" s="2" t="str">
        <f t="shared" si="865"/>
        <v>47340</v>
      </c>
      <c r="B24746" s="2" t="str">
        <f>"46962"</f>
        <v>46962</v>
      </c>
      <c r="C24746" s="1">
        <v>0.249539836970812</v>
      </c>
      <c r="D24746" s="1">
        <v>0.224254742547425</v>
      </c>
      <c r="E24746" s="1">
        <v>0.22118959107806599</v>
      </c>
      <c r="F24746" s="1">
        <v>0.246487867177522</v>
      </c>
    </row>
    <row r="24747" spans="1:6" x14ac:dyDescent="0.25">
      <c r="A24747" s="2" t="str">
        <f t="shared" si="865"/>
        <v>47340</v>
      </c>
      <c r="B24747" s="2" t="str">
        <f>"46926"</f>
        <v>46926</v>
      </c>
      <c r="C24747" s="1">
        <v>4.6016302918748298E-4</v>
      </c>
      <c r="D24747" s="1">
        <v>0</v>
      </c>
      <c r="E24747" s="1">
        <v>0</v>
      </c>
      <c r="F24747" s="1">
        <v>4.0636247532799198E-4</v>
      </c>
    </row>
    <row r="24748" spans="1:6" x14ac:dyDescent="0.25">
      <c r="A24748" s="2" t="str">
        <f t="shared" si="865"/>
        <v>47340</v>
      </c>
      <c r="B24748" s="2" t="str">
        <f>"46911"</f>
        <v>46911</v>
      </c>
      <c r="C24748" s="1">
        <v>4.0099921114909202E-3</v>
      </c>
      <c r="D24748" s="1">
        <v>0</v>
      </c>
      <c r="E24748" s="1">
        <v>3.7174721189590998E-3</v>
      </c>
      <c r="F24748" s="1">
        <v>3.6572622779519298E-3</v>
      </c>
    </row>
    <row r="24749" spans="1:6" x14ac:dyDescent="0.25">
      <c r="A24749" s="2" t="str">
        <f t="shared" si="865"/>
        <v>47340</v>
      </c>
      <c r="B24749" s="2" t="str">
        <f>"46750"</f>
        <v>46750</v>
      </c>
      <c r="C24749" s="1">
        <v>2.62950302392847E-4</v>
      </c>
      <c r="D24749" s="1">
        <v>0</v>
      </c>
      <c r="E24749" s="1">
        <v>0</v>
      </c>
      <c r="F24749" s="1">
        <v>2.32207128758852E-4</v>
      </c>
    </row>
    <row r="24750" spans="1:6" x14ac:dyDescent="0.25">
      <c r="A24750" s="2" t="str">
        <f t="shared" si="865"/>
        <v>47340</v>
      </c>
      <c r="B24750" s="2" t="str">
        <f>"46943"</f>
        <v>46943</v>
      </c>
      <c r="C24750" s="1">
        <v>7.1653957402051001E-3</v>
      </c>
      <c r="D24750" s="1">
        <v>1.0162601626016199E-2</v>
      </c>
      <c r="E24750" s="1">
        <v>5.5762081784386597E-3</v>
      </c>
      <c r="F24750" s="1">
        <v>7.3725763380935701E-3</v>
      </c>
    </row>
    <row r="24751" spans="1:6" x14ac:dyDescent="0.25">
      <c r="A24751" s="2" t="str">
        <f t="shared" si="865"/>
        <v>47340</v>
      </c>
      <c r="B24751" s="2" t="str">
        <f>"46941"</f>
        <v>46941</v>
      </c>
      <c r="C24751" s="1">
        <v>3.5826978701025497E-2</v>
      </c>
      <c r="D24751" s="1">
        <v>7.4525745257452503E-3</v>
      </c>
      <c r="E24751" s="1">
        <v>3.5315985130111499E-2</v>
      </c>
      <c r="F24751" s="1">
        <v>3.3379774759085101E-2</v>
      </c>
    </row>
    <row r="24752" spans="1:6" x14ac:dyDescent="0.25">
      <c r="A24752" s="2" t="str">
        <f t="shared" si="865"/>
        <v>47340</v>
      </c>
      <c r="B24752" s="2" t="str">
        <f>"46992"</f>
        <v>46992</v>
      </c>
      <c r="C24752" s="1">
        <v>0.55936103076518495</v>
      </c>
      <c r="D24752" s="1">
        <v>0.74051490514905105</v>
      </c>
      <c r="E24752" s="1">
        <v>0.617100371747211</v>
      </c>
      <c r="F24752" s="1">
        <v>0.57668640427261098</v>
      </c>
    </row>
    <row r="24753" spans="1:6" x14ac:dyDescent="0.25">
      <c r="A24753" s="2" t="str">
        <f t="shared" si="865"/>
        <v>47340</v>
      </c>
      <c r="B24753" s="2" t="str">
        <f>"46919"</f>
        <v>46919</v>
      </c>
      <c r="C24753" s="1">
        <v>1.05180120957139E-3</v>
      </c>
      <c r="D24753" s="1">
        <v>0</v>
      </c>
      <c r="E24753" s="1">
        <v>0</v>
      </c>
      <c r="F24753" s="1">
        <v>9.2882851503541105E-4</v>
      </c>
    </row>
    <row r="24754" spans="1:6" x14ac:dyDescent="0.25">
      <c r="A24754" s="2" t="str">
        <f t="shared" si="865"/>
        <v>47340</v>
      </c>
      <c r="B24754" s="2" t="str">
        <f>"46990"</f>
        <v>46990</v>
      </c>
      <c r="C24754" s="1">
        <v>1.7354719957927901E-2</v>
      </c>
      <c r="D24754" s="1">
        <v>2.0325203252032501E-3</v>
      </c>
      <c r="E24754" s="1">
        <v>5.5762081784386597E-3</v>
      </c>
      <c r="F24754" s="1">
        <v>1.56739811912225E-2</v>
      </c>
    </row>
    <row r="24755" spans="1:6" x14ac:dyDescent="0.25">
      <c r="A24755" s="2" t="str">
        <f t="shared" si="865"/>
        <v>47340</v>
      </c>
      <c r="B24755" s="2" t="str">
        <f>"46940"</f>
        <v>46940</v>
      </c>
      <c r="C24755" s="1">
        <v>6.5934788325006502E-2</v>
      </c>
      <c r="D24755" s="1">
        <v>7.4525745257452503E-3</v>
      </c>
      <c r="E24755" s="1">
        <v>7.6208178438661706E-2</v>
      </c>
      <c r="F24755" s="1">
        <v>6.1244630210147401E-2</v>
      </c>
    </row>
    <row r="24756" spans="1:6" x14ac:dyDescent="0.25">
      <c r="A24756" s="2" t="str">
        <f t="shared" si="865"/>
        <v>47340</v>
      </c>
      <c r="B24756" s="2" t="str">
        <f>"46787"</f>
        <v>46787</v>
      </c>
      <c r="C24756" s="1">
        <v>1.3147515119642299E-4</v>
      </c>
      <c r="D24756" s="1">
        <v>0</v>
      </c>
      <c r="E24756" s="1">
        <v>0</v>
      </c>
      <c r="F24756" s="1">
        <v>1.16103564379426E-4</v>
      </c>
    </row>
    <row r="24757" spans="1:6" x14ac:dyDescent="0.25">
      <c r="A24757" s="2" t="str">
        <f t="shared" si="865"/>
        <v>47340</v>
      </c>
      <c r="B24757" s="2" t="str">
        <f>"46982"</f>
        <v>46982</v>
      </c>
      <c r="C24757" s="1">
        <v>1.24901393636602E-2</v>
      </c>
      <c r="D24757" s="1">
        <v>2.0325203252032501E-3</v>
      </c>
      <c r="E24757" s="1">
        <v>7.4349442379182101E-3</v>
      </c>
      <c r="F24757" s="1">
        <v>1.1436201091373501E-2</v>
      </c>
    </row>
    <row r="24758" spans="1:6" x14ac:dyDescent="0.25">
      <c r="A24758" s="2" t="str">
        <f t="shared" si="865"/>
        <v>47340</v>
      </c>
      <c r="B24758" s="2" t="str">
        <f>"46974"</f>
        <v>46974</v>
      </c>
      <c r="C24758" s="1">
        <v>3.47094399158559E-2</v>
      </c>
      <c r="D24758" s="1">
        <v>6.0975609756097502E-3</v>
      </c>
      <c r="E24758" s="1">
        <v>1.8587360594795502E-2</v>
      </c>
      <c r="F24758" s="1">
        <v>3.1754324857773103E-2</v>
      </c>
    </row>
    <row r="24759" spans="1:6" x14ac:dyDescent="0.25">
      <c r="A24759" s="2" t="str">
        <f t="shared" si="865"/>
        <v>47340</v>
      </c>
      <c r="B24759" s="2" t="str">
        <f>"46946"</f>
        <v>46946</v>
      </c>
      <c r="C24759" s="1">
        <v>5.1932684722587399E-3</v>
      </c>
      <c r="D24759" s="1">
        <v>0</v>
      </c>
      <c r="E24759" s="1">
        <v>1.8587360594795499E-3</v>
      </c>
      <c r="F24759" s="1">
        <v>4.6441425751770496E-3</v>
      </c>
    </row>
    <row r="24760" spans="1:6" x14ac:dyDescent="0.25">
      <c r="A24760" s="2" t="str">
        <f t="shared" ref="A24760:A24791" si="866">"11460"</f>
        <v>11460</v>
      </c>
      <c r="B24760" s="2" t="str">
        <f>"48106"</f>
        <v>48106</v>
      </c>
      <c r="C24760" s="1">
        <v>1.20908976411954E-2</v>
      </c>
      <c r="D24760" s="1">
        <v>5.3893415253105301E-2</v>
      </c>
      <c r="E24760" s="1">
        <v>3.5733428622476303E-4</v>
      </c>
      <c r="F24760" s="1">
        <v>1.46548819367045E-2</v>
      </c>
    </row>
    <row r="24761" spans="1:6" x14ac:dyDescent="0.25">
      <c r="A24761" s="2" t="str">
        <f t="shared" si="866"/>
        <v>11460</v>
      </c>
      <c r="B24761" s="2" t="str">
        <f>"48105"</f>
        <v>48105</v>
      </c>
      <c r="C24761" s="1">
        <v>0.104883739062115</v>
      </c>
      <c r="D24761" s="1">
        <v>5.4227327367436802E-2</v>
      </c>
      <c r="E24761" s="1">
        <v>0.115240307307486</v>
      </c>
      <c r="F24761" s="1">
        <v>0.101552577693683</v>
      </c>
    </row>
    <row r="24762" spans="1:6" x14ac:dyDescent="0.25">
      <c r="A24762" s="2" t="str">
        <f t="shared" si="866"/>
        <v>11460</v>
      </c>
      <c r="B24762" s="2" t="str">
        <f>"48103"</f>
        <v>48103</v>
      </c>
      <c r="C24762" s="1">
        <v>0.15258760802941099</v>
      </c>
      <c r="D24762" s="1">
        <v>0.124348871377053</v>
      </c>
      <c r="E24762" s="1">
        <v>0.140075040200107</v>
      </c>
      <c r="F24762" s="1">
        <v>0.149669526450843</v>
      </c>
    </row>
    <row r="24763" spans="1:6" x14ac:dyDescent="0.25">
      <c r="A24763" s="2" t="str">
        <f t="shared" si="866"/>
        <v>11460</v>
      </c>
      <c r="B24763" s="2" t="str">
        <f>"48169"</f>
        <v>48169</v>
      </c>
      <c r="C24763" s="1">
        <v>3.5804890336277998E-3</v>
      </c>
      <c r="D24763" s="1">
        <v>1.00173634299452E-3</v>
      </c>
      <c r="E24763" s="1">
        <v>1.07200285867428E-3</v>
      </c>
      <c r="F24763" s="1">
        <v>3.23475285762421E-3</v>
      </c>
    </row>
    <row r="24764" spans="1:6" x14ac:dyDescent="0.25">
      <c r="A24764" s="2" t="str">
        <f t="shared" si="866"/>
        <v>11460</v>
      </c>
      <c r="B24764" s="2" t="str">
        <f>"48190"</f>
        <v>48190</v>
      </c>
      <c r="C24764" s="1">
        <v>1.19949381361065E-5</v>
      </c>
      <c r="D24764" s="1">
        <v>0</v>
      </c>
      <c r="E24764" s="1">
        <v>8.9333571556190797E-5</v>
      </c>
      <c r="F24764" s="1">
        <v>1.5551696430885601E-5</v>
      </c>
    </row>
    <row r="24765" spans="1:6" x14ac:dyDescent="0.25">
      <c r="A24765" s="2" t="str">
        <f t="shared" si="866"/>
        <v>11460</v>
      </c>
      <c r="B24765" s="2" t="str">
        <f>"48130"</f>
        <v>48130</v>
      </c>
      <c r="C24765" s="1">
        <v>3.8065936174934097E-2</v>
      </c>
      <c r="D24765" s="1">
        <v>2.7046881260852099E-2</v>
      </c>
      <c r="E24765" s="1">
        <v>2.14400571734857E-2</v>
      </c>
      <c r="F24765" s="1">
        <v>3.6245820481584097E-2</v>
      </c>
    </row>
    <row r="24766" spans="1:6" x14ac:dyDescent="0.25">
      <c r="A24766" s="2" t="str">
        <f t="shared" si="866"/>
        <v>11460</v>
      </c>
      <c r="B24766" s="2" t="str">
        <f>"48191"</f>
        <v>48191</v>
      </c>
      <c r="C24766" s="1">
        <v>8.1025807109399803E-3</v>
      </c>
      <c r="D24766" s="1">
        <v>1.2020836115934201E-3</v>
      </c>
      <c r="E24766" s="1">
        <v>1.07200285867428E-3</v>
      </c>
      <c r="F24766" s="1">
        <v>7.1589642570177E-3</v>
      </c>
    </row>
    <row r="24767" spans="1:6" x14ac:dyDescent="0.25">
      <c r="A24767" s="2" t="str">
        <f t="shared" si="866"/>
        <v>11460</v>
      </c>
      <c r="B24767" s="2" t="str">
        <f>"48176"</f>
        <v>48176</v>
      </c>
      <c r="C24767" s="1">
        <v>5.6520148497334097E-2</v>
      </c>
      <c r="D24767" s="1">
        <v>5.8501402430880103E-2</v>
      </c>
      <c r="E24767" s="1">
        <v>3.2517420046453402E-2</v>
      </c>
      <c r="F24767" s="1">
        <v>5.5281096912988201E-2</v>
      </c>
    </row>
    <row r="24768" spans="1:6" x14ac:dyDescent="0.25">
      <c r="A24768" s="2" t="str">
        <f t="shared" si="866"/>
        <v>11460</v>
      </c>
      <c r="B24768" s="2" t="str">
        <f>"48113"</f>
        <v>48113</v>
      </c>
      <c r="C24768" s="1">
        <v>5.2897677180229899E-3</v>
      </c>
      <c r="D24768" s="1">
        <v>2.0435421397088201E-2</v>
      </c>
      <c r="E24768" s="1">
        <v>1.78667143112381E-4</v>
      </c>
      <c r="F24768" s="1">
        <v>6.1688395842513103E-3</v>
      </c>
    </row>
    <row r="24769" spans="1:6" x14ac:dyDescent="0.25">
      <c r="A24769" s="2" t="str">
        <f t="shared" si="866"/>
        <v>11460</v>
      </c>
      <c r="B24769" s="2" t="str">
        <f>"49287"</f>
        <v>49287</v>
      </c>
      <c r="C24769" s="1">
        <v>5.4576968519284797E-4</v>
      </c>
      <c r="D24769" s="1">
        <v>2.6712969146520601E-4</v>
      </c>
      <c r="E24769" s="1">
        <v>0</v>
      </c>
      <c r="F24769" s="1">
        <v>4.9247038697804602E-4</v>
      </c>
    </row>
    <row r="24770" spans="1:6" x14ac:dyDescent="0.25">
      <c r="A24770" s="2" t="str">
        <f t="shared" si="866"/>
        <v>11460</v>
      </c>
      <c r="B24770" s="2" t="str">
        <f>"48189"</f>
        <v>48189</v>
      </c>
      <c r="C24770" s="1">
        <v>2.5009446013782102E-2</v>
      </c>
      <c r="D24770" s="1">
        <v>1.5493522104981901E-2</v>
      </c>
      <c r="E24770" s="1">
        <v>1.25067000178667E-2</v>
      </c>
      <c r="F24770" s="1">
        <v>2.35452683963609E-2</v>
      </c>
    </row>
    <row r="24771" spans="1:6" x14ac:dyDescent="0.25">
      <c r="A24771" s="2" t="str">
        <f t="shared" si="866"/>
        <v>11460</v>
      </c>
      <c r="B24771" s="2" t="str">
        <f>"48178"</f>
        <v>48178</v>
      </c>
      <c r="C24771" s="1">
        <v>5.7695652434672498E-3</v>
      </c>
      <c r="D24771" s="1">
        <v>7.34606651529317E-4</v>
      </c>
      <c r="E24771" s="1">
        <v>3.5733428622476303E-4</v>
      </c>
      <c r="F24771" s="1">
        <v>5.0646691376584297E-3</v>
      </c>
    </row>
    <row r="24772" spans="1:6" x14ac:dyDescent="0.25">
      <c r="A24772" s="2" t="str">
        <f t="shared" si="866"/>
        <v>11460</v>
      </c>
      <c r="B24772" s="2" t="str">
        <f>"49285"</f>
        <v>49285</v>
      </c>
      <c r="C24772" s="1">
        <v>3.4185573687903702E-4</v>
      </c>
      <c r="D24772" s="1">
        <v>0</v>
      </c>
      <c r="E24772" s="1">
        <v>0</v>
      </c>
      <c r="F24772" s="1">
        <v>2.9548223218682702E-4</v>
      </c>
    </row>
    <row r="24773" spans="1:6" x14ac:dyDescent="0.25">
      <c r="A24773" s="2" t="str">
        <f t="shared" si="866"/>
        <v>11460</v>
      </c>
      <c r="B24773" s="2" t="str">
        <f>"48167"</f>
        <v>48167</v>
      </c>
      <c r="C24773" s="1">
        <v>5.8415348722838899E-3</v>
      </c>
      <c r="D24773" s="1">
        <v>8.6817149726191995E-4</v>
      </c>
      <c r="E24773" s="1">
        <v>0</v>
      </c>
      <c r="F24773" s="1">
        <v>5.1165081257613801E-3</v>
      </c>
    </row>
    <row r="24774" spans="1:6" x14ac:dyDescent="0.25">
      <c r="A24774" s="2" t="str">
        <f t="shared" si="866"/>
        <v>11460</v>
      </c>
      <c r="B24774" s="2" t="str">
        <f>"48118"</f>
        <v>48118</v>
      </c>
      <c r="C24774" s="1">
        <v>3.8347817221132598E-2</v>
      </c>
      <c r="D24774" s="1">
        <v>4.6547348737812203E-2</v>
      </c>
      <c r="E24774" s="1">
        <v>1.87600500268E-2</v>
      </c>
      <c r="F24774" s="1">
        <v>3.78476452139654E-2</v>
      </c>
    </row>
    <row r="24775" spans="1:6" x14ac:dyDescent="0.25">
      <c r="A24775" s="2" t="str">
        <f t="shared" si="866"/>
        <v>11460</v>
      </c>
      <c r="B24775" s="2" t="str">
        <f>"48111"</f>
        <v>48111</v>
      </c>
      <c r="C24775" s="1">
        <v>7.5568110257471296E-4</v>
      </c>
      <c r="D24775" s="1">
        <v>2.6712969146520599E-3</v>
      </c>
      <c r="E24775" s="1">
        <v>0</v>
      </c>
      <c r="F24775" s="1">
        <v>8.60527202509007E-4</v>
      </c>
    </row>
    <row r="24776" spans="1:6" x14ac:dyDescent="0.25">
      <c r="A24776" s="2" t="str">
        <f t="shared" si="866"/>
        <v>11460</v>
      </c>
      <c r="B24776" s="2" t="str">
        <f>"49230"</f>
        <v>49230</v>
      </c>
      <c r="C24776" s="1">
        <v>2.3989876272213099E-5</v>
      </c>
      <c r="D24776" s="1">
        <v>0</v>
      </c>
      <c r="E24776" s="1">
        <v>0</v>
      </c>
      <c r="F24776" s="1">
        <v>2.0735595241180798E-5</v>
      </c>
    </row>
    <row r="24777" spans="1:6" x14ac:dyDescent="0.25">
      <c r="A24777" s="2" t="str">
        <f t="shared" si="866"/>
        <v>11460</v>
      </c>
      <c r="B24777" s="2" t="str">
        <f>"48168"</f>
        <v>48168</v>
      </c>
      <c r="C24777" s="1">
        <v>2.9927370649585798E-3</v>
      </c>
      <c r="D24777" s="1">
        <v>3.0052090289835699E-3</v>
      </c>
      <c r="E24777" s="1">
        <v>8.0400214400571702E-4</v>
      </c>
      <c r="F24777" s="1">
        <v>2.8666960420932501E-3</v>
      </c>
    </row>
    <row r="24778" spans="1:6" x14ac:dyDescent="0.25">
      <c r="A24778" s="2" t="str">
        <f t="shared" si="866"/>
        <v>11460</v>
      </c>
      <c r="B24778" s="2" t="str">
        <f>"48107"</f>
        <v>48107</v>
      </c>
      <c r="C24778" s="1">
        <v>5.4576968519284797E-3</v>
      </c>
      <c r="D24778" s="1">
        <v>2.2372111660211001E-2</v>
      </c>
      <c r="E24778" s="1">
        <v>8.9333571556190797E-5</v>
      </c>
      <c r="F24778" s="1">
        <v>6.4591379176278402E-3</v>
      </c>
    </row>
    <row r="24779" spans="1:6" x14ac:dyDescent="0.25">
      <c r="A24779" s="2" t="str">
        <f t="shared" si="866"/>
        <v>11460</v>
      </c>
      <c r="B24779" s="2" t="str">
        <f>"48109"</f>
        <v>48109</v>
      </c>
      <c r="C24779" s="1">
        <v>6.5972159748585994E-5</v>
      </c>
      <c r="D24779" s="1">
        <v>4.52117002804861E-2</v>
      </c>
      <c r="E24779" s="1">
        <v>1.3400035733428599E-3</v>
      </c>
      <c r="F24779" s="1">
        <v>3.6442808636375401E-3</v>
      </c>
    </row>
    <row r="24780" spans="1:6" x14ac:dyDescent="0.25">
      <c r="A24780" s="2" t="str">
        <f t="shared" si="866"/>
        <v>11460</v>
      </c>
      <c r="B24780" s="2" t="str">
        <f>"48108"</f>
        <v>48108</v>
      </c>
      <c r="C24780" s="1">
        <v>7.1861674373414397E-2</v>
      </c>
      <c r="D24780" s="1">
        <v>0.11827167089622</v>
      </c>
      <c r="E24780" s="1">
        <v>8.8886903698409805E-2</v>
      </c>
      <c r="F24780" s="1">
        <v>7.6452139654233905E-2</v>
      </c>
    </row>
    <row r="24781" spans="1:6" x14ac:dyDescent="0.25">
      <c r="A24781" s="2" t="str">
        <f t="shared" si="866"/>
        <v>11460</v>
      </c>
      <c r="B24781" s="2" t="str">
        <f>"49240"</f>
        <v>49240</v>
      </c>
      <c r="C24781" s="1">
        <v>1.9551749161853598E-3</v>
      </c>
      <c r="D24781" s="1">
        <v>4.0069453719780902E-4</v>
      </c>
      <c r="E24781" s="1">
        <v>3.5733428622476303E-4</v>
      </c>
      <c r="F24781" s="1">
        <v>1.74179000025919E-3</v>
      </c>
    </row>
    <row r="24782" spans="1:6" x14ac:dyDescent="0.25">
      <c r="A24782" s="2" t="str">
        <f t="shared" si="866"/>
        <v>11460</v>
      </c>
      <c r="B24782" s="2" t="str">
        <f>"48197"</f>
        <v>48197</v>
      </c>
      <c r="C24782" s="1">
        <v>0.183654497801927</v>
      </c>
      <c r="D24782" s="1">
        <v>0.13009215974355501</v>
      </c>
      <c r="E24782" s="1">
        <v>0.24057530820082099</v>
      </c>
      <c r="F24782" s="1">
        <v>0.18279982374744</v>
      </c>
    </row>
    <row r="24783" spans="1:6" x14ac:dyDescent="0.25">
      <c r="A24783" s="2" t="str">
        <f t="shared" si="866"/>
        <v>11460</v>
      </c>
      <c r="B24783" s="2" t="str">
        <f>"48198"</f>
        <v>48198</v>
      </c>
      <c r="C24783" s="1">
        <v>0.115727163137156</v>
      </c>
      <c r="D24783" s="1">
        <v>7.3794577267263198E-2</v>
      </c>
      <c r="E24783" s="1">
        <v>9.6033589422905102E-2</v>
      </c>
      <c r="F24783" s="1">
        <v>0.1113294108499</v>
      </c>
    </row>
    <row r="24784" spans="1:6" x14ac:dyDescent="0.25">
      <c r="A24784" s="2" t="str">
        <f t="shared" si="866"/>
        <v>11460</v>
      </c>
      <c r="B24784" s="2" t="str">
        <f>"48170"</f>
        <v>48170</v>
      </c>
      <c r="C24784" s="1">
        <v>4.6480385277412901E-3</v>
      </c>
      <c r="D24784" s="1">
        <v>2.53773206891946E-3</v>
      </c>
      <c r="E24784" s="1">
        <v>0</v>
      </c>
      <c r="F24784" s="1">
        <v>4.2145097327700104E-3</v>
      </c>
    </row>
    <row r="24785" spans="1:6" x14ac:dyDescent="0.25">
      <c r="A24785" s="2" t="str">
        <f t="shared" si="866"/>
        <v>11460</v>
      </c>
      <c r="B24785" s="2" t="str">
        <f>"48104"</f>
        <v>48104</v>
      </c>
      <c r="C24785" s="1">
        <v>0.109033987657208</v>
      </c>
      <c r="D24785" s="1">
        <v>0.17744089755576301</v>
      </c>
      <c r="E24785" s="1">
        <v>0.21180989815972801</v>
      </c>
      <c r="F24785" s="1">
        <v>0.120307923589331</v>
      </c>
    </row>
    <row r="24786" spans="1:6" x14ac:dyDescent="0.25">
      <c r="A24786" s="2" t="str">
        <f t="shared" si="866"/>
        <v>11460</v>
      </c>
      <c r="B24786" s="2" t="str">
        <f>"49236"</f>
        <v>49236</v>
      </c>
      <c r="C24786" s="1">
        <v>1.8172331276201401E-3</v>
      </c>
      <c r="D24786" s="1">
        <v>3.33912114331507E-4</v>
      </c>
      <c r="E24786" s="1">
        <v>2.68000714668572E-4</v>
      </c>
      <c r="F24786" s="1">
        <v>1.6121925300018099E-3</v>
      </c>
    </row>
    <row r="24787" spans="1:6" x14ac:dyDescent="0.25">
      <c r="A24787" s="2" t="str">
        <f t="shared" si="866"/>
        <v>11460</v>
      </c>
      <c r="B24787" s="2" t="str">
        <f>"49229"</f>
        <v>49229</v>
      </c>
      <c r="C24787" s="1">
        <v>1.19949381361065E-4</v>
      </c>
      <c r="D24787" s="1">
        <v>0</v>
      </c>
      <c r="E24787" s="1">
        <v>0</v>
      </c>
      <c r="F24787" s="1">
        <v>1.03677976205904E-4</v>
      </c>
    </row>
    <row r="24788" spans="1:6" x14ac:dyDescent="0.25">
      <c r="A24788" s="2" t="str">
        <f t="shared" si="866"/>
        <v>11460</v>
      </c>
      <c r="B24788" s="2" t="str">
        <f>"48175"</f>
        <v>48175</v>
      </c>
      <c r="C24788" s="1">
        <v>0</v>
      </c>
      <c r="D24788" s="1">
        <v>0</v>
      </c>
      <c r="E24788" s="1">
        <v>8.9333571556190797E-5</v>
      </c>
      <c r="F24788" s="1">
        <v>5.1838988102952199E-6</v>
      </c>
    </row>
    <row r="24789" spans="1:6" x14ac:dyDescent="0.25">
      <c r="A24789" s="2" t="str">
        <f t="shared" si="866"/>
        <v>11460</v>
      </c>
      <c r="B24789" s="2" t="str">
        <f>"48160"</f>
        <v>48160</v>
      </c>
      <c r="C24789" s="1">
        <v>2.0601306248763E-2</v>
      </c>
      <c r="D24789" s="1">
        <v>1.14865767330038E-2</v>
      </c>
      <c r="E24789" s="1">
        <v>1.15240307307486E-2</v>
      </c>
      <c r="F24789" s="1">
        <v>1.9367045955262899E-2</v>
      </c>
    </row>
    <row r="24790" spans="1:6" x14ac:dyDescent="0.25">
      <c r="A24790" s="2" t="str">
        <f t="shared" si="866"/>
        <v>11460</v>
      </c>
      <c r="B24790" s="2" t="str">
        <f>"48158"</f>
        <v>48158</v>
      </c>
      <c r="C24790" s="1">
        <v>1.9503769409309198E-2</v>
      </c>
      <c r="D24790" s="1">
        <v>7.2792840924268704E-3</v>
      </c>
      <c r="E24790" s="1">
        <v>4.3773450062533498E-3</v>
      </c>
      <c r="F24790" s="1">
        <v>1.7677094943106701E-2</v>
      </c>
    </row>
    <row r="24791" spans="1:6" x14ac:dyDescent="0.25">
      <c r="A24791" s="2" t="str">
        <f t="shared" si="866"/>
        <v>11460</v>
      </c>
      <c r="B24791" s="2" t="str">
        <f>"48137"</f>
        <v>48137</v>
      </c>
      <c r="C24791" s="1">
        <v>4.7919777853745703E-3</v>
      </c>
      <c r="D24791" s="1">
        <v>5.3425938293041202E-4</v>
      </c>
      <c r="E24791" s="1">
        <v>1.78667143112381E-4</v>
      </c>
      <c r="F24791" s="1">
        <v>4.1937741375288303E-3</v>
      </c>
    </row>
    <row r="24792" spans="1:6" x14ac:dyDescent="0.25">
      <c r="A24792" s="2" t="str">
        <f t="shared" ref="A24792:A24815" si="867">"10300"</f>
        <v>10300</v>
      </c>
      <c r="B24792" s="2" t="str">
        <f>"49279"</f>
        <v>49279</v>
      </c>
      <c r="C24792" s="1">
        <v>7.8112653798397104E-3</v>
      </c>
      <c r="D24792" s="1">
        <v>2.3850085178875602E-3</v>
      </c>
      <c r="E24792" s="1">
        <v>6.7159167226326299E-4</v>
      </c>
      <c r="F24792" s="1">
        <v>7.2661589934111901E-3</v>
      </c>
    </row>
    <row r="24793" spans="1:6" x14ac:dyDescent="0.25">
      <c r="A24793" s="2" t="str">
        <f t="shared" si="867"/>
        <v>10300</v>
      </c>
      <c r="B24793" s="2" t="str">
        <f>"49248"</f>
        <v>49248</v>
      </c>
      <c r="C24793" s="1">
        <v>8.9626368664634803E-3</v>
      </c>
      <c r="D24793" s="1">
        <v>3.74787052810902E-3</v>
      </c>
      <c r="E24793" s="1">
        <v>6.7159167226326299E-4</v>
      </c>
      <c r="F24793" s="1">
        <v>8.3950820008620794E-3</v>
      </c>
    </row>
    <row r="24794" spans="1:6" x14ac:dyDescent="0.25">
      <c r="A24794" s="2" t="str">
        <f t="shared" si="867"/>
        <v>10300</v>
      </c>
      <c r="B24794" s="2" t="str">
        <f>"49256"</f>
        <v>49256</v>
      </c>
      <c r="C24794" s="1">
        <v>3.8582232757647501E-2</v>
      </c>
      <c r="D24794" s="1">
        <v>4.4974446337308301E-2</v>
      </c>
      <c r="E24794" s="1">
        <v>4.9026192075218203E-2</v>
      </c>
      <c r="F24794" s="1">
        <v>3.9286520659291002E-2</v>
      </c>
    </row>
    <row r="24795" spans="1:6" x14ac:dyDescent="0.25">
      <c r="A24795" s="2" t="str">
        <f t="shared" si="867"/>
        <v>10300</v>
      </c>
      <c r="B24795" s="2" t="str">
        <f>"49230"</f>
        <v>49230</v>
      </c>
      <c r="C24795" s="1">
        <v>3.0590360085788401E-2</v>
      </c>
      <c r="D24795" s="1">
        <v>1.43100511073253E-2</v>
      </c>
      <c r="E24795" s="1">
        <v>2.6863666890530498E-3</v>
      </c>
      <c r="F24795" s="1">
        <v>2.8756747880703599E-2</v>
      </c>
    </row>
    <row r="24796" spans="1:6" x14ac:dyDescent="0.25">
      <c r="A24796" s="2" t="str">
        <f t="shared" si="867"/>
        <v>10300</v>
      </c>
      <c r="B24796" s="2" t="str">
        <f>"49228"</f>
        <v>49228</v>
      </c>
      <c r="C24796" s="1">
        <v>5.4611129924370602E-2</v>
      </c>
      <c r="D24796" s="1">
        <v>7.3594548551959099E-2</v>
      </c>
      <c r="E24796" s="1">
        <v>4.4996642041638599E-2</v>
      </c>
      <c r="F24796" s="1">
        <v>5.5460908475132902E-2</v>
      </c>
    </row>
    <row r="24797" spans="1:6" x14ac:dyDescent="0.25">
      <c r="A24797" s="2" t="str">
        <f t="shared" si="867"/>
        <v>10300</v>
      </c>
      <c r="B24797" s="2" t="str">
        <f>"48160"</f>
        <v>48160</v>
      </c>
      <c r="C24797" s="1">
        <v>4.5151823004853797E-5</v>
      </c>
      <c r="D24797" s="1">
        <v>0</v>
      </c>
      <c r="E24797" s="1">
        <v>0</v>
      </c>
      <c r="F24797" s="1">
        <v>4.1051745725486899E-5</v>
      </c>
    </row>
    <row r="24798" spans="1:6" x14ac:dyDescent="0.25">
      <c r="A24798" s="2" t="str">
        <f t="shared" si="867"/>
        <v>10300</v>
      </c>
      <c r="B24798" s="2" t="str">
        <f>"49276"</f>
        <v>49276</v>
      </c>
      <c r="C24798" s="1">
        <v>5.9600406366407E-3</v>
      </c>
      <c r="D24798" s="1">
        <v>6.8143100511073196E-4</v>
      </c>
      <c r="E24798" s="1">
        <v>6.7159167226326299E-4</v>
      </c>
      <c r="F24798" s="1">
        <v>5.4804080543525103E-3</v>
      </c>
    </row>
    <row r="24799" spans="1:6" x14ac:dyDescent="0.25">
      <c r="A24799" s="2" t="str">
        <f t="shared" si="867"/>
        <v>10300</v>
      </c>
      <c r="B24799" s="2" t="str">
        <f>"49267"</f>
        <v>49267</v>
      </c>
      <c r="C24799" s="1">
        <v>2.9574444068179201E-3</v>
      </c>
      <c r="D24799" s="1">
        <v>1.36286201022146E-3</v>
      </c>
      <c r="E24799" s="1">
        <v>0</v>
      </c>
      <c r="F24799" s="1">
        <v>2.7709928364703699E-3</v>
      </c>
    </row>
    <row r="24800" spans="1:6" x14ac:dyDescent="0.25">
      <c r="A24800" s="2" t="str">
        <f t="shared" si="867"/>
        <v>10300</v>
      </c>
      <c r="B24800" s="2" t="str">
        <f>"49236"</f>
        <v>49236</v>
      </c>
      <c r="C24800" s="1">
        <v>4.0884975730895098E-2</v>
      </c>
      <c r="D24800" s="1">
        <v>3.8500851788756299E-2</v>
      </c>
      <c r="E24800" s="1">
        <v>4.0295500335795799E-2</v>
      </c>
      <c r="F24800" s="1">
        <v>4.0723331759682999E-2</v>
      </c>
    </row>
    <row r="24801" spans="1:6" x14ac:dyDescent="0.25">
      <c r="A24801" s="2" t="str">
        <f t="shared" si="867"/>
        <v>10300</v>
      </c>
      <c r="B24801" s="2" t="str">
        <f>"49229"</f>
        <v>49229</v>
      </c>
      <c r="C24801" s="1">
        <v>2.8129585732023898E-2</v>
      </c>
      <c r="D24801" s="1">
        <v>9.8807495741056201E-3</v>
      </c>
      <c r="E24801" s="1">
        <v>1.5446608462055001E-2</v>
      </c>
      <c r="F24801" s="1">
        <v>2.6642582975841E-2</v>
      </c>
    </row>
    <row r="24802" spans="1:6" x14ac:dyDescent="0.25">
      <c r="A24802" s="2" t="str">
        <f t="shared" si="867"/>
        <v>10300</v>
      </c>
      <c r="B24802" s="2" t="str">
        <f>"49287"</f>
        <v>49287</v>
      </c>
      <c r="C24802" s="1">
        <v>1.9279828423072499E-2</v>
      </c>
      <c r="D24802" s="1">
        <v>9.8807495741056201E-3</v>
      </c>
      <c r="E24802" s="1">
        <v>4.0295500335795799E-3</v>
      </c>
      <c r="F24802" s="1">
        <v>1.82475009749789E-2</v>
      </c>
    </row>
    <row r="24803" spans="1:6" x14ac:dyDescent="0.25">
      <c r="A24803" s="2" t="str">
        <f t="shared" si="867"/>
        <v>10300</v>
      </c>
      <c r="B24803" s="2" t="str">
        <f>"49233"</f>
        <v>49233</v>
      </c>
      <c r="C24803" s="1">
        <v>9.4141550965120193E-3</v>
      </c>
      <c r="D24803" s="1">
        <v>1.4991482112436101E-2</v>
      </c>
      <c r="E24803" s="1">
        <v>7.3875083948958999E-3</v>
      </c>
      <c r="F24803" s="1">
        <v>9.6882119912149196E-3</v>
      </c>
    </row>
    <row r="24804" spans="1:6" x14ac:dyDescent="0.25">
      <c r="A24804" s="2" t="str">
        <f t="shared" si="867"/>
        <v>10300</v>
      </c>
      <c r="B24804" s="2" t="str">
        <f>"49235"</f>
        <v>49235</v>
      </c>
      <c r="C24804" s="1">
        <v>2.0115137148662299E-2</v>
      </c>
      <c r="D24804" s="1">
        <v>5.45144804088586E-3</v>
      </c>
      <c r="E24804" s="1">
        <v>2.0147750167897899E-3</v>
      </c>
      <c r="F24804" s="1">
        <v>1.8678544305096498E-2</v>
      </c>
    </row>
    <row r="24805" spans="1:6" x14ac:dyDescent="0.25">
      <c r="A24805" s="2" t="str">
        <f t="shared" si="867"/>
        <v>10300</v>
      </c>
      <c r="B24805" s="2" t="str">
        <f>"49268"</f>
        <v>49268</v>
      </c>
      <c r="C24805" s="1">
        <v>1.0949317078677001E-2</v>
      </c>
      <c r="D24805" s="1">
        <v>1.02214650766609E-3</v>
      </c>
      <c r="E24805" s="1">
        <v>4.7011417058428397E-3</v>
      </c>
      <c r="F24805" s="1">
        <v>1.0160307067058E-2</v>
      </c>
    </row>
    <row r="24806" spans="1:6" x14ac:dyDescent="0.25">
      <c r="A24806" s="2" t="str">
        <f t="shared" si="867"/>
        <v>10300</v>
      </c>
      <c r="B24806" s="2" t="str">
        <f>"49288"</f>
        <v>49288</v>
      </c>
      <c r="C24806" s="1">
        <v>6.0954961056552601E-4</v>
      </c>
      <c r="D24806" s="1">
        <v>0</v>
      </c>
      <c r="E24806" s="1">
        <v>0</v>
      </c>
      <c r="F24806" s="1">
        <v>5.5419856729407402E-4</v>
      </c>
    </row>
    <row r="24807" spans="1:6" x14ac:dyDescent="0.25">
      <c r="A24807" s="2" t="str">
        <f t="shared" si="867"/>
        <v>10300</v>
      </c>
      <c r="B24807" s="2" t="str">
        <f>"49289"</f>
        <v>49289</v>
      </c>
      <c r="C24807" s="1">
        <v>2.2575911502426898E-5</v>
      </c>
      <c r="D24807" s="1">
        <v>0</v>
      </c>
      <c r="E24807" s="1">
        <v>6.7159167226326299E-4</v>
      </c>
      <c r="F24807" s="1">
        <v>4.1051745725486899E-5</v>
      </c>
    </row>
    <row r="24808" spans="1:6" x14ac:dyDescent="0.25">
      <c r="A24808" s="2" t="str">
        <f t="shared" si="867"/>
        <v>10300</v>
      </c>
      <c r="B24808" s="2" t="str">
        <f>"49238"</f>
        <v>49238</v>
      </c>
      <c r="C24808" s="1">
        <v>1.3455243255446401E-2</v>
      </c>
      <c r="D24808" s="1">
        <v>7.8364565587734202E-3</v>
      </c>
      <c r="E24808" s="1">
        <v>5.37273337810611E-3</v>
      </c>
      <c r="F24808" s="1">
        <v>1.2869722284940099E-2</v>
      </c>
    </row>
    <row r="24809" spans="1:6" x14ac:dyDescent="0.25">
      <c r="A24809" s="2" t="str">
        <f t="shared" si="867"/>
        <v>10300</v>
      </c>
      <c r="B24809" s="2" t="str">
        <f>"49220"</f>
        <v>49220</v>
      </c>
      <c r="C24809" s="1">
        <v>2.2846822440456001E-2</v>
      </c>
      <c r="D24809" s="1">
        <v>1.3969335604770001E-2</v>
      </c>
      <c r="E24809" s="1">
        <v>1.2760241773002E-2</v>
      </c>
      <c r="F24809" s="1">
        <v>2.2003735708861001E-2</v>
      </c>
    </row>
    <row r="24810" spans="1:6" x14ac:dyDescent="0.25">
      <c r="A24810" s="2" t="str">
        <f t="shared" si="867"/>
        <v>10300</v>
      </c>
      <c r="B24810" s="2" t="str">
        <f>"49286"</f>
        <v>49286</v>
      </c>
      <c r="C24810" s="1">
        <v>0.15193588441133299</v>
      </c>
      <c r="D24810" s="1">
        <v>0.155706984667802</v>
      </c>
      <c r="E24810" s="1">
        <v>0.17259905977165799</v>
      </c>
      <c r="F24810" s="1">
        <v>0.15279459759026201</v>
      </c>
    </row>
    <row r="24811" spans="1:6" x14ac:dyDescent="0.25">
      <c r="A24811" s="2" t="str">
        <f t="shared" si="867"/>
        <v>10300</v>
      </c>
      <c r="B24811" s="2" t="str">
        <f>"49253"</f>
        <v>49253</v>
      </c>
      <c r="C24811" s="1">
        <v>4.9283214809797901E-2</v>
      </c>
      <c r="D24811" s="1">
        <v>1.73764906303236E-2</v>
      </c>
      <c r="E24811" s="1">
        <v>1.20886501007387E-2</v>
      </c>
      <c r="F24811" s="1">
        <v>4.6224265686898303E-2</v>
      </c>
    </row>
    <row r="24812" spans="1:6" x14ac:dyDescent="0.25">
      <c r="A24812" s="2" t="str">
        <f t="shared" si="867"/>
        <v>10300</v>
      </c>
      <c r="B24812" s="2" t="str">
        <f>"49247"</f>
        <v>49247</v>
      </c>
      <c r="C24812" s="1">
        <v>4.6235466756970302E-2</v>
      </c>
      <c r="D24812" s="1">
        <v>5.86030664395229E-2</v>
      </c>
      <c r="E24812" s="1">
        <v>4.8354600402955E-2</v>
      </c>
      <c r="F24812" s="1">
        <v>4.7045300601407998E-2</v>
      </c>
    </row>
    <row r="24813" spans="1:6" x14ac:dyDescent="0.25">
      <c r="A24813" s="2" t="str">
        <f t="shared" si="867"/>
        <v>10300</v>
      </c>
      <c r="B24813" s="2" t="str">
        <f>"49265"</f>
        <v>49265</v>
      </c>
      <c r="C24813" s="1">
        <v>5.4701433570380403E-2</v>
      </c>
      <c r="D24813" s="1">
        <v>2.9301533219761401E-2</v>
      </c>
      <c r="E24813" s="1">
        <v>2.5520483546003999E-2</v>
      </c>
      <c r="F24813" s="1">
        <v>5.2279398181407602E-2</v>
      </c>
    </row>
    <row r="24814" spans="1:6" x14ac:dyDescent="0.25">
      <c r="A24814" s="2" t="str">
        <f t="shared" si="867"/>
        <v>10300</v>
      </c>
      <c r="B24814" s="2" t="str">
        <f>"49221"</f>
        <v>49221</v>
      </c>
      <c r="C24814" s="1">
        <v>0.38239078902810703</v>
      </c>
      <c r="D24814" s="1">
        <v>0.49642248722316801</v>
      </c>
      <c r="E24814" s="1">
        <v>0.55003357958361299</v>
      </c>
      <c r="F24814" s="1">
        <v>0.39438412118475302</v>
      </c>
    </row>
    <row r="24815" spans="1:6" x14ac:dyDescent="0.25">
      <c r="A24815" s="2" t="str">
        <f t="shared" si="867"/>
        <v>10300</v>
      </c>
      <c r="B24815" s="2" t="str">
        <f>"48176"</f>
        <v>48176</v>
      </c>
      <c r="C24815" s="1">
        <v>2.2575911502426899E-4</v>
      </c>
      <c r="D24815" s="1">
        <v>0</v>
      </c>
      <c r="E24815" s="1">
        <v>0</v>
      </c>
      <c r="F24815" s="1">
        <v>2.0525872862743399E-4</v>
      </c>
    </row>
    <row r="24816" spans="1:6" x14ac:dyDescent="0.25">
      <c r="A24816" s="2" t="str">
        <f t="shared" ref="A24816:A24839" si="868">"10940"</f>
        <v>10940</v>
      </c>
      <c r="B24816" s="2" t="str">
        <f>"48835"</f>
        <v>48835</v>
      </c>
      <c r="C24816" s="1">
        <v>2.9547334830398199E-4</v>
      </c>
      <c r="D24816" s="1">
        <v>0</v>
      </c>
      <c r="E24816" s="1">
        <v>0</v>
      </c>
      <c r="F24816" s="1">
        <v>2.6854288629894101E-4</v>
      </c>
    </row>
    <row r="24817" spans="1:6" x14ac:dyDescent="0.25">
      <c r="A24817" s="2" t="str">
        <f t="shared" si="868"/>
        <v>10940</v>
      </c>
      <c r="B24817" s="2" t="str">
        <f>"48614"</f>
        <v>48614</v>
      </c>
      <c r="C24817" s="1">
        <v>7.0913603592955899E-4</v>
      </c>
      <c r="D24817" s="1">
        <v>0</v>
      </c>
      <c r="E24817" s="1">
        <v>0</v>
      </c>
      <c r="F24817" s="1">
        <v>6.4450292711745998E-4</v>
      </c>
    </row>
    <row r="24818" spans="1:6" x14ac:dyDescent="0.25">
      <c r="A24818" s="2" t="str">
        <f t="shared" si="868"/>
        <v>10940</v>
      </c>
      <c r="B24818" s="2" t="str">
        <f>"48806"</f>
        <v>48806</v>
      </c>
      <c r="C24818" s="1">
        <v>4.26072568254343E-2</v>
      </c>
      <c r="D24818" s="1">
        <v>2.59529602595296E-2</v>
      </c>
      <c r="E24818" s="1">
        <v>8.6206896551724102E-3</v>
      </c>
      <c r="F24818" s="1">
        <v>4.0657392985659797E-2</v>
      </c>
    </row>
    <row r="24819" spans="1:6" x14ac:dyDescent="0.25">
      <c r="A24819" s="2" t="str">
        <f t="shared" si="868"/>
        <v>10940</v>
      </c>
      <c r="B24819" s="2" t="str">
        <f>"48801"</f>
        <v>48801</v>
      </c>
      <c r="C24819" s="1">
        <v>0.31621557735492201</v>
      </c>
      <c r="D24819" s="1">
        <v>0.48012976480129699</v>
      </c>
      <c r="E24819" s="1">
        <v>0.52370689655172398</v>
      </c>
      <c r="F24819" s="1">
        <v>0.33224125892904999</v>
      </c>
    </row>
    <row r="24820" spans="1:6" x14ac:dyDescent="0.25">
      <c r="A24820" s="2" t="str">
        <f t="shared" si="868"/>
        <v>10940</v>
      </c>
      <c r="B24820" s="2" t="str">
        <f>"48874"</f>
        <v>48874</v>
      </c>
      <c r="C24820" s="1">
        <v>2.3637867864318601E-4</v>
      </c>
      <c r="D24820" s="1">
        <v>8.1103000811029999E-4</v>
      </c>
      <c r="E24820" s="1">
        <v>0</v>
      </c>
      <c r="F24820" s="1">
        <v>2.6854288629894101E-4</v>
      </c>
    </row>
    <row r="24821" spans="1:6" x14ac:dyDescent="0.25">
      <c r="A24821" s="2" t="str">
        <f t="shared" si="868"/>
        <v>10940</v>
      </c>
      <c r="B24821" s="2" t="str">
        <f>"48883"</f>
        <v>48883</v>
      </c>
      <c r="C24821" s="1">
        <v>1.53646141118071E-3</v>
      </c>
      <c r="D24821" s="1">
        <v>0</v>
      </c>
      <c r="E24821" s="1">
        <v>0</v>
      </c>
      <c r="F24821" s="1">
        <v>1.3964230087544899E-3</v>
      </c>
    </row>
    <row r="24822" spans="1:6" x14ac:dyDescent="0.25">
      <c r="A24822" s="2" t="str">
        <f t="shared" si="868"/>
        <v>10940</v>
      </c>
      <c r="B24822" s="2" t="str">
        <f>"48879"</f>
        <v>48879</v>
      </c>
      <c r="C24822" s="1">
        <v>4.0775322065949599E-3</v>
      </c>
      <c r="D24822" s="1">
        <v>8.1103000811029999E-4</v>
      </c>
      <c r="E24822" s="1">
        <v>0</v>
      </c>
      <c r="F24822" s="1">
        <v>3.7596004081851802E-3</v>
      </c>
    </row>
    <row r="24823" spans="1:6" x14ac:dyDescent="0.25">
      <c r="A24823" s="2" t="str">
        <f t="shared" si="868"/>
        <v>10940</v>
      </c>
      <c r="B24823" s="2" t="str">
        <f>"48877"</f>
        <v>48877</v>
      </c>
      <c r="C24823" s="1">
        <v>4.0125280699680799E-2</v>
      </c>
      <c r="D24823" s="1">
        <v>9.7323600973235995E-3</v>
      </c>
      <c r="E24823" s="1">
        <v>6.4655172413793103E-3</v>
      </c>
      <c r="F24823" s="1">
        <v>3.7273752618293098E-2</v>
      </c>
    </row>
    <row r="24824" spans="1:6" x14ac:dyDescent="0.25">
      <c r="A24824" s="2" t="str">
        <f t="shared" si="868"/>
        <v>10940</v>
      </c>
      <c r="B24824" s="2" t="str">
        <f>"48856"</f>
        <v>48856</v>
      </c>
      <c r="C24824" s="1">
        <v>2.3815151873301001E-2</v>
      </c>
      <c r="D24824" s="1">
        <v>1.0543390105433899E-2</v>
      </c>
      <c r="E24824" s="1">
        <v>4.3103448275861999E-3</v>
      </c>
      <c r="F24824" s="1">
        <v>2.2450185294591501E-2</v>
      </c>
    </row>
    <row r="24825" spans="1:6" x14ac:dyDescent="0.25">
      <c r="A24825" s="2" t="str">
        <f t="shared" si="868"/>
        <v>10940</v>
      </c>
      <c r="B24825" s="2" t="str">
        <f>"48880"</f>
        <v>48880</v>
      </c>
      <c r="C24825" s="1">
        <v>0.15547807587755499</v>
      </c>
      <c r="D24825" s="1">
        <v>0.18978102189780999</v>
      </c>
      <c r="E24825" s="1">
        <v>0.25862068965517199</v>
      </c>
      <c r="F24825" s="1">
        <v>0.16032010312046799</v>
      </c>
    </row>
    <row r="24826" spans="1:6" x14ac:dyDescent="0.25">
      <c r="A24826" s="2" t="str">
        <f t="shared" si="868"/>
        <v>10940</v>
      </c>
      <c r="B24826" s="2" t="str">
        <f>"48871"</f>
        <v>48871</v>
      </c>
      <c r="C24826" s="1">
        <v>5.1471457274553802E-2</v>
      </c>
      <c r="D24826" s="1">
        <v>1.0543390105433899E-2</v>
      </c>
      <c r="E24826" s="1">
        <v>1.72413793103448E-2</v>
      </c>
      <c r="F24826" s="1">
        <v>4.79080509157312E-2</v>
      </c>
    </row>
    <row r="24827" spans="1:6" x14ac:dyDescent="0.25">
      <c r="A24827" s="2" t="str">
        <f t="shared" si="868"/>
        <v>10940</v>
      </c>
      <c r="B24827" s="2" t="str">
        <f>"48847"</f>
        <v>48847</v>
      </c>
      <c r="C24827" s="1">
        <v>0.16168301619193901</v>
      </c>
      <c r="D24827" s="1">
        <v>0.184103811841038</v>
      </c>
      <c r="E24827" s="1">
        <v>0.142241379310344</v>
      </c>
      <c r="F24827" s="1">
        <v>0.162683280519899</v>
      </c>
    </row>
    <row r="24828" spans="1:6" x14ac:dyDescent="0.25">
      <c r="A24828" s="2" t="str">
        <f t="shared" si="868"/>
        <v>10940</v>
      </c>
      <c r="B24828" s="2" t="str">
        <f>"48662"</f>
        <v>48662</v>
      </c>
      <c r="C24828" s="1">
        <v>3.1911121616830102E-2</v>
      </c>
      <c r="D24828" s="1">
        <v>1.78426601784266E-2</v>
      </c>
      <c r="E24828" s="1">
        <v>0</v>
      </c>
      <c r="F24828" s="1">
        <v>3.0184220420001E-2</v>
      </c>
    </row>
    <row r="24829" spans="1:6" x14ac:dyDescent="0.25">
      <c r="A24829" s="2" t="str">
        <f t="shared" si="868"/>
        <v>10940</v>
      </c>
      <c r="B24829" s="2" t="str">
        <f>"48811"</f>
        <v>48811</v>
      </c>
      <c r="C24829" s="1">
        <v>8.6278217704762999E-3</v>
      </c>
      <c r="D24829" s="1">
        <v>6.4882400648824E-3</v>
      </c>
      <c r="E24829" s="1">
        <v>0</v>
      </c>
      <c r="F24829" s="1">
        <v>8.2711208980074096E-3</v>
      </c>
    </row>
    <row r="24830" spans="1:6" x14ac:dyDescent="0.25">
      <c r="A24830" s="2" t="str">
        <f t="shared" si="868"/>
        <v>10940</v>
      </c>
      <c r="B24830" s="2" t="str">
        <f>"48862"</f>
        <v>48862</v>
      </c>
      <c r="C24830" s="1">
        <v>2.4228814560926602E-3</v>
      </c>
      <c r="D24830" s="1">
        <v>3.2441200324412E-3</v>
      </c>
      <c r="E24830" s="1">
        <v>0</v>
      </c>
      <c r="F24830" s="1">
        <v>2.4168859766904699E-3</v>
      </c>
    </row>
    <row r="24831" spans="1:6" x14ac:dyDescent="0.25">
      <c r="A24831" s="2" t="str">
        <f t="shared" si="868"/>
        <v>10940</v>
      </c>
      <c r="B24831" s="2" t="str">
        <f>"48891"</f>
        <v>48891</v>
      </c>
      <c r="C24831" s="1">
        <v>4.1366268762557602E-4</v>
      </c>
      <c r="D24831" s="1">
        <v>0</v>
      </c>
      <c r="E24831" s="1">
        <v>0</v>
      </c>
      <c r="F24831" s="1">
        <v>3.75960040818518E-4</v>
      </c>
    </row>
    <row r="24832" spans="1:6" x14ac:dyDescent="0.25">
      <c r="A24832" s="2" t="str">
        <f t="shared" si="868"/>
        <v>10940</v>
      </c>
      <c r="B24832" s="2" t="str">
        <f>"48807"</f>
        <v>48807</v>
      </c>
      <c r="C24832" s="1">
        <v>1.63692234960406E-2</v>
      </c>
      <c r="D24832" s="1">
        <v>2.4330900243308999E-3</v>
      </c>
      <c r="E24832" s="1">
        <v>0</v>
      </c>
      <c r="F24832" s="1">
        <v>1.50384016327407E-2</v>
      </c>
    </row>
    <row r="24833" spans="1:6" x14ac:dyDescent="0.25">
      <c r="A24833" s="2" t="str">
        <f t="shared" si="868"/>
        <v>10940</v>
      </c>
      <c r="B24833" s="2" t="str">
        <f>"48845"</f>
        <v>48845</v>
      </c>
      <c r="C24833" s="1">
        <v>6.5004136626876203E-4</v>
      </c>
      <c r="D24833" s="1">
        <v>0</v>
      </c>
      <c r="E24833" s="1">
        <v>0</v>
      </c>
      <c r="F24833" s="1">
        <v>5.9079434985767198E-4</v>
      </c>
    </row>
    <row r="24834" spans="1:6" x14ac:dyDescent="0.25">
      <c r="A24834" s="2" t="str">
        <f t="shared" si="868"/>
        <v>10940</v>
      </c>
      <c r="B24834" s="2" t="str">
        <f>"48637"</f>
        <v>48637</v>
      </c>
      <c r="C24834" s="1">
        <v>6.2640349840444301E-3</v>
      </c>
      <c r="D24834" s="1">
        <v>3.2441200324412E-3</v>
      </c>
      <c r="E24834" s="1">
        <v>0</v>
      </c>
      <c r="F24834" s="1">
        <v>5.9079434985767204E-3</v>
      </c>
    </row>
    <row r="24835" spans="1:6" x14ac:dyDescent="0.25">
      <c r="A24835" s="2" t="str">
        <f t="shared" si="868"/>
        <v>10940</v>
      </c>
      <c r="B24835" s="2" t="str">
        <f>"48831"</f>
        <v>48831</v>
      </c>
      <c r="C24835" s="1">
        <v>1.41827207185911E-3</v>
      </c>
      <c r="D24835" s="1">
        <v>0</v>
      </c>
      <c r="E24835" s="1">
        <v>0</v>
      </c>
      <c r="F24835" s="1">
        <v>1.28900585423492E-3</v>
      </c>
    </row>
    <row r="24836" spans="1:6" x14ac:dyDescent="0.25">
      <c r="A24836" s="2" t="str">
        <f t="shared" si="868"/>
        <v>10940</v>
      </c>
      <c r="B24836" s="2" t="str">
        <f>"48832"</f>
        <v>48832</v>
      </c>
      <c r="C24836" s="1">
        <v>3.7761493913248997E-2</v>
      </c>
      <c r="D24836" s="1">
        <v>8.1103000811030002E-3</v>
      </c>
      <c r="E24836" s="1">
        <v>0</v>
      </c>
      <c r="F24836" s="1">
        <v>3.4856866641602598E-2</v>
      </c>
    </row>
    <row r="24837" spans="1:6" x14ac:dyDescent="0.25">
      <c r="A24837" s="2" t="str">
        <f t="shared" si="868"/>
        <v>10940</v>
      </c>
      <c r="B24837" s="2" t="str">
        <f>"48830"</f>
        <v>48830</v>
      </c>
      <c r="C24837" s="1">
        <v>5.3185202694716897E-4</v>
      </c>
      <c r="D24837" s="1">
        <v>8.1103000811029999E-4</v>
      </c>
      <c r="E24837" s="1">
        <v>0</v>
      </c>
      <c r="F24837" s="1">
        <v>5.3708577259788299E-4</v>
      </c>
    </row>
    <row r="24838" spans="1:6" x14ac:dyDescent="0.25">
      <c r="A24838" s="2" t="str">
        <f t="shared" si="868"/>
        <v>10940</v>
      </c>
      <c r="B24838" s="2" t="str">
        <f>"48889"</f>
        <v>48889</v>
      </c>
      <c r="C24838" s="1">
        <v>3.4747665760548302E-2</v>
      </c>
      <c r="D24838" s="1">
        <v>8.9213300892132998E-3</v>
      </c>
      <c r="E24838" s="1">
        <v>0</v>
      </c>
      <c r="F24838" s="1">
        <v>3.2171437778613199E-2</v>
      </c>
    </row>
    <row r="24839" spans="1:6" x14ac:dyDescent="0.25">
      <c r="A24839" s="2" t="str">
        <f t="shared" si="868"/>
        <v>10940</v>
      </c>
      <c r="B24839" s="2" t="str">
        <f>"48615"</f>
        <v>48615</v>
      </c>
      <c r="C24839" s="1">
        <v>6.0631131071977297E-2</v>
      </c>
      <c r="D24839" s="1">
        <v>3.6496350364963501E-2</v>
      </c>
      <c r="E24839" s="1">
        <v>3.8793103448275801E-2</v>
      </c>
      <c r="F24839" s="1">
        <v>5.84886406359095E-2</v>
      </c>
    </row>
    <row r="24840" spans="1:6" x14ac:dyDescent="0.25">
      <c r="A24840" s="2" t="str">
        <f t="shared" ref="A24840:A24871" si="869">"28020"</f>
        <v>28020</v>
      </c>
      <c r="B24840" s="2" t="str">
        <f>"49041"</f>
        <v>49041</v>
      </c>
      <c r="C24840" s="1">
        <v>3.9568890555320597E-3</v>
      </c>
      <c r="D24840" s="1">
        <v>7.8827784475563305E-3</v>
      </c>
      <c r="E24840" s="1">
        <v>1.3328002132480301E-4</v>
      </c>
      <c r="F24840" s="1">
        <v>4.0518807828066501E-3</v>
      </c>
    </row>
    <row r="24841" spans="1:6" x14ac:dyDescent="0.25">
      <c r="A24841" s="2" t="str">
        <f t="shared" si="869"/>
        <v>28020</v>
      </c>
      <c r="B24841" s="2" t="str">
        <f>"49060"</f>
        <v>49060</v>
      </c>
      <c r="C24841" s="1">
        <v>3.0793531762810002E-3</v>
      </c>
      <c r="D24841" s="1">
        <v>1.1128628396550101E-3</v>
      </c>
      <c r="E24841" s="1">
        <v>2.6656004264960601E-4</v>
      </c>
      <c r="F24841" s="1">
        <v>2.7847977888705499E-3</v>
      </c>
    </row>
    <row r="24842" spans="1:6" x14ac:dyDescent="0.25">
      <c r="A24842" s="2" t="str">
        <f t="shared" si="869"/>
        <v>28020</v>
      </c>
      <c r="B24842" s="2" t="str">
        <f>"49005"</f>
        <v>49005</v>
      </c>
      <c r="C24842" s="1">
        <v>6.2863479349985199E-3</v>
      </c>
      <c r="D24842" s="1">
        <v>1.78985440044514E-2</v>
      </c>
      <c r="E24842" s="1">
        <v>2.6656004264960601E-4</v>
      </c>
      <c r="F24842" s="1">
        <v>6.8436405661493902E-3</v>
      </c>
    </row>
    <row r="24843" spans="1:6" x14ac:dyDescent="0.25">
      <c r="A24843" s="2" t="str">
        <f t="shared" si="869"/>
        <v>28020</v>
      </c>
      <c r="B24843" s="2" t="str">
        <f>"49004"</f>
        <v>49004</v>
      </c>
      <c r="C24843" s="1">
        <v>6.2719882569744104E-2</v>
      </c>
      <c r="D24843" s="1">
        <v>2.8748956691087801E-2</v>
      </c>
      <c r="E24843" s="1">
        <v>3.10542449686791E-2</v>
      </c>
      <c r="F24843" s="1">
        <v>5.8515563538642498E-2</v>
      </c>
    </row>
    <row r="24844" spans="1:6" x14ac:dyDescent="0.25">
      <c r="A24844" s="2" t="str">
        <f t="shared" si="869"/>
        <v>28020</v>
      </c>
      <c r="B24844" s="2" t="str">
        <f>"49003"</f>
        <v>49003</v>
      </c>
      <c r="C24844" s="1">
        <v>6.31825833060765E-3</v>
      </c>
      <c r="D24844" s="1">
        <v>2.1144393953445199E-2</v>
      </c>
      <c r="E24844" s="1">
        <v>2.6656004264960601E-4</v>
      </c>
      <c r="F24844" s="1">
        <v>7.1151583505642598E-3</v>
      </c>
    </row>
    <row r="24845" spans="1:6" x14ac:dyDescent="0.25">
      <c r="A24845" s="2" t="str">
        <f t="shared" si="869"/>
        <v>28020</v>
      </c>
      <c r="B24845" s="2" t="str">
        <f>"49015"</f>
        <v>49015</v>
      </c>
      <c r="C24845" s="1">
        <v>3.1910395609129499E-5</v>
      </c>
      <c r="D24845" s="1">
        <v>0</v>
      </c>
      <c r="E24845" s="1">
        <v>0</v>
      </c>
      <c r="F24845" s="1">
        <v>2.78479778887055E-5</v>
      </c>
    </row>
    <row r="24846" spans="1:6" x14ac:dyDescent="0.25">
      <c r="A24846" s="2" t="str">
        <f t="shared" si="869"/>
        <v>28020</v>
      </c>
      <c r="B24846" s="2" t="str">
        <f>"49072"</f>
        <v>49072</v>
      </c>
      <c r="C24846" s="1">
        <v>1.11686384631953E-4</v>
      </c>
      <c r="D24846" s="1">
        <v>0</v>
      </c>
      <c r="E24846" s="1">
        <v>0</v>
      </c>
      <c r="F24846" s="1">
        <v>9.7467922610469394E-5</v>
      </c>
    </row>
    <row r="24847" spans="1:6" x14ac:dyDescent="0.25">
      <c r="A24847" s="2" t="str">
        <f t="shared" si="869"/>
        <v>28020</v>
      </c>
      <c r="B24847" s="2" t="str">
        <f>"49083"</f>
        <v>49083</v>
      </c>
      <c r="C24847" s="1">
        <v>3.0865330152930501E-2</v>
      </c>
      <c r="D24847" s="1">
        <v>3.4498748029305297E-2</v>
      </c>
      <c r="E24847" s="1">
        <v>1.47940823670531E-2</v>
      </c>
      <c r="F24847" s="1">
        <v>3.0298599942911598E-2</v>
      </c>
    </row>
    <row r="24848" spans="1:6" x14ac:dyDescent="0.25">
      <c r="A24848" s="2" t="str">
        <f t="shared" si="869"/>
        <v>28020</v>
      </c>
      <c r="B24848" s="2" t="str">
        <f>"49037"</f>
        <v>49037</v>
      </c>
      <c r="C24848" s="1">
        <v>0</v>
      </c>
      <c r="D24848" s="1">
        <v>1.85477139942502E-4</v>
      </c>
      <c r="E24848" s="1">
        <v>0</v>
      </c>
      <c r="F24848" s="1">
        <v>1.3923988944352701E-5</v>
      </c>
    </row>
    <row r="24849" spans="1:6" x14ac:dyDescent="0.25">
      <c r="A24849" s="2" t="str">
        <f t="shared" si="869"/>
        <v>28020</v>
      </c>
      <c r="B24849" s="2" t="str">
        <f>"49080"</f>
        <v>49080</v>
      </c>
      <c r="C24849" s="1">
        <v>4.8184697369785603E-3</v>
      </c>
      <c r="D24849" s="1">
        <v>1.85477139942502E-4</v>
      </c>
      <c r="E24849" s="1">
        <v>2.6656004264960601E-4</v>
      </c>
      <c r="F24849" s="1">
        <v>4.2328926390832397E-3</v>
      </c>
    </row>
    <row r="24850" spans="1:6" x14ac:dyDescent="0.25">
      <c r="A24850" s="2" t="str">
        <f t="shared" si="869"/>
        <v>28020</v>
      </c>
      <c r="B24850" s="2" t="str">
        <f>"49012"</f>
        <v>49012</v>
      </c>
      <c r="C24850" s="1">
        <v>1.2476964683169601E-2</v>
      </c>
      <c r="D24850" s="1">
        <v>4.8224056385050501E-3</v>
      </c>
      <c r="E24850" s="1">
        <v>1.9992003198720499E-3</v>
      </c>
      <c r="F24850" s="1">
        <v>1.1355012984119599E-2</v>
      </c>
    </row>
    <row r="24851" spans="1:6" x14ac:dyDescent="0.25">
      <c r="A24851" s="2" t="str">
        <f t="shared" si="869"/>
        <v>28020</v>
      </c>
      <c r="B24851" s="2" t="str">
        <f>"49009"</f>
        <v>49009</v>
      </c>
      <c r="C24851" s="1">
        <v>0.16703496581598801</v>
      </c>
      <c r="D24851" s="1">
        <v>9.9415747009181099E-2</v>
      </c>
      <c r="E24851" s="1">
        <v>0.16313474610155901</v>
      </c>
      <c r="F24851" s="1">
        <v>0.161754979566546</v>
      </c>
    </row>
    <row r="24852" spans="1:6" x14ac:dyDescent="0.25">
      <c r="A24852" s="2" t="str">
        <f t="shared" si="869"/>
        <v>28020</v>
      </c>
      <c r="B24852" s="2" t="str">
        <f>"49007"</f>
        <v>49007</v>
      </c>
      <c r="C24852" s="1">
        <v>4.4658598654976803E-2</v>
      </c>
      <c r="D24852" s="1">
        <v>0.13196698506908999</v>
      </c>
      <c r="E24852" s="1">
        <v>0.120351859256297</v>
      </c>
      <c r="F24852" s="1">
        <v>5.5166844197525697E-2</v>
      </c>
    </row>
    <row r="24853" spans="1:6" x14ac:dyDescent="0.25">
      <c r="A24853" s="2" t="str">
        <f t="shared" si="869"/>
        <v>28020</v>
      </c>
      <c r="B24853" s="2" t="str">
        <f>"49019"</f>
        <v>49019</v>
      </c>
      <c r="C24853" s="1">
        <v>9.8443570454164707E-3</v>
      </c>
      <c r="D24853" s="1">
        <v>2.53176296021515E-2</v>
      </c>
      <c r="E24853" s="1">
        <v>2.6656004264960601E-4</v>
      </c>
      <c r="F24853" s="1">
        <v>1.05056496585141E-2</v>
      </c>
    </row>
    <row r="24854" spans="1:6" x14ac:dyDescent="0.25">
      <c r="A24854" s="2" t="str">
        <f t="shared" si="869"/>
        <v>28020</v>
      </c>
      <c r="B24854" s="2" t="str">
        <f>"49074"</f>
        <v>49074</v>
      </c>
      <c r="C24854" s="1">
        <v>0</v>
      </c>
      <c r="D24854" s="1">
        <v>9.2738569971251002E-5</v>
      </c>
      <c r="E24854" s="1">
        <v>0</v>
      </c>
      <c r="F24854" s="1">
        <v>6.9619944721763801E-6</v>
      </c>
    </row>
    <row r="24855" spans="1:6" x14ac:dyDescent="0.25">
      <c r="A24855" s="2" t="str">
        <f t="shared" si="869"/>
        <v>28020</v>
      </c>
      <c r="B24855" s="2" t="str">
        <f>"49001"</f>
        <v>49001</v>
      </c>
      <c r="C24855" s="1">
        <v>8.0733300891097703E-2</v>
      </c>
      <c r="D24855" s="1">
        <v>0.103959936937772</v>
      </c>
      <c r="E24855" s="1">
        <v>0.13421298147407701</v>
      </c>
      <c r="F24855" s="1">
        <v>8.5270508295216402E-2</v>
      </c>
    </row>
    <row r="24856" spans="1:6" x14ac:dyDescent="0.25">
      <c r="A24856" s="2" t="str">
        <f t="shared" si="869"/>
        <v>28020</v>
      </c>
      <c r="B24856" s="2" t="str">
        <f>"49081"</f>
        <v>49081</v>
      </c>
      <c r="C24856" s="1">
        <v>9.1582835398201796E-3</v>
      </c>
      <c r="D24856" s="1">
        <v>3.95066308077529E-2</v>
      </c>
      <c r="E24856" s="1">
        <v>2.6656004264960601E-4</v>
      </c>
      <c r="F24856" s="1">
        <v>1.09721032881499E-2</v>
      </c>
    </row>
    <row r="24857" spans="1:6" x14ac:dyDescent="0.25">
      <c r="A24857" s="2" t="str">
        <f t="shared" si="869"/>
        <v>28020</v>
      </c>
      <c r="B24857" s="2" t="str">
        <f>"49097"</f>
        <v>49097</v>
      </c>
      <c r="C24857" s="1">
        <v>3.8954615439844902E-2</v>
      </c>
      <c r="D24857" s="1">
        <v>2.1515348233330199E-2</v>
      </c>
      <c r="E24857" s="1">
        <v>1.73264027722244E-2</v>
      </c>
      <c r="F24857" s="1">
        <v>3.65156610065651E-2</v>
      </c>
    </row>
    <row r="24858" spans="1:6" x14ac:dyDescent="0.25">
      <c r="A24858" s="2" t="str">
        <f t="shared" si="869"/>
        <v>28020</v>
      </c>
      <c r="B24858" s="2" t="str">
        <f>"49008"</f>
        <v>49008</v>
      </c>
      <c r="C24858" s="1">
        <v>6.4044163987522995E-2</v>
      </c>
      <c r="D24858" s="1">
        <v>6.44533061300194E-2</v>
      </c>
      <c r="E24858" s="1">
        <v>8.7831534053045404E-2</v>
      </c>
      <c r="F24858" s="1">
        <v>6.5317432137958806E-2</v>
      </c>
    </row>
    <row r="24859" spans="1:6" x14ac:dyDescent="0.25">
      <c r="A24859" s="2" t="str">
        <f t="shared" si="869"/>
        <v>28020</v>
      </c>
      <c r="B24859" s="2" t="str">
        <f>"49002"</f>
        <v>49002</v>
      </c>
      <c r="C24859" s="1">
        <v>7.6042472736555705E-2</v>
      </c>
      <c r="D24859" s="1">
        <v>0.116294166743948</v>
      </c>
      <c r="E24859" s="1">
        <v>6.5307210449153594E-2</v>
      </c>
      <c r="F24859" s="1">
        <v>7.8503449668260894E-2</v>
      </c>
    </row>
    <row r="24860" spans="1:6" x14ac:dyDescent="0.25">
      <c r="A24860" s="2" t="str">
        <f t="shared" si="869"/>
        <v>28020</v>
      </c>
      <c r="B24860" s="2" t="str">
        <f>"49034"</f>
        <v>49034</v>
      </c>
      <c r="C24860" s="1">
        <v>7.5308533637545704E-3</v>
      </c>
      <c r="D24860" s="1">
        <v>1.29833997959751E-3</v>
      </c>
      <c r="E24860" s="1">
        <v>7.9968012794882004E-4</v>
      </c>
      <c r="F24860" s="1">
        <v>6.7113626711780301E-3</v>
      </c>
    </row>
    <row r="24861" spans="1:6" x14ac:dyDescent="0.25">
      <c r="A24861" s="2" t="str">
        <f t="shared" si="869"/>
        <v>28020</v>
      </c>
      <c r="B24861" s="2" t="str">
        <f>"49024"</f>
        <v>49024</v>
      </c>
      <c r="C24861" s="1">
        <v>0.10493733596062201</v>
      </c>
      <c r="D24861" s="1">
        <v>9.2460354261337196E-2</v>
      </c>
      <c r="E24861" s="1">
        <v>8.8897774223643797E-2</v>
      </c>
      <c r="F24861" s="1">
        <v>0.10316283408870899</v>
      </c>
    </row>
    <row r="24862" spans="1:6" x14ac:dyDescent="0.25">
      <c r="A24862" s="2" t="str">
        <f t="shared" si="869"/>
        <v>28020</v>
      </c>
      <c r="B24862" s="2" t="str">
        <f>"49087"</f>
        <v>49087</v>
      </c>
      <c r="C24862" s="1">
        <v>2.4060438289283601E-2</v>
      </c>
      <c r="D24862" s="1">
        <v>2.09589168135027E-2</v>
      </c>
      <c r="E24862" s="1">
        <v>5.7310409169665398E-3</v>
      </c>
      <c r="F24862" s="1">
        <v>2.28701518410994E-2</v>
      </c>
    </row>
    <row r="24863" spans="1:6" x14ac:dyDescent="0.25">
      <c r="A24863" s="2" t="str">
        <f t="shared" si="869"/>
        <v>28020</v>
      </c>
      <c r="B24863" s="2" t="str">
        <f>"49077"</f>
        <v>49077</v>
      </c>
      <c r="C24863" s="1">
        <v>2.5847420443394901E-3</v>
      </c>
      <c r="D24863" s="1">
        <v>1.27979226560326E-2</v>
      </c>
      <c r="E24863" s="1">
        <v>2.6656004264960601E-4</v>
      </c>
      <c r="F24863" s="1">
        <v>3.2303654350898398E-3</v>
      </c>
    </row>
    <row r="24864" spans="1:6" x14ac:dyDescent="0.25">
      <c r="A24864" s="2" t="str">
        <f t="shared" si="869"/>
        <v>28020</v>
      </c>
      <c r="B24864" s="2" t="str">
        <f>"49071"</f>
        <v>49071</v>
      </c>
      <c r="C24864" s="1">
        <v>6.9086006493765499E-3</v>
      </c>
      <c r="D24864" s="1">
        <v>2.7821570991375301E-4</v>
      </c>
      <c r="E24864" s="1">
        <v>2.6656004264960601E-4</v>
      </c>
      <c r="F24864" s="1">
        <v>6.0638971852656296E-3</v>
      </c>
    </row>
    <row r="24865" spans="1:6" x14ac:dyDescent="0.25">
      <c r="A24865" s="2" t="str">
        <f t="shared" si="869"/>
        <v>28020</v>
      </c>
      <c r="B24865" s="2" t="str">
        <f>"49088"</f>
        <v>49088</v>
      </c>
      <c r="C24865" s="1">
        <v>1.2540785474387899E-2</v>
      </c>
      <c r="D24865" s="1">
        <v>1.1128628396550101E-3</v>
      </c>
      <c r="E24865" s="1">
        <v>0</v>
      </c>
      <c r="F24865" s="1">
        <v>1.10277992439274E-2</v>
      </c>
    </row>
    <row r="24866" spans="1:6" x14ac:dyDescent="0.25">
      <c r="A24866" s="2" t="str">
        <f t="shared" si="869"/>
        <v>28020</v>
      </c>
      <c r="B24866" s="2" t="str">
        <f>"49078"</f>
        <v>49078</v>
      </c>
      <c r="C24866" s="1">
        <v>1.4918109947267999E-3</v>
      </c>
      <c r="D24866" s="1">
        <v>0</v>
      </c>
      <c r="E24866" s="1">
        <v>0</v>
      </c>
      <c r="F24866" s="1">
        <v>1.30189296629698E-3</v>
      </c>
    </row>
    <row r="24867" spans="1:6" x14ac:dyDescent="0.25">
      <c r="A24867" s="2" t="str">
        <f t="shared" si="869"/>
        <v>28020</v>
      </c>
      <c r="B24867" s="2" t="str">
        <f>"49065"</f>
        <v>49065</v>
      </c>
      <c r="C24867" s="1">
        <v>2.1539517036162401E-4</v>
      </c>
      <c r="D24867" s="1">
        <v>0</v>
      </c>
      <c r="E24867" s="1">
        <v>0</v>
      </c>
      <c r="F24867" s="1">
        <v>1.8797385074876199E-4</v>
      </c>
    </row>
    <row r="24868" spans="1:6" x14ac:dyDescent="0.25">
      <c r="A24868" s="2" t="str">
        <f t="shared" si="869"/>
        <v>28020</v>
      </c>
      <c r="B24868" s="2" t="str">
        <f>"49053"</f>
        <v>49053</v>
      </c>
      <c r="C24868" s="1">
        <v>2.7929573756890601E-2</v>
      </c>
      <c r="D24868" s="1">
        <v>2.0680701103588901E-2</v>
      </c>
      <c r="E24868" s="1">
        <v>1.4127682260429099E-2</v>
      </c>
      <c r="F24868" s="1">
        <v>2.6664438828435499E-2</v>
      </c>
    </row>
    <row r="24869" spans="1:6" x14ac:dyDescent="0.25">
      <c r="A24869" s="2" t="str">
        <f t="shared" si="869"/>
        <v>28020</v>
      </c>
      <c r="B24869" s="2" t="str">
        <f>"49052"</f>
        <v>49052</v>
      </c>
      <c r="C24869" s="1">
        <v>2.34541407727102E-3</v>
      </c>
      <c r="D24869" s="1">
        <v>1.2056014096262599E-3</v>
      </c>
      <c r="E24869" s="1">
        <v>0</v>
      </c>
      <c r="F24869" s="1">
        <v>2.1373323029581499E-3</v>
      </c>
    </row>
    <row r="24870" spans="1:6" x14ac:dyDescent="0.25">
      <c r="A24870" s="2" t="str">
        <f t="shared" si="869"/>
        <v>28020</v>
      </c>
      <c r="B24870" s="2" t="str">
        <f>"49048"</f>
        <v>49048</v>
      </c>
      <c r="C24870" s="1">
        <v>9.0697321920048493E-2</v>
      </c>
      <c r="D24870" s="1">
        <v>8.5875915793378402E-2</v>
      </c>
      <c r="E24870" s="1">
        <v>0.116620018659202</v>
      </c>
      <c r="F24870" s="1">
        <v>9.1689467198562996E-2</v>
      </c>
    </row>
    <row r="24871" spans="1:6" x14ac:dyDescent="0.25">
      <c r="A24871" s="2" t="str">
        <f t="shared" si="869"/>
        <v>28020</v>
      </c>
      <c r="B24871" s="2" t="str">
        <f>"49006"</f>
        <v>49006</v>
      </c>
      <c r="C24871" s="1">
        <v>9.7621877767229595E-2</v>
      </c>
      <c r="D24871" s="1">
        <v>4.4329036446257901E-2</v>
      </c>
      <c r="E24871" s="1">
        <v>0.13554578168732501</v>
      </c>
      <c r="F24871" s="1">
        <v>9.5602108091926097E-2</v>
      </c>
    </row>
    <row r="24872" spans="1:6" x14ac:dyDescent="0.25">
      <c r="A24872" s="2" t="str">
        <f t="shared" ref="A24872:A24898" si="870">"26090"</f>
        <v>26090</v>
      </c>
      <c r="B24872" s="2" t="str">
        <f>"49408"</f>
        <v>49408</v>
      </c>
      <c r="C24872" s="1">
        <v>9.3147649339981195E-2</v>
      </c>
      <c r="D24872" s="1">
        <v>3.9202874877491002E-2</v>
      </c>
      <c r="E24872" s="1">
        <v>4.8000000000000001E-2</v>
      </c>
      <c r="F24872" s="1">
        <v>8.9328356888896704E-2</v>
      </c>
    </row>
    <row r="24873" spans="1:6" x14ac:dyDescent="0.25">
      <c r="A24873" s="2" t="str">
        <f t="shared" si="870"/>
        <v>26090</v>
      </c>
      <c r="B24873" s="2" t="str">
        <f>"49426"</f>
        <v>49426</v>
      </c>
      <c r="C24873" s="1">
        <v>7.2592507689074799E-4</v>
      </c>
      <c r="D24873" s="1">
        <v>0</v>
      </c>
      <c r="E24873" s="1">
        <v>0</v>
      </c>
      <c r="F24873" s="1">
        <v>6.7217377460951995E-4</v>
      </c>
    </row>
    <row r="24874" spans="1:6" x14ac:dyDescent="0.25">
      <c r="A24874" s="2" t="str">
        <f t="shared" si="870"/>
        <v>26090</v>
      </c>
      <c r="B24874" s="2" t="str">
        <f>"49090"</f>
        <v>49090</v>
      </c>
      <c r="C24874" s="1">
        <v>3.2838558083557699E-2</v>
      </c>
      <c r="D24874" s="1">
        <v>1.53544593270173E-2</v>
      </c>
      <c r="E24874" s="1">
        <v>1.24444444444444E-2</v>
      </c>
      <c r="F24874" s="1">
        <v>3.1486034705393302E-2</v>
      </c>
    </row>
    <row r="24875" spans="1:6" x14ac:dyDescent="0.25">
      <c r="A24875" s="2" t="str">
        <f t="shared" si="870"/>
        <v>26090</v>
      </c>
      <c r="B24875" s="2" t="str">
        <f>"49464"</f>
        <v>49464</v>
      </c>
      <c r="C24875" s="1">
        <v>2.5216344776204901E-3</v>
      </c>
      <c r="D24875" s="1">
        <v>0</v>
      </c>
      <c r="E24875" s="1">
        <v>0</v>
      </c>
      <c r="F24875" s="1">
        <v>2.33491942759096E-3</v>
      </c>
    </row>
    <row r="24876" spans="1:6" x14ac:dyDescent="0.25">
      <c r="A24876" s="2" t="str">
        <f t="shared" si="870"/>
        <v>26090</v>
      </c>
      <c r="B24876" s="2" t="str">
        <f>"49080"</f>
        <v>49080</v>
      </c>
      <c r="C24876" s="1">
        <v>9.3147649339981195E-2</v>
      </c>
      <c r="D24876" s="1">
        <v>0.137536752695197</v>
      </c>
      <c r="E24876" s="1">
        <v>0.19822222222222199</v>
      </c>
      <c r="F24876" s="1">
        <v>9.7642085153803904E-2</v>
      </c>
    </row>
    <row r="24877" spans="1:6" x14ac:dyDescent="0.25">
      <c r="A24877" s="2" t="str">
        <f t="shared" si="870"/>
        <v>26090</v>
      </c>
      <c r="B24877" s="2" t="str">
        <f>"49316"</f>
        <v>49316</v>
      </c>
      <c r="C24877" s="1">
        <v>1.9752803408027202E-2</v>
      </c>
      <c r="D24877" s="1">
        <v>2.2868343678536401E-3</v>
      </c>
      <c r="E24877" s="1">
        <v>1.06666666666666E-2</v>
      </c>
      <c r="F24877" s="1">
        <v>1.86262890701006E-2</v>
      </c>
    </row>
    <row r="24878" spans="1:6" x14ac:dyDescent="0.25">
      <c r="A24878" s="2" t="str">
        <f t="shared" si="870"/>
        <v>26090</v>
      </c>
      <c r="B24878" s="2" t="str">
        <f>"49416"</f>
        <v>49416</v>
      </c>
      <c r="C24878" s="1">
        <v>0</v>
      </c>
      <c r="D24878" s="1">
        <v>3.2669062397909098E-4</v>
      </c>
      <c r="E24878" s="1">
        <v>0</v>
      </c>
      <c r="F24878" s="1">
        <v>1.76887835423557E-5</v>
      </c>
    </row>
    <row r="24879" spans="1:6" x14ac:dyDescent="0.25">
      <c r="A24879" s="2" t="str">
        <f t="shared" si="870"/>
        <v>26090</v>
      </c>
      <c r="B24879" s="2" t="str">
        <f>"49055"</f>
        <v>49055</v>
      </c>
      <c r="C24879" s="1">
        <v>6.0748466960857299E-3</v>
      </c>
      <c r="D24879" s="1">
        <v>6.5338124795818304E-4</v>
      </c>
      <c r="E24879" s="1">
        <v>1.7777777777777701E-3</v>
      </c>
      <c r="F24879" s="1">
        <v>5.6957883006385603E-3</v>
      </c>
    </row>
    <row r="24880" spans="1:6" x14ac:dyDescent="0.25">
      <c r="A24880" s="2" t="str">
        <f t="shared" si="870"/>
        <v>26090</v>
      </c>
      <c r="B24880" s="2" t="str">
        <f>"49056"</f>
        <v>49056</v>
      </c>
      <c r="C24880" s="1">
        <v>1.55882858616539E-2</v>
      </c>
      <c r="D24880" s="1">
        <v>1.9601437438745502E-3</v>
      </c>
      <c r="E24880" s="1">
        <v>8.8888888888888796E-4</v>
      </c>
      <c r="F24880" s="1">
        <v>1.4557868855358799E-2</v>
      </c>
    </row>
    <row r="24881" spans="1:6" x14ac:dyDescent="0.25">
      <c r="A24881" s="2" t="str">
        <f t="shared" si="870"/>
        <v>26090</v>
      </c>
      <c r="B24881" s="2" t="str">
        <f>"49450"</f>
        <v>49450</v>
      </c>
      <c r="C24881" s="1">
        <v>2.8425697747721902E-2</v>
      </c>
      <c r="D24881" s="1">
        <v>5.22704998366546E-3</v>
      </c>
      <c r="E24881" s="1">
        <v>1.7777777777777701E-3</v>
      </c>
      <c r="F24881" s="1">
        <v>2.66393080147878E-2</v>
      </c>
    </row>
    <row r="24882" spans="1:6" x14ac:dyDescent="0.25">
      <c r="A24882" s="2" t="str">
        <f t="shared" si="870"/>
        <v>26090</v>
      </c>
      <c r="B24882" s="2" t="str">
        <f>"49315"</f>
        <v>49315</v>
      </c>
      <c r="C24882" s="1">
        <v>3.4003858864882401E-3</v>
      </c>
      <c r="D24882" s="1">
        <v>3.2669062397909102E-3</v>
      </c>
      <c r="E24882" s="1">
        <v>1.7777777777777701E-3</v>
      </c>
      <c r="F24882" s="1">
        <v>3.3608688730475999E-3</v>
      </c>
    </row>
    <row r="24883" spans="1:6" x14ac:dyDescent="0.25">
      <c r="A24883" s="2" t="str">
        <f t="shared" si="870"/>
        <v>26090</v>
      </c>
      <c r="B24883" s="2" t="str">
        <f>"49348"</f>
        <v>49348</v>
      </c>
      <c r="C24883" s="1">
        <v>8.6251361109519101E-2</v>
      </c>
      <c r="D24883" s="1">
        <v>0.121855602744201</v>
      </c>
      <c r="E24883" s="1">
        <v>0.105777777777777</v>
      </c>
      <c r="F24883" s="1">
        <v>8.8567739196575401E-2</v>
      </c>
    </row>
    <row r="24884" spans="1:6" x14ac:dyDescent="0.25">
      <c r="A24884" s="2" t="str">
        <f t="shared" si="870"/>
        <v>26090</v>
      </c>
      <c r="B24884" s="2" t="str">
        <f>"49010"</f>
        <v>49010</v>
      </c>
      <c r="C24884" s="1">
        <v>0.156589680401933</v>
      </c>
      <c r="D24884" s="1">
        <v>0.18327344005227</v>
      </c>
      <c r="E24884" s="1">
        <v>0.17599999999999999</v>
      </c>
      <c r="F24884" s="1">
        <v>0.15842074540533799</v>
      </c>
    </row>
    <row r="24885" spans="1:6" x14ac:dyDescent="0.25">
      <c r="A24885" s="2" t="str">
        <f t="shared" si="870"/>
        <v>26090</v>
      </c>
      <c r="B24885" s="2" t="str">
        <f>"49323"</f>
        <v>49323</v>
      </c>
      <c r="C24885" s="1">
        <v>6.9535981049534804E-2</v>
      </c>
      <c r="D24885" s="1">
        <v>4.2469781117281898E-2</v>
      </c>
      <c r="E24885" s="1">
        <v>2.1333333333333301E-2</v>
      </c>
      <c r="F24885" s="1">
        <v>6.7111244759697805E-2</v>
      </c>
    </row>
    <row r="24886" spans="1:6" x14ac:dyDescent="0.25">
      <c r="A24886" s="2" t="str">
        <f t="shared" si="870"/>
        <v>26090</v>
      </c>
      <c r="B24886" s="2" t="str">
        <f>"49314"</f>
        <v>49314</v>
      </c>
      <c r="C24886" s="1">
        <v>0</v>
      </c>
      <c r="D24886" s="1">
        <v>3.2669062397909098E-4</v>
      </c>
      <c r="E24886" s="1">
        <v>0</v>
      </c>
      <c r="F24886" s="1">
        <v>1.76887835423557E-5</v>
      </c>
    </row>
    <row r="24887" spans="1:6" x14ac:dyDescent="0.25">
      <c r="A24887" s="2" t="str">
        <f t="shared" si="870"/>
        <v>26090</v>
      </c>
      <c r="B24887" s="2" t="str">
        <f>"49406"</f>
        <v>49406</v>
      </c>
      <c r="C24887" s="1">
        <v>1.18440407282174E-2</v>
      </c>
      <c r="D24887" s="1">
        <v>4.2469781117281903E-3</v>
      </c>
      <c r="E24887" s="1">
        <v>1.7777777777777701E-3</v>
      </c>
      <c r="F24887" s="1">
        <v>1.12323775493959E-2</v>
      </c>
    </row>
    <row r="24888" spans="1:6" x14ac:dyDescent="0.25">
      <c r="A24888" s="2" t="str">
        <f t="shared" si="870"/>
        <v>26090</v>
      </c>
      <c r="B24888" s="2" t="str">
        <f>"49333"</f>
        <v>49333</v>
      </c>
      <c r="C24888" s="1">
        <v>2.8654937245687397E-4</v>
      </c>
      <c r="D24888" s="1">
        <v>3.2669062397909098E-4</v>
      </c>
      <c r="E24888" s="1">
        <v>0</v>
      </c>
      <c r="F24888" s="1">
        <v>2.8302053667769202E-4</v>
      </c>
    </row>
    <row r="24889" spans="1:6" x14ac:dyDescent="0.25">
      <c r="A24889" s="2" t="str">
        <f t="shared" si="870"/>
        <v>26090</v>
      </c>
      <c r="B24889" s="2" t="str">
        <f>"49070"</f>
        <v>49070</v>
      </c>
      <c r="C24889" s="1">
        <v>2.0421418610426501E-2</v>
      </c>
      <c r="D24889" s="1">
        <v>1.89480561907873E-2</v>
      </c>
      <c r="E24889" s="1">
        <v>8.8888888888888802E-3</v>
      </c>
      <c r="F24889" s="1">
        <v>2.01121468876585E-2</v>
      </c>
    </row>
    <row r="24890" spans="1:6" x14ac:dyDescent="0.25">
      <c r="A24890" s="2" t="str">
        <f t="shared" si="870"/>
        <v>26090</v>
      </c>
      <c r="B24890" s="2" t="str">
        <f>"49078"</f>
        <v>49078</v>
      </c>
      <c r="C24890" s="1">
        <v>7.2401474774103497E-2</v>
      </c>
      <c r="D24890" s="1">
        <v>6.4684743547860094E-2</v>
      </c>
      <c r="E24890" s="1">
        <v>0.109333333333333</v>
      </c>
      <c r="F24890" s="1">
        <v>7.2718589142624607E-2</v>
      </c>
    </row>
    <row r="24891" spans="1:6" x14ac:dyDescent="0.25">
      <c r="A24891" s="2" t="str">
        <f t="shared" si="870"/>
        <v>26090</v>
      </c>
      <c r="B24891" s="2" t="str">
        <f>"49419"</f>
        <v>49419</v>
      </c>
      <c r="C24891" s="1">
        <v>5.9010067434618903E-2</v>
      </c>
      <c r="D24891" s="1">
        <v>4.5083306109114603E-2</v>
      </c>
      <c r="E24891" s="1">
        <v>1.15555555555555E-2</v>
      </c>
      <c r="F24891" s="1">
        <v>5.7311658677232702E-2</v>
      </c>
    </row>
    <row r="24892" spans="1:6" x14ac:dyDescent="0.25">
      <c r="A24892" s="2" t="str">
        <f t="shared" si="870"/>
        <v>26090</v>
      </c>
      <c r="B24892" s="2" t="str">
        <f>"49344"</f>
        <v>49344</v>
      </c>
      <c r="C24892" s="1">
        <v>1.9408944161078901E-2</v>
      </c>
      <c r="D24892" s="1">
        <v>1.9928128062724499E-2</v>
      </c>
      <c r="E24892" s="1">
        <v>8.8888888888888802E-3</v>
      </c>
      <c r="F24892" s="1">
        <v>1.9227707710540699E-2</v>
      </c>
    </row>
    <row r="24893" spans="1:6" x14ac:dyDescent="0.25">
      <c r="A24893" s="2" t="str">
        <f t="shared" si="870"/>
        <v>26090</v>
      </c>
      <c r="B24893" s="2" t="str">
        <f>"49311"</f>
        <v>49311</v>
      </c>
      <c r="C24893" s="1">
        <v>0</v>
      </c>
      <c r="D24893" s="1">
        <v>3.2669062397909098E-4</v>
      </c>
      <c r="E24893" s="1">
        <v>0</v>
      </c>
      <c r="F24893" s="1">
        <v>1.76887835423557E-5</v>
      </c>
    </row>
    <row r="24894" spans="1:6" x14ac:dyDescent="0.25">
      <c r="A24894" s="2" t="str">
        <f t="shared" si="870"/>
        <v>26090</v>
      </c>
      <c r="B24894" s="2" t="str">
        <f>"49335"</f>
        <v>49335</v>
      </c>
      <c r="C24894" s="1">
        <v>0</v>
      </c>
      <c r="D24894" s="1">
        <v>9.800718719372751E-4</v>
      </c>
      <c r="E24894" s="1">
        <v>0</v>
      </c>
      <c r="F24894" s="1">
        <v>5.3066350627067301E-5</v>
      </c>
    </row>
    <row r="24895" spans="1:6" x14ac:dyDescent="0.25">
      <c r="A24895" s="2" t="str">
        <f t="shared" si="870"/>
        <v>26090</v>
      </c>
      <c r="B24895" s="2" t="str">
        <f>"49026"</f>
        <v>49026</v>
      </c>
      <c r="C24895" s="1">
        <v>2.23508510516361E-3</v>
      </c>
      <c r="D24895" s="1">
        <v>9.800718719372751E-4</v>
      </c>
      <c r="E24895" s="1">
        <v>0</v>
      </c>
      <c r="F24895" s="1">
        <v>2.1226540250826901E-3</v>
      </c>
    </row>
    <row r="24896" spans="1:6" x14ac:dyDescent="0.25">
      <c r="A24896" s="2" t="str">
        <f t="shared" si="870"/>
        <v>26090</v>
      </c>
      <c r="B24896" s="2" t="str">
        <f>"49453"</f>
        <v>49453</v>
      </c>
      <c r="C24896" s="1">
        <v>3.3946548990390998E-2</v>
      </c>
      <c r="D24896" s="1">
        <v>4.0836327997386401E-2</v>
      </c>
      <c r="E24896" s="1">
        <v>3.7333333333333302E-2</v>
      </c>
      <c r="F24896" s="1">
        <v>3.4386995206339602E-2</v>
      </c>
    </row>
    <row r="24897" spans="1:6" x14ac:dyDescent="0.25">
      <c r="A24897" s="2" t="str">
        <f t="shared" si="870"/>
        <v>26090</v>
      </c>
      <c r="B24897" s="2" t="str">
        <f>"49328"</f>
        <v>49328</v>
      </c>
      <c r="C24897" s="1">
        <v>3.4233098362847901E-2</v>
      </c>
      <c r="D24897" s="1">
        <v>2.1561581182619999E-2</v>
      </c>
      <c r="E24897" s="1">
        <v>1.42222222222222E-2</v>
      </c>
      <c r="F24897" s="1">
        <v>3.3148780358374701E-2</v>
      </c>
    </row>
    <row r="24898" spans="1:6" x14ac:dyDescent="0.25">
      <c r="A24898" s="2" t="str">
        <f t="shared" si="870"/>
        <v>26090</v>
      </c>
      <c r="B24898" s="2" t="str">
        <f>"49423"</f>
        <v>49423</v>
      </c>
      <c r="C24898" s="1">
        <v>0.138212313981699</v>
      </c>
      <c r="D24898" s="1">
        <v>0.22835674616138499</v>
      </c>
      <c r="E24898" s="1">
        <v>0.229333333333333</v>
      </c>
      <c r="F24898" s="1">
        <v>0.14490651477897801</v>
      </c>
    </row>
    <row r="24899" spans="1:6" x14ac:dyDescent="0.25">
      <c r="A24899" s="2" t="str">
        <f t="shared" ref="A24899:A24924" si="871">"35660"</f>
        <v>35660</v>
      </c>
      <c r="B24899" s="2" t="str">
        <f>"49038"</f>
        <v>49038</v>
      </c>
      <c r="C24899" s="1">
        <v>5.8314444673397803E-2</v>
      </c>
      <c r="D24899" s="1">
        <v>3.0171242185376399E-2</v>
      </c>
      <c r="E24899" s="1">
        <v>5.6969236612229301E-2</v>
      </c>
      <c r="F24899" s="1">
        <v>5.6037278899796698E-2</v>
      </c>
    </row>
    <row r="24900" spans="1:6" x14ac:dyDescent="0.25">
      <c r="A24900" s="2" t="str">
        <f t="shared" si="871"/>
        <v>35660</v>
      </c>
      <c r="B24900" s="2" t="str">
        <f>"49023"</f>
        <v>49023</v>
      </c>
      <c r="C24900" s="1">
        <v>1.17574332432334E-2</v>
      </c>
      <c r="D24900" s="1">
        <v>2.6909486273443799E-2</v>
      </c>
      <c r="E24900" s="1">
        <v>7.5958982149639095E-4</v>
      </c>
      <c r="F24900" s="1">
        <v>1.2649742680448E-2</v>
      </c>
    </row>
    <row r="24901" spans="1:6" x14ac:dyDescent="0.25">
      <c r="A24901" s="2" t="str">
        <f t="shared" si="871"/>
        <v>35660</v>
      </c>
      <c r="B24901" s="2" t="str">
        <f>"49120"</f>
        <v>49120</v>
      </c>
      <c r="C24901" s="1">
        <v>0.164167707058096</v>
      </c>
      <c r="D24901" s="1">
        <v>0.18456102201685201</v>
      </c>
      <c r="E24901" s="1">
        <v>0.181541967337637</v>
      </c>
      <c r="F24901" s="1">
        <v>0.16628465164554701</v>
      </c>
    </row>
    <row r="24902" spans="1:6" x14ac:dyDescent="0.25">
      <c r="A24902" s="2" t="str">
        <f t="shared" si="871"/>
        <v>35660</v>
      </c>
      <c r="B24902" s="2" t="str">
        <f>"49113"</f>
        <v>49113</v>
      </c>
      <c r="C24902" s="1">
        <v>1.1442285548053901E-2</v>
      </c>
      <c r="D24902" s="1">
        <v>3.53356890459363E-3</v>
      </c>
      <c r="E24902" s="1">
        <v>3.7979491074819499E-4</v>
      </c>
      <c r="F24902" s="1">
        <v>1.04982052501837E-2</v>
      </c>
    </row>
    <row r="24903" spans="1:6" x14ac:dyDescent="0.25">
      <c r="A24903" s="2" t="str">
        <f t="shared" si="871"/>
        <v>35660</v>
      </c>
      <c r="B24903" s="2" t="str">
        <f>"49084"</f>
        <v>49084</v>
      </c>
      <c r="C24903" s="1">
        <v>1.21210651992097E-5</v>
      </c>
      <c r="D24903" s="1">
        <v>8.1543897798314698E-4</v>
      </c>
      <c r="E24903" s="1">
        <v>0</v>
      </c>
      <c r="F24903" s="1">
        <v>7.5682221165073693E-5</v>
      </c>
    </row>
    <row r="24904" spans="1:6" x14ac:dyDescent="0.25">
      <c r="A24904" s="2" t="str">
        <f t="shared" si="871"/>
        <v>35660</v>
      </c>
      <c r="B24904" s="2" t="str">
        <f>"49101"</f>
        <v>49101</v>
      </c>
      <c r="C24904" s="1">
        <v>1.81452346032169E-2</v>
      </c>
      <c r="D24904" s="1">
        <v>4.7567273715683599E-3</v>
      </c>
      <c r="E24904" s="1">
        <v>6.83630839346752E-3</v>
      </c>
      <c r="F24904" s="1">
        <v>1.6758206115123402E-2</v>
      </c>
    </row>
    <row r="24905" spans="1:6" x14ac:dyDescent="0.25">
      <c r="A24905" s="2" t="str">
        <f t="shared" si="871"/>
        <v>35660</v>
      </c>
      <c r="B24905" s="2" t="str">
        <f>"49043"</f>
        <v>49043</v>
      </c>
      <c r="C24905" s="1">
        <v>1.69694912788935E-4</v>
      </c>
      <c r="D24905" s="1">
        <v>1.35906496330524E-4</v>
      </c>
      <c r="E24905" s="1">
        <v>0</v>
      </c>
      <c r="F24905" s="1">
        <v>1.62176188210872E-4</v>
      </c>
    </row>
    <row r="24906" spans="1:6" x14ac:dyDescent="0.25">
      <c r="A24906" s="2" t="str">
        <f t="shared" si="871"/>
        <v>35660</v>
      </c>
      <c r="B24906" s="2" t="str">
        <f>"49098"</f>
        <v>49098</v>
      </c>
      <c r="C24906" s="1">
        <v>3.42056459921697E-2</v>
      </c>
      <c r="D24906" s="1">
        <v>2.2424571894536501E-2</v>
      </c>
      <c r="E24906" s="1">
        <v>3.0003797949107399E-2</v>
      </c>
      <c r="F24906" s="1">
        <v>3.3148812870302198E-2</v>
      </c>
    </row>
    <row r="24907" spans="1:6" x14ac:dyDescent="0.25">
      <c r="A24907" s="2" t="str">
        <f t="shared" si="871"/>
        <v>35660</v>
      </c>
      <c r="B24907" s="2" t="str">
        <f>"49047"</f>
        <v>49047</v>
      </c>
      <c r="C24907" s="1">
        <v>5.0908473836680697E-4</v>
      </c>
      <c r="D24907" s="1">
        <v>1.35906496330524E-4</v>
      </c>
      <c r="E24907" s="1">
        <v>0</v>
      </c>
      <c r="F24907" s="1">
        <v>4.6490507287116699E-4</v>
      </c>
    </row>
    <row r="24908" spans="1:6" x14ac:dyDescent="0.25">
      <c r="A24908" s="2" t="str">
        <f t="shared" si="871"/>
        <v>35660</v>
      </c>
      <c r="B24908" s="2" t="str">
        <f>"49117"</f>
        <v>49117</v>
      </c>
      <c r="C24908" s="1">
        <v>4.6375195452176297E-2</v>
      </c>
      <c r="D24908" s="1">
        <v>4.1995107366132101E-2</v>
      </c>
      <c r="E24908" s="1">
        <v>5.3551082415495603E-2</v>
      </c>
      <c r="F24908" s="1">
        <v>4.6231025385979299E-2</v>
      </c>
    </row>
    <row r="24909" spans="1:6" x14ac:dyDescent="0.25">
      <c r="A24909" s="2" t="str">
        <f t="shared" si="871"/>
        <v>35660</v>
      </c>
      <c r="B24909" s="2" t="str">
        <f>"49116"</f>
        <v>49116</v>
      </c>
      <c r="C24909" s="1">
        <v>3.49086677737239E-3</v>
      </c>
      <c r="D24909" s="1">
        <v>2.31041043761891E-3</v>
      </c>
      <c r="E24909" s="1">
        <v>0</v>
      </c>
      <c r="F24909" s="1">
        <v>3.2975824936210601E-3</v>
      </c>
    </row>
    <row r="24910" spans="1:6" x14ac:dyDescent="0.25">
      <c r="A24910" s="2" t="str">
        <f t="shared" si="871"/>
        <v>35660</v>
      </c>
      <c r="B24910" s="2" t="str">
        <f>"49102"</f>
        <v>49102</v>
      </c>
      <c r="C24910" s="1">
        <v>6.8726439679519004E-3</v>
      </c>
      <c r="D24910" s="1">
        <v>2.8540364229410098E-3</v>
      </c>
      <c r="E24910" s="1">
        <v>5.3171287504747396E-3</v>
      </c>
      <c r="F24910" s="1">
        <v>6.50867102019634E-3</v>
      </c>
    </row>
    <row r="24911" spans="1:6" x14ac:dyDescent="0.25">
      <c r="A24911" s="2" t="str">
        <f t="shared" si="871"/>
        <v>35660</v>
      </c>
      <c r="B24911" s="2" t="str">
        <f>"49103"</f>
        <v>49103</v>
      </c>
      <c r="C24911" s="1">
        <v>6.6011321074896004E-2</v>
      </c>
      <c r="D24911" s="1">
        <v>5.6401195977167702E-2</v>
      </c>
      <c r="E24911" s="1">
        <v>0.100645651348271</v>
      </c>
      <c r="F24911" s="1">
        <v>6.6232755265320201E-2</v>
      </c>
    </row>
    <row r="24912" spans="1:6" x14ac:dyDescent="0.25">
      <c r="A24912" s="2" t="str">
        <f t="shared" si="871"/>
        <v>35660</v>
      </c>
      <c r="B24912" s="2" t="str">
        <f>"49107"</f>
        <v>49107</v>
      </c>
      <c r="C24912" s="1">
        <v>5.9150798172143297E-2</v>
      </c>
      <c r="D24912" s="1">
        <v>4.145148138081E-2</v>
      </c>
      <c r="E24912" s="1">
        <v>6.2286365362704099E-2</v>
      </c>
      <c r="F24912" s="1">
        <v>5.7832028715996998E-2</v>
      </c>
    </row>
    <row r="24913" spans="1:6" x14ac:dyDescent="0.25">
      <c r="A24913" s="2" t="str">
        <f t="shared" si="871"/>
        <v>35660</v>
      </c>
      <c r="B24913" s="2" t="str">
        <f>"49022"</f>
        <v>49022</v>
      </c>
      <c r="C24913" s="1">
        <v>0.181100835141392</v>
      </c>
      <c r="D24913" s="1">
        <v>0.21065506931231301</v>
      </c>
      <c r="E24913" s="1">
        <v>0.20167109760729199</v>
      </c>
      <c r="F24913" s="1">
        <v>0.18403753838169701</v>
      </c>
    </row>
    <row r="24914" spans="1:6" x14ac:dyDescent="0.25">
      <c r="A24914" s="2" t="str">
        <f t="shared" si="871"/>
        <v>35660</v>
      </c>
      <c r="B24914" s="2" t="str">
        <f>"49111"</f>
        <v>49111</v>
      </c>
      <c r="C24914" s="1">
        <v>1.7975539690427901E-2</v>
      </c>
      <c r="D24914" s="1">
        <v>8.2902962761620003E-3</v>
      </c>
      <c r="E24914" s="1">
        <v>4.1777440182301498E-3</v>
      </c>
      <c r="F24914" s="1">
        <v>1.6812264844527001E-2</v>
      </c>
    </row>
    <row r="24915" spans="1:6" x14ac:dyDescent="0.25">
      <c r="A24915" s="2" t="str">
        <f t="shared" si="871"/>
        <v>35660</v>
      </c>
      <c r="B24915" s="2" t="str">
        <f>"49106"</f>
        <v>49106</v>
      </c>
      <c r="C24915" s="1">
        <v>3.6702585423206903E-2</v>
      </c>
      <c r="D24915" s="1">
        <v>3.2345746126664798E-2</v>
      </c>
      <c r="E24915" s="1">
        <v>1.7850360805165201E-2</v>
      </c>
      <c r="F24915" s="1">
        <v>3.5819314102841303E-2</v>
      </c>
    </row>
    <row r="24916" spans="1:6" x14ac:dyDescent="0.25">
      <c r="A24916" s="2" t="str">
        <f t="shared" si="871"/>
        <v>35660</v>
      </c>
      <c r="B24916" s="2" t="str">
        <f>"49126"</f>
        <v>49126</v>
      </c>
      <c r="C24916" s="1">
        <v>8.0968715530720797E-3</v>
      </c>
      <c r="D24916" s="1">
        <v>4.7567273715683599E-3</v>
      </c>
      <c r="E24916" s="1">
        <v>2.6585643752373698E-3</v>
      </c>
      <c r="F24916" s="1">
        <v>7.6763395753146196E-3</v>
      </c>
    </row>
    <row r="24917" spans="1:6" x14ac:dyDescent="0.25">
      <c r="A24917" s="2" t="str">
        <f t="shared" si="871"/>
        <v>35660</v>
      </c>
      <c r="B24917" s="2" t="str">
        <f>"49119"</f>
        <v>49119</v>
      </c>
      <c r="C24917" s="1">
        <v>6.3029539035890396E-4</v>
      </c>
      <c r="D24917" s="1">
        <v>4.07719488991573E-4</v>
      </c>
      <c r="E24917" s="1">
        <v>0</v>
      </c>
      <c r="F24917" s="1">
        <v>5.9464602343986496E-4</v>
      </c>
    </row>
    <row r="24918" spans="1:6" x14ac:dyDescent="0.25">
      <c r="A24918" s="2" t="str">
        <f t="shared" si="871"/>
        <v>35660</v>
      </c>
      <c r="B24918" s="2" t="str">
        <f>"49129"</f>
        <v>49129</v>
      </c>
      <c r="C24918" s="1">
        <v>8.3029296614586402E-3</v>
      </c>
      <c r="D24918" s="1">
        <v>5.0285403642294103E-3</v>
      </c>
      <c r="E24918" s="1">
        <v>3.7979491074819501E-3</v>
      </c>
      <c r="F24918" s="1">
        <v>7.9141979846905595E-3</v>
      </c>
    </row>
    <row r="24919" spans="1:6" x14ac:dyDescent="0.25">
      <c r="A24919" s="2" t="str">
        <f t="shared" si="871"/>
        <v>35660</v>
      </c>
      <c r="B24919" s="2" t="str">
        <f>"49085"</f>
        <v>49085</v>
      </c>
      <c r="C24919" s="1">
        <v>0.14987697118822799</v>
      </c>
      <c r="D24919" s="1">
        <v>0.207529219896711</v>
      </c>
      <c r="E24919" s="1">
        <v>0.220281048233953</v>
      </c>
      <c r="F24919" s="1">
        <v>0.15646758638584901</v>
      </c>
    </row>
    <row r="24920" spans="1:6" x14ac:dyDescent="0.25">
      <c r="A24920" s="2" t="str">
        <f t="shared" si="871"/>
        <v>35660</v>
      </c>
      <c r="B24920" s="2" t="str">
        <f>"49128"</f>
        <v>49128</v>
      </c>
      <c r="C24920" s="1">
        <v>2.5393631592344298E-2</v>
      </c>
      <c r="D24920" s="1">
        <v>1.9434628975265E-2</v>
      </c>
      <c r="E24920" s="1">
        <v>1.9369540448157901E-2</v>
      </c>
      <c r="F24920" s="1">
        <v>2.47480863209791E-2</v>
      </c>
    </row>
    <row r="24921" spans="1:6" x14ac:dyDescent="0.25">
      <c r="A24921" s="2" t="str">
        <f t="shared" si="871"/>
        <v>35660</v>
      </c>
      <c r="B24921" s="2" t="str">
        <f>"49127"</f>
        <v>49127</v>
      </c>
      <c r="C24921" s="1">
        <v>7.0168846438224894E-2</v>
      </c>
      <c r="D24921" s="1">
        <v>8.0320739331339999E-2</v>
      </c>
      <c r="E24921" s="1">
        <v>2.4686669198632698E-2</v>
      </c>
      <c r="F24921" s="1">
        <v>6.96817022012714E-2</v>
      </c>
    </row>
    <row r="24922" spans="1:6" x14ac:dyDescent="0.25">
      <c r="A24922" s="2" t="str">
        <f t="shared" si="871"/>
        <v>35660</v>
      </c>
      <c r="B24922" s="2" t="str">
        <f>"49125"</f>
        <v>49125</v>
      </c>
      <c r="C24922" s="1">
        <v>1.9187646210348901E-2</v>
      </c>
      <c r="D24922" s="1">
        <v>9.6493612394672398E-3</v>
      </c>
      <c r="E24922" s="1">
        <v>7.2161033042157201E-3</v>
      </c>
      <c r="F24922" s="1">
        <v>1.8088050858452599E-2</v>
      </c>
    </row>
    <row r="24923" spans="1:6" x14ac:dyDescent="0.25">
      <c r="A24923" s="2" t="str">
        <f t="shared" si="871"/>
        <v>35660</v>
      </c>
      <c r="B24923" s="2" t="str">
        <f>"49115"</f>
        <v>49115</v>
      </c>
      <c r="C24923" s="1">
        <v>1.9393704318735501E-3</v>
      </c>
      <c r="D24923" s="1">
        <v>6.7953248165262203E-4</v>
      </c>
      <c r="E24923" s="1">
        <v>0</v>
      </c>
      <c r="F24923" s="1">
        <v>1.7839380703195901E-3</v>
      </c>
    </row>
    <row r="24924" spans="1:6" x14ac:dyDescent="0.25">
      <c r="A24924" s="2" t="str">
        <f t="shared" si="871"/>
        <v>35660</v>
      </c>
      <c r="B24924" s="2" t="str">
        <f>"49104"</f>
        <v>49104</v>
      </c>
      <c r="C24924" s="1">
        <v>0</v>
      </c>
      <c r="D24924" s="1">
        <v>2.4463169339494399E-3</v>
      </c>
      <c r="E24924" s="1">
        <v>0</v>
      </c>
      <c r="F24924" s="1">
        <v>1.9461142585304599E-4</v>
      </c>
    </row>
    <row r="24925" spans="1:6" x14ac:dyDescent="0.25">
      <c r="A24925" s="2" t="str">
        <f t="shared" ref="A24925:A24988" si="872">"12580"</f>
        <v>12580</v>
      </c>
      <c r="B24925" s="2" t="str">
        <f>"21617"</f>
        <v>21617</v>
      </c>
      <c r="C24925" s="1">
        <v>3.7687323727762499E-3</v>
      </c>
      <c r="D24925" s="1">
        <v>3.1315839092332502E-3</v>
      </c>
      <c r="E24925" s="1">
        <v>1.9866207176160501E-3</v>
      </c>
      <c r="F24925" s="1">
        <v>3.6278475107534699E-3</v>
      </c>
    </row>
    <row r="24926" spans="1:6" x14ac:dyDescent="0.25">
      <c r="A24926" s="2" t="str">
        <f t="shared" si="872"/>
        <v>12580</v>
      </c>
      <c r="B24926" s="2" t="str">
        <f>"21723"</f>
        <v>21723</v>
      </c>
      <c r="C24926" s="1">
        <v>3.0889979801514399E-4</v>
      </c>
      <c r="D24926" s="1">
        <v>1.5575940909798899E-4</v>
      </c>
      <c r="E24926" s="1">
        <v>2.70288533008987E-5</v>
      </c>
      <c r="F24926" s="1">
        <v>2.8232276348275998E-4</v>
      </c>
    </row>
    <row r="24927" spans="1:6" x14ac:dyDescent="0.25">
      <c r="A24927" s="2" t="str">
        <f t="shared" si="872"/>
        <v>12580</v>
      </c>
      <c r="B24927" s="2" t="str">
        <f>"21776"</f>
        <v>21776</v>
      </c>
      <c r="C24927" s="1">
        <v>1.5855307928195801E-3</v>
      </c>
      <c r="D24927" s="1">
        <v>5.7385045457153795E-4</v>
      </c>
      <c r="E24927" s="1">
        <v>5.4057706601797395E-4</v>
      </c>
      <c r="F24927" s="1">
        <v>1.4506012466566499E-3</v>
      </c>
    </row>
    <row r="24928" spans="1:6" x14ac:dyDescent="0.25">
      <c r="A24928" s="2" t="str">
        <f t="shared" si="872"/>
        <v>12580</v>
      </c>
      <c r="B24928" s="2" t="str">
        <f>"21771"</f>
        <v>21771</v>
      </c>
      <c r="C24928" s="1">
        <v>5.2543933060871803E-3</v>
      </c>
      <c r="D24928" s="1">
        <v>6.2877614093767098E-3</v>
      </c>
      <c r="E24928" s="1">
        <v>1.3379282383944801E-3</v>
      </c>
      <c r="F24928" s="1">
        <v>5.1443240688894398E-3</v>
      </c>
    </row>
    <row r="24929" spans="1:6" x14ac:dyDescent="0.25">
      <c r="A24929" s="2" t="str">
        <f t="shared" si="872"/>
        <v>12580</v>
      </c>
      <c r="B24929" s="2" t="str">
        <f>"21263"</f>
        <v>21263</v>
      </c>
      <c r="C24929" s="1">
        <v>0</v>
      </c>
      <c r="D24929" s="1">
        <v>0</v>
      </c>
      <c r="E24929" s="1">
        <v>2.70288533008987E-5</v>
      </c>
      <c r="F24929" s="1">
        <v>1.3443941118226599E-6</v>
      </c>
    </row>
    <row r="24930" spans="1:6" x14ac:dyDescent="0.25">
      <c r="A24930" s="2" t="str">
        <f t="shared" si="872"/>
        <v>12580</v>
      </c>
      <c r="B24930" s="2" t="str">
        <f>"21250"</f>
        <v>21250</v>
      </c>
      <c r="C24930" s="1">
        <v>0</v>
      </c>
      <c r="D24930" s="1">
        <v>1.6395727273472498E-5</v>
      </c>
      <c r="E24930" s="1">
        <v>0</v>
      </c>
      <c r="F24930" s="1">
        <v>1.3443941118226599E-6</v>
      </c>
    </row>
    <row r="24931" spans="1:6" x14ac:dyDescent="0.25">
      <c r="A24931" s="2" t="str">
        <f t="shared" si="872"/>
        <v>12580</v>
      </c>
      <c r="B24931" s="2" t="str">
        <f>"21411"</f>
        <v>21411</v>
      </c>
      <c r="C24931" s="1">
        <v>0</v>
      </c>
      <c r="D24931" s="1">
        <v>1.6395727273472498E-5</v>
      </c>
      <c r="E24931" s="1">
        <v>0</v>
      </c>
      <c r="F24931" s="1">
        <v>1.3443941118226599E-6</v>
      </c>
    </row>
    <row r="24932" spans="1:6" x14ac:dyDescent="0.25">
      <c r="A24932" s="2" t="str">
        <f t="shared" si="872"/>
        <v>12580</v>
      </c>
      <c r="B24932" s="2" t="str">
        <f>"21281"</f>
        <v>21281</v>
      </c>
      <c r="C24932" s="1">
        <v>0</v>
      </c>
      <c r="D24932" s="1">
        <v>8.1978636367362594E-6</v>
      </c>
      <c r="E24932" s="1">
        <v>0</v>
      </c>
      <c r="F24932" s="1">
        <v>6.7219705591133398E-7</v>
      </c>
    </row>
    <row r="24933" spans="1:6" x14ac:dyDescent="0.25">
      <c r="A24933" s="2" t="str">
        <f t="shared" si="872"/>
        <v>12580</v>
      </c>
      <c r="B24933" s="2" t="str">
        <f>"21402"</f>
        <v>21402</v>
      </c>
      <c r="C24933" s="1">
        <v>4.2270498675756599E-4</v>
      </c>
      <c r="D24933" s="1">
        <v>1.15589877277981E-3</v>
      </c>
      <c r="E24933" s="1">
        <v>1.82444759781066E-3</v>
      </c>
      <c r="F24933" s="1">
        <v>5.5254597995911601E-4</v>
      </c>
    </row>
    <row r="24934" spans="1:6" x14ac:dyDescent="0.25">
      <c r="A24934" s="2" t="str">
        <f t="shared" si="872"/>
        <v>12580</v>
      </c>
      <c r="B24934" s="2" t="str">
        <f>"21285"</f>
        <v>21285</v>
      </c>
      <c r="C24934" s="1">
        <v>6.2012215090258304E-4</v>
      </c>
      <c r="D24934" s="1">
        <v>1.7707385455350299E-3</v>
      </c>
      <c r="E24934" s="1">
        <v>1.3514426650449301E-5</v>
      </c>
      <c r="F24934" s="1">
        <v>6.8429660291773802E-4</v>
      </c>
    </row>
    <row r="24935" spans="1:6" x14ac:dyDescent="0.25">
      <c r="A24935" s="2" t="str">
        <f t="shared" si="872"/>
        <v>12580</v>
      </c>
      <c r="B24935" s="2" t="str">
        <f>"21227"</f>
        <v>21227</v>
      </c>
      <c r="C24935" s="1">
        <v>1.0891233981145399E-2</v>
      </c>
      <c r="D24935" s="1">
        <v>1.58300746825377E-2</v>
      </c>
      <c r="E24935" s="1">
        <v>1.14332049462801E-2</v>
      </c>
      <c r="F24935" s="1">
        <v>1.13231594068264E-2</v>
      </c>
    </row>
    <row r="24936" spans="1:6" x14ac:dyDescent="0.25">
      <c r="A24936" s="2" t="str">
        <f t="shared" si="872"/>
        <v>12580</v>
      </c>
      <c r="B24936" s="2" t="str">
        <f>"21226"</f>
        <v>21226</v>
      </c>
      <c r="C24936" s="1">
        <v>2.4719725690785801E-3</v>
      </c>
      <c r="D24936" s="1">
        <v>4.9597075002254399E-3</v>
      </c>
      <c r="E24936" s="1">
        <v>2.8110007432934599E-3</v>
      </c>
      <c r="F24936" s="1">
        <v>2.6928214059807999E-3</v>
      </c>
    </row>
    <row r="24937" spans="1:6" x14ac:dyDescent="0.25">
      <c r="A24937" s="2" t="str">
        <f t="shared" si="872"/>
        <v>12580</v>
      </c>
      <c r="B24937" s="2" t="str">
        <f>"21234"</f>
        <v>21234</v>
      </c>
      <c r="C24937" s="1">
        <v>2.3134969082923701E-2</v>
      </c>
      <c r="D24937" s="1">
        <v>1.17393407278063E-2</v>
      </c>
      <c r="E24937" s="1">
        <v>2.5704439489154601E-2</v>
      </c>
      <c r="F24937" s="1">
        <v>2.23283696062067E-2</v>
      </c>
    </row>
    <row r="24938" spans="1:6" x14ac:dyDescent="0.25">
      <c r="A24938" s="2" t="str">
        <f t="shared" si="872"/>
        <v>12580</v>
      </c>
      <c r="B24938" s="2" t="str">
        <f>"21207"</f>
        <v>21207</v>
      </c>
      <c r="C24938" s="1">
        <v>1.6372463479759999E-2</v>
      </c>
      <c r="D24938" s="1">
        <v>8.8864841822221107E-3</v>
      </c>
      <c r="E24938" s="1">
        <v>2.6893709034394201E-2</v>
      </c>
      <c r="F24938" s="1">
        <v>1.62819570882843E-2</v>
      </c>
    </row>
    <row r="24939" spans="1:6" x14ac:dyDescent="0.25">
      <c r="A24939" s="2" t="str">
        <f t="shared" si="872"/>
        <v>12580</v>
      </c>
      <c r="B24939" s="2" t="str">
        <f>"21220"</f>
        <v>21220</v>
      </c>
      <c r="C24939" s="1">
        <v>1.4590289707752901E-2</v>
      </c>
      <c r="D24939" s="1">
        <v>1.04194846822917E-2</v>
      </c>
      <c r="E24939" s="1">
        <v>1.0095276707885599E-2</v>
      </c>
      <c r="F24939" s="1">
        <v>1.4024719374534001E-2</v>
      </c>
    </row>
    <row r="24940" spans="1:6" x14ac:dyDescent="0.25">
      <c r="A24940" s="2" t="str">
        <f t="shared" si="872"/>
        <v>12580</v>
      </c>
      <c r="B24940" s="2" t="str">
        <f>"21217"</f>
        <v>21217</v>
      </c>
      <c r="C24940" s="1">
        <v>1.6809103795751401E-2</v>
      </c>
      <c r="D24940" s="1">
        <v>1.0148955182279399E-2</v>
      </c>
      <c r="E24940" s="1">
        <v>3.3786066626123303E-2</v>
      </c>
      <c r="F24940" s="1">
        <v>1.7107415072943399E-2</v>
      </c>
    </row>
    <row r="24941" spans="1:6" x14ac:dyDescent="0.25">
      <c r="A24941" s="2" t="str">
        <f t="shared" si="872"/>
        <v>12580</v>
      </c>
      <c r="B24941" s="2" t="str">
        <f>"21222"</f>
        <v>21222</v>
      </c>
      <c r="C24941" s="1">
        <v>1.9334495126892701E-2</v>
      </c>
      <c r="D24941" s="1">
        <v>1.25181377732962E-2</v>
      </c>
      <c r="E24941" s="1">
        <v>1.6136225420636498E-2</v>
      </c>
      <c r="F24941" s="1">
        <v>1.8616497463464401E-2</v>
      </c>
    </row>
    <row r="24942" spans="1:6" x14ac:dyDescent="0.25">
      <c r="A24942" s="2" t="str">
        <f t="shared" si="872"/>
        <v>12580</v>
      </c>
      <c r="B24942" s="2" t="str">
        <f>"21162"</f>
        <v>21162</v>
      </c>
      <c r="C24942" s="1">
        <v>1.80772187560241E-3</v>
      </c>
      <c r="D24942" s="1">
        <v>3.3037390456047101E-3</v>
      </c>
      <c r="E24942" s="1">
        <v>4.1894722616392897E-4</v>
      </c>
      <c r="F24942" s="1">
        <v>1.8613136478184799E-3</v>
      </c>
    </row>
    <row r="24943" spans="1:6" x14ac:dyDescent="0.25">
      <c r="A24943" s="2" t="str">
        <f t="shared" si="872"/>
        <v>12580</v>
      </c>
      <c r="B24943" s="2" t="str">
        <f>"21161"</f>
        <v>21161</v>
      </c>
      <c r="C24943" s="1">
        <v>1.6815297275410801E-3</v>
      </c>
      <c r="D24943" s="1">
        <v>4.5908036365722998E-4</v>
      </c>
      <c r="E24943" s="1">
        <v>8.1086559902696095E-5</v>
      </c>
      <c r="F24943" s="1">
        <v>1.50168822290592E-3</v>
      </c>
    </row>
    <row r="24944" spans="1:6" x14ac:dyDescent="0.25">
      <c r="A24944" s="2" t="str">
        <f t="shared" si="872"/>
        <v>12580</v>
      </c>
      <c r="B24944" s="2" t="str">
        <f>"21158"</f>
        <v>21158</v>
      </c>
      <c r="C24944" s="1">
        <v>7.5212068614464401E-3</v>
      </c>
      <c r="D24944" s="1">
        <v>5.1154669093234299E-3</v>
      </c>
      <c r="E24944" s="1">
        <v>2.87857287654571E-3</v>
      </c>
      <c r="F24944" s="1">
        <v>7.0930233339763999E-3</v>
      </c>
    </row>
    <row r="24945" spans="1:6" x14ac:dyDescent="0.25">
      <c r="A24945" s="2" t="str">
        <f t="shared" si="872"/>
        <v>12580</v>
      </c>
      <c r="B24945" s="2" t="str">
        <f>"21046"</f>
        <v>21046</v>
      </c>
      <c r="C24945" s="1">
        <v>5.1351688226427402E-3</v>
      </c>
      <c r="D24945" s="1">
        <v>1.3993753227908801E-2</v>
      </c>
      <c r="E24945" s="1">
        <v>1.02709642543415E-2</v>
      </c>
      <c r="F24945" s="1">
        <v>6.1169932087931402E-3</v>
      </c>
    </row>
    <row r="24946" spans="1:6" x14ac:dyDescent="0.25">
      <c r="A24946" s="2" t="str">
        <f t="shared" si="872"/>
        <v>12580</v>
      </c>
      <c r="B24946" s="2" t="str">
        <f>"21044"</f>
        <v>21044</v>
      </c>
      <c r="C24946" s="1">
        <v>1.5522408396500299E-2</v>
      </c>
      <c r="D24946" s="1">
        <v>1.4805341727945599E-2</v>
      </c>
      <c r="E24946" s="1">
        <v>2.1487938374214401E-2</v>
      </c>
      <c r="F24946" s="1">
        <v>1.5760332172897101E-2</v>
      </c>
    </row>
    <row r="24947" spans="1:6" x14ac:dyDescent="0.25">
      <c r="A24947" s="2" t="str">
        <f t="shared" si="872"/>
        <v>12580</v>
      </c>
      <c r="B24947" s="2" t="str">
        <f>"21036"</f>
        <v>21036</v>
      </c>
      <c r="C24947" s="1">
        <v>6.2708981551946603E-4</v>
      </c>
      <c r="D24947" s="1">
        <v>1.5575940909798899E-4</v>
      </c>
      <c r="E24947" s="1">
        <v>1.35144266504493E-4</v>
      </c>
      <c r="F24947" s="1">
        <v>5.6397332990960902E-4</v>
      </c>
    </row>
    <row r="24948" spans="1:6" x14ac:dyDescent="0.25">
      <c r="A24948" s="2" t="str">
        <f t="shared" si="872"/>
        <v>12580</v>
      </c>
      <c r="B24948" s="2" t="str">
        <f>"21144"</f>
        <v>21144</v>
      </c>
      <c r="C24948" s="1">
        <v>1.0888137241315699E-2</v>
      </c>
      <c r="D24948" s="1">
        <v>2.7790757728535899E-3</v>
      </c>
      <c r="E24948" s="1">
        <v>1.0270964254341501E-3</v>
      </c>
      <c r="F24948" s="1">
        <v>9.7327411725402092E-3</v>
      </c>
    </row>
    <row r="24949" spans="1:6" x14ac:dyDescent="0.25">
      <c r="A24949" s="2" t="str">
        <f t="shared" si="872"/>
        <v>12580</v>
      </c>
      <c r="B24949" s="2" t="str">
        <f>"21076"</f>
        <v>21076</v>
      </c>
      <c r="C24949" s="1">
        <v>7.5901093226578304E-3</v>
      </c>
      <c r="D24949" s="1">
        <v>1.11408966823245E-2</v>
      </c>
      <c r="E24949" s="1">
        <v>4.3786742347455901E-3</v>
      </c>
      <c r="F24949" s="1">
        <v>7.7215275812534904E-3</v>
      </c>
    </row>
    <row r="24950" spans="1:6" x14ac:dyDescent="0.25">
      <c r="A24950" s="2" t="str">
        <f t="shared" si="872"/>
        <v>12580</v>
      </c>
      <c r="B24950" s="2" t="str">
        <f>"21106"</f>
        <v>21106</v>
      </c>
      <c r="C24950" s="1">
        <v>0</v>
      </c>
      <c r="D24950" s="1">
        <v>8.1978636367362594E-6</v>
      </c>
      <c r="E24950" s="1">
        <v>0</v>
      </c>
      <c r="F24950" s="1">
        <v>6.7219705591133398E-7</v>
      </c>
    </row>
    <row r="24951" spans="1:6" x14ac:dyDescent="0.25">
      <c r="A24951" s="2" t="str">
        <f t="shared" si="872"/>
        <v>12580</v>
      </c>
      <c r="B24951" s="2" t="str">
        <f>"21071"</f>
        <v>21071</v>
      </c>
      <c r="C24951" s="1">
        <v>3.53028340588736E-4</v>
      </c>
      <c r="D24951" s="1">
        <v>7.0501627275931799E-4</v>
      </c>
      <c r="E24951" s="1">
        <v>4.0543279951348E-5</v>
      </c>
      <c r="F24951" s="1">
        <v>3.6634739547167699E-4</v>
      </c>
    </row>
    <row r="24952" spans="1:6" x14ac:dyDescent="0.25">
      <c r="A24952" s="2" t="str">
        <f t="shared" si="872"/>
        <v>12580</v>
      </c>
      <c r="B24952" s="2" t="str">
        <f>"21061"</f>
        <v>21061</v>
      </c>
      <c r="C24952" s="1">
        <v>1.7601869192161199E-2</v>
      </c>
      <c r="D24952" s="1">
        <v>2.3790200273808602E-2</v>
      </c>
      <c r="E24952" s="1">
        <v>2.7069396580849999E-2</v>
      </c>
      <c r="F24952" s="1">
        <v>1.8580198822445101E-2</v>
      </c>
    </row>
    <row r="24953" spans="1:6" x14ac:dyDescent="0.25">
      <c r="A24953" s="2" t="str">
        <f t="shared" si="872"/>
        <v>12580</v>
      </c>
      <c r="B24953" s="2" t="str">
        <f>"21060"</f>
        <v>21060</v>
      </c>
      <c r="C24953" s="1">
        <v>1.35521076798373E-2</v>
      </c>
      <c r="D24953" s="1">
        <v>8.0093127730913299E-3</v>
      </c>
      <c r="E24953" s="1">
        <v>9.8249881748766806E-3</v>
      </c>
      <c r="F24953" s="1">
        <v>1.29122332470008E-2</v>
      </c>
    </row>
    <row r="24954" spans="1:6" x14ac:dyDescent="0.25">
      <c r="A24954" s="2" t="str">
        <f t="shared" si="872"/>
        <v>12580</v>
      </c>
      <c r="B24954" s="2" t="str">
        <f>"21057"</f>
        <v>21057</v>
      </c>
      <c r="C24954" s="1">
        <v>1.33856579139895E-3</v>
      </c>
      <c r="D24954" s="1">
        <v>6.1483977275521903E-4</v>
      </c>
      <c r="E24954" s="1">
        <v>8.1086559902696095E-5</v>
      </c>
      <c r="F24954" s="1">
        <v>1.2166766711995099E-3</v>
      </c>
    </row>
    <row r="24955" spans="1:6" x14ac:dyDescent="0.25">
      <c r="A24955" s="2" t="str">
        <f t="shared" si="872"/>
        <v>12580</v>
      </c>
      <c r="B24955" s="2" t="str">
        <f>"21052"</f>
        <v>21052</v>
      </c>
      <c r="C24955" s="1">
        <v>1.40901662252522E-4</v>
      </c>
      <c r="D24955" s="1">
        <v>8.1978636367362594E-6</v>
      </c>
      <c r="E24955" s="1">
        <v>7.0275018582336595E-4</v>
      </c>
      <c r="F24955" s="1">
        <v>1.57966308139163E-4</v>
      </c>
    </row>
    <row r="24956" spans="1:6" x14ac:dyDescent="0.25">
      <c r="A24956" s="2" t="str">
        <f t="shared" si="872"/>
        <v>12580</v>
      </c>
      <c r="B24956" s="2" t="str">
        <f>"21050"</f>
        <v>21050</v>
      </c>
      <c r="C24956" s="1">
        <v>5.7816132620979897E-3</v>
      </c>
      <c r="D24956" s="1">
        <v>5.8532746366296903E-3</v>
      </c>
      <c r="E24956" s="1">
        <v>4.2165011149401903E-3</v>
      </c>
      <c r="F24956" s="1">
        <v>5.7096417929108703E-3</v>
      </c>
    </row>
    <row r="24957" spans="1:6" x14ac:dyDescent="0.25">
      <c r="A24957" s="2" t="str">
        <f t="shared" si="872"/>
        <v>12580</v>
      </c>
      <c r="B24957" s="2" t="str">
        <f>"21047"</f>
        <v>21047</v>
      </c>
      <c r="C24957" s="1">
        <v>3.9855041608570499E-3</v>
      </c>
      <c r="D24957" s="1">
        <v>4.2792848183763298E-3</v>
      </c>
      <c r="E24957" s="1">
        <v>9.8655314548280206E-4</v>
      </c>
      <c r="F24957" s="1">
        <v>3.8604276920987902E-3</v>
      </c>
    </row>
    <row r="24958" spans="1:6" x14ac:dyDescent="0.25">
      <c r="A24958" s="2" t="str">
        <f t="shared" si="872"/>
        <v>12580</v>
      </c>
      <c r="B24958" s="2" t="str">
        <f>"21074"</f>
        <v>21074</v>
      </c>
      <c r="C24958" s="1">
        <v>5.2520707512148804E-3</v>
      </c>
      <c r="D24958" s="1">
        <v>3.8284023183558298E-3</v>
      </c>
      <c r="E24958" s="1">
        <v>3.0002027163997498E-3</v>
      </c>
      <c r="F24958" s="1">
        <v>5.0233285988254004E-3</v>
      </c>
    </row>
    <row r="24959" spans="1:6" x14ac:dyDescent="0.25">
      <c r="A24959" s="2" t="str">
        <f t="shared" si="872"/>
        <v>12580</v>
      </c>
      <c r="B24959" s="2" t="str">
        <f>"20764"</f>
        <v>20764</v>
      </c>
      <c r="C24959" s="1">
        <v>1.53443458562911E-3</v>
      </c>
      <c r="D24959" s="1">
        <v>3.8529959092660401E-4</v>
      </c>
      <c r="E24959" s="1">
        <v>1.75687546455841E-4</v>
      </c>
      <c r="F24959" s="1">
        <v>1.3726263881709401E-3</v>
      </c>
    </row>
    <row r="24960" spans="1:6" x14ac:dyDescent="0.25">
      <c r="A24960" s="2" t="str">
        <f t="shared" si="872"/>
        <v>12580</v>
      </c>
      <c r="B24960" s="2" t="str">
        <f>"20759"</f>
        <v>20759</v>
      </c>
      <c r="C24960" s="1">
        <v>2.0229452937683499E-3</v>
      </c>
      <c r="D24960" s="1">
        <v>3.0168138183189401E-3</v>
      </c>
      <c r="E24960" s="1">
        <v>2.2433948239745901E-3</v>
      </c>
      <c r="F24960" s="1">
        <v>2.1154041349529598E-3</v>
      </c>
    </row>
    <row r="24961" spans="1:6" x14ac:dyDescent="0.25">
      <c r="A24961" s="2" t="str">
        <f t="shared" si="872"/>
        <v>12580</v>
      </c>
      <c r="B24961" s="2" t="str">
        <f>"20711"</f>
        <v>20711</v>
      </c>
      <c r="C24961" s="1">
        <v>2.3620383051233202E-3</v>
      </c>
      <c r="D24961" s="1">
        <v>1.1395030455063401E-3</v>
      </c>
      <c r="E24961" s="1">
        <v>2.5677410635853697E-4</v>
      </c>
      <c r="F24961" s="1">
        <v>2.1570803524194699E-3</v>
      </c>
    </row>
    <row r="24962" spans="1:6" x14ac:dyDescent="0.25">
      <c r="A24962" s="2" t="str">
        <f t="shared" si="872"/>
        <v>12580</v>
      </c>
      <c r="B24962" s="2" t="str">
        <f>"21679"</f>
        <v>21679</v>
      </c>
      <c r="C24962" s="1">
        <v>9.2902194891772801E-6</v>
      </c>
      <c r="D24962" s="1">
        <v>1.6395727273472498E-5</v>
      </c>
      <c r="E24962" s="1">
        <v>0</v>
      </c>
      <c r="F24962" s="1">
        <v>9.4107587827586793E-6</v>
      </c>
    </row>
    <row r="24963" spans="1:6" x14ac:dyDescent="0.25">
      <c r="A24963" s="2" t="str">
        <f t="shared" si="872"/>
        <v>12580</v>
      </c>
      <c r="B24963" s="2" t="str">
        <f>"21668"</f>
        <v>21668</v>
      </c>
      <c r="C24963" s="1">
        <v>6.4644443945525195E-4</v>
      </c>
      <c r="D24963" s="1">
        <v>1.7215513637146101E-4</v>
      </c>
      <c r="E24963" s="1">
        <v>1.8920197310629E-4</v>
      </c>
      <c r="F24963" s="1">
        <v>5.8481143864286104E-4</v>
      </c>
    </row>
    <row r="24964" spans="1:6" x14ac:dyDescent="0.25">
      <c r="A24964" s="2" t="str">
        <f t="shared" si="872"/>
        <v>12580</v>
      </c>
      <c r="B24964" s="2" t="str">
        <f>"21638"</f>
        <v>21638</v>
      </c>
      <c r="C24964" s="1">
        <v>2.1909434295309701E-3</v>
      </c>
      <c r="D24964" s="1">
        <v>1.9756851364534402E-3</v>
      </c>
      <c r="E24964" s="1">
        <v>2.16230826407189E-4</v>
      </c>
      <c r="F24964" s="1">
        <v>2.07507231159828E-3</v>
      </c>
    </row>
    <row r="24965" spans="1:6" x14ac:dyDescent="0.25">
      <c r="A24965" s="2" t="str">
        <f t="shared" si="872"/>
        <v>12580</v>
      </c>
      <c r="B24965" s="2" t="str">
        <f>"21628"</f>
        <v>21628</v>
      </c>
      <c r="C24965" s="1">
        <v>1.68772320720053E-4</v>
      </c>
      <c r="D24965" s="1">
        <v>8.1978636367362594E-6</v>
      </c>
      <c r="E24965" s="1">
        <v>0</v>
      </c>
      <c r="F24965" s="1">
        <v>1.4721115524458201E-4</v>
      </c>
    </row>
    <row r="24966" spans="1:6" x14ac:dyDescent="0.25">
      <c r="A24966" s="2" t="str">
        <f t="shared" si="872"/>
        <v>12580</v>
      </c>
      <c r="B24966" s="2" t="str">
        <f>"21787"</f>
        <v>21787</v>
      </c>
      <c r="C24966" s="1">
        <v>3.4040912578260402E-3</v>
      </c>
      <c r="D24966" s="1">
        <v>1.9920808637269101E-3</v>
      </c>
      <c r="E24966" s="1">
        <v>1.67578890465571E-3</v>
      </c>
      <c r="F24966" s="1">
        <v>3.2023467743615901E-3</v>
      </c>
    </row>
    <row r="24967" spans="1:6" x14ac:dyDescent="0.25">
      <c r="A24967" s="2" t="str">
        <f t="shared" si="872"/>
        <v>12580</v>
      </c>
      <c r="B24967" s="2" t="str">
        <f>"21252"</f>
        <v>21252</v>
      </c>
      <c r="C24967" s="1">
        <v>4.7999467360749201E-5</v>
      </c>
      <c r="D24967" s="1">
        <v>9.0176500004098901E-5</v>
      </c>
      <c r="E24967" s="1">
        <v>2.70288533008987E-5</v>
      </c>
      <c r="F24967" s="1">
        <v>5.0414779193350002E-5</v>
      </c>
    </row>
    <row r="24968" spans="1:6" x14ac:dyDescent="0.25">
      <c r="A24968" s="2" t="str">
        <f t="shared" si="872"/>
        <v>12580</v>
      </c>
      <c r="B24968" s="2" t="str">
        <f>"21404"</f>
        <v>21404</v>
      </c>
      <c r="C24968" s="1">
        <v>6.9831483160315798E-4</v>
      </c>
      <c r="D24968" s="1">
        <v>2.17243386373511E-3</v>
      </c>
      <c r="E24968" s="1">
        <v>1.3514426650449301E-5</v>
      </c>
      <c r="F24968" s="1">
        <v>7.8512616130443805E-4</v>
      </c>
    </row>
    <row r="24969" spans="1:6" x14ac:dyDescent="0.25">
      <c r="A24969" s="2" t="str">
        <f t="shared" si="872"/>
        <v>12580</v>
      </c>
      <c r="B24969" s="2" t="str">
        <f>"21241"</f>
        <v>21241</v>
      </c>
      <c r="C24969" s="1">
        <v>0</v>
      </c>
      <c r="D24969" s="1">
        <v>1.6395727273472498E-5</v>
      </c>
      <c r="E24969" s="1">
        <v>0</v>
      </c>
      <c r="F24969" s="1">
        <v>1.3443941118226599E-6</v>
      </c>
    </row>
    <row r="24970" spans="1:6" x14ac:dyDescent="0.25">
      <c r="A24970" s="2" t="str">
        <f t="shared" si="872"/>
        <v>12580</v>
      </c>
      <c r="B24970" s="2" t="str">
        <f>"21240"</f>
        <v>21240</v>
      </c>
      <c r="C24970" s="1">
        <v>3.7935062914140499E-5</v>
      </c>
      <c r="D24970" s="1">
        <v>6.7222481821237298E-4</v>
      </c>
      <c r="E24970" s="1">
        <v>9.4600986553145406E-5</v>
      </c>
      <c r="F24970" s="1">
        <v>9.2763193715764098E-5</v>
      </c>
    </row>
    <row r="24971" spans="1:6" x14ac:dyDescent="0.25">
      <c r="A24971" s="2" t="str">
        <f t="shared" si="872"/>
        <v>12580</v>
      </c>
      <c r="B24971" s="2" t="str">
        <f>"21225"</f>
        <v>21225</v>
      </c>
      <c r="C24971" s="1">
        <v>1.0690720077170699E-2</v>
      </c>
      <c r="D24971" s="1">
        <v>7.08295418214013E-3</v>
      </c>
      <c r="E24971" s="1">
        <v>7.6761943374552303E-3</v>
      </c>
      <c r="F24971" s="1">
        <v>1.02449553291446E-2</v>
      </c>
    </row>
    <row r="24972" spans="1:6" x14ac:dyDescent="0.25">
      <c r="A24972" s="2" t="str">
        <f t="shared" si="872"/>
        <v>12580</v>
      </c>
      <c r="B24972" s="2" t="str">
        <f>"21233"</f>
        <v>21233</v>
      </c>
      <c r="C24972" s="1">
        <v>0</v>
      </c>
      <c r="D24972" s="1">
        <v>1.08211800004918E-3</v>
      </c>
      <c r="E24972" s="1">
        <v>2.70288533008987E-5</v>
      </c>
      <c r="F24972" s="1">
        <v>9.0074405492118797E-5</v>
      </c>
    </row>
    <row r="24973" spans="1:6" x14ac:dyDescent="0.25">
      <c r="A24973" s="2" t="str">
        <f t="shared" si="872"/>
        <v>12580</v>
      </c>
      <c r="B24973" s="2" t="str">
        <f>"21221"</f>
        <v>21221</v>
      </c>
      <c r="C24973" s="1">
        <v>1.50338976883611E-2</v>
      </c>
      <c r="D24973" s="1">
        <v>9.6816769549855301E-3</v>
      </c>
      <c r="E24973" s="1">
        <v>1.49874991553483E-2</v>
      </c>
      <c r="F24973" s="1">
        <v>1.4592725886779101E-2</v>
      </c>
    </row>
    <row r="24974" spans="1:6" x14ac:dyDescent="0.25">
      <c r="A24974" s="2" t="str">
        <f t="shared" si="872"/>
        <v>12580</v>
      </c>
      <c r="B24974" s="2" t="str">
        <f>"21150"</f>
        <v>21150</v>
      </c>
      <c r="C24974" s="1">
        <v>1.9664297918758501E-4</v>
      </c>
      <c r="D24974" s="1">
        <v>9.4275431822467E-4</v>
      </c>
      <c r="E24974" s="1">
        <v>1.3514426650449301E-5</v>
      </c>
      <c r="F24974" s="1">
        <v>2.4871291068719297E-4</v>
      </c>
    </row>
    <row r="24975" spans="1:6" x14ac:dyDescent="0.25">
      <c r="A24975" s="2" t="str">
        <f t="shared" si="872"/>
        <v>12580</v>
      </c>
      <c r="B24975" s="2" t="str">
        <f>"21157"</f>
        <v>21157</v>
      </c>
      <c r="C24975" s="1">
        <v>1.18458040336584E-2</v>
      </c>
      <c r="D24975" s="1">
        <v>1.6797422591672599E-2</v>
      </c>
      <c r="E24975" s="1">
        <v>1.8785053044124599E-2</v>
      </c>
      <c r="F24975" s="1">
        <v>1.2596972827778399E-2</v>
      </c>
    </row>
    <row r="24976" spans="1:6" x14ac:dyDescent="0.25">
      <c r="A24976" s="2" t="str">
        <f t="shared" si="872"/>
        <v>12580</v>
      </c>
      <c r="B24976" s="2" t="str">
        <f>"21156"</f>
        <v>21156</v>
      </c>
      <c r="C24976" s="1">
        <v>9.2902194891772804E-5</v>
      </c>
      <c r="D24976" s="1">
        <v>6.5582909093890102E-5</v>
      </c>
      <c r="E24976" s="1">
        <v>0</v>
      </c>
      <c r="F24976" s="1">
        <v>8.6041223156650804E-5</v>
      </c>
    </row>
    <row r="24977" spans="1:6" x14ac:dyDescent="0.25">
      <c r="A24977" s="2" t="str">
        <f t="shared" si="872"/>
        <v>12580</v>
      </c>
      <c r="B24977" s="2" t="str">
        <f>"21155"</f>
        <v>21155</v>
      </c>
      <c r="C24977" s="1">
        <v>8.1599094513273699E-4</v>
      </c>
      <c r="D24977" s="1">
        <v>3.36112409106186E-4</v>
      </c>
      <c r="E24977" s="1">
        <v>1.08115413203594E-4</v>
      </c>
      <c r="F24977" s="1">
        <v>7.4143335267020099E-4</v>
      </c>
    </row>
    <row r="24978" spans="1:6" x14ac:dyDescent="0.25">
      <c r="A24978" s="2" t="str">
        <f t="shared" si="872"/>
        <v>12580</v>
      </c>
      <c r="B24978" s="2" t="str">
        <f>"21152"</f>
        <v>21152</v>
      </c>
      <c r="C24978" s="1">
        <v>2.38758640871856E-3</v>
      </c>
      <c r="D24978" s="1">
        <v>2.6315142273923399E-3</v>
      </c>
      <c r="E24978" s="1">
        <v>2.2028515440232401E-3</v>
      </c>
      <c r="F24978" s="1">
        <v>2.39839909549164E-3</v>
      </c>
    </row>
    <row r="24979" spans="1:6" x14ac:dyDescent="0.25">
      <c r="A24979" s="2" t="str">
        <f t="shared" si="872"/>
        <v>12580</v>
      </c>
      <c r="B24979" s="2" t="str">
        <f>"21045"</f>
        <v>21045</v>
      </c>
      <c r="C24979" s="1">
        <v>1.2982307551167801E-2</v>
      </c>
      <c r="D24979" s="1">
        <v>2.14947984555224E-2</v>
      </c>
      <c r="E24979" s="1">
        <v>1.45009797959321E-2</v>
      </c>
      <c r="F24979" s="1">
        <v>1.3755840552169499E-2</v>
      </c>
    </row>
    <row r="24980" spans="1:6" x14ac:dyDescent="0.25">
      <c r="A24980" s="2" t="str">
        <f t="shared" si="872"/>
        <v>12580</v>
      </c>
      <c r="B24980" s="2" t="str">
        <f>"21037"</f>
        <v>21037</v>
      </c>
      <c r="C24980" s="1">
        <v>7.5637870341051603E-3</v>
      </c>
      <c r="D24980" s="1">
        <v>7.1239435003238099E-3</v>
      </c>
      <c r="E24980" s="1">
        <v>1.12169741198729E-3</v>
      </c>
      <c r="F24980" s="1">
        <v>7.2072968334813197E-3</v>
      </c>
    </row>
    <row r="24981" spans="1:6" x14ac:dyDescent="0.25">
      <c r="A24981" s="2" t="str">
        <f t="shared" si="872"/>
        <v>12580</v>
      </c>
      <c r="B24981" s="2" t="str">
        <f>"21034"</f>
        <v>21034</v>
      </c>
      <c r="C24981" s="1">
        <v>1.2162445681247901E-3</v>
      </c>
      <c r="D24981" s="1">
        <v>4.8367395456743898E-4</v>
      </c>
      <c r="E24981" s="1">
        <v>3.24346239610784E-4</v>
      </c>
      <c r="F24981" s="1">
        <v>1.1118139304773401E-3</v>
      </c>
    </row>
    <row r="24982" spans="1:6" x14ac:dyDescent="0.25">
      <c r="A24982" s="2" t="str">
        <f t="shared" si="872"/>
        <v>12580</v>
      </c>
      <c r="B24982" s="2" t="str">
        <f>"21032"</f>
        <v>21032</v>
      </c>
      <c r="C24982" s="1">
        <v>3.2972537337005001E-3</v>
      </c>
      <c r="D24982" s="1">
        <v>2.0904552273677398E-3</v>
      </c>
      <c r="E24982" s="1">
        <v>4.0543279951348E-4</v>
      </c>
      <c r="F24982" s="1">
        <v>3.0544634220610999E-3</v>
      </c>
    </row>
    <row r="24983" spans="1:6" x14ac:dyDescent="0.25">
      <c r="A24983" s="2" t="str">
        <f t="shared" si="872"/>
        <v>12580</v>
      </c>
      <c r="B24983" s="2" t="str">
        <f>"21028"</f>
        <v>21028</v>
      </c>
      <c r="C24983" s="1">
        <v>1.2998565435273801E-3</v>
      </c>
      <c r="D24983" s="1">
        <v>1.50840690915947E-3</v>
      </c>
      <c r="E24983" s="1">
        <v>5.4057706601797399E-5</v>
      </c>
      <c r="F24983" s="1">
        <v>1.25499190338646E-3</v>
      </c>
    </row>
    <row r="24984" spans="1:6" x14ac:dyDescent="0.25">
      <c r="A24984" s="2" t="str">
        <f t="shared" si="872"/>
        <v>12580</v>
      </c>
      <c r="B24984" s="2" t="str">
        <f>"21017"</f>
        <v>21017</v>
      </c>
      <c r="C24984" s="1">
        <v>2.1700404356803202E-3</v>
      </c>
      <c r="D24984" s="1">
        <v>1.7051556364411401E-3</v>
      </c>
      <c r="E24984" s="1">
        <v>2.1623082640718902E-3</v>
      </c>
      <c r="F24984" s="1">
        <v>2.13153686429484E-3</v>
      </c>
    </row>
    <row r="24985" spans="1:6" x14ac:dyDescent="0.25">
      <c r="A24985" s="2" t="str">
        <f t="shared" si="872"/>
        <v>12580</v>
      </c>
      <c r="B24985" s="2" t="str">
        <f>"21078"</f>
        <v>21078</v>
      </c>
      <c r="C24985" s="1">
        <v>8.1165550937112099E-3</v>
      </c>
      <c r="D24985" s="1">
        <v>7.2960986366952703E-3</v>
      </c>
      <c r="E24985" s="1">
        <v>7.4464490843975904E-3</v>
      </c>
      <c r="F24985" s="1">
        <v>8.0159498917426603E-3</v>
      </c>
    </row>
    <row r="24986" spans="1:6" x14ac:dyDescent="0.25">
      <c r="A24986" s="2" t="str">
        <f t="shared" si="872"/>
        <v>12580</v>
      </c>
      <c r="B24986" s="2" t="str">
        <f>"21114"</f>
        <v>21114</v>
      </c>
      <c r="C24986" s="1">
        <v>8.2241668027941799E-3</v>
      </c>
      <c r="D24986" s="1">
        <v>1.0034185091365101E-2</v>
      </c>
      <c r="E24986" s="1">
        <v>4.2840732481924399E-3</v>
      </c>
      <c r="F24986" s="1">
        <v>8.1766049881054695E-3</v>
      </c>
    </row>
    <row r="24987" spans="1:6" x14ac:dyDescent="0.25">
      <c r="A24987" s="2" t="str">
        <f t="shared" si="872"/>
        <v>12580</v>
      </c>
      <c r="B24987" s="2" t="str">
        <f>"21104"</f>
        <v>21104</v>
      </c>
      <c r="C24987" s="1">
        <v>1.72333571524238E-3</v>
      </c>
      <c r="D24987" s="1">
        <v>1.59038554552683E-3</v>
      </c>
      <c r="E24987" s="1">
        <v>6.0814919927022E-4</v>
      </c>
      <c r="F24987" s="1">
        <v>1.6569657428214301E-3</v>
      </c>
    </row>
    <row r="24988" spans="1:6" x14ac:dyDescent="0.25">
      <c r="A24988" s="2" t="str">
        <f t="shared" si="872"/>
        <v>12580</v>
      </c>
      <c r="B24988" s="2" t="str">
        <f>"21062"</f>
        <v>21062</v>
      </c>
      <c r="C24988" s="1">
        <v>0</v>
      </c>
      <c r="D24988" s="1">
        <v>0</v>
      </c>
      <c r="E24988" s="1">
        <v>1.3514426650449301E-5</v>
      </c>
      <c r="F24988" s="1">
        <v>6.7219705591133398E-7</v>
      </c>
    </row>
    <row r="24989" spans="1:6" x14ac:dyDescent="0.25">
      <c r="A24989" s="2" t="str">
        <f t="shared" ref="A24989:A25052" si="873">"12580"</f>
        <v>12580</v>
      </c>
      <c r="B24989" s="2" t="str">
        <f>"21056"</f>
        <v>21056</v>
      </c>
      <c r="C24989" s="1">
        <v>1.63353026018033E-4</v>
      </c>
      <c r="D24989" s="1">
        <v>1.6395727273472498E-5</v>
      </c>
      <c r="E24989" s="1">
        <v>0</v>
      </c>
      <c r="F24989" s="1">
        <v>1.43177972909114E-4</v>
      </c>
    </row>
    <row r="24990" spans="1:6" x14ac:dyDescent="0.25">
      <c r="A24990" s="2" t="str">
        <f t="shared" si="873"/>
        <v>12580</v>
      </c>
      <c r="B24990" s="2" t="str">
        <f>"20755"</f>
        <v>20755</v>
      </c>
      <c r="C24990" s="1">
        <v>2.8900324460915598E-3</v>
      </c>
      <c r="D24990" s="1">
        <v>2.3445890001065699E-3</v>
      </c>
      <c r="E24990" s="1">
        <v>2.9515507804581301E-2</v>
      </c>
      <c r="F24990" s="1">
        <v>4.169638337818E-3</v>
      </c>
    </row>
    <row r="24991" spans="1:6" x14ac:dyDescent="0.25">
      <c r="A24991" s="2" t="str">
        <f t="shared" si="873"/>
        <v>12580</v>
      </c>
      <c r="B24991" s="2" t="str">
        <f>"20714"</f>
        <v>20714</v>
      </c>
      <c r="C24991" s="1">
        <v>3.4373812109955899E-4</v>
      </c>
      <c r="D24991" s="1">
        <v>8.1978636367362594E-5</v>
      </c>
      <c r="E24991" s="1">
        <v>2.70288533008987E-5</v>
      </c>
      <c r="F24991" s="1">
        <v>3.0652185749556802E-4</v>
      </c>
    </row>
    <row r="24992" spans="1:6" x14ac:dyDescent="0.25">
      <c r="A24992" s="2" t="str">
        <f t="shared" si="873"/>
        <v>12580</v>
      </c>
      <c r="B24992" s="2" t="str">
        <f>"21607"</f>
        <v>21607</v>
      </c>
      <c r="C24992" s="1">
        <v>1.7961091012409401E-4</v>
      </c>
      <c r="D24992" s="1">
        <v>3.2791454546944997E-5</v>
      </c>
      <c r="E24992" s="1">
        <v>1.3514426650449301E-5</v>
      </c>
      <c r="F24992" s="1">
        <v>1.59310702250986E-4</v>
      </c>
    </row>
    <row r="24993" spans="1:6" x14ac:dyDescent="0.25">
      <c r="A24993" s="2" t="str">
        <f t="shared" si="873"/>
        <v>12580</v>
      </c>
      <c r="B24993" s="2" t="str">
        <f>"21620"</f>
        <v>21620</v>
      </c>
      <c r="C24993" s="1">
        <v>1.3695331896962099E-3</v>
      </c>
      <c r="D24993" s="1">
        <v>5.7385045457153795E-4</v>
      </c>
      <c r="E24993" s="1">
        <v>1.35144266504493E-4</v>
      </c>
      <c r="F24993" s="1">
        <v>1.24289235638005E-3</v>
      </c>
    </row>
    <row r="24994" spans="1:6" x14ac:dyDescent="0.25">
      <c r="A24994" s="2" t="str">
        <f t="shared" si="873"/>
        <v>12580</v>
      </c>
      <c r="B24994" s="2" t="str">
        <f>"21797"</f>
        <v>21797</v>
      </c>
      <c r="C24994" s="1">
        <v>2.7491307838390399E-3</v>
      </c>
      <c r="D24994" s="1">
        <v>9.4275431822467E-4</v>
      </c>
      <c r="E24994" s="1">
        <v>7.8383674572606195E-4</v>
      </c>
      <c r="F24994" s="1">
        <v>2.5032618362138001E-3</v>
      </c>
    </row>
    <row r="24995" spans="1:6" x14ac:dyDescent="0.25">
      <c r="A24995" s="2" t="str">
        <f t="shared" si="873"/>
        <v>12580</v>
      </c>
      <c r="B24995" s="2" t="str">
        <f>"21282"</f>
        <v>21282</v>
      </c>
      <c r="C24995" s="1">
        <v>7.2231456528353303E-4</v>
      </c>
      <c r="D24995" s="1">
        <v>2.9348351819515799E-3</v>
      </c>
      <c r="E24995" s="1">
        <v>1.3514426650449301E-5</v>
      </c>
      <c r="F24995" s="1">
        <v>8.6847859623744397E-4</v>
      </c>
    </row>
    <row r="24996" spans="1:6" x14ac:dyDescent="0.25">
      <c r="A24996" s="2" t="str">
        <f t="shared" si="873"/>
        <v>12580</v>
      </c>
      <c r="B24996" s="2" t="str">
        <f>"21216"</f>
        <v>21216</v>
      </c>
      <c r="C24996" s="1">
        <v>1.1917803234699501E-2</v>
      </c>
      <c r="D24996" s="1">
        <v>5.5663494093439198E-3</v>
      </c>
      <c r="E24996" s="1">
        <v>1.71092641394688E-2</v>
      </c>
      <c r="F24996" s="1">
        <v>1.16552247524466E-2</v>
      </c>
    </row>
    <row r="24997" spans="1:6" x14ac:dyDescent="0.25">
      <c r="A24997" s="2" t="str">
        <f t="shared" si="873"/>
        <v>12580</v>
      </c>
      <c r="B24997" s="2" t="str">
        <f>"21211"</f>
        <v>21211</v>
      </c>
      <c r="C24997" s="1">
        <v>7.9779759863309908E-3</v>
      </c>
      <c r="D24997" s="1">
        <v>1.16655599550757E-2</v>
      </c>
      <c r="E24997" s="1">
        <v>9.5682140685181393E-3</v>
      </c>
      <c r="F24997" s="1">
        <v>8.3594425873133506E-3</v>
      </c>
    </row>
    <row r="24998" spans="1:6" x14ac:dyDescent="0.25">
      <c r="A24998" s="2" t="str">
        <f t="shared" si="873"/>
        <v>12580</v>
      </c>
      <c r="B24998" s="2" t="str">
        <f>"21239"</f>
        <v>21239</v>
      </c>
      <c r="C24998" s="1">
        <v>1.0888137241315699E-2</v>
      </c>
      <c r="D24998" s="1">
        <v>3.8529959092660402E-3</v>
      </c>
      <c r="E24998" s="1">
        <v>1.6690316913304901E-2</v>
      </c>
      <c r="F24998" s="1">
        <v>1.05998753746658E-2</v>
      </c>
    </row>
    <row r="24999" spans="1:6" x14ac:dyDescent="0.25">
      <c r="A24999" s="2" t="str">
        <f t="shared" si="873"/>
        <v>12580</v>
      </c>
      <c r="B24999" s="2" t="str">
        <f>"21236"</f>
        <v>21236</v>
      </c>
      <c r="C24999" s="1">
        <v>1.4042166757891401E-2</v>
      </c>
      <c r="D24999" s="1">
        <v>1.4575801546117E-2</v>
      </c>
      <c r="E24999" s="1">
        <v>1.2892763024528599E-2</v>
      </c>
      <c r="F24999" s="1">
        <v>1.40287525568695E-2</v>
      </c>
    </row>
    <row r="25000" spans="1:6" x14ac:dyDescent="0.25">
      <c r="A25000" s="2" t="str">
        <f t="shared" si="873"/>
        <v>12580</v>
      </c>
      <c r="B25000" s="2" t="str">
        <f>"21231"</f>
        <v>21231</v>
      </c>
      <c r="C25000" s="1">
        <v>8.4053260828331408E-3</v>
      </c>
      <c r="D25000" s="1">
        <v>9.7226662731692108E-3</v>
      </c>
      <c r="E25000" s="1">
        <v>1.24603013717143E-2</v>
      </c>
      <c r="F25000" s="1">
        <v>8.7150348298904497E-3</v>
      </c>
    </row>
    <row r="25001" spans="1:6" x14ac:dyDescent="0.25">
      <c r="A25001" s="2" t="str">
        <f t="shared" si="873"/>
        <v>12580</v>
      </c>
      <c r="B25001" s="2" t="str">
        <f>"21153"</f>
        <v>21153</v>
      </c>
      <c r="C25001" s="1">
        <v>4.93930002841258E-4</v>
      </c>
      <c r="D25001" s="1">
        <v>1.29526245460433E-3</v>
      </c>
      <c r="E25001" s="1">
        <v>9.4600986553145406E-5</v>
      </c>
      <c r="F25001" s="1">
        <v>5.3977423589680103E-4</v>
      </c>
    </row>
    <row r="25002" spans="1:6" x14ac:dyDescent="0.25">
      <c r="A25002" s="2" t="str">
        <f t="shared" si="873"/>
        <v>12580</v>
      </c>
      <c r="B25002" s="2" t="str">
        <f>"21123"</f>
        <v>21123</v>
      </c>
      <c r="C25002" s="1">
        <v>1.2054059787207499E-3</v>
      </c>
      <c r="D25002" s="1">
        <v>2.6397120910290699E-3</v>
      </c>
      <c r="E25002" s="1">
        <v>5.4057706601797399E-5</v>
      </c>
      <c r="F25002" s="1">
        <v>1.26574705628104E-3</v>
      </c>
    </row>
    <row r="25003" spans="1:6" x14ac:dyDescent="0.25">
      <c r="A25003" s="2" t="str">
        <f t="shared" si="873"/>
        <v>12580</v>
      </c>
      <c r="B25003" s="2" t="str">
        <f>"21133"</f>
        <v>21133</v>
      </c>
      <c r="C25003" s="1">
        <v>9.77950438227395E-3</v>
      </c>
      <c r="D25003" s="1">
        <v>7.2551093185115904E-3</v>
      </c>
      <c r="E25003" s="1">
        <v>7.81133860395972E-3</v>
      </c>
      <c r="F25003" s="1">
        <v>9.4746175030702602E-3</v>
      </c>
    </row>
    <row r="25004" spans="1:6" x14ac:dyDescent="0.25">
      <c r="A25004" s="2" t="str">
        <f t="shared" si="873"/>
        <v>12580</v>
      </c>
      <c r="B25004" s="2" t="str">
        <f>"21093"</f>
        <v>21093</v>
      </c>
      <c r="C25004" s="1">
        <v>1.30279844636562E-2</v>
      </c>
      <c r="D25004" s="1">
        <v>1.85435675462974E-2</v>
      </c>
      <c r="E25004" s="1">
        <v>1.2946820731130401E-2</v>
      </c>
      <c r="F25004" s="1">
        <v>1.3476206576910401E-2</v>
      </c>
    </row>
    <row r="25005" spans="1:6" x14ac:dyDescent="0.25">
      <c r="A25005" s="2" t="str">
        <f t="shared" si="873"/>
        <v>12580</v>
      </c>
      <c r="B25005" s="2" t="str">
        <f>"21090"</f>
        <v>21090</v>
      </c>
      <c r="C25005" s="1">
        <v>3.5813796130778402E-3</v>
      </c>
      <c r="D25005" s="1">
        <v>9.7554577277161499E-3</v>
      </c>
      <c r="E25005" s="1">
        <v>3.50023650246638E-3</v>
      </c>
      <c r="F25005" s="1">
        <v>4.0835971146613503E-3</v>
      </c>
    </row>
    <row r="25006" spans="1:6" x14ac:dyDescent="0.25">
      <c r="A25006" s="2" t="str">
        <f t="shared" si="873"/>
        <v>12580</v>
      </c>
      <c r="B25006" s="2" t="str">
        <f>"21084"</f>
        <v>21084</v>
      </c>
      <c r="C25006" s="1">
        <v>2.1917176144884E-3</v>
      </c>
      <c r="D25006" s="1">
        <v>8.6077568185730698E-4</v>
      </c>
      <c r="E25006" s="1">
        <v>9.4600986553145406E-5</v>
      </c>
      <c r="F25006" s="1">
        <v>1.9782759355470498E-3</v>
      </c>
    </row>
    <row r="25007" spans="1:6" x14ac:dyDescent="0.25">
      <c r="A25007" s="2" t="str">
        <f t="shared" si="873"/>
        <v>12580</v>
      </c>
      <c r="B25007" s="2" t="str">
        <f>"21120"</f>
        <v>21120</v>
      </c>
      <c r="C25007" s="1">
        <v>2.1096540090006699E-3</v>
      </c>
      <c r="D25007" s="1">
        <v>8.7717140913077998E-4</v>
      </c>
      <c r="E25007" s="1">
        <v>3.7840394621258097E-4</v>
      </c>
      <c r="F25007" s="1">
        <v>1.92248357990641E-3</v>
      </c>
    </row>
    <row r="25008" spans="1:6" x14ac:dyDescent="0.25">
      <c r="A25008" s="2" t="str">
        <f t="shared" si="873"/>
        <v>12580</v>
      </c>
      <c r="B25008" s="2" t="str">
        <f>"21111"</f>
        <v>21111</v>
      </c>
      <c r="C25008" s="1">
        <v>1.89443059083473E-3</v>
      </c>
      <c r="D25008" s="1">
        <v>1.67236418189419E-3</v>
      </c>
      <c r="E25008" s="1">
        <v>6.0814919927022E-4</v>
      </c>
      <c r="F25008" s="1">
        <v>1.8122432627369501E-3</v>
      </c>
    </row>
    <row r="25009" spans="1:6" x14ac:dyDescent="0.25">
      <c r="A25009" s="2" t="str">
        <f t="shared" si="873"/>
        <v>12580</v>
      </c>
      <c r="B25009" s="2" t="str">
        <f>"21122"</f>
        <v>21122</v>
      </c>
      <c r="C25009" s="1">
        <v>1.8642373774949001E-2</v>
      </c>
      <c r="D25009" s="1">
        <v>9.3619602731528102E-3</v>
      </c>
      <c r="E25009" s="1">
        <v>6.4328670856138902E-3</v>
      </c>
      <c r="F25009" s="1">
        <v>1.7274119942809401E-2</v>
      </c>
    </row>
    <row r="25010" spans="1:6" x14ac:dyDescent="0.25">
      <c r="A25010" s="2" t="str">
        <f t="shared" si="873"/>
        <v>12580</v>
      </c>
      <c r="B25010" s="2" t="str">
        <f>"21102"</f>
        <v>21102</v>
      </c>
      <c r="C25010" s="1">
        <v>4.1449862620879302E-3</v>
      </c>
      <c r="D25010" s="1">
        <v>2.1150488182779502E-3</v>
      </c>
      <c r="E25010" s="1">
        <v>1.05412527873504E-3</v>
      </c>
      <c r="F25010" s="1">
        <v>3.8248012481354901E-3</v>
      </c>
    </row>
    <row r="25011" spans="1:6" x14ac:dyDescent="0.25">
      <c r="A25011" s="2" t="str">
        <f t="shared" si="873"/>
        <v>12580</v>
      </c>
      <c r="B25011" s="2" t="str">
        <f>"21009"</f>
        <v>21009</v>
      </c>
      <c r="C25011" s="1">
        <v>1.0336917551624501E-2</v>
      </c>
      <c r="D25011" s="1">
        <v>5.3040177729683597E-3</v>
      </c>
      <c r="E25011" s="1">
        <v>5.7571457530914199E-3</v>
      </c>
      <c r="F25011" s="1">
        <v>9.6964425315210004E-3</v>
      </c>
    </row>
    <row r="25012" spans="1:6" x14ac:dyDescent="0.25">
      <c r="A25012" s="2" t="str">
        <f t="shared" si="873"/>
        <v>12580</v>
      </c>
      <c r="B25012" s="2" t="str">
        <f>"20779"</f>
        <v>20779</v>
      </c>
      <c r="C25012" s="1">
        <v>4.6528515941629501E-4</v>
      </c>
      <c r="D25012" s="1">
        <v>6.5582909093890102E-5</v>
      </c>
      <c r="E25012" s="1">
        <v>4.0543279951348E-5</v>
      </c>
      <c r="F25012" s="1">
        <v>4.1138459821773603E-4</v>
      </c>
    </row>
    <row r="25013" spans="1:6" x14ac:dyDescent="0.25">
      <c r="A25013" s="2" t="str">
        <f t="shared" si="873"/>
        <v>12580</v>
      </c>
      <c r="B25013" s="2" t="str">
        <f>"20833"</f>
        <v>20833</v>
      </c>
      <c r="C25013" s="1">
        <v>3.8709247871572001E-5</v>
      </c>
      <c r="D25013" s="1">
        <v>0</v>
      </c>
      <c r="E25013" s="1">
        <v>0</v>
      </c>
      <c r="F25013" s="1">
        <v>3.3609852795566697E-5</v>
      </c>
    </row>
    <row r="25014" spans="1:6" x14ac:dyDescent="0.25">
      <c r="A25014" s="2" t="str">
        <f t="shared" si="873"/>
        <v>12580</v>
      </c>
      <c r="B25014" s="2" t="str">
        <f>"20754"</f>
        <v>20754</v>
      </c>
      <c r="C25014" s="1">
        <v>2.46965001420629E-4</v>
      </c>
      <c r="D25014" s="1">
        <v>8.1978636367362594E-6</v>
      </c>
      <c r="E25014" s="1">
        <v>1.3514426650449301E-5</v>
      </c>
      <c r="F25014" s="1">
        <v>2.1577525494753799E-4</v>
      </c>
    </row>
    <row r="25015" spans="1:6" x14ac:dyDescent="0.25">
      <c r="A25015" s="2" t="str">
        <f t="shared" si="873"/>
        <v>12580</v>
      </c>
      <c r="B25015" s="2" t="str">
        <f>"20701"</f>
        <v>20701</v>
      </c>
      <c r="C25015" s="1">
        <v>3.2206094229147899E-4</v>
      </c>
      <c r="D25015" s="1">
        <v>3.1561775001434601E-3</v>
      </c>
      <c r="E25015" s="1">
        <v>1.2027839718899899E-3</v>
      </c>
      <c r="F25015" s="1">
        <v>5.9825537976108695E-4</v>
      </c>
    </row>
    <row r="25016" spans="1:6" x14ac:dyDescent="0.25">
      <c r="A25016" s="2" t="str">
        <f t="shared" si="873"/>
        <v>12580</v>
      </c>
      <c r="B25016" s="2" t="str">
        <f>"21656"</f>
        <v>21656</v>
      </c>
      <c r="C25016" s="1">
        <v>0</v>
      </c>
      <c r="D25016" s="1">
        <v>8.1978636367362594E-6</v>
      </c>
      <c r="E25016" s="1">
        <v>0</v>
      </c>
      <c r="F25016" s="1">
        <v>6.7219705591133398E-7</v>
      </c>
    </row>
    <row r="25017" spans="1:6" x14ac:dyDescent="0.25">
      <c r="A25017" s="2" t="str">
        <f t="shared" si="873"/>
        <v>12580</v>
      </c>
      <c r="B25017" s="2" t="str">
        <f>"21644"</f>
        <v>21644</v>
      </c>
      <c r="C25017" s="1">
        <v>5.5741316935063602E-5</v>
      </c>
      <c r="D25017" s="1">
        <v>3.2791454546944997E-5</v>
      </c>
      <c r="E25017" s="1">
        <v>0</v>
      </c>
      <c r="F25017" s="1">
        <v>5.1086976249261401E-5</v>
      </c>
    </row>
    <row r="25018" spans="1:6" x14ac:dyDescent="0.25">
      <c r="A25018" s="2" t="str">
        <f t="shared" si="873"/>
        <v>12580</v>
      </c>
      <c r="B25018" s="2" t="str">
        <f>"21649"</f>
        <v>21649</v>
      </c>
      <c r="C25018" s="1">
        <v>1.8657857474097699E-4</v>
      </c>
      <c r="D25018" s="1">
        <v>8.1978636367362594E-6</v>
      </c>
      <c r="E25018" s="1">
        <v>0</v>
      </c>
      <c r="F25018" s="1">
        <v>1.6267168753054199E-4</v>
      </c>
    </row>
    <row r="25019" spans="1:6" x14ac:dyDescent="0.25">
      <c r="A25019" s="2" t="str">
        <f t="shared" si="873"/>
        <v>12580</v>
      </c>
      <c r="B25019" s="2" t="str">
        <f>"21640"</f>
        <v>21640</v>
      </c>
      <c r="C25019" s="1">
        <v>4.7999467360749201E-5</v>
      </c>
      <c r="D25019" s="1">
        <v>2.45935909102087E-5</v>
      </c>
      <c r="E25019" s="1">
        <v>0</v>
      </c>
      <c r="F25019" s="1">
        <v>4.36928086342367E-5</v>
      </c>
    </row>
    <row r="25020" spans="1:6" x14ac:dyDescent="0.25">
      <c r="A25020" s="2" t="str">
        <f t="shared" si="873"/>
        <v>12580</v>
      </c>
      <c r="B25020" s="2" t="str">
        <f>"21738"</f>
        <v>21738</v>
      </c>
      <c r="C25020" s="1">
        <v>9.2128009934341296E-4</v>
      </c>
      <c r="D25020" s="1">
        <v>7.4600559094300004E-4</v>
      </c>
      <c r="E25020" s="1">
        <v>1.48658693154942E-4</v>
      </c>
      <c r="F25020" s="1">
        <v>8.6847859623744397E-4</v>
      </c>
    </row>
    <row r="25021" spans="1:6" x14ac:dyDescent="0.25">
      <c r="A25021" s="2" t="str">
        <f t="shared" si="873"/>
        <v>12580</v>
      </c>
      <c r="B25021" s="2" t="str">
        <f>"21270"</f>
        <v>21270</v>
      </c>
      <c r="C25021" s="1">
        <v>2.5548103595237501E-5</v>
      </c>
      <c r="D25021" s="1">
        <v>2.45935909102087E-5</v>
      </c>
      <c r="E25021" s="1">
        <v>2.70288533008987E-5</v>
      </c>
      <c r="F25021" s="1">
        <v>2.5543488124630701E-5</v>
      </c>
    </row>
    <row r="25022" spans="1:6" x14ac:dyDescent="0.25">
      <c r="A25022" s="2" t="str">
        <f t="shared" si="873"/>
        <v>12580</v>
      </c>
      <c r="B25022" s="2" t="str">
        <f>"21284"</f>
        <v>21284</v>
      </c>
      <c r="C25022" s="1">
        <v>7.2308875024096504E-4</v>
      </c>
      <c r="D25022" s="1">
        <v>2.90204372740463E-3</v>
      </c>
      <c r="E25022" s="1">
        <v>2.70288533008987E-5</v>
      </c>
      <c r="F25022" s="1">
        <v>8.6713420212562102E-4</v>
      </c>
    </row>
    <row r="25023" spans="1:6" x14ac:dyDescent="0.25">
      <c r="A25023" s="2" t="str">
        <f t="shared" si="873"/>
        <v>12580</v>
      </c>
      <c r="B25023" s="2" t="str">
        <f>"21213"</f>
        <v>21213</v>
      </c>
      <c r="C25023" s="1">
        <v>1.28259221897666E-2</v>
      </c>
      <c r="D25023" s="1">
        <v>7.4108687276095804E-3</v>
      </c>
      <c r="E25023" s="1">
        <v>4.24352996824109E-3</v>
      </c>
      <c r="F25023" s="1">
        <v>1.1955024639383E-2</v>
      </c>
    </row>
    <row r="25024" spans="1:6" x14ac:dyDescent="0.25">
      <c r="A25024" s="2" t="str">
        <f t="shared" si="873"/>
        <v>12580</v>
      </c>
      <c r="B25024" s="2" t="str">
        <f>"21210"</f>
        <v>21210</v>
      </c>
      <c r="C25024" s="1">
        <v>5.3527147956809696E-3</v>
      </c>
      <c r="D25024" s="1">
        <v>3.2873433183312401E-3</v>
      </c>
      <c r="E25024" s="1">
        <v>6.3923238056625403E-3</v>
      </c>
      <c r="F25024" s="1">
        <v>5.2350706714374704E-3</v>
      </c>
    </row>
    <row r="25025" spans="1:6" x14ac:dyDescent="0.25">
      <c r="A25025" s="2" t="str">
        <f t="shared" si="873"/>
        <v>12580</v>
      </c>
      <c r="B25025" s="2" t="str">
        <f>"21209"</f>
        <v>21209</v>
      </c>
      <c r="C25025" s="1">
        <v>1.0003243834971601E-2</v>
      </c>
      <c r="D25025" s="1">
        <v>6.50910372756859E-3</v>
      </c>
      <c r="E25025" s="1">
        <v>2.2379890533144101E-2</v>
      </c>
      <c r="F25025" s="1">
        <v>1.03323409464131E-2</v>
      </c>
    </row>
    <row r="25026" spans="1:6" x14ac:dyDescent="0.25">
      <c r="A25026" s="2" t="str">
        <f t="shared" si="873"/>
        <v>12580</v>
      </c>
      <c r="B25026" s="2" t="str">
        <f>"21235"</f>
        <v>21235</v>
      </c>
      <c r="C25026" s="1">
        <v>0</v>
      </c>
      <c r="D25026" s="1">
        <v>5.7385045457153802E-5</v>
      </c>
      <c r="E25026" s="1">
        <v>0</v>
      </c>
      <c r="F25026" s="1">
        <v>4.7053793913793397E-6</v>
      </c>
    </row>
    <row r="25027" spans="1:6" x14ac:dyDescent="0.25">
      <c r="A25027" s="2" t="str">
        <f t="shared" si="873"/>
        <v>12580</v>
      </c>
      <c r="B25027" s="2" t="str">
        <f>"21228"</f>
        <v>21228</v>
      </c>
      <c r="C25027" s="1">
        <v>1.5888597881365402E-2</v>
      </c>
      <c r="D25027" s="1">
        <v>1.60432191370928E-2</v>
      </c>
      <c r="E25027" s="1">
        <v>2.01770389891208E-2</v>
      </c>
      <c r="F25027" s="1">
        <v>1.6114580021362401E-2</v>
      </c>
    </row>
    <row r="25028" spans="1:6" x14ac:dyDescent="0.25">
      <c r="A25028" s="2" t="str">
        <f t="shared" si="873"/>
        <v>12580</v>
      </c>
      <c r="B25028" s="2" t="str">
        <f>"21041"</f>
        <v>21041</v>
      </c>
      <c r="C25028" s="1">
        <v>1.04747224740473E-3</v>
      </c>
      <c r="D25028" s="1">
        <v>3.63165359107416E-3</v>
      </c>
      <c r="E25028" s="1">
        <v>2.70288533008987E-5</v>
      </c>
      <c r="F25028" s="1">
        <v>1.20861030652857E-3</v>
      </c>
    </row>
    <row r="25029" spans="1:6" x14ac:dyDescent="0.25">
      <c r="A25029" s="2" t="str">
        <f t="shared" si="873"/>
        <v>12580</v>
      </c>
      <c r="B25029" s="2" t="str">
        <f>"21139"</f>
        <v>21139</v>
      </c>
      <c r="C25029" s="1">
        <v>3.1973838741918399E-4</v>
      </c>
      <c r="D25029" s="1">
        <v>1.3444496364247399E-3</v>
      </c>
      <c r="E25029" s="1">
        <v>1.3514426650449301E-5</v>
      </c>
      <c r="F25029" s="1">
        <v>3.8852989831675099E-4</v>
      </c>
    </row>
    <row r="25030" spans="1:6" x14ac:dyDescent="0.25">
      <c r="A25030" s="2" t="str">
        <f t="shared" si="873"/>
        <v>12580</v>
      </c>
      <c r="B25030" s="2" t="str">
        <f>"21130"</f>
        <v>21130</v>
      </c>
      <c r="C25030" s="1">
        <v>6.0386426679652297E-5</v>
      </c>
      <c r="D25030" s="1">
        <v>8.1978636367362594E-6</v>
      </c>
      <c r="E25030" s="1">
        <v>2.70288533008987E-5</v>
      </c>
      <c r="F25030" s="1">
        <v>5.4447961528818001E-5</v>
      </c>
    </row>
    <row r="25031" spans="1:6" x14ac:dyDescent="0.25">
      <c r="A25031" s="2" t="str">
        <f t="shared" si="873"/>
        <v>12580</v>
      </c>
      <c r="B25031" s="2" t="str">
        <f>"21132"</f>
        <v>21132</v>
      </c>
      <c r="C25031" s="1">
        <v>8.16765130090169E-4</v>
      </c>
      <c r="D25031" s="1">
        <v>1.39363681824516E-4</v>
      </c>
      <c r="E25031" s="1">
        <v>5.4057706601797399E-5</v>
      </c>
      <c r="F25031" s="1">
        <v>7.2328403216059497E-4</v>
      </c>
    </row>
    <row r="25032" spans="1:6" x14ac:dyDescent="0.25">
      <c r="A25032" s="2" t="str">
        <f t="shared" si="873"/>
        <v>12580</v>
      </c>
      <c r="B25032" s="2" t="str">
        <f>"21131"</f>
        <v>21131</v>
      </c>
      <c r="C25032" s="1">
        <v>2.2954583987842099E-3</v>
      </c>
      <c r="D25032" s="1">
        <v>2.76268004558012E-3</v>
      </c>
      <c r="E25032" s="1">
        <v>3.1083181296033498E-4</v>
      </c>
      <c r="F25032" s="1">
        <v>2.2350552109051802E-3</v>
      </c>
    </row>
    <row r="25033" spans="1:6" x14ac:dyDescent="0.25">
      <c r="A25033" s="2" t="str">
        <f t="shared" si="873"/>
        <v>12580</v>
      </c>
      <c r="B25033" s="2" t="str">
        <f>"21085"</f>
        <v>21085</v>
      </c>
      <c r="C25033" s="1">
        <v>5.8481931684370896E-3</v>
      </c>
      <c r="D25033" s="1">
        <v>3.48409204561291E-3</v>
      </c>
      <c r="E25033" s="1">
        <v>3.1218325562538001E-3</v>
      </c>
      <c r="F25033" s="1">
        <v>5.5187378290320497E-3</v>
      </c>
    </row>
    <row r="25034" spans="1:6" x14ac:dyDescent="0.25">
      <c r="A25034" s="2" t="str">
        <f t="shared" si="873"/>
        <v>12580</v>
      </c>
      <c r="B25034" s="2" t="str">
        <f>"21082"</f>
        <v>21082</v>
      </c>
      <c r="C25034" s="1">
        <v>2.9419028382394698E-4</v>
      </c>
      <c r="D25034" s="1">
        <v>1.1477009091430699E-4</v>
      </c>
      <c r="E25034" s="1">
        <v>1.08115413203594E-4</v>
      </c>
      <c r="F25034" s="1">
        <v>2.7022321647635598E-4</v>
      </c>
    </row>
    <row r="25035" spans="1:6" x14ac:dyDescent="0.25">
      <c r="A25035" s="2" t="str">
        <f t="shared" si="873"/>
        <v>12580</v>
      </c>
      <c r="B25035" s="2" t="str">
        <f>"20778"</f>
        <v>20778</v>
      </c>
      <c r="C25035" s="1">
        <v>6.1083193141340598E-4</v>
      </c>
      <c r="D25035" s="1">
        <v>2.2954018182861499E-4</v>
      </c>
      <c r="E25035" s="1">
        <v>5.4057706601797399E-5</v>
      </c>
      <c r="F25035" s="1">
        <v>5.5187378290320497E-4</v>
      </c>
    </row>
    <row r="25036" spans="1:6" x14ac:dyDescent="0.25">
      <c r="A25036" s="2" t="str">
        <f t="shared" si="873"/>
        <v>12580</v>
      </c>
      <c r="B25036" s="2" t="str">
        <f>"20763"</f>
        <v>20763</v>
      </c>
      <c r="C25036" s="1">
        <v>1.3161144276334399E-3</v>
      </c>
      <c r="D25036" s="1">
        <v>2.8446586819474802E-3</v>
      </c>
      <c r="E25036" s="1">
        <v>2.3515102371781801E-3</v>
      </c>
      <c r="F25036" s="1">
        <v>1.49294966117907E-3</v>
      </c>
    </row>
    <row r="25037" spans="1:6" x14ac:dyDescent="0.25">
      <c r="A25037" s="2" t="str">
        <f t="shared" si="873"/>
        <v>12580</v>
      </c>
      <c r="B25037" s="2" t="str">
        <f>"20736"</f>
        <v>20736</v>
      </c>
      <c r="C25037" s="1">
        <v>9.2902194891772801E-6</v>
      </c>
      <c r="D25037" s="1">
        <v>0</v>
      </c>
      <c r="E25037" s="1">
        <v>0</v>
      </c>
      <c r="F25037" s="1">
        <v>8.0663646709360099E-6</v>
      </c>
    </row>
    <row r="25038" spans="1:6" x14ac:dyDescent="0.25">
      <c r="A25038" s="2" t="str">
        <f t="shared" si="873"/>
        <v>12580</v>
      </c>
      <c r="B25038" s="2" t="str">
        <f>"20724"</f>
        <v>20724</v>
      </c>
      <c r="C25038" s="1">
        <v>5.8156774002249704E-3</v>
      </c>
      <c r="D25038" s="1">
        <v>2.2380167728289998E-3</v>
      </c>
      <c r="E25038" s="1">
        <v>5.4327995134806403E-3</v>
      </c>
      <c r="F25038" s="1">
        <v>5.5032772967460904E-3</v>
      </c>
    </row>
    <row r="25039" spans="1:6" x14ac:dyDescent="0.25">
      <c r="A25039" s="2" t="str">
        <f t="shared" si="873"/>
        <v>12580</v>
      </c>
      <c r="B25039" s="2" t="str">
        <f>"21623"</f>
        <v>21623</v>
      </c>
      <c r="C25039" s="1">
        <v>9.2747357900286502E-4</v>
      </c>
      <c r="D25039" s="1">
        <v>2.13144454555142E-4</v>
      </c>
      <c r="E25039" s="1">
        <v>8.1086559902696095E-5</v>
      </c>
      <c r="F25039" s="1">
        <v>8.2680237877094101E-4</v>
      </c>
    </row>
    <row r="25040" spans="1:6" x14ac:dyDescent="0.25">
      <c r="A25040" s="2" t="str">
        <f t="shared" si="873"/>
        <v>12580</v>
      </c>
      <c r="B25040" s="2" t="str">
        <f>"21765"</f>
        <v>21765</v>
      </c>
      <c r="C25040" s="1">
        <v>2.4619081646319699E-4</v>
      </c>
      <c r="D25040" s="1">
        <v>7.54203454579736E-4</v>
      </c>
      <c r="E25040" s="1">
        <v>1.3514426650449301E-5</v>
      </c>
      <c r="F25040" s="1">
        <v>2.7627298997955801E-4</v>
      </c>
    </row>
    <row r="25041" spans="1:6" x14ac:dyDescent="0.25">
      <c r="A25041" s="2" t="str">
        <f t="shared" si="873"/>
        <v>12580</v>
      </c>
      <c r="B25041" s="2" t="str">
        <f>"21251"</f>
        <v>21251</v>
      </c>
      <c r="C25041" s="1">
        <v>0</v>
      </c>
      <c r="D25041" s="1">
        <v>1.6395727273472498E-5</v>
      </c>
      <c r="E25041" s="1">
        <v>0</v>
      </c>
      <c r="F25041" s="1">
        <v>1.3443941118226599E-6</v>
      </c>
    </row>
    <row r="25042" spans="1:6" x14ac:dyDescent="0.25">
      <c r="A25042" s="2" t="str">
        <f t="shared" si="873"/>
        <v>12580</v>
      </c>
      <c r="B25042" s="2" t="str">
        <f>"21409"</f>
        <v>21409</v>
      </c>
      <c r="C25042" s="1">
        <v>6.1493511168779196E-3</v>
      </c>
      <c r="D25042" s="1">
        <v>1.9183000909962799E-3</v>
      </c>
      <c r="E25042" s="1">
        <v>9.5952429218190401E-4</v>
      </c>
      <c r="F25042" s="1">
        <v>5.5442813171566801E-3</v>
      </c>
    </row>
    <row r="25043" spans="1:6" x14ac:dyDescent="0.25">
      <c r="A25043" s="2" t="str">
        <f t="shared" si="873"/>
        <v>12580</v>
      </c>
      <c r="B25043" s="2" t="str">
        <f>"21286"</f>
        <v>21286</v>
      </c>
      <c r="C25043" s="1">
        <v>7.9082993401621594E-3</v>
      </c>
      <c r="D25043" s="1">
        <v>1.1452415500520501E-2</v>
      </c>
      <c r="E25043" s="1">
        <v>1.02844786809919E-2</v>
      </c>
      <c r="F25043" s="1">
        <v>8.3170941727909401E-3</v>
      </c>
    </row>
    <row r="25044" spans="1:6" x14ac:dyDescent="0.25">
      <c r="A25044" s="2" t="str">
        <f t="shared" si="873"/>
        <v>12580</v>
      </c>
      <c r="B25044" s="2" t="str">
        <f>"21215"</f>
        <v>21215</v>
      </c>
      <c r="C25044" s="1">
        <v>2.1878466897012401E-2</v>
      </c>
      <c r="D25044" s="1">
        <v>1.8896075682677E-2</v>
      </c>
      <c r="E25044" s="1">
        <v>3.5164538144469203E-2</v>
      </c>
      <c r="F25044" s="1">
        <v>2.2294759753411199E-2</v>
      </c>
    </row>
    <row r="25045" spans="1:6" x14ac:dyDescent="0.25">
      <c r="A25045" s="2" t="str">
        <f t="shared" si="873"/>
        <v>12580</v>
      </c>
      <c r="B25045" s="2" t="str">
        <f>"21223"</f>
        <v>21223</v>
      </c>
      <c r="C25045" s="1">
        <v>1.1268262055414599E-2</v>
      </c>
      <c r="D25045" s="1">
        <v>1.2542731364206401E-2</v>
      </c>
      <c r="E25045" s="1">
        <v>1.36765997702547E-2</v>
      </c>
      <c r="F25045" s="1">
        <v>1.1492553064916E-2</v>
      </c>
    </row>
    <row r="25046" spans="1:6" x14ac:dyDescent="0.25">
      <c r="A25046" s="2" t="str">
        <f t="shared" si="873"/>
        <v>12580</v>
      </c>
      <c r="B25046" s="2" t="str">
        <f>"21229"</f>
        <v>21229</v>
      </c>
      <c r="C25046" s="1">
        <v>1.6007822364809798E-2</v>
      </c>
      <c r="D25046" s="1">
        <v>6.9517883639523496E-3</v>
      </c>
      <c r="E25046" s="1">
        <v>1.8609365497668701E-2</v>
      </c>
      <c r="F25046" s="1">
        <v>1.5394656974481301E-2</v>
      </c>
    </row>
    <row r="25047" spans="1:6" x14ac:dyDescent="0.25">
      <c r="A25047" s="2" t="str">
        <f t="shared" si="873"/>
        <v>12580</v>
      </c>
      <c r="B25047" s="2" t="str">
        <f>"21219"</f>
        <v>21219</v>
      </c>
      <c r="C25047" s="1">
        <v>3.1625455511074302E-3</v>
      </c>
      <c r="D25047" s="1">
        <v>1.9756851364534402E-3</v>
      </c>
      <c r="E25047" s="1">
        <v>1.4460436515980799E-3</v>
      </c>
      <c r="F25047" s="1">
        <v>2.9798495488549399E-3</v>
      </c>
    </row>
    <row r="25048" spans="1:6" x14ac:dyDescent="0.25">
      <c r="A25048" s="2" t="str">
        <f t="shared" si="873"/>
        <v>12580</v>
      </c>
      <c r="B25048" s="2" t="str">
        <f>"21218"</f>
        <v>21218</v>
      </c>
      <c r="C25048" s="1">
        <v>1.90991428998336E-2</v>
      </c>
      <c r="D25048" s="1">
        <v>1.6592476000754201E-2</v>
      </c>
      <c r="E25048" s="1">
        <v>3.44212446786945E-2</v>
      </c>
      <c r="F25048" s="1">
        <v>1.96557141119033E-2</v>
      </c>
    </row>
    <row r="25049" spans="1:6" x14ac:dyDescent="0.25">
      <c r="A25049" s="2" t="str">
        <f t="shared" si="873"/>
        <v>12580</v>
      </c>
      <c r="B25049" s="2" t="str">
        <f>"21163"</f>
        <v>21163</v>
      </c>
      <c r="C25049" s="1">
        <v>2.2420396367214498E-3</v>
      </c>
      <c r="D25049" s="1">
        <v>5.4105900002459305E-4</v>
      </c>
      <c r="E25049" s="1">
        <v>8.7843773227920801E-4</v>
      </c>
      <c r="F25049" s="1">
        <v>2.0347404882435998E-3</v>
      </c>
    </row>
    <row r="25050" spans="1:6" x14ac:dyDescent="0.25">
      <c r="A25050" s="2" t="str">
        <f t="shared" si="873"/>
        <v>12580</v>
      </c>
      <c r="B25050" s="2" t="str">
        <f>"21202"</f>
        <v>21202</v>
      </c>
      <c r="C25050" s="1">
        <v>1.0823879889848899E-2</v>
      </c>
      <c r="D25050" s="1">
        <v>3.7947910774452101E-2</v>
      </c>
      <c r="E25050" s="1">
        <v>1.95148320832488E-2</v>
      </c>
      <c r="F25050" s="1">
        <v>1.34802397592459E-2</v>
      </c>
    </row>
    <row r="25051" spans="1:6" x14ac:dyDescent="0.25">
      <c r="A25051" s="2" t="str">
        <f t="shared" si="873"/>
        <v>12580</v>
      </c>
      <c r="B25051" s="2" t="str">
        <f>"21020"</f>
        <v>21020</v>
      </c>
      <c r="C25051" s="1">
        <v>1.5483699148628801E-6</v>
      </c>
      <c r="D25051" s="1">
        <v>8.1978636367362594E-6</v>
      </c>
      <c r="E25051" s="1">
        <v>0</v>
      </c>
      <c r="F25051" s="1">
        <v>2.0165911677339999E-6</v>
      </c>
    </row>
    <row r="25052" spans="1:6" x14ac:dyDescent="0.25">
      <c r="A25052" s="2" t="str">
        <f t="shared" si="873"/>
        <v>12580</v>
      </c>
      <c r="B25052" s="2" t="str">
        <f>"21018"</f>
        <v>21018</v>
      </c>
      <c r="C25052" s="1">
        <v>0</v>
      </c>
      <c r="D25052" s="1">
        <v>8.1978636367362594E-6</v>
      </c>
      <c r="E25052" s="1">
        <v>1.3514426650449301E-5</v>
      </c>
      <c r="F25052" s="1">
        <v>1.3443941118226599E-6</v>
      </c>
    </row>
    <row r="25053" spans="1:6" x14ac:dyDescent="0.25">
      <c r="A25053" s="2" t="str">
        <f t="shared" ref="A25053:A25116" si="874">"12580"</f>
        <v>12580</v>
      </c>
      <c r="B25053" s="2" t="str">
        <f>"21035"</f>
        <v>21035</v>
      </c>
      <c r="C25053" s="1">
        <v>2.3759736343570799E-3</v>
      </c>
      <c r="D25053" s="1">
        <v>1.66416631825746E-3</v>
      </c>
      <c r="E25053" s="1">
        <v>6.7572133252246703E-5</v>
      </c>
      <c r="F25053" s="1">
        <v>2.2027897522214398E-3</v>
      </c>
    </row>
    <row r="25054" spans="1:6" x14ac:dyDescent="0.25">
      <c r="A25054" s="2" t="str">
        <f t="shared" si="874"/>
        <v>12580</v>
      </c>
      <c r="B25054" s="2" t="str">
        <f>"21031"</f>
        <v>21031</v>
      </c>
      <c r="C25054" s="1">
        <v>0</v>
      </c>
      <c r="D25054" s="1">
        <v>3.7300279547150001E-3</v>
      </c>
      <c r="E25054" s="1">
        <v>9.5952429218190401E-4</v>
      </c>
      <c r="F25054" s="1">
        <v>3.5357565140936098E-4</v>
      </c>
    </row>
    <row r="25055" spans="1:6" x14ac:dyDescent="0.25">
      <c r="A25055" s="2" t="str">
        <f t="shared" si="874"/>
        <v>12580</v>
      </c>
      <c r="B25055" s="2" t="str">
        <f>"21029"</f>
        <v>21029</v>
      </c>
      <c r="C25055" s="1">
        <v>3.8105383604775402E-3</v>
      </c>
      <c r="D25055" s="1">
        <v>2.32819327283309E-3</v>
      </c>
      <c r="E25055" s="1">
        <v>7.4329346577471395E-4</v>
      </c>
      <c r="F25055" s="1">
        <v>3.5364287111495302E-3</v>
      </c>
    </row>
    <row r="25056" spans="1:6" x14ac:dyDescent="0.25">
      <c r="A25056" s="2" t="str">
        <f t="shared" si="874"/>
        <v>12580</v>
      </c>
      <c r="B25056" s="2" t="str">
        <f>"21087"</f>
        <v>21087</v>
      </c>
      <c r="C25056" s="1">
        <v>1.7419161542207399E-3</v>
      </c>
      <c r="D25056" s="1">
        <v>6.6402695457563703E-4</v>
      </c>
      <c r="E25056" s="1">
        <v>1.35144266504493E-4</v>
      </c>
      <c r="F25056" s="1">
        <v>1.57361330788843E-3</v>
      </c>
    </row>
    <row r="25057" spans="1:6" x14ac:dyDescent="0.25">
      <c r="A25057" s="2" t="str">
        <f t="shared" si="874"/>
        <v>12580</v>
      </c>
      <c r="B25057" s="2" t="str">
        <f>"21077"</f>
        <v>21077</v>
      </c>
      <c r="C25057" s="1">
        <v>1.1767611352957799E-4</v>
      </c>
      <c r="D25057" s="1">
        <v>3.6070600001639501E-4</v>
      </c>
      <c r="E25057" s="1">
        <v>1.48658693154942E-4</v>
      </c>
      <c r="F25057" s="1">
        <v>1.39144790573646E-4</v>
      </c>
    </row>
    <row r="25058" spans="1:6" x14ac:dyDescent="0.25">
      <c r="A25058" s="2" t="str">
        <f t="shared" si="874"/>
        <v>12580</v>
      </c>
      <c r="B25058" s="2" t="str">
        <f>"21113"</f>
        <v>21113</v>
      </c>
      <c r="C25058" s="1">
        <v>1.2239864176991E-2</v>
      </c>
      <c r="D25058" s="1">
        <v>5.7549002729888497E-3</v>
      </c>
      <c r="E25058" s="1">
        <v>1.0419622947496401E-2</v>
      </c>
      <c r="F25058" s="1">
        <v>1.16175817173155E-2</v>
      </c>
    </row>
    <row r="25059" spans="1:6" x14ac:dyDescent="0.25">
      <c r="A25059" s="2" t="str">
        <f t="shared" si="874"/>
        <v>12580</v>
      </c>
      <c r="B25059" s="2" t="str">
        <f>"21005"</f>
        <v>21005</v>
      </c>
      <c r="C25059" s="1">
        <v>2.3930057034205802E-3</v>
      </c>
      <c r="D25059" s="1">
        <v>1.53300050006968E-3</v>
      </c>
      <c r="E25059" s="1">
        <v>5.67605919318872E-3</v>
      </c>
      <c r="F25059" s="1">
        <v>2.48578471276011E-3</v>
      </c>
    </row>
    <row r="25060" spans="1:6" x14ac:dyDescent="0.25">
      <c r="A25060" s="2" t="str">
        <f t="shared" si="874"/>
        <v>12580</v>
      </c>
      <c r="B25060" s="2" t="str">
        <f>"20794"</f>
        <v>20794</v>
      </c>
      <c r="C25060" s="1">
        <v>4.1279541930244303E-3</v>
      </c>
      <c r="D25060" s="1">
        <v>9.2307944549650297E-3</v>
      </c>
      <c r="E25060" s="1">
        <v>4.4057030880464802E-3</v>
      </c>
      <c r="F25060" s="1">
        <v>4.5601848273024896E-3</v>
      </c>
    </row>
    <row r="25061" spans="1:6" x14ac:dyDescent="0.25">
      <c r="A25061" s="2" t="str">
        <f t="shared" si="874"/>
        <v>12580</v>
      </c>
      <c r="B25061" s="2" t="str">
        <f>"20777"</f>
        <v>20777</v>
      </c>
      <c r="C25061" s="1">
        <v>1.1295358528924701E-3</v>
      </c>
      <c r="D25061" s="1">
        <v>1.5739898182533601E-3</v>
      </c>
      <c r="E25061" s="1">
        <v>9.4600986553145406E-5</v>
      </c>
      <c r="F25061" s="1">
        <v>1.1145027187009901E-3</v>
      </c>
    </row>
    <row r="25062" spans="1:6" x14ac:dyDescent="0.25">
      <c r="A25062" s="2" t="str">
        <f t="shared" si="874"/>
        <v>12580</v>
      </c>
      <c r="B25062" s="2" t="str">
        <f>"20751"</f>
        <v>20751</v>
      </c>
      <c r="C25062" s="1">
        <v>8.5470019300430905E-4</v>
      </c>
      <c r="D25062" s="1">
        <v>1.0411286818654999E-3</v>
      </c>
      <c r="E25062" s="1">
        <v>3.3786066626123297E-4</v>
      </c>
      <c r="F25062" s="1">
        <v>8.4427950222463598E-4</v>
      </c>
    </row>
    <row r="25063" spans="1:6" x14ac:dyDescent="0.25">
      <c r="A25063" s="2" t="str">
        <f t="shared" si="874"/>
        <v>12580</v>
      </c>
      <c r="B25063" s="2" t="str">
        <f>"21794"</f>
        <v>21794</v>
      </c>
      <c r="C25063" s="1">
        <v>6.9831483160315798E-4</v>
      </c>
      <c r="D25063" s="1">
        <v>9.0176500004098901E-5</v>
      </c>
      <c r="E25063" s="1">
        <v>5.4057706601797399E-5</v>
      </c>
      <c r="F25063" s="1">
        <v>6.1640470027069297E-4</v>
      </c>
    </row>
    <row r="25064" spans="1:6" x14ac:dyDescent="0.25">
      <c r="A25064" s="2" t="str">
        <f t="shared" si="874"/>
        <v>12580</v>
      </c>
      <c r="B25064" s="2" t="str">
        <f>"21791"</f>
        <v>21791</v>
      </c>
      <c r="C25064" s="1">
        <v>7.6721729281455705E-4</v>
      </c>
      <c r="D25064" s="1">
        <v>3.0332095455924099E-4</v>
      </c>
      <c r="E25064" s="1">
        <v>1.8920197310629001E-3</v>
      </c>
      <c r="F25064" s="1">
        <v>7.8512616130443805E-4</v>
      </c>
    </row>
    <row r="25065" spans="1:6" x14ac:dyDescent="0.25">
      <c r="A25065" s="2" t="str">
        <f t="shared" si="874"/>
        <v>12580</v>
      </c>
      <c r="B25065" s="2" t="str">
        <f>"21737"</f>
        <v>21737</v>
      </c>
      <c r="C25065" s="1">
        <v>5.4270365515943903E-4</v>
      </c>
      <c r="D25065" s="1">
        <v>3.0332095455924099E-4</v>
      </c>
      <c r="E25065" s="1">
        <v>6.7572133252246703E-5</v>
      </c>
      <c r="F25065" s="1">
        <v>4.9944241254212102E-4</v>
      </c>
    </row>
    <row r="25066" spans="1:6" x14ac:dyDescent="0.25">
      <c r="A25066" s="2" t="str">
        <f t="shared" si="874"/>
        <v>12580</v>
      </c>
      <c r="B25066" s="2" t="str">
        <f>"21290"</f>
        <v>21290</v>
      </c>
      <c r="C25066" s="1">
        <v>0</v>
      </c>
      <c r="D25066" s="1">
        <v>8.1978636367362594E-6</v>
      </c>
      <c r="E25066" s="1">
        <v>0</v>
      </c>
      <c r="F25066" s="1">
        <v>6.7219705591133398E-7</v>
      </c>
    </row>
    <row r="25067" spans="1:6" x14ac:dyDescent="0.25">
      <c r="A25067" s="2" t="str">
        <f t="shared" si="874"/>
        <v>12580</v>
      </c>
      <c r="B25067" s="2" t="str">
        <f>"21412"</f>
        <v>21412</v>
      </c>
      <c r="C25067" s="1">
        <v>3.6394434848851902E-3</v>
      </c>
      <c r="D25067" s="1">
        <v>0</v>
      </c>
      <c r="E25067" s="1">
        <v>2.70288533008987E-5</v>
      </c>
      <c r="F25067" s="1">
        <v>3.1613427539509999E-3</v>
      </c>
    </row>
    <row r="25068" spans="1:6" x14ac:dyDescent="0.25">
      <c r="A25068" s="2" t="str">
        <f t="shared" si="874"/>
        <v>12580</v>
      </c>
      <c r="B25068" s="2" t="str">
        <f>"21214"</f>
        <v>21214</v>
      </c>
      <c r="C25068" s="1">
        <v>6.8515368732682399E-3</v>
      </c>
      <c r="D25068" s="1">
        <v>4.7383651820335597E-3</v>
      </c>
      <c r="E25068" s="1">
        <v>1.1027772146766601E-2</v>
      </c>
      <c r="F25068" s="1">
        <v>6.88598664075571E-3</v>
      </c>
    </row>
    <row r="25069" spans="1:6" x14ac:dyDescent="0.25">
      <c r="A25069" s="2" t="str">
        <f t="shared" si="874"/>
        <v>12580</v>
      </c>
      <c r="B25069" s="2" t="str">
        <f>"21212"</f>
        <v>21212</v>
      </c>
      <c r="C25069" s="1">
        <v>1.1646838499598499E-2</v>
      </c>
      <c r="D25069" s="1">
        <v>6.7632375003074102E-3</v>
      </c>
      <c r="E25069" s="1">
        <v>1.8136360564903E-2</v>
      </c>
      <c r="F25069" s="1">
        <v>1.15691835292899E-2</v>
      </c>
    </row>
    <row r="25070" spans="1:6" x14ac:dyDescent="0.25">
      <c r="A25070" s="2" t="str">
        <f t="shared" si="874"/>
        <v>12580</v>
      </c>
      <c r="B25070" s="2" t="str">
        <f>"21224"</f>
        <v>21224</v>
      </c>
      <c r="C25070" s="1">
        <v>1.9726232715352999E-2</v>
      </c>
      <c r="D25070" s="1">
        <v>2.5872457637539599E-2</v>
      </c>
      <c r="E25070" s="1">
        <v>1.1933238732346699E-2</v>
      </c>
      <c r="F25070" s="1">
        <v>1.9842584893446601E-2</v>
      </c>
    </row>
    <row r="25071" spans="1:6" x14ac:dyDescent="0.25">
      <c r="A25071" s="2" t="str">
        <f t="shared" si="874"/>
        <v>12580</v>
      </c>
      <c r="B25071" s="2" t="str">
        <f>"21230"</f>
        <v>21230</v>
      </c>
      <c r="C25071" s="1">
        <v>1.51492512470184E-2</v>
      </c>
      <c r="D25071" s="1">
        <v>1.8674733364485201E-2</v>
      </c>
      <c r="E25071" s="1">
        <v>9.0276370025001596E-3</v>
      </c>
      <c r="F25071" s="1">
        <v>1.51338445167877E-2</v>
      </c>
    </row>
    <row r="25072" spans="1:6" x14ac:dyDescent="0.25">
      <c r="A25072" s="2" t="str">
        <f t="shared" si="874"/>
        <v>12580</v>
      </c>
      <c r="B25072" s="2" t="str">
        <f>"21206"</f>
        <v>21206</v>
      </c>
      <c r="C25072" s="1">
        <v>1.6999553295279499E-2</v>
      </c>
      <c r="D25072" s="1">
        <v>7.7715747276259801E-3</v>
      </c>
      <c r="E25072" s="1">
        <v>2.3393472531927799E-2</v>
      </c>
      <c r="F25072" s="1">
        <v>1.6560918866487501E-2</v>
      </c>
    </row>
    <row r="25073" spans="1:6" x14ac:dyDescent="0.25">
      <c r="A25073" s="2" t="str">
        <f t="shared" si="874"/>
        <v>12580</v>
      </c>
      <c r="B25073" s="2" t="str">
        <f>"21160"</f>
        <v>21160</v>
      </c>
      <c r="C25073" s="1">
        <v>8.27603719494209E-4</v>
      </c>
      <c r="D25073" s="1">
        <v>5.0826754547764804E-4</v>
      </c>
      <c r="E25073" s="1">
        <v>4.3246165281437898E-4</v>
      </c>
      <c r="F25073" s="1">
        <v>7.8176517602488197E-4</v>
      </c>
    </row>
    <row r="25074" spans="1:6" x14ac:dyDescent="0.25">
      <c r="A25074" s="2" t="str">
        <f t="shared" si="874"/>
        <v>12580</v>
      </c>
      <c r="B25074" s="2" t="str">
        <f>"21042"</f>
        <v>21042</v>
      </c>
      <c r="C25074" s="1">
        <v>1.2061027451824399E-2</v>
      </c>
      <c r="D25074" s="1">
        <v>9.8620299549937208E-3</v>
      </c>
      <c r="E25074" s="1">
        <v>6.5004392188661303E-3</v>
      </c>
      <c r="F25074" s="1">
        <v>1.16041377761973E-2</v>
      </c>
    </row>
    <row r="25075" spans="1:6" x14ac:dyDescent="0.25">
      <c r="A25075" s="2" t="str">
        <f t="shared" si="874"/>
        <v>12580</v>
      </c>
      <c r="B25075" s="2" t="str">
        <f>"21030"</f>
        <v>21030</v>
      </c>
      <c r="C25075" s="1">
        <v>1.02153705133078E-2</v>
      </c>
      <c r="D25075" s="1">
        <v>1.4411844273382299E-2</v>
      </c>
      <c r="E25075" s="1">
        <v>1.75282113656328E-2</v>
      </c>
      <c r="F25075" s="1">
        <v>1.09232021585591E-2</v>
      </c>
    </row>
    <row r="25076" spans="1:6" x14ac:dyDescent="0.25">
      <c r="A25076" s="2" t="str">
        <f t="shared" si="874"/>
        <v>12580</v>
      </c>
      <c r="B25076" s="2" t="str">
        <f>"21140"</f>
        <v>21140</v>
      </c>
      <c r="C25076" s="1">
        <v>1.3865652587597001E-3</v>
      </c>
      <c r="D25076" s="1">
        <v>7.2141200003279099E-4</v>
      </c>
      <c r="E25076" s="1">
        <v>1.3514426650449301E-5</v>
      </c>
      <c r="F25076" s="1">
        <v>1.2637304651133001E-3</v>
      </c>
    </row>
    <row r="25077" spans="1:6" x14ac:dyDescent="0.25">
      <c r="A25077" s="2" t="str">
        <f t="shared" si="874"/>
        <v>12580</v>
      </c>
      <c r="B25077" s="2" t="str">
        <f>"21146"</f>
        <v>21146</v>
      </c>
      <c r="C25077" s="1">
        <v>8.7916443765914294E-3</v>
      </c>
      <c r="D25077" s="1">
        <v>1.0034185091365101E-2</v>
      </c>
      <c r="E25077" s="1">
        <v>2.4866545036826798E-3</v>
      </c>
      <c r="F25077" s="1">
        <v>8.5799232216522692E-3</v>
      </c>
    </row>
    <row r="25078" spans="1:6" x14ac:dyDescent="0.25">
      <c r="A25078" s="2" t="str">
        <f t="shared" si="874"/>
        <v>12580</v>
      </c>
      <c r="B25078" s="2" t="str">
        <f>"21092"</f>
        <v>21092</v>
      </c>
      <c r="C25078" s="1">
        <v>0</v>
      </c>
      <c r="D25078" s="1">
        <v>8.1978636367362594E-6</v>
      </c>
      <c r="E25078" s="1">
        <v>1.3514426650449301E-5</v>
      </c>
      <c r="F25078" s="1">
        <v>1.3443941118226599E-6</v>
      </c>
    </row>
    <row r="25079" spans="1:6" x14ac:dyDescent="0.25">
      <c r="A25079" s="2" t="str">
        <f t="shared" si="874"/>
        <v>12580</v>
      </c>
      <c r="B25079" s="2" t="str">
        <f>"21094"</f>
        <v>21094</v>
      </c>
      <c r="C25079" s="1">
        <v>9.5998934721498502E-4</v>
      </c>
      <c r="D25079" s="1">
        <v>3.32833263651492E-3</v>
      </c>
      <c r="E25079" s="1">
        <v>2.70288533008987E-5</v>
      </c>
      <c r="F25079" s="1">
        <v>1.1077807481418699E-3</v>
      </c>
    </row>
    <row r="25080" spans="1:6" x14ac:dyDescent="0.25">
      <c r="A25080" s="2" t="str">
        <f t="shared" si="874"/>
        <v>12580</v>
      </c>
      <c r="B25080" s="2" t="str">
        <f>"21014"</f>
        <v>21014</v>
      </c>
      <c r="C25080" s="1">
        <v>1.25936667025372E-2</v>
      </c>
      <c r="D25080" s="1">
        <v>1.70269627735012E-2</v>
      </c>
      <c r="E25080" s="1">
        <v>1.21900128387053E-2</v>
      </c>
      <c r="F25080" s="1">
        <v>1.29371045380695E-2</v>
      </c>
    </row>
    <row r="25081" spans="1:6" x14ac:dyDescent="0.25">
      <c r="A25081" s="2" t="str">
        <f t="shared" si="874"/>
        <v>12580</v>
      </c>
      <c r="B25081" s="2" t="str">
        <f>"21013"</f>
        <v>21013</v>
      </c>
      <c r="C25081" s="1">
        <v>1.3819201490151199E-3</v>
      </c>
      <c r="D25081" s="1">
        <v>9.8374363640835099E-5</v>
      </c>
      <c r="E25081" s="1">
        <v>4.0543279951348E-5</v>
      </c>
      <c r="F25081" s="1">
        <v>1.2099547006403999E-3</v>
      </c>
    </row>
    <row r="25082" spans="1:6" x14ac:dyDescent="0.25">
      <c r="A25082" s="2" t="str">
        <f t="shared" si="874"/>
        <v>12580</v>
      </c>
      <c r="B25082" s="2" t="str">
        <f>"21012"</f>
        <v>21012</v>
      </c>
      <c r="C25082" s="1">
        <v>6.6099911665496299E-3</v>
      </c>
      <c r="D25082" s="1">
        <v>2.3773804546535098E-3</v>
      </c>
      <c r="E25082" s="1">
        <v>2.1217649841205402E-3</v>
      </c>
      <c r="F25082" s="1">
        <v>6.0396905473633399E-3</v>
      </c>
    </row>
    <row r="25083" spans="1:6" x14ac:dyDescent="0.25">
      <c r="A25083" s="2" t="str">
        <f t="shared" si="874"/>
        <v>12580</v>
      </c>
      <c r="B25083" s="2" t="str">
        <f>"21001"</f>
        <v>21001</v>
      </c>
      <c r="C25083" s="1">
        <v>9.2654455705394705E-3</v>
      </c>
      <c r="D25083" s="1">
        <v>7.6732003639851396E-3</v>
      </c>
      <c r="E25083" s="1">
        <v>8.4330022298803892E-3</v>
      </c>
      <c r="F25083" s="1">
        <v>9.0934817723685307E-3</v>
      </c>
    </row>
    <row r="25084" spans="1:6" x14ac:dyDescent="0.25">
      <c r="A25084" s="2" t="str">
        <f t="shared" si="874"/>
        <v>12580</v>
      </c>
      <c r="B25084" s="2" t="str">
        <f>"21015"</f>
        <v>21015</v>
      </c>
      <c r="C25084" s="1">
        <v>8.9898357256938798E-3</v>
      </c>
      <c r="D25084" s="1">
        <v>5.1400605002336298E-3</v>
      </c>
      <c r="E25084" s="1">
        <v>4.7841070342590697E-3</v>
      </c>
      <c r="F25084" s="1">
        <v>8.4649775250914307E-3</v>
      </c>
    </row>
    <row r="25085" spans="1:6" x14ac:dyDescent="0.25">
      <c r="A25085" s="2" t="str">
        <f t="shared" si="874"/>
        <v>12580</v>
      </c>
      <c r="B25085" s="2" t="str">
        <f>"21054"</f>
        <v>21054</v>
      </c>
      <c r="C25085" s="1">
        <v>4.5467882549948399E-3</v>
      </c>
      <c r="D25085" s="1">
        <v>5.6729216366214899E-3</v>
      </c>
      <c r="E25085" s="1">
        <v>1.45955807824853E-3</v>
      </c>
      <c r="F25085" s="1">
        <v>4.4855709540963301E-3</v>
      </c>
    </row>
    <row r="25086" spans="1:6" x14ac:dyDescent="0.25">
      <c r="A25086" s="2" t="str">
        <f t="shared" si="874"/>
        <v>12580</v>
      </c>
      <c r="B25086" s="2" t="str">
        <f>"21048"</f>
        <v>21048</v>
      </c>
      <c r="C25086" s="1">
        <v>3.45673583493138E-3</v>
      </c>
      <c r="D25086" s="1">
        <v>2.9676266364985198E-3</v>
      </c>
      <c r="E25086" s="1">
        <v>1.82444759781066E-3</v>
      </c>
      <c r="F25086" s="1">
        <v>3.3354417914320399E-3</v>
      </c>
    </row>
    <row r="25087" spans="1:6" x14ac:dyDescent="0.25">
      <c r="A25087" s="2" t="str">
        <f t="shared" si="874"/>
        <v>12580</v>
      </c>
      <c r="B25087" s="2" t="str">
        <f>"20776"</f>
        <v>20776</v>
      </c>
      <c r="C25087" s="1">
        <v>1.0273434385115201E-3</v>
      </c>
      <c r="D25087" s="1">
        <v>1.3116581818777999E-4</v>
      </c>
      <c r="E25087" s="1">
        <v>6.8923575917291698E-4</v>
      </c>
      <c r="F25087" s="1">
        <v>9.3704269594040005E-4</v>
      </c>
    </row>
    <row r="25088" spans="1:6" x14ac:dyDescent="0.25">
      <c r="A25088" s="2" t="str">
        <f t="shared" si="874"/>
        <v>12580</v>
      </c>
      <c r="B25088" s="2" t="str">
        <f>"20765"</f>
        <v>20765</v>
      </c>
      <c r="C25088" s="1">
        <v>7.89668656580068E-5</v>
      </c>
      <c r="D25088" s="1">
        <v>1.7215513637146101E-4</v>
      </c>
      <c r="E25088" s="1">
        <v>4.0543279951348E-5</v>
      </c>
      <c r="F25088" s="1">
        <v>8.4696829044828099E-5</v>
      </c>
    </row>
    <row r="25089" spans="1:6" x14ac:dyDescent="0.25">
      <c r="A25089" s="2" t="str">
        <f t="shared" si="874"/>
        <v>12580</v>
      </c>
      <c r="B25089" s="2" t="str">
        <f>"20758"</f>
        <v>20758</v>
      </c>
      <c r="C25089" s="1">
        <v>2.5625522090980601E-4</v>
      </c>
      <c r="D25089" s="1">
        <v>3.2791454546944997E-5</v>
      </c>
      <c r="E25089" s="1">
        <v>5.4057706601797399E-5</v>
      </c>
      <c r="F25089" s="1">
        <v>2.2787480195394201E-4</v>
      </c>
    </row>
    <row r="25090" spans="1:6" x14ac:dyDescent="0.25">
      <c r="A25090" s="2" t="str">
        <f t="shared" si="874"/>
        <v>12580</v>
      </c>
      <c r="B25090" s="2" t="str">
        <f>"20723"</f>
        <v>20723</v>
      </c>
      <c r="C25090" s="1">
        <v>9.6904731121693292E-3</v>
      </c>
      <c r="D25090" s="1">
        <v>4.6071993638457801E-3</v>
      </c>
      <c r="E25090" s="1">
        <v>6.3112372457598404E-3</v>
      </c>
      <c r="F25090" s="1">
        <v>9.1055813193749308E-3</v>
      </c>
    </row>
    <row r="25091" spans="1:6" x14ac:dyDescent="0.25">
      <c r="A25091" s="2" t="str">
        <f t="shared" si="874"/>
        <v>12580</v>
      </c>
      <c r="B25091" s="2" t="str">
        <f>"21658"</f>
        <v>21658</v>
      </c>
      <c r="C25091" s="1">
        <v>1.54449899007572E-3</v>
      </c>
      <c r="D25091" s="1">
        <v>1.72974922735135E-3</v>
      </c>
      <c r="E25091" s="1">
        <v>8.1086559902696095E-5</v>
      </c>
      <c r="F25091" s="1">
        <v>1.48689988767587E-3</v>
      </c>
    </row>
    <row r="25092" spans="1:6" x14ac:dyDescent="0.25">
      <c r="A25092" s="2" t="str">
        <f t="shared" si="874"/>
        <v>12580</v>
      </c>
      <c r="B25092" s="2" t="str">
        <f>"21619"</f>
        <v>21619</v>
      </c>
      <c r="C25092" s="1">
        <v>3.0324824782589502E-3</v>
      </c>
      <c r="D25092" s="1">
        <v>3.9431724092701403E-3</v>
      </c>
      <c r="E25092" s="1">
        <v>1.16224069193864E-3</v>
      </c>
      <c r="F25092" s="1">
        <v>3.0141315987064201E-3</v>
      </c>
    </row>
    <row r="25093" spans="1:6" x14ac:dyDescent="0.25">
      <c r="A25093" s="2" t="str">
        <f t="shared" si="874"/>
        <v>12580</v>
      </c>
      <c r="B25093" s="2" t="str">
        <f>"21287"</f>
        <v>21287</v>
      </c>
      <c r="C25093" s="1">
        <v>0</v>
      </c>
      <c r="D25093" s="1">
        <v>2.6233163637555997E-4</v>
      </c>
      <c r="E25093" s="1">
        <v>8.1086559902696095E-5</v>
      </c>
      <c r="F25093" s="1">
        <v>2.5543488124630701E-5</v>
      </c>
    </row>
    <row r="25094" spans="1:6" x14ac:dyDescent="0.25">
      <c r="A25094" s="2" t="str">
        <f t="shared" si="874"/>
        <v>12580</v>
      </c>
      <c r="B25094" s="2" t="str">
        <f>"21401"</f>
        <v>21401</v>
      </c>
      <c r="C25094" s="1">
        <v>1.52560887711439E-2</v>
      </c>
      <c r="D25094" s="1">
        <v>3.9128403138142198E-2</v>
      </c>
      <c r="E25094" s="1">
        <v>2.0271639975674001E-2</v>
      </c>
      <c r="F25094" s="1">
        <v>1.7463007315520501E-2</v>
      </c>
    </row>
    <row r="25095" spans="1:6" x14ac:dyDescent="0.25">
      <c r="A25095" s="2" t="str">
        <f t="shared" si="874"/>
        <v>12580</v>
      </c>
      <c r="B25095" s="2" t="str">
        <f>"21278"</f>
        <v>21278</v>
      </c>
      <c r="C25095" s="1">
        <v>0</v>
      </c>
      <c r="D25095" s="1">
        <v>1.6395727273472498E-5</v>
      </c>
      <c r="E25095" s="1">
        <v>0</v>
      </c>
      <c r="F25095" s="1">
        <v>1.3443941118226599E-6</v>
      </c>
    </row>
    <row r="25096" spans="1:6" x14ac:dyDescent="0.25">
      <c r="A25096" s="2" t="str">
        <f t="shared" si="874"/>
        <v>12580</v>
      </c>
      <c r="B25096" s="2" t="str">
        <f>"21208"</f>
        <v>21208</v>
      </c>
      <c r="C25096" s="1">
        <v>1.22282514026295E-2</v>
      </c>
      <c r="D25096" s="1">
        <v>1.3526475000614799E-2</v>
      </c>
      <c r="E25096" s="1">
        <v>1.39468883032637E-2</v>
      </c>
      <c r="F25096" s="1">
        <v>1.2420185002073701E-2</v>
      </c>
    </row>
    <row r="25097" spans="1:6" x14ac:dyDescent="0.25">
      <c r="A25097" s="2" t="str">
        <f t="shared" si="874"/>
        <v>12580</v>
      </c>
      <c r="B25097" s="2" t="str">
        <f>"21237"</f>
        <v>21237</v>
      </c>
      <c r="C25097" s="1">
        <v>1.10174261292068E-2</v>
      </c>
      <c r="D25097" s="1">
        <v>1.31493732733249E-2</v>
      </c>
      <c r="E25097" s="1">
        <v>1.17034934792891E-2</v>
      </c>
      <c r="F25097" s="1">
        <v>1.1226363030775101E-2</v>
      </c>
    </row>
    <row r="25098" spans="1:6" x14ac:dyDescent="0.25">
      <c r="A25098" s="2" t="str">
        <f t="shared" si="874"/>
        <v>12580</v>
      </c>
      <c r="B25098" s="2" t="str">
        <f>"21205"</f>
        <v>21205</v>
      </c>
      <c r="C25098" s="1">
        <v>6.7446993491426998E-3</v>
      </c>
      <c r="D25098" s="1">
        <v>8.2470508185566796E-3</v>
      </c>
      <c r="E25098" s="1">
        <v>3.90566930197986E-3</v>
      </c>
      <c r="F25098" s="1">
        <v>6.7266759385047198E-3</v>
      </c>
    </row>
    <row r="25099" spans="1:6" x14ac:dyDescent="0.25">
      <c r="A25099" s="2" t="str">
        <f t="shared" si="874"/>
        <v>12580</v>
      </c>
      <c r="B25099" s="2" t="str">
        <f>"21204"</f>
        <v>21204</v>
      </c>
      <c r="C25099" s="1">
        <v>7.7209465804637502E-3</v>
      </c>
      <c r="D25099" s="1">
        <v>2.1462007000975499E-2</v>
      </c>
      <c r="E25099" s="1">
        <v>1.18656665990945E-2</v>
      </c>
      <c r="F25099" s="1">
        <v>9.05382214606976E-3</v>
      </c>
    </row>
    <row r="25100" spans="1:6" x14ac:dyDescent="0.25">
      <c r="A25100" s="2" t="str">
        <f t="shared" si="874"/>
        <v>12580</v>
      </c>
      <c r="B25100" s="2" t="str">
        <f>"21203"</f>
        <v>21203</v>
      </c>
      <c r="C25100" s="1">
        <v>2.35042553076185E-3</v>
      </c>
      <c r="D25100" s="1">
        <v>5.2548305911479399E-3</v>
      </c>
      <c r="E25100" s="1">
        <v>2.70288533008987E-5</v>
      </c>
      <c r="F25100" s="1">
        <v>2.4730129686977901E-3</v>
      </c>
    </row>
    <row r="25101" spans="1:6" x14ac:dyDescent="0.25">
      <c r="A25101" s="2" t="str">
        <f t="shared" si="874"/>
        <v>12580</v>
      </c>
      <c r="B25101" s="2" t="str">
        <f>"21201"</f>
        <v>21201</v>
      </c>
      <c r="C25101" s="1">
        <v>1.02316283974139E-2</v>
      </c>
      <c r="D25101" s="1">
        <v>3.2652090865120498E-2</v>
      </c>
      <c r="E25101" s="1">
        <v>1.7122778566119299E-2</v>
      </c>
      <c r="F25101" s="1">
        <v>1.24127908344587E-2</v>
      </c>
    </row>
    <row r="25102" spans="1:6" x14ac:dyDescent="0.25">
      <c r="A25102" s="2" t="str">
        <f t="shared" si="874"/>
        <v>12580</v>
      </c>
      <c r="B25102" s="2" t="str">
        <f>"21023"</f>
        <v>21023</v>
      </c>
      <c r="C25102" s="1">
        <v>3.0967398297257602E-6</v>
      </c>
      <c r="D25102" s="1">
        <v>8.1978636367362594E-6</v>
      </c>
      <c r="E25102" s="1">
        <v>0</v>
      </c>
      <c r="F25102" s="1">
        <v>3.3609852795566698E-6</v>
      </c>
    </row>
    <row r="25103" spans="1:6" x14ac:dyDescent="0.25">
      <c r="A25103" s="2" t="str">
        <f t="shared" si="874"/>
        <v>12580</v>
      </c>
      <c r="B25103" s="2" t="str">
        <f>"21022"</f>
        <v>21022</v>
      </c>
      <c r="C25103" s="1">
        <v>2.9341609886651497E-4</v>
      </c>
      <c r="D25103" s="1">
        <v>2.0084765910003801E-3</v>
      </c>
      <c r="E25103" s="1">
        <v>1.3514426650449301E-5</v>
      </c>
      <c r="F25103" s="1">
        <v>4.20123159944584E-4</v>
      </c>
    </row>
    <row r="25104" spans="1:6" x14ac:dyDescent="0.25">
      <c r="A25104" s="2" t="str">
        <f t="shared" si="874"/>
        <v>12580</v>
      </c>
      <c r="B25104" s="2" t="str">
        <f>"21040"</f>
        <v>21040</v>
      </c>
      <c r="C25104" s="1">
        <v>8.0886844352436801E-3</v>
      </c>
      <c r="D25104" s="1">
        <v>5.6729216366214899E-3</v>
      </c>
      <c r="E25104" s="1">
        <v>7.1761605513885997E-3</v>
      </c>
      <c r="F25104" s="1">
        <v>7.8452118395411791E-3</v>
      </c>
    </row>
    <row r="25105" spans="1:6" x14ac:dyDescent="0.25">
      <c r="A25105" s="2" t="str">
        <f t="shared" si="874"/>
        <v>12580</v>
      </c>
      <c r="B25105" s="2" t="str">
        <f>"21128"</f>
        <v>21128</v>
      </c>
      <c r="C25105" s="1">
        <v>4.54601407003741E-3</v>
      </c>
      <c r="D25105" s="1">
        <v>8.6077568185730698E-4</v>
      </c>
      <c r="E25105" s="1">
        <v>2.58125549023582E-3</v>
      </c>
      <c r="F25105" s="1">
        <v>4.1461114408611098E-3</v>
      </c>
    </row>
    <row r="25106" spans="1:6" x14ac:dyDescent="0.25">
      <c r="A25106" s="2" t="str">
        <f t="shared" si="874"/>
        <v>12580</v>
      </c>
      <c r="B25106" s="2" t="str">
        <f>"21117"</f>
        <v>21117</v>
      </c>
      <c r="C25106" s="1">
        <v>2.00684224665377E-2</v>
      </c>
      <c r="D25106" s="1">
        <v>2.5142847773870099E-2</v>
      </c>
      <c r="E25106" s="1">
        <v>2.2109602000135099E-2</v>
      </c>
      <c r="F25106" s="1">
        <v>2.0586034837284599E-2</v>
      </c>
    </row>
    <row r="25107" spans="1:6" x14ac:dyDescent="0.25">
      <c r="A25107" s="2" t="str">
        <f t="shared" si="874"/>
        <v>12580</v>
      </c>
      <c r="B25107" s="2" t="str">
        <f>"21010"</f>
        <v>21010</v>
      </c>
      <c r="C25107" s="1">
        <v>3.2902860690836198E-4</v>
      </c>
      <c r="D25107" s="1">
        <v>1.9674872728167001E-4</v>
      </c>
      <c r="E25107" s="1">
        <v>1.2027839718899899E-3</v>
      </c>
      <c r="F25107" s="1">
        <v>3.61642016080297E-4</v>
      </c>
    </row>
    <row r="25108" spans="1:6" x14ac:dyDescent="0.25">
      <c r="A25108" s="2" t="str">
        <f t="shared" si="874"/>
        <v>12580</v>
      </c>
      <c r="B25108" s="2" t="str">
        <f>"21051"</f>
        <v>21051</v>
      </c>
      <c r="C25108" s="1">
        <v>8.7482900189752696E-5</v>
      </c>
      <c r="D25108" s="1">
        <v>1.6395727273472498E-5</v>
      </c>
      <c r="E25108" s="1">
        <v>0</v>
      </c>
      <c r="F25108" s="1">
        <v>7.7302661429803397E-5</v>
      </c>
    </row>
    <row r="25109" spans="1:6" x14ac:dyDescent="0.25">
      <c r="A25109" s="2" t="str">
        <f t="shared" si="874"/>
        <v>12580</v>
      </c>
      <c r="B25109" s="2" t="str">
        <f>"21670"</f>
        <v>21670</v>
      </c>
      <c r="C25109" s="1">
        <v>0</v>
      </c>
      <c r="D25109" s="1">
        <v>8.1978636367362594E-6</v>
      </c>
      <c r="E25109" s="1">
        <v>0</v>
      </c>
      <c r="F25109" s="1">
        <v>6.7219705591133398E-7</v>
      </c>
    </row>
    <row r="25110" spans="1:6" x14ac:dyDescent="0.25">
      <c r="A25110" s="2" t="str">
        <f t="shared" si="874"/>
        <v>12580</v>
      </c>
      <c r="B25110" s="2" t="str">
        <f>"21666"</f>
        <v>21666</v>
      </c>
      <c r="C25110" s="1">
        <v>5.01439596928343E-3</v>
      </c>
      <c r="D25110" s="1">
        <v>7.53383668216062E-3</v>
      </c>
      <c r="E25110" s="1">
        <v>1.5947023447530199E-3</v>
      </c>
      <c r="F25110" s="1">
        <v>5.0508886781177598E-3</v>
      </c>
    </row>
    <row r="25111" spans="1:6" x14ac:dyDescent="0.25">
      <c r="A25111" s="2" t="str">
        <f t="shared" si="874"/>
        <v>12580</v>
      </c>
      <c r="B25111" s="2" t="str">
        <f>"21657"</f>
        <v>21657</v>
      </c>
      <c r="C25111" s="1">
        <v>3.03480503313124E-4</v>
      </c>
      <c r="D25111" s="1">
        <v>1.39363681824516E-4</v>
      </c>
      <c r="E25111" s="1">
        <v>2.70288533008987E-5</v>
      </c>
      <c r="F25111" s="1">
        <v>2.7627298997955801E-4</v>
      </c>
    </row>
    <row r="25112" spans="1:6" x14ac:dyDescent="0.25">
      <c r="A25112" s="2" t="str">
        <f t="shared" si="874"/>
        <v>12580</v>
      </c>
      <c r="B25112" s="2" t="str">
        <f>"21651"</f>
        <v>21651</v>
      </c>
      <c r="C25112" s="1">
        <v>5.3651017549998805E-4</v>
      </c>
      <c r="D25112" s="1">
        <v>1.47561545461252E-4</v>
      </c>
      <c r="E25112" s="1">
        <v>0</v>
      </c>
      <c r="F25112" s="1">
        <v>4.7793210675295801E-4</v>
      </c>
    </row>
    <row r="25113" spans="1:6" x14ac:dyDescent="0.25">
      <c r="A25113" s="2" t="str">
        <f t="shared" si="874"/>
        <v>12580</v>
      </c>
      <c r="B25113" s="2" t="str">
        <f>"21757"</f>
        <v>21757</v>
      </c>
      <c r="C25113" s="1">
        <v>4.2967265137444898E-4</v>
      </c>
      <c r="D25113" s="1">
        <v>2.13144454555142E-4</v>
      </c>
      <c r="E25113" s="1">
        <v>1.48658693154942E-4</v>
      </c>
      <c r="F25113" s="1">
        <v>3.9794065709951001E-4</v>
      </c>
    </row>
    <row r="25114" spans="1:6" x14ac:dyDescent="0.25">
      <c r="A25114" s="2" t="str">
        <f t="shared" si="874"/>
        <v>12580</v>
      </c>
      <c r="B25114" s="2" t="str">
        <f>"21784"</f>
        <v>21784</v>
      </c>
      <c r="C25114" s="1">
        <v>1.2189542154757999E-2</v>
      </c>
      <c r="D25114" s="1">
        <v>1.2042661682365501E-2</v>
      </c>
      <c r="E25114" s="1">
        <v>8.8519494560443199E-3</v>
      </c>
      <c r="F25114" s="1">
        <v>1.2011489192079601E-2</v>
      </c>
    </row>
    <row r="25115" spans="1:6" x14ac:dyDescent="0.25">
      <c r="A25115" s="2" t="str">
        <f t="shared" si="874"/>
        <v>12580</v>
      </c>
      <c r="B25115" s="2" t="str">
        <f>"21405"</f>
        <v>21405</v>
      </c>
      <c r="C25115" s="1">
        <v>2.6709381031384601E-4</v>
      </c>
      <c r="D25115" s="1">
        <v>2.45935909102087E-5</v>
      </c>
      <c r="E25115" s="1">
        <v>0</v>
      </c>
      <c r="F25115" s="1">
        <v>2.33924575457144E-4</v>
      </c>
    </row>
    <row r="25116" spans="1:6" x14ac:dyDescent="0.25">
      <c r="A25116" s="2" t="str">
        <f t="shared" si="874"/>
        <v>12580</v>
      </c>
      <c r="B25116" s="2" t="str">
        <f>"21403"</f>
        <v>21403</v>
      </c>
      <c r="C25116" s="1">
        <v>1.2471345479263001E-2</v>
      </c>
      <c r="D25116" s="1">
        <v>8.6733397276669601E-3</v>
      </c>
      <c r="E25116" s="1">
        <v>1.6717345766605801E-2</v>
      </c>
      <c r="F25116" s="1">
        <v>1.2371114616992199E-2</v>
      </c>
    </row>
    <row r="25117" spans="1:6" x14ac:dyDescent="0.25">
      <c r="A25117" s="2" t="str">
        <f t="shared" ref="A25117:A25127" si="875">"12580"</f>
        <v>12580</v>
      </c>
      <c r="B25117" s="2" t="str">
        <f>"21244"</f>
        <v>21244</v>
      </c>
      <c r="C25117" s="1">
        <v>1.1905416275380601E-2</v>
      </c>
      <c r="D25117" s="1">
        <v>1.20262659550921E-2</v>
      </c>
      <c r="E25117" s="1">
        <v>1.88120818974255E-2</v>
      </c>
      <c r="F25117" s="1">
        <v>1.2258857708655001E-2</v>
      </c>
    </row>
    <row r="25118" spans="1:6" x14ac:dyDescent="0.25">
      <c r="A25118" s="2" t="str">
        <f t="shared" si="875"/>
        <v>12580</v>
      </c>
      <c r="B25118" s="2" t="str">
        <f>"21154"</f>
        <v>21154</v>
      </c>
      <c r="C25118" s="1">
        <v>2.0213969238534902E-3</v>
      </c>
      <c r="D25118" s="1">
        <v>5.9024618184501105E-4</v>
      </c>
      <c r="E25118" s="1">
        <v>1.08115413203594E-4</v>
      </c>
      <c r="F25118" s="1">
        <v>1.8088822774574001E-3</v>
      </c>
    </row>
    <row r="25119" spans="1:6" x14ac:dyDescent="0.25">
      <c r="A25119" s="2" t="str">
        <f t="shared" si="875"/>
        <v>12580</v>
      </c>
      <c r="B25119" s="2" t="str">
        <f>"21027"</f>
        <v>21027</v>
      </c>
      <c r="C25119" s="1">
        <v>0</v>
      </c>
      <c r="D25119" s="1">
        <v>8.1978636367362594E-6</v>
      </c>
      <c r="E25119" s="1">
        <v>0</v>
      </c>
      <c r="F25119" s="1">
        <v>6.7219705591133398E-7</v>
      </c>
    </row>
    <row r="25120" spans="1:6" x14ac:dyDescent="0.25">
      <c r="A25120" s="2" t="str">
        <f t="shared" si="875"/>
        <v>12580</v>
      </c>
      <c r="B25120" s="2" t="str">
        <f>"21043"</f>
        <v>21043</v>
      </c>
      <c r="C25120" s="1">
        <v>1.50548006822117E-2</v>
      </c>
      <c r="D25120" s="1">
        <v>9.3127730913323895E-3</v>
      </c>
      <c r="E25120" s="1">
        <v>1.9690519629704702E-2</v>
      </c>
      <c r="F25120" s="1">
        <v>1.48145509152299E-2</v>
      </c>
    </row>
    <row r="25121" spans="1:6" x14ac:dyDescent="0.25">
      <c r="A25121" s="2" t="str">
        <f t="shared" si="875"/>
        <v>12580</v>
      </c>
      <c r="B25121" s="2" t="str">
        <f>"21136"</f>
        <v>21136</v>
      </c>
      <c r="C25121" s="1">
        <v>1.11947144844586E-2</v>
      </c>
      <c r="D25121" s="1">
        <v>8.1896657730995293E-3</v>
      </c>
      <c r="E25121" s="1">
        <v>7.1761605513885997E-3</v>
      </c>
      <c r="F25121" s="1">
        <v>1.0748430924022201E-2</v>
      </c>
    </row>
    <row r="25122" spans="1:6" x14ac:dyDescent="0.25">
      <c r="A25122" s="2" t="str">
        <f t="shared" si="875"/>
        <v>12580</v>
      </c>
      <c r="B25122" s="2" t="str">
        <f>"21105"</f>
        <v>21105</v>
      </c>
      <c r="C25122" s="1">
        <v>0</v>
      </c>
      <c r="D25122" s="1">
        <v>8.1978636367362594E-6</v>
      </c>
      <c r="E25122" s="1">
        <v>0</v>
      </c>
      <c r="F25122" s="1">
        <v>6.7219705591133398E-7</v>
      </c>
    </row>
    <row r="25123" spans="1:6" x14ac:dyDescent="0.25">
      <c r="A25123" s="2" t="str">
        <f t="shared" si="875"/>
        <v>12580</v>
      </c>
      <c r="B25123" s="2" t="str">
        <f>"21075"</f>
        <v>21075</v>
      </c>
      <c r="C25123" s="1">
        <v>1.05536893397053E-2</v>
      </c>
      <c r="D25123" s="1">
        <v>1.2747677955124799E-2</v>
      </c>
      <c r="E25123" s="1">
        <v>9.2033245489560097E-3</v>
      </c>
      <c r="F25123" s="1">
        <v>1.0666422883201E-2</v>
      </c>
    </row>
    <row r="25124" spans="1:6" x14ac:dyDescent="0.25">
      <c r="A25124" s="2" t="str">
        <f t="shared" si="875"/>
        <v>12580</v>
      </c>
      <c r="B25124" s="2" t="str">
        <f>"21108"</f>
        <v>21108</v>
      </c>
      <c r="C25124" s="1">
        <v>6.19270547449408E-3</v>
      </c>
      <c r="D25124" s="1">
        <v>8.3864145003812E-3</v>
      </c>
      <c r="E25124" s="1">
        <v>2.58125549023582E-3</v>
      </c>
      <c r="F25124" s="1">
        <v>6.1929514761111196E-3</v>
      </c>
    </row>
    <row r="25125" spans="1:6" x14ac:dyDescent="0.25">
      <c r="A25125" s="2" t="str">
        <f t="shared" si="875"/>
        <v>12580</v>
      </c>
      <c r="B25125" s="2" t="str">
        <f>"21065"</f>
        <v>21065</v>
      </c>
      <c r="C25125" s="1">
        <v>0</v>
      </c>
      <c r="D25125" s="1">
        <v>8.1978636367362594E-6</v>
      </c>
      <c r="E25125" s="1">
        <v>0</v>
      </c>
      <c r="F25125" s="1">
        <v>6.7219705591133398E-7</v>
      </c>
    </row>
    <row r="25126" spans="1:6" x14ac:dyDescent="0.25">
      <c r="A25126" s="2" t="str">
        <f t="shared" si="875"/>
        <v>12580</v>
      </c>
      <c r="B25126" s="2" t="str">
        <f>"21053"</f>
        <v>21053</v>
      </c>
      <c r="C25126" s="1">
        <v>9.73924676448751E-4</v>
      </c>
      <c r="D25126" s="1">
        <v>2.2134231819187901E-4</v>
      </c>
      <c r="E25126" s="1">
        <v>1.75687546455841E-4</v>
      </c>
      <c r="F25126" s="1">
        <v>8.7251177857291195E-4</v>
      </c>
    </row>
    <row r="25127" spans="1:6" x14ac:dyDescent="0.25">
      <c r="A25127" s="2" t="str">
        <f t="shared" si="875"/>
        <v>12580</v>
      </c>
      <c r="B25127" s="2" t="str">
        <f>"20733"</f>
        <v>20733</v>
      </c>
      <c r="C25127" s="1">
        <v>9.6231190208727997E-4</v>
      </c>
      <c r="D25127" s="1">
        <v>2.9512309092250498E-4</v>
      </c>
      <c r="E25127" s="1">
        <v>1.75687546455841E-4</v>
      </c>
      <c r="F25127" s="1">
        <v>8.6847859623744397E-4</v>
      </c>
    </row>
    <row r="25128" spans="1:6" x14ac:dyDescent="0.25">
      <c r="A25128" s="2" t="str">
        <f t="shared" ref="A25128:A25145" si="876">"15700"</f>
        <v>15700</v>
      </c>
      <c r="B25128" s="2" t="str">
        <f>"21634"</f>
        <v>21634</v>
      </c>
      <c r="C25128" s="1">
        <v>1.5687621664949001E-2</v>
      </c>
      <c r="D25128" s="1">
        <v>4.7619047619047597E-3</v>
      </c>
      <c r="E25128" s="1">
        <v>0</v>
      </c>
      <c r="F25128" s="1">
        <v>1.41611651463992E-2</v>
      </c>
    </row>
    <row r="25129" spans="1:6" x14ac:dyDescent="0.25">
      <c r="A25129" s="2" t="str">
        <f t="shared" si="876"/>
        <v>15700</v>
      </c>
      <c r="B25129" s="2" t="str">
        <f>"21675"</f>
        <v>21675</v>
      </c>
      <c r="C25129" s="1">
        <v>4.9238520554219598E-3</v>
      </c>
      <c r="D25129" s="1">
        <v>5.4421768707482903E-3</v>
      </c>
      <c r="E25129" s="1">
        <v>0</v>
      </c>
      <c r="F25129" s="1">
        <v>4.73718691730081E-3</v>
      </c>
    </row>
    <row r="25130" spans="1:6" x14ac:dyDescent="0.25">
      <c r="A25130" s="2" t="str">
        <f t="shared" si="876"/>
        <v>15700</v>
      </c>
      <c r="B25130" s="2" t="str">
        <f>"21672"</f>
        <v>21672</v>
      </c>
      <c r="C25130" s="1">
        <v>1.0821023703194699E-2</v>
      </c>
      <c r="D25130" s="1">
        <v>5.4421768707482903E-3</v>
      </c>
      <c r="E25130" s="1">
        <v>1.10253583241455E-3</v>
      </c>
      <c r="F25130" s="1">
        <v>9.9783298896336196E-3</v>
      </c>
    </row>
    <row r="25131" spans="1:6" x14ac:dyDescent="0.25">
      <c r="A25131" s="2" t="str">
        <f t="shared" si="876"/>
        <v>15700</v>
      </c>
      <c r="B25131" s="2" t="str">
        <f>"21643"</f>
        <v>21643</v>
      </c>
      <c r="C25131" s="1">
        <v>0.131226382686362</v>
      </c>
      <c r="D25131" s="1">
        <v>4.5578231292517001E-2</v>
      </c>
      <c r="E25131" s="1">
        <v>1.8743109151047401E-2</v>
      </c>
      <c r="F25131" s="1">
        <v>0.119739958675603</v>
      </c>
    </row>
    <row r="25132" spans="1:6" x14ac:dyDescent="0.25">
      <c r="A25132" s="2" t="str">
        <f t="shared" si="876"/>
        <v>15700</v>
      </c>
      <c r="B25132" s="2" t="str">
        <f>"21631"</f>
        <v>21631</v>
      </c>
      <c r="C25132" s="1">
        <v>6.7846100996221195E-2</v>
      </c>
      <c r="D25132" s="1">
        <v>2.04081632653061E-2</v>
      </c>
      <c r="E25132" s="1">
        <v>1.212789415656E-2</v>
      </c>
      <c r="F25132" s="1">
        <v>6.1785012346923303E-2</v>
      </c>
    </row>
    <row r="25133" spans="1:6" x14ac:dyDescent="0.25">
      <c r="A25133" s="2" t="str">
        <f t="shared" si="876"/>
        <v>15700</v>
      </c>
      <c r="B25133" s="2" t="str">
        <f>"21869"</f>
        <v>21869</v>
      </c>
      <c r="C25133" s="1">
        <v>2.8455284552845499E-2</v>
      </c>
      <c r="D25133" s="1">
        <v>3.53741496598639E-2</v>
      </c>
      <c r="E25133" s="1">
        <v>1.32304299889746E-2</v>
      </c>
      <c r="F25133" s="1">
        <v>2.8271934687295198E-2</v>
      </c>
    </row>
    <row r="25134" spans="1:6" x14ac:dyDescent="0.25">
      <c r="A25134" s="2" t="str">
        <f t="shared" si="876"/>
        <v>15700</v>
      </c>
      <c r="B25134" s="2" t="str">
        <f>"21669"</f>
        <v>21669</v>
      </c>
      <c r="C25134" s="1">
        <v>1.1450818733539401E-4</v>
      </c>
      <c r="D25134" s="1">
        <v>1.36054421768707E-3</v>
      </c>
      <c r="E25134" s="1">
        <v>0</v>
      </c>
      <c r="F25134" s="1">
        <v>2.0158242201280001E-4</v>
      </c>
    </row>
    <row r="25135" spans="1:6" x14ac:dyDescent="0.25">
      <c r="A25135" s="2" t="str">
        <f t="shared" si="876"/>
        <v>15700</v>
      </c>
      <c r="B25135" s="2" t="str">
        <f>"21648"</f>
        <v>21648</v>
      </c>
      <c r="C25135" s="1">
        <v>7.9010649261422108E-3</v>
      </c>
      <c r="D25135" s="1">
        <v>4.0816326530612197E-3</v>
      </c>
      <c r="E25135" s="1">
        <v>0</v>
      </c>
      <c r="F25135" s="1">
        <v>7.2569671924608099E-3</v>
      </c>
    </row>
    <row r="25136" spans="1:6" x14ac:dyDescent="0.25">
      <c r="A25136" s="2" t="str">
        <f t="shared" si="876"/>
        <v>15700</v>
      </c>
      <c r="B25136" s="2" t="str">
        <f>"21659"</f>
        <v>21659</v>
      </c>
      <c r="C25136" s="1">
        <v>2.7252948585823802E-2</v>
      </c>
      <c r="D25136" s="1">
        <v>1.6326530612244799E-2</v>
      </c>
      <c r="E25136" s="1">
        <v>0</v>
      </c>
      <c r="F25136" s="1">
        <v>2.5197802751599999E-2</v>
      </c>
    </row>
    <row r="25137" spans="1:6" x14ac:dyDescent="0.25">
      <c r="A25137" s="2" t="str">
        <f t="shared" si="876"/>
        <v>15700</v>
      </c>
      <c r="B25137" s="2" t="str">
        <f>"21627"</f>
        <v>21627</v>
      </c>
      <c r="C25137" s="1">
        <v>1.8321309973663099E-3</v>
      </c>
      <c r="D25137" s="1">
        <v>2.0408163265306098E-3</v>
      </c>
      <c r="E25137" s="1">
        <v>0</v>
      </c>
      <c r="F25137" s="1">
        <v>1.763846192612E-3</v>
      </c>
    </row>
    <row r="25138" spans="1:6" x14ac:dyDescent="0.25">
      <c r="A25138" s="2" t="str">
        <f t="shared" si="876"/>
        <v>15700</v>
      </c>
      <c r="B25138" s="2" t="str">
        <f>"21677"</f>
        <v>21677</v>
      </c>
      <c r="C25138" s="1">
        <v>1.49433184472689E-2</v>
      </c>
      <c r="D25138" s="1">
        <v>2.7210884353741399E-3</v>
      </c>
      <c r="E25138" s="1">
        <v>0</v>
      </c>
      <c r="F25138" s="1">
        <v>1.3354835458348001E-2</v>
      </c>
    </row>
    <row r="25139" spans="1:6" x14ac:dyDescent="0.25">
      <c r="A25139" s="2" t="str">
        <f t="shared" si="876"/>
        <v>15700</v>
      </c>
      <c r="B25139" s="2" t="str">
        <f>"21835"</f>
        <v>21835</v>
      </c>
      <c r="C25139" s="1">
        <v>1.3168441543570299E-2</v>
      </c>
      <c r="D25139" s="1">
        <v>4.7619047619047597E-3</v>
      </c>
      <c r="E25139" s="1">
        <v>1.10253583241455E-3</v>
      </c>
      <c r="F25139" s="1">
        <v>1.1994154109761601E-2</v>
      </c>
    </row>
    <row r="25140" spans="1:6" x14ac:dyDescent="0.25">
      <c r="A25140" s="2" t="str">
        <f t="shared" si="876"/>
        <v>15700</v>
      </c>
      <c r="B25140" s="2" t="str">
        <f>"21632"</f>
        <v>21632</v>
      </c>
      <c r="C25140" s="1">
        <v>2.1355776938051001E-2</v>
      </c>
      <c r="D25140" s="1">
        <v>2.0408163265306098E-3</v>
      </c>
      <c r="E25140" s="1">
        <v>1.9845644983461901E-2</v>
      </c>
      <c r="F25140" s="1">
        <v>1.9855868568260798E-2</v>
      </c>
    </row>
    <row r="25141" spans="1:6" x14ac:dyDescent="0.25">
      <c r="A25141" s="2" t="str">
        <f t="shared" si="876"/>
        <v>15700</v>
      </c>
      <c r="B25141" s="2" t="str">
        <f>"21664"</f>
        <v>21664</v>
      </c>
      <c r="C25141" s="1">
        <v>9.9049582045116196E-3</v>
      </c>
      <c r="D25141" s="1">
        <v>0</v>
      </c>
      <c r="E25141" s="1">
        <v>1.10253583241455E-3</v>
      </c>
      <c r="F25141" s="1">
        <v>8.7688353575568201E-3</v>
      </c>
    </row>
    <row r="25142" spans="1:6" x14ac:dyDescent="0.25">
      <c r="A25142" s="2" t="str">
        <f t="shared" si="876"/>
        <v>15700</v>
      </c>
      <c r="B25142" s="2" t="str">
        <f>"21626"</f>
        <v>21626</v>
      </c>
      <c r="C25142" s="1">
        <v>5.6681552731020204E-3</v>
      </c>
      <c r="D25142" s="1">
        <v>2.0408163265306098E-3</v>
      </c>
      <c r="E25142" s="1">
        <v>0</v>
      </c>
      <c r="F25142" s="1">
        <v>5.1403517613264104E-3</v>
      </c>
    </row>
    <row r="25143" spans="1:6" x14ac:dyDescent="0.25">
      <c r="A25143" s="2" t="str">
        <f t="shared" si="876"/>
        <v>15700</v>
      </c>
      <c r="B25143" s="2" t="str">
        <f>"21622"</f>
        <v>21622</v>
      </c>
      <c r="C25143" s="1">
        <v>1.6489178976296801E-2</v>
      </c>
      <c r="D25143" s="1">
        <v>8.1632653061224393E-3</v>
      </c>
      <c r="E25143" s="1">
        <v>2.2050716648291E-3</v>
      </c>
      <c r="F25143" s="1">
        <v>1.5219472861966401E-2</v>
      </c>
    </row>
    <row r="25144" spans="1:6" x14ac:dyDescent="0.25">
      <c r="A25144" s="2" t="str">
        <f t="shared" si="876"/>
        <v>15700</v>
      </c>
      <c r="B25144" s="2" t="str">
        <f>"21613"</f>
        <v>21613</v>
      </c>
      <c r="C25144" s="1">
        <v>0.622180235886865</v>
      </c>
      <c r="D25144" s="1">
        <v>0.83945578231292495</v>
      </c>
      <c r="E25144" s="1">
        <v>0.93054024255788303</v>
      </c>
      <c r="F25144" s="1">
        <v>0.65237111323892505</v>
      </c>
    </row>
    <row r="25145" spans="1:6" x14ac:dyDescent="0.25">
      <c r="A25145" s="2" t="str">
        <f t="shared" si="876"/>
        <v>15700</v>
      </c>
      <c r="B25145" s="2" t="str">
        <f>"21655"</f>
        <v>21655</v>
      </c>
      <c r="C25145" s="1">
        <v>2.2901637467078801E-4</v>
      </c>
      <c r="D25145" s="1">
        <v>0</v>
      </c>
      <c r="E25145" s="1">
        <v>0</v>
      </c>
      <c r="F25145" s="1">
        <v>2.0158242201280001E-4</v>
      </c>
    </row>
    <row r="25146" spans="1:6" x14ac:dyDescent="0.25">
      <c r="A25146" s="2" t="str">
        <f t="shared" ref="A25146:A25176" si="877">"44420"</f>
        <v>44420</v>
      </c>
      <c r="B25146" s="2" t="str">
        <f>"24479"</f>
        <v>24479</v>
      </c>
      <c r="C25146" s="1">
        <v>1.21335695424006E-2</v>
      </c>
      <c r="D25146" s="1">
        <v>2.8890600924499198E-3</v>
      </c>
      <c r="E25146" s="1">
        <v>9.6015362457993198E-4</v>
      </c>
      <c r="F25146" s="1">
        <v>1.1071540329911001E-2</v>
      </c>
    </row>
    <row r="25147" spans="1:6" x14ac:dyDescent="0.25">
      <c r="A25147" s="2" t="str">
        <f t="shared" si="877"/>
        <v>44420</v>
      </c>
      <c r="B25147" s="2" t="str">
        <f>"24477"</f>
        <v>24477</v>
      </c>
      <c r="C25147" s="1">
        <v>9.0166126282715503E-2</v>
      </c>
      <c r="D25147" s="1">
        <v>6.9337442218798104E-2</v>
      </c>
      <c r="E25147" s="1">
        <v>7.9692750840134399E-2</v>
      </c>
      <c r="F25147" s="1">
        <v>8.8229596626383897E-2</v>
      </c>
    </row>
    <row r="25148" spans="1:6" x14ac:dyDescent="0.25">
      <c r="A25148" s="2" t="str">
        <f t="shared" si="877"/>
        <v>44420</v>
      </c>
      <c r="B25148" s="2" t="str">
        <f>"24472"</f>
        <v>24472</v>
      </c>
      <c r="C25148" s="1">
        <v>6.6183106594912503E-3</v>
      </c>
      <c r="D25148" s="1">
        <v>9.6302003081664002E-4</v>
      </c>
      <c r="E25148" s="1">
        <v>0</v>
      </c>
      <c r="F25148" s="1">
        <v>5.9753535293328702E-3</v>
      </c>
    </row>
    <row r="25149" spans="1:6" x14ac:dyDescent="0.25">
      <c r="A25149" s="2" t="str">
        <f t="shared" si="877"/>
        <v>44420</v>
      </c>
      <c r="B25149" s="2" t="str">
        <f>"24439"</f>
        <v>24439</v>
      </c>
      <c r="C25149" s="1">
        <v>1.63786475916702E-3</v>
      </c>
      <c r="D25149" s="1">
        <v>3.8520801232665597E-4</v>
      </c>
      <c r="E25149" s="1">
        <v>0</v>
      </c>
      <c r="F25149" s="1">
        <v>1.4901130995842501E-3</v>
      </c>
    </row>
    <row r="25150" spans="1:6" x14ac:dyDescent="0.25">
      <c r="A25150" s="2" t="str">
        <f t="shared" si="877"/>
        <v>44420</v>
      </c>
      <c r="B25150" s="2" t="str">
        <f>"24432"</f>
        <v>24432</v>
      </c>
      <c r="C25150" s="1">
        <v>2.90804559280676E-3</v>
      </c>
      <c r="D25150" s="1">
        <v>1.9260400616332799E-4</v>
      </c>
      <c r="E25150" s="1">
        <v>4.8007681228996599E-4</v>
      </c>
      <c r="F25150" s="1">
        <v>2.6225990552682901E-3</v>
      </c>
    </row>
    <row r="25151" spans="1:6" x14ac:dyDescent="0.25">
      <c r="A25151" s="2" t="str">
        <f t="shared" si="877"/>
        <v>44420</v>
      </c>
      <c r="B25151" s="2" t="str">
        <f>"24421"</f>
        <v>24421</v>
      </c>
      <c r="C25151" s="1">
        <v>2.65568071664939E-2</v>
      </c>
      <c r="D25151" s="1">
        <v>5.7781201848998397E-3</v>
      </c>
      <c r="E25151" s="1">
        <v>3.3605376860297602E-3</v>
      </c>
      <c r="F25151" s="1">
        <v>2.422923899924E-2</v>
      </c>
    </row>
    <row r="25152" spans="1:6" x14ac:dyDescent="0.25">
      <c r="A25152" s="2" t="str">
        <f t="shared" si="877"/>
        <v>44420</v>
      </c>
      <c r="B25152" s="2" t="str">
        <f>"22952"</f>
        <v>22952</v>
      </c>
      <c r="C25152" s="1">
        <v>2.0139051375472099E-2</v>
      </c>
      <c r="D25152" s="1">
        <v>1.13636363636363E-2</v>
      </c>
      <c r="E25152" s="1">
        <v>4.3206913106096896E-3</v>
      </c>
      <c r="F25152" s="1">
        <v>1.8969139757707601E-2</v>
      </c>
    </row>
    <row r="25153" spans="1:6" x14ac:dyDescent="0.25">
      <c r="A25153" s="2" t="str">
        <f t="shared" si="877"/>
        <v>44420</v>
      </c>
      <c r="B25153" s="2" t="str">
        <f>"24411"</f>
        <v>24411</v>
      </c>
      <c r="C25153" s="1">
        <v>0</v>
      </c>
      <c r="D25153" s="1">
        <v>0</v>
      </c>
      <c r="E25153" s="1">
        <v>4.8007681228996599E-4</v>
      </c>
      <c r="F25153" s="1">
        <v>1.49011309958425E-5</v>
      </c>
    </row>
    <row r="25154" spans="1:6" x14ac:dyDescent="0.25">
      <c r="A25154" s="2" t="str">
        <f t="shared" si="877"/>
        <v>44420</v>
      </c>
      <c r="B25154" s="2" t="str">
        <f>"24441"</f>
        <v>24441</v>
      </c>
      <c r="C25154" s="1">
        <v>1.6144666911789202E-2</v>
      </c>
      <c r="D25154" s="1">
        <v>2.3112480739599299E-3</v>
      </c>
      <c r="E25154" s="1">
        <v>0</v>
      </c>
      <c r="F25154" s="1">
        <v>1.4573306113934001E-2</v>
      </c>
    </row>
    <row r="25155" spans="1:6" x14ac:dyDescent="0.25">
      <c r="A25155" s="2" t="str">
        <f t="shared" si="877"/>
        <v>44420</v>
      </c>
      <c r="B25155" s="2" t="str">
        <f>"24431"</f>
        <v>24431</v>
      </c>
      <c r="C25155" s="1">
        <v>1.88354447304208E-2</v>
      </c>
      <c r="D25155" s="1">
        <v>2.6964560862865901E-3</v>
      </c>
      <c r="E25155" s="1">
        <v>2.8804608737397902E-3</v>
      </c>
      <c r="F25155" s="1">
        <v>1.7091597252231399E-2</v>
      </c>
    </row>
    <row r="25156" spans="1:6" x14ac:dyDescent="0.25">
      <c r="A25156" s="2" t="str">
        <f t="shared" si="877"/>
        <v>44420</v>
      </c>
      <c r="B25156" s="2" t="str">
        <f>"22980"</f>
        <v>22980</v>
      </c>
      <c r="C25156" s="1">
        <v>0.27995788347762102</v>
      </c>
      <c r="D25156" s="1">
        <v>0.31721879815100101</v>
      </c>
      <c r="E25156" s="1">
        <v>0.35717714834373399</v>
      </c>
      <c r="F25156" s="1">
        <v>0.28523744952241797</v>
      </c>
    </row>
    <row r="25157" spans="1:6" x14ac:dyDescent="0.25">
      <c r="A25157" s="2" t="str">
        <f t="shared" si="877"/>
        <v>44420</v>
      </c>
      <c r="B25157" s="2" t="str">
        <f>"22920"</f>
        <v>22920</v>
      </c>
      <c r="C25157" s="1">
        <v>9.8606143664137398E-4</v>
      </c>
      <c r="D25157" s="1">
        <v>3.8520801232665597E-4</v>
      </c>
      <c r="E25157" s="1">
        <v>0</v>
      </c>
      <c r="F25157" s="1">
        <v>9.0896899074639705E-4</v>
      </c>
    </row>
    <row r="25158" spans="1:6" x14ac:dyDescent="0.25">
      <c r="A25158" s="2" t="str">
        <f t="shared" si="877"/>
        <v>44420</v>
      </c>
      <c r="B25158" s="2" t="str">
        <f>"22812"</f>
        <v>22812</v>
      </c>
      <c r="C25158" s="1">
        <v>5.5319717886151603E-3</v>
      </c>
      <c r="D25158" s="1">
        <v>7.7041602465331195E-4</v>
      </c>
      <c r="E25158" s="1">
        <v>0</v>
      </c>
      <c r="F25158" s="1">
        <v>4.9918788836072602E-3</v>
      </c>
    </row>
    <row r="25159" spans="1:6" x14ac:dyDescent="0.25">
      <c r="A25159" s="2" t="str">
        <f t="shared" si="877"/>
        <v>44420</v>
      </c>
      <c r="B25159" s="2" t="str">
        <f>"24482"</f>
        <v>24482</v>
      </c>
      <c r="C25159" s="1">
        <v>3.11695691412909E-2</v>
      </c>
      <c r="D25159" s="1">
        <v>3.54391371340523E-2</v>
      </c>
      <c r="E25159" s="1">
        <v>4.2726836293806997E-2</v>
      </c>
      <c r="F25159" s="1">
        <v>3.1858618069111402E-2</v>
      </c>
    </row>
    <row r="25160" spans="1:6" x14ac:dyDescent="0.25">
      <c r="A25160" s="2" t="str">
        <f t="shared" si="877"/>
        <v>44420</v>
      </c>
      <c r="B25160" s="2" t="str">
        <f>"24459"</f>
        <v>24459</v>
      </c>
      <c r="C25160" s="1">
        <v>5.7659524684961702E-3</v>
      </c>
      <c r="D25160" s="1">
        <v>3.8520801232665597E-4</v>
      </c>
      <c r="E25160" s="1">
        <v>4.8007681228996599E-4</v>
      </c>
      <c r="F25160" s="1">
        <v>5.1855935865532101E-3</v>
      </c>
    </row>
    <row r="25161" spans="1:6" x14ac:dyDescent="0.25">
      <c r="A25161" s="2" t="str">
        <f t="shared" si="877"/>
        <v>44420</v>
      </c>
      <c r="B25161" s="2" t="str">
        <f>"24430"</f>
        <v>24430</v>
      </c>
      <c r="C25161" s="1">
        <v>1.0445566066116199E-2</v>
      </c>
      <c r="D25161" s="1">
        <v>2.6964560862865901E-3</v>
      </c>
      <c r="E25161" s="1">
        <v>3.8406144983197301E-3</v>
      </c>
      <c r="F25161" s="1">
        <v>9.6410317543101504E-3</v>
      </c>
    </row>
    <row r="25162" spans="1:6" x14ac:dyDescent="0.25">
      <c r="A25162" s="2" t="str">
        <f t="shared" si="877"/>
        <v>44420</v>
      </c>
      <c r="B25162" s="2" t="str">
        <f>"22841"</f>
        <v>22841</v>
      </c>
      <c r="C25162" s="1">
        <v>3.8439683123307799E-4</v>
      </c>
      <c r="D25162" s="1">
        <v>1.9260400616332799E-4</v>
      </c>
      <c r="E25162" s="1">
        <v>0</v>
      </c>
      <c r="F25162" s="1">
        <v>3.5762714390022199E-4</v>
      </c>
    </row>
    <row r="25163" spans="1:6" x14ac:dyDescent="0.25">
      <c r="A25163" s="2" t="str">
        <f t="shared" si="877"/>
        <v>44420</v>
      </c>
      <c r="B25163" s="2" t="str">
        <f>"24476"</f>
        <v>24476</v>
      </c>
      <c r="C25163" s="1">
        <v>2.5737874786910401E-3</v>
      </c>
      <c r="D25163" s="1">
        <v>9.6302003081664002E-4</v>
      </c>
      <c r="E25163" s="1">
        <v>0</v>
      </c>
      <c r="F25163" s="1">
        <v>2.3692798283389701E-3</v>
      </c>
    </row>
    <row r="25164" spans="1:6" x14ac:dyDescent="0.25">
      <c r="A25164" s="2" t="str">
        <f t="shared" si="877"/>
        <v>44420</v>
      </c>
      <c r="B25164" s="2" t="str">
        <f>"24485"</f>
        <v>24485</v>
      </c>
      <c r="C25164" s="1">
        <v>4.295216766387E-3</v>
      </c>
      <c r="D25164" s="1">
        <v>3.8520801232665597E-4</v>
      </c>
      <c r="E25164" s="1">
        <v>4.8007681228996599E-4</v>
      </c>
      <c r="F25164" s="1">
        <v>3.8742940589190701E-3</v>
      </c>
    </row>
    <row r="25165" spans="1:6" x14ac:dyDescent="0.25">
      <c r="A25165" s="2" t="str">
        <f t="shared" si="877"/>
        <v>44420</v>
      </c>
      <c r="B25165" s="2" t="str">
        <f>"24467"</f>
        <v>24467</v>
      </c>
      <c r="C25165" s="1">
        <v>1.5509576494969399E-2</v>
      </c>
      <c r="D25165" s="1">
        <v>2.8890600924499198E-3</v>
      </c>
      <c r="E25165" s="1">
        <v>1.4402304368698899E-3</v>
      </c>
      <c r="F25165" s="1">
        <v>1.4096469922067E-2</v>
      </c>
    </row>
    <row r="25166" spans="1:6" x14ac:dyDescent="0.25">
      <c r="A25166" s="2" t="str">
        <f t="shared" si="877"/>
        <v>44420</v>
      </c>
      <c r="B25166" s="2" t="str">
        <f>"24440"</f>
        <v>24440</v>
      </c>
      <c r="C25166" s="1">
        <v>1.6612628271551199E-2</v>
      </c>
      <c r="D25166" s="1">
        <v>2.8890600924499198E-3</v>
      </c>
      <c r="E25166" s="1">
        <v>3.3605376860297602E-3</v>
      </c>
      <c r="F25166" s="1">
        <v>1.5139549091776E-2</v>
      </c>
    </row>
    <row r="25167" spans="1:6" x14ac:dyDescent="0.25">
      <c r="A25167" s="2" t="str">
        <f t="shared" si="877"/>
        <v>44420</v>
      </c>
      <c r="B25167" s="2" t="str">
        <f>"22843"</f>
        <v>22843</v>
      </c>
      <c r="C25167" s="1">
        <v>1.8133502690777799E-2</v>
      </c>
      <c r="D25167" s="1">
        <v>3.4668721109398998E-3</v>
      </c>
      <c r="E25167" s="1">
        <v>1.4402304368698899E-3</v>
      </c>
      <c r="F25167" s="1">
        <v>1.6480650881401802E-2</v>
      </c>
    </row>
    <row r="25168" spans="1:6" x14ac:dyDescent="0.25">
      <c r="A25168" s="2" t="str">
        <f t="shared" si="877"/>
        <v>44420</v>
      </c>
      <c r="B25168" s="2" t="str">
        <f>"22939"</f>
        <v>22939</v>
      </c>
      <c r="C25168" s="1">
        <v>5.3280743390045703E-2</v>
      </c>
      <c r="D25168" s="1">
        <v>8.3397534668721102E-2</v>
      </c>
      <c r="E25168" s="1">
        <v>8.3533365338454096E-2</v>
      </c>
      <c r="F25168" s="1">
        <v>5.6549792129222599E-2</v>
      </c>
    </row>
    <row r="25169" spans="1:6" x14ac:dyDescent="0.25">
      <c r="A25169" s="2" t="str">
        <f t="shared" si="877"/>
        <v>44420</v>
      </c>
      <c r="B25169" s="2" t="str">
        <f>"24469"</f>
        <v>24469</v>
      </c>
      <c r="C25169" s="1">
        <v>0</v>
      </c>
      <c r="D25169" s="1">
        <v>0</v>
      </c>
      <c r="E25169" s="1">
        <v>4.8007681228996599E-4</v>
      </c>
      <c r="F25169" s="1">
        <v>1.49011309958425E-5</v>
      </c>
    </row>
    <row r="25170" spans="1:6" x14ac:dyDescent="0.25">
      <c r="A25170" s="2" t="str">
        <f t="shared" si="877"/>
        <v>44420</v>
      </c>
      <c r="B25170" s="2" t="str">
        <f>"24486"</f>
        <v>24486</v>
      </c>
      <c r="C25170" s="1">
        <v>2.3047096968278901E-2</v>
      </c>
      <c r="D25170" s="1">
        <v>1.7334360554699502E-2</v>
      </c>
      <c r="E25170" s="1">
        <v>1.2481997119539101E-2</v>
      </c>
      <c r="F25170" s="1">
        <v>2.22771908387846E-2</v>
      </c>
    </row>
    <row r="25171" spans="1:6" x14ac:dyDescent="0.25">
      <c r="A25171" s="2" t="str">
        <f t="shared" si="877"/>
        <v>44420</v>
      </c>
      <c r="B25171" s="2" t="str">
        <f>"24402"</f>
        <v>24402</v>
      </c>
      <c r="C25171" s="1">
        <v>2.3047096968278901E-2</v>
      </c>
      <c r="D25171" s="1">
        <v>8.3397534668721102E-2</v>
      </c>
      <c r="E25171" s="1">
        <v>1.9203072491598601E-3</v>
      </c>
      <c r="F25171" s="1">
        <v>2.70604538884501E-2</v>
      </c>
    </row>
    <row r="25172" spans="1:6" x14ac:dyDescent="0.25">
      <c r="A25172" s="2" t="str">
        <f t="shared" si="877"/>
        <v>44420</v>
      </c>
      <c r="B25172" s="2" t="str">
        <f>"24401"</f>
        <v>24401</v>
      </c>
      <c r="C25172" s="1">
        <v>0.30673195841828998</v>
      </c>
      <c r="D25172" s="1">
        <v>0.35130970724191002</v>
      </c>
      <c r="E25172" s="1">
        <v>0.39750360057609202</v>
      </c>
      <c r="F25172" s="1">
        <v>0.31299825656767299</v>
      </c>
    </row>
    <row r="25173" spans="1:6" x14ac:dyDescent="0.25">
      <c r="A25173" s="2" t="str">
        <f t="shared" si="877"/>
        <v>44420</v>
      </c>
      <c r="B25173" s="2" t="str">
        <f>"22967"</f>
        <v>22967</v>
      </c>
      <c r="C25173" s="1">
        <v>7.5208075676036999E-4</v>
      </c>
      <c r="D25173" s="1">
        <v>0</v>
      </c>
      <c r="E25173" s="1">
        <v>0</v>
      </c>
      <c r="F25173" s="1">
        <v>6.7055089481291605E-4</v>
      </c>
    </row>
    <row r="25174" spans="1:6" x14ac:dyDescent="0.25">
      <c r="A25174" s="2" t="str">
        <f t="shared" si="877"/>
        <v>44420</v>
      </c>
      <c r="B25174" s="2" t="str">
        <f>"24483"</f>
        <v>24483</v>
      </c>
      <c r="C25174" s="1">
        <v>1.50416151352074E-4</v>
      </c>
      <c r="D25174" s="1">
        <v>0</v>
      </c>
      <c r="E25174" s="1">
        <v>0</v>
      </c>
      <c r="F25174" s="1">
        <v>1.3411017896258301E-4</v>
      </c>
    </row>
    <row r="25175" spans="1:6" x14ac:dyDescent="0.25">
      <c r="A25175" s="2" t="str">
        <f t="shared" si="877"/>
        <v>44420</v>
      </c>
      <c r="B25175" s="2" t="str">
        <f>"24463"</f>
        <v>24463</v>
      </c>
      <c r="C25175" s="1">
        <v>0</v>
      </c>
      <c r="D25175" s="1">
        <v>0</v>
      </c>
      <c r="E25175" s="1">
        <v>9.6015362457993198E-4</v>
      </c>
      <c r="F25175" s="1">
        <v>2.9802261991685101E-5</v>
      </c>
    </row>
    <row r="25176" spans="1:6" x14ac:dyDescent="0.25">
      <c r="A25176" s="2" t="str">
        <f t="shared" si="877"/>
        <v>44420</v>
      </c>
      <c r="B25176" s="2" t="str">
        <f>"24437"</f>
        <v>24437</v>
      </c>
      <c r="C25176" s="1">
        <v>6.4846074138449703E-3</v>
      </c>
      <c r="D25176" s="1">
        <v>9.6302003081664002E-4</v>
      </c>
      <c r="E25176" s="1">
        <v>0</v>
      </c>
      <c r="F25176" s="1">
        <v>5.8561444813661299E-3</v>
      </c>
    </row>
    <row r="25177" spans="1:6" x14ac:dyDescent="0.25">
      <c r="A25177" s="2" t="str">
        <f t="shared" ref="A25177:A25208" si="878">"16620"</f>
        <v>16620</v>
      </c>
      <c r="B25177" s="2" t="str">
        <f>"25699"</f>
        <v>25699</v>
      </c>
      <c r="C25177" s="1">
        <v>6.6199835235965603E-5</v>
      </c>
      <c r="D25177" s="1">
        <v>0</v>
      </c>
      <c r="E25177" s="1">
        <v>0</v>
      </c>
      <c r="F25177" s="1">
        <v>5.9473854632682797E-5</v>
      </c>
    </row>
    <row r="25178" spans="1:6" x14ac:dyDescent="0.25">
      <c r="A25178" s="2" t="str">
        <f t="shared" si="878"/>
        <v>16620</v>
      </c>
      <c r="B25178" s="2" t="str">
        <f>"25201"</f>
        <v>25201</v>
      </c>
      <c r="C25178" s="1">
        <v>3.6777686242203102E-5</v>
      </c>
      <c r="D25178" s="1">
        <v>0</v>
      </c>
      <c r="E25178" s="1">
        <v>2.6588673225205999E-4</v>
      </c>
      <c r="F25178" s="1">
        <v>3.9649236421788498E-5</v>
      </c>
    </row>
    <row r="25179" spans="1:6" x14ac:dyDescent="0.25">
      <c r="A25179" s="2" t="str">
        <f t="shared" si="878"/>
        <v>16620</v>
      </c>
      <c r="B25179" s="2" t="str">
        <f>"25235"</f>
        <v>25235</v>
      </c>
      <c r="C25179" s="1">
        <v>3.97199011415793E-4</v>
      </c>
      <c r="D25179" s="1">
        <v>0</v>
      </c>
      <c r="E25179" s="1">
        <v>2.6588673225205999E-4</v>
      </c>
      <c r="F25179" s="1">
        <v>3.6345133386639502E-4</v>
      </c>
    </row>
    <row r="25180" spans="1:6" x14ac:dyDescent="0.25">
      <c r="A25180" s="2" t="str">
        <f t="shared" si="878"/>
        <v>16620</v>
      </c>
      <c r="B25180" s="2" t="str">
        <f>"25214"</f>
        <v>25214</v>
      </c>
      <c r="C25180" s="1">
        <v>1.4784629869365601E-3</v>
      </c>
      <c r="D25180" s="1">
        <v>1.7220595832615799E-4</v>
      </c>
      <c r="E25180" s="1">
        <v>0</v>
      </c>
      <c r="F25180" s="1">
        <v>1.3414658322705099E-3</v>
      </c>
    </row>
    <row r="25181" spans="1:6" x14ac:dyDescent="0.25">
      <c r="A25181" s="2" t="str">
        <f t="shared" si="878"/>
        <v>16620</v>
      </c>
      <c r="B25181" s="2" t="str">
        <f>"25181"</f>
        <v>25181</v>
      </c>
      <c r="C25181" s="1">
        <v>3.9352124279157302E-3</v>
      </c>
      <c r="D25181" s="1">
        <v>3.4441191665231599E-4</v>
      </c>
      <c r="E25181" s="1">
        <v>0</v>
      </c>
      <c r="F25181" s="1">
        <v>3.5618230718906701E-3</v>
      </c>
    </row>
    <row r="25182" spans="1:6" x14ac:dyDescent="0.25">
      <c r="A25182" s="2" t="str">
        <f t="shared" si="878"/>
        <v>16620</v>
      </c>
      <c r="B25182" s="2" t="str">
        <f>"25165"</f>
        <v>25165</v>
      </c>
      <c r="C25182" s="1">
        <v>1.1033305872660899E-3</v>
      </c>
      <c r="D25182" s="1">
        <v>8.6102979163078997E-5</v>
      </c>
      <c r="E25182" s="1">
        <v>2.6588673225205999E-4</v>
      </c>
      <c r="F25182" s="1">
        <v>1.00444732268531E-3</v>
      </c>
    </row>
    <row r="25183" spans="1:6" x14ac:dyDescent="0.25">
      <c r="A25183" s="2" t="str">
        <f t="shared" si="878"/>
        <v>16620</v>
      </c>
      <c r="B25183" s="2" t="str">
        <f>"25156"</f>
        <v>25156</v>
      </c>
      <c r="C25183" s="1">
        <v>0</v>
      </c>
      <c r="D25183" s="1">
        <v>0</v>
      </c>
      <c r="E25183" s="1">
        <v>2.6588673225205999E-4</v>
      </c>
      <c r="F25183" s="1">
        <v>6.6082060702980903E-6</v>
      </c>
    </row>
    <row r="25184" spans="1:6" x14ac:dyDescent="0.25">
      <c r="A25184" s="2" t="str">
        <f t="shared" si="878"/>
        <v>16620</v>
      </c>
      <c r="B25184" s="2" t="str">
        <f>"25059"</f>
        <v>25059</v>
      </c>
      <c r="C25184" s="1">
        <v>1.10333058726609E-4</v>
      </c>
      <c r="D25184" s="1">
        <v>0</v>
      </c>
      <c r="E25184" s="1">
        <v>0</v>
      </c>
      <c r="F25184" s="1">
        <v>9.9123091054471396E-5</v>
      </c>
    </row>
    <row r="25185" spans="1:6" x14ac:dyDescent="0.25">
      <c r="A25185" s="2" t="str">
        <f t="shared" si="878"/>
        <v>16620</v>
      </c>
      <c r="B25185" s="2" t="str">
        <f>"25124"</f>
        <v>25124</v>
      </c>
      <c r="C25185" s="1">
        <v>1.6917735671413399E-4</v>
      </c>
      <c r="D25185" s="1">
        <v>0</v>
      </c>
      <c r="E25185" s="1">
        <v>0</v>
      </c>
      <c r="F25185" s="1">
        <v>1.51988739616856E-4</v>
      </c>
    </row>
    <row r="25186" spans="1:6" x14ac:dyDescent="0.25">
      <c r="A25186" s="2" t="str">
        <f t="shared" si="878"/>
        <v>16620</v>
      </c>
      <c r="B25186" s="2" t="str">
        <f>"25130"</f>
        <v>25130</v>
      </c>
      <c r="C25186" s="1">
        <v>1.20042367894551E-2</v>
      </c>
      <c r="D25186" s="1">
        <v>1.70483898742896E-2</v>
      </c>
      <c r="E25186" s="1">
        <v>1.0635469290082401E-2</v>
      </c>
      <c r="F25186" s="1">
        <v>1.23573453514574E-2</v>
      </c>
    </row>
    <row r="25187" spans="1:6" x14ac:dyDescent="0.25">
      <c r="A25187" s="2" t="str">
        <f t="shared" si="878"/>
        <v>16620</v>
      </c>
      <c r="B25187" s="2" t="str">
        <f>"25067"</f>
        <v>25067</v>
      </c>
      <c r="C25187" s="1">
        <v>1.3239967047193099E-4</v>
      </c>
      <c r="D25187" s="1">
        <v>1.7220595832615799E-4</v>
      </c>
      <c r="E25187" s="1">
        <v>2.6588673225205999E-4</v>
      </c>
      <c r="F25187" s="1">
        <v>1.3877232747626001E-4</v>
      </c>
    </row>
    <row r="25188" spans="1:6" x14ac:dyDescent="0.25">
      <c r="A25188" s="2" t="str">
        <f t="shared" si="878"/>
        <v>16620</v>
      </c>
      <c r="B25188" s="2" t="str">
        <f>"25338"</f>
        <v>25338</v>
      </c>
      <c r="C25188" s="1">
        <v>3.6777686242203098E-4</v>
      </c>
      <c r="D25188" s="1">
        <v>2.2386774582400502E-3</v>
      </c>
      <c r="E25188" s="1">
        <v>2.6588673225205999E-4</v>
      </c>
      <c r="F25188" s="1">
        <v>5.0883186741295305E-4</v>
      </c>
    </row>
    <row r="25189" spans="1:6" x14ac:dyDescent="0.25">
      <c r="A25189" s="2" t="str">
        <f t="shared" si="878"/>
        <v>16620</v>
      </c>
      <c r="B25189" s="2" t="str">
        <f>"25337"</f>
        <v>25337</v>
      </c>
      <c r="C25189" s="1">
        <v>3.1628810168294599E-4</v>
      </c>
      <c r="D25189" s="1">
        <v>2.4108834165662099E-3</v>
      </c>
      <c r="E25189" s="1">
        <v>2.6588673225205999E-4</v>
      </c>
      <c r="F25189" s="1">
        <v>4.75790837061462E-4</v>
      </c>
    </row>
    <row r="25190" spans="1:6" x14ac:dyDescent="0.25">
      <c r="A25190" s="2" t="str">
        <f t="shared" si="878"/>
        <v>16620</v>
      </c>
      <c r="B25190" s="2" t="str">
        <f>"25335"</f>
        <v>25335</v>
      </c>
      <c r="C25190" s="1">
        <v>1.0297752147816799E-4</v>
      </c>
      <c r="D25190" s="1">
        <v>1.0332357499569401E-3</v>
      </c>
      <c r="E25190" s="1">
        <v>2.6588673225205999E-4</v>
      </c>
      <c r="F25190" s="1">
        <v>1.78421563898048E-4</v>
      </c>
    </row>
    <row r="25191" spans="1:6" x14ac:dyDescent="0.25">
      <c r="A25191" s="2" t="str">
        <f t="shared" si="878"/>
        <v>16620</v>
      </c>
      <c r="B25191" s="2" t="str">
        <f>"25361"</f>
        <v>25361</v>
      </c>
      <c r="C25191" s="1">
        <v>3.42032482052489E-3</v>
      </c>
      <c r="D25191" s="1">
        <v>7.8353711038401906E-3</v>
      </c>
      <c r="E25191" s="1">
        <v>2.6588673225205999E-4</v>
      </c>
      <c r="F25191" s="1">
        <v>3.6807707811560299E-3</v>
      </c>
    </row>
    <row r="25192" spans="1:6" x14ac:dyDescent="0.25">
      <c r="A25192" s="2" t="str">
        <f t="shared" si="878"/>
        <v>16620</v>
      </c>
      <c r="B25192" s="2" t="str">
        <f>"25320"</f>
        <v>25320</v>
      </c>
      <c r="C25192" s="1">
        <v>1.93965517241379E-2</v>
      </c>
      <c r="D25192" s="1">
        <v>5.5966936456001296E-3</v>
      </c>
      <c r="E25192" s="1">
        <v>1.0635469290082401E-2</v>
      </c>
      <c r="F25192" s="1">
        <v>1.8119701044757301E-2</v>
      </c>
    </row>
    <row r="25193" spans="1:6" x14ac:dyDescent="0.25">
      <c r="A25193" s="2" t="str">
        <f t="shared" si="878"/>
        <v>16620</v>
      </c>
      <c r="B25193" s="2" t="str">
        <f>"25030"</f>
        <v>25030</v>
      </c>
      <c r="C25193" s="1">
        <v>1.8388843121101501E-3</v>
      </c>
      <c r="D25193" s="1">
        <v>0</v>
      </c>
      <c r="E25193" s="1">
        <v>2.6588673225205999E-4</v>
      </c>
      <c r="F25193" s="1">
        <v>1.6586597236448199E-3</v>
      </c>
    </row>
    <row r="25194" spans="1:6" x14ac:dyDescent="0.25">
      <c r="A25194" s="2" t="str">
        <f t="shared" si="878"/>
        <v>16620</v>
      </c>
      <c r="B25194" s="2" t="str">
        <f>"25573"</f>
        <v>25573</v>
      </c>
      <c r="C25194" s="1">
        <v>3.25114746381075E-3</v>
      </c>
      <c r="D25194" s="1">
        <v>5.1661787497847404E-4</v>
      </c>
      <c r="E25194" s="1">
        <v>2.6588673225205999E-4</v>
      </c>
      <c r="F25194" s="1">
        <v>2.9670845255638399E-3</v>
      </c>
    </row>
    <row r="25195" spans="1:6" x14ac:dyDescent="0.25">
      <c r="A25195" s="2" t="str">
        <f t="shared" si="878"/>
        <v>16620</v>
      </c>
      <c r="B25195" s="2" t="str">
        <f>"26133"</f>
        <v>26133</v>
      </c>
      <c r="C25195" s="1">
        <v>2.20666117453218E-5</v>
      </c>
      <c r="D25195" s="1">
        <v>0</v>
      </c>
      <c r="E25195" s="1">
        <v>0</v>
      </c>
      <c r="F25195" s="1">
        <v>1.9824618210894201E-5</v>
      </c>
    </row>
    <row r="25196" spans="1:6" x14ac:dyDescent="0.25">
      <c r="A25196" s="2" t="str">
        <f t="shared" si="878"/>
        <v>16620</v>
      </c>
      <c r="B25196" s="2" t="str">
        <f>"25523"</f>
        <v>25523</v>
      </c>
      <c r="C25196" s="1">
        <v>9.4518653642461994E-3</v>
      </c>
      <c r="D25196" s="1">
        <v>1.2312726020320301E-2</v>
      </c>
      <c r="E25196" s="1">
        <v>1.3294336612603E-2</v>
      </c>
      <c r="F25196" s="1">
        <v>9.7669285719005801E-3</v>
      </c>
    </row>
    <row r="25197" spans="1:6" x14ac:dyDescent="0.25">
      <c r="A25197" s="2" t="str">
        <f t="shared" si="878"/>
        <v>16620</v>
      </c>
      <c r="B25197" s="2" t="str">
        <f>"25506"</f>
        <v>25506</v>
      </c>
      <c r="C25197" s="1">
        <v>1.5608450041191E-2</v>
      </c>
      <c r="D25197" s="1">
        <v>3.8746340623385502E-3</v>
      </c>
      <c r="E25197" s="1">
        <v>2.9247540547726598E-3</v>
      </c>
      <c r="F25197" s="1">
        <v>1.43926728211092E-2</v>
      </c>
    </row>
    <row r="25198" spans="1:6" x14ac:dyDescent="0.25">
      <c r="A25198" s="2" t="str">
        <f t="shared" si="878"/>
        <v>16620</v>
      </c>
      <c r="B25198" s="2" t="str">
        <f>"25206"</f>
        <v>25206</v>
      </c>
      <c r="C25198" s="1">
        <v>6.6199835235965603E-5</v>
      </c>
      <c r="D25198" s="1">
        <v>0</v>
      </c>
      <c r="E25198" s="1">
        <v>2.6588673225205999E-4</v>
      </c>
      <c r="F25198" s="1">
        <v>6.6082060702980899E-5</v>
      </c>
    </row>
    <row r="25199" spans="1:6" x14ac:dyDescent="0.25">
      <c r="A25199" s="2" t="str">
        <f t="shared" si="878"/>
        <v>16620</v>
      </c>
      <c r="B25199" s="2" t="str">
        <f>"25245"</f>
        <v>25245</v>
      </c>
      <c r="C25199" s="1">
        <v>3.0893256443450599E-3</v>
      </c>
      <c r="D25199" s="1">
        <v>5.1661787497847404E-4</v>
      </c>
      <c r="E25199" s="1">
        <v>0</v>
      </c>
      <c r="F25199" s="1">
        <v>2.8150957859469799E-3</v>
      </c>
    </row>
    <row r="25200" spans="1:6" x14ac:dyDescent="0.25">
      <c r="A25200" s="2" t="str">
        <f t="shared" si="878"/>
        <v>16620</v>
      </c>
      <c r="B25200" s="2" t="str">
        <f>"25208"</f>
        <v>25208</v>
      </c>
      <c r="C25200" s="1">
        <v>2.00806166882429E-3</v>
      </c>
      <c r="D25200" s="1">
        <v>2.5830893748923702E-4</v>
      </c>
      <c r="E25200" s="1">
        <v>2.6588673225205999E-4</v>
      </c>
      <c r="F25200" s="1">
        <v>1.83047308147257E-3</v>
      </c>
    </row>
    <row r="25201" spans="1:6" x14ac:dyDescent="0.25">
      <c r="A25201" s="2" t="str">
        <f t="shared" si="878"/>
        <v>16620</v>
      </c>
      <c r="B25201" s="2" t="str">
        <f>"25202"</f>
        <v>25202</v>
      </c>
      <c r="C25201" s="1">
        <v>4.2441449923502402E-3</v>
      </c>
      <c r="D25201" s="1">
        <v>3.4441191665231599E-4</v>
      </c>
      <c r="E25201" s="1">
        <v>0</v>
      </c>
      <c r="F25201" s="1">
        <v>3.83936772684319E-3</v>
      </c>
    </row>
    <row r="25202" spans="1:6" x14ac:dyDescent="0.25">
      <c r="A25202" s="2" t="str">
        <f t="shared" si="878"/>
        <v>16620</v>
      </c>
      <c r="B25202" s="2" t="str">
        <f>"25160"</f>
        <v>25160</v>
      </c>
      <c r="C25202" s="1">
        <v>9.7828645404260308E-4</v>
      </c>
      <c r="D25202" s="1">
        <v>3.4441191665231599E-4</v>
      </c>
      <c r="E25202" s="1">
        <v>0</v>
      </c>
      <c r="F25202" s="1">
        <v>9.0532423163083896E-4</v>
      </c>
    </row>
    <row r="25203" spans="1:6" x14ac:dyDescent="0.25">
      <c r="A25203" s="2" t="str">
        <f t="shared" si="878"/>
        <v>16620</v>
      </c>
      <c r="B25203" s="2" t="str">
        <f>"25134"</f>
        <v>25134</v>
      </c>
      <c r="C25203" s="1">
        <v>0</v>
      </c>
      <c r="D25203" s="1">
        <v>8.6102979163078997E-5</v>
      </c>
      <c r="E25203" s="1">
        <v>0</v>
      </c>
      <c r="F25203" s="1">
        <v>6.6082060702980903E-6</v>
      </c>
    </row>
    <row r="25204" spans="1:6" x14ac:dyDescent="0.25">
      <c r="A25204" s="2" t="str">
        <f t="shared" si="878"/>
        <v>16620</v>
      </c>
      <c r="B25204" s="2" t="str">
        <f>"25108"</f>
        <v>25108</v>
      </c>
      <c r="C25204" s="1">
        <v>1.35341885371307E-3</v>
      </c>
      <c r="D25204" s="1">
        <v>8.6102979163078997E-5</v>
      </c>
      <c r="E25204" s="1">
        <v>2.6588673225205999E-4</v>
      </c>
      <c r="F25204" s="1">
        <v>1.2291263290754399E-3</v>
      </c>
    </row>
    <row r="25205" spans="1:6" x14ac:dyDescent="0.25">
      <c r="A25205" s="2" t="str">
        <f t="shared" si="878"/>
        <v>16620</v>
      </c>
      <c r="B25205" s="2" t="str">
        <f>"25132"</f>
        <v>25132</v>
      </c>
      <c r="C25205" s="1">
        <v>5.2224314463928398E-4</v>
      </c>
      <c r="D25205" s="1">
        <v>8.6102979163078997E-5</v>
      </c>
      <c r="E25205" s="1">
        <v>0</v>
      </c>
      <c r="F25205" s="1">
        <v>4.75790837061462E-4</v>
      </c>
    </row>
    <row r="25206" spans="1:6" x14ac:dyDescent="0.25">
      <c r="A25206" s="2" t="str">
        <f t="shared" si="878"/>
        <v>16620</v>
      </c>
      <c r="B25206" s="2" t="str">
        <f>"25113"</f>
        <v>25113</v>
      </c>
      <c r="C25206" s="1">
        <v>3.2437919265623102E-3</v>
      </c>
      <c r="D25206" s="1">
        <v>1.29154468744618E-3</v>
      </c>
      <c r="E25206" s="1">
        <v>5.3177346450412096E-4</v>
      </c>
      <c r="F25206" s="1">
        <v>3.02655838019652E-3</v>
      </c>
    </row>
    <row r="25207" spans="1:6" x14ac:dyDescent="0.25">
      <c r="A25207" s="2" t="str">
        <f t="shared" si="878"/>
        <v>16620</v>
      </c>
      <c r="B25207" s="2" t="str">
        <f>"25107"</f>
        <v>25107</v>
      </c>
      <c r="C25207" s="1">
        <v>1.94921737083676E-3</v>
      </c>
      <c r="D25207" s="1">
        <v>6.0272085414155301E-4</v>
      </c>
      <c r="E25207" s="1">
        <v>0</v>
      </c>
      <c r="F25207" s="1">
        <v>1.7974320511210801E-3</v>
      </c>
    </row>
    <row r="25208" spans="1:6" x14ac:dyDescent="0.25">
      <c r="A25208" s="2" t="str">
        <f t="shared" si="878"/>
        <v>16620</v>
      </c>
      <c r="B25208" s="2" t="str">
        <f>"25063"</f>
        <v>25063</v>
      </c>
      <c r="C25208" s="1">
        <v>2.7362598564199098E-3</v>
      </c>
      <c r="D25208" s="1">
        <v>2.5830893748923702E-4</v>
      </c>
      <c r="E25208" s="1">
        <v>0</v>
      </c>
      <c r="F25208" s="1">
        <v>2.4780772763617798E-3</v>
      </c>
    </row>
    <row r="25209" spans="1:6" x14ac:dyDescent="0.25">
      <c r="A25209" s="2" t="str">
        <f t="shared" ref="A25209:A25240" si="879">"16620"</f>
        <v>16620</v>
      </c>
      <c r="B25209" s="2" t="str">
        <f>"25331"</f>
        <v>25331</v>
      </c>
      <c r="C25209" s="1">
        <v>1.76532893962575E-4</v>
      </c>
      <c r="D25209" s="1">
        <v>2.2386774582400502E-3</v>
      </c>
      <c r="E25209" s="1">
        <v>2.6588673225205999E-4</v>
      </c>
      <c r="F25209" s="1">
        <v>3.3701850958520202E-4</v>
      </c>
    </row>
    <row r="25210" spans="1:6" x14ac:dyDescent="0.25">
      <c r="A25210" s="2" t="str">
        <f t="shared" si="879"/>
        <v>16620</v>
      </c>
      <c r="B25210" s="2" t="str">
        <f>"25314"</f>
        <v>25314</v>
      </c>
      <c r="C25210" s="1">
        <v>5.19889372719783E-2</v>
      </c>
      <c r="D25210" s="1">
        <v>1.9028758395040399E-2</v>
      </c>
      <c r="E25210" s="1">
        <v>3.7224142515288397E-2</v>
      </c>
      <c r="F25210" s="1">
        <v>4.9092362896244503E-2</v>
      </c>
    </row>
    <row r="25211" spans="1:6" x14ac:dyDescent="0.25">
      <c r="A25211" s="2" t="str">
        <f t="shared" si="879"/>
        <v>16620</v>
      </c>
      <c r="B25211" s="2" t="str">
        <f>"25311"</f>
        <v>25311</v>
      </c>
      <c r="C25211" s="1">
        <v>4.3713957867482597E-2</v>
      </c>
      <c r="D25211" s="1">
        <v>3.9090752540037799E-2</v>
      </c>
      <c r="E25211" s="1">
        <v>0.113533634671629</v>
      </c>
      <c r="F25211" s="1">
        <v>4.5094398223714201E-2</v>
      </c>
    </row>
    <row r="25212" spans="1:6" x14ac:dyDescent="0.25">
      <c r="A25212" s="2" t="str">
        <f t="shared" si="879"/>
        <v>16620</v>
      </c>
      <c r="B25212" s="2" t="str">
        <f>"25009"</f>
        <v>25009</v>
      </c>
      <c r="C25212" s="1">
        <v>3.7807461456984799E-3</v>
      </c>
      <c r="D25212" s="1">
        <v>6.8882383330463198E-4</v>
      </c>
      <c r="E25212" s="1">
        <v>2.6588673225205999E-4</v>
      </c>
      <c r="F25212" s="1">
        <v>3.4560917747659E-3</v>
      </c>
    </row>
    <row r="25213" spans="1:6" x14ac:dyDescent="0.25">
      <c r="A25213" s="2" t="str">
        <f t="shared" si="879"/>
        <v>16620</v>
      </c>
      <c r="B25213" s="2" t="str">
        <f>"25003"</f>
        <v>25003</v>
      </c>
      <c r="C25213" s="1">
        <v>8.1278686595268896E-3</v>
      </c>
      <c r="D25213" s="1">
        <v>3.271913208197E-3</v>
      </c>
      <c r="E25213" s="1">
        <v>3.45652751927678E-3</v>
      </c>
      <c r="F25213" s="1">
        <v>7.6390862172645898E-3</v>
      </c>
    </row>
    <row r="25214" spans="1:6" x14ac:dyDescent="0.25">
      <c r="A25214" s="2" t="str">
        <f t="shared" si="879"/>
        <v>16620</v>
      </c>
      <c r="B25214" s="2" t="str">
        <f>"25286"</f>
        <v>25286</v>
      </c>
      <c r="C25214" s="1">
        <v>2.9422148993762502E-5</v>
      </c>
      <c r="D25214" s="1">
        <v>0</v>
      </c>
      <c r="E25214" s="1">
        <v>0</v>
      </c>
      <c r="F25214" s="1">
        <v>2.64328242811923E-5</v>
      </c>
    </row>
    <row r="25215" spans="1:6" x14ac:dyDescent="0.25">
      <c r="A25215" s="2" t="str">
        <f t="shared" si="879"/>
        <v>16620</v>
      </c>
      <c r="B25215" s="2" t="str">
        <f>"25271"</f>
        <v>25271</v>
      </c>
      <c r="C25215" s="1">
        <v>3.7719195010003502E-2</v>
      </c>
      <c r="D25215" s="1">
        <v>5.1059066643705797E-2</v>
      </c>
      <c r="E25215" s="1">
        <v>3.5362935389524001E-2</v>
      </c>
      <c r="F25215" s="1">
        <v>3.8684438335524998E-2</v>
      </c>
    </row>
    <row r="25216" spans="1:6" x14ac:dyDescent="0.25">
      <c r="A25216" s="2" t="str">
        <f t="shared" si="879"/>
        <v>16620</v>
      </c>
      <c r="B25216" s="2" t="str">
        <f>"25571"</f>
        <v>25571</v>
      </c>
      <c r="C25216" s="1">
        <v>6.9730493115217097E-3</v>
      </c>
      <c r="D25216" s="1">
        <v>1.2054417082830999E-3</v>
      </c>
      <c r="E25216" s="1">
        <v>5.3177346450412096E-4</v>
      </c>
      <c r="F25216" s="1">
        <v>6.3703106517673603E-3</v>
      </c>
    </row>
    <row r="25217" spans="1:6" x14ac:dyDescent="0.25">
      <c r="A25217" s="2" t="str">
        <f t="shared" si="879"/>
        <v>16620</v>
      </c>
      <c r="B25217" s="2" t="str">
        <f>"25567"</f>
        <v>25567</v>
      </c>
      <c r="C25217" s="1">
        <v>2.7656820054136702E-3</v>
      </c>
      <c r="D25217" s="1">
        <v>6.0272085414155301E-4</v>
      </c>
      <c r="E25217" s="1">
        <v>0</v>
      </c>
      <c r="F25217" s="1">
        <v>2.5309429249241698E-3</v>
      </c>
    </row>
    <row r="25218" spans="1:6" x14ac:dyDescent="0.25">
      <c r="A25218" s="2" t="str">
        <f t="shared" si="879"/>
        <v>16620</v>
      </c>
      <c r="B25218" s="2" t="str">
        <f>"25540"</f>
        <v>25540</v>
      </c>
      <c r="C25218" s="1">
        <v>7.28198187595621E-4</v>
      </c>
      <c r="D25218" s="1">
        <v>8.6102979163078997E-5</v>
      </c>
      <c r="E25218" s="1">
        <v>0</v>
      </c>
      <c r="F25218" s="1">
        <v>6.6082060702980902E-4</v>
      </c>
    </row>
    <row r="25219" spans="1:6" x14ac:dyDescent="0.25">
      <c r="A25219" s="2" t="str">
        <f t="shared" si="879"/>
        <v>16620</v>
      </c>
      <c r="B25219" s="2" t="str">
        <f>"25508"</f>
        <v>25508</v>
      </c>
      <c r="C25219" s="1">
        <v>1.8021066258679501E-3</v>
      </c>
      <c r="D25219" s="1">
        <v>1.7220595832615799E-4</v>
      </c>
      <c r="E25219" s="1">
        <v>1.06354692900824E-3</v>
      </c>
      <c r="F25219" s="1">
        <v>1.6586597236448199E-3</v>
      </c>
    </row>
    <row r="25220" spans="1:6" x14ac:dyDescent="0.25">
      <c r="A25220" s="2" t="str">
        <f t="shared" si="879"/>
        <v>16620</v>
      </c>
      <c r="B25220" s="2" t="str">
        <f>"25169"</f>
        <v>25169</v>
      </c>
      <c r="C25220" s="1">
        <v>1.58879604566317E-3</v>
      </c>
      <c r="D25220" s="1">
        <v>1.7220595832615799E-4</v>
      </c>
      <c r="E25220" s="1">
        <v>2.6588673225205999E-4</v>
      </c>
      <c r="F25220" s="1">
        <v>1.44719712939528E-3</v>
      </c>
    </row>
    <row r="25221" spans="1:6" x14ac:dyDescent="0.25">
      <c r="A25221" s="2" t="str">
        <f t="shared" si="879"/>
        <v>16620</v>
      </c>
      <c r="B25221" s="2" t="str">
        <f>"25110"</f>
        <v>25110</v>
      </c>
      <c r="C25221" s="1">
        <v>2.20666117453218E-5</v>
      </c>
      <c r="D25221" s="1">
        <v>8.6102979163078997E-5</v>
      </c>
      <c r="E25221" s="1">
        <v>0</v>
      </c>
      <c r="F25221" s="1">
        <v>2.64328242811923E-5</v>
      </c>
    </row>
    <row r="25222" spans="1:6" x14ac:dyDescent="0.25">
      <c r="A25222" s="2" t="str">
        <f t="shared" si="879"/>
        <v>16620</v>
      </c>
      <c r="B25222" s="2" t="str">
        <f>"25159"</f>
        <v>25159</v>
      </c>
      <c r="C25222" s="1">
        <v>2.9422148993762502E-5</v>
      </c>
      <c r="D25222" s="1">
        <v>0</v>
      </c>
      <c r="E25222" s="1">
        <v>0</v>
      </c>
      <c r="F25222" s="1">
        <v>2.64328242811923E-5</v>
      </c>
    </row>
    <row r="25223" spans="1:6" x14ac:dyDescent="0.25">
      <c r="A25223" s="2" t="str">
        <f t="shared" si="879"/>
        <v>16620</v>
      </c>
      <c r="B25223" s="2" t="str">
        <f>"25103"</f>
        <v>25103</v>
      </c>
      <c r="C25223" s="1">
        <v>4.7810992114864E-4</v>
      </c>
      <c r="D25223" s="1">
        <v>8.6102979163078997E-5</v>
      </c>
      <c r="E25223" s="1">
        <v>0</v>
      </c>
      <c r="F25223" s="1">
        <v>4.3614160063967398E-4</v>
      </c>
    </row>
    <row r="25224" spans="1:6" x14ac:dyDescent="0.25">
      <c r="A25224" s="2" t="str">
        <f t="shared" si="879"/>
        <v>16620</v>
      </c>
      <c r="B25224" s="2" t="str">
        <f>"25112"</f>
        <v>25112</v>
      </c>
      <c r="C25224" s="1">
        <v>6.1198069907026E-3</v>
      </c>
      <c r="D25224" s="1">
        <v>5.9411055622524498E-3</v>
      </c>
      <c r="E25224" s="1">
        <v>5.3177346450412096E-4</v>
      </c>
      <c r="F25224" s="1">
        <v>5.9672100814791799E-3</v>
      </c>
    </row>
    <row r="25225" spans="1:6" x14ac:dyDescent="0.25">
      <c r="A25225" s="2" t="str">
        <f t="shared" si="879"/>
        <v>16620</v>
      </c>
      <c r="B25225" s="2" t="str">
        <f>"25079"</f>
        <v>25079</v>
      </c>
      <c r="C25225" s="1">
        <v>2.20666117453218E-5</v>
      </c>
      <c r="D25225" s="1">
        <v>0</v>
      </c>
      <c r="E25225" s="1">
        <v>2.6588673225205999E-4</v>
      </c>
      <c r="F25225" s="1">
        <v>2.64328242811923E-5</v>
      </c>
    </row>
    <row r="25226" spans="1:6" x14ac:dyDescent="0.25">
      <c r="A25226" s="2" t="str">
        <f t="shared" si="879"/>
        <v>16620</v>
      </c>
      <c r="B25226" s="2" t="str">
        <f>"25141"</f>
        <v>25141</v>
      </c>
      <c r="C25226" s="1">
        <v>8.7530893256443398E-4</v>
      </c>
      <c r="D25226" s="1">
        <v>8.6102979163078997E-5</v>
      </c>
      <c r="E25226" s="1">
        <v>2.6588673225205999E-4</v>
      </c>
      <c r="F25226" s="1">
        <v>7.99592934506069E-4</v>
      </c>
    </row>
    <row r="25227" spans="1:6" x14ac:dyDescent="0.25">
      <c r="A25227" s="2" t="str">
        <f t="shared" si="879"/>
        <v>16620</v>
      </c>
      <c r="B25227" s="2" t="str">
        <f>"25075"</f>
        <v>25075</v>
      </c>
      <c r="C25227" s="1">
        <v>1.8977286100976801E-3</v>
      </c>
      <c r="D25227" s="1">
        <v>1.7220595832615799E-4</v>
      </c>
      <c r="E25227" s="1">
        <v>2.6588673225205999E-4</v>
      </c>
      <c r="F25227" s="1">
        <v>1.7247417843477999E-3</v>
      </c>
    </row>
    <row r="25228" spans="1:6" x14ac:dyDescent="0.25">
      <c r="A25228" s="2" t="str">
        <f t="shared" si="879"/>
        <v>16620</v>
      </c>
      <c r="B25228" s="2" t="str">
        <f>"25071"</f>
        <v>25071</v>
      </c>
      <c r="C25228" s="1">
        <v>3.7336707073084598E-2</v>
      </c>
      <c r="D25228" s="1">
        <v>1.54124332701911E-2</v>
      </c>
      <c r="E25228" s="1">
        <v>1.8080297793140101E-2</v>
      </c>
      <c r="F25228" s="1">
        <v>3.5175480912196702E-2</v>
      </c>
    </row>
    <row r="25229" spans="1:6" x14ac:dyDescent="0.25">
      <c r="A25229" s="2" t="str">
        <f t="shared" si="879"/>
        <v>16620</v>
      </c>
      <c r="B25229" s="2" t="str">
        <f>"25164"</f>
        <v>25164</v>
      </c>
      <c r="C25229" s="1">
        <v>3.9278568906672903E-3</v>
      </c>
      <c r="D25229" s="1">
        <v>8.6102979163078997E-5</v>
      </c>
      <c r="E25229" s="1">
        <v>2.6588673225205999E-4</v>
      </c>
      <c r="F25229" s="1">
        <v>3.5419984536797702E-3</v>
      </c>
    </row>
    <row r="25230" spans="1:6" x14ac:dyDescent="0.25">
      <c r="A25230" s="2" t="str">
        <f t="shared" si="879"/>
        <v>16620</v>
      </c>
      <c r="B25230" s="2" t="str">
        <f>"25334"</f>
        <v>25334</v>
      </c>
      <c r="C25230" s="1">
        <v>1.0297752147816799E-4</v>
      </c>
      <c r="D25230" s="1">
        <v>1.0332357499569401E-3</v>
      </c>
      <c r="E25230" s="1">
        <v>2.6588673225205999E-4</v>
      </c>
      <c r="F25230" s="1">
        <v>1.78421563898048E-4</v>
      </c>
    </row>
    <row r="25231" spans="1:6" x14ac:dyDescent="0.25">
      <c r="A25231" s="2" t="str">
        <f t="shared" si="879"/>
        <v>16620</v>
      </c>
      <c r="B25231" s="2" t="str">
        <f>"25332"</f>
        <v>25332</v>
      </c>
      <c r="C25231" s="1">
        <v>1.76532893962575E-4</v>
      </c>
      <c r="D25231" s="1">
        <v>2.0664714999138901E-3</v>
      </c>
      <c r="E25231" s="1">
        <v>2.6588673225205999E-4</v>
      </c>
      <c r="F25231" s="1">
        <v>3.2380209744460597E-4</v>
      </c>
    </row>
    <row r="25232" spans="1:6" x14ac:dyDescent="0.25">
      <c r="A25232" s="2" t="str">
        <f t="shared" si="879"/>
        <v>16620</v>
      </c>
      <c r="B25232" s="2" t="str">
        <f>"25325"</f>
        <v>25325</v>
      </c>
      <c r="C25232" s="1">
        <v>6.7670942685653704E-4</v>
      </c>
      <c r="D25232" s="1">
        <v>4.1329429998277897E-3</v>
      </c>
      <c r="E25232" s="1">
        <v>2.6588673225205999E-4</v>
      </c>
      <c r="F25232" s="1">
        <v>9.3175705591203104E-4</v>
      </c>
    </row>
    <row r="25233" spans="1:6" x14ac:dyDescent="0.25">
      <c r="A25233" s="2" t="str">
        <f t="shared" si="879"/>
        <v>16620</v>
      </c>
      <c r="B25233" s="2" t="str">
        <f>"25039"</f>
        <v>25039</v>
      </c>
      <c r="C25233" s="1">
        <v>7.2084265034718102E-4</v>
      </c>
      <c r="D25233" s="1">
        <v>0</v>
      </c>
      <c r="E25233" s="1">
        <v>2.6588673225205999E-4</v>
      </c>
      <c r="F25233" s="1">
        <v>6.5421240095951097E-4</v>
      </c>
    </row>
    <row r="25234" spans="1:6" x14ac:dyDescent="0.25">
      <c r="A25234" s="2" t="str">
        <f t="shared" si="879"/>
        <v>16620</v>
      </c>
      <c r="B25234" s="2" t="str">
        <f>"25045"</f>
        <v>25045</v>
      </c>
      <c r="C25234" s="1">
        <v>1.34164999411557E-2</v>
      </c>
      <c r="D25234" s="1">
        <v>3.1858102290339202E-3</v>
      </c>
      <c r="E25234" s="1">
        <v>2.3929805902685401E-3</v>
      </c>
      <c r="F25234" s="1">
        <v>1.23573453514574E-2</v>
      </c>
    </row>
    <row r="25235" spans="1:6" x14ac:dyDescent="0.25">
      <c r="A25235" s="2" t="str">
        <f t="shared" si="879"/>
        <v>16620</v>
      </c>
      <c r="B25235" s="2" t="str">
        <f>"25557"</f>
        <v>25557</v>
      </c>
      <c r="C25235" s="1">
        <v>5.7667412027774499E-3</v>
      </c>
      <c r="D25235" s="1">
        <v>5.1661787497847404E-4</v>
      </c>
      <c r="E25235" s="1">
        <v>0</v>
      </c>
      <c r="F25235" s="1">
        <v>5.2204827955354902E-3</v>
      </c>
    </row>
    <row r="25236" spans="1:6" x14ac:dyDescent="0.25">
      <c r="A25236" s="2" t="str">
        <f t="shared" si="879"/>
        <v>16620</v>
      </c>
      <c r="B25236" s="2" t="str">
        <f>"26160"</f>
        <v>26160</v>
      </c>
      <c r="C25236" s="1">
        <v>3.6777686242203102E-5</v>
      </c>
      <c r="D25236" s="1">
        <v>0</v>
      </c>
      <c r="E25236" s="1">
        <v>0</v>
      </c>
      <c r="F25236" s="1">
        <v>3.3041030351490402E-5</v>
      </c>
    </row>
    <row r="25237" spans="1:6" x14ac:dyDescent="0.25">
      <c r="A25237" s="2" t="str">
        <f t="shared" si="879"/>
        <v>16620</v>
      </c>
      <c r="B25237" s="2" t="str">
        <f>"26164"</f>
        <v>26164</v>
      </c>
      <c r="C25237" s="1">
        <v>3.2930740261268597E-2</v>
      </c>
      <c r="D25237" s="1">
        <v>2.98777337695884E-2</v>
      </c>
      <c r="E25237" s="1">
        <v>1.9675618186652401E-2</v>
      </c>
      <c r="F25237" s="1">
        <v>3.2366993332320002E-2</v>
      </c>
    </row>
    <row r="25238" spans="1:6" x14ac:dyDescent="0.25">
      <c r="A25238" s="2" t="str">
        <f t="shared" si="879"/>
        <v>16620</v>
      </c>
      <c r="B25238" s="2" t="str">
        <f>"25544"</f>
        <v>25544</v>
      </c>
      <c r="C25238" s="1">
        <v>3.3835471342826798E-4</v>
      </c>
      <c r="D25238" s="1">
        <v>0</v>
      </c>
      <c r="E25238" s="1">
        <v>2.6588673225205999E-4</v>
      </c>
      <c r="F25238" s="1">
        <v>3.1058568530400999E-4</v>
      </c>
    </row>
    <row r="25239" spans="1:6" x14ac:dyDescent="0.25">
      <c r="A25239" s="2" t="str">
        <f t="shared" si="879"/>
        <v>16620</v>
      </c>
      <c r="B25239" s="2" t="str">
        <f>"25521"</f>
        <v>25521</v>
      </c>
      <c r="C25239" s="1">
        <v>2.8907261386371601E-3</v>
      </c>
      <c r="D25239" s="1">
        <v>8.6102979163079003E-4</v>
      </c>
      <c r="E25239" s="1">
        <v>0</v>
      </c>
      <c r="F25239" s="1">
        <v>2.6631070463301299E-3</v>
      </c>
    </row>
    <row r="25240" spans="1:6" x14ac:dyDescent="0.25">
      <c r="A25240" s="2" t="str">
        <f t="shared" si="879"/>
        <v>16620</v>
      </c>
      <c r="B25240" s="2" t="str">
        <f>"25243"</f>
        <v>25243</v>
      </c>
      <c r="C25240" s="1">
        <v>1.5446628221725301E-4</v>
      </c>
      <c r="D25240" s="1">
        <v>0</v>
      </c>
      <c r="E25240" s="1">
        <v>0</v>
      </c>
      <c r="F25240" s="1">
        <v>1.3877232747626001E-4</v>
      </c>
    </row>
    <row r="25241" spans="1:6" x14ac:dyDescent="0.25">
      <c r="A25241" s="2" t="str">
        <f t="shared" ref="A25241:A25272" si="880">"16620"</f>
        <v>16620</v>
      </c>
      <c r="B25241" s="2" t="str">
        <f>"25264"</f>
        <v>25264</v>
      </c>
      <c r="C25241" s="1">
        <v>6.9142050135341797E-4</v>
      </c>
      <c r="D25241" s="1">
        <v>5.1661787497847404E-4</v>
      </c>
      <c r="E25241" s="1">
        <v>2.6588673225205999E-4</v>
      </c>
      <c r="F25241" s="1">
        <v>6.6742881310010696E-4</v>
      </c>
    </row>
    <row r="25242" spans="1:6" x14ac:dyDescent="0.25">
      <c r="A25242" s="2" t="str">
        <f t="shared" si="880"/>
        <v>16620</v>
      </c>
      <c r="B25242" s="2" t="str">
        <f>"25241"</f>
        <v>25241</v>
      </c>
      <c r="C25242" s="1">
        <v>4.7148993762504404E-3</v>
      </c>
      <c r="D25242" s="1">
        <v>6.0272085414155301E-4</v>
      </c>
      <c r="E25242" s="1">
        <v>1.3294336612603001E-3</v>
      </c>
      <c r="F25242" s="1">
        <v>4.3151585639046499E-3</v>
      </c>
    </row>
    <row r="25243" spans="1:6" x14ac:dyDescent="0.25">
      <c r="A25243" s="2" t="str">
        <f t="shared" si="880"/>
        <v>16620</v>
      </c>
      <c r="B25243" s="2" t="str">
        <f>"25148"</f>
        <v>25148</v>
      </c>
      <c r="C25243" s="1">
        <v>6.84064964104978E-4</v>
      </c>
      <c r="D25243" s="1">
        <v>0</v>
      </c>
      <c r="E25243" s="1">
        <v>2.6588673225205999E-4</v>
      </c>
      <c r="F25243" s="1">
        <v>6.2117137060802095E-4</v>
      </c>
    </row>
    <row r="25244" spans="1:6" x14ac:dyDescent="0.25">
      <c r="A25244" s="2" t="str">
        <f t="shared" si="880"/>
        <v>16620</v>
      </c>
      <c r="B25244" s="2" t="str">
        <f>"25114"</f>
        <v>25114</v>
      </c>
      <c r="C25244" s="1">
        <v>7.8704248558314602E-4</v>
      </c>
      <c r="D25244" s="1">
        <v>2.5830893748923702E-4</v>
      </c>
      <c r="E25244" s="1">
        <v>0</v>
      </c>
      <c r="F25244" s="1">
        <v>7.2690266773279004E-4</v>
      </c>
    </row>
    <row r="25245" spans="1:6" x14ac:dyDescent="0.25">
      <c r="A25245" s="2" t="str">
        <f t="shared" si="880"/>
        <v>16620</v>
      </c>
      <c r="B25245" s="2" t="str">
        <f>"25136"</f>
        <v>25136</v>
      </c>
      <c r="C25245" s="1">
        <v>3.3761915970342399E-3</v>
      </c>
      <c r="D25245" s="1">
        <v>1.89426554158773E-3</v>
      </c>
      <c r="E25245" s="1">
        <v>7.1789417708056297E-3</v>
      </c>
      <c r="F25245" s="1">
        <v>3.35696868371143E-3</v>
      </c>
    </row>
    <row r="25246" spans="1:6" x14ac:dyDescent="0.25">
      <c r="A25246" s="2" t="str">
        <f t="shared" si="880"/>
        <v>16620</v>
      </c>
      <c r="B25246" s="2" t="str">
        <f>"25086"</f>
        <v>25086</v>
      </c>
      <c r="C25246" s="1">
        <v>0</v>
      </c>
      <c r="D25246" s="1">
        <v>1.7220595832615799E-4</v>
      </c>
      <c r="E25246" s="1">
        <v>0</v>
      </c>
      <c r="F25246" s="1">
        <v>1.3216412140596099E-5</v>
      </c>
    </row>
    <row r="25247" spans="1:6" x14ac:dyDescent="0.25">
      <c r="A25247" s="2" t="str">
        <f t="shared" si="880"/>
        <v>16620</v>
      </c>
      <c r="B25247" s="2" t="str">
        <f>"25064"</f>
        <v>25064</v>
      </c>
      <c r="C25247" s="1">
        <v>4.3412380840296499E-2</v>
      </c>
      <c r="D25247" s="1">
        <v>4.2018253831582503E-2</v>
      </c>
      <c r="E25247" s="1">
        <v>3.2704068067003399E-2</v>
      </c>
      <c r="F25247" s="1">
        <v>4.30392461358515E-2</v>
      </c>
    </row>
    <row r="25248" spans="1:6" x14ac:dyDescent="0.25">
      <c r="A25248" s="2" t="str">
        <f t="shared" si="880"/>
        <v>16620</v>
      </c>
      <c r="B25248" s="2" t="str">
        <f>"25326"</f>
        <v>25326</v>
      </c>
      <c r="C25248" s="1">
        <v>7.2084265034718102E-4</v>
      </c>
      <c r="D25248" s="1">
        <v>3.0136042707077601E-3</v>
      </c>
      <c r="E25248" s="1">
        <v>2.6588673225205999E-4</v>
      </c>
      <c r="F25248" s="1">
        <v>8.8549961341994395E-4</v>
      </c>
    </row>
    <row r="25249" spans="1:6" x14ac:dyDescent="0.25">
      <c r="A25249" s="2" t="str">
        <f t="shared" si="880"/>
        <v>16620</v>
      </c>
      <c r="B25249" s="2" t="str">
        <f>"25322"</f>
        <v>25322</v>
      </c>
      <c r="C25249" s="1">
        <v>9.4886430504884003E-4</v>
      </c>
      <c r="D25249" s="1">
        <v>4.9939727914585803E-3</v>
      </c>
      <c r="E25249" s="1">
        <v>2.6588673225205999E-4</v>
      </c>
      <c r="F25249" s="1">
        <v>1.2423427412160399E-3</v>
      </c>
    </row>
    <row r="25250" spans="1:6" x14ac:dyDescent="0.25">
      <c r="A25250" s="2" t="str">
        <f t="shared" si="880"/>
        <v>16620</v>
      </c>
      <c r="B25250" s="2" t="str">
        <f>"25019"</f>
        <v>25019</v>
      </c>
      <c r="C25250" s="1">
        <v>1.6549958808991399E-3</v>
      </c>
      <c r="D25250" s="1">
        <v>2.5830893748923702E-4</v>
      </c>
      <c r="E25250" s="1">
        <v>0</v>
      </c>
      <c r="F25250" s="1">
        <v>1.5066709840279599E-3</v>
      </c>
    </row>
    <row r="25251" spans="1:6" x14ac:dyDescent="0.25">
      <c r="A25251" s="2" t="str">
        <f t="shared" si="880"/>
        <v>16620</v>
      </c>
      <c r="B25251" s="2" t="str">
        <f>"25015"</f>
        <v>25015</v>
      </c>
      <c r="C25251" s="1">
        <v>1.55790278921972E-2</v>
      </c>
      <c r="D25251" s="1">
        <v>1.39486826244188E-2</v>
      </c>
      <c r="E25251" s="1">
        <v>1.99415049189045E-2</v>
      </c>
      <c r="F25251" s="1">
        <v>1.5562325295552E-2</v>
      </c>
    </row>
    <row r="25252" spans="1:6" x14ac:dyDescent="0.25">
      <c r="A25252" s="2" t="str">
        <f t="shared" si="880"/>
        <v>16620</v>
      </c>
      <c r="B25252" s="2" t="str">
        <f>"25306"</f>
        <v>25306</v>
      </c>
      <c r="C25252" s="1">
        <v>2.9834059079675099E-2</v>
      </c>
      <c r="D25252" s="1">
        <v>9.8157396245910095E-3</v>
      </c>
      <c r="E25252" s="1">
        <v>6.7801116724275398E-2</v>
      </c>
      <c r="F25252" s="1">
        <v>2.9241311861069E-2</v>
      </c>
    </row>
    <row r="25253" spans="1:6" x14ac:dyDescent="0.25">
      <c r="A25253" s="2" t="str">
        <f t="shared" si="880"/>
        <v>16620</v>
      </c>
      <c r="B25253" s="2" t="str">
        <f>"26617"</f>
        <v>26617</v>
      </c>
      <c r="C25253" s="1">
        <v>1.0150641402848E-3</v>
      </c>
      <c r="D25253" s="1">
        <v>8.6102979163078997E-5</v>
      </c>
      <c r="E25253" s="1">
        <v>2.6588673225205999E-4</v>
      </c>
      <c r="F25253" s="1">
        <v>9.25148849841733E-4</v>
      </c>
    </row>
    <row r="25254" spans="1:6" x14ac:dyDescent="0.25">
      <c r="A25254" s="2" t="str">
        <f t="shared" si="880"/>
        <v>16620</v>
      </c>
      <c r="B25254" s="2" t="str">
        <f>"25524"</f>
        <v>25524</v>
      </c>
      <c r="C25254" s="1">
        <v>9.2900435447805102E-3</v>
      </c>
      <c r="D25254" s="1">
        <v>1.89426554158773E-3</v>
      </c>
      <c r="E25254" s="1">
        <v>1.06354692900824E-3</v>
      </c>
      <c r="F25254" s="1">
        <v>8.51797762461424E-3</v>
      </c>
    </row>
    <row r="25255" spans="1:6" x14ac:dyDescent="0.25">
      <c r="A25255" s="2" t="str">
        <f t="shared" si="880"/>
        <v>16620</v>
      </c>
      <c r="B25255" s="2" t="str">
        <f>"25204"</f>
        <v>25204</v>
      </c>
      <c r="C25255" s="1">
        <v>2.2802165470165901E-4</v>
      </c>
      <c r="D25255" s="1">
        <v>0</v>
      </c>
      <c r="E25255" s="1">
        <v>2.6588673225205999E-4</v>
      </c>
      <c r="F25255" s="1">
        <v>2.11462594249539E-4</v>
      </c>
    </row>
    <row r="25256" spans="1:6" x14ac:dyDescent="0.25">
      <c r="A25256" s="2" t="str">
        <f t="shared" si="880"/>
        <v>16620</v>
      </c>
      <c r="B25256" s="2" t="str">
        <f>"25262"</f>
        <v>25262</v>
      </c>
      <c r="C25256" s="1">
        <v>2.65534894668706E-3</v>
      </c>
      <c r="D25256" s="1">
        <v>2.0664714999138901E-3</v>
      </c>
      <c r="E25256" s="1">
        <v>0</v>
      </c>
      <c r="F25256" s="1">
        <v>2.54415933706476E-3</v>
      </c>
    </row>
    <row r="25257" spans="1:6" x14ac:dyDescent="0.25">
      <c r="A25257" s="2" t="str">
        <f t="shared" si="880"/>
        <v>16620</v>
      </c>
      <c r="B25257" s="2" t="str">
        <f>"25102"</f>
        <v>25102</v>
      </c>
      <c r="C25257" s="1">
        <v>6.5464281511121505E-4</v>
      </c>
      <c r="D25257" s="1">
        <v>1.7220595832615799E-4</v>
      </c>
      <c r="E25257" s="1">
        <v>2.6588673225205999E-4</v>
      </c>
      <c r="F25257" s="1">
        <v>6.0795495846742399E-4</v>
      </c>
    </row>
    <row r="25258" spans="1:6" x14ac:dyDescent="0.25">
      <c r="A25258" s="2" t="str">
        <f t="shared" si="880"/>
        <v>16620</v>
      </c>
      <c r="B25258" s="2" t="str">
        <f>"25126"</f>
        <v>25126</v>
      </c>
      <c r="C25258" s="1">
        <v>1.47110744968812E-4</v>
      </c>
      <c r="D25258" s="1">
        <v>1.7220595832615799E-4</v>
      </c>
      <c r="E25258" s="1">
        <v>0</v>
      </c>
      <c r="F25258" s="1">
        <v>1.45380533546558E-4</v>
      </c>
    </row>
    <row r="25259" spans="1:6" x14ac:dyDescent="0.25">
      <c r="A25259" s="2" t="str">
        <f t="shared" si="880"/>
        <v>16620</v>
      </c>
      <c r="B25259" s="2" t="str">
        <f>"25111"</f>
        <v>25111</v>
      </c>
      <c r="C25259" s="1">
        <v>1.31664116747087E-3</v>
      </c>
      <c r="D25259" s="1">
        <v>8.6102979163078997E-5</v>
      </c>
      <c r="E25259" s="1">
        <v>2.6588673225205999E-4</v>
      </c>
      <c r="F25259" s="1">
        <v>1.19608529872395E-3</v>
      </c>
    </row>
    <row r="25260" spans="1:6" x14ac:dyDescent="0.25">
      <c r="A25260" s="2" t="str">
        <f t="shared" si="880"/>
        <v>16620</v>
      </c>
      <c r="B25260" s="2" t="str">
        <f>"25336"</f>
        <v>25336</v>
      </c>
      <c r="C25260" s="1">
        <v>1.9124396845945601E-4</v>
      </c>
      <c r="D25260" s="1">
        <v>2.1525744790769699E-3</v>
      </c>
      <c r="E25260" s="1">
        <v>2.6588673225205999E-4</v>
      </c>
      <c r="F25260" s="1">
        <v>3.4362671565550099E-4</v>
      </c>
    </row>
    <row r="25261" spans="1:6" x14ac:dyDescent="0.25">
      <c r="A25261" s="2" t="str">
        <f t="shared" si="880"/>
        <v>16620</v>
      </c>
      <c r="B25261" s="2" t="str">
        <f>"25327"</f>
        <v>25327</v>
      </c>
      <c r="C25261" s="1">
        <v>6.84064964104978E-4</v>
      </c>
      <c r="D25261" s="1">
        <v>3.6163251248493098E-3</v>
      </c>
      <c r="E25261" s="1">
        <v>2.6588673225205999E-4</v>
      </c>
      <c r="F25261" s="1">
        <v>8.9871602556054102E-4</v>
      </c>
    </row>
    <row r="25262" spans="1:6" x14ac:dyDescent="0.25">
      <c r="A25262" s="2" t="str">
        <f t="shared" si="880"/>
        <v>16620</v>
      </c>
      <c r="B25262" s="2" t="str">
        <f>"25362"</f>
        <v>25362</v>
      </c>
      <c r="C25262" s="1">
        <v>4.2882782158408803E-3</v>
      </c>
      <c r="D25262" s="1">
        <v>1.4206991561908E-2</v>
      </c>
      <c r="E25262" s="1">
        <v>5.3177346450412096E-4</v>
      </c>
      <c r="F25262" s="1">
        <v>4.95615455272357E-3</v>
      </c>
    </row>
    <row r="25263" spans="1:6" x14ac:dyDescent="0.25">
      <c r="A25263" s="2" t="str">
        <f t="shared" si="880"/>
        <v>16620</v>
      </c>
      <c r="B25263" s="2" t="str">
        <f>"25389"</f>
        <v>25389</v>
      </c>
      <c r="C25263" s="1">
        <v>0</v>
      </c>
      <c r="D25263" s="1">
        <v>1.29154468744618E-2</v>
      </c>
      <c r="E25263" s="1">
        <v>5.3177346450412096E-4</v>
      </c>
      <c r="F25263" s="1">
        <v>1.00444732268531E-3</v>
      </c>
    </row>
    <row r="25264" spans="1:6" x14ac:dyDescent="0.25">
      <c r="A25264" s="2" t="str">
        <f t="shared" si="880"/>
        <v>16620</v>
      </c>
      <c r="B25264" s="2" t="str">
        <f>"25317"</f>
        <v>25317</v>
      </c>
      <c r="C25264" s="1">
        <v>0</v>
      </c>
      <c r="D25264" s="1">
        <v>4.3051489581539501E-4</v>
      </c>
      <c r="E25264" s="1">
        <v>0</v>
      </c>
      <c r="F25264" s="1">
        <v>3.3041030351490402E-5</v>
      </c>
    </row>
    <row r="25265" spans="1:6" x14ac:dyDescent="0.25">
      <c r="A25265" s="2" t="str">
        <f t="shared" si="880"/>
        <v>16620</v>
      </c>
      <c r="B25265" s="2" t="str">
        <f>"25321"</f>
        <v>25321</v>
      </c>
      <c r="C25265" s="1">
        <v>8.9002000706131501E-4</v>
      </c>
      <c r="D25265" s="1">
        <v>6.4577234372309202E-3</v>
      </c>
      <c r="E25265" s="1">
        <v>2.6588673225205999E-4</v>
      </c>
      <c r="F25265" s="1">
        <v>1.3018165958487201E-3</v>
      </c>
    </row>
    <row r="25266" spans="1:6" x14ac:dyDescent="0.25">
      <c r="A25266" s="2" t="str">
        <f t="shared" si="880"/>
        <v>16620</v>
      </c>
      <c r="B25266" s="2" t="str">
        <f>"25026"</f>
        <v>25026</v>
      </c>
      <c r="C25266" s="1">
        <v>0</v>
      </c>
      <c r="D25266" s="1">
        <v>8.6102979163078997E-5</v>
      </c>
      <c r="E25266" s="1">
        <v>0</v>
      </c>
      <c r="F25266" s="1">
        <v>6.6082060702980903E-6</v>
      </c>
    </row>
    <row r="25267" spans="1:6" x14ac:dyDescent="0.25">
      <c r="A25267" s="2" t="str">
        <f t="shared" si="880"/>
        <v>16620</v>
      </c>
      <c r="B25267" s="2" t="str">
        <f>"25049"</f>
        <v>25049</v>
      </c>
      <c r="C25267" s="1">
        <v>1.0003530657879201E-3</v>
      </c>
      <c r="D25267" s="1">
        <v>0</v>
      </c>
      <c r="E25267" s="1">
        <v>2.6588673225205999E-4</v>
      </c>
      <c r="F25267" s="1">
        <v>9.0532423163083896E-4</v>
      </c>
    </row>
    <row r="25268" spans="1:6" x14ac:dyDescent="0.25">
      <c r="A25268" s="2" t="str">
        <f t="shared" si="880"/>
        <v>16620</v>
      </c>
      <c r="B25268" s="2" t="str">
        <f>"25053"</f>
        <v>25053</v>
      </c>
      <c r="C25268" s="1">
        <v>1.1025950335412401E-2</v>
      </c>
      <c r="D25268" s="1">
        <v>3.271913208197E-3</v>
      </c>
      <c r="E25268" s="1">
        <v>3.7224142515288401E-3</v>
      </c>
      <c r="F25268" s="1">
        <v>1.02493276150323E-2</v>
      </c>
    </row>
    <row r="25269" spans="1:6" x14ac:dyDescent="0.25">
      <c r="A25269" s="2" t="str">
        <f t="shared" si="880"/>
        <v>16620</v>
      </c>
      <c r="B25269" s="2" t="str">
        <f>"25304"</f>
        <v>25304</v>
      </c>
      <c r="C25269" s="1">
        <v>3.1474343886077401E-2</v>
      </c>
      <c r="D25269" s="1">
        <v>5.4933700706044399E-2</v>
      </c>
      <c r="E25269" s="1">
        <v>8.4551980856155201E-2</v>
      </c>
      <c r="F25269" s="1">
        <v>3.4593958778010497E-2</v>
      </c>
    </row>
    <row r="25270" spans="1:6" x14ac:dyDescent="0.25">
      <c r="A25270" s="2" t="str">
        <f t="shared" si="880"/>
        <v>16620</v>
      </c>
      <c r="B25270" s="2" t="str">
        <f>"26169"</f>
        <v>26169</v>
      </c>
      <c r="C25270" s="1">
        <v>2.20666117453218E-5</v>
      </c>
      <c r="D25270" s="1">
        <v>0</v>
      </c>
      <c r="E25270" s="1">
        <v>0</v>
      </c>
      <c r="F25270" s="1">
        <v>1.9824618210894201E-5</v>
      </c>
    </row>
    <row r="25271" spans="1:6" x14ac:dyDescent="0.25">
      <c r="A25271" s="2" t="str">
        <f t="shared" si="880"/>
        <v>16620</v>
      </c>
      <c r="B25271" s="2" t="str">
        <f>"26143"</f>
        <v>26143</v>
      </c>
      <c r="C25271" s="1">
        <v>3.0157702718606501E-4</v>
      </c>
      <c r="D25271" s="1">
        <v>2.5830893748923702E-4</v>
      </c>
      <c r="E25271" s="1">
        <v>0</v>
      </c>
      <c r="F25271" s="1">
        <v>2.9076106709311601E-4</v>
      </c>
    </row>
    <row r="25272" spans="1:6" x14ac:dyDescent="0.25">
      <c r="A25272" s="2" t="str">
        <f t="shared" si="880"/>
        <v>16620</v>
      </c>
      <c r="B25272" s="2" t="str">
        <f>"25534"</f>
        <v>25534</v>
      </c>
      <c r="C25272" s="1">
        <v>3.6777686242203102E-5</v>
      </c>
      <c r="D25272" s="1">
        <v>0</v>
      </c>
      <c r="E25272" s="1">
        <v>0</v>
      </c>
      <c r="F25272" s="1">
        <v>3.3041030351490402E-5</v>
      </c>
    </row>
    <row r="25273" spans="1:6" x14ac:dyDescent="0.25">
      <c r="A25273" s="2" t="str">
        <f t="shared" ref="A25273:A25304" si="881">"16620"</f>
        <v>16620</v>
      </c>
      <c r="B25273" s="2" t="str">
        <f>"25529"</f>
        <v>25529</v>
      </c>
      <c r="C25273" s="1">
        <v>2.9275038248793598E-3</v>
      </c>
      <c r="D25273" s="1">
        <v>1.0332357499569401E-3</v>
      </c>
      <c r="E25273" s="1">
        <v>2.6588673225205999E-4</v>
      </c>
      <c r="F25273" s="1">
        <v>2.7159726948925099E-3</v>
      </c>
    </row>
    <row r="25274" spans="1:6" x14ac:dyDescent="0.25">
      <c r="A25274" s="2" t="str">
        <f t="shared" si="881"/>
        <v>16620</v>
      </c>
      <c r="B25274" s="2" t="str">
        <f>"25248"</f>
        <v>25248</v>
      </c>
      <c r="C25274" s="1">
        <v>1.0775862068965501E-2</v>
      </c>
      <c r="D25274" s="1">
        <v>8.6102979163079003E-4</v>
      </c>
      <c r="E25274" s="1">
        <v>0</v>
      </c>
      <c r="F25274" s="1">
        <v>9.7471039536896897E-3</v>
      </c>
    </row>
    <row r="25275" spans="1:6" x14ac:dyDescent="0.25">
      <c r="A25275" s="2" t="str">
        <f t="shared" si="881"/>
        <v>16620</v>
      </c>
      <c r="B25275" s="2" t="str">
        <f>"25239"</f>
        <v>25239</v>
      </c>
      <c r="C25275" s="1">
        <v>5.1635871484053096E-3</v>
      </c>
      <c r="D25275" s="1">
        <v>8.6102979163079003E-4</v>
      </c>
      <c r="E25275" s="1">
        <v>1.3294336612603001E-3</v>
      </c>
      <c r="F25275" s="1">
        <v>4.7380837524037302E-3</v>
      </c>
    </row>
    <row r="25276" spans="1:6" x14ac:dyDescent="0.25">
      <c r="A25276" s="2" t="str">
        <f t="shared" si="881"/>
        <v>16620</v>
      </c>
      <c r="B25276" s="2" t="str">
        <f>"25142"</f>
        <v>25142</v>
      </c>
      <c r="C25276" s="1">
        <v>6.9142050135341797E-4</v>
      </c>
      <c r="D25276" s="1">
        <v>2.5830893748923702E-4</v>
      </c>
      <c r="E25276" s="1">
        <v>0</v>
      </c>
      <c r="F25276" s="1">
        <v>6.4099598881891498E-4</v>
      </c>
    </row>
    <row r="25277" spans="1:6" x14ac:dyDescent="0.25">
      <c r="A25277" s="2" t="str">
        <f t="shared" si="881"/>
        <v>16620</v>
      </c>
      <c r="B25277" s="2" t="str">
        <f>"25162"</f>
        <v>25162</v>
      </c>
      <c r="C25277" s="1">
        <v>7.3555372484406203E-6</v>
      </c>
      <c r="D25277" s="1">
        <v>0</v>
      </c>
      <c r="E25277" s="1">
        <v>2.6588673225205999E-4</v>
      </c>
      <c r="F25277" s="1">
        <v>1.3216412140596099E-5</v>
      </c>
    </row>
    <row r="25278" spans="1:6" x14ac:dyDescent="0.25">
      <c r="A25278" s="2" t="str">
        <f t="shared" si="881"/>
        <v>16620</v>
      </c>
      <c r="B25278" s="2" t="str">
        <f>"25133"</f>
        <v>25133</v>
      </c>
      <c r="C25278" s="1">
        <v>2.4273272919853998E-3</v>
      </c>
      <c r="D25278" s="1">
        <v>0</v>
      </c>
      <c r="E25278" s="1">
        <v>7.9766019675618096E-4</v>
      </c>
      <c r="F25278" s="1">
        <v>2.2005326214092598E-3</v>
      </c>
    </row>
    <row r="25279" spans="1:6" x14ac:dyDescent="0.25">
      <c r="A25279" s="2" t="str">
        <f t="shared" si="881"/>
        <v>16620</v>
      </c>
      <c r="B25279" s="2" t="str">
        <f>"25061"</f>
        <v>25061</v>
      </c>
      <c r="C25279" s="1">
        <v>0</v>
      </c>
      <c r="D25279" s="1">
        <v>8.6102979163078997E-5</v>
      </c>
      <c r="E25279" s="1">
        <v>0</v>
      </c>
      <c r="F25279" s="1">
        <v>6.6082060702980903E-6</v>
      </c>
    </row>
    <row r="25280" spans="1:6" x14ac:dyDescent="0.25">
      <c r="A25280" s="2" t="str">
        <f t="shared" si="881"/>
        <v>16620</v>
      </c>
      <c r="B25280" s="2" t="str">
        <f>"25329"</f>
        <v>25329</v>
      </c>
      <c r="C25280" s="1">
        <v>6.1050959162057097E-4</v>
      </c>
      <c r="D25280" s="1">
        <v>2.7552953332185201E-3</v>
      </c>
      <c r="E25280" s="1">
        <v>2.6588673225205999E-4</v>
      </c>
      <c r="F25280" s="1">
        <v>7.6655190415457898E-4</v>
      </c>
    </row>
    <row r="25281" spans="1:6" x14ac:dyDescent="0.25">
      <c r="A25281" s="2" t="str">
        <f t="shared" si="881"/>
        <v>16620</v>
      </c>
      <c r="B25281" s="2" t="str">
        <f>"25396"</f>
        <v>25396</v>
      </c>
      <c r="C25281" s="1">
        <v>0</v>
      </c>
      <c r="D25281" s="1">
        <v>8.6102979163078997E-5</v>
      </c>
      <c r="E25281" s="1">
        <v>0</v>
      </c>
      <c r="F25281" s="1">
        <v>6.6082060702980903E-6</v>
      </c>
    </row>
    <row r="25282" spans="1:6" x14ac:dyDescent="0.25">
      <c r="A25282" s="2" t="str">
        <f t="shared" si="881"/>
        <v>16620</v>
      </c>
      <c r="B25282" s="2" t="str">
        <f>"25324"</f>
        <v>25324</v>
      </c>
      <c r="C25282" s="1">
        <v>7.8704248558314602E-4</v>
      </c>
      <c r="D25282" s="1">
        <v>4.4773549164801099E-3</v>
      </c>
      <c r="E25282" s="1">
        <v>2.6588673225205999E-4</v>
      </c>
      <c r="F25282" s="1">
        <v>1.0573129712476901E-3</v>
      </c>
    </row>
    <row r="25283" spans="1:6" x14ac:dyDescent="0.25">
      <c r="A25283" s="2" t="str">
        <f t="shared" si="881"/>
        <v>16620</v>
      </c>
      <c r="B25283" s="2" t="str">
        <f>"25339"</f>
        <v>25339</v>
      </c>
      <c r="C25283" s="1">
        <v>3.5674355654936999E-3</v>
      </c>
      <c r="D25283" s="1">
        <v>2.19562596865851E-2</v>
      </c>
      <c r="E25283" s="1">
        <v>2.6588673225205999E-4</v>
      </c>
      <c r="F25283" s="1">
        <v>4.8966806980908799E-3</v>
      </c>
    </row>
    <row r="25284" spans="1:6" x14ac:dyDescent="0.25">
      <c r="A25284" s="2" t="str">
        <f t="shared" si="881"/>
        <v>16620</v>
      </c>
      <c r="B25284" s="2" t="str">
        <f>"25025"</f>
        <v>25025</v>
      </c>
      <c r="C25284" s="1">
        <v>6.84064964104978E-4</v>
      </c>
      <c r="D25284" s="1">
        <v>0</v>
      </c>
      <c r="E25284" s="1">
        <v>2.6588673225205999E-4</v>
      </c>
      <c r="F25284" s="1">
        <v>6.2117137060802095E-4</v>
      </c>
    </row>
    <row r="25285" spans="1:6" x14ac:dyDescent="0.25">
      <c r="A25285" s="2" t="str">
        <f t="shared" si="881"/>
        <v>16620</v>
      </c>
      <c r="B25285" s="2" t="str">
        <f>"25043"</f>
        <v>25043</v>
      </c>
      <c r="C25285" s="1">
        <v>4.4868777215487802E-3</v>
      </c>
      <c r="D25285" s="1">
        <v>1.0332357499569401E-3</v>
      </c>
      <c r="E25285" s="1">
        <v>1.59532039351236E-3</v>
      </c>
      <c r="F25285" s="1">
        <v>4.1499534121471997E-3</v>
      </c>
    </row>
    <row r="25286" spans="1:6" x14ac:dyDescent="0.25">
      <c r="A25286" s="2" t="str">
        <f t="shared" si="881"/>
        <v>16620</v>
      </c>
      <c r="B25286" s="2" t="str">
        <f>"25285"</f>
        <v>25285</v>
      </c>
      <c r="C25286" s="1">
        <v>2.4052606802400802E-3</v>
      </c>
      <c r="D25286" s="1">
        <v>2.5830893748923702E-4</v>
      </c>
      <c r="E25286" s="1">
        <v>5.3177346450412096E-4</v>
      </c>
      <c r="F25286" s="1">
        <v>2.1939244153389601E-3</v>
      </c>
    </row>
    <row r="25287" spans="1:6" x14ac:dyDescent="0.25">
      <c r="A25287" s="2" t="str">
        <f t="shared" si="881"/>
        <v>16620</v>
      </c>
      <c r="B25287" s="2" t="str">
        <f>"25275"</f>
        <v>25275</v>
      </c>
      <c r="C25287" s="1">
        <v>7.1642932799811602E-3</v>
      </c>
      <c r="D25287" s="1">
        <v>1.1193387291200201E-3</v>
      </c>
      <c r="E25287" s="1">
        <v>0</v>
      </c>
      <c r="F25287" s="1">
        <v>6.5222993913842198E-3</v>
      </c>
    </row>
    <row r="25288" spans="1:6" x14ac:dyDescent="0.25">
      <c r="A25288" s="2" t="str">
        <f t="shared" si="881"/>
        <v>16620</v>
      </c>
      <c r="B25288" s="2" t="str">
        <f>"25510"</f>
        <v>25510</v>
      </c>
      <c r="C25288" s="1">
        <v>8.6059785806755305E-4</v>
      </c>
      <c r="D25288" s="1">
        <v>1.7220595832615799E-4</v>
      </c>
      <c r="E25288" s="1">
        <v>2.6588673225205999E-4</v>
      </c>
      <c r="F25288" s="1">
        <v>7.9298472843577095E-4</v>
      </c>
    </row>
    <row r="25289" spans="1:6" x14ac:dyDescent="0.25">
      <c r="A25289" s="2" t="str">
        <f t="shared" si="881"/>
        <v>16620</v>
      </c>
      <c r="B25289" s="2" t="str">
        <f>"25501"</f>
        <v>25501</v>
      </c>
      <c r="C25289" s="1">
        <v>3.9499235024126099E-3</v>
      </c>
      <c r="D25289" s="1">
        <v>4.3051489581539501E-4</v>
      </c>
      <c r="E25289" s="1">
        <v>0</v>
      </c>
      <c r="F25289" s="1">
        <v>3.58164769010156E-3</v>
      </c>
    </row>
    <row r="25290" spans="1:6" x14ac:dyDescent="0.25">
      <c r="A25290" s="2" t="str">
        <f t="shared" si="881"/>
        <v>16620</v>
      </c>
      <c r="B25290" s="2" t="str">
        <f>"25211"</f>
        <v>25211</v>
      </c>
      <c r="C25290" s="1">
        <v>7.3555372484406203E-6</v>
      </c>
      <c r="D25290" s="1">
        <v>8.6102979163078997E-5</v>
      </c>
      <c r="E25290" s="1">
        <v>0</v>
      </c>
      <c r="F25290" s="1">
        <v>1.3216412140596099E-5</v>
      </c>
    </row>
    <row r="25291" spans="1:6" x14ac:dyDescent="0.25">
      <c r="A25291" s="2" t="str">
        <f t="shared" si="881"/>
        <v>16620</v>
      </c>
      <c r="B25291" s="2" t="str">
        <f>"25203"</f>
        <v>25203</v>
      </c>
      <c r="C25291" s="1">
        <v>2.6479934094386198E-4</v>
      </c>
      <c r="D25291" s="1">
        <v>8.6102979163078997E-5</v>
      </c>
      <c r="E25291" s="1">
        <v>0</v>
      </c>
      <c r="F25291" s="1">
        <v>2.4450362460102902E-4</v>
      </c>
    </row>
    <row r="25292" spans="1:6" x14ac:dyDescent="0.25">
      <c r="A25292" s="2" t="str">
        <f t="shared" si="881"/>
        <v>16620</v>
      </c>
      <c r="B25292" s="2" t="str">
        <f>"25193"</f>
        <v>25193</v>
      </c>
      <c r="C25292" s="1">
        <v>2.9422148993762498E-4</v>
      </c>
      <c r="D25292" s="1">
        <v>0</v>
      </c>
      <c r="E25292" s="1">
        <v>2.6588673225205999E-4</v>
      </c>
      <c r="F25292" s="1">
        <v>2.7093644888222099E-4</v>
      </c>
    </row>
    <row r="25293" spans="1:6" x14ac:dyDescent="0.25">
      <c r="A25293" s="2" t="str">
        <f t="shared" si="881"/>
        <v>16620</v>
      </c>
      <c r="B25293" s="2" t="str">
        <f>"25209"</f>
        <v>25209</v>
      </c>
      <c r="C25293" s="1">
        <v>1.06655290102389E-3</v>
      </c>
      <c r="D25293" s="1">
        <v>8.6102979163078997E-5</v>
      </c>
      <c r="E25293" s="1">
        <v>7.9766019675618096E-4</v>
      </c>
      <c r="F25293" s="1">
        <v>9.8462270447441597E-4</v>
      </c>
    </row>
    <row r="25294" spans="1:6" x14ac:dyDescent="0.25">
      <c r="A25294" s="2" t="str">
        <f t="shared" si="881"/>
        <v>16620</v>
      </c>
      <c r="B25294" s="2" t="str">
        <f>"25252"</f>
        <v>25252</v>
      </c>
      <c r="C25294" s="1">
        <v>2.4052606802400802E-3</v>
      </c>
      <c r="D25294" s="1">
        <v>2.5830893748923702E-4</v>
      </c>
      <c r="E25294" s="1">
        <v>2.6588673225205999E-4</v>
      </c>
      <c r="F25294" s="1">
        <v>2.18731620926866E-3</v>
      </c>
    </row>
    <row r="25295" spans="1:6" x14ac:dyDescent="0.25">
      <c r="A25295" s="2" t="str">
        <f t="shared" si="881"/>
        <v>16620</v>
      </c>
      <c r="B25295" s="2" t="str">
        <f>"25177"</f>
        <v>25177</v>
      </c>
      <c r="C25295" s="1">
        <v>8.5162410262445504E-2</v>
      </c>
      <c r="D25295" s="1">
        <v>5.7172378164284401E-2</v>
      </c>
      <c r="E25295" s="1">
        <v>5.2645572985908003E-2</v>
      </c>
      <c r="F25295" s="1">
        <v>8.2206083514508296E-2</v>
      </c>
    </row>
    <row r="25296" spans="1:6" x14ac:dyDescent="0.25">
      <c r="A25296" s="2" t="str">
        <f t="shared" si="881"/>
        <v>16620</v>
      </c>
      <c r="B25296" s="2" t="str">
        <f>"25054"</f>
        <v>25054</v>
      </c>
      <c r="C25296" s="1">
        <v>0</v>
      </c>
      <c r="D25296" s="1">
        <v>8.6102979163078997E-5</v>
      </c>
      <c r="E25296" s="1">
        <v>2.6588673225205999E-4</v>
      </c>
      <c r="F25296" s="1">
        <v>1.3216412140596099E-5</v>
      </c>
    </row>
    <row r="25297" spans="1:6" x14ac:dyDescent="0.25">
      <c r="A25297" s="2" t="str">
        <f t="shared" si="881"/>
        <v>16620</v>
      </c>
      <c r="B25297" s="2" t="str">
        <f>"25143"</f>
        <v>25143</v>
      </c>
      <c r="C25297" s="1">
        <v>2.5817935742026499E-2</v>
      </c>
      <c r="D25297" s="1">
        <v>2.41949371448252E-2</v>
      </c>
      <c r="E25297" s="1">
        <v>3.2969954799255498E-2</v>
      </c>
      <c r="F25297" s="1">
        <v>2.5871126765216999E-2</v>
      </c>
    </row>
    <row r="25298" spans="1:6" x14ac:dyDescent="0.25">
      <c r="A25298" s="2" t="str">
        <f t="shared" si="881"/>
        <v>16620</v>
      </c>
      <c r="B25298" s="2" t="str">
        <f>"25125"</f>
        <v>25125</v>
      </c>
      <c r="C25298" s="1">
        <v>2.3390608450041101E-3</v>
      </c>
      <c r="D25298" s="1">
        <v>0</v>
      </c>
      <c r="E25298" s="1">
        <v>2.6588673225205999E-4</v>
      </c>
      <c r="F25298" s="1">
        <v>2.10801773642509E-3</v>
      </c>
    </row>
    <row r="25299" spans="1:6" x14ac:dyDescent="0.25">
      <c r="A25299" s="2" t="str">
        <f t="shared" si="881"/>
        <v>16620</v>
      </c>
      <c r="B25299" s="2" t="str">
        <f>"25328"</f>
        <v>25328</v>
      </c>
      <c r="C25299" s="1">
        <v>8.0175356008002803E-4</v>
      </c>
      <c r="D25299" s="1">
        <v>4.0468400206647099E-3</v>
      </c>
      <c r="E25299" s="1">
        <v>2.6588673225205999E-4</v>
      </c>
      <c r="F25299" s="1">
        <v>1.0374883530367999E-3</v>
      </c>
    </row>
    <row r="25300" spans="1:6" x14ac:dyDescent="0.25">
      <c r="A25300" s="2" t="str">
        <f t="shared" si="881"/>
        <v>16620</v>
      </c>
      <c r="B25300" s="2" t="str">
        <f>"25323"</f>
        <v>25323</v>
      </c>
      <c r="C25300" s="1">
        <v>9.3415323055195899E-4</v>
      </c>
      <c r="D25300" s="1">
        <v>6.0272085414155296E-3</v>
      </c>
      <c r="E25300" s="1">
        <v>2.6588673225205999E-4</v>
      </c>
      <c r="F25300" s="1">
        <v>1.30842480191902E-3</v>
      </c>
    </row>
    <row r="25301" spans="1:6" x14ac:dyDescent="0.25">
      <c r="A25301" s="2" t="str">
        <f t="shared" si="881"/>
        <v>16620</v>
      </c>
      <c r="B25301" s="2" t="str">
        <f>"25387"</f>
        <v>25387</v>
      </c>
      <c r="C25301" s="1">
        <v>2.3390608450041098E-2</v>
      </c>
      <c r="D25301" s="1">
        <v>3.2460823144480698E-2</v>
      </c>
      <c r="E25301" s="1">
        <v>1.56873172028715E-2</v>
      </c>
      <c r="F25301" s="1">
        <v>2.3895273150197901E-2</v>
      </c>
    </row>
    <row r="25302" spans="1:6" x14ac:dyDescent="0.25">
      <c r="A25302" s="2" t="str">
        <f t="shared" si="881"/>
        <v>16620</v>
      </c>
      <c r="B25302" s="2" t="str">
        <f>"25315"</f>
        <v>25315</v>
      </c>
      <c r="C25302" s="1">
        <v>1.2570613157585E-2</v>
      </c>
      <c r="D25302" s="1">
        <v>1.2312726020320301E-2</v>
      </c>
      <c r="E25302" s="1">
        <v>2.15368253124169E-2</v>
      </c>
      <c r="F25302" s="1">
        <v>1.27736623338862E-2</v>
      </c>
    </row>
    <row r="25303" spans="1:6" x14ac:dyDescent="0.25">
      <c r="A25303" s="2" t="str">
        <f t="shared" si="881"/>
        <v>16620</v>
      </c>
      <c r="B25303" s="2" t="str">
        <f>"25305"</f>
        <v>25305</v>
      </c>
      <c r="C25303" s="1">
        <v>0</v>
      </c>
      <c r="D25303" s="1">
        <v>1.13655932495264E-2</v>
      </c>
      <c r="E25303" s="1">
        <v>2.6588673225205999E-4</v>
      </c>
      <c r="F25303" s="1">
        <v>8.7889140734964601E-4</v>
      </c>
    </row>
    <row r="25304" spans="1:6" x14ac:dyDescent="0.25">
      <c r="A25304" s="2" t="str">
        <f t="shared" si="881"/>
        <v>16620</v>
      </c>
      <c r="B25304" s="2" t="str">
        <f>"25302"</f>
        <v>25302</v>
      </c>
      <c r="C25304" s="1">
        <v>6.2911910085912598E-2</v>
      </c>
      <c r="D25304" s="1">
        <v>6.2510762872395306E-2</v>
      </c>
      <c r="E25304" s="1">
        <v>7.6575378888593407E-2</v>
      </c>
      <c r="F25304" s="1">
        <v>6.3220707474541796E-2</v>
      </c>
    </row>
    <row r="25305" spans="1:6" x14ac:dyDescent="0.25">
      <c r="A25305" s="2" t="str">
        <f t="shared" ref="A25305:A25328" si="882">"16620"</f>
        <v>16620</v>
      </c>
      <c r="B25305" s="2" t="str">
        <f>"25301"</f>
        <v>25301</v>
      </c>
      <c r="C25305" s="1">
        <v>1.51450511945392E-2</v>
      </c>
      <c r="D25305" s="1">
        <v>0.13914241432753499</v>
      </c>
      <c r="E25305" s="1">
        <v>9.9707524594522701E-2</v>
      </c>
      <c r="F25305" s="1">
        <v>2.67632345847072E-2</v>
      </c>
    </row>
    <row r="25306" spans="1:6" x14ac:dyDescent="0.25">
      <c r="A25306" s="2" t="str">
        <f t="shared" si="882"/>
        <v>16620</v>
      </c>
      <c r="B25306" s="2" t="str">
        <f>"25565"</f>
        <v>25565</v>
      </c>
      <c r="C25306" s="1">
        <v>3.9278568906672903E-3</v>
      </c>
      <c r="D25306" s="1">
        <v>0</v>
      </c>
      <c r="E25306" s="1">
        <v>2.6588673225205999E-4</v>
      </c>
      <c r="F25306" s="1">
        <v>3.53539024760948E-3</v>
      </c>
    </row>
    <row r="25307" spans="1:6" x14ac:dyDescent="0.25">
      <c r="A25307" s="2" t="str">
        <f t="shared" si="882"/>
        <v>16620</v>
      </c>
      <c r="B25307" s="2" t="str">
        <f>"25564"</f>
        <v>25564</v>
      </c>
      <c r="C25307" s="1">
        <v>5.0679651641755896E-3</v>
      </c>
      <c r="D25307" s="1">
        <v>3.4441191665231599E-4</v>
      </c>
      <c r="E25307" s="1">
        <v>2.6588673225205999E-4</v>
      </c>
      <c r="F25307" s="1">
        <v>4.5860950127868698E-3</v>
      </c>
    </row>
    <row r="25308" spans="1:6" x14ac:dyDescent="0.25">
      <c r="A25308" s="2" t="str">
        <f t="shared" si="882"/>
        <v>16620</v>
      </c>
      <c r="B25308" s="2" t="str">
        <f>"25205"</f>
        <v>25205</v>
      </c>
      <c r="C25308" s="1">
        <v>0</v>
      </c>
      <c r="D25308" s="1">
        <v>0</v>
      </c>
      <c r="E25308" s="1">
        <v>2.6588673225205999E-4</v>
      </c>
      <c r="F25308" s="1">
        <v>6.6082060702980903E-6</v>
      </c>
    </row>
    <row r="25309" spans="1:6" x14ac:dyDescent="0.25">
      <c r="A25309" s="2" t="str">
        <f t="shared" si="882"/>
        <v>16620</v>
      </c>
      <c r="B25309" s="2" t="str">
        <f>"25231"</f>
        <v>25231</v>
      </c>
      <c r="C25309" s="1">
        <v>2.3537719195010001E-4</v>
      </c>
      <c r="D25309" s="1">
        <v>0</v>
      </c>
      <c r="E25309" s="1">
        <v>5.3177346450412096E-4</v>
      </c>
      <c r="F25309" s="1">
        <v>2.2467900639013501E-4</v>
      </c>
    </row>
    <row r="25310" spans="1:6" x14ac:dyDescent="0.25">
      <c r="A25310" s="2" t="str">
        <f t="shared" si="882"/>
        <v>16620</v>
      </c>
      <c r="B25310" s="2" t="str">
        <f>"25244"</f>
        <v>25244</v>
      </c>
      <c r="C25310" s="1">
        <v>2.4273272919853998E-3</v>
      </c>
      <c r="D25310" s="1">
        <v>8.6102979163078997E-5</v>
      </c>
      <c r="E25310" s="1">
        <v>0</v>
      </c>
      <c r="F25310" s="1">
        <v>2.18731620926866E-3</v>
      </c>
    </row>
    <row r="25311" spans="1:6" x14ac:dyDescent="0.25">
      <c r="A25311" s="2" t="str">
        <f t="shared" si="882"/>
        <v>16620</v>
      </c>
      <c r="B25311" s="2" t="str">
        <f>"25149"</f>
        <v>25149</v>
      </c>
      <c r="C25311" s="1">
        <v>0</v>
      </c>
      <c r="D25311" s="1">
        <v>0</v>
      </c>
      <c r="E25311" s="1">
        <v>2.6588673225205999E-4</v>
      </c>
      <c r="F25311" s="1">
        <v>6.6082060702980903E-6</v>
      </c>
    </row>
    <row r="25312" spans="1:6" x14ac:dyDescent="0.25">
      <c r="A25312" s="2" t="str">
        <f t="shared" si="882"/>
        <v>16620</v>
      </c>
      <c r="B25312" s="2" t="str">
        <f>"25093"</f>
        <v>25093</v>
      </c>
      <c r="C25312" s="1">
        <v>5.0017653289396199E-4</v>
      </c>
      <c r="D25312" s="1">
        <v>0</v>
      </c>
      <c r="E25312" s="1">
        <v>2.6588673225205999E-4</v>
      </c>
      <c r="F25312" s="1">
        <v>4.5596621885056802E-4</v>
      </c>
    </row>
    <row r="25313" spans="1:6" x14ac:dyDescent="0.25">
      <c r="A25313" s="2" t="str">
        <f t="shared" si="882"/>
        <v>16620</v>
      </c>
      <c r="B25313" s="2" t="str">
        <f>"25083"</f>
        <v>25083</v>
      </c>
      <c r="C25313" s="1">
        <v>1.69912910438978E-3</v>
      </c>
      <c r="D25313" s="1">
        <v>2.5830893748923702E-4</v>
      </c>
      <c r="E25313" s="1">
        <v>0</v>
      </c>
      <c r="F25313" s="1">
        <v>1.5463202204497499E-3</v>
      </c>
    </row>
    <row r="25314" spans="1:6" x14ac:dyDescent="0.25">
      <c r="A25314" s="2" t="str">
        <f t="shared" si="882"/>
        <v>16620</v>
      </c>
      <c r="B25314" s="2" t="str">
        <f>"25088"</f>
        <v>25088</v>
      </c>
      <c r="C25314" s="1">
        <v>5.5166529363304595E-4</v>
      </c>
      <c r="D25314" s="1">
        <v>2.5830893748923702E-4</v>
      </c>
      <c r="E25314" s="1">
        <v>0</v>
      </c>
      <c r="F25314" s="1">
        <v>5.1544007348325099E-4</v>
      </c>
    </row>
    <row r="25315" spans="1:6" x14ac:dyDescent="0.25">
      <c r="A25315" s="2" t="str">
        <f t="shared" si="882"/>
        <v>16620</v>
      </c>
      <c r="B25315" s="2" t="str">
        <f>"25154"</f>
        <v>25154</v>
      </c>
      <c r="C25315" s="1">
        <v>1.6108626574084901E-3</v>
      </c>
      <c r="D25315" s="1">
        <v>3.4441191665231599E-4</v>
      </c>
      <c r="E25315" s="1">
        <v>0</v>
      </c>
      <c r="F25315" s="1">
        <v>1.47362995367647E-3</v>
      </c>
    </row>
    <row r="25316" spans="1:6" x14ac:dyDescent="0.25">
      <c r="A25316" s="2" t="str">
        <f t="shared" si="882"/>
        <v>16620</v>
      </c>
      <c r="B25316" s="2" t="str">
        <f>"25081"</f>
        <v>25081</v>
      </c>
      <c r="C25316" s="1">
        <v>3.01577027186065E-3</v>
      </c>
      <c r="D25316" s="1">
        <v>1.1193387291200201E-3</v>
      </c>
      <c r="E25316" s="1">
        <v>2.6588673225205999E-4</v>
      </c>
      <c r="F25316" s="1">
        <v>2.8018793738063901E-3</v>
      </c>
    </row>
    <row r="25317" spans="1:6" x14ac:dyDescent="0.25">
      <c r="A25317" s="2" t="str">
        <f t="shared" si="882"/>
        <v>16620</v>
      </c>
      <c r="B25317" s="2" t="str">
        <f>"25333"</f>
        <v>25333</v>
      </c>
      <c r="C25317" s="1">
        <v>1.3239967047193099E-4</v>
      </c>
      <c r="D25317" s="1">
        <v>1.3776476666092601E-3</v>
      </c>
      <c r="E25317" s="1">
        <v>2.6588673225205999E-4</v>
      </c>
      <c r="F25317" s="1">
        <v>2.3128721246043301E-4</v>
      </c>
    </row>
    <row r="25318" spans="1:6" x14ac:dyDescent="0.25">
      <c r="A25318" s="2" t="str">
        <f t="shared" si="882"/>
        <v>16620</v>
      </c>
      <c r="B25318" s="2" t="str">
        <f>"25330"</f>
        <v>25330</v>
      </c>
      <c r="C25318" s="1">
        <v>8.5324232081911199E-4</v>
      </c>
      <c r="D25318" s="1">
        <v>3.8746340623385502E-3</v>
      </c>
      <c r="E25318" s="1">
        <v>2.6588673225205999E-4</v>
      </c>
      <c r="F25318" s="1">
        <v>1.0705293833882901E-3</v>
      </c>
    </row>
    <row r="25319" spans="1:6" x14ac:dyDescent="0.25">
      <c r="A25319" s="2" t="str">
        <f t="shared" si="882"/>
        <v>16620</v>
      </c>
      <c r="B25319" s="2" t="str">
        <f>"25364"</f>
        <v>25364</v>
      </c>
      <c r="C25319" s="1">
        <v>6.5537836883605904E-3</v>
      </c>
      <c r="D25319" s="1">
        <v>1.6445669020148001E-2</v>
      </c>
      <c r="E25319" s="1">
        <v>2.6588673225205999E-4</v>
      </c>
      <c r="F25319" s="1">
        <v>7.1566871741328298E-3</v>
      </c>
    </row>
    <row r="25320" spans="1:6" x14ac:dyDescent="0.25">
      <c r="A25320" s="2" t="str">
        <f t="shared" si="882"/>
        <v>16620</v>
      </c>
      <c r="B25320" s="2" t="str">
        <f>"25313"</f>
        <v>25313</v>
      </c>
      <c r="C25320" s="1">
        <v>4.7509415087678003E-2</v>
      </c>
      <c r="D25320" s="1">
        <v>3.8057516790080903E-2</v>
      </c>
      <c r="E25320" s="1">
        <v>6.6471683063015097E-2</v>
      </c>
      <c r="F25320" s="1">
        <v>4.7255281608701599E-2</v>
      </c>
    </row>
    <row r="25321" spans="1:6" x14ac:dyDescent="0.25">
      <c r="A25321" s="2" t="str">
        <f t="shared" si="882"/>
        <v>16620</v>
      </c>
      <c r="B25321" s="2" t="str">
        <f>"25312"</f>
        <v>25312</v>
      </c>
      <c r="C25321" s="1">
        <v>3.1187477933388202E-2</v>
      </c>
      <c r="D25321" s="1">
        <v>1.4206991561908E-2</v>
      </c>
      <c r="E25321" s="1">
        <v>8.2424886998138693E-3</v>
      </c>
      <c r="F25321" s="1">
        <v>2.9314002127842301E-2</v>
      </c>
    </row>
    <row r="25322" spans="1:6" x14ac:dyDescent="0.25">
      <c r="A25322" s="2" t="str">
        <f t="shared" si="882"/>
        <v>16620</v>
      </c>
      <c r="B25322" s="2" t="str">
        <f>"25051"</f>
        <v>25051</v>
      </c>
      <c r="C25322" s="1">
        <v>2.50088266446981E-4</v>
      </c>
      <c r="D25322" s="1">
        <v>8.6102979163078997E-5</v>
      </c>
      <c r="E25322" s="1">
        <v>2.6588673225205999E-4</v>
      </c>
      <c r="F25322" s="1">
        <v>2.37895418530731E-4</v>
      </c>
    </row>
    <row r="25323" spans="1:6" x14ac:dyDescent="0.25">
      <c r="A25323" s="2" t="str">
        <f t="shared" si="882"/>
        <v>16620</v>
      </c>
      <c r="B25323" s="2" t="str">
        <f>"25028"</f>
        <v>25028</v>
      </c>
      <c r="C25323" s="1">
        <v>7.5026479934094299E-4</v>
      </c>
      <c r="D25323" s="1">
        <v>0</v>
      </c>
      <c r="E25323" s="1">
        <v>2.6588673225205999E-4</v>
      </c>
      <c r="F25323" s="1">
        <v>6.8064522524070295E-4</v>
      </c>
    </row>
    <row r="25324" spans="1:6" x14ac:dyDescent="0.25">
      <c r="A25324" s="2" t="str">
        <f t="shared" si="882"/>
        <v>16620</v>
      </c>
      <c r="B25324" s="2" t="str">
        <f>"25035"</f>
        <v>25035</v>
      </c>
      <c r="C25324" s="1">
        <v>1.2504413322349001E-3</v>
      </c>
      <c r="D25324" s="1">
        <v>2.5830893748923702E-4</v>
      </c>
      <c r="E25324" s="1">
        <v>1.3294336612603001E-3</v>
      </c>
      <c r="F25324" s="1">
        <v>1.1762606805130599E-3</v>
      </c>
    </row>
    <row r="25325" spans="1:6" x14ac:dyDescent="0.25">
      <c r="A25325" s="2" t="str">
        <f t="shared" si="882"/>
        <v>16620</v>
      </c>
      <c r="B25325" s="2" t="str">
        <f>"25024"</f>
        <v>25024</v>
      </c>
      <c r="C25325" s="1">
        <v>9.6357537954572204E-4</v>
      </c>
      <c r="D25325" s="1">
        <v>8.6102979163078997E-5</v>
      </c>
      <c r="E25325" s="1">
        <v>2.3929805902685401E-3</v>
      </c>
      <c r="F25325" s="1">
        <v>9.3175705591203104E-4</v>
      </c>
    </row>
    <row r="25326" spans="1:6" x14ac:dyDescent="0.25">
      <c r="A25326" s="2" t="str">
        <f t="shared" si="882"/>
        <v>16620</v>
      </c>
      <c r="B25326" s="2" t="str">
        <f>"25021"</f>
        <v>25021</v>
      </c>
      <c r="C25326" s="1">
        <v>1.6182181946569301E-4</v>
      </c>
      <c r="D25326" s="1">
        <v>0</v>
      </c>
      <c r="E25326" s="1">
        <v>2.6588673225205999E-4</v>
      </c>
      <c r="F25326" s="1">
        <v>1.51988739616856E-4</v>
      </c>
    </row>
    <row r="25327" spans="1:6" x14ac:dyDescent="0.25">
      <c r="A25327" s="2" t="str">
        <f t="shared" si="882"/>
        <v>16620</v>
      </c>
      <c r="B25327" s="2" t="str">
        <f>"25303"</f>
        <v>25303</v>
      </c>
      <c r="C25327" s="1">
        <v>3.3386783570671999E-2</v>
      </c>
      <c r="D25327" s="1">
        <v>6.0530394351644499E-2</v>
      </c>
      <c r="E25327" s="1">
        <v>4.9986705663387303E-2</v>
      </c>
      <c r="F25327" s="1">
        <v>3.5882558961718602E-2</v>
      </c>
    </row>
    <row r="25328" spans="1:6" x14ac:dyDescent="0.25">
      <c r="A25328" s="2" t="str">
        <f t="shared" si="882"/>
        <v>16620</v>
      </c>
      <c r="B25328" s="2" t="str">
        <f>"25309"</f>
        <v>25309</v>
      </c>
      <c r="C25328" s="1">
        <v>5.0002942214899301E-2</v>
      </c>
      <c r="D25328" s="1">
        <v>5.8463922851730597E-2</v>
      </c>
      <c r="E25328" s="1">
        <v>6.0622174953469797E-2</v>
      </c>
      <c r="F25328" s="1">
        <v>5.0916227771646803E-2</v>
      </c>
    </row>
    <row r="25329" spans="1:6" x14ac:dyDescent="0.25">
      <c r="A25329" s="2" t="str">
        <f t="shared" ref="A25329:A25356" si="883">"37620"</f>
        <v>37620</v>
      </c>
      <c r="B25329" s="2" t="str">
        <f>"26184"</f>
        <v>26184</v>
      </c>
      <c r="C25329" s="1">
        <v>1.7659203431618101E-2</v>
      </c>
      <c r="D25329" s="1">
        <v>4.4698286565681604E-3</v>
      </c>
      <c r="E25329" s="1">
        <v>2.6954177897574099E-3</v>
      </c>
      <c r="F25329" s="1">
        <v>1.6299638989169599E-2</v>
      </c>
    </row>
    <row r="25330" spans="1:6" x14ac:dyDescent="0.25">
      <c r="A25330" s="2" t="str">
        <f t="shared" si="883"/>
        <v>37620</v>
      </c>
      <c r="B25330" s="2" t="str">
        <f>"26120"</f>
        <v>26120</v>
      </c>
      <c r="C25330" s="1">
        <v>0</v>
      </c>
      <c r="D25330" s="1">
        <v>4.9664762850757304E-4</v>
      </c>
      <c r="E25330" s="1">
        <v>0</v>
      </c>
      <c r="F25330" s="1">
        <v>3.6101083032490902E-5</v>
      </c>
    </row>
    <row r="25331" spans="1:6" x14ac:dyDescent="0.25">
      <c r="A25331" s="2" t="str">
        <f t="shared" si="883"/>
        <v>37620</v>
      </c>
      <c r="B25331" s="2" t="str">
        <f>"26150"</f>
        <v>26150</v>
      </c>
      <c r="C25331" s="1">
        <v>5.4460903205115298E-2</v>
      </c>
      <c r="D25331" s="1">
        <v>1.91209336975415E-2</v>
      </c>
      <c r="E25331" s="1">
        <v>7.9514824797843595E-2</v>
      </c>
      <c r="F25331" s="1">
        <v>5.2563176895306797E-2</v>
      </c>
    </row>
    <row r="25332" spans="1:6" x14ac:dyDescent="0.25">
      <c r="A25332" s="2" t="str">
        <f t="shared" si="883"/>
        <v>37620</v>
      </c>
      <c r="B25332" s="2" t="str">
        <f>"26141"</f>
        <v>26141</v>
      </c>
      <c r="C25332" s="1">
        <v>3.5278317865661702E-3</v>
      </c>
      <c r="D25332" s="1">
        <v>1.24161907126893E-3</v>
      </c>
      <c r="E25332" s="1">
        <v>6.7385444743935303E-4</v>
      </c>
      <c r="F25332" s="1">
        <v>3.28519855595667E-3</v>
      </c>
    </row>
    <row r="25333" spans="1:6" x14ac:dyDescent="0.25">
      <c r="A25333" s="2" t="str">
        <f t="shared" si="883"/>
        <v>37620</v>
      </c>
      <c r="B25333" s="2" t="str">
        <f>"26133"</f>
        <v>26133</v>
      </c>
      <c r="C25333" s="1">
        <v>2.1708192186654301E-2</v>
      </c>
      <c r="D25333" s="1">
        <v>3.47653339955301E-3</v>
      </c>
      <c r="E25333" s="1">
        <v>6.7385444743935303E-4</v>
      </c>
      <c r="F25333" s="1">
        <v>1.9819494584837501E-2</v>
      </c>
    </row>
    <row r="25334" spans="1:6" x14ac:dyDescent="0.25">
      <c r="A25334" s="2" t="str">
        <f t="shared" si="883"/>
        <v>37620</v>
      </c>
      <c r="B25334" s="2" t="str">
        <f>"26105"</f>
        <v>26105</v>
      </c>
      <c r="C25334" s="1">
        <v>0.13459880935677199</v>
      </c>
      <c r="D25334" s="1">
        <v>0.16687360317854399</v>
      </c>
      <c r="E25334" s="1">
        <v>0.13679245283018801</v>
      </c>
      <c r="F25334" s="1">
        <v>0.137003610108303</v>
      </c>
    </row>
    <row r="25335" spans="1:6" x14ac:dyDescent="0.25">
      <c r="A25335" s="2" t="str">
        <f t="shared" si="883"/>
        <v>37620</v>
      </c>
      <c r="B25335" s="2" t="str">
        <f>"26106"</f>
        <v>26106</v>
      </c>
      <c r="C25335" s="1">
        <v>0</v>
      </c>
      <c r="D25335" s="1">
        <v>2.4832381425378598E-4</v>
      </c>
      <c r="E25335" s="1">
        <v>0</v>
      </c>
      <c r="F25335" s="1">
        <v>1.80505415162454E-5</v>
      </c>
    </row>
    <row r="25336" spans="1:6" x14ac:dyDescent="0.25">
      <c r="A25336" s="2" t="str">
        <f t="shared" si="883"/>
        <v>37620</v>
      </c>
      <c r="B25336" s="2" t="str">
        <f>"26102"</f>
        <v>26102</v>
      </c>
      <c r="C25336" s="1">
        <v>2.9325101725831301E-2</v>
      </c>
      <c r="D25336" s="1">
        <v>0.10280605910106699</v>
      </c>
      <c r="E25336" s="1">
        <v>1.3477088948787E-3</v>
      </c>
      <c r="F25336" s="1">
        <v>3.3916967509025203E-2</v>
      </c>
    </row>
    <row r="25337" spans="1:6" x14ac:dyDescent="0.25">
      <c r="A25337" s="2" t="str">
        <f t="shared" si="883"/>
        <v>37620</v>
      </c>
      <c r="B25337" s="2" t="str">
        <f>"26187"</f>
        <v>26187</v>
      </c>
      <c r="C25337" s="1">
        <v>5.8389624967427597E-2</v>
      </c>
      <c r="D25337" s="1">
        <v>3.9483486466352101E-2</v>
      </c>
      <c r="E25337" s="1">
        <v>5.1212938005390798E-2</v>
      </c>
      <c r="F25337" s="1">
        <v>5.6823104693140697E-2</v>
      </c>
    </row>
    <row r="25338" spans="1:6" x14ac:dyDescent="0.25">
      <c r="A25338" s="2" t="str">
        <f t="shared" si="883"/>
        <v>37620</v>
      </c>
      <c r="B25338" s="2" t="str">
        <f>"26181"</f>
        <v>26181</v>
      </c>
      <c r="C25338" s="1">
        <v>5.3859568241496097E-2</v>
      </c>
      <c r="D25338" s="1">
        <v>1.1919543084181699E-2</v>
      </c>
      <c r="E25338" s="1">
        <v>1.81940700808625E-2</v>
      </c>
      <c r="F25338" s="1">
        <v>4.9855595667869998E-2</v>
      </c>
    </row>
    <row r="25339" spans="1:6" x14ac:dyDescent="0.25">
      <c r="A25339" s="2" t="str">
        <f t="shared" si="883"/>
        <v>37620</v>
      </c>
      <c r="B25339" s="2" t="str">
        <f>"26180"</f>
        <v>26180</v>
      </c>
      <c r="C25339" s="1">
        <v>2.2850728617530899E-2</v>
      </c>
      <c r="D25339" s="1">
        <v>4.4698286565681604E-3</v>
      </c>
      <c r="E25339" s="1">
        <v>6.06469002695417E-3</v>
      </c>
      <c r="F25339" s="1">
        <v>2.1064981949458401E-2</v>
      </c>
    </row>
    <row r="25340" spans="1:6" x14ac:dyDescent="0.25">
      <c r="A25340" s="2" t="str">
        <f t="shared" si="883"/>
        <v>37620</v>
      </c>
      <c r="B25340" s="2" t="str">
        <f>"26121"</f>
        <v>26121</v>
      </c>
      <c r="C25340" s="1">
        <v>0</v>
      </c>
      <c r="D25340" s="1">
        <v>0</v>
      </c>
      <c r="E25340" s="1">
        <v>1.3477088948787E-3</v>
      </c>
      <c r="F25340" s="1">
        <v>3.6101083032490902E-5</v>
      </c>
    </row>
    <row r="25341" spans="1:6" x14ac:dyDescent="0.25">
      <c r="A25341" s="2" t="str">
        <f t="shared" si="883"/>
        <v>37620</v>
      </c>
      <c r="B25341" s="2" t="str">
        <f>"26143"</f>
        <v>26143</v>
      </c>
      <c r="C25341" s="1">
        <v>3.4115736935997898E-2</v>
      </c>
      <c r="D25341" s="1">
        <v>2.97988577104544E-3</v>
      </c>
      <c r="E25341" s="1">
        <v>1.1455525606468999E-2</v>
      </c>
      <c r="F25341" s="1">
        <v>3.1245487364620898E-2</v>
      </c>
    </row>
    <row r="25342" spans="1:6" x14ac:dyDescent="0.25">
      <c r="A25342" s="2" t="str">
        <f t="shared" si="883"/>
        <v>37620</v>
      </c>
      <c r="B25342" s="2" t="str">
        <f>"25270"</f>
        <v>25270</v>
      </c>
      <c r="C25342" s="1">
        <v>1.6035599029846201E-4</v>
      </c>
      <c r="D25342" s="1">
        <v>0</v>
      </c>
      <c r="E25342" s="1">
        <v>0</v>
      </c>
      <c r="F25342" s="1">
        <v>1.4440433212996301E-4</v>
      </c>
    </row>
    <row r="25343" spans="1:6" x14ac:dyDescent="0.25">
      <c r="A25343" s="2" t="str">
        <f t="shared" si="883"/>
        <v>37620</v>
      </c>
      <c r="B25343" s="2" t="str">
        <f>"26152"</f>
        <v>26152</v>
      </c>
      <c r="C25343" s="1">
        <v>2.6057848423500103E-4</v>
      </c>
      <c r="D25343" s="1">
        <v>0</v>
      </c>
      <c r="E25343" s="1">
        <v>6.7385444743935303E-4</v>
      </c>
      <c r="F25343" s="1">
        <v>2.5270758122743599E-4</v>
      </c>
    </row>
    <row r="25344" spans="1:6" x14ac:dyDescent="0.25">
      <c r="A25344" s="2" t="str">
        <f t="shared" si="883"/>
        <v>37620</v>
      </c>
      <c r="B25344" s="2" t="str">
        <f>"26161"</f>
        <v>26161</v>
      </c>
      <c r="C25344" s="1">
        <v>2.00444987873078E-4</v>
      </c>
      <c r="D25344" s="1">
        <v>0</v>
      </c>
      <c r="E25344" s="1">
        <v>0</v>
      </c>
      <c r="F25344" s="1">
        <v>1.80505415162454E-4</v>
      </c>
    </row>
    <row r="25345" spans="1:6" x14ac:dyDescent="0.25">
      <c r="A25345" s="2" t="str">
        <f t="shared" si="883"/>
        <v>37620</v>
      </c>
      <c r="B25345" s="2" t="str">
        <f>"26103"</f>
        <v>26103</v>
      </c>
      <c r="C25345" s="1">
        <v>1.21068772675339E-2</v>
      </c>
      <c r="D25345" s="1">
        <v>1.8872609883287799E-2</v>
      </c>
      <c r="E25345" s="1">
        <v>1.3477088948787E-3</v>
      </c>
      <c r="F25345" s="1">
        <v>1.2310469314079401E-2</v>
      </c>
    </row>
    <row r="25346" spans="1:6" x14ac:dyDescent="0.25">
      <c r="A25346" s="2" t="str">
        <f t="shared" si="883"/>
        <v>37620</v>
      </c>
      <c r="B25346" s="2" t="str">
        <f>"26337"</f>
        <v>26337</v>
      </c>
      <c r="C25346" s="1">
        <v>6.0133496361923401E-5</v>
      </c>
      <c r="D25346" s="1">
        <v>0</v>
      </c>
      <c r="E25346" s="1">
        <v>0</v>
      </c>
      <c r="F25346" s="1">
        <v>5.4151624548736401E-5</v>
      </c>
    </row>
    <row r="25347" spans="1:6" x14ac:dyDescent="0.25">
      <c r="A25347" s="2" t="str">
        <f t="shared" si="883"/>
        <v>37620</v>
      </c>
      <c r="B25347" s="2" t="str">
        <f>"26169"</f>
        <v>26169</v>
      </c>
      <c r="C25347" s="1">
        <v>6.9955300767704301E-3</v>
      </c>
      <c r="D25347" s="1">
        <v>1.24161907126893E-3</v>
      </c>
      <c r="E25347" s="1">
        <v>6.7385444743935303E-4</v>
      </c>
      <c r="F25347" s="1">
        <v>6.4079422382671402E-3</v>
      </c>
    </row>
    <row r="25348" spans="1:6" x14ac:dyDescent="0.25">
      <c r="A25348" s="2" t="str">
        <f t="shared" si="883"/>
        <v>37620</v>
      </c>
      <c r="B25348" s="2" t="str">
        <f>"26138"</f>
        <v>26138</v>
      </c>
      <c r="C25348" s="1">
        <v>1.38307041632423E-3</v>
      </c>
      <c r="D25348" s="1">
        <v>2.4832381425378598E-4</v>
      </c>
      <c r="E25348" s="1">
        <v>6.7385444743935303E-4</v>
      </c>
      <c r="F25348" s="1">
        <v>1.2815884476534199E-3</v>
      </c>
    </row>
    <row r="25349" spans="1:6" x14ac:dyDescent="0.25">
      <c r="A25349" s="2" t="str">
        <f t="shared" si="883"/>
        <v>37620</v>
      </c>
      <c r="B25349" s="2" t="str">
        <f>"25275"</f>
        <v>25275</v>
      </c>
      <c r="C25349" s="1">
        <v>5.0111246968269504E-4</v>
      </c>
      <c r="D25349" s="1">
        <v>0</v>
      </c>
      <c r="E25349" s="1">
        <v>0</v>
      </c>
      <c r="F25349" s="1">
        <v>4.5126353790613698E-4</v>
      </c>
    </row>
    <row r="25350" spans="1:6" x14ac:dyDescent="0.25">
      <c r="A25350" s="2" t="str">
        <f t="shared" si="883"/>
        <v>37620</v>
      </c>
      <c r="B25350" s="2" t="str">
        <f>"26170"</f>
        <v>26170</v>
      </c>
      <c r="C25350" s="1">
        <v>2.0044498787307799E-5</v>
      </c>
      <c r="D25350" s="1">
        <v>0</v>
      </c>
      <c r="E25350" s="1">
        <v>0</v>
      </c>
      <c r="F25350" s="1">
        <v>1.80505415162454E-5</v>
      </c>
    </row>
    <row r="25351" spans="1:6" x14ac:dyDescent="0.25">
      <c r="A25351" s="2" t="str">
        <f t="shared" si="883"/>
        <v>37620</v>
      </c>
      <c r="B25351" s="2" t="str">
        <f>"26164"</f>
        <v>26164</v>
      </c>
      <c r="C25351" s="1">
        <v>9.8218044057808295E-4</v>
      </c>
      <c r="D25351" s="1">
        <v>0</v>
      </c>
      <c r="E25351" s="1">
        <v>0</v>
      </c>
      <c r="F25351" s="1">
        <v>8.8447653429602803E-4</v>
      </c>
    </row>
    <row r="25352" spans="1:6" x14ac:dyDescent="0.25">
      <c r="A25352" s="2" t="str">
        <f t="shared" si="883"/>
        <v>37620</v>
      </c>
      <c r="B25352" s="2" t="str">
        <f>"25252"</f>
        <v>25252</v>
      </c>
      <c r="C25352" s="1">
        <v>1.2427589248130799E-3</v>
      </c>
      <c r="D25352" s="1">
        <v>0</v>
      </c>
      <c r="E25352" s="1">
        <v>0</v>
      </c>
      <c r="F25352" s="1">
        <v>1.11913357400722E-3</v>
      </c>
    </row>
    <row r="25353" spans="1:6" x14ac:dyDescent="0.25">
      <c r="A25353" s="2" t="str">
        <f t="shared" si="883"/>
        <v>37620</v>
      </c>
      <c r="B25353" s="2" t="str">
        <f>"26160"</f>
        <v>26160</v>
      </c>
      <c r="C25353" s="1">
        <v>1.39509711559662E-2</v>
      </c>
      <c r="D25353" s="1">
        <v>7.4497144276136E-4</v>
      </c>
      <c r="E25353" s="1">
        <v>0</v>
      </c>
      <c r="F25353" s="1">
        <v>1.2617328519855499E-2</v>
      </c>
    </row>
    <row r="25354" spans="1:6" x14ac:dyDescent="0.25">
      <c r="A25354" s="2" t="str">
        <f t="shared" si="883"/>
        <v>37620</v>
      </c>
      <c r="B25354" s="2" t="str">
        <f>"26142"</f>
        <v>26142</v>
      </c>
      <c r="C25354" s="1">
        <v>2.2209304656337001E-2</v>
      </c>
      <c r="D25354" s="1">
        <v>5.95977154209088E-3</v>
      </c>
      <c r="E25354" s="1">
        <v>2.6954177897574099E-3</v>
      </c>
      <c r="F25354" s="1">
        <v>2.0505415162454799E-2</v>
      </c>
    </row>
    <row r="25355" spans="1:6" x14ac:dyDescent="0.25">
      <c r="A25355" s="2" t="str">
        <f t="shared" si="883"/>
        <v>37620</v>
      </c>
      <c r="B25355" s="2" t="str">
        <f>"26101"</f>
        <v>26101</v>
      </c>
      <c r="C25355" s="1">
        <v>0.311271021668103</v>
      </c>
      <c r="D25355" s="1">
        <v>0.465358827911596</v>
      </c>
      <c r="E25355" s="1">
        <v>0.48854447439352999</v>
      </c>
      <c r="F25355" s="1">
        <v>0.32722021660649803</v>
      </c>
    </row>
    <row r="25356" spans="1:6" x14ac:dyDescent="0.25">
      <c r="A25356" s="2" t="str">
        <f t="shared" si="883"/>
        <v>37620</v>
      </c>
      <c r="B25356" s="2" t="str">
        <f>"26104"</f>
        <v>26104</v>
      </c>
      <c r="C25356" s="1">
        <v>0.19815991501132499</v>
      </c>
      <c r="D25356" s="1">
        <v>0.14998758380928701</v>
      </c>
      <c r="E25356" s="1">
        <v>0.195417789757412</v>
      </c>
      <c r="F25356" s="1">
        <v>0.19458483754512601</v>
      </c>
    </row>
    <row r="25357" spans="1:6" x14ac:dyDescent="0.25">
      <c r="A25357" s="2" t="str">
        <f t="shared" ref="A25357:A25388" si="884">"16740"</f>
        <v>16740</v>
      </c>
      <c r="B25357" s="2" t="str">
        <f>"29743"</f>
        <v>29743</v>
      </c>
      <c r="C25357" s="1">
        <v>4.3367332103207601E-4</v>
      </c>
      <c r="D25357" s="1">
        <v>9.1509727484031505E-5</v>
      </c>
      <c r="E25357" s="1">
        <v>0</v>
      </c>
      <c r="F25357" s="1">
        <v>3.9258457910062701E-4</v>
      </c>
    </row>
    <row r="25358" spans="1:6" x14ac:dyDescent="0.25">
      <c r="A25358" s="2" t="str">
        <f t="shared" si="884"/>
        <v>16740</v>
      </c>
      <c r="B25358" s="2" t="str">
        <f>"29731"</f>
        <v>29731</v>
      </c>
      <c r="C25358" s="1">
        <v>1.3575138056827799E-3</v>
      </c>
      <c r="D25358" s="1">
        <v>5.2160544665897897E-3</v>
      </c>
      <c r="E25358" s="1">
        <v>2.3711853555592401E-5</v>
      </c>
      <c r="F25358" s="1">
        <v>1.62715976864075E-3</v>
      </c>
    </row>
    <row r="25359" spans="1:6" x14ac:dyDescent="0.25">
      <c r="A25359" s="2" t="str">
        <f t="shared" si="884"/>
        <v>16740</v>
      </c>
      <c r="B25359" s="2" t="str">
        <f>"28650"</f>
        <v>28650</v>
      </c>
      <c r="C25359" s="1">
        <v>1.1174149746899201E-3</v>
      </c>
      <c r="D25359" s="1">
        <v>3.3858599169091599E-4</v>
      </c>
      <c r="E25359" s="1">
        <v>7.1135560666777303E-5</v>
      </c>
      <c r="F25359" s="1">
        <v>1.0220481993503099E-3</v>
      </c>
    </row>
    <row r="25360" spans="1:6" x14ac:dyDescent="0.25">
      <c r="A25360" s="2" t="str">
        <f t="shared" si="884"/>
        <v>16740</v>
      </c>
      <c r="B25360" s="2" t="str">
        <f>"28678"</f>
        <v>28678</v>
      </c>
      <c r="C25360" s="1">
        <v>9.0805544039857997E-4</v>
      </c>
      <c r="D25360" s="1">
        <v>1.09811672980837E-4</v>
      </c>
      <c r="E25360" s="1">
        <v>0</v>
      </c>
      <c r="F25360" s="1">
        <v>8.1542473666577605E-4</v>
      </c>
    </row>
    <row r="25361" spans="1:6" x14ac:dyDescent="0.25">
      <c r="A25361" s="2" t="str">
        <f t="shared" si="884"/>
        <v>16740</v>
      </c>
      <c r="B25361" s="2" t="str">
        <f>"28677"</f>
        <v>28677</v>
      </c>
      <c r="C25361" s="1">
        <v>1.3797790259963E-2</v>
      </c>
      <c r="D25361" s="1">
        <v>1.6910997639048998E-2</v>
      </c>
      <c r="E25361" s="1">
        <v>1.16425200957958E-2</v>
      </c>
      <c r="F25361" s="1">
        <v>1.39817669552999E-2</v>
      </c>
    </row>
    <row r="25362" spans="1:6" x14ac:dyDescent="0.25">
      <c r="A25362" s="2" t="str">
        <f t="shared" si="884"/>
        <v>16740</v>
      </c>
      <c r="B25362" s="2" t="str">
        <f>"28281"</f>
        <v>28281</v>
      </c>
      <c r="C25362" s="1">
        <v>0</v>
      </c>
      <c r="D25362" s="1">
        <v>5.3075641940738302E-4</v>
      </c>
      <c r="E25362" s="1">
        <v>7.1135560666777303E-5</v>
      </c>
      <c r="F25362" s="1">
        <v>4.5014397227703401E-5</v>
      </c>
    </row>
    <row r="25363" spans="1:6" x14ac:dyDescent="0.25">
      <c r="A25363" s="2" t="str">
        <f t="shared" si="884"/>
        <v>16740</v>
      </c>
      <c r="B25363" s="2" t="str">
        <f>"28212"</f>
        <v>28212</v>
      </c>
      <c r="C25363" s="1">
        <v>1.40711207630656E-2</v>
      </c>
      <c r="D25363" s="1">
        <v>9.7274840315525503E-3</v>
      </c>
      <c r="E25363" s="1">
        <v>3.64451189149455E-2</v>
      </c>
      <c r="F25363" s="1">
        <v>1.4417152108813801E-2</v>
      </c>
    </row>
    <row r="25364" spans="1:6" x14ac:dyDescent="0.25">
      <c r="A25364" s="2" t="str">
        <f t="shared" si="884"/>
        <v>16740</v>
      </c>
      <c r="B25364" s="2" t="str">
        <f>"28207"</f>
        <v>28207</v>
      </c>
      <c r="C25364" s="1">
        <v>3.54831178951723E-3</v>
      </c>
      <c r="D25364" s="1">
        <v>3.57803034462563E-3</v>
      </c>
      <c r="E25364" s="1">
        <v>8.8682332297915709E-3</v>
      </c>
      <c r="F25364" s="1">
        <v>3.7162705645690901E-3</v>
      </c>
    </row>
    <row r="25365" spans="1:6" x14ac:dyDescent="0.25">
      <c r="A25365" s="2" t="str">
        <f t="shared" si="884"/>
        <v>16740</v>
      </c>
      <c r="B25365" s="2" t="str">
        <f>"28274"</f>
        <v>28274</v>
      </c>
      <c r="C25365" s="1">
        <v>0</v>
      </c>
      <c r="D25365" s="1">
        <v>9.1509727484031495E-6</v>
      </c>
      <c r="E25365" s="1">
        <v>0</v>
      </c>
      <c r="F25365" s="1">
        <v>7.3794093815907302E-7</v>
      </c>
    </row>
    <row r="25366" spans="1:6" x14ac:dyDescent="0.25">
      <c r="A25366" s="2" t="str">
        <f t="shared" si="884"/>
        <v>16740</v>
      </c>
      <c r="B25366" s="2" t="str">
        <f>"28234"</f>
        <v>28234</v>
      </c>
      <c r="C25366" s="1">
        <v>2.0354399167214201E-4</v>
      </c>
      <c r="D25366" s="1">
        <v>1.5007595307381101E-3</v>
      </c>
      <c r="E25366" s="1">
        <v>2.3711853555592401E-5</v>
      </c>
      <c r="F25366" s="1">
        <v>3.0255578464521998E-4</v>
      </c>
    </row>
    <row r="25367" spans="1:6" x14ac:dyDescent="0.25">
      <c r="A25367" s="2" t="str">
        <f t="shared" si="884"/>
        <v>16740</v>
      </c>
      <c r="B25367" s="2" t="str">
        <f>"28235"</f>
        <v>28235</v>
      </c>
      <c r="C25367" s="1">
        <v>1.9191290643373401E-4</v>
      </c>
      <c r="D25367" s="1">
        <v>1.9034023316678501E-3</v>
      </c>
      <c r="E25367" s="1">
        <v>2.3711853555592401E-5</v>
      </c>
      <c r="F25367" s="1">
        <v>3.2469401278999198E-4</v>
      </c>
    </row>
    <row r="25368" spans="1:6" x14ac:dyDescent="0.25">
      <c r="A25368" s="2" t="str">
        <f t="shared" si="884"/>
        <v>16740</v>
      </c>
      <c r="B25368" s="2" t="str">
        <f>"28174"</f>
        <v>28174</v>
      </c>
      <c r="C25368" s="1">
        <v>2.21156777890303E-3</v>
      </c>
      <c r="D25368" s="1">
        <v>7.4122879262065501E-4</v>
      </c>
      <c r="E25368" s="1">
        <v>3.7938965688947901E-4</v>
      </c>
      <c r="F25368" s="1">
        <v>2.0359790483808799E-3</v>
      </c>
    </row>
    <row r="25369" spans="1:6" x14ac:dyDescent="0.25">
      <c r="A25369" s="2" t="str">
        <f t="shared" si="884"/>
        <v>16740</v>
      </c>
      <c r="B25369" s="2" t="str">
        <f>"28205"</f>
        <v>28205</v>
      </c>
      <c r="C25369" s="1">
        <v>2.03560607508197E-2</v>
      </c>
      <c r="D25369" s="1">
        <v>2.3536301908892901E-2</v>
      </c>
      <c r="E25369" s="1">
        <v>5.0695942901856597E-2</v>
      </c>
      <c r="F25369" s="1">
        <v>2.15567306855028E-2</v>
      </c>
    </row>
    <row r="25370" spans="1:6" x14ac:dyDescent="0.25">
      <c r="A25370" s="2" t="str">
        <f t="shared" si="884"/>
        <v>16740</v>
      </c>
      <c r="B25370" s="2" t="str">
        <f>"28164"</f>
        <v>28164</v>
      </c>
      <c r="C25370" s="1">
        <v>6.0863807468984404E-3</v>
      </c>
      <c r="D25370" s="1">
        <v>4.4656747012207301E-3</v>
      </c>
      <c r="E25370" s="1">
        <v>1.9443719915585799E-3</v>
      </c>
      <c r="F25370" s="1">
        <v>5.8267816477040402E-3</v>
      </c>
    </row>
    <row r="25371" spans="1:6" x14ac:dyDescent="0.25">
      <c r="A25371" s="2" t="str">
        <f t="shared" si="884"/>
        <v>16740</v>
      </c>
      <c r="B25371" s="2" t="str">
        <f>"28126"</f>
        <v>28126</v>
      </c>
      <c r="C25371" s="1">
        <v>3.9545689810587702E-4</v>
      </c>
      <c r="D25371" s="1">
        <v>8.7849338384670198E-4</v>
      </c>
      <c r="E25371" s="1">
        <v>4.7423707111184801E-5</v>
      </c>
      <c r="F25371" s="1">
        <v>4.2357809850330802E-4</v>
      </c>
    </row>
    <row r="25372" spans="1:6" x14ac:dyDescent="0.25">
      <c r="A25372" s="2" t="str">
        <f t="shared" si="884"/>
        <v>16740</v>
      </c>
      <c r="B25372" s="2" t="str">
        <f>"28124"</f>
        <v>28124</v>
      </c>
      <c r="C25372" s="1">
        <v>2.1708589805686102E-3</v>
      </c>
      <c r="D25372" s="1">
        <v>1.07981478431157E-3</v>
      </c>
      <c r="E25372" s="1">
        <v>9.4847414222369697E-5</v>
      </c>
      <c r="F25372" s="1">
        <v>2.0182684658650602E-3</v>
      </c>
    </row>
    <row r="25373" spans="1:6" x14ac:dyDescent="0.25">
      <c r="A25373" s="2" t="str">
        <f t="shared" si="884"/>
        <v>16740</v>
      </c>
      <c r="B25373" s="2" t="str">
        <f>"28102"</f>
        <v>28102</v>
      </c>
      <c r="C25373" s="1">
        <v>0</v>
      </c>
      <c r="D25373" s="1">
        <v>9.1509727484031495E-6</v>
      </c>
      <c r="E25373" s="1">
        <v>0</v>
      </c>
      <c r="F25373" s="1">
        <v>7.3794093815907302E-7</v>
      </c>
    </row>
    <row r="25374" spans="1:6" x14ac:dyDescent="0.25">
      <c r="A25374" s="2" t="str">
        <f t="shared" si="884"/>
        <v>16740</v>
      </c>
      <c r="B25374" s="2" t="str">
        <f>"28103"</f>
        <v>28103</v>
      </c>
      <c r="C25374" s="1">
        <v>3.7734563680607001E-3</v>
      </c>
      <c r="D25374" s="1">
        <v>2.3884038873332198E-3</v>
      </c>
      <c r="E25374" s="1">
        <v>7.8249116733455004E-4</v>
      </c>
      <c r="F25374" s="1">
        <v>3.5686823769372701E-3</v>
      </c>
    </row>
    <row r="25375" spans="1:6" x14ac:dyDescent="0.25">
      <c r="A25375" s="2" t="str">
        <f t="shared" si="884"/>
        <v>16740</v>
      </c>
      <c r="B25375" s="2" t="str">
        <f>"28034"</f>
        <v>28034</v>
      </c>
      <c r="C25375" s="1">
        <v>7.5892831180613303E-3</v>
      </c>
      <c r="D25375" s="1">
        <v>5.5546404582807098E-3</v>
      </c>
      <c r="E25375" s="1">
        <v>5.0506248073411801E-3</v>
      </c>
      <c r="F25375" s="1">
        <v>7.34620203937357E-3</v>
      </c>
    </row>
    <row r="25376" spans="1:6" x14ac:dyDescent="0.25">
      <c r="A25376" s="2" t="str">
        <f t="shared" si="884"/>
        <v>16740</v>
      </c>
      <c r="B25376" s="2" t="str">
        <f>"28032"</f>
        <v>28032</v>
      </c>
      <c r="C25376" s="1">
        <v>1.36914489092119E-3</v>
      </c>
      <c r="D25376" s="1">
        <v>9.974560295759429E-4</v>
      </c>
      <c r="E25376" s="1">
        <v>1.8732364308918E-3</v>
      </c>
      <c r="F25376" s="1">
        <v>1.35485956246005E-3</v>
      </c>
    </row>
    <row r="25377" spans="1:6" x14ac:dyDescent="0.25">
      <c r="A25377" s="2" t="str">
        <f t="shared" si="884"/>
        <v>16740</v>
      </c>
      <c r="B25377" s="2" t="str">
        <f>"27028"</f>
        <v>27028</v>
      </c>
      <c r="C25377" s="1">
        <v>1.24618770411516E-5</v>
      </c>
      <c r="D25377" s="1">
        <v>0</v>
      </c>
      <c r="E25377" s="1">
        <v>0</v>
      </c>
      <c r="F25377" s="1">
        <v>1.1069114072386099E-5</v>
      </c>
    </row>
    <row r="25378" spans="1:6" x14ac:dyDescent="0.25">
      <c r="A25378" s="2" t="str">
        <f t="shared" si="884"/>
        <v>16740</v>
      </c>
      <c r="B25378" s="2" t="str">
        <f>"29721"</f>
        <v>29721</v>
      </c>
      <c r="C25378" s="1">
        <v>1.61090530551953E-3</v>
      </c>
      <c r="D25378" s="1">
        <v>4.2552023280074602E-3</v>
      </c>
      <c r="E25378" s="1">
        <v>2.3711853555592401E-5</v>
      </c>
      <c r="F25378" s="1">
        <v>1.7747479562725699E-3</v>
      </c>
    </row>
    <row r="25379" spans="1:6" x14ac:dyDescent="0.25">
      <c r="A25379" s="2" t="str">
        <f t="shared" si="884"/>
        <v>16740</v>
      </c>
      <c r="B25379" s="2" t="str">
        <f>"29716"</f>
        <v>29716</v>
      </c>
      <c r="C25379" s="1">
        <v>7.7180558474865605E-4</v>
      </c>
      <c r="D25379" s="1">
        <v>4.0172770365489796E-3</v>
      </c>
      <c r="E25379" s="1">
        <v>2.3711853555592401E-5</v>
      </c>
      <c r="F25379" s="1">
        <v>1.01024114433977E-3</v>
      </c>
    </row>
    <row r="25380" spans="1:6" x14ac:dyDescent="0.25">
      <c r="A25380" s="2" t="str">
        <f t="shared" si="884"/>
        <v>16740</v>
      </c>
      <c r="B25380" s="2" t="str">
        <f>"29714"</f>
        <v>29714</v>
      </c>
      <c r="C25380" s="1">
        <v>1.0692290501308E-3</v>
      </c>
      <c r="D25380" s="1">
        <v>3.8434085543293201E-4</v>
      </c>
      <c r="E25380" s="1">
        <v>2.1340668200033099E-4</v>
      </c>
      <c r="F25380" s="1">
        <v>9.8736497525684004E-4</v>
      </c>
    </row>
    <row r="25381" spans="1:6" x14ac:dyDescent="0.25">
      <c r="A25381" s="2" t="str">
        <f t="shared" si="884"/>
        <v>16740</v>
      </c>
      <c r="B25381" s="2" t="str">
        <f>"29703"</f>
        <v>29703</v>
      </c>
      <c r="C25381" s="1">
        <v>0</v>
      </c>
      <c r="D25381" s="1">
        <v>0</v>
      </c>
      <c r="E25381" s="1">
        <v>2.3711853555592401E-5</v>
      </c>
      <c r="F25381" s="1">
        <v>7.3794093815907302E-7</v>
      </c>
    </row>
    <row r="25382" spans="1:6" x14ac:dyDescent="0.25">
      <c r="A25382" s="2" t="str">
        <f t="shared" si="884"/>
        <v>16740</v>
      </c>
      <c r="B25382" s="2" t="str">
        <f>"29732"</f>
        <v>29732</v>
      </c>
      <c r="C25382" s="1">
        <v>2.2921545837691501E-2</v>
      </c>
      <c r="D25382" s="1">
        <v>2.2749318252530199E-2</v>
      </c>
      <c r="E25382" s="1">
        <v>2.14829393213667E-2</v>
      </c>
      <c r="F25382" s="1">
        <v>2.2862886146044401E-2</v>
      </c>
    </row>
    <row r="25383" spans="1:6" x14ac:dyDescent="0.25">
      <c r="A25383" s="2" t="str">
        <f t="shared" si="884"/>
        <v>16740</v>
      </c>
      <c r="B25383" s="2" t="str">
        <f>"29031"</f>
        <v>29031</v>
      </c>
      <c r="C25383" s="1">
        <v>1.67819944154175E-4</v>
      </c>
      <c r="D25383" s="1">
        <v>1.3726459122604699E-4</v>
      </c>
      <c r="E25383" s="1">
        <v>2.3711853555592401E-5</v>
      </c>
      <c r="F25383" s="1">
        <v>1.6087112451867799E-4</v>
      </c>
    </row>
    <row r="25384" spans="1:6" x14ac:dyDescent="0.25">
      <c r="A25384" s="2" t="str">
        <f t="shared" si="884"/>
        <v>16740</v>
      </c>
      <c r="B25384" s="2" t="str">
        <f>"28688"</f>
        <v>28688</v>
      </c>
      <c r="C25384" s="1">
        <v>0</v>
      </c>
      <c r="D25384" s="1">
        <v>0</v>
      </c>
      <c r="E25384" s="1">
        <v>2.3711853555592401E-5</v>
      </c>
      <c r="F25384" s="1">
        <v>7.3794093815907302E-7</v>
      </c>
    </row>
    <row r="25385" spans="1:6" x14ac:dyDescent="0.25">
      <c r="A25385" s="2" t="str">
        <f t="shared" si="884"/>
        <v>16740</v>
      </c>
      <c r="B25385" s="2" t="str">
        <f>"28689"</f>
        <v>28689</v>
      </c>
      <c r="C25385" s="1">
        <v>5.8321584552589495E-4</v>
      </c>
      <c r="D25385" s="1">
        <v>2.1962334596167501E-4</v>
      </c>
      <c r="E25385" s="1">
        <v>2.3711853555592401E-5</v>
      </c>
      <c r="F25385" s="1">
        <v>5.3648306204164605E-4</v>
      </c>
    </row>
    <row r="25386" spans="1:6" x14ac:dyDescent="0.25">
      <c r="A25386" s="2" t="str">
        <f t="shared" si="884"/>
        <v>16740</v>
      </c>
      <c r="B25386" s="2" t="str">
        <f>"28297"</f>
        <v>28297</v>
      </c>
      <c r="C25386" s="1">
        <v>4.3948886365128003E-4</v>
      </c>
      <c r="D25386" s="1">
        <v>1.7752887131902101E-3</v>
      </c>
      <c r="E25386" s="1">
        <v>2.3711853555592401E-5</v>
      </c>
      <c r="F25386" s="1">
        <v>5.3426923922716898E-4</v>
      </c>
    </row>
    <row r="25387" spans="1:6" x14ac:dyDescent="0.25">
      <c r="A25387" s="2" t="str">
        <f t="shared" si="884"/>
        <v>16740</v>
      </c>
      <c r="B25387" s="2" t="str">
        <f>"28271"</f>
        <v>28271</v>
      </c>
      <c r="C25387" s="1">
        <v>7.2361966018953596E-4</v>
      </c>
      <c r="D25387" s="1">
        <v>5.4539797580482798E-3</v>
      </c>
      <c r="E25387" s="1">
        <v>4.7423707111184801E-5</v>
      </c>
      <c r="F25387" s="1">
        <v>1.08403523815567E-3</v>
      </c>
    </row>
    <row r="25388" spans="1:6" x14ac:dyDescent="0.25">
      <c r="A25388" s="2" t="str">
        <f t="shared" si="884"/>
        <v>16740</v>
      </c>
      <c r="B25388" s="2" t="str">
        <f>"28228"</f>
        <v>28228</v>
      </c>
      <c r="C25388" s="1">
        <v>0</v>
      </c>
      <c r="D25388" s="1">
        <v>0</v>
      </c>
      <c r="E25388" s="1">
        <v>2.3711853555592401E-5</v>
      </c>
      <c r="F25388" s="1">
        <v>7.3794093815907302E-7</v>
      </c>
    </row>
    <row r="25389" spans="1:6" x14ac:dyDescent="0.25">
      <c r="A25389" s="2" t="str">
        <f t="shared" ref="A25389:A25420" si="885">"16740"</f>
        <v>16740</v>
      </c>
      <c r="B25389" s="2" t="str">
        <f>"28231"</f>
        <v>28231</v>
      </c>
      <c r="C25389" s="1">
        <v>1.28772729425233E-4</v>
      </c>
      <c r="D25389" s="1">
        <v>2.0315159501454998E-3</v>
      </c>
      <c r="E25389" s="1">
        <v>2.3711853555592401E-5</v>
      </c>
      <c r="F25389" s="1">
        <v>2.7894167462412902E-4</v>
      </c>
    </row>
    <row r="25390" spans="1:6" x14ac:dyDescent="0.25">
      <c r="A25390" s="2" t="str">
        <f t="shared" si="885"/>
        <v>16740</v>
      </c>
      <c r="B25390" s="2" t="str">
        <f>"28262"</f>
        <v>28262</v>
      </c>
      <c r="C25390" s="1">
        <v>1.8328097960323E-2</v>
      </c>
      <c r="D25390" s="1">
        <v>1.7185526821501099E-2</v>
      </c>
      <c r="E25390" s="1">
        <v>4.2278234889621298E-2</v>
      </c>
      <c r="F25390" s="1">
        <v>1.89813168113276E-2</v>
      </c>
    </row>
    <row r="25391" spans="1:6" x14ac:dyDescent="0.25">
      <c r="A25391" s="2" t="str">
        <f t="shared" si="885"/>
        <v>16740</v>
      </c>
      <c r="B25391" s="2" t="str">
        <f>"28270"</f>
        <v>28270</v>
      </c>
      <c r="C25391" s="1">
        <v>1.1456618959832E-2</v>
      </c>
      <c r="D25391" s="1">
        <v>4.0081260638005801E-3</v>
      </c>
      <c r="E25391" s="1">
        <v>1.40137054513551E-2</v>
      </c>
      <c r="F25391" s="1">
        <v>1.0935546762579299E-2</v>
      </c>
    </row>
    <row r="25392" spans="1:6" x14ac:dyDescent="0.25">
      <c r="A25392" s="2" t="str">
        <f t="shared" si="885"/>
        <v>16740</v>
      </c>
      <c r="B25392" s="2" t="str">
        <f>"28215"</f>
        <v>28215</v>
      </c>
      <c r="C25392" s="1">
        <v>2.04914798146669E-2</v>
      </c>
      <c r="D25392" s="1">
        <v>9.3339922033712098E-3</v>
      </c>
      <c r="E25392" s="1">
        <v>2.1293244492922001E-2</v>
      </c>
      <c r="F25392" s="1">
        <v>1.9616683959082601E-2</v>
      </c>
    </row>
    <row r="25393" spans="1:6" x14ac:dyDescent="0.25">
      <c r="A25393" s="2" t="str">
        <f t="shared" si="885"/>
        <v>16740</v>
      </c>
      <c r="B25393" s="2" t="str">
        <f>"28213"</f>
        <v>28213</v>
      </c>
      <c r="C25393" s="1">
        <v>1.5834060968487201E-2</v>
      </c>
      <c r="D25393" s="1">
        <v>1.1365508153516699E-2</v>
      </c>
      <c r="E25393" s="1">
        <v>3.09202570364925E-2</v>
      </c>
      <c r="F25393" s="1">
        <v>1.5943213968926701E-2</v>
      </c>
    </row>
    <row r="25394" spans="1:6" x14ac:dyDescent="0.25">
      <c r="A25394" s="2" t="str">
        <f t="shared" si="885"/>
        <v>16740</v>
      </c>
      <c r="B25394" s="2" t="str">
        <f>"28090"</f>
        <v>28090</v>
      </c>
      <c r="C25394" s="1">
        <v>1.2046481139779799E-4</v>
      </c>
      <c r="D25394" s="1">
        <v>1.00660700232434E-4</v>
      </c>
      <c r="E25394" s="1">
        <v>0</v>
      </c>
      <c r="F25394" s="1">
        <v>1.1511878635281499E-4</v>
      </c>
    </row>
    <row r="25395" spans="1:6" x14ac:dyDescent="0.25">
      <c r="A25395" s="2" t="str">
        <f t="shared" si="885"/>
        <v>16740</v>
      </c>
      <c r="B25395" s="2" t="str">
        <f>"28088"</f>
        <v>28088</v>
      </c>
      <c r="C25395" s="1">
        <v>1.33342084340322E-3</v>
      </c>
      <c r="D25395" s="1">
        <v>1.0981167298083701E-3</v>
      </c>
      <c r="E25395" s="1">
        <v>9.0105043511251202E-4</v>
      </c>
      <c r="F25395" s="1">
        <v>1.3009898739744399E-3</v>
      </c>
    </row>
    <row r="25396" spans="1:6" x14ac:dyDescent="0.25">
      <c r="A25396" s="2" t="str">
        <f t="shared" si="885"/>
        <v>16740</v>
      </c>
      <c r="B25396" s="2" t="str">
        <f>"28077"</f>
        <v>28077</v>
      </c>
      <c r="C25396" s="1">
        <v>0</v>
      </c>
      <c r="D25396" s="1">
        <v>0</v>
      </c>
      <c r="E25396" s="1">
        <v>2.3711853555592401E-5</v>
      </c>
      <c r="F25396" s="1">
        <v>7.3794093815907302E-7</v>
      </c>
    </row>
    <row r="25397" spans="1:6" x14ac:dyDescent="0.25">
      <c r="A25397" s="2" t="str">
        <f t="shared" si="885"/>
        <v>16740</v>
      </c>
      <c r="B25397" s="2" t="str">
        <f>"28075"</f>
        <v>28075</v>
      </c>
      <c r="C25397" s="1">
        <v>6.6396880875255696E-3</v>
      </c>
      <c r="D25397" s="1">
        <v>8.3914420102856897E-3</v>
      </c>
      <c r="E25397" s="1">
        <v>1.20930453133521E-3</v>
      </c>
      <c r="F25397" s="1">
        <v>6.6119508059052897E-3</v>
      </c>
    </row>
    <row r="25398" spans="1:6" x14ac:dyDescent="0.25">
      <c r="A25398" s="2" t="str">
        <f t="shared" si="885"/>
        <v>16740</v>
      </c>
      <c r="B25398" s="2" t="str">
        <f>"28079"</f>
        <v>28079</v>
      </c>
      <c r="C25398" s="1">
        <v>1.29628444982059E-2</v>
      </c>
      <c r="D25398" s="1">
        <v>1.5693918263511401E-2</v>
      </c>
      <c r="E25398" s="1">
        <v>7.0661323595665399E-3</v>
      </c>
      <c r="F25398" s="1">
        <v>1.29995675666102E-2</v>
      </c>
    </row>
    <row r="25399" spans="1:6" x14ac:dyDescent="0.25">
      <c r="A25399" s="2" t="str">
        <f t="shared" si="885"/>
        <v>16740</v>
      </c>
      <c r="B25399" s="2" t="str">
        <f>"28138"</f>
        <v>28138</v>
      </c>
      <c r="C25399" s="1">
        <v>3.8814593024173501E-3</v>
      </c>
      <c r="D25399" s="1">
        <v>1.1713245117956001E-3</v>
      </c>
      <c r="E25399" s="1">
        <v>6.8764375311217998E-4</v>
      </c>
      <c r="F25399" s="1">
        <v>3.56351679037016E-3</v>
      </c>
    </row>
    <row r="25400" spans="1:6" x14ac:dyDescent="0.25">
      <c r="A25400" s="2" t="str">
        <f t="shared" si="885"/>
        <v>16740</v>
      </c>
      <c r="B25400" s="2" t="str">
        <f>"28108"</f>
        <v>28108</v>
      </c>
      <c r="C25400" s="1">
        <v>0</v>
      </c>
      <c r="D25400" s="1">
        <v>9.1509727484031495E-6</v>
      </c>
      <c r="E25400" s="1">
        <v>0</v>
      </c>
      <c r="F25400" s="1">
        <v>7.3794093815907302E-7</v>
      </c>
    </row>
    <row r="25401" spans="1:6" x14ac:dyDescent="0.25">
      <c r="A25401" s="2" t="str">
        <f t="shared" si="885"/>
        <v>16740</v>
      </c>
      <c r="B25401" s="2" t="str">
        <f>"28105"</f>
        <v>28105</v>
      </c>
      <c r="C25401" s="1">
        <v>1.5138688229590899E-2</v>
      </c>
      <c r="D25401" s="1">
        <v>1.7304489467230299E-2</v>
      </c>
      <c r="E25401" s="1">
        <v>1.8115856116472599E-2</v>
      </c>
      <c r="F25401" s="1">
        <v>1.5405992965946899E-2</v>
      </c>
    </row>
    <row r="25402" spans="1:6" x14ac:dyDescent="0.25">
      <c r="A25402" s="2" t="str">
        <f t="shared" si="885"/>
        <v>16740</v>
      </c>
      <c r="B25402" s="2" t="str">
        <f>"28098"</f>
        <v>28098</v>
      </c>
      <c r="C25402" s="1">
        <v>2.0346091249186802E-3</v>
      </c>
      <c r="D25402" s="1">
        <v>2.2877431871007798E-3</v>
      </c>
      <c r="E25402" s="1">
        <v>2.2052023806700899E-3</v>
      </c>
      <c r="F25402" s="1">
        <v>2.0603310993401302E-3</v>
      </c>
    </row>
    <row r="25403" spans="1:6" x14ac:dyDescent="0.25">
      <c r="A25403" s="2" t="str">
        <f t="shared" si="885"/>
        <v>16740</v>
      </c>
      <c r="B25403" s="2" t="str">
        <f>"28092"</f>
        <v>28092</v>
      </c>
      <c r="C25403" s="1">
        <v>1.44092530267822E-2</v>
      </c>
      <c r="D25403" s="1">
        <v>1.22256995918666E-2</v>
      </c>
      <c r="E25403" s="1">
        <v>3.2722357906717499E-3</v>
      </c>
      <c r="F25403" s="1">
        <v>1.38865725742774E-2</v>
      </c>
    </row>
    <row r="25404" spans="1:6" x14ac:dyDescent="0.25">
      <c r="A25404" s="2" t="str">
        <f t="shared" si="885"/>
        <v>16740</v>
      </c>
      <c r="B25404" s="2" t="str">
        <f>"28110"</f>
        <v>28110</v>
      </c>
      <c r="C25404" s="1">
        <v>1.6806087377696999E-2</v>
      </c>
      <c r="D25404" s="1">
        <v>2.12394077490437E-2</v>
      </c>
      <c r="E25404" s="1">
        <v>1.9680838451141699E-2</v>
      </c>
      <c r="F25404" s="1">
        <v>1.7253059134159102E-2</v>
      </c>
    </row>
    <row r="25405" spans="1:6" x14ac:dyDescent="0.25">
      <c r="A25405" s="2" t="str">
        <f t="shared" si="885"/>
        <v>16740</v>
      </c>
      <c r="B25405" s="2" t="str">
        <f>"28036"</f>
        <v>28036</v>
      </c>
      <c r="C25405" s="1">
        <v>8.2157001373298795E-3</v>
      </c>
      <c r="D25405" s="1">
        <v>7.1103058255092503E-3</v>
      </c>
      <c r="E25405" s="1">
        <v>4.2681336400066296E-3</v>
      </c>
      <c r="F25405" s="1">
        <v>8.0037074152733093E-3</v>
      </c>
    </row>
    <row r="25406" spans="1:6" x14ac:dyDescent="0.25">
      <c r="A25406" s="2" t="str">
        <f t="shared" si="885"/>
        <v>16740</v>
      </c>
      <c r="B25406" s="2" t="str">
        <f>"28023"</f>
        <v>28023</v>
      </c>
      <c r="C25406" s="1">
        <v>5.7291402717187601E-3</v>
      </c>
      <c r="D25406" s="1">
        <v>3.52312450813521E-3</v>
      </c>
      <c r="E25406" s="1">
        <v>2.15777867355891E-3</v>
      </c>
      <c r="F25406" s="1">
        <v>5.4401005961086796E-3</v>
      </c>
    </row>
    <row r="25407" spans="1:6" x14ac:dyDescent="0.25">
      <c r="A25407" s="2" t="str">
        <f t="shared" si="885"/>
        <v>16740</v>
      </c>
      <c r="B25407" s="2" t="str">
        <f>"29715"</f>
        <v>29715</v>
      </c>
      <c r="C25407" s="1">
        <v>1.37869899665273E-2</v>
      </c>
      <c r="D25407" s="1">
        <v>7.8881385091235101E-3</v>
      </c>
      <c r="E25407" s="1">
        <v>8.9630806440139394E-3</v>
      </c>
      <c r="F25407" s="1">
        <v>1.3161176632067E-2</v>
      </c>
    </row>
    <row r="25408" spans="1:6" x14ac:dyDescent="0.25">
      <c r="A25408" s="2" t="str">
        <f t="shared" si="885"/>
        <v>16740</v>
      </c>
      <c r="B25408" s="2" t="str">
        <f>"29708"</f>
        <v>29708</v>
      </c>
      <c r="C25408" s="1">
        <v>1.30243230916089E-2</v>
      </c>
      <c r="D25408" s="1">
        <v>8.8032357839638292E-3</v>
      </c>
      <c r="E25408" s="1">
        <v>9.4847414222369707E-3</v>
      </c>
      <c r="F25408" s="1">
        <v>1.25737756452924E-2</v>
      </c>
    </row>
    <row r="25409" spans="1:6" x14ac:dyDescent="0.25">
      <c r="A25409" s="2" t="str">
        <f t="shared" si="885"/>
        <v>16740</v>
      </c>
      <c r="B25409" s="2" t="str">
        <f>"28280"</f>
        <v>28280</v>
      </c>
      <c r="C25409" s="1">
        <v>0</v>
      </c>
      <c r="D25409" s="1">
        <v>4.5754863742015703E-4</v>
      </c>
      <c r="E25409" s="1">
        <v>7.1135560666777303E-5</v>
      </c>
      <c r="F25409" s="1">
        <v>3.9110869722430803E-5</v>
      </c>
    </row>
    <row r="25410" spans="1:6" x14ac:dyDescent="0.25">
      <c r="A25410" s="2" t="str">
        <f t="shared" si="885"/>
        <v>16740</v>
      </c>
      <c r="B25410" s="2" t="str">
        <f>"28284"</f>
        <v>28284</v>
      </c>
      <c r="C25410" s="1">
        <v>0</v>
      </c>
      <c r="D25410" s="1">
        <v>4.5754863742015703E-4</v>
      </c>
      <c r="E25410" s="1">
        <v>7.1135560666777303E-5</v>
      </c>
      <c r="F25410" s="1">
        <v>3.9110869722430803E-5</v>
      </c>
    </row>
    <row r="25411" spans="1:6" x14ac:dyDescent="0.25">
      <c r="A25411" s="2" t="str">
        <f t="shared" si="885"/>
        <v>16740</v>
      </c>
      <c r="B25411" s="2" t="str">
        <f>"28224"</f>
        <v>28224</v>
      </c>
      <c r="C25411" s="1">
        <v>1.11907655829541E-3</v>
      </c>
      <c r="D25411" s="1">
        <v>4.0538809275425898E-3</v>
      </c>
      <c r="E25411" s="1">
        <v>2.3711853555592401E-5</v>
      </c>
      <c r="F25411" s="1">
        <v>1.3216522202429001E-3</v>
      </c>
    </row>
    <row r="25412" spans="1:6" x14ac:dyDescent="0.25">
      <c r="A25412" s="2" t="str">
        <f t="shared" si="885"/>
        <v>16740</v>
      </c>
      <c r="B25412" s="2" t="str">
        <f>"28256"</f>
        <v>28256</v>
      </c>
      <c r="C25412" s="1">
        <v>1.4680091154476501E-3</v>
      </c>
      <c r="D25412" s="1">
        <v>3.26689727117992E-3</v>
      </c>
      <c r="E25412" s="1">
        <v>2.3711853555592401E-5</v>
      </c>
      <c r="F25412" s="1">
        <v>1.56812449358803E-3</v>
      </c>
    </row>
    <row r="25413" spans="1:6" x14ac:dyDescent="0.25">
      <c r="A25413" s="2" t="str">
        <f t="shared" si="885"/>
        <v>16740</v>
      </c>
      <c r="B25413" s="2" t="str">
        <f>"28227"</f>
        <v>28227</v>
      </c>
      <c r="C25413" s="1">
        <v>2.0028728780538799E-2</v>
      </c>
      <c r="D25413" s="1">
        <v>1.55566536722853E-2</v>
      </c>
      <c r="E25413" s="1">
        <v>1.44879425224669E-2</v>
      </c>
      <c r="F25413" s="1">
        <v>1.94956616452245E-2</v>
      </c>
    </row>
    <row r="25414" spans="1:6" x14ac:dyDescent="0.25">
      <c r="A25414" s="2" t="str">
        <f t="shared" si="885"/>
        <v>16740</v>
      </c>
      <c r="B25414" s="2" t="str">
        <f>"28080"</f>
        <v>28080</v>
      </c>
      <c r="C25414" s="1">
        <v>2.7823217473877801E-3</v>
      </c>
      <c r="D25414" s="1">
        <v>6.0396420139460804E-4</v>
      </c>
      <c r="E25414" s="1">
        <v>2.1340668200033099E-4</v>
      </c>
      <c r="F25414" s="1">
        <v>2.5267097722566599E-3</v>
      </c>
    </row>
    <row r="25415" spans="1:6" x14ac:dyDescent="0.25">
      <c r="A25415" s="2" t="str">
        <f t="shared" si="885"/>
        <v>16740</v>
      </c>
      <c r="B25415" s="2" t="str">
        <f>"28071"</f>
        <v>28071</v>
      </c>
      <c r="C25415" s="1">
        <v>1.1481542713914299E-3</v>
      </c>
      <c r="D25415" s="1">
        <v>2.8368015520049701E-4</v>
      </c>
      <c r="E25415" s="1">
        <v>7.1135560666777303E-5</v>
      </c>
      <c r="F25415" s="1">
        <v>1.0449243684332401E-3</v>
      </c>
    </row>
    <row r="25416" spans="1:6" x14ac:dyDescent="0.25">
      <c r="A25416" s="2" t="str">
        <f t="shared" si="885"/>
        <v>16740</v>
      </c>
      <c r="B25416" s="2" t="str">
        <f>"28145"</f>
        <v>28145</v>
      </c>
      <c r="C25416" s="1">
        <v>1.58348917602899E-3</v>
      </c>
      <c r="D25416" s="1">
        <v>5.1153937663573597E-3</v>
      </c>
      <c r="E25416" s="1">
        <v>4.7423707111184801E-5</v>
      </c>
      <c r="F25416" s="1">
        <v>1.8205002944384301E-3</v>
      </c>
    </row>
    <row r="25417" spans="1:6" x14ac:dyDescent="0.25">
      <c r="A25417" s="2" t="str">
        <f t="shared" si="885"/>
        <v>16740</v>
      </c>
      <c r="B25417" s="2" t="str">
        <f>"28112"</f>
        <v>28112</v>
      </c>
      <c r="C25417" s="1">
        <v>8.96922830241818E-3</v>
      </c>
      <c r="D25417" s="1">
        <v>8.4829517377697193E-3</v>
      </c>
      <c r="E25417" s="1">
        <v>1.32312142840205E-2</v>
      </c>
      <c r="F25417" s="1">
        <v>9.0626526615315804E-3</v>
      </c>
    </row>
    <row r="25418" spans="1:6" x14ac:dyDescent="0.25">
      <c r="A25418" s="2" t="str">
        <f t="shared" si="885"/>
        <v>16740</v>
      </c>
      <c r="B25418" s="2" t="str">
        <f>"28111"</f>
        <v>28111</v>
      </c>
      <c r="C25418" s="1">
        <v>1.56438096456589E-3</v>
      </c>
      <c r="D25418" s="1">
        <v>6.1494536869269199E-3</v>
      </c>
      <c r="E25418" s="1">
        <v>4.7423707111184801E-5</v>
      </c>
      <c r="F25418" s="1">
        <v>1.88691497887275E-3</v>
      </c>
    </row>
    <row r="25419" spans="1:6" x14ac:dyDescent="0.25">
      <c r="A25419" s="2" t="str">
        <f t="shared" si="885"/>
        <v>16740</v>
      </c>
      <c r="B25419" s="2" t="str">
        <f>"28135"</f>
        <v>28135</v>
      </c>
      <c r="C25419" s="1">
        <v>1.30018917129348E-3</v>
      </c>
      <c r="D25419" s="1">
        <v>5.6736031040099499E-4</v>
      </c>
      <c r="E25419" s="1">
        <v>4.0310151044507098E-4</v>
      </c>
      <c r="F25419" s="1">
        <v>1.21317490233351E-3</v>
      </c>
    </row>
    <row r="25420" spans="1:6" x14ac:dyDescent="0.25">
      <c r="A25420" s="2" t="str">
        <f t="shared" si="885"/>
        <v>16740</v>
      </c>
      <c r="B25420" s="2" t="str">
        <f>"28125"</f>
        <v>28125</v>
      </c>
      <c r="C25420" s="1">
        <v>1.1124302238734601E-3</v>
      </c>
      <c r="D25420" s="1">
        <v>2.1962334596167501E-4</v>
      </c>
      <c r="E25420" s="1">
        <v>4.7423707111184801E-5</v>
      </c>
      <c r="F25420" s="1">
        <v>1.0072893805871299E-3</v>
      </c>
    </row>
    <row r="25421" spans="1:6" x14ac:dyDescent="0.25">
      <c r="A25421" s="2" t="str">
        <f t="shared" ref="A25421:A25452" si="886">"16740"</f>
        <v>16740</v>
      </c>
      <c r="B25421" s="2" t="str">
        <f>"28119"</f>
        <v>28119</v>
      </c>
      <c r="C25421" s="1">
        <v>6.8208007005236403E-4</v>
      </c>
      <c r="D25421" s="1">
        <v>9.1509727484031495E-6</v>
      </c>
      <c r="E25421" s="1">
        <v>2.3711853555592401E-5</v>
      </c>
      <c r="F25421" s="1">
        <v>6.0732539210491703E-4</v>
      </c>
    </row>
    <row r="25422" spans="1:6" x14ac:dyDescent="0.25">
      <c r="A25422" s="2" t="str">
        <f t="shared" si="886"/>
        <v>16740</v>
      </c>
      <c r="B25422" s="2" t="str">
        <f>"28106"</f>
        <v>28106</v>
      </c>
      <c r="C25422" s="1">
        <v>1.4688399072504E-3</v>
      </c>
      <c r="D25422" s="1">
        <v>8.1992715825692196E-3</v>
      </c>
      <c r="E25422" s="1">
        <v>2.3711853555592401E-5</v>
      </c>
      <c r="F25422" s="1">
        <v>1.9666126001939301E-3</v>
      </c>
    </row>
    <row r="25423" spans="1:6" x14ac:dyDescent="0.25">
      <c r="A25423" s="2" t="str">
        <f t="shared" si="886"/>
        <v>16740</v>
      </c>
      <c r="B25423" s="2" t="str">
        <f>"28104"</f>
        <v>28104</v>
      </c>
      <c r="C25423" s="1">
        <v>1.0469638298172801E-2</v>
      </c>
      <c r="D25423" s="1">
        <v>5.8291696407327996E-3</v>
      </c>
      <c r="E25423" s="1">
        <v>2.7979987195598998E-3</v>
      </c>
      <c r="F25423" s="1">
        <v>9.8566771109907404E-3</v>
      </c>
    </row>
    <row r="25424" spans="1:6" x14ac:dyDescent="0.25">
      <c r="A25424" s="2" t="str">
        <f t="shared" si="886"/>
        <v>16740</v>
      </c>
      <c r="B25424" s="2" t="str">
        <f>"28031"</f>
        <v>28031</v>
      </c>
      <c r="C25424" s="1">
        <v>1.3026815467017099E-2</v>
      </c>
      <c r="D25424" s="1">
        <v>1.8933362616446101E-2</v>
      </c>
      <c r="E25424" s="1">
        <v>1.8922059137362699E-2</v>
      </c>
      <c r="F25424" s="1">
        <v>1.36865905800363E-2</v>
      </c>
    </row>
    <row r="25425" spans="1:6" x14ac:dyDescent="0.25">
      <c r="A25425" s="2" t="str">
        <f t="shared" si="886"/>
        <v>16740</v>
      </c>
      <c r="B25425" s="2" t="str">
        <f>"27013"</f>
        <v>27013</v>
      </c>
      <c r="C25425" s="1">
        <v>2.3602795115941098E-3</v>
      </c>
      <c r="D25425" s="1">
        <v>9.5170116583392797E-4</v>
      </c>
      <c r="E25425" s="1">
        <v>1.4227112133355401E-4</v>
      </c>
      <c r="F25425" s="1">
        <v>2.1776637085074201E-3</v>
      </c>
    </row>
    <row r="25426" spans="1:6" x14ac:dyDescent="0.25">
      <c r="A25426" s="2" t="str">
        <f t="shared" si="886"/>
        <v>16740</v>
      </c>
      <c r="B25426" s="2" t="str">
        <f>"29717"</f>
        <v>29717</v>
      </c>
      <c r="C25426" s="1">
        <v>5.4915338161341397E-4</v>
      </c>
      <c r="D25426" s="1">
        <v>2.56227236955288E-4</v>
      </c>
      <c r="E25426" s="1">
        <v>0</v>
      </c>
      <c r="F25426" s="1">
        <v>5.0844130639160099E-4</v>
      </c>
    </row>
    <row r="25427" spans="1:6" x14ac:dyDescent="0.25">
      <c r="A25427" s="2" t="str">
        <f t="shared" si="886"/>
        <v>16740</v>
      </c>
      <c r="B25427" s="2" t="str">
        <f>"29733"</f>
        <v>29733</v>
      </c>
      <c r="C25427" s="1">
        <v>0</v>
      </c>
      <c r="D25427" s="1">
        <v>9.1509727484031495E-6</v>
      </c>
      <c r="E25427" s="1">
        <v>0</v>
      </c>
      <c r="F25427" s="1">
        <v>7.3794093815907302E-7</v>
      </c>
    </row>
    <row r="25428" spans="1:6" x14ac:dyDescent="0.25">
      <c r="A25428" s="2" t="str">
        <f t="shared" si="886"/>
        <v>16740</v>
      </c>
      <c r="B25428" s="2" t="str">
        <f>"29730"</f>
        <v>29730</v>
      </c>
      <c r="C25428" s="1">
        <v>2.16628962565352E-2</v>
      </c>
      <c r="D25428" s="1">
        <v>2.1065539266824002E-2</v>
      </c>
      <c r="E25428" s="1">
        <v>2.6296445593152001E-2</v>
      </c>
      <c r="F25428" s="1">
        <v>2.1758926502558399E-2</v>
      </c>
    </row>
    <row r="25429" spans="1:6" x14ac:dyDescent="0.25">
      <c r="A25429" s="2" t="str">
        <f t="shared" si="886"/>
        <v>16740</v>
      </c>
      <c r="B25429" s="2" t="str">
        <f>"28673"</f>
        <v>28673</v>
      </c>
      <c r="C25429" s="1">
        <v>5.8155426192040801E-5</v>
      </c>
      <c r="D25429" s="1">
        <v>0</v>
      </c>
      <c r="E25429" s="1">
        <v>0</v>
      </c>
      <c r="F25429" s="1">
        <v>5.1655865671135103E-5</v>
      </c>
    </row>
    <row r="25430" spans="1:6" x14ac:dyDescent="0.25">
      <c r="A25430" s="2" t="str">
        <f t="shared" si="886"/>
        <v>16740</v>
      </c>
      <c r="B25430" s="2" t="str">
        <f>"28660"</f>
        <v>28660</v>
      </c>
      <c r="C25430" s="1">
        <v>8.4906922240379605E-4</v>
      </c>
      <c r="D25430" s="1">
        <v>1.4641556397445001E-4</v>
      </c>
      <c r="E25430" s="1">
        <v>2.3711853555592401E-5</v>
      </c>
      <c r="F25430" s="1">
        <v>7.6672063474727702E-4</v>
      </c>
    </row>
    <row r="25431" spans="1:6" x14ac:dyDescent="0.25">
      <c r="A25431" s="2" t="str">
        <f t="shared" si="886"/>
        <v>16740</v>
      </c>
      <c r="B25431" s="2" t="str">
        <f>"28636"</f>
        <v>28636</v>
      </c>
      <c r="C25431" s="1">
        <v>6.8124927824962097E-5</v>
      </c>
      <c r="D25431" s="1">
        <v>9.1509727484031495E-6</v>
      </c>
      <c r="E25431" s="1">
        <v>0</v>
      </c>
      <c r="F25431" s="1">
        <v>6.1249097867203093E-5</v>
      </c>
    </row>
    <row r="25432" spans="1:6" x14ac:dyDescent="0.25">
      <c r="A25432" s="2" t="str">
        <f t="shared" si="886"/>
        <v>16740</v>
      </c>
      <c r="B25432" s="2" t="str">
        <f>"28288"</f>
        <v>28288</v>
      </c>
      <c r="C25432" s="1">
        <v>0</v>
      </c>
      <c r="D25432" s="1">
        <v>9.1509727484031495E-6</v>
      </c>
      <c r="E25432" s="1">
        <v>0</v>
      </c>
      <c r="F25432" s="1">
        <v>7.3794093815907302E-7</v>
      </c>
    </row>
    <row r="25433" spans="1:6" x14ac:dyDescent="0.25">
      <c r="A25433" s="2" t="str">
        <f t="shared" si="886"/>
        <v>16740</v>
      </c>
      <c r="B25433" s="2" t="str">
        <f>"28211"</f>
        <v>28211</v>
      </c>
      <c r="C25433" s="1">
        <v>1.2463538624756999E-2</v>
      </c>
      <c r="D25433" s="1">
        <v>1.14844707992459E-2</v>
      </c>
      <c r="E25433" s="1">
        <v>2.7932563488487799E-2</v>
      </c>
      <c r="F25433" s="1">
        <v>1.28660002568034E-2</v>
      </c>
    </row>
    <row r="25434" spans="1:6" x14ac:dyDescent="0.25">
      <c r="A25434" s="2" t="str">
        <f t="shared" si="886"/>
        <v>16740</v>
      </c>
      <c r="B25434" s="2" t="str">
        <f>"28209"</f>
        <v>28209</v>
      </c>
      <c r="C25434" s="1">
        <v>1.12887990156778E-2</v>
      </c>
      <c r="D25434" s="1">
        <v>1.1539376635736299E-2</v>
      </c>
      <c r="E25434" s="1">
        <v>2.3142769070258199E-2</v>
      </c>
      <c r="F25434" s="1">
        <v>1.16779153463673E-2</v>
      </c>
    </row>
    <row r="25435" spans="1:6" x14ac:dyDescent="0.25">
      <c r="A25435" s="2" t="str">
        <f t="shared" si="886"/>
        <v>16740</v>
      </c>
      <c r="B25435" s="2" t="str">
        <f>"28206"</f>
        <v>28206</v>
      </c>
      <c r="C25435" s="1">
        <v>5.7656951110394697E-3</v>
      </c>
      <c r="D25435" s="1">
        <v>1.4980142389135901E-2</v>
      </c>
      <c r="E25435" s="1">
        <v>1.7665330898916299E-2</v>
      </c>
      <c r="F25435" s="1">
        <v>6.8790854255188797E-3</v>
      </c>
    </row>
    <row r="25436" spans="1:6" x14ac:dyDescent="0.25">
      <c r="A25436" s="2" t="str">
        <f t="shared" si="886"/>
        <v>16740</v>
      </c>
      <c r="B25436" s="2" t="str">
        <f>"28278"</f>
        <v>28278</v>
      </c>
      <c r="C25436" s="1">
        <v>1.17000409580358E-2</v>
      </c>
      <c r="D25436" s="1">
        <v>6.1494536869269199E-3</v>
      </c>
      <c r="E25436" s="1">
        <v>4.6712351504517103E-3</v>
      </c>
      <c r="F25436" s="1">
        <v>1.1033692907354399E-2</v>
      </c>
    </row>
    <row r="25437" spans="1:6" x14ac:dyDescent="0.25">
      <c r="A25437" s="2" t="str">
        <f t="shared" si="886"/>
        <v>16740</v>
      </c>
      <c r="B25437" s="2" t="str">
        <f>"28226"</f>
        <v>28226</v>
      </c>
      <c r="C25437" s="1">
        <v>1.46859066970958E-2</v>
      </c>
      <c r="D25437" s="1">
        <v>1.1118431889309799E-2</v>
      </c>
      <c r="E25437" s="1">
        <v>1.9182889526474199E-2</v>
      </c>
      <c r="F25437" s="1">
        <v>1.45381744226719E-2</v>
      </c>
    </row>
    <row r="25438" spans="1:6" x14ac:dyDescent="0.25">
      <c r="A25438" s="2" t="str">
        <f t="shared" si="886"/>
        <v>16740</v>
      </c>
      <c r="B25438" s="2" t="str">
        <f>"28203"</f>
        <v>28203</v>
      </c>
      <c r="C25438" s="1">
        <v>9.96950163292128E-3</v>
      </c>
      <c r="D25438" s="1">
        <v>1.6041655227950698E-2</v>
      </c>
      <c r="E25438" s="1">
        <v>1.7617907191805102E-2</v>
      </c>
      <c r="F25438" s="1">
        <v>1.06971918395539E-2</v>
      </c>
    </row>
    <row r="25439" spans="1:6" x14ac:dyDescent="0.25">
      <c r="A25439" s="2" t="str">
        <f t="shared" si="886"/>
        <v>16740</v>
      </c>
      <c r="B25439" s="2" t="str">
        <f>"28055"</f>
        <v>28055</v>
      </c>
      <c r="C25439" s="1">
        <v>5.2506041933385404E-4</v>
      </c>
      <c r="D25439" s="1">
        <v>2.4616116693204401E-3</v>
      </c>
      <c r="E25439" s="1">
        <v>2.3711853555592401E-5</v>
      </c>
      <c r="F25439" s="1">
        <v>6.6562272621948401E-4</v>
      </c>
    </row>
    <row r="25440" spans="1:6" x14ac:dyDescent="0.25">
      <c r="A25440" s="2" t="str">
        <f t="shared" si="886"/>
        <v>16740</v>
      </c>
      <c r="B25440" s="2" t="str">
        <f>"28115"</f>
        <v>28115</v>
      </c>
      <c r="C25440" s="1">
        <v>1.53239548016027E-2</v>
      </c>
      <c r="D25440" s="1">
        <v>1.4522593751715799E-2</v>
      </c>
      <c r="E25440" s="1">
        <v>1.1429113413795501E-2</v>
      </c>
      <c r="F25440" s="1">
        <v>1.51381204053952E-2</v>
      </c>
    </row>
    <row r="25441" spans="1:6" x14ac:dyDescent="0.25">
      <c r="A25441" s="2" t="str">
        <f t="shared" si="886"/>
        <v>16740</v>
      </c>
      <c r="B25441" s="2" t="str">
        <f>"28127"</f>
        <v>28127</v>
      </c>
      <c r="C25441" s="1">
        <v>1.6615836054868801E-6</v>
      </c>
      <c r="D25441" s="1">
        <v>0</v>
      </c>
      <c r="E25441" s="1">
        <v>0</v>
      </c>
      <c r="F25441" s="1">
        <v>1.4758818763181401E-6</v>
      </c>
    </row>
    <row r="25442" spans="1:6" x14ac:dyDescent="0.25">
      <c r="A25442" s="2" t="str">
        <f t="shared" si="886"/>
        <v>16740</v>
      </c>
      <c r="B25442" s="2" t="str">
        <f>"28133"</f>
        <v>28133</v>
      </c>
      <c r="C25442" s="1">
        <v>1.2029865303724999E-3</v>
      </c>
      <c r="D25442" s="1">
        <v>1.55566536722853E-4</v>
      </c>
      <c r="E25442" s="1">
        <v>0</v>
      </c>
      <c r="F25442" s="1">
        <v>1.0810834744030399E-3</v>
      </c>
    </row>
    <row r="25443" spans="1:6" x14ac:dyDescent="0.25">
      <c r="A25443" s="2" t="str">
        <f t="shared" si="886"/>
        <v>16740</v>
      </c>
      <c r="B25443" s="2" t="str">
        <f>"28130"</f>
        <v>28130</v>
      </c>
      <c r="C25443" s="1">
        <v>4.0958035875251602E-4</v>
      </c>
      <c r="D25443" s="1">
        <v>2.0223649773970899E-3</v>
      </c>
      <c r="E25443" s="1">
        <v>4.7423707111184801E-5</v>
      </c>
      <c r="F25443" s="1">
        <v>5.2836571172189598E-4</v>
      </c>
    </row>
    <row r="25444" spans="1:6" x14ac:dyDescent="0.25">
      <c r="A25444" s="2" t="str">
        <f t="shared" si="886"/>
        <v>16740</v>
      </c>
      <c r="B25444" s="2" t="str">
        <f>"28052"</f>
        <v>28052</v>
      </c>
      <c r="C25444" s="1">
        <v>1.3407318112673599E-2</v>
      </c>
      <c r="D25444" s="1">
        <v>1.47056132066838E-2</v>
      </c>
      <c r="E25444" s="1">
        <v>1.27332653593531E-2</v>
      </c>
      <c r="F25444" s="1">
        <v>1.34910362314241E-2</v>
      </c>
    </row>
    <row r="25445" spans="1:6" x14ac:dyDescent="0.25">
      <c r="A25445" s="2" t="str">
        <f t="shared" si="886"/>
        <v>16740</v>
      </c>
      <c r="B25445" s="2" t="str">
        <f>"28037"</f>
        <v>28037</v>
      </c>
      <c r="C25445" s="1">
        <v>9.5914913626730207E-3</v>
      </c>
      <c r="D25445" s="1">
        <v>1.1246545507787401E-2</v>
      </c>
      <c r="E25445" s="1">
        <v>3.6753373011168202E-3</v>
      </c>
      <c r="F25445" s="1">
        <v>9.5408383894586592E-3</v>
      </c>
    </row>
    <row r="25446" spans="1:6" x14ac:dyDescent="0.25">
      <c r="A25446" s="2" t="str">
        <f t="shared" si="886"/>
        <v>16740</v>
      </c>
      <c r="B25446" s="2" t="str">
        <f>"28101"</f>
        <v>28101</v>
      </c>
      <c r="C25446" s="1">
        <v>6.9620353069900303E-4</v>
      </c>
      <c r="D25446" s="1">
        <v>5.0330350116217304E-4</v>
      </c>
      <c r="E25446" s="1">
        <v>2.3711853555592401E-5</v>
      </c>
      <c r="F25446" s="1">
        <v>6.5971919871421101E-4</v>
      </c>
    </row>
    <row r="25447" spans="1:6" x14ac:dyDescent="0.25">
      <c r="A25447" s="2" t="str">
        <f t="shared" si="886"/>
        <v>16740</v>
      </c>
      <c r="B25447" s="2" t="str">
        <f>"28026"</f>
        <v>28026</v>
      </c>
      <c r="C25447" s="1">
        <v>7.2445045199228005E-4</v>
      </c>
      <c r="D25447" s="1">
        <v>4.3009571917494802E-3</v>
      </c>
      <c r="E25447" s="1">
        <v>2.3711853555592401E-5</v>
      </c>
      <c r="F25447" s="1">
        <v>9.9105467994763498E-4</v>
      </c>
    </row>
    <row r="25448" spans="1:6" x14ac:dyDescent="0.25">
      <c r="A25448" s="2" t="str">
        <f t="shared" si="886"/>
        <v>16740</v>
      </c>
      <c r="B25448" s="2" t="str">
        <f>"28010"</f>
        <v>28010</v>
      </c>
      <c r="C25448" s="1">
        <v>0</v>
      </c>
      <c r="D25448" s="1">
        <v>0</v>
      </c>
      <c r="E25448" s="1">
        <v>2.3711853555592401E-5</v>
      </c>
      <c r="F25448" s="1">
        <v>7.3794093815907302E-7</v>
      </c>
    </row>
    <row r="25449" spans="1:6" x14ac:dyDescent="0.25">
      <c r="A25449" s="2" t="str">
        <f t="shared" si="886"/>
        <v>16740</v>
      </c>
      <c r="B25449" s="2" t="str">
        <f>"28006"</f>
        <v>28006</v>
      </c>
      <c r="C25449" s="1">
        <v>3.6056364239065298E-4</v>
      </c>
      <c r="D25449" s="1">
        <v>0</v>
      </c>
      <c r="E25449" s="1">
        <v>0</v>
      </c>
      <c r="F25449" s="1">
        <v>3.2026636716103702E-4</v>
      </c>
    </row>
    <row r="25450" spans="1:6" x14ac:dyDescent="0.25">
      <c r="A25450" s="2" t="str">
        <f t="shared" si="886"/>
        <v>16740</v>
      </c>
      <c r="B25450" s="2" t="str">
        <f>"28012"</f>
        <v>28012</v>
      </c>
      <c r="C25450" s="1">
        <v>1.0359142988407901E-2</v>
      </c>
      <c r="D25450" s="1">
        <v>9.3156902578744108E-3</v>
      </c>
      <c r="E25450" s="1">
        <v>6.3784886064543597E-3</v>
      </c>
      <c r="F25450" s="1">
        <v>1.0151115545316201E-2</v>
      </c>
    </row>
    <row r="25451" spans="1:6" x14ac:dyDescent="0.25">
      <c r="A25451" s="2" t="str">
        <f t="shared" si="886"/>
        <v>16740</v>
      </c>
      <c r="B25451" s="2" t="str">
        <f>"29729"</f>
        <v>29729</v>
      </c>
      <c r="C25451" s="1">
        <v>8.5986951583946097E-4</v>
      </c>
      <c r="D25451" s="1">
        <v>1.1164186753051799E-3</v>
      </c>
      <c r="E25451" s="1">
        <v>1.8969482844473899E-4</v>
      </c>
      <c r="F25451" s="1">
        <v>8.5970119295531995E-4</v>
      </c>
    </row>
    <row r="25452" spans="1:6" x14ac:dyDescent="0.25">
      <c r="A25452" s="2" t="str">
        <f t="shared" si="886"/>
        <v>16740</v>
      </c>
      <c r="B25452" s="2" t="str">
        <f>"29718"</f>
        <v>29718</v>
      </c>
      <c r="C25452" s="1">
        <v>3.6554839320711303E-5</v>
      </c>
      <c r="D25452" s="1">
        <v>1.8301945496806299E-5</v>
      </c>
      <c r="E25452" s="1">
        <v>0</v>
      </c>
      <c r="F25452" s="1">
        <v>3.3945283155317303E-5</v>
      </c>
    </row>
    <row r="25453" spans="1:6" x14ac:dyDescent="0.25">
      <c r="A25453" s="2" t="str">
        <f t="shared" ref="A25453:A25484" si="887">"16740"</f>
        <v>16740</v>
      </c>
      <c r="B25453" s="2" t="str">
        <f>"29704"</f>
        <v>29704</v>
      </c>
      <c r="C25453" s="1">
        <v>1.36582172371021E-3</v>
      </c>
      <c r="D25453" s="1">
        <v>3.0198210069730402E-4</v>
      </c>
      <c r="E25453" s="1">
        <v>4.7423707111184801E-5</v>
      </c>
      <c r="F25453" s="1">
        <v>1.2390028351690801E-3</v>
      </c>
    </row>
    <row r="25454" spans="1:6" x14ac:dyDescent="0.25">
      <c r="A25454" s="2" t="str">
        <f t="shared" si="887"/>
        <v>16740</v>
      </c>
      <c r="B25454" s="2" t="str">
        <f>"29055"</f>
        <v>29055</v>
      </c>
      <c r="C25454" s="1">
        <v>1.5078871219793399E-3</v>
      </c>
      <c r="D25454" s="1">
        <v>1.68377898570618E-3</v>
      </c>
      <c r="E25454" s="1">
        <v>3.0825409622270102E-4</v>
      </c>
      <c r="F25454" s="1">
        <v>1.4847371675760499E-3</v>
      </c>
    </row>
    <row r="25455" spans="1:6" x14ac:dyDescent="0.25">
      <c r="A25455" s="2" t="str">
        <f t="shared" si="887"/>
        <v>16740</v>
      </c>
      <c r="B25455" s="2" t="str">
        <f>"28687"</f>
        <v>28687</v>
      </c>
      <c r="C25455" s="1">
        <v>1.8343883004575099E-3</v>
      </c>
      <c r="D25455" s="1">
        <v>5.7742638042423897E-3</v>
      </c>
      <c r="E25455" s="1">
        <v>4.7423707111184801E-5</v>
      </c>
      <c r="F25455" s="1">
        <v>2.09649020530992E-3</v>
      </c>
    </row>
    <row r="25456" spans="1:6" x14ac:dyDescent="0.25">
      <c r="A25456" s="2" t="str">
        <f t="shared" si="887"/>
        <v>16740</v>
      </c>
      <c r="B25456" s="2" t="str">
        <f>"28220"</f>
        <v>28220</v>
      </c>
      <c r="C25456" s="1">
        <v>5.8820059634235602E-4</v>
      </c>
      <c r="D25456" s="1">
        <v>4.4016178919819102E-3</v>
      </c>
      <c r="E25456" s="1">
        <v>2.3711853555592401E-5</v>
      </c>
      <c r="F25456" s="1">
        <v>8.7814971640929696E-4</v>
      </c>
    </row>
    <row r="25457" spans="1:6" x14ac:dyDescent="0.25">
      <c r="A25457" s="2" t="str">
        <f t="shared" si="887"/>
        <v>16740</v>
      </c>
      <c r="B25457" s="2" t="str">
        <f>"28230"</f>
        <v>28230</v>
      </c>
      <c r="C25457" s="1">
        <v>1.5203489990204901E-4</v>
      </c>
      <c r="D25457" s="1">
        <v>1.91255330441625E-3</v>
      </c>
      <c r="E25457" s="1">
        <v>2.3711853555592401E-5</v>
      </c>
      <c r="F25457" s="1">
        <v>2.9001078869651499E-4</v>
      </c>
    </row>
    <row r="25458" spans="1:6" x14ac:dyDescent="0.25">
      <c r="A25458" s="2" t="str">
        <f t="shared" si="887"/>
        <v>16740</v>
      </c>
      <c r="B25458" s="2" t="str">
        <f>"28247"</f>
        <v>28247</v>
      </c>
      <c r="C25458" s="1">
        <v>9.6122611577416004E-4</v>
      </c>
      <c r="D25458" s="1">
        <v>5.3899229488094504E-3</v>
      </c>
      <c r="E25458" s="1">
        <v>4.7423707111184801E-5</v>
      </c>
      <c r="F25458" s="1">
        <v>1.2899207599020601E-3</v>
      </c>
    </row>
    <row r="25459" spans="1:6" x14ac:dyDescent="0.25">
      <c r="A25459" s="2" t="str">
        <f t="shared" si="887"/>
        <v>16740</v>
      </c>
      <c r="B25459" s="2" t="str">
        <f>"28202"</f>
        <v>28202</v>
      </c>
      <c r="C25459" s="1">
        <v>1.05959186521898E-2</v>
      </c>
      <c r="D25459" s="1">
        <v>1.5428540053807701E-2</v>
      </c>
      <c r="E25459" s="1">
        <v>1.5033315154245599E-2</v>
      </c>
      <c r="F25459" s="1">
        <v>1.1123721701809801E-2</v>
      </c>
    </row>
    <row r="25460" spans="1:6" x14ac:dyDescent="0.25">
      <c r="A25460" s="2" t="str">
        <f t="shared" si="887"/>
        <v>16740</v>
      </c>
      <c r="B25460" s="2" t="str">
        <f>"28214"</f>
        <v>28214</v>
      </c>
      <c r="C25460" s="1">
        <v>1.43402973071545E-2</v>
      </c>
      <c r="D25460" s="1">
        <v>4.9872801478797104E-3</v>
      </c>
      <c r="E25460" s="1">
        <v>3.5330661797832699E-3</v>
      </c>
      <c r="F25460" s="1">
        <v>1.3249729544646101E-2</v>
      </c>
    </row>
    <row r="25461" spans="1:6" x14ac:dyDescent="0.25">
      <c r="A25461" s="2" t="str">
        <f t="shared" si="887"/>
        <v>16740</v>
      </c>
      <c r="B25461" s="2" t="str">
        <f>"28216"</f>
        <v>28216</v>
      </c>
      <c r="C25461" s="1">
        <v>2.0642683922766199E-2</v>
      </c>
      <c r="D25461" s="1">
        <v>1.72495836307399E-2</v>
      </c>
      <c r="E25461" s="1">
        <v>2.2455125317146E-2</v>
      </c>
      <c r="F25461" s="1">
        <v>2.04254672273049E-2</v>
      </c>
    </row>
    <row r="25462" spans="1:6" x14ac:dyDescent="0.25">
      <c r="A25462" s="2" t="str">
        <f t="shared" si="887"/>
        <v>16740</v>
      </c>
      <c r="B25462" s="2" t="str">
        <f>"28086"</f>
        <v>28086</v>
      </c>
      <c r="C25462" s="1">
        <v>1.58764313504271E-3</v>
      </c>
      <c r="D25462" s="1">
        <v>5.7651128314939795E-4</v>
      </c>
      <c r="E25462" s="1">
        <v>4.2681336400066301E-4</v>
      </c>
      <c r="F25462" s="1">
        <v>1.4699783488128699E-3</v>
      </c>
    </row>
    <row r="25463" spans="1:6" x14ac:dyDescent="0.25">
      <c r="A25463" s="2" t="str">
        <f t="shared" si="887"/>
        <v>16740</v>
      </c>
      <c r="B25463" s="2" t="str">
        <f>"28083"</f>
        <v>28083</v>
      </c>
      <c r="C25463" s="1">
        <v>9.5383206872974406E-3</v>
      </c>
      <c r="D25463" s="1">
        <v>8.8032357839638292E-3</v>
      </c>
      <c r="E25463" s="1">
        <v>3.3433713513385298E-3</v>
      </c>
      <c r="F25463" s="1">
        <v>9.2862487657937795E-3</v>
      </c>
    </row>
    <row r="25464" spans="1:6" x14ac:dyDescent="0.25">
      <c r="A25464" s="2" t="str">
        <f t="shared" si="887"/>
        <v>16740</v>
      </c>
      <c r="B25464" s="2" t="str">
        <f>"28072"</f>
        <v>28072</v>
      </c>
      <c r="C25464" s="1">
        <v>9.1470177482052802E-4</v>
      </c>
      <c r="D25464" s="1">
        <v>9.5170116583392797E-4</v>
      </c>
      <c r="E25464" s="1">
        <v>4.7423707111184801E-5</v>
      </c>
      <c r="F25464" s="1">
        <v>8.9069471235800096E-4</v>
      </c>
    </row>
    <row r="25465" spans="1:6" x14ac:dyDescent="0.25">
      <c r="A25465" s="2" t="str">
        <f t="shared" si="887"/>
        <v>16740</v>
      </c>
      <c r="B25465" s="2" t="str">
        <f>"28144"</f>
        <v>28144</v>
      </c>
      <c r="C25465" s="1">
        <v>9.8066664395835695E-3</v>
      </c>
      <c r="D25465" s="1">
        <v>1.43761781877413E-2</v>
      </c>
      <c r="E25465" s="1">
        <v>1.72622293884712E-2</v>
      </c>
      <c r="F25465" s="1">
        <v>1.04071810508574E-2</v>
      </c>
    </row>
    <row r="25466" spans="1:6" x14ac:dyDescent="0.25">
      <c r="A25466" s="2" t="str">
        <f t="shared" si="887"/>
        <v>16740</v>
      </c>
      <c r="B25466" s="2" t="str">
        <f>"28137"</f>
        <v>28137</v>
      </c>
      <c r="C25466" s="1">
        <v>3.3314751290011902E-4</v>
      </c>
      <c r="D25466" s="1">
        <v>8.2358754735628297E-5</v>
      </c>
      <c r="E25466" s="1">
        <v>2.3711853555592401E-5</v>
      </c>
      <c r="F25466" s="1">
        <v>3.0329372558337902E-4</v>
      </c>
    </row>
    <row r="25467" spans="1:6" x14ac:dyDescent="0.25">
      <c r="A25467" s="2" t="str">
        <f t="shared" si="887"/>
        <v>16740</v>
      </c>
      <c r="B25467" s="2" t="str">
        <f>"29726"</f>
        <v>29726</v>
      </c>
      <c r="C25467" s="1">
        <v>6.1312435042465896E-4</v>
      </c>
      <c r="D25467" s="1">
        <v>1.64717509471256E-4</v>
      </c>
      <c r="E25467" s="1">
        <v>0</v>
      </c>
      <c r="F25467" s="1">
        <v>5.5788334924825901E-4</v>
      </c>
    </row>
    <row r="25468" spans="1:6" x14ac:dyDescent="0.25">
      <c r="A25468" s="2" t="str">
        <f t="shared" si="887"/>
        <v>16740</v>
      </c>
      <c r="B25468" s="2" t="str">
        <f>"29710"</f>
        <v>29710</v>
      </c>
      <c r="C25468" s="1">
        <v>1.54859592031377E-2</v>
      </c>
      <c r="D25468" s="1">
        <v>1.0084371968740201E-2</v>
      </c>
      <c r="E25468" s="1">
        <v>8.3702843051241295E-3</v>
      </c>
      <c r="F25468" s="1">
        <v>1.48289231523065E-2</v>
      </c>
    </row>
    <row r="25469" spans="1:6" x14ac:dyDescent="0.25">
      <c r="A25469" s="2" t="str">
        <f t="shared" si="887"/>
        <v>16740</v>
      </c>
      <c r="B25469" s="2" t="str">
        <f>"29734"</f>
        <v>29734</v>
      </c>
      <c r="C25469" s="1">
        <v>0</v>
      </c>
      <c r="D25469" s="1">
        <v>9.1509727484031495E-6</v>
      </c>
      <c r="E25469" s="1">
        <v>2.3711853555592401E-5</v>
      </c>
      <c r="F25469" s="1">
        <v>1.4758818763181401E-6</v>
      </c>
    </row>
    <row r="25470" spans="1:6" x14ac:dyDescent="0.25">
      <c r="A25470" s="2" t="str">
        <f t="shared" si="887"/>
        <v>16740</v>
      </c>
      <c r="B25470" s="2" t="str">
        <f>"29742"</f>
        <v>29742</v>
      </c>
      <c r="C25470" s="1">
        <v>9.986117468976151E-4</v>
      </c>
      <c r="D25470" s="1">
        <v>3.7518988268452899E-4</v>
      </c>
      <c r="E25470" s="1">
        <v>1.8969482844473899E-4</v>
      </c>
      <c r="F25470" s="1">
        <v>9.2316411363699996E-4</v>
      </c>
    </row>
    <row r="25471" spans="1:6" x14ac:dyDescent="0.25">
      <c r="A25471" s="2" t="str">
        <f t="shared" si="887"/>
        <v>16740</v>
      </c>
      <c r="B25471" s="2" t="str">
        <f>"29014"</f>
        <v>29014</v>
      </c>
      <c r="C25471" s="1">
        <v>4.8933637181588596E-4</v>
      </c>
      <c r="D25471" s="1">
        <v>1.4641556397445001E-4</v>
      </c>
      <c r="E25471" s="1">
        <v>0</v>
      </c>
      <c r="F25471" s="1">
        <v>4.4645426758623902E-4</v>
      </c>
    </row>
    <row r="25472" spans="1:6" x14ac:dyDescent="0.25">
      <c r="A25472" s="2" t="str">
        <f t="shared" si="887"/>
        <v>16740</v>
      </c>
      <c r="B25472" s="2" t="str">
        <f>"28699"</f>
        <v>28699</v>
      </c>
      <c r="C25472" s="1">
        <v>0</v>
      </c>
      <c r="D25472" s="1">
        <v>9.1509727484031495E-6</v>
      </c>
      <c r="E25472" s="1">
        <v>0</v>
      </c>
      <c r="F25472" s="1">
        <v>7.3794093815907302E-7</v>
      </c>
    </row>
    <row r="25473" spans="1:6" x14ac:dyDescent="0.25">
      <c r="A25473" s="2" t="str">
        <f t="shared" si="887"/>
        <v>16740</v>
      </c>
      <c r="B25473" s="2" t="str">
        <f>"28208"</f>
        <v>28208</v>
      </c>
      <c r="C25473" s="1">
        <v>1.49633911592121E-2</v>
      </c>
      <c r="D25473" s="1">
        <v>2.11021431578176E-2</v>
      </c>
      <c r="E25473" s="1">
        <v>4.1282337040286401E-2</v>
      </c>
      <c r="F25473" s="1">
        <v>1.62775012139128E-2</v>
      </c>
    </row>
    <row r="25474" spans="1:6" x14ac:dyDescent="0.25">
      <c r="A25474" s="2" t="str">
        <f t="shared" si="887"/>
        <v>16740</v>
      </c>
      <c r="B25474" s="2" t="str">
        <f>"28273"</f>
        <v>28273</v>
      </c>
      <c r="C25474" s="1">
        <v>1.44890090398456E-2</v>
      </c>
      <c r="D25474" s="1">
        <v>2.0104687128241702E-2</v>
      </c>
      <c r="E25474" s="1">
        <v>2.8525359827377701E-2</v>
      </c>
      <c r="F25474" s="1">
        <v>1.5378689151234999E-2</v>
      </c>
    </row>
    <row r="25475" spans="1:6" x14ac:dyDescent="0.25">
      <c r="A25475" s="2" t="str">
        <f t="shared" si="887"/>
        <v>16740</v>
      </c>
      <c r="B25475" s="2" t="str">
        <f>"28223"</f>
        <v>28223</v>
      </c>
      <c r="C25475" s="1">
        <v>0</v>
      </c>
      <c r="D25475" s="1">
        <v>1.8301945496806299E-5</v>
      </c>
      <c r="E25475" s="1">
        <v>0</v>
      </c>
      <c r="F25475" s="1">
        <v>1.4758818763181401E-6</v>
      </c>
    </row>
    <row r="25476" spans="1:6" x14ac:dyDescent="0.25">
      <c r="A25476" s="2" t="str">
        <f t="shared" si="887"/>
        <v>16740</v>
      </c>
      <c r="B25476" s="2" t="str">
        <f>"28221"</f>
        <v>28221</v>
      </c>
      <c r="C25476" s="1">
        <v>6.5466394056183099E-4</v>
      </c>
      <c r="D25476" s="1">
        <v>1.9857610864034798E-3</v>
      </c>
      <c r="E25476" s="1">
        <v>2.3711853555592401E-5</v>
      </c>
      <c r="F25476" s="1">
        <v>7.4236858378802701E-4</v>
      </c>
    </row>
    <row r="25477" spans="1:6" x14ac:dyDescent="0.25">
      <c r="A25477" s="2" t="str">
        <f t="shared" si="887"/>
        <v>16740</v>
      </c>
      <c r="B25477" s="2" t="str">
        <f>"28237"</f>
        <v>28237</v>
      </c>
      <c r="C25477" s="1">
        <v>9.9695016329212803E-5</v>
      </c>
      <c r="D25477" s="1">
        <v>2.2877431871007798E-3</v>
      </c>
      <c r="E25477" s="1">
        <v>2.3711853555592401E-5</v>
      </c>
      <c r="F25477" s="1">
        <v>2.7377608805701599E-4</v>
      </c>
    </row>
    <row r="25478" spans="1:6" x14ac:dyDescent="0.25">
      <c r="A25478" s="2" t="str">
        <f t="shared" si="887"/>
        <v>16740</v>
      </c>
      <c r="B25478" s="2" t="str">
        <f>"28269"</f>
        <v>28269</v>
      </c>
      <c r="C25478" s="1">
        <v>2.78431564771436E-2</v>
      </c>
      <c r="D25478" s="1">
        <v>1.9262797635388601E-2</v>
      </c>
      <c r="E25478" s="1">
        <v>2.6367581153818698E-2</v>
      </c>
      <c r="F25478" s="1">
        <v>2.71053085995209E-2</v>
      </c>
    </row>
    <row r="25479" spans="1:6" x14ac:dyDescent="0.25">
      <c r="A25479" s="2" t="str">
        <f t="shared" si="887"/>
        <v>16740</v>
      </c>
      <c r="B25479" s="2" t="str">
        <f>"28201"</f>
        <v>28201</v>
      </c>
      <c r="C25479" s="1">
        <v>0</v>
      </c>
      <c r="D25479" s="1">
        <v>1.8301945496806299E-5</v>
      </c>
      <c r="E25479" s="1">
        <v>0</v>
      </c>
      <c r="F25479" s="1">
        <v>1.4758818763181401E-6</v>
      </c>
    </row>
    <row r="25480" spans="1:6" x14ac:dyDescent="0.25">
      <c r="A25480" s="2" t="str">
        <f t="shared" si="887"/>
        <v>16740</v>
      </c>
      <c r="B25480" s="2" t="str">
        <f>"28166"</f>
        <v>28166</v>
      </c>
      <c r="C25480" s="1">
        <v>3.6372065124107801E-3</v>
      </c>
      <c r="D25480" s="1">
        <v>2.1870824868683498E-3</v>
      </c>
      <c r="E25480" s="1">
        <v>4.0310151044507098E-4</v>
      </c>
      <c r="F25480" s="1">
        <v>3.41961830742914E-3</v>
      </c>
    </row>
    <row r="25481" spans="1:6" x14ac:dyDescent="0.25">
      <c r="A25481" s="2" t="str">
        <f t="shared" si="887"/>
        <v>16740</v>
      </c>
      <c r="B25481" s="2" t="str">
        <f>"28081"</f>
        <v>28081</v>
      </c>
      <c r="C25481" s="1">
        <v>1.0386559117898399E-2</v>
      </c>
      <c r="D25481" s="1">
        <v>5.08794084811215E-3</v>
      </c>
      <c r="E25481" s="1">
        <v>3.5804898868944499E-3</v>
      </c>
      <c r="F25481" s="1">
        <v>9.7474618521432004E-3</v>
      </c>
    </row>
    <row r="25482" spans="1:6" x14ac:dyDescent="0.25">
      <c r="A25482" s="2" t="str">
        <f t="shared" si="887"/>
        <v>16740</v>
      </c>
      <c r="B25482" s="2" t="str">
        <f>"28078"</f>
        <v>28078</v>
      </c>
      <c r="C25482" s="1">
        <v>2.2835143490206201E-2</v>
      </c>
      <c r="D25482" s="1">
        <v>1.3287212430681299E-2</v>
      </c>
      <c r="E25482" s="1">
        <v>2.2905650534702199E-2</v>
      </c>
      <c r="F25482" s="1">
        <v>2.2067385814708899E-2</v>
      </c>
    </row>
    <row r="25483" spans="1:6" x14ac:dyDescent="0.25">
      <c r="A25483" s="2" t="str">
        <f t="shared" si="887"/>
        <v>16740</v>
      </c>
      <c r="B25483" s="2" t="str">
        <f>"28070"</f>
        <v>28070</v>
      </c>
      <c r="C25483" s="1">
        <v>1.36582172371021E-3</v>
      </c>
      <c r="D25483" s="1">
        <v>6.1494536869269199E-3</v>
      </c>
      <c r="E25483" s="1">
        <v>4.7423707111184801E-5</v>
      </c>
      <c r="F25483" s="1">
        <v>1.7105470946527301E-3</v>
      </c>
    </row>
    <row r="25484" spans="1:6" x14ac:dyDescent="0.25">
      <c r="A25484" s="2" t="str">
        <f t="shared" si="887"/>
        <v>16740</v>
      </c>
      <c r="B25484" s="2" t="str">
        <f>"28056"</f>
        <v>28056</v>
      </c>
      <c r="C25484" s="1">
        <v>1.2005772341445399E-2</v>
      </c>
      <c r="D25484" s="1">
        <v>6.9089844250443799E-3</v>
      </c>
      <c r="E25484" s="1">
        <v>6.16508192445403E-3</v>
      </c>
      <c r="F25484" s="1">
        <v>1.1412994549568199E-2</v>
      </c>
    </row>
    <row r="25485" spans="1:6" x14ac:dyDescent="0.25">
      <c r="A25485" s="2" t="str">
        <f t="shared" ref="A25485:A25516" si="888">"16740"</f>
        <v>16740</v>
      </c>
      <c r="B25485" s="2" t="str">
        <f>"28123"</f>
        <v>28123</v>
      </c>
      <c r="C25485" s="1">
        <v>3.0074663259312497E-4</v>
      </c>
      <c r="D25485" s="1">
        <v>7.5037976536905797E-4</v>
      </c>
      <c r="E25485" s="1">
        <v>0</v>
      </c>
      <c r="F25485" s="1">
        <v>3.27645776542628E-4</v>
      </c>
    </row>
    <row r="25486" spans="1:6" x14ac:dyDescent="0.25">
      <c r="A25486" s="2" t="str">
        <f t="shared" si="888"/>
        <v>16740</v>
      </c>
      <c r="B25486" s="2" t="str">
        <f>"28134"</f>
        <v>28134</v>
      </c>
      <c r="C25486" s="1">
        <v>5.0354291164279898E-3</v>
      </c>
      <c r="D25486" s="1">
        <v>1.1896264572924101E-2</v>
      </c>
      <c r="E25486" s="1">
        <v>5.5011500248974398E-3</v>
      </c>
      <c r="F25486" s="1">
        <v>5.6031855434418402E-3</v>
      </c>
    </row>
    <row r="25487" spans="1:6" x14ac:dyDescent="0.25">
      <c r="A25487" s="2" t="str">
        <f t="shared" si="888"/>
        <v>16740</v>
      </c>
      <c r="B25487" s="2" t="str">
        <f>"28039"</f>
        <v>28039</v>
      </c>
      <c r="C25487" s="1">
        <v>6.2558622746580999E-4</v>
      </c>
      <c r="D25487" s="1">
        <v>3.2028404619411E-4</v>
      </c>
      <c r="E25487" s="1">
        <v>4.7423707111184801E-5</v>
      </c>
      <c r="F25487" s="1">
        <v>5.8297334114566801E-4</v>
      </c>
    </row>
    <row r="25488" spans="1:6" x14ac:dyDescent="0.25">
      <c r="A25488" s="2" t="str">
        <f t="shared" si="888"/>
        <v>16740</v>
      </c>
      <c r="B25488" s="2" t="str">
        <f>"28097"</f>
        <v>28097</v>
      </c>
      <c r="C25488" s="1">
        <v>1.32095896636207E-4</v>
      </c>
      <c r="D25488" s="1">
        <v>1.3726459122604699E-4</v>
      </c>
      <c r="E25488" s="1">
        <v>2.3711853555592401E-5</v>
      </c>
      <c r="F25488" s="1">
        <v>1.2913966417783701E-4</v>
      </c>
    </row>
    <row r="25489" spans="1:6" x14ac:dyDescent="0.25">
      <c r="A25489" s="2" t="str">
        <f t="shared" si="888"/>
        <v>16740</v>
      </c>
      <c r="B25489" s="2" t="str">
        <f>"28093"</f>
        <v>28093</v>
      </c>
      <c r="C25489" s="1">
        <v>9.0888623220132395E-4</v>
      </c>
      <c r="D25489" s="1">
        <v>2.77274474276615E-3</v>
      </c>
      <c r="E25489" s="1">
        <v>2.3711853555592401E-5</v>
      </c>
      <c r="F25489" s="1">
        <v>1.03164143154638E-3</v>
      </c>
    </row>
    <row r="25490" spans="1:6" x14ac:dyDescent="0.25">
      <c r="A25490" s="2" t="str">
        <f t="shared" si="888"/>
        <v>16740</v>
      </c>
      <c r="B25490" s="2" t="str">
        <f>"28033"</f>
        <v>28033</v>
      </c>
      <c r="C25490" s="1">
        <v>9.48764238733009E-4</v>
      </c>
      <c r="D25490" s="1">
        <v>1.4641556397445001E-4</v>
      </c>
      <c r="E25490" s="1">
        <v>2.3711853555592401E-5</v>
      </c>
      <c r="F25490" s="1">
        <v>8.5527354732636601E-4</v>
      </c>
    </row>
    <row r="25491" spans="1:6" x14ac:dyDescent="0.25">
      <c r="A25491" s="2" t="str">
        <f t="shared" si="888"/>
        <v>16740</v>
      </c>
      <c r="B25491" s="2" t="str">
        <f>"28016"</f>
        <v>28016</v>
      </c>
      <c r="C25491" s="1">
        <v>6.7269212268136298E-3</v>
      </c>
      <c r="D25491" s="1">
        <v>4.32841010999469E-3</v>
      </c>
      <c r="E25491" s="1">
        <v>9.9589784933488208E-4</v>
      </c>
      <c r="F25491" s="1">
        <v>6.3551473594259398E-3</v>
      </c>
    </row>
    <row r="25492" spans="1:6" x14ac:dyDescent="0.25">
      <c r="A25492" s="2" t="str">
        <f t="shared" si="888"/>
        <v>16740</v>
      </c>
      <c r="B25492" s="2" t="str">
        <f>"27055"</f>
        <v>27055</v>
      </c>
      <c r="C25492" s="1">
        <v>1.9939003265842502E-5</v>
      </c>
      <c r="D25492" s="1">
        <v>0</v>
      </c>
      <c r="E25492" s="1">
        <v>0</v>
      </c>
      <c r="F25492" s="1">
        <v>1.7710582515817702E-5</v>
      </c>
    </row>
    <row r="25493" spans="1:6" x14ac:dyDescent="0.25">
      <c r="A25493" s="2" t="str">
        <f t="shared" si="888"/>
        <v>16740</v>
      </c>
      <c r="B25493" s="2" t="str">
        <f>"29745"</f>
        <v>29745</v>
      </c>
      <c r="C25493" s="1">
        <v>1.2719422500001999E-2</v>
      </c>
      <c r="D25493" s="1">
        <v>8.7117260564797995E-3</v>
      </c>
      <c r="E25493" s="1">
        <v>3.1536765228937901E-3</v>
      </c>
      <c r="F25493" s="1">
        <v>1.2098541681118E-2</v>
      </c>
    </row>
    <row r="25494" spans="1:6" x14ac:dyDescent="0.25">
      <c r="A25494" s="2" t="str">
        <f t="shared" si="888"/>
        <v>16740</v>
      </c>
      <c r="B25494" s="2" t="str">
        <f>"29058"</f>
        <v>29058</v>
      </c>
      <c r="C25494" s="1">
        <v>1.7953410857285701E-3</v>
      </c>
      <c r="D25494" s="1">
        <v>6.5887003788502702E-4</v>
      </c>
      <c r="E25494" s="1">
        <v>2.3711853555592401E-5</v>
      </c>
      <c r="F25494" s="1">
        <v>1.64856005584737E-3</v>
      </c>
    </row>
    <row r="25495" spans="1:6" x14ac:dyDescent="0.25">
      <c r="A25495" s="2" t="str">
        <f t="shared" si="888"/>
        <v>16740</v>
      </c>
      <c r="B25495" s="2" t="str">
        <f>"29067"</f>
        <v>29067</v>
      </c>
      <c r="C25495" s="1">
        <v>2.6851191064667999E-3</v>
      </c>
      <c r="D25495" s="1">
        <v>2.1962334596167502E-3</v>
      </c>
      <c r="E25495" s="1">
        <v>1.2330163848908E-3</v>
      </c>
      <c r="F25495" s="1">
        <v>2.6005038660725701E-3</v>
      </c>
    </row>
    <row r="25496" spans="1:6" x14ac:dyDescent="0.25">
      <c r="A25496" s="2" t="str">
        <f t="shared" si="888"/>
        <v>16740</v>
      </c>
      <c r="B25496" s="2" t="str">
        <f>"28634"</f>
        <v>28634</v>
      </c>
      <c r="C25496" s="1">
        <v>1.87925105780566E-3</v>
      </c>
      <c r="D25496" s="1">
        <v>9.0594630209191195E-4</v>
      </c>
      <c r="E25496" s="1">
        <v>0</v>
      </c>
      <c r="F25496" s="1">
        <v>1.7422785549935701E-3</v>
      </c>
    </row>
    <row r="25497" spans="1:6" x14ac:dyDescent="0.25">
      <c r="A25497" s="2" t="str">
        <f t="shared" si="888"/>
        <v>16740</v>
      </c>
      <c r="B25497" s="2" t="str">
        <f>"28287"</f>
        <v>28287</v>
      </c>
      <c r="C25497" s="1">
        <v>0</v>
      </c>
      <c r="D25497" s="1">
        <v>3.0198210069730402E-4</v>
      </c>
      <c r="E25497" s="1">
        <v>7.1135560666777303E-5</v>
      </c>
      <c r="F25497" s="1">
        <v>2.6565873773726601E-5</v>
      </c>
    </row>
    <row r="25498" spans="1:6" x14ac:dyDescent="0.25">
      <c r="A25498" s="2" t="str">
        <f t="shared" si="888"/>
        <v>16740</v>
      </c>
      <c r="B25498" s="2" t="str">
        <f>"28285"</f>
        <v>28285</v>
      </c>
      <c r="C25498" s="1">
        <v>0</v>
      </c>
      <c r="D25498" s="1">
        <v>1.7386848221965899E-4</v>
      </c>
      <c r="E25498" s="1">
        <v>7.1135560666777303E-5</v>
      </c>
      <c r="F25498" s="1">
        <v>1.6234700639499601E-5</v>
      </c>
    </row>
    <row r="25499" spans="1:6" x14ac:dyDescent="0.25">
      <c r="A25499" s="2" t="str">
        <f t="shared" si="888"/>
        <v>16740</v>
      </c>
      <c r="B25499" s="2" t="str">
        <f>"28282"</f>
        <v>28282</v>
      </c>
      <c r="C25499" s="1">
        <v>0</v>
      </c>
      <c r="D25499" s="1">
        <v>3.4773696443931901E-4</v>
      </c>
      <c r="E25499" s="1">
        <v>1.18559267777962E-4</v>
      </c>
      <c r="F25499" s="1">
        <v>3.1731460340840098E-5</v>
      </c>
    </row>
    <row r="25500" spans="1:6" x14ac:dyDescent="0.25">
      <c r="A25500" s="2" t="str">
        <f t="shared" si="888"/>
        <v>16740</v>
      </c>
      <c r="B25500" s="2" t="str">
        <f>"28299"</f>
        <v>28299</v>
      </c>
      <c r="C25500" s="1">
        <v>4.0044164892233798E-4</v>
      </c>
      <c r="D25500" s="1">
        <v>2.1413276231263302E-3</v>
      </c>
      <c r="E25500" s="1">
        <v>4.7423707111184801E-5</v>
      </c>
      <c r="F25500" s="1">
        <v>5.2984159359821396E-4</v>
      </c>
    </row>
    <row r="25501" spans="1:6" x14ac:dyDescent="0.25">
      <c r="A25501" s="2" t="str">
        <f t="shared" si="888"/>
        <v>16740</v>
      </c>
      <c r="B25501" s="2" t="str">
        <f>"28277"</f>
        <v>28277</v>
      </c>
      <c r="C25501" s="1">
        <v>2.6041169056993101E-2</v>
      </c>
      <c r="D25501" s="1">
        <v>2.0974029539340001E-2</v>
      </c>
      <c r="E25501" s="1">
        <v>2.9118156166267499E-2</v>
      </c>
      <c r="F25501" s="1">
        <v>2.5728310808916001E-2</v>
      </c>
    </row>
    <row r="25502" spans="1:6" x14ac:dyDescent="0.25">
      <c r="A25502" s="2" t="str">
        <f t="shared" si="888"/>
        <v>16740</v>
      </c>
      <c r="B25502" s="2" t="str">
        <f>"28217"</f>
        <v>28217</v>
      </c>
      <c r="C25502" s="1">
        <v>1.0125690491837E-2</v>
      </c>
      <c r="D25502" s="1">
        <v>2.94569812771097E-2</v>
      </c>
      <c r="E25502" s="1">
        <v>3.54017973584995E-2</v>
      </c>
      <c r="F25502" s="1">
        <v>1.24712018548883E-2</v>
      </c>
    </row>
    <row r="25503" spans="1:6" x14ac:dyDescent="0.25">
      <c r="A25503" s="2" t="str">
        <f t="shared" si="888"/>
        <v>16740</v>
      </c>
      <c r="B25503" s="2" t="str">
        <f>"28233"</f>
        <v>28233</v>
      </c>
      <c r="C25503" s="1">
        <v>2.4009883099285399E-4</v>
      </c>
      <c r="D25503" s="1">
        <v>1.7569867676934E-3</v>
      </c>
      <c r="E25503" s="1">
        <v>2.3711853555592401E-5</v>
      </c>
      <c r="F25503" s="1">
        <v>3.55687532192673E-4</v>
      </c>
    </row>
    <row r="25504" spans="1:6" x14ac:dyDescent="0.25">
      <c r="A25504" s="2" t="str">
        <f t="shared" si="888"/>
        <v>16740</v>
      </c>
      <c r="B25504" s="2" t="str">
        <f>"28241"</f>
        <v>28241</v>
      </c>
      <c r="C25504" s="1">
        <v>7.1531174216210201E-4</v>
      </c>
      <c r="D25504" s="1">
        <v>2.9283112794889999E-3</v>
      </c>
      <c r="E25504" s="1">
        <v>2.3711853555592401E-5</v>
      </c>
      <c r="F25504" s="1">
        <v>8.7224618890402396E-4</v>
      </c>
    </row>
    <row r="25505" spans="1:6" x14ac:dyDescent="0.25">
      <c r="A25505" s="2" t="str">
        <f t="shared" si="888"/>
        <v>16740</v>
      </c>
      <c r="B25505" s="2" t="str">
        <f>"28236"</f>
        <v>28236</v>
      </c>
      <c r="C25505" s="1">
        <v>2.0603636708037301E-4</v>
      </c>
      <c r="D25505" s="1">
        <v>3.1113307344570701E-3</v>
      </c>
      <c r="E25505" s="1">
        <v>2.3711853555592401E-5</v>
      </c>
      <c r="F25505" s="1">
        <v>4.34647212575694E-4</v>
      </c>
    </row>
    <row r="25506" spans="1:6" x14ac:dyDescent="0.25">
      <c r="A25506" s="2" t="str">
        <f t="shared" si="888"/>
        <v>16740</v>
      </c>
      <c r="B25506" s="2" t="str">
        <f>"28244"</f>
        <v>28244</v>
      </c>
      <c r="C25506" s="1">
        <v>0</v>
      </c>
      <c r="D25506" s="1">
        <v>5.9481322864620497E-4</v>
      </c>
      <c r="E25506" s="1">
        <v>9.4847414222369697E-5</v>
      </c>
      <c r="F25506" s="1">
        <v>5.0917924732975998E-5</v>
      </c>
    </row>
    <row r="25507" spans="1:6" x14ac:dyDescent="0.25">
      <c r="A25507" s="2" t="str">
        <f t="shared" si="888"/>
        <v>16740</v>
      </c>
      <c r="B25507" s="2" t="str">
        <f>"28204"</f>
        <v>28204</v>
      </c>
      <c r="C25507" s="1">
        <v>5.14924759340384E-3</v>
      </c>
      <c r="D25507" s="1">
        <v>1.1447866908252301E-2</v>
      </c>
      <c r="E25507" s="1">
        <v>1.21404690204633E-2</v>
      </c>
      <c r="F25507" s="1">
        <v>5.8747478086843804E-3</v>
      </c>
    </row>
    <row r="25508" spans="1:6" x14ac:dyDescent="0.25">
      <c r="A25508" s="2" t="str">
        <f t="shared" si="888"/>
        <v>16740</v>
      </c>
      <c r="B25508" s="2" t="str">
        <f>"28170"</f>
        <v>28170</v>
      </c>
      <c r="C25508" s="1">
        <v>4.5693549150889199E-3</v>
      </c>
      <c r="D25508" s="1">
        <v>5.9847361774556596E-3</v>
      </c>
      <c r="E25508" s="1">
        <v>3.22481208356057E-3</v>
      </c>
      <c r="F25508" s="1">
        <v>4.6416485010205696E-3</v>
      </c>
    </row>
    <row r="25509" spans="1:6" x14ac:dyDescent="0.25">
      <c r="A25509" s="2" t="str">
        <f t="shared" si="888"/>
        <v>16740</v>
      </c>
      <c r="B25509" s="2" t="str">
        <f>"28120"</f>
        <v>28120</v>
      </c>
      <c r="C25509" s="1">
        <v>9.8349133608768499E-3</v>
      </c>
      <c r="D25509" s="1">
        <v>5.3624700305642398E-3</v>
      </c>
      <c r="E25509" s="1">
        <v>3.7464728617836E-3</v>
      </c>
      <c r="F25509" s="1">
        <v>9.2847728839174602E-3</v>
      </c>
    </row>
    <row r="25510" spans="1:6" x14ac:dyDescent="0.25">
      <c r="A25510" s="2" t="str">
        <f t="shared" si="888"/>
        <v>16740</v>
      </c>
      <c r="B25510" s="2" t="str">
        <f>"28054"</f>
        <v>28054</v>
      </c>
      <c r="C25510" s="1">
        <v>1.5099641014861999E-2</v>
      </c>
      <c r="D25510" s="1">
        <v>1.89425135891945E-2</v>
      </c>
      <c r="E25510" s="1">
        <v>2.89521731913783E-2</v>
      </c>
      <c r="F25510" s="1">
        <v>1.5840640178522599E-2</v>
      </c>
    </row>
    <row r="25511" spans="1:6" x14ac:dyDescent="0.25">
      <c r="A25511" s="2" t="str">
        <f t="shared" si="888"/>
        <v>16740</v>
      </c>
      <c r="B25511" s="2" t="str">
        <f>"28027"</f>
        <v>28027</v>
      </c>
      <c r="C25511" s="1">
        <v>2.6753157631944201E-2</v>
      </c>
      <c r="D25511" s="1">
        <v>2.6739142370833999E-2</v>
      </c>
      <c r="E25511" s="1">
        <v>1.5554975932468599E-2</v>
      </c>
      <c r="F25511" s="1">
        <v>2.6403526767331601E-2</v>
      </c>
    </row>
    <row r="25512" spans="1:6" x14ac:dyDescent="0.25">
      <c r="A25512" s="2" t="str">
        <f t="shared" si="888"/>
        <v>16740</v>
      </c>
      <c r="B25512" s="2" t="str">
        <f>"28007"</f>
        <v>28007</v>
      </c>
      <c r="C25512" s="1">
        <v>0</v>
      </c>
      <c r="D25512" s="1">
        <v>0</v>
      </c>
      <c r="E25512" s="1">
        <v>2.3711853555592401E-5</v>
      </c>
      <c r="F25512" s="1">
        <v>7.3794093815907302E-7</v>
      </c>
    </row>
    <row r="25513" spans="1:6" x14ac:dyDescent="0.25">
      <c r="A25513" s="2" t="str">
        <f t="shared" si="888"/>
        <v>16740</v>
      </c>
      <c r="B25513" s="2" t="str">
        <f>"28021"</f>
        <v>28021</v>
      </c>
      <c r="C25513" s="1">
        <v>4.0019241138151496E-3</v>
      </c>
      <c r="D25513" s="1">
        <v>3.5597283991288201E-3</v>
      </c>
      <c r="E25513" s="1">
        <v>3.0114054015602299E-3</v>
      </c>
      <c r="F25513" s="1">
        <v>3.9354390232023296E-3</v>
      </c>
    </row>
    <row r="25514" spans="1:6" x14ac:dyDescent="0.25">
      <c r="A25514" s="2" t="str">
        <f t="shared" si="888"/>
        <v>16740</v>
      </c>
      <c r="B25514" s="2" t="str">
        <f>"27054"</f>
        <v>27054</v>
      </c>
      <c r="C25514" s="1">
        <v>9.7285720101256904E-4</v>
      </c>
      <c r="D25514" s="1">
        <v>2.4707626420688498E-4</v>
      </c>
      <c r="E25514" s="1">
        <v>1.4227112133355401E-4</v>
      </c>
      <c r="F25514" s="1">
        <v>8.88480889543524E-4</v>
      </c>
    </row>
    <row r="25515" spans="1:6" x14ac:dyDescent="0.25">
      <c r="A25515" s="2" t="str">
        <f t="shared" si="888"/>
        <v>16740</v>
      </c>
      <c r="B25515" s="2" t="str">
        <f>"27020"</f>
        <v>27020</v>
      </c>
      <c r="C25515" s="1">
        <v>2.1766745231878101E-4</v>
      </c>
      <c r="D25515" s="1">
        <v>7.3207781987225196E-5</v>
      </c>
      <c r="E25515" s="1">
        <v>0</v>
      </c>
      <c r="F25515" s="1">
        <v>1.99244053302949E-4</v>
      </c>
    </row>
    <row r="25516" spans="1:6" x14ac:dyDescent="0.25">
      <c r="A25516" s="2" t="str">
        <f t="shared" si="888"/>
        <v>16740</v>
      </c>
      <c r="B25516" s="2" t="str">
        <f>"29720"</f>
        <v>29720</v>
      </c>
      <c r="C25516" s="1">
        <v>1.9447174518618399E-2</v>
      </c>
      <c r="D25516" s="1">
        <v>1.49984443346327E-2</v>
      </c>
      <c r="E25516" s="1">
        <v>9.9589784933488204E-3</v>
      </c>
      <c r="F25516" s="1">
        <v>1.8793141872097099E-2</v>
      </c>
    </row>
    <row r="25517" spans="1:6" x14ac:dyDescent="0.25">
      <c r="A25517" s="2" t="str">
        <f t="shared" ref="A25517:A25542" si="889">"16740"</f>
        <v>16740</v>
      </c>
      <c r="B25517" s="2" t="str">
        <f>"29712"</f>
        <v>29712</v>
      </c>
      <c r="C25517" s="1">
        <v>8.9642435516017205E-4</v>
      </c>
      <c r="D25517" s="1">
        <v>1.64717509471256E-4</v>
      </c>
      <c r="E25517" s="1">
        <v>0</v>
      </c>
      <c r="F25517" s="1">
        <v>8.0952120916050305E-4</v>
      </c>
    </row>
    <row r="25518" spans="1:6" x14ac:dyDescent="0.25">
      <c r="A25518" s="2" t="str">
        <f t="shared" si="889"/>
        <v>16740</v>
      </c>
      <c r="B25518" s="2" t="str">
        <f>"29707"</f>
        <v>29707</v>
      </c>
      <c r="C25518" s="1">
        <v>1.21087905249856E-2</v>
      </c>
      <c r="D25518" s="1">
        <v>6.1220007686817101E-3</v>
      </c>
      <c r="E25518" s="1">
        <v>4.7423707111184802E-3</v>
      </c>
      <c r="F25518" s="1">
        <v>1.1396759848928699E-2</v>
      </c>
    </row>
    <row r="25519" spans="1:6" x14ac:dyDescent="0.25">
      <c r="A25519" s="2" t="str">
        <f t="shared" si="889"/>
        <v>16740</v>
      </c>
      <c r="B25519" s="2" t="str">
        <f>"29706"</f>
        <v>29706</v>
      </c>
      <c r="C25519" s="1">
        <v>7.9265845899751594E-3</v>
      </c>
      <c r="D25519" s="1">
        <v>6.9547392887863903E-3</v>
      </c>
      <c r="E25519" s="1">
        <v>5.3351670500082901E-3</v>
      </c>
      <c r="F25519" s="1">
        <v>7.7675663150623998E-3</v>
      </c>
    </row>
    <row r="25520" spans="1:6" x14ac:dyDescent="0.25">
      <c r="A25520" s="2" t="str">
        <f t="shared" si="889"/>
        <v>16740</v>
      </c>
      <c r="B25520" s="2" t="str">
        <f>"29702"</f>
        <v>29702</v>
      </c>
      <c r="C25520" s="1">
        <v>1.91082114630991E-4</v>
      </c>
      <c r="D25520" s="1">
        <v>8.2358754735628297E-5</v>
      </c>
      <c r="E25520" s="1">
        <v>0</v>
      </c>
      <c r="F25520" s="1">
        <v>1.7636788422001801E-4</v>
      </c>
    </row>
    <row r="25521" spans="1:6" x14ac:dyDescent="0.25">
      <c r="A25521" s="2" t="str">
        <f t="shared" si="889"/>
        <v>16740</v>
      </c>
      <c r="B25521" s="2" t="str">
        <f>"29744"</f>
        <v>29744</v>
      </c>
      <c r="C25521" s="1">
        <v>0</v>
      </c>
      <c r="D25521" s="1">
        <v>9.1509727484031495E-6</v>
      </c>
      <c r="E25521" s="1">
        <v>0</v>
      </c>
      <c r="F25521" s="1">
        <v>7.3794093815907302E-7</v>
      </c>
    </row>
    <row r="25522" spans="1:6" x14ac:dyDescent="0.25">
      <c r="A25522" s="2" t="str">
        <f t="shared" si="889"/>
        <v>16740</v>
      </c>
      <c r="B25522" s="2" t="str">
        <f>"28625"</f>
        <v>28625</v>
      </c>
      <c r="C25522" s="1">
        <v>1.4005488210648899E-2</v>
      </c>
      <c r="D25522" s="1">
        <v>1.09720163253353E-2</v>
      </c>
      <c r="E25522" s="1">
        <v>6.2599293386764003E-3</v>
      </c>
      <c r="F25522" s="1">
        <v>1.35198159280123E-2</v>
      </c>
    </row>
    <row r="25523" spans="1:6" x14ac:dyDescent="0.25">
      <c r="A25523" s="2" t="str">
        <f t="shared" si="889"/>
        <v>16740</v>
      </c>
      <c r="B25523" s="2" t="str">
        <f>"28210"</f>
        <v>28210</v>
      </c>
      <c r="C25523" s="1">
        <v>1.8724385650231601E-2</v>
      </c>
      <c r="D25523" s="1">
        <v>1.0569373524405601E-2</v>
      </c>
      <c r="E25523" s="1">
        <v>3.8911151684727099E-2</v>
      </c>
      <c r="F25523" s="1">
        <v>1.86949957273219E-2</v>
      </c>
    </row>
    <row r="25524" spans="1:6" x14ac:dyDescent="0.25">
      <c r="A25524" s="2" t="str">
        <f t="shared" si="889"/>
        <v>16740</v>
      </c>
      <c r="B25524" s="2" t="str">
        <f>"28222"</f>
        <v>28222</v>
      </c>
      <c r="C25524" s="1">
        <v>7.5103578968006997E-4</v>
      </c>
      <c r="D25524" s="1">
        <v>4.4107688647303201E-3</v>
      </c>
      <c r="E25524" s="1">
        <v>2.3711853555592401E-5</v>
      </c>
      <c r="F25524" s="1">
        <v>1.0235240812266301E-3</v>
      </c>
    </row>
    <row r="25525" spans="1:6" x14ac:dyDescent="0.25">
      <c r="A25525" s="2" t="str">
        <f t="shared" si="889"/>
        <v>16740</v>
      </c>
      <c r="B25525" s="2" t="str">
        <f>"28219"</f>
        <v>28219</v>
      </c>
      <c r="C25525" s="1">
        <v>4.9349033082960304E-4</v>
      </c>
      <c r="D25525" s="1">
        <v>1.33604202126686E-3</v>
      </c>
      <c r="E25525" s="1">
        <v>2.3711853555592401E-5</v>
      </c>
      <c r="F25525" s="1">
        <v>5.4681423517587298E-4</v>
      </c>
    </row>
    <row r="25526" spans="1:6" x14ac:dyDescent="0.25">
      <c r="A25526" s="2" t="str">
        <f t="shared" si="889"/>
        <v>16740</v>
      </c>
      <c r="B25526" s="2" t="str">
        <f>"28232"</f>
        <v>28232</v>
      </c>
      <c r="C25526" s="1">
        <v>1.4372698187461501E-4</v>
      </c>
      <c r="D25526" s="1">
        <v>2.0040630319002901E-3</v>
      </c>
      <c r="E25526" s="1">
        <v>2.3711853555592401E-5</v>
      </c>
      <c r="F25526" s="1">
        <v>2.9001078869651499E-4</v>
      </c>
    </row>
    <row r="25527" spans="1:6" x14ac:dyDescent="0.25">
      <c r="A25527" s="2" t="str">
        <f t="shared" si="889"/>
        <v>16740</v>
      </c>
      <c r="B25527" s="2" t="str">
        <f>"28246"</f>
        <v>28246</v>
      </c>
      <c r="C25527" s="1">
        <v>0</v>
      </c>
      <c r="D25527" s="1">
        <v>2.6537820970369102E-4</v>
      </c>
      <c r="E25527" s="1">
        <v>9.4847414222369697E-5</v>
      </c>
      <c r="F25527" s="1">
        <v>2.43520509592494E-5</v>
      </c>
    </row>
    <row r="25528" spans="1:6" x14ac:dyDescent="0.25">
      <c r="A25528" s="2" t="str">
        <f t="shared" si="889"/>
        <v>16740</v>
      </c>
      <c r="B25528" s="2" t="str">
        <f>"28266"</f>
        <v>28266</v>
      </c>
      <c r="C25528" s="1">
        <v>4.61089450522609E-4</v>
      </c>
      <c r="D25528" s="1">
        <v>2.4524606965720401E-3</v>
      </c>
      <c r="E25528" s="1">
        <v>2.3711853555592401E-5</v>
      </c>
      <c r="F25528" s="1">
        <v>6.0806333304307602E-4</v>
      </c>
    </row>
    <row r="25529" spans="1:6" x14ac:dyDescent="0.25">
      <c r="A25529" s="2" t="str">
        <f t="shared" si="889"/>
        <v>16740</v>
      </c>
      <c r="B25529" s="2" t="str">
        <f>"28229"</f>
        <v>28229</v>
      </c>
      <c r="C25529" s="1">
        <v>8.4990001420653905E-4</v>
      </c>
      <c r="D25529" s="1">
        <v>2.1870824868683498E-3</v>
      </c>
      <c r="E25529" s="1">
        <v>2.3711853555592401E-5</v>
      </c>
      <c r="F25529" s="1">
        <v>9.3201940489490902E-4</v>
      </c>
    </row>
    <row r="25530" spans="1:6" x14ac:dyDescent="0.25">
      <c r="A25530" s="2" t="str">
        <f t="shared" si="889"/>
        <v>16740</v>
      </c>
      <c r="B25530" s="2" t="str">
        <f>"28168"</f>
        <v>28168</v>
      </c>
      <c r="C25530" s="1">
        <v>2.5148067869043898E-3</v>
      </c>
      <c r="D25530" s="1">
        <v>7.4122879262065501E-4</v>
      </c>
      <c r="E25530" s="1">
        <v>7.1135560666777303E-5</v>
      </c>
      <c r="F25530" s="1">
        <v>2.2957342586128701E-3</v>
      </c>
    </row>
    <row r="25531" spans="1:6" x14ac:dyDescent="0.25">
      <c r="A25531" s="2" t="str">
        <f t="shared" si="889"/>
        <v>16740</v>
      </c>
      <c r="B25531" s="2" t="str">
        <f>"28159"</f>
        <v>28159</v>
      </c>
      <c r="C25531" s="1">
        <v>1.59595105307014E-3</v>
      </c>
      <c r="D25531" s="1">
        <v>2.3060451325975901E-3</v>
      </c>
      <c r="E25531" s="1">
        <v>1.61240604178028E-3</v>
      </c>
      <c r="F25531" s="1">
        <v>1.6537256424144801E-3</v>
      </c>
    </row>
    <row r="25532" spans="1:6" x14ac:dyDescent="0.25">
      <c r="A25532" s="2" t="str">
        <f t="shared" si="889"/>
        <v>16740</v>
      </c>
      <c r="B25532" s="2" t="str">
        <f>"28173"</f>
        <v>28173</v>
      </c>
      <c r="C25532" s="1">
        <v>1.7910209683543E-2</v>
      </c>
      <c r="D25532" s="1">
        <v>8.3548381192920795E-3</v>
      </c>
      <c r="E25532" s="1">
        <v>3.6279135940056398E-3</v>
      </c>
      <c r="F25532" s="1">
        <v>1.6695175784910799E-2</v>
      </c>
    </row>
    <row r="25533" spans="1:6" x14ac:dyDescent="0.25">
      <c r="A25533" s="2" t="str">
        <f t="shared" si="889"/>
        <v>16740</v>
      </c>
      <c r="B25533" s="2" t="str">
        <f>"28082"</f>
        <v>28082</v>
      </c>
      <c r="C25533" s="1">
        <v>1.4613627810257099E-3</v>
      </c>
      <c r="D25533" s="1">
        <v>2.31519610534599E-3</v>
      </c>
      <c r="E25533" s="1">
        <v>4.7423707111184801E-5</v>
      </c>
      <c r="F25533" s="1">
        <v>1.4862130494523701E-3</v>
      </c>
    </row>
    <row r="25534" spans="1:6" x14ac:dyDescent="0.25">
      <c r="A25534" s="2" t="str">
        <f t="shared" si="889"/>
        <v>16740</v>
      </c>
      <c r="B25534" s="2" t="str">
        <f>"28091"</f>
        <v>28091</v>
      </c>
      <c r="C25534" s="1">
        <v>7.2611203559776703E-4</v>
      </c>
      <c r="D25534" s="1">
        <v>2.4707626420688498E-4</v>
      </c>
      <c r="E25534" s="1">
        <v>2.3711853555592401E-5</v>
      </c>
      <c r="F25534" s="1">
        <v>6.6562272621948401E-4</v>
      </c>
    </row>
    <row r="25535" spans="1:6" x14ac:dyDescent="0.25">
      <c r="A25535" s="2" t="str">
        <f t="shared" si="889"/>
        <v>16740</v>
      </c>
      <c r="B25535" s="2" t="str">
        <f>"28147"</f>
        <v>28147</v>
      </c>
      <c r="C25535" s="1">
        <v>9.1619720006546595E-3</v>
      </c>
      <c r="D25535" s="1">
        <v>7.5220995991873898E-3</v>
      </c>
      <c r="E25535" s="1">
        <v>4.86092997889645E-3</v>
      </c>
      <c r="F25535" s="1">
        <v>8.8958780095076302E-3</v>
      </c>
    </row>
    <row r="25536" spans="1:6" x14ac:dyDescent="0.25">
      <c r="A25536" s="2" t="str">
        <f t="shared" si="889"/>
        <v>16740</v>
      </c>
      <c r="B25536" s="2" t="str">
        <f>"28146"</f>
        <v>28146</v>
      </c>
      <c r="C25536" s="1">
        <v>1.12173509206419E-2</v>
      </c>
      <c r="D25536" s="1">
        <v>3.9989750910521702E-3</v>
      </c>
      <c r="E25536" s="1">
        <v>4.00730325089512E-3</v>
      </c>
      <c r="F25536" s="1">
        <v>1.04108707555482E-2</v>
      </c>
    </row>
    <row r="25537" spans="1:6" x14ac:dyDescent="0.25">
      <c r="A25537" s="2" t="str">
        <f t="shared" si="889"/>
        <v>16740</v>
      </c>
      <c r="B25537" s="2" t="str">
        <f>"28117"</f>
        <v>28117</v>
      </c>
      <c r="C25537" s="1">
        <v>1.7543830498533201E-2</v>
      </c>
      <c r="D25537" s="1">
        <v>2.7333955599480202E-2</v>
      </c>
      <c r="E25537" s="1">
        <v>1.9680838451141699E-2</v>
      </c>
      <c r="F25537" s="1">
        <v>1.83998193520583E-2</v>
      </c>
    </row>
    <row r="25538" spans="1:6" x14ac:dyDescent="0.25">
      <c r="A25538" s="2" t="str">
        <f t="shared" si="889"/>
        <v>16740</v>
      </c>
      <c r="B25538" s="2" t="str">
        <f>"28041"</f>
        <v>28041</v>
      </c>
      <c r="C25538" s="1">
        <v>7.5602054049653104E-4</v>
      </c>
      <c r="D25538" s="1">
        <v>3.8434085543293201E-4</v>
      </c>
      <c r="E25538" s="1">
        <v>4.7423707111184801E-5</v>
      </c>
      <c r="F25538" s="1">
        <v>7.03995655003756E-4</v>
      </c>
    </row>
    <row r="25539" spans="1:6" x14ac:dyDescent="0.25">
      <c r="A25539" s="2" t="str">
        <f t="shared" si="889"/>
        <v>16740</v>
      </c>
      <c r="B25539" s="2" t="str">
        <f>"28053"</f>
        <v>28053</v>
      </c>
      <c r="C25539" s="1">
        <v>8.5903872403671699E-4</v>
      </c>
      <c r="D25539" s="1">
        <v>4.0996357912846098E-3</v>
      </c>
      <c r="E25539" s="1">
        <v>2.3711853555592401E-5</v>
      </c>
      <c r="F25539" s="1">
        <v>1.0943664112899E-3</v>
      </c>
    </row>
    <row r="25540" spans="1:6" x14ac:dyDescent="0.25">
      <c r="A25540" s="2" t="str">
        <f t="shared" si="889"/>
        <v>16740</v>
      </c>
      <c r="B25540" s="2" t="str">
        <f>"28107"</f>
        <v>28107</v>
      </c>
      <c r="C25540" s="1">
        <v>3.01078949314222E-3</v>
      </c>
      <c r="D25540" s="1">
        <v>1.5739673127253401E-3</v>
      </c>
      <c r="E25540" s="1">
        <v>2.6083038911151599E-4</v>
      </c>
      <c r="F25540" s="1">
        <v>2.8093411515715898E-3</v>
      </c>
    </row>
    <row r="25541" spans="1:6" x14ac:dyDescent="0.25">
      <c r="A25541" s="2" t="str">
        <f t="shared" si="889"/>
        <v>16740</v>
      </c>
      <c r="B25541" s="2" t="str">
        <f>"28035"</f>
        <v>28035</v>
      </c>
      <c r="C25541" s="1">
        <v>0</v>
      </c>
      <c r="D25541" s="1">
        <v>0</v>
      </c>
      <c r="E25541" s="1">
        <v>2.3711853555592401E-5</v>
      </c>
      <c r="F25541" s="1">
        <v>7.3794093815907302E-7</v>
      </c>
    </row>
    <row r="25542" spans="1:6" x14ac:dyDescent="0.25">
      <c r="A25542" s="2" t="str">
        <f t="shared" si="889"/>
        <v>16740</v>
      </c>
      <c r="B25542" s="2" t="str">
        <f>"28025"</f>
        <v>28025</v>
      </c>
      <c r="C25542" s="1">
        <v>1.9255261612184701E-2</v>
      </c>
      <c r="D25542" s="1">
        <v>1.88693058072073E-2</v>
      </c>
      <c r="E25542" s="1">
        <v>8.6785384013468303E-3</v>
      </c>
      <c r="F25542" s="1">
        <v>1.8894977721563001E-2</v>
      </c>
    </row>
    <row r="25543" spans="1:6" x14ac:dyDescent="0.25">
      <c r="A25543" s="2" t="str">
        <f t="shared" ref="A25543:A25548" si="890">"41820"</f>
        <v>41820</v>
      </c>
      <c r="B25543" s="2" t="str">
        <f>"28355"</f>
        <v>28355</v>
      </c>
      <c r="C25543" s="1">
        <v>0</v>
      </c>
      <c r="D25543" s="1">
        <v>0</v>
      </c>
      <c r="E25543" s="1">
        <v>2.5706940874035901E-3</v>
      </c>
      <c r="F25543" s="1">
        <v>2.99895036737142E-5</v>
      </c>
    </row>
    <row r="25544" spans="1:6" x14ac:dyDescent="0.25">
      <c r="A25544" s="2" t="str">
        <f t="shared" si="890"/>
        <v>41820</v>
      </c>
      <c r="B25544" s="2" t="str">
        <f>"27330"</f>
        <v>27330</v>
      </c>
      <c r="C25544" s="1">
        <v>0.568321513002364</v>
      </c>
      <c r="D25544" s="1">
        <v>0.52958756724447098</v>
      </c>
      <c r="E25544" s="1">
        <v>0.81491002570694004</v>
      </c>
      <c r="F25544" s="1">
        <v>0.56731144099565101</v>
      </c>
    </row>
    <row r="25545" spans="1:6" x14ac:dyDescent="0.25">
      <c r="A25545" s="2" t="str">
        <f t="shared" si="890"/>
        <v>41820</v>
      </c>
      <c r="B25545" s="2" t="str">
        <f>"27332"</f>
        <v>27332</v>
      </c>
      <c r="C25545" s="1">
        <v>0.28909152313407599</v>
      </c>
      <c r="D25545" s="1">
        <v>0.23191870890615601</v>
      </c>
      <c r="E25545" s="1">
        <v>0.172236503856041</v>
      </c>
      <c r="F25545" s="1">
        <v>0.28199130304393399</v>
      </c>
    </row>
    <row r="25546" spans="1:6" x14ac:dyDescent="0.25">
      <c r="A25546" s="2" t="str">
        <f t="shared" si="890"/>
        <v>41820</v>
      </c>
      <c r="B25546" s="2" t="str">
        <f>"27331"</f>
        <v>27331</v>
      </c>
      <c r="C25546" s="1">
        <v>0.10351232691658201</v>
      </c>
      <c r="D25546" s="1">
        <v>0.22922893006574999</v>
      </c>
      <c r="E25546" s="1">
        <v>5.1413881748071898E-3</v>
      </c>
      <c r="F25546" s="1">
        <v>0.11497975708502001</v>
      </c>
    </row>
    <row r="25547" spans="1:6" x14ac:dyDescent="0.25">
      <c r="A25547" s="2" t="str">
        <f t="shared" si="890"/>
        <v>41820</v>
      </c>
      <c r="B25547" s="2" t="str">
        <f>"27505"</f>
        <v>27505</v>
      </c>
      <c r="C25547" s="1">
        <v>1.9790611279972899E-2</v>
      </c>
      <c r="D25547" s="1">
        <v>6.8738792588164902E-3</v>
      </c>
      <c r="E25547" s="1">
        <v>5.1413881748071898E-3</v>
      </c>
      <c r="F25547" s="1">
        <v>1.8323586744639301E-2</v>
      </c>
    </row>
    <row r="25548" spans="1:6" x14ac:dyDescent="0.25">
      <c r="A25548" s="2" t="str">
        <f t="shared" si="890"/>
        <v>41820</v>
      </c>
      <c r="B25548" s="2" t="str">
        <f>"28326"</f>
        <v>28326</v>
      </c>
      <c r="C25548" s="1">
        <v>1.9284025667004299E-2</v>
      </c>
      <c r="D25548" s="1">
        <v>2.3909145248057302E-3</v>
      </c>
      <c r="E25548" s="1">
        <v>0</v>
      </c>
      <c r="F25548" s="1">
        <v>1.7363922627080499E-2</v>
      </c>
    </row>
    <row r="25549" spans="1:6" x14ac:dyDescent="0.25">
      <c r="A25549" s="2" t="str">
        <f t="shared" ref="A25549:A25564" si="891">"24140"</f>
        <v>24140</v>
      </c>
      <c r="B25549" s="2" t="str">
        <f>"27863"</f>
        <v>27863</v>
      </c>
      <c r="C25549" s="1">
        <v>8.6298194860342695E-2</v>
      </c>
      <c r="D25549" s="1">
        <v>1.55297817967367E-2</v>
      </c>
      <c r="E25549" s="1">
        <v>4.1644420715429703E-2</v>
      </c>
      <c r="F25549" s="1">
        <v>7.9583465770633702E-2</v>
      </c>
    </row>
    <row r="25550" spans="1:6" x14ac:dyDescent="0.25">
      <c r="A25550" s="2" t="str">
        <f t="shared" si="891"/>
        <v>24140</v>
      </c>
      <c r="B25550" s="2" t="str">
        <f>"27524"</f>
        <v>27524</v>
      </c>
      <c r="C25550" s="1">
        <v>2.1485729753506202E-3</v>
      </c>
      <c r="D25550" s="1">
        <v>5.8973854924316801E-4</v>
      </c>
      <c r="E25550" s="1">
        <v>0</v>
      </c>
      <c r="F25550" s="1">
        <v>1.9676398916284401E-3</v>
      </c>
    </row>
    <row r="25551" spans="1:6" x14ac:dyDescent="0.25">
      <c r="A25551" s="2" t="str">
        <f t="shared" si="891"/>
        <v>24140</v>
      </c>
      <c r="B25551" s="2" t="str">
        <f>"27569"</f>
        <v>27569</v>
      </c>
      <c r="C25551" s="1">
        <v>1.6630293187162599E-2</v>
      </c>
      <c r="D25551" s="1">
        <v>5.7008059760172902E-3</v>
      </c>
      <c r="E25551" s="1">
        <v>0</v>
      </c>
      <c r="F25551" s="1">
        <v>1.53173197717537E-2</v>
      </c>
    </row>
    <row r="25552" spans="1:6" x14ac:dyDescent="0.25">
      <c r="A25552" s="2" t="str">
        <f t="shared" si="891"/>
        <v>24140</v>
      </c>
      <c r="B25552" s="2" t="str">
        <f>"28365"</f>
        <v>28365</v>
      </c>
      <c r="C25552" s="1">
        <v>8.4014278705442397E-2</v>
      </c>
      <c r="D25552" s="1">
        <v>9.6127383526636495E-2</v>
      </c>
      <c r="E25552" s="1">
        <v>4.3246129204484701E-2</v>
      </c>
      <c r="F25552" s="1">
        <v>8.3791188000423705E-2</v>
      </c>
    </row>
    <row r="25553" spans="1:6" x14ac:dyDescent="0.25">
      <c r="A25553" s="2" t="str">
        <f t="shared" si="891"/>
        <v>24140</v>
      </c>
      <c r="B25553" s="2" t="str">
        <f>"27533"</f>
        <v>27533</v>
      </c>
      <c r="C25553" s="1">
        <v>1.9066470419056299E-2</v>
      </c>
      <c r="D25553" s="1">
        <v>9.1212895616276699E-2</v>
      </c>
      <c r="E25553" s="1">
        <v>5.3390282968499697E-4</v>
      </c>
      <c r="F25553" s="1">
        <v>2.40960208267114E-2</v>
      </c>
    </row>
    <row r="25554" spans="1:6" x14ac:dyDescent="0.25">
      <c r="A25554" s="2" t="str">
        <f t="shared" si="891"/>
        <v>24140</v>
      </c>
      <c r="B25554" s="2" t="str">
        <f>"28551"</f>
        <v>28551</v>
      </c>
      <c r="C25554" s="1">
        <v>3.1653386117173297E-2</v>
      </c>
      <c r="D25554" s="1">
        <v>1.39571456654216E-2</v>
      </c>
      <c r="E25554" s="1">
        <v>0</v>
      </c>
      <c r="F25554" s="1">
        <v>2.9393512842634199E-2</v>
      </c>
    </row>
    <row r="25555" spans="1:6" x14ac:dyDescent="0.25">
      <c r="A25555" s="2" t="str">
        <f t="shared" si="891"/>
        <v>24140</v>
      </c>
      <c r="B25555" s="2" t="str">
        <f>"27531"</f>
        <v>27531</v>
      </c>
      <c r="C25555" s="1">
        <v>0</v>
      </c>
      <c r="D25555" s="1">
        <v>0</v>
      </c>
      <c r="E25555" s="1">
        <v>3.8974906567004801E-2</v>
      </c>
      <c r="F25555" s="1">
        <v>1.10490547760674E-3</v>
      </c>
    </row>
    <row r="25556" spans="1:6" x14ac:dyDescent="0.25">
      <c r="A25556" s="2" t="str">
        <f t="shared" si="891"/>
        <v>24140</v>
      </c>
      <c r="B25556" s="2" t="str">
        <f>"28578"</f>
        <v>28578</v>
      </c>
      <c r="C25556" s="1">
        <v>2.94371415520479E-2</v>
      </c>
      <c r="D25556" s="1">
        <v>8.4529192058187506E-3</v>
      </c>
      <c r="E25556" s="1">
        <v>0</v>
      </c>
      <c r="F25556" s="1">
        <v>2.6986937898257801E-2</v>
      </c>
    </row>
    <row r="25557" spans="1:6" x14ac:dyDescent="0.25">
      <c r="A25557" s="2" t="str">
        <f t="shared" si="891"/>
        <v>24140</v>
      </c>
      <c r="B25557" s="2" t="str">
        <f>"27851"</f>
        <v>27851</v>
      </c>
      <c r="C25557" s="1">
        <v>7.4438748752305003E-4</v>
      </c>
      <c r="D25557" s="1">
        <v>0</v>
      </c>
      <c r="E25557" s="1">
        <v>0</v>
      </c>
      <c r="F25557" s="1">
        <v>6.6597042485885903E-4</v>
      </c>
    </row>
    <row r="25558" spans="1:6" x14ac:dyDescent="0.25">
      <c r="A25558" s="2" t="str">
        <f t="shared" si="891"/>
        <v>24140</v>
      </c>
      <c r="B25558" s="2" t="str">
        <f>"27542"</f>
        <v>27542</v>
      </c>
      <c r="C25558" s="1">
        <v>4.82160077145612E-3</v>
      </c>
      <c r="D25558" s="1">
        <v>1.9657951641438901E-4</v>
      </c>
      <c r="E25558" s="1">
        <v>0</v>
      </c>
      <c r="F25558" s="1">
        <v>4.3288077615825796E-3</v>
      </c>
    </row>
    <row r="25559" spans="1:6" x14ac:dyDescent="0.25">
      <c r="A25559" s="2" t="str">
        <f t="shared" si="891"/>
        <v>24140</v>
      </c>
      <c r="B25559" s="2" t="str">
        <f>"28333"</f>
        <v>28333</v>
      </c>
      <c r="C25559" s="1">
        <v>9.2743913786394599E-2</v>
      </c>
      <c r="D25559" s="1">
        <v>2.20169058384116E-2</v>
      </c>
      <c r="E25559" s="1">
        <v>1.0144153764014899E-2</v>
      </c>
      <c r="F25559" s="1">
        <v>8.4956636243926797E-2</v>
      </c>
    </row>
    <row r="25560" spans="1:6" x14ac:dyDescent="0.25">
      <c r="A25560" s="2" t="str">
        <f t="shared" si="891"/>
        <v>24140</v>
      </c>
      <c r="B25560" s="2" t="str">
        <f>"27530"</f>
        <v>27530</v>
      </c>
      <c r="C25560" s="1">
        <v>0.317532017120912</v>
      </c>
      <c r="D25560" s="1">
        <v>0.362689207784548</v>
      </c>
      <c r="E25560" s="1">
        <v>0.45381740523224701</v>
      </c>
      <c r="F25560" s="1">
        <v>0.32487248179933098</v>
      </c>
    </row>
    <row r="25561" spans="1:6" x14ac:dyDescent="0.25">
      <c r="A25561" s="2" t="str">
        <f t="shared" si="891"/>
        <v>24140</v>
      </c>
      <c r="B25561" s="2" t="str">
        <f>"27534"</f>
        <v>27534</v>
      </c>
      <c r="C25561" s="1">
        <v>0.27310561843374098</v>
      </c>
      <c r="D25561" s="1">
        <v>0.31079221545114899</v>
      </c>
      <c r="E25561" s="1">
        <v>0.374265883609183</v>
      </c>
      <c r="F25561" s="1">
        <v>0.27887511540964699</v>
      </c>
    </row>
    <row r="25562" spans="1:6" x14ac:dyDescent="0.25">
      <c r="A25562" s="2" t="str">
        <f t="shared" si="891"/>
        <v>24140</v>
      </c>
      <c r="B25562" s="2" t="str">
        <f>"27883"</f>
        <v>27883</v>
      </c>
      <c r="C25562" s="1">
        <v>4.4155712328071799E-3</v>
      </c>
      <c r="D25562" s="1">
        <v>5.8973854924316801E-4</v>
      </c>
      <c r="E25562" s="1">
        <v>0</v>
      </c>
      <c r="F25562" s="1">
        <v>3.9958225491531496E-3</v>
      </c>
    </row>
    <row r="25563" spans="1:6" x14ac:dyDescent="0.25">
      <c r="A25563" s="2" t="str">
        <f t="shared" si="891"/>
        <v>24140</v>
      </c>
      <c r="B25563" s="2" t="str">
        <f>"27830"</f>
        <v>27830</v>
      </c>
      <c r="C25563" s="1">
        <v>2.53937640630022E-2</v>
      </c>
      <c r="D25563" s="1">
        <v>9.6323963043050895E-3</v>
      </c>
      <c r="E25563" s="1">
        <v>3.6839295248264799E-2</v>
      </c>
      <c r="F25563" s="1">
        <v>2.4504684496511199E-2</v>
      </c>
    </row>
    <row r="25564" spans="1:6" x14ac:dyDescent="0.25">
      <c r="A25564" s="2" t="str">
        <f t="shared" si="891"/>
        <v>24140</v>
      </c>
      <c r="B25564" s="2" t="str">
        <f>"27532"</f>
        <v>27532</v>
      </c>
      <c r="C25564" s="1">
        <v>1.19947892875873E-2</v>
      </c>
      <c r="D25564" s="1">
        <v>6.2512286219775795E-2</v>
      </c>
      <c r="E25564" s="1">
        <v>5.3390282968499697E-4</v>
      </c>
      <c r="F25564" s="1">
        <v>1.55594908353388E-2</v>
      </c>
    </row>
    <row r="25565" spans="1:6" x14ac:dyDescent="0.25">
      <c r="A25565" s="2" t="str">
        <f t="shared" ref="A25565:A25582" si="892">"48980"</f>
        <v>48980</v>
      </c>
      <c r="B25565" s="2" t="str">
        <f>"27880"</f>
        <v>27880</v>
      </c>
      <c r="C25565" s="1">
        <v>3.2282539527142697E-2</v>
      </c>
      <c r="D25565" s="1">
        <v>9.4066570188133108E-3</v>
      </c>
      <c r="E25565" s="1">
        <v>0</v>
      </c>
      <c r="F25565" s="1">
        <v>2.9099792144341802E-2</v>
      </c>
    </row>
    <row r="25566" spans="1:6" x14ac:dyDescent="0.25">
      <c r="A25566" s="2" t="str">
        <f t="shared" si="892"/>
        <v>48980</v>
      </c>
      <c r="B25566" s="2" t="str">
        <f>"27894"</f>
        <v>27894</v>
      </c>
      <c r="C25566" s="1">
        <v>3.2258064516128997E-2</v>
      </c>
      <c r="D25566" s="1">
        <v>0.107091172214182</v>
      </c>
      <c r="E25566" s="1">
        <v>6.0132291040288605E-4</v>
      </c>
      <c r="F25566" s="1">
        <v>3.7778301583560103E-2</v>
      </c>
    </row>
    <row r="25567" spans="1:6" x14ac:dyDescent="0.25">
      <c r="A25567" s="2" t="str">
        <f t="shared" si="892"/>
        <v>48980</v>
      </c>
      <c r="B25567" s="2" t="str">
        <f>"27830"</f>
        <v>27830</v>
      </c>
      <c r="C25567" s="1">
        <v>3.3286014978706701E-3</v>
      </c>
      <c r="D25567" s="1">
        <v>1.20598166907863E-3</v>
      </c>
      <c r="E25567" s="1">
        <v>0</v>
      </c>
      <c r="F25567" s="1">
        <v>3.0214069899500702E-3</v>
      </c>
    </row>
    <row r="25568" spans="1:6" x14ac:dyDescent="0.25">
      <c r="A25568" s="2" t="str">
        <f t="shared" si="892"/>
        <v>48980</v>
      </c>
      <c r="B25568" s="2" t="str">
        <f>"27851"</f>
        <v>27851</v>
      </c>
      <c r="C25568" s="1">
        <v>6.78202555191149E-2</v>
      </c>
      <c r="D25568" s="1">
        <v>2.2913651712493901E-2</v>
      </c>
      <c r="E25568" s="1">
        <v>6.0132291040288605E-4</v>
      </c>
      <c r="F25568" s="1">
        <v>6.1435275462318098E-2</v>
      </c>
    </row>
    <row r="25569" spans="1:6" x14ac:dyDescent="0.25">
      <c r="A25569" s="2" t="str">
        <f t="shared" si="892"/>
        <v>48980</v>
      </c>
      <c r="B25569" s="2" t="str">
        <f>"27896"</f>
        <v>27896</v>
      </c>
      <c r="C25569" s="1">
        <v>0.21567379705320799</v>
      </c>
      <c r="D25569" s="1">
        <v>0.16160154365653601</v>
      </c>
      <c r="E25569" s="1">
        <v>0.17739025856885099</v>
      </c>
      <c r="F25569" s="1">
        <v>0.20950564638824001</v>
      </c>
    </row>
    <row r="25570" spans="1:6" x14ac:dyDescent="0.25">
      <c r="A25570" s="2" t="str">
        <f t="shared" si="892"/>
        <v>48980</v>
      </c>
      <c r="B25570" s="2" t="str">
        <f>"27852"</f>
        <v>27852</v>
      </c>
      <c r="C25570" s="1">
        <v>3.72020167409075E-3</v>
      </c>
      <c r="D25570" s="1">
        <v>2.4119633381572601E-4</v>
      </c>
      <c r="E25570" s="1">
        <v>0</v>
      </c>
      <c r="F25570" s="1">
        <v>3.2785480103713501E-3</v>
      </c>
    </row>
    <row r="25571" spans="1:6" x14ac:dyDescent="0.25">
      <c r="A25571" s="2" t="str">
        <f t="shared" si="892"/>
        <v>48980</v>
      </c>
      <c r="B25571" s="2" t="str">
        <f>"27895"</f>
        <v>27895</v>
      </c>
      <c r="C25571" s="1">
        <v>2.5331636399236301E-2</v>
      </c>
      <c r="D25571" s="1">
        <v>8.5142305836951204E-2</v>
      </c>
      <c r="E25571" s="1">
        <v>6.0132291040288605E-4</v>
      </c>
      <c r="F25571" s="1">
        <v>2.97640731137634E-2</v>
      </c>
    </row>
    <row r="25572" spans="1:6" x14ac:dyDescent="0.25">
      <c r="A25572" s="2" t="str">
        <f t="shared" si="892"/>
        <v>48980</v>
      </c>
      <c r="B25572" s="2" t="str">
        <f>"27803"</f>
        <v>27803</v>
      </c>
      <c r="C25572" s="1">
        <v>4.9439522247785002E-3</v>
      </c>
      <c r="D25572" s="1">
        <v>1.20598166907863E-3</v>
      </c>
      <c r="E25572" s="1">
        <v>0</v>
      </c>
      <c r="F25572" s="1">
        <v>4.4356826022671197E-3</v>
      </c>
    </row>
    <row r="25573" spans="1:6" x14ac:dyDescent="0.25">
      <c r="A25573" s="2" t="str">
        <f t="shared" si="892"/>
        <v>48980</v>
      </c>
      <c r="B25573" s="2" t="str">
        <f>"27822"</f>
        <v>27822</v>
      </c>
      <c r="C25573" s="1">
        <v>9.0753340839003299E-2</v>
      </c>
      <c r="D25573" s="1">
        <v>4.4138929088277802E-2</v>
      </c>
      <c r="E25573" s="1">
        <v>3.60793746241731E-3</v>
      </c>
      <c r="F25573" s="1">
        <v>8.35065463818115E-2</v>
      </c>
    </row>
    <row r="25574" spans="1:6" x14ac:dyDescent="0.25">
      <c r="A25574" s="2" t="str">
        <f t="shared" si="892"/>
        <v>48980</v>
      </c>
      <c r="B25574" s="2" t="str">
        <f>"27557"</f>
        <v>27557</v>
      </c>
      <c r="C25574" s="1">
        <v>1.4440256498115399E-3</v>
      </c>
      <c r="D25574" s="1">
        <v>4.8239266763145202E-4</v>
      </c>
      <c r="E25574" s="1">
        <v>0</v>
      </c>
      <c r="F25574" s="1">
        <v>1.3071335204748501E-3</v>
      </c>
    </row>
    <row r="25575" spans="1:6" x14ac:dyDescent="0.25">
      <c r="A25575" s="2" t="str">
        <f t="shared" si="892"/>
        <v>48980</v>
      </c>
      <c r="B25575" s="2" t="str">
        <f>"27888"</f>
        <v>27888</v>
      </c>
      <c r="C25575" s="1">
        <v>1.6643007489353301E-3</v>
      </c>
      <c r="D25575" s="1">
        <v>4.8239266763145202E-4</v>
      </c>
      <c r="E25575" s="1">
        <v>0</v>
      </c>
      <c r="F25575" s="1">
        <v>1.49998928579081E-3</v>
      </c>
    </row>
    <row r="25576" spans="1:6" x14ac:dyDescent="0.25">
      <c r="A25576" s="2" t="str">
        <f t="shared" si="892"/>
        <v>48980</v>
      </c>
      <c r="B25576" s="2" t="str">
        <f>"27813"</f>
        <v>27813</v>
      </c>
      <c r="C25576" s="1">
        <v>4.1607518723383403E-3</v>
      </c>
      <c r="D25576" s="1">
        <v>2.4119633381572601E-4</v>
      </c>
      <c r="E25576" s="1">
        <v>7.9975947083583798E-2</v>
      </c>
      <c r="F25576" s="1">
        <v>6.5142391840058199E-3</v>
      </c>
    </row>
    <row r="25577" spans="1:6" x14ac:dyDescent="0.25">
      <c r="A25577" s="2" t="str">
        <f t="shared" si="892"/>
        <v>48980</v>
      </c>
      <c r="B25577" s="2" t="str">
        <f>"27873"</f>
        <v>27873</v>
      </c>
      <c r="C25577" s="1">
        <v>0</v>
      </c>
      <c r="D25577" s="1">
        <v>2.4119633381572601E-4</v>
      </c>
      <c r="E25577" s="1">
        <v>0</v>
      </c>
      <c r="F25577" s="1">
        <v>2.1428418368440202E-5</v>
      </c>
    </row>
    <row r="25578" spans="1:6" x14ac:dyDescent="0.25">
      <c r="A25578" s="2" t="str">
        <f t="shared" si="892"/>
        <v>48980</v>
      </c>
      <c r="B25578" s="2" t="str">
        <f>"27893"</f>
        <v>27893</v>
      </c>
      <c r="C25578" s="1">
        <v>0.46720348524156802</v>
      </c>
      <c r="D25578" s="1">
        <v>0.55137481910274899</v>
      </c>
      <c r="E25578" s="1">
        <v>0.71557426337943397</v>
      </c>
      <c r="F25578" s="1">
        <v>0.483532260483853</v>
      </c>
    </row>
    <row r="25579" spans="1:6" x14ac:dyDescent="0.25">
      <c r="A25579" s="2" t="str">
        <f t="shared" si="892"/>
        <v>48980</v>
      </c>
      <c r="B25579" s="2" t="str">
        <f>"27829"</f>
        <v>27829</v>
      </c>
      <c r="C25579" s="1">
        <v>2.91252631063683E-3</v>
      </c>
      <c r="D25579" s="1">
        <v>7.2358900144717795E-4</v>
      </c>
      <c r="E25579" s="1">
        <v>0</v>
      </c>
      <c r="F25579" s="1">
        <v>2.6142670409497002E-3</v>
      </c>
    </row>
    <row r="25580" spans="1:6" x14ac:dyDescent="0.25">
      <c r="A25580" s="2" t="str">
        <f t="shared" si="892"/>
        <v>48980</v>
      </c>
      <c r="B25580" s="2" t="str">
        <f>"27542"</f>
        <v>27542</v>
      </c>
      <c r="C25580" s="1">
        <v>2.42302609036174E-2</v>
      </c>
      <c r="D25580" s="1">
        <v>6.0299083453931503E-3</v>
      </c>
      <c r="E25580" s="1">
        <v>1.9843656043295198E-2</v>
      </c>
      <c r="F25580" s="1">
        <v>2.2456982450125298E-2</v>
      </c>
    </row>
    <row r="25581" spans="1:6" x14ac:dyDescent="0.25">
      <c r="A25581" s="2" t="str">
        <f t="shared" si="892"/>
        <v>48980</v>
      </c>
      <c r="B25581" s="2" t="str">
        <f>"27883"</f>
        <v>27883</v>
      </c>
      <c r="C25581" s="1">
        <v>1.8331783249302399E-2</v>
      </c>
      <c r="D25581" s="1">
        <v>6.5123010130246003E-3</v>
      </c>
      <c r="E25581" s="1">
        <v>1.80396873120865E-3</v>
      </c>
      <c r="F25581" s="1">
        <v>1.6692737909014901E-2</v>
      </c>
    </row>
    <row r="25582" spans="1:6" x14ac:dyDescent="0.25">
      <c r="A25582" s="2" t="str">
        <f t="shared" si="892"/>
        <v>48980</v>
      </c>
      <c r="B25582" s="2" t="str">
        <f>"27807"</f>
        <v>27807</v>
      </c>
      <c r="C25582" s="1">
        <v>3.9404767732145402E-3</v>
      </c>
      <c r="D25582" s="1">
        <v>9.6478533526290404E-4</v>
      </c>
      <c r="E25582" s="1">
        <v>0</v>
      </c>
      <c r="F25582" s="1">
        <v>3.53568903079263E-3</v>
      </c>
    </row>
    <row r="25583" spans="1:6" x14ac:dyDescent="0.25">
      <c r="A25583" s="2" t="str">
        <f t="shared" ref="A25583:A25594" si="893">"28620"</f>
        <v>28620</v>
      </c>
      <c r="B25583" s="2" t="str">
        <f>"27943"</f>
        <v>27943</v>
      </c>
      <c r="C25583" s="1">
        <v>0</v>
      </c>
      <c r="D25583" s="1">
        <v>4.73709142586451E-4</v>
      </c>
      <c r="E25583" s="1">
        <v>0</v>
      </c>
      <c r="F25583" s="1">
        <v>3.9706174310105198E-5</v>
      </c>
    </row>
    <row r="25584" spans="1:6" x14ac:dyDescent="0.25">
      <c r="A25584" s="2" t="str">
        <f t="shared" si="893"/>
        <v>28620</v>
      </c>
      <c r="B25584" s="2" t="str">
        <f>"27978"</f>
        <v>27978</v>
      </c>
      <c r="C25584" s="1">
        <v>5.0500413185198701E-3</v>
      </c>
      <c r="D25584" s="1">
        <v>2.8422548555187099E-3</v>
      </c>
      <c r="E25584" s="1">
        <v>7.73993808049535E-4</v>
      </c>
      <c r="F25584" s="1">
        <v>4.6456223942823102E-3</v>
      </c>
    </row>
    <row r="25585" spans="1:6" x14ac:dyDescent="0.25">
      <c r="A25585" s="2" t="str">
        <f t="shared" si="893"/>
        <v>28620</v>
      </c>
      <c r="B25585" s="2" t="str">
        <f>"27959"</f>
        <v>27959</v>
      </c>
      <c r="C25585" s="1">
        <v>0.163896795519236</v>
      </c>
      <c r="D25585" s="1">
        <v>0.27664613927048698</v>
      </c>
      <c r="E25585" s="1">
        <v>2.0897832817337401E-2</v>
      </c>
      <c r="F25585" s="1">
        <v>0.16601151479054899</v>
      </c>
    </row>
    <row r="25586" spans="1:6" x14ac:dyDescent="0.25">
      <c r="A25586" s="2" t="str">
        <f t="shared" si="893"/>
        <v>28620</v>
      </c>
      <c r="B25586" s="2" t="str">
        <f>"27948"</f>
        <v>27948</v>
      </c>
      <c r="C25586" s="1">
        <v>0.32586539344412802</v>
      </c>
      <c r="D25586" s="1">
        <v>0.17811463761250501</v>
      </c>
      <c r="E25586" s="1">
        <v>0.100619195046439</v>
      </c>
      <c r="F25586" s="1">
        <v>0.30192574945403999</v>
      </c>
    </row>
    <row r="25587" spans="1:6" x14ac:dyDescent="0.25">
      <c r="A25587" s="2" t="str">
        <f t="shared" si="893"/>
        <v>28620</v>
      </c>
      <c r="B25587" s="2" t="str">
        <f>"27920"</f>
        <v>27920</v>
      </c>
      <c r="C25587" s="1">
        <v>0</v>
      </c>
      <c r="D25587" s="1">
        <v>4.73709142586451E-4</v>
      </c>
      <c r="E25587" s="1">
        <v>0.51006191950464297</v>
      </c>
      <c r="F25587" s="1">
        <v>2.6206075044669399E-2</v>
      </c>
    </row>
    <row r="25588" spans="1:6" x14ac:dyDescent="0.25">
      <c r="A25588" s="2" t="str">
        <f t="shared" si="893"/>
        <v>28620</v>
      </c>
      <c r="B25588" s="2" t="str">
        <f>"27968"</f>
        <v>27968</v>
      </c>
      <c r="C25588" s="1">
        <v>0</v>
      </c>
      <c r="D25588" s="1">
        <v>0</v>
      </c>
      <c r="E25588" s="1">
        <v>1.54798761609907E-3</v>
      </c>
      <c r="F25588" s="1">
        <v>7.9412348620210395E-5</v>
      </c>
    </row>
    <row r="25589" spans="1:6" x14ac:dyDescent="0.25">
      <c r="A25589" s="2" t="str">
        <f t="shared" si="893"/>
        <v>28620</v>
      </c>
      <c r="B25589" s="2" t="str">
        <f>"27954"</f>
        <v>27954</v>
      </c>
      <c r="C25589" s="1">
        <v>0.138692498393168</v>
      </c>
      <c r="D25589" s="1">
        <v>8.6215063950734194E-2</v>
      </c>
      <c r="E25589" s="1">
        <v>2.8637770897832801E-2</v>
      </c>
      <c r="F25589" s="1">
        <v>0.12864800476474</v>
      </c>
    </row>
    <row r="25590" spans="1:6" x14ac:dyDescent="0.25">
      <c r="A25590" s="2" t="str">
        <f t="shared" si="893"/>
        <v>28620</v>
      </c>
      <c r="B25590" s="2" t="str">
        <f>"27981"</f>
        <v>27981</v>
      </c>
      <c r="C25590" s="1">
        <v>1.9190157010375498E-2</v>
      </c>
      <c r="D25590" s="1">
        <v>1.32638559924206E-2</v>
      </c>
      <c r="E25590" s="1">
        <v>9.28792569659442E-3</v>
      </c>
      <c r="F25590" s="1">
        <v>1.8185427834028101E-2</v>
      </c>
    </row>
    <row r="25591" spans="1:6" x14ac:dyDescent="0.25">
      <c r="A25591" s="2" t="str">
        <f t="shared" si="893"/>
        <v>28620</v>
      </c>
      <c r="B25591" s="2" t="str">
        <f>"27915"</f>
        <v>27915</v>
      </c>
      <c r="C25591" s="1">
        <v>4.5909466531998801E-5</v>
      </c>
      <c r="D25591" s="1">
        <v>4.73709142586451E-4</v>
      </c>
      <c r="E25591" s="1">
        <v>0.25541795665634598</v>
      </c>
      <c r="F25591" s="1">
        <v>1.3182449870954901E-2</v>
      </c>
    </row>
    <row r="25592" spans="1:6" x14ac:dyDescent="0.25">
      <c r="A25592" s="2" t="str">
        <f t="shared" si="893"/>
        <v>28620</v>
      </c>
      <c r="B25592" s="2" t="str">
        <f>"27953"</f>
        <v>27953</v>
      </c>
      <c r="C25592" s="1">
        <v>1.2808741162427599E-2</v>
      </c>
      <c r="D25592" s="1">
        <v>7.1056371387967698E-3</v>
      </c>
      <c r="E25592" s="1">
        <v>0</v>
      </c>
      <c r="F25592" s="1">
        <v>1.16736152471709E-2</v>
      </c>
    </row>
    <row r="25593" spans="1:6" x14ac:dyDescent="0.25">
      <c r="A25593" s="2" t="str">
        <f t="shared" si="893"/>
        <v>28620</v>
      </c>
      <c r="B25593" s="2" t="str">
        <f>"27936"</f>
        <v>27936</v>
      </c>
      <c r="C25593" s="1">
        <v>0</v>
      </c>
      <c r="D25593" s="1">
        <v>4.73709142586451E-4</v>
      </c>
      <c r="E25593" s="1">
        <v>7.73993808049535E-4</v>
      </c>
      <c r="F25593" s="1">
        <v>7.9412348620210395E-5</v>
      </c>
    </row>
    <row r="25594" spans="1:6" x14ac:dyDescent="0.25">
      <c r="A25594" s="2" t="str">
        <f t="shared" si="893"/>
        <v>28620</v>
      </c>
      <c r="B25594" s="2" t="str">
        <f>"27949"</f>
        <v>27949</v>
      </c>
      <c r="C25594" s="1">
        <v>0.33445046368561099</v>
      </c>
      <c r="D25594" s="1">
        <v>0.43391757460918901</v>
      </c>
      <c r="E25594" s="1">
        <v>7.1981424148606796E-2</v>
      </c>
      <c r="F25594" s="1">
        <v>0.32932300972801198</v>
      </c>
    </row>
    <row r="25595" spans="1:6" x14ac:dyDescent="0.25">
      <c r="A25595" s="2" t="str">
        <f t="shared" ref="A25595:A25620" si="894">"48900"</f>
        <v>48900</v>
      </c>
      <c r="B25595" s="2" t="str">
        <f>"28403"</f>
        <v>28403</v>
      </c>
      <c r="C25595" s="1">
        <v>0.12998189577136901</v>
      </c>
      <c r="D25595" s="1">
        <v>0.228531055302203</v>
      </c>
      <c r="E25595" s="1">
        <v>0.27576039726877699</v>
      </c>
      <c r="F25595" s="1">
        <v>0.143983517572011</v>
      </c>
    </row>
    <row r="25596" spans="1:6" x14ac:dyDescent="0.25">
      <c r="A25596" s="2" t="str">
        <f t="shared" si="894"/>
        <v>48900</v>
      </c>
      <c r="B25596" s="2" t="str">
        <f>"28408"</f>
        <v>28408</v>
      </c>
      <c r="C25596" s="1">
        <v>7.8882710461657801E-3</v>
      </c>
      <c r="D25596" s="1">
        <v>2.15813475496178E-2</v>
      </c>
      <c r="E25596" s="1">
        <v>1.5518311607697001E-4</v>
      </c>
      <c r="F25596" s="1">
        <v>8.81289161331952E-3</v>
      </c>
    </row>
    <row r="25597" spans="1:6" x14ac:dyDescent="0.25">
      <c r="A25597" s="2" t="str">
        <f t="shared" si="894"/>
        <v>48900</v>
      </c>
      <c r="B25597" s="2" t="str">
        <f>"28447"</f>
        <v>28447</v>
      </c>
      <c r="C25597" s="1">
        <v>1.2349670244406999E-3</v>
      </c>
      <c r="D25597" s="1">
        <v>7.7076241248635099E-4</v>
      </c>
      <c r="E25597" s="1">
        <v>0</v>
      </c>
      <c r="F25597" s="1">
        <v>1.14901541265501E-3</v>
      </c>
    </row>
    <row r="25598" spans="1:6" x14ac:dyDescent="0.25">
      <c r="A25598" s="2" t="str">
        <f t="shared" si="894"/>
        <v>48900</v>
      </c>
      <c r="B25598" s="2" t="str">
        <f>"28466"</f>
        <v>28466</v>
      </c>
      <c r="C25598" s="1">
        <v>2.30182335445493E-3</v>
      </c>
      <c r="D25598" s="1">
        <v>7.0653221144582098E-4</v>
      </c>
      <c r="E25598" s="1">
        <v>6.2073246430788297E-4</v>
      </c>
      <c r="F25598" s="1">
        <v>2.09992471967986E-3</v>
      </c>
    </row>
    <row r="25599" spans="1:6" x14ac:dyDescent="0.25">
      <c r="A25599" s="2" t="str">
        <f t="shared" si="894"/>
        <v>48900</v>
      </c>
      <c r="B25599" s="2" t="str">
        <f>"28404"</f>
        <v>28404</v>
      </c>
      <c r="C25599" s="1">
        <v>6.5239881029354697E-3</v>
      </c>
      <c r="D25599" s="1">
        <v>1.61217804611728E-2</v>
      </c>
      <c r="E25599" s="1">
        <v>1.5518311607697001E-4</v>
      </c>
      <c r="F25599" s="1">
        <v>7.1374799771328898E-3</v>
      </c>
    </row>
    <row r="25600" spans="1:6" x14ac:dyDescent="0.25">
      <c r="A25600" s="2" t="str">
        <f t="shared" si="894"/>
        <v>48900</v>
      </c>
      <c r="B25600" s="2" t="str">
        <f>"28478"</f>
        <v>28478</v>
      </c>
      <c r="C25600" s="1">
        <v>1.3972585025216601E-2</v>
      </c>
      <c r="D25600" s="1">
        <v>4.1107328665938702E-3</v>
      </c>
      <c r="E25600" s="1">
        <v>1.2414649286157601E-3</v>
      </c>
      <c r="F25600" s="1">
        <v>1.2639169539205099E-2</v>
      </c>
    </row>
    <row r="25601" spans="1:6" x14ac:dyDescent="0.25">
      <c r="A25601" s="2" t="str">
        <f t="shared" si="894"/>
        <v>48900</v>
      </c>
      <c r="B25601" s="2" t="str">
        <f>"28409"</f>
        <v>28409</v>
      </c>
      <c r="C25601" s="1">
        <v>9.4969610759084402E-2</v>
      </c>
      <c r="D25601" s="1">
        <v>9.8914509602415004E-3</v>
      </c>
      <c r="E25601" s="1">
        <v>1.7846058348851598E-2</v>
      </c>
      <c r="F25601" s="1">
        <v>8.46592291974438E-2</v>
      </c>
    </row>
    <row r="25602" spans="1:6" x14ac:dyDescent="0.25">
      <c r="A25602" s="2" t="str">
        <f t="shared" si="894"/>
        <v>48900</v>
      </c>
      <c r="B25602" s="2" t="str">
        <f>"28401"</f>
        <v>28401</v>
      </c>
      <c r="C25602" s="1">
        <v>8.4385102806155396E-2</v>
      </c>
      <c r="D25602" s="1">
        <v>0.18067955552700801</v>
      </c>
      <c r="E25602" s="1">
        <v>0.18094351334574699</v>
      </c>
      <c r="F25602" s="1">
        <v>9.6392770825196802E-2</v>
      </c>
    </row>
    <row r="25603" spans="1:6" x14ac:dyDescent="0.25">
      <c r="A25603" s="2" t="str">
        <f t="shared" si="894"/>
        <v>48900</v>
      </c>
      <c r="B25603" s="2" t="str">
        <f>"28443"</f>
        <v>28443</v>
      </c>
      <c r="C25603" s="1">
        <v>7.4434242855295402E-2</v>
      </c>
      <c r="D25603" s="1">
        <v>3.80885092170338E-2</v>
      </c>
      <c r="E25603" s="1">
        <v>2.1260086902545001E-2</v>
      </c>
      <c r="F25603" s="1">
        <v>6.9291855574988806E-2</v>
      </c>
    </row>
    <row r="25604" spans="1:6" x14ac:dyDescent="0.25">
      <c r="A25604" s="2" t="str">
        <f t="shared" si="894"/>
        <v>48900</v>
      </c>
      <c r="B25604" s="2" t="str">
        <f>"28429"</f>
        <v>28429</v>
      </c>
      <c r="C25604" s="1">
        <v>2.77770593560067E-2</v>
      </c>
      <c r="D25604" s="1">
        <v>1.84340676986318E-2</v>
      </c>
      <c r="E25604" s="1">
        <v>6.0521415270018602E-3</v>
      </c>
      <c r="F25604" s="1">
        <v>2.6161326292076299E-2</v>
      </c>
    </row>
    <row r="25605" spans="1:6" x14ac:dyDescent="0.25">
      <c r="A25605" s="2" t="str">
        <f t="shared" si="894"/>
        <v>48900</v>
      </c>
      <c r="B25605" s="2" t="str">
        <f>"28428"</f>
        <v>28428</v>
      </c>
      <c r="C25605" s="1">
        <v>5.0704771757403302E-2</v>
      </c>
      <c r="D25605" s="1">
        <v>3.5711991778534201E-2</v>
      </c>
      <c r="E25605" s="1">
        <v>7.82122905027932E-2</v>
      </c>
      <c r="F25605" s="1">
        <v>5.0386872923423399E-2</v>
      </c>
    </row>
    <row r="25606" spans="1:6" x14ac:dyDescent="0.25">
      <c r="A25606" s="2" t="str">
        <f t="shared" si="894"/>
        <v>48900</v>
      </c>
      <c r="B25606" s="2" t="str">
        <f>"28480"</f>
        <v>28480</v>
      </c>
      <c r="C25606" s="1">
        <v>2.4751066856329999E-2</v>
      </c>
      <c r="D25606" s="1">
        <v>3.7189286402466402E-2</v>
      </c>
      <c r="E25606" s="1">
        <v>2.0639354438237102E-2</v>
      </c>
      <c r="F25606" s="1">
        <v>2.5697191987456999E-2</v>
      </c>
    </row>
    <row r="25607" spans="1:6" x14ac:dyDescent="0.25">
      <c r="A25607" s="2" t="str">
        <f t="shared" si="894"/>
        <v>48900</v>
      </c>
      <c r="B25607" s="2" t="str">
        <f>"28411"</f>
        <v>28411</v>
      </c>
      <c r="C25607" s="1">
        <v>0.113442389758179</v>
      </c>
      <c r="D25607" s="1">
        <v>3.7189286402466402E-2</v>
      </c>
      <c r="E25607" s="1">
        <v>5.4469273743016702E-2</v>
      </c>
      <c r="F25607" s="1">
        <v>0.104571722900499</v>
      </c>
    </row>
    <row r="25608" spans="1:6" x14ac:dyDescent="0.25">
      <c r="A25608" s="2" t="str">
        <f t="shared" si="894"/>
        <v>48900</v>
      </c>
      <c r="B25608" s="2" t="str">
        <f>"28405"</f>
        <v>28405</v>
      </c>
      <c r="C25608" s="1">
        <v>0.107241691452217</v>
      </c>
      <c r="D25608" s="1">
        <v>0.17200847838653699</v>
      </c>
      <c r="E25608" s="1">
        <v>0.130353817504655</v>
      </c>
      <c r="F25608" s="1">
        <v>0.11379214707397201</v>
      </c>
    </row>
    <row r="25609" spans="1:6" x14ac:dyDescent="0.25">
      <c r="A25609" s="2" t="str">
        <f t="shared" si="894"/>
        <v>48900</v>
      </c>
      <c r="B25609" s="2" t="str">
        <f>"28412"</f>
        <v>28412</v>
      </c>
      <c r="C25609" s="1">
        <v>0.13961593172119399</v>
      </c>
      <c r="D25609" s="1">
        <v>7.7461622454878198E-2</v>
      </c>
      <c r="E25609" s="1">
        <v>0.180012414649286</v>
      </c>
      <c r="F25609" s="1">
        <v>0.13561211956552499</v>
      </c>
    </row>
    <row r="25610" spans="1:6" x14ac:dyDescent="0.25">
      <c r="A25610" s="2" t="str">
        <f t="shared" si="894"/>
        <v>48900</v>
      </c>
      <c r="B25610" s="2" t="str">
        <f>"28454"</f>
        <v>28454</v>
      </c>
      <c r="C25610" s="1">
        <v>3.0130609077977399E-3</v>
      </c>
      <c r="D25610" s="1">
        <v>1.41306442289164E-3</v>
      </c>
      <c r="E25610" s="1">
        <v>0</v>
      </c>
      <c r="F25610" s="1">
        <v>2.7621651299293E-3</v>
      </c>
    </row>
    <row r="25611" spans="1:6" x14ac:dyDescent="0.25">
      <c r="A25611" s="2" t="str">
        <f t="shared" si="894"/>
        <v>48900</v>
      </c>
      <c r="B25611" s="2" t="str">
        <f>"28445"</f>
        <v>28445</v>
      </c>
      <c r="C25611" s="1">
        <v>1.18905987327039E-2</v>
      </c>
      <c r="D25611" s="1">
        <v>1.19468173935384E-2</v>
      </c>
      <c r="E25611" s="1">
        <v>1.1328367473618799E-2</v>
      </c>
      <c r="F25611" s="1">
        <v>1.1875045988917299E-2</v>
      </c>
    </row>
    <row r="25612" spans="1:6" x14ac:dyDescent="0.25">
      <c r="A25612" s="2" t="str">
        <f t="shared" si="894"/>
        <v>48900</v>
      </c>
      <c r="B25612" s="2" t="str">
        <f>"28421"</f>
        <v>28421</v>
      </c>
      <c r="C25612" s="1">
        <v>4.8105521789732304E-3</v>
      </c>
      <c r="D25612" s="1">
        <v>1.2203738197700501E-3</v>
      </c>
      <c r="E25612" s="1">
        <v>0</v>
      </c>
      <c r="F25612" s="1">
        <v>4.3187131027378201E-3</v>
      </c>
    </row>
    <row r="25613" spans="1:6" x14ac:dyDescent="0.25">
      <c r="A25613" s="2" t="str">
        <f t="shared" si="894"/>
        <v>48900</v>
      </c>
      <c r="B25613" s="2" t="str">
        <f>"28435"</f>
        <v>28435</v>
      </c>
      <c r="C25613" s="1">
        <v>8.7352903142376807E-3</v>
      </c>
      <c r="D25613" s="1">
        <v>2.3765174384995798E-3</v>
      </c>
      <c r="E25613" s="1">
        <v>1.3966480446927301E-3</v>
      </c>
      <c r="F25613" s="1">
        <v>7.9072637018672894E-3</v>
      </c>
    </row>
    <row r="25614" spans="1:6" x14ac:dyDescent="0.25">
      <c r="A25614" s="2" t="str">
        <f t="shared" si="894"/>
        <v>48900</v>
      </c>
      <c r="B25614" s="2" t="str">
        <f>"28406"</f>
        <v>28406</v>
      </c>
      <c r="C25614" s="1">
        <v>7.5779128410707296E-3</v>
      </c>
      <c r="D25614" s="1">
        <v>4.0143875650330701E-2</v>
      </c>
      <c r="E25614" s="1">
        <v>1.5518311607697001E-4</v>
      </c>
      <c r="F25614" s="1">
        <v>1.01769936549444E-2</v>
      </c>
    </row>
    <row r="25615" spans="1:6" x14ac:dyDescent="0.25">
      <c r="A25615" s="2" t="str">
        <f t="shared" si="894"/>
        <v>48900</v>
      </c>
      <c r="B25615" s="2" t="str">
        <f>"28402"</f>
        <v>28402</v>
      </c>
      <c r="C25615" s="1">
        <v>9.5887753782490596E-3</v>
      </c>
      <c r="D25615" s="1">
        <v>3.4234697154601999E-2</v>
      </c>
      <c r="E25615" s="1">
        <v>3.10366232153941E-4</v>
      </c>
      <c r="F25615" s="1">
        <v>1.1422232033191201E-2</v>
      </c>
    </row>
    <row r="25616" spans="1:6" x14ac:dyDescent="0.25">
      <c r="A25616" s="2" t="str">
        <f t="shared" si="894"/>
        <v>48900</v>
      </c>
      <c r="B25616" s="2" t="str">
        <f>"28449"</f>
        <v>28449</v>
      </c>
      <c r="C25616" s="1">
        <v>1.27246864088969E-2</v>
      </c>
      <c r="D25616" s="1">
        <v>6.1660992998908001E-3</v>
      </c>
      <c r="E25616" s="1">
        <v>3.4140285536933498E-3</v>
      </c>
      <c r="F25616" s="1">
        <v>1.1807123895558399E-2</v>
      </c>
    </row>
    <row r="25617" spans="1:6" x14ac:dyDescent="0.25">
      <c r="A25617" s="2" t="str">
        <f t="shared" si="894"/>
        <v>48900</v>
      </c>
      <c r="B25617" s="2" t="str">
        <f>"28425"</f>
        <v>28425</v>
      </c>
      <c r="C25617" s="1">
        <v>3.13332471227208E-2</v>
      </c>
      <c r="D25617" s="1">
        <v>1.53510180486864E-2</v>
      </c>
      <c r="E25617" s="1">
        <v>9.7765363128491604E-3</v>
      </c>
      <c r="F25617" s="1">
        <v>2.91385780509755E-2</v>
      </c>
    </row>
    <row r="25618" spans="1:6" x14ac:dyDescent="0.25">
      <c r="A25618" s="2" t="str">
        <f t="shared" si="894"/>
        <v>48900</v>
      </c>
      <c r="B25618" s="2" t="str">
        <f>"28457"</f>
        <v>28457</v>
      </c>
      <c r="C25618" s="1">
        <v>3.0938833570412501E-2</v>
      </c>
      <c r="D25618" s="1">
        <v>8.6710771404714393E-3</v>
      </c>
      <c r="E25618" s="1">
        <v>5.7417752948479197E-3</v>
      </c>
      <c r="F25618" s="1">
        <v>2.8057484731679402E-2</v>
      </c>
    </row>
    <row r="25619" spans="1:6" x14ac:dyDescent="0.25">
      <c r="A25619" s="2" t="str">
        <f t="shared" si="894"/>
        <v>48900</v>
      </c>
      <c r="B25619" s="2" t="str">
        <f>"28448"</f>
        <v>28448</v>
      </c>
      <c r="C25619" s="1">
        <v>1.6164489848700299E-4</v>
      </c>
      <c r="D25619" s="1">
        <v>0</v>
      </c>
      <c r="E25619" s="1">
        <v>0</v>
      </c>
      <c r="F25619" s="1">
        <v>1.4150436116441099E-4</v>
      </c>
    </row>
    <row r="25620" spans="1:6" x14ac:dyDescent="0.25">
      <c r="A25620" s="2" t="str">
        <f t="shared" si="894"/>
        <v>48900</v>
      </c>
      <c r="B25620" s="2" t="str">
        <f>"28410"</f>
        <v>28410</v>
      </c>
      <c r="C25620" s="1">
        <v>0</v>
      </c>
      <c r="D25620" s="1">
        <v>0</v>
      </c>
      <c r="E25620" s="1">
        <v>1.5518311607697001E-4</v>
      </c>
      <c r="F25620" s="1">
        <v>5.6601744465764401E-6</v>
      </c>
    </row>
    <row r="25621" spans="1:6" x14ac:dyDescent="0.25">
      <c r="A25621" s="2" t="str">
        <f t="shared" ref="A25621:A25638" si="895">"27340"</f>
        <v>27340</v>
      </c>
      <c r="B25621" s="2" t="str">
        <f>"28545"</f>
        <v>28545</v>
      </c>
      <c r="C25621" s="1">
        <v>0</v>
      </c>
      <c r="D25621" s="1">
        <v>1.7537766973432799E-2</v>
      </c>
      <c r="E25621" s="1">
        <v>5.6593095642331595E-4</v>
      </c>
      <c r="F25621" s="1">
        <v>1.0202142449914401E-3</v>
      </c>
    </row>
    <row r="25622" spans="1:6" x14ac:dyDescent="0.25">
      <c r="A25622" s="2" t="str">
        <f t="shared" si="895"/>
        <v>27340</v>
      </c>
      <c r="B25622" s="2" t="str">
        <f>"28539"</f>
        <v>28539</v>
      </c>
      <c r="C25622" s="1">
        <v>9.2479421976571802E-2</v>
      </c>
      <c r="D25622" s="1">
        <v>3.4207327661052202E-2</v>
      </c>
      <c r="E25622" s="1">
        <v>8.0362195812110904E-2</v>
      </c>
      <c r="F25622" s="1">
        <v>8.8908670820872296E-2</v>
      </c>
    </row>
    <row r="25623" spans="1:6" x14ac:dyDescent="0.25">
      <c r="A25623" s="2" t="str">
        <f t="shared" si="895"/>
        <v>27340</v>
      </c>
      <c r="B25623" s="2" t="str">
        <f>"28574"</f>
        <v>28574</v>
      </c>
      <c r="C25623" s="1">
        <v>8.4432089818610501E-2</v>
      </c>
      <c r="D25623" s="1">
        <v>3.5249175204028399E-2</v>
      </c>
      <c r="E25623" s="1">
        <v>6.22524052065647E-2</v>
      </c>
      <c r="F25623" s="1">
        <v>8.1207053481231001E-2</v>
      </c>
    </row>
    <row r="25624" spans="1:6" x14ac:dyDescent="0.25">
      <c r="A25624" s="2" t="str">
        <f t="shared" si="895"/>
        <v>27340</v>
      </c>
      <c r="B25624" s="2" t="str">
        <f>"28546"</f>
        <v>28546</v>
      </c>
      <c r="C25624" s="1">
        <v>0.242133840978659</v>
      </c>
      <c r="D25624" s="1">
        <v>0.30074665740579898</v>
      </c>
      <c r="E25624" s="1">
        <v>0.31409168081493999</v>
      </c>
      <c r="F25624" s="1">
        <v>0.24678182418307801</v>
      </c>
    </row>
    <row r="25625" spans="1:6" x14ac:dyDescent="0.25">
      <c r="A25625" s="2" t="str">
        <f t="shared" si="895"/>
        <v>27340</v>
      </c>
      <c r="B25625" s="2" t="str">
        <f>"28544"</f>
        <v>28544</v>
      </c>
      <c r="C25625" s="1">
        <v>3.4233610591327401E-2</v>
      </c>
      <c r="D25625" s="1">
        <v>1.87532557735718E-2</v>
      </c>
      <c r="E25625" s="1">
        <v>4.9801924165251803E-2</v>
      </c>
      <c r="F25625" s="1">
        <v>3.36170595825123E-2</v>
      </c>
    </row>
    <row r="25626" spans="1:6" x14ac:dyDescent="0.25">
      <c r="A25626" s="2" t="str">
        <f t="shared" si="895"/>
        <v>27340</v>
      </c>
      <c r="B25626" s="2" t="str">
        <f>"28518"</f>
        <v>28518</v>
      </c>
      <c r="C25626" s="1">
        <v>8.7071268644608596E-3</v>
      </c>
      <c r="D25626" s="1">
        <v>5.2092377148810502E-4</v>
      </c>
      <c r="E25626" s="1">
        <v>2.8296547821165799E-3</v>
      </c>
      <c r="F25626" s="1">
        <v>8.1317076586083E-3</v>
      </c>
    </row>
    <row r="25627" spans="1:6" x14ac:dyDescent="0.25">
      <c r="A25627" s="2" t="str">
        <f t="shared" si="895"/>
        <v>27340</v>
      </c>
      <c r="B25627" s="2" t="str">
        <f>"28541"</f>
        <v>28541</v>
      </c>
      <c r="C25627" s="1">
        <v>1.19303862503109E-2</v>
      </c>
      <c r="D25627" s="1">
        <v>6.2337211321409902E-2</v>
      </c>
      <c r="E25627" s="1">
        <v>5.6593095642331595E-4</v>
      </c>
      <c r="F25627" s="1">
        <v>1.4633072945318499E-2</v>
      </c>
    </row>
    <row r="25628" spans="1:6" x14ac:dyDescent="0.25">
      <c r="A25628" s="2" t="str">
        <f t="shared" si="895"/>
        <v>27340</v>
      </c>
      <c r="B25628" s="2" t="str">
        <f>"28584"</f>
        <v>28584</v>
      </c>
      <c r="C25628" s="1">
        <v>5.1561333866937703E-2</v>
      </c>
      <c r="D25628" s="1">
        <v>0.106789373155061</v>
      </c>
      <c r="E25628" s="1">
        <v>4.9235993208828502E-2</v>
      </c>
      <c r="F25628" s="1">
        <v>5.4701487312335498E-2</v>
      </c>
    </row>
    <row r="25629" spans="1:6" x14ac:dyDescent="0.25">
      <c r="A25629" s="2" t="str">
        <f t="shared" si="895"/>
        <v>27340</v>
      </c>
      <c r="B25629" s="2" t="str">
        <f>"28555"</f>
        <v>28555</v>
      </c>
      <c r="C25629" s="1">
        <v>1.7598130942208402E-2</v>
      </c>
      <c r="D25629" s="1">
        <v>2.0836950859524201E-3</v>
      </c>
      <c r="E25629" s="1">
        <v>1.1884550084889599E-2</v>
      </c>
      <c r="F25629" s="1">
        <v>1.66034867322137E-2</v>
      </c>
    </row>
    <row r="25630" spans="1:6" x14ac:dyDescent="0.25">
      <c r="A25630" s="2" t="str">
        <f t="shared" si="895"/>
        <v>27340</v>
      </c>
      <c r="B25630" s="2" t="str">
        <f>"28582"</f>
        <v>28582</v>
      </c>
      <c r="C25630" s="1">
        <v>4.8781543054308603E-3</v>
      </c>
      <c r="D25630" s="1">
        <v>1.7364125716270101E-4</v>
      </c>
      <c r="E25630" s="1">
        <v>3.9615166949632102E-3</v>
      </c>
      <c r="F25630" s="1">
        <v>4.5909641024615101E-3</v>
      </c>
    </row>
    <row r="25631" spans="1:6" x14ac:dyDescent="0.25">
      <c r="A25631" s="2" t="str">
        <f t="shared" si="895"/>
        <v>27340</v>
      </c>
      <c r="B25631" s="2" t="str">
        <f>"28543"</f>
        <v>28543</v>
      </c>
      <c r="C25631" s="1">
        <v>2.1254042594615601E-2</v>
      </c>
      <c r="D25631" s="1">
        <v>4.6883139433929501E-3</v>
      </c>
      <c r="E25631" s="1">
        <v>0</v>
      </c>
      <c r="F25631" s="1">
        <v>1.9924184078656499E-2</v>
      </c>
    </row>
    <row r="25632" spans="1:6" x14ac:dyDescent="0.25">
      <c r="A25632" s="2" t="str">
        <f t="shared" si="895"/>
        <v>27340</v>
      </c>
      <c r="B25632" s="2" t="str">
        <f>"28540"</f>
        <v>28540</v>
      </c>
      <c r="C25632" s="1">
        <v>0.26379890322650401</v>
      </c>
      <c r="D25632" s="1">
        <v>0.32140996700816099</v>
      </c>
      <c r="E25632" s="1">
        <v>0.29428409734012401</v>
      </c>
      <c r="F25632" s="1">
        <v>0.26765620780363802</v>
      </c>
    </row>
    <row r="25633" spans="1:6" x14ac:dyDescent="0.25">
      <c r="A25633" s="2" t="str">
        <f t="shared" si="895"/>
        <v>27340</v>
      </c>
      <c r="B25633" s="2" t="str">
        <f>"28521"</f>
        <v>28521</v>
      </c>
      <c r="C25633" s="1">
        <v>9.9510021308124108E-4</v>
      </c>
      <c r="D25633" s="1">
        <v>3.4728251432540299E-4</v>
      </c>
      <c r="E25633" s="1">
        <v>0</v>
      </c>
      <c r="F25633" s="1">
        <v>9.4019744146270703E-4</v>
      </c>
    </row>
    <row r="25634" spans="1:6" x14ac:dyDescent="0.25">
      <c r="A25634" s="2" t="str">
        <f t="shared" si="895"/>
        <v>27340</v>
      </c>
      <c r="B25634" s="2" t="str">
        <f>"28454"</f>
        <v>28454</v>
      </c>
      <c r="C25634" s="1">
        <v>1.1724876423696301E-2</v>
      </c>
      <c r="D25634" s="1">
        <v>1.38913005730161E-3</v>
      </c>
      <c r="E25634" s="1">
        <v>1.6977928692699399E-3</v>
      </c>
      <c r="F25634" s="1">
        <v>1.09522999829964E-2</v>
      </c>
    </row>
    <row r="25635" spans="1:6" x14ac:dyDescent="0.25">
      <c r="A25635" s="2" t="str">
        <f t="shared" si="895"/>
        <v>27340</v>
      </c>
      <c r="B25635" s="2" t="str">
        <f>"28547"</f>
        <v>28547</v>
      </c>
      <c r="C25635" s="1">
        <v>2.4866689020367101E-2</v>
      </c>
      <c r="D25635" s="1">
        <v>1.19812467442264E-2</v>
      </c>
      <c r="E25635" s="1">
        <v>2.2637238256932599E-3</v>
      </c>
      <c r="F25635" s="1">
        <v>2.37249822462717E-2</v>
      </c>
    </row>
    <row r="25636" spans="1:6" x14ac:dyDescent="0.25">
      <c r="A25636" s="2" t="str">
        <f t="shared" si="895"/>
        <v>27340</v>
      </c>
      <c r="B25636" s="2" t="str">
        <f>"28460"</f>
        <v>28460</v>
      </c>
      <c r="C25636" s="1">
        <v>8.0657198792900106E-2</v>
      </c>
      <c r="D25636" s="1">
        <v>4.5320368119465097E-2</v>
      </c>
      <c r="E25636" s="1">
        <v>0.103565365025466</v>
      </c>
      <c r="F25636" s="1">
        <v>7.9026595585072801E-2</v>
      </c>
    </row>
    <row r="25637" spans="1:6" x14ac:dyDescent="0.25">
      <c r="A25637" s="2" t="str">
        <f t="shared" si="895"/>
        <v>27340</v>
      </c>
      <c r="B25637" s="2" t="str">
        <f>"28445"</f>
        <v>28445</v>
      </c>
      <c r="C25637" s="1">
        <v>4.87490941343168E-2</v>
      </c>
      <c r="D25637" s="1">
        <v>2.1184233373849601E-2</v>
      </c>
      <c r="E25637" s="1">
        <v>2.2637238256932601E-2</v>
      </c>
      <c r="F25637" s="1">
        <v>4.6699806959461403E-2</v>
      </c>
    </row>
    <row r="25638" spans="1:6" x14ac:dyDescent="0.25">
      <c r="A25638" s="2" t="str">
        <f t="shared" si="895"/>
        <v>27340</v>
      </c>
      <c r="B25638" s="2" t="str">
        <f>"28542"</f>
        <v>28542</v>
      </c>
      <c r="C25638" s="1">
        <v>0</v>
      </c>
      <c r="D25638" s="1">
        <v>1.52804306303177E-2</v>
      </c>
      <c r="E25638" s="1">
        <v>0</v>
      </c>
      <c r="F25638" s="1">
        <v>8.8018483881615098E-4</v>
      </c>
    </row>
    <row r="25639" spans="1:6" x14ac:dyDescent="0.25">
      <c r="A25639" s="2" t="str">
        <f t="shared" ref="A25639:A25657" si="896">"33980"</f>
        <v>33980</v>
      </c>
      <c r="B25639" s="2" t="str">
        <f>"28532"</f>
        <v>28532</v>
      </c>
      <c r="C25639" s="1">
        <v>1.9311729944768399E-5</v>
      </c>
      <c r="D25639" s="1">
        <v>0</v>
      </c>
      <c r="E25639" s="1">
        <v>0</v>
      </c>
      <c r="F25639" s="1">
        <v>1.74109863323757E-5</v>
      </c>
    </row>
    <row r="25640" spans="1:6" x14ac:dyDescent="0.25">
      <c r="A25640" s="2" t="str">
        <f t="shared" si="896"/>
        <v>33980</v>
      </c>
      <c r="B25640" s="2" t="str">
        <f>"28524"</f>
        <v>28524</v>
      </c>
      <c r="C25640" s="1">
        <v>5.6969603337066899E-3</v>
      </c>
      <c r="D25640" s="1">
        <v>2.1753317380900501E-4</v>
      </c>
      <c r="E25640" s="1">
        <v>0</v>
      </c>
      <c r="F25640" s="1">
        <v>5.15365195438321E-3</v>
      </c>
    </row>
    <row r="25641" spans="1:6" x14ac:dyDescent="0.25">
      <c r="A25641" s="2" t="str">
        <f t="shared" si="896"/>
        <v>33980</v>
      </c>
      <c r="B25641" s="2" t="str">
        <f>"28531"</f>
        <v>28531</v>
      </c>
      <c r="C25641" s="1">
        <v>2.5008690278475101E-2</v>
      </c>
      <c r="D25641" s="1">
        <v>1.4139656297585301E-2</v>
      </c>
      <c r="E25641" s="1">
        <v>9.4696969696969602E-4</v>
      </c>
      <c r="F25641" s="1">
        <v>2.3696352398363301E-2</v>
      </c>
    </row>
    <row r="25642" spans="1:6" x14ac:dyDescent="0.25">
      <c r="A25642" s="2" t="str">
        <f t="shared" si="896"/>
        <v>33980</v>
      </c>
      <c r="B25642" s="2" t="str">
        <f>"28570"</f>
        <v>28570</v>
      </c>
      <c r="C25642" s="1">
        <v>0.26180912286122499</v>
      </c>
      <c r="D25642" s="1">
        <v>0.11137698499021099</v>
      </c>
      <c r="E25642" s="1">
        <v>0.14962121212121199</v>
      </c>
      <c r="F25642" s="1">
        <v>0.24770610255070899</v>
      </c>
    </row>
    <row r="25643" spans="1:6" x14ac:dyDescent="0.25">
      <c r="A25643" s="2" t="str">
        <f t="shared" si="896"/>
        <v>33980</v>
      </c>
      <c r="B25643" s="2" t="str">
        <f>"28516"</f>
        <v>28516</v>
      </c>
      <c r="C25643" s="1">
        <v>0.16173573828743501</v>
      </c>
      <c r="D25643" s="1">
        <v>0.17663693713291201</v>
      </c>
      <c r="E25643" s="1">
        <v>0.17992424242424199</v>
      </c>
      <c r="F25643" s="1">
        <v>0.16326281883868701</v>
      </c>
    </row>
    <row r="25644" spans="1:6" x14ac:dyDescent="0.25">
      <c r="A25644" s="2" t="str">
        <f t="shared" si="896"/>
        <v>33980</v>
      </c>
      <c r="B25644" s="2" t="str">
        <f>"28575"</f>
        <v>28575</v>
      </c>
      <c r="C25644" s="1">
        <v>4.7699972963578001E-3</v>
      </c>
      <c r="D25644" s="1">
        <v>4.5681966499891199E-3</v>
      </c>
      <c r="E25644" s="1">
        <v>1.8939393939393901E-3</v>
      </c>
      <c r="F25644" s="1">
        <v>4.70096630974144E-3</v>
      </c>
    </row>
    <row r="25645" spans="1:6" x14ac:dyDescent="0.25">
      <c r="A25645" s="2" t="str">
        <f t="shared" si="896"/>
        <v>33980</v>
      </c>
      <c r="B25645" s="2" t="str">
        <f>"28594"</f>
        <v>28594</v>
      </c>
      <c r="C25645" s="1">
        <v>9.4067436560967096E-2</v>
      </c>
      <c r="D25645" s="1">
        <v>8.4620404611703198E-2</v>
      </c>
      <c r="E25645" s="1">
        <v>6.3446969696969599E-2</v>
      </c>
      <c r="F25645" s="1">
        <v>9.2748324192565498E-2</v>
      </c>
    </row>
    <row r="25646" spans="1:6" x14ac:dyDescent="0.25">
      <c r="A25646" s="2" t="str">
        <f t="shared" si="896"/>
        <v>33980</v>
      </c>
      <c r="B25646" s="2" t="str">
        <f>"28528"</f>
        <v>28528</v>
      </c>
      <c r="C25646" s="1">
        <v>6.64323510100034E-3</v>
      </c>
      <c r="D25646" s="1">
        <v>0</v>
      </c>
      <c r="E25646" s="1">
        <v>5.6818181818181802E-3</v>
      </c>
      <c r="F25646" s="1">
        <v>6.0938452163315001E-3</v>
      </c>
    </row>
    <row r="25647" spans="1:6" x14ac:dyDescent="0.25">
      <c r="A25647" s="2" t="str">
        <f t="shared" si="896"/>
        <v>33980</v>
      </c>
      <c r="B25647" s="2" t="str">
        <f>"28579"</f>
        <v>28579</v>
      </c>
      <c r="C25647" s="1">
        <v>4.9438028658607197E-3</v>
      </c>
      <c r="D25647" s="1">
        <v>3.0454644333260802E-3</v>
      </c>
      <c r="E25647" s="1">
        <v>9.4696969696969602E-4</v>
      </c>
      <c r="F25647" s="1">
        <v>4.7183772960738201E-3</v>
      </c>
    </row>
    <row r="25648" spans="1:6" x14ac:dyDescent="0.25">
      <c r="A25648" s="2" t="str">
        <f t="shared" si="896"/>
        <v>33980</v>
      </c>
      <c r="B25648" s="2" t="str">
        <f>"28582"</f>
        <v>28582</v>
      </c>
      <c r="C25648" s="1">
        <v>9.4434359429917698E-3</v>
      </c>
      <c r="D25648" s="1">
        <v>8.7013269523602296E-4</v>
      </c>
      <c r="E25648" s="1">
        <v>2.8409090909090901E-3</v>
      </c>
      <c r="F25648" s="1">
        <v>8.6358492208583604E-3</v>
      </c>
    </row>
    <row r="25649" spans="1:6" x14ac:dyDescent="0.25">
      <c r="A25649" s="2" t="str">
        <f t="shared" si="896"/>
        <v>33980</v>
      </c>
      <c r="B25649" s="2" t="str">
        <f>"28553"</f>
        <v>28553</v>
      </c>
      <c r="C25649" s="1">
        <v>3.6306052296164598E-3</v>
      </c>
      <c r="D25649" s="1">
        <v>8.7013269523602296E-4</v>
      </c>
      <c r="E25649" s="1">
        <v>9.4696969696969602E-4</v>
      </c>
      <c r="F25649" s="1">
        <v>3.3603203621485099E-3</v>
      </c>
    </row>
    <row r="25650" spans="1:6" x14ac:dyDescent="0.25">
      <c r="A25650" s="2" t="str">
        <f t="shared" si="896"/>
        <v>33980</v>
      </c>
      <c r="B25650" s="2" t="str">
        <f>"28511"</f>
        <v>28511</v>
      </c>
      <c r="C25650" s="1">
        <v>7.0680931597852503E-3</v>
      </c>
      <c r="D25650" s="1">
        <v>1.3051990428540299E-3</v>
      </c>
      <c r="E25650" s="1">
        <v>9.4696969696969602E-4</v>
      </c>
      <c r="F25650" s="1">
        <v>6.49429790197614E-3</v>
      </c>
    </row>
    <row r="25651" spans="1:6" x14ac:dyDescent="0.25">
      <c r="A25651" s="2" t="str">
        <f t="shared" si="896"/>
        <v>33980</v>
      </c>
      <c r="B25651" s="2" t="str">
        <f>"28520"</f>
        <v>28520</v>
      </c>
      <c r="C25651" s="1">
        <v>3.0705650612181802E-3</v>
      </c>
      <c r="D25651" s="1">
        <v>1.7402653904720401E-3</v>
      </c>
      <c r="E25651" s="1">
        <v>9.4696969696969602E-4</v>
      </c>
      <c r="F25651" s="1">
        <v>2.92504570383912E-3</v>
      </c>
    </row>
    <row r="25652" spans="1:6" x14ac:dyDescent="0.25">
      <c r="A25652" s="2" t="str">
        <f t="shared" si="896"/>
        <v>33980</v>
      </c>
      <c r="B25652" s="2" t="str">
        <f>"28557"</f>
        <v>28557</v>
      </c>
      <c r="C25652" s="1">
        <v>0.195183654551774</v>
      </c>
      <c r="D25652" s="1">
        <v>0.449858603437024</v>
      </c>
      <c r="E25652" s="1">
        <v>0.36647727272727199</v>
      </c>
      <c r="F25652" s="1">
        <v>0.218716810307303</v>
      </c>
    </row>
    <row r="25653" spans="1:6" x14ac:dyDescent="0.25">
      <c r="A25653" s="2" t="str">
        <f t="shared" si="896"/>
        <v>33980</v>
      </c>
      <c r="B25653" s="2" t="str">
        <f>"28577"</f>
        <v>28577</v>
      </c>
      <c r="C25653" s="1">
        <v>2.87744776177049E-3</v>
      </c>
      <c r="D25653" s="1">
        <v>1.5227322166630401E-3</v>
      </c>
      <c r="E25653" s="1">
        <v>9.4696969696969602E-4</v>
      </c>
      <c r="F25653" s="1">
        <v>2.7335248541829802E-3</v>
      </c>
    </row>
    <row r="25654" spans="1:6" x14ac:dyDescent="0.25">
      <c r="A25654" s="2" t="str">
        <f t="shared" si="896"/>
        <v>33980</v>
      </c>
      <c r="B25654" s="2" t="str">
        <f>"28512"</f>
        <v>28512</v>
      </c>
      <c r="C25654" s="1">
        <v>0.12809470472364901</v>
      </c>
      <c r="D25654" s="1">
        <v>8.6795736349793304E-2</v>
      </c>
      <c r="E25654" s="1">
        <v>0.174242424242424</v>
      </c>
      <c r="F25654" s="1">
        <v>0.125637677374423</v>
      </c>
    </row>
    <row r="25655" spans="1:6" x14ac:dyDescent="0.25">
      <c r="A25655" s="2" t="str">
        <f t="shared" si="896"/>
        <v>33980</v>
      </c>
      <c r="B25655" s="2" t="str">
        <f>"28581"</f>
        <v>28581</v>
      </c>
      <c r="C25655" s="1">
        <v>2.2594724035378999E-3</v>
      </c>
      <c r="D25655" s="1">
        <v>1.5227322166630401E-3</v>
      </c>
      <c r="E25655" s="1">
        <v>0</v>
      </c>
      <c r="F25655" s="1">
        <v>2.1589623052145901E-3</v>
      </c>
    </row>
    <row r="25656" spans="1:6" x14ac:dyDescent="0.25">
      <c r="A25656" s="2" t="str">
        <f t="shared" si="896"/>
        <v>33980</v>
      </c>
      <c r="B25656" s="2" t="str">
        <f>"28584"</f>
        <v>28584</v>
      </c>
      <c r="C25656" s="1">
        <v>8.36391023907921E-2</v>
      </c>
      <c r="D25656" s="1">
        <v>6.0909288666521601E-2</v>
      </c>
      <c r="E25656" s="1">
        <v>5.0189393939393902E-2</v>
      </c>
      <c r="F25656" s="1">
        <v>8.1204840254200397E-2</v>
      </c>
    </row>
    <row r="25657" spans="1:6" x14ac:dyDescent="0.25">
      <c r="A25657" s="2" t="str">
        <f t="shared" si="896"/>
        <v>33980</v>
      </c>
      <c r="B25657" s="2" t="str">
        <f>"28555"</f>
        <v>28555</v>
      </c>
      <c r="C25657" s="1">
        <v>3.86234598895369E-5</v>
      </c>
      <c r="D25657" s="1">
        <v>0</v>
      </c>
      <c r="E25657" s="1">
        <v>0</v>
      </c>
      <c r="F25657" s="1">
        <v>3.4821972664751399E-5</v>
      </c>
    </row>
    <row r="25658" spans="1:6" x14ac:dyDescent="0.25">
      <c r="A25658" s="2" t="str">
        <f t="shared" ref="A25658:A25674" si="897">"19000"</f>
        <v>19000</v>
      </c>
      <c r="B25658" s="2" t="str">
        <f>"28789"</f>
        <v>28789</v>
      </c>
      <c r="C25658" s="1">
        <v>0.11082070047046499</v>
      </c>
      <c r="D25658" s="1">
        <v>6.5329883570504496E-2</v>
      </c>
      <c r="E25658" s="1">
        <v>2.7331189710610899E-2</v>
      </c>
      <c r="F25658" s="1">
        <v>0.106298775751747</v>
      </c>
    </row>
    <row r="25659" spans="1:6" x14ac:dyDescent="0.25">
      <c r="A25659" s="2" t="str">
        <f t="shared" si="897"/>
        <v>19000</v>
      </c>
      <c r="B25659" s="2" t="str">
        <f>"28774"</f>
        <v>28774</v>
      </c>
      <c r="C25659" s="1">
        <v>3.8843540150388003E-2</v>
      </c>
      <c r="D25659" s="1">
        <v>1.8758085381629999E-2</v>
      </c>
      <c r="E25659" s="1">
        <v>4.9839228295819903E-2</v>
      </c>
      <c r="F25659" s="1">
        <v>3.79479971890372E-2</v>
      </c>
    </row>
    <row r="25660" spans="1:6" x14ac:dyDescent="0.25">
      <c r="A25660" s="2" t="str">
        <f t="shared" si="897"/>
        <v>19000</v>
      </c>
      <c r="B25660" s="2" t="str">
        <f>"28725"</f>
        <v>28725</v>
      </c>
      <c r="C25660" s="1">
        <v>0</v>
      </c>
      <c r="D25660" s="1">
        <v>0</v>
      </c>
      <c r="E25660" s="1">
        <v>1.60771704180064E-3</v>
      </c>
      <c r="F25660" s="1">
        <v>3.6986352036098597E-5</v>
      </c>
    </row>
    <row r="25661" spans="1:6" x14ac:dyDescent="0.25">
      <c r="A25661" s="2" t="str">
        <f t="shared" si="897"/>
        <v>19000</v>
      </c>
      <c r="B25661" s="2" t="str">
        <f>"28723"</f>
        <v>28723</v>
      </c>
      <c r="C25661" s="1">
        <v>0.17222244561502201</v>
      </c>
      <c r="D25661" s="1">
        <v>4.6571798188874497E-2</v>
      </c>
      <c r="E25661" s="1">
        <v>0.319935691318327</v>
      </c>
      <c r="F25661" s="1">
        <v>0.16843584717239299</v>
      </c>
    </row>
    <row r="25662" spans="1:6" x14ac:dyDescent="0.25">
      <c r="A25662" s="2" t="str">
        <f t="shared" si="897"/>
        <v>19000</v>
      </c>
      <c r="B25662" s="2" t="str">
        <f>"28741"</f>
        <v>28741</v>
      </c>
      <c r="C25662" s="1">
        <v>1.68482850134705E-2</v>
      </c>
      <c r="D25662" s="1">
        <v>7.7619663648124098E-3</v>
      </c>
      <c r="E25662" s="1">
        <v>3.2154340836012801E-3</v>
      </c>
      <c r="F25662" s="1">
        <v>1.6015090431630699E-2</v>
      </c>
    </row>
    <row r="25663" spans="1:6" x14ac:dyDescent="0.25">
      <c r="A25663" s="2" t="str">
        <f t="shared" si="897"/>
        <v>19000</v>
      </c>
      <c r="B25663" s="2" t="str">
        <f>"28719"</f>
        <v>28719</v>
      </c>
      <c r="C25663" s="1">
        <v>7.0489364268768298E-2</v>
      </c>
      <c r="D25663" s="1">
        <v>6.85640362225097E-2</v>
      </c>
      <c r="E25663" s="1">
        <v>4.1800643086816698E-2</v>
      </c>
      <c r="F25663" s="1">
        <v>6.9719273588045999E-2</v>
      </c>
    </row>
    <row r="25664" spans="1:6" x14ac:dyDescent="0.25">
      <c r="A25664" s="2" t="str">
        <f t="shared" si="897"/>
        <v>19000</v>
      </c>
      <c r="B25664" s="2" t="str">
        <f>"28713"</f>
        <v>28713</v>
      </c>
      <c r="C25664" s="1">
        <v>0.19156379428203699</v>
      </c>
      <c r="D25664" s="1">
        <v>0.15200517464424301</v>
      </c>
      <c r="E25664" s="1">
        <v>9.32475884244372E-2</v>
      </c>
      <c r="F25664" s="1">
        <v>0.187039982246551</v>
      </c>
    </row>
    <row r="25665" spans="1:6" x14ac:dyDescent="0.25">
      <c r="A25665" s="2" t="str">
        <f t="shared" si="897"/>
        <v>19000</v>
      </c>
      <c r="B25665" s="2" t="str">
        <f>"28702"</f>
        <v>28702</v>
      </c>
      <c r="C25665" s="1">
        <v>3.21685632715428E-4</v>
      </c>
      <c r="D25665" s="1">
        <v>0</v>
      </c>
      <c r="E25665" s="1">
        <v>0</v>
      </c>
      <c r="F25665" s="1">
        <v>2.9589081628878899E-4</v>
      </c>
    </row>
    <row r="25666" spans="1:6" x14ac:dyDescent="0.25">
      <c r="A25666" s="2" t="str">
        <f t="shared" si="897"/>
        <v>19000</v>
      </c>
      <c r="B25666" s="2" t="str">
        <f>"28788"</f>
        <v>28788</v>
      </c>
      <c r="C25666" s="1">
        <v>0</v>
      </c>
      <c r="D25666" s="1">
        <v>0</v>
      </c>
      <c r="E25666" s="1">
        <v>1.60771704180064E-3</v>
      </c>
      <c r="F25666" s="1">
        <v>3.6986352036098597E-5</v>
      </c>
    </row>
    <row r="25667" spans="1:6" x14ac:dyDescent="0.25">
      <c r="A25667" s="2" t="str">
        <f t="shared" si="897"/>
        <v>19000</v>
      </c>
      <c r="B25667" s="2" t="str">
        <f>"28717"</f>
        <v>28717</v>
      </c>
      <c r="C25667" s="1">
        <v>2.7785596525795101E-2</v>
      </c>
      <c r="D25667" s="1">
        <v>4.5924967658473398E-2</v>
      </c>
      <c r="E25667" s="1">
        <v>2.2508038585209E-2</v>
      </c>
      <c r="F25667" s="1">
        <v>2.8701409180012499E-2</v>
      </c>
    </row>
    <row r="25668" spans="1:6" x14ac:dyDescent="0.25">
      <c r="A25668" s="2" t="str">
        <f t="shared" si="897"/>
        <v>19000</v>
      </c>
      <c r="B25668" s="2" t="str">
        <f>"28751"</f>
        <v>28751</v>
      </c>
      <c r="C25668" s="1">
        <v>2.6941171739917101E-3</v>
      </c>
      <c r="D25668" s="1">
        <v>6.4683053040103401E-4</v>
      </c>
      <c r="E25668" s="1">
        <v>0</v>
      </c>
      <c r="F25668" s="1">
        <v>2.51507193845471E-3</v>
      </c>
    </row>
    <row r="25669" spans="1:6" x14ac:dyDescent="0.25">
      <c r="A25669" s="2" t="str">
        <f t="shared" si="897"/>
        <v>19000</v>
      </c>
      <c r="B25669" s="2" t="str">
        <f>"28747"</f>
        <v>28747</v>
      </c>
      <c r="C25669" s="1">
        <v>8.0421408178857204E-5</v>
      </c>
      <c r="D25669" s="1">
        <v>0</v>
      </c>
      <c r="E25669" s="1">
        <v>0</v>
      </c>
      <c r="F25669" s="1">
        <v>7.3972704072197302E-5</v>
      </c>
    </row>
    <row r="25670" spans="1:6" x14ac:dyDescent="0.25">
      <c r="A25670" s="2" t="str">
        <f t="shared" si="897"/>
        <v>19000</v>
      </c>
      <c r="B25670" s="2" t="str">
        <f>"28771"</f>
        <v>28771</v>
      </c>
      <c r="C25670" s="1">
        <v>6.4337126543085698E-4</v>
      </c>
      <c r="D25670" s="1">
        <v>0</v>
      </c>
      <c r="E25670" s="1">
        <v>0</v>
      </c>
      <c r="F25670" s="1">
        <v>5.9178163257757798E-4</v>
      </c>
    </row>
    <row r="25671" spans="1:6" x14ac:dyDescent="0.25">
      <c r="A25671" s="2" t="str">
        <f t="shared" si="897"/>
        <v>19000</v>
      </c>
      <c r="B25671" s="2" t="str">
        <f>"28736"</f>
        <v>28736</v>
      </c>
      <c r="C25671" s="1">
        <v>1.61244923398608E-2</v>
      </c>
      <c r="D25671" s="1">
        <v>1.22897800776196E-2</v>
      </c>
      <c r="E25671" s="1">
        <v>3.2154340836012801E-3</v>
      </c>
      <c r="F25671" s="1">
        <v>1.5608240559233599E-2</v>
      </c>
    </row>
    <row r="25672" spans="1:6" x14ac:dyDescent="0.25">
      <c r="A25672" s="2" t="str">
        <f t="shared" si="897"/>
        <v>19000</v>
      </c>
      <c r="B25672" s="2" t="str">
        <f>"28783"</f>
        <v>28783</v>
      </c>
      <c r="C25672" s="1">
        <v>2.24375728819011E-2</v>
      </c>
      <c r="D25672" s="1">
        <v>1.9404915912031001E-3</v>
      </c>
      <c r="E25672" s="1">
        <v>0</v>
      </c>
      <c r="F25672" s="1">
        <v>2.0749343492251299E-2</v>
      </c>
    </row>
    <row r="25673" spans="1:6" x14ac:dyDescent="0.25">
      <c r="A25673" s="2" t="str">
        <f t="shared" si="897"/>
        <v>19000</v>
      </c>
      <c r="B25673" s="2" t="str">
        <f>"28707"</f>
        <v>28707</v>
      </c>
      <c r="C25673" s="1">
        <v>0</v>
      </c>
      <c r="D25673" s="1">
        <v>0</v>
      </c>
      <c r="E25673" s="1">
        <v>1.60771704180064E-3</v>
      </c>
      <c r="F25673" s="1">
        <v>3.6986352036098597E-5</v>
      </c>
    </row>
    <row r="25674" spans="1:6" x14ac:dyDescent="0.25">
      <c r="A25674" s="2" t="str">
        <f t="shared" si="897"/>
        <v>19000</v>
      </c>
      <c r="B25674" s="2" t="str">
        <f>"28779"</f>
        <v>28779</v>
      </c>
      <c r="C25674" s="1">
        <v>0.32912461297197299</v>
      </c>
      <c r="D25674" s="1">
        <v>0.58020698576972796</v>
      </c>
      <c r="E25674" s="1">
        <v>0.43408360128617302</v>
      </c>
      <c r="F25674" s="1">
        <v>0.34589636424159398</v>
      </c>
    </row>
    <row r="25675" spans="1:6" x14ac:dyDescent="0.25">
      <c r="A25675" s="2" t="str">
        <f t="shared" ref="A25675:A25683" si="898">"23500"</f>
        <v>23500</v>
      </c>
      <c r="B25675" s="2" t="str">
        <f>"29341"</f>
        <v>29341</v>
      </c>
      <c r="C25675" s="1">
        <v>0.346639699098715</v>
      </c>
      <c r="D25675" s="1">
        <v>0.46416861826697797</v>
      </c>
      <c r="E25675" s="1">
        <v>0.36340852130325801</v>
      </c>
      <c r="F25675" s="1">
        <v>0.35502669618439903</v>
      </c>
    </row>
    <row r="25676" spans="1:6" x14ac:dyDescent="0.25">
      <c r="A25676" s="2" t="str">
        <f t="shared" si="898"/>
        <v>23500</v>
      </c>
      <c r="B25676" s="2" t="str">
        <f>"29340"</f>
        <v>29340</v>
      </c>
      <c r="C25676" s="1">
        <v>0.36441700376126601</v>
      </c>
      <c r="D25676" s="1">
        <v>0.34800936768149798</v>
      </c>
      <c r="E25676" s="1">
        <v>0.43609022556390897</v>
      </c>
      <c r="F25676" s="1">
        <v>0.36420757911186302</v>
      </c>
    </row>
    <row r="25677" spans="1:6" x14ac:dyDescent="0.25">
      <c r="A25677" s="2" t="str">
        <f t="shared" si="898"/>
        <v>23500</v>
      </c>
      <c r="B25677" s="2" t="str">
        <f>"29743"</f>
        <v>29743</v>
      </c>
      <c r="C25677" s="1">
        <v>5.9612518628912002E-3</v>
      </c>
      <c r="D25677" s="1">
        <v>0</v>
      </c>
      <c r="E25677" s="1">
        <v>0</v>
      </c>
      <c r="F25677" s="1">
        <v>5.4694621695533198E-3</v>
      </c>
    </row>
    <row r="25678" spans="1:6" x14ac:dyDescent="0.25">
      <c r="A25678" s="2" t="str">
        <f t="shared" si="898"/>
        <v>23500</v>
      </c>
      <c r="B25678" s="2" t="str">
        <f>"29307"</f>
        <v>29307</v>
      </c>
      <c r="C25678" s="1">
        <v>8.1612376694343899E-3</v>
      </c>
      <c r="D25678" s="1">
        <v>9.36768149882903E-4</v>
      </c>
      <c r="E25678" s="1">
        <v>5.0125313283208E-3</v>
      </c>
      <c r="F25678" s="1">
        <v>7.61817945044927E-3</v>
      </c>
    </row>
    <row r="25679" spans="1:6" x14ac:dyDescent="0.25">
      <c r="A25679" s="2" t="str">
        <f t="shared" si="898"/>
        <v>23500</v>
      </c>
      <c r="B25679" s="2" t="str">
        <f>"29702"</f>
        <v>29702</v>
      </c>
      <c r="C25679" s="1">
        <v>0.18149882903981199</v>
      </c>
      <c r="D25679" s="1">
        <v>0.15222482435597101</v>
      </c>
      <c r="E25679" s="1">
        <v>0.167919799498746</v>
      </c>
      <c r="F25679" s="1">
        <v>0.17928766766505999</v>
      </c>
    </row>
    <row r="25680" spans="1:6" x14ac:dyDescent="0.25">
      <c r="A25680" s="2" t="str">
        <f t="shared" si="898"/>
        <v>23500</v>
      </c>
      <c r="B25680" s="2" t="str">
        <f>"29372"</f>
        <v>29372</v>
      </c>
      <c r="C25680" s="1">
        <v>1.2241856504151501E-2</v>
      </c>
      <c r="D25680" s="1">
        <v>2.34192037470725E-3</v>
      </c>
      <c r="E25680" s="1">
        <v>0</v>
      </c>
      <c r="F25680" s="1">
        <v>1.1394712853236E-2</v>
      </c>
    </row>
    <row r="25681" spans="1:6" x14ac:dyDescent="0.25">
      <c r="A25681" s="2" t="str">
        <f t="shared" si="898"/>
        <v>23500</v>
      </c>
      <c r="B25681" s="2" t="str">
        <f>"29306"</f>
        <v>29306</v>
      </c>
      <c r="C25681" s="1">
        <v>1.0290256191895499E-3</v>
      </c>
      <c r="D25681" s="1">
        <v>4.6838407494145101E-4</v>
      </c>
      <c r="E25681" s="1">
        <v>0</v>
      </c>
      <c r="F25681" s="1">
        <v>9.7668967313452207E-4</v>
      </c>
    </row>
    <row r="25682" spans="1:6" x14ac:dyDescent="0.25">
      <c r="A25682" s="2" t="str">
        <f t="shared" si="898"/>
        <v>23500</v>
      </c>
      <c r="B25682" s="2" t="str">
        <f>"29323"</f>
        <v>29323</v>
      </c>
      <c r="C25682" s="1">
        <v>2.5264353133205499E-2</v>
      </c>
      <c r="D25682" s="1">
        <v>1.35831381733021E-2</v>
      </c>
      <c r="E25682" s="1">
        <v>2.00501253132832E-2</v>
      </c>
      <c r="F25682" s="1">
        <v>2.4384685505925201E-2</v>
      </c>
    </row>
    <row r="25683" spans="1:6" x14ac:dyDescent="0.25">
      <c r="A25683" s="2" t="str">
        <f t="shared" si="898"/>
        <v>23500</v>
      </c>
      <c r="B25683" s="2" t="str">
        <f>"29330"</f>
        <v>29330</v>
      </c>
      <c r="C25683" s="1">
        <v>5.4786743311333402E-2</v>
      </c>
      <c r="D25683" s="1">
        <v>1.8266978922716601E-2</v>
      </c>
      <c r="E25683" s="1">
        <v>7.5187969924812E-3</v>
      </c>
      <c r="F25683" s="1">
        <v>5.1634327386378402E-2</v>
      </c>
    </row>
    <row r="25684" spans="1:6" x14ac:dyDescent="0.25">
      <c r="A25684" s="2" t="str">
        <f t="shared" ref="A25684:A25689" si="899">"23860"</f>
        <v>23860</v>
      </c>
      <c r="B25684" s="2" t="str">
        <f>"29576"</f>
        <v>29576</v>
      </c>
      <c r="C25684" s="1">
        <v>0.20107968335336901</v>
      </c>
      <c r="D25684" s="1">
        <v>0.234418369921776</v>
      </c>
      <c r="E25684" s="1">
        <v>0.1494701617401</v>
      </c>
      <c r="F25684" s="1">
        <v>0.20187388399574599</v>
      </c>
    </row>
    <row r="25685" spans="1:6" x14ac:dyDescent="0.25">
      <c r="A25685" s="2" t="str">
        <f t="shared" si="899"/>
        <v>23860</v>
      </c>
      <c r="B25685" s="2" t="str">
        <f>"29554"</f>
        <v>29554</v>
      </c>
      <c r="C25685" s="1">
        <v>4.1622246920861E-2</v>
      </c>
      <c r="D25685" s="1">
        <v>1.18597022457734E-2</v>
      </c>
      <c r="E25685" s="1">
        <v>0</v>
      </c>
      <c r="F25685" s="1">
        <v>3.7758561884316699E-2</v>
      </c>
    </row>
    <row r="25686" spans="1:6" x14ac:dyDescent="0.25">
      <c r="A25686" s="2" t="str">
        <f t="shared" si="899"/>
        <v>23860</v>
      </c>
      <c r="B25686" s="2" t="str">
        <f>"29585"</f>
        <v>29585</v>
      </c>
      <c r="C25686" s="1">
        <v>0.310477011363894</v>
      </c>
      <c r="D25686" s="1">
        <v>0.28185717890487</v>
      </c>
      <c r="E25686" s="1">
        <v>0.60234244283324001</v>
      </c>
      <c r="F25686" s="1">
        <v>0.318700720261621</v>
      </c>
    </row>
    <row r="25687" spans="1:6" x14ac:dyDescent="0.25">
      <c r="A25687" s="2" t="str">
        <f t="shared" si="899"/>
        <v>23860</v>
      </c>
      <c r="B25687" s="2" t="str">
        <f>"29510"</f>
        <v>29510</v>
      </c>
      <c r="C25687" s="1">
        <v>7.1540363372422699E-2</v>
      </c>
      <c r="D25687" s="1">
        <v>6.8382538480948704E-2</v>
      </c>
      <c r="E25687" s="1">
        <v>4.7406581148912399E-2</v>
      </c>
      <c r="F25687" s="1">
        <v>7.0421122324097599E-2</v>
      </c>
    </row>
    <row r="25688" spans="1:6" x14ac:dyDescent="0.25">
      <c r="A25688" s="2" t="str">
        <f t="shared" si="899"/>
        <v>23860</v>
      </c>
      <c r="B25688" s="2" t="str">
        <f>"29442"</f>
        <v>29442</v>
      </c>
      <c r="C25688" s="1">
        <v>5.0491074466395898E-2</v>
      </c>
      <c r="D25688" s="1">
        <v>9.08402725208175E-2</v>
      </c>
      <c r="E25688" s="1">
        <v>1.1154489682096999E-3</v>
      </c>
      <c r="F25688" s="1">
        <v>5.1923038340388798E-2</v>
      </c>
    </row>
    <row r="25689" spans="1:6" x14ac:dyDescent="0.25">
      <c r="A25689" s="2" t="str">
        <f t="shared" si="899"/>
        <v>23860</v>
      </c>
      <c r="B25689" s="2" t="str">
        <f>"29440"</f>
        <v>29440</v>
      </c>
      <c r="C25689" s="1">
        <v>0.32478962052305599</v>
      </c>
      <c r="D25689" s="1">
        <v>0.31264193792581302</v>
      </c>
      <c r="E25689" s="1">
        <v>0.19966536530953699</v>
      </c>
      <c r="F25689" s="1">
        <v>0.31932267319382801</v>
      </c>
    </row>
    <row r="25690" spans="1:6" x14ac:dyDescent="0.25">
      <c r="A25690" s="2" t="str">
        <f t="shared" ref="A25690:A25706" si="900">"44740"</f>
        <v>44740</v>
      </c>
      <c r="B25690" s="2" t="str">
        <f>"51020"</f>
        <v>51020</v>
      </c>
      <c r="C25690" s="1">
        <v>5.8309037900874602E-4</v>
      </c>
      <c r="D25690" s="1">
        <v>0</v>
      </c>
      <c r="E25690" s="1">
        <v>0</v>
      </c>
      <c r="F25690" s="1">
        <v>5.1234757659596197E-4</v>
      </c>
    </row>
    <row r="25691" spans="1:6" x14ac:dyDescent="0.25">
      <c r="A25691" s="2" t="str">
        <f t="shared" si="900"/>
        <v>44740</v>
      </c>
      <c r="B25691" s="2" t="str">
        <f>"50588"</f>
        <v>50588</v>
      </c>
      <c r="C25691" s="1">
        <v>0.57376093294460595</v>
      </c>
      <c r="D25691" s="1">
        <v>0.83041722745625801</v>
      </c>
      <c r="E25691" s="1">
        <v>0.81859410430838997</v>
      </c>
      <c r="F25691" s="1">
        <v>0.60436520135259697</v>
      </c>
    </row>
    <row r="25692" spans="1:6" x14ac:dyDescent="0.25">
      <c r="A25692" s="2" t="str">
        <f t="shared" si="900"/>
        <v>44740</v>
      </c>
      <c r="B25692" s="2" t="str">
        <f>"51002"</f>
        <v>51002</v>
      </c>
      <c r="C25692" s="1">
        <v>0.15160349854227401</v>
      </c>
      <c r="D25692" s="1">
        <v>0.114401076716016</v>
      </c>
      <c r="E25692" s="1">
        <v>0.10204081632653</v>
      </c>
      <c r="F25692" s="1">
        <v>0.14653140690644501</v>
      </c>
    </row>
    <row r="25693" spans="1:6" x14ac:dyDescent="0.25">
      <c r="A25693" s="2" t="str">
        <f t="shared" si="900"/>
        <v>44740</v>
      </c>
      <c r="B25693" s="2" t="str">
        <f>"50510"</f>
        <v>50510</v>
      </c>
      <c r="C25693" s="1">
        <v>6.0174927113702599E-2</v>
      </c>
      <c r="D25693" s="1">
        <v>6.7294751009421196E-3</v>
      </c>
      <c r="E25693" s="1">
        <v>2.49433106575963E-2</v>
      </c>
      <c r="F25693" s="1">
        <v>5.4513782149810397E-2</v>
      </c>
    </row>
    <row r="25694" spans="1:6" x14ac:dyDescent="0.25">
      <c r="A25694" s="2" t="str">
        <f t="shared" si="900"/>
        <v>44740</v>
      </c>
      <c r="B25694" s="2" t="str">
        <f>"50568"</f>
        <v>50568</v>
      </c>
      <c r="C25694" s="1">
        <v>7.2069970845481002E-2</v>
      </c>
      <c r="D25694" s="1">
        <v>8.0753701211305502E-3</v>
      </c>
      <c r="E25694" s="1">
        <v>1.8140589569160901E-2</v>
      </c>
      <c r="F25694" s="1">
        <v>6.4760733681729604E-2</v>
      </c>
    </row>
    <row r="25695" spans="1:6" x14ac:dyDescent="0.25">
      <c r="A25695" s="2" t="str">
        <f t="shared" si="900"/>
        <v>44740</v>
      </c>
      <c r="B25695" s="2" t="str">
        <f>"50576"</f>
        <v>50576</v>
      </c>
      <c r="C25695" s="1">
        <v>2.0991253644314801E-2</v>
      </c>
      <c r="D25695" s="1">
        <v>1.3458950201884199E-3</v>
      </c>
      <c r="E25695" s="1">
        <v>2.26757369614512E-3</v>
      </c>
      <c r="F25695" s="1">
        <v>1.8649451788093001E-2</v>
      </c>
    </row>
    <row r="25696" spans="1:6" x14ac:dyDescent="0.25">
      <c r="A25696" s="2" t="str">
        <f t="shared" si="900"/>
        <v>44740</v>
      </c>
      <c r="B25696" s="2" t="str">
        <f>"51366"</f>
        <v>51366</v>
      </c>
      <c r="C25696" s="1">
        <v>4.66472303206997E-4</v>
      </c>
      <c r="D25696" s="1">
        <v>0</v>
      </c>
      <c r="E25696" s="1">
        <v>0</v>
      </c>
      <c r="F25696" s="1">
        <v>4.0987806127676998E-4</v>
      </c>
    </row>
    <row r="25697" spans="1:6" x14ac:dyDescent="0.25">
      <c r="A25697" s="2" t="str">
        <f t="shared" si="900"/>
        <v>44740</v>
      </c>
      <c r="B25697" s="2" t="str">
        <f>"50592"</f>
        <v>50592</v>
      </c>
      <c r="C25697" s="1">
        <v>0</v>
      </c>
      <c r="D25697" s="1">
        <v>1.3458950201884199E-3</v>
      </c>
      <c r="E25697" s="1">
        <v>2.26757369614512E-3</v>
      </c>
      <c r="F25697" s="1">
        <v>2.0493903063838499E-4</v>
      </c>
    </row>
    <row r="25698" spans="1:6" x14ac:dyDescent="0.25">
      <c r="A25698" s="2" t="str">
        <f t="shared" si="900"/>
        <v>44740</v>
      </c>
      <c r="B25698" s="2" t="str">
        <f>"50540"</f>
        <v>50540</v>
      </c>
      <c r="C25698" s="1">
        <v>4.66472303206997E-4</v>
      </c>
      <c r="D25698" s="1">
        <v>0</v>
      </c>
      <c r="E25698" s="1">
        <v>0</v>
      </c>
      <c r="F25698" s="1">
        <v>4.0987806127676998E-4</v>
      </c>
    </row>
    <row r="25699" spans="1:6" x14ac:dyDescent="0.25">
      <c r="A25699" s="2" t="str">
        <f t="shared" si="900"/>
        <v>44740</v>
      </c>
      <c r="B25699" s="2" t="str">
        <f>"50567"</f>
        <v>50567</v>
      </c>
      <c r="C25699" s="1">
        <v>1.1661807580174901E-4</v>
      </c>
      <c r="D25699" s="1">
        <v>0</v>
      </c>
      <c r="E25699" s="1">
        <v>0</v>
      </c>
      <c r="F25699" s="1">
        <v>1.0246951531919201E-4</v>
      </c>
    </row>
    <row r="25700" spans="1:6" x14ac:dyDescent="0.25">
      <c r="A25700" s="2" t="str">
        <f t="shared" si="900"/>
        <v>44740</v>
      </c>
      <c r="B25700" s="2" t="str">
        <f>"50565"</f>
        <v>50565</v>
      </c>
      <c r="C25700" s="1">
        <v>3.1836734693877503E-2</v>
      </c>
      <c r="D25700" s="1">
        <v>2.6917900403768502E-3</v>
      </c>
      <c r="E25700" s="1">
        <v>2.04081632653061E-2</v>
      </c>
      <c r="F25700" s="1">
        <v>2.9101342350650601E-2</v>
      </c>
    </row>
    <row r="25701" spans="1:6" x14ac:dyDescent="0.25">
      <c r="A25701" s="2" t="str">
        <f t="shared" si="900"/>
        <v>44740</v>
      </c>
      <c r="B25701" s="2" t="str">
        <f>"51053"</f>
        <v>51053</v>
      </c>
      <c r="C25701" s="1">
        <v>4.66472303206997E-4</v>
      </c>
      <c r="D25701" s="1">
        <v>0</v>
      </c>
      <c r="E25701" s="1">
        <v>0</v>
      </c>
      <c r="F25701" s="1">
        <v>4.0987806127676998E-4</v>
      </c>
    </row>
    <row r="25702" spans="1:6" x14ac:dyDescent="0.25">
      <c r="A25702" s="2" t="str">
        <f t="shared" si="900"/>
        <v>44740</v>
      </c>
      <c r="B25702" s="2" t="str">
        <f>"51005"</f>
        <v>51005</v>
      </c>
      <c r="C25702" s="1">
        <v>3.03206997084548E-3</v>
      </c>
      <c r="D25702" s="1">
        <v>0</v>
      </c>
      <c r="E25702" s="1">
        <v>0</v>
      </c>
      <c r="F25702" s="1">
        <v>2.6642073982990002E-3</v>
      </c>
    </row>
    <row r="25703" spans="1:6" x14ac:dyDescent="0.25">
      <c r="A25703" s="2" t="str">
        <f t="shared" si="900"/>
        <v>44740</v>
      </c>
      <c r="B25703" s="2" t="str">
        <f>"51047"</f>
        <v>51047</v>
      </c>
      <c r="C25703" s="1">
        <v>4.3148688046647198E-3</v>
      </c>
      <c r="D25703" s="1">
        <v>4.0376850605652699E-3</v>
      </c>
      <c r="E25703" s="1">
        <v>0</v>
      </c>
      <c r="F25703" s="1">
        <v>4.0987806127677001E-3</v>
      </c>
    </row>
    <row r="25704" spans="1:6" x14ac:dyDescent="0.25">
      <c r="A25704" s="2" t="str">
        <f t="shared" si="900"/>
        <v>44740</v>
      </c>
      <c r="B25704" s="2" t="str">
        <f>"50554"</f>
        <v>50554</v>
      </c>
      <c r="C25704" s="1">
        <v>4.66472303206997E-4</v>
      </c>
      <c r="D25704" s="1">
        <v>0</v>
      </c>
      <c r="E25704" s="1">
        <v>0</v>
      </c>
      <c r="F25704" s="1">
        <v>4.0987806127676998E-4</v>
      </c>
    </row>
    <row r="25705" spans="1:6" x14ac:dyDescent="0.25">
      <c r="A25705" s="2" t="str">
        <f t="shared" si="900"/>
        <v>44740</v>
      </c>
      <c r="B25705" s="2" t="str">
        <f>"51033"</f>
        <v>51033</v>
      </c>
      <c r="C25705" s="1">
        <v>2.08746355685131E-2</v>
      </c>
      <c r="D25705" s="1">
        <v>6.7294751009421196E-3</v>
      </c>
      <c r="E25705" s="1">
        <v>0</v>
      </c>
      <c r="F25705" s="1">
        <v>1.8854390818731401E-2</v>
      </c>
    </row>
    <row r="25706" spans="1:6" x14ac:dyDescent="0.25">
      <c r="A25706" s="2" t="str">
        <f t="shared" si="900"/>
        <v>44740</v>
      </c>
      <c r="B25706" s="2" t="str">
        <f>"50585"</f>
        <v>50585</v>
      </c>
      <c r="C25706" s="1">
        <v>5.8775510204081602E-2</v>
      </c>
      <c r="D25706" s="1">
        <v>2.42261103633916E-2</v>
      </c>
      <c r="E25706" s="1">
        <v>1.1337868480725599E-2</v>
      </c>
      <c r="F25706" s="1">
        <v>5.40014345732144E-2</v>
      </c>
    </row>
    <row r="25707" spans="1:6" x14ac:dyDescent="0.25">
      <c r="A25707" s="2" t="str">
        <f t="shared" ref="A25707:A25722" si="901">"21840"</f>
        <v>21840</v>
      </c>
      <c r="B25707" s="2" t="str">
        <f>"52651"</f>
        <v>52651</v>
      </c>
      <c r="C25707" s="1">
        <v>2.9940119760479E-3</v>
      </c>
      <c r="D25707" s="1">
        <v>0</v>
      </c>
      <c r="E25707" s="1">
        <v>0</v>
      </c>
      <c r="F25707" s="1">
        <v>2.50400641025641E-3</v>
      </c>
    </row>
    <row r="25708" spans="1:6" x14ac:dyDescent="0.25">
      <c r="A25708" s="2" t="str">
        <f t="shared" si="901"/>
        <v>21840</v>
      </c>
      <c r="B25708" s="2" t="str">
        <f>"52576"</f>
        <v>52576</v>
      </c>
      <c r="C25708" s="1">
        <v>1.19760479041916E-4</v>
      </c>
      <c r="D25708" s="1">
        <v>0</v>
      </c>
      <c r="E25708" s="1">
        <v>0</v>
      </c>
      <c r="F25708" s="1">
        <v>1.00160256410256E-4</v>
      </c>
    </row>
    <row r="25709" spans="1:6" x14ac:dyDescent="0.25">
      <c r="A25709" s="2" t="str">
        <f t="shared" si="901"/>
        <v>21840</v>
      </c>
      <c r="B25709" s="2" t="str">
        <f>"52533"</f>
        <v>52533</v>
      </c>
      <c r="C25709" s="1">
        <v>6.1796407185628698E-2</v>
      </c>
      <c r="D25709" s="1">
        <v>1.39925373134328E-2</v>
      </c>
      <c r="E25709" s="1">
        <v>1.6014234875444799E-2</v>
      </c>
      <c r="F25709" s="1">
        <v>5.4086538461538401E-2</v>
      </c>
    </row>
    <row r="25710" spans="1:6" x14ac:dyDescent="0.25">
      <c r="A25710" s="2" t="str">
        <f t="shared" si="901"/>
        <v>21840</v>
      </c>
      <c r="B25710" s="2" t="str">
        <f>"52563"</f>
        <v>52563</v>
      </c>
      <c r="C25710" s="1">
        <v>1.31736526946107E-3</v>
      </c>
      <c r="D25710" s="1">
        <v>0</v>
      </c>
      <c r="E25710" s="1">
        <v>0</v>
      </c>
      <c r="F25710" s="1">
        <v>1.1017628205128201E-3</v>
      </c>
    </row>
    <row r="25711" spans="1:6" x14ac:dyDescent="0.25">
      <c r="A25711" s="2" t="str">
        <f t="shared" si="901"/>
        <v>21840</v>
      </c>
      <c r="B25711" s="2" t="str">
        <f>"52585"</f>
        <v>52585</v>
      </c>
      <c r="C25711" s="1">
        <v>4.3113772455089803E-3</v>
      </c>
      <c r="D25711" s="1">
        <v>1.86567164179104E-3</v>
      </c>
      <c r="E25711" s="1">
        <v>0</v>
      </c>
      <c r="F25711" s="1">
        <v>3.80608974358974E-3</v>
      </c>
    </row>
    <row r="25712" spans="1:6" x14ac:dyDescent="0.25">
      <c r="A25712" s="2" t="str">
        <f t="shared" si="901"/>
        <v>21840</v>
      </c>
      <c r="B25712" s="2" t="str">
        <f>"52580"</f>
        <v>52580</v>
      </c>
      <c r="C25712" s="1">
        <v>2.52694610778443E-2</v>
      </c>
      <c r="D25712" s="1">
        <v>9.3283582089552196E-3</v>
      </c>
      <c r="E25712" s="1">
        <v>3.5587188612099599E-3</v>
      </c>
      <c r="F25712" s="1">
        <v>2.23357371794871E-2</v>
      </c>
    </row>
    <row r="25713" spans="1:6" x14ac:dyDescent="0.25">
      <c r="A25713" s="2" t="str">
        <f t="shared" si="901"/>
        <v>21840</v>
      </c>
      <c r="B25713" s="2" t="str">
        <f>"52567"</f>
        <v>52567</v>
      </c>
      <c r="C25713" s="1">
        <v>3.3892215568862197E-2</v>
      </c>
      <c r="D25713" s="1">
        <v>1.2126865671641699E-2</v>
      </c>
      <c r="E25713" s="1">
        <v>7.1174377224199198E-3</v>
      </c>
      <c r="F25713" s="1">
        <v>3.00480769230769E-2</v>
      </c>
    </row>
    <row r="25714" spans="1:6" x14ac:dyDescent="0.25">
      <c r="A25714" s="2" t="str">
        <f t="shared" si="901"/>
        <v>21840</v>
      </c>
      <c r="B25714" s="2" t="str">
        <f>"52556"</f>
        <v>52556</v>
      </c>
      <c r="C25714" s="1">
        <v>0.79844311377245503</v>
      </c>
      <c r="D25714" s="1">
        <v>0.93470149253731305</v>
      </c>
      <c r="E25714" s="1">
        <v>0.97330960854092496</v>
      </c>
      <c r="F25714" s="1">
        <v>0.82291666666666596</v>
      </c>
    </row>
    <row r="25715" spans="1:6" x14ac:dyDescent="0.25">
      <c r="A25715" s="2" t="str">
        <f t="shared" si="901"/>
        <v>21840</v>
      </c>
      <c r="B25715" s="2" t="str">
        <f>"52540"</f>
        <v>52540</v>
      </c>
      <c r="C25715" s="1">
        <v>2.95808383233532E-2</v>
      </c>
      <c r="D25715" s="1">
        <v>7.4626865671641703E-3</v>
      </c>
      <c r="E25715" s="1">
        <v>0</v>
      </c>
      <c r="F25715" s="1">
        <v>2.5540865384615301E-2</v>
      </c>
    </row>
    <row r="25716" spans="1:6" x14ac:dyDescent="0.25">
      <c r="A25716" s="2" t="str">
        <f t="shared" si="901"/>
        <v>21840</v>
      </c>
      <c r="B25716" s="2" t="str">
        <f>"52654"</f>
        <v>52654</v>
      </c>
      <c r="C25716" s="1">
        <v>1.19760479041916E-4</v>
      </c>
      <c r="D25716" s="1">
        <v>0</v>
      </c>
      <c r="E25716" s="1">
        <v>0</v>
      </c>
      <c r="F25716" s="1">
        <v>1.00160256410256E-4</v>
      </c>
    </row>
    <row r="25717" spans="1:6" x14ac:dyDescent="0.25">
      <c r="A25717" s="2" t="str">
        <f t="shared" si="901"/>
        <v>21840</v>
      </c>
      <c r="B25717" s="2" t="str">
        <f>"52641"</f>
        <v>52641</v>
      </c>
      <c r="C25717" s="1">
        <v>2.3952095808383199E-3</v>
      </c>
      <c r="D25717" s="1">
        <v>0</v>
      </c>
      <c r="E25717" s="1">
        <v>0</v>
      </c>
      <c r="F25717" s="1">
        <v>2.0032051282051198E-3</v>
      </c>
    </row>
    <row r="25718" spans="1:6" x14ac:dyDescent="0.25">
      <c r="A25718" s="2" t="str">
        <f t="shared" si="901"/>
        <v>21840</v>
      </c>
      <c r="B25718" s="2" t="str">
        <f>"52588"</f>
        <v>52588</v>
      </c>
      <c r="C25718" s="1">
        <v>5.9880239520957996E-4</v>
      </c>
      <c r="D25718" s="1">
        <v>0</v>
      </c>
      <c r="E25718" s="1">
        <v>0</v>
      </c>
      <c r="F25718" s="1">
        <v>5.0080128205128201E-4</v>
      </c>
    </row>
    <row r="25719" spans="1:6" x14ac:dyDescent="0.25">
      <c r="A25719" s="2" t="str">
        <f t="shared" si="901"/>
        <v>21840</v>
      </c>
      <c r="B25719" s="2" t="str">
        <f>"52557"</f>
        <v>52557</v>
      </c>
      <c r="C25719" s="1">
        <v>0</v>
      </c>
      <c r="D25719" s="1">
        <v>9.3283582089552204E-4</v>
      </c>
      <c r="E25719" s="1">
        <v>0</v>
      </c>
      <c r="F25719" s="1">
        <v>1.00160256410256E-4</v>
      </c>
    </row>
    <row r="25720" spans="1:6" x14ac:dyDescent="0.25">
      <c r="A25720" s="2" t="str">
        <f t="shared" si="901"/>
        <v>21840</v>
      </c>
      <c r="B25720" s="2" t="str">
        <f>"52554"</f>
        <v>52554</v>
      </c>
      <c r="C25720" s="1">
        <v>1.67664670658682E-3</v>
      </c>
      <c r="D25720" s="1">
        <v>0</v>
      </c>
      <c r="E25720" s="1">
        <v>0</v>
      </c>
      <c r="F25720" s="1">
        <v>1.40224358974358E-3</v>
      </c>
    </row>
    <row r="25721" spans="1:6" x14ac:dyDescent="0.25">
      <c r="A25721" s="2" t="str">
        <f t="shared" si="901"/>
        <v>21840</v>
      </c>
      <c r="B25721" s="2" t="str">
        <f>"52635"</f>
        <v>52635</v>
      </c>
      <c r="C25721" s="1">
        <v>3.3892215568862197E-2</v>
      </c>
      <c r="D25721" s="1">
        <v>1.8656716417910401E-2</v>
      </c>
      <c r="E25721" s="1">
        <v>0</v>
      </c>
      <c r="F25721" s="1">
        <v>3.0348557692307598E-2</v>
      </c>
    </row>
    <row r="25722" spans="1:6" x14ac:dyDescent="0.25">
      <c r="A25722" s="2" t="str">
        <f t="shared" si="901"/>
        <v>21840</v>
      </c>
      <c r="B25722" s="2" t="str">
        <f>"52535"</f>
        <v>52535</v>
      </c>
      <c r="C25722" s="1">
        <v>3.5928143712574798E-3</v>
      </c>
      <c r="D25722" s="1">
        <v>9.3283582089552204E-4</v>
      </c>
      <c r="E25722" s="1">
        <v>0</v>
      </c>
      <c r="F25722" s="1">
        <v>3.1049679487179399E-3</v>
      </c>
    </row>
    <row r="25723" spans="1:6" x14ac:dyDescent="0.25">
      <c r="A25723" s="2" t="str">
        <f t="shared" ref="A25723:A25750" si="902">"43020"</f>
        <v>43020</v>
      </c>
      <c r="B25723" s="2" t="str">
        <f>"54950"</f>
        <v>54950</v>
      </c>
      <c r="C25723" s="1">
        <v>1.5893490579075801E-2</v>
      </c>
      <c r="D25723" s="1">
        <v>1.6895459345300901E-2</v>
      </c>
      <c r="E25723" s="1">
        <v>4.5871559633027499E-3</v>
      </c>
      <c r="F25723" s="1">
        <v>1.5721091381550398E-2</v>
      </c>
    </row>
    <row r="25724" spans="1:6" x14ac:dyDescent="0.25">
      <c r="A25724" s="2" t="str">
        <f t="shared" si="902"/>
        <v>43020</v>
      </c>
      <c r="B25724" s="2" t="str">
        <f>"54928"</f>
        <v>54928</v>
      </c>
      <c r="C25724" s="1">
        <v>8.2461878656654494E-3</v>
      </c>
      <c r="D25724" s="1">
        <v>8.4477296726504694E-3</v>
      </c>
      <c r="E25724" s="1">
        <v>2.2935779816513702E-3</v>
      </c>
      <c r="F25724" s="1">
        <v>8.1420528367258504E-3</v>
      </c>
    </row>
    <row r="25725" spans="1:6" x14ac:dyDescent="0.25">
      <c r="A25725" s="2" t="str">
        <f t="shared" si="902"/>
        <v>43020</v>
      </c>
      <c r="B25725" s="2" t="str">
        <f>"54170"</f>
        <v>54170</v>
      </c>
      <c r="C25725" s="1">
        <v>4.8371493066752596E-3</v>
      </c>
      <c r="D25725" s="1">
        <v>4.2238648363252303E-3</v>
      </c>
      <c r="E25725" s="1">
        <v>0</v>
      </c>
      <c r="F25725" s="1">
        <v>4.7206582936336E-3</v>
      </c>
    </row>
    <row r="25726" spans="1:6" x14ac:dyDescent="0.25">
      <c r="A25726" s="2" t="str">
        <f t="shared" si="902"/>
        <v>43020</v>
      </c>
      <c r="B25726" s="2" t="str">
        <f>"54150"</f>
        <v>54150</v>
      </c>
      <c r="C25726" s="1">
        <v>6.2191919657253398E-3</v>
      </c>
      <c r="D25726" s="1">
        <v>2.11193241816261E-3</v>
      </c>
      <c r="E25726" s="1">
        <v>1.6055045871559599E-2</v>
      </c>
      <c r="F25726" s="1">
        <v>6.2364660025985199E-3</v>
      </c>
    </row>
    <row r="25727" spans="1:6" x14ac:dyDescent="0.25">
      <c r="A25727" s="2" t="str">
        <f t="shared" si="902"/>
        <v>43020</v>
      </c>
      <c r="B25727" s="2" t="str">
        <f>"54128"</f>
        <v>54128</v>
      </c>
      <c r="C25727" s="1">
        <v>3.8190445478417101E-2</v>
      </c>
      <c r="D25727" s="1">
        <v>2.0063357972544799E-2</v>
      </c>
      <c r="E25727" s="1">
        <v>1.6055045871559599E-2</v>
      </c>
      <c r="F25727" s="1">
        <v>3.7029016890428701E-2</v>
      </c>
    </row>
    <row r="25728" spans="1:6" x14ac:dyDescent="0.25">
      <c r="A25728" s="2" t="str">
        <f t="shared" si="902"/>
        <v>43020</v>
      </c>
      <c r="B25728" s="2" t="str">
        <f>"54111"</f>
        <v>54111</v>
      </c>
      <c r="C25728" s="1">
        <v>4.8740037775832599E-2</v>
      </c>
      <c r="D25728" s="1">
        <v>1.5839493136219601E-2</v>
      </c>
      <c r="E25728" s="1">
        <v>3.89908256880733E-2</v>
      </c>
      <c r="F25728" s="1">
        <v>4.7206582936335999E-2</v>
      </c>
    </row>
    <row r="25729" spans="1:6" x14ac:dyDescent="0.25">
      <c r="A25729" s="2" t="str">
        <f t="shared" si="902"/>
        <v>43020</v>
      </c>
      <c r="B25729" s="2" t="str">
        <f>"54486"</f>
        <v>54486</v>
      </c>
      <c r="C25729" s="1">
        <v>4.79108121804026E-2</v>
      </c>
      <c r="D25729" s="1">
        <v>1.3727560718057001E-2</v>
      </c>
      <c r="E25729" s="1">
        <v>1.6055045871559599E-2</v>
      </c>
      <c r="F25729" s="1">
        <v>4.5907319185794701E-2</v>
      </c>
    </row>
    <row r="25730" spans="1:6" x14ac:dyDescent="0.25">
      <c r="A25730" s="2" t="str">
        <f t="shared" si="902"/>
        <v>43020</v>
      </c>
      <c r="B25730" s="2" t="str">
        <f>"54162"</f>
        <v>54162</v>
      </c>
      <c r="C25730" s="1">
        <v>4.6574837609987499E-2</v>
      </c>
      <c r="D25730" s="1">
        <v>2.1119324181626101E-2</v>
      </c>
      <c r="E25730" s="1">
        <v>1.37614678899082E-2</v>
      </c>
      <c r="F25730" s="1">
        <v>4.4911216977046302E-2</v>
      </c>
    </row>
    <row r="25731" spans="1:6" x14ac:dyDescent="0.25">
      <c r="A25731" s="2" t="str">
        <f t="shared" si="902"/>
        <v>43020</v>
      </c>
      <c r="B25731" s="2" t="str">
        <f>"54409"</f>
        <v>54409</v>
      </c>
      <c r="C25731" s="1">
        <v>2.7640853181001498E-3</v>
      </c>
      <c r="D25731" s="1">
        <v>0</v>
      </c>
      <c r="E25731" s="1">
        <v>0</v>
      </c>
      <c r="F25731" s="1">
        <v>2.5985275010827098E-3</v>
      </c>
    </row>
    <row r="25732" spans="1:6" x14ac:dyDescent="0.25">
      <c r="A25732" s="2" t="str">
        <f t="shared" si="902"/>
        <v>43020</v>
      </c>
      <c r="B25732" s="2" t="str">
        <f>"54416"</f>
        <v>54416</v>
      </c>
      <c r="C25732" s="1">
        <v>3.5426360160316903E-2</v>
      </c>
      <c r="D25732" s="1">
        <v>2.2175290390707401E-2</v>
      </c>
      <c r="E25732" s="1">
        <v>2.9816513761467801E-2</v>
      </c>
      <c r="F25732" s="1">
        <v>3.47769597228237E-2</v>
      </c>
    </row>
    <row r="25733" spans="1:6" x14ac:dyDescent="0.25">
      <c r="A25733" s="2" t="str">
        <f t="shared" si="902"/>
        <v>43020</v>
      </c>
      <c r="B25733" s="2" t="str">
        <f>"54948"</f>
        <v>54948</v>
      </c>
      <c r="C25733" s="1">
        <v>6.4956004975353504E-3</v>
      </c>
      <c r="D25733" s="1">
        <v>3.1678986272439202E-3</v>
      </c>
      <c r="E25733" s="1">
        <v>2.2935779816513702E-3</v>
      </c>
      <c r="F25733" s="1">
        <v>6.2797747942832296E-3</v>
      </c>
    </row>
    <row r="25734" spans="1:6" x14ac:dyDescent="0.25">
      <c r="A25734" s="2" t="str">
        <f t="shared" si="902"/>
        <v>43020</v>
      </c>
      <c r="B25734" s="2" t="str">
        <f>"54174"</f>
        <v>54174</v>
      </c>
      <c r="C25734" s="1">
        <v>1.8427235454001001E-4</v>
      </c>
      <c r="D25734" s="1">
        <v>0</v>
      </c>
      <c r="E25734" s="1">
        <v>0</v>
      </c>
      <c r="F25734" s="1">
        <v>1.73235166738847E-4</v>
      </c>
    </row>
    <row r="25735" spans="1:6" x14ac:dyDescent="0.25">
      <c r="A25735" s="2" t="str">
        <f t="shared" si="902"/>
        <v>43020</v>
      </c>
      <c r="B25735" s="2" t="str">
        <f>"54165"</f>
        <v>54165</v>
      </c>
      <c r="C25735" s="1">
        <v>6.2652600543603399E-3</v>
      </c>
      <c r="D25735" s="1">
        <v>3.1678986272439202E-3</v>
      </c>
      <c r="E25735" s="1">
        <v>0</v>
      </c>
      <c r="F25735" s="1">
        <v>6.0199220441749602E-3</v>
      </c>
    </row>
    <row r="25736" spans="1:6" x14ac:dyDescent="0.25">
      <c r="A25736" s="2" t="str">
        <f t="shared" si="902"/>
        <v>43020</v>
      </c>
      <c r="B25736" s="2" t="str">
        <f>"54408"</f>
        <v>54408</v>
      </c>
      <c r="C25736" s="1">
        <v>1.24844520200856E-2</v>
      </c>
      <c r="D25736" s="1">
        <v>9.5036958817317808E-3</v>
      </c>
      <c r="E25736" s="1">
        <v>2.2935779816513702E-3</v>
      </c>
      <c r="F25736" s="1">
        <v>1.2169770463404001E-2</v>
      </c>
    </row>
    <row r="25737" spans="1:6" x14ac:dyDescent="0.25">
      <c r="A25737" s="2" t="str">
        <f t="shared" si="902"/>
        <v>43020</v>
      </c>
      <c r="B25737" s="2" t="str">
        <f>"54107"</f>
        <v>54107</v>
      </c>
      <c r="C25737" s="1">
        <v>7.6611231400009194E-2</v>
      </c>
      <c r="D25737" s="1">
        <v>5.9134107708553298E-2</v>
      </c>
      <c r="E25737" s="1">
        <v>8.9449541284403605E-2</v>
      </c>
      <c r="F25737" s="1">
        <v>7.6136855781723606E-2</v>
      </c>
    </row>
    <row r="25738" spans="1:6" x14ac:dyDescent="0.25">
      <c r="A25738" s="2" t="str">
        <f t="shared" si="902"/>
        <v>43020</v>
      </c>
      <c r="B25738" s="2" t="str">
        <f>"54166"</f>
        <v>54166</v>
      </c>
      <c r="C25738" s="1">
        <v>0.39480351960197102</v>
      </c>
      <c r="D25738" s="1">
        <v>0.67793030623020001</v>
      </c>
      <c r="E25738" s="1">
        <v>0.59862385321100897</v>
      </c>
      <c r="F25738" s="1">
        <v>0.41026418362927602</v>
      </c>
    </row>
    <row r="25739" spans="1:6" x14ac:dyDescent="0.25">
      <c r="A25739" s="2" t="str">
        <f t="shared" si="902"/>
        <v>43020</v>
      </c>
      <c r="B25739" s="2" t="str">
        <f>"54450"</f>
        <v>54450</v>
      </c>
      <c r="C25739" s="1">
        <v>6.6798728520753598E-3</v>
      </c>
      <c r="D25739" s="1">
        <v>2.11193241816261E-3</v>
      </c>
      <c r="E25739" s="1">
        <v>1.6055045871559599E-2</v>
      </c>
      <c r="F25739" s="1">
        <v>6.6695539194456402E-3</v>
      </c>
    </row>
    <row r="25740" spans="1:6" x14ac:dyDescent="0.25">
      <c r="A25740" s="2" t="str">
        <f t="shared" si="902"/>
        <v>43020</v>
      </c>
      <c r="B25740" s="2" t="str">
        <f>"54124"</f>
        <v>54124</v>
      </c>
      <c r="C25740" s="1">
        <v>7.1405537384253903E-3</v>
      </c>
      <c r="D25740" s="1">
        <v>2.11193241816261E-3</v>
      </c>
      <c r="E25740" s="1">
        <v>0</v>
      </c>
      <c r="F25740" s="1">
        <v>6.7994802944997797E-3</v>
      </c>
    </row>
    <row r="25741" spans="1:6" x14ac:dyDescent="0.25">
      <c r="A25741" s="2" t="str">
        <f t="shared" si="902"/>
        <v>43020</v>
      </c>
      <c r="B25741" s="2" t="str">
        <f>"54137"</f>
        <v>54137</v>
      </c>
      <c r="C25741" s="1">
        <v>1.4373243654120699E-2</v>
      </c>
      <c r="D25741" s="1">
        <v>4.2238648363252303E-3</v>
      </c>
      <c r="E25741" s="1">
        <v>2.2935779816513702E-3</v>
      </c>
      <c r="F25741" s="1">
        <v>1.3728886964053701E-2</v>
      </c>
    </row>
    <row r="25742" spans="1:6" x14ac:dyDescent="0.25">
      <c r="A25742" s="2" t="str">
        <f t="shared" si="902"/>
        <v>43020</v>
      </c>
      <c r="B25742" s="2" t="str">
        <f>"54106"</f>
        <v>54106</v>
      </c>
      <c r="C25742" s="1">
        <v>7.3708941816004003E-4</v>
      </c>
      <c r="D25742" s="1">
        <v>0</v>
      </c>
      <c r="E25742" s="1">
        <v>0</v>
      </c>
      <c r="F25742" s="1">
        <v>6.9294066695539105E-4</v>
      </c>
    </row>
    <row r="25743" spans="1:6" x14ac:dyDescent="0.25">
      <c r="A25743" s="2" t="str">
        <f t="shared" si="902"/>
        <v>43020</v>
      </c>
      <c r="B25743" s="2" t="str">
        <f>"54499"</f>
        <v>54499</v>
      </c>
      <c r="C25743" s="1">
        <v>6.2191919657253403E-2</v>
      </c>
      <c r="D25743" s="1">
        <v>5.5966209081309302E-2</v>
      </c>
      <c r="E25743" s="1">
        <v>8.2568807339449504E-2</v>
      </c>
      <c r="F25743" s="1">
        <v>6.23213512343005E-2</v>
      </c>
    </row>
    <row r="25744" spans="1:6" x14ac:dyDescent="0.25">
      <c r="A25744" s="2" t="str">
        <f t="shared" si="902"/>
        <v>43020</v>
      </c>
      <c r="B25744" s="2" t="str">
        <f>"54135"</f>
        <v>54135</v>
      </c>
      <c r="C25744" s="1">
        <v>3.6393790021652002E-2</v>
      </c>
      <c r="D25744" s="1">
        <v>4.2238648363252303E-3</v>
      </c>
      <c r="E25744" s="1">
        <v>6.8807339449541201E-3</v>
      </c>
      <c r="F25744" s="1">
        <v>3.45171069727154E-2</v>
      </c>
    </row>
    <row r="25745" spans="1:6" x14ac:dyDescent="0.25">
      <c r="A25745" s="2" t="str">
        <f t="shared" si="902"/>
        <v>43020</v>
      </c>
      <c r="B25745" s="2" t="str">
        <f>"54978"</f>
        <v>54978</v>
      </c>
      <c r="C25745" s="1">
        <v>5.0674897498502697E-4</v>
      </c>
      <c r="D25745" s="1">
        <v>1.0559662090813E-3</v>
      </c>
      <c r="E25745" s="1">
        <v>2.2935779816513702E-3</v>
      </c>
      <c r="F25745" s="1">
        <v>5.6301429190125504E-4</v>
      </c>
    </row>
    <row r="25746" spans="1:6" x14ac:dyDescent="0.25">
      <c r="A25746" s="2" t="str">
        <f t="shared" si="902"/>
        <v>43020</v>
      </c>
      <c r="B25746" s="2" t="str">
        <f>"54154"</f>
        <v>54154</v>
      </c>
      <c r="C25746" s="1">
        <v>4.0079237112452199E-3</v>
      </c>
      <c r="D25746" s="1">
        <v>1.0559662090813E-3</v>
      </c>
      <c r="E25746" s="1">
        <v>0</v>
      </c>
      <c r="F25746" s="1">
        <v>3.8111736682546501E-3</v>
      </c>
    </row>
    <row r="25747" spans="1:6" x14ac:dyDescent="0.25">
      <c r="A25747" s="2" t="str">
        <f t="shared" si="902"/>
        <v>43020</v>
      </c>
      <c r="B25747" s="2" t="str">
        <f>"54127"</f>
        <v>54127</v>
      </c>
      <c r="C25747" s="1">
        <v>1.7505873681300901E-3</v>
      </c>
      <c r="D25747" s="1">
        <v>8.4477296726504694E-3</v>
      </c>
      <c r="E25747" s="1">
        <v>4.5871559633027499E-3</v>
      </c>
      <c r="F25747" s="1">
        <v>2.0788220008661701E-3</v>
      </c>
    </row>
    <row r="25748" spans="1:6" x14ac:dyDescent="0.25">
      <c r="A25748" s="2" t="str">
        <f t="shared" si="902"/>
        <v>43020</v>
      </c>
      <c r="B25748" s="2" t="str">
        <f>"54929"</f>
        <v>54929</v>
      </c>
      <c r="C25748" s="1">
        <v>3.92500115170221E-2</v>
      </c>
      <c r="D25748" s="1">
        <v>1.6895459345300901E-2</v>
      </c>
      <c r="E25748" s="1">
        <v>1.8348623853211E-2</v>
      </c>
      <c r="F25748" s="1">
        <v>3.7938501515807702E-2</v>
      </c>
    </row>
    <row r="25749" spans="1:6" x14ac:dyDescent="0.25">
      <c r="A25749" s="2" t="str">
        <f t="shared" si="902"/>
        <v>43020</v>
      </c>
      <c r="B25749" s="2" t="str">
        <f>"54427"</f>
        <v>54427</v>
      </c>
      <c r="C25749" s="1">
        <v>8.2922559543004495E-3</v>
      </c>
      <c r="D25749" s="1">
        <v>3.1678986272439202E-3</v>
      </c>
      <c r="E25749" s="1">
        <v>2.2935779816513702E-3</v>
      </c>
      <c r="F25749" s="1">
        <v>7.9688176699869995E-3</v>
      </c>
    </row>
    <row r="25750" spans="1:6" x14ac:dyDescent="0.25">
      <c r="A25750" s="2" t="str">
        <f t="shared" si="902"/>
        <v>43020</v>
      </c>
      <c r="B25750" s="2" t="str">
        <f>"54414"</f>
        <v>54414</v>
      </c>
      <c r="C25750" s="1">
        <v>6.7029068963928601E-2</v>
      </c>
      <c r="D25750" s="1">
        <v>2.3231256599788801E-2</v>
      </c>
      <c r="E25750" s="1">
        <v>3.4403669724770602E-2</v>
      </c>
      <c r="F25750" s="1">
        <v>6.4616717193590203E-2</v>
      </c>
    </row>
    <row r="25751" spans="1:6" x14ac:dyDescent="0.25">
      <c r="A25751" s="2" t="str">
        <f t="shared" ref="A25751:A25769" si="903">"48820"</f>
        <v>48820</v>
      </c>
      <c r="B25751" s="2" t="str">
        <f>"56362"</f>
        <v>56362</v>
      </c>
      <c r="C25751" s="1">
        <v>4.2793970805002097E-3</v>
      </c>
      <c r="D25751" s="1">
        <v>4.84261501210653E-4</v>
      </c>
      <c r="E25751" s="1">
        <v>0</v>
      </c>
      <c r="F25751" s="1">
        <v>3.8008520591429201E-3</v>
      </c>
    </row>
    <row r="25752" spans="1:6" x14ac:dyDescent="0.25">
      <c r="A25752" s="2" t="str">
        <f t="shared" si="903"/>
        <v>48820</v>
      </c>
      <c r="B25752" s="2" t="str">
        <f>"56288"</f>
        <v>56288</v>
      </c>
      <c r="C25752" s="1">
        <v>0.13793923256145599</v>
      </c>
      <c r="D25752" s="1">
        <v>7.0702179176755406E-2</v>
      </c>
      <c r="E25752" s="1">
        <v>8.7470449172576806E-2</v>
      </c>
      <c r="F25752" s="1">
        <v>0.13035669534708799</v>
      </c>
    </row>
    <row r="25753" spans="1:6" x14ac:dyDescent="0.25">
      <c r="A25753" s="2" t="str">
        <f t="shared" si="903"/>
        <v>48820</v>
      </c>
      <c r="B25753" s="2" t="str">
        <f>"56253"</f>
        <v>56253</v>
      </c>
      <c r="C25753" s="1">
        <v>2.42499167895012E-2</v>
      </c>
      <c r="D25753" s="1">
        <v>2.4213075060532602E-3</v>
      </c>
      <c r="E25753" s="1">
        <v>2.36406619385342E-3</v>
      </c>
      <c r="F25753" s="1">
        <v>2.15938518085372E-2</v>
      </c>
    </row>
    <row r="25754" spans="1:6" x14ac:dyDescent="0.25">
      <c r="A25754" s="2" t="str">
        <f t="shared" si="903"/>
        <v>48820</v>
      </c>
      <c r="B25754" s="2" t="str">
        <f>"56216"</f>
        <v>56216</v>
      </c>
      <c r="C25754" s="1">
        <v>9.9852598545004893E-3</v>
      </c>
      <c r="D25754" s="1">
        <v>5.8111380145278403E-3</v>
      </c>
      <c r="E25754" s="1">
        <v>4.7281323877068496E-3</v>
      </c>
      <c r="F25754" s="1">
        <v>9.4394787402890291E-3</v>
      </c>
    </row>
    <row r="25755" spans="1:6" x14ac:dyDescent="0.25">
      <c r="A25755" s="2" t="str">
        <f t="shared" si="903"/>
        <v>48820</v>
      </c>
      <c r="B25755" s="2" t="str">
        <f>"56282"</f>
        <v>56282</v>
      </c>
      <c r="C25755" s="1">
        <v>2.66273596120013E-2</v>
      </c>
      <c r="D25755" s="1">
        <v>5.8111380145278403E-3</v>
      </c>
      <c r="E25755" s="1">
        <v>1.5366430260047199E-2</v>
      </c>
      <c r="F25755" s="1">
        <v>2.4434048951633099E-2</v>
      </c>
    </row>
    <row r="25756" spans="1:6" x14ac:dyDescent="0.25">
      <c r="A25756" s="2" t="str">
        <f t="shared" si="903"/>
        <v>48820</v>
      </c>
      <c r="B25756" s="2" t="str">
        <f>"56209"</f>
        <v>56209</v>
      </c>
      <c r="C25756" s="1">
        <v>5.3207170367552598E-2</v>
      </c>
      <c r="D25756" s="1">
        <v>1.1138014527845E-2</v>
      </c>
      <c r="E25756" s="1">
        <v>1.6548463356973901E-2</v>
      </c>
      <c r="F25756" s="1">
        <v>4.8283351432628803E-2</v>
      </c>
    </row>
    <row r="25757" spans="1:6" x14ac:dyDescent="0.25">
      <c r="A25757" s="2" t="str">
        <f t="shared" si="903"/>
        <v>48820</v>
      </c>
      <c r="B25757" s="2" t="str">
        <f>"56279"</f>
        <v>56279</v>
      </c>
      <c r="C25757" s="1">
        <v>1.8306309733250901E-2</v>
      </c>
      <c r="D25757" s="1">
        <v>2.4213075060532602E-3</v>
      </c>
      <c r="E25757" s="1">
        <v>9.4562647754137096E-3</v>
      </c>
      <c r="F25757" s="1">
        <v>1.6623506808119599E-2</v>
      </c>
    </row>
    <row r="25758" spans="1:6" x14ac:dyDescent="0.25">
      <c r="A25758" s="2" t="str">
        <f t="shared" si="903"/>
        <v>48820</v>
      </c>
      <c r="B25758" s="2" t="str">
        <f>"56243"</f>
        <v>56243</v>
      </c>
      <c r="C25758" s="1">
        <v>2.3774428225001101E-4</v>
      </c>
      <c r="D25758" s="1">
        <v>0</v>
      </c>
      <c r="E25758" s="1">
        <v>0</v>
      </c>
      <c r="F25758" s="1">
        <v>2.0883802522763301E-4</v>
      </c>
    </row>
    <row r="25759" spans="1:6" x14ac:dyDescent="0.25">
      <c r="A25759" s="2" t="str">
        <f t="shared" si="903"/>
        <v>48820</v>
      </c>
      <c r="B25759" s="2" t="str">
        <f>"56277"</f>
        <v>56277</v>
      </c>
      <c r="C25759" s="1">
        <v>9.5097712900004696E-5</v>
      </c>
      <c r="D25759" s="1">
        <v>0</v>
      </c>
      <c r="E25759" s="1">
        <v>0</v>
      </c>
      <c r="F25759" s="1">
        <v>8.3535210091053298E-5</v>
      </c>
    </row>
    <row r="25760" spans="1:6" x14ac:dyDescent="0.25">
      <c r="A25760" s="2" t="str">
        <f t="shared" si="903"/>
        <v>48820</v>
      </c>
      <c r="B25760" s="2" t="str">
        <f>"56251"</f>
        <v>56251</v>
      </c>
      <c r="C25760" s="1">
        <v>1.8448956302600902E-2</v>
      </c>
      <c r="D25760" s="1">
        <v>2.4213075060532602E-3</v>
      </c>
      <c r="E25760" s="1">
        <v>2.3640661938534199E-2</v>
      </c>
      <c r="F25760" s="1">
        <v>1.7250020883802501E-2</v>
      </c>
    </row>
    <row r="25761" spans="1:6" x14ac:dyDescent="0.25">
      <c r="A25761" s="2" t="str">
        <f t="shared" si="903"/>
        <v>48820</v>
      </c>
      <c r="B25761" s="2" t="str">
        <f>"56316"</f>
        <v>56316</v>
      </c>
      <c r="C25761" s="1">
        <v>2.3774428225001101E-3</v>
      </c>
      <c r="D25761" s="1">
        <v>4.84261501210653E-4</v>
      </c>
      <c r="E25761" s="1">
        <v>0</v>
      </c>
      <c r="F25761" s="1">
        <v>2.13014785732186E-3</v>
      </c>
    </row>
    <row r="25762" spans="1:6" x14ac:dyDescent="0.25">
      <c r="A25762" s="2" t="str">
        <f t="shared" si="903"/>
        <v>48820</v>
      </c>
      <c r="B25762" s="2" t="str">
        <f>"56281"</f>
        <v>56281</v>
      </c>
      <c r="C25762" s="1">
        <v>1.2647995815700599E-2</v>
      </c>
      <c r="D25762" s="1">
        <v>6.2953995157384902E-3</v>
      </c>
      <c r="E25762" s="1">
        <v>4.7281323877068496E-3</v>
      </c>
      <c r="F25762" s="1">
        <v>1.1820232227884E-2</v>
      </c>
    </row>
    <row r="25763" spans="1:6" x14ac:dyDescent="0.25">
      <c r="A25763" s="2" t="str">
        <f t="shared" si="903"/>
        <v>48820</v>
      </c>
      <c r="B25763" s="2" t="str">
        <f>"56284"</f>
        <v>56284</v>
      </c>
      <c r="C25763" s="1">
        <v>4.4220436498502201E-3</v>
      </c>
      <c r="D25763" s="1">
        <v>1.4527845036319601E-3</v>
      </c>
      <c r="E25763" s="1">
        <v>2.36406619385342E-3</v>
      </c>
      <c r="F25763" s="1">
        <v>4.0932252944616103E-3</v>
      </c>
    </row>
    <row r="25764" spans="1:6" x14ac:dyDescent="0.25">
      <c r="A25764" s="2" t="str">
        <f t="shared" si="903"/>
        <v>48820</v>
      </c>
      <c r="B25764" s="2" t="str">
        <f>"56289"</f>
        <v>56289</v>
      </c>
      <c r="C25764" s="1">
        <v>1.2457800389900599E-2</v>
      </c>
      <c r="D25764" s="1">
        <v>4.84261501210653E-4</v>
      </c>
      <c r="E25764" s="1">
        <v>4.7281323877068496E-3</v>
      </c>
      <c r="F25764" s="1">
        <v>1.1151950547155599E-2</v>
      </c>
    </row>
    <row r="25765" spans="1:6" x14ac:dyDescent="0.25">
      <c r="A25765" s="2" t="str">
        <f t="shared" si="903"/>
        <v>48820</v>
      </c>
      <c r="B25765" s="2" t="str">
        <f>"56222"</f>
        <v>56222</v>
      </c>
      <c r="C25765" s="1">
        <v>9.5097712900004696E-5</v>
      </c>
      <c r="D25765" s="1">
        <v>0</v>
      </c>
      <c r="E25765" s="1">
        <v>0</v>
      </c>
      <c r="F25765" s="1">
        <v>8.3535210091053298E-5</v>
      </c>
    </row>
    <row r="25766" spans="1:6" x14ac:dyDescent="0.25">
      <c r="A25766" s="2" t="str">
        <f t="shared" si="903"/>
        <v>48820</v>
      </c>
      <c r="B25766" s="2" t="str">
        <f>"56312"</f>
        <v>56312</v>
      </c>
      <c r="C25766" s="1">
        <v>9.41467357710047E-3</v>
      </c>
      <c r="D25766" s="1">
        <v>3.3898305084745701E-3</v>
      </c>
      <c r="E25766" s="1">
        <v>2.36406619385342E-3</v>
      </c>
      <c r="F25766" s="1">
        <v>8.6458942444240204E-3</v>
      </c>
    </row>
    <row r="25767" spans="1:6" x14ac:dyDescent="0.25">
      <c r="A25767" s="2" t="str">
        <f t="shared" si="903"/>
        <v>48820</v>
      </c>
      <c r="B25767" s="2" t="str">
        <f>"56252"</f>
        <v>56252</v>
      </c>
      <c r="C25767" s="1">
        <v>9.0342827255004499E-4</v>
      </c>
      <c r="D25767" s="1">
        <v>0</v>
      </c>
      <c r="E25767" s="1">
        <v>0</v>
      </c>
      <c r="F25767" s="1">
        <v>7.93584495865007E-4</v>
      </c>
    </row>
    <row r="25768" spans="1:6" x14ac:dyDescent="0.25">
      <c r="A25768" s="2" t="str">
        <f t="shared" si="903"/>
        <v>48820</v>
      </c>
      <c r="B25768" s="2" t="str">
        <f>"56273"</f>
        <v>56273</v>
      </c>
      <c r="C25768" s="1">
        <v>0.115496172317055</v>
      </c>
      <c r="D25768" s="1">
        <v>7.7481840193704604E-2</v>
      </c>
      <c r="E25768" s="1">
        <v>5.31914893617021E-2</v>
      </c>
      <c r="F25768" s="1">
        <v>0.110015871689917</v>
      </c>
    </row>
    <row r="25769" spans="1:6" x14ac:dyDescent="0.25">
      <c r="A25769" s="2" t="str">
        <f t="shared" si="903"/>
        <v>48820</v>
      </c>
      <c r="B25769" s="2" t="str">
        <f>"56201"</f>
        <v>56201</v>
      </c>
      <c r="C25769" s="1">
        <v>0.54880890114592695</v>
      </c>
      <c r="D25769" s="1">
        <v>0.80920096852300205</v>
      </c>
      <c r="E25769" s="1">
        <v>0.77304964539007004</v>
      </c>
      <c r="F25769" s="1">
        <v>0.57919137916631802</v>
      </c>
    </row>
    <row r="25770" spans="1:6" x14ac:dyDescent="0.25">
      <c r="A25770" s="2" t="str">
        <f t="shared" ref="A25770:A25801" si="904">"43620"</f>
        <v>43620</v>
      </c>
      <c r="B25770" s="2" t="str">
        <f>"57374"</f>
        <v>57374</v>
      </c>
      <c r="C25770" s="1">
        <v>7.9048128782576398E-4</v>
      </c>
      <c r="D25770" s="1">
        <v>5.2264808362369305E-4</v>
      </c>
      <c r="E25770" s="1">
        <v>1.45222189950624E-4</v>
      </c>
      <c r="F25770" s="1">
        <v>7.3670884265186504E-4</v>
      </c>
    </row>
    <row r="25771" spans="1:6" x14ac:dyDescent="0.25">
      <c r="A25771" s="2" t="str">
        <f t="shared" si="904"/>
        <v>43620</v>
      </c>
      <c r="B25771" s="2" t="str">
        <f>"57193"</f>
        <v>57193</v>
      </c>
      <c r="C25771" s="1">
        <v>0</v>
      </c>
      <c r="D25771" s="1">
        <v>1.74216027874564E-4</v>
      </c>
      <c r="E25771" s="1">
        <v>0</v>
      </c>
      <c r="F25771" s="1">
        <v>1.4305026070910001E-5</v>
      </c>
    </row>
    <row r="25772" spans="1:6" x14ac:dyDescent="0.25">
      <c r="A25772" s="2" t="str">
        <f t="shared" si="904"/>
        <v>43620</v>
      </c>
      <c r="B25772" s="2" t="str">
        <f>"57109"</f>
        <v>57109</v>
      </c>
      <c r="C25772" s="1">
        <v>1.1733706616163599E-2</v>
      </c>
      <c r="D25772" s="1">
        <v>4.9303135888501701E-2</v>
      </c>
      <c r="E25772" s="1">
        <v>2.9044437990124799E-4</v>
      </c>
      <c r="F25772" s="1">
        <v>1.42549584796618E-2</v>
      </c>
    </row>
    <row r="25773" spans="1:6" x14ac:dyDescent="0.25">
      <c r="A25773" s="2" t="str">
        <f t="shared" si="904"/>
        <v>43620</v>
      </c>
      <c r="B25773" s="2" t="str">
        <f>"57106"</f>
        <v>57106</v>
      </c>
      <c r="C25773" s="1">
        <v>0.16938531845691401</v>
      </c>
      <c r="D25773" s="1">
        <v>0.117770034843205</v>
      </c>
      <c r="E25773" s="1">
        <v>0.17339529480104501</v>
      </c>
      <c r="F25773" s="1">
        <v>0.16534464384061301</v>
      </c>
    </row>
    <row r="25774" spans="1:6" x14ac:dyDescent="0.25">
      <c r="A25774" s="2" t="str">
        <f t="shared" si="904"/>
        <v>43620</v>
      </c>
      <c r="B25774" s="2" t="str">
        <f>"57034"</f>
        <v>57034</v>
      </c>
      <c r="C25774" s="1">
        <v>2.0256083000535201E-3</v>
      </c>
      <c r="D25774" s="1">
        <v>5.2264808362369305E-4</v>
      </c>
      <c r="E25774" s="1">
        <v>1.45222189950624E-4</v>
      </c>
      <c r="F25774" s="1">
        <v>1.80958579797011E-3</v>
      </c>
    </row>
    <row r="25775" spans="1:6" x14ac:dyDescent="0.25">
      <c r="A25775" s="2" t="str">
        <f t="shared" si="904"/>
        <v>43620</v>
      </c>
      <c r="B25775" s="2" t="str">
        <f>"57039"</f>
        <v>57039</v>
      </c>
      <c r="C25775" s="1">
        <v>1.22771625015439E-2</v>
      </c>
      <c r="D25775" s="1">
        <v>2.87456445993031E-3</v>
      </c>
      <c r="E25775" s="1">
        <v>7.5515538774324703E-3</v>
      </c>
      <c r="F25775" s="1">
        <v>1.1272360543876999E-2</v>
      </c>
    </row>
    <row r="25776" spans="1:6" x14ac:dyDescent="0.25">
      <c r="A25776" s="2" t="str">
        <f t="shared" si="904"/>
        <v>43620</v>
      </c>
      <c r="B25776" s="2" t="str">
        <f>"57032"</f>
        <v>57032</v>
      </c>
      <c r="C25776" s="1">
        <v>2.4751945325044201E-2</v>
      </c>
      <c r="D25776" s="1">
        <v>1.43728222996515E-2</v>
      </c>
      <c r="E25776" s="1">
        <v>2.35259947720011E-2</v>
      </c>
      <c r="F25776" s="1">
        <v>2.3839325947171499E-2</v>
      </c>
    </row>
    <row r="25777" spans="1:6" x14ac:dyDescent="0.25">
      <c r="A25777" s="2" t="str">
        <f t="shared" si="904"/>
        <v>43620</v>
      </c>
      <c r="B25777" s="2" t="str">
        <f>"57029"</f>
        <v>57029</v>
      </c>
      <c r="C25777" s="1">
        <v>8.9752562888550296E-4</v>
      </c>
      <c r="D25777" s="1">
        <v>2.6132404181184598E-4</v>
      </c>
      <c r="E25777" s="1">
        <v>0</v>
      </c>
      <c r="F25777" s="1">
        <v>8.0108145997096001E-4</v>
      </c>
    </row>
    <row r="25778" spans="1:6" x14ac:dyDescent="0.25">
      <c r="A25778" s="2" t="str">
        <f t="shared" si="904"/>
        <v>43620</v>
      </c>
      <c r="B25778" s="2" t="str">
        <f>"57015"</f>
        <v>57015</v>
      </c>
      <c r="C25778" s="1">
        <v>3.0137099098357201E-3</v>
      </c>
      <c r="D25778" s="1">
        <v>1.39372822299651E-3</v>
      </c>
      <c r="E25778" s="1">
        <v>1.45222189950624E-3</v>
      </c>
      <c r="F25778" s="1">
        <v>2.80378510989836E-3</v>
      </c>
    </row>
    <row r="25779" spans="1:6" x14ac:dyDescent="0.25">
      <c r="A25779" s="2" t="str">
        <f t="shared" si="904"/>
        <v>43620</v>
      </c>
      <c r="B25779" s="2" t="str">
        <f>"57319"</f>
        <v>57319</v>
      </c>
      <c r="C25779" s="1">
        <v>3.3595454732595E-3</v>
      </c>
      <c r="D25779" s="1">
        <v>1.13240418118466E-3</v>
      </c>
      <c r="E25779" s="1">
        <v>3.0496659889631102E-3</v>
      </c>
      <c r="F25779" s="1">
        <v>3.1614107616711102E-3</v>
      </c>
    </row>
    <row r="25780" spans="1:6" x14ac:dyDescent="0.25">
      <c r="A25780" s="2" t="str">
        <f t="shared" si="904"/>
        <v>43620</v>
      </c>
      <c r="B25780" s="2" t="str">
        <f>"57070"</f>
        <v>57070</v>
      </c>
      <c r="C25780" s="1">
        <v>4.6934826464654703E-3</v>
      </c>
      <c r="D25780" s="1">
        <v>1.2195121951219499E-3</v>
      </c>
      <c r="E25780" s="1">
        <v>3.4853325588149798E-3</v>
      </c>
      <c r="F25780" s="1">
        <v>4.3487279255566402E-3</v>
      </c>
    </row>
    <row r="25781" spans="1:6" x14ac:dyDescent="0.25">
      <c r="A25781" s="2" t="str">
        <f t="shared" si="904"/>
        <v>43620</v>
      </c>
      <c r="B25781" s="2" t="str">
        <f>"57064"</f>
        <v>57064</v>
      </c>
      <c r="C25781" s="1">
        <v>1.91115319692041E-2</v>
      </c>
      <c r="D25781" s="1">
        <v>2.53484320557491E-2</v>
      </c>
      <c r="E25781" s="1">
        <v>3.2239326169038601E-2</v>
      </c>
      <c r="F25781" s="1">
        <v>2.0270221942479402E-2</v>
      </c>
    </row>
    <row r="25782" spans="1:6" x14ac:dyDescent="0.25">
      <c r="A25782" s="2" t="str">
        <f t="shared" si="904"/>
        <v>43620</v>
      </c>
      <c r="B25782" s="2" t="str">
        <f>"57104"</f>
        <v>57104</v>
      </c>
      <c r="C25782" s="1">
        <v>0.108864094857754</v>
      </c>
      <c r="D25782" s="1">
        <v>0.23858885017421599</v>
      </c>
      <c r="E25782" s="1">
        <v>0.22146383967470201</v>
      </c>
      <c r="F25782" s="1">
        <v>0.12506169042493001</v>
      </c>
    </row>
    <row r="25783" spans="1:6" x14ac:dyDescent="0.25">
      <c r="A25783" s="2" t="str">
        <f t="shared" si="904"/>
        <v>43620</v>
      </c>
      <c r="B25783" s="2" t="str">
        <f>"57047"</f>
        <v>57047</v>
      </c>
      <c r="C25783" s="1">
        <v>9.8810160978220489E-4</v>
      </c>
      <c r="D25783" s="1">
        <v>4.3554006968641099E-4</v>
      </c>
      <c r="E25783" s="1">
        <v>2.9044437990124799E-4</v>
      </c>
      <c r="F25783" s="1">
        <v>9.0836915550278504E-4</v>
      </c>
    </row>
    <row r="25784" spans="1:6" x14ac:dyDescent="0.25">
      <c r="A25784" s="2" t="str">
        <f t="shared" si="904"/>
        <v>43620</v>
      </c>
      <c r="B25784" s="2" t="str">
        <f>"57053"</f>
        <v>57053</v>
      </c>
      <c r="C25784" s="1">
        <v>5.4098563135575699E-3</v>
      </c>
      <c r="D25784" s="1">
        <v>1.2195121951219499E-3</v>
      </c>
      <c r="E25784" s="1">
        <v>1.45222189950624E-3</v>
      </c>
      <c r="F25784" s="1">
        <v>4.8708613771448498E-3</v>
      </c>
    </row>
    <row r="25785" spans="1:6" x14ac:dyDescent="0.25">
      <c r="A25785" s="2" t="str">
        <f t="shared" si="904"/>
        <v>43620</v>
      </c>
      <c r="B25785" s="2" t="str">
        <f>"57018"</f>
        <v>57018</v>
      </c>
      <c r="C25785" s="1">
        <v>4.7346535468730704E-3</v>
      </c>
      <c r="D25785" s="1">
        <v>1.5679442508710799E-3</v>
      </c>
      <c r="E25785" s="1">
        <v>1.88788846935811E-3</v>
      </c>
      <c r="F25785" s="1">
        <v>4.3344228994857299E-3</v>
      </c>
    </row>
    <row r="25786" spans="1:6" x14ac:dyDescent="0.25">
      <c r="A25786" s="2" t="str">
        <f t="shared" si="904"/>
        <v>43620</v>
      </c>
      <c r="B25786" s="2" t="str">
        <f>"57013"</f>
        <v>57013</v>
      </c>
      <c r="C25786" s="1">
        <v>1.5850796656922801E-2</v>
      </c>
      <c r="D25786" s="1">
        <v>2.17770034843205E-2</v>
      </c>
      <c r="E25786" s="1">
        <v>1.49578855649143E-2</v>
      </c>
      <c r="F25786" s="1">
        <v>1.6293424694766499E-2</v>
      </c>
    </row>
    <row r="25787" spans="1:6" x14ac:dyDescent="0.25">
      <c r="A25787" s="2" t="str">
        <f t="shared" si="904"/>
        <v>43620</v>
      </c>
      <c r="B25787" s="2" t="str">
        <f>"57004"</f>
        <v>57004</v>
      </c>
      <c r="C25787" s="1">
        <v>3.98534315945489E-3</v>
      </c>
      <c r="D25787" s="1">
        <v>3.57142857142857E-3</v>
      </c>
      <c r="E25787" s="1">
        <v>2.75922160906186E-3</v>
      </c>
      <c r="F25787" s="1">
        <v>3.89096709128752E-3</v>
      </c>
    </row>
    <row r="25788" spans="1:6" x14ac:dyDescent="0.25">
      <c r="A25788" s="2" t="str">
        <f t="shared" si="904"/>
        <v>43620</v>
      </c>
      <c r="B25788" s="2" t="str">
        <f>"57186"</f>
        <v>57186</v>
      </c>
      <c r="C25788" s="1">
        <v>0</v>
      </c>
      <c r="D25788" s="1">
        <v>8.7108013937282203E-5</v>
      </c>
      <c r="E25788" s="1">
        <v>0</v>
      </c>
      <c r="F25788" s="1">
        <v>7.1525130354550004E-6</v>
      </c>
    </row>
    <row r="25789" spans="1:6" x14ac:dyDescent="0.25">
      <c r="A25789" s="2" t="str">
        <f t="shared" si="904"/>
        <v>43620</v>
      </c>
      <c r="B25789" s="2" t="str">
        <f>"57077"</f>
        <v>57077</v>
      </c>
      <c r="C25789" s="1">
        <v>4.6111408456502899E-3</v>
      </c>
      <c r="D25789" s="1">
        <v>2.4390243902438998E-3</v>
      </c>
      <c r="E25789" s="1">
        <v>3.77577693871623E-3</v>
      </c>
      <c r="F25789" s="1">
        <v>4.39164300376937E-3</v>
      </c>
    </row>
    <row r="25790" spans="1:6" x14ac:dyDescent="0.25">
      <c r="A25790" s="2" t="str">
        <f t="shared" si="904"/>
        <v>43620</v>
      </c>
      <c r="B25790" s="2" t="str">
        <f>"57041"</f>
        <v>57041</v>
      </c>
      <c r="C25790" s="1">
        <v>4.2817736423895499E-4</v>
      </c>
      <c r="D25790" s="1">
        <v>6.9686411149825697E-4</v>
      </c>
      <c r="E25790" s="1">
        <v>1.45222189950624E-4</v>
      </c>
      <c r="F25790" s="1">
        <v>4.36303295162755E-4</v>
      </c>
    </row>
    <row r="25791" spans="1:6" x14ac:dyDescent="0.25">
      <c r="A25791" s="2" t="str">
        <f t="shared" si="904"/>
        <v>43620</v>
      </c>
      <c r="B25791" s="2" t="str">
        <f>"57035"</f>
        <v>57035</v>
      </c>
      <c r="C25791" s="1">
        <v>4.2817736423895504E-3</v>
      </c>
      <c r="D25791" s="1">
        <v>6.9686411149825697E-4</v>
      </c>
      <c r="E25791" s="1">
        <v>1.3069997095556201E-3</v>
      </c>
      <c r="F25791" s="1">
        <v>3.8408995000393299E-3</v>
      </c>
    </row>
    <row r="25792" spans="1:6" x14ac:dyDescent="0.25">
      <c r="A25792" s="2" t="str">
        <f t="shared" si="904"/>
        <v>43620</v>
      </c>
      <c r="B25792" s="2" t="str">
        <f>"57022"</f>
        <v>57022</v>
      </c>
      <c r="C25792" s="1">
        <v>1.6567170324014901E-2</v>
      </c>
      <c r="D25792" s="1">
        <v>1.6114982578397202E-2</v>
      </c>
      <c r="E25792" s="1">
        <v>2.1057217542840501E-2</v>
      </c>
      <c r="F25792" s="1">
        <v>1.6751185529035598E-2</v>
      </c>
    </row>
    <row r="25793" spans="1:6" x14ac:dyDescent="0.25">
      <c r="A25793" s="2" t="str">
        <f t="shared" si="904"/>
        <v>43620</v>
      </c>
      <c r="B25793" s="2" t="str">
        <f>"57073"</f>
        <v>57073</v>
      </c>
      <c r="C25793" s="1">
        <v>4.9405080489110201E-5</v>
      </c>
      <c r="D25793" s="1">
        <v>0</v>
      </c>
      <c r="E25793" s="1">
        <v>0</v>
      </c>
      <c r="F25793" s="1">
        <v>4.2915078212729999E-5</v>
      </c>
    </row>
    <row r="25794" spans="1:6" x14ac:dyDescent="0.25">
      <c r="A25794" s="2" t="str">
        <f t="shared" si="904"/>
        <v>43620</v>
      </c>
      <c r="B25794" s="2" t="str">
        <f>"57068"</f>
        <v>57068</v>
      </c>
      <c r="C25794" s="1">
        <v>5.5333690147803503E-3</v>
      </c>
      <c r="D25794" s="1">
        <v>4.3554006968641099E-4</v>
      </c>
      <c r="E25794" s="1">
        <v>2.9044437990124799E-3</v>
      </c>
      <c r="F25794" s="1">
        <v>4.98530158571213E-3</v>
      </c>
    </row>
    <row r="25795" spans="1:6" x14ac:dyDescent="0.25">
      <c r="A25795" s="2" t="str">
        <f t="shared" si="904"/>
        <v>43620</v>
      </c>
      <c r="B25795" s="2" t="str">
        <f>"57107"</f>
        <v>57107</v>
      </c>
      <c r="C25795" s="1">
        <v>4.1492033430771097E-2</v>
      </c>
      <c r="D25795" s="1">
        <v>4.39024390243902E-2</v>
      </c>
      <c r="E25795" s="1">
        <v>2.19285506825442E-2</v>
      </c>
      <c r="F25795" s="1">
        <v>4.0726409223880801E-2</v>
      </c>
    </row>
    <row r="25796" spans="1:6" x14ac:dyDescent="0.25">
      <c r="A25796" s="2" t="str">
        <f t="shared" si="904"/>
        <v>43620</v>
      </c>
      <c r="B25796" s="2" t="str">
        <f>"57042"</f>
        <v>57042</v>
      </c>
      <c r="C25796" s="1">
        <v>2.4702540244555101E-5</v>
      </c>
      <c r="D25796" s="1">
        <v>0</v>
      </c>
      <c r="E25796" s="1">
        <v>0</v>
      </c>
      <c r="F25796" s="1">
        <v>2.1457539106364999E-5</v>
      </c>
    </row>
    <row r="25797" spans="1:6" x14ac:dyDescent="0.25">
      <c r="A25797" s="2" t="str">
        <f t="shared" si="904"/>
        <v>43620</v>
      </c>
      <c r="B25797" s="2" t="str">
        <f>"57036"</f>
        <v>57036</v>
      </c>
      <c r="C25797" s="1">
        <v>2.5855325455967702E-3</v>
      </c>
      <c r="D25797" s="1">
        <v>7.8397212543553996E-4</v>
      </c>
      <c r="E25797" s="1">
        <v>7.2611094975312204E-4</v>
      </c>
      <c r="F25797" s="1">
        <v>2.3460242756292399E-3</v>
      </c>
    </row>
    <row r="25798" spans="1:6" x14ac:dyDescent="0.25">
      <c r="A25798" s="2" t="str">
        <f t="shared" si="904"/>
        <v>43620</v>
      </c>
      <c r="B25798" s="2" t="str">
        <f>"57020"</f>
        <v>57020</v>
      </c>
      <c r="C25798" s="1">
        <v>5.1628309111120202E-3</v>
      </c>
      <c r="D25798" s="1">
        <v>6.0975609756097496E-4</v>
      </c>
      <c r="E25798" s="1">
        <v>1.5974440894568601E-3</v>
      </c>
      <c r="F25798" s="1">
        <v>4.61337090786847E-3</v>
      </c>
    </row>
    <row r="25799" spans="1:6" x14ac:dyDescent="0.25">
      <c r="A25799" s="2" t="str">
        <f t="shared" si="904"/>
        <v>43620</v>
      </c>
      <c r="B25799" s="2" t="str">
        <f>"57321"</f>
        <v>57321</v>
      </c>
      <c r="C25799" s="1">
        <v>1.31746881304294E-4</v>
      </c>
      <c r="D25799" s="1">
        <v>8.7108013937282203E-5</v>
      </c>
      <c r="E25799" s="1">
        <v>0</v>
      </c>
      <c r="F25799" s="1">
        <v>1.21592721602735E-4</v>
      </c>
    </row>
    <row r="25800" spans="1:6" x14ac:dyDescent="0.25">
      <c r="A25800" s="2" t="str">
        <f t="shared" si="904"/>
        <v>43620</v>
      </c>
      <c r="B25800" s="2" t="str">
        <f>"57332"</f>
        <v>57332</v>
      </c>
      <c r="C25800" s="1">
        <v>1.9762032195644099E-4</v>
      </c>
      <c r="D25800" s="1">
        <v>0</v>
      </c>
      <c r="E25800" s="1">
        <v>0</v>
      </c>
      <c r="F25800" s="1">
        <v>1.7166031285091999E-4</v>
      </c>
    </row>
    <row r="25801" spans="1:6" x14ac:dyDescent="0.25">
      <c r="A25801" s="2" t="str">
        <f t="shared" si="904"/>
        <v>43620</v>
      </c>
      <c r="B25801" s="2" t="str">
        <f>"57001"</f>
        <v>57001</v>
      </c>
      <c r="C25801" s="1">
        <v>1.6468360163036699E-4</v>
      </c>
      <c r="D25801" s="1">
        <v>0</v>
      </c>
      <c r="E25801" s="1">
        <v>0</v>
      </c>
      <c r="F25801" s="1">
        <v>1.4305026070909999E-4</v>
      </c>
    </row>
    <row r="25802" spans="1:6" x14ac:dyDescent="0.25">
      <c r="A25802" s="2" t="str">
        <f t="shared" ref="A25802:A25824" si="905">"43620"</f>
        <v>43620</v>
      </c>
      <c r="B25802" s="2" t="str">
        <f>"57003"</f>
        <v>57003</v>
      </c>
      <c r="C25802" s="1">
        <v>6.6202807855407697E-3</v>
      </c>
      <c r="D25802" s="1">
        <v>1.48083623693379E-3</v>
      </c>
      <c r="E25802" s="1">
        <v>1.7426662794074899E-3</v>
      </c>
      <c r="F25802" s="1">
        <v>5.9580433585340199E-3</v>
      </c>
    </row>
    <row r="25803" spans="1:6" x14ac:dyDescent="0.25">
      <c r="A25803" s="2" t="str">
        <f t="shared" si="905"/>
        <v>43620</v>
      </c>
      <c r="B25803" s="2" t="str">
        <f>"57197"</f>
        <v>57197</v>
      </c>
      <c r="C25803" s="1">
        <v>0</v>
      </c>
      <c r="D25803" s="1">
        <v>8.7108013937282203E-5</v>
      </c>
      <c r="E25803" s="1">
        <v>0</v>
      </c>
      <c r="F25803" s="1">
        <v>7.1525130354550004E-6</v>
      </c>
    </row>
    <row r="25804" spans="1:6" x14ac:dyDescent="0.25">
      <c r="A25804" s="2" t="str">
        <f t="shared" si="905"/>
        <v>43620</v>
      </c>
      <c r="B25804" s="2" t="str">
        <f>"57027"</f>
        <v>57027</v>
      </c>
      <c r="C25804" s="1">
        <v>5.1875334513565795E-4</v>
      </c>
      <c r="D25804" s="1">
        <v>5.2264808362369305E-4</v>
      </c>
      <c r="E25804" s="1">
        <v>1.45222189950624E-4</v>
      </c>
      <c r="F25804" s="1">
        <v>5.0067591248184997E-4</v>
      </c>
    </row>
    <row r="25805" spans="1:6" x14ac:dyDescent="0.25">
      <c r="A25805" s="2" t="str">
        <f t="shared" si="905"/>
        <v>43620</v>
      </c>
      <c r="B25805" s="2" t="str">
        <f>"57043"</f>
        <v>57043</v>
      </c>
      <c r="C25805" s="1">
        <v>4.8581662480958396E-3</v>
      </c>
      <c r="D25805" s="1">
        <v>1.04529616724738E-3</v>
      </c>
      <c r="E25805" s="1">
        <v>2.4687772291606099E-3</v>
      </c>
      <c r="F25805" s="1">
        <v>4.4274055689466404E-3</v>
      </c>
    </row>
    <row r="25806" spans="1:6" x14ac:dyDescent="0.25">
      <c r="A25806" s="2" t="str">
        <f t="shared" si="905"/>
        <v>43620</v>
      </c>
      <c r="B25806" s="2" t="str">
        <f>"57030"</f>
        <v>57030</v>
      </c>
      <c r="C25806" s="1">
        <v>1.00456996994524E-2</v>
      </c>
      <c r="D25806" s="1">
        <v>2.6132404181184602E-3</v>
      </c>
      <c r="E25806" s="1">
        <v>5.0827766482718501E-3</v>
      </c>
      <c r="F25806" s="1">
        <v>9.1909792505596808E-3</v>
      </c>
    </row>
    <row r="25807" spans="1:6" x14ac:dyDescent="0.25">
      <c r="A25807" s="2" t="str">
        <f t="shared" si="905"/>
        <v>43620</v>
      </c>
      <c r="B25807" s="2" t="str">
        <f>"57198"</f>
        <v>57198</v>
      </c>
      <c r="C25807" s="1">
        <v>0</v>
      </c>
      <c r="D25807" s="1">
        <v>8.7108013937282203E-5</v>
      </c>
      <c r="E25807" s="1">
        <v>0</v>
      </c>
      <c r="F25807" s="1">
        <v>7.1525130354550004E-6</v>
      </c>
    </row>
    <row r="25808" spans="1:6" x14ac:dyDescent="0.25">
      <c r="A25808" s="2" t="str">
        <f t="shared" si="905"/>
        <v>43620</v>
      </c>
      <c r="B25808" s="2" t="str">
        <f>"57118"</f>
        <v>57118</v>
      </c>
      <c r="C25808" s="1">
        <v>6.6614516859483698E-3</v>
      </c>
      <c r="D25808" s="1">
        <v>1.08013937282229E-2</v>
      </c>
      <c r="E25808" s="1">
        <v>2.9044437990124799E-4</v>
      </c>
      <c r="F25808" s="1">
        <v>6.6875996881504297E-3</v>
      </c>
    </row>
    <row r="25809" spans="1:6" x14ac:dyDescent="0.25">
      <c r="A25809" s="2" t="str">
        <f t="shared" si="905"/>
        <v>43620</v>
      </c>
      <c r="B25809" s="2" t="str">
        <f>"57101"</f>
        <v>57101</v>
      </c>
      <c r="C25809" s="1">
        <v>9.6998641360286492E-3</v>
      </c>
      <c r="D25809" s="1">
        <v>6.0888501742160199E-2</v>
      </c>
      <c r="E25809" s="1">
        <v>2.9044437990124799E-4</v>
      </c>
      <c r="F25809" s="1">
        <v>1.3439571993619901E-2</v>
      </c>
    </row>
    <row r="25810" spans="1:6" x14ac:dyDescent="0.25">
      <c r="A25810" s="2" t="str">
        <f t="shared" si="905"/>
        <v>43620</v>
      </c>
      <c r="B25810" s="2" t="str">
        <f>"57103"</f>
        <v>57103</v>
      </c>
      <c r="C25810" s="1">
        <v>0.12224463749022101</v>
      </c>
      <c r="D25810" s="1">
        <v>7.4477351916376305E-2</v>
      </c>
      <c r="E25810" s="1">
        <v>0.107754864943363</v>
      </c>
      <c r="F25810" s="1">
        <v>0.117608771841986</v>
      </c>
    </row>
    <row r="25811" spans="1:6" x14ac:dyDescent="0.25">
      <c r="A25811" s="2" t="str">
        <f t="shared" si="905"/>
        <v>43620</v>
      </c>
      <c r="B25811" s="2" t="str">
        <f>"57033"</f>
        <v>57033</v>
      </c>
      <c r="C25811" s="1">
        <v>1.8181069619992499E-2</v>
      </c>
      <c r="D25811" s="1">
        <v>7.6655052264808302E-3</v>
      </c>
      <c r="E25811" s="1">
        <v>1.7571884984025499E-2</v>
      </c>
      <c r="F25811" s="1">
        <v>1.7287624006694698E-2</v>
      </c>
    </row>
    <row r="25812" spans="1:6" x14ac:dyDescent="0.25">
      <c r="A25812" s="2" t="str">
        <f t="shared" si="905"/>
        <v>43620</v>
      </c>
      <c r="B25812" s="2" t="str">
        <f>"57021"</f>
        <v>57021</v>
      </c>
      <c r="C25812" s="1">
        <v>9.8810160978220489E-4</v>
      </c>
      <c r="D25812" s="1">
        <v>5.2264808362369305E-4</v>
      </c>
      <c r="E25812" s="1">
        <v>2.9044437990124799E-4</v>
      </c>
      <c r="F25812" s="1">
        <v>9.1552166853824004E-4</v>
      </c>
    </row>
    <row r="25813" spans="1:6" x14ac:dyDescent="0.25">
      <c r="A25813" s="2" t="str">
        <f t="shared" si="905"/>
        <v>43620</v>
      </c>
      <c r="B25813" s="2" t="str">
        <f>"57105"</f>
        <v>57105</v>
      </c>
      <c r="C25813" s="1">
        <v>8.5619004487628103E-2</v>
      </c>
      <c r="D25813" s="1">
        <v>0.12247386759581801</v>
      </c>
      <c r="E25813" s="1">
        <v>9.2506534998547704E-2</v>
      </c>
      <c r="F25813" s="1">
        <v>8.8984414674095694E-2</v>
      </c>
    </row>
    <row r="25814" spans="1:6" x14ac:dyDescent="0.25">
      <c r="A25814" s="2" t="str">
        <f t="shared" si="905"/>
        <v>43620</v>
      </c>
      <c r="B25814" s="2" t="str">
        <f>"57108"</f>
        <v>57108</v>
      </c>
      <c r="C25814" s="1">
        <v>0.11874511095557599</v>
      </c>
      <c r="D25814" s="1">
        <v>0.10191637630662</v>
      </c>
      <c r="E25814" s="1">
        <v>0.13345919256462299</v>
      </c>
      <c r="F25814" s="1">
        <v>0.118087990215362</v>
      </c>
    </row>
    <row r="25815" spans="1:6" x14ac:dyDescent="0.25">
      <c r="A25815" s="2" t="str">
        <f t="shared" si="905"/>
        <v>43620</v>
      </c>
      <c r="B25815" s="2" t="str">
        <f>"57055"</f>
        <v>57055</v>
      </c>
      <c r="C25815" s="1">
        <v>4.1170900407591898E-3</v>
      </c>
      <c r="D25815" s="1">
        <v>9.5818815331010399E-4</v>
      </c>
      <c r="E25815" s="1">
        <v>2.6139994191112402E-3</v>
      </c>
      <c r="F25815" s="1">
        <v>3.7836793957556898E-3</v>
      </c>
    </row>
    <row r="25816" spans="1:6" x14ac:dyDescent="0.25">
      <c r="A25816" s="2" t="str">
        <f t="shared" si="905"/>
        <v>43620</v>
      </c>
      <c r="B25816" s="2" t="str">
        <f>"57037"</f>
        <v>57037</v>
      </c>
      <c r="C25816" s="1">
        <v>9.3869652929309496E-4</v>
      </c>
      <c r="D25816" s="1">
        <v>2.6132404181184598E-4</v>
      </c>
      <c r="E25816" s="1">
        <v>5.8088875980249696E-4</v>
      </c>
      <c r="F25816" s="1">
        <v>8.6545407729005498E-4</v>
      </c>
    </row>
    <row r="25817" spans="1:6" x14ac:dyDescent="0.25">
      <c r="A25817" s="2" t="str">
        <f t="shared" si="905"/>
        <v>43620</v>
      </c>
      <c r="B25817" s="2" t="str">
        <f>"57014"</f>
        <v>57014</v>
      </c>
      <c r="C25817" s="1">
        <v>5.6321791757585702E-3</v>
      </c>
      <c r="D25817" s="1">
        <v>8.7108013937282197E-4</v>
      </c>
      <c r="E25817" s="1">
        <v>2.9044437990124799E-3</v>
      </c>
      <c r="F25817" s="1">
        <v>5.1068943073148696E-3</v>
      </c>
    </row>
    <row r="25818" spans="1:6" x14ac:dyDescent="0.25">
      <c r="A25818" s="2" t="str">
        <f t="shared" si="905"/>
        <v>43620</v>
      </c>
      <c r="B25818" s="2" t="str">
        <f>"57012"</f>
        <v>57012</v>
      </c>
      <c r="C25818" s="1">
        <v>3.5242290748898602E-3</v>
      </c>
      <c r="D25818" s="1">
        <v>6.0975609756097496E-4</v>
      </c>
      <c r="E25818" s="1">
        <v>5.8088875980249696E-4</v>
      </c>
      <c r="F25818" s="1">
        <v>3.1399532225647401E-3</v>
      </c>
    </row>
    <row r="25819" spans="1:6" x14ac:dyDescent="0.25">
      <c r="A25819" s="2" t="str">
        <f t="shared" si="905"/>
        <v>43620</v>
      </c>
      <c r="B25819" s="2" t="str">
        <f>"57005"</f>
        <v>57005</v>
      </c>
      <c r="C25819" s="1">
        <v>3.8832393264440601E-2</v>
      </c>
      <c r="D25819" s="1">
        <v>2.7264808362369299E-2</v>
      </c>
      <c r="E25819" s="1">
        <v>2.57043276212605E-2</v>
      </c>
      <c r="F25819" s="1">
        <v>3.7235982862578697E-2</v>
      </c>
    </row>
    <row r="25820" spans="1:6" x14ac:dyDescent="0.25">
      <c r="A25820" s="2" t="str">
        <f t="shared" si="905"/>
        <v>43620</v>
      </c>
      <c r="B25820" s="2" t="str">
        <f>"57110"</f>
        <v>57110</v>
      </c>
      <c r="C25820" s="1">
        <v>7.7944748651653004E-2</v>
      </c>
      <c r="D25820" s="1">
        <v>3.3885017421602701E-2</v>
      </c>
      <c r="E25820" s="1">
        <v>5.5329654371187899E-2</v>
      </c>
      <c r="F25820" s="1">
        <v>7.3213123430917404E-2</v>
      </c>
    </row>
    <row r="25821" spans="1:6" x14ac:dyDescent="0.25">
      <c r="A25821" s="2" t="str">
        <f t="shared" si="905"/>
        <v>43620</v>
      </c>
      <c r="B25821" s="2" t="str">
        <f>"57045"</f>
        <v>57045</v>
      </c>
      <c r="C25821" s="1">
        <v>4.1170900407591898E-5</v>
      </c>
      <c r="D25821" s="1">
        <v>0</v>
      </c>
      <c r="E25821" s="1">
        <v>0</v>
      </c>
      <c r="F25821" s="1">
        <v>3.5762565177274997E-5</v>
      </c>
    </row>
    <row r="25822" spans="1:6" x14ac:dyDescent="0.25">
      <c r="A25822" s="2" t="str">
        <f t="shared" si="905"/>
        <v>43620</v>
      </c>
      <c r="B25822" s="2" t="str">
        <f>"57016"</f>
        <v>57016</v>
      </c>
      <c r="C25822" s="1">
        <v>8.2341800815183799E-6</v>
      </c>
      <c r="D25822" s="1">
        <v>0</v>
      </c>
      <c r="E25822" s="1">
        <v>0</v>
      </c>
      <c r="F25822" s="1">
        <v>7.1525130354550004E-6</v>
      </c>
    </row>
    <row r="25823" spans="1:6" x14ac:dyDescent="0.25">
      <c r="A25823" s="2" t="str">
        <f t="shared" si="905"/>
        <v>43620</v>
      </c>
      <c r="B25823" s="2" t="str">
        <f>"57048"</f>
        <v>57048</v>
      </c>
      <c r="C25823" s="1">
        <v>3.7547861171723798E-3</v>
      </c>
      <c r="D25823" s="1">
        <v>8.7108013937282197E-4</v>
      </c>
      <c r="E25823" s="1">
        <v>3.4853325588149798E-3</v>
      </c>
      <c r="F25823" s="1">
        <v>3.5047313873729502E-3</v>
      </c>
    </row>
    <row r="25824" spans="1:6" x14ac:dyDescent="0.25">
      <c r="A25824" s="2" t="str">
        <f t="shared" si="905"/>
        <v>43620</v>
      </c>
      <c r="B25824" s="2" t="str">
        <f>"57058"</f>
        <v>57058</v>
      </c>
      <c r="C25824" s="1">
        <v>7.9212812384206795E-3</v>
      </c>
      <c r="D25824" s="1">
        <v>2.7874564459930301E-3</v>
      </c>
      <c r="E25824" s="1">
        <v>5.6636654080743504E-3</v>
      </c>
      <c r="F25824" s="1">
        <v>7.3885459656250199E-3</v>
      </c>
    </row>
    <row r="25825" spans="1:6" x14ac:dyDescent="0.25">
      <c r="A25825" s="2" t="str">
        <f t="shared" ref="A25825:A25838" si="906">"33580"</f>
        <v>33580</v>
      </c>
      <c r="B25825" s="2" t="str">
        <f>"57321"</f>
        <v>57321</v>
      </c>
      <c r="C25825" s="1">
        <v>1.9508734592533401E-3</v>
      </c>
      <c r="D25825" s="1">
        <v>0</v>
      </c>
      <c r="E25825" s="1">
        <v>0</v>
      </c>
      <c r="F25825" s="1">
        <v>1.65637705164884E-3</v>
      </c>
    </row>
    <row r="25826" spans="1:6" x14ac:dyDescent="0.25">
      <c r="A25826" s="2" t="str">
        <f t="shared" si="906"/>
        <v>33580</v>
      </c>
      <c r="B25826" s="2" t="str">
        <f>"57319"</f>
        <v>57319</v>
      </c>
      <c r="C25826" s="1">
        <v>8.8676066329697597E-5</v>
      </c>
      <c r="D25826" s="1">
        <v>0</v>
      </c>
      <c r="E25826" s="1">
        <v>0</v>
      </c>
      <c r="F25826" s="1">
        <v>7.5289865984038497E-5</v>
      </c>
    </row>
    <row r="25827" spans="1:6" x14ac:dyDescent="0.25">
      <c r="A25827" s="2" t="str">
        <f t="shared" si="906"/>
        <v>33580</v>
      </c>
      <c r="B25827" s="2" t="str">
        <f>"57334"</f>
        <v>57334</v>
      </c>
      <c r="C25827" s="1">
        <v>2.2080340516094699E-2</v>
      </c>
      <c r="D25827" s="1">
        <v>4.3072505384063103E-3</v>
      </c>
      <c r="E25827" s="1">
        <v>1.9607843137254902E-2</v>
      </c>
      <c r="F25827" s="1">
        <v>2.0102394217738202E-2</v>
      </c>
    </row>
    <row r="25828" spans="1:6" x14ac:dyDescent="0.25">
      <c r="A25828" s="2" t="str">
        <f t="shared" si="906"/>
        <v>33580</v>
      </c>
      <c r="B25828" s="2" t="str">
        <f>"57366"</f>
        <v>57366</v>
      </c>
      <c r="C25828" s="1">
        <v>1.77352132659395E-4</v>
      </c>
      <c r="D25828" s="1">
        <v>7.1787508973438603E-4</v>
      </c>
      <c r="E25828" s="1">
        <v>0</v>
      </c>
      <c r="F25828" s="1">
        <v>2.25869597952115E-4</v>
      </c>
    </row>
    <row r="25829" spans="1:6" x14ac:dyDescent="0.25">
      <c r="A25829" s="2" t="str">
        <f t="shared" si="906"/>
        <v>33580</v>
      </c>
      <c r="B25829" s="2" t="str">
        <f>"57359"</f>
        <v>57359</v>
      </c>
      <c r="C25829" s="1">
        <v>2.7489580562206199E-3</v>
      </c>
      <c r="D25829" s="1">
        <v>7.1787508973438603E-4</v>
      </c>
      <c r="E25829" s="1">
        <v>0</v>
      </c>
      <c r="F25829" s="1">
        <v>2.4092757114892302E-3</v>
      </c>
    </row>
    <row r="25830" spans="1:6" x14ac:dyDescent="0.25">
      <c r="A25830" s="2" t="str">
        <f t="shared" si="906"/>
        <v>33580</v>
      </c>
      <c r="B25830" s="2" t="str">
        <f>"57340"</f>
        <v>57340</v>
      </c>
      <c r="C25830" s="1">
        <v>8.5129023676509697E-3</v>
      </c>
      <c r="D25830" s="1">
        <v>7.1787508973438603E-4</v>
      </c>
      <c r="E25830" s="1">
        <v>1.63398692810457E-3</v>
      </c>
      <c r="F25830" s="1">
        <v>7.37840686643577E-3</v>
      </c>
    </row>
    <row r="25831" spans="1:6" x14ac:dyDescent="0.25">
      <c r="A25831" s="2" t="str">
        <f t="shared" si="906"/>
        <v>33580</v>
      </c>
      <c r="B25831" s="2" t="str">
        <f>"57311"</f>
        <v>57311</v>
      </c>
      <c r="C25831" s="1">
        <v>4.8062427950696103E-2</v>
      </c>
      <c r="D25831" s="1">
        <v>5.7430007178750804E-3</v>
      </c>
      <c r="E25831" s="1">
        <v>1.6339869281045701E-2</v>
      </c>
      <c r="F25831" s="1">
        <v>4.2162324951061501E-2</v>
      </c>
    </row>
    <row r="25832" spans="1:6" x14ac:dyDescent="0.25">
      <c r="A25832" s="2" t="str">
        <f t="shared" si="906"/>
        <v>33580</v>
      </c>
      <c r="B25832" s="2" t="str">
        <f>"57375"</f>
        <v>57375</v>
      </c>
      <c r="C25832" s="1">
        <v>1.77352132659395E-4</v>
      </c>
      <c r="D25832" s="1">
        <v>0</v>
      </c>
      <c r="E25832" s="1">
        <v>0</v>
      </c>
      <c r="F25832" s="1">
        <v>1.5057973196807699E-4</v>
      </c>
    </row>
    <row r="25833" spans="1:6" x14ac:dyDescent="0.25">
      <c r="A25833" s="2" t="str">
        <f t="shared" si="906"/>
        <v>33580</v>
      </c>
      <c r="B25833" s="2" t="str">
        <f>"57374"</f>
        <v>57374</v>
      </c>
      <c r="C25833" s="1">
        <v>2.9263101888800198E-3</v>
      </c>
      <c r="D25833" s="1">
        <v>0</v>
      </c>
      <c r="E25833" s="1">
        <v>0</v>
      </c>
      <c r="F25833" s="1">
        <v>2.4845655774732699E-3</v>
      </c>
    </row>
    <row r="25834" spans="1:6" x14ac:dyDescent="0.25">
      <c r="A25834" s="2" t="str">
        <f t="shared" si="906"/>
        <v>33580</v>
      </c>
      <c r="B25834" s="2" t="str">
        <f>"57331"</f>
        <v>57331</v>
      </c>
      <c r="C25834" s="1">
        <v>2.3055777245721298E-3</v>
      </c>
      <c r="D25834" s="1">
        <v>0</v>
      </c>
      <c r="E25834" s="1">
        <v>0</v>
      </c>
      <c r="F25834" s="1">
        <v>1.9575365155850002E-3</v>
      </c>
    </row>
    <row r="25835" spans="1:6" x14ac:dyDescent="0.25">
      <c r="A25835" s="2" t="str">
        <f t="shared" si="906"/>
        <v>33580</v>
      </c>
      <c r="B25835" s="2" t="str">
        <f>"57332"</f>
        <v>57332</v>
      </c>
      <c r="C25835" s="1">
        <v>2.30557772457213E-2</v>
      </c>
      <c r="D25835" s="1">
        <v>7.8966259870782395E-3</v>
      </c>
      <c r="E25835" s="1">
        <v>1.7973856209150301E-2</v>
      </c>
      <c r="F25835" s="1">
        <v>2.1231742207498801E-2</v>
      </c>
    </row>
    <row r="25836" spans="1:6" x14ac:dyDescent="0.25">
      <c r="A25836" s="2" t="str">
        <f t="shared" si="906"/>
        <v>33580</v>
      </c>
      <c r="B25836" s="2" t="str">
        <f>"57363"</f>
        <v>57363</v>
      </c>
      <c r="C25836" s="1">
        <v>3.2278088144009898E-2</v>
      </c>
      <c r="D25836" s="1">
        <v>2.1536252692031499E-3</v>
      </c>
      <c r="E25836" s="1">
        <v>1.7973856209150301E-2</v>
      </c>
      <c r="F25836" s="1">
        <v>2.8459569341966501E-2</v>
      </c>
    </row>
    <row r="25837" spans="1:6" x14ac:dyDescent="0.25">
      <c r="A25837" s="2" t="str">
        <f t="shared" si="906"/>
        <v>33580</v>
      </c>
      <c r="B25837" s="2" t="str">
        <f>"57301"</f>
        <v>57301</v>
      </c>
      <c r="C25837" s="1">
        <v>0.85554668794892197</v>
      </c>
      <c r="D25837" s="1">
        <v>0.97774587221823395</v>
      </c>
      <c r="E25837" s="1">
        <v>0.92647058823529405</v>
      </c>
      <c r="F25837" s="1">
        <v>0.87163077849721404</v>
      </c>
    </row>
    <row r="25838" spans="1:6" x14ac:dyDescent="0.25">
      <c r="A25838" s="2" t="str">
        <f t="shared" si="906"/>
        <v>33580</v>
      </c>
      <c r="B25838" s="2" t="str">
        <f>"57328"</f>
        <v>57328</v>
      </c>
      <c r="C25838" s="1">
        <v>8.8676066329697597E-5</v>
      </c>
      <c r="D25838" s="1">
        <v>0</v>
      </c>
      <c r="E25838" s="1">
        <v>0</v>
      </c>
      <c r="F25838" s="1">
        <v>7.5289865984038497E-5</v>
      </c>
    </row>
    <row r="25839" spans="1:6" x14ac:dyDescent="0.25">
      <c r="A25839" s="2" t="str">
        <f t="shared" ref="A25839:A25870" si="907">"39660"</f>
        <v>39660</v>
      </c>
      <c r="B25839" s="2" t="str">
        <f>"57790"</f>
        <v>57790</v>
      </c>
      <c r="C25839" s="1">
        <v>5.5911385728279698E-3</v>
      </c>
      <c r="D25839" s="1">
        <v>4.2577348850411498E-4</v>
      </c>
      <c r="E25839" s="1">
        <v>1.1207621182404001E-3</v>
      </c>
      <c r="F25839" s="1">
        <v>4.9110042873846899E-3</v>
      </c>
    </row>
    <row r="25840" spans="1:6" x14ac:dyDescent="0.25">
      <c r="A25840" s="2" t="str">
        <f t="shared" si="907"/>
        <v>39660</v>
      </c>
      <c r="B25840" s="2" t="str">
        <f>"57741"</f>
        <v>57741</v>
      </c>
      <c r="C25840" s="1">
        <v>0</v>
      </c>
      <c r="D25840" s="1">
        <v>1.41924496168038E-4</v>
      </c>
      <c r="E25840" s="1">
        <v>2.8019052956010002E-4</v>
      </c>
      <c r="F25840" s="1">
        <v>2.5984149668702E-5</v>
      </c>
    </row>
    <row r="25841" spans="1:6" x14ac:dyDescent="0.25">
      <c r="A25841" s="2" t="str">
        <f t="shared" si="907"/>
        <v>39660</v>
      </c>
      <c r="B25841" s="2" t="str">
        <f>"57745"</f>
        <v>57745</v>
      </c>
      <c r="C25841" s="1">
        <v>1.25988998568306E-2</v>
      </c>
      <c r="D25841" s="1">
        <v>1.05024127164348E-2</v>
      </c>
      <c r="E25841" s="1">
        <v>9.24628747548332E-3</v>
      </c>
      <c r="F25841" s="1">
        <v>1.2251526568792999E-2</v>
      </c>
    </row>
    <row r="25842" spans="1:6" x14ac:dyDescent="0.25">
      <c r="A25842" s="2" t="str">
        <f t="shared" si="907"/>
        <v>39660</v>
      </c>
      <c r="B25842" s="2" t="str">
        <f>"57788"</f>
        <v>57788</v>
      </c>
      <c r="C25842" s="1">
        <v>1.56732725491673E-3</v>
      </c>
      <c r="D25842" s="1">
        <v>0</v>
      </c>
      <c r="E25842" s="1">
        <v>0</v>
      </c>
      <c r="F25842" s="1">
        <v>1.3511757827725001E-3</v>
      </c>
    </row>
    <row r="25843" spans="1:6" x14ac:dyDescent="0.25">
      <c r="A25843" s="2" t="str">
        <f t="shared" si="907"/>
        <v>39660</v>
      </c>
      <c r="B25843" s="2" t="str">
        <f>"57725"</f>
        <v>57725</v>
      </c>
      <c r="C25843" s="1">
        <v>8.2887499058096595E-4</v>
      </c>
      <c r="D25843" s="1">
        <v>1.41924496168038E-4</v>
      </c>
      <c r="E25843" s="1">
        <v>2.8019052956010002E-4</v>
      </c>
      <c r="F25843" s="1">
        <v>7.4054826555800901E-4</v>
      </c>
    </row>
    <row r="25844" spans="1:6" x14ac:dyDescent="0.25">
      <c r="A25844" s="2" t="str">
        <f t="shared" si="907"/>
        <v>39660</v>
      </c>
      <c r="B25844" s="2" t="str">
        <f>"57758"</f>
        <v>57758</v>
      </c>
      <c r="C25844" s="1">
        <v>1.02479089744555E-3</v>
      </c>
      <c r="D25844" s="1">
        <v>5.6769798467215396E-4</v>
      </c>
      <c r="E25844" s="1">
        <v>0</v>
      </c>
      <c r="F25844" s="1">
        <v>9.35429388073275E-4</v>
      </c>
    </row>
    <row r="25845" spans="1:6" x14ac:dyDescent="0.25">
      <c r="A25845" s="2" t="str">
        <f t="shared" si="907"/>
        <v>39660</v>
      </c>
      <c r="B25845" s="2" t="str">
        <f>"57730"</f>
        <v>57730</v>
      </c>
      <c r="C25845" s="1">
        <v>8.8915680807776301E-4</v>
      </c>
      <c r="D25845" s="1">
        <v>1.41924496168038E-4</v>
      </c>
      <c r="E25845" s="1">
        <v>0</v>
      </c>
      <c r="F25845" s="1">
        <v>7.7952449006106202E-4</v>
      </c>
    </row>
    <row r="25846" spans="1:6" x14ac:dyDescent="0.25">
      <c r="A25846" s="2" t="str">
        <f t="shared" si="907"/>
        <v>39660</v>
      </c>
      <c r="B25846" s="2" t="str">
        <f>"57719"</f>
        <v>57719</v>
      </c>
      <c r="C25846" s="1">
        <v>7.9210308190791903E-2</v>
      </c>
      <c r="D25846" s="1">
        <v>2.00113539596934E-2</v>
      </c>
      <c r="E25846" s="1">
        <v>4.1468198374894898E-2</v>
      </c>
      <c r="F25846" s="1">
        <v>7.2041054956476502E-2</v>
      </c>
    </row>
    <row r="25847" spans="1:6" x14ac:dyDescent="0.25">
      <c r="A25847" s="2" t="str">
        <f t="shared" si="907"/>
        <v>39660</v>
      </c>
      <c r="B25847" s="2" t="str">
        <f>"57718"</f>
        <v>57718</v>
      </c>
      <c r="C25847" s="1">
        <v>4.3749529048300803E-2</v>
      </c>
      <c r="D25847" s="1">
        <v>2.4269088844734599E-2</v>
      </c>
      <c r="E25847" s="1">
        <v>1.8772765480526699E-2</v>
      </c>
      <c r="F25847" s="1">
        <v>4.0808107054696598E-2</v>
      </c>
    </row>
    <row r="25848" spans="1:6" x14ac:dyDescent="0.25">
      <c r="A25848" s="2" t="str">
        <f t="shared" si="907"/>
        <v>39660</v>
      </c>
      <c r="B25848" s="2" t="str">
        <f>"57791"</f>
        <v>57791</v>
      </c>
      <c r="C25848" s="1">
        <v>1.31112953055534E-3</v>
      </c>
      <c r="D25848" s="1">
        <v>1.41924496168038E-4</v>
      </c>
      <c r="E25848" s="1">
        <v>8.4057158868030201E-4</v>
      </c>
      <c r="F25848" s="1">
        <v>1.18227880992594E-3</v>
      </c>
    </row>
    <row r="25849" spans="1:6" x14ac:dyDescent="0.25">
      <c r="A25849" s="2" t="str">
        <f t="shared" si="907"/>
        <v>39660</v>
      </c>
      <c r="B25849" s="2" t="str">
        <f>"57785"</f>
        <v>57785</v>
      </c>
      <c r="C25849" s="1">
        <v>6.8977469670710501E-2</v>
      </c>
      <c r="D25849" s="1">
        <v>6.5994890718137897E-2</v>
      </c>
      <c r="E25849" s="1">
        <v>6.6965536564864106E-2</v>
      </c>
      <c r="F25849" s="1">
        <v>6.8611147200207806E-2</v>
      </c>
    </row>
    <row r="25850" spans="1:6" x14ac:dyDescent="0.25">
      <c r="A25850" s="2" t="str">
        <f t="shared" si="907"/>
        <v>39660</v>
      </c>
      <c r="B25850" s="2" t="str">
        <f>"57744"</f>
        <v>57744</v>
      </c>
      <c r="C25850" s="1">
        <v>2.2454977017556999E-3</v>
      </c>
      <c r="D25850" s="1">
        <v>0</v>
      </c>
      <c r="E25850" s="1">
        <v>0</v>
      </c>
      <c r="F25850" s="1">
        <v>1.9358191503183E-3</v>
      </c>
    </row>
    <row r="25851" spans="1:6" x14ac:dyDescent="0.25">
      <c r="A25851" s="2" t="str">
        <f t="shared" si="907"/>
        <v>39660</v>
      </c>
      <c r="B25851" s="2" t="str">
        <f>"57754"</f>
        <v>57754</v>
      </c>
      <c r="C25851" s="1">
        <v>4.5211363122598103E-5</v>
      </c>
      <c r="D25851" s="1">
        <v>1.41924496168038E-4</v>
      </c>
      <c r="E25851" s="1">
        <v>0</v>
      </c>
      <c r="F25851" s="1">
        <v>5.1968299337404101E-5</v>
      </c>
    </row>
    <row r="25852" spans="1:6" x14ac:dyDescent="0.25">
      <c r="A25852" s="2" t="str">
        <f t="shared" si="907"/>
        <v>39660</v>
      </c>
      <c r="B25852" s="2" t="str">
        <f>"57709"</f>
        <v>57709</v>
      </c>
      <c r="C25852" s="1">
        <v>3.7284304121769203E-2</v>
      </c>
      <c r="D25852" s="1">
        <v>0.17343173431734299</v>
      </c>
      <c r="E25852" s="1">
        <v>1.1207621182404001E-3</v>
      </c>
      <c r="F25852" s="1">
        <v>4.8070676887098797E-2</v>
      </c>
    </row>
    <row r="25853" spans="1:6" x14ac:dyDescent="0.25">
      <c r="A25853" s="2" t="str">
        <f t="shared" si="907"/>
        <v>39660</v>
      </c>
      <c r="B25853" s="2" t="str">
        <f>"57769"</f>
        <v>57769</v>
      </c>
      <c r="C25853" s="1">
        <v>2.5016954261170898E-2</v>
      </c>
      <c r="D25853" s="1">
        <v>5.9608288390576199E-3</v>
      </c>
      <c r="E25853" s="1">
        <v>3.64247688428131E-3</v>
      </c>
      <c r="F25853" s="1">
        <v>2.2281408340911999E-2</v>
      </c>
    </row>
    <row r="25854" spans="1:6" x14ac:dyDescent="0.25">
      <c r="A25854" s="2" t="str">
        <f t="shared" si="907"/>
        <v>39660</v>
      </c>
      <c r="B25854" s="2" t="str">
        <f>"57701"</f>
        <v>57701</v>
      </c>
      <c r="C25854" s="1">
        <v>0.32553688493708</v>
      </c>
      <c r="D25854" s="1">
        <v>0.40377519159806902</v>
      </c>
      <c r="E25854" s="1">
        <v>0.541608293639674</v>
      </c>
      <c r="F25854" s="1">
        <v>0.342717942055346</v>
      </c>
    </row>
    <row r="25855" spans="1:6" x14ac:dyDescent="0.25">
      <c r="A25855" s="2" t="str">
        <f t="shared" si="907"/>
        <v>39660</v>
      </c>
      <c r="B25855" s="2" t="str">
        <f>"57626"</f>
        <v>57626</v>
      </c>
      <c r="C25855" s="1">
        <v>5.1993067590987803E-3</v>
      </c>
      <c r="D25855" s="1">
        <v>1.1353959693442999E-3</v>
      </c>
      <c r="E25855" s="1">
        <v>1.1207621182404001E-3</v>
      </c>
      <c r="F25855" s="1">
        <v>4.6381707158633196E-3</v>
      </c>
    </row>
    <row r="25856" spans="1:6" x14ac:dyDescent="0.25">
      <c r="A25856" s="2" t="str">
        <f t="shared" si="907"/>
        <v>39660</v>
      </c>
      <c r="B25856" s="2" t="str">
        <f>"57792"</f>
        <v>57792</v>
      </c>
      <c r="C25856" s="1">
        <v>7.2338180996156997E-4</v>
      </c>
      <c r="D25856" s="1">
        <v>1.41924496168038E-4</v>
      </c>
      <c r="E25856" s="1">
        <v>2.8019052956010002E-4</v>
      </c>
      <c r="F25856" s="1">
        <v>6.4960374171755197E-4</v>
      </c>
    </row>
    <row r="25857" spans="1:6" x14ac:dyDescent="0.25">
      <c r="A25857" s="2" t="str">
        <f t="shared" si="907"/>
        <v>39660</v>
      </c>
      <c r="B25857" s="2" t="str">
        <f>"57793"</f>
        <v>57793</v>
      </c>
      <c r="C25857" s="1">
        <v>2.4414136086202899E-3</v>
      </c>
      <c r="D25857" s="1">
        <v>0</v>
      </c>
      <c r="E25857" s="1">
        <v>0</v>
      </c>
      <c r="F25857" s="1">
        <v>2.1047161231648598E-3</v>
      </c>
    </row>
    <row r="25858" spans="1:6" x14ac:dyDescent="0.25">
      <c r="A25858" s="2" t="str">
        <f t="shared" si="907"/>
        <v>39660</v>
      </c>
      <c r="B25858" s="2" t="str">
        <f>"57748"</f>
        <v>57748</v>
      </c>
      <c r="C25858" s="1">
        <v>1.07000226056815E-3</v>
      </c>
      <c r="D25858" s="1">
        <v>2.8384899233607698E-4</v>
      </c>
      <c r="E25858" s="1">
        <v>2.8019052956010002E-4</v>
      </c>
      <c r="F25858" s="1">
        <v>9.6141353774197697E-4</v>
      </c>
    </row>
    <row r="25859" spans="1:6" x14ac:dyDescent="0.25">
      <c r="A25859" s="2" t="str">
        <f t="shared" si="907"/>
        <v>39660</v>
      </c>
      <c r="B25859" s="2" t="str">
        <f>"57702"</f>
        <v>57702</v>
      </c>
      <c r="C25859" s="1">
        <v>0.24328234496269999</v>
      </c>
      <c r="D25859" s="1">
        <v>0.195713880215725</v>
      </c>
      <c r="E25859" s="1">
        <v>0.23395909218268399</v>
      </c>
      <c r="F25859" s="1">
        <v>0.23849551773418201</v>
      </c>
    </row>
    <row r="25860" spans="1:6" x14ac:dyDescent="0.25">
      <c r="A25860" s="2" t="str">
        <f t="shared" si="907"/>
        <v>39660</v>
      </c>
      <c r="B25860" s="2" t="str">
        <f>"57775"</f>
        <v>57775</v>
      </c>
      <c r="C25860" s="1">
        <v>1.76324316178132E-3</v>
      </c>
      <c r="D25860" s="1">
        <v>0</v>
      </c>
      <c r="E25860" s="1">
        <v>2.8019052956010002E-4</v>
      </c>
      <c r="F25860" s="1">
        <v>1.53306483045342E-3</v>
      </c>
    </row>
    <row r="25861" spans="1:6" x14ac:dyDescent="0.25">
      <c r="A25861" s="2" t="str">
        <f t="shared" si="907"/>
        <v>39660</v>
      </c>
      <c r="B25861" s="2" t="str">
        <f>"57787"</f>
        <v>57787</v>
      </c>
      <c r="C25861" s="1">
        <v>3.1798658729560599E-3</v>
      </c>
      <c r="D25861" s="1">
        <v>4.2577348850411498E-4</v>
      </c>
      <c r="E25861" s="1">
        <v>1.1207621182404001E-3</v>
      </c>
      <c r="F25861" s="1">
        <v>2.83227231388852E-3</v>
      </c>
    </row>
    <row r="25862" spans="1:6" x14ac:dyDescent="0.25">
      <c r="A25862" s="2" t="str">
        <f t="shared" si="907"/>
        <v>39660</v>
      </c>
      <c r="B25862" s="2" t="str">
        <f>"57750"</f>
        <v>57750</v>
      </c>
      <c r="C25862" s="1">
        <v>1.20563634993595E-4</v>
      </c>
      <c r="D25862" s="1">
        <v>0</v>
      </c>
      <c r="E25862" s="1">
        <v>0</v>
      </c>
      <c r="F25862" s="1">
        <v>1.03936598674808E-4</v>
      </c>
    </row>
    <row r="25863" spans="1:6" x14ac:dyDescent="0.25">
      <c r="A25863" s="2" t="str">
        <f t="shared" si="907"/>
        <v>39660</v>
      </c>
      <c r="B25863" s="2" t="str">
        <f>"57706"</f>
        <v>57706</v>
      </c>
      <c r="C25863" s="1">
        <v>8.5901589932936406E-3</v>
      </c>
      <c r="D25863" s="1">
        <v>1.6321317059324401E-2</v>
      </c>
      <c r="E25863" s="1">
        <v>2.2415242364808002E-3</v>
      </c>
      <c r="F25863" s="1">
        <v>9.0035078602052707E-3</v>
      </c>
    </row>
    <row r="25864" spans="1:6" x14ac:dyDescent="0.25">
      <c r="A25864" s="2" t="str">
        <f t="shared" si="907"/>
        <v>39660</v>
      </c>
      <c r="B25864" s="2" t="str">
        <f>"57761"</f>
        <v>57761</v>
      </c>
      <c r="C25864" s="1">
        <v>7.6859317308416797E-3</v>
      </c>
      <c r="D25864" s="1">
        <v>1.27732046551234E-3</v>
      </c>
      <c r="E25864" s="1">
        <v>2.5217147660409E-3</v>
      </c>
      <c r="F25864" s="1">
        <v>6.8598155125373502E-3</v>
      </c>
    </row>
    <row r="25865" spans="1:6" x14ac:dyDescent="0.25">
      <c r="A25865" s="2" t="str">
        <f t="shared" si="907"/>
        <v>39660</v>
      </c>
      <c r="B25865" s="2" t="str">
        <f>"57751"</f>
        <v>57751</v>
      </c>
      <c r="C25865" s="1">
        <v>6.1336749302991402E-3</v>
      </c>
      <c r="D25865" s="1">
        <v>1.05024127164348E-2</v>
      </c>
      <c r="E25865" s="1">
        <v>6.1641916503222104E-3</v>
      </c>
      <c r="F25865" s="1">
        <v>6.5350136416785698E-3</v>
      </c>
    </row>
    <row r="25866" spans="1:6" x14ac:dyDescent="0.25">
      <c r="A25866" s="2" t="str">
        <f t="shared" si="907"/>
        <v>39660</v>
      </c>
      <c r="B25866" s="2" t="str">
        <f>"57767"</f>
        <v>57767</v>
      </c>
      <c r="C25866" s="1">
        <v>1.13028407806495E-3</v>
      </c>
      <c r="D25866" s="1">
        <v>1.41924496168038E-4</v>
      </c>
      <c r="E25866" s="1">
        <v>2.8019052956010002E-4</v>
      </c>
      <c r="F25866" s="1">
        <v>1.0003897622450301E-3</v>
      </c>
    </row>
    <row r="25867" spans="1:6" x14ac:dyDescent="0.25">
      <c r="A25867" s="2" t="str">
        <f t="shared" si="907"/>
        <v>39660</v>
      </c>
      <c r="B25867" s="2" t="str">
        <f>"57732"</f>
        <v>57732</v>
      </c>
      <c r="C25867" s="1">
        <v>4.5211363122598103E-5</v>
      </c>
      <c r="D25867" s="1">
        <v>0</v>
      </c>
      <c r="E25867" s="1">
        <v>0</v>
      </c>
      <c r="F25867" s="1">
        <v>3.8976224503053098E-5</v>
      </c>
    </row>
    <row r="25868" spans="1:6" x14ac:dyDescent="0.25">
      <c r="A25868" s="2" t="str">
        <f t="shared" si="907"/>
        <v>39660</v>
      </c>
      <c r="B25868" s="2" t="str">
        <f>"57780"</f>
        <v>57780</v>
      </c>
      <c r="C25868" s="1">
        <v>1.00972044307135E-3</v>
      </c>
      <c r="D25868" s="1">
        <v>0</v>
      </c>
      <c r="E25868" s="1">
        <v>2.8019052956010002E-4</v>
      </c>
      <c r="F25868" s="1">
        <v>8.8346108873587096E-4</v>
      </c>
    </row>
    <row r="25869" spans="1:6" x14ac:dyDescent="0.25">
      <c r="A25869" s="2" t="str">
        <f t="shared" si="907"/>
        <v>39660</v>
      </c>
      <c r="B25869" s="2" t="str">
        <f>"57737"</f>
        <v>57737</v>
      </c>
      <c r="C25869" s="1">
        <v>3.6169090498078499E-4</v>
      </c>
      <c r="D25869" s="1">
        <v>0</v>
      </c>
      <c r="E25869" s="1">
        <v>2.8019052956010002E-4</v>
      </c>
      <c r="F25869" s="1">
        <v>3.2480187085877598E-4</v>
      </c>
    </row>
    <row r="25870" spans="1:6" x14ac:dyDescent="0.25">
      <c r="A25870" s="2" t="str">
        <f t="shared" si="907"/>
        <v>39660</v>
      </c>
      <c r="B25870" s="2" t="str">
        <f>"57703"</f>
        <v>57703</v>
      </c>
      <c r="C25870" s="1">
        <v>0.111385728279707</v>
      </c>
      <c r="D25870" s="1">
        <v>6.8407607152994598E-2</v>
      </c>
      <c r="E25870" s="1">
        <v>6.5844774446623705E-2</v>
      </c>
      <c r="F25870" s="1">
        <v>0.105339742756918</v>
      </c>
    </row>
    <row r="25871" spans="1:6" x14ac:dyDescent="0.25">
      <c r="A25871" s="2" t="str">
        <f t="shared" ref="A25871:A25898" si="908">"13900"</f>
        <v>13900</v>
      </c>
      <c r="B25871" s="2" t="str">
        <f>"58560"</f>
        <v>58560</v>
      </c>
      <c r="C25871" s="1">
        <v>9.4271790365103403E-4</v>
      </c>
      <c r="D25871" s="1">
        <v>2.9312619082515001E-4</v>
      </c>
      <c r="E25871" s="1">
        <v>2.8498147620404599E-4</v>
      </c>
      <c r="F25871" s="1">
        <v>8.5028182728307498E-4</v>
      </c>
    </row>
    <row r="25872" spans="1:6" x14ac:dyDescent="0.25">
      <c r="A25872" s="2" t="str">
        <f t="shared" si="908"/>
        <v>13900</v>
      </c>
      <c r="B25872" s="2" t="str">
        <f>"58570"</f>
        <v>58570</v>
      </c>
      <c r="C25872" s="1">
        <v>1.5339138771270999E-3</v>
      </c>
      <c r="D25872" s="1">
        <v>0</v>
      </c>
      <c r="E25872" s="1">
        <v>0</v>
      </c>
      <c r="F25872" s="1">
        <v>1.31656540998669E-3</v>
      </c>
    </row>
    <row r="25873" spans="1:6" x14ac:dyDescent="0.25">
      <c r="A25873" s="2" t="str">
        <f t="shared" si="908"/>
        <v>13900</v>
      </c>
      <c r="B25873" s="2" t="str">
        <f>"58501"</f>
        <v>58501</v>
      </c>
      <c r="C25873" s="1">
        <v>0.22165055524486599</v>
      </c>
      <c r="D25873" s="1">
        <v>0.24256192290781101</v>
      </c>
      <c r="E25873" s="1">
        <v>0.37617554858934099</v>
      </c>
      <c r="F25873" s="1">
        <v>0.231043515229644</v>
      </c>
    </row>
    <row r="25874" spans="1:6" x14ac:dyDescent="0.25">
      <c r="A25874" s="2" t="str">
        <f t="shared" si="908"/>
        <v>13900</v>
      </c>
      <c r="B25874" s="2" t="str">
        <f>"58566"</f>
        <v>58566</v>
      </c>
      <c r="C25874" s="1">
        <v>1.3421746424862101E-3</v>
      </c>
      <c r="D25874" s="1">
        <v>4.3968928623772498E-4</v>
      </c>
      <c r="E25874" s="1">
        <v>0</v>
      </c>
      <c r="F25874" s="1">
        <v>1.1931374028004401E-3</v>
      </c>
    </row>
    <row r="25875" spans="1:6" x14ac:dyDescent="0.25">
      <c r="A25875" s="2" t="str">
        <f t="shared" si="908"/>
        <v>13900</v>
      </c>
      <c r="B25875" s="2" t="str">
        <f>"58505"</f>
        <v>58505</v>
      </c>
      <c r="C25875" s="1">
        <v>0</v>
      </c>
      <c r="D25875" s="1">
        <v>7.32815477062875E-3</v>
      </c>
      <c r="E25875" s="1">
        <v>2.8498147620404598E-3</v>
      </c>
      <c r="F25875" s="1">
        <v>8.2285338124168505E-4</v>
      </c>
    </row>
    <row r="25876" spans="1:6" x14ac:dyDescent="0.25">
      <c r="A25876" s="2" t="str">
        <f t="shared" si="908"/>
        <v>13900</v>
      </c>
      <c r="B25876" s="2" t="str">
        <f>"58535"</f>
        <v>58535</v>
      </c>
      <c r="C25876" s="1">
        <v>4.0744587361188703E-3</v>
      </c>
      <c r="D25876" s="1">
        <v>1.0259416678880199E-3</v>
      </c>
      <c r="E25876" s="1">
        <v>1.4249073810202299E-3</v>
      </c>
      <c r="F25876" s="1">
        <v>3.6616975465255E-3</v>
      </c>
    </row>
    <row r="25877" spans="1:6" x14ac:dyDescent="0.25">
      <c r="A25877" s="2" t="str">
        <f t="shared" si="908"/>
        <v>13900</v>
      </c>
      <c r="B25877" s="2" t="str">
        <f>"58530"</f>
        <v>58530</v>
      </c>
      <c r="C25877" s="1">
        <v>6.3273947431493104E-3</v>
      </c>
      <c r="D25877" s="1">
        <v>1.4656309541257501E-3</v>
      </c>
      <c r="E25877" s="1">
        <v>1.9948703334283198E-3</v>
      </c>
      <c r="F25877" s="1">
        <v>5.6639741075469301E-3</v>
      </c>
    </row>
    <row r="25878" spans="1:6" x14ac:dyDescent="0.25">
      <c r="A25878" s="2" t="str">
        <f t="shared" si="908"/>
        <v>13900</v>
      </c>
      <c r="B25878" s="2" t="str">
        <f>"58506"</f>
        <v>58506</v>
      </c>
      <c r="C25878" s="1">
        <v>1.1025005991850999E-3</v>
      </c>
      <c r="D25878" s="1">
        <v>4.3968928623772498E-3</v>
      </c>
      <c r="E25878" s="1">
        <v>5.6996295240809296E-4</v>
      </c>
      <c r="F25878" s="1">
        <v>1.38513652509017E-3</v>
      </c>
    </row>
    <row r="25879" spans="1:6" x14ac:dyDescent="0.25">
      <c r="A25879" s="2" t="str">
        <f t="shared" si="908"/>
        <v>13900</v>
      </c>
      <c r="B25879" s="2" t="str">
        <f>"58523"</f>
        <v>58523</v>
      </c>
      <c r="C25879" s="1">
        <v>7.9891347767036805E-4</v>
      </c>
      <c r="D25879" s="1">
        <v>0</v>
      </c>
      <c r="E25879" s="1">
        <v>0</v>
      </c>
      <c r="F25879" s="1">
        <v>6.8571115103473797E-4</v>
      </c>
    </row>
    <row r="25880" spans="1:6" x14ac:dyDescent="0.25">
      <c r="A25880" s="2" t="str">
        <f t="shared" si="908"/>
        <v>13900</v>
      </c>
      <c r="B25880" s="2" t="str">
        <f>"58504"</f>
        <v>58504</v>
      </c>
      <c r="C25880" s="1">
        <v>0.204713589518255</v>
      </c>
      <c r="D25880" s="1">
        <v>0.223362157408764</v>
      </c>
      <c r="E25880" s="1">
        <v>0.19036762610430299</v>
      </c>
      <c r="F25880" s="1">
        <v>0.205768202202504</v>
      </c>
    </row>
    <row r="25881" spans="1:6" x14ac:dyDescent="0.25">
      <c r="A25881" s="2" t="str">
        <f t="shared" si="908"/>
        <v>13900</v>
      </c>
      <c r="B25881" s="2" t="str">
        <f>"58477"</f>
        <v>58477</v>
      </c>
      <c r="C25881" s="1">
        <v>1.40608772069984E-3</v>
      </c>
      <c r="D25881" s="1">
        <v>4.3968928623772498E-4</v>
      </c>
      <c r="E25881" s="1">
        <v>2.8498147620404599E-4</v>
      </c>
      <c r="F25881" s="1">
        <v>1.2617085179039099E-3</v>
      </c>
    </row>
    <row r="25882" spans="1:6" x14ac:dyDescent="0.25">
      <c r="A25882" s="2" t="str">
        <f t="shared" si="908"/>
        <v>13900</v>
      </c>
      <c r="B25882" s="2" t="str">
        <f>"58494"</f>
        <v>58494</v>
      </c>
      <c r="C25882" s="1">
        <v>2.87608851961332E-3</v>
      </c>
      <c r="D25882" s="1">
        <v>1.0259416678880199E-3</v>
      </c>
      <c r="E25882" s="1">
        <v>1.70988885722428E-3</v>
      </c>
      <c r="F25882" s="1">
        <v>2.6468450429940802E-3</v>
      </c>
    </row>
    <row r="25883" spans="1:6" x14ac:dyDescent="0.25">
      <c r="A25883" s="2" t="str">
        <f t="shared" si="908"/>
        <v>13900</v>
      </c>
      <c r="B25883" s="2" t="str">
        <f>"58579"</f>
        <v>58579</v>
      </c>
      <c r="C25883" s="1">
        <v>3.8986977710313898E-3</v>
      </c>
      <c r="D25883" s="1">
        <v>1.0259416678880199E-3</v>
      </c>
      <c r="E25883" s="1">
        <v>8.5494442861213998E-4</v>
      </c>
      <c r="F25883" s="1">
        <v>3.4834126472564602E-3</v>
      </c>
    </row>
    <row r="25884" spans="1:6" x14ac:dyDescent="0.25">
      <c r="A25884" s="2" t="str">
        <f t="shared" si="908"/>
        <v>13900</v>
      </c>
      <c r="B25884" s="2" t="str">
        <f>"58545"</f>
        <v>58545</v>
      </c>
      <c r="C25884" s="1">
        <v>9.5869617320444101E-4</v>
      </c>
      <c r="D25884" s="1">
        <v>0</v>
      </c>
      <c r="E25884" s="1">
        <v>0</v>
      </c>
      <c r="F25884" s="1">
        <v>8.2285338124168505E-4</v>
      </c>
    </row>
    <row r="25885" spans="1:6" x14ac:dyDescent="0.25">
      <c r="A25885" s="2" t="str">
        <f t="shared" si="908"/>
        <v>13900</v>
      </c>
      <c r="B25885" s="2" t="str">
        <f>"58572"</f>
        <v>58572</v>
      </c>
      <c r="C25885" s="1">
        <v>3.2435887193416899E-3</v>
      </c>
      <c r="D25885" s="1">
        <v>1.7587571449508999E-3</v>
      </c>
      <c r="E25885" s="1">
        <v>5.6996295240809296E-4</v>
      </c>
      <c r="F25885" s="1">
        <v>2.9759863954907598E-3</v>
      </c>
    </row>
    <row r="25886" spans="1:6" x14ac:dyDescent="0.25">
      <c r="A25886" s="2" t="str">
        <f t="shared" si="908"/>
        <v>13900</v>
      </c>
      <c r="B25886" s="2" t="str">
        <f>"58554"</f>
        <v>58554</v>
      </c>
      <c r="C25886" s="1">
        <v>0.21831109690820399</v>
      </c>
      <c r="D25886" s="1">
        <v>0.191704528799648</v>
      </c>
      <c r="E25886" s="1">
        <v>0.21202621829581</v>
      </c>
      <c r="F25886" s="1">
        <v>0.21551901477021801</v>
      </c>
    </row>
    <row r="25887" spans="1:6" x14ac:dyDescent="0.25">
      <c r="A25887" s="2" t="str">
        <f t="shared" si="908"/>
        <v>13900</v>
      </c>
      <c r="B25887" s="2" t="str">
        <f>"58521"</f>
        <v>58521</v>
      </c>
      <c r="C25887" s="1">
        <v>4.6816329791483499E-3</v>
      </c>
      <c r="D25887" s="1">
        <v>2.9312619082515001E-4</v>
      </c>
      <c r="E25887" s="1">
        <v>5.6996295240809296E-4</v>
      </c>
      <c r="F25887" s="1">
        <v>4.0731242371463399E-3</v>
      </c>
    </row>
    <row r="25888" spans="1:6" x14ac:dyDescent="0.25">
      <c r="A25888" s="2" t="str">
        <f t="shared" si="908"/>
        <v>13900</v>
      </c>
      <c r="B25888" s="2" t="str">
        <f>"58638"</f>
        <v>58638</v>
      </c>
      <c r="C25888" s="1">
        <v>6.9825037948390099E-3</v>
      </c>
      <c r="D25888" s="1">
        <v>1.31906785871317E-3</v>
      </c>
      <c r="E25888" s="1">
        <v>3.7047591906525998E-3</v>
      </c>
      <c r="F25888" s="1">
        <v>6.29482836649889E-3</v>
      </c>
    </row>
    <row r="25889" spans="1:6" x14ac:dyDescent="0.25">
      <c r="A25889" s="2" t="str">
        <f t="shared" si="908"/>
        <v>13900</v>
      </c>
      <c r="B25889" s="2" t="str">
        <f>"58631"</f>
        <v>58631</v>
      </c>
      <c r="C25889" s="1">
        <v>7.7334824638491603E-3</v>
      </c>
      <c r="D25889" s="1">
        <v>5.8625238165030001E-4</v>
      </c>
      <c r="E25889" s="1">
        <v>4.5597036192647402E-3</v>
      </c>
      <c r="F25889" s="1">
        <v>6.9119684024301596E-3</v>
      </c>
    </row>
    <row r="25890" spans="1:6" x14ac:dyDescent="0.25">
      <c r="A25890" s="2" t="str">
        <f t="shared" si="908"/>
        <v>13900</v>
      </c>
      <c r="B25890" s="2" t="str">
        <f>"58507"</f>
        <v>58507</v>
      </c>
      <c r="C25890" s="1">
        <v>1.9333706159622901E-3</v>
      </c>
      <c r="D25890" s="1">
        <v>2.30104059797742E-2</v>
      </c>
      <c r="E25890" s="1">
        <v>5.6996295240809296E-4</v>
      </c>
      <c r="F25890" s="1">
        <v>3.8399824457945298E-3</v>
      </c>
    </row>
    <row r="25891" spans="1:6" x14ac:dyDescent="0.25">
      <c r="A25891" s="2" t="str">
        <f t="shared" si="908"/>
        <v>13900</v>
      </c>
      <c r="B25891" s="2" t="str">
        <f>"58532"</f>
        <v>58532</v>
      </c>
      <c r="C25891" s="1">
        <v>1.88543580730206E-3</v>
      </c>
      <c r="D25891" s="1">
        <v>1.46563095412575E-4</v>
      </c>
      <c r="E25891" s="1">
        <v>2.8498147620404599E-4</v>
      </c>
      <c r="F25891" s="1">
        <v>1.6457067624833701E-3</v>
      </c>
    </row>
    <row r="25892" spans="1:6" x14ac:dyDescent="0.25">
      <c r="A25892" s="2" t="str">
        <f t="shared" si="908"/>
        <v>13900</v>
      </c>
      <c r="B25892" s="2" t="str">
        <f>"58503"</f>
        <v>58503</v>
      </c>
      <c r="C25892" s="1">
        <v>0.26145242470240398</v>
      </c>
      <c r="D25892" s="1">
        <v>0.14070057159607199</v>
      </c>
      <c r="E25892" s="1">
        <v>0.19407238529495499</v>
      </c>
      <c r="F25892" s="1">
        <v>0.24691087126458799</v>
      </c>
    </row>
    <row r="25893" spans="1:6" x14ac:dyDescent="0.25">
      <c r="A25893" s="2" t="str">
        <f t="shared" si="908"/>
        <v>13900</v>
      </c>
      <c r="B25893" s="2" t="str">
        <f>"58563"</f>
        <v>58563</v>
      </c>
      <c r="C25893" s="1">
        <v>1.51953343452904E-2</v>
      </c>
      <c r="D25893" s="1">
        <v>3.22438809907665E-3</v>
      </c>
      <c r="E25893" s="1">
        <v>4.5597036192647402E-3</v>
      </c>
      <c r="F25893" s="1">
        <v>1.35633665674671E-2</v>
      </c>
    </row>
    <row r="25894" spans="1:6" x14ac:dyDescent="0.25">
      <c r="A25894" s="2" t="str">
        <f t="shared" si="908"/>
        <v>13900</v>
      </c>
      <c r="B25894" s="2" t="str">
        <f>"58524"</f>
        <v>58524</v>
      </c>
      <c r="C25894" s="1">
        <v>9.5869617320444098E-5</v>
      </c>
      <c r="D25894" s="1">
        <v>0</v>
      </c>
      <c r="E25894" s="1">
        <v>0</v>
      </c>
      <c r="F25894" s="1">
        <v>8.2285338124168505E-5</v>
      </c>
    </row>
    <row r="25895" spans="1:6" x14ac:dyDescent="0.25">
      <c r="A25895" s="2" t="str">
        <f t="shared" si="908"/>
        <v>13900</v>
      </c>
      <c r="B25895" s="2" t="str">
        <f>"58520"</f>
        <v>58520</v>
      </c>
      <c r="C25895" s="1">
        <v>1.3741311815930299E-3</v>
      </c>
      <c r="D25895" s="1">
        <v>0</v>
      </c>
      <c r="E25895" s="1">
        <v>8.5494442861213998E-4</v>
      </c>
      <c r="F25895" s="1">
        <v>1.22056584884183E-3</v>
      </c>
    </row>
    <row r="25896" spans="1:6" x14ac:dyDescent="0.25">
      <c r="A25896" s="2" t="str">
        <f t="shared" si="908"/>
        <v>13900</v>
      </c>
      <c r="B25896" s="2" t="str">
        <f>"58502"</f>
        <v>58502</v>
      </c>
      <c r="C25896" s="1">
        <v>1.8183270751777499E-2</v>
      </c>
      <c r="D25896" s="1">
        <v>0.15242561922907799</v>
      </c>
      <c r="E25896" s="1">
        <v>5.6996295240809296E-4</v>
      </c>
      <c r="F25896" s="1">
        <v>2.98970061851145E-2</v>
      </c>
    </row>
    <row r="25897" spans="1:6" x14ac:dyDescent="0.25">
      <c r="A25897" s="2" t="str">
        <f t="shared" si="908"/>
        <v>13900</v>
      </c>
      <c r="B25897" s="2" t="str">
        <f>"58571"</f>
        <v>58571</v>
      </c>
      <c r="C25897" s="1">
        <v>5.75217703922665E-4</v>
      </c>
      <c r="D25897" s="1">
        <v>0</v>
      </c>
      <c r="E25897" s="1">
        <v>0</v>
      </c>
      <c r="F25897" s="1">
        <v>4.9371202874501103E-4</v>
      </c>
    </row>
    <row r="25898" spans="1:6" x14ac:dyDescent="0.25">
      <c r="A25898" s="2" t="str">
        <f t="shared" si="908"/>
        <v>13900</v>
      </c>
      <c r="B25898" s="2" t="str">
        <f>"58558"</f>
        <v>58558</v>
      </c>
      <c r="C25898" s="1">
        <v>6.7268514819844999E-3</v>
      </c>
      <c r="D25898" s="1">
        <v>1.4656309541257501E-3</v>
      </c>
      <c r="E25898" s="1">
        <v>1.1399259048161801E-3</v>
      </c>
      <c r="F25898" s="1">
        <v>5.9656870140022203E-3</v>
      </c>
    </row>
    <row r="25899" spans="1:6" x14ac:dyDescent="0.25">
      <c r="A25899" s="2" t="str">
        <f t="shared" ref="A25899:A25914" si="909">"19860"</f>
        <v>19860</v>
      </c>
      <c r="B25899" s="2" t="str">
        <f>"58601"</f>
        <v>58601</v>
      </c>
      <c r="C25899" s="1">
        <v>0.77383157206667297</v>
      </c>
      <c r="D25899" s="1">
        <v>0.75240128068303003</v>
      </c>
      <c r="E25899" s="1">
        <v>0.93371428571428505</v>
      </c>
      <c r="F25899" s="1">
        <v>0.77855687686549402</v>
      </c>
    </row>
    <row r="25900" spans="1:6" x14ac:dyDescent="0.25">
      <c r="A25900" s="2" t="str">
        <f t="shared" si="909"/>
        <v>19860</v>
      </c>
      <c r="B25900" s="2" t="str">
        <f>"58641"</f>
        <v>58641</v>
      </c>
      <c r="C25900" s="1">
        <v>4.3033010131822598E-3</v>
      </c>
      <c r="D25900" s="1">
        <v>2.1344717182497299E-3</v>
      </c>
      <c r="E25900" s="1">
        <v>2.2857142857142798E-3</v>
      </c>
      <c r="F25900" s="1">
        <v>4.0271000142132899E-3</v>
      </c>
    </row>
    <row r="25901" spans="1:6" x14ac:dyDescent="0.25">
      <c r="A25901" s="2" t="str">
        <f t="shared" si="909"/>
        <v>19860</v>
      </c>
      <c r="B25901" s="2" t="str">
        <f>"58656"</f>
        <v>58656</v>
      </c>
      <c r="C25901" s="1">
        <v>9.9684061444601808E-3</v>
      </c>
      <c r="D25901" s="1">
        <v>2.66808964781216E-3</v>
      </c>
      <c r="E25901" s="1">
        <v>6.8571428571428499E-3</v>
      </c>
      <c r="F25901" s="1">
        <v>9.1912635618515096E-3</v>
      </c>
    </row>
    <row r="25902" spans="1:6" x14ac:dyDescent="0.25">
      <c r="A25902" s="2" t="str">
        <f t="shared" si="909"/>
        <v>19860</v>
      </c>
      <c r="B25902" s="2" t="str">
        <f>"58634"</f>
        <v>58634</v>
      </c>
      <c r="C25902" s="1">
        <v>6.5366597668591302E-4</v>
      </c>
      <c r="D25902" s="1">
        <v>5.3361792956243301E-4</v>
      </c>
      <c r="E25902" s="1">
        <v>0</v>
      </c>
      <c r="F25902" s="1">
        <v>6.1590941393850304E-4</v>
      </c>
    </row>
    <row r="25903" spans="1:6" x14ac:dyDescent="0.25">
      <c r="A25903" s="2" t="str">
        <f t="shared" si="909"/>
        <v>19860</v>
      </c>
      <c r="B25903" s="2" t="str">
        <f>"58647"</f>
        <v>58647</v>
      </c>
      <c r="C25903" s="1">
        <v>2.8325525656389501E-3</v>
      </c>
      <c r="D25903" s="1">
        <v>0</v>
      </c>
      <c r="E25903" s="1">
        <v>0</v>
      </c>
      <c r="F25903" s="1">
        <v>2.46363765575401E-3</v>
      </c>
    </row>
    <row r="25904" spans="1:6" x14ac:dyDescent="0.25">
      <c r="A25904" s="2" t="str">
        <f t="shared" si="909"/>
        <v>19860</v>
      </c>
      <c r="B25904" s="2" t="str">
        <f>"58627"</f>
        <v>58627</v>
      </c>
      <c r="C25904" s="1">
        <v>4.6846061662490397E-3</v>
      </c>
      <c r="D25904" s="1">
        <v>4.8025613660618903E-3</v>
      </c>
      <c r="E25904" s="1">
        <v>1.1428571428571399E-3</v>
      </c>
      <c r="F25904" s="1">
        <v>4.5482541336997204E-3</v>
      </c>
    </row>
    <row r="25905" spans="1:6" x14ac:dyDescent="0.25">
      <c r="A25905" s="2" t="str">
        <f t="shared" si="909"/>
        <v>19860</v>
      </c>
      <c r="B25905" s="2" t="str">
        <f>"58642"</f>
        <v>58642</v>
      </c>
      <c r="C25905" s="1">
        <v>5.44721647238261E-4</v>
      </c>
      <c r="D25905" s="1">
        <v>0</v>
      </c>
      <c r="E25905" s="1">
        <v>0</v>
      </c>
      <c r="F25905" s="1">
        <v>4.7377647226038702E-4</v>
      </c>
    </row>
    <row r="25906" spans="1:6" x14ac:dyDescent="0.25">
      <c r="A25906" s="2" t="str">
        <f t="shared" si="909"/>
        <v>19860</v>
      </c>
      <c r="B25906" s="2" t="str">
        <f>"58602"</f>
        <v>58602</v>
      </c>
      <c r="C25906" s="1">
        <v>0.114827323237825</v>
      </c>
      <c r="D25906" s="1">
        <v>0.209178228388473</v>
      </c>
      <c r="E25906" s="1">
        <v>2.2857142857142798E-3</v>
      </c>
      <c r="F25906" s="1">
        <v>0.11853887335954801</v>
      </c>
    </row>
    <row r="25907" spans="1:6" x14ac:dyDescent="0.25">
      <c r="A25907" s="2" t="str">
        <f t="shared" si="909"/>
        <v>19860</v>
      </c>
      <c r="B25907" s="2" t="str">
        <f>"58638"</f>
        <v>58638</v>
      </c>
      <c r="C25907" s="1">
        <v>1.63416494171478E-3</v>
      </c>
      <c r="D25907" s="1">
        <v>0</v>
      </c>
      <c r="E25907" s="1">
        <v>0</v>
      </c>
      <c r="F25907" s="1">
        <v>1.42132941678116E-3</v>
      </c>
    </row>
    <row r="25908" spans="1:6" x14ac:dyDescent="0.25">
      <c r="A25908" s="2" t="str">
        <f t="shared" si="909"/>
        <v>19860</v>
      </c>
      <c r="B25908" s="2" t="str">
        <f>"58630"</f>
        <v>58630</v>
      </c>
      <c r="C25908" s="1">
        <v>8.3342412027453908E-3</v>
      </c>
      <c r="D25908" s="1">
        <v>5.3361792956243301E-4</v>
      </c>
      <c r="E25908" s="1">
        <v>6.8571428571428499E-3</v>
      </c>
      <c r="F25908" s="1">
        <v>7.5804235561662001E-3</v>
      </c>
    </row>
    <row r="25909" spans="1:6" x14ac:dyDescent="0.25">
      <c r="A25909" s="2" t="str">
        <f t="shared" si="909"/>
        <v>19860</v>
      </c>
      <c r="B25909" s="2" t="str">
        <f>"58640"</f>
        <v>58640</v>
      </c>
      <c r="C25909" s="1">
        <v>5.4472164723826101E-5</v>
      </c>
      <c r="D25909" s="1">
        <v>0</v>
      </c>
      <c r="E25909" s="1">
        <v>0</v>
      </c>
      <c r="F25909" s="1">
        <v>4.7377647226038698E-5</v>
      </c>
    </row>
    <row r="25910" spans="1:6" x14ac:dyDescent="0.25">
      <c r="A25910" s="2" t="str">
        <f t="shared" si="909"/>
        <v>19860</v>
      </c>
      <c r="B25910" s="2" t="str">
        <f>"58645"</f>
        <v>58645</v>
      </c>
      <c r="C25910" s="1">
        <v>4.46671750735374E-3</v>
      </c>
      <c r="D25910" s="1">
        <v>1.0672358591248599E-3</v>
      </c>
      <c r="E25910" s="1">
        <v>1.1428571428571399E-3</v>
      </c>
      <c r="F25910" s="1">
        <v>4.0271000142132899E-3</v>
      </c>
    </row>
    <row r="25911" spans="1:6" x14ac:dyDescent="0.25">
      <c r="A25911" s="2" t="str">
        <f t="shared" si="909"/>
        <v>19860</v>
      </c>
      <c r="B25911" s="2" t="str">
        <f>"58622"</f>
        <v>58622</v>
      </c>
      <c r="C25911" s="1">
        <v>4.2106983331517502E-2</v>
      </c>
      <c r="D25911" s="1">
        <v>1.54749199573105E-2</v>
      </c>
      <c r="E25911" s="1">
        <v>3.4285714285714197E-2</v>
      </c>
      <c r="F25911" s="1">
        <v>3.9418202492064201E-2</v>
      </c>
    </row>
    <row r="25912" spans="1:6" x14ac:dyDescent="0.25">
      <c r="A25912" s="2" t="str">
        <f t="shared" si="909"/>
        <v>19860</v>
      </c>
      <c r="B25912" s="2" t="str">
        <f>"58620"</f>
        <v>58620</v>
      </c>
      <c r="C25912" s="1">
        <v>2.7236082361913001E-4</v>
      </c>
      <c r="D25912" s="1">
        <v>0</v>
      </c>
      <c r="E25912" s="1">
        <v>0</v>
      </c>
      <c r="F25912" s="1">
        <v>2.3688823613019299E-4</v>
      </c>
    </row>
    <row r="25913" spans="1:6" x14ac:dyDescent="0.25">
      <c r="A25913" s="2" t="str">
        <f t="shared" si="909"/>
        <v>19860</v>
      </c>
      <c r="B25913" s="2" t="str">
        <f>"58655"</f>
        <v>58655</v>
      </c>
      <c r="C25913" s="1">
        <v>6.5366597668591302E-3</v>
      </c>
      <c r="D25913" s="1">
        <v>1.0672358591248599E-3</v>
      </c>
      <c r="E25913" s="1">
        <v>3.4285714285714202E-3</v>
      </c>
      <c r="F25913" s="1">
        <v>5.9222059032548397E-3</v>
      </c>
    </row>
    <row r="25914" spans="1:6" x14ac:dyDescent="0.25">
      <c r="A25914" s="2" t="str">
        <f t="shared" si="909"/>
        <v>19860</v>
      </c>
      <c r="B25914" s="2" t="str">
        <f>"58652"</f>
        <v>58652</v>
      </c>
      <c r="C25914" s="1">
        <v>2.4948251443512301E-2</v>
      </c>
      <c r="D25914" s="1">
        <v>1.0138740661686199E-2</v>
      </c>
      <c r="E25914" s="1">
        <v>8.0000000000000002E-3</v>
      </c>
      <c r="F25914" s="1">
        <v>2.2930781257402701E-2</v>
      </c>
    </row>
    <row r="25915" spans="1:6" x14ac:dyDescent="0.25">
      <c r="A25915" s="2" t="str">
        <f t="shared" ref="A25915:A25924" si="910">"15580"</f>
        <v>15580</v>
      </c>
      <c r="B25915" s="2" t="str">
        <f>"59701"</f>
        <v>59701</v>
      </c>
      <c r="C25915" s="1">
        <v>0.89555578684429604</v>
      </c>
      <c r="D25915" s="1">
        <v>0.78574514038876797</v>
      </c>
      <c r="E25915" s="1">
        <v>0.98220064724918998</v>
      </c>
      <c r="F25915" s="1">
        <v>0.886496004334281</v>
      </c>
    </row>
    <row r="25916" spans="1:6" x14ac:dyDescent="0.25">
      <c r="A25916" s="2" t="str">
        <f t="shared" si="910"/>
        <v>15580</v>
      </c>
      <c r="B25916" s="2" t="str">
        <f>"59743"</f>
        <v>59743</v>
      </c>
      <c r="C25916" s="1">
        <v>2.5499583680266402E-3</v>
      </c>
      <c r="D25916" s="1">
        <v>0</v>
      </c>
      <c r="E25916" s="1">
        <v>1.6181229773462699E-3</v>
      </c>
      <c r="F25916" s="1">
        <v>2.25743825906361E-3</v>
      </c>
    </row>
    <row r="25917" spans="1:6" x14ac:dyDescent="0.25">
      <c r="A25917" s="2" t="str">
        <f t="shared" si="910"/>
        <v>15580</v>
      </c>
      <c r="B25917" s="2" t="str">
        <f>"59703"</f>
        <v>59703</v>
      </c>
      <c r="C25917" s="1">
        <v>2.9194421315570301E-2</v>
      </c>
      <c r="D25917" s="1">
        <v>6.6522678185745102E-2</v>
      </c>
      <c r="E25917" s="1">
        <v>3.2362459546925498E-3</v>
      </c>
      <c r="F25917" s="1">
        <v>3.2371664634972201E-2</v>
      </c>
    </row>
    <row r="25918" spans="1:6" x14ac:dyDescent="0.25">
      <c r="A25918" s="2" t="str">
        <f t="shared" si="910"/>
        <v>15580</v>
      </c>
      <c r="B25918" s="2" t="str">
        <f>"59702"</f>
        <v>59702</v>
      </c>
      <c r="C25918" s="1">
        <v>4.9073688592839303E-2</v>
      </c>
      <c r="D25918" s="1">
        <v>0.142116630669546</v>
      </c>
      <c r="E25918" s="1">
        <v>3.2362459546925498E-3</v>
      </c>
      <c r="F25918" s="1">
        <v>5.7519526840940902E-2</v>
      </c>
    </row>
    <row r="25919" spans="1:6" x14ac:dyDescent="0.25">
      <c r="A25919" s="2" t="str">
        <f t="shared" si="910"/>
        <v>15580</v>
      </c>
      <c r="B25919" s="2" t="str">
        <f>"59727"</f>
        <v>59727</v>
      </c>
      <c r="C25919" s="1">
        <v>4.5274771024146499E-3</v>
      </c>
      <c r="D25919" s="1">
        <v>0</v>
      </c>
      <c r="E25919" s="1">
        <v>1.6181229773462699E-3</v>
      </c>
      <c r="F25919" s="1">
        <v>3.9730913359519596E-3</v>
      </c>
    </row>
    <row r="25920" spans="1:6" x14ac:dyDescent="0.25">
      <c r="A25920" s="2" t="str">
        <f t="shared" si="910"/>
        <v>15580</v>
      </c>
      <c r="B25920" s="2" t="str">
        <f>"59759"</f>
        <v>59759</v>
      </c>
      <c r="C25920" s="1">
        <v>1.09283930058284E-3</v>
      </c>
      <c r="D25920" s="1">
        <v>0</v>
      </c>
      <c r="E25920" s="1">
        <v>0</v>
      </c>
      <c r="F25920" s="1">
        <v>9.4812406880671798E-4</v>
      </c>
    </row>
    <row r="25921" spans="1:6" x14ac:dyDescent="0.25">
      <c r="A25921" s="2" t="str">
        <f t="shared" si="910"/>
        <v>15580</v>
      </c>
      <c r="B25921" s="2" t="str">
        <f>"59762"</f>
        <v>59762</v>
      </c>
      <c r="C25921" s="1">
        <v>5.2039966694421297E-5</v>
      </c>
      <c r="D25921" s="1">
        <v>0</v>
      </c>
      <c r="E25921" s="1">
        <v>0</v>
      </c>
      <c r="F25921" s="1">
        <v>4.5148765181272201E-5</v>
      </c>
    </row>
    <row r="25922" spans="1:6" x14ac:dyDescent="0.25">
      <c r="A25922" s="2" t="str">
        <f t="shared" si="910"/>
        <v>15580</v>
      </c>
      <c r="B25922" s="2" t="str">
        <f>"59711"</f>
        <v>59711</v>
      </c>
      <c r="C25922" s="1">
        <v>5.2560366361365501E-3</v>
      </c>
      <c r="D25922" s="1">
        <v>1.29589632829373E-3</v>
      </c>
      <c r="E25922" s="1">
        <v>0</v>
      </c>
      <c r="F25922" s="1">
        <v>4.6954715788523104E-3</v>
      </c>
    </row>
    <row r="25923" spans="1:6" x14ac:dyDescent="0.25">
      <c r="A25923" s="2" t="str">
        <f t="shared" si="910"/>
        <v>15580</v>
      </c>
      <c r="B25923" s="2" t="str">
        <f>"59750"</f>
        <v>59750</v>
      </c>
      <c r="C25923" s="1">
        <v>8.8988343047460405E-3</v>
      </c>
      <c r="D25923" s="1">
        <v>4.3196544276457799E-3</v>
      </c>
      <c r="E25923" s="1">
        <v>6.4724919093851101E-3</v>
      </c>
      <c r="F25923" s="1">
        <v>8.3525215585353706E-3</v>
      </c>
    </row>
    <row r="25924" spans="1:6" x14ac:dyDescent="0.25">
      <c r="A25924" s="2" t="str">
        <f t="shared" si="910"/>
        <v>15580</v>
      </c>
      <c r="B25924" s="2" t="str">
        <f>"59748"</f>
        <v>59748</v>
      </c>
      <c r="C25924" s="1">
        <v>3.7989175686927502E-3</v>
      </c>
      <c r="D25924" s="1">
        <v>0</v>
      </c>
      <c r="E25924" s="1">
        <v>1.6181229773462699E-3</v>
      </c>
      <c r="F25924" s="1">
        <v>3.3410086234141401E-3</v>
      </c>
    </row>
    <row r="25925" spans="1:6" x14ac:dyDescent="0.25">
      <c r="A25925" s="2" t="str">
        <f t="shared" ref="A25925:A25944" si="911">"36660"</f>
        <v>36660</v>
      </c>
      <c r="B25925" s="2" t="str">
        <f>"71353"</f>
        <v>71353</v>
      </c>
      <c r="C25925" s="1">
        <v>9.2118453493727805E-3</v>
      </c>
      <c r="D25925" s="1">
        <v>1.4265335235377999E-3</v>
      </c>
      <c r="E25925" s="1">
        <v>7.0422535211267599E-3</v>
      </c>
      <c r="F25925" s="1">
        <v>8.6336986369146204E-3</v>
      </c>
    </row>
    <row r="25926" spans="1:6" x14ac:dyDescent="0.25">
      <c r="A25926" s="2" t="str">
        <f t="shared" si="911"/>
        <v>36660</v>
      </c>
      <c r="B25926" s="2" t="str">
        <f>"70520"</f>
        <v>70520</v>
      </c>
      <c r="C25926" s="1">
        <v>4.6059226746863902E-3</v>
      </c>
      <c r="D25926" s="1">
        <v>1.06990014265335E-3</v>
      </c>
      <c r="E25926" s="1">
        <v>7.0422535211267599E-3</v>
      </c>
      <c r="F25926" s="1">
        <v>4.4034336887415499E-3</v>
      </c>
    </row>
    <row r="25927" spans="1:6" x14ac:dyDescent="0.25">
      <c r="A25927" s="2" t="str">
        <f t="shared" si="911"/>
        <v>36660</v>
      </c>
      <c r="B25927" s="2" t="str">
        <f>"70577"</f>
        <v>70577</v>
      </c>
      <c r="C25927" s="1">
        <v>3.4219296106640602E-2</v>
      </c>
      <c r="D25927" s="1">
        <v>2.1398002853066998E-2</v>
      </c>
      <c r="E25927" s="1">
        <v>1.5492957746478801E-2</v>
      </c>
      <c r="F25927" s="1">
        <v>3.3001014274051901E-2</v>
      </c>
    </row>
    <row r="25928" spans="1:6" x14ac:dyDescent="0.25">
      <c r="A25928" s="2" t="str">
        <f t="shared" si="911"/>
        <v>36660</v>
      </c>
      <c r="B25928" s="2" t="str">
        <f>"71345"</f>
        <v>71345</v>
      </c>
      <c r="C25928" s="1">
        <v>0</v>
      </c>
      <c r="D25928" s="1">
        <v>0</v>
      </c>
      <c r="E25928" s="1">
        <v>1.40845070422535E-3</v>
      </c>
      <c r="F25928" s="1">
        <v>2.4738391509784E-5</v>
      </c>
    </row>
    <row r="25929" spans="1:6" x14ac:dyDescent="0.25">
      <c r="A25929" s="2" t="str">
        <f t="shared" si="911"/>
        <v>36660</v>
      </c>
      <c r="B25929" s="2" t="str">
        <f>"70570"</f>
        <v>70570</v>
      </c>
      <c r="C25929" s="1">
        <v>0.48717115066785799</v>
      </c>
      <c r="D25929" s="1">
        <v>0.52995720399429302</v>
      </c>
      <c r="E25929" s="1">
        <v>0.62816901408450698</v>
      </c>
      <c r="F25929" s="1">
        <v>0.49261559013432898</v>
      </c>
    </row>
    <row r="25930" spans="1:6" x14ac:dyDescent="0.25">
      <c r="A25930" s="2" t="str">
        <f t="shared" si="911"/>
        <v>36660</v>
      </c>
      <c r="B25930" s="2" t="str">
        <f>"70571"</f>
        <v>70571</v>
      </c>
      <c r="C25930" s="1">
        <v>5.0150369828497098E-2</v>
      </c>
      <c r="D25930" s="1">
        <v>0.122325249643366</v>
      </c>
      <c r="E25930" s="1">
        <v>2.8169014084507E-3</v>
      </c>
      <c r="F25930" s="1">
        <v>5.4325507755485697E-2</v>
      </c>
    </row>
    <row r="25931" spans="1:6" x14ac:dyDescent="0.25">
      <c r="A25931" s="2" t="str">
        <f t="shared" si="911"/>
        <v>36660</v>
      </c>
      <c r="B25931" s="2" t="str">
        <f>"70541"</f>
        <v>70541</v>
      </c>
      <c r="C25931" s="1">
        <v>0</v>
      </c>
      <c r="D25931" s="1">
        <v>0</v>
      </c>
      <c r="E25931" s="1">
        <v>1.40845070422535E-3</v>
      </c>
      <c r="F25931" s="1">
        <v>2.4738391509784E-5</v>
      </c>
    </row>
    <row r="25932" spans="1:6" x14ac:dyDescent="0.25">
      <c r="A25932" s="2" t="str">
        <f t="shared" si="911"/>
        <v>36660</v>
      </c>
      <c r="B25932" s="2" t="str">
        <f>"70586"</f>
        <v>70586</v>
      </c>
      <c r="C25932" s="1">
        <v>1.57143244195182E-3</v>
      </c>
      <c r="D25932" s="1">
        <v>3.5663338088444998E-4</v>
      </c>
      <c r="E25932" s="1">
        <v>0</v>
      </c>
      <c r="F25932" s="1">
        <v>1.45956509907725E-3</v>
      </c>
    </row>
    <row r="25933" spans="1:6" x14ac:dyDescent="0.25">
      <c r="A25933" s="2" t="str">
        <f t="shared" si="911"/>
        <v>36660</v>
      </c>
      <c r="B25933" s="2" t="str">
        <f>"71322"</f>
        <v>71322</v>
      </c>
      <c r="C25933" s="1">
        <v>7.1256333143677603E-3</v>
      </c>
      <c r="D25933" s="1">
        <v>2.4964336661911501E-3</v>
      </c>
      <c r="E25933" s="1">
        <v>0</v>
      </c>
      <c r="F25933" s="1">
        <v>6.6793657076416801E-3</v>
      </c>
    </row>
    <row r="25934" spans="1:6" x14ac:dyDescent="0.25">
      <c r="A25934" s="2" t="str">
        <f t="shared" si="911"/>
        <v>36660</v>
      </c>
      <c r="B25934" s="2" t="str">
        <f>"70512"</f>
        <v>70512</v>
      </c>
      <c r="C25934" s="1">
        <v>6.3372077271126204E-2</v>
      </c>
      <c r="D25934" s="1">
        <v>7.1326676176890098E-3</v>
      </c>
      <c r="E25934" s="1">
        <v>8.4507042253521101E-3</v>
      </c>
      <c r="F25934" s="1">
        <v>5.8506295920639197E-2</v>
      </c>
    </row>
    <row r="25935" spans="1:6" x14ac:dyDescent="0.25">
      <c r="A25935" s="2" t="str">
        <f t="shared" si="911"/>
        <v>36660</v>
      </c>
      <c r="B25935" s="2" t="str">
        <f>"71362"</f>
        <v>71362</v>
      </c>
      <c r="C25935" s="1">
        <v>1.27340215123682E-3</v>
      </c>
      <c r="D25935" s="1">
        <v>3.5663338088444998E-4</v>
      </c>
      <c r="E25935" s="1">
        <v>0</v>
      </c>
      <c r="F25935" s="1">
        <v>1.18744279246963E-3</v>
      </c>
    </row>
    <row r="25936" spans="1:6" x14ac:dyDescent="0.25">
      <c r="A25936" s="2" t="str">
        <f t="shared" si="911"/>
        <v>36660</v>
      </c>
      <c r="B25936" s="2" t="str">
        <f>"70584"</f>
        <v>70584</v>
      </c>
      <c r="C25936" s="1">
        <v>7.903221436506E-2</v>
      </c>
      <c r="D25936" s="1">
        <v>4.0299572039942902E-2</v>
      </c>
      <c r="E25936" s="1">
        <v>4.6478873239436599E-2</v>
      </c>
      <c r="F25936" s="1">
        <v>7.5773693194468403E-2</v>
      </c>
    </row>
    <row r="25937" spans="1:6" x14ac:dyDescent="0.25">
      <c r="A25937" s="2" t="str">
        <f t="shared" si="911"/>
        <v>36660</v>
      </c>
      <c r="B25937" s="2" t="str">
        <f>"70551"</f>
        <v>70551</v>
      </c>
      <c r="C25937" s="1">
        <v>0</v>
      </c>
      <c r="D25937" s="1">
        <v>0</v>
      </c>
      <c r="E25937" s="1">
        <v>1.40845070422535E-3</v>
      </c>
      <c r="F25937" s="1">
        <v>2.4738391509784E-5</v>
      </c>
    </row>
    <row r="25938" spans="1:6" x14ac:dyDescent="0.25">
      <c r="A25938" s="2" t="str">
        <f t="shared" si="911"/>
        <v>36660</v>
      </c>
      <c r="B25938" s="2" t="str">
        <f>"70750"</f>
        <v>70750</v>
      </c>
      <c r="C25938" s="1">
        <v>5.6354818607927603E-3</v>
      </c>
      <c r="D25938" s="1">
        <v>2.8530670470755999E-3</v>
      </c>
      <c r="E25938" s="1">
        <v>2.8169014084507E-3</v>
      </c>
      <c r="F25938" s="1">
        <v>5.3929693491329101E-3</v>
      </c>
    </row>
    <row r="25939" spans="1:6" x14ac:dyDescent="0.25">
      <c r="A25939" s="2" t="str">
        <f t="shared" si="911"/>
        <v>36660</v>
      </c>
      <c r="B25939" s="2" t="str">
        <f>"71356"</f>
        <v>71356</v>
      </c>
      <c r="C25939" s="1">
        <v>2.7906472676041002E-3</v>
      </c>
      <c r="D25939" s="1">
        <v>3.5663338088444998E-4</v>
      </c>
      <c r="E25939" s="1">
        <v>1.40845070422535E-3</v>
      </c>
      <c r="F25939" s="1">
        <v>2.5975311085273201E-3</v>
      </c>
    </row>
    <row r="25940" spans="1:6" x14ac:dyDescent="0.25">
      <c r="A25940" s="2" t="str">
        <f t="shared" si="911"/>
        <v>36660</v>
      </c>
      <c r="B25940" s="2" t="str">
        <f>"71358"</f>
        <v>71358</v>
      </c>
      <c r="C25940" s="1">
        <v>1.06478094773632E-2</v>
      </c>
      <c r="D25940" s="1">
        <v>0</v>
      </c>
      <c r="E25940" s="1">
        <v>1.40845070422535E-3</v>
      </c>
      <c r="F25940" s="1">
        <v>9.7469262548549006E-3</v>
      </c>
    </row>
    <row r="25941" spans="1:6" x14ac:dyDescent="0.25">
      <c r="A25941" s="2" t="str">
        <f t="shared" si="911"/>
        <v>36660</v>
      </c>
      <c r="B25941" s="2" t="str">
        <f>"70589"</f>
        <v>70589</v>
      </c>
      <c r="C25941" s="1">
        <v>3.1970522094881999E-2</v>
      </c>
      <c r="D25941" s="1">
        <v>9.6291012838801704E-3</v>
      </c>
      <c r="E25941" s="1">
        <v>7.0422535211267599E-3</v>
      </c>
      <c r="F25941" s="1">
        <v>2.9982930509858199E-2</v>
      </c>
    </row>
    <row r="25942" spans="1:6" x14ac:dyDescent="0.25">
      <c r="A25942" s="2" t="str">
        <f t="shared" si="911"/>
        <v>36660</v>
      </c>
      <c r="B25942" s="2" t="str">
        <f>"70550"</f>
        <v>70550</v>
      </c>
      <c r="C25942" s="1">
        <v>0</v>
      </c>
      <c r="D25942" s="1">
        <v>0</v>
      </c>
      <c r="E25942" s="1">
        <v>1.40845070422535E-3</v>
      </c>
      <c r="F25942" s="1">
        <v>2.4738391509784E-5</v>
      </c>
    </row>
    <row r="25943" spans="1:6" x14ac:dyDescent="0.25">
      <c r="A25943" s="2" t="str">
        <f t="shared" si="911"/>
        <v>36660</v>
      </c>
      <c r="B25943" s="2" t="str">
        <f>"70535"</f>
        <v>70535</v>
      </c>
      <c r="C25943" s="1">
        <v>0.16857676989352099</v>
      </c>
      <c r="D25943" s="1">
        <v>0.25463623395149698</v>
      </c>
      <c r="E25943" s="1">
        <v>0.25070422535211201</v>
      </c>
      <c r="F25943" s="1">
        <v>0.175988917200603</v>
      </c>
    </row>
    <row r="25944" spans="1:6" x14ac:dyDescent="0.25">
      <c r="A25944" s="2" t="str">
        <f t="shared" si="911"/>
        <v>36660</v>
      </c>
      <c r="B25944" s="2" t="str">
        <f>"70525"</f>
        <v>70525</v>
      </c>
      <c r="C25944" s="1">
        <v>4.2645425235037497E-2</v>
      </c>
      <c r="D25944" s="1">
        <v>5.7061340941512101E-3</v>
      </c>
      <c r="E25944" s="1">
        <v>1.5492957746478801E-2</v>
      </c>
      <c r="F25944" s="1">
        <v>3.9606164807164203E-2</v>
      </c>
    </row>
    <row r="25945" spans="1:6" x14ac:dyDescent="0.25">
      <c r="A25945" s="2" t="str">
        <f t="shared" ref="A25945:A25977" si="912">"33740"</f>
        <v>33740</v>
      </c>
      <c r="B25945" s="2" t="str">
        <f>"71235"</f>
        <v>71235</v>
      </c>
      <c r="C25945" s="1">
        <v>1.2520224978811899E-4</v>
      </c>
      <c r="D25945" s="1">
        <v>0</v>
      </c>
      <c r="E25945" s="1">
        <v>0</v>
      </c>
      <c r="F25945" s="1">
        <v>1.10950848773993E-4</v>
      </c>
    </row>
    <row r="25946" spans="1:6" x14ac:dyDescent="0.25">
      <c r="A25946" s="2" t="str">
        <f t="shared" si="912"/>
        <v>33740</v>
      </c>
      <c r="B25946" s="2" t="str">
        <f>"71227"</f>
        <v>71227</v>
      </c>
      <c r="C25946" s="1">
        <v>7.9936821018568402E-4</v>
      </c>
      <c r="D25946" s="1">
        <v>9.6581031485416205E-5</v>
      </c>
      <c r="E25946" s="1">
        <v>1.34093194770365E-3</v>
      </c>
      <c r="F25946" s="1">
        <v>7.5105189939318404E-4</v>
      </c>
    </row>
    <row r="25947" spans="1:6" x14ac:dyDescent="0.25">
      <c r="A25947" s="2" t="str">
        <f t="shared" si="912"/>
        <v>33740</v>
      </c>
      <c r="B25947" s="2" t="str">
        <f>"71225"</f>
        <v>71225</v>
      </c>
      <c r="C25947" s="1">
        <v>3.3323060328222499E-2</v>
      </c>
      <c r="D25947" s="1">
        <v>8.0162256132895408E-3</v>
      </c>
      <c r="E25947" s="1">
        <v>1.10626885685551E-2</v>
      </c>
      <c r="F25947" s="1">
        <v>3.0520018093523001E-2</v>
      </c>
    </row>
    <row r="25948" spans="1:6" x14ac:dyDescent="0.25">
      <c r="A25948" s="2" t="str">
        <f t="shared" si="912"/>
        <v>33740</v>
      </c>
      <c r="B25948" s="2" t="str">
        <f>"71212"</f>
        <v>71212</v>
      </c>
      <c r="C25948" s="1">
        <v>0</v>
      </c>
      <c r="D25948" s="1">
        <v>1.93162062970832E-4</v>
      </c>
      <c r="E25948" s="1">
        <v>0</v>
      </c>
      <c r="F25948" s="1">
        <v>1.7069361349845E-5</v>
      </c>
    </row>
    <row r="25949" spans="1:6" x14ac:dyDescent="0.25">
      <c r="A25949" s="2" t="str">
        <f t="shared" si="912"/>
        <v>33740</v>
      </c>
      <c r="B25949" s="2" t="str">
        <f>"71220"</f>
        <v>71220</v>
      </c>
      <c r="C25949" s="1">
        <v>0.105680329763464</v>
      </c>
      <c r="D25949" s="1">
        <v>8.7405833494301699E-2</v>
      </c>
      <c r="E25949" s="1">
        <v>2.71538719409989E-2</v>
      </c>
      <c r="F25949" s="1">
        <v>0.10206624619139799</v>
      </c>
    </row>
    <row r="25950" spans="1:6" x14ac:dyDescent="0.25">
      <c r="A25950" s="2" t="str">
        <f t="shared" si="912"/>
        <v>33740</v>
      </c>
      <c r="B25950" s="2" t="str">
        <f>"71250"</f>
        <v>71250</v>
      </c>
      <c r="C25950" s="1">
        <v>9.7272517143077205E-4</v>
      </c>
      <c r="D25950" s="1">
        <v>1.0623913463395701E-3</v>
      </c>
      <c r="E25950" s="1">
        <v>3.3523298692591299E-4</v>
      </c>
      <c r="F25950" s="1">
        <v>9.6441891626624699E-4</v>
      </c>
    </row>
    <row r="25951" spans="1:6" x14ac:dyDescent="0.25">
      <c r="A25951" s="2" t="str">
        <f t="shared" si="912"/>
        <v>33740</v>
      </c>
      <c r="B25951" s="2" t="str">
        <f>"71210"</f>
        <v>71210</v>
      </c>
      <c r="C25951" s="1">
        <v>1.3155867170043901E-2</v>
      </c>
      <c r="D25951" s="1">
        <v>2.2310218273131101E-2</v>
      </c>
      <c r="E25951" s="1">
        <v>6.7046597385182695E-4</v>
      </c>
      <c r="F25951" s="1">
        <v>1.36469543992011E-2</v>
      </c>
    </row>
    <row r="25952" spans="1:6" x14ac:dyDescent="0.25">
      <c r="A25952" s="2" t="str">
        <f t="shared" si="912"/>
        <v>33740</v>
      </c>
      <c r="B25952" s="2" t="str">
        <f>"71294"</f>
        <v>71294</v>
      </c>
      <c r="C25952" s="1">
        <v>1.5476924262269799E-2</v>
      </c>
      <c r="D25952" s="1">
        <v>4.5875989955572703E-2</v>
      </c>
      <c r="E25952" s="1">
        <v>6.7046597385182695E-4</v>
      </c>
      <c r="F25952" s="1">
        <v>1.7786274526538502E-2</v>
      </c>
    </row>
    <row r="25953" spans="1:6" x14ac:dyDescent="0.25">
      <c r="A25953" s="2" t="str">
        <f t="shared" si="912"/>
        <v>33740</v>
      </c>
      <c r="B25953" s="2" t="str">
        <f>"71292"</f>
        <v>71292</v>
      </c>
      <c r="C25953" s="1">
        <v>0.10510247322598</v>
      </c>
      <c r="D25953" s="1">
        <v>7.6299014873478802E-2</v>
      </c>
      <c r="E25953" s="1">
        <v>0.12034864230640201</v>
      </c>
      <c r="F25953" s="1">
        <v>0.102945318300915</v>
      </c>
    </row>
    <row r="25954" spans="1:6" x14ac:dyDescent="0.25">
      <c r="A25954" s="2" t="str">
        <f t="shared" si="912"/>
        <v>33740</v>
      </c>
      <c r="B25954" s="2" t="str">
        <f>"71202"</f>
        <v>71202</v>
      </c>
      <c r="C25954" s="1">
        <v>0.11072694352415401</v>
      </c>
      <c r="D25954" s="1">
        <v>7.0600734015839203E-2</v>
      </c>
      <c r="E25954" s="1">
        <v>8.2132081796848805E-2</v>
      </c>
      <c r="F25954" s="1">
        <v>0.10645307205830799</v>
      </c>
    </row>
    <row r="25955" spans="1:6" x14ac:dyDescent="0.25">
      <c r="A25955" s="2" t="str">
        <f t="shared" si="912"/>
        <v>33740</v>
      </c>
      <c r="B25955" s="2" t="str">
        <f>"71269"</f>
        <v>71269</v>
      </c>
      <c r="C25955" s="1">
        <v>1.92618845827875E-5</v>
      </c>
      <c r="D25955" s="1">
        <v>0</v>
      </c>
      <c r="E25955" s="1">
        <v>0</v>
      </c>
      <c r="F25955" s="1">
        <v>1.7069361349845E-5</v>
      </c>
    </row>
    <row r="25956" spans="1:6" x14ac:dyDescent="0.25">
      <c r="A25956" s="2" t="str">
        <f t="shared" si="912"/>
        <v>33740</v>
      </c>
      <c r="B25956" s="2" t="str">
        <f>"71277"</f>
        <v>71277</v>
      </c>
      <c r="C25956" s="1">
        <v>9.6020494645195995E-3</v>
      </c>
      <c r="D25956" s="1">
        <v>3.1871740390187302E-3</v>
      </c>
      <c r="E25956" s="1">
        <v>3.3523298692591299E-4</v>
      </c>
      <c r="F25956" s="1">
        <v>8.7992557758451405E-3</v>
      </c>
    </row>
    <row r="25957" spans="1:6" x14ac:dyDescent="0.25">
      <c r="A25957" s="2" t="str">
        <f t="shared" si="912"/>
        <v>33740</v>
      </c>
      <c r="B25957" s="2" t="str">
        <f>"71264"</f>
        <v>71264</v>
      </c>
      <c r="C25957" s="1">
        <v>2.3306880345172901E-3</v>
      </c>
      <c r="D25957" s="1">
        <v>1.35213444079582E-3</v>
      </c>
      <c r="E25957" s="1">
        <v>3.3523298692591299E-4</v>
      </c>
      <c r="F25957" s="1">
        <v>2.1934129334550902E-3</v>
      </c>
    </row>
    <row r="25958" spans="1:6" x14ac:dyDescent="0.25">
      <c r="A25958" s="2" t="str">
        <f t="shared" si="912"/>
        <v>33740</v>
      </c>
      <c r="B25958" s="2" t="str">
        <f>"71261"</f>
        <v>71261</v>
      </c>
      <c r="C25958" s="1">
        <v>6.9824331612604899E-3</v>
      </c>
      <c r="D25958" s="1">
        <v>2.6076878501062298E-3</v>
      </c>
      <c r="E25958" s="1">
        <v>1.6761649346295599E-3</v>
      </c>
      <c r="F25958" s="1">
        <v>6.4607532709163602E-3</v>
      </c>
    </row>
    <row r="25959" spans="1:6" x14ac:dyDescent="0.25">
      <c r="A25959" s="2" t="str">
        <f t="shared" si="912"/>
        <v>33740</v>
      </c>
      <c r="B25959" s="2" t="str">
        <f>"71260"</f>
        <v>71260</v>
      </c>
      <c r="C25959" s="1">
        <v>1.32136528237922E-2</v>
      </c>
      <c r="D25959" s="1">
        <v>4.3461464168437301E-3</v>
      </c>
      <c r="E25959" s="1">
        <v>1.6761649346295599E-3</v>
      </c>
      <c r="F25959" s="1">
        <v>1.21363159197398E-2</v>
      </c>
    </row>
    <row r="25960" spans="1:6" x14ac:dyDescent="0.25">
      <c r="A25960" s="2" t="str">
        <f t="shared" si="912"/>
        <v>33740</v>
      </c>
      <c r="B25960" s="2" t="str">
        <f>"71256"</f>
        <v>71256</v>
      </c>
      <c r="C25960" s="1">
        <v>2.4944140534709901E-3</v>
      </c>
      <c r="D25960" s="1">
        <v>4.8290515742708103E-4</v>
      </c>
      <c r="E25960" s="1">
        <v>1.0056989607777401E-3</v>
      </c>
      <c r="F25960" s="1">
        <v>2.2787597402043201E-3</v>
      </c>
    </row>
    <row r="25961" spans="1:6" x14ac:dyDescent="0.25">
      <c r="A25961" s="2" t="str">
        <f t="shared" si="912"/>
        <v>33740</v>
      </c>
      <c r="B25961" s="2" t="str">
        <f>"71281"</f>
        <v>71281</v>
      </c>
      <c r="C25961" s="1">
        <v>0</v>
      </c>
      <c r="D25961" s="1">
        <v>0</v>
      </c>
      <c r="E25961" s="1">
        <v>3.3523298692591299E-4</v>
      </c>
      <c r="F25961" s="1">
        <v>8.5346806749225406E-6</v>
      </c>
    </row>
    <row r="25962" spans="1:6" x14ac:dyDescent="0.25">
      <c r="A25962" s="2" t="str">
        <f t="shared" si="912"/>
        <v>33740</v>
      </c>
      <c r="B25962" s="2" t="str">
        <f>"71241"</f>
        <v>71241</v>
      </c>
      <c r="C25962" s="1">
        <v>4.8145080514677502E-2</v>
      </c>
      <c r="D25962" s="1">
        <v>3.97913849719915E-2</v>
      </c>
      <c r="E25962" s="1">
        <v>4.2574589339590997E-2</v>
      </c>
      <c r="F25962" s="1">
        <v>4.7265061577721E-2</v>
      </c>
    </row>
    <row r="25963" spans="1:6" x14ac:dyDescent="0.25">
      <c r="A25963" s="2" t="str">
        <f t="shared" si="912"/>
        <v>33740</v>
      </c>
      <c r="B25963" s="2" t="str">
        <f>"71418"</f>
        <v>71418</v>
      </c>
      <c r="C25963" s="1">
        <v>1.1942368441328201E-3</v>
      </c>
      <c r="D25963" s="1">
        <v>9.6581031485416205E-5</v>
      </c>
      <c r="E25963" s="1">
        <v>0</v>
      </c>
      <c r="F25963" s="1">
        <v>1.06683508436531E-3</v>
      </c>
    </row>
    <row r="25964" spans="1:6" x14ac:dyDescent="0.25">
      <c r="A25964" s="2" t="str">
        <f t="shared" si="912"/>
        <v>33740</v>
      </c>
      <c r="B25964" s="2" t="str">
        <f>"71280"</f>
        <v>71280</v>
      </c>
      <c r="C25964" s="1">
        <v>1.8510671084058801E-2</v>
      </c>
      <c r="D25964" s="1">
        <v>8.6922928336874601E-3</v>
      </c>
      <c r="E25964" s="1">
        <v>7.7103586992960096E-3</v>
      </c>
      <c r="F25964" s="1">
        <v>1.73680751734673E-2</v>
      </c>
    </row>
    <row r="25965" spans="1:6" x14ac:dyDescent="0.25">
      <c r="A25965" s="2" t="str">
        <f t="shared" si="912"/>
        <v>33740</v>
      </c>
      <c r="B25965" s="2" t="str">
        <f>"71240"</f>
        <v>71240</v>
      </c>
      <c r="C25965" s="1">
        <v>0</v>
      </c>
      <c r="D25965" s="1">
        <v>0</v>
      </c>
      <c r="E25965" s="1">
        <v>3.3523298692591299E-4</v>
      </c>
      <c r="F25965" s="1">
        <v>8.5346806749225406E-6</v>
      </c>
    </row>
    <row r="25966" spans="1:6" x14ac:dyDescent="0.25">
      <c r="A25966" s="2" t="str">
        <f t="shared" si="912"/>
        <v>33740</v>
      </c>
      <c r="B25966" s="2" t="str">
        <f>"71209"</f>
        <v>71209</v>
      </c>
      <c r="C25966" s="1">
        <v>0</v>
      </c>
      <c r="D25966" s="1">
        <v>9.6581031485416205E-5</v>
      </c>
      <c r="E25966" s="1">
        <v>0</v>
      </c>
      <c r="F25966" s="1">
        <v>8.5346806749225406E-6</v>
      </c>
    </row>
    <row r="25967" spans="1:6" x14ac:dyDescent="0.25">
      <c r="A25967" s="2" t="str">
        <f t="shared" si="912"/>
        <v>33740</v>
      </c>
      <c r="B25967" s="2" t="str">
        <f>"71213"</f>
        <v>71213</v>
      </c>
      <c r="C25967" s="1">
        <v>3.0626396486632202E-3</v>
      </c>
      <c r="D25967" s="1">
        <v>3.4769171334749801E-3</v>
      </c>
      <c r="E25967" s="1">
        <v>6.7046597385182695E-4</v>
      </c>
      <c r="F25967" s="1">
        <v>3.0383463202724201E-3</v>
      </c>
    </row>
    <row r="25968" spans="1:6" x14ac:dyDescent="0.25">
      <c r="A25968" s="2" t="str">
        <f t="shared" si="912"/>
        <v>33740</v>
      </c>
      <c r="B25968" s="2" t="str">
        <f>"71229"</f>
        <v>71229</v>
      </c>
      <c r="C25968" s="1">
        <v>6.33716002773711E-3</v>
      </c>
      <c r="D25968" s="1">
        <v>5.7948618891249702E-4</v>
      </c>
      <c r="E25968" s="1">
        <v>2.3466309084813901E-3</v>
      </c>
      <c r="F25968" s="1">
        <v>5.72677073287302E-3</v>
      </c>
    </row>
    <row r="25969" spans="1:6" x14ac:dyDescent="0.25">
      <c r="A25969" s="2" t="str">
        <f t="shared" si="912"/>
        <v>33740</v>
      </c>
      <c r="B25969" s="2" t="str">
        <f>"71203"</f>
        <v>71203</v>
      </c>
      <c r="C25969" s="1">
        <v>0.16874373988751001</v>
      </c>
      <c r="D25969" s="1">
        <v>0.117828858412207</v>
      </c>
      <c r="E25969" s="1">
        <v>0.230640295005028</v>
      </c>
      <c r="F25969" s="1">
        <v>0.16582031083307</v>
      </c>
    </row>
    <row r="25970" spans="1:6" x14ac:dyDescent="0.25">
      <c r="A25970" s="2" t="str">
        <f t="shared" si="912"/>
        <v>33740</v>
      </c>
      <c r="B25970" s="2" t="str">
        <f>"71291"</f>
        <v>71291</v>
      </c>
      <c r="C25970" s="1">
        <v>0.16050928422836799</v>
      </c>
      <c r="D25970" s="1">
        <v>0.15984160710836301</v>
      </c>
      <c r="E25970" s="1">
        <v>0.22695273214884301</v>
      </c>
      <c r="F25970" s="1">
        <v>0.16214186346217799</v>
      </c>
    </row>
    <row r="25971" spans="1:6" x14ac:dyDescent="0.25">
      <c r="A25971" s="2" t="str">
        <f t="shared" si="912"/>
        <v>33740</v>
      </c>
      <c r="B25971" s="2" t="str">
        <f>"71222"</f>
        <v>71222</v>
      </c>
      <c r="C25971" s="1">
        <v>1.24817012096463E-2</v>
      </c>
      <c r="D25971" s="1">
        <v>2.7042688815916501E-3</v>
      </c>
      <c r="E25971" s="1">
        <v>4.6932618169627802E-3</v>
      </c>
      <c r="F25971" s="1">
        <v>1.14194027430463E-2</v>
      </c>
    </row>
    <row r="25972" spans="1:6" x14ac:dyDescent="0.25">
      <c r="A25972" s="2" t="str">
        <f t="shared" si="912"/>
        <v>33740</v>
      </c>
      <c r="B25972" s="2" t="str">
        <f>"71201"</f>
        <v>71201</v>
      </c>
      <c r="C25972" s="1">
        <v>0.103118499113953</v>
      </c>
      <c r="D25972" s="1">
        <v>0.25555340931041098</v>
      </c>
      <c r="E25972" s="1">
        <v>0.22896413007039801</v>
      </c>
      <c r="F25972" s="1">
        <v>0.119792777953212</v>
      </c>
    </row>
    <row r="25973" spans="1:6" x14ac:dyDescent="0.25">
      <c r="A25973" s="2" t="str">
        <f t="shared" si="912"/>
        <v>33740</v>
      </c>
      <c r="B25973" s="2" t="str">
        <f>"71238"</f>
        <v>71238</v>
      </c>
      <c r="C25973" s="1">
        <v>1.0256953540334301E-2</v>
      </c>
      <c r="D25973" s="1">
        <v>1.7384585667374901E-3</v>
      </c>
      <c r="E25973" s="1">
        <v>1.34093194770365E-3</v>
      </c>
      <c r="F25973" s="1">
        <v>9.2771978936407994E-3</v>
      </c>
    </row>
    <row r="25974" spans="1:6" x14ac:dyDescent="0.25">
      <c r="A25974" s="2" t="str">
        <f t="shared" si="912"/>
        <v>33740</v>
      </c>
      <c r="B25974" s="2" t="str">
        <f>"71234"</f>
        <v>71234</v>
      </c>
      <c r="C25974" s="1">
        <v>2.09184066569073E-2</v>
      </c>
      <c r="D25974" s="1">
        <v>3.6700791964458098E-3</v>
      </c>
      <c r="E25974" s="1">
        <v>3.0170968823332199E-3</v>
      </c>
      <c r="F25974" s="1">
        <v>1.8938456417653099E-2</v>
      </c>
    </row>
    <row r="25975" spans="1:6" x14ac:dyDescent="0.25">
      <c r="A25975" s="2" t="str">
        <f t="shared" si="912"/>
        <v>33740</v>
      </c>
      <c r="B25975" s="2" t="str">
        <f>"71223"</f>
        <v>71223</v>
      </c>
      <c r="C25975" s="1">
        <v>1.77209338161645E-3</v>
      </c>
      <c r="D25975" s="1">
        <v>7.7264825188332997E-4</v>
      </c>
      <c r="E25975" s="1">
        <v>3.3523298692591299E-4</v>
      </c>
      <c r="F25975" s="1">
        <v>1.64719337026005E-3</v>
      </c>
    </row>
    <row r="25976" spans="1:6" x14ac:dyDescent="0.25">
      <c r="A25976" s="2" t="str">
        <f t="shared" si="912"/>
        <v>33740</v>
      </c>
      <c r="B25976" s="2" t="str">
        <f>"71211"</f>
        <v>71211</v>
      </c>
      <c r="C25976" s="1">
        <v>1.39359734956468E-2</v>
      </c>
      <c r="D25976" s="1">
        <v>5.1381108750241399E-2</v>
      </c>
      <c r="E25976" s="1">
        <v>6.7046597385182695E-4</v>
      </c>
      <c r="F25976" s="1">
        <v>1.69072024170215E-2</v>
      </c>
    </row>
    <row r="25977" spans="1:6" x14ac:dyDescent="0.25">
      <c r="A25977" s="2" t="str">
        <f t="shared" si="912"/>
        <v>33740</v>
      </c>
      <c r="B25977" s="2" t="str">
        <f>"71207"</f>
        <v>71207</v>
      </c>
      <c r="C25977" s="1">
        <v>1.1008167039063099E-2</v>
      </c>
      <c r="D25977" s="1">
        <v>2.9940119760479E-2</v>
      </c>
      <c r="E25977" s="1">
        <v>6.7046597385182695E-4</v>
      </c>
      <c r="F25977" s="1">
        <v>1.2417960382012301E-2</v>
      </c>
    </row>
    <row r="25978" spans="1:6" x14ac:dyDescent="0.25">
      <c r="A25978" s="2" t="str">
        <f t="shared" ref="A25978:A25999" si="913">"42620"</f>
        <v>42620</v>
      </c>
      <c r="B25978" s="2" t="str">
        <f>"72081"</f>
        <v>72081</v>
      </c>
      <c r="C25978" s="1">
        <v>0.121946889187612</v>
      </c>
      <c r="D25978" s="1">
        <v>4.8951048951048903E-2</v>
      </c>
      <c r="E25978" s="1">
        <v>3.8277511961722403E-2</v>
      </c>
      <c r="F25978" s="1">
        <v>0.115416666666666</v>
      </c>
    </row>
    <row r="25979" spans="1:6" x14ac:dyDescent="0.25">
      <c r="A25979" s="2" t="str">
        <f t="shared" si="913"/>
        <v>42620</v>
      </c>
      <c r="B25979" s="2" t="str">
        <f>"72121"</f>
        <v>72121</v>
      </c>
      <c r="C25979" s="1">
        <v>2.8280112613183798E-2</v>
      </c>
      <c r="D25979" s="1">
        <v>1.17609663064208E-2</v>
      </c>
      <c r="E25979" s="1">
        <v>1.1164274322169E-2</v>
      </c>
      <c r="F25979" s="1">
        <v>2.6828703703703698E-2</v>
      </c>
    </row>
    <row r="25980" spans="1:6" x14ac:dyDescent="0.25">
      <c r="A25980" s="2" t="str">
        <f t="shared" si="913"/>
        <v>42620</v>
      </c>
      <c r="B25980" s="2" t="str">
        <f>"72010"</f>
        <v>72010</v>
      </c>
      <c r="C25980" s="1">
        <v>7.23362162984756E-2</v>
      </c>
      <c r="D25980" s="1">
        <v>4.1640178003814303E-2</v>
      </c>
      <c r="E25980" s="1">
        <v>3.8277511961722403E-2</v>
      </c>
      <c r="F25980" s="1">
        <v>6.9606481481481394E-2</v>
      </c>
    </row>
    <row r="25981" spans="1:6" x14ac:dyDescent="0.25">
      <c r="A25981" s="2" t="str">
        <f t="shared" si="913"/>
        <v>42620</v>
      </c>
      <c r="B25981" s="2" t="str">
        <f>"72082"</f>
        <v>72082</v>
      </c>
      <c r="C25981" s="1">
        <v>3.9617520988155297E-2</v>
      </c>
      <c r="D25981" s="1">
        <v>2.2250476795931302E-2</v>
      </c>
      <c r="E25981" s="1">
        <v>2.8708133971291801E-2</v>
      </c>
      <c r="F25981" s="1">
        <v>3.8194444444444399E-2</v>
      </c>
    </row>
    <row r="25982" spans="1:6" x14ac:dyDescent="0.25">
      <c r="A25982" s="2" t="str">
        <f t="shared" si="913"/>
        <v>42620</v>
      </c>
      <c r="B25982" s="2" t="str">
        <f>"72568"</f>
        <v>72568</v>
      </c>
      <c r="C25982" s="1">
        <v>7.8626322063560499E-4</v>
      </c>
      <c r="D25982" s="1">
        <v>3.1786395422759E-4</v>
      </c>
      <c r="E25982" s="1">
        <v>0</v>
      </c>
      <c r="F25982" s="1">
        <v>7.4074074074074005E-4</v>
      </c>
    </row>
    <row r="25983" spans="1:6" x14ac:dyDescent="0.25">
      <c r="A25983" s="2" t="str">
        <f t="shared" si="913"/>
        <v>42620</v>
      </c>
      <c r="B25983" s="2" t="str">
        <f>"72178"</f>
        <v>72178</v>
      </c>
      <c r="C25983" s="1">
        <v>0</v>
      </c>
      <c r="D25983" s="1">
        <v>0</v>
      </c>
      <c r="E25983" s="1">
        <v>1.5948963317384301E-3</v>
      </c>
      <c r="F25983" s="1">
        <v>2.31481481481481E-5</v>
      </c>
    </row>
    <row r="25984" spans="1:6" x14ac:dyDescent="0.25">
      <c r="A25984" s="2" t="str">
        <f t="shared" si="913"/>
        <v>42620</v>
      </c>
      <c r="B25984" s="2" t="str">
        <f>"72149"</f>
        <v>72149</v>
      </c>
      <c r="C25984" s="1">
        <v>0</v>
      </c>
      <c r="D25984" s="1">
        <v>6.3572790845518097E-4</v>
      </c>
      <c r="E25984" s="1">
        <v>0</v>
      </c>
      <c r="F25984" s="1">
        <v>4.6296296296296199E-5</v>
      </c>
    </row>
    <row r="25985" spans="1:6" x14ac:dyDescent="0.25">
      <c r="A25985" s="2" t="str">
        <f t="shared" si="913"/>
        <v>42620</v>
      </c>
      <c r="B25985" s="2" t="str">
        <f>"72143"</f>
        <v>72143</v>
      </c>
      <c r="C25985" s="1">
        <v>0.41590788038653698</v>
      </c>
      <c r="D25985" s="1">
        <v>0.58741258741258695</v>
      </c>
      <c r="E25985" s="1">
        <v>0.61562998405103597</v>
      </c>
      <c r="F25985" s="1">
        <v>0.43129629629629601</v>
      </c>
    </row>
    <row r="25986" spans="1:6" x14ac:dyDescent="0.25">
      <c r="A25986" s="2" t="str">
        <f t="shared" si="913"/>
        <v>42620</v>
      </c>
      <c r="B25986" s="2" t="str">
        <f>"72102"</f>
        <v>72102</v>
      </c>
      <c r="C25986" s="1">
        <v>3.66246480838004E-2</v>
      </c>
      <c r="D25986" s="1">
        <v>1.04895104895104E-2</v>
      </c>
      <c r="E25986" s="1">
        <v>1.7543859649122799E-2</v>
      </c>
      <c r="F25986" s="1">
        <v>3.4444444444444403E-2</v>
      </c>
    </row>
    <row r="25987" spans="1:6" x14ac:dyDescent="0.25">
      <c r="A25987" s="2" t="str">
        <f t="shared" si="913"/>
        <v>42620</v>
      </c>
      <c r="B25987" s="2" t="str">
        <f>"72137"</f>
        <v>72137</v>
      </c>
      <c r="C25987" s="1">
        <v>2.24465467826616E-2</v>
      </c>
      <c r="D25987" s="1">
        <v>1.5257469802924299E-2</v>
      </c>
      <c r="E25987" s="1">
        <v>1.5948963317384301E-3</v>
      </c>
      <c r="F25987" s="1">
        <v>2.16203703703703E-2</v>
      </c>
    </row>
    <row r="25988" spans="1:6" x14ac:dyDescent="0.25">
      <c r="A25988" s="2" t="str">
        <f t="shared" si="913"/>
        <v>42620</v>
      </c>
      <c r="B25988" s="2" t="str">
        <f>"72111"</f>
        <v>72111</v>
      </c>
      <c r="C25988" s="1">
        <v>5.8082025008242997E-3</v>
      </c>
      <c r="D25988" s="1">
        <v>9.5359186268277097E-4</v>
      </c>
      <c r="E25988" s="1">
        <v>0</v>
      </c>
      <c r="F25988" s="1">
        <v>5.37037037037037E-3</v>
      </c>
    </row>
    <row r="25989" spans="1:6" x14ac:dyDescent="0.25">
      <c r="A25989" s="2" t="str">
        <f t="shared" si="913"/>
        <v>42620</v>
      </c>
      <c r="B25989" s="2" t="str">
        <f>"72052"</f>
        <v>72052</v>
      </c>
      <c r="C25989" s="1">
        <v>5.0726659395845403E-5</v>
      </c>
      <c r="D25989" s="1">
        <v>0</v>
      </c>
      <c r="E25989" s="1">
        <v>1.5948963317384301E-3</v>
      </c>
      <c r="F25989" s="1">
        <v>6.9444444444444404E-5</v>
      </c>
    </row>
    <row r="25990" spans="1:6" x14ac:dyDescent="0.25">
      <c r="A25990" s="2" t="str">
        <f t="shared" si="913"/>
        <v>42620</v>
      </c>
      <c r="B25990" s="2" t="str">
        <f>"72136"</f>
        <v>72136</v>
      </c>
      <c r="C25990" s="1">
        <v>2.48560631039642E-2</v>
      </c>
      <c r="D25990" s="1">
        <v>3.81436745073108E-3</v>
      </c>
      <c r="E25990" s="1">
        <v>3.1897926634768701E-3</v>
      </c>
      <c r="F25990" s="1">
        <v>2.3009259259259202E-2</v>
      </c>
    </row>
    <row r="25991" spans="1:6" x14ac:dyDescent="0.25">
      <c r="A25991" s="2" t="str">
        <f t="shared" si="913"/>
        <v>42620</v>
      </c>
      <c r="B25991" s="2" t="str">
        <f>"72020"</f>
        <v>72020</v>
      </c>
      <c r="C25991" s="1">
        <v>2.4120526542724501E-2</v>
      </c>
      <c r="D25991" s="1">
        <v>1.0807374443737999E-2</v>
      </c>
      <c r="E25991" s="1">
        <v>7.9744816586921792E-3</v>
      </c>
      <c r="F25991" s="1">
        <v>2.2916666666666599E-2</v>
      </c>
    </row>
    <row r="25992" spans="1:6" x14ac:dyDescent="0.25">
      <c r="A25992" s="2" t="str">
        <f t="shared" si="913"/>
        <v>42620</v>
      </c>
      <c r="B25992" s="2" t="str">
        <f>"72012"</f>
        <v>72012</v>
      </c>
      <c r="C25992" s="1">
        <v>0.152712608111192</v>
      </c>
      <c r="D25992" s="1">
        <v>0.12778130959949099</v>
      </c>
      <c r="E25992" s="1">
        <v>0.223285486443381</v>
      </c>
      <c r="F25992" s="1">
        <v>0.151921296296296</v>
      </c>
    </row>
    <row r="25993" spans="1:6" x14ac:dyDescent="0.25">
      <c r="A25993" s="2" t="str">
        <f t="shared" si="913"/>
        <v>42620</v>
      </c>
      <c r="B25993" s="2" t="str">
        <f>"72060"</f>
        <v>72060</v>
      </c>
      <c r="C25993" s="1">
        <v>6.03647246810561E-3</v>
      </c>
      <c r="D25993" s="1">
        <v>4.45009535918626E-3</v>
      </c>
      <c r="E25993" s="1">
        <v>1.5948963317384301E-3</v>
      </c>
      <c r="F25993" s="1">
        <v>5.8564814814814799E-3</v>
      </c>
    </row>
    <row r="25994" spans="1:6" x14ac:dyDescent="0.25">
      <c r="A25994" s="2" t="str">
        <f t="shared" si="913"/>
        <v>42620</v>
      </c>
      <c r="B25994" s="2" t="str">
        <f>"72068"</f>
        <v>72068</v>
      </c>
      <c r="C25994" s="1">
        <v>4.0581327516676299E-3</v>
      </c>
      <c r="D25994" s="1">
        <v>0</v>
      </c>
      <c r="E25994" s="1">
        <v>1.5948963317384301E-3</v>
      </c>
      <c r="F25994" s="1">
        <v>3.7268518518518501E-3</v>
      </c>
    </row>
    <row r="25995" spans="1:6" x14ac:dyDescent="0.25">
      <c r="A25995" s="2" t="str">
        <f t="shared" si="913"/>
        <v>42620</v>
      </c>
      <c r="B25995" s="2" t="str">
        <f>"72139"</f>
        <v>72139</v>
      </c>
      <c r="C25995" s="1">
        <v>7.6089989093768202E-5</v>
      </c>
      <c r="D25995" s="1">
        <v>0</v>
      </c>
      <c r="E25995" s="1">
        <v>1.5948963317384301E-3</v>
      </c>
      <c r="F25995" s="1">
        <v>9.2592592592592507E-5</v>
      </c>
    </row>
    <row r="25996" spans="1:6" x14ac:dyDescent="0.25">
      <c r="A25996" s="2" t="str">
        <f t="shared" si="913"/>
        <v>42620</v>
      </c>
      <c r="B25996" s="2" t="str">
        <f>"72145"</f>
        <v>72145</v>
      </c>
      <c r="C25996" s="1">
        <v>2.8254749283485901E-2</v>
      </c>
      <c r="D25996" s="1">
        <v>0.105212968849332</v>
      </c>
      <c r="E25996" s="1">
        <v>3.1897926634768701E-3</v>
      </c>
      <c r="F25996" s="1">
        <v>3.34953703703703E-2</v>
      </c>
    </row>
    <row r="25997" spans="1:6" x14ac:dyDescent="0.25">
      <c r="A25997" s="2" t="str">
        <f t="shared" si="913"/>
        <v>42620</v>
      </c>
      <c r="B25997" s="2" t="str">
        <f>"72173"</f>
        <v>72173</v>
      </c>
      <c r="C25997" s="1">
        <v>5.579932533543E-4</v>
      </c>
      <c r="D25997" s="1">
        <v>0</v>
      </c>
      <c r="E25997" s="1">
        <v>0</v>
      </c>
      <c r="F25997" s="1">
        <v>5.09259259259259E-4</v>
      </c>
    </row>
    <row r="25998" spans="1:6" x14ac:dyDescent="0.25">
      <c r="A25998" s="2" t="str">
        <f t="shared" si="913"/>
        <v>42620</v>
      </c>
      <c r="B25998" s="2" t="str">
        <f>"72085"</f>
        <v>72085</v>
      </c>
      <c r="C25998" s="1">
        <v>5.0726659395845403E-5</v>
      </c>
      <c r="D25998" s="1">
        <v>0</v>
      </c>
      <c r="E25998" s="1">
        <v>1.5948963317384301E-3</v>
      </c>
      <c r="F25998" s="1">
        <v>6.9444444444444404E-5</v>
      </c>
    </row>
    <row r="25999" spans="1:6" x14ac:dyDescent="0.25">
      <c r="A25999" s="2" t="str">
        <f t="shared" si="913"/>
        <v>42620</v>
      </c>
      <c r="B25999" s="2" t="str">
        <f>"72045"</f>
        <v>72045</v>
      </c>
      <c r="C25999" s="1">
        <v>1.54716311157328E-2</v>
      </c>
      <c r="D25999" s="1">
        <v>8.2644628099173504E-3</v>
      </c>
      <c r="E25999" s="1">
        <v>1.5948963317384301E-3</v>
      </c>
      <c r="F25999" s="1">
        <v>1.4745370370370299E-2</v>
      </c>
    </row>
    <row r="26000" spans="1:6" x14ac:dyDescent="0.25">
      <c r="A26000" s="2" t="str">
        <f t="shared" ref="A26000:A26031" si="914">"36420"</f>
        <v>36420</v>
      </c>
      <c r="B26000" s="2" t="str">
        <f>"74834"</f>
        <v>74834</v>
      </c>
      <c r="C26000" s="1">
        <v>6.4959109615852504E-3</v>
      </c>
      <c r="D26000" s="1">
        <v>4.9378559604971502E-3</v>
      </c>
      <c r="E26000" s="1">
        <v>2.7406168710516501E-3</v>
      </c>
      <c r="F26000" s="1">
        <v>6.2415419749993701E-3</v>
      </c>
    </row>
    <row r="26001" spans="1:6" x14ac:dyDescent="0.25">
      <c r="A26001" s="2" t="str">
        <f t="shared" si="914"/>
        <v>36420</v>
      </c>
      <c r="B26001" s="2" t="str">
        <f>"74026"</f>
        <v>74026</v>
      </c>
      <c r="C26001" s="1">
        <v>3.0227598704445102E-6</v>
      </c>
      <c r="D26001" s="1">
        <v>0</v>
      </c>
      <c r="E26001" s="1">
        <v>4.6451133407655101E-5</v>
      </c>
      <c r="F26001" s="1">
        <v>3.9763486780628796E-6</v>
      </c>
    </row>
    <row r="26002" spans="1:6" x14ac:dyDescent="0.25">
      <c r="A26002" s="2" t="str">
        <f t="shared" si="914"/>
        <v>36420</v>
      </c>
      <c r="B26002" s="2" t="str">
        <f>"73172"</f>
        <v>73172</v>
      </c>
      <c r="C26002" s="1">
        <v>1.2302632672709099E-3</v>
      </c>
      <c r="D26002" s="1">
        <v>8.0660999354712007E-3</v>
      </c>
      <c r="E26002" s="1">
        <v>9.2902266815310202E-5</v>
      </c>
      <c r="F26002" s="1">
        <v>1.8437003370618201E-3</v>
      </c>
    </row>
    <row r="26003" spans="1:6" x14ac:dyDescent="0.25">
      <c r="A26003" s="2" t="str">
        <f t="shared" si="914"/>
        <v>36420</v>
      </c>
      <c r="B26003" s="2" t="str">
        <f>"73097"</f>
        <v>73097</v>
      </c>
      <c r="C26003" s="1">
        <v>8.0707688540868397E-4</v>
      </c>
      <c r="D26003" s="1">
        <v>1.3747439890020401E-3</v>
      </c>
      <c r="E26003" s="1">
        <v>9.2902266815310202E-5</v>
      </c>
      <c r="F26003" s="1">
        <v>8.4033502063062199E-4</v>
      </c>
    </row>
    <row r="26004" spans="1:6" x14ac:dyDescent="0.25">
      <c r="A26004" s="2" t="str">
        <f t="shared" si="914"/>
        <v>36420</v>
      </c>
      <c r="B26004" s="2" t="str">
        <f>"73078"</f>
        <v>73078</v>
      </c>
      <c r="C26004" s="1">
        <v>6.3613981473504702E-3</v>
      </c>
      <c r="D26004" s="1">
        <v>1.1923799904609599E-3</v>
      </c>
      <c r="E26004" s="1">
        <v>8.3612040133779198E-4</v>
      </c>
      <c r="F26004" s="1">
        <v>5.7153384999357104E-3</v>
      </c>
    </row>
    <row r="26005" spans="1:6" x14ac:dyDescent="0.25">
      <c r="A26005" s="2" t="str">
        <f t="shared" si="914"/>
        <v>36420</v>
      </c>
      <c r="B26005" s="2" t="str">
        <f>"73144"</f>
        <v>73144</v>
      </c>
      <c r="C26005" s="1">
        <v>1.21968360772436E-3</v>
      </c>
      <c r="D26005" s="1">
        <v>1.6132199870942401E-3</v>
      </c>
      <c r="E26005" s="1">
        <v>1.8580453363062E-4</v>
      </c>
      <c r="F26005" s="1">
        <v>1.2273662919620701E-3</v>
      </c>
    </row>
    <row r="26006" spans="1:6" x14ac:dyDescent="0.25">
      <c r="A26006" s="2" t="str">
        <f t="shared" si="914"/>
        <v>36420</v>
      </c>
      <c r="B26006" s="2" t="str">
        <f>"73135"</f>
        <v>73135</v>
      </c>
      <c r="C26006" s="1">
        <v>1.4175232412449499E-2</v>
      </c>
      <c r="D26006" s="1">
        <v>6.22843195017254E-3</v>
      </c>
      <c r="E26006" s="1">
        <v>1.6815310293571101E-2</v>
      </c>
      <c r="F26006" s="1">
        <v>1.3499703762023399E-2</v>
      </c>
    </row>
    <row r="26007" spans="1:6" x14ac:dyDescent="0.25">
      <c r="A26007" s="2" t="str">
        <f t="shared" si="914"/>
        <v>36420</v>
      </c>
      <c r="B26007" s="2" t="str">
        <f>"73116"</f>
        <v>73116</v>
      </c>
      <c r="C26007" s="1">
        <v>7.6657190314472802E-3</v>
      </c>
      <c r="D26007" s="1">
        <v>2.7480851780153099E-2</v>
      </c>
      <c r="E26007" s="1">
        <v>1.76514306949089E-2</v>
      </c>
      <c r="F26007" s="1">
        <v>9.8229066843746708E-3</v>
      </c>
    </row>
    <row r="26008" spans="1:6" x14ac:dyDescent="0.25">
      <c r="A26008" s="2" t="str">
        <f t="shared" si="914"/>
        <v>36420</v>
      </c>
      <c r="B26008" s="2" t="str">
        <f>"73127"</f>
        <v>73127</v>
      </c>
      <c r="C26008" s="1">
        <v>1.9304855912593798E-2</v>
      </c>
      <c r="D26008" s="1">
        <v>2.4408719804730201E-2</v>
      </c>
      <c r="E26008" s="1">
        <v>7.2185061315495999E-2</v>
      </c>
      <c r="F26008" s="1">
        <v>2.12959980701454E-2</v>
      </c>
    </row>
    <row r="26009" spans="1:6" x14ac:dyDescent="0.25">
      <c r="A26009" s="2" t="str">
        <f t="shared" si="914"/>
        <v>36420</v>
      </c>
      <c r="B26009" s="2" t="str">
        <f>"73074"</f>
        <v>73074</v>
      </c>
      <c r="C26009" s="1">
        <v>6.3477957279334702E-5</v>
      </c>
      <c r="D26009" s="1">
        <v>0</v>
      </c>
      <c r="E26009" s="1">
        <v>0</v>
      </c>
      <c r="F26009" s="1">
        <v>5.5668881492880299E-5</v>
      </c>
    </row>
    <row r="26010" spans="1:6" x14ac:dyDescent="0.25">
      <c r="A26010" s="2" t="str">
        <f t="shared" si="914"/>
        <v>36420</v>
      </c>
      <c r="B26010" s="2" t="str">
        <f>"73072"</f>
        <v>73072</v>
      </c>
      <c r="C26010" s="1">
        <v>3.1634693424137002E-2</v>
      </c>
      <c r="D26010" s="1">
        <v>1.8110147855118799E-2</v>
      </c>
      <c r="E26010" s="1">
        <v>3.4048680787811203E-2</v>
      </c>
      <c r="F26010" s="1">
        <v>3.0425694634977799E-2</v>
      </c>
    </row>
    <row r="26011" spans="1:6" x14ac:dyDescent="0.25">
      <c r="A26011" s="2" t="str">
        <f t="shared" si="914"/>
        <v>36420</v>
      </c>
      <c r="B26011" s="2" t="str">
        <f>"73067"</f>
        <v>73067</v>
      </c>
      <c r="C26011" s="1">
        <v>1.2499112064288001E-3</v>
      </c>
      <c r="D26011" s="1">
        <v>2.9458799764329601E-4</v>
      </c>
      <c r="E26011" s="1">
        <v>2.7870680044593001E-4</v>
      </c>
      <c r="F26011" s="1">
        <v>1.13193392368856E-3</v>
      </c>
    </row>
    <row r="26012" spans="1:6" x14ac:dyDescent="0.25">
      <c r="A26012" s="2" t="str">
        <f t="shared" si="914"/>
        <v>36420</v>
      </c>
      <c r="B26012" s="2" t="str">
        <f>"73008"</f>
        <v>73008</v>
      </c>
      <c r="C26012" s="1">
        <v>1.5993422474521901E-2</v>
      </c>
      <c r="D26012" s="1">
        <v>1.58937238728502E-2</v>
      </c>
      <c r="E26012" s="1">
        <v>2.8474544778892601E-2</v>
      </c>
      <c r="F26012" s="1">
        <v>1.6340142167719701E-2</v>
      </c>
    </row>
    <row r="26013" spans="1:6" x14ac:dyDescent="0.25">
      <c r="A26013" s="2" t="str">
        <f t="shared" si="914"/>
        <v>36420</v>
      </c>
      <c r="B26013" s="2" t="str">
        <f>"73003"</f>
        <v>73003</v>
      </c>
      <c r="C26013" s="1">
        <v>1.5908785198149401E-2</v>
      </c>
      <c r="D26013" s="1">
        <v>2.0817551833459499E-2</v>
      </c>
      <c r="E26013" s="1">
        <v>8.5934596804162003E-3</v>
      </c>
      <c r="F26013" s="1">
        <v>1.6163857376325599E-2</v>
      </c>
    </row>
    <row r="26014" spans="1:6" x14ac:dyDescent="0.25">
      <c r="A26014" s="2" t="str">
        <f t="shared" si="914"/>
        <v>36420</v>
      </c>
      <c r="B26014" s="2" t="str">
        <f>"73052"</f>
        <v>73052</v>
      </c>
      <c r="C26014" s="1">
        <v>1.18945600901991E-3</v>
      </c>
      <c r="D26014" s="1">
        <v>2.24447998204416E-4</v>
      </c>
      <c r="E26014" s="1">
        <v>0</v>
      </c>
      <c r="F26014" s="1">
        <v>1.0643359961614899E-3</v>
      </c>
    </row>
    <row r="26015" spans="1:6" x14ac:dyDescent="0.25">
      <c r="A26015" s="2" t="str">
        <f t="shared" si="914"/>
        <v>36420</v>
      </c>
      <c r="B26015" s="2" t="str">
        <f>"73045"</f>
        <v>73045</v>
      </c>
      <c r="C26015" s="1">
        <v>7.23799850977938E-3</v>
      </c>
      <c r="D26015" s="1">
        <v>2.7635159778918702E-3</v>
      </c>
      <c r="E26015" s="1">
        <v>5.0631735414344101E-3</v>
      </c>
      <c r="F26015" s="1">
        <v>6.75316550491012E-3</v>
      </c>
    </row>
    <row r="26016" spans="1:6" x14ac:dyDescent="0.25">
      <c r="A26016" s="2" t="str">
        <f t="shared" si="914"/>
        <v>36420</v>
      </c>
      <c r="B26016" s="2" t="str">
        <f>"73027"</f>
        <v>73027</v>
      </c>
      <c r="C26016" s="1">
        <v>5.4560815661523396E-4</v>
      </c>
      <c r="D26016" s="1">
        <v>1.12223999102208E-4</v>
      </c>
      <c r="E26016" s="1">
        <v>4.6451133407655101E-5</v>
      </c>
      <c r="F26016" s="1">
        <v>4.9041633696108797E-4</v>
      </c>
    </row>
    <row r="26017" spans="1:6" x14ac:dyDescent="0.25">
      <c r="A26017" s="2" t="str">
        <f t="shared" si="914"/>
        <v>36420</v>
      </c>
      <c r="B26017" s="2" t="str">
        <f>"73034"</f>
        <v>73034</v>
      </c>
      <c r="C26017" s="1">
        <v>3.06311371471494E-2</v>
      </c>
      <c r="D26017" s="1">
        <v>2.39457958084336E-2</v>
      </c>
      <c r="E26017" s="1">
        <v>1.7930137495354801E-2</v>
      </c>
      <c r="F26017" s="1">
        <v>2.9637052147161998E-2</v>
      </c>
    </row>
    <row r="26018" spans="1:6" x14ac:dyDescent="0.25">
      <c r="A26018" s="2" t="str">
        <f t="shared" si="914"/>
        <v>36420</v>
      </c>
      <c r="B26018" s="2" t="str">
        <f>"73044"</f>
        <v>73044</v>
      </c>
      <c r="C26018" s="1">
        <v>1.6581349269323298E-2</v>
      </c>
      <c r="D26018" s="1">
        <v>1.20500519035995E-2</v>
      </c>
      <c r="E26018" s="1">
        <v>4.5522110739501997E-3</v>
      </c>
      <c r="F26018" s="1">
        <v>1.5809962343977999E-2</v>
      </c>
    </row>
    <row r="26019" spans="1:6" x14ac:dyDescent="0.25">
      <c r="A26019" s="2" t="str">
        <f t="shared" si="914"/>
        <v>36420</v>
      </c>
      <c r="B26019" s="2" t="str">
        <f>"73014"</f>
        <v>73014</v>
      </c>
      <c r="C26019" s="1">
        <v>6.3931371259901405E-4</v>
      </c>
      <c r="D26019" s="1">
        <v>6.4528799483769598E-4</v>
      </c>
      <c r="E26019" s="1">
        <v>2.3225566703827499E-4</v>
      </c>
      <c r="F26019" s="1">
        <v>6.2826309113393503E-4</v>
      </c>
    </row>
    <row r="26020" spans="1:6" x14ac:dyDescent="0.25">
      <c r="A26020" s="2" t="str">
        <f t="shared" si="914"/>
        <v>36420</v>
      </c>
      <c r="B26020" s="2" t="str">
        <f>"74852"</f>
        <v>74852</v>
      </c>
      <c r="C26020" s="1">
        <v>6.9523477020223701E-5</v>
      </c>
      <c r="D26020" s="1">
        <v>0</v>
      </c>
      <c r="E26020" s="1">
        <v>0</v>
      </c>
      <c r="F26020" s="1">
        <v>6.09706797302975E-5</v>
      </c>
    </row>
    <row r="26021" spans="1:6" x14ac:dyDescent="0.25">
      <c r="A26021" s="2" t="str">
        <f t="shared" si="914"/>
        <v>36420</v>
      </c>
      <c r="B26021" s="2" t="str">
        <f>"73190"</f>
        <v>73190</v>
      </c>
      <c r="C26021" s="1">
        <v>0</v>
      </c>
      <c r="D26021" s="1">
        <v>0</v>
      </c>
      <c r="E26021" s="1">
        <v>9.2902266815310202E-5</v>
      </c>
      <c r="F26021" s="1">
        <v>2.6508991187085802E-6</v>
      </c>
    </row>
    <row r="26022" spans="1:6" x14ac:dyDescent="0.25">
      <c r="A26022" s="2" t="str">
        <f t="shared" si="914"/>
        <v>36420</v>
      </c>
      <c r="B26022" s="2" t="str">
        <f>"73162"</f>
        <v>73162</v>
      </c>
      <c r="C26022" s="1">
        <v>1.9232309675703201E-2</v>
      </c>
      <c r="D26022" s="1">
        <v>6.5230199478158403E-3</v>
      </c>
      <c r="E26022" s="1">
        <v>1.3285024154589299E-2</v>
      </c>
      <c r="F26022" s="1">
        <v>1.7861758261858401E-2</v>
      </c>
    </row>
    <row r="26023" spans="1:6" x14ac:dyDescent="0.25">
      <c r="A26023" s="2" t="str">
        <f t="shared" si="914"/>
        <v>36420</v>
      </c>
      <c r="B26023" s="2" t="str">
        <f>"73080"</f>
        <v>73080</v>
      </c>
      <c r="C26023" s="1">
        <v>7.3573975246619397E-3</v>
      </c>
      <c r="D26023" s="1">
        <v>9.6933479224532108E-3</v>
      </c>
      <c r="E26023" s="1">
        <v>3.06577480490523E-3</v>
      </c>
      <c r="F26023" s="1">
        <v>7.4556537713678997E-3</v>
      </c>
    </row>
    <row r="26024" spans="1:6" x14ac:dyDescent="0.25">
      <c r="A26024" s="2" t="str">
        <f t="shared" si="914"/>
        <v>36420</v>
      </c>
      <c r="B26024" s="2" t="str">
        <f>"73146"</f>
        <v>73146</v>
      </c>
      <c r="C26024" s="1">
        <v>1.18945600901991E-3</v>
      </c>
      <c r="D26024" s="1">
        <v>1.7254439861964399E-3</v>
      </c>
      <c r="E26024" s="1">
        <v>9.2902266815310202E-5</v>
      </c>
      <c r="F26024" s="1">
        <v>1.20880999813111E-3</v>
      </c>
    </row>
    <row r="26025" spans="1:6" x14ac:dyDescent="0.25">
      <c r="A26025" s="2" t="str">
        <f t="shared" si="914"/>
        <v>36420</v>
      </c>
      <c r="B26025" s="2" t="str">
        <f>"73140"</f>
        <v>73140</v>
      </c>
      <c r="C26025" s="1">
        <v>2.3501957992706E-3</v>
      </c>
      <c r="D26025" s="1">
        <v>5.10619195915046E-3</v>
      </c>
      <c r="E26025" s="1">
        <v>9.2902266815310202E-5</v>
      </c>
      <c r="F26025" s="1">
        <v>2.5461886035195902E-3</v>
      </c>
    </row>
    <row r="26026" spans="1:6" x14ac:dyDescent="0.25">
      <c r="A26026" s="2" t="str">
        <f t="shared" si="914"/>
        <v>36420</v>
      </c>
      <c r="B26026" s="2" t="str">
        <f>"73142"</f>
        <v>73142</v>
      </c>
      <c r="C26026" s="1">
        <v>1.24824868850006E-2</v>
      </c>
      <c r="D26026" s="1">
        <v>4.7975759616193901E-3</v>
      </c>
      <c r="E26026" s="1">
        <v>6.2709030100334398E-3</v>
      </c>
      <c r="F26026" s="1">
        <v>1.15791273505191E-2</v>
      </c>
    </row>
    <row r="26027" spans="1:6" x14ac:dyDescent="0.25">
      <c r="A26027" s="2" t="str">
        <f t="shared" si="914"/>
        <v>36420</v>
      </c>
      <c r="B26027" s="2" t="str">
        <f>"73134"</f>
        <v>73134</v>
      </c>
      <c r="C26027" s="1">
        <v>7.6717645511881699E-3</v>
      </c>
      <c r="D26027" s="1">
        <v>1.1531015907751799E-2</v>
      </c>
      <c r="E26027" s="1">
        <v>1.2030843552582601E-2</v>
      </c>
      <c r="F26027" s="1">
        <v>8.1607929369443798E-3</v>
      </c>
    </row>
    <row r="26028" spans="1:6" x14ac:dyDescent="0.25">
      <c r="A26028" s="2" t="str">
        <f t="shared" si="914"/>
        <v>36420</v>
      </c>
      <c r="B26028" s="2" t="str">
        <f>"73118"</f>
        <v>73118</v>
      </c>
      <c r="C26028" s="1">
        <v>1.1330815374361199E-2</v>
      </c>
      <c r="D26028" s="1">
        <v>2.5054007799567901E-2</v>
      </c>
      <c r="E26028" s="1">
        <v>2.2946859903381599E-2</v>
      </c>
      <c r="F26028" s="1">
        <v>1.2958920341806899E-2</v>
      </c>
    </row>
    <row r="26029" spans="1:6" x14ac:dyDescent="0.25">
      <c r="A26029" s="2" t="str">
        <f t="shared" si="914"/>
        <v>36420</v>
      </c>
      <c r="B26029" s="2" t="str">
        <f>"73125"</f>
        <v>73125</v>
      </c>
      <c r="C26029" s="1">
        <v>0</v>
      </c>
      <c r="D26029" s="1">
        <v>2.8055999775552E-5</v>
      </c>
      <c r="E26029" s="1">
        <v>4.6451133407655101E-5</v>
      </c>
      <c r="F26029" s="1">
        <v>3.9763486780628796E-6</v>
      </c>
    </row>
    <row r="26030" spans="1:6" x14ac:dyDescent="0.25">
      <c r="A26030" s="2" t="str">
        <f t="shared" si="914"/>
        <v>36420</v>
      </c>
      <c r="B26030" s="2" t="str">
        <f>"73132"</f>
        <v>73132</v>
      </c>
      <c r="C26030" s="1">
        <v>2.0130069357225201E-2</v>
      </c>
      <c r="D26030" s="1">
        <v>1.5767471873860201E-2</v>
      </c>
      <c r="E26030" s="1">
        <v>5.2443329617242601E-2</v>
      </c>
      <c r="F26030" s="1">
        <v>2.0639900538265001E-2</v>
      </c>
    </row>
    <row r="26031" spans="1:6" x14ac:dyDescent="0.25">
      <c r="A26031" s="2" t="str">
        <f t="shared" si="914"/>
        <v>36420</v>
      </c>
      <c r="B26031" s="2" t="str">
        <f>"73109"</f>
        <v>73109</v>
      </c>
      <c r="C26031" s="1">
        <v>1.26653638571625E-2</v>
      </c>
      <c r="D26031" s="1">
        <v>1.9358639845130799E-2</v>
      </c>
      <c r="E26031" s="1">
        <v>1.8673355629877299E-2</v>
      </c>
      <c r="F26031" s="1">
        <v>1.3469218422158299E-2</v>
      </c>
    </row>
    <row r="26032" spans="1:6" x14ac:dyDescent="0.25">
      <c r="A26032" s="2" t="str">
        <f t="shared" ref="A26032:A26063" si="915">"36420"</f>
        <v>36420</v>
      </c>
      <c r="B26032" s="2" t="str">
        <f>"73057"</f>
        <v>73057</v>
      </c>
      <c r="C26032" s="1">
        <v>3.1738978639667299E-4</v>
      </c>
      <c r="D26032" s="1">
        <v>2.8055999775552E-5</v>
      </c>
      <c r="E26032" s="1">
        <v>0</v>
      </c>
      <c r="F26032" s="1">
        <v>2.8099530658311E-4</v>
      </c>
    </row>
    <row r="26033" spans="1:6" x14ac:dyDescent="0.25">
      <c r="A26033" s="2" t="str">
        <f t="shared" si="915"/>
        <v>36420</v>
      </c>
      <c r="B26033" s="2" t="str">
        <f>"73055"</f>
        <v>73055</v>
      </c>
      <c r="C26033" s="1">
        <v>5.2293745758690002E-4</v>
      </c>
      <c r="D26033" s="1">
        <v>2.1041999831663999E-4</v>
      </c>
      <c r="E26033" s="1">
        <v>0</v>
      </c>
      <c r="F26033" s="1">
        <v>4.7848729092690002E-4</v>
      </c>
    </row>
    <row r="26034" spans="1:6" x14ac:dyDescent="0.25">
      <c r="A26034" s="2" t="str">
        <f t="shared" si="915"/>
        <v>36420</v>
      </c>
      <c r="B26034" s="2" t="str">
        <f>"73002"</f>
        <v>73002</v>
      </c>
      <c r="C26034" s="1">
        <v>4.2923190160311999E-4</v>
      </c>
      <c r="D26034" s="1">
        <v>2.8055999775552E-5</v>
      </c>
      <c r="E26034" s="1">
        <v>4.6451133407655101E-5</v>
      </c>
      <c r="F26034" s="1">
        <v>3.80404023534682E-4</v>
      </c>
    </row>
    <row r="26035" spans="1:6" x14ac:dyDescent="0.25">
      <c r="A26035" s="2" t="str">
        <f t="shared" si="915"/>
        <v>36420</v>
      </c>
      <c r="B26035" s="2" t="str">
        <f>"73050"</f>
        <v>73050</v>
      </c>
      <c r="C26035" s="1">
        <v>1.51137993522225E-6</v>
      </c>
      <c r="D26035" s="1">
        <v>2.8055999775552E-5</v>
      </c>
      <c r="E26035" s="1">
        <v>4.6451133407655101E-5</v>
      </c>
      <c r="F26035" s="1">
        <v>5.3017982374171697E-6</v>
      </c>
    </row>
    <row r="26036" spans="1:6" x14ac:dyDescent="0.25">
      <c r="A26036" s="2" t="str">
        <f t="shared" si="915"/>
        <v>36420</v>
      </c>
      <c r="B26036" s="2" t="str">
        <f>"73054"</f>
        <v>73054</v>
      </c>
      <c r="C26036" s="1">
        <v>3.0499647092785101E-3</v>
      </c>
      <c r="D26036" s="1">
        <v>5.6111999551104004E-4</v>
      </c>
      <c r="E26036" s="1">
        <v>4.6451133407655101E-5</v>
      </c>
      <c r="F26036" s="1">
        <v>2.7291006427104898E-3</v>
      </c>
    </row>
    <row r="26037" spans="1:6" x14ac:dyDescent="0.25">
      <c r="A26037" s="2" t="str">
        <f t="shared" si="915"/>
        <v>36420</v>
      </c>
      <c r="B26037" s="2" t="str">
        <f>"73016"</f>
        <v>73016</v>
      </c>
      <c r="C26037" s="1">
        <v>5.5316505629134495E-4</v>
      </c>
      <c r="D26037" s="1">
        <v>9.8195999214431998E-5</v>
      </c>
      <c r="E26037" s="1">
        <v>0</v>
      </c>
      <c r="F26037" s="1">
        <v>4.94392685639151E-4</v>
      </c>
    </row>
    <row r="26038" spans="1:6" x14ac:dyDescent="0.25">
      <c r="A26038" s="2" t="str">
        <f t="shared" si="915"/>
        <v>36420</v>
      </c>
      <c r="B26038" s="2" t="str">
        <f>"74857"</f>
        <v>74857</v>
      </c>
      <c r="C26038" s="1">
        <v>6.22386257324525E-3</v>
      </c>
      <c r="D26038" s="1">
        <v>7.2945599416435203E-4</v>
      </c>
      <c r="E26038" s="1">
        <v>2.3225566703827499E-4</v>
      </c>
      <c r="F26038" s="1">
        <v>5.5337519103041697E-3</v>
      </c>
    </row>
    <row r="26039" spans="1:6" x14ac:dyDescent="0.25">
      <c r="A26039" s="2" t="str">
        <f t="shared" si="915"/>
        <v>36420</v>
      </c>
      <c r="B26039" s="2" t="str">
        <f>"74851"</f>
        <v>74851</v>
      </c>
      <c r="C26039" s="1">
        <v>1.43581093846114E-3</v>
      </c>
      <c r="D26039" s="1">
        <v>1.54307998765536E-4</v>
      </c>
      <c r="E26039" s="1">
        <v>0</v>
      </c>
      <c r="F26039" s="1">
        <v>1.27375702653947E-3</v>
      </c>
    </row>
    <row r="26040" spans="1:6" x14ac:dyDescent="0.25">
      <c r="A26040" s="2" t="str">
        <f t="shared" si="915"/>
        <v>36420</v>
      </c>
      <c r="B26040" s="2" t="str">
        <f>"74832"</f>
        <v>74832</v>
      </c>
      <c r="C26040" s="1">
        <v>7.4511030806457201E-4</v>
      </c>
      <c r="D26040" s="1">
        <v>1.12223999102208E-4</v>
      </c>
      <c r="E26040" s="1">
        <v>4.6451133407655101E-5</v>
      </c>
      <c r="F26040" s="1">
        <v>6.6537567879585498E-4</v>
      </c>
    </row>
    <row r="26041" spans="1:6" x14ac:dyDescent="0.25">
      <c r="A26041" s="2" t="str">
        <f t="shared" si="915"/>
        <v>36420</v>
      </c>
      <c r="B26041" s="2" t="str">
        <f>"74079"</f>
        <v>74079</v>
      </c>
      <c r="C26041" s="1">
        <v>3.49431041023385E-3</v>
      </c>
      <c r="D26041" s="1">
        <v>3.4508879723928899E-3</v>
      </c>
      <c r="E26041" s="1">
        <v>1.3935340022296499E-3</v>
      </c>
      <c r="F26041" s="1">
        <v>3.4302634596089102E-3</v>
      </c>
    </row>
    <row r="26042" spans="1:6" x14ac:dyDescent="0.25">
      <c r="A26042" s="2" t="str">
        <f t="shared" si="915"/>
        <v>36420</v>
      </c>
      <c r="B26042" s="2" t="str">
        <f>"74028"</f>
        <v>74028</v>
      </c>
      <c r="C26042" s="1">
        <v>4.5341398056667604E-6</v>
      </c>
      <c r="D26042" s="1">
        <v>0</v>
      </c>
      <c r="E26042" s="1">
        <v>0</v>
      </c>
      <c r="F26042" s="1">
        <v>3.9763486780628796E-6</v>
      </c>
    </row>
    <row r="26043" spans="1:6" x14ac:dyDescent="0.25">
      <c r="A26043" s="2" t="str">
        <f t="shared" si="915"/>
        <v>36420</v>
      </c>
      <c r="B26043" s="2" t="str">
        <f>"73173"</f>
        <v>73173</v>
      </c>
      <c r="C26043" s="1">
        <v>2.2972975015378202E-3</v>
      </c>
      <c r="D26043" s="1">
        <v>1.1082119911343001E-3</v>
      </c>
      <c r="E26043" s="1">
        <v>5.1096246748420597E-4</v>
      </c>
      <c r="F26043" s="1">
        <v>2.1339737905604101E-3</v>
      </c>
    </row>
    <row r="26044" spans="1:6" x14ac:dyDescent="0.25">
      <c r="A26044" s="2" t="str">
        <f t="shared" si="915"/>
        <v>36420</v>
      </c>
      <c r="B26044" s="2" t="str">
        <f>"73103"</f>
        <v>73103</v>
      </c>
      <c r="C26044" s="1">
        <v>5.1734535182657799E-3</v>
      </c>
      <c r="D26044" s="1">
        <v>8.9779199281766406E-3</v>
      </c>
      <c r="E26044" s="1">
        <v>1.9137866963953899E-2</v>
      </c>
      <c r="F26044" s="1">
        <v>5.93138677811046E-3</v>
      </c>
    </row>
    <row r="26045" spans="1:6" x14ac:dyDescent="0.25">
      <c r="A26045" s="2" t="str">
        <f t="shared" si="915"/>
        <v>36420</v>
      </c>
      <c r="B26045" s="2" t="str">
        <f>"73089"</f>
        <v>73089</v>
      </c>
      <c r="C26045" s="1">
        <v>8.1448264709127298E-3</v>
      </c>
      <c r="D26045" s="1">
        <v>2.4548999803607999E-3</v>
      </c>
      <c r="E26045" s="1">
        <v>1.11482720178372E-3</v>
      </c>
      <c r="F26045" s="1">
        <v>7.4066121376717897E-3</v>
      </c>
    </row>
    <row r="26046" spans="1:6" x14ac:dyDescent="0.25">
      <c r="A26046" s="2" t="str">
        <f t="shared" si="915"/>
        <v>36420</v>
      </c>
      <c r="B26046" s="2" t="str">
        <f>"73082"</f>
        <v>73082</v>
      </c>
      <c r="C26046" s="1">
        <v>1.4131402394328E-3</v>
      </c>
      <c r="D26046" s="1">
        <v>3.5069999719440002E-4</v>
      </c>
      <c r="E26046" s="1">
        <v>1.39353400222965E-4</v>
      </c>
      <c r="F26046" s="1">
        <v>1.2764079256581799E-3</v>
      </c>
    </row>
    <row r="26047" spans="1:6" x14ac:dyDescent="0.25">
      <c r="A26047" s="2" t="str">
        <f t="shared" si="915"/>
        <v>36420</v>
      </c>
      <c r="B26047" s="2" t="str">
        <f>"73079"</f>
        <v>73079</v>
      </c>
      <c r="C26047" s="1">
        <v>4.2772052166789798E-4</v>
      </c>
      <c r="D26047" s="1">
        <v>1.96391998428864E-4</v>
      </c>
      <c r="E26047" s="1">
        <v>9.2902266815310202E-5</v>
      </c>
      <c r="F26047" s="1">
        <v>3.9630941824693298E-4</v>
      </c>
    </row>
    <row r="26048" spans="1:6" x14ac:dyDescent="0.25">
      <c r="A26048" s="2" t="str">
        <f t="shared" si="915"/>
        <v>36420</v>
      </c>
      <c r="B26048" s="2" t="str">
        <f>"73136"</f>
        <v>73136</v>
      </c>
      <c r="C26048" s="1">
        <v>1.1410918510928001E-3</v>
      </c>
      <c r="D26048" s="1">
        <v>2.02003198383974E-3</v>
      </c>
      <c r="E26048" s="1">
        <v>4.6451133407655101E-5</v>
      </c>
      <c r="F26048" s="1">
        <v>1.1929046034188601E-3</v>
      </c>
    </row>
    <row r="26049" spans="1:6" x14ac:dyDescent="0.25">
      <c r="A26049" s="2" t="str">
        <f t="shared" si="915"/>
        <v>36420</v>
      </c>
      <c r="B26049" s="2" t="str">
        <f>"73131"</f>
        <v>73131</v>
      </c>
      <c r="C26049" s="1">
        <v>1.8272583416837E-3</v>
      </c>
      <c r="D26049" s="1">
        <v>2.6512919787896601E-3</v>
      </c>
      <c r="E26049" s="1">
        <v>1.3470828688219899E-3</v>
      </c>
      <c r="F26049" s="1">
        <v>1.8914165211985699E-3</v>
      </c>
    </row>
    <row r="26050" spans="1:6" x14ac:dyDescent="0.25">
      <c r="A26050" s="2" t="str">
        <f t="shared" si="915"/>
        <v>36420</v>
      </c>
      <c r="B26050" s="2" t="str">
        <f>"73130"</f>
        <v>73130</v>
      </c>
      <c r="C26050" s="1">
        <v>1.43067224668138E-2</v>
      </c>
      <c r="D26050" s="1">
        <v>6.7053839463569196E-3</v>
      </c>
      <c r="E26050" s="1">
        <v>4.3664065403195796E-3</v>
      </c>
      <c r="F26050" s="1">
        <v>1.3304862676798399E-2</v>
      </c>
    </row>
    <row r="26051" spans="1:6" x14ac:dyDescent="0.25">
      <c r="A26051" s="2" t="str">
        <f t="shared" si="915"/>
        <v>36420</v>
      </c>
      <c r="B26051" s="2" t="str">
        <f>"73122"</f>
        <v>73122</v>
      </c>
      <c r="C26051" s="1">
        <v>9.10908686958453E-3</v>
      </c>
      <c r="D26051" s="1">
        <v>6.8035799455713596E-3</v>
      </c>
      <c r="E26051" s="1">
        <v>2.3132664437012201E-2</v>
      </c>
      <c r="F26051" s="1">
        <v>9.2914014110736E-3</v>
      </c>
    </row>
    <row r="26052" spans="1:6" x14ac:dyDescent="0.25">
      <c r="A26052" s="2" t="str">
        <f t="shared" si="915"/>
        <v>36420</v>
      </c>
      <c r="B26052" s="2" t="str">
        <f>"73070"</f>
        <v>73070</v>
      </c>
      <c r="C26052" s="1">
        <v>4.3618424930514299E-3</v>
      </c>
      <c r="D26052" s="1">
        <v>2.1939791824481601E-2</v>
      </c>
      <c r="E26052" s="1">
        <v>1.8580453363062E-4</v>
      </c>
      <c r="F26052" s="1">
        <v>5.9035523373640198E-3</v>
      </c>
    </row>
    <row r="26053" spans="1:6" x14ac:dyDescent="0.25">
      <c r="A26053" s="2" t="str">
        <f t="shared" si="915"/>
        <v>36420</v>
      </c>
      <c r="B26053" s="2" t="str">
        <f>"73025"</f>
        <v>73025</v>
      </c>
      <c r="C26053" s="1">
        <v>8.4924438560138506E-3</v>
      </c>
      <c r="D26053" s="1">
        <v>1.3887719888898201E-3</v>
      </c>
      <c r="E26053" s="1">
        <v>5.1096246748420597E-4</v>
      </c>
      <c r="F26053" s="1">
        <v>7.5935005255407502E-3</v>
      </c>
    </row>
    <row r="26054" spans="1:6" x14ac:dyDescent="0.25">
      <c r="A26054" s="2" t="str">
        <f t="shared" si="915"/>
        <v>36420</v>
      </c>
      <c r="B26054" s="2" t="str">
        <f>"74872"</f>
        <v>74872</v>
      </c>
      <c r="C26054" s="1">
        <v>8.3125896437224E-5</v>
      </c>
      <c r="D26054" s="1">
        <v>2.8055999775552E-5</v>
      </c>
      <c r="E26054" s="1">
        <v>0</v>
      </c>
      <c r="F26054" s="1">
        <v>7.5550624883194702E-5</v>
      </c>
    </row>
    <row r="26055" spans="1:6" x14ac:dyDescent="0.25">
      <c r="A26055" s="2" t="str">
        <f t="shared" si="915"/>
        <v>36420</v>
      </c>
      <c r="B26055" s="2" t="str">
        <f>"74875"</f>
        <v>74875</v>
      </c>
      <c r="C26055" s="1">
        <v>6.3326819285812496E-4</v>
      </c>
      <c r="D26055" s="1">
        <v>2.1041999831663999E-4</v>
      </c>
      <c r="E26055" s="1">
        <v>4.6451133407655101E-5</v>
      </c>
      <c r="F26055" s="1">
        <v>5.7657055831911695E-4</v>
      </c>
    </row>
    <row r="26056" spans="1:6" x14ac:dyDescent="0.25">
      <c r="A26056" s="2" t="str">
        <f t="shared" si="915"/>
        <v>36420</v>
      </c>
      <c r="B26056" s="2" t="str">
        <f>"74864"</f>
        <v>74864</v>
      </c>
      <c r="C26056" s="1">
        <v>3.7451994794807501E-3</v>
      </c>
      <c r="D26056" s="1">
        <v>1.79558398563532E-3</v>
      </c>
      <c r="E26056" s="1">
        <v>1.62578966926793E-3</v>
      </c>
      <c r="F26056" s="1">
        <v>3.50051228625469E-3</v>
      </c>
    </row>
    <row r="26057" spans="1:6" x14ac:dyDescent="0.25">
      <c r="A26057" s="2" t="str">
        <f t="shared" si="915"/>
        <v>36420</v>
      </c>
      <c r="B26057" s="2" t="str">
        <f>"74869"</f>
        <v>74869</v>
      </c>
      <c r="C26057" s="1">
        <v>5.25960217457345E-4</v>
      </c>
      <c r="D26057" s="1">
        <v>1.4027999887776E-5</v>
      </c>
      <c r="E26057" s="1">
        <v>4.6451133407655101E-5</v>
      </c>
      <c r="F26057" s="1">
        <v>4.6390734577400199E-4</v>
      </c>
    </row>
    <row r="26058" spans="1:6" x14ac:dyDescent="0.25">
      <c r="A26058" s="2" t="str">
        <f t="shared" si="915"/>
        <v>36420</v>
      </c>
      <c r="B26058" s="2" t="str">
        <f>"73105"</f>
        <v>73105</v>
      </c>
      <c r="C26058" s="1">
        <v>5.1915900774884404E-3</v>
      </c>
      <c r="D26058" s="1">
        <v>1.44768958841848E-2</v>
      </c>
      <c r="E26058" s="1">
        <v>9.7082868821999208E-3</v>
      </c>
      <c r="F26058" s="1">
        <v>6.1978021395406703E-3</v>
      </c>
    </row>
    <row r="26059" spans="1:6" x14ac:dyDescent="0.25">
      <c r="A26059" s="2" t="str">
        <f t="shared" si="915"/>
        <v>36420</v>
      </c>
      <c r="B26059" s="2" t="str">
        <f>"73137"</f>
        <v>73137</v>
      </c>
      <c r="C26059" s="1">
        <v>1.5929944517242499E-3</v>
      </c>
      <c r="D26059" s="1">
        <v>3.5210279718317699E-3</v>
      </c>
      <c r="E26059" s="1">
        <v>9.2902266815310202E-5</v>
      </c>
      <c r="F26059" s="1">
        <v>1.73236257407606E-3</v>
      </c>
    </row>
    <row r="26060" spans="1:6" x14ac:dyDescent="0.25">
      <c r="A26060" s="2" t="str">
        <f t="shared" si="915"/>
        <v>36420</v>
      </c>
      <c r="B26060" s="2" t="str">
        <f>"73157"</f>
        <v>73157</v>
      </c>
      <c r="C26060" s="1">
        <v>1.2740932853923599E-3</v>
      </c>
      <c r="D26060" s="1">
        <v>8.3466599332267192E-3</v>
      </c>
      <c r="E26060" s="1">
        <v>9.2902266815310202E-5</v>
      </c>
      <c r="F26060" s="1">
        <v>1.90864736547018E-3</v>
      </c>
    </row>
    <row r="26061" spans="1:6" x14ac:dyDescent="0.25">
      <c r="A26061" s="2" t="str">
        <f t="shared" si="915"/>
        <v>36420</v>
      </c>
      <c r="B26061" s="2" t="str">
        <f>"73155"</f>
        <v>73155</v>
      </c>
      <c r="C26061" s="1">
        <v>1.10935287245313E-3</v>
      </c>
      <c r="D26061" s="1">
        <v>2.2865639817074802E-3</v>
      </c>
      <c r="E26061" s="1">
        <v>9.2902266815310202E-5</v>
      </c>
      <c r="F26061" s="1">
        <v>1.1915791538595101E-3</v>
      </c>
    </row>
    <row r="26062" spans="1:6" x14ac:dyDescent="0.25">
      <c r="A26062" s="2" t="str">
        <f t="shared" si="915"/>
        <v>36420</v>
      </c>
      <c r="B26062" s="2" t="str">
        <f>"73113"</f>
        <v>73113</v>
      </c>
      <c r="C26062" s="1">
        <v>1.6927455274489201E-3</v>
      </c>
      <c r="D26062" s="1">
        <v>7.3787279409701697E-3</v>
      </c>
      <c r="E26062" s="1">
        <v>9.2902266815310202E-5</v>
      </c>
      <c r="F26062" s="1">
        <v>2.1843408738158698E-3</v>
      </c>
    </row>
    <row r="26063" spans="1:6" x14ac:dyDescent="0.25">
      <c r="A26063" s="2" t="str">
        <f t="shared" si="915"/>
        <v>36420</v>
      </c>
      <c r="B26063" s="2" t="str">
        <f>"73059"</f>
        <v>73059</v>
      </c>
      <c r="C26063" s="1">
        <v>1.3239688232546899E-3</v>
      </c>
      <c r="D26063" s="1">
        <v>2.1041999831663999E-4</v>
      </c>
      <c r="E26063" s="1">
        <v>2.7870680044593001E-4</v>
      </c>
      <c r="F26063" s="1">
        <v>1.1889282547408E-3</v>
      </c>
    </row>
    <row r="26064" spans="1:6" x14ac:dyDescent="0.25">
      <c r="A26064" s="2" t="str">
        <f t="shared" ref="A26064:A26095" si="916">"36420"</f>
        <v>36420</v>
      </c>
      <c r="B26064" s="2" t="str">
        <f>"73069"</f>
        <v>73069</v>
      </c>
      <c r="C26064" s="1">
        <v>2.0036363801241401E-2</v>
      </c>
      <c r="D26064" s="1">
        <v>3.6192239710462003E-2</v>
      </c>
      <c r="E26064" s="1">
        <v>4.6962095875139297E-2</v>
      </c>
      <c r="F26064" s="1">
        <v>2.2331174176001101E-2</v>
      </c>
    </row>
    <row r="26065" spans="1:6" x14ac:dyDescent="0.25">
      <c r="A26065" s="2" t="str">
        <f t="shared" si="916"/>
        <v>36420</v>
      </c>
      <c r="B26065" s="2" t="str">
        <f>"73049"</f>
        <v>73049</v>
      </c>
      <c r="C26065" s="1">
        <v>4.19256794030653E-3</v>
      </c>
      <c r="D26065" s="1">
        <v>7.8556799371545599E-4</v>
      </c>
      <c r="E26065" s="1">
        <v>6.5031586770717201E-4</v>
      </c>
      <c r="F26065" s="1">
        <v>3.7695785468036102E-3</v>
      </c>
    </row>
    <row r="26066" spans="1:6" x14ac:dyDescent="0.25">
      <c r="A26066" s="2" t="str">
        <f t="shared" si="916"/>
        <v>36420</v>
      </c>
      <c r="B26066" s="2" t="str">
        <f>"73019"</f>
        <v>73019</v>
      </c>
      <c r="C26066" s="1">
        <v>0</v>
      </c>
      <c r="D26066" s="1">
        <v>2.9458799764329599E-3</v>
      </c>
      <c r="E26066" s="1">
        <v>6.2709030100334398E-3</v>
      </c>
      <c r="F26066" s="1">
        <v>4.57280097977231E-4</v>
      </c>
    </row>
    <row r="26067" spans="1:6" x14ac:dyDescent="0.25">
      <c r="A26067" s="2" t="str">
        <f t="shared" si="916"/>
        <v>36420</v>
      </c>
      <c r="B26067" s="2" t="str">
        <f>"73031"</f>
        <v>73031</v>
      </c>
      <c r="C26067" s="1">
        <v>1.51137993522225E-6</v>
      </c>
      <c r="D26067" s="1">
        <v>0</v>
      </c>
      <c r="E26067" s="1">
        <v>4.6451133407655101E-5</v>
      </c>
      <c r="F26067" s="1">
        <v>2.6508991187085802E-6</v>
      </c>
    </row>
    <row r="26068" spans="1:6" x14ac:dyDescent="0.25">
      <c r="A26068" s="2" t="str">
        <f t="shared" si="916"/>
        <v>36420</v>
      </c>
      <c r="B26068" s="2" t="str">
        <f>"73040"</f>
        <v>73040</v>
      </c>
      <c r="C26068" s="1">
        <v>6.8012097085001495E-4</v>
      </c>
      <c r="D26068" s="1">
        <v>1.2625199898998399E-4</v>
      </c>
      <c r="E26068" s="1">
        <v>9.2902266815310202E-5</v>
      </c>
      <c r="F26068" s="1">
        <v>6.1103224686232904E-4</v>
      </c>
    </row>
    <row r="26069" spans="1:6" x14ac:dyDescent="0.25">
      <c r="A26069" s="2" t="str">
        <f t="shared" si="916"/>
        <v>36420</v>
      </c>
      <c r="B26069" s="2" t="str">
        <f>"73013"</f>
        <v>73013</v>
      </c>
      <c r="C26069" s="1">
        <v>3.5905853121075103E-2</v>
      </c>
      <c r="D26069" s="1">
        <v>3.6388631708890902E-2</v>
      </c>
      <c r="E26069" s="1">
        <v>2.1413972500929E-2</v>
      </c>
      <c r="F26069" s="1">
        <v>3.5537953585407303E-2</v>
      </c>
    </row>
    <row r="26070" spans="1:6" x14ac:dyDescent="0.25">
      <c r="A26070" s="2" t="str">
        <f t="shared" si="916"/>
        <v>36420</v>
      </c>
      <c r="B26070" s="2" t="str">
        <f>"73018"</f>
        <v>73018</v>
      </c>
      <c r="C26070" s="1">
        <v>1.41540730933564E-2</v>
      </c>
      <c r="D26070" s="1">
        <v>1.77875038576999E-2</v>
      </c>
      <c r="E26070" s="1">
        <v>9.0115198810850894E-3</v>
      </c>
      <c r="F26070" s="1">
        <v>1.43506423791289E-2</v>
      </c>
    </row>
    <row r="26071" spans="1:6" x14ac:dyDescent="0.25">
      <c r="A26071" s="2" t="str">
        <f t="shared" si="916"/>
        <v>36420</v>
      </c>
      <c r="B26071" s="2" t="str">
        <f>"74855"</f>
        <v>74855</v>
      </c>
      <c r="C26071" s="1">
        <v>3.8509960749462998E-3</v>
      </c>
      <c r="D26071" s="1">
        <v>1.4448839884409199E-3</v>
      </c>
      <c r="E26071" s="1">
        <v>5.1096246748420597E-4</v>
      </c>
      <c r="F26071" s="1">
        <v>3.5283467270011302E-3</v>
      </c>
    </row>
    <row r="26072" spans="1:6" x14ac:dyDescent="0.25">
      <c r="A26072" s="2" t="str">
        <f t="shared" si="916"/>
        <v>36420</v>
      </c>
      <c r="B26072" s="2" t="str">
        <f>"74059"</f>
        <v>74059</v>
      </c>
      <c r="C26072" s="1">
        <v>2.3879802976511599E-4</v>
      </c>
      <c r="D26072" s="1">
        <v>8.4167999326655995E-5</v>
      </c>
      <c r="E26072" s="1">
        <v>0</v>
      </c>
      <c r="F26072" s="1">
        <v>2.17373727734104E-4</v>
      </c>
    </row>
    <row r="26073" spans="1:6" x14ac:dyDescent="0.25">
      <c r="A26073" s="2" t="str">
        <f t="shared" si="916"/>
        <v>36420</v>
      </c>
      <c r="B26073" s="2" t="str">
        <f>"73195"</f>
        <v>73195</v>
      </c>
      <c r="C26073" s="1">
        <v>7.4813306793501601E-4</v>
      </c>
      <c r="D26073" s="1">
        <v>9.9598799203209605E-4</v>
      </c>
      <c r="E26073" s="1">
        <v>9.2902266815310202E-5</v>
      </c>
      <c r="F26073" s="1">
        <v>7.5285534971323805E-4</v>
      </c>
    </row>
    <row r="26074" spans="1:6" x14ac:dyDescent="0.25">
      <c r="A26074" s="2" t="str">
        <f t="shared" si="916"/>
        <v>36420</v>
      </c>
      <c r="B26074" s="2" t="str">
        <f>"73179"</f>
        <v>73179</v>
      </c>
      <c r="C26074" s="1">
        <v>4.21977277914053E-3</v>
      </c>
      <c r="D26074" s="1">
        <v>6.5791319473669403E-3</v>
      </c>
      <c r="E26074" s="1">
        <v>2.4619100706057199E-3</v>
      </c>
      <c r="F26074" s="1">
        <v>4.3925398397001297E-3</v>
      </c>
    </row>
    <row r="26075" spans="1:6" x14ac:dyDescent="0.25">
      <c r="A26075" s="2" t="str">
        <f t="shared" si="916"/>
        <v>36420</v>
      </c>
      <c r="B26075" s="2" t="str">
        <f>"73101"</f>
        <v>73101</v>
      </c>
      <c r="C26075" s="1">
        <v>2.0131580737160399E-3</v>
      </c>
      <c r="D26075" s="1">
        <v>9.5250119237998993E-3</v>
      </c>
      <c r="E26075" s="1">
        <v>9.2902266815310202E-5</v>
      </c>
      <c r="F26075" s="1">
        <v>2.6681299629801899E-3</v>
      </c>
    </row>
    <row r="26076" spans="1:6" x14ac:dyDescent="0.25">
      <c r="A26076" s="2" t="str">
        <f t="shared" si="916"/>
        <v>36420</v>
      </c>
      <c r="B26076" s="2" t="str">
        <f>"73099"</f>
        <v>73099</v>
      </c>
      <c r="C26076" s="1">
        <v>5.1010584193686301E-2</v>
      </c>
      <c r="D26076" s="1">
        <v>2.1238391830092799E-2</v>
      </c>
      <c r="E26076" s="1">
        <v>1.3377926421404601E-2</v>
      </c>
      <c r="F26076" s="1">
        <v>4.7123708183723197E-2</v>
      </c>
    </row>
    <row r="26077" spans="1:6" x14ac:dyDescent="0.25">
      <c r="A26077" s="2" t="str">
        <f t="shared" si="916"/>
        <v>36420</v>
      </c>
      <c r="B26077" s="2" t="str">
        <f>"73083"</f>
        <v>73083</v>
      </c>
      <c r="C26077" s="1">
        <v>4.63993640113232E-3</v>
      </c>
      <c r="D26077" s="1">
        <v>2.2767443817860399E-2</v>
      </c>
      <c r="E26077" s="1">
        <v>1.8580453363062E-4</v>
      </c>
      <c r="F26077" s="1">
        <v>6.2256365802871097E-3</v>
      </c>
    </row>
    <row r="26078" spans="1:6" x14ac:dyDescent="0.25">
      <c r="A26078" s="2" t="str">
        <f t="shared" si="916"/>
        <v>36420</v>
      </c>
      <c r="B26078" s="2" t="str">
        <f>"73150"</f>
        <v>73150</v>
      </c>
      <c r="C26078" s="1">
        <v>3.6711418626548501E-3</v>
      </c>
      <c r="D26078" s="1">
        <v>1.0941839912465201E-3</v>
      </c>
      <c r="E26078" s="1">
        <v>8.82571534745447E-4</v>
      </c>
      <c r="F26078" s="1">
        <v>3.3480855869289401E-3</v>
      </c>
    </row>
    <row r="26079" spans="1:6" x14ac:dyDescent="0.25">
      <c r="A26079" s="2" t="str">
        <f t="shared" si="916"/>
        <v>36420</v>
      </c>
      <c r="B26079" s="2" t="str">
        <f>"73145"</f>
        <v>73145</v>
      </c>
      <c r="C26079" s="1">
        <v>2.7461773422988302E-3</v>
      </c>
      <c r="D26079" s="1">
        <v>1.0408775916729699E-2</v>
      </c>
      <c r="E26079" s="1">
        <v>8.4541062801932292E-3</v>
      </c>
      <c r="F26079" s="1">
        <v>3.6330572421901098E-3</v>
      </c>
    </row>
    <row r="26080" spans="1:6" x14ac:dyDescent="0.25">
      <c r="A26080" s="2" t="str">
        <f t="shared" si="916"/>
        <v>36420</v>
      </c>
      <c r="B26080" s="2" t="str">
        <f>"73141"</f>
        <v>73141</v>
      </c>
      <c r="C26080" s="1">
        <v>2.10232948989415E-3</v>
      </c>
      <c r="D26080" s="1">
        <v>2.9879639760962799E-3</v>
      </c>
      <c r="E26080" s="1">
        <v>5.1096246748420597E-4</v>
      </c>
      <c r="F26080" s="1">
        <v>2.1406010383571801E-3</v>
      </c>
    </row>
    <row r="26081" spans="1:6" x14ac:dyDescent="0.25">
      <c r="A26081" s="2" t="str">
        <f t="shared" si="916"/>
        <v>36420</v>
      </c>
      <c r="B26081" s="2" t="str">
        <f>"73117"</f>
        <v>73117</v>
      </c>
      <c r="C26081" s="1">
        <v>5.3064549525653404E-3</v>
      </c>
      <c r="D26081" s="1">
        <v>4.8677159610582702E-3</v>
      </c>
      <c r="E26081" s="1">
        <v>3.15867707172054E-3</v>
      </c>
      <c r="F26081" s="1">
        <v>5.20371497002495E-3</v>
      </c>
    </row>
    <row r="26082" spans="1:6" x14ac:dyDescent="0.25">
      <c r="A26082" s="2" t="str">
        <f t="shared" si="916"/>
        <v>36420</v>
      </c>
      <c r="B26082" s="2" t="str">
        <f>"73115"</f>
        <v>73115</v>
      </c>
      <c r="C26082" s="1">
        <v>1.41767437923847E-2</v>
      </c>
      <c r="D26082" s="1">
        <v>1.08716999130264E-2</v>
      </c>
      <c r="E26082" s="1">
        <v>1.30992196209587E-2</v>
      </c>
      <c r="F26082" s="1">
        <v>1.3833717050980699E-2</v>
      </c>
    </row>
    <row r="26083" spans="1:6" x14ac:dyDescent="0.25">
      <c r="A26083" s="2" t="str">
        <f t="shared" si="916"/>
        <v>36420</v>
      </c>
      <c r="B26083" s="2" t="str">
        <f>"73114"</f>
        <v>73114</v>
      </c>
      <c r="C26083" s="1">
        <v>1.33681555270408E-2</v>
      </c>
      <c r="D26083" s="1">
        <v>1.4925791880593601E-2</v>
      </c>
      <c r="E26083" s="1">
        <v>1.3842437755481199E-2</v>
      </c>
      <c r="F26083" s="1">
        <v>1.35288636523292E-2</v>
      </c>
    </row>
    <row r="26084" spans="1:6" x14ac:dyDescent="0.25">
      <c r="A26084" s="2" t="str">
        <f t="shared" si="916"/>
        <v>36420</v>
      </c>
      <c r="B26084" s="2" t="str">
        <f>"73129"</f>
        <v>73129</v>
      </c>
      <c r="C26084" s="1">
        <v>1.2579215200854799E-2</v>
      </c>
      <c r="D26084" s="1">
        <v>1.93726678450186E-2</v>
      </c>
      <c r="E26084" s="1">
        <v>9.4295800817539906E-3</v>
      </c>
      <c r="F26084" s="1">
        <v>1.31312287845229E-2</v>
      </c>
    </row>
    <row r="26085" spans="1:6" x14ac:dyDescent="0.25">
      <c r="A26085" s="2" t="str">
        <f t="shared" si="916"/>
        <v>36420</v>
      </c>
      <c r="B26085" s="2" t="str">
        <f>"73128"</f>
        <v>73128</v>
      </c>
      <c r="C26085" s="1">
        <v>3.7512449992216298E-3</v>
      </c>
      <c r="D26085" s="1">
        <v>1.06753079145975E-2</v>
      </c>
      <c r="E26085" s="1">
        <v>3.5302861389817902E-3</v>
      </c>
      <c r="F26085" s="1">
        <v>4.3991670874969002E-3</v>
      </c>
    </row>
    <row r="26086" spans="1:6" x14ac:dyDescent="0.25">
      <c r="A26086" s="2" t="str">
        <f t="shared" si="916"/>
        <v>36420</v>
      </c>
      <c r="B26086" s="2" t="str">
        <f>"73071"</f>
        <v>73071</v>
      </c>
      <c r="C26086" s="1">
        <v>3.1838729715391999E-2</v>
      </c>
      <c r="D26086" s="1">
        <v>1.16853239065174E-2</v>
      </c>
      <c r="E26086" s="1">
        <v>5.89464882943143E-2</v>
      </c>
      <c r="F26086" s="1">
        <v>3.07080153911202E-2</v>
      </c>
    </row>
    <row r="26087" spans="1:6" x14ac:dyDescent="0.25">
      <c r="A26087" s="2" t="str">
        <f t="shared" si="916"/>
        <v>36420</v>
      </c>
      <c r="B26087" s="2" t="str">
        <f>"73106"</f>
        <v>73106</v>
      </c>
      <c r="C26087" s="1">
        <v>9.5488984307342106E-3</v>
      </c>
      <c r="D26087" s="1">
        <v>1.6637207866902301E-2</v>
      </c>
      <c r="E26087" s="1">
        <v>2.1878483835005499E-2</v>
      </c>
      <c r="F26087" s="1">
        <v>1.05704602358504E-2</v>
      </c>
    </row>
    <row r="26088" spans="1:6" x14ac:dyDescent="0.25">
      <c r="A26088" s="2" t="str">
        <f t="shared" si="916"/>
        <v>36420</v>
      </c>
      <c r="B26088" s="2" t="str">
        <f>"73112"</f>
        <v>73112</v>
      </c>
      <c r="C26088" s="1">
        <v>2.5480354327912E-2</v>
      </c>
      <c r="D26088" s="1">
        <v>3.74407317004741E-2</v>
      </c>
      <c r="E26088" s="1">
        <v>5.7506503158677003E-2</v>
      </c>
      <c r="F26088" s="1">
        <v>2.7524285549551199E-2</v>
      </c>
    </row>
    <row r="26089" spans="1:6" x14ac:dyDescent="0.25">
      <c r="A26089" s="2" t="str">
        <f t="shared" si="916"/>
        <v>36420</v>
      </c>
      <c r="B26089" s="2" t="str">
        <f>"73066"</f>
        <v>73066</v>
      </c>
      <c r="C26089" s="1">
        <v>0</v>
      </c>
      <c r="D26089" s="1">
        <v>0</v>
      </c>
      <c r="E26089" s="1">
        <v>4.6451133407655101E-5</v>
      </c>
      <c r="F26089" s="1">
        <v>1.3254495593542901E-6</v>
      </c>
    </row>
    <row r="26090" spans="1:6" x14ac:dyDescent="0.25">
      <c r="A26090" s="2" t="str">
        <f t="shared" si="916"/>
        <v>36420</v>
      </c>
      <c r="B26090" s="2" t="str">
        <f>"73068"</f>
        <v>73068</v>
      </c>
      <c r="C26090" s="1">
        <v>7.9710177783621702E-3</v>
      </c>
      <c r="D26090" s="1">
        <v>2.3005919815952602E-3</v>
      </c>
      <c r="E26090" s="1">
        <v>1.7651430694908901E-3</v>
      </c>
      <c r="F26090" s="1">
        <v>7.2581617870241099E-3</v>
      </c>
    </row>
    <row r="26091" spans="1:6" x14ac:dyDescent="0.25">
      <c r="A26091" s="2" t="str">
        <f t="shared" si="916"/>
        <v>36420</v>
      </c>
      <c r="B26091" s="2" t="str">
        <f>"73056"</f>
        <v>73056</v>
      </c>
      <c r="C26091" s="1">
        <v>1.3149005436433601E-4</v>
      </c>
      <c r="D26091" s="1">
        <v>1.4027999887776001E-4</v>
      </c>
      <c r="E26091" s="1">
        <v>4.6451133407655101E-5</v>
      </c>
      <c r="F26091" s="1">
        <v>1.2989405681672E-4</v>
      </c>
    </row>
    <row r="26092" spans="1:6" x14ac:dyDescent="0.25">
      <c r="A26092" s="2" t="str">
        <f t="shared" si="916"/>
        <v>36420</v>
      </c>
      <c r="B26092" s="2" t="str">
        <f>"73004"</f>
        <v>73004</v>
      </c>
      <c r="C26092" s="1">
        <v>5.3351711713345599E-4</v>
      </c>
      <c r="D26092" s="1">
        <v>1.2625199898998399E-4</v>
      </c>
      <c r="E26092" s="1">
        <v>4.6451133407655101E-5</v>
      </c>
      <c r="F26092" s="1">
        <v>4.8113819004560798E-4</v>
      </c>
    </row>
    <row r="26093" spans="1:6" x14ac:dyDescent="0.25">
      <c r="A26093" s="2" t="str">
        <f t="shared" si="916"/>
        <v>36420</v>
      </c>
      <c r="B26093" s="2" t="str">
        <f>"73020"</f>
        <v>73020</v>
      </c>
      <c r="C26093" s="1">
        <v>1.47933868059554E-2</v>
      </c>
      <c r="D26093" s="1">
        <v>4.13825996689392E-3</v>
      </c>
      <c r="E26093" s="1">
        <v>2.7406168710516501E-3</v>
      </c>
      <c r="F26093" s="1">
        <v>1.34427094309712E-2</v>
      </c>
    </row>
    <row r="26094" spans="1:6" x14ac:dyDescent="0.25">
      <c r="A26094" s="2" t="str">
        <f t="shared" si="916"/>
        <v>36420</v>
      </c>
      <c r="B26094" s="2" t="str">
        <f>"73036"</f>
        <v>73036</v>
      </c>
      <c r="C26094" s="1">
        <v>1.2548987602150299E-2</v>
      </c>
      <c r="D26094" s="1">
        <v>1.26953398984372E-2</v>
      </c>
      <c r="E26094" s="1">
        <v>8.2218506131549601E-3</v>
      </c>
      <c r="F26094" s="1">
        <v>1.243934411454E-2</v>
      </c>
    </row>
    <row r="26095" spans="1:6" x14ac:dyDescent="0.25">
      <c r="A26095" s="2" t="str">
        <f t="shared" si="916"/>
        <v>36420</v>
      </c>
      <c r="B26095" s="2" t="str">
        <f>"73017"</f>
        <v>73017</v>
      </c>
      <c r="C26095" s="1">
        <v>4.7608467959500998E-4</v>
      </c>
      <c r="D26095" s="1">
        <v>4.2083999663327997E-5</v>
      </c>
      <c r="E26095" s="1">
        <v>4.6451133407655101E-5</v>
      </c>
      <c r="F26095" s="1">
        <v>4.2281840943401901E-4</v>
      </c>
    </row>
    <row r="26096" spans="1:6" x14ac:dyDescent="0.25">
      <c r="A26096" s="2" t="str">
        <f t="shared" ref="A26096:A26127" si="917">"36420"</f>
        <v>36420</v>
      </c>
      <c r="B26096" s="2" t="str">
        <f>"73011"</f>
        <v>73011</v>
      </c>
      <c r="C26096" s="1">
        <v>1.9950215144933699E-4</v>
      </c>
      <c r="D26096" s="1">
        <v>1.12223999102208E-4</v>
      </c>
      <c r="E26096" s="1">
        <v>4.6451133407655101E-5</v>
      </c>
      <c r="F26096" s="1">
        <v>1.8688838786895499E-4</v>
      </c>
    </row>
    <row r="26097" spans="1:6" x14ac:dyDescent="0.25">
      <c r="A26097" s="2" t="str">
        <f t="shared" si="917"/>
        <v>36420</v>
      </c>
      <c r="B26097" s="2" t="str">
        <f>"73010"</f>
        <v>73010</v>
      </c>
      <c r="C26097" s="1">
        <v>1.2213461256531E-2</v>
      </c>
      <c r="D26097" s="1">
        <v>2.5250399797996799E-3</v>
      </c>
      <c r="E26097" s="1">
        <v>1.9044964697138599E-3</v>
      </c>
      <c r="F26097" s="1">
        <v>1.10038822417593E-2</v>
      </c>
    </row>
    <row r="26098" spans="1:6" x14ac:dyDescent="0.25">
      <c r="A26098" s="2" t="str">
        <f t="shared" si="917"/>
        <v>36420</v>
      </c>
      <c r="B26098" s="2" t="str">
        <f>"73169"</f>
        <v>73169</v>
      </c>
      <c r="C26098" s="1">
        <v>1.7305300258294799E-3</v>
      </c>
      <c r="D26098" s="1">
        <v>1.3887719888898201E-3</v>
      </c>
      <c r="E26098" s="1">
        <v>7.4321813452248205E-4</v>
      </c>
      <c r="F26098" s="1">
        <v>1.67006644478641E-3</v>
      </c>
    </row>
    <row r="26099" spans="1:6" x14ac:dyDescent="0.25">
      <c r="A26099" s="2" t="str">
        <f t="shared" si="917"/>
        <v>36420</v>
      </c>
      <c r="B26099" s="2" t="str">
        <f>"73165"</f>
        <v>73165</v>
      </c>
      <c r="C26099" s="1">
        <v>4.5129804865736501E-3</v>
      </c>
      <c r="D26099" s="1">
        <v>5.7514799539881603E-4</v>
      </c>
      <c r="E26099" s="1">
        <v>1.8580453363062E-4</v>
      </c>
      <c r="F26099" s="1">
        <v>4.0174376144028598E-3</v>
      </c>
    </row>
    <row r="26100" spans="1:6" x14ac:dyDescent="0.25">
      <c r="A26100" s="2" t="str">
        <f t="shared" si="917"/>
        <v>36420</v>
      </c>
      <c r="B26100" s="2" t="str">
        <f>"73104"</f>
        <v>73104</v>
      </c>
      <c r="C26100" s="1">
        <v>3.6439370238208501E-3</v>
      </c>
      <c r="D26100" s="1">
        <v>8.3326319333389392E-3</v>
      </c>
      <c r="E26100" s="1">
        <v>1.049795615013E-2</v>
      </c>
      <c r="F26100" s="1">
        <v>4.2825275262737203E-3</v>
      </c>
    </row>
    <row r="26101" spans="1:6" x14ac:dyDescent="0.25">
      <c r="A26101" s="2" t="str">
        <f t="shared" si="917"/>
        <v>36420</v>
      </c>
      <c r="B26101" s="2" t="str">
        <f>"73085"</f>
        <v>73085</v>
      </c>
      <c r="C26101" s="1">
        <v>1.5552099533437001E-3</v>
      </c>
      <c r="D26101" s="1">
        <v>7.0560839435513199E-3</v>
      </c>
      <c r="E26101" s="1">
        <v>9.2902266815310202E-5</v>
      </c>
      <c r="F26101" s="1">
        <v>2.0332396240494801E-3</v>
      </c>
    </row>
    <row r="26102" spans="1:6" x14ac:dyDescent="0.25">
      <c r="A26102" s="2" t="str">
        <f t="shared" si="917"/>
        <v>36420</v>
      </c>
      <c r="B26102" s="2" t="str">
        <f>"73084"</f>
        <v>73084</v>
      </c>
      <c r="C26102" s="1">
        <v>5.9049614069133496E-3</v>
      </c>
      <c r="D26102" s="1">
        <v>3.8296439693628402E-3</v>
      </c>
      <c r="E26102" s="1">
        <v>2.8335191378669601E-3</v>
      </c>
      <c r="F26102" s="1">
        <v>5.6212315812215596E-3</v>
      </c>
    </row>
    <row r="26103" spans="1:6" x14ac:dyDescent="0.25">
      <c r="A26103" s="2" t="str">
        <f t="shared" si="917"/>
        <v>36420</v>
      </c>
      <c r="B26103" s="2" t="str">
        <f>"73149"</f>
        <v>73149</v>
      </c>
      <c r="C26103" s="1">
        <v>3.4746624710759598E-3</v>
      </c>
      <c r="D26103" s="1">
        <v>9.5951519232387802E-3</v>
      </c>
      <c r="E26103" s="1">
        <v>2.8799702712746099E-3</v>
      </c>
      <c r="F26103" s="1">
        <v>4.0359939082338196E-3</v>
      </c>
    </row>
    <row r="26104" spans="1:6" x14ac:dyDescent="0.25">
      <c r="A26104" s="2" t="str">
        <f t="shared" si="917"/>
        <v>36420</v>
      </c>
      <c r="B26104" s="2" t="str">
        <f>"73123"</f>
        <v>73123</v>
      </c>
      <c r="C26104" s="1">
        <v>1.7516893449225899E-3</v>
      </c>
      <c r="D26104" s="1">
        <v>4.9799399601604798E-3</v>
      </c>
      <c r="E26104" s="1">
        <v>9.2902266815310202E-5</v>
      </c>
      <c r="F26104" s="1">
        <v>2.0093815319811E-3</v>
      </c>
    </row>
    <row r="26105" spans="1:6" x14ac:dyDescent="0.25">
      <c r="A26105" s="2" t="str">
        <f t="shared" si="917"/>
        <v>36420</v>
      </c>
      <c r="B26105" s="2" t="str">
        <f>"73108"</f>
        <v>73108</v>
      </c>
      <c r="C26105" s="1">
        <v>8.8430840009854107E-3</v>
      </c>
      <c r="D26105" s="1">
        <v>1.77734758578121E-2</v>
      </c>
      <c r="E26105" s="1">
        <v>8.3612040133779209E-3</v>
      </c>
      <c r="F26105" s="1">
        <v>9.67313088416763E-3</v>
      </c>
    </row>
    <row r="26106" spans="1:6" x14ac:dyDescent="0.25">
      <c r="A26106" s="2" t="str">
        <f t="shared" si="917"/>
        <v>36420</v>
      </c>
      <c r="B26106" s="2" t="str">
        <f>"73064"</f>
        <v>73064</v>
      </c>
      <c r="C26106" s="1">
        <v>1.54719963968702E-2</v>
      </c>
      <c r="D26106" s="1">
        <v>1.3032011895743901E-2</v>
      </c>
      <c r="E26106" s="1">
        <v>4.8773690078037901E-3</v>
      </c>
      <c r="F26106" s="1">
        <v>1.49391419834822E-2</v>
      </c>
    </row>
    <row r="26107" spans="1:6" x14ac:dyDescent="0.25">
      <c r="A26107" s="2" t="str">
        <f t="shared" si="917"/>
        <v>36420</v>
      </c>
      <c r="B26107" s="2" t="str">
        <f>"73051"</f>
        <v>73051</v>
      </c>
      <c r="C26107" s="1">
        <v>7.1941684916579304E-3</v>
      </c>
      <c r="D26107" s="1">
        <v>1.9779479841764099E-3</v>
      </c>
      <c r="E26107" s="1">
        <v>7.4321813452248205E-4</v>
      </c>
      <c r="F26107" s="1">
        <v>6.5172354833450599E-3</v>
      </c>
    </row>
    <row r="26108" spans="1:6" x14ac:dyDescent="0.25">
      <c r="A26108" s="2" t="str">
        <f t="shared" si="917"/>
        <v>36420</v>
      </c>
      <c r="B26108" s="2" t="str">
        <f>"73047"</f>
        <v>73047</v>
      </c>
      <c r="C26108" s="1">
        <v>8.2219068476090704E-4</v>
      </c>
      <c r="D26108" s="1">
        <v>1.96391998428864E-4</v>
      </c>
      <c r="E26108" s="1">
        <v>0</v>
      </c>
      <c r="F26108" s="1">
        <v>7.3960085411969596E-4</v>
      </c>
    </row>
    <row r="26109" spans="1:6" x14ac:dyDescent="0.25">
      <c r="A26109" s="2" t="str">
        <f t="shared" si="917"/>
        <v>36420</v>
      </c>
      <c r="B26109" s="2" t="str">
        <f>"74881"</f>
        <v>74881</v>
      </c>
      <c r="C26109" s="1">
        <v>3.2328416814404E-3</v>
      </c>
      <c r="D26109" s="1">
        <v>5.8917599528659202E-4</v>
      </c>
      <c r="E26109" s="1">
        <v>2.7870680044593001E-4</v>
      </c>
      <c r="F26109" s="1">
        <v>2.8987581863078398E-3</v>
      </c>
    </row>
    <row r="26110" spans="1:6" x14ac:dyDescent="0.25">
      <c r="A26110" s="2" t="str">
        <f t="shared" si="917"/>
        <v>36420</v>
      </c>
      <c r="B26110" s="2" t="str">
        <f>"74878"</f>
        <v>74878</v>
      </c>
      <c r="C26110" s="1">
        <v>1.69274552744892E-4</v>
      </c>
      <c r="D26110" s="1">
        <v>0</v>
      </c>
      <c r="E26110" s="1">
        <v>0</v>
      </c>
      <c r="F26110" s="1">
        <v>1.4845035064768E-4</v>
      </c>
    </row>
    <row r="26111" spans="1:6" x14ac:dyDescent="0.25">
      <c r="A26111" s="2" t="str">
        <f t="shared" si="917"/>
        <v>36420</v>
      </c>
      <c r="B26111" s="2" t="str">
        <f>"74023"</f>
        <v>74023</v>
      </c>
      <c r="C26111" s="1">
        <v>6.2268853331156899E-4</v>
      </c>
      <c r="D26111" s="1">
        <v>1.6833599865331199E-4</v>
      </c>
      <c r="E26111" s="1">
        <v>2.7870680044593001E-4</v>
      </c>
      <c r="F26111" s="1">
        <v>5.6994331052234596E-4</v>
      </c>
    </row>
    <row r="26112" spans="1:6" x14ac:dyDescent="0.25">
      <c r="A26112" s="2" t="str">
        <f t="shared" si="917"/>
        <v>36420</v>
      </c>
      <c r="B26112" s="2" t="str">
        <f>"73762"</f>
        <v>73762</v>
      </c>
      <c r="C26112" s="1">
        <v>8.7660036242890801E-4</v>
      </c>
      <c r="D26112" s="1">
        <v>6.17231995062144E-4</v>
      </c>
      <c r="E26112" s="1">
        <v>1.39353400222965E-4</v>
      </c>
      <c r="F26112" s="1">
        <v>8.3105687371514195E-4</v>
      </c>
    </row>
    <row r="26113" spans="1:6" x14ac:dyDescent="0.25">
      <c r="A26113" s="2" t="str">
        <f t="shared" si="917"/>
        <v>36420</v>
      </c>
      <c r="B26113" s="2" t="str">
        <f>"73194"</f>
        <v>73194</v>
      </c>
      <c r="C26113" s="1">
        <v>0</v>
      </c>
      <c r="D26113" s="1">
        <v>0</v>
      </c>
      <c r="E26113" s="1">
        <v>9.2902266815310202E-5</v>
      </c>
      <c r="F26113" s="1">
        <v>2.6508991187085802E-6</v>
      </c>
    </row>
    <row r="26114" spans="1:6" x14ac:dyDescent="0.25">
      <c r="A26114" s="2" t="str">
        <f t="shared" si="917"/>
        <v>36420</v>
      </c>
      <c r="B26114" s="2" t="str">
        <f>"73189"</f>
        <v>73189</v>
      </c>
      <c r="C26114" s="1">
        <v>2.5617889902017198E-3</v>
      </c>
      <c r="D26114" s="1">
        <v>8.26249193390006E-3</v>
      </c>
      <c r="E26114" s="1">
        <v>9.2902266815310202E-5</v>
      </c>
      <c r="F26114" s="1">
        <v>3.0299776926839099E-3</v>
      </c>
    </row>
    <row r="26115" spans="1:6" x14ac:dyDescent="0.25">
      <c r="A26115" s="2" t="str">
        <f t="shared" si="917"/>
        <v>36420</v>
      </c>
      <c r="B26115" s="2" t="str">
        <f>"73160"</f>
        <v>73160</v>
      </c>
      <c r="C26115" s="1">
        <v>3.6779430723633502E-2</v>
      </c>
      <c r="D26115" s="1">
        <v>2.7172235782622099E-2</v>
      </c>
      <c r="E26115" s="1">
        <v>2.7499070977331799E-2</v>
      </c>
      <c r="F26115" s="1">
        <v>3.5606876962493698E-2</v>
      </c>
    </row>
    <row r="26116" spans="1:6" x14ac:dyDescent="0.25">
      <c r="A26116" s="2" t="str">
        <f t="shared" si="917"/>
        <v>36420</v>
      </c>
      <c r="B26116" s="2" t="str">
        <f>"73170"</f>
        <v>73170</v>
      </c>
      <c r="C26116" s="1">
        <v>2.5119134523393798E-2</v>
      </c>
      <c r="D26116" s="1">
        <v>8.0240159358078694E-3</v>
      </c>
      <c r="E26116" s="1">
        <v>1.37959866220735E-2</v>
      </c>
      <c r="F26116" s="1">
        <v>2.3180787343547199E-2</v>
      </c>
    </row>
    <row r="26117" spans="1:6" x14ac:dyDescent="0.25">
      <c r="A26117" s="2" t="str">
        <f t="shared" si="917"/>
        <v>36420</v>
      </c>
      <c r="B26117" s="2" t="str">
        <f>"73102"</f>
        <v>73102</v>
      </c>
      <c r="C26117" s="1">
        <v>2.01618083358648E-3</v>
      </c>
      <c r="D26117" s="1">
        <v>3.4999859720001102E-2</v>
      </c>
      <c r="E26117" s="1">
        <v>1.049795615013E-2</v>
      </c>
      <c r="F26117" s="1">
        <v>5.3746979631816598E-3</v>
      </c>
    </row>
    <row r="26118" spans="1:6" x14ac:dyDescent="0.25">
      <c r="A26118" s="2" t="str">
        <f t="shared" si="917"/>
        <v>36420</v>
      </c>
      <c r="B26118" s="2" t="str">
        <f>"73095"</f>
        <v>73095</v>
      </c>
      <c r="C26118" s="1">
        <v>8.84157262105019E-4</v>
      </c>
      <c r="D26118" s="1">
        <v>3.5069999719440002E-4</v>
      </c>
      <c r="E26118" s="1">
        <v>4.6451133407655101E-5</v>
      </c>
      <c r="F26118" s="1">
        <v>8.0984968076547304E-4</v>
      </c>
    </row>
    <row r="26119" spans="1:6" x14ac:dyDescent="0.25">
      <c r="A26119" s="2" t="str">
        <f t="shared" si="917"/>
        <v>36420</v>
      </c>
      <c r="B26119" s="2" t="str">
        <f>"73092"</f>
        <v>73092</v>
      </c>
      <c r="C26119" s="1">
        <v>2.5240044918211599E-4</v>
      </c>
      <c r="D26119" s="1">
        <v>5.6111999551104001E-5</v>
      </c>
      <c r="E26119" s="1">
        <v>4.6451133407655101E-5</v>
      </c>
      <c r="F26119" s="1">
        <v>2.2797732420893799E-4</v>
      </c>
    </row>
    <row r="26120" spans="1:6" x14ac:dyDescent="0.25">
      <c r="A26120" s="2" t="str">
        <f t="shared" si="917"/>
        <v>36420</v>
      </c>
      <c r="B26120" s="2" t="str">
        <f>"73090"</f>
        <v>73090</v>
      </c>
      <c r="C26120" s="1">
        <v>6.3175681292290198E-4</v>
      </c>
      <c r="D26120" s="1">
        <v>3.5069999719440002E-4</v>
      </c>
      <c r="E26120" s="1">
        <v>2.3225566703827499E-4</v>
      </c>
      <c r="F26120" s="1">
        <v>5.9380140259072305E-4</v>
      </c>
    </row>
    <row r="26121" spans="1:6" x14ac:dyDescent="0.25">
      <c r="A26121" s="2" t="str">
        <f t="shared" si="917"/>
        <v>36420</v>
      </c>
      <c r="B26121" s="2" t="str">
        <f>"73154"</f>
        <v>73154</v>
      </c>
      <c r="C26121" s="1">
        <v>6.4989337214557002E-4</v>
      </c>
      <c r="D26121" s="1">
        <v>8.8236119294111005E-3</v>
      </c>
      <c r="E26121" s="1">
        <v>9.2902266815310202E-5</v>
      </c>
      <c r="F26121" s="1">
        <v>1.4063019824749E-3</v>
      </c>
    </row>
    <row r="26122" spans="1:6" x14ac:dyDescent="0.25">
      <c r="A26122" s="2" t="str">
        <f t="shared" si="917"/>
        <v>36420</v>
      </c>
      <c r="B26122" s="2" t="str">
        <f>"73156"</f>
        <v>73156</v>
      </c>
      <c r="C26122" s="1">
        <v>1.0927276931656899E-3</v>
      </c>
      <c r="D26122" s="1">
        <v>7.8697079370423292E-3</v>
      </c>
      <c r="E26122" s="1">
        <v>9.2902266815310202E-5</v>
      </c>
      <c r="F26122" s="1">
        <v>1.70452813332962E-3</v>
      </c>
    </row>
    <row r="26123" spans="1:6" x14ac:dyDescent="0.25">
      <c r="A26123" s="2" t="str">
        <f t="shared" si="917"/>
        <v>36420</v>
      </c>
      <c r="B26123" s="2" t="str">
        <f>"73147"</f>
        <v>73147</v>
      </c>
      <c r="C26123" s="1">
        <v>9.0833934106857505E-4</v>
      </c>
      <c r="D26123" s="1">
        <v>1.6973879864208899E-3</v>
      </c>
      <c r="E26123" s="1">
        <v>9.2902266815310202E-5</v>
      </c>
      <c r="F26123" s="1">
        <v>9.59625480972508E-4</v>
      </c>
    </row>
    <row r="26124" spans="1:6" x14ac:dyDescent="0.25">
      <c r="A26124" s="2" t="str">
        <f t="shared" si="917"/>
        <v>36420</v>
      </c>
      <c r="B26124" s="2" t="str">
        <f>"73151"</f>
        <v>73151</v>
      </c>
      <c r="C26124" s="1">
        <v>1.00809041679324E-3</v>
      </c>
      <c r="D26124" s="1">
        <v>1.4027999887776E-5</v>
      </c>
      <c r="E26124" s="1">
        <v>4.6451133407655101E-5</v>
      </c>
      <c r="F26124" s="1">
        <v>8.8672575520802198E-4</v>
      </c>
    </row>
    <row r="26125" spans="1:6" x14ac:dyDescent="0.25">
      <c r="A26125" s="2" t="str">
        <f t="shared" si="917"/>
        <v>36420</v>
      </c>
      <c r="B26125" s="2" t="str">
        <f>"73143"</f>
        <v>73143</v>
      </c>
      <c r="C26125" s="1">
        <v>2.0373401526796002E-3</v>
      </c>
      <c r="D26125" s="1">
        <v>5.5130039558959603E-3</v>
      </c>
      <c r="E26125" s="1">
        <v>9.2902266815310202E-5</v>
      </c>
      <c r="F26125" s="1">
        <v>2.3102585819545301E-3</v>
      </c>
    </row>
    <row r="26126" spans="1:6" x14ac:dyDescent="0.25">
      <c r="A26126" s="2" t="str">
        <f t="shared" si="917"/>
        <v>36420</v>
      </c>
      <c r="B26126" s="2" t="str">
        <f>"73139"</f>
        <v>73139</v>
      </c>
      <c r="C26126" s="1">
        <v>1.3147494056498401E-2</v>
      </c>
      <c r="D26126" s="1">
        <v>1.4280503885755901E-2</v>
      </c>
      <c r="E26126" s="1">
        <v>4.0784095131921203E-2</v>
      </c>
      <c r="F26126" s="1">
        <v>1.4043138081358699E-2</v>
      </c>
    </row>
    <row r="26127" spans="1:6" x14ac:dyDescent="0.25">
      <c r="A26127" s="2" t="str">
        <f t="shared" si="917"/>
        <v>36420</v>
      </c>
      <c r="B26127" s="2" t="str">
        <f>"73159"</f>
        <v>73159</v>
      </c>
      <c r="C26127" s="1">
        <v>2.0412697405111702E-2</v>
      </c>
      <c r="D26127" s="1">
        <v>1.35370198917038E-2</v>
      </c>
      <c r="E26127" s="1">
        <v>2.3782980304719401E-2</v>
      </c>
      <c r="F26127" s="1">
        <v>1.9859210747805299E-2</v>
      </c>
    </row>
    <row r="26128" spans="1:6" x14ac:dyDescent="0.25">
      <c r="A26128" s="2" t="str">
        <f t="shared" ref="A26128:A26150" si="918">"36420"</f>
        <v>36420</v>
      </c>
      <c r="B26128" s="2" t="str">
        <f>"73119"</f>
        <v>73119</v>
      </c>
      <c r="C26128" s="1">
        <v>1.80519219462946E-2</v>
      </c>
      <c r="D26128" s="1">
        <v>1.3873691889010401E-2</v>
      </c>
      <c r="E26128" s="1">
        <v>1.6815310293571101E-2</v>
      </c>
      <c r="F26128" s="1">
        <v>1.76218518916153E-2</v>
      </c>
    </row>
    <row r="26129" spans="1:6" x14ac:dyDescent="0.25">
      <c r="A26129" s="2" t="str">
        <f t="shared" si="918"/>
        <v>36420</v>
      </c>
      <c r="B26129" s="2" t="str">
        <f>"73120"</f>
        <v>73120</v>
      </c>
      <c r="C26129" s="1">
        <v>3.0637182666890299E-2</v>
      </c>
      <c r="D26129" s="1">
        <v>2.0284487837724002E-2</v>
      </c>
      <c r="E26129" s="1">
        <v>4.6079524340393897E-2</v>
      </c>
      <c r="F26129" s="1">
        <v>3.0099634043376601E-2</v>
      </c>
    </row>
    <row r="26130" spans="1:6" x14ac:dyDescent="0.25">
      <c r="A26130" s="2" t="str">
        <f t="shared" si="918"/>
        <v>36420</v>
      </c>
      <c r="B26130" s="2" t="str">
        <f>"73111"</f>
        <v>73111</v>
      </c>
      <c r="C26130" s="1">
        <v>9.3116117809043109E-3</v>
      </c>
      <c r="D26130" s="1">
        <v>7.8977639368178806E-3</v>
      </c>
      <c r="E26130" s="1">
        <v>7.8502415458937096E-3</v>
      </c>
      <c r="F26130" s="1">
        <v>9.1363238126291393E-3</v>
      </c>
    </row>
    <row r="26131" spans="1:6" x14ac:dyDescent="0.25">
      <c r="A26131" s="2" t="str">
        <f t="shared" si="918"/>
        <v>36420</v>
      </c>
      <c r="B26131" s="2" t="str">
        <f>"73110"</f>
        <v>73110</v>
      </c>
      <c r="C26131" s="1">
        <v>2.4118601006276701E-2</v>
      </c>
      <c r="D26131" s="1">
        <v>1.8320567853435402E-2</v>
      </c>
      <c r="E26131" s="1">
        <v>4.3153102935711597E-2</v>
      </c>
      <c r="F26131" s="1">
        <v>2.41139038333326E-2</v>
      </c>
    </row>
    <row r="26132" spans="1:6" x14ac:dyDescent="0.25">
      <c r="A26132" s="2" t="str">
        <f t="shared" si="918"/>
        <v>36420</v>
      </c>
      <c r="B26132" s="2" t="str">
        <f>"73107"</f>
        <v>73107</v>
      </c>
      <c r="C26132" s="1">
        <v>1.8945147488010902E-2</v>
      </c>
      <c r="D26132" s="1">
        <v>2.1280475829756101E-2</v>
      </c>
      <c r="E26132" s="1">
        <v>1.9741731698253401E-2</v>
      </c>
      <c r="F26132" s="1">
        <v>1.91885332707721E-2</v>
      </c>
    </row>
    <row r="26133" spans="1:6" x14ac:dyDescent="0.25">
      <c r="A26133" s="2" t="str">
        <f t="shared" si="918"/>
        <v>36420</v>
      </c>
      <c r="B26133" s="2" t="str">
        <f>"73022"</f>
        <v>73022</v>
      </c>
      <c r="C26133" s="1">
        <v>0</v>
      </c>
      <c r="D26133" s="1">
        <v>1.4027999887776E-5</v>
      </c>
      <c r="E26133" s="1">
        <v>4.6451133407655101E-5</v>
      </c>
      <c r="F26133" s="1">
        <v>2.6508991187085802E-6</v>
      </c>
    </row>
    <row r="26134" spans="1:6" x14ac:dyDescent="0.25">
      <c r="A26134" s="2" t="str">
        <f t="shared" si="918"/>
        <v>36420</v>
      </c>
      <c r="B26134" s="2" t="str">
        <f>"73023"</f>
        <v>73023</v>
      </c>
      <c r="C26134" s="1">
        <v>2.0056011740399301E-3</v>
      </c>
      <c r="D26134" s="1">
        <v>5.3025839575793201E-3</v>
      </c>
      <c r="E26134" s="1">
        <v>4.6451133407655101E-5</v>
      </c>
      <c r="F26134" s="1">
        <v>2.2612169482584201E-3</v>
      </c>
    </row>
    <row r="26135" spans="1:6" x14ac:dyDescent="0.25">
      <c r="A26135" s="2" t="str">
        <f t="shared" si="918"/>
        <v>36420</v>
      </c>
      <c r="B26135" s="2" t="str">
        <f>"73012"</f>
        <v>73012</v>
      </c>
      <c r="C26135" s="1">
        <v>2.2416787199216501E-2</v>
      </c>
      <c r="D26135" s="1">
        <v>4.7695199618438397E-3</v>
      </c>
      <c r="E26135" s="1">
        <v>2.2761055369750999E-3</v>
      </c>
      <c r="F26135" s="1">
        <v>2.0174667742931699E-2</v>
      </c>
    </row>
    <row r="26136" spans="1:6" x14ac:dyDescent="0.25">
      <c r="A26136" s="2" t="str">
        <f t="shared" si="918"/>
        <v>36420</v>
      </c>
      <c r="B26136" s="2" t="str">
        <f>"74831"</f>
        <v>74831</v>
      </c>
      <c r="C26136" s="1">
        <v>5.9246093460712395E-4</v>
      </c>
      <c r="D26136" s="1">
        <v>1.96391998428864E-4</v>
      </c>
      <c r="E26136" s="1">
        <v>4.6451133407655101E-5</v>
      </c>
      <c r="F26136" s="1">
        <v>5.39457970657197E-4</v>
      </c>
    </row>
    <row r="26137" spans="1:6" x14ac:dyDescent="0.25">
      <c r="A26137" s="2" t="str">
        <f t="shared" si="918"/>
        <v>36420</v>
      </c>
      <c r="B26137" s="2" t="str">
        <f>"74824"</f>
        <v>74824</v>
      </c>
      <c r="C26137" s="1">
        <v>9.5216935919002104E-4</v>
      </c>
      <c r="D26137" s="1">
        <v>4.2083999663327997E-5</v>
      </c>
      <c r="E26137" s="1">
        <v>4.6451133407655101E-5</v>
      </c>
      <c r="F26137" s="1">
        <v>8.4033502063062199E-4</v>
      </c>
    </row>
    <row r="26138" spans="1:6" x14ac:dyDescent="0.25">
      <c r="A26138" s="2" t="str">
        <f t="shared" si="918"/>
        <v>36420</v>
      </c>
      <c r="B26138" s="2" t="str">
        <f>"73184"</f>
        <v>73184</v>
      </c>
      <c r="C26138" s="1">
        <v>0</v>
      </c>
      <c r="D26138" s="1">
        <v>0</v>
      </c>
      <c r="E26138" s="1">
        <v>4.6451133407655101E-5</v>
      </c>
      <c r="F26138" s="1">
        <v>1.3254495593542901E-6</v>
      </c>
    </row>
    <row r="26139" spans="1:6" x14ac:dyDescent="0.25">
      <c r="A26139" s="2" t="str">
        <f t="shared" si="918"/>
        <v>36420</v>
      </c>
      <c r="B26139" s="2" t="str">
        <f>"73093"</f>
        <v>73093</v>
      </c>
      <c r="C26139" s="1">
        <v>2.3894916775863799E-3</v>
      </c>
      <c r="D26139" s="1">
        <v>1.31863198945094E-3</v>
      </c>
      <c r="E26139" s="1">
        <v>1.39353400222965E-4</v>
      </c>
      <c r="F26139" s="1">
        <v>2.2241043605964999E-3</v>
      </c>
    </row>
    <row r="26140" spans="1:6" x14ac:dyDescent="0.25">
      <c r="A26140" s="2" t="str">
        <f t="shared" si="918"/>
        <v>36420</v>
      </c>
      <c r="B26140" s="2" t="str">
        <f>"73152"</f>
        <v>73152</v>
      </c>
      <c r="C26140" s="1">
        <v>1.8741111196755899E-4</v>
      </c>
      <c r="D26140" s="1">
        <v>7.2945599416435203E-4</v>
      </c>
      <c r="E26140" s="1">
        <v>4.6451133407655101E-5</v>
      </c>
      <c r="F26140" s="1">
        <v>2.3460457200570999E-4</v>
      </c>
    </row>
    <row r="26141" spans="1:6" x14ac:dyDescent="0.25">
      <c r="A26141" s="2" t="str">
        <f t="shared" si="918"/>
        <v>36420</v>
      </c>
      <c r="B26141" s="2" t="str">
        <f>"73153"</f>
        <v>73153</v>
      </c>
      <c r="C26141" s="1">
        <v>1.64438136952181E-3</v>
      </c>
      <c r="D26141" s="1">
        <v>6.3687119490503001E-3</v>
      </c>
      <c r="E26141" s="1">
        <v>9.2902266815310202E-5</v>
      </c>
      <c r="F26141" s="1">
        <v>2.0464941196430201E-3</v>
      </c>
    </row>
    <row r="26142" spans="1:6" x14ac:dyDescent="0.25">
      <c r="A26142" s="2" t="str">
        <f t="shared" si="918"/>
        <v>36420</v>
      </c>
      <c r="B26142" s="2" t="str">
        <f>"73148"</f>
        <v>73148</v>
      </c>
      <c r="C26142" s="1">
        <v>1.0836594135543501E-3</v>
      </c>
      <c r="D26142" s="1">
        <v>1.9779479841764099E-3</v>
      </c>
      <c r="E26142" s="1">
        <v>9.2902266815310202E-5</v>
      </c>
      <c r="F26142" s="1">
        <v>1.13988662104469E-3</v>
      </c>
    </row>
    <row r="26143" spans="1:6" x14ac:dyDescent="0.25">
      <c r="A26143" s="2" t="str">
        <f t="shared" si="918"/>
        <v>36420</v>
      </c>
      <c r="B26143" s="2" t="str">
        <f>"73121"</f>
        <v>73121</v>
      </c>
      <c r="C26143" s="1">
        <v>2.3517071792058301E-3</v>
      </c>
      <c r="D26143" s="1">
        <v>2.1883679824930501E-3</v>
      </c>
      <c r="E26143" s="1">
        <v>3.25157933853586E-4</v>
      </c>
      <c r="F26143" s="1">
        <v>2.2784477925300302E-3</v>
      </c>
    </row>
    <row r="26144" spans="1:6" x14ac:dyDescent="0.25">
      <c r="A26144" s="2" t="str">
        <f t="shared" si="918"/>
        <v>36420</v>
      </c>
      <c r="B26144" s="2" t="str">
        <f>"73073"</f>
        <v>73073</v>
      </c>
      <c r="C26144" s="1">
        <v>2.31241130089005E-4</v>
      </c>
      <c r="D26144" s="1">
        <v>1.4027999887776E-5</v>
      </c>
      <c r="E26144" s="1">
        <v>4.6451133407655101E-5</v>
      </c>
      <c r="F26144" s="1">
        <v>2.0544468169991499E-4</v>
      </c>
    </row>
    <row r="26145" spans="1:6" x14ac:dyDescent="0.25">
      <c r="A26145" s="2" t="str">
        <f t="shared" si="918"/>
        <v>36420</v>
      </c>
      <c r="B26145" s="2" t="str">
        <f>"73065"</f>
        <v>73065</v>
      </c>
      <c r="C26145" s="1">
        <v>5.7009251156583396E-3</v>
      </c>
      <c r="D26145" s="1">
        <v>4.7274359621805101E-3</v>
      </c>
      <c r="E26145" s="1">
        <v>1.95094760312151E-3</v>
      </c>
      <c r="F26145" s="1">
        <v>5.5019411208796698E-3</v>
      </c>
    </row>
    <row r="26146" spans="1:6" x14ac:dyDescent="0.25">
      <c r="A26146" s="2" t="str">
        <f t="shared" si="918"/>
        <v>36420</v>
      </c>
      <c r="B26146" s="2" t="str">
        <f>"73063"</f>
        <v>73063</v>
      </c>
      <c r="C26146" s="1">
        <v>3.6575394432378499E-4</v>
      </c>
      <c r="D26146" s="1">
        <v>1.4027999887776E-5</v>
      </c>
      <c r="E26146" s="1">
        <v>4.6451133407655101E-5</v>
      </c>
      <c r="F26146" s="1">
        <v>3.2340969248244701E-4</v>
      </c>
    </row>
    <row r="26147" spans="1:6" x14ac:dyDescent="0.25">
      <c r="A26147" s="2" t="str">
        <f t="shared" si="918"/>
        <v>36420</v>
      </c>
      <c r="B26147" s="2" t="str">
        <f>"73058"</f>
        <v>73058</v>
      </c>
      <c r="C26147" s="1">
        <v>3.4157186536022899E-4</v>
      </c>
      <c r="D26147" s="1">
        <v>1.4027999887776E-5</v>
      </c>
      <c r="E26147" s="1">
        <v>4.6451133407655101E-5</v>
      </c>
      <c r="F26147" s="1">
        <v>3.0220249953277902E-4</v>
      </c>
    </row>
    <row r="26148" spans="1:6" x14ac:dyDescent="0.25">
      <c r="A26148" s="2" t="str">
        <f t="shared" si="918"/>
        <v>36420</v>
      </c>
      <c r="B26148" s="2" t="str">
        <f>"73007"</f>
        <v>73007</v>
      </c>
      <c r="C26148" s="1">
        <v>2.1083750096350402E-3</v>
      </c>
      <c r="D26148" s="1">
        <v>1.96391998428864E-4</v>
      </c>
      <c r="E26148" s="1">
        <v>1.39353400222965E-4</v>
      </c>
      <c r="F26148" s="1">
        <v>1.8715347778082601E-3</v>
      </c>
    </row>
    <row r="26149" spans="1:6" x14ac:dyDescent="0.25">
      <c r="A26149" s="2" t="str">
        <f t="shared" si="918"/>
        <v>36420</v>
      </c>
      <c r="B26149" s="2" t="str">
        <f>"73028"</f>
        <v>73028</v>
      </c>
      <c r="C26149" s="1">
        <v>2.3955371973272701E-3</v>
      </c>
      <c r="D26149" s="1">
        <v>4.0681199674550398E-4</v>
      </c>
      <c r="E26149" s="1">
        <v>7.8966926793013696E-4</v>
      </c>
      <c r="F26149" s="1">
        <v>2.1618082313068498E-3</v>
      </c>
    </row>
    <row r="26150" spans="1:6" x14ac:dyDescent="0.25">
      <c r="A26150" s="2" t="str">
        <f t="shared" si="918"/>
        <v>36420</v>
      </c>
      <c r="B26150" s="2" t="str">
        <f>"73026"</f>
        <v>73026</v>
      </c>
      <c r="C26150" s="1">
        <v>7.6687417913177203E-3</v>
      </c>
      <c r="D26150" s="1">
        <v>1.08015599135875E-3</v>
      </c>
      <c r="E26150" s="1">
        <v>1.8580453363062E-4</v>
      </c>
      <c r="F26150" s="1">
        <v>6.8326924784713802E-3</v>
      </c>
    </row>
    <row r="26151" spans="1:6" x14ac:dyDescent="0.25">
      <c r="A26151" s="2" t="str">
        <f t="shared" ref="A26151:A26159" si="919">"20340"</f>
        <v>20340</v>
      </c>
      <c r="B26151" s="2" t="str">
        <f>"73481"</f>
        <v>73481</v>
      </c>
      <c r="C26151" s="1">
        <v>3.0176511925922799E-3</v>
      </c>
      <c r="D26151" s="1">
        <v>4.1135335252982298E-4</v>
      </c>
      <c r="E26151" s="1">
        <v>0</v>
      </c>
      <c r="F26151" s="1">
        <v>2.73496692168385E-3</v>
      </c>
    </row>
    <row r="26152" spans="1:6" x14ac:dyDescent="0.25">
      <c r="A26152" s="2" t="str">
        <f t="shared" si="919"/>
        <v>20340</v>
      </c>
      <c r="B26152" s="2" t="str">
        <f>"73442"</f>
        <v>73442</v>
      </c>
      <c r="C26152" s="1">
        <v>9.1769666404861294E-3</v>
      </c>
      <c r="D26152" s="1">
        <v>2.8794734677087602E-3</v>
      </c>
      <c r="E26152" s="1">
        <v>2.2988505747126402E-3</v>
      </c>
      <c r="F26152" s="1">
        <v>8.5005728646930494E-3</v>
      </c>
    </row>
    <row r="26153" spans="1:6" x14ac:dyDescent="0.25">
      <c r="A26153" s="2" t="str">
        <f t="shared" si="919"/>
        <v>20340</v>
      </c>
      <c r="B26153" s="2" t="str">
        <f>"73533"</f>
        <v>73533</v>
      </c>
      <c r="C26153" s="1">
        <v>0.66442065230870895</v>
      </c>
      <c r="D26153" s="1">
        <v>0.77252159605100701</v>
      </c>
      <c r="E26153" s="1">
        <v>0.80459770114942497</v>
      </c>
      <c r="F26153" s="1">
        <v>0.67638688694238003</v>
      </c>
    </row>
    <row r="26154" spans="1:6" x14ac:dyDescent="0.25">
      <c r="A26154" s="2" t="str">
        <f t="shared" si="919"/>
        <v>20340</v>
      </c>
      <c r="B26154" s="2" t="str">
        <f>"73434"</f>
        <v>73434</v>
      </c>
      <c r="C26154" s="1">
        <v>2.2735728163366499E-3</v>
      </c>
      <c r="D26154" s="1">
        <v>1.64541341011929E-3</v>
      </c>
      <c r="E26154" s="1">
        <v>0</v>
      </c>
      <c r="F26154" s="1">
        <v>2.1805817348560402E-3</v>
      </c>
    </row>
    <row r="26155" spans="1:6" x14ac:dyDescent="0.25">
      <c r="A26155" s="2" t="str">
        <f t="shared" si="919"/>
        <v>20340</v>
      </c>
      <c r="B26155" s="2" t="str">
        <f>"73491"</f>
        <v>73491</v>
      </c>
      <c r="C26155" s="1">
        <v>4.1337687569757302E-5</v>
      </c>
      <c r="D26155" s="1">
        <v>4.1135335252982298E-4</v>
      </c>
      <c r="E26155" s="1">
        <v>2.2988505747126402E-3</v>
      </c>
      <c r="F26155" s="1">
        <v>1.1087703736556101E-4</v>
      </c>
    </row>
    <row r="26156" spans="1:6" x14ac:dyDescent="0.25">
      <c r="A26156" s="2" t="str">
        <f t="shared" si="919"/>
        <v>20340</v>
      </c>
      <c r="B26156" s="2" t="str">
        <f>"73573"</f>
        <v>73573</v>
      </c>
      <c r="C26156" s="1">
        <v>7.4407837625563202E-4</v>
      </c>
      <c r="D26156" s="1">
        <v>0</v>
      </c>
      <c r="E26156" s="1">
        <v>0</v>
      </c>
      <c r="F26156" s="1">
        <v>6.6526222419336896E-4</v>
      </c>
    </row>
    <row r="26157" spans="1:6" x14ac:dyDescent="0.25">
      <c r="A26157" s="2" t="str">
        <f t="shared" si="919"/>
        <v>20340</v>
      </c>
      <c r="B26157" s="2" t="str">
        <f>"73529"</f>
        <v>73529</v>
      </c>
      <c r="C26157" s="1">
        <v>0.103302881236823</v>
      </c>
      <c r="D26157" s="1">
        <v>6.2525709584533101E-2</v>
      </c>
      <c r="E26157" s="1">
        <v>2.7586206896551699E-2</v>
      </c>
      <c r="F26157" s="1">
        <v>9.8421850168163502E-2</v>
      </c>
    </row>
    <row r="26158" spans="1:6" x14ac:dyDescent="0.25">
      <c r="A26158" s="2" t="str">
        <f t="shared" si="919"/>
        <v>20340</v>
      </c>
      <c r="B26158" s="2" t="str">
        <f>"73055"</f>
        <v>73055</v>
      </c>
      <c r="C26158" s="1">
        <v>0.21702285974122601</v>
      </c>
      <c r="D26158" s="1">
        <v>0.159605100781571</v>
      </c>
      <c r="E26158" s="1">
        <v>0.15862068965517201</v>
      </c>
      <c r="F26158" s="1">
        <v>0.21092508408175301</v>
      </c>
    </row>
    <row r="26159" spans="1:6" x14ac:dyDescent="0.25">
      <c r="A26159" s="2" t="str">
        <f t="shared" si="919"/>
        <v>20340</v>
      </c>
      <c r="B26159" s="2" t="str">
        <f>"73425"</f>
        <v>73425</v>
      </c>
      <c r="C26159" s="1">
        <v>0</v>
      </c>
      <c r="D26159" s="1">
        <v>0</v>
      </c>
      <c r="E26159" s="1">
        <v>4.5977011494252804E-3</v>
      </c>
      <c r="F26159" s="1">
        <v>7.3918024910374307E-5</v>
      </c>
    </row>
    <row r="26160" spans="1:6" x14ac:dyDescent="0.25">
      <c r="A26160" s="2" t="str">
        <f t="shared" ref="A26160:A26183" si="920">"21420"</f>
        <v>21420</v>
      </c>
      <c r="B26160" s="2" t="str">
        <f>"73702"</f>
        <v>73702</v>
      </c>
      <c r="C26160" s="1">
        <v>5.2406107066932897E-2</v>
      </c>
      <c r="D26160" s="1">
        <v>0.155851516010201</v>
      </c>
      <c r="E26160" s="1">
        <v>0</v>
      </c>
      <c r="F26160" s="1">
        <v>6.21254494606472E-2</v>
      </c>
    </row>
    <row r="26161" spans="1:6" x14ac:dyDescent="0.25">
      <c r="A26161" s="2" t="str">
        <f t="shared" si="920"/>
        <v>21420</v>
      </c>
      <c r="B26161" s="2" t="str">
        <f>"73073"</f>
        <v>73073</v>
      </c>
      <c r="C26161" s="1">
        <v>7.0862590994008796E-4</v>
      </c>
      <c r="D26161" s="1">
        <v>2.8336639274581998E-4</v>
      </c>
      <c r="E26161" s="1">
        <v>0</v>
      </c>
      <c r="F26161" s="1">
        <v>6.5635523086581796E-4</v>
      </c>
    </row>
    <row r="26162" spans="1:6" x14ac:dyDescent="0.25">
      <c r="A26162" s="2" t="str">
        <f t="shared" si="920"/>
        <v>21420</v>
      </c>
      <c r="B26162" s="2" t="str">
        <f>"73773"</f>
        <v>73773</v>
      </c>
      <c r="C26162" s="1">
        <v>3.9747471493912202E-2</v>
      </c>
      <c r="D26162" s="1">
        <v>1.38849532445451E-2</v>
      </c>
      <c r="E26162" s="1">
        <v>1.9271948608137E-2</v>
      </c>
      <c r="F26162" s="1">
        <v>3.6870041664288498E-2</v>
      </c>
    </row>
    <row r="26163" spans="1:6" x14ac:dyDescent="0.25">
      <c r="A26163" s="2" t="str">
        <f t="shared" si="920"/>
        <v>21420</v>
      </c>
      <c r="B26163" s="2" t="str">
        <f>"73730"</f>
        <v>73730</v>
      </c>
      <c r="C26163" s="1">
        <v>4.5738581459769303E-3</v>
      </c>
      <c r="D26163" s="1">
        <v>1.4168319637290999E-3</v>
      </c>
      <c r="E26163" s="1">
        <v>2.1413276231263302E-3</v>
      </c>
      <c r="F26163" s="1">
        <v>4.2235032247017797E-3</v>
      </c>
    </row>
    <row r="26164" spans="1:6" x14ac:dyDescent="0.25">
      <c r="A26164" s="2" t="str">
        <f t="shared" si="920"/>
        <v>21420</v>
      </c>
      <c r="B26164" s="2" t="str">
        <f>"73733"</f>
        <v>73733</v>
      </c>
      <c r="C26164" s="1">
        <v>3.57533981833408E-3</v>
      </c>
      <c r="D26164" s="1">
        <v>8.5009917823746103E-4</v>
      </c>
      <c r="E26164" s="1">
        <v>2.1413276231263302E-3</v>
      </c>
      <c r="F26164" s="1">
        <v>3.28177615432909E-3</v>
      </c>
    </row>
    <row r="26165" spans="1:6" x14ac:dyDescent="0.25">
      <c r="A26165" s="2" t="str">
        <f t="shared" si="920"/>
        <v>21420</v>
      </c>
      <c r="B26165" s="2" t="str">
        <f>"73761"</f>
        <v>73761</v>
      </c>
      <c r="C26165" s="1">
        <v>8.0525671584101002E-4</v>
      </c>
      <c r="D26165" s="1">
        <v>0</v>
      </c>
      <c r="E26165" s="1">
        <v>0</v>
      </c>
      <c r="F26165" s="1">
        <v>7.1342959876719296E-4</v>
      </c>
    </row>
    <row r="26166" spans="1:6" x14ac:dyDescent="0.25">
      <c r="A26166" s="2" t="str">
        <f t="shared" si="920"/>
        <v>21420</v>
      </c>
      <c r="B26166" s="2" t="str">
        <f>"73739"</f>
        <v>73739</v>
      </c>
      <c r="C26166" s="1">
        <v>6.1199510403916698E-4</v>
      </c>
      <c r="D26166" s="1">
        <v>0</v>
      </c>
      <c r="E26166" s="1">
        <v>0</v>
      </c>
      <c r="F26166" s="1">
        <v>5.4220649506306698E-4</v>
      </c>
    </row>
    <row r="26167" spans="1:6" x14ac:dyDescent="0.25">
      <c r="A26167" s="2" t="str">
        <f t="shared" si="920"/>
        <v>21420</v>
      </c>
      <c r="B26167" s="2" t="str">
        <f>"73735"</f>
        <v>73735</v>
      </c>
      <c r="C26167" s="1">
        <v>5.7656380854216299E-3</v>
      </c>
      <c r="D26167" s="1">
        <v>2.8336639274581998E-4</v>
      </c>
      <c r="E26167" s="1">
        <v>2.1413276231263302E-3</v>
      </c>
      <c r="F26167" s="1">
        <v>5.1652302950744803E-3</v>
      </c>
    </row>
    <row r="26168" spans="1:6" x14ac:dyDescent="0.25">
      <c r="A26168" s="2" t="str">
        <f t="shared" si="920"/>
        <v>21420</v>
      </c>
      <c r="B26168" s="2" t="str">
        <f>"73720"</f>
        <v>73720</v>
      </c>
      <c r="C26168" s="1">
        <v>3.4787090124331599E-3</v>
      </c>
      <c r="D26168" s="1">
        <v>0</v>
      </c>
      <c r="E26168" s="1">
        <v>2.1413276231263302E-3</v>
      </c>
      <c r="F26168" s="1">
        <v>3.1105530506249598E-3</v>
      </c>
    </row>
    <row r="26169" spans="1:6" x14ac:dyDescent="0.25">
      <c r="A26169" s="2" t="str">
        <f t="shared" si="920"/>
        <v>21420</v>
      </c>
      <c r="B26169" s="2" t="str">
        <f>"74630"</f>
        <v>74630</v>
      </c>
      <c r="C26169" s="1">
        <v>4.8315402950460602E-4</v>
      </c>
      <c r="D26169" s="1">
        <v>0</v>
      </c>
      <c r="E26169" s="1">
        <v>0</v>
      </c>
      <c r="F26169" s="1">
        <v>4.2805775926031599E-4</v>
      </c>
    </row>
    <row r="26170" spans="1:6" x14ac:dyDescent="0.25">
      <c r="A26170" s="2" t="str">
        <f t="shared" si="920"/>
        <v>21420</v>
      </c>
      <c r="B26170" s="2" t="str">
        <f>"73742"</f>
        <v>73742</v>
      </c>
      <c r="C26170" s="1">
        <v>1.2884107453456101E-4</v>
      </c>
      <c r="D26170" s="1">
        <v>0</v>
      </c>
      <c r="E26170" s="1">
        <v>0</v>
      </c>
      <c r="F26170" s="1">
        <v>1.1414873580275001E-4</v>
      </c>
    </row>
    <row r="26171" spans="1:6" x14ac:dyDescent="0.25">
      <c r="A26171" s="2" t="str">
        <f t="shared" si="920"/>
        <v>21420</v>
      </c>
      <c r="B26171" s="2" t="str">
        <f>"73727"</f>
        <v>73727</v>
      </c>
      <c r="C26171" s="1">
        <v>2.6090317593248698E-3</v>
      </c>
      <c r="D26171" s="1">
        <v>5.6673278549163996E-4</v>
      </c>
      <c r="E26171" s="1">
        <v>2.1413276231263302E-3</v>
      </c>
      <c r="F26171" s="1">
        <v>2.3971234518577701E-3</v>
      </c>
    </row>
    <row r="26172" spans="1:6" x14ac:dyDescent="0.25">
      <c r="A26172" s="2" t="str">
        <f t="shared" si="920"/>
        <v>21420</v>
      </c>
      <c r="B26172" s="2" t="str">
        <f>"74640"</f>
        <v>74640</v>
      </c>
      <c r="C26172" s="1">
        <v>4.1873349223732498E-3</v>
      </c>
      <c r="D26172" s="1">
        <v>1.4168319637290999E-3</v>
      </c>
      <c r="E26172" s="1">
        <v>2.1413276231263302E-3</v>
      </c>
      <c r="F26172" s="1">
        <v>3.8810570172935301E-3</v>
      </c>
    </row>
    <row r="26173" spans="1:6" x14ac:dyDescent="0.25">
      <c r="A26173" s="2" t="str">
        <f t="shared" si="920"/>
        <v>21420</v>
      </c>
      <c r="B26173" s="2" t="str">
        <f>"73757"</f>
        <v>73757</v>
      </c>
      <c r="C26173" s="1">
        <v>4.1873349223732497E-4</v>
      </c>
      <c r="D26173" s="1">
        <v>0</v>
      </c>
      <c r="E26173" s="1">
        <v>0</v>
      </c>
      <c r="F26173" s="1">
        <v>3.7098339135894001E-4</v>
      </c>
    </row>
    <row r="26174" spans="1:6" x14ac:dyDescent="0.25">
      <c r="A26174" s="2" t="str">
        <f t="shared" si="920"/>
        <v>21420</v>
      </c>
      <c r="B26174" s="2" t="str">
        <f>"73743"</f>
        <v>73743</v>
      </c>
      <c r="C26174" s="1">
        <v>3.2210268633640402E-5</v>
      </c>
      <c r="D26174" s="1">
        <v>0</v>
      </c>
      <c r="E26174" s="1">
        <v>2.1413276231263302E-3</v>
      </c>
      <c r="F26174" s="1">
        <v>5.7074367901375403E-5</v>
      </c>
    </row>
    <row r="26175" spans="1:6" x14ac:dyDescent="0.25">
      <c r="A26175" s="2" t="str">
        <f t="shared" si="920"/>
        <v>21420</v>
      </c>
      <c r="B26175" s="2" t="str">
        <f>"73703"</f>
        <v>73703</v>
      </c>
      <c r="C26175" s="1">
        <v>0.46782194163499302</v>
      </c>
      <c r="D26175" s="1">
        <v>0.32728818362142198</v>
      </c>
      <c r="E26175" s="1">
        <v>0.47537473233404698</v>
      </c>
      <c r="F26175" s="1">
        <v>0.453769761999885</v>
      </c>
    </row>
    <row r="26176" spans="1:6" x14ac:dyDescent="0.25">
      <c r="A26176" s="2" t="str">
        <f t="shared" si="920"/>
        <v>21420</v>
      </c>
      <c r="B26176" s="2" t="str">
        <f>"73754"</f>
        <v>73754</v>
      </c>
      <c r="C26176" s="1">
        <v>2.6605681891386901E-2</v>
      </c>
      <c r="D26176" s="1">
        <v>1.7001983564749201E-3</v>
      </c>
      <c r="E26176" s="1">
        <v>8.5653104925053503E-3</v>
      </c>
      <c r="F26176" s="1">
        <v>2.3857085782774901E-2</v>
      </c>
    </row>
    <row r="26177" spans="1:6" x14ac:dyDescent="0.25">
      <c r="A26177" s="2" t="str">
        <f t="shared" si="920"/>
        <v>21420</v>
      </c>
      <c r="B26177" s="2" t="str">
        <f>"73718"</f>
        <v>73718</v>
      </c>
      <c r="C26177" s="1">
        <v>7.7304644720736901E-4</v>
      </c>
      <c r="D26177" s="1">
        <v>0</v>
      </c>
      <c r="E26177" s="1">
        <v>0</v>
      </c>
      <c r="F26177" s="1">
        <v>6.8489241481650503E-4</v>
      </c>
    </row>
    <row r="26178" spans="1:6" x14ac:dyDescent="0.25">
      <c r="A26178" s="2" t="str">
        <f t="shared" si="920"/>
        <v>21420</v>
      </c>
      <c r="B26178" s="2" t="str">
        <f>"73705"</f>
        <v>73705</v>
      </c>
      <c r="C26178" s="1">
        <v>5.7012175481543498E-3</v>
      </c>
      <c r="D26178" s="1">
        <v>2.3236044205157201E-2</v>
      </c>
      <c r="E26178" s="1">
        <v>2.78372591006423E-2</v>
      </c>
      <c r="F26178" s="1">
        <v>7.7621140345870603E-3</v>
      </c>
    </row>
    <row r="26179" spans="1:6" x14ac:dyDescent="0.25">
      <c r="A26179" s="2" t="str">
        <f t="shared" si="920"/>
        <v>21420</v>
      </c>
      <c r="B26179" s="2" t="str">
        <f>"73056"</f>
        <v>73056</v>
      </c>
      <c r="C26179" s="1">
        <v>1.6427237003156601E-3</v>
      </c>
      <c r="D26179" s="1">
        <v>1.1334655709832799E-3</v>
      </c>
      <c r="E26179" s="1">
        <v>0</v>
      </c>
      <c r="F26179" s="1">
        <v>1.56954511728782E-3</v>
      </c>
    </row>
    <row r="26180" spans="1:6" x14ac:dyDescent="0.25">
      <c r="A26180" s="2" t="str">
        <f t="shared" si="920"/>
        <v>21420</v>
      </c>
      <c r="B26180" s="2" t="str">
        <f>"73753"</f>
        <v>73753</v>
      </c>
      <c r="C26180" s="1">
        <v>5.5401662049861401E-3</v>
      </c>
      <c r="D26180" s="1">
        <v>1.7001983564749201E-3</v>
      </c>
      <c r="E26180" s="1">
        <v>0</v>
      </c>
      <c r="F26180" s="1">
        <v>5.07961874322241E-3</v>
      </c>
    </row>
    <row r="26181" spans="1:6" x14ac:dyDescent="0.25">
      <c r="A26181" s="2" t="str">
        <f t="shared" si="920"/>
        <v>21420</v>
      </c>
      <c r="B26181" s="2" t="str">
        <f>"73738"</f>
        <v>73738</v>
      </c>
      <c r="C26181" s="1">
        <v>9.3409779037557095E-3</v>
      </c>
      <c r="D26181" s="1">
        <v>1.4168319637290999E-3</v>
      </c>
      <c r="E26181" s="1">
        <v>2.1413276231263302E-3</v>
      </c>
      <c r="F26181" s="1">
        <v>8.4470064494035699E-3</v>
      </c>
    </row>
    <row r="26182" spans="1:6" x14ac:dyDescent="0.25">
      <c r="A26182" s="2" t="str">
        <f t="shared" si="920"/>
        <v>21420</v>
      </c>
      <c r="B26182" s="2" t="str">
        <f>"73736"</f>
        <v>73736</v>
      </c>
      <c r="C26182" s="1">
        <v>5.7656380854216299E-3</v>
      </c>
      <c r="D26182" s="1">
        <v>1.1334655709832799E-3</v>
      </c>
      <c r="E26182" s="1">
        <v>2.1413276231263302E-3</v>
      </c>
      <c r="F26182" s="1">
        <v>5.2508418469265402E-3</v>
      </c>
    </row>
    <row r="26183" spans="1:6" x14ac:dyDescent="0.25">
      <c r="A26183" s="2" t="str">
        <f t="shared" si="920"/>
        <v>21420</v>
      </c>
      <c r="B26183" s="2" t="str">
        <f>"73701"</f>
        <v>73701</v>
      </c>
      <c r="C26183" s="1">
        <v>0.35727629968433899</v>
      </c>
      <c r="D26183" s="1">
        <v>0.46783791442334899</v>
      </c>
      <c r="E26183" s="1">
        <v>0.449678800856531</v>
      </c>
      <c r="F26183" s="1">
        <v>0.36964214371325799</v>
      </c>
    </row>
    <row r="26184" spans="1:6" x14ac:dyDescent="0.25">
      <c r="A26184" s="2" t="str">
        <f t="shared" ref="A26184:A26215" si="921">"46140"</f>
        <v>46140</v>
      </c>
      <c r="B26184" s="2" t="str">
        <f>"74633"</f>
        <v>74633</v>
      </c>
      <c r="C26184" s="1">
        <v>4.4327446007288898E-4</v>
      </c>
      <c r="D26184" s="1">
        <v>2.04507341813571E-4</v>
      </c>
      <c r="E26184" s="1">
        <v>4.7027840481564997E-5</v>
      </c>
      <c r="F26184" s="1">
        <v>4.0662192002129702E-4</v>
      </c>
    </row>
    <row r="26185" spans="1:6" x14ac:dyDescent="0.25">
      <c r="A26185" s="2" t="str">
        <f t="shared" si="921"/>
        <v>46140</v>
      </c>
      <c r="B26185" s="2" t="str">
        <f>"74467"</f>
        <v>74467</v>
      </c>
      <c r="C26185" s="1">
        <v>1.7298158529165102E-2</v>
      </c>
      <c r="D26185" s="1">
        <v>1.23113419771769E-2</v>
      </c>
      <c r="E26185" s="1">
        <v>5.0790067720090197E-3</v>
      </c>
      <c r="F26185" s="1">
        <v>1.63797520517996E-2</v>
      </c>
    </row>
    <row r="26186" spans="1:6" x14ac:dyDescent="0.25">
      <c r="A26186" s="2" t="str">
        <f t="shared" si="921"/>
        <v>46140</v>
      </c>
      <c r="B26186" s="2" t="str">
        <f>"74637"</f>
        <v>74637</v>
      </c>
      <c r="C26186" s="1">
        <v>2.05537167099835E-3</v>
      </c>
      <c r="D26186" s="1">
        <v>2.80175058284592E-3</v>
      </c>
      <c r="E26186" s="1">
        <v>1.41083521444695E-4</v>
      </c>
      <c r="F26186" s="1">
        <v>2.0476969335601601E-3</v>
      </c>
    </row>
    <row r="26187" spans="1:6" x14ac:dyDescent="0.25">
      <c r="A26187" s="2" t="str">
        <f t="shared" si="921"/>
        <v>46140</v>
      </c>
      <c r="B26187" s="2" t="str">
        <f>"74136"</f>
        <v>74136</v>
      </c>
      <c r="C26187" s="1">
        <v>3.3952314540865898E-2</v>
      </c>
      <c r="D26187" s="1">
        <v>3.33142459814307E-2</v>
      </c>
      <c r="E26187" s="1">
        <v>0.127868698269375</v>
      </c>
      <c r="F26187" s="1">
        <v>3.7536855809678998E-2</v>
      </c>
    </row>
    <row r="26188" spans="1:6" x14ac:dyDescent="0.25">
      <c r="A26188" s="2" t="str">
        <f t="shared" si="921"/>
        <v>46140</v>
      </c>
      <c r="B26188" s="2" t="str">
        <f>"74134"</f>
        <v>74134</v>
      </c>
      <c r="C26188" s="1">
        <v>1.9520803581323E-2</v>
      </c>
      <c r="D26188" s="1">
        <v>5.1126835453392701E-3</v>
      </c>
      <c r="E26188" s="1">
        <v>3.2731376975169299E-2</v>
      </c>
      <c r="F26188" s="1">
        <v>1.8748370321340701E-2</v>
      </c>
    </row>
    <row r="26189" spans="1:6" x14ac:dyDescent="0.25">
      <c r="A26189" s="2" t="str">
        <f t="shared" si="921"/>
        <v>46140</v>
      </c>
      <c r="B26189" s="2" t="str">
        <f>"74156"</f>
        <v>74156</v>
      </c>
      <c r="C26189" s="1">
        <v>1.8818255380452799E-4</v>
      </c>
      <c r="D26189" s="1">
        <v>1.6360587345085601E-4</v>
      </c>
      <c r="E26189" s="1">
        <v>9.4055680963130102E-5</v>
      </c>
      <c r="F26189" s="1">
        <v>1.8234166817098499E-4</v>
      </c>
    </row>
    <row r="26190" spans="1:6" x14ac:dyDescent="0.25">
      <c r="A26190" s="2" t="str">
        <f t="shared" si="921"/>
        <v>46140</v>
      </c>
      <c r="B26190" s="2" t="str">
        <f>"74148"</f>
        <v>74148</v>
      </c>
      <c r="C26190" s="1">
        <v>1.8232798546394301E-3</v>
      </c>
      <c r="D26190" s="1">
        <v>2.6585954435764201E-3</v>
      </c>
      <c r="E26190" s="1">
        <v>9.4055680963130102E-5</v>
      </c>
      <c r="F26190" s="1">
        <v>1.83071034843669E-3</v>
      </c>
    </row>
    <row r="26191" spans="1:6" x14ac:dyDescent="0.25">
      <c r="A26191" s="2" t="str">
        <f t="shared" si="921"/>
        <v>46140</v>
      </c>
      <c r="B26191" s="2" t="str">
        <f>"74146"</f>
        <v>74146</v>
      </c>
      <c r="C26191" s="1">
        <v>1.3156051428200999E-2</v>
      </c>
      <c r="D26191" s="1">
        <v>4.1228680109615903E-2</v>
      </c>
      <c r="E26191" s="1">
        <v>5.9772385252069203E-2</v>
      </c>
      <c r="F26191" s="1">
        <v>1.74665083940986E-2</v>
      </c>
    </row>
    <row r="26192" spans="1:6" x14ac:dyDescent="0.25">
      <c r="A26192" s="2" t="str">
        <f t="shared" si="921"/>
        <v>46140</v>
      </c>
      <c r="B26192" s="2" t="str">
        <f>"74080"</f>
        <v>74080</v>
      </c>
      <c r="C26192" s="1">
        <v>2.5362826418321399E-3</v>
      </c>
      <c r="D26192" s="1">
        <v>4.9081762035257004E-4</v>
      </c>
      <c r="E26192" s="1">
        <v>7.0541760722347599E-4</v>
      </c>
      <c r="F26192" s="1">
        <v>2.2829176855007302E-3</v>
      </c>
    </row>
    <row r="26193" spans="1:6" x14ac:dyDescent="0.25">
      <c r="A26193" s="2" t="str">
        <f t="shared" si="921"/>
        <v>46140</v>
      </c>
      <c r="B26193" s="2" t="str">
        <f>"74022"</f>
        <v>74022</v>
      </c>
      <c r="C26193" s="1">
        <v>4.80910970833795E-5</v>
      </c>
      <c r="D26193" s="1">
        <v>0</v>
      </c>
      <c r="E26193" s="1">
        <v>0</v>
      </c>
      <c r="F26193" s="1">
        <v>4.1938583679326602E-5</v>
      </c>
    </row>
    <row r="26194" spans="1:6" x14ac:dyDescent="0.25">
      <c r="A26194" s="2" t="str">
        <f t="shared" si="921"/>
        <v>46140</v>
      </c>
      <c r="B26194" s="2" t="str">
        <f>"74067"</f>
        <v>74067</v>
      </c>
      <c r="C26194" s="1">
        <v>3.0736483788072898E-3</v>
      </c>
      <c r="D26194" s="1">
        <v>7.6485745838275497E-3</v>
      </c>
      <c r="E26194" s="1">
        <v>9.4055680963130102E-5</v>
      </c>
      <c r="F26194" s="1">
        <v>3.3660271944363899E-3</v>
      </c>
    </row>
    <row r="26195" spans="1:6" x14ac:dyDescent="0.25">
      <c r="A26195" s="2" t="str">
        <f t="shared" si="921"/>
        <v>46140</v>
      </c>
      <c r="B26195" s="2" t="str">
        <f>"74060"</f>
        <v>74060</v>
      </c>
      <c r="C26195" s="1">
        <v>1.6727338115958001E-4</v>
      </c>
      <c r="D26195" s="1">
        <v>0</v>
      </c>
      <c r="E26195" s="1">
        <v>4.7027840481564997E-5</v>
      </c>
      <c r="F26195" s="1">
        <v>1.47696751218498E-4</v>
      </c>
    </row>
    <row r="26196" spans="1:6" x14ac:dyDescent="0.25">
      <c r="A26196" s="2" t="str">
        <f t="shared" si="921"/>
        <v>46140</v>
      </c>
      <c r="B26196" s="2" t="str">
        <f>"74066"</f>
        <v>74066</v>
      </c>
      <c r="C26196" s="1">
        <v>2.94024785733253E-2</v>
      </c>
      <c r="D26196" s="1">
        <v>2.1268763548611298E-2</v>
      </c>
      <c r="E26196" s="1">
        <v>1.3732129420617E-2</v>
      </c>
      <c r="F26196" s="1">
        <v>2.80696763982414E-2</v>
      </c>
    </row>
    <row r="26197" spans="1:6" x14ac:dyDescent="0.25">
      <c r="A26197" s="2" t="str">
        <f t="shared" si="921"/>
        <v>46140</v>
      </c>
      <c r="B26197" s="2" t="str">
        <f>"74023"</f>
        <v>74023</v>
      </c>
      <c r="C26197" s="1">
        <v>4.1818345289895202E-6</v>
      </c>
      <c r="D26197" s="1">
        <v>0</v>
      </c>
      <c r="E26197" s="1">
        <v>0</v>
      </c>
      <c r="F26197" s="1">
        <v>3.6468333634197001E-6</v>
      </c>
    </row>
    <row r="26198" spans="1:6" x14ac:dyDescent="0.25">
      <c r="A26198" s="2" t="str">
        <f t="shared" si="921"/>
        <v>46140</v>
      </c>
      <c r="B26198" s="2" t="str">
        <f>"74650"</f>
        <v>74650</v>
      </c>
      <c r="C26198" s="1">
        <v>6.7745719369630196E-4</v>
      </c>
      <c r="D26198" s="1">
        <v>1.4315513926949899E-4</v>
      </c>
      <c r="E26198" s="1">
        <v>4.7027840481564997E-5</v>
      </c>
      <c r="F26198" s="1">
        <v>6.05374338327671E-4</v>
      </c>
    </row>
    <row r="26199" spans="1:6" x14ac:dyDescent="0.25">
      <c r="A26199" s="2" t="str">
        <f t="shared" si="921"/>
        <v>46140</v>
      </c>
      <c r="B26199" s="2" t="str">
        <f>"74437"</f>
        <v>74437</v>
      </c>
      <c r="C26199" s="1">
        <v>9.8544930675638007E-3</v>
      </c>
      <c r="D26199" s="1">
        <v>7.9962370649106305E-3</v>
      </c>
      <c r="E26199" s="1">
        <v>3.5741158765989398E-3</v>
      </c>
      <c r="F26199" s="1">
        <v>9.4452984112570401E-3</v>
      </c>
    </row>
    <row r="26200" spans="1:6" x14ac:dyDescent="0.25">
      <c r="A26200" s="2" t="str">
        <f t="shared" si="921"/>
        <v>46140</v>
      </c>
      <c r="B26200" s="2" t="str">
        <f>"74436"</f>
        <v>74436</v>
      </c>
      <c r="C26200" s="1">
        <v>1.1834591717040301E-3</v>
      </c>
      <c r="D26200" s="1">
        <v>4.2946541780849898E-4</v>
      </c>
      <c r="E26200" s="1">
        <v>0</v>
      </c>
      <c r="F26200" s="1">
        <v>1.07034559216368E-3</v>
      </c>
    </row>
    <row r="26201" spans="1:6" x14ac:dyDescent="0.25">
      <c r="A26201" s="2" t="str">
        <f t="shared" si="921"/>
        <v>46140</v>
      </c>
      <c r="B26201" s="2" t="str">
        <f>"74117"</f>
        <v>74117</v>
      </c>
      <c r="C26201" s="1">
        <v>9.4091276902264197E-5</v>
      </c>
      <c r="D26201" s="1">
        <v>1.69741093705264E-3</v>
      </c>
      <c r="E26201" s="1">
        <v>4.7027840481564997E-5</v>
      </c>
      <c r="F26201" s="1">
        <v>2.3522075194057099E-4</v>
      </c>
    </row>
    <row r="26202" spans="1:6" x14ac:dyDescent="0.25">
      <c r="A26202" s="2" t="str">
        <f t="shared" si="921"/>
        <v>46140</v>
      </c>
      <c r="B26202" s="2" t="str">
        <f>"74119"</f>
        <v>74119</v>
      </c>
      <c r="C26202" s="1">
        <v>6.3605703185930602E-3</v>
      </c>
      <c r="D26202" s="1">
        <v>1.7076363041433101E-2</v>
      </c>
      <c r="E26202" s="1">
        <v>1.35440180586907E-2</v>
      </c>
      <c r="F26202" s="1">
        <v>7.5945304793215403E-3</v>
      </c>
    </row>
    <row r="26203" spans="1:6" x14ac:dyDescent="0.25">
      <c r="A26203" s="2" t="str">
        <f t="shared" si="921"/>
        <v>46140</v>
      </c>
      <c r="B26203" s="2" t="str">
        <f>"74126"</f>
        <v>74126</v>
      </c>
      <c r="C26203" s="1">
        <v>1.06009505309884E-2</v>
      </c>
      <c r="D26203" s="1">
        <v>5.7875577733240598E-3</v>
      </c>
      <c r="E26203" s="1">
        <v>3.2919488337095499E-4</v>
      </c>
      <c r="F26203" s="1">
        <v>9.7735134139648096E-3</v>
      </c>
    </row>
    <row r="26204" spans="1:6" x14ac:dyDescent="0.25">
      <c r="A26204" s="2" t="str">
        <f t="shared" si="921"/>
        <v>46140</v>
      </c>
      <c r="B26204" s="2" t="str">
        <f>"74171"</f>
        <v>74171</v>
      </c>
      <c r="C26204" s="1">
        <v>0</v>
      </c>
      <c r="D26204" s="1">
        <v>0</v>
      </c>
      <c r="E26204" s="1">
        <v>4.7027840481564997E-5</v>
      </c>
      <c r="F26204" s="1">
        <v>1.8234166817098501E-6</v>
      </c>
    </row>
    <row r="26205" spans="1:6" x14ac:dyDescent="0.25">
      <c r="A26205" s="2" t="str">
        <f t="shared" si="921"/>
        <v>46140</v>
      </c>
      <c r="B26205" s="2" t="str">
        <f>"74158"</f>
        <v>74158</v>
      </c>
      <c r="C26205" s="1">
        <v>2.9607388465245801E-3</v>
      </c>
      <c r="D26205" s="1">
        <v>4.3151049122663503E-3</v>
      </c>
      <c r="E26205" s="1">
        <v>9.4055680963130102E-5</v>
      </c>
      <c r="F26205" s="1">
        <v>2.9703457745053501E-3</v>
      </c>
    </row>
    <row r="26206" spans="1:6" x14ac:dyDescent="0.25">
      <c r="A26206" s="2" t="str">
        <f t="shared" si="921"/>
        <v>46140</v>
      </c>
      <c r="B26206" s="2" t="str">
        <f>"74159"</f>
        <v>74159</v>
      </c>
      <c r="C26206" s="1">
        <v>1.3235506284251799E-3</v>
      </c>
      <c r="D26206" s="1">
        <v>8.4052517485377707E-3</v>
      </c>
      <c r="E26206" s="1">
        <v>9.4055680963130102E-5</v>
      </c>
      <c r="F26206" s="1">
        <v>1.9072938490685E-3</v>
      </c>
    </row>
    <row r="26207" spans="1:6" x14ac:dyDescent="0.25">
      <c r="A26207" s="2" t="str">
        <f t="shared" si="921"/>
        <v>46140</v>
      </c>
      <c r="B26207" s="2" t="str">
        <f>"74152"</f>
        <v>74152</v>
      </c>
      <c r="C26207" s="1">
        <v>9.84822031577032E-4</v>
      </c>
      <c r="D26207" s="1">
        <v>7.2191091660190601E-3</v>
      </c>
      <c r="E26207" s="1">
        <v>9.4055680963130102E-5</v>
      </c>
      <c r="F26207" s="1">
        <v>1.50614217909233E-3</v>
      </c>
    </row>
    <row r="26208" spans="1:6" x14ac:dyDescent="0.25">
      <c r="A26208" s="2" t="str">
        <f t="shared" si="921"/>
        <v>46140</v>
      </c>
      <c r="B26208" s="2" t="str">
        <f>"74157"</f>
        <v>74157</v>
      </c>
      <c r="C26208" s="1">
        <v>1.4720057542043101E-3</v>
      </c>
      <c r="D26208" s="1">
        <v>3.74248435518835E-3</v>
      </c>
      <c r="E26208" s="1">
        <v>9.4055680963130102E-5</v>
      </c>
      <c r="F26208" s="1">
        <v>1.62101743004006E-3</v>
      </c>
    </row>
    <row r="26209" spans="1:6" x14ac:dyDescent="0.25">
      <c r="A26209" s="2" t="str">
        <f t="shared" si="921"/>
        <v>46140</v>
      </c>
      <c r="B26209" s="2" t="str">
        <f>"74145"</f>
        <v>74145</v>
      </c>
      <c r="C26209" s="1">
        <v>1.7785342251792399E-2</v>
      </c>
      <c r="D26209" s="1">
        <v>4.3151049122663501E-2</v>
      </c>
      <c r="E26209" s="1">
        <v>5.3329571106094799E-2</v>
      </c>
      <c r="F26209" s="1">
        <v>2.1425146010090702E-2</v>
      </c>
    </row>
    <row r="26210" spans="1:6" x14ac:dyDescent="0.25">
      <c r="A26210" s="2" t="str">
        <f t="shared" si="921"/>
        <v>46140</v>
      </c>
      <c r="B26210" s="2" t="str">
        <f>"74104"</f>
        <v>74104</v>
      </c>
      <c r="C26210" s="1">
        <v>1.3505234611371601E-2</v>
      </c>
      <c r="D26210" s="1">
        <v>1.7996646079594201E-2</v>
      </c>
      <c r="E26210" s="1">
        <v>1.5001881113619201E-2</v>
      </c>
      <c r="F26210" s="1">
        <v>1.3963724948534E-2</v>
      </c>
    </row>
    <row r="26211" spans="1:6" x14ac:dyDescent="0.25">
      <c r="A26211" s="2" t="str">
        <f t="shared" si="921"/>
        <v>46140</v>
      </c>
      <c r="B26211" s="2" t="str">
        <f>"74021"</f>
        <v>74021</v>
      </c>
      <c r="C26211" s="1">
        <v>1.73127949500166E-2</v>
      </c>
      <c r="D26211" s="1">
        <v>7.09640476093091E-3</v>
      </c>
      <c r="E26211" s="1">
        <v>2.2573363431151201E-3</v>
      </c>
      <c r="F26211" s="1">
        <v>1.5818139713832901E-2</v>
      </c>
    </row>
    <row r="26212" spans="1:6" x14ac:dyDescent="0.25">
      <c r="A26212" s="2" t="str">
        <f t="shared" si="921"/>
        <v>46140</v>
      </c>
      <c r="B26212" s="2" t="str">
        <f>"74048"</f>
        <v>74048</v>
      </c>
      <c r="C26212" s="1">
        <v>2.0909172644947601E-6</v>
      </c>
      <c r="D26212" s="1">
        <v>0</v>
      </c>
      <c r="E26212" s="1">
        <v>0</v>
      </c>
      <c r="F26212" s="1">
        <v>1.8234166817098501E-6</v>
      </c>
    </row>
    <row r="26213" spans="1:6" x14ac:dyDescent="0.25">
      <c r="A26213" s="2" t="str">
        <f t="shared" si="921"/>
        <v>46140</v>
      </c>
      <c r="B26213" s="2" t="str">
        <f>"74055"</f>
        <v>74055</v>
      </c>
      <c r="C26213" s="1">
        <v>4.28157128250592E-2</v>
      </c>
      <c r="D26213" s="1">
        <v>3.8549633931858097E-2</v>
      </c>
      <c r="E26213" s="1">
        <v>2.3419864559819401E-2</v>
      </c>
      <c r="F26213" s="1">
        <v>4.16833053438872E-2</v>
      </c>
    </row>
    <row r="26214" spans="1:6" x14ac:dyDescent="0.25">
      <c r="A26214" s="2" t="str">
        <f t="shared" si="921"/>
        <v>46140</v>
      </c>
      <c r="B26214" s="2" t="str">
        <f>"74038"</f>
        <v>74038</v>
      </c>
      <c r="C26214" s="1">
        <v>1.85673453087134E-3</v>
      </c>
      <c r="D26214" s="1">
        <v>3.8856394944578499E-4</v>
      </c>
      <c r="E26214" s="1">
        <v>1.41083521444695E-4</v>
      </c>
      <c r="F26214" s="1">
        <v>1.6593091803559601E-3</v>
      </c>
    </row>
    <row r="26215" spans="1:6" x14ac:dyDescent="0.25">
      <c r="A26215" s="2" t="str">
        <f t="shared" si="921"/>
        <v>46140</v>
      </c>
      <c r="B26215" s="2" t="str">
        <f>"74002"</f>
        <v>74002</v>
      </c>
      <c r="C26215" s="1">
        <v>1.1102770674467099E-3</v>
      </c>
      <c r="D26215" s="1">
        <v>2.8631027853899901E-4</v>
      </c>
      <c r="E26215" s="1">
        <v>4.7027840481564997E-5</v>
      </c>
      <c r="F26215" s="1">
        <v>9.9558550821357995E-4</v>
      </c>
    </row>
    <row r="26216" spans="1:6" x14ac:dyDescent="0.25">
      <c r="A26216" s="2" t="str">
        <f t="shared" ref="A26216:A26247" si="922">"46140"</f>
        <v>46140</v>
      </c>
      <c r="B26216" s="2" t="str">
        <f>"74604"</f>
        <v>74604</v>
      </c>
      <c r="C26216" s="1">
        <v>3.8932879464892399E-3</v>
      </c>
      <c r="D26216" s="1">
        <v>1.3701991901509201E-3</v>
      </c>
      <c r="E26216" s="1">
        <v>1.8811136192625999E-4</v>
      </c>
      <c r="F26216" s="1">
        <v>3.5246644457451399E-3</v>
      </c>
    </row>
    <row r="26217" spans="1:6" x14ac:dyDescent="0.25">
      <c r="A26217" s="2" t="str">
        <f t="shared" si="922"/>
        <v>46140</v>
      </c>
      <c r="B26217" s="2" t="str">
        <f>"74458"</f>
        <v>74458</v>
      </c>
      <c r="C26217" s="1">
        <v>1.4218237398564299E-4</v>
      </c>
      <c r="D26217" s="1">
        <v>1.02253670906785E-4</v>
      </c>
      <c r="E26217" s="1">
        <v>4.7027840481564997E-5</v>
      </c>
      <c r="F26217" s="1">
        <v>1.3493283444652901E-4</v>
      </c>
    </row>
    <row r="26218" spans="1:6" x14ac:dyDescent="0.25">
      <c r="A26218" s="2" t="str">
        <f t="shared" si="922"/>
        <v>46140</v>
      </c>
      <c r="B26218" s="2" t="str">
        <f>"74454"</f>
        <v>74454</v>
      </c>
      <c r="C26218" s="1">
        <v>2.6993741884627298E-3</v>
      </c>
      <c r="D26218" s="1">
        <v>8.3848010143564098E-4</v>
      </c>
      <c r="E26218" s="1">
        <v>9.4055680963130102E-5</v>
      </c>
      <c r="F26218" s="1">
        <v>2.4324378534009402E-3</v>
      </c>
    </row>
    <row r="26219" spans="1:6" x14ac:dyDescent="0.25">
      <c r="A26219" s="2" t="str">
        <f t="shared" si="922"/>
        <v>46140</v>
      </c>
      <c r="B26219" s="2" t="str">
        <f>"74130"</f>
        <v>74130</v>
      </c>
      <c r="C26219" s="1">
        <v>2.4003730196399801E-3</v>
      </c>
      <c r="D26219" s="1">
        <v>6.5442349380342697E-4</v>
      </c>
      <c r="E26219" s="1">
        <v>1.41083521444695E-4</v>
      </c>
      <c r="F26219" s="1">
        <v>2.15710193446275E-3</v>
      </c>
    </row>
    <row r="26220" spans="1:6" x14ac:dyDescent="0.25">
      <c r="A26220" s="2" t="str">
        <f t="shared" si="922"/>
        <v>46140</v>
      </c>
      <c r="B26220" s="2" t="str">
        <f>"74431"</f>
        <v>74431</v>
      </c>
      <c r="C26220" s="1">
        <v>8.3636690579790404E-6</v>
      </c>
      <c r="D26220" s="1">
        <v>0</v>
      </c>
      <c r="E26220" s="1">
        <v>4.7027840481564997E-5</v>
      </c>
      <c r="F26220" s="1">
        <v>9.1170834085492707E-6</v>
      </c>
    </row>
    <row r="26221" spans="1:6" x14ac:dyDescent="0.25">
      <c r="A26221" s="2" t="str">
        <f t="shared" si="922"/>
        <v>46140</v>
      </c>
      <c r="B26221" s="2" t="str">
        <f>"74434"</f>
        <v>74434</v>
      </c>
      <c r="C26221" s="1">
        <v>7.6318480154058703E-4</v>
      </c>
      <c r="D26221" s="1">
        <v>4.0901468362714199E-5</v>
      </c>
      <c r="E26221" s="1">
        <v>9.4055680963130102E-5</v>
      </c>
      <c r="F26221" s="1">
        <v>6.7284075555093601E-4</v>
      </c>
    </row>
    <row r="26222" spans="1:6" x14ac:dyDescent="0.25">
      <c r="A26222" s="2" t="str">
        <f t="shared" si="922"/>
        <v>46140</v>
      </c>
      <c r="B26222" s="2" t="str">
        <f>"74429"</f>
        <v>74429</v>
      </c>
      <c r="C26222" s="1">
        <v>1.43081468409376E-2</v>
      </c>
      <c r="D26222" s="1">
        <v>6.7282915456664798E-3</v>
      </c>
      <c r="E26222" s="1">
        <v>5.40820165537998E-3</v>
      </c>
      <c r="F26222" s="1">
        <v>1.3287237359619701E-2</v>
      </c>
    </row>
    <row r="26223" spans="1:6" x14ac:dyDescent="0.25">
      <c r="A26223" s="2" t="str">
        <f t="shared" si="922"/>
        <v>46140</v>
      </c>
      <c r="B26223" s="2" t="str">
        <f>"74403"</f>
        <v>74403</v>
      </c>
      <c r="C26223" s="1">
        <v>1.7981888474654899E-4</v>
      </c>
      <c r="D26223" s="1">
        <v>0</v>
      </c>
      <c r="E26223" s="1">
        <v>0</v>
      </c>
      <c r="F26223" s="1">
        <v>1.56813834627047E-4</v>
      </c>
    </row>
    <row r="26224" spans="1:6" x14ac:dyDescent="0.25">
      <c r="A26224" s="2" t="str">
        <f t="shared" si="922"/>
        <v>46140</v>
      </c>
      <c r="B26224" s="2" t="str">
        <f>"74361"</f>
        <v>74361</v>
      </c>
      <c r="C26224" s="1">
        <v>2.0909172644947601E-6</v>
      </c>
      <c r="D26224" s="1">
        <v>0</v>
      </c>
      <c r="E26224" s="1">
        <v>0</v>
      </c>
      <c r="F26224" s="1">
        <v>1.8234166817098501E-6</v>
      </c>
    </row>
    <row r="26225" spans="1:6" x14ac:dyDescent="0.25">
      <c r="A26225" s="2" t="str">
        <f t="shared" si="922"/>
        <v>46140</v>
      </c>
      <c r="B26225" s="2" t="str">
        <f>"74110"</f>
        <v>74110</v>
      </c>
      <c r="C26225" s="1">
        <v>1.3356779485592499E-2</v>
      </c>
      <c r="D26225" s="1">
        <v>1.13297067364718E-2</v>
      </c>
      <c r="E26225" s="1">
        <v>6.8660647103085002E-3</v>
      </c>
      <c r="F26225" s="1">
        <v>1.29243774399594E-2</v>
      </c>
    </row>
    <row r="26226" spans="1:6" x14ac:dyDescent="0.25">
      <c r="A26226" s="2" t="str">
        <f t="shared" si="922"/>
        <v>46140</v>
      </c>
      <c r="B26226" s="2" t="str">
        <f>"74172"</f>
        <v>74172</v>
      </c>
      <c r="C26226" s="1">
        <v>2.0909172644947601E-6</v>
      </c>
      <c r="D26226" s="1">
        <v>7.9757863307292705E-4</v>
      </c>
      <c r="E26226" s="1">
        <v>1.41083521444695E-4</v>
      </c>
      <c r="F26226" s="1">
        <v>7.8406917313523705E-5</v>
      </c>
    </row>
    <row r="26227" spans="1:6" x14ac:dyDescent="0.25">
      <c r="A26227" s="2" t="str">
        <f t="shared" si="922"/>
        <v>46140</v>
      </c>
      <c r="B26227" s="2" t="str">
        <f>"74149"</f>
        <v>74149</v>
      </c>
      <c r="C26227" s="1">
        <v>4.3281987375041499E-4</v>
      </c>
      <c r="D26227" s="1">
        <v>1.4315513926949899E-4</v>
      </c>
      <c r="E26227" s="1">
        <v>9.4055680963130102E-5</v>
      </c>
      <c r="F26227" s="1">
        <v>3.9385800324932802E-4</v>
      </c>
    </row>
    <row r="26228" spans="1:6" x14ac:dyDescent="0.25">
      <c r="A26228" s="2" t="str">
        <f t="shared" si="922"/>
        <v>46140</v>
      </c>
      <c r="B26228" s="2" t="str">
        <f>"74169"</f>
        <v>74169</v>
      </c>
      <c r="C26228" s="1">
        <v>2.14528111337162E-3</v>
      </c>
      <c r="D26228" s="1">
        <v>6.8100944823919103E-3</v>
      </c>
      <c r="E26228" s="1">
        <v>9.4055680963130102E-5</v>
      </c>
      <c r="F26228" s="1">
        <v>2.4816701038071101E-3</v>
      </c>
    </row>
    <row r="26229" spans="1:6" x14ac:dyDescent="0.25">
      <c r="A26229" s="2" t="str">
        <f t="shared" si="922"/>
        <v>46140</v>
      </c>
      <c r="B26229" s="2" t="str">
        <f>"74106"</f>
        <v>74106</v>
      </c>
      <c r="C26229" s="1">
        <v>1.8088525255144101E-2</v>
      </c>
      <c r="D26229" s="1">
        <v>1.2168186837907401E-2</v>
      </c>
      <c r="E26229" s="1">
        <v>2.0504138449962302E-2</v>
      </c>
      <c r="F26229" s="1">
        <v>1.76543203123148E-2</v>
      </c>
    </row>
    <row r="26230" spans="1:6" x14ac:dyDescent="0.25">
      <c r="A26230" s="2" t="str">
        <f t="shared" si="922"/>
        <v>46140</v>
      </c>
      <c r="B26230" s="2" t="str">
        <f>"74105"</f>
        <v>74105</v>
      </c>
      <c r="C26230" s="1">
        <v>3.11630309100299E-2</v>
      </c>
      <c r="D26230" s="1">
        <v>2.47862898278048E-2</v>
      </c>
      <c r="E26230" s="1">
        <v>7.1952595936794497E-2</v>
      </c>
      <c r="F26230" s="1">
        <v>3.2176010765451998E-2</v>
      </c>
    </row>
    <row r="26231" spans="1:6" x14ac:dyDescent="0.25">
      <c r="A26231" s="2" t="str">
        <f t="shared" si="922"/>
        <v>46140</v>
      </c>
      <c r="B26231" s="2" t="str">
        <f>"74070"</f>
        <v>74070</v>
      </c>
      <c r="C26231" s="1">
        <v>1.4339510599905E-2</v>
      </c>
      <c r="D26231" s="1">
        <v>1.25158493189905E-2</v>
      </c>
      <c r="E26231" s="1">
        <v>2.9627539503386002E-3</v>
      </c>
      <c r="F26231" s="1">
        <v>1.37357978633203E-2</v>
      </c>
    </row>
    <row r="26232" spans="1:6" x14ac:dyDescent="0.25">
      <c r="A26232" s="2" t="str">
        <f t="shared" si="922"/>
        <v>46140</v>
      </c>
      <c r="B26232" s="2" t="str">
        <f>"74053"</f>
        <v>74053</v>
      </c>
      <c r="C26232" s="1">
        <v>3.9455608781016104E-3</v>
      </c>
      <c r="D26232" s="1">
        <v>1.67696020287128E-3</v>
      </c>
      <c r="E26232" s="1">
        <v>1.08164033107599E-3</v>
      </c>
      <c r="F26232" s="1">
        <v>3.6322460299660201E-3</v>
      </c>
    </row>
    <row r="26233" spans="1:6" x14ac:dyDescent="0.25">
      <c r="A26233" s="2" t="str">
        <f t="shared" si="922"/>
        <v>46140</v>
      </c>
      <c r="B26233" s="2" t="str">
        <f>"74880"</f>
        <v>74880</v>
      </c>
      <c r="C26233" s="1">
        <v>2.5718282353285498E-4</v>
      </c>
      <c r="D26233" s="1">
        <v>4.0901468362714199E-5</v>
      </c>
      <c r="E26233" s="1">
        <v>0</v>
      </c>
      <c r="F26233" s="1">
        <v>2.2792708521373101E-4</v>
      </c>
    </row>
    <row r="26234" spans="1:6" x14ac:dyDescent="0.25">
      <c r="A26234" s="2" t="str">
        <f t="shared" si="922"/>
        <v>46140</v>
      </c>
      <c r="B26234" s="2" t="str">
        <f>"74447"</f>
        <v>74447</v>
      </c>
      <c r="C26234" s="1">
        <v>1.71873399141469E-2</v>
      </c>
      <c r="D26234" s="1">
        <v>1.7648983598511098E-2</v>
      </c>
      <c r="E26234" s="1">
        <v>4.1713694507148201E-2</v>
      </c>
      <c r="F26234" s="1">
        <v>1.8179464316647201E-2</v>
      </c>
    </row>
    <row r="26235" spans="1:6" x14ac:dyDescent="0.25">
      <c r="A26235" s="2" t="str">
        <f t="shared" si="922"/>
        <v>46140</v>
      </c>
      <c r="B26235" s="2" t="str">
        <f>"74445"</f>
        <v>74445</v>
      </c>
      <c r="C26235" s="1">
        <v>2.8185564725389301E-3</v>
      </c>
      <c r="D26235" s="1">
        <v>1.4520021268763499E-3</v>
      </c>
      <c r="E26235" s="1">
        <v>5.1730624529721498E-4</v>
      </c>
      <c r="F26235" s="1">
        <v>2.6074858548450902E-3</v>
      </c>
    </row>
    <row r="26236" spans="1:6" x14ac:dyDescent="0.25">
      <c r="A26236" s="2" t="str">
        <f t="shared" si="922"/>
        <v>46140</v>
      </c>
      <c r="B26236" s="2" t="str">
        <f>"74421"</f>
        <v>74421</v>
      </c>
      <c r="C26236" s="1">
        <v>3.9267426227211598E-3</v>
      </c>
      <c r="D26236" s="1">
        <v>9.2028303816106896E-4</v>
      </c>
      <c r="E26236" s="1">
        <v>2.35139202407825E-4</v>
      </c>
      <c r="F26236" s="1">
        <v>3.5155473623365899E-3</v>
      </c>
    </row>
    <row r="26237" spans="1:6" x14ac:dyDescent="0.25">
      <c r="A26237" s="2" t="str">
        <f t="shared" si="922"/>
        <v>46140</v>
      </c>
      <c r="B26237" s="2" t="str">
        <f>"74115"</f>
        <v>74115</v>
      </c>
      <c r="C26237" s="1">
        <v>2.1208173813770301E-2</v>
      </c>
      <c r="D26237" s="1">
        <v>2.6585954435764201E-2</v>
      </c>
      <c r="E26237" s="1">
        <v>9.5936794582392702E-3</v>
      </c>
      <c r="F26237" s="1">
        <v>2.1237334091874598E-2</v>
      </c>
    </row>
    <row r="26238" spans="1:6" x14ac:dyDescent="0.25">
      <c r="A26238" s="2" t="str">
        <f t="shared" si="922"/>
        <v>46140</v>
      </c>
      <c r="B26238" s="2" t="str">
        <f>"74114"</f>
        <v>74114</v>
      </c>
      <c r="C26238" s="1">
        <v>1.6549610148476002E-2</v>
      </c>
      <c r="D26238" s="1">
        <v>1.14728618757413E-2</v>
      </c>
      <c r="E26238" s="1">
        <v>1.3261851015801299E-2</v>
      </c>
      <c r="F26238" s="1">
        <v>1.59694832984149E-2</v>
      </c>
    </row>
    <row r="26239" spans="1:6" x14ac:dyDescent="0.25">
      <c r="A26239" s="2" t="str">
        <f t="shared" si="922"/>
        <v>46140</v>
      </c>
      <c r="B26239" s="2" t="str">
        <f>"74112"</f>
        <v>74112</v>
      </c>
      <c r="C26239" s="1">
        <v>2.1908631097376102E-2</v>
      </c>
      <c r="D26239" s="1">
        <v>2.17186797006012E-2</v>
      </c>
      <c r="E26239" s="1">
        <v>2.2056057185853999E-2</v>
      </c>
      <c r="F26239" s="1">
        <v>2.1897410930653598E-2</v>
      </c>
    </row>
    <row r="26240" spans="1:6" x14ac:dyDescent="0.25">
      <c r="A26240" s="2" t="str">
        <f t="shared" si="922"/>
        <v>46140</v>
      </c>
      <c r="B26240" s="2" t="str">
        <f>"74337"</f>
        <v>74337</v>
      </c>
      <c r="C26240" s="1">
        <v>5.1227472980121605E-4</v>
      </c>
      <c r="D26240" s="1">
        <v>6.1352202544071296E-5</v>
      </c>
      <c r="E26240" s="1">
        <v>0</v>
      </c>
      <c r="F26240" s="1">
        <v>4.5220733706404301E-4</v>
      </c>
    </row>
    <row r="26241" spans="1:6" x14ac:dyDescent="0.25">
      <c r="A26241" s="2" t="str">
        <f t="shared" si="922"/>
        <v>46140</v>
      </c>
      <c r="B26241" s="2" t="str">
        <f>"74020"</f>
        <v>74020</v>
      </c>
      <c r="C26241" s="1">
        <v>8.6020336261314403E-3</v>
      </c>
      <c r="D26241" s="1">
        <v>6.1965724569512E-3</v>
      </c>
      <c r="E26241" s="1">
        <v>2.16328066215199E-3</v>
      </c>
      <c r="F26241" s="1">
        <v>8.1379086504710704E-3</v>
      </c>
    </row>
    <row r="26242" spans="1:6" x14ac:dyDescent="0.25">
      <c r="A26242" s="2" t="str">
        <f t="shared" si="922"/>
        <v>46140</v>
      </c>
      <c r="B26242" s="2" t="str">
        <f>"74019"</f>
        <v>74019</v>
      </c>
      <c r="C26242" s="1">
        <v>1.7141339734328E-2</v>
      </c>
      <c r="D26242" s="1">
        <v>5.8489099758681296E-3</v>
      </c>
      <c r="E26242" s="1">
        <v>3.85628291948833E-3</v>
      </c>
      <c r="F26242" s="1">
        <v>1.56193872955266E-2</v>
      </c>
    </row>
    <row r="26243" spans="1:6" x14ac:dyDescent="0.25">
      <c r="A26243" s="2" t="str">
        <f t="shared" si="922"/>
        <v>46140</v>
      </c>
      <c r="B26243" s="2" t="str">
        <f>"74018"</f>
        <v>74018</v>
      </c>
      <c r="C26243" s="1">
        <v>3.5859231086085102E-3</v>
      </c>
      <c r="D26243" s="1">
        <v>9.4686899259683408E-3</v>
      </c>
      <c r="E26243" s="1">
        <v>9.4055680963130102E-5</v>
      </c>
      <c r="F26243" s="1">
        <v>3.97504836612748E-3</v>
      </c>
    </row>
    <row r="26244" spans="1:6" x14ac:dyDescent="0.25">
      <c r="A26244" s="2" t="str">
        <f t="shared" si="922"/>
        <v>46140</v>
      </c>
      <c r="B26244" s="2" t="str">
        <f>"74017"</f>
        <v>74017</v>
      </c>
      <c r="C26244" s="1">
        <v>2.72091063628703E-2</v>
      </c>
      <c r="D26244" s="1">
        <v>2.28230193463945E-2</v>
      </c>
      <c r="E26244" s="1">
        <v>1.84349134687735E-2</v>
      </c>
      <c r="F26244" s="1">
        <v>2.6477833635108701E-2</v>
      </c>
    </row>
    <row r="26245" spans="1:6" x14ac:dyDescent="0.25">
      <c r="A26245" s="2" t="str">
        <f t="shared" si="922"/>
        <v>46140</v>
      </c>
      <c r="B26245" s="2" t="str">
        <f>"74016"</f>
        <v>74016</v>
      </c>
      <c r="C26245" s="1">
        <v>5.5116579092081902E-3</v>
      </c>
      <c r="D26245" s="1">
        <v>3.27211746901713E-3</v>
      </c>
      <c r="E26245" s="1">
        <v>2.8216704288939001E-3</v>
      </c>
      <c r="F26245" s="1">
        <v>5.2076780429633398E-3</v>
      </c>
    </row>
    <row r="26246" spans="1:6" x14ac:dyDescent="0.25">
      <c r="A26246" s="2" t="str">
        <f t="shared" si="922"/>
        <v>46140</v>
      </c>
      <c r="B26246" s="2" t="str">
        <f>"74068"</f>
        <v>74068</v>
      </c>
      <c r="C26246" s="1">
        <v>0</v>
      </c>
      <c r="D26246" s="1">
        <v>0</v>
      </c>
      <c r="E26246" s="1">
        <v>4.7027840481564997E-5</v>
      </c>
      <c r="F26246" s="1">
        <v>1.8234166817098501E-6</v>
      </c>
    </row>
    <row r="26247" spans="1:6" x14ac:dyDescent="0.25">
      <c r="A26247" s="2" t="str">
        <f t="shared" si="922"/>
        <v>46140</v>
      </c>
      <c r="B26247" s="2" t="str">
        <f>"74073"</f>
        <v>74073</v>
      </c>
      <c r="C26247" s="1">
        <v>6.2790245452777598E-3</v>
      </c>
      <c r="D26247" s="1">
        <v>2.1473270890424901E-3</v>
      </c>
      <c r="E26247" s="1">
        <v>3.2919488337095499E-4</v>
      </c>
      <c r="F26247" s="1">
        <v>5.6799429635261897E-3</v>
      </c>
    </row>
    <row r="26248" spans="1:6" x14ac:dyDescent="0.25">
      <c r="A26248" s="2" t="str">
        <f t="shared" ref="A26248:A26279" si="923">"46140"</f>
        <v>46140</v>
      </c>
      <c r="B26248" s="2" t="str">
        <f>"74051"</f>
        <v>74051</v>
      </c>
      <c r="C26248" s="1">
        <v>4.80910970833795E-5</v>
      </c>
      <c r="D26248" s="1">
        <v>0</v>
      </c>
      <c r="E26248" s="1">
        <v>0</v>
      </c>
      <c r="F26248" s="1">
        <v>4.1938583679326602E-5</v>
      </c>
    </row>
    <row r="26249" spans="1:6" x14ac:dyDescent="0.25">
      <c r="A26249" s="2" t="str">
        <f t="shared" si="923"/>
        <v>46140</v>
      </c>
      <c r="B26249" s="2" t="str">
        <f>"74054"</f>
        <v>74054</v>
      </c>
      <c r="C26249" s="1">
        <v>4.22365287427941E-4</v>
      </c>
      <c r="D26249" s="1">
        <v>8.1802936725428399E-5</v>
      </c>
      <c r="E26249" s="1">
        <v>4.7027840481564997E-5</v>
      </c>
      <c r="F26249" s="1">
        <v>3.7744725311393898E-4</v>
      </c>
    </row>
    <row r="26250" spans="1:6" x14ac:dyDescent="0.25">
      <c r="A26250" s="2" t="str">
        <f t="shared" si="923"/>
        <v>46140</v>
      </c>
      <c r="B26250" s="2" t="str">
        <f>"74044"</f>
        <v>74044</v>
      </c>
      <c r="C26250" s="1">
        <v>5.4802941502407601E-3</v>
      </c>
      <c r="D26250" s="1">
        <v>1.5133543294204199E-3</v>
      </c>
      <c r="E26250" s="1">
        <v>1.1756960120391201E-3</v>
      </c>
      <c r="F26250" s="1">
        <v>4.9596933742507999E-3</v>
      </c>
    </row>
    <row r="26251" spans="1:6" x14ac:dyDescent="0.25">
      <c r="A26251" s="2" t="str">
        <f t="shared" si="923"/>
        <v>46140</v>
      </c>
      <c r="B26251" s="2" t="str">
        <f>"74011"</f>
        <v>74011</v>
      </c>
      <c r="C26251" s="1">
        <v>2.7614744312182301E-2</v>
      </c>
      <c r="D26251" s="1">
        <v>7.36226430528855E-3</v>
      </c>
      <c r="E26251" s="1">
        <v>6.2547027840481502E-3</v>
      </c>
      <c r="F26251" s="1">
        <v>2.4980808539425001E-2</v>
      </c>
    </row>
    <row r="26252" spans="1:6" x14ac:dyDescent="0.25">
      <c r="A26252" s="2" t="str">
        <f t="shared" si="923"/>
        <v>46140</v>
      </c>
      <c r="B26252" s="2" t="str">
        <f>"74035"</f>
        <v>74035</v>
      </c>
      <c r="C26252" s="1">
        <v>3.6591052128658302E-3</v>
      </c>
      <c r="D26252" s="1">
        <v>4.0492453679087E-3</v>
      </c>
      <c r="E26252" s="1">
        <v>1.8811136192625999E-4</v>
      </c>
      <c r="F26252" s="1">
        <v>3.5593093626976298E-3</v>
      </c>
    </row>
    <row r="26253" spans="1:6" x14ac:dyDescent="0.25">
      <c r="A26253" s="2" t="str">
        <f t="shared" si="923"/>
        <v>46140</v>
      </c>
      <c r="B26253" s="2" t="str">
        <f>"73061"</f>
        <v>73061</v>
      </c>
      <c r="C26253" s="1">
        <v>8.3636690579790404E-6</v>
      </c>
      <c r="D26253" s="1">
        <v>0</v>
      </c>
      <c r="E26253" s="1">
        <v>0</v>
      </c>
      <c r="F26253" s="1">
        <v>7.2936667268394096E-6</v>
      </c>
    </row>
    <row r="26254" spans="1:6" x14ac:dyDescent="0.25">
      <c r="A26254" s="2" t="str">
        <f t="shared" si="923"/>
        <v>46140</v>
      </c>
      <c r="B26254" s="2" t="str">
        <f>"74141"</f>
        <v>74141</v>
      </c>
      <c r="C26254" s="1">
        <v>0</v>
      </c>
      <c r="D26254" s="1">
        <v>0</v>
      </c>
      <c r="E26254" s="1">
        <v>4.7027840481564997E-5</v>
      </c>
      <c r="F26254" s="1">
        <v>1.8234166817098501E-6</v>
      </c>
    </row>
    <row r="26255" spans="1:6" x14ac:dyDescent="0.25">
      <c r="A26255" s="2" t="str">
        <f t="shared" si="923"/>
        <v>46140</v>
      </c>
      <c r="B26255" s="2" t="str">
        <f>"74129"</f>
        <v>74129</v>
      </c>
      <c r="C26255" s="1">
        <v>1.6610246749146299E-2</v>
      </c>
      <c r="D26255" s="1">
        <v>1.34770338255143E-2</v>
      </c>
      <c r="E26255" s="1">
        <v>4.07261098570353E-2</v>
      </c>
      <c r="F26255" s="1">
        <v>1.7265932559110599E-2</v>
      </c>
    </row>
    <row r="26256" spans="1:6" x14ac:dyDescent="0.25">
      <c r="A26256" s="2" t="str">
        <f t="shared" si="923"/>
        <v>46140</v>
      </c>
      <c r="B26256" s="2" t="str">
        <f>"74422"</f>
        <v>74422</v>
      </c>
      <c r="C26256" s="1">
        <v>6.6072985558034397E-4</v>
      </c>
      <c r="D26256" s="1">
        <v>1.4315513926949899E-4</v>
      </c>
      <c r="E26256" s="1">
        <v>4.7027840481564997E-5</v>
      </c>
      <c r="F26256" s="1">
        <v>5.90787004873992E-4</v>
      </c>
    </row>
    <row r="26257" spans="1:6" x14ac:dyDescent="0.25">
      <c r="A26257" s="2" t="str">
        <f t="shared" si="923"/>
        <v>46140</v>
      </c>
      <c r="B26257" s="2" t="str">
        <f>"74116"</f>
        <v>74116</v>
      </c>
      <c r="C26257" s="1">
        <v>4.1546526045510897E-3</v>
      </c>
      <c r="D26257" s="1">
        <v>1.6074277066546599E-2</v>
      </c>
      <c r="E26257" s="1">
        <v>1.4719714070729801E-2</v>
      </c>
      <c r="F26257" s="1">
        <v>5.6270638797566103E-3</v>
      </c>
    </row>
    <row r="26258" spans="1:6" x14ac:dyDescent="0.25">
      <c r="A26258" s="2" t="str">
        <f t="shared" si="923"/>
        <v>46140</v>
      </c>
      <c r="B26258" s="2" t="str">
        <f>"74182"</f>
        <v>74182</v>
      </c>
      <c r="C26258" s="1">
        <v>0</v>
      </c>
      <c r="D26258" s="1">
        <v>0</v>
      </c>
      <c r="E26258" s="1">
        <v>4.7027840481564997E-5</v>
      </c>
      <c r="F26258" s="1">
        <v>1.8234166817098501E-6</v>
      </c>
    </row>
    <row r="26259" spans="1:6" x14ac:dyDescent="0.25">
      <c r="A26259" s="2" t="str">
        <f t="shared" si="923"/>
        <v>46140</v>
      </c>
      <c r="B26259" s="2" t="str">
        <f>"74155"</f>
        <v>74155</v>
      </c>
      <c r="C26259" s="1">
        <v>2.0490989192048601E-4</v>
      </c>
      <c r="D26259" s="1">
        <v>1.65650946868992E-3</v>
      </c>
      <c r="E26259" s="1">
        <v>9.4055680963130102E-5</v>
      </c>
      <c r="F26259" s="1">
        <v>3.3003841938948299E-4</v>
      </c>
    </row>
    <row r="26260" spans="1:6" x14ac:dyDescent="0.25">
      <c r="A26260" s="2" t="str">
        <f t="shared" si="923"/>
        <v>46140</v>
      </c>
      <c r="B26260" s="2" t="str">
        <f>"74079"</f>
        <v>74079</v>
      </c>
      <c r="C26260" s="1">
        <v>2.5091007173937098E-4</v>
      </c>
      <c r="D26260" s="1">
        <v>6.1352202544071296E-5</v>
      </c>
      <c r="E26260" s="1">
        <v>0</v>
      </c>
      <c r="F26260" s="1">
        <v>2.24280251850312E-4</v>
      </c>
    </row>
    <row r="26261" spans="1:6" x14ac:dyDescent="0.25">
      <c r="A26261" s="2" t="str">
        <f t="shared" si="923"/>
        <v>46140</v>
      </c>
      <c r="B26261" s="2" t="str">
        <f>"74013"</f>
        <v>74013</v>
      </c>
      <c r="C26261" s="1">
        <v>3.65283246107234E-3</v>
      </c>
      <c r="D26261" s="1">
        <v>1.5358501370199101E-2</v>
      </c>
      <c r="E26261" s="1">
        <v>9.4055680963130102E-5</v>
      </c>
      <c r="F26261" s="1">
        <v>4.5585417042746301E-3</v>
      </c>
    </row>
    <row r="26262" spans="1:6" x14ac:dyDescent="0.25">
      <c r="A26262" s="2" t="str">
        <f t="shared" si="923"/>
        <v>46140</v>
      </c>
      <c r="B26262" s="2" t="str">
        <f>"74061"</f>
        <v>74061</v>
      </c>
      <c r="C26262" s="1">
        <v>1.25455035869685E-5</v>
      </c>
      <c r="D26262" s="1">
        <v>0</v>
      </c>
      <c r="E26262" s="1">
        <v>0</v>
      </c>
      <c r="F26262" s="1">
        <v>1.09405000902591E-5</v>
      </c>
    </row>
    <row r="26263" spans="1:6" x14ac:dyDescent="0.25">
      <c r="A26263" s="2" t="str">
        <f t="shared" si="923"/>
        <v>46140</v>
      </c>
      <c r="B26263" s="2" t="str">
        <f>"74039"</f>
        <v>74039</v>
      </c>
      <c r="C26263" s="1">
        <v>2.8582839005643298E-3</v>
      </c>
      <c r="D26263" s="1">
        <v>9.4073377234242701E-4</v>
      </c>
      <c r="E26263" s="1">
        <v>2.35139202407825E-4</v>
      </c>
      <c r="F26263" s="1">
        <v>2.58560485466457E-3</v>
      </c>
    </row>
    <row r="26264" spans="1:6" x14ac:dyDescent="0.25">
      <c r="A26264" s="2" t="str">
        <f t="shared" si="923"/>
        <v>46140</v>
      </c>
      <c r="B26264" s="2" t="str">
        <f>"74137"</f>
        <v>74137</v>
      </c>
      <c r="C26264" s="1">
        <v>2.5609554655531799E-2</v>
      </c>
      <c r="D26264" s="1">
        <v>1.7873941674506101E-2</v>
      </c>
      <c r="E26264" s="1">
        <v>3.3154627539503302E-2</v>
      </c>
      <c r="F26264" s="1">
        <v>2.52123824580021E-2</v>
      </c>
    </row>
    <row r="26265" spans="1:6" x14ac:dyDescent="0.25">
      <c r="A26265" s="2" t="str">
        <f t="shared" si="923"/>
        <v>46140</v>
      </c>
      <c r="B26265" s="2" t="str">
        <f>"74132"</f>
        <v>74132</v>
      </c>
      <c r="C26265" s="1">
        <v>1.01848579953539E-2</v>
      </c>
      <c r="D26265" s="1">
        <v>7.8735326598224804E-3</v>
      </c>
      <c r="E26265" s="1">
        <v>8.1828442437923195E-3</v>
      </c>
      <c r="F26265" s="1">
        <v>9.9011525816845008E-3</v>
      </c>
    </row>
    <row r="26266" spans="1:6" x14ac:dyDescent="0.25">
      <c r="A26266" s="2" t="str">
        <f t="shared" si="923"/>
        <v>46140</v>
      </c>
      <c r="B26266" s="2" t="str">
        <f>"74192"</f>
        <v>74192</v>
      </c>
      <c r="C26266" s="1">
        <v>0</v>
      </c>
      <c r="D26266" s="1">
        <v>0</v>
      </c>
      <c r="E26266" s="1">
        <v>4.7027840481564997E-5</v>
      </c>
      <c r="F26266" s="1">
        <v>1.8234166817098501E-6</v>
      </c>
    </row>
    <row r="26267" spans="1:6" x14ac:dyDescent="0.25">
      <c r="A26267" s="2" t="str">
        <f t="shared" si="923"/>
        <v>46140</v>
      </c>
      <c r="B26267" s="2" t="str">
        <f>"74186"</f>
        <v>74186</v>
      </c>
      <c r="C26267" s="1">
        <v>0</v>
      </c>
      <c r="D26267" s="1">
        <v>0</v>
      </c>
      <c r="E26267" s="1">
        <v>4.7027840481564997E-5</v>
      </c>
      <c r="F26267" s="1">
        <v>1.8234166817098501E-6</v>
      </c>
    </row>
    <row r="26268" spans="1:6" x14ac:dyDescent="0.25">
      <c r="A26268" s="2" t="str">
        <f t="shared" si="923"/>
        <v>46140</v>
      </c>
      <c r="B26268" s="2" t="str">
        <f>"74101"</f>
        <v>74101</v>
      </c>
      <c r="C26268" s="1">
        <v>3.6381960402208798E-3</v>
      </c>
      <c r="D26268" s="1">
        <v>9.4073377234242701E-3</v>
      </c>
      <c r="E26268" s="1">
        <v>9.4055680963130102E-5</v>
      </c>
      <c r="F26268" s="1">
        <v>4.0151635331250896E-3</v>
      </c>
    </row>
    <row r="26269" spans="1:6" x14ac:dyDescent="0.25">
      <c r="A26269" s="2" t="str">
        <f t="shared" si="923"/>
        <v>46140</v>
      </c>
      <c r="B26269" s="2" t="str">
        <f>"74081"</f>
        <v>74081</v>
      </c>
      <c r="C26269" s="1">
        <v>2.1285537752556601E-3</v>
      </c>
      <c r="D26269" s="1">
        <v>2.8631027853899901E-4</v>
      </c>
      <c r="E26269" s="1">
        <v>4.7027840481564997E-5</v>
      </c>
      <c r="F26269" s="1">
        <v>1.8835894322062701E-3</v>
      </c>
    </row>
    <row r="26270" spans="1:6" x14ac:dyDescent="0.25">
      <c r="A26270" s="2" t="str">
        <f t="shared" si="923"/>
        <v>46140</v>
      </c>
      <c r="B26270" s="2" t="str">
        <f>"74052"</f>
        <v>74052</v>
      </c>
      <c r="C26270" s="1">
        <v>2.0909172644947601E-6</v>
      </c>
      <c r="D26270" s="1">
        <v>0</v>
      </c>
      <c r="E26270" s="1">
        <v>4.7027840481564997E-5</v>
      </c>
      <c r="F26270" s="1">
        <v>3.6468333634197001E-6</v>
      </c>
    </row>
    <row r="26271" spans="1:6" x14ac:dyDescent="0.25">
      <c r="A26271" s="2" t="str">
        <f t="shared" si="923"/>
        <v>46140</v>
      </c>
      <c r="B26271" s="2" t="str">
        <f>"74010"</f>
        <v>74010</v>
      </c>
      <c r="C26271" s="1">
        <v>1.0362585962836001E-2</v>
      </c>
      <c r="D26271" s="1">
        <v>8.2620966092682695E-3</v>
      </c>
      <c r="E26271" s="1">
        <v>3.29194883370955E-3</v>
      </c>
      <c r="F26271" s="1">
        <v>9.9011525816845008E-3</v>
      </c>
    </row>
    <row r="26272" spans="1:6" x14ac:dyDescent="0.25">
      <c r="A26272" s="2" t="str">
        <f t="shared" si="923"/>
        <v>46140</v>
      </c>
      <c r="B26272" s="2" t="str">
        <f>"74012"</f>
        <v>74012</v>
      </c>
      <c r="C26272" s="1">
        <v>5.4257212096374498E-2</v>
      </c>
      <c r="D26272" s="1">
        <v>5.24561331751809E-2</v>
      </c>
      <c r="E26272" s="1">
        <v>2.59123401053423E-2</v>
      </c>
      <c r="F26272" s="1">
        <v>5.2997605853896901E-2</v>
      </c>
    </row>
    <row r="26273" spans="1:6" x14ac:dyDescent="0.25">
      <c r="A26273" s="2" t="str">
        <f t="shared" si="923"/>
        <v>46140</v>
      </c>
      <c r="B26273" s="2" t="str">
        <f>"74034"</f>
        <v>74034</v>
      </c>
      <c r="C26273" s="1">
        <v>0</v>
      </c>
      <c r="D26273" s="1">
        <v>0</v>
      </c>
      <c r="E26273" s="1">
        <v>4.7027840481564997E-5</v>
      </c>
      <c r="F26273" s="1">
        <v>1.8234166817098501E-6</v>
      </c>
    </row>
    <row r="26274" spans="1:6" x14ac:dyDescent="0.25">
      <c r="A26274" s="2" t="str">
        <f t="shared" si="923"/>
        <v>46140</v>
      </c>
      <c r="B26274" s="2" t="str">
        <f>"74037"</f>
        <v>74037</v>
      </c>
      <c r="C26274" s="1">
        <v>1.9759168149475401E-2</v>
      </c>
      <c r="D26274" s="1">
        <v>2.2495807599492799E-2</v>
      </c>
      <c r="E26274" s="1">
        <v>6.3017306245297198E-3</v>
      </c>
      <c r="F26274" s="1">
        <v>1.9481383827388E-2</v>
      </c>
    </row>
    <row r="26275" spans="1:6" x14ac:dyDescent="0.25">
      <c r="A26275" s="2" t="str">
        <f t="shared" si="923"/>
        <v>46140</v>
      </c>
      <c r="B26275" s="2" t="str">
        <f>"74036"</f>
        <v>74036</v>
      </c>
      <c r="C26275" s="1">
        <v>5.6078401033749399E-3</v>
      </c>
      <c r="D26275" s="1">
        <v>1.5338050636017799E-3</v>
      </c>
      <c r="E26275" s="1">
        <v>1.41083521444695E-3</v>
      </c>
      <c r="F26275" s="1">
        <v>5.0818622919253601E-3</v>
      </c>
    </row>
    <row r="26276" spans="1:6" x14ac:dyDescent="0.25">
      <c r="A26276" s="2" t="str">
        <f t="shared" si="923"/>
        <v>46140</v>
      </c>
      <c r="B26276" s="2" t="str">
        <f>"74033"</f>
        <v>74033</v>
      </c>
      <c r="C26276" s="1">
        <v>1.02705856031982E-2</v>
      </c>
      <c r="D26276" s="1">
        <v>4.5809644566239902E-3</v>
      </c>
      <c r="E26276" s="1">
        <v>1.69300225733634E-3</v>
      </c>
      <c r="F26276" s="1">
        <v>9.4307110778033606E-3</v>
      </c>
    </row>
    <row r="26277" spans="1:6" x14ac:dyDescent="0.25">
      <c r="A26277" s="2" t="str">
        <f t="shared" si="923"/>
        <v>46140</v>
      </c>
      <c r="B26277" s="2" t="str">
        <f>"74001"</f>
        <v>74001</v>
      </c>
      <c r="C26277" s="1">
        <v>6.2727517934842803E-6</v>
      </c>
      <c r="D26277" s="1">
        <v>0</v>
      </c>
      <c r="E26277" s="1">
        <v>4.7027840481564997E-5</v>
      </c>
      <c r="F26277" s="1">
        <v>7.2936667268394096E-6</v>
      </c>
    </row>
    <row r="26278" spans="1:6" x14ac:dyDescent="0.25">
      <c r="A26278" s="2" t="str">
        <f t="shared" si="923"/>
        <v>46140</v>
      </c>
      <c r="B26278" s="2" t="str">
        <f>"74652"</f>
        <v>74652</v>
      </c>
      <c r="C26278" s="1">
        <v>5.9800233764550101E-4</v>
      </c>
      <c r="D26278" s="1">
        <v>3.8856394944578499E-4</v>
      </c>
      <c r="E26278" s="1">
        <v>4.7027840481564997E-5</v>
      </c>
      <c r="F26278" s="1">
        <v>5.5796550460321501E-4</v>
      </c>
    </row>
    <row r="26279" spans="1:6" x14ac:dyDescent="0.25">
      <c r="A26279" s="2" t="str">
        <f t="shared" si="923"/>
        <v>46140</v>
      </c>
      <c r="B26279" s="2" t="str">
        <f>"74460"</f>
        <v>74460</v>
      </c>
      <c r="C26279" s="1">
        <v>0</v>
      </c>
      <c r="D26279" s="1">
        <v>0</v>
      </c>
      <c r="E26279" s="1">
        <v>4.7027840481564997E-5</v>
      </c>
      <c r="F26279" s="1">
        <v>1.8234166817098501E-6</v>
      </c>
    </row>
    <row r="26280" spans="1:6" x14ac:dyDescent="0.25">
      <c r="A26280" s="2" t="str">
        <f t="shared" ref="A26280:A26311" si="924">"46140"</f>
        <v>46140</v>
      </c>
      <c r="B26280" s="2" t="str">
        <f>"74456"</f>
        <v>74456</v>
      </c>
      <c r="C26280" s="1">
        <v>2.0909172644947601E-6</v>
      </c>
      <c r="D26280" s="1">
        <v>0</v>
      </c>
      <c r="E26280" s="1">
        <v>4.7027840481564997E-5</v>
      </c>
      <c r="F26280" s="1">
        <v>3.6468333634197001E-6</v>
      </c>
    </row>
    <row r="26281" spans="1:6" x14ac:dyDescent="0.25">
      <c r="A26281" s="2" t="str">
        <f t="shared" si="924"/>
        <v>46140</v>
      </c>
      <c r="B26281" s="2" t="str">
        <f>"74131"</f>
        <v>74131</v>
      </c>
      <c r="C26281" s="1">
        <v>3.14055773127113E-3</v>
      </c>
      <c r="D26281" s="1">
        <v>5.1740357478833399E-3</v>
      </c>
      <c r="E26281" s="1">
        <v>1.5519187358916399E-3</v>
      </c>
      <c r="F26281" s="1">
        <v>3.2602690268972098E-3</v>
      </c>
    </row>
    <row r="26282" spans="1:6" x14ac:dyDescent="0.25">
      <c r="A26282" s="2" t="str">
        <f t="shared" si="924"/>
        <v>46140</v>
      </c>
      <c r="B26282" s="2" t="str">
        <f>"74193"</f>
        <v>74193</v>
      </c>
      <c r="C26282" s="1">
        <v>0</v>
      </c>
      <c r="D26282" s="1">
        <v>2.04507341813571E-5</v>
      </c>
      <c r="E26282" s="1">
        <v>0</v>
      </c>
      <c r="F26282" s="1">
        <v>1.8234166817098501E-6</v>
      </c>
    </row>
    <row r="26283" spans="1:6" x14ac:dyDescent="0.25">
      <c r="A26283" s="2" t="str">
        <f t="shared" si="924"/>
        <v>46140</v>
      </c>
      <c r="B26283" s="2" t="str">
        <f>"74187"</f>
        <v>74187</v>
      </c>
      <c r="C26283" s="1">
        <v>0</v>
      </c>
      <c r="D26283" s="1">
        <v>0</v>
      </c>
      <c r="E26283" s="1">
        <v>4.7027840481564997E-5</v>
      </c>
      <c r="F26283" s="1">
        <v>1.8234166817098501E-6</v>
      </c>
    </row>
    <row r="26284" spans="1:6" x14ac:dyDescent="0.25">
      <c r="A26284" s="2" t="str">
        <f t="shared" si="924"/>
        <v>46140</v>
      </c>
      <c r="B26284" s="2" t="str">
        <f>"74150"</f>
        <v>74150</v>
      </c>
      <c r="C26284" s="1">
        <v>8.3218507126891399E-4</v>
      </c>
      <c r="D26284" s="1">
        <v>9.2028303816106896E-4</v>
      </c>
      <c r="E26284" s="1">
        <v>9.4055680963130102E-5</v>
      </c>
      <c r="F26284" s="1">
        <v>8.1142042336088496E-4</v>
      </c>
    </row>
    <row r="26285" spans="1:6" x14ac:dyDescent="0.25">
      <c r="A26285" s="2" t="str">
        <f t="shared" si="924"/>
        <v>46140</v>
      </c>
      <c r="B26285" s="2" t="str">
        <f>"74153"</f>
        <v>74153</v>
      </c>
      <c r="C26285" s="1">
        <v>9.6600377619657902E-4</v>
      </c>
      <c r="D26285" s="1">
        <v>7.6076731154648396E-3</v>
      </c>
      <c r="E26285" s="1">
        <v>9.4055680963130102E-5</v>
      </c>
      <c r="F26285" s="1">
        <v>1.52437634590943E-3</v>
      </c>
    </row>
    <row r="26286" spans="1:6" x14ac:dyDescent="0.25">
      <c r="A26286" s="2" t="str">
        <f t="shared" si="924"/>
        <v>46140</v>
      </c>
      <c r="B26286" s="2" t="str">
        <f>"74332"</f>
        <v>74332</v>
      </c>
      <c r="C26286" s="1">
        <v>3.9727428025400401E-4</v>
      </c>
      <c r="D26286" s="1">
        <v>6.1352202544071296E-5</v>
      </c>
      <c r="E26286" s="1">
        <v>5.6433408577878099E-4</v>
      </c>
      <c r="F26286" s="1">
        <v>3.7380041975052002E-4</v>
      </c>
    </row>
    <row r="26287" spans="1:6" x14ac:dyDescent="0.25">
      <c r="A26287" s="2" t="str">
        <f t="shared" si="924"/>
        <v>46140</v>
      </c>
      <c r="B26287" s="2" t="str">
        <f>"74170"</f>
        <v>74170</v>
      </c>
      <c r="C26287" s="1">
        <v>2.8457383969773698E-3</v>
      </c>
      <c r="D26287" s="1">
        <v>1.33543294204261E-2</v>
      </c>
      <c r="E26287" s="1">
        <v>9.4055680963130102E-5</v>
      </c>
      <c r="F26287" s="1">
        <v>3.67600803032706E-3</v>
      </c>
    </row>
    <row r="26288" spans="1:6" x14ac:dyDescent="0.25">
      <c r="A26288" s="2" t="str">
        <f t="shared" si="924"/>
        <v>46140</v>
      </c>
      <c r="B26288" s="2" t="str">
        <f>"74084"</f>
        <v>74084</v>
      </c>
      <c r="C26288" s="1">
        <v>8.7818525108779896E-5</v>
      </c>
      <c r="D26288" s="1">
        <v>0</v>
      </c>
      <c r="E26288" s="1">
        <v>4.7027840481564997E-5</v>
      </c>
      <c r="F26288" s="1">
        <v>7.8406917313523705E-5</v>
      </c>
    </row>
    <row r="26289" spans="1:6" x14ac:dyDescent="0.25">
      <c r="A26289" s="2" t="str">
        <f t="shared" si="924"/>
        <v>46140</v>
      </c>
      <c r="B26289" s="2" t="str">
        <f>"74015"</f>
        <v>74015</v>
      </c>
      <c r="C26289" s="1">
        <v>1.20708653679282E-2</v>
      </c>
      <c r="D26289" s="1">
        <v>1.4560922737126201E-2</v>
      </c>
      <c r="E26289" s="1">
        <v>5.5022573363431096E-3</v>
      </c>
      <c r="F26289" s="1">
        <v>1.20381969326484E-2</v>
      </c>
    </row>
    <row r="26290" spans="1:6" x14ac:dyDescent="0.25">
      <c r="A26290" s="2" t="str">
        <f t="shared" si="924"/>
        <v>46140</v>
      </c>
      <c r="B26290" s="2" t="str">
        <f>"74050"</f>
        <v>74050</v>
      </c>
      <c r="C26290" s="1">
        <v>1.71664307415019E-3</v>
      </c>
      <c r="D26290" s="1">
        <v>8.3848010143564098E-4</v>
      </c>
      <c r="E26290" s="1">
        <v>1.41083521444695E-4</v>
      </c>
      <c r="F26290" s="1">
        <v>1.5772554296790201E-3</v>
      </c>
    </row>
    <row r="26291" spans="1:6" x14ac:dyDescent="0.25">
      <c r="A26291" s="2" t="str">
        <f t="shared" si="924"/>
        <v>46140</v>
      </c>
      <c r="B26291" s="2" t="str">
        <f>"74047"</f>
        <v>74047</v>
      </c>
      <c r="C26291" s="1">
        <v>5.7751134845345298E-3</v>
      </c>
      <c r="D26291" s="1">
        <v>1.14524111415599E-3</v>
      </c>
      <c r="E26291" s="1">
        <v>2.35139202407825E-4</v>
      </c>
      <c r="F26291" s="1">
        <v>5.1475052924669102E-3</v>
      </c>
    </row>
    <row r="26292" spans="1:6" x14ac:dyDescent="0.25">
      <c r="A26292" s="2" t="str">
        <f t="shared" si="924"/>
        <v>46140</v>
      </c>
      <c r="B26292" s="2" t="str">
        <f>"74045"</f>
        <v>74045</v>
      </c>
      <c r="C26292" s="1">
        <v>4.8718372262727901E-4</v>
      </c>
      <c r="D26292" s="1">
        <v>2.04507341813571E-5</v>
      </c>
      <c r="E26292" s="1">
        <v>4.7027840481564997E-5</v>
      </c>
      <c r="F26292" s="1">
        <v>4.2850292020181501E-4</v>
      </c>
    </row>
    <row r="26293" spans="1:6" x14ac:dyDescent="0.25">
      <c r="A26293" s="2" t="str">
        <f t="shared" si="924"/>
        <v>46140</v>
      </c>
      <c r="B26293" s="2" t="str">
        <f>"74032"</f>
        <v>74032</v>
      </c>
      <c r="C26293" s="1">
        <v>1.40091456721149E-4</v>
      </c>
      <c r="D26293" s="1">
        <v>6.1352202544071296E-5</v>
      </c>
      <c r="E26293" s="1">
        <v>0</v>
      </c>
      <c r="F26293" s="1">
        <v>1.27639167719689E-4</v>
      </c>
    </row>
    <row r="26294" spans="1:6" x14ac:dyDescent="0.25">
      <c r="A26294" s="2" t="str">
        <f t="shared" si="924"/>
        <v>46140</v>
      </c>
      <c r="B26294" s="2" t="str">
        <f>"74030"</f>
        <v>74030</v>
      </c>
      <c r="C26294" s="1">
        <v>3.57965035681503E-3</v>
      </c>
      <c r="D26294" s="1">
        <v>4.6218659249867003E-3</v>
      </c>
      <c r="E26294" s="1">
        <v>4.7027840481564999E-4</v>
      </c>
      <c r="F26294" s="1">
        <v>3.5520156959707901E-3</v>
      </c>
    </row>
    <row r="26295" spans="1:6" x14ac:dyDescent="0.25">
      <c r="A26295" s="2" t="str">
        <f t="shared" si="924"/>
        <v>46140</v>
      </c>
      <c r="B26295" s="2" t="str">
        <f>"74028"</f>
        <v>74028</v>
      </c>
      <c r="C26295" s="1">
        <v>1.14791357820762E-3</v>
      </c>
      <c r="D26295" s="1">
        <v>2.8631027853899901E-4</v>
      </c>
      <c r="E26295" s="1">
        <v>1.8811136192625999E-4</v>
      </c>
      <c r="F26295" s="1">
        <v>1.03387725852948E-3</v>
      </c>
    </row>
    <row r="26296" spans="1:6" x14ac:dyDescent="0.25">
      <c r="A26296" s="2" t="str">
        <f t="shared" si="924"/>
        <v>46140</v>
      </c>
      <c r="B26296" s="2" t="str">
        <f>"74859"</f>
        <v>74859</v>
      </c>
      <c r="C26296" s="1">
        <v>0</v>
      </c>
      <c r="D26296" s="1">
        <v>2.04507341813571E-5</v>
      </c>
      <c r="E26296" s="1">
        <v>0</v>
      </c>
      <c r="F26296" s="1">
        <v>1.8234166817098501E-6</v>
      </c>
    </row>
    <row r="26297" spans="1:6" x14ac:dyDescent="0.25">
      <c r="A26297" s="2" t="str">
        <f t="shared" si="924"/>
        <v>46140</v>
      </c>
      <c r="B26297" s="2" t="str">
        <f>"74644"</f>
        <v>74644</v>
      </c>
      <c r="C26297" s="1">
        <v>4.1818345289895202E-6</v>
      </c>
      <c r="D26297" s="1">
        <v>0</v>
      </c>
      <c r="E26297" s="1">
        <v>0</v>
      </c>
      <c r="F26297" s="1">
        <v>3.6468333634197001E-6</v>
      </c>
    </row>
    <row r="26298" spans="1:6" x14ac:dyDescent="0.25">
      <c r="A26298" s="2" t="str">
        <f t="shared" si="924"/>
        <v>46140</v>
      </c>
      <c r="B26298" s="2" t="str">
        <f>"74446"</f>
        <v>74446</v>
      </c>
      <c r="C26298" s="1">
        <v>1.46364208514633E-5</v>
      </c>
      <c r="D26298" s="1">
        <v>0</v>
      </c>
      <c r="E26298" s="1">
        <v>4.7027840481564997E-5</v>
      </c>
      <c r="F26298" s="1">
        <v>1.4587333453678801E-5</v>
      </c>
    </row>
    <row r="26299" spans="1:6" x14ac:dyDescent="0.25">
      <c r="A26299" s="2" t="str">
        <f t="shared" si="924"/>
        <v>46140</v>
      </c>
      <c r="B26299" s="2" t="str">
        <f>"74135"</f>
        <v>74135</v>
      </c>
      <c r="C26299" s="1">
        <v>2.3451728038573198E-2</v>
      </c>
      <c r="D26299" s="1">
        <v>4.0594707349993799E-2</v>
      </c>
      <c r="E26299" s="1">
        <v>8.0511662904439396E-2</v>
      </c>
      <c r="F26299" s="1">
        <v>2.7192612974339E-2</v>
      </c>
    </row>
    <row r="26300" spans="1:6" x14ac:dyDescent="0.25">
      <c r="A26300" s="2" t="str">
        <f t="shared" si="924"/>
        <v>46140</v>
      </c>
      <c r="B26300" s="2" t="str">
        <f>"74133"</f>
        <v>74133</v>
      </c>
      <c r="C26300" s="1">
        <v>4.6809364800244203E-2</v>
      </c>
      <c r="D26300" s="1">
        <v>4.95112274530655E-2</v>
      </c>
      <c r="E26300" s="1">
        <v>8.7377727614747894E-2</v>
      </c>
      <c r="F26300" s="1">
        <v>4.8623229234474902E-2</v>
      </c>
    </row>
    <row r="26301" spans="1:6" x14ac:dyDescent="0.25">
      <c r="A26301" s="2" t="str">
        <f t="shared" si="924"/>
        <v>46140</v>
      </c>
      <c r="B26301" s="2" t="str">
        <f>"74128"</f>
        <v>74128</v>
      </c>
      <c r="C26301" s="1">
        <v>1.07765875812059E-2</v>
      </c>
      <c r="D26301" s="1">
        <v>8.6097590903513408E-3</v>
      </c>
      <c r="E26301" s="1">
        <v>1.3638073739653801E-2</v>
      </c>
      <c r="F26301" s="1">
        <v>1.06943388382282E-2</v>
      </c>
    </row>
    <row r="26302" spans="1:6" x14ac:dyDescent="0.25">
      <c r="A26302" s="2" t="str">
        <f t="shared" si="924"/>
        <v>46140</v>
      </c>
      <c r="B26302" s="2" t="str">
        <f>"74127"</f>
        <v>74127</v>
      </c>
      <c r="C26302" s="1">
        <v>1.7350431460777499E-2</v>
      </c>
      <c r="D26302" s="1">
        <v>9.3868869892429103E-3</v>
      </c>
      <c r="E26302" s="1">
        <v>1.23683220466516E-2</v>
      </c>
      <c r="F26302" s="1">
        <v>1.6447218469022799E-2</v>
      </c>
    </row>
    <row r="26303" spans="1:6" x14ac:dyDescent="0.25">
      <c r="A26303" s="2" t="str">
        <f t="shared" si="924"/>
        <v>46140</v>
      </c>
      <c r="B26303" s="2" t="str">
        <f>"74428"</f>
        <v>74428</v>
      </c>
      <c r="C26303" s="1">
        <v>2.0909172644947601E-6</v>
      </c>
      <c r="D26303" s="1">
        <v>0</v>
      </c>
      <c r="E26303" s="1">
        <v>0</v>
      </c>
      <c r="F26303" s="1">
        <v>1.8234166817098501E-6</v>
      </c>
    </row>
    <row r="26304" spans="1:6" x14ac:dyDescent="0.25">
      <c r="A26304" s="2" t="str">
        <f t="shared" si="924"/>
        <v>46140</v>
      </c>
      <c r="B26304" s="2" t="str">
        <f>"74352"</f>
        <v>74352</v>
      </c>
      <c r="C26304" s="1">
        <v>1.7563705021755901E-4</v>
      </c>
      <c r="D26304" s="1">
        <v>2.04507341813571E-5</v>
      </c>
      <c r="E26304" s="1">
        <v>0</v>
      </c>
      <c r="F26304" s="1">
        <v>1.5499041794533701E-4</v>
      </c>
    </row>
    <row r="26305" spans="1:6" x14ac:dyDescent="0.25">
      <c r="A26305" s="2" t="str">
        <f t="shared" si="924"/>
        <v>46140</v>
      </c>
      <c r="B26305" s="2" t="str">
        <f>"74120"</f>
        <v>74120</v>
      </c>
      <c r="C26305" s="1">
        <v>6.9983000842639602E-3</v>
      </c>
      <c r="D26305" s="1">
        <v>1.8364759294858601E-2</v>
      </c>
      <c r="E26305" s="1">
        <v>2.36079759217456E-2</v>
      </c>
      <c r="F26305" s="1">
        <v>8.6557589880766703E-3</v>
      </c>
    </row>
    <row r="26306" spans="1:6" x14ac:dyDescent="0.25">
      <c r="A26306" s="2" t="str">
        <f t="shared" si="924"/>
        <v>46140</v>
      </c>
      <c r="B26306" s="2" t="str">
        <f>"74108"</f>
        <v>74108</v>
      </c>
      <c r="C26306" s="1">
        <v>6.2121151928139296E-3</v>
      </c>
      <c r="D26306" s="1">
        <v>2.8222013170272802E-3</v>
      </c>
      <c r="E26306" s="1">
        <v>3.0097817908201598E-3</v>
      </c>
      <c r="F26306" s="1">
        <v>5.7857011310653598E-3</v>
      </c>
    </row>
    <row r="26307" spans="1:6" x14ac:dyDescent="0.25">
      <c r="A26307" s="2" t="str">
        <f t="shared" si="924"/>
        <v>46140</v>
      </c>
      <c r="B26307" s="2" t="str">
        <f>"74147"</f>
        <v>74147</v>
      </c>
      <c r="C26307" s="1">
        <v>1.7542795849111001E-3</v>
      </c>
      <c r="D26307" s="1">
        <v>1.17591721542803E-2</v>
      </c>
      <c r="E26307" s="1">
        <v>9.4055680963130102E-5</v>
      </c>
      <c r="F26307" s="1">
        <v>2.5819580213011502E-3</v>
      </c>
    </row>
    <row r="26308" spans="1:6" x14ac:dyDescent="0.25">
      <c r="A26308" s="2" t="str">
        <f t="shared" si="924"/>
        <v>46140</v>
      </c>
      <c r="B26308" s="2" t="str">
        <f>"74103"</f>
        <v>74103</v>
      </c>
      <c r="C26308" s="1">
        <v>1.2608231104903401E-3</v>
      </c>
      <c r="D26308" s="1">
        <v>2.7506237473925301E-2</v>
      </c>
      <c r="E26308" s="1">
        <v>6.3017306245297198E-3</v>
      </c>
      <c r="F26308" s="1">
        <v>3.7963535313199101E-3</v>
      </c>
    </row>
    <row r="26309" spans="1:6" x14ac:dyDescent="0.25">
      <c r="A26309" s="2" t="str">
        <f t="shared" si="924"/>
        <v>46140</v>
      </c>
      <c r="B26309" s="2" t="str">
        <f>"74107"</f>
        <v>74107</v>
      </c>
      <c r="C26309" s="1">
        <v>1.92949845167576E-2</v>
      </c>
      <c r="D26309" s="1">
        <v>1.87737739784858E-2</v>
      </c>
      <c r="E26309" s="1">
        <v>1.30267118133935E-2</v>
      </c>
      <c r="F26309" s="1">
        <v>1.9005472073461802E-2</v>
      </c>
    </row>
    <row r="26310" spans="1:6" x14ac:dyDescent="0.25">
      <c r="A26310" s="2" t="str">
        <f t="shared" si="924"/>
        <v>46140</v>
      </c>
      <c r="B26310" s="2" t="str">
        <f>"74014"</f>
        <v>74014</v>
      </c>
      <c r="C26310" s="1">
        <v>3.5376229197986803E-2</v>
      </c>
      <c r="D26310" s="1">
        <v>1.32520757495194E-2</v>
      </c>
      <c r="E26310" s="1">
        <v>3.1038374717832899E-3</v>
      </c>
      <c r="F26310" s="1">
        <v>3.2152306348589801E-2</v>
      </c>
    </row>
    <row r="26311" spans="1:6" x14ac:dyDescent="0.25">
      <c r="A26311" s="2" t="str">
        <f t="shared" si="924"/>
        <v>46140</v>
      </c>
      <c r="B26311" s="2" t="str">
        <f>"74071"</f>
        <v>74071</v>
      </c>
      <c r="C26311" s="1">
        <v>0</v>
      </c>
      <c r="D26311" s="1">
        <v>0</v>
      </c>
      <c r="E26311" s="1">
        <v>4.7027840481564997E-5</v>
      </c>
      <c r="F26311" s="1">
        <v>1.8234166817098501E-6</v>
      </c>
    </row>
    <row r="26312" spans="1:6" x14ac:dyDescent="0.25">
      <c r="A26312" s="2" t="str">
        <f t="shared" ref="A26312:A26320" si="925">"46140"</f>
        <v>46140</v>
      </c>
      <c r="B26312" s="2" t="str">
        <f>"74046"</f>
        <v>74046</v>
      </c>
      <c r="C26312" s="1">
        <v>0</v>
      </c>
      <c r="D26312" s="1">
        <v>0</v>
      </c>
      <c r="E26312" s="1">
        <v>4.7027840481564997E-5</v>
      </c>
      <c r="F26312" s="1">
        <v>1.8234166817098501E-6</v>
      </c>
    </row>
    <row r="26313" spans="1:6" x14ac:dyDescent="0.25">
      <c r="A26313" s="2" t="str">
        <f t="shared" si="925"/>
        <v>46140</v>
      </c>
      <c r="B26313" s="2" t="str">
        <f>"74056"</f>
        <v>74056</v>
      </c>
      <c r="C26313" s="1">
        <v>5.5722945098785302E-3</v>
      </c>
      <c r="D26313" s="1">
        <v>8.5279561536259103E-3</v>
      </c>
      <c r="E26313" s="1">
        <v>2.3513920240782501E-3</v>
      </c>
      <c r="F26313" s="1">
        <v>5.7109410471152602E-3</v>
      </c>
    </row>
    <row r="26314" spans="1:6" x14ac:dyDescent="0.25">
      <c r="A26314" s="2" t="str">
        <f t="shared" si="925"/>
        <v>46140</v>
      </c>
      <c r="B26314" s="2" t="str">
        <f>"74043"</f>
        <v>74043</v>
      </c>
      <c r="C26314" s="1">
        <v>4.1818345289895202E-6</v>
      </c>
      <c r="D26314" s="1">
        <v>0</v>
      </c>
      <c r="E26314" s="1">
        <v>4.7027840481564997E-5</v>
      </c>
      <c r="F26314" s="1">
        <v>5.4702500451295604E-6</v>
      </c>
    </row>
    <row r="26315" spans="1:6" x14ac:dyDescent="0.25">
      <c r="A26315" s="2" t="str">
        <f t="shared" si="925"/>
        <v>46140</v>
      </c>
      <c r="B26315" s="2" t="str">
        <f>"74063"</f>
        <v>74063</v>
      </c>
      <c r="C26315" s="1">
        <v>3.1510123175936003E-2</v>
      </c>
      <c r="D26315" s="1">
        <v>2.5604319195059101E-2</v>
      </c>
      <c r="E26315" s="1">
        <v>7.5714823175319704E-3</v>
      </c>
      <c r="F26315" s="1">
        <v>3.00553771646235E-2</v>
      </c>
    </row>
    <row r="26316" spans="1:6" x14ac:dyDescent="0.25">
      <c r="A26316" s="2" t="str">
        <f t="shared" si="925"/>
        <v>46140</v>
      </c>
      <c r="B26316" s="2" t="str">
        <f>"74058"</f>
        <v>74058</v>
      </c>
      <c r="C26316" s="1">
        <v>4.2382892951308799E-3</v>
      </c>
      <c r="D26316" s="1">
        <v>4.2333019755409198E-3</v>
      </c>
      <c r="E26316" s="1">
        <v>1.5519187358916399E-3</v>
      </c>
      <c r="F26316" s="1">
        <v>4.1336856174362304E-3</v>
      </c>
    </row>
    <row r="26317" spans="1:6" x14ac:dyDescent="0.25">
      <c r="A26317" s="2" t="str">
        <f t="shared" si="925"/>
        <v>46140</v>
      </c>
      <c r="B26317" s="2" t="str">
        <f>"74008"</f>
        <v>74008</v>
      </c>
      <c r="C26317" s="1">
        <v>2.7447470931022701E-2</v>
      </c>
      <c r="D26317" s="1">
        <v>2.1841384105689299E-2</v>
      </c>
      <c r="E26317" s="1">
        <v>1.4202407825432599E-2</v>
      </c>
      <c r="F26317" s="1">
        <v>2.6434071634747699E-2</v>
      </c>
    </row>
    <row r="26318" spans="1:6" x14ac:dyDescent="0.25">
      <c r="A26318" s="2" t="str">
        <f t="shared" si="925"/>
        <v>46140</v>
      </c>
      <c r="B26318" s="2" t="str">
        <f>"74031"</f>
        <v>74031</v>
      </c>
      <c r="C26318" s="1">
        <v>1.1207316537691901E-3</v>
      </c>
      <c r="D26318" s="1">
        <v>5.7262055707799899E-4</v>
      </c>
      <c r="E26318" s="1">
        <v>1.41083521444695E-4</v>
      </c>
      <c r="F26318" s="1">
        <v>1.03387725852948E-3</v>
      </c>
    </row>
    <row r="26319" spans="1:6" x14ac:dyDescent="0.25">
      <c r="A26319" s="2" t="str">
        <f t="shared" si="925"/>
        <v>46140</v>
      </c>
      <c r="B26319" s="2" t="str">
        <f>"74041"</f>
        <v>74041</v>
      </c>
      <c r="C26319" s="1">
        <v>3.4583771554743299E-3</v>
      </c>
      <c r="D26319" s="1">
        <v>2.1473270890424901E-3</v>
      </c>
      <c r="E26319" s="1">
        <v>3.2919488337095499E-4</v>
      </c>
      <c r="F26319" s="1">
        <v>3.2201538598996002E-3</v>
      </c>
    </row>
    <row r="26320" spans="1:6" x14ac:dyDescent="0.25">
      <c r="A26320" s="2" t="str">
        <f t="shared" si="925"/>
        <v>46140</v>
      </c>
      <c r="B26320" s="2" t="str">
        <f>"74003"</f>
        <v>74003</v>
      </c>
      <c r="C26320" s="1">
        <v>1.77727967482054E-3</v>
      </c>
      <c r="D26320" s="1">
        <v>7.9757863307292705E-4</v>
      </c>
      <c r="E26320" s="1">
        <v>0</v>
      </c>
      <c r="F26320" s="1">
        <v>1.62101743004006E-3</v>
      </c>
    </row>
    <row r="26321" spans="1:6" x14ac:dyDescent="0.25">
      <c r="A26321" s="2" t="str">
        <f t="shared" ref="A26321:A26330" si="926">"34420"</f>
        <v>34420</v>
      </c>
      <c r="B26321" s="2" t="str">
        <f>"75494"</f>
        <v>75494</v>
      </c>
      <c r="C26321" s="1">
        <v>4.1976241447340802E-4</v>
      </c>
      <c r="D26321" s="1">
        <v>0</v>
      </c>
      <c r="E26321" s="1">
        <v>0</v>
      </c>
      <c r="F26321" s="1">
        <v>3.8181054560726901E-4</v>
      </c>
    </row>
    <row r="26322" spans="1:6" x14ac:dyDescent="0.25">
      <c r="A26322" s="2" t="str">
        <f t="shared" si="926"/>
        <v>34420</v>
      </c>
      <c r="B26322" s="2" t="str">
        <f>"75487"</f>
        <v>75487</v>
      </c>
      <c r="C26322" s="1">
        <v>2.6067245938798601E-2</v>
      </c>
      <c r="D26322" s="1">
        <v>7.9800498753117202E-3</v>
      </c>
      <c r="E26322" s="1">
        <v>1.10192837465564E-2</v>
      </c>
      <c r="F26322" s="1">
        <v>2.44740559734259E-2</v>
      </c>
    </row>
    <row r="26323" spans="1:6" x14ac:dyDescent="0.25">
      <c r="A26323" s="2" t="str">
        <f t="shared" si="926"/>
        <v>34420</v>
      </c>
      <c r="B26323" s="2" t="str">
        <f>"75571"</f>
        <v>75571</v>
      </c>
      <c r="C26323" s="1">
        <v>4.5754103177601396E-3</v>
      </c>
      <c r="D26323" s="1">
        <v>0</v>
      </c>
      <c r="E26323" s="1">
        <v>0</v>
      </c>
      <c r="F26323" s="1">
        <v>4.1617349471192297E-3</v>
      </c>
    </row>
    <row r="26324" spans="1:6" x14ac:dyDescent="0.25">
      <c r="A26324" s="2" t="str">
        <f t="shared" si="926"/>
        <v>34420</v>
      </c>
      <c r="B26324" s="2" t="str">
        <f>"75455"</f>
        <v>75455</v>
      </c>
      <c r="C26324" s="1">
        <v>0.57994375183645996</v>
      </c>
      <c r="D26324" s="1">
        <v>0.57456359102244303</v>
      </c>
      <c r="E26324" s="1">
        <v>0.69421487603305698</v>
      </c>
      <c r="F26324" s="1">
        <v>0.58111565041426405</v>
      </c>
    </row>
    <row r="26325" spans="1:6" x14ac:dyDescent="0.25">
      <c r="A26325" s="2" t="str">
        <f t="shared" si="926"/>
        <v>34420</v>
      </c>
      <c r="B26325" s="2" t="str">
        <f>"75644"</f>
        <v>75644</v>
      </c>
      <c r="C26325" s="1">
        <v>3.3580993157872601E-4</v>
      </c>
      <c r="D26325" s="1">
        <v>0</v>
      </c>
      <c r="E26325" s="1">
        <v>0</v>
      </c>
      <c r="F26325" s="1">
        <v>3.0544843648581499E-4</v>
      </c>
    </row>
    <row r="26326" spans="1:6" x14ac:dyDescent="0.25">
      <c r="A26326" s="2" t="str">
        <f t="shared" si="926"/>
        <v>34420</v>
      </c>
      <c r="B26326" s="2" t="str">
        <f>"75451"</f>
        <v>75451</v>
      </c>
      <c r="C26326" s="1">
        <v>3.82403559585274E-2</v>
      </c>
      <c r="D26326" s="1">
        <v>2.9925187032418901E-3</v>
      </c>
      <c r="E26326" s="1">
        <v>2.7548209366391099E-3</v>
      </c>
      <c r="F26326" s="1">
        <v>3.5050208086747303E-2</v>
      </c>
    </row>
    <row r="26327" spans="1:6" x14ac:dyDescent="0.25">
      <c r="A26327" s="2" t="str">
        <f t="shared" si="926"/>
        <v>34420</v>
      </c>
      <c r="B26327" s="2" t="str">
        <f>"75493"</f>
        <v>75493</v>
      </c>
      <c r="C26327" s="1">
        <v>0</v>
      </c>
      <c r="D26327" s="1">
        <v>9.9750623441396502E-4</v>
      </c>
      <c r="E26327" s="1">
        <v>0</v>
      </c>
      <c r="F26327" s="1">
        <v>7.6362109121453896E-5</v>
      </c>
    </row>
    <row r="26328" spans="1:6" x14ac:dyDescent="0.25">
      <c r="A26328" s="2" t="str">
        <f t="shared" si="926"/>
        <v>34420</v>
      </c>
      <c r="B26328" s="2" t="str">
        <f>"75558"</f>
        <v>75558</v>
      </c>
      <c r="C26328" s="1">
        <v>3.9289761994710903E-2</v>
      </c>
      <c r="D26328" s="1">
        <v>1.0972568578553599E-2</v>
      </c>
      <c r="E26328" s="1">
        <v>0</v>
      </c>
      <c r="F26328" s="1">
        <v>3.6577450269176401E-2</v>
      </c>
    </row>
    <row r="26329" spans="1:6" x14ac:dyDescent="0.25">
      <c r="A26329" s="2" t="str">
        <f t="shared" si="926"/>
        <v>34420</v>
      </c>
      <c r="B26329" s="2" t="str">
        <f>"75686"</f>
        <v>75686</v>
      </c>
      <c r="C26329" s="1">
        <v>0.25857364731561899</v>
      </c>
      <c r="D26329" s="1">
        <v>0.234912718204488</v>
      </c>
      <c r="E26329" s="1">
        <v>0.28650137741046799</v>
      </c>
      <c r="F26329" s="1">
        <v>0.25714940246649598</v>
      </c>
    </row>
    <row r="26330" spans="1:6" x14ac:dyDescent="0.25">
      <c r="A26330" s="2" t="str">
        <f t="shared" si="926"/>
        <v>34420</v>
      </c>
      <c r="B26330" s="2" t="str">
        <f>"75456"</f>
        <v>75456</v>
      </c>
      <c r="C26330" s="1">
        <v>5.2554254292070599E-2</v>
      </c>
      <c r="D26330" s="1">
        <v>0.167581047381546</v>
      </c>
      <c r="E26330" s="1">
        <v>5.5096418732782301E-3</v>
      </c>
      <c r="F26330" s="1">
        <v>6.0707876751555798E-2</v>
      </c>
    </row>
    <row r="26331" spans="1:6" x14ac:dyDescent="0.25">
      <c r="A26331" s="2" t="str">
        <f t="shared" ref="A26331:A26340" si="927">"31260"</f>
        <v>31260</v>
      </c>
      <c r="B26331" s="2" t="str">
        <f>"75941"</f>
        <v>75941</v>
      </c>
      <c r="C26331" s="1">
        <v>8.1160751885456101E-2</v>
      </c>
      <c r="D26331" s="1">
        <v>5.2518500835521599E-2</v>
      </c>
      <c r="E26331" s="1">
        <v>3.7081339712918597E-2</v>
      </c>
      <c r="F26331" s="1">
        <v>7.8422127927078394E-2</v>
      </c>
    </row>
    <row r="26332" spans="1:6" x14ac:dyDescent="0.25">
      <c r="A26332" s="2" t="str">
        <f t="shared" si="927"/>
        <v>31260</v>
      </c>
      <c r="B26332" s="2" t="str">
        <f>"75951"</f>
        <v>75951</v>
      </c>
      <c r="C26332" s="1">
        <v>1.72275180888939E-4</v>
      </c>
      <c r="D26332" s="1">
        <v>0</v>
      </c>
      <c r="E26332" s="1">
        <v>0</v>
      </c>
      <c r="F26332" s="1">
        <v>1.57158573000157E-4</v>
      </c>
    </row>
    <row r="26333" spans="1:6" x14ac:dyDescent="0.25">
      <c r="A26333" s="2" t="str">
        <f t="shared" si="927"/>
        <v>31260</v>
      </c>
      <c r="B26333" s="2" t="str">
        <f>"75901"</f>
        <v>75901</v>
      </c>
      <c r="C26333" s="1">
        <v>0.29788292944374201</v>
      </c>
      <c r="D26333" s="1">
        <v>0.43542611601814202</v>
      </c>
      <c r="E26333" s="1">
        <v>0.38277511961722399</v>
      </c>
      <c r="F26333" s="1">
        <v>0.30918329928230898</v>
      </c>
    </row>
    <row r="26334" spans="1:6" x14ac:dyDescent="0.25">
      <c r="A26334" s="2" t="str">
        <f t="shared" si="927"/>
        <v>31260</v>
      </c>
      <c r="B26334" s="2" t="str">
        <f>"75969"</f>
        <v>75969</v>
      </c>
      <c r="C26334" s="1">
        <v>4.2877378354580602E-2</v>
      </c>
      <c r="D26334" s="1">
        <v>5.0131296252088802E-3</v>
      </c>
      <c r="E26334" s="1">
        <v>3.5885167464114799E-3</v>
      </c>
      <c r="F26334" s="1">
        <v>3.9534112141372799E-2</v>
      </c>
    </row>
    <row r="26335" spans="1:6" x14ac:dyDescent="0.25">
      <c r="A26335" s="2" t="str">
        <f t="shared" si="927"/>
        <v>31260</v>
      </c>
      <c r="B26335" s="2" t="str">
        <f>"75980"</f>
        <v>75980</v>
      </c>
      <c r="C26335" s="1">
        <v>3.9546724857394397E-2</v>
      </c>
      <c r="D26335" s="1">
        <v>6.6841728336118397E-3</v>
      </c>
      <c r="E26335" s="1">
        <v>0</v>
      </c>
      <c r="F26335" s="1">
        <v>3.6565561318036503E-2</v>
      </c>
    </row>
    <row r="26336" spans="1:6" x14ac:dyDescent="0.25">
      <c r="A26336" s="2" t="str">
        <f t="shared" si="927"/>
        <v>31260</v>
      </c>
      <c r="B26336" s="2" t="str">
        <f>"75902"</f>
        <v>75902</v>
      </c>
      <c r="C26336" s="1">
        <v>2.4711917614180099E-2</v>
      </c>
      <c r="D26336" s="1">
        <v>7.5435664836476402E-2</v>
      </c>
      <c r="E26336" s="1">
        <v>2.3923444976076502E-3</v>
      </c>
      <c r="F26336" s="1">
        <v>2.8096460439694701E-2</v>
      </c>
    </row>
    <row r="26337" spans="1:6" x14ac:dyDescent="0.25">
      <c r="A26337" s="2" t="str">
        <f t="shared" si="927"/>
        <v>31260</v>
      </c>
      <c r="B26337" s="2" t="str">
        <f>"75904"</f>
        <v>75904</v>
      </c>
      <c r="C26337" s="1">
        <v>0.37400941770988799</v>
      </c>
      <c r="D26337" s="1">
        <v>0.28765815230365199</v>
      </c>
      <c r="E26337" s="1">
        <v>0.46531100478468801</v>
      </c>
      <c r="F26337" s="1">
        <v>0.36902579146803499</v>
      </c>
    </row>
    <row r="26338" spans="1:6" x14ac:dyDescent="0.25">
      <c r="A26338" s="2" t="str">
        <f t="shared" si="927"/>
        <v>31260</v>
      </c>
      <c r="B26338" s="2" t="str">
        <f>"75915"</f>
        <v>75915</v>
      </c>
      <c r="C26338" s="1">
        <v>3.2196317139466302E-2</v>
      </c>
      <c r="D26338" s="1">
        <v>9.7875387920744794E-2</v>
      </c>
      <c r="E26338" s="1">
        <v>2.3923444976076502E-3</v>
      </c>
      <c r="F26338" s="1">
        <v>3.6565561318036503E-2</v>
      </c>
    </row>
    <row r="26339" spans="1:6" x14ac:dyDescent="0.25">
      <c r="A26339" s="2" t="str">
        <f t="shared" si="927"/>
        <v>31260</v>
      </c>
      <c r="B26339" s="2" t="str">
        <f>"75949"</f>
        <v>75949</v>
      </c>
      <c r="C26339" s="1">
        <v>9.5076758163929395E-2</v>
      </c>
      <c r="D26339" s="1">
        <v>2.2439723084268299E-2</v>
      </c>
      <c r="E26339" s="1">
        <v>0.104066985645933</v>
      </c>
      <c r="F26339" s="1">
        <v>8.9894703756089794E-2</v>
      </c>
    </row>
    <row r="26340" spans="1:6" x14ac:dyDescent="0.25">
      <c r="A26340" s="2" t="str">
        <f t="shared" si="927"/>
        <v>31260</v>
      </c>
      <c r="B26340" s="2" t="str">
        <f>"75903"</f>
        <v>75903</v>
      </c>
      <c r="C26340" s="1">
        <v>1.23655296504727E-2</v>
      </c>
      <c r="D26340" s="1">
        <v>1.6949152542372801E-2</v>
      </c>
      <c r="E26340" s="1">
        <v>2.3923444976076502E-3</v>
      </c>
      <c r="F26340" s="1">
        <v>1.2555223776345799E-2</v>
      </c>
    </row>
    <row r="26341" spans="1:6" x14ac:dyDescent="0.25">
      <c r="A26341" s="2" t="str">
        <f t="shared" ref="A26341:A26350" si="928">"24180"</f>
        <v>24180</v>
      </c>
      <c r="B26341" s="2" t="str">
        <f>"76467"</f>
        <v>76467</v>
      </c>
      <c r="C26341" s="1">
        <v>0</v>
      </c>
      <c r="D26341" s="1">
        <v>0</v>
      </c>
      <c r="E26341" s="1">
        <v>1.5151515151515099E-3</v>
      </c>
      <c r="F26341" s="1">
        <v>2.7742329245963399E-5</v>
      </c>
    </row>
    <row r="26342" spans="1:6" x14ac:dyDescent="0.25">
      <c r="A26342" s="2" t="str">
        <f t="shared" si="928"/>
        <v>24180</v>
      </c>
      <c r="B26342" s="2" t="str">
        <f>"76087"</f>
        <v>76087</v>
      </c>
      <c r="C26342" s="1">
        <v>7.7969681908548697E-3</v>
      </c>
      <c r="D26342" s="1">
        <v>2.50469630557294E-3</v>
      </c>
      <c r="E26342" s="1">
        <v>4.54545454545454E-3</v>
      </c>
      <c r="F26342" s="1">
        <v>7.2684902624424296E-3</v>
      </c>
    </row>
    <row r="26343" spans="1:6" x14ac:dyDescent="0.25">
      <c r="A26343" s="2" t="str">
        <f t="shared" si="928"/>
        <v>24180</v>
      </c>
      <c r="B26343" s="2" t="str">
        <f>"76048"</f>
        <v>76048</v>
      </c>
      <c r="C26343" s="1">
        <v>0.452255218687872</v>
      </c>
      <c r="D26343" s="1">
        <v>0.54007514088916697</v>
      </c>
      <c r="E26343" s="1">
        <v>0.61969696969696897</v>
      </c>
      <c r="F26343" s="1">
        <v>0.46310270210286802</v>
      </c>
    </row>
    <row r="26344" spans="1:6" x14ac:dyDescent="0.25">
      <c r="A26344" s="2" t="str">
        <f t="shared" si="928"/>
        <v>24180</v>
      </c>
      <c r="B26344" s="2" t="str">
        <f>"76433"</f>
        <v>76433</v>
      </c>
      <c r="C26344" s="1">
        <v>1.55318091451292E-3</v>
      </c>
      <c r="D26344" s="1">
        <v>3.1308703819661799E-4</v>
      </c>
      <c r="E26344" s="1">
        <v>0</v>
      </c>
      <c r="F26344" s="1">
        <v>1.4148587915441299E-3</v>
      </c>
    </row>
    <row r="26345" spans="1:6" x14ac:dyDescent="0.25">
      <c r="A26345" s="2" t="str">
        <f t="shared" si="928"/>
        <v>24180</v>
      </c>
      <c r="B26345" s="2" t="str">
        <f>"76044"</f>
        <v>76044</v>
      </c>
      <c r="C26345" s="1">
        <v>3.1063618290258399E-5</v>
      </c>
      <c r="D26345" s="1">
        <v>0</v>
      </c>
      <c r="E26345" s="1">
        <v>0</v>
      </c>
      <c r="F26345" s="1">
        <v>2.7742329245963399E-5</v>
      </c>
    </row>
    <row r="26346" spans="1:6" x14ac:dyDescent="0.25">
      <c r="A26346" s="2" t="str">
        <f t="shared" si="928"/>
        <v>24180</v>
      </c>
      <c r="B26346" s="2" t="str">
        <f>"76049"</f>
        <v>76049</v>
      </c>
      <c r="C26346" s="1">
        <v>0.46458747514910498</v>
      </c>
      <c r="D26346" s="1">
        <v>0.42235441452723799</v>
      </c>
      <c r="E26346" s="1">
        <v>0.31212121212121202</v>
      </c>
      <c r="F26346" s="1">
        <v>0.45805359818010299</v>
      </c>
    </row>
    <row r="26347" spans="1:6" x14ac:dyDescent="0.25">
      <c r="A26347" s="2" t="str">
        <f t="shared" si="928"/>
        <v>24180</v>
      </c>
      <c r="B26347" s="2" t="str">
        <f>"76035"</f>
        <v>76035</v>
      </c>
      <c r="C26347" s="1">
        <v>1.6308399602385601E-2</v>
      </c>
      <c r="D26347" s="1">
        <v>2.00375704445835E-2</v>
      </c>
      <c r="E26347" s="1">
        <v>1.21212121212121E-2</v>
      </c>
      <c r="F26347" s="1">
        <v>1.65621705598402E-2</v>
      </c>
    </row>
    <row r="26348" spans="1:6" x14ac:dyDescent="0.25">
      <c r="A26348" s="2" t="str">
        <f t="shared" si="928"/>
        <v>24180</v>
      </c>
      <c r="B26348" s="2" t="str">
        <f>"76476"</f>
        <v>76476</v>
      </c>
      <c r="C26348" s="1">
        <v>3.8146123260437301E-2</v>
      </c>
      <c r="D26348" s="1">
        <v>1.09580463368816E-2</v>
      </c>
      <c r="E26348" s="1">
        <v>2.12121212121212E-2</v>
      </c>
      <c r="F26348" s="1">
        <v>3.5426954447095302E-2</v>
      </c>
    </row>
    <row r="26349" spans="1:6" x14ac:dyDescent="0.25">
      <c r="A26349" s="2" t="str">
        <f t="shared" si="928"/>
        <v>24180</v>
      </c>
      <c r="B26349" s="2" t="str">
        <f>"76462"</f>
        <v>76462</v>
      </c>
      <c r="C26349" s="1">
        <v>1.8607107355864801E-2</v>
      </c>
      <c r="D26349" s="1">
        <v>2.19160926737633E-3</v>
      </c>
      <c r="E26349" s="1">
        <v>1.8181818181818101E-2</v>
      </c>
      <c r="F26349" s="1">
        <v>1.71447594740054E-2</v>
      </c>
    </row>
    <row r="26350" spans="1:6" x14ac:dyDescent="0.25">
      <c r="A26350" s="2" t="str">
        <f t="shared" si="928"/>
        <v>24180</v>
      </c>
      <c r="B26350" s="2" t="str">
        <f>"76033"</f>
        <v>76033</v>
      </c>
      <c r="C26350" s="1">
        <v>7.1446322067594402E-4</v>
      </c>
      <c r="D26350" s="1">
        <v>1.56543519098309E-3</v>
      </c>
      <c r="E26350" s="1">
        <v>1.06060606060606E-2</v>
      </c>
      <c r="F26350" s="1">
        <v>9.7098152360872202E-4</v>
      </c>
    </row>
    <row r="26351" spans="1:6" x14ac:dyDescent="0.25">
      <c r="A26351" s="2" t="str">
        <f t="shared" ref="A26351:A26363" si="929">"28500"</f>
        <v>28500</v>
      </c>
      <c r="B26351" s="2" t="str">
        <f>"78028"</f>
        <v>78028</v>
      </c>
      <c r="C26351" s="1">
        <v>0.68514099783080196</v>
      </c>
      <c r="D26351" s="1">
        <v>0.72555518727212398</v>
      </c>
      <c r="E26351" s="1">
        <v>0.87607758620689602</v>
      </c>
      <c r="F26351" s="1">
        <v>0.69460528397405397</v>
      </c>
    </row>
    <row r="26352" spans="1:6" x14ac:dyDescent="0.25">
      <c r="A26352" s="2" t="str">
        <f t="shared" si="929"/>
        <v>28500</v>
      </c>
      <c r="B26352" s="2" t="str">
        <f>"78003"</f>
        <v>78003</v>
      </c>
      <c r="C26352" s="1">
        <v>7.2306579898770695E-5</v>
      </c>
      <c r="D26352" s="1">
        <v>0</v>
      </c>
      <c r="E26352" s="1">
        <v>0</v>
      </c>
      <c r="F26352" s="1">
        <v>6.3281126404049899E-5</v>
      </c>
    </row>
    <row r="26353" spans="1:6" x14ac:dyDescent="0.25">
      <c r="A26353" s="2" t="str">
        <f t="shared" si="929"/>
        <v>28500</v>
      </c>
      <c r="B26353" s="2" t="str">
        <f>"78631"</f>
        <v>78631</v>
      </c>
      <c r="C26353" s="1">
        <v>5.9291395516992002E-3</v>
      </c>
      <c r="D26353" s="1">
        <v>0</v>
      </c>
      <c r="E26353" s="1">
        <v>1.07758620689655E-3</v>
      </c>
      <c r="F26353" s="1">
        <v>5.2206929283341204E-3</v>
      </c>
    </row>
    <row r="26354" spans="1:6" x14ac:dyDescent="0.25">
      <c r="A26354" s="2" t="str">
        <f t="shared" si="929"/>
        <v>28500</v>
      </c>
      <c r="B26354" s="2" t="str">
        <f>"78063"</f>
        <v>78063</v>
      </c>
      <c r="C26354" s="1">
        <v>3.97686189443239E-4</v>
      </c>
      <c r="D26354" s="1">
        <v>0</v>
      </c>
      <c r="E26354" s="1">
        <v>0</v>
      </c>
      <c r="F26354" s="1">
        <v>3.4804619522227402E-4</v>
      </c>
    </row>
    <row r="26355" spans="1:6" x14ac:dyDescent="0.25">
      <c r="A26355" s="2" t="str">
        <f t="shared" si="929"/>
        <v>28500</v>
      </c>
      <c r="B26355" s="2" t="str">
        <f>"78058"</f>
        <v>78058</v>
      </c>
      <c r="C26355" s="1">
        <v>1.7606652205350602E-2</v>
      </c>
      <c r="D26355" s="1">
        <v>2.32018561484918E-3</v>
      </c>
      <c r="E26355" s="1">
        <v>2.1551724137930999E-3</v>
      </c>
      <c r="F26355" s="1">
        <v>1.5693719348204301E-2</v>
      </c>
    </row>
    <row r="26356" spans="1:6" x14ac:dyDescent="0.25">
      <c r="A26356" s="2" t="str">
        <f t="shared" si="929"/>
        <v>28500</v>
      </c>
      <c r="B26356" s="2" t="str">
        <f>"78024"</f>
        <v>78024</v>
      </c>
      <c r="C26356" s="1">
        <v>1.6052060737527098E-2</v>
      </c>
      <c r="D26356" s="1">
        <v>3.9774610540271697E-3</v>
      </c>
      <c r="E26356" s="1">
        <v>3.2327586206896499E-3</v>
      </c>
      <c r="F26356" s="1">
        <v>1.45230185097294E-2</v>
      </c>
    </row>
    <row r="26357" spans="1:6" x14ac:dyDescent="0.25">
      <c r="A26357" s="2" t="str">
        <f t="shared" si="929"/>
        <v>28500</v>
      </c>
      <c r="B26357" s="2" t="str">
        <f>"78025"</f>
        <v>78025</v>
      </c>
      <c r="C26357" s="1">
        <v>0.116558206796818</v>
      </c>
      <c r="D26357" s="1">
        <v>8.3858137222406301E-2</v>
      </c>
      <c r="E26357" s="1">
        <v>8.18965517241379E-2</v>
      </c>
      <c r="F26357" s="1">
        <v>0.11241892105679401</v>
      </c>
    </row>
    <row r="26358" spans="1:6" x14ac:dyDescent="0.25">
      <c r="A26358" s="2" t="str">
        <f t="shared" si="929"/>
        <v>28500</v>
      </c>
      <c r="B26358" s="2" t="str">
        <f>"78055"</f>
        <v>78055</v>
      </c>
      <c r="C26358" s="1">
        <v>1.4461315979754101E-4</v>
      </c>
      <c r="D26358" s="1">
        <v>3.3145508783559798E-4</v>
      </c>
      <c r="E26358" s="1">
        <v>0</v>
      </c>
      <c r="F26358" s="1">
        <v>1.58202816010124E-4</v>
      </c>
    </row>
    <row r="26359" spans="1:6" x14ac:dyDescent="0.25">
      <c r="A26359" s="2" t="str">
        <f t="shared" si="929"/>
        <v>28500</v>
      </c>
      <c r="B26359" s="2" t="str">
        <f>"78010"</f>
        <v>78010</v>
      </c>
      <c r="C26359" s="1">
        <v>4.0997830802602997E-2</v>
      </c>
      <c r="D26359" s="1">
        <v>7.2920119323831604E-3</v>
      </c>
      <c r="E26359" s="1">
        <v>2.5862068965517199E-2</v>
      </c>
      <c r="F26359" s="1">
        <v>3.7335864578389402E-2</v>
      </c>
    </row>
    <row r="26360" spans="1:6" x14ac:dyDescent="0.25">
      <c r="A26360" s="2" t="str">
        <f t="shared" si="929"/>
        <v>28500</v>
      </c>
      <c r="B26360" s="2" t="str">
        <f>"78013"</f>
        <v>78013</v>
      </c>
      <c r="C26360" s="1">
        <v>2.34273318872017E-2</v>
      </c>
      <c r="D26360" s="1">
        <v>9.9436526350679395E-4</v>
      </c>
      <c r="E26360" s="1">
        <v>7.5431034482758598E-3</v>
      </c>
      <c r="F26360" s="1">
        <v>2.0819490586932402E-2</v>
      </c>
    </row>
    <row r="26361" spans="1:6" x14ac:dyDescent="0.25">
      <c r="A26361" s="2" t="str">
        <f t="shared" si="929"/>
        <v>28500</v>
      </c>
      <c r="B26361" s="2" t="str">
        <f>"78029"</f>
        <v>78029</v>
      </c>
      <c r="C26361" s="1">
        <v>9.1612436731742505E-2</v>
      </c>
      <c r="D26361" s="1">
        <v>0.175671196552867</v>
      </c>
      <c r="E26361" s="1">
        <v>1.07758620689655E-3</v>
      </c>
      <c r="F26361" s="1">
        <v>9.69783262142066E-2</v>
      </c>
    </row>
    <row r="26362" spans="1:6" x14ac:dyDescent="0.25">
      <c r="A26362" s="2" t="str">
        <f t="shared" si="929"/>
        <v>28500</v>
      </c>
      <c r="B26362" s="2" t="str">
        <f>"78624"</f>
        <v>78624</v>
      </c>
      <c r="C26362" s="1">
        <v>2.16919739696312E-4</v>
      </c>
      <c r="D26362" s="1">
        <v>0</v>
      </c>
      <c r="E26362" s="1">
        <v>0</v>
      </c>
      <c r="F26362" s="1">
        <v>1.8984337921214899E-4</v>
      </c>
    </row>
    <row r="26363" spans="1:6" x14ac:dyDescent="0.25">
      <c r="A26363" s="2" t="str">
        <f t="shared" si="929"/>
        <v>28500</v>
      </c>
      <c r="B26363" s="2" t="str">
        <f>"76849"</f>
        <v>76849</v>
      </c>
      <c r="C26363" s="1">
        <v>1.84381778741865E-3</v>
      </c>
      <c r="D26363" s="1">
        <v>0</v>
      </c>
      <c r="E26363" s="1">
        <v>1.07758620689655E-3</v>
      </c>
      <c r="F26363" s="1">
        <v>1.6453092865052899E-3</v>
      </c>
    </row>
    <row r="26364" spans="1:6" x14ac:dyDescent="0.25">
      <c r="A26364" s="2" t="str">
        <f t="shared" ref="A26364:A26371" si="930">"19620"</f>
        <v>19620</v>
      </c>
      <c r="B26364" s="2" t="str">
        <f>"78837"</f>
        <v>78837</v>
      </c>
      <c r="C26364" s="1">
        <v>1.5661707126076699E-3</v>
      </c>
      <c r="D26364" s="1">
        <v>4.3763676148796398E-4</v>
      </c>
      <c r="E26364" s="1">
        <v>0</v>
      </c>
      <c r="F26364" s="1">
        <v>1.42433691342341E-3</v>
      </c>
    </row>
    <row r="26365" spans="1:6" x14ac:dyDescent="0.25">
      <c r="A26365" s="2" t="str">
        <f t="shared" si="930"/>
        <v>19620</v>
      </c>
      <c r="B26365" s="2" t="str">
        <f>"78842"</f>
        <v>78842</v>
      </c>
      <c r="C26365" s="1">
        <v>4.7855216218567802E-2</v>
      </c>
      <c r="D26365" s="1">
        <v>7.4835886214441996E-2</v>
      </c>
      <c r="E26365" s="1">
        <v>2.8328611898016899E-3</v>
      </c>
      <c r="F26365" s="1">
        <v>4.9004888940216297E-2</v>
      </c>
    </row>
    <row r="26366" spans="1:6" x14ac:dyDescent="0.25">
      <c r="A26366" s="2" t="str">
        <f t="shared" si="930"/>
        <v>19620</v>
      </c>
      <c r="B26366" s="2" t="str">
        <f>"78840"</f>
        <v>78840</v>
      </c>
      <c r="C26366" s="1">
        <v>0.87744714173844895</v>
      </c>
      <c r="D26366" s="1">
        <v>0.74967177242888405</v>
      </c>
      <c r="E26366" s="1">
        <v>0.97308781869688299</v>
      </c>
      <c r="F26366" s="1">
        <v>0.86880702159602696</v>
      </c>
    </row>
    <row r="26367" spans="1:6" x14ac:dyDescent="0.25">
      <c r="A26367" s="2" t="str">
        <f t="shared" si="930"/>
        <v>19620</v>
      </c>
      <c r="B26367" s="2" t="str">
        <f>"78847"</f>
        <v>78847</v>
      </c>
      <c r="C26367" s="1">
        <v>0</v>
      </c>
      <c r="D26367" s="1">
        <v>4.3763676148796398E-4</v>
      </c>
      <c r="E26367" s="1">
        <v>0</v>
      </c>
      <c r="F26367" s="1">
        <v>3.8495592254686798E-5</v>
      </c>
    </row>
    <row r="26368" spans="1:6" x14ac:dyDescent="0.25">
      <c r="A26368" s="2" t="str">
        <f t="shared" si="930"/>
        <v>19620</v>
      </c>
      <c r="B26368" s="2" t="str">
        <f>"76950"</f>
        <v>76950</v>
      </c>
      <c r="C26368" s="1">
        <v>4.35047420168798E-5</v>
      </c>
      <c r="D26368" s="1">
        <v>0</v>
      </c>
      <c r="E26368" s="1">
        <v>0</v>
      </c>
      <c r="F26368" s="1">
        <v>3.8495592254686798E-5</v>
      </c>
    </row>
    <row r="26369" spans="1:6" x14ac:dyDescent="0.25">
      <c r="A26369" s="2" t="str">
        <f t="shared" si="930"/>
        <v>19620</v>
      </c>
      <c r="B26369" s="2" t="str">
        <f>"78843"</f>
        <v>78843</v>
      </c>
      <c r="C26369" s="1">
        <v>0</v>
      </c>
      <c r="D26369" s="1">
        <v>3.1072210065645499E-2</v>
      </c>
      <c r="E26369" s="1">
        <v>2.2662889518413502E-2</v>
      </c>
      <c r="F26369" s="1">
        <v>3.3491165261577498E-3</v>
      </c>
    </row>
    <row r="26370" spans="1:6" x14ac:dyDescent="0.25">
      <c r="A26370" s="2" t="str">
        <f t="shared" si="930"/>
        <v>19620</v>
      </c>
      <c r="B26370" s="2" t="str">
        <f>"78841"</f>
        <v>78841</v>
      </c>
      <c r="C26370" s="1">
        <v>7.1695814843817901E-2</v>
      </c>
      <c r="D26370" s="1">
        <v>6.5207877461706698E-2</v>
      </c>
      <c r="E26370" s="1">
        <v>1.41643059490084E-3</v>
      </c>
      <c r="F26370" s="1">
        <v>6.9215074873926904E-2</v>
      </c>
    </row>
    <row r="26371" spans="1:6" x14ac:dyDescent="0.25">
      <c r="A26371" s="2" t="str">
        <f t="shared" si="930"/>
        <v>19620</v>
      </c>
      <c r="B26371" s="2" t="str">
        <f>"78871"</f>
        <v>78871</v>
      </c>
      <c r="C26371" s="1">
        <v>1.3921517445401499E-3</v>
      </c>
      <c r="D26371" s="1">
        <v>7.8336980306345699E-2</v>
      </c>
      <c r="E26371" s="1">
        <v>0</v>
      </c>
      <c r="F26371" s="1">
        <v>8.1225699657389207E-3</v>
      </c>
    </row>
    <row r="26372" spans="1:6" x14ac:dyDescent="0.25">
      <c r="A26372" s="2" t="str">
        <f t="shared" ref="A26372:A26386" si="931">"13060"</f>
        <v>13060</v>
      </c>
      <c r="B26372" s="2" t="str">
        <f>"77458"</f>
        <v>77458</v>
      </c>
      <c r="C26372" s="1">
        <v>1.99541055572183E-4</v>
      </c>
      <c r="D26372" s="1">
        <v>6.1804697156983904E-4</v>
      </c>
      <c r="E26372" s="1">
        <v>0</v>
      </c>
      <c r="F26372" s="1">
        <v>2.2700444928720599E-4</v>
      </c>
    </row>
    <row r="26373" spans="1:6" x14ac:dyDescent="0.25">
      <c r="A26373" s="2" t="str">
        <f t="shared" si="931"/>
        <v>13060</v>
      </c>
      <c r="B26373" s="2" t="str">
        <f>"77419"</f>
        <v>77419</v>
      </c>
      <c r="C26373" s="1">
        <v>7.9816422228873502E-4</v>
      </c>
      <c r="D26373" s="1">
        <v>6.1804697156983904E-4</v>
      </c>
      <c r="E26373" s="1">
        <v>0</v>
      </c>
      <c r="F26373" s="1">
        <v>7.7181512757649995E-4</v>
      </c>
    </row>
    <row r="26374" spans="1:6" x14ac:dyDescent="0.25">
      <c r="A26374" s="2" t="str">
        <f t="shared" si="931"/>
        <v>13060</v>
      </c>
      <c r="B26374" s="2" t="str">
        <f>"77420"</f>
        <v>77420</v>
      </c>
      <c r="C26374" s="1">
        <v>1.7958695001496501E-3</v>
      </c>
      <c r="D26374" s="1">
        <v>0</v>
      </c>
      <c r="E26374" s="1">
        <v>0</v>
      </c>
      <c r="F26374" s="1">
        <v>1.63443203486788E-3</v>
      </c>
    </row>
    <row r="26375" spans="1:6" x14ac:dyDescent="0.25">
      <c r="A26375" s="2" t="str">
        <f t="shared" si="931"/>
        <v>13060</v>
      </c>
      <c r="B26375" s="2" t="str">
        <f>"77404"</f>
        <v>77404</v>
      </c>
      <c r="C26375" s="1">
        <v>0.10610595630050799</v>
      </c>
      <c r="D26375" s="1">
        <v>0.145859085290482</v>
      </c>
      <c r="E26375" s="1">
        <v>5.5248618784530298E-3</v>
      </c>
      <c r="F26375" s="1">
        <v>0.107373104512848</v>
      </c>
    </row>
    <row r="26376" spans="1:6" x14ac:dyDescent="0.25">
      <c r="A26376" s="2" t="str">
        <f t="shared" si="931"/>
        <v>13060</v>
      </c>
      <c r="B26376" s="2" t="str">
        <f>"77428"</f>
        <v>77428</v>
      </c>
      <c r="C26376" s="1">
        <v>0</v>
      </c>
      <c r="D26376" s="1">
        <v>6.1804697156983904E-4</v>
      </c>
      <c r="E26376" s="1">
        <v>0</v>
      </c>
      <c r="F26376" s="1">
        <v>4.5400889857441198E-5</v>
      </c>
    </row>
    <row r="26377" spans="1:6" x14ac:dyDescent="0.25">
      <c r="A26377" s="2" t="str">
        <f t="shared" si="931"/>
        <v>13060</v>
      </c>
      <c r="B26377" s="2" t="str">
        <f>"77468"</f>
        <v>77468</v>
      </c>
      <c r="C26377" s="1">
        <v>2.3446074029731599E-3</v>
      </c>
      <c r="D26377" s="1">
        <v>6.1804697156983904E-4</v>
      </c>
      <c r="E26377" s="1">
        <v>0</v>
      </c>
      <c r="F26377" s="1">
        <v>2.1792427131571701E-3</v>
      </c>
    </row>
    <row r="26378" spans="1:6" x14ac:dyDescent="0.25">
      <c r="A26378" s="2" t="str">
        <f t="shared" si="931"/>
        <v>13060</v>
      </c>
      <c r="B26378" s="2" t="str">
        <f>"77483"</f>
        <v>77483</v>
      </c>
      <c r="C26378" s="1">
        <v>0</v>
      </c>
      <c r="D26378" s="1">
        <v>6.1804697156983904E-4</v>
      </c>
      <c r="E26378" s="1">
        <v>0</v>
      </c>
      <c r="F26378" s="1">
        <v>4.5400889857441198E-5</v>
      </c>
    </row>
    <row r="26379" spans="1:6" x14ac:dyDescent="0.25">
      <c r="A26379" s="2" t="str">
        <f t="shared" si="931"/>
        <v>13060</v>
      </c>
      <c r="B26379" s="2" t="str">
        <f>"77456"</f>
        <v>77456</v>
      </c>
      <c r="C26379" s="1">
        <v>0</v>
      </c>
      <c r="D26379" s="1">
        <v>6.1804697156983904E-4</v>
      </c>
      <c r="E26379" s="1">
        <v>0</v>
      </c>
      <c r="F26379" s="1">
        <v>4.5400889857441198E-5</v>
      </c>
    </row>
    <row r="26380" spans="1:6" x14ac:dyDescent="0.25">
      <c r="A26380" s="2" t="str">
        <f t="shared" si="931"/>
        <v>13060</v>
      </c>
      <c r="B26380" s="2" t="str">
        <f>"77480"</f>
        <v>77480</v>
      </c>
      <c r="C26380" s="1">
        <v>8.1312980145664907E-3</v>
      </c>
      <c r="D26380" s="1">
        <v>4.9443757725587097E-3</v>
      </c>
      <c r="E26380" s="1">
        <v>0</v>
      </c>
      <c r="F26380" s="1">
        <v>7.7635521656224402E-3</v>
      </c>
    </row>
    <row r="26381" spans="1:6" x14ac:dyDescent="0.25">
      <c r="A26381" s="2" t="str">
        <f t="shared" si="931"/>
        <v>13060</v>
      </c>
      <c r="B26381" s="2" t="str">
        <f>"77415"</f>
        <v>77415</v>
      </c>
      <c r="C26381" s="1">
        <v>0</v>
      </c>
      <c r="D26381" s="1">
        <v>6.1804697156983904E-4</v>
      </c>
      <c r="E26381" s="1">
        <v>0</v>
      </c>
      <c r="F26381" s="1">
        <v>4.5400889857441198E-5</v>
      </c>
    </row>
    <row r="26382" spans="1:6" x14ac:dyDescent="0.25">
      <c r="A26382" s="2" t="str">
        <f t="shared" si="931"/>
        <v>13060</v>
      </c>
      <c r="B26382" s="2" t="str">
        <f>"77414"</f>
        <v>77414</v>
      </c>
      <c r="C26382" s="1">
        <v>0.67958695001496505</v>
      </c>
      <c r="D26382" s="1">
        <v>0.69406674907292898</v>
      </c>
      <c r="E26382" s="1">
        <v>0.80939226519337004</v>
      </c>
      <c r="F26382" s="1">
        <v>0.68278398256605799</v>
      </c>
    </row>
    <row r="26383" spans="1:6" x14ac:dyDescent="0.25">
      <c r="A26383" s="2" t="str">
        <f t="shared" si="931"/>
        <v>13060</v>
      </c>
      <c r="B26383" s="2" t="str">
        <f>"77482"</f>
        <v>77482</v>
      </c>
      <c r="C26383" s="1">
        <v>3.2774618377731199E-2</v>
      </c>
      <c r="D26383" s="1">
        <v>8.65265760197775E-3</v>
      </c>
      <c r="E26383" s="1">
        <v>2.7624309392265101E-3</v>
      </c>
      <c r="F26383" s="1">
        <v>3.0509397984200399E-2</v>
      </c>
    </row>
    <row r="26384" spans="1:6" x14ac:dyDescent="0.25">
      <c r="A26384" s="2" t="str">
        <f t="shared" si="931"/>
        <v>13060</v>
      </c>
      <c r="B26384" s="2" t="str">
        <f>"77440"</f>
        <v>77440</v>
      </c>
      <c r="C26384" s="1">
        <v>0</v>
      </c>
      <c r="D26384" s="1">
        <v>6.1804697156983904E-4</v>
      </c>
      <c r="E26384" s="1">
        <v>0</v>
      </c>
      <c r="F26384" s="1">
        <v>4.5400889857441198E-5</v>
      </c>
    </row>
    <row r="26385" spans="1:6" x14ac:dyDescent="0.25">
      <c r="A26385" s="2" t="str">
        <f t="shared" si="931"/>
        <v>13060</v>
      </c>
      <c r="B26385" s="2" t="str">
        <f>"77465"</f>
        <v>77465</v>
      </c>
      <c r="C26385" s="1">
        <v>0.168163224583458</v>
      </c>
      <c r="D26385" s="1">
        <v>0.14029666254635301</v>
      </c>
      <c r="E26385" s="1">
        <v>0.18232044198895</v>
      </c>
      <c r="F26385" s="1">
        <v>0.166348860437664</v>
      </c>
    </row>
    <row r="26386" spans="1:6" x14ac:dyDescent="0.25">
      <c r="A26386" s="2" t="str">
        <f t="shared" si="931"/>
        <v>13060</v>
      </c>
      <c r="B26386" s="2" t="str">
        <f>"77457"</f>
        <v>77457</v>
      </c>
      <c r="C26386" s="1">
        <v>9.9770527786091905E-5</v>
      </c>
      <c r="D26386" s="1">
        <v>1.2360939431396701E-3</v>
      </c>
      <c r="E26386" s="1">
        <v>0</v>
      </c>
      <c r="F26386" s="1">
        <v>1.81603559429764E-4</v>
      </c>
    </row>
    <row r="26387" spans="1:6" x14ac:dyDescent="0.25">
      <c r="A26387" s="2" t="str">
        <f>"20580"</f>
        <v>20580</v>
      </c>
      <c r="B26387" s="2" t="str">
        <f>"78860"</f>
        <v>78860</v>
      </c>
      <c r="C26387" s="1">
        <v>3.1226823841679998E-3</v>
      </c>
      <c r="D26387" s="1">
        <v>5.0000000000000001E-4</v>
      </c>
      <c r="E26387" s="1">
        <v>0</v>
      </c>
      <c r="F26387" s="1">
        <v>2.8296943231440998E-3</v>
      </c>
    </row>
    <row r="26388" spans="1:6" x14ac:dyDescent="0.25">
      <c r="A26388" s="2" t="str">
        <f>"20580"</f>
        <v>20580</v>
      </c>
      <c r="B26388" s="2" t="str">
        <f>"78852"</f>
        <v>78852</v>
      </c>
      <c r="C26388" s="1">
        <v>0.75740661227994799</v>
      </c>
      <c r="D26388" s="1">
        <v>0.86650000000000005</v>
      </c>
      <c r="E26388" s="1">
        <v>0.999005964214711</v>
      </c>
      <c r="F26388" s="1">
        <v>0.77351965065502104</v>
      </c>
    </row>
    <row r="26389" spans="1:6" x14ac:dyDescent="0.25">
      <c r="A26389" s="2" t="str">
        <f>"20580"</f>
        <v>20580</v>
      </c>
      <c r="B26389" s="2" t="str">
        <f>"78853"</f>
        <v>78853</v>
      </c>
      <c r="C26389" s="1">
        <v>0.22928295405753499</v>
      </c>
      <c r="D26389" s="1">
        <v>0.13</v>
      </c>
      <c r="E26389" s="1">
        <v>9.9403578528827006E-4</v>
      </c>
      <c r="F26389" s="1">
        <v>0.21432314410480299</v>
      </c>
    </row>
    <row r="26390" spans="1:6" x14ac:dyDescent="0.25">
      <c r="A26390" s="2" t="str">
        <f>"20580"</f>
        <v>20580</v>
      </c>
      <c r="B26390" s="2" t="str">
        <f>"78877"</f>
        <v>78877</v>
      </c>
      <c r="C26390" s="1">
        <v>1.01877512783481E-2</v>
      </c>
      <c r="D26390" s="1">
        <v>3.0000000000000001E-3</v>
      </c>
      <c r="E26390" s="1">
        <v>0</v>
      </c>
      <c r="F26390" s="1">
        <v>9.3275109170305598E-3</v>
      </c>
    </row>
    <row r="26391" spans="1:6" x14ac:dyDescent="0.25">
      <c r="A26391" s="2" t="str">
        <f>"11380"</f>
        <v>11380</v>
      </c>
      <c r="B26391" s="2" t="str">
        <f>"79714"</f>
        <v>79714</v>
      </c>
      <c r="C26391" s="1">
        <v>1</v>
      </c>
      <c r="D26391" s="1">
        <v>1</v>
      </c>
      <c r="E26391" s="1">
        <v>1</v>
      </c>
      <c r="F26391" s="1">
        <v>1</v>
      </c>
    </row>
    <row r="26392" spans="1:6" x14ac:dyDescent="0.25">
      <c r="A26392" s="2" t="str">
        <f t="shared" ref="A26392:A26423" si="932">"19740"</f>
        <v>19740</v>
      </c>
      <c r="B26392" s="2" t="str">
        <f>"80701"</f>
        <v>80701</v>
      </c>
      <c r="C26392" s="1">
        <v>1.6601605978992899E-5</v>
      </c>
      <c r="D26392" s="1">
        <v>0</v>
      </c>
      <c r="E26392" s="1">
        <v>3.09506491898667E-5</v>
      </c>
      <c r="F26392" s="1">
        <v>1.5800825329776301E-5</v>
      </c>
    </row>
    <row r="26393" spans="1:6" x14ac:dyDescent="0.25">
      <c r="A26393" s="2" t="str">
        <f t="shared" si="932"/>
        <v>19740</v>
      </c>
      <c r="B26393" s="2" t="str">
        <f>"80602"</f>
        <v>80602</v>
      </c>
      <c r="C26393" s="1">
        <v>1.16618735817889E-2</v>
      </c>
      <c r="D26393" s="1">
        <v>8.82926980389727E-4</v>
      </c>
      <c r="E26393" s="1">
        <v>3.3890960862904E-3</v>
      </c>
      <c r="F26393" s="1">
        <v>1.03936512283824E-2</v>
      </c>
    </row>
    <row r="26394" spans="1:6" x14ac:dyDescent="0.25">
      <c r="A26394" s="2" t="str">
        <f t="shared" si="932"/>
        <v>19740</v>
      </c>
      <c r="B26394" s="2" t="str">
        <f>"80601"</f>
        <v>80601</v>
      </c>
      <c r="C26394" s="1">
        <v>1.18429820106506E-2</v>
      </c>
      <c r="D26394" s="1">
        <v>1.2151863440627001E-2</v>
      </c>
      <c r="E26394" s="1">
        <v>7.5829090515173499E-3</v>
      </c>
      <c r="F26394" s="1">
        <v>1.168800216998E-2</v>
      </c>
    </row>
    <row r="26395" spans="1:6" x14ac:dyDescent="0.25">
      <c r="A26395" s="2" t="str">
        <f t="shared" si="932"/>
        <v>19740</v>
      </c>
      <c r="B26395" s="2" t="str">
        <f>"80830"</f>
        <v>80830</v>
      </c>
      <c r="C26395" s="1">
        <v>9.8100398966776404E-5</v>
      </c>
      <c r="D26395" s="1">
        <v>5.4214814585334102E-5</v>
      </c>
      <c r="E26395" s="1">
        <v>0</v>
      </c>
      <c r="F26395" s="1">
        <v>9.0196377924140199E-5</v>
      </c>
    </row>
    <row r="26396" spans="1:6" x14ac:dyDescent="0.25">
      <c r="A26396" s="2" t="str">
        <f t="shared" si="932"/>
        <v>19740</v>
      </c>
      <c r="B26396" s="2" t="str">
        <f>"80831"</f>
        <v>80831</v>
      </c>
      <c r="C26396" s="1">
        <v>4.9050199483388202E-5</v>
      </c>
      <c r="D26396" s="1">
        <v>0</v>
      </c>
      <c r="E26396" s="1">
        <v>1.5475324594933299E-5</v>
      </c>
      <c r="F26396" s="1">
        <v>4.3452269656885E-5</v>
      </c>
    </row>
    <row r="26397" spans="1:6" x14ac:dyDescent="0.25">
      <c r="A26397" s="2" t="str">
        <f t="shared" si="932"/>
        <v>19740</v>
      </c>
      <c r="B26397" s="2" t="str">
        <f>"80421"</f>
        <v>80421</v>
      </c>
      <c r="C26397" s="1">
        <v>2.8758509266337299E-3</v>
      </c>
      <c r="D26397" s="1">
        <v>3.4852380804857602E-4</v>
      </c>
      <c r="E26397" s="1">
        <v>4.7973506244293398E-4</v>
      </c>
      <c r="F26397" s="1">
        <v>2.5590753357017E-3</v>
      </c>
    </row>
    <row r="26398" spans="1:6" x14ac:dyDescent="0.25">
      <c r="A26398" s="2" t="str">
        <f t="shared" si="932"/>
        <v>19740</v>
      </c>
      <c r="B26398" s="2" t="str">
        <f>"80516"</f>
        <v>80516</v>
      </c>
      <c r="C26398" s="1">
        <v>2.1129316700536398E-5</v>
      </c>
      <c r="D26398" s="1">
        <v>8.5194708634096401E-5</v>
      </c>
      <c r="E26398" s="1">
        <v>3.09506491898667E-5</v>
      </c>
      <c r="F26398" s="1">
        <v>2.6993076605034599E-5</v>
      </c>
    </row>
    <row r="26399" spans="1:6" x14ac:dyDescent="0.25">
      <c r="A26399" s="2" t="str">
        <f t="shared" si="932"/>
        <v>19740</v>
      </c>
      <c r="B26399" s="2" t="str">
        <f>"80260"</f>
        <v>80260</v>
      </c>
      <c r="C26399" s="1">
        <v>1.15615093274613E-2</v>
      </c>
      <c r="D26399" s="1">
        <v>4.8096285510703498E-3</v>
      </c>
      <c r="E26399" s="1">
        <v>6.9793713923149503E-3</v>
      </c>
      <c r="F26399" s="1">
        <v>1.07926220679593E-2</v>
      </c>
    </row>
    <row r="26400" spans="1:6" x14ac:dyDescent="0.25">
      <c r="A26400" s="2" t="str">
        <f t="shared" si="932"/>
        <v>19740</v>
      </c>
      <c r="B26400" s="2" t="str">
        <f>"80246"</f>
        <v>80246</v>
      </c>
      <c r="C26400" s="1">
        <v>7.1296351495238703E-3</v>
      </c>
      <c r="D26400" s="1">
        <v>1.1904024288236901E-2</v>
      </c>
      <c r="E26400" s="1">
        <v>6.5770129528466802E-3</v>
      </c>
      <c r="F26400" s="1">
        <v>7.5119757088645198E-3</v>
      </c>
    </row>
    <row r="26401" spans="1:6" x14ac:dyDescent="0.25">
      <c r="A26401" s="2" t="str">
        <f t="shared" si="932"/>
        <v>19740</v>
      </c>
      <c r="B26401" s="2" t="str">
        <f>"80241"</f>
        <v>80241</v>
      </c>
      <c r="C26401" s="1">
        <v>9.6289314678158992E-3</v>
      </c>
      <c r="D26401" s="1">
        <v>2.1763375569255499E-3</v>
      </c>
      <c r="E26401" s="1">
        <v>6.8710441201504198E-3</v>
      </c>
      <c r="F26401" s="1">
        <v>8.8780887321681101E-3</v>
      </c>
    </row>
    <row r="26402" spans="1:6" x14ac:dyDescent="0.25">
      <c r="A26402" s="2" t="str">
        <f t="shared" si="932"/>
        <v>19740</v>
      </c>
      <c r="B26402" s="2" t="str">
        <f>"80465"</f>
        <v>80465</v>
      </c>
      <c r="C26402" s="1">
        <v>5.2453528709081702E-3</v>
      </c>
      <c r="D26402" s="1">
        <v>3.0902444313640402E-3</v>
      </c>
      <c r="E26402" s="1">
        <v>1.857038951392E-3</v>
      </c>
      <c r="F26402" s="1">
        <v>4.9180068838928998E-3</v>
      </c>
    </row>
    <row r="26403" spans="1:6" x14ac:dyDescent="0.25">
      <c r="A26403" s="2" t="str">
        <f t="shared" si="932"/>
        <v>19740</v>
      </c>
      <c r="B26403" s="2" t="str">
        <f>"80209"</f>
        <v>80209</v>
      </c>
      <c r="C26403" s="1">
        <v>1.3307696429070001E-2</v>
      </c>
      <c r="D26403" s="1">
        <v>1.01536602744818E-2</v>
      </c>
      <c r="E26403" s="1">
        <v>1.31230752565035E-2</v>
      </c>
      <c r="F26403" s="1">
        <v>1.3031730690733E-2</v>
      </c>
    </row>
    <row r="26404" spans="1:6" x14ac:dyDescent="0.25">
      <c r="A26404" s="2" t="str">
        <f t="shared" si="932"/>
        <v>19740</v>
      </c>
      <c r="B26404" s="2" t="str">
        <f>"80204"</f>
        <v>80204</v>
      </c>
      <c r="C26404" s="1">
        <v>1.3089611695982301E-2</v>
      </c>
      <c r="D26404" s="1">
        <v>1.8433036959013601E-2</v>
      </c>
      <c r="E26404" s="1">
        <v>1.4763459663566399E-2</v>
      </c>
      <c r="F26404" s="1">
        <v>1.36150444924906E-2</v>
      </c>
    </row>
    <row r="26405" spans="1:6" x14ac:dyDescent="0.25">
      <c r="A26405" s="2" t="str">
        <f t="shared" si="932"/>
        <v>19740</v>
      </c>
      <c r="B26405" s="2" t="str">
        <f>"80223"</f>
        <v>80223</v>
      </c>
      <c r="C26405" s="1">
        <v>6.4519877781995198E-3</v>
      </c>
      <c r="D26405" s="1">
        <v>1.6202484587502699E-2</v>
      </c>
      <c r="E26405" s="1">
        <v>9.9815843637320201E-3</v>
      </c>
      <c r="F26405" s="1">
        <v>7.4309964790494204E-3</v>
      </c>
    </row>
    <row r="26406" spans="1:6" x14ac:dyDescent="0.25">
      <c r="A26406" s="2" t="str">
        <f t="shared" si="932"/>
        <v>19740</v>
      </c>
      <c r="B26406" s="2" t="str">
        <f>"80129"</f>
        <v>80129</v>
      </c>
      <c r="C26406" s="1">
        <v>9.4259391038000306E-3</v>
      </c>
      <c r="D26406" s="1">
        <v>5.7467703460454102E-3</v>
      </c>
      <c r="E26406" s="1">
        <v>9.40899735371949E-3</v>
      </c>
      <c r="F26406" s="1">
        <v>9.1124676412264599E-3</v>
      </c>
    </row>
    <row r="26407" spans="1:6" x14ac:dyDescent="0.25">
      <c r="A26407" s="2" t="str">
        <f t="shared" si="932"/>
        <v>19740</v>
      </c>
      <c r="B26407" s="2" t="str">
        <f>"80215"</f>
        <v>80215</v>
      </c>
      <c r="C26407" s="1">
        <v>7.8812351293000901E-3</v>
      </c>
      <c r="D26407" s="1">
        <v>1.2113138573066E-2</v>
      </c>
      <c r="E26407" s="1">
        <v>1.00280103375168E-2</v>
      </c>
      <c r="F26407" s="1">
        <v>8.3323018905687492E-3</v>
      </c>
    </row>
    <row r="26408" spans="1:6" x14ac:dyDescent="0.25">
      <c r="A26408" s="2" t="str">
        <f t="shared" si="932"/>
        <v>19740</v>
      </c>
      <c r="B26408" s="2" t="str">
        <f>"80123"</f>
        <v>80123</v>
      </c>
      <c r="C26408" s="1">
        <v>1.6491431684768701E-2</v>
      </c>
      <c r="D26408" s="1">
        <v>8.5194708634096401E-3</v>
      </c>
      <c r="E26408" s="1">
        <v>1.37575635648957E-2</v>
      </c>
      <c r="F26408" s="1">
        <v>1.56974615974107E-2</v>
      </c>
    </row>
    <row r="26409" spans="1:6" x14ac:dyDescent="0.25">
      <c r="A26409" s="2" t="str">
        <f t="shared" si="932"/>
        <v>19740</v>
      </c>
      <c r="B26409" s="2" t="str">
        <f>"80019"</f>
        <v>80019</v>
      </c>
      <c r="C26409" s="1">
        <v>1.0323180445119199E-3</v>
      </c>
      <c r="D26409" s="1">
        <v>2.9430899346324203E-4</v>
      </c>
      <c r="E26409" s="1">
        <v>1.08327272164533E-3</v>
      </c>
      <c r="F26409" s="1">
        <v>9.7175075778124797E-4</v>
      </c>
    </row>
    <row r="26410" spans="1:6" x14ac:dyDescent="0.25">
      <c r="A26410" s="2" t="str">
        <f t="shared" si="932"/>
        <v>19740</v>
      </c>
      <c r="B26410" s="2" t="str">
        <f>"80014"</f>
        <v>80014</v>
      </c>
      <c r="C26410" s="1">
        <v>1.5010115660370299E-2</v>
      </c>
      <c r="D26410" s="1">
        <v>1.7612069766721299E-2</v>
      </c>
      <c r="E26410" s="1">
        <v>3.3999288135068598E-2</v>
      </c>
      <c r="F26410" s="1">
        <v>1.6039154445167101E-2</v>
      </c>
    </row>
    <row r="26411" spans="1:6" x14ac:dyDescent="0.25">
      <c r="A26411" s="2" t="str">
        <f t="shared" si="932"/>
        <v>19740</v>
      </c>
      <c r="B26411" s="2" t="str">
        <f>"80037"</f>
        <v>80037</v>
      </c>
      <c r="C26411" s="1">
        <v>6.3614335637686501E-4</v>
      </c>
      <c r="D26411" s="1">
        <v>9.8361163604820403E-4</v>
      </c>
      <c r="E26411" s="1">
        <v>0</v>
      </c>
      <c r="F26411" s="1">
        <v>6.3861669041179495E-4</v>
      </c>
    </row>
    <row r="26412" spans="1:6" x14ac:dyDescent="0.25">
      <c r="A26412" s="2" t="str">
        <f t="shared" si="932"/>
        <v>19740</v>
      </c>
      <c r="B26412" s="2" t="str">
        <f>"80047"</f>
        <v>80047</v>
      </c>
      <c r="C26412" s="1">
        <v>2.03822444314817E-3</v>
      </c>
      <c r="D26412" s="1">
        <v>4.1203259084853904E-3</v>
      </c>
      <c r="E26412" s="1">
        <v>3.09506491898667E-5</v>
      </c>
      <c r="F26412" s="1">
        <v>2.1298195809094402E-3</v>
      </c>
    </row>
    <row r="26413" spans="1:6" x14ac:dyDescent="0.25">
      <c r="A26413" s="2" t="str">
        <f t="shared" si="932"/>
        <v>19740</v>
      </c>
      <c r="B26413" s="2" t="str">
        <f>"80036"</f>
        <v>80036</v>
      </c>
      <c r="C26413" s="1">
        <v>7.1613291245746697E-4</v>
      </c>
      <c r="D26413" s="1">
        <v>9.6812168902382298E-4</v>
      </c>
      <c r="E26413" s="1">
        <v>3.09506491898667E-5</v>
      </c>
      <c r="F26413" s="1">
        <v>7.0840366895164096E-4</v>
      </c>
    </row>
    <row r="26414" spans="1:6" x14ac:dyDescent="0.25">
      <c r="A26414" s="2" t="str">
        <f t="shared" si="932"/>
        <v>19740</v>
      </c>
      <c r="B26414" s="2" t="str">
        <f>"80006"</f>
        <v>80006</v>
      </c>
      <c r="C26414" s="1">
        <v>1.2270096055382899E-3</v>
      </c>
      <c r="D26414" s="1">
        <v>4.5772793457046299E-3</v>
      </c>
      <c r="E26414" s="1">
        <v>4.64259737848001E-5</v>
      </c>
      <c r="F26414" s="1">
        <v>1.4615763430043101E-3</v>
      </c>
    </row>
    <row r="26415" spans="1:6" x14ac:dyDescent="0.25">
      <c r="A26415" s="2" t="str">
        <f t="shared" si="932"/>
        <v>19740</v>
      </c>
      <c r="B26415" s="2" t="str">
        <f>"80816"</f>
        <v>80816</v>
      </c>
      <c r="C26415" s="1">
        <v>2.7845420937492601E-4</v>
      </c>
      <c r="D26415" s="1">
        <v>0</v>
      </c>
      <c r="E26415" s="1">
        <v>0</v>
      </c>
      <c r="F26415" s="1">
        <v>2.4293768944531199E-4</v>
      </c>
    </row>
    <row r="26416" spans="1:6" x14ac:dyDescent="0.25">
      <c r="A26416" s="2" t="str">
        <f t="shared" si="932"/>
        <v>19740</v>
      </c>
      <c r="B26416" s="2" t="str">
        <f>"80432"</f>
        <v>80432</v>
      </c>
      <c r="C26416" s="1">
        <v>1.0564658350268199E-5</v>
      </c>
      <c r="D26416" s="1">
        <v>0</v>
      </c>
      <c r="E26416" s="1">
        <v>3.09506491898667E-5</v>
      </c>
      <c r="F26416" s="1">
        <v>1.05338835531842E-5</v>
      </c>
    </row>
    <row r="26417" spans="1:6" x14ac:dyDescent="0.25">
      <c r="A26417" s="2" t="str">
        <f t="shared" si="932"/>
        <v>19740</v>
      </c>
      <c r="B26417" s="2" t="str">
        <f>"80274"</f>
        <v>80274</v>
      </c>
      <c r="C26417" s="1">
        <v>0</v>
      </c>
      <c r="D26417" s="1">
        <v>7.7449735121905799E-6</v>
      </c>
      <c r="E26417" s="1">
        <v>0</v>
      </c>
      <c r="F26417" s="1">
        <v>6.58367722074016E-7</v>
      </c>
    </row>
    <row r="26418" spans="1:6" x14ac:dyDescent="0.25">
      <c r="A26418" s="2" t="str">
        <f t="shared" si="932"/>
        <v>19740</v>
      </c>
      <c r="B26418" s="2" t="str">
        <f>"80249"</f>
        <v>80249</v>
      </c>
      <c r="C26418" s="1">
        <v>8.2381696578484407E-3</v>
      </c>
      <c r="D26418" s="1">
        <v>4.3836550078998702E-3</v>
      </c>
      <c r="E26418" s="1">
        <v>2.7236571287082702E-3</v>
      </c>
      <c r="F26418" s="1">
        <v>7.6759092716609497E-3</v>
      </c>
    </row>
    <row r="26419" spans="1:6" x14ac:dyDescent="0.25">
      <c r="A26419" s="2" t="str">
        <f t="shared" si="932"/>
        <v>19740</v>
      </c>
      <c r="B26419" s="2" t="str">
        <f>"80436"</f>
        <v>80436</v>
      </c>
      <c r="C26419" s="1">
        <v>1.9016385030482799E-4</v>
      </c>
      <c r="D26419" s="1">
        <v>0</v>
      </c>
      <c r="E26419" s="1">
        <v>1.5475324594933299E-4</v>
      </c>
      <c r="F26419" s="1">
        <v>1.72492343183392E-4</v>
      </c>
    </row>
    <row r="26420" spans="1:6" x14ac:dyDescent="0.25">
      <c r="A26420" s="2" t="str">
        <f t="shared" si="932"/>
        <v>19740</v>
      </c>
      <c r="B26420" s="2" t="str">
        <f>"80453"</f>
        <v>80453</v>
      </c>
      <c r="C26420" s="1">
        <v>1.13947386492178E-4</v>
      </c>
      <c r="D26420" s="1">
        <v>0</v>
      </c>
      <c r="E26420" s="1">
        <v>4.64259737848001E-5</v>
      </c>
      <c r="F26420" s="1">
        <v>1.01388629199398E-4</v>
      </c>
    </row>
    <row r="26421" spans="1:6" x14ac:dyDescent="0.25">
      <c r="A26421" s="2" t="str">
        <f t="shared" si="932"/>
        <v>19740</v>
      </c>
      <c r="B26421" s="2" t="str">
        <f>"80165"</f>
        <v>80165</v>
      </c>
      <c r="C26421" s="1">
        <v>0</v>
      </c>
      <c r="D26421" s="1">
        <v>7.7449735121905799E-6</v>
      </c>
      <c r="E26421" s="1">
        <v>0</v>
      </c>
      <c r="F26421" s="1">
        <v>6.58367722074016E-7</v>
      </c>
    </row>
    <row r="26422" spans="1:6" x14ac:dyDescent="0.25">
      <c r="A26422" s="2" t="str">
        <f t="shared" si="932"/>
        <v>19740</v>
      </c>
      <c r="B26422" s="2" t="str">
        <f>"80155"</f>
        <v>80155</v>
      </c>
      <c r="C26422" s="1">
        <v>5.4483452349240395E-4</v>
      </c>
      <c r="D26422" s="1">
        <v>4.70119892189968E-3</v>
      </c>
      <c r="E26422" s="1">
        <v>0</v>
      </c>
      <c r="F26422" s="1">
        <v>8.7497070263636704E-4</v>
      </c>
    </row>
    <row r="26423" spans="1:6" x14ac:dyDescent="0.25">
      <c r="A26423" s="2" t="str">
        <f t="shared" si="932"/>
        <v>19740</v>
      </c>
      <c r="B26423" s="2" t="str">
        <f>"80151"</f>
        <v>80151</v>
      </c>
      <c r="C26423" s="1">
        <v>5.5992689256421598E-4</v>
      </c>
      <c r="D26423" s="1">
        <v>1.7271290932185E-3</v>
      </c>
      <c r="E26423" s="1">
        <v>3.09506491898667E-5</v>
      </c>
      <c r="F26423" s="1">
        <v>6.3664158724557299E-4</v>
      </c>
    </row>
    <row r="26424" spans="1:6" x14ac:dyDescent="0.25">
      <c r="A26424" s="2" t="str">
        <f t="shared" ref="A26424:A26455" si="933">"19740"</f>
        <v>19740</v>
      </c>
      <c r="B26424" s="2" t="str">
        <f>"80136"</f>
        <v>80136</v>
      </c>
      <c r="C26424" s="1">
        <v>1.6820445330534199E-3</v>
      </c>
      <c r="D26424" s="1">
        <v>3.1754391399981398E-4</v>
      </c>
      <c r="E26424" s="1">
        <v>5.2616103622773395E-4</v>
      </c>
      <c r="F26424" s="1">
        <v>1.5168792316585301E-3</v>
      </c>
    </row>
    <row r="26425" spans="1:6" x14ac:dyDescent="0.25">
      <c r="A26425" s="2" t="str">
        <f t="shared" si="933"/>
        <v>19740</v>
      </c>
      <c r="B26425" s="2" t="str">
        <f>"80210"</f>
        <v>80210</v>
      </c>
      <c r="C26425" s="1">
        <v>1.3942330548539701E-2</v>
      </c>
      <c r="D26425" s="1">
        <v>9.9445459896527096E-3</v>
      </c>
      <c r="E26425" s="1">
        <v>9.9196830653522899E-3</v>
      </c>
      <c r="F26425" s="1">
        <v>1.3431359898032E-2</v>
      </c>
    </row>
    <row r="26426" spans="1:6" x14ac:dyDescent="0.25">
      <c r="A26426" s="2" t="str">
        <f t="shared" si="933"/>
        <v>19740</v>
      </c>
      <c r="B26426" s="2" t="str">
        <f>"80117"</f>
        <v>80117</v>
      </c>
      <c r="C26426" s="1">
        <v>1.8254220392356301E-3</v>
      </c>
      <c r="D26426" s="1">
        <v>1.0610613711701099E-3</v>
      </c>
      <c r="E26426" s="1">
        <v>2.32129868924E-4</v>
      </c>
      <c r="F26426" s="1">
        <v>1.69266341345229E-3</v>
      </c>
    </row>
    <row r="26427" spans="1:6" x14ac:dyDescent="0.25">
      <c r="A26427" s="2" t="str">
        <f t="shared" si="933"/>
        <v>19740</v>
      </c>
      <c r="B26427" s="2" t="str">
        <f>"80045"</f>
        <v>80045</v>
      </c>
      <c r="C26427" s="1">
        <v>4.8371042875156598E-4</v>
      </c>
      <c r="D26427" s="1">
        <v>4.5230645311192998E-3</v>
      </c>
      <c r="E26427" s="1">
        <v>9.2851947569600195E-4</v>
      </c>
      <c r="F26427" s="1">
        <v>8.4600252286511004E-4</v>
      </c>
    </row>
    <row r="26428" spans="1:6" x14ac:dyDescent="0.25">
      <c r="A26428" s="2" t="str">
        <f t="shared" si="933"/>
        <v>19740</v>
      </c>
      <c r="B26428" s="2" t="str">
        <f>"80104"</f>
        <v>80104</v>
      </c>
      <c r="C26428" s="1">
        <v>1.05971069437726E-2</v>
      </c>
      <c r="D26428" s="1">
        <v>1.2755971374577801E-2</v>
      </c>
      <c r="E26428" s="1">
        <v>6.94842074312508E-3</v>
      </c>
      <c r="F26428" s="1">
        <v>1.0625396666552499E-2</v>
      </c>
    </row>
    <row r="26429" spans="1:6" x14ac:dyDescent="0.25">
      <c r="A26429" s="2" t="str">
        <f t="shared" si="933"/>
        <v>19740</v>
      </c>
      <c r="B26429" s="2" t="str">
        <f>"80108"</f>
        <v>80108</v>
      </c>
      <c r="C26429" s="1">
        <v>9.0659861014373202E-3</v>
      </c>
      <c r="D26429" s="1">
        <v>4.4533597695095798E-3</v>
      </c>
      <c r="E26429" s="1">
        <v>5.2770856868722803E-3</v>
      </c>
      <c r="F26429" s="1">
        <v>8.5126946464170305E-3</v>
      </c>
    </row>
    <row r="26430" spans="1:6" x14ac:dyDescent="0.25">
      <c r="A26430" s="2" t="str">
        <f t="shared" si="933"/>
        <v>19740</v>
      </c>
      <c r="B26430" s="2" t="str">
        <f>"80023"</f>
        <v>80023</v>
      </c>
      <c r="C26430" s="1">
        <v>8.0796997825944208E-3</v>
      </c>
      <c r="D26430" s="1">
        <v>4.5617893986802504E-3</v>
      </c>
      <c r="E26430" s="1">
        <v>7.6138597007072203E-3</v>
      </c>
      <c r="F26430" s="1">
        <v>7.7608387078085001E-3</v>
      </c>
    </row>
    <row r="26431" spans="1:6" x14ac:dyDescent="0.25">
      <c r="A26431" s="2" t="str">
        <f t="shared" si="933"/>
        <v>19740</v>
      </c>
      <c r="B26431" s="2" t="str">
        <f>"80022"</f>
        <v>80022</v>
      </c>
      <c r="C26431" s="1">
        <v>1.39943992218374E-2</v>
      </c>
      <c r="D26431" s="1">
        <v>1.37473279841382E-2</v>
      </c>
      <c r="E26431" s="1">
        <v>1.15445921478203E-2</v>
      </c>
      <c r="F26431" s="1">
        <v>1.3869174433211199E-2</v>
      </c>
    </row>
    <row r="26432" spans="1:6" x14ac:dyDescent="0.25">
      <c r="A26432" s="2" t="str">
        <f t="shared" si="933"/>
        <v>19740</v>
      </c>
      <c r="B26432" s="2" t="str">
        <f>"80003"</f>
        <v>80003</v>
      </c>
      <c r="C26432" s="1">
        <v>1.09487591431458E-2</v>
      </c>
      <c r="D26432" s="1">
        <v>7.28802007497134E-3</v>
      </c>
      <c r="E26432" s="1">
        <v>1.5428898621148501E-2</v>
      </c>
      <c r="F26432" s="1">
        <v>1.08281739249513E-2</v>
      </c>
    </row>
    <row r="26433" spans="1:6" x14ac:dyDescent="0.25">
      <c r="A26433" s="2" t="str">
        <f t="shared" si="933"/>
        <v>19740</v>
      </c>
      <c r="B26433" s="2" t="str">
        <f>"80642"</f>
        <v>80642</v>
      </c>
      <c r="C26433" s="1">
        <v>3.8334617442401799E-4</v>
      </c>
      <c r="D26433" s="1">
        <v>7.7449735121905799E-6</v>
      </c>
      <c r="E26433" s="1">
        <v>0</v>
      </c>
      <c r="F26433" s="1">
        <v>3.3510917053567401E-4</v>
      </c>
    </row>
    <row r="26434" spans="1:6" x14ac:dyDescent="0.25">
      <c r="A26434" s="2" t="str">
        <f t="shared" si="933"/>
        <v>19740</v>
      </c>
      <c r="B26434" s="2" t="str">
        <f>"80820"</f>
        <v>80820</v>
      </c>
      <c r="C26434" s="1">
        <v>3.6448071308425298E-4</v>
      </c>
      <c r="D26434" s="1">
        <v>7.7449735121905799E-6</v>
      </c>
      <c r="E26434" s="1">
        <v>1.5475324594933299E-5</v>
      </c>
      <c r="F26434" s="1">
        <v>3.1930834520589699E-4</v>
      </c>
    </row>
    <row r="26435" spans="1:6" x14ac:dyDescent="0.25">
      <c r="A26435" s="2" t="str">
        <f t="shared" si="933"/>
        <v>19740</v>
      </c>
      <c r="B26435" s="2" t="str">
        <f>"80808"</f>
        <v>80808</v>
      </c>
      <c r="C26435" s="1">
        <v>6.9424897730334005E-5</v>
      </c>
      <c r="D26435" s="1">
        <v>0</v>
      </c>
      <c r="E26435" s="1">
        <v>3.09506491898667E-5</v>
      </c>
      <c r="F26435" s="1">
        <v>6.1886565874957498E-5</v>
      </c>
    </row>
    <row r="26436" spans="1:6" x14ac:dyDescent="0.25">
      <c r="A26436" s="2" t="str">
        <f t="shared" si="933"/>
        <v>19740</v>
      </c>
      <c r="B26436" s="2" t="str">
        <f>"80433"</f>
        <v>80433</v>
      </c>
      <c r="C26436" s="1">
        <v>3.5210497044536799E-3</v>
      </c>
      <c r="D26436" s="1">
        <v>4.6624740543387303E-3</v>
      </c>
      <c r="E26436" s="1">
        <v>1.5939584332781301E-3</v>
      </c>
      <c r="F26436" s="1">
        <v>3.5360930352595402E-3</v>
      </c>
    </row>
    <row r="26437" spans="1:6" x14ac:dyDescent="0.25">
      <c r="A26437" s="2" t="str">
        <f t="shared" si="933"/>
        <v>19740</v>
      </c>
      <c r="B26437" s="2" t="str">
        <f>"80422"</f>
        <v>80422</v>
      </c>
      <c r="C26437" s="1">
        <v>1.47980678749114E-3</v>
      </c>
      <c r="D26437" s="1">
        <v>2.8656401995105101E-4</v>
      </c>
      <c r="E26437" s="1">
        <v>1.5475324594933299E-4</v>
      </c>
      <c r="F26437" s="1">
        <v>1.32200238592462E-3</v>
      </c>
    </row>
    <row r="26438" spans="1:6" x14ac:dyDescent="0.25">
      <c r="A26438" s="2" t="str">
        <f t="shared" si="933"/>
        <v>19740</v>
      </c>
      <c r="B26438" s="2" t="str">
        <f>"80243"</f>
        <v>80243</v>
      </c>
      <c r="C26438" s="1">
        <v>0</v>
      </c>
      <c r="D26438" s="1">
        <v>7.7449735121905799E-6</v>
      </c>
      <c r="E26438" s="1">
        <v>0</v>
      </c>
      <c r="F26438" s="1">
        <v>6.58367722074016E-7</v>
      </c>
    </row>
    <row r="26439" spans="1:6" x14ac:dyDescent="0.25">
      <c r="A26439" s="2" t="str">
        <f t="shared" si="933"/>
        <v>19740</v>
      </c>
      <c r="B26439" s="2" t="str">
        <f>"80248"</f>
        <v>80248</v>
      </c>
      <c r="C26439" s="1">
        <v>7.5461845359058702E-5</v>
      </c>
      <c r="D26439" s="1">
        <v>1.7038941726819199E-4</v>
      </c>
      <c r="E26439" s="1">
        <v>0</v>
      </c>
      <c r="F26439" s="1">
        <v>8.0320862093029901E-5</v>
      </c>
    </row>
    <row r="26440" spans="1:6" x14ac:dyDescent="0.25">
      <c r="A26440" s="2" t="str">
        <f t="shared" si="933"/>
        <v>19740</v>
      </c>
      <c r="B26440" s="2" t="str">
        <f>"80266"</f>
        <v>80266</v>
      </c>
      <c r="C26440" s="1">
        <v>0</v>
      </c>
      <c r="D26440" s="1">
        <v>5.8861798692648405E-4</v>
      </c>
      <c r="E26440" s="1">
        <v>1.3927792135439999E-4</v>
      </c>
      <c r="F26440" s="1">
        <v>5.5961256376291299E-5</v>
      </c>
    </row>
    <row r="26441" spans="1:6" x14ac:dyDescent="0.25">
      <c r="A26441" s="2" t="str">
        <f t="shared" si="933"/>
        <v>19740</v>
      </c>
      <c r="B26441" s="2" t="str">
        <f>"80476"</f>
        <v>80476</v>
      </c>
      <c r="C26441" s="1">
        <v>0</v>
      </c>
      <c r="D26441" s="1">
        <v>0</v>
      </c>
      <c r="E26441" s="1">
        <v>3.09506491898667E-5</v>
      </c>
      <c r="F26441" s="1">
        <v>1.3167354441480301E-6</v>
      </c>
    </row>
    <row r="26442" spans="1:6" x14ac:dyDescent="0.25">
      <c r="A26442" s="2" t="str">
        <f t="shared" si="933"/>
        <v>19740</v>
      </c>
      <c r="B26442" s="2" t="str">
        <f>"80474"</f>
        <v>80474</v>
      </c>
      <c r="C26442" s="1">
        <v>0</v>
      </c>
      <c r="D26442" s="1">
        <v>0</v>
      </c>
      <c r="E26442" s="1">
        <v>1.5475324594933299E-5</v>
      </c>
      <c r="F26442" s="1">
        <v>6.58367722074016E-7</v>
      </c>
    </row>
    <row r="26443" spans="1:6" x14ac:dyDescent="0.25">
      <c r="A26443" s="2" t="str">
        <f t="shared" si="933"/>
        <v>19740</v>
      </c>
      <c r="B26443" s="2" t="str">
        <f>"80444"</f>
        <v>80444</v>
      </c>
      <c r="C26443" s="1">
        <v>0</v>
      </c>
      <c r="D26443" s="1">
        <v>0</v>
      </c>
      <c r="E26443" s="1">
        <v>1.5475324594933299E-5</v>
      </c>
      <c r="F26443" s="1">
        <v>6.58367722074016E-7</v>
      </c>
    </row>
    <row r="26444" spans="1:6" x14ac:dyDescent="0.25">
      <c r="A26444" s="2" t="str">
        <f t="shared" si="933"/>
        <v>19740</v>
      </c>
      <c r="B26444" s="2" t="str">
        <f>"80470"</f>
        <v>80470</v>
      </c>
      <c r="C26444" s="1">
        <v>1.3311469521337901E-3</v>
      </c>
      <c r="D26444" s="1">
        <v>7.6675237770686795E-4</v>
      </c>
      <c r="E26444" s="1">
        <v>7.4281558055680204E-4</v>
      </c>
      <c r="F26444" s="1">
        <v>1.25814071688344E-3</v>
      </c>
    </row>
    <row r="26445" spans="1:6" x14ac:dyDescent="0.25">
      <c r="A26445" s="2" t="str">
        <f t="shared" si="933"/>
        <v>19740</v>
      </c>
      <c r="B26445" s="2" t="str">
        <f>"80235"</f>
        <v>80235</v>
      </c>
      <c r="C26445" s="1">
        <v>3.7119681732121E-3</v>
      </c>
      <c r="D26445" s="1">
        <v>2.5403513119985101E-3</v>
      </c>
      <c r="E26445" s="1">
        <v>3.9152571225181398E-3</v>
      </c>
      <c r="F26445" s="1">
        <v>3.6210224714070798E-3</v>
      </c>
    </row>
    <row r="26446" spans="1:6" x14ac:dyDescent="0.25">
      <c r="A26446" s="2" t="str">
        <f t="shared" si="933"/>
        <v>19740</v>
      </c>
      <c r="B26446" s="2" t="str">
        <f>"80233"</f>
        <v>80233</v>
      </c>
      <c r="C26446" s="1">
        <v>1.39793068527656E-2</v>
      </c>
      <c r="D26446" s="1">
        <v>8.1399671613123E-3</v>
      </c>
      <c r="E26446" s="1">
        <v>6.01990126742908E-3</v>
      </c>
      <c r="F26446" s="1">
        <v>1.31443115712077E-2</v>
      </c>
    </row>
    <row r="26447" spans="1:6" x14ac:dyDescent="0.25">
      <c r="A26447" s="2" t="str">
        <f t="shared" si="933"/>
        <v>19740</v>
      </c>
      <c r="B26447" s="2" t="str">
        <f>"80239"</f>
        <v>80239</v>
      </c>
      <c r="C26447" s="1">
        <v>1.0917065168095E-2</v>
      </c>
      <c r="D26447" s="1">
        <v>1.3313609467455601E-2</v>
      </c>
      <c r="E26447" s="1">
        <v>7.9078908680109503E-3</v>
      </c>
      <c r="F26447" s="1">
        <v>1.0992765855469801E-2</v>
      </c>
    </row>
    <row r="26448" spans="1:6" x14ac:dyDescent="0.25">
      <c r="A26448" s="2" t="str">
        <f t="shared" si="933"/>
        <v>19740</v>
      </c>
      <c r="B26448" s="2" t="str">
        <f>"80208"</f>
        <v>80208</v>
      </c>
      <c r="C26448" s="1">
        <v>0</v>
      </c>
      <c r="D26448" s="1">
        <v>7.7449735121905799E-6</v>
      </c>
      <c r="E26448" s="1">
        <v>0</v>
      </c>
      <c r="F26448" s="1">
        <v>6.58367722074016E-7</v>
      </c>
    </row>
    <row r="26449" spans="1:6" x14ac:dyDescent="0.25">
      <c r="A26449" s="2" t="str">
        <f t="shared" si="933"/>
        <v>19740</v>
      </c>
      <c r="B26449" s="2" t="str">
        <f>"80207"</f>
        <v>80207</v>
      </c>
      <c r="C26449" s="1">
        <v>6.84816246633458E-3</v>
      </c>
      <c r="D26449" s="1">
        <v>5.66932061092351E-3</v>
      </c>
      <c r="E26449" s="1">
        <v>2.0427428465311999E-3</v>
      </c>
      <c r="F26449" s="1">
        <v>6.5435167896936404E-3</v>
      </c>
    </row>
    <row r="26450" spans="1:6" x14ac:dyDescent="0.25">
      <c r="A26450" s="2" t="str">
        <f t="shared" si="933"/>
        <v>19740</v>
      </c>
      <c r="B26450" s="2" t="str">
        <f>"80203"</f>
        <v>80203</v>
      </c>
      <c r="C26450" s="1">
        <v>1.30518807733028E-2</v>
      </c>
      <c r="D26450" s="1">
        <v>1.5892685647015001E-2</v>
      </c>
      <c r="E26450" s="1">
        <v>2.15107011869573E-2</v>
      </c>
      <c r="F26450" s="1">
        <v>1.3653229820370901E-2</v>
      </c>
    </row>
    <row r="26451" spans="1:6" x14ac:dyDescent="0.25">
      <c r="A26451" s="2" t="str">
        <f t="shared" si="933"/>
        <v>19740</v>
      </c>
      <c r="B26451" s="2" t="str">
        <f>"80228"</f>
        <v>80228</v>
      </c>
      <c r="C26451" s="1">
        <v>1.3327316508863299E-2</v>
      </c>
      <c r="D26451" s="1">
        <v>1.09668824932618E-2</v>
      </c>
      <c r="E26451" s="1">
        <v>9.7339791702130904E-3</v>
      </c>
      <c r="F26451" s="1">
        <v>1.2973794331190501E-2</v>
      </c>
    </row>
    <row r="26452" spans="1:6" x14ac:dyDescent="0.25">
      <c r="A26452" s="2" t="str">
        <f t="shared" si="933"/>
        <v>19740</v>
      </c>
      <c r="B26452" s="2" t="str">
        <f>"80220"</f>
        <v>80220</v>
      </c>
      <c r="C26452" s="1">
        <v>1.5310453804899401E-2</v>
      </c>
      <c r="D26452" s="1">
        <v>1.2926360791846E-2</v>
      </c>
      <c r="E26452" s="1">
        <v>9.1459168356056199E-3</v>
      </c>
      <c r="F26452" s="1">
        <v>1.48455337650469E-2</v>
      </c>
    </row>
    <row r="26453" spans="1:6" x14ac:dyDescent="0.25">
      <c r="A26453" s="2" t="str">
        <f t="shared" si="933"/>
        <v>19740</v>
      </c>
      <c r="B26453" s="2" t="str">
        <f>"80225"</f>
        <v>80225</v>
      </c>
      <c r="C26453" s="1">
        <v>5.2823291751341103E-5</v>
      </c>
      <c r="D26453" s="1">
        <v>1.5489947024381099E-5</v>
      </c>
      <c r="E26453" s="1">
        <v>1.5475324594933299E-5</v>
      </c>
      <c r="F26453" s="1">
        <v>4.8060843711403101E-5</v>
      </c>
    </row>
    <row r="26454" spans="1:6" x14ac:dyDescent="0.25">
      <c r="A26454" s="2" t="str">
        <f t="shared" si="933"/>
        <v>19740</v>
      </c>
      <c r="B26454" s="2" t="str">
        <f>"80227"</f>
        <v>80227</v>
      </c>
      <c r="C26454" s="1">
        <v>1.3995153840291E-2</v>
      </c>
      <c r="D26454" s="1">
        <v>9.1313237708726992E-3</v>
      </c>
      <c r="E26454" s="1">
        <v>1.39896934338197E-2</v>
      </c>
      <c r="F26454" s="1">
        <v>1.3581467738664799E-2</v>
      </c>
    </row>
    <row r="26455" spans="1:6" x14ac:dyDescent="0.25">
      <c r="A26455" s="2" t="str">
        <f t="shared" si="933"/>
        <v>19740</v>
      </c>
      <c r="B26455" s="2" t="str">
        <f>"80134"</f>
        <v>80134</v>
      </c>
      <c r="C26455" s="1">
        <v>2.3514665632336298E-2</v>
      </c>
      <c r="D26455" s="1">
        <v>1.96335078534031E-2</v>
      </c>
      <c r="E26455" s="1">
        <v>1.7982327179312502E-2</v>
      </c>
      <c r="F26455" s="1">
        <v>2.2949382056056001E-2</v>
      </c>
    </row>
    <row r="26456" spans="1:6" x14ac:dyDescent="0.25">
      <c r="A26456" s="2" t="str">
        <f t="shared" ref="A26456:A26487" si="934">"19740"</f>
        <v>19740</v>
      </c>
      <c r="B26456" s="2" t="str">
        <f>"80212"</f>
        <v>80212</v>
      </c>
      <c r="C26456" s="1">
        <v>7.8782166554857303E-3</v>
      </c>
      <c r="D26456" s="1">
        <v>7.2338052603860004E-3</v>
      </c>
      <c r="E26456" s="1">
        <v>6.9019947693402797E-3</v>
      </c>
      <c r="F26456" s="1">
        <v>7.7819064749148703E-3</v>
      </c>
    </row>
    <row r="26457" spans="1:6" x14ac:dyDescent="0.25">
      <c r="A26457" s="2" t="str">
        <f t="shared" si="934"/>
        <v>19740</v>
      </c>
      <c r="B26457" s="2" t="str">
        <f>"80116"</f>
        <v>80116</v>
      </c>
      <c r="C26457" s="1">
        <v>1.77486260284506E-3</v>
      </c>
      <c r="D26457" s="1">
        <v>1.38635025868211E-3</v>
      </c>
      <c r="E26457" s="1">
        <v>2.32129868924E-4</v>
      </c>
      <c r="F26457" s="1">
        <v>1.67620422040044E-3</v>
      </c>
    </row>
    <row r="26458" spans="1:6" x14ac:dyDescent="0.25">
      <c r="A26458" s="2" t="str">
        <f t="shared" si="934"/>
        <v>19740</v>
      </c>
      <c r="B26458" s="2" t="str">
        <f>"80113"</f>
        <v>80113</v>
      </c>
      <c r="C26458" s="1">
        <v>9.4070736424602605E-3</v>
      </c>
      <c r="D26458" s="1">
        <v>6.8000867437033301E-3</v>
      </c>
      <c r="E26458" s="1">
        <v>7.4591064547578799E-3</v>
      </c>
      <c r="F26458" s="1">
        <v>9.1025921253953396E-3</v>
      </c>
    </row>
    <row r="26459" spans="1:6" x14ac:dyDescent="0.25">
      <c r="A26459" s="2" t="str">
        <f t="shared" si="934"/>
        <v>19740</v>
      </c>
      <c r="B26459" s="2" t="str">
        <f>"80042"</f>
        <v>80042</v>
      </c>
      <c r="C26459" s="1">
        <v>8.1121483760988097E-4</v>
      </c>
      <c r="D26459" s="1">
        <v>8.82926980389727E-4</v>
      </c>
      <c r="E26459" s="1">
        <v>0</v>
      </c>
      <c r="F26459" s="1">
        <v>7.82799221546005E-4</v>
      </c>
    </row>
    <row r="26460" spans="1:6" x14ac:dyDescent="0.25">
      <c r="A26460" s="2" t="str">
        <f t="shared" si="934"/>
        <v>19740</v>
      </c>
      <c r="B26460" s="2" t="str">
        <f>"80040"</f>
        <v>80040</v>
      </c>
      <c r="C26460" s="1">
        <v>8.9346824905125501E-4</v>
      </c>
      <c r="D26460" s="1">
        <v>7.9773227175563004E-4</v>
      </c>
      <c r="E26460" s="1">
        <v>3.09506491898667E-5</v>
      </c>
      <c r="F26460" s="1">
        <v>8.4863599375340697E-4</v>
      </c>
    </row>
    <row r="26461" spans="1:6" x14ac:dyDescent="0.25">
      <c r="A26461" s="2" t="str">
        <f t="shared" si="934"/>
        <v>19740</v>
      </c>
      <c r="B26461" s="2" t="str">
        <f>"80109"</f>
        <v>80109</v>
      </c>
      <c r="C26461" s="1">
        <v>7.1764214936464801E-3</v>
      </c>
      <c r="D26461" s="1">
        <v>3.7563121534124298E-3</v>
      </c>
      <c r="E26461" s="1">
        <v>3.9462077717080102E-3</v>
      </c>
      <c r="F26461" s="1">
        <v>6.7482691512586604E-3</v>
      </c>
    </row>
    <row r="26462" spans="1:6" x14ac:dyDescent="0.25">
      <c r="A26462" s="2" t="str">
        <f t="shared" si="934"/>
        <v>19740</v>
      </c>
      <c r="B26462" s="2" t="str">
        <f>"80007"</f>
        <v>80007</v>
      </c>
      <c r="C26462" s="1">
        <v>4.9578432400901604E-3</v>
      </c>
      <c r="D26462" s="1">
        <v>1.38635025868211E-3</v>
      </c>
      <c r="E26462" s="1">
        <v>5.7258701001253499E-3</v>
      </c>
      <c r="F26462" s="1">
        <v>4.6869198134449203E-3</v>
      </c>
    </row>
    <row r="26463" spans="1:6" x14ac:dyDescent="0.25">
      <c r="A26463" s="2" t="str">
        <f t="shared" si="934"/>
        <v>19740</v>
      </c>
      <c r="B26463" s="2" t="str">
        <f>"80002"</f>
        <v>80002</v>
      </c>
      <c r="C26463" s="1">
        <v>7.6352295134295596E-3</v>
      </c>
      <c r="D26463" s="1">
        <v>1.1942749155797801E-2</v>
      </c>
      <c r="E26463" s="1">
        <v>1.41444466797691E-2</v>
      </c>
      <c r="F26463" s="1">
        <v>8.2783157373586807E-3</v>
      </c>
    </row>
    <row r="26464" spans="1:6" x14ac:dyDescent="0.25">
      <c r="A26464" s="2" t="str">
        <f t="shared" si="934"/>
        <v>19740</v>
      </c>
      <c r="B26464" s="2" t="str">
        <f>"80005"</f>
        <v>80005</v>
      </c>
      <c r="C26464" s="1">
        <v>8.5483178422741703E-3</v>
      </c>
      <c r="D26464" s="1">
        <v>1.61095449053564E-3</v>
      </c>
      <c r="E26464" s="1">
        <v>9.5792259242637595E-3</v>
      </c>
      <c r="F26464" s="1">
        <v>8.0024596618096609E-3</v>
      </c>
    </row>
    <row r="26465" spans="1:6" x14ac:dyDescent="0.25">
      <c r="A26465" s="2" t="str">
        <f t="shared" si="934"/>
        <v>19740</v>
      </c>
      <c r="B26465" s="2" t="str">
        <f>"80654"</f>
        <v>80654</v>
      </c>
      <c r="C26465" s="1">
        <v>2.0374698246945799E-5</v>
      </c>
      <c r="D26465" s="1">
        <v>0</v>
      </c>
      <c r="E26465" s="1">
        <v>0</v>
      </c>
      <c r="F26465" s="1">
        <v>1.7775928495998401E-5</v>
      </c>
    </row>
    <row r="26466" spans="1:6" x14ac:dyDescent="0.25">
      <c r="A26466" s="2" t="str">
        <f t="shared" si="934"/>
        <v>19740</v>
      </c>
      <c r="B26466" s="2" t="str">
        <f>"80643"</f>
        <v>80643</v>
      </c>
      <c r="C26466" s="1">
        <v>1.39604413914258E-4</v>
      </c>
      <c r="D26466" s="1">
        <v>0</v>
      </c>
      <c r="E26466" s="1">
        <v>0</v>
      </c>
      <c r="F26466" s="1">
        <v>1.21798028583693E-4</v>
      </c>
    </row>
    <row r="26467" spans="1:6" x14ac:dyDescent="0.25">
      <c r="A26467" s="2" t="str">
        <f t="shared" si="934"/>
        <v>19740</v>
      </c>
      <c r="B26467" s="2" t="str">
        <f>"80420"</f>
        <v>80420</v>
      </c>
      <c r="C26467" s="1">
        <v>0</v>
      </c>
      <c r="D26467" s="1">
        <v>0</v>
      </c>
      <c r="E26467" s="1">
        <v>1.5475324594933299E-5</v>
      </c>
      <c r="F26467" s="1">
        <v>6.58367722074016E-7</v>
      </c>
    </row>
    <row r="26468" spans="1:6" x14ac:dyDescent="0.25">
      <c r="A26468" s="2" t="str">
        <f t="shared" si="934"/>
        <v>19740</v>
      </c>
      <c r="B26468" s="2" t="str">
        <f>"80427"</f>
        <v>80427</v>
      </c>
      <c r="C26468" s="1">
        <v>0</v>
      </c>
      <c r="D26468" s="1">
        <v>0</v>
      </c>
      <c r="E26468" s="1">
        <v>1.5475324594933299E-5</v>
      </c>
      <c r="F26468" s="1">
        <v>6.58367722074016E-7</v>
      </c>
    </row>
    <row r="26469" spans="1:6" x14ac:dyDescent="0.25">
      <c r="A26469" s="2" t="str">
        <f t="shared" si="934"/>
        <v>19740</v>
      </c>
      <c r="B26469" s="2" t="str">
        <f>"80303"</f>
        <v>80303</v>
      </c>
      <c r="C26469" s="1">
        <v>1.50923690718117E-6</v>
      </c>
      <c r="D26469" s="1">
        <v>4.6469841073143503E-5</v>
      </c>
      <c r="E26469" s="1">
        <v>0</v>
      </c>
      <c r="F26469" s="1">
        <v>5.2669417765921297E-6</v>
      </c>
    </row>
    <row r="26470" spans="1:6" x14ac:dyDescent="0.25">
      <c r="A26470" s="2" t="str">
        <f t="shared" si="934"/>
        <v>19740</v>
      </c>
      <c r="B26470" s="2" t="str">
        <f>"80281"</f>
        <v>80281</v>
      </c>
      <c r="C26470" s="1">
        <v>0</v>
      </c>
      <c r="D26470" s="1">
        <v>7.7449735121905799E-6</v>
      </c>
      <c r="E26470" s="1">
        <v>0</v>
      </c>
      <c r="F26470" s="1">
        <v>6.58367722074016E-7</v>
      </c>
    </row>
    <row r="26471" spans="1:6" x14ac:dyDescent="0.25">
      <c r="A26471" s="2" t="str">
        <f t="shared" si="934"/>
        <v>19740</v>
      </c>
      <c r="B26471" s="2" t="str">
        <f>"80273"</f>
        <v>80273</v>
      </c>
      <c r="C26471" s="1">
        <v>0</v>
      </c>
      <c r="D26471" s="1">
        <v>7.7449735121905799E-6</v>
      </c>
      <c r="E26471" s="1">
        <v>0</v>
      </c>
      <c r="F26471" s="1">
        <v>6.58367722074016E-7</v>
      </c>
    </row>
    <row r="26472" spans="1:6" x14ac:dyDescent="0.25">
      <c r="A26472" s="2" t="str">
        <f t="shared" si="934"/>
        <v>19740</v>
      </c>
      <c r="B26472" s="2" t="str">
        <f>"80265"</f>
        <v>80265</v>
      </c>
      <c r="C26472" s="1">
        <v>0</v>
      </c>
      <c r="D26472" s="1">
        <v>6.3508782799962795E-4</v>
      </c>
      <c r="E26472" s="1">
        <v>7.7376622974666807E-5</v>
      </c>
      <c r="F26472" s="1">
        <v>5.7277991820439397E-5</v>
      </c>
    </row>
    <row r="26473" spans="1:6" x14ac:dyDescent="0.25">
      <c r="A26473" s="2" t="str">
        <f t="shared" si="934"/>
        <v>19740</v>
      </c>
      <c r="B26473" s="2" t="str">
        <f>"80293"</f>
        <v>80293</v>
      </c>
      <c r="C26473" s="1">
        <v>0</v>
      </c>
      <c r="D26473" s="1">
        <v>1.12302115926763E-3</v>
      </c>
      <c r="E26473" s="1">
        <v>4.64259737848001E-5</v>
      </c>
      <c r="F26473" s="1">
        <v>9.7438422866954395E-5</v>
      </c>
    </row>
    <row r="26474" spans="1:6" x14ac:dyDescent="0.25">
      <c r="A26474" s="2" t="str">
        <f t="shared" si="934"/>
        <v>19740</v>
      </c>
      <c r="B26474" s="2" t="str">
        <f>"80454"</f>
        <v>80454</v>
      </c>
      <c r="C26474" s="1">
        <v>3.2674979040472402E-4</v>
      </c>
      <c r="D26474" s="1">
        <v>2.3234920536571701E-5</v>
      </c>
      <c r="E26474" s="1">
        <v>0</v>
      </c>
      <c r="F26474" s="1">
        <v>2.8704832682427102E-4</v>
      </c>
    </row>
    <row r="26475" spans="1:6" x14ac:dyDescent="0.25">
      <c r="A26475" s="2" t="str">
        <f t="shared" si="934"/>
        <v>19740</v>
      </c>
      <c r="B26475" s="2" t="str">
        <f>"80439"</f>
        <v>80439</v>
      </c>
      <c r="C26475" s="1">
        <v>8.2472250792915303E-3</v>
      </c>
      <c r="D26475" s="1">
        <v>8.1477121348244898E-3</v>
      </c>
      <c r="E26475" s="1">
        <v>6.5151116544669499E-3</v>
      </c>
      <c r="F26475" s="1">
        <v>8.1650764891619508E-3</v>
      </c>
    </row>
    <row r="26476" spans="1:6" x14ac:dyDescent="0.25">
      <c r="A26476" s="2" t="str">
        <f t="shared" si="934"/>
        <v>19740</v>
      </c>
      <c r="B26476" s="2" t="str">
        <f>"80238"</f>
        <v>80238</v>
      </c>
      <c r="C26476" s="1">
        <v>8.6554736626840399E-3</v>
      </c>
      <c r="D26476" s="1">
        <v>4.7709036835094001E-3</v>
      </c>
      <c r="E26476" s="1">
        <v>7.5829090515173499E-3</v>
      </c>
      <c r="F26476" s="1">
        <v>8.2796324728028198E-3</v>
      </c>
    </row>
    <row r="26477" spans="1:6" x14ac:dyDescent="0.25">
      <c r="A26477" s="2" t="str">
        <f t="shared" si="934"/>
        <v>19740</v>
      </c>
      <c r="B26477" s="2" t="str">
        <f>"80237"</f>
        <v>80237</v>
      </c>
      <c r="C26477" s="1">
        <v>1.1075535043349001E-2</v>
      </c>
      <c r="D26477" s="1">
        <v>1.22215682022367E-2</v>
      </c>
      <c r="E26477" s="1">
        <v>5.0759064671381396E-3</v>
      </c>
      <c r="F26477" s="1">
        <v>1.0917711935153399E-2</v>
      </c>
    </row>
    <row r="26478" spans="1:6" x14ac:dyDescent="0.25">
      <c r="A26478" s="2" t="str">
        <f t="shared" si="934"/>
        <v>19740</v>
      </c>
      <c r="B26478" s="2" t="str">
        <f>"80217"</f>
        <v>80217</v>
      </c>
      <c r="C26478" s="1">
        <v>5.6671845864653104E-4</v>
      </c>
      <c r="D26478" s="1">
        <v>6.1649989157037E-3</v>
      </c>
      <c r="E26478" s="1">
        <v>3.09506491898667E-5</v>
      </c>
      <c r="F26478" s="1">
        <v>1.01981160149265E-3</v>
      </c>
    </row>
    <row r="26479" spans="1:6" x14ac:dyDescent="0.25">
      <c r="A26479" s="2" t="str">
        <f t="shared" si="934"/>
        <v>19740</v>
      </c>
      <c r="B26479" s="2" t="str">
        <f>"80222"</f>
        <v>80222</v>
      </c>
      <c r="C26479" s="1">
        <v>9.1112632086527492E-3</v>
      </c>
      <c r="D26479" s="1">
        <v>2.1081817900182698E-2</v>
      </c>
      <c r="E26479" s="1">
        <v>1.2039802534858099E-2</v>
      </c>
      <c r="F26479" s="1">
        <v>1.02534189035807E-2</v>
      </c>
    </row>
    <row r="26480" spans="1:6" x14ac:dyDescent="0.25">
      <c r="A26480" s="2" t="str">
        <f t="shared" si="934"/>
        <v>19740</v>
      </c>
      <c r="B26480" s="2" t="str">
        <f>"80130"</f>
        <v>80130</v>
      </c>
      <c r="C26480" s="1">
        <v>7.5348652591020098E-3</v>
      </c>
      <c r="D26480" s="1">
        <v>5.9636296043867501E-4</v>
      </c>
      <c r="E26480" s="1">
        <v>7.6757609990869497E-3</v>
      </c>
      <c r="F26480" s="1">
        <v>6.9510464096574597E-3</v>
      </c>
    </row>
    <row r="26481" spans="1:6" x14ac:dyDescent="0.25">
      <c r="A26481" s="2" t="str">
        <f t="shared" si="934"/>
        <v>19740</v>
      </c>
      <c r="B26481" s="2" t="str">
        <f>"80135"</f>
        <v>80135</v>
      </c>
      <c r="C26481" s="1">
        <v>2.0450160092304898E-3</v>
      </c>
      <c r="D26481" s="1">
        <v>2.1763375569255499E-3</v>
      </c>
      <c r="E26481" s="1">
        <v>8.5114285272133499E-4</v>
      </c>
      <c r="F26481" s="1">
        <v>2.00538808143745E-3</v>
      </c>
    </row>
    <row r="26482" spans="1:6" x14ac:dyDescent="0.25">
      <c r="A26482" s="2" t="str">
        <f t="shared" si="934"/>
        <v>19740</v>
      </c>
      <c r="B26482" s="2" t="str">
        <f>"80211"</f>
        <v>80211</v>
      </c>
      <c r="C26482" s="1">
        <v>1.58583068022062E-2</v>
      </c>
      <c r="D26482" s="1">
        <v>1.26707766659438E-2</v>
      </c>
      <c r="E26482" s="1">
        <v>1.8369210294185902E-2</v>
      </c>
      <c r="F26482" s="1">
        <v>1.5694169758800398E-2</v>
      </c>
    </row>
    <row r="26483" spans="1:6" x14ac:dyDescent="0.25">
      <c r="A26483" s="2" t="str">
        <f t="shared" si="934"/>
        <v>19740</v>
      </c>
      <c r="B26483" s="2" t="str">
        <f>"80034"</f>
        <v>80034</v>
      </c>
      <c r="C26483" s="1">
        <v>8.3385339121759897E-4</v>
      </c>
      <c r="D26483" s="1">
        <v>2.7029957557545099E-3</v>
      </c>
      <c r="E26483" s="1">
        <v>3.09506491898667E-5</v>
      </c>
      <c r="F26483" s="1">
        <v>9.5858340333976702E-4</v>
      </c>
    </row>
    <row r="26484" spans="1:6" x14ac:dyDescent="0.25">
      <c r="A26484" s="2" t="str">
        <f t="shared" si="934"/>
        <v>19740</v>
      </c>
      <c r="B26484" s="2" t="str">
        <f>"80103"</f>
        <v>80103</v>
      </c>
      <c r="C26484" s="1">
        <v>6.6481885761330705E-4</v>
      </c>
      <c r="D26484" s="1">
        <v>3.4852380804857602E-4</v>
      </c>
      <c r="E26484" s="1">
        <v>2.4760519351893398E-4</v>
      </c>
      <c r="F26484" s="1">
        <v>6.2018239419372296E-4</v>
      </c>
    </row>
    <row r="26485" spans="1:6" x14ac:dyDescent="0.25">
      <c r="A26485" s="2" t="str">
        <f t="shared" si="934"/>
        <v>19740</v>
      </c>
      <c r="B26485" s="2" t="str">
        <f>"80101"</f>
        <v>80101</v>
      </c>
      <c r="C26485" s="1">
        <v>1.4262288772862099E-4</v>
      </c>
      <c r="D26485" s="1">
        <v>5.4214814585334102E-5</v>
      </c>
      <c r="E26485" s="1">
        <v>4.64259737848001E-5</v>
      </c>
      <c r="F26485" s="1">
        <v>1.31015176692729E-4</v>
      </c>
    </row>
    <row r="26486" spans="1:6" x14ac:dyDescent="0.25">
      <c r="A26486" s="2" t="str">
        <f t="shared" si="934"/>
        <v>19740</v>
      </c>
      <c r="B26486" s="2" t="str">
        <f>"80044"</f>
        <v>80044</v>
      </c>
      <c r="C26486" s="1">
        <v>5.99167052150926E-4</v>
      </c>
      <c r="D26486" s="1">
        <v>2.6875058087301299E-3</v>
      </c>
      <c r="E26486" s="1">
        <v>3.09506491898667E-5</v>
      </c>
      <c r="F26486" s="1">
        <v>7.5251430633060002E-4</v>
      </c>
    </row>
    <row r="26487" spans="1:6" x14ac:dyDescent="0.25">
      <c r="A26487" s="2" t="str">
        <f t="shared" si="934"/>
        <v>19740</v>
      </c>
      <c r="B26487" s="2" t="str">
        <f>"80106"</f>
        <v>80106</v>
      </c>
      <c r="C26487" s="1">
        <v>5.3351524668854495E-4</v>
      </c>
      <c r="D26487" s="1">
        <v>1.5489947024381099E-4</v>
      </c>
      <c r="E26487" s="1">
        <v>3.7140779027840102E-4</v>
      </c>
      <c r="F26487" s="1">
        <v>4.94434159277586E-4</v>
      </c>
    </row>
    <row r="26488" spans="1:6" x14ac:dyDescent="0.25">
      <c r="A26488" s="2" t="str">
        <f t="shared" ref="A26488:A26519" si="935">"19740"</f>
        <v>19740</v>
      </c>
      <c r="B26488" s="2" t="str">
        <f>"80827"</f>
        <v>80827</v>
      </c>
      <c r="C26488" s="1">
        <v>2.7392649865338298E-4</v>
      </c>
      <c r="D26488" s="1">
        <v>8.5194708634096401E-5</v>
      </c>
      <c r="E26488" s="1">
        <v>9.28519475696002E-5</v>
      </c>
      <c r="F26488" s="1">
        <v>2.50179734388126E-4</v>
      </c>
    </row>
    <row r="26489" spans="1:6" x14ac:dyDescent="0.25">
      <c r="A26489" s="2" t="str">
        <f t="shared" si="935"/>
        <v>19740</v>
      </c>
      <c r="B26489" s="2" t="str">
        <f>"80425"</f>
        <v>80425</v>
      </c>
      <c r="C26489" s="1">
        <v>6.6406423915971703E-5</v>
      </c>
      <c r="D26489" s="1">
        <v>0</v>
      </c>
      <c r="E26489" s="1">
        <v>3.09506491898667E-5</v>
      </c>
      <c r="F26489" s="1">
        <v>5.9253094986661403E-5</v>
      </c>
    </row>
    <row r="26490" spans="1:6" x14ac:dyDescent="0.25">
      <c r="A26490" s="2" t="str">
        <f t="shared" si="935"/>
        <v>19740</v>
      </c>
      <c r="B26490" s="2" t="str">
        <f>"80402"</f>
        <v>80402</v>
      </c>
      <c r="C26490" s="1">
        <v>2.0616176152094801E-3</v>
      </c>
      <c r="D26490" s="1">
        <v>5.9481396573623701E-3</v>
      </c>
      <c r="E26490" s="1">
        <v>7.7376622974666807E-5</v>
      </c>
      <c r="F26490" s="1">
        <v>2.3075788658694198E-3</v>
      </c>
    </row>
    <row r="26491" spans="1:6" x14ac:dyDescent="0.25">
      <c r="A26491" s="2" t="str">
        <f t="shared" si="935"/>
        <v>19740</v>
      </c>
      <c r="B26491" s="2" t="str">
        <f>"80291"</f>
        <v>80291</v>
      </c>
      <c r="C26491" s="1">
        <v>0</v>
      </c>
      <c r="D26491" s="1">
        <v>7.7449735121905799E-6</v>
      </c>
      <c r="E26491" s="1">
        <v>0</v>
      </c>
      <c r="F26491" s="1">
        <v>6.58367722074016E-7</v>
      </c>
    </row>
    <row r="26492" spans="1:6" x14ac:dyDescent="0.25">
      <c r="A26492" s="2" t="str">
        <f t="shared" si="935"/>
        <v>19740</v>
      </c>
      <c r="B26492" s="2" t="str">
        <f>"80271"</f>
        <v>80271</v>
      </c>
      <c r="C26492" s="1">
        <v>0</v>
      </c>
      <c r="D26492" s="1">
        <v>7.7449735121905799E-6</v>
      </c>
      <c r="E26492" s="1">
        <v>0</v>
      </c>
      <c r="F26492" s="1">
        <v>6.58367722074016E-7</v>
      </c>
    </row>
    <row r="26493" spans="1:6" x14ac:dyDescent="0.25">
      <c r="A26493" s="2" t="str">
        <f t="shared" si="935"/>
        <v>19740</v>
      </c>
      <c r="B26493" s="2" t="str">
        <f>"80448"</f>
        <v>80448</v>
      </c>
      <c r="C26493" s="1">
        <v>4.4522488761844601E-5</v>
      </c>
      <c r="D26493" s="1">
        <v>7.7449735121905799E-6</v>
      </c>
      <c r="E26493" s="1">
        <v>3.09506491898667E-5</v>
      </c>
      <c r="F26493" s="1">
        <v>4.0818798768589E-5</v>
      </c>
    </row>
    <row r="26494" spans="1:6" x14ac:dyDescent="0.25">
      <c r="A26494" s="2" t="str">
        <f t="shared" si="935"/>
        <v>19740</v>
      </c>
      <c r="B26494" s="2" t="str">
        <f>"80475"</f>
        <v>80475</v>
      </c>
      <c r="C26494" s="1">
        <v>1.01118872781138E-4</v>
      </c>
      <c r="D26494" s="1">
        <v>0</v>
      </c>
      <c r="E26494" s="1">
        <v>1.5475324594933299E-5</v>
      </c>
      <c r="F26494" s="1">
        <v>8.8879642479992196E-5</v>
      </c>
    </row>
    <row r="26495" spans="1:6" x14ac:dyDescent="0.25">
      <c r="A26495" s="2" t="str">
        <f t="shared" si="935"/>
        <v>19740</v>
      </c>
      <c r="B26495" s="2" t="str">
        <f>"80452"</f>
        <v>80452</v>
      </c>
      <c r="C26495" s="1">
        <v>5.8482930153270498E-4</v>
      </c>
      <c r="D26495" s="1">
        <v>9.2939682146287006E-5</v>
      </c>
      <c r="E26495" s="1">
        <v>2.32129868924E-4</v>
      </c>
      <c r="F26495" s="1">
        <v>5.2801091310336102E-4</v>
      </c>
    </row>
    <row r="26496" spans="1:6" x14ac:dyDescent="0.25">
      <c r="A26496" s="2" t="str">
        <f t="shared" si="935"/>
        <v>19740</v>
      </c>
      <c r="B26496" s="2" t="str">
        <f>"80437"</f>
        <v>80437</v>
      </c>
      <c r="C26496" s="1">
        <v>2.0502983384056198E-3</v>
      </c>
      <c r="D26496" s="1">
        <v>3.8569968090709098E-3</v>
      </c>
      <c r="E26496" s="1">
        <v>3.09506491898667E-5</v>
      </c>
      <c r="F26496" s="1">
        <v>2.1179689619121099E-3</v>
      </c>
    </row>
    <row r="26497" spans="1:6" x14ac:dyDescent="0.25">
      <c r="A26497" s="2" t="str">
        <f t="shared" si="935"/>
        <v>19740</v>
      </c>
      <c r="B26497" s="2" t="str">
        <f>"80234"</f>
        <v>80234</v>
      </c>
      <c r="C26497" s="1">
        <v>9.3806619965845894E-3</v>
      </c>
      <c r="D26497" s="1">
        <v>9.4256327643359398E-3</v>
      </c>
      <c r="E26497" s="1">
        <v>1.73014128971355E-2</v>
      </c>
      <c r="F26497" s="1">
        <v>9.7214577841449202E-3</v>
      </c>
    </row>
    <row r="26498" spans="1:6" x14ac:dyDescent="0.25">
      <c r="A26498" s="2" t="str">
        <f t="shared" si="935"/>
        <v>19740</v>
      </c>
      <c r="B26498" s="2" t="str">
        <f>"80202"</f>
        <v>80202</v>
      </c>
      <c r="C26498" s="1">
        <v>1.21878426439415E-2</v>
      </c>
      <c r="D26498" s="1">
        <v>3.9197310945196497E-2</v>
      </c>
      <c r="E26498" s="1">
        <v>1.0198238908061E-2</v>
      </c>
      <c r="F26498" s="1">
        <v>1.4399160449480799E-2</v>
      </c>
    </row>
    <row r="26499" spans="1:6" x14ac:dyDescent="0.25">
      <c r="A26499" s="2" t="str">
        <f t="shared" si="935"/>
        <v>19740</v>
      </c>
      <c r="B26499" s="2" t="str">
        <f>"80163"</f>
        <v>80163</v>
      </c>
      <c r="C26499" s="1">
        <v>5.6369998483216902E-4</v>
      </c>
      <c r="D26499" s="1">
        <v>5.3672666439480701E-3</v>
      </c>
      <c r="E26499" s="1">
        <v>0</v>
      </c>
      <c r="F26499" s="1">
        <v>9.4804951978658299E-4</v>
      </c>
    </row>
    <row r="26500" spans="1:6" x14ac:dyDescent="0.25">
      <c r="A26500" s="2" t="str">
        <f t="shared" si="935"/>
        <v>19740</v>
      </c>
      <c r="B26500" s="2" t="str">
        <f>"80232"</f>
        <v>80232</v>
      </c>
      <c r="C26500" s="1">
        <v>6.9304158777759497E-3</v>
      </c>
      <c r="D26500" s="1">
        <v>4.6392391338021602E-3</v>
      </c>
      <c r="E26500" s="1">
        <v>7.8459895696312201E-3</v>
      </c>
      <c r="F26500" s="1">
        <v>6.77460386014162E-3</v>
      </c>
    </row>
    <row r="26501" spans="1:6" x14ac:dyDescent="0.25">
      <c r="A26501" s="2" t="str">
        <f t="shared" si="935"/>
        <v>19740</v>
      </c>
      <c r="B26501" s="2" t="str">
        <f>"80124"</f>
        <v>80124</v>
      </c>
      <c r="C26501" s="1">
        <v>8.1136576130059895E-3</v>
      </c>
      <c r="D26501" s="1">
        <v>8.5891756250193602E-3</v>
      </c>
      <c r="E26501" s="1">
        <v>5.24613503768241E-3</v>
      </c>
      <c r="F26501" s="1">
        <v>8.0320862093029907E-3</v>
      </c>
    </row>
    <row r="26502" spans="1:6" x14ac:dyDescent="0.25">
      <c r="A26502" s="2" t="str">
        <f t="shared" si="935"/>
        <v>19740</v>
      </c>
      <c r="B26502" s="2" t="str">
        <f>"80017"</f>
        <v>80017</v>
      </c>
      <c r="C26502" s="1">
        <v>1.1847509721372201E-2</v>
      </c>
      <c r="D26502" s="1">
        <v>2.65652591468137E-3</v>
      </c>
      <c r="E26502" s="1">
        <v>2.8087714139804001E-2</v>
      </c>
      <c r="F26502" s="1">
        <v>1.17571307807977E-2</v>
      </c>
    </row>
    <row r="26503" spans="1:6" x14ac:dyDescent="0.25">
      <c r="A26503" s="2" t="str">
        <f t="shared" si="935"/>
        <v>19740</v>
      </c>
      <c r="B26503" s="2" t="str">
        <f>"80118"</f>
        <v>80118</v>
      </c>
      <c r="C26503" s="1">
        <v>1.8940923185123699E-3</v>
      </c>
      <c r="D26503" s="1">
        <v>3.7175872858514802E-4</v>
      </c>
      <c r="E26503" s="1">
        <v>2.7855584270879998E-4</v>
      </c>
      <c r="F26503" s="1">
        <v>1.6959552520626601E-3</v>
      </c>
    </row>
    <row r="26504" spans="1:6" x14ac:dyDescent="0.25">
      <c r="A26504" s="2" t="str">
        <f t="shared" si="935"/>
        <v>19740</v>
      </c>
      <c r="B26504" s="2" t="str">
        <f>"80035"</f>
        <v>80035</v>
      </c>
      <c r="C26504" s="1">
        <v>7.2443371544696396E-4</v>
      </c>
      <c r="D26504" s="1">
        <v>3.25288887512004E-3</v>
      </c>
      <c r="E26504" s="1">
        <v>3.09506491898667E-5</v>
      </c>
      <c r="F26504" s="1">
        <v>9.0986419190629004E-4</v>
      </c>
    </row>
    <row r="26505" spans="1:6" x14ac:dyDescent="0.25">
      <c r="A26505" s="2" t="str">
        <f t="shared" si="935"/>
        <v>19740</v>
      </c>
      <c r="B26505" s="2" t="str">
        <f>"80041"</f>
        <v>80041</v>
      </c>
      <c r="C26505" s="1">
        <v>6.4293492245917996E-4</v>
      </c>
      <c r="D26505" s="1">
        <v>1.0610613711701099E-3</v>
      </c>
      <c r="E26505" s="1">
        <v>3.09506491898667E-5</v>
      </c>
      <c r="F26505" s="1">
        <v>6.5244241257535001E-4</v>
      </c>
    </row>
    <row r="26506" spans="1:6" x14ac:dyDescent="0.25">
      <c r="A26506" s="2" t="str">
        <f t="shared" si="935"/>
        <v>19740</v>
      </c>
      <c r="B26506" s="2" t="str">
        <f>"80010"</f>
        <v>80010</v>
      </c>
      <c r="C26506" s="1">
        <v>1.17131876366331E-2</v>
      </c>
      <c r="D26506" s="1">
        <v>9.1468137178970805E-3</v>
      </c>
      <c r="E26506" s="1">
        <v>1.4484903820857599E-2</v>
      </c>
      <c r="F26506" s="1">
        <v>1.16129482496635E-2</v>
      </c>
    </row>
    <row r="26507" spans="1:6" x14ac:dyDescent="0.25">
      <c r="A26507" s="2" t="str">
        <f t="shared" si="935"/>
        <v>19740</v>
      </c>
      <c r="B26507" s="2" t="str">
        <f>"80024"</f>
        <v>80024</v>
      </c>
      <c r="C26507" s="1">
        <v>0</v>
      </c>
      <c r="D26507" s="1">
        <v>7.7449735121905799E-6</v>
      </c>
      <c r="E26507" s="1">
        <v>0</v>
      </c>
      <c r="F26507" s="1">
        <v>6.58367722074016E-7</v>
      </c>
    </row>
    <row r="26508" spans="1:6" x14ac:dyDescent="0.25">
      <c r="A26508" s="2" t="str">
        <f t="shared" si="935"/>
        <v>19740</v>
      </c>
      <c r="B26508" s="2" t="str">
        <f>"80603"</f>
        <v>80603</v>
      </c>
      <c r="C26508" s="1">
        <v>1.5228200393458001E-3</v>
      </c>
      <c r="D26508" s="1">
        <v>2.8656401995105101E-4</v>
      </c>
      <c r="E26508" s="1">
        <v>6.1901298379733494E-5</v>
      </c>
      <c r="F26508" s="1">
        <v>1.3555791397503901E-3</v>
      </c>
    </row>
    <row r="26509" spans="1:6" x14ac:dyDescent="0.25">
      <c r="A26509" s="2" t="str">
        <f t="shared" si="935"/>
        <v>19740</v>
      </c>
      <c r="B26509" s="2" t="str">
        <f>"80828"</f>
        <v>80828</v>
      </c>
      <c r="C26509" s="1">
        <v>7.6971082266239901E-5</v>
      </c>
      <c r="D26509" s="1">
        <v>4.6469841073143503E-5</v>
      </c>
      <c r="E26509" s="1">
        <v>0</v>
      </c>
      <c r="F26509" s="1">
        <v>7.11037139839937E-5</v>
      </c>
    </row>
    <row r="26510" spans="1:6" x14ac:dyDescent="0.25">
      <c r="A26510" s="2" t="str">
        <f t="shared" si="935"/>
        <v>19740</v>
      </c>
      <c r="B26510" s="2" t="str">
        <f>"80263"</f>
        <v>80263</v>
      </c>
      <c r="C26510" s="1">
        <v>0</v>
      </c>
      <c r="D26510" s="1">
        <v>7.7449735121905799E-6</v>
      </c>
      <c r="E26510" s="1">
        <v>0</v>
      </c>
      <c r="F26510" s="1">
        <v>6.58367722074016E-7</v>
      </c>
    </row>
    <row r="26511" spans="1:6" x14ac:dyDescent="0.25">
      <c r="A26511" s="2" t="str">
        <f t="shared" si="935"/>
        <v>19740</v>
      </c>
      <c r="B26511" s="2" t="str">
        <f>"80257"</f>
        <v>80257</v>
      </c>
      <c r="C26511" s="1">
        <v>0</v>
      </c>
      <c r="D26511" s="1">
        <v>7.7449735121905799E-6</v>
      </c>
      <c r="E26511" s="1">
        <v>3.09506491898667E-5</v>
      </c>
      <c r="F26511" s="1">
        <v>1.9751031662220402E-6</v>
      </c>
    </row>
    <row r="26512" spans="1:6" x14ac:dyDescent="0.25">
      <c r="A26512" s="2" t="str">
        <f t="shared" si="935"/>
        <v>19740</v>
      </c>
      <c r="B26512" s="2" t="str">
        <f>"80256"</f>
        <v>80256</v>
      </c>
      <c r="C26512" s="1">
        <v>0</v>
      </c>
      <c r="D26512" s="1">
        <v>7.7449735121905799E-6</v>
      </c>
      <c r="E26512" s="1">
        <v>0</v>
      </c>
      <c r="F26512" s="1">
        <v>6.58367722074016E-7</v>
      </c>
    </row>
    <row r="26513" spans="1:6" x14ac:dyDescent="0.25">
      <c r="A26513" s="2" t="str">
        <f t="shared" si="935"/>
        <v>19740</v>
      </c>
      <c r="B26513" s="2" t="str">
        <f>"80264"</f>
        <v>80264</v>
      </c>
      <c r="C26513" s="1">
        <v>0</v>
      </c>
      <c r="D26513" s="1">
        <v>6.1959788097524701E-4</v>
      </c>
      <c r="E26513" s="1">
        <v>4.64259737848001E-5</v>
      </c>
      <c r="F26513" s="1">
        <v>5.4644520932143302E-5</v>
      </c>
    </row>
    <row r="26514" spans="1:6" x14ac:dyDescent="0.25">
      <c r="A26514" s="2" t="str">
        <f t="shared" si="935"/>
        <v>19740</v>
      </c>
      <c r="B26514" s="2" t="str">
        <f>"80440"</f>
        <v>80440</v>
      </c>
      <c r="C26514" s="1">
        <v>7.5461845359058702E-5</v>
      </c>
      <c r="D26514" s="1">
        <v>7.7449735121905799E-6</v>
      </c>
      <c r="E26514" s="1">
        <v>4.64259737848001E-5</v>
      </c>
      <c r="F26514" s="1">
        <v>6.8470243095697597E-5</v>
      </c>
    </row>
    <row r="26515" spans="1:6" x14ac:dyDescent="0.25">
      <c r="A26515" s="2" t="str">
        <f t="shared" si="935"/>
        <v>19740</v>
      </c>
      <c r="B26515" s="2" t="str">
        <f>"80438"</f>
        <v>80438</v>
      </c>
      <c r="C26515" s="1">
        <v>0</v>
      </c>
      <c r="D26515" s="1">
        <v>0</v>
      </c>
      <c r="E26515" s="1">
        <v>1.5475324594933299E-5</v>
      </c>
      <c r="F26515" s="1">
        <v>6.58367722074016E-7</v>
      </c>
    </row>
    <row r="26516" spans="1:6" x14ac:dyDescent="0.25">
      <c r="A26516" s="2" t="str">
        <f t="shared" si="935"/>
        <v>19740</v>
      </c>
      <c r="B26516" s="2" t="str">
        <f>"80457"</f>
        <v>80457</v>
      </c>
      <c r="C26516" s="1">
        <v>1.91673087212009E-4</v>
      </c>
      <c r="D26516" s="1">
        <v>0</v>
      </c>
      <c r="E26516" s="1">
        <v>1.5475324594933299E-5</v>
      </c>
      <c r="F26516" s="1">
        <v>1.67883769128874E-4</v>
      </c>
    </row>
    <row r="26517" spans="1:6" x14ac:dyDescent="0.25">
      <c r="A26517" s="2" t="str">
        <f t="shared" si="935"/>
        <v>19740</v>
      </c>
      <c r="B26517" s="2" t="str">
        <f>"80206"</f>
        <v>80206</v>
      </c>
      <c r="C26517" s="1">
        <v>1.20074888335334E-2</v>
      </c>
      <c r="D26517" s="1">
        <v>1.62799343226246E-2</v>
      </c>
      <c r="E26517" s="1">
        <v>2.3924851823767E-2</v>
      </c>
      <c r="F26517" s="1">
        <v>1.28776726437677E-2</v>
      </c>
    </row>
    <row r="26518" spans="1:6" x14ac:dyDescent="0.25">
      <c r="A26518" s="2" t="str">
        <f t="shared" si="935"/>
        <v>19740</v>
      </c>
      <c r="B26518" s="2" t="str">
        <f>"80205"</f>
        <v>80205</v>
      </c>
      <c r="C26518" s="1">
        <v>1.3724245815452001E-2</v>
      </c>
      <c r="D26518" s="1">
        <v>1.2012453917407601E-2</v>
      </c>
      <c r="E26518" s="1">
        <v>1.857038951392E-2</v>
      </c>
      <c r="F26518" s="1">
        <v>1.3784903364785699E-2</v>
      </c>
    </row>
    <row r="26519" spans="1:6" x14ac:dyDescent="0.25">
      <c r="A26519" s="2" t="str">
        <f t="shared" si="935"/>
        <v>19740</v>
      </c>
      <c r="B26519" s="2" t="str">
        <f>"80161"</f>
        <v>80161</v>
      </c>
      <c r="C26519" s="1">
        <v>6.7311966060280403E-4</v>
      </c>
      <c r="D26519" s="1">
        <v>3.5007280275101398E-3</v>
      </c>
      <c r="E26519" s="1">
        <v>0</v>
      </c>
      <c r="F26519" s="1">
        <v>8.8484621846747697E-4</v>
      </c>
    </row>
    <row r="26520" spans="1:6" x14ac:dyDescent="0.25">
      <c r="A26520" s="2" t="str">
        <f t="shared" ref="A26520:A26551" si="936">"19740"</f>
        <v>19740</v>
      </c>
      <c r="B26520" s="2" t="str">
        <f>"80231"</f>
        <v>80231</v>
      </c>
      <c r="C26520" s="1">
        <v>1.50833136503686E-2</v>
      </c>
      <c r="D26520" s="1">
        <v>1.2926360791846E-2</v>
      </c>
      <c r="E26520" s="1">
        <v>1.10803324099722E-2</v>
      </c>
      <c r="F26520" s="1">
        <v>1.4729661045961901E-2</v>
      </c>
    </row>
    <row r="26521" spans="1:6" x14ac:dyDescent="0.25">
      <c r="A26521" s="2" t="str">
        <f t="shared" si="936"/>
        <v>19740</v>
      </c>
      <c r="B26521" s="2" t="str">
        <f>"80218"</f>
        <v>80218</v>
      </c>
      <c r="C26521" s="1">
        <v>1.08468856519111E-2</v>
      </c>
      <c r="D26521" s="1">
        <v>9.1003438768239402E-3</v>
      </c>
      <c r="E26521" s="1">
        <v>2.6447329732741099E-2</v>
      </c>
      <c r="F26521" s="1">
        <v>1.1362110147553299E-2</v>
      </c>
    </row>
    <row r="26522" spans="1:6" x14ac:dyDescent="0.25">
      <c r="A26522" s="2" t="str">
        <f t="shared" si="936"/>
        <v>19740</v>
      </c>
      <c r="B26522" s="2" t="str">
        <f>"80224"</f>
        <v>80224</v>
      </c>
      <c r="C26522" s="1">
        <v>7.9483961716696593E-3</v>
      </c>
      <c r="D26522" s="1">
        <v>6.70714706155704E-3</v>
      </c>
      <c r="E26522" s="1">
        <v>8.9756882650613504E-3</v>
      </c>
      <c r="F26522" s="1">
        <v>7.8865869427246407E-3</v>
      </c>
    </row>
    <row r="26523" spans="1:6" x14ac:dyDescent="0.25">
      <c r="A26523" s="2" t="str">
        <f t="shared" si="936"/>
        <v>19740</v>
      </c>
      <c r="B26523" s="2" t="str">
        <f>"80221"</f>
        <v>80221</v>
      </c>
      <c r="C26523" s="1">
        <v>1.26670253619716E-2</v>
      </c>
      <c r="D26523" s="1">
        <v>1.20047089438954E-2</v>
      </c>
      <c r="E26523" s="1">
        <v>8.7899843699221492E-3</v>
      </c>
      <c r="F26523" s="1">
        <v>1.24457834180872E-2</v>
      </c>
    </row>
    <row r="26524" spans="1:6" x14ac:dyDescent="0.25">
      <c r="A26524" s="2" t="str">
        <f t="shared" si="936"/>
        <v>19740</v>
      </c>
      <c r="B26524" s="2" t="str">
        <f>"80128"</f>
        <v>80128</v>
      </c>
      <c r="C26524" s="1">
        <v>1.1459635836226599E-2</v>
      </c>
      <c r="D26524" s="1">
        <v>2.75721057033984E-3</v>
      </c>
      <c r="E26524" s="1">
        <v>1.15755427970101E-2</v>
      </c>
      <c r="F26524" s="1">
        <v>1.07248101925857E-2</v>
      </c>
    </row>
    <row r="26525" spans="1:6" x14ac:dyDescent="0.25">
      <c r="A26525" s="2" t="str">
        <f t="shared" si="936"/>
        <v>19740</v>
      </c>
      <c r="B26525" s="2" t="str">
        <f>"80020"</f>
        <v>80020</v>
      </c>
      <c r="C26525" s="1">
        <v>1.58175574057123E-2</v>
      </c>
      <c r="D26525" s="1">
        <v>1.3453018990674999E-2</v>
      </c>
      <c r="E26525" s="1">
        <v>1.1204135006731701E-2</v>
      </c>
      <c r="F26525" s="1">
        <v>1.54202887864176E-2</v>
      </c>
    </row>
    <row r="26526" spans="1:6" x14ac:dyDescent="0.25">
      <c r="A26526" s="2" t="str">
        <f t="shared" si="936"/>
        <v>19740</v>
      </c>
      <c r="B26526" s="2" t="str">
        <f>"80046"</f>
        <v>80046</v>
      </c>
      <c r="C26526" s="1">
        <v>9.4327306698823398E-4</v>
      </c>
      <c r="D26526" s="1">
        <v>5.21236717370426E-3</v>
      </c>
      <c r="E26526" s="1">
        <v>0</v>
      </c>
      <c r="F26526" s="1">
        <v>1.26604112954833E-3</v>
      </c>
    </row>
    <row r="26527" spans="1:6" x14ac:dyDescent="0.25">
      <c r="A26527" s="2" t="str">
        <f t="shared" si="936"/>
        <v>19740</v>
      </c>
      <c r="B26527" s="2" t="str">
        <f>"80031"</f>
        <v>80031</v>
      </c>
      <c r="C26527" s="1">
        <v>1.1394738649217801E-2</v>
      </c>
      <c r="D26527" s="1">
        <v>5.9171597633135998E-3</v>
      </c>
      <c r="E26527" s="1">
        <v>1.6883579133072299E-2</v>
      </c>
      <c r="F26527" s="1">
        <v>1.11626247277649E-2</v>
      </c>
    </row>
    <row r="26528" spans="1:6" x14ac:dyDescent="0.25">
      <c r="A26528" s="2" t="str">
        <f t="shared" si="936"/>
        <v>19740</v>
      </c>
      <c r="B26528" s="2" t="str">
        <f>"80110"</f>
        <v>80110</v>
      </c>
      <c r="C26528" s="1">
        <v>8.5641648297995806E-3</v>
      </c>
      <c r="D26528" s="1">
        <v>2.0423495151646501E-2</v>
      </c>
      <c r="E26528" s="1">
        <v>1.2581438895680801E-2</v>
      </c>
      <c r="F26528" s="1">
        <v>9.74318391897336E-3</v>
      </c>
    </row>
    <row r="26529" spans="1:6" x14ac:dyDescent="0.25">
      <c r="A26529" s="2" t="str">
        <f t="shared" si="936"/>
        <v>19740</v>
      </c>
      <c r="B26529" s="2" t="str">
        <f>"80105"</f>
        <v>80105</v>
      </c>
      <c r="C26529" s="1">
        <v>4.9880279782337801E-4</v>
      </c>
      <c r="D26529" s="1">
        <v>7.7449735121905795E-5</v>
      </c>
      <c r="E26529" s="1">
        <v>2.4760519351893398E-4</v>
      </c>
      <c r="F26529" s="1">
        <v>4.5229862506484901E-4</v>
      </c>
    </row>
    <row r="26530" spans="1:6" x14ac:dyDescent="0.25">
      <c r="A26530" s="2" t="str">
        <f t="shared" si="936"/>
        <v>19740</v>
      </c>
      <c r="B26530" s="2" t="str">
        <f>"80001"</f>
        <v>80001</v>
      </c>
      <c r="C26530" s="1">
        <v>9.8553170038930709E-4</v>
      </c>
      <c r="D26530" s="1">
        <v>3.6866073918027202E-3</v>
      </c>
      <c r="E26530" s="1">
        <v>3.09506491898667E-5</v>
      </c>
      <c r="F26530" s="1">
        <v>1.1745280161800399E-3</v>
      </c>
    </row>
    <row r="26531" spans="1:6" x14ac:dyDescent="0.25">
      <c r="A26531" s="2" t="str">
        <f t="shared" si="936"/>
        <v>19740</v>
      </c>
      <c r="B26531" s="2" t="str">
        <f>"80640"</f>
        <v>80640</v>
      </c>
      <c r="C26531" s="1">
        <v>3.6078308266166001E-3</v>
      </c>
      <c r="D26531" s="1">
        <v>4.3294401933145297E-3</v>
      </c>
      <c r="E26531" s="1">
        <v>2.4915272597842699E-3</v>
      </c>
      <c r="F26531" s="1">
        <v>3.6216808391291602E-3</v>
      </c>
    </row>
    <row r="26532" spans="1:6" x14ac:dyDescent="0.25">
      <c r="A26532" s="2" t="str">
        <f t="shared" si="936"/>
        <v>19740</v>
      </c>
      <c r="B26532" s="2" t="str">
        <f>"80835"</f>
        <v>80835</v>
      </c>
      <c r="C26532" s="1">
        <v>1.17720478760131E-4</v>
      </c>
      <c r="D26532" s="1">
        <v>7.7449735121905799E-6</v>
      </c>
      <c r="E26532" s="1">
        <v>4.64259737848001E-5</v>
      </c>
      <c r="F26532" s="1">
        <v>1.05338835531842E-4</v>
      </c>
    </row>
    <row r="26533" spans="1:6" x14ac:dyDescent="0.25">
      <c r="A26533" s="2" t="str">
        <f t="shared" si="936"/>
        <v>19740</v>
      </c>
      <c r="B26533" s="2" t="str">
        <f>"80614"</f>
        <v>80614</v>
      </c>
      <c r="C26533" s="1">
        <v>6.7236504214921301E-4</v>
      </c>
      <c r="D26533" s="1">
        <v>2.33123702716936E-3</v>
      </c>
      <c r="E26533" s="1">
        <v>1.5475324594933299E-5</v>
      </c>
      <c r="F26533" s="1">
        <v>7.8543269243430095E-4</v>
      </c>
    </row>
    <row r="26534" spans="1:6" x14ac:dyDescent="0.25">
      <c r="A26534" s="2" t="str">
        <f t="shared" si="936"/>
        <v>19740</v>
      </c>
      <c r="B26534" s="2" t="str">
        <f>"80419"</f>
        <v>80419</v>
      </c>
      <c r="C26534" s="1">
        <v>0</v>
      </c>
      <c r="D26534" s="1">
        <v>7.7449735121905799E-6</v>
      </c>
      <c r="E26534" s="1">
        <v>0</v>
      </c>
      <c r="F26534" s="1">
        <v>6.58367722074016E-7</v>
      </c>
    </row>
    <row r="26535" spans="1:6" x14ac:dyDescent="0.25">
      <c r="A26535" s="2" t="str">
        <f t="shared" si="936"/>
        <v>19740</v>
      </c>
      <c r="B26535" s="2" t="str">
        <f>"80299"</f>
        <v>80299</v>
      </c>
      <c r="C26535" s="1">
        <v>0</v>
      </c>
      <c r="D26535" s="1">
        <v>9.9135660956039509E-4</v>
      </c>
      <c r="E26535" s="1">
        <v>4.64259737848001E-5</v>
      </c>
      <c r="F26535" s="1">
        <v>8.6246171591696094E-5</v>
      </c>
    </row>
    <row r="26536" spans="1:6" x14ac:dyDescent="0.25">
      <c r="A26536" s="2" t="str">
        <f t="shared" si="936"/>
        <v>19740</v>
      </c>
      <c r="B26536" s="2" t="str">
        <f>"80259"</f>
        <v>80259</v>
      </c>
      <c r="C26536" s="1">
        <v>0</v>
      </c>
      <c r="D26536" s="1">
        <v>7.7449735121905799E-6</v>
      </c>
      <c r="E26536" s="1">
        <v>0</v>
      </c>
      <c r="F26536" s="1">
        <v>6.58367722074016E-7</v>
      </c>
    </row>
    <row r="26537" spans="1:6" x14ac:dyDescent="0.25">
      <c r="A26537" s="2" t="str">
        <f t="shared" si="936"/>
        <v>19740</v>
      </c>
      <c r="B26537" s="2" t="str">
        <f>"80250"</f>
        <v>80250</v>
      </c>
      <c r="C26537" s="1">
        <v>1.09344213925276E-3</v>
      </c>
      <c r="D26537" s="1">
        <v>5.9016698162892203E-3</v>
      </c>
      <c r="E26537" s="1">
        <v>3.09506491898667E-5</v>
      </c>
      <c r="F26537" s="1">
        <v>1.4569677689497899E-3</v>
      </c>
    </row>
    <row r="26538" spans="1:6" x14ac:dyDescent="0.25">
      <c r="A26538" s="2" t="str">
        <f t="shared" si="936"/>
        <v>19740</v>
      </c>
      <c r="B26538" s="2" t="str">
        <f>"80449"</f>
        <v>80449</v>
      </c>
      <c r="C26538" s="1">
        <v>4.32396373907406E-4</v>
      </c>
      <c r="D26538" s="1">
        <v>7.7449735121905799E-6</v>
      </c>
      <c r="E26538" s="1">
        <v>3.09506491898667E-5</v>
      </c>
      <c r="F26538" s="1">
        <v>3.7921980791463301E-4</v>
      </c>
    </row>
    <row r="26539" spans="1:6" x14ac:dyDescent="0.25">
      <c r="A26539" s="2" t="str">
        <f t="shared" si="936"/>
        <v>19740</v>
      </c>
      <c r="B26539" s="2" t="str">
        <f>"80162"</f>
        <v>80162</v>
      </c>
      <c r="C26539" s="1">
        <v>5.9086624916142999E-4</v>
      </c>
      <c r="D26539" s="1">
        <v>4.0041513058025301E-3</v>
      </c>
      <c r="E26539" s="1">
        <v>3.09506491898667E-5</v>
      </c>
      <c r="F26539" s="1">
        <v>8.5719477414036903E-4</v>
      </c>
    </row>
    <row r="26540" spans="1:6" x14ac:dyDescent="0.25">
      <c r="A26540" s="2" t="str">
        <f t="shared" si="936"/>
        <v>19740</v>
      </c>
      <c r="B26540" s="2" t="str">
        <f>"80201"</f>
        <v>80201</v>
      </c>
      <c r="C26540" s="1">
        <v>2.3596919043777599E-3</v>
      </c>
      <c r="D26540" s="1">
        <v>6.4825428297035203E-3</v>
      </c>
      <c r="E26540" s="1">
        <v>0</v>
      </c>
      <c r="F26540" s="1">
        <v>2.6097696503014E-3</v>
      </c>
    </row>
    <row r="26541" spans="1:6" x14ac:dyDescent="0.25">
      <c r="A26541" s="2" t="str">
        <f t="shared" si="936"/>
        <v>19740</v>
      </c>
      <c r="B26541" s="2" t="str">
        <f>"80160"</f>
        <v>80160</v>
      </c>
      <c r="C26541" s="1">
        <v>4.5428030906153298E-4</v>
      </c>
      <c r="D26541" s="1">
        <v>3.6633724712661401E-3</v>
      </c>
      <c r="E26541" s="1">
        <v>3.09506491898667E-5</v>
      </c>
      <c r="F26541" s="1">
        <v>7.0906203667371495E-4</v>
      </c>
    </row>
    <row r="26542" spans="1:6" x14ac:dyDescent="0.25">
      <c r="A26542" s="2" t="str">
        <f t="shared" si="936"/>
        <v>19740</v>
      </c>
      <c r="B26542" s="2" t="str">
        <f>"80138"</f>
        <v>80138</v>
      </c>
      <c r="C26542" s="1">
        <v>9.9345519415200804E-3</v>
      </c>
      <c r="D26542" s="1">
        <v>4.0661110939000499E-3</v>
      </c>
      <c r="E26542" s="1">
        <v>3.9307324471130698E-3</v>
      </c>
      <c r="F26542" s="1">
        <v>9.1802795166000799E-3</v>
      </c>
    </row>
    <row r="26543" spans="1:6" x14ac:dyDescent="0.25">
      <c r="A26543" s="2" t="str">
        <f t="shared" si="936"/>
        <v>19740</v>
      </c>
      <c r="B26543" s="2" t="str">
        <f>"80230"</f>
        <v>80230</v>
      </c>
      <c r="C26543" s="1">
        <v>3.6523533153784401E-3</v>
      </c>
      <c r="D26543" s="1">
        <v>2.06016295424269E-3</v>
      </c>
      <c r="E26543" s="1">
        <v>3.1414908927714699E-3</v>
      </c>
      <c r="F26543" s="1">
        <v>3.4952742364909501E-3</v>
      </c>
    </row>
    <row r="26544" spans="1:6" x14ac:dyDescent="0.25">
      <c r="A26544" s="2" t="str">
        <f t="shared" si="936"/>
        <v>19740</v>
      </c>
      <c r="B26544" s="2" t="str">
        <f>"80219"</f>
        <v>80219</v>
      </c>
      <c r="C26544" s="1">
        <v>1.6246180687351699E-2</v>
      </c>
      <c r="D26544" s="1">
        <v>9.8980761485795692E-3</v>
      </c>
      <c r="E26544" s="1">
        <v>1.07863012426685E-2</v>
      </c>
      <c r="F26544" s="1">
        <v>1.5474274939627599E-2</v>
      </c>
    </row>
    <row r="26545" spans="1:6" x14ac:dyDescent="0.25">
      <c r="A26545" s="2" t="str">
        <f t="shared" si="936"/>
        <v>19740</v>
      </c>
      <c r="B26545" s="2" t="str">
        <f>"80216"</f>
        <v>80216</v>
      </c>
      <c r="C26545" s="1">
        <v>6.7930753192224696E-3</v>
      </c>
      <c r="D26545" s="1">
        <v>4.30000929396821E-2</v>
      </c>
      <c r="E26545" s="1">
        <v>1.00744363113016E-2</v>
      </c>
      <c r="F26545" s="1">
        <v>1.00104812141354E-2</v>
      </c>
    </row>
    <row r="26546" spans="1:6" x14ac:dyDescent="0.25">
      <c r="A26546" s="2" t="str">
        <f t="shared" si="936"/>
        <v>19740</v>
      </c>
      <c r="B26546" s="2" t="str">
        <f>"80131"</f>
        <v>80131</v>
      </c>
      <c r="C26546" s="1">
        <v>0</v>
      </c>
      <c r="D26546" s="1">
        <v>7.7449735121905799E-6</v>
      </c>
      <c r="E26546" s="1">
        <v>0</v>
      </c>
      <c r="F26546" s="1">
        <v>6.58367722074016E-7</v>
      </c>
    </row>
    <row r="26547" spans="1:6" x14ac:dyDescent="0.25">
      <c r="A26547" s="2" t="str">
        <f t="shared" si="936"/>
        <v>19740</v>
      </c>
      <c r="B26547" s="2" t="str">
        <f>"80214"</f>
        <v>80214</v>
      </c>
      <c r="C26547" s="1">
        <v>1.02982780361507E-2</v>
      </c>
      <c r="D26547" s="1">
        <v>1.0122680380433E-2</v>
      </c>
      <c r="E26547" s="1">
        <v>2.3089184295640601E-2</v>
      </c>
      <c r="F26547" s="1">
        <v>1.08275155572292E-2</v>
      </c>
    </row>
    <row r="26548" spans="1:6" x14ac:dyDescent="0.25">
      <c r="A26548" s="2" t="str">
        <f t="shared" si="936"/>
        <v>19740</v>
      </c>
      <c r="B26548" s="2" t="str">
        <f>"80127"</f>
        <v>80127</v>
      </c>
      <c r="C26548" s="1">
        <v>1.4221539376368201E-2</v>
      </c>
      <c r="D26548" s="1">
        <v>1.18420645001394E-2</v>
      </c>
      <c r="E26548" s="1">
        <v>1.15445921478203E-2</v>
      </c>
      <c r="F26548" s="1">
        <v>1.39053846579252E-2</v>
      </c>
    </row>
    <row r="26549" spans="1:6" x14ac:dyDescent="0.25">
      <c r="A26549" s="2" t="str">
        <f t="shared" si="936"/>
        <v>19740</v>
      </c>
      <c r="B26549" s="2" t="str">
        <f>"80126"</f>
        <v>80126</v>
      </c>
      <c r="C26549" s="1">
        <v>1.21161538908504E-2</v>
      </c>
      <c r="D26549" s="1">
        <v>3.8724867560952902E-3</v>
      </c>
      <c r="E26549" s="1">
        <v>8.9756882650613504E-3</v>
      </c>
      <c r="F26549" s="1">
        <v>1.12817892854603E-2</v>
      </c>
    </row>
    <row r="26550" spans="1:6" x14ac:dyDescent="0.25">
      <c r="A26550" s="2" t="str">
        <f t="shared" si="936"/>
        <v>19740</v>
      </c>
      <c r="B26550" s="2" t="str">
        <f>"80125"</f>
        <v>80125</v>
      </c>
      <c r="C26550" s="1">
        <v>3.7866754001175599E-3</v>
      </c>
      <c r="D26550" s="1">
        <v>3.7175872858514801E-3</v>
      </c>
      <c r="E26550" s="1">
        <v>1.3463532397591999E-3</v>
      </c>
      <c r="F26550" s="1">
        <v>3.67698372778338E-3</v>
      </c>
    </row>
    <row r="26551" spans="1:6" x14ac:dyDescent="0.25">
      <c r="A26551" s="2" t="str">
        <f t="shared" si="936"/>
        <v>19740</v>
      </c>
      <c r="B26551" s="2" t="str">
        <f>"80015"</f>
        <v>80015</v>
      </c>
      <c r="C26551" s="1">
        <v>1.83010067364789E-2</v>
      </c>
      <c r="D26551" s="1">
        <v>5.0419777564360696E-3</v>
      </c>
      <c r="E26551" s="1">
        <v>1.54443739457435E-2</v>
      </c>
      <c r="F26551" s="1">
        <v>1.7052382369439002E-2</v>
      </c>
    </row>
    <row r="26552" spans="1:6" x14ac:dyDescent="0.25">
      <c r="A26552" s="2" t="str">
        <f t="shared" ref="A26552:A26585" si="937">"19740"</f>
        <v>19740</v>
      </c>
      <c r="B26552" s="2" t="str">
        <f>"80016"</f>
        <v>80016</v>
      </c>
      <c r="C26552" s="1">
        <v>1.82157348512231E-2</v>
      </c>
      <c r="D26552" s="1">
        <v>6.7458719291180001E-3</v>
      </c>
      <c r="E26552" s="1">
        <v>1.31230752565035E-2</v>
      </c>
      <c r="F26552" s="1">
        <v>1.7024072557389899E-2</v>
      </c>
    </row>
    <row r="26553" spans="1:6" x14ac:dyDescent="0.25">
      <c r="A26553" s="2" t="str">
        <f t="shared" si="937"/>
        <v>19740</v>
      </c>
      <c r="B26553" s="2" t="str">
        <f>"80121"</f>
        <v>80121</v>
      </c>
      <c r="C26553" s="1">
        <v>5.5275801725510497E-3</v>
      </c>
      <c r="D26553" s="1">
        <v>2.5171163914619399E-3</v>
      </c>
      <c r="E26553" s="1">
        <v>2.1046441449109302E-3</v>
      </c>
      <c r="F26553" s="1">
        <v>5.12605108406829E-3</v>
      </c>
    </row>
    <row r="26554" spans="1:6" x14ac:dyDescent="0.25">
      <c r="A26554" s="2" t="str">
        <f t="shared" si="937"/>
        <v>19740</v>
      </c>
      <c r="B26554" s="2" t="str">
        <f>"80122"</f>
        <v>80122</v>
      </c>
      <c r="C26554" s="1">
        <v>9.7994752383273702E-3</v>
      </c>
      <c r="D26554" s="1">
        <v>9.1158338238483197E-3</v>
      </c>
      <c r="E26554" s="1">
        <v>4.9056778965938796E-3</v>
      </c>
      <c r="F26554" s="1">
        <v>9.5331646156317507E-3</v>
      </c>
    </row>
    <row r="26555" spans="1:6" x14ac:dyDescent="0.25">
      <c r="A26555" s="2" t="str">
        <f t="shared" si="937"/>
        <v>19740</v>
      </c>
      <c r="B26555" s="2" t="str">
        <f>"80012"</f>
        <v>80012</v>
      </c>
      <c r="C26555" s="1">
        <v>1.5628148173861E-2</v>
      </c>
      <c r="D26555" s="1">
        <v>1.2066668731992899E-2</v>
      </c>
      <c r="E26555" s="1">
        <v>3.0703043996347799E-2</v>
      </c>
      <c r="F26555" s="1">
        <v>1.5966733995738999E-2</v>
      </c>
    </row>
    <row r="26556" spans="1:6" x14ac:dyDescent="0.25">
      <c r="A26556" s="2" t="str">
        <f t="shared" si="937"/>
        <v>19740</v>
      </c>
      <c r="B26556" s="2" t="str">
        <f>"80011"</f>
        <v>80011</v>
      </c>
      <c r="C26556" s="1">
        <v>1.42177662841002E-2</v>
      </c>
      <c r="D26556" s="1">
        <v>2.1329657052572799E-2</v>
      </c>
      <c r="E26556" s="1">
        <v>2.3801049227007501E-2</v>
      </c>
      <c r="F26556" s="1">
        <v>1.52300205147382E-2</v>
      </c>
    </row>
    <row r="26557" spans="1:6" x14ac:dyDescent="0.25">
      <c r="A26557" s="2" t="str">
        <f t="shared" si="937"/>
        <v>19740</v>
      </c>
      <c r="B26557" s="2" t="str">
        <f>"80021"</f>
        <v>80021</v>
      </c>
      <c r="C26557" s="1">
        <v>1.35265357806112E-2</v>
      </c>
      <c r="D26557" s="1">
        <v>1.4366925865113501E-2</v>
      </c>
      <c r="E26557" s="1">
        <v>1.12969869543013E-2</v>
      </c>
      <c r="F26557" s="1">
        <v>1.3503121979738001E-2</v>
      </c>
    </row>
    <row r="26558" spans="1:6" x14ac:dyDescent="0.25">
      <c r="A26558" s="2" t="str">
        <f t="shared" si="937"/>
        <v>19740</v>
      </c>
      <c r="B26558" s="2" t="str">
        <f>"80030"</f>
        <v>80030</v>
      </c>
      <c r="C26558" s="1">
        <v>5.1389516689519001E-3</v>
      </c>
      <c r="D26558" s="1">
        <v>4.1667957495585299E-3</v>
      </c>
      <c r="E26558" s="1">
        <v>9.5637505996688191E-3</v>
      </c>
      <c r="F26558" s="1">
        <v>5.2445572740416101E-3</v>
      </c>
    </row>
    <row r="26559" spans="1:6" x14ac:dyDescent="0.25">
      <c r="A26559" s="2" t="str">
        <f t="shared" si="937"/>
        <v>19740</v>
      </c>
      <c r="B26559" s="2" t="str">
        <f>"80004"</f>
        <v>80004</v>
      </c>
      <c r="C26559" s="1">
        <v>1.1588675591790601E-2</v>
      </c>
      <c r="D26559" s="1">
        <v>3.9576814647293897E-3</v>
      </c>
      <c r="E26559" s="1">
        <v>1.39896934338197E-2</v>
      </c>
      <c r="F26559" s="1">
        <v>1.1042143434625401E-2</v>
      </c>
    </row>
    <row r="26560" spans="1:6" x14ac:dyDescent="0.25">
      <c r="A26560" s="2" t="str">
        <f t="shared" si="937"/>
        <v>19740</v>
      </c>
      <c r="B26560" s="2" t="str">
        <f>"80833"</f>
        <v>80833</v>
      </c>
      <c r="C26560" s="1">
        <v>9.0554214430870501E-6</v>
      </c>
      <c r="D26560" s="1">
        <v>0</v>
      </c>
      <c r="E26560" s="1">
        <v>0</v>
      </c>
      <c r="F26560" s="1">
        <v>7.9004126648881894E-6</v>
      </c>
    </row>
    <row r="26561" spans="1:6" x14ac:dyDescent="0.25">
      <c r="A26561" s="2" t="str">
        <f t="shared" si="937"/>
        <v>19740</v>
      </c>
      <c r="B26561" s="2" t="str">
        <f>"80832"</f>
        <v>80832</v>
      </c>
      <c r="C26561" s="1">
        <v>1.1621124185295E-4</v>
      </c>
      <c r="D26561" s="1">
        <v>0</v>
      </c>
      <c r="E26561" s="1">
        <v>0</v>
      </c>
      <c r="F26561" s="1">
        <v>1.01388629199398E-4</v>
      </c>
    </row>
    <row r="26562" spans="1:6" x14ac:dyDescent="0.25">
      <c r="A26562" s="2" t="str">
        <f t="shared" si="937"/>
        <v>19740</v>
      </c>
      <c r="B26562" s="2" t="str">
        <f>"80403"</f>
        <v>80403</v>
      </c>
      <c r="C26562" s="1">
        <v>6.7862837531401498E-3</v>
      </c>
      <c r="D26562" s="1">
        <v>4.6934539483874903E-3</v>
      </c>
      <c r="E26562" s="1">
        <v>8.3257246320741496E-3</v>
      </c>
      <c r="F26562" s="1">
        <v>6.6738735986642999E-3</v>
      </c>
    </row>
    <row r="26563" spans="1:6" x14ac:dyDescent="0.25">
      <c r="A26563" s="2" t="str">
        <f t="shared" si="937"/>
        <v>19740</v>
      </c>
      <c r="B26563" s="2" t="str">
        <f>"80401"</f>
        <v>80401</v>
      </c>
      <c r="C26563" s="1">
        <v>1.3921201231839099E-2</v>
      </c>
      <c r="D26563" s="1">
        <v>2.1213482449889999E-2</v>
      </c>
      <c r="E26563" s="1">
        <v>1.77656726349835E-2</v>
      </c>
      <c r="F26563" s="1">
        <v>1.47046430725231E-2</v>
      </c>
    </row>
    <row r="26564" spans="1:6" x14ac:dyDescent="0.25">
      <c r="A26564" s="2" t="str">
        <f t="shared" si="937"/>
        <v>19740</v>
      </c>
      <c r="B26564" s="2" t="str">
        <f>"80290"</f>
        <v>80290</v>
      </c>
      <c r="C26564" s="1">
        <v>0</v>
      </c>
      <c r="D26564" s="1">
        <v>2.5558412590228903E-4</v>
      </c>
      <c r="E26564" s="1">
        <v>4.64259737848001E-5</v>
      </c>
      <c r="F26564" s="1">
        <v>2.3701237994664499E-5</v>
      </c>
    </row>
    <row r="26565" spans="1:6" x14ac:dyDescent="0.25">
      <c r="A26565" s="2" t="str">
        <f t="shared" si="937"/>
        <v>19740</v>
      </c>
      <c r="B26565" s="2" t="str">
        <f>"80251"</f>
        <v>80251</v>
      </c>
      <c r="C26565" s="1">
        <v>0</v>
      </c>
      <c r="D26565" s="1">
        <v>7.7449735121905799E-6</v>
      </c>
      <c r="E26565" s="1">
        <v>0</v>
      </c>
      <c r="F26565" s="1">
        <v>6.58367722074016E-7</v>
      </c>
    </row>
    <row r="26566" spans="1:6" x14ac:dyDescent="0.25">
      <c r="A26566" s="2" t="str">
        <f t="shared" si="937"/>
        <v>19740</v>
      </c>
      <c r="B26566" s="2" t="str">
        <f>"80261"</f>
        <v>80261</v>
      </c>
      <c r="C26566" s="1">
        <v>0</v>
      </c>
      <c r="D26566" s="1">
        <v>3.0979894048762299E-5</v>
      </c>
      <c r="E26566" s="1">
        <v>0</v>
      </c>
      <c r="F26566" s="1">
        <v>2.6334708882960602E-6</v>
      </c>
    </row>
    <row r="26567" spans="1:6" x14ac:dyDescent="0.25">
      <c r="A26567" s="2" t="str">
        <f t="shared" si="937"/>
        <v>19740</v>
      </c>
      <c r="B26567" s="2" t="str">
        <f>"80294"</f>
        <v>80294</v>
      </c>
      <c r="C26567" s="1">
        <v>0</v>
      </c>
      <c r="D26567" s="1">
        <v>2.4783915239009801E-4</v>
      </c>
      <c r="E26567" s="1">
        <v>1.08327272164533E-4</v>
      </c>
      <c r="F26567" s="1">
        <v>2.5676341160886599E-5</v>
      </c>
    </row>
    <row r="26568" spans="1:6" x14ac:dyDescent="0.25">
      <c r="A26568" s="2" t="str">
        <f t="shared" si="937"/>
        <v>19740</v>
      </c>
      <c r="B26568" s="2" t="str">
        <f>"80247"</f>
        <v>80247</v>
      </c>
      <c r="C26568" s="1">
        <v>1.38102723191613E-2</v>
      </c>
      <c r="D26568" s="1">
        <v>1.53350475541373E-3</v>
      </c>
      <c r="E26568" s="1">
        <v>1.32004518794781E-2</v>
      </c>
      <c r="F26568" s="1">
        <v>1.27407321575763E-2</v>
      </c>
    </row>
    <row r="26569" spans="1:6" x14ac:dyDescent="0.25">
      <c r="A26569" s="2" t="str">
        <f t="shared" si="937"/>
        <v>19740</v>
      </c>
      <c r="B26569" s="2" t="str">
        <f>"80456"</f>
        <v>80456</v>
      </c>
      <c r="C26569" s="1">
        <v>1.91673087212009E-4</v>
      </c>
      <c r="D26569" s="1">
        <v>1.5489947024381099E-5</v>
      </c>
      <c r="E26569" s="1">
        <v>1.5475324594933299E-5</v>
      </c>
      <c r="F26569" s="1">
        <v>1.69200504573022E-4</v>
      </c>
    </row>
    <row r="26570" spans="1:6" x14ac:dyDescent="0.25">
      <c r="A26570" s="2" t="str">
        <f t="shared" si="937"/>
        <v>19740</v>
      </c>
      <c r="B26570" s="2" t="str">
        <f>"80236"</f>
        <v>80236</v>
      </c>
      <c r="C26570" s="1">
        <v>4.7465500730847904E-3</v>
      </c>
      <c r="D26570" s="1">
        <v>2.0679079277548802E-3</v>
      </c>
      <c r="E26570" s="1">
        <v>2.8784103746576002E-3</v>
      </c>
      <c r="F26570" s="1">
        <v>4.4393735499450903E-3</v>
      </c>
    </row>
    <row r="26571" spans="1:6" x14ac:dyDescent="0.25">
      <c r="A26571" s="2" t="str">
        <f t="shared" si="937"/>
        <v>19740</v>
      </c>
      <c r="B26571" s="2" t="str">
        <f>"80166"</f>
        <v>80166</v>
      </c>
      <c r="C26571" s="1">
        <v>0</v>
      </c>
      <c r="D26571" s="1">
        <v>7.7449735121905799E-6</v>
      </c>
      <c r="E26571" s="1">
        <v>0</v>
      </c>
      <c r="F26571" s="1">
        <v>6.58367722074016E-7</v>
      </c>
    </row>
    <row r="26572" spans="1:6" x14ac:dyDescent="0.25">
      <c r="A26572" s="2" t="str">
        <f t="shared" si="937"/>
        <v>19740</v>
      </c>
      <c r="B26572" s="2" t="str">
        <f>"80150"</f>
        <v>80150</v>
      </c>
      <c r="C26572" s="1">
        <v>6.8821202967461596E-4</v>
      </c>
      <c r="D26572" s="1">
        <v>2.2537872920474602E-3</v>
      </c>
      <c r="E26572" s="1">
        <v>3.09506491898667E-5</v>
      </c>
      <c r="F26572" s="1">
        <v>7.9333310509918902E-4</v>
      </c>
    </row>
    <row r="26573" spans="1:6" x14ac:dyDescent="0.25">
      <c r="A26573" s="2" t="str">
        <f t="shared" si="937"/>
        <v>19740</v>
      </c>
      <c r="B26573" s="2" t="str">
        <f>"80137"</f>
        <v>80137</v>
      </c>
      <c r="C26573" s="1">
        <v>3.5391605473398499E-4</v>
      </c>
      <c r="D26573" s="1">
        <v>1.0533163976579199E-3</v>
      </c>
      <c r="E26573" s="1">
        <v>1.0677973970504E-3</v>
      </c>
      <c r="F26573" s="1">
        <v>4.43739844677887E-4</v>
      </c>
    </row>
    <row r="26574" spans="1:6" x14ac:dyDescent="0.25">
      <c r="A26574" s="2" t="str">
        <f t="shared" si="937"/>
        <v>19740</v>
      </c>
      <c r="B26574" s="2" t="str">
        <f>"80229"</f>
        <v>80229</v>
      </c>
      <c r="C26574" s="1">
        <v>1.54817521938644E-2</v>
      </c>
      <c r="D26574" s="1">
        <v>1.30347904210167E-2</v>
      </c>
      <c r="E26574" s="1">
        <v>1.4747984338971501E-2</v>
      </c>
      <c r="F26574" s="1">
        <v>1.5242529501457601E-2</v>
      </c>
    </row>
    <row r="26575" spans="1:6" x14ac:dyDescent="0.25">
      <c r="A26575" s="2" t="str">
        <f t="shared" si="937"/>
        <v>19740</v>
      </c>
      <c r="B26575" s="2" t="str">
        <f>"80226"</f>
        <v>80226</v>
      </c>
      <c r="C26575" s="1">
        <v>1.2045219756212901E-2</v>
      </c>
      <c r="D26575" s="1">
        <v>1.3336844387992101E-2</v>
      </c>
      <c r="E26575" s="1">
        <v>1.33242544762376E-2</v>
      </c>
      <c r="F26575" s="1">
        <v>1.22094294058626E-2</v>
      </c>
    </row>
    <row r="26576" spans="1:6" x14ac:dyDescent="0.25">
      <c r="A26576" s="2" t="str">
        <f t="shared" si="937"/>
        <v>19740</v>
      </c>
      <c r="B26576" s="2" t="str">
        <f>"80018"</f>
        <v>80018</v>
      </c>
      <c r="C26576" s="1">
        <v>4.0628657541317203E-3</v>
      </c>
      <c r="D26576" s="1">
        <v>2.8656401995105101E-4</v>
      </c>
      <c r="E26576" s="1">
        <v>6.49963632987201E-4</v>
      </c>
      <c r="F26576" s="1">
        <v>3.5966628656903502E-3</v>
      </c>
    </row>
    <row r="26577" spans="1:6" x14ac:dyDescent="0.25">
      <c r="A26577" s="2" t="str">
        <f t="shared" si="937"/>
        <v>19740</v>
      </c>
      <c r="B26577" s="2" t="str">
        <f>"80120"</f>
        <v>80120</v>
      </c>
      <c r="C26577" s="1">
        <v>1.05208904799599E-2</v>
      </c>
      <c r="D26577" s="1">
        <v>1.25700920102853E-2</v>
      </c>
      <c r="E26577" s="1">
        <v>1.80132778285024E-2</v>
      </c>
      <c r="F26577" s="1">
        <v>1.10138336225762E-2</v>
      </c>
    </row>
    <row r="26578" spans="1:6" x14ac:dyDescent="0.25">
      <c r="A26578" s="2" t="str">
        <f t="shared" si="937"/>
        <v>19740</v>
      </c>
      <c r="B26578" s="2" t="str">
        <f>"80038"</f>
        <v>80038</v>
      </c>
      <c r="C26578" s="1">
        <v>7.4631765060109104E-4</v>
      </c>
      <c r="D26578" s="1">
        <v>4.03513119985129E-3</v>
      </c>
      <c r="E26578" s="1">
        <v>3.09506491898667E-5</v>
      </c>
      <c r="F26578" s="1">
        <v>9.9545199577591209E-4</v>
      </c>
    </row>
    <row r="26579" spans="1:6" x14ac:dyDescent="0.25">
      <c r="A26579" s="2" t="str">
        <f t="shared" si="937"/>
        <v>19740</v>
      </c>
      <c r="B26579" s="2" t="str">
        <f>"80102"</f>
        <v>80102</v>
      </c>
      <c r="C26579" s="1">
        <v>1.7793903135666E-3</v>
      </c>
      <c r="D26579" s="1">
        <v>7.5900740419467699E-4</v>
      </c>
      <c r="E26579" s="1">
        <v>8.9756882650613497E-4</v>
      </c>
      <c r="F26579" s="1">
        <v>1.65513645329407E-3</v>
      </c>
    </row>
    <row r="26580" spans="1:6" x14ac:dyDescent="0.25">
      <c r="A26580" s="2" t="str">
        <f t="shared" si="937"/>
        <v>19740</v>
      </c>
      <c r="B26580" s="2" t="str">
        <f>"80033"</f>
        <v>80033</v>
      </c>
      <c r="C26580" s="1">
        <v>9.7443880912152607E-3</v>
      </c>
      <c r="D26580" s="1">
        <v>1.64115988723318E-2</v>
      </c>
      <c r="E26580" s="1">
        <v>1.5150342778439701E-2</v>
      </c>
      <c r="F26580" s="1">
        <v>1.0541125598126999E-2</v>
      </c>
    </row>
    <row r="26581" spans="1:6" x14ac:dyDescent="0.25">
      <c r="A26581" s="2" t="str">
        <f t="shared" si="937"/>
        <v>19740</v>
      </c>
      <c r="B26581" s="2" t="str">
        <f>"80111"</f>
        <v>80111</v>
      </c>
      <c r="C26581" s="1">
        <v>1.0323935063572799E-2</v>
      </c>
      <c r="D26581" s="1">
        <v>2.7951609405495799E-2</v>
      </c>
      <c r="E26581" s="1">
        <v>1.02291895572509E-2</v>
      </c>
      <c r="F26581" s="1">
        <v>1.18183589789506E-2</v>
      </c>
    </row>
    <row r="26582" spans="1:6" x14ac:dyDescent="0.25">
      <c r="A26582" s="2" t="str">
        <f t="shared" si="937"/>
        <v>19740</v>
      </c>
      <c r="B26582" s="2" t="str">
        <f>"80107"</f>
        <v>80107</v>
      </c>
      <c r="C26582" s="1">
        <v>4.8446504720515704E-3</v>
      </c>
      <c r="D26582" s="1">
        <v>2.23055237151088E-3</v>
      </c>
      <c r="E26582" s="1">
        <v>5.5711168541760104E-4</v>
      </c>
      <c r="F26582" s="1">
        <v>4.4400319176671598E-3</v>
      </c>
    </row>
    <row r="26583" spans="1:6" x14ac:dyDescent="0.25">
      <c r="A26583" s="2" t="str">
        <f t="shared" si="937"/>
        <v>19740</v>
      </c>
      <c r="B26583" s="2" t="str">
        <f>"80112"</f>
        <v>80112</v>
      </c>
      <c r="C26583" s="1">
        <v>1.18746759857014E-2</v>
      </c>
      <c r="D26583" s="1">
        <v>3.7361752222807298E-2</v>
      </c>
      <c r="E26583" s="1">
        <v>2.1309521967223199E-2</v>
      </c>
      <c r="F26583" s="1">
        <v>1.4442612719137601E-2</v>
      </c>
    </row>
    <row r="26584" spans="1:6" x14ac:dyDescent="0.25">
      <c r="A26584" s="2" t="str">
        <f t="shared" si="937"/>
        <v>19740</v>
      </c>
      <c r="B26584" s="2" t="str">
        <f>"80013"</f>
        <v>80013</v>
      </c>
      <c r="C26584" s="1">
        <v>2.0599574546115801E-2</v>
      </c>
      <c r="D26584" s="1">
        <v>3.2993587161931899E-3</v>
      </c>
      <c r="E26584" s="1">
        <v>2.3042758321855799E-2</v>
      </c>
      <c r="F26584" s="1">
        <v>1.9232896264948202E-2</v>
      </c>
    </row>
    <row r="26585" spans="1:6" x14ac:dyDescent="0.25">
      <c r="A26585" s="2" t="str">
        <f t="shared" si="937"/>
        <v>19740</v>
      </c>
      <c r="B26585" s="2" t="str">
        <f>"80027"</f>
        <v>80027</v>
      </c>
      <c r="C26585" s="1">
        <v>2.26385536077176E-6</v>
      </c>
      <c r="D26585" s="1">
        <v>8.5194708634096401E-5</v>
      </c>
      <c r="E26585" s="1">
        <v>0</v>
      </c>
      <c r="F26585" s="1">
        <v>9.2171481090362201E-6</v>
      </c>
    </row>
    <row r="26586" spans="1:6" x14ac:dyDescent="0.25">
      <c r="A26586" s="2" t="str">
        <f>"14720"</f>
        <v>14720</v>
      </c>
      <c r="B26586" s="2" t="str">
        <f>"80435"</f>
        <v>80435</v>
      </c>
      <c r="C26586" s="1">
        <v>0.334752191503708</v>
      </c>
      <c r="D26586" s="1">
        <v>0.22617853560682</v>
      </c>
      <c r="E26586" s="1">
        <v>0.61931818181818099</v>
      </c>
      <c r="F26586" s="1">
        <v>0.33029071105315599</v>
      </c>
    </row>
    <row r="26587" spans="1:6" x14ac:dyDescent="0.25">
      <c r="A26587" s="2" t="str">
        <f>"14720"</f>
        <v>14720</v>
      </c>
      <c r="B26587" s="2" t="str">
        <f>"80498"</f>
        <v>80498</v>
      </c>
      <c r="C26587" s="1">
        <v>0.14063553607552201</v>
      </c>
      <c r="D26587" s="1">
        <v>0.11083249749247701</v>
      </c>
      <c r="E26587" s="1">
        <v>6.25E-2</v>
      </c>
      <c r="F26587" s="1">
        <v>0.13730152642478999</v>
      </c>
    </row>
    <row r="26588" spans="1:6" x14ac:dyDescent="0.25">
      <c r="A26588" s="2" t="str">
        <f>"14720"</f>
        <v>14720</v>
      </c>
      <c r="B26588" s="2" t="str">
        <f>"80443"</f>
        <v>80443</v>
      </c>
      <c r="C26588" s="1">
        <v>0.170684423465947</v>
      </c>
      <c r="D26588" s="1">
        <v>0.21614844533600799</v>
      </c>
      <c r="E26588" s="1">
        <v>8.5227272727272704E-3</v>
      </c>
      <c r="F26588" s="1">
        <v>0.17197207946613399</v>
      </c>
    </row>
    <row r="26589" spans="1:6" x14ac:dyDescent="0.25">
      <c r="A26589" s="2" t="str">
        <f>"14720"</f>
        <v>14720</v>
      </c>
      <c r="B26589" s="2" t="str">
        <f>"80424"</f>
        <v>80424</v>
      </c>
      <c r="C26589" s="1">
        <v>0.308116992582602</v>
      </c>
      <c r="D26589" s="1">
        <v>0.417251755265797</v>
      </c>
      <c r="E26589" s="1">
        <v>0.30113636363636298</v>
      </c>
      <c r="F26589" s="1">
        <v>0.31636879650226202</v>
      </c>
    </row>
    <row r="26590" spans="1:6" x14ac:dyDescent="0.25">
      <c r="A26590" s="2" t="str">
        <f>"14720"</f>
        <v>14720</v>
      </c>
      <c r="B26590" s="2" t="str">
        <f>"80497"</f>
        <v>80497</v>
      </c>
      <c r="C26590" s="1">
        <v>4.5810856372218399E-2</v>
      </c>
      <c r="D26590" s="1">
        <v>2.9588766298896601E-2</v>
      </c>
      <c r="E26590" s="1">
        <v>8.5227272727272704E-3</v>
      </c>
      <c r="F26590" s="1">
        <v>4.4066886553654899E-2</v>
      </c>
    </row>
    <row r="26591" spans="1:6" x14ac:dyDescent="0.25">
      <c r="A26591" s="2" t="str">
        <f t="shared" ref="A26591:A26601" si="938">"22820"</f>
        <v>22820</v>
      </c>
      <c r="B26591" s="2" t="str">
        <f>"80754"</f>
        <v>80754</v>
      </c>
      <c r="C26591" s="1">
        <v>1.70111422982053E-4</v>
      </c>
      <c r="D26591" s="1">
        <v>0</v>
      </c>
      <c r="E26591" s="1">
        <v>0</v>
      </c>
      <c r="F26591" s="1">
        <v>1.4954389113204701E-4</v>
      </c>
    </row>
    <row r="26592" spans="1:6" x14ac:dyDescent="0.25">
      <c r="A26592" s="2" t="str">
        <f t="shared" si="938"/>
        <v>22820</v>
      </c>
      <c r="B26592" s="2" t="str">
        <f>"80741"</f>
        <v>80741</v>
      </c>
      <c r="C26592" s="1">
        <v>2.5516713447307899E-4</v>
      </c>
      <c r="D26592" s="1">
        <v>0</v>
      </c>
      <c r="E26592" s="1">
        <v>0</v>
      </c>
      <c r="F26592" s="1">
        <v>2.2431583669807001E-4</v>
      </c>
    </row>
    <row r="26593" spans="1:6" x14ac:dyDescent="0.25">
      <c r="A26593" s="2" t="str">
        <f t="shared" si="938"/>
        <v>22820</v>
      </c>
      <c r="B26593" s="2" t="str">
        <f>"80733"</f>
        <v>80733</v>
      </c>
      <c r="C26593" s="1">
        <v>1.6755975163732201E-2</v>
      </c>
      <c r="D26593" s="1">
        <v>0</v>
      </c>
      <c r="E26593" s="1">
        <v>1.9305019305019299E-3</v>
      </c>
      <c r="F26593" s="1">
        <v>1.48048452220726E-2</v>
      </c>
    </row>
    <row r="26594" spans="1:6" x14ac:dyDescent="0.25">
      <c r="A26594" s="2" t="str">
        <f t="shared" si="938"/>
        <v>22820</v>
      </c>
      <c r="B26594" s="2" t="str">
        <f>"80742"</f>
        <v>80742</v>
      </c>
      <c r="C26594" s="1">
        <v>8.5055711491026603E-4</v>
      </c>
      <c r="D26594" s="1">
        <v>0</v>
      </c>
      <c r="E26594" s="1">
        <v>0</v>
      </c>
      <c r="F26594" s="1">
        <v>7.4771945566023598E-4</v>
      </c>
    </row>
    <row r="26595" spans="1:6" x14ac:dyDescent="0.25">
      <c r="A26595" s="2" t="str">
        <f t="shared" si="938"/>
        <v>22820</v>
      </c>
      <c r="B26595" s="2" t="str">
        <f>"80723"</f>
        <v>80723</v>
      </c>
      <c r="C26595" s="1">
        <v>0.25304074168580398</v>
      </c>
      <c r="D26595" s="1">
        <v>0.23657870791628699</v>
      </c>
      <c r="E26595" s="1">
        <v>0.24903474903474901</v>
      </c>
      <c r="F26595" s="1">
        <v>0.251532824884103</v>
      </c>
    </row>
    <row r="26596" spans="1:6" x14ac:dyDescent="0.25">
      <c r="A26596" s="2" t="str">
        <f t="shared" si="938"/>
        <v>22820</v>
      </c>
      <c r="B26596" s="2" t="str">
        <f>"80654"</f>
        <v>80654</v>
      </c>
      <c r="C26596" s="1">
        <v>0.102151909500722</v>
      </c>
      <c r="D26596" s="1">
        <v>5.1865332120109103E-2</v>
      </c>
      <c r="E26596" s="1">
        <v>5.01930501930501E-2</v>
      </c>
      <c r="F26596" s="1">
        <v>9.6007178106774296E-2</v>
      </c>
    </row>
    <row r="26597" spans="1:6" x14ac:dyDescent="0.25">
      <c r="A26597" s="2" t="str">
        <f t="shared" si="938"/>
        <v>22820</v>
      </c>
      <c r="B26597" s="2" t="str">
        <f>"80701"</f>
        <v>80701</v>
      </c>
      <c r="C26597" s="1">
        <v>0.52615463128349005</v>
      </c>
      <c r="D26597" s="1">
        <v>0.69608735213830697</v>
      </c>
      <c r="E26597" s="1">
        <v>0.67567567567567499</v>
      </c>
      <c r="F26597" s="1">
        <v>0.54590997457753798</v>
      </c>
    </row>
    <row r="26598" spans="1:6" x14ac:dyDescent="0.25">
      <c r="A26598" s="2" t="str">
        <f t="shared" si="938"/>
        <v>22820</v>
      </c>
      <c r="B26598" s="2" t="str">
        <f>"80649"</f>
        <v>80649</v>
      </c>
      <c r="C26598" s="1">
        <v>7.9101811686654692E-3</v>
      </c>
      <c r="D26598" s="1">
        <v>9.0991810737033605E-4</v>
      </c>
      <c r="E26598" s="1">
        <v>5.7915057915057903E-3</v>
      </c>
      <c r="F26598" s="1">
        <v>7.2528787199042898E-3</v>
      </c>
    </row>
    <row r="26599" spans="1:6" x14ac:dyDescent="0.25">
      <c r="A26599" s="2" t="str">
        <f t="shared" si="938"/>
        <v>22820</v>
      </c>
      <c r="B26599" s="2" t="str">
        <f>"80705"</f>
        <v>80705</v>
      </c>
      <c r="C26599" s="1">
        <v>3.5298120268775997E-2</v>
      </c>
      <c r="D26599" s="1">
        <v>7.2793448589626901E-3</v>
      </c>
      <c r="E26599" s="1">
        <v>5.7915057915057903E-3</v>
      </c>
      <c r="F26599" s="1">
        <v>3.1852848811126003E-2</v>
      </c>
    </row>
    <row r="26600" spans="1:6" x14ac:dyDescent="0.25">
      <c r="A26600" s="2" t="str">
        <f t="shared" si="938"/>
        <v>22820</v>
      </c>
      <c r="B26600" s="2" t="str">
        <f>"80750"</f>
        <v>80750</v>
      </c>
      <c r="C26600" s="1">
        <v>1.5650250914348799E-2</v>
      </c>
      <c r="D26600" s="1">
        <v>0</v>
      </c>
      <c r="E26600" s="1">
        <v>1.9305019305019299E-3</v>
      </c>
      <c r="F26600" s="1">
        <v>1.38328099297143E-2</v>
      </c>
    </row>
    <row r="26601" spans="1:6" x14ac:dyDescent="0.25">
      <c r="A26601" s="2" t="str">
        <f t="shared" si="938"/>
        <v>22820</v>
      </c>
      <c r="B26601" s="2" t="str">
        <f>"80653"</f>
        <v>80653</v>
      </c>
      <c r="C26601" s="1">
        <v>4.1762354342094E-2</v>
      </c>
      <c r="D26601" s="1">
        <v>7.2793448589626901E-3</v>
      </c>
      <c r="E26601" s="1">
        <v>9.6525096525096506E-3</v>
      </c>
      <c r="F26601" s="1">
        <v>3.7685060565275902E-2</v>
      </c>
    </row>
    <row r="26602" spans="1:6" x14ac:dyDescent="0.25">
      <c r="A26602" s="2" t="str">
        <f t="shared" ref="A26602:A26615" si="939">"33940"</f>
        <v>33940</v>
      </c>
      <c r="B26602" s="2" t="str">
        <f>"81432"</f>
        <v>81432</v>
      </c>
      <c r="C26602" s="1">
        <v>6.3304257707919503E-2</v>
      </c>
      <c r="D26602" s="1">
        <v>4.2469352014010503E-2</v>
      </c>
      <c r="E26602" s="1">
        <v>8.1934846989141094E-2</v>
      </c>
      <c r="F26602" s="1">
        <v>6.2218862218862199E-2</v>
      </c>
    </row>
    <row r="26603" spans="1:6" x14ac:dyDescent="0.25">
      <c r="A26603" s="2" t="str">
        <f t="shared" si="939"/>
        <v>33940</v>
      </c>
      <c r="B26603" s="2" t="str">
        <f>"81220"</f>
        <v>81220</v>
      </c>
      <c r="C26603" s="1">
        <v>2.1590810950859301E-4</v>
      </c>
      <c r="D26603" s="1">
        <v>4.3782837127845798E-4</v>
      </c>
      <c r="E26603" s="1">
        <v>0</v>
      </c>
      <c r="F26603" s="1">
        <v>2.2680022680022599E-4</v>
      </c>
    </row>
    <row r="26604" spans="1:6" x14ac:dyDescent="0.25">
      <c r="A26604" s="2" t="str">
        <f t="shared" si="939"/>
        <v>33940</v>
      </c>
      <c r="B26604" s="2" t="str">
        <f>"81431"</f>
        <v>81431</v>
      </c>
      <c r="C26604" s="1">
        <v>8.8522324898523096E-3</v>
      </c>
      <c r="D26604" s="1">
        <v>1.31348511383537E-3</v>
      </c>
      <c r="E26604" s="1">
        <v>4.9358341559723497E-3</v>
      </c>
      <c r="F26604" s="1">
        <v>8.0514080514080492E-3</v>
      </c>
    </row>
    <row r="26605" spans="1:6" x14ac:dyDescent="0.25">
      <c r="A26605" s="2" t="str">
        <f t="shared" si="939"/>
        <v>33940</v>
      </c>
      <c r="B26605" s="2" t="str">
        <f>"81416"</f>
        <v>81416</v>
      </c>
      <c r="C26605" s="1">
        <v>1.09249503411348E-2</v>
      </c>
      <c r="D26605" s="1">
        <v>4.3782837127845798E-4</v>
      </c>
      <c r="E26605" s="1">
        <v>0</v>
      </c>
      <c r="F26605" s="1">
        <v>9.6012096012096006E-3</v>
      </c>
    </row>
    <row r="26606" spans="1:6" x14ac:dyDescent="0.25">
      <c r="A26606" s="2" t="str">
        <f t="shared" si="939"/>
        <v>33940</v>
      </c>
      <c r="B26606" s="2" t="str">
        <f>"81402"</f>
        <v>81402</v>
      </c>
      <c r="C26606" s="1">
        <v>5.7820191726401203E-2</v>
      </c>
      <c r="D26606" s="1">
        <v>0.21322241681260901</v>
      </c>
      <c r="E26606" s="1">
        <v>9.8716683119447093E-4</v>
      </c>
      <c r="F26606" s="1">
        <v>6.9060669060669003E-2</v>
      </c>
    </row>
    <row r="26607" spans="1:6" x14ac:dyDescent="0.25">
      <c r="A26607" s="2" t="str">
        <f t="shared" si="939"/>
        <v>33940</v>
      </c>
      <c r="B26607" s="2" t="str">
        <f>"81424"</f>
        <v>81424</v>
      </c>
      <c r="C26607" s="1">
        <v>2.2929441229812501E-2</v>
      </c>
      <c r="D26607" s="1">
        <v>0</v>
      </c>
      <c r="E26607" s="1">
        <v>2.56663376110562E-2</v>
      </c>
      <c r="F26607" s="1">
        <v>2.1054621054621001E-2</v>
      </c>
    </row>
    <row r="26608" spans="1:6" x14ac:dyDescent="0.25">
      <c r="A26608" s="2" t="str">
        <f t="shared" si="939"/>
        <v>33940</v>
      </c>
      <c r="B26608" s="2" t="str">
        <f>"81411"</f>
        <v>81411</v>
      </c>
      <c r="C26608" s="1">
        <v>1.81362811987218E-3</v>
      </c>
      <c r="D26608" s="1">
        <v>4.3782837127845798E-4</v>
      </c>
      <c r="E26608" s="1">
        <v>9.8716683119447093E-4</v>
      </c>
      <c r="F26608" s="1">
        <v>1.66320166320166E-3</v>
      </c>
    </row>
    <row r="26609" spans="1:6" x14ac:dyDescent="0.25">
      <c r="A26609" s="2" t="str">
        <f t="shared" si="939"/>
        <v>33940</v>
      </c>
      <c r="B26609" s="2" t="str">
        <f>"81403"</f>
        <v>81403</v>
      </c>
      <c r="C26609" s="1">
        <v>0.25472838759823802</v>
      </c>
      <c r="D26609" s="1">
        <v>3.8966725043782797E-2</v>
      </c>
      <c r="E26609" s="1">
        <v>5.7255676209279301E-2</v>
      </c>
      <c r="F26609" s="1">
        <v>0.22853902853902799</v>
      </c>
    </row>
    <row r="26610" spans="1:6" x14ac:dyDescent="0.25">
      <c r="A26610" s="2" t="str">
        <f t="shared" si="939"/>
        <v>33940</v>
      </c>
      <c r="B26610" s="2" t="str">
        <f>"81427"</f>
        <v>81427</v>
      </c>
      <c r="C26610" s="1">
        <v>1.7272648760687401E-4</v>
      </c>
      <c r="D26610" s="1">
        <v>0</v>
      </c>
      <c r="E26610" s="1">
        <v>9.8716683119447093E-4</v>
      </c>
      <c r="F26610" s="1">
        <v>1.8900018900018899E-4</v>
      </c>
    </row>
    <row r="26611" spans="1:6" x14ac:dyDescent="0.25">
      <c r="A26611" s="2" t="str">
        <f t="shared" si="939"/>
        <v>33940</v>
      </c>
      <c r="B26611" s="2" t="str">
        <f>"81401"</f>
        <v>81401</v>
      </c>
      <c r="C26611" s="1">
        <v>0.49317730373952801</v>
      </c>
      <c r="D26611" s="1">
        <v>0.68082311733800305</v>
      </c>
      <c r="E26611" s="1">
        <v>0.79170779861796603</v>
      </c>
      <c r="F26611" s="1">
        <v>0.52080892080892005</v>
      </c>
    </row>
    <row r="26612" spans="1:6" x14ac:dyDescent="0.25">
      <c r="A26612" s="2" t="str">
        <f t="shared" si="939"/>
        <v>33940</v>
      </c>
      <c r="B26612" s="2" t="str">
        <f>"81422"</f>
        <v>81422</v>
      </c>
      <c r="C26612" s="1">
        <v>5.1817946282062299E-4</v>
      </c>
      <c r="D26612" s="1">
        <v>0</v>
      </c>
      <c r="E26612" s="1">
        <v>9.8716683119447093E-4</v>
      </c>
      <c r="F26612" s="1">
        <v>4.9140049140049095E-4</v>
      </c>
    </row>
    <row r="26613" spans="1:6" x14ac:dyDescent="0.25">
      <c r="A26613" s="2" t="str">
        <f t="shared" si="939"/>
        <v>33940</v>
      </c>
      <c r="B26613" s="2" t="str">
        <f>"81429"</f>
        <v>81429</v>
      </c>
      <c r="C26613" s="1">
        <v>0</v>
      </c>
      <c r="D26613" s="1">
        <v>0</v>
      </c>
      <c r="E26613" s="1">
        <v>9.8716683119447093E-4</v>
      </c>
      <c r="F26613" s="1">
        <v>3.7800037800037803E-5</v>
      </c>
    </row>
    <row r="26614" spans="1:6" x14ac:dyDescent="0.25">
      <c r="A26614" s="2" t="str">
        <f t="shared" si="939"/>
        <v>33940</v>
      </c>
      <c r="B26614" s="2" t="str">
        <f>"81425"</f>
        <v>81425</v>
      </c>
      <c r="C26614" s="1">
        <v>7.8288280507815805E-2</v>
      </c>
      <c r="D26614" s="1">
        <v>2.1891418563922901E-2</v>
      </c>
      <c r="E26614" s="1">
        <v>2.7640671273445199E-2</v>
      </c>
      <c r="F26614" s="1">
        <v>7.1479871479871407E-2</v>
      </c>
    </row>
    <row r="26615" spans="1:6" x14ac:dyDescent="0.25">
      <c r="A26615" s="2" t="str">
        <f t="shared" si="939"/>
        <v>33940</v>
      </c>
      <c r="B26615" s="2" t="str">
        <f>"81415"</f>
        <v>81415</v>
      </c>
      <c r="C26615" s="1">
        <v>7.2545124794887198E-3</v>
      </c>
      <c r="D26615" s="1">
        <v>0</v>
      </c>
      <c r="E26615" s="1">
        <v>5.9230009871668304E-3</v>
      </c>
      <c r="F26615" s="1">
        <v>6.5772065772065702E-3</v>
      </c>
    </row>
    <row r="26616" spans="1:6" x14ac:dyDescent="0.25">
      <c r="A26616" s="2" t="str">
        <f t="shared" ref="A26616:A26635" si="940">"24300"</f>
        <v>24300</v>
      </c>
      <c r="B26616" s="2" t="str">
        <f>"81526"</f>
        <v>81526</v>
      </c>
      <c r="C26616" s="1">
        <v>3.3630014301781398E-2</v>
      </c>
      <c r="D26616" s="1">
        <v>9.3509350935093508E-3</v>
      </c>
      <c r="E26616" s="1">
        <v>2.9353431178103899E-2</v>
      </c>
      <c r="F26616" s="1">
        <v>3.1280756050419099E-2</v>
      </c>
    </row>
    <row r="26617" spans="1:6" x14ac:dyDescent="0.25">
      <c r="A26617" s="2" t="str">
        <f t="shared" si="940"/>
        <v>24300</v>
      </c>
      <c r="B26617" s="2" t="str">
        <f>"81502"</f>
        <v>81502</v>
      </c>
      <c r="C26617" s="1">
        <v>3.2894097390966201E-2</v>
      </c>
      <c r="D26617" s="1">
        <v>0.133800880088008</v>
      </c>
      <c r="E26617" s="1">
        <v>3.9666798889329599E-4</v>
      </c>
      <c r="F26617" s="1">
        <v>3.9652330641622997E-2</v>
      </c>
    </row>
    <row r="26618" spans="1:6" x14ac:dyDescent="0.25">
      <c r="A26618" s="2" t="str">
        <f t="shared" si="940"/>
        <v>24300</v>
      </c>
      <c r="B26618" s="2" t="str">
        <f>"81646"</f>
        <v>81646</v>
      </c>
      <c r="C26618" s="1">
        <v>0</v>
      </c>
      <c r="D26618" s="1">
        <v>1.3751375137513699E-4</v>
      </c>
      <c r="E26618" s="1">
        <v>0</v>
      </c>
      <c r="F26618" s="1">
        <v>1.1857754378475799E-5</v>
      </c>
    </row>
    <row r="26619" spans="1:6" x14ac:dyDescent="0.25">
      <c r="A26619" s="2" t="str">
        <f t="shared" si="940"/>
        <v>24300</v>
      </c>
      <c r="B26619" s="2" t="str">
        <f>"81643"</f>
        <v>81643</v>
      </c>
      <c r="C26619" s="1">
        <v>0</v>
      </c>
      <c r="D26619" s="1">
        <v>0</v>
      </c>
      <c r="E26619" s="1">
        <v>1.9833399444664799E-4</v>
      </c>
      <c r="F26619" s="1">
        <v>1.1857754378475799E-5</v>
      </c>
    </row>
    <row r="26620" spans="1:6" x14ac:dyDescent="0.25">
      <c r="A26620" s="2" t="str">
        <f t="shared" si="940"/>
        <v>24300</v>
      </c>
      <c r="B26620" s="2" t="str">
        <f>"81521"</f>
        <v>81521</v>
      </c>
      <c r="C26620" s="1">
        <v>9.5294297338202397E-2</v>
      </c>
      <c r="D26620" s="1">
        <v>4.34543454345434E-2</v>
      </c>
      <c r="E26620" s="1">
        <v>5.5930186433954698E-2</v>
      </c>
      <c r="F26620" s="1">
        <v>8.8470705417807896E-2</v>
      </c>
    </row>
    <row r="26621" spans="1:6" x14ac:dyDescent="0.25">
      <c r="A26621" s="2" t="str">
        <f t="shared" si="940"/>
        <v>24300</v>
      </c>
      <c r="B26621" s="2" t="str">
        <f>"81506"</f>
        <v>81506</v>
      </c>
      <c r="C26621" s="1">
        <v>8.03399103014482E-2</v>
      </c>
      <c r="D26621" s="1">
        <v>8.9521452145214495E-2</v>
      </c>
      <c r="E26621" s="1">
        <v>6.7631892106307004E-2</v>
      </c>
      <c r="F26621" s="1">
        <v>8.0371859177309005E-2</v>
      </c>
    </row>
    <row r="26622" spans="1:6" x14ac:dyDescent="0.25">
      <c r="A26622" s="2" t="str">
        <f t="shared" si="940"/>
        <v>24300</v>
      </c>
      <c r="B26622" s="2" t="str">
        <f>"81503"</f>
        <v>81503</v>
      </c>
      <c r="C26622" s="1">
        <v>9.78214082394923E-2</v>
      </c>
      <c r="D26622" s="1">
        <v>3.1490649064906402E-2</v>
      </c>
      <c r="E26622" s="1">
        <v>8.2705275684252205E-2</v>
      </c>
      <c r="F26622" s="1">
        <v>9.1197988924857407E-2</v>
      </c>
    </row>
    <row r="26623" spans="1:6" x14ac:dyDescent="0.25">
      <c r="A26623" s="2" t="str">
        <f t="shared" si="940"/>
        <v>24300</v>
      </c>
      <c r="B26623" s="2" t="str">
        <f>"81635"</f>
        <v>81635</v>
      </c>
      <c r="C26623" s="1">
        <v>8.3311348394173702E-5</v>
      </c>
      <c r="D26623" s="1">
        <v>0</v>
      </c>
      <c r="E26623" s="1">
        <v>0</v>
      </c>
      <c r="F26623" s="1">
        <v>7.1146526270854802E-5</v>
      </c>
    </row>
    <row r="26624" spans="1:6" x14ac:dyDescent="0.25">
      <c r="A26624" s="2" t="str">
        <f t="shared" si="940"/>
        <v>24300</v>
      </c>
      <c r="B26624" s="2" t="str">
        <f>"81525"</f>
        <v>81525</v>
      </c>
      <c r="C26624" s="1">
        <v>7.8729224232494208E-3</v>
      </c>
      <c r="D26624" s="1">
        <v>1.23762376237623E-3</v>
      </c>
      <c r="E26624" s="1">
        <v>1.19000396667988E-3</v>
      </c>
      <c r="F26624" s="1">
        <v>6.9012130482729098E-3</v>
      </c>
    </row>
    <row r="26625" spans="1:6" x14ac:dyDescent="0.25">
      <c r="A26625" s="2" t="str">
        <f t="shared" si="940"/>
        <v>24300</v>
      </c>
      <c r="B26625" s="2" t="str">
        <f>"81630"</f>
        <v>81630</v>
      </c>
      <c r="C26625" s="1">
        <v>3.0130937669226102E-3</v>
      </c>
      <c r="D26625" s="1">
        <v>1.51265126512651E-3</v>
      </c>
      <c r="E26625" s="1">
        <v>9.9166997223324002E-4</v>
      </c>
      <c r="F26625" s="1">
        <v>2.7628567701848601E-3</v>
      </c>
    </row>
    <row r="26626" spans="1:6" x14ac:dyDescent="0.25">
      <c r="A26626" s="2" t="str">
        <f t="shared" si="940"/>
        <v>24300</v>
      </c>
      <c r="B26626" s="2" t="str">
        <f>"81522"</f>
        <v>81522</v>
      </c>
      <c r="C26626" s="1">
        <v>1.94393146253072E-4</v>
      </c>
      <c r="D26626" s="1">
        <v>4.12541254125412E-4</v>
      </c>
      <c r="E26626" s="1">
        <v>3.9666798889329599E-4</v>
      </c>
      <c r="F26626" s="1">
        <v>2.2529733319104001E-4</v>
      </c>
    </row>
    <row r="26627" spans="1:6" x14ac:dyDescent="0.25">
      <c r="A26627" s="2" t="str">
        <f t="shared" si="940"/>
        <v>24300</v>
      </c>
      <c r="B26627" s="2" t="str">
        <f>"81527"</f>
        <v>81527</v>
      </c>
      <c r="C26627" s="1">
        <v>1.23995056859995E-2</v>
      </c>
      <c r="D26627" s="1">
        <v>1.51265126512651E-3</v>
      </c>
      <c r="E26627" s="1">
        <v>1.19000396667988E-3</v>
      </c>
      <c r="F26627" s="1">
        <v>1.07905564844129E-2</v>
      </c>
    </row>
    <row r="26628" spans="1:6" x14ac:dyDescent="0.25">
      <c r="A26628" s="2" t="str">
        <f t="shared" si="940"/>
        <v>24300</v>
      </c>
      <c r="B26628" s="2" t="str">
        <f>"81524"</f>
        <v>81524</v>
      </c>
      <c r="C26628" s="1">
        <v>1.26355545064496E-2</v>
      </c>
      <c r="D26628" s="1">
        <v>1.65016501650165E-3</v>
      </c>
      <c r="E26628" s="1">
        <v>3.9666798889329601E-3</v>
      </c>
      <c r="F26628" s="1">
        <v>1.11700046245242E-2</v>
      </c>
    </row>
    <row r="26629" spans="1:6" x14ac:dyDescent="0.25">
      <c r="A26629" s="2" t="str">
        <f t="shared" si="940"/>
        <v>24300</v>
      </c>
      <c r="B26629" s="2" t="str">
        <f>"81523"</f>
        <v>81523</v>
      </c>
      <c r="C26629" s="1">
        <v>9.0531665255002107E-3</v>
      </c>
      <c r="D26629" s="1">
        <v>9.6259625962596203E-4</v>
      </c>
      <c r="E26629" s="1">
        <v>1.9833399444664799E-4</v>
      </c>
      <c r="F26629" s="1">
        <v>7.8261178897940306E-3</v>
      </c>
    </row>
    <row r="26630" spans="1:6" x14ac:dyDescent="0.25">
      <c r="A26630" s="2" t="str">
        <f t="shared" si="940"/>
        <v>24300</v>
      </c>
      <c r="B26630" s="2" t="str">
        <f>"81505"</f>
        <v>81505</v>
      </c>
      <c r="C26630" s="1">
        <v>7.3300101362140505E-2</v>
      </c>
      <c r="D26630" s="1">
        <v>0.221809680968096</v>
      </c>
      <c r="E26630" s="1">
        <v>0.115033716779055</v>
      </c>
      <c r="F26630" s="1">
        <v>8.8601140715971194E-2</v>
      </c>
    </row>
    <row r="26631" spans="1:6" x14ac:dyDescent="0.25">
      <c r="A26631" s="2" t="str">
        <f t="shared" si="940"/>
        <v>24300</v>
      </c>
      <c r="B26631" s="2" t="str">
        <f>"81504"</f>
        <v>81504</v>
      </c>
      <c r="C26631" s="1">
        <v>0.18901956428164701</v>
      </c>
      <c r="D26631" s="1">
        <v>6.7106710671067105E-2</v>
      </c>
      <c r="E26631" s="1">
        <v>0.13427211424037999</v>
      </c>
      <c r="F26631" s="1">
        <v>0.17523389420511501</v>
      </c>
    </row>
    <row r="26632" spans="1:6" x14ac:dyDescent="0.25">
      <c r="A26632" s="2" t="str">
        <f t="shared" si="940"/>
        <v>24300</v>
      </c>
      <c r="B26632" s="2" t="str">
        <f>"81507"</f>
        <v>81507</v>
      </c>
      <c r="C26632" s="1">
        <v>9.9709798803093594E-2</v>
      </c>
      <c r="D26632" s="1">
        <v>1.74642464246424E-2</v>
      </c>
      <c r="E26632" s="1">
        <v>7.8738595795319305E-2</v>
      </c>
      <c r="F26632" s="1">
        <v>9.1363997486156007E-2</v>
      </c>
    </row>
    <row r="26633" spans="1:6" x14ac:dyDescent="0.25">
      <c r="A26633" s="2" t="str">
        <f t="shared" si="940"/>
        <v>24300</v>
      </c>
      <c r="B26633" s="2" t="str">
        <f>"81520"</f>
        <v>81520</v>
      </c>
      <c r="C26633" s="1">
        <v>9.7293769699662497E-2</v>
      </c>
      <c r="D26633" s="1">
        <v>4.42794279427942E-2</v>
      </c>
      <c r="E26633" s="1">
        <v>0.160253867512891</v>
      </c>
      <c r="F26633" s="1">
        <v>9.6486547377657605E-2</v>
      </c>
    </row>
    <row r="26634" spans="1:6" x14ac:dyDescent="0.25">
      <c r="A26634" s="2" t="str">
        <f t="shared" si="940"/>
        <v>24300</v>
      </c>
      <c r="B26634" s="2" t="str">
        <f>"81624"</f>
        <v>81624</v>
      </c>
      <c r="C26634" s="1">
        <v>6.9009566919840497E-3</v>
      </c>
      <c r="D26634" s="1">
        <v>1.9251925192519199E-3</v>
      </c>
      <c r="E26634" s="1">
        <v>1.38833796112653E-3</v>
      </c>
      <c r="F26634" s="1">
        <v>6.1423167680504601E-3</v>
      </c>
    </row>
    <row r="26635" spans="1:6" x14ac:dyDescent="0.25">
      <c r="A26635" s="2" t="str">
        <f t="shared" si="940"/>
        <v>24300</v>
      </c>
      <c r="B26635" s="2" t="str">
        <f>"81501"</f>
        <v>81501</v>
      </c>
      <c r="C26635" s="1">
        <v>0.14854413418681101</v>
      </c>
      <c r="D26635" s="1">
        <v>0.33237073707370701</v>
      </c>
      <c r="E26635" s="1">
        <v>0.26616422054740102</v>
      </c>
      <c r="F26635" s="1">
        <v>0.17142755504962401</v>
      </c>
    </row>
    <row r="26636" spans="1:6" x14ac:dyDescent="0.25">
      <c r="A26636" s="2" t="str">
        <f t="shared" ref="A26636:A26646" si="941">"40540"</f>
        <v>40540</v>
      </c>
      <c r="B26636" s="2" t="str">
        <f>"82322"</f>
        <v>82322</v>
      </c>
      <c r="C26636" s="1">
        <v>1.8241347053320799E-3</v>
      </c>
      <c r="D26636" s="1">
        <v>0</v>
      </c>
      <c r="E26636" s="1">
        <v>7.77000777000777E-4</v>
      </c>
      <c r="F26636" s="1">
        <v>1.59980802303723E-3</v>
      </c>
    </row>
    <row r="26637" spans="1:6" x14ac:dyDescent="0.25">
      <c r="A26637" s="2" t="str">
        <f t="shared" si="941"/>
        <v>40540</v>
      </c>
      <c r="B26637" s="2" t="str">
        <f>"82902"</f>
        <v>82902</v>
      </c>
      <c r="C26637" s="1">
        <v>8.43311506080449E-2</v>
      </c>
      <c r="D26637" s="1">
        <v>0.184503424657534</v>
      </c>
      <c r="E26637" s="1">
        <v>1.5540015540015501E-3</v>
      </c>
      <c r="F26637" s="1">
        <v>8.9429268487781405E-2</v>
      </c>
    </row>
    <row r="26638" spans="1:6" x14ac:dyDescent="0.25">
      <c r="A26638" s="2" t="str">
        <f t="shared" si="941"/>
        <v>40540</v>
      </c>
      <c r="B26638" s="2" t="str">
        <f>"82945"</f>
        <v>82945</v>
      </c>
      <c r="C26638" s="1">
        <v>5.5191768007483597E-3</v>
      </c>
      <c r="D26638" s="1">
        <v>4.2808219178082103E-4</v>
      </c>
      <c r="E26638" s="1">
        <v>0</v>
      </c>
      <c r="F26638" s="1">
        <v>4.7594288685357698E-3</v>
      </c>
    </row>
    <row r="26639" spans="1:6" x14ac:dyDescent="0.25">
      <c r="A26639" s="2" t="str">
        <f t="shared" si="941"/>
        <v>40540</v>
      </c>
      <c r="B26639" s="2" t="str">
        <f>"82935"</f>
        <v>82935</v>
      </c>
      <c r="C26639" s="1">
        <v>0.26164639850327398</v>
      </c>
      <c r="D26639" s="1">
        <v>0.179366438356164</v>
      </c>
      <c r="E26639" s="1">
        <v>0.31857031857031798</v>
      </c>
      <c r="F26639" s="1">
        <v>0.25688917329920402</v>
      </c>
    </row>
    <row r="26640" spans="1:6" x14ac:dyDescent="0.25">
      <c r="A26640" s="2" t="str">
        <f t="shared" si="941"/>
        <v>40540</v>
      </c>
      <c r="B26640" s="2" t="str">
        <f>"82901"</f>
        <v>82901</v>
      </c>
      <c r="C26640" s="1">
        <v>0.62647333956969098</v>
      </c>
      <c r="D26640" s="1">
        <v>0.63270547945205402</v>
      </c>
      <c r="E26640" s="1">
        <v>0.65656565656565602</v>
      </c>
      <c r="F26640" s="1">
        <v>0.62860456745190496</v>
      </c>
    </row>
    <row r="26641" spans="1:6" x14ac:dyDescent="0.25">
      <c r="A26641" s="2" t="str">
        <f t="shared" si="941"/>
        <v>40540</v>
      </c>
      <c r="B26641" s="2" t="str">
        <f>"82336"</f>
        <v>82336</v>
      </c>
      <c r="C26641" s="1">
        <v>5.42563143124415E-3</v>
      </c>
      <c r="D26641" s="1">
        <v>0</v>
      </c>
      <c r="E26641" s="1">
        <v>3.8850038850038798E-3</v>
      </c>
      <c r="F26641" s="1">
        <v>4.8394192696876301E-3</v>
      </c>
    </row>
    <row r="26642" spans="1:6" x14ac:dyDescent="0.25">
      <c r="A26642" s="2" t="str">
        <f t="shared" si="941"/>
        <v>40540</v>
      </c>
      <c r="B26642" s="2" t="str">
        <f>"82934"</f>
        <v>82934</v>
      </c>
      <c r="C26642" s="1">
        <v>0</v>
      </c>
      <c r="D26642" s="1">
        <v>4.2808219178082103E-4</v>
      </c>
      <c r="E26642" s="1">
        <v>0</v>
      </c>
      <c r="F26642" s="1">
        <v>3.9995200575930802E-5</v>
      </c>
    </row>
    <row r="26643" spans="1:6" x14ac:dyDescent="0.25">
      <c r="A26643" s="2" t="str">
        <f t="shared" si="941"/>
        <v>40540</v>
      </c>
      <c r="B26643" s="2" t="str">
        <f>"82943"</f>
        <v>82943</v>
      </c>
      <c r="C26643" s="1">
        <v>8.7464920486435907E-3</v>
      </c>
      <c r="D26643" s="1">
        <v>8.5616438356164303E-4</v>
      </c>
      <c r="E26643" s="1">
        <v>9.3240093240093205E-3</v>
      </c>
      <c r="F26643" s="1">
        <v>8.0390353157621004E-3</v>
      </c>
    </row>
    <row r="26644" spans="1:6" x14ac:dyDescent="0.25">
      <c r="A26644" s="2" t="str">
        <f t="shared" si="941"/>
        <v>40540</v>
      </c>
      <c r="B26644" s="2" t="str">
        <f>"82929"</f>
        <v>82929</v>
      </c>
      <c r="C26644" s="1">
        <v>0</v>
      </c>
      <c r="D26644" s="1">
        <v>0</v>
      </c>
      <c r="E26644" s="1">
        <v>7.77000777000777E-4</v>
      </c>
      <c r="F26644" s="1">
        <v>3.9995200575930802E-5</v>
      </c>
    </row>
    <row r="26645" spans="1:6" x14ac:dyDescent="0.25">
      <c r="A26645" s="2" t="str">
        <f t="shared" si="941"/>
        <v>40540</v>
      </c>
      <c r="B26645" s="2" t="str">
        <f>"82932"</f>
        <v>82932</v>
      </c>
      <c r="C26645" s="1">
        <v>6.0336763330215096E-3</v>
      </c>
      <c r="D26645" s="1">
        <v>1.71232876712328E-3</v>
      </c>
      <c r="E26645" s="1">
        <v>7.77000777000777E-3</v>
      </c>
      <c r="F26645" s="1">
        <v>5.7193136823581103E-3</v>
      </c>
    </row>
    <row r="26646" spans="1:6" x14ac:dyDescent="0.25">
      <c r="A26646" s="2" t="str">
        <f t="shared" si="941"/>
        <v>40540</v>
      </c>
      <c r="B26646" s="2" t="str">
        <f>"82942"</f>
        <v>82942</v>
      </c>
      <c r="C26646" s="1">
        <v>0</v>
      </c>
      <c r="D26646" s="1">
        <v>0</v>
      </c>
      <c r="E26646" s="1">
        <v>7.77000777000777E-4</v>
      </c>
      <c r="F26646" s="1">
        <v>3.9995200575930802E-5</v>
      </c>
    </row>
    <row r="26647" spans="1:6" x14ac:dyDescent="0.25">
      <c r="A26647" s="2" t="str">
        <f t="shared" ref="A26647:A26659" si="942">"29660"</f>
        <v>29660</v>
      </c>
      <c r="B26647" s="2" t="str">
        <f>"82329"</f>
        <v>82329</v>
      </c>
      <c r="C26647" s="1">
        <v>1.6460468326872999E-3</v>
      </c>
      <c r="D26647" s="1">
        <v>0</v>
      </c>
      <c r="E26647" s="1">
        <v>1.0330578512396599E-3</v>
      </c>
      <c r="F26647" s="1">
        <v>1.48228001617032E-3</v>
      </c>
    </row>
    <row r="26648" spans="1:6" x14ac:dyDescent="0.25">
      <c r="A26648" s="2" t="str">
        <f t="shared" si="942"/>
        <v>29660</v>
      </c>
      <c r="B26648" s="2" t="str">
        <f>"82073"</f>
        <v>82073</v>
      </c>
      <c r="C26648" s="1">
        <v>0</v>
      </c>
      <c r="D26648" s="1">
        <v>0</v>
      </c>
      <c r="E26648" s="1">
        <v>5.1652892561983397E-4</v>
      </c>
      <c r="F26648" s="1">
        <v>4.4917576247585602E-5</v>
      </c>
    </row>
    <row r="26649" spans="1:6" x14ac:dyDescent="0.25">
      <c r="A26649" s="2" t="str">
        <f t="shared" si="942"/>
        <v>29660</v>
      </c>
      <c r="B26649" s="2" t="str">
        <f>"82072"</f>
        <v>82072</v>
      </c>
      <c r="C26649" s="1">
        <v>0.43891042319333001</v>
      </c>
      <c r="D26649" s="1">
        <v>0.25702811244979901</v>
      </c>
      <c r="E26649" s="1">
        <v>0.47210743801652799</v>
      </c>
      <c r="F26649" s="1">
        <v>0.42959169923190899</v>
      </c>
    </row>
    <row r="26650" spans="1:6" x14ac:dyDescent="0.25">
      <c r="A26650" s="2" t="str">
        <f t="shared" si="942"/>
        <v>29660</v>
      </c>
      <c r="B26650" s="2" t="str">
        <f>"82051"</f>
        <v>82051</v>
      </c>
      <c r="C26650" s="1">
        <v>3.2920936653745999E-3</v>
      </c>
      <c r="D26650" s="1">
        <v>0</v>
      </c>
      <c r="E26650" s="1">
        <v>9.8140495867768494E-3</v>
      </c>
      <c r="F26650" s="1">
        <v>3.63832367605444E-3</v>
      </c>
    </row>
    <row r="26651" spans="1:6" x14ac:dyDescent="0.25">
      <c r="A26651" s="2" t="str">
        <f t="shared" si="942"/>
        <v>29660</v>
      </c>
      <c r="B26651" s="2" t="str">
        <f>"82052"</f>
        <v>82052</v>
      </c>
      <c r="C26651" s="1">
        <v>3.02660224074762E-3</v>
      </c>
      <c r="D26651" s="1">
        <v>1.3386880856760301E-3</v>
      </c>
      <c r="E26651" s="1">
        <v>5.1652892561983397E-4</v>
      </c>
      <c r="F26651" s="1">
        <v>2.6950545748551402E-3</v>
      </c>
    </row>
    <row r="26652" spans="1:6" x14ac:dyDescent="0.25">
      <c r="A26652" s="2" t="str">
        <f t="shared" si="942"/>
        <v>29660</v>
      </c>
      <c r="B26652" s="2" t="str">
        <f>"82083"</f>
        <v>82083</v>
      </c>
      <c r="C26652" s="1">
        <v>6.3717941910476205E-4</v>
      </c>
      <c r="D26652" s="1">
        <v>1.3386880856760301E-3</v>
      </c>
      <c r="E26652" s="1">
        <v>1.0330578512396599E-3</v>
      </c>
      <c r="F26652" s="1">
        <v>7.1868121996136996E-4</v>
      </c>
    </row>
    <row r="26653" spans="1:6" x14ac:dyDescent="0.25">
      <c r="A26653" s="2" t="str">
        <f t="shared" si="942"/>
        <v>29660</v>
      </c>
      <c r="B26653" s="2" t="str">
        <f>"82201"</f>
        <v>82201</v>
      </c>
      <c r="C26653" s="1">
        <v>2.7611108161206301E-3</v>
      </c>
      <c r="D26653" s="1">
        <v>6.6934404283801796E-4</v>
      </c>
      <c r="E26653" s="1">
        <v>0</v>
      </c>
      <c r="F26653" s="1">
        <v>2.3806315411220402E-3</v>
      </c>
    </row>
    <row r="26654" spans="1:6" x14ac:dyDescent="0.25">
      <c r="A26654" s="2" t="str">
        <f t="shared" si="942"/>
        <v>29660</v>
      </c>
      <c r="B26654" s="2" t="str">
        <f>"82055"</f>
        <v>82055</v>
      </c>
      <c r="C26654" s="1">
        <v>5.3098284925396901E-5</v>
      </c>
      <c r="D26654" s="1">
        <v>0</v>
      </c>
      <c r="E26654" s="1">
        <v>5.1652892561983397E-4</v>
      </c>
      <c r="F26654" s="1">
        <v>8.9835152495171299E-5</v>
      </c>
    </row>
    <row r="26655" spans="1:6" x14ac:dyDescent="0.25">
      <c r="A26655" s="2" t="str">
        <f t="shared" si="942"/>
        <v>29660</v>
      </c>
      <c r="B26655" s="2" t="str">
        <f>"82063"</f>
        <v>82063</v>
      </c>
      <c r="C26655" s="1">
        <v>6.0532044814952399E-3</v>
      </c>
      <c r="D26655" s="1">
        <v>4.0160642570281103E-3</v>
      </c>
      <c r="E26655" s="1">
        <v>1.5495867768595001E-3</v>
      </c>
      <c r="F26655" s="1">
        <v>5.5248618784530298E-3</v>
      </c>
    </row>
    <row r="26656" spans="1:6" x14ac:dyDescent="0.25">
      <c r="A26656" s="2" t="str">
        <f t="shared" si="942"/>
        <v>29660</v>
      </c>
      <c r="B26656" s="2" t="str">
        <f>"82071"</f>
        <v>82071</v>
      </c>
      <c r="C26656" s="1">
        <v>0</v>
      </c>
      <c r="D26656" s="1">
        <v>6.6934404283801796E-4</v>
      </c>
      <c r="E26656" s="1">
        <v>0</v>
      </c>
      <c r="F26656" s="1">
        <v>4.4917576247585602E-5</v>
      </c>
    </row>
    <row r="26657" spans="1:6" x14ac:dyDescent="0.25">
      <c r="A26657" s="2" t="str">
        <f t="shared" si="942"/>
        <v>29660</v>
      </c>
      <c r="B26657" s="2" t="str">
        <f>"82084"</f>
        <v>82084</v>
      </c>
      <c r="C26657" s="1">
        <v>3.3451919503000001E-3</v>
      </c>
      <c r="D26657" s="1">
        <v>6.6934404283801796E-4</v>
      </c>
      <c r="E26657" s="1">
        <v>1.0330578512396599E-3</v>
      </c>
      <c r="F26657" s="1">
        <v>2.9645600323406499E-3</v>
      </c>
    </row>
    <row r="26658" spans="1:6" x14ac:dyDescent="0.25">
      <c r="A26658" s="2" t="str">
        <f t="shared" si="942"/>
        <v>29660</v>
      </c>
      <c r="B26658" s="2" t="str">
        <f>"82058"</f>
        <v>82058</v>
      </c>
      <c r="C26658" s="1">
        <v>2.0177348271650801E-3</v>
      </c>
      <c r="D26658" s="1">
        <v>6.6934404283801796E-4</v>
      </c>
      <c r="E26658" s="1">
        <v>2.0661157024793298E-3</v>
      </c>
      <c r="F26658" s="1">
        <v>1.93145577864618E-3</v>
      </c>
    </row>
    <row r="26659" spans="1:6" x14ac:dyDescent="0.25">
      <c r="A26659" s="2" t="str">
        <f t="shared" si="942"/>
        <v>29660</v>
      </c>
      <c r="B26659" s="2" t="str">
        <f>"82070"</f>
        <v>82070</v>
      </c>
      <c r="C26659" s="1">
        <v>0.53825731428874801</v>
      </c>
      <c r="D26659" s="1">
        <v>0.733601070950468</v>
      </c>
      <c r="E26659" s="1">
        <v>0.50981404958677601</v>
      </c>
      <c r="F26659" s="1">
        <v>0.54889278174549705</v>
      </c>
    </row>
    <row r="26660" spans="1:6" x14ac:dyDescent="0.25">
      <c r="A26660" s="2" t="str">
        <f t="shared" ref="A26660:A26672" si="943">"34140"</f>
        <v>34140</v>
      </c>
      <c r="B26660" s="2" t="str">
        <f>"83806"</f>
        <v>83806</v>
      </c>
      <c r="C26660" s="1">
        <v>0</v>
      </c>
      <c r="D26660" s="1">
        <v>0</v>
      </c>
      <c r="E26660" s="1">
        <v>5.7803468208092402E-4</v>
      </c>
      <c r="F26660" s="1">
        <v>4.93827160493827E-5</v>
      </c>
    </row>
    <row r="26661" spans="1:6" x14ac:dyDescent="0.25">
      <c r="A26661" s="2" t="str">
        <f t="shared" si="943"/>
        <v>34140</v>
      </c>
      <c r="B26661" s="2" t="str">
        <f>"83857"</f>
        <v>83857</v>
      </c>
      <c r="C26661" s="1">
        <v>1.6500293599530199E-2</v>
      </c>
      <c r="D26661" s="1">
        <v>4.0268456375838896E-3</v>
      </c>
      <c r="E26661" s="1">
        <v>5.7803468208092402E-4</v>
      </c>
      <c r="F26661" s="1">
        <v>1.42222222222222E-2</v>
      </c>
    </row>
    <row r="26662" spans="1:6" x14ac:dyDescent="0.25">
      <c r="A26662" s="2" t="str">
        <f t="shared" si="943"/>
        <v>34140</v>
      </c>
      <c r="B26662" s="2" t="str">
        <f>"83535"</f>
        <v>83535</v>
      </c>
      <c r="C26662" s="1">
        <v>1.1626541397533699E-2</v>
      </c>
      <c r="D26662" s="1">
        <v>4.0268456375838896E-3</v>
      </c>
      <c r="E26662" s="1">
        <v>1.7341040462427699E-2</v>
      </c>
      <c r="F26662" s="1">
        <v>1.15555555555555E-2</v>
      </c>
    </row>
    <row r="26663" spans="1:6" x14ac:dyDescent="0.25">
      <c r="A26663" s="2" t="str">
        <f t="shared" si="943"/>
        <v>34140</v>
      </c>
      <c r="B26663" s="2" t="str">
        <f>"83855"</f>
        <v>83855</v>
      </c>
      <c r="C26663" s="1">
        <v>3.5055783910745701E-2</v>
      </c>
      <c r="D26663" s="1">
        <v>1.34228187919463E-2</v>
      </c>
      <c r="E26663" s="1">
        <v>0.113872832369942</v>
      </c>
      <c r="F26663" s="1">
        <v>4.01975308641975E-2</v>
      </c>
    </row>
    <row r="26664" spans="1:6" x14ac:dyDescent="0.25">
      <c r="A26664" s="2" t="str">
        <f t="shared" si="943"/>
        <v>34140</v>
      </c>
      <c r="B26664" s="2" t="str">
        <f>"83844"</f>
        <v>83844</v>
      </c>
      <c r="C26664" s="1">
        <v>0</v>
      </c>
      <c r="D26664" s="1">
        <v>6.7114093959731497E-4</v>
      </c>
      <c r="E26664" s="1">
        <v>0</v>
      </c>
      <c r="F26664" s="1">
        <v>4.93827160493827E-5</v>
      </c>
    </row>
    <row r="26665" spans="1:6" x14ac:dyDescent="0.25">
      <c r="A26665" s="2" t="str">
        <f t="shared" si="943"/>
        <v>34140</v>
      </c>
      <c r="B26665" s="2" t="str">
        <f>"83843"</f>
        <v>83843</v>
      </c>
      <c r="C26665" s="1">
        <v>0.80029359953024004</v>
      </c>
      <c r="D26665" s="1">
        <v>0.957718120805369</v>
      </c>
      <c r="E26665" s="1">
        <v>0.81387283236994201</v>
      </c>
      <c r="F26665" s="1">
        <v>0.813037037037037</v>
      </c>
    </row>
    <row r="26666" spans="1:6" x14ac:dyDescent="0.25">
      <c r="A26666" s="2" t="str">
        <f t="shared" si="943"/>
        <v>34140</v>
      </c>
      <c r="B26666" s="2" t="str">
        <f>"83823"</f>
        <v>83823</v>
      </c>
      <c r="C26666" s="1">
        <v>2.6365237815619402E-2</v>
      </c>
      <c r="D26666" s="1">
        <v>2.01342281879194E-3</v>
      </c>
      <c r="E26666" s="1">
        <v>1.15606936416184E-3</v>
      </c>
      <c r="F26666" s="1">
        <v>2.2419753086419698E-2</v>
      </c>
    </row>
    <row r="26667" spans="1:6" x14ac:dyDescent="0.25">
      <c r="A26667" s="2" t="str">
        <f t="shared" si="943"/>
        <v>34140</v>
      </c>
      <c r="B26667" s="2" t="str">
        <f>"83834"</f>
        <v>83834</v>
      </c>
      <c r="C26667" s="1">
        <v>5.1673517322372202E-3</v>
      </c>
      <c r="D26667" s="1">
        <v>6.7114093959731497E-4</v>
      </c>
      <c r="E26667" s="1">
        <v>5.7803468208092402E-4</v>
      </c>
      <c r="F26667" s="1">
        <v>4.4444444444444401E-3</v>
      </c>
    </row>
    <row r="26668" spans="1:6" x14ac:dyDescent="0.25">
      <c r="A26668" s="2" t="str">
        <f t="shared" si="943"/>
        <v>34140</v>
      </c>
      <c r="B26668" s="2" t="str">
        <f>"83824"</f>
        <v>83824</v>
      </c>
      <c r="C26668" s="1">
        <v>1.2918379330593001E-3</v>
      </c>
      <c r="D26668" s="1">
        <v>0</v>
      </c>
      <c r="E26668" s="1">
        <v>0</v>
      </c>
      <c r="F26668" s="1">
        <v>1.08641975308641E-3</v>
      </c>
    </row>
    <row r="26669" spans="1:6" x14ac:dyDescent="0.25">
      <c r="A26669" s="2" t="str">
        <f t="shared" si="943"/>
        <v>34140</v>
      </c>
      <c r="B26669" s="2" t="str">
        <f>"83872"</f>
        <v>83872</v>
      </c>
      <c r="C26669" s="1">
        <v>1.8496770405167302E-2</v>
      </c>
      <c r="D26669" s="1">
        <v>0</v>
      </c>
      <c r="E26669" s="1">
        <v>7.5144508670520202E-3</v>
      </c>
      <c r="F26669" s="1">
        <v>1.61975308641975E-2</v>
      </c>
    </row>
    <row r="26670" spans="1:6" x14ac:dyDescent="0.25">
      <c r="A26670" s="2" t="str">
        <f t="shared" si="943"/>
        <v>34140</v>
      </c>
      <c r="B26670" s="2" t="str">
        <f>"83832"</f>
        <v>83832</v>
      </c>
      <c r="C26670" s="1">
        <v>3.1121550205519599E-2</v>
      </c>
      <c r="D26670" s="1">
        <v>8.7248322147650999E-3</v>
      </c>
      <c r="E26670" s="1">
        <v>8.6705202312138702E-3</v>
      </c>
      <c r="F26670" s="1">
        <v>2.75555555555555E-2</v>
      </c>
    </row>
    <row r="26671" spans="1:6" x14ac:dyDescent="0.25">
      <c r="A26671" s="2" t="str">
        <f t="shared" si="943"/>
        <v>34140</v>
      </c>
      <c r="B26671" s="2" t="str">
        <f>"83871"</f>
        <v>83871</v>
      </c>
      <c r="C26671" s="1">
        <v>3.6406341749853202E-2</v>
      </c>
      <c r="D26671" s="1">
        <v>4.0268456375838896E-3</v>
      </c>
      <c r="E26671" s="1">
        <v>3.4104046242774501E-2</v>
      </c>
      <c r="F26671" s="1">
        <v>3.3827160493827099E-2</v>
      </c>
    </row>
    <row r="26672" spans="1:6" x14ac:dyDescent="0.25">
      <c r="A26672" s="2" t="str">
        <f t="shared" si="943"/>
        <v>34140</v>
      </c>
      <c r="B26672" s="2" t="str">
        <f>"83537"</f>
        <v>83537</v>
      </c>
      <c r="C26672" s="1">
        <v>1.7674691720493199E-2</v>
      </c>
      <c r="D26672" s="1">
        <v>4.6979865771811999E-3</v>
      </c>
      <c r="E26672" s="1">
        <v>1.73410404624277E-3</v>
      </c>
      <c r="F26672" s="1">
        <v>1.5358024691358E-2</v>
      </c>
    </row>
    <row r="26673" spans="1:6" x14ac:dyDescent="0.25">
      <c r="A26673" s="2" t="str">
        <f t="shared" ref="A26673:A26683" si="944">"37220"</f>
        <v>37220</v>
      </c>
      <c r="B26673" s="2" t="str">
        <f>"89023"</f>
        <v>89023</v>
      </c>
      <c r="C26673" s="1">
        <v>0</v>
      </c>
      <c r="D26673" s="1">
        <v>0</v>
      </c>
      <c r="E26673" s="1">
        <v>6.7430883344571802E-4</v>
      </c>
      <c r="F26673" s="1">
        <v>3.01513598263281E-5</v>
      </c>
    </row>
    <row r="26674" spans="1:6" x14ac:dyDescent="0.25">
      <c r="A26674" s="2" t="str">
        <f t="shared" si="944"/>
        <v>37220</v>
      </c>
      <c r="B26674" s="2" t="str">
        <f>"89045"</f>
        <v>89045</v>
      </c>
      <c r="C26674" s="1">
        <v>3.3696426753537602E-2</v>
      </c>
      <c r="D26674" s="1">
        <v>7.226738934056E-3</v>
      </c>
      <c r="E26674" s="1">
        <v>0.24679703304113201</v>
      </c>
      <c r="F26674" s="1">
        <v>4.1458119761201201E-2</v>
      </c>
    </row>
    <row r="26675" spans="1:6" x14ac:dyDescent="0.25">
      <c r="A26675" s="2" t="str">
        <f t="shared" si="944"/>
        <v>37220</v>
      </c>
      <c r="B26675" s="2" t="str">
        <f>"89003"</f>
        <v>89003</v>
      </c>
      <c r="C26675" s="1">
        <v>7.0582646170552097E-3</v>
      </c>
      <c r="D26675" s="1">
        <v>0</v>
      </c>
      <c r="E26675" s="1">
        <v>1.28118678354686E-2</v>
      </c>
      <c r="F26675" s="1">
        <v>6.8443586805764902E-3</v>
      </c>
    </row>
    <row r="26676" spans="1:6" x14ac:dyDescent="0.25">
      <c r="A26676" s="2" t="str">
        <f t="shared" si="944"/>
        <v>37220</v>
      </c>
      <c r="B26676" s="2" t="str">
        <f>"89049"</f>
        <v>89049</v>
      </c>
      <c r="C26676" s="1">
        <v>4.2756795276392102E-3</v>
      </c>
      <c r="D26676" s="1">
        <v>1.806684733514E-2</v>
      </c>
      <c r="E26676" s="1">
        <v>1.416048550236E-2</v>
      </c>
      <c r="F26676" s="1">
        <v>5.6383042875233604E-3</v>
      </c>
    </row>
    <row r="26677" spans="1:6" x14ac:dyDescent="0.25">
      <c r="A26677" s="2" t="str">
        <f t="shared" si="944"/>
        <v>37220</v>
      </c>
      <c r="B26677" s="2" t="str">
        <f>"89048"</f>
        <v>89048</v>
      </c>
      <c r="C26677" s="1">
        <v>0.36143065594353302</v>
      </c>
      <c r="D26677" s="1">
        <v>0.68744354110207695</v>
      </c>
      <c r="E26677" s="1">
        <v>0.55967633175994602</v>
      </c>
      <c r="F26677" s="1">
        <v>0.39205813182174498</v>
      </c>
    </row>
    <row r="26678" spans="1:6" x14ac:dyDescent="0.25">
      <c r="A26678" s="2" t="str">
        <f t="shared" si="944"/>
        <v>37220</v>
      </c>
      <c r="B26678" s="2" t="str">
        <f>"89041"</f>
        <v>89041</v>
      </c>
      <c r="C26678" s="1">
        <v>0.160813057789541</v>
      </c>
      <c r="D26678" s="1">
        <v>0.118789521228545</v>
      </c>
      <c r="E26678" s="1">
        <v>2.6972353337828699E-3</v>
      </c>
      <c r="F26678" s="1">
        <v>0.15093770729059799</v>
      </c>
    </row>
    <row r="26679" spans="1:6" x14ac:dyDescent="0.25">
      <c r="A26679" s="2" t="str">
        <f t="shared" si="944"/>
        <v>37220</v>
      </c>
      <c r="B26679" s="2" t="str">
        <f>"89020"</f>
        <v>89020</v>
      </c>
      <c r="C26679" s="1">
        <v>8.0016288302962396E-2</v>
      </c>
      <c r="D26679" s="1">
        <v>3.6133694670279999E-2</v>
      </c>
      <c r="E26679" s="1">
        <v>8.0917060013486093E-3</v>
      </c>
      <c r="F26679" s="1">
        <v>7.3870831574503998E-2</v>
      </c>
    </row>
    <row r="26680" spans="1:6" x14ac:dyDescent="0.25">
      <c r="A26680" s="2" t="str">
        <f t="shared" si="944"/>
        <v>37220</v>
      </c>
      <c r="B26680" s="2" t="str">
        <f>"89061"</f>
        <v>89061</v>
      </c>
      <c r="C26680" s="1">
        <v>0.15409413281753701</v>
      </c>
      <c r="D26680" s="1">
        <v>2.2583559168924999E-2</v>
      </c>
      <c r="E26680" s="1">
        <v>1.9554956169925801E-2</v>
      </c>
      <c r="F26680" s="1">
        <v>0.139299282397636</v>
      </c>
    </row>
    <row r="26681" spans="1:6" x14ac:dyDescent="0.25">
      <c r="A26681" s="2" t="str">
        <f t="shared" si="944"/>
        <v>37220</v>
      </c>
      <c r="B26681" s="2" t="str">
        <f>"89409"</f>
        <v>89409</v>
      </c>
      <c r="C26681" s="1">
        <v>0</v>
      </c>
      <c r="D26681" s="1">
        <v>4.516711833785E-4</v>
      </c>
      <c r="E26681" s="1">
        <v>0</v>
      </c>
      <c r="F26681" s="1">
        <v>3.01513598263281E-5</v>
      </c>
    </row>
    <row r="26682" spans="1:6" x14ac:dyDescent="0.25">
      <c r="A26682" s="2" t="str">
        <f t="shared" si="944"/>
        <v>37220</v>
      </c>
      <c r="B26682" s="2" t="str">
        <f>"89060"</f>
        <v>89060</v>
      </c>
      <c r="C26682" s="1">
        <v>0.198615494248193</v>
      </c>
      <c r="D26682" s="1">
        <v>0.10930442637759701</v>
      </c>
      <c r="E26682" s="1">
        <v>0.134187457855697</v>
      </c>
      <c r="F26682" s="1">
        <v>0.18977265874690899</v>
      </c>
    </row>
    <row r="26683" spans="1:6" x14ac:dyDescent="0.25">
      <c r="A26683" s="2" t="str">
        <f t="shared" si="944"/>
        <v>37220</v>
      </c>
      <c r="B26683" s="2" t="str">
        <f>"89022"</f>
        <v>89022</v>
      </c>
      <c r="C26683" s="1">
        <v>0</v>
      </c>
      <c r="D26683" s="1">
        <v>0</v>
      </c>
      <c r="E26683" s="1">
        <v>1.34861766689143E-3</v>
      </c>
      <c r="F26683" s="1">
        <v>6.0302719652656301E-5</v>
      </c>
    </row>
    <row r="26684" spans="1:6" x14ac:dyDescent="0.25">
      <c r="A26684" s="2" t="str">
        <f t="shared" ref="A26684:A26692" si="945">"22280"</f>
        <v>22280</v>
      </c>
      <c r="B26684" s="2" t="str">
        <f>"89430"</f>
        <v>89430</v>
      </c>
      <c r="C26684" s="1">
        <v>7.4603668013677304E-3</v>
      </c>
      <c r="D26684" s="1">
        <v>2.3775558725630001E-3</v>
      </c>
      <c r="E26684" s="1">
        <v>4.0080160320641201E-3</v>
      </c>
      <c r="F26684" s="1">
        <v>7.0194047544768204E-3</v>
      </c>
    </row>
    <row r="26685" spans="1:6" x14ac:dyDescent="0.25">
      <c r="A26685" s="2" t="str">
        <f t="shared" si="945"/>
        <v>22280</v>
      </c>
      <c r="B26685" s="2" t="str">
        <f>"89408"</f>
        <v>89408</v>
      </c>
      <c r="C26685" s="1">
        <v>0.380893171692052</v>
      </c>
      <c r="D26685" s="1">
        <v>0.38801711840228198</v>
      </c>
      <c r="E26685" s="1">
        <v>0.37274549098196302</v>
      </c>
      <c r="F26685" s="1">
        <v>0.38110688213639399</v>
      </c>
    </row>
    <row r="26686" spans="1:6" x14ac:dyDescent="0.25">
      <c r="A26686" s="2" t="str">
        <f t="shared" si="945"/>
        <v>22280</v>
      </c>
      <c r="B26686" s="2" t="str">
        <f>"89447"</f>
        <v>89447</v>
      </c>
      <c r="C26686" s="1">
        <v>0.14592615618415999</v>
      </c>
      <c r="D26686" s="1">
        <v>0.187826913932477</v>
      </c>
      <c r="E26686" s="1">
        <v>0.18236472945891699</v>
      </c>
      <c r="F26686" s="1">
        <v>0.14980969613776701</v>
      </c>
    </row>
    <row r="26687" spans="1:6" x14ac:dyDescent="0.25">
      <c r="A26687" s="2" t="str">
        <f t="shared" si="945"/>
        <v>22280</v>
      </c>
      <c r="B26687" s="2" t="str">
        <f>"89403"</f>
        <v>89403</v>
      </c>
      <c r="C26687" s="1">
        <v>0.29496079853555701</v>
      </c>
      <c r="D26687" s="1">
        <v>0.17451260104612401</v>
      </c>
      <c r="E26687" s="1">
        <v>0.294589178356713</v>
      </c>
      <c r="F26687" s="1">
        <v>0.28704685842640498</v>
      </c>
    </row>
    <row r="26688" spans="1:6" x14ac:dyDescent="0.25">
      <c r="A26688" s="2" t="str">
        <f t="shared" si="945"/>
        <v>22280</v>
      </c>
      <c r="B26688" s="2" t="str">
        <f>"89428"</f>
        <v>89428</v>
      </c>
      <c r="C26688" s="1">
        <v>0</v>
      </c>
      <c r="D26688" s="1">
        <v>4.7551117451260101E-4</v>
      </c>
      <c r="E26688" s="1">
        <v>0</v>
      </c>
      <c r="F26688" s="1">
        <v>3.1197354464341403E-5</v>
      </c>
    </row>
    <row r="26689" spans="1:6" x14ac:dyDescent="0.25">
      <c r="A26689" s="2" t="str">
        <f t="shared" si="945"/>
        <v>22280</v>
      </c>
      <c r="B26689" s="2" t="str">
        <f>"89429"</f>
        <v>89429</v>
      </c>
      <c r="C26689" s="1">
        <v>0.12623907712499499</v>
      </c>
      <c r="D26689" s="1">
        <v>3.51878269139324E-2</v>
      </c>
      <c r="E26689" s="1">
        <v>3.5070140280561102E-2</v>
      </c>
      <c r="F26689" s="1">
        <v>0.117426842203781</v>
      </c>
    </row>
    <row r="26690" spans="1:6" x14ac:dyDescent="0.25">
      <c r="A26690" s="2" t="str">
        <f t="shared" si="945"/>
        <v>22280</v>
      </c>
      <c r="B26690" s="2" t="str">
        <f>"89444"</f>
        <v>89444</v>
      </c>
      <c r="C26690" s="1">
        <v>1.9099920560908999E-2</v>
      </c>
      <c r="D26690" s="1">
        <v>5.7061340941512101E-3</v>
      </c>
      <c r="E26690" s="1">
        <v>2.0040080160320601E-3</v>
      </c>
      <c r="F26690" s="1">
        <v>1.7688899981281501E-2</v>
      </c>
    </row>
    <row r="26691" spans="1:6" x14ac:dyDescent="0.25">
      <c r="A26691" s="2" t="str">
        <f t="shared" si="945"/>
        <v>22280</v>
      </c>
      <c r="B26691" s="2" t="str">
        <f>"89406"</f>
        <v>89406</v>
      </c>
      <c r="C26691" s="1">
        <v>3.4538735191517203E-5</v>
      </c>
      <c r="D26691" s="1">
        <v>0</v>
      </c>
      <c r="E26691" s="1">
        <v>0</v>
      </c>
      <c r="F26691" s="1">
        <v>3.1197354464341403E-5</v>
      </c>
    </row>
    <row r="26692" spans="1:6" x14ac:dyDescent="0.25">
      <c r="A26692" s="2" t="str">
        <f t="shared" si="945"/>
        <v>22280</v>
      </c>
      <c r="B26692" s="2" t="str">
        <f>"89706"</f>
        <v>89706</v>
      </c>
      <c r="C26692" s="1">
        <v>2.53859703657652E-2</v>
      </c>
      <c r="D26692" s="1">
        <v>0.20589633856395601</v>
      </c>
      <c r="E26692" s="1">
        <v>0.10921843687374699</v>
      </c>
      <c r="F26692" s="1">
        <v>3.9839021650963903E-2</v>
      </c>
    </row>
    <row r="26693" spans="1:6" x14ac:dyDescent="0.25">
      <c r="A26693" s="2" t="str">
        <f>"21980"</f>
        <v>21980</v>
      </c>
      <c r="B26693" s="2" t="str">
        <f>"89408"</f>
        <v>89408</v>
      </c>
      <c r="C26693" s="1">
        <v>3.6893075960208101E-3</v>
      </c>
      <c r="D26693" s="1">
        <v>7.11462450592885E-3</v>
      </c>
      <c r="E26693" s="1">
        <v>1.76056338028169E-3</v>
      </c>
      <c r="F26693" s="1">
        <v>3.8796143898424599E-3</v>
      </c>
    </row>
    <row r="26694" spans="1:6" x14ac:dyDescent="0.25">
      <c r="A26694" s="2" t="str">
        <f>"21980"</f>
        <v>21980</v>
      </c>
      <c r="B26694" s="2" t="str">
        <f>"89407"</f>
        <v>89407</v>
      </c>
      <c r="C26694" s="1">
        <v>0.20179194940378101</v>
      </c>
      <c r="D26694" s="1">
        <v>0.20948616600790501</v>
      </c>
      <c r="E26694" s="1">
        <v>7.0422535211267599E-3</v>
      </c>
      <c r="F26694" s="1">
        <v>0.195861744650834</v>
      </c>
    </row>
    <row r="26695" spans="1:6" x14ac:dyDescent="0.25">
      <c r="A26695" s="2" t="str">
        <f>"21980"</f>
        <v>21980</v>
      </c>
      <c r="B26695" s="2" t="str">
        <f>"89496"</f>
        <v>89496</v>
      </c>
      <c r="C26695" s="1">
        <v>0</v>
      </c>
      <c r="D26695" s="1">
        <v>7.9051383399209398E-4</v>
      </c>
      <c r="E26695" s="1">
        <v>0</v>
      </c>
      <c r="F26695" s="1">
        <v>5.8782036209734302E-5</v>
      </c>
    </row>
    <row r="26696" spans="1:6" x14ac:dyDescent="0.25">
      <c r="A26696" s="2" t="str">
        <f>"21980"</f>
        <v>21980</v>
      </c>
      <c r="B26696" s="2" t="str">
        <f>"89406"</f>
        <v>89406</v>
      </c>
      <c r="C26696" s="1">
        <v>0.79451874300019698</v>
      </c>
      <c r="D26696" s="1">
        <v>0.78260869565217295</v>
      </c>
      <c r="E26696" s="1">
        <v>0.99119718309859095</v>
      </c>
      <c r="F26696" s="1">
        <v>0.80019985892311296</v>
      </c>
    </row>
    <row r="26697" spans="1:6" x14ac:dyDescent="0.25">
      <c r="A26697" s="2" t="str">
        <f t="shared" ref="A26697:A26714" si="946">"21220"</f>
        <v>21220</v>
      </c>
      <c r="B26697" s="2" t="str">
        <f>"89820"</f>
        <v>89820</v>
      </c>
      <c r="C26697" s="1">
        <v>1.30010834236186E-4</v>
      </c>
      <c r="D26697" s="1">
        <v>5.13610683102208E-4</v>
      </c>
      <c r="E26697" s="1">
        <v>0</v>
      </c>
      <c r="F26697" s="1">
        <v>1.4333835017558901E-4</v>
      </c>
    </row>
    <row r="26698" spans="1:6" x14ac:dyDescent="0.25">
      <c r="A26698" s="2" t="str">
        <f t="shared" si="946"/>
        <v>21220</v>
      </c>
      <c r="B26698" s="2" t="str">
        <f>"89830"</f>
        <v>89830</v>
      </c>
      <c r="C26698" s="1">
        <v>0</v>
      </c>
      <c r="D26698" s="1">
        <v>5.13610683102208E-4</v>
      </c>
      <c r="E26698" s="1">
        <v>2.0110957004160799E-2</v>
      </c>
      <c r="F26698" s="1">
        <v>2.11424066508994E-3</v>
      </c>
    </row>
    <row r="26699" spans="1:6" x14ac:dyDescent="0.25">
      <c r="A26699" s="2" t="str">
        <f t="shared" si="946"/>
        <v>21220</v>
      </c>
      <c r="B26699" s="2" t="str">
        <f>"89821"</f>
        <v>89821</v>
      </c>
      <c r="C26699" s="1">
        <v>2.0065005417118E-2</v>
      </c>
      <c r="D26699" s="1">
        <v>6.1633281972264999E-3</v>
      </c>
      <c r="E26699" s="1">
        <v>3.4674063800277299E-3</v>
      </c>
      <c r="F26699" s="1">
        <v>1.7379774958790201E-2</v>
      </c>
    </row>
    <row r="26700" spans="1:6" x14ac:dyDescent="0.25">
      <c r="A26700" s="2" t="str">
        <f t="shared" si="946"/>
        <v>21220</v>
      </c>
      <c r="B26700" s="2" t="str">
        <f>"89823"</f>
        <v>89823</v>
      </c>
      <c r="C26700" s="1">
        <v>3.07692307692307E-3</v>
      </c>
      <c r="D26700" s="1">
        <v>0</v>
      </c>
      <c r="E26700" s="1">
        <v>3.4674063800277301E-4</v>
      </c>
      <c r="F26700" s="1">
        <v>2.5800903031606101E-3</v>
      </c>
    </row>
    <row r="26701" spans="1:6" x14ac:dyDescent="0.25">
      <c r="A26701" s="2" t="str">
        <f t="shared" si="946"/>
        <v>21220</v>
      </c>
      <c r="B26701" s="2" t="str">
        <f>"89815"</f>
        <v>89815</v>
      </c>
      <c r="C26701" s="1">
        <v>0.330877573131094</v>
      </c>
      <c r="D26701" s="1">
        <v>4.9820236260914197E-2</v>
      </c>
      <c r="E26701" s="1">
        <v>7.6282940360610202E-2</v>
      </c>
      <c r="F26701" s="1">
        <v>0.28495664014907102</v>
      </c>
    </row>
    <row r="26702" spans="1:6" x14ac:dyDescent="0.25">
      <c r="A26702" s="2" t="str">
        <f t="shared" si="946"/>
        <v>21220</v>
      </c>
      <c r="B26702" s="2" t="str">
        <f>"89826"</f>
        <v>89826</v>
      </c>
      <c r="C26702" s="1">
        <v>0</v>
      </c>
      <c r="D26702" s="1">
        <v>5.13610683102208E-4</v>
      </c>
      <c r="E26702" s="1">
        <v>0</v>
      </c>
      <c r="F26702" s="1">
        <v>3.5834587543897299E-5</v>
      </c>
    </row>
    <row r="26703" spans="1:6" x14ac:dyDescent="0.25">
      <c r="A26703" s="2" t="str">
        <f t="shared" si="946"/>
        <v>21220</v>
      </c>
      <c r="B26703" s="2" t="str">
        <f>"89835"</f>
        <v>89835</v>
      </c>
      <c r="C26703" s="1">
        <v>8.7973997833152694E-3</v>
      </c>
      <c r="D26703" s="1">
        <v>3.08166409861325E-3</v>
      </c>
      <c r="E26703" s="1">
        <v>4.0915395284327298E-2</v>
      </c>
      <c r="F26703" s="1">
        <v>1.17179101268544E-2</v>
      </c>
    </row>
    <row r="26704" spans="1:6" x14ac:dyDescent="0.25">
      <c r="A26704" s="2" t="str">
        <f t="shared" si="946"/>
        <v>21220</v>
      </c>
      <c r="B26704" s="2" t="str">
        <f>"89316"</f>
        <v>89316</v>
      </c>
      <c r="C26704" s="1">
        <v>1.4474539544962001E-2</v>
      </c>
      <c r="D26704" s="1">
        <v>4.1088854648176597E-3</v>
      </c>
      <c r="E26704" s="1">
        <v>0</v>
      </c>
      <c r="F26704" s="1">
        <v>1.22554289400129E-2</v>
      </c>
    </row>
    <row r="26705" spans="1:6" x14ac:dyDescent="0.25">
      <c r="A26705" s="2" t="str">
        <f t="shared" si="946"/>
        <v>21220</v>
      </c>
      <c r="B26705" s="2" t="str">
        <f>"89834"</f>
        <v>89834</v>
      </c>
      <c r="C26705" s="1">
        <v>2.8602383531960902E-3</v>
      </c>
      <c r="D26705" s="1">
        <v>5.13610683102208E-4</v>
      </c>
      <c r="E26705" s="1">
        <v>0</v>
      </c>
      <c r="F26705" s="1">
        <v>2.4009173654411199E-3</v>
      </c>
    </row>
    <row r="26706" spans="1:6" x14ac:dyDescent="0.25">
      <c r="A26706" s="2" t="str">
        <f t="shared" si="946"/>
        <v>21220</v>
      </c>
      <c r="B26706" s="2" t="str">
        <f>"89832"</f>
        <v>89832</v>
      </c>
      <c r="C26706" s="1">
        <v>0</v>
      </c>
      <c r="D26706" s="1">
        <v>5.13610683102208E-4</v>
      </c>
      <c r="E26706" s="1">
        <v>4.1608876560332797E-2</v>
      </c>
      <c r="F26706" s="1">
        <v>4.3359850928115801E-3</v>
      </c>
    </row>
    <row r="26707" spans="1:6" x14ac:dyDescent="0.25">
      <c r="A26707" s="2" t="str">
        <f t="shared" si="946"/>
        <v>21220</v>
      </c>
      <c r="B26707" s="2" t="str">
        <f>"89833"</f>
        <v>89833</v>
      </c>
      <c r="C26707" s="1">
        <v>5.2437703141928402E-3</v>
      </c>
      <c r="D26707" s="1">
        <v>0</v>
      </c>
      <c r="E26707" s="1">
        <v>3.4674063800277301E-4</v>
      </c>
      <c r="F26707" s="1">
        <v>4.3718196803554698E-3</v>
      </c>
    </row>
    <row r="26708" spans="1:6" x14ac:dyDescent="0.25">
      <c r="A26708" s="2" t="str">
        <f t="shared" si="946"/>
        <v>21220</v>
      </c>
      <c r="B26708" s="2" t="str">
        <f>"89883"</f>
        <v>89883</v>
      </c>
      <c r="C26708" s="1">
        <v>0</v>
      </c>
      <c r="D26708" s="1">
        <v>5.13610683102208E-4</v>
      </c>
      <c r="E26708" s="1">
        <v>0.461858529819694</v>
      </c>
      <c r="F26708" s="1">
        <v>4.7767505196015102E-2</v>
      </c>
    </row>
    <row r="26709" spans="1:6" x14ac:dyDescent="0.25">
      <c r="A26709" s="2" t="str">
        <f t="shared" si="946"/>
        <v>21220</v>
      </c>
      <c r="B26709" s="2" t="str">
        <f>"89828"</f>
        <v>89828</v>
      </c>
      <c r="C26709" s="1">
        <v>1.3001083423618599E-3</v>
      </c>
      <c r="D26709" s="1">
        <v>5.13610683102208E-4</v>
      </c>
      <c r="E26709" s="1">
        <v>7.2815533980582501E-3</v>
      </c>
      <c r="F26709" s="1">
        <v>1.86339855228266E-3</v>
      </c>
    </row>
    <row r="26710" spans="1:6" x14ac:dyDescent="0.25">
      <c r="A26710" s="2" t="str">
        <f t="shared" si="946"/>
        <v>21220</v>
      </c>
      <c r="B26710" s="2" t="str">
        <f>"89803"</f>
        <v>89803</v>
      </c>
      <c r="C26710" s="1">
        <v>8.2946912242686799E-2</v>
      </c>
      <c r="D26710" s="1">
        <v>0.17565485362095501</v>
      </c>
      <c r="E26710" s="1">
        <v>6.93481276005547E-4</v>
      </c>
      <c r="F26710" s="1">
        <v>8.0914498674120205E-2</v>
      </c>
    </row>
    <row r="26711" spans="1:6" x14ac:dyDescent="0.25">
      <c r="A26711" s="2" t="str">
        <f t="shared" si="946"/>
        <v>21220</v>
      </c>
      <c r="B26711" s="2" t="str">
        <f>"89801"</f>
        <v>89801</v>
      </c>
      <c r="C26711" s="1">
        <v>0.527367280606717</v>
      </c>
      <c r="D26711" s="1">
        <v>0.75500770416024598</v>
      </c>
      <c r="E26711" s="1">
        <v>0.28432732316227399</v>
      </c>
      <c r="F26711" s="1">
        <v>0.51813230129721199</v>
      </c>
    </row>
    <row r="26712" spans="1:6" x14ac:dyDescent="0.25">
      <c r="A26712" s="2" t="str">
        <f t="shared" si="946"/>
        <v>21220</v>
      </c>
      <c r="B26712" s="2" t="str">
        <f>"89831"</f>
        <v>89831</v>
      </c>
      <c r="C26712" s="1">
        <v>9.1007583965330402E-4</v>
      </c>
      <c r="D26712" s="1">
        <v>1.0272213662044099E-3</v>
      </c>
      <c r="E26712" s="1">
        <v>0</v>
      </c>
      <c r="F26712" s="1">
        <v>8.24195513509639E-4</v>
      </c>
    </row>
    <row r="26713" spans="1:6" x14ac:dyDescent="0.25">
      <c r="A26713" s="2" t="str">
        <f t="shared" si="946"/>
        <v>21220</v>
      </c>
      <c r="B26713" s="2" t="str">
        <f>"89825"</f>
        <v>89825</v>
      </c>
      <c r="C26713" s="1">
        <v>5.2004333694474498E-4</v>
      </c>
      <c r="D26713" s="1">
        <v>5.13610683102208E-4</v>
      </c>
      <c r="E26713" s="1">
        <v>0</v>
      </c>
      <c r="F26713" s="1">
        <v>4.6584963807066499E-4</v>
      </c>
    </row>
    <row r="26714" spans="1:6" x14ac:dyDescent="0.25">
      <c r="A26714" s="2" t="str">
        <f t="shared" si="946"/>
        <v>21220</v>
      </c>
      <c r="B26714" s="2" t="str">
        <f>"89822"</f>
        <v>89822</v>
      </c>
      <c r="C26714" s="1">
        <v>1.4301191765980401E-3</v>
      </c>
      <c r="D26714" s="1">
        <v>1.0272213662044099E-3</v>
      </c>
      <c r="E26714" s="1">
        <v>6.2760055478501997E-2</v>
      </c>
      <c r="F26714" s="1">
        <v>7.7402709094818297E-3</v>
      </c>
    </row>
    <row r="26715" spans="1:6" x14ac:dyDescent="0.25">
      <c r="A26715" s="2" t="str">
        <f t="shared" ref="A26715:A26746" si="947">"39100"</f>
        <v>39100</v>
      </c>
      <c r="B26715" s="2" t="str">
        <f>"12577"</f>
        <v>12577</v>
      </c>
      <c r="C26715" s="1">
        <v>2.42808861676837E-3</v>
      </c>
      <c r="D26715" s="1">
        <v>8.4410980180301797E-4</v>
      </c>
      <c r="E26715" s="1">
        <v>4.1721301704613099E-4</v>
      </c>
      <c r="F26715" s="1">
        <v>2.1920518366116502E-3</v>
      </c>
    </row>
    <row r="26716" spans="1:6" x14ac:dyDescent="0.25">
      <c r="A26716" s="2" t="str">
        <f t="shared" si="947"/>
        <v>39100</v>
      </c>
      <c r="B26716" s="2" t="str">
        <f>"12586"</f>
        <v>12586</v>
      </c>
      <c r="C26716" s="1">
        <v>1.75723177578955E-2</v>
      </c>
      <c r="D26716" s="1">
        <v>1.08721342472228E-2</v>
      </c>
      <c r="E26716" s="1">
        <v>1.4483251877458501E-2</v>
      </c>
      <c r="F26716" s="1">
        <v>1.68398748569605E-2</v>
      </c>
    </row>
    <row r="26717" spans="1:6" x14ac:dyDescent="0.25">
      <c r="A26717" s="2" t="str">
        <f t="shared" si="947"/>
        <v>39100</v>
      </c>
      <c r="B26717" s="2" t="str">
        <f>"12571"</f>
        <v>12571</v>
      </c>
      <c r="C26717" s="1">
        <v>1.42671371582219E-2</v>
      </c>
      <c r="D26717" s="1">
        <v>1.37758719654252E-2</v>
      </c>
      <c r="E26717" s="1">
        <v>1.22779830730718E-2</v>
      </c>
      <c r="F26717" s="1">
        <v>1.4126881462382401E-2</v>
      </c>
    </row>
    <row r="26718" spans="1:6" x14ac:dyDescent="0.25">
      <c r="A26718" s="2" t="str">
        <f t="shared" si="947"/>
        <v>39100</v>
      </c>
      <c r="B26718" s="2" t="str">
        <f>"12567"</f>
        <v>12567</v>
      </c>
      <c r="C26718" s="1">
        <v>3.6133480531267098E-3</v>
      </c>
      <c r="D26718" s="1">
        <v>1.65445521153391E-3</v>
      </c>
      <c r="E26718" s="1">
        <v>2.26487066396471E-3</v>
      </c>
      <c r="F26718" s="1">
        <v>3.3773402128836399E-3</v>
      </c>
    </row>
    <row r="26719" spans="1:6" x14ac:dyDescent="0.25">
      <c r="A26719" s="2" t="str">
        <f t="shared" si="947"/>
        <v>39100</v>
      </c>
      <c r="B26719" s="2" t="str">
        <f>"12564"</f>
        <v>12564</v>
      </c>
      <c r="C26719" s="1">
        <v>1.04912392395375E-2</v>
      </c>
      <c r="D26719" s="1">
        <v>1.09396630313671E-2</v>
      </c>
      <c r="E26719" s="1">
        <v>9.7747049707950801E-3</v>
      </c>
      <c r="F26719" s="1">
        <v>1.04949237464477E-2</v>
      </c>
    </row>
    <row r="26720" spans="1:6" x14ac:dyDescent="0.25">
      <c r="A26720" s="2" t="str">
        <f t="shared" si="947"/>
        <v>39100</v>
      </c>
      <c r="B26720" s="2" t="str">
        <f>"12549"</f>
        <v>12549</v>
      </c>
      <c r="C26720" s="1">
        <v>1.36033918738613E-2</v>
      </c>
      <c r="D26720" s="1">
        <v>1.33031704764155E-2</v>
      </c>
      <c r="E26720" s="1">
        <v>5.7217785194898004E-3</v>
      </c>
      <c r="F26720" s="1">
        <v>1.3190357313229199E-2</v>
      </c>
    </row>
    <row r="26721" spans="1:6" x14ac:dyDescent="0.25">
      <c r="A26721" s="2" t="str">
        <f t="shared" si="947"/>
        <v>39100</v>
      </c>
      <c r="B26721" s="2" t="str">
        <f>"12771"</f>
        <v>12771</v>
      </c>
      <c r="C26721" s="1">
        <v>2.1795227806863601E-2</v>
      </c>
      <c r="D26721" s="1">
        <v>2.1507917749940899E-2</v>
      </c>
      <c r="E26721" s="1">
        <v>2.6046012635594199E-2</v>
      </c>
      <c r="F26721" s="1">
        <v>2.19790511254386E-2</v>
      </c>
    </row>
    <row r="26722" spans="1:6" x14ac:dyDescent="0.25">
      <c r="A26722" s="2" t="str">
        <f t="shared" si="947"/>
        <v>39100</v>
      </c>
      <c r="B26722" s="2" t="str">
        <f>"12537"</f>
        <v>12537</v>
      </c>
      <c r="C26722" s="1">
        <v>0</v>
      </c>
      <c r="D26722" s="1">
        <v>0</v>
      </c>
      <c r="E26722" s="1">
        <v>5.9601859578018797E-5</v>
      </c>
      <c r="F26722" s="1">
        <v>2.92663796610367E-6</v>
      </c>
    </row>
    <row r="26723" spans="1:6" x14ac:dyDescent="0.25">
      <c r="A26723" s="2" t="str">
        <f t="shared" si="947"/>
        <v>39100</v>
      </c>
      <c r="B26723" s="2" t="str">
        <f>"12531"</f>
        <v>12531</v>
      </c>
      <c r="C26723" s="1">
        <v>3.7386469078274499E-3</v>
      </c>
      <c r="D26723" s="1">
        <v>5.7399466522605196E-4</v>
      </c>
      <c r="E26723" s="1">
        <v>1.19203719156037E-3</v>
      </c>
      <c r="F26723" s="1">
        <v>3.33929391932429E-3</v>
      </c>
    </row>
    <row r="26724" spans="1:6" x14ac:dyDescent="0.25">
      <c r="A26724" s="2" t="str">
        <f t="shared" si="947"/>
        <v>39100</v>
      </c>
      <c r="B26724" s="2" t="str">
        <f>"12520"</f>
        <v>12520</v>
      </c>
      <c r="C26724" s="1">
        <v>4.7342648343684504E-3</v>
      </c>
      <c r="D26724" s="1">
        <v>2.5323294054090499E-3</v>
      </c>
      <c r="E26724" s="1">
        <v>4.8873524853975401E-3</v>
      </c>
      <c r="F26724" s="1">
        <v>4.5509220372912202E-3</v>
      </c>
    </row>
    <row r="26725" spans="1:6" x14ac:dyDescent="0.25">
      <c r="A26725" s="2" t="str">
        <f t="shared" si="947"/>
        <v>39100</v>
      </c>
      <c r="B26725" s="2" t="str">
        <f>"10975"</f>
        <v>10975</v>
      </c>
      <c r="C26725" s="1">
        <v>4.0298820836183599E-4</v>
      </c>
      <c r="D26725" s="1">
        <v>1.01293176216362E-4</v>
      </c>
      <c r="E26725" s="1">
        <v>1.7880557873405599E-4</v>
      </c>
      <c r="F26725" s="1">
        <v>3.6582974576295901E-4</v>
      </c>
    </row>
    <row r="26726" spans="1:6" x14ac:dyDescent="0.25">
      <c r="A26726" s="2" t="str">
        <f t="shared" si="947"/>
        <v>39100</v>
      </c>
      <c r="B26726" s="2" t="str">
        <f>"10928"</f>
        <v>10928</v>
      </c>
      <c r="C26726" s="1">
        <v>7.4739073601224502E-3</v>
      </c>
      <c r="D26726" s="1">
        <v>5.5711246918999204E-3</v>
      </c>
      <c r="E26726" s="1">
        <v>3.0754559542257701E-2</v>
      </c>
      <c r="F26726" s="1">
        <v>8.4521304461074205E-3</v>
      </c>
    </row>
    <row r="26727" spans="1:6" x14ac:dyDescent="0.25">
      <c r="A26727" s="2" t="str">
        <f t="shared" si="947"/>
        <v>39100</v>
      </c>
      <c r="B26727" s="2" t="str">
        <f>"10512"</f>
        <v>10512</v>
      </c>
      <c r="C26727" s="1">
        <v>2.0318733194714398E-5</v>
      </c>
      <c r="D26727" s="1">
        <v>0</v>
      </c>
      <c r="E26727" s="1">
        <v>0</v>
      </c>
      <c r="F26727" s="1">
        <v>1.7559827796622E-5</v>
      </c>
    </row>
    <row r="26728" spans="1:6" x14ac:dyDescent="0.25">
      <c r="A26728" s="2" t="str">
        <f t="shared" si="947"/>
        <v>39100</v>
      </c>
      <c r="B26728" s="2" t="str">
        <f>"12585"</f>
        <v>12585</v>
      </c>
      <c r="C26728" s="1">
        <v>1.1784865252934299E-3</v>
      </c>
      <c r="D26728" s="1">
        <v>3.3764392072120701E-4</v>
      </c>
      <c r="E26728" s="1">
        <v>4.1721301704613099E-4</v>
      </c>
      <c r="F26728" s="1">
        <v>1.06822285762784E-3</v>
      </c>
    </row>
    <row r="26729" spans="1:6" x14ac:dyDescent="0.25">
      <c r="A26729" s="2" t="str">
        <f t="shared" si="947"/>
        <v>39100</v>
      </c>
      <c r="B26729" s="2" t="str">
        <f>"12582"</f>
        <v>12582</v>
      </c>
      <c r="C26729" s="1">
        <v>7.0844649738904201E-3</v>
      </c>
      <c r="D26729" s="1">
        <v>3.9504338724381197E-3</v>
      </c>
      <c r="E26729" s="1">
        <v>7.1522231493622603E-4</v>
      </c>
      <c r="F26729" s="1">
        <v>6.5000629227162697E-3</v>
      </c>
    </row>
    <row r="26730" spans="1:6" x14ac:dyDescent="0.25">
      <c r="A26730" s="2" t="str">
        <f t="shared" si="947"/>
        <v>39100</v>
      </c>
      <c r="B26730" s="2" t="str">
        <f>"12570"</f>
        <v>12570</v>
      </c>
      <c r="C26730" s="1">
        <v>8.4729117421959103E-3</v>
      </c>
      <c r="D26730" s="1">
        <v>1.8908059560387601E-3</v>
      </c>
      <c r="E26730" s="1">
        <v>2.44367624269877E-3</v>
      </c>
      <c r="F26730" s="1">
        <v>7.6063320739034601E-3</v>
      </c>
    </row>
    <row r="26731" spans="1:6" x14ac:dyDescent="0.25">
      <c r="A26731" s="2" t="str">
        <f t="shared" si="947"/>
        <v>39100</v>
      </c>
      <c r="B26731" s="2" t="str">
        <f>"12542"</f>
        <v>12542</v>
      </c>
      <c r="C26731" s="1">
        <v>2.94621631323359E-4</v>
      </c>
      <c r="D26731" s="1">
        <v>3.7140831279332801E-4</v>
      </c>
      <c r="E26731" s="1">
        <v>0</v>
      </c>
      <c r="F26731" s="1">
        <v>2.8681052067816001E-4</v>
      </c>
    </row>
    <row r="26732" spans="1:6" x14ac:dyDescent="0.25">
      <c r="A26732" s="2" t="str">
        <f t="shared" si="947"/>
        <v>39100</v>
      </c>
      <c r="B26732" s="2" t="str">
        <f>"12555"</f>
        <v>12555</v>
      </c>
      <c r="C26732" s="1">
        <v>0</v>
      </c>
      <c r="D26732" s="1">
        <v>0</v>
      </c>
      <c r="E26732" s="1">
        <v>5.9601859578018797E-5</v>
      </c>
      <c r="F26732" s="1">
        <v>2.92663796610367E-6</v>
      </c>
    </row>
    <row r="26733" spans="1:6" x14ac:dyDescent="0.25">
      <c r="A26733" s="2" t="str">
        <f t="shared" si="947"/>
        <v>39100</v>
      </c>
      <c r="B26733" s="2" t="str">
        <f>"12546"</f>
        <v>12546</v>
      </c>
      <c r="C26733" s="1">
        <v>3.9045832289176202E-3</v>
      </c>
      <c r="D26733" s="1">
        <v>1.82327717189452E-3</v>
      </c>
      <c r="E26733" s="1">
        <v>6.5562045535820697E-4</v>
      </c>
      <c r="F26733" s="1">
        <v>3.56464504271428E-3</v>
      </c>
    </row>
    <row r="26734" spans="1:6" x14ac:dyDescent="0.25">
      <c r="A26734" s="2" t="str">
        <f t="shared" si="947"/>
        <v>39100</v>
      </c>
      <c r="B26734" s="2" t="str">
        <f>"12604"</f>
        <v>12604</v>
      </c>
      <c r="C26734" s="1">
        <v>0</v>
      </c>
      <c r="D26734" s="1">
        <v>6.7528784144241396E-5</v>
      </c>
      <c r="E26734" s="1">
        <v>0</v>
      </c>
      <c r="F26734" s="1">
        <v>5.8532759322073501E-6</v>
      </c>
    </row>
    <row r="26735" spans="1:6" x14ac:dyDescent="0.25">
      <c r="A26735" s="2" t="str">
        <f t="shared" si="947"/>
        <v>39100</v>
      </c>
      <c r="B26735" s="2" t="str">
        <f>"12590"</f>
        <v>12590</v>
      </c>
      <c r="C26735" s="1">
        <v>5.4467750783964403E-2</v>
      </c>
      <c r="D26735" s="1">
        <v>5.1119289597190802E-2</v>
      </c>
      <c r="E26735" s="1">
        <v>7.2177851948980798E-2</v>
      </c>
      <c r="F26735" s="1">
        <v>5.5047133504443999E-2</v>
      </c>
    </row>
    <row r="26736" spans="1:6" x14ac:dyDescent="0.25">
      <c r="A26736" s="2" t="str">
        <f t="shared" si="947"/>
        <v>39100</v>
      </c>
      <c r="B26736" s="2" t="str">
        <f>"12504"</f>
        <v>12504</v>
      </c>
      <c r="C26736" s="1">
        <v>0</v>
      </c>
      <c r="D26736" s="1">
        <v>6.7528784144241396E-5</v>
      </c>
      <c r="E26736" s="1">
        <v>5.9601859578018797E-5</v>
      </c>
      <c r="F26736" s="1">
        <v>8.7799138983110303E-6</v>
      </c>
    </row>
    <row r="26737" spans="1:6" x14ac:dyDescent="0.25">
      <c r="A26737" s="2" t="str">
        <f t="shared" si="947"/>
        <v>39100</v>
      </c>
      <c r="B26737" s="2" t="str">
        <f>"10933"</f>
        <v>10933</v>
      </c>
      <c r="C26737" s="1">
        <v>5.0458187433540804E-4</v>
      </c>
      <c r="D26737" s="1">
        <v>0</v>
      </c>
      <c r="E26737" s="1">
        <v>5.9601859578018797E-5</v>
      </c>
      <c r="F26737" s="1">
        <v>4.3899569491555101E-4</v>
      </c>
    </row>
    <row r="26738" spans="1:6" x14ac:dyDescent="0.25">
      <c r="A26738" s="2" t="str">
        <f t="shared" si="947"/>
        <v>39100</v>
      </c>
      <c r="B26738" s="2" t="str">
        <f>"12583"</f>
        <v>12583</v>
      </c>
      <c r="C26738" s="1">
        <v>2.13685344097746E-3</v>
      </c>
      <c r="D26738" s="1">
        <v>5.0646588108181102E-4</v>
      </c>
      <c r="E26738" s="1">
        <v>4.1721301704613099E-4</v>
      </c>
      <c r="F26738" s="1">
        <v>1.9110945918657E-3</v>
      </c>
    </row>
    <row r="26739" spans="1:6" x14ac:dyDescent="0.25">
      <c r="A26739" s="2" t="str">
        <f t="shared" si="947"/>
        <v>39100</v>
      </c>
      <c r="B26739" s="2" t="str">
        <f>"12580"</f>
        <v>12580</v>
      </c>
      <c r="C26739" s="1">
        <v>6.0075721145705597E-3</v>
      </c>
      <c r="D26739" s="1">
        <v>1.04669615423574E-3</v>
      </c>
      <c r="E26739" s="1">
        <v>2.26487066396471E-3</v>
      </c>
      <c r="F26739" s="1">
        <v>5.3937937715290802E-3</v>
      </c>
    </row>
    <row r="26740" spans="1:6" x14ac:dyDescent="0.25">
      <c r="A26740" s="2" t="str">
        <f t="shared" si="947"/>
        <v>39100</v>
      </c>
      <c r="B26740" s="2" t="str">
        <f>"12575"</f>
        <v>12575</v>
      </c>
      <c r="C26740" s="1">
        <v>2.9902402351554701E-3</v>
      </c>
      <c r="D26740" s="1">
        <v>1.92457034811088E-3</v>
      </c>
      <c r="E26740" s="1">
        <v>4.1721301704613099E-4</v>
      </c>
      <c r="F26740" s="1">
        <v>2.7715261539001802E-3</v>
      </c>
    </row>
    <row r="26741" spans="1:6" x14ac:dyDescent="0.25">
      <c r="A26741" s="2" t="str">
        <f t="shared" si="947"/>
        <v>39100</v>
      </c>
      <c r="B26741" s="2" t="str">
        <f>"12566"</f>
        <v>12566</v>
      </c>
      <c r="C26741" s="1">
        <v>5.8721138932724603E-3</v>
      </c>
      <c r="D26741" s="1">
        <v>3.7816119120775201E-3</v>
      </c>
      <c r="E26741" s="1">
        <v>2.5628799618547999E-3</v>
      </c>
      <c r="F26741" s="1">
        <v>5.5284191179698402E-3</v>
      </c>
    </row>
    <row r="26742" spans="1:6" x14ac:dyDescent="0.25">
      <c r="A26742" s="2" t="str">
        <f t="shared" si="947"/>
        <v>39100</v>
      </c>
      <c r="B26742" s="2" t="str">
        <f>"12552"</f>
        <v>12552</v>
      </c>
      <c r="C26742" s="1">
        <v>1.8760963649786301E-3</v>
      </c>
      <c r="D26742" s="1">
        <v>4.1192558327987298E-3</v>
      </c>
      <c r="E26742" s="1">
        <v>1.19203719156037E-4</v>
      </c>
      <c r="F26742" s="1">
        <v>1.9842605410182899E-3</v>
      </c>
    </row>
    <row r="26743" spans="1:6" x14ac:dyDescent="0.25">
      <c r="A26743" s="2" t="str">
        <f t="shared" si="947"/>
        <v>39100</v>
      </c>
      <c r="B26743" s="2" t="str">
        <f>"12551"</f>
        <v>12551</v>
      </c>
      <c r="C26743" s="1">
        <v>3.9181290510474304E-3</v>
      </c>
      <c r="D26743" s="1">
        <v>8.1034540973089694E-3</v>
      </c>
      <c r="E26743" s="1">
        <v>1.19203719156037E-4</v>
      </c>
      <c r="F26743" s="1">
        <v>4.0943665145790403E-3</v>
      </c>
    </row>
    <row r="26744" spans="1:6" x14ac:dyDescent="0.25">
      <c r="A26744" s="2" t="str">
        <f t="shared" si="947"/>
        <v>39100</v>
      </c>
      <c r="B26744" s="2" t="str">
        <f>"12603"</f>
        <v>12603</v>
      </c>
      <c r="C26744" s="1">
        <v>6.06277133974953E-2</v>
      </c>
      <c r="D26744" s="1">
        <v>5.2436100888003503E-2</v>
      </c>
      <c r="E26744" s="1">
        <v>4.80987006794611E-2</v>
      </c>
      <c r="F26744" s="1">
        <v>5.9302465107158801E-2</v>
      </c>
    </row>
    <row r="26745" spans="1:6" x14ac:dyDescent="0.25">
      <c r="A26745" s="2" t="str">
        <f t="shared" si="947"/>
        <v>39100</v>
      </c>
      <c r="B26745" s="2" t="str">
        <f>"10919"</f>
        <v>10919</v>
      </c>
      <c r="C26745" s="1">
        <v>2.2384471069510298E-3</v>
      </c>
      <c r="D26745" s="1">
        <v>2.1946854846878398E-3</v>
      </c>
      <c r="E26745" s="1">
        <v>3.5761115746811301E-4</v>
      </c>
      <c r="F26745" s="1">
        <v>2.14229899118789E-3</v>
      </c>
    </row>
    <row r="26746" spans="1:6" x14ac:dyDescent="0.25">
      <c r="A26746" s="2" t="str">
        <f t="shared" si="947"/>
        <v>39100</v>
      </c>
      <c r="B26746" s="2" t="str">
        <f>"10918"</f>
        <v>10918</v>
      </c>
      <c r="C26746" s="1">
        <v>1.6695225774990299E-2</v>
      </c>
      <c r="D26746" s="1">
        <v>1.8165242934800901E-2</v>
      </c>
      <c r="E26746" s="1">
        <v>5.2449636428656497E-3</v>
      </c>
      <c r="F26746" s="1">
        <v>1.6260400539671999E-2</v>
      </c>
    </row>
    <row r="26747" spans="1:6" x14ac:dyDescent="0.25">
      <c r="A26747" s="2" t="str">
        <f t="shared" ref="A26747:A26778" si="948">"39100"</f>
        <v>39100</v>
      </c>
      <c r="B26747" s="2" t="str">
        <f>"10998"</f>
        <v>10998</v>
      </c>
      <c r="C26747" s="1">
        <v>4.1619538493840001E-3</v>
      </c>
      <c r="D26747" s="1">
        <v>9.7916737009150104E-4</v>
      </c>
      <c r="E26747" s="1">
        <v>1.0728334724043301E-3</v>
      </c>
      <c r="F26747" s="1">
        <v>3.7343900447482899E-3</v>
      </c>
    </row>
    <row r="26748" spans="1:6" x14ac:dyDescent="0.25">
      <c r="A26748" s="2" t="str">
        <f t="shared" si="948"/>
        <v>39100</v>
      </c>
      <c r="B26748" s="2" t="str">
        <f>"10988"</f>
        <v>10988</v>
      </c>
      <c r="C26748" s="1">
        <v>6.7390465095802795E-4</v>
      </c>
      <c r="D26748" s="1">
        <v>6.7528784144241401E-4</v>
      </c>
      <c r="E26748" s="1">
        <v>1.7880557873405599E-4</v>
      </c>
      <c r="F26748" s="1">
        <v>6.4971362847501596E-4</v>
      </c>
    </row>
    <row r="26749" spans="1:6" x14ac:dyDescent="0.25">
      <c r="A26749" s="2" t="str">
        <f t="shared" si="948"/>
        <v>39100</v>
      </c>
      <c r="B26749" s="2" t="str">
        <f>"10992"</f>
        <v>10992</v>
      </c>
      <c r="C26749" s="1">
        <v>1.49376553536475E-2</v>
      </c>
      <c r="D26749" s="1">
        <v>1.3809636357497299E-2</v>
      </c>
      <c r="E26749" s="1">
        <v>1.1443557038979601E-2</v>
      </c>
      <c r="F26749" s="1">
        <v>1.46683094861116E-2</v>
      </c>
    </row>
    <row r="26750" spans="1:6" x14ac:dyDescent="0.25">
      <c r="A26750" s="2" t="str">
        <f t="shared" si="948"/>
        <v>39100</v>
      </c>
      <c r="B26750" s="2" t="str">
        <f>"10941"</f>
        <v>10941</v>
      </c>
      <c r="C26750" s="1">
        <v>2.0806382791387499E-2</v>
      </c>
      <c r="D26750" s="1">
        <v>2.5255765269946301E-2</v>
      </c>
      <c r="E26750" s="1">
        <v>9.8939086899511204E-3</v>
      </c>
      <c r="F26750" s="1">
        <v>2.0656210764759701E-2</v>
      </c>
    </row>
    <row r="26751" spans="1:6" x14ac:dyDescent="0.25">
      <c r="A26751" s="2" t="str">
        <f t="shared" si="948"/>
        <v>39100</v>
      </c>
      <c r="B26751" s="2" t="str">
        <f>"10930"</f>
        <v>10930</v>
      </c>
      <c r="C26751" s="1">
        <v>1.26687301469044E-2</v>
      </c>
      <c r="D26751" s="1">
        <v>5.6048890839720403E-3</v>
      </c>
      <c r="E26751" s="1">
        <v>3.7549171534151798E-3</v>
      </c>
      <c r="F26751" s="1">
        <v>1.16187527254316E-2</v>
      </c>
    </row>
    <row r="26752" spans="1:6" x14ac:dyDescent="0.25">
      <c r="A26752" s="2" t="str">
        <f t="shared" si="948"/>
        <v>39100</v>
      </c>
      <c r="B26752" s="2" t="str">
        <f>"12589"</f>
        <v>12589</v>
      </c>
      <c r="C26752" s="1">
        <v>4.33127662600662E-3</v>
      </c>
      <c r="D26752" s="1">
        <v>3.7140831279332801E-4</v>
      </c>
      <c r="E26752" s="1">
        <v>5.9601859578018801E-4</v>
      </c>
      <c r="F26752" s="1">
        <v>3.8046293559347798E-3</v>
      </c>
    </row>
    <row r="26753" spans="1:6" x14ac:dyDescent="0.25">
      <c r="A26753" s="2" t="str">
        <f t="shared" si="948"/>
        <v>39100</v>
      </c>
      <c r="B26753" s="2" t="str">
        <f>"12581"</f>
        <v>12581</v>
      </c>
      <c r="C26753" s="1">
        <v>3.74541981889235E-3</v>
      </c>
      <c r="D26753" s="1">
        <v>1.8570415639666399E-3</v>
      </c>
      <c r="E26753" s="1">
        <v>1.9668613660746201E-3</v>
      </c>
      <c r="F26753" s="1">
        <v>3.4944057315277901E-3</v>
      </c>
    </row>
    <row r="26754" spans="1:6" x14ac:dyDescent="0.25">
      <c r="A26754" s="2" t="str">
        <f t="shared" si="948"/>
        <v>39100</v>
      </c>
      <c r="B26754" s="2" t="str">
        <f>"12540"</f>
        <v>12540</v>
      </c>
      <c r="C26754" s="1">
        <v>1.0694426571484599E-2</v>
      </c>
      <c r="D26754" s="1">
        <v>1.2762940203261601E-2</v>
      </c>
      <c r="E26754" s="1">
        <v>5.4237692215997101E-3</v>
      </c>
      <c r="F26754" s="1">
        <v>1.0614915903058001E-2</v>
      </c>
    </row>
    <row r="26755" spans="1:6" x14ac:dyDescent="0.25">
      <c r="A26755" s="2" t="str">
        <f t="shared" si="948"/>
        <v>39100</v>
      </c>
      <c r="B26755" s="2" t="str">
        <f>"12754"</f>
        <v>12754</v>
      </c>
      <c r="C26755" s="1">
        <v>2.70916442596192E-5</v>
      </c>
      <c r="D26755" s="1">
        <v>0</v>
      </c>
      <c r="E26755" s="1">
        <v>0</v>
      </c>
      <c r="F26755" s="1">
        <v>2.3413103728829401E-5</v>
      </c>
    </row>
    <row r="26756" spans="1:6" x14ac:dyDescent="0.25">
      <c r="A26756" s="2" t="str">
        <f t="shared" si="948"/>
        <v>39100</v>
      </c>
      <c r="B26756" s="2" t="str">
        <f>"12527"</f>
        <v>12527</v>
      </c>
      <c r="C26756" s="1">
        <v>2.5262958272094902E-3</v>
      </c>
      <c r="D26756" s="1">
        <v>2.0596279163993601E-3</v>
      </c>
      <c r="E26756" s="1">
        <v>1.19203719156037E-4</v>
      </c>
      <c r="F26756" s="1">
        <v>2.36765011457787E-3</v>
      </c>
    </row>
    <row r="26757" spans="1:6" x14ac:dyDescent="0.25">
      <c r="A26757" s="2" t="str">
        <f t="shared" si="948"/>
        <v>39100</v>
      </c>
      <c r="B26757" s="2" t="str">
        <f>"12510"</f>
        <v>12510</v>
      </c>
      <c r="C26757" s="1">
        <v>0</v>
      </c>
      <c r="D26757" s="1">
        <v>0</v>
      </c>
      <c r="E26757" s="1">
        <v>5.9601859578018797E-5</v>
      </c>
      <c r="F26757" s="1">
        <v>2.92663796610367E-6</v>
      </c>
    </row>
    <row r="26758" spans="1:6" x14ac:dyDescent="0.25">
      <c r="A26758" s="2" t="str">
        <f t="shared" si="948"/>
        <v>39100</v>
      </c>
      <c r="B26758" s="2" t="str">
        <f>"12721"</f>
        <v>12721</v>
      </c>
      <c r="C26758" s="1">
        <v>1.85577763178391E-3</v>
      </c>
      <c r="D26758" s="1">
        <v>7.7658101765877704E-4</v>
      </c>
      <c r="E26758" s="1">
        <v>3.5761115746811301E-4</v>
      </c>
      <c r="F26758" s="1">
        <v>1.68867010644182E-3</v>
      </c>
    </row>
    <row r="26759" spans="1:6" x14ac:dyDescent="0.25">
      <c r="A26759" s="2" t="str">
        <f t="shared" si="948"/>
        <v>39100</v>
      </c>
      <c r="B26759" s="2" t="str">
        <f>"12506"</f>
        <v>12506</v>
      </c>
      <c r="C26759" s="1">
        <v>0</v>
      </c>
      <c r="D26759" s="1">
        <v>0</v>
      </c>
      <c r="E26759" s="1">
        <v>5.9601859578018797E-5</v>
      </c>
      <c r="F26759" s="1">
        <v>2.92663796610367E-6</v>
      </c>
    </row>
    <row r="26760" spans="1:6" x14ac:dyDescent="0.25">
      <c r="A26760" s="2" t="str">
        <f t="shared" si="948"/>
        <v>39100</v>
      </c>
      <c r="B26760" s="2" t="str">
        <f>"12501"</f>
        <v>12501</v>
      </c>
      <c r="C26760" s="1">
        <v>2.8954194802468E-3</v>
      </c>
      <c r="D26760" s="1">
        <v>1.65445521153391E-3</v>
      </c>
      <c r="E26760" s="1">
        <v>1.6092502086064999E-3</v>
      </c>
      <c r="F26760" s="1">
        <v>2.72469994644252E-3</v>
      </c>
    </row>
    <row r="26761" spans="1:6" x14ac:dyDescent="0.25">
      <c r="A26761" s="2" t="str">
        <f t="shared" si="948"/>
        <v>39100</v>
      </c>
      <c r="B26761" s="2" t="str">
        <f>"10914"</f>
        <v>10914</v>
      </c>
      <c r="C26761" s="1">
        <v>5.5876516285464602E-4</v>
      </c>
      <c r="D26761" s="1">
        <v>0</v>
      </c>
      <c r="E26761" s="1">
        <v>5.9601859578018797E-5</v>
      </c>
      <c r="F26761" s="1">
        <v>4.8582190237321E-4</v>
      </c>
    </row>
    <row r="26762" spans="1:6" x14ac:dyDescent="0.25">
      <c r="A26762" s="2" t="str">
        <f t="shared" si="948"/>
        <v>39100</v>
      </c>
      <c r="B26762" s="2" t="str">
        <f>"10916"</f>
        <v>10916</v>
      </c>
      <c r="C26762" s="1">
        <v>5.4081694853264804E-3</v>
      </c>
      <c r="D26762" s="1">
        <v>3.0050308944187401E-3</v>
      </c>
      <c r="E26762" s="1">
        <v>6.4966026940040502E-3</v>
      </c>
      <c r="F26762" s="1">
        <v>5.2533151491561004E-3</v>
      </c>
    </row>
    <row r="26763" spans="1:6" x14ac:dyDescent="0.25">
      <c r="A26763" s="2" t="str">
        <f t="shared" si="948"/>
        <v>39100</v>
      </c>
      <c r="B26763" s="2" t="str">
        <f>"10969"</f>
        <v>10969</v>
      </c>
      <c r="C26763" s="1">
        <v>1.5713153670579101E-3</v>
      </c>
      <c r="D26763" s="1">
        <v>2.6336225816254101E-3</v>
      </c>
      <c r="E26763" s="1">
        <v>1.37084277029443E-3</v>
      </c>
      <c r="F26763" s="1">
        <v>1.65355045084857E-3</v>
      </c>
    </row>
    <row r="26764" spans="1:6" x14ac:dyDescent="0.25">
      <c r="A26764" s="2" t="str">
        <f t="shared" si="948"/>
        <v>39100</v>
      </c>
      <c r="B26764" s="2" t="str">
        <f>"10922"</f>
        <v>10922</v>
      </c>
      <c r="C26764" s="1">
        <v>2.9800808685581101E-4</v>
      </c>
      <c r="D26764" s="1">
        <v>2.02586352432724E-4</v>
      </c>
      <c r="E26764" s="1">
        <v>1.19203719156037E-4</v>
      </c>
      <c r="F26764" s="1">
        <v>2.8095724474595302E-4</v>
      </c>
    </row>
    <row r="26765" spans="1:6" x14ac:dyDescent="0.25">
      <c r="A26765" s="2" t="str">
        <f t="shared" si="948"/>
        <v>39100</v>
      </c>
      <c r="B26765" s="2" t="str">
        <f>"10949"</f>
        <v>10949</v>
      </c>
      <c r="C26765" s="1">
        <v>5.46912568491063E-3</v>
      </c>
      <c r="D26765" s="1">
        <v>1.2188945538035499E-2</v>
      </c>
      <c r="E26765" s="1">
        <v>1.19203719156037E-4</v>
      </c>
      <c r="F26765" s="1">
        <v>5.7888898969530702E-3</v>
      </c>
    </row>
    <row r="26766" spans="1:6" x14ac:dyDescent="0.25">
      <c r="A26766" s="2" t="str">
        <f t="shared" si="948"/>
        <v>39100</v>
      </c>
      <c r="B26766" s="2" t="str">
        <f>"10950"</f>
        <v>10950</v>
      </c>
      <c r="C26766" s="1">
        <v>5.8304604902233E-2</v>
      </c>
      <c r="D26766" s="1">
        <v>3.7546003984198197E-2</v>
      </c>
      <c r="E26766" s="1">
        <v>9.5601382763142201E-2</v>
      </c>
      <c r="F26766" s="1">
        <v>5.8336674578344599E-2</v>
      </c>
    </row>
    <row r="26767" spans="1:6" x14ac:dyDescent="0.25">
      <c r="A26767" s="2" t="str">
        <f t="shared" si="948"/>
        <v>39100</v>
      </c>
      <c r="B26767" s="2" t="str">
        <f>"12512"</f>
        <v>12512</v>
      </c>
      <c r="C26767" s="1">
        <v>6.7729110649048001E-6</v>
      </c>
      <c r="D26767" s="1">
        <v>0</v>
      </c>
      <c r="E26767" s="1">
        <v>5.9601859578018797E-5</v>
      </c>
      <c r="F26767" s="1">
        <v>8.7799138983110303E-6</v>
      </c>
    </row>
    <row r="26768" spans="1:6" x14ac:dyDescent="0.25">
      <c r="A26768" s="2" t="str">
        <f t="shared" si="948"/>
        <v>39100</v>
      </c>
      <c r="B26768" s="2" t="str">
        <f>"12514"</f>
        <v>12514</v>
      </c>
      <c r="C26768" s="1">
        <v>4.5243045913564098E-3</v>
      </c>
      <c r="D26768" s="1">
        <v>5.7399466522605196E-4</v>
      </c>
      <c r="E26768" s="1">
        <v>8.9402789367028202E-4</v>
      </c>
      <c r="F26768" s="1">
        <v>4.0036407376298298E-3</v>
      </c>
    </row>
    <row r="26769" spans="1:6" x14ac:dyDescent="0.25">
      <c r="A26769" s="2" t="str">
        <f t="shared" si="948"/>
        <v>39100</v>
      </c>
      <c r="B26769" s="2" t="str">
        <f>"12592"</f>
        <v>12592</v>
      </c>
      <c r="C26769" s="1">
        <v>1.86932345391372E-3</v>
      </c>
      <c r="D26769" s="1">
        <v>9.1163858594725999E-4</v>
      </c>
      <c r="E26769" s="1">
        <v>1.0132316128263199E-3</v>
      </c>
      <c r="F26769" s="1">
        <v>1.7442762277977901E-3</v>
      </c>
    </row>
    <row r="26770" spans="1:6" x14ac:dyDescent="0.25">
      <c r="A26770" s="2" t="str">
        <f t="shared" si="948"/>
        <v>39100</v>
      </c>
      <c r="B26770" s="2" t="str">
        <f>"12594"</f>
        <v>12594</v>
      </c>
      <c r="C26770" s="1">
        <v>5.1541853203925497E-3</v>
      </c>
      <c r="D26770" s="1">
        <v>2.0596279163993601E-3</v>
      </c>
      <c r="E26770" s="1">
        <v>2.5032781022767902E-3</v>
      </c>
      <c r="F26770" s="1">
        <v>4.7557866949184697E-3</v>
      </c>
    </row>
    <row r="26771" spans="1:6" x14ac:dyDescent="0.25">
      <c r="A26771" s="2" t="str">
        <f t="shared" si="948"/>
        <v>39100</v>
      </c>
      <c r="B26771" s="2" t="str">
        <f>"10981"</f>
        <v>10981</v>
      </c>
      <c r="C26771" s="1">
        <v>1.52051853407112E-3</v>
      </c>
      <c r="D26771" s="1">
        <v>2.9375021102744999E-3</v>
      </c>
      <c r="E26771" s="1">
        <v>1.19203719156037E-4</v>
      </c>
      <c r="F26771" s="1">
        <v>1.57453122576377E-3</v>
      </c>
    </row>
    <row r="26772" spans="1:6" x14ac:dyDescent="0.25">
      <c r="A26772" s="2" t="str">
        <f t="shared" si="948"/>
        <v>39100</v>
      </c>
      <c r="B26772" s="2" t="str">
        <f>"10973"</f>
        <v>10973</v>
      </c>
      <c r="C26772" s="1">
        <v>3.8741051291255402E-3</v>
      </c>
      <c r="D26772" s="1">
        <v>3.9166694803659998E-3</v>
      </c>
      <c r="E26772" s="1">
        <v>1.37084277029443E-3</v>
      </c>
      <c r="F26772" s="1">
        <v>3.75487651051102E-3</v>
      </c>
    </row>
    <row r="26773" spans="1:6" x14ac:dyDescent="0.25">
      <c r="A26773" s="2" t="str">
        <f t="shared" si="948"/>
        <v>39100</v>
      </c>
      <c r="B26773" s="2" t="str">
        <f>"10925"</f>
        <v>10925</v>
      </c>
      <c r="C26773" s="1">
        <v>1.20964191619199E-2</v>
      </c>
      <c r="D26773" s="1">
        <v>5.4023027315393104E-3</v>
      </c>
      <c r="E26773" s="1">
        <v>2.44367624269877E-3</v>
      </c>
      <c r="F26773" s="1">
        <v>1.10422050461091E-2</v>
      </c>
    </row>
    <row r="26774" spans="1:6" x14ac:dyDescent="0.25">
      <c r="A26774" s="2" t="str">
        <f t="shared" si="948"/>
        <v>39100</v>
      </c>
      <c r="B26774" s="2" t="str">
        <f>"10924"</f>
        <v>10924</v>
      </c>
      <c r="C26774" s="1">
        <v>1.9072517558771901E-2</v>
      </c>
      <c r="D26774" s="1">
        <v>3.8322585001857E-2</v>
      </c>
      <c r="E26774" s="1">
        <v>2.13374657289307E-2</v>
      </c>
      <c r="F26774" s="1">
        <v>2.0852295508488699E-2</v>
      </c>
    </row>
    <row r="26775" spans="1:6" x14ac:dyDescent="0.25">
      <c r="A26775" s="2" t="str">
        <f t="shared" si="948"/>
        <v>39100</v>
      </c>
      <c r="B26775" s="2" t="str">
        <f>"12584"</f>
        <v>12584</v>
      </c>
      <c r="C26775" s="1">
        <v>1.9641442088223901E-3</v>
      </c>
      <c r="D26775" s="1">
        <v>4.7945436742411404E-3</v>
      </c>
      <c r="E26775" s="1">
        <v>1.19203719156037E-4</v>
      </c>
      <c r="F26775" s="1">
        <v>2.1188858874590598E-3</v>
      </c>
    </row>
    <row r="26776" spans="1:6" x14ac:dyDescent="0.25">
      <c r="A26776" s="2" t="str">
        <f t="shared" si="948"/>
        <v>39100</v>
      </c>
      <c r="B26776" s="2" t="str">
        <f>"12545"</f>
        <v>12545</v>
      </c>
      <c r="C26776" s="1">
        <v>1.0149207230759801E-2</v>
      </c>
      <c r="D26776" s="1">
        <v>1.17162440490258E-2</v>
      </c>
      <c r="E26776" s="1">
        <v>1.2516390511383899E-2</v>
      </c>
      <c r="F26776" s="1">
        <v>1.0401271331532401E-2</v>
      </c>
    </row>
    <row r="26777" spans="1:6" x14ac:dyDescent="0.25">
      <c r="A26777" s="2" t="str">
        <f t="shared" si="948"/>
        <v>39100</v>
      </c>
      <c r="B26777" s="2" t="str">
        <f>"12543"</f>
        <v>12543</v>
      </c>
      <c r="C26777" s="1">
        <v>4.6089659796677198E-3</v>
      </c>
      <c r="D26777" s="1">
        <v>1.8570415639666399E-3</v>
      </c>
      <c r="E26777" s="1">
        <v>7.5098343068303701E-3</v>
      </c>
      <c r="F26777" s="1">
        <v>4.5128757437318699E-3</v>
      </c>
    </row>
    <row r="26778" spans="1:6" x14ac:dyDescent="0.25">
      <c r="A26778" s="2" t="str">
        <f t="shared" si="948"/>
        <v>39100</v>
      </c>
      <c r="B26778" s="2" t="str">
        <f>"12785"</f>
        <v>12785</v>
      </c>
      <c r="C26778" s="1">
        <v>5.1135478540031195E-4</v>
      </c>
      <c r="D26778" s="1">
        <v>3.3764392072120698E-5</v>
      </c>
      <c r="E26778" s="1">
        <v>5.9601859578018797E-5</v>
      </c>
      <c r="F26778" s="1">
        <v>4.4777560881386198E-4</v>
      </c>
    </row>
    <row r="26779" spans="1:6" x14ac:dyDescent="0.25">
      <c r="A26779" s="2" t="str">
        <f t="shared" ref="A26779:A26814" si="949">"39100"</f>
        <v>39100</v>
      </c>
      <c r="B26779" s="2" t="str">
        <f>"12746"</f>
        <v>12746</v>
      </c>
      <c r="C26779" s="1">
        <v>1.4527894234220801E-3</v>
      </c>
      <c r="D26779" s="1">
        <v>3.03879528649086E-4</v>
      </c>
      <c r="E26779" s="1">
        <v>2.9800929789009401E-4</v>
      </c>
      <c r="F26779" s="1">
        <v>1.29650061898392E-3</v>
      </c>
    </row>
    <row r="26780" spans="1:6" x14ac:dyDescent="0.25">
      <c r="A26780" s="2" t="str">
        <f t="shared" si="949"/>
        <v>39100</v>
      </c>
      <c r="B26780" s="2" t="str">
        <f>"12511"</f>
        <v>12511</v>
      </c>
      <c r="C26780" s="1">
        <v>0</v>
      </c>
      <c r="D26780" s="1">
        <v>0</v>
      </c>
      <c r="E26780" s="1">
        <v>5.9601859578018797E-5</v>
      </c>
      <c r="F26780" s="1">
        <v>2.92663796610367E-6</v>
      </c>
    </row>
    <row r="26781" spans="1:6" x14ac:dyDescent="0.25">
      <c r="A26781" s="2" t="str">
        <f t="shared" si="949"/>
        <v>39100</v>
      </c>
      <c r="B26781" s="2" t="str">
        <f>"12522"</f>
        <v>12522</v>
      </c>
      <c r="C26781" s="1">
        <v>7.4468157158628298E-3</v>
      </c>
      <c r="D26781" s="1">
        <v>2.5998581895532902E-3</v>
      </c>
      <c r="E26781" s="1">
        <v>2.5628799618547999E-3</v>
      </c>
      <c r="F26781" s="1">
        <v>6.7868734433944302E-3</v>
      </c>
    </row>
    <row r="26782" spans="1:6" x14ac:dyDescent="0.25">
      <c r="A26782" s="2" t="str">
        <f t="shared" si="949"/>
        <v>39100</v>
      </c>
      <c r="B26782" s="2" t="str">
        <f>"12538"</f>
        <v>12538</v>
      </c>
      <c r="C26782" s="1">
        <v>2.2553793846133E-2</v>
      </c>
      <c r="D26782" s="1">
        <v>1.8705473207954799E-2</v>
      </c>
      <c r="E26782" s="1">
        <v>1.6509715103111201E-2</v>
      </c>
      <c r="F26782" s="1">
        <v>2.1923445004082599E-2</v>
      </c>
    </row>
    <row r="26783" spans="1:6" x14ac:dyDescent="0.25">
      <c r="A26783" s="2" t="str">
        <f t="shared" si="949"/>
        <v>39100</v>
      </c>
      <c r="B26783" s="2" t="str">
        <f>"12601"</f>
        <v>12601</v>
      </c>
      <c r="C26783" s="1">
        <v>6.3800822231403195E-2</v>
      </c>
      <c r="D26783" s="1">
        <v>9.1197622986798094E-2</v>
      </c>
      <c r="E26783" s="1">
        <v>0.142686851829777</v>
      </c>
      <c r="F26783" s="1">
        <v>7.0049079718691495E-2</v>
      </c>
    </row>
    <row r="26784" spans="1:6" x14ac:dyDescent="0.25">
      <c r="A26784" s="2" t="str">
        <f t="shared" si="949"/>
        <v>39100</v>
      </c>
      <c r="B26784" s="2" t="str">
        <f>"12507"</f>
        <v>12507</v>
      </c>
      <c r="C26784" s="1">
        <v>2.2011960960940599E-4</v>
      </c>
      <c r="D26784" s="1">
        <v>1.6882196036060299E-4</v>
      </c>
      <c r="E26784" s="1">
        <v>5.9601859578018797E-5</v>
      </c>
      <c r="F26784" s="1">
        <v>2.0779129559336099E-4</v>
      </c>
    </row>
    <row r="26785" spans="1:6" x14ac:dyDescent="0.25">
      <c r="A26785" s="2" t="str">
        <f t="shared" si="949"/>
        <v>39100</v>
      </c>
      <c r="B26785" s="2" t="str">
        <f>"10953"</f>
        <v>10953</v>
      </c>
      <c r="C26785" s="1">
        <v>3.3864555324524E-6</v>
      </c>
      <c r="D26785" s="1">
        <v>0</v>
      </c>
      <c r="E26785" s="1">
        <v>5.9601859578018797E-5</v>
      </c>
      <c r="F26785" s="1">
        <v>5.8532759322073501E-6</v>
      </c>
    </row>
    <row r="26786" spans="1:6" x14ac:dyDescent="0.25">
      <c r="A26786" s="2" t="str">
        <f t="shared" si="949"/>
        <v>39100</v>
      </c>
      <c r="B26786" s="2" t="str">
        <f>"10959"</f>
        <v>10959</v>
      </c>
      <c r="C26786" s="1">
        <v>0</v>
      </c>
      <c r="D26786" s="1">
        <v>0</v>
      </c>
      <c r="E26786" s="1">
        <v>5.9601859578018797E-5</v>
      </c>
      <c r="F26786" s="1">
        <v>2.92663796610367E-6</v>
      </c>
    </row>
    <row r="26787" spans="1:6" x14ac:dyDescent="0.25">
      <c r="A26787" s="2" t="str">
        <f t="shared" si="949"/>
        <v>39100</v>
      </c>
      <c r="B26787" s="2" t="str">
        <f>"10963"</f>
        <v>10963</v>
      </c>
      <c r="C26787" s="1">
        <v>3.19004111157016E-3</v>
      </c>
      <c r="D26787" s="1">
        <v>1.45186885910119E-3</v>
      </c>
      <c r="E26787" s="1">
        <v>1.0728334724043301E-3</v>
      </c>
      <c r="F26787" s="1">
        <v>2.9354178800019902E-3</v>
      </c>
    </row>
    <row r="26788" spans="1:6" x14ac:dyDescent="0.25">
      <c r="A26788" s="2" t="str">
        <f t="shared" si="949"/>
        <v>39100</v>
      </c>
      <c r="B26788" s="2" t="str">
        <f>"10958"</f>
        <v>10958</v>
      </c>
      <c r="C26788" s="1">
        <v>6.0888470473494201E-3</v>
      </c>
      <c r="D26788" s="1">
        <v>6.4827632778471801E-3</v>
      </c>
      <c r="E26788" s="1">
        <v>1.54964834902848E-3</v>
      </c>
      <c r="F26788" s="1">
        <v>5.9001021396650104E-3</v>
      </c>
    </row>
    <row r="26789" spans="1:6" x14ac:dyDescent="0.25">
      <c r="A26789" s="2" t="str">
        <f t="shared" si="949"/>
        <v>39100</v>
      </c>
      <c r="B26789" s="2" t="str">
        <f>"10985"</f>
        <v>10985</v>
      </c>
      <c r="C26789" s="1">
        <v>2.5398416493393003E-4</v>
      </c>
      <c r="D26789" s="1">
        <v>0</v>
      </c>
      <c r="E26789" s="1">
        <v>5.9601859578018797E-5</v>
      </c>
      <c r="F26789" s="1">
        <v>2.22424485423879E-4</v>
      </c>
    </row>
    <row r="26790" spans="1:6" x14ac:dyDescent="0.25">
      <c r="A26790" s="2" t="str">
        <f t="shared" si="949"/>
        <v>39100</v>
      </c>
      <c r="B26790" s="2" t="str">
        <f>"10990"</f>
        <v>10990</v>
      </c>
      <c r="C26790" s="1">
        <v>3.00480199394501E-2</v>
      </c>
      <c r="D26790" s="1">
        <v>2.8699733261302599E-2</v>
      </c>
      <c r="E26790" s="1">
        <v>1.49600667540827E-2</v>
      </c>
      <c r="F26790" s="1">
        <v>2.9190287073917999E-2</v>
      </c>
    </row>
    <row r="26791" spans="1:6" x14ac:dyDescent="0.25">
      <c r="A26791" s="2" t="str">
        <f t="shared" si="949"/>
        <v>39100</v>
      </c>
      <c r="B26791" s="2" t="str">
        <f>"10987"</f>
        <v>10987</v>
      </c>
      <c r="C26791" s="1">
        <v>8.0258996119121906E-3</v>
      </c>
      <c r="D26791" s="1">
        <v>5.5035959077556797E-3</v>
      </c>
      <c r="E26791" s="1">
        <v>2.5032781022767902E-3</v>
      </c>
      <c r="F26791" s="1">
        <v>7.5360927627169698E-3</v>
      </c>
    </row>
    <row r="26792" spans="1:6" x14ac:dyDescent="0.25">
      <c r="A26792" s="2" t="str">
        <f t="shared" si="949"/>
        <v>39100</v>
      </c>
      <c r="B26792" s="2" t="str">
        <f>"10996"</f>
        <v>10996</v>
      </c>
      <c r="C26792" s="1">
        <v>3.3695232547901401E-3</v>
      </c>
      <c r="D26792" s="1">
        <v>5.6724178681162802E-3</v>
      </c>
      <c r="E26792" s="1">
        <v>1.50792704732387E-2</v>
      </c>
      <c r="F26792" s="1">
        <v>4.1441193600028001E-3</v>
      </c>
    </row>
    <row r="26793" spans="1:6" x14ac:dyDescent="0.25">
      <c r="A26793" s="2" t="str">
        <f t="shared" si="949"/>
        <v>39100</v>
      </c>
      <c r="B26793" s="2" t="str">
        <f>"10921"</f>
        <v>10921</v>
      </c>
      <c r="C26793" s="1">
        <v>7.0506004185658996E-3</v>
      </c>
      <c r="D26793" s="1">
        <v>1.30330553398386E-2</v>
      </c>
      <c r="E26793" s="1">
        <v>6.9734175706282001E-3</v>
      </c>
      <c r="F26793" s="1">
        <v>7.5653591423780102E-3</v>
      </c>
    </row>
    <row r="26794" spans="1:6" x14ac:dyDescent="0.25">
      <c r="A26794" s="2" t="str">
        <f t="shared" si="949"/>
        <v>39100</v>
      </c>
      <c r="B26794" s="2" t="str">
        <f>"10926"</f>
        <v>10926</v>
      </c>
      <c r="C26794" s="1">
        <v>7.7177321584590199E-3</v>
      </c>
      <c r="D26794" s="1">
        <v>1.09396630313671E-2</v>
      </c>
      <c r="E26794" s="1">
        <v>7.1522231493622596E-3</v>
      </c>
      <c r="F26794" s="1">
        <v>7.9692351817003092E-3</v>
      </c>
    </row>
    <row r="26795" spans="1:6" x14ac:dyDescent="0.25">
      <c r="A26795" s="2" t="str">
        <f t="shared" si="949"/>
        <v>39100</v>
      </c>
      <c r="B26795" s="2" t="str">
        <f>"12574"</f>
        <v>12574</v>
      </c>
      <c r="C26795" s="1">
        <v>0</v>
      </c>
      <c r="D26795" s="1">
        <v>0</v>
      </c>
      <c r="E26795" s="1">
        <v>5.9601859578018797E-5</v>
      </c>
      <c r="F26795" s="1">
        <v>2.92663796610367E-6</v>
      </c>
    </row>
    <row r="26796" spans="1:6" x14ac:dyDescent="0.25">
      <c r="A26796" s="2" t="str">
        <f t="shared" si="949"/>
        <v>39100</v>
      </c>
      <c r="B26796" s="2" t="str">
        <f>"12578"</f>
        <v>12578</v>
      </c>
      <c r="C26796" s="1">
        <v>3.21713275582978E-3</v>
      </c>
      <c r="D26796" s="1">
        <v>1.7895127798223901E-3</v>
      </c>
      <c r="E26796" s="1">
        <v>4.7681487662415E-4</v>
      </c>
      <c r="F26796" s="1">
        <v>2.9588309837308099E-3</v>
      </c>
    </row>
    <row r="26797" spans="1:6" x14ac:dyDescent="0.25">
      <c r="A26797" s="2" t="str">
        <f t="shared" si="949"/>
        <v>39100</v>
      </c>
      <c r="B26797" s="2" t="str">
        <f>"12572"</f>
        <v>12572</v>
      </c>
      <c r="C26797" s="1">
        <v>1.7565544846830601E-2</v>
      </c>
      <c r="D26797" s="1">
        <v>2.5053178917513502E-2</v>
      </c>
      <c r="E26797" s="1">
        <v>1.6628918822267202E-2</v>
      </c>
      <c r="F26797" s="1">
        <v>1.81685684935716E-2</v>
      </c>
    </row>
    <row r="26798" spans="1:6" x14ac:dyDescent="0.25">
      <c r="A26798" s="2" t="str">
        <f t="shared" si="949"/>
        <v>39100</v>
      </c>
      <c r="B26798" s="2" t="str">
        <f>"12553"</f>
        <v>12553</v>
      </c>
      <c r="C26798" s="1">
        <v>3.8608979525489799E-2</v>
      </c>
      <c r="D26798" s="1">
        <v>3.8829050882938802E-2</v>
      </c>
      <c r="E26798" s="1">
        <v>2.6522827512218301E-2</v>
      </c>
      <c r="F26798" s="1">
        <v>3.8034587007483397E-2</v>
      </c>
    </row>
    <row r="26799" spans="1:6" x14ac:dyDescent="0.25">
      <c r="A26799" s="2" t="str">
        <f t="shared" si="949"/>
        <v>39100</v>
      </c>
      <c r="B26799" s="2" t="str">
        <f>"12518"</f>
        <v>12518</v>
      </c>
      <c r="C26799" s="1">
        <v>1.07553827710688E-2</v>
      </c>
      <c r="D26799" s="1">
        <v>1.18850660093865E-2</v>
      </c>
      <c r="E26799" s="1">
        <v>8.70187149839074E-3</v>
      </c>
      <c r="F26799" s="1">
        <v>1.07524678874649E-2</v>
      </c>
    </row>
    <row r="26800" spans="1:6" x14ac:dyDescent="0.25">
      <c r="A26800" s="2" t="str">
        <f t="shared" si="949"/>
        <v>39100</v>
      </c>
      <c r="B26800" s="2" t="str">
        <f>"12729"</f>
        <v>12729</v>
      </c>
      <c r="C26800" s="1">
        <v>2.2316741958861301E-3</v>
      </c>
      <c r="D26800" s="1">
        <v>3.7140831279332801E-4</v>
      </c>
      <c r="E26800" s="1">
        <v>4.1721301704613099E-4</v>
      </c>
      <c r="F26800" s="1">
        <v>1.9813339030521899E-3</v>
      </c>
    </row>
    <row r="26801" spans="1:6" x14ac:dyDescent="0.25">
      <c r="A26801" s="2" t="str">
        <f t="shared" si="949"/>
        <v>39100</v>
      </c>
      <c r="B26801" s="2" t="str">
        <f>"12602"</f>
        <v>12602</v>
      </c>
      <c r="C26801" s="1">
        <v>3.92151550657988E-3</v>
      </c>
      <c r="D26801" s="1">
        <v>7.5294594320829203E-3</v>
      </c>
      <c r="E26801" s="1">
        <v>1.19203719156037E-4</v>
      </c>
      <c r="F26801" s="1">
        <v>4.0475403071213801E-3</v>
      </c>
    </row>
    <row r="26802" spans="1:6" x14ac:dyDescent="0.25">
      <c r="A26802" s="2" t="str">
        <f t="shared" si="949"/>
        <v>39100</v>
      </c>
      <c r="B26802" s="2" t="str">
        <f>"12508"</f>
        <v>12508</v>
      </c>
      <c r="C26802" s="1">
        <v>3.0054792850514999E-2</v>
      </c>
      <c r="D26802" s="1">
        <v>2.5154472093729899E-2</v>
      </c>
      <c r="E26802" s="1">
        <v>3.09333651209917E-2</v>
      </c>
      <c r="F26802" s="1">
        <v>2.9673182338325201E-2</v>
      </c>
    </row>
    <row r="26803" spans="1:6" x14ac:dyDescent="0.25">
      <c r="A26803" s="2" t="str">
        <f t="shared" si="949"/>
        <v>39100</v>
      </c>
      <c r="B26803" s="2" t="str">
        <f>"10915"</f>
        <v>10915</v>
      </c>
      <c r="C26803" s="1">
        <v>0</v>
      </c>
      <c r="D26803" s="1">
        <v>3.3764392072120698E-5</v>
      </c>
      <c r="E26803" s="1">
        <v>5.9601859578018797E-5</v>
      </c>
      <c r="F26803" s="1">
        <v>5.8532759322073501E-6</v>
      </c>
    </row>
    <row r="26804" spans="1:6" x14ac:dyDescent="0.25">
      <c r="A26804" s="2" t="str">
        <f t="shared" si="949"/>
        <v>39100</v>
      </c>
      <c r="B26804" s="2" t="str">
        <f>"10912"</f>
        <v>10912</v>
      </c>
      <c r="C26804" s="1">
        <v>3.7928301963466901E-4</v>
      </c>
      <c r="D26804" s="1">
        <v>2.7011513657696499E-4</v>
      </c>
      <c r="E26804" s="1">
        <v>1.7880557873405599E-4</v>
      </c>
      <c r="F26804" s="1">
        <v>3.5997646983075202E-4</v>
      </c>
    </row>
    <row r="26805" spans="1:6" x14ac:dyDescent="0.25">
      <c r="A26805" s="2" t="str">
        <f t="shared" si="949"/>
        <v>39100</v>
      </c>
      <c r="B26805" s="2" t="str">
        <f>"10910"</f>
        <v>10910</v>
      </c>
      <c r="C26805" s="1">
        <v>3.3864555324524E-6</v>
      </c>
      <c r="D26805" s="1">
        <v>0</v>
      </c>
      <c r="E26805" s="1">
        <v>5.9601859578018797E-5</v>
      </c>
      <c r="F26805" s="1">
        <v>5.8532759322073501E-6</v>
      </c>
    </row>
    <row r="26806" spans="1:6" x14ac:dyDescent="0.25">
      <c r="A26806" s="2" t="str">
        <f t="shared" si="949"/>
        <v>39100</v>
      </c>
      <c r="B26806" s="2" t="str">
        <f>"10932"</f>
        <v>10932</v>
      </c>
      <c r="C26806" s="1">
        <v>1.35458221298096E-5</v>
      </c>
      <c r="D26806" s="1">
        <v>0</v>
      </c>
      <c r="E26806" s="1">
        <v>5.9601859578018797E-5</v>
      </c>
      <c r="F26806" s="1">
        <v>1.4633189830518301E-5</v>
      </c>
    </row>
    <row r="26807" spans="1:6" x14ac:dyDescent="0.25">
      <c r="A26807" s="2" t="str">
        <f t="shared" si="949"/>
        <v>39100</v>
      </c>
      <c r="B26807" s="2" t="str">
        <f>"10940"</f>
        <v>10940</v>
      </c>
      <c r="C26807" s="1">
        <v>7.4220945904759306E-2</v>
      </c>
      <c r="D26807" s="1">
        <v>7.88060910963298E-2</v>
      </c>
      <c r="E26807" s="1">
        <v>5.2866849445702697E-2</v>
      </c>
      <c r="F26807" s="1">
        <v>7.3569825191914198E-2</v>
      </c>
    </row>
    <row r="26808" spans="1:6" x14ac:dyDescent="0.25">
      <c r="A26808" s="2" t="str">
        <f t="shared" si="949"/>
        <v>39100</v>
      </c>
      <c r="B26808" s="2" t="str">
        <f>"12569"</f>
        <v>12569</v>
      </c>
      <c r="C26808" s="1">
        <v>1.9055585281109601E-2</v>
      </c>
      <c r="D26808" s="1">
        <v>1.34719924367761E-2</v>
      </c>
      <c r="E26808" s="1">
        <v>1.0489927285731299E-2</v>
      </c>
      <c r="F26808" s="1">
        <v>1.8151008665775001E-2</v>
      </c>
    </row>
    <row r="26809" spans="1:6" x14ac:dyDescent="0.25">
      <c r="A26809" s="2" t="str">
        <f t="shared" si="949"/>
        <v>39100</v>
      </c>
      <c r="B26809" s="2" t="str">
        <f>"12550"</f>
        <v>12550</v>
      </c>
      <c r="C26809" s="1">
        <v>7.7902023068534998E-2</v>
      </c>
      <c r="D26809" s="1">
        <v>9.5012999290947697E-2</v>
      </c>
      <c r="E26809" s="1">
        <v>0.15043509357491899</v>
      </c>
      <c r="F26809" s="1">
        <v>8.2946773235310398E-2</v>
      </c>
    </row>
    <row r="26810" spans="1:6" x14ac:dyDescent="0.25">
      <c r="A26810" s="2" t="str">
        <f t="shared" si="949"/>
        <v>39100</v>
      </c>
      <c r="B26810" s="2" t="str">
        <f>"12780"</f>
        <v>12780</v>
      </c>
      <c r="C26810" s="1">
        <v>3.2272921224271401E-3</v>
      </c>
      <c r="D26810" s="1">
        <v>6.7528784144241401E-4</v>
      </c>
      <c r="E26810" s="1">
        <v>6.5562045535820697E-4</v>
      </c>
      <c r="F26810" s="1">
        <v>2.8798117586460201E-3</v>
      </c>
    </row>
    <row r="26811" spans="1:6" x14ac:dyDescent="0.25">
      <c r="A26811" s="2" t="str">
        <f t="shared" si="949"/>
        <v>39100</v>
      </c>
      <c r="B26811" s="2" t="str">
        <f>"12533"</f>
        <v>12533</v>
      </c>
      <c r="C26811" s="1">
        <v>3.47484202184941E-2</v>
      </c>
      <c r="D26811" s="1">
        <v>2.9847722591754701E-2</v>
      </c>
      <c r="E26811" s="1">
        <v>1.4125640719990401E-2</v>
      </c>
      <c r="F26811" s="1">
        <v>3.3310993330192003E-2</v>
      </c>
    </row>
    <row r="26812" spans="1:6" x14ac:dyDescent="0.25">
      <c r="A26812" s="2" t="str">
        <f t="shared" si="949"/>
        <v>39100</v>
      </c>
      <c r="B26812" s="2" t="str">
        <f>"12524"</f>
        <v>12524</v>
      </c>
      <c r="C26812" s="1">
        <v>2.47041931092402E-2</v>
      </c>
      <c r="D26812" s="1">
        <v>3.4540973089779499E-2</v>
      </c>
      <c r="E26812" s="1">
        <v>3.89200143044462E-2</v>
      </c>
      <c r="F26812" s="1">
        <v>2.6254869193916099E-2</v>
      </c>
    </row>
    <row r="26813" spans="1:6" x14ac:dyDescent="0.25">
      <c r="A26813" s="2" t="str">
        <f t="shared" si="949"/>
        <v>39100</v>
      </c>
      <c r="B26813" s="2" t="str">
        <f>"10917"</f>
        <v>10917</v>
      </c>
      <c r="C26813" s="1">
        <v>3.4711169207637099E-3</v>
      </c>
      <c r="D26813" s="1">
        <v>2.4479184252287501E-2</v>
      </c>
      <c r="E26813" s="1">
        <v>2.08606508523065E-3</v>
      </c>
      <c r="F26813" s="1">
        <v>5.2240487694950599E-3</v>
      </c>
    </row>
    <row r="26814" spans="1:6" x14ac:dyDescent="0.25">
      <c r="A26814" s="2" t="str">
        <f t="shared" si="949"/>
        <v>39100</v>
      </c>
      <c r="B26814" s="2" t="str">
        <f>"10979"</f>
        <v>10979</v>
      </c>
      <c r="C26814" s="1">
        <v>0</v>
      </c>
      <c r="D26814" s="1">
        <v>0</v>
      </c>
      <c r="E26814" s="1">
        <v>5.9601859578018797E-5</v>
      </c>
      <c r="F26814" s="1">
        <v>2.92663796610367E-6</v>
      </c>
    </row>
    <row r="26815" spans="1:6" x14ac:dyDescent="0.25">
      <c r="A26815" s="2" t="str">
        <f t="shared" ref="A26815:A26860" si="950">"36580"</f>
        <v>36580</v>
      </c>
      <c r="B26815" s="2" t="str">
        <f>"13861"</f>
        <v>13861</v>
      </c>
      <c r="C26815" s="1">
        <v>4.9133695371088599E-3</v>
      </c>
      <c r="D26815" s="1">
        <v>2.0746887966804901E-3</v>
      </c>
      <c r="E26815" s="1">
        <v>9.8039215686274508E-4</v>
      </c>
      <c r="F26815" s="1">
        <v>4.5973948096078802E-3</v>
      </c>
    </row>
    <row r="26816" spans="1:6" x14ac:dyDescent="0.25">
      <c r="A26816" s="2" t="str">
        <f t="shared" si="950"/>
        <v>36580</v>
      </c>
      <c r="B26816" s="2" t="str">
        <f>"13775"</f>
        <v>13775</v>
      </c>
      <c r="C26816" s="1">
        <v>7.3885256197125799E-5</v>
      </c>
      <c r="D26816" s="1">
        <v>0</v>
      </c>
      <c r="E26816" s="1">
        <v>0</v>
      </c>
      <c r="F26816" s="1">
        <v>6.6628910284172299E-5</v>
      </c>
    </row>
    <row r="26817" spans="1:6" x14ac:dyDescent="0.25">
      <c r="A26817" s="2" t="str">
        <f t="shared" si="950"/>
        <v>36580</v>
      </c>
      <c r="B26817" s="2" t="str">
        <f>"13796"</f>
        <v>13796</v>
      </c>
      <c r="C26817" s="1">
        <v>1.83974287930843E-2</v>
      </c>
      <c r="D26817" s="1">
        <v>5.1867219917012403E-3</v>
      </c>
      <c r="E26817" s="1">
        <v>1.47058823529411E-2</v>
      </c>
      <c r="F26817" s="1">
        <v>1.7423460039311001E-2</v>
      </c>
    </row>
    <row r="26818" spans="1:6" x14ac:dyDescent="0.25">
      <c r="A26818" s="2" t="str">
        <f t="shared" si="950"/>
        <v>36580</v>
      </c>
      <c r="B26818" s="2" t="str">
        <f>"13810"</f>
        <v>13810</v>
      </c>
      <c r="C26818" s="1">
        <v>1.8951568214562699E-2</v>
      </c>
      <c r="D26818" s="1">
        <v>3.1120331950207402E-3</v>
      </c>
      <c r="E26818" s="1">
        <v>1.37254901960784E-2</v>
      </c>
      <c r="F26818" s="1">
        <v>1.77566045907319E-2</v>
      </c>
    </row>
    <row r="26819" spans="1:6" x14ac:dyDescent="0.25">
      <c r="A26819" s="2" t="str">
        <f t="shared" si="950"/>
        <v>36580</v>
      </c>
      <c r="B26819" s="2" t="str">
        <f>"13808"</f>
        <v>13808</v>
      </c>
      <c r="C26819" s="1">
        <v>2.5342642875614101E-2</v>
      </c>
      <c r="D26819" s="1">
        <v>3.1120331950207402E-3</v>
      </c>
      <c r="E26819" s="1">
        <v>4.9019607843137202E-3</v>
      </c>
      <c r="F26819" s="1">
        <v>2.3220175234034E-2</v>
      </c>
    </row>
    <row r="26820" spans="1:6" x14ac:dyDescent="0.25">
      <c r="A26820" s="2" t="str">
        <f t="shared" si="950"/>
        <v>36580</v>
      </c>
      <c r="B26820" s="2" t="str">
        <f>"13834"</f>
        <v>13834</v>
      </c>
      <c r="C26820" s="1">
        <v>3.7312054379548499E-3</v>
      </c>
      <c r="D26820" s="1">
        <v>1.0373443983402401E-3</v>
      </c>
      <c r="E26820" s="1">
        <v>8.8235294117647006E-3</v>
      </c>
      <c r="F26820" s="1">
        <v>3.73121897591364E-3</v>
      </c>
    </row>
    <row r="26821" spans="1:6" x14ac:dyDescent="0.25">
      <c r="A26821" s="2" t="str">
        <f t="shared" si="950"/>
        <v>36580</v>
      </c>
      <c r="B26821" s="2" t="str">
        <f>"13809"</f>
        <v>13809</v>
      </c>
      <c r="C26821" s="1">
        <v>9.7159111899220493E-3</v>
      </c>
      <c r="D26821" s="1">
        <v>1.0373443983402401E-3</v>
      </c>
      <c r="E26821" s="1">
        <v>1.9607843137254902E-3</v>
      </c>
      <c r="F26821" s="1">
        <v>8.8949595229370002E-3</v>
      </c>
    </row>
    <row r="26822" spans="1:6" x14ac:dyDescent="0.25">
      <c r="A26822" s="2" t="str">
        <f t="shared" si="950"/>
        <v>36580</v>
      </c>
      <c r="B26822" s="2" t="str">
        <f>"13733"</f>
        <v>13733</v>
      </c>
      <c r="C26822" s="1">
        <v>3.2140086445749702E-3</v>
      </c>
      <c r="D26822" s="1">
        <v>2.0746887966804901E-3</v>
      </c>
      <c r="E26822" s="1">
        <v>0</v>
      </c>
      <c r="F26822" s="1">
        <v>3.0316154179298302E-3</v>
      </c>
    </row>
    <row r="26823" spans="1:6" x14ac:dyDescent="0.25">
      <c r="A26823" s="2" t="str">
        <f t="shared" si="950"/>
        <v>36580</v>
      </c>
      <c r="B26823" s="2" t="str">
        <f>"13415"</f>
        <v>13415</v>
      </c>
      <c r="C26823" s="1">
        <v>1.5885330082382001E-3</v>
      </c>
      <c r="D26823" s="1">
        <v>0</v>
      </c>
      <c r="E26823" s="1">
        <v>9.8039215686274508E-4</v>
      </c>
      <c r="F26823" s="1">
        <v>1.4658360262517899E-3</v>
      </c>
    </row>
    <row r="26824" spans="1:6" x14ac:dyDescent="0.25">
      <c r="A26824" s="2" t="str">
        <f t="shared" si="950"/>
        <v>36580</v>
      </c>
      <c r="B26824" s="2" t="str">
        <f>"13361"</f>
        <v>13361</v>
      </c>
      <c r="C26824" s="1">
        <v>2.54904133880084E-3</v>
      </c>
      <c r="D26824" s="1">
        <v>0</v>
      </c>
      <c r="E26824" s="1">
        <v>0</v>
      </c>
      <c r="F26824" s="1">
        <v>2.2986974048039401E-3</v>
      </c>
    </row>
    <row r="26825" spans="1:6" x14ac:dyDescent="0.25">
      <c r="A26825" s="2" t="str">
        <f t="shared" si="950"/>
        <v>36580</v>
      </c>
      <c r="B26825" s="2" t="str">
        <f>"12036"</f>
        <v>12036</v>
      </c>
      <c r="C26825" s="1">
        <v>8.8662307436550996E-4</v>
      </c>
      <c r="D26825" s="1">
        <v>0</v>
      </c>
      <c r="E26825" s="1">
        <v>0</v>
      </c>
      <c r="F26825" s="1">
        <v>7.9954692341006699E-4</v>
      </c>
    </row>
    <row r="26826" spans="1:6" x14ac:dyDescent="0.25">
      <c r="A26826" s="2" t="str">
        <f t="shared" si="950"/>
        <v>36580</v>
      </c>
      <c r="B26826" s="2" t="str">
        <f>"12155"</f>
        <v>12155</v>
      </c>
      <c r="C26826" s="1">
        <v>2.62292659499796E-2</v>
      </c>
      <c r="D26826" s="1">
        <v>3.1120331950207402E-3</v>
      </c>
      <c r="E26826" s="1">
        <v>1.2745098039215599E-2</v>
      </c>
      <c r="F26826" s="1">
        <v>2.4286237798580801E-2</v>
      </c>
    </row>
    <row r="26827" spans="1:6" x14ac:dyDescent="0.25">
      <c r="A26827" s="2" t="str">
        <f t="shared" si="950"/>
        <v>36580</v>
      </c>
      <c r="B26827" s="2" t="str">
        <f>"13859"</f>
        <v>13859</v>
      </c>
      <c r="C26827" s="1">
        <v>1.9579592892238302E-3</v>
      </c>
      <c r="D26827" s="1">
        <v>0</v>
      </c>
      <c r="E26827" s="1">
        <v>2.94117647058823E-3</v>
      </c>
      <c r="F26827" s="1">
        <v>1.86560948795682E-3</v>
      </c>
    </row>
    <row r="26828" spans="1:6" x14ac:dyDescent="0.25">
      <c r="A26828" s="2" t="str">
        <f t="shared" si="950"/>
        <v>36580</v>
      </c>
      <c r="B26828" s="2" t="str">
        <f>"13825"</f>
        <v>13825</v>
      </c>
      <c r="C26828" s="1">
        <v>5.1387195685101E-2</v>
      </c>
      <c r="D26828" s="1">
        <v>9.8547717842323596E-3</v>
      </c>
      <c r="E26828" s="1">
        <v>1.47058823529411E-2</v>
      </c>
      <c r="F26828" s="1">
        <v>4.74730985774727E-2</v>
      </c>
    </row>
    <row r="26829" spans="1:6" x14ac:dyDescent="0.25">
      <c r="A26829" s="2" t="str">
        <f t="shared" si="950"/>
        <v>36580</v>
      </c>
      <c r="B26829" s="2" t="str">
        <f>"13317"</f>
        <v>13317</v>
      </c>
      <c r="C26829" s="1">
        <v>9.2356570246407302E-4</v>
      </c>
      <c r="D26829" s="1">
        <v>0</v>
      </c>
      <c r="E26829" s="1">
        <v>0</v>
      </c>
      <c r="F26829" s="1">
        <v>8.3286137855215301E-4</v>
      </c>
    </row>
    <row r="26830" spans="1:6" x14ac:dyDescent="0.25">
      <c r="A26830" s="2" t="str">
        <f t="shared" si="950"/>
        <v>36580</v>
      </c>
      <c r="B26830" s="2" t="str">
        <f>"13337"</f>
        <v>13337</v>
      </c>
      <c r="C26830" s="1">
        <v>1.2671321437807E-2</v>
      </c>
      <c r="D26830" s="1">
        <v>7.2614107883817404E-3</v>
      </c>
      <c r="E26830" s="1">
        <v>3.9215686274509803E-3</v>
      </c>
      <c r="F26830" s="1">
        <v>1.20265183062931E-2</v>
      </c>
    </row>
    <row r="26831" spans="1:6" x14ac:dyDescent="0.25">
      <c r="A26831" s="2" t="str">
        <f t="shared" si="950"/>
        <v>36580</v>
      </c>
      <c r="B26831" s="2" t="str">
        <f>"13326"</f>
        <v>13326</v>
      </c>
      <c r="C26831" s="1">
        <v>0.103624071816469</v>
      </c>
      <c r="D26831" s="1">
        <v>0.183609958506224</v>
      </c>
      <c r="E26831" s="1">
        <v>0.220588235294117</v>
      </c>
      <c r="F26831" s="1">
        <v>0.112736116200819</v>
      </c>
    </row>
    <row r="26832" spans="1:6" x14ac:dyDescent="0.25">
      <c r="A26832" s="2" t="str">
        <f t="shared" si="950"/>
        <v>36580</v>
      </c>
      <c r="B26832" s="2" t="str">
        <f>"13320"</f>
        <v>13320</v>
      </c>
      <c r="C26832" s="1">
        <v>2.9221618825963198E-2</v>
      </c>
      <c r="D26832" s="1">
        <v>5.1867219917012403E-3</v>
      </c>
      <c r="E26832" s="1">
        <v>6.8627450980392104E-3</v>
      </c>
      <c r="F26832" s="1">
        <v>2.6918079754805601E-2</v>
      </c>
    </row>
    <row r="26833" spans="1:6" x14ac:dyDescent="0.25">
      <c r="A26833" s="2" t="str">
        <f t="shared" si="950"/>
        <v>36580</v>
      </c>
      <c r="B26833" s="2" t="str">
        <f>"13488"</f>
        <v>13488</v>
      </c>
      <c r="C26833" s="1">
        <v>2.7706971073922101E-3</v>
      </c>
      <c r="D26833" s="1">
        <v>1.0373443983402401E-3</v>
      </c>
      <c r="E26833" s="1">
        <v>9.8039215686274508E-4</v>
      </c>
      <c r="F26833" s="1">
        <v>2.5985275010827098E-3</v>
      </c>
    </row>
    <row r="26834" spans="1:6" x14ac:dyDescent="0.25">
      <c r="A26834" s="2" t="str">
        <f t="shared" si="950"/>
        <v>36580</v>
      </c>
      <c r="B26834" s="2" t="str">
        <f>"13849"</f>
        <v>13849</v>
      </c>
      <c r="C26834" s="1">
        <v>5.2606302412353603E-2</v>
      </c>
      <c r="D26834" s="1">
        <v>1.8153526970954299E-2</v>
      </c>
      <c r="E26834" s="1">
        <v>3.3333333333333298E-2</v>
      </c>
      <c r="F26834" s="1">
        <v>4.9738481527134601E-2</v>
      </c>
    </row>
    <row r="26835" spans="1:6" x14ac:dyDescent="0.25">
      <c r="A26835" s="2" t="str">
        <f t="shared" si="950"/>
        <v>36580</v>
      </c>
      <c r="B26835" s="2" t="str">
        <f>"13450"</f>
        <v>13450</v>
      </c>
      <c r="C26835" s="1">
        <v>3.6942628098562899E-3</v>
      </c>
      <c r="D26835" s="1">
        <v>0</v>
      </c>
      <c r="E26835" s="1">
        <v>9.8039215686274508E-4</v>
      </c>
      <c r="F26835" s="1">
        <v>3.3647599693507001E-3</v>
      </c>
    </row>
    <row r="26836" spans="1:6" x14ac:dyDescent="0.25">
      <c r="A26836" s="2" t="str">
        <f t="shared" si="950"/>
        <v>36580</v>
      </c>
      <c r="B26836" s="2" t="str">
        <f>"13491"</f>
        <v>13491</v>
      </c>
      <c r="C26836" s="1">
        <v>2.03553880823081E-2</v>
      </c>
      <c r="D26836" s="1">
        <v>3.1120331950207402E-3</v>
      </c>
      <c r="E26836" s="1">
        <v>5.8823529411764696E-3</v>
      </c>
      <c r="F26836" s="1">
        <v>1.87560382449945E-2</v>
      </c>
    </row>
    <row r="26837" spans="1:6" x14ac:dyDescent="0.25">
      <c r="A26837" s="2" t="str">
        <f t="shared" si="950"/>
        <v>36580</v>
      </c>
      <c r="B26837" s="2" t="str">
        <f>"13776"</f>
        <v>13776</v>
      </c>
      <c r="C26837" s="1">
        <v>2.9923528759835901E-3</v>
      </c>
      <c r="D26837" s="1">
        <v>1.0373443983402401E-3</v>
      </c>
      <c r="E26837" s="1">
        <v>9.8039215686274508E-4</v>
      </c>
      <c r="F26837" s="1">
        <v>2.7984142319352301E-3</v>
      </c>
    </row>
    <row r="26838" spans="1:6" x14ac:dyDescent="0.25">
      <c r="A26838" s="2" t="str">
        <f t="shared" si="950"/>
        <v>36580</v>
      </c>
      <c r="B26838" s="2" t="str">
        <f>"13747"</f>
        <v>13747</v>
      </c>
      <c r="C26838" s="1">
        <v>0</v>
      </c>
      <c r="D26838" s="1">
        <v>0</v>
      </c>
      <c r="E26838" s="1">
        <v>9.8039215686274508E-4</v>
      </c>
      <c r="F26838" s="1">
        <v>3.3314455142086102E-5</v>
      </c>
    </row>
    <row r="26839" spans="1:6" x14ac:dyDescent="0.25">
      <c r="A26839" s="2" t="str">
        <f t="shared" si="950"/>
        <v>36580</v>
      </c>
      <c r="B26839" s="2" t="str">
        <f>"13838"</f>
        <v>13838</v>
      </c>
      <c r="C26839" s="1">
        <v>3.3987217850677798E-3</v>
      </c>
      <c r="D26839" s="1">
        <v>9.8547717842323596E-3</v>
      </c>
      <c r="E26839" s="1">
        <v>5.8823529411764696E-3</v>
      </c>
      <c r="F26839" s="1">
        <v>3.8977912516240699E-3</v>
      </c>
    </row>
    <row r="26840" spans="1:6" x14ac:dyDescent="0.25">
      <c r="A26840" s="2" t="str">
        <f t="shared" si="950"/>
        <v>36580</v>
      </c>
      <c r="B26840" s="2" t="str">
        <f>"13843"</f>
        <v>13843</v>
      </c>
      <c r="C26840" s="1">
        <v>1.48139938675237E-2</v>
      </c>
      <c r="D26840" s="1">
        <v>0</v>
      </c>
      <c r="E26840" s="1">
        <v>5.8823529411764696E-3</v>
      </c>
      <c r="F26840" s="1">
        <v>1.3558983242829E-2</v>
      </c>
    </row>
    <row r="26841" spans="1:6" x14ac:dyDescent="0.25">
      <c r="A26841" s="2" t="str">
        <f t="shared" si="950"/>
        <v>36580</v>
      </c>
      <c r="B26841" s="2" t="str">
        <f>"13457"</f>
        <v>13457</v>
      </c>
      <c r="C26841" s="1">
        <v>3.1770660164764102E-3</v>
      </c>
      <c r="D26841" s="1">
        <v>0</v>
      </c>
      <c r="E26841" s="1">
        <v>9.8039215686274508E-4</v>
      </c>
      <c r="F26841" s="1">
        <v>2.89835759736149E-3</v>
      </c>
    </row>
    <row r="26842" spans="1:6" x14ac:dyDescent="0.25">
      <c r="A26842" s="2" t="str">
        <f t="shared" si="950"/>
        <v>36580</v>
      </c>
      <c r="B26842" s="2" t="str">
        <f>"13750"</f>
        <v>13750</v>
      </c>
      <c r="C26842" s="1">
        <v>4.8025416528131798E-4</v>
      </c>
      <c r="D26842" s="1">
        <v>0</v>
      </c>
      <c r="E26842" s="1">
        <v>0</v>
      </c>
      <c r="F26842" s="1">
        <v>4.3308791684711897E-4</v>
      </c>
    </row>
    <row r="26843" spans="1:6" x14ac:dyDescent="0.25">
      <c r="A26843" s="2" t="str">
        <f t="shared" si="950"/>
        <v>36580</v>
      </c>
      <c r="B26843" s="2" t="str">
        <f>"13807"</f>
        <v>13807</v>
      </c>
      <c r="C26843" s="1">
        <v>1.6919723669141799E-2</v>
      </c>
      <c r="D26843" s="1">
        <v>8.8174273858921091E-3</v>
      </c>
      <c r="E26843" s="1">
        <v>4.9019607843137202E-3</v>
      </c>
      <c r="F26843" s="1">
        <v>1.59909384682013E-2</v>
      </c>
    </row>
    <row r="26844" spans="1:6" x14ac:dyDescent="0.25">
      <c r="A26844" s="2" t="str">
        <f t="shared" si="950"/>
        <v>36580</v>
      </c>
      <c r="B26844" s="2" t="str">
        <f>"13482"</f>
        <v>13482</v>
      </c>
      <c r="C26844" s="1">
        <v>9.2356570246407302E-4</v>
      </c>
      <c r="D26844" s="1">
        <v>3.1120331950207402E-3</v>
      </c>
      <c r="E26844" s="1">
        <v>0</v>
      </c>
      <c r="F26844" s="1">
        <v>1.03274810940467E-3</v>
      </c>
    </row>
    <row r="26845" spans="1:6" x14ac:dyDescent="0.25">
      <c r="A26845" s="2" t="str">
        <f t="shared" si="950"/>
        <v>36580</v>
      </c>
      <c r="B26845" s="2" t="str">
        <f>"13342"</f>
        <v>13342</v>
      </c>
      <c r="C26845" s="1">
        <v>3.4356644131663498E-3</v>
      </c>
      <c r="D26845" s="1">
        <v>2.0746887966804901E-3</v>
      </c>
      <c r="E26845" s="1">
        <v>9.8039215686274508E-4</v>
      </c>
      <c r="F26845" s="1">
        <v>3.2648166039244402E-3</v>
      </c>
    </row>
    <row r="26846" spans="1:6" x14ac:dyDescent="0.25">
      <c r="A26846" s="2" t="str">
        <f t="shared" si="950"/>
        <v>36580</v>
      </c>
      <c r="B26846" s="2" t="str">
        <f>"13333"</f>
        <v>13333</v>
      </c>
      <c r="C26846" s="1">
        <v>1.7732461487310199E-3</v>
      </c>
      <c r="D26846" s="1">
        <v>3.1120331950207402E-3</v>
      </c>
      <c r="E26846" s="1">
        <v>9.8039215686274508E-4</v>
      </c>
      <c r="F26846" s="1">
        <v>1.8322950328147299E-3</v>
      </c>
    </row>
    <row r="26847" spans="1:6" x14ac:dyDescent="0.25">
      <c r="A26847" s="2" t="str">
        <f t="shared" si="950"/>
        <v>36580</v>
      </c>
      <c r="B26847" s="2" t="str">
        <f>"13335"</f>
        <v>13335</v>
      </c>
      <c r="C26847" s="1">
        <v>2.17592079500535E-2</v>
      </c>
      <c r="D26847" s="1">
        <v>1.19294605809128E-2</v>
      </c>
      <c r="E26847" s="1">
        <v>1.5686274509803901E-2</v>
      </c>
      <c r="F26847" s="1">
        <v>2.0921477829230099E-2</v>
      </c>
    </row>
    <row r="26848" spans="1:6" x14ac:dyDescent="0.25">
      <c r="A26848" s="2" t="str">
        <f t="shared" si="950"/>
        <v>36580</v>
      </c>
      <c r="B26848" s="2" t="str">
        <f>"13315"</f>
        <v>13315</v>
      </c>
      <c r="C26848" s="1">
        <v>2.2571945768221899E-2</v>
      </c>
      <c r="D26848" s="1">
        <v>7.7800829875518604E-3</v>
      </c>
      <c r="E26848" s="1">
        <v>9.8039215686274508E-4</v>
      </c>
      <c r="F26848" s="1">
        <v>2.0888163374088001E-2</v>
      </c>
    </row>
    <row r="26849" spans="1:6" x14ac:dyDescent="0.25">
      <c r="A26849" s="2" t="str">
        <f t="shared" si="950"/>
        <v>36580</v>
      </c>
      <c r="B26849" s="2" t="str">
        <f>"12197"</f>
        <v>12197</v>
      </c>
      <c r="C26849" s="1">
        <v>3.701651335476E-2</v>
      </c>
      <c r="D26849" s="1">
        <v>9.3360995850622405E-3</v>
      </c>
      <c r="E26849" s="1">
        <v>1.0784313725490101E-2</v>
      </c>
      <c r="F26849" s="1">
        <v>3.43472032514908E-2</v>
      </c>
    </row>
    <row r="26850" spans="1:6" x14ac:dyDescent="0.25">
      <c r="A26850" s="2" t="str">
        <f t="shared" si="950"/>
        <v>36580</v>
      </c>
      <c r="B26850" s="2" t="str">
        <f>"12043"</f>
        <v>12043</v>
      </c>
      <c r="C26850" s="1">
        <v>1.10827884295688E-4</v>
      </c>
      <c r="D26850" s="1">
        <v>0</v>
      </c>
      <c r="E26850" s="1">
        <v>0</v>
      </c>
      <c r="F26850" s="1">
        <v>9.9943365426258401E-5</v>
      </c>
    </row>
    <row r="26851" spans="1:6" x14ac:dyDescent="0.25">
      <c r="A26851" s="2" t="str">
        <f t="shared" si="950"/>
        <v>36580</v>
      </c>
      <c r="B26851" s="2" t="str">
        <f>"12149"</f>
        <v>12149</v>
      </c>
      <c r="C26851" s="1">
        <v>1.25604935535113E-3</v>
      </c>
      <c r="D26851" s="1">
        <v>0</v>
      </c>
      <c r="E26851" s="1">
        <v>0</v>
      </c>
      <c r="F26851" s="1">
        <v>1.1326914748309199E-3</v>
      </c>
    </row>
    <row r="26852" spans="1:6" x14ac:dyDescent="0.25">
      <c r="A26852" s="2" t="str">
        <f t="shared" si="950"/>
        <v>36580</v>
      </c>
      <c r="B26852" s="2" t="str">
        <f>"13820"</f>
        <v>13820</v>
      </c>
      <c r="C26852" s="1">
        <v>0.32912187373009699</v>
      </c>
      <c r="D26852" s="1">
        <v>0.64263485477178395</v>
      </c>
      <c r="E26852" s="1">
        <v>0.54117647058823504</v>
      </c>
      <c r="F26852" s="1">
        <v>0.35646467002032101</v>
      </c>
    </row>
    <row r="26853" spans="1:6" x14ac:dyDescent="0.25">
      <c r="A26853" s="2" t="str">
        <f t="shared" si="950"/>
        <v>36580</v>
      </c>
      <c r="B26853" s="2" t="str">
        <f>"13468"</f>
        <v>13468</v>
      </c>
      <c r="C26853" s="1">
        <v>4.3222874875318597E-3</v>
      </c>
      <c r="D26853" s="1">
        <v>5.1867219917012403E-3</v>
      </c>
      <c r="E26853" s="1">
        <v>9.8039215686274508E-4</v>
      </c>
      <c r="F26853" s="1">
        <v>4.2642502581870202E-3</v>
      </c>
    </row>
    <row r="26854" spans="1:6" x14ac:dyDescent="0.25">
      <c r="A26854" s="2" t="str">
        <f t="shared" si="950"/>
        <v>36580</v>
      </c>
      <c r="B26854" s="2" t="str">
        <f>"13459"</f>
        <v>13459</v>
      </c>
      <c r="C26854" s="1">
        <v>1.47770512394251E-4</v>
      </c>
      <c r="D26854" s="1">
        <v>0</v>
      </c>
      <c r="E26854" s="1">
        <v>0</v>
      </c>
      <c r="F26854" s="1">
        <v>1.33257820568344E-4</v>
      </c>
    </row>
    <row r="26855" spans="1:6" x14ac:dyDescent="0.25">
      <c r="A26855" s="2" t="str">
        <f t="shared" si="950"/>
        <v>36580</v>
      </c>
      <c r="B26855" s="2" t="str">
        <f>"13439"</f>
        <v>13439</v>
      </c>
      <c r="C26855" s="1">
        <v>5.0094203701651303E-2</v>
      </c>
      <c r="D26855" s="1">
        <v>2.3340248962655599E-2</v>
      </c>
      <c r="E26855" s="1">
        <v>3.9215686274509803E-2</v>
      </c>
      <c r="F26855" s="1">
        <v>4.8006129859746102E-2</v>
      </c>
    </row>
    <row r="26856" spans="1:6" x14ac:dyDescent="0.25">
      <c r="A26856" s="2" t="str">
        <f t="shared" si="950"/>
        <v>36580</v>
      </c>
      <c r="B26856" s="2" t="str">
        <f>"13485"</f>
        <v>13485</v>
      </c>
      <c r="C26856" s="1">
        <v>3.8050906941519799E-3</v>
      </c>
      <c r="D26856" s="1">
        <v>2.0746887966804901E-3</v>
      </c>
      <c r="E26856" s="1">
        <v>9.8039215686274508E-4</v>
      </c>
      <c r="F26856" s="1">
        <v>3.5979611553453002E-3</v>
      </c>
    </row>
    <row r="26857" spans="1:6" x14ac:dyDescent="0.25">
      <c r="A26857" s="2" t="str">
        <f t="shared" si="950"/>
        <v>36580</v>
      </c>
      <c r="B26857" s="2" t="str">
        <f>"13411"</f>
        <v>13411</v>
      </c>
      <c r="C26857" s="1">
        <v>2.3827995123573E-2</v>
      </c>
      <c r="D26857" s="1">
        <v>8.29875518672199E-3</v>
      </c>
      <c r="E26857" s="1">
        <v>6.8627450980392104E-3</v>
      </c>
      <c r="F26857" s="1">
        <v>2.22540560349135E-2</v>
      </c>
    </row>
    <row r="26858" spans="1:6" x14ac:dyDescent="0.25">
      <c r="A26858" s="2" t="str">
        <f t="shared" si="950"/>
        <v>36580</v>
      </c>
      <c r="B26858" s="2" t="str">
        <f>"13348"</f>
        <v>13348</v>
      </c>
      <c r="C26858" s="1">
        <v>2.2904429421108999E-2</v>
      </c>
      <c r="D26858" s="1">
        <v>6.2240663900414899E-3</v>
      </c>
      <c r="E26858" s="1">
        <v>4.9019607843137202E-3</v>
      </c>
      <c r="F26858" s="1">
        <v>2.12213079255088E-2</v>
      </c>
    </row>
    <row r="26859" spans="1:6" x14ac:dyDescent="0.25">
      <c r="A26859" s="2" t="str">
        <f t="shared" si="950"/>
        <v>36580</v>
      </c>
      <c r="B26859" s="2" t="str">
        <f>"12116"</f>
        <v>12116</v>
      </c>
      <c r="C26859" s="1">
        <v>3.4652185156451999E-2</v>
      </c>
      <c r="D26859" s="1">
        <v>5.1867219917012403E-3</v>
      </c>
      <c r="E26859" s="1">
        <v>6.8627450980392104E-3</v>
      </c>
      <c r="F26859" s="1">
        <v>3.1815304660692198E-2</v>
      </c>
    </row>
    <row r="26860" spans="1:6" x14ac:dyDescent="0.25">
      <c r="A26860" s="2" t="str">
        <f t="shared" si="950"/>
        <v>36580</v>
      </c>
      <c r="B26860" s="2" t="str">
        <f>"12064"</f>
        <v>12064</v>
      </c>
      <c r="C26860" s="1">
        <v>5.6891647271786897E-3</v>
      </c>
      <c r="D26860" s="1">
        <v>1.0373443983402401E-3</v>
      </c>
      <c r="E26860" s="1">
        <v>9.8039215686274508E-4</v>
      </c>
      <c r="F26860" s="1">
        <v>5.2303694573075203E-3</v>
      </c>
    </row>
    <row r="26861" spans="1:6" x14ac:dyDescent="0.25">
      <c r="A26861" s="2" t="str">
        <f t="shared" ref="A26861:A26892" si="951">"28740"</f>
        <v>28740</v>
      </c>
      <c r="B26861" s="2" t="str">
        <f>"12589"</f>
        <v>12589</v>
      </c>
      <c r="C26861" s="1">
        <v>4.2923840423246901E-2</v>
      </c>
      <c r="D26861" s="1">
        <v>1.21808993132046E-2</v>
      </c>
      <c r="E26861" s="1">
        <v>3.8303693570451401E-2</v>
      </c>
      <c r="F26861" s="1">
        <v>4.0378239224289E-2</v>
      </c>
    </row>
    <row r="26862" spans="1:6" x14ac:dyDescent="0.25">
      <c r="A26862" s="2" t="str">
        <f t="shared" si="951"/>
        <v>28740</v>
      </c>
      <c r="B26862" s="2" t="str">
        <f>"12566"</f>
        <v>12566</v>
      </c>
      <c r="C26862" s="1">
        <v>2.3852858386370999E-2</v>
      </c>
      <c r="D26862" s="1">
        <v>3.4987689516651501E-3</v>
      </c>
      <c r="E26862" s="1">
        <v>1.3406292749658001E-2</v>
      </c>
      <c r="F26862" s="1">
        <v>2.18970059400386E-2</v>
      </c>
    </row>
    <row r="26863" spans="1:6" x14ac:dyDescent="0.25">
      <c r="A26863" s="2" t="str">
        <f t="shared" si="951"/>
        <v>28740</v>
      </c>
      <c r="B26863" s="2" t="str">
        <f>"12763"</f>
        <v>12763</v>
      </c>
      <c r="C26863" s="1">
        <v>9.0437377768231601E-5</v>
      </c>
      <c r="D26863" s="1">
        <v>0</v>
      </c>
      <c r="E26863" s="1">
        <v>5.4719562243501997E-4</v>
      </c>
      <c r="F26863" s="1">
        <v>1.00169286093498E-4</v>
      </c>
    </row>
    <row r="26864" spans="1:6" x14ac:dyDescent="0.25">
      <c r="A26864" s="2" t="str">
        <f t="shared" si="951"/>
        <v>28740</v>
      </c>
      <c r="B26864" s="2" t="str">
        <f>"12725"</f>
        <v>12725</v>
      </c>
      <c r="C26864" s="1">
        <v>9.9481115545054693E-4</v>
      </c>
      <c r="D26864" s="1">
        <v>6.47920176234287E-4</v>
      </c>
      <c r="E26864" s="1">
        <v>5.4719562243501997E-4</v>
      </c>
      <c r="F26864" s="1">
        <v>9.5160821788823095E-4</v>
      </c>
    </row>
    <row r="26865" spans="1:6" x14ac:dyDescent="0.25">
      <c r="A26865" s="2" t="str">
        <f t="shared" si="951"/>
        <v>28740</v>
      </c>
      <c r="B26865" s="2" t="str">
        <f>"12471"</f>
        <v>12471</v>
      </c>
      <c r="C26865" s="1">
        <v>2.26093444420579E-5</v>
      </c>
      <c r="D26865" s="1">
        <v>3.8875210574057203E-4</v>
      </c>
      <c r="E26865" s="1">
        <v>2.7359781121750999E-4</v>
      </c>
      <c r="F26865" s="1">
        <v>6.01015716560988E-5</v>
      </c>
    </row>
    <row r="26866" spans="1:6" x14ac:dyDescent="0.25">
      <c r="A26866" s="2" t="str">
        <f t="shared" si="951"/>
        <v>28740</v>
      </c>
      <c r="B26866" s="2" t="str">
        <f>"12453"</f>
        <v>12453</v>
      </c>
      <c r="C26866" s="1">
        <v>1.80874755536463E-3</v>
      </c>
      <c r="D26866" s="1">
        <v>1.5550084229622901E-3</v>
      </c>
      <c r="E26866" s="1">
        <v>2.7359781121750999E-4</v>
      </c>
      <c r="F26866" s="1">
        <v>1.7329286494175099E-3</v>
      </c>
    </row>
    <row r="26867" spans="1:6" x14ac:dyDescent="0.25">
      <c r="A26867" s="2" t="str">
        <f t="shared" si="951"/>
        <v>28740</v>
      </c>
      <c r="B26867" s="2" t="str">
        <f>"12446"</f>
        <v>12446</v>
      </c>
      <c r="C26867" s="1">
        <v>2.7843407680394301E-2</v>
      </c>
      <c r="D26867" s="1">
        <v>8.94129843203317E-3</v>
      </c>
      <c r="E26867" s="1">
        <v>1.6963064295485601E-2</v>
      </c>
      <c r="F26867" s="1">
        <v>2.59839128126533E-2</v>
      </c>
    </row>
    <row r="26868" spans="1:6" x14ac:dyDescent="0.25">
      <c r="A26868" s="2" t="str">
        <f t="shared" si="951"/>
        <v>28740</v>
      </c>
      <c r="B26868" s="2" t="str">
        <f>"12443"</f>
        <v>12443</v>
      </c>
      <c r="C26868" s="1">
        <v>2.5073762986242198E-2</v>
      </c>
      <c r="D26868" s="1">
        <v>1.3087987559932601E-2</v>
      </c>
      <c r="E26868" s="1">
        <v>2.7359781121750999E-4</v>
      </c>
      <c r="F26868" s="1">
        <v>2.3239274373691499E-2</v>
      </c>
    </row>
    <row r="26869" spans="1:6" x14ac:dyDescent="0.25">
      <c r="A26869" s="2" t="str">
        <f t="shared" si="951"/>
        <v>28740</v>
      </c>
      <c r="B26869" s="2" t="str">
        <f>"12417"</f>
        <v>12417</v>
      </c>
      <c r="C26869" s="1">
        <v>0</v>
      </c>
      <c r="D26869" s="1">
        <v>0</v>
      </c>
      <c r="E26869" s="1">
        <v>2.7359781121750999E-4</v>
      </c>
      <c r="F26869" s="1">
        <v>1.0016928609349801E-5</v>
      </c>
    </row>
    <row r="26870" spans="1:6" x14ac:dyDescent="0.25">
      <c r="A26870" s="2" t="str">
        <f t="shared" si="951"/>
        <v>28740</v>
      </c>
      <c r="B26870" s="2" t="str">
        <f>"12420"</f>
        <v>12420</v>
      </c>
      <c r="C26870" s="1">
        <v>1.1304672221028899E-5</v>
      </c>
      <c r="D26870" s="1">
        <v>0</v>
      </c>
      <c r="E26870" s="1">
        <v>2.7359781121750999E-4</v>
      </c>
      <c r="F26870" s="1">
        <v>2.0033857218699601E-5</v>
      </c>
    </row>
    <row r="26871" spans="1:6" x14ac:dyDescent="0.25">
      <c r="A26871" s="2" t="str">
        <f t="shared" si="951"/>
        <v>28740</v>
      </c>
      <c r="B26871" s="2" t="str">
        <f>"12416"</f>
        <v>12416</v>
      </c>
      <c r="C26871" s="1">
        <v>1.40177935540758E-3</v>
      </c>
      <c r="D26871" s="1">
        <v>0</v>
      </c>
      <c r="E26871" s="1">
        <v>1.9151846785225701E-3</v>
      </c>
      <c r="F26871" s="1">
        <v>1.3122176478248199E-3</v>
      </c>
    </row>
    <row r="26872" spans="1:6" x14ac:dyDescent="0.25">
      <c r="A26872" s="2" t="str">
        <f t="shared" si="951"/>
        <v>28740</v>
      </c>
      <c r="B26872" s="2" t="str">
        <f>"12404"</f>
        <v>12404</v>
      </c>
      <c r="C26872" s="1">
        <v>2.0348409997852101E-2</v>
      </c>
      <c r="D26872" s="1">
        <v>7.9046261500583092E-3</v>
      </c>
      <c r="E26872" s="1">
        <v>1.03967168262653E-2</v>
      </c>
      <c r="F26872" s="1">
        <v>1.9022147429155201E-2</v>
      </c>
    </row>
    <row r="26873" spans="1:6" x14ac:dyDescent="0.25">
      <c r="A26873" s="2" t="str">
        <f t="shared" si="951"/>
        <v>28740</v>
      </c>
      <c r="B26873" s="2" t="str">
        <f>"12401"</f>
        <v>12401</v>
      </c>
      <c r="C26873" s="1">
        <v>0.19536734532382199</v>
      </c>
      <c r="D26873" s="1">
        <v>0.32707010496306799</v>
      </c>
      <c r="E26873" s="1">
        <v>0.32913816689466402</v>
      </c>
      <c r="F26873" s="1">
        <v>0.21044565315382899</v>
      </c>
    </row>
    <row r="26874" spans="1:6" x14ac:dyDescent="0.25">
      <c r="A26874" s="2" t="str">
        <f t="shared" si="951"/>
        <v>28740</v>
      </c>
      <c r="B26874" s="2" t="str">
        <f>"12568"</f>
        <v>12568</v>
      </c>
      <c r="C26874" s="1">
        <v>0</v>
      </c>
      <c r="D26874" s="1">
        <v>0</v>
      </c>
      <c r="E26874" s="1">
        <v>2.7359781121750999E-4</v>
      </c>
      <c r="F26874" s="1">
        <v>1.0016928609349801E-5</v>
      </c>
    </row>
    <row r="26875" spans="1:6" x14ac:dyDescent="0.25">
      <c r="A26875" s="2" t="str">
        <f t="shared" si="951"/>
        <v>28740</v>
      </c>
      <c r="B26875" s="2" t="str">
        <f>"12525"</f>
        <v>12525</v>
      </c>
      <c r="C26875" s="1">
        <v>2.0698854836704E-2</v>
      </c>
      <c r="D26875" s="1">
        <v>2.3843462485421699E-2</v>
      </c>
      <c r="E26875" s="1">
        <v>1.3406292749658001E-2</v>
      </c>
      <c r="F26875" s="1">
        <v>2.0674940649697899E-2</v>
      </c>
    </row>
    <row r="26876" spans="1:6" x14ac:dyDescent="0.25">
      <c r="A26876" s="2" t="str">
        <f t="shared" si="951"/>
        <v>28740</v>
      </c>
      <c r="B26876" s="2" t="str">
        <f>"12515"</f>
        <v>12515</v>
      </c>
      <c r="C26876" s="1">
        <v>1.0999446071061099E-2</v>
      </c>
      <c r="D26876" s="1">
        <v>7.5158740443177401E-3</v>
      </c>
      <c r="E26876" s="1">
        <v>8.7551299589603195E-3</v>
      </c>
      <c r="F26876" s="1">
        <v>1.0647995111738799E-2</v>
      </c>
    </row>
    <row r="26877" spans="1:6" x14ac:dyDescent="0.25">
      <c r="A26877" s="2" t="str">
        <f t="shared" si="951"/>
        <v>28740</v>
      </c>
      <c r="B26877" s="2" t="str">
        <f>"12432"</f>
        <v>12432</v>
      </c>
      <c r="C26877" s="1">
        <v>2.4418091997422502E-3</v>
      </c>
      <c r="D26877" s="1">
        <v>6.47920176234287E-4</v>
      </c>
      <c r="E26877" s="1">
        <v>3.0095759233926102E-3</v>
      </c>
      <c r="F26877" s="1">
        <v>2.3239274373691499E-3</v>
      </c>
    </row>
    <row r="26878" spans="1:6" x14ac:dyDescent="0.25">
      <c r="A26878" s="2" t="str">
        <f t="shared" si="951"/>
        <v>28740</v>
      </c>
      <c r="B26878" s="2" t="str">
        <f>"12456"</f>
        <v>12456</v>
      </c>
      <c r="C26878" s="1">
        <v>2.3400671497529899E-3</v>
      </c>
      <c r="D26878" s="1">
        <v>0</v>
      </c>
      <c r="E26878" s="1">
        <v>2.7359781121750999E-4</v>
      </c>
      <c r="F26878" s="1">
        <v>2.0835211507447501E-3</v>
      </c>
    </row>
    <row r="26879" spans="1:6" x14ac:dyDescent="0.25">
      <c r="A26879" s="2" t="str">
        <f t="shared" si="951"/>
        <v>28740</v>
      </c>
      <c r="B26879" s="2" t="str">
        <f>"12489"</f>
        <v>12489</v>
      </c>
      <c r="C26879" s="1">
        <v>2.1478877219955001E-4</v>
      </c>
      <c r="D26879" s="1">
        <v>2.5916807049371497E-4</v>
      </c>
      <c r="E26879" s="1">
        <v>2.7359781121750999E-4</v>
      </c>
      <c r="F26879" s="1">
        <v>2.2037242940569501E-4</v>
      </c>
    </row>
    <row r="26880" spans="1:6" x14ac:dyDescent="0.25">
      <c r="A26880" s="2" t="str">
        <f t="shared" si="951"/>
        <v>28740</v>
      </c>
      <c r="B26880" s="2" t="str">
        <f>"12491"</f>
        <v>12491</v>
      </c>
      <c r="C26880" s="1">
        <v>1.02533377044732E-2</v>
      </c>
      <c r="D26880" s="1">
        <v>5.7016975508617299E-3</v>
      </c>
      <c r="E26880" s="1">
        <v>3.5567715458276299E-3</v>
      </c>
      <c r="F26880" s="1">
        <v>9.6563191794131996E-3</v>
      </c>
    </row>
    <row r="26881" spans="1:6" x14ac:dyDescent="0.25">
      <c r="A26881" s="2" t="str">
        <f t="shared" si="951"/>
        <v>28740</v>
      </c>
      <c r="B26881" s="2" t="str">
        <f>"12472"</f>
        <v>12472</v>
      </c>
      <c r="C26881" s="1">
        <v>1.19038198487434E-2</v>
      </c>
      <c r="D26881" s="1">
        <v>1.37359077361669E-2</v>
      </c>
      <c r="E26881" s="1">
        <v>5.1983584131326897E-3</v>
      </c>
      <c r="F26881" s="1">
        <v>1.1799941901814E-2</v>
      </c>
    </row>
    <row r="26882" spans="1:6" x14ac:dyDescent="0.25">
      <c r="A26882" s="2" t="str">
        <f t="shared" si="951"/>
        <v>28740</v>
      </c>
      <c r="B26882" s="2" t="str">
        <f>"12466"</f>
        <v>12466</v>
      </c>
      <c r="C26882" s="1">
        <v>2.5831176025051101E-2</v>
      </c>
      <c r="D26882" s="1">
        <v>1.10146429959828E-2</v>
      </c>
      <c r="E26882" s="1">
        <v>5.7455540355677102E-3</v>
      </c>
      <c r="F26882" s="1">
        <v>2.3950476304955299E-2</v>
      </c>
    </row>
    <row r="26883" spans="1:6" x14ac:dyDescent="0.25">
      <c r="A26883" s="2" t="str">
        <f t="shared" si="951"/>
        <v>28740</v>
      </c>
      <c r="B26883" s="2" t="str">
        <f>"12411"</f>
        <v>12411</v>
      </c>
      <c r="C26883" s="1">
        <v>1.89918493313286E-3</v>
      </c>
      <c r="D26883" s="1">
        <v>0</v>
      </c>
      <c r="E26883" s="1">
        <v>1.9151846785225701E-3</v>
      </c>
      <c r="F26883" s="1">
        <v>1.75296250663621E-3</v>
      </c>
    </row>
    <row r="26884" spans="1:6" x14ac:dyDescent="0.25">
      <c r="A26884" s="2" t="str">
        <f t="shared" si="951"/>
        <v>28740</v>
      </c>
      <c r="B26884" s="2" t="str">
        <f>"13731"</f>
        <v>13731</v>
      </c>
      <c r="C26884" s="1">
        <v>1.1304672221028899E-5</v>
      </c>
      <c r="D26884" s="1">
        <v>0</v>
      </c>
      <c r="E26884" s="1">
        <v>0</v>
      </c>
      <c r="F26884" s="1">
        <v>1.0016928609349801E-5</v>
      </c>
    </row>
    <row r="26885" spans="1:6" x14ac:dyDescent="0.25">
      <c r="A26885" s="2" t="str">
        <f t="shared" si="951"/>
        <v>28740</v>
      </c>
      <c r="B26885" s="2" t="str">
        <f>"12493"</f>
        <v>12493</v>
      </c>
      <c r="C26885" s="1">
        <v>2.26093444420579E-5</v>
      </c>
      <c r="D26885" s="1">
        <v>1.29584035246857E-4</v>
      </c>
      <c r="E26885" s="1">
        <v>2.7359781121750999E-4</v>
      </c>
      <c r="F26885" s="1">
        <v>4.0067714437399202E-5</v>
      </c>
    </row>
    <row r="26886" spans="1:6" x14ac:dyDescent="0.25">
      <c r="A26886" s="2" t="str">
        <f t="shared" si="951"/>
        <v>28740</v>
      </c>
      <c r="B26886" s="2" t="str">
        <f>"12455"</f>
        <v>12455</v>
      </c>
      <c r="C26886" s="1">
        <v>1.35656066652347E-4</v>
      </c>
      <c r="D26886" s="1">
        <v>0</v>
      </c>
      <c r="E26886" s="1">
        <v>0</v>
      </c>
      <c r="F26886" s="1">
        <v>1.20203143312197E-4</v>
      </c>
    </row>
    <row r="26887" spans="1:6" x14ac:dyDescent="0.25">
      <c r="A26887" s="2" t="str">
        <f t="shared" si="951"/>
        <v>28740</v>
      </c>
      <c r="B26887" s="2" t="str">
        <f>"12412"</f>
        <v>12412</v>
      </c>
      <c r="C26887" s="1">
        <v>2.8939960885834099E-3</v>
      </c>
      <c r="D26887" s="1">
        <v>1.1662563172217099E-3</v>
      </c>
      <c r="E26887" s="1">
        <v>1.36798905608755E-3</v>
      </c>
      <c r="F26887" s="1">
        <v>2.7045707245244399E-3</v>
      </c>
    </row>
    <row r="26888" spans="1:6" x14ac:dyDescent="0.25">
      <c r="A26888" s="2" t="str">
        <f t="shared" si="951"/>
        <v>28740</v>
      </c>
      <c r="B26888" s="2" t="str">
        <f>"12588"</f>
        <v>12588</v>
      </c>
      <c r="C26888" s="1">
        <v>0</v>
      </c>
      <c r="D26888" s="1">
        <v>0</v>
      </c>
      <c r="E26888" s="1">
        <v>2.7359781121750999E-4</v>
      </c>
      <c r="F26888" s="1">
        <v>1.0016928609349801E-5</v>
      </c>
    </row>
    <row r="26889" spans="1:6" x14ac:dyDescent="0.25">
      <c r="A26889" s="2" t="str">
        <f t="shared" si="951"/>
        <v>28740</v>
      </c>
      <c r="B26889" s="2" t="str">
        <f>"12542"</f>
        <v>12542</v>
      </c>
      <c r="C26889" s="1">
        <v>3.5937552990651003E-2</v>
      </c>
      <c r="D26889" s="1">
        <v>2.6046391084618301E-2</v>
      </c>
      <c r="E26889" s="1">
        <v>2.4076607387140899E-2</v>
      </c>
      <c r="F26889" s="1">
        <v>3.4738708417225102E-2</v>
      </c>
    </row>
    <row r="26890" spans="1:6" x14ac:dyDescent="0.25">
      <c r="A26890" s="2" t="str">
        <f t="shared" si="951"/>
        <v>28740</v>
      </c>
      <c r="B26890" s="2" t="str">
        <f>"12740"</f>
        <v>12740</v>
      </c>
      <c r="C26890" s="1">
        <v>2.3061531330898998E-3</v>
      </c>
      <c r="D26890" s="1">
        <v>3.8875210574057203E-4</v>
      </c>
      <c r="E26890" s="1">
        <v>0</v>
      </c>
      <c r="F26890" s="1">
        <v>2.0735042221353998E-3</v>
      </c>
    </row>
    <row r="26891" spans="1:6" x14ac:dyDescent="0.25">
      <c r="A26891" s="2" t="str">
        <f t="shared" si="951"/>
        <v>28740</v>
      </c>
      <c r="B26891" s="2" t="str">
        <f>"12483"</f>
        <v>12483</v>
      </c>
      <c r="C26891" s="1">
        <v>5.6523361105144702E-5</v>
      </c>
      <c r="D26891" s="1">
        <v>0</v>
      </c>
      <c r="E26891" s="1">
        <v>2.7359781121750999E-4</v>
      </c>
      <c r="F26891" s="1">
        <v>6.01015716560988E-5</v>
      </c>
    </row>
    <row r="26892" spans="1:6" x14ac:dyDescent="0.25">
      <c r="A26892" s="2" t="str">
        <f t="shared" si="951"/>
        <v>28740</v>
      </c>
      <c r="B26892" s="2" t="str">
        <f>"12448"</f>
        <v>12448</v>
      </c>
      <c r="C26892" s="1">
        <v>5.53928938830418E-4</v>
      </c>
      <c r="D26892" s="1">
        <v>6.47920176234287E-4</v>
      </c>
      <c r="E26892" s="1">
        <v>8.2079343365253001E-4</v>
      </c>
      <c r="F26892" s="1">
        <v>5.7096493073293796E-4</v>
      </c>
    </row>
    <row r="26893" spans="1:6" x14ac:dyDescent="0.25">
      <c r="A26893" s="2" t="str">
        <f t="shared" ref="A26893:A26928" si="952">"28740"</f>
        <v>28740</v>
      </c>
      <c r="B26893" s="2" t="str">
        <f>"12486"</f>
        <v>12486</v>
      </c>
      <c r="C26893" s="1">
        <v>6.4097491493234097E-3</v>
      </c>
      <c r="D26893" s="1">
        <v>3.8875210574057203E-4</v>
      </c>
      <c r="E26893" s="1">
        <v>1.9151846785225701E-3</v>
      </c>
      <c r="F26893" s="1">
        <v>5.7797678075948303E-3</v>
      </c>
    </row>
    <row r="26894" spans="1:6" x14ac:dyDescent="0.25">
      <c r="A26894" s="2" t="str">
        <f t="shared" si="952"/>
        <v>28740</v>
      </c>
      <c r="B26894" s="2" t="str">
        <f>"12481"</f>
        <v>12481</v>
      </c>
      <c r="C26894" s="1">
        <v>6.9749827603748597E-3</v>
      </c>
      <c r="D26894" s="1">
        <v>2.5916807049371502E-3</v>
      </c>
      <c r="E26894" s="1">
        <v>2.4623803009575901E-3</v>
      </c>
      <c r="F26894" s="1">
        <v>6.4709358816399699E-3</v>
      </c>
    </row>
    <row r="26895" spans="1:6" x14ac:dyDescent="0.25">
      <c r="A26895" s="2" t="str">
        <f t="shared" si="952"/>
        <v>28740</v>
      </c>
      <c r="B26895" s="2" t="str">
        <f>"12480"</f>
        <v>12480</v>
      </c>
      <c r="C26895" s="1">
        <v>3.36879232186662E-3</v>
      </c>
      <c r="D26895" s="1">
        <v>1.2958403524685701E-3</v>
      </c>
      <c r="E26895" s="1">
        <v>8.2079343365253001E-4</v>
      </c>
      <c r="F26895" s="1">
        <v>3.1152647975077798E-3</v>
      </c>
    </row>
    <row r="26896" spans="1:6" x14ac:dyDescent="0.25">
      <c r="A26896" s="2" t="str">
        <f t="shared" si="952"/>
        <v>28740</v>
      </c>
      <c r="B26896" s="2" t="str">
        <f>"12477"</f>
        <v>12477</v>
      </c>
      <c r="C26896" s="1">
        <v>0.106218700188788</v>
      </c>
      <c r="D26896" s="1">
        <v>7.9823765712064204E-2</v>
      </c>
      <c r="E26896" s="1">
        <v>0.118194254445964</v>
      </c>
      <c r="F26896" s="1">
        <v>0.10461680239604899</v>
      </c>
    </row>
    <row r="26897" spans="1:6" x14ac:dyDescent="0.25">
      <c r="A26897" s="2" t="str">
        <f t="shared" si="952"/>
        <v>28740</v>
      </c>
      <c r="B26897" s="2" t="str">
        <f>"12458"</f>
        <v>12458</v>
      </c>
      <c r="C26897" s="1">
        <v>9.3602685990119699E-3</v>
      </c>
      <c r="D26897" s="1">
        <v>3.1100168459245801E-3</v>
      </c>
      <c r="E26897" s="1">
        <v>2.7359781121751E-3</v>
      </c>
      <c r="F26897" s="1">
        <v>8.6345924612595201E-3</v>
      </c>
    </row>
    <row r="26898" spans="1:6" x14ac:dyDescent="0.25">
      <c r="A26898" s="2" t="str">
        <f t="shared" si="952"/>
        <v>28740</v>
      </c>
      <c r="B26898" s="2" t="str">
        <f>"12410"</f>
        <v>12410</v>
      </c>
      <c r="C26898" s="1">
        <v>2.7357306774889998E-3</v>
      </c>
      <c r="D26898" s="1">
        <v>1.0366722819748599E-3</v>
      </c>
      <c r="E26898" s="1">
        <v>2.7359781121750999E-4</v>
      </c>
      <c r="F26898" s="1">
        <v>2.5142490809468001E-3</v>
      </c>
    </row>
    <row r="26899" spans="1:6" x14ac:dyDescent="0.25">
      <c r="A26899" s="2" t="str">
        <f t="shared" si="952"/>
        <v>28740</v>
      </c>
      <c r="B26899" s="2" t="str">
        <f>"12409"</f>
        <v>12409</v>
      </c>
      <c r="C26899" s="1">
        <v>4.5105642161905497E-3</v>
      </c>
      <c r="D26899" s="1">
        <v>1.1662563172217099E-3</v>
      </c>
      <c r="E26899" s="1">
        <v>8.2079343365253001E-4</v>
      </c>
      <c r="F26899" s="1">
        <v>4.1169576584427596E-3</v>
      </c>
    </row>
    <row r="26900" spans="1:6" x14ac:dyDescent="0.25">
      <c r="A26900" s="2" t="str">
        <f t="shared" si="952"/>
        <v>28740</v>
      </c>
      <c r="B26900" s="2" t="str">
        <f>"12402"</f>
        <v>12402</v>
      </c>
      <c r="C26900" s="1">
        <v>2.3660678958613499E-2</v>
      </c>
      <c r="D26900" s="1">
        <v>9.0579240637553404E-2</v>
      </c>
      <c r="E26900" s="1">
        <v>8.2079343365253001E-4</v>
      </c>
      <c r="F26900" s="1">
        <v>2.79973154631326E-2</v>
      </c>
    </row>
    <row r="26901" spans="1:6" x14ac:dyDescent="0.25">
      <c r="A26901" s="2" t="str">
        <f t="shared" si="952"/>
        <v>28740</v>
      </c>
      <c r="B26901" s="2" t="str">
        <f>"12561"</f>
        <v>12561</v>
      </c>
      <c r="C26901" s="1">
        <v>8.5440712646536798E-2</v>
      </c>
      <c r="D26901" s="1">
        <v>0.119346896462355</v>
      </c>
      <c r="E26901" s="1">
        <v>0.121477428180574</v>
      </c>
      <c r="F26901" s="1">
        <v>8.9381053981228198E-2</v>
      </c>
    </row>
    <row r="26902" spans="1:6" x14ac:dyDescent="0.25">
      <c r="A26902" s="2" t="str">
        <f t="shared" si="952"/>
        <v>28740</v>
      </c>
      <c r="B26902" s="2" t="str">
        <f>"12758"</f>
        <v>12758</v>
      </c>
      <c r="C26902" s="1">
        <v>5.0871024994630205E-4</v>
      </c>
      <c r="D26902" s="1">
        <v>5.1833614098742995E-4</v>
      </c>
      <c r="E26902" s="1">
        <v>0</v>
      </c>
      <c r="F26902" s="1">
        <v>4.9082950185814003E-4</v>
      </c>
    </row>
    <row r="26903" spans="1:6" x14ac:dyDescent="0.25">
      <c r="A26903" s="2" t="str">
        <f t="shared" si="952"/>
        <v>28740</v>
      </c>
      <c r="B26903" s="2" t="str">
        <f>"12528"</f>
        <v>12528</v>
      </c>
      <c r="C26903" s="1">
        <v>8.1190155891429902E-2</v>
      </c>
      <c r="D26903" s="1">
        <v>7.7750421148114507E-2</v>
      </c>
      <c r="E26903" s="1">
        <v>9.7400820793433596E-2</v>
      </c>
      <c r="F26903" s="1">
        <v>8.15177650228886E-2</v>
      </c>
    </row>
    <row r="26904" spans="1:6" x14ac:dyDescent="0.25">
      <c r="A26904" s="2" t="str">
        <f t="shared" si="952"/>
        <v>28740</v>
      </c>
      <c r="B26904" s="2" t="str">
        <f>"12463"</f>
        <v>12463</v>
      </c>
      <c r="C26904" s="1">
        <v>1.8087475553646301E-4</v>
      </c>
      <c r="D26904" s="1">
        <v>0</v>
      </c>
      <c r="E26904" s="1">
        <v>0</v>
      </c>
      <c r="F26904" s="1">
        <v>1.60270857749596E-4</v>
      </c>
    </row>
    <row r="26905" spans="1:6" x14ac:dyDescent="0.25">
      <c r="A26905" s="2" t="str">
        <f t="shared" si="952"/>
        <v>28740</v>
      </c>
      <c r="B26905" s="2" t="str">
        <f>"12487"</f>
        <v>12487</v>
      </c>
      <c r="C26905" s="1">
        <v>1.37464814207712E-2</v>
      </c>
      <c r="D26905" s="1">
        <v>4.9241933393805804E-3</v>
      </c>
      <c r="E26905" s="1">
        <v>6.0191518467852204E-3</v>
      </c>
      <c r="F26905" s="1">
        <v>1.2781600905530301E-2</v>
      </c>
    </row>
    <row r="26906" spans="1:6" x14ac:dyDescent="0.25">
      <c r="A26906" s="2" t="str">
        <f t="shared" si="952"/>
        <v>28740</v>
      </c>
      <c r="B26906" s="2" t="str">
        <f>"12548"</f>
        <v>12548</v>
      </c>
      <c r="C26906" s="1">
        <v>1.3203857154161801E-2</v>
      </c>
      <c r="D26906" s="1">
        <v>1.0885058960736001E-2</v>
      </c>
      <c r="E26906" s="1">
        <v>6.5663474692202401E-3</v>
      </c>
      <c r="F26906" s="1">
        <v>1.2781600905530301E-2</v>
      </c>
    </row>
    <row r="26907" spans="1:6" x14ac:dyDescent="0.25">
      <c r="A26907" s="2" t="str">
        <f t="shared" si="952"/>
        <v>28740</v>
      </c>
      <c r="B26907" s="2" t="str">
        <f>"12465"</f>
        <v>12465</v>
      </c>
      <c r="C26907" s="1">
        <v>6.6697566104070795E-4</v>
      </c>
      <c r="D26907" s="1">
        <v>1.29584035246857E-4</v>
      </c>
      <c r="E26907" s="1">
        <v>8.2079343365253001E-4</v>
      </c>
      <c r="F26907" s="1">
        <v>6.3106650238903695E-4</v>
      </c>
    </row>
    <row r="26908" spans="1:6" x14ac:dyDescent="0.25">
      <c r="A26908" s="2" t="str">
        <f t="shared" si="952"/>
        <v>28740</v>
      </c>
      <c r="B26908" s="2" t="str">
        <f>"12435"</f>
        <v>12435</v>
      </c>
      <c r="C26908" s="1">
        <v>1.66178681649125E-3</v>
      </c>
      <c r="D26908" s="1">
        <v>2.5916807049371497E-4</v>
      </c>
      <c r="E26908" s="1">
        <v>2.7359781121750999E-4</v>
      </c>
      <c r="F26908" s="1">
        <v>1.5025392914024701E-3</v>
      </c>
    </row>
    <row r="26909" spans="1:6" x14ac:dyDescent="0.25">
      <c r="A26909" s="2" t="str">
        <f t="shared" si="952"/>
        <v>28740</v>
      </c>
      <c r="B26909" s="2" t="str">
        <f>"12464"</f>
        <v>12464</v>
      </c>
      <c r="C26909" s="1">
        <v>4.6462202828428901E-3</v>
      </c>
      <c r="D26909" s="1">
        <v>2.5916807049371502E-3</v>
      </c>
      <c r="E26909" s="1">
        <v>5.7455540355677102E-3</v>
      </c>
      <c r="F26909" s="1">
        <v>4.5276517314261104E-3</v>
      </c>
    </row>
    <row r="26910" spans="1:6" x14ac:dyDescent="0.25">
      <c r="A26910" s="2" t="str">
        <f t="shared" si="952"/>
        <v>28740</v>
      </c>
      <c r="B26910" s="2" t="str">
        <f>"12586"</f>
        <v>12586</v>
      </c>
      <c r="C26910" s="1">
        <v>7.9132705547202599E-5</v>
      </c>
      <c r="D26910" s="1">
        <v>0</v>
      </c>
      <c r="E26910" s="1">
        <v>0</v>
      </c>
      <c r="F26910" s="1">
        <v>7.0118500265448595E-5</v>
      </c>
    </row>
    <row r="26911" spans="1:6" x14ac:dyDescent="0.25">
      <c r="A26911" s="2" t="str">
        <f t="shared" si="952"/>
        <v>28740</v>
      </c>
      <c r="B26911" s="2" t="str">
        <f>"12789"</f>
        <v>12789</v>
      </c>
      <c r="C26911" s="1">
        <v>2.3739811664160701E-4</v>
      </c>
      <c r="D26911" s="1">
        <v>3.8875210574057203E-4</v>
      </c>
      <c r="E26911" s="1">
        <v>0</v>
      </c>
      <c r="F26911" s="1">
        <v>2.4040628662439501E-4</v>
      </c>
    </row>
    <row r="26912" spans="1:6" x14ac:dyDescent="0.25">
      <c r="A26912" s="2" t="str">
        <f t="shared" si="952"/>
        <v>28740</v>
      </c>
      <c r="B26912" s="2" t="str">
        <f>"12429"</f>
        <v>12429</v>
      </c>
      <c r="C26912" s="1">
        <v>0</v>
      </c>
      <c r="D26912" s="1">
        <v>1.29584035246857E-4</v>
      </c>
      <c r="E26912" s="1">
        <v>2.7359781121750999E-4</v>
      </c>
      <c r="F26912" s="1">
        <v>2.0033857218699601E-5</v>
      </c>
    </row>
    <row r="26913" spans="1:6" x14ac:dyDescent="0.25">
      <c r="A26913" s="2" t="str">
        <f t="shared" si="952"/>
        <v>28740</v>
      </c>
      <c r="B26913" s="2" t="str">
        <f>"12495"</f>
        <v>12495</v>
      </c>
      <c r="C26913" s="1">
        <v>1.2774279609762699E-3</v>
      </c>
      <c r="D26913" s="1">
        <v>1.29584035246857E-4</v>
      </c>
      <c r="E26913" s="1">
        <v>2.7359781121750999E-4</v>
      </c>
      <c r="F26913" s="1">
        <v>1.1519467900752199E-3</v>
      </c>
    </row>
    <row r="26914" spans="1:6" x14ac:dyDescent="0.25">
      <c r="A26914" s="2" t="str">
        <f t="shared" si="952"/>
        <v>28740</v>
      </c>
      <c r="B26914" s="2" t="str">
        <f>"12498"</f>
        <v>12498</v>
      </c>
      <c r="C26914" s="1">
        <v>3.5734068890672502E-2</v>
      </c>
      <c r="D26914" s="1">
        <v>3.4080601269923502E-2</v>
      </c>
      <c r="E26914" s="1">
        <v>3.8850889192886401E-2</v>
      </c>
      <c r="F26914" s="1">
        <v>3.5720367420941299E-2</v>
      </c>
    </row>
    <row r="26915" spans="1:6" x14ac:dyDescent="0.25">
      <c r="A26915" s="2" t="str">
        <f t="shared" si="952"/>
        <v>28740</v>
      </c>
      <c r="B26915" s="2" t="str">
        <f>"12484"</f>
        <v>12484</v>
      </c>
      <c r="C26915" s="1">
        <v>1.4662159870674501E-2</v>
      </c>
      <c r="D26915" s="1">
        <v>7.7750421148114496E-3</v>
      </c>
      <c r="E26915" s="1">
        <v>4.1039671682626504E-3</v>
      </c>
      <c r="F26915" s="1">
        <v>1.37432260520279E-2</v>
      </c>
    </row>
    <row r="26916" spans="1:6" x14ac:dyDescent="0.25">
      <c r="A26916" s="2" t="str">
        <f t="shared" si="952"/>
        <v>28740</v>
      </c>
      <c r="B26916" s="2" t="str">
        <f>"12461"</f>
        <v>12461</v>
      </c>
      <c r="C26916" s="1">
        <v>1.0965532054398E-2</v>
      </c>
      <c r="D26916" s="1">
        <v>1.1662563172217099E-3</v>
      </c>
      <c r="E26916" s="1">
        <v>1.64158686730506E-3</v>
      </c>
      <c r="F26916" s="1">
        <v>9.8666746802095508E-3</v>
      </c>
    </row>
    <row r="26917" spans="1:6" x14ac:dyDescent="0.25">
      <c r="A26917" s="2" t="str">
        <f t="shared" si="952"/>
        <v>28740</v>
      </c>
      <c r="B26917" s="2" t="str">
        <f>"12457"</f>
        <v>12457</v>
      </c>
      <c r="C26917" s="1">
        <v>4.1035960162334999E-3</v>
      </c>
      <c r="D26917" s="1">
        <v>2.4620966696902902E-3</v>
      </c>
      <c r="E26917" s="1">
        <v>2.7359781121751E-3</v>
      </c>
      <c r="F26917" s="1">
        <v>3.9266360148651203E-3</v>
      </c>
    </row>
    <row r="26918" spans="1:6" x14ac:dyDescent="0.25">
      <c r="A26918" s="2" t="str">
        <f t="shared" si="952"/>
        <v>28740</v>
      </c>
      <c r="B26918" s="2" t="str">
        <f>"12428"</f>
        <v>12428</v>
      </c>
      <c r="C26918" s="1">
        <v>3.7881956612668001E-2</v>
      </c>
      <c r="D26918" s="1">
        <v>4.0948555138006902E-2</v>
      </c>
      <c r="E26918" s="1">
        <v>6.5663474692202406E-2</v>
      </c>
      <c r="F26918" s="1">
        <v>3.9136140076729602E-2</v>
      </c>
    </row>
    <row r="26919" spans="1:6" x14ac:dyDescent="0.25">
      <c r="A26919" s="2" t="str">
        <f t="shared" si="952"/>
        <v>28740</v>
      </c>
      <c r="B26919" s="2" t="str">
        <f>"12419"</f>
        <v>12419</v>
      </c>
      <c r="C26919" s="1">
        <v>2.45311387196328E-3</v>
      </c>
      <c r="D26919" s="1">
        <v>5.1833614098742995E-4</v>
      </c>
      <c r="E26919" s="1">
        <v>1.9151846785225701E-3</v>
      </c>
      <c r="F26919" s="1">
        <v>2.2838597229317501E-3</v>
      </c>
    </row>
    <row r="26920" spans="1:6" x14ac:dyDescent="0.25">
      <c r="A26920" s="2" t="str">
        <f t="shared" si="952"/>
        <v>28740</v>
      </c>
      <c r="B26920" s="2" t="str">
        <f>"12547"</f>
        <v>12547</v>
      </c>
      <c r="C26920" s="1">
        <v>1.8607490475813601E-2</v>
      </c>
      <c r="D26920" s="1">
        <v>1.8271348969806901E-2</v>
      </c>
      <c r="E26920" s="1">
        <v>1.1764705882352899E-2</v>
      </c>
      <c r="F26920" s="1">
        <v>1.8330979355110098E-2</v>
      </c>
    </row>
    <row r="26921" spans="1:6" x14ac:dyDescent="0.25">
      <c r="A26921" s="2" t="str">
        <f t="shared" si="952"/>
        <v>28740</v>
      </c>
      <c r="B26921" s="2" t="str">
        <f>"12475"</f>
        <v>12475</v>
      </c>
      <c r="C26921" s="1">
        <v>2.26093444420579E-5</v>
      </c>
      <c r="D26921" s="1">
        <v>0</v>
      </c>
      <c r="E26921" s="1">
        <v>2.7359781121750999E-4</v>
      </c>
      <c r="F26921" s="1">
        <v>3.00507858280494E-5</v>
      </c>
    </row>
    <row r="26922" spans="1:6" x14ac:dyDescent="0.25">
      <c r="A26922" s="2" t="str">
        <f t="shared" si="952"/>
        <v>28740</v>
      </c>
      <c r="B26922" s="2" t="str">
        <f>"12433"</f>
        <v>12433</v>
      </c>
      <c r="C26922" s="1">
        <v>2.0913643608903498E-3</v>
      </c>
      <c r="D26922" s="1">
        <v>3.8875210574057203E-4</v>
      </c>
      <c r="E26922" s="1">
        <v>2.7359781121750999E-4</v>
      </c>
      <c r="F26922" s="1">
        <v>1.8931995071671101E-3</v>
      </c>
    </row>
    <row r="26923" spans="1:6" x14ac:dyDescent="0.25">
      <c r="A26923" s="2" t="str">
        <f t="shared" si="952"/>
        <v>28740</v>
      </c>
      <c r="B26923" s="2" t="str">
        <f>"12490"</f>
        <v>12490</v>
      </c>
      <c r="C26923" s="1">
        <v>4.5218688884115801E-5</v>
      </c>
      <c r="D26923" s="1">
        <v>0</v>
      </c>
      <c r="E26923" s="1">
        <v>2.7359781121750999E-4</v>
      </c>
      <c r="F26923" s="1">
        <v>5.0084643046748998E-5</v>
      </c>
    </row>
    <row r="26924" spans="1:6" x14ac:dyDescent="0.25">
      <c r="A26924" s="2" t="str">
        <f t="shared" si="952"/>
        <v>28740</v>
      </c>
      <c r="B26924" s="2" t="str">
        <f>"12441"</f>
        <v>12441</v>
      </c>
      <c r="C26924" s="1">
        <v>3.3914016663086798E-5</v>
      </c>
      <c r="D26924" s="1">
        <v>5.1833614098742995E-4</v>
      </c>
      <c r="E26924" s="1">
        <v>2.7359781121750999E-4</v>
      </c>
      <c r="F26924" s="1">
        <v>8.0135428874798404E-5</v>
      </c>
    </row>
    <row r="26925" spans="1:6" x14ac:dyDescent="0.25">
      <c r="A26925" s="2" t="str">
        <f t="shared" si="952"/>
        <v>28740</v>
      </c>
      <c r="B26925" s="2" t="str">
        <f>"12494"</f>
        <v>12494</v>
      </c>
      <c r="C26925" s="1">
        <v>4.5557829050746597E-3</v>
      </c>
      <c r="D26925" s="1">
        <v>6.47920176234287E-4</v>
      </c>
      <c r="E26925" s="1">
        <v>2.7359781121750999E-4</v>
      </c>
      <c r="F26925" s="1">
        <v>4.0969238012240599E-3</v>
      </c>
    </row>
    <row r="26926" spans="1:6" x14ac:dyDescent="0.25">
      <c r="A26926" s="2" t="str">
        <f t="shared" si="952"/>
        <v>28740</v>
      </c>
      <c r="B26926" s="2" t="str">
        <f>"12449"</f>
        <v>12449</v>
      </c>
      <c r="C26926" s="1">
        <v>2.2722391164268101E-2</v>
      </c>
      <c r="D26926" s="1">
        <v>2.5787223014124599E-2</v>
      </c>
      <c r="E26926" s="1">
        <v>1.5868673050615501E-2</v>
      </c>
      <c r="F26926" s="1">
        <v>2.27083771573959E-2</v>
      </c>
    </row>
    <row r="26927" spans="1:6" x14ac:dyDescent="0.25">
      <c r="A26927" s="2" t="str">
        <f t="shared" si="952"/>
        <v>28740</v>
      </c>
      <c r="B26927" s="2" t="str">
        <f>"12440"</f>
        <v>12440</v>
      </c>
      <c r="C26927" s="1">
        <v>1.07959619710826E-2</v>
      </c>
      <c r="D26927" s="1">
        <v>3.8875210574057201E-3</v>
      </c>
      <c r="E26927" s="1">
        <v>7.1135430916552597E-3</v>
      </c>
      <c r="F26927" s="1">
        <v>1.01271148240526E-2</v>
      </c>
    </row>
    <row r="26928" spans="1:6" x14ac:dyDescent="0.25">
      <c r="A26928" s="2" t="str">
        <f t="shared" si="952"/>
        <v>28740</v>
      </c>
      <c r="B26928" s="2" t="str">
        <f>"12406"</f>
        <v>12406</v>
      </c>
      <c r="C26928" s="1">
        <v>1.0061158276715701E-3</v>
      </c>
      <c r="D26928" s="1">
        <v>1.29584035246857E-4</v>
      </c>
      <c r="E26928" s="1">
        <v>0</v>
      </c>
      <c r="F26928" s="1">
        <v>9.0152357484148203E-4</v>
      </c>
    </row>
    <row r="26929" spans="1:6" x14ac:dyDescent="0.25">
      <c r="A26929" s="2" t="str">
        <f t="shared" ref="A26929:A26956" si="953">"38460"</f>
        <v>38460</v>
      </c>
      <c r="B26929" s="2" t="str">
        <f>"12981"</f>
        <v>12981</v>
      </c>
      <c r="C26929" s="1">
        <v>2.8955110045761599E-2</v>
      </c>
      <c r="D26929" s="1">
        <v>1.1992945326278599E-2</v>
      </c>
      <c r="E26929" s="1">
        <v>1.1036174126302801E-2</v>
      </c>
      <c r="F26929" s="1">
        <v>2.70775656904172E-2</v>
      </c>
    </row>
    <row r="26930" spans="1:6" x14ac:dyDescent="0.25">
      <c r="A26930" s="2" t="str">
        <f t="shared" si="953"/>
        <v>38460</v>
      </c>
      <c r="B26930" s="2" t="str">
        <f>"12911"</f>
        <v>12911</v>
      </c>
      <c r="C26930" s="1">
        <v>4.9030289823490895E-4</v>
      </c>
      <c r="D26930" s="1">
        <v>3.5273368606701899E-4</v>
      </c>
      <c r="E26930" s="1">
        <v>6.1312078479460396E-4</v>
      </c>
      <c r="F26930" s="1">
        <v>4.8569624556802098E-4</v>
      </c>
    </row>
    <row r="26931" spans="1:6" x14ac:dyDescent="0.25">
      <c r="A26931" s="2" t="str">
        <f t="shared" si="953"/>
        <v>38460</v>
      </c>
      <c r="B26931" s="2" t="str">
        <f>"12929"</f>
        <v>12929</v>
      </c>
      <c r="C26931" s="1">
        <v>0</v>
      </c>
      <c r="D26931" s="1">
        <v>3.5273368606701899E-4</v>
      </c>
      <c r="E26931" s="1">
        <v>6.1312078479460396E-4</v>
      </c>
      <c r="F26931" s="1">
        <v>4.8569624556802098E-5</v>
      </c>
    </row>
    <row r="26932" spans="1:6" x14ac:dyDescent="0.25">
      <c r="A26932" s="2" t="str">
        <f t="shared" si="953"/>
        <v>38460</v>
      </c>
      <c r="B26932" s="2" t="str">
        <f>"12920"</f>
        <v>12920</v>
      </c>
      <c r="C26932" s="1">
        <v>1.41643059490084E-3</v>
      </c>
      <c r="D26932" s="1">
        <v>1.05820105820105E-3</v>
      </c>
      <c r="E26932" s="1">
        <v>0</v>
      </c>
      <c r="F26932" s="1">
        <v>1.3356646753120501E-3</v>
      </c>
    </row>
    <row r="26933" spans="1:6" x14ac:dyDescent="0.25">
      <c r="A26933" s="2" t="str">
        <f t="shared" si="953"/>
        <v>38460</v>
      </c>
      <c r="B26933" s="2" t="str">
        <f>"12944"</f>
        <v>12944</v>
      </c>
      <c r="C26933" s="1">
        <v>2.2989758117236799E-2</v>
      </c>
      <c r="D26933" s="1">
        <v>1.1287477954144601E-2</v>
      </c>
      <c r="E26933" s="1">
        <v>2.14592274678111E-2</v>
      </c>
      <c r="F26933" s="1">
        <v>2.2123463985623301E-2</v>
      </c>
    </row>
    <row r="26934" spans="1:6" x14ac:dyDescent="0.25">
      <c r="A26934" s="2" t="str">
        <f t="shared" si="953"/>
        <v>38460</v>
      </c>
      <c r="B26934" s="2" t="str">
        <f>"12910"</f>
        <v>12910</v>
      </c>
      <c r="C26934" s="1">
        <v>2.3725212464589199E-2</v>
      </c>
      <c r="D26934" s="1">
        <v>3.5273368606701899E-3</v>
      </c>
      <c r="E26934" s="1">
        <v>3.6787247087676201E-3</v>
      </c>
      <c r="F26934" s="1">
        <v>2.15406284909417E-2</v>
      </c>
    </row>
    <row r="26935" spans="1:6" x14ac:dyDescent="0.25">
      <c r="A26935" s="2" t="str">
        <f t="shared" si="953"/>
        <v>38460</v>
      </c>
      <c r="B26935" s="2" t="str">
        <f>"12978"</f>
        <v>12978</v>
      </c>
      <c r="C26935" s="1">
        <v>3.3776421878404799E-3</v>
      </c>
      <c r="D26935" s="1">
        <v>7.0546737213403798E-4</v>
      </c>
      <c r="E26935" s="1">
        <v>1.83936235438381E-3</v>
      </c>
      <c r="F26935" s="1">
        <v>3.1327407839137401E-3</v>
      </c>
    </row>
    <row r="26936" spans="1:6" x14ac:dyDescent="0.25">
      <c r="A26936" s="2" t="str">
        <f t="shared" si="953"/>
        <v>38460</v>
      </c>
      <c r="B26936" s="2" t="str">
        <f>"12997"</f>
        <v>12997</v>
      </c>
      <c r="C26936" s="1">
        <v>1.08956199607757E-4</v>
      </c>
      <c r="D26936" s="1">
        <v>0</v>
      </c>
      <c r="E26936" s="1">
        <v>0</v>
      </c>
      <c r="F26936" s="1">
        <v>9.7139249113604303E-5</v>
      </c>
    </row>
    <row r="26937" spans="1:6" x14ac:dyDescent="0.25">
      <c r="A26937" s="2" t="str">
        <f t="shared" si="953"/>
        <v>38460</v>
      </c>
      <c r="B26937" s="2" t="str">
        <f>"12985"</f>
        <v>12985</v>
      </c>
      <c r="C26937" s="1">
        <v>1.0323599912835E-2</v>
      </c>
      <c r="D26937" s="1">
        <v>1.4109347442680701E-3</v>
      </c>
      <c r="E26937" s="1">
        <v>1.83936235438381E-3</v>
      </c>
      <c r="F26937" s="1">
        <v>9.3739375394628101E-3</v>
      </c>
    </row>
    <row r="26938" spans="1:6" x14ac:dyDescent="0.25">
      <c r="A26938" s="2" t="str">
        <f t="shared" si="953"/>
        <v>38460</v>
      </c>
      <c r="B26938" s="2" t="str">
        <f>"12962"</f>
        <v>12962</v>
      </c>
      <c r="C26938" s="1">
        <v>6.2922205273479997E-2</v>
      </c>
      <c r="D26938" s="1">
        <v>1.0229276895943501E-2</v>
      </c>
      <c r="E26938" s="1">
        <v>2.5137952176578701E-2</v>
      </c>
      <c r="F26938" s="1">
        <v>5.7797853222594502E-2</v>
      </c>
    </row>
    <row r="26939" spans="1:6" x14ac:dyDescent="0.25">
      <c r="A26939" s="2" t="str">
        <f t="shared" si="953"/>
        <v>38460</v>
      </c>
      <c r="B26939" s="2" t="str">
        <f>"12958"</f>
        <v>12958</v>
      </c>
      <c r="C26939" s="1">
        <v>2.35890172150795E-2</v>
      </c>
      <c r="D26939" s="1">
        <v>5.9964726631393196E-3</v>
      </c>
      <c r="E26939" s="1">
        <v>7.9705702023298505E-3</v>
      </c>
      <c r="F26939" s="1">
        <v>2.1759191801447302E-2</v>
      </c>
    </row>
    <row r="26940" spans="1:6" x14ac:dyDescent="0.25">
      <c r="A26940" s="2" t="str">
        <f t="shared" si="953"/>
        <v>38460</v>
      </c>
      <c r="B26940" s="2" t="str">
        <f>"12935"</f>
        <v>12935</v>
      </c>
      <c r="C26940" s="1">
        <v>2.1655044672041799E-2</v>
      </c>
      <c r="D26940" s="1">
        <v>3.88007054673721E-3</v>
      </c>
      <c r="E26940" s="1">
        <v>3.0656039239730201E-3</v>
      </c>
      <c r="F26940" s="1">
        <v>1.9694982757783201E-2</v>
      </c>
    </row>
    <row r="26941" spans="1:6" x14ac:dyDescent="0.25">
      <c r="A26941" s="2" t="str">
        <f t="shared" si="953"/>
        <v>38460</v>
      </c>
      <c r="B26941" s="2" t="str">
        <f>"12955"</f>
        <v>12955</v>
      </c>
      <c r="C26941" s="1">
        <v>6.6735672259751501E-3</v>
      </c>
      <c r="D26941" s="1">
        <v>7.0546737213403798E-4</v>
      </c>
      <c r="E26941" s="1">
        <v>6.1312078479460396E-4</v>
      </c>
      <c r="F26941" s="1">
        <v>6.0226334450434599E-3</v>
      </c>
    </row>
    <row r="26942" spans="1:6" x14ac:dyDescent="0.25">
      <c r="A26942" s="2" t="str">
        <f t="shared" si="953"/>
        <v>38460</v>
      </c>
      <c r="B26942" s="2" t="str">
        <f>"12923"</f>
        <v>12923</v>
      </c>
      <c r="C26942" s="1">
        <v>8.2261930703857004E-3</v>
      </c>
      <c r="D26942" s="1">
        <v>2.11640211640211E-3</v>
      </c>
      <c r="E26942" s="1">
        <v>1.83936235438381E-3</v>
      </c>
      <c r="F26942" s="1">
        <v>7.5525766185827303E-3</v>
      </c>
    </row>
    <row r="26943" spans="1:6" x14ac:dyDescent="0.25">
      <c r="A26943" s="2" t="str">
        <f t="shared" si="953"/>
        <v>38460</v>
      </c>
      <c r="B26943" s="2" t="str">
        <f>"12972"</f>
        <v>12972</v>
      </c>
      <c r="C26943" s="1">
        <v>6.8179341904554297E-2</v>
      </c>
      <c r="D26943" s="1">
        <v>1.72839506172839E-2</v>
      </c>
      <c r="E26943" s="1">
        <v>3.2495401594114001E-2</v>
      </c>
      <c r="F26943" s="1">
        <v>6.3261935985234802E-2</v>
      </c>
    </row>
    <row r="26944" spans="1:6" x14ac:dyDescent="0.25">
      <c r="A26944" s="2" t="str">
        <f t="shared" si="953"/>
        <v>38460</v>
      </c>
      <c r="B26944" s="2" t="str">
        <f>"12924"</f>
        <v>12924</v>
      </c>
      <c r="C26944" s="1">
        <v>2.0156896927435099E-3</v>
      </c>
      <c r="D26944" s="1">
        <v>1.05820105820105E-3</v>
      </c>
      <c r="E26944" s="1">
        <v>1.83936235438381E-3</v>
      </c>
      <c r="F26944" s="1">
        <v>1.94278498227208E-3</v>
      </c>
    </row>
    <row r="26945" spans="1:6" x14ac:dyDescent="0.25">
      <c r="A26945" s="2" t="str">
        <f t="shared" si="953"/>
        <v>38460</v>
      </c>
      <c r="B26945" s="2" t="str">
        <f>"12901"</f>
        <v>12901</v>
      </c>
      <c r="C26945" s="1">
        <v>0.44652974504249199</v>
      </c>
      <c r="D26945" s="1">
        <v>0.74462081128747704</v>
      </c>
      <c r="E26945" s="1">
        <v>0.65481299816063698</v>
      </c>
      <c r="F26945" s="1">
        <v>0.47530234591286602</v>
      </c>
    </row>
    <row r="26946" spans="1:6" x14ac:dyDescent="0.25">
      <c r="A26946" s="2" t="str">
        <f t="shared" si="953"/>
        <v>38460</v>
      </c>
      <c r="B26946" s="2" t="str">
        <f>"12992"</f>
        <v>12992</v>
      </c>
      <c r="C26946" s="1">
        <v>5.83460448899542E-2</v>
      </c>
      <c r="D26946" s="1">
        <v>1.4109347442680701E-2</v>
      </c>
      <c r="E26946" s="1">
        <v>1.65542611894543E-2</v>
      </c>
      <c r="F26946" s="1">
        <v>5.3645150322988E-2</v>
      </c>
    </row>
    <row r="26947" spans="1:6" x14ac:dyDescent="0.25">
      <c r="A26947" s="2" t="str">
        <f t="shared" si="953"/>
        <v>38460</v>
      </c>
      <c r="B26947" s="2" t="str">
        <f>"12934"</f>
        <v>12934</v>
      </c>
      <c r="C26947" s="1">
        <v>1.2284811505774601E-2</v>
      </c>
      <c r="D26947" s="1">
        <v>3.5273368606701899E-3</v>
      </c>
      <c r="E26947" s="1">
        <v>5.5180870631514403E-3</v>
      </c>
      <c r="F26947" s="1">
        <v>1.14138617708485E-2</v>
      </c>
    </row>
    <row r="26948" spans="1:6" x14ac:dyDescent="0.25">
      <c r="A26948" s="2" t="str">
        <f t="shared" si="953"/>
        <v>38460</v>
      </c>
      <c r="B26948" s="2" t="str">
        <f>"12921"</f>
        <v>12921</v>
      </c>
      <c r="C26948" s="1">
        <v>3.0371540640662401E-2</v>
      </c>
      <c r="D26948" s="1">
        <v>5.6437389770723099E-3</v>
      </c>
      <c r="E26948" s="1">
        <v>2.32985898221949E-2</v>
      </c>
      <c r="F26948" s="1">
        <v>2.8388945553450801E-2</v>
      </c>
    </row>
    <row r="26949" spans="1:6" x14ac:dyDescent="0.25">
      <c r="A26949" s="2" t="str">
        <f t="shared" si="953"/>
        <v>38460</v>
      </c>
      <c r="B26949" s="2" t="str">
        <f>"12918"</f>
        <v>12918</v>
      </c>
      <c r="C26949" s="1">
        <v>2.68304641534103E-2</v>
      </c>
      <c r="D26949" s="1">
        <v>5.2910052910052898E-3</v>
      </c>
      <c r="E26949" s="1">
        <v>7.9705702023298505E-3</v>
      </c>
      <c r="F26949" s="1">
        <v>2.4600514838020299E-2</v>
      </c>
    </row>
    <row r="26950" spans="1:6" x14ac:dyDescent="0.25">
      <c r="A26950" s="2" t="str">
        <f t="shared" si="953"/>
        <v>38460</v>
      </c>
      <c r="B26950" s="2" t="str">
        <f>"12903"</f>
        <v>12903</v>
      </c>
      <c r="C26950" s="1">
        <v>2.5904336456744299E-2</v>
      </c>
      <c r="D26950" s="1">
        <v>5.4320987654320897E-2</v>
      </c>
      <c r="E26950" s="1">
        <v>5.70202329858982E-2</v>
      </c>
      <c r="F26950" s="1">
        <v>2.9093205109524501E-2</v>
      </c>
    </row>
    <row r="26951" spans="1:6" x14ac:dyDescent="0.25">
      <c r="A26951" s="2" t="str">
        <f t="shared" si="953"/>
        <v>38460</v>
      </c>
      <c r="B26951" s="2" t="str">
        <f>"12933"</f>
        <v>12933</v>
      </c>
      <c r="C26951" s="1">
        <v>0</v>
      </c>
      <c r="D26951" s="1">
        <v>0</v>
      </c>
      <c r="E26951" s="1">
        <v>6.1312078479460396E-4</v>
      </c>
      <c r="F26951" s="1">
        <v>2.4284812278401001E-5</v>
      </c>
    </row>
    <row r="26952" spans="1:6" x14ac:dyDescent="0.25">
      <c r="A26952" s="2" t="str">
        <f t="shared" si="953"/>
        <v>38460</v>
      </c>
      <c r="B26952" s="2" t="str">
        <f>"12959"</f>
        <v>12959</v>
      </c>
      <c r="C26952" s="1">
        <v>1.67247766397908E-2</v>
      </c>
      <c r="D26952" s="1">
        <v>2.8218694885361502E-3</v>
      </c>
      <c r="E26952" s="1">
        <v>1.83936235438381E-3</v>
      </c>
      <c r="F26952" s="1">
        <v>1.51780076740006E-2</v>
      </c>
    </row>
    <row r="26953" spans="1:6" x14ac:dyDescent="0.25">
      <c r="A26953" s="2" t="str">
        <f t="shared" si="953"/>
        <v>38460</v>
      </c>
      <c r="B26953" s="2" t="str">
        <f>"12952"</f>
        <v>12952</v>
      </c>
      <c r="C26953" s="1">
        <v>4.4944432338199997E-3</v>
      </c>
      <c r="D26953" s="1">
        <v>1.4109347442680701E-3</v>
      </c>
      <c r="E26953" s="1">
        <v>1.83936235438381E-3</v>
      </c>
      <c r="F26953" s="1">
        <v>4.1769877118849798E-3</v>
      </c>
    </row>
    <row r="26954" spans="1:6" x14ac:dyDescent="0.25">
      <c r="A26954" s="2" t="str">
        <f t="shared" si="953"/>
        <v>38460</v>
      </c>
      <c r="B26954" s="2" t="str">
        <f>"12919"</f>
        <v>12919</v>
      </c>
      <c r="C26954" s="1">
        <v>4.0123120505556699E-2</v>
      </c>
      <c r="D26954" s="1">
        <v>4.69135802469135E-2</v>
      </c>
      <c r="E26954" s="1">
        <v>3.80134886572654E-2</v>
      </c>
      <c r="F26954" s="1">
        <v>4.0507066880372998E-2</v>
      </c>
    </row>
    <row r="26955" spans="1:6" x14ac:dyDescent="0.25">
      <c r="A26955" s="2" t="str">
        <f t="shared" si="953"/>
        <v>38460</v>
      </c>
      <c r="B26955" s="2" t="str">
        <f>"12979"</f>
        <v>12979</v>
      </c>
      <c r="C26955" s="1">
        <v>3.4675310525168798E-2</v>
      </c>
      <c r="D26955" s="1">
        <v>4.7619047619047603E-2</v>
      </c>
      <c r="E26955" s="1">
        <v>5.6407112201103601E-2</v>
      </c>
      <c r="F26955" s="1">
        <v>3.6427218417601603E-2</v>
      </c>
    </row>
    <row r="26956" spans="1:6" x14ac:dyDescent="0.25">
      <c r="A26956" s="2" t="str">
        <f t="shared" si="953"/>
        <v>38460</v>
      </c>
      <c r="B26956" s="2" t="str">
        <f>"12912"</f>
        <v>12912</v>
      </c>
      <c r="C26956" s="1">
        <v>1.90673349313575E-2</v>
      </c>
      <c r="D26956" s="1">
        <v>1.76366843033509E-3</v>
      </c>
      <c r="E26956" s="1">
        <v>2.2072348252605699E-2</v>
      </c>
      <c r="F26956" s="1">
        <v>1.79950458982952E-2</v>
      </c>
    </row>
    <row r="26957" spans="1:6" x14ac:dyDescent="0.25">
      <c r="A26957" s="2" t="str">
        <f t="shared" ref="A26957:A26988" si="954">"36300"</f>
        <v>36300</v>
      </c>
      <c r="B26957" s="2" t="str">
        <f>"13652"</f>
        <v>13652</v>
      </c>
      <c r="C26957" s="1">
        <v>1.6904434351619702E-2</v>
      </c>
      <c r="D26957" s="1">
        <v>3.72786579683131E-3</v>
      </c>
      <c r="E26957" s="1">
        <v>2.3505708529214199E-3</v>
      </c>
      <c r="F26957" s="1">
        <v>1.5457306783665199E-2</v>
      </c>
    </row>
    <row r="26958" spans="1:6" x14ac:dyDescent="0.25">
      <c r="A26958" s="2" t="str">
        <f t="shared" si="954"/>
        <v>36300</v>
      </c>
      <c r="B26958" s="2" t="str">
        <f>"13648"</f>
        <v>13648</v>
      </c>
      <c r="C26958" s="1">
        <v>8.5935586001545296E-3</v>
      </c>
      <c r="D26958" s="1">
        <v>2.79589934762348E-3</v>
      </c>
      <c r="E26958" s="1">
        <v>3.3579583613163101E-4</v>
      </c>
      <c r="F26958" s="1">
        <v>7.8636517043536892E-3</v>
      </c>
    </row>
    <row r="26959" spans="1:6" x14ac:dyDescent="0.25">
      <c r="A26959" s="2" t="str">
        <f t="shared" si="954"/>
        <v>36300</v>
      </c>
      <c r="B26959" s="2" t="str">
        <f>"13697"</f>
        <v>13697</v>
      </c>
      <c r="C26959" s="1">
        <v>1.89209053389367E-2</v>
      </c>
      <c r="D26959" s="1">
        <v>4.3491767629698598E-3</v>
      </c>
      <c r="E26959" s="1">
        <v>2.6863666890530498E-3</v>
      </c>
      <c r="F26959" s="1">
        <v>1.7313533580830199E-2</v>
      </c>
    </row>
    <row r="26960" spans="1:6" x14ac:dyDescent="0.25">
      <c r="A26960" s="2" t="str">
        <f t="shared" si="954"/>
        <v>36300</v>
      </c>
      <c r="B26960" s="2" t="str">
        <f>"13687"</f>
        <v>13687</v>
      </c>
      <c r="C26960" s="1">
        <v>2.71375534741722E-3</v>
      </c>
      <c r="D26960" s="1">
        <v>3.10655483069276E-4</v>
      </c>
      <c r="E26960" s="1">
        <v>3.3579583613163101E-4</v>
      </c>
      <c r="F26960" s="1">
        <v>2.4637192035099498E-3</v>
      </c>
    </row>
    <row r="26961" spans="1:6" x14ac:dyDescent="0.25">
      <c r="A26961" s="2" t="str">
        <f t="shared" si="954"/>
        <v>36300</v>
      </c>
      <c r="B26961" s="2" t="str">
        <f>"13672"</f>
        <v>13672</v>
      </c>
      <c r="C26961" s="1">
        <v>4.8056084277179898E-3</v>
      </c>
      <c r="D26961" s="1">
        <v>7.1450761105933498E-3</v>
      </c>
      <c r="E26961" s="1">
        <v>6.7159167226326299E-4</v>
      </c>
      <c r="F26961" s="1">
        <v>4.7249409382382696E-3</v>
      </c>
    </row>
    <row r="26962" spans="1:6" x14ac:dyDescent="0.25">
      <c r="A26962" s="2" t="str">
        <f t="shared" si="954"/>
        <v>36300</v>
      </c>
      <c r="B26962" s="2" t="str">
        <f>"12914"</f>
        <v>12914</v>
      </c>
      <c r="C26962" s="1">
        <v>7.3497540659216403E-4</v>
      </c>
      <c r="D26962" s="1">
        <v>0</v>
      </c>
      <c r="E26962" s="1">
        <v>0</v>
      </c>
      <c r="F26962" s="1">
        <v>6.5811677354033003E-4</v>
      </c>
    </row>
    <row r="26963" spans="1:6" x14ac:dyDescent="0.25">
      <c r="A26963" s="2" t="str">
        <f t="shared" si="954"/>
        <v>36300</v>
      </c>
      <c r="B26963" s="2" t="str">
        <f>"13647"</f>
        <v>13647</v>
      </c>
      <c r="C26963" s="1">
        <v>1.88455232459529E-5</v>
      </c>
      <c r="D26963" s="1">
        <v>0</v>
      </c>
      <c r="E26963" s="1">
        <v>3.3579583613163101E-4</v>
      </c>
      <c r="F26963" s="1">
        <v>3.3749578130273301E-5</v>
      </c>
    </row>
    <row r="26964" spans="1:6" x14ac:dyDescent="0.25">
      <c r="A26964" s="2" t="str">
        <f t="shared" si="954"/>
        <v>36300</v>
      </c>
      <c r="B26964" s="2" t="str">
        <f>"13621"</f>
        <v>13621</v>
      </c>
      <c r="C26964" s="1">
        <v>5.55942935755611E-3</v>
      </c>
      <c r="D26964" s="1">
        <v>1.86393289841565E-3</v>
      </c>
      <c r="E26964" s="1">
        <v>1.00738750839489E-3</v>
      </c>
      <c r="F26964" s="1">
        <v>5.1299358758015497E-3</v>
      </c>
    </row>
    <row r="26965" spans="1:6" x14ac:dyDescent="0.25">
      <c r="A26965" s="2" t="str">
        <f t="shared" si="954"/>
        <v>36300</v>
      </c>
      <c r="B26965" s="2" t="str">
        <f>"13696"</f>
        <v>13696</v>
      </c>
      <c r="C26965" s="1">
        <v>1.3191866272167E-3</v>
      </c>
      <c r="D26965" s="1">
        <v>3.10655483069276E-4</v>
      </c>
      <c r="E26965" s="1">
        <v>3.3579583613163101E-4</v>
      </c>
      <c r="F26965" s="1">
        <v>1.21498481268984E-3</v>
      </c>
    </row>
    <row r="26966" spans="1:6" x14ac:dyDescent="0.25">
      <c r="A26966" s="2" t="str">
        <f t="shared" si="954"/>
        <v>36300</v>
      </c>
      <c r="B26966" s="2" t="str">
        <f>"13681"</f>
        <v>13681</v>
      </c>
      <c r="C26966" s="1">
        <v>7.2743719729378197E-3</v>
      </c>
      <c r="D26966" s="1">
        <v>1.2426219322771001E-3</v>
      </c>
      <c r="E26966" s="1">
        <v>2.0147750167897899E-3</v>
      </c>
      <c r="F26966" s="1">
        <v>6.6824164697941203E-3</v>
      </c>
    </row>
    <row r="26967" spans="1:6" x14ac:dyDescent="0.25">
      <c r="A26967" s="2" t="str">
        <f t="shared" si="954"/>
        <v>36300</v>
      </c>
      <c r="B26967" s="2" t="str">
        <f>"13668"</f>
        <v>13668</v>
      </c>
      <c r="C26967" s="1">
        <v>2.8230593822437401E-2</v>
      </c>
      <c r="D26967" s="1">
        <v>2.2988505747126398E-2</v>
      </c>
      <c r="E26967" s="1">
        <v>3.2572196104768303E-2</v>
      </c>
      <c r="F26967" s="1">
        <v>2.81640229497131E-2</v>
      </c>
    </row>
    <row r="26968" spans="1:6" x14ac:dyDescent="0.25">
      <c r="A26968" s="2" t="str">
        <f t="shared" si="954"/>
        <v>36300</v>
      </c>
      <c r="B26968" s="2" t="str">
        <f>"12927"</f>
        <v>12927</v>
      </c>
      <c r="C26968" s="1">
        <v>3.99525092814201E-3</v>
      </c>
      <c r="D26968" s="1">
        <v>1.86393289841565E-3</v>
      </c>
      <c r="E26968" s="1">
        <v>6.7159167226326299E-4</v>
      </c>
      <c r="F26968" s="1">
        <v>3.7124535943300701E-3</v>
      </c>
    </row>
    <row r="26969" spans="1:6" x14ac:dyDescent="0.25">
      <c r="A26969" s="2" t="str">
        <f t="shared" si="954"/>
        <v>36300</v>
      </c>
      <c r="B26969" s="2" t="str">
        <f>"13635"</f>
        <v>13635</v>
      </c>
      <c r="C26969" s="1">
        <v>7.9339652865461803E-3</v>
      </c>
      <c r="D26969" s="1">
        <v>2.79589934762348E-3</v>
      </c>
      <c r="E26969" s="1">
        <v>1.00738750839489E-3</v>
      </c>
      <c r="F26969" s="1">
        <v>7.3067836652041798E-3</v>
      </c>
    </row>
    <row r="26970" spans="1:6" x14ac:dyDescent="0.25">
      <c r="A26970" s="2" t="str">
        <f t="shared" si="954"/>
        <v>36300</v>
      </c>
      <c r="B26970" s="2" t="str">
        <f>"13699"</f>
        <v>13699</v>
      </c>
      <c r="C26970" s="1">
        <v>0</v>
      </c>
      <c r="D26970" s="1">
        <v>9.3196644920782805E-4</v>
      </c>
      <c r="E26970" s="1">
        <v>0</v>
      </c>
      <c r="F26970" s="1">
        <v>5.0624367195409999E-5</v>
      </c>
    </row>
    <row r="26971" spans="1:6" x14ac:dyDescent="0.25">
      <c r="A26971" s="2" t="str">
        <f t="shared" si="954"/>
        <v>36300</v>
      </c>
      <c r="B26971" s="2" t="str">
        <f>"13684"</f>
        <v>13684</v>
      </c>
      <c r="C26971" s="1">
        <v>1.0044663890092899E-2</v>
      </c>
      <c r="D26971" s="1">
        <v>3.1065548306927599E-3</v>
      </c>
      <c r="E26971" s="1">
        <v>2.0147750167897899E-3</v>
      </c>
      <c r="F26971" s="1">
        <v>9.2642591967600392E-3</v>
      </c>
    </row>
    <row r="26972" spans="1:6" x14ac:dyDescent="0.25">
      <c r="A26972" s="2" t="str">
        <f t="shared" si="954"/>
        <v>36300</v>
      </c>
      <c r="B26972" s="2" t="str">
        <f>"13660"</f>
        <v>13660</v>
      </c>
      <c r="C26972" s="1">
        <v>1.5453329061681301E-2</v>
      </c>
      <c r="D26972" s="1">
        <v>3.1065548306927599E-3</v>
      </c>
      <c r="E26972" s="1">
        <v>7.7233042310275299E-3</v>
      </c>
      <c r="F26972" s="1">
        <v>1.43941950725615E-2</v>
      </c>
    </row>
    <row r="26973" spans="1:6" x14ac:dyDescent="0.25">
      <c r="A26973" s="2" t="str">
        <f t="shared" si="954"/>
        <v>36300</v>
      </c>
      <c r="B26973" s="2" t="str">
        <f>"12980"</f>
        <v>12980</v>
      </c>
      <c r="C26973" s="1">
        <v>2.80798296364698E-3</v>
      </c>
      <c r="D26973" s="1">
        <v>0</v>
      </c>
      <c r="E26973" s="1">
        <v>0</v>
      </c>
      <c r="F26973" s="1">
        <v>2.5143435707053602E-3</v>
      </c>
    </row>
    <row r="26974" spans="1:6" x14ac:dyDescent="0.25">
      <c r="A26974" s="2" t="str">
        <f t="shared" si="954"/>
        <v>36300</v>
      </c>
      <c r="B26974" s="2" t="str">
        <f>"12930"</f>
        <v>12930</v>
      </c>
      <c r="C26974" s="1">
        <v>1.3191866272166999E-4</v>
      </c>
      <c r="D26974" s="1">
        <v>0</v>
      </c>
      <c r="E26974" s="1">
        <v>0</v>
      </c>
      <c r="F26974" s="1">
        <v>1.18123523455956E-4</v>
      </c>
    </row>
    <row r="26975" spans="1:6" x14ac:dyDescent="0.25">
      <c r="A26975" s="2" t="str">
        <f t="shared" si="954"/>
        <v>36300</v>
      </c>
      <c r="B26975" s="2" t="str">
        <f>"12967"</f>
        <v>12967</v>
      </c>
      <c r="C26975" s="1">
        <v>8.1035749957597495E-3</v>
      </c>
      <c r="D26975" s="1">
        <v>3.1065548306927599E-3</v>
      </c>
      <c r="E26975" s="1">
        <v>1.00738750839489E-3</v>
      </c>
      <c r="F26975" s="1">
        <v>7.4755315558555496E-3</v>
      </c>
    </row>
    <row r="26976" spans="1:6" x14ac:dyDescent="0.25">
      <c r="A26976" s="2" t="str">
        <f t="shared" si="954"/>
        <v>36300</v>
      </c>
      <c r="B26976" s="2" t="str">
        <f>"13642"</f>
        <v>13642</v>
      </c>
      <c r="C26976" s="1">
        <v>7.7662401296571898E-2</v>
      </c>
      <c r="D26976" s="1">
        <v>9.4439266853059894E-2</v>
      </c>
      <c r="E26976" s="1">
        <v>0.12827400940228301</v>
      </c>
      <c r="F26976" s="1">
        <v>8.1117111036111994E-2</v>
      </c>
    </row>
    <row r="26977" spans="1:6" x14ac:dyDescent="0.25">
      <c r="A26977" s="2" t="str">
        <f t="shared" si="954"/>
        <v>36300</v>
      </c>
      <c r="B26977" s="2" t="str">
        <f>"13625"</f>
        <v>13625</v>
      </c>
      <c r="C26977" s="1">
        <v>1.7319035863030699E-2</v>
      </c>
      <c r="D26977" s="1">
        <v>4.0385212799005903E-3</v>
      </c>
      <c r="E26977" s="1">
        <v>3.0221625251846801E-3</v>
      </c>
      <c r="F26977" s="1">
        <v>1.5879176510293601E-2</v>
      </c>
    </row>
    <row r="26978" spans="1:6" x14ac:dyDescent="0.25">
      <c r="A26978" s="2" t="str">
        <f t="shared" si="954"/>
        <v>36300</v>
      </c>
      <c r="B26978" s="2" t="str">
        <f>"13666"</f>
        <v>13666</v>
      </c>
      <c r="C26978" s="1">
        <v>1.92224337108719E-3</v>
      </c>
      <c r="D26978" s="1">
        <v>0</v>
      </c>
      <c r="E26978" s="1">
        <v>3.3579583613163101E-4</v>
      </c>
      <c r="F26978" s="1">
        <v>1.7381032737090699E-3</v>
      </c>
    </row>
    <row r="26979" spans="1:6" x14ac:dyDescent="0.25">
      <c r="A26979" s="2" t="str">
        <f t="shared" si="954"/>
        <v>36300</v>
      </c>
      <c r="B26979" s="2" t="str">
        <f>"13695"</f>
        <v>13695</v>
      </c>
      <c r="C26979" s="1">
        <v>1.9787799408250502E-3</v>
      </c>
      <c r="D26979" s="1">
        <v>6.21310966138552E-4</v>
      </c>
      <c r="E26979" s="1">
        <v>3.3579583613163101E-4</v>
      </c>
      <c r="F26979" s="1">
        <v>1.82247721903476E-3</v>
      </c>
    </row>
    <row r="26980" spans="1:6" x14ac:dyDescent="0.25">
      <c r="A26980" s="2" t="str">
        <f t="shared" si="954"/>
        <v>36300</v>
      </c>
      <c r="B26980" s="2" t="str">
        <f>"13678"</f>
        <v>13678</v>
      </c>
      <c r="C26980" s="1">
        <v>3.76910464919058E-5</v>
      </c>
      <c r="D26980" s="1">
        <v>0</v>
      </c>
      <c r="E26980" s="1">
        <v>3.3579583613163101E-4</v>
      </c>
      <c r="F26980" s="1">
        <v>5.0624367195409999E-5</v>
      </c>
    </row>
    <row r="26981" spans="1:6" x14ac:dyDescent="0.25">
      <c r="A26981" s="2" t="str">
        <f t="shared" si="954"/>
        <v>36300</v>
      </c>
      <c r="B26981" s="2" t="str">
        <f>"13667"</f>
        <v>13667</v>
      </c>
      <c r="C26981" s="1">
        <v>2.73636997531236E-2</v>
      </c>
      <c r="D26981" s="1">
        <v>9.0090090090090003E-3</v>
      </c>
      <c r="E26981" s="1">
        <v>1.7461383478844801E-2</v>
      </c>
      <c r="F26981" s="1">
        <v>2.58690516368545E-2</v>
      </c>
    </row>
    <row r="26982" spans="1:6" x14ac:dyDescent="0.25">
      <c r="A26982" s="2" t="str">
        <f t="shared" si="954"/>
        <v>36300</v>
      </c>
      <c r="B26982" s="2" t="str">
        <f>"13664"</f>
        <v>13664</v>
      </c>
      <c r="C26982" s="1">
        <v>2.5441456382036399E-3</v>
      </c>
      <c r="D26982" s="1">
        <v>1.5532774153463799E-3</v>
      </c>
      <c r="E26982" s="1">
        <v>1.00738750839489E-3</v>
      </c>
      <c r="F26982" s="1">
        <v>2.4130948363145399E-3</v>
      </c>
    </row>
    <row r="26983" spans="1:6" x14ac:dyDescent="0.25">
      <c r="A26983" s="2" t="str">
        <f t="shared" si="954"/>
        <v>36300</v>
      </c>
      <c r="B26983" s="2" t="str">
        <f>"13649"</f>
        <v>13649</v>
      </c>
      <c r="C26983" s="1">
        <v>1.45110528993837E-3</v>
      </c>
      <c r="D26983" s="1">
        <v>0</v>
      </c>
      <c r="E26983" s="1">
        <v>3.3579583613163101E-4</v>
      </c>
      <c r="F26983" s="1">
        <v>1.3162335470806601E-3</v>
      </c>
    </row>
    <row r="26984" spans="1:6" x14ac:dyDescent="0.25">
      <c r="A26984" s="2" t="str">
        <f t="shared" si="954"/>
        <v>36300</v>
      </c>
      <c r="B26984" s="2" t="str">
        <f>"13639"</f>
        <v>13639</v>
      </c>
      <c r="C26984" s="1">
        <v>3.58064941673105E-4</v>
      </c>
      <c r="D26984" s="1">
        <v>0</v>
      </c>
      <c r="E26984" s="1">
        <v>3.3579583613163101E-4</v>
      </c>
      <c r="F26984" s="1">
        <v>3.3749578130273301E-4</v>
      </c>
    </row>
    <row r="26985" spans="1:6" x14ac:dyDescent="0.25">
      <c r="A26985" s="2" t="str">
        <f t="shared" si="954"/>
        <v>36300</v>
      </c>
      <c r="B26985" s="2" t="str">
        <f>"13654"</f>
        <v>13654</v>
      </c>
      <c r="C26985" s="1">
        <v>1.8167084409098599E-2</v>
      </c>
      <c r="D26985" s="1">
        <v>9.0090090090090003E-3</v>
      </c>
      <c r="E26985" s="1">
        <v>6.0443250503693698E-3</v>
      </c>
      <c r="F26985" s="1">
        <v>1.70604117448531E-2</v>
      </c>
    </row>
    <row r="26986" spans="1:6" x14ac:dyDescent="0.25">
      <c r="A26986" s="2" t="str">
        <f t="shared" si="954"/>
        <v>36300</v>
      </c>
      <c r="B26986" s="2" t="str">
        <f>"13613"</f>
        <v>13613</v>
      </c>
      <c r="C26986" s="1">
        <v>2.1182368128451E-2</v>
      </c>
      <c r="D26986" s="1">
        <v>6.8344206275240699E-3</v>
      </c>
      <c r="E26986" s="1">
        <v>6.0443250503693698E-3</v>
      </c>
      <c r="F26986" s="1">
        <v>1.9642254471819099E-2</v>
      </c>
    </row>
    <row r="26987" spans="1:6" x14ac:dyDescent="0.25">
      <c r="A26987" s="2" t="str">
        <f t="shared" si="954"/>
        <v>36300</v>
      </c>
      <c r="B26987" s="2" t="str">
        <f>"13690"</f>
        <v>13690</v>
      </c>
      <c r="C26987" s="1">
        <v>7.2932174961837801E-3</v>
      </c>
      <c r="D26987" s="1">
        <v>6.2131096613855198E-3</v>
      </c>
      <c r="E26987" s="1">
        <v>2.3505708529214199E-3</v>
      </c>
      <c r="F26987" s="1">
        <v>6.9861626729665798E-3</v>
      </c>
    </row>
    <row r="26988" spans="1:6" x14ac:dyDescent="0.25">
      <c r="A26988" s="2" t="str">
        <f t="shared" si="954"/>
        <v>36300</v>
      </c>
      <c r="B26988" s="2" t="str">
        <f>"13676"</f>
        <v>13676</v>
      </c>
      <c r="C26988" s="1">
        <v>0.21103216930818</v>
      </c>
      <c r="D26988" s="1">
        <v>0.22895309102205599</v>
      </c>
      <c r="E26988" s="1">
        <v>0.197112155809267</v>
      </c>
      <c r="F26988" s="1">
        <v>0.211306108673641</v>
      </c>
    </row>
    <row r="26989" spans="1:6" x14ac:dyDescent="0.25">
      <c r="A26989" s="2" t="str">
        <f t="shared" ref="A26989:A27010" si="955">"36300"</f>
        <v>36300</v>
      </c>
      <c r="B26989" s="2" t="str">
        <f>"12973"</f>
        <v>12973</v>
      </c>
      <c r="C26989" s="1">
        <v>0</v>
      </c>
      <c r="D26989" s="1">
        <v>0</v>
      </c>
      <c r="E26989" s="1">
        <v>3.3579583613163101E-4</v>
      </c>
      <c r="F26989" s="1">
        <v>1.68747890651366E-5</v>
      </c>
    </row>
    <row r="26990" spans="1:6" x14ac:dyDescent="0.25">
      <c r="A26990" s="2" t="str">
        <f t="shared" si="955"/>
        <v>36300</v>
      </c>
      <c r="B26990" s="2" t="str">
        <f>"13633"</f>
        <v>13633</v>
      </c>
      <c r="C26990" s="1">
        <v>1.92224337108719E-3</v>
      </c>
      <c r="D26990" s="1">
        <v>0</v>
      </c>
      <c r="E26990" s="1">
        <v>3.3579583613163101E-4</v>
      </c>
      <c r="F26990" s="1">
        <v>1.7381032737090699E-3</v>
      </c>
    </row>
    <row r="26991" spans="1:6" x14ac:dyDescent="0.25">
      <c r="A26991" s="2" t="str">
        <f t="shared" si="955"/>
        <v>36300</v>
      </c>
      <c r="B26991" s="2" t="str">
        <f>"13630"</f>
        <v>13630</v>
      </c>
      <c r="C26991" s="1">
        <v>1.04781109247498E-2</v>
      </c>
      <c r="D26991" s="1">
        <v>4.0385212799005903E-3</v>
      </c>
      <c r="E26991" s="1">
        <v>1.67897918065815E-3</v>
      </c>
      <c r="F26991" s="1">
        <v>9.6861289233884495E-3</v>
      </c>
    </row>
    <row r="26992" spans="1:6" x14ac:dyDescent="0.25">
      <c r="A26992" s="2" t="str">
        <f t="shared" si="955"/>
        <v>36300</v>
      </c>
      <c r="B26992" s="2" t="str">
        <f>"12922"</f>
        <v>12922</v>
      </c>
      <c r="C26992" s="1">
        <v>7.1612988334621098E-4</v>
      </c>
      <c r="D26992" s="1">
        <v>1.2426219322771001E-3</v>
      </c>
      <c r="E26992" s="1">
        <v>3.3579583613163101E-4</v>
      </c>
      <c r="F26992" s="1">
        <v>7.2561592980087701E-4</v>
      </c>
    </row>
    <row r="26993" spans="1:6" x14ac:dyDescent="0.25">
      <c r="A26993" s="2" t="str">
        <f t="shared" si="955"/>
        <v>36300</v>
      </c>
      <c r="B26993" s="2" t="str">
        <f>"13645"</f>
        <v>13645</v>
      </c>
      <c r="C26993" s="1">
        <v>2.4499180219738801E-4</v>
      </c>
      <c r="D26993" s="1">
        <v>0</v>
      </c>
      <c r="E26993" s="1">
        <v>3.3579583613163101E-4</v>
      </c>
      <c r="F26993" s="1">
        <v>2.36247046911913E-4</v>
      </c>
    </row>
    <row r="26994" spans="1:6" x14ac:dyDescent="0.25">
      <c r="A26994" s="2" t="str">
        <f t="shared" si="955"/>
        <v>36300</v>
      </c>
      <c r="B26994" s="2" t="str">
        <f>"13670"</f>
        <v>13670</v>
      </c>
      <c r="C26994" s="1">
        <v>4.3344703465691701E-3</v>
      </c>
      <c r="D26994" s="1">
        <v>1.86393289841565E-3</v>
      </c>
      <c r="E26994" s="1">
        <v>0</v>
      </c>
      <c r="F26994" s="1">
        <v>3.9824502193722498E-3</v>
      </c>
    </row>
    <row r="26995" spans="1:6" x14ac:dyDescent="0.25">
      <c r="A26995" s="2" t="str">
        <f t="shared" si="955"/>
        <v>36300</v>
      </c>
      <c r="B26995" s="2" t="str">
        <f>"13694"</f>
        <v>13694</v>
      </c>
      <c r="C26995" s="1">
        <v>1.2174208016885501E-2</v>
      </c>
      <c r="D26995" s="1">
        <v>4.0385212799005903E-3</v>
      </c>
      <c r="E26995" s="1">
        <v>3.69375419744795E-3</v>
      </c>
      <c r="F26995" s="1">
        <v>1.1306108673641501E-2</v>
      </c>
    </row>
    <row r="26996" spans="1:6" x14ac:dyDescent="0.25">
      <c r="A26996" s="2" t="str">
        <f t="shared" si="955"/>
        <v>36300</v>
      </c>
      <c r="B26996" s="2" t="str">
        <f>"13669"</f>
        <v>13669</v>
      </c>
      <c r="C26996" s="1">
        <v>0.14663701637675899</v>
      </c>
      <c r="D26996" s="1">
        <v>0.20876048462255301</v>
      </c>
      <c r="E26996" s="1">
        <v>0.20449966420416299</v>
      </c>
      <c r="F26996" s="1">
        <v>0.152919338508268</v>
      </c>
    </row>
    <row r="26997" spans="1:6" x14ac:dyDescent="0.25">
      <c r="A26997" s="2" t="str">
        <f t="shared" si="955"/>
        <v>36300</v>
      </c>
      <c r="B26997" s="2" t="str">
        <f>"13662"</f>
        <v>13662</v>
      </c>
      <c r="C26997" s="1">
        <v>0.14967114561935799</v>
      </c>
      <c r="D26997" s="1">
        <v>0.23143833488661</v>
      </c>
      <c r="E26997" s="1">
        <v>0.225319006044325</v>
      </c>
      <c r="F26997" s="1">
        <v>0.15791427607154901</v>
      </c>
    </row>
    <row r="26998" spans="1:6" x14ac:dyDescent="0.25">
      <c r="A26998" s="2" t="str">
        <f t="shared" si="955"/>
        <v>36300</v>
      </c>
      <c r="B26998" s="2" t="str">
        <f>"12986"</f>
        <v>12986</v>
      </c>
      <c r="C26998" s="1">
        <v>2.0918530803007698E-3</v>
      </c>
      <c r="D26998" s="1">
        <v>0</v>
      </c>
      <c r="E26998" s="1">
        <v>0</v>
      </c>
      <c r="F26998" s="1">
        <v>1.8731015862301699E-3</v>
      </c>
    </row>
    <row r="26999" spans="1:6" x14ac:dyDescent="0.25">
      <c r="A26999" s="2" t="str">
        <f t="shared" si="955"/>
        <v>36300</v>
      </c>
      <c r="B26999" s="2" t="str">
        <f>"12965"</f>
        <v>12965</v>
      </c>
      <c r="C26999" s="1">
        <v>3.3545031377796202E-3</v>
      </c>
      <c r="D26999" s="1">
        <v>3.1065548306927599E-3</v>
      </c>
      <c r="E26999" s="1">
        <v>1.00738750839489E-3</v>
      </c>
      <c r="F26999" s="1">
        <v>3.2230847114410998E-3</v>
      </c>
    </row>
    <row r="27000" spans="1:6" x14ac:dyDescent="0.25">
      <c r="A27000" s="2" t="str">
        <f t="shared" si="955"/>
        <v>36300</v>
      </c>
      <c r="B27000" s="2" t="str">
        <f>"13614"</f>
        <v>13614</v>
      </c>
      <c r="C27000" s="1">
        <v>2.3556904057441099E-3</v>
      </c>
      <c r="D27000" s="1">
        <v>0</v>
      </c>
      <c r="E27000" s="1">
        <v>3.3579583613163101E-4</v>
      </c>
      <c r="F27000" s="1">
        <v>2.1262234222072201E-3</v>
      </c>
    </row>
    <row r="27001" spans="1:6" x14ac:dyDescent="0.25">
      <c r="A27001" s="2" t="str">
        <f t="shared" si="955"/>
        <v>36300</v>
      </c>
      <c r="B27001" s="2" t="str">
        <f>"13623"</f>
        <v>13623</v>
      </c>
      <c r="C27001" s="1">
        <v>0</v>
      </c>
      <c r="D27001" s="1">
        <v>0</v>
      </c>
      <c r="E27001" s="1">
        <v>3.3579583613163101E-4</v>
      </c>
      <c r="F27001" s="1">
        <v>1.68747890651366E-5</v>
      </c>
    </row>
    <row r="27002" spans="1:6" x14ac:dyDescent="0.25">
      <c r="A27002" s="2" t="str">
        <f t="shared" si="955"/>
        <v>36300</v>
      </c>
      <c r="B27002" s="2" t="str">
        <f>"13646"</f>
        <v>13646</v>
      </c>
      <c r="C27002" s="1">
        <v>2.33684488249816E-2</v>
      </c>
      <c r="D27002" s="1">
        <v>4.9704877291084099E-3</v>
      </c>
      <c r="E27002" s="1">
        <v>5.0369375419744697E-3</v>
      </c>
      <c r="F27002" s="1">
        <v>2.1447856901788701E-2</v>
      </c>
    </row>
    <row r="27003" spans="1:6" x14ac:dyDescent="0.25">
      <c r="A27003" s="2" t="str">
        <f t="shared" si="955"/>
        <v>36300</v>
      </c>
      <c r="B27003" s="2" t="str">
        <f>"13617"</f>
        <v>13617</v>
      </c>
      <c r="C27003" s="1">
        <v>7.8680059551853407E-2</v>
      </c>
      <c r="D27003" s="1">
        <v>0.11245728487107701</v>
      </c>
      <c r="E27003" s="1">
        <v>0.12659503022162499</v>
      </c>
      <c r="F27003" s="1">
        <v>8.2922713466081599E-2</v>
      </c>
    </row>
    <row r="27004" spans="1:6" x14ac:dyDescent="0.25">
      <c r="A27004" s="2" t="str">
        <f t="shared" si="955"/>
        <v>36300</v>
      </c>
      <c r="B27004" s="2" t="str">
        <f>"13608"</f>
        <v>13608</v>
      </c>
      <c r="C27004" s="1">
        <v>2.2991538360062499E-3</v>
      </c>
      <c r="D27004" s="1">
        <v>6.21310966138552E-4</v>
      </c>
      <c r="E27004" s="1">
        <v>1.3431833445265199E-3</v>
      </c>
      <c r="F27004" s="1">
        <v>2.1599730003374899E-3</v>
      </c>
    </row>
    <row r="27005" spans="1:6" x14ac:dyDescent="0.25">
      <c r="A27005" s="2" t="str">
        <f t="shared" si="955"/>
        <v>36300</v>
      </c>
      <c r="B27005" s="2" t="str">
        <f>"13691"</f>
        <v>13691</v>
      </c>
      <c r="C27005" s="1">
        <v>1.69609709213576E-4</v>
      </c>
      <c r="D27005" s="1">
        <v>0</v>
      </c>
      <c r="E27005" s="1">
        <v>6.7159167226326299E-4</v>
      </c>
      <c r="F27005" s="1">
        <v>1.85622679716503E-4</v>
      </c>
    </row>
    <row r="27006" spans="1:6" x14ac:dyDescent="0.25">
      <c r="A27006" s="2" t="str">
        <f t="shared" si="955"/>
        <v>36300</v>
      </c>
      <c r="B27006" s="2" t="str">
        <f>"13680"</f>
        <v>13680</v>
      </c>
      <c r="C27006" s="1">
        <v>8.2731847049733308E-3</v>
      </c>
      <c r="D27006" s="1">
        <v>2.4852438645542002E-3</v>
      </c>
      <c r="E27006" s="1">
        <v>1.67897918065815E-3</v>
      </c>
      <c r="F27006" s="1">
        <v>7.6274046574417798E-3</v>
      </c>
    </row>
    <row r="27007" spans="1:6" x14ac:dyDescent="0.25">
      <c r="A27007" s="2" t="str">
        <f t="shared" si="955"/>
        <v>36300</v>
      </c>
      <c r="B27007" s="2" t="str">
        <f>"13679"</f>
        <v>13679</v>
      </c>
      <c r="C27007" s="1">
        <v>2.0918530803007698E-3</v>
      </c>
      <c r="D27007" s="1">
        <v>6.21310966138552E-4</v>
      </c>
      <c r="E27007" s="1">
        <v>1.3431833445265199E-3</v>
      </c>
      <c r="F27007" s="1">
        <v>1.97435032062099E-3</v>
      </c>
    </row>
    <row r="27008" spans="1:6" x14ac:dyDescent="0.25">
      <c r="A27008" s="2" t="str">
        <f t="shared" si="955"/>
        <v>36300</v>
      </c>
      <c r="B27008" s="2" t="str">
        <f>"13677"</f>
        <v>13677</v>
      </c>
      <c r="C27008" s="1">
        <v>0</v>
      </c>
      <c r="D27008" s="1">
        <v>0</v>
      </c>
      <c r="E27008" s="1">
        <v>3.3579583613163101E-4</v>
      </c>
      <c r="F27008" s="1">
        <v>1.68747890651366E-5</v>
      </c>
    </row>
    <row r="27009" spans="1:6" x14ac:dyDescent="0.25">
      <c r="A27009" s="2" t="str">
        <f t="shared" si="955"/>
        <v>36300</v>
      </c>
      <c r="B27009" s="2" t="str">
        <f>"13658"</f>
        <v>13658</v>
      </c>
      <c r="C27009" s="1">
        <v>1.9241279234117899E-2</v>
      </c>
      <c r="D27009" s="1">
        <v>4.0385212799005903E-3</v>
      </c>
      <c r="E27009" s="1">
        <v>6.3801208865009998E-3</v>
      </c>
      <c r="F27009" s="1">
        <v>1.7769152885588901E-2</v>
      </c>
    </row>
    <row r="27010" spans="1:6" x14ac:dyDescent="0.25">
      <c r="A27010" s="2" t="str">
        <f t="shared" si="955"/>
        <v>36300</v>
      </c>
      <c r="B27010" s="2" t="str">
        <f>"12949"</f>
        <v>12949</v>
      </c>
      <c r="C27010" s="1">
        <v>3.76910464919058E-5</v>
      </c>
      <c r="D27010" s="1">
        <v>0</v>
      </c>
      <c r="E27010" s="1">
        <v>3.3579583613163101E-4</v>
      </c>
      <c r="F27010" s="1">
        <v>5.0624367195409999E-5</v>
      </c>
    </row>
    <row r="27011" spans="1:6" x14ac:dyDescent="0.25">
      <c r="A27011" s="2" t="str">
        <f t="shared" ref="A27011:A27042" si="956">"45060"</f>
        <v>45060</v>
      </c>
      <c r="B27011" s="2" t="str">
        <f>"13426"</f>
        <v>13426</v>
      </c>
      <c r="C27011" s="1">
        <v>0</v>
      </c>
      <c r="D27011" s="1">
        <v>0</v>
      </c>
      <c r="E27011" s="1">
        <v>7.1546111468841599E-5</v>
      </c>
      <c r="F27011" s="1">
        <v>2.8568163638441298E-6</v>
      </c>
    </row>
    <row r="27012" spans="1:6" x14ac:dyDescent="0.25">
      <c r="A27012" s="2" t="str">
        <f t="shared" si="956"/>
        <v>45060</v>
      </c>
      <c r="B27012" s="2" t="str">
        <f>"13425"</f>
        <v>13425</v>
      </c>
      <c r="C27012" s="1">
        <v>1.96011015176393E-4</v>
      </c>
      <c r="D27012" s="1">
        <v>1.2069520437721199E-4</v>
      </c>
      <c r="E27012" s="1">
        <v>1.4309222293768301E-4</v>
      </c>
      <c r="F27012" s="1">
        <v>1.8854988001371201E-4</v>
      </c>
    </row>
    <row r="27013" spans="1:6" x14ac:dyDescent="0.25">
      <c r="A27013" s="2" t="str">
        <f t="shared" si="956"/>
        <v>45060</v>
      </c>
      <c r="B27013" s="2" t="str">
        <f>"13480"</f>
        <v>13480</v>
      </c>
      <c r="C27013" s="1">
        <v>1.31745108561182E-4</v>
      </c>
      <c r="D27013" s="1">
        <v>1.2069520437721199E-4</v>
      </c>
      <c r="E27013" s="1">
        <v>0</v>
      </c>
      <c r="F27013" s="1">
        <v>1.25699920009141E-4</v>
      </c>
    </row>
    <row r="27014" spans="1:6" x14ac:dyDescent="0.25">
      <c r="A27014" s="2" t="str">
        <f t="shared" si="956"/>
        <v>45060</v>
      </c>
      <c r="B27014" s="2" t="str">
        <f>"13661"</f>
        <v>13661</v>
      </c>
      <c r="C27014" s="1">
        <v>2.6027692179160403E-4</v>
      </c>
      <c r="D27014" s="1">
        <v>4.0231734792404197E-5</v>
      </c>
      <c r="E27014" s="1">
        <v>5.7236889175073301E-4</v>
      </c>
      <c r="F27014" s="1">
        <v>2.5711347274597101E-4</v>
      </c>
    </row>
    <row r="27015" spans="1:6" x14ac:dyDescent="0.25">
      <c r="A27015" s="2" t="str">
        <f t="shared" si="956"/>
        <v>45060</v>
      </c>
      <c r="B27015" s="2" t="str">
        <f>"13346"</f>
        <v>13346</v>
      </c>
      <c r="C27015" s="1">
        <v>6.7350670132741196E-3</v>
      </c>
      <c r="D27015" s="1">
        <v>7.9256517541036308E-3</v>
      </c>
      <c r="E27015" s="1">
        <v>8.0131644845102597E-3</v>
      </c>
      <c r="F27015" s="1">
        <v>6.8706433550451296E-3</v>
      </c>
    </row>
    <row r="27016" spans="1:6" x14ac:dyDescent="0.25">
      <c r="A27016" s="2" t="str">
        <f t="shared" si="956"/>
        <v>45060</v>
      </c>
      <c r="B27016" s="2" t="str">
        <f>"13080"</f>
        <v>13080</v>
      </c>
      <c r="C27016" s="1">
        <v>3.2807745327065201E-3</v>
      </c>
      <c r="D27016" s="1">
        <v>1.28741551335693E-3</v>
      </c>
      <c r="E27016" s="1">
        <v>1.64556056378335E-3</v>
      </c>
      <c r="F27016" s="1">
        <v>3.0739344074962802E-3</v>
      </c>
    </row>
    <row r="27017" spans="1:6" x14ac:dyDescent="0.25">
      <c r="A27017" s="2" t="str">
        <f t="shared" si="956"/>
        <v>45060</v>
      </c>
      <c r="B27017" s="2" t="str">
        <f>"13077"</f>
        <v>13077</v>
      </c>
      <c r="C27017" s="1">
        <v>3.02049761091492E-4</v>
      </c>
      <c r="D27017" s="1">
        <v>4.0231734792404197E-5</v>
      </c>
      <c r="E27017" s="1">
        <v>7.1546111468841599E-5</v>
      </c>
      <c r="F27017" s="1">
        <v>2.74254370929036E-4</v>
      </c>
    </row>
    <row r="27018" spans="1:6" x14ac:dyDescent="0.25">
      <c r="A27018" s="2" t="str">
        <f t="shared" si="956"/>
        <v>45060</v>
      </c>
      <c r="B27018" s="2" t="str">
        <f>"13074"</f>
        <v>13074</v>
      </c>
      <c r="C27018" s="1">
        <v>6.0313553358375604E-3</v>
      </c>
      <c r="D27018" s="1">
        <v>2.2932088831670401E-3</v>
      </c>
      <c r="E27018" s="1">
        <v>3.7203977963797602E-3</v>
      </c>
      <c r="F27018" s="1">
        <v>5.6736372985944396E-3</v>
      </c>
    </row>
    <row r="27019" spans="1:6" x14ac:dyDescent="0.25">
      <c r="A27019" s="2" t="str">
        <f t="shared" si="956"/>
        <v>45060</v>
      </c>
      <c r="B27019" s="2" t="str">
        <f>"13066"</f>
        <v>13066</v>
      </c>
      <c r="C27019" s="1">
        <v>2.0263040355775998E-2</v>
      </c>
      <c r="D27019" s="1">
        <v>2.4702285162536201E-2</v>
      </c>
      <c r="E27019" s="1">
        <v>8.5855333762609991E-3</v>
      </c>
      <c r="F27019" s="1">
        <v>2.0111987201462601E-2</v>
      </c>
    </row>
    <row r="27020" spans="1:6" x14ac:dyDescent="0.25">
      <c r="A27020" s="2" t="str">
        <f t="shared" si="956"/>
        <v>45060</v>
      </c>
      <c r="B27020" s="2" t="str">
        <f>"13060"</f>
        <v>13060</v>
      </c>
      <c r="C27020" s="1">
        <v>4.5211065303800996E-3</v>
      </c>
      <c r="D27020" s="1">
        <v>2.7759897006758901E-3</v>
      </c>
      <c r="E27020" s="1">
        <v>3.6488516849109199E-3</v>
      </c>
      <c r="F27020" s="1">
        <v>4.3623585875899804E-3</v>
      </c>
    </row>
    <row r="27021" spans="1:6" x14ac:dyDescent="0.25">
      <c r="A27021" s="2" t="str">
        <f t="shared" si="956"/>
        <v>45060</v>
      </c>
      <c r="B27021" s="2" t="str">
        <f>"13302"</f>
        <v>13302</v>
      </c>
      <c r="C27021" s="1">
        <v>2.3810518400935701E-3</v>
      </c>
      <c r="D27021" s="1">
        <v>4.8278081750884999E-4</v>
      </c>
      <c r="E27021" s="1">
        <v>2.14638334406525E-4</v>
      </c>
      <c r="F27021" s="1">
        <v>2.1597531710661599E-3</v>
      </c>
    </row>
    <row r="27022" spans="1:6" x14ac:dyDescent="0.25">
      <c r="A27022" s="2" t="str">
        <f t="shared" si="956"/>
        <v>45060</v>
      </c>
      <c r="B27022" s="2" t="str">
        <f>"13201"</f>
        <v>13201</v>
      </c>
      <c r="C27022" s="1">
        <v>3.3096941906833699E-3</v>
      </c>
      <c r="D27022" s="1">
        <v>4.0231734792404196E-3</v>
      </c>
      <c r="E27022" s="1">
        <v>2.14638334406525E-4</v>
      </c>
      <c r="F27022" s="1">
        <v>3.2367729402354001E-3</v>
      </c>
    </row>
    <row r="27023" spans="1:6" x14ac:dyDescent="0.25">
      <c r="A27023" s="2" t="str">
        <f t="shared" si="956"/>
        <v>45060</v>
      </c>
      <c r="B27023" s="2" t="str">
        <f>"13145"</f>
        <v>13145</v>
      </c>
      <c r="C27023" s="1">
        <v>3.05584385955328E-3</v>
      </c>
      <c r="D27023" s="1">
        <v>6.8393949147087197E-4</v>
      </c>
      <c r="E27023" s="1">
        <v>1.1447377835014599E-3</v>
      </c>
      <c r="F27023" s="1">
        <v>2.8111073020226202E-3</v>
      </c>
    </row>
    <row r="27024" spans="1:6" x14ac:dyDescent="0.25">
      <c r="A27024" s="2" t="str">
        <f t="shared" si="956"/>
        <v>45060</v>
      </c>
      <c r="B27024" s="2" t="str">
        <f>"13212"</f>
        <v>13212</v>
      </c>
      <c r="C27024" s="1">
        <v>3.0654837455455601E-2</v>
      </c>
      <c r="D27024" s="1">
        <v>3.73752816221435E-2</v>
      </c>
      <c r="E27024" s="1">
        <v>2.46118623452815E-2</v>
      </c>
      <c r="F27024" s="1">
        <v>3.0890755342246601E-2</v>
      </c>
    </row>
    <row r="27025" spans="1:6" x14ac:dyDescent="0.25">
      <c r="A27025" s="2" t="str">
        <f t="shared" si="956"/>
        <v>45060</v>
      </c>
      <c r="B27025" s="2" t="str">
        <f>"13210"</f>
        <v>13210</v>
      </c>
      <c r="C27025" s="1">
        <v>3.0963313807208698E-2</v>
      </c>
      <c r="D27025" s="1">
        <v>3.56453170260701E-2</v>
      </c>
      <c r="E27025" s="1">
        <v>5.3874221936037699E-2</v>
      </c>
      <c r="F27025" s="1">
        <v>3.2210604502342498E-2</v>
      </c>
    </row>
    <row r="27026" spans="1:6" x14ac:dyDescent="0.25">
      <c r="A27026" s="2" t="str">
        <f t="shared" si="956"/>
        <v>45060</v>
      </c>
      <c r="B27026" s="2" t="str">
        <f>"13206"</f>
        <v>13206</v>
      </c>
      <c r="C27026" s="1">
        <v>2.9340599665174601E-2</v>
      </c>
      <c r="D27026" s="1">
        <v>4.9324106855487597E-2</v>
      </c>
      <c r="E27026" s="1">
        <v>5.1441654146097103E-2</v>
      </c>
      <c r="F27026" s="1">
        <v>3.1642098045937601E-2</v>
      </c>
    </row>
    <row r="27027" spans="1:6" x14ac:dyDescent="0.25">
      <c r="A27027" s="2" t="str">
        <f t="shared" si="956"/>
        <v>45060</v>
      </c>
      <c r="B27027" s="2" t="str">
        <f>"13029"</f>
        <v>13029</v>
      </c>
      <c r="C27027" s="1">
        <v>1.0067254271272801E-2</v>
      </c>
      <c r="D27027" s="1">
        <v>5.9945284840682298E-3</v>
      </c>
      <c r="E27027" s="1">
        <v>6.2960578092580597E-3</v>
      </c>
      <c r="F27027" s="1">
        <v>9.6274711461547206E-3</v>
      </c>
    </row>
    <row r="27028" spans="1:6" x14ac:dyDescent="0.25">
      <c r="A27028" s="2" t="str">
        <f t="shared" si="956"/>
        <v>45060</v>
      </c>
      <c r="B27028" s="2" t="str">
        <f>"13093"</f>
        <v>13093</v>
      </c>
      <c r="C27028" s="1">
        <v>3.21329533076055E-6</v>
      </c>
      <c r="D27028" s="1">
        <v>0</v>
      </c>
      <c r="E27028" s="1">
        <v>7.1546111468841599E-5</v>
      </c>
      <c r="F27028" s="1">
        <v>5.7136327276882596E-6</v>
      </c>
    </row>
    <row r="27029" spans="1:6" x14ac:dyDescent="0.25">
      <c r="A27029" s="2" t="str">
        <f t="shared" si="956"/>
        <v>45060</v>
      </c>
      <c r="B27029" s="2" t="str">
        <f>"13132"</f>
        <v>13132</v>
      </c>
      <c r="C27029" s="1">
        <v>6.0152888591837499E-3</v>
      </c>
      <c r="D27029" s="1">
        <v>1.2069520437721199E-4</v>
      </c>
      <c r="E27029" s="1">
        <v>1.7171066752522E-3</v>
      </c>
      <c r="F27029" s="1">
        <v>5.4250942749399997E-3</v>
      </c>
    </row>
    <row r="27030" spans="1:6" x14ac:dyDescent="0.25">
      <c r="A27030" s="2" t="str">
        <f t="shared" si="956"/>
        <v>45060</v>
      </c>
      <c r="B27030" s="2" t="str">
        <f>"13126"</f>
        <v>13126</v>
      </c>
      <c r="C27030" s="1">
        <v>5.0387684081656198E-2</v>
      </c>
      <c r="D27030" s="1">
        <v>4.4576762149983899E-2</v>
      </c>
      <c r="E27030" s="1">
        <v>5.6092151391571803E-2</v>
      </c>
      <c r="F27030" s="1">
        <v>5.02028339618329E-2</v>
      </c>
    </row>
    <row r="27031" spans="1:6" x14ac:dyDescent="0.25">
      <c r="A27031" s="2" t="str">
        <f t="shared" si="956"/>
        <v>45060</v>
      </c>
      <c r="B27031" s="2" t="str">
        <f>"13122"</f>
        <v>13122</v>
      </c>
      <c r="C27031" s="1">
        <v>1.5488083494265799E-3</v>
      </c>
      <c r="D27031" s="1">
        <v>1.60926939169616E-4</v>
      </c>
      <c r="E27031" s="1">
        <v>1.5740144523145099E-3</v>
      </c>
      <c r="F27031" s="1">
        <v>1.45126271283281E-3</v>
      </c>
    </row>
    <row r="27032" spans="1:6" x14ac:dyDescent="0.25">
      <c r="A27032" s="2" t="str">
        <f t="shared" si="956"/>
        <v>45060</v>
      </c>
      <c r="B27032" s="2" t="str">
        <f>"13114"</f>
        <v>13114</v>
      </c>
      <c r="C27032" s="1">
        <v>8.60520489577676E-3</v>
      </c>
      <c r="D27032" s="1">
        <v>3.3392339877695498E-3</v>
      </c>
      <c r="E27032" s="1">
        <v>7.6554339271660502E-3</v>
      </c>
      <c r="F27032" s="1">
        <v>8.1933493315049701E-3</v>
      </c>
    </row>
    <row r="27033" spans="1:6" x14ac:dyDescent="0.25">
      <c r="A27033" s="2" t="str">
        <f t="shared" si="956"/>
        <v>45060</v>
      </c>
      <c r="B27033" s="2" t="str">
        <f>"13484"</f>
        <v>13484</v>
      </c>
      <c r="C27033" s="1">
        <v>0</v>
      </c>
      <c r="D27033" s="1">
        <v>0</v>
      </c>
      <c r="E27033" s="1">
        <v>7.1546111468841599E-5</v>
      </c>
      <c r="F27033" s="1">
        <v>2.8568163638441298E-6</v>
      </c>
    </row>
    <row r="27034" spans="1:6" x14ac:dyDescent="0.25">
      <c r="A27034" s="2" t="str">
        <f t="shared" si="956"/>
        <v>45060</v>
      </c>
      <c r="B27034" s="2" t="str">
        <f>"13364"</f>
        <v>13364</v>
      </c>
      <c r="C27034" s="1">
        <v>3.0526305642225202E-4</v>
      </c>
      <c r="D27034" s="1">
        <v>0</v>
      </c>
      <c r="E27034" s="1">
        <v>7.1546111468841599E-5</v>
      </c>
      <c r="F27034" s="1">
        <v>2.74254370929036E-4</v>
      </c>
    </row>
    <row r="27035" spans="1:6" x14ac:dyDescent="0.25">
      <c r="A27035" s="2" t="str">
        <f t="shared" si="956"/>
        <v>45060</v>
      </c>
      <c r="B27035" s="2" t="str">
        <f>"13076"</f>
        <v>13076</v>
      </c>
      <c r="C27035" s="1">
        <v>3.0012178389303501E-3</v>
      </c>
      <c r="D27035" s="1">
        <v>8.0463469584808405E-4</v>
      </c>
      <c r="E27035" s="1">
        <v>1.0016455605637801E-3</v>
      </c>
      <c r="F27035" s="1">
        <v>2.7653982402011099E-3</v>
      </c>
    </row>
    <row r="27036" spans="1:6" x14ac:dyDescent="0.25">
      <c r="A27036" s="2" t="str">
        <f t="shared" si="956"/>
        <v>45060</v>
      </c>
      <c r="B27036" s="2" t="str">
        <f>"13069"</f>
        <v>13069</v>
      </c>
      <c r="C27036" s="1">
        <v>3.6390569620863199E-2</v>
      </c>
      <c r="D27036" s="1">
        <v>2.74380431284196E-2</v>
      </c>
      <c r="E27036" s="1">
        <v>3.57730557344208E-2</v>
      </c>
      <c r="F27036" s="1">
        <v>3.5730202262598501E-2</v>
      </c>
    </row>
    <row r="27037" spans="1:6" x14ac:dyDescent="0.25">
      <c r="A27037" s="2" t="str">
        <f t="shared" si="956"/>
        <v>45060</v>
      </c>
      <c r="B27037" s="2" t="str">
        <f>"13044"</f>
        <v>13044</v>
      </c>
      <c r="C27037" s="1">
        <v>3.80775496695125E-3</v>
      </c>
      <c r="D27037" s="1">
        <v>1.28741551335693E-3</v>
      </c>
      <c r="E27037" s="1">
        <v>1.64556056378335E-3</v>
      </c>
      <c r="F27037" s="1">
        <v>3.5424522911667198E-3</v>
      </c>
    </row>
    <row r="27038" spans="1:6" x14ac:dyDescent="0.25">
      <c r="A27038" s="2" t="str">
        <f t="shared" si="956"/>
        <v>45060</v>
      </c>
      <c r="B27038" s="2" t="str">
        <f>"13290"</f>
        <v>13290</v>
      </c>
      <c r="C27038" s="1">
        <v>9.6077530389740505E-4</v>
      </c>
      <c r="D27038" s="1">
        <v>4.0231734792404202E-4</v>
      </c>
      <c r="E27038" s="1">
        <v>2.8618444587536602E-4</v>
      </c>
      <c r="F27038" s="1">
        <v>8.9418352188321297E-4</v>
      </c>
    </row>
    <row r="27039" spans="1:6" x14ac:dyDescent="0.25">
      <c r="A27039" s="2" t="str">
        <f t="shared" si="956"/>
        <v>45060</v>
      </c>
      <c r="B27039" s="2" t="str">
        <f>"13244"</f>
        <v>13244</v>
      </c>
      <c r="C27039" s="1">
        <v>4.1837105206502401E-3</v>
      </c>
      <c r="D27039" s="1">
        <v>1.52880592211136E-3</v>
      </c>
      <c r="E27039" s="1">
        <v>1.98182728768691E-2</v>
      </c>
      <c r="F27039" s="1">
        <v>4.6194720603359597E-3</v>
      </c>
    </row>
    <row r="27040" spans="1:6" x14ac:dyDescent="0.25">
      <c r="A27040" s="2" t="str">
        <f t="shared" si="956"/>
        <v>45060</v>
      </c>
      <c r="B27040" s="2" t="str">
        <f>"13219"</f>
        <v>13219</v>
      </c>
      <c r="C27040" s="1">
        <v>2.2264923346839799E-2</v>
      </c>
      <c r="D27040" s="1">
        <v>1.68570968780173E-2</v>
      </c>
      <c r="E27040" s="1">
        <v>1.2806753952922601E-2</v>
      </c>
      <c r="F27040" s="1">
        <v>2.1503256770654702E-2</v>
      </c>
    </row>
    <row r="27041" spans="1:6" x14ac:dyDescent="0.25">
      <c r="A27041" s="2" t="str">
        <f t="shared" si="956"/>
        <v>45060</v>
      </c>
      <c r="B27041" s="2" t="str">
        <f>"13166"</f>
        <v>13166</v>
      </c>
      <c r="C27041" s="1">
        <v>1.0282545058433701E-4</v>
      </c>
      <c r="D27041" s="1">
        <v>2.0115867396202101E-4</v>
      </c>
      <c r="E27041" s="1">
        <v>7.1546111468841599E-5</v>
      </c>
      <c r="F27041" s="1">
        <v>1.08559021826077E-4</v>
      </c>
    </row>
    <row r="27042" spans="1:6" x14ac:dyDescent="0.25">
      <c r="A27042" s="2" t="str">
        <f t="shared" si="956"/>
        <v>45060</v>
      </c>
      <c r="B27042" s="2" t="str">
        <f>"13203"</f>
        <v>13203</v>
      </c>
      <c r="C27042" s="1">
        <v>2.68181628305275E-2</v>
      </c>
      <c r="D27042" s="1">
        <v>2.5305761184422199E-2</v>
      </c>
      <c r="E27042" s="1">
        <v>4.4287042999212899E-2</v>
      </c>
      <c r="F27042" s="1">
        <v>2.7408296194720599E-2</v>
      </c>
    </row>
    <row r="27043" spans="1:6" x14ac:dyDescent="0.25">
      <c r="A27043" s="2" t="str">
        <f t="shared" ref="A27043:A27074" si="957">"45060"</f>
        <v>45060</v>
      </c>
      <c r="B27043" s="2" t="str">
        <f>"13164"</f>
        <v>13164</v>
      </c>
      <c r="C27043" s="1">
        <v>3.19722885410675E-3</v>
      </c>
      <c r="D27043" s="1">
        <v>1.2471837785645299E-3</v>
      </c>
      <c r="E27043" s="1">
        <v>1.0016455605637801E-3</v>
      </c>
      <c r="F27043" s="1">
        <v>2.9710890183978901E-3</v>
      </c>
    </row>
    <row r="27044" spans="1:6" x14ac:dyDescent="0.25">
      <c r="A27044" s="2" t="str">
        <f t="shared" si="957"/>
        <v>45060</v>
      </c>
      <c r="B27044" s="2" t="str">
        <f>"13207"</f>
        <v>13207</v>
      </c>
      <c r="C27044" s="1">
        <v>1.93858107304784E-2</v>
      </c>
      <c r="D27044" s="1">
        <v>6.1554554232378499E-3</v>
      </c>
      <c r="E27044" s="1">
        <v>1.37368534020176E-2</v>
      </c>
      <c r="F27044" s="1">
        <v>1.8220774768597799E-2</v>
      </c>
    </row>
    <row r="27045" spans="1:6" x14ac:dyDescent="0.25">
      <c r="A27045" s="2" t="str">
        <f t="shared" si="957"/>
        <v>45060</v>
      </c>
      <c r="B27045" s="2" t="str">
        <f>"13215"</f>
        <v>13215</v>
      </c>
      <c r="C27045" s="1">
        <v>1.880099098028E-2</v>
      </c>
      <c r="D27045" s="1">
        <v>6.3566140971998697E-3</v>
      </c>
      <c r="E27045" s="1">
        <v>8.8001717106675204E-3</v>
      </c>
      <c r="F27045" s="1">
        <v>1.7517997943092199E-2</v>
      </c>
    </row>
    <row r="27046" spans="1:6" x14ac:dyDescent="0.25">
      <c r="A27046" s="2" t="str">
        <f t="shared" si="957"/>
        <v>45060</v>
      </c>
      <c r="B27046" s="2" t="str">
        <f>"13138"</f>
        <v>13138</v>
      </c>
      <c r="C27046" s="1">
        <v>1.06038745915098E-4</v>
      </c>
      <c r="D27046" s="1">
        <v>4.0231734792404197E-5</v>
      </c>
      <c r="E27046" s="1">
        <v>2.14638334406525E-4</v>
      </c>
      <c r="F27046" s="1">
        <v>1.05702205462232E-4</v>
      </c>
    </row>
    <row r="27047" spans="1:6" x14ac:dyDescent="0.25">
      <c r="A27047" s="2" t="str">
        <f t="shared" si="957"/>
        <v>45060</v>
      </c>
      <c r="B27047" s="2" t="str">
        <f>"13137"</f>
        <v>13137</v>
      </c>
      <c r="C27047" s="1">
        <v>0</v>
      </c>
      <c r="D27047" s="1">
        <v>0</v>
      </c>
      <c r="E27047" s="1">
        <v>7.1546111468841599E-5</v>
      </c>
      <c r="F27047" s="1">
        <v>2.8568163638441298E-6</v>
      </c>
    </row>
    <row r="27048" spans="1:6" x14ac:dyDescent="0.25">
      <c r="A27048" s="2" t="str">
        <f t="shared" si="957"/>
        <v>45060</v>
      </c>
      <c r="B27048" s="2" t="str">
        <f>"13141"</f>
        <v>13141</v>
      </c>
      <c r="C27048" s="1">
        <v>3.1168964708377299E-4</v>
      </c>
      <c r="D27048" s="1">
        <v>0</v>
      </c>
      <c r="E27048" s="1">
        <v>0</v>
      </c>
      <c r="F27048" s="1">
        <v>2.7711118729288001E-4</v>
      </c>
    </row>
    <row r="27049" spans="1:6" x14ac:dyDescent="0.25">
      <c r="A27049" s="2" t="str">
        <f t="shared" si="957"/>
        <v>45060</v>
      </c>
      <c r="B27049" s="2" t="str">
        <f>"13121"</f>
        <v>13121</v>
      </c>
      <c r="C27049" s="1">
        <v>0</v>
      </c>
      <c r="D27049" s="1">
        <v>0</v>
      </c>
      <c r="E27049" s="1">
        <v>7.1546111468841599E-5</v>
      </c>
      <c r="F27049" s="1">
        <v>2.8568163638441298E-6</v>
      </c>
    </row>
    <row r="27050" spans="1:6" x14ac:dyDescent="0.25">
      <c r="A27050" s="2" t="str">
        <f t="shared" si="957"/>
        <v>45060</v>
      </c>
      <c r="B27050" s="2" t="str">
        <f>"13115"</f>
        <v>13115</v>
      </c>
      <c r="C27050" s="1">
        <v>3.02049761091492E-4</v>
      </c>
      <c r="D27050" s="1">
        <v>0</v>
      </c>
      <c r="E27050" s="1">
        <v>7.1546111468841599E-5</v>
      </c>
      <c r="F27050" s="1">
        <v>2.7139755456519199E-4</v>
      </c>
    </row>
    <row r="27051" spans="1:6" x14ac:dyDescent="0.25">
      <c r="A27051" s="2" t="str">
        <f t="shared" si="957"/>
        <v>45060</v>
      </c>
      <c r="B27051" s="2" t="str">
        <f>"13464"</f>
        <v>13464</v>
      </c>
      <c r="C27051" s="1">
        <v>9.6398859922816603E-6</v>
      </c>
      <c r="D27051" s="1">
        <v>0</v>
      </c>
      <c r="E27051" s="1">
        <v>0</v>
      </c>
      <c r="F27051" s="1">
        <v>8.5704490915323903E-6</v>
      </c>
    </row>
    <row r="27052" spans="1:6" x14ac:dyDescent="0.25">
      <c r="A27052" s="2" t="str">
        <f t="shared" si="957"/>
        <v>45060</v>
      </c>
      <c r="B27052" s="2" t="str">
        <f>"13485"</f>
        <v>13485</v>
      </c>
      <c r="C27052" s="1">
        <v>1.1728527957276E-3</v>
      </c>
      <c r="D27052" s="1">
        <v>8.0463469584808394E-5</v>
      </c>
      <c r="E27052" s="1">
        <v>2.14638334406525E-4</v>
      </c>
      <c r="F27052" s="1">
        <v>1.05702205462232E-3</v>
      </c>
    </row>
    <row r="27053" spans="1:6" x14ac:dyDescent="0.25">
      <c r="A27053" s="2" t="str">
        <f t="shared" si="957"/>
        <v>45060</v>
      </c>
      <c r="B27053" s="2" t="str">
        <f>"13421"</f>
        <v>13421</v>
      </c>
      <c r="C27053" s="1">
        <v>1.6346033347578899E-2</v>
      </c>
      <c r="D27053" s="1">
        <v>2.16446733183134E-2</v>
      </c>
      <c r="E27053" s="1">
        <v>2.39679473420619E-2</v>
      </c>
      <c r="F27053" s="1">
        <v>1.7026625528510999E-2</v>
      </c>
    </row>
    <row r="27054" spans="1:6" x14ac:dyDescent="0.25">
      <c r="A27054" s="2" t="str">
        <f t="shared" si="957"/>
        <v>45060</v>
      </c>
      <c r="B27054" s="2" t="str">
        <f>"13063"</f>
        <v>13063</v>
      </c>
      <c r="C27054" s="1">
        <v>2.3360657054629199E-3</v>
      </c>
      <c r="D27054" s="1">
        <v>6.4370775667846704E-4</v>
      </c>
      <c r="E27054" s="1">
        <v>1.28783000643915E-3</v>
      </c>
      <c r="F27054" s="1">
        <v>2.1740372528853799E-3</v>
      </c>
    </row>
    <row r="27055" spans="1:6" x14ac:dyDescent="0.25">
      <c r="A27055" s="2" t="str">
        <f t="shared" si="957"/>
        <v>45060</v>
      </c>
      <c r="B27055" s="2" t="str">
        <f>"13033"</f>
        <v>13033</v>
      </c>
      <c r="C27055" s="1">
        <v>1.6066476653802699E-5</v>
      </c>
      <c r="D27055" s="1">
        <v>0</v>
      </c>
      <c r="E27055" s="1">
        <v>0</v>
      </c>
      <c r="F27055" s="1">
        <v>1.4284081819220601E-5</v>
      </c>
    </row>
    <row r="27056" spans="1:6" x14ac:dyDescent="0.25">
      <c r="A27056" s="2" t="str">
        <f t="shared" si="957"/>
        <v>45060</v>
      </c>
      <c r="B27056" s="2" t="str">
        <f>"13031"</f>
        <v>13031</v>
      </c>
      <c r="C27056" s="1">
        <v>2.56131770814923E-2</v>
      </c>
      <c r="D27056" s="1">
        <v>2.4863212101705799E-2</v>
      </c>
      <c r="E27056" s="1">
        <v>1.9388996208056002E-2</v>
      </c>
      <c r="F27056" s="1">
        <v>2.5311392983659E-2</v>
      </c>
    </row>
    <row r="27057" spans="1:6" x14ac:dyDescent="0.25">
      <c r="A27057" s="2" t="str">
        <f t="shared" si="957"/>
        <v>45060</v>
      </c>
      <c r="B27057" s="2" t="str">
        <f>"13057"</f>
        <v>13057</v>
      </c>
      <c r="C27057" s="1">
        <v>2.3807305105604901E-2</v>
      </c>
      <c r="D27057" s="1">
        <v>6.49340199549404E-2</v>
      </c>
      <c r="E27057" s="1">
        <v>3.7275524075266499E-2</v>
      </c>
      <c r="F27057" s="1">
        <v>2.7265455376528299E-2</v>
      </c>
    </row>
    <row r="27058" spans="1:6" x14ac:dyDescent="0.25">
      <c r="A27058" s="2" t="str">
        <f t="shared" si="957"/>
        <v>45060</v>
      </c>
      <c r="B27058" s="2" t="str">
        <f>"13261"</f>
        <v>13261</v>
      </c>
      <c r="C27058" s="1">
        <v>0</v>
      </c>
      <c r="D27058" s="1">
        <v>0</v>
      </c>
      <c r="E27058" s="1">
        <v>7.8700722615725801E-4</v>
      </c>
      <c r="F27058" s="1">
        <v>3.14249800022854E-5</v>
      </c>
    </row>
    <row r="27059" spans="1:6" x14ac:dyDescent="0.25">
      <c r="A27059" s="2" t="str">
        <f t="shared" si="957"/>
        <v>45060</v>
      </c>
      <c r="B27059" s="2" t="str">
        <f>"13252"</f>
        <v>13252</v>
      </c>
      <c r="C27059" s="1">
        <v>0</v>
      </c>
      <c r="D27059" s="1">
        <v>4.0231734792404197E-5</v>
      </c>
      <c r="E27059" s="1">
        <v>0</v>
      </c>
      <c r="F27059" s="1">
        <v>2.8568163638441298E-6</v>
      </c>
    </row>
    <row r="27060" spans="1:6" x14ac:dyDescent="0.25">
      <c r="A27060" s="2" t="str">
        <f t="shared" si="957"/>
        <v>45060</v>
      </c>
      <c r="B27060" s="2" t="str">
        <f>"13167"</f>
        <v>13167</v>
      </c>
      <c r="C27060" s="1">
        <v>5.2601644564550199E-3</v>
      </c>
      <c r="D27060" s="1">
        <v>1.2471837785645299E-3</v>
      </c>
      <c r="E27060" s="1">
        <v>2.21792945553409E-3</v>
      </c>
      <c r="F27060" s="1">
        <v>4.8537310021711799E-3</v>
      </c>
    </row>
    <row r="27061" spans="1:6" x14ac:dyDescent="0.25">
      <c r="A27061" s="2" t="str">
        <f t="shared" si="957"/>
        <v>45060</v>
      </c>
      <c r="B27061" s="2" t="str">
        <f>"13020"</f>
        <v>13020</v>
      </c>
      <c r="C27061" s="1">
        <v>2.0243760583791399E-4</v>
      </c>
      <c r="D27061" s="1">
        <v>0</v>
      </c>
      <c r="E27061" s="1">
        <v>7.1546111468841599E-5</v>
      </c>
      <c r="F27061" s="1">
        <v>1.8283624728602401E-4</v>
      </c>
    </row>
    <row r="27062" spans="1:6" x14ac:dyDescent="0.25">
      <c r="A27062" s="2" t="str">
        <f t="shared" si="957"/>
        <v>45060</v>
      </c>
      <c r="B27062" s="2" t="str">
        <f>"13483"</f>
        <v>13483</v>
      </c>
      <c r="C27062" s="1">
        <v>3.8559543969126601E-5</v>
      </c>
      <c r="D27062" s="1">
        <v>0</v>
      </c>
      <c r="E27062" s="1">
        <v>0</v>
      </c>
      <c r="F27062" s="1">
        <v>3.42817963661295E-5</v>
      </c>
    </row>
    <row r="27063" spans="1:6" x14ac:dyDescent="0.25">
      <c r="A27063" s="2" t="str">
        <f t="shared" si="957"/>
        <v>45060</v>
      </c>
      <c r="B27063" s="2" t="str">
        <f>"13084"</f>
        <v>13084</v>
      </c>
      <c r="C27063" s="1">
        <v>6.3462582782520902E-3</v>
      </c>
      <c r="D27063" s="1">
        <v>2.61506276150627E-3</v>
      </c>
      <c r="E27063" s="1">
        <v>4.2212205766616502E-3</v>
      </c>
      <c r="F27063" s="1">
        <v>5.9964575477088299E-3</v>
      </c>
    </row>
    <row r="27064" spans="1:6" x14ac:dyDescent="0.25">
      <c r="A27064" s="2" t="str">
        <f t="shared" si="957"/>
        <v>45060</v>
      </c>
      <c r="B27064" s="2" t="str">
        <f>"13078"</f>
        <v>13078</v>
      </c>
      <c r="C27064" s="1">
        <v>1.4437335921107099E-2</v>
      </c>
      <c r="D27064" s="1">
        <v>6.6382362407467E-3</v>
      </c>
      <c r="E27064" s="1">
        <v>5.8667811404450104E-3</v>
      </c>
      <c r="F27064" s="1">
        <v>1.35413095646211E-2</v>
      </c>
    </row>
    <row r="27065" spans="1:6" x14ac:dyDescent="0.25">
      <c r="A27065" s="2" t="str">
        <f t="shared" si="957"/>
        <v>45060</v>
      </c>
      <c r="B27065" s="2" t="str">
        <f>"13051"</f>
        <v>13051</v>
      </c>
      <c r="C27065" s="1">
        <v>3.21329533076055E-6</v>
      </c>
      <c r="D27065" s="1">
        <v>0</v>
      </c>
      <c r="E27065" s="1">
        <v>7.1546111468841599E-5</v>
      </c>
      <c r="F27065" s="1">
        <v>5.7136327276882596E-6</v>
      </c>
    </row>
    <row r="27066" spans="1:6" x14ac:dyDescent="0.25">
      <c r="A27066" s="2" t="str">
        <f t="shared" si="957"/>
        <v>45060</v>
      </c>
      <c r="B27066" s="2" t="str">
        <f>"13042"</f>
        <v>13042</v>
      </c>
      <c r="C27066" s="1">
        <v>1.3752904015655099E-3</v>
      </c>
      <c r="D27066" s="1">
        <v>1.60926939169616E-4</v>
      </c>
      <c r="E27066" s="1">
        <v>2.8618444587536602E-4</v>
      </c>
      <c r="F27066" s="1">
        <v>1.24557193463604E-3</v>
      </c>
    </row>
    <row r="27067" spans="1:6" x14ac:dyDescent="0.25">
      <c r="A27067" s="2" t="str">
        <f t="shared" si="957"/>
        <v>45060</v>
      </c>
      <c r="B27067" s="2" t="str">
        <f>"13037"</f>
        <v>13037</v>
      </c>
      <c r="C27067" s="1">
        <v>1.3335175622656299E-2</v>
      </c>
      <c r="D27067" s="1">
        <v>8.0061152236884404E-3</v>
      </c>
      <c r="E27067" s="1">
        <v>1.3092938398798E-2</v>
      </c>
      <c r="F27067" s="1">
        <v>1.2947091760941601E-2</v>
      </c>
    </row>
    <row r="27068" spans="1:6" x14ac:dyDescent="0.25">
      <c r="A27068" s="2" t="str">
        <f t="shared" si="957"/>
        <v>45060</v>
      </c>
      <c r="B27068" s="2" t="str">
        <f>"13316"</f>
        <v>13316</v>
      </c>
      <c r="C27068" s="1">
        <v>1.47811585214985E-4</v>
      </c>
      <c r="D27068" s="1">
        <v>0</v>
      </c>
      <c r="E27068" s="1">
        <v>0</v>
      </c>
      <c r="F27068" s="1">
        <v>1.3141355273683E-4</v>
      </c>
    </row>
    <row r="27069" spans="1:6" x14ac:dyDescent="0.25">
      <c r="A27069" s="2" t="str">
        <f t="shared" si="957"/>
        <v>45060</v>
      </c>
      <c r="B27069" s="2" t="str">
        <f>"13224"</f>
        <v>13224</v>
      </c>
      <c r="C27069" s="1">
        <v>1.3090965177518499E-2</v>
      </c>
      <c r="D27069" s="1">
        <v>9.1728355326681603E-3</v>
      </c>
      <c r="E27069" s="1">
        <v>1.56685984116763E-2</v>
      </c>
      <c r="F27069" s="1">
        <v>1.29156667809393E-2</v>
      </c>
    </row>
    <row r="27070" spans="1:6" x14ac:dyDescent="0.25">
      <c r="A27070" s="2" t="str">
        <f t="shared" si="957"/>
        <v>45060</v>
      </c>
      <c r="B27070" s="2" t="str">
        <f>"13211"</f>
        <v>13211</v>
      </c>
      <c r="C27070" s="1">
        <v>9.0647061280755194E-3</v>
      </c>
      <c r="D27070" s="1">
        <v>1.81042806565819E-2</v>
      </c>
      <c r="E27070" s="1">
        <v>8.5855333762609991E-3</v>
      </c>
      <c r="F27070" s="1">
        <v>9.6874642897954496E-3</v>
      </c>
    </row>
    <row r="27071" spans="1:6" x14ac:dyDescent="0.25">
      <c r="A27071" s="2" t="str">
        <f t="shared" si="957"/>
        <v>45060</v>
      </c>
      <c r="B27071" s="2" t="str">
        <f>"13209"</f>
        <v>13209</v>
      </c>
      <c r="C27071" s="1">
        <v>2.18375550678487E-2</v>
      </c>
      <c r="D27071" s="1">
        <v>2.42597360798197E-2</v>
      </c>
      <c r="E27071" s="1">
        <v>2.21792945553409E-2</v>
      </c>
      <c r="F27071" s="1">
        <v>2.2023197348874399E-2</v>
      </c>
    </row>
    <row r="27072" spans="1:6" x14ac:dyDescent="0.25">
      <c r="A27072" s="2" t="str">
        <f t="shared" si="957"/>
        <v>45060</v>
      </c>
      <c r="B27072" s="2" t="str">
        <f>"13205"</f>
        <v>13205</v>
      </c>
      <c r="C27072" s="1">
        <v>3.09086877865857E-2</v>
      </c>
      <c r="D27072" s="1">
        <v>2.0236562600579301E-2</v>
      </c>
      <c r="E27072" s="1">
        <v>2.13922873291836E-2</v>
      </c>
      <c r="F27072" s="1">
        <v>2.97708833276197E-2</v>
      </c>
    </row>
    <row r="27073" spans="1:6" x14ac:dyDescent="0.25">
      <c r="A27073" s="2" t="str">
        <f t="shared" si="957"/>
        <v>45060</v>
      </c>
      <c r="B27073" s="2" t="str">
        <f>"13089"</f>
        <v>13089</v>
      </c>
      <c r="C27073" s="1">
        <v>1.7191130019568899E-3</v>
      </c>
      <c r="D27073" s="1">
        <v>6.23591889282265E-3</v>
      </c>
      <c r="E27073" s="1">
        <v>1.4309222293768301E-4</v>
      </c>
      <c r="F27073" s="1">
        <v>1.9769169237801301E-3</v>
      </c>
    </row>
    <row r="27074" spans="1:6" x14ac:dyDescent="0.25">
      <c r="A27074" s="2" t="str">
        <f t="shared" si="957"/>
        <v>45060</v>
      </c>
      <c r="B27074" s="2" t="str">
        <f>"13088"</f>
        <v>13088</v>
      </c>
      <c r="C27074" s="1">
        <v>3.66251401800088E-2</v>
      </c>
      <c r="D27074" s="1">
        <v>4.13582233665915E-2</v>
      </c>
      <c r="E27074" s="1">
        <v>3.7060885740859903E-2</v>
      </c>
      <c r="F27074" s="1">
        <v>3.6978631013598398E-2</v>
      </c>
    </row>
    <row r="27075" spans="1:6" x14ac:dyDescent="0.25">
      <c r="A27075" s="2" t="str">
        <f t="shared" ref="A27075:A27106" si="958">"45060"</f>
        <v>45060</v>
      </c>
      <c r="B27075" s="2" t="str">
        <f>"13135"</f>
        <v>13135</v>
      </c>
      <c r="C27075" s="1">
        <v>9.6173929249663403E-3</v>
      </c>
      <c r="D27075" s="1">
        <v>8.3682008368200795E-3</v>
      </c>
      <c r="E27075" s="1">
        <v>1.04457322744508E-2</v>
      </c>
      <c r="F27075" s="1">
        <v>9.5617643697863096E-3</v>
      </c>
    </row>
    <row r="27076" spans="1:6" x14ac:dyDescent="0.25">
      <c r="A27076" s="2" t="str">
        <f t="shared" si="958"/>
        <v>45060</v>
      </c>
      <c r="B27076" s="2" t="str">
        <f>"13110"</f>
        <v>13110</v>
      </c>
      <c r="C27076" s="1">
        <v>3.7724087183128902E-3</v>
      </c>
      <c r="D27076" s="1">
        <v>8.0463469584808405E-4</v>
      </c>
      <c r="E27076" s="1">
        <v>2.9333905702225E-3</v>
      </c>
      <c r="F27076" s="1">
        <v>3.5281682093475002E-3</v>
      </c>
    </row>
    <row r="27077" spans="1:6" x14ac:dyDescent="0.25">
      <c r="A27077" s="2" t="str">
        <f t="shared" si="958"/>
        <v>45060</v>
      </c>
      <c r="B27077" s="2" t="str">
        <f>"13408"</f>
        <v>13408</v>
      </c>
      <c r="C27077" s="1">
        <v>3.9137937128663498E-3</v>
      </c>
      <c r="D27077" s="1">
        <v>7.2417122626327603E-4</v>
      </c>
      <c r="E27077" s="1">
        <v>3.8634900193174498E-3</v>
      </c>
      <c r="F27077" s="1">
        <v>3.68529310935893E-3</v>
      </c>
    </row>
    <row r="27078" spans="1:6" x14ac:dyDescent="0.25">
      <c r="A27078" s="2" t="str">
        <f t="shared" si="958"/>
        <v>45060</v>
      </c>
      <c r="B27078" s="2" t="str">
        <f>"13355"</f>
        <v>13355</v>
      </c>
      <c r="C27078" s="1">
        <v>1.07002734514326E-3</v>
      </c>
      <c r="D27078" s="1">
        <v>2.8162214354682903E-4</v>
      </c>
      <c r="E27078" s="1">
        <v>2.14638334406525E-4</v>
      </c>
      <c r="F27078" s="1">
        <v>9.7988801279853691E-4</v>
      </c>
    </row>
    <row r="27079" spans="1:6" x14ac:dyDescent="0.25">
      <c r="A27079" s="2" t="str">
        <f t="shared" si="958"/>
        <v>45060</v>
      </c>
      <c r="B27079" s="2" t="str">
        <f>"13072"</f>
        <v>13072</v>
      </c>
      <c r="C27079" s="1">
        <v>7.35844630744167E-4</v>
      </c>
      <c r="D27079" s="1">
        <v>8.0463469584808394E-5</v>
      </c>
      <c r="E27079" s="1">
        <v>2.8618444587536602E-4</v>
      </c>
      <c r="F27079" s="1">
        <v>6.7135184550337103E-4</v>
      </c>
    </row>
    <row r="27080" spans="1:6" x14ac:dyDescent="0.25">
      <c r="A27080" s="2" t="str">
        <f t="shared" si="958"/>
        <v>45060</v>
      </c>
      <c r="B27080" s="2" t="str">
        <f>"13052"</f>
        <v>13052</v>
      </c>
      <c r="C27080" s="1">
        <v>1.8508581105180701E-3</v>
      </c>
      <c r="D27080" s="1">
        <v>5.6324428709365903E-4</v>
      </c>
      <c r="E27080" s="1">
        <v>2.0748372325964E-3</v>
      </c>
      <c r="F27080" s="1">
        <v>1.76836932921951E-3</v>
      </c>
    </row>
    <row r="27081" spans="1:6" x14ac:dyDescent="0.25">
      <c r="A27081" s="2" t="str">
        <f t="shared" si="958"/>
        <v>45060</v>
      </c>
      <c r="B27081" s="2" t="str">
        <f>"13041"</f>
        <v>13041</v>
      </c>
      <c r="C27081" s="1">
        <v>1.55684158775348E-2</v>
      </c>
      <c r="D27081" s="1">
        <v>8.8912133891213291E-3</v>
      </c>
      <c r="E27081" s="1">
        <v>2.0032911211275602E-3</v>
      </c>
      <c r="F27081" s="1">
        <v>1.4552622557422E-2</v>
      </c>
    </row>
    <row r="27082" spans="1:6" x14ac:dyDescent="0.25">
      <c r="A27082" s="2" t="str">
        <f t="shared" si="958"/>
        <v>45060</v>
      </c>
      <c r="B27082" s="2" t="str">
        <f>"13039"</f>
        <v>13039</v>
      </c>
      <c r="C27082" s="1">
        <v>2.5269354481101E-2</v>
      </c>
      <c r="D27082" s="1">
        <v>2.9489861602832301E-2</v>
      </c>
      <c r="E27082" s="1">
        <v>1.50246834084567E-2</v>
      </c>
      <c r="F27082" s="1">
        <v>2.51599817163752E-2</v>
      </c>
    </row>
    <row r="27083" spans="1:6" x14ac:dyDescent="0.25">
      <c r="A27083" s="2" t="str">
        <f t="shared" si="958"/>
        <v>45060</v>
      </c>
      <c r="B27083" s="2" t="str">
        <f>"13035"</f>
        <v>13035</v>
      </c>
      <c r="C27083" s="1">
        <v>1.1532516942099599E-2</v>
      </c>
      <c r="D27083" s="1">
        <v>1.0460251046025101E-2</v>
      </c>
      <c r="E27083" s="1">
        <v>2.6257422909064802E-2</v>
      </c>
      <c r="F27083" s="1">
        <v>1.2044337789966801E-2</v>
      </c>
    </row>
    <row r="27084" spans="1:6" x14ac:dyDescent="0.25">
      <c r="A27084" s="2" t="str">
        <f t="shared" si="958"/>
        <v>45060</v>
      </c>
      <c r="B27084" s="2" t="str">
        <f>"13218"</f>
        <v>13218</v>
      </c>
      <c r="C27084" s="1">
        <v>2.0179494677176201E-3</v>
      </c>
      <c r="D27084" s="1">
        <v>6.9198583842935302E-3</v>
      </c>
      <c r="E27084" s="1">
        <v>5.7236889175073301E-4</v>
      </c>
      <c r="F27084" s="1">
        <v>2.3083076219860498E-3</v>
      </c>
    </row>
    <row r="27085" spans="1:6" x14ac:dyDescent="0.25">
      <c r="A27085" s="2" t="str">
        <f t="shared" si="958"/>
        <v>45060</v>
      </c>
      <c r="B27085" s="2" t="str">
        <f>"13153"</f>
        <v>13153</v>
      </c>
      <c r="C27085" s="1">
        <v>4.2736827899115301E-4</v>
      </c>
      <c r="D27085" s="1">
        <v>3.6208561313163802E-4</v>
      </c>
      <c r="E27085" s="1">
        <v>7.1546111468841599E-5</v>
      </c>
      <c r="F27085" s="1">
        <v>4.0852474002970999E-4</v>
      </c>
    </row>
    <row r="27086" spans="1:6" x14ac:dyDescent="0.25">
      <c r="A27086" s="2" t="str">
        <f t="shared" si="958"/>
        <v>45060</v>
      </c>
      <c r="B27086" s="2" t="str">
        <f>"13156"</f>
        <v>13156</v>
      </c>
      <c r="C27086" s="1">
        <v>9.6398859922816603E-6</v>
      </c>
      <c r="D27086" s="1">
        <v>0</v>
      </c>
      <c r="E27086" s="1">
        <v>0</v>
      </c>
      <c r="F27086" s="1">
        <v>8.5704490915323903E-6</v>
      </c>
    </row>
    <row r="27087" spans="1:6" x14ac:dyDescent="0.25">
      <c r="A27087" s="2" t="str">
        <f t="shared" si="958"/>
        <v>45060</v>
      </c>
      <c r="B27087" s="2" t="str">
        <f>"13159"</f>
        <v>13159</v>
      </c>
      <c r="C27087" s="1">
        <v>5.8771171599610499E-3</v>
      </c>
      <c r="D27087" s="1">
        <v>3.3392339877695498E-3</v>
      </c>
      <c r="E27087" s="1">
        <v>3.29112112756671E-3</v>
      </c>
      <c r="F27087" s="1">
        <v>5.5936464404068098E-3</v>
      </c>
    </row>
    <row r="27088" spans="1:6" x14ac:dyDescent="0.25">
      <c r="A27088" s="2" t="str">
        <f t="shared" si="958"/>
        <v>45060</v>
      </c>
      <c r="B27088" s="2" t="str">
        <f>"13144"</f>
        <v>13144</v>
      </c>
      <c r="C27088" s="1">
        <v>1.8122985665489501E-3</v>
      </c>
      <c r="D27088" s="1">
        <v>1.60926939169616E-4</v>
      </c>
      <c r="E27088" s="1">
        <v>3.5773055734420801E-4</v>
      </c>
      <c r="F27088" s="1">
        <v>1.6369557764826801E-3</v>
      </c>
    </row>
    <row r="27089" spans="1:6" x14ac:dyDescent="0.25">
      <c r="A27089" s="2" t="str">
        <f t="shared" si="958"/>
        <v>45060</v>
      </c>
      <c r="B27089" s="2" t="str">
        <f>"13214"</f>
        <v>13214</v>
      </c>
      <c r="C27089" s="1">
        <v>1.23744003187588E-2</v>
      </c>
      <c r="D27089" s="1">
        <v>2.9449629868039898E-2</v>
      </c>
      <c r="E27089" s="1">
        <v>1.98182728768691E-2</v>
      </c>
      <c r="F27089" s="1">
        <v>1.38841275282824E-2</v>
      </c>
    </row>
    <row r="27090" spans="1:6" x14ac:dyDescent="0.25">
      <c r="A27090" s="2" t="str">
        <f t="shared" si="958"/>
        <v>45060</v>
      </c>
      <c r="B27090" s="2" t="str">
        <f>"13208"</f>
        <v>13208</v>
      </c>
      <c r="C27090" s="1">
        <v>3.3537163367147897E-2</v>
      </c>
      <c r="D27090" s="1">
        <v>3.3673962021242301E-2</v>
      </c>
      <c r="E27090" s="1">
        <v>5.3373399155755799E-2</v>
      </c>
      <c r="F27090" s="1">
        <v>3.4338932693406397E-2</v>
      </c>
    </row>
    <row r="27091" spans="1:6" x14ac:dyDescent="0.25">
      <c r="A27091" s="2" t="str">
        <f t="shared" si="958"/>
        <v>45060</v>
      </c>
      <c r="B27091" s="2" t="str">
        <f>"13021"</f>
        <v>13021</v>
      </c>
      <c r="C27091" s="1">
        <v>7.7119087938253296E-5</v>
      </c>
      <c r="D27091" s="1">
        <v>0</v>
      </c>
      <c r="E27091" s="1">
        <v>0</v>
      </c>
      <c r="F27091" s="1">
        <v>6.8563592732259095E-5</v>
      </c>
    </row>
    <row r="27092" spans="1:6" x14ac:dyDescent="0.25">
      <c r="A27092" s="2" t="str">
        <f t="shared" si="958"/>
        <v>45060</v>
      </c>
      <c r="B27092" s="2" t="str">
        <f>"13142"</f>
        <v>13142</v>
      </c>
      <c r="C27092" s="1">
        <v>1.1101935367777699E-2</v>
      </c>
      <c r="D27092" s="1">
        <v>1.07016414547795E-2</v>
      </c>
      <c r="E27092" s="1">
        <v>9.0863561565428901E-3</v>
      </c>
      <c r="F27092" s="1">
        <v>1.0993029368072201E-2</v>
      </c>
    </row>
    <row r="27093" spans="1:6" x14ac:dyDescent="0.25">
      <c r="A27093" s="2" t="str">
        <f t="shared" si="958"/>
        <v>45060</v>
      </c>
      <c r="B27093" s="2" t="str">
        <f>"13409"</f>
        <v>13409</v>
      </c>
      <c r="C27093" s="1">
        <v>2.9980045435995901E-3</v>
      </c>
      <c r="D27093" s="1">
        <v>5.2301255230125497E-4</v>
      </c>
      <c r="E27093" s="1">
        <v>5.0082278028189102E-4</v>
      </c>
      <c r="F27093" s="1">
        <v>2.7225459947434502E-3</v>
      </c>
    </row>
    <row r="27094" spans="1:6" x14ac:dyDescent="0.25">
      <c r="A27094" s="2" t="str">
        <f t="shared" si="958"/>
        <v>45060</v>
      </c>
      <c r="B27094" s="2" t="str">
        <f>"13036"</f>
        <v>13036</v>
      </c>
      <c r="C27094" s="1">
        <v>1.3004206203587901E-2</v>
      </c>
      <c r="D27094" s="1">
        <v>1.05407145156099E-2</v>
      </c>
      <c r="E27094" s="1">
        <v>1.0016455605637801E-2</v>
      </c>
      <c r="F27094" s="1">
        <v>1.27099760027425E-2</v>
      </c>
    </row>
    <row r="27095" spans="1:6" x14ac:dyDescent="0.25">
      <c r="A27095" s="2" t="str">
        <f t="shared" si="958"/>
        <v>45060</v>
      </c>
      <c r="B27095" s="2" t="str">
        <f>"13217"</f>
        <v>13217</v>
      </c>
      <c r="C27095" s="1">
        <v>2.2782263895092299E-3</v>
      </c>
      <c r="D27095" s="1">
        <v>6.23591889282265E-3</v>
      </c>
      <c r="E27095" s="1">
        <v>5.0082278028189102E-4</v>
      </c>
      <c r="F27095" s="1">
        <v>2.4882870529082299E-3</v>
      </c>
    </row>
    <row r="27096" spans="1:6" x14ac:dyDescent="0.25">
      <c r="A27096" s="2" t="str">
        <f t="shared" si="958"/>
        <v>45060</v>
      </c>
      <c r="B27096" s="2" t="str">
        <f>"13334"</f>
        <v>13334</v>
      </c>
      <c r="C27096" s="1">
        <v>1.6387806186878801E-3</v>
      </c>
      <c r="D27096" s="1">
        <v>2.4139040875442499E-4</v>
      </c>
      <c r="E27096" s="1">
        <v>7.1546111468841602E-4</v>
      </c>
      <c r="F27096" s="1">
        <v>1.50268540738201E-3</v>
      </c>
    </row>
    <row r="27097" spans="1:6" x14ac:dyDescent="0.25">
      <c r="A27097" s="2" t="str">
        <f t="shared" si="958"/>
        <v>45060</v>
      </c>
      <c r="B27097" s="2" t="str">
        <f>"13119"</f>
        <v>13119</v>
      </c>
      <c r="C27097" s="1">
        <v>2.2493067315323799E-5</v>
      </c>
      <c r="D27097" s="1">
        <v>0</v>
      </c>
      <c r="E27097" s="1">
        <v>7.1546111468841599E-5</v>
      </c>
      <c r="F27097" s="1">
        <v>2.2854530910753001E-5</v>
      </c>
    </row>
    <row r="27098" spans="1:6" x14ac:dyDescent="0.25">
      <c r="A27098" s="2" t="str">
        <f t="shared" si="958"/>
        <v>45060</v>
      </c>
      <c r="B27098" s="2" t="str">
        <f>"13120"</f>
        <v>13120</v>
      </c>
      <c r="C27098" s="1">
        <v>4.2736827899115303E-3</v>
      </c>
      <c r="D27098" s="1">
        <v>2.9369166398455098E-3</v>
      </c>
      <c r="E27098" s="1">
        <v>1.7171066752522E-3</v>
      </c>
      <c r="F27098" s="1">
        <v>4.0766769512055696E-3</v>
      </c>
    </row>
    <row r="27099" spans="1:6" x14ac:dyDescent="0.25">
      <c r="A27099" s="2" t="str">
        <f t="shared" si="958"/>
        <v>45060</v>
      </c>
      <c r="B27099" s="2" t="str">
        <f>"13108"</f>
        <v>13108</v>
      </c>
      <c r="C27099" s="1">
        <v>8.5184459218462308E-3</v>
      </c>
      <c r="D27099" s="1">
        <v>5.6324428709365899E-3</v>
      </c>
      <c r="E27099" s="1">
        <v>6.1529655863203801E-3</v>
      </c>
      <c r="F27099" s="1">
        <v>8.2190606787795606E-3</v>
      </c>
    </row>
    <row r="27100" spans="1:6" x14ac:dyDescent="0.25">
      <c r="A27100" s="2" t="str">
        <f t="shared" si="958"/>
        <v>45060</v>
      </c>
      <c r="B27100" s="2" t="str">
        <f>"13491"</f>
        <v>13491</v>
      </c>
      <c r="C27100" s="1">
        <v>5.4626020622929397E-4</v>
      </c>
      <c r="D27100" s="1">
        <v>8.0463469584808394E-5</v>
      </c>
      <c r="E27100" s="1">
        <v>5.0082278028189102E-4</v>
      </c>
      <c r="F27100" s="1">
        <v>5.1137012912809898E-4</v>
      </c>
    </row>
    <row r="27101" spans="1:6" x14ac:dyDescent="0.25">
      <c r="A27101" s="2" t="str">
        <f t="shared" si="958"/>
        <v>45060</v>
      </c>
      <c r="B27101" s="2" t="str">
        <f>"13061"</f>
        <v>13061</v>
      </c>
      <c r="C27101" s="1">
        <v>2.0436558303637102E-3</v>
      </c>
      <c r="D27101" s="1">
        <v>4.0231734792404202E-4</v>
      </c>
      <c r="E27101" s="1">
        <v>3.5773055734420801E-3</v>
      </c>
      <c r="F27101" s="1">
        <v>1.98834418923551E-3</v>
      </c>
    </row>
    <row r="27102" spans="1:6" x14ac:dyDescent="0.25">
      <c r="A27102" s="2" t="str">
        <f t="shared" si="958"/>
        <v>45060</v>
      </c>
      <c r="B27102" s="2" t="str">
        <f>"13043"</f>
        <v>13043</v>
      </c>
      <c r="C27102" s="1">
        <v>0</v>
      </c>
      <c r="D27102" s="1">
        <v>0</v>
      </c>
      <c r="E27102" s="1">
        <v>7.1546111468841599E-5</v>
      </c>
      <c r="F27102" s="1">
        <v>2.8568163638441298E-6</v>
      </c>
    </row>
    <row r="27103" spans="1:6" x14ac:dyDescent="0.25">
      <c r="A27103" s="2" t="str">
        <f t="shared" si="958"/>
        <v>45060</v>
      </c>
      <c r="B27103" s="2" t="str">
        <f>"13032"</f>
        <v>13032</v>
      </c>
      <c r="C27103" s="1">
        <v>1.84475284938963E-2</v>
      </c>
      <c r="D27103" s="1">
        <v>1.24718377856453E-2</v>
      </c>
      <c r="E27103" s="1">
        <v>2.3538670673248899E-2</v>
      </c>
      <c r="F27103" s="1">
        <v>1.82264884013255E-2</v>
      </c>
    </row>
    <row r="27104" spans="1:6" x14ac:dyDescent="0.25">
      <c r="A27104" s="2" t="str">
        <f t="shared" si="958"/>
        <v>45060</v>
      </c>
      <c r="B27104" s="2" t="str">
        <f>"13220"</f>
        <v>13220</v>
      </c>
      <c r="C27104" s="1">
        <v>4.7588903848563803E-3</v>
      </c>
      <c r="D27104" s="1">
        <v>1.41615706469262E-2</v>
      </c>
      <c r="E27104" s="1">
        <v>2.8618444587536602E-4</v>
      </c>
      <c r="F27104" s="1">
        <v>5.2479716603816701E-3</v>
      </c>
    </row>
    <row r="27105" spans="1:6" x14ac:dyDescent="0.25">
      <c r="A27105" s="2" t="str">
        <f t="shared" si="958"/>
        <v>45060</v>
      </c>
      <c r="B27105" s="2" t="str">
        <f>"13163"</f>
        <v>13163</v>
      </c>
      <c r="C27105" s="1">
        <v>2.6349021712236502E-4</v>
      </c>
      <c r="D27105" s="1">
        <v>2.0115867396202101E-4</v>
      </c>
      <c r="E27105" s="1">
        <v>2.14638334406525E-4</v>
      </c>
      <c r="F27105" s="1">
        <v>2.5711347274597101E-4</v>
      </c>
    </row>
    <row r="27106" spans="1:6" x14ac:dyDescent="0.25">
      <c r="A27106" s="2" t="str">
        <f t="shared" si="958"/>
        <v>45060</v>
      </c>
      <c r="B27106" s="2" t="str">
        <f>"13204"</f>
        <v>13204</v>
      </c>
      <c r="C27106" s="1">
        <v>3.4395113220460898E-2</v>
      </c>
      <c r="D27106" s="1">
        <v>5.7491149018345601E-2</v>
      </c>
      <c r="E27106" s="1">
        <v>5.0940831365815203E-2</v>
      </c>
      <c r="F27106" s="1">
        <v>3.6695806193577797E-2</v>
      </c>
    </row>
    <row r="27107" spans="1:6" x14ac:dyDescent="0.25">
      <c r="A27107" s="2" t="str">
        <f t="shared" ref="A27107:A27132" si="959">"45060"</f>
        <v>45060</v>
      </c>
      <c r="B27107" s="2" t="str">
        <f>"13027"</f>
        <v>13027</v>
      </c>
      <c r="C27107" s="1">
        <v>5.1605523012014501E-2</v>
      </c>
      <c r="D27107" s="1">
        <v>2.98519472159639E-2</v>
      </c>
      <c r="E27107" s="1">
        <v>4.6433426343278197E-2</v>
      </c>
      <c r="F27107" s="1">
        <v>4.98543023654439E-2</v>
      </c>
    </row>
    <row r="27108" spans="1:6" x14ac:dyDescent="0.25">
      <c r="A27108" s="2" t="str">
        <f t="shared" si="959"/>
        <v>45060</v>
      </c>
      <c r="B27108" s="2" t="str">
        <f>"13131"</f>
        <v>13131</v>
      </c>
      <c r="C27108" s="1">
        <v>5.2119650264936196E-3</v>
      </c>
      <c r="D27108" s="1">
        <v>9.6556163501770095E-4</v>
      </c>
      <c r="E27108" s="1">
        <v>9.3009944909494102E-4</v>
      </c>
      <c r="F27108" s="1">
        <v>4.7394583476174099E-3</v>
      </c>
    </row>
    <row r="27109" spans="1:6" x14ac:dyDescent="0.25">
      <c r="A27109" s="2" t="str">
        <f t="shared" si="959"/>
        <v>45060</v>
      </c>
      <c r="B27109" s="2" t="str">
        <f>"13493"</f>
        <v>13493</v>
      </c>
      <c r="C27109" s="1">
        <v>2.8694727303691702E-3</v>
      </c>
      <c r="D27109" s="1">
        <v>9.2532990022529699E-4</v>
      </c>
      <c r="E27109" s="1">
        <v>9.3009944909494102E-4</v>
      </c>
      <c r="F27109" s="1">
        <v>2.65398240201119E-3</v>
      </c>
    </row>
    <row r="27110" spans="1:6" x14ac:dyDescent="0.25">
      <c r="A27110" s="2" t="str">
        <f t="shared" si="959"/>
        <v>45060</v>
      </c>
      <c r="B27110" s="2" t="str">
        <f>"13460"</f>
        <v>13460</v>
      </c>
      <c r="C27110" s="1">
        <v>2.57063626460844E-5</v>
      </c>
      <c r="D27110" s="1">
        <v>0</v>
      </c>
      <c r="E27110" s="1">
        <v>0</v>
      </c>
      <c r="F27110" s="1">
        <v>2.2854530910753001E-5</v>
      </c>
    </row>
    <row r="27111" spans="1:6" x14ac:dyDescent="0.25">
      <c r="A27111" s="2" t="str">
        <f t="shared" si="959"/>
        <v>45060</v>
      </c>
      <c r="B27111" s="2" t="str">
        <f>"13437"</f>
        <v>13437</v>
      </c>
      <c r="C27111" s="1">
        <v>7.2941804008264501E-4</v>
      </c>
      <c r="D27111" s="1">
        <v>2.0115867396202101E-4</v>
      </c>
      <c r="E27111" s="1">
        <v>7.1546111468841599E-5</v>
      </c>
      <c r="F27111" s="1">
        <v>6.6563821277568203E-4</v>
      </c>
    </row>
    <row r="27112" spans="1:6" x14ac:dyDescent="0.25">
      <c r="A27112" s="2" t="str">
        <f t="shared" si="959"/>
        <v>45060</v>
      </c>
      <c r="B27112" s="2" t="str">
        <f>"13418"</f>
        <v>13418</v>
      </c>
      <c r="C27112" s="1">
        <v>2.6670351245312602E-4</v>
      </c>
      <c r="D27112" s="1">
        <v>4.0231734792404197E-5</v>
      </c>
      <c r="E27112" s="1">
        <v>7.1546111468841599E-5</v>
      </c>
      <c r="F27112" s="1">
        <v>2.42829390926751E-4</v>
      </c>
    </row>
    <row r="27113" spans="1:6" x14ac:dyDescent="0.25">
      <c r="A27113" s="2" t="str">
        <f t="shared" si="959"/>
        <v>45060</v>
      </c>
      <c r="B27113" s="2" t="str">
        <f>"13402"</f>
        <v>13402</v>
      </c>
      <c r="C27113" s="1">
        <v>1.9215506077948101E-3</v>
      </c>
      <c r="D27113" s="1">
        <v>7.6440296105567999E-4</v>
      </c>
      <c r="E27113" s="1">
        <v>8.585533376261E-4</v>
      </c>
      <c r="F27113" s="1">
        <v>1.79693749285795E-3</v>
      </c>
    </row>
    <row r="27114" spans="1:6" x14ac:dyDescent="0.25">
      <c r="A27114" s="2" t="str">
        <f t="shared" si="959"/>
        <v>45060</v>
      </c>
      <c r="B27114" s="2" t="str">
        <f>"13083"</f>
        <v>13083</v>
      </c>
      <c r="C27114" s="1">
        <v>2.5770628552699601E-3</v>
      </c>
      <c r="D27114" s="1">
        <v>4.4254908271644598E-4</v>
      </c>
      <c r="E27114" s="1">
        <v>1.78865278672104E-3</v>
      </c>
      <c r="F27114" s="1">
        <v>2.3940121129013801E-3</v>
      </c>
    </row>
    <row r="27115" spans="1:6" x14ac:dyDescent="0.25">
      <c r="A27115" s="2" t="str">
        <f t="shared" si="959"/>
        <v>45060</v>
      </c>
      <c r="B27115" s="2" t="str">
        <f>"13082"</f>
        <v>13082</v>
      </c>
      <c r="C27115" s="1">
        <v>6.8475323498507403E-3</v>
      </c>
      <c r="D27115" s="1">
        <v>1.6897328612809699E-3</v>
      </c>
      <c r="E27115" s="1">
        <v>3.07648279316019E-3</v>
      </c>
      <c r="F27115" s="1">
        <v>6.3307050622785901E-3</v>
      </c>
    </row>
    <row r="27116" spans="1:6" x14ac:dyDescent="0.25">
      <c r="A27116" s="2" t="str">
        <f t="shared" si="959"/>
        <v>45060</v>
      </c>
      <c r="B27116" s="2" t="str">
        <f>"13030"</f>
        <v>13030</v>
      </c>
      <c r="C27116" s="1">
        <v>5.9253165899224598E-3</v>
      </c>
      <c r="D27116" s="1">
        <v>1.6092693916961601E-3</v>
      </c>
      <c r="E27116" s="1">
        <v>2.8618444587536602E-3</v>
      </c>
      <c r="F27116" s="1">
        <v>5.49651468403611E-3</v>
      </c>
    </row>
    <row r="27117" spans="1:6" x14ac:dyDescent="0.25">
      <c r="A27117" s="2" t="str">
        <f t="shared" si="959"/>
        <v>45060</v>
      </c>
      <c r="B27117" s="2" t="str">
        <f>"13314"</f>
        <v>13314</v>
      </c>
      <c r="C27117" s="1">
        <v>2.2493067315323799E-5</v>
      </c>
      <c r="D27117" s="1">
        <v>0</v>
      </c>
      <c r="E27117" s="1">
        <v>7.1546111468841599E-5</v>
      </c>
      <c r="F27117" s="1">
        <v>2.2854530910753001E-5</v>
      </c>
    </row>
    <row r="27118" spans="1:6" x14ac:dyDescent="0.25">
      <c r="A27118" s="2" t="str">
        <f t="shared" si="959"/>
        <v>45060</v>
      </c>
      <c r="B27118" s="2" t="str">
        <f>"13310"</f>
        <v>13310</v>
      </c>
      <c r="C27118" s="1">
        <v>9.2864235058979995E-4</v>
      </c>
      <c r="D27118" s="1">
        <v>9.6556163501770095E-4</v>
      </c>
      <c r="E27118" s="1">
        <v>9.3009944909494102E-4</v>
      </c>
      <c r="F27118" s="1">
        <v>9.3132213461318697E-4</v>
      </c>
    </row>
    <row r="27119" spans="1:6" x14ac:dyDescent="0.25">
      <c r="A27119" s="2" t="str">
        <f t="shared" si="959"/>
        <v>45060</v>
      </c>
      <c r="B27119" s="2" t="str">
        <f>"13332"</f>
        <v>13332</v>
      </c>
      <c r="C27119" s="1">
        <v>2.3424922961244399E-3</v>
      </c>
      <c r="D27119" s="1">
        <v>6.8393949147087197E-4</v>
      </c>
      <c r="E27119" s="1">
        <v>2.8618444587536602E-4</v>
      </c>
      <c r="F27119" s="1">
        <v>2.1426122728830902E-3</v>
      </c>
    </row>
    <row r="27120" spans="1:6" x14ac:dyDescent="0.25">
      <c r="A27120" s="2" t="str">
        <f t="shared" si="959"/>
        <v>45060</v>
      </c>
      <c r="B27120" s="2" t="str">
        <f>"13225"</f>
        <v>13225</v>
      </c>
      <c r="C27120" s="1">
        <v>0</v>
      </c>
      <c r="D27120" s="1">
        <v>0</v>
      </c>
      <c r="E27120" s="1">
        <v>7.1546111468841599E-5</v>
      </c>
      <c r="F27120" s="1">
        <v>2.8568163638441298E-6</v>
      </c>
    </row>
    <row r="27121" spans="1:6" x14ac:dyDescent="0.25">
      <c r="A27121" s="2" t="str">
        <f t="shared" si="959"/>
        <v>45060</v>
      </c>
      <c r="B27121" s="2" t="str">
        <f>"13235"</f>
        <v>13235</v>
      </c>
      <c r="C27121" s="1">
        <v>0</v>
      </c>
      <c r="D27121" s="1">
        <v>0</v>
      </c>
      <c r="E27121" s="1">
        <v>2.8618444587536602E-4</v>
      </c>
      <c r="F27121" s="1">
        <v>1.1427265455376501E-5</v>
      </c>
    </row>
    <row r="27122" spans="1:6" x14ac:dyDescent="0.25">
      <c r="A27122" s="2" t="str">
        <f t="shared" si="959"/>
        <v>45060</v>
      </c>
      <c r="B27122" s="2" t="str">
        <f>"13202"</f>
        <v>13202</v>
      </c>
      <c r="C27122" s="1">
        <v>1.1481104216807401E-2</v>
      </c>
      <c r="D27122" s="1">
        <v>8.32796910202767E-2</v>
      </c>
      <c r="E27122" s="1">
        <v>2.9476997925162701E-2</v>
      </c>
      <c r="F27122" s="1">
        <v>1.7298023083076201E-2</v>
      </c>
    </row>
    <row r="27123" spans="1:6" x14ac:dyDescent="0.25">
      <c r="A27123" s="2" t="str">
        <f t="shared" si="959"/>
        <v>45060</v>
      </c>
      <c r="B27123" s="2" t="str">
        <f>"13158"</f>
        <v>13158</v>
      </c>
      <c r="C27123" s="1">
        <v>7.3905792607492705E-5</v>
      </c>
      <c r="D27123" s="1">
        <v>4.0231734792404197E-5</v>
      </c>
      <c r="E27123" s="1">
        <v>0</v>
      </c>
      <c r="F27123" s="1">
        <v>6.8563592732259095E-5</v>
      </c>
    </row>
    <row r="27124" spans="1:6" x14ac:dyDescent="0.25">
      <c r="A27124" s="2" t="str">
        <f t="shared" si="959"/>
        <v>45060</v>
      </c>
      <c r="B27124" s="2" t="str">
        <f>"13152"</f>
        <v>13152</v>
      </c>
      <c r="C27124" s="1">
        <v>1.44919619417301E-2</v>
      </c>
      <c r="D27124" s="1">
        <v>1.7621499839073001E-2</v>
      </c>
      <c r="E27124" s="1">
        <v>1.52393217428632E-2</v>
      </c>
      <c r="F27124" s="1">
        <v>1.4744029253799499E-2</v>
      </c>
    </row>
    <row r="27125" spans="1:6" x14ac:dyDescent="0.25">
      <c r="A27125" s="2" t="str">
        <f t="shared" si="959"/>
        <v>45060</v>
      </c>
      <c r="B27125" s="2" t="str">
        <f>"13028"</f>
        <v>13028</v>
      </c>
      <c r="C27125" s="1">
        <v>2.2011073015709799E-3</v>
      </c>
      <c r="D27125" s="1">
        <v>2.8162214354682903E-4</v>
      </c>
      <c r="E27125" s="1">
        <v>3.5773055734420801E-4</v>
      </c>
      <c r="F27125" s="1">
        <v>1.9912010055993601E-3</v>
      </c>
    </row>
    <row r="27126" spans="1:6" x14ac:dyDescent="0.25">
      <c r="A27126" s="2" t="str">
        <f t="shared" si="959"/>
        <v>45060</v>
      </c>
      <c r="B27126" s="2" t="str">
        <f>"13134"</f>
        <v>13134</v>
      </c>
      <c r="C27126" s="1">
        <v>0</v>
      </c>
      <c r="D27126" s="1">
        <v>0</v>
      </c>
      <c r="E27126" s="1">
        <v>7.1546111468841599E-5</v>
      </c>
      <c r="F27126" s="1">
        <v>2.8568163638441298E-6</v>
      </c>
    </row>
    <row r="27127" spans="1:6" x14ac:dyDescent="0.25">
      <c r="A27127" s="2" t="str">
        <f t="shared" si="959"/>
        <v>45060</v>
      </c>
      <c r="B27127" s="2" t="str">
        <f>"13103"</f>
        <v>13103</v>
      </c>
      <c r="C27127" s="1">
        <v>5.7196656887537804E-4</v>
      </c>
      <c r="D27127" s="1">
        <v>4.0231734792404197E-5</v>
      </c>
      <c r="E27127" s="1">
        <v>2.14638334406525E-4</v>
      </c>
      <c r="F27127" s="1">
        <v>5.1994057821963199E-4</v>
      </c>
    </row>
    <row r="27128" spans="1:6" x14ac:dyDescent="0.25">
      <c r="A27128" s="2" t="str">
        <f t="shared" si="959"/>
        <v>45060</v>
      </c>
      <c r="B27128" s="2" t="str">
        <f>"13111"</f>
        <v>13111</v>
      </c>
      <c r="C27128" s="1">
        <v>4.4343475564495599E-4</v>
      </c>
      <c r="D27128" s="1">
        <v>8.0463469584808394E-5</v>
      </c>
      <c r="E27128" s="1">
        <v>0</v>
      </c>
      <c r="F27128" s="1">
        <v>3.9995429093817801E-4</v>
      </c>
    </row>
    <row r="27129" spans="1:6" x14ac:dyDescent="0.25">
      <c r="A27129" s="2" t="str">
        <f t="shared" si="959"/>
        <v>45060</v>
      </c>
      <c r="B27129" s="2" t="str">
        <f>"13116"</f>
        <v>13116</v>
      </c>
      <c r="C27129" s="1">
        <v>4.8424360634561504E-3</v>
      </c>
      <c r="D27129" s="1">
        <v>1.6897328612809699E-3</v>
      </c>
      <c r="E27129" s="1">
        <v>1.7171066752522E-3</v>
      </c>
      <c r="F27129" s="1">
        <v>4.4937721403268101E-3</v>
      </c>
    </row>
    <row r="27130" spans="1:6" x14ac:dyDescent="0.25">
      <c r="A27130" s="2" t="str">
        <f t="shared" si="959"/>
        <v>45060</v>
      </c>
      <c r="B27130" s="2" t="str">
        <f>"13112"</f>
        <v>13112</v>
      </c>
      <c r="C27130" s="1">
        <v>2.49030388133943E-3</v>
      </c>
      <c r="D27130" s="1">
        <v>5.2301255230125497E-4</v>
      </c>
      <c r="E27130" s="1">
        <v>1.5740144523145099E-3</v>
      </c>
      <c r="F27130" s="1">
        <v>2.31402125471374E-3</v>
      </c>
    </row>
    <row r="27131" spans="1:6" x14ac:dyDescent="0.25">
      <c r="A27131" s="2" t="str">
        <f t="shared" si="959"/>
        <v>45060</v>
      </c>
      <c r="B27131" s="2" t="str">
        <f>"13104"</f>
        <v>13104</v>
      </c>
      <c r="C27131" s="1">
        <v>2.2978274910268701E-2</v>
      </c>
      <c r="D27131" s="1">
        <v>1.9431927904731201E-2</v>
      </c>
      <c r="E27131" s="1">
        <v>2.0390641768619801E-2</v>
      </c>
      <c r="F27131" s="1">
        <v>2.2623128785281599E-2</v>
      </c>
    </row>
    <row r="27132" spans="1:6" x14ac:dyDescent="0.25">
      <c r="A27132" s="2" t="str">
        <f t="shared" si="959"/>
        <v>45060</v>
      </c>
      <c r="B27132" s="2" t="str">
        <f>"13090"</f>
        <v>13090</v>
      </c>
      <c r="C27132" s="1">
        <v>4.3710456384335801E-2</v>
      </c>
      <c r="D27132" s="1">
        <v>2.4782748632121002E-2</v>
      </c>
      <c r="E27132" s="1">
        <v>3.8849538527581003E-2</v>
      </c>
      <c r="F27132" s="1">
        <v>4.2172323163067002E-2</v>
      </c>
    </row>
    <row r="27133" spans="1:6" x14ac:dyDescent="0.25">
      <c r="A27133" s="2" t="str">
        <f t="shared" ref="A27133:A27164" si="960">"12180"</f>
        <v>12180</v>
      </c>
      <c r="B27133" s="2" t="str">
        <f>"13073"</f>
        <v>13073</v>
      </c>
      <c r="C27133" s="1">
        <v>1.88101252216907E-3</v>
      </c>
      <c r="D27133" s="1">
        <v>0</v>
      </c>
      <c r="E27133" s="1">
        <v>7.1684587813619996E-4</v>
      </c>
      <c r="F27133" s="1">
        <v>1.72740985840105E-3</v>
      </c>
    </row>
    <row r="27134" spans="1:6" x14ac:dyDescent="0.25">
      <c r="A27134" s="2" t="str">
        <f t="shared" si="960"/>
        <v>12180</v>
      </c>
      <c r="B27134" s="2" t="str">
        <f>"13071"</f>
        <v>13071</v>
      </c>
      <c r="C27134" s="1">
        <v>1.10711022733379E-2</v>
      </c>
      <c r="D27134" s="1">
        <v>6.4179703168872797E-3</v>
      </c>
      <c r="E27134" s="1">
        <v>4.3010752688172E-3</v>
      </c>
      <c r="F27134" s="1">
        <v>1.05590968809303E-2</v>
      </c>
    </row>
    <row r="27135" spans="1:6" x14ac:dyDescent="0.25">
      <c r="A27135" s="2" t="str">
        <f t="shared" si="960"/>
        <v>12180</v>
      </c>
      <c r="B27135" s="2" t="str">
        <f>"13146"</f>
        <v>13146</v>
      </c>
      <c r="C27135" s="1">
        <v>1.61229644757349E-4</v>
      </c>
      <c r="D27135" s="1">
        <v>0</v>
      </c>
      <c r="E27135" s="1">
        <v>0</v>
      </c>
      <c r="F27135" s="1">
        <v>1.4597829789304601E-4</v>
      </c>
    </row>
    <row r="27136" spans="1:6" x14ac:dyDescent="0.25">
      <c r="A27136" s="2" t="str">
        <f t="shared" si="960"/>
        <v>12180</v>
      </c>
      <c r="B27136" s="2" t="str">
        <f>"13160"</f>
        <v>13160</v>
      </c>
      <c r="C27136" s="1">
        <v>2.2948352770462699E-2</v>
      </c>
      <c r="D27136" s="1">
        <v>1.24348174889691E-2</v>
      </c>
      <c r="E27136" s="1">
        <v>3.5842293906810001E-3</v>
      </c>
      <c r="F27136" s="1">
        <v>2.1653447520801901E-2</v>
      </c>
    </row>
    <row r="27137" spans="1:6" x14ac:dyDescent="0.25">
      <c r="A27137" s="2" t="str">
        <f t="shared" si="960"/>
        <v>12180</v>
      </c>
      <c r="B27137" s="2" t="str">
        <f>"13118"</f>
        <v>13118</v>
      </c>
      <c r="C27137" s="1">
        <v>6.3873810931369901E-2</v>
      </c>
      <c r="D27137" s="1">
        <v>3.6101083032490898E-2</v>
      </c>
      <c r="E27137" s="1">
        <v>3.8709677419354799E-2</v>
      </c>
      <c r="F27137" s="1">
        <v>6.1335214831395E-2</v>
      </c>
    </row>
    <row r="27138" spans="1:6" x14ac:dyDescent="0.25">
      <c r="A27138" s="2" t="str">
        <f t="shared" si="960"/>
        <v>12180</v>
      </c>
      <c r="B27138" s="2" t="str">
        <f>"14882"</f>
        <v>14882</v>
      </c>
      <c r="C27138" s="1">
        <v>2.1497285967646501E-4</v>
      </c>
      <c r="D27138" s="1">
        <v>0</v>
      </c>
      <c r="E27138" s="1">
        <v>0</v>
      </c>
      <c r="F27138" s="1">
        <v>1.9463773052406201E-4</v>
      </c>
    </row>
    <row r="27139" spans="1:6" x14ac:dyDescent="0.25">
      <c r="A27139" s="2" t="str">
        <f t="shared" si="960"/>
        <v>12180</v>
      </c>
      <c r="B27139" s="2" t="str">
        <f>"13060"</f>
        <v>13060</v>
      </c>
      <c r="C27139" s="1">
        <v>8.0614822378674596E-5</v>
      </c>
      <c r="D27139" s="1">
        <v>0</v>
      </c>
      <c r="E27139" s="1">
        <v>0</v>
      </c>
      <c r="F27139" s="1">
        <v>7.2989148946523194E-5</v>
      </c>
    </row>
    <row r="27140" spans="1:6" x14ac:dyDescent="0.25">
      <c r="A27140" s="2" t="str">
        <f t="shared" si="960"/>
        <v>12180</v>
      </c>
      <c r="B27140" s="2" t="str">
        <f>"13147"</f>
        <v>13147</v>
      </c>
      <c r="C27140" s="1">
        <v>1.32208308701026E-2</v>
      </c>
      <c r="D27140" s="1">
        <v>8.0224628961090994E-3</v>
      </c>
      <c r="E27140" s="1">
        <v>7.1684587813619996E-4</v>
      </c>
      <c r="F27140" s="1">
        <v>1.2481144469855401E-2</v>
      </c>
    </row>
    <row r="27141" spans="1:6" x14ac:dyDescent="0.25">
      <c r="A27141" s="2" t="str">
        <f t="shared" si="960"/>
        <v>12180</v>
      </c>
      <c r="B27141" s="2" t="str">
        <f>"13026"</f>
        <v>13026</v>
      </c>
      <c r="C27141" s="1">
        <v>1.5934863223518E-2</v>
      </c>
      <c r="D27141" s="1">
        <v>6.4179703168872797E-3</v>
      </c>
      <c r="E27141" s="1">
        <v>6.4516129032258004E-3</v>
      </c>
      <c r="F27141" s="1">
        <v>1.5035764682983699E-2</v>
      </c>
    </row>
    <row r="27142" spans="1:6" x14ac:dyDescent="0.25">
      <c r="A27142" s="2" t="str">
        <f t="shared" si="960"/>
        <v>12180</v>
      </c>
      <c r="B27142" s="2" t="str">
        <f>"13092"</f>
        <v>13092</v>
      </c>
      <c r="C27142" s="1">
        <v>2.7220938356532401E-2</v>
      </c>
      <c r="D27142" s="1">
        <v>1.1231448054552701E-2</v>
      </c>
      <c r="E27142" s="1">
        <v>1.86379928315412E-2</v>
      </c>
      <c r="F27142" s="1">
        <v>2.59598073086467E-2</v>
      </c>
    </row>
    <row r="27143" spans="1:6" x14ac:dyDescent="0.25">
      <c r="A27143" s="2" t="str">
        <f t="shared" si="960"/>
        <v>12180</v>
      </c>
      <c r="B27143" s="2" t="str">
        <f>"13045"</f>
        <v>13045</v>
      </c>
      <c r="C27143" s="1">
        <v>1.03186972644703E-2</v>
      </c>
      <c r="D27143" s="1">
        <v>2.0056157240272701E-3</v>
      </c>
      <c r="E27143" s="1">
        <v>8.6021505376343999E-3</v>
      </c>
      <c r="F27143" s="1">
        <v>9.7562162425186092E-3</v>
      </c>
    </row>
    <row r="27144" spans="1:6" x14ac:dyDescent="0.25">
      <c r="A27144" s="2" t="str">
        <f t="shared" si="960"/>
        <v>12180</v>
      </c>
      <c r="B27144" s="2" t="str">
        <f>"13033"</f>
        <v>13033</v>
      </c>
      <c r="C27144" s="1">
        <v>4.05761272639329E-2</v>
      </c>
      <c r="D27144" s="1">
        <v>2.0056157240272699E-2</v>
      </c>
      <c r="E27144" s="1">
        <v>2.2222222222222199E-2</v>
      </c>
      <c r="F27144" s="1">
        <v>3.8708578657972802E-2</v>
      </c>
    </row>
    <row r="27145" spans="1:6" x14ac:dyDescent="0.25">
      <c r="A27145" s="2" t="str">
        <f t="shared" si="960"/>
        <v>12180</v>
      </c>
      <c r="B27145" s="2" t="str">
        <f>"13022"</f>
        <v>13022</v>
      </c>
      <c r="C27145" s="1">
        <v>0</v>
      </c>
      <c r="D27145" s="1">
        <v>0</v>
      </c>
      <c r="E27145" s="1">
        <v>4.3010752688172E-3</v>
      </c>
      <c r="F27145" s="1">
        <v>1.4597829789304601E-4</v>
      </c>
    </row>
    <row r="27146" spans="1:6" x14ac:dyDescent="0.25">
      <c r="A27146" s="2" t="str">
        <f t="shared" si="960"/>
        <v>12180</v>
      </c>
      <c r="B27146" s="2" t="str">
        <f>"13021"</f>
        <v>13021</v>
      </c>
      <c r="C27146" s="1">
        <v>0.532944590745418</v>
      </c>
      <c r="D27146" s="1">
        <v>0.76654632972322501</v>
      </c>
      <c r="E27146" s="1">
        <v>0.80860215053763396</v>
      </c>
      <c r="F27146" s="1">
        <v>0.55646927156829296</v>
      </c>
    </row>
    <row r="27147" spans="1:6" x14ac:dyDescent="0.25">
      <c r="A27147" s="2" t="str">
        <f t="shared" si="960"/>
        <v>12180</v>
      </c>
      <c r="B27147" s="2" t="str">
        <f>"13111"</f>
        <v>13111</v>
      </c>
      <c r="C27147" s="1">
        <v>1.5639275541462799E-2</v>
      </c>
      <c r="D27147" s="1">
        <v>4.81347773766546E-3</v>
      </c>
      <c r="E27147" s="1">
        <v>2.1505376344086E-3</v>
      </c>
      <c r="F27147" s="1">
        <v>1.4524840640358101E-2</v>
      </c>
    </row>
    <row r="27148" spans="1:6" x14ac:dyDescent="0.25">
      <c r="A27148" s="2" t="str">
        <f t="shared" si="960"/>
        <v>12180</v>
      </c>
      <c r="B27148" s="2" t="str">
        <f>"13077"</f>
        <v>13077</v>
      </c>
      <c r="C27148" s="1">
        <v>6.1804697156983904E-4</v>
      </c>
      <c r="D27148" s="1">
        <v>0</v>
      </c>
      <c r="E27148" s="1">
        <v>0</v>
      </c>
      <c r="F27148" s="1">
        <v>5.5958347525667798E-4</v>
      </c>
    </row>
    <row r="27149" spans="1:6" x14ac:dyDescent="0.25">
      <c r="A27149" s="2" t="str">
        <f t="shared" si="960"/>
        <v>12180</v>
      </c>
      <c r="B27149" s="2" t="str">
        <f>"13143"</f>
        <v>13143</v>
      </c>
      <c r="C27149" s="1">
        <v>1.2145966571720301E-2</v>
      </c>
      <c r="D27149" s="1">
        <v>2.0056157240272701E-3</v>
      </c>
      <c r="E27149" s="1">
        <v>0</v>
      </c>
      <c r="F27149" s="1">
        <v>1.1118680356187001E-2</v>
      </c>
    </row>
    <row r="27150" spans="1:6" x14ac:dyDescent="0.25">
      <c r="A27150" s="2" t="str">
        <f t="shared" si="960"/>
        <v>12180</v>
      </c>
      <c r="B27150" s="2" t="str">
        <f>"13027"</f>
        <v>13027</v>
      </c>
      <c r="C27150" s="1">
        <v>4.8368893427204798E-4</v>
      </c>
      <c r="D27150" s="1">
        <v>0</v>
      </c>
      <c r="E27150" s="1">
        <v>0</v>
      </c>
      <c r="F27150" s="1">
        <v>4.37934893679139E-4</v>
      </c>
    </row>
    <row r="27151" spans="1:6" x14ac:dyDescent="0.25">
      <c r="A27151" s="2" t="str">
        <f t="shared" si="960"/>
        <v>12180</v>
      </c>
      <c r="B27151" s="2" t="str">
        <f>"13117"</f>
        <v>13117</v>
      </c>
      <c r="C27151" s="1">
        <v>2.8483903907131698E-3</v>
      </c>
      <c r="D27151" s="1">
        <v>0</v>
      </c>
      <c r="E27151" s="1">
        <v>7.1684587813619996E-4</v>
      </c>
      <c r="F27151" s="1">
        <v>2.6032796457593301E-3</v>
      </c>
    </row>
    <row r="27152" spans="1:6" x14ac:dyDescent="0.25">
      <c r="A27152" s="2" t="str">
        <f t="shared" si="960"/>
        <v>12180</v>
      </c>
      <c r="B27152" s="2" t="str">
        <f>"13074"</f>
        <v>13074</v>
      </c>
      <c r="C27152" s="1">
        <v>1.8272693072499499E-3</v>
      </c>
      <c r="D27152" s="1">
        <v>0</v>
      </c>
      <c r="E27152" s="1">
        <v>0</v>
      </c>
      <c r="F27152" s="1">
        <v>1.6544207094545201E-3</v>
      </c>
    </row>
    <row r="27153" spans="1:6" x14ac:dyDescent="0.25">
      <c r="A27153" s="2" t="str">
        <f t="shared" si="960"/>
        <v>12180</v>
      </c>
      <c r="B27153" s="2" t="str">
        <f>"13034"</f>
        <v>13034</v>
      </c>
      <c r="C27153" s="1">
        <v>2.3727629386789899E-2</v>
      </c>
      <c r="D27153" s="1">
        <v>1.04292017649418E-2</v>
      </c>
      <c r="E27153" s="1">
        <v>6.4516129032258004E-3</v>
      </c>
      <c r="F27153" s="1">
        <v>2.2334679577636098E-2</v>
      </c>
    </row>
    <row r="27154" spans="1:6" x14ac:dyDescent="0.25">
      <c r="A27154" s="2" t="str">
        <f t="shared" si="960"/>
        <v>12180</v>
      </c>
      <c r="B27154" s="2" t="str">
        <f>"13152"</f>
        <v>13152</v>
      </c>
      <c r="C27154" s="1">
        <v>8.5182995646799504E-3</v>
      </c>
      <c r="D27154" s="1">
        <v>4.0112314480545498E-4</v>
      </c>
      <c r="E27154" s="1">
        <v>7.1684587813619996E-4</v>
      </c>
      <c r="F27154" s="1">
        <v>7.76117950464697E-3</v>
      </c>
    </row>
    <row r="27155" spans="1:6" x14ac:dyDescent="0.25">
      <c r="A27155" s="2" t="str">
        <f t="shared" si="960"/>
        <v>12180</v>
      </c>
      <c r="B27155" s="2" t="str">
        <f>"13139"</f>
        <v>13139</v>
      </c>
      <c r="C27155" s="1">
        <v>0</v>
      </c>
      <c r="D27155" s="1">
        <v>0</v>
      </c>
      <c r="E27155" s="1">
        <v>7.1684587813619996E-4</v>
      </c>
      <c r="F27155" s="1">
        <v>2.43297163155077E-5</v>
      </c>
    </row>
    <row r="27156" spans="1:6" x14ac:dyDescent="0.25">
      <c r="A27156" s="2" t="str">
        <f t="shared" si="960"/>
        <v>12180</v>
      </c>
      <c r="B27156" s="2" t="str">
        <f>"13113"</f>
        <v>13113</v>
      </c>
      <c r="C27156" s="1">
        <v>4.8368893427204798E-4</v>
      </c>
      <c r="D27156" s="1">
        <v>0</v>
      </c>
      <c r="E27156" s="1">
        <v>7.1684587813619996E-4</v>
      </c>
      <c r="F27156" s="1">
        <v>4.6226460999464702E-4</v>
      </c>
    </row>
    <row r="27157" spans="1:6" x14ac:dyDescent="0.25">
      <c r="A27157" s="2" t="str">
        <f t="shared" si="960"/>
        <v>12180</v>
      </c>
      <c r="B27157" s="2" t="str">
        <f>"13140"</f>
        <v>13140</v>
      </c>
      <c r="C27157" s="1">
        <v>4.7105927876605502E-2</v>
      </c>
      <c r="D27157" s="1">
        <v>1.04292017649418E-2</v>
      </c>
      <c r="E27157" s="1">
        <v>6.4516129032258004E-3</v>
      </c>
      <c r="F27157" s="1">
        <v>4.3501532772127802E-2</v>
      </c>
    </row>
    <row r="27158" spans="1:6" x14ac:dyDescent="0.25">
      <c r="A27158" s="2" t="str">
        <f t="shared" si="960"/>
        <v>12180</v>
      </c>
      <c r="B27158" s="2" t="str">
        <f>"13064"</f>
        <v>13064</v>
      </c>
      <c r="C27158" s="1">
        <v>7.5240500886762998E-4</v>
      </c>
      <c r="D27158" s="1">
        <v>0</v>
      </c>
      <c r="E27158" s="1">
        <v>7.1684587813619996E-4</v>
      </c>
      <c r="F27158" s="1">
        <v>7.0556177314972496E-4</v>
      </c>
    </row>
    <row r="27159" spans="1:6" x14ac:dyDescent="0.25">
      <c r="A27159" s="2" t="str">
        <f t="shared" si="960"/>
        <v>12180</v>
      </c>
      <c r="B27159" s="2" t="str">
        <f>"13166"</f>
        <v>13166</v>
      </c>
      <c r="C27159" s="1">
        <v>8.9831783737303106E-2</v>
      </c>
      <c r="D27159" s="1">
        <v>8.6642599277978294E-2</v>
      </c>
      <c r="E27159" s="1">
        <v>4.4444444444444398E-2</v>
      </c>
      <c r="F27159" s="1">
        <v>8.8097902778453599E-2</v>
      </c>
    </row>
    <row r="27160" spans="1:6" x14ac:dyDescent="0.25">
      <c r="A27160" s="2" t="str">
        <f t="shared" si="960"/>
        <v>12180</v>
      </c>
      <c r="B27160" s="2" t="str">
        <f>"13024"</f>
        <v>13024</v>
      </c>
      <c r="C27160" s="1">
        <v>0</v>
      </c>
      <c r="D27160" s="1">
        <v>0</v>
      </c>
      <c r="E27160" s="1">
        <v>1.4336917562723999E-3</v>
      </c>
      <c r="F27160" s="1">
        <v>4.8659432631015501E-5</v>
      </c>
    </row>
    <row r="27161" spans="1:6" x14ac:dyDescent="0.25">
      <c r="A27161" s="2" t="str">
        <f t="shared" si="960"/>
        <v>12180</v>
      </c>
      <c r="B27161" s="2" t="str">
        <f>"13126"</f>
        <v>13126</v>
      </c>
      <c r="C27161" s="1">
        <v>9.1363465362497898E-4</v>
      </c>
      <c r="D27161" s="1">
        <v>0</v>
      </c>
      <c r="E27161" s="1">
        <v>1.4336917562723999E-3</v>
      </c>
      <c r="F27161" s="1">
        <v>8.7586978735827898E-4</v>
      </c>
    </row>
    <row r="27162" spans="1:6" x14ac:dyDescent="0.25">
      <c r="A27162" s="2" t="str">
        <f t="shared" si="960"/>
        <v>12180</v>
      </c>
      <c r="B27162" s="2" t="str">
        <f>"13081"</f>
        <v>13081</v>
      </c>
      <c r="C27162" s="1">
        <v>1.40001074864298E-2</v>
      </c>
      <c r="D27162" s="1">
        <v>6.0168471720818198E-3</v>
      </c>
      <c r="E27162" s="1">
        <v>2.1505376344086E-3</v>
      </c>
      <c r="F27162" s="1">
        <v>1.31137170940586E-2</v>
      </c>
    </row>
    <row r="27163" spans="1:6" x14ac:dyDescent="0.25">
      <c r="A27163" s="2" t="str">
        <f t="shared" si="960"/>
        <v>12180</v>
      </c>
      <c r="B27163" s="2" t="str">
        <f>"13080"</f>
        <v>13080</v>
      </c>
      <c r="C27163" s="1">
        <v>1.17428924598269E-2</v>
      </c>
      <c r="D27163" s="1">
        <v>2.8078620136381799E-3</v>
      </c>
      <c r="E27163" s="1">
        <v>8.6021505376343999E-3</v>
      </c>
      <c r="F27163" s="1">
        <v>1.1094350639871501E-2</v>
      </c>
    </row>
    <row r="27164" spans="1:6" x14ac:dyDescent="0.25">
      <c r="A27164" s="2" t="str">
        <f t="shared" si="960"/>
        <v>12180</v>
      </c>
      <c r="B27164" s="2" t="str">
        <f>"13156"</f>
        <v>13156</v>
      </c>
      <c r="C27164" s="1">
        <v>2.8913849626484599E-2</v>
      </c>
      <c r="D27164" s="1">
        <v>7.22021660649819E-3</v>
      </c>
      <c r="E27164" s="1">
        <v>6.4516129032258004E-3</v>
      </c>
      <c r="F27164" s="1">
        <v>2.6835677096005001E-2</v>
      </c>
    </row>
    <row r="27165" spans="1:6" x14ac:dyDescent="0.25">
      <c r="A27165" s="2" t="str">
        <f t="shared" ref="A27165:A27204" si="961">"36460"</f>
        <v>36460</v>
      </c>
      <c r="B27165" s="2" t="str">
        <f>"14726"</f>
        <v>14726</v>
      </c>
      <c r="C27165" s="1">
        <v>1.3620110816933701E-2</v>
      </c>
      <c r="D27165" s="1">
        <v>8.4745762711864406E-3</v>
      </c>
      <c r="E27165" s="1">
        <v>3.1407035175879299E-3</v>
      </c>
      <c r="F27165" s="1">
        <v>1.29099016975042E-2</v>
      </c>
    </row>
    <row r="27166" spans="1:6" x14ac:dyDescent="0.25">
      <c r="A27166" s="2" t="str">
        <f t="shared" si="961"/>
        <v>36460</v>
      </c>
      <c r="B27166" s="2" t="str">
        <f>"14755"</f>
        <v>14755</v>
      </c>
      <c r="C27166" s="1">
        <v>3.7421186232497197E-2</v>
      </c>
      <c r="D27166" s="1">
        <v>4.02542372881355E-2</v>
      </c>
      <c r="E27166" s="1">
        <v>1.6959798994974799E-2</v>
      </c>
      <c r="F27166" s="1">
        <v>3.6783364951095097E-2</v>
      </c>
    </row>
    <row r="27167" spans="1:6" x14ac:dyDescent="0.25">
      <c r="A27167" s="2" t="str">
        <f t="shared" si="961"/>
        <v>36460</v>
      </c>
      <c r="B27167" s="2" t="str">
        <f>"14772"</f>
        <v>14772</v>
      </c>
      <c r="C27167" s="1">
        <v>4.6810601304691897E-2</v>
      </c>
      <c r="D27167" s="1">
        <v>3.8983050847457602E-2</v>
      </c>
      <c r="E27167" s="1">
        <v>2.3241206030150698E-2</v>
      </c>
      <c r="F27167" s="1">
        <v>4.5431028111064503E-2</v>
      </c>
    </row>
    <row r="27168" spans="1:6" x14ac:dyDescent="0.25">
      <c r="A27168" s="2" t="str">
        <f t="shared" si="961"/>
        <v>36460</v>
      </c>
      <c r="B27168" s="2" t="str">
        <f>"14081"</f>
        <v>14081</v>
      </c>
      <c r="C27168" s="1">
        <v>7.9154952643502405E-4</v>
      </c>
      <c r="D27168" s="1">
        <v>0</v>
      </c>
      <c r="E27168" s="1">
        <v>0</v>
      </c>
      <c r="F27168" s="1">
        <v>7.1447929241912804E-4</v>
      </c>
    </row>
    <row r="27169" spans="1:6" x14ac:dyDescent="0.25">
      <c r="A27169" s="2" t="str">
        <f t="shared" si="961"/>
        <v>36460</v>
      </c>
      <c r="B27169" s="2" t="str">
        <f>"14741"</f>
        <v>14741</v>
      </c>
      <c r="C27169" s="1">
        <v>2.6803504653765301E-2</v>
      </c>
      <c r="D27169" s="1">
        <v>9.7457627118644006E-3</v>
      </c>
      <c r="E27169" s="1">
        <v>1.00502512562814E-2</v>
      </c>
      <c r="F27169" s="1">
        <v>2.5154598536549298E-2</v>
      </c>
    </row>
    <row r="27170" spans="1:6" x14ac:dyDescent="0.25">
      <c r="A27170" s="2" t="str">
        <f t="shared" si="961"/>
        <v>36460</v>
      </c>
      <c r="B27170" s="2" t="str">
        <f>"14779"</f>
        <v>14779</v>
      </c>
      <c r="C27170" s="1">
        <v>9.6432568168791102E-2</v>
      </c>
      <c r="D27170" s="1">
        <v>0.13728813559322001</v>
      </c>
      <c r="E27170" s="1">
        <v>5.5904522613065298E-2</v>
      </c>
      <c r="F27170" s="1">
        <v>9.7218458202961294E-2</v>
      </c>
    </row>
    <row r="27171" spans="1:6" x14ac:dyDescent="0.25">
      <c r="A27171" s="2" t="str">
        <f t="shared" si="961"/>
        <v>36460</v>
      </c>
      <c r="B27171" s="2" t="str">
        <f>"14173"</f>
        <v>14173</v>
      </c>
      <c r="C27171" s="1">
        <v>0</v>
      </c>
      <c r="D27171" s="1">
        <v>0</v>
      </c>
      <c r="E27171" s="1">
        <v>0.13693467336683399</v>
      </c>
      <c r="F27171" s="1">
        <v>5.3709133016334402E-3</v>
      </c>
    </row>
    <row r="27172" spans="1:6" x14ac:dyDescent="0.25">
      <c r="A27172" s="2" t="str">
        <f t="shared" si="961"/>
        <v>36460</v>
      </c>
      <c r="B27172" s="2" t="str">
        <f>"14030"</f>
        <v>14030</v>
      </c>
      <c r="C27172" s="1">
        <v>2.8113655594071501E-3</v>
      </c>
      <c r="D27172" s="1">
        <v>4.2372881355932203E-3</v>
      </c>
      <c r="E27172" s="1">
        <v>1.8844221105527601E-3</v>
      </c>
      <c r="F27172" s="1">
        <v>2.85791716967651E-3</v>
      </c>
    </row>
    <row r="27173" spans="1:6" x14ac:dyDescent="0.25">
      <c r="A27173" s="2" t="str">
        <f t="shared" si="961"/>
        <v>36460</v>
      </c>
      <c r="B27173" s="2" t="str">
        <f>"14747"</f>
        <v>14747</v>
      </c>
      <c r="C27173" s="1">
        <v>2.7021863143816302E-3</v>
      </c>
      <c r="D27173" s="1">
        <v>0</v>
      </c>
      <c r="E27173" s="1">
        <v>0</v>
      </c>
      <c r="F27173" s="1">
        <v>2.4390844810170198E-3</v>
      </c>
    </row>
    <row r="27174" spans="1:6" x14ac:dyDescent="0.25">
      <c r="A27174" s="2" t="str">
        <f t="shared" si="961"/>
        <v>36460</v>
      </c>
      <c r="B27174" s="2" t="str">
        <f>"14743"</f>
        <v>14743</v>
      </c>
      <c r="C27174" s="1">
        <v>2.7977181537789601E-2</v>
      </c>
      <c r="D27174" s="1">
        <v>1.5677966101694901E-2</v>
      </c>
      <c r="E27174" s="1">
        <v>5.6532663316582899E-3</v>
      </c>
      <c r="F27174" s="1">
        <v>2.63864593855478E-2</v>
      </c>
    </row>
    <row r="27175" spans="1:6" x14ac:dyDescent="0.25">
      <c r="A27175" s="2" t="str">
        <f t="shared" si="961"/>
        <v>36460</v>
      </c>
      <c r="B27175" s="2" t="str">
        <f>"14729"</f>
        <v>14729</v>
      </c>
      <c r="C27175" s="1">
        <v>1.1572999972705099E-2</v>
      </c>
      <c r="D27175" s="1">
        <v>2.5423728813559299E-3</v>
      </c>
      <c r="E27175" s="1">
        <v>4.3969849246231103E-3</v>
      </c>
      <c r="F27175" s="1">
        <v>1.07664638202468E-2</v>
      </c>
    </row>
    <row r="27176" spans="1:6" x14ac:dyDescent="0.25">
      <c r="A27176" s="2" t="str">
        <f t="shared" si="961"/>
        <v>36460</v>
      </c>
      <c r="B27176" s="2" t="str">
        <f>"14727"</f>
        <v>14727</v>
      </c>
      <c r="C27176" s="1">
        <v>2.0198160329721299E-2</v>
      </c>
      <c r="D27176" s="1">
        <v>4.66101694915254E-3</v>
      </c>
      <c r="E27176" s="1">
        <v>4.3969849246231103E-3</v>
      </c>
      <c r="F27176" s="1">
        <v>1.86750104708172E-2</v>
      </c>
    </row>
    <row r="27177" spans="1:6" x14ac:dyDescent="0.25">
      <c r="A27177" s="2" t="str">
        <f t="shared" si="961"/>
        <v>36460</v>
      </c>
      <c r="B27177" s="2" t="str">
        <f>"14778"</f>
        <v>14778</v>
      </c>
      <c r="C27177" s="1">
        <v>0</v>
      </c>
      <c r="D27177" s="1">
        <v>4.2372881355932202E-4</v>
      </c>
      <c r="E27177" s="1">
        <v>0</v>
      </c>
      <c r="F27177" s="1">
        <v>2.4637216979969899E-5</v>
      </c>
    </row>
    <row r="27178" spans="1:6" x14ac:dyDescent="0.25">
      <c r="A27178" s="2" t="str">
        <f t="shared" si="961"/>
        <v>36460</v>
      </c>
      <c r="B27178" s="2" t="str">
        <f>"14141"</f>
        <v>14141</v>
      </c>
      <c r="C27178" s="1">
        <v>5.2406037612249901E-3</v>
      </c>
      <c r="D27178" s="1">
        <v>5.5084745762711803E-3</v>
      </c>
      <c r="E27178" s="1">
        <v>3.1407035175879299E-3</v>
      </c>
      <c r="F27178" s="1">
        <v>5.1738155657936801E-3</v>
      </c>
    </row>
    <row r="27179" spans="1:6" x14ac:dyDescent="0.25">
      <c r="A27179" s="2" t="str">
        <f t="shared" si="961"/>
        <v>36460</v>
      </c>
      <c r="B27179" s="2" t="str">
        <f>"14042"</f>
        <v>14042</v>
      </c>
      <c r="C27179" s="1">
        <v>5.0140568277970303E-2</v>
      </c>
      <c r="D27179" s="1">
        <v>2.1186440677966101E-2</v>
      </c>
      <c r="E27179" s="1">
        <v>5.5904522613065298E-2</v>
      </c>
      <c r="F27179" s="1">
        <v>4.8683140752420598E-2</v>
      </c>
    </row>
    <row r="27180" spans="1:6" x14ac:dyDescent="0.25">
      <c r="A27180" s="2" t="str">
        <f t="shared" si="961"/>
        <v>36460</v>
      </c>
      <c r="B27180" s="2" t="str">
        <f>"14748"</f>
        <v>14748</v>
      </c>
      <c r="C27180" s="1">
        <v>1.00717853536042E-2</v>
      </c>
      <c r="D27180" s="1">
        <v>2.5423728813559299E-3</v>
      </c>
      <c r="E27180" s="1">
        <v>5.6532663316582899E-3</v>
      </c>
      <c r="F27180" s="1">
        <v>9.4606913203084501E-3</v>
      </c>
    </row>
    <row r="27181" spans="1:6" x14ac:dyDescent="0.25">
      <c r="A27181" s="2" t="str">
        <f t="shared" si="961"/>
        <v>36460</v>
      </c>
      <c r="B27181" s="2" t="str">
        <f>"14062"</f>
        <v>14062</v>
      </c>
      <c r="C27181" s="1">
        <v>3.0024292382018099E-4</v>
      </c>
      <c r="D27181" s="1">
        <v>4.2372881355932202E-4</v>
      </c>
      <c r="E27181" s="1">
        <v>0</v>
      </c>
      <c r="F27181" s="1">
        <v>2.9564660375963901E-4</v>
      </c>
    </row>
    <row r="27182" spans="1:6" x14ac:dyDescent="0.25">
      <c r="A27182" s="2" t="str">
        <f t="shared" si="961"/>
        <v>36460</v>
      </c>
      <c r="B27182" s="2" t="str">
        <f>"14060"</f>
        <v>14060</v>
      </c>
      <c r="C27182" s="1">
        <v>3.0024292382018099E-3</v>
      </c>
      <c r="D27182" s="1">
        <v>0</v>
      </c>
      <c r="E27182" s="1">
        <v>6.2814070351758697E-4</v>
      </c>
      <c r="F27182" s="1">
        <v>2.7347310847766599E-3</v>
      </c>
    </row>
    <row r="27183" spans="1:6" x14ac:dyDescent="0.25">
      <c r="A27183" s="2" t="str">
        <f t="shared" si="961"/>
        <v>36460</v>
      </c>
      <c r="B27183" s="2" t="str">
        <f>"14070"</f>
        <v>14070</v>
      </c>
      <c r="C27183" s="1">
        <v>3.8212735758932199E-2</v>
      </c>
      <c r="D27183" s="1">
        <v>4.4491525423728799E-2</v>
      </c>
      <c r="E27183" s="1">
        <v>5.1507537688442198E-2</v>
      </c>
      <c r="F27183" s="1">
        <v>3.9099263347212199E-2</v>
      </c>
    </row>
    <row r="27184" spans="1:6" x14ac:dyDescent="0.25">
      <c r="A27184" s="2" t="str">
        <f t="shared" si="961"/>
        <v>36460</v>
      </c>
      <c r="B27184" s="2" t="str">
        <f>"14751"</f>
        <v>14751</v>
      </c>
      <c r="C27184" s="1">
        <v>0</v>
      </c>
      <c r="D27184" s="1">
        <v>0</v>
      </c>
      <c r="E27184" s="1">
        <v>6.2814070351758697E-4</v>
      </c>
      <c r="F27184" s="1">
        <v>2.4637216979969899E-5</v>
      </c>
    </row>
    <row r="27185" spans="1:6" x14ac:dyDescent="0.25">
      <c r="A27185" s="2" t="str">
        <f t="shared" si="961"/>
        <v>36460</v>
      </c>
      <c r="B27185" s="2" t="str">
        <f>"14753"</f>
        <v>14753</v>
      </c>
      <c r="C27185" s="1">
        <v>1.4575429210906999E-2</v>
      </c>
      <c r="D27185" s="1">
        <v>1.10169491525423E-2</v>
      </c>
      <c r="E27185" s="1">
        <v>3.1407035175879299E-3</v>
      </c>
      <c r="F27185" s="1">
        <v>1.3920027593683E-2</v>
      </c>
    </row>
    <row r="27186" spans="1:6" x14ac:dyDescent="0.25">
      <c r="A27186" s="2" t="str">
        <f t="shared" si="961"/>
        <v>36460</v>
      </c>
      <c r="B27186" s="2" t="str">
        <f>"14731"</f>
        <v>14731</v>
      </c>
      <c r="C27186" s="1">
        <v>3.0242650872069201E-2</v>
      </c>
      <c r="D27186" s="1">
        <v>1.14406779661016E-2</v>
      </c>
      <c r="E27186" s="1">
        <v>9.4221105527638096E-3</v>
      </c>
      <c r="F27186" s="1">
        <v>2.8332799526965401E-2</v>
      </c>
    </row>
    <row r="27187" spans="1:6" x14ac:dyDescent="0.25">
      <c r="A27187" s="2" t="str">
        <f t="shared" si="961"/>
        <v>36460</v>
      </c>
      <c r="B27187" s="2" t="str">
        <f>"14760"</f>
        <v>14760</v>
      </c>
      <c r="C27187" s="1">
        <v>0.24977481780713401</v>
      </c>
      <c r="D27187" s="1">
        <v>0.45084745762711798</v>
      </c>
      <c r="E27187" s="1">
        <v>0.27198492462311502</v>
      </c>
      <c r="F27187" s="1">
        <v>0.26233708640271902</v>
      </c>
    </row>
    <row r="27188" spans="1:6" x14ac:dyDescent="0.25">
      <c r="A27188" s="2" t="str">
        <f t="shared" si="961"/>
        <v>36460</v>
      </c>
      <c r="B27188" s="2" t="str">
        <f>"14171"</f>
        <v>14171</v>
      </c>
      <c r="C27188" s="1">
        <v>2.6339492862406801E-2</v>
      </c>
      <c r="D27188" s="1">
        <v>8.8983050847457595E-3</v>
      </c>
      <c r="E27188" s="1">
        <v>1.1934673366834099E-2</v>
      </c>
      <c r="F27188" s="1">
        <v>2.47604030648697E-2</v>
      </c>
    </row>
    <row r="27189" spans="1:6" x14ac:dyDescent="0.25">
      <c r="A27189" s="2" t="str">
        <f t="shared" si="961"/>
        <v>36460</v>
      </c>
      <c r="B27189" s="2" t="str">
        <f>"14101"</f>
        <v>14101</v>
      </c>
      <c r="C27189" s="1">
        <v>2.40194339056145E-2</v>
      </c>
      <c r="D27189" s="1">
        <v>6.3559322033898301E-3</v>
      </c>
      <c r="E27189" s="1">
        <v>5.6532663316582899E-3</v>
      </c>
      <c r="F27189" s="1">
        <v>2.2272044149892801E-2</v>
      </c>
    </row>
    <row r="27190" spans="1:6" x14ac:dyDescent="0.25">
      <c r="A27190" s="2" t="str">
        <f t="shared" si="961"/>
        <v>36460</v>
      </c>
      <c r="B27190" s="2" t="str">
        <f>"14009"</f>
        <v>14009</v>
      </c>
      <c r="C27190" s="1">
        <v>5.8956792313781103E-3</v>
      </c>
      <c r="D27190" s="1">
        <v>1.6949152542372801E-3</v>
      </c>
      <c r="E27190" s="1">
        <v>2.5125628140703501E-3</v>
      </c>
      <c r="F27190" s="1">
        <v>5.51873660351326E-3</v>
      </c>
    </row>
    <row r="27191" spans="1:6" x14ac:dyDescent="0.25">
      <c r="A27191" s="2" t="str">
        <f t="shared" si="961"/>
        <v>36460</v>
      </c>
      <c r="B27191" s="2" t="str">
        <f>"14737"</f>
        <v>14737</v>
      </c>
      <c r="C27191" s="1">
        <v>5.9475393727652301E-2</v>
      </c>
      <c r="D27191" s="1">
        <v>5.0423728813559297E-2</v>
      </c>
      <c r="E27191" s="1">
        <v>2.19849246231155E-2</v>
      </c>
      <c r="F27191" s="1">
        <v>5.7478627214269801E-2</v>
      </c>
    </row>
    <row r="27192" spans="1:6" x14ac:dyDescent="0.25">
      <c r="A27192" s="2" t="str">
        <f t="shared" si="961"/>
        <v>36460</v>
      </c>
      <c r="B27192" s="2" t="str">
        <f>"14706"</f>
        <v>14706</v>
      </c>
      <c r="C27192" s="1">
        <v>7.7953980948221702E-2</v>
      </c>
      <c r="D27192" s="1">
        <v>6.4830508474576207E-2</v>
      </c>
      <c r="E27192" s="1">
        <v>4.0201005025125601E-2</v>
      </c>
      <c r="F27192" s="1">
        <v>7.5710167779447599E-2</v>
      </c>
    </row>
    <row r="27193" spans="1:6" x14ac:dyDescent="0.25">
      <c r="A27193" s="2" t="str">
        <f t="shared" si="961"/>
        <v>36460</v>
      </c>
      <c r="B27193" s="2" t="str">
        <f>"14770"</f>
        <v>14770</v>
      </c>
      <c r="C27193" s="1">
        <v>2.20542074951551E-2</v>
      </c>
      <c r="D27193" s="1">
        <v>1.52542372881355E-2</v>
      </c>
      <c r="E27193" s="1">
        <v>1.9472361809045199E-2</v>
      </c>
      <c r="F27193" s="1">
        <v>2.15575648574736E-2</v>
      </c>
    </row>
    <row r="27194" spans="1:6" x14ac:dyDescent="0.25">
      <c r="A27194" s="2" t="str">
        <f t="shared" si="961"/>
        <v>36460</v>
      </c>
      <c r="B27194" s="2" t="str">
        <f>"14168"</f>
        <v>14168</v>
      </c>
      <c r="C27194" s="1">
        <v>0</v>
      </c>
      <c r="D27194" s="1">
        <v>0</v>
      </c>
      <c r="E27194" s="1">
        <v>6.2814070351758697E-4</v>
      </c>
      <c r="F27194" s="1">
        <v>2.4637216979969899E-5</v>
      </c>
    </row>
    <row r="27195" spans="1:6" x14ac:dyDescent="0.25">
      <c r="A27195" s="2" t="str">
        <f t="shared" si="961"/>
        <v>36460</v>
      </c>
      <c r="B27195" s="2" t="str">
        <f>"14138"</f>
        <v>14138</v>
      </c>
      <c r="C27195" s="1">
        <v>1.29650353467805E-2</v>
      </c>
      <c r="D27195" s="1">
        <v>5.0847457627118597E-3</v>
      </c>
      <c r="E27195" s="1">
        <v>6.4698492462311505E-2</v>
      </c>
      <c r="F27195" s="1">
        <v>1.45359580181822E-2</v>
      </c>
    </row>
    <row r="27196" spans="1:6" x14ac:dyDescent="0.25">
      <c r="A27196" s="2" t="str">
        <f t="shared" si="961"/>
        <v>36460</v>
      </c>
      <c r="B27196" s="2" t="str">
        <f>"14041"</f>
        <v>14041</v>
      </c>
      <c r="C27196" s="1">
        <v>5.4589622512760301E-4</v>
      </c>
      <c r="D27196" s="1">
        <v>4.2372881355932202E-4</v>
      </c>
      <c r="E27196" s="1">
        <v>2.9522613065326601E-2</v>
      </c>
      <c r="F27196" s="1">
        <v>1.6753307546379501E-3</v>
      </c>
    </row>
    <row r="27197" spans="1:6" x14ac:dyDescent="0.25">
      <c r="A27197" s="2" t="str">
        <f t="shared" si="961"/>
        <v>36460</v>
      </c>
      <c r="B27197" s="2" t="str">
        <f>"14738"</f>
        <v>14738</v>
      </c>
      <c r="C27197" s="1">
        <v>5.0495400824303203E-3</v>
      </c>
      <c r="D27197" s="1">
        <v>2.5423728813559299E-3</v>
      </c>
      <c r="E27197" s="1">
        <v>0</v>
      </c>
      <c r="F27197" s="1">
        <v>4.7057084431742502E-3</v>
      </c>
    </row>
    <row r="27198" spans="1:6" x14ac:dyDescent="0.25">
      <c r="A27198" s="2" t="str">
        <f t="shared" si="961"/>
        <v>36460</v>
      </c>
      <c r="B27198" s="2" t="str">
        <f>"14730"</f>
        <v>14730</v>
      </c>
      <c r="C27198" s="1">
        <v>0</v>
      </c>
      <c r="D27198" s="1">
        <v>0</v>
      </c>
      <c r="E27198" s="1">
        <v>6.2814070351758697E-4</v>
      </c>
      <c r="F27198" s="1">
        <v>2.4637216979969899E-5</v>
      </c>
    </row>
    <row r="27199" spans="1:6" x14ac:dyDescent="0.25">
      <c r="A27199" s="2" t="str">
        <f t="shared" si="961"/>
        <v>36460</v>
      </c>
      <c r="B27199" s="2" t="str">
        <f>"14719"</f>
        <v>14719</v>
      </c>
      <c r="C27199" s="1">
        <v>4.5691514043180302E-2</v>
      </c>
      <c r="D27199" s="1">
        <v>2.3728813559322E-2</v>
      </c>
      <c r="E27199" s="1">
        <v>2.5125628140703501E-2</v>
      </c>
      <c r="F27199" s="1">
        <v>4.3607874054546698E-2</v>
      </c>
    </row>
    <row r="27200" spans="1:6" x14ac:dyDescent="0.25">
      <c r="A27200" s="2" t="str">
        <f t="shared" si="961"/>
        <v>36460</v>
      </c>
      <c r="B27200" s="2" t="str">
        <f>"14766"</f>
        <v>14766</v>
      </c>
      <c r="C27200" s="1">
        <v>0</v>
      </c>
      <c r="D27200" s="1">
        <v>0</v>
      </c>
      <c r="E27200" s="1">
        <v>6.2814070351758697E-4</v>
      </c>
      <c r="F27200" s="1">
        <v>2.4637216979969899E-5</v>
      </c>
    </row>
    <row r="27201" spans="1:6" x14ac:dyDescent="0.25">
      <c r="A27201" s="2" t="str">
        <f t="shared" si="961"/>
        <v>36460</v>
      </c>
      <c r="B27201" s="2" t="str">
        <f>"14783"</f>
        <v>14783</v>
      </c>
      <c r="C27201" s="1">
        <v>0</v>
      </c>
      <c r="D27201" s="1">
        <v>0</v>
      </c>
      <c r="E27201" s="1">
        <v>8.1030150753768806E-2</v>
      </c>
      <c r="F27201" s="1">
        <v>3.1782009904161202E-3</v>
      </c>
    </row>
    <row r="27202" spans="1:6" x14ac:dyDescent="0.25">
      <c r="A27202" s="2" t="str">
        <f t="shared" si="961"/>
        <v>36460</v>
      </c>
      <c r="B27202" s="2" t="str">
        <f>"14129"</f>
        <v>14129</v>
      </c>
      <c r="C27202" s="1">
        <v>1.4002238174523E-2</v>
      </c>
      <c r="D27202" s="1">
        <v>5.0847457627118597E-3</v>
      </c>
      <c r="E27202" s="1">
        <v>5.6532663316582899E-3</v>
      </c>
      <c r="F27202" s="1">
        <v>1.31562738673039E-2</v>
      </c>
    </row>
    <row r="27203" spans="1:6" x14ac:dyDescent="0.25">
      <c r="A27203" s="2" t="str">
        <f t="shared" si="961"/>
        <v>36460</v>
      </c>
      <c r="B27203" s="2" t="str">
        <f>"14065"</f>
        <v>14065</v>
      </c>
      <c r="C27203" s="1">
        <v>1.7304910336545E-2</v>
      </c>
      <c r="D27203" s="1">
        <v>5.9322033898305E-3</v>
      </c>
      <c r="E27203" s="1">
        <v>8.1658291457286404E-3</v>
      </c>
      <c r="F27203" s="1">
        <v>1.62852004237601E-2</v>
      </c>
    </row>
    <row r="27204" spans="1:6" x14ac:dyDescent="0.25">
      <c r="A27204" s="2" t="str">
        <f t="shared" si="961"/>
        <v>36460</v>
      </c>
      <c r="B27204" s="2" t="str">
        <f>"14788"</f>
        <v>14788</v>
      </c>
      <c r="C27204" s="1">
        <v>0</v>
      </c>
      <c r="D27204" s="1">
        <v>0</v>
      </c>
      <c r="E27204" s="1">
        <v>1.75879396984924E-2</v>
      </c>
      <c r="F27204" s="1">
        <v>6.8984207543915804E-4</v>
      </c>
    </row>
    <row r="27205" spans="1:6" x14ac:dyDescent="0.25">
      <c r="A27205" s="2" t="str">
        <f t="shared" ref="A27205:A27228" si="962">"21300"</f>
        <v>21300</v>
      </c>
      <c r="B27205" s="2" t="str">
        <f>"14889"</f>
        <v>14889</v>
      </c>
      <c r="C27205" s="1">
        <v>2.2768625522498101E-2</v>
      </c>
      <c r="D27205" s="1">
        <v>8.9970009996667693E-3</v>
      </c>
      <c r="E27205" s="1">
        <v>3.5249457700650702E-2</v>
      </c>
      <c r="F27205" s="1">
        <v>2.23662528836647E-2</v>
      </c>
    </row>
    <row r="27206" spans="1:6" x14ac:dyDescent="0.25">
      <c r="A27206" s="2" t="str">
        <f t="shared" si="962"/>
        <v>21300</v>
      </c>
      <c r="B27206" s="2" t="str">
        <f>"14805"</f>
        <v>14805</v>
      </c>
      <c r="C27206" s="1">
        <v>5.9011556429800795E-4</v>
      </c>
      <c r="D27206" s="1">
        <v>0</v>
      </c>
      <c r="E27206" s="1">
        <v>0</v>
      </c>
      <c r="F27206" s="1">
        <v>5.2729869273865696E-4</v>
      </c>
    </row>
    <row r="27207" spans="1:6" x14ac:dyDescent="0.25">
      <c r="A27207" s="2" t="str">
        <f t="shared" si="962"/>
        <v>21300</v>
      </c>
      <c r="B27207" s="2" t="str">
        <f>"14838"</f>
        <v>14838</v>
      </c>
      <c r="C27207" s="1">
        <v>1.9940988443570101E-2</v>
      </c>
      <c r="D27207" s="1">
        <v>2.3325558147284202E-3</v>
      </c>
      <c r="E27207" s="1">
        <v>3.7960954446854601E-3</v>
      </c>
      <c r="F27207" s="1">
        <v>1.8125892562891301E-2</v>
      </c>
    </row>
    <row r="27208" spans="1:6" x14ac:dyDescent="0.25">
      <c r="A27208" s="2" t="str">
        <f t="shared" si="962"/>
        <v>21300</v>
      </c>
      <c r="B27208" s="2" t="str">
        <f>"14883"</f>
        <v>14883</v>
      </c>
      <c r="C27208" s="1">
        <v>9.8352594049668001E-5</v>
      </c>
      <c r="D27208" s="1">
        <v>0</v>
      </c>
      <c r="E27208" s="1">
        <v>0</v>
      </c>
      <c r="F27208" s="1">
        <v>8.7883115456442894E-5</v>
      </c>
    </row>
    <row r="27209" spans="1:6" x14ac:dyDescent="0.25">
      <c r="A27209" s="2" t="str">
        <f t="shared" si="962"/>
        <v>21300</v>
      </c>
      <c r="B27209" s="2" t="str">
        <f>"14825"</f>
        <v>14825</v>
      </c>
      <c r="C27209" s="1">
        <v>1.1212195721662099E-2</v>
      </c>
      <c r="D27209" s="1">
        <v>5.9980006664445097E-3</v>
      </c>
      <c r="E27209" s="1">
        <v>1.6268980477223401E-3</v>
      </c>
      <c r="F27209" s="1">
        <v>1.0480061518180799E-2</v>
      </c>
    </row>
    <row r="27210" spans="1:6" x14ac:dyDescent="0.25">
      <c r="A27210" s="2" t="str">
        <f t="shared" si="962"/>
        <v>21300</v>
      </c>
      <c r="B27210" s="2" t="str">
        <f>"14905"</f>
        <v>14905</v>
      </c>
      <c r="C27210" s="1">
        <v>0.106171625276616</v>
      </c>
      <c r="D27210" s="1">
        <v>3.9986671109630098E-2</v>
      </c>
      <c r="E27210" s="1">
        <v>0.12527114967462</v>
      </c>
      <c r="F27210" s="1">
        <v>0.102581566516533</v>
      </c>
    </row>
    <row r="27211" spans="1:6" x14ac:dyDescent="0.25">
      <c r="A27211" s="2" t="str">
        <f t="shared" si="962"/>
        <v>21300</v>
      </c>
      <c r="B27211" s="2" t="str">
        <f>"14872"</f>
        <v>14872</v>
      </c>
      <c r="C27211" s="1">
        <v>6.2699778706663302E-3</v>
      </c>
      <c r="D27211" s="1">
        <v>1.9993335554815E-3</v>
      </c>
      <c r="E27211" s="1">
        <v>3.7960954446854601E-3</v>
      </c>
      <c r="F27211" s="1">
        <v>5.8881687355816703E-3</v>
      </c>
    </row>
    <row r="27212" spans="1:6" x14ac:dyDescent="0.25">
      <c r="A27212" s="2" t="str">
        <f t="shared" si="962"/>
        <v>21300</v>
      </c>
      <c r="B27212" s="2" t="str">
        <f>"14861"</f>
        <v>14861</v>
      </c>
      <c r="C27212" s="1">
        <v>1.6351118760757299E-2</v>
      </c>
      <c r="D27212" s="1">
        <v>1.9993335554815E-3</v>
      </c>
      <c r="E27212" s="1">
        <v>8.6767895878524896E-3</v>
      </c>
      <c r="F27212" s="1">
        <v>1.5093925079644001E-2</v>
      </c>
    </row>
    <row r="27213" spans="1:6" x14ac:dyDescent="0.25">
      <c r="A27213" s="2" t="str">
        <f t="shared" si="962"/>
        <v>21300</v>
      </c>
      <c r="B27213" s="2" t="str">
        <f>"14859"</f>
        <v>14859</v>
      </c>
      <c r="C27213" s="1">
        <v>5.33562822719449E-3</v>
      </c>
      <c r="D27213" s="1">
        <v>6.6644451849383498E-4</v>
      </c>
      <c r="E27213" s="1">
        <v>1.6811279826464201E-2</v>
      </c>
      <c r="F27213" s="1">
        <v>5.4926947160276801E-3</v>
      </c>
    </row>
    <row r="27214" spans="1:6" x14ac:dyDescent="0.25">
      <c r="A27214" s="2" t="str">
        <f t="shared" si="962"/>
        <v>21300</v>
      </c>
      <c r="B27214" s="2" t="str">
        <f>"14845"</f>
        <v>14845</v>
      </c>
      <c r="C27214" s="1">
        <v>0.23134988935333101</v>
      </c>
      <c r="D27214" s="1">
        <v>0.27457514161946001</v>
      </c>
      <c r="E27214" s="1">
        <v>0.20281995661605201</v>
      </c>
      <c r="F27214" s="1">
        <v>0.23304405141162199</v>
      </c>
    </row>
    <row r="27215" spans="1:6" x14ac:dyDescent="0.25">
      <c r="A27215" s="2" t="str">
        <f t="shared" si="962"/>
        <v>21300</v>
      </c>
      <c r="B27215" s="2" t="str">
        <f>"14904"</f>
        <v>14904</v>
      </c>
      <c r="C27215" s="1">
        <v>0.17993607081386701</v>
      </c>
      <c r="D27215" s="1">
        <v>0.112295901366211</v>
      </c>
      <c r="E27215" s="1">
        <v>0.15563991323210399</v>
      </c>
      <c r="F27215" s="1">
        <v>0.17449192573876701</v>
      </c>
    </row>
    <row r="27216" spans="1:6" x14ac:dyDescent="0.25">
      <c r="A27216" s="2" t="str">
        <f t="shared" si="962"/>
        <v>21300</v>
      </c>
      <c r="B27216" s="2" t="str">
        <f>"14903"</f>
        <v>14903</v>
      </c>
      <c r="C27216" s="1">
        <v>8.6427342021145798E-2</v>
      </c>
      <c r="D27216" s="1">
        <v>0.14061979340219899</v>
      </c>
      <c r="E27216" s="1">
        <v>0.106290672451193</v>
      </c>
      <c r="F27216" s="1">
        <v>9.0805229045369598E-2</v>
      </c>
    </row>
    <row r="27217" spans="1:6" x14ac:dyDescent="0.25">
      <c r="A27217" s="2" t="str">
        <f t="shared" si="962"/>
        <v>21300</v>
      </c>
      <c r="B27217" s="2" t="str">
        <f>"14901"</f>
        <v>14901</v>
      </c>
      <c r="C27217" s="1">
        <v>0.16847799360708099</v>
      </c>
      <c r="D27217" s="1">
        <v>0.28690436521159601</v>
      </c>
      <c r="E27217" s="1">
        <v>0.28036876355748303</v>
      </c>
      <c r="F27217" s="1">
        <v>0.18081951005163099</v>
      </c>
    </row>
    <row r="27218" spans="1:6" x14ac:dyDescent="0.25">
      <c r="A27218" s="2" t="str">
        <f t="shared" si="962"/>
        <v>21300</v>
      </c>
      <c r="B27218" s="2" t="str">
        <f>"14894"</f>
        <v>14894</v>
      </c>
      <c r="C27218" s="1">
        <v>1.6080649127120698E-2</v>
      </c>
      <c r="D27218" s="1">
        <v>3.6654448517160899E-3</v>
      </c>
      <c r="E27218" s="1">
        <v>4.8806941431670204E-3</v>
      </c>
      <c r="F27218" s="1">
        <v>1.48083049544106E-2</v>
      </c>
    </row>
    <row r="27219" spans="1:6" x14ac:dyDescent="0.25">
      <c r="A27219" s="2" t="str">
        <f t="shared" si="962"/>
        <v>21300</v>
      </c>
      <c r="B27219" s="2" t="str">
        <f>"14867"</f>
        <v>14867</v>
      </c>
      <c r="C27219" s="1">
        <v>7.3764445537250994E-5</v>
      </c>
      <c r="D27219" s="1">
        <v>0</v>
      </c>
      <c r="E27219" s="1">
        <v>0</v>
      </c>
      <c r="F27219" s="1">
        <v>6.5912336592332106E-5</v>
      </c>
    </row>
    <row r="27220" spans="1:6" x14ac:dyDescent="0.25">
      <c r="A27220" s="2" t="str">
        <f t="shared" si="962"/>
        <v>21300</v>
      </c>
      <c r="B27220" s="2" t="str">
        <f>"14871"</f>
        <v>14871</v>
      </c>
      <c r="C27220" s="1">
        <v>4.32259650848291E-2</v>
      </c>
      <c r="D27220" s="1">
        <v>1.49950016661112E-2</v>
      </c>
      <c r="E27220" s="1">
        <v>1.0845986984815601E-2</v>
      </c>
      <c r="F27220" s="1">
        <v>4.0052729869273801E-2</v>
      </c>
    </row>
    <row r="27221" spans="1:6" x14ac:dyDescent="0.25">
      <c r="A27221" s="2" t="str">
        <f t="shared" si="962"/>
        <v>21300</v>
      </c>
      <c r="B27221" s="2" t="str">
        <f>"14812"</f>
        <v>14812</v>
      </c>
      <c r="C27221" s="1">
        <v>1.12859601671994E-2</v>
      </c>
      <c r="D27221" s="1">
        <v>2.9990003332222501E-3</v>
      </c>
      <c r="E27221" s="1">
        <v>5.4229934924077995E-4</v>
      </c>
      <c r="F27221" s="1">
        <v>1.03042952872679E-2</v>
      </c>
    </row>
    <row r="27222" spans="1:6" x14ac:dyDescent="0.25">
      <c r="A27222" s="2" t="str">
        <f t="shared" si="962"/>
        <v>21300</v>
      </c>
      <c r="B27222" s="2" t="str">
        <f>"14816"</f>
        <v>14816</v>
      </c>
      <c r="C27222" s="1">
        <v>5.23727563314482E-3</v>
      </c>
      <c r="D27222" s="1">
        <v>2.3325558147284202E-3</v>
      </c>
      <c r="E27222" s="1">
        <v>1.40997830802603E-2</v>
      </c>
      <c r="F27222" s="1">
        <v>5.4048116005712401E-3</v>
      </c>
    </row>
    <row r="27223" spans="1:6" x14ac:dyDescent="0.25">
      <c r="A27223" s="2" t="str">
        <f t="shared" si="962"/>
        <v>21300</v>
      </c>
      <c r="B27223" s="2" t="str">
        <f>"14814"</f>
        <v>14814</v>
      </c>
      <c r="C27223" s="1">
        <v>1.8539463978362401E-2</v>
      </c>
      <c r="D27223" s="1">
        <v>2.3658780406531101E-2</v>
      </c>
      <c r="E27223" s="1">
        <v>1.57266811279826E-2</v>
      </c>
      <c r="F27223" s="1">
        <v>1.8763045149950499E-2</v>
      </c>
    </row>
    <row r="27224" spans="1:6" x14ac:dyDescent="0.25">
      <c r="A27224" s="2" t="str">
        <f t="shared" si="962"/>
        <v>21300</v>
      </c>
      <c r="B27224" s="2" t="str">
        <f>"14830"</f>
        <v>14830</v>
      </c>
      <c r="C27224" s="1">
        <v>3.1226948610769598E-3</v>
      </c>
      <c r="D27224" s="1">
        <v>2.6657780739753399E-3</v>
      </c>
      <c r="E27224" s="1">
        <v>0</v>
      </c>
      <c r="F27224" s="1">
        <v>2.9660551466549399E-3</v>
      </c>
    </row>
    <row r="27225" spans="1:6" x14ac:dyDescent="0.25">
      <c r="A27225" s="2" t="str">
        <f t="shared" si="962"/>
        <v>21300</v>
      </c>
      <c r="B27225" s="2" t="str">
        <f>"14902"</f>
        <v>14902</v>
      </c>
      <c r="C27225" s="1">
        <v>2.09736906810917E-2</v>
      </c>
      <c r="D27225" s="1">
        <v>6.2312562479173599E-2</v>
      </c>
      <c r="E27225" s="1">
        <v>5.4229934924077995E-4</v>
      </c>
      <c r="F27225" s="1">
        <v>2.28715807975392E-2</v>
      </c>
    </row>
    <row r="27226" spans="1:6" x14ac:dyDescent="0.25">
      <c r="A27226" s="2" t="str">
        <f t="shared" si="962"/>
        <v>21300</v>
      </c>
      <c r="B27226" s="2" t="str">
        <f>"14892"</f>
        <v>14892</v>
      </c>
      <c r="C27226" s="1">
        <v>1.11138431276124E-2</v>
      </c>
      <c r="D27226" s="1">
        <v>5.3315561479506798E-3</v>
      </c>
      <c r="E27226" s="1">
        <v>0</v>
      </c>
      <c r="F27226" s="1">
        <v>1.0282324508403801E-2</v>
      </c>
    </row>
    <row r="27227" spans="1:6" x14ac:dyDescent="0.25">
      <c r="A27227" s="2" t="str">
        <f t="shared" si="962"/>
        <v>21300</v>
      </c>
      <c r="B27227" s="2" t="str">
        <f>"14864"</f>
        <v>14864</v>
      </c>
      <c r="C27227" s="1">
        <v>1.26628964838947E-2</v>
      </c>
      <c r="D27227" s="1">
        <v>5.6647784071975999E-3</v>
      </c>
      <c r="E27227" s="1">
        <v>1.30151843817787E-2</v>
      </c>
      <c r="F27227" s="1">
        <v>1.22157530484455E-2</v>
      </c>
    </row>
    <row r="27228" spans="1:6" x14ac:dyDescent="0.25">
      <c r="A27228" s="2" t="str">
        <f t="shared" si="962"/>
        <v>21300</v>
      </c>
      <c r="B27228" s="2" t="str">
        <f>"14824"</f>
        <v>14824</v>
      </c>
      <c r="C27228" s="1">
        <v>2.7538726333906998E-3</v>
      </c>
      <c r="D27228" s="1">
        <v>0</v>
      </c>
      <c r="E27228" s="1">
        <v>0</v>
      </c>
      <c r="F27228" s="1">
        <v>2.4607272327803998E-3</v>
      </c>
    </row>
    <row r="27229" spans="1:6" x14ac:dyDescent="0.25">
      <c r="A27229" s="2" t="str">
        <f t="shared" ref="A27229:A27249" si="963">"14620"</f>
        <v>14620</v>
      </c>
      <c r="B27229" s="2" t="str">
        <f>"16744"</f>
        <v>16744</v>
      </c>
      <c r="C27229" s="1">
        <v>3.7114097733790602E-3</v>
      </c>
      <c r="D27229" s="1">
        <v>1.9646365422396799E-3</v>
      </c>
      <c r="E27229" s="1">
        <v>0</v>
      </c>
      <c r="F27229" s="1">
        <v>3.4052213393870601E-3</v>
      </c>
    </row>
    <row r="27230" spans="1:6" x14ac:dyDescent="0.25">
      <c r="A27230" s="2" t="str">
        <f t="shared" si="963"/>
        <v>14620</v>
      </c>
      <c r="B27230" s="2" t="str">
        <f>"16727"</f>
        <v>16727</v>
      </c>
      <c r="C27230" s="1">
        <v>5.0047798459202601E-3</v>
      </c>
      <c r="D27230" s="1">
        <v>6.5487884741322804E-4</v>
      </c>
      <c r="E27230" s="1">
        <v>2.09863588667366E-3</v>
      </c>
      <c r="F27230" s="1">
        <v>4.5402951191827398E-3</v>
      </c>
    </row>
    <row r="27231" spans="1:6" x14ac:dyDescent="0.25">
      <c r="A27231" s="2" t="str">
        <f t="shared" si="963"/>
        <v>14620</v>
      </c>
      <c r="B27231" s="2" t="str">
        <f>"16726"</f>
        <v>16726</v>
      </c>
      <c r="C27231" s="1">
        <v>5.3984142158240997E-3</v>
      </c>
      <c r="D27231" s="1">
        <v>0</v>
      </c>
      <c r="E27231" s="1">
        <v>1.04931794333683E-3</v>
      </c>
      <c r="F27231" s="1">
        <v>4.7870502887035404E-3</v>
      </c>
    </row>
    <row r="27232" spans="1:6" x14ac:dyDescent="0.25">
      <c r="A27232" s="2" t="str">
        <f t="shared" si="963"/>
        <v>14620</v>
      </c>
      <c r="B27232" s="2" t="str">
        <f>"16725"</f>
        <v>16725</v>
      </c>
      <c r="C27232" s="1">
        <v>0</v>
      </c>
      <c r="D27232" s="1">
        <v>6.5487884741322804E-4</v>
      </c>
      <c r="E27232" s="1">
        <v>0</v>
      </c>
      <c r="F27232" s="1">
        <v>4.9351033904160203E-5</v>
      </c>
    </row>
    <row r="27233" spans="1:6" x14ac:dyDescent="0.25">
      <c r="A27233" s="2" t="str">
        <f t="shared" si="963"/>
        <v>14620</v>
      </c>
      <c r="B27233" s="2" t="str">
        <f>"15870"</f>
        <v>15870</v>
      </c>
      <c r="C27233" s="1">
        <v>6.1856829556317799E-4</v>
      </c>
      <c r="D27233" s="1">
        <v>0</v>
      </c>
      <c r="E27233" s="1">
        <v>0</v>
      </c>
      <c r="F27233" s="1">
        <v>5.4286137294576298E-4</v>
      </c>
    </row>
    <row r="27234" spans="1:6" x14ac:dyDescent="0.25">
      <c r="A27234" s="2" t="str">
        <f t="shared" si="963"/>
        <v>14620</v>
      </c>
      <c r="B27234" s="2" t="str">
        <f>"16724"</f>
        <v>16724</v>
      </c>
      <c r="C27234" s="1">
        <v>0</v>
      </c>
      <c r="D27234" s="1">
        <v>6.5487884741322804E-4</v>
      </c>
      <c r="E27234" s="1">
        <v>0</v>
      </c>
      <c r="F27234" s="1">
        <v>4.9351033904160203E-5</v>
      </c>
    </row>
    <row r="27235" spans="1:6" x14ac:dyDescent="0.25">
      <c r="A27235" s="2" t="str">
        <f t="shared" si="963"/>
        <v>14620</v>
      </c>
      <c r="B27235" s="2" t="str">
        <f>"16730"</f>
        <v>16730</v>
      </c>
      <c r="C27235" s="1">
        <v>0</v>
      </c>
      <c r="D27235" s="1">
        <v>6.5487884741322804E-4</v>
      </c>
      <c r="E27235" s="1">
        <v>0</v>
      </c>
      <c r="F27235" s="1">
        <v>4.9351033904160203E-5</v>
      </c>
    </row>
    <row r="27236" spans="1:6" x14ac:dyDescent="0.25">
      <c r="A27236" s="2" t="str">
        <f t="shared" si="963"/>
        <v>14620</v>
      </c>
      <c r="B27236" s="2" t="str">
        <f>"16748"</f>
        <v>16748</v>
      </c>
      <c r="C27236" s="1">
        <v>1.8219647978406299E-2</v>
      </c>
      <c r="D27236" s="1">
        <v>3.9292730844793702E-3</v>
      </c>
      <c r="E27236" s="1">
        <v>2.09863588667366E-3</v>
      </c>
      <c r="F27236" s="1">
        <v>1.6384543256181199E-2</v>
      </c>
    </row>
    <row r="27237" spans="1:6" x14ac:dyDescent="0.25">
      <c r="A27237" s="2" t="str">
        <f t="shared" si="963"/>
        <v>14620</v>
      </c>
      <c r="B27237" s="2" t="str">
        <f>"16731"</f>
        <v>16731</v>
      </c>
      <c r="C27237" s="1">
        <v>5.67958162289827E-2</v>
      </c>
      <c r="D27237" s="1">
        <v>1.4407334643091E-2</v>
      </c>
      <c r="E27237" s="1">
        <v>8.0797481636935897E-2</v>
      </c>
      <c r="F27237" s="1">
        <v>5.47302965997137E-2</v>
      </c>
    </row>
    <row r="27238" spans="1:6" x14ac:dyDescent="0.25">
      <c r="A27238" s="2" t="str">
        <f t="shared" si="963"/>
        <v>14620</v>
      </c>
      <c r="B27238" s="2" t="str">
        <f>"16733"</f>
        <v>16733</v>
      </c>
      <c r="C27238" s="1">
        <v>0</v>
      </c>
      <c r="D27238" s="1">
        <v>6.5487884741322804E-4</v>
      </c>
      <c r="E27238" s="1">
        <v>0</v>
      </c>
      <c r="F27238" s="1">
        <v>4.9351033904160203E-5</v>
      </c>
    </row>
    <row r="27239" spans="1:6" x14ac:dyDescent="0.25">
      <c r="A27239" s="2" t="str">
        <f t="shared" si="963"/>
        <v>14620</v>
      </c>
      <c r="B27239" s="2" t="str">
        <f>"16750"</f>
        <v>16750</v>
      </c>
      <c r="C27239" s="1">
        <v>1.1809031097115201E-2</v>
      </c>
      <c r="D27239" s="1">
        <v>7.2036673215455102E-3</v>
      </c>
      <c r="E27239" s="1">
        <v>4.19727177334732E-3</v>
      </c>
      <c r="F27239" s="1">
        <v>1.1103982628436E-2</v>
      </c>
    </row>
    <row r="27240" spans="1:6" x14ac:dyDescent="0.25">
      <c r="A27240" s="2" t="str">
        <f t="shared" si="963"/>
        <v>14620</v>
      </c>
      <c r="B27240" s="2" t="str">
        <f>"16732"</f>
        <v>16732</v>
      </c>
      <c r="C27240" s="1">
        <v>1.1246696282966801E-3</v>
      </c>
      <c r="D27240" s="1">
        <v>1.30975769482645E-3</v>
      </c>
      <c r="E27240" s="1">
        <v>0</v>
      </c>
      <c r="F27240" s="1">
        <v>1.0857227458915199E-3</v>
      </c>
    </row>
    <row r="27241" spans="1:6" x14ac:dyDescent="0.25">
      <c r="A27241" s="2" t="str">
        <f t="shared" si="963"/>
        <v>14620</v>
      </c>
      <c r="B27241" s="2" t="str">
        <f>"16743"</f>
        <v>16743</v>
      </c>
      <c r="C27241" s="1">
        <v>0.105381544171399</v>
      </c>
      <c r="D27241" s="1">
        <v>9.7576948264571001E-2</v>
      </c>
      <c r="E27241" s="1">
        <v>8.6044071353620105E-2</v>
      </c>
      <c r="F27241" s="1">
        <v>0.103883926368257</v>
      </c>
    </row>
    <row r="27242" spans="1:6" x14ac:dyDescent="0.25">
      <c r="A27242" s="2" t="str">
        <f t="shared" si="963"/>
        <v>14620</v>
      </c>
      <c r="B27242" s="2" t="str">
        <f>"16740"</f>
        <v>16740</v>
      </c>
      <c r="C27242" s="1">
        <v>7.5352865095878003E-3</v>
      </c>
      <c r="D27242" s="1">
        <v>4.5841519318925899E-3</v>
      </c>
      <c r="E27242" s="1">
        <v>0</v>
      </c>
      <c r="F27242" s="1">
        <v>6.9584957804866001E-3</v>
      </c>
    </row>
    <row r="27243" spans="1:6" x14ac:dyDescent="0.25">
      <c r="A27243" s="2" t="str">
        <f t="shared" si="963"/>
        <v>14620</v>
      </c>
      <c r="B27243" s="2" t="str">
        <f>"16735"</f>
        <v>16735</v>
      </c>
      <c r="C27243" s="1">
        <v>0.174323792385986</v>
      </c>
      <c r="D27243" s="1">
        <v>0.17943680419122399</v>
      </c>
      <c r="E27243" s="1">
        <v>0.187827911857292</v>
      </c>
      <c r="F27243" s="1">
        <v>0.17534422346148101</v>
      </c>
    </row>
    <row r="27244" spans="1:6" x14ac:dyDescent="0.25">
      <c r="A27244" s="2" t="str">
        <f t="shared" si="963"/>
        <v>14620</v>
      </c>
      <c r="B27244" s="2" t="str">
        <f>"16729"</f>
        <v>16729</v>
      </c>
      <c r="C27244" s="1">
        <v>1.7038744868694802E-2</v>
      </c>
      <c r="D27244" s="1">
        <v>2.61951538965291E-3</v>
      </c>
      <c r="E27244" s="1">
        <v>2.5183630640083901E-2</v>
      </c>
      <c r="F27244" s="1">
        <v>1.6335192222277001E-2</v>
      </c>
    </row>
    <row r="27245" spans="1:6" x14ac:dyDescent="0.25">
      <c r="A27245" s="2" t="str">
        <f t="shared" si="963"/>
        <v>14620</v>
      </c>
      <c r="B27245" s="2" t="str">
        <f>"16333"</f>
        <v>16333</v>
      </c>
      <c r="C27245" s="1">
        <v>0</v>
      </c>
      <c r="D27245" s="1">
        <v>0</v>
      </c>
      <c r="E27245" s="1">
        <v>2.09863588667366E-3</v>
      </c>
      <c r="F27245" s="1">
        <v>9.87020678083205E-5</v>
      </c>
    </row>
    <row r="27246" spans="1:6" x14ac:dyDescent="0.25">
      <c r="A27246" s="2" t="str">
        <f t="shared" si="963"/>
        <v>14620</v>
      </c>
      <c r="B27246" s="2" t="str">
        <f>"16701"</f>
        <v>16701</v>
      </c>
      <c r="C27246" s="1">
        <v>0.45453523027610598</v>
      </c>
      <c r="D27246" s="1">
        <v>0.54289456450556595</v>
      </c>
      <c r="E27246" s="1">
        <v>0.53305351521511002</v>
      </c>
      <c r="F27246" s="1">
        <v>0.464886739377189</v>
      </c>
    </row>
    <row r="27247" spans="1:6" x14ac:dyDescent="0.25">
      <c r="A27247" s="2" t="str">
        <f t="shared" si="963"/>
        <v>14620</v>
      </c>
      <c r="B27247" s="2" t="str">
        <f>"16738"</f>
        <v>16738</v>
      </c>
      <c r="C27247" s="1">
        <v>2.07501546420738E-2</v>
      </c>
      <c r="D27247" s="1">
        <v>3.5363457760314299E-2</v>
      </c>
      <c r="E27247" s="1">
        <v>4.19727177334732E-3</v>
      </c>
      <c r="F27247" s="1">
        <v>2.1072891477076399E-2</v>
      </c>
    </row>
    <row r="27248" spans="1:6" x14ac:dyDescent="0.25">
      <c r="A27248" s="2" t="str">
        <f t="shared" si="963"/>
        <v>14620</v>
      </c>
      <c r="B27248" s="2" t="str">
        <f>"16745"</f>
        <v>16745</v>
      </c>
      <c r="C27248" s="1">
        <v>1.02344936174998E-2</v>
      </c>
      <c r="D27248" s="1">
        <v>6.5487884741322804E-4</v>
      </c>
      <c r="E27248" s="1">
        <v>2.09863588667366E-3</v>
      </c>
      <c r="F27248" s="1">
        <v>9.1299412722696503E-3</v>
      </c>
    </row>
    <row r="27249" spans="1:6" x14ac:dyDescent="0.25">
      <c r="A27249" s="2" t="str">
        <f t="shared" si="963"/>
        <v>14620</v>
      </c>
      <c r="B27249" s="2" t="str">
        <f>"16749"</f>
        <v>16749</v>
      </c>
      <c r="C27249" s="1">
        <v>0.107518416465163</v>
      </c>
      <c r="D27249" s="1">
        <v>0.104780615586116</v>
      </c>
      <c r="E27249" s="1">
        <v>6.9254984260230801E-2</v>
      </c>
      <c r="F27249" s="1">
        <v>0.10551251048709399</v>
      </c>
    </row>
    <row r="27250" spans="1:6" x14ac:dyDescent="0.25">
      <c r="A27250" s="2" t="str">
        <f t="shared" ref="A27250:A27285" si="964">"44300"</f>
        <v>44300</v>
      </c>
      <c r="B27250" s="2" t="str">
        <f>"16868"</f>
        <v>16868</v>
      </c>
      <c r="C27250" s="1">
        <v>4.92610837438423E-5</v>
      </c>
      <c r="D27250" s="1">
        <v>2.0283975659229201E-4</v>
      </c>
      <c r="E27250" s="1">
        <v>0</v>
      </c>
      <c r="F27250" s="1">
        <v>5.8855553757191399E-5</v>
      </c>
    </row>
    <row r="27251" spans="1:6" x14ac:dyDescent="0.25">
      <c r="A27251" s="2" t="str">
        <f t="shared" si="964"/>
        <v>44300</v>
      </c>
      <c r="B27251" s="2" t="str">
        <f>"16872"</f>
        <v>16872</v>
      </c>
      <c r="C27251" s="1">
        <v>6.6830870279146097E-3</v>
      </c>
      <c r="D27251" s="1">
        <v>6.2880324543610503E-3</v>
      </c>
      <c r="E27251" s="1">
        <v>0</v>
      </c>
      <c r="F27251" s="1">
        <v>6.4446831364124496E-3</v>
      </c>
    </row>
    <row r="27252" spans="1:6" x14ac:dyDescent="0.25">
      <c r="A27252" s="2" t="str">
        <f t="shared" si="964"/>
        <v>44300</v>
      </c>
      <c r="B27252" s="2" t="str">
        <f>"16856"</f>
        <v>16856</v>
      </c>
      <c r="C27252" s="1">
        <v>0</v>
      </c>
      <c r="D27252" s="1">
        <v>2.0283975659229201E-4</v>
      </c>
      <c r="E27252" s="1">
        <v>1.40646976090014E-3</v>
      </c>
      <c r="F27252" s="1">
        <v>5.8855553757191399E-5</v>
      </c>
    </row>
    <row r="27253" spans="1:6" x14ac:dyDescent="0.25">
      <c r="A27253" s="2" t="str">
        <f t="shared" si="964"/>
        <v>44300</v>
      </c>
      <c r="B27253" s="2" t="str">
        <f>"16852"</f>
        <v>16852</v>
      </c>
      <c r="C27253" s="1">
        <v>1.2643678160919501E-3</v>
      </c>
      <c r="D27253" s="1">
        <v>1.01419878296146E-3</v>
      </c>
      <c r="E27253" s="1">
        <v>9.3764650726676005E-4</v>
      </c>
      <c r="F27253" s="1">
        <v>1.2359666289010101E-3</v>
      </c>
    </row>
    <row r="27254" spans="1:6" x14ac:dyDescent="0.25">
      <c r="A27254" s="2" t="str">
        <f t="shared" si="964"/>
        <v>44300</v>
      </c>
      <c r="B27254" s="2" t="str">
        <f>"16864"</f>
        <v>16864</v>
      </c>
      <c r="C27254" s="1">
        <v>8.3743842364532002E-4</v>
      </c>
      <c r="D27254" s="1">
        <v>4.0567951318458401E-4</v>
      </c>
      <c r="E27254" s="1">
        <v>4.6882325363338003E-4</v>
      </c>
      <c r="F27254" s="1">
        <v>7.9454997572208405E-4</v>
      </c>
    </row>
    <row r="27255" spans="1:6" x14ac:dyDescent="0.25">
      <c r="A27255" s="2" t="str">
        <f t="shared" si="964"/>
        <v>44300</v>
      </c>
      <c r="B27255" s="2" t="str">
        <f>"16859"</f>
        <v>16859</v>
      </c>
      <c r="C27255" s="1">
        <v>3.26765188834154E-3</v>
      </c>
      <c r="D27255" s="1">
        <v>4.0567951318458401E-4</v>
      </c>
      <c r="E27255" s="1">
        <v>9.3764650726676005E-4</v>
      </c>
      <c r="F27255" s="1">
        <v>2.9869193531774601E-3</v>
      </c>
    </row>
    <row r="27256" spans="1:6" x14ac:dyDescent="0.25">
      <c r="A27256" s="2" t="str">
        <f t="shared" si="964"/>
        <v>44300</v>
      </c>
      <c r="B27256" s="2" t="str">
        <f>"16666"</f>
        <v>16666</v>
      </c>
      <c r="C27256" s="1">
        <v>3.5139573070607499E-3</v>
      </c>
      <c r="D27256" s="1">
        <v>1.4198782961460401E-3</v>
      </c>
      <c r="E27256" s="1">
        <v>9.3764650726676005E-4</v>
      </c>
      <c r="F27256" s="1">
        <v>3.2811971219634199E-3</v>
      </c>
    </row>
    <row r="27257" spans="1:6" x14ac:dyDescent="0.25">
      <c r="A27257" s="2" t="str">
        <f t="shared" si="964"/>
        <v>44300</v>
      </c>
      <c r="B27257" s="2" t="str">
        <f>"16801"</f>
        <v>16801</v>
      </c>
      <c r="C27257" s="1">
        <v>0.31269293924466302</v>
      </c>
      <c r="D27257" s="1">
        <v>0.41338742393509098</v>
      </c>
      <c r="E27257" s="1">
        <v>0.46647913736521301</v>
      </c>
      <c r="F27257" s="1">
        <v>0.32482380118593901</v>
      </c>
    </row>
    <row r="27258" spans="1:6" x14ac:dyDescent="0.25">
      <c r="A27258" s="2" t="str">
        <f t="shared" si="964"/>
        <v>44300</v>
      </c>
      <c r="B27258" s="2" t="str">
        <f>"16828"</f>
        <v>16828</v>
      </c>
      <c r="C27258" s="1">
        <v>2.8423645320197002E-2</v>
      </c>
      <c r="D27258" s="1">
        <v>2.1095334685598301E-2</v>
      </c>
      <c r="E27258" s="1">
        <v>1.6408813877168301E-2</v>
      </c>
      <c r="F27258" s="1">
        <v>2.75149713814869E-2</v>
      </c>
    </row>
    <row r="27259" spans="1:6" x14ac:dyDescent="0.25">
      <c r="A27259" s="2" t="str">
        <f t="shared" si="964"/>
        <v>44300</v>
      </c>
      <c r="B27259" s="2" t="str">
        <f>"16854"</f>
        <v>16854</v>
      </c>
      <c r="C27259" s="1">
        <v>1.0344827586206799E-3</v>
      </c>
      <c r="D27259" s="1">
        <v>4.0567951318458401E-4</v>
      </c>
      <c r="E27259" s="1">
        <v>7.9699953117674596E-3</v>
      </c>
      <c r="F27259" s="1">
        <v>1.2065388520224199E-3</v>
      </c>
    </row>
    <row r="27260" spans="1:6" x14ac:dyDescent="0.25">
      <c r="A27260" s="2" t="str">
        <f t="shared" si="964"/>
        <v>44300</v>
      </c>
      <c r="B27260" s="2" t="str">
        <f>"16832"</f>
        <v>16832</v>
      </c>
      <c r="C27260" s="1">
        <v>1.52709359605911E-3</v>
      </c>
      <c r="D27260" s="1">
        <v>2.0283975659229201E-4</v>
      </c>
      <c r="E27260" s="1">
        <v>1.8752930145335201E-3</v>
      </c>
      <c r="F27260" s="1">
        <v>1.44196106705118E-3</v>
      </c>
    </row>
    <row r="27261" spans="1:6" x14ac:dyDescent="0.25">
      <c r="A27261" s="2" t="str">
        <f t="shared" si="964"/>
        <v>44300</v>
      </c>
      <c r="B27261" s="2" t="str">
        <f>"16841"</f>
        <v>16841</v>
      </c>
      <c r="C27261" s="1">
        <v>3.2791461412151002E-2</v>
      </c>
      <c r="D27261" s="1">
        <v>1.13590263691683E-2</v>
      </c>
      <c r="E27261" s="1">
        <v>2.81293952180028E-3</v>
      </c>
      <c r="F27261" s="1">
        <v>3.0295896296514201E-2</v>
      </c>
    </row>
    <row r="27262" spans="1:6" x14ac:dyDescent="0.25">
      <c r="A27262" s="2" t="str">
        <f t="shared" si="964"/>
        <v>44300</v>
      </c>
      <c r="B27262" s="2" t="str">
        <f>"16677"</f>
        <v>16677</v>
      </c>
      <c r="C27262" s="1">
        <v>0</v>
      </c>
      <c r="D27262" s="1">
        <v>2.0283975659229201E-4</v>
      </c>
      <c r="E27262" s="1">
        <v>1.40646976090014E-3</v>
      </c>
      <c r="F27262" s="1">
        <v>5.8855553757191399E-5</v>
      </c>
    </row>
    <row r="27263" spans="1:6" x14ac:dyDescent="0.25">
      <c r="A27263" s="2" t="str">
        <f t="shared" si="964"/>
        <v>44300</v>
      </c>
      <c r="B27263" s="2" t="str">
        <f>"16877"</f>
        <v>16877</v>
      </c>
      <c r="C27263" s="1">
        <v>4.0722495894909604E-3</v>
      </c>
      <c r="D27263" s="1">
        <v>4.0567951318458401E-4</v>
      </c>
      <c r="E27263" s="1">
        <v>0</v>
      </c>
      <c r="F27263" s="1">
        <v>3.6784721098244602E-3</v>
      </c>
    </row>
    <row r="27264" spans="1:6" x14ac:dyDescent="0.25">
      <c r="A27264" s="2" t="str">
        <f t="shared" si="964"/>
        <v>44300</v>
      </c>
      <c r="B27264" s="2" t="str">
        <f>"16875"</f>
        <v>16875</v>
      </c>
      <c r="C27264" s="1">
        <v>2.58128078817733E-2</v>
      </c>
      <c r="D27264" s="1">
        <v>1.8661257606490799E-2</v>
      </c>
      <c r="E27264" s="1">
        <v>1.07829348335677E-2</v>
      </c>
      <c r="F27264" s="1">
        <v>2.4822329797095401E-2</v>
      </c>
    </row>
    <row r="27265" spans="1:6" x14ac:dyDescent="0.25">
      <c r="A27265" s="2" t="str">
        <f t="shared" si="964"/>
        <v>44300</v>
      </c>
      <c r="B27265" s="2" t="str">
        <f>"16802"</f>
        <v>16802</v>
      </c>
      <c r="C27265" s="1">
        <v>1.47783251231527E-4</v>
      </c>
      <c r="D27265" s="1">
        <v>1.23732251521298E-2</v>
      </c>
      <c r="E27265" s="1">
        <v>1.3127051101734601E-2</v>
      </c>
      <c r="F27265" s="1">
        <v>1.44196106705118E-3</v>
      </c>
    </row>
    <row r="27266" spans="1:6" x14ac:dyDescent="0.25">
      <c r="A27266" s="2" t="str">
        <f t="shared" si="964"/>
        <v>44300</v>
      </c>
      <c r="B27266" s="2" t="str">
        <f>"16820"</f>
        <v>16820</v>
      </c>
      <c r="C27266" s="1">
        <v>3.9737274220032802E-3</v>
      </c>
      <c r="D27266" s="1">
        <v>2.2312373225152099E-3</v>
      </c>
      <c r="E27266" s="1">
        <v>5.15705578996718E-3</v>
      </c>
      <c r="F27266" s="1">
        <v>3.8844665479746301E-3</v>
      </c>
    </row>
    <row r="27267" spans="1:6" x14ac:dyDescent="0.25">
      <c r="A27267" s="2" t="str">
        <f t="shared" si="964"/>
        <v>44300</v>
      </c>
      <c r="B27267" s="2" t="str">
        <f>"16865"</f>
        <v>16865</v>
      </c>
      <c r="C27267" s="1">
        <v>1.07389162561576E-2</v>
      </c>
      <c r="D27267" s="1">
        <v>2.8397565922920801E-3</v>
      </c>
      <c r="E27267" s="1">
        <v>1.40646976090014E-3</v>
      </c>
      <c r="F27267" s="1">
        <v>9.8730191427688508E-3</v>
      </c>
    </row>
    <row r="27268" spans="1:6" x14ac:dyDescent="0.25">
      <c r="A27268" s="2" t="str">
        <f t="shared" si="964"/>
        <v>44300</v>
      </c>
      <c r="B27268" s="2" t="str">
        <f>"16844"</f>
        <v>16844</v>
      </c>
      <c r="C27268" s="1">
        <v>1.8637110016420301E-2</v>
      </c>
      <c r="D27268" s="1">
        <v>6.6937119675456302E-3</v>
      </c>
      <c r="E27268" s="1">
        <v>9.3764650726676005E-4</v>
      </c>
      <c r="F27268" s="1">
        <v>1.72152494739784E-2</v>
      </c>
    </row>
    <row r="27269" spans="1:6" x14ac:dyDescent="0.25">
      <c r="A27269" s="2" t="str">
        <f t="shared" si="964"/>
        <v>44300</v>
      </c>
      <c r="B27269" s="2" t="str">
        <f>"16829"</f>
        <v>16829</v>
      </c>
      <c r="C27269" s="1">
        <v>4.4499178981937601E-3</v>
      </c>
      <c r="D27269" s="1">
        <v>1.2170385395537499E-3</v>
      </c>
      <c r="E27269" s="1">
        <v>0</v>
      </c>
      <c r="F27269" s="1">
        <v>4.0757470976854997E-3</v>
      </c>
    </row>
    <row r="27270" spans="1:6" x14ac:dyDescent="0.25">
      <c r="A27270" s="2" t="str">
        <f t="shared" si="964"/>
        <v>44300</v>
      </c>
      <c r="B27270" s="2" t="str">
        <f>"16804"</f>
        <v>16804</v>
      </c>
      <c r="C27270" s="1">
        <v>1.02791461412151E-2</v>
      </c>
      <c r="D27270" s="1">
        <v>6.7342799188640903E-2</v>
      </c>
      <c r="E27270" s="1">
        <v>4.6882325363338003E-4</v>
      </c>
      <c r="F27270" s="1">
        <v>1.4110619013286601E-2</v>
      </c>
    </row>
    <row r="27271" spans="1:6" x14ac:dyDescent="0.25">
      <c r="A27271" s="2" t="str">
        <f t="shared" si="964"/>
        <v>44300</v>
      </c>
      <c r="B27271" s="2" t="str">
        <f>"16686"</f>
        <v>16686</v>
      </c>
      <c r="C27271" s="1">
        <v>2.20032840722495E-3</v>
      </c>
      <c r="D27271" s="1">
        <v>1.4198782961460401E-3</v>
      </c>
      <c r="E27271" s="1">
        <v>0</v>
      </c>
      <c r="F27271" s="1">
        <v>2.0746582699409902E-3</v>
      </c>
    </row>
    <row r="27272" spans="1:6" x14ac:dyDescent="0.25">
      <c r="A27272" s="2" t="str">
        <f t="shared" si="964"/>
        <v>44300</v>
      </c>
      <c r="B27272" s="2" t="str">
        <f>"16870"</f>
        <v>16870</v>
      </c>
      <c r="C27272" s="1">
        <v>4.6650246305418697E-2</v>
      </c>
      <c r="D27272" s="1">
        <v>1.35902636916835E-2</v>
      </c>
      <c r="E27272" s="1">
        <v>1.07829348335677E-2</v>
      </c>
      <c r="F27272" s="1">
        <v>4.3126407015582E-2</v>
      </c>
    </row>
    <row r="27273" spans="1:6" x14ac:dyDescent="0.25">
      <c r="A27273" s="2" t="str">
        <f t="shared" si="964"/>
        <v>44300</v>
      </c>
      <c r="B27273" s="2" t="str">
        <f>"16853"</f>
        <v>16853</v>
      </c>
      <c r="C27273" s="1">
        <v>5.4187192118226597E-4</v>
      </c>
      <c r="D27273" s="1">
        <v>4.0567951318458401E-4</v>
      </c>
      <c r="E27273" s="1">
        <v>3.7505860290670402E-3</v>
      </c>
      <c r="F27273" s="1">
        <v>6.3269720288980705E-4</v>
      </c>
    </row>
    <row r="27274" spans="1:6" x14ac:dyDescent="0.25">
      <c r="A27274" s="2" t="str">
        <f t="shared" si="964"/>
        <v>44300</v>
      </c>
      <c r="B27274" s="2" t="str">
        <f>"16826"</f>
        <v>16826</v>
      </c>
      <c r="C27274" s="1">
        <v>0</v>
      </c>
      <c r="D27274" s="1">
        <v>2.0283975659229201E-4</v>
      </c>
      <c r="E27274" s="1">
        <v>1.8752930145335201E-3</v>
      </c>
      <c r="F27274" s="1">
        <v>7.3569442196489196E-5</v>
      </c>
    </row>
    <row r="27275" spans="1:6" x14ac:dyDescent="0.25">
      <c r="A27275" s="2" t="str">
        <f t="shared" si="964"/>
        <v>44300</v>
      </c>
      <c r="B27275" s="2" t="str">
        <f>"16822"</f>
        <v>16822</v>
      </c>
      <c r="C27275" s="1">
        <v>1.75697865353037E-3</v>
      </c>
      <c r="D27275" s="1">
        <v>6.0851926977687604E-4</v>
      </c>
      <c r="E27275" s="1">
        <v>9.3764650726676005E-4</v>
      </c>
      <c r="F27275" s="1">
        <v>1.6479555052013499E-3</v>
      </c>
    </row>
    <row r="27276" spans="1:6" x14ac:dyDescent="0.25">
      <c r="A27276" s="2" t="str">
        <f t="shared" si="964"/>
        <v>44300</v>
      </c>
      <c r="B27276" s="2" t="str">
        <f>"16803"</f>
        <v>16803</v>
      </c>
      <c r="C27276" s="1">
        <v>0.182594417077175</v>
      </c>
      <c r="D27276" s="1">
        <v>0.122920892494929</v>
      </c>
      <c r="E27276" s="1">
        <v>0.23347398030942301</v>
      </c>
      <c r="F27276" s="1">
        <v>0.179862572281976</v>
      </c>
    </row>
    <row r="27277" spans="1:6" x14ac:dyDescent="0.25">
      <c r="A27277" s="2" t="str">
        <f t="shared" si="964"/>
        <v>44300</v>
      </c>
      <c r="B27277" s="2" t="str">
        <f>"16851"</f>
        <v>16851</v>
      </c>
      <c r="C27277" s="1">
        <v>0</v>
      </c>
      <c r="D27277" s="1">
        <v>2.0283975659229201E-4</v>
      </c>
      <c r="E27277" s="1">
        <v>3.7505860290670402E-3</v>
      </c>
      <c r="F27277" s="1">
        <v>1.3242499595368001E-4</v>
      </c>
    </row>
    <row r="27278" spans="1:6" x14ac:dyDescent="0.25">
      <c r="A27278" s="2" t="str">
        <f t="shared" si="964"/>
        <v>44300</v>
      </c>
      <c r="B27278" s="2" t="str">
        <f>"16845"</f>
        <v>16845</v>
      </c>
      <c r="C27278" s="1">
        <v>2.3316912972085298E-3</v>
      </c>
      <c r="D27278" s="1">
        <v>8.1135902636916802E-4</v>
      </c>
      <c r="E27278" s="1">
        <v>0</v>
      </c>
      <c r="F27278" s="1">
        <v>2.14822771213748E-3</v>
      </c>
    </row>
    <row r="27279" spans="1:6" x14ac:dyDescent="0.25">
      <c r="A27279" s="2" t="str">
        <f t="shared" si="964"/>
        <v>44300</v>
      </c>
      <c r="B27279" s="2" t="str">
        <f>"16827"</f>
        <v>16827</v>
      </c>
      <c r="C27279" s="1">
        <v>4.43842364532019E-2</v>
      </c>
      <c r="D27279" s="1">
        <v>3.8336713995943197E-2</v>
      </c>
      <c r="E27279" s="1">
        <v>4.6413502109704602E-2</v>
      </c>
      <c r="F27279" s="1">
        <v>4.4009240321939799E-2</v>
      </c>
    </row>
    <row r="27280" spans="1:6" x14ac:dyDescent="0.25">
      <c r="A27280" s="2" t="str">
        <f t="shared" si="964"/>
        <v>44300</v>
      </c>
      <c r="B27280" s="2" t="str">
        <f>"16882"</f>
        <v>16882</v>
      </c>
      <c r="C27280" s="1">
        <v>1.64203612479474E-3</v>
      </c>
      <c r="D27280" s="1">
        <v>2.0283975659229201E-4</v>
      </c>
      <c r="E27280" s="1">
        <v>0</v>
      </c>
      <c r="F27280" s="1">
        <v>1.4861027323690801E-3</v>
      </c>
    </row>
    <row r="27281" spans="1:6" x14ac:dyDescent="0.25">
      <c r="A27281" s="2" t="str">
        <f t="shared" si="964"/>
        <v>44300</v>
      </c>
      <c r="B27281" s="2" t="str">
        <f>"16874"</f>
        <v>16874</v>
      </c>
      <c r="C27281" s="1">
        <v>7.4548440065681397E-3</v>
      </c>
      <c r="D27281" s="1">
        <v>4.2596348884381303E-3</v>
      </c>
      <c r="E27281" s="1">
        <v>4.6882325363338003E-4</v>
      </c>
      <c r="F27281" s="1">
        <v>7.0038108971057699E-3</v>
      </c>
    </row>
    <row r="27282" spans="1:6" x14ac:dyDescent="0.25">
      <c r="A27282" s="2" t="str">
        <f t="shared" si="964"/>
        <v>44300</v>
      </c>
      <c r="B27282" s="2" t="str">
        <f>"16835"</f>
        <v>16835</v>
      </c>
      <c r="C27282" s="1">
        <v>0</v>
      </c>
      <c r="D27282" s="1">
        <v>2.0283975659229201E-4</v>
      </c>
      <c r="E27282" s="1">
        <v>1.40646976090014E-3</v>
      </c>
      <c r="F27282" s="1">
        <v>5.8855553757191399E-5</v>
      </c>
    </row>
    <row r="27283" spans="1:6" x14ac:dyDescent="0.25">
      <c r="A27283" s="2" t="str">
        <f t="shared" si="964"/>
        <v>44300</v>
      </c>
      <c r="B27283" s="2" t="str">
        <f>"16860"</f>
        <v>16860</v>
      </c>
      <c r="C27283" s="1">
        <v>1.1658456486042599E-3</v>
      </c>
      <c r="D27283" s="1">
        <v>0</v>
      </c>
      <c r="E27283" s="1">
        <v>0</v>
      </c>
      <c r="F27283" s="1">
        <v>1.0446860791901401E-3</v>
      </c>
    </row>
    <row r="27284" spans="1:6" x14ac:dyDescent="0.25">
      <c r="A27284" s="2" t="str">
        <f t="shared" si="964"/>
        <v>44300</v>
      </c>
      <c r="B27284" s="2" t="str">
        <f>"16823"</f>
        <v>16823</v>
      </c>
      <c r="C27284" s="1">
        <v>0.19187192118226601</v>
      </c>
      <c r="D27284" s="1">
        <v>0.18498985801216999</v>
      </c>
      <c r="E27284" s="1">
        <v>0.115330520393811</v>
      </c>
      <c r="F27284" s="1">
        <v>0.18897046922590199</v>
      </c>
    </row>
    <row r="27285" spans="1:6" x14ac:dyDescent="0.25">
      <c r="A27285" s="2" t="str">
        <f t="shared" si="964"/>
        <v>44300</v>
      </c>
      <c r="B27285" s="2" t="str">
        <f>"16866"</f>
        <v>16866</v>
      </c>
      <c r="C27285" s="1">
        <v>4.7208538587848903E-2</v>
      </c>
      <c r="D27285" s="1">
        <v>6.3488843813387402E-2</v>
      </c>
      <c r="E27285" s="1">
        <v>4.8288795124238101E-2</v>
      </c>
      <c r="F27285" s="1">
        <v>4.8423406853729201E-2</v>
      </c>
    </row>
    <row r="27286" spans="1:6" x14ac:dyDescent="0.25">
      <c r="A27286" s="2" t="str">
        <f t="shared" ref="A27286:A27317" si="965">"39060"</f>
        <v>39060</v>
      </c>
      <c r="B27286" s="2" t="str">
        <f>"18231"</f>
        <v>18231</v>
      </c>
      <c r="C27286" s="1">
        <v>2.8815122176117999E-5</v>
      </c>
      <c r="D27286" s="1">
        <v>1.9642506383814499E-4</v>
      </c>
      <c r="E27286" s="1">
        <v>0</v>
      </c>
      <c r="F27286" s="1">
        <v>3.9091513232477197E-5</v>
      </c>
    </row>
    <row r="27287" spans="1:6" x14ac:dyDescent="0.25">
      <c r="A27287" s="2" t="str">
        <f t="shared" si="965"/>
        <v>39060</v>
      </c>
      <c r="B27287" s="2" t="str">
        <f>"18220"</f>
        <v>18220</v>
      </c>
      <c r="C27287" s="1">
        <v>1.71449976947902E-3</v>
      </c>
      <c r="D27287" s="1">
        <v>1.9642506383814499E-4</v>
      </c>
      <c r="E27287" s="1">
        <v>0</v>
      </c>
      <c r="F27287" s="1">
        <v>1.56366052929908E-3</v>
      </c>
    </row>
    <row r="27288" spans="1:6" x14ac:dyDescent="0.25">
      <c r="A27288" s="2" t="str">
        <f t="shared" si="965"/>
        <v>39060</v>
      </c>
      <c r="B27288" s="2" t="str">
        <f>"18218"</f>
        <v>18218</v>
      </c>
      <c r="C27288" s="1">
        <v>1.9522245274319901E-2</v>
      </c>
      <c r="D27288" s="1">
        <v>1.47318797878609E-2</v>
      </c>
      <c r="E27288" s="1">
        <v>1.6488413547236999E-2</v>
      </c>
      <c r="F27288" s="1">
        <v>1.9115749970681301E-2</v>
      </c>
    </row>
    <row r="27289" spans="1:6" x14ac:dyDescent="0.25">
      <c r="A27289" s="2" t="str">
        <f t="shared" si="965"/>
        <v>39060</v>
      </c>
      <c r="B27289" s="2" t="str">
        <f>"17981"</f>
        <v>17981</v>
      </c>
      <c r="C27289" s="1">
        <v>1.77645228215767E-2</v>
      </c>
      <c r="D27289" s="1">
        <v>2.4553132979768199E-2</v>
      </c>
      <c r="E27289" s="1">
        <v>4.9019607843137202E-3</v>
      </c>
      <c r="F27289" s="1">
        <v>1.7838760538420401E-2</v>
      </c>
    </row>
    <row r="27290" spans="1:6" x14ac:dyDescent="0.25">
      <c r="A27290" s="2" t="str">
        <f t="shared" si="965"/>
        <v>39060</v>
      </c>
      <c r="B27290" s="2" t="str">
        <f>"17970"</f>
        <v>17970</v>
      </c>
      <c r="C27290" s="1">
        <v>2.5890387275242E-2</v>
      </c>
      <c r="D27290" s="1">
        <v>2.3767432724415598E-2</v>
      </c>
      <c r="E27290" s="1">
        <v>4.1443850267379602E-2</v>
      </c>
      <c r="F27290" s="1">
        <v>2.6204344370170499E-2</v>
      </c>
    </row>
    <row r="27291" spans="1:6" x14ac:dyDescent="0.25">
      <c r="A27291" s="2" t="str">
        <f t="shared" si="965"/>
        <v>39060</v>
      </c>
      <c r="B27291" s="2" t="str">
        <f>"17954"</f>
        <v>17954</v>
      </c>
      <c r="C27291" s="1">
        <v>3.62206085753803E-2</v>
      </c>
      <c r="D27291" s="1">
        <v>3.9677862895305401E-2</v>
      </c>
      <c r="E27291" s="1">
        <v>5.7932263814616698E-2</v>
      </c>
      <c r="F27291" s="1">
        <v>3.7084815553209999E-2</v>
      </c>
    </row>
    <row r="27292" spans="1:6" x14ac:dyDescent="0.25">
      <c r="A27292" s="2" t="str">
        <f t="shared" si="965"/>
        <v>39060</v>
      </c>
      <c r="B27292" s="2" t="str">
        <f>"18241"</f>
        <v>18241</v>
      </c>
      <c r="C27292" s="1">
        <v>1.58483171968649E-3</v>
      </c>
      <c r="D27292" s="1">
        <v>9.8212531919072803E-4</v>
      </c>
      <c r="E27292" s="1">
        <v>0</v>
      </c>
      <c r="F27292" s="1">
        <v>1.49850800724496E-3</v>
      </c>
    </row>
    <row r="27293" spans="1:6" x14ac:dyDescent="0.25">
      <c r="A27293" s="2" t="str">
        <f t="shared" si="965"/>
        <v>39060</v>
      </c>
      <c r="B27293" s="2" t="str">
        <f>"17966"</f>
        <v>17966</v>
      </c>
      <c r="C27293" s="1">
        <v>0</v>
      </c>
      <c r="D27293" s="1">
        <v>1.9642506383814499E-4</v>
      </c>
      <c r="E27293" s="1">
        <v>0</v>
      </c>
      <c r="F27293" s="1">
        <v>1.30305044108257E-5</v>
      </c>
    </row>
    <row r="27294" spans="1:6" x14ac:dyDescent="0.25">
      <c r="A27294" s="2" t="str">
        <f t="shared" si="965"/>
        <v>39060</v>
      </c>
      <c r="B27294" s="2" t="str">
        <f>"17968"</f>
        <v>17968</v>
      </c>
      <c r="C27294" s="1">
        <v>1.8297602581834899E-3</v>
      </c>
      <c r="D27294" s="1">
        <v>5.8927519151443701E-4</v>
      </c>
      <c r="E27294" s="1">
        <v>0</v>
      </c>
      <c r="F27294" s="1">
        <v>1.69396557340734E-3</v>
      </c>
    </row>
    <row r="27295" spans="1:6" x14ac:dyDescent="0.25">
      <c r="A27295" s="2" t="str">
        <f t="shared" si="965"/>
        <v>39060</v>
      </c>
      <c r="B27295" s="2" t="str">
        <f>"17951"</f>
        <v>17951</v>
      </c>
      <c r="C27295" s="1">
        <v>4.0341171046565203E-4</v>
      </c>
      <c r="D27295" s="1">
        <v>0</v>
      </c>
      <c r="E27295" s="1">
        <v>4.4563279857397502E-4</v>
      </c>
      <c r="F27295" s="1">
        <v>3.7788462791394598E-4</v>
      </c>
    </row>
    <row r="27296" spans="1:6" x14ac:dyDescent="0.25">
      <c r="A27296" s="2" t="str">
        <f t="shared" si="965"/>
        <v>39060</v>
      </c>
      <c r="B27296" s="2" t="str">
        <f>"17983"</f>
        <v>17983</v>
      </c>
      <c r="C27296" s="1">
        <v>1.04166666666666E-2</v>
      </c>
      <c r="D27296" s="1">
        <v>4.1249263406010596E-3</v>
      </c>
      <c r="E27296" s="1">
        <v>5.7932263814616698E-3</v>
      </c>
      <c r="F27296" s="1">
        <v>9.8640918389950802E-3</v>
      </c>
    </row>
    <row r="27297" spans="1:6" x14ac:dyDescent="0.25">
      <c r="A27297" s="2" t="str">
        <f t="shared" si="965"/>
        <v>39060</v>
      </c>
      <c r="B27297" s="2" t="str">
        <f>"17980"</f>
        <v>17980</v>
      </c>
      <c r="C27297" s="1">
        <v>2.1827455048409401E-2</v>
      </c>
      <c r="D27297" s="1">
        <v>1.8463956000785701E-2</v>
      </c>
      <c r="E27297" s="1">
        <v>1.02495543672014E-2</v>
      </c>
      <c r="F27297" s="1">
        <v>2.12657831984676E-2</v>
      </c>
    </row>
    <row r="27298" spans="1:6" x14ac:dyDescent="0.25">
      <c r="A27298" s="2" t="str">
        <f t="shared" si="965"/>
        <v>39060</v>
      </c>
      <c r="B27298" s="2" t="str">
        <f>"17976"</f>
        <v>17976</v>
      </c>
      <c r="C27298" s="1">
        <v>5.83073997233748E-2</v>
      </c>
      <c r="D27298" s="1">
        <v>5.6177568257709601E-2</v>
      </c>
      <c r="E27298" s="1">
        <v>5.1693404634581101E-2</v>
      </c>
      <c r="F27298" s="1">
        <v>5.7972714123763702E-2</v>
      </c>
    </row>
    <row r="27299" spans="1:6" x14ac:dyDescent="0.25">
      <c r="A27299" s="2" t="str">
        <f t="shared" si="965"/>
        <v>39060</v>
      </c>
      <c r="B27299" s="2" t="str">
        <f>"17965"</f>
        <v>17965</v>
      </c>
      <c r="C27299" s="1">
        <v>1.51855693868142E-2</v>
      </c>
      <c r="D27299" s="1">
        <v>1.0803378511098E-2</v>
      </c>
      <c r="E27299" s="1">
        <v>2.18360071301247E-2</v>
      </c>
      <c r="F27299" s="1">
        <v>1.50893241077362E-2</v>
      </c>
    </row>
    <row r="27300" spans="1:6" x14ac:dyDescent="0.25">
      <c r="A27300" s="2" t="str">
        <f t="shared" si="965"/>
        <v>39060</v>
      </c>
      <c r="B27300" s="2" t="str">
        <f>"17938"</f>
        <v>17938</v>
      </c>
      <c r="C27300" s="1">
        <v>1.6194098662978301E-2</v>
      </c>
      <c r="D27300" s="1">
        <v>9.6248281280691406E-3</v>
      </c>
      <c r="E27300" s="1">
        <v>6.6844919786096203E-3</v>
      </c>
      <c r="F27300" s="1">
        <v>1.54802392400609E-2</v>
      </c>
    </row>
    <row r="27301" spans="1:6" x14ac:dyDescent="0.25">
      <c r="A27301" s="2" t="str">
        <f t="shared" si="965"/>
        <v>39060</v>
      </c>
      <c r="B27301" s="2" t="str">
        <f>"17935"</f>
        <v>17935</v>
      </c>
      <c r="C27301" s="1">
        <v>1.4883010603964899E-2</v>
      </c>
      <c r="D27301" s="1">
        <v>1.11962286387743E-2</v>
      </c>
      <c r="E27301" s="1">
        <v>1.6934046345810999E-2</v>
      </c>
      <c r="F27301" s="1">
        <v>1.4698408975411401E-2</v>
      </c>
    </row>
    <row r="27302" spans="1:6" x14ac:dyDescent="0.25">
      <c r="A27302" s="2" t="str">
        <f t="shared" si="965"/>
        <v>39060</v>
      </c>
      <c r="B27302" s="2" t="str">
        <f>"17901"</f>
        <v>17901</v>
      </c>
      <c r="C27302" s="1">
        <v>0.171738128169663</v>
      </c>
      <c r="D27302" s="1">
        <v>0.24690630524454901</v>
      </c>
      <c r="E27302" s="1">
        <v>0.28431372549019601</v>
      </c>
      <c r="F27302" s="1">
        <v>0.18001641843555699</v>
      </c>
    </row>
    <row r="27303" spans="1:6" x14ac:dyDescent="0.25">
      <c r="A27303" s="2" t="str">
        <f t="shared" si="965"/>
        <v>39060</v>
      </c>
      <c r="B27303" s="2" t="str">
        <f>"18245"</f>
        <v>18245</v>
      </c>
      <c r="C27303" s="1">
        <v>1.41194098662978E-3</v>
      </c>
      <c r="D27303" s="1">
        <v>1.9642506383814499E-4</v>
      </c>
      <c r="E27303" s="1">
        <v>0</v>
      </c>
      <c r="F27303" s="1">
        <v>1.2900199366717401E-3</v>
      </c>
    </row>
    <row r="27304" spans="1:6" x14ac:dyDescent="0.25">
      <c r="A27304" s="2" t="str">
        <f t="shared" si="965"/>
        <v>39060</v>
      </c>
      <c r="B27304" s="2" t="str">
        <f>"17982"</f>
        <v>17982</v>
      </c>
      <c r="C27304" s="1">
        <v>8.6445366528354001E-4</v>
      </c>
      <c r="D27304" s="1">
        <v>0</v>
      </c>
      <c r="E27304" s="1">
        <v>4.4563279857397502E-4</v>
      </c>
      <c r="F27304" s="1">
        <v>7.9486076906036996E-4</v>
      </c>
    </row>
    <row r="27305" spans="1:6" x14ac:dyDescent="0.25">
      <c r="A27305" s="2" t="str">
        <f t="shared" si="965"/>
        <v>39060</v>
      </c>
      <c r="B27305" s="2" t="str">
        <f>"17972"</f>
        <v>17972</v>
      </c>
      <c r="C27305" s="1">
        <v>7.8362724757952903E-2</v>
      </c>
      <c r="D27305" s="1">
        <v>8.4069927322726307E-2</v>
      </c>
      <c r="E27305" s="1">
        <v>7.7540106951871607E-2</v>
      </c>
      <c r="F27305" s="1">
        <v>7.8717277145798306E-2</v>
      </c>
    </row>
    <row r="27306" spans="1:6" x14ac:dyDescent="0.25">
      <c r="A27306" s="2" t="str">
        <f t="shared" si="965"/>
        <v>39060</v>
      </c>
      <c r="B27306" s="2" t="str">
        <f>"17967"</f>
        <v>17967</v>
      </c>
      <c r="C27306" s="1">
        <v>1.7519594283079701E-2</v>
      </c>
      <c r="D27306" s="1">
        <v>8.6427028088784108E-3</v>
      </c>
      <c r="E27306" s="1">
        <v>1.3368983957219201E-3</v>
      </c>
      <c r="F27306" s="1">
        <v>1.6457527070872901E-2</v>
      </c>
    </row>
    <row r="27307" spans="1:6" x14ac:dyDescent="0.25">
      <c r="A27307" s="2" t="str">
        <f t="shared" si="965"/>
        <v>39060</v>
      </c>
      <c r="B27307" s="2" t="str">
        <f>"17961"</f>
        <v>17961</v>
      </c>
      <c r="C27307" s="1">
        <v>4.3669317657906798E-2</v>
      </c>
      <c r="D27307" s="1">
        <v>5.75525437045767E-2</v>
      </c>
      <c r="E27307" s="1">
        <v>4.4563279857397498E-2</v>
      </c>
      <c r="F27307" s="1">
        <v>4.4616447102667302E-2</v>
      </c>
    </row>
    <row r="27308" spans="1:6" x14ac:dyDescent="0.25">
      <c r="A27308" s="2" t="str">
        <f t="shared" si="965"/>
        <v>39060</v>
      </c>
      <c r="B27308" s="2" t="str">
        <f>"17931"</f>
        <v>17931</v>
      </c>
      <c r="C27308" s="1">
        <v>3.9606385431074198E-2</v>
      </c>
      <c r="D27308" s="1">
        <v>6.8945197407189102E-2</v>
      </c>
      <c r="E27308" s="1">
        <v>4.1889483065953602E-2</v>
      </c>
      <c r="F27308" s="1">
        <v>4.1619431088177401E-2</v>
      </c>
    </row>
    <row r="27309" spans="1:6" x14ac:dyDescent="0.25">
      <c r="A27309" s="2" t="str">
        <f t="shared" si="965"/>
        <v>39060</v>
      </c>
      <c r="B27309" s="2" t="str">
        <f>"17922"</f>
        <v>17922</v>
      </c>
      <c r="C27309" s="1">
        <v>2.8743084370677699E-2</v>
      </c>
      <c r="D27309" s="1">
        <v>4.5177764682773503E-3</v>
      </c>
      <c r="E27309" s="1">
        <v>1.3368983957219201E-3</v>
      </c>
      <c r="F27309" s="1">
        <v>2.63346494142788E-2</v>
      </c>
    </row>
    <row r="27310" spans="1:6" x14ac:dyDescent="0.25">
      <c r="A27310" s="2" t="str">
        <f t="shared" si="965"/>
        <v>39060</v>
      </c>
      <c r="B27310" s="2" t="str">
        <f>"17925"</f>
        <v>17925</v>
      </c>
      <c r="C27310" s="1">
        <v>2.6942139234670298E-3</v>
      </c>
      <c r="D27310" s="1">
        <v>9.8212531919072803E-4</v>
      </c>
      <c r="E27310" s="1">
        <v>0</v>
      </c>
      <c r="F27310" s="1">
        <v>2.5018568468785402E-3</v>
      </c>
    </row>
    <row r="27311" spans="1:6" x14ac:dyDescent="0.25">
      <c r="A27311" s="2" t="str">
        <f t="shared" si="965"/>
        <v>39060</v>
      </c>
      <c r="B27311" s="2" t="str">
        <f>"17974"</f>
        <v>17974</v>
      </c>
      <c r="C27311" s="1">
        <v>8.5004610419548105E-4</v>
      </c>
      <c r="D27311" s="1">
        <v>0</v>
      </c>
      <c r="E27311" s="1">
        <v>0</v>
      </c>
      <c r="F27311" s="1">
        <v>7.6879976023871803E-4</v>
      </c>
    </row>
    <row r="27312" spans="1:6" x14ac:dyDescent="0.25">
      <c r="A27312" s="2" t="str">
        <f t="shared" si="965"/>
        <v>39060</v>
      </c>
      <c r="B27312" s="2" t="str">
        <f>"17960"</f>
        <v>17960</v>
      </c>
      <c r="C27312" s="1">
        <v>2.77633702166897E-2</v>
      </c>
      <c r="D27312" s="1">
        <v>1.64997053624042E-2</v>
      </c>
      <c r="E27312" s="1">
        <v>1.11408199643493E-2</v>
      </c>
      <c r="F27312" s="1">
        <v>2.6530106980441202E-2</v>
      </c>
    </row>
    <row r="27313" spans="1:6" x14ac:dyDescent="0.25">
      <c r="A27313" s="2" t="str">
        <f t="shared" si="965"/>
        <v>39060</v>
      </c>
      <c r="B27313" s="2" t="str">
        <f>"17959"</f>
        <v>17959</v>
      </c>
      <c r="C27313" s="1">
        <v>1.09785615491009E-2</v>
      </c>
      <c r="D27313" s="1">
        <v>5.4999017874680801E-3</v>
      </c>
      <c r="E27313" s="1">
        <v>7.5757575757575699E-3</v>
      </c>
      <c r="F27313" s="1">
        <v>1.0515617059536299E-2</v>
      </c>
    </row>
    <row r="27314" spans="1:6" x14ac:dyDescent="0.25">
      <c r="A27314" s="2" t="str">
        <f t="shared" si="965"/>
        <v>39060</v>
      </c>
      <c r="B27314" s="2" t="str">
        <f>"18240"</f>
        <v>18240</v>
      </c>
      <c r="C27314" s="1">
        <v>4.6536422314430604E-3</v>
      </c>
      <c r="D27314" s="1">
        <v>0</v>
      </c>
      <c r="E27314" s="1">
        <v>0</v>
      </c>
      <c r="F27314" s="1">
        <v>4.2088529246967097E-3</v>
      </c>
    </row>
    <row r="27315" spans="1:6" x14ac:dyDescent="0.25">
      <c r="A27315" s="2" t="str">
        <f t="shared" si="965"/>
        <v>39060</v>
      </c>
      <c r="B27315" s="2" t="str">
        <f>"18237"</f>
        <v>18237</v>
      </c>
      <c r="C27315" s="1">
        <v>2.63082065467957E-2</v>
      </c>
      <c r="D27315" s="1">
        <v>2.76959340011785E-2</v>
      </c>
      <c r="E27315" s="1">
        <v>3.07486631016042E-2</v>
      </c>
      <c r="F27315" s="1">
        <v>2.6530106980441202E-2</v>
      </c>
    </row>
    <row r="27316" spans="1:6" x14ac:dyDescent="0.25">
      <c r="A27316" s="2" t="str">
        <f t="shared" si="965"/>
        <v>39060</v>
      </c>
      <c r="B27316" s="2" t="str">
        <f>"18202"</f>
        <v>18202</v>
      </c>
      <c r="C27316" s="1">
        <v>4.4663439372982904E-3</v>
      </c>
      <c r="D27316" s="1">
        <v>3.9285012767629104E-3</v>
      </c>
      <c r="E27316" s="1">
        <v>4.4563279857397498E-3</v>
      </c>
      <c r="F27316" s="1">
        <v>4.4303714996807497E-3</v>
      </c>
    </row>
    <row r="27317" spans="1:6" x14ac:dyDescent="0.25">
      <c r="A27317" s="2" t="str">
        <f t="shared" si="965"/>
        <v>39060</v>
      </c>
      <c r="B27317" s="2" t="str">
        <f>"17979"</f>
        <v>17979</v>
      </c>
      <c r="C27317" s="1">
        <v>1.4407561088058999E-5</v>
      </c>
      <c r="D27317" s="1">
        <v>0</v>
      </c>
      <c r="E27317" s="1">
        <v>4.4563279857397502E-4</v>
      </c>
      <c r="F27317" s="1">
        <v>2.60610088216514E-5</v>
      </c>
    </row>
    <row r="27318" spans="1:6" x14ac:dyDescent="0.25">
      <c r="A27318" s="2" t="str">
        <f t="shared" ref="A27318:A27346" si="966">"39060"</f>
        <v>39060</v>
      </c>
      <c r="B27318" s="2" t="str">
        <f>"17929"</f>
        <v>17929</v>
      </c>
      <c r="C27318" s="1">
        <v>1.07768556938681E-2</v>
      </c>
      <c r="D27318" s="1">
        <v>1.17855038302887E-2</v>
      </c>
      <c r="E27318" s="1">
        <v>6.6844919786096203E-3</v>
      </c>
      <c r="F27318" s="1">
        <v>1.0724105130109501E-2</v>
      </c>
    </row>
    <row r="27319" spans="1:6" x14ac:dyDescent="0.25">
      <c r="A27319" s="2" t="str">
        <f t="shared" si="966"/>
        <v>39060</v>
      </c>
      <c r="B27319" s="2" t="str">
        <f>"17823"</f>
        <v>17823</v>
      </c>
      <c r="C27319" s="1">
        <v>1.4407561088058999E-5</v>
      </c>
      <c r="D27319" s="1">
        <v>0</v>
      </c>
      <c r="E27319" s="1">
        <v>0</v>
      </c>
      <c r="F27319" s="1">
        <v>1.30305044108257E-5</v>
      </c>
    </row>
    <row r="27320" spans="1:6" x14ac:dyDescent="0.25">
      <c r="A27320" s="2" t="str">
        <f t="shared" si="966"/>
        <v>39060</v>
      </c>
      <c r="B27320" s="2" t="str">
        <f>"18248"</f>
        <v>18248</v>
      </c>
      <c r="C27320" s="1">
        <v>1.4407561088058999E-5</v>
      </c>
      <c r="D27320" s="1">
        <v>1.9642506383814499E-4</v>
      </c>
      <c r="E27320" s="1">
        <v>0</v>
      </c>
      <c r="F27320" s="1">
        <v>2.60610088216514E-5</v>
      </c>
    </row>
    <row r="27321" spans="1:6" x14ac:dyDescent="0.25">
      <c r="A27321" s="2" t="str">
        <f t="shared" si="966"/>
        <v>39060</v>
      </c>
      <c r="B27321" s="2" t="str">
        <f>"18242"</f>
        <v>18242</v>
      </c>
      <c r="C27321" s="1">
        <v>0</v>
      </c>
      <c r="D27321" s="1">
        <v>1.9642506383814499E-4</v>
      </c>
      <c r="E27321" s="1">
        <v>0</v>
      </c>
      <c r="F27321" s="1">
        <v>1.30305044108257E-5</v>
      </c>
    </row>
    <row r="27322" spans="1:6" x14ac:dyDescent="0.25">
      <c r="A27322" s="2" t="str">
        <f t="shared" si="966"/>
        <v>39060</v>
      </c>
      <c r="B27322" s="2" t="str">
        <f>"17930"</f>
        <v>17930</v>
      </c>
      <c r="C27322" s="1">
        <v>1.1814200092208299E-3</v>
      </c>
      <c r="D27322" s="1">
        <v>1.9642506383814499E-4</v>
      </c>
      <c r="E27322" s="1">
        <v>4.4563279857397502E-4</v>
      </c>
      <c r="F27322" s="1">
        <v>1.0945623705093601E-3</v>
      </c>
    </row>
    <row r="27323" spans="1:6" x14ac:dyDescent="0.25">
      <c r="A27323" s="2" t="str">
        <f t="shared" si="966"/>
        <v>39060</v>
      </c>
      <c r="B27323" s="2" t="str">
        <f>"17953"</f>
        <v>17953</v>
      </c>
      <c r="C27323" s="1">
        <v>1.15260488704472E-3</v>
      </c>
      <c r="D27323" s="1">
        <v>1.9642506383814499E-4</v>
      </c>
      <c r="E27323" s="1">
        <v>4.4563279857397502E-4</v>
      </c>
      <c r="F27323" s="1">
        <v>1.0685013616877101E-3</v>
      </c>
    </row>
    <row r="27324" spans="1:6" x14ac:dyDescent="0.25">
      <c r="A27324" s="2" t="str">
        <f t="shared" si="966"/>
        <v>39060</v>
      </c>
      <c r="B27324" s="2" t="str">
        <f>"17945"</f>
        <v>17945</v>
      </c>
      <c r="C27324" s="1">
        <v>4.0341171046565203E-4</v>
      </c>
      <c r="D27324" s="1">
        <v>0</v>
      </c>
      <c r="E27324" s="1">
        <v>4.4563279857397502E-4</v>
      </c>
      <c r="F27324" s="1">
        <v>3.7788462791394598E-4</v>
      </c>
    </row>
    <row r="27325" spans="1:6" x14ac:dyDescent="0.25">
      <c r="A27325" s="2" t="str">
        <f t="shared" si="966"/>
        <v>39060</v>
      </c>
      <c r="B27325" s="2" t="str">
        <f>"17944"</f>
        <v>17944</v>
      </c>
      <c r="C27325" s="1">
        <v>0</v>
      </c>
      <c r="D27325" s="1">
        <v>0</v>
      </c>
      <c r="E27325" s="1">
        <v>4.4563279857397502E-4</v>
      </c>
      <c r="F27325" s="1">
        <v>1.30305044108257E-5</v>
      </c>
    </row>
    <row r="27326" spans="1:6" x14ac:dyDescent="0.25">
      <c r="A27326" s="2" t="str">
        <f t="shared" si="966"/>
        <v>39060</v>
      </c>
      <c r="B27326" s="2" t="str">
        <f>"17949"</f>
        <v>17949</v>
      </c>
      <c r="C27326" s="1">
        <v>2.3196173351774999E-3</v>
      </c>
      <c r="D27326" s="1">
        <v>5.8927519151443701E-4</v>
      </c>
      <c r="E27326" s="1">
        <v>4.4563279857397502E-4</v>
      </c>
      <c r="F27326" s="1">
        <v>2.1500332277862399E-3</v>
      </c>
    </row>
    <row r="27327" spans="1:6" x14ac:dyDescent="0.25">
      <c r="A27327" s="2" t="str">
        <f t="shared" si="966"/>
        <v>39060</v>
      </c>
      <c r="B27327" s="2" t="str">
        <f>"17964"</f>
        <v>17964</v>
      </c>
      <c r="C27327" s="1">
        <v>4.4231212540341101E-3</v>
      </c>
      <c r="D27327" s="1">
        <v>1.5714005107051599E-3</v>
      </c>
      <c r="E27327" s="1">
        <v>1.3368983957219201E-3</v>
      </c>
      <c r="F27327" s="1">
        <v>4.14370040264258E-3</v>
      </c>
    </row>
    <row r="27328" spans="1:6" x14ac:dyDescent="0.25">
      <c r="A27328" s="2" t="str">
        <f t="shared" si="966"/>
        <v>39060</v>
      </c>
      <c r="B27328" s="2" t="str">
        <f>"17963"</f>
        <v>17963</v>
      </c>
      <c r="C27328" s="1">
        <v>5.9676118026740402E-2</v>
      </c>
      <c r="D27328" s="1">
        <v>4.3999214299744599E-2</v>
      </c>
      <c r="E27328" s="1">
        <v>6.1051693404634497E-2</v>
      </c>
      <c r="F27328" s="1">
        <v>5.8676361361948301E-2</v>
      </c>
    </row>
    <row r="27329" spans="1:6" x14ac:dyDescent="0.25">
      <c r="A27329" s="2" t="str">
        <f t="shared" si="966"/>
        <v>39060</v>
      </c>
      <c r="B27329" s="2" t="str">
        <f>"19549"</f>
        <v>19549</v>
      </c>
      <c r="C27329" s="1">
        <v>1.4407561088058999E-5</v>
      </c>
      <c r="D27329" s="1">
        <v>1.9642506383814499E-4</v>
      </c>
      <c r="E27329" s="1">
        <v>4.4563279857397502E-4</v>
      </c>
      <c r="F27329" s="1">
        <v>3.9091513232477197E-5</v>
      </c>
    </row>
    <row r="27330" spans="1:6" x14ac:dyDescent="0.25">
      <c r="A27330" s="2" t="str">
        <f t="shared" si="966"/>
        <v>39060</v>
      </c>
      <c r="B27330" s="2" t="str">
        <f>"18252"</f>
        <v>18252</v>
      </c>
      <c r="C27330" s="1">
        <v>7.99331489165514E-2</v>
      </c>
      <c r="D27330" s="1">
        <v>9.7033981536043895E-2</v>
      </c>
      <c r="E27330" s="1">
        <v>0.10739750445632699</v>
      </c>
      <c r="F27330" s="1">
        <v>8.1870659213218094E-2</v>
      </c>
    </row>
    <row r="27331" spans="1:6" x14ac:dyDescent="0.25">
      <c r="A27331" s="2" t="str">
        <f t="shared" si="966"/>
        <v>39060</v>
      </c>
      <c r="B27331" s="2" t="str">
        <f>"18214"</f>
        <v>18214</v>
      </c>
      <c r="C27331" s="1">
        <v>1.46380820654679E-2</v>
      </c>
      <c r="D27331" s="1">
        <v>5.1070516597917798E-3</v>
      </c>
      <c r="E27331" s="1">
        <v>3.5650623885918001E-3</v>
      </c>
      <c r="F27331" s="1">
        <v>1.3682029631367E-2</v>
      </c>
    </row>
    <row r="27332" spans="1:6" x14ac:dyDescent="0.25">
      <c r="A27332" s="2" t="str">
        <f t="shared" si="966"/>
        <v>39060</v>
      </c>
      <c r="B27332" s="2" t="str">
        <f>"17936"</f>
        <v>17936</v>
      </c>
      <c r="C27332" s="1">
        <v>1.4407561088058999E-5</v>
      </c>
      <c r="D27332" s="1">
        <v>0</v>
      </c>
      <c r="E27332" s="1">
        <v>4.4563279857397502E-4</v>
      </c>
      <c r="F27332" s="1">
        <v>2.60610088216514E-5</v>
      </c>
    </row>
    <row r="27333" spans="1:6" x14ac:dyDescent="0.25">
      <c r="A27333" s="2" t="str">
        <f t="shared" si="966"/>
        <v>39060</v>
      </c>
      <c r="B27333" s="2" t="str">
        <f>"17934"</f>
        <v>17934</v>
      </c>
      <c r="C27333" s="1">
        <v>3.4145919778699801E-3</v>
      </c>
      <c r="D27333" s="1">
        <v>1.37497544686702E-3</v>
      </c>
      <c r="E27333" s="1">
        <v>4.4563279857397502E-4</v>
      </c>
      <c r="F27333" s="1">
        <v>3.1924735806523E-3</v>
      </c>
    </row>
    <row r="27334" spans="1:6" x14ac:dyDescent="0.25">
      <c r="A27334" s="2" t="str">
        <f t="shared" si="966"/>
        <v>39060</v>
      </c>
      <c r="B27334" s="2" t="str">
        <f>"17923"</f>
        <v>17923</v>
      </c>
      <c r="C27334" s="1">
        <v>2.8815122176117999E-5</v>
      </c>
      <c r="D27334" s="1">
        <v>1.9642506383814499E-4</v>
      </c>
      <c r="E27334" s="1">
        <v>0</v>
      </c>
      <c r="F27334" s="1">
        <v>3.9091513232477197E-5</v>
      </c>
    </row>
    <row r="27335" spans="1:6" x14ac:dyDescent="0.25">
      <c r="A27335" s="2" t="str">
        <f t="shared" si="966"/>
        <v>39060</v>
      </c>
      <c r="B27335" s="2" t="str">
        <f>"17946"</f>
        <v>17946</v>
      </c>
      <c r="C27335" s="1">
        <v>1.4407561088058999E-5</v>
      </c>
      <c r="D27335" s="1">
        <v>0</v>
      </c>
      <c r="E27335" s="1">
        <v>4.4563279857397502E-4</v>
      </c>
      <c r="F27335" s="1">
        <v>2.60610088216514E-5</v>
      </c>
    </row>
    <row r="27336" spans="1:6" x14ac:dyDescent="0.25">
      <c r="A27336" s="2" t="str">
        <f t="shared" si="966"/>
        <v>39060</v>
      </c>
      <c r="B27336" s="2" t="str">
        <f>"17943"</f>
        <v>17943</v>
      </c>
      <c r="C27336" s="1">
        <v>8.6445366528354003E-5</v>
      </c>
      <c r="D27336" s="1">
        <v>0</v>
      </c>
      <c r="E27336" s="1">
        <v>4.4563279857397502E-4</v>
      </c>
      <c r="F27336" s="1">
        <v>9.1213530875780194E-5</v>
      </c>
    </row>
    <row r="27337" spans="1:6" x14ac:dyDescent="0.25">
      <c r="A27337" s="2" t="str">
        <f t="shared" si="966"/>
        <v>39060</v>
      </c>
      <c r="B27337" s="2" t="str">
        <f>"17948"</f>
        <v>17948</v>
      </c>
      <c r="C27337" s="1">
        <v>4.3871023513139602E-2</v>
      </c>
      <c r="D27337" s="1">
        <v>4.0267138086819802E-2</v>
      </c>
      <c r="E27337" s="1">
        <v>2.0053475935828801E-2</v>
      </c>
      <c r="F27337" s="1">
        <v>4.2935512033670797E-2</v>
      </c>
    </row>
    <row r="27338" spans="1:6" x14ac:dyDescent="0.25">
      <c r="A27338" s="2" t="str">
        <f t="shared" si="966"/>
        <v>39060</v>
      </c>
      <c r="B27338" s="2" t="str">
        <f>"17941"</f>
        <v>17941</v>
      </c>
      <c r="C27338" s="1">
        <v>4.2358229598893401E-3</v>
      </c>
      <c r="D27338" s="1">
        <v>4.3213514044392002E-3</v>
      </c>
      <c r="E27338" s="1">
        <v>2.6737967914438501E-3</v>
      </c>
      <c r="F27338" s="1">
        <v>4.19582242028588E-3</v>
      </c>
    </row>
    <row r="27339" spans="1:6" x14ac:dyDescent="0.25">
      <c r="A27339" s="2" t="str">
        <f t="shared" si="966"/>
        <v>39060</v>
      </c>
      <c r="B27339" s="2" t="str">
        <f>"18211"</f>
        <v>18211</v>
      </c>
      <c r="C27339" s="1">
        <v>8.5724988473951103E-3</v>
      </c>
      <c r="D27339" s="1">
        <v>4.3213514044392002E-3</v>
      </c>
      <c r="E27339" s="1">
        <v>1.7825311942959001E-3</v>
      </c>
      <c r="F27339" s="1">
        <v>8.0919432391227796E-3</v>
      </c>
    </row>
    <row r="27340" spans="1:6" x14ac:dyDescent="0.25">
      <c r="A27340" s="2" t="str">
        <f t="shared" si="966"/>
        <v>39060</v>
      </c>
      <c r="B27340" s="2" t="str">
        <f>"17957"</f>
        <v>17957</v>
      </c>
      <c r="C27340" s="1">
        <v>2.2763946519133199E-3</v>
      </c>
      <c r="D27340" s="1">
        <v>1.1785503830288699E-3</v>
      </c>
      <c r="E27340" s="1">
        <v>0</v>
      </c>
      <c r="F27340" s="1">
        <v>2.1370027233754202E-3</v>
      </c>
    </row>
    <row r="27341" spans="1:6" x14ac:dyDescent="0.25">
      <c r="A27341" s="2" t="str">
        <f t="shared" si="966"/>
        <v>39060</v>
      </c>
      <c r="B27341" s="2" t="str">
        <f>"17978"</f>
        <v>17978</v>
      </c>
      <c r="C27341" s="1">
        <v>1.5848317196864899E-4</v>
      </c>
      <c r="D27341" s="1">
        <v>3.9285012767629102E-4</v>
      </c>
      <c r="E27341" s="1">
        <v>0</v>
      </c>
      <c r="F27341" s="1">
        <v>1.6939655734073399E-4</v>
      </c>
    </row>
    <row r="27342" spans="1:6" x14ac:dyDescent="0.25">
      <c r="A27342" s="2" t="str">
        <f t="shared" si="966"/>
        <v>39060</v>
      </c>
      <c r="B27342" s="2" t="str">
        <f>"17933"</f>
        <v>17933</v>
      </c>
      <c r="C27342" s="1">
        <v>0</v>
      </c>
      <c r="D27342" s="1">
        <v>1.9642506383814499E-4</v>
      </c>
      <c r="E27342" s="1">
        <v>4.4563279857397502E-4</v>
      </c>
      <c r="F27342" s="1">
        <v>2.60610088216514E-5</v>
      </c>
    </row>
    <row r="27343" spans="1:6" x14ac:dyDescent="0.25">
      <c r="A27343" s="2" t="str">
        <f t="shared" si="966"/>
        <v>39060</v>
      </c>
      <c r="B27343" s="2" t="str">
        <f>"17932"</f>
        <v>17932</v>
      </c>
      <c r="C27343" s="1">
        <v>0</v>
      </c>
      <c r="D27343" s="1">
        <v>1.9642506383814499E-4</v>
      </c>
      <c r="E27343" s="1">
        <v>4.4563279857397502E-4</v>
      </c>
      <c r="F27343" s="1">
        <v>2.60610088216514E-5</v>
      </c>
    </row>
    <row r="27344" spans="1:6" x14ac:dyDescent="0.25">
      <c r="A27344" s="2" t="str">
        <f t="shared" si="966"/>
        <v>39060</v>
      </c>
      <c r="B27344" s="2" t="str">
        <f>"17952"</f>
        <v>17952</v>
      </c>
      <c r="C27344" s="1">
        <v>1.9450207468879599E-3</v>
      </c>
      <c r="D27344" s="1">
        <v>0</v>
      </c>
      <c r="E27344" s="1">
        <v>4.4563279857397502E-4</v>
      </c>
      <c r="F27344" s="1">
        <v>1.7721485998722999E-3</v>
      </c>
    </row>
    <row r="27345" spans="1:6" x14ac:dyDescent="0.25">
      <c r="A27345" s="2" t="str">
        <f t="shared" si="966"/>
        <v>39060</v>
      </c>
      <c r="B27345" s="2" t="str">
        <f>"17985"</f>
        <v>17985</v>
      </c>
      <c r="C27345" s="1">
        <v>8.22671738128169E-3</v>
      </c>
      <c r="D27345" s="1">
        <v>1.7678255745433101E-3</v>
      </c>
      <c r="E27345" s="1">
        <v>4.4563279857397502E-4</v>
      </c>
      <c r="F27345" s="1">
        <v>7.5707230626897498E-3</v>
      </c>
    </row>
    <row r="27346" spans="1:6" x14ac:dyDescent="0.25">
      <c r="A27346" s="2" t="str">
        <f t="shared" si="966"/>
        <v>39060</v>
      </c>
      <c r="B27346" s="2" t="str">
        <f>"17921"</f>
        <v>17921</v>
      </c>
      <c r="C27346" s="1">
        <v>5.1190064545873597E-2</v>
      </c>
      <c r="D27346" s="1">
        <v>4.3999214299744599E-2</v>
      </c>
      <c r="E27346" s="1">
        <v>4.9019607843137199E-2</v>
      </c>
      <c r="F27346" s="1">
        <v>5.0649570644879599E-2</v>
      </c>
    </row>
    <row r="27347" spans="1:6" x14ac:dyDescent="0.25">
      <c r="A27347" s="2" t="str">
        <f t="shared" ref="A27347:A27365" si="967">"31380"</f>
        <v>31380</v>
      </c>
      <c r="B27347" s="2" t="str">
        <f>"61452"</f>
        <v>61452</v>
      </c>
      <c r="C27347" s="1">
        <v>3.9103232533889399E-4</v>
      </c>
      <c r="D27347" s="1">
        <v>0</v>
      </c>
      <c r="E27347" s="1">
        <v>0</v>
      </c>
      <c r="F27347" s="1">
        <v>3.3963545794180901E-4</v>
      </c>
    </row>
    <row r="27348" spans="1:6" x14ac:dyDescent="0.25">
      <c r="A27348" s="2" t="str">
        <f t="shared" si="967"/>
        <v>31380</v>
      </c>
      <c r="B27348" s="2" t="str">
        <f>"61420"</f>
        <v>61420</v>
      </c>
      <c r="C27348" s="1">
        <v>3.70828988529718E-2</v>
      </c>
      <c r="D27348" s="1">
        <v>1.09976433621366E-2</v>
      </c>
      <c r="E27348" s="1">
        <v>5.7197330791229697E-3</v>
      </c>
      <c r="F27348" s="1">
        <v>3.3340880787954198E-2</v>
      </c>
    </row>
    <row r="27349" spans="1:6" x14ac:dyDescent="0.25">
      <c r="A27349" s="2" t="str">
        <f t="shared" si="967"/>
        <v>31380</v>
      </c>
      <c r="B27349" s="2" t="str">
        <f>"62374"</f>
        <v>62374</v>
      </c>
      <c r="C27349" s="1">
        <v>5.86548488008342E-3</v>
      </c>
      <c r="D27349" s="1">
        <v>5.4988216810683398E-3</v>
      </c>
      <c r="E27349" s="1">
        <v>1.9065776930409901E-3</v>
      </c>
      <c r="F27349" s="1">
        <v>5.6039850560398504E-3</v>
      </c>
    </row>
    <row r="27350" spans="1:6" x14ac:dyDescent="0.25">
      <c r="A27350" s="2" t="str">
        <f t="shared" si="967"/>
        <v>31380</v>
      </c>
      <c r="B27350" s="2" t="str">
        <f>"62326"</f>
        <v>62326</v>
      </c>
      <c r="C27350" s="1">
        <v>8.5310218978102106E-2</v>
      </c>
      <c r="D27350" s="1">
        <v>3.9277297721916703E-2</v>
      </c>
      <c r="E27350" s="1">
        <v>1.52526215443279E-2</v>
      </c>
      <c r="F27350" s="1">
        <v>7.7833125778331194E-2</v>
      </c>
    </row>
    <row r="27351" spans="1:6" x14ac:dyDescent="0.25">
      <c r="A27351" s="2" t="str">
        <f t="shared" si="967"/>
        <v>31380</v>
      </c>
      <c r="B27351" s="2" t="str">
        <f>"61438"</f>
        <v>61438</v>
      </c>
      <c r="C27351" s="1">
        <v>2.34619395203336E-2</v>
      </c>
      <c r="D27351" s="1">
        <v>4.7132757266300004E-3</v>
      </c>
      <c r="E27351" s="1">
        <v>5.7197330791229697E-3</v>
      </c>
      <c r="F27351" s="1">
        <v>2.1057398392392099E-2</v>
      </c>
    </row>
    <row r="27352" spans="1:6" x14ac:dyDescent="0.25">
      <c r="A27352" s="2" t="str">
        <f t="shared" si="967"/>
        <v>31380</v>
      </c>
      <c r="B27352" s="2" t="str">
        <f>"61484"</f>
        <v>61484</v>
      </c>
      <c r="C27352" s="1">
        <v>2.6068821689259601E-3</v>
      </c>
      <c r="D27352" s="1">
        <v>7.8554595443833405E-4</v>
      </c>
      <c r="E27352" s="1">
        <v>0</v>
      </c>
      <c r="F27352" s="1">
        <v>2.3208422959356901E-3</v>
      </c>
    </row>
    <row r="27353" spans="1:6" x14ac:dyDescent="0.25">
      <c r="A27353" s="2" t="str">
        <f t="shared" si="967"/>
        <v>31380</v>
      </c>
      <c r="B27353" s="2" t="str">
        <f>"61415"</f>
        <v>61415</v>
      </c>
      <c r="C27353" s="1">
        <v>3.2586027111574501E-4</v>
      </c>
      <c r="D27353" s="1">
        <v>0</v>
      </c>
      <c r="E27353" s="1">
        <v>0</v>
      </c>
      <c r="F27353" s="1">
        <v>2.8302954828484002E-4</v>
      </c>
    </row>
    <row r="27354" spans="1:6" x14ac:dyDescent="0.25">
      <c r="A27354" s="2" t="str">
        <f t="shared" si="967"/>
        <v>31380</v>
      </c>
      <c r="B27354" s="2" t="str">
        <f>"61422"</f>
        <v>61422</v>
      </c>
      <c r="C27354" s="1">
        <v>0.11352971845672501</v>
      </c>
      <c r="D27354" s="1">
        <v>0.14846818538884499</v>
      </c>
      <c r="E27354" s="1">
        <v>3.9084842707340299E-2</v>
      </c>
      <c r="F27354" s="1">
        <v>0.111626853843541</v>
      </c>
    </row>
    <row r="27355" spans="1:6" x14ac:dyDescent="0.25">
      <c r="A27355" s="2" t="str">
        <f t="shared" si="967"/>
        <v>31380</v>
      </c>
      <c r="B27355" s="2" t="str">
        <f>"61411"</f>
        <v>61411</v>
      </c>
      <c r="C27355" s="1">
        <v>1.30344108446298E-2</v>
      </c>
      <c r="D27355" s="1">
        <v>1.3354281225451599E-2</v>
      </c>
      <c r="E27355" s="1">
        <v>9.5328884652049503E-4</v>
      </c>
      <c r="F27355" s="1">
        <v>1.2340088305219E-2</v>
      </c>
    </row>
    <row r="27356" spans="1:6" x14ac:dyDescent="0.25">
      <c r="A27356" s="2" t="str">
        <f t="shared" si="967"/>
        <v>31380</v>
      </c>
      <c r="B27356" s="2" t="str">
        <f>"62367"</f>
        <v>62367</v>
      </c>
      <c r="C27356" s="1">
        <v>1.2252346193951999E-2</v>
      </c>
      <c r="D27356" s="1">
        <v>7.8554595443833392E-3</v>
      </c>
      <c r="E27356" s="1">
        <v>0</v>
      </c>
      <c r="F27356" s="1">
        <v>1.1207970112079701E-2</v>
      </c>
    </row>
    <row r="27357" spans="1:6" x14ac:dyDescent="0.25">
      <c r="A27357" s="2" t="str">
        <f t="shared" si="967"/>
        <v>31380</v>
      </c>
      <c r="B27357" s="2" t="str">
        <f>"61475"</f>
        <v>61475</v>
      </c>
      <c r="C27357" s="1">
        <v>6.7778936392075004E-3</v>
      </c>
      <c r="D27357" s="1">
        <v>9.4265514532600094E-3</v>
      </c>
      <c r="E27357" s="1">
        <v>9.5328884652049503E-4</v>
      </c>
      <c r="F27357" s="1">
        <v>6.6228914298652698E-3</v>
      </c>
    </row>
    <row r="27358" spans="1:6" x14ac:dyDescent="0.25">
      <c r="A27358" s="2" t="str">
        <f t="shared" si="967"/>
        <v>31380</v>
      </c>
      <c r="B27358" s="2" t="str">
        <f>"61455"</f>
        <v>61455</v>
      </c>
      <c r="C27358" s="1">
        <v>0.63594890510948898</v>
      </c>
      <c r="D27358" s="1">
        <v>0.74155538098978702</v>
      </c>
      <c r="E27358" s="1">
        <v>0.91992373689227802</v>
      </c>
      <c r="F27358" s="1">
        <v>0.66042114796784701</v>
      </c>
    </row>
    <row r="27359" spans="1:6" x14ac:dyDescent="0.25">
      <c r="A27359" s="2" t="str">
        <f t="shared" si="967"/>
        <v>31380</v>
      </c>
      <c r="B27359" s="2" t="str">
        <f>"61459"</f>
        <v>61459</v>
      </c>
      <c r="C27359" s="1">
        <v>2.6068821689259601E-3</v>
      </c>
      <c r="D27359" s="1">
        <v>2.3566378633150002E-3</v>
      </c>
      <c r="E27359" s="1">
        <v>0</v>
      </c>
      <c r="F27359" s="1">
        <v>2.4340541152496299E-3</v>
      </c>
    </row>
    <row r="27360" spans="1:6" x14ac:dyDescent="0.25">
      <c r="A27360" s="2" t="str">
        <f t="shared" si="967"/>
        <v>31380</v>
      </c>
      <c r="B27360" s="2" t="str">
        <f>"61482"</f>
        <v>61482</v>
      </c>
      <c r="C27360" s="1">
        <v>1.62930135557872E-3</v>
      </c>
      <c r="D27360" s="1">
        <v>7.8554595443833405E-4</v>
      </c>
      <c r="E27360" s="1">
        <v>0</v>
      </c>
      <c r="F27360" s="1">
        <v>1.47175365108117E-3</v>
      </c>
    </row>
    <row r="27361" spans="1:6" x14ac:dyDescent="0.25">
      <c r="A27361" s="2" t="str">
        <f t="shared" si="967"/>
        <v>31380</v>
      </c>
      <c r="B27361" s="2" t="str">
        <f>"61470"</f>
        <v>61470</v>
      </c>
      <c r="C27361" s="1">
        <v>1.7596454640250201E-2</v>
      </c>
      <c r="D27361" s="1">
        <v>5.4988216810683398E-3</v>
      </c>
      <c r="E27361" s="1">
        <v>0</v>
      </c>
      <c r="F27361" s="1">
        <v>1.5679836974980099E-2</v>
      </c>
    </row>
    <row r="27362" spans="1:6" x14ac:dyDescent="0.25">
      <c r="A27362" s="2" t="str">
        <f t="shared" si="967"/>
        <v>31380</v>
      </c>
      <c r="B27362" s="2" t="str">
        <f>"61416"</f>
        <v>61416</v>
      </c>
      <c r="C27362" s="1">
        <v>9.3196037539103205E-3</v>
      </c>
      <c r="D27362" s="1">
        <v>1.5710919088766601E-3</v>
      </c>
      <c r="E27362" s="1">
        <v>6.6730219256434598E-3</v>
      </c>
      <c r="F27362" s="1">
        <v>8.6040982678591595E-3</v>
      </c>
    </row>
    <row r="27363" spans="1:6" x14ac:dyDescent="0.25">
      <c r="A27363" s="2" t="str">
        <f t="shared" si="967"/>
        <v>31380</v>
      </c>
      <c r="B27363" s="2" t="str">
        <f>"61473"</f>
        <v>61473</v>
      </c>
      <c r="C27363" s="1">
        <v>6.5172054223149102E-5</v>
      </c>
      <c r="D27363" s="1">
        <v>0</v>
      </c>
      <c r="E27363" s="1">
        <v>0</v>
      </c>
      <c r="F27363" s="1">
        <v>5.6605909656968103E-5</v>
      </c>
    </row>
    <row r="27364" spans="1:6" x14ac:dyDescent="0.25">
      <c r="A27364" s="2" t="str">
        <f t="shared" si="967"/>
        <v>31380</v>
      </c>
      <c r="B27364" s="2" t="str">
        <f>"61450"</f>
        <v>61450</v>
      </c>
      <c r="C27364" s="1">
        <v>4.5620437956204302E-4</v>
      </c>
      <c r="D27364" s="1">
        <v>0</v>
      </c>
      <c r="E27364" s="1">
        <v>0</v>
      </c>
      <c r="F27364" s="1">
        <v>3.9624136759877702E-4</v>
      </c>
    </row>
    <row r="27365" spans="1:6" x14ac:dyDescent="0.25">
      <c r="A27365" s="2" t="str">
        <f t="shared" si="967"/>
        <v>31380</v>
      </c>
      <c r="B27365" s="2" t="str">
        <f>"61440"</f>
        <v>61440</v>
      </c>
      <c r="C27365" s="1">
        <v>3.17387904066736E-2</v>
      </c>
      <c r="D27365" s="1">
        <v>7.8554595443833392E-3</v>
      </c>
      <c r="E27365" s="1">
        <v>3.8131553860819801E-3</v>
      </c>
      <c r="F27365" s="1">
        <v>2.8359560738140999E-2</v>
      </c>
    </row>
    <row r="27366" spans="1:6" x14ac:dyDescent="0.25">
      <c r="A27366" s="2" t="str">
        <f t="shared" ref="A27366:A27382" si="968">"25300"</f>
        <v>25300</v>
      </c>
      <c r="B27366" s="2" t="str">
        <f>"63456"</f>
        <v>63456</v>
      </c>
      <c r="C27366" s="1">
        <v>5.4230271668822702E-2</v>
      </c>
      <c r="D27366" s="1">
        <v>4.52442159383033E-2</v>
      </c>
      <c r="E27366" s="1">
        <v>5.95533498759305E-2</v>
      </c>
      <c r="F27366" s="1">
        <v>5.3522816407511602E-2</v>
      </c>
    </row>
    <row r="27367" spans="1:6" x14ac:dyDescent="0.25">
      <c r="A27367" s="2" t="str">
        <f t="shared" si="968"/>
        <v>25300</v>
      </c>
      <c r="B27367" s="2" t="str">
        <f>"63438"</f>
        <v>63438</v>
      </c>
      <c r="C27367" s="1">
        <v>2.6390685640362201E-3</v>
      </c>
      <c r="D27367" s="1">
        <v>0</v>
      </c>
      <c r="E27367" s="1">
        <v>0</v>
      </c>
      <c r="F27367" s="1">
        <v>2.3531583075716302E-3</v>
      </c>
    </row>
    <row r="27368" spans="1:6" x14ac:dyDescent="0.25">
      <c r="A27368" s="2" t="str">
        <f t="shared" si="968"/>
        <v>25300</v>
      </c>
      <c r="B27368" s="2" t="str">
        <f>"63382"</f>
        <v>63382</v>
      </c>
      <c r="C27368" s="1">
        <v>6.10608020698576E-3</v>
      </c>
      <c r="D27368" s="1">
        <v>1.02827763496143E-3</v>
      </c>
      <c r="E27368" s="1">
        <v>0</v>
      </c>
      <c r="F27368" s="1">
        <v>5.5368430766391304E-3</v>
      </c>
    </row>
    <row r="27369" spans="1:6" x14ac:dyDescent="0.25">
      <c r="A27369" s="2" t="str">
        <f t="shared" si="968"/>
        <v>25300</v>
      </c>
      <c r="B27369" s="2" t="str">
        <f>"63463"</f>
        <v>63463</v>
      </c>
      <c r="C27369" s="1">
        <v>1.6300129366106E-2</v>
      </c>
      <c r="D27369" s="1">
        <v>7.1979434447300697E-3</v>
      </c>
      <c r="E27369" s="1">
        <v>7.4441687344913099E-3</v>
      </c>
      <c r="F27369" s="1">
        <v>1.5318599178701601E-2</v>
      </c>
    </row>
    <row r="27370" spans="1:6" x14ac:dyDescent="0.25">
      <c r="A27370" s="2" t="str">
        <f t="shared" si="968"/>
        <v>25300</v>
      </c>
      <c r="B27370" s="2" t="str">
        <f>"63439"</f>
        <v>63439</v>
      </c>
      <c r="C27370" s="1">
        <v>1.5006468305304001E-3</v>
      </c>
      <c r="D27370" s="1">
        <v>0</v>
      </c>
      <c r="E27370" s="1">
        <v>0</v>
      </c>
      <c r="F27370" s="1">
        <v>1.33807041018779E-3</v>
      </c>
    </row>
    <row r="27371" spans="1:6" x14ac:dyDescent="0.25">
      <c r="A27371" s="2" t="str">
        <f t="shared" si="968"/>
        <v>25300</v>
      </c>
      <c r="B27371" s="2" t="str">
        <f>"63440"</f>
        <v>63440</v>
      </c>
      <c r="C27371" s="1">
        <v>4.4501940491591197E-3</v>
      </c>
      <c r="D27371" s="1">
        <v>1.02827763496143E-3</v>
      </c>
      <c r="E27371" s="1">
        <v>0</v>
      </c>
      <c r="F27371" s="1">
        <v>4.06035158953536E-3</v>
      </c>
    </row>
    <row r="27372" spans="1:6" x14ac:dyDescent="0.25">
      <c r="A27372" s="2" t="str">
        <f t="shared" si="968"/>
        <v>25300</v>
      </c>
      <c r="B27372" s="2" t="str">
        <f>"63462"</f>
        <v>63462</v>
      </c>
      <c r="C27372" s="1">
        <v>4.5950840879689502E-2</v>
      </c>
      <c r="D27372" s="1">
        <v>1.5938303341902299E-2</v>
      </c>
      <c r="E27372" s="1">
        <v>2.2332506203473899E-2</v>
      </c>
      <c r="F27372" s="1">
        <v>4.2818253126009301E-2</v>
      </c>
    </row>
    <row r="27373" spans="1:6" x14ac:dyDescent="0.25">
      <c r="A27373" s="2" t="str">
        <f t="shared" si="968"/>
        <v>25300</v>
      </c>
      <c r="B27373" s="2" t="str">
        <f>"63467"</f>
        <v>63467</v>
      </c>
      <c r="C27373" s="1">
        <v>1.5006468305304001E-3</v>
      </c>
      <c r="D27373" s="1">
        <v>1.02827763496143E-3</v>
      </c>
      <c r="E27373" s="1">
        <v>2.48138957816377E-3</v>
      </c>
      <c r="F27373" s="1">
        <v>1.47649148710376E-3</v>
      </c>
    </row>
    <row r="27374" spans="1:6" x14ac:dyDescent="0.25">
      <c r="A27374" s="2" t="str">
        <f t="shared" si="968"/>
        <v>25300</v>
      </c>
      <c r="B27374" s="2" t="str">
        <f>"63436"</f>
        <v>63436</v>
      </c>
      <c r="C27374" s="1">
        <v>3.4359637774902897E-2</v>
      </c>
      <c r="D27374" s="1">
        <v>1.28534704370179E-2</v>
      </c>
      <c r="E27374" s="1">
        <v>1.7369727047146399E-2</v>
      </c>
      <c r="F27374" s="1">
        <v>3.2113689844506903E-2</v>
      </c>
    </row>
    <row r="27375" spans="1:6" x14ac:dyDescent="0.25">
      <c r="A27375" s="2" t="str">
        <f t="shared" si="968"/>
        <v>25300</v>
      </c>
      <c r="B27375" s="2" t="str">
        <f>"63352"</f>
        <v>63352</v>
      </c>
      <c r="C27375" s="1">
        <v>1.1901681759379E-3</v>
      </c>
      <c r="D27375" s="1">
        <v>0</v>
      </c>
      <c r="E27375" s="1">
        <v>0</v>
      </c>
      <c r="F27375" s="1">
        <v>1.06122825635583E-3</v>
      </c>
    </row>
    <row r="27376" spans="1:6" x14ac:dyDescent="0.25">
      <c r="A27376" s="2" t="str">
        <f t="shared" si="968"/>
        <v>25300</v>
      </c>
      <c r="B27376" s="2" t="str">
        <f>"63471"</f>
        <v>63471</v>
      </c>
      <c r="C27376" s="1">
        <v>1.5420439844760599E-2</v>
      </c>
      <c r="D27376" s="1">
        <v>3.8046272493573202E-2</v>
      </c>
      <c r="E27376" s="1">
        <v>2.7295285359801399E-2</v>
      </c>
      <c r="F27376" s="1">
        <v>1.7671757486273199E-2</v>
      </c>
    </row>
    <row r="27377" spans="1:6" x14ac:dyDescent="0.25">
      <c r="A27377" s="2" t="str">
        <f t="shared" si="968"/>
        <v>25300</v>
      </c>
      <c r="B27377" s="2" t="str">
        <f>"63459"</f>
        <v>63459</v>
      </c>
      <c r="C27377" s="1">
        <v>9.6972833117723103E-2</v>
      </c>
      <c r="D27377" s="1">
        <v>2.98200514138817E-2</v>
      </c>
      <c r="E27377" s="1">
        <v>2.9776674937965202E-2</v>
      </c>
      <c r="F27377" s="1">
        <v>8.9696857841553998E-2</v>
      </c>
    </row>
    <row r="27378" spans="1:6" x14ac:dyDescent="0.25">
      <c r="A27378" s="2" t="str">
        <f t="shared" si="968"/>
        <v>25300</v>
      </c>
      <c r="B27378" s="2" t="str">
        <f>"63443"</f>
        <v>63443</v>
      </c>
      <c r="C27378" s="1">
        <v>2.0181112548512199E-3</v>
      </c>
      <c r="D27378" s="1">
        <v>1.02827763496143E-3</v>
      </c>
      <c r="E27378" s="1">
        <v>0</v>
      </c>
      <c r="F27378" s="1">
        <v>1.8917547178517E-3</v>
      </c>
    </row>
    <row r="27379" spans="1:6" x14ac:dyDescent="0.25">
      <c r="A27379" s="2" t="str">
        <f t="shared" si="968"/>
        <v>25300</v>
      </c>
      <c r="B27379" s="2" t="str">
        <f>"63401"</f>
        <v>63401</v>
      </c>
      <c r="C27379" s="1">
        <v>0.55937904269081495</v>
      </c>
      <c r="D27379" s="1">
        <v>0.69871465295629798</v>
      </c>
      <c r="E27379" s="1">
        <v>0.67245657568238204</v>
      </c>
      <c r="F27379" s="1">
        <v>0.57398606561159005</v>
      </c>
    </row>
    <row r="27380" spans="1:6" x14ac:dyDescent="0.25">
      <c r="A27380" s="2" t="str">
        <f t="shared" si="968"/>
        <v>25300</v>
      </c>
      <c r="B27380" s="2" t="str">
        <f>"63441"</f>
        <v>63441</v>
      </c>
      <c r="C27380" s="1">
        <v>1.91461836998706E-3</v>
      </c>
      <c r="D27380" s="1">
        <v>0</v>
      </c>
      <c r="E27380" s="1">
        <v>0</v>
      </c>
      <c r="F27380" s="1">
        <v>1.70719328196373E-3</v>
      </c>
    </row>
    <row r="27381" spans="1:6" x14ac:dyDescent="0.25">
      <c r="A27381" s="2" t="str">
        <f t="shared" si="968"/>
        <v>25300</v>
      </c>
      <c r="B27381" s="2" t="str">
        <f>"63461"</f>
        <v>63461</v>
      </c>
      <c r="C27381" s="1">
        <v>0.140595084087968</v>
      </c>
      <c r="D27381" s="1">
        <v>0.14550128534704301</v>
      </c>
      <c r="E27381" s="1">
        <v>0.16129032258064499</v>
      </c>
      <c r="F27381" s="1">
        <v>0.141420200249157</v>
      </c>
    </row>
    <row r="27382" spans="1:6" x14ac:dyDescent="0.25">
      <c r="A27382" s="2" t="str">
        <f t="shared" si="968"/>
        <v>25300</v>
      </c>
      <c r="B27382" s="2" t="str">
        <f>"63454"</f>
        <v>63454</v>
      </c>
      <c r="C27382" s="1">
        <v>1.5472186287192701E-2</v>
      </c>
      <c r="D27382" s="1">
        <v>2.5706940874035901E-3</v>
      </c>
      <c r="E27382" s="1">
        <v>0</v>
      </c>
      <c r="F27382" s="1">
        <v>1.40266691274858E-2</v>
      </c>
    </row>
    <row r="27383" spans="1:6" x14ac:dyDescent="0.25">
      <c r="A27383" s="2" t="str">
        <f t="shared" ref="A27383:A27416" si="969">"27900"</f>
        <v>27900</v>
      </c>
      <c r="B27383" s="2" t="str">
        <f>"64802"</f>
        <v>64802</v>
      </c>
      <c r="C27383" s="1">
        <v>1.29343856755801E-2</v>
      </c>
      <c r="D27383" s="1">
        <v>4.5822438052546301E-2</v>
      </c>
      <c r="E27383" s="1">
        <v>1.0958904109588999E-3</v>
      </c>
      <c r="F27383" s="1">
        <v>1.5494057796635201E-2</v>
      </c>
    </row>
    <row r="27384" spans="1:6" x14ac:dyDescent="0.25">
      <c r="A27384" s="2" t="str">
        <f t="shared" si="969"/>
        <v>27900</v>
      </c>
      <c r="B27384" s="2" t="str">
        <f>"64864"</f>
        <v>64864</v>
      </c>
      <c r="C27384" s="1">
        <v>0</v>
      </c>
      <c r="D27384" s="1">
        <v>0</v>
      </c>
      <c r="E27384" s="1">
        <v>5.4794520547945202E-4</v>
      </c>
      <c r="F27384" s="1">
        <v>1.05545352838114E-5</v>
      </c>
    </row>
    <row r="27385" spans="1:6" x14ac:dyDescent="0.25">
      <c r="A27385" s="2" t="str">
        <f t="shared" si="969"/>
        <v>27900</v>
      </c>
      <c r="B27385" s="2" t="str">
        <f>"64862"</f>
        <v>64862</v>
      </c>
      <c r="C27385" s="1">
        <v>1.6503710684415099E-2</v>
      </c>
      <c r="D27385" s="1">
        <v>6.3503922301083298E-3</v>
      </c>
      <c r="E27385" s="1">
        <v>6.5753424657534199E-3</v>
      </c>
      <c r="F27385" s="1">
        <v>1.5451839655499899E-2</v>
      </c>
    </row>
    <row r="27386" spans="1:6" x14ac:dyDescent="0.25">
      <c r="A27386" s="2" t="str">
        <f t="shared" si="969"/>
        <v>27900</v>
      </c>
      <c r="B27386" s="2" t="str">
        <f>"64836"</f>
        <v>64836</v>
      </c>
      <c r="C27386" s="1">
        <v>0.12927317705265601</v>
      </c>
      <c r="D27386" s="1">
        <v>0.14170090897771101</v>
      </c>
      <c r="E27386" s="1">
        <v>9.0958904109588998E-2</v>
      </c>
      <c r="F27386" s="1">
        <v>0.12958858421463701</v>
      </c>
    </row>
    <row r="27387" spans="1:6" x14ac:dyDescent="0.25">
      <c r="A27387" s="2" t="str">
        <f t="shared" si="969"/>
        <v>27900</v>
      </c>
      <c r="B27387" s="2" t="str">
        <f>"65723"</f>
        <v>65723</v>
      </c>
      <c r="C27387" s="1">
        <v>3.628224761456E-3</v>
      </c>
      <c r="D27387" s="1">
        <v>4.9806997883202495E-4</v>
      </c>
      <c r="E27387" s="1">
        <v>0</v>
      </c>
      <c r="F27387" s="1">
        <v>3.2930150085491699E-3</v>
      </c>
    </row>
    <row r="27388" spans="1:6" x14ac:dyDescent="0.25">
      <c r="A27388" s="2" t="str">
        <f t="shared" si="969"/>
        <v>27900</v>
      </c>
      <c r="B27388" s="2" t="str">
        <f>"64748"</f>
        <v>64748</v>
      </c>
      <c r="C27388" s="1">
        <v>7.7747673459771397E-4</v>
      </c>
      <c r="D27388" s="1">
        <v>3.7355248412401901E-4</v>
      </c>
      <c r="E27388" s="1">
        <v>0</v>
      </c>
      <c r="F27388" s="1">
        <v>7.2826293458299002E-4</v>
      </c>
    </row>
    <row r="27389" spans="1:6" x14ac:dyDescent="0.25">
      <c r="A27389" s="2" t="str">
        <f t="shared" si="969"/>
        <v>27900</v>
      </c>
      <c r="B27389" s="2" t="str">
        <f>"64755"</f>
        <v>64755</v>
      </c>
      <c r="C27389" s="1">
        <v>1.2192248792555E-2</v>
      </c>
      <c r="D27389" s="1">
        <v>1.9922799153280998E-3</v>
      </c>
      <c r="E27389" s="1">
        <v>1.15068493150684E-2</v>
      </c>
      <c r="F27389" s="1">
        <v>1.13144618242458E-2</v>
      </c>
    </row>
    <row r="27390" spans="1:6" x14ac:dyDescent="0.25">
      <c r="A27390" s="2" t="str">
        <f t="shared" si="969"/>
        <v>27900</v>
      </c>
      <c r="B27390" s="2" t="str">
        <f>"64855"</f>
        <v>64855</v>
      </c>
      <c r="C27390" s="1">
        <v>1.44186594416303E-2</v>
      </c>
      <c r="D27390" s="1">
        <v>2.1167974100361098E-3</v>
      </c>
      <c r="E27390" s="1">
        <v>1.64383561643835E-3</v>
      </c>
      <c r="F27390" s="1">
        <v>1.3129841893061401E-2</v>
      </c>
    </row>
    <row r="27391" spans="1:6" x14ac:dyDescent="0.25">
      <c r="A27391" s="2" t="str">
        <f t="shared" si="969"/>
        <v>27900</v>
      </c>
      <c r="B27391" s="2" t="str">
        <f>"64840"</f>
        <v>64840</v>
      </c>
      <c r="C27391" s="1">
        <v>1.5184356225703801E-2</v>
      </c>
      <c r="D27391" s="1">
        <v>7.3465321877723803E-3</v>
      </c>
      <c r="E27391" s="1">
        <v>1.2602739726027301E-2</v>
      </c>
      <c r="F27391" s="1">
        <v>1.44702678741055E-2</v>
      </c>
    </row>
    <row r="27392" spans="1:6" x14ac:dyDescent="0.25">
      <c r="A27392" s="2" t="str">
        <f t="shared" si="969"/>
        <v>27900</v>
      </c>
      <c r="B27392" s="2" t="str">
        <f>"64801"</f>
        <v>64801</v>
      </c>
      <c r="C27392" s="1">
        <v>0.19910472376016</v>
      </c>
      <c r="D27392" s="1">
        <v>0.296227119910347</v>
      </c>
      <c r="E27392" s="1">
        <v>0.33972602739725999</v>
      </c>
      <c r="F27392" s="1">
        <v>0.210045806683131</v>
      </c>
    </row>
    <row r="27393" spans="1:6" x14ac:dyDescent="0.25">
      <c r="A27393" s="2" t="str">
        <f t="shared" si="969"/>
        <v>27900</v>
      </c>
      <c r="B27393" s="2" t="str">
        <f>"64865"</f>
        <v>64865</v>
      </c>
      <c r="C27393" s="1">
        <v>2.8236541406526001E-2</v>
      </c>
      <c r="D27393" s="1">
        <v>7.3465321877723803E-3</v>
      </c>
      <c r="E27393" s="1">
        <v>1.15068493150684E-2</v>
      </c>
      <c r="F27393" s="1">
        <v>2.6143583898000901E-2</v>
      </c>
    </row>
    <row r="27394" spans="1:6" x14ac:dyDescent="0.25">
      <c r="A27394" s="2" t="str">
        <f t="shared" si="969"/>
        <v>27900</v>
      </c>
      <c r="B27394" s="2" t="str">
        <f>"64842"</f>
        <v>64842</v>
      </c>
      <c r="C27394" s="1">
        <v>4.6059606549652401E-3</v>
      </c>
      <c r="D27394" s="1">
        <v>1.3696924417880699E-3</v>
      </c>
      <c r="E27394" s="1">
        <v>5.4794520547945202E-4</v>
      </c>
      <c r="F27394" s="1">
        <v>4.2534777193760096E-3</v>
      </c>
    </row>
    <row r="27395" spans="1:6" x14ac:dyDescent="0.25">
      <c r="A27395" s="2" t="str">
        <f t="shared" si="969"/>
        <v>27900</v>
      </c>
      <c r="B27395" s="2" t="str">
        <f>"64843"</f>
        <v>64843</v>
      </c>
      <c r="C27395" s="1">
        <v>2.47378961008363E-3</v>
      </c>
      <c r="D27395" s="1">
        <v>8.7162246295604498E-4</v>
      </c>
      <c r="E27395" s="1">
        <v>5.4794520547945202E-4</v>
      </c>
      <c r="F27395" s="1">
        <v>2.3008886918708901E-3</v>
      </c>
    </row>
    <row r="27396" spans="1:6" x14ac:dyDescent="0.25">
      <c r="A27396" s="2" t="str">
        <f t="shared" si="969"/>
        <v>27900</v>
      </c>
      <c r="B27396" s="2" t="str">
        <f>"64861"</f>
        <v>64861</v>
      </c>
      <c r="C27396" s="1">
        <v>2.9449876310519402E-4</v>
      </c>
      <c r="D27396" s="1">
        <v>1.2451749470800599E-4</v>
      </c>
      <c r="E27396" s="1">
        <v>0</v>
      </c>
      <c r="F27396" s="1">
        <v>2.74417917379097E-4</v>
      </c>
    </row>
    <row r="27397" spans="1:6" x14ac:dyDescent="0.25">
      <c r="A27397" s="2" t="str">
        <f t="shared" si="969"/>
        <v>27900</v>
      </c>
      <c r="B27397" s="2" t="str">
        <f>"64858"</f>
        <v>64858</v>
      </c>
      <c r="C27397" s="1">
        <v>1.17799505242077E-5</v>
      </c>
      <c r="D27397" s="1">
        <v>0</v>
      </c>
      <c r="E27397" s="1">
        <v>5.4794520547945202E-4</v>
      </c>
      <c r="F27397" s="1">
        <v>2.1109070567622899E-5</v>
      </c>
    </row>
    <row r="27398" spans="1:6" x14ac:dyDescent="0.25">
      <c r="A27398" s="2" t="str">
        <f t="shared" si="969"/>
        <v>27900</v>
      </c>
      <c r="B27398" s="2" t="str">
        <f>"64857"</f>
        <v>64857</v>
      </c>
      <c r="C27398" s="1">
        <v>0</v>
      </c>
      <c r="D27398" s="1">
        <v>0</v>
      </c>
      <c r="E27398" s="1">
        <v>1.0958904109588999E-3</v>
      </c>
      <c r="F27398" s="1">
        <v>2.1109070567622899E-5</v>
      </c>
    </row>
    <row r="27399" spans="1:6" x14ac:dyDescent="0.25">
      <c r="A27399" s="2" t="str">
        <f t="shared" si="969"/>
        <v>27900</v>
      </c>
      <c r="B27399" s="2" t="str">
        <f>"64870"</f>
        <v>64870</v>
      </c>
      <c r="C27399" s="1">
        <v>8.5039462834255994E-2</v>
      </c>
      <c r="D27399" s="1">
        <v>7.2718216909475705E-2</v>
      </c>
      <c r="E27399" s="1">
        <v>0.106849315068493</v>
      </c>
      <c r="F27399" s="1">
        <v>8.4415173199924004E-2</v>
      </c>
    </row>
    <row r="27400" spans="1:6" x14ac:dyDescent="0.25">
      <c r="A27400" s="2" t="str">
        <f t="shared" si="969"/>
        <v>27900</v>
      </c>
      <c r="B27400" s="2" t="str">
        <f>"64835"</f>
        <v>64835</v>
      </c>
      <c r="C27400" s="1">
        <v>1.0177877252915499E-2</v>
      </c>
      <c r="D27400" s="1">
        <v>4.8561822936122497E-3</v>
      </c>
      <c r="E27400" s="1">
        <v>8.21917808219178E-3</v>
      </c>
      <c r="F27400" s="1">
        <v>9.6890633905389097E-3</v>
      </c>
    </row>
    <row r="27401" spans="1:6" x14ac:dyDescent="0.25">
      <c r="A27401" s="2" t="str">
        <f t="shared" si="969"/>
        <v>27900</v>
      </c>
      <c r="B27401" s="2" t="str">
        <f>"64832"</f>
        <v>64832</v>
      </c>
      <c r="C27401" s="1">
        <v>3.68712451407704E-3</v>
      </c>
      <c r="D27401" s="1">
        <v>1.86776242062009E-3</v>
      </c>
      <c r="E27401" s="1">
        <v>5.4794520547945202E-4</v>
      </c>
      <c r="F27401" s="1">
        <v>3.47244210837396E-3</v>
      </c>
    </row>
    <row r="27402" spans="1:6" x14ac:dyDescent="0.25">
      <c r="A27402" s="2" t="str">
        <f t="shared" si="969"/>
        <v>27900</v>
      </c>
      <c r="B27402" s="2" t="str">
        <f>"64873"</f>
        <v>64873</v>
      </c>
      <c r="C27402" s="1">
        <v>2.59158911532571E-3</v>
      </c>
      <c r="D27402" s="1">
        <v>6.2258747354003202E-4</v>
      </c>
      <c r="E27402" s="1">
        <v>0</v>
      </c>
      <c r="F27402" s="1">
        <v>2.3747704388575701E-3</v>
      </c>
    </row>
    <row r="27403" spans="1:6" x14ac:dyDescent="0.25">
      <c r="A27403" s="2" t="str">
        <f t="shared" si="969"/>
        <v>27900</v>
      </c>
      <c r="B27403" s="2" t="str">
        <f>"64841"</f>
        <v>64841</v>
      </c>
      <c r="C27403" s="1">
        <v>4.9711391212156897E-3</v>
      </c>
      <c r="D27403" s="1">
        <v>2.4903498941601199E-4</v>
      </c>
      <c r="E27403" s="1">
        <v>6.5753424657534199E-3</v>
      </c>
      <c r="F27403" s="1">
        <v>4.6017773837417897E-3</v>
      </c>
    </row>
    <row r="27404" spans="1:6" x14ac:dyDescent="0.25">
      <c r="A27404" s="2" t="str">
        <f t="shared" si="969"/>
        <v>27900</v>
      </c>
      <c r="B27404" s="2" t="str">
        <f>"64848"</f>
        <v>64848</v>
      </c>
      <c r="C27404" s="1">
        <v>6.8323713040405198E-4</v>
      </c>
      <c r="D27404" s="1">
        <v>4.9806997883202495E-4</v>
      </c>
      <c r="E27404" s="1">
        <v>5.4794520547945202E-4</v>
      </c>
      <c r="F27404" s="1">
        <v>6.6493572288012096E-4</v>
      </c>
    </row>
    <row r="27405" spans="1:6" x14ac:dyDescent="0.25">
      <c r="A27405" s="2" t="str">
        <f t="shared" si="969"/>
        <v>27900</v>
      </c>
      <c r="B27405" s="2" t="str">
        <f>"64866"</f>
        <v>64866</v>
      </c>
      <c r="C27405" s="1">
        <v>7.256449522912E-3</v>
      </c>
      <c r="D27405" s="1">
        <v>1.49420993649607E-3</v>
      </c>
      <c r="E27405" s="1">
        <v>3.2876712328767099E-3</v>
      </c>
      <c r="F27405" s="1">
        <v>6.6915753699364599E-3</v>
      </c>
    </row>
    <row r="27406" spans="1:6" x14ac:dyDescent="0.25">
      <c r="A27406" s="2" t="str">
        <f t="shared" si="969"/>
        <v>27900</v>
      </c>
      <c r="B27406" s="2" t="str">
        <f>"64850"</f>
        <v>64850</v>
      </c>
      <c r="C27406" s="1">
        <v>0.13075745081870599</v>
      </c>
      <c r="D27406" s="1">
        <v>0.12962271199103401</v>
      </c>
      <c r="E27406" s="1">
        <v>0.100273972602739</v>
      </c>
      <c r="F27406" s="1">
        <v>0.130074092837692</v>
      </c>
    </row>
    <row r="27407" spans="1:6" x14ac:dyDescent="0.25">
      <c r="A27407" s="2" t="str">
        <f t="shared" si="969"/>
        <v>27900</v>
      </c>
      <c r="B27407" s="2" t="str">
        <f>"64830"</f>
        <v>64830</v>
      </c>
      <c r="C27407" s="1">
        <v>0</v>
      </c>
      <c r="D27407" s="1">
        <v>0</v>
      </c>
      <c r="E27407" s="1">
        <v>5.4794520547945202E-4</v>
      </c>
      <c r="F27407" s="1">
        <v>1.05545352838114E-5</v>
      </c>
    </row>
    <row r="27408" spans="1:6" x14ac:dyDescent="0.25">
      <c r="A27408" s="2" t="str">
        <f t="shared" si="969"/>
        <v>27900</v>
      </c>
      <c r="B27408" s="2" t="str">
        <f>"64859"</f>
        <v>64859</v>
      </c>
      <c r="C27408" s="1">
        <v>6.9383908587583899E-3</v>
      </c>
      <c r="D27408" s="1">
        <v>1.2451749470800599E-3</v>
      </c>
      <c r="E27408" s="1">
        <v>5.4794520547945202E-4</v>
      </c>
      <c r="F27408" s="1">
        <v>6.33272117028687E-3</v>
      </c>
    </row>
    <row r="27409" spans="1:6" x14ac:dyDescent="0.25">
      <c r="A27409" s="2" t="str">
        <f t="shared" si="969"/>
        <v>27900</v>
      </c>
      <c r="B27409" s="2" t="str">
        <f>"64844"</f>
        <v>64844</v>
      </c>
      <c r="C27409" s="1">
        <v>2.4243138178819599E-2</v>
      </c>
      <c r="D27409" s="1">
        <v>1.0210434566056499E-2</v>
      </c>
      <c r="E27409" s="1">
        <v>4.3835616438356101E-3</v>
      </c>
      <c r="F27409" s="1">
        <v>2.2671141789627001E-2</v>
      </c>
    </row>
    <row r="27410" spans="1:6" x14ac:dyDescent="0.25">
      <c r="A27410" s="2" t="str">
        <f t="shared" si="969"/>
        <v>27900</v>
      </c>
      <c r="B27410" s="2" t="str">
        <f>"64833"</f>
        <v>64833</v>
      </c>
      <c r="C27410" s="1">
        <v>0</v>
      </c>
      <c r="D27410" s="1">
        <v>0</v>
      </c>
      <c r="E27410" s="1">
        <v>1.0958904109588999E-3</v>
      </c>
      <c r="F27410" s="1">
        <v>2.1109070567622899E-5</v>
      </c>
    </row>
    <row r="27411" spans="1:6" x14ac:dyDescent="0.25">
      <c r="A27411" s="2" t="str">
        <f t="shared" si="969"/>
        <v>27900</v>
      </c>
      <c r="B27411" s="2" t="str">
        <f>"64834"</f>
        <v>64834</v>
      </c>
      <c r="C27411" s="1">
        <v>5.2220520673813102E-2</v>
      </c>
      <c r="D27411" s="1">
        <v>1.8553106711492899E-2</v>
      </c>
      <c r="E27411" s="1">
        <v>1.2602739726027301E-2</v>
      </c>
      <c r="F27411" s="1">
        <v>4.86036349819517E-2</v>
      </c>
    </row>
    <row r="27412" spans="1:6" x14ac:dyDescent="0.25">
      <c r="A27412" s="2" t="str">
        <f t="shared" si="969"/>
        <v>27900</v>
      </c>
      <c r="B27412" s="2" t="str">
        <f>"64849"</f>
        <v>64849</v>
      </c>
      <c r="C27412" s="1">
        <v>0</v>
      </c>
      <c r="D27412" s="1">
        <v>0</v>
      </c>
      <c r="E27412" s="1">
        <v>5.4794520547945202E-4</v>
      </c>
      <c r="F27412" s="1">
        <v>1.05545352838114E-5</v>
      </c>
    </row>
    <row r="27413" spans="1:6" x14ac:dyDescent="0.25">
      <c r="A27413" s="2" t="str">
        <f t="shared" si="969"/>
        <v>27900</v>
      </c>
      <c r="B27413" s="2" t="str">
        <f>"65734"</f>
        <v>65734</v>
      </c>
      <c r="C27413" s="1">
        <v>5.8899752621038902E-4</v>
      </c>
      <c r="D27413" s="1">
        <v>3.7355248412401901E-4</v>
      </c>
      <c r="E27413" s="1">
        <v>5.4794520547945202E-4</v>
      </c>
      <c r="F27413" s="1">
        <v>5.6994490532581796E-4</v>
      </c>
    </row>
    <row r="27414" spans="1:6" x14ac:dyDescent="0.25">
      <c r="A27414" s="2" t="str">
        <f t="shared" si="969"/>
        <v>27900</v>
      </c>
      <c r="B27414" s="2" t="str">
        <f>"64804"</f>
        <v>64804</v>
      </c>
      <c r="C27414" s="1">
        <v>0.208304865119566</v>
      </c>
      <c r="D27414" s="1">
        <v>0.19636408915452599</v>
      </c>
      <c r="E27414" s="1">
        <v>0.27287671232876698</v>
      </c>
      <c r="F27414" s="1">
        <v>0.20853650813754601</v>
      </c>
    </row>
    <row r="27415" spans="1:6" x14ac:dyDescent="0.25">
      <c r="A27415" s="2" t="str">
        <f t="shared" si="969"/>
        <v>27900</v>
      </c>
      <c r="B27415" s="2" t="str">
        <f>"64803"</f>
        <v>64803</v>
      </c>
      <c r="C27415" s="1">
        <v>1.9495818117563901E-2</v>
      </c>
      <c r="D27415" s="1">
        <v>4.8188270451998499E-2</v>
      </c>
      <c r="E27415" s="1">
        <v>1.0958904109588999E-3</v>
      </c>
      <c r="F27415" s="1">
        <v>2.1573470120110599E-2</v>
      </c>
    </row>
    <row r="27416" spans="1:6" x14ac:dyDescent="0.25">
      <c r="A27416" s="2" t="str">
        <f t="shared" si="969"/>
        <v>27900</v>
      </c>
      <c r="B27416" s="2" t="str">
        <f>"64867"</f>
        <v>64867</v>
      </c>
      <c r="C27416" s="1">
        <v>3.4044057014960502E-3</v>
      </c>
      <c r="D27416" s="1">
        <v>9.9613995766405098E-4</v>
      </c>
      <c r="E27416" s="1">
        <v>5.4794520547945202E-4</v>
      </c>
      <c r="F27416" s="1">
        <v>3.1452515145758099E-3</v>
      </c>
    </row>
    <row r="27417" spans="1:6" x14ac:dyDescent="0.25">
      <c r="A27417" s="2" t="str">
        <f t="shared" ref="A27417:A27430" si="970">"30060"</f>
        <v>30060</v>
      </c>
      <c r="B27417" s="2" t="str">
        <f>"65552"</f>
        <v>65552</v>
      </c>
      <c r="C27417" s="1">
        <v>1.8774445893089901E-3</v>
      </c>
      <c r="D27417" s="1">
        <v>0</v>
      </c>
      <c r="E27417" s="1">
        <v>0</v>
      </c>
      <c r="F27417" s="1">
        <v>1.6893477240731999E-3</v>
      </c>
    </row>
    <row r="27418" spans="1:6" x14ac:dyDescent="0.25">
      <c r="A27418" s="2" t="str">
        <f t="shared" si="970"/>
        <v>30060</v>
      </c>
      <c r="B27418" s="2" t="str">
        <f>"65662"</f>
        <v>65662</v>
      </c>
      <c r="C27418" s="1">
        <v>1.03259452411994E-2</v>
      </c>
      <c r="D27418" s="1">
        <v>1.1778563015312101E-3</v>
      </c>
      <c r="E27418" s="1">
        <v>0</v>
      </c>
      <c r="F27418" s="1">
        <v>9.3852651337400193E-3</v>
      </c>
    </row>
    <row r="27419" spans="1:6" x14ac:dyDescent="0.25">
      <c r="A27419" s="2" t="str">
        <f t="shared" si="970"/>
        <v>30060</v>
      </c>
      <c r="B27419" s="2" t="str">
        <f>"65722"</f>
        <v>65722</v>
      </c>
      <c r="C27419" s="1">
        <v>3.6818774445893002E-2</v>
      </c>
      <c r="D27419" s="1">
        <v>1.06007067137809E-2</v>
      </c>
      <c r="E27419" s="1">
        <v>2.2883295194508001E-3</v>
      </c>
      <c r="F27419" s="1">
        <v>3.40215861098076E-2</v>
      </c>
    </row>
    <row r="27420" spans="1:6" x14ac:dyDescent="0.25">
      <c r="A27420" s="2" t="str">
        <f t="shared" si="970"/>
        <v>30060</v>
      </c>
      <c r="B27420" s="2" t="str">
        <f>"65534"</f>
        <v>65534</v>
      </c>
      <c r="C27420" s="1">
        <v>1.04302477183833E-3</v>
      </c>
      <c r="D27420" s="1">
        <v>5.8892815076560601E-4</v>
      </c>
      <c r="E27420" s="1">
        <v>0</v>
      </c>
      <c r="F27420" s="1">
        <v>9.8545283904270201E-4</v>
      </c>
    </row>
    <row r="27421" spans="1:6" x14ac:dyDescent="0.25">
      <c r="A27421" s="2" t="str">
        <f t="shared" si="970"/>
        <v>30060</v>
      </c>
      <c r="B27421" s="2" t="str">
        <f>"65536"</f>
        <v>65536</v>
      </c>
      <c r="C27421" s="1">
        <v>0.81569752281616603</v>
      </c>
      <c r="D27421" s="1">
        <v>0.95053003533568903</v>
      </c>
      <c r="E27421" s="1">
        <v>0.935926773455377</v>
      </c>
      <c r="F27421" s="1">
        <v>0.828906616611919</v>
      </c>
    </row>
    <row r="27422" spans="1:6" x14ac:dyDescent="0.25">
      <c r="A27422" s="2" t="str">
        <f t="shared" si="970"/>
        <v>30060</v>
      </c>
      <c r="B27422" s="2" t="str">
        <f>"65713"</f>
        <v>65713</v>
      </c>
      <c r="C27422" s="1">
        <v>1.0430247718383299E-4</v>
      </c>
      <c r="D27422" s="1">
        <v>0</v>
      </c>
      <c r="E27422" s="1">
        <v>0</v>
      </c>
      <c r="F27422" s="1">
        <v>9.3852651337400202E-5</v>
      </c>
    </row>
    <row r="27423" spans="1:6" x14ac:dyDescent="0.25">
      <c r="A27423" s="2" t="str">
        <f t="shared" si="970"/>
        <v>30060</v>
      </c>
      <c r="B27423" s="2" t="str">
        <f>"65556"</f>
        <v>65556</v>
      </c>
      <c r="C27423" s="1">
        <v>2.0338983050847401E-2</v>
      </c>
      <c r="D27423" s="1">
        <v>1.00117785630153E-2</v>
      </c>
      <c r="E27423" s="1">
        <v>3.20366132723112E-2</v>
      </c>
      <c r="F27423" s="1">
        <v>1.9755983106522702E-2</v>
      </c>
    </row>
    <row r="27424" spans="1:6" x14ac:dyDescent="0.25">
      <c r="A27424" s="2" t="str">
        <f t="shared" si="970"/>
        <v>30060</v>
      </c>
      <c r="B27424" s="2" t="str">
        <f>"65470"</f>
        <v>65470</v>
      </c>
      <c r="C27424" s="1">
        <v>2.8265971316818701E-2</v>
      </c>
      <c r="D27424" s="1">
        <v>7.0671378091872704E-3</v>
      </c>
      <c r="E27424" s="1">
        <v>2.2883295194508001E-3</v>
      </c>
      <c r="F27424" s="1">
        <v>2.6044110746128502E-2</v>
      </c>
    </row>
    <row r="27425" spans="1:6" x14ac:dyDescent="0.25">
      <c r="A27425" s="2" t="str">
        <f t="shared" si="970"/>
        <v>30060</v>
      </c>
      <c r="B27425" s="2" t="str">
        <f>"65632"</f>
        <v>65632</v>
      </c>
      <c r="C27425" s="1">
        <v>4.3441981747066399E-2</v>
      </c>
      <c r="D27425" s="1">
        <v>1.47232037691401E-2</v>
      </c>
      <c r="E27425" s="1">
        <v>2.0594965675057201E-2</v>
      </c>
      <c r="F27425" s="1">
        <v>4.0685124354763E-2</v>
      </c>
    </row>
    <row r="27426" spans="1:6" x14ac:dyDescent="0.25">
      <c r="A27426" s="2" t="str">
        <f t="shared" si="970"/>
        <v>30060</v>
      </c>
      <c r="B27426" s="2" t="str">
        <f>"65590"</f>
        <v>65590</v>
      </c>
      <c r="C27426" s="1">
        <v>3.1290743155149898E-4</v>
      </c>
      <c r="D27426" s="1">
        <v>0</v>
      </c>
      <c r="E27426" s="1">
        <v>0</v>
      </c>
      <c r="F27426" s="1">
        <v>2.8155795401220001E-4</v>
      </c>
    </row>
    <row r="27427" spans="1:6" x14ac:dyDescent="0.25">
      <c r="A27427" s="2" t="str">
        <f t="shared" si="970"/>
        <v>30060</v>
      </c>
      <c r="B27427" s="2" t="str">
        <f>"65543"</f>
        <v>65543</v>
      </c>
      <c r="C27427" s="1">
        <v>9.0221642764015605E-3</v>
      </c>
      <c r="D27427" s="1">
        <v>2.3557126030624201E-3</v>
      </c>
      <c r="E27427" s="1">
        <v>4.5766590389016001E-3</v>
      </c>
      <c r="F27427" s="1">
        <v>8.3998122946973199E-3</v>
      </c>
    </row>
    <row r="27428" spans="1:6" x14ac:dyDescent="0.25">
      <c r="A27428" s="2" t="str">
        <f t="shared" si="970"/>
        <v>30060</v>
      </c>
      <c r="B27428" s="2" t="str">
        <f>"65020"</f>
        <v>65020</v>
      </c>
      <c r="C27428" s="1">
        <v>1.56453715775749E-4</v>
      </c>
      <c r="D27428" s="1">
        <v>0</v>
      </c>
      <c r="E27428" s="1">
        <v>0</v>
      </c>
      <c r="F27428" s="1">
        <v>1.407789770061E-4</v>
      </c>
    </row>
    <row r="27429" spans="1:6" x14ac:dyDescent="0.25">
      <c r="A27429" s="2" t="str">
        <f t="shared" si="970"/>
        <v>30060</v>
      </c>
      <c r="B27429" s="2" t="str">
        <f>"65567"</f>
        <v>65567</v>
      </c>
      <c r="C27429" s="1">
        <v>5.4758800521512302E-3</v>
      </c>
      <c r="D27429" s="1">
        <v>1.1778563015312101E-3</v>
      </c>
      <c r="E27429" s="1">
        <v>0</v>
      </c>
      <c r="F27429" s="1">
        <v>5.02111684655091E-3</v>
      </c>
    </row>
    <row r="27430" spans="1:6" x14ac:dyDescent="0.25">
      <c r="A27430" s="2" t="str">
        <f t="shared" si="970"/>
        <v>30060</v>
      </c>
      <c r="B27430" s="2" t="str">
        <f>"65463"</f>
        <v>65463</v>
      </c>
      <c r="C27430" s="1">
        <v>2.7118644067796599E-2</v>
      </c>
      <c r="D27430" s="1">
        <v>1.76678445229681E-3</v>
      </c>
      <c r="E27430" s="1">
        <v>2.2883295194508001E-3</v>
      </c>
      <c r="F27430" s="1">
        <v>2.4589394650398801E-2</v>
      </c>
    </row>
    <row r="27431" spans="1:6" x14ac:dyDescent="0.25">
      <c r="A27431" s="2" t="str">
        <f t="shared" ref="A27431:A27441" si="971">"22780"</f>
        <v>22780</v>
      </c>
      <c r="B27431" s="2" t="str">
        <f>"65584"</f>
        <v>65584</v>
      </c>
      <c r="C27431" s="1">
        <v>0.176539113244846</v>
      </c>
      <c r="D27431" s="1">
        <v>0.362123613312202</v>
      </c>
      <c r="E27431" s="1">
        <v>0.15335968379446599</v>
      </c>
      <c r="F27431" s="1">
        <v>0.18317938745746201</v>
      </c>
    </row>
    <row r="27432" spans="1:6" x14ac:dyDescent="0.25">
      <c r="A27432" s="2" t="str">
        <f t="shared" si="971"/>
        <v>22780</v>
      </c>
      <c r="B27432" s="2" t="str">
        <f>"65452"</f>
        <v>65452</v>
      </c>
      <c r="C27432" s="1">
        <v>4.7832533182716699E-2</v>
      </c>
      <c r="D27432" s="1">
        <v>2.6148969889064899E-2</v>
      </c>
      <c r="E27432" s="1">
        <v>8.6956521739130401E-3</v>
      </c>
      <c r="F27432" s="1">
        <v>4.5341111651271998E-2</v>
      </c>
    </row>
    <row r="27433" spans="1:6" x14ac:dyDescent="0.25">
      <c r="A27433" s="2" t="str">
        <f t="shared" si="971"/>
        <v>22780</v>
      </c>
      <c r="B27433" s="2" t="str">
        <f>"65550"</f>
        <v>65550</v>
      </c>
      <c r="C27433" s="1">
        <v>3.9889861621010998E-3</v>
      </c>
      <c r="D27433" s="1">
        <v>0</v>
      </c>
      <c r="E27433" s="1">
        <v>0</v>
      </c>
      <c r="F27433" s="1">
        <v>3.6622913628261201E-3</v>
      </c>
    </row>
    <row r="27434" spans="1:6" x14ac:dyDescent="0.25">
      <c r="A27434" s="2" t="str">
        <f t="shared" si="971"/>
        <v>22780</v>
      </c>
      <c r="B27434" s="2" t="str">
        <f>"65556"</f>
        <v>65556</v>
      </c>
      <c r="C27434" s="1">
        <v>7.0107314317989194E-2</v>
      </c>
      <c r="D27434" s="1">
        <v>4.1204437400950797E-2</v>
      </c>
      <c r="E27434" s="1">
        <v>7.5098814229248995E-2</v>
      </c>
      <c r="F27434" s="1">
        <v>6.9129800680602801E-2</v>
      </c>
    </row>
    <row r="27435" spans="1:6" x14ac:dyDescent="0.25">
      <c r="A27435" s="2" t="str">
        <f t="shared" si="971"/>
        <v>22780</v>
      </c>
      <c r="B27435" s="2" t="str">
        <f>"65457"</f>
        <v>65457</v>
      </c>
      <c r="C27435" s="1">
        <v>5.0833097994916598E-3</v>
      </c>
      <c r="D27435" s="1">
        <v>7.9239302694136197E-4</v>
      </c>
      <c r="E27435" s="1">
        <v>3.9525691699604697E-3</v>
      </c>
      <c r="F27435" s="1">
        <v>4.8614487117160897E-3</v>
      </c>
    </row>
    <row r="27436" spans="1:6" x14ac:dyDescent="0.25">
      <c r="A27436" s="2" t="str">
        <f t="shared" si="971"/>
        <v>22780</v>
      </c>
      <c r="B27436" s="2" t="str">
        <f>"65534"</f>
        <v>65534</v>
      </c>
      <c r="C27436" s="1">
        <v>1.38025981361197E-2</v>
      </c>
      <c r="D27436" s="1">
        <v>3.1695721077654501E-3</v>
      </c>
      <c r="E27436" s="1">
        <v>8.1422924901185703E-2</v>
      </c>
      <c r="F27436" s="1">
        <v>1.6140009722897398E-2</v>
      </c>
    </row>
    <row r="27437" spans="1:6" x14ac:dyDescent="0.25">
      <c r="A27437" s="2" t="str">
        <f t="shared" si="971"/>
        <v>22780</v>
      </c>
      <c r="B27437" s="2" t="str">
        <f>"65473"</f>
        <v>65473</v>
      </c>
      <c r="C27437" s="1">
        <v>0.32660265461733901</v>
      </c>
      <c r="D27437" s="1">
        <v>0.13232963549920701</v>
      </c>
      <c r="E27437" s="1">
        <v>0.394466403162055</v>
      </c>
      <c r="F27437" s="1">
        <v>0.321438988818667</v>
      </c>
    </row>
    <row r="27438" spans="1:6" x14ac:dyDescent="0.25">
      <c r="A27438" s="2" t="str">
        <f t="shared" si="971"/>
        <v>22780</v>
      </c>
      <c r="B27438" s="2" t="str">
        <f>"65461"</f>
        <v>65461</v>
      </c>
      <c r="C27438" s="1">
        <v>8.8251906241174798E-4</v>
      </c>
      <c r="D27438" s="1">
        <v>7.9239302694136197E-4</v>
      </c>
      <c r="E27438" s="1">
        <v>0</v>
      </c>
      <c r="F27438" s="1">
        <v>8.4265111003078898E-4</v>
      </c>
    </row>
    <row r="27439" spans="1:6" x14ac:dyDescent="0.25">
      <c r="A27439" s="2" t="str">
        <f t="shared" si="971"/>
        <v>22780</v>
      </c>
      <c r="B27439" s="2" t="str">
        <f>"65459"</f>
        <v>65459</v>
      </c>
      <c r="C27439" s="1">
        <v>0.10636119740186301</v>
      </c>
      <c r="D27439" s="1">
        <v>3.8827258320126699E-2</v>
      </c>
      <c r="E27439" s="1">
        <v>1.3438735177865599E-2</v>
      </c>
      <c r="F27439" s="1">
        <v>9.9789337222492294E-2</v>
      </c>
    </row>
    <row r="27440" spans="1:6" x14ac:dyDescent="0.25">
      <c r="A27440" s="2" t="str">
        <f t="shared" si="971"/>
        <v>22780</v>
      </c>
      <c r="B27440" s="2" t="str">
        <f>"65552"</f>
        <v>65552</v>
      </c>
      <c r="C27440" s="1">
        <v>3.10646709968935E-3</v>
      </c>
      <c r="D27440" s="1">
        <v>1.58478605388272E-3</v>
      </c>
      <c r="E27440" s="1">
        <v>0</v>
      </c>
      <c r="F27440" s="1">
        <v>2.9168692270296502E-3</v>
      </c>
    </row>
    <row r="27441" spans="1:6" x14ac:dyDescent="0.25">
      <c r="A27441" s="2" t="str">
        <f t="shared" si="971"/>
        <v>22780</v>
      </c>
      <c r="B27441" s="2" t="str">
        <f>"65583"</f>
        <v>65583</v>
      </c>
      <c r="C27441" s="1">
        <v>0.24569330697542999</v>
      </c>
      <c r="D27441" s="1">
        <v>0.39302694136291599</v>
      </c>
      <c r="E27441" s="1">
        <v>0.26956521739130401</v>
      </c>
      <c r="F27441" s="1">
        <v>0.25269810403500198</v>
      </c>
    </row>
    <row r="27442" spans="1:6" x14ac:dyDescent="0.25">
      <c r="A27442" s="2" t="str">
        <f t="shared" ref="A27442:A27473" si="972">"44180"</f>
        <v>44180</v>
      </c>
      <c r="B27442" s="2" t="str">
        <f>"65898"</f>
        <v>65898</v>
      </c>
      <c r="C27442" s="1">
        <v>0</v>
      </c>
      <c r="D27442" s="1">
        <v>0</v>
      </c>
      <c r="E27442" s="1">
        <v>2.5756600128783001E-4</v>
      </c>
      <c r="F27442" s="1">
        <v>7.8689040583872595E-6</v>
      </c>
    </row>
    <row r="27443" spans="1:6" x14ac:dyDescent="0.25">
      <c r="A27443" s="2" t="str">
        <f t="shared" si="972"/>
        <v>44180</v>
      </c>
      <c r="B27443" s="2" t="str">
        <f>"65814"</f>
        <v>65814</v>
      </c>
      <c r="C27443" s="1">
        <v>1.6376220491904499E-3</v>
      </c>
      <c r="D27443" s="1">
        <v>1.4960709248438399E-2</v>
      </c>
      <c r="E27443" s="1">
        <v>2.5756600128783001E-4</v>
      </c>
      <c r="F27443" s="1">
        <v>2.6360828595597299E-3</v>
      </c>
    </row>
    <row r="27444" spans="1:6" x14ac:dyDescent="0.25">
      <c r="A27444" s="2" t="str">
        <f t="shared" si="972"/>
        <v>44180</v>
      </c>
      <c r="B27444" s="2" t="str">
        <f>"65662"</f>
        <v>65662</v>
      </c>
      <c r="C27444" s="1">
        <v>1.32422268128608E-5</v>
      </c>
      <c r="D27444" s="1">
        <v>0</v>
      </c>
      <c r="E27444" s="1">
        <v>0</v>
      </c>
      <c r="F27444" s="1">
        <v>1.18033560875809E-5</v>
      </c>
    </row>
    <row r="27445" spans="1:6" x14ac:dyDescent="0.25">
      <c r="A27445" s="2" t="str">
        <f t="shared" si="972"/>
        <v>44180</v>
      </c>
      <c r="B27445" s="2" t="str">
        <f>"65649"</f>
        <v>65649</v>
      </c>
      <c r="C27445" s="1">
        <v>2.6881720430107499E-3</v>
      </c>
      <c r="D27445" s="1">
        <v>1.81341930284102E-3</v>
      </c>
      <c r="E27445" s="1">
        <v>7.7269800386348998E-4</v>
      </c>
      <c r="F27445" s="1">
        <v>2.5613282710050499E-3</v>
      </c>
    </row>
    <row r="27446" spans="1:6" x14ac:dyDescent="0.25">
      <c r="A27446" s="2" t="str">
        <f t="shared" si="972"/>
        <v>44180</v>
      </c>
      <c r="B27446" s="2" t="str">
        <f>"65714"</f>
        <v>65714</v>
      </c>
      <c r="C27446" s="1">
        <v>6.8722743083143495E-2</v>
      </c>
      <c r="D27446" s="1">
        <v>7.7574047954865999E-2</v>
      </c>
      <c r="E27446" s="1">
        <v>4.27559562137797E-2</v>
      </c>
      <c r="F27446" s="1">
        <v>6.8620777841166103E-2</v>
      </c>
    </row>
    <row r="27447" spans="1:6" x14ac:dyDescent="0.25">
      <c r="A27447" s="2" t="str">
        <f t="shared" si="972"/>
        <v>44180</v>
      </c>
      <c r="B27447" s="2" t="str">
        <f>"65612"</f>
        <v>65612</v>
      </c>
      <c r="C27447" s="1">
        <v>2.18938149972632E-3</v>
      </c>
      <c r="D27447" s="1">
        <v>2.5186379206125302E-4</v>
      </c>
      <c r="E27447" s="1">
        <v>1.2878300064391501E-4</v>
      </c>
      <c r="F27447" s="1">
        <v>1.9750949186551998E-3</v>
      </c>
    </row>
    <row r="27448" spans="1:6" x14ac:dyDescent="0.25">
      <c r="A27448" s="2" t="str">
        <f t="shared" si="972"/>
        <v>44180</v>
      </c>
      <c r="B27448" s="2" t="str">
        <f>"65705"</f>
        <v>65705</v>
      </c>
      <c r="C27448" s="1">
        <v>1.76563024171478E-5</v>
      </c>
      <c r="D27448" s="1">
        <v>0</v>
      </c>
      <c r="E27448" s="1">
        <v>0</v>
      </c>
      <c r="F27448" s="1">
        <v>1.5737808116774499E-5</v>
      </c>
    </row>
    <row r="27449" spans="1:6" x14ac:dyDescent="0.25">
      <c r="A27449" s="2" t="str">
        <f t="shared" si="972"/>
        <v>44180</v>
      </c>
      <c r="B27449" s="2" t="str">
        <f>"65786"</f>
        <v>65786</v>
      </c>
      <c r="C27449" s="1">
        <v>5.7382982855730302E-5</v>
      </c>
      <c r="D27449" s="1">
        <v>0</v>
      </c>
      <c r="E27449" s="1">
        <v>0</v>
      </c>
      <c r="F27449" s="1">
        <v>5.1147876379517198E-5</v>
      </c>
    </row>
    <row r="27450" spans="1:6" x14ac:dyDescent="0.25">
      <c r="A27450" s="2" t="str">
        <f t="shared" si="972"/>
        <v>44180</v>
      </c>
      <c r="B27450" s="2" t="str">
        <f>"65802"</f>
        <v>65802</v>
      </c>
      <c r="C27450" s="1">
        <v>9.4792273602062202E-2</v>
      </c>
      <c r="D27450" s="1">
        <v>0.102760427160991</v>
      </c>
      <c r="E27450" s="1">
        <v>8.7830006439149996E-2</v>
      </c>
      <c r="F27450" s="1">
        <v>9.52019357503983E-2</v>
      </c>
    </row>
    <row r="27451" spans="1:6" x14ac:dyDescent="0.25">
      <c r="A27451" s="2" t="str">
        <f t="shared" si="972"/>
        <v>44180</v>
      </c>
      <c r="B27451" s="2" t="str">
        <f>"65669"</f>
        <v>65669</v>
      </c>
      <c r="C27451" s="1">
        <v>3.8534880025425E-3</v>
      </c>
      <c r="D27451" s="1">
        <v>1.3600644771307601E-3</v>
      </c>
      <c r="E27451" s="1">
        <v>9.0148100450740496E-4</v>
      </c>
      <c r="F27451" s="1">
        <v>3.5685479904786202E-3</v>
      </c>
    </row>
    <row r="27452" spans="1:6" x14ac:dyDescent="0.25">
      <c r="A27452" s="2" t="str">
        <f t="shared" si="972"/>
        <v>44180</v>
      </c>
      <c r="B27452" s="2" t="str">
        <f>"65650"</f>
        <v>65650</v>
      </c>
      <c r="C27452" s="1">
        <v>5.7118138319473101E-3</v>
      </c>
      <c r="D27452" s="1">
        <v>8.0596413459600995E-4</v>
      </c>
      <c r="E27452" s="1">
        <v>5.1513200257566002E-4</v>
      </c>
      <c r="F27452" s="1">
        <v>5.1698699663604297E-3</v>
      </c>
    </row>
    <row r="27453" spans="1:6" x14ac:dyDescent="0.25">
      <c r="A27453" s="2" t="str">
        <f t="shared" si="972"/>
        <v>44180</v>
      </c>
      <c r="B27453" s="2" t="str">
        <f>"65631"</f>
        <v>65631</v>
      </c>
      <c r="C27453" s="1">
        <v>8.5279940674823796E-3</v>
      </c>
      <c r="D27453" s="1">
        <v>3.2742292967962898E-3</v>
      </c>
      <c r="E27453" s="1">
        <v>5.0225370251126798E-3</v>
      </c>
      <c r="F27453" s="1">
        <v>8.0105443314382307E-3</v>
      </c>
    </row>
    <row r="27454" spans="1:6" x14ac:dyDescent="0.25">
      <c r="A27454" s="2" t="str">
        <f t="shared" si="972"/>
        <v>44180</v>
      </c>
      <c r="B27454" s="2" t="str">
        <f>"65781"</f>
        <v>65781</v>
      </c>
      <c r="C27454" s="1">
        <v>1.65704398184932E-2</v>
      </c>
      <c r="D27454" s="1">
        <v>4.3320572234535502E-3</v>
      </c>
      <c r="E27454" s="1">
        <v>6.5679330328396596E-3</v>
      </c>
      <c r="F27454" s="1">
        <v>1.5308952845592401E-2</v>
      </c>
    </row>
    <row r="27455" spans="1:6" x14ac:dyDescent="0.25">
      <c r="A27455" s="2" t="str">
        <f t="shared" si="972"/>
        <v>44180</v>
      </c>
      <c r="B27455" s="2" t="str">
        <f>"65728"</f>
        <v>65728</v>
      </c>
      <c r="C27455" s="1">
        <v>4.4140756042869498E-5</v>
      </c>
      <c r="D27455" s="1">
        <v>0</v>
      </c>
      <c r="E27455" s="1">
        <v>0</v>
      </c>
      <c r="F27455" s="1">
        <v>3.9344520291936299E-5</v>
      </c>
    </row>
    <row r="27456" spans="1:6" x14ac:dyDescent="0.25">
      <c r="A27456" s="2" t="str">
        <f t="shared" si="972"/>
        <v>44180</v>
      </c>
      <c r="B27456" s="2" t="str">
        <f>"65737"</f>
        <v>65737</v>
      </c>
      <c r="C27456" s="1">
        <v>5.7382982855730302E-5</v>
      </c>
      <c r="D27456" s="1">
        <v>0</v>
      </c>
      <c r="E27456" s="1">
        <v>0</v>
      </c>
      <c r="F27456" s="1">
        <v>5.1147876379517198E-5</v>
      </c>
    </row>
    <row r="27457" spans="1:6" x14ac:dyDescent="0.25">
      <c r="A27457" s="2" t="str">
        <f t="shared" si="972"/>
        <v>44180</v>
      </c>
      <c r="B27457" s="2" t="str">
        <f>"65601"</f>
        <v>65601</v>
      </c>
      <c r="C27457" s="1">
        <v>1.46105902501898E-3</v>
      </c>
      <c r="D27457" s="1">
        <v>2.01491033649002E-4</v>
      </c>
      <c r="E27457" s="1">
        <v>7.7269800386348998E-4</v>
      </c>
      <c r="F27457" s="1">
        <v>1.34164814195502E-3</v>
      </c>
    </row>
    <row r="27458" spans="1:6" x14ac:dyDescent="0.25">
      <c r="A27458" s="2" t="str">
        <f t="shared" si="972"/>
        <v>44180</v>
      </c>
      <c r="B27458" s="2" t="str">
        <f>"65808"</f>
        <v>65808</v>
      </c>
      <c r="C27458" s="1">
        <v>6.62994155763899E-3</v>
      </c>
      <c r="D27458" s="1">
        <v>3.0626637114648299E-2</v>
      </c>
      <c r="E27458" s="1">
        <v>2.5756600128783001E-4</v>
      </c>
      <c r="F27458" s="1">
        <v>8.3095626856569509E-3</v>
      </c>
    </row>
    <row r="27459" spans="1:6" x14ac:dyDescent="0.25">
      <c r="A27459" s="2" t="str">
        <f t="shared" si="972"/>
        <v>44180</v>
      </c>
      <c r="B27459" s="2" t="str">
        <f>"65653"</f>
        <v>65653</v>
      </c>
      <c r="C27459" s="1">
        <v>1.7656302417147799E-4</v>
      </c>
      <c r="D27459" s="1">
        <v>5.0372758412250602E-5</v>
      </c>
      <c r="E27459" s="1">
        <v>0</v>
      </c>
      <c r="F27459" s="1">
        <v>1.6131253319693801E-4</v>
      </c>
    </row>
    <row r="27460" spans="1:6" x14ac:dyDescent="0.25">
      <c r="A27460" s="2" t="str">
        <f t="shared" si="972"/>
        <v>44180</v>
      </c>
      <c r="B27460" s="2" t="str">
        <f>"65771"</f>
        <v>65771</v>
      </c>
      <c r="C27460" s="1">
        <v>4.41407560428695E-6</v>
      </c>
      <c r="D27460" s="1">
        <v>0</v>
      </c>
      <c r="E27460" s="1">
        <v>0</v>
      </c>
      <c r="F27460" s="1">
        <v>3.9344520291936298E-6</v>
      </c>
    </row>
    <row r="27461" spans="1:6" x14ac:dyDescent="0.25">
      <c r="A27461" s="2" t="str">
        <f t="shared" si="972"/>
        <v>44180</v>
      </c>
      <c r="B27461" s="2" t="str">
        <f>"65721"</f>
        <v>65721</v>
      </c>
      <c r="C27461" s="1">
        <v>6.4763317266098103E-2</v>
      </c>
      <c r="D27461" s="1">
        <v>7.5760628652024903E-2</v>
      </c>
      <c r="E27461" s="1">
        <v>2.8589826142949099E-2</v>
      </c>
      <c r="F27461" s="1">
        <v>6.45171443747172E-2</v>
      </c>
    </row>
    <row r="27462" spans="1:6" x14ac:dyDescent="0.25">
      <c r="A27462" s="2" t="str">
        <f t="shared" si="972"/>
        <v>44180</v>
      </c>
      <c r="B27462" s="2" t="str">
        <f>"65590"</f>
        <v>65590</v>
      </c>
      <c r="C27462" s="1">
        <v>3.4562211981566801E-3</v>
      </c>
      <c r="D27462" s="1">
        <v>2.5186379206125302E-4</v>
      </c>
      <c r="E27462" s="1">
        <v>1.2878300064391501E-4</v>
      </c>
      <c r="F27462" s="1">
        <v>3.1042826510337702E-3</v>
      </c>
    </row>
    <row r="27463" spans="1:6" x14ac:dyDescent="0.25">
      <c r="A27463" s="2" t="str">
        <f t="shared" si="972"/>
        <v>44180</v>
      </c>
      <c r="B27463" s="2" t="str">
        <f>"65613"</f>
        <v>65613</v>
      </c>
      <c r="C27463" s="1">
        <v>3.4937408407931199E-2</v>
      </c>
      <c r="D27463" s="1">
        <v>4.0499697763449499E-2</v>
      </c>
      <c r="E27463" s="1">
        <v>2.5885383129426901E-2</v>
      </c>
      <c r="F27463" s="1">
        <v>3.50953121004072E-2</v>
      </c>
    </row>
    <row r="27464" spans="1:6" x14ac:dyDescent="0.25">
      <c r="A27464" s="2" t="str">
        <f t="shared" si="972"/>
        <v>44180</v>
      </c>
      <c r="B27464" s="2" t="str">
        <f>"65809"</f>
        <v>65809</v>
      </c>
      <c r="C27464" s="1">
        <v>2.25294418842805E-2</v>
      </c>
      <c r="D27464" s="1">
        <v>5.4402579085230697E-3</v>
      </c>
      <c r="E27464" s="1">
        <v>6.3103670315518296E-3</v>
      </c>
      <c r="F27464" s="1">
        <v>2.0699152125587698E-2</v>
      </c>
    </row>
    <row r="27465" spans="1:6" x14ac:dyDescent="0.25">
      <c r="A27465" s="2" t="str">
        <f t="shared" si="972"/>
        <v>44180</v>
      </c>
      <c r="B27465" s="2" t="str">
        <f>"65663"</f>
        <v>65663</v>
      </c>
      <c r="C27465" s="1">
        <v>4.8952098451542202E-3</v>
      </c>
      <c r="D27465" s="1">
        <v>1.15857344348176E-3</v>
      </c>
      <c r="E27465" s="1">
        <v>5.1513200257566002E-4</v>
      </c>
      <c r="F27465" s="1">
        <v>4.4695375051639601E-3</v>
      </c>
    </row>
    <row r="27466" spans="1:6" x14ac:dyDescent="0.25">
      <c r="A27466" s="2" t="str">
        <f t="shared" si="972"/>
        <v>44180</v>
      </c>
      <c r="B27466" s="2" t="str">
        <f>"65632"</f>
        <v>65632</v>
      </c>
      <c r="C27466" s="1">
        <v>3.0854388473965698E-3</v>
      </c>
      <c r="D27466" s="1">
        <v>4.53354825710255E-4</v>
      </c>
      <c r="E27466" s="1">
        <v>5.1513200257566002E-4</v>
      </c>
      <c r="F27466" s="1">
        <v>2.8013298447858602E-3</v>
      </c>
    </row>
    <row r="27467" spans="1:6" x14ac:dyDescent="0.25">
      <c r="A27467" s="2" t="str">
        <f t="shared" si="972"/>
        <v>44180</v>
      </c>
      <c r="B27467" s="2" t="str">
        <f>"65629"</f>
        <v>65629</v>
      </c>
      <c r="C27467" s="1">
        <v>1.2050426399703299E-3</v>
      </c>
      <c r="D27467" s="1">
        <v>0</v>
      </c>
      <c r="E27467" s="1">
        <v>1.2878300064391501E-4</v>
      </c>
      <c r="F27467" s="1">
        <v>1.0780398559990501E-3</v>
      </c>
    </row>
    <row r="27468" spans="1:6" x14ac:dyDescent="0.25">
      <c r="A27468" s="2" t="str">
        <f t="shared" si="972"/>
        <v>44180</v>
      </c>
      <c r="B27468" s="2" t="str">
        <f>"65765"</f>
        <v>65765</v>
      </c>
      <c r="C27468" s="1">
        <v>0</v>
      </c>
      <c r="D27468" s="1">
        <v>0</v>
      </c>
      <c r="E27468" s="1">
        <v>1.2878300064391501E-4</v>
      </c>
      <c r="F27468" s="1">
        <v>3.9344520291936298E-6</v>
      </c>
    </row>
    <row r="27469" spans="1:6" x14ac:dyDescent="0.25">
      <c r="A27469" s="2" t="str">
        <f t="shared" si="972"/>
        <v>44180</v>
      </c>
      <c r="B27469" s="2" t="str">
        <f>"65713"</f>
        <v>65713</v>
      </c>
      <c r="C27469" s="1">
        <v>4.9790772816356698E-3</v>
      </c>
      <c r="D27469" s="1">
        <v>6.5484585935925805E-4</v>
      </c>
      <c r="E27469" s="1">
        <v>6.43915003219575E-4</v>
      </c>
      <c r="F27469" s="1">
        <v>4.5088820254559001E-3</v>
      </c>
    </row>
    <row r="27470" spans="1:6" x14ac:dyDescent="0.25">
      <c r="A27470" s="2" t="str">
        <f t="shared" si="972"/>
        <v>44180</v>
      </c>
      <c r="B27470" s="2" t="str">
        <f>"65610"</f>
        <v>65610</v>
      </c>
      <c r="C27470" s="1">
        <v>8.7619400745095905E-3</v>
      </c>
      <c r="D27470" s="1">
        <v>5.13802135804956E-3</v>
      </c>
      <c r="E27470" s="1">
        <v>2.4468770122343798E-3</v>
      </c>
      <c r="F27470" s="1">
        <v>8.2859559734817893E-3</v>
      </c>
    </row>
    <row r="27471" spans="1:6" x14ac:dyDescent="0.25">
      <c r="A27471" s="2" t="str">
        <f t="shared" si="972"/>
        <v>44180</v>
      </c>
      <c r="B27471" s="2" t="str">
        <f>"65604"</f>
        <v>65604</v>
      </c>
      <c r="C27471" s="1">
        <v>5.4204848420643702E-3</v>
      </c>
      <c r="D27471" s="1">
        <v>2.61938343743703E-3</v>
      </c>
      <c r="E27471" s="1">
        <v>2.1893110109465499E-3</v>
      </c>
      <c r="F27471" s="1">
        <v>5.1029842818641402E-3</v>
      </c>
    </row>
    <row r="27472" spans="1:6" x14ac:dyDescent="0.25">
      <c r="A27472" s="2" t="str">
        <f t="shared" si="972"/>
        <v>44180</v>
      </c>
      <c r="B27472" s="2" t="str">
        <f>"65899"</f>
        <v>65899</v>
      </c>
      <c r="C27472" s="1">
        <v>0</v>
      </c>
      <c r="D27472" s="1">
        <v>5.0372758412250602E-5</v>
      </c>
      <c r="E27472" s="1">
        <v>0</v>
      </c>
      <c r="F27472" s="1">
        <v>3.9344520291936298E-6</v>
      </c>
    </row>
    <row r="27473" spans="1:6" x14ac:dyDescent="0.25">
      <c r="A27473" s="2" t="str">
        <f t="shared" si="972"/>
        <v>44180</v>
      </c>
      <c r="B27473" s="2" t="str">
        <f>"65897"</f>
        <v>65897</v>
      </c>
      <c r="C27473" s="1">
        <v>0</v>
      </c>
      <c r="D27473" s="1">
        <v>3.5260930888575398E-4</v>
      </c>
      <c r="E27473" s="1">
        <v>0</v>
      </c>
      <c r="F27473" s="1">
        <v>2.7541164204355401E-5</v>
      </c>
    </row>
    <row r="27474" spans="1:6" x14ac:dyDescent="0.25">
      <c r="A27474" s="2" t="str">
        <f t="shared" ref="A27474:A27505" si="973">"44180"</f>
        <v>44180</v>
      </c>
      <c r="B27474" s="2" t="str">
        <f>"65805"</f>
        <v>65805</v>
      </c>
      <c r="C27474" s="1">
        <v>3.08985292300086E-4</v>
      </c>
      <c r="D27474" s="1">
        <v>6.5484585935925805E-4</v>
      </c>
      <c r="E27474" s="1">
        <v>2.5756600128783001E-4</v>
      </c>
      <c r="F27474" s="1">
        <v>3.3442842248145802E-4</v>
      </c>
    </row>
    <row r="27475" spans="1:6" x14ac:dyDescent="0.25">
      <c r="A27475" s="2" t="str">
        <f t="shared" si="973"/>
        <v>44180</v>
      </c>
      <c r="B27475" s="2" t="str">
        <f>"65667"</f>
        <v>65667</v>
      </c>
      <c r="C27475" s="1">
        <v>2.6484453625721698E-5</v>
      </c>
      <c r="D27475" s="1">
        <v>0</v>
      </c>
      <c r="E27475" s="1">
        <v>0</v>
      </c>
      <c r="F27475" s="1">
        <v>2.3606712175161801E-5</v>
      </c>
    </row>
    <row r="27476" spans="1:6" x14ac:dyDescent="0.25">
      <c r="A27476" s="2" t="str">
        <f t="shared" si="973"/>
        <v>44180</v>
      </c>
      <c r="B27476" s="2" t="str">
        <f>"65640"</f>
        <v>65640</v>
      </c>
      <c r="C27476" s="1">
        <v>1.61996574677331E-3</v>
      </c>
      <c r="D27476" s="1">
        <v>1.5111827523675101E-4</v>
      </c>
      <c r="E27476" s="1">
        <v>2.5756600128783001E-4</v>
      </c>
      <c r="F27476" s="1">
        <v>1.46361615486003E-3</v>
      </c>
    </row>
    <row r="27477" spans="1:6" x14ac:dyDescent="0.25">
      <c r="A27477" s="2" t="str">
        <f t="shared" si="973"/>
        <v>44180</v>
      </c>
      <c r="B27477" s="2" t="str">
        <f>"65767"</f>
        <v>65767</v>
      </c>
      <c r="C27477" s="1">
        <v>6.1267369387502796E-3</v>
      </c>
      <c r="D27477" s="1">
        <v>1.4608099939552601E-3</v>
      </c>
      <c r="E27477" s="1">
        <v>3.8634900193174499E-4</v>
      </c>
      <c r="F27477" s="1">
        <v>5.5869218814549601E-3</v>
      </c>
    </row>
    <row r="27478" spans="1:6" x14ac:dyDescent="0.25">
      <c r="A27478" s="2" t="str">
        <f t="shared" si="973"/>
        <v>44180</v>
      </c>
      <c r="B27478" s="2" t="str">
        <f>"65764"</f>
        <v>65764</v>
      </c>
      <c r="C27478" s="1">
        <v>2.7190705722407601E-3</v>
      </c>
      <c r="D27478" s="1">
        <v>7.0521861777150905E-4</v>
      </c>
      <c r="E27478" s="1">
        <v>2.5756600128783001E-4</v>
      </c>
      <c r="F27478" s="1">
        <v>2.4865736824503698E-3</v>
      </c>
    </row>
    <row r="27479" spans="1:6" x14ac:dyDescent="0.25">
      <c r="A27479" s="2" t="str">
        <f t="shared" si="973"/>
        <v>44180</v>
      </c>
      <c r="B27479" s="2" t="str">
        <f>"65727"</f>
        <v>65727</v>
      </c>
      <c r="C27479" s="1">
        <v>5.69415752953016E-4</v>
      </c>
      <c r="D27479" s="1">
        <v>1.00745516824501E-4</v>
      </c>
      <c r="E27479" s="1">
        <v>1.2878300064391501E-4</v>
      </c>
      <c r="F27479" s="1">
        <v>5.19347667853559E-4</v>
      </c>
    </row>
    <row r="27480" spans="1:6" x14ac:dyDescent="0.25">
      <c r="A27480" s="2" t="str">
        <f t="shared" si="973"/>
        <v>44180</v>
      </c>
      <c r="B27480" s="2" t="str">
        <f>"65725"</f>
        <v>65725</v>
      </c>
      <c r="C27480" s="1">
        <v>5.3410314811871999E-3</v>
      </c>
      <c r="D27480" s="1">
        <v>2.0652830949022699E-3</v>
      </c>
      <c r="E27480" s="1">
        <v>9.0148100450740496E-4</v>
      </c>
      <c r="F27480" s="1">
        <v>4.9495406527255903E-3</v>
      </c>
    </row>
    <row r="27481" spans="1:6" x14ac:dyDescent="0.25">
      <c r="A27481" s="2" t="str">
        <f t="shared" si="973"/>
        <v>44180</v>
      </c>
      <c r="B27481" s="2" t="str">
        <f>"65722"</f>
        <v>65722</v>
      </c>
      <c r="C27481" s="1">
        <v>4.8996239207585099E-4</v>
      </c>
      <c r="D27481" s="1">
        <v>1.5111827523675101E-4</v>
      </c>
      <c r="E27481" s="1">
        <v>0</v>
      </c>
      <c r="F27481" s="1">
        <v>4.4852753132807398E-4</v>
      </c>
    </row>
    <row r="27482" spans="1:6" x14ac:dyDescent="0.25">
      <c r="A27482" s="2" t="str">
        <f t="shared" si="973"/>
        <v>44180</v>
      </c>
      <c r="B27482" s="2" t="str">
        <f>"65754"</f>
        <v>65754</v>
      </c>
      <c r="C27482" s="1">
        <v>1.64203612479474E-3</v>
      </c>
      <c r="D27482" s="1">
        <v>1.20894620189401E-3</v>
      </c>
      <c r="E27482" s="1">
        <v>1.2878300064391501E-4</v>
      </c>
      <c r="F27482" s="1">
        <v>1.5619774555898701E-3</v>
      </c>
    </row>
    <row r="27483" spans="1:6" x14ac:dyDescent="0.25">
      <c r="A27483" s="2" t="str">
        <f t="shared" si="973"/>
        <v>44180</v>
      </c>
      <c r="B27483" s="2" t="str">
        <f>"65753"</f>
        <v>65753</v>
      </c>
      <c r="C27483" s="1">
        <v>1.0968977876653E-2</v>
      </c>
      <c r="D27483" s="1">
        <v>4.0298206729800501E-3</v>
      </c>
      <c r="E27483" s="1">
        <v>7.7269800386348998E-4</v>
      </c>
      <c r="F27483" s="1">
        <v>1.0115476167056801E-2</v>
      </c>
    </row>
    <row r="27484" spans="1:6" x14ac:dyDescent="0.25">
      <c r="A27484" s="2" t="str">
        <f t="shared" si="973"/>
        <v>44180</v>
      </c>
      <c r="B27484" s="2" t="str">
        <f>"65738"</f>
        <v>65738</v>
      </c>
      <c r="C27484" s="1">
        <v>3.7705033811819097E-2</v>
      </c>
      <c r="D27484" s="1">
        <v>2.58915978238968E-2</v>
      </c>
      <c r="E27484" s="1">
        <v>7.0830650354153203E-3</v>
      </c>
      <c r="F27484" s="1">
        <v>3.5846792437983097E-2</v>
      </c>
    </row>
    <row r="27485" spans="1:6" x14ac:dyDescent="0.25">
      <c r="A27485" s="2" t="str">
        <f t="shared" si="973"/>
        <v>44180</v>
      </c>
      <c r="B27485" s="2" t="str">
        <f>"65710"</f>
        <v>65710</v>
      </c>
      <c r="C27485" s="1">
        <v>2.5513356992778501E-3</v>
      </c>
      <c r="D27485" s="1">
        <v>9.0670965142051097E-4</v>
      </c>
      <c r="E27485" s="1">
        <v>2.5756600128783001E-4</v>
      </c>
      <c r="F27485" s="1">
        <v>2.3528023134577899E-3</v>
      </c>
    </row>
    <row r="27486" spans="1:6" x14ac:dyDescent="0.25">
      <c r="A27486" s="2" t="str">
        <f t="shared" si="973"/>
        <v>44180</v>
      </c>
      <c r="B27486" s="2" t="str">
        <f>"65706"</f>
        <v>65706</v>
      </c>
      <c r="C27486" s="1">
        <v>3.25891201864505E-2</v>
      </c>
      <c r="D27486" s="1">
        <v>4.0852307072335198E-2</v>
      </c>
      <c r="E27486" s="1">
        <v>0.123631680618158</v>
      </c>
      <c r="F27486" s="1">
        <v>3.6015973875238499E-2</v>
      </c>
    </row>
    <row r="27487" spans="1:6" x14ac:dyDescent="0.25">
      <c r="A27487" s="2" t="str">
        <f t="shared" si="973"/>
        <v>44180</v>
      </c>
      <c r="B27487" s="2" t="str">
        <f>"65674"</f>
        <v>65674</v>
      </c>
      <c r="C27487" s="1">
        <v>4.1315747656125801E-3</v>
      </c>
      <c r="D27487" s="1">
        <v>1.91416481966552E-3</v>
      </c>
      <c r="E27487" s="1">
        <v>9.0148100450740496E-4</v>
      </c>
      <c r="F27487" s="1">
        <v>3.8596974406389498E-3</v>
      </c>
    </row>
    <row r="27488" spans="1:6" x14ac:dyDescent="0.25">
      <c r="A27488" s="2" t="str">
        <f t="shared" si="973"/>
        <v>44180</v>
      </c>
      <c r="B27488" s="2" t="str">
        <f>"65890"</f>
        <v>65890</v>
      </c>
      <c r="C27488" s="1">
        <v>0</v>
      </c>
      <c r="D27488" s="1">
        <v>0</v>
      </c>
      <c r="E27488" s="1">
        <v>1.28783000643915E-3</v>
      </c>
      <c r="F27488" s="1">
        <v>3.9344520291936299E-5</v>
      </c>
    </row>
    <row r="27489" spans="1:6" x14ac:dyDescent="0.25">
      <c r="A27489" s="2" t="str">
        <f t="shared" si="973"/>
        <v>44180</v>
      </c>
      <c r="B27489" s="2" t="str">
        <f>"65810"</f>
        <v>65810</v>
      </c>
      <c r="C27489" s="1">
        <v>4.3399191341349203E-2</v>
      </c>
      <c r="D27489" s="1">
        <v>2.1962522667741201E-2</v>
      </c>
      <c r="E27489" s="1">
        <v>2.66580811332904E-2</v>
      </c>
      <c r="F27489" s="1">
        <v>4.12133850058033E-2</v>
      </c>
    </row>
    <row r="27490" spans="1:6" x14ac:dyDescent="0.25">
      <c r="A27490" s="2" t="str">
        <f t="shared" si="973"/>
        <v>44180</v>
      </c>
      <c r="B27490" s="2" t="str">
        <f>"65807"</f>
        <v>65807</v>
      </c>
      <c r="C27490" s="1">
        <v>0.11978918374913899</v>
      </c>
      <c r="D27490" s="1">
        <v>0.117771509167842</v>
      </c>
      <c r="E27490" s="1">
        <v>0.16020605280103001</v>
      </c>
      <c r="F27490" s="1">
        <v>0.120866366336828</v>
      </c>
    </row>
    <row r="27491" spans="1:6" x14ac:dyDescent="0.25">
      <c r="A27491" s="2" t="str">
        <f t="shared" si="973"/>
        <v>44180</v>
      </c>
      <c r="B27491" s="2" t="str">
        <f>"65801"</f>
        <v>65801</v>
      </c>
      <c r="C27491" s="1">
        <v>1.02053427971114E-2</v>
      </c>
      <c r="D27491" s="1">
        <v>4.0902679830747503E-2</v>
      </c>
      <c r="E27491" s="1">
        <v>1.03026400515132E-3</v>
      </c>
      <c r="F27491" s="1">
        <v>1.23227037554344E-2</v>
      </c>
    </row>
    <row r="27492" spans="1:6" x14ac:dyDescent="0.25">
      <c r="A27492" s="2" t="str">
        <f t="shared" si="973"/>
        <v>44180</v>
      </c>
      <c r="B27492" s="2" t="str">
        <f>"65803"</f>
        <v>65803</v>
      </c>
      <c r="C27492" s="1">
        <v>8.93144057771421E-2</v>
      </c>
      <c r="D27492" s="1">
        <v>9.5859359258512897E-2</v>
      </c>
      <c r="E27492" s="1">
        <v>5.9368963296844803E-2</v>
      </c>
      <c r="F27492" s="1">
        <v>8.8910746955717698E-2</v>
      </c>
    </row>
    <row r="27493" spans="1:6" x14ac:dyDescent="0.25">
      <c r="A27493" s="2" t="str">
        <f t="shared" si="973"/>
        <v>44180</v>
      </c>
      <c r="B27493" s="2" t="str">
        <f>"65652"</f>
        <v>65652</v>
      </c>
      <c r="C27493" s="1">
        <v>7.5524833589349699E-3</v>
      </c>
      <c r="D27493" s="1">
        <v>2.56901067902478E-3</v>
      </c>
      <c r="E27493" s="1">
        <v>1.67417900837089E-3</v>
      </c>
      <c r="F27493" s="1">
        <v>6.9836523518187E-3</v>
      </c>
    </row>
    <row r="27494" spans="1:6" x14ac:dyDescent="0.25">
      <c r="A27494" s="2" t="str">
        <f t="shared" si="973"/>
        <v>44180</v>
      </c>
      <c r="B27494" s="2" t="str">
        <f>"65614"</f>
        <v>65614</v>
      </c>
      <c r="C27494" s="1">
        <v>8.8281512085738997E-5</v>
      </c>
      <c r="D27494" s="1">
        <v>0</v>
      </c>
      <c r="E27494" s="1">
        <v>0</v>
      </c>
      <c r="F27494" s="1">
        <v>7.8689040583872598E-5</v>
      </c>
    </row>
    <row r="27495" spans="1:6" x14ac:dyDescent="0.25">
      <c r="A27495" s="2" t="str">
        <f t="shared" si="973"/>
        <v>44180</v>
      </c>
      <c r="B27495" s="2" t="str">
        <f>"65622"</f>
        <v>65622</v>
      </c>
      <c r="C27495" s="1">
        <v>2.4564330737856799E-2</v>
      </c>
      <c r="D27495" s="1">
        <v>1.25428168446504E-2</v>
      </c>
      <c r="E27495" s="1">
        <v>1.7643271088216301E-2</v>
      </c>
      <c r="F27495" s="1">
        <v>2.3413924025731302E-2</v>
      </c>
    </row>
    <row r="27496" spans="1:6" x14ac:dyDescent="0.25">
      <c r="A27496" s="2" t="str">
        <f t="shared" si="973"/>
        <v>44180</v>
      </c>
      <c r="B27496" s="2" t="str">
        <f>"65783"</f>
        <v>65783</v>
      </c>
      <c r="C27496" s="1">
        <v>8.7840104525310303E-4</v>
      </c>
      <c r="D27496" s="1">
        <v>1.5111827523675101E-4</v>
      </c>
      <c r="E27496" s="1">
        <v>1.2878300064391501E-4</v>
      </c>
      <c r="F27496" s="1">
        <v>7.9869376192630705E-4</v>
      </c>
    </row>
    <row r="27497" spans="1:6" x14ac:dyDescent="0.25">
      <c r="A27497" s="2" t="str">
        <f t="shared" si="973"/>
        <v>44180</v>
      </c>
      <c r="B27497" s="2" t="str">
        <f>"65732"</f>
        <v>65732</v>
      </c>
      <c r="C27497" s="1">
        <v>1.01523738898599E-4</v>
      </c>
      <c r="D27497" s="1">
        <v>0</v>
      </c>
      <c r="E27497" s="1">
        <v>0</v>
      </c>
      <c r="F27497" s="1">
        <v>9.0492396671453497E-5</v>
      </c>
    </row>
    <row r="27498" spans="1:6" x14ac:dyDescent="0.25">
      <c r="A27498" s="2" t="str">
        <f t="shared" si="973"/>
        <v>44180</v>
      </c>
      <c r="B27498" s="2" t="str">
        <f>"65746"</f>
        <v>65746</v>
      </c>
      <c r="C27498" s="1">
        <v>1.43148471847025E-2</v>
      </c>
      <c r="D27498" s="1">
        <v>6.39734031835583E-3</v>
      </c>
      <c r="E27498" s="1">
        <v>9.5299420476497101E-2</v>
      </c>
      <c r="F27498" s="1">
        <v>1.6170597839985801E-2</v>
      </c>
    </row>
    <row r="27499" spans="1:6" x14ac:dyDescent="0.25">
      <c r="A27499" s="2" t="str">
        <f t="shared" si="973"/>
        <v>44180</v>
      </c>
      <c r="B27499" s="2" t="str">
        <f>"65742"</f>
        <v>65742</v>
      </c>
      <c r="C27499" s="1">
        <v>2.6179882409025901E-2</v>
      </c>
      <c r="D27499" s="1">
        <v>2.3020350594398501E-2</v>
      </c>
      <c r="E27499" s="1">
        <v>7.8686413393432006E-2</v>
      </c>
      <c r="F27499" s="1">
        <v>2.7537229752326201E-2</v>
      </c>
    </row>
    <row r="27500" spans="1:6" x14ac:dyDescent="0.25">
      <c r="A27500" s="2" t="str">
        <f t="shared" si="973"/>
        <v>44180</v>
      </c>
      <c r="B27500" s="2" t="str">
        <f>"65536"</f>
        <v>65536</v>
      </c>
      <c r="C27500" s="1">
        <v>6.88595794268764E-4</v>
      </c>
      <c r="D27500" s="1">
        <v>5.0372758412250604E-4</v>
      </c>
      <c r="E27500" s="1">
        <v>1.2878300064391501E-4</v>
      </c>
      <c r="F27500" s="1">
        <v>6.5705348887533605E-4</v>
      </c>
    </row>
    <row r="27501" spans="1:6" x14ac:dyDescent="0.25">
      <c r="A27501" s="2" t="str">
        <f t="shared" si="973"/>
        <v>44180</v>
      </c>
      <c r="B27501" s="2" t="str">
        <f>"65806"</f>
        <v>65806</v>
      </c>
      <c r="C27501" s="1">
        <v>3.4284125218496699E-2</v>
      </c>
      <c r="D27501" s="1">
        <v>5.2790650816038599E-2</v>
      </c>
      <c r="E27501" s="1">
        <v>0.10560206052800999</v>
      </c>
      <c r="F27501" s="1">
        <v>3.7908445301280597E-2</v>
      </c>
    </row>
    <row r="27502" spans="1:6" x14ac:dyDescent="0.25">
      <c r="A27502" s="2" t="str">
        <f t="shared" si="973"/>
        <v>44180</v>
      </c>
      <c r="B27502" s="2" t="str">
        <f>"65804"</f>
        <v>65804</v>
      </c>
      <c r="C27502" s="1">
        <v>8.7628228896304505E-2</v>
      </c>
      <c r="D27502" s="1">
        <v>0.14512391698569399</v>
      </c>
      <c r="E27502" s="1">
        <v>8.6027044430135202E-2</v>
      </c>
      <c r="F27502" s="1">
        <v>9.2070111935160195E-2</v>
      </c>
    </row>
    <row r="27503" spans="1:6" x14ac:dyDescent="0.25">
      <c r="A27503" s="2" t="str">
        <f t="shared" si="973"/>
        <v>44180</v>
      </c>
      <c r="B27503" s="2" t="str">
        <f>"65644"</f>
        <v>65644</v>
      </c>
      <c r="C27503" s="1">
        <v>5.7118138319473101E-3</v>
      </c>
      <c r="D27503" s="1">
        <v>4.53354825710255E-4</v>
      </c>
      <c r="E27503" s="1">
        <v>3.8634900193174499E-4</v>
      </c>
      <c r="F27503" s="1">
        <v>5.1383943501268799E-3</v>
      </c>
    </row>
    <row r="27504" spans="1:6" x14ac:dyDescent="0.25">
      <c r="A27504" s="2" t="str">
        <f t="shared" si="973"/>
        <v>44180</v>
      </c>
      <c r="B27504" s="2" t="str">
        <f>"65630"</f>
        <v>65630</v>
      </c>
      <c r="C27504" s="1">
        <v>9.7551070854741601E-4</v>
      </c>
      <c r="D27504" s="1">
        <v>4.0298206729800498E-4</v>
      </c>
      <c r="E27504" s="1">
        <v>3.8634900193174499E-4</v>
      </c>
      <c r="F27504" s="1">
        <v>9.12792870772923E-4</v>
      </c>
    </row>
    <row r="27505" spans="1:6" x14ac:dyDescent="0.25">
      <c r="A27505" s="2" t="str">
        <f t="shared" si="973"/>
        <v>44180</v>
      </c>
      <c r="B27505" s="2" t="str">
        <f>"65759"</f>
        <v>65759</v>
      </c>
      <c r="C27505" s="1">
        <v>2.6484453625721698E-5</v>
      </c>
      <c r="D27505" s="1">
        <v>0</v>
      </c>
      <c r="E27505" s="1">
        <v>0</v>
      </c>
      <c r="F27505" s="1">
        <v>2.3606712175161801E-5</v>
      </c>
    </row>
    <row r="27506" spans="1:6" x14ac:dyDescent="0.25">
      <c r="A27506" s="2" t="str">
        <f t="shared" ref="A27506:A27518" si="974">"44180"</f>
        <v>44180</v>
      </c>
      <c r="B27506" s="2" t="str">
        <f>"65720"</f>
        <v>65720</v>
      </c>
      <c r="C27506" s="1">
        <v>1.18738633755318E-3</v>
      </c>
      <c r="D27506" s="1">
        <v>2.01491033649002E-4</v>
      </c>
      <c r="E27506" s="1">
        <v>1.2878300064391501E-4</v>
      </c>
      <c r="F27506" s="1">
        <v>1.0780398559990501E-3</v>
      </c>
    </row>
    <row r="27507" spans="1:6" x14ac:dyDescent="0.25">
      <c r="A27507" s="2" t="str">
        <f t="shared" si="974"/>
        <v>44180</v>
      </c>
      <c r="B27507" s="2" t="str">
        <f>"65724"</f>
        <v>65724</v>
      </c>
      <c r="C27507" s="1">
        <v>1.34629305930751E-3</v>
      </c>
      <c r="D27507" s="1">
        <v>9.0670965142051097E-4</v>
      </c>
      <c r="E27507" s="1">
        <v>1.2878300064391501E-4</v>
      </c>
      <c r="F27507" s="1">
        <v>1.27476245745873E-3</v>
      </c>
    </row>
    <row r="27508" spans="1:6" x14ac:dyDescent="0.25">
      <c r="A27508" s="2" t="str">
        <f t="shared" si="974"/>
        <v>44180</v>
      </c>
      <c r="B27508" s="2" t="str">
        <f>"65685"</f>
        <v>65685</v>
      </c>
      <c r="C27508" s="1">
        <v>2.1099281388491601E-3</v>
      </c>
      <c r="D27508" s="1">
        <v>3.5260930888575398E-4</v>
      </c>
      <c r="E27508" s="1">
        <v>3.8634900193174499E-4</v>
      </c>
      <c r="F27508" s="1">
        <v>1.9200125902464899E-3</v>
      </c>
    </row>
    <row r="27509" spans="1:6" x14ac:dyDescent="0.25">
      <c r="A27509" s="2" t="str">
        <f t="shared" si="974"/>
        <v>44180</v>
      </c>
      <c r="B27509" s="2" t="str">
        <f>"65463"</f>
        <v>65463</v>
      </c>
      <c r="C27509" s="1">
        <v>6.1797058460017295E-5</v>
      </c>
      <c r="D27509" s="1">
        <v>0</v>
      </c>
      <c r="E27509" s="1">
        <v>0</v>
      </c>
      <c r="F27509" s="1">
        <v>5.5082328408710801E-5</v>
      </c>
    </row>
    <row r="27510" spans="1:6" x14ac:dyDescent="0.25">
      <c r="A27510" s="2" t="str">
        <f t="shared" si="974"/>
        <v>44180</v>
      </c>
      <c r="B27510" s="2" t="str">
        <f>"65656"</f>
        <v>65656</v>
      </c>
      <c r="C27510" s="1">
        <v>2.2070378021434698E-5</v>
      </c>
      <c r="D27510" s="1">
        <v>0</v>
      </c>
      <c r="E27510" s="1">
        <v>0</v>
      </c>
      <c r="F27510" s="1">
        <v>1.9672260145968099E-5</v>
      </c>
    </row>
    <row r="27511" spans="1:6" x14ac:dyDescent="0.25">
      <c r="A27511" s="2" t="str">
        <f t="shared" si="974"/>
        <v>44180</v>
      </c>
      <c r="B27511" s="2" t="str">
        <f>"65636"</f>
        <v>65636</v>
      </c>
      <c r="C27511" s="1">
        <v>0</v>
      </c>
      <c r="D27511" s="1">
        <v>0</v>
      </c>
      <c r="E27511" s="1">
        <v>1.2878300064391501E-4</v>
      </c>
      <c r="F27511" s="1">
        <v>3.9344520291936298E-6</v>
      </c>
    </row>
    <row r="27512" spans="1:6" x14ac:dyDescent="0.25">
      <c r="A27512" s="2" t="str">
        <f t="shared" si="974"/>
        <v>44180</v>
      </c>
      <c r="B27512" s="2" t="str">
        <f>"65657"</f>
        <v>65657</v>
      </c>
      <c r="C27512" s="1">
        <v>2.4718823384006902E-4</v>
      </c>
      <c r="D27512" s="1">
        <v>5.0372758412250602E-5</v>
      </c>
      <c r="E27512" s="1">
        <v>1.2878300064391501E-4</v>
      </c>
      <c r="F27512" s="1">
        <v>2.2819821769322999E-4</v>
      </c>
    </row>
    <row r="27513" spans="1:6" x14ac:dyDescent="0.25">
      <c r="A27513" s="2" t="str">
        <f t="shared" si="974"/>
        <v>44180</v>
      </c>
      <c r="B27513" s="2" t="str">
        <f>"65648"</f>
        <v>65648</v>
      </c>
      <c r="C27513" s="1">
        <v>1.19753871144304E-2</v>
      </c>
      <c r="D27513" s="1">
        <v>4.93653032440056E-3</v>
      </c>
      <c r="E27513" s="1">
        <v>1.9317450096587199E-3</v>
      </c>
      <c r="F27513" s="1">
        <v>1.11187614345012E-2</v>
      </c>
    </row>
    <row r="27514" spans="1:6" x14ac:dyDescent="0.25">
      <c r="A27514" s="2" t="str">
        <f t="shared" si="974"/>
        <v>44180</v>
      </c>
      <c r="B27514" s="2" t="str">
        <f>"65620"</f>
        <v>65620</v>
      </c>
      <c r="C27514" s="1">
        <v>1.0682062962374401E-3</v>
      </c>
      <c r="D27514" s="1">
        <v>5.0372758412250602E-5</v>
      </c>
      <c r="E27514" s="1">
        <v>1.2878300064391501E-4</v>
      </c>
      <c r="F27514" s="1">
        <v>9.6000629512324595E-4</v>
      </c>
    </row>
    <row r="27515" spans="1:6" x14ac:dyDescent="0.25">
      <c r="A27515" s="2" t="str">
        <f t="shared" si="974"/>
        <v>44180</v>
      </c>
      <c r="B27515" s="2" t="str">
        <f>"65619"</f>
        <v>65619</v>
      </c>
      <c r="C27515" s="1">
        <v>1.6676377632995999E-2</v>
      </c>
      <c r="D27515" s="1">
        <v>5.4906306669353202E-3</v>
      </c>
      <c r="E27515" s="1">
        <v>5.1513200257566E-3</v>
      </c>
      <c r="F27515" s="1">
        <v>1.5450593118643399E-2</v>
      </c>
    </row>
    <row r="27516" spans="1:6" x14ac:dyDescent="0.25">
      <c r="A27516" s="2" t="str">
        <f t="shared" si="974"/>
        <v>44180</v>
      </c>
      <c r="B27516" s="2" t="str">
        <f>"65617"</f>
        <v>65617</v>
      </c>
      <c r="C27516" s="1">
        <v>3.6460264491410201E-3</v>
      </c>
      <c r="D27516" s="1">
        <v>1.3600644771307601E-3</v>
      </c>
      <c r="E27516" s="1">
        <v>1.2878300064391501E-4</v>
      </c>
      <c r="F27516" s="1">
        <v>3.3600220329313602E-3</v>
      </c>
    </row>
    <row r="27517" spans="1:6" x14ac:dyDescent="0.25">
      <c r="A27517" s="2" t="str">
        <f t="shared" si="974"/>
        <v>44180</v>
      </c>
      <c r="B27517" s="2" t="str">
        <f>"65770"</f>
        <v>65770</v>
      </c>
      <c r="C27517" s="1">
        <v>5.8574783268887801E-3</v>
      </c>
      <c r="D27517" s="1">
        <v>1.4104372355430101E-3</v>
      </c>
      <c r="E27517" s="1">
        <v>7.7269800386348998E-4</v>
      </c>
      <c r="F27517" s="1">
        <v>5.3547892117325304E-3</v>
      </c>
    </row>
    <row r="27518" spans="1:6" x14ac:dyDescent="0.25">
      <c r="A27518" s="2" t="str">
        <f t="shared" si="974"/>
        <v>44180</v>
      </c>
      <c r="B27518" s="2" t="str">
        <f>"65757"</f>
        <v>65757</v>
      </c>
      <c r="C27518" s="1">
        <v>1.6120204106855902E-2</v>
      </c>
      <c r="D27518" s="1">
        <v>1.4305863389079101E-2</v>
      </c>
      <c r="E27518" s="1">
        <v>7.9845460399227304E-3</v>
      </c>
      <c r="F27518" s="1">
        <v>1.57299392127161E-2</v>
      </c>
    </row>
    <row r="27519" spans="1:6" x14ac:dyDescent="0.25">
      <c r="A27519" s="2" t="str">
        <f t="shared" ref="A27519:A27542" si="975">"35740"</f>
        <v>35740</v>
      </c>
      <c r="B27519" s="2" t="str">
        <f>"68747"</f>
        <v>68747</v>
      </c>
      <c r="C27519" s="1">
        <v>3.3590284656130199E-3</v>
      </c>
      <c r="D27519" s="1">
        <v>4.3459365493263698E-4</v>
      </c>
      <c r="E27519" s="1">
        <v>0</v>
      </c>
      <c r="F27519" s="1">
        <v>2.9570294954334398E-3</v>
      </c>
    </row>
    <row r="27520" spans="1:6" x14ac:dyDescent="0.25">
      <c r="A27520" s="2" t="str">
        <f t="shared" si="975"/>
        <v>35740</v>
      </c>
      <c r="B27520" s="2" t="str">
        <f>"68702"</f>
        <v>68702</v>
      </c>
      <c r="C27520" s="1">
        <v>3.29443176435123E-2</v>
      </c>
      <c r="D27520" s="1">
        <v>0.17209908735332399</v>
      </c>
      <c r="E27520" s="1">
        <v>1.6750418760468999E-3</v>
      </c>
      <c r="F27520" s="1">
        <v>4.3531965863153103E-2</v>
      </c>
    </row>
    <row r="27521" spans="1:6" x14ac:dyDescent="0.25">
      <c r="A27521" s="2" t="str">
        <f t="shared" si="975"/>
        <v>35740</v>
      </c>
      <c r="B27521" s="2" t="str">
        <f>"68631"</f>
        <v>68631</v>
      </c>
      <c r="C27521" s="1">
        <v>4.3064467507859198E-4</v>
      </c>
      <c r="D27521" s="1">
        <v>0</v>
      </c>
      <c r="E27521" s="1">
        <v>0</v>
      </c>
      <c r="F27521" s="1">
        <v>3.7430753106752502E-4</v>
      </c>
    </row>
    <row r="27522" spans="1:6" x14ac:dyDescent="0.25">
      <c r="A27522" s="2" t="str">
        <f t="shared" si="975"/>
        <v>35740</v>
      </c>
      <c r="B27522" s="2" t="str">
        <f>"68643"</f>
        <v>68643</v>
      </c>
      <c r="C27522" s="1">
        <v>1.7225787003143701E-3</v>
      </c>
      <c r="D27522" s="1">
        <v>4.3459365493263698E-4</v>
      </c>
      <c r="E27522" s="1">
        <v>0</v>
      </c>
      <c r="F27522" s="1">
        <v>1.53466087737685E-3</v>
      </c>
    </row>
    <row r="27523" spans="1:6" x14ac:dyDescent="0.25">
      <c r="A27523" s="2" t="str">
        <f t="shared" si="975"/>
        <v>35740</v>
      </c>
      <c r="B27523" s="2" t="str">
        <f>"68629"</f>
        <v>68629</v>
      </c>
      <c r="C27523" s="1">
        <v>2.9283837905344301E-3</v>
      </c>
      <c r="D27523" s="1">
        <v>4.3459365493263698E-4</v>
      </c>
      <c r="E27523" s="1">
        <v>0</v>
      </c>
      <c r="F27523" s="1">
        <v>2.5827219643659201E-3</v>
      </c>
    </row>
    <row r="27524" spans="1:6" x14ac:dyDescent="0.25">
      <c r="A27524" s="2" t="str">
        <f t="shared" si="975"/>
        <v>35740</v>
      </c>
      <c r="B27524" s="2" t="str">
        <f>"68769"</f>
        <v>68769</v>
      </c>
      <c r="C27524" s="1">
        <v>3.7982860341931803E-2</v>
      </c>
      <c r="D27524" s="1">
        <v>1.26032159930465E-2</v>
      </c>
      <c r="E27524" s="1">
        <v>5.0251256281407001E-3</v>
      </c>
      <c r="F27524" s="1">
        <v>3.4324000598891999E-2</v>
      </c>
    </row>
    <row r="27525" spans="1:6" x14ac:dyDescent="0.25">
      <c r="A27525" s="2" t="str">
        <f t="shared" si="975"/>
        <v>35740</v>
      </c>
      <c r="B27525" s="2" t="str">
        <f>"68729"</f>
        <v>68729</v>
      </c>
      <c r="C27525" s="1">
        <v>4.30644675078592E-5</v>
      </c>
      <c r="D27525" s="1">
        <v>0</v>
      </c>
      <c r="E27525" s="1">
        <v>0</v>
      </c>
      <c r="F27525" s="1">
        <v>3.7430753106752503E-5</v>
      </c>
    </row>
    <row r="27526" spans="1:6" x14ac:dyDescent="0.25">
      <c r="A27526" s="2" t="str">
        <f t="shared" si="975"/>
        <v>35740</v>
      </c>
      <c r="B27526" s="2" t="str">
        <f>"68715"</f>
        <v>68715</v>
      </c>
      <c r="C27526" s="1">
        <v>3.1350932345721498E-2</v>
      </c>
      <c r="D27526" s="1">
        <v>1.6949152542372801E-2</v>
      </c>
      <c r="E27526" s="1">
        <v>7.5376884422110497E-3</v>
      </c>
      <c r="F27526" s="1">
        <v>2.9046264410839899E-2</v>
      </c>
    </row>
    <row r="27527" spans="1:6" x14ac:dyDescent="0.25">
      <c r="A27527" s="2" t="str">
        <f t="shared" si="975"/>
        <v>35740</v>
      </c>
      <c r="B27527" s="2" t="str">
        <f>"68701"</f>
        <v>68701</v>
      </c>
      <c r="C27527" s="1">
        <v>0.60492657508289904</v>
      </c>
      <c r="D27527" s="1">
        <v>0.66536288570186797</v>
      </c>
      <c r="E27527" s="1">
        <v>0.87855946398659901</v>
      </c>
      <c r="F27527" s="1">
        <v>0.62236113190597298</v>
      </c>
    </row>
    <row r="27528" spans="1:6" x14ac:dyDescent="0.25">
      <c r="A27528" s="2" t="str">
        <f t="shared" si="975"/>
        <v>35740</v>
      </c>
      <c r="B27528" s="2" t="str">
        <f>"68641"</f>
        <v>68641</v>
      </c>
      <c r="C27528" s="1">
        <v>2.7561259205029901E-3</v>
      </c>
      <c r="D27528" s="1">
        <v>4.3459365493263698E-4</v>
      </c>
      <c r="E27528" s="1">
        <v>0</v>
      </c>
      <c r="F27528" s="1">
        <v>2.4329989519389101E-3</v>
      </c>
    </row>
    <row r="27529" spans="1:6" x14ac:dyDescent="0.25">
      <c r="A27529" s="2" t="str">
        <f t="shared" si="975"/>
        <v>35740</v>
      </c>
      <c r="B27529" s="2" t="str">
        <f>"68758"</f>
        <v>68758</v>
      </c>
      <c r="C27529" s="1">
        <v>1.9680461651091601E-2</v>
      </c>
      <c r="D27529" s="1">
        <v>2.3468057366362399E-2</v>
      </c>
      <c r="E27529" s="1">
        <v>1.3400335008375199E-2</v>
      </c>
      <c r="F27529" s="1">
        <v>1.97260068872585E-2</v>
      </c>
    </row>
    <row r="27530" spans="1:6" x14ac:dyDescent="0.25">
      <c r="A27530" s="2" t="str">
        <f t="shared" si="975"/>
        <v>35740</v>
      </c>
      <c r="B27530" s="2" t="str">
        <f>"68768"</f>
        <v>68768</v>
      </c>
      <c r="C27530" s="1">
        <v>1.7742560613238E-2</v>
      </c>
      <c r="D27530" s="1">
        <v>4.3459365493263699E-3</v>
      </c>
      <c r="E27530" s="1">
        <v>1.08877721943048E-2</v>
      </c>
      <c r="F27530" s="1">
        <v>1.62823776014373E-2</v>
      </c>
    </row>
    <row r="27531" spans="1:6" x14ac:dyDescent="0.25">
      <c r="A27531" s="2" t="str">
        <f t="shared" si="975"/>
        <v>35740</v>
      </c>
      <c r="B27531" s="2" t="str">
        <f>"68644"</f>
        <v>68644</v>
      </c>
      <c r="C27531" s="1">
        <v>1.67951423280651E-3</v>
      </c>
      <c r="D27531" s="1">
        <v>4.3459365493263698E-4</v>
      </c>
      <c r="E27531" s="1">
        <v>0</v>
      </c>
      <c r="F27531" s="1">
        <v>1.4972301242701001E-3</v>
      </c>
    </row>
    <row r="27532" spans="1:6" x14ac:dyDescent="0.25">
      <c r="A27532" s="2" t="str">
        <f t="shared" si="975"/>
        <v>35740</v>
      </c>
      <c r="B27532" s="2" t="str">
        <f>"68771"</f>
        <v>68771</v>
      </c>
      <c r="C27532" s="1">
        <v>5.1246716334352503E-3</v>
      </c>
      <c r="D27532" s="1">
        <v>2.60756192959582E-3</v>
      </c>
      <c r="E27532" s="1">
        <v>0</v>
      </c>
      <c r="F27532" s="1">
        <v>4.6788441383440599E-3</v>
      </c>
    </row>
    <row r="27533" spans="1:6" x14ac:dyDescent="0.25">
      <c r="A27533" s="2" t="str">
        <f t="shared" si="975"/>
        <v>35740</v>
      </c>
      <c r="B27533" s="2" t="str">
        <f>"68779"</f>
        <v>68779</v>
      </c>
      <c r="C27533" s="1">
        <v>5.0083975711640298E-2</v>
      </c>
      <c r="D27533" s="1">
        <v>8.2572794437201207E-3</v>
      </c>
      <c r="E27533" s="1">
        <v>1.25628140703517E-2</v>
      </c>
      <c r="F27533" s="1">
        <v>4.4804611468782701E-2</v>
      </c>
    </row>
    <row r="27534" spans="1:6" x14ac:dyDescent="0.25">
      <c r="A27534" s="2" t="str">
        <f t="shared" si="975"/>
        <v>35740</v>
      </c>
      <c r="B27534" s="2" t="str">
        <f>"68767"</f>
        <v>68767</v>
      </c>
      <c r="C27534" s="1">
        <v>6.1668317471254397E-2</v>
      </c>
      <c r="D27534" s="1">
        <v>5.4758800521512302E-2</v>
      </c>
      <c r="E27534" s="1">
        <v>3.60134003350083E-2</v>
      </c>
      <c r="F27534" s="1">
        <v>5.9926635723910701E-2</v>
      </c>
    </row>
    <row r="27535" spans="1:6" x14ac:dyDescent="0.25">
      <c r="A27535" s="2" t="str">
        <f t="shared" si="975"/>
        <v>35740</v>
      </c>
      <c r="B27535" s="2" t="str">
        <f>"68781"</f>
        <v>68781</v>
      </c>
      <c r="C27535" s="1">
        <v>1.7096593600620099E-2</v>
      </c>
      <c r="D27535" s="1">
        <v>5.2151238591916496E-3</v>
      </c>
      <c r="E27535" s="1">
        <v>2.5125628140703501E-3</v>
      </c>
      <c r="F27535" s="1">
        <v>1.5421470279982001E-2</v>
      </c>
    </row>
    <row r="27536" spans="1:6" x14ac:dyDescent="0.25">
      <c r="A27536" s="2" t="str">
        <f t="shared" si="975"/>
        <v>35740</v>
      </c>
      <c r="B27536" s="2" t="str">
        <f>"68740"</f>
        <v>68740</v>
      </c>
      <c r="C27536" s="1">
        <v>1.2919340252357699E-4</v>
      </c>
      <c r="D27536" s="1">
        <v>0</v>
      </c>
      <c r="E27536" s="1">
        <v>0</v>
      </c>
      <c r="F27536" s="1">
        <v>1.12292259320257E-4</v>
      </c>
    </row>
    <row r="27537" spans="1:6" x14ac:dyDescent="0.25">
      <c r="A27537" s="2" t="str">
        <f t="shared" si="975"/>
        <v>35740</v>
      </c>
      <c r="B27537" s="2" t="str">
        <f>"68738"</f>
        <v>68738</v>
      </c>
      <c r="C27537" s="1">
        <v>0</v>
      </c>
      <c r="D27537" s="1">
        <v>0</v>
      </c>
      <c r="E27537" s="1">
        <v>8.3752093802344995E-4</v>
      </c>
      <c r="F27537" s="1">
        <v>3.7430753106752503E-5</v>
      </c>
    </row>
    <row r="27538" spans="1:6" x14ac:dyDescent="0.25">
      <c r="A27538" s="2" t="str">
        <f t="shared" si="975"/>
        <v>35740</v>
      </c>
      <c r="B27538" s="2" t="str">
        <f>"68748"</f>
        <v>68748</v>
      </c>
      <c r="C27538" s="1">
        <v>5.9988803238447901E-2</v>
      </c>
      <c r="D27538" s="1">
        <v>2.1729682746631802E-2</v>
      </c>
      <c r="E27538" s="1">
        <v>2.4288107202680001E-2</v>
      </c>
      <c r="F27538" s="1">
        <v>5.5098068573139598E-2</v>
      </c>
    </row>
    <row r="27539" spans="1:6" x14ac:dyDescent="0.25">
      <c r="A27539" s="2" t="str">
        <f t="shared" si="975"/>
        <v>35740</v>
      </c>
      <c r="B27539" s="2" t="str">
        <f>"68642"</f>
        <v>68642</v>
      </c>
      <c r="C27539" s="1">
        <v>1.2058050902200501E-3</v>
      </c>
      <c r="D27539" s="1">
        <v>4.3459365493263698E-4</v>
      </c>
      <c r="E27539" s="1">
        <v>0</v>
      </c>
      <c r="F27539" s="1">
        <v>1.08549184009582E-3</v>
      </c>
    </row>
    <row r="27540" spans="1:6" x14ac:dyDescent="0.25">
      <c r="A27540" s="2" t="str">
        <f t="shared" si="975"/>
        <v>35740</v>
      </c>
      <c r="B27540" s="2" t="str">
        <f>"68752"</f>
        <v>68752</v>
      </c>
      <c r="C27540" s="1">
        <v>1.6235304250462899E-2</v>
      </c>
      <c r="D27540" s="1">
        <v>4.3459365493263699E-3</v>
      </c>
      <c r="E27540" s="1">
        <v>0</v>
      </c>
      <c r="F27540" s="1">
        <v>1.4485701452313199E-2</v>
      </c>
    </row>
    <row r="27541" spans="1:6" x14ac:dyDescent="0.25">
      <c r="A27541" s="2" t="str">
        <f t="shared" si="975"/>
        <v>35740</v>
      </c>
      <c r="B27541" s="2" t="str">
        <f>"68786"</f>
        <v>68786</v>
      </c>
      <c r="C27541" s="1">
        <v>8.6128935015718496E-5</v>
      </c>
      <c r="D27541" s="1">
        <v>0</v>
      </c>
      <c r="E27541" s="1">
        <v>0</v>
      </c>
      <c r="F27541" s="1">
        <v>7.4861506213505006E-5</v>
      </c>
    </row>
    <row r="27542" spans="1:6" x14ac:dyDescent="0.25">
      <c r="A27542" s="2" t="str">
        <f t="shared" si="975"/>
        <v>35740</v>
      </c>
      <c r="B27542" s="2" t="str">
        <f>"68765"</f>
        <v>68765</v>
      </c>
      <c r="C27542" s="1">
        <v>3.0834158735627198E-2</v>
      </c>
      <c r="D27542" s="1">
        <v>5.6497175141242903E-3</v>
      </c>
      <c r="E27542" s="1">
        <v>6.7001675041875996E-3</v>
      </c>
      <c r="F27542" s="1">
        <v>2.7586465039676499E-2</v>
      </c>
    </row>
    <row r="27543" spans="1:6" x14ac:dyDescent="0.25">
      <c r="A27543" s="2" t="str">
        <f t="shared" ref="A27543:A27561" si="976">"20940"</f>
        <v>20940</v>
      </c>
      <c r="B27543" s="2" t="str">
        <f>"92275"</f>
        <v>92275</v>
      </c>
      <c r="C27543" s="1">
        <v>1.6398012560877598E-5</v>
      </c>
      <c r="D27543" s="1">
        <v>0</v>
      </c>
      <c r="E27543" s="1">
        <v>0</v>
      </c>
      <c r="F27543" s="1">
        <v>1.41586906042929E-5</v>
      </c>
    </row>
    <row r="27544" spans="1:6" x14ac:dyDescent="0.25">
      <c r="A27544" s="2" t="str">
        <f t="shared" si="976"/>
        <v>20940</v>
      </c>
      <c r="B27544" s="2" t="str">
        <f>"92232"</f>
        <v>92232</v>
      </c>
      <c r="C27544" s="1">
        <v>7.3381106209927299E-2</v>
      </c>
      <c r="D27544" s="1">
        <v>5.7209769153563003E-2</v>
      </c>
      <c r="E27544" s="1">
        <v>5.4540496318516399E-4</v>
      </c>
      <c r="F27544" s="1">
        <v>6.8230730022087502E-2</v>
      </c>
    </row>
    <row r="27545" spans="1:6" x14ac:dyDescent="0.25">
      <c r="A27545" s="2" t="str">
        <f t="shared" si="976"/>
        <v>20940</v>
      </c>
      <c r="B27545" s="2" t="str">
        <f>"92251"</f>
        <v>92251</v>
      </c>
      <c r="C27545" s="1">
        <v>0.118049292425757</v>
      </c>
      <c r="D27545" s="1">
        <v>6.1893609902977501E-2</v>
      </c>
      <c r="E27545" s="1">
        <v>5.5085901281701599E-2</v>
      </c>
      <c r="F27545" s="1">
        <v>0.11002718468596</v>
      </c>
    </row>
    <row r="27546" spans="1:6" x14ac:dyDescent="0.25">
      <c r="A27546" s="2" t="str">
        <f t="shared" si="976"/>
        <v>20940</v>
      </c>
      <c r="B27546" s="2" t="str">
        <f>"92233"</f>
        <v>92233</v>
      </c>
      <c r="C27546" s="1">
        <v>3.6731548136365801E-3</v>
      </c>
      <c r="D27546" s="1">
        <v>7.6948812311809899E-3</v>
      </c>
      <c r="E27546" s="1">
        <v>7.6356694845922998E-3</v>
      </c>
      <c r="F27546" s="1">
        <v>4.2192898000792799E-3</v>
      </c>
    </row>
    <row r="27547" spans="1:6" x14ac:dyDescent="0.25">
      <c r="A27547" s="2" t="str">
        <f t="shared" si="976"/>
        <v>20940</v>
      </c>
      <c r="B27547" s="2" t="str">
        <f>"92231"</f>
        <v>92231</v>
      </c>
      <c r="C27547" s="1">
        <v>0.17683616745650399</v>
      </c>
      <c r="D27547" s="1">
        <v>0.23686851789896199</v>
      </c>
      <c r="E27547" s="1">
        <v>0.25252249795473097</v>
      </c>
      <c r="F27547" s="1">
        <v>0.18584697287194801</v>
      </c>
    </row>
    <row r="27548" spans="1:6" x14ac:dyDescent="0.25">
      <c r="A27548" s="2" t="str">
        <f t="shared" si="976"/>
        <v>20940</v>
      </c>
      <c r="B27548" s="2" t="str">
        <f>"92283"</f>
        <v>92283</v>
      </c>
      <c r="C27548" s="1">
        <v>4.4225439876686902E-2</v>
      </c>
      <c r="D27548" s="1">
        <v>1.3215122114419499E-2</v>
      </c>
      <c r="E27548" s="1">
        <v>8.4537769293700493E-3</v>
      </c>
      <c r="F27548" s="1">
        <v>3.9743444526250199E-2</v>
      </c>
    </row>
    <row r="27549" spans="1:6" x14ac:dyDescent="0.25">
      <c r="A27549" s="2" t="str">
        <f t="shared" si="976"/>
        <v>20940</v>
      </c>
      <c r="B27549" s="2" t="str">
        <f>"92222"</f>
        <v>92222</v>
      </c>
      <c r="C27549" s="1">
        <v>0</v>
      </c>
      <c r="D27549" s="1">
        <v>1.6728002676480401E-4</v>
      </c>
      <c r="E27549" s="1">
        <v>0</v>
      </c>
      <c r="F27549" s="1">
        <v>1.41586906042929E-5</v>
      </c>
    </row>
    <row r="27550" spans="1:6" x14ac:dyDescent="0.25">
      <c r="A27550" s="2" t="str">
        <f t="shared" si="976"/>
        <v>20940</v>
      </c>
      <c r="B27550" s="2" t="str">
        <f>"92281"</f>
        <v>92281</v>
      </c>
      <c r="C27550" s="1">
        <v>9.8388075365265698E-5</v>
      </c>
      <c r="D27550" s="1">
        <v>3.3456005352960801E-4</v>
      </c>
      <c r="E27550" s="1">
        <v>0</v>
      </c>
      <c r="F27550" s="1">
        <v>1.1326952483434299E-4</v>
      </c>
    </row>
    <row r="27551" spans="1:6" x14ac:dyDescent="0.25">
      <c r="A27551" s="2" t="str">
        <f t="shared" si="976"/>
        <v>20940</v>
      </c>
      <c r="B27551" s="2" t="str">
        <f>"92266"</f>
        <v>92266</v>
      </c>
      <c r="C27551" s="1">
        <v>0</v>
      </c>
      <c r="D27551" s="1">
        <v>1.6728002676480401E-4</v>
      </c>
      <c r="E27551" s="1">
        <v>0</v>
      </c>
      <c r="F27551" s="1">
        <v>1.41586906042929E-5</v>
      </c>
    </row>
    <row r="27552" spans="1:6" x14ac:dyDescent="0.25">
      <c r="A27552" s="2" t="str">
        <f t="shared" si="976"/>
        <v>20940</v>
      </c>
      <c r="B27552" s="2" t="str">
        <f>"92273"</f>
        <v>92273</v>
      </c>
      <c r="C27552" s="1">
        <v>1.6398012560877598E-5</v>
      </c>
      <c r="D27552" s="1">
        <v>1.6728002676480401E-4</v>
      </c>
      <c r="E27552" s="1">
        <v>0</v>
      </c>
      <c r="F27552" s="1">
        <v>2.8317381208585799E-5</v>
      </c>
    </row>
    <row r="27553" spans="1:6" x14ac:dyDescent="0.25">
      <c r="A27553" s="2" t="str">
        <f t="shared" si="976"/>
        <v>20940</v>
      </c>
      <c r="B27553" s="2" t="str">
        <f>"92257"</f>
        <v>92257</v>
      </c>
      <c r="C27553" s="1">
        <v>6.83797123788596E-3</v>
      </c>
      <c r="D27553" s="1">
        <v>4.3492806958849101E-3</v>
      </c>
      <c r="E27553" s="1">
        <v>2.1543496045814001E-2</v>
      </c>
      <c r="F27553" s="1">
        <v>7.3908364954408997E-3</v>
      </c>
    </row>
    <row r="27554" spans="1:6" x14ac:dyDescent="0.25">
      <c r="A27554" s="2" t="str">
        <f t="shared" si="976"/>
        <v>20940</v>
      </c>
      <c r="B27554" s="2" t="str">
        <f>"92274"</f>
        <v>92274</v>
      </c>
      <c r="C27554" s="1">
        <v>4.46353901907088E-2</v>
      </c>
      <c r="D27554" s="1">
        <v>1.08732017397122E-2</v>
      </c>
      <c r="E27554" s="1">
        <v>6.8721025361330706E-2</v>
      </c>
      <c r="F27554" s="1">
        <v>4.3028260746446098E-2</v>
      </c>
    </row>
    <row r="27555" spans="1:6" x14ac:dyDescent="0.25">
      <c r="A27555" s="2" t="str">
        <f t="shared" si="976"/>
        <v>20940</v>
      </c>
      <c r="B27555" s="2" t="str">
        <f>"92259"</f>
        <v>92259</v>
      </c>
      <c r="C27555" s="1">
        <v>1.6398012560877598E-5</v>
      </c>
      <c r="D27555" s="1">
        <v>1.6728002676480401E-4</v>
      </c>
      <c r="E27555" s="1">
        <v>0</v>
      </c>
      <c r="F27555" s="1">
        <v>2.8317381208585799E-5</v>
      </c>
    </row>
    <row r="27556" spans="1:6" x14ac:dyDescent="0.25">
      <c r="A27556" s="2" t="str">
        <f t="shared" si="976"/>
        <v>20940</v>
      </c>
      <c r="B27556" s="2" t="str">
        <f>"92250"</f>
        <v>92250</v>
      </c>
      <c r="C27556" s="1">
        <v>4.3913877638030202E-2</v>
      </c>
      <c r="D27556" s="1">
        <v>2.8604884576781502E-2</v>
      </c>
      <c r="E27556" s="1">
        <v>4.0359967275702201E-2</v>
      </c>
      <c r="F27556" s="1">
        <v>4.2433595741065797E-2</v>
      </c>
    </row>
    <row r="27557" spans="1:6" x14ac:dyDescent="0.25">
      <c r="A27557" s="2" t="str">
        <f t="shared" si="976"/>
        <v>20940</v>
      </c>
      <c r="B27557" s="2" t="str">
        <f>"92243"</f>
        <v>92243</v>
      </c>
      <c r="C27557" s="1">
        <v>0.26955053047570599</v>
      </c>
      <c r="D27557" s="1">
        <v>0.37203077952492403</v>
      </c>
      <c r="E27557" s="1">
        <v>0.39160076356694801</v>
      </c>
      <c r="F27557" s="1">
        <v>0.28456136376507901</v>
      </c>
    </row>
    <row r="27558" spans="1:6" x14ac:dyDescent="0.25">
      <c r="A27558" s="2" t="str">
        <f t="shared" si="976"/>
        <v>20940</v>
      </c>
      <c r="B27558" s="2" t="str">
        <f>"92225"</f>
        <v>92225</v>
      </c>
      <c r="C27558" s="1">
        <v>1.9677615073053099E-4</v>
      </c>
      <c r="D27558" s="1">
        <v>0</v>
      </c>
      <c r="E27558" s="1">
        <v>0</v>
      </c>
      <c r="F27558" s="1">
        <v>1.6990428725151399E-4</v>
      </c>
    </row>
    <row r="27559" spans="1:6" x14ac:dyDescent="0.25">
      <c r="A27559" s="2" t="str">
        <f t="shared" si="976"/>
        <v>20940</v>
      </c>
      <c r="B27559" s="2" t="str">
        <f>"92249"</f>
        <v>92249</v>
      </c>
      <c r="C27559" s="1">
        <v>2.1907744781332499E-2</v>
      </c>
      <c r="D27559" s="1">
        <v>6.0220809635329496E-3</v>
      </c>
      <c r="E27559" s="1">
        <v>6.2721570766293899E-3</v>
      </c>
      <c r="F27559" s="1">
        <v>1.9751373392988599E-2</v>
      </c>
    </row>
    <row r="27560" spans="1:6" x14ac:dyDescent="0.25">
      <c r="A27560" s="2" t="str">
        <f t="shared" si="976"/>
        <v>20940</v>
      </c>
      <c r="B27560" s="2" t="str">
        <f>"92244"</f>
        <v>92244</v>
      </c>
      <c r="C27560" s="1">
        <v>4.0814653264024399E-2</v>
      </c>
      <c r="D27560" s="1">
        <v>7.0090331214452906E-2</v>
      </c>
      <c r="E27560" s="1">
        <v>5.4540496318516399E-4</v>
      </c>
      <c r="F27560" s="1">
        <v>4.1201789658492298E-2</v>
      </c>
    </row>
    <row r="27561" spans="1:6" x14ac:dyDescent="0.25">
      <c r="A27561" s="2" t="str">
        <f t="shared" si="976"/>
        <v>20940</v>
      </c>
      <c r="B27561" s="2" t="str">
        <f>"92227"</f>
        <v>92227</v>
      </c>
      <c r="C27561" s="1">
        <v>0.15583031336601999</v>
      </c>
      <c r="D27561" s="1">
        <v>0.13014386082301699</v>
      </c>
      <c r="E27561" s="1">
        <v>0.146713935096809</v>
      </c>
      <c r="F27561" s="1">
        <v>0.153182873647845</v>
      </c>
    </row>
    <row r="27562" spans="1:6" x14ac:dyDescent="0.25">
      <c r="A27562" s="2" t="str">
        <f t="shared" ref="A27562:A27593" si="977">"42220"</f>
        <v>42220</v>
      </c>
      <c r="B27562" s="2" t="str">
        <f>"95445"</f>
        <v>95445</v>
      </c>
      <c r="C27562" s="1">
        <v>8.7192700227136892E-6</v>
      </c>
      <c r="D27562" s="1">
        <v>0</v>
      </c>
      <c r="E27562" s="1">
        <v>0</v>
      </c>
      <c r="F27562" s="1">
        <v>7.4568991230686597E-6</v>
      </c>
    </row>
    <row r="27563" spans="1:6" x14ac:dyDescent="0.25">
      <c r="A27563" s="2" t="str">
        <f t="shared" si="977"/>
        <v>42220</v>
      </c>
      <c r="B27563" s="2" t="str">
        <f>"95444"</f>
        <v>95444</v>
      </c>
      <c r="C27563" s="1">
        <v>4.1111358157095001E-3</v>
      </c>
      <c r="D27563" s="1">
        <v>2.1558693543171198E-3</v>
      </c>
      <c r="E27563" s="1">
        <v>1.0909090909090901E-3</v>
      </c>
      <c r="F27563" s="1">
        <v>3.7843763049573401E-3</v>
      </c>
    </row>
    <row r="27564" spans="1:6" x14ac:dyDescent="0.25">
      <c r="A27564" s="2" t="str">
        <f t="shared" si="977"/>
        <v>42220</v>
      </c>
      <c r="B27564" s="2" t="str">
        <f>"95412"</f>
        <v>95412</v>
      </c>
      <c r="C27564" s="1">
        <v>6.2778744163538602E-4</v>
      </c>
      <c r="D27564" s="1">
        <v>2.15586935431712E-4</v>
      </c>
      <c r="E27564" s="1">
        <v>1.8181818181818099E-4</v>
      </c>
      <c r="F27564" s="1">
        <v>5.6672433335321797E-4</v>
      </c>
    </row>
    <row r="27565" spans="1:6" x14ac:dyDescent="0.25">
      <c r="A27565" s="2" t="str">
        <f t="shared" si="977"/>
        <v>42220</v>
      </c>
      <c r="B27565" s="2" t="str">
        <f>"95497"</f>
        <v>95497</v>
      </c>
      <c r="C27565" s="1">
        <v>1.3078905034070501E-5</v>
      </c>
      <c r="D27565" s="1">
        <v>0</v>
      </c>
      <c r="E27565" s="1">
        <v>9.0909090909090904E-5</v>
      </c>
      <c r="F27565" s="1">
        <v>1.4913798246137301E-5</v>
      </c>
    </row>
    <row r="27566" spans="1:6" x14ac:dyDescent="0.25">
      <c r="A27566" s="2" t="str">
        <f t="shared" si="977"/>
        <v>42220</v>
      </c>
      <c r="B27566" s="2" t="str">
        <f>"95404"</f>
        <v>95404</v>
      </c>
      <c r="C27566" s="1">
        <v>7.8469070569411895E-2</v>
      </c>
      <c r="D27566" s="1">
        <v>6.9562717832632598E-2</v>
      </c>
      <c r="E27566" s="1">
        <v>0.108363636363636</v>
      </c>
      <c r="F27566" s="1">
        <v>7.8770953886535794E-2</v>
      </c>
    </row>
    <row r="27567" spans="1:6" x14ac:dyDescent="0.25">
      <c r="A27567" s="2" t="str">
        <f t="shared" si="977"/>
        <v>42220</v>
      </c>
      <c r="B27567" s="2" t="str">
        <f>"95486"</f>
        <v>95486</v>
      </c>
      <c r="C27567" s="1">
        <v>0</v>
      </c>
      <c r="D27567" s="1">
        <v>3.5931155905285398E-5</v>
      </c>
      <c r="E27567" s="1">
        <v>0</v>
      </c>
      <c r="F27567" s="1">
        <v>3.7284495615343298E-6</v>
      </c>
    </row>
    <row r="27568" spans="1:6" x14ac:dyDescent="0.25">
      <c r="A27568" s="2" t="str">
        <f t="shared" si="977"/>
        <v>42220</v>
      </c>
      <c r="B27568" s="2" t="str">
        <f>"94574"</f>
        <v>94574</v>
      </c>
      <c r="C27568" s="1">
        <v>4.35963501135684E-5</v>
      </c>
      <c r="D27568" s="1">
        <v>3.5931155905285398E-5</v>
      </c>
      <c r="E27568" s="1">
        <v>0</v>
      </c>
      <c r="F27568" s="1">
        <v>4.1012945176877601E-5</v>
      </c>
    </row>
    <row r="27569" spans="1:6" x14ac:dyDescent="0.25">
      <c r="A27569" s="2" t="str">
        <f t="shared" si="977"/>
        <v>42220</v>
      </c>
      <c r="B27569" s="2" t="str">
        <f>"95450"</f>
        <v>95450</v>
      </c>
      <c r="C27569" s="1">
        <v>8.32690287169158E-4</v>
      </c>
      <c r="D27569" s="1">
        <v>5.0303618267399605E-4</v>
      </c>
      <c r="E27569" s="1">
        <v>6.3636363636363597E-4</v>
      </c>
      <c r="F27569" s="1">
        <v>7.9043130704527795E-4</v>
      </c>
    </row>
    <row r="27570" spans="1:6" x14ac:dyDescent="0.25">
      <c r="A27570" s="2" t="str">
        <f t="shared" si="977"/>
        <v>42220</v>
      </c>
      <c r="B27570" s="2" t="str">
        <f>"95430"</f>
        <v>95430</v>
      </c>
      <c r="C27570" s="1">
        <v>4.3596350113568404E-6</v>
      </c>
      <c r="D27570" s="1">
        <v>3.5931155905285398E-5</v>
      </c>
      <c r="E27570" s="1">
        <v>0</v>
      </c>
      <c r="F27570" s="1">
        <v>7.4568991230686597E-6</v>
      </c>
    </row>
    <row r="27571" spans="1:6" x14ac:dyDescent="0.25">
      <c r="A27571" s="2" t="str">
        <f t="shared" si="977"/>
        <v>42220</v>
      </c>
      <c r="B27571" s="2" t="str">
        <f>"95439"</f>
        <v>95439</v>
      </c>
      <c r="C27571" s="1">
        <v>2.8381223923932999E-3</v>
      </c>
      <c r="D27571" s="1">
        <v>4.2398763968236799E-3</v>
      </c>
      <c r="E27571" s="1">
        <v>5.4545454545454504E-4</v>
      </c>
      <c r="F27571" s="1">
        <v>2.8895484101891002E-3</v>
      </c>
    </row>
    <row r="27572" spans="1:6" x14ac:dyDescent="0.25">
      <c r="A27572" s="2" t="str">
        <f t="shared" si="977"/>
        <v>42220</v>
      </c>
      <c r="B27572" s="2" t="str">
        <f>"95403"</f>
        <v>95403</v>
      </c>
      <c r="C27572" s="1">
        <v>8.3792184918278598E-2</v>
      </c>
      <c r="D27572" s="1">
        <v>9.6151773202543894E-2</v>
      </c>
      <c r="E27572" s="1">
        <v>0.124181818181818</v>
      </c>
      <c r="F27572" s="1">
        <v>8.6731193700411602E-2</v>
      </c>
    </row>
    <row r="27573" spans="1:6" x14ac:dyDescent="0.25">
      <c r="A27573" s="2" t="str">
        <f t="shared" si="977"/>
        <v>42220</v>
      </c>
      <c r="B27573" s="2" t="str">
        <f>"95492"</f>
        <v>95492</v>
      </c>
      <c r="C27573" s="1">
        <v>5.1108001238136302E-2</v>
      </c>
      <c r="D27573" s="1">
        <v>4.8471129316230099E-2</v>
      </c>
      <c r="E27573" s="1">
        <v>1.86363636363636E-2</v>
      </c>
      <c r="F27573" s="1">
        <v>4.9502624828491298E-2</v>
      </c>
    </row>
    <row r="27574" spans="1:6" x14ac:dyDescent="0.25">
      <c r="A27574" s="2" t="str">
        <f t="shared" si="977"/>
        <v>42220</v>
      </c>
      <c r="B27574" s="2" t="str">
        <f>"94922"</f>
        <v>94922</v>
      </c>
      <c r="C27574" s="1">
        <v>5.2315620136282098E-5</v>
      </c>
      <c r="D27574" s="1">
        <v>0</v>
      </c>
      <c r="E27574" s="1">
        <v>3.6363636363636302E-4</v>
      </c>
      <c r="F27574" s="1">
        <v>5.9655192984549298E-5</v>
      </c>
    </row>
    <row r="27575" spans="1:6" x14ac:dyDescent="0.25">
      <c r="A27575" s="2" t="str">
        <f t="shared" si="977"/>
        <v>42220</v>
      </c>
      <c r="B27575" s="2" t="str">
        <f>"94558"</f>
        <v>94558</v>
      </c>
      <c r="C27575" s="1">
        <v>8.7192700227136892E-6</v>
      </c>
      <c r="D27575" s="1">
        <v>0</v>
      </c>
      <c r="E27575" s="1">
        <v>0</v>
      </c>
      <c r="F27575" s="1">
        <v>7.4568991230686597E-6</v>
      </c>
    </row>
    <row r="27576" spans="1:6" x14ac:dyDescent="0.25">
      <c r="A27576" s="2" t="str">
        <f t="shared" si="977"/>
        <v>42220</v>
      </c>
      <c r="B27576" s="2" t="str">
        <f>"95465"</f>
        <v>95465</v>
      </c>
      <c r="C27576" s="1">
        <v>2.7988856772910901E-3</v>
      </c>
      <c r="D27576" s="1">
        <v>5.3896733857928202E-4</v>
      </c>
      <c r="E27576" s="1">
        <v>5.4545454545454504E-4</v>
      </c>
      <c r="F27576" s="1">
        <v>2.4719620592972601E-3</v>
      </c>
    </row>
    <row r="27577" spans="1:6" x14ac:dyDescent="0.25">
      <c r="A27577" s="2" t="str">
        <f t="shared" si="977"/>
        <v>42220</v>
      </c>
      <c r="B27577" s="2" t="str">
        <f>"95419"</f>
        <v>95419</v>
      </c>
      <c r="C27577" s="1">
        <v>0</v>
      </c>
      <c r="D27577" s="1">
        <v>3.5931155905285398E-5</v>
      </c>
      <c r="E27577" s="1">
        <v>0</v>
      </c>
      <c r="F27577" s="1">
        <v>3.7284495615343298E-6</v>
      </c>
    </row>
    <row r="27578" spans="1:6" x14ac:dyDescent="0.25">
      <c r="A27578" s="2" t="str">
        <f t="shared" si="977"/>
        <v>42220</v>
      </c>
      <c r="B27578" s="2" t="str">
        <f>"95409"</f>
        <v>95409</v>
      </c>
      <c r="C27578" s="1">
        <v>5.7847996965694003E-2</v>
      </c>
      <c r="D27578" s="1">
        <v>1.48395673888829E-2</v>
      </c>
      <c r="E27578" s="1">
        <v>3.2090909090909003E-2</v>
      </c>
      <c r="F27578" s="1">
        <v>5.2328789596134302E-2</v>
      </c>
    </row>
    <row r="27579" spans="1:6" x14ac:dyDescent="0.25">
      <c r="A27579" s="2" t="str">
        <f t="shared" si="977"/>
        <v>42220</v>
      </c>
      <c r="B27579" s="2" t="str">
        <f>"95402"</f>
        <v>95402</v>
      </c>
      <c r="C27579" s="1">
        <v>1.4761724148454201E-2</v>
      </c>
      <c r="D27579" s="1">
        <v>3.1691279508461699E-2</v>
      </c>
      <c r="E27579" s="1">
        <v>1.8181818181818099E-4</v>
      </c>
      <c r="F27579" s="1">
        <v>1.5920479627751501E-2</v>
      </c>
    </row>
    <row r="27580" spans="1:6" x14ac:dyDescent="0.25">
      <c r="A27580" s="2" t="str">
        <f t="shared" si="977"/>
        <v>42220</v>
      </c>
      <c r="B27580" s="2" t="str">
        <f>"94999"</f>
        <v>94999</v>
      </c>
      <c r="C27580" s="1">
        <v>0</v>
      </c>
      <c r="D27580" s="1">
        <v>3.5931155905285398E-5</v>
      </c>
      <c r="E27580" s="1">
        <v>1E-3</v>
      </c>
      <c r="F27580" s="1">
        <v>4.4741394738411897E-5</v>
      </c>
    </row>
    <row r="27581" spans="1:6" x14ac:dyDescent="0.25">
      <c r="A27581" s="2" t="str">
        <f t="shared" si="977"/>
        <v>42220</v>
      </c>
      <c r="B27581" s="2" t="str">
        <f>"94952"</f>
        <v>94952</v>
      </c>
      <c r="C27581" s="1">
        <v>6.1331345339768098E-2</v>
      </c>
      <c r="D27581" s="1">
        <v>7.1467069095612804E-2</v>
      </c>
      <c r="E27581" s="1">
        <v>0.100636363636363</v>
      </c>
      <c r="F27581" s="1">
        <v>6.3995108274175205E-2</v>
      </c>
    </row>
    <row r="27582" spans="1:6" x14ac:dyDescent="0.25">
      <c r="A27582" s="2" t="str">
        <f t="shared" si="977"/>
        <v>42220</v>
      </c>
      <c r="B27582" s="2" t="str">
        <f>"94927"</f>
        <v>94927</v>
      </c>
      <c r="C27582" s="1">
        <v>3.6620934095397501E-3</v>
      </c>
      <c r="D27582" s="1">
        <v>9.4858251589953601E-3</v>
      </c>
      <c r="E27582" s="1">
        <v>1.8181818181818099E-4</v>
      </c>
      <c r="F27582" s="1">
        <v>4.1236652150569699E-3</v>
      </c>
    </row>
    <row r="27583" spans="1:6" x14ac:dyDescent="0.25">
      <c r="A27583" s="2" t="str">
        <f t="shared" si="977"/>
        <v>42220</v>
      </c>
      <c r="B27583" s="2" t="str">
        <f>"95471"</f>
        <v>95471</v>
      </c>
      <c r="C27583" s="1">
        <v>3.0517445079497901E-5</v>
      </c>
      <c r="D27583" s="1">
        <v>1.07793467715856E-4</v>
      </c>
      <c r="E27583" s="1">
        <v>0</v>
      </c>
      <c r="F27583" s="1">
        <v>3.7284495615343298E-5</v>
      </c>
    </row>
    <row r="27584" spans="1:6" x14ac:dyDescent="0.25">
      <c r="A27584" s="2" t="str">
        <f t="shared" si="977"/>
        <v>42220</v>
      </c>
      <c r="B27584" s="2" t="str">
        <f>"95446"</f>
        <v>95446</v>
      </c>
      <c r="C27584" s="1">
        <v>1.2651660802957499E-2</v>
      </c>
      <c r="D27584" s="1">
        <v>4.63511911178182E-3</v>
      </c>
      <c r="E27584" s="1">
        <v>8.3636363636363596E-3</v>
      </c>
      <c r="F27584" s="1">
        <v>1.16439479806717E-2</v>
      </c>
    </row>
    <row r="27585" spans="1:6" x14ac:dyDescent="0.25">
      <c r="A27585" s="2" t="str">
        <f t="shared" si="977"/>
        <v>42220</v>
      </c>
      <c r="B27585" s="2" t="str">
        <f>"95416"</f>
        <v>95416</v>
      </c>
      <c r="C27585" s="1">
        <v>6.8271884277848202E-3</v>
      </c>
      <c r="D27585" s="1">
        <v>3.4493909669074002E-3</v>
      </c>
      <c r="E27585" s="1">
        <v>9.0909090909090904E-5</v>
      </c>
      <c r="F27585" s="1">
        <v>6.2004116208315904E-3</v>
      </c>
    </row>
    <row r="27586" spans="1:6" x14ac:dyDescent="0.25">
      <c r="A27586" s="2" t="str">
        <f t="shared" si="977"/>
        <v>42220</v>
      </c>
      <c r="B27586" s="2" t="str">
        <f>"95442"</f>
        <v>95442</v>
      </c>
      <c r="C27586" s="1">
        <v>6.5350928820239098E-3</v>
      </c>
      <c r="D27586" s="1">
        <v>2.2995939779382698E-3</v>
      </c>
      <c r="E27586" s="1">
        <v>1.0999999999999999E-2</v>
      </c>
      <c r="F27586" s="1">
        <v>6.2787090616238097E-3</v>
      </c>
    </row>
    <row r="27587" spans="1:6" x14ac:dyDescent="0.25">
      <c r="A27587" s="2" t="str">
        <f t="shared" si="977"/>
        <v>42220</v>
      </c>
      <c r="B27587" s="2" t="str">
        <f>"94931"</f>
        <v>94931</v>
      </c>
      <c r="C27587" s="1">
        <v>2.1418886810796199E-2</v>
      </c>
      <c r="D27587" s="1">
        <v>2.6876504617153501E-2</v>
      </c>
      <c r="E27587" s="1">
        <v>2.7E-2</v>
      </c>
      <c r="F27587" s="1">
        <v>2.2214102487621502E-2</v>
      </c>
    </row>
    <row r="27588" spans="1:6" x14ac:dyDescent="0.25">
      <c r="A27588" s="2" t="str">
        <f t="shared" si="977"/>
        <v>42220</v>
      </c>
      <c r="B27588" s="2" t="str">
        <f>"94975"</f>
        <v>94975</v>
      </c>
      <c r="C27588" s="1">
        <v>3.2958840685857701E-3</v>
      </c>
      <c r="D27588" s="1">
        <v>1.1030864862922599E-2</v>
      </c>
      <c r="E27588" s="1">
        <v>1.8181818181818099E-4</v>
      </c>
      <c r="F27588" s="1">
        <v>3.9707987830340597E-3</v>
      </c>
    </row>
    <row r="27589" spans="1:6" x14ac:dyDescent="0.25">
      <c r="A27589" s="2" t="str">
        <f t="shared" si="977"/>
        <v>42220</v>
      </c>
      <c r="B27589" s="2" t="str">
        <f>"94951"</f>
        <v>94951</v>
      </c>
      <c r="C27589" s="1">
        <v>9.8920118407686899E-3</v>
      </c>
      <c r="D27589" s="1">
        <v>7.0784377133412298E-3</v>
      </c>
      <c r="E27589" s="1">
        <v>3.4545454545454502E-3</v>
      </c>
      <c r="F27589" s="1">
        <v>9.3360377020819604E-3</v>
      </c>
    </row>
    <row r="27590" spans="1:6" x14ac:dyDescent="0.25">
      <c r="A27590" s="2" t="str">
        <f t="shared" si="977"/>
        <v>42220</v>
      </c>
      <c r="B27590" s="2" t="str">
        <f>"95461"</f>
        <v>95461</v>
      </c>
      <c r="C27590" s="1">
        <v>4.3596350113568404E-6</v>
      </c>
      <c r="D27590" s="1">
        <v>0</v>
      </c>
      <c r="E27590" s="1">
        <v>0</v>
      </c>
      <c r="F27590" s="1">
        <v>3.7284495615343298E-6</v>
      </c>
    </row>
    <row r="27591" spans="1:6" x14ac:dyDescent="0.25">
      <c r="A27591" s="2" t="str">
        <f t="shared" si="977"/>
        <v>42220</v>
      </c>
      <c r="B27591" s="2" t="str">
        <f>"95462"</f>
        <v>95462</v>
      </c>
      <c r="C27591" s="1">
        <v>1.82668706975851E-3</v>
      </c>
      <c r="D27591" s="1">
        <v>3.9524271495814002E-4</v>
      </c>
      <c r="E27591" s="1">
        <v>4.54545454545454E-4</v>
      </c>
      <c r="F27591" s="1">
        <v>1.6218755592674299E-3</v>
      </c>
    </row>
    <row r="27592" spans="1:6" x14ac:dyDescent="0.25">
      <c r="A27592" s="2" t="str">
        <f t="shared" si="977"/>
        <v>42220</v>
      </c>
      <c r="B27592" s="2" t="str">
        <f>"95431"</f>
        <v>95431</v>
      </c>
      <c r="C27592" s="1">
        <v>0</v>
      </c>
      <c r="D27592" s="1">
        <v>3.5931155905285398E-5</v>
      </c>
      <c r="E27592" s="1">
        <v>0</v>
      </c>
      <c r="F27592" s="1">
        <v>3.7284495615343298E-6</v>
      </c>
    </row>
    <row r="27593" spans="1:6" x14ac:dyDescent="0.25">
      <c r="A27593" s="2" t="str">
        <f t="shared" si="977"/>
        <v>42220</v>
      </c>
      <c r="B27593" s="2" t="str">
        <f>"95433"</f>
        <v>95433</v>
      </c>
      <c r="C27593" s="1">
        <v>2.6724562619617402E-3</v>
      </c>
      <c r="D27593" s="1">
        <v>2.9822859401386899E-3</v>
      </c>
      <c r="E27593" s="1">
        <v>9.0909090909090904E-5</v>
      </c>
      <c r="F27593" s="1">
        <v>2.5987293443894199E-3</v>
      </c>
    </row>
    <row r="27594" spans="1:6" x14ac:dyDescent="0.25">
      <c r="A27594" s="2" t="str">
        <f t="shared" ref="A27594:A27616" si="978">"42220"</f>
        <v>42220</v>
      </c>
      <c r="B27594" s="2" t="str">
        <f>"94972"</f>
        <v>94972</v>
      </c>
      <c r="C27594" s="1">
        <v>1.3078905034070501E-5</v>
      </c>
      <c r="D27594" s="1">
        <v>3.5931155905285398E-5</v>
      </c>
      <c r="E27594" s="1">
        <v>0</v>
      </c>
      <c r="F27594" s="1">
        <v>1.4913798246137301E-5</v>
      </c>
    </row>
    <row r="27595" spans="1:6" x14ac:dyDescent="0.25">
      <c r="A27595" s="2" t="str">
        <f t="shared" si="978"/>
        <v>42220</v>
      </c>
      <c r="B27595" s="2" t="str">
        <f>"95452"</f>
        <v>95452</v>
      </c>
      <c r="C27595" s="1">
        <v>2.0097917402355E-3</v>
      </c>
      <c r="D27595" s="1">
        <v>8.6234774172685102E-4</v>
      </c>
      <c r="E27595" s="1">
        <v>1.0909090909090901E-3</v>
      </c>
      <c r="F27595" s="1">
        <v>1.85303943208256E-3</v>
      </c>
    </row>
    <row r="27596" spans="1:6" x14ac:dyDescent="0.25">
      <c r="A27596" s="2" t="str">
        <f t="shared" si="978"/>
        <v>42220</v>
      </c>
      <c r="B27596" s="2" t="str">
        <f>"95425"</f>
        <v>95425</v>
      </c>
      <c r="C27596" s="1">
        <v>2.4409596428586901E-2</v>
      </c>
      <c r="D27596" s="1">
        <v>1.9869929215622799E-2</v>
      </c>
      <c r="E27596" s="1">
        <v>2.5909090909090899E-2</v>
      </c>
      <c r="F27596" s="1">
        <v>2.40000298275964E-2</v>
      </c>
    </row>
    <row r="27597" spans="1:6" x14ac:dyDescent="0.25">
      <c r="A27597" s="2" t="str">
        <f t="shared" si="978"/>
        <v>42220</v>
      </c>
      <c r="B27597" s="2" t="str">
        <f>"95472"</f>
        <v>95472</v>
      </c>
      <c r="C27597" s="1">
        <v>5.4586989977199102E-2</v>
      </c>
      <c r="D27597" s="1">
        <v>4.5488843376091402E-2</v>
      </c>
      <c r="E27597" s="1">
        <v>3.9E-2</v>
      </c>
      <c r="F27597" s="1">
        <v>5.3003638966772001E-2</v>
      </c>
    </row>
    <row r="27598" spans="1:6" x14ac:dyDescent="0.25">
      <c r="A27598" s="2" t="str">
        <f t="shared" si="978"/>
        <v>42220</v>
      </c>
      <c r="B27598" s="2" t="str">
        <f>"94953"</f>
        <v>94953</v>
      </c>
      <c r="C27598" s="1">
        <v>3.3525593237334101E-3</v>
      </c>
      <c r="D27598" s="1">
        <v>1.5845639754230801E-2</v>
      </c>
      <c r="E27598" s="1">
        <v>1.8181818181818099E-4</v>
      </c>
      <c r="F27598" s="1">
        <v>4.5188808685796E-3</v>
      </c>
    </row>
    <row r="27599" spans="1:6" x14ac:dyDescent="0.25">
      <c r="A27599" s="2" t="str">
        <f t="shared" si="978"/>
        <v>42220</v>
      </c>
      <c r="B27599" s="2" t="str">
        <f>"94923"</f>
        <v>94923</v>
      </c>
      <c r="C27599" s="1">
        <v>5.44954376419606E-3</v>
      </c>
      <c r="D27599" s="1">
        <v>3.2697351873809699E-3</v>
      </c>
      <c r="E27599" s="1">
        <v>1.1818181818181799E-3</v>
      </c>
      <c r="F27599" s="1">
        <v>5.0483207063174796E-3</v>
      </c>
    </row>
    <row r="27600" spans="1:6" x14ac:dyDescent="0.25">
      <c r="A27600" s="2" t="str">
        <f t="shared" si="978"/>
        <v>42220</v>
      </c>
      <c r="B27600" s="2" t="str">
        <f>"94515"</f>
        <v>94515</v>
      </c>
      <c r="C27600" s="1">
        <v>1.36892539356605E-3</v>
      </c>
      <c r="D27600" s="1">
        <v>3.23380403147569E-4</v>
      </c>
      <c r="E27600" s="1">
        <v>9.0909090909090904E-5</v>
      </c>
      <c r="F27600" s="1">
        <v>1.20801765793712E-3</v>
      </c>
    </row>
    <row r="27601" spans="1:6" x14ac:dyDescent="0.25">
      <c r="A27601" s="2" t="str">
        <f t="shared" si="978"/>
        <v>42220</v>
      </c>
      <c r="B27601" s="2" t="str">
        <f>"95406"</f>
        <v>95406</v>
      </c>
      <c r="C27601" s="1">
        <v>4.4642662516294097E-3</v>
      </c>
      <c r="D27601" s="1">
        <v>1.11386583306384E-2</v>
      </c>
      <c r="E27601" s="1">
        <v>1.8181818181818099E-4</v>
      </c>
      <c r="F27601" s="1">
        <v>4.98120861420986E-3</v>
      </c>
    </row>
    <row r="27602" spans="1:6" x14ac:dyDescent="0.25">
      <c r="A27602" s="2" t="str">
        <f t="shared" si="978"/>
        <v>42220</v>
      </c>
      <c r="B27602" s="2" t="str">
        <f>"95436"</f>
        <v>95436</v>
      </c>
      <c r="C27602" s="1">
        <v>1.7678319971052001E-2</v>
      </c>
      <c r="D27602" s="1">
        <v>8.8749955086055102E-3</v>
      </c>
      <c r="E27602" s="1">
        <v>6.1818181818181798E-3</v>
      </c>
      <c r="F27602" s="1">
        <v>1.6293324583904999E-2</v>
      </c>
    </row>
    <row r="27603" spans="1:6" x14ac:dyDescent="0.25">
      <c r="A27603" s="2" t="str">
        <f t="shared" si="978"/>
        <v>42220</v>
      </c>
      <c r="B27603" s="2" t="str">
        <f>"95421"</f>
        <v>95421</v>
      </c>
      <c r="C27603" s="1">
        <v>2.7858067722570201E-3</v>
      </c>
      <c r="D27603" s="1">
        <v>1.11386583306384E-3</v>
      </c>
      <c r="E27603" s="1">
        <v>5.4545454545454504E-4</v>
      </c>
      <c r="F27603" s="1">
        <v>2.5204319035972002E-3</v>
      </c>
    </row>
    <row r="27604" spans="1:6" x14ac:dyDescent="0.25">
      <c r="A27604" s="2" t="str">
        <f t="shared" si="978"/>
        <v>42220</v>
      </c>
      <c r="B27604" s="2" t="str">
        <f>"95407"</f>
        <v>95407</v>
      </c>
      <c r="C27604" s="1">
        <v>6.2264307232198501E-2</v>
      </c>
      <c r="D27604" s="1">
        <v>7.18623118105709E-2</v>
      </c>
      <c r="E27604" s="1">
        <v>6.7363636363636306E-2</v>
      </c>
      <c r="F27604" s="1">
        <v>6.3469396885998897E-2</v>
      </c>
    </row>
    <row r="27605" spans="1:6" x14ac:dyDescent="0.25">
      <c r="A27605" s="2" t="str">
        <f t="shared" si="978"/>
        <v>42220</v>
      </c>
      <c r="B27605" s="2" t="str">
        <f>"95405"</f>
        <v>95405</v>
      </c>
      <c r="C27605" s="1">
        <v>4.4272093540328801E-2</v>
      </c>
      <c r="D27605" s="1">
        <v>3.9703927275340403E-2</v>
      </c>
      <c r="E27605" s="1">
        <v>3.76363636363636E-2</v>
      </c>
      <c r="F27605" s="1">
        <v>4.35259201813517E-2</v>
      </c>
    </row>
    <row r="27606" spans="1:6" x14ac:dyDescent="0.25">
      <c r="A27606" s="2" t="str">
        <f t="shared" si="978"/>
        <v>42220</v>
      </c>
      <c r="B27606" s="2" t="str">
        <f>"95487"</f>
        <v>95487</v>
      </c>
      <c r="C27606" s="1">
        <v>1.6479420342928801E-3</v>
      </c>
      <c r="D27606" s="1">
        <v>3.9883583054866802E-3</v>
      </c>
      <c r="E27606" s="1">
        <v>9.0909090909090904E-5</v>
      </c>
      <c r="F27606" s="1">
        <v>1.8269402851518199E-3</v>
      </c>
    </row>
    <row r="27607" spans="1:6" x14ac:dyDescent="0.25">
      <c r="A27607" s="2" t="str">
        <f t="shared" si="978"/>
        <v>42220</v>
      </c>
      <c r="B27607" s="2" t="str">
        <f>"95473"</f>
        <v>95473</v>
      </c>
      <c r="C27607" s="1">
        <v>6.1165679209336504E-3</v>
      </c>
      <c r="D27607" s="1">
        <v>1.7426610614063399E-2</v>
      </c>
      <c r="E27607" s="1">
        <v>1.8181818181818099E-4</v>
      </c>
      <c r="F27607" s="1">
        <v>7.0467696712998799E-3</v>
      </c>
    </row>
    <row r="27608" spans="1:6" x14ac:dyDescent="0.25">
      <c r="A27608" s="2" t="str">
        <f t="shared" si="978"/>
        <v>42220</v>
      </c>
      <c r="B27608" s="2" t="str">
        <f>"95476"</f>
        <v>95476</v>
      </c>
      <c r="C27608" s="1">
        <v>7.80069492582081E-2</v>
      </c>
      <c r="D27608" s="1">
        <v>8.77438827207071E-2</v>
      </c>
      <c r="E27608" s="1">
        <v>8.0272727272727204E-2</v>
      </c>
      <c r="F27608" s="1">
        <v>7.9110242796635394E-2</v>
      </c>
    </row>
    <row r="27609" spans="1:6" x14ac:dyDescent="0.25">
      <c r="A27609" s="2" t="str">
        <f t="shared" si="978"/>
        <v>42220</v>
      </c>
      <c r="B27609" s="2" t="str">
        <f>"94928"</f>
        <v>94928</v>
      </c>
      <c r="C27609" s="1">
        <v>8.0740440410328795E-2</v>
      </c>
      <c r="D27609" s="1">
        <v>5.4184183105170397E-2</v>
      </c>
      <c r="E27609" s="1">
        <v>0.119727272727272</v>
      </c>
      <c r="F27609" s="1">
        <v>7.9583755890950306E-2</v>
      </c>
    </row>
    <row r="27610" spans="1:6" x14ac:dyDescent="0.25">
      <c r="A27610" s="2" t="str">
        <f t="shared" si="978"/>
        <v>42220</v>
      </c>
      <c r="B27610" s="2" t="str">
        <f>"95448"</f>
        <v>95448</v>
      </c>
      <c r="C27610" s="1">
        <v>4.3304254567807503E-2</v>
      </c>
      <c r="D27610" s="1">
        <v>6.12626208185117E-2</v>
      </c>
      <c r="E27610" s="1">
        <v>5.0545454545454498E-2</v>
      </c>
      <c r="F27610" s="1">
        <v>4.5464713953349598E-2</v>
      </c>
    </row>
    <row r="27611" spans="1:6" x14ac:dyDescent="0.25">
      <c r="A27611" s="2" t="str">
        <f t="shared" si="978"/>
        <v>42220</v>
      </c>
      <c r="B27611" s="2" t="str">
        <f>"95441"</f>
        <v>95441</v>
      </c>
      <c r="C27611" s="1">
        <v>6.6310048522737596E-3</v>
      </c>
      <c r="D27611" s="1">
        <v>6.43167690704609E-3</v>
      </c>
      <c r="E27611" s="1">
        <v>1.4545454545454499E-3</v>
      </c>
      <c r="F27611" s="1">
        <v>6.3980194475929102E-3</v>
      </c>
    </row>
    <row r="27612" spans="1:6" x14ac:dyDescent="0.25">
      <c r="A27612" s="2" t="str">
        <f t="shared" si="978"/>
        <v>42220</v>
      </c>
      <c r="B27612" s="2" t="str">
        <f>"95401"</f>
        <v>95401</v>
      </c>
      <c r="C27612" s="1">
        <v>6.2931331388936099E-2</v>
      </c>
      <c r="D27612" s="1">
        <v>7.6030325895584006E-2</v>
      </c>
      <c r="E27612" s="1">
        <v>7.4545454545454498E-2</v>
      </c>
      <c r="F27612" s="1">
        <v>6.4766897333412801E-2</v>
      </c>
    </row>
    <row r="27613" spans="1:6" x14ac:dyDescent="0.25">
      <c r="A27613" s="2" t="str">
        <f t="shared" si="978"/>
        <v>42220</v>
      </c>
      <c r="B27613" s="2" t="str">
        <f>"95480"</f>
        <v>95480</v>
      </c>
      <c r="C27613" s="1">
        <v>0</v>
      </c>
      <c r="D27613" s="1">
        <v>0</v>
      </c>
      <c r="E27613" s="1">
        <v>1.8181818181818099E-4</v>
      </c>
      <c r="F27613" s="1">
        <v>7.4568991230686597E-6</v>
      </c>
    </row>
    <row r="27614" spans="1:6" x14ac:dyDescent="0.25">
      <c r="A27614" s="2" t="str">
        <f t="shared" si="978"/>
        <v>42220</v>
      </c>
      <c r="B27614" s="2" t="str">
        <f>"94945"</f>
        <v>94945</v>
      </c>
      <c r="C27614" s="1">
        <v>4.3596350113568404E-6</v>
      </c>
      <c r="D27614" s="1">
        <v>0</v>
      </c>
      <c r="E27614" s="1">
        <v>0</v>
      </c>
      <c r="F27614" s="1">
        <v>3.7284495615343298E-6</v>
      </c>
    </row>
    <row r="27615" spans="1:6" x14ac:dyDescent="0.25">
      <c r="A27615" s="2" t="str">
        <f t="shared" si="978"/>
        <v>42220</v>
      </c>
      <c r="B27615" s="2" t="str">
        <f>"94955"</f>
        <v>94955</v>
      </c>
      <c r="C27615" s="1">
        <v>4.3683542813795599E-3</v>
      </c>
      <c r="D27615" s="1">
        <v>8.6594085731737901E-3</v>
      </c>
      <c r="E27615" s="1">
        <v>1.8181818181818099E-4</v>
      </c>
      <c r="F27615" s="1">
        <v>4.6419197041102402E-3</v>
      </c>
    </row>
    <row r="27616" spans="1:6" x14ac:dyDescent="0.25">
      <c r="A27616" s="2" t="str">
        <f t="shared" si="978"/>
        <v>42220</v>
      </c>
      <c r="B27616" s="2" t="str">
        <f>"94954"</f>
        <v>94954</v>
      </c>
      <c r="C27616" s="1">
        <v>6.6126943852260603E-2</v>
      </c>
      <c r="D27616" s="1">
        <v>5.7489849448456698E-2</v>
      </c>
      <c r="E27616" s="1">
        <v>5.4090909090909002E-2</v>
      </c>
      <c r="F27616" s="1">
        <v>6.4737069736920505E-2</v>
      </c>
    </row>
    <row r="27617" spans="1:6" x14ac:dyDescent="0.25">
      <c r="A27617" s="2" t="str">
        <f t="shared" ref="A27617:A27649" si="979">"39820"</f>
        <v>39820</v>
      </c>
      <c r="B27617" s="2" t="str">
        <f>"96087"</f>
        <v>96087</v>
      </c>
      <c r="C27617" s="1">
        <v>0</v>
      </c>
      <c r="D27617" s="1">
        <v>0</v>
      </c>
      <c r="E27617" s="1">
        <v>2.1321961620469001E-4</v>
      </c>
      <c r="F27617" s="1">
        <v>1.00244596816231E-5</v>
      </c>
    </row>
    <row r="27618" spans="1:6" x14ac:dyDescent="0.25">
      <c r="A27618" s="2" t="str">
        <f t="shared" si="979"/>
        <v>39820</v>
      </c>
      <c r="B27618" s="2" t="str">
        <f>"96099"</f>
        <v>96099</v>
      </c>
      <c r="C27618" s="1">
        <v>3.8743639234953497E-2</v>
      </c>
      <c r="D27618" s="1">
        <v>6.7425112201231596E-2</v>
      </c>
      <c r="E27618" s="1">
        <v>4.2643923240938099E-4</v>
      </c>
      <c r="F27618" s="1">
        <v>3.9696860339227702E-2</v>
      </c>
    </row>
    <row r="27619" spans="1:6" x14ac:dyDescent="0.25">
      <c r="A27619" s="2" t="str">
        <f t="shared" si="979"/>
        <v>39820</v>
      </c>
      <c r="B27619" s="2" t="str">
        <f>"96088"</f>
        <v>96088</v>
      </c>
      <c r="C27619" s="1">
        <v>2.7420015207346299E-2</v>
      </c>
      <c r="D27619" s="1">
        <v>6.1580210833942096E-3</v>
      </c>
      <c r="E27619" s="1">
        <v>6.3965884861407196E-3</v>
      </c>
      <c r="F27619" s="1">
        <v>2.43895104053891E-2</v>
      </c>
    </row>
    <row r="27620" spans="1:6" x14ac:dyDescent="0.25">
      <c r="A27620" s="2" t="str">
        <f t="shared" si="979"/>
        <v>39820</v>
      </c>
      <c r="B27620" s="2" t="str">
        <f>"96025"</f>
        <v>96025</v>
      </c>
      <c r="C27620" s="1">
        <v>7.3697139849096299E-4</v>
      </c>
      <c r="D27620" s="1">
        <v>3.1311971610478999E-4</v>
      </c>
      <c r="E27620" s="1">
        <v>4.2643923240938099E-4</v>
      </c>
      <c r="F27620" s="1">
        <v>6.8166325835037397E-4</v>
      </c>
    </row>
    <row r="27621" spans="1:6" x14ac:dyDescent="0.25">
      <c r="A27621" s="2" t="str">
        <f t="shared" si="979"/>
        <v>39820</v>
      </c>
      <c r="B27621" s="2" t="str">
        <f>"96047"</f>
        <v>96047</v>
      </c>
      <c r="C27621" s="1">
        <v>2.6554366263086999E-3</v>
      </c>
      <c r="D27621" s="1">
        <v>0</v>
      </c>
      <c r="E27621" s="1">
        <v>1.06609808102345E-3</v>
      </c>
      <c r="F27621" s="1">
        <v>2.3256746461365698E-3</v>
      </c>
    </row>
    <row r="27622" spans="1:6" x14ac:dyDescent="0.25">
      <c r="A27622" s="2" t="str">
        <f t="shared" si="979"/>
        <v>39820</v>
      </c>
      <c r="B27622" s="2" t="str">
        <f>"96008"</f>
        <v>96008</v>
      </c>
      <c r="C27622" s="1">
        <v>3.8018365795168701E-3</v>
      </c>
      <c r="D27622" s="1">
        <v>1.14810562571756E-3</v>
      </c>
      <c r="E27622" s="1">
        <v>6.3965884861407201E-4</v>
      </c>
      <c r="F27622" s="1">
        <v>3.3982918320702498E-3</v>
      </c>
    </row>
    <row r="27623" spans="1:6" x14ac:dyDescent="0.25">
      <c r="A27623" s="2" t="str">
        <f t="shared" si="979"/>
        <v>39820</v>
      </c>
      <c r="B27623" s="2" t="str">
        <f>"96069"</f>
        <v>96069</v>
      </c>
      <c r="C27623" s="1">
        <v>4.8195589869567696E-3</v>
      </c>
      <c r="D27623" s="1">
        <v>3.1311971610478999E-4</v>
      </c>
      <c r="E27623" s="1">
        <v>1.06609808102345E-3</v>
      </c>
      <c r="F27623" s="1">
        <v>4.2102730662817202E-3</v>
      </c>
    </row>
    <row r="27624" spans="1:6" x14ac:dyDescent="0.25">
      <c r="A27624" s="2" t="str">
        <f t="shared" si="979"/>
        <v>39820</v>
      </c>
      <c r="B27624" s="2" t="str">
        <f>"96096"</f>
        <v>96096</v>
      </c>
      <c r="C27624" s="1">
        <v>2.56185295665906E-3</v>
      </c>
      <c r="D27624" s="1">
        <v>1.04373238701596E-4</v>
      </c>
      <c r="E27624" s="1">
        <v>1.2793176972281401E-3</v>
      </c>
      <c r="F27624" s="1">
        <v>2.2655278880468299E-3</v>
      </c>
    </row>
    <row r="27625" spans="1:6" x14ac:dyDescent="0.25">
      <c r="A27625" s="2" t="str">
        <f t="shared" si="979"/>
        <v>39820</v>
      </c>
      <c r="B27625" s="2" t="str">
        <f>"96073"</f>
        <v>96073</v>
      </c>
      <c r="C27625" s="1">
        <v>2.8964145756565401E-2</v>
      </c>
      <c r="D27625" s="1">
        <v>3.8826844796993998E-2</v>
      </c>
      <c r="E27625" s="1">
        <v>8.5287846481876296E-3</v>
      </c>
      <c r="F27625" s="1">
        <v>2.89506395605276E-2</v>
      </c>
    </row>
    <row r="27626" spans="1:6" x14ac:dyDescent="0.25">
      <c r="A27626" s="2" t="str">
        <f t="shared" si="979"/>
        <v>39820</v>
      </c>
      <c r="B27626" s="2" t="str">
        <f>"96062"</f>
        <v>96062</v>
      </c>
      <c r="C27626" s="1">
        <v>4.50371410188922E-3</v>
      </c>
      <c r="D27626" s="1">
        <v>2.0874647740319301E-4</v>
      </c>
      <c r="E27626" s="1">
        <v>3.8379530916844299E-3</v>
      </c>
      <c r="F27626" s="1">
        <v>4.0599061710573803E-3</v>
      </c>
    </row>
    <row r="27627" spans="1:6" x14ac:dyDescent="0.25">
      <c r="A27627" s="2" t="str">
        <f t="shared" si="979"/>
        <v>39820</v>
      </c>
      <c r="B27627" s="2" t="str">
        <f>"96059"</f>
        <v>96059</v>
      </c>
      <c r="C27627" s="1">
        <v>1.38035912733228E-3</v>
      </c>
      <c r="D27627" s="1">
        <v>0</v>
      </c>
      <c r="E27627" s="1">
        <v>1.2793176972281401E-3</v>
      </c>
      <c r="F27627" s="1">
        <v>1.24303300052127E-3</v>
      </c>
    </row>
    <row r="27628" spans="1:6" x14ac:dyDescent="0.25">
      <c r="A27628" s="2" t="str">
        <f t="shared" si="979"/>
        <v>39820</v>
      </c>
      <c r="B27628" s="2" t="str">
        <f>"96019"</f>
        <v>96019</v>
      </c>
      <c r="C27628" s="1">
        <v>6.7777972743756201E-2</v>
      </c>
      <c r="D27628" s="1">
        <v>3.2981943429704598E-2</v>
      </c>
      <c r="E27628" s="1">
        <v>3.1769722814498899E-2</v>
      </c>
      <c r="F27628" s="1">
        <v>6.27430931472793E-2</v>
      </c>
    </row>
    <row r="27629" spans="1:6" x14ac:dyDescent="0.25">
      <c r="A27629" s="2" t="str">
        <f t="shared" si="979"/>
        <v>39820</v>
      </c>
      <c r="B27629" s="2" t="str">
        <f>"96002"</f>
        <v>96002</v>
      </c>
      <c r="C27629" s="1">
        <v>0.16385330759782399</v>
      </c>
      <c r="D27629" s="1">
        <v>0.239327836342761</v>
      </c>
      <c r="E27629" s="1">
        <v>0.273773987206823</v>
      </c>
      <c r="F27629" s="1">
        <v>0.17627009904166099</v>
      </c>
    </row>
    <row r="27630" spans="1:6" x14ac:dyDescent="0.25">
      <c r="A27630" s="2" t="str">
        <f t="shared" si="979"/>
        <v>39820</v>
      </c>
      <c r="B27630" s="2" t="str">
        <f>"96011"</f>
        <v>96011</v>
      </c>
      <c r="C27630" s="1">
        <v>0</v>
      </c>
      <c r="D27630" s="1">
        <v>0</v>
      </c>
      <c r="E27630" s="1">
        <v>2.1321961620469001E-4</v>
      </c>
      <c r="F27630" s="1">
        <v>1.00244596816231E-5</v>
      </c>
    </row>
    <row r="27631" spans="1:6" x14ac:dyDescent="0.25">
      <c r="A27631" s="2" t="str">
        <f t="shared" si="979"/>
        <v>39820</v>
      </c>
      <c r="B27631" s="2" t="str">
        <f>"96065"</f>
        <v>96065</v>
      </c>
      <c r="C27631" s="1">
        <v>8.7734690296543201E-4</v>
      </c>
      <c r="D27631" s="1">
        <v>1.04373238701596E-4</v>
      </c>
      <c r="E27631" s="1">
        <v>2.1321961620469E-3</v>
      </c>
      <c r="F27631" s="1">
        <v>8.6210353261959103E-4</v>
      </c>
    </row>
    <row r="27632" spans="1:6" x14ac:dyDescent="0.25">
      <c r="A27632" s="2" t="str">
        <f t="shared" si="979"/>
        <v>39820</v>
      </c>
      <c r="B27632" s="2" t="str">
        <f>"96040"</f>
        <v>96040</v>
      </c>
      <c r="C27632" s="1">
        <v>1.3452652512136599E-3</v>
      </c>
      <c r="D27632" s="1">
        <v>2.0874647740319301E-4</v>
      </c>
      <c r="E27632" s="1">
        <v>2.1321961620469001E-4</v>
      </c>
      <c r="F27632" s="1">
        <v>1.1828862424315299E-3</v>
      </c>
    </row>
    <row r="27633" spans="1:6" x14ac:dyDescent="0.25">
      <c r="A27633" s="2" t="str">
        <f t="shared" si="979"/>
        <v>39820</v>
      </c>
      <c r="B27633" s="2" t="str">
        <f>"96049"</f>
        <v>96049</v>
      </c>
      <c r="C27633" s="1">
        <v>2.14657542258875E-2</v>
      </c>
      <c r="D27633" s="1">
        <v>7.6088091013464101E-2</v>
      </c>
      <c r="E27633" s="1">
        <v>4.2643923240938099E-4</v>
      </c>
      <c r="F27633" s="1">
        <v>2.5722763543045001E-2</v>
      </c>
    </row>
    <row r="27634" spans="1:6" x14ac:dyDescent="0.25">
      <c r="A27634" s="2" t="str">
        <f t="shared" si="979"/>
        <v>39820</v>
      </c>
      <c r="B27634" s="2" t="str">
        <f>"96071"</f>
        <v>96071</v>
      </c>
      <c r="C27634" s="1">
        <v>5.8489793531028801E-4</v>
      </c>
      <c r="D27634" s="1">
        <v>4.17492954806387E-4</v>
      </c>
      <c r="E27634" s="1">
        <v>2.1321961620469001E-4</v>
      </c>
      <c r="F27634" s="1">
        <v>5.5134528248927304E-4</v>
      </c>
    </row>
    <row r="27635" spans="1:6" x14ac:dyDescent="0.25">
      <c r="A27635" s="2" t="str">
        <f t="shared" si="979"/>
        <v>39820</v>
      </c>
      <c r="B27635" s="2" t="str">
        <f>"96076"</f>
        <v>96076</v>
      </c>
      <c r="C27635" s="1">
        <v>4.6791834824823001E-4</v>
      </c>
      <c r="D27635" s="1">
        <v>4.17492954806387E-4</v>
      </c>
      <c r="E27635" s="1">
        <v>6.3965884861407201E-4</v>
      </c>
      <c r="F27635" s="1">
        <v>4.7114960503628802E-4</v>
      </c>
    </row>
    <row r="27636" spans="1:6" x14ac:dyDescent="0.25">
      <c r="A27636" s="2" t="str">
        <f t="shared" si="979"/>
        <v>39820</v>
      </c>
      <c r="B27636" s="2" t="str">
        <f>"96003"</f>
        <v>96003</v>
      </c>
      <c r="C27636" s="1">
        <v>0.237199508685734</v>
      </c>
      <c r="D27636" s="1">
        <v>0.14205197787287299</v>
      </c>
      <c r="E27636" s="1">
        <v>0.33049040511727001</v>
      </c>
      <c r="F27636" s="1">
        <v>0.23244717109747701</v>
      </c>
    </row>
    <row r="27637" spans="1:6" x14ac:dyDescent="0.25">
      <c r="A27637" s="2" t="str">
        <f t="shared" si="979"/>
        <v>39820</v>
      </c>
      <c r="B27637" s="2" t="str">
        <f>"96001"</f>
        <v>96001</v>
      </c>
      <c r="C27637" s="1">
        <v>0.17979762531438201</v>
      </c>
      <c r="D27637" s="1">
        <v>0.24318964617472</v>
      </c>
      <c r="E27637" s="1">
        <v>0.18955223880597</v>
      </c>
      <c r="F27637" s="1">
        <v>0.18634468102169199</v>
      </c>
    </row>
    <row r="27638" spans="1:6" x14ac:dyDescent="0.25">
      <c r="A27638" s="2" t="str">
        <f t="shared" si="979"/>
        <v>39820</v>
      </c>
      <c r="B27638" s="2" t="str">
        <f>"96007"</f>
        <v>96007</v>
      </c>
      <c r="C27638" s="1">
        <v>0.13354389659004501</v>
      </c>
      <c r="D27638" s="1">
        <v>0.11554117524266699</v>
      </c>
      <c r="E27638" s="1">
        <v>0.10724946695095899</v>
      </c>
      <c r="F27638" s="1">
        <v>0.13057861181282299</v>
      </c>
    </row>
    <row r="27639" spans="1:6" x14ac:dyDescent="0.25">
      <c r="A27639" s="2" t="str">
        <f t="shared" si="979"/>
        <v>39820</v>
      </c>
      <c r="B27639" s="2" t="str">
        <f>"96095"</f>
        <v>96095</v>
      </c>
      <c r="C27639" s="1">
        <v>0</v>
      </c>
      <c r="D27639" s="1">
        <v>0</v>
      </c>
      <c r="E27639" s="1">
        <v>2.1321961620469001E-4</v>
      </c>
      <c r="F27639" s="1">
        <v>1.00244596816231E-5</v>
      </c>
    </row>
    <row r="27640" spans="1:6" x14ac:dyDescent="0.25">
      <c r="A27640" s="2" t="str">
        <f t="shared" si="979"/>
        <v>39820</v>
      </c>
      <c r="B27640" s="2" t="str">
        <f>"96084"</f>
        <v>96084</v>
      </c>
      <c r="C27640" s="1">
        <v>0</v>
      </c>
      <c r="D27640" s="1">
        <v>0</v>
      </c>
      <c r="E27640" s="1">
        <v>2.1321961620469001E-4</v>
      </c>
      <c r="F27640" s="1">
        <v>1.00244596816231E-5</v>
      </c>
    </row>
    <row r="27641" spans="1:6" x14ac:dyDescent="0.25">
      <c r="A27641" s="2" t="str">
        <f t="shared" si="979"/>
        <v>39820</v>
      </c>
      <c r="B27641" s="2" t="str">
        <f>"96017"</f>
        <v>96017</v>
      </c>
      <c r="C27641" s="1">
        <v>2.1056325671170301E-4</v>
      </c>
      <c r="D27641" s="1">
        <v>0</v>
      </c>
      <c r="E27641" s="1">
        <v>2.1321961620469001E-4</v>
      </c>
      <c r="F27641" s="1">
        <v>1.9046473395083999E-4</v>
      </c>
    </row>
    <row r="27642" spans="1:6" x14ac:dyDescent="0.25">
      <c r="A27642" s="2" t="str">
        <f t="shared" si="979"/>
        <v>39820</v>
      </c>
      <c r="B27642" s="2" t="str">
        <f>"96056"</f>
        <v>96056</v>
      </c>
      <c r="C27642" s="1">
        <v>3.79013862081066E-3</v>
      </c>
      <c r="D27642" s="1">
        <v>2.2962112514351299E-3</v>
      </c>
      <c r="E27642" s="1">
        <v>2.1321961620469E-3</v>
      </c>
      <c r="F27642" s="1">
        <v>3.5687076466578401E-3</v>
      </c>
    </row>
    <row r="27643" spans="1:6" x14ac:dyDescent="0.25">
      <c r="A27643" s="2" t="str">
        <f t="shared" si="979"/>
        <v>39820</v>
      </c>
      <c r="B27643" s="2" t="str">
        <f>"96051"</f>
        <v>96051</v>
      </c>
      <c r="C27643" s="1">
        <v>7.6621629525647703E-3</v>
      </c>
      <c r="D27643" s="1">
        <v>1.9830915353303401E-3</v>
      </c>
      <c r="E27643" s="1">
        <v>6.3965884861407201E-4</v>
      </c>
      <c r="F27643" s="1">
        <v>6.7865592044588701E-3</v>
      </c>
    </row>
    <row r="27644" spans="1:6" x14ac:dyDescent="0.25">
      <c r="A27644" s="2" t="str">
        <f t="shared" si="979"/>
        <v>39820</v>
      </c>
      <c r="B27644" s="2" t="str">
        <f>"96028"</f>
        <v>96028</v>
      </c>
      <c r="C27644" s="1">
        <v>5.8372813943966704E-3</v>
      </c>
      <c r="D27644" s="1">
        <v>2.1918380127335301E-3</v>
      </c>
      <c r="E27644" s="1">
        <v>4.6908315565031902E-3</v>
      </c>
      <c r="F27644" s="1">
        <v>5.43325714743975E-3</v>
      </c>
    </row>
    <row r="27645" spans="1:6" x14ac:dyDescent="0.25">
      <c r="A27645" s="2" t="str">
        <f t="shared" si="979"/>
        <v>39820</v>
      </c>
      <c r="B27645" s="2" t="str">
        <f>"96089"</f>
        <v>96089</v>
      </c>
      <c r="C27645" s="1">
        <v>0</v>
      </c>
      <c r="D27645" s="1">
        <v>1.04373238701596E-4</v>
      </c>
      <c r="E27645" s="1">
        <v>2.1321961620469001E-4</v>
      </c>
      <c r="F27645" s="1">
        <v>2.0048919363246301E-5</v>
      </c>
    </row>
    <row r="27646" spans="1:6" x14ac:dyDescent="0.25">
      <c r="A27646" s="2" t="str">
        <f t="shared" si="979"/>
        <v>39820</v>
      </c>
      <c r="B27646" s="2" t="str">
        <f>"96033"</f>
        <v>96033</v>
      </c>
      <c r="C27646" s="1">
        <v>7.3697139849096299E-4</v>
      </c>
      <c r="D27646" s="1">
        <v>1.04373238701596E-4</v>
      </c>
      <c r="E27646" s="1">
        <v>2.1321961620469001E-4</v>
      </c>
      <c r="F27646" s="1">
        <v>6.5158987930550498E-4</v>
      </c>
    </row>
    <row r="27647" spans="1:6" x14ac:dyDescent="0.25">
      <c r="A27647" s="2" t="str">
        <f t="shared" si="979"/>
        <v>39820</v>
      </c>
      <c r="B27647" s="2" t="str">
        <f>"96013"</f>
        <v>96013</v>
      </c>
      <c r="C27647" s="1">
        <v>2.5571737731765801E-2</v>
      </c>
      <c r="D27647" s="1">
        <v>2.2544619559544898E-2</v>
      </c>
      <c r="E27647" s="1">
        <v>1.8976545842217401E-2</v>
      </c>
      <c r="F27647" s="1">
        <v>2.4970929066923199E-2</v>
      </c>
    </row>
    <row r="27648" spans="1:6" x14ac:dyDescent="0.25">
      <c r="A27648" s="2" t="str">
        <f t="shared" si="979"/>
        <v>39820</v>
      </c>
      <c r="B27648" s="2" t="str">
        <f>"96016"</f>
        <v>96016</v>
      </c>
      <c r="C27648" s="1">
        <v>1.48564075568813E-3</v>
      </c>
      <c r="D27648" s="1">
        <v>3.1311971610478999E-4</v>
      </c>
      <c r="E27648" s="1">
        <v>1.06609808102345E-3</v>
      </c>
      <c r="F27648" s="1">
        <v>1.3533020570191199E-3</v>
      </c>
    </row>
    <row r="27649" spans="1:6" x14ac:dyDescent="0.25">
      <c r="A27649" s="2" t="str">
        <f t="shared" si="979"/>
        <v>39820</v>
      </c>
      <c r="B27649" s="2" t="str">
        <f>"96022"</f>
        <v>96022</v>
      </c>
      <c r="C27649" s="1">
        <v>3.2204480318184403E-2</v>
      </c>
      <c r="D27649" s="1">
        <v>5.6361548898862298E-3</v>
      </c>
      <c r="E27649" s="1">
        <v>9.5948827292110794E-3</v>
      </c>
      <c r="F27649" s="1">
        <v>2.8589759011989201E-2</v>
      </c>
    </row>
    <row r="27650" spans="1:6" x14ac:dyDescent="0.25">
      <c r="A27650" s="2" t="str">
        <f t="shared" ref="A27650:A27667" si="980">"32780"</f>
        <v>32780</v>
      </c>
      <c r="B27650" s="2" t="str">
        <f>"97537"</f>
        <v>97537</v>
      </c>
      <c r="C27650" s="1">
        <v>4.5874292523086002E-2</v>
      </c>
      <c r="D27650" s="1">
        <v>2.7110345452896902E-2</v>
      </c>
      <c r="E27650" s="1">
        <v>1.80296200901481E-2</v>
      </c>
      <c r="F27650" s="1">
        <v>4.3212170571444303E-2</v>
      </c>
    </row>
    <row r="27651" spans="1:6" x14ac:dyDescent="0.25">
      <c r="A27651" s="2" t="str">
        <f t="shared" si="980"/>
        <v>32780</v>
      </c>
      <c r="B27651" s="2" t="str">
        <f>"97527"</f>
        <v>97527</v>
      </c>
      <c r="C27651" s="1">
        <v>6.69789945929356E-3</v>
      </c>
      <c r="D27651" s="1">
        <v>2.8107716021398099E-3</v>
      </c>
      <c r="E27651" s="1">
        <v>1.5024683408456699E-3</v>
      </c>
      <c r="F27651" s="1">
        <v>6.1675193130332302E-3</v>
      </c>
    </row>
    <row r="27652" spans="1:6" x14ac:dyDescent="0.25">
      <c r="A27652" s="2" t="str">
        <f t="shared" si="980"/>
        <v>32780</v>
      </c>
      <c r="B27652" s="2" t="str">
        <f>"97541"</f>
        <v>97541</v>
      </c>
      <c r="C27652" s="1">
        <v>6.9506503822857699E-3</v>
      </c>
      <c r="D27652" s="1">
        <v>1.90407108532051E-3</v>
      </c>
      <c r="E27652" s="1">
        <v>1.0731916720326199E-3</v>
      </c>
      <c r="F27652" s="1">
        <v>6.2940325297108296E-3</v>
      </c>
    </row>
    <row r="27653" spans="1:6" x14ac:dyDescent="0.25">
      <c r="A27653" s="2" t="str">
        <f t="shared" si="980"/>
        <v>32780</v>
      </c>
      <c r="B27653" s="2" t="str">
        <f>"97536"</f>
        <v>97536</v>
      </c>
      <c r="C27653" s="1">
        <v>4.9828039104178497E-3</v>
      </c>
      <c r="D27653" s="1">
        <v>1.17871067186508E-3</v>
      </c>
      <c r="E27653" s="1">
        <v>1.0731916720326199E-3</v>
      </c>
      <c r="F27653" s="1">
        <v>4.5070333441396696E-3</v>
      </c>
    </row>
    <row r="27654" spans="1:6" x14ac:dyDescent="0.25">
      <c r="A27654" s="2" t="str">
        <f t="shared" si="980"/>
        <v>32780</v>
      </c>
      <c r="B27654" s="2" t="str">
        <f>"97530"</f>
        <v>97530</v>
      </c>
      <c r="C27654" s="1">
        <v>3.7596699795091199E-2</v>
      </c>
      <c r="D27654" s="1">
        <v>1.0155045788376E-2</v>
      </c>
      <c r="E27654" s="1">
        <v>1.18051083923588E-2</v>
      </c>
      <c r="F27654" s="1">
        <v>3.4253453415461398E-2</v>
      </c>
    </row>
    <row r="27655" spans="1:6" x14ac:dyDescent="0.25">
      <c r="A27655" s="2" t="str">
        <f t="shared" si="980"/>
        <v>32780</v>
      </c>
      <c r="B27655" s="2" t="str">
        <f>"97522"</f>
        <v>97522</v>
      </c>
      <c r="C27655" s="1">
        <v>2.2115705761818301E-3</v>
      </c>
      <c r="D27655" s="1">
        <v>4.5335025840964702E-4</v>
      </c>
      <c r="E27655" s="1">
        <v>2.14638334406525E-4</v>
      </c>
      <c r="F27655" s="1">
        <v>1.9846760866299201E-3</v>
      </c>
    </row>
    <row r="27656" spans="1:6" x14ac:dyDescent="0.25">
      <c r="A27656" s="2" t="str">
        <f t="shared" si="980"/>
        <v>32780</v>
      </c>
      <c r="B27656" s="2" t="str">
        <f>"97524"</f>
        <v>97524</v>
      </c>
      <c r="C27656" s="1">
        <v>7.33609553984889E-2</v>
      </c>
      <c r="D27656" s="1">
        <v>3.5633330310998197E-2</v>
      </c>
      <c r="E27656" s="1">
        <v>2.7688345138441699E-2</v>
      </c>
      <c r="F27656" s="1">
        <v>6.8388300690287701E-2</v>
      </c>
    </row>
    <row r="27657" spans="1:6" x14ac:dyDescent="0.25">
      <c r="A27657" s="2" t="str">
        <f t="shared" si="980"/>
        <v>32780</v>
      </c>
      <c r="B27657" s="2" t="str">
        <f>"97540"</f>
        <v>97540</v>
      </c>
      <c r="C27657" s="1">
        <v>4.7038752132585897E-2</v>
      </c>
      <c r="D27657" s="1">
        <v>2.66569951944872E-2</v>
      </c>
      <c r="E27657" s="1">
        <v>3.4771410173857001E-2</v>
      </c>
      <c r="F27657" s="1">
        <v>4.4809399931999103E-2</v>
      </c>
    </row>
    <row r="27658" spans="1:6" x14ac:dyDescent="0.25">
      <c r="A27658" s="2" t="str">
        <f t="shared" si="980"/>
        <v>32780</v>
      </c>
      <c r="B27658" s="2" t="str">
        <f>"97502"</f>
        <v>97502</v>
      </c>
      <c r="C27658" s="1">
        <v>0.11613904911492</v>
      </c>
      <c r="D27658" s="1">
        <v>0.11578565599782301</v>
      </c>
      <c r="E27658" s="1">
        <v>7.0830650354153202E-2</v>
      </c>
      <c r="F27658" s="1">
        <v>0.114439111560935</v>
      </c>
    </row>
    <row r="27659" spans="1:6" x14ac:dyDescent="0.25">
      <c r="A27659" s="2" t="str">
        <f t="shared" si="980"/>
        <v>32780</v>
      </c>
      <c r="B27659" s="2" t="str">
        <f>"97501"</f>
        <v>97501</v>
      </c>
      <c r="C27659" s="1">
        <v>0.197290149032776</v>
      </c>
      <c r="D27659" s="1">
        <v>0.30746214525342203</v>
      </c>
      <c r="E27659" s="1">
        <v>0.281176218072547</v>
      </c>
      <c r="F27659" s="1">
        <v>0.20998821845669599</v>
      </c>
    </row>
    <row r="27660" spans="1:6" x14ac:dyDescent="0.25">
      <c r="A27660" s="2" t="str">
        <f t="shared" si="980"/>
        <v>32780</v>
      </c>
      <c r="B27660" s="2" t="str">
        <f>"97504"</f>
        <v>97504</v>
      </c>
      <c r="C27660" s="1">
        <v>0.203157581173666</v>
      </c>
      <c r="D27660" s="1">
        <v>0.19874875328678901</v>
      </c>
      <c r="E27660" s="1">
        <v>0.31380124490233902</v>
      </c>
      <c r="F27660" s="1">
        <v>0.206849109267883</v>
      </c>
    </row>
    <row r="27661" spans="1:6" x14ac:dyDescent="0.25">
      <c r="A27661" s="2" t="str">
        <f t="shared" si="980"/>
        <v>32780</v>
      </c>
      <c r="B27661" s="2" t="str">
        <f>"97539"</f>
        <v>97539</v>
      </c>
      <c r="C27661" s="1">
        <v>1.47678753576876E-2</v>
      </c>
      <c r="D27661" s="1">
        <v>5.0775228941880397E-3</v>
      </c>
      <c r="E27661" s="1">
        <v>8.5855333762609991E-3</v>
      </c>
      <c r="F27661" s="1">
        <v>1.3695055705350701E-2</v>
      </c>
    </row>
    <row r="27662" spans="1:6" x14ac:dyDescent="0.25">
      <c r="A27662" s="2" t="str">
        <f t="shared" si="980"/>
        <v>32780</v>
      </c>
      <c r="B27662" s="2" t="str">
        <f>"97535"</f>
        <v>97535</v>
      </c>
      <c r="C27662" s="1">
        <v>3.4563688719184603E-2</v>
      </c>
      <c r="D27662" s="1">
        <v>2.9195756641581201E-2</v>
      </c>
      <c r="E27662" s="1">
        <v>3.2195750160978698E-2</v>
      </c>
      <c r="F27662" s="1">
        <v>3.4008334058148598E-2</v>
      </c>
    </row>
    <row r="27663" spans="1:6" x14ac:dyDescent="0.25">
      <c r="A27663" s="2" t="str">
        <f t="shared" si="980"/>
        <v>32780</v>
      </c>
      <c r="B27663" s="2" t="str">
        <f>"97526"</f>
        <v>97526</v>
      </c>
      <c r="C27663" s="1">
        <v>1.6338541807710699E-3</v>
      </c>
      <c r="D27663" s="1">
        <v>0</v>
      </c>
      <c r="E27663" s="1">
        <v>1.0731916720326199E-3</v>
      </c>
      <c r="F27663" s="1">
        <v>1.4707161438771499E-3</v>
      </c>
    </row>
    <row r="27664" spans="1:6" x14ac:dyDescent="0.25">
      <c r="A27664" s="2" t="str">
        <f t="shared" si="980"/>
        <v>32780</v>
      </c>
      <c r="B27664" s="2" t="str">
        <f>"97503"</f>
        <v>97503</v>
      </c>
      <c r="C27664" s="1">
        <v>4.7571334434605199E-2</v>
      </c>
      <c r="D27664" s="1">
        <v>4.8236467494786398E-2</v>
      </c>
      <c r="E27664" s="1">
        <v>1.52393217428632E-2</v>
      </c>
      <c r="F27664" s="1">
        <v>4.6438257596723299E-2</v>
      </c>
    </row>
    <row r="27665" spans="1:6" x14ac:dyDescent="0.25">
      <c r="A27665" s="2" t="str">
        <f t="shared" si="980"/>
        <v>32780</v>
      </c>
      <c r="B27665" s="2" t="str">
        <f>"97497"</f>
        <v>97497</v>
      </c>
      <c r="C27665" s="1">
        <v>7.2214549426345603E-5</v>
      </c>
      <c r="D27665" s="1">
        <v>0</v>
      </c>
      <c r="E27665" s="1">
        <v>0</v>
      </c>
      <c r="F27665" s="1">
        <v>6.3256608338802298E-5</v>
      </c>
    </row>
    <row r="27666" spans="1:6" x14ac:dyDescent="0.25">
      <c r="A27666" s="2" t="str">
        <f t="shared" si="980"/>
        <v>32780</v>
      </c>
      <c r="B27666" s="2" t="str">
        <f>"97525"</f>
        <v>97525</v>
      </c>
      <c r="C27666" s="1">
        <v>2.3271138552639799E-2</v>
      </c>
      <c r="D27666" s="1">
        <v>2.9014416538217401E-3</v>
      </c>
      <c r="E27666" s="1">
        <v>1.03026400515132E-2</v>
      </c>
      <c r="F27666" s="1">
        <v>2.1017008120567001E-2</v>
      </c>
    </row>
    <row r="27667" spans="1:6" x14ac:dyDescent="0.25">
      <c r="A27667" s="2" t="str">
        <f t="shared" si="980"/>
        <v>32780</v>
      </c>
      <c r="B27667" s="2" t="str">
        <f>"97520"</f>
        <v>97520</v>
      </c>
      <c r="C27667" s="1">
        <v>0.13681949070689001</v>
      </c>
      <c r="D27667" s="1">
        <v>0.186689636413092</v>
      </c>
      <c r="E27667" s="1">
        <v>0.170637475853187</v>
      </c>
      <c r="F27667" s="1">
        <v>0.142414346598771</v>
      </c>
    </row>
    <row r="27668" spans="1:6" x14ac:dyDescent="0.25">
      <c r="A27668" s="2" t="str">
        <f t="shared" ref="A27668:A27694" si="981">"14740"</f>
        <v>14740</v>
      </c>
      <c r="B27668" s="2" t="str">
        <f>"98386"</f>
        <v>98386</v>
      </c>
      <c r="C27668" s="1">
        <v>0</v>
      </c>
      <c r="D27668" s="1">
        <v>0</v>
      </c>
      <c r="E27668" s="1">
        <v>1.0843634786380301E-4</v>
      </c>
      <c r="F27668" s="1">
        <v>6.2343750974121101E-6</v>
      </c>
    </row>
    <row r="27669" spans="1:6" x14ac:dyDescent="0.25">
      <c r="A27669" s="2" t="str">
        <f t="shared" si="981"/>
        <v>14740</v>
      </c>
      <c r="B27669" s="2" t="str">
        <f>"98342"</f>
        <v>98342</v>
      </c>
      <c r="C27669" s="1">
        <v>6.6112985305048803E-3</v>
      </c>
      <c r="D27669" s="1">
        <v>3.9939646756013102E-3</v>
      </c>
      <c r="E27669" s="1">
        <v>4.3374539145521501E-4</v>
      </c>
      <c r="F27669" s="1">
        <v>6.0722813448793904E-3</v>
      </c>
    </row>
    <row r="27670" spans="1:6" x14ac:dyDescent="0.25">
      <c r="A27670" s="2" t="str">
        <f t="shared" si="981"/>
        <v>14740</v>
      </c>
      <c r="B27670" s="2" t="str">
        <f>"98314"</f>
        <v>98314</v>
      </c>
      <c r="C27670" s="1">
        <v>0</v>
      </c>
      <c r="D27670" s="1">
        <v>0</v>
      </c>
      <c r="E27670" s="1">
        <v>2.4506614617219601E-2</v>
      </c>
      <c r="F27670" s="1">
        <v>1.40896877201513E-3</v>
      </c>
    </row>
    <row r="27671" spans="1:6" x14ac:dyDescent="0.25">
      <c r="A27671" s="2" t="str">
        <f t="shared" si="981"/>
        <v>14740</v>
      </c>
      <c r="B27671" s="2" t="str">
        <f>"98367"</f>
        <v>98367</v>
      </c>
      <c r="C27671" s="1">
        <v>9.3151409457373199E-2</v>
      </c>
      <c r="D27671" s="1">
        <v>1.8816011360610601E-2</v>
      </c>
      <c r="E27671" s="1">
        <v>3.7518976360876102E-2</v>
      </c>
      <c r="F27671" s="1">
        <v>8.4731391948927898E-2</v>
      </c>
    </row>
    <row r="27672" spans="1:6" x14ac:dyDescent="0.25">
      <c r="A27672" s="2" t="str">
        <f t="shared" si="981"/>
        <v>14740</v>
      </c>
      <c r="B27672" s="2" t="str">
        <f>"98366"</f>
        <v>98366</v>
      </c>
      <c r="C27672" s="1">
        <v>0.13295500028589299</v>
      </c>
      <c r="D27672" s="1">
        <v>0.14289518061595799</v>
      </c>
      <c r="E27672" s="1">
        <v>8.6315332899587899E-2</v>
      </c>
      <c r="F27672" s="1">
        <v>0.13097175204643299</v>
      </c>
    </row>
    <row r="27673" spans="1:6" x14ac:dyDescent="0.25">
      <c r="A27673" s="2" t="str">
        <f t="shared" si="981"/>
        <v>14740</v>
      </c>
      <c r="B27673" s="2" t="str">
        <f>"98310"</f>
        <v>98310</v>
      </c>
      <c r="C27673" s="1">
        <v>7.84707530447709E-2</v>
      </c>
      <c r="D27673" s="1">
        <v>7.3577704801633004E-2</v>
      </c>
      <c r="E27673" s="1">
        <v>0.114942528735632</v>
      </c>
      <c r="F27673" s="1">
        <v>8.0223938753498994E-2</v>
      </c>
    </row>
    <row r="27674" spans="1:6" x14ac:dyDescent="0.25">
      <c r="A27674" s="2" t="str">
        <f t="shared" si="981"/>
        <v>14740</v>
      </c>
      <c r="B27674" s="2" t="str">
        <f>"98329"</f>
        <v>98329</v>
      </c>
      <c r="C27674" s="1">
        <v>2.71599290982903E-4</v>
      </c>
      <c r="D27674" s="1">
        <v>0</v>
      </c>
      <c r="E27674" s="1">
        <v>0</v>
      </c>
      <c r="F27674" s="1">
        <v>2.3690625370165999E-4</v>
      </c>
    </row>
    <row r="27675" spans="1:6" x14ac:dyDescent="0.25">
      <c r="A27675" s="2" t="str">
        <f t="shared" si="981"/>
        <v>14740</v>
      </c>
      <c r="B27675" s="2" t="str">
        <f>"98312"</f>
        <v>98312</v>
      </c>
      <c r="C27675" s="1">
        <v>0.13041769112013199</v>
      </c>
      <c r="D27675" s="1">
        <v>0.10410934587734</v>
      </c>
      <c r="E27675" s="1">
        <v>0.18032964649750499</v>
      </c>
      <c r="F27675" s="1">
        <v>0.13143933017873899</v>
      </c>
    </row>
    <row r="27676" spans="1:6" x14ac:dyDescent="0.25">
      <c r="A27676" s="2" t="str">
        <f t="shared" si="981"/>
        <v>14740</v>
      </c>
      <c r="B27676" s="2" t="str">
        <f>"98061"</f>
        <v>98061</v>
      </c>
      <c r="C27676" s="1">
        <v>1.7082165932872E-3</v>
      </c>
      <c r="D27676" s="1">
        <v>1.1538120173959301E-2</v>
      </c>
      <c r="E27676" s="1">
        <v>1.0843634786380301E-4</v>
      </c>
      <c r="F27676" s="1">
        <v>2.3067187860424799E-3</v>
      </c>
    </row>
    <row r="27677" spans="1:6" x14ac:dyDescent="0.25">
      <c r="A27677" s="2" t="str">
        <f t="shared" si="981"/>
        <v>14740</v>
      </c>
      <c r="B27677" s="2" t="str">
        <f>"98353"</f>
        <v>98353</v>
      </c>
      <c r="C27677" s="1">
        <v>4.4170621533535298E-3</v>
      </c>
      <c r="D27677" s="1">
        <v>6.9228721043756098E-3</v>
      </c>
      <c r="E27677" s="1">
        <v>1.0843634786380301E-4</v>
      </c>
      <c r="F27677" s="1">
        <v>4.3453594428962397E-3</v>
      </c>
    </row>
    <row r="27678" spans="1:6" x14ac:dyDescent="0.25">
      <c r="A27678" s="2" t="str">
        <f t="shared" si="981"/>
        <v>14740</v>
      </c>
      <c r="B27678" s="2" t="str">
        <f>"98311"</f>
        <v>98311</v>
      </c>
      <c r="C27678" s="1">
        <v>7.8871004631482597E-2</v>
      </c>
      <c r="D27678" s="1">
        <v>2.6093902547261901E-2</v>
      </c>
      <c r="E27678" s="1">
        <v>0.133593580568206</v>
      </c>
      <c r="F27678" s="1">
        <v>7.8309985598593507E-2</v>
      </c>
    </row>
    <row r="27679" spans="1:6" x14ac:dyDescent="0.25">
      <c r="A27679" s="2" t="str">
        <f t="shared" si="981"/>
        <v>14740</v>
      </c>
      <c r="B27679" s="2" t="str">
        <f>"98392"</f>
        <v>98392</v>
      </c>
      <c r="C27679" s="1">
        <v>1.5738464177482901E-2</v>
      </c>
      <c r="D27679" s="1">
        <v>8.8754770568918E-3</v>
      </c>
      <c r="E27679" s="1">
        <v>4.3374539145521501E-4</v>
      </c>
      <c r="F27679" s="1">
        <v>1.43764689746323E-2</v>
      </c>
    </row>
    <row r="27680" spans="1:6" x14ac:dyDescent="0.25">
      <c r="A27680" s="2" t="str">
        <f t="shared" si="981"/>
        <v>14740</v>
      </c>
      <c r="B27680" s="2" t="str">
        <f>"98359"</f>
        <v>98359</v>
      </c>
      <c r="C27680" s="1">
        <v>2.0956029504259802E-2</v>
      </c>
      <c r="D27680" s="1">
        <v>1.18043844856661E-2</v>
      </c>
      <c r="E27680" s="1">
        <v>1.1927998265018401E-3</v>
      </c>
      <c r="F27680" s="1">
        <v>1.9176937799639599E-2</v>
      </c>
    </row>
    <row r="27681" spans="1:6" x14ac:dyDescent="0.25">
      <c r="A27681" s="2" t="str">
        <f t="shared" si="981"/>
        <v>14740</v>
      </c>
      <c r="B27681" s="2" t="str">
        <f>"98340"</f>
        <v>98340</v>
      </c>
      <c r="C27681" s="1">
        <v>1.2922408370976E-2</v>
      </c>
      <c r="D27681" s="1">
        <v>4.2602289873080604E-3</v>
      </c>
      <c r="E27681" s="1">
        <v>8.6749078291043099E-4</v>
      </c>
      <c r="F27681" s="1">
        <v>1.1620875181576101E-2</v>
      </c>
    </row>
    <row r="27682" spans="1:6" x14ac:dyDescent="0.25">
      <c r="A27682" s="2" t="str">
        <f t="shared" si="981"/>
        <v>14740</v>
      </c>
      <c r="B27682" s="2" t="str">
        <f>"98110"</f>
        <v>98110</v>
      </c>
      <c r="C27682" s="1">
        <v>8.86986105552061E-2</v>
      </c>
      <c r="D27682" s="1">
        <v>0.138191177775805</v>
      </c>
      <c r="E27682" s="1">
        <v>7.4495770982433304E-2</v>
      </c>
      <c r="F27682" s="1">
        <v>9.1358532677476997E-2</v>
      </c>
    </row>
    <row r="27683" spans="1:6" x14ac:dyDescent="0.25">
      <c r="A27683" s="2" t="str">
        <f t="shared" si="981"/>
        <v>14740</v>
      </c>
      <c r="B27683" s="2" t="str">
        <f>"98393"</f>
        <v>98393</v>
      </c>
      <c r="C27683" s="1">
        <v>5.7965006575561697E-3</v>
      </c>
      <c r="D27683" s="1">
        <v>1.06505724682701E-2</v>
      </c>
      <c r="E27683" s="1">
        <v>1.0843634786380301E-4</v>
      </c>
      <c r="F27683" s="1">
        <v>5.8104375907880798E-3</v>
      </c>
    </row>
    <row r="27684" spans="1:6" x14ac:dyDescent="0.25">
      <c r="A27684" s="2" t="str">
        <f t="shared" si="981"/>
        <v>14740</v>
      </c>
      <c r="B27684" s="2" t="str">
        <f>"98380"</f>
        <v>98380</v>
      </c>
      <c r="C27684" s="1">
        <v>2.2957287437818E-2</v>
      </c>
      <c r="D27684" s="1">
        <v>1.1538120173959301E-2</v>
      </c>
      <c r="E27684" s="1">
        <v>1.95185426154847E-3</v>
      </c>
      <c r="F27684" s="1">
        <v>2.0947500327304601E-2</v>
      </c>
    </row>
    <row r="27685" spans="1:6" x14ac:dyDescent="0.25">
      <c r="A27685" s="2" t="str">
        <f t="shared" si="981"/>
        <v>14740</v>
      </c>
      <c r="B27685" s="2" t="str">
        <f>"98346"</f>
        <v>98346</v>
      </c>
      <c r="C27685" s="1">
        <v>4.6472068157127303E-2</v>
      </c>
      <c r="D27685" s="1">
        <v>3.6211946392118499E-2</v>
      </c>
      <c r="E27685" s="1">
        <v>1.2470180004337399E-2</v>
      </c>
      <c r="F27685" s="1">
        <v>4.3796485059320003E-2</v>
      </c>
    </row>
    <row r="27686" spans="1:6" x14ac:dyDescent="0.25">
      <c r="A27686" s="2" t="str">
        <f t="shared" si="981"/>
        <v>14740</v>
      </c>
      <c r="B27686" s="2" t="str">
        <f>"98337"</f>
        <v>98337</v>
      </c>
      <c r="C27686" s="1">
        <v>3.2513294070558599E-2</v>
      </c>
      <c r="D27686" s="1">
        <v>5.7868110410934502E-2</v>
      </c>
      <c r="E27686" s="1">
        <v>4.25070483626111E-2</v>
      </c>
      <c r="F27686" s="1">
        <v>3.4868859919825898E-2</v>
      </c>
    </row>
    <row r="27687" spans="1:6" x14ac:dyDescent="0.25">
      <c r="A27687" s="2" t="str">
        <f t="shared" si="981"/>
        <v>14740</v>
      </c>
      <c r="B27687" s="2" t="str">
        <f>"98315"</f>
        <v>98315</v>
      </c>
      <c r="C27687" s="1">
        <v>1.6010063468465799E-2</v>
      </c>
      <c r="D27687" s="1">
        <v>4.7927576107215696E-3</v>
      </c>
      <c r="E27687" s="1">
        <v>6.8748644545651702E-2</v>
      </c>
      <c r="F27687" s="1">
        <v>1.8254250285222599E-2</v>
      </c>
    </row>
    <row r="27688" spans="1:6" x14ac:dyDescent="0.25">
      <c r="A27688" s="2" t="str">
        <f t="shared" si="981"/>
        <v>14740</v>
      </c>
      <c r="B27688" s="2" t="str">
        <f>"98383"</f>
        <v>98383</v>
      </c>
      <c r="C27688" s="1">
        <v>8.3952770312768002E-2</v>
      </c>
      <c r="D27688" s="1">
        <v>0.16100115381201699</v>
      </c>
      <c r="E27688" s="1">
        <v>0.14443721535458601</v>
      </c>
      <c r="F27688" s="1">
        <v>9.2842313950661101E-2</v>
      </c>
    </row>
    <row r="27689" spans="1:6" x14ac:dyDescent="0.25">
      <c r="A27689" s="2" t="str">
        <f t="shared" si="981"/>
        <v>14740</v>
      </c>
      <c r="B27689" s="2" t="str">
        <f>"98370"</f>
        <v>98370</v>
      </c>
      <c r="C27689" s="1">
        <v>0.11798130253302</v>
      </c>
      <c r="D27689" s="1">
        <v>0.15372326262536601</v>
      </c>
      <c r="E27689" s="1">
        <v>5.5085664714812403E-2</v>
      </c>
      <c r="F27689" s="1">
        <v>0.11687582995118399</v>
      </c>
    </row>
    <row r="27690" spans="1:6" x14ac:dyDescent="0.25">
      <c r="A27690" s="2" t="str">
        <f t="shared" si="981"/>
        <v>14740</v>
      </c>
      <c r="B27690" s="2" t="str">
        <f>"98364"</f>
        <v>98364</v>
      </c>
      <c r="C27690" s="1">
        <v>0</v>
      </c>
      <c r="D27690" s="1">
        <v>8.8754770568917998E-5</v>
      </c>
      <c r="E27690" s="1">
        <v>3.1446540880503099E-3</v>
      </c>
      <c r="F27690" s="1">
        <v>1.87031252922363E-4</v>
      </c>
    </row>
    <row r="27691" spans="1:6" x14ac:dyDescent="0.25">
      <c r="A27691" s="2" t="str">
        <f t="shared" si="981"/>
        <v>14740</v>
      </c>
      <c r="B27691" s="2" t="str">
        <f>"98528"</f>
        <v>98528</v>
      </c>
      <c r="C27691" s="1">
        <v>7.8620847389787804E-5</v>
      </c>
      <c r="D27691" s="1">
        <v>0</v>
      </c>
      <c r="E27691" s="1">
        <v>0</v>
      </c>
      <c r="F27691" s="1">
        <v>6.8578126071533197E-5</v>
      </c>
    </row>
    <row r="27692" spans="1:6" x14ac:dyDescent="0.25">
      <c r="A27692" s="2" t="str">
        <f t="shared" si="981"/>
        <v>14740</v>
      </c>
      <c r="B27692" s="2" t="str">
        <f>"98384"</f>
        <v>98384</v>
      </c>
      <c r="C27692" s="1">
        <v>0</v>
      </c>
      <c r="D27692" s="1">
        <v>8.8754770568917998E-5</v>
      </c>
      <c r="E27692" s="1">
        <v>0</v>
      </c>
      <c r="F27692" s="1">
        <v>6.2343750974121101E-6</v>
      </c>
    </row>
    <row r="27693" spans="1:6" x14ac:dyDescent="0.25">
      <c r="A27693" s="2" t="str">
        <f t="shared" si="981"/>
        <v>14740</v>
      </c>
      <c r="B27693" s="2" t="str">
        <f>"98345"</f>
        <v>98345</v>
      </c>
      <c r="C27693" s="1">
        <v>5.21041797701412E-3</v>
      </c>
      <c r="D27693" s="1">
        <v>3.0176621993432099E-3</v>
      </c>
      <c r="E27693" s="1">
        <v>1.5614834092387699E-2</v>
      </c>
      <c r="F27693" s="1">
        <v>5.6545782133527803E-3</v>
      </c>
    </row>
    <row r="27694" spans="1:6" x14ac:dyDescent="0.25">
      <c r="A27694" s="2" t="str">
        <f t="shared" si="981"/>
        <v>14740</v>
      </c>
      <c r="B27694" s="2" t="str">
        <f>"98322"</f>
        <v>98322</v>
      </c>
      <c r="C27694" s="1">
        <v>3.8381268225741801E-3</v>
      </c>
      <c r="D27694" s="1">
        <v>9.9405343037188201E-3</v>
      </c>
      <c r="E27694" s="1">
        <v>9.75927130774235E-4</v>
      </c>
      <c r="F27694" s="1">
        <v>4.1022188140971598E-3</v>
      </c>
    </row>
    <row r="27695" spans="1:6" x14ac:dyDescent="0.25">
      <c r="A27695" s="2" t="str">
        <f t="shared" ref="A27695:A27707" si="982">"21260"</f>
        <v>21260</v>
      </c>
      <c r="B27695" s="2" t="str">
        <f>"98950"</f>
        <v>98950</v>
      </c>
      <c r="C27695" s="1">
        <v>0</v>
      </c>
      <c r="D27695" s="1">
        <v>4.8520135856380299E-4</v>
      </c>
      <c r="E27695" s="1">
        <v>0</v>
      </c>
      <c r="F27695" s="1">
        <v>3.7553043674189703E-5</v>
      </c>
    </row>
    <row r="27696" spans="1:6" x14ac:dyDescent="0.25">
      <c r="A27696" s="2" t="str">
        <f t="shared" si="982"/>
        <v>21260</v>
      </c>
      <c r="B27696" s="2" t="str">
        <f>"98901"</f>
        <v>98901</v>
      </c>
      <c r="C27696" s="1">
        <v>1.46399487601793E-3</v>
      </c>
      <c r="D27696" s="1">
        <v>0</v>
      </c>
      <c r="E27696" s="1">
        <v>0</v>
      </c>
      <c r="F27696" s="1">
        <v>1.2016973975740701E-3</v>
      </c>
    </row>
    <row r="27697" spans="1:6" x14ac:dyDescent="0.25">
      <c r="A27697" s="2" t="str">
        <f t="shared" si="982"/>
        <v>21260</v>
      </c>
      <c r="B27697" s="2" t="str">
        <f>"98812"</f>
        <v>98812</v>
      </c>
      <c r="C27697" s="1">
        <v>2.74499039253362E-4</v>
      </c>
      <c r="D27697" s="1">
        <v>0</v>
      </c>
      <c r="E27697" s="1">
        <v>0</v>
      </c>
      <c r="F27697" s="1">
        <v>2.2531826204513799E-4</v>
      </c>
    </row>
    <row r="27698" spans="1:6" x14ac:dyDescent="0.25">
      <c r="A27698" s="2" t="str">
        <f t="shared" si="982"/>
        <v>21260</v>
      </c>
      <c r="B27698" s="2" t="str">
        <f>"98925"</f>
        <v>98925</v>
      </c>
      <c r="C27698" s="1">
        <v>0</v>
      </c>
      <c r="D27698" s="1">
        <v>4.8520135856380299E-4</v>
      </c>
      <c r="E27698" s="1">
        <v>8.2287822878228695E-2</v>
      </c>
      <c r="F27698" s="1">
        <v>8.4118817830185107E-3</v>
      </c>
    </row>
    <row r="27699" spans="1:6" x14ac:dyDescent="0.25">
      <c r="A27699" s="2" t="str">
        <f t="shared" si="982"/>
        <v>21260</v>
      </c>
      <c r="B27699" s="2" t="str">
        <f>"98926"</f>
        <v>98926</v>
      </c>
      <c r="C27699" s="1">
        <v>0.73213468752859301</v>
      </c>
      <c r="D27699" s="1">
        <v>0.774866569626394</v>
      </c>
      <c r="E27699" s="1">
        <v>0.26974169741697401</v>
      </c>
      <c r="F27699" s="1">
        <v>0.68838484359157304</v>
      </c>
    </row>
    <row r="27700" spans="1:6" x14ac:dyDescent="0.25">
      <c r="A27700" s="2" t="str">
        <f t="shared" si="982"/>
        <v>21260</v>
      </c>
      <c r="B27700" s="2" t="str">
        <f>"98934"</f>
        <v>98934</v>
      </c>
      <c r="C27700" s="1">
        <v>0</v>
      </c>
      <c r="D27700" s="1">
        <v>4.8520135856380299E-4</v>
      </c>
      <c r="E27700" s="1">
        <v>9.7047970479704704E-2</v>
      </c>
      <c r="F27700" s="1">
        <v>9.9140035299860995E-3</v>
      </c>
    </row>
    <row r="27701" spans="1:6" x14ac:dyDescent="0.25">
      <c r="A27701" s="2" t="str">
        <f t="shared" si="982"/>
        <v>21260</v>
      </c>
      <c r="B27701" s="2" t="str">
        <f>"98943"</f>
        <v>98943</v>
      </c>
      <c r="C27701" s="1">
        <v>0</v>
      </c>
      <c r="D27701" s="1">
        <v>4.8520135856380299E-4</v>
      </c>
      <c r="E27701" s="1">
        <v>7.5276752767527599E-2</v>
      </c>
      <c r="F27701" s="1">
        <v>7.6983739532089004E-3</v>
      </c>
    </row>
    <row r="27702" spans="1:6" x14ac:dyDescent="0.25">
      <c r="A27702" s="2" t="str">
        <f t="shared" si="982"/>
        <v>21260</v>
      </c>
      <c r="B27702" s="2" t="str">
        <f>"98941"</f>
        <v>98941</v>
      </c>
      <c r="C27702" s="1">
        <v>0</v>
      </c>
      <c r="D27702" s="1">
        <v>0</v>
      </c>
      <c r="E27702" s="1">
        <v>0.27121771217712098</v>
      </c>
      <c r="F27702" s="1">
        <v>2.7601487100529402E-2</v>
      </c>
    </row>
    <row r="27703" spans="1:6" x14ac:dyDescent="0.25">
      <c r="A27703" s="2" t="str">
        <f t="shared" si="982"/>
        <v>21260</v>
      </c>
      <c r="B27703" s="2" t="str">
        <f>"98068"</f>
        <v>98068</v>
      </c>
      <c r="C27703" s="1">
        <v>0</v>
      </c>
      <c r="D27703" s="1">
        <v>0</v>
      </c>
      <c r="E27703" s="1">
        <v>3.6900369003689998E-4</v>
      </c>
      <c r="F27703" s="1">
        <v>3.7553043674189703E-5</v>
      </c>
    </row>
    <row r="27704" spans="1:6" x14ac:dyDescent="0.25">
      <c r="A27704" s="2" t="str">
        <f t="shared" si="982"/>
        <v>21260</v>
      </c>
      <c r="B27704" s="2" t="str">
        <f>"98946"</f>
        <v>98946</v>
      </c>
      <c r="C27704" s="1">
        <v>8.6009698966053594E-3</v>
      </c>
      <c r="D27704" s="1">
        <v>2.4260067928190102E-3</v>
      </c>
      <c r="E27704" s="1">
        <v>4.7970479704796997E-3</v>
      </c>
      <c r="F27704" s="1">
        <v>7.7359269968830897E-3</v>
      </c>
    </row>
    <row r="27705" spans="1:6" x14ac:dyDescent="0.25">
      <c r="A27705" s="2" t="str">
        <f t="shared" si="982"/>
        <v>21260</v>
      </c>
      <c r="B27705" s="2" t="str">
        <f>"98828"</f>
        <v>98828</v>
      </c>
      <c r="C27705" s="1">
        <v>4.5749839875560401E-5</v>
      </c>
      <c r="D27705" s="1">
        <v>0</v>
      </c>
      <c r="E27705" s="1">
        <v>0</v>
      </c>
      <c r="F27705" s="1">
        <v>3.7553043674189703E-5</v>
      </c>
    </row>
    <row r="27706" spans="1:6" x14ac:dyDescent="0.25">
      <c r="A27706" s="2" t="str">
        <f t="shared" si="982"/>
        <v>21260</v>
      </c>
      <c r="B27706" s="2" t="str">
        <f>"98922"</f>
        <v>98922</v>
      </c>
      <c r="C27706" s="1">
        <v>0.257480098819654</v>
      </c>
      <c r="D27706" s="1">
        <v>0.220281416787967</v>
      </c>
      <c r="E27706" s="1">
        <v>3.76383763837638E-2</v>
      </c>
      <c r="F27706" s="1">
        <v>0.23222802208118901</v>
      </c>
    </row>
    <row r="27707" spans="1:6" x14ac:dyDescent="0.25">
      <c r="A27707" s="2" t="str">
        <f t="shared" si="982"/>
        <v>21260</v>
      </c>
      <c r="B27707" s="2" t="str">
        <f>"98940"</f>
        <v>98940</v>
      </c>
      <c r="C27707" s="1">
        <v>0</v>
      </c>
      <c r="D27707" s="1">
        <v>4.8520135856380299E-4</v>
      </c>
      <c r="E27707" s="1">
        <v>0.161623616236162</v>
      </c>
      <c r="F27707" s="1">
        <v>1.6485786172969301E-2</v>
      </c>
    </row>
    <row r="27708" spans="1:6" x14ac:dyDescent="0.25">
      <c r="A27708" s="2" t="str">
        <f t="shared" ref="A27708:A27727" si="983">"34180"</f>
        <v>34180</v>
      </c>
      <c r="B27708" s="2" t="str">
        <f>"99344"</f>
        <v>99344</v>
      </c>
      <c r="C27708" s="1">
        <v>2.18179834728775E-2</v>
      </c>
      <c r="D27708" s="1">
        <v>8.2946250829462505E-3</v>
      </c>
      <c r="E27708" s="1">
        <v>6.8130204390613102E-3</v>
      </c>
      <c r="F27708" s="1">
        <v>1.9918247761264499E-2</v>
      </c>
    </row>
    <row r="27709" spans="1:6" x14ac:dyDescent="0.25">
      <c r="A27709" s="2" t="str">
        <f t="shared" si="983"/>
        <v>34180</v>
      </c>
      <c r="B27709" s="2" t="str">
        <f>"98837"</f>
        <v>98837</v>
      </c>
      <c r="C27709" s="1">
        <v>0.53983145607767202</v>
      </c>
      <c r="D27709" s="1">
        <v>0.605175846051758</v>
      </c>
      <c r="E27709" s="1">
        <v>0.24867524602573801</v>
      </c>
      <c r="F27709" s="1">
        <v>0.52630957162771996</v>
      </c>
    </row>
    <row r="27710" spans="1:6" x14ac:dyDescent="0.25">
      <c r="A27710" s="2" t="str">
        <f t="shared" si="983"/>
        <v>34180</v>
      </c>
      <c r="B27710" s="2" t="str">
        <f>"99135"</f>
        <v>99135</v>
      </c>
      <c r="C27710" s="1">
        <v>1.33635148771374E-3</v>
      </c>
      <c r="D27710" s="1">
        <v>0</v>
      </c>
      <c r="E27710" s="1">
        <v>1.1355034065102101E-2</v>
      </c>
      <c r="F27710" s="1">
        <v>1.8665973584103201E-3</v>
      </c>
    </row>
    <row r="27711" spans="1:6" x14ac:dyDescent="0.25">
      <c r="A27711" s="2" t="str">
        <f t="shared" si="983"/>
        <v>34180</v>
      </c>
      <c r="B27711" s="2" t="str">
        <f>"99133"</f>
        <v>99133</v>
      </c>
      <c r="C27711" s="1">
        <v>1.31998800010908E-2</v>
      </c>
      <c r="D27711" s="1">
        <v>6.3039150630391496E-3</v>
      </c>
      <c r="E27711" s="1">
        <v>8.3270249810749406E-3</v>
      </c>
      <c r="F27711" s="1">
        <v>1.2404602698296401E-2</v>
      </c>
    </row>
    <row r="27712" spans="1:6" x14ac:dyDescent="0.25">
      <c r="A27712" s="2" t="str">
        <f t="shared" si="983"/>
        <v>34180</v>
      </c>
      <c r="B27712" s="2" t="str">
        <f>"99115"</f>
        <v>99115</v>
      </c>
      <c r="C27712" s="1">
        <v>6.0544904137235104E-3</v>
      </c>
      <c r="D27712" s="1">
        <v>3.6496350364963498E-3</v>
      </c>
      <c r="E27712" s="1">
        <v>0.105980317940953</v>
      </c>
      <c r="F27712" s="1">
        <v>1.2121068922335301E-2</v>
      </c>
    </row>
    <row r="27713" spans="1:6" x14ac:dyDescent="0.25">
      <c r="A27713" s="2" t="str">
        <f t="shared" si="983"/>
        <v>34180</v>
      </c>
      <c r="B27713" s="2" t="str">
        <f>"98860"</f>
        <v>98860</v>
      </c>
      <c r="C27713" s="1">
        <v>5.4544958682193701E-5</v>
      </c>
      <c r="D27713" s="1">
        <v>0</v>
      </c>
      <c r="E27713" s="1">
        <v>4.6177138531415501E-2</v>
      </c>
      <c r="F27713" s="1">
        <v>2.9298490182642998E-3</v>
      </c>
    </row>
    <row r="27714" spans="1:6" x14ac:dyDescent="0.25">
      <c r="A27714" s="2" t="str">
        <f t="shared" si="983"/>
        <v>34180</v>
      </c>
      <c r="B27714" s="2" t="str">
        <f>"98851"</f>
        <v>98851</v>
      </c>
      <c r="C27714" s="1">
        <v>2.81997436386941E-2</v>
      </c>
      <c r="D27714" s="1">
        <v>4.6449900464499002E-3</v>
      </c>
      <c r="E27714" s="1">
        <v>0.26570779712339099</v>
      </c>
      <c r="F27714" s="1">
        <v>4.1348675660988099E-2</v>
      </c>
    </row>
    <row r="27715" spans="1:6" x14ac:dyDescent="0.25">
      <c r="A27715" s="2" t="str">
        <f t="shared" si="983"/>
        <v>34180</v>
      </c>
      <c r="B27715" s="2" t="str">
        <f>"98848"</f>
        <v>98848</v>
      </c>
      <c r="C27715" s="1">
        <v>0.14686230125180599</v>
      </c>
      <c r="D27715" s="1">
        <v>0.116788321167883</v>
      </c>
      <c r="E27715" s="1">
        <v>5.6396669190007499E-2</v>
      </c>
      <c r="F27715" s="1">
        <v>0.1390733171089</v>
      </c>
    </row>
    <row r="27716" spans="1:6" x14ac:dyDescent="0.25">
      <c r="A27716" s="2" t="str">
        <f t="shared" si="983"/>
        <v>34180</v>
      </c>
      <c r="B27716" s="2" t="str">
        <f>"99321"</f>
        <v>99321</v>
      </c>
      <c r="C27716" s="1">
        <v>8.18174380232906E-4</v>
      </c>
      <c r="D27716" s="1">
        <v>6.6357000663569996E-4</v>
      </c>
      <c r="E27716" s="1">
        <v>2.6495079485238399E-2</v>
      </c>
      <c r="F27716" s="1">
        <v>2.4100370956690199E-3</v>
      </c>
    </row>
    <row r="27717" spans="1:6" x14ac:dyDescent="0.25">
      <c r="A27717" s="2" t="str">
        <f t="shared" si="983"/>
        <v>34180</v>
      </c>
      <c r="B27717" s="2" t="str">
        <f>"98823"</f>
        <v>98823</v>
      </c>
      <c r="C27717" s="1">
        <v>0.15479859274006499</v>
      </c>
      <c r="D27717" s="1">
        <v>0.20736562707365599</v>
      </c>
      <c r="E27717" s="1">
        <v>5.1097653292959802E-2</v>
      </c>
      <c r="F27717" s="1">
        <v>0.15206861517378201</v>
      </c>
    </row>
    <row r="27718" spans="1:6" x14ac:dyDescent="0.25">
      <c r="A27718" s="2" t="str">
        <f t="shared" si="983"/>
        <v>34180</v>
      </c>
      <c r="B27718" s="2" t="str">
        <f>"99116"</f>
        <v>99116</v>
      </c>
      <c r="C27718" s="1">
        <v>0</v>
      </c>
      <c r="D27718" s="1">
        <v>1.6589250165892501E-3</v>
      </c>
      <c r="E27718" s="1">
        <v>0</v>
      </c>
      <c r="F27718" s="1">
        <v>1.18139073317108E-4</v>
      </c>
    </row>
    <row r="27719" spans="1:6" x14ac:dyDescent="0.25">
      <c r="A27719" s="2" t="str">
        <f t="shared" si="983"/>
        <v>34180</v>
      </c>
      <c r="B27719" s="2" t="str">
        <f>"99123"</f>
        <v>99123</v>
      </c>
      <c r="C27719" s="1">
        <v>2.75452041345078E-3</v>
      </c>
      <c r="D27719" s="1">
        <v>0</v>
      </c>
      <c r="E27719" s="1">
        <v>0.10862982588947701</v>
      </c>
      <c r="F27719" s="1">
        <v>9.1675920894076501E-3</v>
      </c>
    </row>
    <row r="27720" spans="1:6" x14ac:dyDescent="0.25">
      <c r="A27720" s="2" t="str">
        <f t="shared" si="983"/>
        <v>34180</v>
      </c>
      <c r="B27720" s="2" t="str">
        <f>"99103"</f>
        <v>99103</v>
      </c>
      <c r="C27720" s="1">
        <v>4.6363214879864702E-4</v>
      </c>
      <c r="D27720" s="1">
        <v>0</v>
      </c>
      <c r="E27720" s="1">
        <v>3.7850113550340602E-4</v>
      </c>
      <c r="F27720" s="1">
        <v>4.2530066394159201E-4</v>
      </c>
    </row>
    <row r="27721" spans="1:6" x14ac:dyDescent="0.25">
      <c r="A27721" s="2" t="str">
        <f t="shared" si="983"/>
        <v>34180</v>
      </c>
      <c r="B27721" s="2" t="str">
        <f>"98832"</f>
        <v>98832</v>
      </c>
      <c r="C27721" s="1">
        <v>1.690893719148E-3</v>
      </c>
      <c r="D27721" s="1">
        <v>3.3178500331784998E-4</v>
      </c>
      <c r="E27721" s="1">
        <v>5.2990158970476903E-3</v>
      </c>
      <c r="F27721" s="1">
        <v>1.81934172908347E-3</v>
      </c>
    </row>
    <row r="27722" spans="1:6" x14ac:dyDescent="0.25">
      <c r="A27722" s="2" t="str">
        <f t="shared" si="983"/>
        <v>34180</v>
      </c>
      <c r="B27722" s="2" t="str">
        <f>"99357"</f>
        <v>99357</v>
      </c>
      <c r="C27722" s="1">
        <v>1.44544140507813E-2</v>
      </c>
      <c r="D27722" s="1">
        <v>7.2992700729926996E-3</v>
      </c>
      <c r="E27722" s="1">
        <v>1.8925056775170299E-2</v>
      </c>
      <c r="F27722" s="1">
        <v>1.4223944427379899E-2</v>
      </c>
    </row>
    <row r="27723" spans="1:6" x14ac:dyDescent="0.25">
      <c r="A27723" s="2" t="str">
        <f t="shared" si="983"/>
        <v>34180</v>
      </c>
      <c r="B27723" s="2" t="str">
        <f>"99349"</f>
        <v>99349</v>
      </c>
      <c r="C27723" s="1">
        <v>4.4672321160716698E-2</v>
      </c>
      <c r="D27723" s="1">
        <v>2.0902455209024499E-2</v>
      </c>
      <c r="E27723" s="1">
        <v>2.2331566994700899E-2</v>
      </c>
      <c r="F27723" s="1">
        <v>4.1584953807622303E-2</v>
      </c>
    </row>
    <row r="27724" spans="1:6" x14ac:dyDescent="0.25">
      <c r="A27724" s="2" t="str">
        <f t="shared" si="983"/>
        <v>34180</v>
      </c>
      <c r="B27724" s="2" t="str">
        <f>"98858"</f>
        <v>98858</v>
      </c>
      <c r="C27724" s="1">
        <v>1.6363487604658099E-4</v>
      </c>
      <c r="D27724" s="1">
        <v>0</v>
      </c>
      <c r="E27724" s="1">
        <v>0</v>
      </c>
      <c r="F27724" s="1">
        <v>1.4176688798052999E-4</v>
      </c>
    </row>
    <row r="27725" spans="1:6" x14ac:dyDescent="0.25">
      <c r="A27725" s="2" t="str">
        <f t="shared" si="983"/>
        <v>34180</v>
      </c>
      <c r="B27725" s="2" t="str">
        <f>"98853"</f>
        <v>98853</v>
      </c>
      <c r="C27725" s="1">
        <v>2.7272479341096799E-5</v>
      </c>
      <c r="D27725" s="1">
        <v>0</v>
      </c>
      <c r="E27725" s="1">
        <v>1.1355034065102101E-2</v>
      </c>
      <c r="F27725" s="1">
        <v>7.3246225456607495E-4</v>
      </c>
    </row>
    <row r="27726" spans="1:6" x14ac:dyDescent="0.25">
      <c r="A27726" s="2" t="str">
        <f t="shared" si="983"/>
        <v>34180</v>
      </c>
      <c r="B27726" s="2" t="str">
        <f>"98824"</f>
        <v>98824</v>
      </c>
      <c r="C27726" s="1">
        <v>0</v>
      </c>
      <c r="D27726" s="1">
        <v>6.6357000663569996E-4</v>
      </c>
      <c r="E27726" s="1">
        <v>0</v>
      </c>
      <c r="F27726" s="1">
        <v>4.72556293268435E-5</v>
      </c>
    </row>
    <row r="27727" spans="1:6" x14ac:dyDescent="0.25">
      <c r="A27727" s="2" t="str">
        <f t="shared" si="983"/>
        <v>34180</v>
      </c>
      <c r="B27727" s="2" t="str">
        <f>"98857"</f>
        <v>98857</v>
      </c>
      <c r="C27727" s="1">
        <v>2.2799792729157001E-2</v>
      </c>
      <c r="D27727" s="1">
        <v>1.6257465162574598E-2</v>
      </c>
      <c r="E27727" s="1">
        <v>6.0560181680544998E-3</v>
      </c>
      <c r="F27727" s="1">
        <v>2.1288661011742999E-2</v>
      </c>
    </row>
    <row r="27728" spans="1:6" x14ac:dyDescent="0.25">
      <c r="A27728" s="2" t="str">
        <f t="shared" ref="A27728:A27736" si="984">"47460"</f>
        <v>47460</v>
      </c>
      <c r="B27728" s="2" t="str">
        <f>"99362"</f>
        <v>99362</v>
      </c>
      <c r="C27728" s="1">
        <v>0.71896220844405001</v>
      </c>
      <c r="D27728" s="1">
        <v>0.860501567398119</v>
      </c>
      <c r="E27728" s="1">
        <v>0.45881502890173398</v>
      </c>
      <c r="F27728" s="1">
        <v>0.71899974220159801</v>
      </c>
    </row>
    <row r="27729" spans="1:6" x14ac:dyDescent="0.25">
      <c r="A27729" s="2" t="str">
        <f t="shared" si="984"/>
        <v>47460</v>
      </c>
      <c r="B27729" s="2" t="str">
        <f>"99328"</f>
        <v>99328</v>
      </c>
      <c r="C27729" s="1">
        <v>3.6905816356657797E-5</v>
      </c>
      <c r="D27729" s="1">
        <v>0</v>
      </c>
      <c r="E27729" s="1">
        <v>0</v>
      </c>
      <c r="F27729" s="1">
        <v>3.2224800206238703E-5</v>
      </c>
    </row>
    <row r="27730" spans="1:6" x14ac:dyDescent="0.25">
      <c r="A27730" s="2" t="str">
        <f t="shared" si="984"/>
        <v>47460</v>
      </c>
      <c r="B27730" s="2" t="str">
        <f>"99361"</f>
        <v>99361</v>
      </c>
      <c r="C27730" s="1">
        <v>1.8895777974608698E-2</v>
      </c>
      <c r="D27730" s="1">
        <v>3.1347962382445101E-3</v>
      </c>
      <c r="E27730" s="1">
        <v>7.5867052023121301E-2</v>
      </c>
      <c r="F27730" s="1">
        <v>2.0140500128899199E-2</v>
      </c>
    </row>
    <row r="27731" spans="1:6" x14ac:dyDescent="0.25">
      <c r="A27731" s="2" t="str">
        <f t="shared" si="984"/>
        <v>47460</v>
      </c>
      <c r="B27731" s="2" t="str">
        <f>"99363"</f>
        <v>99363</v>
      </c>
      <c r="C27731" s="1">
        <v>0</v>
      </c>
      <c r="D27731" s="1">
        <v>0</v>
      </c>
      <c r="E27731" s="1">
        <v>1.7341040462427699E-2</v>
      </c>
      <c r="F27731" s="1">
        <v>7.7339520494972903E-4</v>
      </c>
    </row>
    <row r="27732" spans="1:6" x14ac:dyDescent="0.25">
      <c r="A27732" s="2" t="str">
        <f t="shared" si="984"/>
        <v>47460</v>
      </c>
      <c r="B27732" s="2" t="str">
        <f>"99329"</f>
        <v>99329</v>
      </c>
      <c r="C27732" s="1">
        <v>1.10717449069973E-4</v>
      </c>
      <c r="D27732" s="1">
        <v>0</v>
      </c>
      <c r="E27732" s="1">
        <v>5.9248554913294699E-2</v>
      </c>
      <c r="F27732" s="1">
        <v>2.7391080175302898E-3</v>
      </c>
    </row>
    <row r="27733" spans="1:6" x14ac:dyDescent="0.25">
      <c r="A27733" s="2" t="str">
        <f t="shared" si="984"/>
        <v>47460</v>
      </c>
      <c r="B27733" s="2" t="str">
        <f>"99324"</f>
        <v>99324</v>
      </c>
      <c r="C27733" s="1">
        <v>0.18209329790374901</v>
      </c>
      <c r="D27733" s="1">
        <v>0.107758620689655</v>
      </c>
      <c r="E27733" s="1">
        <v>0.22254335260115601</v>
      </c>
      <c r="F27733" s="1">
        <v>0.17778422273781899</v>
      </c>
    </row>
    <row r="27734" spans="1:6" x14ac:dyDescent="0.25">
      <c r="A27734" s="2" t="str">
        <f t="shared" si="984"/>
        <v>47460</v>
      </c>
      <c r="B27734" s="2" t="str">
        <f>"99360"</f>
        <v>99360</v>
      </c>
      <c r="C27734" s="1">
        <v>1.9080307056392E-2</v>
      </c>
      <c r="D27734" s="1">
        <v>3.9184952978056397E-3</v>
      </c>
      <c r="E27734" s="1">
        <v>1.4450867052023099E-3</v>
      </c>
      <c r="F27734" s="1">
        <v>1.7046919309100201E-2</v>
      </c>
    </row>
    <row r="27735" spans="1:6" x14ac:dyDescent="0.25">
      <c r="A27735" s="2" t="str">
        <f t="shared" si="984"/>
        <v>47460</v>
      </c>
      <c r="B27735" s="2" t="str">
        <f>"99323"</f>
        <v>99323</v>
      </c>
      <c r="C27735" s="1">
        <v>4.5209625036905801E-2</v>
      </c>
      <c r="D27735" s="1">
        <v>1.8808777429466999E-2</v>
      </c>
      <c r="E27735" s="1">
        <v>8.7427745664739806E-2</v>
      </c>
      <c r="F27735" s="1">
        <v>4.4921371487496697E-2</v>
      </c>
    </row>
    <row r="27736" spans="1:6" x14ac:dyDescent="0.25">
      <c r="A27736" s="2" t="str">
        <f t="shared" si="984"/>
        <v>47460</v>
      </c>
      <c r="B27736" s="2" t="str">
        <f>"99348"</f>
        <v>99348</v>
      </c>
      <c r="C27736" s="1">
        <v>1.56111603188662E-2</v>
      </c>
      <c r="D27736" s="1">
        <v>5.8777429467084599E-3</v>
      </c>
      <c r="E27736" s="1">
        <v>7.7312138728323598E-2</v>
      </c>
      <c r="F27736" s="1">
        <v>1.75625161124001E-2</v>
      </c>
    </row>
    <row r="27737" spans="1:6" x14ac:dyDescent="0.25">
      <c r="A27737" s="2" t="str">
        <f>"28540"</f>
        <v>28540</v>
      </c>
      <c r="B27737" s="2" t="str">
        <f>"99928"</f>
        <v>99928</v>
      </c>
      <c r="C27737" s="1">
        <v>0</v>
      </c>
      <c r="D27737" s="1">
        <v>0</v>
      </c>
      <c r="E27737" s="1">
        <v>2.5773195876288599E-3</v>
      </c>
      <c r="F27737" s="1">
        <v>9.6515780330083895E-5</v>
      </c>
    </row>
    <row r="27738" spans="1:6" x14ac:dyDescent="0.25">
      <c r="A27738" s="2" t="str">
        <f>"28540"</f>
        <v>28540</v>
      </c>
      <c r="B27738" s="2" t="str">
        <f>"99901"</f>
        <v>99901</v>
      </c>
      <c r="C27738" s="1">
        <v>1</v>
      </c>
      <c r="D27738" s="1">
        <v>1</v>
      </c>
      <c r="E27738" s="1">
        <v>0.99742268041237103</v>
      </c>
      <c r="F27738" s="1">
        <v>0.99990348421966901</v>
      </c>
    </row>
    <row r="27739" spans="1:6" x14ac:dyDescent="0.25">
      <c r="A27739" s="2" t="str">
        <f t="shared" ref="A27739:A27770" si="985">"41980"</f>
        <v>41980</v>
      </c>
      <c r="B27739" s="2" t="str">
        <f>"00985"</f>
        <v>00985</v>
      </c>
      <c r="C27739" s="1">
        <v>1.47494147616121E-2</v>
      </c>
      <c r="D27739" s="1">
        <v>8.6574757918923308E-3</v>
      </c>
      <c r="E27739" s="1">
        <v>1.54082295294881E-2</v>
      </c>
      <c r="F27739" s="1">
        <v>1.42887602511512E-2</v>
      </c>
    </row>
    <row r="27740" spans="1:6" x14ac:dyDescent="0.25">
      <c r="A27740" s="2" t="str">
        <f t="shared" si="985"/>
        <v>41980</v>
      </c>
      <c r="B27740" s="2" t="str">
        <f>"00929"</f>
        <v>00929</v>
      </c>
      <c r="C27740" s="1">
        <v>2.0477479463879402E-3</v>
      </c>
      <c r="D27740" s="1">
        <v>6.4007877892663699E-3</v>
      </c>
      <c r="E27740" s="1">
        <v>1.18070724363893E-4</v>
      </c>
      <c r="F27740" s="1">
        <v>2.3506973063512301E-3</v>
      </c>
    </row>
    <row r="27741" spans="1:6" x14ac:dyDescent="0.25">
      <c r="A27741" s="2" t="str">
        <f t="shared" si="985"/>
        <v>41980</v>
      </c>
      <c r="B27741" s="2" t="str">
        <f>"00928"</f>
        <v>00928</v>
      </c>
      <c r="C27741" s="1">
        <v>2.86872364081609E-3</v>
      </c>
      <c r="D27741" s="1">
        <v>2.9405328519065501E-3</v>
      </c>
      <c r="E27741" s="1">
        <v>1.18070724363893E-4</v>
      </c>
      <c r="F27741" s="1">
        <v>2.8248677467569098E-3</v>
      </c>
    </row>
    <row r="27742" spans="1:6" x14ac:dyDescent="0.25">
      <c r="A27742" s="2" t="str">
        <f t="shared" si="985"/>
        <v>41980</v>
      </c>
      <c r="B27742" s="2" t="str">
        <f>"00927"</f>
        <v>00927</v>
      </c>
      <c r="C27742" s="1">
        <v>8.3024099155098695E-3</v>
      </c>
      <c r="D27742" s="1">
        <v>1.15159472618852E-2</v>
      </c>
      <c r="E27742" s="1">
        <v>2.0190093866225799E-2</v>
      </c>
      <c r="F27742" s="1">
        <v>8.7652580516156195E-3</v>
      </c>
    </row>
    <row r="27743" spans="1:6" x14ac:dyDescent="0.25">
      <c r="A27743" s="2" t="str">
        <f t="shared" si="985"/>
        <v>41980</v>
      </c>
      <c r="B27743" s="2" t="str">
        <f>"00952"</f>
        <v>00952</v>
      </c>
      <c r="C27743" s="1">
        <v>6.8809491417285498E-3</v>
      </c>
      <c r="D27743" s="1">
        <v>2.1609497237266798E-3</v>
      </c>
      <c r="E27743" s="1">
        <v>4.1324753527362799E-4</v>
      </c>
      <c r="F27743" s="1">
        <v>6.3986489855192303E-3</v>
      </c>
    </row>
    <row r="27744" spans="1:6" x14ac:dyDescent="0.25">
      <c r="A27744" s="2" t="str">
        <f t="shared" si="985"/>
        <v>41980</v>
      </c>
      <c r="B27744" s="2" t="str">
        <f>"00920"</f>
        <v>00920</v>
      </c>
      <c r="C27744" s="1">
        <v>7.9059959373431292E-3</v>
      </c>
      <c r="D27744" s="1">
        <v>2.8133377099403601E-2</v>
      </c>
      <c r="E27744" s="1">
        <v>1.7533502568038199E-2</v>
      </c>
      <c r="F27744" s="1">
        <v>9.6478303254803402E-3</v>
      </c>
    </row>
    <row r="27745" spans="1:6" x14ac:dyDescent="0.25">
      <c r="A27745" s="2" t="str">
        <f t="shared" si="985"/>
        <v>41980</v>
      </c>
      <c r="B27745" s="2" t="str">
        <f>"00913"</f>
        <v>00913</v>
      </c>
      <c r="C27745" s="1">
        <v>4.1412359671797296E-3</v>
      </c>
      <c r="D27745" s="1">
        <v>1.92844247497127E-3</v>
      </c>
      <c r="E27745" s="1">
        <v>2.2492472991321798E-2</v>
      </c>
      <c r="F27745" s="1">
        <v>4.2993574831414897E-3</v>
      </c>
    </row>
    <row r="27746" spans="1:6" x14ac:dyDescent="0.25">
      <c r="A27746" s="2" t="str">
        <f t="shared" si="985"/>
        <v>41980</v>
      </c>
      <c r="B27746" s="2" t="str">
        <f>"00912"</f>
        <v>00912</v>
      </c>
      <c r="C27746" s="1">
        <v>3.4739000098517E-3</v>
      </c>
      <c r="D27746" s="1">
        <v>4.9236829148202798E-3</v>
      </c>
      <c r="E27746" s="1">
        <v>1.4699805183304699E-2</v>
      </c>
      <c r="F27746" s="1">
        <v>3.7880596033304302E-3</v>
      </c>
    </row>
    <row r="27747" spans="1:6" x14ac:dyDescent="0.25">
      <c r="A27747" s="2" t="str">
        <f t="shared" si="985"/>
        <v>41980</v>
      </c>
      <c r="B27747" s="2" t="str">
        <f>"00786"</f>
        <v>00786</v>
      </c>
      <c r="C27747" s="1">
        <v>0</v>
      </c>
      <c r="D27747" s="1">
        <v>0</v>
      </c>
      <c r="E27747" s="1">
        <v>5.9035362181946902E-5</v>
      </c>
      <c r="F27747" s="1">
        <v>1.06078398301048E-6</v>
      </c>
    </row>
    <row r="27748" spans="1:6" x14ac:dyDescent="0.25">
      <c r="A27748" s="2" t="str">
        <f t="shared" si="985"/>
        <v>41980</v>
      </c>
      <c r="B27748" s="2" t="str">
        <f>"00772"</f>
        <v>00772</v>
      </c>
      <c r="C27748" s="1">
        <v>5.5802890772702297E-3</v>
      </c>
      <c r="D27748" s="1">
        <v>2.1062421357842301E-3</v>
      </c>
      <c r="E27748" s="1">
        <v>1.0036011570930901E-3</v>
      </c>
      <c r="F27748" s="1">
        <v>5.2286042522586701E-3</v>
      </c>
    </row>
    <row r="27749" spans="1:6" x14ac:dyDescent="0.25">
      <c r="A27749" s="2" t="str">
        <f t="shared" si="985"/>
        <v>41980</v>
      </c>
      <c r="B27749" s="2" t="str">
        <f>"00723"</f>
        <v>00723</v>
      </c>
      <c r="C27749" s="1">
        <v>1.18220499997654E-3</v>
      </c>
      <c r="D27749" s="1">
        <v>2.73537939712238E-5</v>
      </c>
      <c r="E27749" s="1">
        <v>0</v>
      </c>
      <c r="F27749" s="1">
        <v>1.0713918228405801E-3</v>
      </c>
    </row>
    <row r="27750" spans="1:6" x14ac:dyDescent="0.25">
      <c r="A27750" s="2" t="str">
        <f t="shared" si="985"/>
        <v>41980</v>
      </c>
      <c r="B27750" s="2" t="str">
        <f>"00725"</f>
        <v>00725</v>
      </c>
      <c r="C27750" s="1">
        <v>3.3939135207659898E-2</v>
      </c>
      <c r="D27750" s="1">
        <v>4.0305815416598202E-2</v>
      </c>
      <c r="E27750" s="1">
        <v>4.5162052069189398E-2</v>
      </c>
      <c r="F27750" s="1">
        <v>3.4634597045292197E-2</v>
      </c>
    </row>
    <row r="27751" spans="1:6" x14ac:dyDescent="0.25">
      <c r="A27751" s="2" t="str">
        <f t="shared" si="985"/>
        <v>41980</v>
      </c>
      <c r="B27751" s="2" t="str">
        <f>"00718"</f>
        <v>00718</v>
      </c>
      <c r="C27751" s="1">
        <v>1.00933097517838E-2</v>
      </c>
      <c r="D27751" s="1">
        <v>5.0057442967339503E-3</v>
      </c>
      <c r="E27751" s="1">
        <v>3.0698388334612402E-3</v>
      </c>
      <c r="F27751" s="1">
        <v>9.5725146626866008E-3</v>
      </c>
    </row>
    <row r="27752" spans="1:6" x14ac:dyDescent="0.25">
      <c r="A27752" s="2" t="str">
        <f t="shared" si="985"/>
        <v>41980</v>
      </c>
      <c r="B27752" s="2" t="str">
        <f>"00705"</f>
        <v>00705</v>
      </c>
      <c r="C27752" s="1">
        <v>8.9662274055760608E-3</v>
      </c>
      <c r="D27752" s="1">
        <v>1.1474916570928299E-2</v>
      </c>
      <c r="E27752" s="1">
        <v>4.7228289745557504E-3</v>
      </c>
      <c r="F27752" s="1">
        <v>9.0845540305017798E-3</v>
      </c>
    </row>
    <row r="27753" spans="1:6" x14ac:dyDescent="0.25">
      <c r="A27753" s="2" t="str">
        <f t="shared" si="985"/>
        <v>41980</v>
      </c>
      <c r="B27753" s="2" t="str">
        <f>"00674"</f>
        <v>00674</v>
      </c>
      <c r="C27753" s="1">
        <v>1.9963783243651501E-2</v>
      </c>
      <c r="D27753" s="1">
        <v>2.39756004157776E-2</v>
      </c>
      <c r="E27753" s="1">
        <v>1.3105850404392201E-2</v>
      </c>
      <c r="F27753" s="1">
        <v>2.0151713325250099E-2</v>
      </c>
    </row>
    <row r="27754" spans="1:6" x14ac:dyDescent="0.25">
      <c r="A27754" s="2" t="str">
        <f t="shared" si="985"/>
        <v>41980</v>
      </c>
      <c r="B27754" s="2" t="str">
        <f>"00646"</f>
        <v>00646</v>
      </c>
      <c r="C27754" s="1">
        <v>1.6995369697083401E-2</v>
      </c>
      <c r="D27754" s="1">
        <v>1.2719514196619E-2</v>
      </c>
      <c r="E27754" s="1">
        <v>7.14327882401558E-3</v>
      </c>
      <c r="F27754" s="1">
        <v>1.6486704663948901E-2</v>
      </c>
    </row>
    <row r="27755" spans="1:6" x14ac:dyDescent="0.25">
      <c r="A27755" s="2" t="str">
        <f t="shared" si="985"/>
        <v>41980</v>
      </c>
      <c r="B27755" s="2" t="str">
        <f>"00617"</f>
        <v>00617</v>
      </c>
      <c r="C27755" s="1">
        <v>1.25644465920126E-2</v>
      </c>
      <c r="D27755" s="1">
        <v>8.6985064828491703E-3</v>
      </c>
      <c r="E27755" s="1">
        <v>6.4938898400141599E-3</v>
      </c>
      <c r="F27755" s="1">
        <v>1.21555236613171E-2</v>
      </c>
    </row>
    <row r="27756" spans="1:6" x14ac:dyDescent="0.25">
      <c r="A27756" s="2" t="str">
        <f t="shared" si="985"/>
        <v>41980</v>
      </c>
      <c r="B27756" s="2" t="str">
        <f>"00988"</f>
        <v>00988</v>
      </c>
      <c r="C27756" s="1">
        <v>1.4038684374721401E-3</v>
      </c>
      <c r="D27756" s="1">
        <v>1.62755074128781E-3</v>
      </c>
      <c r="E27756" s="1">
        <v>1.18070724363893E-4</v>
      </c>
      <c r="F27756" s="1">
        <v>1.39811328960781E-3</v>
      </c>
    </row>
    <row r="27757" spans="1:6" x14ac:dyDescent="0.25">
      <c r="A27757" s="2" t="str">
        <f t="shared" si="985"/>
        <v>41980</v>
      </c>
      <c r="B27757" s="2" t="str">
        <f>"00981"</f>
        <v>00981</v>
      </c>
      <c r="C27757" s="1">
        <v>4.0579655753163099E-4</v>
      </c>
      <c r="D27757" s="1">
        <v>1.06679796487772E-3</v>
      </c>
      <c r="E27757" s="1">
        <v>1.18070724363893E-4</v>
      </c>
      <c r="F27757" s="1">
        <v>4.5189397676246603E-4</v>
      </c>
    </row>
    <row r="27758" spans="1:6" x14ac:dyDescent="0.25">
      <c r="A27758" s="2" t="str">
        <f t="shared" si="985"/>
        <v>41980</v>
      </c>
      <c r="B27758" s="2" t="str">
        <f>"00975"</f>
        <v>00975</v>
      </c>
      <c r="C27758" s="1">
        <v>0</v>
      </c>
      <c r="D27758" s="1">
        <v>1.36768969856119E-5</v>
      </c>
      <c r="E27758" s="1">
        <v>5.9035362181946902E-5</v>
      </c>
      <c r="F27758" s="1">
        <v>2.12156796602096E-6</v>
      </c>
    </row>
    <row r="27759" spans="1:6" x14ac:dyDescent="0.25">
      <c r="A27759" s="2" t="str">
        <f t="shared" si="985"/>
        <v>41980</v>
      </c>
      <c r="B27759" s="2" t="str">
        <f>"00970"</f>
        <v>00970</v>
      </c>
      <c r="C27759" s="1">
        <v>3.73309376480688E-3</v>
      </c>
      <c r="D27759" s="1">
        <v>5.48443569123037E-3</v>
      </c>
      <c r="E27759" s="1">
        <v>1.18070724363893E-4</v>
      </c>
      <c r="F27759" s="1">
        <v>3.8039713630755902E-3</v>
      </c>
    </row>
    <row r="27760" spans="1:6" x14ac:dyDescent="0.25">
      <c r="A27760" s="2" t="str">
        <f t="shared" si="985"/>
        <v>41980</v>
      </c>
      <c r="B27760" s="2" t="str">
        <f>"00966"</f>
        <v>00966</v>
      </c>
      <c r="C27760" s="1">
        <v>9.0835096476372303E-3</v>
      </c>
      <c r="D27760" s="1">
        <v>7.3171398873023603E-3</v>
      </c>
      <c r="E27760" s="1">
        <v>8.7962689651101007E-3</v>
      </c>
      <c r="F27760" s="1">
        <v>8.9413481927953595E-3</v>
      </c>
    </row>
    <row r="27761" spans="1:6" x14ac:dyDescent="0.25">
      <c r="A27761" s="2" t="str">
        <f t="shared" si="985"/>
        <v>41980</v>
      </c>
      <c r="B27761" s="2" t="str">
        <f>"00965"</f>
        <v>00965</v>
      </c>
      <c r="C27761" s="1">
        <v>2.50983998010893E-3</v>
      </c>
      <c r="D27761" s="1">
        <v>2.4891952513813602E-3</v>
      </c>
      <c r="E27761" s="1">
        <v>3.83729854182655E-3</v>
      </c>
      <c r="F27761" s="1">
        <v>2.53209136744602E-3</v>
      </c>
    </row>
    <row r="27762" spans="1:6" x14ac:dyDescent="0.25">
      <c r="A27762" s="2" t="str">
        <f t="shared" si="985"/>
        <v>41980</v>
      </c>
      <c r="B27762" s="2" t="str">
        <f>"00931"</f>
        <v>00931</v>
      </c>
      <c r="C27762" s="1">
        <v>2.1814497023376601E-3</v>
      </c>
      <c r="D27762" s="1">
        <v>1.3129821106187399E-3</v>
      </c>
      <c r="E27762" s="1">
        <v>1.18070724363893E-4</v>
      </c>
      <c r="F27762" s="1">
        <v>2.0770150387345201E-3</v>
      </c>
    </row>
    <row r="27763" spans="1:6" x14ac:dyDescent="0.25">
      <c r="A27763" s="2" t="str">
        <f t="shared" si="985"/>
        <v>41980</v>
      </c>
      <c r="B27763" s="2" t="str">
        <f>"00901"</f>
        <v>00901</v>
      </c>
      <c r="C27763" s="1">
        <v>4.3945656100318501E-3</v>
      </c>
      <c r="D27763" s="1">
        <v>1.8532195415504101E-2</v>
      </c>
      <c r="E27763" s="1">
        <v>3.0934529783340201E-2</v>
      </c>
      <c r="F27763" s="1">
        <v>5.9679706884169801E-3</v>
      </c>
    </row>
    <row r="27764" spans="1:6" x14ac:dyDescent="0.25">
      <c r="A27764" s="2" t="str">
        <f t="shared" si="985"/>
        <v>41980</v>
      </c>
      <c r="B27764" s="2" t="str">
        <f>"00910"</f>
        <v>00910</v>
      </c>
      <c r="C27764" s="1">
        <v>1.9797242459924599E-3</v>
      </c>
      <c r="D27764" s="1">
        <v>5.0604518846764004E-3</v>
      </c>
      <c r="E27764" s="1">
        <v>1.18070724363893E-4</v>
      </c>
      <c r="F27764" s="1">
        <v>2.1852150050015902E-3</v>
      </c>
    </row>
    <row r="27765" spans="1:6" x14ac:dyDescent="0.25">
      <c r="A27765" s="2" t="str">
        <f t="shared" si="985"/>
        <v>41980</v>
      </c>
      <c r="B27765" s="2" t="str">
        <f>"00909"</f>
        <v>00909</v>
      </c>
      <c r="C27765" s="1">
        <v>3.8879063243276199E-3</v>
      </c>
      <c r="D27765" s="1">
        <v>1.8272334372777501E-2</v>
      </c>
      <c r="E27765" s="1">
        <v>2.27876498022315E-2</v>
      </c>
      <c r="F27765" s="1">
        <v>5.3431689224238002E-3</v>
      </c>
    </row>
    <row r="27766" spans="1:6" x14ac:dyDescent="0.25">
      <c r="A27766" s="2" t="str">
        <f t="shared" si="985"/>
        <v>41980</v>
      </c>
      <c r="B27766" s="2" t="str">
        <f>"00791"</f>
        <v>00791</v>
      </c>
      <c r="C27766" s="1">
        <v>2.2791458099746201E-2</v>
      </c>
      <c r="D27766" s="1">
        <v>2.21018655287488E-2</v>
      </c>
      <c r="E27766" s="1">
        <v>2.2256331542594002E-2</v>
      </c>
      <c r="F27766" s="1">
        <v>2.2728357619982601E-2</v>
      </c>
    </row>
    <row r="27767" spans="1:6" x14ac:dyDescent="0.25">
      <c r="A27767" s="2" t="str">
        <f t="shared" si="985"/>
        <v>41980</v>
      </c>
      <c r="B27767" s="2" t="str">
        <f>"00767"</f>
        <v>00767</v>
      </c>
      <c r="C27767" s="1">
        <v>1.2162168501742799E-2</v>
      </c>
      <c r="D27767" s="1">
        <v>6.94786366869084E-3</v>
      </c>
      <c r="E27767" s="1">
        <v>4.7228289745557504E-3</v>
      </c>
      <c r="F27767" s="1">
        <v>1.1624070885828799E-2</v>
      </c>
    </row>
    <row r="27768" spans="1:6" x14ac:dyDescent="0.25">
      <c r="A27768" s="2" t="str">
        <f t="shared" si="985"/>
        <v>41980</v>
      </c>
      <c r="B27768" s="2" t="str">
        <f>"00744"</f>
        <v>00744</v>
      </c>
      <c r="C27768" s="1">
        <v>9.5936874006032904E-4</v>
      </c>
      <c r="D27768" s="1">
        <v>3.0089173368346101E-4</v>
      </c>
      <c r="E27768" s="1">
        <v>1.7710608654584E-4</v>
      </c>
      <c r="F27768" s="1">
        <v>8.9424089767783704E-4</v>
      </c>
    </row>
    <row r="27769" spans="1:6" x14ac:dyDescent="0.25">
      <c r="A27769" s="2" t="str">
        <f t="shared" si="985"/>
        <v>41980</v>
      </c>
      <c r="B27769" s="2" t="str">
        <f>"00729"</f>
        <v>00729</v>
      </c>
      <c r="C27769" s="1">
        <v>1.7079812911367401E-2</v>
      </c>
      <c r="D27769" s="1">
        <v>1.28426062694895E-2</v>
      </c>
      <c r="E27769" s="1">
        <v>7.3203849105614198E-3</v>
      </c>
      <c r="F27769" s="1">
        <v>1.6575810518521798E-2</v>
      </c>
    </row>
    <row r="27770" spans="1:6" x14ac:dyDescent="0.25">
      <c r="A27770" s="2" t="str">
        <f t="shared" si="985"/>
        <v>41980</v>
      </c>
      <c r="B27770" s="2" t="str">
        <f>"00707"</f>
        <v>00707</v>
      </c>
      <c r="C27770" s="1">
        <v>5.3515887052509601E-3</v>
      </c>
      <c r="D27770" s="1">
        <v>2.9131790579353298E-3</v>
      </c>
      <c r="E27770" s="1">
        <v>1.83009622764035E-3</v>
      </c>
      <c r="F27770" s="1">
        <v>5.0991886063313898E-3</v>
      </c>
    </row>
    <row r="27771" spans="1:6" x14ac:dyDescent="0.25">
      <c r="A27771" s="2" t="str">
        <f t="shared" ref="A27771:A27802" si="986">"41980"</f>
        <v>41980</v>
      </c>
      <c r="B27771" s="2" t="str">
        <f>"00693"</f>
        <v>00693</v>
      </c>
      <c r="C27771" s="1">
        <v>2.22683793001534E-2</v>
      </c>
      <c r="D27771" s="1">
        <v>1.7903058154165898E-2</v>
      </c>
      <c r="E27771" s="1">
        <v>9.2685518625656698E-3</v>
      </c>
      <c r="F27771" s="1">
        <v>2.1696214804513399E-2</v>
      </c>
    </row>
    <row r="27772" spans="1:6" x14ac:dyDescent="0.25">
      <c r="A27772" s="2" t="str">
        <f t="shared" si="986"/>
        <v>41980</v>
      </c>
      <c r="B27772" s="2" t="str">
        <f>"00986"</f>
        <v>00986</v>
      </c>
      <c r="C27772" s="1">
        <v>2.37848386900042E-3</v>
      </c>
      <c r="D27772" s="1">
        <v>1.65490453525904E-3</v>
      </c>
      <c r="E27772" s="1">
        <v>1.18070724363893E-4</v>
      </c>
      <c r="F27772" s="1">
        <v>2.2817463474555499E-3</v>
      </c>
    </row>
    <row r="27773" spans="1:6" x14ac:dyDescent="0.25">
      <c r="A27773" s="2" t="str">
        <f t="shared" si="986"/>
        <v>41980</v>
      </c>
      <c r="B27773" s="2" t="str">
        <f>"00971"</f>
        <v>00971</v>
      </c>
      <c r="C27773" s="1">
        <v>7.5635317905245296E-3</v>
      </c>
      <c r="D27773" s="1">
        <v>4.78691394496416E-4</v>
      </c>
      <c r="E27773" s="1">
        <v>2.2433437629139799E-3</v>
      </c>
      <c r="F27773" s="1">
        <v>6.9184331371943703E-3</v>
      </c>
    </row>
    <row r="27774" spans="1:6" x14ac:dyDescent="0.25">
      <c r="A27774" s="2" t="str">
        <f t="shared" si="986"/>
        <v>41980</v>
      </c>
      <c r="B27774" s="2" t="str">
        <f>"00969"</f>
        <v>00969</v>
      </c>
      <c r="C27774" s="1">
        <v>1.762165686969E-2</v>
      </c>
      <c r="D27774" s="1">
        <v>1.4839433229388899E-2</v>
      </c>
      <c r="E27774" s="1">
        <v>1.82419269142216E-2</v>
      </c>
      <c r="F27774" s="1">
        <v>1.74170122170491E-2</v>
      </c>
    </row>
    <row r="27775" spans="1:6" x14ac:dyDescent="0.25">
      <c r="A27775" s="2" t="str">
        <f t="shared" si="986"/>
        <v>41980</v>
      </c>
      <c r="B27775" s="2" t="str">
        <f>"00935"</f>
        <v>00935</v>
      </c>
      <c r="C27775" s="1">
        <v>0</v>
      </c>
      <c r="D27775" s="1">
        <v>1.36768969856119E-5</v>
      </c>
      <c r="E27775" s="1">
        <v>0</v>
      </c>
      <c r="F27775" s="1">
        <v>1.06078398301048E-6</v>
      </c>
    </row>
    <row r="27776" spans="1:6" x14ac:dyDescent="0.25">
      <c r="A27776" s="2" t="str">
        <f t="shared" si="986"/>
        <v>41980</v>
      </c>
      <c r="B27776" s="2" t="str">
        <f>"00950"</f>
        <v>00950</v>
      </c>
      <c r="C27776" s="1">
        <v>2.3526817757469698E-3</v>
      </c>
      <c r="D27776" s="1">
        <v>4.5680835931943701E-3</v>
      </c>
      <c r="E27776" s="1">
        <v>1.18070724363893E-4</v>
      </c>
      <c r="F27776" s="1">
        <v>2.48435608821055E-3</v>
      </c>
    </row>
    <row r="27777" spans="1:6" x14ac:dyDescent="0.25">
      <c r="A27777" s="2" t="str">
        <f t="shared" si="986"/>
        <v>41980</v>
      </c>
      <c r="B27777" s="2" t="str">
        <f>"00924"</f>
        <v>00924</v>
      </c>
      <c r="C27777" s="1">
        <v>2.4447483357649801E-2</v>
      </c>
      <c r="D27777" s="1">
        <v>1.45932490836479E-2</v>
      </c>
      <c r="E27777" s="1">
        <v>1.9363598795678599E-2</v>
      </c>
      <c r="F27777" s="1">
        <v>2.3591835782153101E-2</v>
      </c>
    </row>
    <row r="27778" spans="1:6" x14ac:dyDescent="0.25">
      <c r="A27778" s="2" t="str">
        <f t="shared" si="986"/>
        <v>41980</v>
      </c>
      <c r="B27778" s="2" t="str">
        <f>"00902"</f>
        <v>00902</v>
      </c>
      <c r="C27778" s="1">
        <v>4.1412359671797296E-3</v>
      </c>
      <c r="D27778" s="1">
        <v>8.9173368346189604E-3</v>
      </c>
      <c r="E27778" s="1">
        <v>1.18070724363893E-4</v>
      </c>
      <c r="F27778" s="1">
        <v>4.4393809688988697E-3</v>
      </c>
    </row>
    <row r="27779" spans="1:6" x14ac:dyDescent="0.25">
      <c r="A27779" s="2" t="str">
        <f t="shared" si="986"/>
        <v>41980</v>
      </c>
      <c r="B27779" s="2" t="str">
        <f>"00908"</f>
        <v>00908</v>
      </c>
      <c r="C27779" s="1">
        <v>1.57275486604022E-3</v>
      </c>
      <c r="D27779" s="1">
        <v>5.3886974123310899E-3</v>
      </c>
      <c r="E27779" s="1">
        <v>1.18070724363893E-4</v>
      </c>
      <c r="F27779" s="1">
        <v>1.84258177848921E-3</v>
      </c>
    </row>
    <row r="27780" spans="1:6" x14ac:dyDescent="0.25">
      <c r="A27780" s="2" t="str">
        <f t="shared" si="986"/>
        <v>41980</v>
      </c>
      <c r="B27780" s="2" t="str">
        <f>"00792"</f>
        <v>00792</v>
      </c>
      <c r="C27780" s="1">
        <v>2.57199956840134E-3</v>
      </c>
      <c r="D27780" s="1">
        <v>3.51496252530225E-3</v>
      </c>
      <c r="E27780" s="1">
        <v>1.18070724363893E-4</v>
      </c>
      <c r="F27780" s="1">
        <v>2.6010423263417002E-3</v>
      </c>
    </row>
    <row r="27781" spans="1:6" x14ac:dyDescent="0.25">
      <c r="A27781" s="2" t="str">
        <f t="shared" si="986"/>
        <v>41980</v>
      </c>
      <c r="B27781" s="2" t="str">
        <f>"00741"</f>
        <v>00741</v>
      </c>
      <c r="C27781" s="1">
        <v>2.6834176983594501E-3</v>
      </c>
      <c r="D27781" s="1">
        <v>8.3429071612232605E-4</v>
      </c>
      <c r="E27781" s="1">
        <v>1.18070724363893E-4</v>
      </c>
      <c r="F27781" s="1">
        <v>2.49390314405764E-3</v>
      </c>
    </row>
    <row r="27782" spans="1:6" x14ac:dyDescent="0.25">
      <c r="A27782" s="2" t="str">
        <f t="shared" si="986"/>
        <v>41980</v>
      </c>
      <c r="B27782" s="2" t="str">
        <f>"00720"</f>
        <v>00720</v>
      </c>
      <c r="C27782" s="1">
        <v>3.60877458822204E-3</v>
      </c>
      <c r="D27782" s="1">
        <v>3.5286394222878701E-3</v>
      </c>
      <c r="E27782" s="1">
        <v>4.1915107149182304E-3</v>
      </c>
      <c r="F27782" s="1">
        <v>3.6130302461336999E-3</v>
      </c>
    </row>
    <row r="27783" spans="1:6" x14ac:dyDescent="0.25">
      <c r="A27783" s="2" t="str">
        <f t="shared" si="986"/>
        <v>41980</v>
      </c>
      <c r="B27783" s="2" t="str">
        <f>"00694"</f>
        <v>00694</v>
      </c>
      <c r="C27783" s="1">
        <v>3.4351968699715199E-3</v>
      </c>
      <c r="D27783" s="1">
        <v>2.3524262815252401E-3</v>
      </c>
      <c r="E27783" s="1">
        <v>1.18070724363893E-4</v>
      </c>
      <c r="F27783" s="1">
        <v>3.29161269928153E-3</v>
      </c>
    </row>
    <row r="27784" spans="1:6" x14ac:dyDescent="0.25">
      <c r="A27784" s="2" t="str">
        <f t="shared" si="986"/>
        <v>41980</v>
      </c>
      <c r="B27784" s="2" t="str">
        <f>"00692"</f>
        <v>00692</v>
      </c>
      <c r="C27784" s="1">
        <v>1.41383742804734E-2</v>
      </c>
      <c r="D27784" s="1">
        <v>1.1310793807101E-2</v>
      </c>
      <c r="E27784" s="1">
        <v>6.4938898400141599E-3</v>
      </c>
      <c r="F27784" s="1">
        <v>1.37817055072722E-2</v>
      </c>
    </row>
    <row r="27785" spans="1:6" x14ac:dyDescent="0.25">
      <c r="A27785" s="2" t="str">
        <f t="shared" si="986"/>
        <v>41980</v>
      </c>
      <c r="B27785" s="2" t="str">
        <f>"00687"</f>
        <v>00687</v>
      </c>
      <c r="C27785" s="1">
        <v>1.0838051988872201E-2</v>
      </c>
      <c r="D27785" s="1">
        <v>5.5801739701296501E-3</v>
      </c>
      <c r="E27785" s="1">
        <v>4.4276521636460201E-3</v>
      </c>
      <c r="F27785" s="1">
        <v>1.03150634507939E-2</v>
      </c>
    </row>
    <row r="27786" spans="1:6" x14ac:dyDescent="0.25">
      <c r="A27786" s="2" t="str">
        <f t="shared" si="986"/>
        <v>41980</v>
      </c>
      <c r="B27786" s="2" t="str">
        <f>"00612"</f>
        <v>00612</v>
      </c>
      <c r="C27786" s="1">
        <v>7.6233457339757197E-5</v>
      </c>
      <c r="D27786" s="1">
        <v>1.36768969856119E-5</v>
      </c>
      <c r="E27786" s="1">
        <v>0</v>
      </c>
      <c r="F27786" s="1">
        <v>7.0011742878691902E-5</v>
      </c>
    </row>
    <row r="27787" spans="1:6" x14ac:dyDescent="0.25">
      <c r="A27787" s="2" t="str">
        <f t="shared" si="986"/>
        <v>41980</v>
      </c>
      <c r="B27787" s="2" t="str">
        <f>"00961"</f>
        <v>00961</v>
      </c>
      <c r="C27787" s="1">
        <v>1.4117263476902399E-2</v>
      </c>
      <c r="D27787" s="1">
        <v>2.7668362601892801E-2</v>
      </c>
      <c r="E27787" s="1">
        <v>1.3932345474939401E-2</v>
      </c>
      <c r="F27787" s="1">
        <v>1.51649678211178E-2</v>
      </c>
    </row>
    <row r="27788" spans="1:6" x14ac:dyDescent="0.25">
      <c r="A27788" s="2" t="str">
        <f t="shared" si="986"/>
        <v>41980</v>
      </c>
      <c r="B27788" s="2" t="str">
        <f>"00951"</f>
        <v>00951</v>
      </c>
      <c r="C27788" s="1">
        <v>2.7936630058969501E-3</v>
      </c>
      <c r="D27788" s="1">
        <v>1.4771048744460799E-3</v>
      </c>
      <c r="E27788" s="1">
        <v>1.18070724363893E-4</v>
      </c>
      <c r="F27788" s="1">
        <v>2.6434736856621199E-3</v>
      </c>
    </row>
    <row r="27789" spans="1:6" x14ac:dyDescent="0.25">
      <c r="A27789" s="2" t="str">
        <f t="shared" si="986"/>
        <v>41980</v>
      </c>
      <c r="B27789" s="2" t="str">
        <f>"00937"</f>
        <v>00937</v>
      </c>
      <c r="C27789" s="1">
        <v>1.02152832835274E-3</v>
      </c>
      <c r="D27789" s="1">
        <v>1.7096121232014799E-3</v>
      </c>
      <c r="E27789" s="1">
        <v>1.18070724363893E-4</v>
      </c>
      <c r="F27789" s="1">
        <v>1.0586624150444601E-3</v>
      </c>
    </row>
    <row r="27790" spans="1:6" x14ac:dyDescent="0.25">
      <c r="A27790" s="2" t="str">
        <f t="shared" si="986"/>
        <v>41980</v>
      </c>
      <c r="B27790" s="2" t="str">
        <f>"00915"</f>
        <v>00915</v>
      </c>
      <c r="C27790" s="1">
        <v>1.2952650813235E-2</v>
      </c>
      <c r="D27790" s="1">
        <v>1.05038568849499E-2</v>
      </c>
      <c r="E27790" s="1">
        <v>2.5562311824783E-2</v>
      </c>
      <c r="F27790" s="1">
        <v>1.2989299871963299E-2</v>
      </c>
    </row>
    <row r="27791" spans="1:6" x14ac:dyDescent="0.25">
      <c r="A27791" s="2" t="str">
        <f t="shared" si="986"/>
        <v>41980</v>
      </c>
      <c r="B27791" s="2" t="str">
        <f>"00777"</f>
        <v>00777</v>
      </c>
      <c r="C27791" s="1">
        <v>1.6569635158401302E-2</v>
      </c>
      <c r="D27791" s="1">
        <v>9.2866130532304799E-3</v>
      </c>
      <c r="E27791" s="1">
        <v>1.03311883818407E-2</v>
      </c>
      <c r="F27791" s="1">
        <v>1.5892665633463001E-2</v>
      </c>
    </row>
    <row r="27792" spans="1:6" x14ac:dyDescent="0.25">
      <c r="A27792" s="2" t="str">
        <f t="shared" si="986"/>
        <v>41980</v>
      </c>
      <c r="B27792" s="2" t="str">
        <f>"00754"</f>
        <v>00754</v>
      </c>
      <c r="C27792" s="1">
        <v>1.3969487851905301E-2</v>
      </c>
      <c r="D27792" s="1">
        <v>9.3002899502160896E-3</v>
      </c>
      <c r="E27792" s="1">
        <v>6.3758191156502702E-3</v>
      </c>
      <c r="F27792" s="1">
        <v>1.3470895800250101E-2</v>
      </c>
    </row>
    <row r="27793" spans="1:6" x14ac:dyDescent="0.25">
      <c r="A27793" s="2" t="str">
        <f t="shared" si="986"/>
        <v>41980</v>
      </c>
      <c r="B27793" s="2" t="str">
        <f>"00740"</f>
        <v>00740</v>
      </c>
      <c r="C27793" s="1">
        <v>1.7310858928227899E-3</v>
      </c>
      <c r="D27793" s="1">
        <v>2.01050385688494E-3</v>
      </c>
      <c r="E27793" s="1">
        <v>5.3131825963752201E-4</v>
      </c>
      <c r="F27793" s="1">
        <v>1.7311994602730999E-3</v>
      </c>
    </row>
    <row r="27794" spans="1:6" x14ac:dyDescent="0.25">
      <c r="A27794" s="2" t="str">
        <f t="shared" si="986"/>
        <v>41980</v>
      </c>
      <c r="B27794" s="2" t="str">
        <f>"00727"</f>
        <v>00727</v>
      </c>
      <c r="C27794" s="1">
        <v>2.1662030108697099E-2</v>
      </c>
      <c r="D27794" s="1">
        <v>5.1288363696044602E-3</v>
      </c>
      <c r="E27794" s="1">
        <v>1.04492591062046E-2</v>
      </c>
      <c r="F27794" s="1">
        <v>2.0178232924825401E-2</v>
      </c>
    </row>
    <row r="27795" spans="1:6" x14ac:dyDescent="0.25">
      <c r="A27795" s="2" t="str">
        <f t="shared" si="986"/>
        <v>41980</v>
      </c>
      <c r="B27795" s="2" t="str">
        <f>"00719"</f>
        <v>00719</v>
      </c>
      <c r="C27795" s="1">
        <v>6.8703937399430398E-3</v>
      </c>
      <c r="D27795" s="1">
        <v>5.7169429399857698E-3</v>
      </c>
      <c r="E27795" s="1">
        <v>1.0626365192750399E-3</v>
      </c>
      <c r="F27795" s="1">
        <v>6.6765743890679803E-3</v>
      </c>
    </row>
    <row r="27796" spans="1:6" x14ac:dyDescent="0.25">
      <c r="A27796" s="2" t="str">
        <f t="shared" si="986"/>
        <v>41980</v>
      </c>
      <c r="B27796" s="2" t="str">
        <f>"00703"</f>
        <v>00703</v>
      </c>
      <c r="C27796" s="1">
        <v>8.0983388143234403E-3</v>
      </c>
      <c r="D27796" s="1">
        <v>3.8158542589857201E-3</v>
      </c>
      <c r="E27796" s="1">
        <v>2.1252730385500902E-3</v>
      </c>
      <c r="F27796" s="1">
        <v>7.6588603573356897E-3</v>
      </c>
    </row>
    <row r="27797" spans="1:6" x14ac:dyDescent="0.25">
      <c r="A27797" s="2" t="str">
        <f t="shared" si="986"/>
        <v>41980</v>
      </c>
      <c r="B27797" s="2" t="str">
        <f>"00638"</f>
        <v>00638</v>
      </c>
      <c r="C27797" s="1">
        <v>7.4169289879480703E-3</v>
      </c>
      <c r="D27797" s="1">
        <v>4.22616116855407E-3</v>
      </c>
      <c r="E27797" s="1">
        <v>2.7746620225515E-3</v>
      </c>
      <c r="F27797" s="1">
        <v>7.0860370065100303E-3</v>
      </c>
    </row>
    <row r="27798" spans="1:6" x14ac:dyDescent="0.25">
      <c r="A27798" s="2" t="str">
        <f t="shared" si="986"/>
        <v>41980</v>
      </c>
      <c r="B27798" s="2" t="str">
        <f>"00982"</f>
        <v>00982</v>
      </c>
      <c r="C27798" s="1">
        <v>6.7190996476841399E-3</v>
      </c>
      <c r="D27798" s="1">
        <v>8.0146616335685702E-3</v>
      </c>
      <c r="E27798" s="1">
        <v>6.0216069425585899E-3</v>
      </c>
      <c r="F27798" s="1">
        <v>6.80705081897827E-3</v>
      </c>
    </row>
    <row r="27799" spans="1:6" x14ac:dyDescent="0.25">
      <c r="A27799" s="2" t="str">
        <f t="shared" si="986"/>
        <v>41980</v>
      </c>
      <c r="B27799" s="2" t="str">
        <f>"00977"</f>
        <v>00977</v>
      </c>
      <c r="C27799" s="1">
        <v>2.1579932539254301E-3</v>
      </c>
      <c r="D27799" s="1">
        <v>2.80376388205044E-3</v>
      </c>
      <c r="E27799" s="1">
        <v>1.18070724363893E-4</v>
      </c>
      <c r="F27799" s="1">
        <v>2.1714248132224602E-3</v>
      </c>
    </row>
    <row r="27800" spans="1:6" x14ac:dyDescent="0.25">
      <c r="A27800" s="2" t="str">
        <f t="shared" si="986"/>
        <v>41980</v>
      </c>
      <c r="B27800" s="2" t="str">
        <f>"00984"</f>
        <v>00984</v>
      </c>
      <c r="C27800" s="1">
        <v>2.8452671924038601E-3</v>
      </c>
      <c r="D27800" s="1">
        <v>6.4554953772088097E-3</v>
      </c>
      <c r="E27800" s="1">
        <v>1.18070724363893E-4</v>
      </c>
      <c r="F27800" s="1">
        <v>3.0762735507304001E-3</v>
      </c>
    </row>
    <row r="27801" spans="1:6" x14ac:dyDescent="0.25">
      <c r="A27801" s="2" t="str">
        <f t="shared" si="986"/>
        <v>41980</v>
      </c>
      <c r="B27801" s="2" t="str">
        <f>"00968"</f>
        <v>00968</v>
      </c>
      <c r="C27801" s="1">
        <v>2.6376776239556E-3</v>
      </c>
      <c r="D27801" s="1">
        <v>1.56053394605831E-2</v>
      </c>
      <c r="E27801" s="1">
        <v>9.2685518625656698E-3</v>
      </c>
      <c r="F27801" s="1">
        <v>3.7626007877381799E-3</v>
      </c>
    </row>
    <row r="27802" spans="1:6" x14ac:dyDescent="0.25">
      <c r="A27802" s="2" t="str">
        <f t="shared" si="986"/>
        <v>41980</v>
      </c>
      <c r="B27802" s="2" t="str">
        <f>"00959"</f>
        <v>00959</v>
      </c>
      <c r="C27802" s="1">
        <v>2.2263688010470899E-2</v>
      </c>
      <c r="D27802" s="1">
        <v>2.9884019913562002E-2</v>
      </c>
      <c r="E27802" s="1">
        <v>3.0521282248066502E-2</v>
      </c>
      <c r="F27802" s="1">
        <v>2.3003100671582299E-2</v>
      </c>
    </row>
    <row r="27803" spans="1:6" x14ac:dyDescent="0.25">
      <c r="A27803" s="2" t="str">
        <f t="shared" ref="A27803:A27834" si="987">"41980"</f>
        <v>41980</v>
      </c>
      <c r="B27803" s="2" t="str">
        <f>"00963"</f>
        <v>00963</v>
      </c>
      <c r="C27803" s="1">
        <v>1.38393045632174E-3</v>
      </c>
      <c r="D27803" s="1">
        <v>1.25827452267629E-3</v>
      </c>
      <c r="E27803" s="1">
        <v>1.18070724363893E-4</v>
      </c>
      <c r="F27803" s="1">
        <v>1.3514387943553501E-3</v>
      </c>
    </row>
    <row r="27804" spans="1:6" x14ac:dyDescent="0.25">
      <c r="A27804" s="2" t="str">
        <f t="shared" si="987"/>
        <v>41980</v>
      </c>
      <c r="B27804" s="2" t="str">
        <f>"00960"</f>
        <v>00960</v>
      </c>
      <c r="C27804" s="1">
        <v>5.6213378619916401E-3</v>
      </c>
      <c r="D27804" s="1">
        <v>1.3991465616280899E-2</v>
      </c>
      <c r="E27804" s="1">
        <v>1.18070724363893E-4</v>
      </c>
      <c r="F27804" s="1">
        <v>6.1716412131549896E-3</v>
      </c>
    </row>
    <row r="27805" spans="1:6" x14ac:dyDescent="0.25">
      <c r="A27805" s="2" t="str">
        <f t="shared" si="987"/>
        <v>41980</v>
      </c>
      <c r="B27805" s="2" t="str">
        <f>"00925"</f>
        <v>00925</v>
      </c>
      <c r="C27805" s="1">
        <v>3.9453746229375902E-3</v>
      </c>
      <c r="D27805" s="1">
        <v>1.5673723945511201E-2</v>
      </c>
      <c r="E27805" s="1">
        <v>2.9399610366609499E-2</v>
      </c>
      <c r="F27805" s="1">
        <v>5.3124061869165001E-3</v>
      </c>
    </row>
    <row r="27806" spans="1:6" x14ac:dyDescent="0.25">
      <c r="A27806" s="2" t="str">
        <f t="shared" si="987"/>
        <v>41980</v>
      </c>
      <c r="B27806" s="2" t="str">
        <f>"00923"</f>
        <v>00923</v>
      </c>
      <c r="C27806" s="1">
        <v>1.33631386604491E-2</v>
      </c>
      <c r="D27806" s="1">
        <v>6.9888943596476804E-3</v>
      </c>
      <c r="E27806" s="1">
        <v>2.38502863215065E-2</v>
      </c>
      <c r="F27806" s="1">
        <v>1.3057190046875999E-2</v>
      </c>
    </row>
    <row r="27807" spans="1:6" x14ac:dyDescent="0.25">
      <c r="A27807" s="2" t="str">
        <f t="shared" si="987"/>
        <v>41980</v>
      </c>
      <c r="B27807" s="2" t="str">
        <f>"00917"</f>
        <v>00917</v>
      </c>
      <c r="C27807" s="1">
        <v>1.06480547567331E-2</v>
      </c>
      <c r="D27807" s="1">
        <v>2.0419607199518498E-2</v>
      </c>
      <c r="E27807" s="1">
        <v>2.1311765747682801E-2</v>
      </c>
      <c r="F27807" s="1">
        <v>1.15975512862536E-2</v>
      </c>
    </row>
    <row r="27808" spans="1:6" x14ac:dyDescent="0.25">
      <c r="A27808" s="2" t="str">
        <f t="shared" si="987"/>
        <v>41980</v>
      </c>
      <c r="B27808" s="2" t="str">
        <f>"00911"</f>
        <v>00911</v>
      </c>
      <c r="C27808" s="1">
        <v>5.6189922171504102E-3</v>
      </c>
      <c r="D27808" s="1">
        <v>8.8899830406477306E-3</v>
      </c>
      <c r="E27808" s="1">
        <v>3.8136843969537697E-2</v>
      </c>
      <c r="F27808" s="1">
        <v>6.4569921045848104E-3</v>
      </c>
    </row>
    <row r="27809" spans="1:6" x14ac:dyDescent="0.25">
      <c r="A27809" s="2" t="str">
        <f t="shared" si="987"/>
        <v>41980</v>
      </c>
      <c r="B27809" s="2" t="str">
        <f>"00745"</f>
        <v>00745</v>
      </c>
      <c r="C27809" s="1">
        <v>2.1387589662274002E-2</v>
      </c>
      <c r="D27809" s="1">
        <v>9.2455823622736404E-3</v>
      </c>
      <c r="E27809" s="1">
        <v>3.4240510065529201E-3</v>
      </c>
      <c r="F27809" s="1">
        <v>2.01230721577088E-2</v>
      </c>
    </row>
    <row r="27810" spans="1:6" x14ac:dyDescent="0.25">
      <c r="A27810" s="2" t="str">
        <f t="shared" si="987"/>
        <v>41980</v>
      </c>
      <c r="B27810" s="2" t="str">
        <f>"00737"</f>
        <v>00737</v>
      </c>
      <c r="C27810" s="1">
        <v>3.7424763441717699E-3</v>
      </c>
      <c r="D27810" s="1">
        <v>2.0378576508561699E-3</v>
      </c>
      <c r="E27810" s="1">
        <v>1.18070724363893E-4</v>
      </c>
      <c r="F27810" s="1">
        <v>3.54514007122103E-3</v>
      </c>
    </row>
    <row r="27811" spans="1:6" x14ac:dyDescent="0.25">
      <c r="A27811" s="2" t="str">
        <f t="shared" si="987"/>
        <v>41980</v>
      </c>
      <c r="B27811" s="2" t="str">
        <f>"00738"</f>
        <v>00738</v>
      </c>
      <c r="C27811" s="1">
        <v>1.8908243065100999E-2</v>
      </c>
      <c r="D27811" s="1">
        <v>1.9763116144209201E-2</v>
      </c>
      <c r="E27811" s="1">
        <v>1.4699805183304699E-2</v>
      </c>
      <c r="F27811" s="1">
        <v>1.8898927441314699E-2</v>
      </c>
    </row>
    <row r="27812" spans="1:6" x14ac:dyDescent="0.25">
      <c r="A27812" s="2" t="str">
        <f t="shared" si="987"/>
        <v>41980</v>
      </c>
      <c r="B27812" s="2" t="str">
        <f>"00736"</f>
        <v>00736</v>
      </c>
      <c r="C27812" s="1">
        <v>1.7156046368707201E-2</v>
      </c>
      <c r="D27812" s="1">
        <v>1.4497510804748599E-2</v>
      </c>
      <c r="E27812" s="1">
        <v>7.5565263592892104E-3</v>
      </c>
      <c r="F27812" s="1">
        <v>1.6777359475293799E-2</v>
      </c>
    </row>
    <row r="27813" spans="1:6" x14ac:dyDescent="0.25">
      <c r="A27813" s="2" t="str">
        <f t="shared" si="987"/>
        <v>41980</v>
      </c>
      <c r="B27813" s="2" t="str">
        <f>"00721"</f>
        <v>00721</v>
      </c>
      <c r="C27813" s="1">
        <v>5.7820145336154305E-4</v>
      </c>
      <c r="D27813" s="1">
        <v>2.05153454784178E-4</v>
      </c>
      <c r="E27813" s="1">
        <v>1.18070724363893E-4</v>
      </c>
      <c r="F27813" s="1">
        <v>5.4099983133534596E-4</v>
      </c>
    </row>
    <row r="27814" spans="1:6" x14ac:dyDescent="0.25">
      <c r="A27814" s="2" t="str">
        <f t="shared" si="987"/>
        <v>41980</v>
      </c>
      <c r="B27814" s="2" t="str">
        <f>"00958"</f>
        <v>00958</v>
      </c>
      <c r="C27814" s="1">
        <v>8.1980287200754301E-4</v>
      </c>
      <c r="D27814" s="1">
        <v>2.8174407790360501E-3</v>
      </c>
      <c r="E27814" s="1">
        <v>1.18070724363893E-4</v>
      </c>
      <c r="F27814" s="1">
        <v>9.6213107259050801E-4</v>
      </c>
    </row>
    <row r="27815" spans="1:6" x14ac:dyDescent="0.25">
      <c r="A27815" s="2" t="str">
        <f t="shared" si="987"/>
        <v>41980</v>
      </c>
      <c r="B27815" s="2" t="str">
        <f>"00954"</f>
        <v>00954</v>
      </c>
      <c r="C27815" s="1">
        <v>1.65719808032426E-3</v>
      </c>
      <c r="D27815" s="1">
        <v>6.2913726133814697E-4</v>
      </c>
      <c r="E27815" s="1">
        <v>1.18070724363893E-4</v>
      </c>
      <c r="F27815" s="1">
        <v>1.54980539917831E-3</v>
      </c>
    </row>
    <row r="27816" spans="1:6" x14ac:dyDescent="0.25">
      <c r="A27816" s="2" t="str">
        <f t="shared" si="987"/>
        <v>41980</v>
      </c>
      <c r="B27816" s="2" t="str">
        <f>"00956"</f>
        <v>00956</v>
      </c>
      <c r="C27816" s="1">
        <v>2.9118835058946E-2</v>
      </c>
      <c r="D27816" s="1">
        <v>2.25668800262596E-2</v>
      </c>
      <c r="E27816" s="1">
        <v>2.6093630084420501E-2</v>
      </c>
      <c r="F27816" s="1">
        <v>2.8556304822642199E-2</v>
      </c>
    </row>
    <row r="27817" spans="1:6" x14ac:dyDescent="0.25">
      <c r="A27817" s="2" t="str">
        <f t="shared" si="987"/>
        <v>41980</v>
      </c>
      <c r="B27817" s="2" t="str">
        <f>"00953"</f>
        <v>00953</v>
      </c>
      <c r="C27817" s="1">
        <v>2.40416868001182E-2</v>
      </c>
      <c r="D27817" s="1">
        <v>7.4949395481153204E-3</v>
      </c>
      <c r="E27817" s="1">
        <v>3.0698388334612402E-3</v>
      </c>
      <c r="F27817" s="1">
        <v>2.23814812575381E-2</v>
      </c>
    </row>
    <row r="27818" spans="1:6" x14ac:dyDescent="0.25">
      <c r="A27818" s="2" t="str">
        <f t="shared" si="987"/>
        <v>41980</v>
      </c>
      <c r="B27818" s="2" t="str">
        <f>"00940"</f>
        <v>00940</v>
      </c>
      <c r="C27818" s="1">
        <v>1.2713395039430199E-3</v>
      </c>
      <c r="D27818" s="1">
        <v>1.8737348870288301E-3</v>
      </c>
      <c r="E27818" s="1">
        <v>1.7710608654584E-4</v>
      </c>
      <c r="F27818" s="1">
        <v>1.2983995952048301E-3</v>
      </c>
    </row>
    <row r="27819" spans="1:6" x14ac:dyDescent="0.25">
      <c r="A27819" s="2" t="str">
        <f t="shared" si="987"/>
        <v>41980</v>
      </c>
      <c r="B27819" s="2" t="str">
        <f>"00936"</f>
        <v>00936</v>
      </c>
      <c r="C27819" s="1">
        <v>4.5716617955442098E-3</v>
      </c>
      <c r="D27819" s="1">
        <v>2.4823568028885599E-2</v>
      </c>
      <c r="E27819" s="1">
        <v>2.7746620225515E-3</v>
      </c>
      <c r="F27819" s="1">
        <v>6.1101157421403797E-3</v>
      </c>
    </row>
    <row r="27820" spans="1:6" x14ac:dyDescent="0.25">
      <c r="A27820" s="2" t="str">
        <f t="shared" si="987"/>
        <v>41980</v>
      </c>
      <c r="B27820" s="2" t="str">
        <f>"00919"</f>
        <v>00919</v>
      </c>
      <c r="C27820" s="1">
        <v>3.8456847171855998E-3</v>
      </c>
      <c r="D27820" s="1">
        <v>1.95442857924394E-2</v>
      </c>
      <c r="E27820" s="1">
        <v>1.18070724363893E-4</v>
      </c>
      <c r="F27820" s="1">
        <v>4.9962925599793704E-3</v>
      </c>
    </row>
    <row r="27821" spans="1:6" x14ac:dyDescent="0.25">
      <c r="A27821" s="2" t="str">
        <f t="shared" si="987"/>
        <v>41980</v>
      </c>
      <c r="B27821" s="2" t="str">
        <f>"00921"</f>
        <v>00921</v>
      </c>
      <c r="C27821" s="1">
        <v>1.6204887385591098E-2</v>
      </c>
      <c r="D27821" s="1">
        <v>2.25668800262596E-2</v>
      </c>
      <c r="E27821" s="1">
        <v>2.1902119369502301E-2</v>
      </c>
      <c r="F27821" s="1">
        <v>1.6800696722919999E-2</v>
      </c>
    </row>
    <row r="27822" spans="1:6" x14ac:dyDescent="0.25">
      <c r="A27822" s="2" t="str">
        <f t="shared" si="987"/>
        <v>41980</v>
      </c>
      <c r="B27822" s="2" t="str">
        <f>"00918"</f>
        <v>00918</v>
      </c>
      <c r="C27822" s="1">
        <v>1.1084344697200699E-2</v>
      </c>
      <c r="D27822" s="1">
        <v>5.3230483068001502E-2</v>
      </c>
      <c r="E27822" s="1">
        <v>3.1938130940433303E-2</v>
      </c>
      <c r="F27822" s="1">
        <v>1.47279248201175E-2</v>
      </c>
    </row>
    <row r="27823" spans="1:6" x14ac:dyDescent="0.25">
      <c r="A27823" s="2" t="str">
        <f t="shared" si="987"/>
        <v>41980</v>
      </c>
      <c r="B27823" s="2" t="str">
        <f>"00914"</f>
        <v>00914</v>
      </c>
      <c r="C27823" s="1">
        <v>8.9486350692668897E-4</v>
      </c>
      <c r="D27823" s="1">
        <v>2.3387493845396299E-3</v>
      </c>
      <c r="E27823" s="1">
        <v>1.18070724363893E-4</v>
      </c>
      <c r="F27823" s="1">
        <v>9.9289380809781209E-4</v>
      </c>
    </row>
    <row r="27824" spans="1:6" x14ac:dyDescent="0.25">
      <c r="A27824" s="2" t="str">
        <f t="shared" si="987"/>
        <v>41980</v>
      </c>
      <c r="B27824" s="2" t="str">
        <f>"00794"</f>
        <v>00794</v>
      </c>
      <c r="C27824" s="1">
        <v>7.3852627825915602E-3</v>
      </c>
      <c r="D27824" s="1">
        <v>6.8931560807483899E-3</v>
      </c>
      <c r="E27824" s="1">
        <v>5.0180057854654903E-3</v>
      </c>
      <c r="F27824" s="1">
        <v>7.30455850701019E-3</v>
      </c>
    </row>
    <row r="27825" spans="1:6" x14ac:dyDescent="0.25">
      <c r="A27825" s="2" t="str">
        <f t="shared" si="987"/>
        <v>41980</v>
      </c>
      <c r="B27825" s="2" t="str">
        <f>"00783"</f>
        <v>00783</v>
      </c>
      <c r="C27825" s="1">
        <v>1.0187135545432701E-2</v>
      </c>
      <c r="D27825" s="1">
        <v>6.8384484928059501E-3</v>
      </c>
      <c r="E27825" s="1">
        <v>5.9625715803766398E-3</v>
      </c>
      <c r="F27825" s="1">
        <v>9.8515008502183601E-3</v>
      </c>
    </row>
    <row r="27826" spans="1:6" x14ac:dyDescent="0.25">
      <c r="A27826" s="2" t="str">
        <f t="shared" si="987"/>
        <v>41980</v>
      </c>
      <c r="B27826" s="2" t="str">
        <f>"00773"</f>
        <v>00773</v>
      </c>
      <c r="C27826" s="1">
        <v>1.1830259756709699E-2</v>
      </c>
      <c r="D27826" s="1">
        <v>5.48443569123037E-3</v>
      </c>
      <c r="E27826" s="1">
        <v>7.2613495483794697E-3</v>
      </c>
      <c r="F27826" s="1">
        <v>1.12559788437242E-2</v>
      </c>
    </row>
    <row r="27827" spans="1:6" x14ac:dyDescent="0.25">
      <c r="A27827" s="2" t="str">
        <f t="shared" si="987"/>
        <v>41980</v>
      </c>
      <c r="B27827" s="2" t="str">
        <f>"00739"</f>
        <v>00739</v>
      </c>
      <c r="C27827" s="1">
        <v>1.5914027425279399E-2</v>
      </c>
      <c r="D27827" s="1">
        <v>8.7805678647628407E-3</v>
      </c>
      <c r="E27827" s="1">
        <v>5.3722179585571697E-3</v>
      </c>
      <c r="F27827" s="1">
        <v>1.51713325250159E-2</v>
      </c>
    </row>
    <row r="27828" spans="1:6" x14ac:dyDescent="0.25">
      <c r="A27828" s="2" t="str">
        <f t="shared" si="987"/>
        <v>41980</v>
      </c>
      <c r="B27828" s="2" t="str">
        <f>"00735"</f>
        <v>00735</v>
      </c>
      <c r="C27828" s="1">
        <v>8.0361792260310195E-3</v>
      </c>
      <c r="D27828" s="1">
        <v>3.89791564089939E-3</v>
      </c>
      <c r="E27828" s="1">
        <v>2.1843084007320298E-3</v>
      </c>
      <c r="F27828" s="1">
        <v>7.6100642941172103E-3</v>
      </c>
    </row>
    <row r="27829" spans="1:6" x14ac:dyDescent="0.25">
      <c r="A27829" s="2" t="str">
        <f t="shared" si="987"/>
        <v>41980</v>
      </c>
      <c r="B27829" s="2" t="str">
        <f>"00983"</f>
        <v>00983</v>
      </c>
      <c r="C27829" s="1">
        <v>1.5534032961001301E-2</v>
      </c>
      <c r="D27829" s="1">
        <v>1.3622189397669401E-2</v>
      </c>
      <c r="E27829" s="1">
        <v>1.8182891552039601E-2</v>
      </c>
      <c r="F27829" s="1">
        <v>1.5433346168819501E-2</v>
      </c>
    </row>
    <row r="27830" spans="1:6" x14ac:dyDescent="0.25">
      <c r="A27830" s="2" t="str">
        <f t="shared" si="987"/>
        <v>41980</v>
      </c>
      <c r="B27830" s="2" t="str">
        <f>"00962"</f>
        <v>00962</v>
      </c>
      <c r="C27830" s="1">
        <v>9.2348037398961302E-3</v>
      </c>
      <c r="D27830" s="1">
        <v>7.9189233546692901E-3</v>
      </c>
      <c r="E27830" s="1">
        <v>2.4617746029871799E-2</v>
      </c>
      <c r="F27830" s="1">
        <v>9.4091539293029904E-3</v>
      </c>
    </row>
    <row r="27831" spans="1:6" x14ac:dyDescent="0.25">
      <c r="A27831" s="2" t="str">
        <f t="shared" si="987"/>
        <v>41980</v>
      </c>
      <c r="B27831" s="2" t="str">
        <f>"00957"</f>
        <v>00957</v>
      </c>
      <c r="C27831" s="1">
        <v>1.79500471474613E-2</v>
      </c>
      <c r="D27831" s="1">
        <v>8.7805678647628407E-3</v>
      </c>
      <c r="E27831" s="1">
        <v>2.3378003424051001E-2</v>
      </c>
      <c r="F27831" s="1">
        <v>1.7336392634340302E-2</v>
      </c>
    </row>
    <row r="27832" spans="1:6" x14ac:dyDescent="0.25">
      <c r="A27832" s="2" t="str">
        <f t="shared" si="987"/>
        <v>41980</v>
      </c>
      <c r="B27832" s="2" t="str">
        <f>"00916"</f>
        <v>00916</v>
      </c>
      <c r="C27832" s="1">
        <v>1.06609558033599E-3</v>
      </c>
      <c r="D27832" s="1">
        <v>8.7532140707916105E-4</v>
      </c>
      <c r="E27832" s="1">
        <v>1.18070724363893E-4</v>
      </c>
      <c r="F27832" s="1">
        <v>1.03426438343522E-3</v>
      </c>
    </row>
    <row r="27833" spans="1:6" x14ac:dyDescent="0.25">
      <c r="A27833" s="2" t="str">
        <f t="shared" si="987"/>
        <v>41980</v>
      </c>
      <c r="B27833" s="2" t="str">
        <f>"00782"</f>
        <v>00782</v>
      </c>
      <c r="C27833" s="1">
        <v>6.8422460018483598E-3</v>
      </c>
      <c r="D27833" s="1">
        <v>3.4876087313310301E-3</v>
      </c>
      <c r="E27833" s="1">
        <v>2.0662376763681402E-3</v>
      </c>
      <c r="F27833" s="1">
        <v>6.4962411119562002E-3</v>
      </c>
    </row>
    <row r="27834" spans="1:6" x14ac:dyDescent="0.25">
      <c r="A27834" s="2" t="str">
        <f t="shared" si="987"/>
        <v>41980</v>
      </c>
      <c r="B27834" s="2" t="str">
        <f>"00979"</f>
        <v>00979</v>
      </c>
      <c r="C27834" s="1">
        <v>1.33607930156079E-2</v>
      </c>
      <c r="D27834" s="1">
        <v>1.2049346244323999E-2</v>
      </c>
      <c r="E27834" s="1">
        <v>2.1016588936773099E-2</v>
      </c>
      <c r="F27834" s="1">
        <v>1.3396640921439299E-2</v>
      </c>
    </row>
    <row r="27835" spans="1:6" x14ac:dyDescent="0.25">
      <c r="A27835" s="2" t="str">
        <f t="shared" ref="A27835:A27846" si="988">"41980"</f>
        <v>41980</v>
      </c>
      <c r="B27835" s="2" t="str">
        <f>"00987"</f>
        <v>00987</v>
      </c>
      <c r="C27835" s="1">
        <v>2.1938816199961499E-2</v>
      </c>
      <c r="D27835" s="1">
        <v>1.29930521363313E-2</v>
      </c>
      <c r="E27835" s="1">
        <v>4.8881279886652099E-2</v>
      </c>
      <c r="F27835" s="1">
        <v>2.1729099107986701E-2</v>
      </c>
    </row>
    <row r="27836" spans="1:6" x14ac:dyDescent="0.25">
      <c r="A27836" s="2" t="str">
        <f t="shared" si="988"/>
        <v>41980</v>
      </c>
      <c r="B27836" s="2" t="str">
        <f>"00976"</f>
        <v>00976</v>
      </c>
      <c r="C27836" s="1">
        <v>2.2134677544203601E-2</v>
      </c>
      <c r="D27836" s="1">
        <v>8.8215985557196699E-3</v>
      </c>
      <c r="E27836" s="1">
        <v>1.7710608654584001E-2</v>
      </c>
      <c r="F27836" s="1">
        <v>2.1022616975301701E-2</v>
      </c>
    </row>
    <row r="27837" spans="1:6" x14ac:dyDescent="0.25">
      <c r="A27837" s="2" t="str">
        <f t="shared" si="988"/>
        <v>41980</v>
      </c>
      <c r="B27837" s="2" t="str">
        <f>"00934"</f>
        <v>00934</v>
      </c>
      <c r="C27837" s="1">
        <v>7.9751924601592205E-4</v>
      </c>
      <c r="D27837" s="1">
        <v>2.6669949121943199E-3</v>
      </c>
      <c r="E27837" s="1">
        <v>5.9035362181946902E-4</v>
      </c>
      <c r="F27837" s="1">
        <v>9.3879382496427804E-4</v>
      </c>
    </row>
    <row r="27838" spans="1:6" x14ac:dyDescent="0.25">
      <c r="A27838" s="2" t="str">
        <f t="shared" si="988"/>
        <v>41980</v>
      </c>
      <c r="B27838" s="2" t="str">
        <f>"00949"</f>
        <v>00949</v>
      </c>
      <c r="C27838" s="1">
        <v>2.3843479811034799E-2</v>
      </c>
      <c r="D27838" s="1">
        <v>1.51266480660867E-2</v>
      </c>
      <c r="E27838" s="1">
        <v>1.21022492472991E-2</v>
      </c>
      <c r="F27838" s="1">
        <v>2.29564261763298E-2</v>
      </c>
    </row>
    <row r="27839" spans="1:6" x14ac:dyDescent="0.25">
      <c r="A27839" s="2" t="str">
        <f t="shared" si="988"/>
        <v>41980</v>
      </c>
      <c r="B27839" s="2" t="str">
        <f>"00926"</f>
        <v>00926</v>
      </c>
      <c r="C27839" s="1">
        <v>4.92608873105305E-2</v>
      </c>
      <c r="D27839" s="1">
        <v>3.14431861699217E-2</v>
      </c>
      <c r="E27839" s="1">
        <v>3.9907904834996101E-2</v>
      </c>
      <c r="F27839" s="1">
        <v>4.77108812038625E-2</v>
      </c>
    </row>
    <row r="27840" spans="1:6" x14ac:dyDescent="0.25">
      <c r="A27840" s="2" t="str">
        <f t="shared" si="988"/>
        <v>41980</v>
      </c>
      <c r="B27840" s="2" t="str">
        <f>"00922"</f>
        <v>00922</v>
      </c>
      <c r="C27840" s="1">
        <v>1.2783764384666899E-3</v>
      </c>
      <c r="D27840" s="1">
        <v>6.0725422616116796E-3</v>
      </c>
      <c r="E27840" s="1">
        <v>1.18070724363893E-4</v>
      </c>
      <c r="F27840" s="1">
        <v>1.6293641979040999E-3</v>
      </c>
    </row>
    <row r="27841" spans="1:6" x14ac:dyDescent="0.25">
      <c r="A27841" s="2" t="str">
        <f t="shared" si="988"/>
        <v>41980</v>
      </c>
      <c r="B27841" s="2" t="str">
        <f>"00907"</f>
        <v>00907</v>
      </c>
      <c r="C27841" s="1">
        <v>1.3651652975919601E-2</v>
      </c>
      <c r="D27841" s="1">
        <v>2.8981344712511601E-2</v>
      </c>
      <c r="E27841" s="1">
        <v>6.3994332605230506E-2</v>
      </c>
      <c r="F27841" s="1">
        <v>1.5745216659824601E-2</v>
      </c>
    </row>
    <row r="27842" spans="1:6" x14ac:dyDescent="0.25">
      <c r="A27842" s="2" t="str">
        <f t="shared" si="988"/>
        <v>41980</v>
      </c>
      <c r="B27842" s="2" t="str">
        <f>"00778"</f>
        <v>00778</v>
      </c>
      <c r="C27842" s="1">
        <v>1.81541182486477E-2</v>
      </c>
      <c r="D27842" s="1">
        <v>6.3734339952951401E-3</v>
      </c>
      <c r="E27842" s="1">
        <v>1.08625066414782E-2</v>
      </c>
      <c r="F27842" s="1">
        <v>1.7109384861975999E-2</v>
      </c>
    </row>
    <row r="27843" spans="1:6" x14ac:dyDescent="0.25">
      <c r="A27843" s="2" t="str">
        <f t="shared" si="988"/>
        <v>41980</v>
      </c>
      <c r="B27843" s="2" t="str">
        <f>"00771"</f>
        <v>00771</v>
      </c>
      <c r="C27843" s="1">
        <v>1.38909087497243E-2</v>
      </c>
      <c r="D27843" s="1">
        <v>7.4675857541440897E-3</v>
      </c>
      <c r="E27843" s="1">
        <v>4.4276521636460201E-3</v>
      </c>
      <c r="F27843" s="1">
        <v>1.3222672348225601E-2</v>
      </c>
    </row>
    <row r="27844" spans="1:6" x14ac:dyDescent="0.25">
      <c r="A27844" s="2" t="str">
        <f t="shared" si="988"/>
        <v>41980</v>
      </c>
      <c r="B27844" s="2" t="str">
        <f>"00742"</f>
        <v>00742</v>
      </c>
      <c r="C27844" s="1">
        <v>0</v>
      </c>
      <c r="D27844" s="1">
        <v>0</v>
      </c>
      <c r="E27844" s="1">
        <v>5.9035362181946902E-5</v>
      </c>
      <c r="F27844" s="1">
        <v>1.06078398301048E-6</v>
      </c>
    </row>
    <row r="27845" spans="1:6" x14ac:dyDescent="0.25">
      <c r="A27845" s="2" t="str">
        <f t="shared" si="988"/>
        <v>41980</v>
      </c>
      <c r="B27845" s="2" t="str">
        <f>"00726"</f>
        <v>00726</v>
      </c>
      <c r="C27845" s="1">
        <v>5.3539343500921804E-3</v>
      </c>
      <c r="D27845" s="1">
        <v>1.20356693473384E-2</v>
      </c>
      <c r="E27845" s="1">
        <v>2.3614144872778701E-4</v>
      </c>
      <c r="F27845" s="1">
        <v>5.7802119234241197E-3</v>
      </c>
    </row>
    <row r="27846" spans="1:6" x14ac:dyDescent="0.25">
      <c r="A27846" s="2" t="str">
        <f t="shared" si="988"/>
        <v>41980</v>
      </c>
      <c r="B27846" s="2" t="str">
        <f>"00650"</f>
        <v>00650</v>
      </c>
      <c r="C27846" s="1">
        <v>5.3867733778693097E-3</v>
      </c>
      <c r="D27846" s="1">
        <v>2.17462662071229E-3</v>
      </c>
      <c r="E27846" s="1">
        <v>1.1216718814569899E-3</v>
      </c>
      <c r="F27846" s="1">
        <v>5.0610003829430102E-3</v>
      </c>
    </row>
    <row r="27847" spans="1:6" x14ac:dyDescent="0.25">
      <c r="A27847" s="2" t="str">
        <f>"25020"</f>
        <v>25020</v>
      </c>
      <c r="B27847" s="2" t="str">
        <f>"00785"</f>
        <v>00785</v>
      </c>
      <c r="C27847" s="1">
        <v>8.2235939643346995E-2</v>
      </c>
      <c r="D27847" s="1">
        <v>0.13323201621073899</v>
      </c>
      <c r="E27847" s="1">
        <v>5.7142857142857099E-3</v>
      </c>
      <c r="F27847" s="1">
        <v>8.4582645153093605E-2</v>
      </c>
    </row>
    <row r="27848" spans="1:6" x14ac:dyDescent="0.25">
      <c r="A27848" s="2" t="str">
        <f>"25020"</f>
        <v>25020</v>
      </c>
      <c r="B27848" s="2" t="str">
        <f>"00714"</f>
        <v>00714</v>
      </c>
      <c r="C27848" s="1">
        <v>0.25394375857338802</v>
      </c>
      <c r="D27848" s="1">
        <v>0.141337386018237</v>
      </c>
      <c r="E27848" s="1">
        <v>0.32285714285714201</v>
      </c>
      <c r="F27848" s="1">
        <v>0.24764959979672199</v>
      </c>
    </row>
    <row r="27849" spans="1:6" x14ac:dyDescent="0.25">
      <c r="A27849" s="2" t="str">
        <f>"25020"</f>
        <v>25020</v>
      </c>
      <c r="B27849" s="2" t="str">
        <f>"00784"</f>
        <v>00784</v>
      </c>
      <c r="C27849" s="1">
        <v>0.48648834019204301</v>
      </c>
      <c r="D27849" s="1">
        <v>0.56636271529888504</v>
      </c>
      <c r="E27849" s="1">
        <v>0.54</v>
      </c>
      <c r="F27849" s="1">
        <v>0.49209122093761898</v>
      </c>
    </row>
    <row r="27850" spans="1:6" x14ac:dyDescent="0.25">
      <c r="A27850" s="2" t="str">
        <f>"25020"</f>
        <v>25020</v>
      </c>
      <c r="B27850" s="2" t="str">
        <f>"00723"</f>
        <v>00723</v>
      </c>
      <c r="C27850" s="1">
        <v>0.17733196159122</v>
      </c>
      <c r="D27850" s="1">
        <v>0.15906788247213699</v>
      </c>
      <c r="E27850" s="1">
        <v>0.13142857142857101</v>
      </c>
      <c r="F27850" s="1">
        <v>0.17567653411256501</v>
      </c>
    </row>
    <row r="27851" spans="1:6" x14ac:dyDescent="0.25">
      <c r="A27851" s="2" t="str">
        <f>"42180"</f>
        <v>42180</v>
      </c>
      <c r="B27851" s="2" t="str">
        <f>"00751"</f>
        <v>00751</v>
      </c>
      <c r="C27851" s="1">
        <v>1.36054421768707E-3</v>
      </c>
      <c r="D27851" s="1">
        <v>0</v>
      </c>
      <c r="E27851" s="1">
        <v>0</v>
      </c>
      <c r="F27851" s="1">
        <v>1.2847465545433299E-3</v>
      </c>
    </row>
    <row r="27852" spans="1:6" x14ac:dyDescent="0.25">
      <c r="A27852" s="2" t="str">
        <f>"42180"</f>
        <v>42180</v>
      </c>
      <c r="B27852" s="2" t="str">
        <f>"00757"</f>
        <v>00757</v>
      </c>
      <c r="C27852" s="1">
        <v>0.99863945578231195</v>
      </c>
      <c r="D27852" s="1">
        <v>1</v>
      </c>
      <c r="E27852" s="1">
        <v>1</v>
      </c>
      <c r="F27852" s="1">
        <v>0.99871525344545597</v>
      </c>
    </row>
    <row r="27853" spans="1:6" x14ac:dyDescent="0.25">
      <c r="A27853" s="2" t="str">
        <f t="shared" ref="A27853:A27884" si="989">"39300"</f>
        <v>39300</v>
      </c>
      <c r="B27853" s="2" t="str">
        <f>"02920"</f>
        <v>02920</v>
      </c>
      <c r="C27853" s="1">
        <v>2.1758042556400899E-2</v>
      </c>
      <c r="D27853" s="1">
        <v>2.7181974902778301E-2</v>
      </c>
      <c r="E27853" s="1">
        <v>1.68876425345897E-2</v>
      </c>
      <c r="F27853" s="1">
        <v>2.1948182789083299E-2</v>
      </c>
    </row>
    <row r="27854" spans="1:6" x14ac:dyDescent="0.25">
      <c r="A27854" s="2" t="str">
        <f t="shared" si="989"/>
        <v>39300</v>
      </c>
      <c r="B27854" s="2" t="str">
        <f>"02893"</f>
        <v>02893</v>
      </c>
      <c r="C27854" s="1">
        <v>2.0142964331738601E-2</v>
      </c>
      <c r="D27854" s="1">
        <v>1.46734554784909E-2</v>
      </c>
      <c r="E27854" s="1">
        <v>1.4640080829742001E-2</v>
      </c>
      <c r="F27854" s="1">
        <v>1.93852267493267E-2</v>
      </c>
    </row>
    <row r="27855" spans="1:6" x14ac:dyDescent="0.25">
      <c r="A27855" s="2" t="str">
        <f t="shared" si="989"/>
        <v>39300</v>
      </c>
      <c r="B27855" s="2" t="str">
        <f>"02883"</f>
        <v>02883</v>
      </c>
      <c r="C27855" s="1">
        <v>7.5292294048267595E-4</v>
      </c>
      <c r="D27855" s="1">
        <v>9.2210239345708197E-4</v>
      </c>
      <c r="E27855" s="1">
        <v>4.12396643091325E-5</v>
      </c>
      <c r="F27855" s="1">
        <v>7.2843088143498605E-4</v>
      </c>
    </row>
    <row r="27856" spans="1:6" x14ac:dyDescent="0.25">
      <c r="A27856" s="2" t="str">
        <f t="shared" si="989"/>
        <v>39300</v>
      </c>
      <c r="B27856" s="2" t="str">
        <f>"02886"</f>
        <v>02886</v>
      </c>
      <c r="C27856" s="1">
        <v>1.8702137702973801E-2</v>
      </c>
      <c r="D27856" s="1">
        <v>3.4705795881275897E-2</v>
      </c>
      <c r="E27856" s="1">
        <v>1.28873950966039E-2</v>
      </c>
      <c r="F27856" s="1">
        <v>1.97281495950484E-2</v>
      </c>
    </row>
    <row r="27857" spans="1:6" x14ac:dyDescent="0.25">
      <c r="A27857" s="2" t="str">
        <f t="shared" si="989"/>
        <v>39300</v>
      </c>
      <c r="B27857" s="2" t="str">
        <f>"02860"</f>
        <v>02860</v>
      </c>
      <c r="C27857" s="1">
        <v>2.68009357570776E-2</v>
      </c>
      <c r="D27857" s="1">
        <v>3.06164722233358E-2</v>
      </c>
      <c r="E27857" s="1">
        <v>3.5548590634472202E-2</v>
      </c>
      <c r="F27857" s="1">
        <v>2.7596323777440802E-2</v>
      </c>
    </row>
    <row r="27858" spans="1:6" x14ac:dyDescent="0.25">
      <c r="A27858" s="2" t="str">
        <f t="shared" si="989"/>
        <v>39300</v>
      </c>
      <c r="B27858" s="2" t="str">
        <f>"02841"</f>
        <v>02841</v>
      </c>
      <c r="C27858" s="1">
        <v>0</v>
      </c>
      <c r="D27858" s="1">
        <v>6.1473492897138801E-4</v>
      </c>
      <c r="E27858" s="1">
        <v>1.0309916077283099E-3</v>
      </c>
      <c r="F27858" s="1">
        <v>1.07583637873474E-4</v>
      </c>
    </row>
    <row r="27859" spans="1:6" x14ac:dyDescent="0.25">
      <c r="A27859" s="2" t="str">
        <f t="shared" si="989"/>
        <v>39300</v>
      </c>
      <c r="B27859" s="2" t="str">
        <f>"02857"</f>
        <v>02857</v>
      </c>
      <c r="C27859" s="1">
        <v>5.5357391323570902E-3</v>
      </c>
      <c r="D27859" s="1">
        <v>4.0625960523326503E-3</v>
      </c>
      <c r="E27859" s="1">
        <v>5.9797513248242102E-4</v>
      </c>
      <c r="F27859" s="1">
        <v>5.1438426858255101E-3</v>
      </c>
    </row>
    <row r="27860" spans="1:6" x14ac:dyDescent="0.25">
      <c r="A27860" s="2" t="str">
        <f t="shared" si="989"/>
        <v>39300</v>
      </c>
      <c r="B27860" s="2" t="str">
        <f>"02824"</f>
        <v>02824</v>
      </c>
      <c r="C27860" s="1">
        <v>0</v>
      </c>
      <c r="D27860" s="1">
        <v>0</v>
      </c>
      <c r="E27860" s="1">
        <v>3.6497102913582201E-3</v>
      </c>
      <c r="F27860" s="1">
        <v>1.9835733232921899E-4</v>
      </c>
    </row>
    <row r="27861" spans="1:6" x14ac:dyDescent="0.25">
      <c r="A27861" s="2" t="str">
        <f t="shared" si="989"/>
        <v>39300</v>
      </c>
      <c r="B27861" s="2" t="str">
        <f>"02818"</f>
        <v>02818</v>
      </c>
      <c r="C27861" s="1">
        <v>1.20857785990431E-2</v>
      </c>
      <c r="D27861" s="1">
        <v>1.6718117307460999E-2</v>
      </c>
      <c r="E27861" s="1">
        <v>6.9901231003979599E-3</v>
      </c>
      <c r="F27861" s="1">
        <v>1.21972949439052E-2</v>
      </c>
    </row>
    <row r="27862" spans="1:6" x14ac:dyDescent="0.25">
      <c r="A27862" s="2" t="str">
        <f t="shared" si="989"/>
        <v>39300</v>
      </c>
      <c r="B27862" s="2" t="str">
        <f>"02802"</f>
        <v>02802</v>
      </c>
      <c r="C27862" s="1">
        <v>0</v>
      </c>
      <c r="D27862" s="1">
        <v>0</v>
      </c>
      <c r="E27862" s="1">
        <v>9.6500814483370095E-3</v>
      </c>
      <c r="F27862" s="1">
        <v>5.2447023463319002E-4</v>
      </c>
    </row>
    <row r="27863" spans="1:6" x14ac:dyDescent="0.25">
      <c r="A27863" s="2" t="str">
        <f t="shared" si="989"/>
        <v>39300</v>
      </c>
      <c r="B27863" s="2" t="str">
        <f>"02777"</f>
        <v>02777</v>
      </c>
      <c r="C27863" s="1">
        <v>9.6150470154212596E-3</v>
      </c>
      <c r="D27863" s="1">
        <v>1.06375870317657E-2</v>
      </c>
      <c r="E27863" s="1">
        <v>3.13421448749407E-3</v>
      </c>
      <c r="F27863" s="1">
        <v>9.3485698660471604E-3</v>
      </c>
    </row>
    <row r="27864" spans="1:6" x14ac:dyDescent="0.25">
      <c r="A27864" s="2" t="str">
        <f t="shared" si="989"/>
        <v>39300</v>
      </c>
      <c r="B27864" s="2" t="str">
        <f>"02764"</f>
        <v>02764</v>
      </c>
      <c r="C27864" s="1">
        <v>3.0832129393513399E-3</v>
      </c>
      <c r="D27864" s="1">
        <v>2.6727605607451601E-3</v>
      </c>
      <c r="E27864" s="1">
        <v>4.1239664309132502E-4</v>
      </c>
      <c r="F27864" s="1">
        <v>2.9036375596892998E-3</v>
      </c>
    </row>
    <row r="27865" spans="1:6" x14ac:dyDescent="0.25">
      <c r="A27865" s="2" t="str">
        <f t="shared" si="989"/>
        <v>39300</v>
      </c>
      <c r="B27865" s="2" t="str">
        <f>"02745"</f>
        <v>02745</v>
      </c>
      <c r="C27865" s="1">
        <v>1.4894610294107999E-2</v>
      </c>
      <c r="D27865" s="1">
        <v>1.2134332945783E-2</v>
      </c>
      <c r="E27865" s="1">
        <v>8.82528816215436E-3</v>
      </c>
      <c r="F27865" s="1">
        <v>1.4333278420851501E-2</v>
      </c>
    </row>
    <row r="27866" spans="1:6" x14ac:dyDescent="0.25">
      <c r="A27866" s="2" t="str">
        <f t="shared" si="989"/>
        <v>39300</v>
      </c>
      <c r="B27866" s="2" t="str">
        <f>"02718"</f>
        <v>02718</v>
      </c>
      <c r="C27866" s="1">
        <v>3.3705980340778901E-3</v>
      </c>
      <c r="D27866" s="1">
        <v>1.2829250691576699E-3</v>
      </c>
      <c r="E27866" s="1">
        <v>1.2165700971193999E-3</v>
      </c>
      <c r="F27866" s="1">
        <v>3.0784609712337001E-3</v>
      </c>
    </row>
    <row r="27867" spans="1:6" x14ac:dyDescent="0.25">
      <c r="A27867" s="2" t="str">
        <f t="shared" si="989"/>
        <v>39300</v>
      </c>
      <c r="B27867" s="2" t="str">
        <f>"02702"</f>
        <v>02702</v>
      </c>
      <c r="C27867" s="1">
        <v>2.0845172255504799E-3</v>
      </c>
      <c r="D27867" s="1">
        <v>5.8800732336393598E-4</v>
      </c>
      <c r="E27867" s="1">
        <v>4.3301647524589102E-4</v>
      </c>
      <c r="F27867" s="1">
        <v>1.8692657080516201E-3</v>
      </c>
    </row>
    <row r="27868" spans="1:6" x14ac:dyDescent="0.25">
      <c r="A27868" s="2" t="str">
        <f t="shared" si="989"/>
        <v>39300</v>
      </c>
      <c r="B27868" s="2" t="str">
        <f>"02568"</f>
        <v>02568</v>
      </c>
      <c r="C27868" s="1">
        <v>6.5019252200576499E-6</v>
      </c>
      <c r="D27868" s="1">
        <v>0</v>
      </c>
      <c r="E27868" s="1">
        <v>0</v>
      </c>
      <c r="F27868" s="1">
        <v>5.6033144725768101E-6</v>
      </c>
    </row>
    <row r="27869" spans="1:6" x14ac:dyDescent="0.25">
      <c r="A27869" s="2" t="str">
        <f t="shared" si="989"/>
        <v>39300</v>
      </c>
      <c r="B27869" s="2" t="str">
        <f>"02347"</f>
        <v>02347</v>
      </c>
      <c r="C27869" s="1">
        <v>2.73080859242421E-5</v>
      </c>
      <c r="D27869" s="1">
        <v>5.3455211214903297E-5</v>
      </c>
      <c r="E27869" s="1">
        <v>2.0619832154566199E-5</v>
      </c>
      <c r="F27869" s="1">
        <v>2.91372352573994E-5</v>
      </c>
    </row>
    <row r="27870" spans="1:6" x14ac:dyDescent="0.25">
      <c r="A27870" s="2" t="str">
        <f t="shared" si="989"/>
        <v>39300</v>
      </c>
      <c r="B27870" s="2" t="str">
        <f>"02916"</f>
        <v>02916</v>
      </c>
      <c r="C27870" s="1">
        <v>5.8530330830958996E-3</v>
      </c>
      <c r="D27870" s="1">
        <v>6.8155394299001699E-3</v>
      </c>
      <c r="E27870" s="1">
        <v>2.0001237189929198E-3</v>
      </c>
      <c r="F27870" s="1">
        <v>5.7243460651844697E-3</v>
      </c>
    </row>
    <row r="27871" spans="1:6" x14ac:dyDescent="0.25">
      <c r="A27871" s="2" t="str">
        <f t="shared" si="989"/>
        <v>39300</v>
      </c>
      <c r="B27871" s="2" t="str">
        <f>"02911"</f>
        <v>02911</v>
      </c>
      <c r="C27871" s="1">
        <v>1.00636798556052E-2</v>
      </c>
      <c r="D27871" s="1">
        <v>6.13398548691015E-3</v>
      </c>
      <c r="E27871" s="1">
        <v>8.1860733653627994E-3</v>
      </c>
      <c r="F27871" s="1">
        <v>9.6320975783595504E-3</v>
      </c>
    </row>
    <row r="27872" spans="1:6" x14ac:dyDescent="0.25">
      <c r="A27872" s="2" t="str">
        <f t="shared" si="989"/>
        <v>39300</v>
      </c>
      <c r="B27872" s="2" t="str">
        <f>"02909"</f>
        <v>02909</v>
      </c>
      <c r="C27872" s="1">
        <v>2.2440744704507E-2</v>
      </c>
      <c r="D27872" s="1">
        <v>1.8254954629889401E-2</v>
      </c>
      <c r="E27872" s="1">
        <v>3.5837268284636098E-2</v>
      </c>
      <c r="F27872" s="1">
        <v>2.28178171952273E-2</v>
      </c>
    </row>
    <row r="27873" spans="1:6" x14ac:dyDescent="0.25">
      <c r="A27873" s="2" t="str">
        <f t="shared" si="989"/>
        <v>39300</v>
      </c>
      <c r="B27873" s="2" t="str">
        <f>"02895"</f>
        <v>02895</v>
      </c>
      <c r="C27873" s="1">
        <v>2.6897164250334501E-2</v>
      </c>
      <c r="D27873" s="1">
        <v>2.18631813868954E-2</v>
      </c>
      <c r="E27873" s="1">
        <v>4.5219291914963801E-2</v>
      </c>
      <c r="F27873" s="1">
        <v>2.7470809533255099E-2</v>
      </c>
    </row>
    <row r="27874" spans="1:6" x14ac:dyDescent="0.25">
      <c r="A27874" s="2" t="str">
        <f t="shared" si="989"/>
        <v>39300</v>
      </c>
      <c r="B27874" s="2" t="str">
        <f>"02887"</f>
        <v>02887</v>
      </c>
      <c r="C27874" s="1">
        <v>9.8439147831672893E-4</v>
      </c>
      <c r="D27874" s="1">
        <v>2.3921207018669198E-3</v>
      </c>
      <c r="E27874" s="1">
        <v>2.0619832154566199E-5</v>
      </c>
      <c r="F27874" s="1">
        <v>1.05006113216089E-3</v>
      </c>
    </row>
    <row r="27875" spans="1:6" x14ac:dyDescent="0.25">
      <c r="A27875" s="2" t="str">
        <f t="shared" si="989"/>
        <v>39300</v>
      </c>
      <c r="B27875" s="2" t="str">
        <f>"02888"</f>
        <v>02888</v>
      </c>
      <c r="C27875" s="1">
        <v>1.24264794805741E-2</v>
      </c>
      <c r="D27875" s="1">
        <v>1.5154552379425E-2</v>
      </c>
      <c r="E27875" s="1">
        <v>4.3095449203043399E-3</v>
      </c>
      <c r="F27875" s="1">
        <v>1.2214104887322901E-2</v>
      </c>
    </row>
    <row r="27876" spans="1:6" x14ac:dyDescent="0.25">
      <c r="A27876" s="2" t="str">
        <f t="shared" si="989"/>
        <v>39300</v>
      </c>
      <c r="B27876" s="2" t="str">
        <f>"02862"</f>
        <v>02862</v>
      </c>
      <c r="C27876" s="1">
        <v>1.85174830267242E-3</v>
      </c>
      <c r="D27876" s="1">
        <v>5.7330714027983799E-3</v>
      </c>
      <c r="E27876" s="1">
        <v>4.12396643091325E-5</v>
      </c>
      <c r="F27876" s="1">
        <v>2.07882966932599E-3</v>
      </c>
    </row>
    <row r="27877" spans="1:6" x14ac:dyDescent="0.25">
      <c r="A27877" s="2" t="str">
        <f t="shared" si="989"/>
        <v>39300</v>
      </c>
      <c r="B27877" s="2" t="str">
        <f>"02842"</f>
        <v>02842</v>
      </c>
      <c r="C27877" s="1">
        <v>1.1534415340382201E-2</v>
      </c>
      <c r="D27877" s="1">
        <v>1.4940731534565399E-2</v>
      </c>
      <c r="E27877" s="1">
        <v>9.3614037981730805E-3</v>
      </c>
      <c r="F27877" s="1">
        <v>1.1701961944529399E-2</v>
      </c>
    </row>
    <row r="27878" spans="1:6" x14ac:dyDescent="0.25">
      <c r="A27878" s="2" t="str">
        <f t="shared" si="989"/>
        <v>39300</v>
      </c>
      <c r="B27878" s="2" t="str">
        <f>"02840"</f>
        <v>02840</v>
      </c>
      <c r="C27878" s="1">
        <v>1.9923199259300601E-2</v>
      </c>
      <c r="D27878" s="1">
        <v>2.51774044822194E-2</v>
      </c>
      <c r="E27878" s="1">
        <v>1.7980493638781701E-2</v>
      </c>
      <c r="F27878" s="1">
        <v>2.0258223144154201E-2</v>
      </c>
    </row>
    <row r="27879" spans="1:6" x14ac:dyDescent="0.25">
      <c r="A27879" s="2" t="str">
        <f t="shared" si="989"/>
        <v>39300</v>
      </c>
      <c r="B27879" s="2" t="str">
        <f>"02830"</f>
        <v>02830</v>
      </c>
      <c r="C27879" s="1">
        <v>3.53964808979938E-3</v>
      </c>
      <c r="D27879" s="1">
        <v>1.4432907028023799E-3</v>
      </c>
      <c r="E27879" s="1">
        <v>1.2784295935831E-3</v>
      </c>
      <c r="F27879" s="1">
        <v>3.24095709093843E-3</v>
      </c>
    </row>
    <row r="27880" spans="1:6" x14ac:dyDescent="0.25">
      <c r="A27880" s="2" t="str">
        <f t="shared" si="989"/>
        <v>39300</v>
      </c>
      <c r="B27880" s="2" t="str">
        <f>"02806"</f>
        <v>02806</v>
      </c>
      <c r="C27880" s="1">
        <v>9.2717453638022206E-3</v>
      </c>
      <c r="D27880" s="1">
        <v>6.6952652046666297E-3</v>
      </c>
      <c r="E27880" s="1">
        <v>1.93826422252922E-3</v>
      </c>
      <c r="F27880" s="1">
        <v>8.6571208601311806E-3</v>
      </c>
    </row>
    <row r="27881" spans="1:6" x14ac:dyDescent="0.25">
      <c r="A27881" s="2" t="str">
        <f t="shared" si="989"/>
        <v>39300</v>
      </c>
      <c r="B27881" s="2" t="str">
        <f>"02725"</f>
        <v>02725</v>
      </c>
      <c r="C27881" s="1">
        <v>1.36410391116809E-3</v>
      </c>
      <c r="D27881" s="1">
        <v>1.0423766186906101E-3</v>
      </c>
      <c r="E27881" s="1">
        <v>5.1549580386415605E-4</v>
      </c>
      <c r="F27881" s="1">
        <v>1.29100365448169E-3</v>
      </c>
    </row>
    <row r="27882" spans="1:6" x14ac:dyDescent="0.25">
      <c r="A27882" s="2" t="str">
        <f t="shared" si="989"/>
        <v>39300</v>
      </c>
      <c r="B27882" s="2" t="str">
        <f>"02721"</f>
        <v>02721</v>
      </c>
      <c r="C27882" s="1">
        <v>1.7105264868927599E-2</v>
      </c>
      <c r="D27882" s="1">
        <v>1.7132395194376499E-2</v>
      </c>
      <c r="E27882" s="1">
        <v>3.0001855784893901E-2</v>
      </c>
      <c r="F27882" s="1">
        <v>1.7808454056743601E-2</v>
      </c>
    </row>
    <row r="27883" spans="1:6" x14ac:dyDescent="0.25">
      <c r="A27883" s="2" t="str">
        <f t="shared" si="989"/>
        <v>39300</v>
      </c>
      <c r="B27883" s="2" t="str">
        <f>"02717"</f>
        <v>02717</v>
      </c>
      <c r="C27883" s="1">
        <v>2.4928381293701E-3</v>
      </c>
      <c r="D27883" s="1">
        <v>1.56356492803592E-3</v>
      </c>
      <c r="E27883" s="1">
        <v>5.5673546817328902E-4</v>
      </c>
      <c r="F27883" s="1">
        <v>2.3096862255961598E-3</v>
      </c>
    </row>
    <row r="27884" spans="1:6" x14ac:dyDescent="0.25">
      <c r="A27884" s="2" t="str">
        <f t="shared" si="989"/>
        <v>39300</v>
      </c>
      <c r="B27884" s="2" t="str">
        <f>"02334"</f>
        <v>02334</v>
      </c>
      <c r="C27884" s="1">
        <v>9.2587415133620998E-4</v>
      </c>
      <c r="D27884" s="1">
        <v>2.2852102794371099E-3</v>
      </c>
      <c r="E27884" s="1">
        <v>4.12396643091325E-5</v>
      </c>
      <c r="F27884" s="1">
        <v>9.9178666164609591E-4</v>
      </c>
    </row>
    <row r="27885" spans="1:6" x14ac:dyDescent="0.25">
      <c r="A27885" s="2" t="str">
        <f t="shared" ref="A27885:A27916" si="990">"39300"</f>
        <v>39300</v>
      </c>
      <c r="B27885" s="2" t="str">
        <f>"02919"</f>
        <v>02919</v>
      </c>
      <c r="C27885" s="1">
        <v>1.7518787312923299E-2</v>
      </c>
      <c r="D27885" s="1">
        <v>2.3426746314931302E-2</v>
      </c>
      <c r="E27885" s="1">
        <v>1.43720230117326E-2</v>
      </c>
      <c r="F27885" s="1">
        <v>1.78431946064736E-2</v>
      </c>
    </row>
    <row r="27886" spans="1:6" x14ac:dyDescent="0.25">
      <c r="A27886" s="2" t="str">
        <f t="shared" si="990"/>
        <v>39300</v>
      </c>
      <c r="B27886" s="2" t="str">
        <f>"02891"</f>
        <v>02891</v>
      </c>
      <c r="C27886" s="1">
        <v>1.8003830934339601E-2</v>
      </c>
      <c r="D27886" s="1">
        <v>1.9978885191570098E-2</v>
      </c>
      <c r="E27886" s="1">
        <v>1.0124337587892E-2</v>
      </c>
      <c r="F27886" s="1">
        <v>1.7741214283072699E-2</v>
      </c>
    </row>
    <row r="27887" spans="1:6" x14ac:dyDescent="0.25">
      <c r="A27887" s="2" t="str">
        <f t="shared" si="990"/>
        <v>39300</v>
      </c>
      <c r="B27887" s="2" t="str">
        <f>"02872"</f>
        <v>02872</v>
      </c>
      <c r="C27887" s="1">
        <v>0</v>
      </c>
      <c r="D27887" s="1">
        <v>0</v>
      </c>
      <c r="E27887" s="1">
        <v>4.12396643091325E-5</v>
      </c>
      <c r="F27887" s="1">
        <v>2.2413257890307201E-6</v>
      </c>
    </row>
    <row r="27888" spans="1:6" x14ac:dyDescent="0.25">
      <c r="A27888" s="2" t="str">
        <f t="shared" si="990"/>
        <v>39300</v>
      </c>
      <c r="B27888" s="2" t="str">
        <f>"02876"</f>
        <v>02876</v>
      </c>
      <c r="C27888" s="1">
        <v>1.5006443407893E-3</v>
      </c>
      <c r="D27888" s="1">
        <v>1.8174771813067099E-3</v>
      </c>
      <c r="E27888" s="1">
        <v>3.5878507948945201E-3</v>
      </c>
      <c r="F27888" s="1">
        <v>1.6406504775704901E-3</v>
      </c>
    </row>
    <row r="27889" spans="1:6" x14ac:dyDescent="0.25">
      <c r="A27889" s="2" t="str">
        <f t="shared" si="990"/>
        <v>39300</v>
      </c>
      <c r="B27889" s="2" t="str">
        <f>"02864"</f>
        <v>02864</v>
      </c>
      <c r="C27889" s="1">
        <v>2.0209283968983201E-2</v>
      </c>
      <c r="D27889" s="1">
        <v>1.45130898448462E-2</v>
      </c>
      <c r="E27889" s="1">
        <v>9.0727261480091498E-3</v>
      </c>
      <c r="F27889" s="1">
        <v>1.91263536206937E-2</v>
      </c>
    </row>
    <row r="27890" spans="1:6" x14ac:dyDescent="0.25">
      <c r="A27890" s="2" t="str">
        <f t="shared" si="990"/>
        <v>39300</v>
      </c>
      <c r="B27890" s="2" t="str">
        <f>"02852"</f>
        <v>02852</v>
      </c>
      <c r="C27890" s="1">
        <v>1.58399902211044E-2</v>
      </c>
      <c r="D27890" s="1">
        <v>2.0847532373812198E-2</v>
      </c>
      <c r="E27890" s="1">
        <v>8.2273130296719298E-3</v>
      </c>
      <c r="F27890" s="1">
        <v>1.5846173328447202E-2</v>
      </c>
    </row>
    <row r="27891" spans="1:6" x14ac:dyDescent="0.25">
      <c r="A27891" s="2" t="str">
        <f t="shared" si="990"/>
        <v>39300</v>
      </c>
      <c r="B27891" s="2" t="str">
        <f>"02836"</f>
        <v>02836</v>
      </c>
      <c r="C27891" s="1">
        <v>6.2418482112553504E-5</v>
      </c>
      <c r="D27891" s="1">
        <v>1.33638028037258E-5</v>
      </c>
      <c r="E27891" s="1">
        <v>4.12396643091325E-5</v>
      </c>
      <c r="F27891" s="1">
        <v>5.7153807620283502E-5</v>
      </c>
    </row>
    <row r="27892" spans="1:6" x14ac:dyDescent="0.25">
      <c r="A27892" s="2" t="str">
        <f t="shared" si="990"/>
        <v>39300</v>
      </c>
      <c r="B27892" s="2" t="str">
        <f>"02822"</f>
        <v>02822</v>
      </c>
      <c r="C27892" s="1">
        <v>3.2756699258650402E-3</v>
      </c>
      <c r="D27892" s="1">
        <v>2.4054845046706402E-3</v>
      </c>
      <c r="E27892" s="1">
        <v>6.1859496463698702E-4</v>
      </c>
      <c r="F27892" s="1">
        <v>3.05828903913242E-3</v>
      </c>
    </row>
    <row r="27893" spans="1:6" x14ac:dyDescent="0.25">
      <c r="A27893" s="2" t="str">
        <f t="shared" si="990"/>
        <v>39300</v>
      </c>
      <c r="B27893" s="2" t="str">
        <f>"02814"</f>
        <v>02814</v>
      </c>
      <c r="C27893" s="1">
        <v>5.4668187250244702E-3</v>
      </c>
      <c r="D27893" s="1">
        <v>3.5146801373798901E-3</v>
      </c>
      <c r="E27893" s="1">
        <v>4.74256139555024E-4</v>
      </c>
      <c r="F27893" s="1">
        <v>5.0317763963739796E-3</v>
      </c>
    </row>
    <row r="27894" spans="1:6" x14ac:dyDescent="0.25">
      <c r="A27894" s="2" t="str">
        <f t="shared" si="990"/>
        <v>39300</v>
      </c>
      <c r="B27894" s="2" t="str">
        <f>"02813"</f>
        <v>02813</v>
      </c>
      <c r="C27894" s="1">
        <v>6.2561524467394701E-3</v>
      </c>
      <c r="D27894" s="1">
        <v>2.4054845046706402E-3</v>
      </c>
      <c r="E27894" s="1">
        <v>1.07223127203744E-3</v>
      </c>
      <c r="F27894" s="1">
        <v>5.6515029770409699E-3</v>
      </c>
    </row>
    <row r="27895" spans="1:6" x14ac:dyDescent="0.25">
      <c r="A27895" s="2" t="str">
        <f t="shared" si="990"/>
        <v>39300</v>
      </c>
      <c r="B27895" s="2" t="str">
        <f>"02769"</f>
        <v>02769</v>
      </c>
      <c r="C27895" s="1">
        <v>6.8543295669847796E-3</v>
      </c>
      <c r="D27895" s="1">
        <v>5.4390677411164101E-3</v>
      </c>
      <c r="E27895" s="1">
        <v>1.3815287543559301E-3</v>
      </c>
      <c r="F27895" s="1">
        <v>6.4382083289907599E-3</v>
      </c>
    </row>
    <row r="27896" spans="1:6" x14ac:dyDescent="0.25">
      <c r="A27896" s="2" t="str">
        <f t="shared" si="990"/>
        <v>39300</v>
      </c>
      <c r="B27896" s="2" t="str">
        <f>"02767"</f>
        <v>02767</v>
      </c>
      <c r="C27896" s="1">
        <v>7.6098532775554801E-3</v>
      </c>
      <c r="D27896" s="1">
        <v>7.6040037953199902E-3</v>
      </c>
      <c r="E27896" s="1">
        <v>5.2580571994143904E-3</v>
      </c>
      <c r="F27896" s="1">
        <v>7.4815454837845602E-3</v>
      </c>
    </row>
    <row r="27897" spans="1:6" x14ac:dyDescent="0.25">
      <c r="A27897" s="2" t="str">
        <f t="shared" si="990"/>
        <v>39300</v>
      </c>
      <c r="B27897" s="2" t="str">
        <f>"02761"</f>
        <v>02761</v>
      </c>
      <c r="C27897" s="1">
        <v>9.3887800177632505E-4</v>
      </c>
      <c r="D27897" s="1">
        <v>2.4990311242967201E-3</v>
      </c>
      <c r="E27897" s="1">
        <v>4.12396643091325E-5</v>
      </c>
      <c r="F27897" s="1">
        <v>1.02092389690349E-3</v>
      </c>
    </row>
    <row r="27898" spans="1:6" x14ac:dyDescent="0.25">
      <c r="A27898" s="2" t="str">
        <f t="shared" si="990"/>
        <v>39300</v>
      </c>
      <c r="B27898" s="2" t="str">
        <f>"02746"</f>
        <v>02746</v>
      </c>
      <c r="C27898" s="1">
        <v>9.4290919541276108E-3</v>
      </c>
      <c r="D27898" s="1">
        <v>9.4214809766267008E-3</v>
      </c>
      <c r="E27898" s="1">
        <v>1.49699981442151E-2</v>
      </c>
      <c r="F27898" s="1">
        <v>9.7295952501823806E-3</v>
      </c>
    </row>
    <row r="27899" spans="1:6" x14ac:dyDescent="0.25">
      <c r="A27899" s="2" t="str">
        <f t="shared" si="990"/>
        <v>39300</v>
      </c>
      <c r="B27899" s="2" t="str">
        <f>"02357"</f>
        <v>02357</v>
      </c>
      <c r="C27899" s="1">
        <v>0</v>
      </c>
      <c r="D27899" s="1">
        <v>1.33638028037258E-5</v>
      </c>
      <c r="E27899" s="1">
        <v>0</v>
      </c>
      <c r="F27899" s="1">
        <v>1.12066289451536E-6</v>
      </c>
    </row>
    <row r="27900" spans="1:6" x14ac:dyDescent="0.25">
      <c r="A27900" s="2" t="str">
        <f t="shared" si="990"/>
        <v>39300</v>
      </c>
      <c r="B27900" s="2" t="str">
        <f>"02356"</f>
        <v>02356</v>
      </c>
      <c r="C27900" s="1">
        <v>6.6787775860432204E-3</v>
      </c>
      <c r="D27900" s="1">
        <v>6.6551737962554603E-3</v>
      </c>
      <c r="E27900" s="1">
        <v>2.8867765016392698E-3</v>
      </c>
      <c r="F27900" s="1">
        <v>6.47070755293171E-3</v>
      </c>
    </row>
    <row r="27901" spans="1:6" x14ac:dyDescent="0.25">
      <c r="A27901" s="2" t="str">
        <f t="shared" si="990"/>
        <v>39300</v>
      </c>
      <c r="B27901" s="2" t="str">
        <f>"02912"</f>
        <v>02912</v>
      </c>
      <c r="C27901" s="1">
        <v>0</v>
      </c>
      <c r="D27901" s="1">
        <v>1.33638028037258E-5</v>
      </c>
      <c r="E27901" s="1">
        <v>2.0413633833020499E-3</v>
      </c>
      <c r="F27901" s="1">
        <v>1.12066289451536E-4</v>
      </c>
    </row>
    <row r="27902" spans="1:6" x14ac:dyDescent="0.25">
      <c r="A27902" s="2" t="str">
        <f t="shared" si="990"/>
        <v>39300</v>
      </c>
      <c r="B27902" s="2" t="str">
        <f>"02917"</f>
        <v>02917</v>
      </c>
      <c r="C27902" s="1">
        <v>6.7099868270995002E-3</v>
      </c>
      <c r="D27902" s="1">
        <v>9.9426692859720094E-3</v>
      </c>
      <c r="E27902" s="1">
        <v>6.8251644431614302E-3</v>
      </c>
      <c r="F27902" s="1">
        <v>6.9873331473032903E-3</v>
      </c>
    </row>
    <row r="27903" spans="1:6" x14ac:dyDescent="0.25">
      <c r="A27903" s="2" t="str">
        <f t="shared" si="990"/>
        <v>39300</v>
      </c>
      <c r="B27903" s="2" t="str">
        <f>"02906"</f>
        <v>02906</v>
      </c>
      <c r="C27903" s="1">
        <v>1.62066988035157E-2</v>
      </c>
      <c r="D27903" s="1">
        <v>1.7453126461665899E-2</v>
      </c>
      <c r="E27903" s="1">
        <v>2.42695424459244E-2</v>
      </c>
      <c r="F27903" s="1">
        <v>1.6749427621426598E-2</v>
      </c>
    </row>
    <row r="27904" spans="1:6" x14ac:dyDescent="0.25">
      <c r="A27904" s="2" t="str">
        <f t="shared" si="990"/>
        <v>39300</v>
      </c>
      <c r="B27904" s="2" t="str">
        <f>"02877"</f>
        <v>02877</v>
      </c>
      <c r="C27904" s="1">
        <v>1.8205390616161401E-5</v>
      </c>
      <c r="D27904" s="1">
        <v>2.6727605607451601E-5</v>
      </c>
      <c r="E27904" s="1">
        <v>0</v>
      </c>
      <c r="F27904" s="1">
        <v>1.7930606312245801E-5</v>
      </c>
    </row>
    <row r="27905" spans="1:6" x14ac:dyDescent="0.25">
      <c r="A27905" s="2" t="str">
        <f t="shared" si="990"/>
        <v>39300</v>
      </c>
      <c r="B27905" s="2" t="str">
        <f>"02874"</f>
        <v>02874</v>
      </c>
      <c r="C27905" s="1">
        <v>3.2171525988845201E-3</v>
      </c>
      <c r="D27905" s="1">
        <v>3.8755028130804903E-4</v>
      </c>
      <c r="E27905" s="1">
        <v>5.5673546817328902E-4</v>
      </c>
      <c r="F27905" s="1">
        <v>2.8352771231238698E-3</v>
      </c>
    </row>
    <row r="27906" spans="1:6" x14ac:dyDescent="0.25">
      <c r="A27906" s="2" t="str">
        <f t="shared" si="990"/>
        <v>39300</v>
      </c>
      <c r="B27906" s="2" t="str">
        <f>"02878"</f>
        <v>02878</v>
      </c>
      <c r="C27906" s="1">
        <v>1.01742125843462E-2</v>
      </c>
      <c r="D27906" s="1">
        <v>6.2141683037325096E-3</v>
      </c>
      <c r="E27906" s="1">
        <v>3.6084706270490901E-3</v>
      </c>
      <c r="F27906" s="1">
        <v>9.4852907391780299E-3</v>
      </c>
    </row>
    <row r="27907" spans="1:6" x14ac:dyDescent="0.25">
      <c r="A27907" s="2" t="str">
        <f t="shared" si="990"/>
        <v>39300</v>
      </c>
      <c r="B27907" s="2" t="str">
        <f>"02865"</f>
        <v>02865</v>
      </c>
      <c r="C27907" s="1">
        <v>9.8842267195316507E-3</v>
      </c>
      <c r="D27907" s="1">
        <v>1.20675139317644E-2</v>
      </c>
      <c r="E27907" s="1">
        <v>5.71169350681485E-3</v>
      </c>
      <c r="F27907" s="1">
        <v>9.8405408767393999E-3</v>
      </c>
    </row>
    <row r="27908" spans="1:6" x14ac:dyDescent="0.25">
      <c r="A27908" s="2" t="str">
        <f t="shared" si="990"/>
        <v>39300</v>
      </c>
      <c r="B27908" s="2" t="str">
        <f>"02858"</f>
        <v>02858</v>
      </c>
      <c r="C27908" s="1">
        <v>2.8348393959451299E-4</v>
      </c>
      <c r="D27908" s="1">
        <v>2.40548450467064E-4</v>
      </c>
      <c r="E27908" s="1">
        <v>6.1859496463698702E-5</v>
      </c>
      <c r="F27908" s="1">
        <v>2.6783843178917099E-4</v>
      </c>
    </row>
    <row r="27909" spans="1:6" x14ac:dyDescent="0.25">
      <c r="A27909" s="2" t="str">
        <f t="shared" si="990"/>
        <v>39300</v>
      </c>
      <c r="B27909" s="2" t="str">
        <f>"02859"</f>
        <v>02859</v>
      </c>
      <c r="C27909" s="1">
        <v>3.5968650317358898E-3</v>
      </c>
      <c r="D27909" s="1">
        <v>1.7105667588769001E-3</v>
      </c>
      <c r="E27909" s="1">
        <v>1.1959502649648401E-3</v>
      </c>
      <c r="F27909" s="1">
        <v>3.3081968646093501E-3</v>
      </c>
    </row>
    <row r="27910" spans="1:6" x14ac:dyDescent="0.25">
      <c r="A27910" s="2" t="str">
        <f t="shared" si="990"/>
        <v>39300</v>
      </c>
      <c r="B27910" s="2" t="str">
        <f>"02839"</f>
        <v>02839</v>
      </c>
      <c r="C27910" s="1">
        <v>1.0416084202532301E-3</v>
      </c>
      <c r="D27910" s="1">
        <v>4.0091408411177401E-4</v>
      </c>
      <c r="E27910" s="1">
        <v>4.5363630740045702E-4</v>
      </c>
      <c r="F27910" s="1">
        <v>9.5592544902160499E-4</v>
      </c>
    </row>
    <row r="27911" spans="1:6" x14ac:dyDescent="0.25">
      <c r="A27911" s="2" t="str">
        <f t="shared" si="990"/>
        <v>39300</v>
      </c>
      <c r="B27911" s="2" t="str">
        <f>"02801"</f>
        <v>02801</v>
      </c>
      <c r="C27911" s="1">
        <v>0</v>
      </c>
      <c r="D27911" s="1">
        <v>0</v>
      </c>
      <c r="E27911" s="1">
        <v>2.0619832154566199E-5</v>
      </c>
      <c r="F27911" s="1">
        <v>1.12066289451536E-6</v>
      </c>
    </row>
    <row r="27912" spans="1:6" x14ac:dyDescent="0.25">
      <c r="A27912" s="2" t="str">
        <f t="shared" si="990"/>
        <v>39300</v>
      </c>
      <c r="B27912" s="2" t="str">
        <f>"02807"</f>
        <v>02807</v>
      </c>
      <c r="C27912" s="1">
        <v>0</v>
      </c>
      <c r="D27912" s="1">
        <v>0</v>
      </c>
      <c r="E27912" s="1">
        <v>2.4537600263933802E-2</v>
      </c>
      <c r="F27912" s="1">
        <v>1.3335888444732801E-3</v>
      </c>
    </row>
    <row r="27913" spans="1:6" x14ac:dyDescent="0.25">
      <c r="A27913" s="2" t="str">
        <f t="shared" si="990"/>
        <v>39300</v>
      </c>
      <c r="B27913" s="2" t="str">
        <f>"02740"</f>
        <v>02740</v>
      </c>
      <c r="C27913" s="1">
        <v>2.4529163085189501E-2</v>
      </c>
      <c r="D27913" s="1">
        <v>2.5391225327078999E-2</v>
      </c>
      <c r="E27913" s="1">
        <v>2.6496484318617598E-2</v>
      </c>
      <c r="F27913" s="1">
        <v>2.47083754982747E-2</v>
      </c>
    </row>
    <row r="27914" spans="1:6" x14ac:dyDescent="0.25">
      <c r="A27914" s="2" t="str">
        <f t="shared" si="990"/>
        <v>39300</v>
      </c>
      <c r="B27914" s="2" t="str">
        <f>"02723"</f>
        <v>02723</v>
      </c>
      <c r="C27914" s="1">
        <v>9.9817555978325093E-3</v>
      </c>
      <c r="D27914" s="1">
        <v>7.8846436541982305E-3</v>
      </c>
      <c r="E27914" s="1">
        <v>1.3402890900467999E-2</v>
      </c>
      <c r="F27914" s="1">
        <v>9.9918303674989793E-3</v>
      </c>
    </row>
    <row r="27915" spans="1:6" x14ac:dyDescent="0.25">
      <c r="A27915" s="2" t="str">
        <f t="shared" si="990"/>
        <v>39300</v>
      </c>
      <c r="B27915" s="2" t="str">
        <f>"02719"</f>
        <v>02719</v>
      </c>
      <c r="C27915" s="1">
        <v>1.05903357984299E-2</v>
      </c>
      <c r="D27915" s="1">
        <v>9.2343877373745401E-3</v>
      </c>
      <c r="E27915" s="1">
        <v>6.61896612161577E-3</v>
      </c>
      <c r="F27915" s="1">
        <v>1.0260789462182601E-2</v>
      </c>
    </row>
    <row r="27916" spans="1:6" x14ac:dyDescent="0.25">
      <c r="A27916" s="2" t="str">
        <f t="shared" si="990"/>
        <v>39300</v>
      </c>
      <c r="B27916" s="2" t="str">
        <f>"02907"</f>
        <v>02907</v>
      </c>
      <c r="C27916" s="1">
        <v>1.4660540986186001E-2</v>
      </c>
      <c r="D27916" s="1">
        <v>1.7266033222413699E-2</v>
      </c>
      <c r="E27916" s="1">
        <v>1.8310410953254801E-2</v>
      </c>
      <c r="F27916" s="1">
        <v>1.50773985828097E-2</v>
      </c>
    </row>
    <row r="27917" spans="1:6" x14ac:dyDescent="0.25">
      <c r="A27917" s="2" t="str">
        <f t="shared" ref="A27917:A27948" si="991">"39300"</f>
        <v>39300</v>
      </c>
      <c r="B27917" s="2" t="str">
        <f>"02885"</f>
        <v>02885</v>
      </c>
      <c r="C27917" s="1">
        <v>7.5838455766752497E-3</v>
      </c>
      <c r="D27917" s="1">
        <v>1.12924133691483E-2</v>
      </c>
      <c r="E27917" s="1">
        <v>5.0106192135595997E-3</v>
      </c>
      <c r="F27917" s="1">
        <v>7.7549872300463098E-3</v>
      </c>
    </row>
    <row r="27918" spans="1:6" x14ac:dyDescent="0.25">
      <c r="A27918" s="2" t="str">
        <f t="shared" si="991"/>
        <v>39300</v>
      </c>
      <c r="B27918" s="2" t="str">
        <f>"02880"</f>
        <v>02880</v>
      </c>
      <c r="C27918" s="1">
        <v>1.3302939000237901E-3</v>
      </c>
      <c r="D27918" s="1">
        <v>3.6349543626134199E-3</v>
      </c>
      <c r="E27918" s="1">
        <v>2.0619832154566199E-5</v>
      </c>
      <c r="F27918" s="1">
        <v>1.4523791112919101E-3</v>
      </c>
    </row>
    <row r="27919" spans="1:6" x14ac:dyDescent="0.25">
      <c r="A27919" s="2" t="str">
        <f t="shared" si="991"/>
        <v>39300</v>
      </c>
      <c r="B27919" s="2" t="str">
        <f>"02875"</f>
        <v>02875</v>
      </c>
      <c r="C27919" s="1">
        <v>1.9895891173376401E-4</v>
      </c>
      <c r="D27919" s="1">
        <v>1.33638028037258E-5</v>
      </c>
      <c r="E27919" s="1">
        <v>2.0619832154566199E-5</v>
      </c>
      <c r="F27919" s="1">
        <v>1.7370274864988099E-4</v>
      </c>
    </row>
    <row r="27920" spans="1:6" x14ac:dyDescent="0.25">
      <c r="A27920" s="2" t="str">
        <f t="shared" si="991"/>
        <v>39300</v>
      </c>
      <c r="B27920" s="2" t="str">
        <f>"02861"</f>
        <v>02861</v>
      </c>
      <c r="C27920" s="1">
        <v>1.72496076088129E-2</v>
      </c>
      <c r="D27920" s="1">
        <v>1.20140587205495E-2</v>
      </c>
      <c r="E27920" s="1">
        <v>7.4437594077984203E-3</v>
      </c>
      <c r="F27920" s="1">
        <v>1.6277628542835602E-2</v>
      </c>
    </row>
    <row r="27921" spans="1:6" x14ac:dyDescent="0.25">
      <c r="A27921" s="2" t="str">
        <f t="shared" si="991"/>
        <v>39300</v>
      </c>
      <c r="B27921" s="2" t="str">
        <f>"02829"</f>
        <v>02829</v>
      </c>
      <c r="C27921" s="1">
        <v>0</v>
      </c>
      <c r="D27921" s="1">
        <v>0</v>
      </c>
      <c r="E27921" s="1">
        <v>1.03099160772831E-4</v>
      </c>
      <c r="F27921" s="1">
        <v>5.6033144725768101E-6</v>
      </c>
    </row>
    <row r="27922" spans="1:6" x14ac:dyDescent="0.25">
      <c r="A27922" s="2" t="str">
        <f t="shared" si="991"/>
        <v>39300</v>
      </c>
      <c r="B27922" s="2" t="str">
        <f>"02833"</f>
        <v>02833</v>
      </c>
      <c r="C27922" s="1">
        <v>3.0298971525468597E-4</v>
      </c>
      <c r="D27922" s="1">
        <v>5.3455211214903297E-5</v>
      </c>
      <c r="E27922" s="1">
        <v>6.1859496463698702E-5</v>
      </c>
      <c r="F27922" s="1">
        <v>2.6895909468368698E-4</v>
      </c>
    </row>
    <row r="27923" spans="1:6" x14ac:dyDescent="0.25">
      <c r="A27923" s="2" t="str">
        <f t="shared" si="991"/>
        <v>39300</v>
      </c>
      <c r="B27923" s="2" t="str">
        <f>"02832"</f>
        <v>02832</v>
      </c>
      <c r="C27923" s="1">
        <v>2.5279485255584101E-3</v>
      </c>
      <c r="D27923" s="1">
        <v>4.9446070373785505E-4</v>
      </c>
      <c r="E27923" s="1">
        <v>3.71156978782192E-4</v>
      </c>
      <c r="F27923" s="1">
        <v>2.2402051261362099E-3</v>
      </c>
    </row>
    <row r="27924" spans="1:6" x14ac:dyDescent="0.25">
      <c r="A27924" s="2" t="str">
        <f t="shared" si="991"/>
        <v>39300</v>
      </c>
      <c r="B27924" s="2" t="str">
        <f>"02823"</f>
        <v>02823</v>
      </c>
      <c r="C27924" s="1">
        <v>0</v>
      </c>
      <c r="D27924" s="1">
        <v>0</v>
      </c>
      <c r="E27924" s="1">
        <v>1.4227684186650701E-3</v>
      </c>
      <c r="F27924" s="1">
        <v>7.7325739721560002E-5</v>
      </c>
    </row>
    <row r="27925" spans="1:6" x14ac:dyDescent="0.25">
      <c r="A27925" s="2" t="str">
        <f t="shared" si="991"/>
        <v>39300</v>
      </c>
      <c r="B27925" s="2" t="str">
        <f>"02827"</f>
        <v>02827</v>
      </c>
      <c r="C27925" s="1">
        <v>1.0975249771457299E-3</v>
      </c>
      <c r="D27925" s="1">
        <v>2.0045704205588701E-4</v>
      </c>
      <c r="E27925" s="1">
        <v>2.0619832154566199E-5</v>
      </c>
      <c r="F27925" s="1">
        <v>9.6377008928321198E-4</v>
      </c>
    </row>
    <row r="27926" spans="1:6" x14ac:dyDescent="0.25">
      <c r="A27926" s="2" t="str">
        <f t="shared" si="991"/>
        <v>39300</v>
      </c>
      <c r="B27926" s="2" t="str">
        <f>"02780"</f>
        <v>02780</v>
      </c>
      <c r="C27926" s="1">
        <v>3.0497930437202399E-2</v>
      </c>
      <c r="D27926" s="1">
        <v>2.7542797578478901E-2</v>
      </c>
      <c r="E27926" s="1">
        <v>4.6374002515619503E-2</v>
      </c>
      <c r="F27926" s="1">
        <v>3.1112963940430002E-2</v>
      </c>
    </row>
    <row r="27927" spans="1:6" x14ac:dyDescent="0.25">
      <c r="A27927" s="2" t="str">
        <f t="shared" si="991"/>
        <v>39300</v>
      </c>
      <c r="B27927" s="2" t="str">
        <f>"02770"</f>
        <v>02770</v>
      </c>
      <c r="C27927" s="1">
        <v>3.9011551320345898E-6</v>
      </c>
      <c r="D27927" s="1">
        <v>0</v>
      </c>
      <c r="E27927" s="1">
        <v>0</v>
      </c>
      <c r="F27927" s="1">
        <v>3.3619886835460901E-6</v>
      </c>
    </row>
    <row r="27928" spans="1:6" x14ac:dyDescent="0.25">
      <c r="A27928" s="2" t="str">
        <f t="shared" si="991"/>
        <v>39300</v>
      </c>
      <c r="B27928" s="2" t="str">
        <f>"02375"</f>
        <v>02375</v>
      </c>
      <c r="C27928" s="1">
        <v>6.7737056942560603E-3</v>
      </c>
      <c r="D27928" s="1">
        <v>1.03435833700837E-2</v>
      </c>
      <c r="E27928" s="1">
        <v>6.0828504855970399E-3</v>
      </c>
      <c r="F27928" s="1">
        <v>7.0355216517674502E-3</v>
      </c>
    </row>
    <row r="27929" spans="1:6" x14ac:dyDescent="0.25">
      <c r="A27929" s="2" t="str">
        <f t="shared" si="991"/>
        <v>39300</v>
      </c>
      <c r="B27929" s="2" t="str">
        <f>"02921"</f>
        <v>02921</v>
      </c>
      <c r="C27929" s="1">
        <v>6.1092089367661704E-3</v>
      </c>
      <c r="D27929" s="1">
        <v>3.7819561934544E-3</v>
      </c>
      <c r="E27929" s="1">
        <v>1.6083469080561601E-3</v>
      </c>
      <c r="F27929" s="1">
        <v>5.6694335833532197E-3</v>
      </c>
    </row>
    <row r="27930" spans="1:6" x14ac:dyDescent="0.25">
      <c r="A27930" s="2" t="str">
        <f t="shared" si="991"/>
        <v>39300</v>
      </c>
      <c r="B27930" s="2" t="str">
        <f>"02914"</f>
        <v>02914</v>
      </c>
      <c r="C27930" s="1">
        <v>1.33341482412942E-2</v>
      </c>
      <c r="D27930" s="1">
        <v>1.72793970252174E-2</v>
      </c>
      <c r="E27930" s="1">
        <v>1.4743179990514801E-2</v>
      </c>
      <c r="F27930" s="1">
        <v>1.3741568412547299E-2</v>
      </c>
    </row>
    <row r="27931" spans="1:6" x14ac:dyDescent="0.25">
      <c r="A27931" s="2" t="str">
        <f t="shared" si="991"/>
        <v>39300</v>
      </c>
      <c r="B27931" s="2" t="str">
        <f>"02915"</f>
        <v>02915</v>
      </c>
      <c r="C27931" s="1">
        <v>1.08738197380244E-2</v>
      </c>
      <c r="D27931" s="1">
        <v>7.8712798513945106E-3</v>
      </c>
      <c r="E27931" s="1">
        <v>1.01037177557374E-2</v>
      </c>
      <c r="F27931" s="1">
        <v>1.05801783871195E-2</v>
      </c>
    </row>
    <row r="27932" spans="1:6" x14ac:dyDescent="0.25">
      <c r="A27932" s="2" t="str">
        <f t="shared" si="991"/>
        <v>39300</v>
      </c>
      <c r="B27932" s="2" t="str">
        <f>"02910"</f>
        <v>02910</v>
      </c>
      <c r="C27932" s="1">
        <v>1.2759378051841099E-2</v>
      </c>
      <c r="D27932" s="1">
        <v>1.7479854067273301E-2</v>
      </c>
      <c r="E27932" s="1">
        <v>8.4335113512175996E-3</v>
      </c>
      <c r="F27932" s="1">
        <v>1.2920122510867601E-2</v>
      </c>
    </row>
    <row r="27933" spans="1:6" x14ac:dyDescent="0.25">
      <c r="A27933" s="2" t="str">
        <f t="shared" si="991"/>
        <v>39300</v>
      </c>
      <c r="B27933" s="2" t="str">
        <f>"02908"</f>
        <v>02908</v>
      </c>
      <c r="C27933" s="1">
        <v>1.96826280261585E-2</v>
      </c>
      <c r="D27933" s="1">
        <v>1.3524168437370501E-2</v>
      </c>
      <c r="E27933" s="1">
        <v>1.20419819782666E-2</v>
      </c>
      <c r="F27933" s="1">
        <v>1.8750931551031001E-2</v>
      </c>
    </row>
    <row r="27934" spans="1:6" x14ac:dyDescent="0.25">
      <c r="A27934" s="2" t="str">
        <f t="shared" si="991"/>
        <v>39300</v>
      </c>
      <c r="B27934" s="2" t="str">
        <f>"02904"</f>
        <v>02904</v>
      </c>
      <c r="C27934" s="1">
        <v>1.8938807780983901E-2</v>
      </c>
      <c r="D27934" s="1">
        <v>1.8762779136430999E-2</v>
      </c>
      <c r="E27934" s="1">
        <v>2.9032723673629201E-2</v>
      </c>
      <c r="F27934" s="1">
        <v>1.94726384550989E-2</v>
      </c>
    </row>
    <row r="27935" spans="1:6" x14ac:dyDescent="0.25">
      <c r="A27935" s="2" t="str">
        <f t="shared" si="991"/>
        <v>39300</v>
      </c>
      <c r="B27935" s="2" t="str">
        <f>"02901"</f>
        <v>02901</v>
      </c>
      <c r="C27935" s="1">
        <v>1.20025539562264E-3</v>
      </c>
      <c r="D27935" s="1">
        <v>2.4990311242967201E-3</v>
      </c>
      <c r="E27935" s="1">
        <v>2.0619832154566199E-5</v>
      </c>
      <c r="F27935" s="1">
        <v>1.24505647580656E-3</v>
      </c>
    </row>
    <row r="27936" spans="1:6" x14ac:dyDescent="0.25">
      <c r="A27936" s="2" t="str">
        <f t="shared" si="991"/>
        <v>39300</v>
      </c>
      <c r="B27936" s="2" t="str">
        <f>"02898"</f>
        <v>02898</v>
      </c>
      <c r="C27936" s="1">
        <v>9.9349417362480999E-4</v>
      </c>
      <c r="D27936" s="1">
        <v>8.9537478784963004E-4</v>
      </c>
      <c r="E27936" s="1">
        <v>1.71144606882899E-3</v>
      </c>
      <c r="F27936" s="1">
        <v>1.0242858855870399E-3</v>
      </c>
    </row>
    <row r="27937" spans="1:6" x14ac:dyDescent="0.25">
      <c r="A27937" s="2" t="str">
        <f t="shared" si="991"/>
        <v>39300</v>
      </c>
      <c r="B27937" s="2" t="str">
        <f>"02896"</f>
        <v>02896</v>
      </c>
      <c r="C27937" s="1">
        <v>5.9934746678491496E-3</v>
      </c>
      <c r="D27937" s="1">
        <v>4.5303291504630496E-3</v>
      </c>
      <c r="E27937" s="1">
        <v>1.9588840546837902E-3</v>
      </c>
      <c r="F27937" s="1">
        <v>5.6515029770409699E-3</v>
      </c>
    </row>
    <row r="27938" spans="1:6" x14ac:dyDescent="0.25">
      <c r="A27938" s="2" t="str">
        <f t="shared" si="991"/>
        <v>39300</v>
      </c>
      <c r="B27938" s="2" t="str">
        <f>"02903"</f>
        <v>02903</v>
      </c>
      <c r="C27938" s="1">
        <v>9.1820187957654207E-3</v>
      </c>
      <c r="D27938" s="1">
        <v>4.4434644322388299E-2</v>
      </c>
      <c r="E27938" s="1">
        <v>2.39808647957605E-2</v>
      </c>
      <c r="F27938" s="1">
        <v>1.2942535768757899E-2</v>
      </c>
    </row>
    <row r="27939" spans="1:6" x14ac:dyDescent="0.25">
      <c r="A27939" s="2" t="str">
        <f t="shared" si="991"/>
        <v>39300</v>
      </c>
      <c r="B27939" s="2" t="str">
        <f>"02892"</f>
        <v>02892</v>
      </c>
      <c r="C27939" s="1">
        <v>2.7399112877322901E-3</v>
      </c>
      <c r="D27939" s="1">
        <v>1.17601464672787E-3</v>
      </c>
      <c r="E27939" s="1">
        <v>6.39214796791554E-4</v>
      </c>
      <c r="F27939" s="1">
        <v>2.4945956031911902E-3</v>
      </c>
    </row>
    <row r="27940" spans="1:6" x14ac:dyDescent="0.25">
      <c r="A27940" s="2" t="str">
        <f t="shared" si="991"/>
        <v>39300</v>
      </c>
      <c r="B27940" s="2" t="str">
        <f>"02879"</f>
        <v>02879</v>
      </c>
      <c r="C27940" s="1">
        <v>1.4643635980613801E-2</v>
      </c>
      <c r="D27940" s="1">
        <v>1.25486108326985E-2</v>
      </c>
      <c r="E27940" s="1">
        <v>5.6498340103511499E-3</v>
      </c>
      <c r="F27940" s="1">
        <v>1.39791489461846E-2</v>
      </c>
    </row>
    <row r="27941" spans="1:6" x14ac:dyDescent="0.25">
      <c r="A27941" s="2" t="str">
        <f t="shared" si="991"/>
        <v>39300</v>
      </c>
      <c r="B27941" s="2" t="str">
        <f>"02873"</f>
        <v>02873</v>
      </c>
      <c r="C27941" s="1">
        <v>0</v>
      </c>
      <c r="D27941" s="1">
        <v>0</v>
      </c>
      <c r="E27941" s="1">
        <v>3.6290904592036601E-3</v>
      </c>
      <c r="F27941" s="1">
        <v>1.9723666943470401E-4</v>
      </c>
    </row>
    <row r="27942" spans="1:6" x14ac:dyDescent="0.25">
      <c r="A27942" s="2" t="str">
        <f t="shared" si="991"/>
        <v>39300</v>
      </c>
      <c r="B27942" s="2" t="str">
        <f>"02838"</f>
        <v>02838</v>
      </c>
      <c r="C27942" s="1">
        <v>2.1898484141154098E-3</v>
      </c>
      <c r="D27942" s="1">
        <v>9.2210239345708197E-4</v>
      </c>
      <c r="E27942" s="1">
        <v>3.4228921376579899E-3</v>
      </c>
      <c r="F27942" s="1">
        <v>2.1505520945749798E-3</v>
      </c>
    </row>
    <row r="27943" spans="1:6" x14ac:dyDescent="0.25">
      <c r="A27943" s="2" t="str">
        <f t="shared" si="991"/>
        <v>39300</v>
      </c>
      <c r="B27943" s="2" t="str">
        <f>"02828"</f>
        <v>02828</v>
      </c>
      <c r="C27943" s="1">
        <v>4.7958200423145201E-3</v>
      </c>
      <c r="D27943" s="1">
        <v>7.2030897112082201E-3</v>
      </c>
      <c r="E27943" s="1">
        <v>2.7424376765573101E-3</v>
      </c>
      <c r="F27943" s="1">
        <v>4.8860902200869799E-3</v>
      </c>
    </row>
    <row r="27944" spans="1:6" x14ac:dyDescent="0.25">
      <c r="A27944" s="2" t="str">
        <f t="shared" si="991"/>
        <v>39300</v>
      </c>
      <c r="B27944" s="2" t="str">
        <f>"02816"</f>
        <v>02816</v>
      </c>
      <c r="C27944" s="1">
        <v>1.9931001569564701E-2</v>
      </c>
      <c r="D27944" s="1">
        <v>1.3443985620548099E-2</v>
      </c>
      <c r="E27944" s="1">
        <v>6.6808256180794596E-3</v>
      </c>
      <c r="F27944" s="1">
        <v>1.8666881833942401E-2</v>
      </c>
    </row>
    <row r="27945" spans="1:6" x14ac:dyDescent="0.25">
      <c r="A27945" s="2" t="str">
        <f t="shared" si="991"/>
        <v>39300</v>
      </c>
      <c r="B27945" s="2" t="str">
        <f>"02812"</f>
        <v>02812</v>
      </c>
      <c r="C27945" s="1">
        <v>5.9947750528931598E-4</v>
      </c>
      <c r="D27945" s="1">
        <v>6.6819014018629097E-5</v>
      </c>
      <c r="E27945" s="1">
        <v>2.0619832154566199E-5</v>
      </c>
      <c r="F27945" s="1">
        <v>5.2334957173867398E-4</v>
      </c>
    </row>
    <row r="27946" spans="1:6" x14ac:dyDescent="0.25">
      <c r="A27946" s="2" t="str">
        <f t="shared" si="991"/>
        <v>39300</v>
      </c>
      <c r="B27946" s="2" t="str">
        <f>"02763"</f>
        <v>02763</v>
      </c>
      <c r="C27946" s="1">
        <v>1.05461227069335E-3</v>
      </c>
      <c r="D27946" s="1">
        <v>2.2183912654184798E-3</v>
      </c>
      <c r="E27946" s="1">
        <v>9.48512279110048E-4</v>
      </c>
      <c r="F27946" s="1">
        <v>1.14643814108921E-3</v>
      </c>
    </row>
    <row r="27947" spans="1:6" x14ac:dyDescent="0.25">
      <c r="A27947" s="2" t="str">
        <f t="shared" si="991"/>
        <v>39300</v>
      </c>
      <c r="B27947" s="2" t="str">
        <f>"02768"</f>
        <v>02768</v>
      </c>
      <c r="C27947" s="1">
        <v>0</v>
      </c>
      <c r="D27947" s="1">
        <v>0</v>
      </c>
      <c r="E27947" s="1">
        <v>2.0619832154566199E-5</v>
      </c>
      <c r="F27947" s="1">
        <v>1.12066289451536E-6</v>
      </c>
    </row>
    <row r="27948" spans="1:6" x14ac:dyDescent="0.25">
      <c r="A27948" s="2" t="str">
        <f t="shared" si="991"/>
        <v>39300</v>
      </c>
      <c r="B27948" s="2" t="str">
        <f>"02771"</f>
        <v>02771</v>
      </c>
      <c r="C27948" s="1">
        <v>8.3965862291824605E-3</v>
      </c>
      <c r="D27948" s="1">
        <v>1.27089764663432E-2</v>
      </c>
      <c r="E27948" s="1">
        <v>3.2579334804214602E-3</v>
      </c>
      <c r="F27948" s="1">
        <v>8.4789354599032404E-3</v>
      </c>
    </row>
    <row r="27949" spans="1:6" x14ac:dyDescent="0.25">
      <c r="A27949" s="2" t="str">
        <f t="shared" ref="A27949:A27980" si="992">"39300"</f>
        <v>39300</v>
      </c>
      <c r="B27949" s="2" t="str">
        <f>"02741"</f>
        <v>02741</v>
      </c>
      <c r="C27949" s="1">
        <v>4.2392552434775902E-4</v>
      </c>
      <c r="D27949" s="1">
        <v>1.88429619532534E-3</v>
      </c>
      <c r="E27949" s="1">
        <v>2.0619832154566199E-5</v>
      </c>
      <c r="F27949" s="1">
        <v>5.2447023463319002E-4</v>
      </c>
    </row>
    <row r="27950" spans="1:6" x14ac:dyDescent="0.25">
      <c r="A27950" s="2" t="str">
        <f t="shared" si="992"/>
        <v>39300</v>
      </c>
      <c r="B27950" s="2" t="str">
        <f>"02743"</f>
        <v>02743</v>
      </c>
      <c r="C27950" s="1">
        <v>5.4863245006846499E-3</v>
      </c>
      <c r="D27950" s="1">
        <v>2.0580256317737698E-3</v>
      </c>
      <c r="E27950" s="1">
        <v>1.1753304328102701E-3</v>
      </c>
      <c r="F27950" s="1">
        <v>4.9645366227030604E-3</v>
      </c>
    </row>
    <row r="27951" spans="1:6" x14ac:dyDescent="0.25">
      <c r="A27951" s="2" t="str">
        <f t="shared" si="992"/>
        <v>39300</v>
      </c>
      <c r="B27951" s="2" t="str">
        <f>"02703"</f>
        <v>02703</v>
      </c>
      <c r="C27951" s="1">
        <v>2.7168944724532899E-2</v>
      </c>
      <c r="D27951" s="1">
        <v>2.3533656737361099E-2</v>
      </c>
      <c r="E27951" s="1">
        <v>2.9486359981029699E-2</v>
      </c>
      <c r="F27951" s="1">
        <v>2.6990045151508001E-2</v>
      </c>
    </row>
    <row r="27952" spans="1:6" x14ac:dyDescent="0.25">
      <c r="A27952" s="2" t="str">
        <f t="shared" si="992"/>
        <v>39300</v>
      </c>
      <c r="B27952" s="2" t="str">
        <f>"02940"</f>
        <v>02940</v>
      </c>
      <c r="C27952" s="1">
        <v>2.1209280067827998E-3</v>
      </c>
      <c r="D27952" s="1">
        <v>8.4191957663472695E-3</v>
      </c>
      <c r="E27952" s="1">
        <v>2.0619832154566199E-5</v>
      </c>
      <c r="F27952" s="1">
        <v>2.5349394673937499E-3</v>
      </c>
    </row>
    <row r="27953" spans="1:6" x14ac:dyDescent="0.25">
      <c r="A27953" s="2" t="str">
        <f t="shared" si="992"/>
        <v>39300</v>
      </c>
      <c r="B27953" s="2" t="str">
        <f>"02882"</f>
        <v>02882</v>
      </c>
      <c r="C27953" s="1">
        <v>1.26241380072639E-2</v>
      </c>
      <c r="D27953" s="1">
        <v>8.7265632308329601E-3</v>
      </c>
      <c r="E27953" s="1">
        <v>4.37140441676804E-3</v>
      </c>
      <c r="F27953" s="1">
        <v>1.1848768783710901E-2</v>
      </c>
    </row>
    <row r="27954" spans="1:6" x14ac:dyDescent="0.25">
      <c r="A27954" s="2" t="str">
        <f t="shared" si="992"/>
        <v>39300</v>
      </c>
      <c r="B27954" s="2" t="str">
        <f>"02831"</f>
        <v>02831</v>
      </c>
      <c r="C27954" s="1">
        <v>2.04810644431816E-3</v>
      </c>
      <c r="D27954" s="1">
        <v>3.8755028130804903E-4</v>
      </c>
      <c r="E27954" s="1">
        <v>2.6805781800936102E-4</v>
      </c>
      <c r="F27954" s="1">
        <v>1.8121119004313401E-3</v>
      </c>
    </row>
    <row r="27955" spans="1:6" x14ac:dyDescent="0.25">
      <c r="A27955" s="2" t="str">
        <f t="shared" si="992"/>
        <v>39300</v>
      </c>
      <c r="B27955" s="2" t="str">
        <f>"02837"</f>
        <v>02837</v>
      </c>
      <c r="C27955" s="1">
        <v>2.9505736648621599E-3</v>
      </c>
      <c r="D27955" s="1">
        <v>2.8063985887824203E-4</v>
      </c>
      <c r="E27955" s="1">
        <v>3.71156978782192E-4</v>
      </c>
      <c r="F27955" s="1">
        <v>2.5864899605414502E-3</v>
      </c>
    </row>
    <row r="27956" spans="1:6" x14ac:dyDescent="0.25">
      <c r="A27956" s="2" t="str">
        <f t="shared" si="992"/>
        <v>39300</v>
      </c>
      <c r="B27956" s="2" t="str">
        <f>"02817"</f>
        <v>02817</v>
      </c>
      <c r="C27956" s="1">
        <v>3.4330165161904399E-3</v>
      </c>
      <c r="D27956" s="1">
        <v>2.1382084485961298E-3</v>
      </c>
      <c r="E27956" s="1">
        <v>7.0107429325525199E-4</v>
      </c>
      <c r="F27956" s="1">
        <v>3.1759586430565399E-3</v>
      </c>
    </row>
    <row r="27957" spans="1:6" x14ac:dyDescent="0.25">
      <c r="A27957" s="2" t="str">
        <f t="shared" si="992"/>
        <v>39300</v>
      </c>
      <c r="B27957" s="2" t="str">
        <f>"02826"</f>
        <v>02826</v>
      </c>
      <c r="C27957" s="1">
        <v>0</v>
      </c>
      <c r="D27957" s="1">
        <v>0</v>
      </c>
      <c r="E27957" s="1">
        <v>7.0107429325525199E-3</v>
      </c>
      <c r="F27957" s="1">
        <v>3.8102538413522298E-4</v>
      </c>
    </row>
    <row r="27958" spans="1:6" x14ac:dyDescent="0.25">
      <c r="A27958" s="2" t="str">
        <f t="shared" si="992"/>
        <v>39300</v>
      </c>
      <c r="B27958" s="2" t="str">
        <f>"02825"</f>
        <v>02825</v>
      </c>
      <c r="C27958" s="1">
        <v>2.7542155232164198E-3</v>
      </c>
      <c r="D27958" s="1">
        <v>1.1225594355129601E-3</v>
      </c>
      <c r="E27958" s="1">
        <v>2.6805781800936102E-4</v>
      </c>
      <c r="F27958" s="1">
        <v>2.4822683113515302E-3</v>
      </c>
    </row>
    <row r="27959" spans="1:6" x14ac:dyDescent="0.25">
      <c r="A27959" s="2" t="str">
        <f t="shared" si="992"/>
        <v>39300</v>
      </c>
      <c r="B27959" s="2" t="str">
        <f>"02791"</f>
        <v>02791</v>
      </c>
      <c r="C27959" s="1">
        <v>0</v>
      </c>
      <c r="D27959" s="1">
        <v>0</v>
      </c>
      <c r="E27959" s="1">
        <v>4.4745035775408696E-3</v>
      </c>
      <c r="F27959" s="1">
        <v>2.4318384810983299E-4</v>
      </c>
    </row>
    <row r="27960" spans="1:6" x14ac:dyDescent="0.25">
      <c r="A27960" s="2" t="str">
        <f t="shared" si="992"/>
        <v>39300</v>
      </c>
      <c r="B27960" s="2" t="str">
        <f>"02808"</f>
        <v>02808</v>
      </c>
      <c r="C27960" s="1">
        <v>1.6748959366868501E-3</v>
      </c>
      <c r="D27960" s="1">
        <v>5.7464352056020996E-4</v>
      </c>
      <c r="E27960" s="1">
        <v>2.8867765016392702E-4</v>
      </c>
      <c r="F27960" s="1">
        <v>1.50729159312316E-3</v>
      </c>
    </row>
    <row r="27961" spans="1:6" x14ac:dyDescent="0.25">
      <c r="A27961" s="2" t="str">
        <f t="shared" si="992"/>
        <v>39300</v>
      </c>
      <c r="B27961" s="2" t="str">
        <f>"02779"</f>
        <v>02779</v>
      </c>
      <c r="C27961" s="1">
        <v>3.0481025431630302E-3</v>
      </c>
      <c r="D27961" s="1">
        <v>8.1519197102727502E-4</v>
      </c>
      <c r="E27961" s="1">
        <v>6.39214796791554E-4</v>
      </c>
      <c r="F27961" s="1">
        <v>2.7299348110394199E-3</v>
      </c>
    </row>
    <row r="27962" spans="1:6" x14ac:dyDescent="0.25">
      <c r="A27962" s="2" t="str">
        <f t="shared" si="992"/>
        <v>39300</v>
      </c>
      <c r="B27962" s="2" t="str">
        <f>"02760"</f>
        <v>02760</v>
      </c>
      <c r="C27962" s="1">
        <v>1.4924519150120301E-2</v>
      </c>
      <c r="D27962" s="1">
        <v>1.4098811957930699E-2</v>
      </c>
      <c r="E27962" s="1">
        <v>1.8434129946182199E-2</v>
      </c>
      <c r="F27962" s="1">
        <v>1.5046020021763201E-2</v>
      </c>
    </row>
    <row r="27963" spans="1:6" x14ac:dyDescent="0.25">
      <c r="A27963" s="2" t="str">
        <f t="shared" si="992"/>
        <v>39300</v>
      </c>
      <c r="B27963" s="2" t="str">
        <f>"02748"</f>
        <v>02748</v>
      </c>
      <c r="C27963" s="1">
        <v>7.7255875464725104E-3</v>
      </c>
      <c r="D27963" s="1">
        <v>4.5704205588742303E-3</v>
      </c>
      <c r="E27963" s="1">
        <v>2.8455368373301402E-3</v>
      </c>
      <c r="F27963" s="1">
        <v>7.1957764456831502E-3</v>
      </c>
    </row>
    <row r="27964" spans="1:6" x14ac:dyDescent="0.25">
      <c r="A27964" s="2" t="str">
        <f t="shared" si="992"/>
        <v>39300</v>
      </c>
      <c r="B27964" s="2" t="str">
        <f>"02726"</f>
        <v>02726</v>
      </c>
      <c r="C27964" s="1">
        <v>9.34976846644291E-3</v>
      </c>
      <c r="D27964" s="1">
        <v>6.5348995710219297E-3</v>
      </c>
      <c r="E27964" s="1">
        <v>4.9693795492504597E-3</v>
      </c>
      <c r="F27964" s="1">
        <v>8.8756501245616792E-3</v>
      </c>
    </row>
    <row r="27965" spans="1:6" x14ac:dyDescent="0.25">
      <c r="A27965" s="2" t="str">
        <f t="shared" si="992"/>
        <v>39300</v>
      </c>
      <c r="B27965" s="2" t="str">
        <f>"02048"</f>
        <v>02048</v>
      </c>
      <c r="C27965" s="1">
        <v>1.39245230512754E-2</v>
      </c>
      <c r="D27965" s="1">
        <v>1.29094335083991E-2</v>
      </c>
      <c r="E27965" s="1">
        <v>6.3715281357609697E-3</v>
      </c>
      <c r="F27965" s="1">
        <v>1.3428903464977601E-2</v>
      </c>
    </row>
    <row r="27966" spans="1:6" x14ac:dyDescent="0.25">
      <c r="A27966" s="2" t="str">
        <f t="shared" si="992"/>
        <v>39300</v>
      </c>
      <c r="B27966" s="2" t="str">
        <f>"02918"</f>
        <v>02918</v>
      </c>
      <c r="C27966" s="1">
        <v>0</v>
      </c>
      <c r="D27966" s="1">
        <v>2.6727605607451601E-5</v>
      </c>
      <c r="E27966" s="1">
        <v>2.0619832154566199E-5</v>
      </c>
      <c r="F27966" s="1">
        <v>3.3619886835460901E-6</v>
      </c>
    </row>
    <row r="27967" spans="1:6" x14ac:dyDescent="0.25">
      <c r="A27967" s="2" t="str">
        <f t="shared" si="992"/>
        <v>39300</v>
      </c>
      <c r="B27967" s="2" t="str">
        <f>"02905"</f>
        <v>02905</v>
      </c>
      <c r="C27967" s="1">
        <v>1.34810917512675E-2</v>
      </c>
      <c r="D27967" s="1">
        <v>1.4954095337369201E-2</v>
      </c>
      <c r="E27967" s="1">
        <v>1.47225601583603E-2</v>
      </c>
      <c r="F27967" s="1">
        <v>1.3672087313087399E-2</v>
      </c>
    </row>
    <row r="27968" spans="1:6" x14ac:dyDescent="0.25">
      <c r="A27968" s="2" t="str">
        <f t="shared" si="992"/>
        <v>39300</v>
      </c>
      <c r="B27968" s="2" t="str">
        <f>"02902"</f>
        <v>02902</v>
      </c>
      <c r="C27968" s="1">
        <v>0</v>
      </c>
      <c r="D27968" s="1">
        <v>1.33638028037258E-5</v>
      </c>
      <c r="E27968" s="1">
        <v>0</v>
      </c>
      <c r="F27968" s="1">
        <v>1.12066289451536E-6</v>
      </c>
    </row>
    <row r="27969" spans="1:6" x14ac:dyDescent="0.25">
      <c r="A27969" s="2" t="str">
        <f t="shared" si="992"/>
        <v>39300</v>
      </c>
      <c r="B27969" s="2" t="str">
        <f>"02894"</f>
        <v>02894</v>
      </c>
      <c r="C27969" s="1">
        <v>3.8101281789537802E-4</v>
      </c>
      <c r="D27969" s="1">
        <v>1.8709323925216099E-4</v>
      </c>
      <c r="E27969" s="1">
        <v>6.1859496463698702E-5</v>
      </c>
      <c r="F27969" s="1">
        <v>3.4740549729976198E-4</v>
      </c>
    </row>
    <row r="27970" spans="1:6" x14ac:dyDescent="0.25">
      <c r="A27970" s="2" t="str">
        <f t="shared" si="992"/>
        <v>39300</v>
      </c>
      <c r="B27970" s="2" t="str">
        <f>"02889"</f>
        <v>02889</v>
      </c>
      <c r="C27970" s="1">
        <v>1.6834784779773199E-2</v>
      </c>
      <c r="D27970" s="1">
        <v>8.8201098504590396E-3</v>
      </c>
      <c r="E27970" s="1">
        <v>3.7734292842856198E-3</v>
      </c>
      <c r="F27970" s="1">
        <v>1.5452820652472299E-2</v>
      </c>
    </row>
    <row r="27971" spans="1:6" x14ac:dyDescent="0.25">
      <c r="A27971" s="2" t="str">
        <f t="shared" si="992"/>
        <v>39300</v>
      </c>
      <c r="B27971" s="2" t="str">
        <f>"02881"</f>
        <v>02881</v>
      </c>
      <c r="C27971" s="1">
        <v>2.8556455566493199E-3</v>
      </c>
      <c r="D27971" s="1">
        <v>2.4188483074743701E-3</v>
      </c>
      <c r="E27971" s="1">
        <v>8.10771800317545E-2</v>
      </c>
      <c r="F27971" s="1">
        <v>7.0702622014974202E-3</v>
      </c>
    </row>
    <row r="27972" spans="1:6" x14ac:dyDescent="0.25">
      <c r="A27972" s="2" t="str">
        <f t="shared" si="992"/>
        <v>39300</v>
      </c>
      <c r="B27972" s="2" t="str">
        <f>"02871"</f>
        <v>02871</v>
      </c>
      <c r="C27972" s="1">
        <v>1.06293473497502E-2</v>
      </c>
      <c r="D27972" s="1">
        <v>6.7219928102740904E-3</v>
      </c>
      <c r="E27972" s="1">
        <v>3.4641318019671299E-3</v>
      </c>
      <c r="F27972" s="1">
        <v>9.9122633019883902E-3</v>
      </c>
    </row>
    <row r="27973" spans="1:6" x14ac:dyDescent="0.25">
      <c r="A27973" s="2" t="str">
        <f t="shared" si="992"/>
        <v>39300</v>
      </c>
      <c r="B27973" s="2" t="str">
        <f>"02863"</f>
        <v>02863</v>
      </c>
      <c r="C27973" s="1">
        <v>1.10987863506384E-2</v>
      </c>
      <c r="D27973" s="1">
        <v>7.2699087252268502E-3</v>
      </c>
      <c r="E27973" s="1">
        <v>2.05992123224116E-2</v>
      </c>
      <c r="F27973" s="1">
        <v>1.1294040650925799E-2</v>
      </c>
    </row>
    <row r="27974" spans="1:6" x14ac:dyDescent="0.25">
      <c r="A27974" s="2" t="str">
        <f t="shared" si="992"/>
        <v>39300</v>
      </c>
      <c r="B27974" s="2" t="str">
        <f>"02835"</f>
        <v>02835</v>
      </c>
      <c r="C27974" s="1">
        <v>4.53314226342419E-3</v>
      </c>
      <c r="D27974" s="1">
        <v>3.8220476018655798E-3</v>
      </c>
      <c r="E27974" s="1">
        <v>1.0309916077283099E-3</v>
      </c>
      <c r="F27974" s="1">
        <v>4.2831735828377203E-3</v>
      </c>
    </row>
    <row r="27975" spans="1:6" x14ac:dyDescent="0.25">
      <c r="A27975" s="2" t="str">
        <f t="shared" si="992"/>
        <v>39300</v>
      </c>
      <c r="B27975" s="2" t="str">
        <f>"02815"</f>
        <v>02815</v>
      </c>
      <c r="C27975" s="1">
        <v>1.1703465396103701E-4</v>
      </c>
      <c r="D27975" s="1">
        <v>1.33638028037258E-5</v>
      </c>
      <c r="E27975" s="1">
        <v>2.0619832154566199E-5</v>
      </c>
      <c r="F27975" s="1">
        <v>1.03100986295413E-4</v>
      </c>
    </row>
    <row r="27976" spans="1:6" x14ac:dyDescent="0.25">
      <c r="A27976" s="2" t="str">
        <f t="shared" si="992"/>
        <v>39300</v>
      </c>
      <c r="B27976" s="2" t="str">
        <f>"02804"</f>
        <v>02804</v>
      </c>
      <c r="C27976" s="1">
        <v>2.4460242677856901E-3</v>
      </c>
      <c r="D27976" s="1">
        <v>1.93775140654024E-3</v>
      </c>
      <c r="E27976" s="1">
        <v>5.3611563601872205E-4</v>
      </c>
      <c r="F27976" s="1">
        <v>2.2996002595455198E-3</v>
      </c>
    </row>
    <row r="27977" spans="1:6" x14ac:dyDescent="0.25">
      <c r="A27977" s="2" t="str">
        <f t="shared" si="992"/>
        <v>39300</v>
      </c>
      <c r="B27977" s="2" t="str">
        <f>"02790"</f>
        <v>02790</v>
      </c>
      <c r="C27977" s="1">
        <v>1.1746378102556101E-2</v>
      </c>
      <c r="D27977" s="1">
        <v>9.8090312579347493E-3</v>
      </c>
      <c r="E27977" s="1">
        <v>3.4022723055034299E-3</v>
      </c>
      <c r="F27977" s="1">
        <v>1.11304238683265E-2</v>
      </c>
    </row>
    <row r="27978" spans="1:6" x14ac:dyDescent="0.25">
      <c r="A27978" s="2" t="str">
        <f t="shared" si="992"/>
        <v>39300</v>
      </c>
      <c r="B27978" s="2" t="str">
        <f>"02809"</f>
        <v>02809</v>
      </c>
      <c r="C27978" s="1">
        <v>1.3638438341592901E-2</v>
      </c>
      <c r="D27978" s="1">
        <v>1.4620000267275999E-2</v>
      </c>
      <c r="E27978" s="1">
        <v>1.8475369610491298E-2</v>
      </c>
      <c r="F27978" s="1">
        <v>1.39836315977627E-2</v>
      </c>
    </row>
    <row r="27979" spans="1:6" x14ac:dyDescent="0.25">
      <c r="A27979" s="2" t="str">
        <f t="shared" si="992"/>
        <v>39300</v>
      </c>
      <c r="B27979" s="2" t="str">
        <f>"02766"</f>
        <v>02766</v>
      </c>
      <c r="C27979" s="1">
        <v>1.0720374302830999E-2</v>
      </c>
      <c r="D27979" s="1">
        <v>7.7643694289646998E-3</v>
      </c>
      <c r="E27979" s="1">
        <v>7.8149163865806094E-3</v>
      </c>
      <c r="F27979" s="1">
        <v>1.03145812811194E-2</v>
      </c>
    </row>
    <row r="27980" spans="1:6" x14ac:dyDescent="0.25">
      <c r="A27980" s="2" t="str">
        <f t="shared" si="992"/>
        <v>39300</v>
      </c>
      <c r="B27980" s="2" t="str">
        <f>"02747"</f>
        <v>02747</v>
      </c>
      <c r="C27980" s="1">
        <v>1.1055873644186E-2</v>
      </c>
      <c r="D27980" s="1">
        <v>1.39250825214823E-2</v>
      </c>
      <c r="E27980" s="1">
        <v>4.6188424026228402E-3</v>
      </c>
      <c r="F27980" s="1">
        <v>1.0946635153626001E-2</v>
      </c>
    </row>
    <row r="27981" spans="1:6" x14ac:dyDescent="0.25">
      <c r="A27981" s="2" t="str">
        <f t="shared" ref="A27981:A27987" si="993">"39300"</f>
        <v>39300</v>
      </c>
      <c r="B27981" s="2" t="str">
        <f>"02742"</f>
        <v>02742</v>
      </c>
      <c r="C27981" s="1">
        <v>5.9037480998123503E-4</v>
      </c>
      <c r="D27981" s="1">
        <v>1.22946985794277E-3</v>
      </c>
      <c r="E27981" s="1">
        <v>2.0619832154566199E-5</v>
      </c>
      <c r="F27981" s="1">
        <v>6.1300260329990295E-4</v>
      </c>
    </row>
    <row r="27982" spans="1:6" x14ac:dyDescent="0.25">
      <c r="A27982" s="2" t="str">
        <f t="shared" si="993"/>
        <v>39300</v>
      </c>
      <c r="B27982" s="2" t="str">
        <f>"02744"</f>
        <v>02744</v>
      </c>
      <c r="C27982" s="1">
        <v>7.9648583945706296E-3</v>
      </c>
      <c r="D27982" s="1">
        <v>6.1607130925176003E-3</v>
      </c>
      <c r="E27982" s="1">
        <v>2.3156071509577901E-2</v>
      </c>
      <c r="F27982" s="1">
        <v>8.6391902538189291E-3</v>
      </c>
    </row>
    <row r="27983" spans="1:6" x14ac:dyDescent="0.25">
      <c r="A27983" s="2" t="str">
        <f t="shared" si="993"/>
        <v>39300</v>
      </c>
      <c r="B27983" s="2" t="str">
        <f>"02722"</f>
        <v>02722</v>
      </c>
      <c r="C27983" s="1">
        <v>1.91416678478497E-3</v>
      </c>
      <c r="D27983" s="1">
        <v>6.4012615429846704E-3</v>
      </c>
      <c r="E27983" s="1">
        <v>4.12396643091325E-5</v>
      </c>
      <c r="F27983" s="1">
        <v>2.1886546329885001E-3</v>
      </c>
    </row>
    <row r="27984" spans="1:6" x14ac:dyDescent="0.25">
      <c r="A27984" s="2" t="str">
        <f t="shared" si="993"/>
        <v>39300</v>
      </c>
      <c r="B27984" s="2" t="str">
        <f>"02724"</f>
        <v>02724</v>
      </c>
      <c r="C27984" s="1">
        <v>1.1815298509888701E-2</v>
      </c>
      <c r="D27984" s="1">
        <v>7.4703657672827301E-3</v>
      </c>
      <c r="E27984" s="1">
        <v>2.72594181083365E-2</v>
      </c>
      <c r="F27984" s="1">
        <v>1.22903099641499E-2</v>
      </c>
    </row>
    <row r="27985" spans="1:6" x14ac:dyDescent="0.25">
      <c r="A27985" s="2" t="str">
        <f t="shared" si="993"/>
        <v>39300</v>
      </c>
      <c r="B27985" s="2" t="str">
        <f>"02720"</f>
        <v>02720</v>
      </c>
      <c r="C27985" s="1">
        <v>1.9139067077761699E-2</v>
      </c>
      <c r="D27985" s="1">
        <v>1.8121316601852198E-2</v>
      </c>
      <c r="E27985" s="1">
        <v>3.0249293770748701E-2</v>
      </c>
      <c r="F27985" s="1">
        <v>1.9657547832693901E-2</v>
      </c>
    </row>
    <row r="27986" spans="1:6" x14ac:dyDescent="0.25">
      <c r="A27986" s="2" t="str">
        <f t="shared" si="993"/>
        <v>39300</v>
      </c>
      <c r="B27986" s="2" t="str">
        <f>"02712"</f>
        <v>02712</v>
      </c>
      <c r="C27986" s="1">
        <v>4.6163669062409298E-4</v>
      </c>
      <c r="D27986" s="1">
        <v>4.0091408411177401E-4</v>
      </c>
      <c r="E27986" s="1">
        <v>4.12396643091325E-5</v>
      </c>
      <c r="F27986" s="1">
        <v>4.33696540177445E-4</v>
      </c>
    </row>
    <row r="27987" spans="1:6" x14ac:dyDescent="0.25">
      <c r="A27987" s="2" t="str">
        <f t="shared" si="993"/>
        <v>39300</v>
      </c>
      <c r="B27987" s="2" t="str">
        <f>"02715"</f>
        <v>02715</v>
      </c>
      <c r="C27987" s="1">
        <v>1.8608509979804999E-3</v>
      </c>
      <c r="D27987" s="1">
        <v>6.4146253457883896E-4</v>
      </c>
      <c r="E27987" s="1">
        <v>7.8355362187351697E-4</v>
      </c>
      <c r="F27987" s="1">
        <v>1.7000456109798E-3</v>
      </c>
    </row>
    <row r="27988" spans="1:6" x14ac:dyDescent="0.25">
      <c r="A27988" s="2" t="str">
        <f t="shared" ref="A27988:A28019" si="994">"15540"</f>
        <v>15540</v>
      </c>
      <c r="B27988" s="2" t="str">
        <f>"05490"</f>
        <v>05490</v>
      </c>
      <c r="C27988" s="1">
        <v>0</v>
      </c>
      <c r="D27988" s="1">
        <v>0</v>
      </c>
      <c r="E27988" s="1">
        <v>1.6627868307283E-4</v>
      </c>
      <c r="F27988" s="1">
        <v>8.1154997930547506E-6</v>
      </c>
    </row>
    <row r="27989" spans="1:6" x14ac:dyDescent="0.25">
      <c r="A27989" s="2" t="str">
        <f t="shared" si="994"/>
        <v>15540</v>
      </c>
      <c r="B27989" s="2" t="str">
        <f>"05494"</f>
        <v>05494</v>
      </c>
      <c r="C27989" s="1">
        <v>6.6783498318571397E-3</v>
      </c>
      <c r="D27989" s="1">
        <v>8.5895894176258301E-4</v>
      </c>
      <c r="E27989" s="1">
        <v>1.6627868307283E-4</v>
      </c>
      <c r="F27989" s="1">
        <v>5.8106978518272E-3</v>
      </c>
    </row>
    <row r="27990" spans="1:6" x14ac:dyDescent="0.25">
      <c r="A27990" s="2" t="str">
        <f t="shared" si="994"/>
        <v>15540</v>
      </c>
      <c r="B27990" s="2" t="str">
        <f>"05477"</f>
        <v>05477</v>
      </c>
      <c r="C27990" s="1">
        <v>1.7922606924643501E-2</v>
      </c>
      <c r="D27990" s="1">
        <v>8.6754853118020895E-3</v>
      </c>
      <c r="E27990" s="1">
        <v>1.09743930828067E-2</v>
      </c>
      <c r="F27990" s="1">
        <v>1.6709814073899699E-2</v>
      </c>
    </row>
    <row r="27991" spans="1:6" x14ac:dyDescent="0.25">
      <c r="A27991" s="2" t="str">
        <f t="shared" si="994"/>
        <v>15540</v>
      </c>
      <c r="B27991" s="2" t="str">
        <f>"05448"</f>
        <v>05448</v>
      </c>
      <c r="C27991" s="1">
        <v>5.08691327618055E-3</v>
      </c>
      <c r="D27991" s="1">
        <v>1.7179178835251599E-4</v>
      </c>
      <c r="E27991" s="1">
        <v>9.9767209843697993E-4</v>
      </c>
      <c r="F27991" s="1">
        <v>4.42294738721484E-3</v>
      </c>
    </row>
    <row r="27992" spans="1:6" x14ac:dyDescent="0.25">
      <c r="A27992" s="2" t="str">
        <f t="shared" si="994"/>
        <v>15540</v>
      </c>
      <c r="B27992" s="2" t="str">
        <f>"05439"</f>
        <v>05439</v>
      </c>
      <c r="C27992" s="1">
        <v>0</v>
      </c>
      <c r="D27992" s="1">
        <v>0</v>
      </c>
      <c r="E27992" s="1">
        <v>1.6627868307283E-4</v>
      </c>
      <c r="F27992" s="1">
        <v>8.1154997930547506E-6</v>
      </c>
    </row>
    <row r="27993" spans="1:6" x14ac:dyDescent="0.25">
      <c r="A27993" s="2" t="str">
        <f t="shared" si="994"/>
        <v>15540</v>
      </c>
      <c r="B27993" s="2" t="str">
        <f>"05485"</f>
        <v>05485</v>
      </c>
      <c r="C27993" s="1">
        <v>0</v>
      </c>
      <c r="D27993" s="1">
        <v>0</v>
      </c>
      <c r="E27993" s="1">
        <v>1.6627868307283E-4</v>
      </c>
      <c r="F27993" s="1">
        <v>8.1154997930547506E-6</v>
      </c>
    </row>
    <row r="27994" spans="1:6" x14ac:dyDescent="0.25">
      <c r="A27994" s="2" t="str">
        <f t="shared" si="994"/>
        <v>15540</v>
      </c>
      <c r="B27994" s="2" t="str">
        <f>"05464"</f>
        <v>05464</v>
      </c>
      <c r="C27994" s="1">
        <v>9.3781082745227995E-4</v>
      </c>
      <c r="D27994" s="1">
        <v>0</v>
      </c>
      <c r="E27994" s="1">
        <v>0</v>
      </c>
      <c r="F27994" s="1">
        <v>8.0343447951242001E-4</v>
      </c>
    </row>
    <row r="27995" spans="1:6" x14ac:dyDescent="0.25">
      <c r="A27995" s="2" t="str">
        <f t="shared" si="994"/>
        <v>15540</v>
      </c>
      <c r="B27995" s="2" t="str">
        <f>"05455"</f>
        <v>05455</v>
      </c>
      <c r="C27995" s="1">
        <v>5.1248046227442799E-3</v>
      </c>
      <c r="D27995" s="1">
        <v>6.0127125923380804E-4</v>
      </c>
      <c r="E27995" s="1">
        <v>4.9883604921848997E-4</v>
      </c>
      <c r="F27995" s="1">
        <v>4.4716403859731699E-3</v>
      </c>
    </row>
    <row r="27996" spans="1:6" x14ac:dyDescent="0.25">
      <c r="A27996" s="2" t="str">
        <f t="shared" si="994"/>
        <v>15540</v>
      </c>
      <c r="B27996" s="2" t="str">
        <f>"05406"</f>
        <v>05406</v>
      </c>
      <c r="C27996" s="1">
        <v>6.5457301188840897E-3</v>
      </c>
      <c r="D27996" s="1">
        <v>2.2848307850884701E-2</v>
      </c>
      <c r="E27996" s="1">
        <v>3.3255736614566E-4</v>
      </c>
      <c r="F27996" s="1">
        <v>7.7827643015395097E-3</v>
      </c>
    </row>
    <row r="27997" spans="1:6" x14ac:dyDescent="0.25">
      <c r="A27997" s="2" t="str">
        <f t="shared" si="994"/>
        <v>15540</v>
      </c>
      <c r="B27997" s="2" t="str">
        <f>"05495"</f>
        <v>05495</v>
      </c>
      <c r="C27997" s="1">
        <v>5.4895088334201599E-2</v>
      </c>
      <c r="D27997" s="1">
        <v>0.134255282597491</v>
      </c>
      <c r="E27997" s="1">
        <v>3.4918523445294301E-2</v>
      </c>
      <c r="F27997" s="1">
        <v>6.1418102433838301E-2</v>
      </c>
    </row>
    <row r="27998" spans="1:6" x14ac:dyDescent="0.25">
      <c r="A27998" s="2" t="str">
        <f t="shared" si="994"/>
        <v>15540</v>
      </c>
      <c r="B27998" s="2" t="str">
        <f>"05487"</f>
        <v>05487</v>
      </c>
      <c r="C27998" s="1">
        <v>8.5255529768389106E-5</v>
      </c>
      <c r="D27998" s="1">
        <v>0</v>
      </c>
      <c r="E27998" s="1">
        <v>0</v>
      </c>
      <c r="F27998" s="1">
        <v>7.3039498137492697E-5</v>
      </c>
    </row>
    <row r="27999" spans="1:6" x14ac:dyDescent="0.25">
      <c r="A27999" s="2" t="str">
        <f t="shared" si="994"/>
        <v>15540</v>
      </c>
      <c r="B27999" s="2" t="str">
        <f>"05482"</f>
        <v>05482</v>
      </c>
      <c r="C27999" s="1">
        <v>4.0041680481220102E-2</v>
      </c>
      <c r="D27999" s="1">
        <v>5.41144133310427E-2</v>
      </c>
      <c r="E27999" s="1">
        <v>1.6129032258064498E-2</v>
      </c>
      <c r="F27999" s="1">
        <v>4.0204185974793201E-2</v>
      </c>
    </row>
    <row r="28000" spans="1:6" x14ac:dyDescent="0.25">
      <c r="A28000" s="2" t="str">
        <f t="shared" si="994"/>
        <v>15540</v>
      </c>
      <c r="B28000" s="2" t="str">
        <f>"05462"</f>
        <v>05462</v>
      </c>
      <c r="C28000" s="1">
        <v>7.2277743570312103E-3</v>
      </c>
      <c r="D28000" s="1">
        <v>6.0127125923380804E-4</v>
      </c>
      <c r="E28000" s="1">
        <v>1.6627868307283E-4</v>
      </c>
      <c r="F28000" s="1">
        <v>6.2570503404452103E-3</v>
      </c>
    </row>
    <row r="28001" spans="1:6" x14ac:dyDescent="0.25">
      <c r="A28001" s="2" t="str">
        <f t="shared" si="994"/>
        <v>15540</v>
      </c>
      <c r="B28001" s="2" t="str">
        <f>"05460"</f>
        <v>05460</v>
      </c>
      <c r="C28001" s="1">
        <v>0</v>
      </c>
      <c r="D28001" s="1">
        <v>0</v>
      </c>
      <c r="E28001" s="1">
        <v>1.6627868307283E-4</v>
      </c>
      <c r="F28001" s="1">
        <v>8.1154997930547506E-6</v>
      </c>
    </row>
    <row r="28002" spans="1:6" x14ac:dyDescent="0.25">
      <c r="A28002" s="2" t="str">
        <f t="shared" si="994"/>
        <v>15540</v>
      </c>
      <c r="B28002" s="2" t="str">
        <f>"05459"</f>
        <v>05459</v>
      </c>
      <c r="C28002" s="1">
        <v>6.5552029555250302E-3</v>
      </c>
      <c r="D28002" s="1">
        <v>5.1537536505755004E-4</v>
      </c>
      <c r="E28002" s="1">
        <v>8.3139341536415002E-4</v>
      </c>
      <c r="F28002" s="1">
        <v>5.7051963545174901E-3</v>
      </c>
    </row>
    <row r="28003" spans="1:6" x14ac:dyDescent="0.25">
      <c r="A28003" s="2" t="str">
        <f t="shared" si="994"/>
        <v>15540</v>
      </c>
      <c r="B28003" s="2" t="str">
        <f>"05457"</f>
        <v>05457</v>
      </c>
      <c r="C28003" s="1">
        <v>6.9151707478804503E-3</v>
      </c>
      <c r="D28003" s="1">
        <v>2.5768768252877502E-4</v>
      </c>
      <c r="E28003" s="1">
        <v>8.3139341536415002E-4</v>
      </c>
      <c r="F28003" s="1">
        <v>5.9892388472744E-3</v>
      </c>
    </row>
    <row r="28004" spans="1:6" x14ac:dyDescent="0.25">
      <c r="A28004" s="2" t="str">
        <f t="shared" si="994"/>
        <v>15540</v>
      </c>
      <c r="B28004" s="2" t="str">
        <f>"05450"</f>
        <v>05450</v>
      </c>
      <c r="C28004" s="1">
        <v>1.9845592762752801E-2</v>
      </c>
      <c r="D28004" s="1">
        <v>3.0063562961690402E-3</v>
      </c>
      <c r="E28004" s="1">
        <v>7.1499833721316904E-3</v>
      </c>
      <c r="F28004" s="1">
        <v>1.7634981050307901E-2</v>
      </c>
    </row>
    <row r="28005" spans="1:6" x14ac:dyDescent="0.25">
      <c r="A28005" s="2" t="str">
        <f t="shared" si="994"/>
        <v>15540</v>
      </c>
      <c r="B28005" s="2" t="str">
        <f>"05452"</f>
        <v>05452</v>
      </c>
      <c r="C28005" s="1">
        <v>9.0958177426230205E-2</v>
      </c>
      <c r="D28005" s="1">
        <v>6.7342381034186494E-2</v>
      </c>
      <c r="E28005" s="1">
        <v>8.9291652810109701E-2</v>
      </c>
      <c r="F28005" s="1">
        <v>8.8645604239537004E-2</v>
      </c>
    </row>
    <row r="28006" spans="1:6" x14ac:dyDescent="0.25">
      <c r="A28006" s="2" t="str">
        <f t="shared" si="994"/>
        <v>15540</v>
      </c>
      <c r="B28006" s="2" t="str">
        <f>"05408"</f>
        <v>05408</v>
      </c>
      <c r="C28006" s="1">
        <v>4.28172216170132E-2</v>
      </c>
      <c r="D28006" s="1">
        <v>9.5344442535646706E-3</v>
      </c>
      <c r="E28006" s="1">
        <v>1.21383438643165E-2</v>
      </c>
      <c r="F28006" s="1">
        <v>3.8175311026529497E-2</v>
      </c>
    </row>
    <row r="28007" spans="1:6" x14ac:dyDescent="0.25">
      <c r="A28007" s="2" t="str">
        <f t="shared" si="994"/>
        <v>15540</v>
      </c>
      <c r="B28007" s="2" t="str">
        <f>"05676"</f>
        <v>05676</v>
      </c>
      <c r="C28007" s="1">
        <v>1.8756216549045599E-3</v>
      </c>
      <c r="D28007" s="1">
        <v>2.5768768252877502E-4</v>
      </c>
      <c r="E28007" s="1">
        <v>6.6511473229131999E-4</v>
      </c>
      <c r="F28007" s="1">
        <v>1.6636774575762201E-3</v>
      </c>
    </row>
    <row r="28008" spans="1:6" x14ac:dyDescent="0.25">
      <c r="A28008" s="2" t="str">
        <f t="shared" si="994"/>
        <v>15540</v>
      </c>
      <c r="B28008" s="2" t="str">
        <f>"05481"</f>
        <v>05481</v>
      </c>
      <c r="C28008" s="1">
        <v>5.6837019845592703E-5</v>
      </c>
      <c r="D28008" s="1">
        <v>0</v>
      </c>
      <c r="E28008" s="1">
        <v>0</v>
      </c>
      <c r="F28008" s="1">
        <v>4.8692998758328503E-5</v>
      </c>
    </row>
    <row r="28009" spans="1:6" x14ac:dyDescent="0.25">
      <c r="A28009" s="2" t="str">
        <f t="shared" si="994"/>
        <v>15540</v>
      </c>
      <c r="B28009" s="2" t="str">
        <f>"05473"</f>
        <v>05473</v>
      </c>
      <c r="C28009" s="1">
        <v>9.47283664093212E-6</v>
      </c>
      <c r="D28009" s="1">
        <v>0</v>
      </c>
      <c r="E28009" s="1">
        <v>0</v>
      </c>
      <c r="F28009" s="1">
        <v>8.1154997930547506E-6</v>
      </c>
    </row>
    <row r="28010" spans="1:6" x14ac:dyDescent="0.25">
      <c r="A28010" s="2" t="str">
        <f t="shared" si="994"/>
        <v>15540</v>
      </c>
      <c r="B28010" s="2" t="str">
        <f>"05471"</f>
        <v>05471</v>
      </c>
      <c r="C28010" s="1">
        <v>2.5955572396154001E-3</v>
      </c>
      <c r="D28010" s="1">
        <v>6.0127125923380804E-4</v>
      </c>
      <c r="E28010" s="1">
        <v>1.6627868307283E-4</v>
      </c>
      <c r="F28010" s="1">
        <v>2.2885709416414399E-3</v>
      </c>
    </row>
    <row r="28011" spans="1:6" x14ac:dyDescent="0.25">
      <c r="A28011" s="2" t="str">
        <f t="shared" si="994"/>
        <v>15540</v>
      </c>
      <c r="B28011" s="2" t="str">
        <f>"05463"</f>
        <v>05463</v>
      </c>
      <c r="C28011" s="1">
        <v>3.1734002747122602E-3</v>
      </c>
      <c r="D28011" s="1">
        <v>8.5895894176258301E-4</v>
      </c>
      <c r="E28011" s="1">
        <v>1.6627868307283E-4</v>
      </c>
      <c r="F28011" s="1">
        <v>2.8079629283969398E-3</v>
      </c>
    </row>
    <row r="28012" spans="1:6" x14ac:dyDescent="0.25">
      <c r="A28012" s="2" t="str">
        <f t="shared" si="994"/>
        <v>15540</v>
      </c>
      <c r="B28012" s="2" t="str">
        <f>"05461"</f>
        <v>05461</v>
      </c>
      <c r="C28012" s="1">
        <v>1.8879363425377702E-2</v>
      </c>
      <c r="D28012" s="1">
        <v>6.4421920632193701E-3</v>
      </c>
      <c r="E28012" s="1">
        <v>2.0452278017958E-2</v>
      </c>
      <c r="F28012" s="1">
        <v>1.7781060046582899E-2</v>
      </c>
    </row>
    <row r="28013" spans="1:6" x14ac:dyDescent="0.25">
      <c r="A28013" s="2" t="str">
        <f t="shared" si="994"/>
        <v>15540</v>
      </c>
      <c r="B28013" s="2" t="str">
        <f>"05449"</f>
        <v>05449</v>
      </c>
      <c r="C28013" s="1">
        <v>4.9258750532846999E-4</v>
      </c>
      <c r="D28013" s="1">
        <v>3.4358357670503302E-4</v>
      </c>
      <c r="E28013" s="1">
        <v>1.6627868307283E-4</v>
      </c>
      <c r="F28013" s="1">
        <v>4.6258348820412098E-4</v>
      </c>
    </row>
    <row r="28014" spans="1:6" x14ac:dyDescent="0.25">
      <c r="A28014" s="2" t="str">
        <f t="shared" si="994"/>
        <v>15540</v>
      </c>
      <c r="B28014" s="2" t="str">
        <f>"05446"</f>
        <v>05446</v>
      </c>
      <c r="C28014" s="1">
        <v>7.7478330886183805E-2</v>
      </c>
      <c r="D28014" s="1">
        <v>8.8215083319017298E-2</v>
      </c>
      <c r="E28014" s="1">
        <v>0.11755902893249</v>
      </c>
      <c r="F28014" s="1">
        <v>8.0448949448551701E-2</v>
      </c>
    </row>
    <row r="28015" spans="1:6" x14ac:dyDescent="0.25">
      <c r="A28015" s="2" t="str">
        <f t="shared" si="994"/>
        <v>15540</v>
      </c>
      <c r="B28015" s="2" t="str">
        <f>"05483"</f>
        <v>05483</v>
      </c>
      <c r="C28015" s="1">
        <v>6.4131104059110501E-3</v>
      </c>
      <c r="D28015" s="1">
        <v>6.8716715341006604E-4</v>
      </c>
      <c r="E28015" s="1">
        <v>1.49650814765547E-3</v>
      </c>
      <c r="F28015" s="1">
        <v>5.63215685638E-3</v>
      </c>
    </row>
    <row r="28016" spans="1:6" x14ac:dyDescent="0.25">
      <c r="A28016" s="2" t="str">
        <f t="shared" si="994"/>
        <v>15540</v>
      </c>
      <c r="B28016" s="2" t="str">
        <f>"05474"</f>
        <v>05474</v>
      </c>
      <c r="C28016" s="1">
        <v>7.5782693127457003E-3</v>
      </c>
      <c r="D28016" s="1">
        <v>1.2884384126438701E-3</v>
      </c>
      <c r="E28016" s="1">
        <v>1.6627868307283E-4</v>
      </c>
      <c r="F28016" s="1">
        <v>6.6222478311326804E-3</v>
      </c>
    </row>
    <row r="28017" spans="1:6" x14ac:dyDescent="0.25">
      <c r="A28017" s="2" t="str">
        <f t="shared" si="994"/>
        <v>15540</v>
      </c>
      <c r="B28017" s="2" t="str">
        <f>"05440"</f>
        <v>05440</v>
      </c>
      <c r="C28017" s="1">
        <v>1.7325818216264801E-2</v>
      </c>
      <c r="D28017" s="1">
        <v>3.2640439786978102E-3</v>
      </c>
      <c r="E28017" s="1">
        <v>3.6581310276022601E-3</v>
      </c>
      <c r="F28017" s="1">
        <v>1.53301791090804E-2</v>
      </c>
    </row>
    <row r="28018" spans="1:6" x14ac:dyDescent="0.25">
      <c r="A28018" s="2" t="str">
        <f t="shared" si="994"/>
        <v>15540</v>
      </c>
      <c r="B28018" s="2" t="str">
        <f>"05486"</f>
        <v>05486</v>
      </c>
      <c r="C28018" s="1">
        <v>8.2887320608156095E-3</v>
      </c>
      <c r="D28018" s="1">
        <v>2.40508503693523E-3</v>
      </c>
      <c r="E28018" s="1">
        <v>3.3255736614566001E-3</v>
      </c>
      <c r="F28018" s="1">
        <v>7.4906063089895296E-3</v>
      </c>
    </row>
    <row r="28019" spans="1:6" x14ac:dyDescent="0.25">
      <c r="A28019" s="2" t="str">
        <f t="shared" si="994"/>
        <v>15540</v>
      </c>
      <c r="B28019" s="2" t="str">
        <f>"05470"</f>
        <v>05470</v>
      </c>
      <c r="C28019" s="1">
        <v>0</v>
      </c>
      <c r="D28019" s="1">
        <v>0</v>
      </c>
      <c r="E28019" s="1">
        <v>1.6627868307283E-4</v>
      </c>
      <c r="F28019" s="1">
        <v>8.1154997930547506E-6</v>
      </c>
    </row>
    <row r="28020" spans="1:6" x14ac:dyDescent="0.25">
      <c r="A28020" s="2" t="str">
        <f t="shared" ref="A28020:A28041" si="995">"15540"</f>
        <v>15540</v>
      </c>
      <c r="B28020" s="2" t="str">
        <f>"05476"</f>
        <v>05476</v>
      </c>
      <c r="C28020" s="1">
        <v>1.3820868659119899E-2</v>
      </c>
      <c r="D28020" s="1">
        <v>7.7306304758632503E-3</v>
      </c>
      <c r="E28020" s="1">
        <v>1.16395078150981E-2</v>
      </c>
      <c r="F28020" s="1">
        <v>1.3138994164955601E-2</v>
      </c>
    </row>
    <row r="28021" spans="1:6" x14ac:dyDescent="0.25">
      <c r="A28021" s="2" t="str">
        <f t="shared" si="995"/>
        <v>15540</v>
      </c>
      <c r="B28021" s="2" t="str">
        <f>"05478"</f>
        <v>05478</v>
      </c>
      <c r="C28021" s="1">
        <v>6.8422299057452701E-2</v>
      </c>
      <c r="D28021" s="1">
        <v>6.3391169902078603E-2</v>
      </c>
      <c r="E28021" s="1">
        <v>9.0123046225473805E-2</v>
      </c>
      <c r="F28021" s="1">
        <v>6.9006094740344498E-2</v>
      </c>
    </row>
    <row r="28022" spans="1:6" x14ac:dyDescent="0.25">
      <c r="A28022" s="2" t="str">
        <f t="shared" si="995"/>
        <v>15540</v>
      </c>
      <c r="B28022" s="2" t="str">
        <f>"05466"</f>
        <v>05466</v>
      </c>
      <c r="C28022" s="1">
        <v>0</v>
      </c>
      <c r="D28022" s="1">
        <v>8.5895894176258295E-5</v>
      </c>
      <c r="E28022" s="1">
        <v>0</v>
      </c>
      <c r="F28022" s="1">
        <v>8.1154997930547506E-6</v>
      </c>
    </row>
    <row r="28023" spans="1:6" x14ac:dyDescent="0.25">
      <c r="A28023" s="2" t="str">
        <f t="shared" si="995"/>
        <v>15540</v>
      </c>
      <c r="B28023" s="2" t="str">
        <f>"05451"</f>
        <v>05451</v>
      </c>
      <c r="C28023" s="1">
        <v>4.6132714441339401E-3</v>
      </c>
      <c r="D28023" s="1">
        <v>1.9756055660539399E-2</v>
      </c>
      <c r="E28023" s="1">
        <v>1.6627868307283E-4</v>
      </c>
      <c r="F28023" s="1">
        <v>5.82692885141331E-3</v>
      </c>
    </row>
    <row r="28024" spans="1:6" x14ac:dyDescent="0.25">
      <c r="A28024" s="2" t="str">
        <f t="shared" si="995"/>
        <v>15540</v>
      </c>
      <c r="B28024" s="2" t="str">
        <f>"05444"</f>
        <v>05444</v>
      </c>
      <c r="C28024" s="1">
        <v>3.6944062899635201E-3</v>
      </c>
      <c r="D28024" s="1">
        <v>5.1537536505755004E-4</v>
      </c>
      <c r="E28024" s="1">
        <v>9.9767209843697993E-4</v>
      </c>
      <c r="F28024" s="1">
        <v>3.2624309168080099E-3</v>
      </c>
    </row>
    <row r="28025" spans="1:6" x14ac:dyDescent="0.25">
      <c r="A28025" s="2" t="str">
        <f t="shared" si="995"/>
        <v>15540</v>
      </c>
      <c r="B28025" s="2" t="str">
        <f>"05405"</f>
        <v>05405</v>
      </c>
      <c r="C28025" s="1">
        <v>0</v>
      </c>
      <c r="D28025" s="1">
        <v>1.0822882666208501E-2</v>
      </c>
      <c r="E28025" s="1">
        <v>2.3279015630196199E-3</v>
      </c>
      <c r="F28025" s="1">
        <v>1.13616997102766E-3</v>
      </c>
    </row>
    <row r="28026" spans="1:6" x14ac:dyDescent="0.25">
      <c r="A28026" s="2" t="str">
        <f t="shared" si="995"/>
        <v>15540</v>
      </c>
      <c r="B28026" s="2" t="str">
        <f>"05404"</f>
        <v>05404</v>
      </c>
      <c r="C28026" s="1">
        <v>3.94164732629185E-2</v>
      </c>
      <c r="D28026" s="1">
        <v>3.0493042432571699E-2</v>
      </c>
      <c r="E28026" s="1">
        <v>7.9481210508812697E-2</v>
      </c>
      <c r="F28026" s="1">
        <v>4.0528805966515397E-2</v>
      </c>
    </row>
    <row r="28027" spans="1:6" x14ac:dyDescent="0.25">
      <c r="A28027" s="2" t="str">
        <f t="shared" si="995"/>
        <v>15540</v>
      </c>
      <c r="B28027" s="2" t="str">
        <f>"05489"</f>
        <v>05489</v>
      </c>
      <c r="C28027" s="1">
        <v>1.14621323355278E-2</v>
      </c>
      <c r="D28027" s="1">
        <v>8.5895894176258301E-4</v>
      </c>
      <c r="E28027" s="1">
        <v>8.3139341536415002E-4</v>
      </c>
      <c r="F28027" s="1">
        <v>9.9414872464920704E-3</v>
      </c>
    </row>
    <row r="28028" spans="1:6" x14ac:dyDescent="0.25">
      <c r="A28028" s="2" t="str">
        <f t="shared" si="995"/>
        <v>15540</v>
      </c>
      <c r="B28028" s="2" t="str">
        <f>"05479"</f>
        <v>05479</v>
      </c>
      <c r="C28028" s="1">
        <v>0</v>
      </c>
      <c r="D28028" s="1">
        <v>2.5768768252877502E-4</v>
      </c>
      <c r="E28028" s="1">
        <v>0</v>
      </c>
      <c r="F28028" s="1">
        <v>2.4346499379164201E-5</v>
      </c>
    </row>
    <row r="28029" spans="1:6" x14ac:dyDescent="0.25">
      <c r="A28029" s="2" t="str">
        <f t="shared" si="995"/>
        <v>15540</v>
      </c>
      <c r="B28029" s="2" t="str">
        <f>"05488"</f>
        <v>05488</v>
      </c>
      <c r="C28029" s="1">
        <v>3.4102211907355601E-2</v>
      </c>
      <c r="D28029" s="1">
        <v>1.5976636316784001E-2</v>
      </c>
      <c r="E28029" s="1">
        <v>1.7126704356501401E-2</v>
      </c>
      <c r="F28029" s="1">
        <v>3.1561178695189901E-2</v>
      </c>
    </row>
    <row r="28030" spans="1:6" x14ac:dyDescent="0.25">
      <c r="A28030" s="2" t="str">
        <f t="shared" si="995"/>
        <v>15540</v>
      </c>
      <c r="B28030" s="2" t="str">
        <f>"05458"</f>
        <v>05458</v>
      </c>
      <c r="C28030" s="1">
        <v>1.06853597309714E-2</v>
      </c>
      <c r="D28030" s="1">
        <v>2.0615014602302002E-3</v>
      </c>
      <c r="E28030" s="1">
        <v>3.6581310276022601E-3</v>
      </c>
      <c r="F28030" s="1">
        <v>9.5275967570462809E-3</v>
      </c>
    </row>
    <row r="28031" spans="1:6" x14ac:dyDescent="0.25">
      <c r="A28031" s="2" t="str">
        <f t="shared" si="995"/>
        <v>15540</v>
      </c>
      <c r="B28031" s="2" t="str">
        <f>"05454"</f>
        <v>05454</v>
      </c>
      <c r="C28031" s="1">
        <v>1.8841472078813998E-2</v>
      </c>
      <c r="D28031" s="1">
        <v>4.6383782855179499E-3</v>
      </c>
      <c r="E28031" s="1">
        <v>1.1972065181243699E-2</v>
      </c>
      <c r="F28031" s="1">
        <v>1.7164282062310798E-2</v>
      </c>
    </row>
    <row r="28032" spans="1:6" x14ac:dyDescent="0.25">
      <c r="A28032" s="2" t="str">
        <f t="shared" si="995"/>
        <v>15540</v>
      </c>
      <c r="B28032" s="2" t="str">
        <f>"05403"</f>
        <v>05403</v>
      </c>
      <c r="C28032" s="1">
        <v>9.0531899777388306E-2</v>
      </c>
      <c r="D28032" s="1">
        <v>0.116217144820477</v>
      </c>
      <c r="E28032" s="1">
        <v>7.8816095776521405E-2</v>
      </c>
      <c r="F28032" s="1">
        <v>9.2386849644135294E-2</v>
      </c>
    </row>
    <row r="28033" spans="1:6" x14ac:dyDescent="0.25">
      <c r="A28033" s="2" t="str">
        <f t="shared" si="995"/>
        <v>15540</v>
      </c>
      <c r="B28033" s="2" t="str">
        <f>"05465"</f>
        <v>05465</v>
      </c>
      <c r="C28033" s="1">
        <v>2.1020224506228299E-2</v>
      </c>
      <c r="D28033" s="1">
        <v>4.4665864971654302E-3</v>
      </c>
      <c r="E28033" s="1">
        <v>4.8220818091120696E-3</v>
      </c>
      <c r="F28033" s="1">
        <v>1.8665649524025898E-2</v>
      </c>
    </row>
    <row r="28034" spans="1:6" x14ac:dyDescent="0.25">
      <c r="A28034" s="2" t="str">
        <f t="shared" si="995"/>
        <v>15540</v>
      </c>
      <c r="B28034" s="2" t="str">
        <f>"05468"</f>
        <v>05468</v>
      </c>
      <c r="C28034" s="1">
        <v>5.4070951546440503E-2</v>
      </c>
      <c r="D28034" s="1">
        <v>1.8553513142071799E-2</v>
      </c>
      <c r="E28034" s="1">
        <v>3.2091785833056198E-2</v>
      </c>
      <c r="F28034" s="1">
        <v>4.96425122341159E-2</v>
      </c>
    </row>
    <row r="28035" spans="1:6" x14ac:dyDescent="0.25">
      <c r="A28035" s="2" t="str">
        <f t="shared" si="995"/>
        <v>15540</v>
      </c>
      <c r="B28035" s="2" t="str">
        <f>"05453"</f>
        <v>05453</v>
      </c>
      <c r="C28035" s="1">
        <v>7.1709373371856202E-3</v>
      </c>
      <c r="D28035" s="1">
        <v>2.42226421577048E-2</v>
      </c>
      <c r="E28035" s="1">
        <v>3.3255736614566E-4</v>
      </c>
      <c r="F28035" s="1">
        <v>8.4482352845699996E-3</v>
      </c>
    </row>
    <row r="28036" spans="1:6" x14ac:dyDescent="0.25">
      <c r="A28036" s="2" t="str">
        <f t="shared" si="995"/>
        <v>15540</v>
      </c>
      <c r="B28036" s="2" t="str">
        <f>"05447"</f>
        <v>05447</v>
      </c>
      <c r="C28036" s="1">
        <v>8.9991948088855196E-4</v>
      </c>
      <c r="D28036" s="1">
        <v>4.2947947088129102E-4</v>
      </c>
      <c r="E28036" s="1">
        <v>4.9883604921848997E-4</v>
      </c>
      <c r="F28036" s="1">
        <v>8.3589647868463905E-4</v>
      </c>
    </row>
    <row r="28037" spans="1:6" x14ac:dyDescent="0.25">
      <c r="A28037" s="2" t="str">
        <f t="shared" si="995"/>
        <v>15540</v>
      </c>
      <c r="B28037" s="2" t="str">
        <f>"05445"</f>
        <v>05445</v>
      </c>
      <c r="C28037" s="1">
        <v>1.6463790081939999E-2</v>
      </c>
      <c r="D28037" s="1">
        <v>2.14739735440645E-3</v>
      </c>
      <c r="E28037" s="1">
        <v>2.8267376122381102E-3</v>
      </c>
      <c r="F28037" s="1">
        <v>1.44455896316374E-2</v>
      </c>
    </row>
    <row r="28038" spans="1:6" x14ac:dyDescent="0.25">
      <c r="A28038" s="2" t="str">
        <f t="shared" si="995"/>
        <v>15540</v>
      </c>
      <c r="B28038" s="2" t="str">
        <f>"05407"</f>
        <v>05407</v>
      </c>
      <c r="C28038" s="1">
        <v>3.0407805617392101E-3</v>
      </c>
      <c r="D28038" s="1">
        <v>1.48599896924926E-2</v>
      </c>
      <c r="E28038" s="1">
        <v>3.3255736614566E-4</v>
      </c>
      <c r="F28038" s="1">
        <v>4.02528789735515E-3</v>
      </c>
    </row>
    <row r="28039" spans="1:6" x14ac:dyDescent="0.25">
      <c r="A28039" s="2" t="str">
        <f t="shared" si="995"/>
        <v>15540</v>
      </c>
      <c r="B28039" s="2" t="str">
        <f>"05441"</f>
        <v>05441</v>
      </c>
      <c r="C28039" s="1">
        <v>9.5675650073414405E-4</v>
      </c>
      <c r="D28039" s="1">
        <v>0</v>
      </c>
      <c r="E28039" s="1">
        <v>1.6627868307283E-4</v>
      </c>
      <c r="F28039" s="1">
        <v>8.2778097889158505E-4</v>
      </c>
    </row>
    <row r="28040" spans="1:6" x14ac:dyDescent="0.25">
      <c r="A28040" s="2" t="str">
        <f t="shared" si="995"/>
        <v>15540</v>
      </c>
      <c r="B28040" s="2" t="str">
        <f>"05402"</f>
        <v>05402</v>
      </c>
      <c r="C28040" s="1">
        <v>1.53554681949509E-2</v>
      </c>
      <c r="D28040" s="1">
        <v>7.8766534959628903E-2</v>
      </c>
      <c r="E28040" s="1">
        <v>3.3255736614566E-4</v>
      </c>
      <c r="F28040" s="1">
        <v>2.0613369474358999E-2</v>
      </c>
    </row>
    <row r="28041" spans="1:6" x14ac:dyDescent="0.25">
      <c r="A28041" s="2" t="str">
        <f t="shared" si="995"/>
        <v>15540</v>
      </c>
      <c r="B28041" s="2" t="str">
        <f>"05401"</f>
        <v>05401</v>
      </c>
      <c r="C28041" s="1">
        <v>0.12962629659451499</v>
      </c>
      <c r="D28041" s="1">
        <v>0.17660195842638701</v>
      </c>
      <c r="E28041" s="1">
        <v>0.33837712005320902</v>
      </c>
      <c r="F28041" s="1">
        <v>0.14425300882154801</v>
      </c>
    </row>
    <row r="28042" spans="1:6" x14ac:dyDescent="0.25">
      <c r="A28042" s="2" t="str">
        <f t="shared" ref="A28042:A28073" si="996">"14860"</f>
        <v>14860</v>
      </c>
      <c r="B28042" s="2" t="str">
        <f>"06854"</f>
        <v>06854</v>
      </c>
      <c r="C28042" s="1">
        <v>2.8992118211866001E-2</v>
      </c>
      <c r="D28042" s="1">
        <v>2.6389576117433599E-2</v>
      </c>
      <c r="E28042" s="1">
        <v>5.3559855568928803E-2</v>
      </c>
      <c r="F28042" s="1">
        <v>2.9895469035146699E-2</v>
      </c>
    </row>
    <row r="28043" spans="1:6" x14ac:dyDescent="0.25">
      <c r="A28043" s="2" t="str">
        <f t="shared" si="996"/>
        <v>14860</v>
      </c>
      <c r="B28043" s="2" t="str">
        <f>"06852"</f>
        <v>06852</v>
      </c>
      <c r="C28043" s="1">
        <v>1.9916346359969798E-3</v>
      </c>
      <c r="D28043" s="1">
        <v>7.2335713107608201E-3</v>
      </c>
      <c r="E28043" s="1">
        <v>4.6292009999074102E-5</v>
      </c>
      <c r="F28043" s="1">
        <v>2.37951425236607E-3</v>
      </c>
    </row>
    <row r="28044" spans="1:6" x14ac:dyDescent="0.25">
      <c r="A28044" s="2" t="str">
        <f t="shared" si="996"/>
        <v>14860</v>
      </c>
      <c r="B28044" s="2" t="str">
        <f>"06912"</f>
        <v>06912</v>
      </c>
      <c r="C28044" s="1">
        <v>9.72137056368993E-5</v>
      </c>
      <c r="D28044" s="1">
        <v>1.41372729200537E-3</v>
      </c>
      <c r="E28044" s="1">
        <v>9.2584019998148299E-5</v>
      </c>
      <c r="F28044" s="1">
        <v>2.17101119682903E-4</v>
      </c>
    </row>
    <row r="28045" spans="1:6" x14ac:dyDescent="0.25">
      <c r="A28045" s="2" t="str">
        <f t="shared" si="996"/>
        <v>14860</v>
      </c>
      <c r="B28045" s="2" t="str">
        <f>"06602"</f>
        <v>06602</v>
      </c>
      <c r="C28045" s="1">
        <v>0</v>
      </c>
      <c r="D28045" s="1">
        <v>0</v>
      </c>
      <c r="E28045" s="1">
        <v>4.6292009999074102E-5</v>
      </c>
      <c r="F28045" s="1">
        <v>2.1495160364643901E-6</v>
      </c>
    </row>
    <row r="28046" spans="1:6" x14ac:dyDescent="0.25">
      <c r="A28046" s="2" t="str">
        <f t="shared" si="996"/>
        <v>14860</v>
      </c>
      <c r="B28046" s="2" t="str">
        <f>"06607"</f>
        <v>06607</v>
      </c>
      <c r="C28046" s="1">
        <v>7.8269496333298397E-3</v>
      </c>
      <c r="D28046" s="1">
        <v>1.16868122805777E-2</v>
      </c>
      <c r="E28046" s="1">
        <v>8.6566058698268594E-3</v>
      </c>
      <c r="F28046" s="1">
        <v>8.2175998074033602E-3</v>
      </c>
    </row>
    <row r="28047" spans="1:6" x14ac:dyDescent="0.25">
      <c r="A28047" s="2" t="str">
        <f t="shared" si="996"/>
        <v>14860</v>
      </c>
      <c r="B28047" s="2" t="str">
        <f>"06606"</f>
        <v>06606</v>
      </c>
      <c r="C28047" s="1">
        <v>4.3935609629640701E-2</v>
      </c>
      <c r="D28047" s="1">
        <v>2.5517777620696899E-2</v>
      </c>
      <c r="E28047" s="1">
        <v>7.2354411628552898E-2</v>
      </c>
      <c r="F28047" s="1">
        <v>4.35749890912061E-2</v>
      </c>
    </row>
    <row r="28048" spans="1:6" x14ac:dyDescent="0.25">
      <c r="A28048" s="2" t="str">
        <f t="shared" si="996"/>
        <v>14860</v>
      </c>
      <c r="B28048" s="2" t="str">
        <f>"06876"</f>
        <v>06876</v>
      </c>
      <c r="C28048" s="1">
        <v>0</v>
      </c>
      <c r="D28048" s="1">
        <v>2.35621215334228E-5</v>
      </c>
      <c r="E28048" s="1">
        <v>0</v>
      </c>
      <c r="F28048" s="1">
        <v>2.1495160364643901E-6</v>
      </c>
    </row>
    <row r="28049" spans="1:6" x14ac:dyDescent="0.25">
      <c r="A28049" s="2" t="str">
        <f t="shared" si="996"/>
        <v>14860</v>
      </c>
      <c r="B28049" s="2" t="str">
        <f>"06858"</f>
        <v>06858</v>
      </c>
      <c r="C28049" s="1">
        <v>0</v>
      </c>
      <c r="D28049" s="1">
        <v>2.35621215334228E-5</v>
      </c>
      <c r="E28049" s="1">
        <v>0</v>
      </c>
      <c r="F28049" s="1">
        <v>2.1495160364643901E-6</v>
      </c>
    </row>
    <row r="28050" spans="1:6" x14ac:dyDescent="0.25">
      <c r="A28050" s="2" t="str">
        <f t="shared" si="996"/>
        <v>14860</v>
      </c>
      <c r="B28050" s="2" t="str">
        <f>"06880"</f>
        <v>06880</v>
      </c>
      <c r="C28050" s="1">
        <v>2.8351504818309999E-2</v>
      </c>
      <c r="D28050" s="1">
        <v>4.5639829410240002E-2</v>
      </c>
      <c r="E28050" s="1">
        <v>2.3099712989538002E-2</v>
      </c>
      <c r="F28050" s="1">
        <v>2.96848164635732E-2</v>
      </c>
    </row>
    <row r="28051" spans="1:6" x14ac:dyDescent="0.25">
      <c r="A28051" s="2" t="str">
        <f t="shared" si="996"/>
        <v>14860</v>
      </c>
      <c r="B28051" s="2" t="str">
        <f>"06784"</f>
        <v>06784</v>
      </c>
      <c r="C28051" s="1">
        <v>5.7156673596259E-3</v>
      </c>
      <c r="D28051" s="1">
        <v>3.1102000424118102E-3</v>
      </c>
      <c r="E28051" s="1">
        <v>9.2584019998148302E-4</v>
      </c>
      <c r="F28051" s="1">
        <v>5.2555667091554303E-3</v>
      </c>
    </row>
    <row r="28052" spans="1:6" x14ac:dyDescent="0.25">
      <c r="A28052" s="2" t="str">
        <f t="shared" si="996"/>
        <v>14860</v>
      </c>
      <c r="B28052" s="2" t="str">
        <f>"06468"</f>
        <v>06468</v>
      </c>
      <c r="C28052" s="1">
        <v>1.8964150576552E-2</v>
      </c>
      <c r="D28052" s="1">
        <v>2.1253033623147399E-2</v>
      </c>
      <c r="E28052" s="1">
        <v>7.1289695398574198E-3</v>
      </c>
      <c r="F28052" s="1">
        <v>1.8623406939927398E-2</v>
      </c>
    </row>
    <row r="28053" spans="1:6" x14ac:dyDescent="0.25">
      <c r="A28053" s="2" t="str">
        <f t="shared" si="996"/>
        <v>14860</v>
      </c>
      <c r="B28053" s="2" t="str">
        <f>"06855"</f>
        <v>06855</v>
      </c>
      <c r="C28053" s="1">
        <v>9.1231323751551595E-3</v>
      </c>
      <c r="D28053" s="1">
        <v>8.1760561720977294E-3</v>
      </c>
      <c r="E28053" s="1">
        <v>1.30543468197389E-2</v>
      </c>
      <c r="F28053" s="1">
        <v>9.21927428039576E-3</v>
      </c>
    </row>
    <row r="28054" spans="1:6" x14ac:dyDescent="0.25">
      <c r="A28054" s="2" t="str">
        <f t="shared" si="996"/>
        <v>14860</v>
      </c>
      <c r="B28054" s="2" t="str">
        <f>"06831"</f>
        <v>06831</v>
      </c>
      <c r="C28054" s="1">
        <v>1.6553749208580701E-2</v>
      </c>
      <c r="D28054" s="1">
        <v>1.2982728964916E-2</v>
      </c>
      <c r="E28054" s="1">
        <v>1.16655865197666E-2</v>
      </c>
      <c r="F28054" s="1">
        <v>1.60009973754409E-2</v>
      </c>
    </row>
    <row r="28055" spans="1:6" x14ac:dyDescent="0.25">
      <c r="A28055" s="2" t="str">
        <f t="shared" si="996"/>
        <v>14860</v>
      </c>
      <c r="B28055" s="2" t="str">
        <f>"06820"</f>
        <v>06820</v>
      </c>
      <c r="C28055" s="1">
        <v>2.0325142455468601E-2</v>
      </c>
      <c r="D28055" s="1">
        <v>2.3868429113357299E-2</v>
      </c>
      <c r="E28055" s="1">
        <v>8.1936857698361194E-3</v>
      </c>
      <c r="F28055" s="1">
        <v>2.0085077844723201E-2</v>
      </c>
    </row>
    <row r="28056" spans="1:6" x14ac:dyDescent="0.25">
      <c r="A28056" s="2" t="str">
        <f t="shared" si="996"/>
        <v>14860</v>
      </c>
      <c r="B28056" s="2" t="str">
        <f>"06813"</f>
        <v>06813</v>
      </c>
      <c r="C28056" s="1">
        <v>5.5087766527576196E-3</v>
      </c>
      <c r="D28056" s="1">
        <v>1.2393675926580401E-2</v>
      </c>
      <c r="E28056" s="1">
        <v>1.85168039996296E-4</v>
      </c>
      <c r="F28056" s="1">
        <v>5.8896739399124202E-3</v>
      </c>
    </row>
    <row r="28057" spans="1:6" x14ac:dyDescent="0.25">
      <c r="A28057" s="2" t="str">
        <f t="shared" si="996"/>
        <v>14860</v>
      </c>
      <c r="B28057" s="2" t="str">
        <f>"06911"</f>
        <v>06911</v>
      </c>
      <c r="C28057" s="1">
        <v>1.65263299582728E-3</v>
      </c>
      <c r="D28057" s="1">
        <v>3.48719398694658E-3</v>
      </c>
      <c r="E28057" s="1">
        <v>4.6292009999074102E-5</v>
      </c>
      <c r="F28057" s="1">
        <v>1.74540702160908E-3</v>
      </c>
    </row>
    <row r="28058" spans="1:6" x14ac:dyDescent="0.25">
      <c r="A28058" s="2" t="str">
        <f t="shared" si="996"/>
        <v>14860</v>
      </c>
      <c r="B28058" s="2" t="str">
        <f>"06910"</f>
        <v>06910</v>
      </c>
      <c r="C28058" s="1">
        <v>0</v>
      </c>
      <c r="D28058" s="1">
        <v>6.5973940293583997E-4</v>
      </c>
      <c r="E28058" s="1">
        <v>0</v>
      </c>
      <c r="F28058" s="1">
        <v>6.0186449021002898E-5</v>
      </c>
    </row>
    <row r="28059" spans="1:6" x14ac:dyDescent="0.25">
      <c r="A28059" s="2" t="str">
        <f t="shared" si="996"/>
        <v>14860</v>
      </c>
      <c r="B28059" s="2" t="str">
        <f>"06907"</f>
        <v>06907</v>
      </c>
      <c r="C28059" s="1">
        <v>1.12294293306213E-2</v>
      </c>
      <c r="D28059" s="1">
        <v>1.30769774510496E-2</v>
      </c>
      <c r="E28059" s="1">
        <v>1.38876029997222E-2</v>
      </c>
      <c r="F28059" s="1">
        <v>1.15214059554491E-2</v>
      </c>
    </row>
    <row r="28060" spans="1:6" x14ac:dyDescent="0.25">
      <c r="A28060" s="2" t="str">
        <f t="shared" si="996"/>
        <v>14860</v>
      </c>
      <c r="B28060" s="2" t="str">
        <f>"06881"</f>
        <v>06881</v>
      </c>
      <c r="C28060" s="1">
        <v>1.03943885257915E-3</v>
      </c>
      <c r="D28060" s="1">
        <v>6.1025894771565203E-3</v>
      </c>
      <c r="E28060" s="1">
        <v>9.2584019998148299E-5</v>
      </c>
      <c r="F28060" s="1">
        <v>1.45737187272285E-3</v>
      </c>
    </row>
    <row r="28061" spans="1:6" x14ac:dyDescent="0.25">
      <c r="A28061" s="2" t="str">
        <f t="shared" si="996"/>
        <v>14860</v>
      </c>
      <c r="B28061" s="2" t="str">
        <f>"06888"</f>
        <v>06888</v>
      </c>
      <c r="C28061" s="1">
        <v>0</v>
      </c>
      <c r="D28061" s="1">
        <v>2.35621215334228E-5</v>
      </c>
      <c r="E28061" s="1">
        <v>0</v>
      </c>
      <c r="F28061" s="1">
        <v>2.1495160364643901E-6</v>
      </c>
    </row>
    <row r="28062" spans="1:6" x14ac:dyDescent="0.25">
      <c r="A28062" s="2" t="str">
        <f t="shared" si="996"/>
        <v>14860</v>
      </c>
      <c r="B28062" s="2" t="str">
        <f>"06897"</f>
        <v>06897</v>
      </c>
      <c r="C28062" s="1">
        <v>1.8278669318855901E-2</v>
      </c>
      <c r="D28062" s="1">
        <v>2.4999410946961599E-2</v>
      </c>
      <c r="E28062" s="1">
        <v>9.6287380798074206E-3</v>
      </c>
      <c r="F28062" s="1">
        <v>1.8490136945666601E-2</v>
      </c>
    </row>
    <row r="28063" spans="1:6" x14ac:dyDescent="0.25">
      <c r="A28063" s="2" t="str">
        <f t="shared" si="996"/>
        <v>14860</v>
      </c>
      <c r="B28063" s="2" t="str">
        <f>"06605"</f>
        <v>06605</v>
      </c>
      <c r="C28063" s="1">
        <v>2.57242421069949E-2</v>
      </c>
      <c r="D28063" s="1">
        <v>1.76244669070003E-2</v>
      </c>
      <c r="E28063" s="1">
        <v>2.38866771595222E-2</v>
      </c>
      <c r="F28063" s="1">
        <v>2.4899993766403401E-2</v>
      </c>
    </row>
    <row r="28064" spans="1:6" x14ac:dyDescent="0.25">
      <c r="A28064" s="2" t="str">
        <f t="shared" si="996"/>
        <v>14860</v>
      </c>
      <c r="B28064" s="2" t="str">
        <f>"06856"</f>
        <v>06856</v>
      </c>
      <c r="C28064" s="1">
        <v>2.1112822737039401E-3</v>
      </c>
      <c r="D28064" s="1">
        <v>4.6417379420843003E-3</v>
      </c>
      <c r="E28064" s="1">
        <v>9.2584019998148299E-5</v>
      </c>
      <c r="F28064" s="1">
        <v>2.2483937741417498E-3</v>
      </c>
    </row>
    <row r="28065" spans="1:6" x14ac:dyDescent="0.25">
      <c r="A28065" s="2" t="str">
        <f t="shared" si="996"/>
        <v>14860</v>
      </c>
      <c r="B28065" s="2" t="str">
        <f>"06850"</f>
        <v>06850</v>
      </c>
      <c r="C28065" s="1">
        <v>2.2099915748121701E-2</v>
      </c>
      <c r="D28065" s="1">
        <v>1.58573077919935E-2</v>
      </c>
      <c r="E28065" s="1">
        <v>2.7173409869456499E-2</v>
      </c>
      <c r="F28065" s="1">
        <v>2.1765999385238401E-2</v>
      </c>
    </row>
    <row r="28066" spans="1:6" x14ac:dyDescent="0.25">
      <c r="A28066" s="2" t="str">
        <f t="shared" si="996"/>
        <v>14860</v>
      </c>
      <c r="B28066" s="2" t="str">
        <f>"06830"</f>
        <v>06830</v>
      </c>
      <c r="C28066" s="1">
        <v>2.6698871822482699E-2</v>
      </c>
      <c r="D28066" s="1">
        <v>4.2883061190829602E-2</v>
      </c>
      <c r="E28066" s="1">
        <v>5.7078048328858398E-2</v>
      </c>
      <c r="F28066" s="1">
        <v>2.9585938725895801E-2</v>
      </c>
    </row>
    <row r="28067" spans="1:6" x14ac:dyDescent="0.25">
      <c r="A28067" s="2" t="str">
        <f t="shared" si="996"/>
        <v>14860</v>
      </c>
      <c r="B28067" s="2" t="str">
        <f>"06926"</f>
        <v>06926</v>
      </c>
      <c r="C28067" s="1">
        <v>0</v>
      </c>
      <c r="D28067" s="1">
        <v>9.4248486133691404E-5</v>
      </c>
      <c r="E28067" s="1">
        <v>0</v>
      </c>
      <c r="F28067" s="1">
        <v>8.5980641458575605E-6</v>
      </c>
    </row>
    <row r="28068" spans="1:6" x14ac:dyDescent="0.25">
      <c r="A28068" s="2" t="str">
        <f t="shared" si="996"/>
        <v>14860</v>
      </c>
      <c r="B28068" s="2" t="str">
        <f>"06883"</f>
        <v>06883</v>
      </c>
      <c r="C28068" s="1">
        <v>9.1505516254630093E-3</v>
      </c>
      <c r="D28068" s="1">
        <v>9.8960910440375996E-4</v>
      </c>
      <c r="E28068" s="1">
        <v>3.2404406999351901E-4</v>
      </c>
      <c r="F28068" s="1">
        <v>7.99619965564753E-3</v>
      </c>
    </row>
    <row r="28069" spans="1:6" x14ac:dyDescent="0.25">
      <c r="A28069" s="2" t="str">
        <f t="shared" si="996"/>
        <v>14860</v>
      </c>
      <c r="B28069" s="2" t="str">
        <f>"06903"</f>
        <v>06903</v>
      </c>
      <c r="C28069" s="1">
        <v>1.3049070487414501E-2</v>
      </c>
      <c r="D28069" s="1">
        <v>2.1677151810749E-3</v>
      </c>
      <c r="E28069" s="1">
        <v>1.249884269975E-3</v>
      </c>
      <c r="F28069" s="1">
        <v>1.15085088592303E-2</v>
      </c>
    </row>
    <row r="28070" spans="1:6" x14ac:dyDescent="0.25">
      <c r="A28070" s="2" t="str">
        <f t="shared" si="996"/>
        <v>14860</v>
      </c>
      <c r="B28070" s="2" t="str">
        <f>"06673"</f>
        <v>06673</v>
      </c>
      <c r="C28070" s="1">
        <v>0</v>
      </c>
      <c r="D28070" s="1">
        <v>2.35621215334228E-5</v>
      </c>
      <c r="E28070" s="1">
        <v>0</v>
      </c>
      <c r="F28070" s="1">
        <v>2.1495160364643901E-6</v>
      </c>
    </row>
    <row r="28071" spans="1:6" x14ac:dyDescent="0.25">
      <c r="A28071" s="2" t="str">
        <f t="shared" si="996"/>
        <v>14860</v>
      </c>
      <c r="B28071" s="2" t="str">
        <f>"06601"</f>
        <v>06601</v>
      </c>
      <c r="C28071" s="1">
        <v>3.0983752847863E-3</v>
      </c>
      <c r="D28071" s="1">
        <v>5.1601046158195997E-3</v>
      </c>
      <c r="E28071" s="1">
        <v>9.2584019998148299E-5</v>
      </c>
      <c r="F28071" s="1">
        <v>3.1468914773838601E-3</v>
      </c>
    </row>
    <row r="28072" spans="1:6" x14ac:dyDescent="0.25">
      <c r="A28072" s="2" t="str">
        <f t="shared" si="996"/>
        <v>14860</v>
      </c>
      <c r="B28072" s="2" t="str">
        <f>"06851"</f>
        <v>06851</v>
      </c>
      <c r="C28072" s="1">
        <v>2.84686597968981E-2</v>
      </c>
      <c r="D28072" s="1">
        <v>3.6992530807473903E-2</v>
      </c>
      <c r="E28072" s="1">
        <v>3.2219238959355599E-2</v>
      </c>
      <c r="F28072" s="1">
        <v>2.9420425991088101E-2</v>
      </c>
    </row>
    <row r="28073" spans="1:6" x14ac:dyDescent="0.25">
      <c r="A28073" s="2" t="str">
        <f t="shared" si="996"/>
        <v>14860</v>
      </c>
      <c r="B28073" s="2" t="str">
        <f>"06836"</f>
        <v>06836</v>
      </c>
      <c r="C28073" s="1">
        <v>1.9916346359969798E-3</v>
      </c>
      <c r="D28073" s="1">
        <v>5.5135364388209504E-3</v>
      </c>
      <c r="E28073" s="1">
        <v>4.6292009999074102E-5</v>
      </c>
      <c r="F28073" s="1">
        <v>2.2225995817041701E-3</v>
      </c>
    </row>
    <row r="28074" spans="1:6" x14ac:dyDescent="0.25">
      <c r="A28074" s="2" t="str">
        <f t="shared" ref="A28074:A28105" si="997">"14860"</f>
        <v>14860</v>
      </c>
      <c r="B28074" s="2" t="str">
        <f>"06927"</f>
        <v>06927</v>
      </c>
      <c r="C28074" s="1">
        <v>0</v>
      </c>
      <c r="D28074" s="1">
        <v>2.35621215334228E-5</v>
      </c>
      <c r="E28074" s="1">
        <v>0</v>
      </c>
      <c r="F28074" s="1">
        <v>2.1495160364643901E-6</v>
      </c>
    </row>
    <row r="28075" spans="1:6" x14ac:dyDescent="0.25">
      <c r="A28075" s="2" t="str">
        <f t="shared" si="997"/>
        <v>14860</v>
      </c>
      <c r="B28075" s="2" t="str">
        <f>"06890"</f>
        <v>06890</v>
      </c>
      <c r="C28075" s="1">
        <v>5.8004177696683199E-3</v>
      </c>
      <c r="D28075" s="1">
        <v>1.1757498645177999E-2</v>
      </c>
      <c r="E28075" s="1">
        <v>3.5181927599296299E-3</v>
      </c>
      <c r="F28075" s="1">
        <v>6.2378955378196502E-3</v>
      </c>
    </row>
    <row r="28076" spans="1:6" x14ac:dyDescent="0.25">
      <c r="A28076" s="2" t="str">
        <f t="shared" si="997"/>
        <v>14860</v>
      </c>
      <c r="B28076" s="2" t="str">
        <f>"06491"</f>
        <v>06491</v>
      </c>
      <c r="C28076" s="1">
        <v>0</v>
      </c>
      <c r="D28076" s="1">
        <v>0</v>
      </c>
      <c r="E28076" s="1">
        <v>4.6292009999074102E-5</v>
      </c>
      <c r="F28076" s="1">
        <v>2.1495160364643901E-6</v>
      </c>
    </row>
    <row r="28077" spans="1:6" x14ac:dyDescent="0.25">
      <c r="A28077" s="2" t="str">
        <f t="shared" si="997"/>
        <v>14860</v>
      </c>
      <c r="B28077" s="2" t="str">
        <f>"06482"</f>
        <v>06482</v>
      </c>
      <c r="C28077" s="1">
        <v>1.1867550065058401E-2</v>
      </c>
      <c r="D28077" s="1">
        <v>5.1836667373530302E-3</v>
      </c>
      <c r="E28077" s="1">
        <v>1.75909637996481E-3</v>
      </c>
      <c r="F28077" s="1">
        <v>1.0788420987014701E-2</v>
      </c>
    </row>
    <row r="28078" spans="1:6" x14ac:dyDescent="0.25">
      <c r="A28078" s="2" t="str">
        <f t="shared" si="997"/>
        <v>14860</v>
      </c>
      <c r="B28078" s="2" t="str">
        <f>"06699"</f>
        <v>06699</v>
      </c>
      <c r="C28078" s="1">
        <v>0</v>
      </c>
      <c r="D28078" s="1">
        <v>2.35621215334228E-5</v>
      </c>
      <c r="E28078" s="1">
        <v>0</v>
      </c>
      <c r="F28078" s="1">
        <v>2.1495160364643901E-6</v>
      </c>
    </row>
    <row r="28079" spans="1:6" x14ac:dyDescent="0.25">
      <c r="A28079" s="2" t="str">
        <f t="shared" si="997"/>
        <v>14860</v>
      </c>
      <c r="B28079" s="2" t="str">
        <f>"06604"</f>
        <v>06604</v>
      </c>
      <c r="C28079" s="1">
        <v>3.0966304234030701E-2</v>
      </c>
      <c r="D28079" s="1">
        <v>3.1785301948587398E-2</v>
      </c>
      <c r="E28079" s="1">
        <v>3.5737431719285201E-2</v>
      </c>
      <c r="F28079" s="1">
        <v>3.1262561234338002E-2</v>
      </c>
    </row>
    <row r="28080" spans="1:6" x14ac:dyDescent="0.25">
      <c r="A28080" s="2" t="str">
        <f t="shared" si="997"/>
        <v>14860</v>
      </c>
      <c r="B28080" s="2" t="str">
        <f>"06612"</f>
        <v>06612</v>
      </c>
      <c r="C28080" s="1">
        <v>6.8049593945829498E-3</v>
      </c>
      <c r="D28080" s="1">
        <v>1.1781060766711401E-3</v>
      </c>
      <c r="E28080" s="1">
        <v>7.8696416998425998E-4</v>
      </c>
      <c r="F28080" s="1">
        <v>6.0121963539908896E-3</v>
      </c>
    </row>
    <row r="28081" spans="1:6" x14ac:dyDescent="0.25">
      <c r="A28081" s="2" t="str">
        <f t="shared" si="997"/>
        <v>14860</v>
      </c>
      <c r="B28081" s="2" t="str">
        <f>"06470"</f>
        <v>06470</v>
      </c>
      <c r="C28081" s="1">
        <v>1.8994062485978701E-2</v>
      </c>
      <c r="D28081" s="1">
        <v>1.9862868452675399E-2</v>
      </c>
      <c r="E28081" s="1">
        <v>7.2215535598555598E-3</v>
      </c>
      <c r="F28081" s="1">
        <v>1.8526678718286501E-2</v>
      </c>
    </row>
    <row r="28082" spans="1:6" x14ac:dyDescent="0.25">
      <c r="A28082" s="2" t="str">
        <f t="shared" si="997"/>
        <v>14860</v>
      </c>
      <c r="B28082" s="2" t="str">
        <f>"06418"</f>
        <v>06418</v>
      </c>
      <c r="C28082" s="1">
        <v>2.4926591188948501E-6</v>
      </c>
      <c r="D28082" s="1">
        <v>0</v>
      </c>
      <c r="E28082" s="1">
        <v>0</v>
      </c>
      <c r="F28082" s="1">
        <v>2.1495160364643901E-6</v>
      </c>
    </row>
    <row r="28083" spans="1:6" x14ac:dyDescent="0.25">
      <c r="A28083" s="2" t="str">
        <f t="shared" si="997"/>
        <v>14860</v>
      </c>
      <c r="B28083" s="2" t="str">
        <f>"06870"</f>
        <v>06870</v>
      </c>
      <c r="C28083" s="1">
        <v>8.2706429564931207E-3</v>
      </c>
      <c r="D28083" s="1">
        <v>8.9771683042341108E-3</v>
      </c>
      <c r="E28083" s="1">
        <v>2.7775205999444399E-3</v>
      </c>
      <c r="F28083" s="1">
        <v>8.0800307810696397E-3</v>
      </c>
    </row>
    <row r="28084" spans="1:6" x14ac:dyDescent="0.25">
      <c r="A28084" s="2" t="str">
        <f t="shared" si="997"/>
        <v>14860</v>
      </c>
      <c r="B28084" s="2" t="str">
        <f>"06825"</f>
        <v>06825</v>
      </c>
      <c r="C28084" s="1">
        <v>2.0920887984884499E-2</v>
      </c>
      <c r="D28084" s="1">
        <v>2.0993850286279699E-2</v>
      </c>
      <c r="E28084" s="1">
        <v>8.6103138598277902E-3</v>
      </c>
      <c r="F28084" s="1">
        <v>2.0355916865317701E-2</v>
      </c>
    </row>
    <row r="28085" spans="1:6" x14ac:dyDescent="0.25">
      <c r="A28085" s="2" t="str">
        <f t="shared" si="997"/>
        <v>14860</v>
      </c>
      <c r="B28085" s="2" t="str">
        <f>"06840"</f>
        <v>06840</v>
      </c>
      <c r="C28085" s="1">
        <v>1.9794206063143999E-2</v>
      </c>
      <c r="D28085" s="1">
        <v>2.1818524539949501E-2</v>
      </c>
      <c r="E28085" s="1">
        <v>1.6665123599666602E-2</v>
      </c>
      <c r="F28085" s="1">
        <v>1.98335844684569E-2</v>
      </c>
    </row>
    <row r="28086" spans="1:6" x14ac:dyDescent="0.25">
      <c r="A28086" s="2" t="str">
        <f t="shared" si="997"/>
        <v>14860</v>
      </c>
      <c r="B28086" s="2" t="str">
        <f>"06906"</f>
        <v>06906</v>
      </c>
      <c r="C28086" s="1">
        <v>1.05838306188275E-2</v>
      </c>
      <c r="D28086" s="1">
        <v>1.20638062251125E-2</v>
      </c>
      <c r="E28086" s="1">
        <v>1.7313211739653701E-2</v>
      </c>
      <c r="F28086" s="1">
        <v>1.10313162991352E-2</v>
      </c>
    </row>
    <row r="28087" spans="1:6" x14ac:dyDescent="0.25">
      <c r="A28087" s="2" t="str">
        <f t="shared" si="997"/>
        <v>14860</v>
      </c>
      <c r="B28087" s="2" t="str">
        <f>"06801"</f>
        <v>06801</v>
      </c>
      <c r="C28087" s="1">
        <v>2.1030564986115802E-2</v>
      </c>
      <c r="D28087" s="1">
        <v>2.2525388185952198E-2</v>
      </c>
      <c r="E28087" s="1">
        <v>1.8007591889639799E-2</v>
      </c>
      <c r="F28087" s="1">
        <v>2.1026565868694599E-2</v>
      </c>
    </row>
    <row r="28088" spans="1:6" x14ac:dyDescent="0.25">
      <c r="A28088" s="2" t="str">
        <f t="shared" si="997"/>
        <v>14860</v>
      </c>
      <c r="B28088" s="2" t="str">
        <f>"06811"</f>
        <v>06811</v>
      </c>
      <c r="C28088" s="1">
        <v>2.98171883802202E-2</v>
      </c>
      <c r="D28088" s="1">
        <v>1.6799792653330502E-2</v>
      </c>
      <c r="E28088" s="1">
        <v>3.5228219609295397E-2</v>
      </c>
      <c r="F28088" s="1">
        <v>2.8880897465935501E-2</v>
      </c>
    </row>
    <row r="28089" spans="1:6" x14ac:dyDescent="0.25">
      <c r="A28089" s="2" t="str">
        <f t="shared" si="997"/>
        <v>14860</v>
      </c>
      <c r="B28089" s="2" t="str">
        <f>"06902"</f>
        <v>06902</v>
      </c>
      <c r="C28089" s="1">
        <v>6.8346220380977998E-2</v>
      </c>
      <c r="D28089" s="1">
        <v>5.2590655262599803E-2</v>
      </c>
      <c r="E28089" s="1">
        <v>0.12397000277752</v>
      </c>
      <c r="F28089" s="1">
        <v>6.9491703942857197E-2</v>
      </c>
    </row>
    <row r="28090" spans="1:6" x14ac:dyDescent="0.25">
      <c r="A28090" s="2" t="str">
        <f t="shared" si="997"/>
        <v>14860</v>
      </c>
      <c r="B28090" s="2" t="str">
        <f>"06611"</f>
        <v>06611</v>
      </c>
      <c r="C28090" s="1">
        <v>3.3780516379262999E-2</v>
      </c>
      <c r="D28090" s="1">
        <v>3.0159515562781201E-2</v>
      </c>
      <c r="E28090" s="1">
        <v>9.5824460698083497E-3</v>
      </c>
      <c r="F28090" s="1">
        <v>3.2326571672387901E-2</v>
      </c>
    </row>
    <row r="28091" spans="1:6" x14ac:dyDescent="0.25">
      <c r="A28091" s="2" t="str">
        <f t="shared" si="997"/>
        <v>14860</v>
      </c>
      <c r="B28091" s="2" t="str">
        <f>"06615"</f>
        <v>06615</v>
      </c>
      <c r="C28091" s="1">
        <v>2.1147719964703899E-2</v>
      </c>
      <c r="D28091" s="1">
        <v>3.0536509507316002E-2</v>
      </c>
      <c r="E28091" s="1">
        <v>1.67114156096657E-2</v>
      </c>
      <c r="F28091" s="1">
        <v>2.1798242125785301E-2</v>
      </c>
    </row>
    <row r="28092" spans="1:6" x14ac:dyDescent="0.25">
      <c r="A28092" s="2" t="str">
        <f t="shared" si="997"/>
        <v>14860</v>
      </c>
      <c r="B28092" s="2" t="str">
        <f>"06404"</f>
        <v>06404</v>
      </c>
      <c r="C28092" s="1">
        <v>0</v>
      </c>
      <c r="D28092" s="1">
        <v>0</v>
      </c>
      <c r="E28092" s="1">
        <v>4.6292009999074102E-5</v>
      </c>
      <c r="F28092" s="1">
        <v>2.1495160364643901E-6</v>
      </c>
    </row>
    <row r="28093" spans="1:6" x14ac:dyDescent="0.25">
      <c r="A28093" s="2" t="str">
        <f t="shared" si="997"/>
        <v>14860</v>
      </c>
      <c r="B28093" s="2" t="str">
        <f>"06875"</f>
        <v>06875</v>
      </c>
      <c r="C28093" s="1">
        <v>0</v>
      </c>
      <c r="D28093" s="1">
        <v>2.35621215334228E-5</v>
      </c>
      <c r="E28093" s="1">
        <v>0</v>
      </c>
      <c r="F28093" s="1">
        <v>2.1495160364643901E-6</v>
      </c>
    </row>
    <row r="28094" spans="1:6" x14ac:dyDescent="0.25">
      <c r="A28094" s="2" t="str">
        <f t="shared" si="997"/>
        <v>14860</v>
      </c>
      <c r="B28094" s="2" t="str">
        <f>"06878"</f>
        <v>06878</v>
      </c>
      <c r="C28094" s="1">
        <v>8.5248941866203996E-3</v>
      </c>
      <c r="D28094" s="1">
        <v>7.7283758629627004E-3</v>
      </c>
      <c r="E28094" s="1">
        <v>2.4997685399499999E-3</v>
      </c>
      <c r="F28094" s="1">
        <v>8.1724599706376102E-3</v>
      </c>
    </row>
    <row r="28095" spans="1:6" x14ac:dyDescent="0.25">
      <c r="A28095" s="2" t="str">
        <f t="shared" si="997"/>
        <v>14860</v>
      </c>
      <c r="B28095" s="2" t="str">
        <f>"06853"</f>
        <v>06853</v>
      </c>
      <c r="C28095" s="1">
        <v>3.9035041801893399E-3</v>
      </c>
      <c r="D28095" s="1">
        <v>3.1808864070120798E-3</v>
      </c>
      <c r="E28095" s="1">
        <v>2.2683084899546299E-3</v>
      </c>
      <c r="F28095" s="1">
        <v>3.7616530638126802E-3</v>
      </c>
    </row>
    <row r="28096" spans="1:6" x14ac:dyDescent="0.25">
      <c r="A28096" s="2" t="str">
        <f t="shared" si="997"/>
        <v>14860</v>
      </c>
      <c r="B28096" s="2" t="str">
        <f>"06838"</f>
        <v>06838</v>
      </c>
      <c r="C28096" s="1">
        <v>1.2164176500206801E-3</v>
      </c>
      <c r="D28096" s="1">
        <v>2.12059093800805E-3</v>
      </c>
      <c r="E28096" s="1">
        <v>4.6292009999074102E-5</v>
      </c>
      <c r="F28096" s="1">
        <v>1.2445697851128799E-3</v>
      </c>
    </row>
    <row r="28097" spans="1:6" x14ac:dyDescent="0.25">
      <c r="A28097" s="2" t="str">
        <f t="shared" si="997"/>
        <v>14860</v>
      </c>
      <c r="B28097" s="2" t="str">
        <f>"06829"</f>
        <v>06829</v>
      </c>
      <c r="C28097" s="1">
        <v>1.51553674428807E-3</v>
      </c>
      <c r="D28097" s="1">
        <v>4.3354303621498001E-3</v>
      </c>
      <c r="E28097" s="1">
        <v>4.6292009999074102E-5</v>
      </c>
      <c r="F28097" s="1">
        <v>1.7045662169162599E-3</v>
      </c>
    </row>
    <row r="28098" spans="1:6" x14ac:dyDescent="0.25">
      <c r="A28098" s="2" t="str">
        <f t="shared" si="997"/>
        <v>14860</v>
      </c>
      <c r="B28098" s="2" t="str">
        <f>"06824"</f>
        <v>06824</v>
      </c>
      <c r="C28098" s="1">
        <v>3.1377592988648402E-2</v>
      </c>
      <c r="D28098" s="1">
        <v>3.3953017129662297E-2</v>
      </c>
      <c r="E28098" s="1">
        <v>1.55078233496898E-2</v>
      </c>
      <c r="F28098" s="1">
        <v>3.0875648347774402E-2</v>
      </c>
    </row>
    <row r="28099" spans="1:6" x14ac:dyDescent="0.25">
      <c r="A28099" s="2" t="str">
        <f t="shared" si="997"/>
        <v>14860</v>
      </c>
      <c r="B28099" s="2" t="str">
        <f>"06810"</f>
        <v>06810</v>
      </c>
      <c r="C28099" s="1">
        <v>5.3136014437481602E-2</v>
      </c>
      <c r="D28099" s="1">
        <v>6.2604556914304499E-2</v>
      </c>
      <c r="E28099" s="1">
        <v>0.10262938616794701</v>
      </c>
      <c r="F28099" s="1">
        <v>5.6297974511038802E-2</v>
      </c>
    </row>
    <row r="28100" spans="1:6" x14ac:dyDescent="0.25">
      <c r="A28100" s="2" t="str">
        <f t="shared" si="997"/>
        <v>14860</v>
      </c>
      <c r="B28100" s="2" t="str">
        <f>"06804"</f>
        <v>06804</v>
      </c>
      <c r="C28100" s="1">
        <v>2.0085847180054701E-2</v>
      </c>
      <c r="D28100" s="1">
        <v>2.4928724582361301E-2</v>
      </c>
      <c r="E28100" s="1">
        <v>9.9064901398018702E-3</v>
      </c>
      <c r="F28100" s="1">
        <v>2.0054984620212699E-2</v>
      </c>
    </row>
    <row r="28101" spans="1:6" x14ac:dyDescent="0.25">
      <c r="A28101" s="2" t="str">
        <f t="shared" si="997"/>
        <v>14860</v>
      </c>
      <c r="B28101" s="2" t="str">
        <f>"06610"</f>
        <v>06610</v>
      </c>
      <c r="C28101" s="1">
        <v>2.8496079047205899E-2</v>
      </c>
      <c r="D28101" s="1">
        <v>1.8119271459202099E-2</v>
      </c>
      <c r="E28101" s="1">
        <v>2.48125173595037E-2</v>
      </c>
      <c r="F28101" s="1">
        <v>2.73783857564469E-2</v>
      </c>
    </row>
    <row r="28102" spans="1:6" x14ac:dyDescent="0.25">
      <c r="A28102" s="2" t="str">
        <f t="shared" si="997"/>
        <v>14860</v>
      </c>
      <c r="B28102" s="2" t="str">
        <f>"06877"</f>
        <v>06877</v>
      </c>
      <c r="C28102" s="1">
        <v>2.5719256788757101E-2</v>
      </c>
      <c r="D28102" s="1">
        <v>2.70964397634362E-2</v>
      </c>
      <c r="E28102" s="1">
        <v>1.4396815109712E-2</v>
      </c>
      <c r="F28102" s="1">
        <v>2.5319149393513998E-2</v>
      </c>
    </row>
    <row r="28103" spans="1:6" x14ac:dyDescent="0.25">
      <c r="A28103" s="2" t="str">
        <f t="shared" si="997"/>
        <v>14860</v>
      </c>
      <c r="B28103" s="2" t="str">
        <f>"06828"</f>
        <v>06828</v>
      </c>
      <c r="C28103" s="1">
        <v>0</v>
      </c>
      <c r="D28103" s="1">
        <v>4.7124243066845702E-5</v>
      </c>
      <c r="E28103" s="1">
        <v>0</v>
      </c>
      <c r="F28103" s="1">
        <v>4.2990320729287802E-6</v>
      </c>
    </row>
    <row r="28104" spans="1:6" x14ac:dyDescent="0.25">
      <c r="A28104" s="2" t="str">
        <f t="shared" si="997"/>
        <v>14860</v>
      </c>
      <c r="B28104" s="2" t="str">
        <f>"06812"</f>
        <v>06812</v>
      </c>
      <c r="C28104" s="1">
        <v>1.5938062406213701E-2</v>
      </c>
      <c r="D28104" s="1">
        <v>7.8226243490963892E-3</v>
      </c>
      <c r="E28104" s="1">
        <v>2.5923525599481499E-3</v>
      </c>
      <c r="F28104" s="1">
        <v>1.45780177593014E-2</v>
      </c>
    </row>
    <row r="28105" spans="1:6" x14ac:dyDescent="0.25">
      <c r="A28105" s="2" t="str">
        <f t="shared" si="997"/>
        <v>14860</v>
      </c>
      <c r="B28105" s="2" t="str">
        <f>"06905"</f>
        <v>06905</v>
      </c>
      <c r="C28105" s="1">
        <v>2.4118969634426599E-2</v>
      </c>
      <c r="D28105" s="1">
        <v>2.88400367569095E-2</v>
      </c>
      <c r="E28105" s="1">
        <v>2.2636792889547199E-2</v>
      </c>
      <c r="F28105" s="1">
        <v>2.4480838139292901E-2</v>
      </c>
    </row>
    <row r="28106" spans="1:6" x14ac:dyDescent="0.25">
      <c r="A28106" s="2" t="str">
        <f t="shared" ref="A28106:A28114" si="998">"14860"</f>
        <v>14860</v>
      </c>
      <c r="B28106" s="2" t="str">
        <f>"06904"</f>
        <v>06904</v>
      </c>
      <c r="C28106" s="1">
        <v>2.2882610711454699E-3</v>
      </c>
      <c r="D28106" s="1">
        <v>2.4033363964091302E-3</v>
      </c>
      <c r="E28106" s="1">
        <v>2.3146004999537E-4</v>
      </c>
      <c r="F28106" s="1">
        <v>2.2032539373759898E-3</v>
      </c>
    </row>
    <row r="28107" spans="1:6" x14ac:dyDescent="0.25">
      <c r="A28107" s="2" t="str">
        <f t="shared" si="998"/>
        <v>14860</v>
      </c>
      <c r="B28107" s="2" t="str">
        <f>"06807"</f>
        <v>06807</v>
      </c>
      <c r="C28107" s="1">
        <v>7.7596478371196797E-3</v>
      </c>
      <c r="D28107" s="1">
        <v>9.0007304257675308E-3</v>
      </c>
      <c r="E28107" s="1">
        <v>6.9438014998611198E-3</v>
      </c>
      <c r="F28107" s="1">
        <v>7.8349859529126993E-3</v>
      </c>
    </row>
    <row r="28108" spans="1:6" x14ac:dyDescent="0.25">
      <c r="A28108" s="2" t="str">
        <f t="shared" si="998"/>
        <v>14860</v>
      </c>
      <c r="B28108" s="2" t="str">
        <f>"06901"</f>
        <v>06901</v>
      </c>
      <c r="C28108" s="1">
        <v>1.5456979196266899E-2</v>
      </c>
      <c r="D28108" s="1">
        <v>3.3528898942060702E-2</v>
      </c>
      <c r="E28108" s="1">
        <v>1.6572539579668501E-2</v>
      </c>
      <c r="F28108" s="1">
        <v>1.71574370030587E-2</v>
      </c>
    </row>
    <row r="28109" spans="1:6" x14ac:dyDescent="0.25">
      <c r="A28109" s="2" t="str">
        <f t="shared" si="998"/>
        <v>14860</v>
      </c>
      <c r="B28109" s="2" t="str">
        <f>"06896"</f>
        <v>06896</v>
      </c>
      <c r="C28109" s="1">
        <v>9.9806071120549893E-3</v>
      </c>
      <c r="D28109" s="1">
        <v>3.2515727716123499E-3</v>
      </c>
      <c r="E28109" s="1">
        <v>1.73595037496528E-2</v>
      </c>
      <c r="F28109" s="1">
        <v>9.7093639367096408E-3</v>
      </c>
    </row>
    <row r="28110" spans="1:6" x14ac:dyDescent="0.25">
      <c r="A28110" s="2" t="str">
        <f t="shared" si="998"/>
        <v>14860</v>
      </c>
      <c r="B28110" s="2" t="str">
        <f>"06776"</f>
        <v>06776</v>
      </c>
      <c r="C28110" s="1">
        <v>1.49559547133691E-5</v>
      </c>
      <c r="D28110" s="1">
        <v>0</v>
      </c>
      <c r="E28110" s="1">
        <v>0</v>
      </c>
      <c r="F28110" s="1">
        <v>1.2897096218786299E-5</v>
      </c>
    </row>
    <row r="28111" spans="1:6" x14ac:dyDescent="0.25">
      <c r="A28111" s="2" t="str">
        <f t="shared" si="998"/>
        <v>14860</v>
      </c>
      <c r="B28111" s="2" t="str">
        <f>"06484"</f>
        <v>06484</v>
      </c>
      <c r="C28111" s="1">
        <v>4.39680141981863E-2</v>
      </c>
      <c r="D28111" s="1">
        <v>3.7181027779741201E-2</v>
      </c>
      <c r="E28111" s="1">
        <v>1.7313211739653701E-2</v>
      </c>
      <c r="F28111" s="1">
        <v>4.2111168670373803E-2</v>
      </c>
    </row>
    <row r="28112" spans="1:6" x14ac:dyDescent="0.25">
      <c r="A28112" s="2" t="str">
        <f t="shared" si="998"/>
        <v>14860</v>
      </c>
      <c r="B28112" s="2" t="str">
        <f>"06614"</f>
        <v>06614</v>
      </c>
      <c r="C28112" s="1">
        <v>3.3895178698732202E-2</v>
      </c>
      <c r="D28112" s="1">
        <v>1.5786621427393299E-2</v>
      </c>
      <c r="E28112" s="1">
        <v>6.1244329228775103E-2</v>
      </c>
      <c r="F28112" s="1">
        <v>3.35131045245163E-2</v>
      </c>
    </row>
    <row r="28113" spans="1:6" x14ac:dyDescent="0.25">
      <c r="A28113" s="2" t="str">
        <f t="shared" si="998"/>
        <v>14860</v>
      </c>
      <c r="B28113" s="2" t="str">
        <f>"06608"</f>
        <v>06608</v>
      </c>
      <c r="C28113" s="1">
        <v>1.24981928221388E-2</v>
      </c>
      <c r="D28113" s="1">
        <v>1.1757498645177999E-2</v>
      </c>
      <c r="E28113" s="1">
        <v>1.9859272289602801E-2</v>
      </c>
      <c r="F28113" s="1">
        <v>1.27724242886714E-2</v>
      </c>
    </row>
    <row r="28114" spans="1:6" x14ac:dyDescent="0.25">
      <c r="A28114" s="2" t="str">
        <f t="shared" si="998"/>
        <v>14860</v>
      </c>
      <c r="B28114" s="2" t="str">
        <f>"06440"</f>
        <v>06440</v>
      </c>
      <c r="C28114" s="1">
        <v>0</v>
      </c>
      <c r="D28114" s="1">
        <v>0</v>
      </c>
      <c r="E28114" s="1">
        <v>3.2404406999351901E-4</v>
      </c>
      <c r="F28114" s="1">
        <v>1.5046612255250701E-5</v>
      </c>
    </row>
    <row r="28115" spans="1:6" x14ac:dyDescent="0.25">
      <c r="A28115" s="2" t="str">
        <f t="shared" ref="A28115:A28149" si="999">"45940"</f>
        <v>45940</v>
      </c>
      <c r="B28115" s="2" t="str">
        <f>"08628"</f>
        <v>08628</v>
      </c>
      <c r="C28115" s="1">
        <v>3.2188301858118898E-2</v>
      </c>
      <c r="D28115" s="1">
        <v>4.4352529430480403E-2</v>
      </c>
      <c r="E28115" s="1">
        <v>1.7955017955017898E-2</v>
      </c>
      <c r="F28115" s="1">
        <v>3.2791408328257603E-2</v>
      </c>
    </row>
    <row r="28116" spans="1:6" x14ac:dyDescent="0.25">
      <c r="A28116" s="2" t="str">
        <f t="shared" si="999"/>
        <v>45940</v>
      </c>
      <c r="B28116" s="2" t="str">
        <f>"08602"</f>
        <v>08602</v>
      </c>
      <c r="C28116" s="1">
        <v>5.37738109850543E-4</v>
      </c>
      <c r="D28116" s="1">
        <v>1.7817371937639099E-3</v>
      </c>
      <c r="E28116" s="1">
        <v>3.7800037800037799E-4</v>
      </c>
      <c r="F28116" s="1">
        <v>6.3510903572748599E-4</v>
      </c>
    </row>
    <row r="28117" spans="1:6" x14ac:dyDescent="0.25">
      <c r="A28117" s="2" t="str">
        <f t="shared" si="999"/>
        <v>45940</v>
      </c>
      <c r="B28117" s="2" t="str">
        <f>"08501"</f>
        <v>08501</v>
      </c>
      <c r="C28117" s="1">
        <v>8.1829712368560999E-4</v>
      </c>
      <c r="D28117" s="1">
        <v>1.2726694241170801E-4</v>
      </c>
      <c r="E28117" s="1">
        <v>0</v>
      </c>
      <c r="F28117" s="1">
        <v>7.3922527109264696E-4</v>
      </c>
    </row>
    <row r="28118" spans="1:6" x14ac:dyDescent="0.25">
      <c r="A28118" s="2" t="str">
        <f t="shared" si="999"/>
        <v>45940</v>
      </c>
      <c r="B28118" s="2" t="str">
        <f>"08690"</f>
        <v>08690</v>
      </c>
      <c r="C28118" s="1">
        <v>4.7946366468521802E-2</v>
      </c>
      <c r="D28118" s="1">
        <v>3.6016544702513503E-2</v>
      </c>
      <c r="E28118" s="1">
        <v>2.4570024570024499E-2</v>
      </c>
      <c r="F28118" s="1">
        <v>4.6326518925728602E-2</v>
      </c>
    </row>
    <row r="28119" spans="1:6" x14ac:dyDescent="0.25">
      <c r="A28119" s="2" t="str">
        <f t="shared" si="999"/>
        <v>45940</v>
      </c>
      <c r="B28119" s="2" t="str">
        <f>"08606"</f>
        <v>08606</v>
      </c>
      <c r="C28119" s="1">
        <v>9.4104169223845101E-4</v>
      </c>
      <c r="D28119" s="1">
        <v>1.20903595291123E-3</v>
      </c>
      <c r="E28119" s="1">
        <v>3.7800037800037799E-4</v>
      </c>
      <c r="F28119" s="1">
        <v>9.4745774182297096E-4</v>
      </c>
    </row>
    <row r="28120" spans="1:6" x14ac:dyDescent="0.25">
      <c r="A28120" s="2" t="str">
        <f t="shared" si="999"/>
        <v>45940</v>
      </c>
      <c r="B28120" s="2" t="str">
        <f>"08605"</f>
        <v>08605</v>
      </c>
      <c r="C28120" s="1">
        <v>8.0076218532091801E-4</v>
      </c>
      <c r="D28120" s="1">
        <v>9.5450206808781401E-4</v>
      </c>
      <c r="E28120" s="1">
        <v>3.7800037800037799E-4</v>
      </c>
      <c r="F28120" s="1">
        <v>8.0169501231174402E-4</v>
      </c>
    </row>
    <row r="28121" spans="1:6" x14ac:dyDescent="0.25">
      <c r="A28121" s="2" t="str">
        <f t="shared" si="999"/>
        <v>45940</v>
      </c>
      <c r="B28121" s="2" t="str">
        <f>"08542"</f>
        <v>08542</v>
      </c>
      <c r="C28121" s="1">
        <v>1.39928808150239E-2</v>
      </c>
      <c r="D28121" s="1">
        <v>6.0451797645561502E-2</v>
      </c>
      <c r="E28121" s="1">
        <v>4.2714042714042701E-2</v>
      </c>
      <c r="F28121" s="1">
        <v>1.8584748012681299E-2</v>
      </c>
    </row>
    <row r="28122" spans="1:6" x14ac:dyDescent="0.25">
      <c r="A28122" s="2" t="str">
        <f t="shared" si="999"/>
        <v>45940</v>
      </c>
      <c r="B28122" s="2" t="str">
        <f>"08611"</f>
        <v>08611</v>
      </c>
      <c r="C28122" s="1">
        <v>5.9174572001379398E-2</v>
      </c>
      <c r="D28122" s="1">
        <v>5.0143175310213103E-2</v>
      </c>
      <c r="E28122" s="1">
        <v>6.12360612360612E-2</v>
      </c>
      <c r="F28122" s="1">
        <v>5.8492501028147799E-2</v>
      </c>
    </row>
    <row r="28123" spans="1:6" x14ac:dyDescent="0.25">
      <c r="A28123" s="2" t="str">
        <f t="shared" si="999"/>
        <v>45940</v>
      </c>
      <c r="B28123" s="2" t="str">
        <f>"08619"</f>
        <v>08619</v>
      </c>
      <c r="C28123" s="1">
        <v>5.9782449864688697E-2</v>
      </c>
      <c r="D28123" s="1">
        <v>8.1005408845052404E-2</v>
      </c>
      <c r="E28123" s="1">
        <v>7.4466074466074395E-2</v>
      </c>
      <c r="F28123" s="1">
        <v>6.19231309834299E-2</v>
      </c>
    </row>
    <row r="28124" spans="1:6" x14ac:dyDescent="0.25">
      <c r="A28124" s="2" t="str">
        <f t="shared" si="999"/>
        <v>45940</v>
      </c>
      <c r="B28124" s="2" t="str">
        <f>"08607"</f>
        <v>08607</v>
      </c>
      <c r="C28124" s="1">
        <v>9.9773799295095403E-3</v>
      </c>
      <c r="D28124" s="1">
        <v>9.5450206808781399E-3</v>
      </c>
      <c r="E28124" s="1">
        <v>3.7800037800037799E-4</v>
      </c>
      <c r="F28124" s="1">
        <v>9.6776040771917697E-3</v>
      </c>
    </row>
    <row r="28125" spans="1:6" x14ac:dyDescent="0.25">
      <c r="A28125" s="2" t="str">
        <f t="shared" si="999"/>
        <v>45940</v>
      </c>
      <c r="B28125" s="2" t="str">
        <f>"08560"</f>
        <v>08560</v>
      </c>
      <c r="C28125" s="1">
        <v>8.1069865039424295E-3</v>
      </c>
      <c r="D28125" s="1">
        <v>1.7817371937639099E-3</v>
      </c>
      <c r="E28125" s="1">
        <v>1.13400113400113E-3</v>
      </c>
      <c r="F28125" s="1">
        <v>7.3974585226947304E-3</v>
      </c>
    </row>
    <row r="28126" spans="1:6" x14ac:dyDescent="0.25">
      <c r="A28126" s="2" t="str">
        <f t="shared" si="999"/>
        <v>45940</v>
      </c>
      <c r="B28126" s="2" t="str">
        <f>"08620"</f>
        <v>08620</v>
      </c>
      <c r="C28126" s="1">
        <v>2.3999485641807899E-2</v>
      </c>
      <c r="D28126" s="1">
        <v>8.46325167037861E-3</v>
      </c>
      <c r="E28126" s="1">
        <v>1.15290115290115E-2</v>
      </c>
      <c r="F28126" s="1">
        <v>2.2384990603509701E-2</v>
      </c>
    </row>
    <row r="28127" spans="1:6" x14ac:dyDescent="0.25">
      <c r="A28127" s="2" t="str">
        <f t="shared" si="999"/>
        <v>45940</v>
      </c>
      <c r="B28127" s="2" t="str">
        <f>"08618"</f>
        <v>08618</v>
      </c>
      <c r="C28127" s="1">
        <v>9.3513826298900496E-2</v>
      </c>
      <c r="D28127" s="1">
        <v>5.0779510022271698E-2</v>
      </c>
      <c r="E28127" s="1">
        <v>0.17293517293517199</v>
      </c>
      <c r="F28127" s="1">
        <v>9.2205338039387102E-2</v>
      </c>
    </row>
    <row r="28128" spans="1:6" x14ac:dyDescent="0.25">
      <c r="A28128" s="2" t="str">
        <f t="shared" si="999"/>
        <v>45940</v>
      </c>
      <c r="B28128" s="2" t="str">
        <f>"08604"</f>
        <v>08604</v>
      </c>
      <c r="C28128" s="1">
        <v>9.5857663060314299E-4</v>
      </c>
      <c r="D28128" s="1">
        <v>1.65447025135221E-3</v>
      </c>
      <c r="E28128" s="1">
        <v>3.7800037800037799E-4</v>
      </c>
      <c r="F28128" s="1">
        <v>9.9951585950555102E-4</v>
      </c>
    </row>
    <row r="28129" spans="1:6" x14ac:dyDescent="0.25">
      <c r="A28129" s="2" t="str">
        <f t="shared" si="999"/>
        <v>45940</v>
      </c>
      <c r="B28129" s="2" t="str">
        <f>"08601"</f>
        <v>08601</v>
      </c>
      <c r="C28129" s="1">
        <v>6.7217263731317897E-4</v>
      </c>
      <c r="D28129" s="1">
        <v>1.84537066496977E-3</v>
      </c>
      <c r="E28129" s="1">
        <v>3.7800037800037799E-4</v>
      </c>
      <c r="F28129" s="1">
        <v>7.6004851816568E-4</v>
      </c>
    </row>
    <row r="28130" spans="1:6" x14ac:dyDescent="0.25">
      <c r="A28130" s="2" t="str">
        <f t="shared" si="999"/>
        <v>45940</v>
      </c>
      <c r="B28130" s="2" t="str">
        <f>"08610"</f>
        <v>08610</v>
      </c>
      <c r="C28130" s="1">
        <v>7.5376855050354394E-2</v>
      </c>
      <c r="D28130" s="1">
        <v>4.80432707604199E-2</v>
      </c>
      <c r="E28130" s="1">
        <v>6.9552069552069495E-2</v>
      </c>
      <c r="F28130" s="1">
        <v>7.2980275179210005E-2</v>
      </c>
    </row>
    <row r="28131" spans="1:6" x14ac:dyDescent="0.25">
      <c r="A28131" s="2" t="str">
        <f t="shared" si="999"/>
        <v>45940</v>
      </c>
      <c r="B28131" s="2" t="str">
        <f>"08608"</f>
        <v>08608</v>
      </c>
      <c r="C28131" s="1">
        <v>5.2546365299525897E-3</v>
      </c>
      <c r="D28131" s="1">
        <v>3.7671014953865697E-2</v>
      </c>
      <c r="E28131" s="1">
        <v>2.98620298620298E-2</v>
      </c>
      <c r="F28131" s="1">
        <v>8.58438360585757E-3</v>
      </c>
    </row>
    <row r="28132" spans="1:6" x14ac:dyDescent="0.25">
      <c r="A28132" s="2" t="str">
        <f t="shared" si="999"/>
        <v>45940</v>
      </c>
      <c r="B28132" s="2" t="str">
        <f>"08638"</f>
        <v>08638</v>
      </c>
      <c r="C28132" s="1">
        <v>6.6849030025659395E-2</v>
      </c>
      <c r="D28132" s="1">
        <v>7.4705695195672897E-2</v>
      </c>
      <c r="E28132" s="1">
        <v>4.97070497070497E-2</v>
      </c>
      <c r="F28132" s="1">
        <v>6.70196207045545E-2</v>
      </c>
    </row>
    <row r="28133" spans="1:6" x14ac:dyDescent="0.25">
      <c r="A28133" s="2" t="str">
        <f t="shared" si="999"/>
        <v>45940</v>
      </c>
      <c r="B28133" s="2" t="str">
        <f>"08543"</f>
        <v>08543</v>
      </c>
      <c r="C28133" s="1">
        <v>9.8371004225920097E-3</v>
      </c>
      <c r="D28133" s="1">
        <v>3.0734966592427599E-2</v>
      </c>
      <c r="E28133" s="1">
        <v>3.7800037800037799E-4</v>
      </c>
      <c r="F28133" s="1">
        <v>1.1286199913583501E-2</v>
      </c>
    </row>
    <row r="28134" spans="1:6" x14ac:dyDescent="0.25">
      <c r="A28134" s="2" t="str">
        <f t="shared" si="999"/>
        <v>45940</v>
      </c>
      <c r="B28134" s="2" t="str">
        <f>"08525"</f>
        <v>08525</v>
      </c>
      <c r="C28134" s="1">
        <v>1.2964164430962001E-2</v>
      </c>
      <c r="D28134" s="1">
        <v>1.7690104995227399E-2</v>
      </c>
      <c r="E28134" s="1">
        <v>1.0962010962010899E-2</v>
      </c>
      <c r="F28134" s="1">
        <v>1.32956432561311E-2</v>
      </c>
    </row>
    <row r="28135" spans="1:6" x14ac:dyDescent="0.25">
      <c r="A28135" s="2" t="str">
        <f t="shared" si="999"/>
        <v>45940</v>
      </c>
      <c r="B28135" s="2" t="str">
        <f>"08512"</f>
        <v>08512</v>
      </c>
      <c r="C28135" s="1">
        <v>1.5851584281681201E-2</v>
      </c>
      <c r="D28135" s="1">
        <v>3.4998409163219798E-3</v>
      </c>
      <c r="E28135" s="1">
        <v>5.2920052920052904E-3</v>
      </c>
      <c r="F28135" s="1">
        <v>1.45502438922813E-2</v>
      </c>
    </row>
    <row r="28136" spans="1:6" x14ac:dyDescent="0.25">
      <c r="A28136" s="2" t="str">
        <f t="shared" si="999"/>
        <v>45940</v>
      </c>
      <c r="B28136" s="2" t="str">
        <f>"08650"</f>
        <v>08650</v>
      </c>
      <c r="C28136" s="1">
        <v>7.8907222641112391E-3</v>
      </c>
      <c r="D28136" s="1">
        <v>2.2971683105313299E-2</v>
      </c>
      <c r="E28136" s="1">
        <v>3.7800037800037799E-4</v>
      </c>
      <c r="F28136" s="1">
        <v>8.9175555590260899E-3</v>
      </c>
    </row>
    <row r="28137" spans="1:6" x14ac:dyDescent="0.25">
      <c r="A28137" s="2" t="str">
        <f t="shared" si="999"/>
        <v>45940</v>
      </c>
      <c r="B28137" s="2" t="str">
        <f>"08603"</f>
        <v>08603</v>
      </c>
      <c r="C28137" s="1">
        <v>8.2998708259540395E-4</v>
      </c>
      <c r="D28137" s="1">
        <v>1.14540248170537E-3</v>
      </c>
      <c r="E28137" s="1">
        <v>3.7800037800037799E-4</v>
      </c>
      <c r="F28137" s="1">
        <v>8.4334150645780901E-4</v>
      </c>
    </row>
    <row r="28138" spans="1:6" x14ac:dyDescent="0.25">
      <c r="A28138" s="2" t="str">
        <f t="shared" si="999"/>
        <v>45940</v>
      </c>
      <c r="B28138" s="2" t="str">
        <f>"08561"</f>
        <v>08561</v>
      </c>
      <c r="C28138" s="1">
        <v>5.20203171485852E-4</v>
      </c>
      <c r="D28138" s="1">
        <v>8.9086859688195896E-4</v>
      </c>
      <c r="E28138" s="1">
        <v>3.7800037800037799E-4</v>
      </c>
      <c r="F28138" s="1">
        <v>5.4661023566709803E-4</v>
      </c>
    </row>
    <row r="28139" spans="1:6" x14ac:dyDescent="0.25">
      <c r="A28139" s="2" t="str">
        <f t="shared" si="999"/>
        <v>45940</v>
      </c>
      <c r="B28139" s="2" t="str">
        <f>"08558"</f>
        <v>08558</v>
      </c>
      <c r="C28139" s="1">
        <v>1.40279506917533E-4</v>
      </c>
      <c r="D28139" s="1">
        <v>0</v>
      </c>
      <c r="E28139" s="1">
        <v>0</v>
      </c>
      <c r="F28139" s="1">
        <v>1.2493948243819301E-4</v>
      </c>
    </row>
    <row r="28140" spans="1:6" x14ac:dyDescent="0.25">
      <c r="A28140" s="2" t="str">
        <f t="shared" si="999"/>
        <v>45940</v>
      </c>
      <c r="B28140" s="2" t="str">
        <f>"08550"</f>
        <v>08550</v>
      </c>
      <c r="C28140" s="1">
        <v>4.6005833289495902E-2</v>
      </c>
      <c r="D28140" s="1">
        <v>4.0407254215717399E-2</v>
      </c>
      <c r="E28140" s="1">
        <v>1.83330183330183E-2</v>
      </c>
      <c r="F28140" s="1">
        <v>4.4785598642324197E-2</v>
      </c>
    </row>
    <row r="28141" spans="1:6" x14ac:dyDescent="0.25">
      <c r="A28141" s="2" t="str">
        <f t="shared" si="999"/>
        <v>45940</v>
      </c>
      <c r="B28141" s="2" t="str">
        <f>"08540"</f>
        <v>08540</v>
      </c>
      <c r="C28141" s="1">
        <v>8.3589051184484994E-2</v>
      </c>
      <c r="D28141" s="1">
        <v>8.5459751829462194E-2</v>
      </c>
      <c r="E28141" s="1">
        <v>0.114534114534114</v>
      </c>
      <c r="F28141" s="1">
        <v>8.4594441234193796E-2</v>
      </c>
    </row>
    <row r="28142" spans="1:6" x14ac:dyDescent="0.25">
      <c r="A28142" s="2" t="str">
        <f t="shared" si="999"/>
        <v>45940</v>
      </c>
      <c r="B28142" s="2" t="str">
        <f>"08530"</f>
        <v>08530</v>
      </c>
      <c r="C28142" s="1">
        <v>1.28589548007738E-3</v>
      </c>
      <c r="D28142" s="1">
        <v>2.5453388482341699E-4</v>
      </c>
      <c r="E28142" s="1">
        <v>1.8900018900018899E-4</v>
      </c>
      <c r="F28142" s="1">
        <v>1.1713076478580601E-3</v>
      </c>
    </row>
    <row r="28143" spans="1:6" x14ac:dyDescent="0.25">
      <c r="A28143" s="2" t="str">
        <f t="shared" si="999"/>
        <v>45940</v>
      </c>
      <c r="B28143" s="2" t="str">
        <f>"08691"</f>
        <v>08691</v>
      </c>
      <c r="C28143" s="1">
        <v>3.8746368806513602E-2</v>
      </c>
      <c r="D28143" s="1">
        <v>4.4479796372892101E-2</v>
      </c>
      <c r="E28143" s="1">
        <v>3.45870345870345E-2</v>
      </c>
      <c r="F28143" s="1">
        <v>3.9100852191386398E-2</v>
      </c>
    </row>
    <row r="28144" spans="1:6" x14ac:dyDescent="0.25">
      <c r="A28144" s="2" t="str">
        <f t="shared" si="999"/>
        <v>45940</v>
      </c>
      <c r="B28144" s="2" t="str">
        <f>"08648"</f>
        <v>08648</v>
      </c>
      <c r="C28144" s="1">
        <v>7.7381683003384202E-2</v>
      </c>
      <c r="D28144" s="1">
        <v>8.6223353483932494E-2</v>
      </c>
      <c r="E28144" s="1">
        <v>6.5583065583065495E-2</v>
      </c>
      <c r="F28144" s="1">
        <v>7.7780033629543999E-2</v>
      </c>
    </row>
    <row r="28145" spans="1:6" x14ac:dyDescent="0.25">
      <c r="A28145" s="2" t="str">
        <f t="shared" si="999"/>
        <v>45940</v>
      </c>
      <c r="B28145" s="2" t="str">
        <f>"08629"</f>
        <v>08629</v>
      </c>
      <c r="C28145" s="1">
        <v>2.8576104554992401E-2</v>
      </c>
      <c r="D28145" s="1">
        <v>1.5844734330257699E-2</v>
      </c>
      <c r="E28145" s="1">
        <v>1.54980154980154E-2</v>
      </c>
      <c r="F28145" s="1">
        <v>2.7174337430307099E-2</v>
      </c>
    </row>
    <row r="28146" spans="1:6" x14ac:dyDescent="0.25">
      <c r="A28146" s="2" t="str">
        <f t="shared" si="999"/>
        <v>45940</v>
      </c>
      <c r="B28146" s="2" t="str">
        <f>"08609"</f>
        <v>08609</v>
      </c>
      <c r="C28146" s="1">
        <v>3.4047005324776197E-2</v>
      </c>
      <c r="D28146" s="1">
        <v>2.6789691377664598E-2</v>
      </c>
      <c r="E28146" s="1">
        <v>4.4415044415044402E-2</v>
      </c>
      <c r="F28146" s="1">
        <v>3.37388660700806E-2</v>
      </c>
    </row>
    <row r="28147" spans="1:6" x14ac:dyDescent="0.25">
      <c r="A28147" s="2" t="str">
        <f t="shared" si="999"/>
        <v>45940</v>
      </c>
      <c r="B28147" s="2" t="str">
        <f>"08520"</f>
        <v>08520</v>
      </c>
      <c r="C28147" s="1">
        <v>6.9730604896923704E-2</v>
      </c>
      <c r="D28147" s="1">
        <v>5.8606426980591701E-2</v>
      </c>
      <c r="E28147" s="1">
        <v>0.10829710829710799</v>
      </c>
      <c r="F28147" s="1">
        <v>6.9882817177096504E-2</v>
      </c>
    </row>
    <row r="28148" spans="1:6" x14ac:dyDescent="0.25">
      <c r="A28148" s="2" t="str">
        <f t="shared" si="999"/>
        <v>45940</v>
      </c>
      <c r="B28148" s="2" t="str">
        <f>"08544"</f>
        <v>08544</v>
      </c>
      <c r="C28148" s="1">
        <v>3.6817525586397497E-2</v>
      </c>
      <c r="D28148" s="1">
        <v>3.4362074451161299E-3</v>
      </c>
      <c r="E28148" s="1">
        <v>0</v>
      </c>
      <c r="F28148" s="1">
        <v>3.3072522163743602E-2</v>
      </c>
    </row>
    <row r="28149" spans="1:6" x14ac:dyDescent="0.25">
      <c r="A28149" s="2" t="str">
        <f t="shared" si="999"/>
        <v>45940</v>
      </c>
      <c r="B28149" s="2" t="str">
        <f>"08534"</f>
        <v>08534</v>
      </c>
      <c r="C28149" s="1">
        <v>3.4894527345736302E-2</v>
      </c>
      <c r="D28149" s="1">
        <v>5.1034043907095102E-2</v>
      </c>
      <c r="E28149" s="1">
        <v>2.2869022869022801E-2</v>
      </c>
      <c r="F28149" s="1">
        <v>3.5883660518602901E-2</v>
      </c>
    </row>
    <row r="28150" spans="1:6" x14ac:dyDescent="0.25">
      <c r="A28150" s="2" t="str">
        <f t="shared" ref="A28150:A28155" si="1000">"44900"</f>
        <v>44900</v>
      </c>
      <c r="B28150" s="2" t="str">
        <f>"30730"</f>
        <v>30730</v>
      </c>
      <c r="C28150" s="1">
        <v>8.1112885601412096E-2</v>
      </c>
      <c r="D28150" s="1">
        <v>4.5883940620782701E-2</v>
      </c>
      <c r="E28150" s="1">
        <v>0.118811881188118</v>
      </c>
      <c r="F28150" s="1">
        <v>7.9362587330245704E-2</v>
      </c>
    </row>
    <row r="28151" spans="1:6" x14ac:dyDescent="0.25">
      <c r="A28151" s="2" t="str">
        <f t="shared" si="1000"/>
        <v>44900</v>
      </c>
      <c r="B28151" s="2" t="str">
        <f>"30753"</f>
        <v>30753</v>
      </c>
      <c r="C28151" s="1">
        <v>0.20795158443305001</v>
      </c>
      <c r="D28151" s="1">
        <v>0.20512820512820501</v>
      </c>
      <c r="E28151" s="1">
        <v>0.21782178217821699</v>
      </c>
      <c r="F28151" s="1">
        <v>0.20786560954548999</v>
      </c>
    </row>
    <row r="28152" spans="1:6" x14ac:dyDescent="0.25">
      <c r="A28152" s="2" t="str">
        <f t="shared" si="1000"/>
        <v>44900</v>
      </c>
      <c r="B28152" s="2" t="str">
        <f>"30165"</f>
        <v>30165</v>
      </c>
      <c r="C28152" s="1">
        <v>1.9332604858367599E-3</v>
      </c>
      <c r="D28152" s="1">
        <v>0</v>
      </c>
      <c r="E28152" s="1">
        <v>0</v>
      </c>
      <c r="F28152" s="1">
        <v>1.80547923698877E-3</v>
      </c>
    </row>
    <row r="28153" spans="1:6" x14ac:dyDescent="0.25">
      <c r="A28153" s="2" t="str">
        <f t="shared" si="1000"/>
        <v>44900</v>
      </c>
      <c r="B28153" s="2" t="str">
        <f>"30731"</f>
        <v>30731</v>
      </c>
      <c r="C28153" s="1">
        <v>8.5735899806673899E-2</v>
      </c>
      <c r="D28153" s="1">
        <v>5.6680161943319797E-2</v>
      </c>
      <c r="E28153" s="1">
        <v>0</v>
      </c>
      <c r="F28153" s="1">
        <v>8.3366041290525106E-2</v>
      </c>
    </row>
    <row r="28154" spans="1:6" x14ac:dyDescent="0.25">
      <c r="A28154" s="2" t="str">
        <f t="shared" si="1000"/>
        <v>44900</v>
      </c>
      <c r="B28154" s="2" t="str">
        <f>"30747"</f>
        <v>30747</v>
      </c>
      <c r="C28154" s="1">
        <v>0.616626040178196</v>
      </c>
      <c r="D28154" s="1">
        <v>0.68960863697705799</v>
      </c>
      <c r="E28154" s="1">
        <v>0.66336633663366296</v>
      </c>
      <c r="F28154" s="1">
        <v>0.62124185571865898</v>
      </c>
    </row>
    <row r="28155" spans="1:6" x14ac:dyDescent="0.25">
      <c r="A28155" s="2" t="str">
        <f t="shared" si="1000"/>
        <v>44900</v>
      </c>
      <c r="B28155" s="2" t="str">
        <f>"30105"</f>
        <v>30105</v>
      </c>
      <c r="C28155" s="1">
        <v>6.6403294948306204E-3</v>
      </c>
      <c r="D28155" s="1">
        <v>2.6990553306342701E-3</v>
      </c>
      <c r="E28155" s="1">
        <v>0</v>
      </c>
      <c r="F28155" s="1">
        <v>6.3584268780908998E-3</v>
      </c>
    </row>
    <row r="28156" spans="1:6" x14ac:dyDescent="0.25">
      <c r="A28156" s="2" t="str">
        <f>"45740"</f>
        <v>45740</v>
      </c>
      <c r="B28156" s="2" t="str">
        <f>"30538"</f>
        <v>30538</v>
      </c>
      <c r="C28156" s="1">
        <v>9.8703323177212393E-2</v>
      </c>
      <c r="D28156" s="1">
        <v>0.124474348191757</v>
      </c>
      <c r="E28156" s="1">
        <v>2.33644859813084E-2</v>
      </c>
      <c r="F28156" s="1">
        <v>9.9639082237690094E-2</v>
      </c>
    </row>
    <row r="28157" spans="1:6" x14ac:dyDescent="0.25">
      <c r="A28157" s="2" t="str">
        <f>"45740"</f>
        <v>45740</v>
      </c>
      <c r="B28157" s="2" t="str">
        <f>"30598"</f>
        <v>30598</v>
      </c>
      <c r="C28157" s="1">
        <v>0</v>
      </c>
      <c r="D28157" s="1">
        <v>1.6820857863751001E-3</v>
      </c>
      <c r="E28157" s="1">
        <v>4.6728971962616802E-3</v>
      </c>
      <c r="F28157" s="1">
        <v>1.9334880123743201E-4</v>
      </c>
    </row>
    <row r="28158" spans="1:6" x14ac:dyDescent="0.25">
      <c r="A28158" s="2" t="str">
        <f>"45740"</f>
        <v>45740</v>
      </c>
      <c r="B28158" s="2" t="str">
        <f>"30577"</f>
        <v>30577</v>
      </c>
      <c r="C28158" s="1">
        <v>0.74945086090838198</v>
      </c>
      <c r="D28158" s="1">
        <v>0.85954583683767805</v>
      </c>
      <c r="E28158" s="1">
        <v>0.95327102803738295</v>
      </c>
      <c r="F28158" s="1">
        <v>0.76069863366847101</v>
      </c>
    </row>
    <row r="28159" spans="1:6" x14ac:dyDescent="0.25">
      <c r="A28159" s="2" t="str">
        <f>"45740"</f>
        <v>45740</v>
      </c>
      <c r="B28159" s="2" t="str">
        <f>"30557"</f>
        <v>30557</v>
      </c>
      <c r="C28159" s="1">
        <v>0.15184581591440499</v>
      </c>
      <c r="D28159" s="1">
        <v>1.42977291841883E-2</v>
      </c>
      <c r="E28159" s="1">
        <v>1.86915887850467E-2</v>
      </c>
      <c r="F28159" s="1">
        <v>0.13946893529260099</v>
      </c>
    </row>
    <row r="28160" spans="1:6" x14ac:dyDescent="0.25">
      <c r="A28160" s="2" t="str">
        <f t="shared" ref="A28160:A28170" si="1001">"33300"</f>
        <v>33300</v>
      </c>
      <c r="B28160" s="2" t="str">
        <f>"31087"</f>
        <v>31087</v>
      </c>
      <c r="C28160" s="1">
        <v>0.16891593296393201</v>
      </c>
      <c r="D28160" s="1">
        <v>0.10407597942223901</v>
      </c>
      <c r="E28160" s="1">
        <v>4.1747572815533901E-2</v>
      </c>
      <c r="F28160" s="1">
        <v>0.15997452538363499</v>
      </c>
    </row>
    <row r="28161" spans="1:6" x14ac:dyDescent="0.25">
      <c r="A28161" s="2" t="str">
        <f t="shared" si="1001"/>
        <v>33300</v>
      </c>
      <c r="B28161" s="2" t="str">
        <f>"31059"</f>
        <v>31059</v>
      </c>
      <c r="C28161" s="1">
        <v>4.3410272971411E-2</v>
      </c>
      <c r="D28161" s="1">
        <v>0.14760585674713</v>
      </c>
      <c r="E28161" s="1">
        <v>1.94174757281553E-3</v>
      </c>
      <c r="F28161" s="1">
        <v>5.0100078850002998E-2</v>
      </c>
    </row>
    <row r="28162" spans="1:6" x14ac:dyDescent="0.25">
      <c r="A28162" s="2" t="str">
        <f t="shared" si="1001"/>
        <v>33300</v>
      </c>
      <c r="B28162" s="2" t="str">
        <f>"31031"</f>
        <v>31031</v>
      </c>
      <c r="C28162" s="1">
        <v>2.67532379236495E-2</v>
      </c>
      <c r="D28162" s="1">
        <v>8.7059754649782307E-3</v>
      </c>
      <c r="E28162" s="1">
        <v>1.35922330097087E-2</v>
      </c>
      <c r="F28162" s="1">
        <v>2.4959058652271399E-2</v>
      </c>
    </row>
    <row r="28163" spans="1:6" x14ac:dyDescent="0.25">
      <c r="A28163" s="2" t="str">
        <f t="shared" si="1001"/>
        <v>33300</v>
      </c>
      <c r="B28163" s="2" t="str">
        <f>"31033"</f>
        <v>31033</v>
      </c>
      <c r="C28163" s="1">
        <v>6.1529047829486302E-3</v>
      </c>
      <c r="D28163" s="1">
        <v>1.1871784724970301E-3</v>
      </c>
      <c r="E28163" s="1">
        <v>0</v>
      </c>
      <c r="F28163" s="1">
        <v>5.58015406077515E-3</v>
      </c>
    </row>
    <row r="28164" spans="1:6" x14ac:dyDescent="0.25">
      <c r="A28164" s="2" t="str">
        <f t="shared" si="1001"/>
        <v>33300</v>
      </c>
      <c r="B28164" s="2" t="str">
        <f>"30820"</f>
        <v>30820</v>
      </c>
      <c r="C28164" s="1">
        <v>1.08780637046605E-3</v>
      </c>
      <c r="D28164" s="1">
        <v>3.9572615749900998E-4</v>
      </c>
      <c r="E28164" s="1">
        <v>0</v>
      </c>
      <c r="F28164" s="1">
        <v>1.00078850003032E-3</v>
      </c>
    </row>
    <row r="28165" spans="1:6" x14ac:dyDescent="0.25">
      <c r="A28165" s="2" t="str">
        <f t="shared" si="1001"/>
        <v>33300</v>
      </c>
      <c r="B28165" s="2" t="str">
        <f>"30678"</f>
        <v>30678</v>
      </c>
      <c r="C28165" s="1">
        <v>1.59771560662202E-3</v>
      </c>
      <c r="D28165" s="1">
        <v>1.1871784724970301E-3</v>
      </c>
      <c r="E28165" s="1">
        <v>0</v>
      </c>
      <c r="F28165" s="1">
        <v>1.5163462121671599E-3</v>
      </c>
    </row>
    <row r="28166" spans="1:6" x14ac:dyDescent="0.25">
      <c r="A28166" s="2" t="str">
        <f t="shared" si="1001"/>
        <v>33300</v>
      </c>
      <c r="B28166" s="2" t="str">
        <f>"31082"</f>
        <v>31082</v>
      </c>
      <c r="C28166" s="1">
        <v>1.9036611483155899E-3</v>
      </c>
      <c r="D28166" s="1">
        <v>3.9572615749900998E-4</v>
      </c>
      <c r="E28166" s="1">
        <v>0</v>
      </c>
      <c r="F28166" s="1">
        <v>1.72863468187056E-3</v>
      </c>
    </row>
    <row r="28167" spans="1:6" x14ac:dyDescent="0.25">
      <c r="A28167" s="2" t="str">
        <f t="shared" si="1001"/>
        <v>33300</v>
      </c>
      <c r="B28167" s="2" t="str">
        <f>"31062"</f>
        <v>31062</v>
      </c>
      <c r="C28167" s="1">
        <v>0</v>
      </c>
      <c r="D28167" s="1">
        <v>0</v>
      </c>
      <c r="E28167" s="1">
        <v>9.7087378640776597E-4</v>
      </c>
      <c r="F28167" s="1">
        <v>3.0326924243343199E-5</v>
      </c>
    </row>
    <row r="28168" spans="1:6" x14ac:dyDescent="0.25">
      <c r="A28168" s="2" t="str">
        <f t="shared" si="1001"/>
        <v>33300</v>
      </c>
      <c r="B28168" s="2" t="str">
        <f>"31045"</f>
        <v>31045</v>
      </c>
      <c r="C28168" s="1">
        <v>1.1218003195431201E-3</v>
      </c>
      <c r="D28168" s="1">
        <v>1.1871784724970301E-3</v>
      </c>
      <c r="E28168" s="1">
        <v>0</v>
      </c>
      <c r="F28168" s="1">
        <v>1.0917692727603499E-3</v>
      </c>
    </row>
    <row r="28169" spans="1:6" x14ac:dyDescent="0.25">
      <c r="A28169" s="2" t="str">
        <f t="shared" si="1001"/>
        <v>33300</v>
      </c>
      <c r="B28169" s="2" t="str">
        <f>"31034"</f>
        <v>31034</v>
      </c>
      <c r="C28169" s="1">
        <v>0</v>
      </c>
      <c r="D28169" s="1">
        <v>3.9572615749900998E-4</v>
      </c>
      <c r="E28169" s="1">
        <v>0</v>
      </c>
      <c r="F28169" s="1">
        <v>3.0326924243343199E-5</v>
      </c>
    </row>
    <row r="28170" spans="1:6" x14ac:dyDescent="0.25">
      <c r="A28170" s="2" t="str">
        <f t="shared" si="1001"/>
        <v>33300</v>
      </c>
      <c r="B28170" s="2" t="str">
        <f>"31061"</f>
        <v>31061</v>
      </c>
      <c r="C28170" s="1">
        <v>0.74905666791311099</v>
      </c>
      <c r="D28170" s="1">
        <v>0.73486347447566203</v>
      </c>
      <c r="E28170" s="1">
        <v>0.94174757281553301</v>
      </c>
      <c r="F28170" s="1">
        <v>0.75398799053799903</v>
      </c>
    </row>
    <row r="28171" spans="1:6" x14ac:dyDescent="0.25">
      <c r="A28171" s="2" t="str">
        <f t="shared" ref="A28171:A28178" si="1002">"18380"</f>
        <v>18380</v>
      </c>
      <c r="B28171" s="2" t="str">
        <f>"31714"</f>
        <v>31714</v>
      </c>
      <c r="C28171" s="1">
        <v>8.0153895479320202E-5</v>
      </c>
      <c r="D28171" s="1">
        <v>0</v>
      </c>
      <c r="E28171" s="1">
        <v>0</v>
      </c>
      <c r="F28171" s="1">
        <v>6.6225165562913894E-5</v>
      </c>
    </row>
    <row r="28172" spans="1:6" x14ac:dyDescent="0.25">
      <c r="A28172" s="2" t="str">
        <f t="shared" si="1002"/>
        <v>18380</v>
      </c>
      <c r="B28172" s="2" t="str">
        <f>"31712"</f>
        <v>31712</v>
      </c>
      <c r="C28172" s="1">
        <v>4.5447258736774597E-2</v>
      </c>
      <c r="D28172" s="1">
        <v>2.4567280848687801E-2</v>
      </c>
      <c r="E28172" s="1">
        <v>1.20048019207683E-3</v>
      </c>
      <c r="F28172" s="1">
        <v>4.0529801324503303E-2</v>
      </c>
    </row>
    <row r="28173" spans="1:6" x14ac:dyDescent="0.25">
      <c r="A28173" s="2" t="str">
        <f t="shared" si="1002"/>
        <v>18380</v>
      </c>
      <c r="B28173" s="2" t="str">
        <f>"31079"</f>
        <v>31079</v>
      </c>
      <c r="C28173" s="1">
        <v>8.0153895479320202E-5</v>
      </c>
      <c r="D28173" s="1">
        <v>0</v>
      </c>
      <c r="E28173" s="1">
        <v>0</v>
      </c>
      <c r="F28173" s="1">
        <v>6.6225165562913894E-5</v>
      </c>
    </row>
    <row r="28174" spans="1:6" x14ac:dyDescent="0.25">
      <c r="A28174" s="2" t="str">
        <f t="shared" si="1002"/>
        <v>18380</v>
      </c>
      <c r="B28174" s="2" t="str">
        <f>"31010"</f>
        <v>31010</v>
      </c>
      <c r="C28174" s="1">
        <v>0.11053222186598199</v>
      </c>
      <c r="D28174" s="1">
        <v>0.18202121719709599</v>
      </c>
      <c r="E28174" s="1">
        <v>2.40096038415366E-3</v>
      </c>
      <c r="F28174" s="1">
        <v>0.113046357615894</v>
      </c>
    </row>
    <row r="28175" spans="1:6" x14ac:dyDescent="0.25">
      <c r="A28175" s="2" t="str">
        <f t="shared" si="1002"/>
        <v>18380</v>
      </c>
      <c r="B28175" s="2" t="str">
        <f>"31072"</f>
        <v>31072</v>
      </c>
      <c r="C28175" s="1">
        <v>3.4466175056107702E-3</v>
      </c>
      <c r="D28175" s="1">
        <v>0</v>
      </c>
      <c r="E28175" s="1">
        <v>0</v>
      </c>
      <c r="F28175" s="1">
        <v>2.84768211920529E-3</v>
      </c>
    </row>
    <row r="28176" spans="1:6" x14ac:dyDescent="0.25">
      <c r="A28176" s="2" t="str">
        <f t="shared" si="1002"/>
        <v>18380</v>
      </c>
      <c r="B28176" s="2" t="str">
        <f>"31015"</f>
        <v>31015</v>
      </c>
      <c r="C28176" s="1">
        <v>0.83047451106123704</v>
      </c>
      <c r="D28176" s="1">
        <v>0.79285315466219897</v>
      </c>
      <c r="E28176" s="1">
        <v>0.99639855942376898</v>
      </c>
      <c r="F28176" s="1">
        <v>0.83516556291390698</v>
      </c>
    </row>
    <row r="28177" spans="1:6" x14ac:dyDescent="0.25">
      <c r="A28177" s="2" t="str">
        <f t="shared" si="1002"/>
        <v>18380</v>
      </c>
      <c r="B28177" s="2" t="str">
        <f>"31796"</f>
        <v>31796</v>
      </c>
      <c r="C28177" s="1">
        <v>5.6107726835524199E-4</v>
      </c>
      <c r="D28177" s="1">
        <v>0</v>
      </c>
      <c r="E28177" s="1">
        <v>0</v>
      </c>
      <c r="F28177" s="1">
        <v>4.6357615894039703E-4</v>
      </c>
    </row>
    <row r="28178" spans="1:6" x14ac:dyDescent="0.25">
      <c r="A28178" s="2" t="str">
        <f t="shared" si="1002"/>
        <v>18380</v>
      </c>
      <c r="B28178" s="2" t="str">
        <f>"31092"</f>
        <v>31092</v>
      </c>
      <c r="C28178" s="1">
        <v>9.3780057710804703E-3</v>
      </c>
      <c r="D28178" s="1">
        <v>5.5834729201563297E-4</v>
      </c>
      <c r="E28178" s="1">
        <v>0</v>
      </c>
      <c r="F28178" s="1">
        <v>7.8145695364238398E-3</v>
      </c>
    </row>
    <row r="28179" spans="1:6" x14ac:dyDescent="0.25">
      <c r="A28179" s="2" t="str">
        <f t="shared" ref="A28179:A28194" si="1003">"42680"</f>
        <v>42680</v>
      </c>
      <c r="B28179" s="2" t="str">
        <f>"32969"</f>
        <v>32969</v>
      </c>
      <c r="C28179" s="1">
        <v>6.4139239362823296E-3</v>
      </c>
      <c r="D28179" s="1">
        <v>1.5858399836300299E-2</v>
      </c>
      <c r="E28179" s="1">
        <v>4.0866366979975399E-4</v>
      </c>
      <c r="F28179" s="1">
        <v>6.9644341397261398E-3</v>
      </c>
    </row>
    <row r="28180" spans="1:6" x14ac:dyDescent="0.25">
      <c r="A28180" s="2" t="str">
        <f t="shared" si="1003"/>
        <v>42680</v>
      </c>
      <c r="B28180" s="2" t="str">
        <f>"32960"</f>
        <v>32960</v>
      </c>
      <c r="C28180" s="1">
        <v>0.129703795155931</v>
      </c>
      <c r="D28180" s="1">
        <v>0.33292408430529902</v>
      </c>
      <c r="E28180" s="1">
        <v>0.31160604822231303</v>
      </c>
      <c r="F28180" s="1">
        <v>0.15487116671770401</v>
      </c>
    </row>
    <row r="28181" spans="1:6" x14ac:dyDescent="0.25">
      <c r="A28181" s="2" t="str">
        <f t="shared" si="1003"/>
        <v>42680</v>
      </c>
      <c r="B28181" s="2" t="str">
        <f>"32963"</f>
        <v>32963</v>
      </c>
      <c r="C28181" s="1">
        <v>0.127806719062101</v>
      </c>
      <c r="D28181" s="1">
        <v>9.28995293636177E-2</v>
      </c>
      <c r="E28181" s="1">
        <v>0.147118921127911</v>
      </c>
      <c r="F28181" s="1">
        <v>0.12564854105603901</v>
      </c>
    </row>
    <row r="28182" spans="1:6" x14ac:dyDescent="0.25">
      <c r="A28182" s="2" t="str">
        <f t="shared" si="1003"/>
        <v>42680</v>
      </c>
      <c r="B28182" s="2" t="str">
        <f>"32962"</f>
        <v>32962</v>
      </c>
      <c r="C28182" s="1">
        <v>0.14091561524486301</v>
      </c>
      <c r="D28182" s="1">
        <v>8.4919173316963303E-2</v>
      </c>
      <c r="E28182" s="1">
        <v>0.14221495709031401</v>
      </c>
      <c r="F28182" s="1">
        <v>0.13618268515683099</v>
      </c>
    </row>
    <row r="28183" spans="1:6" x14ac:dyDescent="0.25">
      <c r="A28183" s="2" t="str">
        <f t="shared" si="1003"/>
        <v>42680</v>
      </c>
      <c r="B28183" s="2" t="str">
        <f>"32961"</f>
        <v>32961</v>
      </c>
      <c r="C28183" s="1">
        <v>2.5183936081584299E-2</v>
      </c>
      <c r="D28183" s="1">
        <v>7.35625127890321E-2</v>
      </c>
      <c r="E28183" s="1">
        <v>4.0866366979975399E-4</v>
      </c>
      <c r="F28183" s="1">
        <v>2.82602038584365E-2</v>
      </c>
    </row>
    <row r="28184" spans="1:6" x14ac:dyDescent="0.25">
      <c r="A28184" s="2" t="str">
        <f t="shared" si="1003"/>
        <v>42680</v>
      </c>
      <c r="B28184" s="2" t="str">
        <f>"32948"</f>
        <v>32948</v>
      </c>
      <c r="C28184" s="1">
        <v>3.29228020516526E-2</v>
      </c>
      <c r="D28184" s="1">
        <v>1.8723143032535201E-2</v>
      </c>
      <c r="E28184" s="1">
        <v>1.8389865140988899E-2</v>
      </c>
      <c r="F28184" s="1">
        <v>3.1086224244280099E-2</v>
      </c>
    </row>
    <row r="28185" spans="1:6" x14ac:dyDescent="0.25">
      <c r="A28185" s="2" t="str">
        <f t="shared" si="1003"/>
        <v>42680</v>
      </c>
      <c r="B28185" s="2" t="str">
        <f>"32958"</f>
        <v>32958</v>
      </c>
      <c r="C28185" s="1">
        <v>0.15056159474841099</v>
      </c>
      <c r="D28185" s="1">
        <v>0.11418047882136199</v>
      </c>
      <c r="E28185" s="1">
        <v>0.158970167552104</v>
      </c>
      <c r="F28185" s="1">
        <v>0.14781049039765501</v>
      </c>
    </row>
    <row r="28186" spans="1:6" x14ac:dyDescent="0.25">
      <c r="A28186" s="2" t="str">
        <f t="shared" si="1003"/>
        <v>42680</v>
      </c>
      <c r="B28186" s="2" t="str">
        <f>"32968"</f>
        <v>32968</v>
      </c>
      <c r="C28186" s="1">
        <v>6.78832043522338E-2</v>
      </c>
      <c r="D28186" s="1">
        <v>2.8647431962349E-2</v>
      </c>
      <c r="E28186" s="1">
        <v>8.9906007355946005E-3</v>
      </c>
      <c r="F28186" s="1">
        <v>6.2006211995275298E-2</v>
      </c>
    </row>
    <row r="28187" spans="1:6" x14ac:dyDescent="0.25">
      <c r="A28187" s="2" t="str">
        <f t="shared" si="1003"/>
        <v>42680</v>
      </c>
      <c r="B28187" s="2" t="str">
        <f>"32965"</f>
        <v>32965</v>
      </c>
      <c r="C28187" s="1">
        <v>8.6221606592590296E-3</v>
      </c>
      <c r="D28187" s="1">
        <v>2.98751790464497E-2</v>
      </c>
      <c r="E28187" s="1">
        <v>4.0866366979975399E-4</v>
      </c>
      <c r="F28187" s="1">
        <v>1.00879303556586E-2</v>
      </c>
    </row>
    <row r="28188" spans="1:6" x14ac:dyDescent="0.25">
      <c r="A28188" s="2" t="str">
        <f t="shared" si="1003"/>
        <v>42680</v>
      </c>
      <c r="B28188" s="2" t="str">
        <f>"32971"</f>
        <v>32971</v>
      </c>
      <c r="C28188" s="1">
        <v>5.6209662039406901E-4</v>
      </c>
      <c r="D28188" s="1">
        <v>1.1254348270922801E-3</v>
      </c>
      <c r="E28188" s="1">
        <v>4.0866366979975399E-4</v>
      </c>
      <c r="F28188" s="1">
        <v>6.0370094929786903E-4</v>
      </c>
    </row>
    <row r="28189" spans="1:6" x14ac:dyDescent="0.25">
      <c r="A28189" s="2" t="str">
        <f t="shared" si="1003"/>
        <v>42680</v>
      </c>
      <c r="B28189" s="2" t="str">
        <f>"32967"</f>
        <v>32967</v>
      </c>
      <c r="C28189" s="1">
        <v>0.13426079275698299</v>
      </c>
      <c r="D28189" s="1">
        <v>6.4354409658277004E-2</v>
      </c>
      <c r="E28189" s="1">
        <v>9.8283612586840999E-2</v>
      </c>
      <c r="F28189" s="1">
        <v>0.12674220219607099</v>
      </c>
    </row>
    <row r="28190" spans="1:6" x14ac:dyDescent="0.25">
      <c r="A28190" s="2" t="str">
        <f t="shared" si="1003"/>
        <v>42680</v>
      </c>
      <c r="B28190" s="2" t="str">
        <f>"32957"</f>
        <v>32957</v>
      </c>
      <c r="C28190" s="1">
        <v>1.00775894084936E-2</v>
      </c>
      <c r="D28190" s="1">
        <v>9.9242889298137901E-3</v>
      </c>
      <c r="E28190" s="1">
        <v>2.04331834899877E-4</v>
      </c>
      <c r="F28190" s="1">
        <v>9.6417166105253905E-3</v>
      </c>
    </row>
    <row r="28191" spans="1:6" x14ac:dyDescent="0.25">
      <c r="A28191" s="2" t="str">
        <f t="shared" si="1003"/>
        <v>42680</v>
      </c>
      <c r="B28191" s="2" t="str">
        <f>"32970"</f>
        <v>32970</v>
      </c>
      <c r="C28191" s="1">
        <v>1.2004777821273301E-2</v>
      </c>
      <c r="D28191" s="1">
        <v>8.6965418457131093E-3</v>
      </c>
      <c r="E28191" s="1">
        <v>2.04331834899877E-4</v>
      </c>
      <c r="F28191" s="1">
        <v>1.1216588652172E-2</v>
      </c>
    </row>
    <row r="28192" spans="1:6" x14ac:dyDescent="0.25">
      <c r="A28192" s="2" t="str">
        <f t="shared" si="1003"/>
        <v>42680</v>
      </c>
      <c r="B28192" s="2" t="str">
        <f>"32964"</f>
        <v>32964</v>
      </c>
      <c r="C28192" s="1">
        <v>9.1240326417537394E-3</v>
      </c>
      <c r="D28192" s="1">
        <v>2.7010435850214801E-2</v>
      </c>
      <c r="E28192" s="1">
        <v>4.0866366979975399E-4</v>
      </c>
      <c r="F28192" s="1">
        <v>1.02804147163043E-2</v>
      </c>
    </row>
    <row r="28193" spans="1:6" x14ac:dyDescent="0.25">
      <c r="A28193" s="2" t="str">
        <f t="shared" si="1003"/>
        <v>42680</v>
      </c>
      <c r="B28193" s="2" t="str">
        <f>"32978"</f>
        <v>32978</v>
      </c>
      <c r="C28193" s="1">
        <v>1.45643249319963E-2</v>
      </c>
      <c r="D28193" s="1">
        <v>1.9541641088602402E-2</v>
      </c>
      <c r="E28193" s="1">
        <v>4.0866366979975399E-4</v>
      </c>
      <c r="F28193" s="1">
        <v>1.43838313137057E-2</v>
      </c>
    </row>
    <row r="28194" spans="1:6" x14ac:dyDescent="0.25">
      <c r="A28194" s="2" t="str">
        <f t="shared" si="1003"/>
        <v>42680</v>
      </c>
      <c r="B28194" s="2" t="str">
        <f>"32966"</f>
        <v>32966</v>
      </c>
      <c r="C28194" s="1">
        <v>0.12939263452678401</v>
      </c>
      <c r="D28194" s="1">
        <v>7.7757315326376003E-2</v>
      </c>
      <c r="E28194" s="1">
        <v>0.111565181855333</v>
      </c>
      <c r="F28194" s="1">
        <v>0.124213657640316</v>
      </c>
    </row>
    <row r="28195" spans="1:6" x14ac:dyDescent="0.25">
      <c r="A28195" s="2" t="str">
        <f t="shared" ref="A28195:A28231" si="1004">"38940"</f>
        <v>38940</v>
      </c>
      <c r="B28195" s="2" t="str">
        <f>"34988"</f>
        <v>34988</v>
      </c>
      <c r="C28195" s="1">
        <v>4.6786337325311301E-3</v>
      </c>
      <c r="D28195" s="1">
        <v>1.73124141662158E-2</v>
      </c>
      <c r="E28195" s="1">
        <v>1.7825311942959001E-4</v>
      </c>
      <c r="F28195" s="1">
        <v>5.5268802788577499E-3</v>
      </c>
    </row>
    <row r="28196" spans="1:6" x14ac:dyDescent="0.25">
      <c r="A28196" s="2" t="str">
        <f t="shared" si="1004"/>
        <v>38940</v>
      </c>
      <c r="B28196" s="2" t="str">
        <f>"34985"</f>
        <v>34985</v>
      </c>
      <c r="C28196" s="1">
        <v>5.74662404840542E-3</v>
      </c>
      <c r="D28196" s="1">
        <v>1.54812934370968E-2</v>
      </c>
      <c r="E28196" s="1">
        <v>1.7825311942959001E-4</v>
      </c>
      <c r="F28196" s="1">
        <v>6.3212226840058897E-3</v>
      </c>
    </row>
    <row r="28197" spans="1:6" x14ac:dyDescent="0.25">
      <c r="A28197" s="2" t="str">
        <f t="shared" si="1004"/>
        <v>38940</v>
      </c>
      <c r="B28197" s="2" t="str">
        <f>"34948"</f>
        <v>34948</v>
      </c>
      <c r="C28197" s="1">
        <v>4.2491571998130003E-3</v>
      </c>
      <c r="D28197" s="1">
        <v>5.4933621873569398E-3</v>
      </c>
      <c r="E28197" s="1">
        <v>1.7825311942959001E-4</v>
      </c>
      <c r="F28197" s="1">
        <v>4.1962729588416597E-3</v>
      </c>
    </row>
    <row r="28198" spans="1:6" x14ac:dyDescent="0.25">
      <c r="A28198" s="2" t="str">
        <f t="shared" si="1004"/>
        <v>38940</v>
      </c>
      <c r="B28198" s="2" t="str">
        <f>"34991"</f>
        <v>34991</v>
      </c>
      <c r="C28198" s="1">
        <v>5.1727217790210204E-3</v>
      </c>
      <c r="D28198" s="1">
        <v>2.19318323692205E-2</v>
      </c>
      <c r="E28198" s="1">
        <v>1.7825311942959001E-4</v>
      </c>
      <c r="F28198" s="1">
        <v>6.3346293068775898E-3</v>
      </c>
    </row>
    <row r="28199" spans="1:6" x14ac:dyDescent="0.25">
      <c r="A28199" s="2" t="str">
        <f t="shared" si="1004"/>
        <v>38940</v>
      </c>
      <c r="B28199" s="2" t="str">
        <f>"34994"</f>
        <v>34994</v>
      </c>
      <c r="C28199" s="1">
        <v>4.0971301085853402E-2</v>
      </c>
      <c r="D28199" s="1">
        <v>0.12813683465812101</v>
      </c>
      <c r="E28199" s="1">
        <v>0.11024955436720101</v>
      </c>
      <c r="F28199" s="1">
        <v>5.0596594717790502E-2</v>
      </c>
    </row>
    <row r="28200" spans="1:6" x14ac:dyDescent="0.25">
      <c r="A28200" s="2" t="str">
        <f t="shared" si="1004"/>
        <v>38940</v>
      </c>
      <c r="B28200" s="2" t="str">
        <f>"34984"</f>
        <v>34984</v>
      </c>
      <c r="C28200" s="1">
        <v>2.6885991083611002E-2</v>
      </c>
      <c r="D28200" s="1">
        <v>3.11706687752299E-2</v>
      </c>
      <c r="E28200" s="1">
        <v>4.4563279857397498E-3</v>
      </c>
      <c r="F28200" s="1">
        <v>2.6387585467220798E-2</v>
      </c>
    </row>
    <row r="28201" spans="1:6" x14ac:dyDescent="0.25">
      <c r="A28201" s="2" t="str">
        <f t="shared" si="1004"/>
        <v>38940</v>
      </c>
      <c r="B28201" s="2" t="str">
        <f>"34972"</f>
        <v>34972</v>
      </c>
      <c r="C28201" s="1">
        <v>1.14020318420742E-4</v>
      </c>
      <c r="D28201" s="1">
        <v>4.1616380207249503E-5</v>
      </c>
      <c r="E28201" s="1">
        <v>0</v>
      </c>
      <c r="F28201" s="1">
        <v>1.0390132725566399E-4</v>
      </c>
    </row>
    <row r="28202" spans="1:6" x14ac:dyDescent="0.25">
      <c r="A28202" s="2" t="str">
        <f t="shared" si="1004"/>
        <v>38940</v>
      </c>
      <c r="B28202" s="2" t="str">
        <f>"34958"</f>
        <v>34958</v>
      </c>
      <c r="C28202" s="1">
        <v>6.8184150415603996E-3</v>
      </c>
      <c r="D28202" s="1">
        <v>1.31923925256981E-2</v>
      </c>
      <c r="E28202" s="1">
        <v>1.7825311942959001E-4</v>
      </c>
      <c r="F28202" s="1">
        <v>7.0820485319747902E-3</v>
      </c>
    </row>
    <row r="28203" spans="1:6" x14ac:dyDescent="0.25">
      <c r="A28203" s="2" t="str">
        <f t="shared" si="1004"/>
        <v>38940</v>
      </c>
      <c r="B28203" s="2" t="str">
        <f>"34956"</f>
        <v>34956</v>
      </c>
      <c r="C28203" s="1">
        <v>1.06342950313745E-2</v>
      </c>
      <c r="D28203" s="1">
        <v>8.2400432810354092E-3</v>
      </c>
      <c r="E28203" s="1">
        <v>6.14973262032085E-3</v>
      </c>
      <c r="F28203" s="1">
        <v>1.0272824775438999E-2</v>
      </c>
    </row>
    <row r="28204" spans="1:6" x14ac:dyDescent="0.25">
      <c r="A28204" s="2" t="str">
        <f t="shared" si="1004"/>
        <v>38940</v>
      </c>
      <c r="B28204" s="2" t="str">
        <f>"34950"</f>
        <v>34950</v>
      </c>
      <c r="C28204" s="1">
        <v>2.7319268293609901E-2</v>
      </c>
      <c r="D28204" s="1">
        <v>5.9553040076574103E-2</v>
      </c>
      <c r="E28204" s="1">
        <v>0.18155080213903699</v>
      </c>
      <c r="F28204" s="1">
        <v>3.57152433302051E-2</v>
      </c>
    </row>
    <row r="28205" spans="1:6" x14ac:dyDescent="0.25">
      <c r="A28205" s="2" t="str">
        <f t="shared" si="1004"/>
        <v>38940</v>
      </c>
      <c r="B28205" s="2" t="str">
        <f>"34949"</f>
        <v>34949</v>
      </c>
      <c r="C28205" s="1">
        <v>4.9359395844339397E-2</v>
      </c>
      <c r="D28205" s="1">
        <v>6.6586208331599296E-3</v>
      </c>
      <c r="E28205" s="1">
        <v>8.7076648841354701E-2</v>
      </c>
      <c r="F28205" s="1">
        <v>4.73387853599678E-2</v>
      </c>
    </row>
    <row r="28206" spans="1:6" x14ac:dyDescent="0.25">
      <c r="A28206" s="2" t="str">
        <f t="shared" si="1004"/>
        <v>38940</v>
      </c>
      <c r="B28206" s="2" t="str">
        <f>"34995"</f>
        <v>34995</v>
      </c>
      <c r="C28206" s="1">
        <v>6.7956109778762501E-3</v>
      </c>
      <c r="D28206" s="1">
        <v>2.3346789296267E-2</v>
      </c>
      <c r="E28206" s="1">
        <v>1.7825311942959001E-4</v>
      </c>
      <c r="F28206" s="1">
        <v>7.8797425928408601E-3</v>
      </c>
    </row>
    <row r="28207" spans="1:6" x14ac:dyDescent="0.25">
      <c r="A28207" s="2" t="str">
        <f t="shared" si="1004"/>
        <v>38940</v>
      </c>
      <c r="B28207" s="2" t="str">
        <f>"34981"</f>
        <v>34981</v>
      </c>
      <c r="C28207" s="1">
        <v>7.7761857162946396E-3</v>
      </c>
      <c r="D28207" s="1">
        <v>1.0112780390361601E-2</v>
      </c>
      <c r="E28207" s="1">
        <v>7.3083778966131904E-3</v>
      </c>
      <c r="F28207" s="1">
        <v>7.9467757071993508E-3</v>
      </c>
    </row>
    <row r="28208" spans="1:6" x14ac:dyDescent="0.25">
      <c r="A28208" s="2" t="str">
        <f t="shared" si="1004"/>
        <v>38940</v>
      </c>
      <c r="B28208" s="2" t="str">
        <f>"34979"</f>
        <v>34979</v>
      </c>
      <c r="C28208" s="1">
        <v>1.56283849782031E-2</v>
      </c>
      <c r="D28208" s="1">
        <v>1.52315951558533E-2</v>
      </c>
      <c r="E28208" s="1">
        <v>1.7825311942959001E-4</v>
      </c>
      <c r="F28208" s="1">
        <v>1.5015417616302399E-2</v>
      </c>
    </row>
    <row r="28209" spans="1:6" x14ac:dyDescent="0.25">
      <c r="A28209" s="2" t="str">
        <f t="shared" si="1004"/>
        <v>38940</v>
      </c>
      <c r="B28209" s="2" t="str">
        <f>"34947"</f>
        <v>34947</v>
      </c>
      <c r="C28209" s="1">
        <v>2.1584046277046499E-2</v>
      </c>
      <c r="D28209" s="1">
        <v>2.98389446085979E-2</v>
      </c>
      <c r="E28209" s="1">
        <v>5.81105169340463E-2</v>
      </c>
      <c r="F28209" s="1">
        <v>2.3622469499932901E-2</v>
      </c>
    </row>
    <row r="28210" spans="1:6" x14ac:dyDescent="0.25">
      <c r="A28210" s="2" t="str">
        <f t="shared" si="1004"/>
        <v>38940</v>
      </c>
      <c r="B28210" s="2" t="str">
        <f>"34954"</f>
        <v>34954</v>
      </c>
      <c r="C28210" s="1">
        <v>7.4075200200675699E-3</v>
      </c>
      <c r="D28210" s="1">
        <v>1.2901077864247301E-2</v>
      </c>
      <c r="E28210" s="1">
        <v>1.7825311942959001E-4</v>
      </c>
      <c r="F28210" s="1">
        <v>7.5780935782276404E-3</v>
      </c>
    </row>
    <row r="28211" spans="1:6" x14ac:dyDescent="0.25">
      <c r="A28211" s="2" t="str">
        <f t="shared" si="1004"/>
        <v>38940</v>
      </c>
      <c r="B28211" s="2" t="str">
        <f>"33478"</f>
        <v>33478</v>
      </c>
      <c r="C28211" s="1">
        <v>9.0076051552386602E-4</v>
      </c>
      <c r="D28211" s="1">
        <v>2.9131466145074702E-4</v>
      </c>
      <c r="E28211" s="1">
        <v>7.1301247771836005E-4</v>
      </c>
      <c r="F28211" s="1">
        <v>8.4461724091701299E-4</v>
      </c>
    </row>
    <row r="28212" spans="1:6" x14ac:dyDescent="0.25">
      <c r="A28212" s="2" t="str">
        <f t="shared" si="1004"/>
        <v>38940</v>
      </c>
      <c r="B28212" s="2" t="str">
        <f>"34990"</f>
        <v>34990</v>
      </c>
      <c r="C28212" s="1">
        <v>5.6960750405722203E-2</v>
      </c>
      <c r="D28212" s="1">
        <v>4.5861250988389002E-2</v>
      </c>
      <c r="E28212" s="1">
        <v>3.5115864527629201E-2</v>
      </c>
      <c r="F28212" s="1">
        <v>5.5245341198551998E-2</v>
      </c>
    </row>
    <row r="28213" spans="1:6" x14ac:dyDescent="0.25">
      <c r="A28213" s="2" t="str">
        <f t="shared" si="1004"/>
        <v>38940</v>
      </c>
      <c r="B28213" s="2" t="str">
        <f>"34983"</f>
        <v>34983</v>
      </c>
      <c r="C28213" s="1">
        <v>6.3767763415440604E-2</v>
      </c>
      <c r="D28213" s="1">
        <v>2.6010237629530902E-2</v>
      </c>
      <c r="E28213" s="1">
        <v>5.8823529411764696E-3</v>
      </c>
      <c r="F28213" s="1">
        <v>5.8550073736425699E-2</v>
      </c>
    </row>
    <row r="28214" spans="1:6" x14ac:dyDescent="0.25">
      <c r="A28214" s="2" t="str">
        <f t="shared" si="1004"/>
        <v>38940</v>
      </c>
      <c r="B28214" s="2" t="str">
        <f>"34974"</f>
        <v>34974</v>
      </c>
      <c r="C28214" s="1">
        <v>8.1334493806796296E-4</v>
      </c>
      <c r="D28214" s="1">
        <v>1.6646552082899801E-4</v>
      </c>
      <c r="E28214" s="1">
        <v>4.4563279857397502E-4</v>
      </c>
      <c r="F28214" s="1">
        <v>7.4741922509719797E-4</v>
      </c>
    </row>
    <row r="28215" spans="1:6" x14ac:dyDescent="0.25">
      <c r="A28215" s="2" t="str">
        <f t="shared" si="1004"/>
        <v>38940</v>
      </c>
      <c r="B28215" s="2" t="str">
        <f>"34952"</f>
        <v>34952</v>
      </c>
      <c r="C28215" s="1">
        <v>8.2961183682932205E-2</v>
      </c>
      <c r="D28215" s="1">
        <v>9.3928170127762195E-2</v>
      </c>
      <c r="E28215" s="1">
        <v>5.5347593582887697E-2</v>
      </c>
      <c r="F28215" s="1">
        <v>8.2806006167046503E-2</v>
      </c>
    </row>
    <row r="28216" spans="1:6" x14ac:dyDescent="0.25">
      <c r="A28216" s="2" t="str">
        <f t="shared" si="1004"/>
        <v>38940</v>
      </c>
      <c r="B28216" s="2" t="str">
        <f>"33469"</f>
        <v>33469</v>
      </c>
      <c r="C28216" s="1">
        <v>1.1059970886811999E-2</v>
      </c>
      <c r="D28216" s="1">
        <v>3.2876940363727098E-3</v>
      </c>
      <c r="E28216" s="1">
        <v>2.0855614973262E-2</v>
      </c>
      <c r="F28216" s="1">
        <v>1.08023863788711E-2</v>
      </c>
    </row>
    <row r="28217" spans="1:6" x14ac:dyDescent="0.25">
      <c r="A28217" s="2" t="str">
        <f t="shared" si="1004"/>
        <v>38940</v>
      </c>
      <c r="B28217" s="2" t="str">
        <f>"33455"</f>
        <v>33455</v>
      </c>
      <c r="C28217" s="1">
        <v>4.5459900954349999E-2</v>
      </c>
      <c r="D28217" s="1">
        <v>2.6468017811810698E-2</v>
      </c>
      <c r="E28217" s="1">
        <v>2.5846702317290499E-2</v>
      </c>
      <c r="F28217" s="1">
        <v>4.3192787236895E-2</v>
      </c>
    </row>
    <row r="28218" spans="1:6" x14ac:dyDescent="0.25">
      <c r="A28218" s="2" t="str">
        <f t="shared" si="1004"/>
        <v>38940</v>
      </c>
      <c r="B28218" s="2" t="str">
        <f>"34997"</f>
        <v>34997</v>
      </c>
      <c r="C28218" s="1">
        <v>8.4945137223453204E-2</v>
      </c>
      <c r="D28218" s="1">
        <v>9.8006575388072698E-2</v>
      </c>
      <c r="E28218" s="1">
        <v>5.7308377896613097E-2</v>
      </c>
      <c r="F28218" s="1">
        <v>8.4957769137954095E-2</v>
      </c>
    </row>
    <row r="28219" spans="1:6" x14ac:dyDescent="0.25">
      <c r="A28219" s="2" t="str">
        <f t="shared" si="1004"/>
        <v>38940</v>
      </c>
      <c r="B28219" s="2" t="str">
        <f>"34953"</f>
        <v>34953</v>
      </c>
      <c r="C28219" s="1">
        <v>9.9418116308326102E-2</v>
      </c>
      <c r="D28219" s="1">
        <v>3.07545049731574E-2</v>
      </c>
      <c r="E28219" s="1">
        <v>7.3083778966131904E-3</v>
      </c>
      <c r="F28219" s="1">
        <v>9.0424319613889206E-2</v>
      </c>
    </row>
    <row r="28220" spans="1:6" x14ac:dyDescent="0.25">
      <c r="A28220" s="2" t="str">
        <f t="shared" si="1004"/>
        <v>38940</v>
      </c>
      <c r="B28220" s="2" t="str">
        <f>"34992"</f>
        <v>34992</v>
      </c>
      <c r="C28220" s="1">
        <v>4.6140222187593801E-3</v>
      </c>
      <c r="D28220" s="1">
        <v>1.0945107994506599E-2</v>
      </c>
      <c r="E28220" s="1">
        <v>8.9126559714795006E-5</v>
      </c>
      <c r="F28220" s="1">
        <v>4.9537471510926303E-3</v>
      </c>
    </row>
    <row r="28221" spans="1:6" x14ac:dyDescent="0.25">
      <c r="A28221" s="2" t="str">
        <f t="shared" si="1004"/>
        <v>38940</v>
      </c>
      <c r="B28221" s="2" t="str">
        <f>"34987"</f>
        <v>34987</v>
      </c>
      <c r="C28221" s="1">
        <v>2.6376700327998399E-2</v>
      </c>
      <c r="D28221" s="1">
        <v>9.4885346872529003E-3</v>
      </c>
      <c r="E28221" s="1">
        <v>8.7344028520499103E-3</v>
      </c>
      <c r="F28221" s="1">
        <v>2.43531304464405E-2</v>
      </c>
    </row>
    <row r="28222" spans="1:6" x14ac:dyDescent="0.25">
      <c r="A28222" s="2" t="str">
        <f t="shared" si="1004"/>
        <v>38940</v>
      </c>
      <c r="B28222" s="2" t="str">
        <f>"34996"</f>
        <v>34996</v>
      </c>
      <c r="C28222" s="1">
        <v>3.2263949435789398E-2</v>
      </c>
      <c r="D28222" s="1">
        <v>2.86320695825877E-2</v>
      </c>
      <c r="E28222" s="1">
        <v>4.0552584670231699E-2</v>
      </c>
      <c r="F28222" s="1">
        <v>3.2283147875050197E-2</v>
      </c>
    </row>
    <row r="28223" spans="1:6" x14ac:dyDescent="0.25">
      <c r="A28223" s="2" t="str">
        <f t="shared" si="1004"/>
        <v>38940</v>
      </c>
      <c r="B28223" s="2" t="str">
        <f>"34945"</f>
        <v>34945</v>
      </c>
      <c r="C28223" s="1">
        <v>8.3614900175211192E-3</v>
      </c>
      <c r="D28223" s="1">
        <v>1.4648965832951799E-2</v>
      </c>
      <c r="E28223" s="1">
        <v>3.1194295900178201E-3</v>
      </c>
      <c r="F28223" s="1">
        <v>8.6707333422710794E-3</v>
      </c>
    </row>
    <row r="28224" spans="1:6" x14ac:dyDescent="0.25">
      <c r="A28224" s="2" t="str">
        <f t="shared" si="1004"/>
        <v>38940</v>
      </c>
      <c r="B28224" s="2" t="str">
        <f>"33475"</f>
        <v>33475</v>
      </c>
      <c r="C28224" s="1">
        <v>7.4075200200675699E-3</v>
      </c>
      <c r="D28224" s="1">
        <v>1.2526530442382101E-2</v>
      </c>
      <c r="E28224" s="1">
        <v>1.7825311942959001E-4</v>
      </c>
      <c r="F28224" s="1">
        <v>7.5479286767663198E-3</v>
      </c>
    </row>
    <row r="28225" spans="1:6" x14ac:dyDescent="0.25">
      <c r="A28225" s="2" t="str">
        <f t="shared" si="1004"/>
        <v>38940</v>
      </c>
      <c r="B28225" s="2" t="str">
        <f>"34986"</f>
        <v>34986</v>
      </c>
      <c r="C28225" s="1">
        <v>5.9704839402381499E-2</v>
      </c>
      <c r="D28225" s="1">
        <v>5.6764742602688399E-2</v>
      </c>
      <c r="E28225" s="1">
        <v>5.9714795008912601E-2</v>
      </c>
      <c r="F28225" s="1">
        <v>5.9468427403137097E-2</v>
      </c>
    </row>
    <row r="28226" spans="1:6" x14ac:dyDescent="0.25">
      <c r="A28226" s="2" t="str">
        <f t="shared" si="1004"/>
        <v>38940</v>
      </c>
      <c r="B28226" s="2" t="str">
        <f>"34982"</f>
        <v>34982</v>
      </c>
      <c r="C28226" s="1">
        <v>4.6486083820136699E-2</v>
      </c>
      <c r="D28226" s="1">
        <v>5.7097673644346397E-2</v>
      </c>
      <c r="E28226" s="1">
        <v>0.105258467023172</v>
      </c>
      <c r="F28226" s="1">
        <v>4.9550878133798E-2</v>
      </c>
    </row>
    <row r="28227" spans="1:6" x14ac:dyDescent="0.25">
      <c r="A28227" s="2" t="str">
        <f t="shared" si="1004"/>
        <v>38940</v>
      </c>
      <c r="B28227" s="2" t="str">
        <f>"34946"</f>
        <v>34946</v>
      </c>
      <c r="C28227" s="1">
        <v>1.2413011998738101E-2</v>
      </c>
      <c r="D28227" s="1">
        <v>1.9975862499479701E-2</v>
      </c>
      <c r="E28227" s="1">
        <v>1.06060606060606E-2</v>
      </c>
      <c r="F28227" s="1">
        <v>1.2954149349778701E-2</v>
      </c>
    </row>
    <row r="28228" spans="1:6" x14ac:dyDescent="0.25">
      <c r="A28228" s="2" t="str">
        <f t="shared" si="1004"/>
        <v>38940</v>
      </c>
      <c r="B28228" s="2" t="str">
        <f>"34951"</f>
        <v>34951</v>
      </c>
      <c r="C28228" s="1">
        <v>3.2241145372105297E-2</v>
      </c>
      <c r="D28228" s="1">
        <v>9.9879312497398905E-3</v>
      </c>
      <c r="E28228" s="1">
        <v>2.3529411764705799E-2</v>
      </c>
      <c r="F28228" s="1">
        <v>3.0121329936988801E-2</v>
      </c>
    </row>
    <row r="28229" spans="1:6" x14ac:dyDescent="0.25">
      <c r="A28229" s="2" t="str">
        <f t="shared" si="1004"/>
        <v>38940</v>
      </c>
      <c r="B28229" s="2" t="str">
        <f>"34957"</f>
        <v>34957</v>
      </c>
      <c r="C28229" s="1">
        <v>8.0760591537411899E-2</v>
      </c>
      <c r="D28229" s="1">
        <v>5.6223729659994101E-2</v>
      </c>
      <c r="E28229" s="1">
        <v>7.8520499108734404E-2</v>
      </c>
      <c r="F28229" s="1">
        <v>7.8700227912588794E-2</v>
      </c>
    </row>
    <row r="28230" spans="1:6" x14ac:dyDescent="0.25">
      <c r="A28230" s="2" t="str">
        <f t="shared" si="1004"/>
        <v>38940</v>
      </c>
      <c r="B28230" s="2" t="str">
        <f>"33458"</f>
        <v>33458</v>
      </c>
      <c r="C28230" s="1">
        <v>1.86233186753879E-3</v>
      </c>
      <c r="D28230" s="1">
        <v>4.1616380207249503E-5</v>
      </c>
      <c r="E28230" s="1">
        <v>4.54545454545454E-3</v>
      </c>
      <c r="F28230" s="1">
        <v>1.8165973991151601E-3</v>
      </c>
    </row>
    <row r="28231" spans="1:6" x14ac:dyDescent="0.25">
      <c r="A28231" s="2" t="str">
        <f t="shared" si="1004"/>
        <v>38940</v>
      </c>
      <c r="B28231" s="2" t="str">
        <f>"33438"</f>
        <v>33438</v>
      </c>
      <c r="C28231" s="1">
        <v>7.9814222894519795E-5</v>
      </c>
      <c r="D28231" s="1">
        <v>2.4969828124349699E-4</v>
      </c>
      <c r="E28231" s="1">
        <v>0</v>
      </c>
      <c r="F28231" s="1">
        <v>9.0494704383965602E-5</v>
      </c>
    </row>
    <row r="28232" spans="1:6" x14ac:dyDescent="0.25">
      <c r="A28232" s="2" t="str">
        <f t="shared" ref="A28232:A28252" si="1005">"18980"</f>
        <v>18980</v>
      </c>
      <c r="B28232" s="2" t="str">
        <f>"35053"</f>
        <v>35053</v>
      </c>
      <c r="C28232" s="1">
        <v>4.6783370757123202E-2</v>
      </c>
      <c r="D28232" s="1">
        <v>9.6815286624203807E-3</v>
      </c>
      <c r="E28232" s="1">
        <v>1.8891687657430701E-2</v>
      </c>
      <c r="F28232" s="1">
        <v>4.3467088357382798E-2</v>
      </c>
    </row>
    <row r="28233" spans="1:6" x14ac:dyDescent="0.25">
      <c r="A28233" s="2" t="str">
        <f t="shared" si="1005"/>
        <v>18980</v>
      </c>
      <c r="B28233" s="2" t="str">
        <f>"35058"</f>
        <v>35058</v>
      </c>
      <c r="C28233" s="1">
        <v>0.117677835669595</v>
      </c>
      <c r="D28233" s="1">
        <v>0.11337579617834299</v>
      </c>
      <c r="E28233" s="1">
        <v>0.100755667506297</v>
      </c>
      <c r="F28233" s="1">
        <v>0.11707847400672</v>
      </c>
    </row>
    <row r="28234" spans="1:6" x14ac:dyDescent="0.25">
      <c r="A28234" s="2" t="str">
        <f t="shared" si="1005"/>
        <v>18980</v>
      </c>
      <c r="B28234" s="2" t="str">
        <f>"35619"</f>
        <v>35619</v>
      </c>
      <c r="C28234" s="1">
        <v>2.83403457522181E-4</v>
      </c>
      <c r="D28234" s="1">
        <v>0</v>
      </c>
      <c r="E28234" s="1">
        <v>0</v>
      </c>
      <c r="F28234" s="1">
        <v>2.5696778019371398E-4</v>
      </c>
    </row>
    <row r="28235" spans="1:6" x14ac:dyDescent="0.25">
      <c r="A28235" s="2" t="str">
        <f t="shared" si="1005"/>
        <v>18980</v>
      </c>
      <c r="B28235" s="2" t="str">
        <f>"35179"</f>
        <v>35179</v>
      </c>
      <c r="C28235" s="1">
        <v>0.103093457740184</v>
      </c>
      <c r="D28235" s="1">
        <v>4.1273885350318402E-2</v>
      </c>
      <c r="E28235" s="1">
        <v>7.5566750629722901E-2</v>
      </c>
      <c r="F28235" s="1">
        <v>9.7865190749159905E-2</v>
      </c>
    </row>
    <row r="28236" spans="1:6" x14ac:dyDescent="0.25">
      <c r="A28236" s="2" t="str">
        <f t="shared" si="1005"/>
        <v>18980</v>
      </c>
      <c r="B28236" s="2" t="str">
        <f>"35083"</f>
        <v>35083</v>
      </c>
      <c r="C28236" s="1">
        <v>3.4466220487889901E-2</v>
      </c>
      <c r="D28236" s="1">
        <v>1.27388535031847E-2</v>
      </c>
      <c r="E28236" s="1">
        <v>1.25944584382871E-2</v>
      </c>
      <c r="F28236" s="1">
        <v>3.2437240561375702E-2</v>
      </c>
    </row>
    <row r="28237" spans="1:6" x14ac:dyDescent="0.25">
      <c r="A28237" s="2" t="str">
        <f t="shared" si="1005"/>
        <v>18980</v>
      </c>
      <c r="B28237" s="2" t="str">
        <f>"35087"</f>
        <v>35087</v>
      </c>
      <c r="C28237" s="1">
        <v>1.17067428222624E-2</v>
      </c>
      <c r="D28237" s="1">
        <v>3.3121019108280198E-3</v>
      </c>
      <c r="E28237" s="1">
        <v>8.8161209068010008E-3</v>
      </c>
      <c r="F28237" s="1">
        <v>1.10100810436845E-2</v>
      </c>
    </row>
    <row r="28238" spans="1:6" x14ac:dyDescent="0.25">
      <c r="A28238" s="2" t="str">
        <f t="shared" si="1005"/>
        <v>18980</v>
      </c>
      <c r="B28238" s="2" t="str">
        <f>"35621"</f>
        <v>35621</v>
      </c>
      <c r="C28238" s="1">
        <v>1.8748228728390399E-3</v>
      </c>
      <c r="D28238" s="1">
        <v>5.0955414012738805E-4</v>
      </c>
      <c r="E28238" s="1">
        <v>0</v>
      </c>
      <c r="F28238" s="1">
        <v>1.7394742043882101E-3</v>
      </c>
    </row>
    <row r="28239" spans="1:6" x14ac:dyDescent="0.25">
      <c r="A28239" s="2" t="str">
        <f t="shared" si="1005"/>
        <v>18980</v>
      </c>
      <c r="B28239" s="2" t="str">
        <f>"35540"</f>
        <v>35540</v>
      </c>
      <c r="C28239" s="1">
        <v>1.39521702164766E-3</v>
      </c>
      <c r="D28239" s="1">
        <v>2.5477707006369403E-4</v>
      </c>
      <c r="E28239" s="1">
        <v>0</v>
      </c>
      <c r="F28239" s="1">
        <v>1.2848389009685701E-3</v>
      </c>
    </row>
    <row r="28240" spans="1:6" x14ac:dyDescent="0.25">
      <c r="A28240" s="2" t="str">
        <f t="shared" si="1005"/>
        <v>18980</v>
      </c>
      <c r="B28240" s="2" t="str">
        <f>"35056"</f>
        <v>35056</v>
      </c>
      <c r="C28240" s="1">
        <v>3.2395195221381699E-2</v>
      </c>
      <c r="D28240" s="1">
        <v>0.13248407643312099</v>
      </c>
      <c r="E28240" s="1">
        <v>1.2594458438287099E-3</v>
      </c>
      <c r="F28240" s="1">
        <v>3.9671871911444903E-2</v>
      </c>
    </row>
    <row r="28241" spans="1:6" x14ac:dyDescent="0.25">
      <c r="A28241" s="2" t="str">
        <f t="shared" si="1005"/>
        <v>18980</v>
      </c>
      <c r="B28241" s="2" t="str">
        <f>"35070"</f>
        <v>35070</v>
      </c>
      <c r="C28241" s="1">
        <v>0</v>
      </c>
      <c r="D28241" s="1">
        <v>2.5477707006369403E-4</v>
      </c>
      <c r="E28241" s="1">
        <v>0</v>
      </c>
      <c r="F28241" s="1">
        <v>1.9766752322593302E-5</v>
      </c>
    </row>
    <row r="28242" spans="1:6" x14ac:dyDescent="0.25">
      <c r="A28242" s="2" t="str">
        <f t="shared" si="1005"/>
        <v>18980</v>
      </c>
      <c r="B28242" s="2" t="str">
        <f>"35055"</f>
        <v>35055</v>
      </c>
      <c r="C28242" s="1">
        <v>0.22528394846417099</v>
      </c>
      <c r="D28242" s="1">
        <v>0.46063694267515898</v>
      </c>
      <c r="E28242" s="1">
        <v>0.46977329974811</v>
      </c>
      <c r="F28242" s="1">
        <v>0.24738090531725601</v>
      </c>
    </row>
    <row r="28243" spans="1:6" x14ac:dyDescent="0.25">
      <c r="A28243" s="2" t="str">
        <f t="shared" si="1005"/>
        <v>18980</v>
      </c>
      <c r="B28243" s="2" t="str">
        <f>"35622"</f>
        <v>35622</v>
      </c>
      <c r="C28243" s="1">
        <v>1.6437400536286499E-2</v>
      </c>
      <c r="D28243" s="1">
        <v>1.5286624203821599E-3</v>
      </c>
      <c r="E28243" s="1">
        <v>8.8161209068010008E-3</v>
      </c>
      <c r="F28243" s="1">
        <v>1.51610990314291E-2</v>
      </c>
    </row>
    <row r="28244" spans="1:6" x14ac:dyDescent="0.25">
      <c r="A28244" s="2" t="str">
        <f t="shared" si="1005"/>
        <v>18980</v>
      </c>
      <c r="B28244" s="2" t="str">
        <f>"35016"</f>
        <v>35016</v>
      </c>
      <c r="C28244" s="1">
        <v>2.1604063569575501E-2</v>
      </c>
      <c r="D28244" s="1">
        <v>1.0191082802547701E-2</v>
      </c>
      <c r="E28244" s="1">
        <v>1.1335012594458399E-2</v>
      </c>
      <c r="F28244" s="1">
        <v>2.0557422415497101E-2</v>
      </c>
    </row>
    <row r="28245" spans="1:6" x14ac:dyDescent="0.25">
      <c r="A28245" s="2" t="str">
        <f t="shared" si="1005"/>
        <v>18980</v>
      </c>
      <c r="B28245" s="2" t="str">
        <f>"35670"</f>
        <v>35670</v>
      </c>
      <c r="C28245" s="1">
        <v>2.1800265963244702E-5</v>
      </c>
      <c r="D28245" s="1">
        <v>0</v>
      </c>
      <c r="E28245" s="1">
        <v>0</v>
      </c>
      <c r="F28245" s="1">
        <v>1.9766752322593302E-5</v>
      </c>
    </row>
    <row r="28246" spans="1:6" x14ac:dyDescent="0.25">
      <c r="A28246" s="2" t="str">
        <f t="shared" si="1005"/>
        <v>18980</v>
      </c>
      <c r="B28246" s="2" t="str">
        <f>"35033"</f>
        <v>35033</v>
      </c>
      <c r="C28246" s="1">
        <v>4.3862135118048401E-2</v>
      </c>
      <c r="D28246" s="1">
        <v>1.0700636942675101E-2</v>
      </c>
      <c r="E28246" s="1">
        <v>7.5566750629722903E-3</v>
      </c>
      <c r="F28246" s="1">
        <v>4.07195097845423E-2</v>
      </c>
    </row>
    <row r="28247" spans="1:6" x14ac:dyDescent="0.25">
      <c r="A28247" s="2" t="str">
        <f t="shared" si="1005"/>
        <v>18980</v>
      </c>
      <c r="B28247" s="2" t="str">
        <f>"35976"</f>
        <v>35976</v>
      </c>
      <c r="C28247" s="1">
        <v>2.1800265963244699E-4</v>
      </c>
      <c r="D28247" s="1">
        <v>0</v>
      </c>
      <c r="E28247" s="1">
        <v>0</v>
      </c>
      <c r="F28247" s="1">
        <v>1.9766752322593299E-4</v>
      </c>
    </row>
    <row r="28248" spans="1:6" x14ac:dyDescent="0.25">
      <c r="A28248" s="2" t="str">
        <f t="shared" si="1005"/>
        <v>18980</v>
      </c>
      <c r="B28248" s="2" t="str">
        <f>"35541"</f>
        <v>35541</v>
      </c>
      <c r="C28248" s="1">
        <v>2.6160319155893702E-4</v>
      </c>
      <c r="D28248" s="1">
        <v>0</v>
      </c>
      <c r="E28248" s="1">
        <v>0</v>
      </c>
      <c r="F28248" s="1">
        <v>2.3720102787112E-4</v>
      </c>
    </row>
    <row r="28249" spans="1:6" x14ac:dyDescent="0.25">
      <c r="A28249" s="2" t="str">
        <f t="shared" si="1005"/>
        <v>18980</v>
      </c>
      <c r="B28249" s="2" t="str">
        <f>"35077"</f>
        <v>35077</v>
      </c>
      <c r="C28249" s="1">
        <v>0.151664450306293</v>
      </c>
      <c r="D28249" s="1">
        <v>0.10853503184713301</v>
      </c>
      <c r="E28249" s="1">
        <v>0.158690176322418</v>
      </c>
      <c r="F28249" s="1">
        <v>0.14842854319035301</v>
      </c>
    </row>
    <row r="28250" spans="1:6" x14ac:dyDescent="0.25">
      <c r="A28250" s="2" t="str">
        <f t="shared" si="1005"/>
        <v>18980</v>
      </c>
      <c r="B28250" s="2" t="str">
        <f>"35098"</f>
        <v>35098</v>
      </c>
      <c r="C28250" s="1">
        <v>1.5020383248675599E-2</v>
      </c>
      <c r="D28250" s="1">
        <v>3.0573248407643298E-3</v>
      </c>
      <c r="E28250" s="1">
        <v>2.5188916876574298E-3</v>
      </c>
      <c r="F28250" s="1">
        <v>1.3896026882783101E-2</v>
      </c>
    </row>
    <row r="28251" spans="1:6" x14ac:dyDescent="0.25">
      <c r="A28251" s="2" t="str">
        <f t="shared" si="1005"/>
        <v>18980</v>
      </c>
      <c r="B28251" s="2" t="str">
        <f>"35019"</f>
        <v>35019</v>
      </c>
      <c r="C28251" s="1">
        <v>2.0862854526825202E-2</v>
      </c>
      <c r="D28251" s="1">
        <v>1.1974522292993599E-2</v>
      </c>
      <c r="E28251" s="1">
        <v>1.25944584382871E-2</v>
      </c>
      <c r="F28251" s="1">
        <v>2.0043486855109701E-2</v>
      </c>
    </row>
    <row r="28252" spans="1:6" x14ac:dyDescent="0.25">
      <c r="A28252" s="2" t="str">
        <f t="shared" si="1005"/>
        <v>18980</v>
      </c>
      <c r="B28252" s="2" t="str">
        <f>"35057"</f>
        <v>35057</v>
      </c>
      <c r="C28252" s="1">
        <v>0.155087092062523</v>
      </c>
      <c r="D28252" s="1">
        <v>7.9490445859872597E-2</v>
      </c>
      <c r="E28252" s="1">
        <v>0.110831234256926</v>
      </c>
      <c r="F28252" s="1">
        <v>0.14852737695196599</v>
      </c>
    </row>
    <row r="28253" spans="1:6" x14ac:dyDescent="0.25">
      <c r="A28253" s="2" t="str">
        <f t="shared" ref="A28253:A28271" si="1006">"11500"</f>
        <v>11500</v>
      </c>
      <c r="B28253" s="2" t="str">
        <f>"36204"</f>
        <v>36204</v>
      </c>
      <c r="C28253" s="1">
        <v>1.08127429516107E-2</v>
      </c>
      <c r="D28253" s="1">
        <v>1.3732292570106899E-2</v>
      </c>
      <c r="E28253" s="1">
        <v>7.0028011204481696E-4</v>
      </c>
      <c r="F28253" s="1">
        <v>1.08890036959027E-2</v>
      </c>
    </row>
    <row r="28254" spans="1:6" x14ac:dyDescent="0.25">
      <c r="A28254" s="2" t="str">
        <f t="shared" si="1006"/>
        <v>11500</v>
      </c>
      <c r="B28254" s="2" t="str">
        <f>"36203"</f>
        <v>36203</v>
      </c>
      <c r="C28254" s="1">
        <v>0.127072070059425</v>
      </c>
      <c r="D28254" s="1">
        <v>0.20829719572130601</v>
      </c>
      <c r="E28254" s="1">
        <v>0.196778711484593</v>
      </c>
      <c r="F28254" s="1">
        <v>0.13583435997297599</v>
      </c>
    </row>
    <row r="28255" spans="1:6" x14ac:dyDescent="0.25">
      <c r="A28255" s="2" t="str">
        <f t="shared" si="1006"/>
        <v>11500</v>
      </c>
      <c r="B28255" s="2" t="str">
        <f>"35905"</f>
        <v>35905</v>
      </c>
      <c r="C28255" s="1">
        <v>4.9148831598230603E-3</v>
      </c>
      <c r="D28255" s="1">
        <v>2.8910089621277798E-3</v>
      </c>
      <c r="E28255" s="1">
        <v>1.40056022408963E-3</v>
      </c>
      <c r="F28255" s="1">
        <v>4.6629310230629599E-3</v>
      </c>
    </row>
    <row r="28256" spans="1:6" x14ac:dyDescent="0.25">
      <c r="A28256" s="2" t="str">
        <f t="shared" si="1006"/>
        <v>11500</v>
      </c>
      <c r="B28256" s="2" t="str">
        <f>"35096"</f>
        <v>35096</v>
      </c>
      <c r="C28256" s="1">
        <v>2.24893138525237E-3</v>
      </c>
      <c r="D28256" s="1">
        <v>4.33651344319167E-4</v>
      </c>
      <c r="E28256" s="1">
        <v>0</v>
      </c>
      <c r="F28256" s="1">
        <v>2.04003232259004E-3</v>
      </c>
    </row>
    <row r="28257" spans="1:6" x14ac:dyDescent="0.25">
      <c r="A28257" s="2" t="str">
        <f t="shared" si="1006"/>
        <v>11500</v>
      </c>
      <c r="B28257" s="2" t="str">
        <f>"36279"</f>
        <v>36279</v>
      </c>
      <c r="C28257" s="1">
        <v>2.03446375646009E-2</v>
      </c>
      <c r="D28257" s="1">
        <v>5.3483665799363899E-3</v>
      </c>
      <c r="E28257" s="1">
        <v>4.2016806722688996E-3</v>
      </c>
      <c r="F28257" s="1">
        <v>1.8664971055385501E-2</v>
      </c>
    </row>
    <row r="28258" spans="1:6" x14ac:dyDescent="0.25">
      <c r="A28258" s="2" t="str">
        <f t="shared" si="1006"/>
        <v>11500</v>
      </c>
      <c r="B28258" s="2" t="str">
        <f>"36257"</f>
        <v>36257</v>
      </c>
      <c r="C28258" s="1">
        <v>6.0319020597828501E-3</v>
      </c>
      <c r="D28258" s="1">
        <v>4.9147152356172298E-3</v>
      </c>
      <c r="E28258" s="1">
        <v>7.0028011204481696E-4</v>
      </c>
      <c r="F28258" s="1">
        <v>5.8286637788286999E-3</v>
      </c>
    </row>
    <row r="28259" spans="1:6" x14ac:dyDescent="0.25">
      <c r="A28259" s="2" t="str">
        <f t="shared" si="1006"/>
        <v>11500</v>
      </c>
      <c r="B28259" s="2" t="str">
        <f>"36265"</f>
        <v>36265</v>
      </c>
      <c r="C28259" s="1">
        <v>0.160612424228884</v>
      </c>
      <c r="D28259" s="1">
        <v>7.9936397802833098E-2</v>
      </c>
      <c r="E28259" s="1">
        <v>0.22198879551820699</v>
      </c>
      <c r="F28259" s="1">
        <v>0.154380108360158</v>
      </c>
    </row>
    <row r="28260" spans="1:6" x14ac:dyDescent="0.25">
      <c r="A28260" s="2" t="str">
        <f t="shared" si="1006"/>
        <v>11500</v>
      </c>
      <c r="B28260" s="2" t="str">
        <f>"36272"</f>
        <v>36272</v>
      </c>
      <c r="C28260" s="1">
        <v>7.3082823228035595E-2</v>
      </c>
      <c r="D28260" s="1">
        <v>6.3746747614917595E-2</v>
      </c>
      <c r="E28260" s="1">
        <v>5.4621848739495701E-2</v>
      </c>
      <c r="F28260" s="1">
        <v>7.1878021963464794E-2</v>
      </c>
    </row>
    <row r="28261" spans="1:6" x14ac:dyDescent="0.25">
      <c r="A28261" s="2" t="str">
        <f t="shared" si="1006"/>
        <v>11500</v>
      </c>
      <c r="B28261" s="2" t="str">
        <f>"36253"</f>
        <v>36253</v>
      </c>
      <c r="C28261" s="1">
        <v>0</v>
      </c>
      <c r="D28261" s="1">
        <v>2.8910089621277801E-4</v>
      </c>
      <c r="E28261" s="1">
        <v>0</v>
      </c>
      <c r="F28261" s="1">
        <v>2.6493926267403099E-5</v>
      </c>
    </row>
    <row r="28262" spans="1:6" x14ac:dyDescent="0.25">
      <c r="A28262" s="2" t="str">
        <f t="shared" si="1006"/>
        <v>11500</v>
      </c>
      <c r="B28262" s="2" t="str">
        <f>"36206"</f>
        <v>36206</v>
      </c>
      <c r="C28262" s="1">
        <v>8.5191308103599706E-2</v>
      </c>
      <c r="D28262" s="1">
        <v>6.3457646718704797E-2</v>
      </c>
      <c r="E28262" s="1">
        <v>8.1232492997198799E-2</v>
      </c>
      <c r="F28262" s="1">
        <v>8.3124693663977497E-2</v>
      </c>
    </row>
    <row r="28263" spans="1:6" x14ac:dyDescent="0.25">
      <c r="A28263" s="2" t="str">
        <f t="shared" si="1006"/>
        <v>11500</v>
      </c>
      <c r="B28263" s="2" t="str">
        <f>"36202"</f>
        <v>36202</v>
      </c>
      <c r="C28263" s="1">
        <v>2.79403660843274E-2</v>
      </c>
      <c r="D28263" s="1">
        <v>8.7163920208152598E-2</v>
      </c>
      <c r="E28263" s="1">
        <v>1.40056022408963E-3</v>
      </c>
      <c r="F28263" s="1">
        <v>3.2865715534713603E-2</v>
      </c>
    </row>
    <row r="28264" spans="1:6" x14ac:dyDescent="0.25">
      <c r="A28264" s="2" t="str">
        <f t="shared" si="1006"/>
        <v>11500</v>
      </c>
      <c r="B28264" s="2" t="str">
        <f>"36277"</f>
        <v>36277</v>
      </c>
      <c r="C28264" s="1">
        <v>3.9646724155905998E-2</v>
      </c>
      <c r="D28264" s="1">
        <v>7.0829719572130601E-3</v>
      </c>
      <c r="E28264" s="1">
        <v>1.6806722689075598E-2</v>
      </c>
      <c r="F28264" s="1">
        <v>3.6230444170673802E-2</v>
      </c>
    </row>
    <row r="28265" spans="1:6" x14ac:dyDescent="0.25">
      <c r="A28265" s="2" t="str">
        <f t="shared" si="1006"/>
        <v>11500</v>
      </c>
      <c r="B28265" s="2" t="str">
        <f>"36260"</f>
        <v>36260</v>
      </c>
      <c r="C28265" s="1">
        <v>2.03446375646009E-2</v>
      </c>
      <c r="D28265" s="1">
        <v>7.6611737496386197E-3</v>
      </c>
      <c r="E28265" s="1">
        <v>4.2016806722688996E-3</v>
      </c>
      <c r="F28265" s="1">
        <v>1.8876922465524699E-2</v>
      </c>
    </row>
    <row r="28266" spans="1:6" x14ac:dyDescent="0.25">
      <c r="A28266" s="2" t="str">
        <f t="shared" si="1006"/>
        <v>11500</v>
      </c>
      <c r="B28266" s="2" t="str">
        <f>"36207"</f>
        <v>36207</v>
      </c>
      <c r="C28266" s="1">
        <v>0.156740092042357</v>
      </c>
      <c r="D28266" s="1">
        <v>0.118675917895345</v>
      </c>
      <c r="E28266" s="1">
        <v>0.19607843137254899</v>
      </c>
      <c r="F28266" s="1">
        <v>0.15399594642928099</v>
      </c>
    </row>
    <row r="28267" spans="1:6" x14ac:dyDescent="0.25">
      <c r="A28267" s="2" t="str">
        <f t="shared" si="1006"/>
        <v>11500</v>
      </c>
      <c r="B28267" s="2" t="str">
        <f>"36205"</f>
        <v>36205</v>
      </c>
      <c r="C28267" s="1">
        <v>1.47595430648019E-2</v>
      </c>
      <c r="D28267" s="1">
        <v>1.28649898814686E-2</v>
      </c>
      <c r="E28267" s="1">
        <v>4.6918767507002801E-2</v>
      </c>
      <c r="F28267" s="1">
        <v>1.5194266714355699E-2</v>
      </c>
    </row>
    <row r="28268" spans="1:6" x14ac:dyDescent="0.25">
      <c r="A28268" s="2" t="str">
        <f t="shared" si="1006"/>
        <v>11500</v>
      </c>
      <c r="B28268" s="2" t="str">
        <f>"36201"</f>
        <v>36201</v>
      </c>
      <c r="C28268" s="1">
        <v>0.17047197771919601</v>
      </c>
      <c r="D28268" s="1">
        <v>0.28375252963284098</v>
      </c>
      <c r="E28268" s="1">
        <v>0.13095238095237999</v>
      </c>
      <c r="F28268" s="1">
        <v>0.180105710765806</v>
      </c>
    </row>
    <row r="28269" spans="1:6" x14ac:dyDescent="0.25">
      <c r="A28269" s="2" t="str">
        <f t="shared" si="1006"/>
        <v>11500</v>
      </c>
      <c r="B28269" s="2" t="str">
        <f>"36271"</f>
        <v>36271</v>
      </c>
      <c r="C28269" s="1">
        <v>4.9267980280892999E-2</v>
      </c>
      <c r="D28269" s="1">
        <v>1.40213934663197E-2</v>
      </c>
      <c r="E28269" s="1">
        <v>1.05042016806722E-2</v>
      </c>
      <c r="F28269" s="1">
        <v>4.5304613917259401E-2</v>
      </c>
    </row>
    <row r="28270" spans="1:6" x14ac:dyDescent="0.25">
      <c r="A28270" s="2" t="str">
        <f t="shared" si="1006"/>
        <v>11500</v>
      </c>
      <c r="B28270" s="2" t="str">
        <f>"36250"</f>
        <v>36250</v>
      </c>
      <c r="C28270" s="1">
        <v>3.0516956346901301E-2</v>
      </c>
      <c r="D28270" s="1">
        <v>2.55854293148308E-2</v>
      </c>
      <c r="E28270" s="1">
        <v>3.1512605042016799E-2</v>
      </c>
      <c r="F28270" s="1">
        <v>3.0083853276636301E-2</v>
      </c>
    </row>
    <row r="28271" spans="1:6" x14ac:dyDescent="0.25">
      <c r="A28271" s="2" t="str">
        <f t="shared" si="1006"/>
        <v>11500</v>
      </c>
      <c r="B28271" s="2" t="str">
        <f>"36254"</f>
        <v>36254</v>
      </c>
      <c r="C28271" s="1">
        <v>0</v>
      </c>
      <c r="D28271" s="1">
        <v>1.4455044810638901E-4</v>
      </c>
      <c r="E28271" s="1">
        <v>0</v>
      </c>
      <c r="F28271" s="1">
        <v>1.32469631337015E-5</v>
      </c>
    </row>
    <row r="28272" spans="1:6" x14ac:dyDescent="0.25">
      <c r="A28272" s="2" t="str">
        <f t="shared" ref="A28272:A28303" si="1007">"20020"</f>
        <v>20020</v>
      </c>
      <c r="B28272" s="2" t="str">
        <f>"36322"</f>
        <v>36322</v>
      </c>
      <c r="C28272" s="1">
        <v>5.6982880360726405E-4</v>
      </c>
      <c r="D28272" s="1">
        <v>1.12688753662384E-4</v>
      </c>
      <c r="E28272" s="1">
        <v>0</v>
      </c>
      <c r="F28272" s="1">
        <v>5.1122520013922705E-4</v>
      </c>
    </row>
    <row r="28273" spans="1:6" x14ac:dyDescent="0.25">
      <c r="A28273" s="2" t="str">
        <f t="shared" si="1007"/>
        <v>20020</v>
      </c>
      <c r="B28273" s="2" t="str">
        <f>"36302"</f>
        <v>36302</v>
      </c>
      <c r="C28273" s="1">
        <v>2.0873076827787801E-2</v>
      </c>
      <c r="D28273" s="1">
        <v>9.0827135451881896E-2</v>
      </c>
      <c r="E28273" s="1">
        <v>4.2808219178082103E-4</v>
      </c>
      <c r="F28273" s="1">
        <v>2.7105812739296901E-2</v>
      </c>
    </row>
    <row r="28274" spans="1:6" x14ac:dyDescent="0.25">
      <c r="A28274" s="2" t="str">
        <f t="shared" si="1007"/>
        <v>20020</v>
      </c>
      <c r="B28274" s="2" t="str">
        <f>"36345"</f>
        <v>36345</v>
      </c>
      <c r="C28274" s="1">
        <v>4.9414067338899401E-2</v>
      </c>
      <c r="D28274" s="1">
        <v>3.7074599954924403E-2</v>
      </c>
      <c r="E28274" s="1">
        <v>1.4554794520547899E-2</v>
      </c>
      <c r="F28274" s="1">
        <v>4.7337278106508798E-2</v>
      </c>
    </row>
    <row r="28275" spans="1:6" x14ac:dyDescent="0.25">
      <c r="A28275" s="2" t="str">
        <f t="shared" si="1007"/>
        <v>20020</v>
      </c>
      <c r="B28275" s="2" t="str">
        <f>"36317"</f>
        <v>36317</v>
      </c>
      <c r="C28275" s="1">
        <v>3.1216708371528301E-3</v>
      </c>
      <c r="D28275" s="1">
        <v>7.8882127563669098E-4</v>
      </c>
      <c r="E28275" s="1">
        <v>8.5616438356164303E-4</v>
      </c>
      <c r="F28275" s="1">
        <v>2.8389314305603802E-3</v>
      </c>
    </row>
    <row r="28276" spans="1:6" x14ac:dyDescent="0.25">
      <c r="A28276" s="2" t="str">
        <f t="shared" si="1007"/>
        <v>20020</v>
      </c>
      <c r="B28276" s="2" t="str">
        <f>"36370"</f>
        <v>36370</v>
      </c>
      <c r="C28276" s="1">
        <v>5.9212645244406999E-3</v>
      </c>
      <c r="D28276" s="1">
        <v>4.5075501464953701E-4</v>
      </c>
      <c r="E28276" s="1">
        <v>0</v>
      </c>
      <c r="F28276" s="1">
        <v>5.2427775844065402E-3</v>
      </c>
    </row>
    <row r="28277" spans="1:6" x14ac:dyDescent="0.25">
      <c r="A28277" s="2" t="str">
        <f t="shared" si="1007"/>
        <v>20020</v>
      </c>
      <c r="B28277" s="2" t="str">
        <f>"36353"</f>
        <v>36353</v>
      </c>
      <c r="C28277" s="1">
        <v>1.0504670118672999E-2</v>
      </c>
      <c r="D28277" s="1">
        <v>2.92990759522199E-3</v>
      </c>
      <c r="E28277" s="1">
        <v>8.5616438356164303E-4</v>
      </c>
      <c r="F28277" s="1">
        <v>9.5283675600417606E-3</v>
      </c>
    </row>
    <row r="28278" spans="1:6" x14ac:dyDescent="0.25">
      <c r="A28278" s="2" t="str">
        <f t="shared" si="1007"/>
        <v>20020</v>
      </c>
      <c r="B28278" s="2" t="str">
        <f>"36321"</f>
        <v>36321</v>
      </c>
      <c r="C28278" s="1">
        <v>1.0170205386120901E-2</v>
      </c>
      <c r="D28278" s="1">
        <v>3.71872887085868E-3</v>
      </c>
      <c r="E28278" s="1">
        <v>8.9897260273972598E-3</v>
      </c>
      <c r="F28278" s="1">
        <v>9.5174904281239096E-3</v>
      </c>
    </row>
    <row r="28279" spans="1:6" x14ac:dyDescent="0.25">
      <c r="A28279" s="2" t="str">
        <f t="shared" si="1007"/>
        <v>20020</v>
      </c>
      <c r="B28279" s="2" t="str">
        <f>"36314"</f>
        <v>36314</v>
      </c>
      <c r="C28279" s="1">
        <v>4.70728142110348E-3</v>
      </c>
      <c r="D28279" s="1">
        <v>1.57764255127338E-3</v>
      </c>
      <c r="E28279" s="1">
        <v>2.5684931506849301E-3</v>
      </c>
      <c r="F28279" s="1">
        <v>4.3508527671423502E-3</v>
      </c>
    </row>
    <row r="28280" spans="1:6" x14ac:dyDescent="0.25">
      <c r="A28280" s="2" t="str">
        <f t="shared" si="1007"/>
        <v>20020</v>
      </c>
      <c r="B28280" s="2" t="str">
        <f>"36349"</f>
        <v>36349</v>
      </c>
      <c r="C28280" s="1">
        <v>0</v>
      </c>
      <c r="D28280" s="1">
        <v>1.12688753662384E-4</v>
      </c>
      <c r="E28280" s="1">
        <v>0</v>
      </c>
      <c r="F28280" s="1">
        <v>1.0877131917855801E-5</v>
      </c>
    </row>
    <row r="28281" spans="1:6" x14ac:dyDescent="0.25">
      <c r="A28281" s="2" t="str">
        <f t="shared" si="1007"/>
        <v>20020</v>
      </c>
      <c r="B28281" s="2" t="str">
        <f>"36313"</f>
        <v>36313</v>
      </c>
      <c r="C28281" s="1">
        <v>0</v>
      </c>
      <c r="D28281" s="1">
        <v>1.12688753662384E-4</v>
      </c>
      <c r="E28281" s="1">
        <v>0</v>
      </c>
      <c r="F28281" s="1">
        <v>1.0877131917855801E-5</v>
      </c>
    </row>
    <row r="28282" spans="1:6" x14ac:dyDescent="0.25">
      <c r="A28282" s="2" t="str">
        <f t="shared" si="1007"/>
        <v>20020</v>
      </c>
      <c r="B28282" s="2" t="str">
        <f>"36303"</f>
        <v>36303</v>
      </c>
      <c r="C28282" s="1">
        <v>0.187225924733047</v>
      </c>
      <c r="D28282" s="1">
        <v>0.30989407257155699</v>
      </c>
      <c r="E28282" s="1">
        <v>0.32619863013698602</v>
      </c>
      <c r="F28282" s="1">
        <v>0.20259745910198301</v>
      </c>
    </row>
    <row r="28283" spans="1:6" x14ac:dyDescent="0.25">
      <c r="A28283" s="2" t="str">
        <f t="shared" si="1007"/>
        <v>20020</v>
      </c>
      <c r="B28283" s="2" t="str">
        <f>"36373"</f>
        <v>36373</v>
      </c>
      <c r="C28283" s="1">
        <v>4.1126774521219904E-3</v>
      </c>
      <c r="D28283" s="1">
        <v>1.35226504394861E-3</v>
      </c>
      <c r="E28283" s="1">
        <v>4.2808219178082103E-4</v>
      </c>
      <c r="F28283" s="1">
        <v>3.7526105116602801E-3</v>
      </c>
    </row>
    <row r="28284" spans="1:6" x14ac:dyDescent="0.25">
      <c r="A28284" s="2" t="str">
        <f t="shared" si="1007"/>
        <v>20020</v>
      </c>
      <c r="B28284" s="2" t="str">
        <f>"36352"</f>
        <v>36352</v>
      </c>
      <c r="C28284" s="1">
        <v>2.0402348685677401E-2</v>
      </c>
      <c r="D28284" s="1">
        <v>9.2404778003155209E-3</v>
      </c>
      <c r="E28284" s="1">
        <v>5.5650684931506803E-3</v>
      </c>
      <c r="F28284" s="1">
        <v>1.89479638009049E-2</v>
      </c>
    </row>
    <row r="28285" spans="1:6" x14ac:dyDescent="0.25">
      <c r="A28285" s="2" t="str">
        <f t="shared" si="1007"/>
        <v>20020</v>
      </c>
      <c r="B28285" s="2" t="str">
        <f>"36340"</f>
        <v>36340</v>
      </c>
      <c r="C28285" s="1">
        <v>3.7150360478656101E-2</v>
      </c>
      <c r="D28285" s="1">
        <v>3.9328375028172102E-2</v>
      </c>
      <c r="E28285" s="1">
        <v>1.8835616438356101E-2</v>
      </c>
      <c r="F28285" s="1">
        <v>3.6895231465367197E-2</v>
      </c>
    </row>
    <row r="28286" spans="1:6" x14ac:dyDescent="0.25">
      <c r="A28286" s="2" t="str">
        <f t="shared" si="1007"/>
        <v>20020</v>
      </c>
      <c r="B28286" s="2" t="str">
        <f>"36312"</f>
        <v>36312</v>
      </c>
      <c r="C28286" s="1">
        <v>3.81537546763124E-2</v>
      </c>
      <c r="D28286" s="1">
        <v>9.1277890466531404E-3</v>
      </c>
      <c r="E28286" s="1">
        <v>4.8373287671232799E-2</v>
      </c>
      <c r="F28286" s="1">
        <v>3.5611729899060203E-2</v>
      </c>
    </row>
    <row r="28287" spans="1:6" x14ac:dyDescent="0.25">
      <c r="A28287" s="2" t="str">
        <f t="shared" si="1007"/>
        <v>20020</v>
      </c>
      <c r="B28287" s="2" t="str">
        <f>"36320"</f>
        <v>36320</v>
      </c>
      <c r="C28287" s="1">
        <v>2.38337090900081E-2</v>
      </c>
      <c r="D28287" s="1">
        <v>8.9024115393283709E-3</v>
      </c>
      <c r="E28287" s="1">
        <v>1.41267123287671E-2</v>
      </c>
      <c r="F28287" s="1">
        <v>2.2145840584754599E-2</v>
      </c>
    </row>
    <row r="28288" spans="1:6" x14ac:dyDescent="0.25">
      <c r="A28288" s="2" t="str">
        <f t="shared" si="1007"/>
        <v>20020</v>
      </c>
      <c r="B28288" s="2" t="str">
        <f>"36376"</f>
        <v>36376</v>
      </c>
      <c r="C28288" s="1">
        <v>1.50385253821569E-2</v>
      </c>
      <c r="D28288" s="1">
        <v>2.70453008789722E-3</v>
      </c>
      <c r="E28288" s="1">
        <v>5.9931506849314996E-3</v>
      </c>
      <c r="F28288" s="1">
        <v>1.36181691611555E-2</v>
      </c>
    </row>
    <row r="28289" spans="1:6" x14ac:dyDescent="0.25">
      <c r="A28289" s="2" t="str">
        <f t="shared" si="1007"/>
        <v>20020</v>
      </c>
      <c r="B28289" s="2" t="str">
        <f>"36467"</f>
        <v>36467</v>
      </c>
      <c r="C28289" s="1">
        <v>1.23875826871144E-5</v>
      </c>
      <c r="D28289" s="1">
        <v>0</v>
      </c>
      <c r="E28289" s="1">
        <v>0</v>
      </c>
      <c r="F28289" s="1">
        <v>1.0877131917855801E-5</v>
      </c>
    </row>
    <row r="28290" spans="1:6" x14ac:dyDescent="0.25">
      <c r="A28290" s="2" t="str">
        <f t="shared" si="1007"/>
        <v>20020</v>
      </c>
      <c r="B28290" s="2" t="str">
        <f>"36477"</f>
        <v>36477</v>
      </c>
      <c r="C28290" s="1">
        <v>3.5032083839159602E-2</v>
      </c>
      <c r="D28290" s="1">
        <v>3.4595447374352002E-2</v>
      </c>
      <c r="E28290" s="1">
        <v>3.8527397260273901E-3</v>
      </c>
      <c r="F28290" s="1">
        <v>3.4197702749738899E-2</v>
      </c>
    </row>
    <row r="28291" spans="1:6" x14ac:dyDescent="0.25">
      <c r="A28291" s="2" t="str">
        <f t="shared" si="1007"/>
        <v>20020</v>
      </c>
      <c r="B28291" s="2" t="str">
        <f>"36301"</f>
        <v>36301</v>
      </c>
      <c r="C28291" s="1">
        <v>0.236020612937591</v>
      </c>
      <c r="D28291" s="1">
        <v>0.253775073247689</v>
      </c>
      <c r="E28291" s="1">
        <v>0.33176369863013599</v>
      </c>
      <c r="F28291" s="1">
        <v>0.24016707274625801</v>
      </c>
    </row>
    <row r="28292" spans="1:6" x14ac:dyDescent="0.25">
      <c r="A28292" s="2" t="str">
        <f t="shared" si="1007"/>
        <v>20020</v>
      </c>
      <c r="B28292" s="2" t="str">
        <f>"36344"</f>
        <v>36344</v>
      </c>
      <c r="C28292" s="1">
        <v>3.9615489433391902E-2</v>
      </c>
      <c r="D28292" s="1">
        <v>2.5580347081361199E-2</v>
      </c>
      <c r="E28292" s="1">
        <v>1.0273972602739699E-2</v>
      </c>
      <c r="F28292" s="1">
        <v>3.7515227984684901E-2</v>
      </c>
    </row>
    <row r="28293" spans="1:6" x14ac:dyDescent="0.25">
      <c r="A28293" s="2" t="str">
        <f t="shared" si="1007"/>
        <v>20020</v>
      </c>
      <c r="B28293" s="2" t="str">
        <f>"36319"</f>
        <v>36319</v>
      </c>
      <c r="C28293" s="1">
        <v>1.5880881004880699E-2</v>
      </c>
      <c r="D28293" s="1">
        <v>5.4090601757944496E-3</v>
      </c>
      <c r="E28293" s="1">
        <v>8.1335616438356108E-3</v>
      </c>
      <c r="F28293" s="1">
        <v>1.4673250957187601E-2</v>
      </c>
    </row>
    <row r="28294" spans="1:6" x14ac:dyDescent="0.25">
      <c r="A28294" s="2" t="str">
        <f t="shared" si="1007"/>
        <v>20020</v>
      </c>
      <c r="B28294" s="2" t="str">
        <f>"36310"</f>
        <v>36310</v>
      </c>
      <c r="C28294" s="1">
        <v>5.8878180511854901E-2</v>
      </c>
      <c r="D28294" s="1">
        <v>4.8343475321162899E-2</v>
      </c>
      <c r="E28294" s="1">
        <v>6.50684931506849E-2</v>
      </c>
      <c r="F28294" s="1">
        <v>5.8018621649843297E-2</v>
      </c>
    </row>
    <row r="28295" spans="1:6" x14ac:dyDescent="0.25">
      <c r="A28295" s="2" t="str">
        <f t="shared" si="1007"/>
        <v>20020</v>
      </c>
      <c r="B28295" s="2" t="str">
        <f>"36305"</f>
        <v>36305</v>
      </c>
      <c r="C28295" s="1">
        <v>0.100277481852191</v>
      </c>
      <c r="D28295" s="1">
        <v>8.9136804146946094E-2</v>
      </c>
      <c r="E28295" s="1">
        <v>0.120719178082191</v>
      </c>
      <c r="F28295" s="1">
        <v>9.9721545422902805E-2</v>
      </c>
    </row>
    <row r="28296" spans="1:6" x14ac:dyDescent="0.25">
      <c r="A28296" s="2" t="str">
        <f t="shared" si="1007"/>
        <v>20020</v>
      </c>
      <c r="B28296" s="2" t="str">
        <f>"36318"</f>
        <v>36318</v>
      </c>
      <c r="C28296" s="1">
        <v>5.3266605554591999E-3</v>
      </c>
      <c r="D28296" s="1">
        <v>4.5075501464953701E-4</v>
      </c>
      <c r="E28296" s="1">
        <v>0</v>
      </c>
      <c r="F28296" s="1">
        <v>4.7206752523494596E-3</v>
      </c>
    </row>
    <row r="28297" spans="1:6" x14ac:dyDescent="0.25">
      <c r="A28297" s="2" t="str">
        <f t="shared" si="1007"/>
        <v>20020</v>
      </c>
      <c r="B28297" s="2" t="str">
        <f>"36442"</f>
        <v>36442</v>
      </c>
      <c r="C28297" s="1">
        <v>8.6713078809801006E-5</v>
      </c>
      <c r="D28297" s="1">
        <v>0</v>
      </c>
      <c r="E28297" s="1">
        <v>0</v>
      </c>
      <c r="F28297" s="1">
        <v>7.6139923424991201E-5</v>
      </c>
    </row>
    <row r="28298" spans="1:6" x14ac:dyDescent="0.25">
      <c r="A28298" s="2" t="str">
        <f t="shared" si="1007"/>
        <v>20020</v>
      </c>
      <c r="B28298" s="2" t="str">
        <f>"36453"</f>
        <v>36453</v>
      </c>
      <c r="C28298" s="1">
        <v>6.2185665089314404E-3</v>
      </c>
      <c r="D28298" s="1">
        <v>1.46495379761099E-3</v>
      </c>
      <c r="E28298" s="1">
        <v>0</v>
      </c>
      <c r="F28298" s="1">
        <v>5.6017229376957803E-3</v>
      </c>
    </row>
    <row r="28299" spans="1:6" x14ac:dyDescent="0.25">
      <c r="A28299" s="2" t="str">
        <f t="shared" si="1007"/>
        <v>20020</v>
      </c>
      <c r="B28299" s="2" t="str">
        <f>"36375"</f>
        <v>36375</v>
      </c>
      <c r="C28299" s="1">
        <v>4.8707975125733903E-2</v>
      </c>
      <c r="D28299" s="1">
        <v>1.7466756817669502E-2</v>
      </c>
      <c r="E28299" s="1">
        <v>1.1558219178082099E-2</v>
      </c>
      <c r="F28299" s="1">
        <v>4.4748520710059102E-2</v>
      </c>
    </row>
    <row r="28300" spans="1:6" x14ac:dyDescent="0.25">
      <c r="A28300" s="2" t="str">
        <f t="shared" si="1007"/>
        <v>20020</v>
      </c>
      <c r="B28300" s="2" t="str">
        <f>"36016"</f>
        <v>36016</v>
      </c>
      <c r="C28300" s="1">
        <v>1.23875826871144E-5</v>
      </c>
      <c r="D28300" s="1">
        <v>0</v>
      </c>
      <c r="E28300" s="1">
        <v>0</v>
      </c>
      <c r="F28300" s="1">
        <v>1.0877131917855801E-5</v>
      </c>
    </row>
    <row r="28301" spans="1:6" x14ac:dyDescent="0.25">
      <c r="A28301" s="2" t="str">
        <f t="shared" si="1007"/>
        <v>20020</v>
      </c>
      <c r="B28301" s="2" t="str">
        <f>"36343"</f>
        <v>36343</v>
      </c>
      <c r="C28301" s="1">
        <v>1.1024948591531801E-2</v>
      </c>
      <c r="D28301" s="1">
        <v>3.26797385620915E-3</v>
      </c>
      <c r="E28301" s="1">
        <v>8.5616438356164303E-4</v>
      </c>
      <c r="F28301" s="1">
        <v>1.00178384963452E-2</v>
      </c>
    </row>
    <row r="28302" spans="1:6" x14ac:dyDescent="0.25">
      <c r="A28302" s="2" t="str">
        <f t="shared" si="1007"/>
        <v>20020</v>
      </c>
      <c r="B28302" s="2" t="str">
        <f>"36316"</f>
        <v>36316</v>
      </c>
      <c r="C28302" s="1">
        <v>6.9742090528454202E-3</v>
      </c>
      <c r="D28302" s="1">
        <v>1.46495379761099E-3</v>
      </c>
      <c r="E28302" s="1">
        <v>0</v>
      </c>
      <c r="F28302" s="1">
        <v>6.2652279846849897E-3</v>
      </c>
    </row>
    <row r="28303" spans="1:6" x14ac:dyDescent="0.25">
      <c r="A28303" s="2" t="str">
        <f t="shared" si="1007"/>
        <v>20020</v>
      </c>
      <c r="B28303" s="2" t="str">
        <f>"36350"</f>
        <v>36350</v>
      </c>
      <c r="C28303" s="1">
        <v>4.7320565864777103E-3</v>
      </c>
      <c r="D28303" s="1">
        <v>7.8882127563669098E-4</v>
      </c>
      <c r="E28303" s="1">
        <v>0</v>
      </c>
      <c r="F28303" s="1">
        <v>4.23120431604594E-3</v>
      </c>
    </row>
    <row r="28304" spans="1:6" x14ac:dyDescent="0.25">
      <c r="A28304" s="2" t="str">
        <f t="shared" ref="A28304:A28335" si="1008">"33660"</f>
        <v>33660</v>
      </c>
      <c r="B28304" s="2" t="str">
        <f>"36608"</f>
        <v>36608</v>
      </c>
      <c r="C28304" s="1">
        <v>8.2248157794152899E-2</v>
      </c>
      <c r="D28304" s="1">
        <v>9.3968571169043502E-2</v>
      </c>
      <c r="E28304" s="1">
        <v>0.113255033557046</v>
      </c>
      <c r="F28304" s="1">
        <v>8.39987350778717E-2</v>
      </c>
    </row>
    <row r="28305" spans="1:6" x14ac:dyDescent="0.25">
      <c r="A28305" s="2" t="str">
        <f t="shared" si="1008"/>
        <v>33660</v>
      </c>
      <c r="B28305" s="2" t="str">
        <f>"36569"</f>
        <v>36569</v>
      </c>
      <c r="C28305" s="1">
        <v>1.63554101741317E-3</v>
      </c>
      <c r="D28305" s="1">
        <v>2.27086928876373E-4</v>
      </c>
      <c r="E28305" s="1">
        <v>0</v>
      </c>
      <c r="F28305" s="1">
        <v>1.4744248557198099E-3</v>
      </c>
    </row>
    <row r="28306" spans="1:6" x14ac:dyDescent="0.25">
      <c r="A28306" s="2" t="str">
        <f t="shared" si="1008"/>
        <v>33660</v>
      </c>
      <c r="B28306" s="2" t="str">
        <f>"36670"</f>
        <v>36670</v>
      </c>
      <c r="C28306" s="1">
        <v>2.4844223606901202E-3</v>
      </c>
      <c r="D28306" s="1">
        <v>6.5401035516395598E-3</v>
      </c>
      <c r="E28306" s="1">
        <v>3.35570469798657E-4</v>
      </c>
      <c r="F28306" s="1">
        <v>2.78678156375998E-3</v>
      </c>
    </row>
    <row r="28307" spans="1:6" x14ac:dyDescent="0.25">
      <c r="A28307" s="2" t="str">
        <f t="shared" si="1008"/>
        <v>33660</v>
      </c>
      <c r="B28307" s="2" t="str">
        <f>"36548"</f>
        <v>36548</v>
      </c>
      <c r="C28307" s="1">
        <v>2.1333143705389202E-3</v>
      </c>
      <c r="D28307" s="1">
        <v>1.0900172586065899E-3</v>
      </c>
      <c r="E28307" s="1">
        <v>3.35570469798657E-4</v>
      </c>
      <c r="F28307" s="1">
        <v>2.00015811526602E-3</v>
      </c>
    </row>
    <row r="28308" spans="1:6" x14ac:dyDescent="0.25">
      <c r="A28308" s="2" t="str">
        <f t="shared" si="1008"/>
        <v>33660</v>
      </c>
      <c r="B28308" s="2" t="str">
        <f>"36513"</f>
        <v>36513</v>
      </c>
      <c r="C28308" s="1">
        <v>3.9999644447604901E-5</v>
      </c>
      <c r="D28308" s="1">
        <v>4.5417385775274697E-5</v>
      </c>
      <c r="E28308" s="1">
        <v>0</v>
      </c>
      <c r="F28308" s="1">
        <v>3.9528816507233697E-5</v>
      </c>
    </row>
    <row r="28309" spans="1:6" x14ac:dyDescent="0.25">
      <c r="A28309" s="2" t="str">
        <f t="shared" si="1008"/>
        <v>33660</v>
      </c>
      <c r="B28309" s="2" t="str">
        <f>"36606"</f>
        <v>36606</v>
      </c>
      <c r="C28309" s="1">
        <v>4.1515186531675199E-2</v>
      </c>
      <c r="D28309" s="1">
        <v>9.6012353528930797E-2</v>
      </c>
      <c r="E28309" s="1">
        <v>7.8020134228187904E-2</v>
      </c>
      <c r="F28309" s="1">
        <v>4.7118349276622597E-2</v>
      </c>
    </row>
    <row r="28310" spans="1:6" x14ac:dyDescent="0.25">
      <c r="A28310" s="2" t="str">
        <f t="shared" si="1008"/>
        <v>33660</v>
      </c>
      <c r="B28310" s="2" t="str">
        <f>"36603"</f>
        <v>36603</v>
      </c>
      <c r="C28310" s="1">
        <v>2.0070932702820399E-2</v>
      </c>
      <c r="D28310" s="1">
        <v>2.3389953674266498E-2</v>
      </c>
      <c r="E28310" s="1">
        <v>2.68456375838926E-2</v>
      </c>
      <c r="F28310" s="1">
        <v>2.0519408648904999E-2</v>
      </c>
    </row>
    <row r="28311" spans="1:6" x14ac:dyDescent="0.25">
      <c r="A28311" s="2" t="str">
        <f t="shared" si="1008"/>
        <v>33660</v>
      </c>
      <c r="B28311" s="2" t="str">
        <f>"36675"</f>
        <v>36675</v>
      </c>
      <c r="C28311" s="1">
        <v>0</v>
      </c>
      <c r="D28311" s="1">
        <v>4.5417385775274697E-5</v>
      </c>
      <c r="E28311" s="1">
        <v>0</v>
      </c>
      <c r="F28311" s="1">
        <v>3.9528816507233704E-6</v>
      </c>
    </row>
    <row r="28312" spans="1:6" x14ac:dyDescent="0.25">
      <c r="A28312" s="2" t="str">
        <f t="shared" si="1008"/>
        <v>33660</v>
      </c>
      <c r="B28312" s="2" t="str">
        <f>"36644"</f>
        <v>36644</v>
      </c>
      <c r="C28312" s="1">
        <v>0</v>
      </c>
      <c r="D28312" s="1">
        <v>4.5417385775274697E-5</v>
      </c>
      <c r="E28312" s="1">
        <v>0</v>
      </c>
      <c r="F28312" s="1">
        <v>3.9528816507233704E-6</v>
      </c>
    </row>
    <row r="28313" spans="1:6" x14ac:dyDescent="0.25">
      <c r="A28313" s="2" t="str">
        <f t="shared" si="1008"/>
        <v>33660</v>
      </c>
      <c r="B28313" s="2" t="str">
        <f>"36512"</f>
        <v>36512</v>
      </c>
      <c r="C28313" s="1">
        <v>0</v>
      </c>
      <c r="D28313" s="1">
        <v>9.0834771550549502E-5</v>
      </c>
      <c r="E28313" s="1">
        <v>0</v>
      </c>
      <c r="F28313" s="1">
        <v>7.9057633014467493E-6</v>
      </c>
    </row>
    <row r="28314" spans="1:6" x14ac:dyDescent="0.25">
      <c r="A28314" s="2" t="str">
        <f t="shared" si="1008"/>
        <v>33660</v>
      </c>
      <c r="B28314" s="2" t="str">
        <f>"36521"</f>
        <v>36521</v>
      </c>
      <c r="C28314" s="1">
        <v>1.07643487613443E-2</v>
      </c>
      <c r="D28314" s="1">
        <v>1.81669543101099E-3</v>
      </c>
      <c r="E28314" s="1">
        <v>9.8993288590603998E-3</v>
      </c>
      <c r="F28314" s="1">
        <v>9.9652146414736294E-3</v>
      </c>
    </row>
    <row r="28315" spans="1:6" x14ac:dyDescent="0.25">
      <c r="A28315" s="2" t="str">
        <f t="shared" si="1008"/>
        <v>33660</v>
      </c>
      <c r="B28315" s="2" t="str">
        <f>"36607"</f>
        <v>36607</v>
      </c>
      <c r="C28315" s="1">
        <v>1.7044292939618299E-2</v>
      </c>
      <c r="D28315" s="1">
        <v>3.25188482150967E-2</v>
      </c>
      <c r="E28315" s="1">
        <v>3.1040268456375801E-2</v>
      </c>
      <c r="F28315" s="1">
        <v>1.8720847497825901E-2</v>
      </c>
    </row>
    <row r="28316" spans="1:6" x14ac:dyDescent="0.25">
      <c r="A28316" s="2" t="str">
        <f t="shared" si="1008"/>
        <v>33660</v>
      </c>
      <c r="B28316" s="2" t="str">
        <f>"36583"</f>
        <v>36583</v>
      </c>
      <c r="C28316" s="1">
        <v>1.4577648198682599E-3</v>
      </c>
      <c r="D28316" s="1">
        <v>1.81669543101099E-4</v>
      </c>
      <c r="E28316" s="1">
        <v>3.35570469798657E-4</v>
      </c>
      <c r="F28316" s="1">
        <v>1.3202624713416001E-3</v>
      </c>
    </row>
    <row r="28317" spans="1:6" x14ac:dyDescent="0.25">
      <c r="A28317" s="2" t="str">
        <f t="shared" si="1008"/>
        <v>33660</v>
      </c>
      <c r="B28317" s="2" t="str">
        <f>"36572"</f>
        <v>36572</v>
      </c>
      <c r="C28317" s="1">
        <v>1.50754215518084E-2</v>
      </c>
      <c r="D28317" s="1">
        <v>7.2213643382686796E-3</v>
      </c>
      <c r="E28317" s="1">
        <v>2.4328859060402601E-2</v>
      </c>
      <c r="F28317" s="1">
        <v>1.46098505810736E-2</v>
      </c>
    </row>
    <row r="28318" spans="1:6" x14ac:dyDescent="0.25">
      <c r="A28318" s="2" t="str">
        <f t="shared" si="1008"/>
        <v>33660</v>
      </c>
      <c r="B28318" s="2" t="str">
        <f>"36691"</f>
        <v>36691</v>
      </c>
      <c r="C28318" s="1">
        <v>3.5288575212664699E-3</v>
      </c>
      <c r="D28318" s="1">
        <v>1.6986102279952699E-2</v>
      </c>
      <c r="E28318" s="1">
        <v>3.35570469798657E-4</v>
      </c>
      <c r="F28318" s="1">
        <v>4.6248715313463497E-3</v>
      </c>
    </row>
    <row r="28319" spans="1:6" x14ac:dyDescent="0.25">
      <c r="A28319" s="2" t="str">
        <f t="shared" si="1008"/>
        <v>33660</v>
      </c>
      <c r="B28319" s="2" t="str">
        <f>"36640"</f>
        <v>36640</v>
      </c>
      <c r="C28319" s="1">
        <v>2.40442307179491E-3</v>
      </c>
      <c r="D28319" s="1">
        <v>6.5855209374148403E-3</v>
      </c>
      <c r="E28319" s="1">
        <v>3.35570469798657E-4</v>
      </c>
      <c r="F28319" s="1">
        <v>2.71958257569768E-3</v>
      </c>
    </row>
    <row r="28320" spans="1:6" x14ac:dyDescent="0.25">
      <c r="A28320" s="2" t="str">
        <f t="shared" si="1008"/>
        <v>33660</v>
      </c>
      <c r="B28320" s="2" t="str">
        <f>"36688"</f>
        <v>36688</v>
      </c>
      <c r="C28320" s="1">
        <v>1.6888738766766499E-3</v>
      </c>
      <c r="D28320" s="1">
        <v>4.5417385775274697E-5</v>
      </c>
      <c r="E28320" s="1">
        <v>3.35570469798657E-4</v>
      </c>
      <c r="F28320" s="1">
        <v>1.51395367222705E-3</v>
      </c>
    </row>
    <row r="28321" spans="1:6" x14ac:dyDescent="0.25">
      <c r="A28321" s="2" t="str">
        <f t="shared" si="1008"/>
        <v>33660</v>
      </c>
      <c r="B28321" s="2" t="str">
        <f>"36611"</f>
        <v>36611</v>
      </c>
      <c r="C28321" s="1">
        <v>1.3604323517124201E-2</v>
      </c>
      <c r="D28321" s="1">
        <v>1.04005813425379E-2</v>
      </c>
      <c r="E28321" s="1">
        <v>1.3255033557046899E-2</v>
      </c>
      <c r="F28321" s="1">
        <v>1.3317258281287001E-2</v>
      </c>
    </row>
    <row r="28322" spans="1:6" x14ac:dyDescent="0.25">
      <c r="A28322" s="2" t="str">
        <f t="shared" si="1008"/>
        <v>33660</v>
      </c>
      <c r="B28322" s="2" t="str">
        <f>"36529"</f>
        <v>36529</v>
      </c>
      <c r="C28322" s="1">
        <v>1.0933236149012E-3</v>
      </c>
      <c r="D28322" s="1">
        <v>1.81669543101099E-4</v>
      </c>
      <c r="E28322" s="1">
        <v>1.6778523489932801E-4</v>
      </c>
      <c r="F28322" s="1">
        <v>9.9217329433156699E-4</v>
      </c>
    </row>
    <row r="28323" spans="1:6" x14ac:dyDescent="0.25">
      <c r="A28323" s="2" t="str">
        <f t="shared" si="1008"/>
        <v>33660</v>
      </c>
      <c r="B28323" s="2" t="str">
        <f>"36505"</f>
        <v>36505</v>
      </c>
      <c r="C28323" s="1">
        <v>2.88441880516617E-3</v>
      </c>
      <c r="D28323" s="1">
        <v>1.40793895903351E-3</v>
      </c>
      <c r="E28323" s="1">
        <v>2.1812080536912702E-3</v>
      </c>
      <c r="F28323" s="1">
        <v>2.7393469839512999E-3</v>
      </c>
    </row>
    <row r="28324" spans="1:6" x14ac:dyDescent="0.25">
      <c r="A28324" s="2" t="str">
        <f t="shared" si="1008"/>
        <v>33660</v>
      </c>
      <c r="B28324" s="2" t="str">
        <f>"36601"</f>
        <v>36601</v>
      </c>
      <c r="C28324" s="1">
        <v>2.70219820268264E-3</v>
      </c>
      <c r="D28324" s="1">
        <v>1.3988554818784599E-2</v>
      </c>
      <c r="E28324" s="1">
        <v>1.6778523489932801E-4</v>
      </c>
      <c r="F28324" s="1">
        <v>3.6247924737133298E-3</v>
      </c>
    </row>
    <row r="28325" spans="1:6" x14ac:dyDescent="0.25">
      <c r="A28325" s="2" t="str">
        <f t="shared" si="1008"/>
        <v>33660</v>
      </c>
      <c r="B28325" s="2" t="str">
        <f>"36652"</f>
        <v>36652</v>
      </c>
      <c r="C28325" s="1">
        <v>1.57331934827245E-3</v>
      </c>
      <c r="D28325" s="1">
        <v>1.0037242256335699E-2</v>
      </c>
      <c r="E28325" s="1">
        <v>3.35570469798657E-4</v>
      </c>
      <c r="F28325" s="1">
        <v>2.2808127124673799E-3</v>
      </c>
    </row>
    <row r="28326" spans="1:6" x14ac:dyDescent="0.25">
      <c r="A28326" s="2" t="str">
        <f t="shared" si="1008"/>
        <v>33660</v>
      </c>
      <c r="B28326" s="2" t="str">
        <f>"36689"</f>
        <v>36689</v>
      </c>
      <c r="C28326" s="1">
        <v>5.0221775806437198E-3</v>
      </c>
      <c r="D28326" s="1">
        <v>1.5396493777818101E-2</v>
      </c>
      <c r="E28326" s="1">
        <v>3.35570469798657E-4</v>
      </c>
      <c r="F28326" s="1">
        <v>5.8146889082140796E-3</v>
      </c>
    </row>
    <row r="28327" spans="1:6" x14ac:dyDescent="0.25">
      <c r="A28327" s="2" t="str">
        <f t="shared" si="1008"/>
        <v>33660</v>
      </c>
      <c r="B28327" s="2" t="str">
        <f>"36610"</f>
        <v>36610</v>
      </c>
      <c r="C28327" s="1">
        <v>3.7035226353543498E-2</v>
      </c>
      <c r="D28327" s="1">
        <v>3.2564265600872E-2</v>
      </c>
      <c r="E28327" s="1">
        <v>2.1812080536912699E-2</v>
      </c>
      <c r="F28327" s="1">
        <v>3.6287453553640603E-2</v>
      </c>
    </row>
    <row r="28328" spans="1:6" x14ac:dyDescent="0.25">
      <c r="A28328" s="2" t="str">
        <f t="shared" si="1008"/>
        <v>33660</v>
      </c>
      <c r="B28328" s="2" t="str">
        <f>"36518"</f>
        <v>36518</v>
      </c>
      <c r="C28328" s="1">
        <v>3.5733015706527001E-3</v>
      </c>
      <c r="D28328" s="1">
        <v>1.0445998728313101E-3</v>
      </c>
      <c r="E28328" s="1">
        <v>1.1744966442953E-3</v>
      </c>
      <c r="F28328" s="1">
        <v>3.2967032967032902E-3</v>
      </c>
    </row>
    <row r="28329" spans="1:6" x14ac:dyDescent="0.25">
      <c r="A28329" s="2" t="str">
        <f t="shared" si="1008"/>
        <v>33660</v>
      </c>
      <c r="B28329" s="2" t="str">
        <f>"36604"</f>
        <v>36604</v>
      </c>
      <c r="C28329" s="1">
        <v>2.3568679389516501E-2</v>
      </c>
      <c r="D28329" s="1">
        <v>2.3389953674266498E-2</v>
      </c>
      <c r="E28329" s="1">
        <v>5.8053691275167699E-2</v>
      </c>
      <c r="F28329" s="1">
        <v>2.43655624950588E-2</v>
      </c>
    </row>
    <row r="28330" spans="1:6" x14ac:dyDescent="0.25">
      <c r="A28330" s="2" t="str">
        <f t="shared" si="1008"/>
        <v>33660</v>
      </c>
      <c r="B28330" s="2" t="str">
        <f>"36602"</f>
        <v>36602</v>
      </c>
      <c r="C28330" s="1">
        <v>3.5999680002844398E-3</v>
      </c>
      <c r="D28330" s="1">
        <v>5.5817967117812603E-2</v>
      </c>
      <c r="E28330" s="1">
        <v>2.8691275167785201E-2</v>
      </c>
      <c r="F28330" s="1">
        <v>8.7358684480986597E-3</v>
      </c>
    </row>
    <row r="28331" spans="1:6" x14ac:dyDescent="0.25">
      <c r="A28331" s="2" t="str">
        <f t="shared" si="1008"/>
        <v>33660</v>
      </c>
      <c r="B28331" s="2" t="str">
        <f>"36585"</f>
        <v>36585</v>
      </c>
      <c r="C28331" s="1">
        <v>1.89776090879192E-3</v>
      </c>
      <c r="D28331" s="1">
        <v>4.9959124352802204E-4</v>
      </c>
      <c r="E28331" s="1">
        <v>0</v>
      </c>
      <c r="F28331" s="1">
        <v>1.73136216301683E-3</v>
      </c>
    </row>
    <row r="28332" spans="1:6" x14ac:dyDescent="0.25">
      <c r="A28332" s="2" t="str">
        <f t="shared" si="1008"/>
        <v>33660</v>
      </c>
      <c r="B28332" s="2" t="str">
        <f>"36584"</f>
        <v>36584</v>
      </c>
      <c r="C28332" s="1">
        <v>1.8622056692829301E-3</v>
      </c>
      <c r="D28332" s="1">
        <v>3.1792170042692299E-4</v>
      </c>
      <c r="E28332" s="1">
        <v>1.6778523489932801E-4</v>
      </c>
      <c r="F28332" s="1">
        <v>1.68788046485888E-3</v>
      </c>
    </row>
    <row r="28333" spans="1:6" x14ac:dyDescent="0.25">
      <c r="A28333" s="2" t="str">
        <f t="shared" si="1008"/>
        <v>33660</v>
      </c>
      <c r="B28333" s="2" t="str">
        <f>"36660"</f>
        <v>36660</v>
      </c>
      <c r="C28333" s="1">
        <v>4.47551577319312E-3</v>
      </c>
      <c r="D28333" s="1">
        <v>1.0037242256335699E-2</v>
      </c>
      <c r="E28333" s="1">
        <v>3.35570469798657E-4</v>
      </c>
      <c r="F28333" s="1">
        <v>4.8620444303897501E-3</v>
      </c>
    </row>
    <row r="28334" spans="1:6" x14ac:dyDescent="0.25">
      <c r="A28334" s="2" t="str">
        <f t="shared" si="1008"/>
        <v>33660</v>
      </c>
      <c r="B28334" s="2" t="str">
        <f>"36619"</f>
        <v>36619</v>
      </c>
      <c r="C28334" s="1">
        <v>3.39908089705869E-2</v>
      </c>
      <c r="D28334" s="1">
        <v>4.1420655827050498E-2</v>
      </c>
      <c r="E28334" s="1">
        <v>2.2986577181208001E-2</v>
      </c>
      <c r="F28334" s="1">
        <v>3.43782117163412E-2</v>
      </c>
    </row>
    <row r="28335" spans="1:6" x14ac:dyDescent="0.25">
      <c r="A28335" s="2" t="str">
        <f t="shared" si="1008"/>
        <v>33660</v>
      </c>
      <c r="B28335" s="2" t="str">
        <f>"36618"</f>
        <v>36618</v>
      </c>
      <c r="C28335" s="1">
        <v>3.4764135429907202E-2</v>
      </c>
      <c r="D28335" s="1">
        <v>2.5569988191479601E-2</v>
      </c>
      <c r="E28335" s="1">
        <v>2.6342281879194601E-2</v>
      </c>
      <c r="F28335" s="1">
        <v>3.3765515060479E-2</v>
      </c>
    </row>
    <row r="28336" spans="1:6" x14ac:dyDescent="0.25">
      <c r="A28336" s="2" t="str">
        <f t="shared" ref="A28336:A28368" si="1009">"33660"</f>
        <v>33660</v>
      </c>
      <c r="B28336" s="2" t="str">
        <f>"36613"</f>
        <v>36613</v>
      </c>
      <c r="C28336" s="1">
        <v>2.5204220406929701E-2</v>
      </c>
      <c r="D28336" s="1">
        <v>1.0264329185211999E-2</v>
      </c>
      <c r="E28336" s="1">
        <v>1.24161073825503E-2</v>
      </c>
      <c r="F28336" s="1">
        <v>2.3602656336469199E-2</v>
      </c>
    </row>
    <row r="28337" spans="1:6" x14ac:dyDescent="0.25">
      <c r="A28337" s="2" t="str">
        <f t="shared" si="1009"/>
        <v>33660</v>
      </c>
      <c r="B28337" s="2" t="str">
        <f>"36541"</f>
        <v>36541</v>
      </c>
      <c r="C28337" s="1">
        <v>3.27063759433249E-2</v>
      </c>
      <c r="D28337" s="1">
        <v>1.1263511672268099E-2</v>
      </c>
      <c r="E28337" s="1">
        <v>1.8624161073825501E-2</v>
      </c>
      <c r="F28337" s="1">
        <v>3.0508340580283001E-2</v>
      </c>
    </row>
    <row r="28338" spans="1:6" x14ac:dyDescent="0.25">
      <c r="A28338" s="2" t="str">
        <f t="shared" si="1009"/>
        <v>33660</v>
      </c>
      <c r="B28338" s="2" t="str">
        <f>"36605"</f>
        <v>36605</v>
      </c>
      <c r="C28338" s="1">
        <v>6.5012755442173803E-2</v>
      </c>
      <c r="D28338" s="1">
        <v>2.92942138250522E-2</v>
      </c>
      <c r="E28338" s="1">
        <v>4.3791946308724801E-2</v>
      </c>
      <c r="F28338" s="1">
        <v>6.1404063562336901E-2</v>
      </c>
    </row>
    <row r="28339" spans="1:6" x14ac:dyDescent="0.25">
      <c r="A28339" s="2" t="str">
        <f t="shared" si="1009"/>
        <v>33660</v>
      </c>
      <c r="B28339" s="2" t="str">
        <f>"36590"</f>
        <v>36590</v>
      </c>
      <c r="C28339" s="1">
        <v>4.7421800695104897E-3</v>
      </c>
      <c r="D28339" s="1">
        <v>9.0834771550549493E-3</v>
      </c>
      <c r="E28339" s="1">
        <v>3.35570469798657E-4</v>
      </c>
      <c r="F28339" s="1">
        <v>5.0162068147679602E-3</v>
      </c>
    </row>
    <row r="28340" spans="1:6" x14ac:dyDescent="0.25">
      <c r="A28340" s="2" t="str">
        <f t="shared" si="1009"/>
        <v>33660</v>
      </c>
      <c r="B28340" s="2" t="str">
        <f>"36568"</f>
        <v>36568</v>
      </c>
      <c r="C28340" s="1">
        <v>2.3244237828996999E-3</v>
      </c>
      <c r="D28340" s="1">
        <v>1.3171041874829601E-3</v>
      </c>
      <c r="E28340" s="1">
        <v>3.35570469798657E-4</v>
      </c>
      <c r="F28340" s="1">
        <v>2.1898964345007498E-3</v>
      </c>
    </row>
    <row r="28341" spans="1:6" x14ac:dyDescent="0.25">
      <c r="A28341" s="2" t="str">
        <f t="shared" si="1009"/>
        <v>33660</v>
      </c>
      <c r="B28341" s="2" t="str">
        <f>"36571"</f>
        <v>36571</v>
      </c>
      <c r="C28341" s="1">
        <v>3.6541897405356301E-2</v>
      </c>
      <c r="D28341" s="1">
        <v>4.4236533745117601E-2</v>
      </c>
      <c r="E28341" s="1">
        <v>3.9429530201342197E-2</v>
      </c>
      <c r="F28341" s="1">
        <v>3.7279626847972099E-2</v>
      </c>
    </row>
    <row r="28342" spans="1:6" x14ac:dyDescent="0.25">
      <c r="A28342" s="2" t="str">
        <f t="shared" si="1009"/>
        <v>33660</v>
      </c>
      <c r="B28342" s="2" t="str">
        <f>"36558"</f>
        <v>36558</v>
      </c>
      <c r="C28342" s="1">
        <v>7.8532635265464307E-3</v>
      </c>
      <c r="D28342" s="1">
        <v>2.6796257607412102E-3</v>
      </c>
      <c r="E28342" s="1">
        <v>1.5100671140939499E-3</v>
      </c>
      <c r="F28342" s="1">
        <v>7.2535378290773901E-3</v>
      </c>
    </row>
    <row r="28343" spans="1:6" x14ac:dyDescent="0.25">
      <c r="A28343" s="2" t="str">
        <f t="shared" si="1009"/>
        <v>33660</v>
      </c>
      <c r="B28343" s="2" t="str">
        <f>"36671"</f>
        <v>36671</v>
      </c>
      <c r="C28343" s="1">
        <v>1.49776446431587E-3</v>
      </c>
      <c r="D28343" s="1">
        <v>2.9521300753928602E-3</v>
      </c>
      <c r="E28343" s="1">
        <v>3.35570469798657E-4</v>
      </c>
      <c r="F28343" s="1">
        <v>1.5969641868922399E-3</v>
      </c>
    </row>
    <row r="28344" spans="1:6" x14ac:dyDescent="0.25">
      <c r="A28344" s="2" t="str">
        <f t="shared" si="1009"/>
        <v>33660</v>
      </c>
      <c r="B28344" s="2" t="str">
        <f>"36612"</f>
        <v>36612</v>
      </c>
      <c r="C28344" s="1">
        <v>9.9376894427604997E-3</v>
      </c>
      <c r="D28344" s="1">
        <v>1.07639204287401E-2</v>
      </c>
      <c r="E28344" s="1">
        <v>6.3758389261744904E-3</v>
      </c>
      <c r="F28344" s="1">
        <v>9.9256858249664008E-3</v>
      </c>
    </row>
    <row r="28345" spans="1:6" x14ac:dyDescent="0.25">
      <c r="A28345" s="2" t="str">
        <f t="shared" si="1009"/>
        <v>33660</v>
      </c>
      <c r="B28345" s="2" t="str">
        <f>"36695"</f>
        <v>36695</v>
      </c>
      <c r="C28345" s="1">
        <v>9.8332459267028702E-2</v>
      </c>
      <c r="D28345" s="1">
        <v>4.1556907984376397E-2</v>
      </c>
      <c r="E28345" s="1">
        <v>5.0671140939597299E-2</v>
      </c>
      <c r="F28345" s="1">
        <v>9.2268163491184996E-2</v>
      </c>
    </row>
    <row r="28346" spans="1:6" x14ac:dyDescent="0.25">
      <c r="A28346" s="2" t="str">
        <f t="shared" si="1009"/>
        <v>33660</v>
      </c>
      <c r="B28346" s="2" t="str">
        <f>"36544"</f>
        <v>36544</v>
      </c>
      <c r="C28346" s="1">
        <v>2.6941982737931199E-2</v>
      </c>
      <c r="D28346" s="1">
        <v>9.1288945408302194E-3</v>
      </c>
      <c r="E28346" s="1">
        <v>1.9463087248322099E-2</v>
      </c>
      <c r="F28346" s="1">
        <v>2.52154320499644E-2</v>
      </c>
    </row>
    <row r="28347" spans="1:6" x14ac:dyDescent="0.25">
      <c r="A28347" s="2" t="str">
        <f t="shared" si="1009"/>
        <v>33660</v>
      </c>
      <c r="B28347" s="2" t="str">
        <f>"36538"</f>
        <v>36538</v>
      </c>
      <c r="C28347" s="1">
        <v>1.00887992106736E-3</v>
      </c>
      <c r="D28347" s="1">
        <v>2.27086928876373E-4</v>
      </c>
      <c r="E28347" s="1">
        <v>0</v>
      </c>
      <c r="F28347" s="1">
        <v>9.1706854296782299E-4</v>
      </c>
    </row>
    <row r="28348" spans="1:6" x14ac:dyDescent="0.25">
      <c r="A28348" s="2" t="str">
        <f t="shared" si="1009"/>
        <v>33660</v>
      </c>
      <c r="B28348" s="2" t="str">
        <f>"36528"</f>
        <v>36528</v>
      </c>
      <c r="C28348" s="1">
        <v>5.8443924942889296E-3</v>
      </c>
      <c r="D28348" s="1">
        <v>2.8612953038423101E-3</v>
      </c>
      <c r="E28348" s="1">
        <v>3.18791946308724E-3</v>
      </c>
      <c r="F28348" s="1">
        <v>5.5221756660605503E-3</v>
      </c>
    </row>
    <row r="28349" spans="1:6" x14ac:dyDescent="0.25">
      <c r="A28349" s="2" t="str">
        <f t="shared" si="1009"/>
        <v>33660</v>
      </c>
      <c r="B28349" s="2" t="str">
        <f>"36522"</f>
        <v>36522</v>
      </c>
      <c r="C28349" s="1">
        <v>1.57776375321108E-2</v>
      </c>
      <c r="D28349" s="1">
        <v>1.25351984739758E-2</v>
      </c>
      <c r="E28349" s="1">
        <v>1.05704697986577E-2</v>
      </c>
      <c r="F28349" s="1">
        <v>1.53727567396632E-2</v>
      </c>
    </row>
    <row r="28350" spans="1:6" x14ac:dyDescent="0.25">
      <c r="A28350" s="2" t="str">
        <f t="shared" si="1009"/>
        <v>33660</v>
      </c>
      <c r="B28350" s="2" t="str">
        <f>"36509"</f>
        <v>36509</v>
      </c>
      <c r="C28350" s="1">
        <v>4.5644038719655803E-3</v>
      </c>
      <c r="D28350" s="1">
        <v>1.21718593877736E-2</v>
      </c>
      <c r="E28350" s="1">
        <v>3.18791946308724E-3</v>
      </c>
      <c r="F28350" s="1">
        <v>5.1940864890505098E-3</v>
      </c>
    </row>
    <row r="28351" spans="1:6" x14ac:dyDescent="0.25">
      <c r="A28351" s="2" t="str">
        <f t="shared" si="1009"/>
        <v>33660</v>
      </c>
      <c r="B28351" s="2" t="str">
        <f>"36581"</f>
        <v>36581</v>
      </c>
      <c r="C28351" s="1">
        <v>2.8444191607185701E-4</v>
      </c>
      <c r="D28351" s="1">
        <v>4.5417385775274697E-5</v>
      </c>
      <c r="E28351" s="1">
        <v>1.6778523489932801E-4</v>
      </c>
      <c r="F28351" s="1">
        <v>2.6089018894774201E-4</v>
      </c>
    </row>
    <row r="28352" spans="1:6" x14ac:dyDescent="0.25">
      <c r="A28352" s="2" t="str">
        <f t="shared" si="1009"/>
        <v>33660</v>
      </c>
      <c r="B28352" s="2" t="str">
        <f>"36575"</f>
        <v>36575</v>
      </c>
      <c r="C28352" s="1">
        <v>4.7168469613603402E-2</v>
      </c>
      <c r="D28352" s="1">
        <v>2.76591879371423E-2</v>
      </c>
      <c r="E28352" s="1">
        <v>3.4228187919462999E-2</v>
      </c>
      <c r="F28352" s="1">
        <v>4.5165625741165297E-2</v>
      </c>
    </row>
    <row r="28353" spans="1:6" x14ac:dyDescent="0.25">
      <c r="A28353" s="2" t="str">
        <f t="shared" si="1009"/>
        <v>33660</v>
      </c>
      <c r="B28353" s="2" t="str">
        <f>"36556"</f>
        <v>36556</v>
      </c>
      <c r="C28353" s="1">
        <v>0</v>
      </c>
      <c r="D28353" s="1">
        <v>4.5417385775274697E-5</v>
      </c>
      <c r="E28353" s="1">
        <v>0</v>
      </c>
      <c r="F28353" s="1">
        <v>3.9528816507233704E-6</v>
      </c>
    </row>
    <row r="28354" spans="1:6" x14ac:dyDescent="0.25">
      <c r="A28354" s="2" t="str">
        <f t="shared" si="1009"/>
        <v>33660</v>
      </c>
      <c r="B28354" s="2" t="str">
        <f>"36553"</f>
        <v>36553</v>
      </c>
      <c r="C28354" s="1">
        <v>5.2221758028817497E-3</v>
      </c>
      <c r="D28354" s="1">
        <v>1.9529475883368101E-3</v>
      </c>
      <c r="E28354" s="1">
        <v>1.3422818791946299E-3</v>
      </c>
      <c r="F28354" s="1">
        <v>4.8462329037868603E-3</v>
      </c>
    </row>
    <row r="28355" spans="1:6" x14ac:dyDescent="0.25">
      <c r="A28355" s="2" t="str">
        <f t="shared" si="1009"/>
        <v>33660</v>
      </c>
      <c r="B28355" s="2" t="str">
        <f>"36633"</f>
        <v>36633</v>
      </c>
      <c r="C28355" s="1">
        <v>1.71998471124701E-3</v>
      </c>
      <c r="D28355" s="1">
        <v>9.5376510128077005E-3</v>
      </c>
      <c r="E28355" s="1">
        <v>3.35570469798657E-4</v>
      </c>
      <c r="F28355" s="1">
        <v>2.3677761087832999E-3</v>
      </c>
    </row>
    <row r="28356" spans="1:6" x14ac:dyDescent="0.25">
      <c r="A28356" s="2" t="str">
        <f t="shared" si="1009"/>
        <v>33660</v>
      </c>
      <c r="B28356" s="2" t="str">
        <f>"36693"</f>
        <v>36693</v>
      </c>
      <c r="C28356" s="1">
        <v>4.04529737513444E-2</v>
      </c>
      <c r="D28356" s="1">
        <v>4.3237351258061503E-2</v>
      </c>
      <c r="E28356" s="1">
        <v>3.3053691275167697E-2</v>
      </c>
      <c r="F28356" s="1">
        <v>4.0520989801565301E-2</v>
      </c>
    </row>
    <row r="28357" spans="1:6" x14ac:dyDescent="0.25">
      <c r="A28357" s="2" t="str">
        <f t="shared" si="1009"/>
        <v>33660</v>
      </c>
      <c r="B28357" s="2" t="str">
        <f>"36685"</f>
        <v>36685</v>
      </c>
      <c r="C28357" s="1">
        <v>4.1421854027964104E-3</v>
      </c>
      <c r="D28357" s="1">
        <v>1.4170224361885701E-2</v>
      </c>
      <c r="E28357" s="1">
        <v>3.35570469798657E-4</v>
      </c>
      <c r="F28357" s="1">
        <v>4.9252905368013201E-3</v>
      </c>
    </row>
    <row r="28358" spans="1:6" x14ac:dyDescent="0.25">
      <c r="A28358" s="2" t="str">
        <f t="shared" si="1009"/>
        <v>33660</v>
      </c>
      <c r="B28358" s="2" t="str">
        <f>"36525"</f>
        <v>36525</v>
      </c>
      <c r="C28358" s="1">
        <v>7.2177136203233697E-3</v>
      </c>
      <c r="D28358" s="1">
        <v>5.0867472068307704E-3</v>
      </c>
      <c r="E28358" s="1">
        <v>8.2214765100671102E-3</v>
      </c>
      <c r="F28358" s="1">
        <v>7.05589374654122E-3</v>
      </c>
    </row>
    <row r="28359" spans="1:6" x14ac:dyDescent="0.25">
      <c r="A28359" s="2" t="str">
        <f t="shared" si="1009"/>
        <v>33660</v>
      </c>
      <c r="B28359" s="2" t="str">
        <f>"36587"</f>
        <v>36587</v>
      </c>
      <c r="C28359" s="1">
        <v>2.2102025759771E-2</v>
      </c>
      <c r="D28359" s="1">
        <v>4.1783994913252697E-3</v>
      </c>
      <c r="E28359" s="1">
        <v>1.3255033557046899E-2</v>
      </c>
      <c r="F28359" s="1">
        <v>2.0333623211321001E-2</v>
      </c>
    </row>
    <row r="28360" spans="1:6" x14ac:dyDescent="0.25">
      <c r="A28360" s="2" t="str">
        <f t="shared" si="1009"/>
        <v>33660</v>
      </c>
      <c r="B28360" s="2" t="str">
        <f>"36582"</f>
        <v>36582</v>
      </c>
      <c r="C28360" s="1">
        <v>5.41061857227935E-2</v>
      </c>
      <c r="D28360" s="1">
        <v>4.3373603415387402E-2</v>
      </c>
      <c r="E28360" s="1">
        <v>6.9295302013422794E-2</v>
      </c>
      <c r="F28360" s="1">
        <v>5.3529923314095902E-2</v>
      </c>
    </row>
    <row r="28361" spans="1:6" x14ac:dyDescent="0.25">
      <c r="A28361" s="2" t="str">
        <f t="shared" si="1009"/>
        <v>33660</v>
      </c>
      <c r="B28361" s="2" t="str">
        <f>"36560"</f>
        <v>36560</v>
      </c>
      <c r="C28361" s="1">
        <v>5.4221740251197701E-3</v>
      </c>
      <c r="D28361" s="1">
        <v>2.7250431465164798E-3</v>
      </c>
      <c r="E28361" s="1">
        <v>1.05704697986577E-2</v>
      </c>
      <c r="F28361" s="1">
        <v>5.3087200569214904E-3</v>
      </c>
    </row>
    <row r="28362" spans="1:6" x14ac:dyDescent="0.25">
      <c r="A28362" s="2" t="str">
        <f t="shared" si="1009"/>
        <v>33660</v>
      </c>
      <c r="B28362" s="2" t="str">
        <f>"36615"</f>
        <v>36615</v>
      </c>
      <c r="C28362" s="1">
        <v>7.3332681487275604E-4</v>
      </c>
      <c r="D28362" s="1">
        <v>6.5401035516395598E-3</v>
      </c>
      <c r="E28362" s="1">
        <v>3.0201342281879098E-3</v>
      </c>
      <c r="F28362" s="1">
        <v>1.29259229978654E-3</v>
      </c>
    </row>
    <row r="28363" spans="1:6" x14ac:dyDescent="0.25">
      <c r="A28363" s="2" t="str">
        <f t="shared" si="1009"/>
        <v>33660</v>
      </c>
      <c r="B28363" s="2" t="str">
        <f>"36663"</f>
        <v>36663</v>
      </c>
      <c r="C28363" s="1">
        <v>2.6177545088488098E-3</v>
      </c>
      <c r="D28363" s="1">
        <v>2.9521300753928602E-3</v>
      </c>
      <c r="E28363" s="1">
        <v>3.35570469798657E-4</v>
      </c>
      <c r="F28363" s="1">
        <v>2.5930903628745301E-3</v>
      </c>
    </row>
    <row r="28364" spans="1:6" x14ac:dyDescent="0.25">
      <c r="A28364" s="2" t="str">
        <f t="shared" si="1009"/>
        <v>33660</v>
      </c>
      <c r="B28364" s="2" t="str">
        <f>"36617"</f>
        <v>36617</v>
      </c>
      <c r="C28364" s="1">
        <v>2.9937511666562899E-2</v>
      </c>
      <c r="D28364" s="1">
        <v>1.7122354437278501E-2</v>
      </c>
      <c r="E28364" s="1">
        <v>5.2516778523489897E-2</v>
      </c>
      <c r="F28364" s="1">
        <v>2.9354099138271798E-2</v>
      </c>
    </row>
    <row r="28365" spans="1:6" x14ac:dyDescent="0.25">
      <c r="A28365" s="2" t="str">
        <f t="shared" si="1009"/>
        <v>33660</v>
      </c>
      <c r="B28365" s="2" t="str">
        <f>"36616"</f>
        <v>36616</v>
      </c>
      <c r="C28365" s="1">
        <v>4.9332894818712699E-3</v>
      </c>
      <c r="D28365" s="1">
        <v>1.8757380325188401E-2</v>
      </c>
      <c r="E28365" s="1">
        <v>3.35570469798657E-4</v>
      </c>
      <c r="F28365" s="1">
        <v>6.0281445173531499E-3</v>
      </c>
    </row>
    <row r="28366" spans="1:6" x14ac:dyDescent="0.25">
      <c r="A28366" s="2" t="str">
        <f t="shared" si="1009"/>
        <v>33660</v>
      </c>
      <c r="B28366" s="2" t="str">
        <f>"36609"</f>
        <v>36609</v>
      </c>
      <c r="C28366" s="1">
        <v>5.3555079510404301E-2</v>
      </c>
      <c r="D28366" s="1">
        <v>6.8989008992642306E-2</v>
      </c>
      <c r="E28366" s="1">
        <v>9.78187919463087E-2</v>
      </c>
      <c r="F28366" s="1">
        <v>5.5941181121037201E-2</v>
      </c>
    </row>
    <row r="28367" spans="1:6" x14ac:dyDescent="0.25">
      <c r="A28367" s="2" t="str">
        <f t="shared" si="1009"/>
        <v>33660</v>
      </c>
      <c r="B28367" s="2" t="str">
        <f>"36539"</f>
        <v>36539</v>
      </c>
      <c r="C28367" s="1">
        <v>1.68442947173802E-3</v>
      </c>
      <c r="D28367" s="1">
        <v>7.7209555817967098E-4</v>
      </c>
      <c r="E28367" s="1">
        <v>3.35570469798657E-4</v>
      </c>
      <c r="F28367" s="1">
        <v>1.5732468969878999E-3</v>
      </c>
    </row>
    <row r="28368" spans="1:6" x14ac:dyDescent="0.25">
      <c r="A28368" s="2" t="str">
        <f t="shared" si="1009"/>
        <v>33660</v>
      </c>
      <c r="B28368" s="2" t="str">
        <f>"36523"</f>
        <v>36523</v>
      </c>
      <c r="C28368" s="1">
        <v>6.6710518128727699E-3</v>
      </c>
      <c r="D28368" s="1">
        <v>3.6333908620219801E-3</v>
      </c>
      <c r="E28368" s="1">
        <v>3.18791946308724E-3</v>
      </c>
      <c r="F28368" s="1">
        <v>6.3246106411574002E-3</v>
      </c>
    </row>
    <row r="28369" spans="1:6" x14ac:dyDescent="0.25">
      <c r="A28369" s="2" t="str">
        <f t="shared" ref="A28369:A28396" si="1010">"19300"</f>
        <v>19300</v>
      </c>
      <c r="B28369" s="2" t="str">
        <f>"36576"</f>
        <v>36576</v>
      </c>
      <c r="C28369" s="1">
        <v>1.5580567472493499E-2</v>
      </c>
      <c r="D28369" s="1">
        <v>2.1883679824930501E-3</v>
      </c>
      <c r="E28369" s="1">
        <v>2.2319649262654399E-2</v>
      </c>
      <c r="F28369" s="1">
        <v>1.4673715491897801E-2</v>
      </c>
    </row>
    <row r="28370" spans="1:6" x14ac:dyDescent="0.25">
      <c r="A28370" s="2" t="str">
        <f t="shared" si="1010"/>
        <v>19300</v>
      </c>
      <c r="B28370" s="2" t="str">
        <f>"36567"</f>
        <v>36567</v>
      </c>
      <c r="C28370" s="1">
        <v>4.3532905961901597E-2</v>
      </c>
      <c r="D28370" s="1">
        <v>3.6613079707095299E-2</v>
      </c>
      <c r="E28370" s="1">
        <v>6.8951773614986001E-2</v>
      </c>
      <c r="F28370" s="1">
        <v>4.3415321629222403E-2</v>
      </c>
    </row>
    <row r="28371" spans="1:6" x14ac:dyDescent="0.25">
      <c r="A28371" s="2" t="str">
        <f t="shared" si="1010"/>
        <v>19300</v>
      </c>
      <c r="B28371" s="2" t="str">
        <f>"36555"</f>
        <v>36555</v>
      </c>
      <c r="C28371" s="1">
        <v>4.1637118121625304E-3</v>
      </c>
      <c r="D28371" s="1">
        <v>8.4167999326655995E-4</v>
      </c>
      <c r="E28371" s="1">
        <v>3.9856516540454296E-3</v>
      </c>
      <c r="F28371" s="1">
        <v>3.9091645356511898E-3</v>
      </c>
    </row>
    <row r="28372" spans="1:6" x14ac:dyDescent="0.25">
      <c r="A28372" s="2" t="str">
        <f t="shared" si="1010"/>
        <v>19300</v>
      </c>
      <c r="B28372" s="2" t="str">
        <f>"36536"</f>
        <v>36536</v>
      </c>
      <c r="C28372" s="1">
        <v>1.0813012126020699E-2</v>
      </c>
      <c r="D28372" s="1">
        <v>2.46612238027102E-2</v>
      </c>
      <c r="E28372" s="1">
        <v>7.97130330809087E-4</v>
      </c>
      <c r="F28372" s="1">
        <v>1.1701985192365301E-2</v>
      </c>
    </row>
    <row r="28373" spans="1:6" x14ac:dyDescent="0.25">
      <c r="A28373" s="2" t="str">
        <f t="shared" si="1010"/>
        <v>19300</v>
      </c>
      <c r="B28373" s="2" t="str">
        <f>"36551"</f>
        <v>36551</v>
      </c>
      <c r="C28373" s="1">
        <v>2.88300180450916E-2</v>
      </c>
      <c r="D28373" s="1">
        <v>1.8685295850517598E-2</v>
      </c>
      <c r="E28373" s="1">
        <v>2.2319649262654399E-2</v>
      </c>
      <c r="F28373" s="1">
        <v>2.7957222388735398E-2</v>
      </c>
    </row>
    <row r="28374" spans="1:6" x14ac:dyDescent="0.25">
      <c r="A28374" s="2" t="str">
        <f t="shared" si="1010"/>
        <v>19300</v>
      </c>
      <c r="B28374" s="2" t="str">
        <f>"36530"</f>
        <v>36530</v>
      </c>
      <c r="C28374" s="1">
        <v>3.6181462003496603E-2</v>
      </c>
      <c r="D28374" s="1">
        <v>1.68335998653312E-2</v>
      </c>
      <c r="E28374" s="1">
        <v>2.63053009166998E-2</v>
      </c>
      <c r="F28374" s="1">
        <v>3.4557524663448302E-2</v>
      </c>
    </row>
    <row r="28375" spans="1:6" x14ac:dyDescent="0.25">
      <c r="A28375" s="2" t="str">
        <f t="shared" si="1010"/>
        <v>19300</v>
      </c>
      <c r="B28375" s="2" t="str">
        <f>"36574"</f>
        <v>36574</v>
      </c>
      <c r="C28375" s="1">
        <v>5.9050280506385902E-3</v>
      </c>
      <c r="D28375" s="1">
        <v>2.02003198383974E-3</v>
      </c>
      <c r="E28375" s="1">
        <v>6.7756078118772402E-3</v>
      </c>
      <c r="F28375" s="1">
        <v>5.6246054167118304E-3</v>
      </c>
    </row>
    <row r="28376" spans="1:6" x14ac:dyDescent="0.25">
      <c r="A28376" s="2" t="str">
        <f t="shared" si="1010"/>
        <v>19300</v>
      </c>
      <c r="B28376" s="2" t="str">
        <f>"36550"</f>
        <v>36550</v>
      </c>
      <c r="C28376" s="1">
        <v>9.0576530146537295E-4</v>
      </c>
      <c r="D28376" s="1">
        <v>3.3667199730662398E-4</v>
      </c>
      <c r="E28376" s="1">
        <v>0</v>
      </c>
      <c r="F28376" s="1">
        <v>8.4815478505972095E-4</v>
      </c>
    </row>
    <row r="28377" spans="1:6" x14ac:dyDescent="0.25">
      <c r="A28377" s="2" t="str">
        <f t="shared" si="1010"/>
        <v>19300</v>
      </c>
      <c r="B28377" s="2" t="str">
        <f>"36533"</f>
        <v>36533</v>
      </c>
      <c r="C28377" s="1">
        <v>9.1208459426629397E-3</v>
      </c>
      <c r="D28377" s="1">
        <v>4.8480767612153801E-2</v>
      </c>
      <c r="E28377" s="1">
        <v>7.97130330809087E-4</v>
      </c>
      <c r="F28377" s="1">
        <v>1.1969823545542E-2</v>
      </c>
    </row>
    <row r="28378" spans="1:6" x14ac:dyDescent="0.25">
      <c r="A28378" s="2" t="str">
        <f t="shared" si="1010"/>
        <v>19300</v>
      </c>
      <c r="B28378" s="2" t="str">
        <f>"36526"</f>
        <v>36526</v>
      </c>
      <c r="C28378" s="1">
        <v>0.120199970509966</v>
      </c>
      <c r="D28378" s="1">
        <v>0.15933002272535901</v>
      </c>
      <c r="E28378" s="1">
        <v>0.118772419290554</v>
      </c>
      <c r="F28378" s="1">
        <v>0.123141871424836</v>
      </c>
    </row>
    <row r="28379" spans="1:6" x14ac:dyDescent="0.25">
      <c r="A28379" s="2" t="str">
        <f t="shared" si="1010"/>
        <v>19300</v>
      </c>
      <c r="B28379" s="2" t="str">
        <f>"36559"</f>
        <v>36559</v>
      </c>
      <c r="C28379" s="1">
        <v>5.7786421946201703E-3</v>
      </c>
      <c r="D28379" s="1">
        <v>1.07735039138119E-2</v>
      </c>
      <c r="E28379" s="1">
        <v>3.9856516540454301E-4</v>
      </c>
      <c r="F28379" s="1">
        <v>6.07100267200642E-3</v>
      </c>
    </row>
    <row r="28380" spans="1:6" x14ac:dyDescent="0.25">
      <c r="A28380" s="2" t="str">
        <f t="shared" si="1010"/>
        <v>19300</v>
      </c>
      <c r="B28380" s="2" t="str">
        <f>"36535"</f>
        <v>36535</v>
      </c>
      <c r="C28380" s="1">
        <v>0.12176575083730599</v>
      </c>
      <c r="D28380" s="1">
        <v>0.15326992677383999</v>
      </c>
      <c r="E28380" s="1">
        <v>0.14188919888401699</v>
      </c>
      <c r="F28380" s="1">
        <v>0.124474686087072</v>
      </c>
    </row>
    <row r="28381" spans="1:6" x14ac:dyDescent="0.25">
      <c r="A28381" s="2" t="str">
        <f t="shared" si="1010"/>
        <v>19300</v>
      </c>
      <c r="B28381" s="2" t="str">
        <f>"36480"</f>
        <v>36480</v>
      </c>
      <c r="C28381" s="1">
        <v>4.2128618672807998E-5</v>
      </c>
      <c r="D28381" s="1">
        <v>0</v>
      </c>
      <c r="E28381" s="1">
        <v>0</v>
      </c>
      <c r="F28381" s="1">
        <v>3.8262621882393401E-5</v>
      </c>
    </row>
    <row r="28382" spans="1:6" x14ac:dyDescent="0.25">
      <c r="A28382" s="2" t="str">
        <f t="shared" si="1010"/>
        <v>19300</v>
      </c>
      <c r="B28382" s="2" t="str">
        <f>"36580"</f>
        <v>36580</v>
      </c>
      <c r="C28382" s="1">
        <v>2.7755738268935001E-2</v>
      </c>
      <c r="D28382" s="1">
        <v>2.4997895800016798E-2</v>
      </c>
      <c r="E28382" s="1">
        <v>2.7500996412913498E-2</v>
      </c>
      <c r="F28382" s="1">
        <v>2.7542710651676201E-2</v>
      </c>
    </row>
    <row r="28383" spans="1:6" x14ac:dyDescent="0.25">
      <c r="A28383" s="2" t="str">
        <f t="shared" si="1010"/>
        <v>19300</v>
      </c>
      <c r="B28383" s="2" t="str">
        <f>"36579"</f>
        <v>36579</v>
      </c>
      <c r="C28383" s="1">
        <v>5.9892852879842098E-3</v>
      </c>
      <c r="D28383" s="1">
        <v>2.1041999831664E-3</v>
      </c>
      <c r="E28383" s="1">
        <v>4.3842168194499799E-3</v>
      </c>
      <c r="F28383" s="1">
        <v>5.6692451422412898E-3</v>
      </c>
    </row>
    <row r="28384" spans="1:6" x14ac:dyDescent="0.25">
      <c r="A28384" s="2" t="str">
        <f t="shared" si="1010"/>
        <v>19300</v>
      </c>
      <c r="B28384" s="2" t="str">
        <f>"36564"</f>
        <v>36564</v>
      </c>
      <c r="C28384" s="1">
        <v>8.0395447300608703E-3</v>
      </c>
      <c r="D28384" s="1">
        <v>7.74345593805235E-3</v>
      </c>
      <c r="E28384" s="1">
        <v>3.9856516540454301E-4</v>
      </c>
      <c r="F28384" s="1">
        <v>7.8948543150671804E-3</v>
      </c>
    </row>
    <row r="28385" spans="1:6" x14ac:dyDescent="0.25">
      <c r="A28385" s="2" t="str">
        <f t="shared" si="1010"/>
        <v>19300</v>
      </c>
      <c r="B28385" s="2" t="str">
        <f>"36561"</f>
        <v>36561</v>
      </c>
      <c r="C28385" s="1">
        <v>0.112350004563933</v>
      </c>
      <c r="D28385" s="1">
        <v>8.7366383301068898E-2</v>
      </c>
      <c r="E28385" s="1">
        <v>0.108011159824631</v>
      </c>
      <c r="F28385" s="1">
        <v>0.110387664130705</v>
      </c>
    </row>
    <row r="28386" spans="1:6" x14ac:dyDescent="0.25">
      <c r="A28386" s="2" t="str">
        <f t="shared" si="1010"/>
        <v>19300</v>
      </c>
      <c r="B28386" s="2" t="str">
        <f>"36547"</f>
        <v>36547</v>
      </c>
      <c r="C28386" s="1">
        <v>5.1860329586226703E-2</v>
      </c>
      <c r="D28386" s="1">
        <v>5.3362511573099902E-2</v>
      </c>
      <c r="E28386" s="1">
        <v>7.97130330809087E-4</v>
      </c>
      <c r="F28386" s="1">
        <v>5.1157125456760003E-2</v>
      </c>
    </row>
    <row r="28387" spans="1:6" x14ac:dyDescent="0.25">
      <c r="A28387" s="2" t="str">
        <f t="shared" si="1010"/>
        <v>19300</v>
      </c>
      <c r="B28387" s="2" t="str">
        <f>"36542"</f>
        <v>36542</v>
      </c>
      <c r="C28387" s="1">
        <v>0.10500558204197399</v>
      </c>
      <c r="D28387" s="1">
        <v>6.3715175490278497E-2</v>
      </c>
      <c r="E28387" s="1">
        <v>0.12275807094459899</v>
      </c>
      <c r="F28387" s="1">
        <v>0.10216120042599</v>
      </c>
    </row>
    <row r="28388" spans="1:6" x14ac:dyDescent="0.25">
      <c r="A28388" s="2" t="str">
        <f t="shared" si="1010"/>
        <v>19300</v>
      </c>
      <c r="B28388" s="2" t="str">
        <f>"36532"</f>
        <v>36532</v>
      </c>
      <c r="C28388" s="1">
        <v>0.119610169848547</v>
      </c>
      <c r="D28388" s="1">
        <v>0.128945374968437</v>
      </c>
      <c r="E28388" s="1">
        <v>0.14826624153049001</v>
      </c>
      <c r="F28388" s="1">
        <v>0.12077596597177399</v>
      </c>
    </row>
    <row r="28389" spans="1:6" x14ac:dyDescent="0.25">
      <c r="A28389" s="2" t="str">
        <f t="shared" si="1010"/>
        <v>19300</v>
      </c>
      <c r="B28389" s="2" t="str">
        <f>"36577"</f>
        <v>36577</v>
      </c>
      <c r="C28389" s="1">
        <v>4.6692552362362196E-3</v>
      </c>
      <c r="D28389" s="1">
        <v>2.20520158235838E-2</v>
      </c>
      <c r="E28389" s="1">
        <v>7.97130330809087E-4</v>
      </c>
      <c r="F28389" s="1">
        <v>5.92432928812391E-3</v>
      </c>
    </row>
    <row r="28390" spans="1:6" x14ac:dyDescent="0.25">
      <c r="A28390" s="2" t="str">
        <f t="shared" si="1010"/>
        <v>19300</v>
      </c>
      <c r="B28390" s="2" t="str">
        <f>"36578"</f>
        <v>36578</v>
      </c>
      <c r="C28390" s="1">
        <v>1.03987473757381E-2</v>
      </c>
      <c r="D28390" s="1">
        <v>5.8075919535392597E-3</v>
      </c>
      <c r="E28390" s="1">
        <v>3.9856516540454301E-4</v>
      </c>
      <c r="F28390" s="1">
        <v>9.8908877565986996E-3</v>
      </c>
    </row>
    <row r="28391" spans="1:6" x14ac:dyDescent="0.25">
      <c r="A28391" s="2" t="str">
        <f t="shared" si="1010"/>
        <v>19300</v>
      </c>
      <c r="B28391" s="2" t="str">
        <f>"36549"</f>
        <v>36549</v>
      </c>
      <c r="C28391" s="1">
        <v>2.2679239718861599E-2</v>
      </c>
      <c r="D28391" s="1">
        <v>4.9659119602726998E-3</v>
      </c>
      <c r="E28391" s="1">
        <v>7.97130330809087E-4</v>
      </c>
      <c r="F28391" s="1">
        <v>2.09870481024928E-2</v>
      </c>
    </row>
    <row r="28392" spans="1:6" x14ac:dyDescent="0.25">
      <c r="A28392" s="2" t="str">
        <f t="shared" si="1010"/>
        <v>19300</v>
      </c>
      <c r="B28392" s="2" t="str">
        <f>"36527"</f>
        <v>36527</v>
      </c>
      <c r="C28392" s="1">
        <v>5.0203270585096202E-2</v>
      </c>
      <c r="D28392" s="1">
        <v>5.6645063546839403E-2</v>
      </c>
      <c r="E28392" s="1">
        <v>7.0546034276604205E-2</v>
      </c>
      <c r="F28392" s="1">
        <v>5.10168291765246E-2</v>
      </c>
    </row>
    <row r="28393" spans="1:6" x14ac:dyDescent="0.25">
      <c r="A28393" s="2" t="str">
        <f t="shared" si="1010"/>
        <v>19300</v>
      </c>
      <c r="B28393" s="2" t="str">
        <f>"36502"</f>
        <v>36502</v>
      </c>
      <c r="C28393" s="1">
        <v>8.5661524634709704E-4</v>
      </c>
      <c r="D28393" s="1">
        <v>5.8917599528659202E-4</v>
      </c>
      <c r="E28393" s="1">
        <v>0</v>
      </c>
      <c r="F28393" s="1">
        <v>8.2264637047145897E-4</v>
      </c>
    </row>
    <row r="28394" spans="1:6" x14ac:dyDescent="0.25">
      <c r="A28394" s="2" t="str">
        <f t="shared" si="1010"/>
        <v>19300</v>
      </c>
      <c r="B28394" s="2" t="str">
        <f>"36511"</f>
        <v>36511</v>
      </c>
      <c r="C28394" s="1">
        <v>5.5679991012561299E-3</v>
      </c>
      <c r="D28394" s="1">
        <v>4.3767359649861098E-3</v>
      </c>
      <c r="E28394" s="1">
        <v>2.3913909924272599E-3</v>
      </c>
      <c r="F28394" s="1">
        <v>5.4269152036528004E-3</v>
      </c>
    </row>
    <row r="28395" spans="1:6" x14ac:dyDescent="0.25">
      <c r="A28395" s="2" t="str">
        <f t="shared" si="1010"/>
        <v>19300</v>
      </c>
      <c r="B28395" s="2" t="str">
        <f>"36507"</f>
        <v>36507</v>
      </c>
      <c r="C28395" s="1">
        <v>6.6815989215073604E-2</v>
      </c>
      <c r="D28395" s="1">
        <v>6.19476475044188E-2</v>
      </c>
      <c r="E28395" s="1">
        <v>9.0075727381426801E-2</v>
      </c>
      <c r="F28395" s="1">
        <v>6.6819292013953105E-2</v>
      </c>
    </row>
    <row r="28396" spans="1:6" x14ac:dyDescent="0.25">
      <c r="A28396" s="2" t="str">
        <f t="shared" si="1010"/>
        <v>19300</v>
      </c>
      <c r="B28396" s="2" t="str">
        <f>"36562"</f>
        <v>36562</v>
      </c>
      <c r="C28396" s="1">
        <v>5.3784203172284901E-3</v>
      </c>
      <c r="D28396" s="1">
        <v>1.3466879892264901E-3</v>
      </c>
      <c r="E28396" s="1">
        <v>9.5655639697090396E-3</v>
      </c>
      <c r="F28396" s="1">
        <v>5.1399455395348499E-3</v>
      </c>
    </row>
    <row r="28397" spans="1:6" x14ac:dyDescent="0.25">
      <c r="A28397" s="2" t="str">
        <f t="shared" ref="A28397:A28426" si="1011">"46100"</f>
        <v>46100</v>
      </c>
      <c r="B28397" s="2" t="str">
        <f>"37335"</f>
        <v>37335</v>
      </c>
      <c r="C28397" s="1">
        <v>2.142537153542E-4</v>
      </c>
      <c r="D28397" s="1">
        <v>0</v>
      </c>
      <c r="E28397" s="1">
        <v>0</v>
      </c>
      <c r="F28397" s="1">
        <v>1.9335559852346601E-4</v>
      </c>
    </row>
    <row r="28398" spans="1:6" x14ac:dyDescent="0.25">
      <c r="A28398" s="2" t="str">
        <f t="shared" si="1011"/>
        <v>46100</v>
      </c>
      <c r="B28398" s="2" t="str">
        <f>"37330"</f>
        <v>37330</v>
      </c>
      <c r="C28398" s="1">
        <v>6.9554547048168103E-2</v>
      </c>
      <c r="D28398" s="1">
        <v>1.3483146067415699E-2</v>
      </c>
      <c r="E28398" s="1">
        <v>1.27388535031847E-2</v>
      </c>
      <c r="F28398" s="1">
        <v>6.4071014238003099E-2</v>
      </c>
    </row>
    <row r="28399" spans="1:6" x14ac:dyDescent="0.25">
      <c r="A28399" s="2" t="str">
        <f t="shared" si="1011"/>
        <v>46100</v>
      </c>
      <c r="B28399" s="2" t="str">
        <f>"37382"</f>
        <v>37382</v>
      </c>
      <c r="C28399" s="1">
        <v>0</v>
      </c>
      <c r="D28399" s="1">
        <v>2.24719101123595E-4</v>
      </c>
      <c r="E28399" s="1">
        <v>0</v>
      </c>
      <c r="F28399" s="1">
        <v>1.7577781683951401E-5</v>
      </c>
    </row>
    <row r="28400" spans="1:6" x14ac:dyDescent="0.25">
      <c r="A28400" s="2" t="str">
        <f t="shared" si="1011"/>
        <v>46100</v>
      </c>
      <c r="B28400" s="2" t="str">
        <f>"37388"</f>
        <v>37388</v>
      </c>
      <c r="C28400" s="1">
        <v>0.23712043006563899</v>
      </c>
      <c r="D28400" s="1">
        <v>0.30988764044943801</v>
      </c>
      <c r="E28400" s="1">
        <v>0.25022747952684199</v>
      </c>
      <c r="F28400" s="1">
        <v>0.243065565125681</v>
      </c>
    </row>
    <row r="28401" spans="1:6" x14ac:dyDescent="0.25">
      <c r="A28401" s="2" t="str">
        <f t="shared" si="1011"/>
        <v>46100</v>
      </c>
      <c r="B28401" s="2" t="str">
        <f>"37144"</f>
        <v>37144</v>
      </c>
      <c r="C28401" s="1">
        <v>1.4413431760191601E-3</v>
      </c>
      <c r="D28401" s="1">
        <v>2.24719101123595E-4</v>
      </c>
      <c r="E28401" s="1">
        <v>0</v>
      </c>
      <c r="F28401" s="1">
        <v>1.3183336262963599E-3</v>
      </c>
    </row>
    <row r="28402" spans="1:6" x14ac:dyDescent="0.25">
      <c r="A28402" s="2" t="str">
        <f t="shared" si="1011"/>
        <v>46100</v>
      </c>
      <c r="B28402" s="2" t="str">
        <f>"37037"</f>
        <v>37037</v>
      </c>
      <c r="C28402" s="1">
        <v>1.55820883893963E-4</v>
      </c>
      <c r="D28402" s="1">
        <v>0</v>
      </c>
      <c r="E28402" s="1">
        <v>0</v>
      </c>
      <c r="F28402" s="1">
        <v>1.4062225347161099E-4</v>
      </c>
    </row>
    <row r="28403" spans="1:6" x14ac:dyDescent="0.25">
      <c r="A28403" s="2" t="str">
        <f t="shared" si="1011"/>
        <v>46100</v>
      </c>
      <c r="B28403" s="2" t="str">
        <f>"37355"</f>
        <v>37355</v>
      </c>
      <c r="C28403" s="1">
        <v>0.23830856430533101</v>
      </c>
      <c r="D28403" s="1">
        <v>0.246741573033707</v>
      </c>
      <c r="E28403" s="1">
        <v>0.20382165605095501</v>
      </c>
      <c r="F28403" s="1">
        <v>0.23830198628933</v>
      </c>
    </row>
    <row r="28404" spans="1:6" x14ac:dyDescent="0.25">
      <c r="A28404" s="2" t="str">
        <f t="shared" si="1011"/>
        <v>46100</v>
      </c>
      <c r="B28404" s="2" t="str">
        <f>"37183"</f>
        <v>37183</v>
      </c>
      <c r="C28404" s="1">
        <v>5.1031339475273102E-3</v>
      </c>
      <c r="D28404" s="1">
        <v>4.4943820224719097E-4</v>
      </c>
      <c r="E28404" s="1">
        <v>0</v>
      </c>
      <c r="F28404" s="1">
        <v>4.6405343645631904E-3</v>
      </c>
    </row>
    <row r="28405" spans="1:6" x14ac:dyDescent="0.25">
      <c r="A28405" s="2" t="str">
        <f t="shared" si="1011"/>
        <v>46100</v>
      </c>
      <c r="B28405" s="2" t="str">
        <f>"37352"</f>
        <v>37352</v>
      </c>
      <c r="C28405" s="1">
        <v>3.15926842095011E-2</v>
      </c>
      <c r="D28405" s="1">
        <v>3.8651685393258403E-2</v>
      </c>
      <c r="E28405" s="1">
        <v>8.1892629663330302E-3</v>
      </c>
      <c r="F28405" s="1">
        <v>3.1692740376164499E-2</v>
      </c>
    </row>
    <row r="28406" spans="1:6" x14ac:dyDescent="0.25">
      <c r="A28406" s="2" t="str">
        <f t="shared" si="1011"/>
        <v>46100</v>
      </c>
      <c r="B28406" s="2" t="str">
        <f>"37389"</f>
        <v>37389</v>
      </c>
      <c r="C28406" s="1">
        <v>0</v>
      </c>
      <c r="D28406" s="1">
        <v>2.24719101123595E-4</v>
      </c>
      <c r="E28406" s="1">
        <v>0.117379435850773</v>
      </c>
      <c r="F28406" s="1">
        <v>2.2851116189136901E-3</v>
      </c>
    </row>
    <row r="28407" spans="1:6" x14ac:dyDescent="0.25">
      <c r="A28407" s="2" t="str">
        <f t="shared" si="1011"/>
        <v>46100</v>
      </c>
      <c r="B28407" s="2" t="str">
        <f>"37306"</f>
        <v>37306</v>
      </c>
      <c r="C28407" s="1">
        <v>2.7989326269453201E-2</v>
      </c>
      <c r="D28407" s="1">
        <v>1.41573033707865E-2</v>
      </c>
      <c r="E28407" s="1">
        <v>2.7297543221110102E-3</v>
      </c>
      <c r="F28407" s="1">
        <v>2.6419405870979001E-2</v>
      </c>
    </row>
    <row r="28408" spans="1:6" x14ac:dyDescent="0.25">
      <c r="A28408" s="2" t="str">
        <f t="shared" si="1011"/>
        <v>46100</v>
      </c>
      <c r="B28408" s="2" t="str">
        <f>"37359"</f>
        <v>37359</v>
      </c>
      <c r="C28408" s="1">
        <v>2.3957460898696901E-3</v>
      </c>
      <c r="D28408" s="1">
        <v>2.24719101123595E-4</v>
      </c>
      <c r="E28408" s="1">
        <v>1.8198362147406699E-3</v>
      </c>
      <c r="F28408" s="1">
        <v>2.2148004921778799E-3</v>
      </c>
    </row>
    <row r="28409" spans="1:6" x14ac:dyDescent="0.25">
      <c r="A28409" s="2" t="str">
        <f t="shared" si="1011"/>
        <v>46100</v>
      </c>
      <c r="B28409" s="2" t="str">
        <f>"37357"</f>
        <v>37357</v>
      </c>
      <c r="C28409" s="1">
        <v>1.24851483220038E-2</v>
      </c>
      <c r="D28409" s="1">
        <v>4.7191011235955E-3</v>
      </c>
      <c r="E28409" s="1">
        <v>2.7297543221110102E-3</v>
      </c>
      <c r="F28409" s="1">
        <v>1.16892248198277E-2</v>
      </c>
    </row>
    <row r="28410" spans="1:6" x14ac:dyDescent="0.25">
      <c r="A28410" s="2" t="str">
        <f t="shared" si="1011"/>
        <v>46100</v>
      </c>
      <c r="B28410" s="2" t="str">
        <f>"37324"</f>
        <v>37324</v>
      </c>
      <c r="C28410" s="1">
        <v>6.3574920628737194E-2</v>
      </c>
      <c r="D28410" s="1">
        <v>5.86516853932584E-2</v>
      </c>
      <c r="E28410" s="1">
        <v>3.3666969972702403E-2</v>
      </c>
      <c r="F28410" s="1">
        <v>6.2612058358235106E-2</v>
      </c>
    </row>
    <row r="28411" spans="1:6" x14ac:dyDescent="0.25">
      <c r="A28411" s="2" t="str">
        <f t="shared" si="1011"/>
        <v>46100</v>
      </c>
      <c r="B28411" s="2" t="str">
        <f>"37383"</f>
        <v>37383</v>
      </c>
      <c r="C28411" s="1">
        <v>0</v>
      </c>
      <c r="D28411" s="1">
        <v>2.24719101123595E-4</v>
      </c>
      <c r="E28411" s="1">
        <v>9.0991810737033605E-4</v>
      </c>
      <c r="F28411" s="1">
        <v>3.5155563367902897E-5</v>
      </c>
    </row>
    <row r="28412" spans="1:6" x14ac:dyDescent="0.25">
      <c r="A28412" s="2" t="str">
        <f t="shared" si="1011"/>
        <v>46100</v>
      </c>
      <c r="B28412" s="2" t="str">
        <f>"37018"</f>
        <v>37018</v>
      </c>
      <c r="C28412" s="1">
        <v>2.35289534679885E-2</v>
      </c>
      <c r="D28412" s="1">
        <v>5.1685393258426903E-3</v>
      </c>
      <c r="E28412" s="1">
        <v>1.8198362147406699E-3</v>
      </c>
      <c r="F28412" s="1">
        <v>2.1673404816312102E-2</v>
      </c>
    </row>
    <row r="28413" spans="1:6" x14ac:dyDescent="0.25">
      <c r="A28413" s="2" t="str">
        <f t="shared" si="1011"/>
        <v>46100</v>
      </c>
      <c r="B28413" s="2" t="str">
        <f>"37366"</f>
        <v>37366</v>
      </c>
      <c r="C28413" s="1">
        <v>2.9216415730118198E-4</v>
      </c>
      <c r="D28413" s="1">
        <v>0</v>
      </c>
      <c r="E28413" s="1">
        <v>0</v>
      </c>
      <c r="F28413" s="1">
        <v>2.6366672525927198E-4</v>
      </c>
    </row>
    <row r="28414" spans="1:6" x14ac:dyDescent="0.25">
      <c r="A28414" s="2" t="str">
        <f t="shared" si="1011"/>
        <v>46100</v>
      </c>
      <c r="B28414" s="2" t="str">
        <f>"37342"</f>
        <v>37342</v>
      </c>
      <c r="C28414" s="1">
        <v>3.3657310921096098E-2</v>
      </c>
      <c r="D28414" s="1">
        <v>1.2359550561797701E-2</v>
      </c>
      <c r="E28414" s="1">
        <v>5.4595086442220204E-3</v>
      </c>
      <c r="F28414" s="1">
        <v>3.14466514325892E-2</v>
      </c>
    </row>
    <row r="28415" spans="1:6" x14ac:dyDescent="0.25">
      <c r="A28415" s="2" t="str">
        <f t="shared" si="1011"/>
        <v>46100</v>
      </c>
      <c r="B28415" s="2" t="str">
        <f>"37398"</f>
        <v>37398</v>
      </c>
      <c r="C28415" s="1">
        <v>0.16236536101751001</v>
      </c>
      <c r="D28415" s="1">
        <v>0.24471910112359499</v>
      </c>
      <c r="E28415" s="1">
        <v>0.29299363057324801</v>
      </c>
      <c r="F28415" s="1">
        <v>0.17133063807347501</v>
      </c>
    </row>
    <row r="28416" spans="1:6" x14ac:dyDescent="0.25">
      <c r="A28416" s="2" t="str">
        <f t="shared" si="1011"/>
        <v>46100</v>
      </c>
      <c r="B28416" s="2" t="str">
        <f>"37334"</f>
        <v>37334</v>
      </c>
      <c r="C28416" s="1">
        <v>3.7981340449153599E-3</v>
      </c>
      <c r="D28416" s="1">
        <v>8.9887640449438195E-4</v>
      </c>
      <c r="E28416" s="1">
        <v>0</v>
      </c>
      <c r="F28416" s="1">
        <v>3.4979785551063399E-3</v>
      </c>
    </row>
    <row r="28417" spans="1:6" x14ac:dyDescent="0.25">
      <c r="A28417" s="2" t="str">
        <f t="shared" si="1011"/>
        <v>46100</v>
      </c>
      <c r="B28417" s="2" t="str">
        <f>"37376"</f>
        <v>37376</v>
      </c>
      <c r="C28417" s="1">
        <v>5.2784324419080202E-3</v>
      </c>
      <c r="D28417" s="1">
        <v>1.79775280898876E-3</v>
      </c>
      <c r="E28417" s="1">
        <v>0</v>
      </c>
      <c r="F28417" s="1">
        <v>4.9042010898224598E-3</v>
      </c>
    </row>
    <row r="28418" spans="1:6" x14ac:dyDescent="0.25">
      <c r="A28418" s="2" t="str">
        <f t="shared" si="1011"/>
        <v>46100</v>
      </c>
      <c r="B28418" s="2" t="str">
        <f>"37318"</f>
        <v>37318</v>
      </c>
      <c r="C28418" s="1">
        <v>1.9867162696480301E-2</v>
      </c>
      <c r="D28418" s="1">
        <v>1.57303370786516E-2</v>
      </c>
      <c r="E28418" s="1">
        <v>9.0991810737033607E-3</v>
      </c>
      <c r="F28418" s="1">
        <v>1.9335559852346602E-2</v>
      </c>
    </row>
    <row r="28419" spans="1:6" x14ac:dyDescent="0.25">
      <c r="A28419" s="2" t="str">
        <f t="shared" si="1011"/>
        <v>46100</v>
      </c>
      <c r="B28419" s="2" t="str">
        <f>"37026"</f>
        <v>37026</v>
      </c>
      <c r="C28419" s="1">
        <v>7.01193977522837E-4</v>
      </c>
      <c r="D28419" s="1">
        <v>0</v>
      </c>
      <c r="E28419" s="1">
        <v>0</v>
      </c>
      <c r="F28419" s="1">
        <v>6.3280014062225298E-4</v>
      </c>
    </row>
    <row r="28420" spans="1:6" x14ac:dyDescent="0.25">
      <c r="A28420" s="2" t="str">
        <f t="shared" si="1011"/>
        <v>46100</v>
      </c>
      <c r="B28420" s="2" t="str">
        <f>"37328"</f>
        <v>37328</v>
      </c>
      <c r="C28420" s="1">
        <v>1.2855222921252E-3</v>
      </c>
      <c r="D28420" s="1">
        <v>4.4943820224719097E-4</v>
      </c>
      <c r="E28420" s="1">
        <v>0</v>
      </c>
      <c r="F28420" s="1">
        <v>1.1952891545087001E-3</v>
      </c>
    </row>
    <row r="28421" spans="1:6" x14ac:dyDescent="0.25">
      <c r="A28421" s="2" t="str">
        <f t="shared" si="1011"/>
        <v>46100</v>
      </c>
      <c r="B28421" s="2" t="str">
        <f>"37380"</f>
        <v>37380</v>
      </c>
      <c r="C28421" s="1">
        <v>2.142537153542E-4</v>
      </c>
      <c r="D28421" s="1">
        <v>0</v>
      </c>
      <c r="E28421" s="1">
        <v>0</v>
      </c>
      <c r="F28421" s="1">
        <v>1.9335559852346601E-4</v>
      </c>
    </row>
    <row r="28422" spans="1:6" x14ac:dyDescent="0.25">
      <c r="A28422" s="2" t="str">
        <f t="shared" si="1011"/>
        <v>46100</v>
      </c>
      <c r="B28422" s="2" t="str">
        <f>"37375"</f>
        <v>37375</v>
      </c>
      <c r="C28422" s="1">
        <v>2.5671490621530499E-2</v>
      </c>
      <c r="D28422" s="1">
        <v>1.05617977528089E-2</v>
      </c>
      <c r="E28422" s="1">
        <v>5.2775250227479503E-2</v>
      </c>
      <c r="F28422" s="1">
        <v>2.5013183336262901E-2</v>
      </c>
    </row>
    <row r="28423" spans="1:6" x14ac:dyDescent="0.25">
      <c r="A28423" s="2" t="str">
        <f t="shared" si="1011"/>
        <v>46100</v>
      </c>
      <c r="B28423" s="2" t="str">
        <f>"37356"</f>
        <v>37356</v>
      </c>
      <c r="C28423" s="1">
        <v>3.7007459924816402E-4</v>
      </c>
      <c r="D28423" s="1">
        <v>0</v>
      </c>
      <c r="E28423" s="1">
        <v>0</v>
      </c>
      <c r="F28423" s="1">
        <v>3.3397785199507801E-4</v>
      </c>
    </row>
    <row r="28424" spans="1:6" x14ac:dyDescent="0.25">
      <c r="A28424" s="2" t="str">
        <f t="shared" si="1011"/>
        <v>46100</v>
      </c>
      <c r="B28424" s="2" t="str">
        <f>"37360"</f>
        <v>37360</v>
      </c>
      <c r="C28424" s="1">
        <v>9.8361932958064696E-3</v>
      </c>
      <c r="D28424" s="1">
        <v>6.7415730337078601E-3</v>
      </c>
      <c r="E28424" s="1">
        <v>3.6396724294813399E-3</v>
      </c>
      <c r="F28424" s="1">
        <v>9.4744243276498503E-3</v>
      </c>
    </row>
    <row r="28425" spans="1:6" x14ac:dyDescent="0.25">
      <c r="A28425" s="2" t="str">
        <f t="shared" si="1011"/>
        <v>46100</v>
      </c>
      <c r="B28425" s="2" t="str">
        <f>"37345"</f>
        <v>37345</v>
      </c>
      <c r="C28425" s="1">
        <v>2.08410432208176E-2</v>
      </c>
      <c r="D28425" s="1">
        <v>1.3483146067415699E-2</v>
      </c>
      <c r="E28425" s="1">
        <v>0</v>
      </c>
      <c r="F28425" s="1">
        <v>1.9862893302865101E-2</v>
      </c>
    </row>
    <row r="28426" spans="1:6" x14ac:dyDescent="0.25">
      <c r="A28426" s="2" t="str">
        <f t="shared" si="1011"/>
        <v>46100</v>
      </c>
      <c r="B28426" s="2" t="str">
        <f>"37160"</f>
        <v>37160</v>
      </c>
      <c r="C28426" s="1">
        <v>2.3567908688961999E-3</v>
      </c>
      <c r="D28426" s="1">
        <v>2.24719101123595E-4</v>
      </c>
      <c r="E28426" s="1">
        <v>0</v>
      </c>
      <c r="F28426" s="1">
        <v>2.1444893654420801E-3</v>
      </c>
    </row>
    <row r="28427" spans="1:6" x14ac:dyDescent="0.25">
      <c r="A28427" s="2" t="str">
        <f t="shared" ref="A28427:A28439" si="1012">"11940"</f>
        <v>11940</v>
      </c>
      <c r="B28427" s="2" t="str">
        <f>"37322"</f>
        <v>37322</v>
      </c>
      <c r="C28427" s="1">
        <v>1.1853094569459099E-2</v>
      </c>
      <c r="D28427" s="1">
        <v>8.6206896551724104E-4</v>
      </c>
      <c r="E28427" s="1">
        <v>5.2770448548812602E-3</v>
      </c>
      <c r="F28427" s="1">
        <v>1.08535265763845E-2</v>
      </c>
    </row>
    <row r="28428" spans="1:6" x14ac:dyDescent="0.25">
      <c r="A28428" s="2" t="str">
        <f t="shared" si="1012"/>
        <v>11940</v>
      </c>
      <c r="B28428" s="2" t="str">
        <f>"37880"</f>
        <v>37880</v>
      </c>
      <c r="C28428" s="1">
        <v>5.4706590320580605E-4</v>
      </c>
      <c r="D28428" s="1">
        <v>0</v>
      </c>
      <c r="E28428" s="1">
        <v>0</v>
      </c>
      <c r="F28428" s="1">
        <v>4.9185165754008495E-4</v>
      </c>
    </row>
    <row r="28429" spans="1:6" x14ac:dyDescent="0.25">
      <c r="A28429" s="2" t="str">
        <f t="shared" si="1012"/>
        <v>11940</v>
      </c>
      <c r="B28429" s="2" t="str">
        <f>"37826"</f>
        <v>37826</v>
      </c>
      <c r="C28429" s="1">
        <v>7.9798679747620199E-2</v>
      </c>
      <c r="D28429" s="1">
        <v>2.7155172413793099E-2</v>
      </c>
      <c r="E28429" s="1">
        <v>1.45118733509234E-2</v>
      </c>
      <c r="F28429" s="1">
        <v>7.4171229957044907E-2</v>
      </c>
    </row>
    <row r="28430" spans="1:6" x14ac:dyDescent="0.25">
      <c r="A28430" s="2" t="str">
        <f t="shared" si="1012"/>
        <v>11940</v>
      </c>
      <c r="B28430" s="2" t="str">
        <f>"37329"</f>
        <v>37329</v>
      </c>
      <c r="C28430" s="1">
        <v>9.3292972026696799E-2</v>
      </c>
      <c r="D28430" s="1">
        <v>1.93965517241379E-2</v>
      </c>
      <c r="E28430" s="1">
        <v>2.6385224274406299E-2</v>
      </c>
      <c r="F28430" s="1">
        <v>8.6008459848509605E-2</v>
      </c>
    </row>
    <row r="28431" spans="1:6" x14ac:dyDescent="0.25">
      <c r="A28431" s="2" t="str">
        <f t="shared" si="1012"/>
        <v>11940</v>
      </c>
      <c r="B28431" s="2" t="str">
        <f>"37846"</f>
        <v>37846</v>
      </c>
      <c r="C28431" s="1">
        <v>2.1517925526094999E-3</v>
      </c>
      <c r="D28431" s="1">
        <v>0</v>
      </c>
      <c r="E28431" s="1">
        <v>0</v>
      </c>
      <c r="F28431" s="1">
        <v>1.9346165196576701E-3</v>
      </c>
    </row>
    <row r="28432" spans="1:6" x14ac:dyDescent="0.25">
      <c r="A28432" s="2" t="str">
        <f t="shared" si="1012"/>
        <v>11940</v>
      </c>
      <c r="B28432" s="2" t="str">
        <f>"37370"</f>
        <v>37370</v>
      </c>
      <c r="C28432" s="1">
        <v>8.2716364564717801E-2</v>
      </c>
      <c r="D28432" s="1">
        <v>2.1551724137931001E-2</v>
      </c>
      <c r="E28432" s="1">
        <v>1.3192612137203101E-2</v>
      </c>
      <c r="F28432" s="1">
        <v>7.6335377250221298E-2</v>
      </c>
    </row>
    <row r="28433" spans="1:6" x14ac:dyDescent="0.25">
      <c r="A28433" s="2" t="str">
        <f t="shared" si="1012"/>
        <v>11940</v>
      </c>
      <c r="B28433" s="2" t="str">
        <f>"37303"</f>
        <v>37303</v>
      </c>
      <c r="C28433" s="1">
        <v>0.46945548707100898</v>
      </c>
      <c r="D28433" s="1">
        <v>0.63491379310344798</v>
      </c>
      <c r="E28433" s="1">
        <v>0.80474934036939305</v>
      </c>
      <c r="F28433" s="1">
        <v>0.490376102567465</v>
      </c>
    </row>
    <row r="28434" spans="1:6" x14ac:dyDescent="0.25">
      <c r="A28434" s="2" t="str">
        <f t="shared" si="1012"/>
        <v>11940</v>
      </c>
      <c r="B28434" s="2" t="str">
        <f>"37874"</f>
        <v>37874</v>
      </c>
      <c r="C28434" s="1">
        <v>3.2094532988073902E-2</v>
      </c>
      <c r="D28434" s="1">
        <v>9.05172413793103E-3</v>
      </c>
      <c r="E28434" s="1">
        <v>1.3192612137203101E-3</v>
      </c>
      <c r="F28434" s="1">
        <v>2.9576679673410398E-2</v>
      </c>
    </row>
    <row r="28435" spans="1:6" x14ac:dyDescent="0.25">
      <c r="A28435" s="2" t="str">
        <f t="shared" si="1012"/>
        <v>11940</v>
      </c>
      <c r="B28435" s="2" t="str">
        <f>"37354"</f>
        <v>37354</v>
      </c>
      <c r="C28435" s="1">
        <v>4.1577008643641196E-3</v>
      </c>
      <c r="D28435" s="1">
        <v>4.3103448275861998E-4</v>
      </c>
      <c r="E28435" s="1">
        <v>0</v>
      </c>
      <c r="F28435" s="1">
        <v>3.77086270780732E-3</v>
      </c>
    </row>
    <row r="28436" spans="1:6" x14ac:dyDescent="0.25">
      <c r="A28436" s="2" t="str">
        <f t="shared" si="1012"/>
        <v>11940</v>
      </c>
      <c r="B28436" s="2" t="str">
        <f>"37331"</f>
        <v>37331</v>
      </c>
      <c r="C28436" s="1">
        <v>0.144097158904409</v>
      </c>
      <c r="D28436" s="1">
        <v>0.128879310344827</v>
      </c>
      <c r="E28436" s="1">
        <v>0.124010554089709</v>
      </c>
      <c r="F28436" s="1">
        <v>0.142440240023608</v>
      </c>
    </row>
    <row r="28437" spans="1:6" x14ac:dyDescent="0.25">
      <c r="A28437" s="2" t="str">
        <f t="shared" si="1012"/>
        <v>11940</v>
      </c>
      <c r="B28437" s="2" t="str">
        <f>"37325"</f>
        <v>37325</v>
      </c>
      <c r="C28437" s="1">
        <v>5.1788905503482897E-3</v>
      </c>
      <c r="D28437" s="1">
        <v>1.7241379310344799E-3</v>
      </c>
      <c r="E28437" s="1">
        <v>0</v>
      </c>
      <c r="F28437" s="1">
        <v>4.7873561333901596E-3</v>
      </c>
    </row>
    <row r="28438" spans="1:6" x14ac:dyDescent="0.25">
      <c r="A28438" s="2" t="str">
        <f t="shared" si="1012"/>
        <v>11940</v>
      </c>
      <c r="B28438" s="2" t="str">
        <f>"37309"</f>
        <v>37309</v>
      </c>
      <c r="C28438" s="1">
        <v>3.3115722674058101E-2</v>
      </c>
      <c r="D28438" s="1">
        <v>1.59482758620689E-2</v>
      </c>
      <c r="E28438" s="1">
        <v>7.9155672823218899E-3</v>
      </c>
      <c r="F28438" s="1">
        <v>3.11833950880414E-2</v>
      </c>
    </row>
    <row r="28439" spans="1:6" x14ac:dyDescent="0.25">
      <c r="A28439" s="2" t="str">
        <f t="shared" si="1012"/>
        <v>11940</v>
      </c>
      <c r="B28439" s="2" t="str">
        <f>"37371"</f>
        <v>37371</v>
      </c>
      <c r="C28439" s="1">
        <v>4.1540537583427503E-2</v>
      </c>
      <c r="D28439" s="1">
        <v>0.14008620689655099</v>
      </c>
      <c r="E28439" s="1">
        <v>2.6385224274406301E-3</v>
      </c>
      <c r="F28439" s="1">
        <v>4.8070301996917697E-2</v>
      </c>
    </row>
    <row r="28440" spans="1:6" x14ac:dyDescent="0.25">
      <c r="A28440" s="2" t="str">
        <f t="shared" ref="A28440:A28446" si="1013">"38100"</f>
        <v>38100</v>
      </c>
      <c r="B28440" s="2" t="str">
        <f>"39573"</f>
        <v>39573</v>
      </c>
      <c r="C28440" s="1">
        <v>5.1827698644242304E-3</v>
      </c>
      <c r="D28440" s="1">
        <v>0</v>
      </c>
      <c r="E28440" s="1">
        <v>0</v>
      </c>
      <c r="F28440" s="1">
        <v>4.7686720353702803E-3</v>
      </c>
    </row>
    <row r="28441" spans="1:6" x14ac:dyDescent="0.25">
      <c r="A28441" s="2" t="str">
        <f t="shared" si="1013"/>
        <v>38100</v>
      </c>
      <c r="B28441" s="2" t="str">
        <f>"39457"</f>
        <v>39457</v>
      </c>
      <c r="C28441" s="1">
        <v>0</v>
      </c>
      <c r="D28441" s="1">
        <v>4.6794571829667701E-4</v>
      </c>
      <c r="E28441" s="1">
        <v>0</v>
      </c>
      <c r="F28441" s="1">
        <v>3.1580609505763398E-5</v>
      </c>
    </row>
    <row r="28442" spans="1:6" x14ac:dyDescent="0.25">
      <c r="A28442" s="2" t="str">
        <f t="shared" si="1013"/>
        <v>38100</v>
      </c>
      <c r="B28442" s="2" t="str">
        <f>"39466"</f>
        <v>39466</v>
      </c>
      <c r="C28442" s="1">
        <v>0.456186717007036</v>
      </c>
      <c r="D28442" s="1">
        <v>0.70051474029012595</v>
      </c>
      <c r="E28442" s="1">
        <v>0.75572519083969403</v>
      </c>
      <c r="F28442" s="1">
        <v>0.47639349439444101</v>
      </c>
    </row>
    <row r="28443" spans="1:6" x14ac:dyDescent="0.25">
      <c r="A28443" s="2" t="str">
        <f t="shared" si="1013"/>
        <v>38100</v>
      </c>
      <c r="B28443" s="2" t="str">
        <f>"39463"</f>
        <v>39463</v>
      </c>
      <c r="C28443" s="1">
        <v>0</v>
      </c>
      <c r="D28443" s="1">
        <v>4.6794571829667701E-4</v>
      </c>
      <c r="E28443" s="1">
        <v>0</v>
      </c>
      <c r="F28443" s="1">
        <v>3.1580609505763398E-5</v>
      </c>
    </row>
    <row r="28444" spans="1:6" x14ac:dyDescent="0.25">
      <c r="A28444" s="2" t="str">
        <f t="shared" si="1013"/>
        <v>38100</v>
      </c>
      <c r="B28444" s="2" t="str">
        <f>"39470"</f>
        <v>39470</v>
      </c>
      <c r="C28444" s="1">
        <v>0.21952977518448599</v>
      </c>
      <c r="D28444" s="1">
        <v>0.20729995320542799</v>
      </c>
      <c r="E28444" s="1">
        <v>0.14503816793893101</v>
      </c>
      <c r="F28444" s="1">
        <v>0.21777988315174401</v>
      </c>
    </row>
    <row r="28445" spans="1:6" x14ac:dyDescent="0.25">
      <c r="A28445" s="2" t="str">
        <f t="shared" si="1013"/>
        <v>38100</v>
      </c>
      <c r="B28445" s="2" t="str">
        <f>"39426"</f>
        <v>39426</v>
      </c>
      <c r="C28445" s="1">
        <v>0.26953835592929398</v>
      </c>
      <c r="D28445" s="1">
        <v>8.0486663547028506E-2</v>
      </c>
      <c r="E28445" s="1">
        <v>9.9236641221374003E-2</v>
      </c>
      <c r="F28445" s="1">
        <v>0.25466603505447599</v>
      </c>
    </row>
    <row r="28446" spans="1:6" x14ac:dyDescent="0.25">
      <c r="A28446" s="2" t="str">
        <f t="shared" si="1013"/>
        <v>38100</v>
      </c>
      <c r="B28446" s="2" t="str">
        <f>"39455"</f>
        <v>39455</v>
      </c>
      <c r="C28446" s="1">
        <v>4.95623820147588E-2</v>
      </c>
      <c r="D28446" s="1">
        <v>1.07627515208235E-2</v>
      </c>
      <c r="E28446" s="1">
        <v>0</v>
      </c>
      <c r="F28446" s="1">
        <v>4.6328754144954902E-2</v>
      </c>
    </row>
    <row r="28447" spans="1:6" x14ac:dyDescent="0.25">
      <c r="A28447" s="2" t="str">
        <f t="shared" ref="A28447:A28478" si="1014">"31140"</f>
        <v>31140</v>
      </c>
      <c r="B28447" s="2" t="str">
        <f>"47165"</f>
        <v>47165</v>
      </c>
      <c r="C28447" s="1">
        <v>4.5807811367977302E-3</v>
      </c>
      <c r="D28447" s="1">
        <v>9.50256957238436E-4</v>
      </c>
      <c r="E28447" s="1">
        <v>3.0645566440592798E-3</v>
      </c>
      <c r="F28447" s="1">
        <v>4.2264507403087098E-3</v>
      </c>
    </row>
    <row r="28448" spans="1:6" x14ac:dyDescent="0.25">
      <c r="A28448" s="2" t="str">
        <f t="shared" si="1014"/>
        <v>31140</v>
      </c>
      <c r="B28448" s="2" t="str">
        <f>"47151"</f>
        <v>47151</v>
      </c>
      <c r="C28448" s="1">
        <v>1.90179806362378E-3</v>
      </c>
      <c r="D28448" s="1">
        <v>7.1754096771065598E-3</v>
      </c>
      <c r="E28448" s="1">
        <v>5.02386335091685E-5</v>
      </c>
      <c r="F28448" s="1">
        <v>2.1855029734004099E-3</v>
      </c>
    </row>
    <row r="28449" spans="1:6" x14ac:dyDescent="0.25">
      <c r="A28449" s="2" t="str">
        <f t="shared" si="1014"/>
        <v>31140</v>
      </c>
      <c r="B28449" s="2" t="str">
        <f>"47114"</f>
        <v>47114</v>
      </c>
      <c r="C28449" s="1">
        <v>3.2108278996245801E-4</v>
      </c>
      <c r="D28449" s="1">
        <v>0</v>
      </c>
      <c r="E28449" s="1">
        <v>1.2559658377292099E-4</v>
      </c>
      <c r="F28449" s="1">
        <v>2.8624793364772798E-4</v>
      </c>
    </row>
    <row r="28450" spans="1:6" x14ac:dyDescent="0.25">
      <c r="A28450" s="2" t="str">
        <f t="shared" si="1014"/>
        <v>31140</v>
      </c>
      <c r="B28450" s="2" t="str">
        <f>"47110"</f>
        <v>47110</v>
      </c>
      <c r="C28450" s="1">
        <v>3.5566093657379898E-4</v>
      </c>
      <c r="D28450" s="1">
        <v>1.7453699214583501E-4</v>
      </c>
      <c r="E28450" s="1">
        <v>5.5262496860085397E-4</v>
      </c>
      <c r="F28450" s="1">
        <v>3.5351619805494501E-4</v>
      </c>
    </row>
    <row r="28451" spans="1:6" x14ac:dyDescent="0.25">
      <c r="A28451" s="2" t="str">
        <f t="shared" si="1014"/>
        <v>31140</v>
      </c>
      <c r="B28451" s="2" t="str">
        <f>"47104"</f>
        <v>47104</v>
      </c>
      <c r="C28451" s="1">
        <v>7.4096028452874907E-5</v>
      </c>
      <c r="D28451" s="1">
        <v>0</v>
      </c>
      <c r="E28451" s="1">
        <v>1.2559658377292099E-4</v>
      </c>
      <c r="F28451" s="1">
        <v>7.1561983411932197E-5</v>
      </c>
    </row>
    <row r="28452" spans="1:6" x14ac:dyDescent="0.25">
      <c r="A28452" s="2" t="str">
        <f t="shared" si="1014"/>
        <v>31140</v>
      </c>
      <c r="B28452" s="2" t="str">
        <f>"47122"</f>
        <v>47122</v>
      </c>
      <c r="C28452" s="1">
        <v>7.4013699532371703E-3</v>
      </c>
      <c r="D28452" s="1">
        <v>2.8313778725879901E-3</v>
      </c>
      <c r="E28452" s="1">
        <v>2.63752825923134E-3</v>
      </c>
      <c r="F28452" s="1">
        <v>6.7926634654605998E-3</v>
      </c>
    </row>
    <row r="28453" spans="1:6" x14ac:dyDescent="0.25">
      <c r="A28453" s="2" t="str">
        <f t="shared" si="1014"/>
        <v>31140</v>
      </c>
      <c r="B28453" s="2" t="str">
        <f>"47120"</f>
        <v>47120</v>
      </c>
      <c r="C28453" s="1">
        <v>8.0353026411117596E-4</v>
      </c>
      <c r="D28453" s="1">
        <v>1.3575099389120501E-4</v>
      </c>
      <c r="E28453" s="1">
        <v>1.2559658377292099E-4</v>
      </c>
      <c r="F28453" s="1">
        <v>7.1561983411932203E-4</v>
      </c>
    </row>
    <row r="28454" spans="1:6" x14ac:dyDescent="0.25">
      <c r="A28454" s="2" t="str">
        <f t="shared" si="1014"/>
        <v>31140</v>
      </c>
      <c r="B28454" s="2" t="str">
        <f>"47117"</f>
        <v>47117</v>
      </c>
      <c r="C28454" s="1">
        <v>3.32444180991898E-3</v>
      </c>
      <c r="D28454" s="1">
        <v>6.5936197032871095E-4</v>
      </c>
      <c r="E28454" s="1">
        <v>9.0429540316503299E-4</v>
      </c>
      <c r="F28454" s="1">
        <v>2.9898596669505201E-3</v>
      </c>
    </row>
    <row r="28455" spans="1:6" x14ac:dyDescent="0.25">
      <c r="A28455" s="2" t="str">
        <f t="shared" si="1014"/>
        <v>31140</v>
      </c>
      <c r="B28455" s="2" t="str">
        <f>"47106"</f>
        <v>47106</v>
      </c>
      <c r="C28455" s="1">
        <v>3.4693407100046098E-3</v>
      </c>
      <c r="D28455" s="1">
        <v>1.0860079511296401E-3</v>
      </c>
      <c r="E28455" s="1">
        <v>3.08967596081386E-3</v>
      </c>
      <c r="F28455" s="1">
        <v>3.2718138815935401E-3</v>
      </c>
    </row>
    <row r="28456" spans="1:6" x14ac:dyDescent="0.25">
      <c r="A28456" s="2" t="str">
        <f t="shared" si="1014"/>
        <v>31140</v>
      </c>
      <c r="B28456" s="2" t="str">
        <f>"47134"</f>
        <v>47134</v>
      </c>
      <c r="C28456" s="1">
        <v>0</v>
      </c>
      <c r="D28456" s="1">
        <v>1.9392999127315001E-5</v>
      </c>
      <c r="E28456" s="1">
        <v>0</v>
      </c>
      <c r="F28456" s="1">
        <v>1.4312396682386399E-6</v>
      </c>
    </row>
    <row r="28457" spans="1:6" x14ac:dyDescent="0.25">
      <c r="A28457" s="2" t="str">
        <f t="shared" si="1014"/>
        <v>31140</v>
      </c>
      <c r="B28457" s="2" t="str">
        <f>"40209"</f>
        <v>40209</v>
      </c>
      <c r="C28457" s="1">
        <v>1.18718303365606E-3</v>
      </c>
      <c r="D28457" s="1">
        <v>8.2420246291088906E-3</v>
      </c>
      <c r="E28457" s="1">
        <v>2.3612157749309201E-3</v>
      </c>
      <c r="F28457" s="1">
        <v>1.77473718861591E-3</v>
      </c>
    </row>
    <row r="28458" spans="1:6" x14ac:dyDescent="0.25">
      <c r="A28458" s="2" t="str">
        <f t="shared" si="1014"/>
        <v>31140</v>
      </c>
      <c r="B28458" s="2" t="str">
        <f>"40211"</f>
        <v>40211</v>
      </c>
      <c r="C28458" s="1">
        <v>1.8400513732463899E-2</v>
      </c>
      <c r="D28458" s="1">
        <v>1.25084844371182E-2</v>
      </c>
      <c r="E28458" s="1">
        <v>2.3059532780708301E-2</v>
      </c>
      <c r="F28458" s="1">
        <v>1.8231130894023801E-2</v>
      </c>
    </row>
    <row r="28459" spans="1:6" x14ac:dyDescent="0.25">
      <c r="A28459" s="2" t="str">
        <f t="shared" si="1014"/>
        <v>31140</v>
      </c>
      <c r="B28459" s="2" t="str">
        <f>"40241"</f>
        <v>40241</v>
      </c>
      <c r="C28459" s="1">
        <v>2.3618520713956301E-2</v>
      </c>
      <c r="D28459" s="1">
        <v>1.5514399301852E-2</v>
      </c>
      <c r="E28459" s="1">
        <v>1.9567947751821101E-2</v>
      </c>
      <c r="F28459" s="1">
        <v>2.2789629237363902E-2</v>
      </c>
    </row>
    <row r="28460" spans="1:6" x14ac:dyDescent="0.25">
      <c r="A28460" s="2" t="str">
        <f t="shared" si="1014"/>
        <v>31140</v>
      </c>
      <c r="B28460" s="2" t="str">
        <f>"40289"</f>
        <v>40289</v>
      </c>
      <c r="C28460" s="1">
        <v>0</v>
      </c>
      <c r="D28460" s="1">
        <v>1.9392999127315001E-5</v>
      </c>
      <c r="E28460" s="1">
        <v>0</v>
      </c>
      <c r="F28460" s="1">
        <v>1.4312396682386399E-6</v>
      </c>
    </row>
    <row r="28461" spans="1:6" x14ac:dyDescent="0.25">
      <c r="A28461" s="2" t="str">
        <f t="shared" si="1014"/>
        <v>31140</v>
      </c>
      <c r="B28461" s="2" t="str">
        <f>"40299"</f>
        <v>40299</v>
      </c>
      <c r="C28461" s="1">
        <v>3.0464993743001999E-2</v>
      </c>
      <c r="D28461" s="1">
        <v>4.7667991854940299E-2</v>
      </c>
      <c r="E28461" s="1">
        <v>3.4790253705099201E-2</v>
      </c>
      <c r="F28461" s="1">
        <v>3.1981050386792498E-2</v>
      </c>
    </row>
    <row r="28462" spans="1:6" x14ac:dyDescent="0.25">
      <c r="A28462" s="2" t="str">
        <f t="shared" si="1014"/>
        <v>31140</v>
      </c>
      <c r="B28462" s="2" t="str">
        <f>"40272"</f>
        <v>40272</v>
      </c>
      <c r="C28462" s="1">
        <v>2.73710729104919E-2</v>
      </c>
      <c r="D28462" s="1">
        <v>1.21012314554445E-2</v>
      </c>
      <c r="E28462" s="1">
        <v>1.7432805827681402E-2</v>
      </c>
      <c r="F28462" s="1">
        <v>2.5677870887869499E-2</v>
      </c>
    </row>
    <row r="28463" spans="1:6" x14ac:dyDescent="0.25">
      <c r="A28463" s="2" t="str">
        <f t="shared" si="1014"/>
        <v>31140</v>
      </c>
      <c r="B28463" s="2" t="str">
        <f>"40258"</f>
        <v>40258</v>
      </c>
      <c r="C28463" s="1">
        <v>1.9273200289797801E-2</v>
      </c>
      <c r="D28463" s="1">
        <v>1.25860564336274E-2</v>
      </c>
      <c r="E28463" s="1">
        <v>1.4493845767395101E-2</v>
      </c>
      <c r="F28463" s="1">
        <v>1.85073601499939E-2</v>
      </c>
    </row>
    <row r="28464" spans="1:6" x14ac:dyDescent="0.25">
      <c r="A28464" s="2" t="str">
        <f t="shared" si="1014"/>
        <v>31140</v>
      </c>
      <c r="B28464" s="2" t="str">
        <f>"40109"</f>
        <v>40109</v>
      </c>
      <c r="C28464" s="1">
        <v>1.6218797339129199E-3</v>
      </c>
      <c r="D28464" s="1">
        <v>3.4907398429167001E-3</v>
      </c>
      <c r="E28464" s="1">
        <v>2.33609645817633E-3</v>
      </c>
      <c r="F28464" s="1">
        <v>1.80049950264421E-3</v>
      </c>
    </row>
    <row r="28465" spans="1:6" x14ac:dyDescent="0.25">
      <c r="A28465" s="2" t="str">
        <f t="shared" si="1014"/>
        <v>31140</v>
      </c>
      <c r="B28465" s="2" t="str">
        <f>"40018"</f>
        <v>40018</v>
      </c>
      <c r="C28465" s="1">
        <v>0</v>
      </c>
      <c r="D28465" s="1">
        <v>0</v>
      </c>
      <c r="E28465" s="1">
        <v>2.5119316754584199E-5</v>
      </c>
      <c r="F28465" s="1">
        <v>1.4312396682386399E-6</v>
      </c>
    </row>
    <row r="28466" spans="1:6" x14ac:dyDescent="0.25">
      <c r="A28466" s="2" t="str">
        <f t="shared" si="1014"/>
        <v>31140</v>
      </c>
      <c r="B28466" s="2" t="str">
        <f>"40023"</f>
        <v>40023</v>
      </c>
      <c r="C28466" s="1">
        <v>3.84311400908911E-3</v>
      </c>
      <c r="D28466" s="1">
        <v>7.1754096771065598E-4</v>
      </c>
      <c r="E28466" s="1">
        <v>1.9341873901029801E-3</v>
      </c>
      <c r="F28466" s="1">
        <v>3.5036747078481998E-3</v>
      </c>
    </row>
    <row r="28467" spans="1:6" x14ac:dyDescent="0.25">
      <c r="A28467" s="2" t="str">
        <f t="shared" si="1014"/>
        <v>31140</v>
      </c>
      <c r="B28467" s="2" t="str">
        <f>"47177"</f>
        <v>47177</v>
      </c>
      <c r="C28467" s="1">
        <v>5.3349140486069898E-4</v>
      </c>
      <c r="D28467" s="1">
        <v>2.5210898865509499E-4</v>
      </c>
      <c r="E28467" s="1">
        <v>3.0143180105501101E-4</v>
      </c>
      <c r="F28467" s="1">
        <v>4.9950264421528699E-4</v>
      </c>
    </row>
    <row r="28468" spans="1:6" x14ac:dyDescent="0.25">
      <c r="A28468" s="2" t="str">
        <f t="shared" si="1014"/>
        <v>31140</v>
      </c>
      <c r="B28468" s="2" t="str">
        <f>"47170"</f>
        <v>47170</v>
      </c>
      <c r="C28468" s="1">
        <v>8.39754989132582E-4</v>
      </c>
      <c r="D28468" s="1">
        <v>1.3575099389120501E-4</v>
      </c>
      <c r="E28468" s="1">
        <v>2.26073850791258E-4</v>
      </c>
      <c r="F28468" s="1">
        <v>7.5283206549352699E-4</v>
      </c>
    </row>
    <row r="28469" spans="1:6" x14ac:dyDescent="0.25">
      <c r="A28469" s="2" t="str">
        <f t="shared" si="1014"/>
        <v>31140</v>
      </c>
      <c r="B28469" s="2" t="str">
        <f>"47163"</f>
        <v>47163</v>
      </c>
      <c r="C28469" s="1">
        <v>1.0340512415201199E-3</v>
      </c>
      <c r="D28469" s="1">
        <v>3.8785998254630002E-5</v>
      </c>
      <c r="E28469" s="1">
        <v>7.7869881939211197E-4</v>
      </c>
      <c r="F28469" s="1">
        <v>9.4604942070574403E-4</v>
      </c>
    </row>
    <row r="28470" spans="1:6" x14ac:dyDescent="0.25">
      <c r="A28470" s="2" t="str">
        <f t="shared" si="1014"/>
        <v>31140</v>
      </c>
      <c r="B28470" s="2" t="str">
        <f>"47107"</f>
        <v>47107</v>
      </c>
      <c r="C28470" s="1">
        <v>0</v>
      </c>
      <c r="D28470" s="1">
        <v>0</v>
      </c>
      <c r="E28470" s="1">
        <v>2.5119316754584199E-5</v>
      </c>
      <c r="F28470" s="1">
        <v>1.4312396682386399E-6</v>
      </c>
    </row>
    <row r="28471" spans="1:6" x14ac:dyDescent="0.25">
      <c r="A28471" s="2" t="str">
        <f t="shared" si="1014"/>
        <v>31140</v>
      </c>
      <c r="B28471" s="2" t="str">
        <f>"47115"</f>
        <v>47115</v>
      </c>
      <c r="C28471" s="1">
        <v>1.8030033590199499E-3</v>
      </c>
      <c r="D28471" s="1">
        <v>1.5514399301852001E-4</v>
      </c>
      <c r="E28471" s="1">
        <v>3.5167043456417902E-3</v>
      </c>
      <c r="F28471" s="1">
        <v>1.7790309076206299E-3</v>
      </c>
    </row>
    <row r="28472" spans="1:6" x14ac:dyDescent="0.25">
      <c r="A28472" s="2" t="str">
        <f t="shared" si="1014"/>
        <v>31140</v>
      </c>
      <c r="B28472" s="2" t="str">
        <f>"47143"</f>
        <v>47143</v>
      </c>
      <c r="C28472" s="1">
        <v>2.4122373707435901E-3</v>
      </c>
      <c r="D28472" s="1">
        <v>6.0118297294676603E-4</v>
      </c>
      <c r="E28472" s="1">
        <v>1.0047726701833701E-3</v>
      </c>
      <c r="F28472" s="1">
        <v>2.1983841304145501E-3</v>
      </c>
    </row>
    <row r="28473" spans="1:6" x14ac:dyDescent="0.25">
      <c r="A28473" s="2" t="str">
        <f t="shared" si="1014"/>
        <v>31140</v>
      </c>
      <c r="B28473" s="2" t="str">
        <f>"47131"</f>
        <v>47131</v>
      </c>
      <c r="C28473" s="1">
        <v>3.4314694065731401E-3</v>
      </c>
      <c r="D28473" s="1">
        <v>1.04334335304954E-2</v>
      </c>
      <c r="E28473" s="1">
        <v>1.00477267018337E-4</v>
      </c>
      <c r="F28473" s="1">
        <v>3.7584353687946802E-3</v>
      </c>
    </row>
    <row r="28474" spans="1:6" x14ac:dyDescent="0.25">
      <c r="A28474" s="2" t="str">
        <f t="shared" si="1014"/>
        <v>31140</v>
      </c>
      <c r="B28474" s="2" t="str">
        <f>"40214"</f>
        <v>40214</v>
      </c>
      <c r="C28474" s="1">
        <v>3.4243891194098597E-2</v>
      </c>
      <c r="D28474" s="1">
        <v>2.0750509066227E-2</v>
      </c>
      <c r="E28474" s="1">
        <v>5.8327053504144598E-2</v>
      </c>
      <c r="F28474" s="1">
        <v>3.4620256335024503E-2</v>
      </c>
    </row>
    <row r="28475" spans="1:6" x14ac:dyDescent="0.25">
      <c r="A28475" s="2" t="str">
        <f t="shared" si="1014"/>
        <v>31140</v>
      </c>
      <c r="B28475" s="2" t="str">
        <f>"40210"</f>
        <v>40210</v>
      </c>
      <c r="C28475" s="1">
        <v>1.3045840742936099E-2</v>
      </c>
      <c r="D28475" s="1">
        <v>7.8735576456899006E-3</v>
      </c>
      <c r="E28475" s="1">
        <v>1.43431298668676E-2</v>
      </c>
      <c r="F28475" s="1">
        <v>1.2738033047323899E-2</v>
      </c>
    </row>
    <row r="28476" spans="1:6" x14ac:dyDescent="0.25">
      <c r="A28476" s="2" t="str">
        <f t="shared" si="1014"/>
        <v>31140</v>
      </c>
      <c r="B28476" s="2" t="str">
        <f>"40225"</f>
        <v>40225</v>
      </c>
      <c r="C28476" s="1">
        <v>0</v>
      </c>
      <c r="D28476" s="1">
        <v>1.9392999127315001E-5</v>
      </c>
      <c r="E28476" s="1">
        <v>0</v>
      </c>
      <c r="F28476" s="1">
        <v>1.4312396682386399E-6</v>
      </c>
    </row>
    <row r="28477" spans="1:6" x14ac:dyDescent="0.25">
      <c r="A28477" s="2" t="str">
        <f t="shared" si="1014"/>
        <v>31140</v>
      </c>
      <c r="B28477" s="2" t="str">
        <f>"40268"</f>
        <v>40268</v>
      </c>
      <c r="C28477" s="1">
        <v>1.35678060989264E-3</v>
      </c>
      <c r="D28477" s="1">
        <v>3.7816348298264301E-3</v>
      </c>
      <c r="E28477" s="1">
        <v>5.02386335091685E-5</v>
      </c>
      <c r="F28477" s="1">
        <v>1.4612957012716499E-3</v>
      </c>
    </row>
    <row r="28478" spans="1:6" x14ac:dyDescent="0.25">
      <c r="A28478" s="2" t="str">
        <f t="shared" si="1014"/>
        <v>31140</v>
      </c>
      <c r="B28478" s="2" t="str">
        <f>"40201"</f>
        <v>40201</v>
      </c>
      <c r="C28478" s="1">
        <v>3.1070934597905498E-3</v>
      </c>
      <c r="D28478" s="1">
        <v>9.2310675846019492E-3</v>
      </c>
      <c r="E28478" s="1">
        <v>5.02386335091685E-5</v>
      </c>
      <c r="F28478" s="1">
        <v>3.38488181538439E-3</v>
      </c>
    </row>
    <row r="28479" spans="1:6" x14ac:dyDescent="0.25">
      <c r="A28479" s="2" t="str">
        <f t="shared" ref="A28479:A28510" si="1015">"31140"</f>
        <v>31140</v>
      </c>
      <c r="B28479" s="2" t="str">
        <f>"40165"</f>
        <v>40165</v>
      </c>
      <c r="C28479" s="1">
        <v>2.4270565764341601E-2</v>
      </c>
      <c r="D28479" s="1">
        <v>1.7007660234655199E-2</v>
      </c>
      <c r="E28479" s="1">
        <v>2.22808339613162E-2</v>
      </c>
      <c r="F28479" s="1">
        <v>2.36211794846105E-2</v>
      </c>
    </row>
    <row r="28480" spans="1:6" x14ac:dyDescent="0.25">
      <c r="A28480" s="2" t="str">
        <f t="shared" si="1015"/>
        <v>31140</v>
      </c>
      <c r="B28480" s="2" t="str">
        <f>"40118"</f>
        <v>40118</v>
      </c>
      <c r="C28480" s="1">
        <v>8.6544161232957901E-3</v>
      </c>
      <c r="D28480" s="1">
        <v>4.3246388053912498E-3</v>
      </c>
      <c r="E28480" s="1">
        <v>1.00728460185882E-2</v>
      </c>
      <c r="F28480" s="1">
        <v>8.4156892492432307E-3</v>
      </c>
    </row>
    <row r="28481" spans="1:6" x14ac:dyDescent="0.25">
      <c r="A28481" s="2" t="str">
        <f t="shared" si="1015"/>
        <v>31140</v>
      </c>
      <c r="B28481" s="2" t="str">
        <f>"40077"</f>
        <v>40077</v>
      </c>
      <c r="C28481" s="1">
        <v>4.7750773891852701E-4</v>
      </c>
      <c r="D28481" s="1">
        <v>0</v>
      </c>
      <c r="E28481" s="1">
        <v>3.0143180105501101E-4</v>
      </c>
      <c r="F28481" s="1">
        <v>4.3223437980807001E-4</v>
      </c>
    </row>
    <row r="28482" spans="1:6" x14ac:dyDescent="0.25">
      <c r="A28482" s="2" t="str">
        <f t="shared" si="1015"/>
        <v>31140</v>
      </c>
      <c r="B28482" s="2" t="str">
        <f>"40046"</f>
        <v>40046</v>
      </c>
      <c r="C28482" s="1">
        <v>1.11967331884344E-3</v>
      </c>
      <c r="D28482" s="1">
        <v>1.7453699214583501E-4</v>
      </c>
      <c r="E28482" s="1">
        <v>9.5453403667420202E-4</v>
      </c>
      <c r="F28482" s="1">
        <v>1.04051123880949E-3</v>
      </c>
    </row>
    <row r="28483" spans="1:6" x14ac:dyDescent="0.25">
      <c r="A28483" s="2" t="str">
        <f t="shared" si="1015"/>
        <v>31140</v>
      </c>
      <c r="B28483" s="2" t="str">
        <f>"40007"</f>
        <v>40007</v>
      </c>
      <c r="C28483" s="1">
        <v>1.5971810577619701E-4</v>
      </c>
      <c r="D28483" s="1">
        <v>1.1635799476389001E-4</v>
      </c>
      <c r="E28483" s="1">
        <v>2.7631248430042698E-4</v>
      </c>
      <c r="F28483" s="1">
        <v>1.6316132217920499E-4</v>
      </c>
    </row>
    <row r="28484" spans="1:6" x14ac:dyDescent="0.25">
      <c r="A28484" s="2" t="str">
        <f t="shared" si="1015"/>
        <v>31140</v>
      </c>
      <c r="B28484" s="2" t="str">
        <f>"40008"</f>
        <v>40008</v>
      </c>
      <c r="C28484" s="1">
        <v>3.3754857406309601E-4</v>
      </c>
      <c r="D28484" s="1">
        <v>0</v>
      </c>
      <c r="E28484" s="1">
        <v>7.5357950263752794E-5</v>
      </c>
      <c r="F28484" s="1">
        <v>2.97697850993638E-4</v>
      </c>
    </row>
    <row r="28485" spans="1:6" x14ac:dyDescent="0.25">
      <c r="A28485" s="2" t="str">
        <f t="shared" si="1015"/>
        <v>31140</v>
      </c>
      <c r="B28485" s="2" t="str">
        <f>"40026"</f>
        <v>40026</v>
      </c>
      <c r="C28485" s="1">
        <v>4.3140354343673797E-3</v>
      </c>
      <c r="D28485" s="1">
        <v>3.5877048385532799E-3</v>
      </c>
      <c r="E28485" s="1">
        <v>1.2308465209746201E-3</v>
      </c>
      <c r="F28485" s="1">
        <v>4.0847580131530897E-3</v>
      </c>
    </row>
    <row r="28486" spans="1:6" x14ac:dyDescent="0.25">
      <c r="A28486" s="2" t="str">
        <f t="shared" si="1015"/>
        <v>31140</v>
      </c>
      <c r="B28486" s="2" t="str">
        <f>"47281"</f>
        <v>47281</v>
      </c>
      <c r="C28486" s="1">
        <v>4.0176513205558798E-4</v>
      </c>
      <c r="D28486" s="1">
        <v>7.7571996509260099E-5</v>
      </c>
      <c r="E28486" s="1">
        <v>0</v>
      </c>
      <c r="F28486" s="1">
        <v>3.5494743772318299E-4</v>
      </c>
    </row>
    <row r="28487" spans="1:6" x14ac:dyDescent="0.25">
      <c r="A28487" s="2" t="str">
        <f t="shared" si="1015"/>
        <v>31140</v>
      </c>
      <c r="B28487" s="2" t="str">
        <f>"47190"</f>
        <v>47190</v>
      </c>
      <c r="C28487" s="1">
        <v>0</v>
      </c>
      <c r="D28487" s="1">
        <v>5.8178997381945098E-5</v>
      </c>
      <c r="E28487" s="1">
        <v>7.5357950263752794E-5</v>
      </c>
      <c r="F28487" s="1">
        <v>8.58743800943186E-6</v>
      </c>
    </row>
    <row r="28488" spans="1:6" x14ac:dyDescent="0.25">
      <c r="A28488" s="2" t="str">
        <f t="shared" si="1015"/>
        <v>31140</v>
      </c>
      <c r="B28488" s="2" t="str">
        <f>"47167"</f>
        <v>47167</v>
      </c>
      <c r="C28488" s="1">
        <v>1.21204636764802E-2</v>
      </c>
      <c r="D28488" s="1">
        <v>1.0200717540967699E-2</v>
      </c>
      <c r="E28488" s="1">
        <v>1.2534539060537499E-2</v>
      </c>
      <c r="F28488" s="1">
        <v>1.2002375857849201E-2</v>
      </c>
    </row>
    <row r="28489" spans="1:6" x14ac:dyDescent="0.25">
      <c r="A28489" s="2" t="str">
        <f t="shared" si="1015"/>
        <v>31140</v>
      </c>
      <c r="B28489" s="2" t="str">
        <f>"47164"</f>
        <v>47164</v>
      </c>
      <c r="C28489" s="1">
        <v>2.7300270038859201E-3</v>
      </c>
      <c r="D28489" s="1">
        <v>6.9814796858334101E-4</v>
      </c>
      <c r="E28489" s="1">
        <v>1.02989198693795E-3</v>
      </c>
      <c r="F28489" s="1">
        <v>2.4832008243940401E-3</v>
      </c>
    </row>
    <row r="28490" spans="1:6" x14ac:dyDescent="0.25">
      <c r="A28490" s="2" t="str">
        <f t="shared" si="1015"/>
        <v>31140</v>
      </c>
      <c r="B28490" s="2" t="str">
        <f>"47161"</f>
        <v>47161</v>
      </c>
      <c r="C28490" s="1">
        <v>2.5851281038002999E-3</v>
      </c>
      <c r="D28490" s="1">
        <v>9.1147095898380605E-4</v>
      </c>
      <c r="E28490" s="1">
        <v>1.4820396885204699E-3</v>
      </c>
      <c r="F28490" s="1">
        <v>2.39875768396796E-3</v>
      </c>
    </row>
    <row r="28491" spans="1:6" x14ac:dyDescent="0.25">
      <c r="A28491" s="2" t="str">
        <f t="shared" si="1015"/>
        <v>31140</v>
      </c>
      <c r="B28491" s="2" t="str">
        <f>"47124"</f>
        <v>47124</v>
      </c>
      <c r="C28491" s="1">
        <v>3.1581373905025301E-3</v>
      </c>
      <c r="D28491" s="1">
        <v>7.9511296421991599E-4</v>
      </c>
      <c r="E28491" s="1">
        <v>9.2941471991961799E-4</v>
      </c>
      <c r="F28491" s="1">
        <v>2.8567543778043299E-3</v>
      </c>
    </row>
    <row r="28492" spans="1:6" x14ac:dyDescent="0.25">
      <c r="A28492" s="2" t="str">
        <f t="shared" si="1015"/>
        <v>31140</v>
      </c>
      <c r="B28492" s="2" t="str">
        <f>"47112"</f>
        <v>47112</v>
      </c>
      <c r="C28492" s="1">
        <v>1.37225844694724E-2</v>
      </c>
      <c r="D28492" s="1">
        <v>1.7686415204111301E-2</v>
      </c>
      <c r="E28492" s="1">
        <v>1.1580005023863299E-2</v>
      </c>
      <c r="F28492" s="1">
        <v>1.38930434595925E-2</v>
      </c>
    </row>
    <row r="28493" spans="1:6" x14ac:dyDescent="0.25">
      <c r="A28493" s="2" t="str">
        <f t="shared" si="1015"/>
        <v>31140</v>
      </c>
      <c r="B28493" s="2" t="str">
        <f>"47111"</f>
        <v>47111</v>
      </c>
      <c r="C28493" s="1">
        <v>1.22884146743067E-2</v>
      </c>
      <c r="D28493" s="1">
        <v>6.5548337050324798E-3</v>
      </c>
      <c r="E28493" s="1">
        <v>7.9628234112032095E-3</v>
      </c>
      <c r="F28493" s="1">
        <v>1.16188036267613E-2</v>
      </c>
    </row>
    <row r="28494" spans="1:6" x14ac:dyDescent="0.25">
      <c r="A28494" s="2" t="str">
        <f t="shared" si="1015"/>
        <v>31140</v>
      </c>
      <c r="B28494" s="2" t="str">
        <f>"47142"</f>
        <v>47142</v>
      </c>
      <c r="C28494" s="1">
        <v>7.1132187314759904E-4</v>
      </c>
      <c r="D28494" s="1">
        <v>2.1332299040046501E-4</v>
      </c>
      <c r="E28494" s="1">
        <v>1.13036925395629E-3</v>
      </c>
      <c r="F28494" s="1">
        <v>6.9844495810045802E-4</v>
      </c>
    </row>
    <row r="28495" spans="1:6" x14ac:dyDescent="0.25">
      <c r="A28495" s="2" t="str">
        <f t="shared" si="1015"/>
        <v>31140</v>
      </c>
      <c r="B28495" s="2" t="str">
        <f>"47150"</f>
        <v>47150</v>
      </c>
      <c r="C28495" s="1">
        <v>3.8301060396496001E-2</v>
      </c>
      <c r="D28495" s="1">
        <v>4.2761563075729599E-2</v>
      </c>
      <c r="E28495" s="1">
        <v>3.4463702587289598E-2</v>
      </c>
      <c r="F28495" s="1">
        <v>3.8411610216188698E-2</v>
      </c>
    </row>
    <row r="28496" spans="1:6" x14ac:dyDescent="0.25">
      <c r="A28496" s="2" t="str">
        <f t="shared" si="1015"/>
        <v>31140</v>
      </c>
      <c r="B28496" s="2" t="str">
        <f>"40208"</f>
        <v>40208</v>
      </c>
      <c r="C28496" s="1">
        <v>1.18668906013304E-2</v>
      </c>
      <c r="D28496" s="1">
        <v>1.2430912440608901E-2</v>
      </c>
      <c r="E28496" s="1">
        <v>2.9289123335845199E-2</v>
      </c>
      <c r="F28496" s="1">
        <v>1.29011943695031E-2</v>
      </c>
    </row>
    <row r="28497" spans="1:6" x14ac:dyDescent="0.25">
      <c r="A28497" s="2" t="str">
        <f t="shared" si="1015"/>
        <v>31140</v>
      </c>
      <c r="B28497" s="2" t="str">
        <f>"40342"</f>
        <v>40342</v>
      </c>
      <c r="C28497" s="1">
        <v>9.8794704603833205E-6</v>
      </c>
      <c r="D28497" s="1">
        <v>0</v>
      </c>
      <c r="E28497" s="1">
        <v>0</v>
      </c>
      <c r="F28497" s="1">
        <v>8.58743800943186E-6</v>
      </c>
    </row>
    <row r="28498" spans="1:6" x14ac:dyDescent="0.25">
      <c r="A28498" s="2" t="str">
        <f t="shared" si="1015"/>
        <v>31140</v>
      </c>
      <c r="B28498" s="2" t="str">
        <f>"40245"</f>
        <v>40245</v>
      </c>
      <c r="C28498" s="1">
        <v>2.5803530264111099E-2</v>
      </c>
      <c r="D28498" s="1">
        <v>7.9123436439445301E-3</v>
      </c>
      <c r="E28498" s="1">
        <v>1.7307209243908502E-2</v>
      </c>
      <c r="F28498" s="1">
        <v>2.3999026757025501E-2</v>
      </c>
    </row>
    <row r="28499" spans="1:6" x14ac:dyDescent="0.25">
      <c r="A28499" s="2" t="str">
        <f t="shared" si="1015"/>
        <v>31140</v>
      </c>
      <c r="B28499" s="2" t="str">
        <f>"40283"</f>
        <v>40283</v>
      </c>
      <c r="C28499" s="1">
        <v>0</v>
      </c>
      <c r="D28499" s="1">
        <v>1.9392999127315001E-5</v>
      </c>
      <c r="E28499" s="1">
        <v>0</v>
      </c>
      <c r="F28499" s="1">
        <v>1.4312396682386399E-6</v>
      </c>
    </row>
    <row r="28500" spans="1:6" x14ac:dyDescent="0.25">
      <c r="A28500" s="2" t="str">
        <f t="shared" si="1015"/>
        <v>31140</v>
      </c>
      <c r="B28500" s="2" t="str">
        <f>"40280"</f>
        <v>40280</v>
      </c>
      <c r="C28500" s="1">
        <v>0</v>
      </c>
      <c r="D28500" s="1">
        <v>1.9392999127315001E-5</v>
      </c>
      <c r="E28500" s="1">
        <v>0</v>
      </c>
      <c r="F28500" s="1">
        <v>1.4312396682386399E-6</v>
      </c>
    </row>
    <row r="28501" spans="1:6" x14ac:dyDescent="0.25">
      <c r="A28501" s="2" t="str">
        <f t="shared" si="1015"/>
        <v>31140</v>
      </c>
      <c r="B28501" s="2" t="str">
        <f>"40270"</f>
        <v>40270</v>
      </c>
      <c r="C28501" s="1">
        <v>1.4177040110649999E-3</v>
      </c>
      <c r="D28501" s="1">
        <v>3.2580238533889199E-3</v>
      </c>
      <c r="E28501" s="1">
        <v>5.02386335091685E-5</v>
      </c>
      <c r="F28501" s="1">
        <v>1.4756080979540401E-3</v>
      </c>
    </row>
    <row r="28502" spans="1:6" x14ac:dyDescent="0.25">
      <c r="A28502" s="2" t="str">
        <f t="shared" si="1015"/>
        <v>31140</v>
      </c>
      <c r="B28502" s="2" t="str">
        <f>"40220"</f>
        <v>40220</v>
      </c>
      <c r="C28502" s="1">
        <v>2.6211881709807001E-2</v>
      </c>
      <c r="D28502" s="1">
        <v>1.46998933385047E-2</v>
      </c>
      <c r="E28502" s="1">
        <v>3.0871640291383999E-2</v>
      </c>
      <c r="F28502" s="1">
        <v>2.56277774994811E-2</v>
      </c>
    </row>
    <row r="28503" spans="1:6" x14ac:dyDescent="0.25">
      <c r="A28503" s="2" t="str">
        <f t="shared" si="1015"/>
        <v>31140</v>
      </c>
      <c r="B28503" s="2" t="str">
        <f>"40219"</f>
        <v>40219</v>
      </c>
      <c r="C28503" s="1">
        <v>2.9126325495620099E-2</v>
      </c>
      <c r="D28503" s="1">
        <v>2.4280034907398398E-2</v>
      </c>
      <c r="E28503" s="1">
        <v>3.9261492087415202E-2</v>
      </c>
      <c r="F28503" s="1">
        <v>2.9346138157565101E-2</v>
      </c>
    </row>
    <row r="28504" spans="1:6" x14ac:dyDescent="0.25">
      <c r="A28504" s="2" t="str">
        <f t="shared" si="1015"/>
        <v>31140</v>
      </c>
      <c r="B28504" s="2" t="str">
        <f>"40070"</f>
        <v>40070</v>
      </c>
      <c r="C28504" s="1">
        <v>3.73773299084502E-4</v>
      </c>
      <c r="D28504" s="1">
        <v>7.7571996509260099E-5</v>
      </c>
      <c r="E28504" s="1">
        <v>5.02386335091685E-5</v>
      </c>
      <c r="F28504" s="1">
        <v>3.3347884269960401E-4</v>
      </c>
    </row>
    <row r="28505" spans="1:6" x14ac:dyDescent="0.25">
      <c r="A28505" s="2" t="str">
        <f t="shared" si="1015"/>
        <v>31140</v>
      </c>
      <c r="B28505" s="2" t="str">
        <f>"40129"</f>
        <v>40129</v>
      </c>
      <c r="C28505" s="1">
        <v>8.1011657775143203E-4</v>
      </c>
      <c r="D28505" s="1">
        <v>2.3853388926597398E-3</v>
      </c>
      <c r="E28505" s="1">
        <v>5.02386335091685E-5</v>
      </c>
      <c r="F28505" s="1">
        <v>8.8307487530324305E-4</v>
      </c>
    </row>
    <row r="28506" spans="1:6" x14ac:dyDescent="0.25">
      <c r="A28506" s="2" t="str">
        <f t="shared" si="1015"/>
        <v>31140</v>
      </c>
      <c r="B28506" s="2" t="str">
        <f>"40032"</f>
        <v>40032</v>
      </c>
      <c r="C28506" s="1">
        <v>0</v>
      </c>
      <c r="D28506" s="1">
        <v>1.9392999127315001E-5</v>
      </c>
      <c r="E28506" s="1">
        <v>0</v>
      </c>
      <c r="F28506" s="1">
        <v>1.4312396682386399E-6</v>
      </c>
    </row>
    <row r="28507" spans="1:6" x14ac:dyDescent="0.25">
      <c r="A28507" s="2" t="str">
        <f t="shared" si="1015"/>
        <v>31140</v>
      </c>
      <c r="B28507" s="2" t="str">
        <f>"40014"</f>
        <v>40014</v>
      </c>
      <c r="C28507" s="1">
        <v>1.4936112757689499E-2</v>
      </c>
      <c r="D28507" s="1">
        <v>1.4331426355085801E-2</v>
      </c>
      <c r="E28507" s="1">
        <v>7.6362722933936101E-3</v>
      </c>
      <c r="F28507" s="1">
        <v>1.4475558004565601E-2</v>
      </c>
    </row>
    <row r="28508" spans="1:6" x14ac:dyDescent="0.25">
      <c r="A28508" s="2" t="str">
        <f t="shared" si="1015"/>
        <v>31140</v>
      </c>
      <c r="B28508" s="2" t="str">
        <f>"40003"</f>
        <v>40003</v>
      </c>
      <c r="C28508" s="1">
        <v>1.3040901007705899E-3</v>
      </c>
      <c r="D28508" s="1">
        <v>4.4603897992824499E-4</v>
      </c>
      <c r="E28508" s="1">
        <v>3.7678975131876403E-4</v>
      </c>
      <c r="F28508" s="1">
        <v>1.1879289246380701E-3</v>
      </c>
    </row>
    <row r="28509" spans="1:6" x14ac:dyDescent="0.25">
      <c r="A28509" s="2" t="str">
        <f t="shared" si="1015"/>
        <v>31140</v>
      </c>
      <c r="B28509" s="2" t="str">
        <f>"47243"</f>
        <v>47243</v>
      </c>
      <c r="C28509" s="1">
        <v>1.6465784100638799E-6</v>
      </c>
      <c r="D28509" s="1">
        <v>0</v>
      </c>
      <c r="E28509" s="1">
        <v>0</v>
      </c>
      <c r="F28509" s="1">
        <v>1.4312396682386399E-6</v>
      </c>
    </row>
    <row r="28510" spans="1:6" x14ac:dyDescent="0.25">
      <c r="A28510" s="2" t="str">
        <f t="shared" si="1015"/>
        <v>31140</v>
      </c>
      <c r="B28510" s="2" t="str">
        <f>"47172"</f>
        <v>47172</v>
      </c>
      <c r="C28510" s="1">
        <v>1.4063426200355601E-2</v>
      </c>
      <c r="D28510" s="1">
        <v>1.3691457383884401E-2</v>
      </c>
      <c r="E28510" s="1">
        <v>6.4807837226827404E-3</v>
      </c>
      <c r="F28510" s="1">
        <v>1.3603933046608299E-2</v>
      </c>
    </row>
    <row r="28511" spans="1:6" x14ac:dyDescent="0.25">
      <c r="A28511" s="2" t="str">
        <f t="shared" ref="A28511:A28542" si="1016">"31140"</f>
        <v>31140</v>
      </c>
      <c r="B28511" s="2" t="str">
        <f>"47125"</f>
        <v>47125</v>
      </c>
      <c r="C28511" s="1">
        <v>7.6236580385957904E-4</v>
      </c>
      <c r="D28511" s="1">
        <v>2.1332299040046501E-4</v>
      </c>
      <c r="E28511" s="1">
        <v>3.2655111780959499E-4</v>
      </c>
      <c r="F28511" s="1">
        <v>6.9701371843221998E-4</v>
      </c>
    </row>
    <row r="28512" spans="1:6" x14ac:dyDescent="0.25">
      <c r="A28512" s="2" t="str">
        <f t="shared" si="1016"/>
        <v>31140</v>
      </c>
      <c r="B28512" s="2" t="str">
        <f>"47119"</f>
        <v>47119</v>
      </c>
      <c r="C28512" s="1">
        <v>9.0463017848909904E-3</v>
      </c>
      <c r="D28512" s="1">
        <v>6.8651216910695203E-3</v>
      </c>
      <c r="E28512" s="1">
        <v>2.33609645817633E-3</v>
      </c>
      <c r="F28512" s="1">
        <v>8.5029948690057804E-3</v>
      </c>
    </row>
    <row r="28513" spans="1:6" x14ac:dyDescent="0.25">
      <c r="A28513" s="2" t="str">
        <f t="shared" si="1016"/>
        <v>31140</v>
      </c>
      <c r="B28513" s="2" t="str">
        <f>"47135"</f>
        <v>47135</v>
      </c>
      <c r="C28513" s="1">
        <v>1.0455772903905599E-3</v>
      </c>
      <c r="D28513" s="1">
        <v>1.5514399301852001E-4</v>
      </c>
      <c r="E28513" s="1">
        <v>6.2798291886460595E-4</v>
      </c>
      <c r="F28513" s="1">
        <v>9.5606809838341396E-4</v>
      </c>
    </row>
    <row r="28514" spans="1:6" x14ac:dyDescent="0.25">
      <c r="A28514" s="2" t="str">
        <f t="shared" si="1016"/>
        <v>31140</v>
      </c>
      <c r="B28514" s="2" t="str">
        <f>"40217"</f>
        <v>40217</v>
      </c>
      <c r="C28514" s="1">
        <v>1.1796087729697599E-2</v>
      </c>
      <c r="D28514" s="1">
        <v>1.6988267235527901E-2</v>
      </c>
      <c r="E28514" s="1">
        <v>1.30118060788746E-2</v>
      </c>
      <c r="F28514" s="1">
        <v>1.22485490807863E-2</v>
      </c>
    </row>
    <row r="28515" spans="1:6" x14ac:dyDescent="0.25">
      <c r="A28515" s="2" t="str">
        <f t="shared" si="1016"/>
        <v>31140</v>
      </c>
      <c r="B28515" s="2" t="str">
        <f>"40205"</f>
        <v>40205</v>
      </c>
      <c r="C28515" s="1">
        <v>1.85421194757294E-2</v>
      </c>
      <c r="D28515" s="1">
        <v>1.3536313390865799E-2</v>
      </c>
      <c r="E28515" s="1">
        <v>2.0974629490077799E-2</v>
      </c>
      <c r="F28515" s="1">
        <v>1.83112803154452E-2</v>
      </c>
    </row>
    <row r="28516" spans="1:6" x14ac:dyDescent="0.25">
      <c r="A28516" s="2" t="str">
        <f t="shared" si="1016"/>
        <v>31140</v>
      </c>
      <c r="B28516" s="2" t="str">
        <f>"40233"</f>
        <v>40233</v>
      </c>
      <c r="C28516" s="1">
        <v>1.2250543370875299E-3</v>
      </c>
      <c r="D28516" s="1">
        <v>4.16949481237273E-3</v>
      </c>
      <c r="E28516" s="1">
        <v>5.02386335091685E-5</v>
      </c>
      <c r="F28516" s="1">
        <v>1.3754213211773299E-3</v>
      </c>
    </row>
    <row r="28517" spans="1:6" x14ac:dyDescent="0.25">
      <c r="A28517" s="2" t="str">
        <f t="shared" si="1016"/>
        <v>31140</v>
      </c>
      <c r="B28517" s="2" t="str">
        <f>"40252"</f>
        <v>40252</v>
      </c>
      <c r="C28517" s="1">
        <v>1.4885068826977501E-3</v>
      </c>
      <c r="D28517" s="1">
        <v>6.9233006884514602E-3</v>
      </c>
      <c r="E28517" s="1">
        <v>5.02386335091685E-5</v>
      </c>
      <c r="F28517" s="1">
        <v>1.8076557009854E-3</v>
      </c>
    </row>
    <row r="28518" spans="1:6" x14ac:dyDescent="0.25">
      <c r="A28518" s="2" t="str">
        <f t="shared" si="1016"/>
        <v>31140</v>
      </c>
      <c r="B28518" s="2" t="str">
        <f>"40243"</f>
        <v>40243</v>
      </c>
      <c r="C28518" s="1">
        <v>8.6725284858064893E-3</v>
      </c>
      <c r="D28518" s="1">
        <v>1.68331232425094E-2</v>
      </c>
      <c r="E28518" s="1">
        <v>1.62270786234614E-2</v>
      </c>
      <c r="F28518" s="1">
        <v>9.7052361903262503E-3</v>
      </c>
    </row>
    <row r="28519" spans="1:6" x14ac:dyDescent="0.25">
      <c r="A28519" s="2" t="str">
        <f t="shared" si="1016"/>
        <v>31140</v>
      </c>
      <c r="B28519" s="2" t="str">
        <f>"40292"</f>
        <v>40292</v>
      </c>
      <c r="C28519" s="1">
        <v>0</v>
      </c>
      <c r="D28519" s="1">
        <v>3.8785998254630002E-5</v>
      </c>
      <c r="E28519" s="1">
        <v>0</v>
      </c>
      <c r="F28519" s="1">
        <v>2.8624793364772799E-6</v>
      </c>
    </row>
    <row r="28520" spans="1:6" x14ac:dyDescent="0.25">
      <c r="A28520" s="2" t="str">
        <f t="shared" si="1016"/>
        <v>31140</v>
      </c>
      <c r="B28520" s="2" t="str">
        <f>"40285"</f>
        <v>40285</v>
      </c>
      <c r="C28520" s="1">
        <v>1.6465784100638799E-6</v>
      </c>
      <c r="D28520" s="1">
        <v>0</v>
      </c>
      <c r="E28520" s="1">
        <v>0</v>
      </c>
      <c r="F28520" s="1">
        <v>1.4312396682386399E-6</v>
      </c>
    </row>
    <row r="28521" spans="1:6" x14ac:dyDescent="0.25">
      <c r="A28521" s="2" t="str">
        <f t="shared" si="1016"/>
        <v>31140</v>
      </c>
      <c r="B28521" s="2" t="str">
        <f>"40177"</f>
        <v>40177</v>
      </c>
      <c r="C28521" s="1">
        <v>5.7630244352236001E-4</v>
      </c>
      <c r="D28521" s="1">
        <v>1.9392999127315001E-4</v>
      </c>
      <c r="E28521" s="1">
        <v>4.7726701833710101E-4</v>
      </c>
      <c r="F28521" s="1">
        <v>5.4243983426244605E-4</v>
      </c>
    </row>
    <row r="28522" spans="1:6" x14ac:dyDescent="0.25">
      <c r="A28522" s="2" t="str">
        <f t="shared" si="1016"/>
        <v>31140</v>
      </c>
      <c r="B28522" s="2" t="str">
        <f>"40221"</f>
        <v>40221</v>
      </c>
      <c r="C28522" s="1">
        <v>1.4852137258776199E-3</v>
      </c>
      <c r="D28522" s="1">
        <v>3.0834868612430902E-3</v>
      </c>
      <c r="E28522" s="1">
        <v>2.5119316754584199E-5</v>
      </c>
      <c r="F28522" s="1">
        <v>1.51997652766944E-3</v>
      </c>
    </row>
    <row r="28523" spans="1:6" x14ac:dyDescent="0.25">
      <c r="A28523" s="2" t="str">
        <f t="shared" si="1016"/>
        <v>31140</v>
      </c>
      <c r="B28523" s="2" t="str">
        <f>"40110"</f>
        <v>40110</v>
      </c>
      <c r="C28523" s="1">
        <v>6.58631364025554E-6</v>
      </c>
      <c r="D28523" s="1">
        <v>1.9392999127315001E-5</v>
      </c>
      <c r="E28523" s="1">
        <v>5.02386335091685E-5</v>
      </c>
      <c r="F28523" s="1">
        <v>1.00186776776705E-5</v>
      </c>
    </row>
    <row r="28524" spans="1:6" x14ac:dyDescent="0.25">
      <c r="A28524" s="2" t="str">
        <f t="shared" si="1016"/>
        <v>31140</v>
      </c>
      <c r="B28524" s="2" t="str">
        <f>"40076"</f>
        <v>40076</v>
      </c>
      <c r="C28524" s="1">
        <v>1.7601923203582901E-3</v>
      </c>
      <c r="D28524" s="1">
        <v>5.8178997381945095E-4</v>
      </c>
      <c r="E28524" s="1">
        <v>8.7917608641044896E-4</v>
      </c>
      <c r="F28524" s="1">
        <v>1.6230257837826199E-3</v>
      </c>
    </row>
    <row r="28525" spans="1:6" x14ac:dyDescent="0.25">
      <c r="A28525" s="2" t="str">
        <f t="shared" si="1016"/>
        <v>31140</v>
      </c>
      <c r="B28525" s="2" t="str">
        <f>"40058"</f>
        <v>40058</v>
      </c>
      <c r="C28525" s="1">
        <v>0</v>
      </c>
      <c r="D28525" s="1">
        <v>0</v>
      </c>
      <c r="E28525" s="1">
        <v>2.5119316754584199E-5</v>
      </c>
      <c r="F28525" s="1">
        <v>1.4312396682386399E-6</v>
      </c>
    </row>
    <row r="28526" spans="1:6" x14ac:dyDescent="0.25">
      <c r="A28526" s="2" t="str">
        <f t="shared" si="1016"/>
        <v>31140</v>
      </c>
      <c r="B28526" s="2" t="str">
        <f>"40068"</f>
        <v>40068</v>
      </c>
      <c r="C28526" s="1">
        <v>1.76348547717842E-3</v>
      </c>
      <c r="D28526" s="1">
        <v>4.2664598080093002E-4</v>
      </c>
      <c r="E28526" s="1">
        <v>1.18060788746546E-3</v>
      </c>
      <c r="F28526" s="1">
        <v>1.6316132217920501E-3</v>
      </c>
    </row>
    <row r="28527" spans="1:6" x14ac:dyDescent="0.25">
      <c r="A28527" s="2" t="str">
        <f t="shared" si="1016"/>
        <v>31140</v>
      </c>
      <c r="B28527" s="2" t="str">
        <f>"40006"</f>
        <v>40006</v>
      </c>
      <c r="C28527" s="1">
        <v>8.2328920503194307E-6</v>
      </c>
      <c r="D28527" s="1">
        <v>0</v>
      </c>
      <c r="E28527" s="1">
        <v>0</v>
      </c>
      <c r="F28527" s="1">
        <v>7.1561983411932201E-6</v>
      </c>
    </row>
    <row r="28528" spans="1:6" x14ac:dyDescent="0.25">
      <c r="A28528" s="2" t="str">
        <f t="shared" si="1016"/>
        <v>31140</v>
      </c>
      <c r="B28528" s="2" t="str">
        <f>"47162"</f>
        <v>47162</v>
      </c>
      <c r="C28528" s="1">
        <v>6.5369162879536297E-4</v>
      </c>
      <c r="D28528" s="1">
        <v>3.4907398429167002E-4</v>
      </c>
      <c r="E28528" s="1">
        <v>1.7583521728208899E-4</v>
      </c>
      <c r="F28528" s="1">
        <v>6.0398313999670801E-4</v>
      </c>
    </row>
    <row r="28529" spans="1:6" x14ac:dyDescent="0.25">
      <c r="A28529" s="2" t="str">
        <f t="shared" si="1016"/>
        <v>31140</v>
      </c>
      <c r="B28529" s="2" t="str">
        <f>"47166"</f>
        <v>47166</v>
      </c>
      <c r="C28529" s="1">
        <v>1.0620430744912E-3</v>
      </c>
      <c r="D28529" s="1">
        <v>6.3996897120139598E-4</v>
      </c>
      <c r="E28529" s="1">
        <v>4.01909068073348E-4</v>
      </c>
      <c r="F28529" s="1">
        <v>9.9328032975761903E-4</v>
      </c>
    </row>
    <row r="28530" spans="1:6" x14ac:dyDescent="0.25">
      <c r="A28530" s="2" t="str">
        <f t="shared" si="1016"/>
        <v>31140</v>
      </c>
      <c r="B28530" s="2" t="str">
        <f>"47137"</f>
        <v>47137</v>
      </c>
      <c r="C28530" s="1">
        <v>4.9397352301916603E-6</v>
      </c>
      <c r="D28530" s="1">
        <v>0</v>
      </c>
      <c r="E28530" s="1">
        <v>0</v>
      </c>
      <c r="F28530" s="1">
        <v>4.29371900471593E-6</v>
      </c>
    </row>
    <row r="28531" spans="1:6" x14ac:dyDescent="0.25">
      <c r="A28531" s="2" t="str">
        <f t="shared" si="1016"/>
        <v>31140</v>
      </c>
      <c r="B28531" s="2" t="str">
        <f>"47138"</f>
        <v>47138</v>
      </c>
      <c r="C28531" s="1">
        <v>3.6224725021405499E-5</v>
      </c>
      <c r="D28531" s="1">
        <v>0</v>
      </c>
      <c r="E28531" s="1">
        <v>0</v>
      </c>
      <c r="F28531" s="1">
        <v>3.1487272701250103E-5</v>
      </c>
    </row>
    <row r="28532" spans="1:6" x14ac:dyDescent="0.25">
      <c r="A28532" s="2" t="str">
        <f t="shared" si="1016"/>
        <v>31140</v>
      </c>
      <c r="B28532" s="2" t="str">
        <f>"47141"</f>
        <v>47141</v>
      </c>
      <c r="C28532" s="1">
        <v>1.10814726997299E-3</v>
      </c>
      <c r="D28532" s="1">
        <v>1.1635799476389001E-4</v>
      </c>
      <c r="E28532" s="1">
        <v>1.2559658377292099E-3</v>
      </c>
      <c r="F28532" s="1">
        <v>1.04337371814597E-3</v>
      </c>
    </row>
    <row r="28533" spans="1:6" x14ac:dyDescent="0.25">
      <c r="A28533" s="2" t="str">
        <f t="shared" si="1016"/>
        <v>31140</v>
      </c>
      <c r="B28533" s="2" t="str">
        <f>"40204"</f>
        <v>40204</v>
      </c>
      <c r="C28533" s="1">
        <v>1.5818678785483702E-2</v>
      </c>
      <c r="D28533" s="1">
        <v>1.87336371569863E-2</v>
      </c>
      <c r="E28533" s="1">
        <v>2.9640793770409402E-2</v>
      </c>
      <c r="F28533" s="1">
        <v>1.68213598208087E-2</v>
      </c>
    </row>
    <row r="28534" spans="1:6" x14ac:dyDescent="0.25">
      <c r="A28534" s="2" t="str">
        <f t="shared" si="1016"/>
        <v>31140</v>
      </c>
      <c r="B28534" s="2" t="str">
        <f>"40251"</f>
        <v>40251</v>
      </c>
      <c r="C28534" s="1">
        <v>1.2069419745768201E-3</v>
      </c>
      <c r="D28534" s="1">
        <v>2.3077668961504799E-3</v>
      </c>
      <c r="E28534" s="1">
        <v>5.02386335091685E-5</v>
      </c>
      <c r="F28534" s="1">
        <v>1.2222786766758001E-3</v>
      </c>
    </row>
    <row r="28535" spans="1:6" x14ac:dyDescent="0.25">
      <c r="A28535" s="2" t="str">
        <f t="shared" si="1016"/>
        <v>31140</v>
      </c>
      <c r="B28535" s="2" t="str">
        <f>"40229"</f>
        <v>40229</v>
      </c>
      <c r="C28535" s="1">
        <v>2.67091483896463E-2</v>
      </c>
      <c r="D28535" s="1">
        <v>9.4443905750024194E-3</v>
      </c>
      <c r="E28535" s="1">
        <v>1.4117056016076299E-2</v>
      </c>
      <c r="F28535" s="1">
        <v>2.47175090704813E-2</v>
      </c>
    </row>
    <row r="28536" spans="1:6" x14ac:dyDescent="0.25">
      <c r="A28536" s="2" t="str">
        <f t="shared" si="1016"/>
        <v>31140</v>
      </c>
      <c r="B28536" s="2" t="str">
        <f>"40266"</f>
        <v>40266</v>
      </c>
      <c r="C28536" s="1">
        <v>0</v>
      </c>
      <c r="D28536" s="1">
        <v>1.9392999127315001E-5</v>
      </c>
      <c r="E28536" s="1">
        <v>0</v>
      </c>
      <c r="F28536" s="1">
        <v>1.4312396682386399E-6</v>
      </c>
    </row>
    <row r="28537" spans="1:6" x14ac:dyDescent="0.25">
      <c r="A28537" s="2" t="str">
        <f t="shared" si="1016"/>
        <v>31140</v>
      </c>
      <c r="B28537" s="2" t="str">
        <f>"40259"</f>
        <v>40259</v>
      </c>
      <c r="C28537" s="1">
        <v>2.1850095501547702E-3</v>
      </c>
      <c r="D28537" s="1">
        <v>4.6543197905555998E-3</v>
      </c>
      <c r="E28537" s="1">
        <v>5.02386335091685E-5</v>
      </c>
      <c r="F28537" s="1">
        <v>2.24561503946643E-3</v>
      </c>
    </row>
    <row r="28538" spans="1:6" x14ac:dyDescent="0.25">
      <c r="A28538" s="2" t="str">
        <f t="shared" si="1016"/>
        <v>31140</v>
      </c>
      <c r="B28538" s="2" t="str">
        <f>"40202"</f>
        <v>40202</v>
      </c>
      <c r="C28538" s="1">
        <v>7.2235394849502702E-3</v>
      </c>
      <c r="D28538" s="1">
        <v>6.1611558227479803E-2</v>
      </c>
      <c r="E28538" s="1">
        <v>2.39889475006279E-2</v>
      </c>
      <c r="F28538" s="1">
        <v>1.2192730733725E-2</v>
      </c>
    </row>
    <row r="28539" spans="1:6" x14ac:dyDescent="0.25">
      <c r="A28539" s="2" t="str">
        <f t="shared" si="1016"/>
        <v>31140</v>
      </c>
      <c r="B28539" s="2" t="str">
        <f>"40066"</f>
        <v>40066</v>
      </c>
      <c r="C28539" s="1">
        <v>1.2612790621089299E-3</v>
      </c>
      <c r="D28539" s="1">
        <v>5.8178997381945104E-3</v>
      </c>
      <c r="E28539" s="1">
        <v>5.02386335091685E-5</v>
      </c>
      <c r="F28539" s="1">
        <v>1.5285639656788699E-3</v>
      </c>
    </row>
    <row r="28540" spans="1:6" x14ac:dyDescent="0.25">
      <c r="A28540" s="2" t="str">
        <f t="shared" si="1016"/>
        <v>31140</v>
      </c>
      <c r="B28540" s="2" t="str">
        <f>"40065"</f>
        <v>40065</v>
      </c>
      <c r="C28540" s="1">
        <v>2.1920898373180502E-2</v>
      </c>
      <c r="D28540" s="1">
        <v>2.0828081062736301E-2</v>
      </c>
      <c r="E28540" s="1">
        <v>1.1680482290881601E-2</v>
      </c>
      <c r="F28540" s="1">
        <v>2.1256771552680302E-2</v>
      </c>
    </row>
    <row r="28541" spans="1:6" x14ac:dyDescent="0.25">
      <c r="A28541" s="2" t="str">
        <f t="shared" si="1016"/>
        <v>31140</v>
      </c>
      <c r="B28541" s="2" t="str">
        <f>"40059"</f>
        <v>40059</v>
      </c>
      <c r="C28541" s="1">
        <v>1.5481130211420601E-2</v>
      </c>
      <c r="D28541" s="1">
        <v>1.336177639872E-2</v>
      </c>
      <c r="E28541" s="1">
        <v>7.4101984426023599E-3</v>
      </c>
      <c r="F28541" s="1">
        <v>1.4864855194326501E-2</v>
      </c>
    </row>
    <row r="28542" spans="1:6" x14ac:dyDescent="0.25">
      <c r="A28542" s="2" t="str">
        <f t="shared" si="1016"/>
        <v>31140</v>
      </c>
      <c r="B28542" s="2" t="str">
        <f>"40057"</f>
        <v>40057</v>
      </c>
      <c r="C28542" s="1">
        <v>2.5505499571889601E-3</v>
      </c>
      <c r="D28542" s="1">
        <v>4.0725298167361499E-4</v>
      </c>
      <c r="E28542" s="1">
        <v>1.1052499372016999E-3</v>
      </c>
      <c r="F28542" s="1">
        <v>2.3100208245371702E-3</v>
      </c>
    </row>
    <row r="28543" spans="1:6" x14ac:dyDescent="0.25">
      <c r="A28543" s="2" t="str">
        <f t="shared" ref="A28543:A28574" si="1017">"31140"</f>
        <v>31140</v>
      </c>
      <c r="B28543" s="2" t="str">
        <f>"40050"</f>
        <v>40050</v>
      </c>
      <c r="C28543" s="1">
        <v>1.0109991437792199E-3</v>
      </c>
      <c r="D28543" s="1">
        <v>5.0421797731019095E-4</v>
      </c>
      <c r="E28543" s="1">
        <v>3.2655111780959499E-4</v>
      </c>
      <c r="F28543" s="1">
        <v>9.3459950335983498E-4</v>
      </c>
    </row>
    <row r="28544" spans="1:6" x14ac:dyDescent="0.25">
      <c r="A28544" s="2" t="str">
        <f t="shared" si="1017"/>
        <v>31140</v>
      </c>
      <c r="B28544" s="2" t="str">
        <f>"40041"</f>
        <v>40041</v>
      </c>
      <c r="C28544" s="1">
        <v>9.4678258578673505E-4</v>
      </c>
      <c r="D28544" s="1">
        <v>3.8785998254630002E-5</v>
      </c>
      <c r="E28544" s="1">
        <v>8.7917608641044896E-4</v>
      </c>
      <c r="F28544" s="1">
        <v>8.7591867696204995E-4</v>
      </c>
    </row>
    <row r="28545" spans="1:6" x14ac:dyDescent="0.25">
      <c r="A28545" s="2" t="str">
        <f t="shared" si="1017"/>
        <v>31140</v>
      </c>
      <c r="B28545" s="2" t="str">
        <f>"40027"</f>
        <v>40027</v>
      </c>
      <c r="C28545" s="1">
        <v>0</v>
      </c>
      <c r="D28545" s="1">
        <v>0</v>
      </c>
      <c r="E28545" s="1">
        <v>2.5119316754584199E-5</v>
      </c>
      <c r="F28545" s="1">
        <v>1.4312396682386399E-6</v>
      </c>
    </row>
    <row r="28546" spans="1:6" x14ac:dyDescent="0.25">
      <c r="A28546" s="2" t="str">
        <f t="shared" si="1017"/>
        <v>31140</v>
      </c>
      <c r="B28546" s="2" t="str">
        <f>"40022"</f>
        <v>40022</v>
      </c>
      <c r="C28546" s="1">
        <v>6.1088059013370195E-4</v>
      </c>
      <c r="D28546" s="1">
        <v>1.1635799476389001E-4</v>
      </c>
      <c r="E28546" s="1">
        <v>3.2655111780959499E-4</v>
      </c>
      <c r="F28546" s="1">
        <v>5.5818347061307105E-4</v>
      </c>
    </row>
    <row r="28547" spans="1:6" x14ac:dyDescent="0.25">
      <c r="A28547" s="2" t="str">
        <f t="shared" si="1017"/>
        <v>31140</v>
      </c>
      <c r="B28547" s="2" t="str">
        <f>"40019"</f>
        <v>40019</v>
      </c>
      <c r="C28547" s="1">
        <v>2.8107093459790499E-3</v>
      </c>
      <c r="D28547" s="1">
        <v>2.7150198778240998E-3</v>
      </c>
      <c r="E28547" s="1">
        <v>1.2308465209746201E-3</v>
      </c>
      <c r="F28547" s="1">
        <v>2.71363041098047E-3</v>
      </c>
    </row>
    <row r="28548" spans="1:6" x14ac:dyDescent="0.25">
      <c r="A28548" s="2" t="str">
        <f t="shared" si="1017"/>
        <v>31140</v>
      </c>
      <c r="B28548" s="2" t="str">
        <f>"40213"</f>
        <v>40213</v>
      </c>
      <c r="C28548" s="1">
        <v>1.30227886451952E-2</v>
      </c>
      <c r="D28548" s="1">
        <v>2.2883738970231701E-2</v>
      </c>
      <c r="E28548" s="1">
        <v>1.2308465209746201E-2</v>
      </c>
      <c r="F28548" s="1">
        <v>1.37098447820579E-2</v>
      </c>
    </row>
    <row r="28549" spans="1:6" x14ac:dyDescent="0.25">
      <c r="A28549" s="2" t="str">
        <f t="shared" si="1017"/>
        <v>31140</v>
      </c>
      <c r="B28549" s="2" t="str">
        <f>"40207"</f>
        <v>40207</v>
      </c>
      <c r="C28549" s="1">
        <v>2.4981887637489202E-2</v>
      </c>
      <c r="D28549" s="1">
        <v>4.2121594104528197E-2</v>
      </c>
      <c r="E28549" s="1">
        <v>3.2002009545340299E-2</v>
      </c>
      <c r="F28549" s="1">
        <v>2.6646820143267001E-2</v>
      </c>
    </row>
    <row r="28550" spans="1:6" x14ac:dyDescent="0.25">
      <c r="A28550" s="2" t="str">
        <f t="shared" si="1017"/>
        <v>31140</v>
      </c>
      <c r="B28550" s="2" t="str">
        <f>"40206"</f>
        <v>40206</v>
      </c>
      <c r="C28550" s="1">
        <v>1.99203056049529E-2</v>
      </c>
      <c r="D28550" s="1">
        <v>2.36788519344516E-2</v>
      </c>
      <c r="E28550" s="1">
        <v>2.9967344888218998E-2</v>
      </c>
      <c r="F28550" s="1">
        <v>2.07701500654792E-2</v>
      </c>
    </row>
    <row r="28551" spans="1:6" x14ac:dyDescent="0.25">
      <c r="A28551" s="2" t="str">
        <f t="shared" si="1017"/>
        <v>31140</v>
      </c>
      <c r="B28551" s="2" t="str">
        <f>"40257"</f>
        <v>40257</v>
      </c>
      <c r="C28551" s="1">
        <v>8.8421260620430702E-4</v>
      </c>
      <c r="D28551" s="1">
        <v>5.0227867739745897E-3</v>
      </c>
      <c r="E28551" s="1">
        <v>5.02386335091685E-5</v>
      </c>
      <c r="F28551" s="1">
        <v>1.14212925525443E-3</v>
      </c>
    </row>
    <row r="28552" spans="1:6" x14ac:dyDescent="0.25">
      <c r="A28552" s="2" t="str">
        <f t="shared" si="1017"/>
        <v>31140</v>
      </c>
      <c r="B28552" s="2" t="str">
        <f>"40242"</f>
        <v>40242</v>
      </c>
      <c r="C28552" s="1">
        <v>7.9644997694790203E-3</v>
      </c>
      <c r="D28552" s="1">
        <v>2.6956268786967898E-3</v>
      </c>
      <c r="E28552" s="1">
        <v>9.7462949007786903E-3</v>
      </c>
      <c r="F28552" s="1">
        <v>7.6771695804320897E-3</v>
      </c>
    </row>
    <row r="28553" spans="1:6" x14ac:dyDescent="0.25">
      <c r="A28553" s="2" t="str">
        <f t="shared" si="1017"/>
        <v>31140</v>
      </c>
      <c r="B28553" s="2" t="str">
        <f>"40281"</f>
        <v>40281</v>
      </c>
      <c r="C28553" s="1">
        <v>0</v>
      </c>
      <c r="D28553" s="1">
        <v>1.9392999127315001E-5</v>
      </c>
      <c r="E28553" s="1">
        <v>0</v>
      </c>
      <c r="F28553" s="1">
        <v>1.4312396682386399E-6</v>
      </c>
    </row>
    <row r="28554" spans="1:6" x14ac:dyDescent="0.25">
      <c r="A28554" s="2" t="str">
        <f t="shared" si="1017"/>
        <v>31140</v>
      </c>
      <c r="B28554" s="2" t="str">
        <f>"40203"</f>
        <v>40203</v>
      </c>
      <c r="C28554" s="1">
        <v>1.8688664954225099E-2</v>
      </c>
      <c r="D28554" s="1">
        <v>2.3543100940560401E-2</v>
      </c>
      <c r="E28554" s="1">
        <v>3.7151469480030098E-2</v>
      </c>
      <c r="F28554" s="1">
        <v>2.0098898661075199E-2</v>
      </c>
    </row>
    <row r="28555" spans="1:6" x14ac:dyDescent="0.25">
      <c r="A28555" s="2" t="str">
        <f t="shared" si="1017"/>
        <v>31140</v>
      </c>
      <c r="B28555" s="2" t="str">
        <f>"40223"</f>
        <v>40223</v>
      </c>
      <c r="C28555" s="1">
        <v>1.8512481064348201E-2</v>
      </c>
      <c r="D28555" s="1">
        <v>3.0893047609812801E-2</v>
      </c>
      <c r="E28555" s="1">
        <v>2.1276061291132801E-2</v>
      </c>
      <c r="F28555" s="1">
        <v>1.9583652380509301E-2</v>
      </c>
    </row>
    <row r="28556" spans="1:6" x14ac:dyDescent="0.25">
      <c r="A28556" s="2" t="str">
        <f t="shared" si="1017"/>
        <v>31140</v>
      </c>
      <c r="B28556" s="2" t="str">
        <f>"40055"</f>
        <v>40055</v>
      </c>
      <c r="C28556" s="1">
        <v>9.0891128235526502E-4</v>
      </c>
      <c r="D28556" s="1">
        <v>3.6846698341898499E-4</v>
      </c>
      <c r="E28556" s="1">
        <v>3.2655111780959499E-4</v>
      </c>
      <c r="F28556" s="1">
        <v>8.3584396625136805E-4</v>
      </c>
    </row>
    <row r="28557" spans="1:6" x14ac:dyDescent="0.25">
      <c r="A28557" s="2" t="str">
        <f t="shared" si="1017"/>
        <v>31140</v>
      </c>
      <c r="B28557" s="2" t="str">
        <f>"40047"</f>
        <v>40047</v>
      </c>
      <c r="C28557" s="1">
        <v>1.51880392544292E-2</v>
      </c>
      <c r="D28557" s="1">
        <v>5.48821875303015E-3</v>
      </c>
      <c r="E28557" s="1">
        <v>9.2690278824415894E-3</v>
      </c>
      <c r="F28557" s="1">
        <v>1.4134922963524799E-2</v>
      </c>
    </row>
    <row r="28558" spans="1:6" x14ac:dyDescent="0.25">
      <c r="A28558" s="2" t="str">
        <f t="shared" si="1017"/>
        <v>31140</v>
      </c>
      <c r="B28558" s="2" t="str">
        <f>"40036"</f>
        <v>40036</v>
      </c>
      <c r="C28558" s="1">
        <v>2.6839228084041299E-4</v>
      </c>
      <c r="D28558" s="1">
        <v>1.9392999127315001E-4</v>
      </c>
      <c r="E28558" s="1">
        <v>2.7631248430042698E-4</v>
      </c>
      <c r="F28558" s="1">
        <v>2.6334809895590998E-4</v>
      </c>
    </row>
    <row r="28559" spans="1:6" x14ac:dyDescent="0.25">
      <c r="A28559" s="2" t="str">
        <f t="shared" si="1017"/>
        <v>31140</v>
      </c>
      <c r="B28559" s="2" t="str">
        <f>"40031"</f>
        <v>40031</v>
      </c>
      <c r="C28559" s="1">
        <v>1.4644668379108199E-2</v>
      </c>
      <c r="D28559" s="1">
        <v>1.58440802870163E-2</v>
      </c>
      <c r="E28559" s="1">
        <v>1.0424516453152399E-2</v>
      </c>
      <c r="F28559" s="1">
        <v>1.4492732880584501E-2</v>
      </c>
    </row>
    <row r="28560" spans="1:6" x14ac:dyDescent="0.25">
      <c r="A28560" s="2" t="str">
        <f t="shared" si="1017"/>
        <v>31140</v>
      </c>
      <c r="B28560" s="2" t="str">
        <f>"47452"</f>
        <v>47452</v>
      </c>
      <c r="C28560" s="1">
        <v>1.15260488704472E-5</v>
      </c>
      <c r="D28560" s="1">
        <v>0</v>
      </c>
      <c r="E28560" s="1">
        <v>0</v>
      </c>
      <c r="F28560" s="1">
        <v>1.00186776776705E-5</v>
      </c>
    </row>
    <row r="28561" spans="1:6" x14ac:dyDescent="0.25">
      <c r="A28561" s="2" t="str">
        <f t="shared" si="1017"/>
        <v>31140</v>
      </c>
      <c r="B28561" s="2" t="str">
        <f>"47146"</f>
        <v>47146</v>
      </c>
      <c r="C28561" s="1">
        <v>0</v>
      </c>
      <c r="D28561" s="1">
        <v>0</v>
      </c>
      <c r="E28561" s="1">
        <v>1.00477267018337E-4</v>
      </c>
      <c r="F28561" s="1">
        <v>5.72495867295457E-6</v>
      </c>
    </row>
    <row r="28562" spans="1:6" x14ac:dyDescent="0.25">
      <c r="A28562" s="2" t="str">
        <f t="shared" si="1017"/>
        <v>31140</v>
      </c>
      <c r="B28562" s="2" t="str">
        <f>"47145"</f>
        <v>47145</v>
      </c>
      <c r="C28562" s="1">
        <v>1.64657841006388E-5</v>
      </c>
      <c r="D28562" s="1">
        <v>0</v>
      </c>
      <c r="E28562" s="1">
        <v>7.5357950263752794E-5</v>
      </c>
      <c r="F28562" s="1">
        <v>1.8606115687102301E-5</v>
      </c>
    </row>
    <row r="28563" spans="1:6" x14ac:dyDescent="0.25">
      <c r="A28563" s="2" t="str">
        <f t="shared" si="1017"/>
        <v>31140</v>
      </c>
      <c r="B28563" s="2" t="str">
        <f>"47129"</f>
        <v>47129</v>
      </c>
      <c r="C28563" s="1">
        <v>1.5678719620628299E-2</v>
      </c>
      <c r="D28563" s="1">
        <v>2.0983225055754801E-2</v>
      </c>
      <c r="E28563" s="1">
        <v>1.55488570710876E-2</v>
      </c>
      <c r="F28563" s="1">
        <v>1.6062802796642298E-2</v>
      </c>
    </row>
    <row r="28564" spans="1:6" x14ac:dyDescent="0.25">
      <c r="A28564" s="2" t="str">
        <f t="shared" si="1017"/>
        <v>31140</v>
      </c>
      <c r="B28564" s="2" t="str">
        <f>"40601"</f>
        <v>40601</v>
      </c>
      <c r="C28564" s="1">
        <v>4.6268853322795203E-4</v>
      </c>
      <c r="D28564" s="1">
        <v>0</v>
      </c>
      <c r="E28564" s="1">
        <v>0</v>
      </c>
      <c r="F28564" s="1">
        <v>4.0217834677505902E-4</v>
      </c>
    </row>
    <row r="28565" spans="1:6" x14ac:dyDescent="0.25">
      <c r="A28565" s="2" t="str">
        <f t="shared" si="1017"/>
        <v>31140</v>
      </c>
      <c r="B28565" s="2" t="str">
        <f>"40215"</f>
        <v>40215</v>
      </c>
      <c r="C28565" s="1">
        <v>1.6279720740301599E-2</v>
      </c>
      <c r="D28565" s="1">
        <v>7.8735576456899006E-3</v>
      </c>
      <c r="E28565" s="1">
        <v>2.13011806078874E-2</v>
      </c>
      <c r="F28565" s="1">
        <v>1.59454411438467E-2</v>
      </c>
    </row>
    <row r="28566" spans="1:6" x14ac:dyDescent="0.25">
      <c r="A28566" s="2" t="str">
        <f t="shared" si="1017"/>
        <v>31140</v>
      </c>
      <c r="B28566" s="2" t="str">
        <f>"40212"</f>
        <v>40212</v>
      </c>
      <c r="C28566" s="1">
        <v>1.3971217809392001E-2</v>
      </c>
      <c r="D28566" s="1">
        <v>6.7875496945602604E-3</v>
      </c>
      <c r="E28566" s="1">
        <v>1.24843004270283E-2</v>
      </c>
      <c r="F28566" s="1">
        <v>1.3356328584002999E-2</v>
      </c>
    </row>
    <row r="28567" spans="1:6" x14ac:dyDescent="0.25">
      <c r="A28567" s="2" t="str">
        <f t="shared" si="1017"/>
        <v>31140</v>
      </c>
      <c r="B28567" s="2" t="str">
        <f>"40231"</f>
        <v>40231</v>
      </c>
      <c r="C28567" s="1">
        <v>0</v>
      </c>
      <c r="D28567" s="1">
        <v>5.8178997381945098E-5</v>
      </c>
      <c r="E28567" s="1">
        <v>0</v>
      </c>
      <c r="F28567" s="1">
        <v>4.29371900471593E-6</v>
      </c>
    </row>
    <row r="28568" spans="1:6" x14ac:dyDescent="0.25">
      <c r="A28568" s="2" t="str">
        <f t="shared" si="1017"/>
        <v>31140</v>
      </c>
      <c r="B28568" s="2" t="str">
        <f>"40255"</f>
        <v>40255</v>
      </c>
      <c r="C28568" s="1">
        <v>6.8003688335638497E-4</v>
      </c>
      <c r="D28568" s="1">
        <v>4.4797827984097696E-3</v>
      </c>
      <c r="E28568" s="1">
        <v>5.02386335091685E-5</v>
      </c>
      <c r="F28568" s="1">
        <v>9.2458082568216396E-4</v>
      </c>
    </row>
    <row r="28569" spans="1:6" x14ac:dyDescent="0.25">
      <c r="A28569" s="2" t="str">
        <f t="shared" si="1017"/>
        <v>31140</v>
      </c>
      <c r="B28569" s="2" t="str">
        <f>"40291"</f>
        <v>40291</v>
      </c>
      <c r="C28569" s="1">
        <v>2.9342027267338401E-2</v>
      </c>
      <c r="D28569" s="1">
        <v>1.50877533210511E-2</v>
      </c>
      <c r="E28569" s="1">
        <v>3.4890730972117499E-2</v>
      </c>
      <c r="F28569" s="1">
        <v>2.8606187249085702E-2</v>
      </c>
    </row>
    <row r="28570" spans="1:6" x14ac:dyDescent="0.25">
      <c r="A28570" s="2" t="str">
        <f t="shared" si="1017"/>
        <v>31140</v>
      </c>
      <c r="B28570" s="2" t="str">
        <f>"40166"</f>
        <v>40166</v>
      </c>
      <c r="C28570" s="1">
        <v>0</v>
      </c>
      <c r="D28570" s="1">
        <v>0</v>
      </c>
      <c r="E28570" s="1">
        <v>2.5119316754584199E-5</v>
      </c>
      <c r="F28570" s="1">
        <v>1.4312396682386399E-6</v>
      </c>
    </row>
    <row r="28571" spans="1:6" x14ac:dyDescent="0.25">
      <c r="A28571" s="2" t="str">
        <f t="shared" si="1017"/>
        <v>31140</v>
      </c>
      <c r="B28571" s="2" t="str">
        <f>"40222"</f>
        <v>40222</v>
      </c>
      <c r="C28571" s="1">
        <v>1.9431271817163899E-2</v>
      </c>
      <c r="D28571" s="1">
        <v>2.9477358673518798E-2</v>
      </c>
      <c r="E28571" s="1">
        <v>2.9590555136900201E-2</v>
      </c>
      <c r="F28571" s="1">
        <v>2.07515439497921E-2</v>
      </c>
    </row>
    <row r="28572" spans="1:6" x14ac:dyDescent="0.25">
      <c r="A28572" s="2" t="str">
        <f t="shared" si="1017"/>
        <v>31140</v>
      </c>
      <c r="B28572" s="2" t="str">
        <f>"40218"</f>
        <v>40218</v>
      </c>
      <c r="C28572" s="1">
        <v>2.4583415662253801E-2</v>
      </c>
      <c r="D28572" s="1">
        <v>3.3898962474546601E-2</v>
      </c>
      <c r="E28572" s="1">
        <v>4.6194423511680398E-2</v>
      </c>
      <c r="F28572" s="1">
        <v>2.6502264936774898E-2</v>
      </c>
    </row>
    <row r="28573" spans="1:6" x14ac:dyDescent="0.25">
      <c r="A28573" s="2" t="str">
        <f t="shared" si="1017"/>
        <v>31140</v>
      </c>
      <c r="B28573" s="2" t="str">
        <f>"40071"</f>
        <v>40071</v>
      </c>
      <c r="C28573" s="1">
        <v>9.9601528024764498E-3</v>
      </c>
      <c r="D28573" s="1">
        <v>3.7622418306991101E-3</v>
      </c>
      <c r="E28573" s="1">
        <v>6.1793519216277303E-3</v>
      </c>
      <c r="F28573" s="1">
        <v>9.2873142072005602E-3</v>
      </c>
    </row>
    <row r="28574" spans="1:6" x14ac:dyDescent="0.25">
      <c r="A28574" s="2" t="str">
        <f t="shared" si="1017"/>
        <v>31140</v>
      </c>
      <c r="B28574" s="2" t="str">
        <f>"40025"</f>
        <v>40025</v>
      </c>
      <c r="C28574" s="1">
        <v>1.6301126259632399E-4</v>
      </c>
      <c r="D28574" s="1">
        <v>0</v>
      </c>
      <c r="E28574" s="1">
        <v>2.5119316754584199E-5</v>
      </c>
      <c r="F28574" s="1">
        <v>1.4312396682386399E-4</v>
      </c>
    </row>
    <row r="28575" spans="1:6" x14ac:dyDescent="0.25">
      <c r="A28575" s="2" t="str">
        <f t="shared" ref="A28575:A28596" si="1018">"31140"</f>
        <v>31140</v>
      </c>
      <c r="B28575" s="2" t="str">
        <f>"40011"</f>
        <v>40011</v>
      </c>
      <c r="C28575" s="1">
        <v>1.52637818612922E-3</v>
      </c>
      <c r="D28575" s="1">
        <v>6.7875496945602604E-4</v>
      </c>
      <c r="E28575" s="1">
        <v>1.00477267018337E-4</v>
      </c>
      <c r="F28575" s="1">
        <v>1.38257751951853E-3</v>
      </c>
    </row>
    <row r="28576" spans="1:6" x14ac:dyDescent="0.25">
      <c r="A28576" s="2" t="str">
        <f t="shared" si="1018"/>
        <v>31140</v>
      </c>
      <c r="B28576" s="2" t="str">
        <f>"47160"</f>
        <v>47160</v>
      </c>
      <c r="C28576" s="1">
        <v>1.5148521372587701E-4</v>
      </c>
      <c r="D28576" s="1">
        <v>1.3575099389120501E-4</v>
      </c>
      <c r="E28576" s="1">
        <v>2.5119316754584199E-5</v>
      </c>
      <c r="F28576" s="1">
        <v>1.4312396682386399E-4</v>
      </c>
    </row>
    <row r="28577" spans="1:6" x14ac:dyDescent="0.25">
      <c r="A28577" s="2" t="str">
        <f t="shared" si="1018"/>
        <v>31140</v>
      </c>
      <c r="B28577" s="2" t="str">
        <f>"47126"</f>
        <v>47126</v>
      </c>
      <c r="C28577" s="1">
        <v>3.16472370414279E-3</v>
      </c>
      <c r="D28577" s="1">
        <v>1.0666149520023201E-3</v>
      </c>
      <c r="E28577" s="1">
        <v>1.40668173825671E-3</v>
      </c>
      <c r="F28577" s="1">
        <v>2.9097102455291602E-3</v>
      </c>
    </row>
    <row r="28578" spans="1:6" x14ac:dyDescent="0.25">
      <c r="A28578" s="2" t="str">
        <f t="shared" si="1018"/>
        <v>31140</v>
      </c>
      <c r="B28578" s="2" t="str">
        <f>"47108"</f>
        <v>47108</v>
      </c>
      <c r="C28578" s="1">
        <v>1.82276229994072E-3</v>
      </c>
      <c r="D28578" s="1">
        <v>6.0118297294676603E-4</v>
      </c>
      <c r="E28578" s="1">
        <v>2.5621703089675901E-3</v>
      </c>
      <c r="F28578" s="1">
        <v>1.77473718861591E-3</v>
      </c>
    </row>
    <row r="28579" spans="1:6" x14ac:dyDescent="0.25">
      <c r="A28579" s="2" t="str">
        <f t="shared" si="1018"/>
        <v>31140</v>
      </c>
      <c r="B28579" s="2" t="str">
        <f>"47147"</f>
        <v>47147</v>
      </c>
      <c r="C28579" s="1">
        <v>5.05499571889613E-4</v>
      </c>
      <c r="D28579" s="1">
        <v>9.69649956365751E-5</v>
      </c>
      <c r="E28579" s="1">
        <v>2.5119316754584198E-4</v>
      </c>
      <c r="F28579" s="1">
        <v>4.6085917317284302E-4</v>
      </c>
    </row>
    <row r="28580" spans="1:6" x14ac:dyDescent="0.25">
      <c r="A28580" s="2" t="str">
        <f t="shared" si="1018"/>
        <v>31140</v>
      </c>
      <c r="B28580" s="2" t="str">
        <f>"47136"</f>
        <v>47136</v>
      </c>
      <c r="C28580" s="1">
        <v>3.1021537245603599E-3</v>
      </c>
      <c r="D28580" s="1">
        <v>7.1754096771065598E-4</v>
      </c>
      <c r="E28580" s="1">
        <v>1.30620447123838E-3</v>
      </c>
      <c r="F28580" s="1">
        <v>2.8238358654348399E-3</v>
      </c>
    </row>
    <row r="28581" spans="1:6" x14ac:dyDescent="0.25">
      <c r="A28581" s="2" t="str">
        <f t="shared" si="1018"/>
        <v>31140</v>
      </c>
      <c r="B28581" s="2" t="str">
        <f>"47130"</f>
        <v>47130</v>
      </c>
      <c r="C28581" s="1">
        <v>3.75205822301257E-2</v>
      </c>
      <c r="D28581" s="1">
        <v>3.6245515368951799E-2</v>
      </c>
      <c r="E28581" s="1">
        <v>3.09218789248932E-2</v>
      </c>
      <c r="F28581" s="1">
        <v>3.7050501291693801E-2</v>
      </c>
    </row>
    <row r="28582" spans="1:6" x14ac:dyDescent="0.25">
      <c r="A28582" s="2" t="str">
        <f t="shared" si="1018"/>
        <v>31140</v>
      </c>
      <c r="B28582" s="2" t="str">
        <f>"40216"</f>
        <v>40216</v>
      </c>
      <c r="C28582" s="1">
        <v>3.2554501745373103E-2</v>
      </c>
      <c r="D28582" s="1">
        <v>2.3659458935324298E-2</v>
      </c>
      <c r="E28582" s="1">
        <v>2.79577995478522E-2</v>
      </c>
      <c r="F28582" s="1">
        <v>3.1636121626746998E-2</v>
      </c>
    </row>
    <row r="28583" spans="1:6" x14ac:dyDescent="0.25">
      <c r="A28583" s="2" t="str">
        <f t="shared" si="1018"/>
        <v>31140</v>
      </c>
      <c r="B28583" s="2" t="str">
        <f>"40256"</f>
        <v>40256</v>
      </c>
      <c r="C28583" s="1">
        <v>1.58236185207139E-3</v>
      </c>
      <c r="D28583" s="1">
        <v>3.4131678464074402E-3</v>
      </c>
      <c r="E28583" s="1">
        <v>5.02386335091685E-5</v>
      </c>
      <c r="F28583" s="1">
        <v>1.6301819821238101E-3</v>
      </c>
    </row>
    <row r="28584" spans="1:6" x14ac:dyDescent="0.25">
      <c r="A28584" s="2" t="str">
        <f t="shared" si="1018"/>
        <v>31140</v>
      </c>
      <c r="B28584" s="2" t="str">
        <f>"40253"</f>
        <v>40253</v>
      </c>
      <c r="C28584" s="1">
        <v>1.0225251926496699E-3</v>
      </c>
      <c r="D28584" s="1">
        <v>9.30863958111121E-3</v>
      </c>
      <c r="E28584" s="1">
        <v>5.02386335091685E-5</v>
      </c>
      <c r="F28584" s="1">
        <v>1.57865735406722E-3</v>
      </c>
    </row>
    <row r="28585" spans="1:6" x14ac:dyDescent="0.25">
      <c r="A28585" s="2" t="str">
        <f t="shared" si="1018"/>
        <v>31140</v>
      </c>
      <c r="B28585" s="2" t="str">
        <f>"40250"</f>
        <v>40250</v>
      </c>
      <c r="C28585" s="1">
        <v>1.46051504972666E-3</v>
      </c>
      <c r="D28585" s="1">
        <v>4.84824978182875E-3</v>
      </c>
      <c r="E28585" s="1">
        <v>5.02386335091685E-5</v>
      </c>
      <c r="F28585" s="1">
        <v>1.6301819821238101E-3</v>
      </c>
    </row>
    <row r="28586" spans="1:6" x14ac:dyDescent="0.25">
      <c r="A28586" s="2" t="str">
        <f t="shared" si="1018"/>
        <v>31140</v>
      </c>
      <c r="B28586" s="2" t="str">
        <f>"40232"</f>
        <v>40232</v>
      </c>
      <c r="C28586" s="1">
        <v>1.2612790621089299E-3</v>
      </c>
      <c r="D28586" s="1">
        <v>7.7571996509260104E-3</v>
      </c>
      <c r="E28586" s="1">
        <v>5.02386335091685E-5</v>
      </c>
      <c r="F28586" s="1">
        <v>1.67168793250273E-3</v>
      </c>
    </row>
    <row r="28587" spans="1:6" x14ac:dyDescent="0.25">
      <c r="A28587" s="2" t="str">
        <f t="shared" si="1018"/>
        <v>31140</v>
      </c>
      <c r="B28587" s="2" t="str">
        <f>"40228"</f>
        <v>40228</v>
      </c>
      <c r="C28587" s="1">
        <v>1.36336692353289E-2</v>
      </c>
      <c r="D28587" s="1">
        <v>8.7462426064190794E-3</v>
      </c>
      <c r="E28587" s="1">
        <v>7.6613916101482002E-3</v>
      </c>
      <c r="F28587" s="1">
        <v>1.29326816422043E-2</v>
      </c>
    </row>
    <row r="28588" spans="1:6" x14ac:dyDescent="0.25">
      <c r="A28588" s="2" t="str">
        <f t="shared" si="1018"/>
        <v>31140</v>
      </c>
      <c r="B28588" s="2" t="str">
        <f>"40269"</f>
        <v>40269</v>
      </c>
      <c r="C28588" s="1">
        <v>1.2069419745768201E-3</v>
      </c>
      <c r="D28588" s="1">
        <v>6.6517987006690501E-3</v>
      </c>
      <c r="E28588" s="1">
        <v>5.02386335091685E-5</v>
      </c>
      <c r="F28588" s="1">
        <v>1.54287636236125E-3</v>
      </c>
    </row>
    <row r="28589" spans="1:6" x14ac:dyDescent="0.25">
      <c r="A28589" s="2" t="str">
        <f t="shared" si="1018"/>
        <v>31140</v>
      </c>
      <c r="B28589" s="2" t="str">
        <f>"40282"</f>
        <v>40282</v>
      </c>
      <c r="C28589" s="1">
        <v>0</v>
      </c>
      <c r="D28589" s="1">
        <v>1.9392999127315001E-5</v>
      </c>
      <c r="E28589" s="1">
        <v>0</v>
      </c>
      <c r="F28589" s="1">
        <v>1.4312396682386399E-6</v>
      </c>
    </row>
    <row r="28590" spans="1:6" x14ac:dyDescent="0.25">
      <c r="A28590" s="2" t="str">
        <f t="shared" si="1018"/>
        <v>31140</v>
      </c>
      <c r="B28590" s="2" t="str">
        <f>"40261"</f>
        <v>40261</v>
      </c>
      <c r="C28590" s="1">
        <v>4.2152407297635499E-4</v>
      </c>
      <c r="D28590" s="1">
        <v>6.5936197032871095E-4</v>
      </c>
      <c r="E28590" s="1">
        <v>5.02386335091685E-5</v>
      </c>
      <c r="F28590" s="1">
        <v>4.1792198312568402E-4</v>
      </c>
    </row>
    <row r="28591" spans="1:6" x14ac:dyDescent="0.25">
      <c r="A28591" s="2" t="str">
        <f t="shared" si="1018"/>
        <v>31140</v>
      </c>
      <c r="B28591" s="2" t="str">
        <f>"40150"</f>
        <v>40150</v>
      </c>
      <c r="C28591" s="1">
        <v>3.2437594678258498E-3</v>
      </c>
      <c r="D28591" s="1">
        <v>6.3996897120139598E-4</v>
      </c>
      <c r="E28591" s="1">
        <v>2.5621703089675901E-3</v>
      </c>
      <c r="F28591" s="1">
        <v>3.0127595016423399E-3</v>
      </c>
    </row>
    <row r="28592" spans="1:6" x14ac:dyDescent="0.25">
      <c r="A28592" s="2" t="str">
        <f t="shared" si="1018"/>
        <v>31140</v>
      </c>
      <c r="B28592" s="2" t="str">
        <f>"40075"</f>
        <v>40075</v>
      </c>
      <c r="C28592" s="1">
        <v>7.6236580385957904E-4</v>
      </c>
      <c r="D28592" s="1">
        <v>0</v>
      </c>
      <c r="E28592" s="1">
        <v>5.02386335091685E-5</v>
      </c>
      <c r="F28592" s="1">
        <v>6.65526445730969E-4</v>
      </c>
    </row>
    <row r="28593" spans="1:6" x14ac:dyDescent="0.25">
      <c r="A28593" s="2" t="str">
        <f t="shared" si="1018"/>
        <v>31140</v>
      </c>
      <c r="B28593" s="2" t="str">
        <f>"40067"</f>
        <v>40067</v>
      </c>
      <c r="C28593" s="1">
        <v>3.5105051702561999E-3</v>
      </c>
      <c r="D28593" s="1">
        <v>4.2858528071366203E-3</v>
      </c>
      <c r="E28593" s="1">
        <v>2.2356191911579999E-3</v>
      </c>
      <c r="F28593" s="1">
        <v>3.4950872698387698E-3</v>
      </c>
    </row>
    <row r="28594" spans="1:6" x14ac:dyDescent="0.25">
      <c r="A28594" s="2" t="str">
        <f t="shared" si="1018"/>
        <v>31140</v>
      </c>
      <c r="B28594" s="2" t="str">
        <f>"40056"</f>
        <v>40056</v>
      </c>
      <c r="C28594" s="1">
        <v>3.1597839689125901E-3</v>
      </c>
      <c r="D28594" s="1">
        <v>4.0337438184815198E-3</v>
      </c>
      <c r="E28594" s="1">
        <v>6.0286360211002203E-4</v>
      </c>
      <c r="F28594" s="1">
        <v>3.0785965263813199E-3</v>
      </c>
    </row>
    <row r="28595" spans="1:6" x14ac:dyDescent="0.25">
      <c r="A28595" s="2" t="str">
        <f t="shared" si="1018"/>
        <v>31140</v>
      </c>
      <c r="B28595" s="2" t="str">
        <f>"40013"</f>
        <v>40013</v>
      </c>
      <c r="C28595" s="1">
        <v>6.2899295264440399E-4</v>
      </c>
      <c r="D28595" s="1">
        <v>1.1635799476389001E-4</v>
      </c>
      <c r="E28595" s="1">
        <v>3.0143180105501101E-4</v>
      </c>
      <c r="F28595" s="1">
        <v>5.7249586729545704E-4</v>
      </c>
    </row>
    <row r="28596" spans="1:6" x14ac:dyDescent="0.25">
      <c r="A28596" s="2" t="str">
        <f t="shared" si="1018"/>
        <v>31140</v>
      </c>
      <c r="B28596" s="2" t="str">
        <f>"40010"</f>
        <v>40010</v>
      </c>
      <c r="C28596" s="1">
        <v>3.1284989791213801E-4</v>
      </c>
      <c r="D28596" s="1">
        <v>1.5708329293125101E-3</v>
      </c>
      <c r="E28596" s="1">
        <v>3.7678975131876403E-4</v>
      </c>
      <c r="F28596" s="1">
        <v>4.0933454511625202E-4</v>
      </c>
    </row>
    <row r="28597" spans="1:6" x14ac:dyDescent="0.25">
      <c r="A28597" s="2" t="str">
        <f t="shared" ref="A28597:A28609" si="1019">"23180"</f>
        <v>23180</v>
      </c>
      <c r="B28597" s="2" t="str">
        <f>"40601"</f>
        <v>40601</v>
      </c>
      <c r="C28597" s="1">
        <v>0.64548854844494497</v>
      </c>
      <c r="D28597" s="1">
        <v>0.65491183879093096</v>
      </c>
      <c r="E28597" s="1">
        <v>0.88068965517241304</v>
      </c>
      <c r="F28597" s="1">
        <v>0.65400188959373695</v>
      </c>
    </row>
    <row r="28598" spans="1:6" x14ac:dyDescent="0.25">
      <c r="A28598" s="2" t="str">
        <f t="shared" si="1019"/>
        <v>23180</v>
      </c>
      <c r="B28598" s="2" t="str">
        <f>"40372"</f>
        <v>40372</v>
      </c>
      <c r="C28598" s="1">
        <v>9.9912896449249299E-4</v>
      </c>
      <c r="D28598" s="1">
        <v>2.5188916876574301E-4</v>
      </c>
      <c r="E28598" s="1">
        <v>0</v>
      </c>
      <c r="F28598" s="1">
        <v>8.9980654159355696E-4</v>
      </c>
    </row>
    <row r="28599" spans="1:6" x14ac:dyDescent="0.25">
      <c r="A28599" s="2" t="str">
        <f t="shared" si="1019"/>
        <v>23180</v>
      </c>
      <c r="B28599" s="2" t="str">
        <f>"40012"</f>
        <v>40012</v>
      </c>
      <c r="C28599" s="1">
        <v>8.9665419890352005E-4</v>
      </c>
      <c r="D28599" s="1">
        <v>0</v>
      </c>
      <c r="E28599" s="1">
        <v>0</v>
      </c>
      <c r="F28599" s="1">
        <v>7.8733072389436203E-4</v>
      </c>
    </row>
    <row r="28600" spans="1:6" x14ac:dyDescent="0.25">
      <c r="A28600" s="2" t="str">
        <f t="shared" si="1019"/>
        <v>23180</v>
      </c>
      <c r="B28600" s="2" t="str">
        <f>"40342"</f>
        <v>40342</v>
      </c>
      <c r="C28600" s="1">
        <v>0.28031972126863702</v>
      </c>
      <c r="D28600" s="1">
        <v>0.21108312342569199</v>
      </c>
      <c r="E28600" s="1">
        <v>0.108965517241379</v>
      </c>
      <c r="F28600" s="1">
        <v>0.26854726233859699</v>
      </c>
    </row>
    <row r="28601" spans="1:6" x14ac:dyDescent="0.25">
      <c r="A28601" s="2" t="str">
        <f t="shared" si="1019"/>
        <v>23180</v>
      </c>
      <c r="B28601" s="2" t="str">
        <f>"40076"</f>
        <v>40076</v>
      </c>
      <c r="C28601" s="1">
        <v>3.5866167956140802E-3</v>
      </c>
      <c r="D28601" s="1">
        <v>2.5188916876574301E-4</v>
      </c>
      <c r="E28601" s="1">
        <v>2.0689655172413698E-3</v>
      </c>
      <c r="F28601" s="1">
        <v>3.2393035497368002E-3</v>
      </c>
    </row>
    <row r="28602" spans="1:6" x14ac:dyDescent="0.25">
      <c r="A28602" s="2" t="str">
        <f t="shared" si="1019"/>
        <v>23180</v>
      </c>
      <c r="B28602" s="2" t="str">
        <f>"40621"</f>
        <v>40621</v>
      </c>
      <c r="C28602" s="1">
        <v>0</v>
      </c>
      <c r="D28602" s="1">
        <v>0</v>
      </c>
      <c r="E28602" s="1">
        <v>6.8965517241379305E-4</v>
      </c>
      <c r="F28602" s="1">
        <v>2.2495163539838902E-5</v>
      </c>
    </row>
    <row r="28603" spans="1:6" x14ac:dyDescent="0.25">
      <c r="A28603" s="2" t="str">
        <f t="shared" si="1019"/>
        <v>23180</v>
      </c>
      <c r="B28603" s="2" t="str">
        <f>"40003"</f>
        <v>40003</v>
      </c>
      <c r="C28603" s="1">
        <v>1.74207101501255E-3</v>
      </c>
      <c r="D28603" s="1">
        <v>2.5188916876574301E-4</v>
      </c>
      <c r="E28603" s="1">
        <v>1.37931034482758E-3</v>
      </c>
      <c r="F28603" s="1">
        <v>1.59715661132856E-3</v>
      </c>
    </row>
    <row r="28604" spans="1:6" x14ac:dyDescent="0.25">
      <c r="A28604" s="2" t="str">
        <f t="shared" si="1019"/>
        <v>23180</v>
      </c>
      <c r="B28604" s="2" t="str">
        <f>"40379"</f>
        <v>40379</v>
      </c>
      <c r="C28604" s="1">
        <v>1.3834093354511399E-3</v>
      </c>
      <c r="D28604" s="1">
        <v>2.5188916876574301E-4</v>
      </c>
      <c r="E28604" s="1">
        <v>0</v>
      </c>
      <c r="F28604" s="1">
        <v>1.2372339946911399E-3</v>
      </c>
    </row>
    <row r="28605" spans="1:6" x14ac:dyDescent="0.25">
      <c r="A28605" s="2" t="str">
        <f t="shared" si="1019"/>
        <v>23180</v>
      </c>
      <c r="B28605" s="2" t="str">
        <f>"40347"</f>
        <v>40347</v>
      </c>
      <c r="C28605" s="1">
        <v>1.6908336322180599E-3</v>
      </c>
      <c r="D28605" s="1">
        <v>1.0075566750629701E-3</v>
      </c>
      <c r="E28605" s="1">
        <v>6.8965517241379305E-4</v>
      </c>
      <c r="F28605" s="1">
        <v>1.59715661132856E-3</v>
      </c>
    </row>
    <row r="28606" spans="1:6" x14ac:dyDescent="0.25">
      <c r="A28606" s="2" t="str">
        <f t="shared" si="1019"/>
        <v>23180</v>
      </c>
      <c r="B28606" s="2" t="str">
        <f>"40604"</f>
        <v>40604</v>
      </c>
      <c r="C28606" s="1">
        <v>1.8855356868371101E-2</v>
      </c>
      <c r="D28606" s="1">
        <v>3.87909319899244E-2</v>
      </c>
      <c r="E28606" s="1">
        <v>1.37931034482758E-3</v>
      </c>
      <c r="F28606" s="1">
        <v>2.00656858775363E-2</v>
      </c>
    </row>
    <row r="28607" spans="1:6" x14ac:dyDescent="0.25">
      <c r="A28607" s="2" t="str">
        <f t="shared" si="1019"/>
        <v>23180</v>
      </c>
      <c r="B28607" s="2" t="str">
        <f>"40078"</f>
        <v>40078</v>
      </c>
      <c r="C28607" s="1">
        <v>2.56186913972434E-5</v>
      </c>
      <c r="D28607" s="1">
        <v>0</v>
      </c>
      <c r="E28607" s="1">
        <v>0</v>
      </c>
      <c r="F28607" s="1">
        <v>2.2495163539838902E-5</v>
      </c>
    </row>
    <row r="28608" spans="1:6" x14ac:dyDescent="0.25">
      <c r="A28608" s="2" t="str">
        <f t="shared" si="1019"/>
        <v>23180</v>
      </c>
      <c r="B28608" s="2" t="str">
        <f>"40046"</f>
        <v>40046</v>
      </c>
      <c r="C28608" s="1">
        <v>3.9708971665727297E-3</v>
      </c>
      <c r="D28608" s="1">
        <v>5.0377833753148602E-4</v>
      </c>
      <c r="E28608" s="1">
        <v>2.75862068965517E-3</v>
      </c>
      <c r="F28608" s="1">
        <v>3.6217213299140601E-3</v>
      </c>
    </row>
    <row r="28609" spans="1:6" x14ac:dyDescent="0.25">
      <c r="A28609" s="2" t="str">
        <f t="shared" si="1019"/>
        <v>23180</v>
      </c>
      <c r="B28609" s="2" t="str">
        <f>"40602"</f>
        <v>40602</v>
      </c>
      <c r="C28609" s="1">
        <v>4.1041143618383902E-2</v>
      </c>
      <c r="D28609" s="1">
        <v>9.26952141057934E-2</v>
      </c>
      <c r="E28609" s="1">
        <v>1.37931034482758E-3</v>
      </c>
      <c r="F28609" s="1">
        <v>4.4360462500562303E-2</v>
      </c>
    </row>
    <row r="28610" spans="1:6" x14ac:dyDescent="0.25">
      <c r="A28610" s="2" t="str">
        <f t="shared" ref="A28610:A28629" si="1020">"23980"</f>
        <v>23980</v>
      </c>
      <c r="B28610" s="2" t="str">
        <f>"42129"</f>
        <v>42129</v>
      </c>
      <c r="C28610" s="1">
        <v>0.12898820137334399</v>
      </c>
      <c r="D28610" s="1">
        <v>8.0909571655208803E-2</v>
      </c>
      <c r="E28610" s="1">
        <v>9.6440872560275503E-2</v>
      </c>
      <c r="F28610" s="1">
        <v>0.124892689124686</v>
      </c>
    </row>
    <row r="28611" spans="1:6" x14ac:dyDescent="0.25">
      <c r="A28611" s="2" t="str">
        <f t="shared" si="1020"/>
        <v>23980</v>
      </c>
      <c r="B28611" s="2" t="str">
        <f>"42127"</f>
        <v>42127</v>
      </c>
      <c r="C28611" s="1">
        <v>0.11221973519481</v>
      </c>
      <c r="D28611" s="1">
        <v>0.10364886303543</v>
      </c>
      <c r="E28611" s="1">
        <v>0.177956371986222</v>
      </c>
      <c r="F28611" s="1">
        <v>0.113629339651797</v>
      </c>
    </row>
    <row r="28612" spans="1:6" x14ac:dyDescent="0.25">
      <c r="A28612" s="2" t="str">
        <f t="shared" si="1020"/>
        <v>23980</v>
      </c>
      <c r="B28612" s="2" t="str">
        <f>"42717"</f>
        <v>42717</v>
      </c>
      <c r="C28612" s="1">
        <v>9.8638036344322606E-4</v>
      </c>
      <c r="D28612" s="1">
        <v>0</v>
      </c>
      <c r="E28612" s="1">
        <v>1.14810562571756E-3</v>
      </c>
      <c r="F28612" s="1">
        <v>9.2716596270732399E-4</v>
      </c>
    </row>
    <row r="28613" spans="1:6" x14ac:dyDescent="0.25">
      <c r="A28613" s="2" t="str">
        <f t="shared" si="1020"/>
        <v>23980</v>
      </c>
      <c r="B28613" s="2" t="str">
        <f>"42154"</f>
        <v>42154</v>
      </c>
      <c r="C28613" s="1">
        <v>1.41507644447816E-2</v>
      </c>
      <c r="D28613" s="1">
        <v>2.6441036488630298E-3</v>
      </c>
      <c r="E28613" s="1">
        <v>6.8886337543053898E-3</v>
      </c>
      <c r="F28613" s="1">
        <v>1.3186360358504101E-2</v>
      </c>
    </row>
    <row r="28614" spans="1:6" x14ac:dyDescent="0.25">
      <c r="A28614" s="2" t="str">
        <f t="shared" si="1020"/>
        <v>23980</v>
      </c>
      <c r="B28614" s="2" t="str">
        <f>"42141"</f>
        <v>42141</v>
      </c>
      <c r="C28614" s="1">
        <v>0.571910922265639</v>
      </c>
      <c r="D28614" s="1">
        <v>0.75039661554732895</v>
      </c>
      <c r="E28614" s="1">
        <v>0.62686567164179097</v>
      </c>
      <c r="F28614" s="1">
        <v>0.58514474090862201</v>
      </c>
    </row>
    <row r="28615" spans="1:6" x14ac:dyDescent="0.25">
      <c r="A28615" s="2" t="str">
        <f t="shared" si="1020"/>
        <v>23980</v>
      </c>
      <c r="B28615" s="2" t="str">
        <f>"42157"</f>
        <v>42157</v>
      </c>
      <c r="C28615" s="1">
        <v>3.7937706286277903E-5</v>
      </c>
      <c r="D28615" s="1">
        <v>0</v>
      </c>
      <c r="E28615" s="1">
        <v>0</v>
      </c>
      <c r="F28615" s="1">
        <v>3.4339480100271202E-5</v>
      </c>
    </row>
    <row r="28616" spans="1:6" x14ac:dyDescent="0.25">
      <c r="A28616" s="2" t="str">
        <f t="shared" si="1020"/>
        <v>23980</v>
      </c>
      <c r="B28616" s="2" t="str">
        <f>"42746"</f>
        <v>42746</v>
      </c>
      <c r="C28616" s="1">
        <v>3.4523312720512898E-3</v>
      </c>
      <c r="D28616" s="1">
        <v>2.6441036488630298E-3</v>
      </c>
      <c r="E28616" s="1">
        <v>3.4443168771526901E-3</v>
      </c>
      <c r="F28616" s="1">
        <v>3.3996085299268499E-3</v>
      </c>
    </row>
    <row r="28617" spans="1:6" x14ac:dyDescent="0.25">
      <c r="A28617" s="2" t="str">
        <f t="shared" si="1020"/>
        <v>23980</v>
      </c>
      <c r="B28617" s="2" t="str">
        <f>"42124"</f>
        <v>42124</v>
      </c>
      <c r="C28617" s="1">
        <v>2.2762623771766699E-3</v>
      </c>
      <c r="D28617" s="1">
        <v>0</v>
      </c>
      <c r="E28617" s="1">
        <v>1.14810562571756E-3</v>
      </c>
      <c r="F28617" s="1">
        <v>2.09470828611654E-3</v>
      </c>
    </row>
    <row r="28618" spans="1:6" x14ac:dyDescent="0.25">
      <c r="A28618" s="2" t="str">
        <f t="shared" si="1020"/>
        <v>23980</v>
      </c>
      <c r="B28618" s="2" t="str">
        <f>"42130"</f>
        <v>42130</v>
      </c>
      <c r="C28618" s="1">
        <v>3.4902689783375602E-3</v>
      </c>
      <c r="D28618" s="1">
        <v>1.58646218931782E-3</v>
      </c>
      <c r="E28618" s="1">
        <v>2.2962112514351299E-3</v>
      </c>
      <c r="F28618" s="1">
        <v>3.3309295697263098E-3</v>
      </c>
    </row>
    <row r="28619" spans="1:6" x14ac:dyDescent="0.25">
      <c r="A28619" s="2" t="str">
        <f t="shared" si="1020"/>
        <v>23980</v>
      </c>
      <c r="B28619" s="2" t="str">
        <f>"42133"</f>
        <v>42133</v>
      </c>
      <c r="C28619" s="1">
        <v>1.04328692287264E-2</v>
      </c>
      <c r="D28619" s="1">
        <v>3.7017451084082401E-3</v>
      </c>
      <c r="E28619" s="1">
        <v>0</v>
      </c>
      <c r="F28619" s="1">
        <v>9.6837333882764994E-3</v>
      </c>
    </row>
    <row r="28620" spans="1:6" x14ac:dyDescent="0.25">
      <c r="A28620" s="2" t="str">
        <f t="shared" si="1020"/>
        <v>23980</v>
      </c>
      <c r="B28620" s="2" t="str">
        <f>"42715"</f>
        <v>42715</v>
      </c>
      <c r="C28620" s="1">
        <v>1.78307219545506E-3</v>
      </c>
      <c r="D28620" s="1">
        <v>1.58646218931782E-3</v>
      </c>
      <c r="E28620" s="1">
        <v>4.5924225028702598E-3</v>
      </c>
      <c r="F28620" s="1">
        <v>1.85433192541464E-3</v>
      </c>
    </row>
    <row r="28621" spans="1:6" x14ac:dyDescent="0.25">
      <c r="A28621" s="2" t="str">
        <f t="shared" si="1020"/>
        <v>23980</v>
      </c>
      <c r="B28621" s="2" t="str">
        <f>"42749"</f>
        <v>42749</v>
      </c>
      <c r="C28621" s="1">
        <v>7.6634166698281402E-3</v>
      </c>
      <c r="D28621" s="1">
        <v>2.1152829190904201E-3</v>
      </c>
      <c r="E28621" s="1">
        <v>3.9035591274397201E-2</v>
      </c>
      <c r="F28621" s="1">
        <v>8.2414752240650997E-3</v>
      </c>
    </row>
    <row r="28622" spans="1:6" x14ac:dyDescent="0.25">
      <c r="A28622" s="2" t="str">
        <f t="shared" si="1020"/>
        <v>23980</v>
      </c>
      <c r="B28622" s="2" t="str">
        <f>"42131"</f>
        <v>42131</v>
      </c>
      <c r="C28622" s="1">
        <v>2.50388861489434E-3</v>
      </c>
      <c r="D28622" s="1">
        <v>1.58646218931782E-3</v>
      </c>
      <c r="E28622" s="1">
        <v>0</v>
      </c>
      <c r="F28622" s="1">
        <v>2.3694241269187101E-3</v>
      </c>
    </row>
    <row r="28623" spans="1:6" x14ac:dyDescent="0.25">
      <c r="A28623" s="2" t="str">
        <f t="shared" si="1020"/>
        <v>23980</v>
      </c>
      <c r="B28623" s="2" t="str">
        <f>"42171"</f>
        <v>42171</v>
      </c>
      <c r="C28623" s="1">
        <v>2.9743161728441801E-2</v>
      </c>
      <c r="D28623" s="1">
        <v>3.7017451084082401E-3</v>
      </c>
      <c r="E28623" s="1">
        <v>1.60734787600459E-2</v>
      </c>
      <c r="F28623" s="1">
        <v>2.7643281480718301E-2</v>
      </c>
    </row>
    <row r="28624" spans="1:6" x14ac:dyDescent="0.25">
      <c r="A28624" s="2" t="str">
        <f t="shared" si="1020"/>
        <v>23980</v>
      </c>
      <c r="B28624" s="2" t="str">
        <f>"42166"</f>
        <v>42166</v>
      </c>
      <c r="C28624" s="1">
        <v>4.4462991767517702E-2</v>
      </c>
      <c r="D28624" s="1">
        <v>1.7979904812268601E-2</v>
      </c>
      <c r="E28624" s="1">
        <v>5.7405281285878296E-3</v>
      </c>
      <c r="F28624" s="1">
        <v>4.1585110401428503E-2</v>
      </c>
    </row>
    <row r="28625" spans="1:6" x14ac:dyDescent="0.25">
      <c r="A28625" s="2" t="str">
        <f t="shared" si="1020"/>
        <v>23980</v>
      </c>
      <c r="B28625" s="2" t="str">
        <f>"42152"</f>
        <v>42152</v>
      </c>
      <c r="C28625" s="1">
        <v>0</v>
      </c>
      <c r="D28625" s="1">
        <v>0</v>
      </c>
      <c r="E28625" s="1">
        <v>1.14810562571756E-3</v>
      </c>
      <c r="F28625" s="1">
        <v>3.4339480100271202E-5</v>
      </c>
    </row>
    <row r="28626" spans="1:6" x14ac:dyDescent="0.25">
      <c r="A28626" s="2" t="str">
        <f t="shared" si="1020"/>
        <v>23980</v>
      </c>
      <c r="B28626" s="2" t="str">
        <f>"42123"</f>
        <v>42123</v>
      </c>
      <c r="C28626" s="1">
        <v>1.7147843241397599E-2</v>
      </c>
      <c r="D28626" s="1">
        <v>4.2305658381808497E-3</v>
      </c>
      <c r="E28626" s="1">
        <v>2.2962112514351299E-3</v>
      </c>
      <c r="F28626" s="1">
        <v>1.58648398063253E-2</v>
      </c>
    </row>
    <row r="28627" spans="1:6" x14ac:dyDescent="0.25">
      <c r="A28627" s="2" t="str">
        <f t="shared" si="1020"/>
        <v>23980</v>
      </c>
      <c r="B28627" s="2" t="str">
        <f>"42214"</f>
        <v>42214</v>
      </c>
      <c r="C28627" s="1">
        <v>1.08122462915892E-2</v>
      </c>
      <c r="D28627" s="1">
        <v>3.1729243786356399E-3</v>
      </c>
      <c r="E28627" s="1">
        <v>3.4443168771526901E-3</v>
      </c>
      <c r="F28627" s="1">
        <v>1.0095807149479699E-2</v>
      </c>
    </row>
    <row r="28628" spans="1:6" x14ac:dyDescent="0.25">
      <c r="A28628" s="2" t="str">
        <f t="shared" si="1020"/>
        <v>23980</v>
      </c>
      <c r="B28628" s="2" t="str">
        <f>"42160"</f>
        <v>42160</v>
      </c>
      <c r="C28628" s="1">
        <v>2.9477597784437901E-2</v>
      </c>
      <c r="D28628" s="1">
        <v>1.2691697514542501E-2</v>
      </c>
      <c r="E28628" s="1">
        <v>9.1848450057405197E-3</v>
      </c>
      <c r="F28628" s="1">
        <v>2.7780639401119401E-2</v>
      </c>
    </row>
    <row r="28629" spans="1:6" x14ac:dyDescent="0.25">
      <c r="A28629" s="2" t="str">
        <f t="shared" si="1020"/>
        <v>23980</v>
      </c>
      <c r="B28629" s="2" t="str">
        <f>"42156"</f>
        <v>42156</v>
      </c>
      <c r="C28629" s="1">
        <v>8.4601085018399698E-3</v>
      </c>
      <c r="D28629" s="1">
        <v>7.4034902168164897E-3</v>
      </c>
      <c r="E28629" s="1">
        <v>2.2962112514351299E-3</v>
      </c>
      <c r="F28629" s="1">
        <v>8.2071357439648298E-3</v>
      </c>
    </row>
    <row r="28630" spans="1:6" x14ac:dyDescent="0.25">
      <c r="A28630" s="2" t="str">
        <f t="shared" ref="A28630:A28648" si="1021">"34540"</f>
        <v>34540</v>
      </c>
      <c r="B28630" s="2" t="str">
        <f>"43844"</f>
        <v>43844</v>
      </c>
      <c r="C28630" s="1">
        <v>1.8217590905778599E-4</v>
      </c>
      <c r="D28630" s="1">
        <v>0</v>
      </c>
      <c r="E28630" s="1">
        <v>0</v>
      </c>
      <c r="F28630" s="1">
        <v>1.6471208327842901E-4</v>
      </c>
    </row>
    <row r="28631" spans="1:6" x14ac:dyDescent="0.25">
      <c r="A28631" s="2" t="str">
        <f t="shared" si="1021"/>
        <v>34540</v>
      </c>
      <c r="B28631" s="2" t="str">
        <f>"43014"</f>
        <v>43014</v>
      </c>
      <c r="C28631" s="1">
        <v>3.3884719084748202E-2</v>
      </c>
      <c r="D28631" s="1">
        <v>9.7932535364526601E-3</v>
      </c>
      <c r="E28631" s="1">
        <v>6.5298507462686504E-3</v>
      </c>
      <c r="F28631" s="1">
        <v>3.14600079061799E-2</v>
      </c>
    </row>
    <row r="28632" spans="1:6" x14ac:dyDescent="0.25">
      <c r="A28632" s="2" t="str">
        <f t="shared" si="1021"/>
        <v>34540</v>
      </c>
      <c r="B28632" s="2" t="str">
        <f>"44813"</f>
        <v>44813</v>
      </c>
      <c r="C28632" s="1">
        <v>3.89856445383662E-3</v>
      </c>
      <c r="D28632" s="1">
        <v>5.4406964091403603E-4</v>
      </c>
      <c r="E28632" s="1">
        <v>0</v>
      </c>
      <c r="F28632" s="1">
        <v>3.5577809988140701E-3</v>
      </c>
    </row>
    <row r="28633" spans="1:6" x14ac:dyDescent="0.25">
      <c r="A28633" s="2" t="str">
        <f t="shared" si="1021"/>
        <v>34540</v>
      </c>
      <c r="B28633" s="2" t="str">
        <f>"43843"</f>
        <v>43843</v>
      </c>
      <c r="C28633" s="1">
        <v>8.9994899074546299E-3</v>
      </c>
      <c r="D28633" s="1">
        <v>4.35255712731229E-3</v>
      </c>
      <c r="E28633" s="1">
        <v>0</v>
      </c>
      <c r="F28633" s="1">
        <v>8.4003162471998905E-3</v>
      </c>
    </row>
    <row r="28634" spans="1:6" x14ac:dyDescent="0.25">
      <c r="A28634" s="2" t="str">
        <f t="shared" si="1021"/>
        <v>34540</v>
      </c>
      <c r="B28634" s="2" t="str">
        <f>"43037"</f>
        <v>43037</v>
      </c>
      <c r="C28634" s="1">
        <v>2.0403701814471998E-3</v>
      </c>
      <c r="D28634" s="1">
        <v>1.0881392818280699E-3</v>
      </c>
      <c r="E28634" s="1">
        <v>9.3283582089552204E-4</v>
      </c>
      <c r="F28634" s="1">
        <v>1.94360258268546E-3</v>
      </c>
    </row>
    <row r="28635" spans="1:6" x14ac:dyDescent="0.25">
      <c r="A28635" s="2" t="str">
        <f t="shared" si="1021"/>
        <v>34540</v>
      </c>
      <c r="B28635" s="2" t="str">
        <f>"43006"</f>
        <v>43006</v>
      </c>
      <c r="C28635" s="1">
        <v>1.0566202725351499E-3</v>
      </c>
      <c r="D28635" s="1">
        <v>5.4406964091403603E-4</v>
      </c>
      <c r="E28635" s="1">
        <v>0</v>
      </c>
      <c r="F28635" s="1">
        <v>9.8827249967057499E-4</v>
      </c>
    </row>
    <row r="28636" spans="1:6" x14ac:dyDescent="0.25">
      <c r="A28636" s="2" t="str">
        <f t="shared" si="1021"/>
        <v>34540</v>
      </c>
      <c r="B28636" s="2" t="str">
        <f>"43005"</f>
        <v>43005</v>
      </c>
      <c r="C28636" s="1">
        <v>0</v>
      </c>
      <c r="D28636" s="1">
        <v>5.4406964091403603E-4</v>
      </c>
      <c r="E28636" s="1">
        <v>0</v>
      </c>
      <c r="F28636" s="1">
        <v>3.2942416655685801E-5</v>
      </c>
    </row>
    <row r="28637" spans="1:6" x14ac:dyDescent="0.25">
      <c r="A28637" s="2" t="str">
        <f t="shared" si="1021"/>
        <v>34540</v>
      </c>
      <c r="B28637" s="2" t="str">
        <f>"44842"</f>
        <v>44842</v>
      </c>
      <c r="C28637" s="1">
        <v>6.5583327260802999E-4</v>
      </c>
      <c r="D28637" s="1">
        <v>5.4406964091403603E-4</v>
      </c>
      <c r="E28637" s="1">
        <v>0</v>
      </c>
      <c r="F28637" s="1">
        <v>6.2590591645803105E-4</v>
      </c>
    </row>
    <row r="28638" spans="1:6" x14ac:dyDescent="0.25">
      <c r="A28638" s="2" t="str">
        <f t="shared" si="1021"/>
        <v>34540</v>
      </c>
      <c r="B28638" s="2" t="str">
        <f>"43022"</f>
        <v>43022</v>
      </c>
      <c r="C28638" s="1">
        <v>9.1634482256066394E-2</v>
      </c>
      <c r="D28638" s="1">
        <v>9.0315560391730096E-2</v>
      </c>
      <c r="E28638" s="1">
        <v>2.2388059701492501E-2</v>
      </c>
      <c r="F28638" s="1">
        <v>8.9109237053630205E-2</v>
      </c>
    </row>
    <row r="28639" spans="1:6" x14ac:dyDescent="0.25">
      <c r="A28639" s="2" t="str">
        <f t="shared" si="1021"/>
        <v>34540</v>
      </c>
      <c r="B28639" s="2" t="str">
        <f>"43080"</f>
        <v>43080</v>
      </c>
      <c r="C28639" s="1">
        <v>1.8727683451140401E-2</v>
      </c>
      <c r="D28639" s="1">
        <v>4.35255712731229E-3</v>
      </c>
      <c r="E28639" s="1">
        <v>0</v>
      </c>
      <c r="F28639" s="1">
        <v>1.7195941494268001E-2</v>
      </c>
    </row>
    <row r="28640" spans="1:6" x14ac:dyDescent="0.25">
      <c r="A28640" s="2" t="str">
        <f t="shared" si="1021"/>
        <v>34540</v>
      </c>
      <c r="B28640" s="2" t="str">
        <f>"44822"</f>
        <v>44822</v>
      </c>
      <c r="C28640" s="1">
        <v>1.2205785906871601E-2</v>
      </c>
      <c r="D28640" s="1">
        <v>3.2644178454842199E-3</v>
      </c>
      <c r="E28640" s="1">
        <v>0</v>
      </c>
      <c r="F28640" s="1">
        <v>1.12333640795888E-2</v>
      </c>
    </row>
    <row r="28641" spans="1:6" x14ac:dyDescent="0.25">
      <c r="A28641" s="2" t="str">
        <f t="shared" si="1021"/>
        <v>34540</v>
      </c>
      <c r="B28641" s="2" t="str">
        <f>"44903"</f>
        <v>44903</v>
      </c>
      <c r="C28641" s="1">
        <v>0</v>
      </c>
      <c r="D28641" s="1">
        <v>5.4406964091403603E-4</v>
      </c>
      <c r="E28641" s="1">
        <v>0</v>
      </c>
      <c r="F28641" s="1">
        <v>3.2942416655685801E-5</v>
      </c>
    </row>
    <row r="28642" spans="1:6" x14ac:dyDescent="0.25">
      <c r="A28642" s="2" t="str">
        <f t="shared" si="1021"/>
        <v>34540</v>
      </c>
      <c r="B28642" s="2" t="str">
        <f>"44628"</f>
        <v>44628</v>
      </c>
      <c r="C28642" s="1">
        <v>4.5179625446330899E-3</v>
      </c>
      <c r="D28642" s="1">
        <v>2.1762785636561398E-3</v>
      </c>
      <c r="E28642" s="1">
        <v>0</v>
      </c>
      <c r="F28642" s="1">
        <v>4.2166293319277903E-3</v>
      </c>
    </row>
    <row r="28643" spans="1:6" x14ac:dyDescent="0.25">
      <c r="A28643" s="2" t="str">
        <f t="shared" si="1021"/>
        <v>34540</v>
      </c>
      <c r="B28643" s="2" t="str">
        <f>"43011"</f>
        <v>43011</v>
      </c>
      <c r="C28643" s="1">
        <v>7.2287400714129493E-2</v>
      </c>
      <c r="D28643" s="1">
        <v>2.7203482045701801E-2</v>
      </c>
      <c r="E28643" s="1">
        <v>2.6119402985074602E-2</v>
      </c>
      <c r="F28643" s="1">
        <v>6.7927263144024197E-2</v>
      </c>
    </row>
    <row r="28644" spans="1:6" x14ac:dyDescent="0.25">
      <c r="A28644" s="2" t="str">
        <f t="shared" si="1021"/>
        <v>34540</v>
      </c>
      <c r="B28644" s="2" t="str">
        <f>"43822"</f>
        <v>43822</v>
      </c>
      <c r="C28644" s="1">
        <v>5.6474531807913699E-3</v>
      </c>
      <c r="D28644" s="1">
        <v>5.4406964091403603E-4</v>
      </c>
      <c r="E28644" s="1">
        <v>9.3283582089552204E-4</v>
      </c>
      <c r="F28644" s="1">
        <v>5.1719594149426803E-3</v>
      </c>
    </row>
    <row r="28645" spans="1:6" x14ac:dyDescent="0.25">
      <c r="A28645" s="2" t="str">
        <f t="shared" si="1021"/>
        <v>34540</v>
      </c>
      <c r="B28645" s="2" t="str">
        <f>"43019"</f>
        <v>43019</v>
      </c>
      <c r="C28645" s="1">
        <v>0.114260730161043</v>
      </c>
      <c r="D28645" s="1">
        <v>8.5418933623503807E-2</v>
      </c>
      <c r="E28645" s="1">
        <v>0.110074626865671</v>
      </c>
      <c r="F28645" s="1">
        <v>0.112366583212544</v>
      </c>
    </row>
    <row r="28646" spans="1:6" x14ac:dyDescent="0.25">
      <c r="A28646" s="2" t="str">
        <f t="shared" si="1021"/>
        <v>34540</v>
      </c>
      <c r="B28646" s="2" t="str">
        <f>"43048"</f>
        <v>43048</v>
      </c>
      <c r="C28646" s="1">
        <v>7.2870363623114406E-5</v>
      </c>
      <c r="D28646" s="1">
        <v>1.0881392818280699E-3</v>
      </c>
      <c r="E28646" s="1">
        <v>0</v>
      </c>
      <c r="F28646" s="1">
        <v>1.3176966662274299E-4</v>
      </c>
    </row>
    <row r="28647" spans="1:6" x14ac:dyDescent="0.25">
      <c r="A28647" s="2" t="str">
        <f t="shared" si="1021"/>
        <v>34540</v>
      </c>
      <c r="B28647" s="2" t="str">
        <f>"43028"</f>
        <v>43028</v>
      </c>
      <c r="C28647" s="1">
        <v>0.131166654521606</v>
      </c>
      <c r="D28647" s="1">
        <v>2.8835690968443899E-2</v>
      </c>
      <c r="E28647" s="1">
        <v>1.6791044776119399E-2</v>
      </c>
      <c r="F28647" s="1">
        <v>0.120931611543022</v>
      </c>
    </row>
    <row r="28648" spans="1:6" x14ac:dyDescent="0.25">
      <c r="A28648" s="2" t="str">
        <f t="shared" si="1021"/>
        <v>34540</v>
      </c>
      <c r="B28648" s="2" t="str">
        <f>"43050"</f>
        <v>43050</v>
      </c>
      <c r="C28648" s="1">
        <v>0.498761203818407</v>
      </c>
      <c r="D28648" s="1">
        <v>0.73884657236126206</v>
      </c>
      <c r="E28648" s="1">
        <v>0.81623134328358204</v>
      </c>
      <c r="F28648" s="1">
        <v>0.52450915799182996</v>
      </c>
    </row>
    <row r="28649" spans="1:6" x14ac:dyDescent="0.25">
      <c r="A28649" s="2" t="str">
        <f t="shared" ref="A28649:A28663" si="1022">"48940"</f>
        <v>48940</v>
      </c>
      <c r="B28649" s="2" t="str">
        <f>"45335"</f>
        <v>45335</v>
      </c>
      <c r="C28649" s="1">
        <v>2.1350413664264702E-3</v>
      </c>
      <c r="D28649" s="1">
        <v>0</v>
      </c>
      <c r="E28649" s="1">
        <v>0</v>
      </c>
      <c r="F28649" s="1">
        <v>1.9100372457262901E-3</v>
      </c>
    </row>
    <row r="28650" spans="1:6" x14ac:dyDescent="0.25">
      <c r="A28650" s="2" t="str">
        <f t="shared" si="1022"/>
        <v>48940</v>
      </c>
      <c r="B28650" s="2" t="str">
        <f>"45146"</f>
        <v>45146</v>
      </c>
      <c r="C28650" s="1">
        <v>3.2879637042967702E-2</v>
      </c>
      <c r="D28650" s="1">
        <v>2.3219814241485998E-3</v>
      </c>
      <c r="E28650" s="1">
        <v>1.8579234972677501E-2</v>
      </c>
      <c r="F28650" s="1">
        <v>3.0369592207048001E-2</v>
      </c>
    </row>
    <row r="28651" spans="1:6" x14ac:dyDescent="0.25">
      <c r="A28651" s="2" t="str">
        <f t="shared" si="1022"/>
        <v>48940</v>
      </c>
      <c r="B28651" s="2" t="str">
        <f>"45068"</f>
        <v>45068</v>
      </c>
      <c r="C28651" s="1">
        <v>7.4726447824926602E-4</v>
      </c>
      <c r="D28651" s="1">
        <v>0</v>
      </c>
      <c r="E28651" s="1">
        <v>0</v>
      </c>
      <c r="F28651" s="1">
        <v>6.6851303600420204E-4</v>
      </c>
    </row>
    <row r="28652" spans="1:6" x14ac:dyDescent="0.25">
      <c r="A28652" s="2" t="str">
        <f t="shared" si="1022"/>
        <v>48940</v>
      </c>
      <c r="B28652" s="2" t="str">
        <f>"45164"</f>
        <v>45164</v>
      </c>
      <c r="C28652" s="1">
        <v>4.8572191086202199E-3</v>
      </c>
      <c r="D28652" s="1">
        <v>7.73993808049535E-4</v>
      </c>
      <c r="E28652" s="1">
        <v>0</v>
      </c>
      <c r="F28652" s="1">
        <v>4.3930856651704696E-3</v>
      </c>
    </row>
    <row r="28653" spans="1:6" x14ac:dyDescent="0.25">
      <c r="A28653" s="2" t="str">
        <f t="shared" si="1022"/>
        <v>48940</v>
      </c>
      <c r="B28653" s="2" t="str">
        <f>"45148"</f>
        <v>45148</v>
      </c>
      <c r="C28653" s="1">
        <v>3.2826261008806999E-2</v>
      </c>
      <c r="D28653" s="1">
        <v>1.00619195046439E-2</v>
      </c>
      <c r="E28653" s="1">
        <v>8.7431693989071003E-3</v>
      </c>
      <c r="F28653" s="1">
        <v>3.0369592207048001E-2</v>
      </c>
    </row>
    <row r="28654" spans="1:6" x14ac:dyDescent="0.25">
      <c r="A28654" s="2" t="str">
        <f t="shared" si="1022"/>
        <v>48940</v>
      </c>
      <c r="B28654" s="2" t="str">
        <f>"45177"</f>
        <v>45177</v>
      </c>
      <c r="C28654" s="1">
        <v>0.54411529223378696</v>
      </c>
      <c r="D28654" s="1">
        <v>0.72368421052631504</v>
      </c>
      <c r="E28654" s="1">
        <v>0.77267759562841498</v>
      </c>
      <c r="F28654" s="1">
        <v>0.56518002101040898</v>
      </c>
    </row>
    <row r="28655" spans="1:6" x14ac:dyDescent="0.25">
      <c r="A28655" s="2" t="str">
        <f t="shared" si="1022"/>
        <v>48940</v>
      </c>
      <c r="B28655" s="2" t="str">
        <f>"45142"</f>
        <v>45142</v>
      </c>
      <c r="C28655" s="1">
        <v>1.0942087002935599E-2</v>
      </c>
      <c r="D28655" s="1">
        <v>3.09597523219814E-3</v>
      </c>
      <c r="E28655" s="1">
        <v>0</v>
      </c>
      <c r="F28655" s="1">
        <v>9.9799446089198704E-3</v>
      </c>
    </row>
    <row r="28656" spans="1:6" x14ac:dyDescent="0.25">
      <c r="A28656" s="2" t="str">
        <f t="shared" si="1022"/>
        <v>48940</v>
      </c>
      <c r="B28656" s="2" t="str">
        <f>"43160"</f>
        <v>43160</v>
      </c>
      <c r="C28656" s="1">
        <v>5.3376034160661799E-5</v>
      </c>
      <c r="D28656" s="1">
        <v>0</v>
      </c>
      <c r="E28656" s="1">
        <v>0</v>
      </c>
      <c r="F28656" s="1">
        <v>4.7750931143157203E-5</v>
      </c>
    </row>
    <row r="28657" spans="1:6" x14ac:dyDescent="0.25">
      <c r="A28657" s="2" t="str">
        <f t="shared" si="1022"/>
        <v>48940</v>
      </c>
      <c r="B28657" s="2" t="str">
        <f>"45107"</f>
        <v>45107</v>
      </c>
      <c r="C28657" s="1">
        <v>0.15340272217774201</v>
      </c>
      <c r="D28657" s="1">
        <v>0.15170278637770801</v>
      </c>
      <c r="E28657" s="1">
        <v>0.110382513661202</v>
      </c>
      <c r="F28657" s="1">
        <v>0.15141820265495101</v>
      </c>
    </row>
    <row r="28658" spans="1:6" x14ac:dyDescent="0.25">
      <c r="A28658" s="2" t="str">
        <f t="shared" si="1022"/>
        <v>48940</v>
      </c>
      <c r="B28658" s="2" t="str">
        <f>"45385"</f>
        <v>45385</v>
      </c>
      <c r="C28658" s="1">
        <v>1.60128102481985E-4</v>
      </c>
      <c r="D28658" s="1">
        <v>0</v>
      </c>
      <c r="E28658" s="1">
        <v>0</v>
      </c>
      <c r="F28658" s="1">
        <v>1.4325279342947101E-4</v>
      </c>
    </row>
    <row r="28659" spans="1:6" x14ac:dyDescent="0.25">
      <c r="A28659" s="2" t="str">
        <f t="shared" si="1022"/>
        <v>48940</v>
      </c>
      <c r="B28659" s="2" t="str">
        <f>"45166"</f>
        <v>45166</v>
      </c>
      <c r="C28659" s="1">
        <v>0</v>
      </c>
      <c r="D28659" s="1">
        <v>0</v>
      </c>
      <c r="E28659" s="1">
        <v>1.09289617486338E-3</v>
      </c>
      <c r="F28659" s="1">
        <v>4.7750931143157203E-5</v>
      </c>
    </row>
    <row r="28660" spans="1:6" x14ac:dyDescent="0.25">
      <c r="A28660" s="2" t="str">
        <f t="shared" si="1022"/>
        <v>48940</v>
      </c>
      <c r="B28660" s="2" t="str">
        <f>"45169"</f>
        <v>45169</v>
      </c>
      <c r="C28660" s="1">
        <v>0.108833733653589</v>
      </c>
      <c r="D28660" s="1">
        <v>8.5913312693498403E-2</v>
      </c>
      <c r="E28660" s="1">
        <v>4.8087431693988998E-2</v>
      </c>
      <c r="F28660" s="1">
        <v>0.104765542928087</v>
      </c>
    </row>
    <row r="28661" spans="1:6" x14ac:dyDescent="0.25">
      <c r="A28661" s="2" t="str">
        <f t="shared" si="1022"/>
        <v>48940</v>
      </c>
      <c r="B28661" s="2" t="str">
        <f>"45159"</f>
        <v>45159</v>
      </c>
      <c r="C28661" s="1">
        <v>5.2949025887376502E-2</v>
      </c>
      <c r="D28661" s="1">
        <v>1.3157894736842099E-2</v>
      </c>
      <c r="E28661" s="1">
        <v>2.1857923497267701E-2</v>
      </c>
      <c r="F28661" s="1">
        <v>4.9135708146308799E-2</v>
      </c>
    </row>
    <row r="28662" spans="1:6" x14ac:dyDescent="0.25">
      <c r="A28662" s="2" t="str">
        <f t="shared" si="1022"/>
        <v>48940</v>
      </c>
      <c r="B28662" s="2" t="str">
        <f>"45135"</f>
        <v>45135</v>
      </c>
      <c r="C28662" s="1">
        <v>2.4552975713904401E-3</v>
      </c>
      <c r="D28662" s="1">
        <v>0</v>
      </c>
      <c r="E28662" s="1">
        <v>0</v>
      </c>
      <c r="F28662" s="1">
        <v>2.19654283258523E-3</v>
      </c>
    </row>
    <row r="28663" spans="1:6" x14ac:dyDescent="0.25">
      <c r="A28663" s="2" t="str">
        <f t="shared" si="1022"/>
        <v>48940</v>
      </c>
      <c r="B28663" s="2" t="str">
        <f>"45113"</f>
        <v>45113</v>
      </c>
      <c r="C28663" s="1">
        <v>5.3642914331465098E-2</v>
      </c>
      <c r="D28663" s="1">
        <v>9.28792569659442E-3</v>
      </c>
      <c r="E28663" s="1">
        <v>1.8579234972677501E-2</v>
      </c>
      <c r="F28663" s="1">
        <v>4.93744628020246E-2</v>
      </c>
    </row>
    <row r="28664" spans="1:6" x14ac:dyDescent="0.25">
      <c r="A28664" s="2" t="str">
        <f t="shared" ref="A28664:A28682" si="1023">"23380"</f>
        <v>23380</v>
      </c>
      <c r="B28664" s="2" t="str">
        <f>"44841"</f>
        <v>44841</v>
      </c>
      <c r="C28664" s="1">
        <v>3.2306773887698799E-3</v>
      </c>
      <c r="D28664" s="1">
        <v>1.6666666666666601E-3</v>
      </c>
      <c r="E28664" s="1">
        <v>0</v>
      </c>
      <c r="F28664" s="1">
        <v>3.0062944289606301E-3</v>
      </c>
    </row>
    <row r="28665" spans="1:6" x14ac:dyDescent="0.25">
      <c r="A28665" s="2" t="str">
        <f t="shared" si="1023"/>
        <v>23380</v>
      </c>
      <c r="B28665" s="2" t="str">
        <f>"43406"</f>
        <v>43406</v>
      </c>
      <c r="C28665" s="1">
        <v>1.2641781086490801E-3</v>
      </c>
      <c r="D28665" s="1">
        <v>0</v>
      </c>
      <c r="E28665" s="1">
        <v>0</v>
      </c>
      <c r="F28665" s="1">
        <v>1.1273604108602299E-3</v>
      </c>
    </row>
    <row r="28666" spans="1:6" x14ac:dyDescent="0.25">
      <c r="A28666" s="2" t="str">
        <f t="shared" si="1023"/>
        <v>23380</v>
      </c>
      <c r="B28666" s="2" t="str">
        <f>"44811"</f>
        <v>44811</v>
      </c>
      <c r="C28666" s="1">
        <v>9.6814973487375694E-2</v>
      </c>
      <c r="D28666" s="1">
        <v>8.0416666666666595E-2</v>
      </c>
      <c r="E28666" s="1">
        <v>8.8068181818181795E-2</v>
      </c>
      <c r="F28666" s="1">
        <v>9.5293270284658504E-2</v>
      </c>
    </row>
    <row r="28667" spans="1:6" x14ac:dyDescent="0.25">
      <c r="A28667" s="2" t="str">
        <f t="shared" si="1023"/>
        <v>23380</v>
      </c>
      <c r="B28667" s="2" t="str">
        <f>"43416"</f>
        <v>43416</v>
      </c>
      <c r="C28667" s="1">
        <v>1.6855708115321099E-3</v>
      </c>
      <c r="D28667" s="1">
        <v>4.1666666666666599E-4</v>
      </c>
      <c r="E28667" s="1">
        <v>0</v>
      </c>
      <c r="F28667" s="1">
        <v>1.53446278144865E-3</v>
      </c>
    </row>
    <row r="28668" spans="1:6" x14ac:dyDescent="0.25">
      <c r="A28668" s="2" t="str">
        <f t="shared" si="1023"/>
        <v>23380</v>
      </c>
      <c r="B28668" s="2" t="str">
        <f>"43410"</f>
        <v>43410</v>
      </c>
      <c r="C28668" s="1">
        <v>0.15654738912104499</v>
      </c>
      <c r="D28668" s="1">
        <v>0.13125000000000001</v>
      </c>
      <c r="E28668" s="1">
        <v>0.16287878787878701</v>
      </c>
      <c r="F28668" s="1">
        <v>0.15485547865844099</v>
      </c>
    </row>
    <row r="28669" spans="1:6" x14ac:dyDescent="0.25">
      <c r="A28669" s="2" t="str">
        <f t="shared" si="1023"/>
        <v>23380</v>
      </c>
      <c r="B28669" s="2" t="str">
        <f>"43435"</f>
        <v>43435</v>
      </c>
      <c r="C28669" s="1">
        <v>2.04375460898268E-2</v>
      </c>
      <c r="D28669" s="1">
        <v>4.1666666666666597E-3</v>
      </c>
      <c r="E28669" s="1">
        <v>1.8939393939393901E-3</v>
      </c>
      <c r="F28669" s="1">
        <v>1.8601446779193901E-2</v>
      </c>
    </row>
    <row r="28670" spans="1:6" x14ac:dyDescent="0.25">
      <c r="A28670" s="2" t="str">
        <f t="shared" si="1023"/>
        <v>23380</v>
      </c>
      <c r="B28670" s="2" t="str">
        <f>"43469"</f>
        <v>43469</v>
      </c>
      <c r="C28670" s="1">
        <v>4.4421814095585897E-2</v>
      </c>
      <c r="D28670" s="1">
        <v>0.04</v>
      </c>
      <c r="E28670" s="1">
        <v>2.7462121212121202E-2</v>
      </c>
      <c r="F28670" s="1">
        <v>4.3528638085992499E-2</v>
      </c>
    </row>
    <row r="28671" spans="1:6" x14ac:dyDescent="0.25">
      <c r="A28671" s="2" t="str">
        <f t="shared" si="1023"/>
        <v>23380</v>
      </c>
      <c r="B28671" s="2" t="str">
        <f>"44824"</f>
        <v>44824</v>
      </c>
      <c r="C28671" s="1">
        <v>1.33441022579625E-3</v>
      </c>
      <c r="D28671" s="1">
        <v>0</v>
      </c>
      <c r="E28671" s="1">
        <v>0</v>
      </c>
      <c r="F28671" s="1">
        <v>1.1899915447969099E-3</v>
      </c>
    </row>
    <row r="28672" spans="1:6" x14ac:dyDescent="0.25">
      <c r="A28672" s="2" t="str">
        <f t="shared" si="1023"/>
        <v>23380</v>
      </c>
      <c r="B28672" s="2" t="str">
        <f>"43442"</f>
        <v>43442</v>
      </c>
      <c r="C28672" s="1">
        <v>1.4222003722302199E-2</v>
      </c>
      <c r="D28672" s="1">
        <v>5.4166666666666599E-3</v>
      </c>
      <c r="E28672" s="1">
        <v>3.7878787878787802E-3</v>
      </c>
      <c r="F28672" s="1">
        <v>1.32151692606394E-2</v>
      </c>
    </row>
    <row r="28673" spans="1:6" x14ac:dyDescent="0.25">
      <c r="A28673" s="2" t="str">
        <f t="shared" si="1023"/>
        <v>23380</v>
      </c>
      <c r="B28673" s="2" t="str">
        <f>"43431"</f>
        <v>43431</v>
      </c>
      <c r="C28673" s="1">
        <v>7.0232117147171397E-2</v>
      </c>
      <c r="D28673" s="1">
        <v>5.3333333333333302E-2</v>
      </c>
      <c r="E28673" s="1">
        <v>6.4393939393939295E-2</v>
      </c>
      <c r="F28673" s="1">
        <v>6.8768985062474502E-2</v>
      </c>
    </row>
    <row r="28674" spans="1:6" x14ac:dyDescent="0.25">
      <c r="A28674" s="2" t="str">
        <f t="shared" si="1023"/>
        <v>23380</v>
      </c>
      <c r="B28674" s="2" t="str">
        <f>"43457"</f>
        <v>43457</v>
      </c>
      <c r="C28674" s="1">
        <v>5.9697299575095604E-3</v>
      </c>
      <c r="D28674" s="1">
        <v>4.1666666666666599E-4</v>
      </c>
      <c r="E28674" s="1">
        <v>0</v>
      </c>
      <c r="F28674" s="1">
        <v>5.3549619515861303E-3</v>
      </c>
    </row>
    <row r="28675" spans="1:6" x14ac:dyDescent="0.25">
      <c r="A28675" s="2" t="str">
        <f t="shared" si="1023"/>
        <v>23380</v>
      </c>
      <c r="B28675" s="2" t="str">
        <f>"43407"</f>
        <v>43407</v>
      </c>
      <c r="C28675" s="1">
        <v>8.2873898233662199E-3</v>
      </c>
      <c r="D28675" s="1">
        <v>8.3333333333333295E-4</v>
      </c>
      <c r="E28675" s="1">
        <v>9.4696969696969602E-4</v>
      </c>
      <c r="F28675" s="1">
        <v>7.4844205054332502E-3</v>
      </c>
    </row>
    <row r="28676" spans="1:6" x14ac:dyDescent="0.25">
      <c r="A28676" s="2" t="str">
        <f t="shared" si="1023"/>
        <v>23380</v>
      </c>
      <c r="B28676" s="2" t="str">
        <f>"43443"</f>
        <v>43443</v>
      </c>
      <c r="C28676" s="1">
        <v>7.02321171471714E-5</v>
      </c>
      <c r="D28676" s="1">
        <v>0</v>
      </c>
      <c r="E28676" s="1">
        <v>0</v>
      </c>
      <c r="F28676" s="1">
        <v>6.2631133936679893E-5</v>
      </c>
    </row>
    <row r="28677" spans="1:6" x14ac:dyDescent="0.25">
      <c r="A28677" s="2" t="str">
        <f t="shared" si="1023"/>
        <v>23380</v>
      </c>
      <c r="B28677" s="2" t="str">
        <f>"43464"</f>
        <v>43464</v>
      </c>
      <c r="C28677" s="1">
        <v>1.7628261403939999E-2</v>
      </c>
      <c r="D28677" s="1">
        <v>4.5833333333333299E-3</v>
      </c>
      <c r="E28677" s="1">
        <v>9.4696969696969602E-4</v>
      </c>
      <c r="F28677" s="1">
        <v>1.60962014217267E-2</v>
      </c>
    </row>
    <row r="28678" spans="1:6" x14ac:dyDescent="0.25">
      <c r="A28678" s="2" t="str">
        <f t="shared" si="1023"/>
        <v>23380</v>
      </c>
      <c r="B28678" s="2" t="str">
        <f>"44836"</f>
        <v>44836</v>
      </c>
      <c r="C28678" s="1">
        <v>1.3730378902272E-2</v>
      </c>
      <c r="D28678" s="1">
        <v>4.1666666666666597E-3</v>
      </c>
      <c r="E28678" s="1">
        <v>5.6818181818181802E-3</v>
      </c>
      <c r="F28678" s="1">
        <v>1.2745435756114301E-2</v>
      </c>
    </row>
    <row r="28679" spans="1:6" x14ac:dyDescent="0.25">
      <c r="A28679" s="2" t="str">
        <f t="shared" si="1023"/>
        <v>23380</v>
      </c>
      <c r="B28679" s="2" t="str">
        <f>"43450"</f>
        <v>43450</v>
      </c>
      <c r="C28679" s="1">
        <v>2.1069635144151401E-4</v>
      </c>
      <c r="D28679" s="1">
        <v>0</v>
      </c>
      <c r="E28679" s="1">
        <v>0</v>
      </c>
      <c r="F28679" s="1">
        <v>1.87893401810039E-4</v>
      </c>
    </row>
    <row r="28680" spans="1:6" x14ac:dyDescent="0.25">
      <c r="A28680" s="2" t="str">
        <f t="shared" si="1023"/>
        <v>23380</v>
      </c>
      <c r="B28680" s="2" t="str">
        <f>"43449"</f>
        <v>43449</v>
      </c>
      <c r="C28680" s="1">
        <v>9.8324964006039905E-4</v>
      </c>
      <c r="D28680" s="1">
        <v>0</v>
      </c>
      <c r="E28680" s="1">
        <v>0</v>
      </c>
      <c r="F28680" s="1">
        <v>8.7683587511351796E-4</v>
      </c>
    </row>
    <row r="28681" spans="1:6" x14ac:dyDescent="0.25">
      <c r="A28681" s="2" t="str">
        <f t="shared" si="1023"/>
        <v>23380</v>
      </c>
      <c r="B28681" s="2" t="str">
        <f>"43430"</f>
        <v>43430</v>
      </c>
      <c r="C28681" s="1">
        <v>1.0183656986339799E-3</v>
      </c>
      <c r="D28681" s="1">
        <v>7.0833333333333304E-3</v>
      </c>
      <c r="E28681" s="1">
        <v>5.6818181818181802E-3</v>
      </c>
      <c r="F28681" s="1">
        <v>1.62840948235367E-3</v>
      </c>
    </row>
    <row r="28682" spans="1:6" x14ac:dyDescent="0.25">
      <c r="A28682" s="2" t="str">
        <f t="shared" si="1023"/>
        <v>23380</v>
      </c>
      <c r="B28682" s="2" t="str">
        <f>"43420"</f>
        <v>43420</v>
      </c>
      <c r="C28682" s="1">
        <v>0.54191101590757396</v>
      </c>
      <c r="D28682" s="1">
        <v>0.66625000000000001</v>
      </c>
      <c r="E28682" s="1">
        <v>0.63825757575757502</v>
      </c>
      <c r="F28682" s="1">
        <v>0.55444211317445902</v>
      </c>
    </row>
    <row r="28683" spans="1:6" x14ac:dyDescent="0.25">
      <c r="A28683" s="2" t="str">
        <f t="shared" ref="A28683:A28703" si="1024">"47540"</f>
        <v>47540</v>
      </c>
      <c r="B28683" s="2" t="str">
        <f>"45887"</f>
        <v>45887</v>
      </c>
      <c r="C28683" s="1">
        <v>1.0862556420812399E-2</v>
      </c>
      <c r="D28683" s="1">
        <v>2.6648900732844701E-3</v>
      </c>
      <c r="E28683" s="1">
        <v>0</v>
      </c>
      <c r="F28683" s="1">
        <v>1.00927811722109E-2</v>
      </c>
    </row>
    <row r="28684" spans="1:6" x14ac:dyDescent="0.25">
      <c r="A28684" s="2" t="str">
        <f t="shared" si="1024"/>
        <v>47540</v>
      </c>
      <c r="B28684" s="2" t="str">
        <f>"45850"</f>
        <v>45850</v>
      </c>
      <c r="C28684" s="1">
        <v>8.9281285650513297E-4</v>
      </c>
      <c r="D28684" s="1">
        <v>0</v>
      </c>
      <c r="E28684" s="1">
        <v>0</v>
      </c>
      <c r="F28684" s="1">
        <v>8.1466395112016199E-4</v>
      </c>
    </row>
    <row r="28685" spans="1:6" x14ac:dyDescent="0.25">
      <c r="A28685" s="2" t="str">
        <f t="shared" si="1024"/>
        <v>47540</v>
      </c>
      <c r="B28685" s="2" t="str">
        <f>"45862"</f>
        <v>45862</v>
      </c>
      <c r="C28685" s="1">
        <v>5.45607856753137E-4</v>
      </c>
      <c r="D28685" s="1">
        <v>0</v>
      </c>
      <c r="E28685" s="1">
        <v>0</v>
      </c>
      <c r="F28685" s="1">
        <v>4.9785019235121003E-4</v>
      </c>
    </row>
    <row r="28686" spans="1:6" x14ac:dyDescent="0.25">
      <c r="A28686" s="2" t="str">
        <f t="shared" si="1024"/>
        <v>47540</v>
      </c>
      <c r="B28686" s="2" t="str">
        <f>"45854"</f>
        <v>45854</v>
      </c>
      <c r="C28686" s="1">
        <v>4.9600714250285198E-5</v>
      </c>
      <c r="D28686" s="1">
        <v>0</v>
      </c>
      <c r="E28686" s="1">
        <v>0</v>
      </c>
      <c r="F28686" s="1">
        <v>4.52591083955646E-5</v>
      </c>
    </row>
    <row r="28687" spans="1:6" x14ac:dyDescent="0.25">
      <c r="A28687" s="2" t="str">
        <f t="shared" si="1024"/>
        <v>47540</v>
      </c>
      <c r="B28687" s="2" t="str">
        <f>"45819"</f>
        <v>45819</v>
      </c>
      <c r="C28687" s="1">
        <v>5.1088735677793703E-3</v>
      </c>
      <c r="D28687" s="1">
        <v>4.6635576282478301E-3</v>
      </c>
      <c r="E28687" s="1">
        <v>2.3094688221708998E-3</v>
      </c>
      <c r="F28687" s="1">
        <v>5.0237610319076699E-3</v>
      </c>
    </row>
    <row r="28688" spans="1:6" x14ac:dyDescent="0.25">
      <c r="A28688" s="2" t="str">
        <f t="shared" si="1024"/>
        <v>47540</v>
      </c>
      <c r="B28688" s="2" t="str">
        <f>"45885"</f>
        <v>45885</v>
      </c>
      <c r="C28688" s="1">
        <v>0.29690987550220699</v>
      </c>
      <c r="D28688" s="1">
        <v>0.29247168554297098</v>
      </c>
      <c r="E28688" s="1">
        <v>0.22401847575057701</v>
      </c>
      <c r="F28688" s="1">
        <v>0.29517990495587199</v>
      </c>
    </row>
    <row r="28689" spans="1:6" x14ac:dyDescent="0.25">
      <c r="A28689" s="2" t="str">
        <f t="shared" si="1024"/>
        <v>47540</v>
      </c>
      <c r="B28689" s="2" t="str">
        <f>"45896"</f>
        <v>45896</v>
      </c>
      <c r="C28689" s="1">
        <v>3.5067704974951597E-2</v>
      </c>
      <c r="D28689" s="1">
        <v>2.06528980679546E-2</v>
      </c>
      <c r="E28689" s="1">
        <v>1.6166281755196299E-2</v>
      </c>
      <c r="F28689" s="1">
        <v>3.3718035754695598E-2</v>
      </c>
    </row>
    <row r="28690" spans="1:6" x14ac:dyDescent="0.25">
      <c r="A28690" s="2" t="str">
        <f t="shared" si="1024"/>
        <v>47540</v>
      </c>
      <c r="B28690" s="2" t="str">
        <f>"45869"</f>
        <v>45869</v>
      </c>
      <c r="C28690" s="1">
        <v>9.2455731362531601E-2</v>
      </c>
      <c r="D28690" s="1">
        <v>0.10393071285809399</v>
      </c>
      <c r="E28690" s="1">
        <v>7.1593533487297897E-2</v>
      </c>
      <c r="F28690" s="1">
        <v>9.2826431319303002E-2</v>
      </c>
    </row>
    <row r="28691" spans="1:6" x14ac:dyDescent="0.25">
      <c r="A28691" s="2" t="str">
        <f t="shared" si="1024"/>
        <v>47540</v>
      </c>
      <c r="B28691" s="2" t="str">
        <f>"45888"</f>
        <v>45888</v>
      </c>
      <c r="C28691" s="1">
        <v>1.6368235702594099E-3</v>
      </c>
      <c r="D28691" s="1">
        <v>0</v>
      </c>
      <c r="E28691" s="1">
        <v>2.3094688221708998E-3</v>
      </c>
      <c r="F28691" s="1">
        <v>1.53880968544919E-3</v>
      </c>
    </row>
    <row r="28692" spans="1:6" x14ac:dyDescent="0.25">
      <c r="A28692" s="2" t="str">
        <f t="shared" si="1024"/>
        <v>47540</v>
      </c>
      <c r="B28692" s="2" t="str">
        <f>"45334"</f>
        <v>45334</v>
      </c>
      <c r="C28692" s="1">
        <v>4.9600714250285199E-4</v>
      </c>
      <c r="D28692" s="1">
        <v>0</v>
      </c>
      <c r="E28692" s="1">
        <v>0</v>
      </c>
      <c r="F28692" s="1">
        <v>4.52591083955646E-4</v>
      </c>
    </row>
    <row r="28693" spans="1:6" x14ac:dyDescent="0.25">
      <c r="A28693" s="2" t="str">
        <f t="shared" si="1024"/>
        <v>47540</v>
      </c>
      <c r="B28693" s="2" t="str">
        <f>"45895"</f>
        <v>45895</v>
      </c>
      <c r="C28693" s="1">
        <v>0.38802638757998098</v>
      </c>
      <c r="D28693" s="1">
        <v>0.40506329113924</v>
      </c>
      <c r="E28693" s="1">
        <v>0.54965357967667405</v>
      </c>
      <c r="F28693" s="1">
        <v>0.39235121068114898</v>
      </c>
    </row>
    <row r="28694" spans="1:6" x14ac:dyDescent="0.25">
      <c r="A28694" s="2" t="str">
        <f t="shared" si="1024"/>
        <v>47540</v>
      </c>
      <c r="B28694" s="2" t="str">
        <f>"45845"</f>
        <v>45845</v>
      </c>
      <c r="C28694" s="1">
        <v>4.9600714250285199E-4</v>
      </c>
      <c r="D28694" s="1">
        <v>0</v>
      </c>
      <c r="E28694" s="1">
        <v>0</v>
      </c>
      <c r="F28694" s="1">
        <v>4.52591083955646E-4</v>
      </c>
    </row>
    <row r="28695" spans="1:6" x14ac:dyDescent="0.25">
      <c r="A28695" s="2" t="str">
        <f t="shared" si="1024"/>
        <v>47540</v>
      </c>
      <c r="B28695" s="2" t="str">
        <f>"45306"</f>
        <v>45306</v>
      </c>
      <c r="C28695" s="1">
        <v>1.14081642775655E-3</v>
      </c>
      <c r="D28695" s="1">
        <v>0</v>
      </c>
      <c r="E28695" s="1">
        <v>0</v>
      </c>
      <c r="F28695" s="1">
        <v>1.0409594930979799E-3</v>
      </c>
    </row>
    <row r="28696" spans="1:6" x14ac:dyDescent="0.25">
      <c r="A28696" s="2" t="str">
        <f t="shared" si="1024"/>
        <v>47540</v>
      </c>
      <c r="B28696" s="2" t="str">
        <f>"45884"</f>
        <v>45884</v>
      </c>
      <c r="C28696" s="1">
        <v>1.14081642775655E-3</v>
      </c>
      <c r="D28696" s="1">
        <v>0</v>
      </c>
      <c r="E28696" s="1">
        <v>2.3094688221708998E-3</v>
      </c>
      <c r="F28696" s="1">
        <v>1.08621860149355E-3</v>
      </c>
    </row>
    <row r="28697" spans="1:6" x14ac:dyDescent="0.25">
      <c r="A28697" s="2" t="str">
        <f t="shared" si="1024"/>
        <v>47540</v>
      </c>
      <c r="B28697" s="2" t="str">
        <f>"45871"</f>
        <v>45871</v>
      </c>
      <c r="C28697" s="1">
        <v>2.00386885571152E-2</v>
      </c>
      <c r="D28697" s="1">
        <v>1.99866755496335E-3</v>
      </c>
      <c r="E28697" s="1">
        <v>6.9284064665126998E-3</v>
      </c>
      <c r="F28697" s="1">
        <v>1.85562344421814E-2</v>
      </c>
    </row>
    <row r="28698" spans="1:6" x14ac:dyDescent="0.25">
      <c r="A28698" s="2" t="str">
        <f t="shared" si="1024"/>
        <v>47540</v>
      </c>
      <c r="B28698" s="2" t="str">
        <f>"45870"</f>
        <v>45870</v>
      </c>
      <c r="C28698" s="1">
        <v>0</v>
      </c>
      <c r="D28698" s="1">
        <v>6.6622251832111905E-4</v>
      </c>
      <c r="E28698" s="1">
        <v>0</v>
      </c>
      <c r="F28698" s="1">
        <v>4.52591083955646E-5</v>
      </c>
    </row>
    <row r="28699" spans="1:6" x14ac:dyDescent="0.25">
      <c r="A28699" s="2" t="str">
        <f t="shared" si="1024"/>
        <v>47540</v>
      </c>
      <c r="B28699" s="2" t="str">
        <f>"45865"</f>
        <v>45865</v>
      </c>
      <c r="C28699" s="1">
        <v>7.6137096374187696E-2</v>
      </c>
      <c r="D28699" s="1">
        <v>0.122584943371085</v>
      </c>
      <c r="E28699" s="1">
        <v>4.3879907621247098E-2</v>
      </c>
      <c r="F28699" s="1">
        <v>7.8660330391491201E-2</v>
      </c>
    </row>
    <row r="28700" spans="1:6" x14ac:dyDescent="0.25">
      <c r="A28700" s="2" t="str">
        <f t="shared" si="1024"/>
        <v>47540</v>
      </c>
      <c r="B28700" s="2" t="str">
        <f>"45801"</f>
        <v>45801</v>
      </c>
      <c r="C28700" s="1">
        <v>3.0752442835176798E-3</v>
      </c>
      <c r="D28700" s="1">
        <v>3.9973351099267104E-3</v>
      </c>
      <c r="E28700" s="1">
        <v>1.38568129330254E-2</v>
      </c>
      <c r="F28700" s="1">
        <v>3.3491740212717798E-3</v>
      </c>
    </row>
    <row r="28701" spans="1:6" x14ac:dyDescent="0.25">
      <c r="A28701" s="2" t="str">
        <f t="shared" si="1024"/>
        <v>47540</v>
      </c>
      <c r="B28701" s="2" t="str">
        <f>"45822"</f>
        <v>45822</v>
      </c>
      <c r="C28701" s="1">
        <v>4.9600714250285198E-5</v>
      </c>
      <c r="D28701" s="1">
        <v>0</v>
      </c>
      <c r="E28701" s="1">
        <v>0</v>
      </c>
      <c r="F28701" s="1">
        <v>4.52591083955646E-5</v>
      </c>
    </row>
    <row r="28702" spans="1:6" x14ac:dyDescent="0.25">
      <c r="A28702" s="2" t="str">
        <f t="shared" si="1024"/>
        <v>47540</v>
      </c>
      <c r="B28702" s="2" t="str">
        <f>"45806"</f>
        <v>45806</v>
      </c>
      <c r="C28702" s="1">
        <v>6.3488914240364999E-2</v>
      </c>
      <c r="D28702" s="1">
        <v>4.1305796135909303E-2</v>
      </c>
      <c r="E28702" s="1">
        <v>6.23556581986143E-2</v>
      </c>
      <c r="F28702" s="1">
        <v>6.1959719393527901E-2</v>
      </c>
    </row>
    <row r="28703" spans="1:6" x14ac:dyDescent="0.25">
      <c r="A28703" s="2" t="str">
        <f t="shared" si="1024"/>
        <v>47540</v>
      </c>
      <c r="B28703" s="2" t="str">
        <f>"43331"</f>
        <v>43331</v>
      </c>
      <c r="C28703" s="1">
        <v>2.3808342840136798E-3</v>
      </c>
      <c r="D28703" s="1">
        <v>0</v>
      </c>
      <c r="E28703" s="1">
        <v>4.6189376443417996E-3</v>
      </c>
      <c r="F28703" s="1">
        <v>2.2629554197782301E-3</v>
      </c>
    </row>
    <row r="28704" spans="1:6" x14ac:dyDescent="0.25">
      <c r="A28704" s="2" t="str">
        <f t="shared" ref="A28704:A28731" si="1025">"35420"</f>
        <v>35420</v>
      </c>
      <c r="B28704" s="2" t="str">
        <f>"44678"</f>
        <v>44678</v>
      </c>
      <c r="C28704" s="1">
        <v>0</v>
      </c>
      <c r="D28704" s="1">
        <v>0</v>
      </c>
      <c r="E28704" s="1">
        <v>8.8339222614840902E-4</v>
      </c>
      <c r="F28704" s="1">
        <v>2.1755210372884299E-5</v>
      </c>
    </row>
    <row r="28705" spans="1:6" x14ac:dyDescent="0.25">
      <c r="A28705" s="2" t="str">
        <f t="shared" si="1025"/>
        <v>35420</v>
      </c>
      <c r="B28705" s="2" t="str">
        <f>"44622"</f>
        <v>44622</v>
      </c>
      <c r="C28705" s="1">
        <v>0.216185584412452</v>
      </c>
      <c r="D28705" s="1">
        <v>0.27845468053491801</v>
      </c>
      <c r="E28705" s="1">
        <v>0.17667844522968101</v>
      </c>
      <c r="F28705" s="1">
        <v>0.21977113518687699</v>
      </c>
    </row>
    <row r="28706" spans="1:6" x14ac:dyDescent="0.25">
      <c r="A28706" s="2" t="str">
        <f t="shared" si="1025"/>
        <v>35420</v>
      </c>
      <c r="B28706" s="2" t="str">
        <f>"44682"</f>
        <v>44682</v>
      </c>
      <c r="C28706" s="1">
        <v>2.4114398707468201E-5</v>
      </c>
      <c r="D28706" s="1">
        <v>0</v>
      </c>
      <c r="E28706" s="1">
        <v>8.8339222614840902E-4</v>
      </c>
      <c r="F28706" s="1">
        <v>4.3510420745768597E-5</v>
      </c>
    </row>
    <row r="28707" spans="1:6" x14ac:dyDescent="0.25">
      <c r="A28707" s="2" t="str">
        <f t="shared" si="1025"/>
        <v>35420</v>
      </c>
      <c r="B28707" s="2" t="str">
        <f>"44626"</f>
        <v>44626</v>
      </c>
      <c r="C28707" s="1">
        <v>8.1988955605391902E-4</v>
      </c>
      <c r="D28707" s="1">
        <v>0</v>
      </c>
      <c r="E28707" s="1">
        <v>0</v>
      </c>
      <c r="F28707" s="1">
        <v>7.3967715267806604E-4</v>
      </c>
    </row>
    <row r="28708" spans="1:6" x14ac:dyDescent="0.25">
      <c r="A28708" s="2" t="str">
        <f t="shared" si="1025"/>
        <v>35420</v>
      </c>
      <c r="B28708" s="2" t="str">
        <f>"44621"</f>
        <v>44621</v>
      </c>
      <c r="C28708" s="1">
        <v>4.9145144565820198E-2</v>
      </c>
      <c r="D28708" s="1">
        <v>2.82317979197622E-2</v>
      </c>
      <c r="E28708" s="1">
        <v>2.20848056537102E-2</v>
      </c>
      <c r="F28708" s="1">
        <v>4.6947743984684299E-2</v>
      </c>
    </row>
    <row r="28709" spans="1:6" x14ac:dyDescent="0.25">
      <c r="A28709" s="2" t="str">
        <f t="shared" si="1025"/>
        <v>35420</v>
      </c>
      <c r="B28709" s="2" t="str">
        <f>"43749"</f>
        <v>43749</v>
      </c>
      <c r="C28709" s="1">
        <v>2.4114398707468201E-4</v>
      </c>
      <c r="D28709" s="1">
        <v>0</v>
      </c>
      <c r="E28709" s="1">
        <v>0</v>
      </c>
      <c r="F28709" s="1">
        <v>2.1755210372884301E-4</v>
      </c>
    </row>
    <row r="28710" spans="1:6" x14ac:dyDescent="0.25">
      <c r="A28710" s="2" t="str">
        <f t="shared" si="1025"/>
        <v>35420</v>
      </c>
      <c r="B28710" s="2" t="str">
        <f>"43840"</f>
        <v>43840</v>
      </c>
      <c r="C28710" s="1">
        <v>1.2515372929176E-2</v>
      </c>
      <c r="D28710" s="1">
        <v>5.0520059435364001E-3</v>
      </c>
      <c r="E28710" s="1">
        <v>0</v>
      </c>
      <c r="F28710" s="1">
        <v>1.1660792759865901E-2</v>
      </c>
    </row>
    <row r="28711" spans="1:6" x14ac:dyDescent="0.25">
      <c r="A28711" s="2" t="str">
        <f t="shared" si="1025"/>
        <v>35420</v>
      </c>
      <c r="B28711" s="2" t="str">
        <f>"43832"</f>
        <v>43832</v>
      </c>
      <c r="C28711" s="1">
        <v>7.2198509730159802E-2</v>
      </c>
      <c r="D28711" s="1">
        <v>6.5676077265973201E-2</v>
      </c>
      <c r="E28711" s="1">
        <v>7.0671378091872697E-2</v>
      </c>
      <c r="F28711" s="1">
        <v>7.1683418178653702E-2</v>
      </c>
    </row>
    <row r="28712" spans="1:6" x14ac:dyDescent="0.25">
      <c r="A28712" s="2" t="str">
        <f t="shared" si="1025"/>
        <v>35420</v>
      </c>
      <c r="B28712" s="2" t="str">
        <f>"44683"</f>
        <v>44683</v>
      </c>
      <c r="C28712" s="1">
        <v>9.0935397525862605E-2</v>
      </c>
      <c r="D28712" s="1">
        <v>7.3699851411589801E-2</v>
      </c>
      <c r="E28712" s="1">
        <v>4.2402826855123602E-2</v>
      </c>
      <c r="F28712" s="1">
        <v>8.8478440586520393E-2</v>
      </c>
    </row>
    <row r="28713" spans="1:6" x14ac:dyDescent="0.25">
      <c r="A28713" s="2" t="str">
        <f t="shared" si="1025"/>
        <v>35420</v>
      </c>
      <c r="B28713" s="2" t="str">
        <f>"44643"</f>
        <v>44643</v>
      </c>
      <c r="C28713" s="1">
        <v>1.28529745110805E-2</v>
      </c>
      <c r="D28713" s="1">
        <v>7.7265973254086098E-3</v>
      </c>
      <c r="E28713" s="1">
        <v>6.1837455830388603E-3</v>
      </c>
      <c r="F28713" s="1">
        <v>1.23134490710525E-2</v>
      </c>
    </row>
    <row r="28714" spans="1:6" x14ac:dyDescent="0.25">
      <c r="A28714" s="2" t="str">
        <f t="shared" si="1025"/>
        <v>35420</v>
      </c>
      <c r="B28714" s="2" t="str">
        <f>"43837"</f>
        <v>43837</v>
      </c>
      <c r="C28714" s="1">
        <v>1.8616315802165401E-2</v>
      </c>
      <c r="D28714" s="1">
        <v>2.6745913818722101E-3</v>
      </c>
      <c r="E28714" s="1">
        <v>1.76678445229681E-3</v>
      </c>
      <c r="F28714" s="1">
        <v>1.7034329721968399E-2</v>
      </c>
    </row>
    <row r="28715" spans="1:6" x14ac:dyDescent="0.25">
      <c r="A28715" s="2" t="str">
        <f t="shared" si="1025"/>
        <v>35420</v>
      </c>
      <c r="B28715" s="2" t="str">
        <f>"44679"</f>
        <v>44679</v>
      </c>
      <c r="C28715" s="1">
        <v>0</v>
      </c>
      <c r="D28715" s="1">
        <v>0</v>
      </c>
      <c r="E28715" s="1">
        <v>8.8339222614840902E-4</v>
      </c>
      <c r="F28715" s="1">
        <v>2.1755210372884299E-5</v>
      </c>
    </row>
    <row r="28716" spans="1:6" x14ac:dyDescent="0.25">
      <c r="A28716" s="2" t="str">
        <f t="shared" si="1025"/>
        <v>35420</v>
      </c>
      <c r="B28716" s="2" t="str">
        <f>"44681"</f>
        <v>44681</v>
      </c>
      <c r="C28716" s="1">
        <v>4.6299645518338997E-2</v>
      </c>
      <c r="D28716" s="1">
        <v>3.68499257057949E-2</v>
      </c>
      <c r="E28716" s="1">
        <v>2.2968197879858598E-2</v>
      </c>
      <c r="F28716" s="1">
        <v>4.50332854718705E-2</v>
      </c>
    </row>
    <row r="28717" spans="1:6" x14ac:dyDescent="0.25">
      <c r="A28717" s="2" t="str">
        <f t="shared" si="1025"/>
        <v>35420</v>
      </c>
      <c r="B28717" s="2" t="str">
        <f>"44629"</f>
        <v>44629</v>
      </c>
      <c r="C28717" s="1">
        <v>1.50714991921676E-2</v>
      </c>
      <c r="D28717" s="1">
        <v>6.5378900445765198E-3</v>
      </c>
      <c r="E28717" s="1">
        <v>2.6501766784452199E-3</v>
      </c>
      <c r="F28717" s="1">
        <v>1.41408867423747E-2</v>
      </c>
    </row>
    <row r="28718" spans="1:6" x14ac:dyDescent="0.25">
      <c r="A28718" s="2" t="str">
        <f t="shared" si="1025"/>
        <v>35420</v>
      </c>
      <c r="B28718" s="2" t="str">
        <f>"44653"</f>
        <v>44653</v>
      </c>
      <c r="C28718" s="1">
        <v>0</v>
      </c>
      <c r="D28718" s="1">
        <v>0</v>
      </c>
      <c r="E28718" s="1">
        <v>8.8339222614840902E-4</v>
      </c>
      <c r="F28718" s="1">
        <v>2.1755210372884299E-5</v>
      </c>
    </row>
    <row r="28719" spans="1:6" x14ac:dyDescent="0.25">
      <c r="A28719" s="2" t="str">
        <f t="shared" si="1025"/>
        <v>35420</v>
      </c>
      <c r="B28719" s="2" t="str">
        <f>"44675"</f>
        <v>44675</v>
      </c>
      <c r="C28719" s="1">
        <v>4.2200197738069397E-3</v>
      </c>
      <c r="D28719" s="1">
        <v>1.4858841010401099E-3</v>
      </c>
      <c r="E28719" s="1">
        <v>0</v>
      </c>
      <c r="F28719" s="1">
        <v>3.9159378671191703E-3</v>
      </c>
    </row>
    <row r="28720" spans="1:6" x14ac:dyDescent="0.25">
      <c r="A28720" s="2" t="str">
        <f t="shared" si="1025"/>
        <v>35420</v>
      </c>
      <c r="B28720" s="2" t="str">
        <f>"44663"</f>
        <v>44663</v>
      </c>
      <c r="C28720" s="1">
        <v>0.30328679254382701</v>
      </c>
      <c r="D28720" s="1">
        <v>0.39791976225854297</v>
      </c>
      <c r="E28720" s="1">
        <v>0.34010600706713701</v>
      </c>
      <c r="F28720" s="1">
        <v>0.31112126354261799</v>
      </c>
    </row>
    <row r="28721" spans="1:6" x14ac:dyDescent="0.25">
      <c r="A28721" s="2" t="str">
        <f t="shared" si="1025"/>
        <v>35420</v>
      </c>
      <c r="B28721" s="2" t="str">
        <f>"43973"</f>
        <v>43973</v>
      </c>
      <c r="C28721" s="1">
        <v>1.20571993537341E-4</v>
      </c>
      <c r="D28721" s="1">
        <v>0</v>
      </c>
      <c r="E28721" s="1">
        <v>0</v>
      </c>
      <c r="F28721" s="1">
        <v>1.0877605186442101E-4</v>
      </c>
    </row>
    <row r="28722" spans="1:6" x14ac:dyDescent="0.25">
      <c r="A28722" s="2" t="str">
        <f t="shared" si="1025"/>
        <v>35420</v>
      </c>
      <c r="B28722" s="2" t="str">
        <f>"43804"</f>
        <v>43804</v>
      </c>
      <c r="C28722" s="1">
        <v>8.6329547372736206E-3</v>
      </c>
      <c r="D28722" s="1">
        <v>1.78306092124814E-3</v>
      </c>
      <c r="E28722" s="1">
        <v>8.8339222614840906E-3</v>
      </c>
      <c r="F28722" s="1">
        <v>8.1364486794587298E-3</v>
      </c>
    </row>
    <row r="28723" spans="1:6" x14ac:dyDescent="0.25">
      <c r="A28723" s="2" t="str">
        <f t="shared" si="1025"/>
        <v>35420</v>
      </c>
      <c r="B28723" s="2" t="str">
        <f>"44671"</f>
        <v>44671</v>
      </c>
      <c r="C28723" s="1">
        <v>4.8228797414936402E-5</v>
      </c>
      <c r="D28723" s="1">
        <v>2.9717682020802299E-4</v>
      </c>
      <c r="E28723" s="1">
        <v>8.8339222614840902E-4</v>
      </c>
      <c r="F28723" s="1">
        <v>8.7020841491537194E-5</v>
      </c>
    </row>
    <row r="28724" spans="1:6" x14ac:dyDescent="0.25">
      <c r="A28724" s="2" t="str">
        <f t="shared" si="1025"/>
        <v>35420</v>
      </c>
      <c r="B28724" s="2" t="str">
        <f>"44608"</f>
        <v>44608</v>
      </c>
      <c r="C28724" s="1">
        <v>4.5817357544189596E-3</v>
      </c>
      <c r="D28724" s="1">
        <v>2.9717682020802298E-3</v>
      </c>
      <c r="E28724" s="1">
        <v>1.76678445229681E-3</v>
      </c>
      <c r="F28724" s="1">
        <v>4.3945524953226201E-3</v>
      </c>
    </row>
    <row r="28725" spans="1:6" x14ac:dyDescent="0.25">
      <c r="A28725" s="2" t="str">
        <f t="shared" si="1025"/>
        <v>35420</v>
      </c>
      <c r="B28725" s="2" t="str">
        <f>"44656"</f>
        <v>44656</v>
      </c>
      <c r="C28725" s="1">
        <v>2.41626275048831E-2</v>
      </c>
      <c r="D28725" s="1">
        <v>7.1322436849925704E-3</v>
      </c>
      <c r="E28725" s="1">
        <v>9.7173144876324998E-3</v>
      </c>
      <c r="F28725" s="1">
        <v>2.2560153156681001E-2</v>
      </c>
    </row>
    <row r="28726" spans="1:6" x14ac:dyDescent="0.25">
      <c r="A28726" s="2" t="str">
        <f t="shared" si="1025"/>
        <v>35420</v>
      </c>
      <c r="B28726" s="2" t="str">
        <f>"44697"</f>
        <v>44697</v>
      </c>
      <c r="C28726" s="1">
        <v>2.4114398707468201E-5</v>
      </c>
      <c r="D28726" s="1">
        <v>2.9717682020802299E-4</v>
      </c>
      <c r="E28726" s="1">
        <v>8.8339222614840902E-4</v>
      </c>
      <c r="F28726" s="1">
        <v>6.5265631118652896E-5</v>
      </c>
    </row>
    <row r="28727" spans="1:6" x14ac:dyDescent="0.25">
      <c r="A28727" s="2" t="str">
        <f t="shared" si="1025"/>
        <v>35420</v>
      </c>
      <c r="B28727" s="2" t="str">
        <f>"44699"</f>
        <v>44699</v>
      </c>
      <c r="C28727" s="1">
        <v>3.4724734138754198E-3</v>
      </c>
      <c r="D28727" s="1">
        <v>1.78306092124814E-3</v>
      </c>
      <c r="E28727" s="1">
        <v>0</v>
      </c>
      <c r="F28727" s="1">
        <v>3.26328155593264E-3</v>
      </c>
    </row>
    <row r="28728" spans="1:6" x14ac:dyDescent="0.25">
      <c r="A28728" s="2" t="str">
        <f t="shared" si="1025"/>
        <v>35420</v>
      </c>
      <c r="B28728" s="2" t="str">
        <f>"44680"</f>
        <v>44680</v>
      </c>
      <c r="C28728" s="1">
        <v>4.6058501531264298E-2</v>
      </c>
      <c r="D28728" s="1">
        <v>4.3090638930163398E-2</v>
      </c>
      <c r="E28728" s="1">
        <v>5.5653710247349802E-2</v>
      </c>
      <c r="F28728" s="1">
        <v>4.6077535569768902E-2</v>
      </c>
    </row>
    <row r="28729" spans="1:6" x14ac:dyDescent="0.25">
      <c r="A28729" s="2" t="str">
        <f t="shared" si="1025"/>
        <v>35420</v>
      </c>
      <c r="B28729" s="2" t="str">
        <f>"44624"</f>
        <v>44624</v>
      </c>
      <c r="C28729" s="1">
        <v>1.68559646965202E-2</v>
      </c>
      <c r="D28729" s="1">
        <v>8.3209509658246604E-3</v>
      </c>
      <c r="E28729" s="1">
        <v>4.4169611307420401E-3</v>
      </c>
      <c r="F28729" s="1">
        <v>1.5924813992951301E-2</v>
      </c>
    </row>
    <row r="28730" spans="1:6" x14ac:dyDescent="0.25">
      <c r="A28730" s="2" t="str">
        <f t="shared" si="1025"/>
        <v>35420</v>
      </c>
      <c r="B28730" s="2" t="str">
        <f>"44612"</f>
        <v>44612</v>
      </c>
      <c r="C28730" s="1">
        <v>5.1170754057247497E-2</v>
      </c>
      <c r="D28730" s="1">
        <v>3.0014858841010399E-2</v>
      </c>
      <c r="E28730" s="1">
        <v>0.22879858657243801</v>
      </c>
      <c r="F28730" s="1">
        <v>5.3996432145498797E-2</v>
      </c>
    </row>
    <row r="28731" spans="1:6" x14ac:dyDescent="0.25">
      <c r="A28731" s="2" t="str">
        <f t="shared" si="1025"/>
        <v>35420</v>
      </c>
      <c r="B28731" s="2" t="str">
        <f>"43824"</f>
        <v>43824</v>
      </c>
      <c r="C28731" s="1">
        <v>2.4596686681617498E-3</v>
      </c>
      <c r="D28731" s="1">
        <v>0</v>
      </c>
      <c r="E28731" s="1">
        <v>0</v>
      </c>
      <c r="F28731" s="1">
        <v>2.2190314580341898E-3</v>
      </c>
    </row>
    <row r="28732" spans="1:6" x14ac:dyDescent="0.25">
      <c r="A28732" s="2" t="str">
        <f t="shared" ref="A28732:A28763" si="1026">"48540"</f>
        <v>48540</v>
      </c>
      <c r="B28732" s="2" t="str">
        <f>"26070"</f>
        <v>26070</v>
      </c>
      <c r="C28732" s="1">
        <v>8.0869072970860096E-5</v>
      </c>
      <c r="D28732" s="1">
        <v>0</v>
      </c>
      <c r="E28732" s="1">
        <v>0</v>
      </c>
      <c r="F28732" s="1">
        <v>7.2143999422848005E-5</v>
      </c>
    </row>
    <row r="28733" spans="1:6" x14ac:dyDescent="0.25">
      <c r="A28733" s="2" t="str">
        <f t="shared" si="1026"/>
        <v>48540</v>
      </c>
      <c r="B28733" s="2" t="str">
        <f>"26074"</f>
        <v>26074</v>
      </c>
      <c r="C28733" s="1">
        <v>3.1808502035205002E-3</v>
      </c>
      <c r="D28733" s="1">
        <v>2.1663778162911598E-3</v>
      </c>
      <c r="E28733" s="1">
        <v>8.7847730600292794E-3</v>
      </c>
      <c r="F28733" s="1">
        <v>3.23445597412435E-3</v>
      </c>
    </row>
    <row r="28734" spans="1:6" x14ac:dyDescent="0.25">
      <c r="A28734" s="2" t="str">
        <f t="shared" si="1026"/>
        <v>48540</v>
      </c>
      <c r="B28734" s="2" t="str">
        <f>"43985"</f>
        <v>43985</v>
      </c>
      <c r="C28734" s="1">
        <v>4.043453648543E-5</v>
      </c>
      <c r="D28734" s="1">
        <v>0</v>
      </c>
      <c r="E28734" s="1">
        <v>4.88042947779404E-4</v>
      </c>
      <c r="F28734" s="1">
        <v>4.8095999615231999E-5</v>
      </c>
    </row>
    <row r="28735" spans="1:6" x14ac:dyDescent="0.25">
      <c r="A28735" s="2" t="str">
        <f t="shared" si="1026"/>
        <v>48540</v>
      </c>
      <c r="B28735" s="2" t="str">
        <f>"43967"</f>
        <v>43967</v>
      </c>
      <c r="C28735" s="1">
        <v>0</v>
      </c>
      <c r="D28735" s="1">
        <v>0</v>
      </c>
      <c r="E28735" s="1">
        <v>4.88042947779404E-4</v>
      </c>
      <c r="F28735" s="1">
        <v>1.2023999903808E-5</v>
      </c>
    </row>
    <row r="28736" spans="1:6" x14ac:dyDescent="0.25">
      <c r="A28736" s="2" t="str">
        <f t="shared" si="1026"/>
        <v>48540</v>
      </c>
      <c r="B28736" s="2" t="str">
        <f>"43935"</f>
        <v>43935</v>
      </c>
      <c r="C28736" s="1">
        <v>6.2390489797018597E-2</v>
      </c>
      <c r="D28736" s="1">
        <v>5.8492201039861302E-2</v>
      </c>
      <c r="E28736" s="1">
        <v>6.1005368472425499E-2</v>
      </c>
      <c r="F28736" s="1">
        <v>6.2031815503745397E-2</v>
      </c>
    </row>
    <row r="28737" spans="1:6" x14ac:dyDescent="0.25">
      <c r="A28737" s="2" t="str">
        <f t="shared" si="1026"/>
        <v>48540</v>
      </c>
      <c r="B28737" s="2" t="str">
        <f>"26041"</f>
        <v>26041</v>
      </c>
      <c r="C28737" s="1">
        <v>0.106073267380111</v>
      </c>
      <c r="D28737" s="1">
        <v>8.6221837088388195E-2</v>
      </c>
      <c r="E28737" s="1">
        <v>5.4660810151293301E-2</v>
      </c>
      <c r="F28737" s="1">
        <v>0.103153895174768</v>
      </c>
    </row>
    <row r="28738" spans="1:6" x14ac:dyDescent="0.25">
      <c r="A28738" s="2" t="str">
        <f t="shared" si="1026"/>
        <v>48540</v>
      </c>
      <c r="B28738" s="2" t="str">
        <f>"26040"</f>
        <v>26040</v>
      </c>
      <c r="C28738" s="1">
        <v>1.35860042591045E-2</v>
      </c>
      <c r="D28738" s="1">
        <v>9.2432120161756205E-3</v>
      </c>
      <c r="E28738" s="1">
        <v>4.3923865300146397E-3</v>
      </c>
      <c r="F28738" s="1">
        <v>1.29979438960164E-2</v>
      </c>
    </row>
    <row r="28739" spans="1:6" x14ac:dyDescent="0.25">
      <c r="A28739" s="2" t="str">
        <f t="shared" si="1026"/>
        <v>48540</v>
      </c>
      <c r="B28739" s="2" t="str">
        <f>"26038"</f>
        <v>26038</v>
      </c>
      <c r="C28739" s="1">
        <v>1.8788581286896502E-2</v>
      </c>
      <c r="D28739" s="1">
        <v>1.6320046216060001E-2</v>
      </c>
      <c r="E28739" s="1">
        <v>1.46412884333821E-2</v>
      </c>
      <c r="F28739" s="1">
        <v>1.8480887852152801E-2</v>
      </c>
    </row>
    <row r="28740" spans="1:6" x14ac:dyDescent="0.25">
      <c r="A28740" s="2" t="str">
        <f t="shared" si="1026"/>
        <v>48540</v>
      </c>
      <c r="B28740" s="2" t="str">
        <f>"26033"</f>
        <v>26033</v>
      </c>
      <c r="C28740" s="1">
        <v>2.2589427716526899E-2</v>
      </c>
      <c r="D28740" s="1">
        <v>2.7151935297515799E-2</v>
      </c>
      <c r="E28740" s="1">
        <v>1.0736944851146899E-2</v>
      </c>
      <c r="F28740" s="1">
        <v>2.2677263818581799E-2</v>
      </c>
    </row>
    <row r="28741" spans="1:6" x14ac:dyDescent="0.25">
      <c r="A28741" s="2" t="str">
        <f t="shared" si="1026"/>
        <v>48540</v>
      </c>
      <c r="B28741" s="2" t="str">
        <f>"26031"</f>
        <v>26031</v>
      </c>
      <c r="C28741" s="1">
        <v>1.5702078335175298E-2</v>
      </c>
      <c r="D28741" s="1">
        <v>1.19872905834777E-2</v>
      </c>
      <c r="E28741" s="1">
        <v>1.2689116642264501E-2</v>
      </c>
      <c r="F28741" s="1">
        <v>1.53185758774513E-2</v>
      </c>
    </row>
    <row r="28742" spans="1:6" x14ac:dyDescent="0.25">
      <c r="A28742" s="2" t="str">
        <f t="shared" si="1026"/>
        <v>48540</v>
      </c>
      <c r="B28742" s="2" t="str">
        <f>"26003"</f>
        <v>26003</v>
      </c>
      <c r="C28742" s="1">
        <v>0.32227673396770601</v>
      </c>
      <c r="D28742" s="1">
        <v>0.40641247833622102</v>
      </c>
      <c r="E28742" s="1">
        <v>0.422645192776964</v>
      </c>
      <c r="F28742" s="1">
        <v>0.33175418134596601</v>
      </c>
    </row>
    <row r="28743" spans="1:6" x14ac:dyDescent="0.25">
      <c r="A28743" s="2" t="str">
        <f t="shared" si="1026"/>
        <v>48540</v>
      </c>
      <c r="B28743" s="2" t="str">
        <f>"43971"</f>
        <v>43971</v>
      </c>
      <c r="C28743" s="1">
        <v>2.92476480577944E-3</v>
      </c>
      <c r="D28743" s="1">
        <v>7.2212593876371997E-4</v>
      </c>
      <c r="E28743" s="1">
        <v>3.9043435822352299E-3</v>
      </c>
      <c r="F28743" s="1">
        <v>2.7655199778758399E-3</v>
      </c>
    </row>
    <row r="28744" spans="1:6" x14ac:dyDescent="0.25">
      <c r="A28744" s="2" t="str">
        <f t="shared" si="1026"/>
        <v>48540</v>
      </c>
      <c r="B28744" s="2" t="str">
        <f>"43983"</f>
        <v>43983</v>
      </c>
      <c r="C28744" s="1">
        <v>3.3965010647761199E-3</v>
      </c>
      <c r="D28744" s="1">
        <v>5.7770075101097596E-4</v>
      </c>
      <c r="E28744" s="1">
        <v>0</v>
      </c>
      <c r="F28744" s="1">
        <v>3.0781439753748401E-3</v>
      </c>
    </row>
    <row r="28745" spans="1:6" x14ac:dyDescent="0.25">
      <c r="A28745" s="2" t="str">
        <f t="shared" si="1026"/>
        <v>48540</v>
      </c>
      <c r="B28745" s="2" t="str">
        <f>"43759"</f>
        <v>43759</v>
      </c>
      <c r="C28745" s="1">
        <v>1.0243415909642201E-3</v>
      </c>
      <c r="D28745" s="1">
        <v>1.4442518775274399E-4</v>
      </c>
      <c r="E28745" s="1">
        <v>0</v>
      </c>
      <c r="F28745" s="1">
        <v>9.25847992593216E-4</v>
      </c>
    </row>
    <row r="28746" spans="1:6" x14ac:dyDescent="0.25">
      <c r="A28746" s="2" t="str">
        <f t="shared" si="1026"/>
        <v>48540</v>
      </c>
      <c r="B28746" s="2" t="str">
        <f>"43773"</f>
        <v>43773</v>
      </c>
      <c r="C28746" s="1">
        <v>2.69563576569533E-5</v>
      </c>
      <c r="D28746" s="1">
        <v>0</v>
      </c>
      <c r="E28746" s="1">
        <v>0</v>
      </c>
      <c r="F28746" s="1">
        <v>2.4047999807615999E-5</v>
      </c>
    </row>
    <row r="28747" spans="1:6" x14ac:dyDescent="0.25">
      <c r="A28747" s="2" t="str">
        <f t="shared" si="1026"/>
        <v>48540</v>
      </c>
      <c r="B28747" s="2" t="str">
        <f>"43902"</f>
        <v>43902</v>
      </c>
      <c r="C28747" s="1">
        <v>1.42868695581852E-3</v>
      </c>
      <c r="D28747" s="1">
        <v>0</v>
      </c>
      <c r="E28747" s="1">
        <v>4.88042947779404E-4</v>
      </c>
      <c r="F28747" s="1">
        <v>1.2865679897074501E-3</v>
      </c>
    </row>
    <row r="28748" spans="1:6" x14ac:dyDescent="0.25">
      <c r="A28748" s="2" t="str">
        <f t="shared" si="1026"/>
        <v>48540</v>
      </c>
      <c r="B28748" s="2" t="str">
        <f>"26060"</f>
        <v>26060</v>
      </c>
      <c r="C28748" s="1">
        <v>1.13890611100628E-2</v>
      </c>
      <c r="D28748" s="1">
        <v>4.0439052570768299E-3</v>
      </c>
      <c r="E28748" s="1">
        <v>2.9282576866764198E-3</v>
      </c>
      <c r="F28748" s="1">
        <v>1.05690959154472E-2</v>
      </c>
    </row>
    <row r="28749" spans="1:6" x14ac:dyDescent="0.25">
      <c r="A28749" s="2" t="str">
        <f t="shared" si="1026"/>
        <v>48540</v>
      </c>
      <c r="B28749" s="2" t="str">
        <f>"43972"</f>
        <v>43972</v>
      </c>
      <c r="C28749" s="1">
        <v>8.7608162385098499E-4</v>
      </c>
      <c r="D28749" s="1">
        <v>7.2212593876371997E-4</v>
      </c>
      <c r="E28749" s="1">
        <v>1.4641288433382099E-3</v>
      </c>
      <c r="F28749" s="1">
        <v>8.7775199297798398E-4</v>
      </c>
    </row>
    <row r="28750" spans="1:6" x14ac:dyDescent="0.25">
      <c r="A28750" s="2" t="str">
        <f t="shared" si="1026"/>
        <v>48540</v>
      </c>
      <c r="B28750" s="2" t="str">
        <f>"43719"</f>
        <v>43719</v>
      </c>
      <c r="C28750" s="1">
        <v>1.2507749952826301E-2</v>
      </c>
      <c r="D28750" s="1">
        <v>3.6106296938186E-3</v>
      </c>
      <c r="E28750" s="1">
        <v>3.9043435822352299E-3</v>
      </c>
      <c r="F28750" s="1">
        <v>1.15550639075594E-2</v>
      </c>
    </row>
    <row r="28751" spans="1:6" x14ac:dyDescent="0.25">
      <c r="A28751" s="2" t="str">
        <f t="shared" si="1026"/>
        <v>48540</v>
      </c>
      <c r="B28751" s="2" t="str">
        <f>"43713"</f>
        <v>43713</v>
      </c>
      <c r="C28751" s="1">
        <v>4.9586219909965701E-2</v>
      </c>
      <c r="D28751" s="1">
        <v>4.4338532640092403E-2</v>
      </c>
      <c r="E28751" s="1">
        <v>3.7091264031234701E-2</v>
      </c>
      <c r="F28751" s="1">
        <v>4.8841487609268E-2</v>
      </c>
    </row>
    <row r="28752" spans="1:6" x14ac:dyDescent="0.25">
      <c r="A28752" s="2" t="str">
        <f t="shared" si="1026"/>
        <v>48540</v>
      </c>
      <c r="B28752" s="2" t="str">
        <f>"43916"</f>
        <v>43916</v>
      </c>
      <c r="C28752" s="1">
        <v>0</v>
      </c>
      <c r="D28752" s="1">
        <v>0</v>
      </c>
      <c r="E28752" s="1">
        <v>4.88042947779404E-4</v>
      </c>
      <c r="F28752" s="1">
        <v>1.2023999903808E-5</v>
      </c>
    </row>
    <row r="28753" spans="1:6" x14ac:dyDescent="0.25">
      <c r="A28753" s="2" t="str">
        <f t="shared" si="1026"/>
        <v>48540</v>
      </c>
      <c r="B28753" s="2" t="str">
        <f>"43912"</f>
        <v>43912</v>
      </c>
      <c r="C28753" s="1">
        <v>4.4922770035312802E-2</v>
      </c>
      <c r="D28753" s="1">
        <v>3.8850375505488102E-2</v>
      </c>
      <c r="E28753" s="1">
        <v>4.0507564665690499E-2</v>
      </c>
      <c r="F28753" s="1">
        <v>4.4308439645532403E-2</v>
      </c>
    </row>
    <row r="28754" spans="1:6" x14ac:dyDescent="0.25">
      <c r="A28754" s="2" t="str">
        <f t="shared" si="1026"/>
        <v>48540</v>
      </c>
      <c r="B28754" s="2" t="str">
        <f>"26055"</f>
        <v>26055</v>
      </c>
      <c r="C28754" s="1">
        <v>8.3834272313124993E-3</v>
      </c>
      <c r="D28754" s="1">
        <v>7.2212593876372E-3</v>
      </c>
      <c r="E28754" s="1">
        <v>1.9521717911176099E-3</v>
      </c>
      <c r="F28754" s="1">
        <v>8.1282239349741991E-3</v>
      </c>
    </row>
    <row r="28755" spans="1:6" x14ac:dyDescent="0.25">
      <c r="A28755" s="2" t="str">
        <f t="shared" si="1026"/>
        <v>48540</v>
      </c>
      <c r="B28755" s="2" t="str">
        <f>"25003"</f>
        <v>25003</v>
      </c>
      <c r="C28755" s="1">
        <v>1.3478178828476601E-5</v>
      </c>
      <c r="D28755" s="1">
        <v>0</v>
      </c>
      <c r="E28755" s="1">
        <v>0</v>
      </c>
      <c r="F28755" s="1">
        <v>1.2023999903808E-5</v>
      </c>
    </row>
    <row r="28756" spans="1:6" x14ac:dyDescent="0.25">
      <c r="A28756" s="2" t="str">
        <f t="shared" si="1026"/>
        <v>48540</v>
      </c>
      <c r="B28756" s="2" t="str">
        <f>"43977"</f>
        <v>43977</v>
      </c>
      <c r="C28756" s="1">
        <v>1.24807935951694E-2</v>
      </c>
      <c r="D28756" s="1">
        <v>3.1773541305603601E-3</v>
      </c>
      <c r="E28756" s="1">
        <v>5.85651537335285E-3</v>
      </c>
      <c r="F28756" s="1">
        <v>1.15430399076556E-2</v>
      </c>
    </row>
    <row r="28757" spans="1:6" x14ac:dyDescent="0.25">
      <c r="A28757" s="2" t="str">
        <f t="shared" si="1026"/>
        <v>48540</v>
      </c>
      <c r="B28757" s="2" t="str">
        <f>"43942"</f>
        <v>43942</v>
      </c>
      <c r="C28757" s="1">
        <v>1.5890772838773999E-2</v>
      </c>
      <c r="D28757" s="1">
        <v>1.1698440207972199E-2</v>
      </c>
      <c r="E28757" s="1">
        <v>1.2689116642264501E-2</v>
      </c>
      <c r="F28757" s="1">
        <v>1.5462863876297001E-2</v>
      </c>
    </row>
    <row r="28758" spans="1:6" x14ac:dyDescent="0.25">
      <c r="A28758" s="2" t="str">
        <f t="shared" si="1026"/>
        <v>48540</v>
      </c>
      <c r="B28758" s="2" t="str">
        <f>"26039"</f>
        <v>26039</v>
      </c>
      <c r="C28758" s="1">
        <v>6.8738712025231104E-3</v>
      </c>
      <c r="D28758" s="1">
        <v>4.4771808203350602E-3</v>
      </c>
      <c r="E28758" s="1">
        <v>4.3923865300146397E-3</v>
      </c>
      <c r="F28758" s="1">
        <v>6.6131999470943996E-3</v>
      </c>
    </row>
    <row r="28759" spans="1:6" x14ac:dyDescent="0.25">
      <c r="A28759" s="2" t="str">
        <f t="shared" si="1026"/>
        <v>48540</v>
      </c>
      <c r="B28759" s="2" t="str">
        <f>"26036"</f>
        <v>26036</v>
      </c>
      <c r="C28759" s="1">
        <v>3.1269374882065899E-3</v>
      </c>
      <c r="D28759" s="1">
        <v>3.1773541305603601E-3</v>
      </c>
      <c r="E28759" s="1">
        <v>4.88042947779404E-4</v>
      </c>
      <c r="F28759" s="1">
        <v>3.0661199754710398E-3</v>
      </c>
    </row>
    <row r="28760" spans="1:6" x14ac:dyDescent="0.25">
      <c r="A28760" s="2" t="str">
        <f t="shared" si="1026"/>
        <v>48540</v>
      </c>
      <c r="B28760" s="2" t="str">
        <f>"26032"</f>
        <v>26032</v>
      </c>
      <c r="C28760" s="1">
        <v>2.5608539774105702E-4</v>
      </c>
      <c r="D28760" s="1">
        <v>0</v>
      </c>
      <c r="E28760" s="1">
        <v>0</v>
      </c>
      <c r="F28760" s="1">
        <v>2.28455998172352E-4</v>
      </c>
    </row>
    <row r="28761" spans="1:6" x14ac:dyDescent="0.25">
      <c r="A28761" s="2" t="str">
        <f t="shared" si="1026"/>
        <v>48540</v>
      </c>
      <c r="B28761" s="2" t="str">
        <f>"43973"</f>
        <v>43973</v>
      </c>
      <c r="C28761" s="1">
        <v>4.043453648543E-5</v>
      </c>
      <c r="D28761" s="1">
        <v>1.4442518775274399E-4</v>
      </c>
      <c r="E28761" s="1">
        <v>0</v>
      </c>
      <c r="F28761" s="1">
        <v>4.8095999615231999E-5</v>
      </c>
    </row>
    <row r="28762" spans="1:6" x14ac:dyDescent="0.25">
      <c r="A28762" s="2" t="str">
        <f t="shared" si="1026"/>
        <v>48540</v>
      </c>
      <c r="B28762" s="2" t="str">
        <f>"43927"</f>
        <v>43927</v>
      </c>
      <c r="C28762" s="1">
        <v>1.30738334636223E-3</v>
      </c>
      <c r="D28762" s="1">
        <v>4.33275563258232E-4</v>
      </c>
      <c r="E28762" s="1">
        <v>1.4641288433382099E-3</v>
      </c>
      <c r="F28762" s="1">
        <v>1.2384719900922199E-3</v>
      </c>
    </row>
    <row r="28763" spans="1:6" x14ac:dyDescent="0.25">
      <c r="A28763" s="2" t="str">
        <f t="shared" si="1026"/>
        <v>48540</v>
      </c>
      <c r="B28763" s="2" t="str">
        <f>"43951"</f>
        <v>43951</v>
      </c>
      <c r="C28763" s="1">
        <v>1.3478178828476601E-5</v>
      </c>
      <c r="D28763" s="1">
        <v>0</v>
      </c>
      <c r="E28763" s="1">
        <v>4.88042947779404E-4</v>
      </c>
      <c r="F28763" s="1">
        <v>2.4047999807615999E-5</v>
      </c>
    </row>
    <row r="28764" spans="1:6" x14ac:dyDescent="0.25">
      <c r="A28764" s="2" t="str">
        <f t="shared" ref="A28764:A28780" si="1027">"48540"</f>
        <v>48540</v>
      </c>
      <c r="B28764" s="2" t="str">
        <f>"43933"</f>
        <v>43933</v>
      </c>
      <c r="C28764" s="1">
        <v>1.22381863762568E-2</v>
      </c>
      <c r="D28764" s="1">
        <v>3.1773541305603601E-3</v>
      </c>
      <c r="E28764" s="1">
        <v>3.41630063445583E-3</v>
      </c>
      <c r="F28764" s="1">
        <v>1.1266487909868001E-2</v>
      </c>
    </row>
    <row r="28765" spans="1:6" x14ac:dyDescent="0.25">
      <c r="A28765" s="2" t="str">
        <f t="shared" si="1027"/>
        <v>48540</v>
      </c>
      <c r="B28765" s="2" t="str">
        <f>"43716"</f>
        <v>43716</v>
      </c>
      <c r="C28765" s="1">
        <v>2.5473757985820899E-3</v>
      </c>
      <c r="D28765" s="1">
        <v>4.33275563258232E-4</v>
      </c>
      <c r="E28765" s="1">
        <v>0</v>
      </c>
      <c r="F28765" s="1">
        <v>2.3086079815311301E-3</v>
      </c>
    </row>
    <row r="28766" spans="1:6" x14ac:dyDescent="0.25">
      <c r="A28766" s="2" t="str">
        <f t="shared" si="1027"/>
        <v>48540</v>
      </c>
      <c r="B28766" s="2" t="str">
        <f>"43909"</f>
        <v>43909</v>
      </c>
      <c r="C28766" s="1">
        <v>0</v>
      </c>
      <c r="D28766" s="1">
        <v>0</v>
      </c>
      <c r="E28766" s="1">
        <v>4.88042947779404E-4</v>
      </c>
      <c r="F28766" s="1">
        <v>1.2023999903808E-5</v>
      </c>
    </row>
    <row r="28767" spans="1:6" x14ac:dyDescent="0.25">
      <c r="A28767" s="2" t="str">
        <f t="shared" si="1027"/>
        <v>48540</v>
      </c>
      <c r="B28767" s="2" t="str">
        <f>"43906"</f>
        <v>43906</v>
      </c>
      <c r="C28767" s="1">
        <v>5.7336172736339799E-2</v>
      </c>
      <c r="D28767" s="1">
        <v>5.21374927787406E-2</v>
      </c>
      <c r="E28767" s="1">
        <v>4.68521229868228E-2</v>
      </c>
      <c r="F28767" s="1">
        <v>5.6645063546839403E-2</v>
      </c>
    </row>
    <row r="28768" spans="1:6" x14ac:dyDescent="0.25">
      <c r="A28768" s="2" t="str">
        <f t="shared" si="1027"/>
        <v>48540</v>
      </c>
      <c r="B28768" s="2" t="str">
        <f>"26059"</f>
        <v>26059</v>
      </c>
      <c r="C28768" s="1">
        <v>2.3762029274604399E-2</v>
      </c>
      <c r="D28768" s="1">
        <v>3.2206816868861898E-2</v>
      </c>
      <c r="E28768" s="1">
        <v>5.12445095168374E-2</v>
      </c>
      <c r="F28768" s="1">
        <v>2.5142183798862499E-2</v>
      </c>
    </row>
    <row r="28769" spans="1:6" x14ac:dyDescent="0.25">
      <c r="A28769" s="2" t="str">
        <f t="shared" si="1027"/>
        <v>48540</v>
      </c>
      <c r="B28769" s="2" t="str">
        <f>"43928"</f>
        <v>43928</v>
      </c>
      <c r="C28769" s="1">
        <v>0</v>
      </c>
      <c r="D28769" s="1">
        <v>0</v>
      </c>
      <c r="E28769" s="1">
        <v>4.88042947779404E-4</v>
      </c>
      <c r="F28769" s="1">
        <v>1.2023999903808E-5</v>
      </c>
    </row>
    <row r="28770" spans="1:6" x14ac:dyDescent="0.25">
      <c r="A28770" s="2" t="str">
        <f t="shared" si="1027"/>
        <v>48540</v>
      </c>
      <c r="B28770" s="2" t="str">
        <f>"43943"</f>
        <v>43943</v>
      </c>
      <c r="C28770" s="1">
        <v>8.3564708736555502E-4</v>
      </c>
      <c r="D28770" s="1">
        <v>0</v>
      </c>
      <c r="E28770" s="1">
        <v>0</v>
      </c>
      <c r="F28770" s="1">
        <v>7.4548799403609603E-4</v>
      </c>
    </row>
    <row r="28771" spans="1:6" x14ac:dyDescent="0.25">
      <c r="A28771" s="2" t="str">
        <f t="shared" si="1027"/>
        <v>48540</v>
      </c>
      <c r="B28771" s="2" t="str">
        <f>"43905"</f>
        <v>43905</v>
      </c>
      <c r="C28771" s="1">
        <v>1.3478178828476601E-5</v>
      </c>
      <c r="D28771" s="1">
        <v>0</v>
      </c>
      <c r="E28771" s="1">
        <v>4.88042947779404E-4</v>
      </c>
      <c r="F28771" s="1">
        <v>2.4047999807615999E-5</v>
      </c>
    </row>
    <row r="28772" spans="1:6" x14ac:dyDescent="0.25">
      <c r="A28772" s="2" t="str">
        <f t="shared" si="1027"/>
        <v>48540</v>
      </c>
      <c r="B28772" s="2" t="str">
        <f>"43901"</f>
        <v>43901</v>
      </c>
      <c r="C28772" s="1">
        <v>9.7042887565032196E-4</v>
      </c>
      <c r="D28772" s="1">
        <v>1.4442518775274399E-4</v>
      </c>
      <c r="E28772" s="1">
        <v>0</v>
      </c>
      <c r="F28772" s="1">
        <v>8.7775199297798398E-4</v>
      </c>
    </row>
    <row r="28773" spans="1:6" x14ac:dyDescent="0.25">
      <c r="A28773" s="2" t="str">
        <f t="shared" si="1027"/>
        <v>48540</v>
      </c>
      <c r="B28773" s="2" t="str">
        <f>"43940"</f>
        <v>43940</v>
      </c>
      <c r="C28773" s="1">
        <v>0</v>
      </c>
      <c r="D28773" s="1">
        <v>0</v>
      </c>
      <c r="E28773" s="1">
        <v>4.88042947779404E-4</v>
      </c>
      <c r="F28773" s="1">
        <v>1.2023999903808E-5</v>
      </c>
    </row>
    <row r="28774" spans="1:6" x14ac:dyDescent="0.25">
      <c r="A28774" s="2" t="str">
        <f t="shared" si="1027"/>
        <v>48540</v>
      </c>
      <c r="B28774" s="2" t="str">
        <f>"43917"</f>
        <v>43917</v>
      </c>
      <c r="C28774" s="1">
        <v>2.3721594738118899E-3</v>
      </c>
      <c r="D28774" s="1">
        <v>1.4442518775274399E-3</v>
      </c>
      <c r="E28774" s="1">
        <v>0</v>
      </c>
      <c r="F28774" s="1">
        <v>2.2364639821082799E-3</v>
      </c>
    </row>
    <row r="28775" spans="1:6" x14ac:dyDescent="0.25">
      <c r="A28775" s="2" t="str">
        <f t="shared" si="1027"/>
        <v>48540</v>
      </c>
      <c r="B28775" s="2" t="str">
        <f>"43950"</f>
        <v>43950</v>
      </c>
      <c r="C28775" s="1">
        <v>9.9805914224869896E-2</v>
      </c>
      <c r="D28775" s="1">
        <v>0.14269208549971099</v>
      </c>
      <c r="E28775" s="1">
        <v>0.16544655929721799</v>
      </c>
      <c r="F28775" s="1">
        <v>0.104993567160051</v>
      </c>
    </row>
    <row r="28776" spans="1:6" x14ac:dyDescent="0.25">
      <c r="A28776" s="2" t="str">
        <f t="shared" si="1027"/>
        <v>48540</v>
      </c>
      <c r="B28776" s="2" t="str">
        <f>"43947"</f>
        <v>43947</v>
      </c>
      <c r="C28776" s="1">
        <v>3.6108041081488997E-2</v>
      </c>
      <c r="D28776" s="1">
        <v>1.6897746967071001E-2</v>
      </c>
      <c r="E28776" s="1">
        <v>1.8545632015617299E-2</v>
      </c>
      <c r="F28776" s="1">
        <v>3.4076015727391801E-2</v>
      </c>
    </row>
    <row r="28777" spans="1:6" x14ac:dyDescent="0.25">
      <c r="A28777" s="2" t="str">
        <f t="shared" si="1027"/>
        <v>48540</v>
      </c>
      <c r="B28777" s="2" t="str">
        <f>"43934"</f>
        <v>43934</v>
      </c>
      <c r="C28777" s="1">
        <v>0</v>
      </c>
      <c r="D28777" s="1">
        <v>0</v>
      </c>
      <c r="E28777" s="1">
        <v>4.88042947779404E-4</v>
      </c>
      <c r="F28777" s="1">
        <v>1.2023999903808E-5</v>
      </c>
    </row>
    <row r="28778" spans="1:6" x14ac:dyDescent="0.25">
      <c r="A28778" s="2" t="str">
        <f t="shared" si="1027"/>
        <v>48540</v>
      </c>
      <c r="B28778" s="2" t="str">
        <f>"43718"</f>
        <v>43718</v>
      </c>
      <c r="C28778" s="1">
        <v>2.06485699652262E-2</v>
      </c>
      <c r="D28778" s="1">
        <v>9.2432120161756205E-3</v>
      </c>
      <c r="E28778" s="1">
        <v>2.9282576866764198E-3</v>
      </c>
      <c r="F28778" s="1">
        <v>1.92624478459004E-2</v>
      </c>
    </row>
    <row r="28779" spans="1:6" x14ac:dyDescent="0.25">
      <c r="A28779" s="2" t="str">
        <f t="shared" si="1027"/>
        <v>48540</v>
      </c>
      <c r="B28779" s="2" t="str">
        <f>"43937"</f>
        <v>43937</v>
      </c>
      <c r="C28779" s="1">
        <v>0</v>
      </c>
      <c r="D28779" s="1">
        <v>0</v>
      </c>
      <c r="E28779" s="1">
        <v>4.88042947779404E-4</v>
      </c>
      <c r="F28779" s="1">
        <v>1.2023999903808E-5</v>
      </c>
    </row>
    <row r="28780" spans="1:6" x14ac:dyDescent="0.25">
      <c r="A28780" s="2" t="str">
        <f t="shared" si="1027"/>
        <v>48540</v>
      </c>
      <c r="B28780" s="2" t="str">
        <f>"43747"</f>
        <v>43747</v>
      </c>
      <c r="C28780" s="1">
        <v>2.1834649702132201E-3</v>
      </c>
      <c r="D28780" s="1">
        <v>2.8885037550548798E-4</v>
      </c>
      <c r="E28780" s="1">
        <v>0</v>
      </c>
      <c r="F28780" s="1">
        <v>1.9719359842245098E-3</v>
      </c>
    </row>
    <row r="28781" spans="1:6" x14ac:dyDescent="0.25">
      <c r="A28781" s="2" t="str">
        <f t="shared" ref="A28781:A28802" si="1028">"11780"</f>
        <v>11780</v>
      </c>
      <c r="B28781" s="2" t="str">
        <f>"44099"</f>
        <v>44099</v>
      </c>
      <c r="C28781" s="1">
        <v>1.3497779119410001E-2</v>
      </c>
      <c r="D28781" s="1">
        <v>3.80107697180867E-3</v>
      </c>
      <c r="E28781" s="1">
        <v>4.3782837127845798E-3</v>
      </c>
      <c r="F28781" s="1">
        <v>1.2688201748327599E-2</v>
      </c>
    </row>
    <row r="28782" spans="1:6" x14ac:dyDescent="0.25">
      <c r="A28782" s="2" t="str">
        <f t="shared" si="1028"/>
        <v>11780</v>
      </c>
      <c r="B28782" s="2" t="str">
        <f>"44086"</f>
        <v>44086</v>
      </c>
      <c r="C28782" s="1">
        <v>6.4685842425287799E-4</v>
      </c>
      <c r="D28782" s="1">
        <v>0</v>
      </c>
      <c r="E28782" s="1">
        <v>0</v>
      </c>
      <c r="F28782" s="1">
        <v>5.9198452947096299E-4</v>
      </c>
    </row>
    <row r="28783" spans="1:6" x14ac:dyDescent="0.25">
      <c r="A28783" s="2" t="str">
        <f t="shared" si="1028"/>
        <v>11780</v>
      </c>
      <c r="B28783" s="2" t="str">
        <f>"44085"</f>
        <v>44085</v>
      </c>
      <c r="C28783" s="1">
        <v>3.0898270731812401E-2</v>
      </c>
      <c r="D28783" s="1">
        <v>1.2987012987012899E-2</v>
      </c>
      <c r="E28783" s="1">
        <v>1.3134851138353699E-2</v>
      </c>
      <c r="F28783" s="1">
        <v>2.9382165479408799E-2</v>
      </c>
    </row>
    <row r="28784" spans="1:6" x14ac:dyDescent="0.25">
      <c r="A28784" s="2" t="str">
        <f t="shared" si="1028"/>
        <v>11780</v>
      </c>
      <c r="B28784" s="2" t="str">
        <f>"44068"</f>
        <v>44068</v>
      </c>
      <c r="C28784" s="1">
        <v>3.0186726465134298E-4</v>
      </c>
      <c r="D28784" s="1">
        <v>0</v>
      </c>
      <c r="E28784" s="1">
        <v>8.7565674255691704E-4</v>
      </c>
      <c r="F28784" s="1">
        <v>2.9599226473548101E-4</v>
      </c>
    </row>
    <row r="28785" spans="1:6" x14ac:dyDescent="0.25">
      <c r="A28785" s="2" t="str">
        <f t="shared" si="1028"/>
        <v>11780</v>
      </c>
      <c r="B28785" s="2" t="str">
        <f>"44047"</f>
        <v>44047</v>
      </c>
      <c r="C28785" s="1">
        <v>8.90939669670964E-2</v>
      </c>
      <c r="D28785" s="1">
        <v>9.5343680709534306E-2</v>
      </c>
      <c r="E28785" s="1">
        <v>7.6182136602451794E-2</v>
      </c>
      <c r="F28785" s="1">
        <v>8.9192335773625106E-2</v>
      </c>
    </row>
    <row r="28786" spans="1:6" x14ac:dyDescent="0.25">
      <c r="A28786" s="2" t="str">
        <f t="shared" si="1028"/>
        <v>11780</v>
      </c>
      <c r="B28786" s="2" t="str">
        <f>"44093"</f>
        <v>44093</v>
      </c>
      <c r="C28786" s="1">
        <v>1.4101513648712699E-2</v>
      </c>
      <c r="D28786" s="1">
        <v>4.7513462147608402E-3</v>
      </c>
      <c r="E28786" s="1">
        <v>6.1295971978984204E-3</v>
      </c>
      <c r="F28786" s="1">
        <v>1.3339384730745699E-2</v>
      </c>
    </row>
    <row r="28787" spans="1:6" x14ac:dyDescent="0.25">
      <c r="A28787" s="2" t="str">
        <f t="shared" si="1028"/>
        <v>11780</v>
      </c>
      <c r="B28787" s="2" t="str">
        <f>"44076"</f>
        <v>44076</v>
      </c>
      <c r="C28787" s="1">
        <v>3.8250894820820197E-2</v>
      </c>
      <c r="D28787" s="1">
        <v>2.3439974659486801E-2</v>
      </c>
      <c r="E28787" s="1">
        <v>2.1891418563922901E-2</v>
      </c>
      <c r="F28787" s="1">
        <v>3.6959567456637102E-2</v>
      </c>
    </row>
    <row r="28788" spans="1:6" x14ac:dyDescent="0.25">
      <c r="A28788" s="2" t="str">
        <f t="shared" si="1028"/>
        <v>11780</v>
      </c>
      <c r="B28788" s="2" t="str">
        <f>"44041"</f>
        <v>44041</v>
      </c>
      <c r="C28788" s="1">
        <v>0.15490103066108901</v>
      </c>
      <c r="D28788" s="1">
        <v>0.157111181501425</v>
      </c>
      <c r="E28788" s="1">
        <v>0.20665499124343201</v>
      </c>
      <c r="F28788" s="1">
        <v>0.15620498450973799</v>
      </c>
    </row>
    <row r="28789" spans="1:6" x14ac:dyDescent="0.25">
      <c r="A28789" s="2" t="str">
        <f t="shared" si="1028"/>
        <v>11780</v>
      </c>
      <c r="B28789" s="2" t="str">
        <f>"44030"</f>
        <v>44030</v>
      </c>
      <c r="C28789" s="1">
        <v>0.16020526973996199</v>
      </c>
      <c r="D28789" s="1">
        <v>0.14317389927145999</v>
      </c>
      <c r="E28789" s="1">
        <v>0.15148861646234599</v>
      </c>
      <c r="F28789" s="1">
        <v>0.15894784616295299</v>
      </c>
    </row>
    <row r="28790" spans="1:6" x14ac:dyDescent="0.25">
      <c r="A28790" s="2" t="str">
        <f t="shared" si="1028"/>
        <v>11780</v>
      </c>
      <c r="B28790" s="2" t="str">
        <f>"44003"</f>
        <v>44003</v>
      </c>
      <c r="C28790" s="1">
        <v>3.8595885980421699E-2</v>
      </c>
      <c r="D28790" s="1">
        <v>2.3439974659486801E-2</v>
      </c>
      <c r="E28790" s="1">
        <v>7.8809106830122506E-3</v>
      </c>
      <c r="F28790" s="1">
        <v>3.6959567456637102E-2</v>
      </c>
    </row>
    <row r="28791" spans="1:6" x14ac:dyDescent="0.25">
      <c r="A28791" s="2" t="str">
        <f t="shared" si="1028"/>
        <v>11780</v>
      </c>
      <c r="B28791" s="2" t="str">
        <f>"44428"</f>
        <v>44428</v>
      </c>
      <c r="C28791" s="1">
        <v>7.3310621415326204E-4</v>
      </c>
      <c r="D28791" s="1">
        <v>0</v>
      </c>
      <c r="E28791" s="1">
        <v>0</v>
      </c>
      <c r="F28791" s="1">
        <v>6.7091580006709104E-4</v>
      </c>
    </row>
    <row r="28792" spans="1:6" x14ac:dyDescent="0.25">
      <c r="A28792" s="2" t="str">
        <f t="shared" si="1028"/>
        <v>11780</v>
      </c>
      <c r="B28792" s="2" t="str">
        <f>"44084"</f>
        <v>44084</v>
      </c>
      <c r="C28792" s="1">
        <v>3.8121523135969601E-2</v>
      </c>
      <c r="D28792" s="1">
        <v>1.64713335445042E-2</v>
      </c>
      <c r="E28792" s="1">
        <v>1.7513134851138298E-2</v>
      </c>
      <c r="F28792" s="1">
        <v>3.6308384474219003E-2</v>
      </c>
    </row>
    <row r="28793" spans="1:6" x14ac:dyDescent="0.25">
      <c r="A28793" s="2" t="str">
        <f t="shared" si="1028"/>
        <v>11780</v>
      </c>
      <c r="B28793" s="2" t="str">
        <f>"44064"</f>
        <v>44064</v>
      </c>
      <c r="C28793" s="1">
        <v>6.0373452930268597E-4</v>
      </c>
      <c r="D28793" s="1">
        <v>0</v>
      </c>
      <c r="E28793" s="1">
        <v>0</v>
      </c>
      <c r="F28793" s="1">
        <v>5.5251889417289805E-4</v>
      </c>
    </row>
    <row r="28794" spans="1:6" x14ac:dyDescent="0.25">
      <c r="A28794" s="2" t="str">
        <f t="shared" si="1028"/>
        <v>11780</v>
      </c>
      <c r="B28794" s="2" t="str">
        <f>"44057"</f>
        <v>44057</v>
      </c>
      <c r="C28794" s="1">
        <v>4.31238949501919E-4</v>
      </c>
      <c r="D28794" s="1">
        <v>1.2670256572695499E-3</v>
      </c>
      <c r="E28794" s="1">
        <v>0</v>
      </c>
      <c r="F28794" s="1">
        <v>4.7358762357677E-4</v>
      </c>
    </row>
    <row r="28795" spans="1:6" x14ac:dyDescent="0.25">
      <c r="A28795" s="2" t="str">
        <f t="shared" si="1028"/>
        <v>11780</v>
      </c>
      <c r="B28795" s="2" t="str">
        <f>"44032"</f>
        <v>44032</v>
      </c>
      <c r="C28795" s="1">
        <v>1.5201172969942601E-2</v>
      </c>
      <c r="D28795" s="1">
        <v>6.6518847006651798E-3</v>
      </c>
      <c r="E28795" s="1">
        <v>8.7565674255691704E-4</v>
      </c>
      <c r="F28795" s="1">
        <v>1.43457584308463E-2</v>
      </c>
    </row>
    <row r="28796" spans="1:6" x14ac:dyDescent="0.25">
      <c r="A28796" s="2" t="str">
        <f t="shared" si="1028"/>
        <v>11780</v>
      </c>
      <c r="B28796" s="2" t="str">
        <f>"44088"</f>
        <v>44088</v>
      </c>
      <c r="C28796" s="1">
        <v>0</v>
      </c>
      <c r="D28796" s="1">
        <v>0</v>
      </c>
      <c r="E28796" s="1">
        <v>8.7565674255691704E-4</v>
      </c>
      <c r="F28796" s="1">
        <v>1.9732817649032099E-5</v>
      </c>
    </row>
    <row r="28797" spans="1:6" x14ac:dyDescent="0.25">
      <c r="A28797" s="2" t="str">
        <f t="shared" si="1028"/>
        <v>11780</v>
      </c>
      <c r="B28797" s="2" t="str">
        <f>"44048"</f>
        <v>44048</v>
      </c>
      <c r="C28797" s="1">
        <v>2.21441200569235E-2</v>
      </c>
      <c r="D28797" s="1">
        <v>1.36205258156477E-2</v>
      </c>
      <c r="E28797" s="1">
        <v>2.1015761821366E-2</v>
      </c>
      <c r="F28797" s="1">
        <v>2.1587702508041099E-2</v>
      </c>
    </row>
    <row r="28798" spans="1:6" x14ac:dyDescent="0.25">
      <c r="A28798" s="2" t="str">
        <f t="shared" si="1028"/>
        <v>11780</v>
      </c>
      <c r="B28798" s="2" t="str">
        <f>"44062"</f>
        <v>44062</v>
      </c>
      <c r="C28798" s="1">
        <v>2.1346328000344901E-3</v>
      </c>
      <c r="D28798" s="1">
        <v>3.1675641431738901E-4</v>
      </c>
      <c r="E28798" s="1">
        <v>0</v>
      </c>
      <c r="F28798" s="1">
        <v>1.9732817649032101E-3</v>
      </c>
    </row>
    <row r="28799" spans="1:6" x14ac:dyDescent="0.25">
      <c r="A28799" s="2" t="str">
        <f t="shared" si="1028"/>
        <v>11780</v>
      </c>
      <c r="B28799" s="2" t="str">
        <f>"44010"</f>
        <v>44010</v>
      </c>
      <c r="C28799" s="1">
        <v>1.33037215921342E-2</v>
      </c>
      <c r="D28799" s="1">
        <v>1.45707950585999E-2</v>
      </c>
      <c r="E28799" s="1">
        <v>4.3782837127845798E-3</v>
      </c>
      <c r="F28799" s="1">
        <v>1.31815221895534E-2</v>
      </c>
    </row>
    <row r="28800" spans="1:6" x14ac:dyDescent="0.25">
      <c r="A28800" s="2" t="str">
        <f t="shared" si="1028"/>
        <v>11780</v>
      </c>
      <c r="B28800" s="2" t="str">
        <f>"44004"</f>
        <v>44004</v>
      </c>
      <c r="C28800" s="1">
        <v>0.35258096511276799</v>
      </c>
      <c r="D28800" s="1">
        <v>0.47925245486221002</v>
      </c>
      <c r="E28800" s="1">
        <v>0.46584938704028001</v>
      </c>
      <c r="F28800" s="1">
        <v>0.36302464628924302</v>
      </c>
    </row>
    <row r="28801" spans="1:6" x14ac:dyDescent="0.25">
      <c r="A28801" s="2" t="str">
        <f t="shared" si="1028"/>
        <v>11780</v>
      </c>
      <c r="B28801" s="2" t="str">
        <f>"44082"</f>
        <v>44082</v>
      </c>
      <c r="C28801" s="1">
        <v>1.4166199491137999E-2</v>
      </c>
      <c r="D28801" s="1">
        <v>3.80107697180867E-3</v>
      </c>
      <c r="E28801" s="1">
        <v>8.7565674255691704E-4</v>
      </c>
      <c r="F28801" s="1">
        <v>1.32209878248515E-2</v>
      </c>
    </row>
    <row r="28802" spans="1:6" x14ac:dyDescent="0.25">
      <c r="A28802" s="2" t="str">
        <f t="shared" si="1028"/>
        <v>11780</v>
      </c>
      <c r="B28802" s="2" t="str">
        <f>"44046"</f>
        <v>44046</v>
      </c>
      <c r="C28802" s="1">
        <v>8.6247789900383806E-5</v>
      </c>
      <c r="D28802" s="1">
        <v>0</v>
      </c>
      <c r="E28802" s="1">
        <v>0</v>
      </c>
      <c r="F28802" s="1">
        <v>7.8931270596128397E-5</v>
      </c>
    </row>
    <row r="28803" spans="1:6" x14ac:dyDescent="0.25">
      <c r="A28803" s="2" t="str">
        <f t="shared" ref="A28803:A28818" si="1029">"18020"</f>
        <v>18020</v>
      </c>
      <c r="B28803" s="2" t="str">
        <f>"47246"</f>
        <v>47246</v>
      </c>
      <c r="C28803" s="1">
        <v>5.3225378285107497E-2</v>
      </c>
      <c r="D28803" s="1">
        <v>3.5861258083480299E-2</v>
      </c>
      <c r="E28803" s="1">
        <v>1.96779964221824E-2</v>
      </c>
      <c r="F28803" s="1">
        <v>5.0936240815359003E-2</v>
      </c>
    </row>
    <row r="28804" spans="1:6" x14ac:dyDescent="0.25">
      <c r="A28804" s="2" t="str">
        <f t="shared" si="1029"/>
        <v>18020</v>
      </c>
      <c r="B28804" s="2" t="str">
        <f>"47202"</f>
        <v>47202</v>
      </c>
      <c r="C28804" s="1">
        <v>3.0076984337669199E-2</v>
      </c>
      <c r="D28804" s="1">
        <v>0.136096413874191</v>
      </c>
      <c r="E28804" s="1">
        <v>1.78890876565295E-3</v>
      </c>
      <c r="F28804" s="1">
        <v>3.7876273998577799E-2</v>
      </c>
    </row>
    <row r="28805" spans="1:6" x14ac:dyDescent="0.25">
      <c r="A28805" s="2" t="str">
        <f t="shared" si="1029"/>
        <v>18020</v>
      </c>
      <c r="B28805" s="2" t="str">
        <f>"47201"</f>
        <v>47201</v>
      </c>
      <c r="C28805" s="1">
        <v>0.54611096363153699</v>
      </c>
      <c r="D28805" s="1">
        <v>0.62580834803056995</v>
      </c>
      <c r="E28805" s="1">
        <v>0.75581395348837199</v>
      </c>
      <c r="F28805" s="1">
        <v>0.55809433515050899</v>
      </c>
    </row>
    <row r="28806" spans="1:6" x14ac:dyDescent="0.25">
      <c r="A28806" s="2" t="str">
        <f t="shared" si="1029"/>
        <v>18020</v>
      </c>
      <c r="B28806" s="2" t="str">
        <f>"47232"</f>
        <v>47232</v>
      </c>
      <c r="C28806" s="1">
        <v>1.5901247677196698E-2</v>
      </c>
      <c r="D28806" s="1">
        <v>1.4697236919459099E-3</v>
      </c>
      <c r="E28806" s="1">
        <v>6.2611806797853303E-3</v>
      </c>
      <c r="F28806" s="1">
        <v>1.4482104764162101E-2</v>
      </c>
    </row>
    <row r="28807" spans="1:6" x14ac:dyDescent="0.25">
      <c r="A28807" s="2" t="str">
        <f t="shared" si="1029"/>
        <v>18020</v>
      </c>
      <c r="B28807" s="2" t="str">
        <f>"47273"</f>
        <v>47273</v>
      </c>
      <c r="C28807" s="1">
        <v>2.1237058667374501E-4</v>
      </c>
      <c r="D28807" s="1">
        <v>0</v>
      </c>
      <c r="E28807" s="1">
        <v>0</v>
      </c>
      <c r="F28807" s="1">
        <v>1.89618392984119E-4</v>
      </c>
    </row>
    <row r="28808" spans="1:6" x14ac:dyDescent="0.25">
      <c r="A28808" s="2" t="str">
        <f t="shared" si="1029"/>
        <v>18020</v>
      </c>
      <c r="B28808" s="2" t="str">
        <f>"47244"</f>
        <v>47244</v>
      </c>
      <c r="C28808" s="1">
        <v>3.42447571011414E-3</v>
      </c>
      <c r="D28808" s="1">
        <v>2.9394473838918202E-4</v>
      </c>
      <c r="E28808" s="1">
        <v>8.9445438282647499E-4</v>
      </c>
      <c r="F28808" s="1">
        <v>3.1050011851149499E-3</v>
      </c>
    </row>
    <row r="28809" spans="1:6" x14ac:dyDescent="0.25">
      <c r="A28809" s="2" t="str">
        <f t="shared" si="1029"/>
        <v>18020</v>
      </c>
      <c r="B28809" s="2" t="str">
        <f>"47283"</f>
        <v>47283</v>
      </c>
      <c r="C28809" s="1">
        <v>2.6546323334218202E-4</v>
      </c>
      <c r="D28809" s="1">
        <v>0</v>
      </c>
      <c r="E28809" s="1">
        <v>0</v>
      </c>
      <c r="F28809" s="1">
        <v>2.37022991230149E-4</v>
      </c>
    </row>
    <row r="28810" spans="1:6" x14ac:dyDescent="0.25">
      <c r="A28810" s="2" t="str">
        <f t="shared" si="1029"/>
        <v>18020</v>
      </c>
      <c r="B28810" s="2" t="str">
        <f>"47274"</f>
        <v>47274</v>
      </c>
      <c r="C28810" s="1">
        <v>4.6456065834881797E-3</v>
      </c>
      <c r="D28810" s="1">
        <v>5.8788947677836502E-4</v>
      </c>
      <c r="E28810" s="1">
        <v>1.96779964221824E-2</v>
      </c>
      <c r="F28810" s="1">
        <v>4.7167575254799697E-3</v>
      </c>
    </row>
    <row r="28811" spans="1:6" x14ac:dyDescent="0.25">
      <c r="A28811" s="2" t="str">
        <f t="shared" si="1029"/>
        <v>18020</v>
      </c>
      <c r="B28811" s="2" t="str">
        <f>"47203"</f>
        <v>47203</v>
      </c>
      <c r="C28811" s="1">
        <v>0.30931775949030998</v>
      </c>
      <c r="D28811" s="1">
        <v>0.142269253380364</v>
      </c>
      <c r="E28811" s="1">
        <v>0.180679785330948</v>
      </c>
      <c r="F28811" s="1">
        <v>0.29243896657975799</v>
      </c>
    </row>
    <row r="28812" spans="1:6" x14ac:dyDescent="0.25">
      <c r="A28812" s="2" t="str">
        <f t="shared" si="1029"/>
        <v>18020</v>
      </c>
      <c r="B28812" s="2" t="str">
        <f>"47236"</f>
        <v>47236</v>
      </c>
      <c r="C28812" s="1">
        <v>1.56623307671887E-3</v>
      </c>
      <c r="D28812" s="1">
        <v>2.9394473838918202E-4</v>
      </c>
      <c r="E28812" s="1">
        <v>8.9445438282647499E-4</v>
      </c>
      <c r="F28812" s="1">
        <v>1.4458402465039101E-3</v>
      </c>
    </row>
    <row r="28813" spans="1:6" x14ac:dyDescent="0.25">
      <c r="A28813" s="2" t="str">
        <f t="shared" si="1029"/>
        <v>18020</v>
      </c>
      <c r="B28813" s="2" t="str">
        <f>"46124"</f>
        <v>46124</v>
      </c>
      <c r="C28813" s="1">
        <v>1.9856649853995201E-2</v>
      </c>
      <c r="D28813" s="1">
        <v>5.4673721340387997E-2</v>
      </c>
      <c r="E28813" s="1">
        <v>8.0500894454382799E-3</v>
      </c>
      <c r="F28813" s="1">
        <v>2.2351268073003E-2</v>
      </c>
    </row>
    <row r="28814" spans="1:6" x14ac:dyDescent="0.25">
      <c r="A28814" s="2" t="str">
        <f t="shared" si="1029"/>
        <v>18020</v>
      </c>
      <c r="B28814" s="2" t="str">
        <f>"47247"</f>
        <v>47247</v>
      </c>
      <c r="C28814" s="1">
        <v>2.4688080700822901E-3</v>
      </c>
      <c r="D28814" s="1">
        <v>2.6455026455026402E-3</v>
      </c>
      <c r="E28814" s="1">
        <v>8.9445438282647499E-4</v>
      </c>
      <c r="F28814" s="1">
        <v>2.44133680967053E-3</v>
      </c>
    </row>
    <row r="28815" spans="1:6" x14ac:dyDescent="0.25">
      <c r="A28815" s="2" t="str">
        <f t="shared" si="1029"/>
        <v>18020</v>
      </c>
      <c r="B28815" s="2" t="str">
        <f>"47234"</f>
        <v>47234</v>
      </c>
      <c r="C28815" s="1">
        <v>4.77833820015927E-4</v>
      </c>
      <c r="D28815" s="1">
        <v>0</v>
      </c>
      <c r="E28815" s="1">
        <v>0</v>
      </c>
      <c r="F28815" s="1">
        <v>4.26641384214268E-4</v>
      </c>
    </row>
    <row r="28816" spans="1:6" x14ac:dyDescent="0.25">
      <c r="A28816" s="2" t="str">
        <f t="shared" si="1029"/>
        <v>18020</v>
      </c>
      <c r="B28816" s="2" t="str">
        <f>"47448"</f>
        <v>47448</v>
      </c>
      <c r="C28816" s="1">
        <v>1.4069551367135601E-3</v>
      </c>
      <c r="D28816" s="1">
        <v>0</v>
      </c>
      <c r="E28816" s="1">
        <v>0</v>
      </c>
      <c r="F28816" s="1">
        <v>1.2562218535197901E-3</v>
      </c>
    </row>
    <row r="28817" spans="1:6" x14ac:dyDescent="0.25">
      <c r="A28817" s="2" t="str">
        <f t="shared" si="1029"/>
        <v>18020</v>
      </c>
      <c r="B28817" s="2" t="str">
        <f>"47280"</f>
        <v>47280</v>
      </c>
      <c r="C28817" s="1">
        <v>8.9461109636315306E-3</v>
      </c>
      <c r="D28817" s="1">
        <v>0</v>
      </c>
      <c r="E28817" s="1">
        <v>4.4722719141323704E-3</v>
      </c>
      <c r="F28817" s="1">
        <v>8.1061863000710995E-3</v>
      </c>
    </row>
    <row r="28818" spans="1:6" x14ac:dyDescent="0.25">
      <c r="A28818" s="2" t="str">
        <f t="shared" si="1029"/>
        <v>18020</v>
      </c>
      <c r="B28818" s="2" t="str">
        <f>"47226"</f>
        <v>47226</v>
      </c>
      <c r="C28818" s="1">
        <v>2.0971595434032299E-3</v>
      </c>
      <c r="D28818" s="1">
        <v>0</v>
      </c>
      <c r="E28818" s="1">
        <v>8.9445438282647499E-4</v>
      </c>
      <c r="F28818" s="1">
        <v>1.89618392984119E-3</v>
      </c>
    </row>
    <row r="28819" spans="1:6" x14ac:dyDescent="0.25">
      <c r="A28819" s="2" t="str">
        <f t="shared" ref="A28819:A28828" si="1030">"24700"</f>
        <v>24700</v>
      </c>
      <c r="B28819" s="2" t="str">
        <f>"47263"</f>
        <v>47263</v>
      </c>
      <c r="C28819" s="1">
        <v>0</v>
      </c>
      <c r="D28819" s="1">
        <v>0</v>
      </c>
      <c r="E28819" s="1">
        <v>4.8309178743961298E-3</v>
      </c>
      <c r="F28819" s="1">
        <v>1.4874312063067001E-4</v>
      </c>
    </row>
    <row r="28820" spans="1:6" x14ac:dyDescent="0.25">
      <c r="A28820" s="2" t="str">
        <f t="shared" si="1030"/>
        <v>24700</v>
      </c>
      <c r="B28820" s="2" t="str">
        <f>"46173"</f>
        <v>46173</v>
      </c>
      <c r="C28820" s="1">
        <v>2.0764119601328901E-3</v>
      </c>
      <c r="D28820" s="1">
        <v>3.0241935483870902E-3</v>
      </c>
      <c r="E28820" s="1">
        <v>0</v>
      </c>
      <c r="F28820" s="1">
        <v>2.0824036888293898E-3</v>
      </c>
    </row>
    <row r="28821" spans="1:6" x14ac:dyDescent="0.25">
      <c r="A28821" s="2" t="str">
        <f t="shared" si="1030"/>
        <v>24700</v>
      </c>
      <c r="B28821" s="2" t="str">
        <f>"47246"</f>
        <v>47246</v>
      </c>
      <c r="C28821" s="1">
        <v>1.6611295681063099E-3</v>
      </c>
      <c r="D28821" s="1">
        <v>0</v>
      </c>
      <c r="E28821" s="1">
        <v>0</v>
      </c>
      <c r="F28821" s="1">
        <v>1.4874312063067E-3</v>
      </c>
    </row>
    <row r="28822" spans="1:6" x14ac:dyDescent="0.25">
      <c r="A28822" s="2" t="str">
        <f t="shared" si="1030"/>
        <v>24700</v>
      </c>
      <c r="B28822" s="2" t="str">
        <f>"47244"</f>
        <v>47244</v>
      </c>
      <c r="C28822" s="1">
        <v>3.2392026578073E-3</v>
      </c>
      <c r="D28822" s="1">
        <v>0</v>
      </c>
      <c r="E28822" s="1">
        <v>0</v>
      </c>
      <c r="F28822" s="1">
        <v>2.9004908522980801E-3</v>
      </c>
    </row>
    <row r="28823" spans="1:6" x14ac:dyDescent="0.25">
      <c r="A28823" s="2" t="str">
        <f t="shared" si="1030"/>
        <v>24700</v>
      </c>
      <c r="B28823" s="2" t="str">
        <f>"47225"</f>
        <v>47225</v>
      </c>
      <c r="C28823" s="1">
        <v>0</v>
      </c>
      <c r="D28823" s="1">
        <v>0</v>
      </c>
      <c r="E28823" s="1">
        <v>2.4154589371980601E-3</v>
      </c>
      <c r="F28823" s="1">
        <v>7.4371560315335399E-5</v>
      </c>
    </row>
    <row r="28824" spans="1:6" x14ac:dyDescent="0.25">
      <c r="A28824" s="2" t="str">
        <f t="shared" si="1030"/>
        <v>24700</v>
      </c>
      <c r="B28824" s="2" t="str">
        <f>"47283"</f>
        <v>47283</v>
      </c>
      <c r="C28824" s="1">
        <v>0.115531561461794</v>
      </c>
      <c r="D28824" s="1">
        <v>3.3266129032258E-2</v>
      </c>
      <c r="E28824" s="1">
        <v>7.0048309178743898E-2</v>
      </c>
      <c r="F28824" s="1">
        <v>0.10806187713818199</v>
      </c>
    </row>
    <row r="28825" spans="1:6" x14ac:dyDescent="0.25">
      <c r="A28825" s="2" t="str">
        <f t="shared" si="1030"/>
        <v>24700</v>
      </c>
      <c r="B28825" s="2" t="str">
        <f>"47272"</f>
        <v>47272</v>
      </c>
      <c r="C28825" s="1">
        <v>5.1578073089700902E-2</v>
      </c>
      <c r="D28825" s="1">
        <v>1.4112903225806399E-2</v>
      </c>
      <c r="E28825" s="1">
        <v>1.6908212560386399E-2</v>
      </c>
      <c r="F28825" s="1">
        <v>4.7746541722445301E-2</v>
      </c>
    </row>
    <row r="28826" spans="1:6" x14ac:dyDescent="0.25">
      <c r="A28826" s="2" t="str">
        <f t="shared" si="1030"/>
        <v>24700</v>
      </c>
      <c r="B28826" s="2" t="str">
        <f>"47240"</f>
        <v>47240</v>
      </c>
      <c r="C28826" s="1">
        <v>0.82524916943521498</v>
      </c>
      <c r="D28826" s="1">
        <v>0.94959677419354804</v>
      </c>
      <c r="E28826" s="1">
        <v>0.90579710144927505</v>
      </c>
      <c r="F28826" s="1">
        <v>0.836903168228469</v>
      </c>
    </row>
    <row r="28827" spans="1:6" x14ac:dyDescent="0.25">
      <c r="A28827" s="2" t="str">
        <f t="shared" si="1030"/>
        <v>24700</v>
      </c>
      <c r="B28827" s="2" t="str">
        <f>"47006"</f>
        <v>47006</v>
      </c>
      <c r="C28827" s="1">
        <v>4.9833887043189298E-4</v>
      </c>
      <c r="D28827" s="1">
        <v>0</v>
      </c>
      <c r="E28827" s="1">
        <v>0</v>
      </c>
      <c r="F28827" s="1">
        <v>4.4622936189201199E-4</v>
      </c>
    </row>
    <row r="28828" spans="1:6" x14ac:dyDescent="0.25">
      <c r="A28828" s="2" t="str">
        <f t="shared" si="1030"/>
        <v>24700</v>
      </c>
      <c r="B28828" s="2" t="str">
        <f>"46156"</f>
        <v>46156</v>
      </c>
      <c r="C28828" s="1">
        <v>1.6611295681063099E-4</v>
      </c>
      <c r="D28828" s="1">
        <v>0</v>
      </c>
      <c r="E28828" s="1">
        <v>0</v>
      </c>
      <c r="F28828" s="1">
        <v>1.4874312063067001E-4</v>
      </c>
    </row>
    <row r="28829" spans="1:6" x14ac:dyDescent="0.25">
      <c r="A28829" s="2" t="str">
        <f t="shared" ref="A28829:A28847" si="1031">"37940"</f>
        <v>37940</v>
      </c>
      <c r="B28829" s="2" t="str">
        <f>"46936"</f>
        <v>46936</v>
      </c>
      <c r="C28829" s="1">
        <v>2.4310198128114701E-4</v>
      </c>
      <c r="D28829" s="1">
        <v>0</v>
      </c>
      <c r="E28829" s="1">
        <v>0</v>
      </c>
      <c r="F28829" s="1">
        <v>2.2412730430884699E-4</v>
      </c>
    </row>
    <row r="28830" spans="1:6" x14ac:dyDescent="0.25">
      <c r="A28830" s="2" t="str">
        <f t="shared" si="1031"/>
        <v>37940</v>
      </c>
      <c r="B28830" s="2" t="str">
        <f>"46921"</f>
        <v>46921</v>
      </c>
      <c r="C28830" s="1">
        <v>0</v>
      </c>
      <c r="D28830" s="1">
        <v>0</v>
      </c>
      <c r="E28830" s="1">
        <v>3.2362459546925498E-3</v>
      </c>
      <c r="F28830" s="1">
        <v>5.6031826077211802E-5</v>
      </c>
    </row>
    <row r="28831" spans="1:6" x14ac:dyDescent="0.25">
      <c r="A28831" s="2" t="str">
        <f t="shared" si="1031"/>
        <v>37940</v>
      </c>
      <c r="B28831" s="2" t="str">
        <f>"46914"</f>
        <v>46914</v>
      </c>
      <c r="C28831" s="1">
        <v>5.8040598030873899E-2</v>
      </c>
      <c r="D28831" s="1">
        <v>2.85977859778597E-2</v>
      </c>
      <c r="E28831" s="1">
        <v>7.7669902912621297E-2</v>
      </c>
      <c r="F28831" s="1">
        <v>5.6592144337983902E-2</v>
      </c>
    </row>
    <row r="28832" spans="1:6" x14ac:dyDescent="0.25">
      <c r="A28832" s="2" t="str">
        <f t="shared" si="1031"/>
        <v>37940</v>
      </c>
      <c r="B28832" s="2" t="str">
        <f>"46998"</f>
        <v>46998</v>
      </c>
      <c r="C28832" s="1">
        <v>4.7404886349823698E-3</v>
      </c>
      <c r="D28832" s="1">
        <v>9.2250922509225003E-4</v>
      </c>
      <c r="E28832" s="1">
        <v>0</v>
      </c>
      <c r="F28832" s="1">
        <v>4.4265142600997303E-3</v>
      </c>
    </row>
    <row r="28833" spans="1:6" x14ac:dyDescent="0.25">
      <c r="A28833" s="2" t="str">
        <f t="shared" si="1031"/>
        <v>37940</v>
      </c>
      <c r="B28833" s="2" t="str">
        <f>"46970"</f>
        <v>46970</v>
      </c>
      <c r="C28833" s="1">
        <v>0.69399538106235503</v>
      </c>
      <c r="D28833" s="1">
        <v>0.825645756457564</v>
      </c>
      <c r="E28833" s="1">
        <v>0.83171521035598694</v>
      </c>
      <c r="F28833" s="1">
        <v>0.70437608561663001</v>
      </c>
    </row>
    <row r="28834" spans="1:6" x14ac:dyDescent="0.25">
      <c r="A28834" s="2" t="str">
        <f t="shared" si="1031"/>
        <v>37940</v>
      </c>
      <c r="B28834" s="2" t="str">
        <f>"46932"</f>
        <v>46932</v>
      </c>
      <c r="C28834" s="1">
        <v>1.21550990640573E-3</v>
      </c>
      <c r="D28834" s="1">
        <v>0</v>
      </c>
      <c r="E28834" s="1">
        <v>0</v>
      </c>
      <c r="F28834" s="1">
        <v>1.1206365215442301E-3</v>
      </c>
    </row>
    <row r="28835" spans="1:6" x14ac:dyDescent="0.25">
      <c r="A28835" s="2" t="str">
        <f t="shared" si="1031"/>
        <v>37940</v>
      </c>
      <c r="B28835" s="2" t="str">
        <f>"46982"</f>
        <v>46982</v>
      </c>
      <c r="C28835" s="1">
        <v>2.4310198128114701E-4</v>
      </c>
      <c r="D28835" s="1">
        <v>0</v>
      </c>
      <c r="E28835" s="1">
        <v>0</v>
      </c>
      <c r="F28835" s="1">
        <v>2.2412730430884699E-4</v>
      </c>
    </row>
    <row r="28836" spans="1:6" x14ac:dyDescent="0.25">
      <c r="A28836" s="2" t="str">
        <f t="shared" si="1031"/>
        <v>37940</v>
      </c>
      <c r="B28836" s="2" t="str">
        <f>"46971"</f>
        <v>46971</v>
      </c>
      <c r="C28836" s="1">
        <v>6.0775495320286801E-5</v>
      </c>
      <c r="D28836" s="1">
        <v>4.5202952029520203E-2</v>
      </c>
      <c r="E28836" s="1">
        <v>0</v>
      </c>
      <c r="F28836" s="1">
        <v>2.8015913038605899E-3</v>
      </c>
    </row>
    <row r="28837" spans="1:6" x14ac:dyDescent="0.25">
      <c r="A28837" s="2" t="str">
        <f t="shared" si="1031"/>
        <v>37940</v>
      </c>
      <c r="B28837" s="2" t="str">
        <f>"46958"</f>
        <v>46958</v>
      </c>
      <c r="C28837" s="1">
        <v>1.36137109517442E-2</v>
      </c>
      <c r="D28837" s="1">
        <v>1.0147601476014701E-2</v>
      </c>
      <c r="E28837" s="1">
        <v>3.2362459546925498E-3</v>
      </c>
      <c r="F28837" s="1">
        <v>1.32235109542219E-2</v>
      </c>
    </row>
    <row r="28838" spans="1:6" x14ac:dyDescent="0.25">
      <c r="A28838" s="2" t="str">
        <f t="shared" si="1031"/>
        <v>37940</v>
      </c>
      <c r="B28838" s="2" t="str">
        <f>"46911"</f>
        <v>46911</v>
      </c>
      <c r="C28838" s="1">
        <v>3.3912726388719998E-2</v>
      </c>
      <c r="D28838" s="1">
        <v>1.4760147601476E-2</v>
      </c>
      <c r="E28838" s="1">
        <v>3.2362459546925498E-3</v>
      </c>
      <c r="F28838" s="1">
        <v>3.22182999943968E-2</v>
      </c>
    </row>
    <row r="28839" spans="1:6" x14ac:dyDescent="0.25">
      <c r="A28839" s="2" t="str">
        <f t="shared" si="1031"/>
        <v>37940</v>
      </c>
      <c r="B28839" s="2" t="str">
        <f>"46901"</f>
        <v>46901</v>
      </c>
      <c r="C28839" s="1">
        <v>5.6035006685304402E-2</v>
      </c>
      <c r="D28839" s="1">
        <v>1.38376383763837E-2</v>
      </c>
      <c r="E28839" s="1">
        <v>1.94174757281553E-2</v>
      </c>
      <c r="F28839" s="1">
        <v>5.2838011990810702E-2</v>
      </c>
    </row>
    <row r="28840" spans="1:6" x14ac:dyDescent="0.25">
      <c r="A28840" s="2" t="str">
        <f t="shared" si="1031"/>
        <v>37940</v>
      </c>
      <c r="B28840" s="2" t="str">
        <f>"46974"</f>
        <v>46974</v>
      </c>
      <c r="C28840" s="1">
        <v>9.6025282606053194E-3</v>
      </c>
      <c r="D28840" s="1">
        <v>3.6900369003690001E-3</v>
      </c>
      <c r="E28840" s="1">
        <v>3.2362459546925498E-3</v>
      </c>
      <c r="F28840" s="1">
        <v>9.1331876505855308E-3</v>
      </c>
    </row>
    <row r="28841" spans="1:6" x14ac:dyDescent="0.25">
      <c r="A28841" s="2" t="str">
        <f t="shared" si="1031"/>
        <v>37940</v>
      </c>
      <c r="B28841" s="2" t="str">
        <f>"46959"</f>
        <v>46959</v>
      </c>
      <c r="C28841" s="1">
        <v>6.5637534945909796E-3</v>
      </c>
      <c r="D28841" s="1">
        <v>5.5350553505535E-3</v>
      </c>
      <c r="E28841" s="1">
        <v>6.4724919093851101E-3</v>
      </c>
      <c r="F28841" s="1">
        <v>6.4996918249565702E-3</v>
      </c>
    </row>
    <row r="28842" spans="1:6" x14ac:dyDescent="0.25">
      <c r="A28842" s="2" t="str">
        <f t="shared" si="1031"/>
        <v>37940</v>
      </c>
      <c r="B28842" s="2" t="str">
        <f>"46926"</f>
        <v>46926</v>
      </c>
      <c r="C28842" s="1">
        <v>4.1570438799076202E-2</v>
      </c>
      <c r="D28842" s="1">
        <v>2.5830258302582999E-2</v>
      </c>
      <c r="E28842" s="1">
        <v>3.2362459546925498E-3</v>
      </c>
      <c r="F28842" s="1">
        <v>3.9950691993051998E-2</v>
      </c>
    </row>
    <row r="28843" spans="1:6" x14ac:dyDescent="0.25">
      <c r="A28843" s="2" t="str">
        <f t="shared" si="1031"/>
        <v>37940</v>
      </c>
      <c r="B28843" s="2" t="str">
        <f>"46951"</f>
        <v>46951</v>
      </c>
      <c r="C28843" s="1">
        <v>3.95040719581864E-2</v>
      </c>
      <c r="D28843" s="1">
        <v>1.75276752767527E-2</v>
      </c>
      <c r="E28843" s="1">
        <v>9.7087378640776604E-3</v>
      </c>
      <c r="F28843" s="1">
        <v>3.76533871238863E-2</v>
      </c>
    </row>
    <row r="28844" spans="1:6" x14ac:dyDescent="0.25">
      <c r="A28844" s="2" t="str">
        <f t="shared" si="1031"/>
        <v>37940</v>
      </c>
      <c r="B28844" s="2" t="str">
        <f>"46919"</f>
        <v>46919</v>
      </c>
      <c r="C28844" s="1">
        <v>3.6951501154734397E-2</v>
      </c>
      <c r="D28844" s="1">
        <v>5.5350553505535E-3</v>
      </c>
      <c r="E28844" s="1">
        <v>3.88349514563106E-2</v>
      </c>
      <c r="F28844" s="1">
        <v>3.50759231243346E-2</v>
      </c>
    </row>
    <row r="28845" spans="1:6" x14ac:dyDescent="0.25">
      <c r="A28845" s="2" t="str">
        <f t="shared" si="1031"/>
        <v>37940</v>
      </c>
      <c r="B28845" s="2" t="str">
        <f>"46975"</f>
        <v>46975</v>
      </c>
      <c r="C28845" s="1">
        <v>1.21550990640573E-4</v>
      </c>
      <c r="D28845" s="1">
        <v>0</v>
      </c>
      <c r="E28845" s="1">
        <v>0</v>
      </c>
      <c r="F28845" s="1">
        <v>1.1206365215442299E-4</v>
      </c>
    </row>
    <row r="28846" spans="1:6" x14ac:dyDescent="0.25">
      <c r="A28846" s="2" t="str">
        <f t="shared" si="1031"/>
        <v>37940</v>
      </c>
      <c r="B28846" s="2" t="str">
        <f>"46910"</f>
        <v>46910</v>
      </c>
      <c r="C28846" s="1">
        <v>2.7348972894128999E-3</v>
      </c>
      <c r="D28846" s="1">
        <v>1.8450184501845001E-3</v>
      </c>
      <c r="E28846" s="1">
        <v>0</v>
      </c>
      <c r="F28846" s="1">
        <v>2.6334958256289502E-3</v>
      </c>
    </row>
    <row r="28847" spans="1:6" x14ac:dyDescent="0.25">
      <c r="A28847" s="2" t="str">
        <f t="shared" si="1031"/>
        <v>37940</v>
      </c>
      <c r="B28847" s="2" t="str">
        <f>"46992"</f>
        <v>46992</v>
      </c>
      <c r="C28847" s="1">
        <v>8.5085693448401598E-4</v>
      </c>
      <c r="D28847" s="1">
        <v>9.2250922509225003E-4</v>
      </c>
      <c r="E28847" s="1">
        <v>0</v>
      </c>
      <c r="F28847" s="1">
        <v>8.4047739115817699E-4</v>
      </c>
    </row>
    <row r="28848" spans="1:6" x14ac:dyDescent="0.25">
      <c r="A28848" s="2" t="str">
        <f t="shared" ref="A28848:A28867" si="1032">"39980"</f>
        <v>39980</v>
      </c>
      <c r="B28848" s="2" t="str">
        <f>"47354"</f>
        <v>47354</v>
      </c>
      <c r="C28848" s="1">
        <v>6.9777319337418803E-4</v>
      </c>
      <c r="D28848" s="1">
        <v>0</v>
      </c>
      <c r="E28848" s="1">
        <v>0</v>
      </c>
      <c r="F28848" s="1">
        <v>6.1479244072598898E-4</v>
      </c>
    </row>
    <row r="28849" spans="1:6" x14ac:dyDescent="0.25">
      <c r="A28849" s="2" t="str">
        <f t="shared" si="1032"/>
        <v>39980</v>
      </c>
      <c r="B28849" s="2" t="str">
        <f>"47358"</f>
        <v>47358</v>
      </c>
      <c r="C28849" s="1">
        <v>5.7642133365693805E-4</v>
      </c>
      <c r="D28849" s="1">
        <v>0</v>
      </c>
      <c r="E28849" s="1">
        <v>0</v>
      </c>
      <c r="F28849" s="1">
        <v>5.0787201625190404E-4</v>
      </c>
    </row>
    <row r="28850" spans="1:6" x14ac:dyDescent="0.25">
      <c r="A28850" s="2" t="str">
        <f t="shared" si="1032"/>
        <v>39980</v>
      </c>
      <c r="B28850" s="2" t="str">
        <f>"47355"</f>
        <v>47355</v>
      </c>
      <c r="C28850" s="1">
        <v>3.9439354408106302E-4</v>
      </c>
      <c r="D28850" s="1">
        <v>0</v>
      </c>
      <c r="E28850" s="1">
        <v>0</v>
      </c>
      <c r="F28850" s="1">
        <v>3.4749137954077599E-4</v>
      </c>
    </row>
    <row r="28851" spans="1:6" x14ac:dyDescent="0.25">
      <c r="A28851" s="2" t="str">
        <f t="shared" si="1032"/>
        <v>39980</v>
      </c>
      <c r="B28851" s="2" t="str">
        <f>"47370"</f>
        <v>47370</v>
      </c>
      <c r="C28851" s="1">
        <v>0</v>
      </c>
      <c r="D28851" s="1">
        <v>3.12695434646654E-4</v>
      </c>
      <c r="E28851" s="1">
        <v>0</v>
      </c>
      <c r="F28851" s="1">
        <v>2.67301061185212E-5</v>
      </c>
    </row>
    <row r="28852" spans="1:6" x14ac:dyDescent="0.25">
      <c r="A28852" s="2" t="str">
        <f t="shared" si="1032"/>
        <v>39980</v>
      </c>
      <c r="B28852" s="2" t="str">
        <f>"47392"</f>
        <v>47392</v>
      </c>
      <c r="C28852" s="1">
        <v>3.0337964929312501E-4</v>
      </c>
      <c r="D28852" s="1">
        <v>3.12695434646654E-4</v>
      </c>
      <c r="E28852" s="1">
        <v>1.59872102318145E-3</v>
      </c>
      <c r="F28852" s="1">
        <v>3.4749137954077599E-4</v>
      </c>
    </row>
    <row r="28853" spans="1:6" x14ac:dyDescent="0.25">
      <c r="A28853" s="2" t="str">
        <f t="shared" si="1032"/>
        <v>39980</v>
      </c>
      <c r="B28853" s="2" t="str">
        <f>"47341"</f>
        <v>47341</v>
      </c>
      <c r="C28853" s="1">
        <v>2.17826588192464E-2</v>
      </c>
      <c r="D28853" s="1">
        <v>3.1269543464665399E-3</v>
      </c>
      <c r="E28853" s="1">
        <v>1.1990407673860899E-2</v>
      </c>
      <c r="F28853" s="1">
        <v>1.98604688460613E-2</v>
      </c>
    </row>
    <row r="28854" spans="1:6" x14ac:dyDescent="0.25">
      <c r="A28854" s="2" t="str">
        <f t="shared" si="1032"/>
        <v>39980</v>
      </c>
      <c r="B28854" s="2" t="str">
        <f>"47325"</f>
        <v>47325</v>
      </c>
      <c r="C28854" s="1">
        <v>4.24731509010375E-4</v>
      </c>
      <c r="D28854" s="1">
        <v>6.2539086929330799E-4</v>
      </c>
      <c r="E28854" s="1">
        <v>0</v>
      </c>
      <c r="F28854" s="1">
        <v>4.2768169789634002E-4</v>
      </c>
    </row>
    <row r="28855" spans="1:6" x14ac:dyDescent="0.25">
      <c r="A28855" s="2" t="str">
        <f t="shared" si="1032"/>
        <v>39980</v>
      </c>
      <c r="B28855" s="2" t="str">
        <f>"47393"</f>
        <v>47393</v>
      </c>
      <c r="C28855" s="1">
        <v>1.4046477762271701E-2</v>
      </c>
      <c r="D28855" s="1">
        <v>2.5015634771732298E-3</v>
      </c>
      <c r="E28855" s="1">
        <v>1.59872102318145E-3</v>
      </c>
      <c r="F28855" s="1">
        <v>1.26433401940605E-2</v>
      </c>
    </row>
    <row r="28856" spans="1:6" x14ac:dyDescent="0.25">
      <c r="A28856" s="2" t="str">
        <f t="shared" si="1032"/>
        <v>39980</v>
      </c>
      <c r="B28856" s="2" t="str">
        <f>"47331"</f>
        <v>47331</v>
      </c>
      <c r="C28856" s="1">
        <v>2.73041684363812E-4</v>
      </c>
      <c r="D28856" s="1">
        <v>0</v>
      </c>
      <c r="E28856" s="1">
        <v>0</v>
      </c>
      <c r="F28856" s="1">
        <v>2.40570955066691E-4</v>
      </c>
    </row>
    <row r="28857" spans="1:6" x14ac:dyDescent="0.25">
      <c r="A28857" s="2" t="str">
        <f t="shared" si="1032"/>
        <v>39980</v>
      </c>
      <c r="B28857" s="2" t="str">
        <f>"47374"</f>
        <v>47374</v>
      </c>
      <c r="C28857" s="1">
        <v>0.69577088768885298</v>
      </c>
      <c r="D28857" s="1">
        <v>0.70387742338961801</v>
      </c>
      <c r="E28857" s="1">
        <v>0.84732214228617098</v>
      </c>
      <c r="F28857" s="1">
        <v>0.70153163508059102</v>
      </c>
    </row>
    <row r="28858" spans="1:6" x14ac:dyDescent="0.25">
      <c r="A28858" s="2" t="str">
        <f t="shared" si="1032"/>
        <v>39980</v>
      </c>
      <c r="B28858" s="2" t="str">
        <f>"47357"</f>
        <v>47357</v>
      </c>
      <c r="C28858" s="1">
        <v>8.0698986711971298E-3</v>
      </c>
      <c r="D28858" s="1">
        <v>1.2507817385866099E-3</v>
      </c>
      <c r="E28858" s="1">
        <v>7.1942446043165402E-3</v>
      </c>
      <c r="F28858" s="1">
        <v>7.4576996070674396E-3</v>
      </c>
    </row>
    <row r="28859" spans="1:6" x14ac:dyDescent="0.25">
      <c r="A28859" s="2" t="str">
        <f t="shared" si="1032"/>
        <v>39980</v>
      </c>
      <c r="B28859" s="2" t="str">
        <f>"47335"</f>
        <v>47335</v>
      </c>
      <c r="C28859" s="1">
        <v>0</v>
      </c>
      <c r="D28859" s="1">
        <v>3.12695434646654E-4</v>
      </c>
      <c r="E28859" s="1">
        <v>0</v>
      </c>
      <c r="F28859" s="1">
        <v>2.67301061185212E-5</v>
      </c>
    </row>
    <row r="28860" spans="1:6" x14ac:dyDescent="0.25">
      <c r="A28860" s="2" t="str">
        <f t="shared" si="1032"/>
        <v>39980</v>
      </c>
      <c r="B28860" s="2" t="str">
        <f>"47324"</f>
        <v>47324</v>
      </c>
      <c r="C28860" s="1">
        <v>2.4573751592743098E-3</v>
      </c>
      <c r="D28860" s="1">
        <v>3.12695434646654E-4</v>
      </c>
      <c r="E28860" s="1">
        <v>0</v>
      </c>
      <c r="F28860" s="1">
        <v>2.19186870171874E-3</v>
      </c>
    </row>
    <row r="28861" spans="1:6" x14ac:dyDescent="0.25">
      <c r="A28861" s="2" t="str">
        <f t="shared" si="1032"/>
        <v>39980</v>
      </c>
      <c r="B28861" s="2" t="str">
        <f>"47375"</f>
        <v>47375</v>
      </c>
      <c r="C28861" s="1">
        <v>4.50822158849584E-2</v>
      </c>
      <c r="D28861" s="1">
        <v>0.124765478424015</v>
      </c>
      <c r="E28861" s="1">
        <v>7.9936051159072697E-4</v>
      </c>
      <c r="F28861" s="1">
        <v>5.0412980139531098E-2</v>
      </c>
    </row>
    <row r="28862" spans="1:6" x14ac:dyDescent="0.25">
      <c r="A28862" s="2" t="str">
        <f t="shared" si="1032"/>
        <v>39980</v>
      </c>
      <c r="B28862" s="2" t="str">
        <f>"47339"</f>
        <v>47339</v>
      </c>
      <c r="C28862" s="1">
        <v>6.3709726351556303E-3</v>
      </c>
      <c r="D28862" s="1">
        <v>1.5634771732332699E-3</v>
      </c>
      <c r="E28862" s="1">
        <v>7.9936051159072697E-4</v>
      </c>
      <c r="F28862" s="1">
        <v>5.7737029216005896E-3</v>
      </c>
    </row>
    <row r="28863" spans="1:6" x14ac:dyDescent="0.25">
      <c r="A28863" s="2" t="str">
        <f t="shared" si="1032"/>
        <v>39980</v>
      </c>
      <c r="B28863" s="2" t="str">
        <f>"47346"</f>
        <v>47346</v>
      </c>
      <c r="C28863" s="1">
        <v>5.32734664158728E-2</v>
      </c>
      <c r="D28863" s="1">
        <v>4.6591619762351398E-2</v>
      </c>
      <c r="E28863" s="1">
        <v>3.0375699440447601E-2</v>
      </c>
      <c r="F28863" s="1">
        <v>5.1936596188286797E-2</v>
      </c>
    </row>
    <row r="28864" spans="1:6" x14ac:dyDescent="0.25">
      <c r="A28864" s="2" t="str">
        <f t="shared" si="1032"/>
        <v>39980</v>
      </c>
      <c r="B28864" s="2" t="str">
        <f>"47327"</f>
        <v>47327</v>
      </c>
      <c r="C28864" s="1">
        <v>5.6307262908804001E-2</v>
      </c>
      <c r="D28864" s="1">
        <v>5.4721701063164402E-2</v>
      </c>
      <c r="E28864" s="1">
        <v>5.0359712230215799E-2</v>
      </c>
      <c r="F28864" s="1">
        <v>5.5972842212183502E-2</v>
      </c>
    </row>
    <row r="28865" spans="1:6" x14ac:dyDescent="0.25">
      <c r="A28865" s="2" t="str">
        <f t="shared" si="1032"/>
        <v>39980</v>
      </c>
      <c r="B28865" s="2" t="str">
        <f>"47345"</f>
        <v>47345</v>
      </c>
      <c r="C28865" s="1">
        <v>1.7413991869425299E-2</v>
      </c>
      <c r="D28865" s="1">
        <v>7.19199499687304E-3</v>
      </c>
      <c r="E28865" s="1">
        <v>2.3980815347721799E-3</v>
      </c>
      <c r="F28865" s="1">
        <v>1.6038063671112698E-2</v>
      </c>
    </row>
    <row r="28866" spans="1:6" x14ac:dyDescent="0.25">
      <c r="A28866" s="2" t="str">
        <f t="shared" si="1032"/>
        <v>39980</v>
      </c>
      <c r="B28866" s="2" t="str">
        <f>"47330"</f>
        <v>47330</v>
      </c>
      <c r="C28866" s="1">
        <v>7.5935926218069202E-2</v>
      </c>
      <c r="D28866" s="1">
        <v>5.2532833020637798E-2</v>
      </c>
      <c r="E28866" s="1">
        <v>4.5563549160671402E-2</v>
      </c>
      <c r="F28866" s="1">
        <v>7.2919729491325996E-2</v>
      </c>
    </row>
    <row r="28867" spans="1:6" x14ac:dyDescent="0.25">
      <c r="A28867" s="2" t="str">
        <f t="shared" si="1032"/>
        <v>39980</v>
      </c>
      <c r="B28867" s="2" t="str">
        <f>"47360"</f>
        <v>47360</v>
      </c>
      <c r="C28867" s="1">
        <v>8.1912505309143801E-4</v>
      </c>
      <c r="D28867" s="1">
        <v>0</v>
      </c>
      <c r="E28867" s="1">
        <v>0</v>
      </c>
      <c r="F28867" s="1">
        <v>7.2171286520007402E-4</v>
      </c>
    </row>
    <row r="28868" spans="1:6" x14ac:dyDescent="0.25">
      <c r="A28868" s="2" t="str">
        <f t="shared" ref="A28868:A28892" si="1033">"33780"</f>
        <v>33780</v>
      </c>
      <c r="B28868" s="2" t="str">
        <f>"48160"</f>
        <v>48160</v>
      </c>
      <c r="C28868" s="1">
        <v>2.9149911816578399E-2</v>
      </c>
      <c r="D28868" s="1">
        <v>2.18360071301247E-2</v>
      </c>
      <c r="E28868" s="1">
        <v>4.52961672473867E-2</v>
      </c>
      <c r="F28868" s="1">
        <v>2.90847765453719E-2</v>
      </c>
    </row>
    <row r="28869" spans="1:6" x14ac:dyDescent="0.25">
      <c r="A28869" s="2" t="str">
        <f t="shared" si="1033"/>
        <v>33780</v>
      </c>
      <c r="B28869" s="2" t="str">
        <f>"49270"</f>
        <v>49270</v>
      </c>
      <c r="C28869" s="1">
        <v>3.43139329805996E-2</v>
      </c>
      <c r="D28869" s="1">
        <v>1.13636363636363E-2</v>
      </c>
      <c r="E28869" s="1">
        <v>1.9163763066201999E-2</v>
      </c>
      <c r="F28869" s="1">
        <v>3.2639294285528898E-2</v>
      </c>
    </row>
    <row r="28870" spans="1:6" x14ac:dyDescent="0.25">
      <c r="A28870" s="2" t="str">
        <f t="shared" si="1033"/>
        <v>33780</v>
      </c>
      <c r="B28870" s="2" t="str">
        <f>"48177"</f>
        <v>48177</v>
      </c>
      <c r="C28870" s="1">
        <v>1.9753086419753001E-4</v>
      </c>
      <c r="D28870" s="1">
        <v>0</v>
      </c>
      <c r="E28870" s="1">
        <v>5.80720092915214E-4</v>
      </c>
      <c r="F28870" s="1">
        <v>1.9459038723487E-4</v>
      </c>
    </row>
    <row r="28871" spans="1:6" x14ac:dyDescent="0.25">
      <c r="A28871" s="2" t="str">
        <f t="shared" si="1033"/>
        <v>33780</v>
      </c>
      <c r="B28871" s="2" t="str">
        <f>"48159"</f>
        <v>48159</v>
      </c>
      <c r="C28871" s="1">
        <v>1.44761904761904E-2</v>
      </c>
      <c r="D28871" s="1">
        <v>4.9019607843137202E-3</v>
      </c>
      <c r="E28871" s="1">
        <v>5.2264808362369299E-3</v>
      </c>
      <c r="F28871" s="1">
        <v>1.3712135953817201E-2</v>
      </c>
    </row>
    <row r="28872" spans="1:6" x14ac:dyDescent="0.25">
      <c r="A28872" s="2" t="str">
        <f t="shared" si="1033"/>
        <v>33780</v>
      </c>
      <c r="B28872" s="2" t="str">
        <f>"48131"</f>
        <v>48131</v>
      </c>
      <c r="C28872" s="1">
        <v>5.1767195767195698E-2</v>
      </c>
      <c r="D28872" s="1">
        <v>5.6149732620320802E-2</v>
      </c>
      <c r="E28872" s="1">
        <v>7.1428571428571397E-2</v>
      </c>
      <c r="F28872" s="1">
        <v>5.2461568398521098E-2</v>
      </c>
    </row>
    <row r="28873" spans="1:6" x14ac:dyDescent="0.25">
      <c r="A28873" s="2" t="str">
        <f t="shared" si="1033"/>
        <v>33780</v>
      </c>
      <c r="B28873" s="2" t="str">
        <f>"49238"</f>
        <v>49238</v>
      </c>
      <c r="C28873" s="1">
        <v>1.22751322751322E-3</v>
      </c>
      <c r="D28873" s="1">
        <v>6.6844919786096199E-4</v>
      </c>
      <c r="E28873" s="1">
        <v>0</v>
      </c>
      <c r="F28873" s="1">
        <v>1.1675423234092199E-3</v>
      </c>
    </row>
    <row r="28874" spans="1:6" x14ac:dyDescent="0.25">
      <c r="A28874" s="2" t="str">
        <f t="shared" si="1033"/>
        <v>33780</v>
      </c>
      <c r="B28874" s="2" t="str">
        <f>"49228"</f>
        <v>49228</v>
      </c>
      <c r="C28874" s="1">
        <v>1.1287477954144601E-4</v>
      </c>
      <c r="D28874" s="1">
        <v>0</v>
      </c>
      <c r="E28874" s="1">
        <v>0</v>
      </c>
      <c r="F28874" s="1">
        <v>1.03781539858597E-4</v>
      </c>
    </row>
    <row r="28875" spans="1:6" x14ac:dyDescent="0.25">
      <c r="A28875" s="2" t="str">
        <f t="shared" si="1033"/>
        <v>33780</v>
      </c>
      <c r="B28875" s="2" t="str">
        <f>"48191"</f>
        <v>48191</v>
      </c>
      <c r="C28875" s="1">
        <v>9.7354497354497295E-4</v>
      </c>
      <c r="D28875" s="1">
        <v>1.3368983957219201E-3</v>
      </c>
      <c r="E28875" s="1">
        <v>0</v>
      </c>
      <c r="F28875" s="1">
        <v>9.7295193617435202E-4</v>
      </c>
    </row>
    <row r="28876" spans="1:6" x14ac:dyDescent="0.25">
      <c r="A28876" s="2" t="str">
        <f t="shared" si="1033"/>
        <v>33780</v>
      </c>
      <c r="B28876" s="2" t="str">
        <f>"48144"</f>
        <v>48144</v>
      </c>
      <c r="C28876" s="1">
        <v>6.7767195767195698E-2</v>
      </c>
      <c r="D28876" s="1">
        <v>9.1577540106951794E-2</v>
      </c>
      <c r="E28876" s="1">
        <v>4.2392566782810601E-2</v>
      </c>
      <c r="F28876" s="1">
        <v>6.8586625154050701E-2</v>
      </c>
    </row>
    <row r="28877" spans="1:6" x14ac:dyDescent="0.25">
      <c r="A28877" s="2" t="str">
        <f t="shared" si="1033"/>
        <v>33780</v>
      </c>
      <c r="B28877" s="2" t="str">
        <f>"48133"</f>
        <v>48133</v>
      </c>
      <c r="C28877" s="1">
        <v>3.8659611992945299E-2</v>
      </c>
      <c r="D28877" s="1">
        <v>3.18627450980392E-2</v>
      </c>
      <c r="E28877" s="1">
        <v>4.52961672473867E-2</v>
      </c>
      <c r="F28877" s="1">
        <v>3.8412142440163402E-2</v>
      </c>
    </row>
    <row r="28878" spans="1:6" x14ac:dyDescent="0.25">
      <c r="A28878" s="2" t="str">
        <f t="shared" si="1033"/>
        <v>33780</v>
      </c>
      <c r="B28878" s="2" t="str">
        <f>"49229"</f>
        <v>49229</v>
      </c>
      <c r="C28878" s="1">
        <v>6.91358024691358E-4</v>
      </c>
      <c r="D28878" s="1">
        <v>0</v>
      </c>
      <c r="E28878" s="1">
        <v>0</v>
      </c>
      <c r="F28878" s="1">
        <v>6.3566193163391003E-4</v>
      </c>
    </row>
    <row r="28879" spans="1:6" x14ac:dyDescent="0.25">
      <c r="A28879" s="2" t="str">
        <f t="shared" si="1033"/>
        <v>33780</v>
      </c>
      <c r="B28879" s="2" t="str">
        <f>"48182"</f>
        <v>48182</v>
      </c>
      <c r="C28879" s="1">
        <v>0.140726631393298</v>
      </c>
      <c r="D28879" s="1">
        <v>0.11163101604278</v>
      </c>
      <c r="E28879" s="1">
        <v>7.9558652729384394E-2</v>
      </c>
      <c r="F28879" s="1">
        <v>0.13766621262242901</v>
      </c>
    </row>
    <row r="28880" spans="1:6" x14ac:dyDescent="0.25">
      <c r="A28880" s="2" t="str">
        <f t="shared" si="1033"/>
        <v>33780</v>
      </c>
      <c r="B28880" s="2" t="str">
        <f>"48179"</f>
        <v>48179</v>
      </c>
      <c r="C28880" s="1">
        <v>2.0063492063491999E-2</v>
      </c>
      <c r="D28880" s="1">
        <v>4.2335115864527602E-3</v>
      </c>
      <c r="E28880" s="1">
        <v>4.41347270615563E-2</v>
      </c>
      <c r="F28880" s="1">
        <v>1.9679574495686501E-2</v>
      </c>
    </row>
    <row r="28881" spans="1:6" x14ac:dyDescent="0.25">
      <c r="A28881" s="2" t="str">
        <f t="shared" si="1033"/>
        <v>33780</v>
      </c>
      <c r="B28881" s="2" t="str">
        <f>"48157"</f>
        <v>48157</v>
      </c>
      <c r="C28881" s="1">
        <v>1.0426807760141E-2</v>
      </c>
      <c r="D28881" s="1">
        <v>5.5704099821746803E-3</v>
      </c>
      <c r="E28881" s="1">
        <v>1.33565621370499E-2</v>
      </c>
      <c r="F28881" s="1">
        <v>1.0209508983589501E-2</v>
      </c>
    </row>
    <row r="28882" spans="1:6" x14ac:dyDescent="0.25">
      <c r="A28882" s="2" t="str">
        <f t="shared" si="1033"/>
        <v>33780</v>
      </c>
      <c r="B28882" s="2" t="str">
        <f>"48161"</f>
        <v>48161</v>
      </c>
      <c r="C28882" s="1">
        <v>0.186497354497354</v>
      </c>
      <c r="D28882" s="1">
        <v>0.30659536541889398</v>
      </c>
      <c r="E28882" s="1">
        <v>0.29442508710801302</v>
      </c>
      <c r="F28882" s="1">
        <v>0.19590062917558501</v>
      </c>
    </row>
    <row r="28883" spans="1:6" x14ac:dyDescent="0.25">
      <c r="A28883" s="2" t="str">
        <f t="shared" si="1033"/>
        <v>33780</v>
      </c>
      <c r="B28883" s="2" t="str">
        <f>"48134"</f>
        <v>48134</v>
      </c>
      <c r="C28883" s="1">
        <v>6.33509700176366E-3</v>
      </c>
      <c r="D28883" s="1">
        <v>1.15864527629233E-2</v>
      </c>
      <c r="E28883" s="1">
        <v>1.4518002322880299E-2</v>
      </c>
      <c r="F28883" s="1">
        <v>6.8236362457027898E-3</v>
      </c>
    </row>
    <row r="28884" spans="1:6" x14ac:dyDescent="0.25">
      <c r="A28884" s="2" t="str">
        <f t="shared" si="1033"/>
        <v>33780</v>
      </c>
      <c r="B28884" s="2" t="str">
        <f>"48111"</f>
        <v>48111</v>
      </c>
      <c r="C28884" s="1">
        <v>3.5273368606701899E-4</v>
      </c>
      <c r="D28884" s="1">
        <v>0</v>
      </c>
      <c r="E28884" s="1">
        <v>0</v>
      </c>
      <c r="F28884" s="1">
        <v>3.24317312058117E-4</v>
      </c>
    </row>
    <row r="28885" spans="1:6" x14ac:dyDescent="0.25">
      <c r="A28885" s="2" t="str">
        <f t="shared" si="1033"/>
        <v>33780</v>
      </c>
      <c r="B28885" s="2" t="str">
        <f>"49276"</f>
        <v>49276</v>
      </c>
      <c r="C28885" s="1">
        <v>2.1587301587301499E-3</v>
      </c>
      <c r="D28885" s="1">
        <v>6.6844919786096199E-4</v>
      </c>
      <c r="E28885" s="1">
        <v>1.16144018583042E-3</v>
      </c>
      <c r="F28885" s="1">
        <v>2.0496854122072999E-3</v>
      </c>
    </row>
    <row r="28886" spans="1:6" x14ac:dyDescent="0.25">
      <c r="A28886" s="2" t="str">
        <f t="shared" si="1033"/>
        <v>33780</v>
      </c>
      <c r="B28886" s="2" t="str">
        <f>"49267"</f>
        <v>49267</v>
      </c>
      <c r="C28886" s="1">
        <v>2.2024691358024599E-2</v>
      </c>
      <c r="D28886" s="1">
        <v>2.6069518716577499E-2</v>
      </c>
      <c r="E28886" s="1">
        <v>1.27758420441347E-2</v>
      </c>
      <c r="F28886" s="1">
        <v>2.2053577219951999E-2</v>
      </c>
    </row>
    <row r="28887" spans="1:6" x14ac:dyDescent="0.25">
      <c r="A28887" s="2" t="str">
        <f t="shared" si="1033"/>
        <v>33780</v>
      </c>
      <c r="B28887" s="2" t="str">
        <f>"48140"</f>
        <v>48140</v>
      </c>
      <c r="C28887" s="1">
        <v>1.7537918871252198E-2</v>
      </c>
      <c r="D28887" s="1">
        <v>1.06951871657754E-2</v>
      </c>
      <c r="E28887" s="1">
        <v>1.16144018583042E-2</v>
      </c>
      <c r="F28887" s="1">
        <v>1.7007199844327602E-2</v>
      </c>
    </row>
    <row r="28888" spans="1:6" x14ac:dyDescent="0.25">
      <c r="A28888" s="2" t="str">
        <f t="shared" si="1033"/>
        <v>33780</v>
      </c>
      <c r="B28888" s="2" t="str">
        <f>"48164"</f>
        <v>48164</v>
      </c>
      <c r="C28888" s="1">
        <v>1.9753086419753001E-4</v>
      </c>
      <c r="D28888" s="1">
        <v>0</v>
      </c>
      <c r="E28888" s="1">
        <v>0</v>
      </c>
      <c r="F28888" s="1">
        <v>1.8161769475254501E-4</v>
      </c>
    </row>
    <row r="28889" spans="1:6" x14ac:dyDescent="0.25">
      <c r="A28889" s="2" t="str">
        <f t="shared" si="1033"/>
        <v>33780</v>
      </c>
      <c r="B28889" s="2" t="str">
        <f>"48166"</f>
        <v>48166</v>
      </c>
      <c r="C28889" s="1">
        <v>8.0550264550264497E-2</v>
      </c>
      <c r="D28889" s="1">
        <v>2.96345811051693E-2</v>
      </c>
      <c r="E28889" s="1">
        <v>4.2392566782810601E-2</v>
      </c>
      <c r="F28889" s="1">
        <v>7.6733476032950595E-2</v>
      </c>
    </row>
    <row r="28890" spans="1:6" x14ac:dyDescent="0.25">
      <c r="A28890" s="2" t="str">
        <f t="shared" si="1033"/>
        <v>33780</v>
      </c>
      <c r="B28890" s="2" t="str">
        <f>"48162"</f>
        <v>48162</v>
      </c>
      <c r="C28890" s="1">
        <v>0.18600352733685999</v>
      </c>
      <c r="D28890" s="1">
        <v>0.22704991087344001</v>
      </c>
      <c r="E28890" s="1">
        <v>0.229965156794425</v>
      </c>
      <c r="F28890" s="1">
        <v>0.18937536485697601</v>
      </c>
    </row>
    <row r="28891" spans="1:6" x14ac:dyDescent="0.25">
      <c r="A28891" s="2" t="str">
        <f t="shared" si="1033"/>
        <v>33780</v>
      </c>
      <c r="B28891" s="2" t="str">
        <f>"48145"</f>
        <v>48145</v>
      </c>
      <c r="C28891" s="1">
        <v>2.07548500881834E-2</v>
      </c>
      <c r="D28891" s="1">
        <v>6.0160427807486603E-3</v>
      </c>
      <c r="E28891" s="1">
        <v>1.74216027874564E-3</v>
      </c>
      <c r="F28891" s="1">
        <v>1.9472011415969302E-2</v>
      </c>
    </row>
    <row r="28892" spans="1:6" x14ac:dyDescent="0.25">
      <c r="A28892" s="2" t="str">
        <f t="shared" si="1033"/>
        <v>33780</v>
      </c>
      <c r="B28892" s="2" t="str">
        <f>"48117"</f>
        <v>48117</v>
      </c>
      <c r="C28892" s="1">
        <v>6.7033509700176297E-2</v>
      </c>
      <c r="D28892" s="1">
        <v>4.0552584670231699E-2</v>
      </c>
      <c r="E28892" s="1">
        <v>2.4970963995354201E-2</v>
      </c>
      <c r="F28892" s="1">
        <v>6.4552117792047697E-2</v>
      </c>
    </row>
    <row r="28893" spans="1:6" x14ac:dyDescent="0.25">
      <c r="A28893" s="2" t="str">
        <f t="shared" ref="A28893:A28927" si="1034">"40980"</f>
        <v>40980</v>
      </c>
      <c r="B28893" s="2" t="str">
        <f>"48841"</f>
        <v>48841</v>
      </c>
      <c r="C28893" s="1">
        <v>7.9259400164859498E-4</v>
      </c>
      <c r="D28893" s="1">
        <v>2.5726781579624299E-4</v>
      </c>
      <c r="E28893" s="1">
        <v>0</v>
      </c>
      <c r="F28893" s="1">
        <v>7.2796717529827702E-4</v>
      </c>
    </row>
    <row r="28894" spans="1:6" x14ac:dyDescent="0.25">
      <c r="A28894" s="2" t="str">
        <f t="shared" si="1034"/>
        <v>40980</v>
      </c>
      <c r="B28894" s="2" t="str">
        <f>"48831"</f>
        <v>48831</v>
      </c>
      <c r="C28894" s="1">
        <v>2.47289328514361E-3</v>
      </c>
      <c r="D28894" s="1">
        <v>5.1453563159248696E-4</v>
      </c>
      <c r="E28894" s="1">
        <v>0</v>
      </c>
      <c r="F28894" s="1">
        <v>2.25008036001285E-3</v>
      </c>
    </row>
    <row r="28895" spans="1:6" x14ac:dyDescent="0.25">
      <c r="A28895" s="2" t="str">
        <f t="shared" si="1034"/>
        <v>40980</v>
      </c>
      <c r="B28895" s="2" t="str">
        <f>"48787"</f>
        <v>48787</v>
      </c>
      <c r="C28895" s="1">
        <v>0</v>
      </c>
      <c r="D28895" s="1">
        <v>1.2863390789812101E-4</v>
      </c>
      <c r="E28895" s="1">
        <v>0</v>
      </c>
      <c r="F28895" s="1">
        <v>9.4541191597178795E-6</v>
      </c>
    </row>
    <row r="28896" spans="1:6" x14ac:dyDescent="0.25">
      <c r="A28896" s="2" t="str">
        <f t="shared" si="1034"/>
        <v>40980</v>
      </c>
      <c r="B28896" s="2" t="str">
        <f>"48663"</f>
        <v>48663</v>
      </c>
      <c r="C28896" s="1">
        <v>0</v>
      </c>
      <c r="D28896" s="1">
        <v>1.2863390789812101E-4</v>
      </c>
      <c r="E28896" s="1">
        <v>0</v>
      </c>
      <c r="F28896" s="1">
        <v>9.4541191597178795E-6</v>
      </c>
    </row>
    <row r="28897" spans="1:6" x14ac:dyDescent="0.25">
      <c r="A28897" s="2" t="str">
        <f t="shared" si="1034"/>
        <v>40980</v>
      </c>
      <c r="B28897" s="2" t="str">
        <f>"48638"</f>
        <v>48638</v>
      </c>
      <c r="C28897" s="1">
        <v>7.0868471667406396E-2</v>
      </c>
      <c r="D28897" s="1">
        <v>4.7208644198610698E-2</v>
      </c>
      <c r="E28897" s="1">
        <v>0.106401896858328</v>
      </c>
      <c r="F28897" s="1">
        <v>7.0263013595023294E-2</v>
      </c>
    </row>
    <row r="28898" spans="1:6" x14ac:dyDescent="0.25">
      <c r="A28898" s="2" t="str">
        <f t="shared" si="1034"/>
        <v>40980</v>
      </c>
      <c r="B28898" s="2" t="str">
        <f>"48626"</f>
        <v>48626</v>
      </c>
      <c r="C28898" s="1">
        <v>2.6588886775304799E-2</v>
      </c>
      <c r="D28898" s="1">
        <v>8.4898379212760399E-3</v>
      </c>
      <c r="E28898" s="1">
        <v>1.00770598695909E-2</v>
      </c>
      <c r="F28898" s="1">
        <v>2.4731975721821901E-2</v>
      </c>
    </row>
    <row r="28899" spans="1:6" x14ac:dyDescent="0.25">
      <c r="A28899" s="2" t="str">
        <f t="shared" si="1034"/>
        <v>40980</v>
      </c>
      <c r="B28899" s="2" t="str">
        <f>"48601"</f>
        <v>48601</v>
      </c>
      <c r="C28899" s="1">
        <v>0.19474563016506999</v>
      </c>
      <c r="D28899" s="1">
        <v>0.14111139696423899</v>
      </c>
      <c r="E28899" s="1">
        <v>0.134854771784232</v>
      </c>
      <c r="F28899" s="1">
        <v>0.18889330081116301</v>
      </c>
    </row>
    <row r="28900" spans="1:6" x14ac:dyDescent="0.25">
      <c r="A28900" s="2" t="str">
        <f t="shared" si="1034"/>
        <v>40980</v>
      </c>
      <c r="B28900" s="2" t="str">
        <f>"48420"</f>
        <v>48420</v>
      </c>
      <c r="C28900" s="1">
        <v>1.6908672035169999E-4</v>
      </c>
      <c r="D28900" s="1">
        <v>0</v>
      </c>
      <c r="E28900" s="1">
        <v>0</v>
      </c>
      <c r="F28900" s="1">
        <v>1.5126590655548599E-4</v>
      </c>
    </row>
    <row r="28901" spans="1:6" x14ac:dyDescent="0.25">
      <c r="A28901" s="2" t="str">
        <f t="shared" si="1034"/>
        <v>40980</v>
      </c>
      <c r="B28901" s="2" t="str">
        <f>"48708"</f>
        <v>48708</v>
      </c>
      <c r="C28901" s="1">
        <v>1.1624712024179401E-4</v>
      </c>
      <c r="D28901" s="1">
        <v>5.1453563159248696E-4</v>
      </c>
      <c r="E28901" s="1">
        <v>0</v>
      </c>
      <c r="F28901" s="1">
        <v>1.4181178739576799E-4</v>
      </c>
    </row>
    <row r="28902" spans="1:6" x14ac:dyDescent="0.25">
      <c r="A28902" s="2" t="str">
        <f t="shared" si="1034"/>
        <v>40980</v>
      </c>
      <c r="B28902" s="2" t="str">
        <f>"48722"</f>
        <v>48722</v>
      </c>
      <c r="C28902" s="1">
        <v>1.49536068311035E-2</v>
      </c>
      <c r="D28902" s="1">
        <v>2.1867764342680701E-2</v>
      </c>
      <c r="E28902" s="1">
        <v>4.4457617071724902E-3</v>
      </c>
      <c r="F28902" s="1">
        <v>1.51265906555486E-2</v>
      </c>
    </row>
    <row r="28903" spans="1:6" x14ac:dyDescent="0.25">
      <c r="A28903" s="2" t="str">
        <f t="shared" si="1034"/>
        <v>40980</v>
      </c>
      <c r="B28903" s="2" t="str">
        <f>"48457"</f>
        <v>48457</v>
      </c>
      <c r="C28903" s="1">
        <v>5.8546276921776202E-3</v>
      </c>
      <c r="D28903" s="1">
        <v>1.41497298687934E-3</v>
      </c>
      <c r="E28903" s="1">
        <v>1.48192056905749E-3</v>
      </c>
      <c r="F28903" s="1">
        <v>5.3888479210391898E-3</v>
      </c>
    </row>
    <row r="28904" spans="1:6" x14ac:dyDescent="0.25">
      <c r="A28904" s="2" t="str">
        <f t="shared" si="1034"/>
        <v>40980</v>
      </c>
      <c r="B28904" s="2" t="str">
        <f>"48605"</f>
        <v>48605</v>
      </c>
      <c r="C28904" s="1">
        <v>9.2574979392555899E-3</v>
      </c>
      <c r="D28904" s="1">
        <v>3.4473887316696601E-2</v>
      </c>
      <c r="E28904" s="1">
        <v>5.9276822762299904E-4</v>
      </c>
      <c r="F28904" s="1">
        <v>1.0834420557036701E-2</v>
      </c>
    </row>
    <row r="28905" spans="1:6" x14ac:dyDescent="0.25">
      <c r="A28905" s="2" t="str">
        <f t="shared" si="1034"/>
        <v>40980</v>
      </c>
      <c r="B28905" s="2" t="str">
        <f>"48607"</f>
        <v>48607</v>
      </c>
      <c r="C28905" s="1">
        <v>1.05679200219812E-2</v>
      </c>
      <c r="D28905" s="1">
        <v>5.8399794185747297E-2</v>
      </c>
      <c r="E28905" s="1">
        <v>2.87492590397154E-2</v>
      </c>
      <c r="F28905" s="1">
        <v>1.4663338816722399E-2</v>
      </c>
    </row>
    <row r="28906" spans="1:6" x14ac:dyDescent="0.25">
      <c r="A28906" s="2" t="str">
        <f t="shared" si="1034"/>
        <v>40980</v>
      </c>
      <c r="B28906" s="2" t="str">
        <f>"48724"</f>
        <v>48724</v>
      </c>
      <c r="C28906" s="1">
        <v>7.1861856149472601E-3</v>
      </c>
      <c r="D28906" s="1">
        <v>5.4026241317211201E-3</v>
      </c>
      <c r="E28906" s="1">
        <v>8.8915234143449899E-4</v>
      </c>
      <c r="F28906" s="1">
        <v>6.8542363907954599E-3</v>
      </c>
    </row>
    <row r="28907" spans="1:6" x14ac:dyDescent="0.25">
      <c r="A28907" s="2" t="str">
        <f t="shared" si="1034"/>
        <v>40980</v>
      </c>
      <c r="B28907" s="2" t="str">
        <f>"48603"</f>
        <v>48603</v>
      </c>
      <c r="C28907" s="1">
        <v>0.15111068839430999</v>
      </c>
      <c r="D28907" s="1">
        <v>0.15821970671468899</v>
      </c>
      <c r="E28907" s="1">
        <v>0.28601066982809698</v>
      </c>
      <c r="F28907" s="1">
        <v>0.15593624142038601</v>
      </c>
    </row>
    <row r="28908" spans="1:6" x14ac:dyDescent="0.25">
      <c r="A28908" s="2" t="str">
        <f t="shared" si="1034"/>
        <v>40980</v>
      </c>
      <c r="B28908" s="2" t="str">
        <f>"48757"</f>
        <v>48757</v>
      </c>
      <c r="C28908" s="1">
        <v>3.6670682476275E-3</v>
      </c>
      <c r="D28908" s="1">
        <v>5.0167224080267499E-3</v>
      </c>
      <c r="E28908" s="1">
        <v>1.18553645524599E-3</v>
      </c>
      <c r="F28908" s="1">
        <v>3.68710647228997E-3</v>
      </c>
    </row>
    <row r="28909" spans="1:6" x14ac:dyDescent="0.25">
      <c r="A28909" s="2" t="str">
        <f t="shared" si="1034"/>
        <v>40980</v>
      </c>
      <c r="B28909" s="2" t="str">
        <f>"48649"</f>
        <v>48649</v>
      </c>
      <c r="C28909" s="1">
        <v>7.7568532961342501E-3</v>
      </c>
      <c r="D28909" s="1">
        <v>2.5726781579624301E-3</v>
      </c>
      <c r="E28909" s="1">
        <v>0</v>
      </c>
      <c r="F28909" s="1">
        <v>7.1284058464272798E-3</v>
      </c>
    </row>
    <row r="28910" spans="1:6" x14ac:dyDescent="0.25">
      <c r="A28910" s="2" t="str">
        <f t="shared" si="1034"/>
        <v>40980</v>
      </c>
      <c r="B28910" s="2" t="str">
        <f>"48606"</f>
        <v>48606</v>
      </c>
      <c r="C28910" s="1">
        <v>2.2826707247479501E-3</v>
      </c>
      <c r="D28910" s="1">
        <v>4.7594545922305101E-3</v>
      </c>
      <c r="E28910" s="1">
        <v>5.9276822762299904E-4</v>
      </c>
      <c r="F28910" s="1">
        <v>2.41080038572806E-3</v>
      </c>
    </row>
    <row r="28911" spans="1:6" x14ac:dyDescent="0.25">
      <c r="A28911" s="2" t="str">
        <f t="shared" si="1034"/>
        <v>40980</v>
      </c>
      <c r="B28911" s="2" t="str">
        <f>"48608"</f>
        <v>48608</v>
      </c>
      <c r="C28911" s="1">
        <v>4.1848963287045796E-3</v>
      </c>
      <c r="D28911" s="1">
        <v>2.44404425006431E-2</v>
      </c>
      <c r="E28911" s="1">
        <v>5.9276822762299904E-4</v>
      </c>
      <c r="F28911" s="1">
        <v>5.5590220659141104E-3</v>
      </c>
    </row>
    <row r="28912" spans="1:6" x14ac:dyDescent="0.25">
      <c r="A28912" s="2" t="str">
        <f t="shared" si="1034"/>
        <v>40980</v>
      </c>
      <c r="B28912" s="2" t="str">
        <f>"48616"</f>
        <v>48616</v>
      </c>
      <c r="C28912" s="1">
        <v>3.48107285524063E-2</v>
      </c>
      <c r="D28912" s="1">
        <v>2.90712631849755E-2</v>
      </c>
      <c r="E28912" s="1">
        <v>2.34143449911084E-2</v>
      </c>
      <c r="F28912" s="1">
        <v>3.4025374855824603E-2</v>
      </c>
    </row>
    <row r="28913" spans="1:6" x14ac:dyDescent="0.25">
      <c r="A28913" s="2" t="str">
        <f t="shared" si="1034"/>
        <v>40980</v>
      </c>
      <c r="B28913" s="2" t="str">
        <f>"48614"</f>
        <v>48614</v>
      </c>
      <c r="C28913" s="1">
        <v>5.8229239321116802E-3</v>
      </c>
      <c r="D28913" s="1">
        <v>9.0043735528685302E-4</v>
      </c>
      <c r="E28913" s="1">
        <v>0</v>
      </c>
      <c r="F28913" s="1">
        <v>5.2753984911225798E-3</v>
      </c>
    </row>
    <row r="28914" spans="1:6" x14ac:dyDescent="0.25">
      <c r="A28914" s="2" t="str">
        <f t="shared" si="1034"/>
        <v>40980</v>
      </c>
      <c r="B28914" s="2" t="str">
        <f>"48807"</f>
        <v>48807</v>
      </c>
      <c r="C28914" s="1">
        <v>1.25758248261577E-3</v>
      </c>
      <c r="D28914" s="1">
        <v>0</v>
      </c>
      <c r="E28914" s="1">
        <v>0</v>
      </c>
      <c r="F28914" s="1">
        <v>1.12504018000642E-3</v>
      </c>
    </row>
    <row r="28915" spans="1:6" x14ac:dyDescent="0.25">
      <c r="A28915" s="2" t="str">
        <f t="shared" si="1034"/>
        <v>40980</v>
      </c>
      <c r="B28915" s="2" t="str">
        <f>"48460"</f>
        <v>48460</v>
      </c>
      <c r="C28915" s="1">
        <v>3.64593240758353E-3</v>
      </c>
      <c r="D28915" s="1">
        <v>6.4316953949060895E-4</v>
      </c>
      <c r="E28915" s="1">
        <v>5.9276822762299904E-4</v>
      </c>
      <c r="F28915" s="1">
        <v>3.3278499442206898E-3</v>
      </c>
    </row>
    <row r="28916" spans="1:6" x14ac:dyDescent="0.25">
      <c r="A28916" s="2" t="str">
        <f t="shared" si="1034"/>
        <v>40980</v>
      </c>
      <c r="B28916" s="2" t="str">
        <f>"48637"</f>
        <v>48637</v>
      </c>
      <c r="C28916" s="1">
        <v>1.3220467947498499E-2</v>
      </c>
      <c r="D28916" s="1">
        <v>4.24491896063802E-3</v>
      </c>
      <c r="E28916" s="1">
        <v>1.18553645524599E-3</v>
      </c>
      <c r="F28916" s="1">
        <v>1.2176905477716601E-2</v>
      </c>
    </row>
    <row r="28917" spans="1:6" x14ac:dyDescent="0.25">
      <c r="A28917" s="2" t="str">
        <f t="shared" si="1034"/>
        <v>40980</v>
      </c>
      <c r="B28917" s="2" t="str">
        <f>"48415"</f>
        <v>48415</v>
      </c>
      <c r="C28917" s="1">
        <v>4.2018050007397501E-2</v>
      </c>
      <c r="D28917" s="1">
        <v>5.6470285567275499E-2</v>
      </c>
      <c r="E28917" s="1">
        <v>3.88263189093064E-2</v>
      </c>
      <c r="F28917" s="1">
        <v>4.2978425700077497E-2</v>
      </c>
    </row>
    <row r="28918" spans="1:6" x14ac:dyDescent="0.25">
      <c r="A28918" s="2" t="str">
        <f t="shared" si="1034"/>
        <v>40980</v>
      </c>
      <c r="B28918" s="2" t="str">
        <f>"48867"</f>
        <v>48867</v>
      </c>
      <c r="C28918" s="1">
        <v>4.2271680087924997E-5</v>
      </c>
      <c r="D28918" s="1">
        <v>0</v>
      </c>
      <c r="E28918" s="1">
        <v>0</v>
      </c>
      <c r="F28918" s="1">
        <v>3.7816476638871497E-5</v>
      </c>
    </row>
    <row r="28919" spans="1:6" x14ac:dyDescent="0.25">
      <c r="A28919" s="2" t="str">
        <f t="shared" si="1034"/>
        <v>40980</v>
      </c>
      <c r="B28919" s="2" t="str">
        <f>"48747"</f>
        <v>48747</v>
      </c>
      <c r="C28919" s="1">
        <v>3.1703760065943802E-5</v>
      </c>
      <c r="D28919" s="1">
        <v>1.2863390789812101E-4</v>
      </c>
      <c r="E28919" s="1">
        <v>0</v>
      </c>
      <c r="F28919" s="1">
        <v>3.7816476638871497E-5</v>
      </c>
    </row>
    <row r="28920" spans="1:6" x14ac:dyDescent="0.25">
      <c r="A28920" s="2" t="str">
        <f t="shared" si="1034"/>
        <v>40980</v>
      </c>
      <c r="B28920" s="2" t="str">
        <f>"48609"</f>
        <v>48609</v>
      </c>
      <c r="C28920" s="1">
        <v>5.9994081964787602E-2</v>
      </c>
      <c r="D28920" s="1">
        <v>4.1162850527399E-2</v>
      </c>
      <c r="E28920" s="1">
        <v>4.2382928275044397E-2</v>
      </c>
      <c r="F28920" s="1">
        <v>5.8048291640667798E-2</v>
      </c>
    </row>
    <row r="28921" spans="1:6" x14ac:dyDescent="0.25">
      <c r="A28921" s="2" t="str">
        <f t="shared" si="1034"/>
        <v>40980</v>
      </c>
      <c r="B28921" s="2" t="str">
        <f>"48602"</f>
        <v>48602</v>
      </c>
      <c r="C28921" s="1">
        <v>0.14410415741973601</v>
      </c>
      <c r="D28921" s="1">
        <v>0.13107795214818599</v>
      </c>
      <c r="E28921" s="1">
        <v>0.158861885002963</v>
      </c>
      <c r="F28921" s="1">
        <v>0.14361752415527401</v>
      </c>
    </row>
    <row r="28922" spans="1:6" x14ac:dyDescent="0.25">
      <c r="A28922" s="2" t="str">
        <f t="shared" si="1034"/>
        <v>40980</v>
      </c>
      <c r="B28922" s="2" t="str">
        <f>"48768"</f>
        <v>48768</v>
      </c>
      <c r="C28922" s="1">
        <v>2.1135840043962499E-5</v>
      </c>
      <c r="D28922" s="1">
        <v>0</v>
      </c>
      <c r="E28922" s="1">
        <v>0</v>
      </c>
      <c r="F28922" s="1">
        <v>1.8908238319435701E-5</v>
      </c>
    </row>
    <row r="28923" spans="1:6" x14ac:dyDescent="0.25">
      <c r="A28923" s="2" t="str">
        <f t="shared" si="1034"/>
        <v>40980</v>
      </c>
      <c r="B28923" s="2" t="str">
        <f>"48734"</f>
        <v>48734</v>
      </c>
      <c r="C28923" s="1">
        <v>4.1743284086826003E-2</v>
      </c>
      <c r="D28923" s="1">
        <v>4.9652688448675E-2</v>
      </c>
      <c r="E28923" s="1">
        <v>3.9122703023117898E-2</v>
      </c>
      <c r="F28923" s="1">
        <v>4.2241004405619502E-2</v>
      </c>
    </row>
    <row r="28924" spans="1:6" x14ac:dyDescent="0.25">
      <c r="A28924" s="2" t="str">
        <f t="shared" si="1034"/>
        <v>40980</v>
      </c>
      <c r="B28924" s="2" t="str">
        <f>"48655"</f>
        <v>48655</v>
      </c>
      <c r="C28924" s="1">
        <v>2.89455329402067E-2</v>
      </c>
      <c r="D28924" s="1">
        <v>1.68510419346539E-2</v>
      </c>
      <c r="E28924" s="1">
        <v>1.4522821576763399E-2</v>
      </c>
      <c r="F28924" s="1">
        <v>2.7596573827216499E-2</v>
      </c>
    </row>
    <row r="28925" spans="1:6" x14ac:dyDescent="0.25">
      <c r="A28925" s="2" t="str">
        <f t="shared" si="1034"/>
        <v>40980</v>
      </c>
      <c r="B28925" s="2" t="str">
        <f>"48604"</f>
        <v>48604</v>
      </c>
      <c r="C28925" s="1">
        <v>4.88449263415974E-2</v>
      </c>
      <c r="D28925" s="1">
        <v>0.12335991767429801</v>
      </c>
      <c r="E28925" s="1">
        <v>7.4392412566686397E-2</v>
      </c>
      <c r="F28925" s="1">
        <v>5.5136422939474697E-2</v>
      </c>
    </row>
    <row r="28926" spans="1:6" x14ac:dyDescent="0.25">
      <c r="A28926" s="2" t="str">
        <f t="shared" si="1034"/>
        <v>40980</v>
      </c>
      <c r="B28926" s="2" t="str">
        <f>"48623"</f>
        <v>48623</v>
      </c>
      <c r="C28926" s="1">
        <v>5.0091940904191203E-2</v>
      </c>
      <c r="D28926" s="1">
        <v>2.9328531000771801E-2</v>
      </c>
      <c r="E28926" s="1">
        <v>2.7563722584469399E-2</v>
      </c>
      <c r="F28926" s="1">
        <v>4.7847297067332199E-2</v>
      </c>
    </row>
    <row r="28927" spans="1:6" x14ac:dyDescent="0.25">
      <c r="A28927" s="2" t="str">
        <f t="shared" si="1034"/>
        <v>40980</v>
      </c>
      <c r="B28927" s="2" t="str">
        <f>"48417"</f>
        <v>48417</v>
      </c>
      <c r="C28927" s="1">
        <v>1.28294549066852E-2</v>
      </c>
      <c r="D28927" s="1">
        <v>2.1867764342680699E-3</v>
      </c>
      <c r="E28927" s="1">
        <v>3.2602252519264899E-3</v>
      </c>
      <c r="F28927" s="1">
        <v>1.1742015996369599E-2</v>
      </c>
    </row>
    <row r="28928" spans="1:6" x14ac:dyDescent="0.25">
      <c r="A28928" s="2" t="str">
        <f t="shared" ref="A28928:A28945" si="1035">"15620"</f>
        <v>15620</v>
      </c>
      <c r="B28928" s="2" t="str">
        <f>"49649"</f>
        <v>49649</v>
      </c>
      <c r="C28928" s="1">
        <v>3.2318769432171401E-3</v>
      </c>
      <c r="D28928" s="1">
        <v>0</v>
      </c>
      <c r="E28928" s="1">
        <v>0</v>
      </c>
      <c r="F28928" s="1">
        <v>2.9558124742769401E-3</v>
      </c>
    </row>
    <row r="28929" spans="1:6" x14ac:dyDescent="0.25">
      <c r="A28929" s="2" t="str">
        <f t="shared" si="1035"/>
        <v>15620</v>
      </c>
      <c r="B28929" s="2" t="str">
        <f>"49601"</f>
        <v>49601</v>
      </c>
      <c r="C28929" s="1">
        <v>0.45438553428244099</v>
      </c>
      <c r="D28929" s="1">
        <v>0.74478873239436605</v>
      </c>
      <c r="E28929" s="1">
        <v>0.76771653543306995</v>
      </c>
      <c r="F28929" s="1">
        <v>0.47962734313615402</v>
      </c>
    </row>
    <row r="28930" spans="1:6" x14ac:dyDescent="0.25">
      <c r="A28930" s="2" t="str">
        <f t="shared" si="1035"/>
        <v>15620</v>
      </c>
      <c r="B28930" s="2" t="str">
        <f>"49618"</f>
        <v>49618</v>
      </c>
      <c r="C28930" s="1">
        <v>1.53002781868761E-2</v>
      </c>
      <c r="D28930" s="1">
        <v>7.3239436619718301E-3</v>
      </c>
      <c r="E28930" s="1">
        <v>0</v>
      </c>
      <c r="F28930" s="1">
        <v>1.44797395891794E-2</v>
      </c>
    </row>
    <row r="28931" spans="1:6" x14ac:dyDescent="0.25">
      <c r="A28931" s="2" t="str">
        <f t="shared" si="1035"/>
        <v>15620</v>
      </c>
      <c r="B28931" s="2" t="str">
        <f>"49683"</f>
        <v>49683</v>
      </c>
      <c r="C28931" s="1">
        <v>1.22729504172803E-4</v>
      </c>
      <c r="D28931" s="1">
        <v>0</v>
      </c>
      <c r="E28931" s="1">
        <v>0</v>
      </c>
      <c r="F28931" s="1">
        <v>1.12246043326972E-4</v>
      </c>
    </row>
    <row r="28932" spans="1:6" x14ac:dyDescent="0.25">
      <c r="A28932" s="2" t="str">
        <f t="shared" si="1035"/>
        <v>15620</v>
      </c>
      <c r="B28932" s="2" t="str">
        <f>"49689"</f>
        <v>49689</v>
      </c>
      <c r="C28932" s="1">
        <v>4.0909834724267699E-3</v>
      </c>
      <c r="D28932" s="1">
        <v>6.1971830985915397E-3</v>
      </c>
      <c r="E28932" s="1">
        <v>0</v>
      </c>
      <c r="F28932" s="1">
        <v>4.15310360309799E-3</v>
      </c>
    </row>
    <row r="28933" spans="1:6" x14ac:dyDescent="0.25">
      <c r="A28933" s="2" t="str">
        <f t="shared" si="1035"/>
        <v>15620</v>
      </c>
      <c r="B28933" s="2" t="str">
        <f>"49688"</f>
        <v>49688</v>
      </c>
      <c r="C28933" s="1">
        <v>1.2682048764522901E-3</v>
      </c>
      <c r="D28933" s="1">
        <v>0</v>
      </c>
      <c r="E28933" s="1">
        <v>0</v>
      </c>
      <c r="F28933" s="1">
        <v>1.1598757810453799E-3</v>
      </c>
    </row>
    <row r="28934" spans="1:6" x14ac:dyDescent="0.25">
      <c r="A28934" s="2" t="str">
        <f t="shared" si="1035"/>
        <v>15620</v>
      </c>
      <c r="B28934" s="2" t="str">
        <f>"49667"</f>
        <v>49667</v>
      </c>
      <c r="C28934" s="1">
        <v>1.44820814923907E-2</v>
      </c>
      <c r="D28934" s="1">
        <v>1.2394366197183E-2</v>
      </c>
      <c r="E28934" s="1">
        <v>9.8425196850393699E-3</v>
      </c>
      <c r="F28934" s="1">
        <v>1.4255247502525501E-2</v>
      </c>
    </row>
    <row r="28935" spans="1:6" x14ac:dyDescent="0.25">
      <c r="A28935" s="2" t="str">
        <f t="shared" si="1035"/>
        <v>15620</v>
      </c>
      <c r="B28935" s="2" t="str">
        <f>"49625"</f>
        <v>49625</v>
      </c>
      <c r="C28935" s="1">
        <v>1.55457371952217E-3</v>
      </c>
      <c r="D28935" s="1">
        <v>0</v>
      </c>
      <c r="E28935" s="1">
        <v>0</v>
      </c>
      <c r="F28935" s="1">
        <v>1.4217832154749799E-3</v>
      </c>
    </row>
    <row r="28936" spans="1:6" x14ac:dyDescent="0.25">
      <c r="A28936" s="2" t="str">
        <f t="shared" si="1035"/>
        <v>15620</v>
      </c>
      <c r="B28936" s="2" t="str">
        <f>"49657"</f>
        <v>49657</v>
      </c>
      <c r="C28936" s="1">
        <v>6.1446571755850103E-2</v>
      </c>
      <c r="D28936" s="1">
        <v>4.2816901408450701E-2</v>
      </c>
      <c r="E28936" s="1">
        <v>3.5433070866141697E-2</v>
      </c>
      <c r="F28936" s="1">
        <v>5.9714895049949403E-2</v>
      </c>
    </row>
    <row r="28937" spans="1:6" x14ac:dyDescent="0.25">
      <c r="A28937" s="2" t="str">
        <f t="shared" si="1035"/>
        <v>15620</v>
      </c>
      <c r="B28937" s="2" t="str">
        <f>"49668"</f>
        <v>49668</v>
      </c>
      <c r="C28937" s="1">
        <v>7.5315005727376802E-2</v>
      </c>
      <c r="D28937" s="1">
        <v>2.7605633802816901E-2</v>
      </c>
      <c r="E28937" s="1">
        <v>1.1811023622047201E-2</v>
      </c>
      <c r="F28937" s="1">
        <v>7.0939499382646695E-2</v>
      </c>
    </row>
    <row r="28938" spans="1:6" x14ac:dyDescent="0.25">
      <c r="A28938" s="2" t="str">
        <f t="shared" si="1035"/>
        <v>15620</v>
      </c>
      <c r="B28938" s="2" t="str">
        <f>"48625"</f>
        <v>48625</v>
      </c>
      <c r="C28938" s="1">
        <v>2.0454917362133801E-4</v>
      </c>
      <c r="D28938" s="1">
        <v>0</v>
      </c>
      <c r="E28938" s="1">
        <v>0</v>
      </c>
      <c r="F28938" s="1">
        <v>1.87076738878287E-4</v>
      </c>
    </row>
    <row r="28939" spans="1:6" x14ac:dyDescent="0.25">
      <c r="A28939" s="2" t="str">
        <f t="shared" si="1035"/>
        <v>15620</v>
      </c>
      <c r="B28939" s="2" t="str">
        <f>"49665"</f>
        <v>49665</v>
      </c>
      <c r="C28939" s="1">
        <v>5.2364588447062601E-3</v>
      </c>
      <c r="D28939" s="1">
        <v>0</v>
      </c>
      <c r="E28939" s="1">
        <v>0</v>
      </c>
      <c r="F28939" s="1">
        <v>4.7891645152841602E-3</v>
      </c>
    </row>
    <row r="28940" spans="1:6" x14ac:dyDescent="0.25">
      <c r="A28940" s="2" t="str">
        <f t="shared" si="1035"/>
        <v>15620</v>
      </c>
      <c r="B28940" s="2" t="str">
        <f>"49663"</f>
        <v>49663</v>
      </c>
      <c r="C28940" s="1">
        <v>0.111520209458353</v>
      </c>
      <c r="D28940" s="1">
        <v>0.04</v>
      </c>
      <c r="E28940" s="1">
        <v>8.2677165354330701E-2</v>
      </c>
      <c r="F28940" s="1">
        <v>0.106222172335091</v>
      </c>
    </row>
    <row r="28941" spans="1:6" x14ac:dyDescent="0.25">
      <c r="A28941" s="2" t="str">
        <f t="shared" si="1035"/>
        <v>15620</v>
      </c>
      <c r="B28941" s="2" t="str">
        <f>"49633"</f>
        <v>49633</v>
      </c>
      <c r="C28941" s="1">
        <v>3.8864342988054299E-3</v>
      </c>
      <c r="D28941" s="1">
        <v>1.69014084507042E-3</v>
      </c>
      <c r="E28941" s="1">
        <v>0</v>
      </c>
      <c r="F28941" s="1">
        <v>3.6667040820144402E-3</v>
      </c>
    </row>
    <row r="28942" spans="1:6" x14ac:dyDescent="0.25">
      <c r="A28942" s="2" t="str">
        <f t="shared" si="1035"/>
        <v>15620</v>
      </c>
      <c r="B28942" s="2" t="str">
        <f>"49638"</f>
        <v>49638</v>
      </c>
      <c r="C28942" s="1">
        <v>2.0045819014891102E-2</v>
      </c>
      <c r="D28942" s="1">
        <v>6.7605633802816896E-3</v>
      </c>
      <c r="E28942" s="1">
        <v>1.1811023622047201E-2</v>
      </c>
      <c r="F28942" s="1">
        <v>1.9006996670033999E-2</v>
      </c>
    </row>
    <row r="28943" spans="1:6" x14ac:dyDescent="0.25">
      <c r="A28943" s="2" t="str">
        <f t="shared" si="1035"/>
        <v>15620</v>
      </c>
      <c r="B28943" s="2" t="str">
        <f>"49620"</f>
        <v>49620</v>
      </c>
      <c r="C28943" s="1">
        <v>2.9945999018163898E-2</v>
      </c>
      <c r="D28943" s="1">
        <v>1.6901408450704199E-2</v>
      </c>
      <c r="E28943" s="1">
        <v>2.7559055118110201E-2</v>
      </c>
      <c r="F28943" s="1">
        <v>2.9034309873910199E-2</v>
      </c>
    </row>
    <row r="28944" spans="1:6" x14ac:dyDescent="0.25">
      <c r="A28944" s="2" t="str">
        <f t="shared" si="1035"/>
        <v>15620</v>
      </c>
      <c r="B28944" s="2" t="str">
        <f>"49651"</f>
        <v>49651</v>
      </c>
      <c r="C28944" s="1">
        <v>0.17247586319751201</v>
      </c>
      <c r="D28944" s="1">
        <v>7.7746478873239405E-2</v>
      </c>
      <c r="E28944" s="1">
        <v>5.3149606299212497E-2</v>
      </c>
      <c r="F28944" s="1">
        <v>0.16391663860515501</v>
      </c>
    </row>
    <row r="28945" spans="1:6" x14ac:dyDescent="0.25">
      <c r="A28945" s="2" t="str">
        <f t="shared" si="1035"/>
        <v>15620</v>
      </c>
      <c r="B28945" s="2" t="str">
        <f>"49632"</f>
        <v>49632</v>
      </c>
      <c r="C28945" s="1">
        <v>2.5486827033218699E-2</v>
      </c>
      <c r="D28945" s="1">
        <v>1.5774647887323901E-2</v>
      </c>
      <c r="E28945" s="1">
        <v>0</v>
      </c>
      <c r="F28945" s="1">
        <v>2.4357391401953001E-2</v>
      </c>
    </row>
    <row r="28946" spans="1:6" x14ac:dyDescent="0.25">
      <c r="A28946" s="2" t="str">
        <f t="shared" ref="A28946:A28953" si="1036">"10980"</f>
        <v>10980</v>
      </c>
      <c r="B28946" s="2" t="str">
        <f>"49766"</f>
        <v>49766</v>
      </c>
      <c r="C28946" s="1">
        <v>8.3928347738945197E-2</v>
      </c>
      <c r="D28946" s="1">
        <v>3.5570469798657703E-2</v>
      </c>
      <c r="E28946" s="1">
        <v>8.2135523613962994E-2</v>
      </c>
      <c r="F28946" s="1">
        <v>7.9864013821545995E-2</v>
      </c>
    </row>
    <row r="28947" spans="1:6" x14ac:dyDescent="0.25">
      <c r="A28947" s="2" t="str">
        <f t="shared" si="1036"/>
        <v>10980</v>
      </c>
      <c r="B28947" s="2" t="str">
        <f>"49776"</f>
        <v>49776</v>
      </c>
      <c r="C28947" s="1">
        <v>1.4092446448703401E-2</v>
      </c>
      <c r="D28947" s="1">
        <v>7.3825503355704602E-3</v>
      </c>
      <c r="E28947" s="1">
        <v>0</v>
      </c>
      <c r="F28947" s="1">
        <v>1.31527615225993E-2</v>
      </c>
    </row>
    <row r="28948" spans="1:6" x14ac:dyDescent="0.25">
      <c r="A28948" s="2" t="str">
        <f t="shared" si="1036"/>
        <v>10980</v>
      </c>
      <c r="B28948" s="2" t="str">
        <f>"49753"</f>
        <v>49753</v>
      </c>
      <c r="C28948" s="1">
        <v>7.9356131780032493E-2</v>
      </c>
      <c r="D28948" s="1">
        <v>2.1476510067113999E-2</v>
      </c>
      <c r="E28948" s="1">
        <v>7.3921971252566707E-2</v>
      </c>
      <c r="F28948" s="1">
        <v>7.4402273867246196E-2</v>
      </c>
    </row>
    <row r="28949" spans="1:6" x14ac:dyDescent="0.25">
      <c r="A28949" s="2" t="str">
        <f t="shared" si="1036"/>
        <v>10980</v>
      </c>
      <c r="B28949" s="2" t="str">
        <f>"49744"</f>
        <v>49744</v>
      </c>
      <c r="C28949" s="1">
        <v>2.7057497181510699E-2</v>
      </c>
      <c r="D28949" s="1">
        <v>9.3959731543624102E-3</v>
      </c>
      <c r="E28949" s="1">
        <v>0</v>
      </c>
      <c r="F28949" s="1">
        <v>2.4856489996098699E-2</v>
      </c>
    </row>
    <row r="28950" spans="1:6" x14ac:dyDescent="0.25">
      <c r="A28950" s="2" t="str">
        <f t="shared" si="1036"/>
        <v>10980</v>
      </c>
      <c r="B28950" s="2" t="str">
        <f>"49707"</f>
        <v>49707</v>
      </c>
      <c r="C28950" s="1">
        <v>0.74026055367656196</v>
      </c>
      <c r="D28950" s="1">
        <v>0.90536912751677801</v>
      </c>
      <c r="E28950" s="1">
        <v>0.83572895277207304</v>
      </c>
      <c r="F28950" s="1">
        <v>0.75656244775121195</v>
      </c>
    </row>
    <row r="28951" spans="1:6" x14ac:dyDescent="0.25">
      <c r="A28951" s="2" t="str">
        <f t="shared" si="1036"/>
        <v>10980</v>
      </c>
      <c r="B28951" s="2" t="str">
        <f>"49746"</f>
        <v>49746</v>
      </c>
      <c r="C28951" s="1">
        <v>1.40298133533759E-2</v>
      </c>
      <c r="D28951" s="1">
        <v>6.04026845637583E-3</v>
      </c>
      <c r="E28951" s="1">
        <v>4.1067761806981504E-3</v>
      </c>
      <c r="F28951" s="1">
        <v>1.3097029482249299E-2</v>
      </c>
    </row>
    <row r="28952" spans="1:6" x14ac:dyDescent="0.25">
      <c r="A28952" s="2" t="str">
        <f t="shared" si="1036"/>
        <v>10980</v>
      </c>
      <c r="B28952" s="2" t="str">
        <f>"49747"</f>
        <v>49747</v>
      </c>
      <c r="C28952" s="1">
        <v>3.8143555054490699E-2</v>
      </c>
      <c r="D28952" s="1">
        <v>1.47651006711409E-2</v>
      </c>
      <c r="E28952" s="1">
        <v>4.1067761806981504E-3</v>
      </c>
      <c r="F28952" s="1">
        <v>3.52783815415482E-2</v>
      </c>
    </row>
    <row r="28953" spans="1:6" x14ac:dyDescent="0.25">
      <c r="A28953" s="2" t="str">
        <f t="shared" si="1036"/>
        <v>10980</v>
      </c>
      <c r="B28953" s="2" t="str">
        <f>"48762"</f>
        <v>48762</v>
      </c>
      <c r="C28953" s="1">
        <v>3.1316547663785498E-3</v>
      </c>
      <c r="D28953" s="1">
        <v>0</v>
      </c>
      <c r="E28953" s="1">
        <v>0</v>
      </c>
      <c r="F28953" s="1">
        <v>2.7866020174998601E-3</v>
      </c>
    </row>
    <row r="28954" spans="1:6" x14ac:dyDescent="0.25">
      <c r="A28954" s="2" t="str">
        <f t="shared" ref="A28954:A28968" si="1037">"44780"</f>
        <v>44780</v>
      </c>
      <c r="B28954" s="2" t="str">
        <f>"49099"</f>
        <v>49099</v>
      </c>
      <c r="C28954" s="1">
        <v>8.0367907954114803E-2</v>
      </c>
      <c r="D28954" s="1">
        <v>5.5906660184735002E-2</v>
      </c>
      <c r="E28954" s="1">
        <v>2.8325123152709301E-2</v>
      </c>
      <c r="F28954" s="1">
        <v>7.7465671828954696E-2</v>
      </c>
    </row>
    <row r="28955" spans="1:6" x14ac:dyDescent="0.25">
      <c r="A28955" s="2" t="str">
        <f t="shared" si="1037"/>
        <v>44780</v>
      </c>
      <c r="B28955" s="2" t="str">
        <f>"49091"</f>
        <v>49091</v>
      </c>
      <c r="C28955" s="1">
        <v>0.33769678597264802</v>
      </c>
      <c r="D28955" s="1">
        <v>0.45503159941662602</v>
      </c>
      <c r="E28955" s="1">
        <v>0.46674876847290597</v>
      </c>
      <c r="F28955" s="1">
        <v>0.34854849833845303</v>
      </c>
    </row>
    <row r="28956" spans="1:6" x14ac:dyDescent="0.25">
      <c r="A28956" s="2" t="str">
        <f t="shared" si="1037"/>
        <v>44780</v>
      </c>
      <c r="B28956" s="2" t="str">
        <f>"49087"</f>
        <v>49087</v>
      </c>
      <c r="C28956" s="1">
        <v>6.8896620620758505E-5</v>
      </c>
      <c r="D28956" s="1">
        <v>0</v>
      </c>
      <c r="E28956" s="1">
        <v>0</v>
      </c>
      <c r="F28956" s="1">
        <v>6.2699855790331602E-5</v>
      </c>
    </row>
    <row r="28957" spans="1:6" x14ac:dyDescent="0.25">
      <c r="A28957" s="2" t="str">
        <f t="shared" si="1037"/>
        <v>44780</v>
      </c>
      <c r="B28957" s="2" t="str">
        <f>"49032"</f>
        <v>49032</v>
      </c>
      <c r="C28957" s="1">
        <v>4.0683454476557898E-2</v>
      </c>
      <c r="D28957" s="1">
        <v>3.4516285853184198E-2</v>
      </c>
      <c r="E28957" s="1">
        <v>4.3103448275862002E-2</v>
      </c>
      <c r="F28957" s="1">
        <v>4.0347357201078397E-2</v>
      </c>
    </row>
    <row r="28958" spans="1:6" x14ac:dyDescent="0.25">
      <c r="A28958" s="2" t="str">
        <f t="shared" si="1037"/>
        <v>44780</v>
      </c>
      <c r="B28958" s="2" t="str">
        <f>"49042"</f>
        <v>49042</v>
      </c>
      <c r="C28958" s="1">
        <v>7.2548141513658695E-2</v>
      </c>
      <c r="D28958" s="1">
        <v>6.1254253767622703E-2</v>
      </c>
      <c r="E28958" s="1">
        <v>3.5714285714285698E-2</v>
      </c>
      <c r="F28958" s="1">
        <v>7.0882186970969902E-2</v>
      </c>
    </row>
    <row r="28959" spans="1:6" x14ac:dyDescent="0.25">
      <c r="A28959" s="2" t="str">
        <f t="shared" si="1037"/>
        <v>44780</v>
      </c>
      <c r="B28959" s="2" t="str">
        <f>"49030"</f>
        <v>49030</v>
      </c>
      <c r="C28959" s="1">
        <v>3.7789796410486E-2</v>
      </c>
      <c r="D28959" s="1">
        <v>1.2639766650461799E-2</v>
      </c>
      <c r="E28959" s="1">
        <v>7.38916256157635E-3</v>
      </c>
      <c r="F28959" s="1">
        <v>3.5394068593642199E-2</v>
      </c>
    </row>
    <row r="28960" spans="1:6" x14ac:dyDescent="0.25">
      <c r="A28960" s="2" t="str">
        <f t="shared" si="1037"/>
        <v>44780</v>
      </c>
      <c r="B28960" s="2" t="str">
        <f>"49097"</f>
        <v>49097</v>
      </c>
      <c r="C28960" s="1">
        <v>1.8602087567604799E-3</v>
      </c>
      <c r="D28960" s="1">
        <v>0</v>
      </c>
      <c r="E28960" s="1">
        <v>0</v>
      </c>
      <c r="F28960" s="1">
        <v>1.69289610633895E-3</v>
      </c>
    </row>
    <row r="28961" spans="1:6" x14ac:dyDescent="0.25">
      <c r="A28961" s="2" t="str">
        <f t="shared" si="1037"/>
        <v>44780</v>
      </c>
      <c r="B28961" s="2" t="str">
        <f>"49040"</f>
        <v>49040</v>
      </c>
      <c r="C28961" s="1">
        <v>5.5806262702814399E-2</v>
      </c>
      <c r="D28961" s="1">
        <v>1.79873602333495E-2</v>
      </c>
      <c r="E28961" s="1">
        <v>1.60098522167487E-2</v>
      </c>
      <c r="F28961" s="1">
        <v>5.2354379584926898E-2</v>
      </c>
    </row>
    <row r="28962" spans="1:6" x14ac:dyDescent="0.25">
      <c r="A28962" s="2" t="str">
        <f t="shared" si="1037"/>
        <v>44780</v>
      </c>
      <c r="B28962" s="2" t="str">
        <f>"49066"</f>
        <v>49066</v>
      </c>
      <c r="C28962" s="1">
        <v>1.0782321127148701E-2</v>
      </c>
      <c r="D28962" s="1">
        <v>1.94457948468643E-3</v>
      </c>
      <c r="E28962" s="1">
        <v>0</v>
      </c>
      <c r="F28962" s="1">
        <v>9.9379271427675695E-3</v>
      </c>
    </row>
    <row r="28963" spans="1:6" x14ac:dyDescent="0.25">
      <c r="A28963" s="2" t="str">
        <f t="shared" si="1037"/>
        <v>44780</v>
      </c>
      <c r="B28963" s="2" t="str">
        <f>"49052"</f>
        <v>49052</v>
      </c>
      <c r="C28963" s="1">
        <v>2.4113817217265399E-4</v>
      </c>
      <c r="D28963" s="1">
        <v>0</v>
      </c>
      <c r="E28963" s="1">
        <v>0</v>
      </c>
      <c r="F28963" s="1">
        <v>2.1944949526616001E-4</v>
      </c>
    </row>
    <row r="28964" spans="1:6" x14ac:dyDescent="0.25">
      <c r="A28964" s="2" t="str">
        <f t="shared" si="1037"/>
        <v>44780</v>
      </c>
      <c r="B28964" s="2" t="str">
        <f>"49067"</f>
        <v>49067</v>
      </c>
      <c r="C28964" s="1">
        <v>1.19191153673912E-2</v>
      </c>
      <c r="D28964" s="1">
        <v>1.94457948468643E-3</v>
      </c>
      <c r="E28964" s="1">
        <v>0</v>
      </c>
      <c r="F28964" s="1">
        <v>1.0972474763308E-2</v>
      </c>
    </row>
    <row r="28965" spans="1:6" x14ac:dyDescent="0.25">
      <c r="A28965" s="2" t="str">
        <f t="shared" si="1037"/>
        <v>44780</v>
      </c>
      <c r="B28965" s="2" t="str">
        <f>"49011"</f>
        <v>49011</v>
      </c>
      <c r="C28965" s="1">
        <v>3.7893141341417198E-4</v>
      </c>
      <c r="D28965" s="1">
        <v>4.8614487117160901E-4</v>
      </c>
      <c r="E28965" s="1">
        <v>0</v>
      </c>
      <c r="F28965" s="1">
        <v>3.7619913474198999E-4</v>
      </c>
    </row>
    <row r="28966" spans="1:6" x14ac:dyDescent="0.25">
      <c r="A28966" s="2" t="str">
        <f t="shared" si="1037"/>
        <v>44780</v>
      </c>
      <c r="B28966" s="2" t="str">
        <f>"49075"</f>
        <v>49075</v>
      </c>
      <c r="C28966" s="1">
        <v>0</v>
      </c>
      <c r="D28966" s="1">
        <v>9.7228974234321803E-4</v>
      </c>
      <c r="E28966" s="1">
        <v>0</v>
      </c>
      <c r="F28966" s="1">
        <v>6.2699855790331602E-5</v>
      </c>
    </row>
    <row r="28967" spans="1:6" x14ac:dyDescent="0.25">
      <c r="A28967" s="2" t="str">
        <f t="shared" si="1037"/>
        <v>44780</v>
      </c>
      <c r="B28967" s="2" t="str">
        <f>"49072"</f>
        <v>49072</v>
      </c>
      <c r="C28967" s="1">
        <v>4.78831513314271E-2</v>
      </c>
      <c r="D28967" s="1">
        <v>1.40982012639766E-2</v>
      </c>
      <c r="E28967" s="1">
        <v>1.23152709359605E-2</v>
      </c>
      <c r="F28967" s="1">
        <v>4.4799046962191898E-2</v>
      </c>
    </row>
    <row r="28968" spans="1:6" x14ac:dyDescent="0.25">
      <c r="A28968" s="2" t="str">
        <f t="shared" si="1037"/>
        <v>44780</v>
      </c>
      <c r="B28968" s="2" t="str">
        <f>"49093"</f>
        <v>49093</v>
      </c>
      <c r="C28968" s="1">
        <v>0.30197388818078402</v>
      </c>
      <c r="D28968" s="1">
        <v>0.34321827904715602</v>
      </c>
      <c r="E28968" s="1">
        <v>0.39039408866995001</v>
      </c>
      <c r="F28968" s="1">
        <v>0.30688444416577798</v>
      </c>
    </row>
    <row r="28969" spans="1:6" x14ac:dyDescent="0.25">
      <c r="A28969" s="2" t="str">
        <f t="shared" ref="A28969:A29003" si="1038">"19060"</f>
        <v>19060</v>
      </c>
      <c r="B28969" s="2" t="str">
        <f>"26757"</f>
        <v>26757</v>
      </c>
      <c r="C28969" s="1">
        <v>2.5989455706541901E-4</v>
      </c>
      <c r="D28969" s="1">
        <v>0</v>
      </c>
      <c r="E28969" s="1">
        <v>0</v>
      </c>
      <c r="F28969" s="1">
        <v>2.3270889779092701E-4</v>
      </c>
    </row>
    <row r="28970" spans="1:6" x14ac:dyDescent="0.25">
      <c r="A28970" s="2" t="str">
        <f t="shared" si="1038"/>
        <v>19060</v>
      </c>
      <c r="B28970" s="2" t="str">
        <f>"26710"</f>
        <v>26710</v>
      </c>
      <c r="C28970" s="1">
        <v>1.7078785178584601E-2</v>
      </c>
      <c r="D28970" s="1">
        <v>6.1757719714964302E-3</v>
      </c>
      <c r="E28970" s="1">
        <v>1.9203072491598601E-3</v>
      </c>
      <c r="F28970" s="1">
        <v>1.5790960921527201E-2</v>
      </c>
    </row>
    <row r="28971" spans="1:6" x14ac:dyDescent="0.25">
      <c r="A28971" s="2" t="str">
        <f t="shared" si="1038"/>
        <v>19060</v>
      </c>
      <c r="B28971" s="2" t="str">
        <f>"21562"</f>
        <v>21562</v>
      </c>
      <c r="C28971" s="1">
        <v>2.90896264943937E-2</v>
      </c>
      <c r="D28971" s="1">
        <v>3.0878859857482101E-2</v>
      </c>
      <c r="E28971" s="1">
        <v>2.8324531925108001E-2</v>
      </c>
      <c r="F28971" s="1">
        <v>2.9188344608633499E-2</v>
      </c>
    </row>
    <row r="28972" spans="1:6" x14ac:dyDescent="0.25">
      <c r="A28972" s="2" t="str">
        <f t="shared" si="1038"/>
        <v>19060</v>
      </c>
      <c r="B28972" s="2" t="str">
        <f>"21543"</f>
        <v>21543</v>
      </c>
      <c r="C28972" s="1">
        <v>1.72644241479171E-3</v>
      </c>
      <c r="D28972" s="1">
        <v>2.3752969121140099E-4</v>
      </c>
      <c r="E28972" s="1">
        <v>0</v>
      </c>
      <c r="F28972" s="1">
        <v>1.5624740280248E-3</v>
      </c>
    </row>
    <row r="28973" spans="1:6" x14ac:dyDescent="0.25">
      <c r="A28973" s="2" t="str">
        <f t="shared" si="1038"/>
        <v>19060</v>
      </c>
      <c r="B28973" s="2" t="str">
        <f>"21501"</f>
        <v>21501</v>
      </c>
      <c r="C28973" s="1">
        <v>2.1626939927229499E-2</v>
      </c>
      <c r="D28973" s="1">
        <v>7.6009501187648404E-2</v>
      </c>
      <c r="E28973" s="1">
        <v>9.6015362457993198E-4</v>
      </c>
      <c r="F28973" s="1">
        <v>2.4717009358222099E-2</v>
      </c>
    </row>
    <row r="28974" spans="1:6" x14ac:dyDescent="0.25">
      <c r="A28974" s="2" t="str">
        <f t="shared" si="1038"/>
        <v>19060</v>
      </c>
      <c r="B28974" s="2" t="str">
        <f>"26731"</f>
        <v>26731</v>
      </c>
      <c r="C28974" s="1">
        <v>3.7127793866488401E-5</v>
      </c>
      <c r="D28974" s="1">
        <v>0</v>
      </c>
      <c r="E28974" s="1">
        <v>0</v>
      </c>
      <c r="F28974" s="1">
        <v>3.3244128255846802E-5</v>
      </c>
    </row>
    <row r="28975" spans="1:6" x14ac:dyDescent="0.25">
      <c r="A28975" s="2" t="str">
        <f t="shared" si="1038"/>
        <v>19060</v>
      </c>
      <c r="B28975" s="2" t="str">
        <f>"21557"</f>
        <v>21557</v>
      </c>
      <c r="C28975" s="1">
        <v>1.6688943342986502E-2</v>
      </c>
      <c r="D28975" s="1">
        <v>4.5130641330166201E-3</v>
      </c>
      <c r="E28975" s="1">
        <v>4.8007681228996596E-3</v>
      </c>
      <c r="F28975" s="1">
        <v>1.5425275510712899E-2</v>
      </c>
    </row>
    <row r="28976" spans="1:6" x14ac:dyDescent="0.25">
      <c r="A28976" s="2" t="str">
        <f t="shared" si="1038"/>
        <v>19060</v>
      </c>
      <c r="B28976" s="2" t="str">
        <f>"21503"</f>
        <v>21503</v>
      </c>
      <c r="C28976" s="1">
        <v>0</v>
      </c>
      <c r="D28976" s="1">
        <v>2.3752969121140099E-4</v>
      </c>
      <c r="E28976" s="1">
        <v>4.8007681228996599E-4</v>
      </c>
      <c r="F28976" s="1">
        <v>3.3244128255846802E-5</v>
      </c>
    </row>
    <row r="28977" spans="1:6" x14ac:dyDescent="0.25">
      <c r="A28977" s="2" t="str">
        <f t="shared" si="1038"/>
        <v>19060</v>
      </c>
      <c r="B28977" s="2" t="str">
        <f>"21539"</f>
        <v>21539</v>
      </c>
      <c r="C28977" s="1">
        <v>2.1218534194698099E-2</v>
      </c>
      <c r="D28977" s="1">
        <v>1.40142517814726E-2</v>
      </c>
      <c r="E28977" s="1">
        <v>7.6812289966394602E-3</v>
      </c>
      <c r="F28977" s="1">
        <v>2.02456741078107E-2</v>
      </c>
    </row>
    <row r="28978" spans="1:6" x14ac:dyDescent="0.25">
      <c r="A28978" s="2" t="str">
        <f t="shared" si="1038"/>
        <v>19060</v>
      </c>
      <c r="B28978" s="2" t="str">
        <f>"21521"</f>
        <v>21521</v>
      </c>
      <c r="C28978" s="1">
        <v>9.7274819930199697E-3</v>
      </c>
      <c r="D28978" s="1">
        <v>1.9002375296912101E-3</v>
      </c>
      <c r="E28978" s="1">
        <v>3.8406144983197301E-3</v>
      </c>
      <c r="F28978" s="1">
        <v>8.9759146290786292E-3</v>
      </c>
    </row>
    <row r="28979" spans="1:6" x14ac:dyDescent="0.25">
      <c r="A28979" s="2" t="str">
        <f t="shared" si="1038"/>
        <v>19060</v>
      </c>
      <c r="B28979" s="2" t="str">
        <f>"26763"</f>
        <v>26763</v>
      </c>
      <c r="C28979" s="1">
        <v>3.1744263755847601E-3</v>
      </c>
      <c r="D28979" s="1">
        <v>7.12589073634204E-4</v>
      </c>
      <c r="E28979" s="1">
        <v>0</v>
      </c>
      <c r="F28979" s="1">
        <v>2.8922391582586701E-3</v>
      </c>
    </row>
    <row r="28980" spans="1:6" x14ac:dyDescent="0.25">
      <c r="A28980" s="2" t="str">
        <f t="shared" si="1038"/>
        <v>19060</v>
      </c>
      <c r="B28980" s="2" t="str">
        <f>"21560"</f>
        <v>21560</v>
      </c>
      <c r="C28980" s="1">
        <v>0</v>
      </c>
      <c r="D28980" s="1">
        <v>2.3752969121140099E-4</v>
      </c>
      <c r="E28980" s="1">
        <v>0</v>
      </c>
      <c r="F28980" s="1">
        <v>1.6622064127923401E-5</v>
      </c>
    </row>
    <row r="28981" spans="1:6" x14ac:dyDescent="0.25">
      <c r="A28981" s="2" t="str">
        <f t="shared" si="1038"/>
        <v>19060</v>
      </c>
      <c r="B28981" s="2" t="str">
        <f>"21750"</f>
        <v>21750</v>
      </c>
      <c r="C28981" s="1">
        <v>1.2994727853270899E-4</v>
      </c>
      <c r="D28981" s="1">
        <v>0</v>
      </c>
      <c r="E28981" s="1">
        <v>0</v>
      </c>
      <c r="F28981" s="1">
        <v>1.16354448895463E-4</v>
      </c>
    </row>
    <row r="28982" spans="1:6" x14ac:dyDescent="0.25">
      <c r="A28982" s="2" t="str">
        <f t="shared" si="1038"/>
        <v>19060</v>
      </c>
      <c r="B28982" s="2" t="str">
        <f>"26726"</f>
        <v>26726</v>
      </c>
      <c r="C28982" s="1">
        <v>0.174649142347961</v>
      </c>
      <c r="D28982" s="1">
        <v>0.15225653206650799</v>
      </c>
      <c r="E28982" s="1">
        <v>6.5290446471435407E-2</v>
      </c>
      <c r="F28982" s="1">
        <v>0.16929572314289901</v>
      </c>
    </row>
    <row r="28983" spans="1:6" x14ac:dyDescent="0.25">
      <c r="A28983" s="2" t="str">
        <f t="shared" si="1038"/>
        <v>19060</v>
      </c>
      <c r="B28983" s="2" t="str">
        <f>"21528"</f>
        <v>21528</v>
      </c>
      <c r="C28983" s="1">
        <v>0</v>
      </c>
      <c r="D28983" s="1">
        <v>4.7505938242280198E-4</v>
      </c>
      <c r="E28983" s="1">
        <v>0</v>
      </c>
      <c r="F28983" s="1">
        <v>3.3244128255846802E-5</v>
      </c>
    </row>
    <row r="28984" spans="1:6" x14ac:dyDescent="0.25">
      <c r="A28984" s="2" t="str">
        <f t="shared" si="1038"/>
        <v>19060</v>
      </c>
      <c r="B28984" s="2" t="str">
        <f>"21524"</f>
        <v>21524</v>
      </c>
      <c r="C28984" s="1">
        <v>1.0952699190614E-3</v>
      </c>
      <c r="D28984" s="1">
        <v>2.3752969121140099E-4</v>
      </c>
      <c r="E28984" s="1">
        <v>0</v>
      </c>
      <c r="F28984" s="1">
        <v>9.9732384767540409E-4</v>
      </c>
    </row>
    <row r="28985" spans="1:6" x14ac:dyDescent="0.25">
      <c r="A28985" s="2" t="str">
        <f t="shared" si="1038"/>
        <v>19060</v>
      </c>
      <c r="B28985" s="2" t="str">
        <f>"21540"</f>
        <v>21540</v>
      </c>
      <c r="C28985" s="1">
        <v>1.2066533006608699E-3</v>
      </c>
      <c r="D28985" s="1">
        <v>1.187648456057E-3</v>
      </c>
      <c r="E28985" s="1">
        <v>4.8007681228996599E-4</v>
      </c>
      <c r="F28985" s="1">
        <v>1.1801665530825601E-3</v>
      </c>
    </row>
    <row r="28986" spans="1:6" x14ac:dyDescent="0.25">
      <c r="A28986" s="2" t="str">
        <f t="shared" si="1038"/>
        <v>19060</v>
      </c>
      <c r="B28986" s="2" t="str">
        <f>"21532"</f>
        <v>21532</v>
      </c>
      <c r="C28986" s="1">
        <v>0.12582609341352899</v>
      </c>
      <c r="D28986" s="1">
        <v>9.1448931116389506E-2</v>
      </c>
      <c r="E28986" s="1">
        <v>0.230916946711473</v>
      </c>
      <c r="F28986" s="1">
        <v>0.127059058193846</v>
      </c>
    </row>
    <row r="28987" spans="1:6" x14ac:dyDescent="0.25">
      <c r="A28987" s="2" t="str">
        <f t="shared" si="1038"/>
        <v>19060</v>
      </c>
      <c r="B28987" s="2" t="str">
        <f>"21529"</f>
        <v>21529</v>
      </c>
      <c r="C28987" s="1">
        <v>5.7176802554392203E-3</v>
      </c>
      <c r="D28987" s="1">
        <v>2.3752969121140099E-4</v>
      </c>
      <c r="E28987" s="1">
        <v>0</v>
      </c>
      <c r="F28987" s="1">
        <v>5.13621781552833E-3</v>
      </c>
    </row>
    <row r="28988" spans="1:6" x14ac:dyDescent="0.25">
      <c r="A28988" s="2" t="str">
        <f t="shared" si="1038"/>
        <v>19060</v>
      </c>
      <c r="B28988" s="2" t="str">
        <f>"26767"</f>
        <v>26767</v>
      </c>
      <c r="C28988" s="1">
        <v>5.8104997401054398E-3</v>
      </c>
      <c r="D28988" s="1">
        <v>2.1377672209026101E-3</v>
      </c>
      <c r="E28988" s="1">
        <v>2.8804608737397902E-3</v>
      </c>
      <c r="F28988" s="1">
        <v>5.4520370339588703E-3</v>
      </c>
    </row>
    <row r="28989" spans="1:6" x14ac:dyDescent="0.25">
      <c r="A28989" s="2" t="str">
        <f t="shared" si="1038"/>
        <v>19060</v>
      </c>
      <c r="B28989" s="2" t="str">
        <f>"26750"</f>
        <v>26750</v>
      </c>
      <c r="C28989" s="1">
        <v>8.9477983218237099E-3</v>
      </c>
      <c r="D28989" s="1">
        <v>8.3135391923990394E-3</v>
      </c>
      <c r="E28989" s="1">
        <v>7.6812289966394602E-3</v>
      </c>
      <c r="F28989" s="1">
        <v>8.8595601801831694E-3</v>
      </c>
    </row>
    <row r="28990" spans="1:6" x14ac:dyDescent="0.25">
      <c r="A28990" s="2" t="str">
        <f t="shared" si="1038"/>
        <v>19060</v>
      </c>
      <c r="B28990" s="2" t="str">
        <f>"26743"</f>
        <v>26743</v>
      </c>
      <c r="C28990" s="1">
        <v>1.71344768693844E-2</v>
      </c>
      <c r="D28990" s="1">
        <v>3.3254156769596099E-3</v>
      </c>
      <c r="E28990" s="1">
        <v>0</v>
      </c>
      <c r="F28990" s="1">
        <v>1.5574874087864199E-2</v>
      </c>
    </row>
    <row r="28991" spans="1:6" x14ac:dyDescent="0.25">
      <c r="A28991" s="2" t="str">
        <f t="shared" si="1038"/>
        <v>19060</v>
      </c>
      <c r="B28991" s="2" t="str">
        <f>"21556"</f>
        <v>21556</v>
      </c>
      <c r="C28991" s="1">
        <v>0</v>
      </c>
      <c r="D28991" s="1">
        <v>2.3752969121140099E-4</v>
      </c>
      <c r="E28991" s="1">
        <v>0</v>
      </c>
      <c r="F28991" s="1">
        <v>1.6622064127923401E-5</v>
      </c>
    </row>
    <row r="28992" spans="1:6" x14ac:dyDescent="0.25">
      <c r="A28992" s="2" t="str">
        <f t="shared" si="1038"/>
        <v>19060</v>
      </c>
      <c r="B28992" s="2" t="str">
        <f>"21766"</f>
        <v>21766</v>
      </c>
      <c r="C28992" s="1">
        <v>6.5530556174352101E-3</v>
      </c>
      <c r="D28992" s="1">
        <v>2.8503562945368099E-3</v>
      </c>
      <c r="E28992" s="1">
        <v>0</v>
      </c>
      <c r="F28992" s="1">
        <v>6.0670534066920396E-3</v>
      </c>
    </row>
    <row r="28993" spans="1:6" x14ac:dyDescent="0.25">
      <c r="A28993" s="2" t="str">
        <f t="shared" si="1038"/>
        <v>19060</v>
      </c>
      <c r="B28993" s="2" t="str">
        <f>"21505"</f>
        <v>21505</v>
      </c>
      <c r="C28993" s="1">
        <v>0</v>
      </c>
      <c r="D28993" s="1">
        <v>2.3752969121140099E-4</v>
      </c>
      <c r="E28993" s="1">
        <v>4.8007681228996599E-4</v>
      </c>
      <c r="F28993" s="1">
        <v>3.3244128255846802E-5</v>
      </c>
    </row>
    <row r="28994" spans="1:6" x14ac:dyDescent="0.25">
      <c r="A28994" s="2" t="str">
        <f t="shared" si="1038"/>
        <v>19060</v>
      </c>
      <c r="B28994" s="2" t="str">
        <f>"26852"</f>
        <v>26852</v>
      </c>
      <c r="C28994" s="1">
        <v>2.0420286626568601E-4</v>
      </c>
      <c r="D28994" s="1">
        <v>0</v>
      </c>
      <c r="E28994" s="1">
        <v>0</v>
      </c>
      <c r="F28994" s="1">
        <v>1.8284270540715701E-4</v>
      </c>
    </row>
    <row r="28995" spans="1:6" x14ac:dyDescent="0.25">
      <c r="A28995" s="2" t="str">
        <f t="shared" si="1038"/>
        <v>19060</v>
      </c>
      <c r="B28995" s="2" t="str">
        <f>"26753"</f>
        <v>26753</v>
      </c>
      <c r="C28995" s="1">
        <v>7.5165218682705801E-2</v>
      </c>
      <c r="D28995" s="1">
        <v>3.4679334916864597E-2</v>
      </c>
      <c r="E28995" s="1">
        <v>1.2962073931829E-2</v>
      </c>
      <c r="F28995" s="1">
        <v>7.01783547480926E-2</v>
      </c>
    </row>
    <row r="28996" spans="1:6" x14ac:dyDescent="0.25">
      <c r="A28996" s="2" t="str">
        <f t="shared" si="1038"/>
        <v>19060</v>
      </c>
      <c r="B28996" s="2" t="str">
        <f>"26717"</f>
        <v>26717</v>
      </c>
      <c r="C28996" s="1">
        <v>8.0938590628944797E-3</v>
      </c>
      <c r="D28996" s="1">
        <v>3.3254156769596099E-3</v>
      </c>
      <c r="E28996" s="1">
        <v>0</v>
      </c>
      <c r="F28996" s="1">
        <v>7.4799288575655301E-3</v>
      </c>
    </row>
    <row r="28997" spans="1:6" x14ac:dyDescent="0.25">
      <c r="A28997" s="2" t="str">
        <f t="shared" si="1038"/>
        <v>19060</v>
      </c>
      <c r="B28997" s="2" t="str">
        <f>"21504"</f>
        <v>21504</v>
      </c>
      <c r="C28997" s="1">
        <v>0</v>
      </c>
      <c r="D28997" s="1">
        <v>2.3752969121140099E-4</v>
      </c>
      <c r="E28997" s="1">
        <v>0</v>
      </c>
      <c r="F28997" s="1">
        <v>1.6622064127923401E-5</v>
      </c>
    </row>
    <row r="28998" spans="1:6" x14ac:dyDescent="0.25">
      <c r="A28998" s="2" t="str">
        <f t="shared" si="1038"/>
        <v>19060</v>
      </c>
      <c r="B28998" s="2" t="str">
        <f>"26719"</f>
        <v>26719</v>
      </c>
      <c r="C28998" s="1">
        <v>1.4257072844731499E-2</v>
      </c>
      <c r="D28998" s="1">
        <v>5.2256532066508304E-3</v>
      </c>
      <c r="E28998" s="1">
        <v>2.8804608737397902E-3</v>
      </c>
      <c r="F28998" s="1">
        <v>1.3231163045827001E-2</v>
      </c>
    </row>
    <row r="28999" spans="1:6" x14ac:dyDescent="0.25">
      <c r="A28999" s="2" t="str">
        <f t="shared" si="1038"/>
        <v>19060</v>
      </c>
      <c r="B28999" s="2" t="str">
        <f>"21555"</f>
        <v>21555</v>
      </c>
      <c r="C28999" s="1">
        <v>1.5835004084057299E-2</v>
      </c>
      <c r="D28999" s="1">
        <v>1.6627078384797999E-3</v>
      </c>
      <c r="E28999" s="1">
        <v>0</v>
      </c>
      <c r="F28999" s="1">
        <v>1.42949751500141E-2</v>
      </c>
    </row>
    <row r="29000" spans="1:6" x14ac:dyDescent="0.25">
      <c r="A29000" s="2" t="str">
        <f t="shared" si="1038"/>
        <v>19060</v>
      </c>
      <c r="B29000" s="2" t="str">
        <f>"21542"</f>
        <v>21542</v>
      </c>
      <c r="C29000" s="1">
        <v>0</v>
      </c>
      <c r="D29000" s="1">
        <v>2.3752969121140099E-4</v>
      </c>
      <c r="E29000" s="1">
        <v>0</v>
      </c>
      <c r="F29000" s="1">
        <v>1.6622064127923401E-5</v>
      </c>
    </row>
    <row r="29001" spans="1:6" x14ac:dyDescent="0.25">
      <c r="A29001" s="2" t="str">
        <f t="shared" si="1038"/>
        <v>19060</v>
      </c>
      <c r="B29001" s="2" t="str">
        <f>"21545"</f>
        <v>21545</v>
      </c>
      <c r="C29001" s="1">
        <v>1.7078785178584601E-2</v>
      </c>
      <c r="D29001" s="1">
        <v>2.61282660332541E-3</v>
      </c>
      <c r="E29001" s="1">
        <v>7.2011521843494903E-3</v>
      </c>
      <c r="F29001" s="1">
        <v>1.5724472665015501E-2</v>
      </c>
    </row>
    <row r="29002" spans="1:6" x14ac:dyDescent="0.25">
      <c r="A29002" s="2" t="str">
        <f t="shared" si="1038"/>
        <v>19060</v>
      </c>
      <c r="B29002" s="2" t="str">
        <f>"21530"</f>
        <v>21530</v>
      </c>
      <c r="C29002" s="1">
        <v>1.48325536496621E-2</v>
      </c>
      <c r="D29002" s="1">
        <v>1.0213776722090199E-2</v>
      </c>
      <c r="E29002" s="1">
        <v>3.3605376860297602E-3</v>
      </c>
      <c r="F29002" s="1">
        <v>1.4112132444606899E-2</v>
      </c>
    </row>
    <row r="29003" spans="1:6" x14ac:dyDescent="0.25">
      <c r="A29003" s="2" t="str">
        <f t="shared" si="1038"/>
        <v>19060</v>
      </c>
      <c r="B29003" s="2" t="str">
        <f>"21502"</f>
        <v>21502</v>
      </c>
      <c r="C29003" s="1">
        <v>0.38683448429494299</v>
      </c>
      <c r="D29003" s="1">
        <v>0.54394299287410897</v>
      </c>
      <c r="E29003" s="1">
        <v>0.61785885741718605</v>
      </c>
      <c r="F29003" s="1">
        <v>0.405827695683249</v>
      </c>
    </row>
    <row r="29004" spans="1:6" x14ac:dyDescent="0.25">
      <c r="A29004" s="2" t="str">
        <f t="shared" ref="A29004:A29035" si="1039">"40060"</f>
        <v>40060</v>
      </c>
      <c r="B29004" s="2" t="str">
        <f>"23878"</f>
        <v>23878</v>
      </c>
      <c r="C29004" s="1">
        <v>5.0896024511525397E-6</v>
      </c>
      <c r="D29004" s="1">
        <v>3.5995176646329302E-5</v>
      </c>
      <c r="E29004" s="1">
        <v>0</v>
      </c>
      <c r="F29004" s="1">
        <v>7.4918713196182096E-6</v>
      </c>
    </row>
    <row r="29005" spans="1:6" x14ac:dyDescent="0.25">
      <c r="A29005" s="2" t="str">
        <f t="shared" si="1039"/>
        <v>40060</v>
      </c>
      <c r="B29005" s="2" t="str">
        <f>"23872"</f>
        <v>23872</v>
      </c>
      <c r="C29005" s="1">
        <v>1.81529154091107E-3</v>
      </c>
      <c r="D29005" s="1">
        <v>8.8188182783506997E-4</v>
      </c>
      <c r="E29005" s="1">
        <v>2.2331397945511301E-4</v>
      </c>
      <c r="F29005" s="1">
        <v>1.68417267265017E-3</v>
      </c>
    </row>
    <row r="29006" spans="1:6" x14ac:dyDescent="0.25">
      <c r="A29006" s="2" t="str">
        <f t="shared" si="1039"/>
        <v>40060</v>
      </c>
      <c r="B29006" s="2" t="str">
        <f>"23804"</f>
        <v>23804</v>
      </c>
      <c r="C29006" s="1">
        <v>1.80850540430953E-3</v>
      </c>
      <c r="D29006" s="1">
        <v>4.8053560822849698E-3</v>
      </c>
      <c r="E29006" s="1">
        <v>8.9325591782045503E-5</v>
      </c>
      <c r="F29006" s="1">
        <v>2.0003296423380598E-3</v>
      </c>
    </row>
    <row r="29007" spans="1:6" x14ac:dyDescent="0.25">
      <c r="A29007" s="2" t="str">
        <f t="shared" si="1039"/>
        <v>40060</v>
      </c>
      <c r="B29007" s="2" t="str">
        <f>"23801"</f>
        <v>23801</v>
      </c>
      <c r="C29007" s="1">
        <v>2.7789229383292798E-3</v>
      </c>
      <c r="D29007" s="1">
        <v>3.0955851915843201E-3</v>
      </c>
      <c r="E29007" s="1">
        <v>7.41402411790978E-3</v>
      </c>
      <c r="F29007" s="1">
        <v>2.9607875455131098E-3</v>
      </c>
    </row>
    <row r="29008" spans="1:6" x14ac:dyDescent="0.25">
      <c r="A29008" s="2" t="str">
        <f t="shared" si="1039"/>
        <v>40060</v>
      </c>
      <c r="B29008" s="2" t="str">
        <f>"23226"</f>
        <v>23226</v>
      </c>
      <c r="C29008" s="1">
        <v>1.4771722847395001E-2</v>
      </c>
      <c r="D29008" s="1">
        <v>2.4494717707827102E-2</v>
      </c>
      <c r="E29008" s="1">
        <v>1.0808396605627499E-2</v>
      </c>
      <c r="F29008" s="1">
        <v>1.54482386610527E-2</v>
      </c>
    </row>
    <row r="29009" spans="1:6" x14ac:dyDescent="0.25">
      <c r="A29009" s="2" t="str">
        <f t="shared" si="1039"/>
        <v>40060</v>
      </c>
      <c r="B29009" s="2" t="str">
        <f>"23218"</f>
        <v>23218</v>
      </c>
      <c r="C29009" s="1">
        <v>1.5981351696618901E-3</v>
      </c>
      <c r="D29009" s="1">
        <v>6.13717761819916E-3</v>
      </c>
      <c r="E29009" s="1">
        <v>8.9325591782045503E-5</v>
      </c>
      <c r="F29009" s="1">
        <v>1.92541092914188E-3</v>
      </c>
    </row>
    <row r="29010" spans="1:6" x14ac:dyDescent="0.25">
      <c r="A29010" s="2" t="str">
        <f t="shared" si="1039"/>
        <v>40060</v>
      </c>
      <c r="B29010" s="2" t="str">
        <f>"23220"</f>
        <v>23220</v>
      </c>
      <c r="C29010" s="1">
        <v>3.3718616238885502E-2</v>
      </c>
      <c r="D29010" s="1">
        <v>3.3853463635872702E-2</v>
      </c>
      <c r="E29010" s="1">
        <v>8.5037963376507306E-2</v>
      </c>
      <c r="F29010" s="1">
        <v>3.54515350844333E-2</v>
      </c>
    </row>
    <row r="29011" spans="1:6" x14ac:dyDescent="0.25">
      <c r="A29011" s="2" t="str">
        <f t="shared" si="1039"/>
        <v>40060</v>
      </c>
      <c r="B29011" s="2" t="str">
        <f>"23219"</f>
        <v>23219</v>
      </c>
      <c r="C29011" s="1">
        <v>7.2000909342304596E-3</v>
      </c>
      <c r="D29011" s="1">
        <v>5.4190738441048797E-2</v>
      </c>
      <c r="E29011" s="1">
        <v>2.34033050468959E-2</v>
      </c>
      <c r="F29011" s="1">
        <v>1.1655853399061999E-2</v>
      </c>
    </row>
    <row r="29012" spans="1:6" x14ac:dyDescent="0.25">
      <c r="A29012" s="2" t="str">
        <f t="shared" si="1039"/>
        <v>40060</v>
      </c>
      <c r="B29012" s="2" t="str">
        <f>"23237"</f>
        <v>23237</v>
      </c>
      <c r="C29012" s="1">
        <v>1.6729523256938401E-2</v>
      </c>
      <c r="D29012" s="1">
        <v>1.2130374529813E-2</v>
      </c>
      <c r="E29012" s="1">
        <v>6.4314426083072803E-3</v>
      </c>
      <c r="F29012" s="1">
        <v>1.6001138764440499E-2</v>
      </c>
    </row>
    <row r="29013" spans="1:6" x14ac:dyDescent="0.25">
      <c r="A29013" s="2" t="str">
        <f t="shared" si="1039"/>
        <v>40060</v>
      </c>
      <c r="B29013" s="2" t="str">
        <f>"23116"</f>
        <v>23116</v>
      </c>
      <c r="C29013" s="1">
        <v>2.2209328562679299E-2</v>
      </c>
      <c r="D29013" s="1">
        <v>1.74576606734697E-2</v>
      </c>
      <c r="E29013" s="1">
        <v>7.10138454667262E-3</v>
      </c>
      <c r="F29013" s="1">
        <v>2.13068820329942E-2</v>
      </c>
    </row>
    <row r="29014" spans="1:6" x14ac:dyDescent="0.25">
      <c r="A29014" s="2" t="str">
        <f t="shared" si="1039"/>
        <v>40060</v>
      </c>
      <c r="B29014" s="2" t="str">
        <f>"23113"</f>
        <v>23113</v>
      </c>
      <c r="C29014" s="1">
        <v>1.9681492678606801E-2</v>
      </c>
      <c r="D29014" s="1">
        <v>3.4771340640354101E-2</v>
      </c>
      <c r="E29014" s="1">
        <v>1.8669048682447498E-2</v>
      </c>
      <c r="F29014" s="1">
        <v>2.09038193559987E-2</v>
      </c>
    </row>
    <row r="29015" spans="1:6" x14ac:dyDescent="0.25">
      <c r="A29015" s="2" t="str">
        <f t="shared" si="1039"/>
        <v>40060</v>
      </c>
      <c r="B29015" s="2" t="str">
        <f>"23067"</f>
        <v>23067</v>
      </c>
      <c r="C29015" s="1">
        <v>0</v>
      </c>
      <c r="D29015" s="1">
        <v>0</v>
      </c>
      <c r="E29015" s="1">
        <v>4.4662795891022697E-5</v>
      </c>
      <c r="F29015" s="1">
        <v>1.4983742639236399E-6</v>
      </c>
    </row>
    <row r="29016" spans="1:6" x14ac:dyDescent="0.25">
      <c r="A29016" s="2" t="str">
        <f t="shared" si="1039"/>
        <v>40060</v>
      </c>
      <c r="B29016" s="2" t="str">
        <f>"23106"</f>
        <v>23106</v>
      </c>
      <c r="C29016" s="1">
        <v>8.7710815574862096E-4</v>
      </c>
      <c r="D29016" s="1">
        <v>1.0078649460972199E-3</v>
      </c>
      <c r="E29016" s="1">
        <v>4.9129075480124995E-4</v>
      </c>
      <c r="F29016" s="1">
        <v>8.7505057013140698E-4</v>
      </c>
    </row>
    <row r="29017" spans="1:6" x14ac:dyDescent="0.25">
      <c r="A29017" s="2" t="str">
        <f t="shared" si="1039"/>
        <v>40060</v>
      </c>
      <c r="B29017" s="2" t="str">
        <f>"23069"</f>
        <v>23069</v>
      </c>
      <c r="C29017" s="1">
        <v>2.2580869541613401E-3</v>
      </c>
      <c r="D29017" s="1">
        <v>1.4398070658531699E-3</v>
      </c>
      <c r="E29017" s="1">
        <v>1.33988387673068E-4</v>
      </c>
      <c r="F29017" s="1">
        <v>2.1187012091880299E-3</v>
      </c>
    </row>
    <row r="29018" spans="1:6" x14ac:dyDescent="0.25">
      <c r="A29018" s="2" t="str">
        <f t="shared" si="1039"/>
        <v>40060</v>
      </c>
      <c r="B29018" s="2" t="str">
        <f>"23011"</f>
        <v>23011</v>
      </c>
      <c r="C29018" s="1">
        <v>6.9897206995828197E-4</v>
      </c>
      <c r="D29018" s="1">
        <v>2.15971059877976E-4</v>
      </c>
      <c r="E29018" s="1">
        <v>1.33988387673068E-4</v>
      </c>
      <c r="F29018" s="1">
        <v>6.3980581069539495E-4</v>
      </c>
    </row>
    <row r="29019" spans="1:6" x14ac:dyDescent="0.25">
      <c r="A29019" s="2" t="str">
        <f t="shared" si="1039"/>
        <v>40060</v>
      </c>
      <c r="B29019" s="2" t="str">
        <f>"23039"</f>
        <v>23039</v>
      </c>
      <c r="C29019" s="1">
        <v>8.1772946048517398E-4</v>
      </c>
      <c r="D29019" s="1">
        <v>1.9797347155481101E-4</v>
      </c>
      <c r="E29019" s="1">
        <v>4.4662795891022697E-5</v>
      </c>
      <c r="F29019" s="1">
        <v>7.4019688637827897E-4</v>
      </c>
    </row>
    <row r="29020" spans="1:6" x14ac:dyDescent="0.25">
      <c r="A29020" s="2" t="str">
        <f t="shared" si="1039"/>
        <v>40060</v>
      </c>
      <c r="B29020" s="2" t="str">
        <f>"23065"</f>
        <v>23065</v>
      </c>
      <c r="C29020" s="1">
        <v>6.5486218204829298E-4</v>
      </c>
      <c r="D29020" s="1">
        <v>3.5995176646329302E-5</v>
      </c>
      <c r="E29020" s="1">
        <v>0</v>
      </c>
      <c r="F29020" s="1">
        <v>5.8136921440237301E-4</v>
      </c>
    </row>
    <row r="29021" spans="1:6" x14ac:dyDescent="0.25">
      <c r="A29021" s="2" t="str">
        <f t="shared" si="1039"/>
        <v>40060</v>
      </c>
      <c r="B29021" s="2" t="str">
        <f>"23875"</f>
        <v>23875</v>
      </c>
      <c r="C29021" s="1">
        <v>8.8406394576519606E-3</v>
      </c>
      <c r="D29021" s="1">
        <v>6.2991559131076397E-3</v>
      </c>
      <c r="E29021" s="1">
        <v>3.9749888343010202E-3</v>
      </c>
      <c r="F29021" s="1">
        <v>8.4658145911685797E-3</v>
      </c>
    </row>
    <row r="29022" spans="1:6" x14ac:dyDescent="0.25">
      <c r="A29022" s="2" t="str">
        <f t="shared" si="1039"/>
        <v>40060</v>
      </c>
      <c r="B29022" s="2" t="str">
        <f>"23841"</f>
        <v>23841</v>
      </c>
      <c r="C29022" s="1">
        <v>2.7229373113666E-3</v>
      </c>
      <c r="D29022" s="1">
        <v>1.96173712722495E-3</v>
      </c>
      <c r="E29022" s="1">
        <v>1.7865118356409101E-4</v>
      </c>
      <c r="F29022" s="1">
        <v>2.5742069854208099E-3</v>
      </c>
    </row>
    <row r="29023" spans="1:6" x14ac:dyDescent="0.25">
      <c r="A29023" s="2" t="str">
        <f t="shared" si="1039"/>
        <v>40060</v>
      </c>
      <c r="B29023" s="2" t="str">
        <f>"23831"</f>
        <v>23831</v>
      </c>
      <c r="C29023" s="1">
        <v>2.7502515111877901E-2</v>
      </c>
      <c r="D29023" s="1">
        <v>2.3126900995266601E-2</v>
      </c>
      <c r="E29023" s="1">
        <v>1.5319338990620801E-2</v>
      </c>
      <c r="F29023" s="1">
        <v>2.6729498494133801E-2</v>
      </c>
    </row>
    <row r="29024" spans="1:6" x14ac:dyDescent="0.25">
      <c r="A29024" s="2" t="str">
        <f t="shared" si="1039"/>
        <v>40060</v>
      </c>
      <c r="B29024" s="2" t="str">
        <f>"23223"</f>
        <v>23223</v>
      </c>
      <c r="C29024" s="1">
        <v>4.4617151620953498E-2</v>
      </c>
      <c r="D29024" s="1">
        <v>2.4908662239259902E-2</v>
      </c>
      <c r="E29024" s="1">
        <v>6.9807949977668607E-2</v>
      </c>
      <c r="F29024" s="1">
        <v>4.3821453722710797E-2</v>
      </c>
    </row>
    <row r="29025" spans="1:6" x14ac:dyDescent="0.25">
      <c r="A29025" s="2" t="str">
        <f t="shared" si="1039"/>
        <v>40060</v>
      </c>
      <c r="B29025" s="2" t="str">
        <f>"23221"</f>
        <v>23221</v>
      </c>
      <c r="C29025" s="1">
        <v>1.4605462500657401E-2</v>
      </c>
      <c r="D29025" s="1">
        <v>1.4164102010330601E-2</v>
      </c>
      <c r="E29025" s="1">
        <v>4.9888343010272403E-2</v>
      </c>
      <c r="F29025" s="1">
        <v>1.57524086366292E-2</v>
      </c>
    </row>
    <row r="29026" spans="1:6" x14ac:dyDescent="0.25">
      <c r="A29026" s="2" t="str">
        <f t="shared" si="1039"/>
        <v>40060</v>
      </c>
      <c r="B29026" s="2" t="str">
        <f>"23260"</f>
        <v>23260</v>
      </c>
      <c r="C29026" s="1">
        <v>1.0162239560801199E-3</v>
      </c>
      <c r="D29026" s="1">
        <v>7.7209653906376496E-3</v>
      </c>
      <c r="E29026" s="1">
        <v>4.4662795891022697E-5</v>
      </c>
      <c r="F29026" s="1">
        <v>1.54182711757742E-3</v>
      </c>
    </row>
    <row r="29027" spans="1:6" x14ac:dyDescent="0.25">
      <c r="A29027" s="2" t="str">
        <f t="shared" si="1039"/>
        <v>40060</v>
      </c>
      <c r="B29027" s="2" t="str">
        <f>"23185"</f>
        <v>23185</v>
      </c>
      <c r="C29027" s="1">
        <v>6.9557900165751304E-5</v>
      </c>
      <c r="D29027" s="1">
        <v>1.79975883231646E-5</v>
      </c>
      <c r="E29027" s="1">
        <v>0</v>
      </c>
      <c r="F29027" s="1">
        <v>6.2931719084792902E-5</v>
      </c>
    </row>
    <row r="29028" spans="1:6" x14ac:dyDescent="0.25">
      <c r="A29028" s="2" t="str">
        <f t="shared" si="1039"/>
        <v>40060</v>
      </c>
      <c r="B29028" s="2" t="str">
        <f>"23162"</f>
        <v>23162</v>
      </c>
      <c r="C29028" s="1">
        <v>0</v>
      </c>
      <c r="D29028" s="1">
        <v>0</v>
      </c>
      <c r="E29028" s="1">
        <v>4.4662795891022697E-5</v>
      </c>
      <c r="F29028" s="1">
        <v>1.4983742639236399E-6</v>
      </c>
    </row>
    <row r="29029" spans="1:6" x14ac:dyDescent="0.25">
      <c r="A29029" s="2" t="str">
        <f t="shared" si="1039"/>
        <v>40060</v>
      </c>
      <c r="B29029" s="2" t="str">
        <f>"23177"</f>
        <v>23177</v>
      </c>
      <c r="C29029" s="1">
        <v>5.3949785982216898E-4</v>
      </c>
      <c r="D29029" s="1">
        <v>2.15971059877976E-4</v>
      </c>
      <c r="E29029" s="1">
        <v>4.4662795891022697E-5</v>
      </c>
      <c r="F29029" s="1">
        <v>4.9596188135872499E-4</v>
      </c>
    </row>
    <row r="29030" spans="1:6" x14ac:dyDescent="0.25">
      <c r="A29030" s="2" t="str">
        <f t="shared" si="1039"/>
        <v>40060</v>
      </c>
      <c r="B29030" s="2" t="str">
        <f>"23156"</f>
        <v>23156</v>
      </c>
      <c r="C29030" s="1">
        <v>1.19775311017123E-3</v>
      </c>
      <c r="D29030" s="1">
        <v>2.5196623652430498E-4</v>
      </c>
      <c r="E29030" s="1">
        <v>4.4662795891022697E-5</v>
      </c>
      <c r="F29030" s="1">
        <v>1.08032784428894E-3</v>
      </c>
    </row>
    <row r="29031" spans="1:6" x14ac:dyDescent="0.25">
      <c r="A29031" s="2" t="str">
        <f t="shared" si="1039"/>
        <v>40060</v>
      </c>
      <c r="B29031" s="2" t="str">
        <f>"23146"</f>
        <v>23146</v>
      </c>
      <c r="C29031" s="1">
        <v>2.1291503587321401E-3</v>
      </c>
      <c r="D29031" s="1">
        <v>2.3216888936882399E-3</v>
      </c>
      <c r="E29031" s="1">
        <v>9.3791871371147798E-4</v>
      </c>
      <c r="F29031" s="1">
        <v>2.1052158408127099E-3</v>
      </c>
    </row>
    <row r="29032" spans="1:6" x14ac:dyDescent="0.25">
      <c r="A29032" s="2" t="str">
        <f t="shared" si="1039"/>
        <v>40060</v>
      </c>
      <c r="B29032" s="2" t="str">
        <f>"23192"</f>
        <v>23192</v>
      </c>
      <c r="C29032" s="1">
        <v>4.3804511762919503E-3</v>
      </c>
      <c r="D29032" s="1">
        <v>1.29582635926785E-3</v>
      </c>
      <c r="E29032" s="1">
        <v>2.2331397945511301E-4</v>
      </c>
      <c r="F29032" s="1">
        <v>3.9841771677729598E-3</v>
      </c>
    </row>
    <row r="29033" spans="1:6" x14ac:dyDescent="0.25">
      <c r="A29033" s="2" t="str">
        <f t="shared" si="1039"/>
        <v>40060</v>
      </c>
      <c r="B29033" s="2" t="str">
        <f>"23235"</f>
        <v>23235</v>
      </c>
      <c r="C29033" s="1">
        <v>2.77400298929317E-2</v>
      </c>
      <c r="D29033" s="1">
        <v>5.0573223188092702E-2</v>
      </c>
      <c r="E29033" s="1">
        <v>3.3095131755247802E-2</v>
      </c>
      <c r="F29033" s="1">
        <v>2.98206446006083E-2</v>
      </c>
    </row>
    <row r="29034" spans="1:6" x14ac:dyDescent="0.25">
      <c r="A29034" s="2" t="str">
        <f t="shared" si="1039"/>
        <v>40060</v>
      </c>
      <c r="B29034" s="2" t="str">
        <f>"23229"</f>
        <v>23229</v>
      </c>
      <c r="C29034" s="1">
        <v>2.3726030093122699E-2</v>
      </c>
      <c r="D29034" s="1">
        <v>2.1075175926425799E-2</v>
      </c>
      <c r="E29034" s="1">
        <v>2.7154979901741799E-2</v>
      </c>
      <c r="F29034" s="1">
        <v>2.3620371896492302E-2</v>
      </c>
    </row>
    <row r="29035" spans="1:6" x14ac:dyDescent="0.25">
      <c r="A29035" s="2" t="str">
        <f t="shared" si="1039"/>
        <v>40060</v>
      </c>
      <c r="B29035" s="2" t="str">
        <f>"23139"</f>
        <v>23139</v>
      </c>
      <c r="C29035" s="1">
        <v>1.85906212199098E-2</v>
      </c>
      <c r="D29035" s="1">
        <v>1.13564782319169E-2</v>
      </c>
      <c r="E29035" s="1">
        <v>3.8410004466279501E-3</v>
      </c>
      <c r="F29035" s="1">
        <v>1.74935195313085E-2</v>
      </c>
    </row>
    <row r="29036" spans="1:6" x14ac:dyDescent="0.25">
      <c r="A29036" s="2" t="str">
        <f t="shared" ref="A29036:A29067" si="1040">"40060"</f>
        <v>40060</v>
      </c>
      <c r="B29036" s="2" t="str">
        <f>"23111"</f>
        <v>23111</v>
      </c>
      <c r="C29036" s="1">
        <v>2.7419384938509098E-2</v>
      </c>
      <c r="D29036" s="1">
        <v>2.5160628475784201E-2</v>
      </c>
      <c r="E29036" s="1">
        <v>1.5140687807056699E-2</v>
      </c>
      <c r="F29036" s="1">
        <v>2.6819400949969201E-2</v>
      </c>
    </row>
    <row r="29037" spans="1:6" x14ac:dyDescent="0.25">
      <c r="A29037" s="2" t="str">
        <f t="shared" si="1040"/>
        <v>40060</v>
      </c>
      <c r="B29037" s="2" t="str">
        <f>"23089"</f>
        <v>23089</v>
      </c>
      <c r="C29037" s="1">
        <v>2.6177521940427802E-3</v>
      </c>
      <c r="D29037" s="1">
        <v>4.8593488472544599E-4</v>
      </c>
      <c r="E29037" s="1">
        <v>4.4662795891022697E-5</v>
      </c>
      <c r="F29037" s="1">
        <v>2.35394596862404E-3</v>
      </c>
    </row>
    <row r="29038" spans="1:6" x14ac:dyDescent="0.25">
      <c r="A29038" s="2" t="str">
        <f t="shared" si="1040"/>
        <v>40060</v>
      </c>
      <c r="B29038" s="2" t="str">
        <f>"23075"</f>
        <v>23075</v>
      </c>
      <c r="C29038" s="1">
        <v>7.4291230445323198E-3</v>
      </c>
      <c r="D29038" s="1">
        <v>3.0595900149379901E-3</v>
      </c>
      <c r="E29038" s="1">
        <v>9.3791871371147798E-4</v>
      </c>
      <c r="F29038" s="1">
        <v>6.8475703861310402E-3</v>
      </c>
    </row>
    <row r="29039" spans="1:6" x14ac:dyDescent="0.25">
      <c r="A29039" s="2" t="str">
        <f t="shared" si="1040"/>
        <v>40060</v>
      </c>
      <c r="B29039" s="2" t="str">
        <f>"23005"</f>
        <v>23005</v>
      </c>
      <c r="C29039" s="1">
        <v>1.26154279422567E-2</v>
      </c>
      <c r="D29039" s="1">
        <v>3.4501376815506697E-2</v>
      </c>
      <c r="E29039" s="1">
        <v>1.71951764180437E-2</v>
      </c>
      <c r="F29039" s="1">
        <v>1.45911685820884E-2</v>
      </c>
    </row>
    <row r="29040" spans="1:6" x14ac:dyDescent="0.25">
      <c r="A29040" s="2" t="str">
        <f t="shared" si="1040"/>
        <v>40060</v>
      </c>
      <c r="B29040" s="2" t="str">
        <f>"23060"</f>
        <v>23060</v>
      </c>
      <c r="C29040" s="1">
        <v>2.69765895252588E-2</v>
      </c>
      <c r="D29040" s="1">
        <v>2.7734283605996699E-2</v>
      </c>
      <c r="E29040" s="1">
        <v>2.7556945064761001E-2</v>
      </c>
      <c r="F29040" s="1">
        <v>2.7059140832197001E-2</v>
      </c>
    </row>
    <row r="29041" spans="1:6" x14ac:dyDescent="0.25">
      <c r="A29041" s="2" t="str">
        <f t="shared" si="1040"/>
        <v>40060</v>
      </c>
      <c r="B29041" s="2" t="str">
        <f>"23030"</f>
        <v>23030</v>
      </c>
      <c r="C29041" s="1">
        <v>4.0699854267716397E-3</v>
      </c>
      <c r="D29041" s="1">
        <v>3.6715080179255898E-3</v>
      </c>
      <c r="E29041" s="1">
        <v>9.3791871371147798E-4</v>
      </c>
      <c r="F29041" s="1">
        <v>3.9317340685356304E-3</v>
      </c>
    </row>
    <row r="29042" spans="1:6" x14ac:dyDescent="0.25">
      <c r="A29042" s="2" t="str">
        <f t="shared" si="1040"/>
        <v>40060</v>
      </c>
      <c r="B29042" s="2" t="str">
        <f>"23897"</f>
        <v>23897</v>
      </c>
      <c r="C29042" s="1">
        <v>6.0735922583753598E-4</v>
      </c>
      <c r="D29042" s="1">
        <v>2.8796141317063501E-4</v>
      </c>
      <c r="E29042" s="1">
        <v>0</v>
      </c>
      <c r="F29042" s="1">
        <v>5.6039197470744196E-4</v>
      </c>
    </row>
    <row r="29043" spans="1:6" x14ac:dyDescent="0.25">
      <c r="A29043" s="2" t="str">
        <f t="shared" si="1040"/>
        <v>40060</v>
      </c>
      <c r="B29043" s="2" t="str">
        <f>"23850"</f>
        <v>23850</v>
      </c>
      <c r="C29043" s="1">
        <v>9.0425270215476795E-4</v>
      </c>
      <c r="D29043" s="1">
        <v>3.41954178140129E-4</v>
      </c>
      <c r="E29043" s="1">
        <v>0</v>
      </c>
      <c r="F29043" s="1">
        <v>8.2710259368584996E-4</v>
      </c>
    </row>
    <row r="29044" spans="1:6" x14ac:dyDescent="0.25">
      <c r="A29044" s="2" t="str">
        <f t="shared" si="1040"/>
        <v>40060</v>
      </c>
      <c r="B29044" s="2" t="str">
        <f>"23803"</f>
        <v>23803</v>
      </c>
      <c r="C29044" s="1">
        <v>3.6086977912821797E-2</v>
      </c>
      <c r="D29044" s="1">
        <v>2.6924392131454301E-2</v>
      </c>
      <c r="E29044" s="1">
        <v>4.0017865118356401E-2</v>
      </c>
      <c r="F29044" s="1">
        <v>3.5456030207225098E-2</v>
      </c>
    </row>
    <row r="29045" spans="1:6" x14ac:dyDescent="0.25">
      <c r="A29045" s="2" t="str">
        <f t="shared" si="1040"/>
        <v>40060</v>
      </c>
      <c r="B29045" s="2" t="str">
        <f>"23228"</f>
        <v>23228</v>
      </c>
      <c r="C29045" s="1">
        <v>3.00150821885969E-2</v>
      </c>
      <c r="D29045" s="1">
        <v>3.2431654158342697E-2</v>
      </c>
      <c r="E29045" s="1">
        <v>5.9892809289861501E-2</v>
      </c>
      <c r="F29045" s="1">
        <v>3.1218627788848999E-2</v>
      </c>
    </row>
    <row r="29046" spans="1:6" x14ac:dyDescent="0.25">
      <c r="A29046" s="2" t="str">
        <f t="shared" si="1040"/>
        <v>40060</v>
      </c>
      <c r="B29046" s="2" t="str">
        <f>"23222"</f>
        <v>23222</v>
      </c>
      <c r="C29046" s="1">
        <v>2.0461898387783499E-2</v>
      </c>
      <c r="D29046" s="1">
        <v>1.22563576480751E-2</v>
      </c>
      <c r="E29046" s="1">
        <v>2.4877177311299601E-2</v>
      </c>
      <c r="F29046" s="1">
        <v>1.9926879335920501E-2</v>
      </c>
    </row>
    <row r="29047" spans="1:6" x14ac:dyDescent="0.25">
      <c r="A29047" s="2" t="str">
        <f t="shared" si="1040"/>
        <v>40060</v>
      </c>
      <c r="B29047" s="2" t="str">
        <f>"23298"</f>
        <v>23298</v>
      </c>
      <c r="C29047" s="1">
        <v>0</v>
      </c>
      <c r="D29047" s="1">
        <v>1.22383600597519E-3</v>
      </c>
      <c r="E29047" s="1">
        <v>1.20589548905761E-3</v>
      </c>
      <c r="F29047" s="1">
        <v>1.4234555507274601E-4</v>
      </c>
    </row>
    <row r="29048" spans="1:6" x14ac:dyDescent="0.25">
      <c r="A29048" s="2" t="str">
        <f t="shared" si="1040"/>
        <v>40060</v>
      </c>
      <c r="B29048" s="2" t="str">
        <f>"23284"</f>
        <v>23284</v>
      </c>
      <c r="C29048" s="1">
        <v>0</v>
      </c>
      <c r="D29048" s="1">
        <v>2.3576840703345698E-3</v>
      </c>
      <c r="E29048" s="1">
        <v>0</v>
      </c>
      <c r="F29048" s="1">
        <v>1.96287028573997E-4</v>
      </c>
    </row>
    <row r="29049" spans="1:6" x14ac:dyDescent="0.25">
      <c r="A29049" s="2" t="str">
        <f t="shared" si="1040"/>
        <v>40060</v>
      </c>
      <c r="B29049" s="2" t="str">
        <f>"23269"</f>
        <v>23269</v>
      </c>
      <c r="C29049" s="1">
        <v>0</v>
      </c>
      <c r="D29049" s="1">
        <v>1.79975883231646E-5</v>
      </c>
      <c r="E29049" s="1">
        <v>0</v>
      </c>
      <c r="F29049" s="1">
        <v>1.4983742639236399E-6</v>
      </c>
    </row>
    <row r="29050" spans="1:6" x14ac:dyDescent="0.25">
      <c r="A29050" s="2" t="str">
        <f t="shared" si="1040"/>
        <v>40060</v>
      </c>
      <c r="B29050" s="2" t="str">
        <f>"23294"</f>
        <v>23294</v>
      </c>
      <c r="C29050" s="1">
        <v>1.46851996057254E-2</v>
      </c>
      <c r="D29050" s="1">
        <v>1.9959325450389601E-2</v>
      </c>
      <c r="E29050" s="1">
        <v>3.16212594908441E-2</v>
      </c>
      <c r="F29050" s="1">
        <v>1.56924736660723E-2</v>
      </c>
    </row>
    <row r="29051" spans="1:6" x14ac:dyDescent="0.25">
      <c r="A29051" s="2" t="str">
        <f t="shared" si="1040"/>
        <v>40060</v>
      </c>
      <c r="B29051" s="2" t="str">
        <f>"23161"</f>
        <v>23161</v>
      </c>
      <c r="C29051" s="1">
        <v>1.2215045882765999E-4</v>
      </c>
      <c r="D29051" s="1">
        <v>0</v>
      </c>
      <c r="E29051" s="1">
        <v>0</v>
      </c>
      <c r="F29051" s="1">
        <v>1.0788294700250201E-4</v>
      </c>
    </row>
    <row r="29052" spans="1:6" x14ac:dyDescent="0.25">
      <c r="A29052" s="2" t="str">
        <f t="shared" si="1040"/>
        <v>40060</v>
      </c>
      <c r="B29052" s="2" t="str">
        <f>"23150"</f>
        <v>23150</v>
      </c>
      <c r="C29052" s="1">
        <v>1.0460829571268799E-2</v>
      </c>
      <c r="D29052" s="1">
        <v>1.00786494609722E-2</v>
      </c>
      <c r="E29052" s="1">
        <v>3.7963376507369299E-3</v>
      </c>
      <c r="F29052" s="1">
        <v>1.02054271115839E-2</v>
      </c>
    </row>
    <row r="29053" spans="1:6" x14ac:dyDescent="0.25">
      <c r="A29053" s="2" t="str">
        <f t="shared" si="1040"/>
        <v>40060</v>
      </c>
      <c r="B29053" s="2" t="str">
        <f>"23230"</f>
        <v>23230</v>
      </c>
      <c r="C29053" s="1">
        <v>9.0187755434422995E-3</v>
      </c>
      <c r="D29053" s="1">
        <v>5.5468567211993502E-2</v>
      </c>
      <c r="E29053" s="1">
        <v>2.2554711924966501E-2</v>
      </c>
      <c r="F29053" s="1">
        <v>1.3340026071712099E-2</v>
      </c>
    </row>
    <row r="29054" spans="1:6" x14ac:dyDescent="0.25">
      <c r="A29054" s="2" t="str">
        <f t="shared" si="1040"/>
        <v>40060</v>
      </c>
      <c r="B29054" s="2" t="str">
        <f>"23110"</f>
        <v>23110</v>
      </c>
      <c r="C29054" s="1">
        <v>5.1574638171678999E-4</v>
      </c>
      <c r="D29054" s="1">
        <v>3.7794935478645801E-4</v>
      </c>
      <c r="E29054" s="1">
        <v>4.4662795891022697E-5</v>
      </c>
      <c r="F29054" s="1">
        <v>4.8847001003910699E-4</v>
      </c>
    </row>
    <row r="29055" spans="1:6" x14ac:dyDescent="0.25">
      <c r="A29055" s="2" t="str">
        <f t="shared" si="1040"/>
        <v>40060</v>
      </c>
      <c r="B29055" s="2" t="str">
        <f>"23103"</f>
        <v>23103</v>
      </c>
      <c r="C29055" s="1">
        <v>4.4720640204126902E-3</v>
      </c>
      <c r="D29055" s="1">
        <v>2.4656696002735598E-3</v>
      </c>
      <c r="E29055" s="1">
        <v>6.6994193836534101E-4</v>
      </c>
      <c r="F29055" s="1">
        <v>4.1774674478191097E-3</v>
      </c>
    </row>
    <row r="29056" spans="1:6" x14ac:dyDescent="0.25">
      <c r="A29056" s="2" t="str">
        <f t="shared" si="1040"/>
        <v>40060</v>
      </c>
      <c r="B29056" s="2" t="str">
        <f>"23093"</f>
        <v>23093</v>
      </c>
      <c r="C29056" s="1">
        <v>5.3440825737101599E-4</v>
      </c>
      <c r="D29056" s="1">
        <v>1.6197829490848201E-4</v>
      </c>
      <c r="E29056" s="1">
        <v>0</v>
      </c>
      <c r="F29056" s="1">
        <v>4.8547326151126001E-4</v>
      </c>
    </row>
    <row r="29057" spans="1:6" x14ac:dyDescent="0.25">
      <c r="A29057" s="2" t="str">
        <f t="shared" si="1040"/>
        <v>40060</v>
      </c>
      <c r="B29057" s="2" t="str">
        <f>"23091"</f>
        <v>23091</v>
      </c>
      <c r="C29057" s="1">
        <v>2.9350040801646299E-4</v>
      </c>
      <c r="D29057" s="1">
        <v>7.1990353292658698E-5</v>
      </c>
      <c r="E29057" s="1">
        <v>0</v>
      </c>
      <c r="F29057" s="1">
        <v>2.65212244714484E-4</v>
      </c>
    </row>
    <row r="29058" spans="1:6" x14ac:dyDescent="0.25">
      <c r="A29058" s="2" t="str">
        <f t="shared" si="1040"/>
        <v>40060</v>
      </c>
      <c r="B29058" s="2" t="str">
        <f>"23112"</f>
        <v>23112</v>
      </c>
      <c r="C29058" s="1">
        <v>3.7812353143762599E-2</v>
      </c>
      <c r="D29058" s="1">
        <v>3.6823065709194899E-2</v>
      </c>
      <c r="E29058" s="1">
        <v>2.7378293881196902E-2</v>
      </c>
      <c r="F29058" s="1">
        <v>3.7379942762103102E-2</v>
      </c>
    </row>
    <row r="29059" spans="1:6" x14ac:dyDescent="0.25">
      <c r="A29059" s="2" t="str">
        <f t="shared" si="1040"/>
        <v>40060</v>
      </c>
      <c r="B29059" s="2" t="str">
        <f>"23009"</f>
        <v>23009</v>
      </c>
      <c r="C29059" s="1">
        <v>4.9878104021294804E-3</v>
      </c>
      <c r="D29059" s="1">
        <v>1.4578046541763401E-3</v>
      </c>
      <c r="E29059" s="1">
        <v>4.0196516301920502E-4</v>
      </c>
      <c r="F29059" s="1">
        <v>4.5400740196886299E-3</v>
      </c>
    </row>
    <row r="29060" spans="1:6" x14ac:dyDescent="0.25">
      <c r="A29060" s="2" t="str">
        <f t="shared" si="1040"/>
        <v>40060</v>
      </c>
      <c r="B29060" s="2" t="str">
        <f>"22514"</f>
        <v>22514</v>
      </c>
      <c r="C29060" s="1">
        <v>8.4826707519209006E-6</v>
      </c>
      <c r="D29060" s="1">
        <v>0</v>
      </c>
      <c r="E29060" s="1">
        <v>0</v>
      </c>
      <c r="F29060" s="1">
        <v>7.4918713196182096E-6</v>
      </c>
    </row>
    <row r="29061" spans="1:6" x14ac:dyDescent="0.25">
      <c r="A29061" s="2" t="str">
        <f t="shared" si="1040"/>
        <v>40060</v>
      </c>
      <c r="B29061" s="2" t="str">
        <f>"23966"</f>
        <v>23966</v>
      </c>
      <c r="C29061" s="1">
        <v>1.9510142729418001E-4</v>
      </c>
      <c r="D29061" s="1">
        <v>3.5995176646329302E-5</v>
      </c>
      <c r="E29061" s="1">
        <v>0</v>
      </c>
      <c r="F29061" s="1">
        <v>1.7530978887906601E-4</v>
      </c>
    </row>
    <row r="29062" spans="1:6" x14ac:dyDescent="0.25">
      <c r="A29062" s="2" t="str">
        <f t="shared" si="1040"/>
        <v>40060</v>
      </c>
      <c r="B29062" s="2" t="str">
        <f>"23890"</f>
        <v>23890</v>
      </c>
      <c r="C29062" s="1">
        <v>2.8942872605554099E-3</v>
      </c>
      <c r="D29062" s="1">
        <v>2.06972265716394E-3</v>
      </c>
      <c r="E29062" s="1">
        <v>4.9129075480124995E-4</v>
      </c>
      <c r="F29062" s="1">
        <v>2.7450216515081099E-3</v>
      </c>
    </row>
    <row r="29063" spans="1:6" x14ac:dyDescent="0.25">
      <c r="A29063" s="2" t="str">
        <f t="shared" si="1040"/>
        <v>40060</v>
      </c>
      <c r="B29063" s="2" t="str">
        <f>"23882"</f>
        <v>23882</v>
      </c>
      <c r="C29063" s="1">
        <v>2.0392340487617802E-3</v>
      </c>
      <c r="D29063" s="1">
        <v>1.0978528877130401E-3</v>
      </c>
      <c r="E29063" s="1">
        <v>4.4662795891022697E-5</v>
      </c>
      <c r="F29063" s="1">
        <v>1.89394506959948E-3</v>
      </c>
    </row>
    <row r="29064" spans="1:6" x14ac:dyDescent="0.25">
      <c r="A29064" s="2" t="str">
        <f t="shared" si="1040"/>
        <v>40060</v>
      </c>
      <c r="B29064" s="2" t="str">
        <f>"23840"</f>
        <v>23840</v>
      </c>
      <c r="C29064" s="1">
        <v>1.2927590225927401E-3</v>
      </c>
      <c r="D29064" s="1">
        <v>6.47913179633929E-4</v>
      </c>
      <c r="E29064" s="1">
        <v>4.4662795891022697E-5</v>
      </c>
      <c r="F29064" s="1">
        <v>1.19720103687499E-3</v>
      </c>
    </row>
    <row r="29065" spans="1:6" x14ac:dyDescent="0.25">
      <c r="A29065" s="2" t="str">
        <f t="shared" si="1040"/>
        <v>40060</v>
      </c>
      <c r="B29065" s="2" t="str">
        <f>"23836"</f>
        <v>23836</v>
      </c>
      <c r="C29065" s="1">
        <v>9.9349039846497508E-3</v>
      </c>
      <c r="D29065" s="1">
        <v>7.8829436855461302E-3</v>
      </c>
      <c r="E29065" s="1">
        <v>8.8432335864225102E-3</v>
      </c>
      <c r="F29065" s="1">
        <v>9.7274457213922805E-3</v>
      </c>
    </row>
    <row r="29066" spans="1:6" x14ac:dyDescent="0.25">
      <c r="A29066" s="2" t="str">
        <f t="shared" si="1040"/>
        <v>40060</v>
      </c>
      <c r="B29066" s="2" t="str">
        <f>"23830"</f>
        <v>23830</v>
      </c>
      <c r="C29066" s="1">
        <v>1.3860684008638699E-3</v>
      </c>
      <c r="D29066" s="1">
        <v>2.8796141317063501E-4</v>
      </c>
      <c r="E29066" s="1">
        <v>4.4662795891022697E-5</v>
      </c>
      <c r="F29066" s="1">
        <v>1.2496441361123101E-3</v>
      </c>
    </row>
    <row r="29067" spans="1:6" x14ac:dyDescent="0.25">
      <c r="A29067" s="2" t="str">
        <f t="shared" si="1040"/>
        <v>40060</v>
      </c>
      <c r="B29067" s="2" t="str">
        <f>"23227"</f>
        <v>23227</v>
      </c>
      <c r="C29067" s="1">
        <v>2.4835563427473999E-2</v>
      </c>
      <c r="D29067" s="1">
        <v>1.54239331929521E-2</v>
      </c>
      <c r="E29067" s="1">
        <v>4.34569004019651E-2</v>
      </c>
      <c r="F29067" s="1">
        <v>2.4676725752558401E-2</v>
      </c>
    </row>
    <row r="29068" spans="1:6" x14ac:dyDescent="0.25">
      <c r="A29068" s="2" t="str">
        <f t="shared" ref="A29068:A29099" si="1041">"40060"</f>
        <v>40060</v>
      </c>
      <c r="B29068" s="2" t="str">
        <f>"23297"</f>
        <v>23297</v>
      </c>
      <c r="C29068" s="1">
        <v>0</v>
      </c>
      <c r="D29068" s="1">
        <v>1.79975883231646E-5</v>
      </c>
      <c r="E29068" s="1">
        <v>4.4662795891022697E-5</v>
      </c>
      <c r="F29068" s="1">
        <v>2.9967485278472799E-6</v>
      </c>
    </row>
    <row r="29069" spans="1:6" x14ac:dyDescent="0.25">
      <c r="A29069" s="2" t="str">
        <f t="shared" si="1041"/>
        <v>40060</v>
      </c>
      <c r="B29069" s="2" t="str">
        <f>"23250"</f>
        <v>23250</v>
      </c>
      <c r="C29069" s="1">
        <v>3.3930683007683601E-6</v>
      </c>
      <c r="D29069" s="1">
        <v>1.33182153591418E-3</v>
      </c>
      <c r="E29069" s="1">
        <v>2.2331397945511301E-4</v>
      </c>
      <c r="F29069" s="1">
        <v>1.21368315377815E-4</v>
      </c>
    </row>
    <row r="29070" spans="1:6" x14ac:dyDescent="0.25">
      <c r="A29070" s="2" t="str">
        <f t="shared" si="1041"/>
        <v>40060</v>
      </c>
      <c r="B29070" s="2" t="str">
        <f>"23242"</f>
        <v>23242</v>
      </c>
      <c r="C29070" s="1">
        <v>8.5505321179362597E-4</v>
      </c>
      <c r="D29070" s="1">
        <v>5.2912909670104202E-3</v>
      </c>
      <c r="E29070" s="1">
        <v>8.9325591782045503E-5</v>
      </c>
      <c r="F29070" s="1">
        <v>1.1986994111389099E-3</v>
      </c>
    </row>
    <row r="29071" spans="1:6" x14ac:dyDescent="0.25">
      <c r="A29071" s="2" t="str">
        <f t="shared" si="1041"/>
        <v>40060</v>
      </c>
      <c r="B29071" s="2" t="str">
        <f>"23238"</f>
        <v>23238</v>
      </c>
      <c r="C29071" s="1">
        <v>2.0896211130281901E-2</v>
      </c>
      <c r="D29071" s="1">
        <v>1.1104511995392599E-2</v>
      </c>
      <c r="E29071" s="1">
        <v>3.2827154979901699E-2</v>
      </c>
      <c r="F29071" s="1">
        <v>2.0481277813572198E-2</v>
      </c>
    </row>
    <row r="29072" spans="1:6" x14ac:dyDescent="0.25">
      <c r="A29072" s="2" t="str">
        <f t="shared" si="1041"/>
        <v>40060</v>
      </c>
      <c r="B29072" s="2" t="str">
        <f>"23147"</f>
        <v>23147</v>
      </c>
      <c r="C29072" s="1">
        <v>0</v>
      </c>
      <c r="D29072" s="1">
        <v>0</v>
      </c>
      <c r="E29072" s="1">
        <v>4.4662795891022697E-5</v>
      </c>
      <c r="F29072" s="1">
        <v>1.4983742639236399E-6</v>
      </c>
    </row>
    <row r="29073" spans="1:6" x14ac:dyDescent="0.25">
      <c r="A29073" s="2" t="str">
        <f t="shared" si="1041"/>
        <v>40060</v>
      </c>
      <c r="B29073" s="2" t="str">
        <f>"23181"</f>
        <v>23181</v>
      </c>
      <c r="C29073" s="1">
        <v>3.2471663638353201E-3</v>
      </c>
      <c r="D29073" s="1">
        <v>2.0877202454871002E-3</v>
      </c>
      <c r="E29073" s="1">
        <v>1.5631978561857899E-3</v>
      </c>
      <c r="F29073" s="1">
        <v>3.0941428550023201E-3</v>
      </c>
    </row>
    <row r="29074" spans="1:6" x14ac:dyDescent="0.25">
      <c r="A29074" s="2" t="str">
        <f t="shared" si="1041"/>
        <v>40060</v>
      </c>
      <c r="B29074" s="2" t="str">
        <f>"23232"</f>
        <v>23232</v>
      </c>
      <c r="C29074" s="1">
        <v>0</v>
      </c>
      <c r="D29074" s="1">
        <v>9.8986735777405795E-4</v>
      </c>
      <c r="E29074" s="1">
        <v>4.4662795891022697E-5</v>
      </c>
      <c r="F29074" s="1">
        <v>8.3908958779723905E-5</v>
      </c>
    </row>
    <row r="29075" spans="1:6" x14ac:dyDescent="0.25">
      <c r="A29075" s="2" t="str">
        <f t="shared" si="1041"/>
        <v>40060</v>
      </c>
      <c r="B29075" s="2" t="str">
        <f>"23129"</f>
        <v>23129</v>
      </c>
      <c r="C29075" s="1">
        <v>2.32425178602632E-4</v>
      </c>
      <c r="D29075" s="1">
        <v>1.0438601227435501E-3</v>
      </c>
      <c r="E29075" s="1">
        <v>2.2331397945511301E-4</v>
      </c>
      <c r="F29075" s="1">
        <v>2.9967485278472802E-4</v>
      </c>
    </row>
    <row r="29076" spans="1:6" x14ac:dyDescent="0.25">
      <c r="A29076" s="2" t="str">
        <f t="shared" si="1041"/>
        <v>40060</v>
      </c>
      <c r="B29076" s="2" t="str">
        <f>"23084"</f>
        <v>23084</v>
      </c>
      <c r="C29076" s="1">
        <v>3.0367961291876799E-4</v>
      </c>
      <c r="D29076" s="1">
        <v>1.79975883231646E-5</v>
      </c>
      <c r="E29076" s="1">
        <v>0</v>
      </c>
      <c r="F29076" s="1">
        <v>2.6970736750625503E-4</v>
      </c>
    </row>
    <row r="29077" spans="1:6" x14ac:dyDescent="0.25">
      <c r="A29077" s="2" t="str">
        <f t="shared" si="1041"/>
        <v>40060</v>
      </c>
      <c r="B29077" s="2" t="str">
        <f>"23102"</f>
        <v>23102</v>
      </c>
      <c r="C29077" s="1">
        <v>1.91708358993412E-3</v>
      </c>
      <c r="D29077" s="1">
        <v>4.31942119755952E-4</v>
      </c>
      <c r="E29077" s="1">
        <v>1.33988387673068E-4</v>
      </c>
      <c r="F29077" s="1">
        <v>1.73361902335965E-3</v>
      </c>
    </row>
    <row r="29078" spans="1:6" x14ac:dyDescent="0.25">
      <c r="A29078" s="2" t="str">
        <f t="shared" si="1041"/>
        <v>40060</v>
      </c>
      <c r="B29078" s="2" t="str">
        <f>"22560"</f>
        <v>22560</v>
      </c>
      <c r="C29078" s="1">
        <v>2.1885290539955899E-4</v>
      </c>
      <c r="D29078" s="1">
        <v>8.9987941615823403E-5</v>
      </c>
      <c r="E29078" s="1">
        <v>0</v>
      </c>
      <c r="F29078" s="1">
        <v>2.00782151365768E-4</v>
      </c>
    </row>
    <row r="29079" spans="1:6" x14ac:dyDescent="0.25">
      <c r="A29079" s="2" t="str">
        <f t="shared" si="1041"/>
        <v>40060</v>
      </c>
      <c r="B29079" s="2" t="str">
        <f>"23894"</f>
        <v>23894</v>
      </c>
      <c r="C29079" s="1">
        <v>4.5467115230295998E-4</v>
      </c>
      <c r="D29079" s="1">
        <v>2.5196623652430498E-4</v>
      </c>
      <c r="E29079" s="1">
        <v>4.4662795891022697E-5</v>
      </c>
      <c r="F29079" s="1">
        <v>4.2403991669039002E-4</v>
      </c>
    </row>
    <row r="29080" spans="1:6" x14ac:dyDescent="0.25">
      <c r="A29080" s="2" t="str">
        <f t="shared" si="1041"/>
        <v>40060</v>
      </c>
      <c r="B29080" s="2" t="str">
        <f>"23884"</f>
        <v>23884</v>
      </c>
      <c r="C29080" s="1">
        <v>0</v>
      </c>
      <c r="D29080" s="1">
        <v>0</v>
      </c>
      <c r="E29080" s="1">
        <v>4.4662795891022697E-5</v>
      </c>
      <c r="F29080" s="1">
        <v>1.4983742639236399E-6</v>
      </c>
    </row>
    <row r="29081" spans="1:6" x14ac:dyDescent="0.25">
      <c r="A29081" s="2" t="str">
        <f t="shared" si="1041"/>
        <v>40060</v>
      </c>
      <c r="B29081" s="2" t="str">
        <f>"23888"</f>
        <v>23888</v>
      </c>
      <c r="C29081" s="1">
        <v>1.1214090734039399E-3</v>
      </c>
      <c r="D29081" s="1">
        <v>8.4588665118873999E-4</v>
      </c>
      <c r="E29081" s="1">
        <v>4.4662795891022697E-5</v>
      </c>
      <c r="F29081" s="1">
        <v>1.06234735312186E-3</v>
      </c>
    </row>
    <row r="29082" spans="1:6" x14ac:dyDescent="0.25">
      <c r="A29082" s="2" t="str">
        <f t="shared" si="1041"/>
        <v>40060</v>
      </c>
      <c r="B29082" s="2" t="str">
        <f>"23881"</f>
        <v>23881</v>
      </c>
      <c r="C29082" s="1">
        <v>4.2413353759604498E-4</v>
      </c>
      <c r="D29082" s="1">
        <v>7.1990353292658698E-5</v>
      </c>
      <c r="E29082" s="1">
        <v>0</v>
      </c>
      <c r="F29082" s="1">
        <v>3.8058706303660501E-4</v>
      </c>
    </row>
    <row r="29083" spans="1:6" x14ac:dyDescent="0.25">
      <c r="A29083" s="2" t="str">
        <f t="shared" si="1041"/>
        <v>40060</v>
      </c>
      <c r="B29083" s="2" t="str">
        <f>"23860"</f>
        <v>23860</v>
      </c>
      <c r="C29083" s="1">
        <v>2.2222900835882301E-2</v>
      </c>
      <c r="D29083" s="1">
        <v>1.5495923546244799E-2</v>
      </c>
      <c r="E29083" s="1">
        <v>1.54086645824028E-2</v>
      </c>
      <c r="F29083" s="1">
        <v>2.1434243845427699E-2</v>
      </c>
    </row>
    <row r="29084" spans="1:6" x14ac:dyDescent="0.25">
      <c r="A29084" s="2" t="str">
        <f t="shared" si="1041"/>
        <v>40060</v>
      </c>
      <c r="B29084" s="2" t="str">
        <f>"23833"</f>
        <v>23833</v>
      </c>
      <c r="C29084" s="1">
        <v>1.6524242624741899E-3</v>
      </c>
      <c r="D29084" s="1">
        <v>2.8796141317063501E-4</v>
      </c>
      <c r="E29084" s="1">
        <v>4.4662795891022697E-5</v>
      </c>
      <c r="F29084" s="1">
        <v>1.4848888955483299E-3</v>
      </c>
    </row>
    <row r="29085" spans="1:6" x14ac:dyDescent="0.25">
      <c r="A29085" s="2" t="str">
        <f t="shared" si="1041"/>
        <v>40060</v>
      </c>
      <c r="B29085" s="2" t="str">
        <f>"23829"</f>
        <v>23829</v>
      </c>
      <c r="C29085" s="1">
        <v>5.0896024511525397E-6</v>
      </c>
      <c r="D29085" s="1">
        <v>0</v>
      </c>
      <c r="E29085" s="1">
        <v>0</v>
      </c>
      <c r="F29085" s="1">
        <v>4.49512279177092E-6</v>
      </c>
    </row>
    <row r="29086" spans="1:6" x14ac:dyDescent="0.25">
      <c r="A29086" s="2" t="str">
        <f t="shared" si="1041"/>
        <v>40060</v>
      </c>
      <c r="B29086" s="2" t="str">
        <f>"23824"</f>
        <v>23824</v>
      </c>
      <c r="C29086" s="1">
        <v>2.30728644452248E-4</v>
      </c>
      <c r="D29086" s="1">
        <v>5.3992764969494E-5</v>
      </c>
      <c r="E29086" s="1">
        <v>0</v>
      </c>
      <c r="F29086" s="1">
        <v>2.08274022685386E-4</v>
      </c>
    </row>
    <row r="29087" spans="1:6" x14ac:dyDescent="0.25">
      <c r="A29087" s="2" t="str">
        <f t="shared" si="1041"/>
        <v>40060</v>
      </c>
      <c r="B29087" s="2" t="str">
        <f>"23805"</f>
        <v>23805</v>
      </c>
      <c r="C29087" s="1">
        <v>1.5754016120467399E-2</v>
      </c>
      <c r="D29087" s="1">
        <v>1.2958263592678499E-2</v>
      </c>
      <c r="E29087" s="1">
        <v>1.3130861991960599E-2</v>
      </c>
      <c r="F29087" s="1">
        <v>1.54332549184135E-2</v>
      </c>
    </row>
    <row r="29088" spans="1:6" x14ac:dyDescent="0.25">
      <c r="A29088" s="2" t="str">
        <f t="shared" si="1041"/>
        <v>40060</v>
      </c>
      <c r="B29088" s="2" t="str">
        <f>"23832"</f>
        <v>23832</v>
      </c>
      <c r="C29088" s="1">
        <v>2.7295537945530999E-2</v>
      </c>
      <c r="D29088" s="1">
        <v>1.7745622086640302E-2</v>
      </c>
      <c r="E29088" s="1">
        <v>5.4041983028137496E-3</v>
      </c>
      <c r="F29088" s="1">
        <v>2.5766043842430902E-2</v>
      </c>
    </row>
    <row r="29089" spans="1:6" x14ac:dyDescent="0.25">
      <c r="A29089" s="2" t="str">
        <f t="shared" si="1041"/>
        <v>40060</v>
      </c>
      <c r="B29089" s="2" t="str">
        <f>"23225"</f>
        <v>23225</v>
      </c>
      <c r="C29089" s="1">
        <v>3.6940334590465099E-2</v>
      </c>
      <c r="D29089" s="1">
        <v>3.0217950794593499E-2</v>
      </c>
      <c r="E29089" s="1">
        <v>5.8329611433675703E-2</v>
      </c>
      <c r="F29089" s="1">
        <v>3.7098248400485402E-2</v>
      </c>
    </row>
    <row r="29090" spans="1:6" x14ac:dyDescent="0.25">
      <c r="A29090" s="2" t="str">
        <f t="shared" si="1041"/>
        <v>40060</v>
      </c>
      <c r="B29090" s="2" t="str">
        <f>"23224"</f>
        <v>23224</v>
      </c>
      <c r="C29090" s="1">
        <v>3.0949872505458501E-2</v>
      </c>
      <c r="D29090" s="1">
        <v>3.9612691899285402E-2</v>
      </c>
      <c r="E29090" s="1">
        <v>4.4126842340330499E-2</v>
      </c>
      <c r="F29090" s="1">
        <v>3.21131572244115E-2</v>
      </c>
    </row>
    <row r="29091" spans="1:6" x14ac:dyDescent="0.25">
      <c r="A29091" s="2" t="str">
        <f t="shared" si="1041"/>
        <v>40060</v>
      </c>
      <c r="B29091" s="2" t="str">
        <f>"23273"</f>
        <v>23273</v>
      </c>
      <c r="C29091" s="1">
        <v>0</v>
      </c>
      <c r="D29091" s="1">
        <v>1.79975883231646E-5</v>
      </c>
      <c r="E29091" s="1">
        <v>0</v>
      </c>
      <c r="F29091" s="1">
        <v>1.4983742639236399E-6</v>
      </c>
    </row>
    <row r="29092" spans="1:6" x14ac:dyDescent="0.25">
      <c r="A29092" s="2" t="str">
        <f t="shared" si="1041"/>
        <v>40060</v>
      </c>
      <c r="B29092" s="2" t="str">
        <f>"23236"</f>
        <v>23236</v>
      </c>
      <c r="C29092" s="1">
        <v>1.9822305013088699E-2</v>
      </c>
      <c r="D29092" s="1">
        <v>2.4656696002735599E-2</v>
      </c>
      <c r="E29092" s="1">
        <v>1.3890129522108E-2</v>
      </c>
      <c r="F29092" s="1">
        <v>2.00257720373394E-2</v>
      </c>
    </row>
    <row r="29093" spans="1:6" x14ac:dyDescent="0.25">
      <c r="A29093" s="2" t="str">
        <f t="shared" si="1041"/>
        <v>40060</v>
      </c>
      <c r="B29093" s="2" t="str">
        <f>"23160"</f>
        <v>23160</v>
      </c>
      <c r="C29093" s="1">
        <v>0</v>
      </c>
      <c r="D29093" s="1">
        <v>1.7997588323164599E-4</v>
      </c>
      <c r="E29093" s="1">
        <v>4.4662795891022697E-5</v>
      </c>
      <c r="F29093" s="1">
        <v>1.648211690316E-5</v>
      </c>
    </row>
    <row r="29094" spans="1:6" x14ac:dyDescent="0.25">
      <c r="A29094" s="2" t="str">
        <f t="shared" si="1041"/>
        <v>40060</v>
      </c>
      <c r="B29094" s="2" t="str">
        <f>"23148"</f>
        <v>23148</v>
      </c>
      <c r="C29094" s="1">
        <v>9.6702446571898196E-4</v>
      </c>
      <c r="D29094" s="1">
        <v>1.4398070658531699E-4</v>
      </c>
      <c r="E29094" s="1">
        <v>4.4662795891022697E-5</v>
      </c>
      <c r="F29094" s="1">
        <v>8.6755869881178897E-4</v>
      </c>
    </row>
    <row r="29095" spans="1:6" x14ac:dyDescent="0.25">
      <c r="A29095" s="2" t="str">
        <f t="shared" si="1041"/>
        <v>40060</v>
      </c>
      <c r="B29095" s="2" t="str">
        <f>"23231"</f>
        <v>23231</v>
      </c>
      <c r="C29095" s="1">
        <v>2.7763781371037102E-2</v>
      </c>
      <c r="D29095" s="1">
        <v>2.01033061569749E-2</v>
      </c>
      <c r="E29095" s="1">
        <v>2.31799910674408E-2</v>
      </c>
      <c r="F29095" s="1">
        <v>2.6972235124889402E-2</v>
      </c>
    </row>
    <row r="29096" spans="1:6" x14ac:dyDescent="0.25">
      <c r="A29096" s="2" t="str">
        <f t="shared" si="1041"/>
        <v>40060</v>
      </c>
      <c r="B29096" s="2" t="str">
        <f>"23124"</f>
        <v>23124</v>
      </c>
      <c r="C29096" s="1">
        <v>3.3302965372041401E-3</v>
      </c>
      <c r="D29096" s="1">
        <v>1.22383600597519E-3</v>
      </c>
      <c r="E29096" s="1">
        <v>4.0196516301920502E-4</v>
      </c>
      <c r="F29096" s="1">
        <v>3.0566834984042299E-3</v>
      </c>
    </row>
    <row r="29097" spans="1:6" x14ac:dyDescent="0.25">
      <c r="A29097" s="2" t="str">
        <f t="shared" si="1041"/>
        <v>40060</v>
      </c>
      <c r="B29097" s="2" t="str">
        <f>"23140"</f>
        <v>23140</v>
      </c>
      <c r="C29097" s="1">
        <v>4.5721595352853604E-3</v>
      </c>
      <c r="D29097" s="1">
        <v>1.70977089070064E-3</v>
      </c>
      <c r="E29097" s="1">
        <v>4.0196516301920502E-4</v>
      </c>
      <c r="F29097" s="1">
        <v>4.1939495647222696E-3</v>
      </c>
    </row>
    <row r="29098" spans="1:6" x14ac:dyDescent="0.25">
      <c r="A29098" s="2" t="str">
        <f t="shared" si="1041"/>
        <v>40060</v>
      </c>
      <c r="B29098" s="2" t="str">
        <f>"23105"</f>
        <v>23105</v>
      </c>
      <c r="C29098" s="1">
        <v>0</v>
      </c>
      <c r="D29098" s="1">
        <v>0</v>
      </c>
      <c r="E29098" s="1">
        <v>4.4662795891022697E-5</v>
      </c>
      <c r="F29098" s="1">
        <v>1.4983742639236399E-6</v>
      </c>
    </row>
    <row r="29099" spans="1:6" x14ac:dyDescent="0.25">
      <c r="A29099" s="2" t="str">
        <f t="shared" si="1041"/>
        <v>40060</v>
      </c>
      <c r="B29099" s="2" t="str">
        <f>"23085"</f>
        <v>23085</v>
      </c>
      <c r="C29099" s="1">
        <v>3.1385881782107299E-4</v>
      </c>
      <c r="D29099" s="1">
        <v>1.4398070658531699E-4</v>
      </c>
      <c r="E29099" s="1">
        <v>0</v>
      </c>
      <c r="F29099" s="1">
        <v>2.8918623293726299E-4</v>
      </c>
    </row>
    <row r="29100" spans="1:6" x14ac:dyDescent="0.25">
      <c r="A29100" s="2" t="str">
        <f t="shared" ref="A29100:A29131" si="1042">"40060"</f>
        <v>40060</v>
      </c>
      <c r="B29100" s="2" t="str">
        <f>"23023"</f>
        <v>23023</v>
      </c>
      <c r="C29100" s="1">
        <v>2.8162466896377301E-4</v>
      </c>
      <c r="D29100" s="1">
        <v>5.3992764969494E-5</v>
      </c>
      <c r="E29100" s="1">
        <v>4.4662795891022697E-5</v>
      </c>
      <c r="F29100" s="1">
        <v>2.5472362486701902E-4</v>
      </c>
    </row>
    <row r="29101" spans="1:6" x14ac:dyDescent="0.25">
      <c r="A29101" s="2" t="str">
        <f t="shared" si="1042"/>
        <v>40060</v>
      </c>
      <c r="B29101" s="2" t="str">
        <f>"23015"</f>
        <v>23015</v>
      </c>
      <c r="C29101" s="1">
        <v>2.5057809401174301E-3</v>
      </c>
      <c r="D29101" s="1">
        <v>4.6793729640228198E-4</v>
      </c>
      <c r="E29101" s="1">
        <v>1.33988387673068E-4</v>
      </c>
      <c r="F29101" s="1">
        <v>2.2565516414690002E-3</v>
      </c>
    </row>
    <row r="29102" spans="1:6" x14ac:dyDescent="0.25">
      <c r="A29102" s="2" t="str">
        <f t="shared" si="1042"/>
        <v>40060</v>
      </c>
      <c r="B29102" s="2" t="str">
        <f>"23847"</f>
        <v>23847</v>
      </c>
      <c r="C29102" s="1">
        <v>8.9916309970361496E-5</v>
      </c>
      <c r="D29102" s="1">
        <v>3.5995176646329302E-5</v>
      </c>
      <c r="E29102" s="1">
        <v>0</v>
      </c>
      <c r="F29102" s="1">
        <v>8.2410584515800296E-5</v>
      </c>
    </row>
    <row r="29103" spans="1:6" x14ac:dyDescent="0.25">
      <c r="A29103" s="2" t="str">
        <f t="shared" si="1042"/>
        <v>40060</v>
      </c>
      <c r="B29103" s="2" t="str">
        <f>"23885"</f>
        <v>23885</v>
      </c>
      <c r="C29103" s="1">
        <v>2.0460201853633201E-3</v>
      </c>
      <c r="D29103" s="1">
        <v>4.8593488472544599E-4</v>
      </c>
      <c r="E29103" s="1">
        <v>4.4662795891022697E-5</v>
      </c>
      <c r="F29103" s="1">
        <v>1.84899384168177E-3</v>
      </c>
    </row>
    <row r="29104" spans="1:6" x14ac:dyDescent="0.25">
      <c r="A29104" s="2" t="str">
        <f t="shared" si="1042"/>
        <v>40060</v>
      </c>
      <c r="B29104" s="2" t="str">
        <f>"23842"</f>
        <v>23842</v>
      </c>
      <c r="C29104" s="1">
        <v>5.0590648364456196E-3</v>
      </c>
      <c r="D29104" s="1">
        <v>1.4218094775300099E-3</v>
      </c>
      <c r="E29104" s="1">
        <v>2.2331397945511301E-4</v>
      </c>
      <c r="F29104" s="1">
        <v>4.5940154931898803E-3</v>
      </c>
    </row>
    <row r="29105" spans="1:6" x14ac:dyDescent="0.25">
      <c r="A29105" s="2" t="str">
        <f t="shared" si="1042"/>
        <v>40060</v>
      </c>
      <c r="B29105" s="2" t="str">
        <f>"23837"</f>
        <v>23837</v>
      </c>
      <c r="C29105" s="1">
        <v>9.3309378271129898E-5</v>
      </c>
      <c r="D29105" s="1">
        <v>1.79975883231646E-5</v>
      </c>
      <c r="E29105" s="1">
        <v>0</v>
      </c>
      <c r="F29105" s="1">
        <v>8.3908958779723905E-5</v>
      </c>
    </row>
    <row r="29106" spans="1:6" x14ac:dyDescent="0.25">
      <c r="A29106" s="2" t="str">
        <f t="shared" si="1042"/>
        <v>40060</v>
      </c>
      <c r="B29106" s="2" t="str">
        <f>"23834"</f>
        <v>23834</v>
      </c>
      <c r="C29106" s="1">
        <v>2.0438146909678202E-2</v>
      </c>
      <c r="D29106" s="1">
        <v>2.8580170257185501E-2</v>
      </c>
      <c r="E29106" s="1">
        <v>1.3934792317999101E-2</v>
      </c>
      <c r="F29106" s="1">
        <v>2.0897825858942998E-2</v>
      </c>
    </row>
    <row r="29107" spans="1:6" x14ac:dyDescent="0.25">
      <c r="A29107" s="2" t="str">
        <f t="shared" si="1042"/>
        <v>40060</v>
      </c>
      <c r="B29107" s="2" t="str">
        <f>"23293"</f>
        <v>23293</v>
      </c>
      <c r="C29107" s="1">
        <v>0</v>
      </c>
      <c r="D29107" s="1">
        <v>0</v>
      </c>
      <c r="E29107" s="1">
        <v>8.9325591782045503E-5</v>
      </c>
      <c r="F29107" s="1">
        <v>2.9967485278472799E-6</v>
      </c>
    </row>
    <row r="29108" spans="1:6" x14ac:dyDescent="0.25">
      <c r="A29108" s="2" t="str">
        <f t="shared" si="1042"/>
        <v>40060</v>
      </c>
      <c r="B29108" s="2" t="str">
        <f>"23255"</f>
        <v>23255</v>
      </c>
      <c r="C29108" s="1">
        <v>1.6795688088803299E-3</v>
      </c>
      <c r="D29108" s="1">
        <v>5.3272861436567398E-3</v>
      </c>
      <c r="E29108" s="1">
        <v>4.4662795891022697E-5</v>
      </c>
      <c r="F29108" s="1">
        <v>1.9284076776697201E-3</v>
      </c>
    </row>
    <row r="29109" spans="1:6" x14ac:dyDescent="0.25">
      <c r="A29109" s="2" t="str">
        <f t="shared" si="1042"/>
        <v>40060</v>
      </c>
      <c r="B29109" s="2" t="str">
        <f>"23249"</f>
        <v>23249</v>
      </c>
      <c r="C29109" s="1">
        <v>0</v>
      </c>
      <c r="D29109" s="1">
        <v>1.79975883231646E-5</v>
      </c>
      <c r="E29109" s="1">
        <v>0</v>
      </c>
      <c r="F29109" s="1">
        <v>1.4983742639236399E-6</v>
      </c>
    </row>
    <row r="29110" spans="1:6" x14ac:dyDescent="0.25">
      <c r="A29110" s="2" t="str">
        <f t="shared" si="1042"/>
        <v>40060</v>
      </c>
      <c r="B29110" s="2" t="str">
        <f>"23261"</f>
        <v>23261</v>
      </c>
      <c r="C29110" s="1">
        <v>6.3111070394291497E-4</v>
      </c>
      <c r="D29110" s="1">
        <v>6.1191800298759898E-3</v>
      </c>
      <c r="E29110" s="1">
        <v>8.9325591782045503E-5</v>
      </c>
      <c r="F29110" s="1">
        <v>1.0698392244414801E-3</v>
      </c>
    </row>
    <row r="29111" spans="1:6" x14ac:dyDescent="0.25">
      <c r="A29111" s="2" t="str">
        <f t="shared" si="1042"/>
        <v>40060</v>
      </c>
      <c r="B29111" s="2" t="str">
        <f>"23141"</f>
        <v>23141</v>
      </c>
      <c r="C29111" s="1">
        <v>5.5510597400570301E-3</v>
      </c>
      <c r="D29111" s="1">
        <v>2.3396864820114101E-3</v>
      </c>
      <c r="E29111" s="1">
        <v>7.5926753014738703E-4</v>
      </c>
      <c r="F29111" s="1">
        <v>5.1229416083549296E-3</v>
      </c>
    </row>
    <row r="29112" spans="1:6" x14ac:dyDescent="0.25">
      <c r="A29112" s="2" t="str">
        <f t="shared" si="1042"/>
        <v>40060</v>
      </c>
      <c r="B29112" s="2" t="str">
        <f>"23233"</f>
        <v>23233</v>
      </c>
      <c r="C29112" s="1">
        <v>2.2928659042442099E-2</v>
      </c>
      <c r="D29112" s="1">
        <v>2.2101038460846201E-2</v>
      </c>
      <c r="E29112" s="1">
        <v>2.1304153640017798E-2</v>
      </c>
      <c r="F29112" s="1">
        <v>2.2805256296917799E-2</v>
      </c>
    </row>
    <row r="29113" spans="1:6" x14ac:dyDescent="0.25">
      <c r="A29113" s="2" t="str">
        <f t="shared" si="1042"/>
        <v>40060</v>
      </c>
      <c r="B29113" s="2" t="str">
        <f>"23063"</f>
        <v>23063</v>
      </c>
      <c r="C29113" s="1">
        <v>3.6933548453863601E-3</v>
      </c>
      <c r="D29113" s="1">
        <v>2.06972265716394E-3</v>
      </c>
      <c r="E29113" s="1">
        <v>3.5730236712818201E-4</v>
      </c>
      <c r="F29113" s="1">
        <v>3.4462608070243701E-3</v>
      </c>
    </row>
    <row r="29114" spans="1:6" x14ac:dyDescent="0.25">
      <c r="A29114" s="2" t="str">
        <f t="shared" si="1042"/>
        <v>40060</v>
      </c>
      <c r="B29114" s="2" t="str">
        <f>"23047"</f>
        <v>23047</v>
      </c>
      <c r="C29114" s="1">
        <v>1.3555307861569501E-3</v>
      </c>
      <c r="D29114" s="1">
        <v>8.9987941615823398E-4</v>
      </c>
      <c r="E29114" s="1">
        <v>8.9325591782045503E-5</v>
      </c>
      <c r="F29114" s="1">
        <v>1.2751164985990199E-3</v>
      </c>
    </row>
    <row r="29115" spans="1:6" x14ac:dyDescent="0.25">
      <c r="A29115" s="2" t="str">
        <f t="shared" si="1042"/>
        <v>40060</v>
      </c>
      <c r="B29115" s="2" t="str">
        <f>"23024"</f>
        <v>23024</v>
      </c>
      <c r="C29115" s="1">
        <v>1.6965341503841799E-4</v>
      </c>
      <c r="D29115" s="1">
        <v>1.79975883231646E-5</v>
      </c>
      <c r="E29115" s="1">
        <v>0</v>
      </c>
      <c r="F29115" s="1">
        <v>1.5133580065628701E-4</v>
      </c>
    </row>
    <row r="29116" spans="1:6" x14ac:dyDescent="0.25">
      <c r="A29116" s="2" t="str">
        <f t="shared" si="1042"/>
        <v>40060</v>
      </c>
      <c r="B29116" s="2" t="str">
        <f>"23891"</f>
        <v>23891</v>
      </c>
      <c r="C29116" s="1">
        <v>0</v>
      </c>
      <c r="D29116" s="1">
        <v>3.5995176646329302E-5</v>
      </c>
      <c r="E29116" s="1">
        <v>0</v>
      </c>
      <c r="F29116" s="1">
        <v>2.9967485278472799E-6</v>
      </c>
    </row>
    <row r="29117" spans="1:6" x14ac:dyDescent="0.25">
      <c r="A29117" s="2" t="str">
        <f t="shared" si="1042"/>
        <v>40060</v>
      </c>
      <c r="B29117" s="2" t="str">
        <f>"23922"</f>
        <v>23922</v>
      </c>
      <c r="C29117" s="1">
        <v>5.0896024511525397E-6</v>
      </c>
      <c r="D29117" s="1">
        <v>0</v>
      </c>
      <c r="E29117" s="1">
        <v>0</v>
      </c>
      <c r="F29117" s="1">
        <v>4.49512279177092E-6</v>
      </c>
    </row>
    <row r="29118" spans="1:6" x14ac:dyDescent="0.25">
      <c r="A29118" s="2" t="str">
        <f t="shared" si="1042"/>
        <v>40060</v>
      </c>
      <c r="B29118" s="2" t="str">
        <f>"23867"</f>
        <v>23867</v>
      </c>
      <c r="C29118" s="1">
        <v>9.8568634137320807E-4</v>
      </c>
      <c r="D29118" s="1">
        <v>2.15971059877976E-4</v>
      </c>
      <c r="E29118" s="1">
        <v>1.33988387673068E-4</v>
      </c>
      <c r="F29118" s="1">
        <v>8.9303106129849099E-4</v>
      </c>
    </row>
    <row r="29119" spans="1:6" x14ac:dyDescent="0.25">
      <c r="A29119" s="2" t="str">
        <f t="shared" si="1042"/>
        <v>40060</v>
      </c>
      <c r="B29119" s="2" t="str">
        <f>"23241"</f>
        <v>23241</v>
      </c>
      <c r="C29119" s="1">
        <v>5.2422905246871099E-4</v>
      </c>
      <c r="D29119" s="1">
        <v>1.0438601227435501E-3</v>
      </c>
      <c r="E29119" s="1">
        <v>4.4662795891022697E-5</v>
      </c>
      <c r="F29119" s="1">
        <v>5.5140172912390001E-4</v>
      </c>
    </row>
    <row r="29120" spans="1:6" x14ac:dyDescent="0.25">
      <c r="A29120" s="2" t="str">
        <f t="shared" si="1042"/>
        <v>40060</v>
      </c>
      <c r="B29120" s="2" t="str">
        <f>"23149"</f>
        <v>23149</v>
      </c>
      <c r="C29120" s="1">
        <v>1.8492222239187501E-4</v>
      </c>
      <c r="D29120" s="1">
        <v>8.9987941615823403E-5</v>
      </c>
      <c r="E29120" s="1">
        <v>0</v>
      </c>
      <c r="F29120" s="1">
        <v>1.70814666087295E-4</v>
      </c>
    </row>
    <row r="29121" spans="1:6" x14ac:dyDescent="0.25">
      <c r="A29121" s="2" t="str">
        <f t="shared" si="1042"/>
        <v>40060</v>
      </c>
      <c r="B29121" s="2" t="str">
        <f>"23117"</f>
        <v>23117</v>
      </c>
      <c r="C29121" s="1">
        <v>2.2394250785071101E-4</v>
      </c>
      <c r="D29121" s="1">
        <v>1.4398070658531699E-4</v>
      </c>
      <c r="E29121" s="1">
        <v>8.9325591782045503E-5</v>
      </c>
      <c r="F29121" s="1">
        <v>2.1276914547715701E-4</v>
      </c>
    </row>
    <row r="29122" spans="1:6" x14ac:dyDescent="0.25">
      <c r="A29122" s="2" t="str">
        <f t="shared" si="1042"/>
        <v>40060</v>
      </c>
      <c r="B29122" s="2" t="str">
        <f>"23126"</f>
        <v>23126</v>
      </c>
      <c r="C29122" s="1">
        <v>3.5287910327990899E-4</v>
      </c>
      <c r="D29122" s="1">
        <v>1.79975883231646E-5</v>
      </c>
      <c r="E29122" s="1">
        <v>4.4662795891022697E-5</v>
      </c>
      <c r="F29122" s="1">
        <v>3.1465859542396398E-4</v>
      </c>
    </row>
    <row r="29123" spans="1:6" x14ac:dyDescent="0.25">
      <c r="A29123" s="2" t="str">
        <f t="shared" si="1042"/>
        <v>40060</v>
      </c>
      <c r="B29123" s="2" t="str">
        <f>"23114"</f>
        <v>23114</v>
      </c>
      <c r="C29123" s="1">
        <v>1.40948057213917E-2</v>
      </c>
      <c r="D29123" s="1">
        <v>6.8750787394489098E-3</v>
      </c>
      <c r="E29123" s="1">
        <v>1.15230013398838E-2</v>
      </c>
      <c r="F29123" s="1">
        <v>1.34074529135887E-2</v>
      </c>
    </row>
    <row r="29124" spans="1:6" x14ac:dyDescent="0.25">
      <c r="A29124" s="2" t="str">
        <f t="shared" si="1042"/>
        <v>40060</v>
      </c>
      <c r="B29124" s="2" t="str">
        <f>"23108"</f>
        <v>23108</v>
      </c>
      <c r="C29124" s="1">
        <v>1.35722732030734E-4</v>
      </c>
      <c r="D29124" s="1">
        <v>1.79975883231646E-5</v>
      </c>
      <c r="E29124" s="1">
        <v>0</v>
      </c>
      <c r="F29124" s="1">
        <v>1.21368315377815E-4</v>
      </c>
    </row>
    <row r="29125" spans="1:6" x14ac:dyDescent="0.25">
      <c r="A29125" s="2" t="str">
        <f t="shared" si="1042"/>
        <v>40060</v>
      </c>
      <c r="B29125" s="2" t="str">
        <f>"23086"</f>
        <v>23086</v>
      </c>
      <c r="C29125" s="1">
        <v>2.43113343750053E-3</v>
      </c>
      <c r="D29125" s="1">
        <v>1.8177564206396299E-3</v>
      </c>
      <c r="E29125" s="1">
        <v>6.6994193836534101E-4</v>
      </c>
      <c r="F29125" s="1">
        <v>2.3209817348177199E-3</v>
      </c>
    </row>
    <row r="29126" spans="1:6" x14ac:dyDescent="0.25">
      <c r="A29126" s="2" t="str">
        <f t="shared" si="1042"/>
        <v>40060</v>
      </c>
      <c r="B29126" s="2" t="str">
        <f>"23083"</f>
        <v>23083</v>
      </c>
      <c r="C29126" s="1">
        <v>1.6201901136168901E-3</v>
      </c>
      <c r="D29126" s="1">
        <v>5.2193006137177603E-4</v>
      </c>
      <c r="E29126" s="1">
        <v>1.33988387673068E-4</v>
      </c>
      <c r="F29126" s="1">
        <v>1.47889539849263E-3</v>
      </c>
    </row>
    <row r="29127" spans="1:6" x14ac:dyDescent="0.25">
      <c r="A29127" s="2" t="str">
        <f t="shared" si="1042"/>
        <v>40060</v>
      </c>
      <c r="B29127" s="2" t="str">
        <f>"23002"</f>
        <v>23002</v>
      </c>
      <c r="C29127" s="1">
        <v>7.8244155015718304E-3</v>
      </c>
      <c r="D29127" s="1">
        <v>4.03145978438889E-3</v>
      </c>
      <c r="E29127" s="1">
        <v>1.11656989727556E-3</v>
      </c>
      <c r="F29127" s="1">
        <v>7.2835972969328196E-3</v>
      </c>
    </row>
    <row r="29128" spans="1:6" x14ac:dyDescent="0.25">
      <c r="A29128" s="2" t="str">
        <f t="shared" si="1042"/>
        <v>40060</v>
      </c>
      <c r="B29128" s="2" t="str">
        <f>"23038"</f>
        <v>23038</v>
      </c>
      <c r="C29128" s="1">
        <v>8.5844628009439496E-4</v>
      </c>
      <c r="D29128" s="1">
        <v>3.5995176646329302E-5</v>
      </c>
      <c r="E29128" s="1">
        <v>0</v>
      </c>
      <c r="F29128" s="1">
        <v>7.6117412607321002E-4</v>
      </c>
    </row>
    <row r="29129" spans="1:6" x14ac:dyDescent="0.25">
      <c r="A29129" s="2" t="str">
        <f t="shared" si="1042"/>
        <v>40060</v>
      </c>
      <c r="B29129" s="2" t="str">
        <f>"22546"</f>
        <v>22546</v>
      </c>
      <c r="C29129" s="1">
        <v>1.62867278436881E-4</v>
      </c>
      <c r="D29129" s="1">
        <v>1.79975883231646E-5</v>
      </c>
      <c r="E29129" s="1">
        <v>0</v>
      </c>
      <c r="F29129" s="1">
        <v>1.4534230360059301E-4</v>
      </c>
    </row>
    <row r="29130" spans="1:6" x14ac:dyDescent="0.25">
      <c r="A29130" s="2" t="str">
        <f t="shared" si="1042"/>
        <v>40060</v>
      </c>
      <c r="B29130" s="2" t="str">
        <f>"22437"</f>
        <v>22437</v>
      </c>
      <c r="C29130" s="1">
        <v>1.10274719774971E-4</v>
      </c>
      <c r="D29130" s="1">
        <v>0</v>
      </c>
      <c r="E29130" s="1">
        <v>0</v>
      </c>
      <c r="F29130" s="1">
        <v>9.73943271550367E-5</v>
      </c>
    </row>
    <row r="29131" spans="1:6" x14ac:dyDescent="0.25">
      <c r="A29131" s="2" t="str">
        <f t="shared" si="1042"/>
        <v>40060</v>
      </c>
      <c r="B29131" s="2" t="str">
        <f>"23838"</f>
        <v>23838</v>
      </c>
      <c r="C29131" s="1">
        <v>1.15517010299658E-2</v>
      </c>
      <c r="D29131" s="1">
        <v>5.7592282634127002E-4</v>
      </c>
      <c r="E29131" s="1">
        <v>1.33988387673068E-4</v>
      </c>
      <c r="F29131" s="1">
        <v>1.0254873462293399E-2</v>
      </c>
    </row>
    <row r="29132" spans="1:6" x14ac:dyDescent="0.25">
      <c r="A29132" s="2" t="str">
        <f t="shared" ref="A29132:A29138" si="1043">"40060"</f>
        <v>40060</v>
      </c>
      <c r="B29132" s="2" t="str">
        <f>"23286"</f>
        <v>23286</v>
      </c>
      <c r="C29132" s="1">
        <v>0</v>
      </c>
      <c r="D29132" s="1">
        <v>0</v>
      </c>
      <c r="E29132" s="1">
        <v>4.4662795891022697E-5</v>
      </c>
      <c r="F29132" s="1">
        <v>1.4983742639236399E-6</v>
      </c>
    </row>
    <row r="29133" spans="1:6" x14ac:dyDescent="0.25">
      <c r="A29133" s="2" t="str">
        <f t="shared" si="1043"/>
        <v>40060</v>
      </c>
      <c r="B29133" s="2" t="str">
        <f>"23173"</f>
        <v>23173</v>
      </c>
      <c r="C29133" s="1">
        <v>0</v>
      </c>
      <c r="D29133" s="1">
        <v>1.79975883231646E-5</v>
      </c>
      <c r="E29133" s="1">
        <v>6.2974542206342098E-3</v>
      </c>
      <c r="F29133" s="1">
        <v>2.1276914547715701E-4</v>
      </c>
    </row>
    <row r="29134" spans="1:6" x14ac:dyDescent="0.25">
      <c r="A29134" s="2" t="str">
        <f t="shared" si="1043"/>
        <v>40060</v>
      </c>
      <c r="B29134" s="2" t="str">
        <f>"23153"</f>
        <v>23153</v>
      </c>
      <c r="C29134" s="1">
        <v>1.0772991854939499E-3</v>
      </c>
      <c r="D29134" s="1">
        <v>1.07985529938988E-4</v>
      </c>
      <c r="E29134" s="1">
        <v>8.9325591782045503E-5</v>
      </c>
      <c r="F29134" s="1">
        <v>9.6345465170290202E-4</v>
      </c>
    </row>
    <row r="29135" spans="1:6" x14ac:dyDescent="0.25">
      <c r="A29135" s="2" t="str">
        <f t="shared" si="1043"/>
        <v>40060</v>
      </c>
      <c r="B29135" s="2" t="str">
        <f>"23234"</f>
        <v>23234</v>
      </c>
      <c r="C29135" s="1">
        <v>3.0982106654315798E-2</v>
      </c>
      <c r="D29135" s="1">
        <v>1.34262008890808E-2</v>
      </c>
      <c r="E29135" s="1">
        <v>2.7020991514068698E-2</v>
      </c>
      <c r="F29135" s="1">
        <v>2.9387614438334399E-2</v>
      </c>
    </row>
    <row r="29136" spans="1:6" x14ac:dyDescent="0.25">
      <c r="A29136" s="2" t="str">
        <f t="shared" si="1043"/>
        <v>40060</v>
      </c>
      <c r="B29136" s="2" t="str">
        <f>"23120"</f>
        <v>23120</v>
      </c>
      <c r="C29136" s="1">
        <v>8.5861593350943302E-3</v>
      </c>
      <c r="D29136" s="1">
        <v>1.15184565268254E-3</v>
      </c>
      <c r="E29136" s="1">
        <v>4.4662795891022697E-5</v>
      </c>
      <c r="F29136" s="1">
        <v>7.6806664768725901E-3</v>
      </c>
    </row>
    <row r="29137" spans="1:6" x14ac:dyDescent="0.25">
      <c r="A29137" s="2" t="str">
        <f t="shared" si="1043"/>
        <v>40060</v>
      </c>
      <c r="B29137" s="2" t="str">
        <f>"23059"</f>
        <v>23059</v>
      </c>
      <c r="C29137" s="1">
        <v>2.6537187180309299E-2</v>
      </c>
      <c r="D29137" s="1">
        <v>1.5495923546244799E-2</v>
      </c>
      <c r="E29137" s="1">
        <v>1.37114783385439E-2</v>
      </c>
      <c r="F29137" s="1">
        <v>2.5187671376556399E-2</v>
      </c>
    </row>
    <row r="29138" spans="1:6" x14ac:dyDescent="0.25">
      <c r="A29138" s="2" t="str">
        <f t="shared" si="1043"/>
        <v>40060</v>
      </c>
      <c r="B29138" s="2" t="str">
        <f>"23058"</f>
        <v>23058</v>
      </c>
      <c r="C29138" s="1">
        <v>3.7391612674467301E-3</v>
      </c>
      <c r="D29138" s="1">
        <v>1.1464463761855901E-2</v>
      </c>
      <c r="E29138" s="1">
        <v>8.9325591782045503E-5</v>
      </c>
      <c r="F29138" s="1">
        <v>4.2598780323349099E-3</v>
      </c>
    </row>
    <row r="29139" spans="1:6" x14ac:dyDescent="0.25">
      <c r="A29139" s="2" t="str">
        <f t="shared" ref="A29139:A29170" si="1044">"40220"</f>
        <v>40220</v>
      </c>
      <c r="B29139" s="2" t="str">
        <f>"24438"</f>
        <v>24438</v>
      </c>
      <c r="C29139" s="1">
        <v>0</v>
      </c>
      <c r="D29139" s="1">
        <v>0</v>
      </c>
      <c r="E29139" s="1">
        <v>1.8709073900841899E-4</v>
      </c>
      <c r="F29139" s="1">
        <v>5.5805439914282804E-6</v>
      </c>
    </row>
    <row r="29140" spans="1:6" x14ac:dyDescent="0.25">
      <c r="A29140" s="2" t="str">
        <f t="shared" si="1044"/>
        <v>40220</v>
      </c>
      <c r="B29140" s="2" t="str">
        <f>"24155"</f>
        <v>24155</v>
      </c>
      <c r="C29140" s="1">
        <v>0</v>
      </c>
      <c r="D29140" s="1">
        <v>6.1282019855374398E-5</v>
      </c>
      <c r="E29140" s="1">
        <v>0</v>
      </c>
      <c r="F29140" s="1">
        <v>5.5805439914282804E-6</v>
      </c>
    </row>
    <row r="29141" spans="1:6" x14ac:dyDescent="0.25">
      <c r="A29141" s="2" t="str">
        <f t="shared" si="1044"/>
        <v>40220</v>
      </c>
      <c r="B29141" s="2" t="str">
        <f>"24151"</f>
        <v>24151</v>
      </c>
      <c r="C29141" s="1">
        <v>6.14164831049126E-2</v>
      </c>
      <c r="D29141" s="1">
        <v>6.2323814192915702E-2</v>
      </c>
      <c r="E29141" s="1">
        <v>4.45275958840037E-2</v>
      </c>
      <c r="F29141" s="1">
        <v>6.0995345826311102E-2</v>
      </c>
    </row>
    <row r="29142" spans="1:6" x14ac:dyDescent="0.25">
      <c r="A29142" s="2" t="str">
        <f t="shared" si="1044"/>
        <v>40220</v>
      </c>
      <c r="B29142" s="2" t="str">
        <f>"24012"</f>
        <v>24012</v>
      </c>
      <c r="C29142" s="1">
        <v>8.7881115462988199E-2</v>
      </c>
      <c r="D29142" s="1">
        <v>9.5845079053805599E-2</v>
      </c>
      <c r="E29142" s="1">
        <v>0.101964452759588</v>
      </c>
      <c r="F29142" s="1">
        <v>8.90264182952554E-2</v>
      </c>
    </row>
    <row r="29143" spans="1:6" x14ac:dyDescent="0.25">
      <c r="A29143" s="2" t="str">
        <f t="shared" si="1044"/>
        <v>40220</v>
      </c>
      <c r="B29143" s="2" t="str">
        <f>"24011"</f>
        <v>24011</v>
      </c>
      <c r="C29143" s="1">
        <v>4.9133186483930101E-3</v>
      </c>
      <c r="D29143" s="1">
        <v>4.63904890305184E-2</v>
      </c>
      <c r="E29143" s="1">
        <v>4.34050514499532E-2</v>
      </c>
      <c r="F29143" s="1">
        <v>9.8384990568880608E-3</v>
      </c>
    </row>
    <row r="29144" spans="1:6" x14ac:dyDescent="0.25">
      <c r="A29144" s="2" t="str">
        <f t="shared" si="1044"/>
        <v>40220</v>
      </c>
      <c r="B29144" s="2" t="str">
        <f>"24008"</f>
        <v>24008</v>
      </c>
      <c r="C29144" s="1">
        <v>1.0093251487008901E-3</v>
      </c>
      <c r="D29144" s="1">
        <v>1.4094864566736099E-3</v>
      </c>
      <c r="E29144" s="1">
        <v>1.8709073900841899E-4</v>
      </c>
      <c r="F29144" s="1">
        <v>1.0212395504313699E-3</v>
      </c>
    </row>
    <row r="29145" spans="1:6" x14ac:dyDescent="0.25">
      <c r="A29145" s="2" t="str">
        <f t="shared" si="1044"/>
        <v>40220</v>
      </c>
      <c r="B29145" s="2" t="str">
        <f>"24112"</f>
        <v>24112</v>
      </c>
      <c r="C29145" s="1">
        <v>2.8311887818905398E-3</v>
      </c>
      <c r="D29145" s="1">
        <v>4.9025615884299497E-4</v>
      </c>
      <c r="E29145" s="1">
        <v>7.4836295603367597E-4</v>
      </c>
      <c r="F29145" s="1">
        <v>2.5558891480741502E-3</v>
      </c>
    </row>
    <row r="29146" spans="1:6" x14ac:dyDescent="0.25">
      <c r="A29146" s="2" t="str">
        <f t="shared" si="1044"/>
        <v>40220</v>
      </c>
      <c r="B29146" s="2" t="str">
        <f>"24065"</f>
        <v>24065</v>
      </c>
      <c r="C29146" s="1">
        <v>1.78821946156629E-2</v>
      </c>
      <c r="D29146" s="1">
        <v>3.5543571516117099E-3</v>
      </c>
      <c r="E29146" s="1">
        <v>2.24508886810102E-3</v>
      </c>
      <c r="F29146" s="1">
        <v>1.6111030503253399E-2</v>
      </c>
    </row>
    <row r="29147" spans="1:6" x14ac:dyDescent="0.25">
      <c r="A29147" s="2" t="str">
        <f t="shared" si="1044"/>
        <v>40220</v>
      </c>
      <c r="B29147" s="2" t="str">
        <f>"24033"</f>
        <v>24033</v>
      </c>
      <c r="C29147" s="1">
        <v>2.6026623331280798E-4</v>
      </c>
      <c r="D29147" s="1">
        <v>1.1643583772521101E-3</v>
      </c>
      <c r="E29147" s="1">
        <v>1.8709073900841899E-4</v>
      </c>
      <c r="F29147" s="1">
        <v>3.4041318347712501E-4</v>
      </c>
    </row>
    <row r="29148" spans="1:6" x14ac:dyDescent="0.25">
      <c r="A29148" s="2" t="str">
        <f t="shared" si="1044"/>
        <v>40220</v>
      </c>
      <c r="B29148" s="2" t="str">
        <f>"24032"</f>
        <v>24032</v>
      </c>
      <c r="C29148" s="1">
        <v>2.7296214713294501E-4</v>
      </c>
      <c r="D29148" s="1">
        <v>1.22564039710748E-3</v>
      </c>
      <c r="E29148" s="1">
        <v>1.8709073900841899E-4</v>
      </c>
      <c r="F29148" s="1">
        <v>3.5715481545141E-4</v>
      </c>
    </row>
    <row r="29149" spans="1:6" x14ac:dyDescent="0.25">
      <c r="A29149" s="2" t="str">
        <f t="shared" si="1044"/>
        <v>40220</v>
      </c>
      <c r="B29149" s="2" t="str">
        <f>"24016"</f>
        <v>24016</v>
      </c>
      <c r="C29149" s="1">
        <v>3.5174029238689501E-2</v>
      </c>
      <c r="D29149" s="1">
        <v>5.25799730359112E-2</v>
      </c>
      <c r="E29149" s="1">
        <v>0.130215154349859</v>
      </c>
      <c r="F29149" s="1">
        <v>3.9593959619183598E-2</v>
      </c>
    </row>
    <row r="29150" spans="1:6" x14ac:dyDescent="0.25">
      <c r="A29150" s="2" t="str">
        <f t="shared" si="1044"/>
        <v>40220</v>
      </c>
      <c r="B29150" s="2" t="str">
        <f>"24015"</f>
        <v>24015</v>
      </c>
      <c r="C29150" s="1">
        <v>5.4922523185912599E-2</v>
      </c>
      <c r="D29150" s="1">
        <v>4.1304081382522298E-2</v>
      </c>
      <c r="E29150" s="1">
        <v>8.0449017773620193E-2</v>
      </c>
      <c r="F29150" s="1">
        <v>5.4443787180374299E-2</v>
      </c>
    </row>
    <row r="29151" spans="1:6" x14ac:dyDescent="0.25">
      <c r="A29151" s="2" t="str">
        <f t="shared" si="1044"/>
        <v>40220</v>
      </c>
      <c r="B29151" s="2" t="str">
        <f>"24153"</f>
        <v>24153</v>
      </c>
      <c r="C29151" s="1">
        <v>0.118376700458957</v>
      </c>
      <c r="D29151" s="1">
        <v>0.13175634268905501</v>
      </c>
      <c r="E29151" s="1">
        <v>7.3900841908325507E-2</v>
      </c>
      <c r="F29151" s="1">
        <v>0.11826846881033901</v>
      </c>
    </row>
    <row r="29152" spans="1:6" x14ac:dyDescent="0.25">
      <c r="A29152" s="2" t="str">
        <f t="shared" si="1044"/>
        <v>40220</v>
      </c>
      <c r="B29152" s="2" t="str">
        <f>"24130"</f>
        <v>24130</v>
      </c>
      <c r="C29152" s="1">
        <v>0</v>
      </c>
      <c r="D29152" s="1">
        <v>0</v>
      </c>
      <c r="E29152" s="1">
        <v>1.8709073900841899E-4</v>
      </c>
      <c r="F29152" s="1">
        <v>5.5805439914282804E-6</v>
      </c>
    </row>
    <row r="29153" spans="1:6" x14ac:dyDescent="0.25">
      <c r="A29153" s="2" t="str">
        <f t="shared" si="1044"/>
        <v>40220</v>
      </c>
      <c r="B29153" s="2" t="str">
        <f>"24137"</f>
        <v>24137</v>
      </c>
      <c r="C29153" s="1">
        <v>8.2396480692689001E-3</v>
      </c>
      <c r="D29153" s="1">
        <v>1.9610246353719799E-3</v>
      </c>
      <c r="E29153" s="1">
        <v>1.12254443405051E-3</v>
      </c>
      <c r="F29153" s="1">
        <v>7.45560677254818E-3</v>
      </c>
    </row>
    <row r="29154" spans="1:6" x14ac:dyDescent="0.25">
      <c r="A29154" s="2" t="str">
        <f t="shared" si="1044"/>
        <v>40220</v>
      </c>
      <c r="B29154" s="2" t="str">
        <f>"24087"</f>
        <v>24087</v>
      </c>
      <c r="C29154" s="1">
        <v>4.2531311297458902E-4</v>
      </c>
      <c r="D29154" s="1">
        <v>0</v>
      </c>
      <c r="E29154" s="1">
        <v>0</v>
      </c>
      <c r="F29154" s="1">
        <v>3.7389644742569499E-4</v>
      </c>
    </row>
    <row r="29155" spans="1:6" x14ac:dyDescent="0.25">
      <c r="A29155" s="2" t="str">
        <f t="shared" si="1044"/>
        <v>40220</v>
      </c>
      <c r="B29155" s="2" t="str">
        <f>"24083"</f>
        <v>24083</v>
      </c>
      <c r="C29155" s="1">
        <v>1.54509271191067E-2</v>
      </c>
      <c r="D29155" s="1">
        <v>2.3042039465620699E-2</v>
      </c>
      <c r="E29155" s="1">
        <v>7.2965388213283404E-3</v>
      </c>
      <c r="F29155" s="1">
        <v>1.58989698315791E-2</v>
      </c>
    </row>
    <row r="29156" spans="1:6" x14ac:dyDescent="0.25">
      <c r="A29156" s="2" t="str">
        <f t="shared" si="1044"/>
        <v>40220</v>
      </c>
      <c r="B29156" s="2" t="str">
        <f>"24088"</f>
        <v>24088</v>
      </c>
      <c r="C29156" s="1">
        <v>1.1959550818569E-2</v>
      </c>
      <c r="D29156" s="1">
        <v>3.6769211913224601E-3</v>
      </c>
      <c r="E29156" s="1">
        <v>3.36763330215154E-3</v>
      </c>
      <c r="F29156" s="1">
        <v>1.09490273111822E-2</v>
      </c>
    </row>
    <row r="29157" spans="1:6" x14ac:dyDescent="0.25">
      <c r="A29157" s="2" t="str">
        <f t="shared" si="1044"/>
        <v>40220</v>
      </c>
      <c r="B29157" s="2" t="str">
        <f>"24030"</f>
        <v>24030</v>
      </c>
      <c r="C29157" s="1">
        <v>2.47570319492671E-4</v>
      </c>
      <c r="D29157" s="1">
        <v>1.34820443681823E-3</v>
      </c>
      <c r="E29157" s="1">
        <v>1.8709073900841899E-4</v>
      </c>
      <c r="F29157" s="1">
        <v>3.4599372746855301E-4</v>
      </c>
    </row>
    <row r="29158" spans="1:6" x14ac:dyDescent="0.25">
      <c r="A29158" s="2" t="str">
        <f t="shared" si="1044"/>
        <v>40220</v>
      </c>
      <c r="B29158" s="2" t="str">
        <f>"24037"</f>
        <v>24037</v>
      </c>
      <c r="C29158" s="1">
        <v>2.7296214713294501E-4</v>
      </c>
      <c r="D29158" s="1">
        <v>1.6546145360951E-3</v>
      </c>
      <c r="E29158" s="1">
        <v>1.8709073900841899E-4</v>
      </c>
      <c r="F29158" s="1">
        <v>3.9621862339140799E-4</v>
      </c>
    </row>
    <row r="29159" spans="1:6" x14ac:dyDescent="0.25">
      <c r="A29159" s="2" t="str">
        <f t="shared" si="1044"/>
        <v>40220</v>
      </c>
      <c r="B29159" s="2" t="str">
        <f>"24036"</f>
        <v>24036</v>
      </c>
      <c r="C29159" s="1">
        <v>3.2374580241349298E-4</v>
      </c>
      <c r="D29159" s="1">
        <v>7.3538423826449305E-4</v>
      </c>
      <c r="E29159" s="1">
        <v>1.8709073900841899E-4</v>
      </c>
      <c r="F29159" s="1">
        <v>3.5715481545141E-4</v>
      </c>
    </row>
    <row r="29160" spans="1:6" x14ac:dyDescent="0.25">
      <c r="A29160" s="2" t="str">
        <f t="shared" si="1044"/>
        <v>40220</v>
      </c>
      <c r="B29160" s="2" t="str">
        <f>"24422"</f>
        <v>24422</v>
      </c>
      <c r="C29160" s="1">
        <v>5.5227225117595897E-4</v>
      </c>
      <c r="D29160" s="1">
        <v>1.8384605956612299E-4</v>
      </c>
      <c r="E29160" s="1">
        <v>0</v>
      </c>
      <c r="F29160" s="1">
        <v>5.0224895922854496E-4</v>
      </c>
    </row>
    <row r="29161" spans="1:6" x14ac:dyDescent="0.25">
      <c r="A29161" s="2" t="str">
        <f t="shared" si="1044"/>
        <v>40220</v>
      </c>
      <c r="B29161" s="2" t="str">
        <f>"24001"</f>
        <v>24001</v>
      </c>
      <c r="C29161" s="1">
        <v>5.5227225117595897E-4</v>
      </c>
      <c r="D29161" s="1">
        <v>1.8997426155166E-3</v>
      </c>
      <c r="E29161" s="1">
        <v>1.8709073900841899E-4</v>
      </c>
      <c r="F29161" s="1">
        <v>6.6408473497996503E-4</v>
      </c>
    </row>
    <row r="29162" spans="1:6" x14ac:dyDescent="0.25">
      <c r="A29162" s="2" t="str">
        <f t="shared" si="1044"/>
        <v>40220</v>
      </c>
      <c r="B29162" s="2" t="str">
        <f>"24102"</f>
        <v>24102</v>
      </c>
      <c r="C29162" s="1">
        <v>4.8625349931124603E-3</v>
      </c>
      <c r="D29162" s="1">
        <v>1.10307635739673E-3</v>
      </c>
      <c r="E29162" s="1">
        <v>7.4836295603367597E-4</v>
      </c>
      <c r="F29162" s="1">
        <v>4.3974686652454801E-3</v>
      </c>
    </row>
    <row r="29163" spans="1:6" x14ac:dyDescent="0.25">
      <c r="A29163" s="2" t="str">
        <f t="shared" si="1044"/>
        <v>40220</v>
      </c>
      <c r="B29163" s="2" t="str">
        <f>"24055"</f>
        <v>24055</v>
      </c>
      <c r="C29163" s="1">
        <v>1.8282115900997199E-3</v>
      </c>
      <c r="D29163" s="1">
        <v>8.5794827797524198E-4</v>
      </c>
      <c r="E29163" s="1">
        <v>0</v>
      </c>
      <c r="F29163" s="1">
        <v>1.6853242854113399E-3</v>
      </c>
    </row>
    <row r="29164" spans="1:6" x14ac:dyDescent="0.25">
      <c r="A29164" s="2" t="str">
        <f t="shared" si="1044"/>
        <v>40220</v>
      </c>
      <c r="B29164" s="2" t="str">
        <f>"24027"</f>
        <v>24027</v>
      </c>
      <c r="C29164" s="1">
        <v>2.9200601786315001E-4</v>
      </c>
      <c r="D29164" s="1">
        <v>1.47076847652898E-3</v>
      </c>
      <c r="E29164" s="1">
        <v>1.8709073900841899E-4</v>
      </c>
      <c r="F29164" s="1">
        <v>3.9621862339140799E-4</v>
      </c>
    </row>
    <row r="29165" spans="1:6" x14ac:dyDescent="0.25">
      <c r="A29165" s="2" t="str">
        <f t="shared" si="1044"/>
        <v>40220</v>
      </c>
      <c r="B29165" s="2" t="str">
        <f>"24024"</f>
        <v>24024</v>
      </c>
      <c r="C29165" s="1">
        <v>2.7931010404301298E-4</v>
      </c>
      <c r="D29165" s="1">
        <v>1.6546145360951E-3</v>
      </c>
      <c r="E29165" s="1">
        <v>1.8709073900841899E-4</v>
      </c>
      <c r="F29165" s="1">
        <v>4.0179916738283599E-4</v>
      </c>
    </row>
    <row r="29166" spans="1:6" x14ac:dyDescent="0.25">
      <c r="A29166" s="2" t="str">
        <f t="shared" si="1044"/>
        <v>40220</v>
      </c>
      <c r="B29166" s="2" t="str">
        <f>"24035"</f>
        <v>24035</v>
      </c>
      <c r="C29166" s="1">
        <v>2.6026623331280798E-4</v>
      </c>
      <c r="D29166" s="1">
        <v>1.22564039710748E-3</v>
      </c>
      <c r="E29166" s="1">
        <v>1.8709073900841899E-4</v>
      </c>
      <c r="F29166" s="1">
        <v>3.4599372746855301E-4</v>
      </c>
    </row>
    <row r="29167" spans="1:6" x14ac:dyDescent="0.25">
      <c r="A29167" s="2" t="str">
        <f t="shared" si="1044"/>
        <v>40220</v>
      </c>
      <c r="B29167" s="2" t="str">
        <f>"24019"</f>
        <v>24019</v>
      </c>
      <c r="C29167" s="1">
        <v>8.2174302200836602E-2</v>
      </c>
      <c r="D29167" s="1">
        <v>6.6184581443804305E-2</v>
      </c>
      <c r="E29167" s="1">
        <v>7.3900841908325507E-2</v>
      </c>
      <c r="F29167" s="1">
        <v>8.0471444356395805E-2</v>
      </c>
    </row>
    <row r="29168" spans="1:6" x14ac:dyDescent="0.25">
      <c r="A29168" s="2" t="str">
        <f t="shared" si="1044"/>
        <v>40220</v>
      </c>
      <c r="B29168" s="2" t="str">
        <f>"24014"</f>
        <v>24014</v>
      </c>
      <c r="C29168" s="1">
        <v>5.7379182510109102E-2</v>
      </c>
      <c r="D29168" s="1">
        <v>4.8106385586468903E-2</v>
      </c>
      <c r="E29168" s="1">
        <v>7.2404115996258095E-2</v>
      </c>
      <c r="F29168" s="1">
        <v>5.6982934696474197E-2</v>
      </c>
    </row>
    <row r="29169" spans="1:6" x14ac:dyDescent="0.25">
      <c r="A29169" s="2" t="str">
        <f t="shared" si="1044"/>
        <v>40220</v>
      </c>
      <c r="B29169" s="2" t="str">
        <f>"24176"</f>
        <v>24176</v>
      </c>
      <c r="C29169" s="1">
        <v>6.2400416425973304E-3</v>
      </c>
      <c r="D29169" s="1">
        <v>1.6546145360951E-3</v>
      </c>
      <c r="E29169" s="1">
        <v>1.8709073900841899E-4</v>
      </c>
      <c r="F29169" s="1">
        <v>5.6419299753339902E-3</v>
      </c>
    </row>
    <row r="29170" spans="1:6" x14ac:dyDescent="0.25">
      <c r="A29170" s="2" t="str">
        <f t="shared" si="1044"/>
        <v>40220</v>
      </c>
      <c r="B29170" s="2" t="str">
        <f>"24101"</f>
        <v>24101</v>
      </c>
      <c r="C29170" s="1">
        <v>1.62952053881458E-2</v>
      </c>
      <c r="D29170" s="1">
        <v>1.04179433754136E-2</v>
      </c>
      <c r="E29170" s="1">
        <v>7.2965388213283404E-3</v>
      </c>
      <c r="F29170" s="1">
        <v>1.5491590120204899E-2</v>
      </c>
    </row>
    <row r="29171" spans="1:6" x14ac:dyDescent="0.25">
      <c r="A29171" s="2" t="str">
        <f t="shared" ref="A29171:A29202" si="1045">"40220"</f>
        <v>40220</v>
      </c>
      <c r="B29171" s="2" t="str">
        <f>"24092"</f>
        <v>24092</v>
      </c>
      <c r="C29171" s="1">
        <v>8.9823590277469095E-3</v>
      </c>
      <c r="D29171" s="1">
        <v>2.3287167545042202E-3</v>
      </c>
      <c r="E29171" s="1">
        <v>1.49672591206735E-3</v>
      </c>
      <c r="F29171" s="1">
        <v>8.1531747714767202E-3</v>
      </c>
    </row>
    <row r="29172" spans="1:6" x14ac:dyDescent="0.25">
      <c r="A29172" s="2" t="str">
        <f t="shared" si="1045"/>
        <v>40220</v>
      </c>
      <c r="B29172" s="2" t="str">
        <f>"24091"</f>
        <v>24091</v>
      </c>
      <c r="C29172" s="1">
        <v>1.07915267471164E-4</v>
      </c>
      <c r="D29172" s="1">
        <v>6.1282019855374398E-5</v>
      </c>
      <c r="E29172" s="1">
        <v>0</v>
      </c>
      <c r="F29172" s="1">
        <v>1.00449791845709E-4</v>
      </c>
    </row>
    <row r="29173" spans="1:6" x14ac:dyDescent="0.25">
      <c r="A29173" s="2" t="str">
        <f t="shared" si="1045"/>
        <v>40220</v>
      </c>
      <c r="B29173" s="2" t="str">
        <f>"24079"</f>
        <v>24079</v>
      </c>
      <c r="C29173" s="1">
        <v>2.7296214713294501E-4</v>
      </c>
      <c r="D29173" s="1">
        <v>0</v>
      </c>
      <c r="E29173" s="1">
        <v>0</v>
      </c>
      <c r="F29173" s="1">
        <v>2.3996339163141601E-4</v>
      </c>
    </row>
    <row r="29174" spans="1:6" x14ac:dyDescent="0.25">
      <c r="A29174" s="2" t="str">
        <f t="shared" si="1045"/>
        <v>40220</v>
      </c>
      <c r="B29174" s="2" t="str">
        <f>"24070"</f>
        <v>24070</v>
      </c>
      <c r="C29174" s="1">
        <v>3.92938532733239E-3</v>
      </c>
      <c r="D29174" s="1">
        <v>3.6769211913224598E-4</v>
      </c>
      <c r="E29174" s="1">
        <v>1.8709073900841899E-4</v>
      </c>
      <c r="F29174" s="1">
        <v>3.4934205386341001E-3</v>
      </c>
    </row>
    <row r="29175" spans="1:6" x14ac:dyDescent="0.25">
      <c r="A29175" s="2" t="str">
        <f t="shared" si="1045"/>
        <v>40220</v>
      </c>
      <c r="B29175" s="2" t="str">
        <f>"24067"</f>
        <v>24067</v>
      </c>
      <c r="C29175" s="1">
        <v>6.6209190572014296E-3</v>
      </c>
      <c r="D29175" s="1">
        <v>1.1643583772521101E-3</v>
      </c>
      <c r="E29175" s="1">
        <v>9.3545369504209499E-4</v>
      </c>
      <c r="F29175" s="1">
        <v>5.9544404388539697E-3</v>
      </c>
    </row>
    <row r="29176" spans="1:6" x14ac:dyDescent="0.25">
      <c r="A29176" s="2" t="str">
        <f t="shared" si="1045"/>
        <v>40220</v>
      </c>
      <c r="B29176" s="2" t="str">
        <f>"24026"</f>
        <v>24026</v>
      </c>
      <c r="C29176" s="1">
        <v>3.2374580241349298E-4</v>
      </c>
      <c r="D29176" s="1">
        <v>1.2869224169628601E-3</v>
      </c>
      <c r="E29176" s="1">
        <v>1.8709073900841899E-4</v>
      </c>
      <c r="F29176" s="1">
        <v>4.07379711374264E-4</v>
      </c>
    </row>
    <row r="29177" spans="1:6" x14ac:dyDescent="0.25">
      <c r="A29177" s="2" t="str">
        <f t="shared" si="1045"/>
        <v>40220</v>
      </c>
      <c r="B29177" s="2" t="str">
        <f>"24023"</f>
        <v>24023</v>
      </c>
      <c r="C29177" s="1">
        <v>2.9200601786315001E-4</v>
      </c>
      <c r="D29177" s="1">
        <v>1.59333251623973E-3</v>
      </c>
      <c r="E29177" s="1">
        <v>1.8709073900841899E-4</v>
      </c>
      <c r="F29177" s="1">
        <v>4.07379711374264E-4</v>
      </c>
    </row>
    <row r="29178" spans="1:6" x14ac:dyDescent="0.25">
      <c r="A29178" s="2" t="str">
        <f t="shared" si="1045"/>
        <v>40220</v>
      </c>
      <c r="B29178" s="2" t="str">
        <f>"24031"</f>
        <v>24031</v>
      </c>
      <c r="C29178" s="1">
        <v>2.9835397477321902E-4</v>
      </c>
      <c r="D29178" s="1">
        <v>9.1923029783061601E-4</v>
      </c>
      <c r="E29178" s="1">
        <v>1.8709073900841899E-4</v>
      </c>
      <c r="F29178" s="1">
        <v>3.5157427145998102E-4</v>
      </c>
    </row>
    <row r="29179" spans="1:6" x14ac:dyDescent="0.25">
      <c r="A29179" s="2" t="str">
        <f t="shared" si="1045"/>
        <v>40220</v>
      </c>
      <c r="B29179" s="2" t="str">
        <f>"24018"</f>
        <v>24018</v>
      </c>
      <c r="C29179" s="1">
        <v>0.118916276796313</v>
      </c>
      <c r="D29179" s="1">
        <v>0.124034808187277</v>
      </c>
      <c r="E29179" s="1">
        <v>0.15678203928905499</v>
      </c>
      <c r="F29179" s="1">
        <v>0.12051184749489301</v>
      </c>
    </row>
    <row r="29180" spans="1:6" x14ac:dyDescent="0.25">
      <c r="A29180" s="2" t="str">
        <f t="shared" si="1045"/>
        <v>40220</v>
      </c>
      <c r="B29180" s="2" t="str">
        <f>"24175"</f>
        <v>24175</v>
      </c>
      <c r="C29180" s="1">
        <v>2.5487046993925001E-2</v>
      </c>
      <c r="D29180" s="1">
        <v>1.25628140703517E-2</v>
      </c>
      <c r="E29180" s="1">
        <v>4.30308699719363E-3</v>
      </c>
      <c r="F29180" s="1">
        <v>2.3678248155630199E-2</v>
      </c>
    </row>
    <row r="29181" spans="1:6" x14ac:dyDescent="0.25">
      <c r="A29181" s="2" t="str">
        <f t="shared" si="1045"/>
        <v>40220</v>
      </c>
      <c r="B29181" s="2" t="str">
        <f>"24127"</f>
        <v>24127</v>
      </c>
      <c r="C29181" s="1">
        <v>1.24610394144644E-2</v>
      </c>
      <c r="D29181" s="1">
        <v>2.5738448339257202E-3</v>
      </c>
      <c r="E29181" s="1">
        <v>2.9934518241347E-3</v>
      </c>
      <c r="F29181" s="1">
        <v>1.12782794066765E-2</v>
      </c>
    </row>
    <row r="29182" spans="1:6" x14ac:dyDescent="0.25">
      <c r="A29182" s="2" t="str">
        <f t="shared" si="1045"/>
        <v>40220</v>
      </c>
      <c r="B29182" s="2" t="str">
        <f>"24121"</f>
        <v>24121</v>
      </c>
      <c r="C29182" s="1">
        <v>1.9189873739137001E-2</v>
      </c>
      <c r="D29182" s="1">
        <v>1.4523838705723701E-2</v>
      </c>
      <c r="E29182" s="1">
        <v>2.3199251637043901E-2</v>
      </c>
      <c r="F29182" s="1">
        <v>1.8884560866993302E-2</v>
      </c>
    </row>
    <row r="29183" spans="1:6" x14ac:dyDescent="0.25">
      <c r="A29183" s="2" t="str">
        <f t="shared" si="1045"/>
        <v>40220</v>
      </c>
      <c r="B29183" s="2" t="str">
        <f>"24007"</f>
        <v>24007</v>
      </c>
      <c r="C29183" s="1">
        <v>8.4427826903910898E-4</v>
      </c>
      <c r="D29183" s="1">
        <v>2.2061527147934699E-3</v>
      </c>
      <c r="E29183" s="1">
        <v>1.8709073900841899E-4</v>
      </c>
      <c r="F29183" s="1">
        <v>9.4869247854280803E-4</v>
      </c>
    </row>
    <row r="29184" spans="1:6" x14ac:dyDescent="0.25">
      <c r="A29184" s="2" t="str">
        <f t="shared" si="1045"/>
        <v>40220</v>
      </c>
      <c r="B29184" s="2" t="str">
        <f>"24003"</f>
        <v>24003</v>
      </c>
      <c r="C29184" s="1">
        <v>5.3322838044575298E-4</v>
      </c>
      <c r="D29184" s="1">
        <v>2.5738448339257202E-3</v>
      </c>
      <c r="E29184" s="1">
        <v>1.8709073900841899E-4</v>
      </c>
      <c r="F29184" s="1">
        <v>7.0872908691139199E-4</v>
      </c>
    </row>
    <row r="29185" spans="1:6" x14ac:dyDescent="0.25">
      <c r="A29185" s="2" t="str">
        <f t="shared" si="1045"/>
        <v>40220</v>
      </c>
      <c r="B29185" s="2" t="str">
        <f>"24029"</f>
        <v>24029</v>
      </c>
      <c r="C29185" s="1">
        <v>2.9835397477321902E-4</v>
      </c>
      <c r="D29185" s="1">
        <v>7.3538423826449305E-4</v>
      </c>
      <c r="E29185" s="1">
        <v>1.8709073900841899E-4</v>
      </c>
      <c r="F29185" s="1">
        <v>3.34832639485697E-4</v>
      </c>
    </row>
    <row r="29186" spans="1:6" x14ac:dyDescent="0.25">
      <c r="A29186" s="2" t="str">
        <f t="shared" si="1045"/>
        <v>40220</v>
      </c>
      <c r="B29186" s="2" t="str">
        <f>"24028"</f>
        <v>24028</v>
      </c>
      <c r="C29186" s="1">
        <v>2.7931010404301298E-4</v>
      </c>
      <c r="D29186" s="1">
        <v>1.34820443681823E-3</v>
      </c>
      <c r="E29186" s="1">
        <v>3.7418147801683799E-4</v>
      </c>
      <c r="F29186" s="1">
        <v>3.79476991417123E-4</v>
      </c>
    </row>
    <row r="29187" spans="1:6" x14ac:dyDescent="0.25">
      <c r="A29187" s="2" t="str">
        <f t="shared" si="1045"/>
        <v>40220</v>
      </c>
      <c r="B29187" s="2" t="str">
        <f>"24025"</f>
        <v>24025</v>
      </c>
      <c r="C29187" s="1">
        <v>2.5391827640273903E-4</v>
      </c>
      <c r="D29187" s="1">
        <v>1.8997426155166E-3</v>
      </c>
      <c r="E29187" s="1">
        <v>1.8709073900841899E-4</v>
      </c>
      <c r="F29187" s="1">
        <v>4.0179916738283599E-4</v>
      </c>
    </row>
    <row r="29188" spans="1:6" x14ac:dyDescent="0.25">
      <c r="A29188" s="2" t="str">
        <f t="shared" si="1045"/>
        <v>40220</v>
      </c>
      <c r="B29188" s="2" t="str">
        <f>"24579"</f>
        <v>24579</v>
      </c>
      <c r="C29188" s="1">
        <v>4.4435698370479397E-5</v>
      </c>
      <c r="D29188" s="1">
        <v>1.2256403971074801E-4</v>
      </c>
      <c r="E29188" s="1">
        <v>0</v>
      </c>
      <c r="F29188" s="1">
        <v>5.0224895922854499E-5</v>
      </c>
    </row>
    <row r="29189" spans="1:6" x14ac:dyDescent="0.25">
      <c r="A29189" s="2" t="str">
        <f t="shared" si="1045"/>
        <v>40220</v>
      </c>
      <c r="B29189" s="2" t="str">
        <f>"24184"</f>
        <v>24184</v>
      </c>
      <c r="C29189" s="1">
        <v>1.85614260050402E-2</v>
      </c>
      <c r="D29189" s="1">
        <v>8.4569187400416693E-3</v>
      </c>
      <c r="E29189" s="1">
        <v>4.67726847521047E-3</v>
      </c>
      <c r="F29189" s="1">
        <v>1.7227139301539102E-2</v>
      </c>
    </row>
    <row r="29190" spans="1:6" x14ac:dyDescent="0.25">
      <c r="A29190" s="2" t="str">
        <f t="shared" si="1045"/>
        <v>40220</v>
      </c>
      <c r="B29190" s="2" t="str">
        <f>"24006"</f>
        <v>24006</v>
      </c>
      <c r="C29190" s="1">
        <v>5.2688042353568501E-4</v>
      </c>
      <c r="D29190" s="1">
        <v>2.2061527147934699E-3</v>
      </c>
      <c r="E29190" s="1">
        <v>3.7418147801683799E-4</v>
      </c>
      <c r="F29190" s="1">
        <v>6.7524582296282201E-4</v>
      </c>
    </row>
    <row r="29191" spans="1:6" x14ac:dyDescent="0.25">
      <c r="A29191" s="2" t="str">
        <f t="shared" si="1045"/>
        <v>40220</v>
      </c>
      <c r="B29191" s="2" t="str">
        <f>"24005"</f>
        <v>24005</v>
      </c>
      <c r="C29191" s="1">
        <v>5.0148859589541105E-4</v>
      </c>
      <c r="D29191" s="1">
        <v>2.02230665522735E-3</v>
      </c>
      <c r="E29191" s="1">
        <v>1.8709073900841899E-4</v>
      </c>
      <c r="F29191" s="1">
        <v>6.3060147103139602E-4</v>
      </c>
    </row>
    <row r="29192" spans="1:6" x14ac:dyDescent="0.25">
      <c r="A29192" s="2" t="str">
        <f t="shared" si="1045"/>
        <v>40220</v>
      </c>
      <c r="B29192" s="2" t="str">
        <f>"24002"</f>
        <v>24002</v>
      </c>
      <c r="C29192" s="1">
        <v>8.8236601049951997E-4</v>
      </c>
      <c r="D29192" s="1">
        <v>3.61563917146709E-3</v>
      </c>
      <c r="E29192" s="1">
        <v>1.8709073900841899E-4</v>
      </c>
      <c r="F29192" s="1">
        <v>1.11052825429422E-3</v>
      </c>
    </row>
    <row r="29193" spans="1:6" x14ac:dyDescent="0.25">
      <c r="A29193" s="2" t="str">
        <f t="shared" si="1045"/>
        <v>40220</v>
      </c>
      <c r="B29193" s="2" t="str">
        <f>"24010"</f>
        <v>24010</v>
      </c>
      <c r="C29193" s="1">
        <v>8.5062622594917804E-4</v>
      </c>
      <c r="D29193" s="1">
        <v>1.9610246353719799E-3</v>
      </c>
      <c r="E29193" s="1">
        <v>1.8709073900841899E-4</v>
      </c>
      <c r="F29193" s="1">
        <v>9.3195084656852304E-4</v>
      </c>
    </row>
    <row r="29194" spans="1:6" x14ac:dyDescent="0.25">
      <c r="A29194" s="2" t="str">
        <f t="shared" si="1045"/>
        <v>40220</v>
      </c>
      <c r="B29194" s="2" t="str">
        <f>"24090"</f>
        <v>24090</v>
      </c>
      <c r="C29194" s="1">
        <v>1.2422951673004E-2</v>
      </c>
      <c r="D29194" s="1">
        <v>4.9025615884299503E-3</v>
      </c>
      <c r="E29194" s="1">
        <v>4.30308699719363E-3</v>
      </c>
      <c r="F29194" s="1">
        <v>1.14959206223422E-2</v>
      </c>
    </row>
    <row r="29195" spans="1:6" x14ac:dyDescent="0.25">
      <c r="A29195" s="2" t="str">
        <f t="shared" si="1045"/>
        <v>40220</v>
      </c>
      <c r="B29195" s="2" t="str">
        <f>"24064"</f>
        <v>24064</v>
      </c>
      <c r="C29195" s="1">
        <v>9.1029702090382192E-3</v>
      </c>
      <c r="D29195" s="1">
        <v>2.6351268537810999E-3</v>
      </c>
      <c r="E29195" s="1">
        <v>3.7418147801683799E-4</v>
      </c>
      <c r="F29195" s="1">
        <v>8.2536245633224297E-3</v>
      </c>
    </row>
    <row r="29196" spans="1:6" x14ac:dyDescent="0.25">
      <c r="A29196" s="2" t="str">
        <f t="shared" si="1045"/>
        <v>40220</v>
      </c>
      <c r="B29196" s="2" t="str">
        <f>"24077"</f>
        <v>24077</v>
      </c>
      <c r="C29196" s="1">
        <v>4.7609676825513701E-3</v>
      </c>
      <c r="D29196" s="1">
        <v>7.0474322833680497E-3</v>
      </c>
      <c r="E29196" s="1">
        <v>5.79981290926099E-3</v>
      </c>
      <c r="F29196" s="1">
        <v>5.0001674163197398E-3</v>
      </c>
    </row>
    <row r="29197" spans="1:6" x14ac:dyDescent="0.25">
      <c r="A29197" s="2" t="str">
        <f t="shared" si="1045"/>
        <v>40220</v>
      </c>
      <c r="B29197" s="2" t="str">
        <f>"24020"</f>
        <v>24020</v>
      </c>
      <c r="C29197" s="1">
        <v>6.34795691006849E-6</v>
      </c>
      <c r="D29197" s="1">
        <v>7.5131756342688996E-2</v>
      </c>
      <c r="E29197" s="1">
        <v>1.8709073900841899E-4</v>
      </c>
      <c r="F29197" s="1">
        <v>6.8529080214739298E-3</v>
      </c>
    </row>
    <row r="29198" spans="1:6" x14ac:dyDescent="0.25">
      <c r="A29198" s="2" t="str">
        <f t="shared" si="1045"/>
        <v>40220</v>
      </c>
      <c r="B29198" s="2" t="str">
        <f>"24450"</f>
        <v>24450</v>
      </c>
      <c r="C29198" s="1">
        <v>1.26959138201369E-5</v>
      </c>
      <c r="D29198" s="1">
        <v>0</v>
      </c>
      <c r="E29198" s="1">
        <v>0</v>
      </c>
      <c r="F29198" s="1">
        <v>1.11610879828565E-5</v>
      </c>
    </row>
    <row r="29199" spans="1:6" x14ac:dyDescent="0.25">
      <c r="A29199" s="2" t="str">
        <f t="shared" si="1045"/>
        <v>40220</v>
      </c>
      <c r="B29199" s="2" t="str">
        <f>"24128"</f>
        <v>24128</v>
      </c>
      <c r="C29199" s="1">
        <v>1.52350965841643E-3</v>
      </c>
      <c r="D29199" s="1">
        <v>3.06410099276872E-4</v>
      </c>
      <c r="E29199" s="1">
        <v>0</v>
      </c>
      <c r="F29199" s="1">
        <v>1.3672332778999199E-3</v>
      </c>
    </row>
    <row r="29200" spans="1:6" x14ac:dyDescent="0.25">
      <c r="A29200" s="2" t="str">
        <f t="shared" si="1045"/>
        <v>40220</v>
      </c>
      <c r="B29200" s="2" t="str">
        <f>"24009"</f>
        <v>24009</v>
      </c>
      <c r="C29200" s="1">
        <v>7.7445074302835595E-4</v>
      </c>
      <c r="D29200" s="1">
        <v>1.5320504963843599E-3</v>
      </c>
      <c r="E29200" s="1">
        <v>1.8709073900841899E-4</v>
      </c>
      <c r="F29200" s="1">
        <v>8.2592051073138596E-4</v>
      </c>
    </row>
    <row r="29201" spans="1:6" x14ac:dyDescent="0.25">
      <c r="A29201" s="2" t="str">
        <f t="shared" si="1045"/>
        <v>40220</v>
      </c>
      <c r="B29201" s="2" t="str">
        <f>"24059"</f>
        <v>24059</v>
      </c>
      <c r="C29201" s="1">
        <v>2.9771917908221202E-3</v>
      </c>
      <c r="D29201" s="1">
        <v>5.51538178698369E-4</v>
      </c>
      <c r="E29201" s="1">
        <v>5.6127221702525695E-4</v>
      </c>
      <c r="F29201" s="1">
        <v>2.6842416598769998E-3</v>
      </c>
    </row>
    <row r="29202" spans="1:6" x14ac:dyDescent="0.25">
      <c r="A29202" s="2" t="str">
        <f t="shared" si="1045"/>
        <v>40220</v>
      </c>
      <c r="B29202" s="2" t="str">
        <f>"24038"</f>
        <v>24038</v>
      </c>
      <c r="C29202" s="1">
        <v>8.3158235521897195E-4</v>
      </c>
      <c r="D29202" s="1">
        <v>3.3092290721902099E-3</v>
      </c>
      <c r="E29202" s="1">
        <v>1.8709073900841899E-4</v>
      </c>
      <c r="F29202" s="1">
        <v>1.0379811824056599E-3</v>
      </c>
    </row>
    <row r="29203" spans="1:6" x14ac:dyDescent="0.25">
      <c r="A29203" s="2" t="str">
        <f t="shared" ref="A29203:A29213" si="1046">"40220"</f>
        <v>40220</v>
      </c>
      <c r="B29203" s="2" t="str">
        <f>"24017"</f>
        <v>24017</v>
      </c>
      <c r="C29203" s="1">
        <v>7.01068361147964E-2</v>
      </c>
      <c r="D29203" s="1">
        <v>5.1231768599093001E-2</v>
      </c>
      <c r="E29203" s="1">
        <v>8.4565014031805399E-2</v>
      </c>
      <c r="F29203" s="1">
        <v>6.8819268502293598E-2</v>
      </c>
    </row>
    <row r="29204" spans="1:6" x14ac:dyDescent="0.25">
      <c r="A29204" s="2" t="str">
        <f t="shared" si="1046"/>
        <v>40220</v>
      </c>
      <c r="B29204" s="2" t="str">
        <f>"24426"</f>
        <v>24426</v>
      </c>
      <c r="C29204" s="1">
        <v>8.25234398308904E-5</v>
      </c>
      <c r="D29204" s="1">
        <v>0</v>
      </c>
      <c r="E29204" s="1">
        <v>0</v>
      </c>
      <c r="F29204" s="1">
        <v>7.2547071888567604E-5</v>
      </c>
    </row>
    <row r="29205" spans="1:6" x14ac:dyDescent="0.25">
      <c r="A29205" s="2" t="str">
        <f t="shared" si="1046"/>
        <v>40220</v>
      </c>
      <c r="B29205" s="2" t="str">
        <f>"24179"</f>
        <v>24179</v>
      </c>
      <c r="C29205" s="1">
        <v>3.8151221029511601E-2</v>
      </c>
      <c r="D29205" s="1">
        <v>2.8312293173182901E-2</v>
      </c>
      <c r="E29205" s="1">
        <v>3.3489242282506999E-2</v>
      </c>
      <c r="F29205" s="1">
        <v>3.7116198086989502E-2</v>
      </c>
    </row>
    <row r="29206" spans="1:6" x14ac:dyDescent="0.25">
      <c r="A29206" s="2" t="str">
        <f t="shared" si="1046"/>
        <v>40220</v>
      </c>
      <c r="B29206" s="2" t="str">
        <f>"24146"</f>
        <v>24146</v>
      </c>
      <c r="C29206" s="1">
        <v>0</v>
      </c>
      <c r="D29206" s="1">
        <v>0</v>
      </c>
      <c r="E29206" s="1">
        <v>1.8709073900841899E-4</v>
      </c>
      <c r="F29206" s="1">
        <v>5.5805439914282804E-6</v>
      </c>
    </row>
    <row r="29207" spans="1:6" x14ac:dyDescent="0.25">
      <c r="A29207" s="2" t="str">
        <f t="shared" si="1046"/>
        <v>40220</v>
      </c>
      <c r="B29207" s="2" t="str">
        <f>"24131"</f>
        <v>24131</v>
      </c>
      <c r="C29207" s="1">
        <v>3.3644171623363001E-4</v>
      </c>
      <c r="D29207" s="1">
        <v>6.1282019855374398E-5</v>
      </c>
      <c r="E29207" s="1">
        <v>1.8709073900841899E-4</v>
      </c>
      <c r="F29207" s="1">
        <v>3.0692991952855503E-4</v>
      </c>
    </row>
    <row r="29208" spans="1:6" x14ac:dyDescent="0.25">
      <c r="A29208" s="2" t="str">
        <f t="shared" si="1046"/>
        <v>40220</v>
      </c>
      <c r="B29208" s="2" t="str">
        <f>"24004"</f>
        <v>24004</v>
      </c>
      <c r="C29208" s="1">
        <v>4.6340085443500001E-4</v>
      </c>
      <c r="D29208" s="1">
        <v>2.3287167545042202E-3</v>
      </c>
      <c r="E29208" s="1">
        <v>1.8709073900841899E-4</v>
      </c>
      <c r="F29208" s="1">
        <v>6.2502092703996704E-4</v>
      </c>
    </row>
    <row r="29209" spans="1:6" x14ac:dyDescent="0.25">
      <c r="A29209" s="2" t="str">
        <f t="shared" si="1046"/>
        <v>40220</v>
      </c>
      <c r="B29209" s="2" t="str">
        <f>"24013"</f>
        <v>24013</v>
      </c>
      <c r="C29209" s="1">
        <v>2.2617770470573999E-2</v>
      </c>
      <c r="D29209" s="1">
        <v>1.7526657678636998E-2</v>
      </c>
      <c r="E29209" s="1">
        <v>2.17025257249766E-2</v>
      </c>
      <c r="F29209" s="1">
        <v>2.21268569260131E-2</v>
      </c>
    </row>
    <row r="29210" spans="1:6" x14ac:dyDescent="0.25">
      <c r="A29210" s="2" t="str">
        <f t="shared" si="1046"/>
        <v>40220</v>
      </c>
      <c r="B29210" s="2" t="str">
        <f>"24085"</f>
        <v>24085</v>
      </c>
      <c r="C29210" s="1">
        <v>7.0144923856256796E-3</v>
      </c>
      <c r="D29210" s="1">
        <v>1.0417943375413601E-3</v>
      </c>
      <c r="E29210" s="1">
        <v>1.8709073900841899E-4</v>
      </c>
      <c r="F29210" s="1">
        <v>6.2669509023739597E-3</v>
      </c>
    </row>
    <row r="29211" spans="1:6" x14ac:dyDescent="0.25">
      <c r="A29211" s="2" t="str">
        <f t="shared" si="1046"/>
        <v>40220</v>
      </c>
      <c r="B29211" s="2" t="str">
        <f>"24066"</f>
        <v>24066</v>
      </c>
      <c r="C29211" s="1">
        <v>1.3203750372942399E-2</v>
      </c>
      <c r="D29211" s="1">
        <v>3.9833312905993299E-3</v>
      </c>
      <c r="E29211" s="1">
        <v>2.0579981290926E-3</v>
      </c>
      <c r="F29211" s="1">
        <v>1.2031652845519301E-2</v>
      </c>
    </row>
    <row r="29212" spans="1:6" x14ac:dyDescent="0.25">
      <c r="A29212" s="2" t="str">
        <f t="shared" si="1046"/>
        <v>40220</v>
      </c>
      <c r="B29212" s="2" t="str">
        <f>"24022"</f>
        <v>24022</v>
      </c>
      <c r="C29212" s="1">
        <v>2.38683179818575E-3</v>
      </c>
      <c r="D29212" s="1">
        <v>5.5766638068390703E-3</v>
      </c>
      <c r="E29212" s="1">
        <v>2.43217960710944E-3</v>
      </c>
      <c r="F29212" s="1">
        <v>2.67866111588557E-3</v>
      </c>
    </row>
    <row r="29213" spans="1:6" x14ac:dyDescent="0.25">
      <c r="A29213" s="2" t="str">
        <f t="shared" si="1046"/>
        <v>40220</v>
      </c>
      <c r="B29213" s="2" t="str">
        <f>"24034"</f>
        <v>24034</v>
      </c>
      <c r="C29213" s="1">
        <v>1.90438707302054E-4</v>
      </c>
      <c r="D29213" s="1">
        <v>6.7410221840911804E-4</v>
      </c>
      <c r="E29213" s="1">
        <v>1.8709073900841899E-4</v>
      </c>
      <c r="F29213" s="1">
        <v>2.34382847639987E-4</v>
      </c>
    </row>
    <row r="29214" spans="1:6" x14ac:dyDescent="0.25">
      <c r="A29214" s="2" t="str">
        <f t="shared" ref="A29214:A29249" si="1047">"17220"</f>
        <v>17220</v>
      </c>
      <c r="B29214" s="2" t="str">
        <f>"26369"</f>
        <v>26369</v>
      </c>
      <c r="C29214" s="1">
        <v>0</v>
      </c>
      <c r="D29214" s="1">
        <v>2.8785261945883699E-4</v>
      </c>
      <c r="E29214" s="1">
        <v>9.5238095238095195E-4</v>
      </c>
      <c r="F29214" s="1">
        <v>4.0098642660945898E-5</v>
      </c>
    </row>
    <row r="29215" spans="1:6" x14ac:dyDescent="0.25">
      <c r="A29215" s="2" t="str">
        <f t="shared" si="1047"/>
        <v>17220</v>
      </c>
      <c r="B29215" s="2" t="str">
        <f>"26361"</f>
        <v>26361</v>
      </c>
      <c r="C29215" s="1">
        <v>2.2049258042466801E-5</v>
      </c>
      <c r="D29215" s="1">
        <v>2.8785261945883699E-4</v>
      </c>
      <c r="E29215" s="1">
        <v>0</v>
      </c>
      <c r="F29215" s="1">
        <v>4.0098642660945898E-5</v>
      </c>
    </row>
    <row r="29216" spans="1:6" x14ac:dyDescent="0.25">
      <c r="A29216" s="2" t="str">
        <f t="shared" si="1047"/>
        <v>17220</v>
      </c>
      <c r="B29216" s="2" t="str">
        <f>"26354"</f>
        <v>26354</v>
      </c>
      <c r="C29216" s="1">
        <v>0.15588825436024001</v>
      </c>
      <c r="D29216" s="1">
        <v>0.100460564191134</v>
      </c>
      <c r="E29216" s="1">
        <v>0.103809523809523</v>
      </c>
      <c r="F29216" s="1">
        <v>0.15093129097579999</v>
      </c>
    </row>
    <row r="29217" spans="1:6" x14ac:dyDescent="0.25">
      <c r="A29217" s="2" t="str">
        <f t="shared" si="1047"/>
        <v>17220</v>
      </c>
      <c r="B29217" s="2" t="str">
        <f>"26330"</f>
        <v>26330</v>
      </c>
      <c r="C29217" s="1">
        <v>0.16585451899543499</v>
      </c>
      <c r="D29217" s="1">
        <v>0.27835348301669499</v>
      </c>
      <c r="E29217" s="1">
        <v>0.32</v>
      </c>
      <c r="F29217" s="1">
        <v>0.17693526074142299</v>
      </c>
    </row>
    <row r="29218" spans="1:6" x14ac:dyDescent="0.25">
      <c r="A29218" s="2" t="str">
        <f t="shared" si="1047"/>
        <v>17220</v>
      </c>
      <c r="B29218" s="2" t="str">
        <f>"26301"</f>
        <v>26301</v>
      </c>
      <c r="C29218" s="1">
        <v>0.337485943597997</v>
      </c>
      <c r="D29218" s="1">
        <v>0.42803684513529</v>
      </c>
      <c r="E29218" s="1">
        <v>0.41714285714285698</v>
      </c>
      <c r="F29218" s="1">
        <v>0.34546985584537898</v>
      </c>
    </row>
    <row r="29219" spans="1:6" x14ac:dyDescent="0.25">
      <c r="A29219" s="2" t="str">
        <f t="shared" si="1047"/>
        <v>17220</v>
      </c>
      <c r="B29219" s="2" t="str">
        <f>"26422"</f>
        <v>26422</v>
      </c>
      <c r="C29219" s="1">
        <v>0</v>
      </c>
      <c r="D29219" s="1">
        <v>2.8785261945883699E-4</v>
      </c>
      <c r="E29219" s="1">
        <v>0</v>
      </c>
      <c r="F29219" s="1">
        <v>2.0049321330472902E-5</v>
      </c>
    </row>
    <row r="29220" spans="1:6" x14ac:dyDescent="0.25">
      <c r="A29220" s="2" t="str">
        <f t="shared" si="1047"/>
        <v>17220</v>
      </c>
      <c r="B29220" s="2" t="str">
        <f>"26416"</f>
        <v>26416</v>
      </c>
      <c r="C29220" s="1">
        <v>1.9844332238220101E-4</v>
      </c>
      <c r="D29220" s="1">
        <v>0</v>
      </c>
      <c r="E29220" s="1">
        <v>0</v>
      </c>
      <c r="F29220" s="1">
        <v>1.8044389197425601E-4</v>
      </c>
    </row>
    <row r="29221" spans="1:6" x14ac:dyDescent="0.25">
      <c r="A29221" s="2" t="str">
        <f t="shared" si="1047"/>
        <v>17220</v>
      </c>
      <c r="B29221" s="2" t="str">
        <f>"26438"</f>
        <v>26438</v>
      </c>
      <c r="C29221" s="1">
        <v>1.9182854496946099E-3</v>
      </c>
      <c r="D29221" s="1">
        <v>2.8785261945883699E-4</v>
      </c>
      <c r="E29221" s="1">
        <v>0</v>
      </c>
      <c r="F29221" s="1">
        <v>1.7643402770816199E-3</v>
      </c>
    </row>
    <row r="29222" spans="1:6" x14ac:dyDescent="0.25">
      <c r="A29222" s="2" t="str">
        <f t="shared" si="1047"/>
        <v>17220</v>
      </c>
      <c r="B29222" s="2" t="str">
        <f>"26440"</f>
        <v>26440</v>
      </c>
      <c r="C29222" s="1">
        <v>7.4526492183537999E-3</v>
      </c>
      <c r="D29222" s="1">
        <v>1.72711571675302E-3</v>
      </c>
      <c r="E29222" s="1">
        <v>0</v>
      </c>
      <c r="F29222" s="1">
        <v>6.8969665376826901E-3</v>
      </c>
    </row>
    <row r="29223" spans="1:6" x14ac:dyDescent="0.25">
      <c r="A29223" s="2" t="str">
        <f t="shared" si="1047"/>
        <v>17220</v>
      </c>
      <c r="B29223" s="2" t="str">
        <f>"26366"</f>
        <v>26366</v>
      </c>
      <c r="C29223" s="1">
        <v>0</v>
      </c>
      <c r="D29223" s="1">
        <v>2.8785261945883699E-4</v>
      </c>
      <c r="E29223" s="1">
        <v>0</v>
      </c>
      <c r="F29223" s="1">
        <v>2.0049321330472902E-5</v>
      </c>
    </row>
    <row r="29224" spans="1:6" x14ac:dyDescent="0.25">
      <c r="A29224" s="2" t="str">
        <f t="shared" si="1047"/>
        <v>17220</v>
      </c>
      <c r="B29224" s="2" t="str">
        <f>"26411"</f>
        <v>26411</v>
      </c>
      <c r="C29224" s="1">
        <v>7.5849447666086001E-3</v>
      </c>
      <c r="D29224" s="1">
        <v>2.3028209556706898E-3</v>
      </c>
      <c r="E29224" s="1">
        <v>0</v>
      </c>
      <c r="F29224" s="1">
        <v>7.0573611083264796E-3</v>
      </c>
    </row>
    <row r="29225" spans="1:6" x14ac:dyDescent="0.25">
      <c r="A29225" s="2" t="str">
        <f t="shared" si="1047"/>
        <v>17220</v>
      </c>
      <c r="B29225" s="2" t="str">
        <f>"26378"</f>
        <v>26378</v>
      </c>
      <c r="C29225" s="1">
        <v>8.4669150883072697E-3</v>
      </c>
      <c r="D29225" s="1">
        <v>5.7570523891767398E-4</v>
      </c>
      <c r="E29225" s="1">
        <v>0</v>
      </c>
      <c r="F29225" s="1">
        <v>7.73903803356256E-3</v>
      </c>
    </row>
    <row r="29226" spans="1:6" x14ac:dyDescent="0.25">
      <c r="A29226" s="2" t="str">
        <f t="shared" si="1047"/>
        <v>17220</v>
      </c>
      <c r="B29226" s="2" t="str">
        <f>"26339"</f>
        <v>26339</v>
      </c>
      <c r="C29226" s="1">
        <v>2.55771393292615E-3</v>
      </c>
      <c r="D29226" s="1">
        <v>0</v>
      </c>
      <c r="E29226" s="1">
        <v>9.5238095238095195E-4</v>
      </c>
      <c r="F29226" s="1">
        <v>2.3457705956653301E-3</v>
      </c>
    </row>
    <row r="29227" spans="1:6" x14ac:dyDescent="0.25">
      <c r="A29227" s="2" t="str">
        <f t="shared" si="1047"/>
        <v>17220</v>
      </c>
      <c r="B29227" s="2" t="str">
        <f>"26443"</f>
        <v>26443</v>
      </c>
      <c r="C29227" s="1">
        <v>3.3073887063700299E-4</v>
      </c>
      <c r="D29227" s="1">
        <v>0</v>
      </c>
      <c r="E29227" s="1">
        <v>0</v>
      </c>
      <c r="F29227" s="1">
        <v>3.0073981995709398E-4</v>
      </c>
    </row>
    <row r="29228" spans="1:6" x14ac:dyDescent="0.25">
      <c r="A29228" s="2" t="str">
        <f t="shared" si="1047"/>
        <v>17220</v>
      </c>
      <c r="B29228" s="2" t="str">
        <f>"26456"</f>
        <v>26456</v>
      </c>
      <c r="C29228" s="1">
        <v>5.1440919013075202E-2</v>
      </c>
      <c r="D29228" s="1">
        <v>4.5768566493954999E-2</v>
      </c>
      <c r="E29228" s="1">
        <v>2.47619047619047E-2</v>
      </c>
      <c r="F29228" s="1">
        <v>5.0484191110130902E-2</v>
      </c>
    </row>
    <row r="29229" spans="1:6" x14ac:dyDescent="0.25">
      <c r="A29229" s="2" t="str">
        <f t="shared" si="1047"/>
        <v>17220</v>
      </c>
      <c r="B29229" s="2" t="str">
        <f>"26448"</f>
        <v>26448</v>
      </c>
      <c r="C29229" s="1">
        <v>1.20609441492293E-2</v>
      </c>
      <c r="D29229" s="1">
        <v>1.72711571675302E-3</v>
      </c>
      <c r="E29229" s="1">
        <v>0</v>
      </c>
      <c r="F29229" s="1">
        <v>1.1087274695751499E-2</v>
      </c>
    </row>
    <row r="29230" spans="1:6" x14ac:dyDescent="0.25">
      <c r="A29230" s="2" t="str">
        <f t="shared" si="1047"/>
        <v>17220</v>
      </c>
      <c r="B29230" s="2" t="str">
        <f>"26385"</f>
        <v>26385</v>
      </c>
      <c r="C29230" s="1">
        <v>3.0868961259453601E-2</v>
      </c>
      <c r="D29230" s="1">
        <v>7.19631548647092E-3</v>
      </c>
      <c r="E29230" s="1">
        <v>9.5238095238095195E-4</v>
      </c>
      <c r="F29230" s="1">
        <v>2.8590332217254402E-2</v>
      </c>
    </row>
    <row r="29231" spans="1:6" x14ac:dyDescent="0.25">
      <c r="A29231" s="2" t="str">
        <f t="shared" si="1047"/>
        <v>17220</v>
      </c>
      <c r="B29231" s="2" t="str">
        <f>"26321"</f>
        <v>26321</v>
      </c>
      <c r="C29231" s="1">
        <v>2.6459109650960202E-4</v>
      </c>
      <c r="D29231" s="1">
        <v>0</v>
      </c>
      <c r="E29231" s="1">
        <v>0</v>
      </c>
      <c r="F29231" s="1">
        <v>2.4059185596567501E-4</v>
      </c>
    </row>
    <row r="29232" spans="1:6" x14ac:dyDescent="0.25">
      <c r="A29232" s="2" t="str">
        <f t="shared" si="1047"/>
        <v>17220</v>
      </c>
      <c r="B29232" s="2" t="str">
        <f>"26306"</f>
        <v>26306</v>
      </c>
      <c r="C29232" s="1">
        <v>0</v>
      </c>
      <c r="D29232" s="1">
        <v>2.8785261945883699E-4</v>
      </c>
      <c r="E29232" s="1">
        <v>0</v>
      </c>
      <c r="F29232" s="1">
        <v>2.0049321330472902E-5</v>
      </c>
    </row>
    <row r="29233" spans="1:6" x14ac:dyDescent="0.25">
      <c r="A29233" s="2" t="str">
        <f t="shared" si="1047"/>
        <v>17220</v>
      </c>
      <c r="B29233" s="2" t="str">
        <f>"26436"</f>
        <v>26436</v>
      </c>
      <c r="C29233" s="1">
        <v>0</v>
      </c>
      <c r="D29233" s="1">
        <v>2.8785261945883699E-4</v>
      </c>
      <c r="E29233" s="1">
        <v>0</v>
      </c>
      <c r="F29233" s="1">
        <v>2.0049321330472902E-5</v>
      </c>
    </row>
    <row r="29234" spans="1:6" x14ac:dyDescent="0.25">
      <c r="A29234" s="2" t="str">
        <f t="shared" si="1047"/>
        <v>17220</v>
      </c>
      <c r="B29234" s="2" t="str">
        <f>"26568"</f>
        <v>26568</v>
      </c>
      <c r="C29234" s="1">
        <v>3.7924723833043E-3</v>
      </c>
      <c r="D29234" s="1">
        <v>5.7570523891767398E-4</v>
      </c>
      <c r="E29234" s="1">
        <v>9.5238095238095195E-4</v>
      </c>
      <c r="F29234" s="1">
        <v>3.5086312328327599E-3</v>
      </c>
    </row>
    <row r="29235" spans="1:6" x14ac:dyDescent="0.25">
      <c r="A29235" s="2" t="str">
        <f t="shared" si="1047"/>
        <v>17220</v>
      </c>
      <c r="B29235" s="2" t="str">
        <f>"26554"</f>
        <v>26554</v>
      </c>
      <c r="C29235" s="1">
        <v>9.1283928295812795E-3</v>
      </c>
      <c r="D29235" s="1">
        <v>1.43926309729418E-3</v>
      </c>
      <c r="E29235" s="1">
        <v>0</v>
      </c>
      <c r="F29235" s="1">
        <v>8.4006656374681701E-3</v>
      </c>
    </row>
    <row r="29236" spans="1:6" x14ac:dyDescent="0.25">
      <c r="A29236" s="2" t="str">
        <f t="shared" si="1047"/>
        <v>17220</v>
      </c>
      <c r="B29236" s="2" t="str">
        <f>"26451"</f>
        <v>26451</v>
      </c>
      <c r="C29236" s="1">
        <v>1.36705399863294E-3</v>
      </c>
      <c r="D29236" s="1">
        <v>5.7570523891767398E-4</v>
      </c>
      <c r="E29236" s="1">
        <v>0</v>
      </c>
      <c r="F29236" s="1">
        <v>1.2831565651502601E-3</v>
      </c>
    </row>
    <row r="29237" spans="1:6" x14ac:dyDescent="0.25">
      <c r="A29237" s="2" t="str">
        <f t="shared" si="1047"/>
        <v>17220</v>
      </c>
      <c r="B29237" s="2" t="str">
        <f>"26408"</f>
        <v>26408</v>
      </c>
      <c r="C29237" s="1">
        <v>2.5577139329261499E-2</v>
      </c>
      <c r="D29237" s="1">
        <v>1.72711571675302E-2</v>
      </c>
      <c r="E29237" s="1">
        <v>7.6190476190476104E-3</v>
      </c>
      <c r="F29237" s="1">
        <v>2.4620566593820701E-2</v>
      </c>
    </row>
    <row r="29238" spans="1:6" x14ac:dyDescent="0.25">
      <c r="A29238" s="2" t="str">
        <f t="shared" si="1047"/>
        <v>17220</v>
      </c>
      <c r="B29238" s="2" t="str">
        <f>"26386"</f>
        <v>26386</v>
      </c>
      <c r="C29238" s="1">
        <v>1.17743037946773E-2</v>
      </c>
      <c r="D29238" s="1">
        <v>3.1663788140471999E-3</v>
      </c>
      <c r="E29238" s="1">
        <v>0</v>
      </c>
      <c r="F29238" s="1">
        <v>1.09268801251077E-2</v>
      </c>
    </row>
    <row r="29239" spans="1:6" x14ac:dyDescent="0.25">
      <c r="A29239" s="2" t="str">
        <f t="shared" si="1047"/>
        <v>17220</v>
      </c>
      <c r="B29239" s="2" t="str">
        <f>"26347"</f>
        <v>26347</v>
      </c>
      <c r="C29239" s="1">
        <v>1.9932529270389999E-2</v>
      </c>
      <c r="D29239" s="1">
        <v>6.0449050086355703E-3</v>
      </c>
      <c r="E29239" s="1">
        <v>0</v>
      </c>
      <c r="F29239" s="1">
        <v>1.8545622230687401E-2</v>
      </c>
    </row>
    <row r="29240" spans="1:6" x14ac:dyDescent="0.25">
      <c r="A29240" s="2" t="str">
        <f t="shared" si="1047"/>
        <v>17220</v>
      </c>
      <c r="B29240" s="2" t="str">
        <f>"26435"</f>
        <v>26435</v>
      </c>
      <c r="C29240" s="1">
        <v>0</v>
      </c>
      <c r="D29240" s="1">
        <v>2.8785261945883699E-4</v>
      </c>
      <c r="E29240" s="1">
        <v>0</v>
      </c>
      <c r="F29240" s="1">
        <v>2.0049321330472902E-5</v>
      </c>
    </row>
    <row r="29241" spans="1:6" x14ac:dyDescent="0.25">
      <c r="A29241" s="2" t="str">
        <f t="shared" si="1047"/>
        <v>17220</v>
      </c>
      <c r="B29241" s="2" t="str">
        <f>"26415"</f>
        <v>26415</v>
      </c>
      <c r="C29241" s="1">
        <v>6.5706788966551199E-3</v>
      </c>
      <c r="D29241" s="1">
        <v>2.3028209556706898E-3</v>
      </c>
      <c r="E29241" s="1">
        <v>9.5238095238095195E-4</v>
      </c>
      <c r="F29241" s="1">
        <v>6.15514164845519E-3</v>
      </c>
    </row>
    <row r="29242" spans="1:6" x14ac:dyDescent="0.25">
      <c r="A29242" s="2" t="str">
        <f t="shared" si="1047"/>
        <v>17220</v>
      </c>
      <c r="B29242" s="2" t="str">
        <f>"26431"</f>
        <v>26431</v>
      </c>
      <c r="C29242" s="1">
        <v>6.4295636451833296E-2</v>
      </c>
      <c r="D29242" s="1">
        <v>5.4691997697179001E-2</v>
      </c>
      <c r="E29242" s="1">
        <v>8.8571428571428495E-2</v>
      </c>
      <c r="F29242" s="1">
        <v>6.4137778936182999E-2</v>
      </c>
    </row>
    <row r="29243" spans="1:6" x14ac:dyDescent="0.25">
      <c r="A29243" s="2" t="str">
        <f t="shared" si="1047"/>
        <v>17220</v>
      </c>
      <c r="B29243" s="2" t="str">
        <f>"26424"</f>
        <v>26424</v>
      </c>
      <c r="C29243" s="1">
        <v>2.2049258042466801E-5</v>
      </c>
      <c r="D29243" s="1">
        <v>2.8785261945883699E-4</v>
      </c>
      <c r="E29243" s="1">
        <v>0</v>
      </c>
      <c r="F29243" s="1">
        <v>4.0098642660945898E-5</v>
      </c>
    </row>
    <row r="29244" spans="1:6" x14ac:dyDescent="0.25">
      <c r="A29244" s="2" t="str">
        <f t="shared" si="1047"/>
        <v>17220</v>
      </c>
      <c r="B29244" s="2" t="str">
        <f>"26404"</f>
        <v>26404</v>
      </c>
      <c r="C29244" s="1">
        <v>1.76394064339734E-3</v>
      </c>
      <c r="D29244" s="1">
        <v>1.43926309729418E-3</v>
      </c>
      <c r="E29244" s="1">
        <v>0</v>
      </c>
      <c r="F29244" s="1">
        <v>1.7041923130902E-3</v>
      </c>
    </row>
    <row r="29245" spans="1:6" x14ac:dyDescent="0.25">
      <c r="A29245" s="2" t="str">
        <f t="shared" si="1047"/>
        <v>17220</v>
      </c>
      <c r="B29245" s="2" t="str">
        <f>"26426"</f>
        <v>26426</v>
      </c>
      <c r="C29245" s="1">
        <v>6.9763852446365099E-2</v>
      </c>
      <c r="D29245" s="1">
        <v>4.2602187679907803E-2</v>
      </c>
      <c r="E29245" s="1">
        <v>3.3333333333333298E-2</v>
      </c>
      <c r="F29245" s="1">
        <v>6.7105078493092996E-2</v>
      </c>
    </row>
    <row r="29246" spans="1:6" x14ac:dyDescent="0.25">
      <c r="A29246" s="2" t="str">
        <f t="shared" si="1047"/>
        <v>17220</v>
      </c>
      <c r="B29246" s="2" t="str">
        <f>"26374"</f>
        <v>26374</v>
      </c>
      <c r="C29246" s="1">
        <v>1.76394064339734E-3</v>
      </c>
      <c r="D29246" s="1">
        <v>2.8785261945883699E-4</v>
      </c>
      <c r="E29246" s="1">
        <v>0</v>
      </c>
      <c r="F29246" s="1">
        <v>1.62399502776831E-3</v>
      </c>
    </row>
    <row r="29247" spans="1:6" x14ac:dyDescent="0.25">
      <c r="A29247" s="2" t="str">
        <f t="shared" si="1047"/>
        <v>17220</v>
      </c>
      <c r="B29247" s="2" t="str">
        <f>"26323"</f>
        <v>26323</v>
      </c>
      <c r="C29247" s="1">
        <v>2.2049258042466801E-5</v>
      </c>
      <c r="D29247" s="1">
        <v>2.8785261945883699E-4</v>
      </c>
      <c r="E29247" s="1">
        <v>0</v>
      </c>
      <c r="F29247" s="1">
        <v>4.0098642660945898E-5</v>
      </c>
    </row>
    <row r="29248" spans="1:6" x14ac:dyDescent="0.25">
      <c r="A29248" s="2" t="str">
        <f t="shared" si="1047"/>
        <v>17220</v>
      </c>
      <c r="B29248" s="2" t="str">
        <f>"26582"</f>
        <v>26582</v>
      </c>
      <c r="C29248" s="1">
        <v>1.8300884175247499E-3</v>
      </c>
      <c r="D29248" s="1">
        <v>2.8785261945883699E-4</v>
      </c>
      <c r="E29248" s="1">
        <v>0</v>
      </c>
      <c r="F29248" s="1">
        <v>1.6841429917597199E-3</v>
      </c>
    </row>
    <row r="29249" spans="1:6" x14ac:dyDescent="0.25">
      <c r="A29249" s="2" t="str">
        <f t="shared" si="1047"/>
        <v>17220</v>
      </c>
      <c r="B29249" s="2" t="str">
        <f>"26463"</f>
        <v>26463</v>
      </c>
      <c r="C29249" s="1">
        <v>0</v>
      </c>
      <c r="D29249" s="1">
        <v>2.8785261945883699E-4</v>
      </c>
      <c r="E29249" s="1">
        <v>0</v>
      </c>
      <c r="F29249" s="1">
        <v>2.0049321330472902E-5</v>
      </c>
    </row>
    <row r="29250" spans="1:6" x14ac:dyDescent="0.25">
      <c r="A29250" s="2" t="str">
        <f t="shared" ref="A29250:A29281" si="1048">"49180"</f>
        <v>49180</v>
      </c>
      <c r="B29250" s="2" t="str">
        <f>"27102"</f>
        <v>27102</v>
      </c>
      <c r="C29250" s="1">
        <v>2.1216386132225699E-3</v>
      </c>
      <c r="D29250" s="1">
        <v>7.3670723894939099E-3</v>
      </c>
      <c r="E29250" s="1">
        <v>8.9206066012488796E-5</v>
      </c>
      <c r="F29250" s="1">
        <v>2.4561055024815998E-3</v>
      </c>
    </row>
    <row r="29251" spans="1:6" x14ac:dyDescent="0.25">
      <c r="A29251" s="2" t="str">
        <f t="shared" si="1048"/>
        <v>49180</v>
      </c>
      <c r="B29251" s="2" t="str">
        <f>"27101"</f>
        <v>27101</v>
      </c>
      <c r="C29251" s="1">
        <v>3.5815780549945497E-2</v>
      </c>
      <c r="D29251" s="1">
        <v>9.5416043846537096E-2</v>
      </c>
      <c r="E29251" s="1">
        <v>0.10330062444246201</v>
      </c>
      <c r="F29251" s="1">
        <v>4.2341648301797603E-2</v>
      </c>
    </row>
    <row r="29252" spans="1:6" x14ac:dyDescent="0.25">
      <c r="A29252" s="2" t="str">
        <f t="shared" si="1048"/>
        <v>49180</v>
      </c>
      <c r="B29252" s="2" t="str">
        <f>"27051"</f>
        <v>27051</v>
      </c>
      <c r="C29252" s="1">
        <v>1.5058532618318099E-2</v>
      </c>
      <c r="D29252" s="1">
        <v>1.00718912378105E-2</v>
      </c>
      <c r="E29252" s="1">
        <v>7.4041034790365704E-3</v>
      </c>
      <c r="F29252" s="1">
        <v>1.44521005741649E-2</v>
      </c>
    </row>
    <row r="29253" spans="1:6" x14ac:dyDescent="0.25">
      <c r="A29253" s="2" t="str">
        <f t="shared" si="1048"/>
        <v>49180</v>
      </c>
      <c r="B29253" s="2" t="str">
        <f>"27155"</f>
        <v>27155</v>
      </c>
      <c r="C29253" s="1">
        <v>0</v>
      </c>
      <c r="D29253" s="1">
        <v>0</v>
      </c>
      <c r="E29253" s="1">
        <v>1.78412132024977E-4</v>
      </c>
      <c r="F29253" s="1">
        <v>5.3685366174461302E-6</v>
      </c>
    </row>
    <row r="29254" spans="1:6" x14ac:dyDescent="0.25">
      <c r="A29254" s="2" t="str">
        <f t="shared" si="1048"/>
        <v>49180</v>
      </c>
      <c r="B29254" s="2" t="str">
        <f>"27120"</f>
        <v>27120</v>
      </c>
      <c r="C29254" s="1">
        <v>1.64449499299289E-3</v>
      </c>
      <c r="D29254" s="1">
        <v>1.1175172610150099E-2</v>
      </c>
      <c r="E29254" s="1">
        <v>8.9206066012488796E-5</v>
      </c>
      <c r="F29254" s="1">
        <v>2.3165235504280001E-3</v>
      </c>
    </row>
    <row r="29255" spans="1:6" x14ac:dyDescent="0.25">
      <c r="A29255" s="2" t="str">
        <f t="shared" si="1048"/>
        <v>49180</v>
      </c>
      <c r="B29255" s="2" t="str">
        <f>"27020"</f>
        <v>27020</v>
      </c>
      <c r="C29255" s="1">
        <v>7.6733096662095204E-3</v>
      </c>
      <c r="D29255" s="1">
        <v>3.7725104989678902E-3</v>
      </c>
      <c r="E29255" s="1">
        <v>9.8126672613737696E-4</v>
      </c>
      <c r="F29255" s="1">
        <v>7.1777334575254797E-3</v>
      </c>
    </row>
    <row r="29256" spans="1:6" x14ac:dyDescent="0.25">
      <c r="A29256" s="2" t="str">
        <f t="shared" si="1048"/>
        <v>49180</v>
      </c>
      <c r="B29256" s="2" t="str">
        <f>"27019"</f>
        <v>27019</v>
      </c>
      <c r="C29256" s="1">
        <v>5.7587333787470002E-3</v>
      </c>
      <c r="D29256" s="1">
        <v>1.8862552494839399E-3</v>
      </c>
      <c r="E29256" s="1">
        <v>5.3523639607493297E-4</v>
      </c>
      <c r="F29256" s="1">
        <v>5.3094827146542203E-3</v>
      </c>
    </row>
    <row r="29257" spans="1:6" x14ac:dyDescent="0.25">
      <c r="A29257" s="2" t="str">
        <f t="shared" si="1048"/>
        <v>49180</v>
      </c>
      <c r="B29257" s="2" t="str">
        <f>"28625"</f>
        <v>28625</v>
      </c>
      <c r="C29257" s="1">
        <v>4.5013549078272498E-5</v>
      </c>
      <c r="D29257" s="1">
        <v>0</v>
      </c>
      <c r="E29257" s="1">
        <v>0</v>
      </c>
      <c r="F29257" s="1">
        <v>4.0264024630846E-5</v>
      </c>
    </row>
    <row r="29258" spans="1:6" x14ac:dyDescent="0.25">
      <c r="A29258" s="2" t="str">
        <f t="shared" si="1048"/>
        <v>49180</v>
      </c>
      <c r="B29258" s="2" t="str">
        <f>"27285"</f>
        <v>27285</v>
      </c>
      <c r="C29258" s="1">
        <v>3.49305140847395E-3</v>
      </c>
      <c r="D29258" s="1">
        <v>1.91116805466581E-2</v>
      </c>
      <c r="E29258" s="1">
        <v>8.9206066012488796E-5</v>
      </c>
      <c r="F29258" s="1">
        <v>4.5686246614466504E-3</v>
      </c>
    </row>
    <row r="29259" spans="1:6" x14ac:dyDescent="0.25">
      <c r="A29259" s="2" t="str">
        <f t="shared" si="1048"/>
        <v>49180</v>
      </c>
      <c r="B29259" s="2" t="str">
        <f>"27351"</f>
        <v>27351</v>
      </c>
      <c r="C29259" s="1">
        <v>1.8305509958497499E-3</v>
      </c>
      <c r="D29259" s="1">
        <v>1.9218449711723201E-3</v>
      </c>
      <c r="E29259" s="1">
        <v>1.78412132024977E-4</v>
      </c>
      <c r="F29259" s="1">
        <v>1.78772269360956E-3</v>
      </c>
    </row>
    <row r="29260" spans="1:6" x14ac:dyDescent="0.25">
      <c r="A29260" s="2" t="str">
        <f t="shared" si="1048"/>
        <v>49180</v>
      </c>
      <c r="B29260" s="2" t="str">
        <f>"27052"</f>
        <v>27052</v>
      </c>
      <c r="C29260" s="1">
        <v>1.4356321252697E-2</v>
      </c>
      <c r="D29260" s="1">
        <v>6.2637910171542402E-3</v>
      </c>
      <c r="E29260" s="1">
        <v>8.8314005352363896E-3</v>
      </c>
      <c r="F29260" s="1">
        <v>1.35797133738299E-2</v>
      </c>
    </row>
    <row r="29261" spans="1:6" x14ac:dyDescent="0.25">
      <c r="A29261" s="2" t="str">
        <f t="shared" si="1048"/>
        <v>49180</v>
      </c>
      <c r="B29261" s="2" t="str">
        <f>"27199"</f>
        <v>27199</v>
      </c>
      <c r="C29261" s="1">
        <v>0</v>
      </c>
      <c r="D29261" s="1">
        <v>0</v>
      </c>
      <c r="E29261" s="1">
        <v>8.9206066012488796E-5</v>
      </c>
      <c r="F29261" s="1">
        <v>2.68426830872306E-6</v>
      </c>
    </row>
    <row r="29262" spans="1:6" x14ac:dyDescent="0.25">
      <c r="A29262" s="2" t="str">
        <f t="shared" si="1048"/>
        <v>49180</v>
      </c>
      <c r="B29262" s="2" t="str">
        <f>"27116"</f>
        <v>27116</v>
      </c>
      <c r="C29262" s="1">
        <v>2.2836873899043601E-3</v>
      </c>
      <c r="D29262" s="1">
        <v>9.8939426293686294E-3</v>
      </c>
      <c r="E29262" s="1">
        <v>8.9206066012488796E-5</v>
      </c>
      <c r="F29262" s="1">
        <v>2.7916390410719799E-3</v>
      </c>
    </row>
    <row r="29263" spans="1:6" x14ac:dyDescent="0.25">
      <c r="A29263" s="2" t="str">
        <f t="shared" si="1048"/>
        <v>49180</v>
      </c>
      <c r="B29263" s="2" t="str">
        <f>"27150"</f>
        <v>27150</v>
      </c>
      <c r="C29263" s="1">
        <v>0</v>
      </c>
      <c r="D29263" s="1">
        <v>0</v>
      </c>
      <c r="E29263" s="1">
        <v>1.78412132024977E-4</v>
      </c>
      <c r="F29263" s="1">
        <v>5.3685366174461302E-6</v>
      </c>
    </row>
    <row r="29264" spans="1:6" x14ac:dyDescent="0.25">
      <c r="A29264" s="2" t="str">
        <f t="shared" si="1048"/>
        <v>49180</v>
      </c>
      <c r="B29264" s="2" t="str">
        <f>"27115"</f>
        <v>27115</v>
      </c>
      <c r="C29264" s="1">
        <v>2.73982468723085E-3</v>
      </c>
      <c r="D29264" s="1">
        <v>8.2212257100149396E-3</v>
      </c>
      <c r="E29264" s="1">
        <v>8.9206066012488796E-5</v>
      </c>
      <c r="F29264" s="1">
        <v>3.0734872134879098E-3</v>
      </c>
    </row>
    <row r="29265" spans="1:6" x14ac:dyDescent="0.25">
      <c r="A29265" s="2" t="str">
        <f t="shared" si="1048"/>
        <v>49180</v>
      </c>
      <c r="B29265" s="2" t="str">
        <f>"27010"</f>
        <v>27010</v>
      </c>
      <c r="C29265" s="1">
        <v>7.1121407543670598E-4</v>
      </c>
      <c r="D29265" s="1">
        <v>1.53035803260018E-3</v>
      </c>
      <c r="E29265" s="1">
        <v>1.78412132024977E-4</v>
      </c>
      <c r="F29265" s="1">
        <v>7.56963663059904E-4</v>
      </c>
    </row>
    <row r="29266" spans="1:6" x14ac:dyDescent="0.25">
      <c r="A29266" s="2" t="str">
        <f t="shared" si="1048"/>
        <v>49180</v>
      </c>
      <c r="B29266" s="2" t="str">
        <f>"28642"</f>
        <v>28642</v>
      </c>
      <c r="C29266" s="1">
        <v>7.9223846377759703E-3</v>
      </c>
      <c r="D29266" s="1">
        <v>1.02854295679407E-2</v>
      </c>
      <c r="E29266" s="1">
        <v>2.3193577163247098E-3</v>
      </c>
      <c r="F29266" s="1">
        <v>7.9320128522766594E-3</v>
      </c>
    </row>
    <row r="29267" spans="1:6" x14ac:dyDescent="0.25">
      <c r="A29267" s="2" t="str">
        <f t="shared" si="1048"/>
        <v>49180</v>
      </c>
      <c r="B29267" s="2" t="str">
        <f>"28634"</f>
        <v>28634</v>
      </c>
      <c r="C29267" s="1">
        <v>5.7317252493000305E-4</v>
      </c>
      <c r="D29267" s="1">
        <v>1.42358886753505E-4</v>
      </c>
      <c r="E29267" s="1">
        <v>0</v>
      </c>
      <c r="F29267" s="1">
        <v>5.2343232020099799E-4</v>
      </c>
    </row>
    <row r="29268" spans="1:6" x14ac:dyDescent="0.25">
      <c r="A29268" s="2" t="str">
        <f t="shared" si="1048"/>
        <v>49180</v>
      </c>
      <c r="B29268" s="2" t="str">
        <f>"27294"</f>
        <v>27294</v>
      </c>
      <c r="C29268" s="1">
        <v>0</v>
      </c>
      <c r="D29268" s="1">
        <v>0</v>
      </c>
      <c r="E29268" s="1">
        <v>1.78412132024977E-4</v>
      </c>
      <c r="F29268" s="1">
        <v>5.3685366174461302E-6</v>
      </c>
    </row>
    <row r="29269" spans="1:6" x14ac:dyDescent="0.25">
      <c r="A29269" s="2" t="str">
        <f t="shared" si="1048"/>
        <v>49180</v>
      </c>
      <c r="B29269" s="2" t="str">
        <f>"27099"</f>
        <v>27099</v>
      </c>
      <c r="C29269" s="1">
        <v>0</v>
      </c>
      <c r="D29269" s="1">
        <v>0</v>
      </c>
      <c r="E29269" s="1">
        <v>8.9206066012488796E-5</v>
      </c>
      <c r="F29269" s="1">
        <v>2.68426830872306E-6</v>
      </c>
    </row>
    <row r="29270" spans="1:6" x14ac:dyDescent="0.25">
      <c r="A29270" s="2" t="str">
        <f t="shared" si="1048"/>
        <v>49180</v>
      </c>
      <c r="B29270" s="2" t="str">
        <f>"27050"</f>
        <v>27050</v>
      </c>
      <c r="C29270" s="1">
        <v>5.7767387983783097E-3</v>
      </c>
      <c r="D29270" s="1">
        <v>1.31681970246992E-3</v>
      </c>
      <c r="E29270" s="1">
        <v>3.5682426404995502E-4</v>
      </c>
      <c r="F29270" s="1">
        <v>5.2772714949495397E-3</v>
      </c>
    </row>
    <row r="29271" spans="1:6" x14ac:dyDescent="0.25">
      <c r="A29271" s="2" t="str">
        <f t="shared" si="1048"/>
        <v>49180</v>
      </c>
      <c r="B29271" s="2" t="str">
        <f>"27046"</f>
        <v>27046</v>
      </c>
      <c r="C29271" s="1">
        <v>3.4480378593956698E-3</v>
      </c>
      <c r="D29271" s="1">
        <v>1.56594775428856E-3</v>
      </c>
      <c r="E29271" s="1">
        <v>0</v>
      </c>
      <c r="F29271" s="1">
        <v>3.2023320923066098E-3</v>
      </c>
    </row>
    <row r="29272" spans="1:6" x14ac:dyDescent="0.25">
      <c r="A29272" s="2" t="str">
        <f t="shared" si="1048"/>
        <v>49180</v>
      </c>
      <c r="B29272" s="2" t="str">
        <f>"27028"</f>
        <v>27028</v>
      </c>
      <c r="C29272" s="1">
        <v>3.8837690144733497E-2</v>
      </c>
      <c r="D29272" s="1">
        <v>4.21382304790376E-2</v>
      </c>
      <c r="E29272" s="1">
        <v>1.11507582515611E-2</v>
      </c>
      <c r="F29272" s="1">
        <v>3.8253507667612402E-2</v>
      </c>
    </row>
    <row r="29273" spans="1:6" x14ac:dyDescent="0.25">
      <c r="A29273" s="2" t="str">
        <f t="shared" si="1048"/>
        <v>49180</v>
      </c>
      <c r="B29273" s="2" t="str">
        <f>"27235"</f>
        <v>27235</v>
      </c>
      <c r="C29273" s="1">
        <v>1.6204877668178099E-4</v>
      </c>
      <c r="D29273" s="1">
        <v>0</v>
      </c>
      <c r="E29273" s="1">
        <v>0</v>
      </c>
      <c r="F29273" s="1">
        <v>1.4495048867104501E-4</v>
      </c>
    </row>
    <row r="29274" spans="1:6" x14ac:dyDescent="0.25">
      <c r="A29274" s="2" t="str">
        <f t="shared" si="1048"/>
        <v>49180</v>
      </c>
      <c r="B29274" s="2" t="str">
        <f>"27106"</f>
        <v>27106</v>
      </c>
      <c r="C29274" s="1">
        <v>6.8699678603259498E-2</v>
      </c>
      <c r="D29274" s="1">
        <v>5.22101217168481E-2</v>
      </c>
      <c r="E29274" s="1">
        <v>0.121587867975022</v>
      </c>
      <c r="F29274" s="1">
        <v>6.9047433705283406E-2</v>
      </c>
    </row>
    <row r="29275" spans="1:6" x14ac:dyDescent="0.25">
      <c r="A29275" s="2" t="str">
        <f t="shared" si="1048"/>
        <v>49180</v>
      </c>
      <c r="B29275" s="2" t="str">
        <f>"27357"</f>
        <v>27357</v>
      </c>
      <c r="C29275" s="1">
        <v>1.17035227603508E-4</v>
      </c>
      <c r="D29275" s="1">
        <v>7.1179443376752702E-5</v>
      </c>
      <c r="E29275" s="1">
        <v>0</v>
      </c>
      <c r="F29275" s="1">
        <v>1.10055000657645E-4</v>
      </c>
    </row>
    <row r="29276" spans="1:6" x14ac:dyDescent="0.25">
      <c r="A29276" s="2" t="str">
        <f t="shared" si="1048"/>
        <v>49180</v>
      </c>
      <c r="B29276" s="2" t="str">
        <f>"27030"</f>
        <v>27030</v>
      </c>
      <c r="C29276" s="1">
        <v>4.7414271695780399E-4</v>
      </c>
      <c r="D29276" s="1">
        <v>7.1179443376752702E-5</v>
      </c>
      <c r="E29276" s="1">
        <v>0</v>
      </c>
      <c r="F29276" s="1">
        <v>4.2948292939568998E-4</v>
      </c>
    </row>
    <row r="29277" spans="1:6" x14ac:dyDescent="0.25">
      <c r="A29277" s="2" t="str">
        <f t="shared" si="1048"/>
        <v>49180</v>
      </c>
      <c r="B29277" s="2" t="str">
        <f>"27157"</f>
        <v>27157</v>
      </c>
      <c r="C29277" s="1">
        <v>0</v>
      </c>
      <c r="D29277" s="1">
        <v>0</v>
      </c>
      <c r="E29277" s="1">
        <v>1.78412132024977E-4</v>
      </c>
      <c r="F29277" s="1">
        <v>5.3685366174461302E-6</v>
      </c>
    </row>
    <row r="29278" spans="1:6" x14ac:dyDescent="0.25">
      <c r="A29278" s="2" t="str">
        <f t="shared" si="1048"/>
        <v>49180</v>
      </c>
      <c r="B29278" s="2" t="str">
        <f>"27110"</f>
        <v>27110</v>
      </c>
      <c r="C29278" s="1">
        <v>0</v>
      </c>
      <c r="D29278" s="1">
        <v>0</v>
      </c>
      <c r="E29278" s="1">
        <v>6.2444246208742096E-4</v>
      </c>
      <c r="F29278" s="1">
        <v>1.8789878161061402E-5</v>
      </c>
    </row>
    <row r="29279" spans="1:6" x14ac:dyDescent="0.25">
      <c r="A29279" s="2" t="str">
        <f t="shared" si="1048"/>
        <v>49180</v>
      </c>
      <c r="B29279" s="2" t="str">
        <f>"27022"</f>
        <v>27022</v>
      </c>
      <c r="C29279" s="1">
        <v>2.4997524254800601E-3</v>
      </c>
      <c r="D29279" s="1">
        <v>9.9651220727453907E-4</v>
      </c>
      <c r="E29279" s="1">
        <v>0</v>
      </c>
      <c r="F29279" s="1">
        <v>2.31115501381056E-3</v>
      </c>
    </row>
    <row r="29280" spans="1:6" x14ac:dyDescent="0.25">
      <c r="A29280" s="2" t="str">
        <f t="shared" si="1048"/>
        <v>49180</v>
      </c>
      <c r="B29280" s="2" t="str">
        <f>"27107"</f>
        <v>27107</v>
      </c>
      <c r="C29280" s="1">
        <v>6.4516419442252101E-2</v>
      </c>
      <c r="D29280" s="1">
        <v>3.7511566659548697E-2</v>
      </c>
      <c r="E29280" s="1">
        <v>5.1917930419268503E-2</v>
      </c>
      <c r="F29280" s="1">
        <v>6.2100547322308103E-2</v>
      </c>
    </row>
    <row r="29281" spans="1:6" x14ac:dyDescent="0.25">
      <c r="A29281" s="2" t="str">
        <f t="shared" si="1048"/>
        <v>49180</v>
      </c>
      <c r="B29281" s="2" t="str">
        <f>"27292"</f>
        <v>27292</v>
      </c>
      <c r="C29281" s="1">
        <v>5.7743380757608001E-2</v>
      </c>
      <c r="D29281" s="1">
        <v>6.5556267349989303E-2</v>
      </c>
      <c r="E29281" s="1">
        <v>7.6806422836752805E-2</v>
      </c>
      <c r="F29281" s="1">
        <v>5.89062680349276E-2</v>
      </c>
    </row>
    <row r="29282" spans="1:6" x14ac:dyDescent="0.25">
      <c r="A29282" s="2" t="str">
        <f t="shared" ref="A29282:A29313" si="1049">"49180"</f>
        <v>49180</v>
      </c>
      <c r="B29282" s="2" t="str">
        <f>"27360"</f>
        <v>27360</v>
      </c>
      <c r="C29282" s="1">
        <v>6.0594238865898598E-2</v>
      </c>
      <c r="D29282" s="1">
        <v>6.6339241227133597E-2</v>
      </c>
      <c r="E29282" s="1">
        <v>7.5468331846565498E-2</v>
      </c>
      <c r="F29282" s="1">
        <v>6.1475112806375597E-2</v>
      </c>
    </row>
    <row r="29283" spans="1:6" x14ac:dyDescent="0.25">
      <c r="A29283" s="2" t="str">
        <f t="shared" si="1049"/>
        <v>49180</v>
      </c>
      <c r="B29283" s="2" t="str">
        <f>"27265"</f>
        <v>27265</v>
      </c>
      <c r="C29283" s="1">
        <v>1.2252688059105701E-2</v>
      </c>
      <c r="D29283" s="1">
        <v>2.49128051818634E-3</v>
      </c>
      <c r="E29283" s="1">
        <v>1.2310437109723399E-2</v>
      </c>
      <c r="F29283" s="1">
        <v>1.15181953127306E-2</v>
      </c>
    </row>
    <row r="29284" spans="1:6" x14ac:dyDescent="0.25">
      <c r="A29284" s="2" t="str">
        <f t="shared" si="1049"/>
        <v>49180</v>
      </c>
      <c r="B29284" s="2" t="str">
        <f>"27043"</f>
        <v>27043</v>
      </c>
      <c r="C29284" s="1">
        <v>4.8014452350157296E-3</v>
      </c>
      <c r="D29284" s="1">
        <v>1.6371271976653101E-3</v>
      </c>
      <c r="E29284" s="1">
        <v>0</v>
      </c>
      <c r="F29284" s="1">
        <v>4.41830563615816E-3</v>
      </c>
    </row>
    <row r="29285" spans="1:6" x14ac:dyDescent="0.25">
      <c r="A29285" s="2" t="str">
        <f t="shared" si="1049"/>
        <v>49180</v>
      </c>
      <c r="B29285" s="2" t="str">
        <f>"27041"</f>
        <v>27041</v>
      </c>
      <c r="C29285" s="1">
        <v>2.07362416087242E-3</v>
      </c>
      <c r="D29285" s="1">
        <v>2.8471777350701102E-4</v>
      </c>
      <c r="E29285" s="1">
        <v>2.6761819803746599E-4</v>
      </c>
      <c r="F29285" s="1">
        <v>1.8843563527235899E-3</v>
      </c>
    </row>
    <row r="29286" spans="1:6" x14ac:dyDescent="0.25">
      <c r="A29286" s="2" t="str">
        <f t="shared" si="1049"/>
        <v>49180</v>
      </c>
      <c r="B29286" s="2" t="str">
        <f>"27025"</f>
        <v>27025</v>
      </c>
      <c r="C29286" s="1">
        <v>3.0999330798570299E-3</v>
      </c>
      <c r="D29286" s="1">
        <v>6.0502526870239803E-4</v>
      </c>
      <c r="E29286" s="1">
        <v>0</v>
      </c>
      <c r="F29286" s="1">
        <v>2.8184817241592199E-3</v>
      </c>
    </row>
    <row r="29287" spans="1:6" x14ac:dyDescent="0.25">
      <c r="A29287" s="2" t="str">
        <f t="shared" si="1049"/>
        <v>49180</v>
      </c>
      <c r="B29287" s="2" t="str">
        <f>"27262"</f>
        <v>27262</v>
      </c>
      <c r="C29287" s="1">
        <v>2.7968418493966602E-3</v>
      </c>
      <c r="D29287" s="1">
        <v>6.40614990390775E-4</v>
      </c>
      <c r="E29287" s="1">
        <v>2.6761819803746599E-4</v>
      </c>
      <c r="F29287" s="1">
        <v>2.5581076982130798E-3</v>
      </c>
    </row>
    <row r="29288" spans="1:6" x14ac:dyDescent="0.25">
      <c r="A29288" s="2" t="str">
        <f t="shared" si="1049"/>
        <v>49180</v>
      </c>
      <c r="B29288" s="2" t="str">
        <f>"27108"</f>
        <v>27108</v>
      </c>
      <c r="C29288" s="1">
        <v>0</v>
      </c>
      <c r="D29288" s="1">
        <v>0</v>
      </c>
      <c r="E29288" s="1">
        <v>8.9206066012488796E-5</v>
      </c>
      <c r="F29288" s="1">
        <v>2.68426830872306E-6</v>
      </c>
    </row>
    <row r="29289" spans="1:6" x14ac:dyDescent="0.25">
      <c r="A29289" s="2" t="str">
        <f t="shared" si="1049"/>
        <v>49180</v>
      </c>
      <c r="B29289" s="2" t="str">
        <f>"27109"</f>
        <v>27109</v>
      </c>
      <c r="C29289" s="1">
        <v>1.3047927426155201E-2</v>
      </c>
      <c r="D29289" s="1">
        <v>3.5589721688376297E-5</v>
      </c>
      <c r="E29289" s="1">
        <v>1.78412132024977E-4</v>
      </c>
      <c r="F29289" s="1">
        <v>1.1679251411253999E-2</v>
      </c>
    </row>
    <row r="29290" spans="1:6" x14ac:dyDescent="0.25">
      <c r="A29290" s="2" t="str">
        <f t="shared" si="1049"/>
        <v>49180</v>
      </c>
      <c r="B29290" s="2" t="str">
        <f>"27023"</f>
        <v>27023</v>
      </c>
      <c r="C29290" s="1">
        <v>1.8983714097943399E-2</v>
      </c>
      <c r="D29290" s="1">
        <v>1.49832728308064E-2</v>
      </c>
      <c r="E29290" s="1">
        <v>6.3336306868867001E-3</v>
      </c>
      <c r="F29290" s="1">
        <v>1.8301341328873798E-2</v>
      </c>
    </row>
    <row r="29291" spans="1:6" x14ac:dyDescent="0.25">
      <c r="A29291" s="2" t="str">
        <f t="shared" si="1049"/>
        <v>49180</v>
      </c>
      <c r="B29291" s="2" t="str">
        <f>"27021"</f>
        <v>27021</v>
      </c>
      <c r="C29291" s="1">
        <v>2.5087551352957201E-2</v>
      </c>
      <c r="D29291" s="1">
        <v>1.4200298953662101E-2</v>
      </c>
      <c r="E29291" s="1">
        <v>1.41837644959857E-2</v>
      </c>
      <c r="F29291" s="1">
        <v>2.3938304777192301E-2</v>
      </c>
    </row>
    <row r="29292" spans="1:6" x14ac:dyDescent="0.25">
      <c r="A29292" s="2" t="str">
        <f t="shared" si="1049"/>
        <v>49180</v>
      </c>
      <c r="B29292" s="2" t="str">
        <f>"27011"</f>
        <v>27011</v>
      </c>
      <c r="C29292" s="1">
        <v>7.5982870844124003E-3</v>
      </c>
      <c r="D29292" s="1">
        <v>3.0607160652003701E-3</v>
      </c>
      <c r="E29292" s="1">
        <v>8.9206066012488799E-4</v>
      </c>
      <c r="F29292" s="1">
        <v>7.0542571153242098E-3</v>
      </c>
    </row>
    <row r="29293" spans="1:6" x14ac:dyDescent="0.25">
      <c r="A29293" s="2" t="str">
        <f t="shared" si="1049"/>
        <v>49180</v>
      </c>
      <c r="B29293" s="2" t="str">
        <f>"27104"</f>
        <v>27104</v>
      </c>
      <c r="C29293" s="1">
        <v>4.52116086942169E-2</v>
      </c>
      <c r="D29293" s="1">
        <v>2.77599829169335E-2</v>
      </c>
      <c r="E29293" s="1">
        <v>5.0401427297056101E-2</v>
      </c>
      <c r="F29293" s="1">
        <v>4.4051527214454198E-2</v>
      </c>
    </row>
    <row r="29294" spans="1:6" x14ac:dyDescent="0.25">
      <c r="A29294" s="2" t="str">
        <f t="shared" si="1049"/>
        <v>49180</v>
      </c>
      <c r="B29294" s="2" t="str">
        <f>"27006"</f>
        <v>27006</v>
      </c>
      <c r="C29294" s="1">
        <v>2.33110166160014E-2</v>
      </c>
      <c r="D29294" s="1">
        <v>1.58374261513274E-2</v>
      </c>
      <c r="E29294" s="1">
        <v>6.7796610169491497E-3</v>
      </c>
      <c r="F29294" s="1">
        <v>2.2249900011005502E-2</v>
      </c>
    </row>
    <row r="29295" spans="1:6" x14ac:dyDescent="0.25">
      <c r="A29295" s="2" t="str">
        <f t="shared" si="1049"/>
        <v>49180</v>
      </c>
      <c r="B29295" s="2" t="str">
        <f>"27117"</f>
        <v>27117</v>
      </c>
      <c r="C29295" s="1">
        <v>1.80654376967467E-3</v>
      </c>
      <c r="D29295" s="1">
        <v>4.6266638194889303E-3</v>
      </c>
      <c r="E29295" s="1">
        <v>8.9206066012488796E-5</v>
      </c>
      <c r="F29295" s="1">
        <v>1.9675686702939998E-3</v>
      </c>
    </row>
    <row r="29296" spans="1:6" x14ac:dyDescent="0.25">
      <c r="A29296" s="2" t="str">
        <f t="shared" si="1049"/>
        <v>49180</v>
      </c>
      <c r="B29296" s="2" t="str">
        <f>"27114"</f>
        <v>27114</v>
      </c>
      <c r="C29296" s="1">
        <v>2.5057542320238301E-3</v>
      </c>
      <c r="D29296" s="1">
        <v>1.6228913089899599E-2</v>
      </c>
      <c r="E29296" s="1">
        <v>8.9206066012488796E-5</v>
      </c>
      <c r="F29296" s="1">
        <v>3.4680746548702E-3</v>
      </c>
    </row>
    <row r="29297" spans="1:6" x14ac:dyDescent="0.25">
      <c r="A29297" s="2" t="str">
        <f t="shared" si="1049"/>
        <v>49180</v>
      </c>
      <c r="B29297" s="2" t="str">
        <f>"27130"</f>
        <v>27130</v>
      </c>
      <c r="C29297" s="1">
        <v>1.2783847938229399E-3</v>
      </c>
      <c r="D29297" s="1">
        <v>3.4877927254608801E-3</v>
      </c>
      <c r="E29297" s="1">
        <v>8.9206066012488796E-5</v>
      </c>
      <c r="F29297" s="1">
        <v>1.4092408620796099E-3</v>
      </c>
    </row>
    <row r="29298" spans="1:6" x14ac:dyDescent="0.25">
      <c r="A29298" s="2" t="str">
        <f t="shared" si="1049"/>
        <v>49180</v>
      </c>
      <c r="B29298" s="2" t="str">
        <f>"27127"</f>
        <v>27127</v>
      </c>
      <c r="C29298" s="1">
        <v>5.3767183922360601E-2</v>
      </c>
      <c r="D29298" s="1">
        <v>3.4059363655776199E-2</v>
      </c>
      <c r="E29298" s="1">
        <v>4.6743978590544098E-2</v>
      </c>
      <c r="F29298" s="1">
        <v>5.2069436652609997E-2</v>
      </c>
    </row>
    <row r="29299" spans="1:6" x14ac:dyDescent="0.25">
      <c r="A29299" s="2" t="str">
        <f t="shared" si="1049"/>
        <v>49180</v>
      </c>
      <c r="B29299" s="2" t="str">
        <f>"27113"</f>
        <v>27113</v>
      </c>
      <c r="C29299" s="1">
        <v>1.58447692755519E-3</v>
      </c>
      <c r="D29299" s="1">
        <v>3.5589721688376302E-3</v>
      </c>
      <c r="E29299" s="1">
        <v>8.9206066012488796E-5</v>
      </c>
      <c r="F29299" s="1">
        <v>1.6884047661868001E-3</v>
      </c>
    </row>
    <row r="29300" spans="1:6" x14ac:dyDescent="0.25">
      <c r="A29300" s="2" t="str">
        <f t="shared" si="1049"/>
        <v>49180</v>
      </c>
      <c r="B29300" s="2" t="str">
        <f>"27111"</f>
        <v>27111</v>
      </c>
      <c r="C29300" s="1">
        <v>0</v>
      </c>
      <c r="D29300" s="1">
        <v>0</v>
      </c>
      <c r="E29300" s="1">
        <v>8.9206066012488796E-5</v>
      </c>
      <c r="F29300" s="1">
        <v>2.68426830872306E-6</v>
      </c>
    </row>
    <row r="29301" spans="1:6" x14ac:dyDescent="0.25">
      <c r="A29301" s="2" t="str">
        <f t="shared" si="1049"/>
        <v>49180</v>
      </c>
      <c r="B29301" s="2" t="str">
        <f>"27016"</f>
        <v>27016</v>
      </c>
      <c r="C29301" s="1">
        <v>2.5957813301803801E-3</v>
      </c>
      <c r="D29301" s="1">
        <v>1.6371271976653101E-3</v>
      </c>
      <c r="E29301" s="1">
        <v>0</v>
      </c>
      <c r="F29301" s="1">
        <v>2.4453684292467101E-3</v>
      </c>
    </row>
    <row r="29302" spans="1:6" x14ac:dyDescent="0.25">
      <c r="A29302" s="2" t="str">
        <f t="shared" si="1049"/>
        <v>49180</v>
      </c>
      <c r="B29302" s="2" t="str">
        <f>"27012"</f>
        <v>27012</v>
      </c>
      <c r="C29302" s="1">
        <v>4.08602989499839E-2</v>
      </c>
      <c r="D29302" s="1">
        <v>4.7796996227489501E-2</v>
      </c>
      <c r="E29302" s="1">
        <v>3.8537020517395097E-2</v>
      </c>
      <c r="F29302" s="1">
        <v>4.1313573539556697E-2</v>
      </c>
    </row>
    <row r="29303" spans="1:6" x14ac:dyDescent="0.25">
      <c r="A29303" s="2" t="str">
        <f t="shared" si="1049"/>
        <v>49180</v>
      </c>
      <c r="B29303" s="2" t="str">
        <f>"27009"</f>
        <v>27009</v>
      </c>
      <c r="C29303" s="1">
        <v>3.7901408323905402E-3</v>
      </c>
      <c r="D29303" s="1">
        <v>6.40614990390775E-4</v>
      </c>
      <c r="E29303" s="1">
        <v>3.5682426404995502E-4</v>
      </c>
      <c r="F29303" s="1">
        <v>3.4492847767091401E-3</v>
      </c>
    </row>
    <row r="29304" spans="1:6" x14ac:dyDescent="0.25">
      <c r="A29304" s="2" t="str">
        <f t="shared" si="1049"/>
        <v>49180</v>
      </c>
      <c r="B29304" s="2" t="str">
        <f>"28689"</f>
        <v>28689</v>
      </c>
      <c r="C29304" s="1">
        <v>2.4607406829455598E-4</v>
      </c>
      <c r="D29304" s="1">
        <v>1.06769165065129E-4</v>
      </c>
      <c r="E29304" s="1">
        <v>0</v>
      </c>
      <c r="F29304" s="1">
        <v>2.2816280624146E-4</v>
      </c>
    </row>
    <row r="29305" spans="1:6" x14ac:dyDescent="0.25">
      <c r="A29305" s="2" t="str">
        <f t="shared" si="1049"/>
        <v>49180</v>
      </c>
      <c r="B29305" s="2" t="str">
        <f>"28127"</f>
        <v>28127</v>
      </c>
      <c r="C29305" s="1">
        <v>3.8411561880125902E-4</v>
      </c>
      <c r="D29305" s="1">
        <v>1.7794860844188101E-4</v>
      </c>
      <c r="E29305" s="1">
        <v>0</v>
      </c>
      <c r="F29305" s="1">
        <v>3.5700768506016702E-4</v>
      </c>
    </row>
    <row r="29306" spans="1:6" x14ac:dyDescent="0.25">
      <c r="A29306" s="2" t="str">
        <f t="shared" si="1049"/>
        <v>49180</v>
      </c>
      <c r="B29306" s="2" t="str">
        <f>"27299"</f>
        <v>27299</v>
      </c>
      <c r="C29306" s="1">
        <v>7.4152319848274301E-3</v>
      </c>
      <c r="D29306" s="1">
        <v>2.59804968325147E-3</v>
      </c>
      <c r="E29306" s="1">
        <v>2.3193577163247098E-3</v>
      </c>
      <c r="F29306" s="1">
        <v>6.8985695534182802E-3</v>
      </c>
    </row>
    <row r="29307" spans="1:6" x14ac:dyDescent="0.25">
      <c r="A29307" s="2" t="str">
        <f t="shared" si="1049"/>
        <v>49180</v>
      </c>
      <c r="B29307" s="2" t="str">
        <f>"27374"</f>
        <v>27374</v>
      </c>
      <c r="C29307" s="1">
        <v>0</v>
      </c>
      <c r="D29307" s="1">
        <v>0</v>
      </c>
      <c r="E29307" s="1">
        <v>8.9206066012488796E-5</v>
      </c>
      <c r="F29307" s="1">
        <v>2.68426830872306E-6</v>
      </c>
    </row>
    <row r="29308" spans="1:6" x14ac:dyDescent="0.25">
      <c r="A29308" s="2" t="str">
        <f t="shared" si="1049"/>
        <v>49180</v>
      </c>
      <c r="B29308" s="2" t="str">
        <f>"27373"</f>
        <v>27373</v>
      </c>
      <c r="C29308" s="1">
        <v>0</v>
      </c>
      <c r="D29308" s="1">
        <v>0</v>
      </c>
      <c r="E29308" s="1">
        <v>8.9206066012488796E-5</v>
      </c>
      <c r="F29308" s="1">
        <v>2.68426830872306E-6</v>
      </c>
    </row>
    <row r="29309" spans="1:6" x14ac:dyDescent="0.25">
      <c r="A29309" s="2" t="str">
        <f t="shared" si="1049"/>
        <v>49180</v>
      </c>
      <c r="B29309" s="2" t="str">
        <f>"27295"</f>
        <v>27295</v>
      </c>
      <c r="C29309" s="1">
        <v>5.5348659946643897E-2</v>
      </c>
      <c r="D29309" s="1">
        <v>2.66211118229055E-2</v>
      </c>
      <c r="E29309" s="1">
        <v>3.3184656556645799E-2</v>
      </c>
      <c r="F29309" s="1">
        <v>5.2515025191858002E-2</v>
      </c>
    </row>
    <row r="29310" spans="1:6" x14ac:dyDescent="0.25">
      <c r="A29310" s="2" t="str">
        <f t="shared" si="1049"/>
        <v>49180</v>
      </c>
      <c r="B29310" s="2" t="str">
        <f>"27284"</f>
        <v>27284</v>
      </c>
      <c r="C29310" s="1">
        <v>7.3612157259334995E-2</v>
      </c>
      <c r="D29310" s="1">
        <v>7.7905900775855894E-2</v>
      </c>
      <c r="E29310" s="1">
        <v>5.8073148974130198E-2</v>
      </c>
      <c r="F29310" s="1">
        <v>7.3468423609750297E-2</v>
      </c>
    </row>
    <row r="29311" spans="1:6" x14ac:dyDescent="0.25">
      <c r="A29311" s="2" t="str">
        <f t="shared" si="1049"/>
        <v>49180</v>
      </c>
      <c r="B29311" s="2" t="str">
        <f>"27094"</f>
        <v>27094</v>
      </c>
      <c r="C29311" s="1">
        <v>0</v>
      </c>
      <c r="D29311" s="1">
        <v>0</v>
      </c>
      <c r="E29311" s="1">
        <v>8.9206066012488796E-5</v>
      </c>
      <c r="F29311" s="1">
        <v>2.68426830872306E-6</v>
      </c>
    </row>
    <row r="29312" spans="1:6" x14ac:dyDescent="0.25">
      <c r="A29312" s="2" t="str">
        <f t="shared" si="1049"/>
        <v>49180</v>
      </c>
      <c r="B29312" s="2" t="str">
        <f>"27053"</f>
        <v>27053</v>
      </c>
      <c r="C29312" s="1">
        <v>4.6423973616058403E-3</v>
      </c>
      <c r="D29312" s="1">
        <v>1.06769165065129E-3</v>
      </c>
      <c r="E29312" s="1">
        <v>0</v>
      </c>
      <c r="F29312" s="1">
        <v>4.2330911228562699E-3</v>
      </c>
    </row>
    <row r="29313" spans="1:6" x14ac:dyDescent="0.25">
      <c r="A29313" s="2" t="str">
        <f t="shared" si="1049"/>
        <v>49180</v>
      </c>
      <c r="B29313" s="2" t="str">
        <f>"27040"</f>
        <v>27040</v>
      </c>
      <c r="C29313" s="1">
        <v>1.7072138713752801E-2</v>
      </c>
      <c r="D29313" s="1">
        <v>9.3956865257313598E-3</v>
      </c>
      <c r="E29313" s="1">
        <v>1.60570918822479E-3</v>
      </c>
      <c r="F29313" s="1">
        <v>1.60277660713854E-2</v>
      </c>
    </row>
    <row r="29314" spans="1:6" x14ac:dyDescent="0.25">
      <c r="A29314" s="2" t="str">
        <f t="shared" ref="A29314:A29323" si="1050">"49180"</f>
        <v>49180</v>
      </c>
      <c r="B29314" s="2" t="str">
        <f>"27045"</f>
        <v>27045</v>
      </c>
      <c r="C29314" s="1">
        <v>1.40142182797021E-2</v>
      </c>
      <c r="D29314" s="1">
        <v>7.5450209979357899E-3</v>
      </c>
      <c r="E29314" s="1">
        <v>1.70383586083853E-2</v>
      </c>
      <c r="F29314" s="1">
        <v>1.36172931301521E-2</v>
      </c>
    </row>
    <row r="29315" spans="1:6" x14ac:dyDescent="0.25">
      <c r="A29315" s="2" t="str">
        <f t="shared" si="1050"/>
        <v>49180</v>
      </c>
      <c r="B29315" s="2" t="str">
        <f>"27239"</f>
        <v>27239</v>
      </c>
      <c r="C29315" s="1">
        <v>9.3568164017369202E-3</v>
      </c>
      <c r="D29315" s="1">
        <v>6.1214321304007401E-3</v>
      </c>
      <c r="E29315" s="1">
        <v>3.0330062444246199E-3</v>
      </c>
      <c r="F29315" s="1">
        <v>8.9225078581954692E-3</v>
      </c>
    </row>
    <row r="29316" spans="1:6" x14ac:dyDescent="0.25">
      <c r="A29316" s="2" t="str">
        <f t="shared" si="1050"/>
        <v>49180</v>
      </c>
      <c r="B29316" s="2" t="str">
        <f>"27103"</f>
        <v>27103</v>
      </c>
      <c r="C29316" s="1">
        <v>5.5939837891205199E-2</v>
      </c>
      <c r="D29316" s="1">
        <v>0.118869670439177</v>
      </c>
      <c r="E29316" s="1">
        <v>0.126137377341659</v>
      </c>
      <c r="F29316" s="1">
        <v>6.2798457082576101E-2</v>
      </c>
    </row>
    <row r="29317" spans="1:6" x14ac:dyDescent="0.25">
      <c r="A29317" s="2" t="str">
        <f t="shared" si="1050"/>
        <v>49180</v>
      </c>
      <c r="B29317" s="2" t="str">
        <f>"27105"</f>
        <v>27105</v>
      </c>
      <c r="C29317" s="1">
        <v>5.5060573232542903E-2</v>
      </c>
      <c r="D29317" s="1">
        <v>6.0929603530500302E-2</v>
      </c>
      <c r="E29317" s="1">
        <v>6.6726137377341593E-2</v>
      </c>
      <c r="F29317" s="1">
        <v>5.5854254967909502E-2</v>
      </c>
    </row>
    <row r="29318" spans="1:6" x14ac:dyDescent="0.25">
      <c r="A29318" s="2" t="str">
        <f t="shared" si="1050"/>
        <v>49180</v>
      </c>
      <c r="B29318" s="2" t="str">
        <f>"27293"</f>
        <v>27293</v>
      </c>
      <c r="C29318" s="1">
        <v>2.7548292035902799E-3</v>
      </c>
      <c r="D29318" s="1">
        <v>1.6727169193536898E-2</v>
      </c>
      <c r="E29318" s="1">
        <v>8.9206066012488796E-5</v>
      </c>
      <c r="F29318" s="1">
        <v>3.7284486808163301E-3</v>
      </c>
    </row>
    <row r="29319" spans="1:6" x14ac:dyDescent="0.25">
      <c r="A29319" s="2" t="str">
        <f t="shared" si="1050"/>
        <v>49180</v>
      </c>
      <c r="B29319" s="2" t="str">
        <f>"27055"</f>
        <v>27055</v>
      </c>
      <c r="C29319" s="1">
        <v>2.0646214510567602E-2</v>
      </c>
      <c r="D29319" s="1">
        <v>1.7652501957434601E-2</v>
      </c>
      <c r="E29319" s="1">
        <v>4.90633363068688E-3</v>
      </c>
      <c r="F29319" s="1">
        <v>1.9946797802121101E-2</v>
      </c>
    </row>
    <row r="29320" spans="1:6" x14ac:dyDescent="0.25">
      <c r="A29320" s="2" t="str">
        <f t="shared" si="1050"/>
        <v>49180</v>
      </c>
      <c r="B29320" s="2" t="str">
        <f>"27042"</f>
        <v>27042</v>
      </c>
      <c r="C29320" s="1">
        <v>1.0833260811504201E-3</v>
      </c>
      <c r="D29320" s="1">
        <v>3.2030749519538701E-4</v>
      </c>
      <c r="E29320" s="1">
        <v>0</v>
      </c>
      <c r="F29320" s="1">
        <v>9.9317927422753398E-4</v>
      </c>
    </row>
    <row r="29321" spans="1:6" x14ac:dyDescent="0.25">
      <c r="A29321" s="2" t="str">
        <f t="shared" si="1050"/>
        <v>49180</v>
      </c>
      <c r="B29321" s="2" t="str">
        <f>"27152"</f>
        <v>27152</v>
      </c>
      <c r="C29321" s="1">
        <v>0</v>
      </c>
      <c r="D29321" s="1">
        <v>0</v>
      </c>
      <c r="E29321" s="1">
        <v>1.78412132024977E-4</v>
      </c>
      <c r="F29321" s="1">
        <v>5.3685366174461302E-6</v>
      </c>
    </row>
    <row r="29322" spans="1:6" x14ac:dyDescent="0.25">
      <c r="A29322" s="2" t="str">
        <f t="shared" si="1050"/>
        <v>49180</v>
      </c>
      <c r="B29322" s="2" t="str">
        <f>"27018"</f>
        <v>27018</v>
      </c>
      <c r="C29322" s="1">
        <v>1.1073333073255E-2</v>
      </c>
      <c r="D29322" s="1">
        <v>5.5519965833867096E-3</v>
      </c>
      <c r="E29322" s="1">
        <v>3.5682426404995502E-4</v>
      </c>
      <c r="F29322" s="1">
        <v>1.0334432988583799E-2</v>
      </c>
    </row>
    <row r="29323" spans="1:6" x14ac:dyDescent="0.25">
      <c r="A29323" s="2" t="str">
        <f t="shared" si="1050"/>
        <v>49180</v>
      </c>
      <c r="B29323" s="2" t="str">
        <f>"27014"</f>
        <v>27014</v>
      </c>
      <c r="C29323" s="1">
        <v>0</v>
      </c>
      <c r="D29323" s="1">
        <v>0</v>
      </c>
      <c r="E29323" s="1">
        <v>4.5316681534344302E-2</v>
      </c>
      <c r="F29323" s="1">
        <v>1.36360830083131E-3</v>
      </c>
    </row>
    <row r="29324" spans="1:6" x14ac:dyDescent="0.25">
      <c r="A29324" s="2" t="str">
        <f t="shared" ref="A29324:A29355" si="1051">"39580"</f>
        <v>39580</v>
      </c>
      <c r="B29324" s="2" t="str">
        <f>"28334"</f>
        <v>28334</v>
      </c>
      <c r="C29324" s="1">
        <v>1.0116395380558301E-3</v>
      </c>
      <c r="D29324" s="1">
        <v>2.92136062371049E-4</v>
      </c>
      <c r="E29324" s="1">
        <v>7.7576351461701703E-4</v>
      </c>
      <c r="F29324" s="1">
        <v>9.4663591778366301E-4</v>
      </c>
    </row>
    <row r="29325" spans="1:6" x14ac:dyDescent="0.25">
      <c r="A29325" s="2" t="str">
        <f t="shared" si="1051"/>
        <v>39580</v>
      </c>
      <c r="B29325" s="2" t="str">
        <f>"27623"</f>
        <v>27623</v>
      </c>
      <c r="C29325" s="1">
        <v>3.6860702269450103E-4</v>
      </c>
      <c r="D29325" s="1">
        <v>2.5379320418484901E-3</v>
      </c>
      <c r="E29325" s="1">
        <v>3.26637269312428E-4</v>
      </c>
      <c r="F29325" s="1">
        <v>5.38057497342082E-4</v>
      </c>
    </row>
    <row r="29326" spans="1:6" x14ac:dyDescent="0.25">
      <c r="A29326" s="2" t="str">
        <f t="shared" si="1051"/>
        <v>39580</v>
      </c>
      <c r="B29326" s="2" t="str">
        <f>"27624"</f>
        <v>27624</v>
      </c>
      <c r="C29326" s="1">
        <v>1.4419517011132899E-3</v>
      </c>
      <c r="D29326" s="1">
        <v>1.28722452482243E-2</v>
      </c>
      <c r="E29326" s="1">
        <v>4.08296586640535E-5</v>
      </c>
      <c r="F29326" s="1">
        <v>2.2932183175488701E-3</v>
      </c>
    </row>
    <row r="29327" spans="1:6" x14ac:dyDescent="0.25">
      <c r="A29327" s="2" t="str">
        <f t="shared" si="1051"/>
        <v>39580</v>
      </c>
      <c r="B29327" s="2" t="str">
        <f>"27703"</f>
        <v>27703</v>
      </c>
      <c r="C29327" s="1">
        <v>2.01353615921225E-4</v>
      </c>
      <c r="D29327" s="1">
        <v>1.8258503898190501E-5</v>
      </c>
      <c r="E29327" s="1">
        <v>0</v>
      </c>
      <c r="F29327" s="1">
        <v>1.7983205125069501E-4</v>
      </c>
    </row>
    <row r="29328" spans="1:6" x14ac:dyDescent="0.25">
      <c r="A29328" s="2" t="str">
        <f t="shared" si="1051"/>
        <v>39580</v>
      </c>
      <c r="B29328" s="2" t="str">
        <f>"27588"</f>
        <v>27588</v>
      </c>
      <c r="C29328" s="1">
        <v>1.8365398355395599E-3</v>
      </c>
      <c r="D29328" s="1">
        <v>9.7682995855319608E-3</v>
      </c>
      <c r="E29328" s="1">
        <v>4.08296586640535E-5</v>
      </c>
      <c r="F29328" s="1">
        <v>2.39824023547928E-3</v>
      </c>
    </row>
    <row r="29329" spans="1:6" x14ac:dyDescent="0.25">
      <c r="A29329" s="2" t="str">
        <f t="shared" si="1051"/>
        <v>39580</v>
      </c>
      <c r="B29329" s="2" t="str">
        <f>"27602"</f>
        <v>27602</v>
      </c>
      <c r="C29329" s="1">
        <v>2.2619805401473099E-3</v>
      </c>
      <c r="D29329" s="1">
        <v>7.1938505358870803E-3</v>
      </c>
      <c r="E29329" s="1">
        <v>4.08296586640535E-5</v>
      </c>
      <c r="F29329" s="1">
        <v>2.5723176610899499E-3</v>
      </c>
    </row>
    <row r="29330" spans="1:6" x14ac:dyDescent="0.25">
      <c r="A29330" s="2" t="str">
        <f t="shared" si="1051"/>
        <v>39580</v>
      </c>
      <c r="B29330" s="2" t="str">
        <f>"27597"</f>
        <v>27597</v>
      </c>
      <c r="C29330" s="1">
        <v>1.76005793787916E-2</v>
      </c>
      <c r="D29330" s="1">
        <v>1.02795376946812E-2</v>
      </c>
      <c r="E29330" s="1">
        <v>2.9397354238118499E-3</v>
      </c>
      <c r="F29330" s="1">
        <v>1.6507143648403801E-2</v>
      </c>
    </row>
    <row r="29331" spans="1:6" x14ac:dyDescent="0.25">
      <c r="A29331" s="2" t="str">
        <f t="shared" si="1051"/>
        <v>39580</v>
      </c>
      <c r="B29331" s="2" t="str">
        <f>"27596"</f>
        <v>27596</v>
      </c>
      <c r="C29331" s="1">
        <v>1.33218150404655E-2</v>
      </c>
      <c r="D29331" s="1">
        <v>1.0060435647903E-2</v>
      </c>
      <c r="E29331" s="1">
        <v>3.2255430344602298E-3</v>
      </c>
      <c r="F29331" s="1">
        <v>1.27090907259891E-2</v>
      </c>
    </row>
    <row r="29332" spans="1:6" x14ac:dyDescent="0.25">
      <c r="A29332" s="2" t="str">
        <f t="shared" si="1051"/>
        <v>39580</v>
      </c>
      <c r="B29332" s="2" t="str">
        <f>"27614"</f>
        <v>27614</v>
      </c>
      <c r="C29332" s="1">
        <v>2.3275828472700301E-2</v>
      </c>
      <c r="D29332" s="1">
        <v>1.0206503679088499E-2</v>
      </c>
      <c r="E29332" s="1">
        <v>1.7965049812183501E-2</v>
      </c>
      <c r="F29332" s="1">
        <v>2.2058918734615299E-2</v>
      </c>
    </row>
    <row r="29333" spans="1:6" x14ac:dyDescent="0.25">
      <c r="A29333" s="2" t="str">
        <f t="shared" si="1051"/>
        <v>39580</v>
      </c>
      <c r="B29333" s="2" t="str">
        <f>"27611"</f>
        <v>27611</v>
      </c>
      <c r="C29333" s="1">
        <v>3.1664479923095902E-3</v>
      </c>
      <c r="D29333" s="1">
        <v>1.2105388084500301E-2</v>
      </c>
      <c r="E29333" s="1">
        <v>4.08296586640535E-5</v>
      </c>
      <c r="F29333" s="1">
        <v>3.7606478557545499E-3</v>
      </c>
    </row>
    <row r="29334" spans="1:6" x14ac:dyDescent="0.25">
      <c r="A29334" s="2" t="str">
        <f t="shared" si="1051"/>
        <v>39580</v>
      </c>
      <c r="B29334" s="2" t="str">
        <f>"27587"</f>
        <v>27587</v>
      </c>
      <c r="C29334" s="1">
        <v>4.5476688447498602E-2</v>
      </c>
      <c r="D29334" s="1">
        <v>3.0363891982690901E-2</v>
      </c>
      <c r="E29334" s="1">
        <v>2.35178833904948E-2</v>
      </c>
      <c r="F29334" s="1">
        <v>4.35121631206183E-2</v>
      </c>
    </row>
    <row r="29335" spans="1:6" x14ac:dyDescent="0.25">
      <c r="A29335" s="2" t="str">
        <f t="shared" si="1051"/>
        <v>39580</v>
      </c>
      <c r="B29335" s="2" t="str">
        <f>"27513"</f>
        <v>27513</v>
      </c>
      <c r="C29335" s="1">
        <v>3.2391951051585398E-2</v>
      </c>
      <c r="D29335" s="1">
        <v>2.66026401796636E-2</v>
      </c>
      <c r="E29335" s="1">
        <v>3.77674342642495E-2</v>
      </c>
      <c r="F29335" s="1">
        <v>3.2125197635424298E-2</v>
      </c>
    </row>
    <row r="29336" spans="1:6" x14ac:dyDescent="0.25">
      <c r="A29336" s="2" t="str">
        <f t="shared" si="1051"/>
        <v>39580</v>
      </c>
      <c r="B29336" s="2" t="str">
        <f>"27528"</f>
        <v>27528</v>
      </c>
      <c r="C29336" s="1">
        <v>1.5020330219930099E-3</v>
      </c>
      <c r="D29336" s="1">
        <v>9.0379594296043295E-3</v>
      </c>
      <c r="E29336" s="1">
        <v>4.08296586640535E-5</v>
      </c>
      <c r="F29336" s="1">
        <v>2.0443307586179098E-3</v>
      </c>
    </row>
    <row r="29337" spans="1:6" x14ac:dyDescent="0.25">
      <c r="A29337" s="2" t="str">
        <f t="shared" si="1051"/>
        <v>39580</v>
      </c>
      <c r="B29337" s="2" t="str">
        <f>"27816"</f>
        <v>27816</v>
      </c>
      <c r="C29337" s="1">
        <v>1.0213824549552401E-3</v>
      </c>
      <c r="D29337" s="1">
        <v>1.82585038981905E-4</v>
      </c>
      <c r="E29337" s="1">
        <v>0</v>
      </c>
      <c r="F29337" s="1">
        <v>9.1930144599355705E-4</v>
      </c>
    </row>
    <row r="29338" spans="1:6" x14ac:dyDescent="0.25">
      <c r="A29338" s="2" t="str">
        <f t="shared" si="1051"/>
        <v>39580</v>
      </c>
      <c r="B29338" s="2" t="str">
        <f>"27656"</f>
        <v>27656</v>
      </c>
      <c r="C29338" s="1">
        <v>0</v>
      </c>
      <c r="D29338" s="1">
        <v>0</v>
      </c>
      <c r="E29338" s="1">
        <v>4.08296586640535E-5</v>
      </c>
      <c r="F29338" s="1">
        <v>1.4386564100055601E-6</v>
      </c>
    </row>
    <row r="29339" spans="1:6" x14ac:dyDescent="0.25">
      <c r="A29339" s="2" t="str">
        <f t="shared" si="1051"/>
        <v>39580</v>
      </c>
      <c r="B29339" s="2" t="str">
        <f>"27690"</f>
        <v>27690</v>
      </c>
      <c r="C29339" s="1">
        <v>0</v>
      </c>
      <c r="D29339" s="1">
        <v>1.8258503898190501E-5</v>
      </c>
      <c r="E29339" s="1">
        <v>1.02074146660133E-3</v>
      </c>
      <c r="F29339" s="1">
        <v>3.7405066660144701E-5</v>
      </c>
    </row>
    <row r="29340" spans="1:6" x14ac:dyDescent="0.25">
      <c r="A29340" s="2" t="str">
        <f t="shared" si="1051"/>
        <v>39580</v>
      </c>
      <c r="B29340" s="2" t="str">
        <f>"27591"</f>
        <v>27591</v>
      </c>
      <c r="C29340" s="1">
        <v>1.5474999675236099E-2</v>
      </c>
      <c r="D29340" s="1">
        <v>5.2584491226788802E-3</v>
      </c>
      <c r="E29340" s="1">
        <v>1.83733463988241E-3</v>
      </c>
      <c r="F29340" s="1">
        <v>1.4189468171884901E-2</v>
      </c>
    </row>
    <row r="29341" spans="1:6" x14ac:dyDescent="0.25">
      <c r="A29341" s="2" t="str">
        <f t="shared" si="1051"/>
        <v>39580</v>
      </c>
      <c r="B29341" s="2" t="str">
        <f>"27613"</f>
        <v>27613</v>
      </c>
      <c r="C29341" s="1">
        <v>3.20184725704412E-2</v>
      </c>
      <c r="D29341" s="1">
        <v>1.06812247804414E-2</v>
      </c>
      <c r="E29341" s="1">
        <v>3.7399967336273002E-2</v>
      </c>
      <c r="F29341" s="1">
        <v>3.0526850363908099E-2</v>
      </c>
    </row>
    <row r="29342" spans="1:6" x14ac:dyDescent="0.25">
      <c r="A29342" s="2" t="str">
        <f t="shared" si="1051"/>
        <v>39580</v>
      </c>
      <c r="B29342" s="2" t="str">
        <f>"27525"</f>
        <v>27525</v>
      </c>
      <c r="C29342" s="1">
        <v>8.4389898543758592E-3</v>
      </c>
      <c r="D29342" s="1">
        <v>3.88906133031459E-3</v>
      </c>
      <c r="E29342" s="1">
        <v>1.02074146660133E-3</v>
      </c>
      <c r="F29342" s="1">
        <v>7.8190975883802496E-3</v>
      </c>
    </row>
    <row r="29343" spans="1:6" x14ac:dyDescent="0.25">
      <c r="A29343" s="2" t="str">
        <f t="shared" si="1051"/>
        <v>39580</v>
      </c>
      <c r="B29343" s="2" t="str">
        <f>"27568"</f>
        <v>27568</v>
      </c>
      <c r="C29343" s="1">
        <v>0</v>
      </c>
      <c r="D29343" s="1">
        <v>1.8258503898190501E-5</v>
      </c>
      <c r="E29343" s="1">
        <v>3.1887963416625802E-2</v>
      </c>
      <c r="F29343" s="1">
        <v>1.1250293126243501E-3</v>
      </c>
    </row>
    <row r="29344" spans="1:6" x14ac:dyDescent="0.25">
      <c r="A29344" s="2" t="str">
        <f t="shared" si="1051"/>
        <v>39580</v>
      </c>
      <c r="B29344" s="2" t="str">
        <f>"27540"</f>
        <v>27540</v>
      </c>
      <c r="C29344" s="1">
        <v>2.5260135881214299E-2</v>
      </c>
      <c r="D29344" s="1">
        <v>1.6542204531760599E-2</v>
      </c>
      <c r="E29344" s="1">
        <v>1.6331863465621399E-3</v>
      </c>
      <c r="F29344" s="1">
        <v>2.3740708077911801E-2</v>
      </c>
    </row>
    <row r="29345" spans="1:6" x14ac:dyDescent="0.25">
      <c r="A29345" s="2" t="str">
        <f t="shared" si="1051"/>
        <v>39580</v>
      </c>
      <c r="B29345" s="2" t="str">
        <f>"27539"</f>
        <v>27539</v>
      </c>
      <c r="C29345" s="1">
        <v>1.5764039543251999E-2</v>
      </c>
      <c r="D29345" s="1">
        <v>5.6053606967445E-3</v>
      </c>
      <c r="E29345" s="1">
        <v>1.1432304425934899E-3</v>
      </c>
      <c r="F29345" s="1">
        <v>1.44484263256859E-2</v>
      </c>
    </row>
    <row r="29346" spans="1:6" x14ac:dyDescent="0.25">
      <c r="A29346" s="2" t="str">
        <f t="shared" si="1051"/>
        <v>39580</v>
      </c>
      <c r="B29346" s="2" t="str">
        <f>"27544"</f>
        <v>27544</v>
      </c>
      <c r="C29346" s="1">
        <v>7.42085503838709E-4</v>
      </c>
      <c r="D29346" s="1">
        <v>3.6517007796381097E-5</v>
      </c>
      <c r="E29346" s="1">
        <v>0</v>
      </c>
      <c r="F29346" s="1">
        <v>6.6034329219255496E-4</v>
      </c>
    </row>
    <row r="29347" spans="1:6" x14ac:dyDescent="0.25">
      <c r="A29347" s="2" t="str">
        <f t="shared" si="1051"/>
        <v>39580</v>
      </c>
      <c r="B29347" s="2" t="str">
        <f>"27511"</f>
        <v>27511</v>
      </c>
      <c r="C29347" s="1">
        <v>2.3707764455241E-2</v>
      </c>
      <c r="D29347" s="1">
        <v>3.3376545125892297E-2</v>
      </c>
      <c r="E29347" s="1">
        <v>3.7808263922913601E-2</v>
      </c>
      <c r="F29347" s="1">
        <v>2.4966443339236599E-2</v>
      </c>
    </row>
    <row r="29348" spans="1:6" x14ac:dyDescent="0.25">
      <c r="A29348" s="2" t="str">
        <f t="shared" si="1051"/>
        <v>39580</v>
      </c>
      <c r="B29348" s="2" t="str">
        <f>"27606"</f>
        <v>27606</v>
      </c>
      <c r="C29348" s="1">
        <v>3.6576533859883797E-2</v>
      </c>
      <c r="D29348" s="1">
        <v>2.3224816958498401E-2</v>
      </c>
      <c r="E29348" s="1">
        <v>9.1376776090151796E-2</v>
      </c>
      <c r="F29348" s="1">
        <v>3.7455419634494898E-2</v>
      </c>
    </row>
    <row r="29349" spans="1:6" x14ac:dyDescent="0.25">
      <c r="A29349" s="2" t="str">
        <f t="shared" si="1051"/>
        <v>39580</v>
      </c>
      <c r="B29349" s="2" t="str">
        <f>"27636"</f>
        <v>27636</v>
      </c>
      <c r="C29349" s="1">
        <v>5.3423660998454096E-4</v>
      </c>
      <c r="D29349" s="1">
        <v>3.43259873285982E-3</v>
      </c>
      <c r="E29349" s="1">
        <v>4.08296586640535E-5</v>
      </c>
      <c r="F29349" s="1">
        <v>7.4522402038288403E-4</v>
      </c>
    </row>
    <row r="29350" spans="1:6" x14ac:dyDescent="0.25">
      <c r="A29350" s="2" t="str">
        <f t="shared" si="1051"/>
        <v>39580</v>
      </c>
      <c r="B29350" s="2" t="str">
        <f>"27697"</f>
        <v>27697</v>
      </c>
      <c r="C29350" s="1">
        <v>0</v>
      </c>
      <c r="D29350" s="1">
        <v>0</v>
      </c>
      <c r="E29350" s="1">
        <v>1.63318634656214E-4</v>
      </c>
      <c r="F29350" s="1">
        <v>5.75462564002227E-6</v>
      </c>
    </row>
    <row r="29351" spans="1:6" x14ac:dyDescent="0.25">
      <c r="A29351" s="2" t="str">
        <f t="shared" si="1051"/>
        <v>39580</v>
      </c>
      <c r="B29351" s="2" t="str">
        <f>"27658"</f>
        <v>27658</v>
      </c>
      <c r="C29351" s="1">
        <v>5.4722716585042601E-4</v>
      </c>
      <c r="D29351" s="1">
        <v>3.9986123537037298E-3</v>
      </c>
      <c r="E29351" s="1">
        <v>4.08296586640535E-5</v>
      </c>
      <c r="F29351" s="1">
        <v>8.0133162037310105E-4</v>
      </c>
    </row>
    <row r="29352" spans="1:6" x14ac:dyDescent="0.25">
      <c r="A29352" s="2" t="str">
        <f t="shared" si="1051"/>
        <v>39580</v>
      </c>
      <c r="B29352" s="2" t="str">
        <f>"27616"</f>
        <v>27616</v>
      </c>
      <c r="C29352" s="1">
        <v>3.5902648774341003E-2</v>
      </c>
      <c r="D29352" s="1">
        <v>2.6821742226441899E-2</v>
      </c>
      <c r="E29352" s="1">
        <v>4.1932059447982999E-2</v>
      </c>
      <c r="F29352" s="1">
        <v>3.5399579624596902E-2</v>
      </c>
    </row>
    <row r="29353" spans="1:6" x14ac:dyDescent="0.25">
      <c r="A29353" s="2" t="str">
        <f t="shared" si="1051"/>
        <v>39580</v>
      </c>
      <c r="B29353" s="2" t="str">
        <f>"27610"</f>
        <v>27610</v>
      </c>
      <c r="C29353" s="1">
        <v>4.5114576702737101E-2</v>
      </c>
      <c r="D29353" s="1">
        <v>2.8136354507111602E-2</v>
      </c>
      <c r="E29353" s="1">
        <v>5.0097991180793701E-2</v>
      </c>
      <c r="F29353" s="1">
        <v>4.3952391982080001E-2</v>
      </c>
    </row>
    <row r="29354" spans="1:6" x14ac:dyDescent="0.25">
      <c r="A29354" s="2" t="str">
        <f t="shared" si="1051"/>
        <v>39580</v>
      </c>
      <c r="B29354" s="2" t="str">
        <f>"27522"</f>
        <v>27522</v>
      </c>
      <c r="C29354" s="1">
        <v>3.7023084217773601E-4</v>
      </c>
      <c r="D29354" s="1">
        <v>9.1292519490952906E-5</v>
      </c>
      <c r="E29354" s="1">
        <v>4.08296586640535E-5</v>
      </c>
      <c r="F29354" s="1">
        <v>3.3664559994130199E-4</v>
      </c>
    </row>
    <row r="29355" spans="1:6" x14ac:dyDescent="0.25">
      <c r="A29355" s="2" t="str">
        <f t="shared" si="1051"/>
        <v>39580</v>
      </c>
      <c r="B29355" s="2" t="str">
        <f>"27569"</f>
        <v>27569</v>
      </c>
      <c r="C29355" s="1">
        <v>4.4866132321802E-3</v>
      </c>
      <c r="D29355" s="1">
        <v>1.47893881575343E-3</v>
      </c>
      <c r="E29355" s="1">
        <v>8.5742283194512395E-4</v>
      </c>
      <c r="F29355" s="1">
        <v>4.1217506146659496E-3</v>
      </c>
    </row>
    <row r="29356" spans="1:6" x14ac:dyDescent="0.25">
      <c r="A29356" s="2" t="str">
        <f t="shared" ref="A29356:A29387" si="1052">"39580"</f>
        <v>39580</v>
      </c>
      <c r="B29356" s="2" t="str">
        <f>"27555"</f>
        <v>27555</v>
      </c>
      <c r="C29356" s="1">
        <v>0</v>
      </c>
      <c r="D29356" s="1">
        <v>1.8258503898190501E-5</v>
      </c>
      <c r="E29356" s="1">
        <v>4.08296586640535E-5</v>
      </c>
      <c r="F29356" s="1">
        <v>2.8773128200111299E-6</v>
      </c>
    </row>
    <row r="29357" spans="1:6" x14ac:dyDescent="0.25">
      <c r="A29357" s="2" t="str">
        <f t="shared" si="1052"/>
        <v>39580</v>
      </c>
      <c r="B29357" s="2" t="str">
        <f>"27529"</f>
        <v>27529</v>
      </c>
      <c r="C29357" s="1">
        <v>3.7791150833344098E-2</v>
      </c>
      <c r="D29357" s="1">
        <v>4.5171538644123502E-2</v>
      </c>
      <c r="E29357" s="1">
        <v>2.11497631879797E-2</v>
      </c>
      <c r="F29357" s="1">
        <v>3.7786310608796198E-2</v>
      </c>
    </row>
    <row r="29358" spans="1:6" x14ac:dyDescent="0.25">
      <c r="A29358" s="2" t="str">
        <f t="shared" si="1052"/>
        <v>39580</v>
      </c>
      <c r="B29358" s="2" t="str">
        <f>"27882"</f>
        <v>27882</v>
      </c>
      <c r="C29358" s="1">
        <v>8.4113849231608597E-4</v>
      </c>
      <c r="D29358" s="1">
        <v>2.5561905457466798E-4</v>
      </c>
      <c r="E29358" s="1">
        <v>0</v>
      </c>
      <c r="F29358" s="1">
        <v>7.6536521012296097E-4</v>
      </c>
    </row>
    <row r="29359" spans="1:6" x14ac:dyDescent="0.25">
      <c r="A29359" s="2" t="str">
        <f t="shared" si="1052"/>
        <v>39580</v>
      </c>
      <c r="B29359" s="2" t="str">
        <f>"27607"</f>
        <v>27607</v>
      </c>
      <c r="C29359" s="1">
        <v>2.59876070097039E-2</v>
      </c>
      <c r="D29359" s="1">
        <v>2.96883273384578E-2</v>
      </c>
      <c r="E29359" s="1">
        <v>3.4133594643148697E-2</v>
      </c>
      <c r="F29359" s="1">
        <v>2.6566229267162799E-2</v>
      </c>
    </row>
    <row r="29360" spans="1:6" x14ac:dyDescent="0.25">
      <c r="A29360" s="2" t="str">
        <f t="shared" si="1052"/>
        <v>39580</v>
      </c>
      <c r="B29360" s="2" t="str">
        <f>"27627"</f>
        <v>27627</v>
      </c>
      <c r="C29360" s="1">
        <v>6.7713272450928101E-4</v>
      </c>
      <c r="D29360" s="1">
        <v>4.9663130603078299E-3</v>
      </c>
      <c r="E29360" s="1">
        <v>4.08296586640535E-5</v>
      </c>
      <c r="F29360" s="1">
        <v>9.9267292290384102E-4</v>
      </c>
    </row>
    <row r="29361" spans="1:6" x14ac:dyDescent="0.25">
      <c r="A29361" s="2" t="str">
        <f t="shared" si="1052"/>
        <v>39580</v>
      </c>
      <c r="B29361" s="2" t="str">
        <f>"27629"</f>
        <v>27629</v>
      </c>
      <c r="C29361" s="1">
        <v>1.0928305122176101E-3</v>
      </c>
      <c r="D29361" s="1">
        <v>6.6643539228395596E-3</v>
      </c>
      <c r="E29361" s="1">
        <v>4.08296586640535E-5</v>
      </c>
      <c r="F29361" s="1">
        <v>1.49476400999578E-3</v>
      </c>
    </row>
    <row r="29362" spans="1:6" x14ac:dyDescent="0.25">
      <c r="A29362" s="2" t="str">
        <f t="shared" si="1052"/>
        <v>39580</v>
      </c>
      <c r="B29362" s="2" t="str">
        <f>"27622"</f>
        <v>27622</v>
      </c>
      <c r="C29362" s="1">
        <v>1.29905558658855E-3</v>
      </c>
      <c r="D29362" s="1">
        <v>5.9887892786065098E-3</v>
      </c>
      <c r="E29362" s="1">
        <v>4.08296586640535E-5</v>
      </c>
      <c r="F29362" s="1">
        <v>1.6242430868962799E-3</v>
      </c>
    </row>
    <row r="29363" spans="1:6" x14ac:dyDescent="0.25">
      <c r="A29363" s="2" t="str">
        <f t="shared" si="1052"/>
        <v>39580</v>
      </c>
      <c r="B29363" s="2" t="str">
        <f>"27699"</f>
        <v>27699</v>
      </c>
      <c r="C29363" s="1">
        <v>0</v>
      </c>
      <c r="D29363" s="1">
        <v>0</v>
      </c>
      <c r="E29363" s="1">
        <v>5.67532255430344E-2</v>
      </c>
      <c r="F29363" s="1">
        <v>1.9997324099077299E-3</v>
      </c>
    </row>
    <row r="29364" spans="1:6" x14ac:dyDescent="0.25">
      <c r="A29364" s="2" t="str">
        <f t="shared" si="1052"/>
        <v>39580</v>
      </c>
      <c r="B29364" s="2" t="str">
        <f>"27628"</f>
        <v>27628</v>
      </c>
      <c r="C29364" s="1">
        <v>4.8389820600423398E-4</v>
      </c>
      <c r="D29364" s="1">
        <v>4.8750205408168799E-3</v>
      </c>
      <c r="E29364" s="1">
        <v>4.08296586640535E-5</v>
      </c>
      <c r="F29364" s="1">
        <v>8.1427952806315104E-4</v>
      </c>
    </row>
    <row r="29365" spans="1:6" x14ac:dyDescent="0.25">
      <c r="A29365" s="2" t="str">
        <f t="shared" si="1052"/>
        <v>39580</v>
      </c>
      <c r="B29365" s="2" t="str">
        <f>"27601"</f>
        <v>27601</v>
      </c>
      <c r="C29365" s="1">
        <v>8.4877044388729297E-3</v>
      </c>
      <c r="D29365" s="1">
        <v>2.80998374993153E-2</v>
      </c>
      <c r="E29365" s="1">
        <v>2.0129021721378398E-2</v>
      </c>
      <c r="F29365" s="1">
        <v>1.0443206880230401E-2</v>
      </c>
    </row>
    <row r="29366" spans="1:6" x14ac:dyDescent="0.25">
      <c r="A29366" s="2" t="str">
        <f t="shared" si="1052"/>
        <v>39580</v>
      </c>
      <c r="B29366" s="2" t="str">
        <f>"27592"</f>
        <v>27592</v>
      </c>
      <c r="C29366" s="1">
        <v>1.18798633393522E-2</v>
      </c>
      <c r="D29366" s="1">
        <v>3.61518377184173E-3</v>
      </c>
      <c r="E29366" s="1">
        <v>4.4912624530458897E-4</v>
      </c>
      <c r="F29366" s="1">
        <v>1.08258894852918E-2</v>
      </c>
    </row>
    <row r="29367" spans="1:6" x14ac:dyDescent="0.25">
      <c r="A29367" s="2" t="str">
        <f t="shared" si="1052"/>
        <v>39580</v>
      </c>
      <c r="B29367" s="2" t="str">
        <f>"27526"</f>
        <v>27526</v>
      </c>
      <c r="C29367" s="1">
        <v>3.0388157809272599E-2</v>
      </c>
      <c r="D29367" s="1">
        <v>2.3078748927312799E-2</v>
      </c>
      <c r="E29367" s="1">
        <v>8.0026130981544902E-3</v>
      </c>
      <c r="F29367" s="1">
        <v>2.9023454415452302E-2</v>
      </c>
    </row>
    <row r="29368" spans="1:6" x14ac:dyDescent="0.25">
      <c r="A29368" s="2" t="str">
        <f t="shared" si="1052"/>
        <v>39580</v>
      </c>
      <c r="B29368" s="2" t="str">
        <f>"27524"</f>
        <v>27524</v>
      </c>
      <c r="C29368" s="1">
        <v>8.6728198599617997E-3</v>
      </c>
      <c r="D29368" s="1">
        <v>2.7935510964231499E-3</v>
      </c>
      <c r="E29368" s="1">
        <v>2.5722684958353701E-3</v>
      </c>
      <c r="F29368" s="1">
        <v>7.9946136704009303E-3</v>
      </c>
    </row>
    <row r="29369" spans="1:6" x14ac:dyDescent="0.25">
      <c r="A29369" s="2" t="str">
        <f t="shared" si="1052"/>
        <v>39580</v>
      </c>
      <c r="B29369" s="2" t="str">
        <f>"27519"</f>
        <v>27519</v>
      </c>
      <c r="C29369" s="1">
        <v>3.6800620948570298E-2</v>
      </c>
      <c r="D29369" s="1">
        <v>1.6177034453796799E-2</v>
      </c>
      <c r="E29369" s="1">
        <v>4.1237955250694102E-3</v>
      </c>
      <c r="F29369" s="1">
        <v>3.4024224096631597E-2</v>
      </c>
    </row>
    <row r="29370" spans="1:6" x14ac:dyDescent="0.25">
      <c r="A29370" s="2" t="str">
        <f t="shared" si="1052"/>
        <v>39580</v>
      </c>
      <c r="B29370" s="2" t="str">
        <f>"27518"</f>
        <v>27518</v>
      </c>
      <c r="C29370" s="1">
        <v>1.49878538302653E-2</v>
      </c>
      <c r="D29370" s="1">
        <v>2.15815516076612E-2</v>
      </c>
      <c r="E29370" s="1">
        <v>2.2088845337252899E-2</v>
      </c>
      <c r="F29370" s="1">
        <v>1.5757603658790899E-2</v>
      </c>
    </row>
    <row r="29371" spans="1:6" x14ac:dyDescent="0.25">
      <c r="A29371" s="2" t="str">
        <f t="shared" si="1052"/>
        <v>39580</v>
      </c>
      <c r="B29371" s="2" t="str">
        <f>"27545"</f>
        <v>27545</v>
      </c>
      <c r="C29371" s="1">
        <v>2.2455799633666298E-2</v>
      </c>
      <c r="D29371" s="1">
        <v>1.8167211378699599E-2</v>
      </c>
      <c r="E29371" s="1">
        <v>1.0779029887310099E-2</v>
      </c>
      <c r="F29371" s="1">
        <v>2.1706447914164002E-2</v>
      </c>
    </row>
    <row r="29372" spans="1:6" x14ac:dyDescent="0.25">
      <c r="A29372" s="2" t="str">
        <f t="shared" si="1052"/>
        <v>39580</v>
      </c>
      <c r="B29372" s="2" t="str">
        <f>"27560"</f>
        <v>27560</v>
      </c>
      <c r="C29372" s="1">
        <v>2.1942672676963801E-2</v>
      </c>
      <c r="D29372" s="1">
        <v>3.9018422830433198E-2</v>
      </c>
      <c r="E29372" s="1">
        <v>2.83766127715172E-2</v>
      </c>
      <c r="F29372" s="1">
        <v>2.3514839021541001E-2</v>
      </c>
    </row>
    <row r="29373" spans="1:6" x14ac:dyDescent="0.25">
      <c r="A29373" s="2" t="str">
        <f t="shared" si="1052"/>
        <v>39580</v>
      </c>
      <c r="B29373" s="2" t="str">
        <f>"27527"</f>
        <v>27527</v>
      </c>
      <c r="C29373" s="1">
        <v>2.0284752984580198E-2</v>
      </c>
      <c r="D29373" s="1">
        <v>3.10394566269239E-3</v>
      </c>
      <c r="E29373" s="1">
        <v>4.2871141597256197E-3</v>
      </c>
      <c r="F29373" s="1">
        <v>1.8367326386541E-2</v>
      </c>
    </row>
    <row r="29374" spans="1:6" x14ac:dyDescent="0.25">
      <c r="A29374" s="2" t="str">
        <f t="shared" si="1052"/>
        <v>39580</v>
      </c>
      <c r="B29374" s="2" t="str">
        <f>"28366"</f>
        <v>28366</v>
      </c>
      <c r="C29374" s="1">
        <v>8.8660543784668496E-4</v>
      </c>
      <c r="D29374" s="1">
        <v>1.0955102338914299E-4</v>
      </c>
      <c r="E29374" s="1">
        <v>8.1659317328107095E-5</v>
      </c>
      <c r="F29374" s="1">
        <v>7.9701565114308399E-4</v>
      </c>
    </row>
    <row r="29375" spans="1:6" x14ac:dyDescent="0.25">
      <c r="A29375" s="2" t="str">
        <f t="shared" si="1052"/>
        <v>39580</v>
      </c>
      <c r="B29375" s="2" t="str">
        <f>"27620"</f>
        <v>27620</v>
      </c>
      <c r="C29375" s="1">
        <v>1.56049052338949E-3</v>
      </c>
      <c r="D29375" s="1">
        <v>5.8792382552173596E-3</v>
      </c>
      <c r="E29375" s="1">
        <v>4.08296586640535E-5</v>
      </c>
      <c r="F29375" s="1">
        <v>1.84723483044714E-3</v>
      </c>
    </row>
    <row r="29376" spans="1:6" x14ac:dyDescent="0.25">
      <c r="A29376" s="2" t="str">
        <f t="shared" si="1052"/>
        <v>39580</v>
      </c>
      <c r="B29376" s="2" t="str">
        <f>"27589"</f>
        <v>27589</v>
      </c>
      <c r="C29376" s="1">
        <v>9.2395328596110596E-4</v>
      </c>
      <c r="D29376" s="1">
        <v>3.4691157406562098E-4</v>
      </c>
      <c r="E29376" s="1">
        <v>0</v>
      </c>
      <c r="F29376" s="1">
        <v>8.4592996908327298E-4</v>
      </c>
    </row>
    <row r="29377" spans="1:6" x14ac:dyDescent="0.25">
      <c r="A29377" s="2" t="str">
        <f t="shared" si="1052"/>
        <v>39580</v>
      </c>
      <c r="B29377" s="2" t="str">
        <f>"27612"</f>
        <v>27612</v>
      </c>
      <c r="C29377" s="1">
        <v>3.3574091635380998E-2</v>
      </c>
      <c r="D29377" s="1">
        <v>3.2810531505048403E-2</v>
      </c>
      <c r="E29377" s="1">
        <v>5.1772007186019903E-2</v>
      </c>
      <c r="F29377" s="1">
        <v>3.4155141829942101E-2</v>
      </c>
    </row>
    <row r="29378" spans="1:6" x14ac:dyDescent="0.25">
      <c r="A29378" s="2" t="str">
        <f t="shared" si="1052"/>
        <v>39580</v>
      </c>
      <c r="B29378" s="2" t="str">
        <f>"27562"</f>
        <v>27562</v>
      </c>
      <c r="C29378" s="1">
        <v>1.9047402538354601E-3</v>
      </c>
      <c r="D29378" s="1">
        <v>1.4606803118552401E-4</v>
      </c>
      <c r="E29378" s="1">
        <v>4.08296586640535E-5</v>
      </c>
      <c r="F29378" s="1">
        <v>1.7004918766265801E-3</v>
      </c>
    </row>
    <row r="29379" spans="1:6" x14ac:dyDescent="0.25">
      <c r="A29379" s="2" t="str">
        <f t="shared" si="1052"/>
        <v>39580</v>
      </c>
      <c r="B29379" s="2" t="str">
        <f>"27557"</f>
        <v>27557</v>
      </c>
      <c r="C29379" s="1">
        <v>2.3236856805102599E-3</v>
      </c>
      <c r="D29379" s="1">
        <v>4.1994558965838301E-4</v>
      </c>
      <c r="E29379" s="1">
        <v>8.1659317328107095E-5</v>
      </c>
      <c r="F29379" s="1">
        <v>2.0946837329680998E-3</v>
      </c>
    </row>
    <row r="29380" spans="1:6" x14ac:dyDescent="0.25">
      <c r="A29380" s="2" t="str">
        <f t="shared" si="1052"/>
        <v>39580</v>
      </c>
      <c r="B29380" s="2" t="str">
        <f>"27502"</f>
        <v>27502</v>
      </c>
      <c r="C29380" s="1">
        <v>2.9777601683575999E-2</v>
      </c>
      <c r="D29380" s="1">
        <v>2.9542259307272299E-2</v>
      </c>
      <c r="E29380" s="1">
        <v>6.1244487996080302E-3</v>
      </c>
      <c r="F29380" s="1">
        <v>2.89256257795719E-2</v>
      </c>
    </row>
    <row r="29381" spans="1:6" x14ac:dyDescent="0.25">
      <c r="A29381" s="2" t="str">
        <f t="shared" si="1052"/>
        <v>39580</v>
      </c>
      <c r="B29381" s="2" t="str">
        <f>"27501"</f>
        <v>27501</v>
      </c>
      <c r="C29381" s="1">
        <v>4.9412826874861903E-3</v>
      </c>
      <c r="D29381" s="1">
        <v>1.02247621829867E-3</v>
      </c>
      <c r="E29381" s="1">
        <v>8.1659317328107095E-5</v>
      </c>
      <c r="F29381" s="1">
        <v>4.4612735274272598E-3</v>
      </c>
    </row>
    <row r="29382" spans="1:6" x14ac:dyDescent="0.25">
      <c r="A29382" s="2" t="str">
        <f t="shared" si="1052"/>
        <v>39580</v>
      </c>
      <c r="B29382" s="2" t="str">
        <f>"27863"</f>
        <v>27863</v>
      </c>
      <c r="C29382" s="1">
        <v>9.7429168994141203E-6</v>
      </c>
      <c r="D29382" s="1">
        <v>0</v>
      </c>
      <c r="E29382" s="1">
        <v>0</v>
      </c>
      <c r="F29382" s="1">
        <v>8.6319384600334007E-6</v>
      </c>
    </row>
    <row r="29383" spans="1:6" x14ac:dyDescent="0.25">
      <c r="A29383" s="2" t="str">
        <f t="shared" si="1052"/>
        <v>39580</v>
      </c>
      <c r="B29383" s="2" t="str">
        <f>"27608"</f>
        <v>27608</v>
      </c>
      <c r="C29383" s="1">
        <v>9.18594681666428E-3</v>
      </c>
      <c r="D29383" s="1">
        <v>1.06994832843396E-2</v>
      </c>
      <c r="E29383" s="1">
        <v>1.17589416952474E-2</v>
      </c>
      <c r="F29383" s="1">
        <v>9.3958650137463597E-3</v>
      </c>
    </row>
    <row r="29384" spans="1:6" x14ac:dyDescent="0.25">
      <c r="A29384" s="2" t="str">
        <f t="shared" si="1052"/>
        <v>39580</v>
      </c>
      <c r="B29384" s="2" t="str">
        <f>"27713"</f>
        <v>27713</v>
      </c>
      <c r="C29384" s="1">
        <v>2.11096532820639E-5</v>
      </c>
      <c r="D29384" s="1">
        <v>0</v>
      </c>
      <c r="E29384" s="1">
        <v>0</v>
      </c>
      <c r="F29384" s="1">
        <v>1.87025333300723E-5</v>
      </c>
    </row>
    <row r="29385" spans="1:6" x14ac:dyDescent="0.25">
      <c r="A29385" s="2" t="str">
        <f t="shared" si="1052"/>
        <v>39580</v>
      </c>
      <c r="B29385" s="2" t="str">
        <f>"27675"</f>
        <v>27675</v>
      </c>
      <c r="C29385" s="1">
        <v>6.94994738824874E-4</v>
      </c>
      <c r="D29385" s="1">
        <v>8.0337417152038498E-3</v>
      </c>
      <c r="E29385" s="1">
        <v>0</v>
      </c>
      <c r="F29385" s="1">
        <v>1.24875376388483E-3</v>
      </c>
    </row>
    <row r="29386" spans="1:6" x14ac:dyDescent="0.25">
      <c r="A29386" s="2" t="str">
        <f t="shared" si="1052"/>
        <v>39580</v>
      </c>
      <c r="B29386" s="2" t="str">
        <f>"27577"</f>
        <v>27577</v>
      </c>
      <c r="C29386" s="1">
        <v>1.9422504838981999E-2</v>
      </c>
      <c r="D29386" s="1">
        <v>3.2463619930982797E-2</v>
      </c>
      <c r="E29386" s="1">
        <v>1.4535358484403E-2</v>
      </c>
      <c r="F29386" s="1">
        <v>2.0277862099028401E-2</v>
      </c>
    </row>
    <row r="29387" spans="1:6" x14ac:dyDescent="0.25">
      <c r="A29387" s="2" t="str">
        <f t="shared" si="1052"/>
        <v>39580</v>
      </c>
      <c r="B29387" s="2" t="str">
        <f>"27576"</f>
        <v>27576</v>
      </c>
      <c r="C29387" s="1">
        <v>1.3964847555826901E-2</v>
      </c>
      <c r="D29387" s="1">
        <v>1.1794993518231101E-2</v>
      </c>
      <c r="E29387" s="1">
        <v>4.2054548423975102E-3</v>
      </c>
      <c r="F29387" s="1">
        <v>1.3449998777142E-2</v>
      </c>
    </row>
    <row r="29388" spans="1:6" x14ac:dyDescent="0.25">
      <c r="A29388" s="2" t="str">
        <f t="shared" ref="A29388:A29407" si="1053">"39580"</f>
        <v>39580</v>
      </c>
      <c r="B29388" s="2" t="str">
        <f>"27508"</f>
        <v>27508</v>
      </c>
      <c r="C29388" s="1">
        <v>1.0457397472037799E-3</v>
      </c>
      <c r="D29388" s="1">
        <v>7.8511566762219502E-4</v>
      </c>
      <c r="E29388" s="1">
        <v>4.4912624530458897E-4</v>
      </c>
      <c r="F29388" s="1">
        <v>1.0041821741838799E-3</v>
      </c>
    </row>
    <row r="29389" spans="1:6" x14ac:dyDescent="0.25">
      <c r="A29389" s="2" t="str">
        <f t="shared" si="1053"/>
        <v>39580</v>
      </c>
      <c r="B29389" s="2" t="str">
        <f>"27605"</f>
        <v>27605</v>
      </c>
      <c r="C29389" s="1">
        <v>8.2165265851725702E-3</v>
      </c>
      <c r="D29389" s="1">
        <v>1.82585038981905E-2</v>
      </c>
      <c r="E29389" s="1">
        <v>1.7965049812183501E-2</v>
      </c>
      <c r="F29389" s="1">
        <v>9.3512666650361793E-3</v>
      </c>
    </row>
    <row r="29390" spans="1:6" x14ac:dyDescent="0.25">
      <c r="A29390" s="2" t="str">
        <f t="shared" si="1053"/>
        <v>39580</v>
      </c>
      <c r="B29390" s="2" t="str">
        <f>"27640"</f>
        <v>27640</v>
      </c>
      <c r="C29390" s="1">
        <v>0</v>
      </c>
      <c r="D29390" s="1">
        <v>0</v>
      </c>
      <c r="E29390" s="1">
        <v>4.08296586640535E-5</v>
      </c>
      <c r="F29390" s="1">
        <v>1.4386564100055601E-6</v>
      </c>
    </row>
    <row r="29391" spans="1:6" x14ac:dyDescent="0.25">
      <c r="A29391" s="2" t="str">
        <f t="shared" si="1053"/>
        <v>39580</v>
      </c>
      <c r="B29391" s="2" t="str">
        <f>"27676"</f>
        <v>27676</v>
      </c>
      <c r="C29391" s="1">
        <v>0</v>
      </c>
      <c r="D29391" s="1">
        <v>3.6517007796381097E-5</v>
      </c>
      <c r="E29391" s="1">
        <v>1.2248897599216E-4</v>
      </c>
      <c r="F29391" s="1">
        <v>7.1932820500278302E-6</v>
      </c>
    </row>
    <row r="29392" spans="1:6" x14ac:dyDescent="0.25">
      <c r="A29392" s="2" t="str">
        <f t="shared" si="1053"/>
        <v>39580</v>
      </c>
      <c r="B29392" s="2" t="str">
        <f>"27661"</f>
        <v>27661</v>
      </c>
      <c r="C29392" s="1">
        <v>2.8903986801595203E-4</v>
      </c>
      <c r="D29392" s="1">
        <v>3.0674286548960099E-3</v>
      </c>
      <c r="E29392" s="1">
        <v>4.08296586640535E-5</v>
      </c>
      <c r="F29392" s="1">
        <v>4.9921377427193105E-4</v>
      </c>
    </row>
    <row r="29393" spans="1:6" x14ac:dyDescent="0.25">
      <c r="A29393" s="2" t="str">
        <f t="shared" si="1053"/>
        <v>39580</v>
      </c>
      <c r="B29393" s="2" t="str">
        <f>"27619"</f>
        <v>27619</v>
      </c>
      <c r="C29393" s="1">
        <v>1.7196248327465899E-3</v>
      </c>
      <c r="D29393" s="1">
        <v>1.0078694151801199E-2</v>
      </c>
      <c r="E29393" s="1">
        <v>4.08296586640535E-5</v>
      </c>
      <c r="F29393" s="1">
        <v>2.3191141329289701E-3</v>
      </c>
    </row>
    <row r="29394" spans="1:6" x14ac:dyDescent="0.25">
      <c r="A29394" s="2" t="str">
        <f t="shared" si="1053"/>
        <v>39580</v>
      </c>
      <c r="B29394" s="2" t="str">
        <f>"27617"</f>
        <v>27617</v>
      </c>
      <c r="C29394" s="1">
        <v>1.6634406786266299E-2</v>
      </c>
      <c r="D29394" s="1">
        <v>1.98835107451295E-2</v>
      </c>
      <c r="E29394" s="1">
        <v>3.38886166911644E-2</v>
      </c>
      <c r="F29394" s="1">
        <v>1.7498377914897702E-2</v>
      </c>
    </row>
    <row r="29395" spans="1:6" x14ac:dyDescent="0.25">
      <c r="A29395" s="2" t="str">
        <f t="shared" si="1053"/>
        <v>39580</v>
      </c>
      <c r="B29395" s="2" t="str">
        <f>"27603"</f>
        <v>27603</v>
      </c>
      <c r="C29395" s="1">
        <v>3.94831707348757E-2</v>
      </c>
      <c r="D29395" s="1">
        <v>4.5883620296152901E-2</v>
      </c>
      <c r="E29395" s="1">
        <v>4.4953454189122902E-2</v>
      </c>
      <c r="F29395" s="1">
        <v>4.0180234875045399E-2</v>
      </c>
    </row>
    <row r="29396" spans="1:6" x14ac:dyDescent="0.25">
      <c r="A29396" s="2" t="str">
        <f t="shared" si="1053"/>
        <v>39580</v>
      </c>
      <c r="B29396" s="2" t="str">
        <f>"27523"</f>
        <v>27523</v>
      </c>
      <c r="C29396" s="1">
        <v>9.18594681666428E-3</v>
      </c>
      <c r="D29396" s="1">
        <v>4.1081633770928801E-3</v>
      </c>
      <c r="E29396" s="1">
        <v>1.2248897599216001E-3</v>
      </c>
      <c r="F29396" s="1">
        <v>8.5053366959529104E-3</v>
      </c>
    </row>
    <row r="29397" spans="1:6" x14ac:dyDescent="0.25">
      <c r="A29397" s="2" t="str">
        <f t="shared" si="1053"/>
        <v>39580</v>
      </c>
      <c r="B29397" s="2" t="str">
        <f>"27520"</f>
        <v>27520</v>
      </c>
      <c r="C29397" s="1">
        <v>3.08379558061289E-2</v>
      </c>
      <c r="D29397" s="1">
        <v>2.0997279482919101E-2</v>
      </c>
      <c r="E29397" s="1">
        <v>1.4453699167074899E-2</v>
      </c>
      <c r="F29397" s="1">
        <v>2.9485263123064102E-2</v>
      </c>
    </row>
    <row r="29398" spans="1:6" x14ac:dyDescent="0.25">
      <c r="A29398" s="2" t="str">
        <f t="shared" si="1053"/>
        <v>39580</v>
      </c>
      <c r="B29398" s="2" t="str">
        <f>"27571"</f>
        <v>27571</v>
      </c>
      <c r="C29398" s="1">
        <v>5.7304589563387399E-3</v>
      </c>
      <c r="D29398" s="1">
        <v>5.5323266811517398E-3</v>
      </c>
      <c r="E29398" s="1">
        <v>5.7161522129674897E-4</v>
      </c>
      <c r="F29398" s="1">
        <v>5.5330725528814099E-3</v>
      </c>
    </row>
    <row r="29399" spans="1:6" x14ac:dyDescent="0.25">
      <c r="A29399" s="2" t="str">
        <f t="shared" si="1053"/>
        <v>39580</v>
      </c>
      <c r="B29399" s="2" t="str">
        <f>"27542"</f>
        <v>27542</v>
      </c>
      <c r="C29399" s="1">
        <v>4.6684810143026003E-3</v>
      </c>
      <c r="D29399" s="1">
        <v>1.80759188592086E-3</v>
      </c>
      <c r="E29399" s="1">
        <v>4.4912624530458897E-4</v>
      </c>
      <c r="F29399" s="1">
        <v>4.2943893838666104E-3</v>
      </c>
    </row>
    <row r="29400" spans="1:6" x14ac:dyDescent="0.25">
      <c r="A29400" s="2" t="str">
        <f t="shared" si="1053"/>
        <v>39580</v>
      </c>
      <c r="B29400" s="2" t="str">
        <f>"27512"</f>
        <v>27512</v>
      </c>
      <c r="C29400" s="1">
        <v>1.99405032541342E-3</v>
      </c>
      <c r="D29400" s="1">
        <v>1.30548302872062E-2</v>
      </c>
      <c r="E29400" s="1">
        <v>4.08296586640535E-5</v>
      </c>
      <c r="F29400" s="1">
        <v>2.7967480610508202E-3</v>
      </c>
    </row>
    <row r="29401" spans="1:6" x14ac:dyDescent="0.25">
      <c r="A29401" s="2" t="str">
        <f t="shared" si="1053"/>
        <v>39580</v>
      </c>
      <c r="B29401" s="2" t="str">
        <f>"27504"</f>
        <v>27504</v>
      </c>
      <c r="C29401" s="1">
        <v>1.34809493498226E-2</v>
      </c>
      <c r="D29401" s="1">
        <v>1.4643320126348801E-2</v>
      </c>
      <c r="E29401" s="1">
        <v>8.2067613914747605E-3</v>
      </c>
      <c r="F29401" s="1">
        <v>1.3386697895101799E-2</v>
      </c>
    </row>
    <row r="29402" spans="1:6" x14ac:dyDescent="0.25">
      <c r="A29402" s="2" t="str">
        <f t="shared" si="1053"/>
        <v>39580</v>
      </c>
      <c r="B29402" s="2" t="str">
        <f>"27609"</f>
        <v>27609</v>
      </c>
      <c r="C29402" s="1">
        <v>3.04628535055015E-2</v>
      </c>
      <c r="D29402" s="1">
        <v>5.6838722635067201E-2</v>
      </c>
      <c r="E29402" s="1">
        <v>7.8229626000326596E-2</v>
      </c>
      <c r="F29402" s="1">
        <v>3.42241973376224E-2</v>
      </c>
    </row>
    <row r="29403" spans="1:6" x14ac:dyDescent="0.25">
      <c r="A29403" s="2" t="str">
        <f t="shared" si="1053"/>
        <v>39580</v>
      </c>
      <c r="B29403" s="2" t="str">
        <f>"27604"</f>
        <v>27604</v>
      </c>
      <c r="C29403" s="1">
        <v>3.2706972031333201E-2</v>
      </c>
      <c r="D29403" s="1">
        <v>3.6644817323668401E-2</v>
      </c>
      <c r="E29403" s="1">
        <v>5.7937285644292E-2</v>
      </c>
      <c r="F29403" s="1">
        <v>3.3906254271011203E-2</v>
      </c>
    </row>
    <row r="29404" spans="1:6" x14ac:dyDescent="0.25">
      <c r="A29404" s="2" t="str">
        <f t="shared" si="1053"/>
        <v>39580</v>
      </c>
      <c r="B29404" s="2" t="str">
        <f>"27593"</f>
        <v>27593</v>
      </c>
      <c r="C29404" s="1">
        <v>0</v>
      </c>
      <c r="D29404" s="1">
        <v>1.8258503898190501E-5</v>
      </c>
      <c r="E29404" s="1">
        <v>0</v>
      </c>
      <c r="F29404" s="1">
        <v>1.4386564100055601E-6</v>
      </c>
    </row>
    <row r="29405" spans="1:6" x14ac:dyDescent="0.25">
      <c r="A29405" s="2" t="str">
        <f t="shared" si="1053"/>
        <v>39580</v>
      </c>
      <c r="B29405" s="2" t="str">
        <f>"27615"</f>
        <v>27615</v>
      </c>
      <c r="C29405" s="1">
        <v>3.1994115278192702E-2</v>
      </c>
      <c r="D29405" s="1">
        <v>4.3400463765999001E-2</v>
      </c>
      <c r="E29405" s="1">
        <v>5.01796504981218E-2</v>
      </c>
      <c r="F29405" s="1">
        <v>3.3533642260819702E-2</v>
      </c>
    </row>
    <row r="29406" spans="1:6" x14ac:dyDescent="0.25">
      <c r="A29406" s="2" t="str">
        <f t="shared" si="1053"/>
        <v>39580</v>
      </c>
      <c r="B29406" s="2" t="str">
        <f>"27537"</f>
        <v>27537</v>
      </c>
      <c r="C29406" s="1">
        <v>7.87552449369308E-4</v>
      </c>
      <c r="D29406" s="1">
        <v>1.4606803118552401E-4</v>
      </c>
      <c r="E29406" s="1">
        <v>0</v>
      </c>
      <c r="F29406" s="1">
        <v>7.0925761013274405E-4</v>
      </c>
    </row>
    <row r="29407" spans="1:6" x14ac:dyDescent="0.25">
      <c r="A29407" s="2" t="str">
        <f t="shared" si="1053"/>
        <v>39580</v>
      </c>
      <c r="B29407" s="2" t="str">
        <f>"27549"</f>
        <v>27549</v>
      </c>
      <c r="C29407" s="1">
        <v>1.7680146533470099E-2</v>
      </c>
      <c r="D29407" s="1">
        <v>1.4150340521097701E-2</v>
      </c>
      <c r="E29407" s="1">
        <v>4.3687734770537301E-3</v>
      </c>
      <c r="F29407" s="1">
        <v>1.6932985945765502E-2</v>
      </c>
    </row>
    <row r="29408" spans="1:6" x14ac:dyDescent="0.25">
      <c r="A29408" s="2" t="str">
        <f t="shared" ref="A29408:A29439" si="1054">"11700"</f>
        <v>11700</v>
      </c>
      <c r="B29408" s="2" t="str">
        <f>"28806"</f>
        <v>28806</v>
      </c>
      <c r="C29408" s="1">
        <v>8.4072160544955393E-2</v>
      </c>
      <c r="D29408" s="1">
        <v>8.7776052449965405E-2</v>
      </c>
      <c r="E29408" s="1">
        <v>0.13262370540851501</v>
      </c>
      <c r="F29408" s="1">
        <v>8.5486473215329498E-2</v>
      </c>
    </row>
    <row r="29409" spans="1:6" x14ac:dyDescent="0.25">
      <c r="A29409" s="2" t="str">
        <f t="shared" si="1054"/>
        <v>11700</v>
      </c>
      <c r="B29409" s="2" t="str">
        <f>"28748"</f>
        <v>28748</v>
      </c>
      <c r="C29409" s="1">
        <v>2.24898136558297E-2</v>
      </c>
      <c r="D29409" s="1">
        <v>4.01138716356107E-3</v>
      </c>
      <c r="E29409" s="1">
        <v>8.1990794016110393E-3</v>
      </c>
      <c r="F29409" s="1">
        <v>2.0726928973941801E-2</v>
      </c>
    </row>
    <row r="29410" spans="1:6" x14ac:dyDescent="0.25">
      <c r="A29410" s="2" t="str">
        <f t="shared" si="1054"/>
        <v>11700</v>
      </c>
      <c r="B29410" s="2" t="str">
        <f>"28739"</f>
        <v>28739</v>
      </c>
      <c r="C29410" s="1">
        <v>4.5915619556295098E-2</v>
      </c>
      <c r="D29410" s="1">
        <v>1.53122843340234E-2</v>
      </c>
      <c r="E29410" s="1">
        <v>5.8112773302646699E-2</v>
      </c>
      <c r="F29410" s="1">
        <v>4.3828853354889702E-2</v>
      </c>
    </row>
    <row r="29411" spans="1:6" x14ac:dyDescent="0.25">
      <c r="A29411" s="2" t="str">
        <f t="shared" si="1054"/>
        <v>11700</v>
      </c>
      <c r="B29411" s="2" t="str">
        <f>"28768"</f>
        <v>28768</v>
      </c>
      <c r="C29411" s="1">
        <v>2.2285529634183002E-5</v>
      </c>
      <c r="D29411" s="1">
        <v>0</v>
      </c>
      <c r="E29411" s="1">
        <v>0</v>
      </c>
      <c r="F29411" s="1">
        <v>2.00421553333845E-5</v>
      </c>
    </row>
    <row r="29412" spans="1:6" x14ac:dyDescent="0.25">
      <c r="A29412" s="2" t="str">
        <f t="shared" si="1054"/>
        <v>11700</v>
      </c>
      <c r="B29412" s="2" t="str">
        <f>"28816"</f>
        <v>28816</v>
      </c>
      <c r="C29412" s="1">
        <v>5.70138133141182E-3</v>
      </c>
      <c r="D29412" s="1">
        <v>1.7857142857142801E-2</v>
      </c>
      <c r="E29412" s="1">
        <v>2.8768699654775599E-4</v>
      </c>
      <c r="F29412" s="1">
        <v>6.5170408425722099E-3</v>
      </c>
    </row>
    <row r="29413" spans="1:6" x14ac:dyDescent="0.25">
      <c r="A29413" s="2" t="str">
        <f t="shared" si="1054"/>
        <v>11700</v>
      </c>
      <c r="B29413" s="2" t="str">
        <f>"28805"</f>
        <v>28805</v>
      </c>
      <c r="C29413" s="1">
        <v>3.8587394561587898E-2</v>
      </c>
      <c r="D29413" s="1">
        <v>2.97187715665976E-2</v>
      </c>
      <c r="E29413" s="1">
        <v>5.79689298043728E-2</v>
      </c>
      <c r="F29413" s="1">
        <v>3.8350664230431299E-2</v>
      </c>
    </row>
    <row r="29414" spans="1:6" x14ac:dyDescent="0.25">
      <c r="A29414" s="2" t="str">
        <f t="shared" si="1054"/>
        <v>11700</v>
      </c>
      <c r="B29414" s="2" t="str">
        <f>"28743"</f>
        <v>28743</v>
      </c>
      <c r="C29414" s="1">
        <v>4.3865350829950201E-3</v>
      </c>
      <c r="D29414" s="1">
        <v>4.52898550724637E-3</v>
      </c>
      <c r="E29414" s="1">
        <v>3.1645569620253099E-3</v>
      </c>
      <c r="F29414" s="1">
        <v>4.3691898626778301E-3</v>
      </c>
    </row>
    <row r="29415" spans="1:6" x14ac:dyDescent="0.25">
      <c r="A29415" s="2" t="str">
        <f t="shared" si="1054"/>
        <v>11700</v>
      </c>
      <c r="B29415" s="2" t="str">
        <f>"28738"</f>
        <v>28738</v>
      </c>
      <c r="C29415" s="1">
        <v>2.70026334067517E-3</v>
      </c>
      <c r="D29415" s="1">
        <v>2.1135265700482999E-3</v>
      </c>
      <c r="E29415" s="1">
        <v>2.8768699654775599E-4</v>
      </c>
      <c r="F29415" s="1">
        <v>2.5987994748955302E-3</v>
      </c>
    </row>
    <row r="29416" spans="1:6" x14ac:dyDescent="0.25">
      <c r="A29416" s="2" t="str">
        <f t="shared" si="1054"/>
        <v>11700</v>
      </c>
      <c r="B29416" s="2" t="str">
        <f>"28723"</f>
        <v>28723</v>
      </c>
      <c r="C29416" s="1">
        <v>7.4285098780610098E-6</v>
      </c>
      <c r="D29416" s="1">
        <v>0</v>
      </c>
      <c r="E29416" s="1">
        <v>0</v>
      </c>
      <c r="F29416" s="1">
        <v>6.68071844446151E-6</v>
      </c>
    </row>
    <row r="29417" spans="1:6" x14ac:dyDescent="0.25">
      <c r="A29417" s="2" t="str">
        <f t="shared" si="1054"/>
        <v>11700</v>
      </c>
      <c r="B29417" s="2" t="str">
        <f>"28732"</f>
        <v>28732</v>
      </c>
      <c r="C29417" s="1">
        <v>3.5211136822009097E-2</v>
      </c>
      <c r="D29417" s="1">
        <v>3.29537612146307E-2</v>
      </c>
      <c r="E29417" s="1">
        <v>1.75489067894131E-2</v>
      </c>
      <c r="F29417" s="1">
        <v>3.4626163697644E-2</v>
      </c>
    </row>
    <row r="29418" spans="1:6" x14ac:dyDescent="0.25">
      <c r="A29418" s="2" t="str">
        <f t="shared" si="1054"/>
        <v>11700</v>
      </c>
      <c r="B29418" s="2" t="str">
        <f>"28731"</f>
        <v>28731</v>
      </c>
      <c r="C29418" s="1">
        <v>2.1921532650158001E-2</v>
      </c>
      <c r="D29418" s="1">
        <v>1.8676673567977899E-2</v>
      </c>
      <c r="E29418" s="1">
        <v>6.9044879171461402E-3</v>
      </c>
      <c r="F29418" s="1">
        <v>2.13215129154989E-2</v>
      </c>
    </row>
    <row r="29419" spans="1:6" x14ac:dyDescent="0.25">
      <c r="A29419" s="2" t="str">
        <f t="shared" si="1054"/>
        <v>11700</v>
      </c>
      <c r="B29419" s="2" t="str">
        <f>"28726"</f>
        <v>28726</v>
      </c>
      <c r="C29419" s="1">
        <v>8.7024993221484701E-3</v>
      </c>
      <c r="D29419" s="1">
        <v>8.1090407177363596E-3</v>
      </c>
      <c r="E29419" s="1">
        <v>4.3153049482163404E-3</v>
      </c>
      <c r="F29419" s="1">
        <v>8.5546599681329705E-3</v>
      </c>
    </row>
    <row r="29420" spans="1:6" x14ac:dyDescent="0.25">
      <c r="A29420" s="2" t="str">
        <f t="shared" si="1054"/>
        <v>11700</v>
      </c>
      <c r="B29420" s="2" t="str">
        <f>"28792"</f>
        <v>28792</v>
      </c>
      <c r="C29420" s="1">
        <v>6.4215753640898404E-2</v>
      </c>
      <c r="D29420" s="1">
        <v>7.8847481021393995E-2</v>
      </c>
      <c r="E29420" s="1">
        <v>9.6662830840045996E-2</v>
      </c>
      <c r="F29420" s="1">
        <v>6.6102368648724402E-2</v>
      </c>
    </row>
    <row r="29421" spans="1:6" x14ac:dyDescent="0.25">
      <c r="A29421" s="2" t="str">
        <f t="shared" si="1054"/>
        <v>11700</v>
      </c>
      <c r="B29421" s="2" t="str">
        <f>"28757"</f>
        <v>28757</v>
      </c>
      <c r="C29421" s="1">
        <v>3.3094011506761799E-3</v>
      </c>
      <c r="D29421" s="1">
        <v>1.5959282263630001E-3</v>
      </c>
      <c r="E29421" s="1">
        <v>2.8768699654775599E-4</v>
      </c>
      <c r="F29421" s="1">
        <v>3.1065340766746E-3</v>
      </c>
    </row>
    <row r="29422" spans="1:6" x14ac:dyDescent="0.25">
      <c r="A29422" s="2" t="str">
        <f t="shared" si="1054"/>
        <v>11700</v>
      </c>
      <c r="B29422" s="2" t="str">
        <f>"28758"</f>
        <v>28758</v>
      </c>
      <c r="C29422" s="1">
        <v>5.9130938629365602E-3</v>
      </c>
      <c r="D29422" s="1">
        <v>3.49378881987577E-3</v>
      </c>
      <c r="E29422" s="1">
        <v>1.4384349827387799E-4</v>
      </c>
      <c r="F29422" s="1">
        <v>5.5917613380142899E-3</v>
      </c>
    </row>
    <row r="29423" spans="1:6" x14ac:dyDescent="0.25">
      <c r="A29423" s="2" t="str">
        <f t="shared" si="1054"/>
        <v>11700</v>
      </c>
      <c r="B29423" s="2" t="str">
        <f>"28754"</f>
        <v>28754</v>
      </c>
      <c r="C29423" s="1">
        <v>1.43407383195967E-2</v>
      </c>
      <c r="D29423" s="1">
        <v>5.7798481711525103E-3</v>
      </c>
      <c r="E29423" s="1">
        <v>1.0212888377445301E-2</v>
      </c>
      <c r="F29423" s="1">
        <v>1.35819005975902E-2</v>
      </c>
    </row>
    <row r="29424" spans="1:6" x14ac:dyDescent="0.25">
      <c r="A29424" s="2" t="str">
        <f t="shared" si="1054"/>
        <v>11700</v>
      </c>
      <c r="B29424" s="2" t="str">
        <f>"28753"</f>
        <v>28753</v>
      </c>
      <c r="C29424" s="1">
        <v>2.48372227772969E-2</v>
      </c>
      <c r="D29424" s="1">
        <v>1.10420979986197E-2</v>
      </c>
      <c r="E29424" s="1">
        <v>8.6306098964326807E-3</v>
      </c>
      <c r="F29424" s="1">
        <v>2.3392535633281999E-2</v>
      </c>
    </row>
    <row r="29425" spans="1:6" x14ac:dyDescent="0.25">
      <c r="A29425" s="2" t="str">
        <f t="shared" si="1054"/>
        <v>11700</v>
      </c>
      <c r="B29425" s="2" t="str">
        <f>"28701"</f>
        <v>28701</v>
      </c>
      <c r="C29425" s="1">
        <v>7.56965156574416E-3</v>
      </c>
      <c r="D29425" s="1">
        <v>4.7446514837819101E-4</v>
      </c>
      <c r="E29425" s="1">
        <v>3.3084004602991898E-3</v>
      </c>
      <c r="F29425" s="1">
        <v>6.9212243084621301E-3</v>
      </c>
    </row>
    <row r="29426" spans="1:6" x14ac:dyDescent="0.25">
      <c r="A29426" s="2" t="str">
        <f t="shared" si="1054"/>
        <v>11700</v>
      </c>
      <c r="B29426" s="2" t="str">
        <f>"28728"</f>
        <v>28728</v>
      </c>
      <c r="C29426" s="1">
        <v>2.8005482240290001E-3</v>
      </c>
      <c r="D29426" s="1">
        <v>5.2622498274672103E-3</v>
      </c>
      <c r="E29426" s="1">
        <v>5.7537399309551198E-4</v>
      </c>
      <c r="F29426" s="1">
        <v>2.9395161155630601E-3</v>
      </c>
    </row>
    <row r="29427" spans="1:6" x14ac:dyDescent="0.25">
      <c r="A29427" s="2" t="str">
        <f t="shared" si="1054"/>
        <v>11700</v>
      </c>
      <c r="B29427" s="2" t="str">
        <f>"28790"</f>
        <v>28790</v>
      </c>
      <c r="C29427" s="1">
        <v>7.4730809373293704E-3</v>
      </c>
      <c r="D29427" s="1">
        <v>2.5879917184265001E-3</v>
      </c>
      <c r="E29427" s="1">
        <v>2.7330264672036802E-3</v>
      </c>
      <c r="F29427" s="1">
        <v>6.98469113368451E-3</v>
      </c>
    </row>
    <row r="29428" spans="1:6" x14ac:dyDescent="0.25">
      <c r="A29428" s="2" t="str">
        <f t="shared" si="1054"/>
        <v>11700</v>
      </c>
      <c r="B29428" s="2" t="str">
        <f>"28770"</f>
        <v>28770</v>
      </c>
      <c r="C29428" s="1">
        <v>0</v>
      </c>
      <c r="D29428" s="1">
        <v>0</v>
      </c>
      <c r="E29428" s="1">
        <v>1.4384349827387799E-4</v>
      </c>
      <c r="F29428" s="1">
        <v>3.3403592222307499E-6</v>
      </c>
    </row>
    <row r="29429" spans="1:6" x14ac:dyDescent="0.25">
      <c r="A29429" s="2" t="str">
        <f t="shared" si="1054"/>
        <v>11700</v>
      </c>
      <c r="B29429" s="2" t="str">
        <f>"28766"</f>
        <v>28766</v>
      </c>
      <c r="C29429" s="1">
        <v>2.8599763030534797E-4</v>
      </c>
      <c r="D29429" s="1">
        <v>1.72532781228433E-4</v>
      </c>
      <c r="E29429" s="1">
        <v>0</v>
      </c>
      <c r="F29429" s="1">
        <v>2.7056909700069103E-4</v>
      </c>
    </row>
    <row r="29430" spans="1:6" x14ac:dyDescent="0.25">
      <c r="A29430" s="2" t="str">
        <f t="shared" si="1054"/>
        <v>11700</v>
      </c>
      <c r="B29430" s="2" t="str">
        <f>"28778"</f>
        <v>28778</v>
      </c>
      <c r="C29430" s="1">
        <v>2.18286762766822E-2</v>
      </c>
      <c r="D29430" s="1">
        <v>1.79865424430641E-2</v>
      </c>
      <c r="E29430" s="1">
        <v>7.0483314154200201E-3</v>
      </c>
      <c r="F29430" s="1">
        <v>2.1187898546609699E-2</v>
      </c>
    </row>
    <row r="29431" spans="1:6" x14ac:dyDescent="0.25">
      <c r="A29431" s="2" t="str">
        <f t="shared" si="1054"/>
        <v>11700</v>
      </c>
      <c r="B29431" s="2" t="str">
        <f>"28776"</f>
        <v>28776</v>
      </c>
      <c r="C29431" s="1">
        <v>6.2362340426322096E-3</v>
      </c>
      <c r="D29431" s="1">
        <v>1.0697032436162801E-2</v>
      </c>
      <c r="E29431" s="1">
        <v>1.4384349827387799E-4</v>
      </c>
      <c r="F29431" s="1">
        <v>6.4402125804608997E-3</v>
      </c>
    </row>
    <row r="29432" spans="1:6" x14ac:dyDescent="0.25">
      <c r="A29432" s="2" t="str">
        <f t="shared" si="1054"/>
        <v>11700</v>
      </c>
      <c r="B29432" s="2" t="str">
        <f>"28719"</f>
        <v>28719</v>
      </c>
      <c r="C29432" s="1">
        <v>7.4285098780610098E-6</v>
      </c>
      <c r="D29432" s="1">
        <v>0</v>
      </c>
      <c r="E29432" s="1">
        <v>0</v>
      </c>
      <c r="F29432" s="1">
        <v>6.68071844446151E-6</v>
      </c>
    </row>
    <row r="29433" spans="1:6" x14ac:dyDescent="0.25">
      <c r="A29433" s="2" t="str">
        <f t="shared" si="1054"/>
        <v>11700</v>
      </c>
      <c r="B29433" s="2" t="str">
        <f>"28721"</f>
        <v>28721</v>
      </c>
      <c r="C29433" s="1">
        <v>2.3659803961624301E-2</v>
      </c>
      <c r="D29433" s="1">
        <v>1.28536922015182E-2</v>
      </c>
      <c r="E29433" s="1">
        <v>9.6375143843498191E-3</v>
      </c>
      <c r="F29433" s="1">
        <v>2.24973193617241E-2</v>
      </c>
    </row>
    <row r="29434" spans="1:6" x14ac:dyDescent="0.25">
      <c r="A29434" s="2" t="str">
        <f t="shared" si="1054"/>
        <v>11700</v>
      </c>
      <c r="B29434" s="2" t="str">
        <f>"28714"</f>
        <v>28714</v>
      </c>
      <c r="C29434" s="1">
        <v>4.0856804329335499E-5</v>
      </c>
      <c r="D29434" s="1">
        <v>0</v>
      </c>
      <c r="E29434" s="1">
        <v>0</v>
      </c>
      <c r="F29434" s="1">
        <v>3.6743951444538298E-5</v>
      </c>
    </row>
    <row r="29435" spans="1:6" x14ac:dyDescent="0.25">
      <c r="A29435" s="2" t="str">
        <f t="shared" si="1054"/>
        <v>11700</v>
      </c>
      <c r="B29435" s="2" t="str">
        <f>"28711"</f>
        <v>28711</v>
      </c>
      <c r="C29435" s="1">
        <v>3.2908298759810203E-2</v>
      </c>
      <c r="D29435" s="1">
        <v>3.3428226363008899E-2</v>
      </c>
      <c r="E29435" s="1">
        <v>2.4597238204833099E-2</v>
      </c>
      <c r="F29435" s="1">
        <v>3.2755562533194803E-2</v>
      </c>
    </row>
    <row r="29436" spans="1:6" x14ac:dyDescent="0.25">
      <c r="A29436" s="2" t="str">
        <f t="shared" si="1054"/>
        <v>11700</v>
      </c>
      <c r="B29436" s="2" t="str">
        <f>"28742"</f>
        <v>28742</v>
      </c>
      <c r="C29436" s="1">
        <v>7.5250805064757996E-3</v>
      </c>
      <c r="D29436" s="1">
        <v>5.0897170462387798E-3</v>
      </c>
      <c r="E29436" s="1">
        <v>7.1921749136939002E-4</v>
      </c>
      <c r="F29436" s="1">
        <v>7.1784319685738998E-3</v>
      </c>
    </row>
    <row r="29437" spans="1:6" x14ac:dyDescent="0.25">
      <c r="A29437" s="2" t="str">
        <f t="shared" si="1054"/>
        <v>11700</v>
      </c>
      <c r="B29437" s="2" t="str">
        <f>"28724"</f>
        <v>28724</v>
      </c>
      <c r="C29437" s="1">
        <v>3.7773972729940198E-3</v>
      </c>
      <c r="D29437" s="1">
        <v>1.9409937888198699E-3</v>
      </c>
      <c r="E29437" s="1">
        <v>2.8768699654775599E-4</v>
      </c>
      <c r="F29437" s="1">
        <v>3.5541422124535202E-3</v>
      </c>
    </row>
    <row r="29438" spans="1:6" x14ac:dyDescent="0.25">
      <c r="A29438" s="2" t="str">
        <f t="shared" si="1054"/>
        <v>11700</v>
      </c>
      <c r="B29438" s="2" t="str">
        <f>"28727"</f>
        <v>28727</v>
      </c>
      <c r="C29438" s="1">
        <v>3.7142549390304998E-6</v>
      </c>
      <c r="D29438" s="1">
        <v>0</v>
      </c>
      <c r="E29438" s="1">
        <v>1.4384349827387799E-4</v>
      </c>
      <c r="F29438" s="1">
        <v>6.68071844446151E-6</v>
      </c>
    </row>
    <row r="29439" spans="1:6" x14ac:dyDescent="0.25">
      <c r="A29439" s="2" t="str">
        <f t="shared" si="1054"/>
        <v>11700</v>
      </c>
      <c r="B29439" s="2" t="str">
        <f>"28773"</f>
        <v>28773</v>
      </c>
      <c r="C29439" s="1">
        <v>2.8971188524437902E-3</v>
      </c>
      <c r="D29439" s="1">
        <v>4.3133195307108297E-5</v>
      </c>
      <c r="E29439" s="1">
        <v>7.1921749136939002E-4</v>
      </c>
      <c r="F29439" s="1">
        <v>2.62552234867337E-3</v>
      </c>
    </row>
    <row r="29440" spans="1:6" x14ac:dyDescent="0.25">
      <c r="A29440" s="2" t="str">
        <f t="shared" ref="A29440:A29469" si="1055">"11700"</f>
        <v>11700</v>
      </c>
      <c r="B29440" s="2" t="str">
        <f>"28779"</f>
        <v>28779</v>
      </c>
      <c r="C29440" s="1">
        <v>1.8571274695152501E-5</v>
      </c>
      <c r="D29440" s="1">
        <v>0</v>
      </c>
      <c r="E29440" s="1">
        <v>0</v>
      </c>
      <c r="F29440" s="1">
        <v>1.67017961111537E-5</v>
      </c>
    </row>
    <row r="29441" spans="1:6" x14ac:dyDescent="0.25">
      <c r="A29441" s="2" t="str">
        <f t="shared" si="1055"/>
        <v>11700</v>
      </c>
      <c r="B29441" s="2" t="str">
        <f>"28786"</f>
        <v>28786</v>
      </c>
      <c r="C29441" s="1">
        <v>4.8051316146237602E-2</v>
      </c>
      <c r="D29441" s="1">
        <v>7.0220841959972302E-2</v>
      </c>
      <c r="E29441" s="1">
        <v>3.5385500575373902E-2</v>
      </c>
      <c r="F29441" s="1">
        <v>4.9474060440459697E-2</v>
      </c>
    </row>
    <row r="29442" spans="1:6" x14ac:dyDescent="0.25">
      <c r="A29442" s="2" t="str">
        <f t="shared" si="1055"/>
        <v>11700</v>
      </c>
      <c r="B29442" s="2" t="str">
        <f>"28756"</f>
        <v>28756</v>
      </c>
      <c r="C29442" s="1">
        <v>1.1142764817091501E-5</v>
      </c>
      <c r="D29442" s="1">
        <v>0</v>
      </c>
      <c r="E29442" s="1">
        <v>0</v>
      </c>
      <c r="F29442" s="1">
        <v>1.0021077666692199E-5</v>
      </c>
    </row>
    <row r="29443" spans="1:6" x14ac:dyDescent="0.25">
      <c r="A29443" s="2" t="str">
        <f t="shared" si="1055"/>
        <v>11700</v>
      </c>
      <c r="B29443" s="2" t="str">
        <f>"28814"</f>
        <v>28814</v>
      </c>
      <c r="C29443" s="1">
        <v>2.99740373579761E-3</v>
      </c>
      <c r="D29443" s="1">
        <v>1.6606280193236699E-2</v>
      </c>
      <c r="E29443" s="1">
        <v>1.4384349827387799E-4</v>
      </c>
      <c r="F29443" s="1">
        <v>3.9850485521212902E-3</v>
      </c>
    </row>
    <row r="29444" spans="1:6" x14ac:dyDescent="0.25">
      <c r="A29444" s="2" t="str">
        <f t="shared" si="1055"/>
        <v>11700</v>
      </c>
      <c r="B29444" s="2" t="str">
        <f>"28815"</f>
        <v>28815</v>
      </c>
      <c r="C29444" s="1">
        <v>4.38282082805599E-3</v>
      </c>
      <c r="D29444" s="1">
        <v>1.0567632850241499E-2</v>
      </c>
      <c r="E29444" s="1">
        <v>2.8768699654775599E-4</v>
      </c>
      <c r="F29444" s="1">
        <v>4.7666926101232899E-3</v>
      </c>
    </row>
    <row r="29445" spans="1:6" x14ac:dyDescent="0.25">
      <c r="A29445" s="2" t="str">
        <f t="shared" si="1055"/>
        <v>11700</v>
      </c>
      <c r="B29445" s="2" t="str">
        <f>"28804"</f>
        <v>28804</v>
      </c>
      <c r="C29445" s="1">
        <v>4.4344489717085198E-2</v>
      </c>
      <c r="D29445" s="1">
        <v>3.52398205659075E-2</v>
      </c>
      <c r="E29445" s="1">
        <v>6.2859608745684595E-2</v>
      </c>
      <c r="F29445" s="1">
        <v>4.4069359218890297E-2</v>
      </c>
    </row>
    <row r="29446" spans="1:6" x14ac:dyDescent="0.25">
      <c r="A29446" s="2" t="str">
        <f t="shared" si="1055"/>
        <v>11700</v>
      </c>
      <c r="B29446" s="2" t="str">
        <f>"28730"</f>
        <v>28730</v>
      </c>
      <c r="C29446" s="1">
        <v>1.7352999075150501E-2</v>
      </c>
      <c r="D29446" s="1">
        <v>5.3053830227743201E-3</v>
      </c>
      <c r="E29446" s="1">
        <v>3.4522439585730701E-3</v>
      </c>
      <c r="F29446" s="1">
        <v>1.6097191091929999E-2</v>
      </c>
    </row>
    <row r="29447" spans="1:6" x14ac:dyDescent="0.25">
      <c r="A29447" s="2" t="str">
        <f t="shared" si="1055"/>
        <v>11700</v>
      </c>
      <c r="B29447" s="2" t="str">
        <f>"28791"</f>
        <v>28791</v>
      </c>
      <c r="C29447" s="1">
        <v>2.6746349815958598E-2</v>
      </c>
      <c r="D29447" s="1">
        <v>2.1092132505175901E-2</v>
      </c>
      <c r="E29447" s="1">
        <v>4.1283084004602899E-2</v>
      </c>
      <c r="F29447" s="1">
        <v>2.6646045515734702E-2</v>
      </c>
    </row>
    <row r="29448" spans="1:6" x14ac:dyDescent="0.25">
      <c r="A29448" s="2" t="str">
        <f t="shared" si="1055"/>
        <v>11700</v>
      </c>
      <c r="B29448" s="2" t="str">
        <f>"28801"</f>
        <v>28801</v>
      </c>
      <c r="C29448" s="1">
        <v>3.1385454234807701E-2</v>
      </c>
      <c r="D29448" s="1">
        <v>0.14026915113871599</v>
      </c>
      <c r="E29448" s="1">
        <v>0.13420598388952801</v>
      </c>
      <c r="F29448" s="1">
        <v>4.2205438772885601E-2</v>
      </c>
    </row>
    <row r="29449" spans="1:6" x14ac:dyDescent="0.25">
      <c r="A29449" s="2" t="str">
        <f t="shared" si="1055"/>
        <v>11700</v>
      </c>
      <c r="B29449" s="2" t="str">
        <f>"28784"</f>
        <v>28784</v>
      </c>
      <c r="C29449" s="1">
        <v>1.26284667927037E-4</v>
      </c>
      <c r="D29449" s="1">
        <v>2.5879917184265001E-4</v>
      </c>
      <c r="E29449" s="1">
        <v>2.8768699654775599E-4</v>
      </c>
      <c r="F29449" s="1">
        <v>1.40295087333691E-4</v>
      </c>
    </row>
    <row r="29450" spans="1:6" x14ac:dyDescent="0.25">
      <c r="A29450" s="2" t="str">
        <f t="shared" si="1055"/>
        <v>11700</v>
      </c>
      <c r="B29450" s="2" t="str">
        <f>"28716"</f>
        <v>28716</v>
      </c>
      <c r="C29450" s="1">
        <v>3.4290001597129603E-2</v>
      </c>
      <c r="D29450" s="1">
        <v>2.1911663216010999E-2</v>
      </c>
      <c r="E29450" s="1">
        <v>1.66858457997698E-2</v>
      </c>
      <c r="F29450" s="1">
        <v>3.2922580494306297E-2</v>
      </c>
    </row>
    <row r="29451" spans="1:6" x14ac:dyDescent="0.25">
      <c r="A29451" s="2" t="str">
        <f t="shared" si="1055"/>
        <v>11700</v>
      </c>
      <c r="B29451" s="2" t="str">
        <f>"28803"</f>
        <v>28803</v>
      </c>
      <c r="C29451" s="1">
        <v>6.8253148759624502E-2</v>
      </c>
      <c r="D29451" s="1">
        <v>8.0659075224292595E-2</v>
      </c>
      <c r="E29451" s="1">
        <v>0.109752589182968</v>
      </c>
      <c r="F29451" s="1">
        <v>7.0177606899846007E-2</v>
      </c>
    </row>
    <row r="29452" spans="1:6" x14ac:dyDescent="0.25">
      <c r="A29452" s="2" t="str">
        <f t="shared" si="1055"/>
        <v>11700</v>
      </c>
      <c r="B29452" s="2" t="str">
        <f>"28735"</f>
        <v>28735</v>
      </c>
      <c r="C29452" s="1">
        <v>4.9028165195202597E-4</v>
      </c>
      <c r="D29452" s="1">
        <v>1.2939958592132501E-4</v>
      </c>
      <c r="E29452" s="1">
        <v>0</v>
      </c>
      <c r="F29452" s="1">
        <v>4.50948495001152E-4</v>
      </c>
    </row>
    <row r="29453" spans="1:6" x14ac:dyDescent="0.25">
      <c r="A29453" s="2" t="str">
        <f t="shared" si="1055"/>
        <v>11700</v>
      </c>
      <c r="B29453" s="2" t="str">
        <f>"28762"</f>
        <v>28762</v>
      </c>
      <c r="C29453" s="1">
        <v>1.8571274695152501E-5</v>
      </c>
      <c r="D29453" s="1">
        <v>0</v>
      </c>
      <c r="E29453" s="1">
        <v>0</v>
      </c>
      <c r="F29453" s="1">
        <v>1.67017961111537E-5</v>
      </c>
    </row>
    <row r="29454" spans="1:6" x14ac:dyDescent="0.25">
      <c r="A29454" s="2" t="str">
        <f t="shared" si="1055"/>
        <v>11700</v>
      </c>
      <c r="B29454" s="2" t="str">
        <f>"28715"</f>
        <v>28715</v>
      </c>
      <c r="C29454" s="1">
        <v>4.9329019845264097E-2</v>
      </c>
      <c r="D29454" s="1">
        <v>1.8719806763285E-2</v>
      </c>
      <c r="E29454" s="1">
        <v>2.79056386651323E-2</v>
      </c>
      <c r="F29454" s="1">
        <v>4.6461056422007603E-2</v>
      </c>
    </row>
    <row r="29455" spans="1:6" x14ac:dyDescent="0.25">
      <c r="A29455" s="2" t="str">
        <f t="shared" si="1055"/>
        <v>11700</v>
      </c>
      <c r="B29455" s="2" t="str">
        <f>"28759"</f>
        <v>28759</v>
      </c>
      <c r="C29455" s="1">
        <v>1.34530313891684E-2</v>
      </c>
      <c r="D29455" s="1">
        <v>1.0438233264320199E-2</v>
      </c>
      <c r="E29455" s="1">
        <v>3.1645569620253099E-3</v>
      </c>
      <c r="F29455" s="1">
        <v>1.29806359375887E-2</v>
      </c>
    </row>
    <row r="29456" spans="1:6" x14ac:dyDescent="0.25">
      <c r="A29456" s="2" t="str">
        <f t="shared" si="1055"/>
        <v>11700</v>
      </c>
      <c r="B29456" s="2" t="str">
        <f>"28810"</f>
        <v>28810</v>
      </c>
      <c r="C29456" s="1">
        <v>0</v>
      </c>
      <c r="D29456" s="1">
        <v>4.3133195307108297E-5</v>
      </c>
      <c r="E29456" s="1">
        <v>1.4384349827387799E-4</v>
      </c>
      <c r="F29456" s="1">
        <v>6.68071844446151E-6</v>
      </c>
    </row>
    <row r="29457" spans="1:6" x14ac:dyDescent="0.25">
      <c r="A29457" s="2" t="str">
        <f t="shared" si="1055"/>
        <v>11700</v>
      </c>
      <c r="B29457" s="2" t="str">
        <f>"28802"</f>
        <v>28802</v>
      </c>
      <c r="C29457" s="1">
        <v>6.6188023013523598E-3</v>
      </c>
      <c r="D29457" s="1">
        <v>3.0279503105590001E-2</v>
      </c>
      <c r="E29457" s="1">
        <v>2.8768699654775599E-4</v>
      </c>
      <c r="F29457" s="1">
        <v>8.3041330264656595E-3</v>
      </c>
    </row>
    <row r="29458" spans="1:6" x14ac:dyDescent="0.25">
      <c r="A29458" s="2" t="str">
        <f t="shared" si="1055"/>
        <v>11700</v>
      </c>
      <c r="B29458" s="2" t="str">
        <f>"28745"</f>
        <v>28745</v>
      </c>
      <c r="C29458" s="1">
        <v>6.2845193568396096E-3</v>
      </c>
      <c r="D29458" s="1">
        <v>5.1759834368530003E-3</v>
      </c>
      <c r="E29458" s="1">
        <v>3.4522439585730701E-3</v>
      </c>
      <c r="F29458" s="1">
        <v>6.13289953201567E-3</v>
      </c>
    </row>
    <row r="29459" spans="1:6" x14ac:dyDescent="0.25">
      <c r="A29459" s="2" t="str">
        <f t="shared" si="1055"/>
        <v>11700</v>
      </c>
      <c r="B29459" s="2" t="str">
        <f>"28729"</f>
        <v>28729</v>
      </c>
      <c r="C29459" s="1">
        <v>4.7951031262883801E-3</v>
      </c>
      <c r="D29459" s="1">
        <v>2.3291925465838501E-3</v>
      </c>
      <c r="E29459" s="1">
        <v>4.6029919447640897E-3</v>
      </c>
      <c r="F29459" s="1">
        <v>4.5996746490117504E-3</v>
      </c>
    </row>
    <row r="29460" spans="1:6" x14ac:dyDescent="0.25">
      <c r="A29460" s="2" t="str">
        <f t="shared" si="1055"/>
        <v>11700</v>
      </c>
      <c r="B29460" s="2" t="str">
        <f>"28793"</f>
        <v>28793</v>
      </c>
      <c r="C29460" s="1">
        <v>9.6682056062963994E-3</v>
      </c>
      <c r="D29460" s="1">
        <v>2.0100069013112402E-2</v>
      </c>
      <c r="E29460" s="1">
        <v>2.8768699654775599E-4</v>
      </c>
      <c r="F29460" s="1">
        <v>1.02582431714706E-2</v>
      </c>
    </row>
    <row r="29461" spans="1:6" x14ac:dyDescent="0.25">
      <c r="A29461" s="2" t="str">
        <f t="shared" si="1055"/>
        <v>11700</v>
      </c>
      <c r="B29461" s="2" t="str">
        <f>"28760"</f>
        <v>28760</v>
      </c>
      <c r="C29461" s="1">
        <v>2.6816920659800199E-3</v>
      </c>
      <c r="D29461" s="1">
        <v>3.1055900621118002E-3</v>
      </c>
      <c r="E29461" s="1">
        <v>4.3153049482163398E-4</v>
      </c>
      <c r="F29461" s="1">
        <v>2.6622663001179101E-3</v>
      </c>
    </row>
    <row r="29462" spans="1:6" x14ac:dyDescent="0.25">
      <c r="A29462" s="2" t="str">
        <f t="shared" si="1055"/>
        <v>11700</v>
      </c>
      <c r="B29462" s="2" t="str">
        <f>"28787"</f>
        <v>28787</v>
      </c>
      <c r="C29462" s="1">
        <v>4.4077063361475002E-2</v>
      </c>
      <c r="D29462" s="1">
        <v>1.51828847481021E-2</v>
      </c>
      <c r="E29462" s="1">
        <v>3.4953970080552302E-2</v>
      </c>
      <c r="F29462" s="1">
        <v>4.16275566274397E-2</v>
      </c>
    </row>
    <row r="29463" spans="1:6" x14ac:dyDescent="0.25">
      <c r="A29463" s="2" t="str">
        <f t="shared" si="1055"/>
        <v>11700</v>
      </c>
      <c r="B29463" s="2" t="str">
        <f>"28751"</f>
        <v>28751</v>
      </c>
      <c r="C29463" s="1">
        <v>1.0648768910200401E-2</v>
      </c>
      <c r="D29463" s="1">
        <v>7.2895100069013102E-3</v>
      </c>
      <c r="E29463" s="1">
        <v>2.3014959723820401E-3</v>
      </c>
      <c r="F29463" s="1">
        <v>1.0194776346248199E-2</v>
      </c>
    </row>
    <row r="29464" spans="1:6" x14ac:dyDescent="0.25">
      <c r="A29464" s="2" t="str">
        <f t="shared" si="1055"/>
        <v>11700</v>
      </c>
      <c r="B29464" s="2" t="str">
        <f>"28709"</f>
        <v>28709</v>
      </c>
      <c r="C29464" s="1">
        <v>4.0893946878725797E-3</v>
      </c>
      <c r="D29464" s="1">
        <v>8.62663906142167E-4</v>
      </c>
      <c r="E29464" s="1">
        <v>0</v>
      </c>
      <c r="F29464" s="1">
        <v>3.7445426881206798E-3</v>
      </c>
    </row>
    <row r="29465" spans="1:6" x14ac:dyDescent="0.25">
      <c r="A29465" s="2" t="str">
        <f t="shared" si="1055"/>
        <v>11700</v>
      </c>
      <c r="B29465" s="2" t="str">
        <f>"28704"</f>
        <v>28704</v>
      </c>
      <c r="C29465" s="1">
        <v>4.6238759735990703E-2</v>
      </c>
      <c r="D29465" s="1">
        <v>5.06383712905452E-2</v>
      </c>
      <c r="E29465" s="1">
        <v>5.8112773302646699E-2</v>
      </c>
      <c r="F29465" s="1">
        <v>4.6855218810230803E-2</v>
      </c>
    </row>
    <row r="29466" spans="1:6" x14ac:dyDescent="0.25">
      <c r="A29466" s="2" t="str">
        <f t="shared" si="1055"/>
        <v>11700</v>
      </c>
      <c r="B29466" s="2" t="str">
        <f>"28655"</f>
        <v>28655</v>
      </c>
      <c r="C29466" s="1">
        <v>7.4285098780610098E-6</v>
      </c>
      <c r="D29466" s="1">
        <v>0</v>
      </c>
      <c r="E29466" s="1">
        <v>0</v>
      </c>
      <c r="F29466" s="1">
        <v>6.68071844446151E-6</v>
      </c>
    </row>
    <row r="29467" spans="1:6" x14ac:dyDescent="0.25">
      <c r="A29467" s="2" t="str">
        <f t="shared" si="1055"/>
        <v>11700</v>
      </c>
      <c r="B29467" s="2" t="str">
        <f>"28813"</f>
        <v>28813</v>
      </c>
      <c r="C29467" s="1">
        <v>6.5853740069010801E-3</v>
      </c>
      <c r="D29467" s="1">
        <v>1.5829882677708702E-2</v>
      </c>
      <c r="E29467" s="1">
        <v>2.8768699654775599E-4</v>
      </c>
      <c r="F29467" s="1">
        <v>7.1550494540182797E-3</v>
      </c>
    </row>
    <row r="29468" spans="1:6" x14ac:dyDescent="0.25">
      <c r="A29468" s="2" t="str">
        <f t="shared" si="1055"/>
        <v>11700</v>
      </c>
      <c r="B29468" s="2" t="str">
        <f>"28785"</f>
        <v>28785</v>
      </c>
      <c r="C29468" s="1">
        <v>1.7705853294358399E-2</v>
      </c>
      <c r="D29468" s="1">
        <v>5.3916494133885396E-3</v>
      </c>
      <c r="E29468" s="1">
        <v>4.1714614499424596E-3</v>
      </c>
      <c r="F29468" s="1">
        <v>1.6437907732597502E-2</v>
      </c>
    </row>
    <row r="29469" spans="1:6" x14ac:dyDescent="0.25">
      <c r="A29469" s="2" t="str">
        <f t="shared" si="1055"/>
        <v>11700</v>
      </c>
      <c r="B29469" s="2" t="str">
        <f>"28710"</f>
        <v>28710</v>
      </c>
      <c r="C29469" s="1">
        <v>0</v>
      </c>
      <c r="D29469" s="1">
        <v>0</v>
      </c>
      <c r="E29469" s="1">
        <v>1.4384349827387799E-4</v>
      </c>
      <c r="F29469" s="1">
        <v>3.3403592222307499E-6</v>
      </c>
    </row>
    <row r="29470" spans="1:6" x14ac:dyDescent="0.25">
      <c r="A29470" s="2" t="str">
        <f t="shared" ref="A29470:A29501" si="1056">"24860"</f>
        <v>24860</v>
      </c>
      <c r="B29470" s="2" t="str">
        <f>"29690"</f>
        <v>29690</v>
      </c>
      <c r="C29470" s="1">
        <v>2.60526680191576E-2</v>
      </c>
      <c r="D29470" s="1">
        <v>2.2978388269903401E-2</v>
      </c>
      <c r="E29470" s="1">
        <v>1.43737166324435E-2</v>
      </c>
      <c r="F29470" s="1">
        <v>2.55996587765321E-2</v>
      </c>
    </row>
    <row r="29471" spans="1:6" x14ac:dyDescent="0.25">
      <c r="A29471" s="2" t="str">
        <f t="shared" si="1056"/>
        <v>24860</v>
      </c>
      <c r="B29471" s="2" t="str">
        <f>"29681"</f>
        <v>29681</v>
      </c>
      <c r="C29471" s="1">
        <v>5.7811294544831103E-2</v>
      </c>
      <c r="D29471" s="1">
        <v>3.3378888605777E-2</v>
      </c>
      <c r="E29471" s="1">
        <v>2.0171518299311499E-2</v>
      </c>
      <c r="F29471" s="1">
        <v>5.51131191339874E-2</v>
      </c>
    </row>
    <row r="29472" spans="1:6" x14ac:dyDescent="0.25">
      <c r="A29472" s="2" t="str">
        <f t="shared" si="1056"/>
        <v>24860</v>
      </c>
      <c r="B29472" s="2" t="str">
        <f>"29606"</f>
        <v>29606</v>
      </c>
      <c r="C29472" s="1">
        <v>3.3695047729155902E-3</v>
      </c>
      <c r="D29472" s="1">
        <v>1.58902967269694E-2</v>
      </c>
      <c r="E29472" s="1">
        <v>1.20787534726416E-4</v>
      </c>
      <c r="F29472" s="1">
        <v>4.3837737182892203E-3</v>
      </c>
    </row>
    <row r="29473" spans="1:6" x14ac:dyDescent="0.25">
      <c r="A29473" s="2" t="str">
        <f t="shared" si="1056"/>
        <v>24860</v>
      </c>
      <c r="B29473" s="2" t="str">
        <f>"29636"</f>
        <v>29636</v>
      </c>
      <c r="C29473" s="1">
        <v>6.9895793723885201E-4</v>
      </c>
      <c r="D29473" s="1">
        <v>8.3389312269810704E-4</v>
      </c>
      <c r="E29473" s="1">
        <v>1.20787534726416E-4</v>
      </c>
      <c r="F29473" s="1">
        <v>7.0100886035706004E-4</v>
      </c>
    </row>
    <row r="29474" spans="1:6" x14ac:dyDescent="0.25">
      <c r="A29474" s="2" t="str">
        <f t="shared" si="1056"/>
        <v>24860</v>
      </c>
      <c r="B29474" s="2" t="str">
        <f>"29621"</f>
        <v>29621</v>
      </c>
      <c r="C29474" s="1">
        <v>4.3893679266225998E-2</v>
      </c>
      <c r="D29474" s="1">
        <v>4.85279470014593E-2</v>
      </c>
      <c r="E29474" s="1">
        <v>5.6045416113057099E-2</v>
      </c>
      <c r="F29474" s="1">
        <v>4.4487404549251298E-2</v>
      </c>
    </row>
    <row r="29475" spans="1:6" x14ac:dyDescent="0.25">
      <c r="A29475" s="2" t="str">
        <f t="shared" si="1056"/>
        <v>24860</v>
      </c>
      <c r="B29475" s="2" t="str">
        <f>"29611"</f>
        <v>29611</v>
      </c>
      <c r="C29475" s="1">
        <v>3.2569681490582703E-2</v>
      </c>
      <c r="D29475" s="1">
        <v>3.3749507771420599E-2</v>
      </c>
      <c r="E29475" s="1">
        <v>4.6020050730764497E-2</v>
      </c>
      <c r="F29475" s="1">
        <v>3.2890150924245597E-2</v>
      </c>
    </row>
    <row r="29476" spans="1:6" x14ac:dyDescent="0.25">
      <c r="A29476" s="2" t="str">
        <f t="shared" si="1056"/>
        <v>24860</v>
      </c>
      <c r="B29476" s="2" t="str">
        <f>"29370"</f>
        <v>29370</v>
      </c>
      <c r="C29476" s="1">
        <v>1.1165743148343901E-3</v>
      </c>
      <c r="D29476" s="1">
        <v>1.6214588496907601E-4</v>
      </c>
      <c r="E29476" s="1">
        <v>0</v>
      </c>
      <c r="F29476" s="1">
        <v>1.01695651572925E-3</v>
      </c>
    </row>
    <row r="29477" spans="1:6" x14ac:dyDescent="0.25">
      <c r="A29477" s="2" t="str">
        <f t="shared" si="1056"/>
        <v>24860</v>
      </c>
      <c r="B29477" s="2" t="str">
        <f>"29689"</f>
        <v>29689</v>
      </c>
      <c r="C29477" s="1">
        <v>5.51253618426113E-3</v>
      </c>
      <c r="D29477" s="1">
        <v>1.29716707975261E-3</v>
      </c>
      <c r="E29477" s="1">
        <v>6.0393767363208103E-4</v>
      </c>
      <c r="F29477" s="1">
        <v>5.0729345415698197E-3</v>
      </c>
    </row>
    <row r="29478" spans="1:6" x14ac:dyDescent="0.25">
      <c r="A29478" s="2" t="str">
        <f t="shared" si="1056"/>
        <v>24860</v>
      </c>
      <c r="B29478" s="2" t="str">
        <f>"29684"</f>
        <v>29684</v>
      </c>
      <c r="C29478" s="1">
        <v>5.0685440354490303E-3</v>
      </c>
      <c r="D29478" s="1">
        <v>1.36665817331078E-3</v>
      </c>
      <c r="E29478" s="1">
        <v>2.41575069452832E-4</v>
      </c>
      <c r="F29478" s="1">
        <v>4.6740506266624198E-3</v>
      </c>
    </row>
    <row r="29479" spans="1:6" x14ac:dyDescent="0.25">
      <c r="A29479" s="2" t="str">
        <f t="shared" si="1056"/>
        <v>24860</v>
      </c>
      <c r="B29479" s="2" t="str">
        <f>"29677"</f>
        <v>29677</v>
      </c>
      <c r="C29479" s="1">
        <v>0</v>
      </c>
      <c r="D29479" s="1">
        <v>2.31636978527252E-5</v>
      </c>
      <c r="E29479" s="1">
        <v>0</v>
      </c>
      <c r="F29479" s="1">
        <v>1.9746728460762201E-6</v>
      </c>
    </row>
    <row r="29480" spans="1:6" x14ac:dyDescent="0.25">
      <c r="A29480" s="2" t="str">
        <f t="shared" si="1056"/>
        <v>24860</v>
      </c>
      <c r="B29480" s="2" t="str">
        <f>"29680"</f>
        <v>29680</v>
      </c>
      <c r="C29480" s="1">
        <v>3.3624712339245098E-2</v>
      </c>
      <c r="D29480" s="1">
        <v>1.5195385791387701E-2</v>
      </c>
      <c r="E29480" s="1">
        <v>6.7641019446792999E-3</v>
      </c>
      <c r="F29480" s="1">
        <v>3.1614512265680302E-2</v>
      </c>
    </row>
    <row r="29481" spans="1:6" x14ac:dyDescent="0.25">
      <c r="A29481" s="2" t="str">
        <f t="shared" si="1056"/>
        <v>24860</v>
      </c>
      <c r="B29481" s="2" t="str">
        <f>"29669"</f>
        <v>29669</v>
      </c>
      <c r="C29481" s="1">
        <v>1.39681688401034E-2</v>
      </c>
      <c r="D29481" s="1">
        <v>7.1112552407866297E-3</v>
      </c>
      <c r="E29481" s="1">
        <v>6.5225268752264701E-3</v>
      </c>
      <c r="F29481" s="1">
        <v>1.3261902834247901E-2</v>
      </c>
    </row>
    <row r="29482" spans="1:6" x14ac:dyDescent="0.25">
      <c r="A29482" s="2" t="str">
        <f t="shared" si="1056"/>
        <v>24860</v>
      </c>
      <c r="B29482" s="2" t="str">
        <f>"29634"</f>
        <v>29634</v>
      </c>
      <c r="C29482" s="1">
        <v>0</v>
      </c>
      <c r="D29482" s="1">
        <v>4.63273957054504E-5</v>
      </c>
      <c r="E29482" s="1">
        <v>0</v>
      </c>
      <c r="F29482" s="1">
        <v>3.9493456921524496E-6</v>
      </c>
    </row>
    <row r="29483" spans="1:6" x14ac:dyDescent="0.25">
      <c r="A29483" s="2" t="str">
        <f t="shared" si="1056"/>
        <v>24860</v>
      </c>
      <c r="B29483" s="2" t="str">
        <f>"29625"</f>
        <v>29625</v>
      </c>
      <c r="C29483" s="1">
        <v>3.1806982106237197E-2</v>
      </c>
      <c r="D29483" s="1">
        <v>2.3534317018368799E-2</v>
      </c>
      <c r="E29483" s="1">
        <v>2.5244594757820898E-2</v>
      </c>
      <c r="F29483" s="1">
        <v>3.0994464992012399E-2</v>
      </c>
    </row>
    <row r="29484" spans="1:6" x14ac:dyDescent="0.25">
      <c r="A29484" s="2" t="str">
        <f t="shared" si="1056"/>
        <v>24860</v>
      </c>
      <c r="B29484" s="2" t="str">
        <f>"29623"</f>
        <v>29623</v>
      </c>
      <c r="C29484" s="1">
        <v>1.2154834568964901E-3</v>
      </c>
      <c r="D29484" s="1">
        <v>3.5208820736142301E-3</v>
      </c>
      <c r="E29484" s="1">
        <v>3.62362604179248E-4</v>
      </c>
      <c r="F29484" s="1">
        <v>1.39806837502196E-3</v>
      </c>
    </row>
    <row r="29485" spans="1:6" x14ac:dyDescent="0.25">
      <c r="A29485" s="2" t="str">
        <f t="shared" si="1056"/>
        <v>24860</v>
      </c>
      <c r="B29485" s="2" t="str">
        <f>"29614"</f>
        <v>29614</v>
      </c>
      <c r="C29485" s="1">
        <v>2.1979809347133699E-6</v>
      </c>
      <c r="D29485" s="1">
        <v>4.63273957054504E-5</v>
      </c>
      <c r="E29485" s="1">
        <v>0</v>
      </c>
      <c r="F29485" s="1">
        <v>5.9240185382286697E-6</v>
      </c>
    </row>
    <row r="29486" spans="1:6" x14ac:dyDescent="0.25">
      <c r="A29486" s="2" t="str">
        <f t="shared" si="1056"/>
        <v>24860</v>
      </c>
      <c r="B29486" s="2" t="str">
        <f>"29355"</f>
        <v>29355</v>
      </c>
      <c r="C29486" s="1">
        <v>5.0993157685350196E-4</v>
      </c>
      <c r="D29486" s="1">
        <v>2.7796437423270202E-4</v>
      </c>
      <c r="E29486" s="1">
        <v>0</v>
      </c>
      <c r="F29486" s="1">
        <v>4.8182017444259897E-4</v>
      </c>
    </row>
    <row r="29487" spans="1:6" x14ac:dyDescent="0.25">
      <c r="A29487" s="2" t="str">
        <f t="shared" si="1056"/>
        <v>24860</v>
      </c>
      <c r="B29487" s="2" t="str">
        <f>"29037"</f>
        <v>29037</v>
      </c>
      <c r="C29487" s="1">
        <v>3.7365675890127299E-5</v>
      </c>
      <c r="D29487" s="1">
        <v>0</v>
      </c>
      <c r="E29487" s="1">
        <v>0</v>
      </c>
      <c r="F29487" s="1">
        <v>3.35694383832958E-5</v>
      </c>
    </row>
    <row r="29488" spans="1:6" x14ac:dyDescent="0.25">
      <c r="A29488" s="2" t="str">
        <f t="shared" si="1056"/>
        <v>24860</v>
      </c>
      <c r="B29488" s="2" t="str">
        <f>"29692"</f>
        <v>29692</v>
      </c>
      <c r="C29488" s="1">
        <v>2.4309669137929802E-3</v>
      </c>
      <c r="D29488" s="1">
        <v>5.5592874846540502E-4</v>
      </c>
      <c r="E29488" s="1">
        <v>4.83150138905664E-4</v>
      </c>
      <c r="F29488" s="1">
        <v>2.2392790074504398E-3</v>
      </c>
    </row>
    <row r="29489" spans="1:6" x14ac:dyDescent="0.25">
      <c r="A29489" s="2" t="str">
        <f t="shared" si="1056"/>
        <v>24860</v>
      </c>
      <c r="B29489" s="2" t="str">
        <f>"29603"</f>
        <v>29603</v>
      </c>
      <c r="C29489" s="1">
        <v>2.6375771216560398E-5</v>
      </c>
      <c r="D29489" s="1">
        <v>2.4090245766834198E-3</v>
      </c>
      <c r="E29489" s="1">
        <v>2.41575069452832E-4</v>
      </c>
      <c r="F29489" s="1">
        <v>2.33011395836994E-4</v>
      </c>
    </row>
    <row r="29490" spans="1:6" x14ac:dyDescent="0.25">
      <c r="A29490" s="2" t="str">
        <f t="shared" si="1056"/>
        <v>24860</v>
      </c>
      <c r="B29490" s="2" t="str">
        <f>"29609"</f>
        <v>29609</v>
      </c>
      <c r="C29490" s="1">
        <v>3.3420300112316802E-2</v>
      </c>
      <c r="D29490" s="1">
        <v>4.1949456811285299E-2</v>
      </c>
      <c r="E29490" s="1">
        <v>5.2904940210170302E-2</v>
      </c>
      <c r="F29490" s="1">
        <v>3.44659398554144E-2</v>
      </c>
    </row>
    <row r="29491" spans="1:6" x14ac:dyDescent="0.25">
      <c r="A29491" s="2" t="str">
        <f t="shared" si="1056"/>
        <v>24860</v>
      </c>
      <c r="B29491" s="2" t="str">
        <f>"29601"</f>
        <v>29601</v>
      </c>
      <c r="C29491" s="1">
        <v>1.9643355613533399E-2</v>
      </c>
      <c r="D29491" s="1">
        <v>6.0503578791318201E-2</v>
      </c>
      <c r="E29491" s="1">
        <v>8.6363087329387606E-2</v>
      </c>
      <c r="F29491" s="1">
        <v>2.4217387784278802E-2</v>
      </c>
    </row>
    <row r="29492" spans="1:6" x14ac:dyDescent="0.25">
      <c r="A29492" s="2" t="str">
        <f t="shared" si="1056"/>
        <v>24860</v>
      </c>
      <c r="B29492" s="2" t="str">
        <f>"29662"</f>
        <v>29662</v>
      </c>
      <c r="C29492" s="1">
        <v>1.5974925433496701E-2</v>
      </c>
      <c r="D29492" s="1">
        <v>2.35806444140742E-2</v>
      </c>
      <c r="E29492" s="1">
        <v>1.7876555139509601E-2</v>
      </c>
      <c r="F29492" s="1">
        <v>1.6654390783806799E-2</v>
      </c>
    </row>
    <row r="29493" spans="1:6" x14ac:dyDescent="0.25">
      <c r="A29493" s="2" t="str">
        <f t="shared" si="1056"/>
        <v>24860</v>
      </c>
      <c r="B29493" s="2" t="str">
        <f>"29617"</f>
        <v>29617</v>
      </c>
      <c r="C29493" s="1">
        <v>2.7367060618116099E-2</v>
      </c>
      <c r="D29493" s="1">
        <v>1.1859813300595301E-2</v>
      </c>
      <c r="E29493" s="1">
        <v>2.4761444618915301E-2</v>
      </c>
      <c r="F29493" s="1">
        <v>2.6002492037131699E-2</v>
      </c>
    </row>
    <row r="29494" spans="1:6" x14ac:dyDescent="0.25">
      <c r="A29494" s="2" t="str">
        <f t="shared" si="1056"/>
        <v>24860</v>
      </c>
      <c r="B29494" s="2" t="str">
        <f>"29616"</f>
        <v>29616</v>
      </c>
      <c r="C29494" s="1">
        <v>1.96059899376432E-3</v>
      </c>
      <c r="D29494" s="1">
        <v>1.6191424799054902E-2</v>
      </c>
      <c r="E29494" s="1">
        <v>1.20787534726416E-4</v>
      </c>
      <c r="F29494" s="1">
        <v>3.1436791709533499E-3</v>
      </c>
    </row>
    <row r="29495" spans="1:6" x14ac:dyDescent="0.25">
      <c r="A29495" s="2" t="str">
        <f t="shared" si="1056"/>
        <v>24860</v>
      </c>
      <c r="B29495" s="2" t="str">
        <f>"29335"</f>
        <v>29335</v>
      </c>
      <c r="C29495" s="1">
        <v>7.5170947967197297E-4</v>
      </c>
      <c r="D29495" s="1">
        <v>2.31636978527252E-4</v>
      </c>
      <c r="E29495" s="1">
        <v>2.41575069452832E-4</v>
      </c>
      <c r="F29495" s="1">
        <v>6.9903418751098402E-4</v>
      </c>
    </row>
    <row r="29496" spans="1:6" x14ac:dyDescent="0.25">
      <c r="A29496" s="2" t="str">
        <f t="shared" si="1056"/>
        <v>24860</v>
      </c>
      <c r="B29496" s="2" t="str">
        <f>"29178"</f>
        <v>29178</v>
      </c>
      <c r="C29496" s="1">
        <v>1.12097027670381E-4</v>
      </c>
      <c r="D29496" s="1">
        <v>4.63273957054504E-5</v>
      </c>
      <c r="E29496" s="1">
        <v>0</v>
      </c>
      <c r="F29496" s="1">
        <v>1.0465766084203899E-4</v>
      </c>
    </row>
    <row r="29497" spans="1:6" x14ac:dyDescent="0.25">
      <c r="A29497" s="2" t="str">
        <f t="shared" si="1056"/>
        <v>24860</v>
      </c>
      <c r="B29497" s="2" t="str">
        <f>"29635"</f>
        <v>29635</v>
      </c>
      <c r="C29497" s="1">
        <v>1.87927369917993E-3</v>
      </c>
      <c r="D29497" s="1">
        <v>3.7061916564360298E-4</v>
      </c>
      <c r="E29497" s="1">
        <v>0</v>
      </c>
      <c r="F29497" s="1">
        <v>1.7199400489323899E-3</v>
      </c>
    </row>
    <row r="29498" spans="1:6" x14ac:dyDescent="0.25">
      <c r="A29498" s="2" t="str">
        <f t="shared" si="1056"/>
        <v>24860</v>
      </c>
      <c r="B29498" s="2" t="str">
        <f>"29642"</f>
        <v>29642</v>
      </c>
      <c r="C29498" s="1">
        <v>3.3319192989319998E-2</v>
      </c>
      <c r="D29498" s="1">
        <v>1.3203307776053301E-2</v>
      </c>
      <c r="E29498" s="1">
        <v>3.6960985626283298E-2</v>
      </c>
      <c r="F29498" s="1">
        <v>3.16638790868322E-2</v>
      </c>
    </row>
    <row r="29499" spans="1:6" x14ac:dyDescent="0.25">
      <c r="A29499" s="2" t="str">
        <f t="shared" si="1056"/>
        <v>24860</v>
      </c>
      <c r="B29499" s="2" t="str">
        <f>"29613"</f>
        <v>29613</v>
      </c>
      <c r="C29499" s="1">
        <v>0</v>
      </c>
      <c r="D29499" s="1">
        <v>2.31636978527252E-5</v>
      </c>
      <c r="E29499" s="1">
        <v>0</v>
      </c>
      <c r="F29499" s="1">
        <v>1.9746728460762201E-6</v>
      </c>
    </row>
    <row r="29500" spans="1:6" x14ac:dyDescent="0.25">
      <c r="A29500" s="2" t="str">
        <f t="shared" si="1056"/>
        <v>24860</v>
      </c>
      <c r="B29500" s="2" t="str">
        <f>"29360"</f>
        <v>29360</v>
      </c>
      <c r="C29500" s="1">
        <v>2.62438923604776E-2</v>
      </c>
      <c r="D29500" s="1">
        <v>2.8861967524495599E-2</v>
      </c>
      <c r="E29500" s="1">
        <v>2.81434955912549E-2</v>
      </c>
      <c r="F29500" s="1">
        <v>2.6498134921496799E-2</v>
      </c>
    </row>
    <row r="29501" spans="1:6" x14ac:dyDescent="0.25">
      <c r="A29501" s="2" t="str">
        <f t="shared" si="1056"/>
        <v>24860</v>
      </c>
      <c r="B29501" s="2" t="str">
        <f>"29322"</f>
        <v>29322</v>
      </c>
      <c r="C29501" s="1">
        <v>1.9122434132006299E-4</v>
      </c>
      <c r="D29501" s="1">
        <v>1.15818489263626E-4</v>
      </c>
      <c r="E29501" s="1">
        <v>0</v>
      </c>
      <c r="F29501" s="1">
        <v>1.81669901839012E-4</v>
      </c>
    </row>
    <row r="29502" spans="1:6" x14ac:dyDescent="0.25">
      <c r="A29502" s="2" t="str">
        <f t="shared" ref="A29502:A29533" si="1057">"24860"</f>
        <v>24860</v>
      </c>
      <c r="B29502" s="2" t="str">
        <f>"29688"</f>
        <v>29688</v>
      </c>
      <c r="C29502" s="1">
        <v>0</v>
      </c>
      <c r="D29502" s="1">
        <v>2.31636978527252E-5</v>
      </c>
      <c r="E29502" s="1">
        <v>1.20787534726416E-4</v>
      </c>
      <c r="F29502" s="1">
        <v>3.9493456921524496E-6</v>
      </c>
    </row>
    <row r="29503" spans="1:6" x14ac:dyDescent="0.25">
      <c r="A29503" s="2" t="str">
        <f t="shared" si="1057"/>
        <v>24860</v>
      </c>
      <c r="B29503" s="2" t="str">
        <f>"29683"</f>
        <v>29683</v>
      </c>
      <c r="C29503" s="1">
        <v>4.3300224413853397E-4</v>
      </c>
      <c r="D29503" s="1">
        <v>2.31636978527252E-5</v>
      </c>
      <c r="E29503" s="1">
        <v>0</v>
      </c>
      <c r="F29503" s="1">
        <v>3.9098522352309201E-4</v>
      </c>
    </row>
    <row r="29504" spans="1:6" x14ac:dyDescent="0.25">
      <c r="A29504" s="2" t="str">
        <f t="shared" si="1057"/>
        <v>24860</v>
      </c>
      <c r="B29504" s="2" t="str">
        <f>"29685"</f>
        <v>29685</v>
      </c>
      <c r="C29504" s="1">
        <v>3.0310157089697399E-3</v>
      </c>
      <c r="D29504" s="1">
        <v>7.4123833128720597E-4</v>
      </c>
      <c r="E29504" s="1">
        <v>2.41575069452832E-4</v>
      </c>
      <c r="F29504" s="1">
        <v>2.7902127315057E-3</v>
      </c>
    </row>
    <row r="29505" spans="1:6" x14ac:dyDescent="0.25">
      <c r="A29505" s="2" t="str">
        <f t="shared" si="1057"/>
        <v>24860</v>
      </c>
      <c r="B29505" s="2" t="str">
        <f>"29667"</f>
        <v>29667</v>
      </c>
      <c r="C29505" s="1">
        <v>2.1540213160190999E-4</v>
      </c>
      <c r="D29505" s="1">
        <v>9.26547914109008E-5</v>
      </c>
      <c r="E29505" s="1">
        <v>0</v>
      </c>
      <c r="F29505" s="1">
        <v>2.0141663029977499E-4</v>
      </c>
    </row>
    <row r="29506" spans="1:6" x14ac:dyDescent="0.25">
      <c r="A29506" s="2" t="str">
        <f t="shared" si="1057"/>
        <v>24860</v>
      </c>
      <c r="B29506" s="2" t="str">
        <f>"29607"</f>
        <v>29607</v>
      </c>
      <c r="C29506" s="1">
        <v>4.8236889593219603E-2</v>
      </c>
      <c r="D29506" s="1">
        <v>0.10523267934493</v>
      </c>
      <c r="E29506" s="1">
        <v>9.3972702017151799E-2</v>
      </c>
      <c r="F29506" s="1">
        <v>5.3843404493960398E-2</v>
      </c>
    </row>
    <row r="29507" spans="1:6" x14ac:dyDescent="0.25">
      <c r="A29507" s="2" t="str">
        <f t="shared" si="1057"/>
        <v>24860</v>
      </c>
      <c r="B29507" s="2" t="str">
        <f>"29602"</f>
        <v>29602</v>
      </c>
      <c r="C29507" s="1">
        <v>2.9716702237324701E-3</v>
      </c>
      <c r="D29507" s="1">
        <v>1.3736072826666E-2</v>
      </c>
      <c r="E29507" s="1">
        <v>1.20787534726416E-4</v>
      </c>
      <c r="F29507" s="1">
        <v>3.84271335846433E-3</v>
      </c>
    </row>
    <row r="29508" spans="1:6" x14ac:dyDescent="0.25">
      <c r="A29508" s="2" t="str">
        <f t="shared" si="1057"/>
        <v>24860</v>
      </c>
      <c r="B29508" s="2" t="str">
        <f>"29655"</f>
        <v>29655</v>
      </c>
      <c r="C29508" s="1">
        <v>5.1982249105971198E-3</v>
      </c>
      <c r="D29508" s="1">
        <v>9.7287530981445805E-4</v>
      </c>
      <c r="E29508" s="1">
        <v>2.05338809034907E-3</v>
      </c>
      <c r="F29508" s="1">
        <v>4.7866069788887701E-3</v>
      </c>
    </row>
    <row r="29509" spans="1:6" x14ac:dyDescent="0.25">
      <c r="A29509" s="2" t="str">
        <f t="shared" si="1057"/>
        <v>24860</v>
      </c>
      <c r="B29509" s="2" t="str">
        <f>"29631"</f>
        <v>29631</v>
      </c>
      <c r="C29509" s="1">
        <v>1.5930965814802502E-2</v>
      </c>
      <c r="D29509" s="1">
        <v>1.63072432883185E-2</v>
      </c>
      <c r="E29509" s="1">
        <v>5.3992028022708E-2</v>
      </c>
      <c r="F29509" s="1">
        <v>1.6585277234194201E-2</v>
      </c>
    </row>
    <row r="29510" spans="1:6" x14ac:dyDescent="0.25">
      <c r="A29510" s="2" t="str">
        <f t="shared" si="1057"/>
        <v>24860</v>
      </c>
      <c r="B29510" s="2" t="str">
        <f>"29630"</f>
        <v>29630</v>
      </c>
      <c r="C29510" s="1">
        <v>1.7537689878077901E-2</v>
      </c>
      <c r="D29510" s="1">
        <v>6.2541984202358E-3</v>
      </c>
      <c r="E29510" s="1">
        <v>4.1309336876434302E-2</v>
      </c>
      <c r="F29510" s="1">
        <v>1.6964414420640801E-2</v>
      </c>
    </row>
    <row r="29511" spans="1:6" x14ac:dyDescent="0.25">
      <c r="A29511" s="2" t="str">
        <f t="shared" si="1057"/>
        <v>24860</v>
      </c>
      <c r="B29511" s="2" t="str">
        <f>"29626"</f>
        <v>29626</v>
      </c>
      <c r="C29511" s="1">
        <v>1.4561623692475999E-2</v>
      </c>
      <c r="D29511" s="1">
        <v>7.1807463343448097E-3</v>
      </c>
      <c r="E29511" s="1">
        <v>5.4354390626887303E-3</v>
      </c>
      <c r="F29511" s="1">
        <v>1.3783216465612E-2</v>
      </c>
    </row>
    <row r="29512" spans="1:6" x14ac:dyDescent="0.25">
      <c r="A29512" s="2" t="str">
        <f t="shared" si="1057"/>
        <v>24860</v>
      </c>
      <c r="B29512" s="2" t="str">
        <f>"29644"</f>
        <v>29644</v>
      </c>
      <c r="C29512" s="1">
        <v>2.46349703162674E-2</v>
      </c>
      <c r="D29512" s="1">
        <v>1.6770517245372998E-2</v>
      </c>
      <c r="E29512" s="1">
        <v>9.7837903128397095E-3</v>
      </c>
      <c r="F29512" s="1">
        <v>2.3721744899913699E-2</v>
      </c>
    </row>
    <row r="29513" spans="1:6" x14ac:dyDescent="0.25">
      <c r="A29513" s="2" t="str">
        <f t="shared" si="1057"/>
        <v>24860</v>
      </c>
      <c r="B29513" s="2" t="str">
        <f>"29643"</f>
        <v>29643</v>
      </c>
      <c r="C29513" s="1">
        <v>1.1847117238105E-3</v>
      </c>
      <c r="D29513" s="1">
        <v>3.2429176993815201E-4</v>
      </c>
      <c r="E29513" s="1">
        <v>1.20787534726416E-4</v>
      </c>
      <c r="F29513" s="1">
        <v>1.0939687567262199E-3</v>
      </c>
    </row>
    <row r="29514" spans="1:6" x14ac:dyDescent="0.25">
      <c r="A29514" s="2" t="str">
        <f t="shared" si="1057"/>
        <v>24860</v>
      </c>
      <c r="B29514" s="2" t="str">
        <f>"29622"</f>
        <v>29622</v>
      </c>
      <c r="C29514" s="1">
        <v>4.5212467827054001E-3</v>
      </c>
      <c r="D29514" s="1">
        <v>1.6191424799054902E-2</v>
      </c>
      <c r="E29514" s="1">
        <v>2.41575069452832E-4</v>
      </c>
      <c r="F29514" s="1">
        <v>5.4461477094782298E-3</v>
      </c>
    </row>
    <row r="29515" spans="1:6" x14ac:dyDescent="0.25">
      <c r="A29515" s="2" t="str">
        <f t="shared" si="1057"/>
        <v>24860</v>
      </c>
      <c r="B29515" s="2" t="str">
        <f>"29615"</f>
        <v>29615</v>
      </c>
      <c r="C29515" s="1">
        <v>4.2577088686332698E-2</v>
      </c>
      <c r="D29515" s="1">
        <v>5.6727896041324E-2</v>
      </c>
      <c r="E29515" s="1">
        <v>5.6045416113057099E-2</v>
      </c>
      <c r="F29515" s="1">
        <v>4.4003609701962598E-2</v>
      </c>
    </row>
    <row r="29516" spans="1:6" x14ac:dyDescent="0.25">
      <c r="A29516" s="2" t="str">
        <f t="shared" si="1057"/>
        <v>24860</v>
      </c>
      <c r="B29516" s="2" t="str">
        <f>"29356"</f>
        <v>29356</v>
      </c>
      <c r="C29516" s="1">
        <v>5.2026208724665502E-3</v>
      </c>
      <c r="D29516" s="1">
        <v>1.52880405827986E-3</v>
      </c>
      <c r="E29516" s="1">
        <v>8.4551274308491302E-4</v>
      </c>
      <c r="F29516" s="1">
        <v>4.8182017444259899E-3</v>
      </c>
    </row>
    <row r="29517" spans="1:6" x14ac:dyDescent="0.25">
      <c r="A29517" s="2" t="str">
        <f t="shared" si="1057"/>
        <v>24860</v>
      </c>
      <c r="B29517" s="2" t="str">
        <f>"29325"</f>
        <v>29325</v>
      </c>
      <c r="C29517" s="1">
        <v>1.5658416178897998E-2</v>
      </c>
      <c r="D29517" s="1">
        <v>1.35507632438442E-2</v>
      </c>
      <c r="E29517" s="1">
        <v>3.1525546563594603E-2</v>
      </c>
      <c r="F29517" s="1">
        <v>1.5738142583227501E-2</v>
      </c>
    </row>
    <row r="29518" spans="1:6" x14ac:dyDescent="0.25">
      <c r="A29518" s="2" t="str">
        <f t="shared" si="1057"/>
        <v>24860</v>
      </c>
      <c r="B29518" s="2" t="str">
        <f>"29673"</f>
        <v>29673</v>
      </c>
      <c r="C29518" s="1">
        <v>2.9499102124788099E-2</v>
      </c>
      <c r="D29518" s="1">
        <v>2.41597368603923E-2</v>
      </c>
      <c r="E29518" s="1">
        <v>1.5702379514434098E-2</v>
      </c>
      <c r="F29518" s="1">
        <v>2.8818375515636398E-2</v>
      </c>
    </row>
    <row r="29519" spans="1:6" x14ac:dyDescent="0.25">
      <c r="A29519" s="2" t="str">
        <f t="shared" si="1057"/>
        <v>24860</v>
      </c>
      <c r="B29519" s="2" t="str">
        <f>"29670"</f>
        <v>29670</v>
      </c>
      <c r="C29519" s="1">
        <v>1.25724509465604E-2</v>
      </c>
      <c r="D29519" s="1">
        <v>1.1373375645687999E-2</v>
      </c>
      <c r="E29519" s="1">
        <v>1.6789467326971799E-2</v>
      </c>
      <c r="F29519" s="1">
        <v>1.2539172572584001E-2</v>
      </c>
    </row>
    <row r="29520" spans="1:6" x14ac:dyDescent="0.25">
      <c r="A29520" s="2" t="str">
        <f t="shared" si="1057"/>
        <v>24860</v>
      </c>
      <c r="B29520" s="2" t="str">
        <f>"29608"</f>
        <v>29608</v>
      </c>
      <c r="C29520" s="1">
        <v>2.3870072950987198E-3</v>
      </c>
      <c r="D29520" s="1">
        <v>9.1496606518264492E-3</v>
      </c>
      <c r="E29520" s="1">
        <v>1.20787534726416E-4</v>
      </c>
      <c r="F29520" s="1">
        <v>2.9264651578849599E-3</v>
      </c>
    </row>
    <row r="29521" spans="1:6" x14ac:dyDescent="0.25">
      <c r="A29521" s="2" t="str">
        <f t="shared" si="1057"/>
        <v>24860</v>
      </c>
      <c r="B29521" s="2" t="str">
        <f>"29610"</f>
        <v>29610</v>
      </c>
      <c r="C29521" s="1">
        <v>1.6462877201003101E-3</v>
      </c>
      <c r="D29521" s="1">
        <v>4.42426628987051E-3</v>
      </c>
      <c r="E29521" s="1">
        <v>2.41575069452832E-4</v>
      </c>
      <c r="F29521" s="1">
        <v>1.8601418210037999E-3</v>
      </c>
    </row>
    <row r="29522" spans="1:6" x14ac:dyDescent="0.25">
      <c r="A29522" s="2" t="str">
        <f t="shared" si="1057"/>
        <v>24860</v>
      </c>
      <c r="B29522" s="2" t="str">
        <f>"29656"</f>
        <v>29656</v>
      </c>
      <c r="C29522" s="1">
        <v>0</v>
      </c>
      <c r="D29522" s="1">
        <v>2.31636978527252E-5</v>
      </c>
      <c r="E29522" s="1">
        <v>0</v>
      </c>
      <c r="F29522" s="1">
        <v>1.9746728460762201E-6</v>
      </c>
    </row>
    <row r="29523" spans="1:6" x14ac:dyDescent="0.25">
      <c r="A29523" s="2" t="str">
        <f t="shared" si="1057"/>
        <v>24860</v>
      </c>
      <c r="B29523" s="2" t="str">
        <f>"29654"</f>
        <v>29654</v>
      </c>
      <c r="C29523" s="1">
        <v>9.0820572222356493E-3</v>
      </c>
      <c r="D29523" s="1">
        <v>6.5089990966157802E-3</v>
      </c>
      <c r="E29523" s="1">
        <v>5.0730764585094797E-3</v>
      </c>
      <c r="F29523" s="1">
        <v>8.7971675292695794E-3</v>
      </c>
    </row>
    <row r="29524" spans="1:6" x14ac:dyDescent="0.25">
      <c r="A29524" s="2" t="str">
        <f t="shared" si="1057"/>
        <v>24860</v>
      </c>
      <c r="B29524" s="2" t="str">
        <f>"29650"</f>
        <v>29650</v>
      </c>
      <c r="C29524" s="1">
        <v>3.5638062875442598E-2</v>
      </c>
      <c r="D29524" s="1">
        <v>3.34715433971879E-2</v>
      </c>
      <c r="E29524" s="1">
        <v>3.4545234931755001E-2</v>
      </c>
      <c r="F29524" s="1">
        <v>3.5435504222837803E-2</v>
      </c>
    </row>
    <row r="29525" spans="1:6" x14ac:dyDescent="0.25">
      <c r="A29525" s="2" t="str">
        <f t="shared" si="1057"/>
        <v>24860</v>
      </c>
      <c r="B29525" s="2" t="str">
        <f>"29624"</f>
        <v>29624</v>
      </c>
      <c r="C29525" s="1">
        <v>2.09247784984713E-2</v>
      </c>
      <c r="D29525" s="1">
        <v>3.1247828403326301E-2</v>
      </c>
      <c r="E29525" s="1">
        <v>2.05338809034907E-2</v>
      </c>
      <c r="F29525" s="1">
        <v>2.1798413547835401E-2</v>
      </c>
    </row>
    <row r="29526" spans="1:6" x14ac:dyDescent="0.25">
      <c r="A29526" s="2" t="str">
        <f t="shared" si="1057"/>
        <v>24860</v>
      </c>
      <c r="B29526" s="2" t="str">
        <f>"29332"</f>
        <v>29332</v>
      </c>
      <c r="C29526" s="1">
        <v>3.3145552495477599E-3</v>
      </c>
      <c r="D29526" s="1">
        <v>4.1694656134905298E-4</v>
      </c>
      <c r="E29526" s="1">
        <v>4.83150138905664E-4</v>
      </c>
      <c r="F29526" s="1">
        <v>3.0212494544966202E-3</v>
      </c>
    </row>
    <row r="29527" spans="1:6" x14ac:dyDescent="0.25">
      <c r="A29527" s="2" t="str">
        <f t="shared" si="1057"/>
        <v>24860</v>
      </c>
      <c r="B29527" s="2" t="str">
        <f>"29388"</f>
        <v>29388</v>
      </c>
      <c r="C29527" s="1">
        <v>2.9452944525159099E-4</v>
      </c>
      <c r="D29527" s="1">
        <v>1.6214588496907601E-4</v>
      </c>
      <c r="E29527" s="1">
        <v>0</v>
      </c>
      <c r="F29527" s="1">
        <v>2.7842887129674699E-4</v>
      </c>
    </row>
    <row r="29528" spans="1:6" x14ac:dyDescent="0.25">
      <c r="A29528" s="2" t="str">
        <f t="shared" si="1057"/>
        <v>24860</v>
      </c>
      <c r="B29528" s="2" t="str">
        <f>"29671"</f>
        <v>29671</v>
      </c>
      <c r="C29528" s="1">
        <v>2.2762290559891599E-2</v>
      </c>
      <c r="D29528" s="1">
        <v>1.9897616455490898E-2</v>
      </c>
      <c r="E29528" s="1">
        <v>2.0896243507670002E-2</v>
      </c>
      <c r="F29528" s="1">
        <v>2.2487574371115999E-2</v>
      </c>
    </row>
    <row r="29529" spans="1:6" x14ac:dyDescent="0.25">
      <c r="A29529" s="2" t="str">
        <f t="shared" si="1057"/>
        <v>24860</v>
      </c>
      <c r="B29529" s="2" t="str">
        <f>"29657"</f>
        <v>29657</v>
      </c>
      <c r="C29529" s="1">
        <v>1.7429988812277E-2</v>
      </c>
      <c r="D29529" s="1">
        <v>8.9875147668573799E-3</v>
      </c>
      <c r="E29529" s="1">
        <v>7.1264645488585496E-3</v>
      </c>
      <c r="F29529" s="1">
        <v>1.6541834431580499E-2</v>
      </c>
    </row>
    <row r="29530" spans="1:6" x14ac:dyDescent="0.25">
      <c r="A29530" s="2" t="str">
        <f t="shared" si="1057"/>
        <v>24860</v>
      </c>
      <c r="B29530" s="2" t="str">
        <f>"29651"</f>
        <v>29651</v>
      </c>
      <c r="C29530" s="1">
        <v>2.9600209247784899E-2</v>
      </c>
      <c r="D29530" s="1">
        <v>1.25083968404716E-2</v>
      </c>
      <c r="E29530" s="1">
        <v>1.2320328542094401E-2</v>
      </c>
      <c r="F29530" s="1">
        <v>2.7860659185289401E-2</v>
      </c>
    </row>
    <row r="29531" spans="1:6" x14ac:dyDescent="0.25">
      <c r="A29531" s="2" t="str">
        <f t="shared" si="1057"/>
        <v>24860</v>
      </c>
      <c r="B29531" s="2" t="str">
        <f>"29633"</f>
        <v>29633</v>
      </c>
      <c r="C29531" s="1">
        <v>2.5430639414633699E-3</v>
      </c>
      <c r="D29531" s="1">
        <v>6.6479812837321297E-3</v>
      </c>
      <c r="E29531" s="1">
        <v>2.41575069452832E-4</v>
      </c>
      <c r="F29531" s="1">
        <v>2.8553769354262202E-3</v>
      </c>
    </row>
    <row r="29532" spans="1:6" x14ac:dyDescent="0.25">
      <c r="A29532" s="2" t="str">
        <f t="shared" si="1057"/>
        <v>24860</v>
      </c>
      <c r="B29532" s="2" t="str">
        <f>"29632"</f>
        <v>29632</v>
      </c>
      <c r="C29532" s="1">
        <v>0</v>
      </c>
      <c r="D29532" s="1">
        <v>4.63273957054504E-5</v>
      </c>
      <c r="E29532" s="1">
        <v>0</v>
      </c>
      <c r="F29532" s="1">
        <v>3.9493456921524496E-6</v>
      </c>
    </row>
    <row r="29533" spans="1:6" x14ac:dyDescent="0.25">
      <c r="A29533" s="2" t="str">
        <f t="shared" si="1057"/>
        <v>24860</v>
      </c>
      <c r="B29533" s="2" t="str">
        <f>"29627"</f>
        <v>29627</v>
      </c>
      <c r="C29533" s="1">
        <v>1.9669731384749901E-2</v>
      </c>
      <c r="D29533" s="1">
        <v>1.0122535961640901E-2</v>
      </c>
      <c r="E29533" s="1">
        <v>9.3006401739340501E-3</v>
      </c>
      <c r="F29533" s="1">
        <v>1.86863291424193E-2</v>
      </c>
    </row>
    <row r="29534" spans="1:6" x14ac:dyDescent="0.25">
      <c r="A29534" s="2" t="str">
        <f t="shared" ref="A29534:A29546" si="1058">"24860"</f>
        <v>24860</v>
      </c>
      <c r="B29534" s="2" t="str">
        <f>"29645"</f>
        <v>29645</v>
      </c>
      <c r="C29534" s="1">
        <v>1.1328393737512699E-2</v>
      </c>
      <c r="D29534" s="1">
        <v>3.0112807208542698E-3</v>
      </c>
      <c r="E29534" s="1">
        <v>2.2949631598019001E-3</v>
      </c>
      <c r="F29534" s="1">
        <v>1.0471690102742201E-2</v>
      </c>
    </row>
    <row r="29535" spans="1:6" x14ac:dyDescent="0.25">
      <c r="A29535" s="2" t="str">
        <f t="shared" si="1058"/>
        <v>24860</v>
      </c>
      <c r="B29535" s="2" t="str">
        <f>"29641"</f>
        <v>29641</v>
      </c>
      <c r="C29535" s="1">
        <v>4.36079417447133E-3</v>
      </c>
      <c r="D29535" s="1">
        <v>1.1350211947835301E-2</v>
      </c>
      <c r="E29535" s="1">
        <v>1.20787534726416E-4</v>
      </c>
      <c r="F29535" s="1">
        <v>4.8873152940386603E-3</v>
      </c>
    </row>
    <row r="29536" spans="1:6" x14ac:dyDescent="0.25">
      <c r="A29536" s="2" t="str">
        <f t="shared" si="1058"/>
        <v>24860</v>
      </c>
      <c r="B29536" s="2" t="str">
        <f>"29612"</f>
        <v>29612</v>
      </c>
      <c r="C29536" s="1">
        <v>3.3189512114171902E-4</v>
      </c>
      <c r="D29536" s="1">
        <v>1.55196775613258E-3</v>
      </c>
      <c r="E29536" s="1">
        <v>2.41575069452832E-4</v>
      </c>
      <c r="F29536" s="1">
        <v>4.3442802613676901E-4</v>
      </c>
    </row>
    <row r="29537" spans="1:6" x14ac:dyDescent="0.25">
      <c r="A29537" s="2" t="str">
        <f t="shared" si="1058"/>
        <v>24860</v>
      </c>
      <c r="B29537" s="2" t="str">
        <f>"29384"</f>
        <v>29384</v>
      </c>
      <c r="C29537" s="1">
        <v>6.0334576657881996E-3</v>
      </c>
      <c r="D29537" s="1">
        <v>6.48583539876305E-4</v>
      </c>
      <c r="E29537" s="1">
        <v>7.2472520835849697E-4</v>
      </c>
      <c r="F29537" s="1">
        <v>5.4876158392458303E-3</v>
      </c>
    </row>
    <row r="29538" spans="1:6" x14ac:dyDescent="0.25">
      <c r="A29538" s="2" t="str">
        <f t="shared" si="1058"/>
        <v>24860</v>
      </c>
      <c r="B29538" s="2" t="str">
        <f>"29697"</f>
        <v>29697</v>
      </c>
      <c r="C29538" s="1">
        <v>1.2855990487138501E-2</v>
      </c>
      <c r="D29538" s="1">
        <v>9.7750804938500305E-3</v>
      </c>
      <c r="E29538" s="1">
        <v>6.1601642710472203E-3</v>
      </c>
      <c r="F29538" s="1">
        <v>1.2483881732893901E-2</v>
      </c>
    </row>
    <row r="29539" spans="1:6" x14ac:dyDescent="0.25">
      <c r="A29539" s="2" t="str">
        <f t="shared" si="1058"/>
        <v>24860</v>
      </c>
      <c r="B29539" s="2" t="str">
        <f>"29687"</f>
        <v>29687</v>
      </c>
      <c r="C29539" s="1">
        <v>4.6188371362066799E-2</v>
      </c>
      <c r="D29539" s="1">
        <v>3.0761390748419E-2</v>
      </c>
      <c r="E29539" s="1">
        <v>3.4786810001207799E-2</v>
      </c>
      <c r="F29539" s="1">
        <v>4.4686846506705E-2</v>
      </c>
    </row>
    <row r="29540" spans="1:6" x14ac:dyDescent="0.25">
      <c r="A29540" s="2" t="str">
        <f t="shared" si="1058"/>
        <v>24860</v>
      </c>
      <c r="B29540" s="2" t="str">
        <f>"29682"</f>
        <v>29682</v>
      </c>
      <c r="C29540" s="1">
        <v>4.4794851449458497E-3</v>
      </c>
      <c r="D29540" s="1">
        <v>1.8067684325125601E-3</v>
      </c>
      <c r="E29540" s="1">
        <v>4.83150138905664E-4</v>
      </c>
      <c r="F29540" s="1">
        <v>4.1863064336815897E-3</v>
      </c>
    </row>
    <row r="29541" spans="1:6" x14ac:dyDescent="0.25">
      <c r="A29541" s="2" t="str">
        <f t="shared" si="1058"/>
        <v>24860</v>
      </c>
      <c r="B29541" s="2" t="str">
        <f>"29605"</f>
        <v>29605</v>
      </c>
      <c r="C29541" s="1">
        <v>3.7504148689014201E-2</v>
      </c>
      <c r="D29541" s="1">
        <v>3.6459660420189402E-2</v>
      </c>
      <c r="E29541" s="1">
        <v>3.8531223577726703E-2</v>
      </c>
      <c r="F29541" s="1">
        <v>3.7431898470220902E-2</v>
      </c>
    </row>
    <row r="29542" spans="1:6" x14ac:dyDescent="0.25">
      <c r="A29542" s="2" t="str">
        <f t="shared" si="1058"/>
        <v>24860</v>
      </c>
      <c r="B29542" s="2" t="str">
        <f>"29604"</f>
        <v>29604</v>
      </c>
      <c r="C29542" s="1">
        <v>2.0551121739569998E-3</v>
      </c>
      <c r="D29542" s="1">
        <v>1.1628176322067999E-2</v>
      </c>
      <c r="E29542" s="1">
        <v>1.20787534726416E-4</v>
      </c>
      <c r="F29542" s="1">
        <v>2.8395795526576098E-3</v>
      </c>
    </row>
    <row r="29543" spans="1:6" x14ac:dyDescent="0.25">
      <c r="A29543" s="2" t="str">
        <f t="shared" si="1058"/>
        <v>24860</v>
      </c>
      <c r="B29543" s="2" t="str">
        <f>"29661"</f>
        <v>29661</v>
      </c>
      <c r="C29543" s="1">
        <v>6.9895793723885203E-3</v>
      </c>
      <c r="D29543" s="1">
        <v>1.94575061962891E-3</v>
      </c>
      <c r="E29543" s="1">
        <v>2.05338809034907E-3</v>
      </c>
      <c r="F29543" s="1">
        <v>6.4789016079760901E-3</v>
      </c>
    </row>
    <row r="29544" spans="1:6" x14ac:dyDescent="0.25">
      <c r="A29544" s="2" t="str">
        <f t="shared" si="1058"/>
        <v>24860</v>
      </c>
      <c r="B29544" s="2" t="str">
        <f>"29652"</f>
        <v>29652</v>
      </c>
      <c r="C29544" s="1">
        <v>3.2332299549633699E-3</v>
      </c>
      <c r="D29544" s="1">
        <v>1.16513400199207E-2</v>
      </c>
      <c r="E29544" s="1">
        <v>1.20787534726416E-4</v>
      </c>
      <c r="F29544" s="1">
        <v>3.89997887100054E-3</v>
      </c>
    </row>
    <row r="29545" spans="1:6" x14ac:dyDescent="0.25">
      <c r="A29545" s="2" t="str">
        <f t="shared" si="1058"/>
        <v>24860</v>
      </c>
      <c r="B29545" s="2" t="str">
        <f>"29640"</f>
        <v>29640</v>
      </c>
      <c r="C29545" s="1">
        <v>3.3026861525003101E-2</v>
      </c>
      <c r="D29545" s="1">
        <v>3.5023511153320502E-2</v>
      </c>
      <c r="E29545" s="1">
        <v>4.7711076216934399E-2</v>
      </c>
      <c r="F29545" s="1">
        <v>3.3437135302608702E-2</v>
      </c>
    </row>
    <row r="29546" spans="1:6" x14ac:dyDescent="0.25">
      <c r="A29546" s="2" t="str">
        <f t="shared" si="1058"/>
        <v>24860</v>
      </c>
      <c r="B29546" s="2" t="str">
        <f>"29351"</f>
        <v>29351</v>
      </c>
      <c r="C29546" s="1">
        <v>1.77377061431369E-3</v>
      </c>
      <c r="D29546" s="1">
        <v>1.7372773389543899E-3</v>
      </c>
      <c r="E29546" s="1">
        <v>2.77811329870757E-3</v>
      </c>
      <c r="F29546" s="1">
        <v>1.78707892569898E-3</v>
      </c>
    </row>
    <row r="29547" spans="1:6" x14ac:dyDescent="0.25">
      <c r="A29547" s="2" t="str">
        <f t="shared" ref="A29547:A29560" si="1059">"42860"</f>
        <v>42860</v>
      </c>
      <c r="B29547" s="2" t="str">
        <f>"29696"</f>
        <v>29696</v>
      </c>
      <c r="C29547" s="1">
        <v>7.4612564572571205E-2</v>
      </c>
      <c r="D29547" s="1">
        <v>6.1577752553916003E-2</v>
      </c>
      <c r="E29547" s="1">
        <v>1.94690265486725E-2</v>
      </c>
      <c r="F29547" s="1">
        <v>7.3132809950668898E-2</v>
      </c>
    </row>
    <row r="29548" spans="1:6" x14ac:dyDescent="0.25">
      <c r="A29548" s="2" t="str">
        <f t="shared" si="1059"/>
        <v>42860</v>
      </c>
      <c r="B29548" s="2" t="str">
        <f>"29679"</f>
        <v>29679</v>
      </c>
      <c r="C29548" s="1">
        <v>2.0579903349441701E-2</v>
      </c>
      <c r="D29548" s="1">
        <v>9.67650397275822E-2</v>
      </c>
      <c r="E29548" s="1">
        <v>3.5398230088495501E-3</v>
      </c>
      <c r="F29548" s="1">
        <v>2.554849607463E-2</v>
      </c>
    </row>
    <row r="29549" spans="1:6" x14ac:dyDescent="0.25">
      <c r="A29549" s="2" t="str">
        <f t="shared" si="1059"/>
        <v>42860</v>
      </c>
      <c r="B29549" s="2" t="str">
        <f>"29691"</f>
        <v>29691</v>
      </c>
      <c r="C29549" s="1">
        <v>0.132832027995334</v>
      </c>
      <c r="D29549" s="1">
        <v>0.15351872871736599</v>
      </c>
      <c r="E29549" s="1">
        <v>0.111504424778761</v>
      </c>
      <c r="F29549" s="1">
        <v>0.134000038389926</v>
      </c>
    </row>
    <row r="29550" spans="1:6" x14ac:dyDescent="0.25">
      <c r="A29550" s="2" t="str">
        <f t="shared" si="1059"/>
        <v>42860</v>
      </c>
      <c r="B29550" s="2" t="str">
        <f>"29678"</f>
        <v>29678</v>
      </c>
      <c r="C29550" s="1">
        <v>0.26885102482919498</v>
      </c>
      <c r="D29550" s="1">
        <v>0.36918274687854702</v>
      </c>
      <c r="E29550" s="1">
        <v>0.463716814159292</v>
      </c>
      <c r="F29550" s="1">
        <v>0.27775111810660802</v>
      </c>
    </row>
    <row r="29551" spans="1:6" x14ac:dyDescent="0.25">
      <c r="A29551" s="2" t="str">
        <f t="shared" si="1059"/>
        <v>42860</v>
      </c>
      <c r="B29551" s="2" t="str">
        <f>"29676"</f>
        <v>29676</v>
      </c>
      <c r="C29551" s="1">
        <v>7.9049325112481195E-2</v>
      </c>
      <c r="D29551" s="1">
        <v>3.3484676503972702E-2</v>
      </c>
      <c r="E29551" s="1">
        <v>0.148672566371681</v>
      </c>
      <c r="F29551" s="1">
        <v>7.6722268076856601E-2</v>
      </c>
    </row>
    <row r="29552" spans="1:6" x14ac:dyDescent="0.25">
      <c r="A29552" s="2" t="str">
        <f t="shared" si="1059"/>
        <v>42860</v>
      </c>
      <c r="B29552" s="2" t="str">
        <f>"29675"</f>
        <v>29675</v>
      </c>
      <c r="C29552" s="1">
        <v>0</v>
      </c>
      <c r="D29552" s="1">
        <v>2.8376844494892102E-4</v>
      </c>
      <c r="E29552" s="1">
        <v>0</v>
      </c>
      <c r="F29552" s="1">
        <v>1.91949632416453E-5</v>
      </c>
    </row>
    <row r="29553" spans="1:6" x14ac:dyDescent="0.25">
      <c r="A29553" s="2" t="str">
        <f t="shared" si="1059"/>
        <v>42860</v>
      </c>
      <c r="B29553" s="2" t="str">
        <f>"29643"</f>
        <v>29643</v>
      </c>
      <c r="C29553" s="1">
        <v>3.0536577237127101E-2</v>
      </c>
      <c r="D29553" s="1">
        <v>1.81611804767309E-2</v>
      </c>
      <c r="E29553" s="1">
        <v>7.0796460176991097E-3</v>
      </c>
      <c r="F29553" s="1">
        <v>2.9445073612683999E-2</v>
      </c>
    </row>
    <row r="29554" spans="1:6" x14ac:dyDescent="0.25">
      <c r="A29554" s="2" t="str">
        <f t="shared" si="1059"/>
        <v>42860</v>
      </c>
      <c r="B29554" s="2" t="str">
        <f>"29672"</f>
        <v>29672</v>
      </c>
      <c r="C29554" s="1">
        <v>0.149808365272454</v>
      </c>
      <c r="D29554" s="1">
        <v>9.0805902383654893E-2</v>
      </c>
      <c r="E29554" s="1">
        <v>0.111504424778761</v>
      </c>
      <c r="F29554" s="1">
        <v>0.14540184655546301</v>
      </c>
    </row>
    <row r="29555" spans="1:6" x14ac:dyDescent="0.25">
      <c r="A29555" s="2" t="str">
        <f t="shared" si="1059"/>
        <v>42860</v>
      </c>
      <c r="B29555" s="2" t="str">
        <f>"29658"</f>
        <v>29658</v>
      </c>
      <c r="C29555" s="1">
        <v>3.95767372104649E-3</v>
      </c>
      <c r="D29555" s="1">
        <v>7.37797956867196E-3</v>
      </c>
      <c r="E29555" s="1">
        <v>0</v>
      </c>
      <c r="F29555" s="1">
        <v>4.1461120601954003E-3</v>
      </c>
    </row>
    <row r="29556" spans="1:6" x14ac:dyDescent="0.25">
      <c r="A29556" s="2" t="str">
        <f t="shared" si="1059"/>
        <v>42860</v>
      </c>
      <c r="B29556" s="2" t="str">
        <f>"29693"</f>
        <v>29693</v>
      </c>
      <c r="C29556" s="1">
        <v>0.19763372771204701</v>
      </c>
      <c r="D29556" s="1">
        <v>0.14982973893303</v>
      </c>
      <c r="E29556" s="1">
        <v>7.25663716814159E-2</v>
      </c>
      <c r="F29556" s="1">
        <v>0.19304374532122701</v>
      </c>
    </row>
    <row r="29557" spans="1:6" x14ac:dyDescent="0.25">
      <c r="A29557" s="2" t="str">
        <f t="shared" si="1059"/>
        <v>42860</v>
      </c>
      <c r="B29557" s="2" t="str">
        <f>"29689"</f>
        <v>29689</v>
      </c>
      <c r="C29557" s="1">
        <v>5.9781703049491697E-3</v>
      </c>
      <c r="D29557" s="1">
        <v>1.98637911464245E-3</v>
      </c>
      <c r="E29557" s="1">
        <v>0</v>
      </c>
      <c r="F29557" s="1">
        <v>5.6433191930437398E-3</v>
      </c>
    </row>
    <row r="29558" spans="1:6" x14ac:dyDescent="0.25">
      <c r="A29558" s="2" t="str">
        <f t="shared" si="1059"/>
        <v>42860</v>
      </c>
      <c r="B29558" s="2" t="str">
        <f>"29665"</f>
        <v>29665</v>
      </c>
      <c r="C29558" s="1">
        <v>6.2489585069155102E-5</v>
      </c>
      <c r="D29558" s="1">
        <v>2.8376844494892102E-4</v>
      </c>
      <c r="E29558" s="1">
        <v>0</v>
      </c>
      <c r="F29558" s="1">
        <v>7.6779852966581499E-5</v>
      </c>
    </row>
    <row r="29559" spans="1:6" x14ac:dyDescent="0.25">
      <c r="A29559" s="2" t="str">
        <f t="shared" si="1059"/>
        <v>42860</v>
      </c>
      <c r="B29559" s="2" t="str">
        <f>"29664"</f>
        <v>29664</v>
      </c>
      <c r="C29559" s="1">
        <v>2.2662889518413502E-2</v>
      </c>
      <c r="D29559" s="1">
        <v>1.02156640181611E-2</v>
      </c>
      <c r="E29559" s="1">
        <v>5.3097345132743301E-3</v>
      </c>
      <c r="F29559" s="1">
        <v>2.16327235733343E-2</v>
      </c>
    </row>
    <row r="29560" spans="1:6" x14ac:dyDescent="0.25">
      <c r="A29560" s="2" t="str">
        <f t="shared" si="1059"/>
        <v>42860</v>
      </c>
      <c r="B29560" s="2" t="str">
        <f>"29686"</f>
        <v>29686</v>
      </c>
      <c r="C29560" s="1">
        <v>1.34352607898683E-2</v>
      </c>
      <c r="D29560" s="1">
        <v>6.5266742338251898E-3</v>
      </c>
      <c r="E29560" s="1">
        <v>5.6637168141592899E-2</v>
      </c>
      <c r="F29560" s="1">
        <v>1.34364742691517E-2</v>
      </c>
    </row>
    <row r="29561" spans="1:6" x14ac:dyDescent="0.25">
      <c r="A29561" s="2" t="str">
        <f t="shared" ref="A29561:A29608" si="1060">"47940"</f>
        <v>47940</v>
      </c>
      <c r="B29561" s="2" t="str">
        <f>"50672"</f>
        <v>50672</v>
      </c>
      <c r="C29561" s="1">
        <v>2.1690036617885299E-4</v>
      </c>
      <c r="D29561" s="1">
        <v>0</v>
      </c>
      <c r="E29561" s="1">
        <v>0</v>
      </c>
      <c r="F29561" s="1">
        <v>1.9332681329178701E-4</v>
      </c>
    </row>
    <row r="29562" spans="1:6" x14ac:dyDescent="0.25">
      <c r="A29562" s="2" t="str">
        <f t="shared" si="1060"/>
        <v>47940</v>
      </c>
      <c r="B29562" s="2" t="str">
        <f>"50627"</f>
        <v>50627</v>
      </c>
      <c r="C29562" s="1">
        <v>5.9966571825918302E-4</v>
      </c>
      <c r="D29562" s="1">
        <v>0</v>
      </c>
      <c r="E29562" s="1">
        <v>0</v>
      </c>
      <c r="F29562" s="1">
        <v>5.34491777924352E-4</v>
      </c>
    </row>
    <row r="29563" spans="1:6" x14ac:dyDescent="0.25">
      <c r="A29563" s="2" t="str">
        <f t="shared" si="1060"/>
        <v>47940</v>
      </c>
      <c r="B29563" s="2" t="str">
        <f>"50642"</f>
        <v>50642</v>
      </c>
      <c r="C29563" s="1">
        <v>3.1131581969200098E-3</v>
      </c>
      <c r="D29563" s="1">
        <v>1.8613308515588599E-3</v>
      </c>
      <c r="E29563" s="1">
        <v>6.4308681672025703E-4</v>
      </c>
      <c r="F29563" s="1">
        <v>2.9340186958400601E-3</v>
      </c>
    </row>
    <row r="29564" spans="1:6" x14ac:dyDescent="0.25">
      <c r="A29564" s="2" t="str">
        <f t="shared" si="1060"/>
        <v>47940</v>
      </c>
      <c r="B29564" s="2" t="str">
        <f>"50626"</f>
        <v>50626</v>
      </c>
      <c r="C29564" s="1">
        <v>9.0715388443038097E-3</v>
      </c>
      <c r="D29564" s="1">
        <v>2.0164417558554298E-3</v>
      </c>
      <c r="E29564" s="1">
        <v>4.8231511254019201E-3</v>
      </c>
      <c r="F29564" s="1">
        <v>8.4040302954488492E-3</v>
      </c>
    </row>
    <row r="29565" spans="1:6" x14ac:dyDescent="0.25">
      <c r="A29565" s="2" t="str">
        <f t="shared" si="1060"/>
        <v>47940</v>
      </c>
      <c r="B29565" s="2" t="str">
        <f>"50621"</f>
        <v>50621</v>
      </c>
      <c r="C29565" s="1">
        <v>8.5484261964606893E-3</v>
      </c>
      <c r="D29565" s="1">
        <v>2.4817744687451499E-3</v>
      </c>
      <c r="E29565" s="1">
        <v>7.7170418006430796E-3</v>
      </c>
      <c r="F29565" s="1">
        <v>8.0742374963040393E-3</v>
      </c>
    </row>
    <row r="29566" spans="1:6" x14ac:dyDescent="0.25">
      <c r="A29566" s="2" t="str">
        <f t="shared" si="1060"/>
        <v>47940</v>
      </c>
      <c r="B29566" s="2" t="str">
        <f>"50601"</f>
        <v>50601</v>
      </c>
      <c r="C29566" s="1">
        <v>9.8243107033951197E-4</v>
      </c>
      <c r="D29566" s="1">
        <v>3.10221808593144E-4</v>
      </c>
      <c r="E29566" s="1">
        <v>0</v>
      </c>
      <c r="F29566" s="1">
        <v>8.9840107353242197E-4</v>
      </c>
    </row>
    <row r="29567" spans="1:6" x14ac:dyDescent="0.25">
      <c r="A29567" s="2" t="str">
        <f t="shared" si="1060"/>
        <v>47940</v>
      </c>
      <c r="B29567" s="2" t="str">
        <f>"50258"</f>
        <v>50258</v>
      </c>
      <c r="C29567" s="1">
        <v>2.5517690138688601E-5</v>
      </c>
      <c r="D29567" s="1">
        <v>0</v>
      </c>
      <c r="E29567" s="1">
        <v>0</v>
      </c>
      <c r="F29567" s="1">
        <v>2.2744330975504298E-5</v>
      </c>
    </row>
    <row r="29568" spans="1:6" x14ac:dyDescent="0.25">
      <c r="A29568" s="2" t="str">
        <f t="shared" si="1060"/>
        <v>47940</v>
      </c>
      <c r="B29568" s="2" t="str">
        <f>"50148"</f>
        <v>50148</v>
      </c>
      <c r="C29568" s="1">
        <v>3.8276535208032899E-5</v>
      </c>
      <c r="D29568" s="1">
        <v>0</v>
      </c>
      <c r="E29568" s="1">
        <v>0</v>
      </c>
      <c r="F29568" s="1">
        <v>3.4116496463256502E-5</v>
      </c>
    </row>
    <row r="29569" spans="1:6" x14ac:dyDescent="0.25">
      <c r="A29569" s="2" t="str">
        <f t="shared" si="1060"/>
        <v>47940</v>
      </c>
      <c r="B29569" s="2" t="str">
        <f>"50658"</f>
        <v>50658</v>
      </c>
      <c r="C29569" s="1">
        <v>1.9138267604016401E-4</v>
      </c>
      <c r="D29569" s="1">
        <v>0</v>
      </c>
      <c r="E29569" s="1">
        <v>0</v>
      </c>
      <c r="F29569" s="1">
        <v>1.7058248231628201E-4</v>
      </c>
    </row>
    <row r="29570" spans="1:6" x14ac:dyDescent="0.25">
      <c r="A29570" s="2" t="str">
        <f t="shared" si="1060"/>
        <v>47940</v>
      </c>
      <c r="B29570" s="2" t="str">
        <f>"50666"</f>
        <v>50666</v>
      </c>
      <c r="C29570" s="1">
        <v>5.1035380277377196E-3</v>
      </c>
      <c r="D29570" s="1">
        <v>4.6533271288971601E-4</v>
      </c>
      <c r="E29570" s="1">
        <v>1.9292604501607699E-3</v>
      </c>
      <c r="F29570" s="1">
        <v>4.6512156844906397E-3</v>
      </c>
    </row>
    <row r="29571" spans="1:6" x14ac:dyDescent="0.25">
      <c r="A29571" s="2" t="str">
        <f t="shared" si="1060"/>
        <v>47940</v>
      </c>
      <c r="B29571" s="2" t="str">
        <f>"50675"</f>
        <v>50675</v>
      </c>
      <c r="C29571" s="1">
        <v>1.14829605624098E-4</v>
      </c>
      <c r="D29571" s="1">
        <v>0</v>
      </c>
      <c r="E29571" s="1">
        <v>0</v>
      </c>
      <c r="F29571" s="1">
        <v>1.02349489389769E-4</v>
      </c>
    </row>
    <row r="29572" spans="1:6" x14ac:dyDescent="0.25">
      <c r="A29572" s="2" t="str">
        <f t="shared" si="1060"/>
        <v>47940</v>
      </c>
      <c r="B29572" s="2" t="str">
        <f>"50677"</f>
        <v>50677</v>
      </c>
      <c r="C29572" s="1">
        <v>6.7902573459050403E-2</v>
      </c>
      <c r="D29572" s="1">
        <v>7.5383899488133996E-2</v>
      </c>
      <c r="E29572" s="1">
        <v>6.3987138263665505E-2</v>
      </c>
      <c r="F29572" s="1">
        <v>6.8312598084927303E-2</v>
      </c>
    </row>
    <row r="29573" spans="1:6" x14ac:dyDescent="0.25">
      <c r="A29573" s="2" t="str">
        <f t="shared" si="1060"/>
        <v>47940</v>
      </c>
      <c r="B29573" s="2" t="str">
        <f>"50664"</f>
        <v>50664</v>
      </c>
      <c r="C29573" s="1">
        <v>0</v>
      </c>
      <c r="D29573" s="1">
        <v>1.55110904296572E-4</v>
      </c>
      <c r="E29573" s="1">
        <v>0</v>
      </c>
      <c r="F29573" s="1">
        <v>1.13721654877521E-5</v>
      </c>
    </row>
    <row r="29574" spans="1:6" x14ac:dyDescent="0.25">
      <c r="A29574" s="2" t="str">
        <f t="shared" si="1060"/>
        <v>47940</v>
      </c>
      <c r="B29574" s="2" t="str">
        <f>"50648"</f>
        <v>50648</v>
      </c>
      <c r="C29574" s="1">
        <v>4.2486954080916501E-3</v>
      </c>
      <c r="D29574" s="1">
        <v>6.2044361718628801E-4</v>
      </c>
      <c r="E29574" s="1">
        <v>0</v>
      </c>
      <c r="F29574" s="1">
        <v>3.8324197693724799E-3</v>
      </c>
    </row>
    <row r="29575" spans="1:6" x14ac:dyDescent="0.25">
      <c r="A29575" s="2" t="str">
        <f t="shared" si="1060"/>
        <v>47940</v>
      </c>
      <c r="B29575" s="2" t="str">
        <f>"50647"</f>
        <v>50647</v>
      </c>
      <c r="C29575" s="1">
        <v>1.1304336731439E-2</v>
      </c>
      <c r="D29575" s="1">
        <v>1.70621994726229E-3</v>
      </c>
      <c r="E29575" s="1">
        <v>4.1800643086816703E-3</v>
      </c>
      <c r="F29575" s="1">
        <v>1.03486705938544E-2</v>
      </c>
    </row>
    <row r="29576" spans="1:6" x14ac:dyDescent="0.25">
      <c r="A29576" s="2" t="str">
        <f t="shared" si="1060"/>
        <v>47940</v>
      </c>
      <c r="B29576" s="2" t="str">
        <f>"50670"</f>
        <v>50670</v>
      </c>
      <c r="C29576" s="1">
        <v>2.9345343659491901E-4</v>
      </c>
      <c r="D29576" s="1">
        <v>0</v>
      </c>
      <c r="E29576" s="1">
        <v>0</v>
      </c>
      <c r="F29576" s="1">
        <v>2.6155980621829999E-4</v>
      </c>
    </row>
    <row r="29577" spans="1:6" x14ac:dyDescent="0.25">
      <c r="A29577" s="2" t="str">
        <f t="shared" si="1060"/>
        <v>47940</v>
      </c>
      <c r="B29577" s="2" t="str">
        <f>"50657"</f>
        <v>50657</v>
      </c>
      <c r="C29577" s="1">
        <v>5.9966571825918302E-4</v>
      </c>
      <c r="D29577" s="1">
        <v>1.39599813866914E-3</v>
      </c>
      <c r="E29577" s="1">
        <v>0</v>
      </c>
      <c r="F29577" s="1">
        <v>6.36841267314121E-4</v>
      </c>
    </row>
    <row r="29578" spans="1:6" x14ac:dyDescent="0.25">
      <c r="A29578" s="2" t="str">
        <f t="shared" si="1060"/>
        <v>47940</v>
      </c>
      <c r="B29578" s="2" t="str">
        <f>"50676"</f>
        <v>50676</v>
      </c>
      <c r="C29578" s="1">
        <v>1.1610549013103299E-2</v>
      </c>
      <c r="D29578" s="1">
        <v>2.32666356444858E-3</v>
      </c>
      <c r="E29578" s="1">
        <v>5.7877813504823104E-3</v>
      </c>
      <c r="F29578" s="1">
        <v>1.07239520549503E-2</v>
      </c>
    </row>
    <row r="29579" spans="1:6" x14ac:dyDescent="0.25">
      <c r="A29579" s="2" t="str">
        <f t="shared" si="1060"/>
        <v>47940</v>
      </c>
      <c r="B29579" s="2" t="str">
        <f>"50673"</f>
        <v>50673</v>
      </c>
      <c r="C29579" s="1">
        <v>0</v>
      </c>
      <c r="D29579" s="1">
        <v>0</v>
      </c>
      <c r="E29579" s="1">
        <v>3.2154340836012797E-4</v>
      </c>
      <c r="F29579" s="1">
        <v>1.13721654877521E-5</v>
      </c>
    </row>
    <row r="29580" spans="1:6" x14ac:dyDescent="0.25">
      <c r="A29580" s="2" t="str">
        <f t="shared" si="1060"/>
        <v>47940</v>
      </c>
      <c r="B29580" s="2" t="str">
        <f>"50669"</f>
        <v>50669</v>
      </c>
      <c r="C29580" s="1">
        <v>1.2937468900315101E-2</v>
      </c>
      <c r="D29580" s="1">
        <v>1.17884287265394E-2</v>
      </c>
      <c r="E29580" s="1">
        <v>1.4147909967845601E-2</v>
      </c>
      <c r="F29580" s="1">
        <v>1.28960356631109E-2</v>
      </c>
    </row>
    <row r="29581" spans="1:6" x14ac:dyDescent="0.25">
      <c r="A29581" s="2" t="str">
        <f t="shared" si="1060"/>
        <v>47940</v>
      </c>
      <c r="B29581" s="2" t="str">
        <f>"50665"</f>
        <v>50665</v>
      </c>
      <c r="C29581" s="1">
        <v>2.0669329012337799E-3</v>
      </c>
      <c r="D29581" s="1">
        <v>1.55110904296572E-4</v>
      </c>
      <c r="E29581" s="1">
        <v>0</v>
      </c>
      <c r="F29581" s="1">
        <v>1.8536629745036001E-3</v>
      </c>
    </row>
    <row r="29582" spans="1:6" x14ac:dyDescent="0.25">
      <c r="A29582" s="2" t="str">
        <f t="shared" si="1060"/>
        <v>47940</v>
      </c>
      <c r="B29582" s="2" t="str">
        <f>"50623"</f>
        <v>50623</v>
      </c>
      <c r="C29582" s="1">
        <v>7.5277185909131497E-4</v>
      </c>
      <c r="D29582" s="1">
        <v>0</v>
      </c>
      <c r="E29582" s="1">
        <v>3.2154340836012797E-4</v>
      </c>
      <c r="F29582" s="1">
        <v>6.8232992926512998E-4</v>
      </c>
    </row>
    <row r="29583" spans="1:6" x14ac:dyDescent="0.25">
      <c r="A29583" s="2" t="str">
        <f t="shared" si="1060"/>
        <v>47940</v>
      </c>
      <c r="B29583" s="2" t="str">
        <f>"50624"</f>
        <v>50624</v>
      </c>
      <c r="C29583" s="1">
        <v>9.6584457174936494E-3</v>
      </c>
      <c r="D29583" s="1">
        <v>2.7919962773382901E-3</v>
      </c>
      <c r="E29583" s="1">
        <v>5.1446945337620502E-3</v>
      </c>
      <c r="F29583" s="1">
        <v>8.9953829008119698E-3</v>
      </c>
    </row>
    <row r="29584" spans="1:6" x14ac:dyDescent="0.25">
      <c r="A29584" s="2" t="str">
        <f t="shared" si="1060"/>
        <v>47940</v>
      </c>
      <c r="B29584" s="2" t="str">
        <f>"50704"</f>
        <v>50704</v>
      </c>
      <c r="C29584" s="1">
        <v>1.7479617745001699E-2</v>
      </c>
      <c r="D29584" s="1">
        <v>7.3212346827982E-2</v>
      </c>
      <c r="E29584" s="1">
        <v>6.4308681672025703E-4</v>
      </c>
      <c r="F29584" s="1">
        <v>2.0970273159415E-2</v>
      </c>
    </row>
    <row r="29585" spans="1:6" x14ac:dyDescent="0.25">
      <c r="A29585" s="2" t="str">
        <f t="shared" si="1060"/>
        <v>47940</v>
      </c>
      <c r="B29585" s="2" t="str">
        <f>"50707"</f>
        <v>50707</v>
      </c>
      <c r="C29585" s="1">
        <v>4.77563570945558E-2</v>
      </c>
      <c r="D29585" s="1">
        <v>2.69892973476035E-2</v>
      </c>
      <c r="E29585" s="1">
        <v>1.5112540192926001E-2</v>
      </c>
      <c r="F29585" s="1">
        <v>4.5079263993449602E-2</v>
      </c>
    </row>
    <row r="29586" spans="1:6" x14ac:dyDescent="0.25">
      <c r="A29586" s="2" t="str">
        <f t="shared" si="1060"/>
        <v>47940</v>
      </c>
      <c r="B29586" s="2" t="str">
        <f>"50634"</f>
        <v>50634</v>
      </c>
      <c r="C29586" s="1">
        <v>5.0525026474603496E-3</v>
      </c>
      <c r="D29586" s="1">
        <v>1.55110904296572E-4</v>
      </c>
      <c r="E29586" s="1">
        <v>2.89389067524115E-3</v>
      </c>
      <c r="F29586" s="1">
        <v>4.6170991880273796E-3</v>
      </c>
    </row>
    <row r="29587" spans="1:6" x14ac:dyDescent="0.25">
      <c r="A29587" s="2" t="str">
        <f t="shared" si="1060"/>
        <v>47940</v>
      </c>
      <c r="B29587" s="2" t="str">
        <f>"50609"</f>
        <v>50609</v>
      </c>
      <c r="C29587" s="1">
        <v>1.8372736899855799E-3</v>
      </c>
      <c r="D29587" s="1">
        <v>2.6368853730417202E-3</v>
      </c>
      <c r="E29587" s="1">
        <v>1.2861736334405099E-3</v>
      </c>
      <c r="F29587" s="1">
        <v>1.8764073054791E-3</v>
      </c>
    </row>
    <row r="29588" spans="1:6" x14ac:dyDescent="0.25">
      <c r="A29588" s="2" t="str">
        <f t="shared" si="1060"/>
        <v>47940</v>
      </c>
      <c r="B29588" s="2" t="str">
        <f>"50269"</f>
        <v>50269</v>
      </c>
      <c r="C29588" s="1">
        <v>1.2758845069344301E-5</v>
      </c>
      <c r="D29588" s="1">
        <v>0</v>
      </c>
      <c r="E29588" s="1">
        <v>0</v>
      </c>
      <c r="F29588" s="1">
        <v>1.13721654877521E-5</v>
      </c>
    </row>
    <row r="29589" spans="1:6" x14ac:dyDescent="0.25">
      <c r="A29589" s="2" t="str">
        <f t="shared" si="1060"/>
        <v>47940</v>
      </c>
      <c r="B29589" s="2" t="str">
        <f>"50674"</f>
        <v>50674</v>
      </c>
      <c r="C29589" s="1">
        <v>1.76965181111805E-2</v>
      </c>
      <c r="D29589" s="1">
        <v>2.5283077400341199E-2</v>
      </c>
      <c r="E29589" s="1">
        <v>7.0739549839228203E-3</v>
      </c>
      <c r="F29589" s="1">
        <v>1.7877044146746401E-2</v>
      </c>
    </row>
    <row r="29590" spans="1:6" x14ac:dyDescent="0.25">
      <c r="A29590" s="2" t="str">
        <f t="shared" si="1060"/>
        <v>47940</v>
      </c>
      <c r="B29590" s="2" t="str">
        <f>"50668"</f>
        <v>50668</v>
      </c>
      <c r="C29590" s="1">
        <v>7.2725416895262603E-3</v>
      </c>
      <c r="D29590" s="1">
        <v>1.0857763300760001E-3</v>
      </c>
      <c r="E29590" s="1">
        <v>2.5723472668810199E-3</v>
      </c>
      <c r="F29590" s="1">
        <v>6.6527168103350199E-3</v>
      </c>
    </row>
    <row r="29591" spans="1:6" x14ac:dyDescent="0.25">
      <c r="A29591" s="2" t="str">
        <f t="shared" si="1060"/>
        <v>47940</v>
      </c>
      <c r="B29591" s="2" t="str">
        <f>"50614"</f>
        <v>50614</v>
      </c>
      <c r="C29591" s="1">
        <v>0</v>
      </c>
      <c r="D29591" s="1">
        <v>6.3595470761594504E-3</v>
      </c>
      <c r="E29591" s="1">
        <v>3.2154340836012797E-4</v>
      </c>
      <c r="F29591" s="1">
        <v>4.77630950485591E-4</v>
      </c>
    </row>
    <row r="29592" spans="1:6" x14ac:dyDescent="0.25">
      <c r="A29592" s="2" t="str">
        <f t="shared" si="1060"/>
        <v>47940</v>
      </c>
      <c r="B29592" s="2" t="str">
        <f>"50702"</f>
        <v>50702</v>
      </c>
      <c r="C29592" s="1">
        <v>0.121145233933424</v>
      </c>
      <c r="D29592" s="1">
        <v>0.146424693655964</v>
      </c>
      <c r="E29592" s="1">
        <v>0.15369774919614099</v>
      </c>
      <c r="F29592" s="1">
        <v>0.12414993062979</v>
      </c>
    </row>
    <row r="29593" spans="1:6" x14ac:dyDescent="0.25">
      <c r="A29593" s="2" t="str">
        <f t="shared" si="1060"/>
        <v>47940</v>
      </c>
      <c r="B29593" s="2" t="str">
        <f>"50680"</f>
        <v>50680</v>
      </c>
      <c r="C29593" s="1">
        <v>7.8977250979241301E-3</v>
      </c>
      <c r="D29593" s="1">
        <v>2.4817744687451499E-3</v>
      </c>
      <c r="E29593" s="1">
        <v>6.4308681672025703E-4</v>
      </c>
      <c r="F29593" s="1">
        <v>7.2440694156981301E-3</v>
      </c>
    </row>
    <row r="29594" spans="1:6" x14ac:dyDescent="0.25">
      <c r="A29594" s="2" t="str">
        <f t="shared" si="1060"/>
        <v>47940</v>
      </c>
      <c r="B29594" s="2" t="str">
        <f>"50630"</f>
        <v>50630</v>
      </c>
      <c r="C29594" s="1">
        <v>3.82765352080329E-4</v>
      </c>
      <c r="D29594" s="1">
        <v>0</v>
      </c>
      <c r="E29594" s="1">
        <v>0</v>
      </c>
      <c r="F29594" s="1">
        <v>3.4116496463256499E-4</v>
      </c>
    </row>
    <row r="29595" spans="1:6" x14ac:dyDescent="0.25">
      <c r="A29595" s="2" t="str">
        <f t="shared" si="1060"/>
        <v>47940</v>
      </c>
      <c r="B29595" s="2" t="str">
        <f>"50604"</f>
        <v>50604</v>
      </c>
      <c r="C29595" s="1">
        <v>7.7828954923000299E-4</v>
      </c>
      <c r="D29595" s="1">
        <v>3.10221808593144E-4</v>
      </c>
      <c r="E29595" s="1">
        <v>0</v>
      </c>
      <c r="F29595" s="1">
        <v>7.1644642572838704E-4</v>
      </c>
    </row>
    <row r="29596" spans="1:6" x14ac:dyDescent="0.25">
      <c r="A29596" s="2" t="str">
        <f t="shared" si="1060"/>
        <v>47940</v>
      </c>
      <c r="B29596" s="2" t="str">
        <f>"50651"</f>
        <v>50651</v>
      </c>
      <c r="C29596" s="1">
        <v>1.9265856054709901E-2</v>
      </c>
      <c r="D29596" s="1">
        <v>1.76826430898092E-2</v>
      </c>
      <c r="E29596" s="1">
        <v>1.09324758842443E-2</v>
      </c>
      <c r="F29596" s="1">
        <v>1.8855050378693099E-2</v>
      </c>
    </row>
    <row r="29597" spans="1:6" x14ac:dyDescent="0.25">
      <c r="A29597" s="2" t="str">
        <f t="shared" si="1060"/>
        <v>47940</v>
      </c>
      <c r="B29597" s="2" t="str">
        <f>"50701"</f>
        <v>50701</v>
      </c>
      <c r="C29597" s="1">
        <v>0.185079806575908</v>
      </c>
      <c r="D29597" s="1">
        <v>0.14254692104854899</v>
      </c>
      <c r="E29597" s="1">
        <v>0.219614147909967</v>
      </c>
      <c r="F29597" s="1">
        <v>0.183182841676712</v>
      </c>
    </row>
    <row r="29598" spans="1:6" x14ac:dyDescent="0.25">
      <c r="A29598" s="2" t="str">
        <f t="shared" si="1060"/>
        <v>47940</v>
      </c>
      <c r="B29598" s="2" t="str">
        <f>"50631"</f>
        <v>50631</v>
      </c>
      <c r="C29598" s="1">
        <v>0</v>
      </c>
      <c r="D29598" s="1">
        <v>0</v>
      </c>
      <c r="E29598" s="1">
        <v>3.2154340836012797E-4</v>
      </c>
      <c r="F29598" s="1">
        <v>1.13721654877521E-5</v>
      </c>
    </row>
    <row r="29599" spans="1:6" x14ac:dyDescent="0.25">
      <c r="A29599" s="2" t="str">
        <f t="shared" si="1060"/>
        <v>47940</v>
      </c>
      <c r="B29599" s="2" t="str">
        <f>"50643"</f>
        <v>50643</v>
      </c>
      <c r="C29599" s="1">
        <v>1.6867193181673099E-2</v>
      </c>
      <c r="D29599" s="1">
        <v>5.1186598417868696E-3</v>
      </c>
      <c r="E29599" s="1">
        <v>4.8231511254019201E-3</v>
      </c>
      <c r="F29599" s="1">
        <v>1.5579866718220399E-2</v>
      </c>
    </row>
    <row r="29600" spans="1:6" x14ac:dyDescent="0.25">
      <c r="A29600" s="2" t="str">
        <f t="shared" si="1060"/>
        <v>47940</v>
      </c>
      <c r="B29600" s="2" t="str">
        <f>"50638"</f>
        <v>50638</v>
      </c>
      <c r="C29600" s="1">
        <v>2.0567258251782999E-2</v>
      </c>
      <c r="D29600" s="1">
        <v>3.0091515433534902E-2</v>
      </c>
      <c r="E29600" s="1">
        <v>2.8938906752411502E-2</v>
      </c>
      <c r="F29600" s="1">
        <v>2.1561625764778099E-2</v>
      </c>
    </row>
    <row r="29601" spans="1:6" x14ac:dyDescent="0.25">
      <c r="A29601" s="2" t="str">
        <f t="shared" si="1060"/>
        <v>47940</v>
      </c>
      <c r="B29601" s="2" t="str">
        <f>"50612"</f>
        <v>50612</v>
      </c>
      <c r="C29601" s="1">
        <v>2.1690036617885299E-4</v>
      </c>
      <c r="D29601" s="1">
        <v>0</v>
      </c>
      <c r="E29601" s="1">
        <v>0</v>
      </c>
      <c r="F29601" s="1">
        <v>1.9332681329178701E-4</v>
      </c>
    </row>
    <row r="29602" spans="1:6" x14ac:dyDescent="0.25">
      <c r="A29602" s="2" t="str">
        <f t="shared" si="1060"/>
        <v>47940</v>
      </c>
      <c r="B29602" s="2" t="str">
        <f>"50703"</f>
        <v>50703</v>
      </c>
      <c r="C29602" s="1">
        <v>0.11363027418758</v>
      </c>
      <c r="D29602" s="1">
        <v>0.14239181014425301</v>
      </c>
      <c r="E29602" s="1">
        <v>8.0064308681671997E-2</v>
      </c>
      <c r="F29602" s="1">
        <v>0.11455182295812701</v>
      </c>
    </row>
    <row r="29603" spans="1:6" x14ac:dyDescent="0.25">
      <c r="A29603" s="2" t="str">
        <f t="shared" si="1060"/>
        <v>47940</v>
      </c>
      <c r="B29603" s="2" t="str">
        <f>"50660"</f>
        <v>50660</v>
      </c>
      <c r="C29603" s="1">
        <v>6.3794225346721603E-4</v>
      </c>
      <c r="D29603" s="1">
        <v>0</v>
      </c>
      <c r="E29603" s="1">
        <v>0</v>
      </c>
      <c r="F29603" s="1">
        <v>5.6860827438760797E-4</v>
      </c>
    </row>
    <row r="29604" spans="1:6" x14ac:dyDescent="0.25">
      <c r="A29604" s="2" t="str">
        <f t="shared" si="1060"/>
        <v>47940</v>
      </c>
      <c r="B29604" s="2" t="str">
        <f>"50667"</f>
        <v>50667</v>
      </c>
      <c r="C29604" s="1">
        <v>4.3762838587851002E-3</v>
      </c>
      <c r="D29604" s="1">
        <v>7.7555452148285995E-4</v>
      </c>
      <c r="E29604" s="1">
        <v>1.2861736334405099E-3</v>
      </c>
      <c r="F29604" s="1">
        <v>4.0030022516887604E-3</v>
      </c>
    </row>
    <row r="29605" spans="1:6" x14ac:dyDescent="0.25">
      <c r="A29605" s="2" t="str">
        <f t="shared" si="1060"/>
        <v>47940</v>
      </c>
      <c r="B29605" s="2" t="str">
        <f>"50645"</f>
        <v>50645</v>
      </c>
      <c r="C29605" s="1">
        <v>2.9345343659491901E-4</v>
      </c>
      <c r="D29605" s="1">
        <v>0</v>
      </c>
      <c r="E29605" s="1">
        <v>0</v>
      </c>
      <c r="F29605" s="1">
        <v>2.6155980621829999E-4</v>
      </c>
    </row>
    <row r="29606" spans="1:6" x14ac:dyDescent="0.25">
      <c r="A29606" s="2" t="str">
        <f t="shared" si="1060"/>
        <v>47940</v>
      </c>
      <c r="B29606" s="2" t="str">
        <f>"50629"</f>
        <v>50629</v>
      </c>
      <c r="C29606" s="1">
        <v>2.0924505913724602E-3</v>
      </c>
      <c r="D29606" s="1">
        <v>3.10221808593144E-4</v>
      </c>
      <c r="E29606" s="1">
        <v>0</v>
      </c>
      <c r="F29606" s="1">
        <v>1.8877794709668599E-3</v>
      </c>
    </row>
    <row r="29607" spans="1:6" x14ac:dyDescent="0.25">
      <c r="A29607" s="2" t="str">
        <f t="shared" si="1060"/>
        <v>47940</v>
      </c>
      <c r="B29607" s="2" t="str">
        <f>"50622"</f>
        <v>50622</v>
      </c>
      <c r="C29607" s="1">
        <v>1.90617145336004E-2</v>
      </c>
      <c r="D29607" s="1">
        <v>2.32666356444858E-3</v>
      </c>
      <c r="E29607" s="1">
        <v>6.7524115755626998E-3</v>
      </c>
      <c r="F29607" s="1">
        <v>1.7399413196260798E-2</v>
      </c>
    </row>
    <row r="29608" spans="1:6" x14ac:dyDescent="0.25">
      <c r="A29608" s="2" t="str">
        <f t="shared" si="1060"/>
        <v>47940</v>
      </c>
      <c r="B29608" s="2" t="str">
        <f>"50613"</f>
        <v>50613</v>
      </c>
      <c r="C29608" s="1">
        <v>0.241218724881023</v>
      </c>
      <c r="D29608" s="1">
        <v>0.27035830618892498</v>
      </c>
      <c r="E29608" s="1">
        <v>0.35401929260450099</v>
      </c>
      <c r="F29608" s="1">
        <v>0.247344599358609</v>
      </c>
    </row>
    <row r="29609" spans="1:6" x14ac:dyDescent="0.25">
      <c r="A29609" s="2" t="str">
        <f t="shared" ref="A29609:A29631" si="1061">"22700"</f>
        <v>22700</v>
      </c>
      <c r="B29609" s="2" t="str">
        <f>"50521"</f>
        <v>50521</v>
      </c>
      <c r="C29609" s="1">
        <v>2.9446407538280301E-3</v>
      </c>
      <c r="D29609" s="1">
        <v>5.2854122621564398E-4</v>
      </c>
      <c r="E29609" s="1">
        <v>2.9717682020802298E-3</v>
      </c>
      <c r="F29609" s="1">
        <v>2.73031116132373E-3</v>
      </c>
    </row>
    <row r="29610" spans="1:6" x14ac:dyDescent="0.25">
      <c r="A29610" s="2" t="str">
        <f t="shared" si="1061"/>
        <v>22700</v>
      </c>
      <c r="B29610" s="2" t="str">
        <f>"50518"</f>
        <v>50518</v>
      </c>
      <c r="C29610" s="1">
        <v>7.4954491915622604E-3</v>
      </c>
      <c r="D29610" s="1">
        <v>0</v>
      </c>
      <c r="E29610" s="1">
        <v>4.4576523031203503E-3</v>
      </c>
      <c r="F29610" s="1">
        <v>6.7316292425740202E-3</v>
      </c>
    </row>
    <row r="29611" spans="1:6" x14ac:dyDescent="0.25">
      <c r="A29611" s="2" t="str">
        <f t="shared" si="1061"/>
        <v>22700</v>
      </c>
      <c r="B29611" s="2" t="str">
        <f>"50532"</f>
        <v>50532</v>
      </c>
      <c r="C29611" s="1">
        <v>1.59010600706713E-2</v>
      </c>
      <c r="D29611" s="1">
        <v>4.7568710359408E-3</v>
      </c>
      <c r="E29611" s="1">
        <v>7.4294205052005896E-3</v>
      </c>
      <c r="F29611" s="1">
        <v>1.46401167443393E-2</v>
      </c>
    </row>
    <row r="29612" spans="1:6" x14ac:dyDescent="0.25">
      <c r="A29612" s="2" t="str">
        <f t="shared" si="1061"/>
        <v>22700</v>
      </c>
      <c r="B29612" s="2" t="str">
        <f>"50530"</f>
        <v>50530</v>
      </c>
      <c r="C29612" s="1">
        <v>3.1052575222186501E-2</v>
      </c>
      <c r="D29612" s="1">
        <v>3.6997885835095101E-3</v>
      </c>
      <c r="E29612" s="1">
        <v>3.7147102526002902E-2</v>
      </c>
      <c r="F29612" s="1">
        <v>2.8809490185002101E-2</v>
      </c>
    </row>
    <row r="29613" spans="1:6" x14ac:dyDescent="0.25">
      <c r="A29613" s="2" t="str">
        <f t="shared" si="1061"/>
        <v>22700</v>
      </c>
      <c r="B29613" s="2" t="str">
        <f>"50217"</f>
        <v>50217</v>
      </c>
      <c r="C29613" s="1">
        <v>1.07077845593746E-4</v>
      </c>
      <c r="D29613" s="1">
        <v>0</v>
      </c>
      <c r="E29613" s="1">
        <v>0</v>
      </c>
      <c r="F29613" s="1">
        <v>9.4148660735301007E-5</v>
      </c>
    </row>
    <row r="29614" spans="1:6" x14ac:dyDescent="0.25">
      <c r="A29614" s="2" t="str">
        <f t="shared" si="1061"/>
        <v>22700</v>
      </c>
      <c r="B29614" s="2" t="str">
        <f>"50563"</f>
        <v>50563</v>
      </c>
      <c r="C29614" s="1">
        <v>5.3538922796873302E-4</v>
      </c>
      <c r="D29614" s="1">
        <v>0</v>
      </c>
      <c r="E29614" s="1">
        <v>0</v>
      </c>
      <c r="F29614" s="1">
        <v>4.7074330367650498E-4</v>
      </c>
    </row>
    <row r="29615" spans="1:6" x14ac:dyDescent="0.25">
      <c r="A29615" s="2" t="str">
        <f t="shared" si="1061"/>
        <v>22700</v>
      </c>
      <c r="B29615" s="2" t="str">
        <f>"50501"</f>
        <v>50501</v>
      </c>
      <c r="C29615" s="1">
        <v>0.77304850626405297</v>
      </c>
      <c r="D29615" s="1">
        <v>0.955602536997885</v>
      </c>
      <c r="E29615" s="1">
        <v>0.87667161961367002</v>
      </c>
      <c r="F29615" s="1">
        <v>0.79259050040013102</v>
      </c>
    </row>
    <row r="29616" spans="1:6" x14ac:dyDescent="0.25">
      <c r="A29616" s="2" t="str">
        <f t="shared" si="1061"/>
        <v>22700</v>
      </c>
      <c r="B29616" s="2" t="str">
        <f>"50548"</f>
        <v>50548</v>
      </c>
      <c r="C29616" s="1">
        <v>3.10525752221865E-3</v>
      </c>
      <c r="D29616" s="1">
        <v>1.0570824524312799E-3</v>
      </c>
      <c r="E29616" s="1">
        <v>0</v>
      </c>
      <c r="F29616" s="1">
        <v>2.8244598220590299E-3</v>
      </c>
    </row>
    <row r="29617" spans="1:6" x14ac:dyDescent="0.25">
      <c r="A29617" s="2" t="str">
        <f t="shared" si="1061"/>
        <v>22700</v>
      </c>
      <c r="B29617" s="2" t="str">
        <f>"50543"</f>
        <v>50543</v>
      </c>
      <c r="C29617" s="1">
        <v>3.9458186101295603E-2</v>
      </c>
      <c r="D29617" s="1">
        <v>1.0570824524312799E-2</v>
      </c>
      <c r="E29617" s="1">
        <v>2.22882615156017E-2</v>
      </c>
      <c r="F29617" s="1">
        <v>3.6341383043826198E-2</v>
      </c>
    </row>
    <row r="29618" spans="1:6" x14ac:dyDescent="0.25">
      <c r="A29618" s="2" t="str">
        <f t="shared" si="1061"/>
        <v>22700</v>
      </c>
      <c r="B29618" s="2" t="str">
        <f>"50566"</f>
        <v>50566</v>
      </c>
      <c r="C29618" s="1">
        <v>1.1510868401327701E-2</v>
      </c>
      <c r="D29618" s="1">
        <v>2.6427061310782202E-3</v>
      </c>
      <c r="E29618" s="1">
        <v>1.4858841010401099E-3</v>
      </c>
      <c r="F29618" s="1">
        <v>1.04034270112507E-2</v>
      </c>
    </row>
    <row r="29619" spans="1:6" x14ac:dyDescent="0.25">
      <c r="A29619" s="2" t="str">
        <f t="shared" si="1061"/>
        <v>22700</v>
      </c>
      <c r="B29619" s="2" t="str">
        <f>"50544"</f>
        <v>50544</v>
      </c>
      <c r="C29619" s="1">
        <v>1.36524253132026E-2</v>
      </c>
      <c r="D29619" s="1">
        <v>3.6997885835095101E-3</v>
      </c>
      <c r="E29619" s="1">
        <v>1.7830609212481401E-2</v>
      </c>
      <c r="F29619" s="1">
        <v>1.28983665207362E-2</v>
      </c>
    </row>
    <row r="29620" spans="1:6" x14ac:dyDescent="0.25">
      <c r="A29620" s="2" t="str">
        <f t="shared" si="1061"/>
        <v>22700</v>
      </c>
      <c r="B29620" s="2" t="str">
        <f>"50569"</f>
        <v>50569</v>
      </c>
      <c r="C29620" s="1">
        <v>2.08801798907805E-2</v>
      </c>
      <c r="D29620" s="1">
        <v>6.8710359408033798E-3</v>
      </c>
      <c r="E29620" s="1">
        <v>4.4576523031203503E-3</v>
      </c>
      <c r="F29620" s="1">
        <v>1.9112178129266098E-2</v>
      </c>
    </row>
    <row r="29621" spans="1:6" x14ac:dyDescent="0.25">
      <c r="A29621" s="2" t="str">
        <f t="shared" si="1061"/>
        <v>22700</v>
      </c>
      <c r="B29621" s="2" t="str">
        <f>"50533"</f>
        <v>50533</v>
      </c>
      <c r="C29621" s="1">
        <v>1.0172395331405899E-3</v>
      </c>
      <c r="D29621" s="1">
        <v>0</v>
      </c>
      <c r="E29621" s="1">
        <v>0</v>
      </c>
      <c r="F29621" s="1">
        <v>8.9441227698535905E-4</v>
      </c>
    </row>
    <row r="29622" spans="1:6" x14ac:dyDescent="0.25">
      <c r="A29622" s="2" t="str">
        <f t="shared" si="1061"/>
        <v>22700</v>
      </c>
      <c r="B29622" s="2" t="str">
        <f>"50595"</f>
        <v>50595</v>
      </c>
      <c r="C29622" s="1">
        <v>2.1415569118749301E-4</v>
      </c>
      <c r="D29622" s="1">
        <v>0</v>
      </c>
      <c r="E29622" s="1">
        <v>0</v>
      </c>
      <c r="F29622" s="1">
        <v>1.8829732147060201E-4</v>
      </c>
    </row>
    <row r="29623" spans="1:6" x14ac:dyDescent="0.25">
      <c r="A29623" s="2" t="str">
        <f t="shared" si="1061"/>
        <v>22700</v>
      </c>
      <c r="B29623" s="2" t="str">
        <f>"50594"</f>
        <v>50594</v>
      </c>
      <c r="C29623" s="1">
        <v>7.7096048827497501E-3</v>
      </c>
      <c r="D29623" s="1">
        <v>1.5856236786469301E-3</v>
      </c>
      <c r="E29623" s="1">
        <v>4.4576523031203503E-3</v>
      </c>
      <c r="F29623" s="1">
        <v>7.0611495551475703E-3</v>
      </c>
    </row>
    <row r="29624" spans="1:6" x14ac:dyDescent="0.25">
      <c r="A29624" s="2" t="str">
        <f t="shared" si="1061"/>
        <v>22700</v>
      </c>
      <c r="B29624" s="2" t="str">
        <f>"50557"</f>
        <v>50557</v>
      </c>
      <c r="C29624" s="1">
        <v>2.1201413427561801E-2</v>
      </c>
      <c r="D29624" s="1">
        <v>2.6427061310782202E-3</v>
      </c>
      <c r="E29624" s="1">
        <v>5.94353640416047E-3</v>
      </c>
      <c r="F29624" s="1">
        <v>1.9065103798898399E-2</v>
      </c>
    </row>
    <row r="29625" spans="1:6" x14ac:dyDescent="0.25">
      <c r="A29625" s="2" t="str">
        <f t="shared" si="1061"/>
        <v>22700</v>
      </c>
      <c r="B29625" s="2" t="str">
        <f>"50516"</f>
        <v>50516</v>
      </c>
      <c r="C29625" s="1">
        <v>1.5847521147874501E-2</v>
      </c>
      <c r="D29625" s="1">
        <v>3.1712473572938602E-3</v>
      </c>
      <c r="E29625" s="1">
        <v>5.94353640416047E-3</v>
      </c>
      <c r="F29625" s="1">
        <v>1.4404745092501E-2</v>
      </c>
    </row>
    <row r="29626" spans="1:6" x14ac:dyDescent="0.25">
      <c r="A29626" s="2" t="str">
        <f t="shared" si="1061"/>
        <v>22700</v>
      </c>
      <c r="B29626" s="2" t="str">
        <f>"50586"</f>
        <v>50586</v>
      </c>
      <c r="C29626" s="1">
        <v>4.81850305171859E-4</v>
      </c>
      <c r="D29626" s="1">
        <v>0</v>
      </c>
      <c r="E29626" s="1">
        <v>0</v>
      </c>
      <c r="F29626" s="1">
        <v>4.2366897330885401E-4</v>
      </c>
    </row>
    <row r="29627" spans="1:6" x14ac:dyDescent="0.25">
      <c r="A29627" s="2" t="str">
        <f t="shared" si="1061"/>
        <v>22700</v>
      </c>
      <c r="B29627" s="2" t="str">
        <f>"50524"</f>
        <v>50524</v>
      </c>
      <c r="C29627" s="1">
        <v>1.27958025484527E-2</v>
      </c>
      <c r="D29627" s="1">
        <v>1.5856236786469301E-3</v>
      </c>
      <c r="E29627" s="1">
        <v>5.94353640416047E-3</v>
      </c>
      <c r="F29627" s="1">
        <v>1.1580285270442E-2</v>
      </c>
    </row>
    <row r="29628" spans="1:6" x14ac:dyDescent="0.25">
      <c r="A29628" s="2" t="str">
        <f t="shared" si="1061"/>
        <v>22700</v>
      </c>
      <c r="B29628" s="2" t="str">
        <f>"50523"</f>
        <v>50523</v>
      </c>
      <c r="C29628" s="1">
        <v>1.6597066067030701E-2</v>
      </c>
      <c r="D29628" s="1">
        <v>1.5856236786469301E-3</v>
      </c>
      <c r="E29628" s="1">
        <v>2.9717682020802298E-3</v>
      </c>
      <c r="F29628" s="1">
        <v>1.4828414065809901E-2</v>
      </c>
    </row>
    <row r="29629" spans="1:6" x14ac:dyDescent="0.25">
      <c r="A29629" s="2" t="str">
        <f t="shared" si="1061"/>
        <v>22700</v>
      </c>
      <c r="B29629" s="2" t="str">
        <f>"50538"</f>
        <v>50538</v>
      </c>
      <c r="C29629" s="1">
        <v>3.7477245957811297E-4</v>
      </c>
      <c r="D29629" s="1">
        <v>0</v>
      </c>
      <c r="E29629" s="1">
        <v>0</v>
      </c>
      <c r="F29629" s="1">
        <v>3.2952031257355301E-4</v>
      </c>
    </row>
    <row r="29630" spans="1:6" x14ac:dyDescent="0.25">
      <c r="A29630" s="2" t="str">
        <f t="shared" si="1061"/>
        <v>22700</v>
      </c>
      <c r="B29630" s="2" t="str">
        <f>"50591"</f>
        <v>50591</v>
      </c>
      <c r="C29630" s="1">
        <v>5.8892815076560601E-4</v>
      </c>
      <c r="D29630" s="1">
        <v>0</v>
      </c>
      <c r="E29630" s="1">
        <v>0</v>
      </c>
      <c r="F29630" s="1">
        <v>5.1781763404415502E-4</v>
      </c>
    </row>
    <row r="29631" spans="1:6" x14ac:dyDescent="0.25">
      <c r="A29631" s="2" t="str">
        <f t="shared" si="1061"/>
        <v>22700</v>
      </c>
      <c r="B29631" s="2" t="str">
        <f>"50249"</f>
        <v>50249</v>
      </c>
      <c r="C29631" s="1">
        <v>3.4800299817967601E-3</v>
      </c>
      <c r="D29631" s="1">
        <v>0</v>
      </c>
      <c r="E29631" s="1">
        <v>0</v>
      </c>
      <c r="F29631" s="1">
        <v>3.0598314738972802E-3</v>
      </c>
    </row>
    <row r="29632" spans="1:6" x14ac:dyDescent="0.25">
      <c r="A29632" s="2" t="str">
        <f t="shared" ref="A29632:A29651" si="1062">"16140"</f>
        <v>16140</v>
      </c>
      <c r="B29632" s="2" t="str">
        <f>"51444"</f>
        <v>51444</v>
      </c>
      <c r="C29632" s="1">
        <v>1.30942788074133E-2</v>
      </c>
      <c r="D29632" s="1">
        <v>1.9138755980861199E-3</v>
      </c>
      <c r="E29632" s="1">
        <v>0</v>
      </c>
      <c r="F29632" s="1">
        <v>1.1527377521613799E-2</v>
      </c>
    </row>
    <row r="29633" spans="1:6" x14ac:dyDescent="0.25">
      <c r="A29633" s="2" t="str">
        <f t="shared" si="1062"/>
        <v>16140</v>
      </c>
      <c r="B29633" s="2" t="str">
        <f>"50050"</f>
        <v>50050</v>
      </c>
      <c r="C29633" s="1">
        <v>2.0145044319097501E-4</v>
      </c>
      <c r="D29633" s="1">
        <v>0</v>
      </c>
      <c r="E29633" s="1">
        <v>0</v>
      </c>
      <c r="F29633" s="1">
        <v>1.7465723517596699E-4</v>
      </c>
    </row>
    <row r="29634" spans="1:6" x14ac:dyDescent="0.25">
      <c r="A29634" s="2" t="str">
        <f t="shared" si="1062"/>
        <v>16140</v>
      </c>
      <c r="B29634" s="2" t="str">
        <f>"51466"</f>
        <v>51466</v>
      </c>
      <c r="C29634" s="1">
        <v>4.0290088638195002E-4</v>
      </c>
      <c r="D29634" s="1">
        <v>0</v>
      </c>
      <c r="E29634" s="1">
        <v>0</v>
      </c>
      <c r="F29634" s="1">
        <v>3.4931447035193398E-4</v>
      </c>
    </row>
    <row r="29635" spans="1:6" x14ac:dyDescent="0.25">
      <c r="A29635" s="2" t="str">
        <f t="shared" si="1062"/>
        <v>16140</v>
      </c>
      <c r="B29635" s="2" t="str">
        <f>"51462"</f>
        <v>51462</v>
      </c>
      <c r="C29635" s="1">
        <v>8.0580177276390005E-4</v>
      </c>
      <c r="D29635" s="1">
        <v>9.5693779904306201E-4</v>
      </c>
      <c r="E29635" s="1">
        <v>0</v>
      </c>
      <c r="F29635" s="1">
        <v>7.8595755829185198E-4</v>
      </c>
    </row>
    <row r="29636" spans="1:6" x14ac:dyDescent="0.25">
      <c r="A29636" s="2" t="str">
        <f t="shared" si="1062"/>
        <v>16140</v>
      </c>
      <c r="B29636" s="2" t="str">
        <f>"51449"</f>
        <v>51449</v>
      </c>
      <c r="C29636" s="1">
        <v>3.2232070910556002E-3</v>
      </c>
      <c r="D29636" s="1">
        <v>0</v>
      </c>
      <c r="E29636" s="1">
        <v>0</v>
      </c>
      <c r="F29636" s="1">
        <v>2.7945157628154701E-3</v>
      </c>
    </row>
    <row r="29637" spans="1:6" x14ac:dyDescent="0.25">
      <c r="A29637" s="2" t="str">
        <f t="shared" si="1062"/>
        <v>16140</v>
      </c>
      <c r="B29637" s="2" t="str">
        <f>"51467"</f>
        <v>51467</v>
      </c>
      <c r="C29637" s="1">
        <v>3.4246575342465699E-3</v>
      </c>
      <c r="D29637" s="1">
        <v>0</v>
      </c>
      <c r="E29637" s="1">
        <v>0</v>
      </c>
      <c r="F29637" s="1">
        <v>2.9691729979914399E-3</v>
      </c>
    </row>
    <row r="29638" spans="1:6" x14ac:dyDescent="0.25">
      <c r="A29638" s="2" t="str">
        <f t="shared" si="1062"/>
        <v>16140</v>
      </c>
      <c r="B29638" s="2" t="str">
        <f>"51451"</f>
        <v>51451</v>
      </c>
      <c r="C29638" s="1">
        <v>2.0145044319097501E-4</v>
      </c>
      <c r="D29638" s="1">
        <v>0</v>
      </c>
      <c r="E29638" s="1">
        <v>2.0920502092050199E-3</v>
      </c>
      <c r="F29638" s="1">
        <v>2.6198585276395001E-4</v>
      </c>
    </row>
    <row r="29639" spans="1:6" x14ac:dyDescent="0.25">
      <c r="A29639" s="2" t="str">
        <f t="shared" si="1062"/>
        <v>16140</v>
      </c>
      <c r="B29639" s="2" t="str">
        <f>"51459"</f>
        <v>51459</v>
      </c>
      <c r="C29639" s="1">
        <v>4.4319097502014499E-3</v>
      </c>
      <c r="D29639" s="1">
        <v>4.78468899521531E-3</v>
      </c>
      <c r="E29639" s="1">
        <v>0</v>
      </c>
      <c r="F29639" s="1">
        <v>4.2791022618111898E-3</v>
      </c>
    </row>
    <row r="29640" spans="1:6" x14ac:dyDescent="0.25">
      <c r="A29640" s="2" t="str">
        <f t="shared" si="1062"/>
        <v>16140</v>
      </c>
      <c r="B29640" s="2" t="str">
        <f>"51430"</f>
        <v>51430</v>
      </c>
      <c r="C29640" s="1">
        <v>3.4045124899274699E-2</v>
      </c>
      <c r="D29640" s="1">
        <v>1.7224880382775101E-2</v>
      </c>
      <c r="E29640" s="1">
        <v>8.3682008368200795E-3</v>
      </c>
      <c r="F29640" s="1">
        <v>3.1438302331674002E-2</v>
      </c>
    </row>
    <row r="29641" spans="1:6" x14ac:dyDescent="0.25">
      <c r="A29641" s="2" t="str">
        <f t="shared" si="1062"/>
        <v>16140</v>
      </c>
      <c r="B29641" s="2" t="str">
        <f>"51455"</f>
        <v>51455</v>
      </c>
      <c r="C29641" s="1">
        <v>9.83078162771958E-2</v>
      </c>
      <c r="D29641" s="1">
        <v>9.8564593301435396E-2</v>
      </c>
      <c r="E29641" s="1">
        <v>5.4393305439330498E-2</v>
      </c>
      <c r="F29641" s="1">
        <v>9.6498122434721806E-2</v>
      </c>
    </row>
    <row r="29642" spans="1:6" x14ac:dyDescent="0.25">
      <c r="A29642" s="2" t="str">
        <f t="shared" si="1062"/>
        <v>16140</v>
      </c>
      <c r="B29642" s="2" t="str">
        <f>"51440"</f>
        <v>51440</v>
      </c>
      <c r="C29642" s="1">
        <v>2.1152296535052299E-2</v>
      </c>
      <c r="D29642" s="1">
        <v>1.9138755980861199E-3</v>
      </c>
      <c r="E29642" s="1">
        <v>2.0920502092050199E-3</v>
      </c>
      <c r="F29642" s="1">
        <v>1.8600995546240499E-2</v>
      </c>
    </row>
    <row r="29643" spans="1:6" x14ac:dyDescent="0.25">
      <c r="A29643" s="2" t="str">
        <f t="shared" si="1062"/>
        <v>16140</v>
      </c>
      <c r="B29643" s="2" t="str">
        <f>"51436"</f>
        <v>51436</v>
      </c>
      <c r="C29643" s="1">
        <v>3.5656728444802499E-2</v>
      </c>
      <c r="D29643" s="1">
        <v>2.2009569377990399E-2</v>
      </c>
      <c r="E29643" s="1">
        <v>2.0920502092050201E-2</v>
      </c>
      <c r="F29643" s="1">
        <v>3.3796175006549599E-2</v>
      </c>
    </row>
    <row r="29644" spans="1:6" x14ac:dyDescent="0.25">
      <c r="A29644" s="2" t="str">
        <f t="shared" si="1062"/>
        <v>16140</v>
      </c>
      <c r="B29644" s="2" t="str">
        <f>"50058"</f>
        <v>50058</v>
      </c>
      <c r="C29644" s="1">
        <v>7.9472199838839602E-2</v>
      </c>
      <c r="D29644" s="1">
        <v>0.10334928229665</v>
      </c>
      <c r="E29644" s="1">
        <v>7.7405857740585698E-2</v>
      </c>
      <c r="F29644" s="1">
        <v>8.15649288271766E-2</v>
      </c>
    </row>
    <row r="29645" spans="1:6" x14ac:dyDescent="0.25">
      <c r="A29645" s="2" t="str">
        <f t="shared" si="1062"/>
        <v>16140</v>
      </c>
      <c r="B29645" s="2" t="str">
        <f>"51453"</f>
        <v>51453</v>
      </c>
      <c r="C29645" s="1">
        <v>1.4101531023368199E-3</v>
      </c>
      <c r="D29645" s="1">
        <v>0</v>
      </c>
      <c r="E29645" s="1">
        <v>0</v>
      </c>
      <c r="F29645" s="1">
        <v>1.22260064623177E-3</v>
      </c>
    </row>
    <row r="29646" spans="1:6" x14ac:dyDescent="0.25">
      <c r="A29646" s="2" t="str">
        <f t="shared" si="1062"/>
        <v>16140</v>
      </c>
      <c r="B29646" s="2" t="str">
        <f>"51443"</f>
        <v>51443</v>
      </c>
      <c r="C29646" s="1">
        <v>8.13859790491539E-2</v>
      </c>
      <c r="D29646" s="1">
        <v>9.5693779904306199E-3</v>
      </c>
      <c r="E29646" s="1">
        <v>6.0669456066945598E-2</v>
      </c>
      <c r="F29646" s="1">
        <v>7.3967339097021995E-2</v>
      </c>
    </row>
    <row r="29647" spans="1:6" x14ac:dyDescent="0.25">
      <c r="A29647" s="2" t="str">
        <f t="shared" si="1062"/>
        <v>16140</v>
      </c>
      <c r="B29647" s="2" t="str">
        <f>"51401"</f>
        <v>51401</v>
      </c>
      <c r="C29647" s="1">
        <v>0.59387590652699396</v>
      </c>
      <c r="D29647" s="1">
        <v>0.72535885167464098</v>
      </c>
      <c r="E29647" s="1">
        <v>0.77196652719665204</v>
      </c>
      <c r="F29647" s="1">
        <v>0.61330888132040795</v>
      </c>
    </row>
    <row r="29648" spans="1:6" x14ac:dyDescent="0.25">
      <c r="A29648" s="2" t="str">
        <f t="shared" si="1062"/>
        <v>16140</v>
      </c>
      <c r="B29648" s="2" t="str">
        <f>"51452"</f>
        <v>51452</v>
      </c>
      <c r="C29648" s="1">
        <v>6.0435132957292498E-4</v>
      </c>
      <c r="D29648" s="1">
        <v>0</v>
      </c>
      <c r="E29648" s="1">
        <v>2.0920502092050199E-3</v>
      </c>
      <c r="F29648" s="1">
        <v>6.1130032311588502E-4</v>
      </c>
    </row>
    <row r="29649" spans="1:6" x14ac:dyDescent="0.25">
      <c r="A29649" s="2" t="str">
        <f t="shared" si="1062"/>
        <v>16140</v>
      </c>
      <c r="B29649" s="2" t="str">
        <f>"51433"</f>
        <v>51433</v>
      </c>
      <c r="C29649" s="1">
        <v>3.02175664786462E-4</v>
      </c>
      <c r="D29649" s="1">
        <v>0</v>
      </c>
      <c r="E29649" s="1">
        <v>0</v>
      </c>
      <c r="F29649" s="1">
        <v>2.6198585276395001E-4</v>
      </c>
    </row>
    <row r="29650" spans="1:6" x14ac:dyDescent="0.25">
      <c r="A29650" s="2" t="str">
        <f t="shared" si="1062"/>
        <v>16140</v>
      </c>
      <c r="B29650" s="2" t="str">
        <f>"51463"</f>
        <v>51463</v>
      </c>
      <c r="C29650" s="1">
        <v>2.7900886381949999E-2</v>
      </c>
      <c r="D29650" s="1">
        <v>1.43540669856459E-2</v>
      </c>
      <c r="E29650" s="1">
        <v>0</v>
      </c>
      <c r="F29650" s="1">
        <v>2.5499956335691201E-2</v>
      </c>
    </row>
    <row r="29651" spans="1:6" x14ac:dyDescent="0.25">
      <c r="A29651" s="2" t="str">
        <f t="shared" si="1062"/>
        <v>16140</v>
      </c>
      <c r="B29651" s="2" t="str">
        <f>"50025"</f>
        <v>50025</v>
      </c>
      <c r="C29651" s="1">
        <v>1.00725221595487E-4</v>
      </c>
      <c r="D29651" s="1">
        <v>0</v>
      </c>
      <c r="E29651" s="1">
        <v>0</v>
      </c>
      <c r="F29651" s="1">
        <v>8.7328617587983495E-5</v>
      </c>
    </row>
    <row r="29652" spans="1:6" x14ac:dyDescent="0.25">
      <c r="A29652" s="2" t="str">
        <f t="shared" ref="A29652:A29683" si="1063">"13180"</f>
        <v>13180</v>
      </c>
      <c r="B29652" s="2" t="str">
        <f>"53963"</f>
        <v>53963</v>
      </c>
      <c r="C29652" s="1">
        <v>6.6103075982888504E-2</v>
      </c>
      <c r="D29652" s="1">
        <v>7.8150572831423806E-2</v>
      </c>
      <c r="E29652" s="1">
        <v>8.4195997239475504E-2</v>
      </c>
      <c r="F29652" s="1">
        <v>6.7392563419437002E-2</v>
      </c>
    </row>
    <row r="29653" spans="1:6" x14ac:dyDescent="0.25">
      <c r="A29653" s="2" t="str">
        <f t="shared" si="1063"/>
        <v>13180</v>
      </c>
      <c r="B29653" s="2" t="str">
        <f>"53066"</f>
        <v>53066</v>
      </c>
      <c r="C29653" s="1">
        <v>1.6627622733754299E-2</v>
      </c>
      <c r="D29653" s="1">
        <v>4.5008183306055596E-3</v>
      </c>
      <c r="E29653" s="1">
        <v>2.4844720496894401E-2</v>
      </c>
      <c r="F29653" s="1">
        <v>1.6216842349125401E-2</v>
      </c>
    </row>
    <row r="29654" spans="1:6" x14ac:dyDescent="0.25">
      <c r="A29654" s="2" t="str">
        <f t="shared" si="1063"/>
        <v>13180</v>
      </c>
      <c r="B29654" s="2" t="str">
        <f>"53594"</f>
        <v>53594</v>
      </c>
      <c r="C29654" s="1">
        <v>8.0209818700346294E-3</v>
      </c>
      <c r="D29654" s="1">
        <v>3.68248772504091E-3</v>
      </c>
      <c r="E29654" s="1">
        <v>1.3802622498274601E-3</v>
      </c>
      <c r="F29654" s="1">
        <v>7.5524151511641296E-3</v>
      </c>
    </row>
    <row r="29655" spans="1:6" x14ac:dyDescent="0.25">
      <c r="A29655" s="2" t="str">
        <f t="shared" si="1063"/>
        <v>13180</v>
      </c>
      <c r="B29655" s="2" t="str">
        <f>"53094"</f>
        <v>53094</v>
      </c>
      <c r="C29655" s="1">
        <v>2.2917091057241801E-4</v>
      </c>
      <c r="D29655" s="1">
        <v>0</v>
      </c>
      <c r="E29655" s="1">
        <v>0</v>
      </c>
      <c r="F29655" s="1">
        <v>2.0850225877447001E-4</v>
      </c>
    </row>
    <row r="29656" spans="1:6" x14ac:dyDescent="0.25">
      <c r="A29656" s="2" t="str">
        <f t="shared" si="1063"/>
        <v>13180</v>
      </c>
      <c r="B29656" s="2" t="str">
        <f>"53010"</f>
        <v>53010</v>
      </c>
      <c r="C29656" s="1">
        <v>4.3287838663678898E-4</v>
      </c>
      <c r="D29656" s="1">
        <v>4.0916530278232402E-4</v>
      </c>
      <c r="E29656" s="1">
        <v>0</v>
      </c>
      <c r="F29656" s="1">
        <v>4.1700451754894002E-4</v>
      </c>
    </row>
    <row r="29657" spans="1:6" x14ac:dyDescent="0.25">
      <c r="A29657" s="2" t="str">
        <f t="shared" si="1063"/>
        <v>13180</v>
      </c>
      <c r="B29657" s="2" t="str">
        <f>"53932"</f>
        <v>53932</v>
      </c>
      <c r="C29657" s="1">
        <v>9.1668364228967203E-4</v>
      </c>
      <c r="D29657" s="1">
        <v>0</v>
      </c>
      <c r="E29657" s="1">
        <v>0</v>
      </c>
      <c r="F29657" s="1">
        <v>8.3400903509788004E-4</v>
      </c>
    </row>
    <row r="29658" spans="1:6" x14ac:dyDescent="0.25">
      <c r="A29658" s="2" t="str">
        <f t="shared" si="1063"/>
        <v>13180</v>
      </c>
      <c r="B29658" s="2" t="str">
        <f>"53933"</f>
        <v>53933</v>
      </c>
      <c r="C29658" s="1">
        <v>4.24984721939295E-2</v>
      </c>
      <c r="D29658" s="1">
        <v>1.2684124386252001E-2</v>
      </c>
      <c r="E29658" s="1">
        <v>3.7267080745341602E-2</v>
      </c>
      <c r="F29658" s="1">
        <v>4.063477354338E-2</v>
      </c>
    </row>
    <row r="29659" spans="1:6" x14ac:dyDescent="0.25">
      <c r="A29659" s="2" t="str">
        <f t="shared" si="1063"/>
        <v>13180</v>
      </c>
      <c r="B29659" s="2" t="str">
        <f>"53922"</f>
        <v>53922</v>
      </c>
      <c r="C29659" s="1">
        <v>1.06691790588714E-2</v>
      </c>
      <c r="D29659" s="1">
        <v>7.3649754500818296E-3</v>
      </c>
      <c r="E29659" s="1">
        <v>2.0703933747412001E-3</v>
      </c>
      <c r="F29659" s="1">
        <v>1.0193443762307399E-2</v>
      </c>
    </row>
    <row r="29660" spans="1:6" x14ac:dyDescent="0.25">
      <c r="A29660" s="2" t="str">
        <f t="shared" si="1063"/>
        <v>13180</v>
      </c>
      <c r="B29660" s="2" t="str">
        <f>"53050"</f>
        <v>53050</v>
      </c>
      <c r="C29660" s="1">
        <v>8.2425137502546306E-2</v>
      </c>
      <c r="D29660" s="1">
        <v>0.105973813420621</v>
      </c>
      <c r="E29660" s="1">
        <v>0.10489993098688701</v>
      </c>
      <c r="F29660" s="1">
        <v>8.4512915556585105E-2</v>
      </c>
    </row>
    <row r="29661" spans="1:6" x14ac:dyDescent="0.25">
      <c r="A29661" s="2" t="str">
        <f t="shared" si="1063"/>
        <v>13180</v>
      </c>
      <c r="B29661" s="2" t="str">
        <f>"53956"</f>
        <v>53956</v>
      </c>
      <c r="C29661" s="1">
        <v>2.5259727031982E-2</v>
      </c>
      <c r="D29661" s="1">
        <v>3.8870703764320703E-2</v>
      </c>
      <c r="E29661" s="1">
        <v>1.10420979986197E-2</v>
      </c>
      <c r="F29661" s="1">
        <v>2.5553110158693298E-2</v>
      </c>
    </row>
    <row r="29662" spans="1:6" x14ac:dyDescent="0.25">
      <c r="A29662" s="2" t="str">
        <f t="shared" si="1063"/>
        <v>13180</v>
      </c>
      <c r="B29662" s="2" t="str">
        <f>"53003"</f>
        <v>53003</v>
      </c>
      <c r="C29662" s="1">
        <v>1.8079038500712901E-3</v>
      </c>
      <c r="D29662" s="1">
        <v>0</v>
      </c>
      <c r="E29662" s="1">
        <v>4.1407867494824002E-3</v>
      </c>
      <c r="F29662" s="1">
        <v>1.7838526584037901E-3</v>
      </c>
    </row>
    <row r="29663" spans="1:6" x14ac:dyDescent="0.25">
      <c r="A29663" s="2" t="str">
        <f t="shared" si="1063"/>
        <v>13180</v>
      </c>
      <c r="B29663" s="2" t="str">
        <f>"53078"</f>
        <v>53078</v>
      </c>
      <c r="C29663" s="1">
        <v>1.9046649012018701E-2</v>
      </c>
      <c r="D29663" s="1">
        <v>6.9558101472994996E-3</v>
      </c>
      <c r="E29663" s="1">
        <v>1.3802622498274601E-3</v>
      </c>
      <c r="F29663" s="1">
        <v>1.7769025831113099E-2</v>
      </c>
    </row>
    <row r="29664" spans="1:6" x14ac:dyDescent="0.25">
      <c r="A29664" s="2" t="str">
        <f t="shared" si="1063"/>
        <v>13180</v>
      </c>
      <c r="B29664" s="2" t="str">
        <f>"53039"</f>
        <v>53039</v>
      </c>
      <c r="C29664" s="1">
        <v>4.7642085964554798E-2</v>
      </c>
      <c r="D29664" s="1">
        <v>5.6873977086743001E-2</v>
      </c>
      <c r="E29664" s="1">
        <v>6.6942719116632105E-2</v>
      </c>
      <c r="F29664" s="1">
        <v>4.8812695470867598E-2</v>
      </c>
    </row>
    <row r="29665" spans="1:6" x14ac:dyDescent="0.25">
      <c r="A29665" s="2" t="str">
        <f t="shared" si="1063"/>
        <v>13180</v>
      </c>
      <c r="B29665" s="2" t="str">
        <f>"53925"</f>
        <v>53925</v>
      </c>
      <c r="C29665" s="1">
        <v>1.7824404155632498E-2</v>
      </c>
      <c r="D29665" s="1">
        <v>1.0638297872340399E-2</v>
      </c>
      <c r="E29665" s="1">
        <v>1.9323671497584499E-2</v>
      </c>
      <c r="F29665" s="1">
        <v>1.7467855901772199E-2</v>
      </c>
    </row>
    <row r="29666" spans="1:6" x14ac:dyDescent="0.25">
      <c r="A29666" s="2" t="str">
        <f t="shared" si="1063"/>
        <v>13180</v>
      </c>
      <c r="B29666" s="2" t="str">
        <f>"53916"</f>
        <v>53916</v>
      </c>
      <c r="C29666" s="1">
        <v>0.28648910165003</v>
      </c>
      <c r="D29666" s="1">
        <v>0.45376432078559698</v>
      </c>
      <c r="E29666" s="1">
        <v>0.33126293995859202</v>
      </c>
      <c r="F29666" s="1">
        <v>0.29746322251824298</v>
      </c>
    </row>
    <row r="29667" spans="1:6" x14ac:dyDescent="0.25">
      <c r="A29667" s="2" t="str">
        <f t="shared" si="1063"/>
        <v>13180</v>
      </c>
      <c r="B29667" s="2" t="str">
        <f>"53579"</f>
        <v>53579</v>
      </c>
      <c r="C29667" s="1">
        <v>2.2051334283968198E-2</v>
      </c>
      <c r="D29667" s="1">
        <v>8.5924713584287996E-3</v>
      </c>
      <c r="E29667" s="1">
        <v>9.6618357487922701E-3</v>
      </c>
      <c r="F29667" s="1">
        <v>2.08733927950886E-2</v>
      </c>
    </row>
    <row r="29668" spans="1:6" x14ac:dyDescent="0.25">
      <c r="A29668" s="2" t="str">
        <f t="shared" si="1063"/>
        <v>13180</v>
      </c>
      <c r="B29668" s="2" t="str">
        <f>"53099"</f>
        <v>53099</v>
      </c>
      <c r="C29668" s="1">
        <v>4.5834182114483601E-4</v>
      </c>
      <c r="D29668" s="1">
        <v>2.04582651391162E-3</v>
      </c>
      <c r="E29668" s="1">
        <v>0</v>
      </c>
      <c r="F29668" s="1">
        <v>5.3283910575697903E-4</v>
      </c>
    </row>
    <row r="29669" spans="1:6" x14ac:dyDescent="0.25">
      <c r="A29669" s="2" t="str">
        <f t="shared" si="1063"/>
        <v>13180</v>
      </c>
      <c r="B29669" s="2" t="str">
        <f>"53036"</f>
        <v>53036</v>
      </c>
      <c r="C29669" s="1">
        <v>5.1181503361173303E-3</v>
      </c>
      <c r="D29669" s="1">
        <v>1.63666121112929E-3</v>
      </c>
      <c r="E29669" s="1">
        <v>1.3802622498274601E-3</v>
      </c>
      <c r="F29669" s="1">
        <v>4.7955519518128103E-3</v>
      </c>
    </row>
    <row r="29670" spans="1:6" x14ac:dyDescent="0.25">
      <c r="A29670" s="2" t="str">
        <f t="shared" si="1063"/>
        <v>13180</v>
      </c>
      <c r="B29670" s="2" t="str">
        <f>"53091"</f>
        <v>53091</v>
      </c>
      <c r="C29670" s="1">
        <v>2.3324506009370499E-2</v>
      </c>
      <c r="D29670" s="1">
        <v>9.8199672667757705E-3</v>
      </c>
      <c r="E29670" s="1">
        <v>1.1732229123533401E-2</v>
      </c>
      <c r="F29670" s="1">
        <v>2.2170740183018602E-2</v>
      </c>
    </row>
    <row r="29671" spans="1:6" x14ac:dyDescent="0.25">
      <c r="A29671" s="2" t="str">
        <f t="shared" si="1063"/>
        <v>13180</v>
      </c>
      <c r="B29671" s="2" t="str">
        <f>"53048"</f>
        <v>53048</v>
      </c>
      <c r="C29671" s="1">
        <v>4.0741495212874297E-2</v>
      </c>
      <c r="D29671" s="1">
        <v>2.70049099836333E-2</v>
      </c>
      <c r="E29671" s="1">
        <v>7.1083505866114505E-2</v>
      </c>
      <c r="F29671" s="1">
        <v>4.0982277308004099E-2</v>
      </c>
    </row>
    <row r="29672" spans="1:6" x14ac:dyDescent="0.25">
      <c r="A29672" s="2" t="str">
        <f t="shared" si="1063"/>
        <v>13180</v>
      </c>
      <c r="B29672" s="2" t="str">
        <f>"53016"</f>
        <v>53016</v>
      </c>
      <c r="C29672" s="1">
        <v>4.4306376044000798E-3</v>
      </c>
      <c r="D29672" s="1">
        <v>0</v>
      </c>
      <c r="E29672" s="1">
        <v>3.4506556245686602E-3</v>
      </c>
      <c r="F29672" s="1">
        <v>4.1468782578477897E-3</v>
      </c>
    </row>
    <row r="29673" spans="1:6" x14ac:dyDescent="0.25">
      <c r="A29673" s="2" t="str">
        <f t="shared" si="1063"/>
        <v>13180</v>
      </c>
      <c r="B29673" s="2" t="str">
        <f>"53065"</f>
        <v>53065</v>
      </c>
      <c r="C29673" s="1">
        <v>1.52780607048278E-4</v>
      </c>
      <c r="D29673" s="1">
        <v>0</v>
      </c>
      <c r="E29673" s="1">
        <v>0</v>
      </c>
      <c r="F29673" s="1">
        <v>1.39001505849646E-4</v>
      </c>
    </row>
    <row r="29674" spans="1:6" x14ac:dyDescent="0.25">
      <c r="A29674" s="2" t="str">
        <f t="shared" si="1063"/>
        <v>13180</v>
      </c>
      <c r="B29674" s="2" t="str">
        <f>"53059"</f>
        <v>53059</v>
      </c>
      <c r="C29674" s="1">
        <v>2.0141576695864701E-2</v>
      </c>
      <c r="D29674" s="1">
        <v>6.54664484451718E-3</v>
      </c>
      <c r="E29674" s="1">
        <v>1.7943409247756999E-2</v>
      </c>
      <c r="F29674" s="1">
        <v>1.9298042395459201E-2</v>
      </c>
    </row>
    <row r="29675" spans="1:6" x14ac:dyDescent="0.25">
      <c r="A29675" s="2" t="str">
        <f t="shared" si="1063"/>
        <v>13180</v>
      </c>
      <c r="B29675" s="2" t="str">
        <f>"53946"</f>
        <v>53946</v>
      </c>
      <c r="C29675" s="1">
        <v>2.2917091057241801E-4</v>
      </c>
      <c r="D29675" s="1">
        <v>4.0916530278232402E-4</v>
      </c>
      <c r="E29675" s="1">
        <v>0</v>
      </c>
      <c r="F29675" s="1">
        <v>2.31669176416077E-4</v>
      </c>
    </row>
    <row r="29676" spans="1:6" x14ac:dyDescent="0.25">
      <c r="A29676" s="2" t="str">
        <f t="shared" si="1063"/>
        <v>13180</v>
      </c>
      <c r="B29676" s="2" t="str">
        <f>"53557"</f>
        <v>53557</v>
      </c>
      <c r="C29676" s="1">
        <v>4.8635159910368703E-3</v>
      </c>
      <c r="D29676" s="1">
        <v>0</v>
      </c>
      <c r="E29676" s="1">
        <v>3.4506556245686602E-3</v>
      </c>
      <c r="F29676" s="1">
        <v>4.5407158577551203E-3</v>
      </c>
    </row>
    <row r="29677" spans="1:6" x14ac:dyDescent="0.25">
      <c r="A29677" s="2" t="str">
        <f t="shared" si="1063"/>
        <v>13180</v>
      </c>
      <c r="B29677" s="2" t="str">
        <f>"53098"</f>
        <v>53098</v>
      </c>
      <c r="C29677" s="1">
        <v>0.13304644530454199</v>
      </c>
      <c r="D29677" s="1">
        <v>6.7512274959083393E-2</v>
      </c>
      <c r="E29677" s="1">
        <v>0.107660455486542</v>
      </c>
      <c r="F29677" s="1">
        <v>0.12848372524035601</v>
      </c>
    </row>
    <row r="29678" spans="1:6" x14ac:dyDescent="0.25">
      <c r="A29678" s="2" t="str">
        <f t="shared" si="1063"/>
        <v>13180</v>
      </c>
      <c r="B29678" s="2" t="str">
        <f>"53047"</f>
        <v>53047</v>
      </c>
      <c r="C29678" s="1">
        <v>7.3843960073334601E-4</v>
      </c>
      <c r="D29678" s="1">
        <v>0</v>
      </c>
      <c r="E29678" s="1">
        <v>6.9013112491373297E-4</v>
      </c>
      <c r="F29678" s="1">
        <v>6.95007529248233E-4</v>
      </c>
    </row>
    <row r="29679" spans="1:6" x14ac:dyDescent="0.25">
      <c r="A29679" s="2" t="str">
        <f t="shared" si="1063"/>
        <v>13180</v>
      </c>
      <c r="B29679" s="2" t="str">
        <f>"53034"</f>
        <v>53034</v>
      </c>
      <c r="C29679" s="1">
        <v>1.8180892238745101E-2</v>
      </c>
      <c r="D29679" s="1">
        <v>8.5924713584287996E-3</v>
      </c>
      <c r="E29679" s="1">
        <v>1.9323671497584499E-2</v>
      </c>
      <c r="F29679" s="1">
        <v>1.7676358160546701E-2</v>
      </c>
    </row>
    <row r="29680" spans="1:6" x14ac:dyDescent="0.25">
      <c r="A29680" s="2" t="str">
        <f t="shared" si="1063"/>
        <v>13180</v>
      </c>
      <c r="B29680" s="2" t="str">
        <f>"53035"</f>
        <v>53035</v>
      </c>
      <c r="C29680" s="1">
        <v>2.5310653900998101E-2</v>
      </c>
      <c r="D29680" s="1">
        <v>1.3093289689034299E-2</v>
      </c>
      <c r="E29680" s="1">
        <v>7.5914423740510604E-3</v>
      </c>
      <c r="F29680" s="1">
        <v>2.40240935943472E-2</v>
      </c>
    </row>
    <row r="29681" spans="1:6" x14ac:dyDescent="0.25">
      <c r="A29681" s="2" t="str">
        <f t="shared" si="1063"/>
        <v>13180</v>
      </c>
      <c r="B29681" s="2" t="str">
        <f>"53032"</f>
        <v>53032</v>
      </c>
      <c r="C29681" s="1">
        <v>5.5612140965573403E-2</v>
      </c>
      <c r="D29681" s="1">
        <v>6.21931260229132E-2</v>
      </c>
      <c r="E29681" s="1">
        <v>4.9689440993788803E-2</v>
      </c>
      <c r="F29681" s="1">
        <v>5.57859376809915E-2</v>
      </c>
    </row>
    <row r="29682" spans="1:6" x14ac:dyDescent="0.25">
      <c r="A29682" s="2" t="str">
        <f t="shared" si="1063"/>
        <v>13180</v>
      </c>
      <c r="B29682" s="2" t="str">
        <f>"53027"</f>
        <v>53027</v>
      </c>
      <c r="C29682" s="1">
        <v>5.3473212466897497E-3</v>
      </c>
      <c r="D29682" s="1">
        <v>9.8199672667757705E-3</v>
      </c>
      <c r="E29682" s="1">
        <v>1.3802622498274601E-3</v>
      </c>
      <c r="F29682" s="1">
        <v>5.4673925634194298E-3</v>
      </c>
    </row>
    <row r="29683" spans="1:6" x14ac:dyDescent="0.25">
      <c r="A29683" s="2" t="str">
        <f t="shared" si="1063"/>
        <v>13180</v>
      </c>
      <c r="B29683" s="2" t="str">
        <f>"53006"</f>
        <v>53006</v>
      </c>
      <c r="C29683" s="1">
        <v>1.4259523324506E-2</v>
      </c>
      <c r="D29683" s="1">
        <v>2.86415711947626E-3</v>
      </c>
      <c r="E29683" s="1">
        <v>6.2111801242236003E-3</v>
      </c>
      <c r="F29683" s="1">
        <v>1.3344144561566001E-2</v>
      </c>
    </row>
    <row r="29684" spans="1:6" x14ac:dyDescent="0.25">
      <c r="A29684" s="2" t="str">
        <f t="shared" ref="A29684:A29705" si="1064">"31820"</f>
        <v>31820</v>
      </c>
      <c r="B29684" s="2" t="str">
        <f>"54220"</f>
        <v>54220</v>
      </c>
      <c r="C29684" s="1">
        <v>0.50201433579239196</v>
      </c>
      <c r="D29684" s="1">
        <v>0.61430451952610698</v>
      </c>
      <c r="E29684" s="1">
        <v>0.63901869158878499</v>
      </c>
      <c r="F29684" s="1">
        <v>0.51103696719131497</v>
      </c>
    </row>
    <row r="29685" spans="1:6" x14ac:dyDescent="0.25">
      <c r="A29685" s="2" t="str">
        <f t="shared" si="1064"/>
        <v>31820</v>
      </c>
      <c r="B29685" s="2" t="str">
        <f>"54247"</f>
        <v>54247</v>
      </c>
      <c r="C29685" s="1">
        <v>2.6552608172447999E-2</v>
      </c>
      <c r="D29685" s="1">
        <v>8.7757788503729697E-3</v>
      </c>
      <c r="E29685" s="1">
        <v>1.16822429906542E-2</v>
      </c>
      <c r="F29685" s="1">
        <v>2.5265346582529401E-2</v>
      </c>
    </row>
    <row r="29686" spans="1:6" x14ac:dyDescent="0.25">
      <c r="A29686" s="2" t="str">
        <f t="shared" si="1064"/>
        <v>31820</v>
      </c>
      <c r="B29686" s="2" t="str">
        <f>"54215"</f>
        <v>54215</v>
      </c>
      <c r="C29686" s="1">
        <v>5.23204101920159E-5</v>
      </c>
      <c r="D29686" s="1">
        <v>0</v>
      </c>
      <c r="E29686" s="1">
        <v>1.16822429906542E-3</v>
      </c>
      <c r="F29686" s="1">
        <v>7.2532095452237602E-5</v>
      </c>
    </row>
    <row r="29687" spans="1:6" x14ac:dyDescent="0.25">
      <c r="A29687" s="2" t="str">
        <f t="shared" si="1064"/>
        <v>31820</v>
      </c>
      <c r="B29687" s="2" t="str">
        <f>"54208"</f>
        <v>54208</v>
      </c>
      <c r="C29687" s="1">
        <v>5.5459634803536797E-3</v>
      </c>
      <c r="D29687" s="1">
        <v>2.63273365511189E-3</v>
      </c>
      <c r="E29687" s="1">
        <v>0</v>
      </c>
      <c r="F29687" s="1">
        <v>5.2706656028626E-3</v>
      </c>
    </row>
    <row r="29688" spans="1:6" x14ac:dyDescent="0.25">
      <c r="A29688" s="2" t="str">
        <f t="shared" si="1064"/>
        <v>31820</v>
      </c>
      <c r="B29688" s="2" t="str">
        <f>"54245"</f>
        <v>54245</v>
      </c>
      <c r="C29688" s="1">
        <v>2.8331502118976601E-2</v>
      </c>
      <c r="D29688" s="1">
        <v>1.4041246160596699E-2</v>
      </c>
      <c r="E29688" s="1">
        <v>1.98598130841121E-2</v>
      </c>
      <c r="F29688" s="1">
        <v>2.7368777350644299E-2</v>
      </c>
    </row>
    <row r="29689" spans="1:6" x14ac:dyDescent="0.25">
      <c r="A29689" s="2" t="str">
        <f t="shared" si="1064"/>
        <v>31820</v>
      </c>
      <c r="B29689" s="2" t="str">
        <f>"53015"</f>
        <v>53015</v>
      </c>
      <c r="C29689" s="1">
        <v>2.46690734055354E-2</v>
      </c>
      <c r="D29689" s="1">
        <v>1.93067134708205E-2</v>
      </c>
      <c r="E29689" s="1">
        <v>1.6355140186915799E-2</v>
      </c>
      <c r="F29689" s="1">
        <v>2.4201542515896599E-2</v>
      </c>
    </row>
    <row r="29690" spans="1:6" x14ac:dyDescent="0.25">
      <c r="A29690" s="2" t="str">
        <f t="shared" si="1064"/>
        <v>31820</v>
      </c>
      <c r="B29690" s="2" t="str">
        <f>"54216"</f>
        <v>54216</v>
      </c>
      <c r="C29690" s="1">
        <v>2.6160205096007899E-5</v>
      </c>
      <c r="D29690" s="1">
        <v>0</v>
      </c>
      <c r="E29690" s="1">
        <v>0</v>
      </c>
      <c r="F29690" s="1">
        <v>2.4177365150745801E-5</v>
      </c>
    </row>
    <row r="29691" spans="1:6" x14ac:dyDescent="0.25">
      <c r="A29691" s="2" t="str">
        <f t="shared" si="1064"/>
        <v>31820</v>
      </c>
      <c r="B29691" s="2" t="str">
        <f>"54214"</f>
        <v>54214</v>
      </c>
      <c r="C29691" s="1">
        <v>4.8657981478574704E-3</v>
      </c>
      <c r="D29691" s="1">
        <v>0</v>
      </c>
      <c r="E29691" s="1">
        <v>1.16822429906542E-2</v>
      </c>
      <c r="F29691" s="1">
        <v>4.7387635695461897E-3</v>
      </c>
    </row>
    <row r="29692" spans="1:6" x14ac:dyDescent="0.25">
      <c r="A29692" s="2" t="str">
        <f t="shared" si="1064"/>
        <v>31820</v>
      </c>
      <c r="B29692" s="2" t="str">
        <f>"54230"</f>
        <v>54230</v>
      </c>
      <c r="C29692" s="1">
        <v>5.1587924449327603E-2</v>
      </c>
      <c r="D29692" s="1">
        <v>1.7990346643264502E-2</v>
      </c>
      <c r="E29692" s="1">
        <v>2.10280373831775E-2</v>
      </c>
      <c r="F29692" s="1">
        <v>4.91042286211648E-2</v>
      </c>
    </row>
    <row r="29693" spans="1:6" x14ac:dyDescent="0.25">
      <c r="A29693" s="2" t="str">
        <f t="shared" si="1064"/>
        <v>31820</v>
      </c>
      <c r="B29693" s="2" t="str">
        <f>"54232"</f>
        <v>54232</v>
      </c>
      <c r="C29693" s="1">
        <v>1.05687228587872E-2</v>
      </c>
      <c r="D29693" s="1">
        <v>0</v>
      </c>
      <c r="E29693" s="1">
        <v>1.4018691588785E-2</v>
      </c>
      <c r="F29693" s="1">
        <v>1.0057783902710201E-2</v>
      </c>
    </row>
    <row r="29694" spans="1:6" x14ac:dyDescent="0.25">
      <c r="A29694" s="2" t="str">
        <f t="shared" si="1064"/>
        <v>31820</v>
      </c>
      <c r="B29694" s="2" t="str">
        <f>"54228"</f>
        <v>54228</v>
      </c>
      <c r="C29694" s="1">
        <v>3.1732328781457597E-2</v>
      </c>
      <c r="D29694" s="1">
        <v>2.41333918385256E-2</v>
      </c>
      <c r="E29694" s="1">
        <v>2.92056074766355E-2</v>
      </c>
      <c r="F29694" s="1">
        <v>3.1261333139914402E-2</v>
      </c>
    </row>
    <row r="29695" spans="1:6" x14ac:dyDescent="0.25">
      <c r="A29695" s="2" t="str">
        <f t="shared" si="1064"/>
        <v>31820</v>
      </c>
      <c r="B29695" s="2" t="str">
        <f>"54240"</f>
        <v>54240</v>
      </c>
      <c r="C29695" s="1">
        <v>7.8480615288023799E-5</v>
      </c>
      <c r="D29695" s="1">
        <v>0</v>
      </c>
      <c r="E29695" s="1">
        <v>1.16822429906542E-3</v>
      </c>
      <c r="F29695" s="1">
        <v>9.6709460602983406E-5</v>
      </c>
    </row>
    <row r="29696" spans="1:6" x14ac:dyDescent="0.25">
      <c r="A29696" s="2" t="str">
        <f t="shared" si="1064"/>
        <v>31820</v>
      </c>
      <c r="B29696" s="2" t="str">
        <f>"54207"</f>
        <v>54207</v>
      </c>
      <c r="C29696" s="1">
        <v>1.6742531261444999E-3</v>
      </c>
      <c r="D29696" s="1">
        <v>2.63273365511189E-3</v>
      </c>
      <c r="E29696" s="1">
        <v>3.5046728971962599E-3</v>
      </c>
      <c r="F29696" s="1">
        <v>1.76494765600444E-3</v>
      </c>
    </row>
    <row r="29697" spans="1:6" x14ac:dyDescent="0.25">
      <c r="A29697" s="2" t="str">
        <f t="shared" si="1064"/>
        <v>31820</v>
      </c>
      <c r="B29697" s="2" t="str">
        <f>"54227"</f>
        <v>54227</v>
      </c>
      <c r="C29697" s="1">
        <v>1.72918955684612E-2</v>
      </c>
      <c r="D29697" s="1">
        <v>1.0092145677928901E-2</v>
      </c>
      <c r="E29697" s="1">
        <v>5.8411214953271E-3</v>
      </c>
      <c r="F29697" s="1">
        <v>1.6658204588863901E-2</v>
      </c>
    </row>
    <row r="29698" spans="1:6" x14ac:dyDescent="0.25">
      <c r="A29698" s="2" t="str">
        <f t="shared" si="1064"/>
        <v>31820</v>
      </c>
      <c r="B29698" s="2" t="str">
        <f>"54110"</f>
        <v>54110</v>
      </c>
      <c r="C29698" s="1">
        <v>7.0894155810181502E-3</v>
      </c>
      <c r="D29698" s="1">
        <v>8.7757788503729697E-4</v>
      </c>
      <c r="E29698" s="1">
        <v>0</v>
      </c>
      <c r="F29698" s="1">
        <v>6.6004206861536201E-3</v>
      </c>
    </row>
    <row r="29699" spans="1:6" x14ac:dyDescent="0.25">
      <c r="A29699" s="2" t="str">
        <f t="shared" si="1064"/>
        <v>31820</v>
      </c>
      <c r="B29699" s="2" t="str">
        <f>"53061"</f>
        <v>53061</v>
      </c>
      <c r="C29699" s="1">
        <v>8.6328676816826197E-4</v>
      </c>
      <c r="D29699" s="1">
        <v>4.38788942518648E-4</v>
      </c>
      <c r="E29699" s="1">
        <v>0</v>
      </c>
      <c r="F29699" s="1">
        <v>8.2203041512535896E-4</v>
      </c>
    </row>
    <row r="29700" spans="1:6" x14ac:dyDescent="0.25">
      <c r="A29700" s="2" t="str">
        <f t="shared" si="1064"/>
        <v>31820</v>
      </c>
      <c r="B29700" s="2" t="str">
        <f>"54126"</f>
        <v>54126</v>
      </c>
      <c r="C29700" s="1">
        <v>4.4472348663213498E-4</v>
      </c>
      <c r="D29700" s="1">
        <v>0</v>
      </c>
      <c r="E29700" s="1">
        <v>0</v>
      </c>
      <c r="F29700" s="1">
        <v>4.1101520756267899E-4</v>
      </c>
    </row>
    <row r="29701" spans="1:6" x14ac:dyDescent="0.25">
      <c r="A29701" s="2" t="str">
        <f t="shared" si="1064"/>
        <v>31820</v>
      </c>
      <c r="B29701" s="2" t="str">
        <f>"54241"</f>
        <v>54241</v>
      </c>
      <c r="C29701" s="1">
        <v>0.187490189923088</v>
      </c>
      <c r="D29701" s="1">
        <v>0.181219833260201</v>
      </c>
      <c r="E29701" s="1">
        <v>0.125</v>
      </c>
      <c r="F29701" s="1">
        <v>0.18585140591378299</v>
      </c>
    </row>
    <row r="29702" spans="1:6" x14ac:dyDescent="0.25">
      <c r="A29702" s="2" t="str">
        <f t="shared" si="1064"/>
        <v>31820</v>
      </c>
      <c r="B29702" s="2" t="str">
        <f>"53042"</f>
        <v>53042</v>
      </c>
      <c r="C29702" s="1">
        <v>7.9160780620519997E-2</v>
      </c>
      <c r="D29702" s="1">
        <v>8.2053532250987202E-2</v>
      </c>
      <c r="E29702" s="1">
        <v>9.9299065420560703E-2</v>
      </c>
      <c r="F29702" s="1">
        <v>7.9736950267159795E-2</v>
      </c>
    </row>
    <row r="29703" spans="1:6" x14ac:dyDescent="0.25">
      <c r="A29703" s="2" t="str">
        <f t="shared" si="1064"/>
        <v>31820</v>
      </c>
      <c r="B29703" s="2" t="str">
        <f>"53063"</f>
        <v>53063</v>
      </c>
      <c r="C29703" s="1">
        <v>1.6507089415580999E-2</v>
      </c>
      <c r="D29703" s="1">
        <v>2.0623080298376398E-2</v>
      </c>
      <c r="E29703" s="1">
        <v>1.16822429906542E-3</v>
      </c>
      <c r="F29703" s="1">
        <v>1.64164309373564E-2</v>
      </c>
    </row>
    <row r="29704" spans="1:6" x14ac:dyDescent="0.25">
      <c r="A29704" s="2" t="str">
        <f t="shared" si="1064"/>
        <v>31820</v>
      </c>
      <c r="B29704" s="2" t="str">
        <f>"53020"</f>
        <v>53020</v>
      </c>
      <c r="C29704" s="1">
        <v>8.1096635797624596E-4</v>
      </c>
      <c r="D29704" s="1">
        <v>0</v>
      </c>
      <c r="E29704" s="1">
        <v>0</v>
      </c>
      <c r="F29704" s="1">
        <v>7.4949831967312198E-4</v>
      </c>
    </row>
    <row r="29705" spans="1:6" x14ac:dyDescent="0.25">
      <c r="A29705" s="2" t="str">
        <f t="shared" si="1064"/>
        <v>31820</v>
      </c>
      <c r="B29705" s="2" t="str">
        <f>"53014"</f>
        <v>53014</v>
      </c>
      <c r="C29705" s="1">
        <v>2.6421807146968001E-3</v>
      </c>
      <c r="D29705" s="1">
        <v>8.7757788503729697E-4</v>
      </c>
      <c r="E29705" s="1">
        <v>0</v>
      </c>
      <c r="F29705" s="1">
        <v>2.49026861052682E-3</v>
      </c>
    </row>
    <row r="29706" spans="1:6" x14ac:dyDescent="0.25">
      <c r="A29706" s="2" t="str">
        <f t="shared" ref="A29706:A29724" si="1065">"48020"</f>
        <v>48020</v>
      </c>
      <c r="B29706" s="2" t="str">
        <f>"53549"</f>
        <v>53549</v>
      </c>
      <c r="C29706" s="1">
        <v>0.1238658347184</v>
      </c>
      <c r="D29706" s="1">
        <v>0.13066761870760399</v>
      </c>
      <c r="E29706" s="1">
        <v>0.16405307599517399</v>
      </c>
      <c r="F29706" s="1">
        <v>0.12594752186588901</v>
      </c>
    </row>
    <row r="29707" spans="1:6" x14ac:dyDescent="0.25">
      <c r="A29707" s="2" t="str">
        <f t="shared" si="1065"/>
        <v>48020</v>
      </c>
      <c r="B29707" s="2" t="str">
        <f>"53178"</f>
        <v>53178</v>
      </c>
      <c r="C29707" s="1">
        <v>3.5966322443530097E-2</v>
      </c>
      <c r="D29707" s="1">
        <v>1.2495537308104199E-2</v>
      </c>
      <c r="E29707" s="1">
        <v>1.9903498190591E-2</v>
      </c>
      <c r="F29707" s="1">
        <v>3.3722060252672402E-2</v>
      </c>
    </row>
    <row r="29708" spans="1:6" x14ac:dyDescent="0.25">
      <c r="A29708" s="2" t="str">
        <f t="shared" si="1065"/>
        <v>48020</v>
      </c>
      <c r="B29708" s="2" t="str">
        <f>"53538"</f>
        <v>53538</v>
      </c>
      <c r="C29708" s="1">
        <v>0.22797743930683001</v>
      </c>
      <c r="D29708" s="1">
        <v>0.21242413423777201</v>
      </c>
      <c r="E29708" s="1">
        <v>0.228588661037394</v>
      </c>
      <c r="F29708" s="1">
        <v>0.226943634596695</v>
      </c>
    </row>
    <row r="29709" spans="1:6" x14ac:dyDescent="0.25">
      <c r="A29709" s="2" t="str">
        <f t="shared" si="1065"/>
        <v>48020</v>
      </c>
      <c r="B29709" s="2" t="str">
        <f>"53118"</f>
        <v>53118</v>
      </c>
      <c r="C29709" s="1">
        <v>1.0353941309501099E-3</v>
      </c>
      <c r="D29709" s="1">
        <v>7.1403070332024204E-4</v>
      </c>
      <c r="E29709" s="1">
        <v>0</v>
      </c>
      <c r="F29709" s="1">
        <v>9.7181729834791E-4</v>
      </c>
    </row>
    <row r="29710" spans="1:6" x14ac:dyDescent="0.25">
      <c r="A29710" s="2" t="str">
        <f t="shared" si="1065"/>
        <v>48020</v>
      </c>
      <c r="B29710" s="2" t="str">
        <f>"53156"</f>
        <v>53156</v>
      </c>
      <c r="C29710" s="1">
        <v>3.7464919212010499E-2</v>
      </c>
      <c r="D29710" s="1">
        <v>1.21385219564441E-2</v>
      </c>
      <c r="E29710" s="1">
        <v>1.8697225572979401E-2</v>
      </c>
      <c r="F29710" s="1">
        <v>3.4985422740524699E-2</v>
      </c>
    </row>
    <row r="29711" spans="1:6" x14ac:dyDescent="0.25">
      <c r="A29711" s="2" t="str">
        <f t="shared" si="1065"/>
        <v>48020</v>
      </c>
      <c r="B29711" s="2" t="str">
        <f>"53036"</f>
        <v>53036</v>
      </c>
      <c r="C29711" s="1">
        <v>3.2069970845481001E-2</v>
      </c>
      <c r="D29711" s="1">
        <v>2.8918243484469801E-2</v>
      </c>
      <c r="E29711" s="1">
        <v>2.4728588661037301E-2</v>
      </c>
      <c r="F29711" s="1">
        <v>3.15597667638483E-2</v>
      </c>
    </row>
    <row r="29712" spans="1:6" x14ac:dyDescent="0.25">
      <c r="A29712" s="2" t="str">
        <f t="shared" si="1065"/>
        <v>48020</v>
      </c>
      <c r="B29712" s="2" t="str">
        <f>"53038"</f>
        <v>53038</v>
      </c>
      <c r="C29712" s="1">
        <v>4.7846107735483999E-2</v>
      </c>
      <c r="D29712" s="1">
        <v>7.9971438771867104E-2</v>
      </c>
      <c r="E29712" s="1">
        <v>7.2979493365500595E-2</v>
      </c>
      <c r="F29712" s="1">
        <v>5.1044703595724002E-2</v>
      </c>
    </row>
    <row r="29713" spans="1:6" x14ac:dyDescent="0.25">
      <c r="A29713" s="2" t="str">
        <f t="shared" si="1065"/>
        <v>48020</v>
      </c>
      <c r="B29713" s="2" t="str">
        <f>"53559"</f>
        <v>53559</v>
      </c>
      <c r="C29713" s="1">
        <v>4.3595542355794102E-4</v>
      </c>
      <c r="D29713" s="1">
        <v>7.1403070332024204E-4</v>
      </c>
      <c r="E29713" s="1">
        <v>0</v>
      </c>
      <c r="F29713" s="1">
        <v>4.37317784256559E-4</v>
      </c>
    </row>
    <row r="29714" spans="1:6" x14ac:dyDescent="0.25">
      <c r="A29714" s="2" t="str">
        <f t="shared" si="1065"/>
        <v>48020</v>
      </c>
      <c r="B29714" s="2" t="str">
        <f>"53119"</f>
        <v>53119</v>
      </c>
      <c r="C29714" s="1">
        <v>3.5421378164082702E-4</v>
      </c>
      <c r="D29714" s="1">
        <v>0</v>
      </c>
      <c r="E29714" s="1">
        <v>0</v>
      </c>
      <c r="F29714" s="1">
        <v>3.1584062196306998E-4</v>
      </c>
    </row>
    <row r="29715" spans="1:6" x14ac:dyDescent="0.25">
      <c r="A29715" s="2" t="str">
        <f t="shared" si="1065"/>
        <v>48020</v>
      </c>
      <c r="B29715" s="2" t="str">
        <f>"53523"</f>
        <v>53523</v>
      </c>
      <c r="C29715" s="1">
        <v>3.5121658810386598E-2</v>
      </c>
      <c r="D29715" s="1">
        <v>1.0353445198143499E-2</v>
      </c>
      <c r="E29715" s="1">
        <v>1.9300361881785199E-2</v>
      </c>
      <c r="F29715" s="1">
        <v>3.2798833819241903E-2</v>
      </c>
    </row>
    <row r="29716" spans="1:6" x14ac:dyDescent="0.25">
      <c r="A29716" s="2" t="str">
        <f t="shared" si="1065"/>
        <v>48020</v>
      </c>
      <c r="B29716" s="2" t="str">
        <f>"53534"</f>
        <v>53534</v>
      </c>
      <c r="C29716" s="1">
        <v>6.4303424974796299E-3</v>
      </c>
      <c r="D29716" s="1">
        <v>3.5701535166012102E-4</v>
      </c>
      <c r="E29716" s="1">
        <v>2.4125452352231598E-3</v>
      </c>
      <c r="F29716" s="1">
        <v>5.8551992225461596E-3</v>
      </c>
    </row>
    <row r="29717" spans="1:6" x14ac:dyDescent="0.25">
      <c r="A29717" s="2" t="str">
        <f t="shared" si="1065"/>
        <v>48020</v>
      </c>
      <c r="B29717" s="2" t="str">
        <f>"53190"</f>
        <v>53190</v>
      </c>
      <c r="C29717" s="1">
        <v>2.8854799596741199E-2</v>
      </c>
      <c r="D29717" s="1">
        <v>6.4262763298821796E-3</v>
      </c>
      <c r="E29717" s="1">
        <v>4.0410132689987902E-2</v>
      </c>
      <c r="F29717" s="1">
        <v>2.77939747327502E-2</v>
      </c>
    </row>
    <row r="29718" spans="1:6" x14ac:dyDescent="0.25">
      <c r="A29718" s="2" t="str">
        <f t="shared" si="1065"/>
        <v>48020</v>
      </c>
      <c r="B29718" s="2" t="str">
        <f>"53094"</f>
        <v>53094</v>
      </c>
      <c r="C29718" s="1">
        <v>0.22255524372632801</v>
      </c>
      <c r="D29718" s="1">
        <v>0.33023920028561199</v>
      </c>
      <c r="E29718" s="1">
        <v>0.22557297949336499</v>
      </c>
      <c r="F29718" s="1">
        <v>0.23000485908649099</v>
      </c>
    </row>
    <row r="29719" spans="1:6" x14ac:dyDescent="0.25">
      <c r="A29719" s="2" t="str">
        <f t="shared" si="1065"/>
        <v>48020</v>
      </c>
      <c r="B29719" s="2" t="str">
        <f>"53066"</f>
        <v>53066</v>
      </c>
      <c r="C29719" s="1">
        <v>2.24789515272063E-2</v>
      </c>
      <c r="D29719" s="1">
        <v>1.07104605498036E-2</v>
      </c>
      <c r="E29719" s="1">
        <v>1.9903498190591E-2</v>
      </c>
      <c r="F29719" s="1">
        <v>2.1574344023323599E-2</v>
      </c>
    </row>
    <row r="29720" spans="1:6" x14ac:dyDescent="0.25">
      <c r="A29720" s="2" t="str">
        <f t="shared" si="1065"/>
        <v>48020</v>
      </c>
      <c r="B29720" s="2" t="str">
        <f>"53594"</f>
        <v>53594</v>
      </c>
      <c r="C29720" s="1">
        <v>4.9889648783411802E-2</v>
      </c>
      <c r="D29720" s="1">
        <v>4.8554087825776499E-2</v>
      </c>
      <c r="E29720" s="1">
        <v>4.9457177322074698E-2</v>
      </c>
      <c r="F29720" s="1">
        <v>4.9781341107871697E-2</v>
      </c>
    </row>
    <row r="29721" spans="1:6" x14ac:dyDescent="0.25">
      <c r="A29721" s="2" t="str">
        <f t="shared" si="1065"/>
        <v>48020</v>
      </c>
      <c r="B29721" s="2" t="str">
        <f>"53563"</f>
        <v>53563</v>
      </c>
      <c r="C29721" s="1">
        <v>2.01629383395547E-3</v>
      </c>
      <c r="D29721" s="1">
        <v>0</v>
      </c>
      <c r="E29721" s="1">
        <v>0</v>
      </c>
      <c r="F29721" s="1">
        <v>1.7978620019436301E-3</v>
      </c>
    </row>
    <row r="29722" spans="1:6" x14ac:dyDescent="0.25">
      <c r="A29722" s="2" t="str">
        <f t="shared" si="1065"/>
        <v>48020</v>
      </c>
      <c r="B29722" s="2" t="str">
        <f>"53551"</f>
        <v>53551</v>
      </c>
      <c r="C29722" s="1">
        <v>0.10645486499005399</v>
      </c>
      <c r="D29722" s="1">
        <v>0.10603355944305599</v>
      </c>
      <c r="E29722" s="1">
        <v>0.110373944511459</v>
      </c>
      <c r="F29722" s="1">
        <v>0.10658406219630701</v>
      </c>
    </row>
    <row r="29723" spans="1:6" x14ac:dyDescent="0.25">
      <c r="A29723" s="2" t="str">
        <f t="shared" si="1065"/>
        <v>48020</v>
      </c>
      <c r="B29723" s="2" t="str">
        <f>"53137"</f>
        <v>53137</v>
      </c>
      <c r="C29723" s="1">
        <v>1.8582599929157201E-2</v>
      </c>
      <c r="D29723" s="1">
        <v>9.2823991431631499E-3</v>
      </c>
      <c r="E29723" s="1">
        <v>3.01568154402895E-3</v>
      </c>
      <c r="F29723" s="1">
        <v>1.7322643343051499E-2</v>
      </c>
    </row>
    <row r="29724" spans="1:6" x14ac:dyDescent="0.25">
      <c r="A29724" s="2" t="str">
        <f t="shared" si="1065"/>
        <v>48020</v>
      </c>
      <c r="B29724" s="2" t="str">
        <f>"53098"</f>
        <v>53098</v>
      </c>
      <c r="C29724" s="1">
        <v>5.9943870739216903E-4</v>
      </c>
      <c r="D29724" s="1">
        <v>0</v>
      </c>
      <c r="E29724" s="1">
        <v>6.0313630880578996E-4</v>
      </c>
      <c r="F29724" s="1">
        <v>5.5879494655004802E-4</v>
      </c>
    </row>
    <row r="29725" spans="1:6" x14ac:dyDescent="0.25">
      <c r="A29725" s="2" t="str">
        <f t="shared" ref="A29725:A29756" si="1066">"20260"</f>
        <v>20260</v>
      </c>
      <c r="B29725" s="2" t="str">
        <f>"55609"</f>
        <v>55609</v>
      </c>
      <c r="C29725" s="1">
        <v>0</v>
      </c>
      <c r="D29725" s="1">
        <v>0</v>
      </c>
      <c r="E29725" s="1">
        <v>1.5612802498048299E-4</v>
      </c>
      <c r="F29725" s="1">
        <v>6.1483221228926597E-6</v>
      </c>
    </row>
    <row r="29726" spans="1:6" x14ac:dyDescent="0.25">
      <c r="A29726" s="2" t="str">
        <f t="shared" si="1066"/>
        <v>20260</v>
      </c>
      <c r="B29726" s="2" t="str">
        <f>"55718"</f>
        <v>55718</v>
      </c>
      <c r="C29726" s="1">
        <v>9.9720120244635602E-3</v>
      </c>
      <c r="D29726" s="1">
        <v>6.3280166435506196E-3</v>
      </c>
      <c r="E29726" s="1">
        <v>5.9328649492583901E-3</v>
      </c>
      <c r="F29726" s="1">
        <v>9.5544925789751902E-3</v>
      </c>
    </row>
    <row r="29727" spans="1:6" x14ac:dyDescent="0.25">
      <c r="A29727" s="2" t="str">
        <f t="shared" si="1066"/>
        <v>20260</v>
      </c>
      <c r="B29727" s="2" t="str">
        <f>"55607"</f>
        <v>55607</v>
      </c>
      <c r="C29727" s="1">
        <v>1.0987871877267501E-3</v>
      </c>
      <c r="D29727" s="1">
        <v>5.2011095700416001E-4</v>
      </c>
      <c r="E29727" s="1">
        <v>1.5612802498048299E-4</v>
      </c>
      <c r="F29727" s="1">
        <v>1.0206214724001799E-3</v>
      </c>
    </row>
    <row r="29728" spans="1:6" x14ac:dyDescent="0.25">
      <c r="A29728" s="2" t="str">
        <f t="shared" si="1066"/>
        <v>20260</v>
      </c>
      <c r="B29728" s="2" t="str">
        <f>"55769"</f>
        <v>55769</v>
      </c>
      <c r="C29728" s="1">
        <v>6.9106112435644896E-6</v>
      </c>
      <c r="D29728" s="1">
        <v>0</v>
      </c>
      <c r="E29728" s="1">
        <v>0</v>
      </c>
      <c r="F29728" s="1">
        <v>6.1483221228926597E-6</v>
      </c>
    </row>
    <row r="29729" spans="1:6" x14ac:dyDescent="0.25">
      <c r="A29729" s="2" t="str">
        <f t="shared" si="1066"/>
        <v>20260</v>
      </c>
      <c r="B29729" s="2" t="str">
        <f>"55791"</f>
        <v>55791</v>
      </c>
      <c r="C29729" s="1">
        <v>0</v>
      </c>
      <c r="D29729" s="1">
        <v>8.6685159500693402E-5</v>
      </c>
      <c r="E29729" s="1">
        <v>0</v>
      </c>
      <c r="F29729" s="1">
        <v>6.1483221228926597E-6</v>
      </c>
    </row>
    <row r="29730" spans="1:6" x14ac:dyDescent="0.25">
      <c r="A29730" s="2" t="str">
        <f t="shared" si="1066"/>
        <v>20260</v>
      </c>
      <c r="B29730" s="2" t="str">
        <f>"55779"</f>
        <v>55779</v>
      </c>
      <c r="C29730" s="1">
        <v>1.21004802874814E-2</v>
      </c>
      <c r="D29730" s="1">
        <v>2.4271844660194099E-3</v>
      </c>
      <c r="E29730" s="1">
        <v>1.56128024980483E-3</v>
      </c>
      <c r="F29730" s="1">
        <v>1.09993482778549E-2</v>
      </c>
    </row>
    <row r="29731" spans="1:6" x14ac:dyDescent="0.25">
      <c r="A29731" s="2" t="str">
        <f t="shared" si="1066"/>
        <v>20260</v>
      </c>
      <c r="B29731" s="2" t="str">
        <f>"55816"</f>
        <v>55816</v>
      </c>
      <c r="C29731" s="1">
        <v>6.28865623164368E-3</v>
      </c>
      <c r="D29731" s="1">
        <v>2.4098474341192701E-2</v>
      </c>
      <c r="E29731" s="1">
        <v>1.5612802498048299E-4</v>
      </c>
      <c r="F29731" s="1">
        <v>7.3103550041193699E-3</v>
      </c>
    </row>
    <row r="29732" spans="1:6" x14ac:dyDescent="0.25">
      <c r="A29732" s="2" t="str">
        <f t="shared" si="1066"/>
        <v>20260</v>
      </c>
      <c r="B29732" s="2" t="str">
        <f>"55811"</f>
        <v>55811</v>
      </c>
      <c r="C29732" s="1">
        <v>8.2851318199094706E-2</v>
      </c>
      <c r="D29732" s="1">
        <v>0.10038141470180301</v>
      </c>
      <c r="E29732" s="1">
        <v>7.0101483216237298E-2</v>
      </c>
      <c r="F29732" s="1">
        <v>8.3592587582848599E-2</v>
      </c>
    </row>
    <row r="29733" spans="1:6" x14ac:dyDescent="0.25">
      <c r="A29733" s="2" t="str">
        <f t="shared" si="1066"/>
        <v>20260</v>
      </c>
      <c r="B29733" s="2" t="str">
        <f>"55806"</f>
        <v>55806</v>
      </c>
      <c r="C29733" s="1">
        <v>3.4483950105386803E-2</v>
      </c>
      <c r="D29733" s="1">
        <v>3.2766990291262101E-2</v>
      </c>
      <c r="E29733" s="1">
        <v>0.10413739266198201</v>
      </c>
      <c r="F29733" s="1">
        <v>3.7105124011657199E-2</v>
      </c>
    </row>
    <row r="29734" spans="1:6" x14ac:dyDescent="0.25">
      <c r="A29734" s="2" t="str">
        <f t="shared" si="1066"/>
        <v>20260</v>
      </c>
      <c r="B29734" s="2" t="str">
        <f>"55756"</f>
        <v>55756</v>
      </c>
      <c r="C29734" s="1">
        <v>9.6748557409902906E-5</v>
      </c>
      <c r="D29734" s="1">
        <v>0</v>
      </c>
      <c r="E29734" s="1">
        <v>0</v>
      </c>
      <c r="F29734" s="1">
        <v>8.6076509720497195E-5</v>
      </c>
    </row>
    <row r="29735" spans="1:6" x14ac:dyDescent="0.25">
      <c r="A29735" s="2" t="str">
        <f t="shared" si="1066"/>
        <v>20260</v>
      </c>
      <c r="B29735" s="2" t="str">
        <f>"54859"</f>
        <v>54859</v>
      </c>
      <c r="C29735" s="1">
        <v>1.41667530493072E-3</v>
      </c>
      <c r="D29735" s="1">
        <v>0</v>
      </c>
      <c r="E29735" s="1">
        <v>0</v>
      </c>
      <c r="F29735" s="1">
        <v>1.26040603519299E-3</v>
      </c>
    </row>
    <row r="29736" spans="1:6" x14ac:dyDescent="0.25">
      <c r="A29736" s="2" t="str">
        <f t="shared" si="1066"/>
        <v>20260</v>
      </c>
      <c r="B29736" s="2" t="str">
        <f>"55702"</f>
        <v>55702</v>
      </c>
      <c r="C29736" s="1">
        <v>1.8174907570574601E-3</v>
      </c>
      <c r="D29736" s="1">
        <v>1.7337031900138599E-4</v>
      </c>
      <c r="E29736" s="1">
        <v>3.1225604996096702E-4</v>
      </c>
      <c r="F29736" s="1">
        <v>1.64160200681234E-3</v>
      </c>
    </row>
    <row r="29737" spans="1:6" x14ac:dyDescent="0.25">
      <c r="A29737" s="2" t="str">
        <f t="shared" si="1066"/>
        <v>20260</v>
      </c>
      <c r="B29737" s="2" t="str">
        <f>"55725"</f>
        <v>55725</v>
      </c>
      <c r="C29737" s="1">
        <v>1.1333402439445701E-3</v>
      </c>
      <c r="D29737" s="1">
        <v>6.0679611650485399E-4</v>
      </c>
      <c r="E29737" s="1">
        <v>4.6838407494145101E-4</v>
      </c>
      <c r="F29737" s="1">
        <v>1.0698080493833199E-3</v>
      </c>
    </row>
    <row r="29738" spans="1:6" x14ac:dyDescent="0.25">
      <c r="A29738" s="2" t="str">
        <f t="shared" si="1066"/>
        <v>20260</v>
      </c>
      <c r="B29738" s="2" t="str">
        <f>"55710"</f>
        <v>55710</v>
      </c>
      <c r="C29738" s="1">
        <v>5.0931204865070296E-3</v>
      </c>
      <c r="D29738" s="1">
        <v>1.04022191400832E-3</v>
      </c>
      <c r="E29738" s="1">
        <v>1.5612802498048299E-4</v>
      </c>
      <c r="F29738" s="1">
        <v>4.61124159216949E-3</v>
      </c>
    </row>
    <row r="29739" spans="1:6" x14ac:dyDescent="0.25">
      <c r="A29739" s="2" t="str">
        <f t="shared" si="1066"/>
        <v>20260</v>
      </c>
      <c r="B29739" s="2" t="str">
        <f>"55707"</f>
        <v>55707</v>
      </c>
      <c r="C29739" s="1">
        <v>1.08911233198576E-2</v>
      </c>
      <c r="D29739" s="1">
        <v>2.9472954230235701E-3</v>
      </c>
      <c r="E29739" s="1">
        <v>3.12256049960967E-3</v>
      </c>
      <c r="F29739" s="1">
        <v>1.0021765060315E-2</v>
      </c>
    </row>
    <row r="29740" spans="1:6" x14ac:dyDescent="0.25">
      <c r="A29740" s="2" t="str">
        <f t="shared" si="1066"/>
        <v>20260</v>
      </c>
      <c r="B29740" s="2" t="str">
        <f>"55780"</f>
        <v>55780</v>
      </c>
      <c r="C29740" s="1">
        <v>4.7683217580594999E-4</v>
      </c>
      <c r="D29740" s="1">
        <v>8.6685159500693402E-5</v>
      </c>
      <c r="E29740" s="1">
        <v>0</v>
      </c>
      <c r="F29740" s="1">
        <v>4.3038254860248602E-4</v>
      </c>
    </row>
    <row r="29741" spans="1:6" x14ac:dyDescent="0.25">
      <c r="A29741" s="2" t="str">
        <f t="shared" si="1066"/>
        <v>20260</v>
      </c>
      <c r="B29741" s="2" t="str">
        <f>"54864"</f>
        <v>54864</v>
      </c>
      <c r="C29741" s="1">
        <v>3.9183165751010603E-3</v>
      </c>
      <c r="D29741" s="1">
        <v>1.12690707350901E-3</v>
      </c>
      <c r="E29741" s="1">
        <v>6.2451209992193501E-4</v>
      </c>
      <c r="F29741" s="1">
        <v>3.59062011976931E-3</v>
      </c>
    </row>
    <row r="29742" spans="1:6" x14ac:dyDescent="0.25">
      <c r="A29742" s="2" t="str">
        <f t="shared" si="1066"/>
        <v>20260</v>
      </c>
      <c r="B29742" s="2" t="str">
        <f>"54842"</f>
        <v>54842</v>
      </c>
      <c r="C29742" s="1">
        <v>0</v>
      </c>
      <c r="D29742" s="1">
        <v>8.6685159500693402E-5</v>
      </c>
      <c r="E29742" s="1">
        <v>0</v>
      </c>
      <c r="F29742" s="1">
        <v>6.1483221228926597E-6</v>
      </c>
    </row>
    <row r="29743" spans="1:6" x14ac:dyDescent="0.25">
      <c r="A29743" s="2" t="str">
        <f t="shared" si="1066"/>
        <v>20260</v>
      </c>
      <c r="B29743" s="2" t="str">
        <f>"55614"</f>
        <v>55614</v>
      </c>
      <c r="C29743" s="1">
        <v>9.5435541273625607E-3</v>
      </c>
      <c r="D29743" s="1">
        <v>7.8883495145630998E-3</v>
      </c>
      <c r="E29743" s="1">
        <v>2.0296643247462898E-3</v>
      </c>
      <c r="F29743" s="1">
        <v>9.1302583524955992E-3</v>
      </c>
    </row>
    <row r="29744" spans="1:6" x14ac:dyDescent="0.25">
      <c r="A29744" s="2" t="str">
        <f t="shared" si="1066"/>
        <v>20260</v>
      </c>
      <c r="B29744" s="2" t="str">
        <f>"55787"</f>
        <v>55787</v>
      </c>
      <c r="C29744" s="1">
        <v>3.8008361839604702E-4</v>
      </c>
      <c r="D29744" s="1">
        <v>0</v>
      </c>
      <c r="E29744" s="1">
        <v>0</v>
      </c>
      <c r="F29744" s="1">
        <v>3.3815771675909599E-4</v>
      </c>
    </row>
    <row r="29745" spans="1:6" x14ac:dyDescent="0.25">
      <c r="A29745" s="2" t="str">
        <f t="shared" si="1066"/>
        <v>20260</v>
      </c>
      <c r="B29745" s="2" t="str">
        <f>"55804"</f>
        <v>55804</v>
      </c>
      <c r="C29745" s="1">
        <v>4.4939704916899803E-2</v>
      </c>
      <c r="D29745" s="1">
        <v>1.31761442441054E-2</v>
      </c>
      <c r="E29745" s="1">
        <v>1.53005464480874E-2</v>
      </c>
      <c r="F29745" s="1">
        <v>4.1519619295894102E-2</v>
      </c>
    </row>
    <row r="29746" spans="1:6" x14ac:dyDescent="0.25">
      <c r="A29746" s="2" t="str">
        <f t="shared" si="1066"/>
        <v>20260</v>
      </c>
      <c r="B29746" s="2" t="str">
        <f>"55805"</f>
        <v>55805</v>
      </c>
      <c r="C29746" s="1">
        <v>3.7386406827683898E-2</v>
      </c>
      <c r="D29746" s="1">
        <v>2.1844660194174699E-2</v>
      </c>
      <c r="E29746" s="1">
        <v>0.15846994535519099</v>
      </c>
      <c r="F29746" s="1">
        <v>4.1052346814554302E-2</v>
      </c>
    </row>
    <row r="29747" spans="1:6" x14ac:dyDescent="0.25">
      <c r="A29747" s="2" t="str">
        <f t="shared" si="1066"/>
        <v>20260</v>
      </c>
      <c r="B29747" s="2" t="str">
        <f>"55751"</f>
        <v>55751</v>
      </c>
      <c r="C29747" s="1">
        <v>5.4593828824159403E-3</v>
      </c>
      <c r="D29747" s="1">
        <v>1.4736477115117801E-3</v>
      </c>
      <c r="E29747" s="1">
        <v>0</v>
      </c>
      <c r="F29747" s="1">
        <v>4.9616959531743696E-3</v>
      </c>
    </row>
    <row r="29748" spans="1:6" x14ac:dyDescent="0.25">
      <c r="A29748" s="2" t="str">
        <f t="shared" si="1066"/>
        <v>20260</v>
      </c>
      <c r="B29748" s="2" t="str">
        <f>"55734"</f>
        <v>55734</v>
      </c>
      <c r="C29748" s="1">
        <v>2.3737949621644001E-2</v>
      </c>
      <c r="D29748" s="1">
        <v>1.7857142857142801E-2</v>
      </c>
      <c r="E29748" s="1">
        <v>1.49882903981264E-2</v>
      </c>
      <c r="F29748" s="1">
        <v>2.29762797732498E-2</v>
      </c>
    </row>
    <row r="29749" spans="1:6" x14ac:dyDescent="0.25">
      <c r="A29749" s="2" t="str">
        <f t="shared" si="1066"/>
        <v>20260</v>
      </c>
      <c r="B29749" s="2" t="str">
        <f>"55732"</f>
        <v>55732</v>
      </c>
      <c r="C29749" s="1">
        <v>5.26588576759614E-3</v>
      </c>
      <c r="D29749" s="1">
        <v>3.0339805825242701E-3</v>
      </c>
      <c r="E29749" s="1">
        <v>1.5612802498048299E-4</v>
      </c>
      <c r="F29749" s="1">
        <v>4.9063610540683398E-3</v>
      </c>
    </row>
    <row r="29750" spans="1:6" x14ac:dyDescent="0.25">
      <c r="A29750" s="2" t="str">
        <f t="shared" si="1066"/>
        <v>20260</v>
      </c>
      <c r="B29750" s="2" t="str">
        <f>"54849"</f>
        <v>54849</v>
      </c>
      <c r="C29750" s="1">
        <v>7.8780968176635196E-3</v>
      </c>
      <c r="D29750" s="1">
        <v>1.3002773925103999E-3</v>
      </c>
      <c r="E29750" s="1">
        <v>1.7174082747853201E-3</v>
      </c>
      <c r="F29750" s="1">
        <v>7.1689435952928399E-3</v>
      </c>
    </row>
    <row r="29751" spans="1:6" x14ac:dyDescent="0.25">
      <c r="A29751" s="2" t="str">
        <f t="shared" si="1066"/>
        <v>20260</v>
      </c>
      <c r="B29751" s="2" t="str">
        <f>"55711"</f>
        <v>55711</v>
      </c>
      <c r="C29751" s="1">
        <v>1.7069209771604201E-3</v>
      </c>
      <c r="D29751" s="1">
        <v>1.56033287101248E-3</v>
      </c>
      <c r="E29751" s="1">
        <v>1.5612802498048299E-4</v>
      </c>
      <c r="F29751" s="1">
        <v>1.6354536846894399E-3</v>
      </c>
    </row>
    <row r="29752" spans="1:6" x14ac:dyDescent="0.25">
      <c r="A29752" s="2" t="str">
        <f t="shared" si="1066"/>
        <v>20260</v>
      </c>
      <c r="B29752" s="2" t="str">
        <f>"55796"</f>
        <v>55796</v>
      </c>
      <c r="C29752" s="1">
        <v>8.56915794201997E-4</v>
      </c>
      <c r="D29752" s="1">
        <v>1.7337031900138599E-4</v>
      </c>
      <c r="E29752" s="1">
        <v>1.24902419984387E-3</v>
      </c>
      <c r="F29752" s="1">
        <v>8.2387516446761602E-4</v>
      </c>
    </row>
    <row r="29753" spans="1:6" x14ac:dyDescent="0.25">
      <c r="A29753" s="2" t="str">
        <f t="shared" si="1066"/>
        <v>20260</v>
      </c>
      <c r="B29753" s="2" t="str">
        <f>"55802"</f>
        <v>55802</v>
      </c>
      <c r="C29753" s="1">
        <v>1.15061677205348E-2</v>
      </c>
      <c r="D29753" s="1">
        <v>0.16721567267683701</v>
      </c>
      <c r="E29753" s="1">
        <v>4.7150663544106103E-2</v>
      </c>
      <c r="F29753" s="1">
        <v>2.39538629907898E-2</v>
      </c>
    </row>
    <row r="29754" spans="1:6" x14ac:dyDescent="0.25">
      <c r="A29754" s="2" t="str">
        <f t="shared" si="1066"/>
        <v>20260</v>
      </c>
      <c r="B29754" s="2" t="str">
        <f>"55797"</f>
        <v>55797</v>
      </c>
      <c r="C29754" s="1">
        <v>4.40896997339414E-3</v>
      </c>
      <c r="D29754" s="1">
        <v>7.8016643550624099E-4</v>
      </c>
      <c r="E29754" s="1">
        <v>4.6838407494145101E-4</v>
      </c>
      <c r="F29754" s="1">
        <v>3.9964093798802299E-3</v>
      </c>
    </row>
    <row r="29755" spans="1:6" x14ac:dyDescent="0.25">
      <c r="A29755" s="2" t="str">
        <f t="shared" si="1066"/>
        <v>20260</v>
      </c>
      <c r="B29755" s="2" t="str">
        <f>"55790"</f>
        <v>55790</v>
      </c>
      <c r="C29755" s="1">
        <v>1.10293355447289E-2</v>
      </c>
      <c r="D29755" s="1">
        <v>6.4147018030513104E-3</v>
      </c>
      <c r="E29755" s="1">
        <v>3.5909445745511302E-3</v>
      </c>
      <c r="F29755" s="1">
        <v>1.04091093540572E-2</v>
      </c>
    </row>
    <row r="29756" spans="1:6" x14ac:dyDescent="0.25">
      <c r="A29756" s="2" t="str">
        <f t="shared" si="1066"/>
        <v>20260</v>
      </c>
      <c r="B29756" s="2" t="str">
        <f>"54874"</f>
        <v>54874</v>
      </c>
      <c r="C29756" s="1">
        <v>1.0884212708614E-2</v>
      </c>
      <c r="D29756" s="1">
        <v>2.3404993065187199E-3</v>
      </c>
      <c r="E29756" s="1">
        <v>6.2451209992193501E-4</v>
      </c>
      <c r="F29756" s="1">
        <v>9.8742053293656099E-3</v>
      </c>
    </row>
    <row r="29757" spans="1:6" x14ac:dyDescent="0.25">
      <c r="A29757" s="2" t="str">
        <f t="shared" ref="A29757:A29788" si="1067">"20260"</f>
        <v>20260</v>
      </c>
      <c r="B29757" s="2" t="str">
        <f>"54873"</f>
        <v>54873</v>
      </c>
      <c r="C29757" s="1">
        <v>9.0183476728516593E-3</v>
      </c>
      <c r="D29757" s="1">
        <v>2.6872399445214898E-3</v>
      </c>
      <c r="E29757" s="1">
        <v>2.9664324746291899E-3</v>
      </c>
      <c r="F29757" s="1">
        <v>8.3309764765195499E-3</v>
      </c>
    </row>
    <row r="29758" spans="1:6" x14ac:dyDescent="0.25">
      <c r="A29758" s="2" t="str">
        <f t="shared" si="1067"/>
        <v>20260</v>
      </c>
      <c r="B29758" s="2" t="str">
        <f>"55726"</f>
        <v>55726</v>
      </c>
      <c r="C29758" s="1">
        <v>3.5451435679485798E-3</v>
      </c>
      <c r="D29758" s="1">
        <v>1.4736477115117801E-3</v>
      </c>
      <c r="E29758" s="1">
        <v>1.09289617486338E-3</v>
      </c>
      <c r="F29758" s="1">
        <v>3.3016489799933498E-3</v>
      </c>
    </row>
    <row r="29759" spans="1:6" x14ac:dyDescent="0.25">
      <c r="A29759" s="2" t="str">
        <f t="shared" si="1067"/>
        <v>20260</v>
      </c>
      <c r="B29759" s="2" t="str">
        <f>"55724"</f>
        <v>55724</v>
      </c>
      <c r="C29759" s="1">
        <v>3.4829480667565001E-3</v>
      </c>
      <c r="D29759" s="1">
        <v>5.2011095700416001E-4</v>
      </c>
      <c r="E29759" s="1">
        <v>3.1225604996096702E-4</v>
      </c>
      <c r="F29759" s="1">
        <v>3.14794092692104E-3</v>
      </c>
    </row>
    <row r="29760" spans="1:6" x14ac:dyDescent="0.25">
      <c r="A29760" s="2" t="str">
        <f t="shared" si="1067"/>
        <v>20260</v>
      </c>
      <c r="B29760" s="2" t="str">
        <f>"55706"</f>
        <v>55706</v>
      </c>
      <c r="C29760" s="1">
        <v>7.4841919767803401E-3</v>
      </c>
      <c r="D29760" s="1">
        <v>6.3280166435506196E-3</v>
      </c>
      <c r="E29760" s="1">
        <v>2.49804839968774E-3</v>
      </c>
      <c r="F29760" s="1">
        <v>7.2058335280302003E-3</v>
      </c>
    </row>
    <row r="29761" spans="1:6" x14ac:dyDescent="0.25">
      <c r="A29761" s="2" t="str">
        <f t="shared" si="1067"/>
        <v>20260</v>
      </c>
      <c r="B29761" s="2" t="str">
        <f>"55616"</f>
        <v>55616</v>
      </c>
      <c r="C29761" s="1">
        <v>2.53412114301509E-2</v>
      </c>
      <c r="D29761" s="1">
        <v>2.1411234396671201E-2</v>
      </c>
      <c r="E29761" s="1">
        <v>1.31147540983606E-2</v>
      </c>
      <c r="F29761" s="1">
        <v>2.4580991847324801E-2</v>
      </c>
    </row>
    <row r="29762" spans="1:6" x14ac:dyDescent="0.25">
      <c r="A29762" s="2" t="str">
        <f t="shared" si="1067"/>
        <v>20260</v>
      </c>
      <c r="B29762" s="2" t="str">
        <f>"55803"</f>
        <v>55803</v>
      </c>
      <c r="C29762" s="1">
        <v>5.7510106768943699E-2</v>
      </c>
      <c r="D29762" s="1">
        <v>3.7881414701803E-2</v>
      </c>
      <c r="E29762" s="1">
        <v>1.3427010148321599E-2</v>
      </c>
      <c r="F29762" s="1">
        <v>5.4381909176985599E-2</v>
      </c>
    </row>
    <row r="29763" spans="1:6" x14ac:dyDescent="0.25">
      <c r="A29763" s="2" t="str">
        <f t="shared" si="1067"/>
        <v>20260</v>
      </c>
      <c r="B29763" s="2" t="str">
        <f>"55781"</f>
        <v>55781</v>
      </c>
      <c r="C29763" s="1">
        <v>1.3890328599564601E-3</v>
      </c>
      <c r="D29763" s="1">
        <v>5.2011095700416001E-4</v>
      </c>
      <c r="E29763" s="1">
        <v>0</v>
      </c>
      <c r="F29763" s="1">
        <v>1.2727026794387801E-3</v>
      </c>
    </row>
    <row r="29764" spans="1:6" x14ac:dyDescent="0.25">
      <c r="A29764" s="2" t="str">
        <f t="shared" si="1067"/>
        <v>20260</v>
      </c>
      <c r="B29764" s="2" t="str">
        <f>"55771"</f>
        <v>55771</v>
      </c>
      <c r="C29764" s="1">
        <v>8.2443592135724407E-3</v>
      </c>
      <c r="D29764" s="1">
        <v>3.0339805825242701E-3</v>
      </c>
      <c r="E29764" s="1">
        <v>2.0296643247462898E-3</v>
      </c>
      <c r="F29764" s="1">
        <v>7.6300677545097896E-3</v>
      </c>
    </row>
    <row r="29765" spans="1:6" x14ac:dyDescent="0.25">
      <c r="A29765" s="2" t="str">
        <f t="shared" si="1067"/>
        <v>20260</v>
      </c>
      <c r="B29765" s="2" t="str">
        <f>"55768"</f>
        <v>55768</v>
      </c>
      <c r="C29765" s="1">
        <v>1.00065650806813E-2</v>
      </c>
      <c r="D29765" s="1">
        <v>3.29403606102635E-3</v>
      </c>
      <c r="E29765" s="1">
        <v>5.7767369242779001E-3</v>
      </c>
      <c r="F29765" s="1">
        <v>9.3638945931655195E-3</v>
      </c>
    </row>
    <row r="29766" spans="1:6" x14ac:dyDescent="0.25">
      <c r="A29766" s="2" t="str">
        <f t="shared" si="1067"/>
        <v>20260</v>
      </c>
      <c r="B29766" s="2" t="str">
        <f>"55749"</f>
        <v>55749</v>
      </c>
      <c r="C29766" s="1">
        <v>1.4581389723921001E-3</v>
      </c>
      <c r="D29766" s="1">
        <v>8.6685159500693402E-5</v>
      </c>
      <c r="E29766" s="1">
        <v>1.56128024980483E-3</v>
      </c>
      <c r="F29766" s="1">
        <v>1.36492751128217E-3</v>
      </c>
    </row>
    <row r="29767" spans="1:6" x14ac:dyDescent="0.25">
      <c r="A29767" s="2" t="str">
        <f t="shared" si="1067"/>
        <v>20260</v>
      </c>
      <c r="B29767" s="2" t="str">
        <f>"55746"</f>
        <v>55746</v>
      </c>
      <c r="C29767" s="1">
        <v>6.2630869700425001E-2</v>
      </c>
      <c r="D29767" s="1">
        <v>8.3131067961164998E-2</v>
      </c>
      <c r="E29767" s="1">
        <v>6.8071818891490998E-2</v>
      </c>
      <c r="F29767" s="1">
        <v>6.4299152761211398E-2</v>
      </c>
    </row>
    <row r="29768" spans="1:6" x14ac:dyDescent="0.25">
      <c r="A29768" s="2" t="str">
        <f t="shared" si="1067"/>
        <v>20260</v>
      </c>
      <c r="B29768" s="2" t="str">
        <f>"55741"</f>
        <v>55741</v>
      </c>
      <c r="C29768" s="1">
        <v>1.12504751045229E-2</v>
      </c>
      <c r="D29768" s="1">
        <v>4.9410540915395202E-3</v>
      </c>
      <c r="E29768" s="1">
        <v>1.4051522248243499E-3</v>
      </c>
      <c r="F29768" s="1">
        <v>1.04152576761801E-2</v>
      </c>
    </row>
    <row r="29769" spans="1:6" x14ac:dyDescent="0.25">
      <c r="A29769" s="2" t="str">
        <f t="shared" si="1067"/>
        <v>20260</v>
      </c>
      <c r="B29769" s="2" t="str">
        <f>"55736"</f>
        <v>55736</v>
      </c>
      <c r="C29769" s="1">
        <v>5.3073494350575302E-3</v>
      </c>
      <c r="D29769" s="1">
        <v>5.37447988904299E-3</v>
      </c>
      <c r="E29769" s="1">
        <v>2.34192037470725E-3</v>
      </c>
      <c r="F29769" s="1">
        <v>5.19533219384429E-3</v>
      </c>
    </row>
    <row r="29770" spans="1:6" x14ac:dyDescent="0.25">
      <c r="A29770" s="2" t="str">
        <f t="shared" si="1067"/>
        <v>20260</v>
      </c>
      <c r="B29770" s="2" t="str">
        <f>"55733"</f>
        <v>55733</v>
      </c>
      <c r="C29770" s="1">
        <v>1.32891054213745E-2</v>
      </c>
      <c r="D29770" s="1">
        <v>3.5540915395284299E-3</v>
      </c>
      <c r="E29770" s="1">
        <v>1.35831381733021E-2</v>
      </c>
      <c r="F29770" s="1">
        <v>1.2610208674052799E-2</v>
      </c>
    </row>
    <row r="29771" spans="1:6" x14ac:dyDescent="0.25">
      <c r="A29771" s="2" t="str">
        <f t="shared" si="1067"/>
        <v>20260</v>
      </c>
      <c r="B29771" s="2" t="str">
        <f>"54854"</f>
        <v>54854</v>
      </c>
      <c r="C29771" s="1">
        <v>2.9992052797069898E-3</v>
      </c>
      <c r="D29771" s="1">
        <v>5.2011095700416001E-4</v>
      </c>
      <c r="E29771" s="1">
        <v>0</v>
      </c>
      <c r="F29771" s="1">
        <v>2.7052617340727701E-3</v>
      </c>
    </row>
    <row r="29772" spans="1:6" x14ac:dyDescent="0.25">
      <c r="A29772" s="2" t="str">
        <f t="shared" si="1067"/>
        <v>20260</v>
      </c>
      <c r="B29772" s="2" t="str">
        <f>"54820"</f>
        <v>54820</v>
      </c>
      <c r="C29772" s="1">
        <v>2.0109878718772602E-3</v>
      </c>
      <c r="D29772" s="1">
        <v>5.2011095700416001E-4</v>
      </c>
      <c r="E29772" s="1">
        <v>7.8064012490241901E-4</v>
      </c>
      <c r="F29772" s="1">
        <v>1.8567932811135799E-3</v>
      </c>
    </row>
    <row r="29773" spans="1:6" x14ac:dyDescent="0.25">
      <c r="A29773" s="2" t="str">
        <f t="shared" si="1067"/>
        <v>20260</v>
      </c>
      <c r="B29773" s="2" t="str">
        <f>"54890"</f>
        <v>54890</v>
      </c>
      <c r="C29773" s="1">
        <v>0</v>
      </c>
      <c r="D29773" s="1">
        <v>0</v>
      </c>
      <c r="E29773" s="1">
        <v>1.5612802498048299E-4</v>
      </c>
      <c r="F29773" s="1">
        <v>6.1483221228926597E-6</v>
      </c>
    </row>
    <row r="29774" spans="1:6" x14ac:dyDescent="0.25">
      <c r="A29774" s="2" t="str">
        <f t="shared" si="1067"/>
        <v>20260</v>
      </c>
      <c r="B29774" s="2" t="str">
        <f>"56669"</f>
        <v>56669</v>
      </c>
      <c r="C29774" s="1">
        <v>1.33374797000794E-3</v>
      </c>
      <c r="D29774" s="1">
        <v>1.64701803051317E-3</v>
      </c>
      <c r="E29774" s="1">
        <v>0</v>
      </c>
      <c r="F29774" s="1">
        <v>1.3034442900532401E-3</v>
      </c>
    </row>
    <row r="29775" spans="1:6" x14ac:dyDescent="0.25">
      <c r="A29775" s="2" t="str">
        <f t="shared" si="1067"/>
        <v>20260</v>
      </c>
      <c r="B29775" s="2" t="str">
        <f>"55723"</f>
        <v>55723</v>
      </c>
      <c r="C29775" s="1">
        <v>9.5850177948239492E-3</v>
      </c>
      <c r="D29775" s="1">
        <v>6.4147018030513104E-3</v>
      </c>
      <c r="E29775" s="1">
        <v>2.6541764246682201E-3</v>
      </c>
      <c r="F29775" s="1">
        <v>9.0872200976353495E-3</v>
      </c>
    </row>
    <row r="29776" spans="1:6" x14ac:dyDescent="0.25">
      <c r="A29776" s="2" t="str">
        <f t="shared" si="1067"/>
        <v>20260</v>
      </c>
      <c r="B29776" s="2" t="str">
        <f>"55717"</f>
        <v>55717</v>
      </c>
      <c r="C29776" s="1">
        <v>1.44431774990497E-3</v>
      </c>
      <c r="D29776" s="1">
        <v>6.93481276005547E-4</v>
      </c>
      <c r="E29776" s="1">
        <v>4.6838407494145101E-4</v>
      </c>
      <c r="F29776" s="1">
        <v>1.35263086703638E-3</v>
      </c>
    </row>
    <row r="29777" spans="1:6" x14ac:dyDescent="0.25">
      <c r="A29777" s="2" t="str">
        <f t="shared" si="1067"/>
        <v>20260</v>
      </c>
      <c r="B29777" s="2" t="str">
        <f>"55703"</f>
        <v>55703</v>
      </c>
      <c r="C29777" s="1">
        <v>2.8748142773228199E-3</v>
      </c>
      <c r="D29777" s="1">
        <v>7.8016643550624099E-4</v>
      </c>
      <c r="E29777" s="1">
        <v>4.6838407494145101E-4</v>
      </c>
      <c r="F29777" s="1">
        <v>2.63148186859805E-3</v>
      </c>
    </row>
    <row r="29778" spans="1:6" x14ac:dyDescent="0.25">
      <c r="A29778" s="2" t="str">
        <f t="shared" si="1067"/>
        <v>20260</v>
      </c>
      <c r="B29778" s="2" t="str">
        <f>"55783"</f>
        <v>55783</v>
      </c>
      <c r="C29778" s="1">
        <v>2.55692616011886E-4</v>
      </c>
      <c r="D29778" s="1">
        <v>0</v>
      </c>
      <c r="E29778" s="1">
        <v>0</v>
      </c>
      <c r="F29778" s="1">
        <v>2.27487918547028E-4</v>
      </c>
    </row>
    <row r="29779" spans="1:6" x14ac:dyDescent="0.25">
      <c r="A29779" s="2" t="str">
        <f t="shared" si="1067"/>
        <v>20260</v>
      </c>
      <c r="B29779" s="2" t="str">
        <f>"55763"</f>
        <v>55763</v>
      </c>
      <c r="C29779" s="1">
        <v>2.7642444974257901E-3</v>
      </c>
      <c r="D29779" s="1">
        <v>6.93481276005547E-4</v>
      </c>
      <c r="E29779" s="1">
        <v>1.5612802498048299E-4</v>
      </c>
      <c r="F29779" s="1">
        <v>2.5146637482630898E-3</v>
      </c>
    </row>
    <row r="29780" spans="1:6" x14ac:dyDescent="0.25">
      <c r="A29780" s="2" t="str">
        <f t="shared" si="1067"/>
        <v>20260</v>
      </c>
      <c r="B29780" s="2" t="str">
        <f>"55798"</f>
        <v>55798</v>
      </c>
      <c r="C29780" s="1">
        <v>2.6467641062852001E-3</v>
      </c>
      <c r="D29780" s="1">
        <v>1.3869625520110901E-3</v>
      </c>
      <c r="E29780" s="1">
        <v>3.1225604996096702E-4</v>
      </c>
      <c r="F29780" s="1">
        <v>2.4654771712799501E-3</v>
      </c>
    </row>
    <row r="29781" spans="1:6" x14ac:dyDescent="0.25">
      <c r="A29781" s="2" t="str">
        <f t="shared" si="1067"/>
        <v>20260</v>
      </c>
      <c r="B29781" s="2" t="str">
        <f>"55812"</f>
        <v>55812</v>
      </c>
      <c r="C29781" s="1">
        <v>2.6744065512594499E-2</v>
      </c>
      <c r="D29781" s="1">
        <v>1.8810679611650401E-2</v>
      </c>
      <c r="E29781" s="1">
        <v>6.8540202966432401E-2</v>
      </c>
      <c r="F29781" s="1">
        <v>2.7827305928212101E-2</v>
      </c>
    </row>
    <row r="29782" spans="1:6" x14ac:dyDescent="0.25">
      <c r="A29782" s="2" t="str">
        <f t="shared" si="1067"/>
        <v>20260</v>
      </c>
      <c r="B29782" s="2" t="str">
        <f>"55738"</f>
        <v>55738</v>
      </c>
      <c r="C29782" s="1">
        <v>2.1146470405307301E-3</v>
      </c>
      <c r="D29782" s="1">
        <v>6.0679611650485399E-4</v>
      </c>
      <c r="E29782" s="1">
        <v>4.6838407494145101E-4</v>
      </c>
      <c r="F29782" s="1">
        <v>1.9428697908340799E-3</v>
      </c>
    </row>
    <row r="29783" spans="1:6" x14ac:dyDescent="0.25">
      <c r="A29783" s="2" t="str">
        <f t="shared" si="1067"/>
        <v>20260</v>
      </c>
      <c r="B29783" s="2" t="str">
        <f>"54830"</f>
        <v>54830</v>
      </c>
      <c r="C29783" s="1">
        <v>1.0227704640475401E-3</v>
      </c>
      <c r="D29783" s="1">
        <v>2.6005547850208E-4</v>
      </c>
      <c r="E29783" s="1">
        <v>0</v>
      </c>
      <c r="F29783" s="1">
        <v>9.2839664055679202E-4</v>
      </c>
    </row>
    <row r="29784" spans="1:6" x14ac:dyDescent="0.25">
      <c r="A29784" s="2" t="str">
        <f t="shared" si="1067"/>
        <v>20260</v>
      </c>
      <c r="B29784" s="2" t="str">
        <f>"54880"</f>
        <v>54880</v>
      </c>
      <c r="C29784" s="1">
        <v>0.100770533153657</v>
      </c>
      <c r="D29784" s="1">
        <v>0.113297503467406</v>
      </c>
      <c r="E29784" s="1">
        <v>0.110226385636221</v>
      </c>
      <c r="F29784" s="1">
        <v>0.10203140562940299</v>
      </c>
    </row>
    <row r="29785" spans="1:6" x14ac:dyDescent="0.25">
      <c r="A29785" s="2" t="str">
        <f t="shared" si="1067"/>
        <v>20260</v>
      </c>
      <c r="B29785" s="2" t="str">
        <f>"55601"</f>
        <v>55601</v>
      </c>
      <c r="C29785" s="1">
        <v>0</v>
      </c>
      <c r="D29785" s="1">
        <v>0</v>
      </c>
      <c r="E29785" s="1">
        <v>1.5612802498048299E-4</v>
      </c>
      <c r="F29785" s="1">
        <v>6.1483221228926597E-6</v>
      </c>
    </row>
    <row r="29786" spans="1:6" x14ac:dyDescent="0.25">
      <c r="A29786" s="2" t="str">
        <f t="shared" si="1067"/>
        <v>20260</v>
      </c>
      <c r="B29786" s="2" t="str">
        <f>"55758"</f>
        <v>55758</v>
      </c>
      <c r="C29786" s="1">
        <v>5.3211706575446505E-4</v>
      </c>
      <c r="D29786" s="1">
        <v>4.33425797503467E-4</v>
      </c>
      <c r="E29786" s="1">
        <v>1.5612802498048299E-4</v>
      </c>
      <c r="F29786" s="1">
        <v>5.1031073620008997E-4</v>
      </c>
    </row>
    <row r="29787" spans="1:6" x14ac:dyDescent="0.25">
      <c r="A29787" s="2" t="str">
        <f t="shared" si="1067"/>
        <v>20260</v>
      </c>
      <c r="B29787" s="2" t="str">
        <f>"55792"</f>
        <v>55792</v>
      </c>
      <c r="C29787" s="1">
        <v>4.1339276459002698E-2</v>
      </c>
      <c r="D29787" s="1">
        <v>7.6369625520110895E-2</v>
      </c>
      <c r="E29787" s="1">
        <v>5.1990632318501102E-2</v>
      </c>
      <c r="F29787" s="1">
        <v>4.4243325996335597E-2</v>
      </c>
    </row>
    <row r="29788" spans="1:6" x14ac:dyDescent="0.25">
      <c r="A29788" s="2" t="str">
        <f t="shared" si="1067"/>
        <v>20260</v>
      </c>
      <c r="B29788" s="2" t="str">
        <f>"55767"</f>
        <v>55767</v>
      </c>
      <c r="C29788" s="1">
        <v>9.86144224456653E-3</v>
      </c>
      <c r="D29788" s="1">
        <v>5.5478502080443803E-3</v>
      </c>
      <c r="E29788" s="1">
        <v>8.89929742388758E-3</v>
      </c>
      <c r="F29788" s="1">
        <v>9.5176026462378393E-3</v>
      </c>
    </row>
    <row r="29789" spans="1:6" x14ac:dyDescent="0.25">
      <c r="A29789" s="2" t="str">
        <f t="shared" ref="A29789:A29805" si="1068">"20260"</f>
        <v>20260</v>
      </c>
      <c r="B29789" s="2" t="str">
        <f>"55765"</f>
        <v>55765</v>
      </c>
      <c r="C29789" s="1">
        <v>3.1166856708475799E-3</v>
      </c>
      <c r="D29789" s="1">
        <v>1.3869625520110901E-3</v>
      </c>
      <c r="E29789" s="1">
        <v>6.2451209992193501E-4</v>
      </c>
      <c r="F29789" s="1">
        <v>2.8958597198824399E-3</v>
      </c>
    </row>
    <row r="29790" spans="1:6" x14ac:dyDescent="0.25">
      <c r="A29790" s="2" t="str">
        <f t="shared" si="1068"/>
        <v>20260</v>
      </c>
      <c r="B29790" s="2" t="str">
        <f>"55810"</f>
        <v>55810</v>
      </c>
      <c r="C29790" s="1">
        <v>2.6688780622645999E-2</v>
      </c>
      <c r="D29790" s="1">
        <v>1.5343273231622699E-2</v>
      </c>
      <c r="E29790" s="1">
        <v>2.43559718969555E-2</v>
      </c>
      <c r="F29790" s="1">
        <v>2.5792211305534701E-2</v>
      </c>
    </row>
    <row r="29791" spans="1:6" x14ac:dyDescent="0.25">
      <c r="A29791" s="2" t="str">
        <f t="shared" si="1068"/>
        <v>20260</v>
      </c>
      <c r="B29791" s="2" t="str">
        <f>"55808"</f>
        <v>55808</v>
      </c>
      <c r="C29791" s="1">
        <v>1.9156214367160699E-2</v>
      </c>
      <c r="D29791" s="1">
        <v>6.7614424410540903E-3</v>
      </c>
      <c r="E29791" s="1">
        <v>1.17096018735362E-2</v>
      </c>
      <c r="F29791" s="1">
        <v>1.7983842209461001E-2</v>
      </c>
    </row>
    <row r="29792" spans="1:6" x14ac:dyDescent="0.25">
      <c r="A29792" s="2" t="str">
        <f t="shared" si="1068"/>
        <v>20260</v>
      </c>
      <c r="B29792" s="2" t="str">
        <f>"55807"</f>
        <v>55807</v>
      </c>
      <c r="C29792" s="1">
        <v>3.1927023945267897E-2</v>
      </c>
      <c r="D29792" s="1">
        <v>3.4327323162274603E-2</v>
      </c>
      <c r="E29792" s="1">
        <v>4.1686182669789199E-2</v>
      </c>
      <c r="F29792" s="1">
        <v>3.2481585775241899E-2</v>
      </c>
    </row>
    <row r="29793" spans="1:6" x14ac:dyDescent="0.25">
      <c r="A29793" s="2" t="str">
        <f t="shared" si="1068"/>
        <v>20260</v>
      </c>
      <c r="B29793" s="2" t="str">
        <f>"55750"</f>
        <v>55750</v>
      </c>
      <c r="C29793" s="1">
        <v>7.2976054732040996E-3</v>
      </c>
      <c r="D29793" s="1">
        <v>4.2475728155339804E-3</v>
      </c>
      <c r="E29793" s="1">
        <v>1.4051522248243499E-3</v>
      </c>
      <c r="F29793" s="1">
        <v>6.8492308449024202E-3</v>
      </c>
    </row>
    <row r="29794" spans="1:6" x14ac:dyDescent="0.25">
      <c r="A29794" s="2" t="str">
        <f t="shared" si="1068"/>
        <v>20260</v>
      </c>
      <c r="B29794" s="2" t="str">
        <f>"55731"</f>
        <v>55731</v>
      </c>
      <c r="C29794" s="1">
        <v>2.67233336788638E-2</v>
      </c>
      <c r="D29794" s="1">
        <v>3.0513176144244099E-2</v>
      </c>
      <c r="E29794" s="1">
        <v>3.8095238095238002E-2</v>
      </c>
      <c r="F29794" s="1">
        <v>2.7439961634469899E-2</v>
      </c>
    </row>
    <row r="29795" spans="1:6" x14ac:dyDescent="0.25">
      <c r="A29795" s="2" t="str">
        <f t="shared" si="1068"/>
        <v>20260</v>
      </c>
      <c r="B29795" s="2" t="str">
        <f>"55713"</f>
        <v>55713</v>
      </c>
      <c r="C29795" s="1">
        <v>0</v>
      </c>
      <c r="D29795" s="1">
        <v>0</v>
      </c>
      <c r="E29795" s="1">
        <v>1.5612802498048299E-4</v>
      </c>
      <c r="F29795" s="1">
        <v>6.1483221228926597E-6</v>
      </c>
    </row>
    <row r="29796" spans="1:6" x14ac:dyDescent="0.25">
      <c r="A29796" s="2" t="str">
        <f t="shared" si="1068"/>
        <v>20260</v>
      </c>
      <c r="B29796" s="2" t="str">
        <f>"55603"</f>
        <v>55603</v>
      </c>
      <c r="C29796" s="1">
        <v>1.48578141736636E-3</v>
      </c>
      <c r="D29796" s="1">
        <v>6.0679611650485399E-4</v>
      </c>
      <c r="E29796" s="1">
        <v>3.1225604996096702E-4</v>
      </c>
      <c r="F29796" s="1">
        <v>1.3772241555279499E-3</v>
      </c>
    </row>
    <row r="29797" spans="1:6" x14ac:dyDescent="0.25">
      <c r="A29797" s="2" t="str">
        <f t="shared" si="1068"/>
        <v>20260</v>
      </c>
      <c r="B29797" s="2" t="str">
        <f>"55602"</f>
        <v>55602</v>
      </c>
      <c r="C29797" s="1">
        <v>1.5617981410455701E-3</v>
      </c>
      <c r="D29797" s="1">
        <v>2.6005547850208E-4</v>
      </c>
      <c r="E29797" s="1">
        <v>2.0296643247462898E-3</v>
      </c>
      <c r="F29797" s="1">
        <v>1.48789395374002E-3</v>
      </c>
    </row>
    <row r="29798" spans="1:6" x14ac:dyDescent="0.25">
      <c r="A29798" s="2" t="str">
        <f t="shared" si="1068"/>
        <v>20260</v>
      </c>
      <c r="B29798" s="2" t="str">
        <f>"55720"</f>
        <v>55720</v>
      </c>
      <c r="C29798" s="1">
        <v>5.4241387650737702E-2</v>
      </c>
      <c r="D29798" s="1">
        <v>5.5565187239944497E-2</v>
      </c>
      <c r="E29798" s="1">
        <v>4.3559718969555003E-2</v>
      </c>
      <c r="F29798" s="1">
        <v>5.3914636695645703E-2</v>
      </c>
    </row>
    <row r="29799" spans="1:6" x14ac:dyDescent="0.25">
      <c r="A29799" s="2" t="str">
        <f t="shared" si="1068"/>
        <v>20260</v>
      </c>
      <c r="B29799" s="2" t="str">
        <f>"55719"</f>
        <v>55719</v>
      </c>
      <c r="C29799" s="1">
        <v>2.0407035002245898E-2</v>
      </c>
      <c r="D29799" s="1">
        <v>1.6556865464632399E-2</v>
      </c>
      <c r="E29799" s="1">
        <v>1.8891491022638499E-2</v>
      </c>
      <c r="F29799" s="1">
        <v>2.00742717312445E-2</v>
      </c>
    </row>
    <row r="29800" spans="1:6" x14ac:dyDescent="0.25">
      <c r="A29800" s="2" t="str">
        <f t="shared" si="1068"/>
        <v>20260</v>
      </c>
      <c r="B29800" s="2" t="str">
        <f>"55708"</f>
        <v>55708</v>
      </c>
      <c r="C29800" s="1">
        <v>4.2845789710099797E-3</v>
      </c>
      <c r="D29800" s="1">
        <v>6.93481276005547E-4</v>
      </c>
      <c r="E29800" s="1">
        <v>2.1857923497267699E-3</v>
      </c>
      <c r="F29800" s="1">
        <v>3.9472228028970798E-3</v>
      </c>
    </row>
    <row r="29801" spans="1:6" x14ac:dyDescent="0.25">
      <c r="A29801" s="2" t="str">
        <f t="shared" si="1068"/>
        <v>20260</v>
      </c>
      <c r="B29801" s="2" t="str">
        <f>"55705"</f>
        <v>55705</v>
      </c>
      <c r="C29801" s="1">
        <v>1.25496700183131E-2</v>
      </c>
      <c r="D29801" s="1">
        <v>1.02288488210818E-2</v>
      </c>
      <c r="E29801" s="1">
        <v>6.5573770491803201E-3</v>
      </c>
      <c r="F29801" s="1">
        <v>1.2149084514835901E-2</v>
      </c>
    </row>
    <row r="29802" spans="1:6" x14ac:dyDescent="0.25">
      <c r="A29802" s="2" t="str">
        <f t="shared" si="1068"/>
        <v>20260</v>
      </c>
      <c r="B29802" s="2" t="str">
        <f>"55782"</f>
        <v>55782</v>
      </c>
      <c r="C29802" s="1">
        <v>2.1284682630178602E-3</v>
      </c>
      <c r="D29802" s="1">
        <v>1.3869625520110901E-3</v>
      </c>
      <c r="E29802" s="1">
        <v>4.6838407494145101E-4</v>
      </c>
      <c r="F29802" s="1">
        <v>2.0105013341858999E-3</v>
      </c>
    </row>
    <row r="29803" spans="1:6" x14ac:dyDescent="0.25">
      <c r="A29803" s="2" t="str">
        <f t="shared" si="1068"/>
        <v>20260</v>
      </c>
      <c r="B29803" s="2" t="str">
        <f>"55757"</f>
        <v>55757</v>
      </c>
      <c r="C29803" s="1">
        <v>2.99229466846342E-3</v>
      </c>
      <c r="D29803" s="1">
        <v>2.6005547850208E-4</v>
      </c>
      <c r="E29803" s="1">
        <v>4.6838407494145101E-4</v>
      </c>
      <c r="F29803" s="1">
        <v>2.69911341194987E-3</v>
      </c>
    </row>
    <row r="29804" spans="1:6" x14ac:dyDescent="0.25">
      <c r="A29804" s="2" t="str">
        <f t="shared" si="1068"/>
        <v>20260</v>
      </c>
      <c r="B29804" s="2" t="str">
        <f>"54838"</f>
        <v>54838</v>
      </c>
      <c r="C29804" s="1">
        <v>6.9106112435644903E-3</v>
      </c>
      <c r="D29804" s="1">
        <v>1.73370319001386E-3</v>
      </c>
      <c r="E29804" s="1">
        <v>9.36768149882903E-4</v>
      </c>
      <c r="F29804" s="1">
        <v>6.3081784980878698E-3</v>
      </c>
    </row>
    <row r="29805" spans="1:6" x14ac:dyDescent="0.25">
      <c r="A29805" s="2" t="str">
        <f t="shared" si="1068"/>
        <v>20260</v>
      </c>
      <c r="B29805" s="2" t="str">
        <f>"54836"</f>
        <v>54836</v>
      </c>
      <c r="C29805" s="1">
        <v>3.64189212535848E-3</v>
      </c>
      <c r="D29805" s="1">
        <v>1.7337031900138599E-4</v>
      </c>
      <c r="E29805" s="1">
        <v>1.5612802498048299E-4</v>
      </c>
      <c r="F29805" s="1">
        <v>3.2586107251331101E-3</v>
      </c>
    </row>
    <row r="29806" spans="1:6" x14ac:dyDescent="0.25">
      <c r="A29806" s="2" t="str">
        <f t="shared" ref="A29806:A29821" si="1069">"22060"</f>
        <v>22060</v>
      </c>
      <c r="B29806" s="2" t="str">
        <f>"55053"</f>
        <v>55053</v>
      </c>
      <c r="C29806" s="1">
        <v>1.2699111796226899E-2</v>
      </c>
      <c r="D29806" s="1">
        <v>2.0335536349771199E-3</v>
      </c>
      <c r="E29806" s="1">
        <v>1.09170305676855E-3</v>
      </c>
      <c r="F29806" s="1">
        <v>1.1649905406750901E-2</v>
      </c>
    </row>
    <row r="29807" spans="1:6" x14ac:dyDescent="0.25">
      <c r="A29807" s="2" t="str">
        <f t="shared" si="1069"/>
        <v>22060</v>
      </c>
      <c r="B29807" s="2" t="str">
        <f>"55049"</f>
        <v>55049</v>
      </c>
      <c r="C29807" s="1">
        <v>9.9097115172869406E-4</v>
      </c>
      <c r="D29807" s="1">
        <v>0</v>
      </c>
      <c r="E29807" s="1">
        <v>0</v>
      </c>
      <c r="F29807" s="1">
        <v>8.9614656975007395E-4</v>
      </c>
    </row>
    <row r="29808" spans="1:6" x14ac:dyDescent="0.25">
      <c r="A29808" s="2" t="str">
        <f t="shared" si="1069"/>
        <v>22060</v>
      </c>
      <c r="B29808" s="2" t="str">
        <f>"55057"</f>
        <v>55057</v>
      </c>
      <c r="C29808" s="1">
        <v>0.29086838434999601</v>
      </c>
      <c r="D29808" s="1">
        <v>0.35332994407727503</v>
      </c>
      <c r="E29808" s="1">
        <v>0.34825327510916998</v>
      </c>
      <c r="F29808" s="1">
        <v>0.29669089581466301</v>
      </c>
    </row>
    <row r="29809" spans="1:6" x14ac:dyDescent="0.25">
      <c r="A29809" s="2" t="str">
        <f t="shared" si="1069"/>
        <v>22060</v>
      </c>
      <c r="B29809" s="2" t="str">
        <f>"56052"</f>
        <v>56052</v>
      </c>
      <c r="C29809" s="1">
        <v>3.9271819716655597E-3</v>
      </c>
      <c r="D29809" s="1">
        <v>5.0838840874427998E-4</v>
      </c>
      <c r="E29809" s="1">
        <v>0</v>
      </c>
      <c r="F29809" s="1">
        <v>3.5845862790002902E-3</v>
      </c>
    </row>
    <row r="29810" spans="1:6" x14ac:dyDescent="0.25">
      <c r="A29810" s="2" t="str">
        <f t="shared" si="1069"/>
        <v>22060</v>
      </c>
      <c r="B29810" s="2" t="str">
        <f>"56069"</f>
        <v>56069</v>
      </c>
      <c r="C29810" s="1">
        <v>8.1112823900755995E-3</v>
      </c>
      <c r="D29810" s="1">
        <v>0</v>
      </c>
      <c r="E29810" s="1">
        <v>1.09170305676855E-3</v>
      </c>
      <c r="F29810" s="1">
        <v>7.3683162401672799E-3</v>
      </c>
    </row>
    <row r="29811" spans="1:6" x14ac:dyDescent="0.25">
      <c r="A29811" s="2" t="str">
        <f t="shared" si="1069"/>
        <v>22060</v>
      </c>
      <c r="B29811" s="2" t="str">
        <f>"55052"</f>
        <v>55052</v>
      </c>
      <c r="C29811" s="1">
        <v>2.9729134551860801E-2</v>
      </c>
      <c r="D29811" s="1">
        <v>4.5754956786985199E-3</v>
      </c>
      <c r="E29811" s="1">
        <v>1.52838427947598E-2</v>
      </c>
      <c r="F29811" s="1">
        <v>2.7647781207474499E-2</v>
      </c>
    </row>
    <row r="29812" spans="1:6" x14ac:dyDescent="0.25">
      <c r="A29812" s="2" t="str">
        <f t="shared" si="1069"/>
        <v>22060</v>
      </c>
      <c r="B29812" s="2" t="str">
        <f>"55087"</f>
        <v>55087</v>
      </c>
      <c r="C29812" s="1">
        <v>5.7623137341261104E-3</v>
      </c>
      <c r="D29812" s="1">
        <v>0</v>
      </c>
      <c r="E29812" s="1">
        <v>1.09170305676855E-3</v>
      </c>
      <c r="F29812" s="1">
        <v>5.2441169637226503E-3</v>
      </c>
    </row>
    <row r="29813" spans="1:6" x14ac:dyDescent="0.25">
      <c r="A29813" s="2" t="str">
        <f t="shared" si="1069"/>
        <v>22060</v>
      </c>
      <c r="B29813" s="2" t="str">
        <f>"56096"</f>
        <v>56096</v>
      </c>
      <c r="C29813" s="1">
        <v>2.3856712911986999E-3</v>
      </c>
      <c r="D29813" s="1">
        <v>1.01677681748856E-3</v>
      </c>
      <c r="E29813" s="1">
        <v>0</v>
      </c>
      <c r="F29813" s="1">
        <v>2.2237711175279598E-3</v>
      </c>
    </row>
    <row r="29814" spans="1:6" x14ac:dyDescent="0.25">
      <c r="A29814" s="2" t="str">
        <f t="shared" si="1069"/>
        <v>22060</v>
      </c>
      <c r="B29814" s="2" t="str">
        <f>"56071"</f>
        <v>56071</v>
      </c>
      <c r="C29814" s="1">
        <v>4.6612346766497798E-3</v>
      </c>
      <c r="D29814" s="1">
        <v>1.52516522623284E-3</v>
      </c>
      <c r="E29814" s="1">
        <v>0</v>
      </c>
      <c r="F29814" s="1">
        <v>4.3147797802781298E-3</v>
      </c>
    </row>
    <row r="29815" spans="1:6" x14ac:dyDescent="0.25">
      <c r="A29815" s="2" t="str">
        <f t="shared" si="1069"/>
        <v>22060</v>
      </c>
      <c r="B29815" s="2" t="str">
        <f>"55018"</f>
        <v>55018</v>
      </c>
      <c r="C29815" s="1">
        <v>1.57821331571606E-3</v>
      </c>
      <c r="D29815" s="1">
        <v>4.0671072699542399E-3</v>
      </c>
      <c r="E29815" s="1">
        <v>4.3668122270742304E-3</v>
      </c>
      <c r="F29815" s="1">
        <v>1.82548375319459E-3</v>
      </c>
    </row>
    <row r="29816" spans="1:6" x14ac:dyDescent="0.25">
      <c r="A29816" s="2" t="str">
        <f t="shared" si="1069"/>
        <v>22060</v>
      </c>
      <c r="B29816" s="2" t="str">
        <f>"55021"</f>
        <v>55021</v>
      </c>
      <c r="C29816" s="1">
        <v>0.49082434118769702</v>
      </c>
      <c r="D29816" s="1">
        <v>0.55007625826131101</v>
      </c>
      <c r="E29816" s="1">
        <v>0.59279475982532703</v>
      </c>
      <c r="F29816" s="1">
        <v>0.49779282418931903</v>
      </c>
    </row>
    <row r="29817" spans="1:6" x14ac:dyDescent="0.25">
      <c r="A29817" s="2" t="str">
        <f t="shared" si="1069"/>
        <v>22060</v>
      </c>
      <c r="B29817" s="2" t="str">
        <f>"55020"</f>
        <v>55020</v>
      </c>
      <c r="C29817" s="1">
        <v>3.6702635249210799E-4</v>
      </c>
      <c r="D29817" s="1">
        <v>0</v>
      </c>
      <c r="E29817" s="1">
        <v>0</v>
      </c>
      <c r="F29817" s="1">
        <v>3.3190613694447201E-4</v>
      </c>
    </row>
    <row r="29818" spans="1:6" x14ac:dyDescent="0.25">
      <c r="A29818" s="2" t="str">
        <f t="shared" si="1069"/>
        <v>22060</v>
      </c>
      <c r="B29818" s="2" t="str">
        <f>"55019"</f>
        <v>55019</v>
      </c>
      <c r="C29818" s="1">
        <v>3.0646700433091E-2</v>
      </c>
      <c r="D29818" s="1">
        <v>3.3045246568378199E-2</v>
      </c>
      <c r="E29818" s="1">
        <v>1.31004366812227E-2</v>
      </c>
      <c r="F29818" s="1">
        <v>3.02698396893358E-2</v>
      </c>
    </row>
    <row r="29819" spans="1:6" x14ac:dyDescent="0.25">
      <c r="A29819" s="2" t="str">
        <f t="shared" si="1069"/>
        <v>22060</v>
      </c>
      <c r="B29819" s="2" t="str">
        <f>"55946"</f>
        <v>55946</v>
      </c>
      <c r="C29819" s="1">
        <v>3.8904793364163501E-3</v>
      </c>
      <c r="D29819" s="1">
        <v>5.0838840874427998E-4</v>
      </c>
      <c r="E29819" s="1">
        <v>0</v>
      </c>
      <c r="F29819" s="1">
        <v>3.5513956653058501E-3</v>
      </c>
    </row>
    <row r="29820" spans="1:6" x14ac:dyDescent="0.25">
      <c r="A29820" s="2" t="str">
        <f t="shared" si="1069"/>
        <v>22060</v>
      </c>
      <c r="B29820" s="2" t="str">
        <f>"55046"</f>
        <v>55046</v>
      </c>
      <c r="C29820" s="1">
        <v>9.3885340967481398E-2</v>
      </c>
      <c r="D29820" s="1">
        <v>4.7788510421962298E-2</v>
      </c>
      <c r="E29820" s="1">
        <v>2.0742358078602599E-2</v>
      </c>
      <c r="F29820" s="1">
        <v>8.8652129177868397E-2</v>
      </c>
    </row>
    <row r="29821" spans="1:6" x14ac:dyDescent="0.25">
      <c r="A29821" s="2" t="str">
        <f t="shared" si="1069"/>
        <v>22060</v>
      </c>
      <c r="B29821" s="2" t="str">
        <f>"55088"</f>
        <v>55088</v>
      </c>
      <c r="C29821" s="1">
        <v>1.9672612493577001E-2</v>
      </c>
      <c r="D29821" s="1">
        <v>1.52516522623284E-3</v>
      </c>
      <c r="E29821" s="1">
        <v>2.18340611353711E-3</v>
      </c>
      <c r="F29821" s="1">
        <v>1.79561220086959E-2</v>
      </c>
    </row>
    <row r="29822" spans="1:6" x14ac:dyDescent="0.25">
      <c r="A29822" s="2" t="str">
        <f t="shared" ref="A29822:A29838" si="1070">"39860"</f>
        <v>39860</v>
      </c>
      <c r="B29822" s="2" t="str">
        <f>"55033"</f>
        <v>55033</v>
      </c>
      <c r="C29822" s="1">
        <v>1.2981780742199701E-3</v>
      </c>
      <c r="D29822" s="1">
        <v>0</v>
      </c>
      <c r="E29822" s="1">
        <v>3.1695721077654501E-3</v>
      </c>
      <c r="F29822" s="1">
        <v>1.2580147715282801E-3</v>
      </c>
    </row>
    <row r="29823" spans="1:6" x14ac:dyDescent="0.25">
      <c r="A29823" s="2" t="str">
        <f t="shared" si="1070"/>
        <v>39860</v>
      </c>
      <c r="B29823" s="2" t="str">
        <f>"55065"</f>
        <v>55065</v>
      </c>
      <c r="C29823" s="1">
        <v>8.9529522359998201E-4</v>
      </c>
      <c r="D29823" s="1">
        <v>5.9808612440191298E-4</v>
      </c>
      <c r="E29823" s="1">
        <v>0</v>
      </c>
      <c r="F29823" s="1">
        <v>8.5220355490625696E-4</v>
      </c>
    </row>
    <row r="29824" spans="1:6" x14ac:dyDescent="0.25">
      <c r="A29824" s="2" t="str">
        <f t="shared" si="1070"/>
        <v>39860</v>
      </c>
      <c r="B29824" s="2" t="str">
        <f>"55956"</f>
        <v>55956</v>
      </c>
      <c r="C29824" s="1">
        <v>3.4916513720399298E-3</v>
      </c>
      <c r="D29824" s="1">
        <v>0</v>
      </c>
      <c r="E29824" s="1">
        <v>0</v>
      </c>
      <c r="F29824" s="1">
        <v>3.1653274896518099E-3</v>
      </c>
    </row>
    <row r="29825" spans="1:6" x14ac:dyDescent="0.25">
      <c r="A29825" s="2" t="str">
        <f t="shared" si="1070"/>
        <v>39860</v>
      </c>
      <c r="B29825" s="2" t="str">
        <f>"55009"</f>
        <v>55009</v>
      </c>
      <c r="C29825" s="1">
        <v>0.15040959756479599</v>
      </c>
      <c r="D29825" s="1">
        <v>0.18779904306219999</v>
      </c>
      <c r="E29825" s="1">
        <v>0.14263074484944499</v>
      </c>
      <c r="F29825" s="1">
        <v>0.152747341936531</v>
      </c>
    </row>
    <row r="29826" spans="1:6" x14ac:dyDescent="0.25">
      <c r="A29826" s="2" t="str">
        <f t="shared" si="1070"/>
        <v>39860</v>
      </c>
      <c r="B29826" s="2" t="str">
        <f>"55057"</f>
        <v>55057</v>
      </c>
      <c r="C29826" s="1">
        <v>1.7905904471999601E-4</v>
      </c>
      <c r="D29826" s="1">
        <v>0</v>
      </c>
      <c r="E29826" s="1">
        <v>0</v>
      </c>
      <c r="F29826" s="1">
        <v>1.6232448664880999E-4</v>
      </c>
    </row>
    <row r="29827" spans="1:6" x14ac:dyDescent="0.25">
      <c r="A29827" s="2" t="str">
        <f t="shared" si="1070"/>
        <v>39860</v>
      </c>
      <c r="B29827" s="2" t="str">
        <f>"55963"</f>
        <v>55963</v>
      </c>
      <c r="C29827" s="1">
        <v>6.9385379828998603E-2</v>
      </c>
      <c r="D29827" s="1">
        <v>3.5885167464114798E-2</v>
      </c>
      <c r="E29827" s="1">
        <v>6.6561014263074397E-2</v>
      </c>
      <c r="F29827" s="1">
        <v>6.7040012985958894E-2</v>
      </c>
    </row>
    <row r="29828" spans="1:6" x14ac:dyDescent="0.25">
      <c r="A29828" s="2" t="str">
        <f t="shared" si="1070"/>
        <v>39860</v>
      </c>
      <c r="B29828" s="2" t="str">
        <f>"55089"</f>
        <v>55089</v>
      </c>
      <c r="C29828" s="1">
        <v>3.20515690048793E-2</v>
      </c>
      <c r="D29828" s="1">
        <v>1.49521531100478E-2</v>
      </c>
      <c r="E29828" s="1">
        <v>2.8526148969889E-2</v>
      </c>
      <c r="F29828" s="1">
        <v>3.0801071341611801E-2</v>
      </c>
    </row>
    <row r="29829" spans="1:6" x14ac:dyDescent="0.25">
      <c r="A29829" s="2" t="str">
        <f t="shared" si="1070"/>
        <v>39860</v>
      </c>
      <c r="B29829" s="2" t="str">
        <f>"55018"</f>
        <v>55018</v>
      </c>
      <c r="C29829" s="1">
        <v>1.73239625766596E-2</v>
      </c>
      <c r="D29829" s="1">
        <v>8.9712918660286994E-3</v>
      </c>
      <c r="E29829" s="1">
        <v>7.9239302694136208E-3</v>
      </c>
      <c r="F29829" s="1">
        <v>1.6516516516516502E-2</v>
      </c>
    </row>
    <row r="29830" spans="1:6" x14ac:dyDescent="0.25">
      <c r="A29830" s="2" t="str">
        <f t="shared" si="1070"/>
        <v>39860</v>
      </c>
      <c r="B29830" s="2" t="str">
        <f>"55066"</f>
        <v>55066</v>
      </c>
      <c r="C29830" s="1">
        <v>0.40941850575227101</v>
      </c>
      <c r="D29830" s="1">
        <v>0.52870813397129102</v>
      </c>
      <c r="E29830" s="1">
        <v>0.52139461172741597</v>
      </c>
      <c r="F29830" s="1">
        <v>0.420379839298758</v>
      </c>
    </row>
    <row r="29831" spans="1:6" x14ac:dyDescent="0.25">
      <c r="A29831" s="2" t="str">
        <f t="shared" si="1070"/>
        <v>39860</v>
      </c>
      <c r="B29831" s="2" t="str">
        <f>"55983"</f>
        <v>55983</v>
      </c>
      <c r="C29831" s="1">
        <v>3.7244281301759198E-2</v>
      </c>
      <c r="D29831" s="1">
        <v>1.6746411483253499E-2</v>
      </c>
      <c r="E29831" s="1">
        <v>3.8034865293185401E-2</v>
      </c>
      <c r="F29831" s="1">
        <v>3.5873711549387198E-2</v>
      </c>
    </row>
    <row r="29832" spans="1:6" x14ac:dyDescent="0.25">
      <c r="A29832" s="2" t="str">
        <f t="shared" si="1070"/>
        <v>39860</v>
      </c>
      <c r="B29832" s="2" t="str">
        <f>"55026"</f>
        <v>55026</v>
      </c>
      <c r="C29832" s="1">
        <v>1.39666054881597E-2</v>
      </c>
      <c r="D29832" s="1">
        <v>5.9808612440191298E-4</v>
      </c>
      <c r="E29832" s="1">
        <v>1.58478605388272E-3</v>
      </c>
      <c r="F29832" s="1">
        <v>1.2742472201931599E-2</v>
      </c>
    </row>
    <row r="29833" spans="1:6" x14ac:dyDescent="0.25">
      <c r="A29833" s="2" t="str">
        <f t="shared" si="1070"/>
        <v>39860</v>
      </c>
      <c r="B29833" s="2" t="str">
        <f>"55946"</f>
        <v>55946</v>
      </c>
      <c r="C29833" s="1">
        <v>6.37002551591387E-2</v>
      </c>
      <c r="D29833" s="1">
        <v>4.9043062200956902E-2</v>
      </c>
      <c r="E29833" s="1">
        <v>3.1695721077654497E-2</v>
      </c>
      <c r="F29833" s="1">
        <v>6.1886210534859099E-2</v>
      </c>
    </row>
    <row r="29834" spans="1:6" x14ac:dyDescent="0.25">
      <c r="A29834" s="2" t="str">
        <f t="shared" si="1070"/>
        <v>39860</v>
      </c>
      <c r="B29834" s="2" t="str">
        <f>"55041"</f>
        <v>55041</v>
      </c>
      <c r="C29834" s="1">
        <v>4.0601638390259098E-2</v>
      </c>
      <c r="D29834" s="1">
        <v>3.7081339712918597E-2</v>
      </c>
      <c r="E29834" s="1">
        <v>5.7052297939778097E-2</v>
      </c>
      <c r="F29834" s="1">
        <v>4.0784027270513702E-2</v>
      </c>
    </row>
    <row r="29835" spans="1:6" x14ac:dyDescent="0.25">
      <c r="A29835" s="2" t="str">
        <f t="shared" si="1070"/>
        <v>39860</v>
      </c>
      <c r="B29835" s="2" t="str">
        <f>"55027"</f>
        <v>55027</v>
      </c>
      <c r="C29835" s="1">
        <v>5.0584180133398902E-2</v>
      </c>
      <c r="D29835" s="1">
        <v>1.43540669856459E-2</v>
      </c>
      <c r="E29835" s="1">
        <v>7.9239302694136208E-3</v>
      </c>
      <c r="F29835" s="1">
        <v>4.7033520006492899E-2</v>
      </c>
    </row>
    <row r="29836" spans="1:6" x14ac:dyDescent="0.25">
      <c r="A29836" s="2" t="str">
        <f t="shared" si="1070"/>
        <v>39860</v>
      </c>
      <c r="B29836" s="2" t="str">
        <f>"55992"</f>
        <v>55992</v>
      </c>
      <c r="C29836" s="1">
        <v>0.105689601145977</v>
      </c>
      <c r="D29836" s="1">
        <v>0.104665071770334</v>
      </c>
      <c r="E29836" s="1">
        <v>9.3502377179080803E-2</v>
      </c>
      <c r="F29836" s="1">
        <v>0.105308010713416</v>
      </c>
    </row>
    <row r="29837" spans="1:6" x14ac:dyDescent="0.25">
      <c r="A29837" s="2" t="str">
        <f t="shared" si="1070"/>
        <v>39860</v>
      </c>
      <c r="B29837" s="2" t="str">
        <f>"55985"</f>
        <v>55985</v>
      </c>
      <c r="C29837" s="1">
        <v>8.0576570123998303E-4</v>
      </c>
      <c r="D29837" s="1">
        <v>5.9808612440191298E-4</v>
      </c>
      <c r="E29837" s="1">
        <v>0</v>
      </c>
      <c r="F29837" s="1">
        <v>7.7104131158185199E-4</v>
      </c>
    </row>
    <row r="29838" spans="1:6" x14ac:dyDescent="0.25">
      <c r="A29838" s="2" t="str">
        <f t="shared" si="1070"/>
        <v>39860</v>
      </c>
      <c r="B29838" s="2" t="str">
        <f>"55053"</f>
        <v>55053</v>
      </c>
      <c r="C29838" s="1">
        <v>2.95447423787994E-3</v>
      </c>
      <c r="D29838" s="1">
        <v>0</v>
      </c>
      <c r="E29838" s="1">
        <v>0</v>
      </c>
      <c r="F29838" s="1">
        <v>2.6783540297053801E-3</v>
      </c>
    </row>
    <row r="29839" spans="1:6" x14ac:dyDescent="0.25">
      <c r="A29839" s="2" t="str">
        <f t="shared" ref="A29839:A29874" si="1071">"14660"</f>
        <v>14660</v>
      </c>
      <c r="B29839" s="2" t="str">
        <f>"56662"</f>
        <v>56662</v>
      </c>
      <c r="C29839" s="1">
        <v>7.7693084764441098E-3</v>
      </c>
      <c r="D29839" s="1">
        <v>3.3303057826218501E-3</v>
      </c>
      <c r="E29839" s="1">
        <v>7.2674418604651097E-4</v>
      </c>
      <c r="F29839" s="1">
        <v>7.3574183072863796E-3</v>
      </c>
    </row>
    <row r="29840" spans="1:6" x14ac:dyDescent="0.25">
      <c r="A29840" s="2" t="str">
        <f t="shared" si="1071"/>
        <v>14660</v>
      </c>
      <c r="B29840" s="2" t="str">
        <f>"56479"</f>
        <v>56479</v>
      </c>
      <c r="C29840" s="1">
        <v>2.2040591422536498E-3</v>
      </c>
      <c r="D29840" s="1">
        <v>0</v>
      </c>
      <c r="E29840" s="1">
        <v>0</v>
      </c>
      <c r="F29840" s="1">
        <v>2.0296326364927899E-3</v>
      </c>
    </row>
    <row r="29841" spans="1:6" x14ac:dyDescent="0.25">
      <c r="A29841" s="2" t="str">
        <f t="shared" si="1071"/>
        <v>14660</v>
      </c>
      <c r="B29841" s="2" t="str">
        <f>"56444"</f>
        <v>56444</v>
      </c>
      <c r="C29841" s="1">
        <v>3.5448617871246202E-2</v>
      </c>
      <c r="D29841" s="1">
        <v>1.2715712988192501E-2</v>
      </c>
      <c r="E29841" s="1">
        <v>1.96220930232558E-2</v>
      </c>
      <c r="F29841" s="1">
        <v>3.38102970029091E-2</v>
      </c>
    </row>
    <row r="29842" spans="1:6" x14ac:dyDescent="0.25">
      <c r="A29842" s="2" t="str">
        <f t="shared" si="1071"/>
        <v>14660</v>
      </c>
      <c r="B29842" s="2" t="str">
        <f>"56441"</f>
        <v>56441</v>
      </c>
      <c r="C29842" s="1">
        <v>3.5797593902102999E-2</v>
      </c>
      <c r="D29842" s="1">
        <v>4.32939751740841E-2</v>
      </c>
      <c r="E29842" s="1">
        <v>4.8691860465116199E-2</v>
      </c>
      <c r="F29842" s="1">
        <v>3.6516473851566103E-2</v>
      </c>
    </row>
    <row r="29843" spans="1:6" x14ac:dyDescent="0.25">
      <c r="A29843" s="2" t="str">
        <f t="shared" si="1071"/>
        <v>14660</v>
      </c>
      <c r="B29843" s="2" t="str">
        <f>"56626"</f>
        <v>56626</v>
      </c>
      <c r="C29843" s="1">
        <v>2.4979336945541298E-3</v>
      </c>
      <c r="D29843" s="1">
        <v>9.0826521344232502E-4</v>
      </c>
      <c r="E29843" s="1">
        <v>2.1802325581395301E-3</v>
      </c>
      <c r="F29843" s="1">
        <v>2.4017319531831399E-3</v>
      </c>
    </row>
    <row r="29844" spans="1:6" x14ac:dyDescent="0.25">
      <c r="A29844" s="2" t="str">
        <f t="shared" si="1071"/>
        <v>14660</v>
      </c>
      <c r="B29844" s="2" t="str">
        <f>"56435"</f>
        <v>56435</v>
      </c>
      <c r="C29844" s="1">
        <v>3.05078519606942E-2</v>
      </c>
      <c r="D29844" s="1">
        <v>5.4495912806539499E-3</v>
      </c>
      <c r="E29844" s="1">
        <v>3.6337209302325498E-3</v>
      </c>
      <c r="F29844" s="1">
        <v>2.84825113321155E-2</v>
      </c>
    </row>
    <row r="29845" spans="1:6" x14ac:dyDescent="0.25">
      <c r="A29845" s="2" t="str">
        <f t="shared" si="1071"/>
        <v>14660</v>
      </c>
      <c r="B29845" s="2" t="str">
        <f>"56425"</f>
        <v>56425</v>
      </c>
      <c r="C29845" s="1">
        <v>6.7591147029111898E-2</v>
      </c>
      <c r="D29845" s="1">
        <v>0.13472600666061099</v>
      </c>
      <c r="E29845" s="1">
        <v>0.178052325581395</v>
      </c>
      <c r="F29845" s="1">
        <v>7.3912455178945902E-2</v>
      </c>
    </row>
    <row r="29846" spans="1:6" x14ac:dyDescent="0.25">
      <c r="A29846" s="2" t="str">
        <f t="shared" si="1071"/>
        <v>14660</v>
      </c>
      <c r="B29846" s="2" t="str">
        <f>"55785"</f>
        <v>55785</v>
      </c>
      <c r="C29846" s="1">
        <v>5.5101478556341202E-4</v>
      </c>
      <c r="D29846" s="1">
        <v>3.02755071147441E-4</v>
      </c>
      <c r="E29846" s="1">
        <v>0</v>
      </c>
      <c r="F29846" s="1">
        <v>5.2432176442730499E-4</v>
      </c>
    </row>
    <row r="29847" spans="1:6" x14ac:dyDescent="0.25">
      <c r="A29847" s="2" t="str">
        <f t="shared" si="1071"/>
        <v>14660</v>
      </c>
      <c r="B29847" s="2" t="str">
        <f>"56672"</f>
        <v>56672</v>
      </c>
      <c r="C29847" s="1">
        <v>2.6669115621269099E-2</v>
      </c>
      <c r="D29847" s="1">
        <v>1.18074477747502E-2</v>
      </c>
      <c r="E29847" s="1">
        <v>1.1627906976744099E-2</v>
      </c>
      <c r="F29847" s="1">
        <v>2.5488803193288601E-2</v>
      </c>
    </row>
    <row r="29848" spans="1:6" x14ac:dyDescent="0.25">
      <c r="A29848" s="2" t="str">
        <f t="shared" si="1071"/>
        <v>14660</v>
      </c>
      <c r="B29848" s="2" t="str">
        <f>"56655"</f>
        <v>56655</v>
      </c>
      <c r="C29848" s="1">
        <v>2.5291578657360599E-2</v>
      </c>
      <c r="D29848" s="1">
        <v>8.1743869209809205E-3</v>
      </c>
      <c r="E29848" s="1">
        <v>1.23546511627906E-2</v>
      </c>
      <c r="F29848" s="1">
        <v>2.4034233137135499E-2</v>
      </c>
    </row>
    <row r="29849" spans="1:6" x14ac:dyDescent="0.25">
      <c r="A29849" s="2" t="str">
        <f t="shared" si="1071"/>
        <v>14660</v>
      </c>
      <c r="B29849" s="2" t="str">
        <f>"56633"</f>
        <v>56633</v>
      </c>
      <c r="C29849" s="1">
        <v>2.4722196712278401E-2</v>
      </c>
      <c r="D29849" s="1">
        <v>1.8165304268846501E-2</v>
      </c>
      <c r="E29849" s="1">
        <v>1.96220930232558E-2</v>
      </c>
      <c r="F29849" s="1">
        <v>2.42371964007847E-2</v>
      </c>
    </row>
    <row r="29850" spans="1:6" x14ac:dyDescent="0.25">
      <c r="A29850" s="2" t="str">
        <f t="shared" si="1071"/>
        <v>14660</v>
      </c>
      <c r="B29850" s="2" t="str">
        <f>"56484"</f>
        <v>56484</v>
      </c>
      <c r="C29850" s="1">
        <v>3.4824134447607603E-2</v>
      </c>
      <c r="D29850" s="1">
        <v>3.0578262185891599E-2</v>
      </c>
      <c r="E29850" s="1">
        <v>3.125E-2</v>
      </c>
      <c r="F29850" s="1">
        <v>3.45037548203775E-2</v>
      </c>
    </row>
    <row r="29851" spans="1:6" x14ac:dyDescent="0.25">
      <c r="A29851" s="2" t="str">
        <f t="shared" si="1071"/>
        <v>14660</v>
      </c>
      <c r="B29851" s="2" t="str">
        <f>"56473"</f>
        <v>56473</v>
      </c>
      <c r="C29851" s="1">
        <v>2.78813481495086E-2</v>
      </c>
      <c r="D29851" s="1">
        <v>1.2110202845897601E-2</v>
      </c>
      <c r="E29851" s="1">
        <v>2.47093023255813E-2</v>
      </c>
      <c r="F29851" s="1">
        <v>2.6926459644137701E-2</v>
      </c>
    </row>
    <row r="29852" spans="1:6" x14ac:dyDescent="0.25">
      <c r="A29852" s="2" t="str">
        <f t="shared" si="1071"/>
        <v>14660</v>
      </c>
      <c r="B29852" s="2" t="str">
        <f>"56449"</f>
        <v>56449</v>
      </c>
      <c r="C29852" s="1">
        <v>1.16080448158692E-2</v>
      </c>
      <c r="D29852" s="1">
        <v>2.1192854980320898E-3</v>
      </c>
      <c r="E29852" s="1">
        <v>2.1802325581395301E-3</v>
      </c>
      <c r="F29852" s="1">
        <v>1.08585346052364E-2</v>
      </c>
    </row>
    <row r="29853" spans="1:6" x14ac:dyDescent="0.25">
      <c r="A29853" s="2" t="str">
        <f t="shared" si="1071"/>
        <v>14660</v>
      </c>
      <c r="B29853" s="2" t="str">
        <f>"56431"</f>
        <v>56431</v>
      </c>
      <c r="C29853" s="1">
        <v>8.6325649738267906E-3</v>
      </c>
      <c r="D29853" s="1">
        <v>1.2110202845897599E-3</v>
      </c>
      <c r="E29853" s="1">
        <v>0</v>
      </c>
      <c r="F29853" s="1">
        <v>8.0170489141465299E-3</v>
      </c>
    </row>
    <row r="29854" spans="1:6" x14ac:dyDescent="0.25">
      <c r="A29854" s="2" t="str">
        <f t="shared" si="1071"/>
        <v>14660</v>
      </c>
      <c r="B29854" s="2" t="str">
        <f>"56464"</f>
        <v>56464</v>
      </c>
      <c r="C29854" s="1">
        <v>5.5101478556341202E-5</v>
      </c>
      <c r="D29854" s="1">
        <v>0</v>
      </c>
      <c r="E29854" s="1">
        <v>0</v>
      </c>
      <c r="F29854" s="1">
        <v>5.0740815912319802E-5</v>
      </c>
    </row>
    <row r="29855" spans="1:6" x14ac:dyDescent="0.25">
      <c r="A29855" s="2" t="str">
        <f t="shared" si="1071"/>
        <v>14660</v>
      </c>
      <c r="B29855" s="2" t="str">
        <f>"56468"</f>
        <v>56468</v>
      </c>
      <c r="C29855" s="1">
        <v>5.5046377077784897E-2</v>
      </c>
      <c r="D29855" s="1">
        <v>4.2385709960641803E-2</v>
      </c>
      <c r="E29855" s="1">
        <v>3.63372093023255E-2</v>
      </c>
      <c r="F29855" s="1">
        <v>5.3903660104187803E-2</v>
      </c>
    </row>
    <row r="29856" spans="1:6" x14ac:dyDescent="0.25">
      <c r="A29856" s="2" t="str">
        <f t="shared" si="1071"/>
        <v>14660</v>
      </c>
      <c r="B29856" s="2" t="str">
        <f>"56641"</f>
        <v>56641</v>
      </c>
      <c r="C29856" s="1">
        <v>3.7469005418312002E-3</v>
      </c>
      <c r="D29856" s="1">
        <v>3.0275507114744101E-3</v>
      </c>
      <c r="E29856" s="1">
        <v>7.2674418604651097E-4</v>
      </c>
      <c r="F29856" s="1">
        <v>3.6364251403829201E-3</v>
      </c>
    </row>
    <row r="29857" spans="1:6" x14ac:dyDescent="0.25">
      <c r="A29857" s="2" t="str">
        <f t="shared" si="1071"/>
        <v>14660</v>
      </c>
      <c r="B29857" s="2" t="str">
        <f>"56461"</f>
        <v>56461</v>
      </c>
      <c r="C29857" s="1">
        <v>1.45100560198365E-3</v>
      </c>
      <c r="D29857" s="1">
        <v>0</v>
      </c>
      <c r="E29857" s="1">
        <v>0</v>
      </c>
      <c r="F29857" s="1">
        <v>1.33617481902442E-3</v>
      </c>
    </row>
    <row r="29858" spans="1:6" x14ac:dyDescent="0.25">
      <c r="A29858" s="2" t="str">
        <f t="shared" si="1071"/>
        <v>14660</v>
      </c>
      <c r="B29858" s="2" t="str">
        <f>"56455"</f>
        <v>56455</v>
      </c>
      <c r="C29858" s="1">
        <v>1.26917072274772E-2</v>
      </c>
      <c r="D29858" s="1">
        <v>7.5688767786860397E-3</v>
      </c>
      <c r="E29858" s="1">
        <v>2.0348837209302299E-2</v>
      </c>
      <c r="F29858" s="1">
        <v>1.2583722346255301E-2</v>
      </c>
    </row>
    <row r="29859" spans="1:6" x14ac:dyDescent="0.25">
      <c r="A29859" s="2" t="str">
        <f t="shared" si="1071"/>
        <v>14660</v>
      </c>
      <c r="B29859" s="2" t="str">
        <f>"56636"</f>
        <v>56636</v>
      </c>
      <c r="C29859" s="1">
        <v>3.9856736155753497E-3</v>
      </c>
      <c r="D29859" s="1">
        <v>3.02755071147441E-4</v>
      </c>
      <c r="E29859" s="1">
        <v>0</v>
      </c>
      <c r="F29859" s="1">
        <v>3.6871659562952401E-3</v>
      </c>
    </row>
    <row r="29860" spans="1:6" x14ac:dyDescent="0.25">
      <c r="A29860" s="2" t="str">
        <f t="shared" si="1071"/>
        <v>14660</v>
      </c>
      <c r="B29860" s="2" t="str">
        <f>"56448"</f>
        <v>56448</v>
      </c>
      <c r="C29860" s="1">
        <v>4.88566443199559E-3</v>
      </c>
      <c r="D29860" s="1">
        <v>0</v>
      </c>
      <c r="E29860" s="1">
        <v>2.1802325581395301E-3</v>
      </c>
      <c r="F29860" s="1">
        <v>4.5497598268046799E-3</v>
      </c>
    </row>
    <row r="29861" spans="1:6" x14ac:dyDescent="0.25">
      <c r="A29861" s="2" t="str">
        <f t="shared" si="1071"/>
        <v>14660</v>
      </c>
      <c r="B29861" s="2" t="str">
        <f>"56442"</f>
        <v>56442</v>
      </c>
      <c r="C29861" s="1">
        <v>4.2134263936082203E-2</v>
      </c>
      <c r="D29861" s="1">
        <v>4.54132606721162E-2</v>
      </c>
      <c r="E29861" s="1">
        <v>4.0697674418604599E-2</v>
      </c>
      <c r="F29861" s="1">
        <v>4.2284013260266498E-2</v>
      </c>
    </row>
    <row r="29862" spans="1:6" x14ac:dyDescent="0.25">
      <c r="A29862" s="2" t="str">
        <f t="shared" si="1071"/>
        <v>14660</v>
      </c>
      <c r="B29862" s="2" t="str">
        <f>"56472"</f>
        <v>56472</v>
      </c>
      <c r="C29862" s="1">
        <v>9.2809257048397403E-2</v>
      </c>
      <c r="D29862" s="1">
        <v>6.6908870723584604E-2</v>
      </c>
      <c r="E29862" s="1">
        <v>5.08720930232558E-2</v>
      </c>
      <c r="F29862" s="1">
        <v>9.0386306745145695E-2</v>
      </c>
    </row>
    <row r="29863" spans="1:6" x14ac:dyDescent="0.25">
      <c r="A29863" s="2" t="str">
        <f t="shared" si="1071"/>
        <v>14660</v>
      </c>
      <c r="B29863" s="2" t="str">
        <f>"56466"</f>
        <v>56466</v>
      </c>
      <c r="C29863" s="1">
        <v>1.3297823491597E-2</v>
      </c>
      <c r="D29863" s="1">
        <v>2.4220405691795302E-3</v>
      </c>
      <c r="E29863" s="1">
        <v>6.5406976744185998E-3</v>
      </c>
      <c r="F29863" s="1">
        <v>1.2532981530343001E-2</v>
      </c>
    </row>
    <row r="29864" spans="1:6" x14ac:dyDescent="0.25">
      <c r="A29864" s="2" t="str">
        <f t="shared" si="1071"/>
        <v>14660</v>
      </c>
      <c r="B29864" s="2" t="str">
        <f>"56338"</f>
        <v>56338</v>
      </c>
      <c r="C29864" s="1">
        <v>2.8836440444485198E-3</v>
      </c>
      <c r="D29864" s="1">
        <v>3.02755071147441E-4</v>
      </c>
      <c r="E29864" s="1">
        <v>7.2674418604651097E-4</v>
      </c>
      <c r="F29864" s="1">
        <v>2.6892632433529501E-3</v>
      </c>
    </row>
    <row r="29865" spans="1:6" x14ac:dyDescent="0.25">
      <c r="A29865" s="2" t="str">
        <f t="shared" si="1071"/>
        <v>14660</v>
      </c>
      <c r="B29865" s="2" t="str">
        <f>"56481"</f>
        <v>56481</v>
      </c>
      <c r="C29865" s="1">
        <v>2.5714023326292497E-4</v>
      </c>
      <c r="D29865" s="1">
        <v>0</v>
      </c>
      <c r="E29865" s="1">
        <v>0</v>
      </c>
      <c r="F29865" s="1">
        <v>2.3679047425749199E-4</v>
      </c>
    </row>
    <row r="29866" spans="1:6" x14ac:dyDescent="0.25">
      <c r="A29866" s="2" t="str">
        <f t="shared" si="1071"/>
        <v>14660</v>
      </c>
      <c r="B29866" s="2" t="str">
        <f>"56477"</f>
        <v>56477</v>
      </c>
      <c r="C29866" s="1">
        <v>6.0611626411975295E-4</v>
      </c>
      <c r="D29866" s="1">
        <v>0</v>
      </c>
      <c r="E29866" s="1">
        <v>0</v>
      </c>
      <c r="F29866" s="1">
        <v>5.5814897503551799E-4</v>
      </c>
    </row>
    <row r="29867" spans="1:6" x14ac:dyDescent="0.25">
      <c r="A29867" s="2" t="str">
        <f t="shared" si="1071"/>
        <v>14660</v>
      </c>
      <c r="B29867" s="2" t="str">
        <f>"56452"</f>
        <v>56452</v>
      </c>
      <c r="C29867" s="1">
        <v>3.6091468454403502E-2</v>
      </c>
      <c r="D29867" s="1">
        <v>1.6954283984256701E-2</v>
      </c>
      <c r="E29867" s="1">
        <v>1.09011627906976E-2</v>
      </c>
      <c r="F29867" s="1">
        <v>3.4436100399161E-2</v>
      </c>
    </row>
    <row r="29868" spans="1:6" x14ac:dyDescent="0.25">
      <c r="A29868" s="2" t="str">
        <f t="shared" si="1071"/>
        <v>14660</v>
      </c>
      <c r="B29868" s="2" t="str">
        <f>"56364"</f>
        <v>56364</v>
      </c>
      <c r="C29868" s="1">
        <v>8.44889337863899E-4</v>
      </c>
      <c r="D29868" s="1">
        <v>0</v>
      </c>
      <c r="E29868" s="1">
        <v>0</v>
      </c>
      <c r="F29868" s="1">
        <v>7.7802584398890405E-4</v>
      </c>
    </row>
    <row r="29869" spans="1:6" x14ac:dyDescent="0.25">
      <c r="A29869" s="2" t="str">
        <f t="shared" si="1071"/>
        <v>14660</v>
      </c>
      <c r="B29869" s="2" t="str">
        <f>"56401"</f>
        <v>56401</v>
      </c>
      <c r="C29869" s="1">
        <v>0.28368077876756298</v>
      </c>
      <c r="D29869" s="1">
        <v>0.46382076899788</v>
      </c>
      <c r="E29869" s="1">
        <v>0.42587209302325502</v>
      </c>
      <c r="F29869" s="1">
        <v>0.29705364995602401</v>
      </c>
    </row>
    <row r="29870" spans="1:6" x14ac:dyDescent="0.25">
      <c r="A29870" s="2" t="str">
        <f t="shared" si="1071"/>
        <v>14660</v>
      </c>
      <c r="B29870" s="2" t="str">
        <f>"56433"</f>
        <v>56433</v>
      </c>
      <c r="C29870" s="1">
        <v>3.4530259895307102E-3</v>
      </c>
      <c r="D29870" s="1">
        <v>3.02755071147441E-4</v>
      </c>
      <c r="E29870" s="1">
        <v>1.45348837209302E-3</v>
      </c>
      <c r="F29870" s="1">
        <v>3.2304986130843598E-3</v>
      </c>
    </row>
    <row r="29871" spans="1:6" x14ac:dyDescent="0.25">
      <c r="A29871" s="2" t="str">
        <f t="shared" si="1071"/>
        <v>14660</v>
      </c>
      <c r="B29871" s="2" t="str">
        <f>"56450"</f>
        <v>56450</v>
      </c>
      <c r="C29871" s="1">
        <v>1.0120304894848E-2</v>
      </c>
      <c r="D29871" s="1">
        <v>1.1504692703602701E-2</v>
      </c>
      <c r="E29871" s="1">
        <v>5.8139534883720903E-3</v>
      </c>
      <c r="F29871" s="1">
        <v>1.00974223665516E-2</v>
      </c>
    </row>
    <row r="29872" spans="1:6" x14ac:dyDescent="0.25">
      <c r="A29872" s="2" t="str">
        <f t="shared" si="1071"/>
        <v>14660</v>
      </c>
      <c r="B29872" s="2" t="str">
        <f>"56447"</f>
        <v>56447</v>
      </c>
      <c r="C29872" s="1">
        <v>1.4050877031867E-2</v>
      </c>
      <c r="D29872" s="1">
        <v>6.9633666363911502E-3</v>
      </c>
      <c r="E29872" s="1">
        <v>1.45348837209302E-3</v>
      </c>
      <c r="F29872" s="1">
        <v>1.33617481902442E-2</v>
      </c>
    </row>
    <row r="29873" spans="1:6" x14ac:dyDescent="0.25">
      <c r="A29873" s="2" t="str">
        <f t="shared" si="1071"/>
        <v>14660</v>
      </c>
      <c r="B29873" s="2" t="str">
        <f>"56474"</f>
        <v>56474</v>
      </c>
      <c r="C29873" s="1">
        <v>5.1189273578841003E-2</v>
      </c>
      <c r="D29873" s="1">
        <v>3.3908567968513402E-2</v>
      </c>
      <c r="E29873" s="1">
        <v>3.7063953488371999E-2</v>
      </c>
      <c r="F29873" s="1">
        <v>4.9895135647114501E-2</v>
      </c>
    </row>
    <row r="29874" spans="1:6" x14ac:dyDescent="0.25">
      <c r="A29874" s="2" t="str">
        <f t="shared" si="1071"/>
        <v>14660</v>
      </c>
      <c r="B29874" s="2" t="str">
        <f>"56465"</f>
        <v>56465</v>
      </c>
      <c r="C29874" s="1">
        <v>2.4722196712278401E-2</v>
      </c>
      <c r="D29874" s="1">
        <v>1.33212231304874E-2</v>
      </c>
      <c r="E29874" s="1">
        <v>4.3604651162790602E-3</v>
      </c>
      <c r="F29874" s="1">
        <v>2.3611393004532799E-2</v>
      </c>
    </row>
    <row r="29875" spans="1:6" x14ac:dyDescent="0.25">
      <c r="A29875" s="2" t="str">
        <f t="shared" ref="A29875:A29885" si="1072">"49460"</f>
        <v>49460</v>
      </c>
      <c r="B29875" s="2" t="str">
        <f>"57070"</f>
        <v>57070</v>
      </c>
      <c r="C29875" s="1">
        <v>1.63934426229508E-3</v>
      </c>
      <c r="D29875" s="1">
        <v>0</v>
      </c>
      <c r="E29875" s="1">
        <v>0</v>
      </c>
      <c r="F29875" s="1">
        <v>1.3991769547325101E-3</v>
      </c>
    </row>
    <row r="29876" spans="1:6" x14ac:dyDescent="0.25">
      <c r="A29876" s="2" t="str">
        <f t="shared" si="1072"/>
        <v>49460</v>
      </c>
      <c r="B29876" s="2" t="str">
        <f>"57045"</f>
        <v>57045</v>
      </c>
      <c r="C29876" s="1">
        <v>3.9537126325940204E-3</v>
      </c>
      <c r="D29876" s="1">
        <v>9.0744101633393804E-4</v>
      </c>
      <c r="E29876" s="1">
        <v>2.9498525073746299E-3</v>
      </c>
      <c r="F29876" s="1">
        <v>3.6213991769547299E-3</v>
      </c>
    </row>
    <row r="29877" spans="1:6" x14ac:dyDescent="0.25">
      <c r="A29877" s="2" t="str">
        <f t="shared" si="1072"/>
        <v>49460</v>
      </c>
      <c r="B29877" s="2" t="str">
        <f>"57040"</f>
        <v>57040</v>
      </c>
      <c r="C29877" s="1">
        <v>1.38862102217936E-2</v>
      </c>
      <c r="D29877" s="1">
        <v>9.0744101633393804E-4</v>
      </c>
      <c r="E29877" s="1">
        <v>1.47492625368731E-3</v>
      </c>
      <c r="F29877" s="1">
        <v>1.2016460905349699E-2</v>
      </c>
    </row>
    <row r="29878" spans="1:6" x14ac:dyDescent="0.25">
      <c r="A29878" s="2" t="str">
        <f t="shared" si="1072"/>
        <v>49460</v>
      </c>
      <c r="B29878" s="2" t="str">
        <f>"57072"</f>
        <v>57072</v>
      </c>
      <c r="C29878" s="1">
        <v>1.56219864995178E-2</v>
      </c>
      <c r="D29878" s="1">
        <v>9.0744101633393804E-4</v>
      </c>
      <c r="E29878" s="1">
        <v>5.8997050147492599E-3</v>
      </c>
      <c r="F29878" s="1">
        <v>1.37448559670781E-2</v>
      </c>
    </row>
    <row r="29879" spans="1:6" x14ac:dyDescent="0.25">
      <c r="A29879" s="2" t="str">
        <f t="shared" si="1072"/>
        <v>49460</v>
      </c>
      <c r="B29879" s="2" t="str">
        <f>"57037"</f>
        <v>57037</v>
      </c>
      <c r="C29879" s="1">
        <v>2.0732883317261301E-2</v>
      </c>
      <c r="D29879" s="1">
        <v>8.1669691470054404E-3</v>
      </c>
      <c r="E29879" s="1">
        <v>2.9498525073746299E-3</v>
      </c>
      <c r="F29879" s="1">
        <v>1.86008230452674E-2</v>
      </c>
    </row>
    <row r="29880" spans="1:6" x14ac:dyDescent="0.25">
      <c r="A29880" s="2" t="str">
        <f t="shared" si="1072"/>
        <v>49460</v>
      </c>
      <c r="B29880" s="2" t="str">
        <f>"57046"</f>
        <v>57046</v>
      </c>
      <c r="C29880" s="1">
        <v>2.31436837029893E-2</v>
      </c>
      <c r="D29880" s="1">
        <v>4.53720508166969E-3</v>
      </c>
      <c r="E29880" s="1">
        <v>7.3746312684365703E-3</v>
      </c>
      <c r="F29880" s="1">
        <v>2.0576131687242701E-2</v>
      </c>
    </row>
    <row r="29881" spans="1:6" x14ac:dyDescent="0.25">
      <c r="A29881" s="2" t="str">
        <f t="shared" si="1072"/>
        <v>49460</v>
      </c>
      <c r="B29881" s="2" t="str">
        <f>"57031"</f>
        <v>57031</v>
      </c>
      <c r="C29881" s="1">
        <v>8.4860173577627693E-3</v>
      </c>
      <c r="D29881" s="1">
        <v>1.81488203266787E-3</v>
      </c>
      <c r="E29881" s="1">
        <v>2.9498525073746299E-3</v>
      </c>
      <c r="F29881" s="1">
        <v>7.5720164609053399E-3</v>
      </c>
    </row>
    <row r="29882" spans="1:6" x14ac:dyDescent="0.25">
      <c r="A29882" s="2" t="str">
        <f t="shared" si="1072"/>
        <v>49460</v>
      </c>
      <c r="B29882" s="2" t="str">
        <f>"57078"</f>
        <v>57078</v>
      </c>
      <c r="C29882" s="1">
        <v>0.88688524590163897</v>
      </c>
      <c r="D29882" s="1">
        <v>0.98185117967332103</v>
      </c>
      <c r="E29882" s="1">
        <v>0.96755162241887904</v>
      </c>
      <c r="F29882" s="1">
        <v>0.9</v>
      </c>
    </row>
    <row r="29883" spans="1:6" x14ac:dyDescent="0.25">
      <c r="A29883" s="2" t="str">
        <f t="shared" si="1072"/>
        <v>49460</v>
      </c>
      <c r="B29883" s="2" t="str">
        <f>"57059"</f>
        <v>57059</v>
      </c>
      <c r="C29883" s="1">
        <v>1.9286403085824399E-4</v>
      </c>
      <c r="D29883" s="1">
        <v>0</v>
      </c>
      <c r="E29883" s="1">
        <v>0</v>
      </c>
      <c r="F29883" s="1">
        <v>1.6460905349794199E-4</v>
      </c>
    </row>
    <row r="29884" spans="1:6" x14ac:dyDescent="0.25">
      <c r="A29884" s="2" t="str">
        <f t="shared" si="1072"/>
        <v>49460</v>
      </c>
      <c r="B29884" s="2" t="str">
        <f>"57063"</f>
        <v>57063</v>
      </c>
      <c r="C29884" s="1">
        <v>6.5573770491803201E-3</v>
      </c>
      <c r="D29884" s="1">
        <v>0</v>
      </c>
      <c r="E29884" s="1">
        <v>2.9498525073746299E-3</v>
      </c>
      <c r="F29884" s="1">
        <v>5.7613168724279804E-3</v>
      </c>
    </row>
    <row r="29885" spans="1:6" x14ac:dyDescent="0.25">
      <c r="A29885" s="2" t="str">
        <f t="shared" si="1072"/>
        <v>49460</v>
      </c>
      <c r="B29885" s="2" t="str">
        <f>"57067"</f>
        <v>57067</v>
      </c>
      <c r="C29885" s="1">
        <v>1.8900675024107999E-2</v>
      </c>
      <c r="D29885" s="1">
        <v>9.0744101633393804E-4</v>
      </c>
      <c r="E29885" s="1">
        <v>5.8997050147492599E-3</v>
      </c>
      <c r="F29885" s="1">
        <v>1.6543209876543199E-2</v>
      </c>
    </row>
    <row r="29886" spans="1:6" x14ac:dyDescent="0.25">
      <c r="A29886" s="2" t="str">
        <f t="shared" ref="A29886:A29898" si="1073">"48780"</f>
        <v>48780</v>
      </c>
      <c r="B29886" s="2" t="str">
        <f>"58852"</f>
        <v>58852</v>
      </c>
      <c r="C29886" s="1">
        <v>3.9392774788624102E-2</v>
      </c>
      <c r="D29886" s="1">
        <v>2.0267356619232402E-2</v>
      </c>
      <c r="E29886" s="1">
        <v>2.79652844744455E-2</v>
      </c>
      <c r="F29886" s="1">
        <v>3.7479575163398601E-2</v>
      </c>
    </row>
    <row r="29887" spans="1:6" x14ac:dyDescent="0.25">
      <c r="A29887" s="2" t="str">
        <f t="shared" si="1073"/>
        <v>48780</v>
      </c>
      <c r="B29887" s="2" t="str">
        <f>"58849"</f>
        <v>58849</v>
      </c>
      <c r="C29887" s="1">
        <v>1.6986933128362702E-2</v>
      </c>
      <c r="D29887" s="1">
        <v>2.15610176800344E-3</v>
      </c>
      <c r="E29887" s="1">
        <v>1.7357762777241999E-2</v>
      </c>
      <c r="F29887" s="1">
        <v>1.5829248366012998E-2</v>
      </c>
    </row>
    <row r="29888" spans="1:6" x14ac:dyDescent="0.25">
      <c r="A29888" s="2" t="str">
        <f t="shared" si="1073"/>
        <v>48780</v>
      </c>
      <c r="B29888" s="2" t="str">
        <f>"58803"</f>
        <v>58803</v>
      </c>
      <c r="C29888" s="1">
        <v>0.103881629515757</v>
      </c>
      <c r="D29888" s="1">
        <v>6.5976714100905498E-2</v>
      </c>
      <c r="E29888" s="1">
        <v>1.9286403085824399E-3</v>
      </c>
      <c r="F29888" s="1">
        <v>9.7290305010893197E-2</v>
      </c>
    </row>
    <row r="29889" spans="1:6" x14ac:dyDescent="0.25">
      <c r="A29889" s="2" t="str">
        <f t="shared" si="1073"/>
        <v>48780</v>
      </c>
      <c r="B29889" s="2" t="str">
        <f>"58830"</f>
        <v>58830</v>
      </c>
      <c r="C29889" s="1">
        <v>3.38201383551114E-3</v>
      </c>
      <c r="D29889" s="1">
        <v>1.29366106080206E-3</v>
      </c>
      <c r="E29889" s="1">
        <v>9.6432015429122396E-4</v>
      </c>
      <c r="F29889" s="1">
        <v>3.1318082788670998E-3</v>
      </c>
    </row>
    <row r="29890" spans="1:6" x14ac:dyDescent="0.25">
      <c r="A29890" s="2" t="str">
        <f t="shared" si="1073"/>
        <v>48780</v>
      </c>
      <c r="B29890" s="2" t="str">
        <f>"58794"</f>
        <v>58794</v>
      </c>
      <c r="C29890" s="1">
        <v>7.6863950807071394E-5</v>
      </c>
      <c r="D29890" s="1">
        <v>0</v>
      </c>
      <c r="E29890" s="1">
        <v>0</v>
      </c>
      <c r="F29890" s="1">
        <v>6.8082788671023904E-5</v>
      </c>
    </row>
    <row r="29891" spans="1:6" x14ac:dyDescent="0.25">
      <c r="A29891" s="2" t="str">
        <f t="shared" si="1073"/>
        <v>48780</v>
      </c>
      <c r="B29891" s="2" t="str">
        <f>"58856"</f>
        <v>58856</v>
      </c>
      <c r="C29891" s="1">
        <v>2.53651037663335E-3</v>
      </c>
      <c r="D29891" s="1">
        <v>1.7248814144027499E-3</v>
      </c>
      <c r="E29891" s="1">
        <v>9.6432015429122396E-4</v>
      </c>
      <c r="F29891" s="1">
        <v>2.4169389978213498E-3</v>
      </c>
    </row>
    <row r="29892" spans="1:6" x14ac:dyDescent="0.25">
      <c r="A29892" s="2" t="str">
        <f t="shared" si="1073"/>
        <v>48780</v>
      </c>
      <c r="B29892" s="2" t="str">
        <f>"58853"</f>
        <v>58853</v>
      </c>
      <c r="C29892" s="1">
        <v>1.92159877017678E-4</v>
      </c>
      <c r="D29892" s="1">
        <v>0</v>
      </c>
      <c r="E29892" s="1">
        <v>9.6432015429122396E-4</v>
      </c>
      <c r="F29892" s="1">
        <v>2.0424836601307101E-4</v>
      </c>
    </row>
    <row r="29893" spans="1:6" x14ac:dyDescent="0.25">
      <c r="A29893" s="2" t="str">
        <f t="shared" si="1073"/>
        <v>48780</v>
      </c>
      <c r="B29893" s="2" t="str">
        <f>"58795"</f>
        <v>58795</v>
      </c>
      <c r="C29893" s="1">
        <v>1.3451191391237499E-3</v>
      </c>
      <c r="D29893" s="1">
        <v>4.3122035360068899E-4</v>
      </c>
      <c r="E29893" s="1">
        <v>9.6432015429122396E-4</v>
      </c>
      <c r="F29893" s="1">
        <v>1.2595315904139399E-3</v>
      </c>
    </row>
    <row r="29894" spans="1:6" x14ac:dyDescent="0.25">
      <c r="A29894" s="2" t="str">
        <f t="shared" si="1073"/>
        <v>48780</v>
      </c>
      <c r="B29894" s="2" t="str">
        <f>"58843"</f>
        <v>58843</v>
      </c>
      <c r="C29894" s="1">
        <v>1.1760184473481899E-2</v>
      </c>
      <c r="D29894" s="1">
        <v>2.15610176800344E-3</v>
      </c>
      <c r="E29894" s="1">
        <v>1.4464802314368299E-2</v>
      </c>
      <c r="F29894" s="1">
        <v>1.1097494553376899E-2</v>
      </c>
    </row>
    <row r="29895" spans="1:6" x14ac:dyDescent="0.25">
      <c r="A29895" s="2" t="str">
        <f t="shared" si="1073"/>
        <v>48780</v>
      </c>
      <c r="B29895" s="2" t="str">
        <f>"58801"</f>
        <v>58801</v>
      </c>
      <c r="C29895" s="1">
        <v>0.73347425057647897</v>
      </c>
      <c r="D29895" s="1">
        <v>0.646830530401034</v>
      </c>
      <c r="E29895" s="1">
        <v>0.92671166827386597</v>
      </c>
      <c r="F29895" s="1">
        <v>0.73345588235294101</v>
      </c>
    </row>
    <row r="29896" spans="1:6" x14ac:dyDescent="0.25">
      <c r="A29896" s="2" t="str">
        <f t="shared" si="1073"/>
        <v>48780</v>
      </c>
      <c r="B29896" s="2" t="str">
        <f>"58755"</f>
        <v>58755</v>
      </c>
      <c r="C29896" s="1">
        <v>1.8447348193697101E-3</v>
      </c>
      <c r="D29896" s="1">
        <v>8.6244070720137896E-4</v>
      </c>
      <c r="E29896" s="1">
        <v>9.6432015429122396E-4</v>
      </c>
      <c r="F29896" s="1">
        <v>1.7361111111111099E-3</v>
      </c>
    </row>
    <row r="29897" spans="1:6" x14ac:dyDescent="0.25">
      <c r="A29897" s="2" t="str">
        <f t="shared" si="1073"/>
        <v>48780</v>
      </c>
      <c r="B29897" s="2" t="str">
        <f>"58845"</f>
        <v>58845</v>
      </c>
      <c r="C29897" s="1">
        <v>5.6110684089162102E-3</v>
      </c>
      <c r="D29897" s="1">
        <v>8.6244070720137896E-4</v>
      </c>
      <c r="E29897" s="1">
        <v>4.82160077145612E-3</v>
      </c>
      <c r="F29897" s="1">
        <v>5.2083333333333296E-3</v>
      </c>
    </row>
    <row r="29898" spans="1:6" x14ac:dyDescent="0.25">
      <c r="A29898" s="2" t="str">
        <f t="shared" si="1073"/>
        <v>48780</v>
      </c>
      <c r="B29898" s="2" t="str">
        <f>"58802"</f>
        <v>58802</v>
      </c>
      <c r="C29898" s="1">
        <v>7.9515757109915403E-2</v>
      </c>
      <c r="D29898" s="1">
        <v>0.257438551099611</v>
      </c>
      <c r="E29898" s="1">
        <v>1.9286403085824399E-3</v>
      </c>
      <c r="F29898" s="1">
        <v>9.0822440087145906E-2</v>
      </c>
    </row>
    <row r="29899" spans="1:6" x14ac:dyDescent="0.25">
      <c r="A29899" s="2" t="str">
        <f t="shared" ref="A29899:A29917" si="1074">"33540"</f>
        <v>33540</v>
      </c>
      <c r="B29899" s="2" t="str">
        <f>"59801"</f>
        <v>59801</v>
      </c>
      <c r="C29899" s="1">
        <v>0.267468879668049</v>
      </c>
      <c r="D29899" s="1">
        <v>0.36946288473144201</v>
      </c>
      <c r="E29899" s="1">
        <v>0.41506010433204799</v>
      </c>
      <c r="F29899" s="1">
        <v>0.28797433647729698</v>
      </c>
    </row>
    <row r="29900" spans="1:6" x14ac:dyDescent="0.25">
      <c r="A29900" s="2" t="str">
        <f t="shared" si="1074"/>
        <v>33540</v>
      </c>
      <c r="B29900" s="2" t="str">
        <f>"59847"</f>
        <v>59847</v>
      </c>
      <c r="C29900" s="1">
        <v>4.0863070539418997E-2</v>
      </c>
      <c r="D29900" s="1">
        <v>9.6560048280024107E-3</v>
      </c>
      <c r="E29900" s="1">
        <v>2.8351100022680799E-2</v>
      </c>
      <c r="F29900" s="1">
        <v>3.65622943627988E-2</v>
      </c>
    </row>
    <row r="29901" spans="1:6" x14ac:dyDescent="0.25">
      <c r="A29901" s="2" t="str">
        <f t="shared" si="1074"/>
        <v>33540</v>
      </c>
      <c r="B29901" s="2" t="str">
        <f>"59820"</f>
        <v>59820</v>
      </c>
      <c r="C29901" s="1">
        <v>5.5269709543568401E-3</v>
      </c>
      <c r="D29901" s="1">
        <v>2.4140012070006001E-4</v>
      </c>
      <c r="E29901" s="1">
        <v>0</v>
      </c>
      <c r="F29901" s="1">
        <v>4.5925641588067502E-3</v>
      </c>
    </row>
    <row r="29902" spans="1:6" x14ac:dyDescent="0.25">
      <c r="A29902" s="2" t="str">
        <f t="shared" si="1074"/>
        <v>33540</v>
      </c>
      <c r="B29902" s="2" t="str">
        <f>"59851"</f>
        <v>59851</v>
      </c>
      <c r="C29902" s="1">
        <v>1.04564315352697E-3</v>
      </c>
      <c r="D29902" s="1">
        <v>0</v>
      </c>
      <c r="E29902" s="1">
        <v>6.80426400544341E-4</v>
      </c>
      <c r="F29902" s="1">
        <v>9.0480368501864405E-4</v>
      </c>
    </row>
    <row r="29903" spans="1:6" x14ac:dyDescent="0.25">
      <c r="A29903" s="2" t="str">
        <f t="shared" si="1074"/>
        <v>33540</v>
      </c>
      <c r="B29903" s="2" t="str">
        <f>"59825"</f>
        <v>59825</v>
      </c>
      <c r="C29903" s="1">
        <v>1.4921161825726101E-2</v>
      </c>
      <c r="D29903" s="1">
        <v>4.8280024140012003E-4</v>
      </c>
      <c r="E29903" s="1">
        <v>3.4021320027217E-3</v>
      </c>
      <c r="F29903" s="1">
        <v>1.25849967098047E-2</v>
      </c>
    </row>
    <row r="29904" spans="1:6" x14ac:dyDescent="0.25">
      <c r="A29904" s="2" t="str">
        <f t="shared" si="1074"/>
        <v>33540</v>
      </c>
      <c r="B29904" s="2" t="str">
        <f>"59868"</f>
        <v>59868</v>
      </c>
      <c r="C29904" s="1">
        <v>1.5917012448132699E-2</v>
      </c>
      <c r="D29904" s="1">
        <v>9.4146047073023504E-3</v>
      </c>
      <c r="E29904" s="1">
        <v>1.58766160127012E-3</v>
      </c>
      <c r="F29904" s="1">
        <v>1.43123491993858E-2</v>
      </c>
    </row>
    <row r="29905" spans="1:6" x14ac:dyDescent="0.25">
      <c r="A29905" s="2" t="str">
        <f t="shared" si="1074"/>
        <v>33540</v>
      </c>
      <c r="B29905" s="2" t="str">
        <f>"59802"</f>
        <v>59802</v>
      </c>
      <c r="C29905" s="1">
        <v>0.171717842323651</v>
      </c>
      <c r="D29905" s="1">
        <v>0.164755582377791</v>
      </c>
      <c r="E29905" s="1">
        <v>0.25402585620321999</v>
      </c>
      <c r="F29905" s="1">
        <v>0.17590206185567001</v>
      </c>
    </row>
    <row r="29906" spans="1:6" x14ac:dyDescent="0.25">
      <c r="A29906" s="2" t="str">
        <f t="shared" si="1074"/>
        <v>33540</v>
      </c>
      <c r="B29906" s="2" t="str">
        <f>"59812"</f>
        <v>59812</v>
      </c>
      <c r="C29906" s="1">
        <v>0</v>
      </c>
      <c r="D29906" s="1">
        <v>1.2070006035003001E-4</v>
      </c>
      <c r="E29906" s="1">
        <v>4.5361760036289402E-4</v>
      </c>
      <c r="F29906" s="1">
        <v>4.1127440228120201E-5</v>
      </c>
    </row>
    <row r="29907" spans="1:6" x14ac:dyDescent="0.25">
      <c r="A29907" s="2" t="str">
        <f t="shared" si="1074"/>
        <v>33540</v>
      </c>
      <c r="B29907" s="2" t="str">
        <f>"59826"</f>
        <v>59826</v>
      </c>
      <c r="C29907" s="1">
        <v>5.2282157676348502E-3</v>
      </c>
      <c r="D29907" s="1">
        <v>1.2070006035003E-3</v>
      </c>
      <c r="E29907" s="1">
        <v>6.80426400544341E-4</v>
      </c>
      <c r="F29907" s="1">
        <v>4.4966001316078001E-3</v>
      </c>
    </row>
    <row r="29908" spans="1:6" x14ac:dyDescent="0.25">
      <c r="A29908" s="2" t="str">
        <f t="shared" si="1074"/>
        <v>33540</v>
      </c>
      <c r="B29908" s="2" t="str">
        <f>"59808"</f>
        <v>59808</v>
      </c>
      <c r="C29908" s="1">
        <v>0.181842323651452</v>
      </c>
      <c r="D29908" s="1">
        <v>0.20337960168979999</v>
      </c>
      <c r="E29908" s="1">
        <v>0.168518938534815</v>
      </c>
      <c r="F29908" s="1">
        <v>0.18348322000438599</v>
      </c>
    </row>
    <row r="29909" spans="1:6" x14ac:dyDescent="0.25">
      <c r="A29909" s="2" t="str">
        <f t="shared" si="1074"/>
        <v>33540</v>
      </c>
      <c r="B29909" s="2" t="str">
        <f>"59804"</f>
        <v>59804</v>
      </c>
      <c r="C29909" s="1">
        <v>0.06</v>
      </c>
      <c r="D29909" s="1">
        <v>3.1502715751357803E-2</v>
      </c>
      <c r="E29909" s="1">
        <v>3.2206849625765401E-2</v>
      </c>
      <c r="F29909" s="1">
        <v>5.5083351612195602E-2</v>
      </c>
    </row>
    <row r="29910" spans="1:6" x14ac:dyDescent="0.25">
      <c r="A29910" s="2" t="str">
        <f t="shared" si="1074"/>
        <v>33540</v>
      </c>
      <c r="B29910" s="2" t="str">
        <f>"59806"</f>
        <v>59806</v>
      </c>
      <c r="C29910" s="1">
        <v>5.1219917012448102E-2</v>
      </c>
      <c r="D29910" s="1">
        <v>0.119493059746529</v>
      </c>
      <c r="E29910" s="1">
        <v>4.5361760036289402E-4</v>
      </c>
      <c r="F29910" s="1">
        <v>5.5905900416757998E-2</v>
      </c>
    </row>
    <row r="29911" spans="1:6" x14ac:dyDescent="0.25">
      <c r="A29911" s="2" t="str">
        <f t="shared" si="1074"/>
        <v>33540</v>
      </c>
      <c r="B29911" s="2" t="str">
        <f>"59834"</f>
        <v>59834</v>
      </c>
      <c r="C29911" s="1">
        <v>1.35601659751037E-2</v>
      </c>
      <c r="D29911" s="1">
        <v>2.2933011466505699E-3</v>
      </c>
      <c r="E29911" s="1">
        <v>2.7217056021773601E-3</v>
      </c>
      <c r="F29911" s="1">
        <v>1.16253564378153E-2</v>
      </c>
    </row>
    <row r="29912" spans="1:6" x14ac:dyDescent="0.25">
      <c r="A29912" s="2" t="str">
        <f t="shared" si="1074"/>
        <v>33540</v>
      </c>
      <c r="B29912" s="2" t="str">
        <f>"59807"</f>
        <v>59807</v>
      </c>
      <c r="C29912" s="1">
        <v>1.9070539419087099E-2</v>
      </c>
      <c r="D29912" s="1">
        <v>6.5057332528666204E-2</v>
      </c>
      <c r="E29912" s="1">
        <v>4.5361760036289402E-4</v>
      </c>
      <c r="F29912" s="1">
        <v>2.3168457995174301E-2</v>
      </c>
    </row>
    <row r="29913" spans="1:6" x14ac:dyDescent="0.25">
      <c r="A29913" s="2" t="str">
        <f t="shared" si="1074"/>
        <v>33540</v>
      </c>
      <c r="B29913" s="2" t="str">
        <f>"59823"</f>
        <v>59823</v>
      </c>
      <c r="C29913" s="1">
        <v>1.11867219917012E-2</v>
      </c>
      <c r="D29913" s="1">
        <v>2.1726010863005402E-3</v>
      </c>
      <c r="E29913" s="1">
        <v>1.58766160127012E-3</v>
      </c>
      <c r="F29913" s="1">
        <v>9.5826935731519996E-3</v>
      </c>
    </row>
    <row r="29914" spans="1:6" x14ac:dyDescent="0.25">
      <c r="A29914" s="2" t="str">
        <f t="shared" si="1074"/>
        <v>33540</v>
      </c>
      <c r="B29914" s="2" t="str">
        <f>"59803"</f>
        <v>59803</v>
      </c>
      <c r="C29914" s="1">
        <v>0.11802489626555999</v>
      </c>
      <c r="D29914" s="1">
        <v>1.96741098370549E-2</v>
      </c>
      <c r="E29914" s="1">
        <v>8.5733726468586902E-2</v>
      </c>
      <c r="F29914" s="1">
        <v>0.104902390875191</v>
      </c>
    </row>
    <row r="29915" spans="1:6" x14ac:dyDescent="0.25">
      <c r="A29915" s="2" t="str">
        <f t="shared" si="1074"/>
        <v>33540</v>
      </c>
      <c r="B29915" s="2" t="str">
        <f>"59846"</f>
        <v>59846</v>
      </c>
      <c r="C29915" s="1">
        <v>1.0954356846472999E-2</v>
      </c>
      <c r="D29915" s="1">
        <v>3.6210018105008998E-4</v>
      </c>
      <c r="E29915" s="1">
        <v>2.9485144023588101E-3</v>
      </c>
      <c r="F29915" s="1">
        <v>9.2673831980697504E-3</v>
      </c>
    </row>
    <row r="29916" spans="1:6" x14ac:dyDescent="0.25">
      <c r="A29916" s="2" t="str">
        <f t="shared" si="1074"/>
        <v>33540</v>
      </c>
      <c r="B29916" s="2" t="str">
        <f>"59833"</f>
        <v>59833</v>
      </c>
      <c r="C29916" s="1">
        <v>8.0000000000000002E-3</v>
      </c>
      <c r="D29916" s="1">
        <v>7.2420036210018104E-4</v>
      </c>
      <c r="E29916" s="1">
        <v>9.0723520072578804E-4</v>
      </c>
      <c r="F29916" s="1">
        <v>6.7449001974117101E-3</v>
      </c>
    </row>
    <row r="29917" spans="1:6" x14ac:dyDescent="0.25">
      <c r="A29917" s="2" t="str">
        <f t="shared" si="1074"/>
        <v>33540</v>
      </c>
      <c r="B29917" s="2" t="str">
        <f>"59821"</f>
        <v>59821</v>
      </c>
      <c r="C29917" s="1">
        <v>3.45228215767634E-3</v>
      </c>
      <c r="D29917" s="1">
        <v>0</v>
      </c>
      <c r="E29917" s="1">
        <v>2.2680880018144701E-4</v>
      </c>
      <c r="F29917" s="1">
        <v>2.8652116692256999E-3</v>
      </c>
    </row>
    <row r="29918" spans="1:6" x14ac:dyDescent="0.25">
      <c r="A29918" s="2" t="str">
        <f t="shared" ref="A29918:A29949" si="1075">"12940"</f>
        <v>12940</v>
      </c>
      <c r="B29918" s="2" t="str">
        <f>"70812"</f>
        <v>70812</v>
      </c>
      <c r="C29918" s="1">
        <v>1.0863887757320599E-2</v>
      </c>
      <c r="D29918" s="1">
        <v>2.0558506081891298E-3</v>
      </c>
      <c r="E29918" s="1">
        <v>3.4273662008963801E-3</v>
      </c>
      <c r="F29918" s="1">
        <v>9.98356228193149E-3</v>
      </c>
    </row>
    <row r="29919" spans="1:6" x14ac:dyDescent="0.25">
      <c r="A29919" s="2" t="str">
        <f t="shared" si="1075"/>
        <v>12940</v>
      </c>
      <c r="B29919" s="2" t="str">
        <f>"70884"</f>
        <v>70884</v>
      </c>
      <c r="C29919" s="1">
        <v>4.4335258526539897E-3</v>
      </c>
      <c r="D29919" s="1">
        <v>1.7017874478898899E-2</v>
      </c>
      <c r="E29919" s="1">
        <v>1.75762369276737E-4</v>
      </c>
      <c r="F29919" s="1">
        <v>5.31202551205507E-3</v>
      </c>
    </row>
    <row r="29920" spans="1:6" x14ac:dyDescent="0.25">
      <c r="A29920" s="2" t="str">
        <f t="shared" si="1075"/>
        <v>12940</v>
      </c>
      <c r="B29920" s="2" t="str">
        <f>"70784"</f>
        <v>70784</v>
      </c>
      <c r="C29920" s="1">
        <v>0</v>
      </c>
      <c r="D29920" s="1">
        <v>0</v>
      </c>
      <c r="E29920" s="1">
        <v>8.7881184638368906E-5</v>
      </c>
      <c r="F29920" s="1">
        <v>2.2394711264987601E-6</v>
      </c>
    </row>
    <row r="29921" spans="1:6" x14ac:dyDescent="0.25">
      <c r="A29921" s="2" t="str">
        <f t="shared" si="1075"/>
        <v>12940</v>
      </c>
      <c r="B29921" s="2" t="str">
        <f>"70787"</f>
        <v>70787</v>
      </c>
      <c r="C29921" s="1">
        <v>0</v>
      </c>
      <c r="D29921" s="1">
        <v>0</v>
      </c>
      <c r="E29921" s="1">
        <v>8.7881184638368906E-5</v>
      </c>
      <c r="F29921" s="1">
        <v>2.2394711264987601E-6</v>
      </c>
    </row>
    <row r="29922" spans="1:6" x14ac:dyDescent="0.25">
      <c r="A29922" s="2" t="str">
        <f t="shared" si="1075"/>
        <v>12940</v>
      </c>
      <c r="B29922" s="2" t="str">
        <f>"70788"</f>
        <v>70788</v>
      </c>
      <c r="C29922" s="1">
        <v>4.4660150499958697E-3</v>
      </c>
      <c r="D29922" s="1">
        <v>2.7411341442521802E-3</v>
      </c>
      <c r="E29922" s="1">
        <v>1.05457421566042E-3</v>
      </c>
      <c r="F29922" s="1">
        <v>4.2437977847151597E-3</v>
      </c>
    </row>
    <row r="29923" spans="1:6" x14ac:dyDescent="0.25">
      <c r="A29923" s="2" t="str">
        <f t="shared" si="1075"/>
        <v>12940</v>
      </c>
      <c r="B29923" s="2" t="str">
        <f>"70782"</f>
        <v>70782</v>
      </c>
      <c r="C29923" s="1">
        <v>0</v>
      </c>
      <c r="D29923" s="1">
        <v>0</v>
      </c>
      <c r="E29923" s="1">
        <v>1.75762369276737E-4</v>
      </c>
      <c r="F29923" s="1">
        <v>4.4789422529975303E-6</v>
      </c>
    </row>
    <row r="29924" spans="1:6" x14ac:dyDescent="0.25">
      <c r="A29924" s="2" t="str">
        <f t="shared" si="1075"/>
        <v>12940</v>
      </c>
      <c r="B29924" s="2" t="str">
        <f>"70783"</f>
        <v>70783</v>
      </c>
      <c r="C29924" s="1">
        <v>3.2964039456880498E-3</v>
      </c>
      <c r="D29924" s="1">
        <v>1.7132088401576099E-4</v>
      </c>
      <c r="E29924" s="1">
        <v>3.5152473855347497E-4</v>
      </c>
      <c r="F29924" s="1">
        <v>2.97625712711686E-3</v>
      </c>
    </row>
    <row r="29925" spans="1:6" x14ac:dyDescent="0.25">
      <c r="A29925" s="2" t="str">
        <f t="shared" si="1075"/>
        <v>12940</v>
      </c>
      <c r="B29925" s="2" t="str">
        <f>"70770"</f>
        <v>70770</v>
      </c>
      <c r="C29925" s="1">
        <v>4.2235956544448899E-3</v>
      </c>
      <c r="D29925" s="1">
        <v>2.8553480669293499E-4</v>
      </c>
      <c r="E29925" s="1">
        <v>9.6669303102205799E-4</v>
      </c>
      <c r="F29925" s="1">
        <v>3.8317350974393801E-3</v>
      </c>
    </row>
    <row r="29926" spans="1:6" x14ac:dyDescent="0.25">
      <c r="A29926" s="2" t="str">
        <f t="shared" si="1075"/>
        <v>12940</v>
      </c>
      <c r="B29926" s="2" t="str">
        <f>"70728"</f>
        <v>70728</v>
      </c>
      <c r="C29926" s="1">
        <v>1.2095978087285899E-3</v>
      </c>
      <c r="D29926" s="1">
        <v>7.9949745874022E-4</v>
      </c>
      <c r="E29926" s="1">
        <v>1.75762369276737E-4</v>
      </c>
      <c r="F29926" s="1">
        <v>1.15108815902036E-3</v>
      </c>
    </row>
    <row r="29927" spans="1:6" x14ac:dyDescent="0.25">
      <c r="A29927" s="2" t="str">
        <f t="shared" si="1075"/>
        <v>12940</v>
      </c>
      <c r="B29927" s="2" t="str">
        <f>"70756"</f>
        <v>70756</v>
      </c>
      <c r="C29927" s="1">
        <v>2.8990360705065502E-4</v>
      </c>
      <c r="D29927" s="1">
        <v>0</v>
      </c>
      <c r="E29927" s="1">
        <v>8.7881184638368906E-5</v>
      </c>
      <c r="F29927" s="1">
        <v>2.62018121800355E-4</v>
      </c>
    </row>
    <row r="29928" spans="1:6" x14ac:dyDescent="0.25">
      <c r="A29928" s="2" t="str">
        <f t="shared" si="1075"/>
        <v>12940</v>
      </c>
      <c r="B29928" s="2" t="str">
        <f>"70755"</f>
        <v>70755</v>
      </c>
      <c r="C29928" s="1">
        <v>1.0671451742295601E-3</v>
      </c>
      <c r="D29928" s="1">
        <v>1.4276740334646701E-4</v>
      </c>
      <c r="E29928" s="1">
        <v>0</v>
      </c>
      <c r="F29928" s="1">
        <v>9.6745152664746601E-4</v>
      </c>
    </row>
    <row r="29929" spans="1:6" x14ac:dyDescent="0.25">
      <c r="A29929" s="2" t="str">
        <f t="shared" si="1075"/>
        <v>12940</v>
      </c>
      <c r="B29929" s="2" t="str">
        <f>"70749"</f>
        <v>70749</v>
      </c>
      <c r="C29929" s="1">
        <v>1.8343900653032799E-3</v>
      </c>
      <c r="D29929" s="1">
        <v>4.8540917137798999E-4</v>
      </c>
      <c r="E29929" s="1">
        <v>1.75762369276737E-4</v>
      </c>
      <c r="F29929" s="1">
        <v>1.6863217582535699E-3</v>
      </c>
    </row>
    <row r="29930" spans="1:6" x14ac:dyDescent="0.25">
      <c r="A29930" s="2" t="str">
        <f t="shared" si="1075"/>
        <v>12940</v>
      </c>
      <c r="B29930" s="2" t="str">
        <f>"70727"</f>
        <v>70727</v>
      </c>
      <c r="C29930" s="1">
        <v>3.9186970332364401E-3</v>
      </c>
      <c r="D29930" s="1">
        <v>9.8509508309062802E-3</v>
      </c>
      <c r="E29930" s="1">
        <v>1.75762369276737E-4</v>
      </c>
      <c r="F29930" s="1">
        <v>4.2885872072451299E-3</v>
      </c>
    </row>
    <row r="29931" spans="1:6" x14ac:dyDescent="0.25">
      <c r="A29931" s="2" t="str">
        <f t="shared" si="1075"/>
        <v>12940</v>
      </c>
      <c r="B29931" s="2" t="str">
        <f>"70456"</f>
        <v>70456</v>
      </c>
      <c r="C29931" s="1">
        <v>2.49916902629875E-5</v>
      </c>
      <c r="D29931" s="1">
        <v>0</v>
      </c>
      <c r="E29931" s="1">
        <v>0</v>
      </c>
      <c r="F29931" s="1">
        <v>2.2394711264987601E-5</v>
      </c>
    </row>
    <row r="29932" spans="1:6" x14ac:dyDescent="0.25">
      <c r="A29932" s="2" t="str">
        <f t="shared" si="1075"/>
        <v>12940</v>
      </c>
      <c r="B29932" s="2" t="str">
        <f>"70453"</f>
        <v>70453</v>
      </c>
      <c r="C29932" s="1">
        <v>1.1221268928081399E-3</v>
      </c>
      <c r="D29932" s="1">
        <v>5.1396265204728397E-4</v>
      </c>
      <c r="E29932" s="1">
        <v>8.7881184638368906E-5</v>
      </c>
      <c r="F29932" s="1">
        <v>1.04807248720142E-3</v>
      </c>
    </row>
    <row r="29933" spans="1:6" x14ac:dyDescent="0.25">
      <c r="A29933" s="2" t="str">
        <f t="shared" si="1075"/>
        <v>12940</v>
      </c>
      <c r="B29933" s="2" t="str">
        <f>"70836"</f>
        <v>70836</v>
      </c>
      <c r="C29933" s="1">
        <v>1.36204711933282E-3</v>
      </c>
      <c r="D29933" s="1">
        <v>6.6244075152761097E-3</v>
      </c>
      <c r="E29933" s="1">
        <v>1.31821776957553E-3</v>
      </c>
      <c r="F29933" s="1">
        <v>1.77366113218702E-3</v>
      </c>
    </row>
    <row r="29934" spans="1:6" x14ac:dyDescent="0.25">
      <c r="A29934" s="2" t="str">
        <f t="shared" si="1075"/>
        <v>12940</v>
      </c>
      <c r="B29934" s="2" t="str">
        <f>"70789"</f>
        <v>70789</v>
      </c>
      <c r="C29934" s="1">
        <v>2.1492853626169201E-4</v>
      </c>
      <c r="D29934" s="1">
        <v>8.5660442007880699E-5</v>
      </c>
      <c r="E29934" s="1">
        <v>0</v>
      </c>
      <c r="F29934" s="1">
        <v>1.9931293025839001E-4</v>
      </c>
    </row>
    <row r="29935" spans="1:6" x14ac:dyDescent="0.25">
      <c r="A29935" s="2" t="str">
        <f t="shared" si="1075"/>
        <v>12940</v>
      </c>
      <c r="B29935" s="2" t="str">
        <f>"70761"</f>
        <v>70761</v>
      </c>
      <c r="C29935" s="1">
        <v>8.47218299915278E-4</v>
      </c>
      <c r="D29935" s="1">
        <v>3.7119524870081602E-4</v>
      </c>
      <c r="E29935" s="1">
        <v>0</v>
      </c>
      <c r="F29935" s="1">
        <v>7.8829383652756501E-4</v>
      </c>
    </row>
    <row r="29936" spans="1:6" x14ac:dyDescent="0.25">
      <c r="A29936" s="2" t="str">
        <f t="shared" si="1075"/>
        <v>12940</v>
      </c>
      <c r="B29936" s="2" t="str">
        <f>"70791"</f>
        <v>70791</v>
      </c>
      <c r="C29936" s="1">
        <v>3.2444212299410399E-2</v>
      </c>
      <c r="D29936" s="1">
        <v>2.7154360116498199E-2</v>
      </c>
      <c r="E29936" s="1">
        <v>1.32700588803937E-2</v>
      </c>
      <c r="F29936" s="1">
        <v>3.1540711345608603E-2</v>
      </c>
    </row>
    <row r="29937" spans="1:6" x14ac:dyDescent="0.25">
      <c r="A29937" s="2" t="str">
        <f t="shared" si="1075"/>
        <v>12940</v>
      </c>
      <c r="B29937" s="2" t="str">
        <f>"70757"</f>
        <v>70757</v>
      </c>
      <c r="C29937" s="1">
        <v>1.9843402068812099E-3</v>
      </c>
      <c r="D29937" s="1">
        <v>3.1408828736222897E-4</v>
      </c>
      <c r="E29937" s="1">
        <v>5.2728710783021295E-4</v>
      </c>
      <c r="F29937" s="1">
        <v>1.8162110835904901E-3</v>
      </c>
    </row>
    <row r="29938" spans="1:6" x14ac:dyDescent="0.25">
      <c r="A29938" s="2" t="str">
        <f t="shared" si="1075"/>
        <v>12940</v>
      </c>
      <c r="B29938" s="2" t="str">
        <f>"70754"</f>
        <v>70754</v>
      </c>
      <c r="C29938" s="1">
        <v>1.18185703253668E-2</v>
      </c>
      <c r="D29938" s="1">
        <v>3.4549711609845198E-3</v>
      </c>
      <c r="E29938" s="1">
        <v>2.9000790930661701E-3</v>
      </c>
      <c r="F29938" s="1">
        <v>1.0935337510693401E-2</v>
      </c>
    </row>
    <row r="29939" spans="1:6" x14ac:dyDescent="0.25">
      <c r="A29939" s="2" t="str">
        <f t="shared" si="1075"/>
        <v>12940</v>
      </c>
      <c r="B29939" s="2" t="str">
        <f>"70744"</f>
        <v>70744</v>
      </c>
      <c r="C29939" s="1">
        <v>5.3257291950426404E-3</v>
      </c>
      <c r="D29939" s="1">
        <v>7.4239049740163301E-4</v>
      </c>
      <c r="E29939" s="1">
        <v>1.6697425081289999E-3</v>
      </c>
      <c r="F29939" s="1">
        <v>4.8730891712613104E-3</v>
      </c>
    </row>
    <row r="29940" spans="1:6" x14ac:dyDescent="0.25">
      <c r="A29940" s="2" t="str">
        <f t="shared" si="1075"/>
        <v>12940</v>
      </c>
      <c r="B29940" s="2" t="str">
        <f>"70729"</f>
        <v>70729</v>
      </c>
      <c r="C29940" s="1">
        <v>1.0096642866246901E-3</v>
      </c>
      <c r="D29940" s="1">
        <v>1.14213922677174E-4</v>
      </c>
      <c r="E29940" s="1">
        <v>2.6364355391510599E-4</v>
      </c>
      <c r="F29940" s="1">
        <v>9.2042263299099204E-4</v>
      </c>
    </row>
    <row r="29941" spans="1:6" x14ac:dyDescent="0.25">
      <c r="A29941" s="2" t="str">
        <f t="shared" si="1075"/>
        <v>12940</v>
      </c>
      <c r="B29941" s="2" t="str">
        <f>"70403"</f>
        <v>70403</v>
      </c>
      <c r="C29941" s="1">
        <v>1.5469856272789201E-3</v>
      </c>
      <c r="D29941" s="1">
        <v>2.8553480669293499E-4</v>
      </c>
      <c r="E29941" s="1">
        <v>5.2728710783021295E-4</v>
      </c>
      <c r="F29941" s="1">
        <v>1.42206416532671E-3</v>
      </c>
    </row>
    <row r="29942" spans="1:6" x14ac:dyDescent="0.25">
      <c r="A29942" s="2" t="str">
        <f t="shared" si="1075"/>
        <v>12940</v>
      </c>
      <c r="B29942" s="2" t="str">
        <f>"70380"</f>
        <v>70380</v>
      </c>
      <c r="C29942" s="1">
        <v>2.2217612643795899E-3</v>
      </c>
      <c r="D29942" s="1">
        <v>4.5685569070869699E-4</v>
      </c>
      <c r="E29942" s="1">
        <v>7.9093066174532002E-4</v>
      </c>
      <c r="F29942" s="1">
        <v>2.0468766096198702E-3</v>
      </c>
    </row>
    <row r="29943" spans="1:6" x14ac:dyDescent="0.25">
      <c r="A29943" s="2" t="str">
        <f t="shared" si="1075"/>
        <v>12940</v>
      </c>
      <c r="B29943" s="2" t="str">
        <f>"70444"</f>
        <v>70444</v>
      </c>
      <c r="C29943" s="1">
        <v>1.88437344582926E-3</v>
      </c>
      <c r="D29943" s="1">
        <v>4.28302210039403E-4</v>
      </c>
      <c r="E29943" s="1">
        <v>3.5152473855347497E-4</v>
      </c>
      <c r="F29943" s="1">
        <v>1.7311111807835401E-3</v>
      </c>
    </row>
    <row r="29944" spans="1:6" x14ac:dyDescent="0.25">
      <c r="A29944" s="2" t="str">
        <f t="shared" si="1075"/>
        <v>12940</v>
      </c>
      <c r="B29944" s="2" t="str">
        <f>"70811"</f>
        <v>70811</v>
      </c>
      <c r="C29944" s="1">
        <v>1.4252760956981801E-2</v>
      </c>
      <c r="D29944" s="1">
        <v>7.2525840900005698E-3</v>
      </c>
      <c r="E29944" s="1">
        <v>9.7548114948589493E-3</v>
      </c>
      <c r="F29944" s="1">
        <v>1.35891107955945E-2</v>
      </c>
    </row>
    <row r="29945" spans="1:6" x14ac:dyDescent="0.25">
      <c r="A29945" s="2" t="str">
        <f t="shared" si="1075"/>
        <v>12940</v>
      </c>
      <c r="B29945" s="2" t="str">
        <f>"70804"</f>
        <v>70804</v>
      </c>
      <c r="C29945" s="1">
        <v>0</v>
      </c>
      <c r="D29945" s="1">
        <v>0</v>
      </c>
      <c r="E29945" s="1">
        <v>1.75762369276737E-4</v>
      </c>
      <c r="F29945" s="1">
        <v>4.4789422529975303E-6</v>
      </c>
    </row>
    <row r="29946" spans="1:6" x14ac:dyDescent="0.25">
      <c r="A29946" s="2" t="str">
        <f t="shared" si="1075"/>
        <v>12940</v>
      </c>
      <c r="B29946" s="2" t="str">
        <f>"70825"</f>
        <v>70825</v>
      </c>
      <c r="C29946" s="1">
        <v>0</v>
      </c>
      <c r="D29946" s="1">
        <v>1.2277996687796199E-3</v>
      </c>
      <c r="E29946" s="1">
        <v>2.6364355391510599E-4</v>
      </c>
      <c r="F29946" s="1">
        <v>1.0301567181894299E-4</v>
      </c>
    </row>
    <row r="29947" spans="1:6" x14ac:dyDescent="0.25">
      <c r="A29947" s="2" t="str">
        <f t="shared" si="1075"/>
        <v>12940</v>
      </c>
      <c r="B29947" s="2" t="str">
        <f>"70780"</f>
        <v>70780</v>
      </c>
      <c r="C29947" s="1">
        <v>8.4971746894157605E-4</v>
      </c>
      <c r="D29947" s="1">
        <v>2.2842784535434801E-4</v>
      </c>
      <c r="E29947" s="1">
        <v>0</v>
      </c>
      <c r="F29947" s="1">
        <v>7.7933595202157001E-4</v>
      </c>
    </row>
    <row r="29948" spans="1:6" x14ac:dyDescent="0.25">
      <c r="A29948" s="2" t="str">
        <f t="shared" si="1075"/>
        <v>12940</v>
      </c>
      <c r="B29948" s="2" t="str">
        <f>"70785"</f>
        <v>70785</v>
      </c>
      <c r="C29948" s="1">
        <v>2.7063501385789199E-2</v>
      </c>
      <c r="D29948" s="1">
        <v>1.74461766889383E-2</v>
      </c>
      <c r="E29948" s="1">
        <v>1.27427717725634E-2</v>
      </c>
      <c r="F29948" s="1">
        <v>2.59442730004882E-2</v>
      </c>
    </row>
    <row r="29949" spans="1:6" x14ac:dyDescent="0.25">
      <c r="A29949" s="2" t="str">
        <f t="shared" si="1075"/>
        <v>12940</v>
      </c>
      <c r="B29949" s="2" t="str">
        <f>"70776"</f>
        <v>70776</v>
      </c>
      <c r="C29949" s="1">
        <v>3.6162975810542898E-3</v>
      </c>
      <c r="D29949" s="1">
        <v>2.79824110559077E-3</v>
      </c>
      <c r="E29949" s="1">
        <v>7.0304947710695103E-4</v>
      </c>
      <c r="F29949" s="1">
        <v>3.4778986594525799E-3</v>
      </c>
    </row>
    <row r="29950" spans="1:6" x14ac:dyDescent="0.25">
      <c r="A29950" s="2" t="str">
        <f t="shared" ref="A29950:A29981" si="1076">"12940"</f>
        <v>12940</v>
      </c>
      <c r="B29950" s="2" t="str">
        <f>"70772"</f>
        <v>70772</v>
      </c>
      <c r="C29950" s="1">
        <v>1.999335221039E-4</v>
      </c>
      <c r="D29950" s="1">
        <v>5.7106961338587103E-5</v>
      </c>
      <c r="E29950" s="1">
        <v>0</v>
      </c>
      <c r="F29950" s="1">
        <v>1.8363663237289801E-4</v>
      </c>
    </row>
    <row r="29951" spans="1:6" x14ac:dyDescent="0.25">
      <c r="A29951" s="2" t="str">
        <f t="shared" si="1076"/>
        <v>12940</v>
      </c>
      <c r="B29951" s="2" t="str">
        <f>"70710"</f>
        <v>70710</v>
      </c>
      <c r="C29951" s="1">
        <v>6.9526882311631297E-3</v>
      </c>
      <c r="D29951" s="1">
        <v>1.65610187881902E-3</v>
      </c>
      <c r="E29951" s="1">
        <v>4.0425344933649699E-3</v>
      </c>
      <c r="F29951" s="1">
        <v>6.46311367107543E-3</v>
      </c>
    </row>
    <row r="29952" spans="1:6" x14ac:dyDescent="0.25">
      <c r="A29952" s="2" t="str">
        <f t="shared" si="1076"/>
        <v>12940</v>
      </c>
      <c r="B29952" s="2" t="str">
        <f>"70466"</f>
        <v>70466</v>
      </c>
      <c r="C29952" s="1">
        <v>6.04798904364298E-4</v>
      </c>
      <c r="D29952" s="1">
        <v>8.5660442007880699E-5</v>
      </c>
      <c r="E29952" s="1">
        <v>0</v>
      </c>
      <c r="F29952" s="1">
        <v>5.4867042599219705E-4</v>
      </c>
    </row>
    <row r="29953" spans="1:6" x14ac:dyDescent="0.25">
      <c r="A29953" s="2" t="str">
        <f t="shared" si="1076"/>
        <v>12940</v>
      </c>
      <c r="B29953" s="2" t="str">
        <f>"70436"</f>
        <v>70436</v>
      </c>
      <c r="C29953" s="1">
        <v>2.7490859289286301E-5</v>
      </c>
      <c r="D29953" s="1">
        <v>0</v>
      </c>
      <c r="E29953" s="1">
        <v>0</v>
      </c>
      <c r="F29953" s="1">
        <v>2.46341823914864E-5</v>
      </c>
    </row>
    <row r="29954" spans="1:6" x14ac:dyDescent="0.25">
      <c r="A29954" s="2" t="str">
        <f t="shared" si="1076"/>
        <v>12940</v>
      </c>
      <c r="B29954" s="2" t="str">
        <f>"70339"</f>
        <v>70339</v>
      </c>
      <c r="C29954" s="1">
        <v>6.3278959745884404E-3</v>
      </c>
      <c r="D29954" s="1">
        <v>1.94163668551196E-3</v>
      </c>
      <c r="E29954" s="1">
        <v>2.1970296159592199E-3</v>
      </c>
      <c r="F29954" s="1">
        <v>5.8786117070592598E-3</v>
      </c>
    </row>
    <row r="29955" spans="1:6" x14ac:dyDescent="0.25">
      <c r="A29955" s="2" t="str">
        <f t="shared" si="1076"/>
        <v>12940</v>
      </c>
      <c r="B29955" s="2" t="str">
        <f>"70816"</f>
        <v>70816</v>
      </c>
      <c r="C29955" s="1">
        <v>5.3687149022949798E-2</v>
      </c>
      <c r="D29955" s="1">
        <v>7.8779053166581001E-2</v>
      </c>
      <c r="E29955" s="1">
        <v>0.114509183583794</v>
      </c>
      <c r="F29955" s="1">
        <v>5.7205050455284401E-2</v>
      </c>
    </row>
    <row r="29956" spans="1:6" x14ac:dyDescent="0.25">
      <c r="A29956" s="2" t="str">
        <f t="shared" si="1076"/>
        <v>12940</v>
      </c>
      <c r="B29956" s="2" t="str">
        <f>"70815"</f>
        <v>70815</v>
      </c>
      <c r="C29956" s="1">
        <v>3.1362072111023001E-2</v>
      </c>
      <c r="D29956" s="1">
        <v>4.3801039346696297E-2</v>
      </c>
      <c r="E29956" s="1">
        <v>3.7876790579137003E-2</v>
      </c>
      <c r="F29956" s="1">
        <v>3.2503683930002997E-2</v>
      </c>
    </row>
    <row r="29957" spans="1:6" x14ac:dyDescent="0.25">
      <c r="A29957" s="2" t="str">
        <f t="shared" si="1076"/>
        <v>12940</v>
      </c>
      <c r="B29957" s="2" t="str">
        <f>"70810"</f>
        <v>70810</v>
      </c>
      <c r="C29957" s="1">
        <v>4.8918734520771799E-2</v>
      </c>
      <c r="D29957" s="1">
        <v>3.5863171720632699E-2</v>
      </c>
      <c r="E29957" s="1">
        <v>7.7774848404956395E-2</v>
      </c>
      <c r="F29957" s="1">
        <v>4.8630115511920702E-2</v>
      </c>
    </row>
    <row r="29958" spans="1:6" x14ac:dyDescent="0.25">
      <c r="A29958" s="2" t="str">
        <f t="shared" si="1076"/>
        <v>12940</v>
      </c>
      <c r="B29958" s="2" t="str">
        <f>"70803"</f>
        <v>70803</v>
      </c>
      <c r="C29958" s="1">
        <v>0</v>
      </c>
      <c r="D29958" s="1">
        <v>5.7106961338587103E-5</v>
      </c>
      <c r="E29958" s="1">
        <v>1.75762369276737E-4</v>
      </c>
      <c r="F29958" s="1">
        <v>8.9578845059950607E-6</v>
      </c>
    </row>
    <row r="29959" spans="1:6" x14ac:dyDescent="0.25">
      <c r="A29959" s="2" t="str">
        <f t="shared" si="1076"/>
        <v>12940</v>
      </c>
      <c r="B29959" s="2" t="str">
        <f>"70805"</f>
        <v>70805</v>
      </c>
      <c r="C29959" s="1">
        <v>3.07497756995798E-2</v>
      </c>
      <c r="D29959" s="1">
        <v>3.4264176803152302E-2</v>
      </c>
      <c r="E29959" s="1">
        <v>2.8385622638193098E-2</v>
      </c>
      <c r="F29959" s="1">
        <v>3.0965167266098399E-2</v>
      </c>
    </row>
    <row r="29960" spans="1:6" x14ac:dyDescent="0.25">
      <c r="A29960" s="2" t="str">
        <f t="shared" si="1076"/>
        <v>12940</v>
      </c>
      <c r="B29960" s="2" t="str">
        <f>"70806"</f>
        <v>70806</v>
      </c>
      <c r="C29960" s="1">
        <v>3.7052679983905303E-2</v>
      </c>
      <c r="D29960" s="1">
        <v>7.9464336702643995E-2</v>
      </c>
      <c r="E29960" s="1">
        <v>8.7178135161261897E-2</v>
      </c>
      <c r="F29960" s="1">
        <v>4.1656402424003501E-2</v>
      </c>
    </row>
    <row r="29961" spans="1:6" x14ac:dyDescent="0.25">
      <c r="A29961" s="2" t="str">
        <f t="shared" si="1076"/>
        <v>12940</v>
      </c>
      <c r="B29961" s="2" t="str">
        <f>"70893"</f>
        <v>70893</v>
      </c>
      <c r="C29961" s="1">
        <v>0</v>
      </c>
      <c r="D29961" s="1">
        <v>0</v>
      </c>
      <c r="E29961" s="1">
        <v>8.7881184638368906E-5</v>
      </c>
      <c r="F29961" s="1">
        <v>2.2394711264987601E-6</v>
      </c>
    </row>
    <row r="29962" spans="1:6" x14ac:dyDescent="0.25">
      <c r="A29962" s="2" t="str">
        <f t="shared" si="1076"/>
        <v>12940</v>
      </c>
      <c r="B29962" s="2" t="str">
        <f>"70892"</f>
        <v>70892</v>
      </c>
      <c r="C29962" s="1">
        <v>2.8240609997175902E-3</v>
      </c>
      <c r="D29962" s="1">
        <v>3.9974872937011E-3</v>
      </c>
      <c r="E29962" s="1">
        <v>1.75762369276737E-4</v>
      </c>
      <c r="F29962" s="1">
        <v>2.8486072729064301E-3</v>
      </c>
    </row>
    <row r="29963" spans="1:6" x14ac:dyDescent="0.25">
      <c r="A29963" s="2" t="str">
        <f t="shared" si="1076"/>
        <v>12940</v>
      </c>
      <c r="B29963" s="2" t="str">
        <f>"70819"</f>
        <v>70819</v>
      </c>
      <c r="C29963" s="1">
        <v>5.0433230950708797E-3</v>
      </c>
      <c r="D29963" s="1">
        <v>3.7119524870081601E-3</v>
      </c>
      <c r="E29963" s="1">
        <v>2.1091484313208501E-3</v>
      </c>
      <c r="F29963" s="1">
        <v>4.8641312867553103E-3</v>
      </c>
    </row>
    <row r="29964" spans="1:6" x14ac:dyDescent="0.25">
      <c r="A29964" s="2" t="str">
        <f t="shared" si="1076"/>
        <v>12940</v>
      </c>
      <c r="B29964" s="2" t="str">
        <f>"70777"</f>
        <v>70777</v>
      </c>
      <c r="C29964" s="1">
        <v>5.9380256064858403E-3</v>
      </c>
      <c r="D29964" s="1">
        <v>2.6840271829135899E-3</v>
      </c>
      <c r="E29964" s="1">
        <v>7.0304947710695103E-4</v>
      </c>
      <c r="F29964" s="1">
        <v>5.54940945146394E-3</v>
      </c>
    </row>
    <row r="29965" spans="1:6" x14ac:dyDescent="0.25">
      <c r="A29965" s="2" t="str">
        <f t="shared" si="1076"/>
        <v>12940</v>
      </c>
      <c r="B29965" s="2" t="str">
        <f>"70747"</f>
        <v>70747</v>
      </c>
      <c r="C29965" s="1">
        <v>0</v>
      </c>
      <c r="D29965" s="1">
        <v>5.7106961338587103E-5</v>
      </c>
      <c r="E29965" s="1">
        <v>0</v>
      </c>
      <c r="F29965" s="1">
        <v>4.4789422529975303E-6</v>
      </c>
    </row>
    <row r="29966" spans="1:6" x14ac:dyDescent="0.25">
      <c r="A29966" s="2" t="str">
        <f t="shared" si="1076"/>
        <v>12940</v>
      </c>
      <c r="B29966" s="2" t="str">
        <f>"70721"</f>
        <v>70721</v>
      </c>
      <c r="C29966" s="1">
        <v>6.0979724241689605E-4</v>
      </c>
      <c r="D29966" s="1">
        <v>3.1408828736222897E-4</v>
      </c>
      <c r="E29966" s="1">
        <v>2.1091484313208501E-3</v>
      </c>
      <c r="F29966" s="1">
        <v>6.2481244429315498E-4</v>
      </c>
    </row>
    <row r="29967" spans="1:6" x14ac:dyDescent="0.25">
      <c r="A29967" s="2" t="str">
        <f t="shared" si="1076"/>
        <v>12940</v>
      </c>
      <c r="B29967" s="2" t="str">
        <f>"70725"</f>
        <v>70725</v>
      </c>
      <c r="C29967" s="1">
        <v>1.3645462883591199E-3</v>
      </c>
      <c r="D29967" s="1">
        <v>4.28302210039403E-4</v>
      </c>
      <c r="E29967" s="1">
        <v>0</v>
      </c>
      <c r="F29967" s="1">
        <v>1.2563433019658001E-3</v>
      </c>
    </row>
    <row r="29968" spans="1:6" x14ac:dyDescent="0.25">
      <c r="A29968" s="2" t="str">
        <f t="shared" si="1076"/>
        <v>12940</v>
      </c>
      <c r="B29968" s="2" t="str">
        <f>"70704"</f>
        <v>70704</v>
      </c>
      <c r="C29968" s="1">
        <v>1.6494515573571701E-3</v>
      </c>
      <c r="D29968" s="1">
        <v>4.1402546970475702E-3</v>
      </c>
      <c r="E29968" s="1">
        <v>1.75762369276737E-4</v>
      </c>
      <c r="F29968" s="1">
        <v>1.8072531990845E-3</v>
      </c>
    </row>
    <row r="29969" spans="1:6" x14ac:dyDescent="0.25">
      <c r="A29969" s="2" t="str">
        <f t="shared" si="1076"/>
        <v>12940</v>
      </c>
      <c r="B29969" s="2" t="str">
        <f>"70301"</f>
        <v>70301</v>
      </c>
      <c r="C29969" s="1">
        <v>7.1476234152144402E-4</v>
      </c>
      <c r="D29969" s="1">
        <v>2.2842784535434801E-4</v>
      </c>
      <c r="E29969" s="1">
        <v>2.6364355391510599E-4</v>
      </c>
      <c r="F29969" s="1">
        <v>6.65122924570133E-4</v>
      </c>
    </row>
    <row r="29970" spans="1:6" x14ac:dyDescent="0.25">
      <c r="A29970" s="2" t="str">
        <f t="shared" si="1076"/>
        <v>12940</v>
      </c>
      <c r="B29970" s="2" t="str">
        <f>"70808"</f>
        <v>70808</v>
      </c>
      <c r="C29970" s="1">
        <v>4.4687641359248E-2</v>
      </c>
      <c r="D29970" s="1">
        <v>4.1945063103192202E-2</v>
      </c>
      <c r="E29970" s="1">
        <v>6.8898848756481196E-2</v>
      </c>
      <c r="F29970" s="1">
        <v>4.5089511660926097E-2</v>
      </c>
    </row>
    <row r="29971" spans="1:6" x14ac:dyDescent="0.25">
      <c r="A29971" s="2" t="str">
        <f t="shared" si="1076"/>
        <v>12940</v>
      </c>
      <c r="B29971" s="2" t="str">
        <f>"70807"</f>
        <v>70807</v>
      </c>
      <c r="C29971" s="1">
        <v>1.7869058538036098E-2</v>
      </c>
      <c r="D29971" s="1">
        <v>1.5047684312717699E-2</v>
      </c>
      <c r="E29971" s="1">
        <v>1.8806573512610902E-2</v>
      </c>
      <c r="F29971" s="1">
        <v>1.7671666659201699E-2</v>
      </c>
    </row>
    <row r="29972" spans="1:6" x14ac:dyDescent="0.25">
      <c r="A29972" s="2" t="str">
        <f t="shared" si="1076"/>
        <v>12940</v>
      </c>
      <c r="B29972" s="2" t="str">
        <f>"70801"</f>
        <v>70801</v>
      </c>
      <c r="C29972" s="1">
        <v>4.67344607917867E-4</v>
      </c>
      <c r="D29972" s="1">
        <v>1.4305293815316001E-2</v>
      </c>
      <c r="E29972" s="1">
        <v>5.4486334475788703E-3</v>
      </c>
      <c r="F29972" s="1">
        <v>1.6796033448740701E-3</v>
      </c>
    </row>
    <row r="29973" spans="1:6" x14ac:dyDescent="0.25">
      <c r="A29973" s="2" t="str">
        <f t="shared" si="1076"/>
        <v>12940</v>
      </c>
      <c r="B29973" s="2" t="str">
        <f>"70879"</f>
        <v>70879</v>
      </c>
      <c r="C29973" s="1">
        <v>2.9665136342166198E-3</v>
      </c>
      <c r="D29973" s="1">
        <v>1.4191079892638901E-2</v>
      </c>
      <c r="E29973" s="1">
        <v>1.75762369276737E-4</v>
      </c>
      <c r="F29973" s="1">
        <v>3.7757483192769098E-3</v>
      </c>
    </row>
    <row r="29974" spans="1:6" x14ac:dyDescent="0.25">
      <c r="A29974" s="2" t="str">
        <f t="shared" si="1076"/>
        <v>12940</v>
      </c>
      <c r="B29974" s="2" t="str">
        <f>"70778"</f>
        <v>70778</v>
      </c>
      <c r="C29974" s="1">
        <v>2.7365900837971299E-3</v>
      </c>
      <c r="D29974" s="1">
        <v>1.1706927074410301E-3</v>
      </c>
      <c r="E29974" s="1">
        <v>1.75762369276737E-4</v>
      </c>
      <c r="F29974" s="1">
        <v>2.5485181419555901E-3</v>
      </c>
    </row>
    <row r="29975" spans="1:6" x14ac:dyDescent="0.25">
      <c r="A29975" s="2" t="str">
        <f t="shared" si="1076"/>
        <v>12940</v>
      </c>
      <c r="B29975" s="2" t="str">
        <f>"70767"</f>
        <v>70767</v>
      </c>
      <c r="C29975" s="1">
        <v>1.9378556629920499E-2</v>
      </c>
      <c r="D29975" s="1">
        <v>2.9038889840671499E-2</v>
      </c>
      <c r="E29975" s="1">
        <v>1.1248791633711199E-2</v>
      </c>
      <c r="F29975" s="1">
        <v>1.99290535547125E-2</v>
      </c>
    </row>
    <row r="29976" spans="1:6" x14ac:dyDescent="0.25">
      <c r="A29976" s="2" t="str">
        <f t="shared" si="1076"/>
        <v>12940</v>
      </c>
      <c r="B29976" s="2" t="str">
        <f>"70764"</f>
        <v>70764</v>
      </c>
      <c r="C29976" s="1">
        <v>2.0205781577625401E-2</v>
      </c>
      <c r="D29976" s="1">
        <v>2.1015361772600001E-2</v>
      </c>
      <c r="E29976" s="1">
        <v>1.31821776957553E-2</v>
      </c>
      <c r="F29976" s="1">
        <v>2.0090295475820402E-2</v>
      </c>
    </row>
    <row r="29977" spans="1:6" x14ac:dyDescent="0.25">
      <c r="A29977" s="2" t="str">
        <f t="shared" si="1076"/>
        <v>12940</v>
      </c>
      <c r="B29977" s="2" t="str">
        <f>"70740"</f>
        <v>70740</v>
      </c>
      <c r="C29977" s="1">
        <v>8.8470583530975903E-4</v>
      </c>
      <c r="D29977" s="1">
        <v>1.14213922677174E-4</v>
      </c>
      <c r="E29977" s="1">
        <v>8.7881184638368906E-5</v>
      </c>
      <c r="F29977" s="1">
        <v>8.0397013441305695E-4</v>
      </c>
    </row>
    <row r="29978" spans="1:6" x14ac:dyDescent="0.25">
      <c r="A29978" s="2" t="str">
        <f t="shared" si="1076"/>
        <v>12940</v>
      </c>
      <c r="B29978" s="2" t="str">
        <f>"70753"</f>
        <v>70753</v>
      </c>
      <c r="C29978" s="1">
        <v>7.9973408841560098E-4</v>
      </c>
      <c r="D29978" s="1">
        <v>7.1383701673233897E-4</v>
      </c>
      <c r="E29978" s="1">
        <v>0</v>
      </c>
      <c r="F29978" s="1">
        <v>7.7261753864207405E-4</v>
      </c>
    </row>
    <row r="29979" spans="1:6" x14ac:dyDescent="0.25">
      <c r="A29979" s="2" t="str">
        <f t="shared" si="1076"/>
        <v>12940</v>
      </c>
      <c r="B29979" s="2" t="str">
        <f>"70760"</f>
        <v>70760</v>
      </c>
      <c r="C29979" s="1">
        <v>8.4421929708371896E-3</v>
      </c>
      <c r="D29979" s="1">
        <v>1.02221460796071E-2</v>
      </c>
      <c r="E29979" s="1">
        <v>6.4153264786009304E-3</v>
      </c>
      <c r="F29979" s="1">
        <v>8.5301455208337904E-3</v>
      </c>
    </row>
    <row r="29980" spans="1:6" x14ac:dyDescent="0.25">
      <c r="A29980" s="2" t="str">
        <f t="shared" si="1076"/>
        <v>12940</v>
      </c>
      <c r="B29980" s="2" t="str">
        <f>"70718"</f>
        <v>70718</v>
      </c>
      <c r="C29980" s="1">
        <v>0</v>
      </c>
      <c r="D29980" s="1">
        <v>0</v>
      </c>
      <c r="E29980" s="1">
        <v>8.7881184638368906E-5</v>
      </c>
      <c r="F29980" s="1">
        <v>2.2394711264987601E-6</v>
      </c>
    </row>
    <row r="29981" spans="1:6" x14ac:dyDescent="0.25">
      <c r="A29981" s="2" t="str">
        <f t="shared" si="1076"/>
        <v>12940</v>
      </c>
      <c r="B29981" s="2" t="str">
        <f>"70722"</f>
        <v>70722</v>
      </c>
      <c r="C29981" s="1">
        <v>5.5031701959098499E-3</v>
      </c>
      <c r="D29981" s="1">
        <v>1.65610187881902E-3</v>
      </c>
      <c r="E29981" s="1">
        <v>1.05457421566042E-3</v>
      </c>
      <c r="F29981" s="1">
        <v>5.0880783994051897E-3</v>
      </c>
    </row>
    <row r="29982" spans="1:6" x14ac:dyDescent="0.25">
      <c r="A29982" s="2" t="str">
        <f t="shared" ref="A29982:A30013" si="1077">"12940"</f>
        <v>12940</v>
      </c>
      <c r="B29982" s="2" t="str">
        <f>"70714"</f>
        <v>70714</v>
      </c>
      <c r="C29982" s="1">
        <v>2.02882541554932E-2</v>
      </c>
      <c r="D29982" s="1">
        <v>1.4333847295985301E-2</v>
      </c>
      <c r="E29982" s="1">
        <v>2.1970296159592201E-2</v>
      </c>
      <c r="F29982" s="1">
        <v>1.9864108892044E-2</v>
      </c>
    </row>
    <row r="29983" spans="1:6" x14ac:dyDescent="0.25">
      <c r="A29983" s="2" t="str">
        <f t="shared" si="1077"/>
        <v>12940</v>
      </c>
      <c r="B29983" s="2" t="str">
        <f>"70422"</f>
        <v>70422</v>
      </c>
      <c r="C29983" s="1">
        <v>3.1514521421627298E-3</v>
      </c>
      <c r="D29983" s="1">
        <v>1.1706927074410301E-3</v>
      </c>
      <c r="E29983" s="1">
        <v>4.3940592319184401E-4</v>
      </c>
      <c r="F29983" s="1">
        <v>2.9269887623338802E-3</v>
      </c>
    </row>
    <row r="29984" spans="1:6" x14ac:dyDescent="0.25">
      <c r="A29984" s="2" t="str">
        <f t="shared" si="1077"/>
        <v>12940</v>
      </c>
      <c r="B29984" s="2" t="str">
        <f>"70898"</f>
        <v>70898</v>
      </c>
      <c r="C29984" s="1">
        <v>2.0618144466964701E-3</v>
      </c>
      <c r="D29984" s="1">
        <v>1.2163782765119001E-2</v>
      </c>
      <c r="E29984" s="1">
        <v>1.75762369276737E-4</v>
      </c>
      <c r="F29984" s="1">
        <v>2.80605732150295E-3</v>
      </c>
    </row>
    <row r="29985" spans="1:6" x14ac:dyDescent="0.25">
      <c r="A29985" s="2" t="str">
        <f t="shared" si="1077"/>
        <v>12940</v>
      </c>
      <c r="B29985" s="2" t="str">
        <f>"70821"</f>
        <v>70821</v>
      </c>
      <c r="C29985" s="1">
        <v>5.2032699127539999E-3</v>
      </c>
      <c r="D29985" s="1">
        <v>1.92164924904345E-2</v>
      </c>
      <c r="E29985" s="1">
        <v>1.75762369276737E-4</v>
      </c>
      <c r="F29985" s="1">
        <v>6.1742218957570897E-3</v>
      </c>
    </row>
    <row r="29986" spans="1:6" x14ac:dyDescent="0.25">
      <c r="A29986" s="2" t="str">
        <f t="shared" si="1077"/>
        <v>12940</v>
      </c>
      <c r="B29986" s="2" t="str">
        <f>"70775"</f>
        <v>70775</v>
      </c>
      <c r="C29986" s="1">
        <v>7.5499896284485397E-3</v>
      </c>
      <c r="D29986" s="1">
        <v>2.1986180115356E-3</v>
      </c>
      <c r="E29986" s="1">
        <v>2.0212672466824802E-3</v>
      </c>
      <c r="F29986" s="1">
        <v>6.9893893858026402E-3</v>
      </c>
    </row>
    <row r="29987" spans="1:6" x14ac:dyDescent="0.25">
      <c r="A29987" s="2" t="str">
        <f t="shared" si="1077"/>
        <v>12940</v>
      </c>
      <c r="B29987" s="2" t="str">
        <f>"70774"</f>
        <v>70774</v>
      </c>
      <c r="C29987" s="1">
        <v>1.14711858307112E-2</v>
      </c>
      <c r="D29987" s="1">
        <v>3.8261664096853401E-3</v>
      </c>
      <c r="E29987" s="1">
        <v>3.6031285701731198E-3</v>
      </c>
      <c r="F29987" s="1">
        <v>1.0671079917766601E-2</v>
      </c>
    </row>
    <row r="29988" spans="1:6" x14ac:dyDescent="0.25">
      <c r="A29988" s="2" t="str">
        <f t="shared" si="1077"/>
        <v>12940</v>
      </c>
      <c r="B29988" s="2" t="str">
        <f>"70769"</f>
        <v>70769</v>
      </c>
      <c r="C29988" s="1">
        <v>4.7971549459804599E-2</v>
      </c>
      <c r="D29988" s="1">
        <v>3.4749585974530199E-2</v>
      </c>
      <c r="E29988" s="1">
        <v>1.7488355743035401E-2</v>
      </c>
      <c r="F29988" s="1">
        <v>4.6157739388265999E-2</v>
      </c>
    </row>
    <row r="29989" spans="1:6" x14ac:dyDescent="0.25">
      <c r="A29989" s="2" t="str">
        <f t="shared" si="1077"/>
        <v>12940</v>
      </c>
      <c r="B29989" s="2" t="str">
        <f>"70762"</f>
        <v>70762</v>
      </c>
      <c r="C29989" s="1">
        <v>1.2470853441230701E-3</v>
      </c>
      <c r="D29989" s="1">
        <v>5.7106961338587103E-5</v>
      </c>
      <c r="E29989" s="1">
        <v>4.3940592319184401E-4</v>
      </c>
      <c r="F29989" s="1">
        <v>1.13317239000837E-3</v>
      </c>
    </row>
    <row r="29990" spans="1:6" x14ac:dyDescent="0.25">
      <c r="A29990" s="2" t="str">
        <f t="shared" si="1077"/>
        <v>12940</v>
      </c>
      <c r="B29990" s="2" t="str">
        <f>"70736"</f>
        <v>70736</v>
      </c>
      <c r="C29990" s="1">
        <v>6.6227979196917003E-4</v>
      </c>
      <c r="D29990" s="1">
        <v>0</v>
      </c>
      <c r="E29990" s="1">
        <v>8.7881184638368906E-5</v>
      </c>
      <c r="F29990" s="1">
        <v>5.9569931964867102E-4</v>
      </c>
    </row>
    <row r="29991" spans="1:6" x14ac:dyDescent="0.25">
      <c r="A29991" s="2" t="str">
        <f t="shared" si="1077"/>
        <v>12940</v>
      </c>
      <c r="B29991" s="2" t="str">
        <f>"70737"</f>
        <v>70737</v>
      </c>
      <c r="C29991" s="1">
        <v>4.9241127325164301E-2</v>
      </c>
      <c r="D29991" s="1">
        <v>5.10536234366969E-2</v>
      </c>
      <c r="E29991" s="1">
        <v>3.6470691624923099E-2</v>
      </c>
      <c r="F29991" s="1">
        <v>4.9057854497081901E-2</v>
      </c>
    </row>
    <row r="29992" spans="1:6" x14ac:dyDescent="0.25">
      <c r="A29992" s="2" t="str">
        <f t="shared" si="1077"/>
        <v>12940</v>
      </c>
      <c r="B29992" s="2" t="str">
        <f>"70734"</f>
        <v>70734</v>
      </c>
      <c r="C29992" s="1">
        <v>7.9673508558404296E-3</v>
      </c>
      <c r="D29992" s="1">
        <v>6.5387470732682302E-3</v>
      </c>
      <c r="E29992" s="1">
        <v>1.49398013885227E-3</v>
      </c>
      <c r="F29992" s="1">
        <v>7.6903438483967596E-3</v>
      </c>
    </row>
    <row r="29993" spans="1:6" x14ac:dyDescent="0.25">
      <c r="A29993" s="2" t="str">
        <f t="shared" si="1077"/>
        <v>12940</v>
      </c>
      <c r="B29993" s="2" t="str">
        <f>"70711"</f>
        <v>70711</v>
      </c>
      <c r="C29993" s="1">
        <v>4.1886072880767096E-3</v>
      </c>
      <c r="D29993" s="1">
        <v>2.39849237622066E-3</v>
      </c>
      <c r="E29993" s="1">
        <v>3.3394850162580098E-3</v>
      </c>
      <c r="F29993" s="1">
        <v>4.0265690854447804E-3</v>
      </c>
    </row>
    <row r="29994" spans="1:6" x14ac:dyDescent="0.25">
      <c r="A29994" s="2" t="str">
        <f t="shared" si="1077"/>
        <v>12940</v>
      </c>
      <c r="B29994" s="2" t="str">
        <f>"70393"</f>
        <v>70393</v>
      </c>
      <c r="C29994" s="1">
        <v>2.9240277607695399E-4</v>
      </c>
      <c r="D29994" s="1">
        <v>5.7106961338587103E-5</v>
      </c>
      <c r="E29994" s="1">
        <v>8.7881184638368906E-5</v>
      </c>
      <c r="F29994" s="1">
        <v>2.6873653517985101E-4</v>
      </c>
    </row>
    <row r="29995" spans="1:6" x14ac:dyDescent="0.25">
      <c r="A29995" s="2" t="str">
        <f t="shared" si="1077"/>
        <v>12940</v>
      </c>
      <c r="B29995" s="2" t="str">
        <f>"70372"</f>
        <v>70372</v>
      </c>
      <c r="C29995" s="1">
        <v>2.5741440970877098E-3</v>
      </c>
      <c r="D29995" s="1">
        <v>1.0279253040945599E-3</v>
      </c>
      <c r="E29995" s="1">
        <v>7.9093066174532002E-4</v>
      </c>
      <c r="F29995" s="1">
        <v>2.4074314609861701E-3</v>
      </c>
    </row>
    <row r="29996" spans="1:6" x14ac:dyDescent="0.25">
      <c r="A29996" s="2" t="str">
        <f t="shared" si="1077"/>
        <v>12940</v>
      </c>
      <c r="B29996" s="2" t="str">
        <f>"70441"</f>
        <v>70441</v>
      </c>
      <c r="C29996" s="1">
        <v>5.7155995631452501E-3</v>
      </c>
      <c r="D29996" s="1">
        <v>1.19924618811033E-3</v>
      </c>
      <c r="E29996" s="1">
        <v>1.31821776957553E-3</v>
      </c>
      <c r="F29996" s="1">
        <v>5.2493203205130996E-3</v>
      </c>
    </row>
    <row r="29997" spans="1:6" x14ac:dyDescent="0.25">
      <c r="A29997" s="2" t="str">
        <f t="shared" si="1077"/>
        <v>12940</v>
      </c>
      <c r="B29997" s="2" t="str">
        <f>"70809"</f>
        <v>70809</v>
      </c>
      <c r="C29997" s="1">
        <v>3.5113324819497499E-2</v>
      </c>
      <c r="D29997" s="1">
        <v>8.01781737193763E-2</v>
      </c>
      <c r="E29997" s="1">
        <v>0.102733104842253</v>
      </c>
      <c r="F29997" s="1">
        <v>4.0370945997393201E-2</v>
      </c>
    </row>
    <row r="29998" spans="1:6" x14ac:dyDescent="0.25">
      <c r="A29998" s="2" t="str">
        <f t="shared" si="1077"/>
        <v>12940</v>
      </c>
      <c r="B29998" s="2" t="str">
        <f>"70896"</f>
        <v>70896</v>
      </c>
      <c r="C29998" s="1">
        <v>2.7390892528234298E-3</v>
      </c>
      <c r="D29998" s="1">
        <v>1.04220204442921E-2</v>
      </c>
      <c r="E29998" s="1">
        <v>1.75762369276737E-4</v>
      </c>
      <c r="F29998" s="1">
        <v>3.2763462580676899E-3</v>
      </c>
    </row>
    <row r="29999" spans="1:6" x14ac:dyDescent="0.25">
      <c r="A29999" s="2" t="str">
        <f t="shared" si="1077"/>
        <v>12940</v>
      </c>
      <c r="B29999" s="2" t="str">
        <f>"70874"</f>
        <v>70874</v>
      </c>
      <c r="C29999" s="1">
        <v>3.1289596209260399E-3</v>
      </c>
      <c r="D29999" s="1">
        <v>7.6523328193706802E-3</v>
      </c>
      <c r="E29999" s="1">
        <v>1.75762369276737E-4</v>
      </c>
      <c r="F29999" s="1">
        <v>3.4084750545311199E-3</v>
      </c>
    </row>
    <row r="30000" spans="1:6" x14ac:dyDescent="0.25">
      <c r="A30000" s="2" t="str">
        <f t="shared" si="1077"/>
        <v>12940</v>
      </c>
      <c r="B30000" s="2" t="str">
        <f>"70895"</f>
        <v>70895</v>
      </c>
      <c r="C30000" s="1">
        <v>3.9087003571312501E-3</v>
      </c>
      <c r="D30000" s="1">
        <v>1.1963908400434001E-2</v>
      </c>
      <c r="E30000" s="1">
        <v>1.75762369276737E-4</v>
      </c>
      <c r="F30000" s="1">
        <v>4.4453501861000501E-3</v>
      </c>
    </row>
    <row r="30001" spans="1:6" x14ac:dyDescent="0.25">
      <c r="A30001" s="2" t="str">
        <f t="shared" si="1077"/>
        <v>12940</v>
      </c>
      <c r="B30001" s="2" t="str">
        <f>"70820"</f>
        <v>70820</v>
      </c>
      <c r="C30001" s="1">
        <v>2.98525740191386E-2</v>
      </c>
      <c r="D30001" s="1">
        <v>7.79510022271714E-3</v>
      </c>
      <c r="E30001" s="1">
        <v>9.7987520871781295E-2</v>
      </c>
      <c r="F30001" s="1">
        <v>2.9858868529608E-2</v>
      </c>
    </row>
    <row r="30002" spans="1:6" x14ac:dyDescent="0.25">
      <c r="A30002" s="2" t="str">
        <f t="shared" si="1077"/>
        <v>12940</v>
      </c>
      <c r="B30002" s="2" t="str">
        <f>"70818"</f>
        <v>70818</v>
      </c>
      <c r="C30002" s="1">
        <v>1.1126300505081999E-2</v>
      </c>
      <c r="D30002" s="1">
        <v>9.2798812175204099E-3</v>
      </c>
      <c r="E30002" s="1">
        <v>1.38852271728622E-2</v>
      </c>
      <c r="F30002" s="1">
        <v>1.10517900092714E-2</v>
      </c>
    </row>
    <row r="30003" spans="1:6" x14ac:dyDescent="0.25">
      <c r="A30003" s="2" t="str">
        <f t="shared" si="1077"/>
        <v>12940</v>
      </c>
      <c r="B30003" s="2" t="str">
        <f>"70817"</f>
        <v>70817</v>
      </c>
      <c r="C30003" s="1">
        <v>3.81223243271612E-2</v>
      </c>
      <c r="D30003" s="1">
        <v>2.8553480669293502E-2</v>
      </c>
      <c r="E30003" s="1">
        <v>2.6891642499340802E-2</v>
      </c>
      <c r="F30003" s="1">
        <v>3.7085641854819502E-2</v>
      </c>
    </row>
    <row r="30004" spans="1:6" x14ac:dyDescent="0.25">
      <c r="A30004" s="2" t="str">
        <f t="shared" si="1077"/>
        <v>12940</v>
      </c>
      <c r="B30004" s="2" t="str">
        <f>"70752"</f>
        <v>70752</v>
      </c>
      <c r="C30004" s="1">
        <v>9.1469586362534396E-4</v>
      </c>
      <c r="D30004" s="1">
        <v>3.1408828736222897E-4</v>
      </c>
      <c r="E30004" s="1">
        <v>0</v>
      </c>
      <c r="F30004" s="1">
        <v>8.4428061469003399E-4</v>
      </c>
    </row>
    <row r="30005" spans="1:6" x14ac:dyDescent="0.25">
      <c r="A30005" s="2" t="str">
        <f t="shared" si="1077"/>
        <v>12940</v>
      </c>
      <c r="B30005" s="2" t="str">
        <f>"70733"</f>
        <v>70733</v>
      </c>
      <c r="C30005" s="1">
        <v>2.0718111228016601E-3</v>
      </c>
      <c r="D30005" s="1">
        <v>4.8540917137798999E-4</v>
      </c>
      <c r="E30005" s="1">
        <v>1.75762369276737E-4</v>
      </c>
      <c r="F30005" s="1">
        <v>1.89907151527095E-3</v>
      </c>
    </row>
    <row r="30006" spans="1:6" x14ac:dyDescent="0.25">
      <c r="A30006" s="2" t="str">
        <f t="shared" si="1077"/>
        <v>12940</v>
      </c>
      <c r="B30006" s="2" t="str">
        <f>"70730"</f>
        <v>70730</v>
      </c>
      <c r="C30006" s="1">
        <v>4.1661147668400197E-3</v>
      </c>
      <c r="D30006" s="1">
        <v>5.99623094055165E-4</v>
      </c>
      <c r="E30006" s="1">
        <v>0</v>
      </c>
      <c r="F30006" s="1">
        <v>3.7802272615299099E-3</v>
      </c>
    </row>
    <row r="30007" spans="1:6" x14ac:dyDescent="0.25">
      <c r="A30007" s="2" t="str">
        <f t="shared" si="1077"/>
        <v>12940</v>
      </c>
      <c r="B30007" s="2" t="str">
        <f>"70712"</f>
        <v>70712</v>
      </c>
      <c r="C30007" s="1">
        <v>0</v>
      </c>
      <c r="D30007" s="1">
        <v>1.7132088401576099E-4</v>
      </c>
      <c r="E30007" s="1">
        <v>1.75762369276737E-4</v>
      </c>
      <c r="F30007" s="1">
        <v>1.7915769011990101E-5</v>
      </c>
    </row>
    <row r="30008" spans="1:6" x14ac:dyDescent="0.25">
      <c r="A30008" s="2" t="str">
        <f t="shared" si="1077"/>
        <v>12940</v>
      </c>
      <c r="B30008" s="2" t="str">
        <f>"70391"</f>
        <v>70391</v>
      </c>
      <c r="C30008" s="1">
        <v>2.49916902629875E-6</v>
      </c>
      <c r="D30008" s="1">
        <v>0</v>
      </c>
      <c r="E30008" s="1">
        <v>8.7881184638368906E-5</v>
      </c>
      <c r="F30008" s="1">
        <v>4.4789422529975303E-6</v>
      </c>
    </row>
    <row r="30009" spans="1:6" x14ac:dyDescent="0.25">
      <c r="A30009" s="2" t="str">
        <f t="shared" si="1077"/>
        <v>12940</v>
      </c>
      <c r="B30009" s="2" t="str">
        <f>"70390"</f>
        <v>70390</v>
      </c>
      <c r="C30009" s="1">
        <v>5.9880089870118103E-3</v>
      </c>
      <c r="D30009" s="1">
        <v>2.4841528182285399E-3</v>
      </c>
      <c r="E30009" s="1">
        <v>1.6697425081289999E-3</v>
      </c>
      <c r="F30009" s="1">
        <v>5.6031567584999102E-3</v>
      </c>
    </row>
    <row r="30010" spans="1:6" x14ac:dyDescent="0.25">
      <c r="A30010" s="2" t="str">
        <f t="shared" si="1077"/>
        <v>12940</v>
      </c>
      <c r="B30010" s="2" t="str">
        <f>"70346"</f>
        <v>70346</v>
      </c>
      <c r="C30010" s="1">
        <v>1.1703608550157001E-2</v>
      </c>
      <c r="D30010" s="1">
        <v>1.1192964422363E-2</v>
      </c>
      <c r="E30010" s="1">
        <v>1.16003163722646E-2</v>
      </c>
      <c r="F30010" s="1">
        <v>1.1660926155678999E-2</v>
      </c>
    </row>
    <row r="30011" spans="1:6" x14ac:dyDescent="0.25">
      <c r="A30011" s="2" t="str">
        <f t="shared" si="1077"/>
        <v>12940</v>
      </c>
      <c r="B30011" s="2" t="str">
        <f>"70814"</f>
        <v>70814</v>
      </c>
      <c r="C30011" s="1">
        <v>1.4510175366690499E-2</v>
      </c>
      <c r="D30011" s="1">
        <v>2.04442921592142E-2</v>
      </c>
      <c r="E30011" s="1">
        <v>9.9305738641356795E-3</v>
      </c>
      <c r="F30011" s="1">
        <v>1.48588909243193E-2</v>
      </c>
    </row>
    <row r="30012" spans="1:6" x14ac:dyDescent="0.25">
      <c r="A30012" s="2" t="str">
        <f t="shared" si="1077"/>
        <v>12940</v>
      </c>
      <c r="B30012" s="2" t="str">
        <f>"70802"</f>
        <v>70802</v>
      </c>
      <c r="C30012" s="1">
        <v>3.59605431194127E-2</v>
      </c>
      <c r="D30012" s="1">
        <v>4.1916509622522899E-2</v>
      </c>
      <c r="E30012" s="1">
        <v>5.0531681167062102E-2</v>
      </c>
      <c r="F30012" s="1">
        <v>3.67989895506277E-2</v>
      </c>
    </row>
    <row r="30013" spans="1:6" x14ac:dyDescent="0.25">
      <c r="A30013" s="2" t="str">
        <f t="shared" si="1077"/>
        <v>12940</v>
      </c>
      <c r="B30013" s="2" t="str">
        <f>"70835"</f>
        <v>70835</v>
      </c>
      <c r="C30013" s="1">
        <v>2.5366565616932301E-3</v>
      </c>
      <c r="D30013" s="1">
        <v>8.0806350294100795E-3</v>
      </c>
      <c r="E30013" s="1">
        <v>1.75762369276737E-4</v>
      </c>
      <c r="F30013" s="1">
        <v>2.91131246444839E-3</v>
      </c>
    </row>
    <row r="30014" spans="1:6" x14ac:dyDescent="0.25">
      <c r="A30014" s="2" t="str">
        <f t="shared" ref="A30014:A30028" si="1078">"12940"</f>
        <v>12940</v>
      </c>
      <c r="B30014" s="2" t="str">
        <f>"70827"</f>
        <v>70827</v>
      </c>
      <c r="C30014" s="1">
        <v>0</v>
      </c>
      <c r="D30014" s="1">
        <v>3.9974872937011E-4</v>
      </c>
      <c r="E30014" s="1">
        <v>3.5152473855347497E-4</v>
      </c>
      <c r="F30014" s="1">
        <v>4.0310480276977699E-5</v>
      </c>
    </row>
    <row r="30015" spans="1:6" x14ac:dyDescent="0.25">
      <c r="A30015" s="2" t="str">
        <f t="shared" si="1078"/>
        <v>12940</v>
      </c>
      <c r="B30015" s="2" t="str">
        <f>"70773"</f>
        <v>70773</v>
      </c>
      <c r="C30015" s="1">
        <v>1.5994681768312E-4</v>
      </c>
      <c r="D30015" s="1">
        <v>5.7106961338587103E-5</v>
      </c>
      <c r="E30015" s="1">
        <v>0</v>
      </c>
      <c r="F30015" s="1">
        <v>1.4780509434891801E-4</v>
      </c>
    </row>
    <row r="30016" spans="1:6" x14ac:dyDescent="0.25">
      <c r="A30016" s="2" t="str">
        <f t="shared" si="1078"/>
        <v>12940</v>
      </c>
      <c r="B30016" s="2" t="str">
        <f>"70786"</f>
        <v>70786</v>
      </c>
      <c r="C30016" s="1">
        <v>0</v>
      </c>
      <c r="D30016" s="1">
        <v>2.8553480669293501E-5</v>
      </c>
      <c r="E30016" s="1">
        <v>0</v>
      </c>
      <c r="F30016" s="1">
        <v>2.2394711264987601E-6</v>
      </c>
    </row>
    <row r="30017" spans="1:6" x14ac:dyDescent="0.25">
      <c r="A30017" s="2" t="str">
        <f t="shared" si="1078"/>
        <v>12940</v>
      </c>
      <c r="B30017" s="2" t="str">
        <f>"70732"</f>
        <v>70732</v>
      </c>
      <c r="C30017" s="1">
        <v>4.62346269865269E-4</v>
      </c>
      <c r="D30017" s="1">
        <v>5.7106961338587103E-5</v>
      </c>
      <c r="E30017" s="1">
        <v>8.7881184638368906E-5</v>
      </c>
      <c r="F30017" s="1">
        <v>4.2102057178176801E-4</v>
      </c>
    </row>
    <row r="30018" spans="1:6" x14ac:dyDescent="0.25">
      <c r="A30018" s="2" t="str">
        <f t="shared" si="1078"/>
        <v>12940</v>
      </c>
      <c r="B30018" s="2" t="str">
        <f>"70759"</f>
        <v>70759</v>
      </c>
      <c r="C30018" s="1">
        <v>1.0546493290980699E-3</v>
      </c>
      <c r="D30018" s="1">
        <v>2.5698132602364199E-4</v>
      </c>
      <c r="E30018" s="1">
        <v>0</v>
      </c>
      <c r="F30018" s="1">
        <v>9.6521205552096805E-4</v>
      </c>
    </row>
    <row r="30019" spans="1:6" x14ac:dyDescent="0.25">
      <c r="A30019" s="2" t="str">
        <f t="shared" si="1078"/>
        <v>12940</v>
      </c>
      <c r="B30019" s="2" t="str">
        <f>"70748"</f>
        <v>70748</v>
      </c>
      <c r="C30019" s="1">
        <v>4.1861081190504102E-3</v>
      </c>
      <c r="D30019" s="1">
        <v>1.45622751413397E-3</v>
      </c>
      <c r="E30019" s="1">
        <v>7.9093066174532002E-4</v>
      </c>
      <c r="F30019" s="1">
        <v>3.8854824044753499E-3</v>
      </c>
    </row>
    <row r="30020" spans="1:6" x14ac:dyDescent="0.25">
      <c r="A30020" s="2" t="str">
        <f t="shared" si="1078"/>
        <v>12940</v>
      </c>
      <c r="B30020" s="2" t="str">
        <f>"70739"</f>
        <v>70739</v>
      </c>
      <c r="C30020" s="1">
        <v>1.3193113289831099E-2</v>
      </c>
      <c r="D30020" s="1">
        <v>4.4543429844097898E-3</v>
      </c>
      <c r="E30020" s="1">
        <v>3.2516038316196499E-3</v>
      </c>
      <c r="F30020" s="1">
        <v>1.2254386004201199E-2</v>
      </c>
    </row>
    <row r="30021" spans="1:6" x14ac:dyDescent="0.25">
      <c r="A30021" s="2" t="str">
        <f t="shared" si="1078"/>
        <v>12940</v>
      </c>
      <c r="B30021" s="2" t="str">
        <f>"70715"</f>
        <v>70715</v>
      </c>
      <c r="C30021" s="1">
        <v>1.3445529361487301E-3</v>
      </c>
      <c r="D30021" s="1">
        <v>4.8540917137798999E-4</v>
      </c>
      <c r="E30021" s="1">
        <v>0</v>
      </c>
      <c r="F30021" s="1">
        <v>1.2429064752068101E-3</v>
      </c>
    </row>
    <row r="30022" spans="1:6" x14ac:dyDescent="0.25">
      <c r="A30022" s="2" t="str">
        <f t="shared" si="1078"/>
        <v>12940</v>
      </c>
      <c r="B30022" s="2" t="str">
        <f>"70719"</f>
        <v>70719</v>
      </c>
      <c r="C30022" s="1">
        <v>3.9861745969465099E-3</v>
      </c>
      <c r="D30022" s="1">
        <v>1.7417623208269E-3</v>
      </c>
      <c r="E30022" s="1">
        <v>2.1970296159592199E-3</v>
      </c>
      <c r="F30022" s="1">
        <v>3.7645509636444201E-3</v>
      </c>
    </row>
    <row r="30023" spans="1:6" x14ac:dyDescent="0.25">
      <c r="A30023" s="2" t="str">
        <f t="shared" si="1078"/>
        <v>12940</v>
      </c>
      <c r="B30023" s="2" t="str">
        <f>"70706"</f>
        <v>70706</v>
      </c>
      <c r="C30023" s="1">
        <v>2.22301084889274E-2</v>
      </c>
      <c r="D30023" s="1">
        <v>6.5387470732682302E-3</v>
      </c>
      <c r="E30023" s="1">
        <v>4.3061780472800704E-3</v>
      </c>
      <c r="F30023" s="1">
        <v>2.0542668643373101E-2</v>
      </c>
    </row>
    <row r="30024" spans="1:6" x14ac:dyDescent="0.25">
      <c r="A30024" s="2" t="str">
        <f t="shared" si="1078"/>
        <v>12940</v>
      </c>
      <c r="B30024" s="2" t="str">
        <f>"70726"</f>
        <v>70726</v>
      </c>
      <c r="C30024" s="1">
        <v>6.3326443957384099E-2</v>
      </c>
      <c r="D30024" s="1">
        <v>4.3858146308034897E-2</v>
      </c>
      <c r="E30024" s="1">
        <v>4.2270849811055403E-2</v>
      </c>
      <c r="F30024" s="1">
        <v>6.1262972136500199E-2</v>
      </c>
    </row>
    <row r="30025" spans="1:6" x14ac:dyDescent="0.25">
      <c r="A30025" s="2" t="str">
        <f t="shared" si="1078"/>
        <v>12940</v>
      </c>
      <c r="B30025" s="2" t="str">
        <f>"70449"</f>
        <v>70449</v>
      </c>
      <c r="C30025" s="1">
        <v>4.7159319526257496E-3</v>
      </c>
      <c r="D30025" s="1">
        <v>1.9130832048426701E-3</v>
      </c>
      <c r="E30025" s="1">
        <v>1.6697425081289999E-3</v>
      </c>
      <c r="F30025" s="1">
        <v>4.4184765325820602E-3</v>
      </c>
    </row>
    <row r="30026" spans="1:6" x14ac:dyDescent="0.25">
      <c r="A30026" s="2" t="str">
        <f t="shared" si="1078"/>
        <v>12940</v>
      </c>
      <c r="B30026" s="2" t="str">
        <f>"70462"</f>
        <v>70462</v>
      </c>
      <c r="C30026" s="1">
        <v>6.8727148223215696E-3</v>
      </c>
      <c r="D30026" s="1">
        <v>2.0844040888584299E-3</v>
      </c>
      <c r="E30026" s="1">
        <v>1.8455048774057401E-3</v>
      </c>
      <c r="F30026" s="1">
        <v>6.3690558837624896E-3</v>
      </c>
    </row>
    <row r="30027" spans="1:6" x14ac:dyDescent="0.25">
      <c r="A30027" s="2" t="str">
        <f t="shared" si="1078"/>
        <v>12940</v>
      </c>
      <c r="B30027" s="2" t="str">
        <f>"70443"</f>
        <v>70443</v>
      </c>
      <c r="C30027" s="1">
        <v>3.3463873262140299E-3</v>
      </c>
      <c r="D30027" s="1">
        <v>1.99874364685055E-4</v>
      </c>
      <c r="E30027" s="1">
        <v>3.5152473855347497E-4</v>
      </c>
      <c r="F30027" s="1">
        <v>3.0232860207733301E-3</v>
      </c>
    </row>
    <row r="30028" spans="1:6" x14ac:dyDescent="0.25">
      <c r="A30028" s="2" t="str">
        <f t="shared" si="1078"/>
        <v>12940</v>
      </c>
      <c r="B30028" s="2" t="str">
        <f>"70341"</f>
        <v>70341</v>
      </c>
      <c r="C30028" s="1">
        <v>2.52915905461434E-3</v>
      </c>
      <c r="D30028" s="1">
        <v>9.4226486208668801E-4</v>
      </c>
      <c r="E30028" s="1">
        <v>9.6669303102205799E-4</v>
      </c>
      <c r="F30028" s="1">
        <v>2.3648815095826899E-3</v>
      </c>
    </row>
    <row r="30029" spans="1:6" x14ac:dyDescent="0.25">
      <c r="A30029" s="2" t="str">
        <f t="shared" ref="A30029:A30034" si="1079">"14220"</f>
        <v>14220</v>
      </c>
      <c r="B30029" s="2" t="str">
        <f>"70435"</f>
        <v>70435</v>
      </c>
      <c r="C30029" s="1">
        <v>8.4005376344086001E-5</v>
      </c>
      <c r="D30029" s="1">
        <v>0</v>
      </c>
      <c r="E30029" s="1">
        <v>0</v>
      </c>
      <c r="F30029" s="1">
        <v>7.7552444840823606E-5</v>
      </c>
    </row>
    <row r="30030" spans="1:6" x14ac:dyDescent="0.25">
      <c r="A30030" s="2" t="str">
        <f t="shared" si="1079"/>
        <v>14220</v>
      </c>
      <c r="B30030" s="2" t="str">
        <f>"70438"</f>
        <v>70438</v>
      </c>
      <c r="C30030" s="1">
        <v>0.40830813172043001</v>
      </c>
      <c r="D30030" s="1">
        <v>0.412173913043478</v>
      </c>
      <c r="E30030" s="1">
        <v>0.21484375</v>
      </c>
      <c r="F30030" s="1">
        <v>0.40664624452285802</v>
      </c>
    </row>
    <row r="30031" spans="1:6" x14ac:dyDescent="0.25">
      <c r="A30031" s="2" t="str">
        <f t="shared" si="1079"/>
        <v>14220</v>
      </c>
      <c r="B30031" s="2" t="str">
        <f>"70427"</f>
        <v>70427</v>
      </c>
      <c r="C30031" s="1">
        <v>0.41565860215053702</v>
      </c>
      <c r="D30031" s="1">
        <v>0.54028985507246297</v>
      </c>
      <c r="E30031" s="1">
        <v>0.71484375</v>
      </c>
      <c r="F30031" s="1">
        <v>0.42696498507115399</v>
      </c>
    </row>
    <row r="30032" spans="1:6" x14ac:dyDescent="0.25">
      <c r="A30032" s="2" t="str">
        <f t="shared" si="1079"/>
        <v>14220</v>
      </c>
      <c r="B30032" s="2" t="str">
        <f>"70426"</f>
        <v>70426</v>
      </c>
      <c r="C30032" s="1">
        <v>0.10979502688172001</v>
      </c>
      <c r="D30032" s="1">
        <v>3.3623188405797103E-2</v>
      </c>
      <c r="E30032" s="1">
        <v>5.078125E-2</v>
      </c>
      <c r="F30032" s="1">
        <v>0.104114157198805</v>
      </c>
    </row>
    <row r="30033" spans="1:6" x14ac:dyDescent="0.25">
      <c r="A30033" s="2" t="str">
        <f t="shared" si="1079"/>
        <v>14220</v>
      </c>
      <c r="B30033" s="2" t="str">
        <f>"70450"</f>
        <v>70450</v>
      </c>
      <c r="C30033" s="1">
        <v>6.3466061827956902E-2</v>
      </c>
      <c r="D30033" s="1">
        <v>1.2753623188405699E-2</v>
      </c>
      <c r="E30033" s="1">
        <v>1.953125E-2</v>
      </c>
      <c r="F30033" s="1">
        <v>5.9637830082593303E-2</v>
      </c>
    </row>
    <row r="30034" spans="1:6" x14ac:dyDescent="0.25">
      <c r="A30034" s="2" t="str">
        <f t="shared" si="1079"/>
        <v>14220</v>
      </c>
      <c r="B30034" s="2" t="str">
        <f>"70444"</f>
        <v>70444</v>
      </c>
      <c r="C30034" s="1">
        <v>2.6881720430107499E-3</v>
      </c>
      <c r="D30034" s="1">
        <v>1.15942028985507E-3</v>
      </c>
      <c r="E30034" s="1">
        <v>0</v>
      </c>
      <c r="F30034" s="1">
        <v>2.55923067974717E-3</v>
      </c>
    </row>
    <row r="30035" spans="1:6" x14ac:dyDescent="0.25">
      <c r="A30035" s="2" t="str">
        <f t="shared" ref="A30035:A30064" si="1080">"40780"</f>
        <v>40780</v>
      </c>
      <c r="B30035" s="2" t="str">
        <f>"72838"</f>
        <v>72838</v>
      </c>
      <c r="C30035" s="1">
        <v>2.6335769194267798E-3</v>
      </c>
      <c r="D30035" s="1">
        <v>0</v>
      </c>
      <c r="E30035" s="1">
        <v>1.1587485515643101E-3</v>
      </c>
      <c r="F30035" s="1">
        <v>2.40891297801866E-3</v>
      </c>
    </row>
    <row r="30036" spans="1:6" x14ac:dyDescent="0.25">
      <c r="A30036" s="2" t="str">
        <f t="shared" si="1080"/>
        <v>40780</v>
      </c>
      <c r="B30036" s="2" t="str">
        <f>"72827"</f>
        <v>72827</v>
      </c>
      <c r="C30036" s="1">
        <v>4.4130207839043296E-3</v>
      </c>
      <c r="D30036" s="1">
        <v>0</v>
      </c>
      <c r="E30036" s="1">
        <v>2.3174971031286202E-3</v>
      </c>
      <c r="F30036" s="1">
        <v>4.04353249881705E-3</v>
      </c>
    </row>
    <row r="30037" spans="1:6" x14ac:dyDescent="0.25">
      <c r="A30037" s="2" t="str">
        <f t="shared" si="1080"/>
        <v>40780</v>
      </c>
      <c r="B30037" s="2" t="str">
        <f>"72812"</f>
        <v>72812</v>
      </c>
      <c r="C30037" s="1">
        <v>3.5161810762076397E-2</v>
      </c>
      <c r="D30037" s="1">
        <v>3.8472581108239999E-2</v>
      </c>
      <c r="E30037" s="1">
        <v>2.3174971031286202E-3</v>
      </c>
      <c r="F30037" s="1">
        <v>3.4800189271733901E-2</v>
      </c>
    </row>
    <row r="30038" spans="1:6" x14ac:dyDescent="0.25">
      <c r="A30038" s="2" t="str">
        <f t="shared" si="1080"/>
        <v>40780</v>
      </c>
      <c r="B30038" s="2" t="str">
        <f>"72811"</f>
        <v>72811</v>
      </c>
      <c r="C30038" s="1">
        <v>2.4413969820632E-2</v>
      </c>
      <c r="D30038" s="1">
        <v>0.118288831467126</v>
      </c>
      <c r="E30038" s="1">
        <v>2.3174971031286202E-3</v>
      </c>
      <c r="F30038" s="1">
        <v>3.10362627435798E-2</v>
      </c>
    </row>
    <row r="30039" spans="1:6" x14ac:dyDescent="0.25">
      <c r="A30039" s="2" t="str">
        <f t="shared" si="1080"/>
        <v>40780</v>
      </c>
      <c r="B30039" s="2" t="str">
        <f>"72686"</f>
        <v>72686</v>
      </c>
      <c r="C30039" s="1">
        <v>1.58963651893328E-3</v>
      </c>
      <c r="D30039" s="1">
        <v>0</v>
      </c>
      <c r="E30039" s="1">
        <v>3.4762456546929298E-3</v>
      </c>
      <c r="F30039" s="1">
        <v>1.5055706112616599E-3</v>
      </c>
    </row>
    <row r="30040" spans="1:6" x14ac:dyDescent="0.25">
      <c r="A30040" s="2" t="str">
        <f t="shared" si="1080"/>
        <v>40780</v>
      </c>
      <c r="B30040" s="2" t="str">
        <f>"72860"</f>
        <v>72860</v>
      </c>
      <c r="C30040" s="1">
        <v>4.4130207839043296E-3</v>
      </c>
      <c r="D30040" s="1">
        <v>1.4355440712029799E-3</v>
      </c>
      <c r="E30040" s="1">
        <v>1.1587485515643101E-3</v>
      </c>
      <c r="F30040" s="1">
        <v>4.1295651051748601E-3</v>
      </c>
    </row>
    <row r="30041" spans="1:6" x14ac:dyDescent="0.25">
      <c r="A30041" s="2" t="str">
        <f t="shared" si="1080"/>
        <v>40780</v>
      </c>
      <c r="B30041" s="2" t="str">
        <f>"72829"</f>
        <v>72829</v>
      </c>
      <c r="C30041" s="1">
        <v>0</v>
      </c>
      <c r="D30041" s="1">
        <v>0</v>
      </c>
      <c r="E30041" s="1">
        <v>1.1587485515643101E-3</v>
      </c>
      <c r="F30041" s="1">
        <v>2.1508151589452401E-5</v>
      </c>
    </row>
    <row r="30042" spans="1:6" x14ac:dyDescent="0.25">
      <c r="A30042" s="2" t="str">
        <f t="shared" si="1080"/>
        <v>40780</v>
      </c>
      <c r="B30042" s="2" t="str">
        <f>"72841"</f>
        <v>72841</v>
      </c>
      <c r="C30042" s="1">
        <v>3.32162854702476E-4</v>
      </c>
      <c r="D30042" s="1">
        <v>2.8710881424059699E-4</v>
      </c>
      <c r="E30042" s="1">
        <v>0</v>
      </c>
      <c r="F30042" s="1">
        <v>3.22622273841786E-4</v>
      </c>
    </row>
    <row r="30043" spans="1:6" x14ac:dyDescent="0.25">
      <c r="A30043" s="2" t="str">
        <f t="shared" si="1080"/>
        <v>40780</v>
      </c>
      <c r="B30043" s="2" t="str">
        <f>"72837"</f>
        <v>72837</v>
      </c>
      <c r="C30043" s="1">
        <v>8.9446711587738398E-2</v>
      </c>
      <c r="D30043" s="1">
        <v>2.3830031581969498E-2</v>
      </c>
      <c r="E30043" s="1">
        <v>4.1714947856315097E-2</v>
      </c>
      <c r="F30043" s="1">
        <v>8.3645201531380303E-2</v>
      </c>
    </row>
    <row r="30044" spans="1:6" x14ac:dyDescent="0.25">
      <c r="A30044" s="2" t="str">
        <f t="shared" si="1080"/>
        <v>40780</v>
      </c>
      <c r="B30044" s="2" t="str">
        <f>"72802"</f>
        <v>72802</v>
      </c>
      <c r="C30044" s="1">
        <v>0.24442440922463601</v>
      </c>
      <c r="D30044" s="1">
        <v>0.20872810795291399</v>
      </c>
      <c r="E30044" s="1">
        <v>0.202780996523754</v>
      </c>
      <c r="F30044" s="1">
        <v>0.240977330408224</v>
      </c>
    </row>
    <row r="30045" spans="1:6" x14ac:dyDescent="0.25">
      <c r="A30045" s="2" t="str">
        <f t="shared" si="1080"/>
        <v>40780</v>
      </c>
      <c r="B30045" s="2" t="str">
        <f>"72856"</f>
        <v>72856</v>
      </c>
      <c r="C30045" s="1">
        <v>6.3822719939261603E-3</v>
      </c>
      <c r="D30045" s="1">
        <v>1.1484352569623799E-3</v>
      </c>
      <c r="E30045" s="1">
        <v>3.4762456546929298E-3</v>
      </c>
      <c r="F30045" s="1">
        <v>5.9362498386888599E-3</v>
      </c>
    </row>
    <row r="30046" spans="1:6" x14ac:dyDescent="0.25">
      <c r="A30046" s="2" t="str">
        <f t="shared" si="1080"/>
        <v>40780</v>
      </c>
      <c r="B30046" s="2" t="str">
        <f>"72842"</f>
        <v>72842</v>
      </c>
      <c r="C30046" s="1">
        <v>1.48998766252253E-2</v>
      </c>
      <c r="D30046" s="1">
        <v>2.8710881424059702E-3</v>
      </c>
      <c r="E30046" s="1">
        <v>1.1587485515643101E-3</v>
      </c>
      <c r="F30046" s="1">
        <v>1.3743708865660001E-2</v>
      </c>
    </row>
    <row r="30047" spans="1:6" x14ac:dyDescent="0.25">
      <c r="A30047" s="2" t="str">
        <f t="shared" si="1080"/>
        <v>40780</v>
      </c>
      <c r="B30047" s="2" t="str">
        <f>"72833"</f>
        <v>72833</v>
      </c>
      <c r="C30047" s="1">
        <v>3.9195216854892197E-2</v>
      </c>
      <c r="D30047" s="1">
        <v>1.32070054550674E-2</v>
      </c>
      <c r="E30047" s="1">
        <v>1.39049826187717E-2</v>
      </c>
      <c r="F30047" s="1">
        <v>3.6778939217963602E-2</v>
      </c>
    </row>
    <row r="30048" spans="1:6" x14ac:dyDescent="0.25">
      <c r="A30048" s="2" t="str">
        <f t="shared" si="1080"/>
        <v>40780</v>
      </c>
      <c r="B30048" s="2" t="str">
        <f>"72823"</f>
        <v>72823</v>
      </c>
      <c r="C30048" s="1">
        <v>7.27673910980354E-2</v>
      </c>
      <c r="D30048" s="1">
        <v>4.9669824863623299E-2</v>
      </c>
      <c r="E30048" s="1">
        <v>4.1714947856315097E-2</v>
      </c>
      <c r="F30048" s="1">
        <v>7.0460704607045996E-2</v>
      </c>
    </row>
    <row r="30049" spans="1:6" x14ac:dyDescent="0.25">
      <c r="A30049" s="2" t="str">
        <f t="shared" si="1080"/>
        <v>40780</v>
      </c>
      <c r="B30049" s="2" t="str">
        <f>"72846"</f>
        <v>72846</v>
      </c>
      <c r="C30049" s="1">
        <v>9.0158489133529396E-4</v>
      </c>
      <c r="D30049" s="1">
        <v>0</v>
      </c>
      <c r="E30049" s="1">
        <v>0</v>
      </c>
      <c r="F30049" s="1">
        <v>8.1730976039919099E-4</v>
      </c>
    </row>
    <row r="30050" spans="1:6" x14ac:dyDescent="0.25">
      <c r="A30050" s="2" t="str">
        <f t="shared" si="1080"/>
        <v>40780</v>
      </c>
      <c r="B30050" s="2" t="str">
        <f>"72679"</f>
        <v>72679</v>
      </c>
      <c r="C30050" s="1">
        <v>9.0158489133529396E-4</v>
      </c>
      <c r="D30050" s="1">
        <v>5.7421762848119398E-4</v>
      </c>
      <c r="E30050" s="1">
        <v>1.1587485515643101E-3</v>
      </c>
      <c r="F30050" s="1">
        <v>8.8183421516754802E-4</v>
      </c>
    </row>
    <row r="30051" spans="1:6" x14ac:dyDescent="0.25">
      <c r="A30051" s="2" t="str">
        <f t="shared" si="1080"/>
        <v>40780</v>
      </c>
      <c r="B30051" s="2" t="str">
        <f>"72080"</f>
        <v>72080</v>
      </c>
      <c r="C30051" s="1">
        <v>6.1687387301888504E-4</v>
      </c>
      <c r="D30051" s="1">
        <v>0</v>
      </c>
      <c r="E30051" s="1">
        <v>0</v>
      </c>
      <c r="F30051" s="1">
        <v>5.5921194132576202E-4</v>
      </c>
    </row>
    <row r="30052" spans="1:6" x14ac:dyDescent="0.25">
      <c r="A30052" s="2" t="str">
        <f t="shared" si="1080"/>
        <v>40780</v>
      </c>
      <c r="B30052" s="2" t="str">
        <f>"72943"</f>
        <v>72943</v>
      </c>
      <c r="C30052" s="1">
        <v>3.7961469108854502E-4</v>
      </c>
      <c r="D30052" s="1">
        <v>0</v>
      </c>
      <c r="E30052" s="1">
        <v>0</v>
      </c>
      <c r="F30052" s="1">
        <v>3.4413042543123798E-4</v>
      </c>
    </row>
    <row r="30053" spans="1:6" x14ac:dyDescent="0.25">
      <c r="A30053" s="2" t="str">
        <f t="shared" si="1080"/>
        <v>40780</v>
      </c>
      <c r="B30053" s="2" t="str">
        <f>"72847"</f>
        <v>72847</v>
      </c>
      <c r="C30053" s="1">
        <v>2.28006073835057E-2</v>
      </c>
      <c r="D30053" s="1">
        <v>4.8808498420901498E-3</v>
      </c>
      <c r="E30053" s="1">
        <v>5.7937427578215496E-3</v>
      </c>
      <c r="F30053" s="1">
        <v>2.11425130124317E-2</v>
      </c>
    </row>
    <row r="30054" spans="1:6" x14ac:dyDescent="0.25">
      <c r="A30054" s="2" t="str">
        <f t="shared" si="1080"/>
        <v>40780</v>
      </c>
      <c r="B30054" s="2" t="str">
        <f>"72843"</f>
        <v>72843</v>
      </c>
      <c r="C30054" s="1">
        <v>2.6976368985479698E-2</v>
      </c>
      <c r="D30054" s="1">
        <v>6.8906115417743299E-3</v>
      </c>
      <c r="E30054" s="1">
        <v>6.9524913093858597E-3</v>
      </c>
      <c r="F30054" s="1">
        <v>2.51000129048909E-2</v>
      </c>
    </row>
    <row r="30055" spans="1:6" x14ac:dyDescent="0.25">
      <c r="A30055" s="2" t="str">
        <f t="shared" si="1080"/>
        <v>40780</v>
      </c>
      <c r="B30055" s="2" t="str">
        <f>"72834"</f>
        <v>72834</v>
      </c>
      <c r="C30055" s="1">
        <v>0.12821486191515599</v>
      </c>
      <c r="D30055" s="1">
        <v>0.14298018949181701</v>
      </c>
      <c r="E30055" s="1">
        <v>4.7508690614136699E-2</v>
      </c>
      <c r="F30055" s="1">
        <v>0.12782294489611501</v>
      </c>
    </row>
    <row r="30056" spans="1:6" x14ac:dyDescent="0.25">
      <c r="A30056" s="2" t="str">
        <f t="shared" si="1080"/>
        <v>40780</v>
      </c>
      <c r="B30056" s="2" t="str">
        <f>"72857"</f>
        <v>72857</v>
      </c>
      <c r="C30056" s="1">
        <v>1.3642402960994501E-2</v>
      </c>
      <c r="D30056" s="1">
        <v>2.0097616996841801E-3</v>
      </c>
      <c r="E30056" s="1">
        <v>3.4762456546929298E-3</v>
      </c>
      <c r="F30056" s="1">
        <v>1.2582268679829599E-2</v>
      </c>
    </row>
    <row r="30057" spans="1:6" x14ac:dyDescent="0.25">
      <c r="A30057" s="2" t="str">
        <f t="shared" si="1080"/>
        <v>40780</v>
      </c>
      <c r="B30057" s="2" t="str">
        <f>"72839"</f>
        <v>72839</v>
      </c>
      <c r="C30057" s="1">
        <v>1.66081427351238E-4</v>
      </c>
      <c r="D30057" s="1">
        <v>0</v>
      </c>
      <c r="E30057" s="1">
        <v>0</v>
      </c>
      <c r="F30057" s="1">
        <v>1.5055706112616601E-4</v>
      </c>
    </row>
    <row r="30058" spans="1:6" x14ac:dyDescent="0.25">
      <c r="A30058" s="2" t="str">
        <f t="shared" si="1080"/>
        <v>40780</v>
      </c>
      <c r="B30058" s="2" t="str">
        <f>"72063"</f>
        <v>72063</v>
      </c>
      <c r="C30058" s="1">
        <v>3.32162854702476E-4</v>
      </c>
      <c r="D30058" s="1">
        <v>0</v>
      </c>
      <c r="E30058" s="1">
        <v>0</v>
      </c>
      <c r="F30058" s="1">
        <v>3.0111412225233299E-4</v>
      </c>
    </row>
    <row r="30059" spans="1:6" x14ac:dyDescent="0.25">
      <c r="A30059" s="2" t="str">
        <f t="shared" si="1080"/>
        <v>40780</v>
      </c>
      <c r="B30059" s="2" t="str">
        <f>"72025"</f>
        <v>72025</v>
      </c>
      <c r="C30059" s="1">
        <v>2.6098510012337398E-4</v>
      </c>
      <c r="D30059" s="1">
        <v>0</v>
      </c>
      <c r="E30059" s="1">
        <v>0</v>
      </c>
      <c r="F30059" s="1">
        <v>2.3658966748397599E-4</v>
      </c>
    </row>
    <row r="30060" spans="1:6" x14ac:dyDescent="0.25">
      <c r="A30060" s="2" t="str">
        <f t="shared" si="1080"/>
        <v>40780</v>
      </c>
      <c r="B30060" s="2" t="str">
        <f>"72858"</f>
        <v>72858</v>
      </c>
      <c r="C30060" s="1">
        <v>3.4995729334725202E-2</v>
      </c>
      <c r="D30060" s="1">
        <v>1.6939420040195202E-2</v>
      </c>
      <c r="E30060" s="1">
        <v>5.7937427578215496E-3</v>
      </c>
      <c r="F30060" s="1">
        <v>3.3101045296167197E-2</v>
      </c>
    </row>
    <row r="30061" spans="1:6" x14ac:dyDescent="0.25">
      <c r="A30061" s="2" t="str">
        <f t="shared" si="1080"/>
        <v>40780</v>
      </c>
      <c r="B30061" s="2" t="str">
        <f>"72853"</f>
        <v>72853</v>
      </c>
      <c r="C30061" s="1">
        <v>2.0190756382271899E-2</v>
      </c>
      <c r="D30061" s="1">
        <v>4.0195233993683601E-3</v>
      </c>
      <c r="E30061" s="1">
        <v>1.04287369640787E-2</v>
      </c>
      <c r="F30061" s="1">
        <v>1.8798124489181299E-2</v>
      </c>
    </row>
    <row r="30062" spans="1:6" x14ac:dyDescent="0.25">
      <c r="A30062" s="2" t="str">
        <f t="shared" si="1080"/>
        <v>40780</v>
      </c>
      <c r="B30062" s="2" t="str">
        <f>"72828"</f>
        <v>72828</v>
      </c>
      <c r="C30062" s="1">
        <v>2.4674954920755401E-3</v>
      </c>
      <c r="D30062" s="1">
        <v>1.4355440712029799E-3</v>
      </c>
      <c r="E30062" s="1">
        <v>1.1587485515643101E-3</v>
      </c>
      <c r="F30062" s="1">
        <v>2.3658966748397602E-3</v>
      </c>
    </row>
    <row r="30063" spans="1:6" x14ac:dyDescent="0.25">
      <c r="A30063" s="2" t="str">
        <f t="shared" si="1080"/>
        <v>40780</v>
      </c>
      <c r="B30063" s="2" t="str">
        <f>"72824"</f>
        <v>72824</v>
      </c>
      <c r="C30063" s="1">
        <v>1.64183353895795E-2</v>
      </c>
      <c r="D30063" s="1">
        <v>2.58397932816537E-3</v>
      </c>
      <c r="E30063" s="1">
        <v>1.1587485515643101E-3</v>
      </c>
      <c r="F30063" s="1">
        <v>1.5098722415795501E-2</v>
      </c>
    </row>
    <row r="30064" spans="1:6" x14ac:dyDescent="0.25">
      <c r="A30064" s="2" t="str">
        <f t="shared" si="1080"/>
        <v>40780</v>
      </c>
      <c r="B30064" s="2" t="str">
        <f>"72801"</f>
        <v>72801</v>
      </c>
      <c r="C30064" s="1">
        <v>0.190661478599221</v>
      </c>
      <c r="D30064" s="1">
        <v>0.35974734424346799</v>
      </c>
      <c r="E30064" s="1">
        <v>0.597914252607184</v>
      </c>
      <c r="F30064" s="1">
        <v>0.21088742633457999</v>
      </c>
    </row>
    <row r="30065" spans="1:6" x14ac:dyDescent="0.25">
      <c r="A30065" s="2" t="str">
        <f t="shared" ref="A30065:A30080" si="1081">"34260"</f>
        <v>34260</v>
      </c>
      <c r="B30065" s="2" t="str">
        <f>"72663"</f>
        <v>72663</v>
      </c>
      <c r="C30065" s="1">
        <v>7.8097543832246401E-5</v>
      </c>
      <c r="D30065" s="1">
        <v>0</v>
      </c>
      <c r="E30065" s="1">
        <v>0</v>
      </c>
      <c r="F30065" s="1">
        <v>7.0569140115027594E-5</v>
      </c>
    </row>
    <row r="30066" spans="1:6" x14ac:dyDescent="0.25">
      <c r="A30066" s="2" t="str">
        <f t="shared" si="1081"/>
        <v>34260</v>
      </c>
      <c r="B30066" s="2" t="str">
        <f>"72544"</f>
        <v>72544</v>
      </c>
      <c r="C30066" s="1">
        <v>1.88996056074036E-2</v>
      </c>
      <c r="D30066" s="1">
        <v>2.5695931477515998E-3</v>
      </c>
      <c r="E30066" s="1">
        <v>5.0377833753148596E-3</v>
      </c>
      <c r="F30066" s="1">
        <v>1.73600084682968E-2</v>
      </c>
    </row>
    <row r="30067" spans="1:6" x14ac:dyDescent="0.25">
      <c r="A30067" s="2" t="str">
        <f t="shared" si="1081"/>
        <v>34260</v>
      </c>
      <c r="B30067" s="2" t="str">
        <f>"72659"</f>
        <v>72659</v>
      </c>
      <c r="C30067" s="1">
        <v>0</v>
      </c>
      <c r="D30067" s="1">
        <v>0</v>
      </c>
      <c r="E30067" s="1">
        <v>2.5188916876574298E-3</v>
      </c>
      <c r="F30067" s="1">
        <v>3.5284570057513797E-5</v>
      </c>
    </row>
    <row r="30068" spans="1:6" x14ac:dyDescent="0.25">
      <c r="A30068" s="2" t="str">
        <f t="shared" si="1081"/>
        <v>34260</v>
      </c>
      <c r="B30068" s="2" t="str">
        <f>"72658"</f>
        <v>72658</v>
      </c>
      <c r="C30068" s="1">
        <v>3.6081065250497799E-2</v>
      </c>
      <c r="D30068" s="1">
        <v>4.71092077087794E-3</v>
      </c>
      <c r="E30068" s="1">
        <v>7.5566750629722903E-3</v>
      </c>
      <c r="F30068" s="1">
        <v>3.30969267139479E-2</v>
      </c>
    </row>
    <row r="30069" spans="1:6" x14ac:dyDescent="0.25">
      <c r="A30069" s="2" t="str">
        <f t="shared" si="1081"/>
        <v>34260</v>
      </c>
      <c r="B30069" s="2" t="str">
        <f>"72653"</f>
        <v>72653</v>
      </c>
      <c r="C30069" s="1">
        <v>0.61931352258971395</v>
      </c>
      <c r="D30069" s="1">
        <v>0.68479657387580195</v>
      </c>
      <c r="E30069" s="1">
        <v>0.79596977329974805</v>
      </c>
      <c r="F30069" s="1">
        <v>0.62718323277230803</v>
      </c>
    </row>
    <row r="30070" spans="1:6" x14ac:dyDescent="0.25">
      <c r="A30070" s="2" t="str">
        <f t="shared" si="1081"/>
        <v>34260</v>
      </c>
      <c r="B30070" s="2" t="str">
        <f>"72654"</f>
        <v>72654</v>
      </c>
      <c r="C30070" s="1">
        <v>6.9155375063454205E-2</v>
      </c>
      <c r="D30070" s="1">
        <v>0.18029978586723699</v>
      </c>
      <c r="E30070" s="1">
        <v>5.0377833753148596E-3</v>
      </c>
      <c r="F30070" s="1">
        <v>7.74143467061853E-2</v>
      </c>
    </row>
    <row r="30071" spans="1:6" x14ac:dyDescent="0.25">
      <c r="A30071" s="2" t="str">
        <f t="shared" si="1081"/>
        <v>34260</v>
      </c>
      <c r="B30071" s="2" t="str">
        <f>"72635"</f>
        <v>72635</v>
      </c>
      <c r="C30071" s="1">
        <v>6.7671521730641504E-2</v>
      </c>
      <c r="D30071" s="1">
        <v>4.7965738758029897E-2</v>
      </c>
      <c r="E30071" s="1">
        <v>4.5340050377833702E-2</v>
      </c>
      <c r="F30071" s="1">
        <v>6.5735154017148301E-2</v>
      </c>
    </row>
    <row r="30072" spans="1:6" x14ac:dyDescent="0.25">
      <c r="A30072" s="2" t="str">
        <f t="shared" si="1081"/>
        <v>34260</v>
      </c>
      <c r="B30072" s="2" t="str">
        <f>"72623"</f>
        <v>72623</v>
      </c>
      <c r="C30072" s="1">
        <v>1.4799484556210701E-2</v>
      </c>
      <c r="D30072" s="1">
        <v>8.5653104925053497E-4</v>
      </c>
      <c r="E30072" s="1">
        <v>1.00755667506297E-2</v>
      </c>
      <c r="F30072" s="1">
        <v>1.35845594721428E-2</v>
      </c>
    </row>
    <row r="30073" spans="1:6" x14ac:dyDescent="0.25">
      <c r="A30073" s="2" t="str">
        <f t="shared" si="1081"/>
        <v>34260</v>
      </c>
      <c r="B30073" s="2" t="str">
        <f>"72537"</f>
        <v>72537</v>
      </c>
      <c r="C30073" s="1">
        <v>2.1789214729196701E-2</v>
      </c>
      <c r="D30073" s="1">
        <v>9.42184154175588E-3</v>
      </c>
      <c r="E30073" s="1">
        <v>1.25944584382871E-2</v>
      </c>
      <c r="F30073" s="1">
        <v>2.06414734836456E-2</v>
      </c>
    </row>
    <row r="30074" spans="1:6" x14ac:dyDescent="0.25">
      <c r="A30074" s="2" t="str">
        <f t="shared" si="1081"/>
        <v>34260</v>
      </c>
      <c r="B30074" s="2" t="str">
        <f>"72538"</f>
        <v>72538</v>
      </c>
      <c r="C30074" s="1">
        <v>7.8097543832246401E-5</v>
      </c>
      <c r="D30074" s="1">
        <v>0</v>
      </c>
      <c r="E30074" s="1">
        <v>0</v>
      </c>
      <c r="F30074" s="1">
        <v>7.0569140115027594E-5</v>
      </c>
    </row>
    <row r="30075" spans="1:6" x14ac:dyDescent="0.25">
      <c r="A30075" s="2" t="str">
        <f t="shared" si="1081"/>
        <v>34260</v>
      </c>
      <c r="B30075" s="2" t="str">
        <f>"72651"</f>
        <v>72651</v>
      </c>
      <c r="C30075" s="1">
        <v>2.9911359287750398E-2</v>
      </c>
      <c r="D30075" s="1">
        <v>2.31263383297644E-2</v>
      </c>
      <c r="E30075" s="1">
        <v>4.78589420654911E-2</v>
      </c>
      <c r="F30075" s="1">
        <v>2.96037542782541E-2</v>
      </c>
    </row>
    <row r="30076" spans="1:6" x14ac:dyDescent="0.25">
      <c r="A30076" s="2" t="str">
        <f t="shared" si="1081"/>
        <v>34260</v>
      </c>
      <c r="B30076" s="2" t="str">
        <f>"72642"</f>
        <v>72642</v>
      </c>
      <c r="C30076" s="1">
        <v>4.6897575071263999E-2</v>
      </c>
      <c r="D30076" s="1">
        <v>1.8415417558886499E-2</v>
      </c>
      <c r="E30076" s="1">
        <v>3.5264483627204003E-2</v>
      </c>
      <c r="F30076" s="1">
        <v>4.4387989132352403E-2</v>
      </c>
    </row>
    <row r="30077" spans="1:6" x14ac:dyDescent="0.25">
      <c r="A30077" s="2" t="str">
        <f t="shared" si="1081"/>
        <v>34260</v>
      </c>
      <c r="B30077" s="2" t="str">
        <f>"72531"</f>
        <v>72531</v>
      </c>
      <c r="C30077" s="1">
        <v>1.2886094732320601E-2</v>
      </c>
      <c r="D30077" s="1">
        <v>1.7130620985010699E-3</v>
      </c>
      <c r="E30077" s="1">
        <v>2.5188916876574298E-3</v>
      </c>
      <c r="F30077" s="1">
        <v>1.1820330969267099E-2</v>
      </c>
    </row>
    <row r="30078" spans="1:6" x14ac:dyDescent="0.25">
      <c r="A30078" s="2" t="str">
        <f t="shared" si="1081"/>
        <v>34260</v>
      </c>
      <c r="B30078" s="2" t="str">
        <f>"72626"</f>
        <v>72626</v>
      </c>
      <c r="C30078" s="1">
        <v>2.7997969463860298E-2</v>
      </c>
      <c r="D30078" s="1">
        <v>1.8415417558886499E-2</v>
      </c>
      <c r="E30078" s="1">
        <v>3.0226700251889099E-2</v>
      </c>
      <c r="F30078" s="1">
        <v>2.7239688084400599E-2</v>
      </c>
    </row>
    <row r="30079" spans="1:6" x14ac:dyDescent="0.25">
      <c r="A30079" s="2" t="str">
        <f t="shared" si="1081"/>
        <v>34260</v>
      </c>
      <c r="B30079" s="2" t="str">
        <f>"72617"</f>
        <v>72617</v>
      </c>
      <c r="C30079" s="1">
        <v>6.4039985942442104E-3</v>
      </c>
      <c r="D30079" s="1">
        <v>3.8543897216273999E-3</v>
      </c>
      <c r="E30079" s="1">
        <v>0</v>
      </c>
      <c r="F30079" s="1">
        <v>6.1042306199498896E-3</v>
      </c>
    </row>
    <row r="30080" spans="1:6" x14ac:dyDescent="0.25">
      <c r="A30080" s="2" t="str">
        <f t="shared" si="1081"/>
        <v>34260</v>
      </c>
      <c r="B30080" s="2" t="str">
        <f>"72519"</f>
        <v>72519</v>
      </c>
      <c r="C30080" s="1">
        <v>2.8037018235776399E-2</v>
      </c>
      <c r="D30080" s="1">
        <v>3.8543897216273999E-3</v>
      </c>
      <c r="E30080" s="1">
        <v>0</v>
      </c>
      <c r="F30080" s="1">
        <v>2.56518824318125E-2</v>
      </c>
    </row>
    <row r="30081" spans="1:6" x14ac:dyDescent="0.25">
      <c r="A30081" s="2" t="str">
        <f t="shared" ref="A30081:A30112" si="1082">"22900"</f>
        <v>22900</v>
      </c>
      <c r="B30081" s="2" t="str">
        <f>"72949"</f>
        <v>72949</v>
      </c>
      <c r="C30081" s="1">
        <v>3.7383024938348199E-2</v>
      </c>
      <c r="D30081" s="1">
        <v>3.5632988968656902E-2</v>
      </c>
      <c r="E30081" s="1">
        <v>2.4292965917331301E-2</v>
      </c>
      <c r="F30081" s="1">
        <v>3.6972526748730201E-2</v>
      </c>
    </row>
    <row r="30082" spans="1:6" x14ac:dyDescent="0.25">
      <c r="A30082" s="2" t="str">
        <f t="shared" si="1082"/>
        <v>22900</v>
      </c>
      <c r="B30082" s="2" t="str">
        <f>"72938"</f>
        <v>72938</v>
      </c>
      <c r="C30082" s="1">
        <v>4.4830233051885403E-3</v>
      </c>
      <c r="D30082" s="1">
        <v>9.6305375590964798E-4</v>
      </c>
      <c r="E30082" s="1">
        <v>3.62581580855692E-4</v>
      </c>
      <c r="F30082" s="1">
        <v>4.1056190629528196E-3</v>
      </c>
    </row>
    <row r="30083" spans="1:6" x14ac:dyDescent="0.25">
      <c r="A30083" s="2" t="str">
        <f t="shared" si="1082"/>
        <v>22900</v>
      </c>
      <c r="B30083" s="2" t="str">
        <f>"72935"</f>
        <v>72935</v>
      </c>
      <c r="C30083" s="1">
        <v>3.26631934804265E-5</v>
      </c>
      <c r="D30083" s="1">
        <v>0</v>
      </c>
      <c r="E30083" s="1">
        <v>3.62581580855692E-4</v>
      </c>
      <c r="F30083" s="1">
        <v>3.6591970258046503E-5</v>
      </c>
    </row>
    <row r="30084" spans="1:6" x14ac:dyDescent="0.25">
      <c r="A30084" s="2" t="str">
        <f t="shared" si="1082"/>
        <v>22900</v>
      </c>
      <c r="B30084" s="2" t="str">
        <f>"72905"</f>
        <v>72905</v>
      </c>
      <c r="C30084" s="1">
        <v>0</v>
      </c>
      <c r="D30084" s="1">
        <v>0</v>
      </c>
      <c r="E30084" s="1">
        <v>1.0514865844814999E-2</v>
      </c>
      <c r="F30084" s="1">
        <v>2.1223342749666999E-4</v>
      </c>
    </row>
    <row r="30085" spans="1:6" x14ac:dyDescent="0.25">
      <c r="A30085" s="2" t="str">
        <f t="shared" si="1082"/>
        <v>22900</v>
      </c>
      <c r="B30085" s="2" t="str">
        <f>"72921"</f>
        <v>72921</v>
      </c>
      <c r="C30085" s="1">
        <v>4.8513008116803501E-2</v>
      </c>
      <c r="D30085" s="1">
        <v>2.0836981264226902E-2</v>
      </c>
      <c r="E30085" s="1">
        <v>3.87962291515591E-2</v>
      </c>
      <c r="F30085" s="1">
        <v>4.6003425008416102E-2</v>
      </c>
    </row>
    <row r="30086" spans="1:6" x14ac:dyDescent="0.25">
      <c r="A30086" s="2" t="str">
        <f t="shared" si="1082"/>
        <v>22900</v>
      </c>
      <c r="B30086" s="2" t="str">
        <f>"72903"</f>
        <v>72903</v>
      </c>
      <c r="C30086" s="1">
        <v>0.101949992650781</v>
      </c>
      <c r="D30086" s="1">
        <v>0.14962353353178001</v>
      </c>
      <c r="E30086" s="1">
        <v>0.15554749818709199</v>
      </c>
      <c r="F30086" s="1">
        <v>0.107016876216683</v>
      </c>
    </row>
    <row r="30087" spans="1:6" x14ac:dyDescent="0.25">
      <c r="A30087" s="2" t="str">
        <f t="shared" si="1082"/>
        <v>22900</v>
      </c>
      <c r="B30087" s="2" t="str">
        <f>"72821"</f>
        <v>72821</v>
      </c>
      <c r="C30087" s="1">
        <v>5.6425666737436901E-3</v>
      </c>
      <c r="D30087" s="1">
        <v>1.7510068289266301E-3</v>
      </c>
      <c r="E30087" s="1">
        <v>2.1754894851341499E-3</v>
      </c>
      <c r="F30087" s="1">
        <v>5.2472885350038703E-3</v>
      </c>
    </row>
    <row r="30088" spans="1:6" x14ac:dyDescent="0.25">
      <c r="A30088" s="2" t="str">
        <f t="shared" si="1082"/>
        <v>22900</v>
      </c>
      <c r="B30088" s="2" t="str">
        <f>"72946"</f>
        <v>72946</v>
      </c>
      <c r="C30088" s="1">
        <v>1.50169032026261E-2</v>
      </c>
      <c r="D30088" s="1">
        <v>3.2393626335142701E-3</v>
      </c>
      <c r="E30088" s="1">
        <v>2.5380710659898401E-3</v>
      </c>
      <c r="F30088" s="1">
        <v>1.3780535999180299E-2</v>
      </c>
    </row>
    <row r="30089" spans="1:6" x14ac:dyDescent="0.25">
      <c r="A30089" s="2" t="str">
        <f t="shared" si="1082"/>
        <v>22900</v>
      </c>
      <c r="B30089" s="2" t="str">
        <f>"72930"</f>
        <v>72930</v>
      </c>
      <c r="C30089" s="1">
        <v>3.1193349773807298E-3</v>
      </c>
      <c r="D30089" s="1">
        <v>4.3775170723165801E-4</v>
      </c>
      <c r="E30089" s="1">
        <v>3.62581580855692E-4</v>
      </c>
      <c r="F30089" s="1">
        <v>2.8395368920244102E-3</v>
      </c>
    </row>
    <row r="30090" spans="1:6" x14ac:dyDescent="0.25">
      <c r="A30090" s="2" t="str">
        <f t="shared" si="1082"/>
        <v>22900</v>
      </c>
      <c r="B30090" s="2" t="str">
        <f>"72936"</f>
        <v>72936</v>
      </c>
      <c r="C30090" s="1">
        <v>4.83006973591808E-2</v>
      </c>
      <c r="D30090" s="1">
        <v>2.2500437751707202E-2</v>
      </c>
      <c r="E30090" s="1">
        <v>3.00942712110224E-2</v>
      </c>
      <c r="F30090" s="1">
        <v>4.5776554792816199E-2</v>
      </c>
    </row>
    <row r="30091" spans="1:6" x14ac:dyDescent="0.25">
      <c r="A30091" s="2" t="str">
        <f t="shared" si="1082"/>
        <v>22900</v>
      </c>
      <c r="B30091" s="2" t="str">
        <f>"74948"</f>
        <v>74948</v>
      </c>
      <c r="C30091" s="1">
        <v>4.2617301693586497E-2</v>
      </c>
      <c r="D30091" s="1">
        <v>8.4048327788478292E-3</v>
      </c>
      <c r="E30091" s="1">
        <v>2.50181290790427E-2</v>
      </c>
      <c r="F30091" s="1">
        <v>3.9402233573864499E-2</v>
      </c>
    </row>
    <row r="30092" spans="1:6" x14ac:dyDescent="0.25">
      <c r="A30092" s="2" t="str">
        <f t="shared" si="1082"/>
        <v>22900</v>
      </c>
      <c r="B30092" s="2" t="str">
        <f>"74936"</f>
        <v>74936</v>
      </c>
      <c r="C30092" s="1">
        <v>3.0540085904198801E-3</v>
      </c>
      <c r="D30092" s="1">
        <v>7.8795307301698404E-4</v>
      </c>
      <c r="E30092" s="1">
        <v>3.62581580855692E-4</v>
      </c>
      <c r="F30092" s="1">
        <v>2.8102633158179702E-3</v>
      </c>
    </row>
    <row r="30093" spans="1:6" x14ac:dyDescent="0.25">
      <c r="A30093" s="2" t="str">
        <f t="shared" si="1082"/>
        <v>22900</v>
      </c>
      <c r="B30093" s="2" t="str">
        <f>"72951"</f>
        <v>72951</v>
      </c>
      <c r="C30093" s="1">
        <v>2.0006206006761198E-3</v>
      </c>
      <c r="D30093" s="1">
        <v>5.25302048677989E-4</v>
      </c>
      <c r="E30093" s="1">
        <v>7.2516316171138502E-3</v>
      </c>
      <c r="F30093" s="1">
        <v>1.98328478798612E-3</v>
      </c>
    </row>
    <row r="30094" spans="1:6" x14ac:dyDescent="0.25">
      <c r="A30094" s="2" t="str">
        <f t="shared" si="1082"/>
        <v>22900</v>
      </c>
      <c r="B30094" s="2" t="str">
        <f>"72944"</f>
        <v>72944</v>
      </c>
      <c r="C30094" s="1">
        <v>7.9371560157436502E-3</v>
      </c>
      <c r="D30094" s="1">
        <v>7.8795307301698404E-4</v>
      </c>
      <c r="E30094" s="1">
        <v>5.0761421319796898E-3</v>
      </c>
      <c r="F30094" s="1">
        <v>7.2818020813512603E-3</v>
      </c>
    </row>
    <row r="30095" spans="1:6" x14ac:dyDescent="0.25">
      <c r="A30095" s="2" t="str">
        <f t="shared" si="1082"/>
        <v>22900</v>
      </c>
      <c r="B30095" s="2" t="str">
        <f>"72937"</f>
        <v>72937</v>
      </c>
      <c r="C30095" s="1">
        <v>1.39880126079926E-2</v>
      </c>
      <c r="D30095" s="1">
        <v>2.36385921905095E-3</v>
      </c>
      <c r="E30095" s="1">
        <v>3.2632342277012301E-3</v>
      </c>
      <c r="F30095" s="1">
        <v>1.2799871196264599E-2</v>
      </c>
    </row>
    <row r="30096" spans="1:6" x14ac:dyDescent="0.25">
      <c r="A30096" s="2" t="str">
        <f t="shared" si="1082"/>
        <v>22900</v>
      </c>
      <c r="B30096" s="2" t="str">
        <f>"74954"</f>
        <v>74954</v>
      </c>
      <c r="C30096" s="1">
        <v>1.51802191700282E-2</v>
      </c>
      <c r="D30096" s="1">
        <v>1.1731745753808399E-2</v>
      </c>
      <c r="E30096" s="1">
        <v>2.75562001450326E-2</v>
      </c>
      <c r="F30096" s="1">
        <v>1.51417572927796E-2</v>
      </c>
    </row>
    <row r="30097" spans="1:6" x14ac:dyDescent="0.25">
      <c r="A30097" s="2" t="str">
        <f t="shared" si="1082"/>
        <v>22900</v>
      </c>
      <c r="B30097" s="2" t="str">
        <f>"72943"</f>
        <v>72943</v>
      </c>
      <c r="C30097" s="1">
        <v>5.7160588590746497E-5</v>
      </c>
      <c r="D30097" s="1">
        <v>1.7510068289266299E-4</v>
      </c>
      <c r="E30097" s="1">
        <v>0</v>
      </c>
      <c r="F30097" s="1">
        <v>6.5865546464483806E-5</v>
      </c>
    </row>
    <row r="30098" spans="1:6" x14ac:dyDescent="0.25">
      <c r="A30098" s="2" t="str">
        <f t="shared" si="1082"/>
        <v>22900</v>
      </c>
      <c r="B30098" s="2" t="str">
        <f>"72952"</f>
        <v>72952</v>
      </c>
      <c r="C30098" s="1">
        <v>1.01419215756724E-2</v>
      </c>
      <c r="D30098" s="1">
        <v>1.4008054631413E-3</v>
      </c>
      <c r="E30098" s="1">
        <v>3.62581580855692E-4</v>
      </c>
      <c r="F30098" s="1">
        <v>9.2138581109761208E-3</v>
      </c>
    </row>
    <row r="30099" spans="1:6" x14ac:dyDescent="0.25">
      <c r="A30099" s="2" t="str">
        <f t="shared" si="1082"/>
        <v>22900</v>
      </c>
      <c r="B30099" s="2" t="str">
        <f>"72941"</f>
        <v>72941</v>
      </c>
      <c r="C30099" s="1">
        <v>1.7621792882690099E-2</v>
      </c>
      <c r="D30099" s="1">
        <v>4.5526177552092399E-3</v>
      </c>
      <c r="E30099" s="1">
        <v>2.9006526468455399E-3</v>
      </c>
      <c r="F30099" s="1">
        <v>1.6232198006469401E-2</v>
      </c>
    </row>
    <row r="30100" spans="1:6" x14ac:dyDescent="0.25">
      <c r="A30100" s="2" t="str">
        <f t="shared" si="1082"/>
        <v>22900</v>
      </c>
      <c r="B30100" s="2" t="str">
        <f>"72956"</f>
        <v>72956</v>
      </c>
      <c r="C30100" s="1">
        <v>0.135454263363329</v>
      </c>
      <c r="D30100" s="1">
        <v>0.13666608299772301</v>
      </c>
      <c r="E30100" s="1">
        <v>0.118564176939811</v>
      </c>
      <c r="F30100" s="1">
        <v>0.13521464849753301</v>
      </c>
    </row>
    <row r="30101" spans="1:6" x14ac:dyDescent="0.25">
      <c r="A30101" s="2" t="str">
        <f t="shared" si="1082"/>
        <v>22900</v>
      </c>
      <c r="B30101" s="2" t="str">
        <f>"72923"</f>
        <v>72923</v>
      </c>
      <c r="C30101" s="1">
        <v>2.4521892505430201E-2</v>
      </c>
      <c r="D30101" s="1">
        <v>1.5496410436000699E-2</v>
      </c>
      <c r="E30101" s="1">
        <v>3.2994923857868001E-2</v>
      </c>
      <c r="F30101" s="1">
        <v>2.3938466942813999E-2</v>
      </c>
    </row>
    <row r="30102" spans="1:6" x14ac:dyDescent="0.25">
      <c r="A30102" s="2" t="str">
        <f t="shared" si="1082"/>
        <v>22900</v>
      </c>
      <c r="B30102" s="2" t="str">
        <f>"72918"</f>
        <v>72918</v>
      </c>
      <c r="C30102" s="1">
        <v>6.2713331482419001E-3</v>
      </c>
      <c r="D30102" s="1">
        <v>2.14498336543512E-2</v>
      </c>
      <c r="E30102" s="1">
        <v>7.2516316171138497E-4</v>
      </c>
      <c r="F30102" s="1">
        <v>7.4281699623834499E-3</v>
      </c>
    </row>
    <row r="30103" spans="1:6" x14ac:dyDescent="0.25">
      <c r="A30103" s="2" t="str">
        <f t="shared" si="1082"/>
        <v>22900</v>
      </c>
      <c r="B30103" s="2" t="str">
        <f>"72916"</f>
        <v>72916</v>
      </c>
      <c r="C30103" s="1">
        <v>3.8060786203067E-2</v>
      </c>
      <c r="D30103" s="1">
        <v>3.0555069164769699E-2</v>
      </c>
      <c r="E30103" s="1">
        <v>9.4271211022480001E-3</v>
      </c>
      <c r="F30103" s="1">
        <v>3.6855432443904497E-2</v>
      </c>
    </row>
    <row r="30104" spans="1:6" x14ac:dyDescent="0.25">
      <c r="A30104" s="2" t="str">
        <f t="shared" si="1082"/>
        <v>22900</v>
      </c>
      <c r="B30104" s="2" t="str">
        <f>"72904"</f>
        <v>72904</v>
      </c>
      <c r="C30104" s="1">
        <v>7.5345821560973997E-2</v>
      </c>
      <c r="D30104" s="1">
        <v>4.71020836981264E-2</v>
      </c>
      <c r="E30104" s="1">
        <v>4.5685279187817202E-2</v>
      </c>
      <c r="F30104" s="1">
        <v>7.2386235564467702E-2</v>
      </c>
    </row>
    <row r="30105" spans="1:6" x14ac:dyDescent="0.25">
      <c r="A30105" s="2" t="str">
        <f t="shared" si="1082"/>
        <v>22900</v>
      </c>
      <c r="B30105" s="2" t="str">
        <f>"72820"</f>
        <v>72820</v>
      </c>
      <c r="C30105" s="1">
        <v>0</v>
      </c>
      <c r="D30105" s="1">
        <v>0</v>
      </c>
      <c r="E30105" s="1">
        <v>3.62581580855692E-4</v>
      </c>
      <c r="F30105" s="1">
        <v>7.3183940516093104E-6</v>
      </c>
    </row>
    <row r="30106" spans="1:6" x14ac:dyDescent="0.25">
      <c r="A30106" s="2" t="str">
        <f t="shared" si="1082"/>
        <v>22900</v>
      </c>
      <c r="B30106" s="2" t="str">
        <f>"74955"</f>
        <v>74955</v>
      </c>
      <c r="C30106" s="1">
        <v>6.2892979046561298E-2</v>
      </c>
      <c r="D30106" s="1">
        <v>6.3649098231483098E-2</v>
      </c>
      <c r="E30106" s="1">
        <v>8.4481508339376302E-2</v>
      </c>
      <c r="F30106" s="1">
        <v>6.3391929275039796E-2</v>
      </c>
    </row>
    <row r="30107" spans="1:6" x14ac:dyDescent="0.25">
      <c r="A30107" s="2" t="str">
        <f t="shared" si="1082"/>
        <v>22900</v>
      </c>
      <c r="B30107" s="2" t="str">
        <f>"72945"</f>
        <v>72945</v>
      </c>
      <c r="C30107" s="1">
        <v>1.6331596740213199E-5</v>
      </c>
      <c r="D30107" s="1">
        <v>0</v>
      </c>
      <c r="E30107" s="1">
        <v>3.62581580855692E-4</v>
      </c>
      <c r="F30107" s="1">
        <v>2.1955182154827899E-5</v>
      </c>
    </row>
    <row r="30108" spans="1:6" x14ac:dyDescent="0.25">
      <c r="A30108" s="2" t="str">
        <f t="shared" si="1082"/>
        <v>22900</v>
      </c>
      <c r="B30108" s="2" t="str">
        <f>"72940"</f>
        <v>72940</v>
      </c>
      <c r="C30108" s="1">
        <v>8.5169277000212307E-3</v>
      </c>
      <c r="D30108" s="1">
        <v>2.53895990194361E-3</v>
      </c>
      <c r="E30108" s="1">
        <v>1.4503263234227699E-3</v>
      </c>
      <c r="F30108" s="1">
        <v>7.8745919995316192E-3</v>
      </c>
    </row>
    <row r="30109" spans="1:6" x14ac:dyDescent="0.25">
      <c r="A30109" s="2" t="str">
        <f t="shared" si="1082"/>
        <v>22900</v>
      </c>
      <c r="B30109" s="2" t="str">
        <f>"72914"</f>
        <v>72914</v>
      </c>
      <c r="C30109" s="1">
        <v>4.2053861606049202E-3</v>
      </c>
      <c r="D30109" s="1">
        <v>8.0546314130625091E-3</v>
      </c>
      <c r="E30109" s="1">
        <v>7.2516316171138497E-4</v>
      </c>
      <c r="F30109" s="1">
        <v>4.4569019774300701E-3</v>
      </c>
    </row>
    <row r="30110" spans="1:6" x14ac:dyDescent="0.25">
      <c r="A30110" s="2" t="str">
        <f t="shared" si="1082"/>
        <v>22900</v>
      </c>
      <c r="B30110" s="2" t="str">
        <f>"72917"</f>
        <v>72917</v>
      </c>
      <c r="C30110" s="1">
        <v>1.5221048161878701E-2</v>
      </c>
      <c r="D30110" s="1">
        <v>3.1255471896340301E-2</v>
      </c>
      <c r="E30110" s="1">
        <v>7.2516316171138497E-4</v>
      </c>
      <c r="F30110" s="1">
        <v>1.62687899767275E-2</v>
      </c>
    </row>
    <row r="30111" spans="1:6" x14ac:dyDescent="0.25">
      <c r="A30111" s="2" t="str">
        <f t="shared" si="1082"/>
        <v>22900</v>
      </c>
      <c r="B30111" s="2" t="str">
        <f>"72933"</f>
        <v>72933</v>
      </c>
      <c r="C30111" s="1">
        <v>1.7229834560925E-2</v>
      </c>
      <c r="D30111" s="1">
        <v>5.8658728769042101E-3</v>
      </c>
      <c r="E30111" s="1">
        <v>6.88905003625815E-3</v>
      </c>
      <c r="F30111" s="1">
        <v>1.6071193337333999E-2</v>
      </c>
    </row>
    <row r="30112" spans="1:6" x14ac:dyDescent="0.25">
      <c r="A30112" s="2" t="str">
        <f t="shared" si="1082"/>
        <v>22900</v>
      </c>
      <c r="B30112" s="2" t="str">
        <f>"72721"</f>
        <v>72721</v>
      </c>
      <c r="C30112" s="1">
        <v>8.1657983701066402E-6</v>
      </c>
      <c r="D30112" s="1">
        <v>0</v>
      </c>
      <c r="E30112" s="1">
        <v>0</v>
      </c>
      <c r="F30112" s="1">
        <v>7.3183940516093104E-6</v>
      </c>
    </row>
    <row r="30113" spans="1:6" x14ac:dyDescent="0.25">
      <c r="A30113" s="2" t="str">
        <f t="shared" ref="A30113:A30134" si="1083">"22900"</f>
        <v>22900</v>
      </c>
      <c r="B30113" s="2" t="str">
        <f>"72955"</f>
        <v>72955</v>
      </c>
      <c r="C30113" s="1">
        <v>1.5188384968398299E-3</v>
      </c>
      <c r="D30113" s="1">
        <v>0</v>
      </c>
      <c r="E30113" s="1">
        <v>3.62581580855692E-4</v>
      </c>
      <c r="F30113" s="1">
        <v>1.3685396876509401E-3</v>
      </c>
    </row>
    <row r="30114" spans="1:6" x14ac:dyDescent="0.25">
      <c r="A30114" s="2" t="str">
        <f t="shared" si="1083"/>
        <v>22900</v>
      </c>
      <c r="B30114" s="2" t="str">
        <f>"72948"</f>
        <v>72948</v>
      </c>
      <c r="C30114" s="1">
        <v>1.61682807728111E-3</v>
      </c>
      <c r="D30114" s="1">
        <v>0</v>
      </c>
      <c r="E30114" s="1">
        <v>3.62581580855692E-4</v>
      </c>
      <c r="F30114" s="1">
        <v>1.4563604162702499E-3</v>
      </c>
    </row>
    <row r="30115" spans="1:6" x14ac:dyDescent="0.25">
      <c r="A30115" s="2" t="str">
        <f t="shared" si="1083"/>
        <v>22900</v>
      </c>
      <c r="B30115" s="2" t="str">
        <f>"72947"</f>
        <v>72947</v>
      </c>
      <c r="C30115" s="1">
        <v>1.6568404892946299E-2</v>
      </c>
      <c r="D30115" s="1">
        <v>4.8152687795482403E-3</v>
      </c>
      <c r="E30115" s="1">
        <v>0.110949963741841</v>
      </c>
      <c r="F30115" s="1">
        <v>1.74909617833462E-2</v>
      </c>
    </row>
    <row r="30116" spans="1:6" x14ac:dyDescent="0.25">
      <c r="A30116" s="2" t="str">
        <f t="shared" si="1083"/>
        <v>22900</v>
      </c>
      <c r="B30116" s="2" t="str">
        <f>"72913"</f>
        <v>72913</v>
      </c>
      <c r="C30116" s="1">
        <v>3.5766196861067101E-3</v>
      </c>
      <c r="D30116" s="1">
        <v>1.3482752582735E-2</v>
      </c>
      <c r="E30116" s="1">
        <v>7.2516316171138497E-4</v>
      </c>
      <c r="F30116" s="1">
        <v>4.3471260666559297E-3</v>
      </c>
    </row>
    <row r="30117" spans="1:6" x14ac:dyDescent="0.25">
      <c r="A30117" s="2" t="str">
        <f t="shared" si="1083"/>
        <v>22900</v>
      </c>
      <c r="B30117" s="2" t="str">
        <f>"72927"</f>
        <v>72927</v>
      </c>
      <c r="C30117" s="1">
        <v>9.3906681256226401E-4</v>
      </c>
      <c r="D30117" s="1">
        <v>0</v>
      </c>
      <c r="E30117" s="1">
        <v>0</v>
      </c>
      <c r="F30117" s="1">
        <v>8.4161531593507095E-4</v>
      </c>
    </row>
    <row r="30118" spans="1:6" x14ac:dyDescent="0.25">
      <c r="A30118" s="2" t="str">
        <f t="shared" si="1083"/>
        <v>22900</v>
      </c>
      <c r="B30118" s="2" t="str">
        <f>"72908"</f>
        <v>72908</v>
      </c>
      <c r="C30118" s="1">
        <v>5.2007969819209202E-2</v>
      </c>
      <c r="D30118" s="1">
        <v>4.2987217650148797E-2</v>
      </c>
      <c r="E30118" s="1">
        <v>4.0971718636693202E-2</v>
      </c>
      <c r="F30118" s="1">
        <v>5.10311617218717E-2</v>
      </c>
    </row>
    <row r="30119" spans="1:6" x14ac:dyDescent="0.25">
      <c r="A30119" s="2" t="str">
        <f t="shared" si="1083"/>
        <v>22900</v>
      </c>
      <c r="B30119" s="2" t="str">
        <f>"72855"</f>
        <v>72855</v>
      </c>
      <c r="C30119" s="1">
        <v>8.9823782071172997E-5</v>
      </c>
      <c r="D30119" s="1">
        <v>0</v>
      </c>
      <c r="E30119" s="1">
        <v>0</v>
      </c>
      <c r="F30119" s="1">
        <v>8.0502334567702396E-5</v>
      </c>
    </row>
    <row r="30120" spans="1:6" x14ac:dyDescent="0.25">
      <c r="A30120" s="2" t="str">
        <f t="shared" si="1083"/>
        <v>22900</v>
      </c>
      <c r="B30120" s="2" t="str">
        <f>"72901"</f>
        <v>72901</v>
      </c>
      <c r="C30120" s="1">
        <v>8.8721399291208702E-2</v>
      </c>
      <c r="D30120" s="1">
        <v>0.22290316932236001</v>
      </c>
      <c r="E30120" s="1">
        <v>0.18817984046410399</v>
      </c>
      <c r="F30120" s="1">
        <v>0.101945229138917</v>
      </c>
    </row>
    <row r="30121" spans="1:6" x14ac:dyDescent="0.25">
      <c r="A30121" s="2" t="str">
        <f t="shared" si="1083"/>
        <v>22900</v>
      </c>
      <c r="B30121" s="2" t="str">
        <f>"74962"</f>
        <v>74962</v>
      </c>
      <c r="C30121" s="1">
        <v>1.9295781548561999E-2</v>
      </c>
      <c r="D30121" s="1">
        <v>5.9534232183505497E-3</v>
      </c>
      <c r="E30121" s="1">
        <v>1.0514865844814999E-2</v>
      </c>
      <c r="F30121" s="1">
        <v>1.80032493669589E-2</v>
      </c>
    </row>
    <row r="30122" spans="1:6" x14ac:dyDescent="0.25">
      <c r="A30122" s="2" t="str">
        <f t="shared" si="1083"/>
        <v>22900</v>
      </c>
      <c r="B30122" s="2" t="str">
        <f>"74946"</f>
        <v>74946</v>
      </c>
      <c r="C30122" s="1">
        <v>0</v>
      </c>
      <c r="D30122" s="1">
        <v>0</v>
      </c>
      <c r="E30122" s="1">
        <v>3.62581580855692E-4</v>
      </c>
      <c r="F30122" s="1">
        <v>7.3183940516093104E-6</v>
      </c>
    </row>
    <row r="30123" spans="1:6" x14ac:dyDescent="0.25">
      <c r="A30123" s="2" t="str">
        <f t="shared" si="1083"/>
        <v>22900</v>
      </c>
      <c r="B30123" s="2" t="str">
        <f>"74931"</f>
        <v>74931</v>
      </c>
      <c r="C30123" s="1">
        <v>8.2474563538077099E-4</v>
      </c>
      <c r="D30123" s="1">
        <v>0</v>
      </c>
      <c r="E30123" s="1">
        <v>0</v>
      </c>
      <c r="F30123" s="1">
        <v>7.3915779921253995E-4</v>
      </c>
    </row>
    <row r="30124" spans="1:6" x14ac:dyDescent="0.25">
      <c r="A30124" s="2" t="str">
        <f t="shared" si="1083"/>
        <v>22900</v>
      </c>
      <c r="B30124" s="2" t="str">
        <f>"74435"</f>
        <v>74435</v>
      </c>
      <c r="C30124" s="1">
        <v>1.42901471476866E-2</v>
      </c>
      <c r="D30124" s="1">
        <v>7.8795307301698404E-3</v>
      </c>
      <c r="E30124" s="1">
        <v>4.7135605511240001E-3</v>
      </c>
      <c r="F30124" s="1">
        <v>1.3560984177631999E-2</v>
      </c>
    </row>
    <row r="30125" spans="1:6" x14ac:dyDescent="0.25">
      <c r="A30125" s="2" t="str">
        <f t="shared" si="1083"/>
        <v>22900</v>
      </c>
      <c r="B30125" s="2" t="str">
        <f>"72957"</f>
        <v>72957</v>
      </c>
      <c r="C30125" s="1">
        <v>1.0109258382192E-2</v>
      </c>
      <c r="D30125" s="1">
        <v>2.35510418490632E-2</v>
      </c>
      <c r="E30125" s="1">
        <v>7.2516316171138497E-4</v>
      </c>
      <c r="F30125" s="1">
        <v>1.10434566238784E-2</v>
      </c>
    </row>
    <row r="30126" spans="1:6" x14ac:dyDescent="0.25">
      <c r="A30126" s="2" t="str">
        <f t="shared" si="1083"/>
        <v>22900</v>
      </c>
      <c r="B30126" s="2" t="str">
        <f>"72934"</f>
        <v>72934</v>
      </c>
      <c r="C30126" s="1">
        <v>3.9277490160212897E-3</v>
      </c>
      <c r="D30126" s="1">
        <v>2.6265102433899401E-4</v>
      </c>
      <c r="E30126" s="1">
        <v>3.62581580855692E-4</v>
      </c>
      <c r="F30126" s="1">
        <v>3.5494211150305099E-3</v>
      </c>
    </row>
    <row r="30127" spans="1:6" x14ac:dyDescent="0.25">
      <c r="A30127" s="2" t="str">
        <f t="shared" si="1083"/>
        <v>22900</v>
      </c>
      <c r="B30127" s="2" t="str">
        <f>"72932"</f>
        <v>72932</v>
      </c>
      <c r="C30127" s="1">
        <v>4.9076448204340897E-3</v>
      </c>
      <c r="D30127" s="1">
        <v>1.22570478024864E-3</v>
      </c>
      <c r="E30127" s="1">
        <v>3.62581580855692E-4</v>
      </c>
      <c r="F30127" s="1">
        <v>4.5081307357913297E-3</v>
      </c>
    </row>
    <row r="30128" spans="1:6" x14ac:dyDescent="0.25">
      <c r="A30128" s="2" t="str">
        <f t="shared" si="1083"/>
        <v>22900</v>
      </c>
      <c r="B30128" s="2" t="str">
        <f>"72902"</f>
        <v>72902</v>
      </c>
      <c r="C30128" s="1">
        <v>1.0542045695807601E-2</v>
      </c>
      <c r="D30128" s="1">
        <v>4.0448257748205201E-2</v>
      </c>
      <c r="E30128" s="1">
        <v>7.2516316171138497E-4</v>
      </c>
      <c r="F30128" s="1">
        <v>1.2843781560574301E-2</v>
      </c>
    </row>
    <row r="30129" spans="1:6" x14ac:dyDescent="0.25">
      <c r="A30129" s="2" t="str">
        <f t="shared" si="1083"/>
        <v>22900</v>
      </c>
      <c r="B30129" s="2" t="str">
        <f>"74945"</f>
        <v>74945</v>
      </c>
      <c r="C30129" s="1">
        <v>7.3492185330959801E-5</v>
      </c>
      <c r="D30129" s="1">
        <v>8.7550341446331604E-5</v>
      </c>
      <c r="E30129" s="1">
        <v>3.62581580855692E-4</v>
      </c>
      <c r="F30129" s="1">
        <v>8.0502334567702396E-5</v>
      </c>
    </row>
    <row r="30130" spans="1:6" x14ac:dyDescent="0.25">
      <c r="A30130" s="2" t="str">
        <f t="shared" si="1083"/>
        <v>22900</v>
      </c>
      <c r="B30130" s="2" t="str">
        <f>"72959"</f>
        <v>72959</v>
      </c>
      <c r="C30130" s="1">
        <v>1.06155378811386E-3</v>
      </c>
      <c r="D30130" s="1">
        <v>3.5020136578532598E-4</v>
      </c>
      <c r="E30130" s="1">
        <v>0</v>
      </c>
      <c r="F30130" s="1">
        <v>9.8066480291564805E-4</v>
      </c>
    </row>
    <row r="30131" spans="1:6" x14ac:dyDescent="0.25">
      <c r="A30131" s="2" t="str">
        <f t="shared" si="1083"/>
        <v>22900</v>
      </c>
      <c r="B30131" s="2" t="str">
        <f>"72906"</f>
        <v>72906</v>
      </c>
      <c r="C30131" s="1">
        <v>2.4170763175515599E-3</v>
      </c>
      <c r="D30131" s="1">
        <v>6.3911749255821998E-3</v>
      </c>
      <c r="E30131" s="1">
        <v>7.2516316171138497E-4</v>
      </c>
      <c r="F30131" s="1">
        <v>2.7151241931470502E-3</v>
      </c>
    </row>
    <row r="30132" spans="1:6" x14ac:dyDescent="0.25">
      <c r="A30132" s="2" t="str">
        <f t="shared" si="1083"/>
        <v>22900</v>
      </c>
      <c r="B30132" s="2" t="str">
        <f>"72919"</f>
        <v>72919</v>
      </c>
      <c r="C30132" s="1">
        <v>0</v>
      </c>
      <c r="D30132" s="1">
        <v>8.7550341446331604E-5</v>
      </c>
      <c r="E30132" s="1">
        <v>0</v>
      </c>
      <c r="F30132" s="1">
        <v>7.3183940516093104E-6</v>
      </c>
    </row>
    <row r="30133" spans="1:6" x14ac:dyDescent="0.25">
      <c r="A30133" s="2" t="str">
        <f t="shared" si="1083"/>
        <v>22900</v>
      </c>
      <c r="B30133" s="2" t="str">
        <f>"72928"</f>
        <v>72928</v>
      </c>
      <c r="C30133" s="1">
        <v>2.7192108572455099E-3</v>
      </c>
      <c r="D30133" s="1">
        <v>1.22570478024864E-3</v>
      </c>
      <c r="E30133" s="1">
        <v>3.62581580855692E-4</v>
      </c>
      <c r="F30133" s="1">
        <v>2.5468011299600401E-3</v>
      </c>
    </row>
    <row r="30134" spans="1:6" x14ac:dyDescent="0.25">
      <c r="A30134" s="2" t="str">
        <f t="shared" si="1083"/>
        <v>22900</v>
      </c>
      <c r="B30134" s="2" t="str">
        <f>"72774"</f>
        <v>72774</v>
      </c>
      <c r="C30134" s="1">
        <v>8.1657983701066402E-6</v>
      </c>
      <c r="D30134" s="1">
        <v>0</v>
      </c>
      <c r="E30134" s="1">
        <v>0</v>
      </c>
      <c r="F30134" s="1">
        <v>7.3183940516093104E-6</v>
      </c>
    </row>
    <row r="30135" spans="1:6" x14ac:dyDescent="0.25">
      <c r="A30135" s="2" t="str">
        <f t="shared" ref="A30135:A30166" si="1084">"12420"</f>
        <v>12420</v>
      </c>
      <c r="B30135" s="2" t="str">
        <f>"78959"</f>
        <v>78959</v>
      </c>
      <c r="C30135" s="1">
        <v>4.6788562486125203E-5</v>
      </c>
      <c r="D30135" s="1">
        <v>2.2348116612472401E-5</v>
      </c>
      <c r="E30135" s="1">
        <v>1.9420618223013399E-4</v>
      </c>
      <c r="F30135" s="1">
        <v>4.8892930704493697E-5</v>
      </c>
    </row>
    <row r="30136" spans="1:6" x14ac:dyDescent="0.25">
      <c r="A30136" s="2" t="str">
        <f t="shared" si="1084"/>
        <v>12420</v>
      </c>
      <c r="B30136" s="2" t="str">
        <f>"78953"</f>
        <v>78953</v>
      </c>
      <c r="C30136" s="1">
        <v>4.77840638156172E-4</v>
      </c>
      <c r="D30136" s="1">
        <v>1.4526275798107101E-4</v>
      </c>
      <c r="E30136" s="1">
        <v>4.85515455575335E-4</v>
      </c>
      <c r="F30136" s="1">
        <v>4.5159288723423298E-4</v>
      </c>
    </row>
    <row r="30137" spans="1:6" x14ac:dyDescent="0.25">
      <c r="A30137" s="2" t="str">
        <f t="shared" si="1084"/>
        <v>12420</v>
      </c>
      <c r="B30137" s="2" t="str">
        <f>"78747"</f>
        <v>78747</v>
      </c>
      <c r="C30137" s="1">
        <v>7.8107034311944304E-3</v>
      </c>
      <c r="D30137" s="1">
        <v>1.9666342618975701E-3</v>
      </c>
      <c r="E30137" s="1">
        <v>7.3474672277067396E-3</v>
      </c>
      <c r="F30137" s="1">
        <v>7.3330506432976198E-3</v>
      </c>
    </row>
    <row r="30138" spans="1:6" x14ac:dyDescent="0.25">
      <c r="A30138" s="2" t="str">
        <f t="shared" si="1084"/>
        <v>12420</v>
      </c>
      <c r="B30138" s="2" t="str">
        <f>"78681"</f>
        <v>78681</v>
      </c>
      <c r="C30138" s="1">
        <v>2.0418727769210901E-2</v>
      </c>
      <c r="D30138" s="1">
        <v>1.7085135150235201E-2</v>
      </c>
      <c r="E30138" s="1">
        <v>1.6539893186599701E-2</v>
      </c>
      <c r="F30138" s="1">
        <v>2.0046990551218901E-2</v>
      </c>
    </row>
    <row r="30139" spans="1:6" x14ac:dyDescent="0.25">
      <c r="A30139" s="2" t="str">
        <f t="shared" si="1084"/>
        <v>12420</v>
      </c>
      <c r="B30139" s="2" t="str">
        <f>"78669"</f>
        <v>78669</v>
      </c>
      <c r="C30139" s="1">
        <v>4.8092669227759698E-3</v>
      </c>
      <c r="D30139" s="1">
        <v>2.39124847753455E-3</v>
      </c>
      <c r="E30139" s="1">
        <v>4.7580514646382898E-3</v>
      </c>
      <c r="F30139" s="1">
        <v>4.61549265850421E-3</v>
      </c>
    </row>
    <row r="30140" spans="1:6" x14ac:dyDescent="0.25">
      <c r="A30140" s="2" t="str">
        <f t="shared" si="1084"/>
        <v>12420</v>
      </c>
      <c r="B30140" s="2" t="str">
        <f>"78742"</f>
        <v>78742</v>
      </c>
      <c r="C30140" s="1">
        <v>3.7430849988900102E-4</v>
      </c>
      <c r="D30140" s="1">
        <v>3.9109204071826801E-4</v>
      </c>
      <c r="E30140" s="1">
        <v>5.5025084965204703E-4</v>
      </c>
      <c r="F30140" s="1">
        <v>3.8047589711860598E-4</v>
      </c>
    </row>
    <row r="30141" spans="1:6" x14ac:dyDescent="0.25">
      <c r="A30141" s="2" t="str">
        <f t="shared" si="1084"/>
        <v>12420</v>
      </c>
      <c r="B30141" s="2" t="str">
        <f>"78728"</f>
        <v>78728</v>
      </c>
      <c r="C30141" s="1">
        <v>1.2408924072118001E-2</v>
      </c>
      <c r="D30141" s="1">
        <v>1.0514788866168299E-2</v>
      </c>
      <c r="E30141" s="1">
        <v>1.2364460268651799E-2</v>
      </c>
      <c r="F30141" s="1">
        <v>1.22570132464283E-2</v>
      </c>
    </row>
    <row r="30142" spans="1:6" x14ac:dyDescent="0.25">
      <c r="A30142" s="2" t="str">
        <f t="shared" si="1084"/>
        <v>12420</v>
      </c>
      <c r="B30142" s="2" t="str">
        <f>"78666"</f>
        <v>78666</v>
      </c>
      <c r="C30142" s="1">
        <v>3.2823669836011003E-2</v>
      </c>
      <c r="D30142" s="1">
        <v>3.05945716424748E-2</v>
      </c>
      <c r="E30142" s="1">
        <v>4.6188703673733601E-2</v>
      </c>
      <c r="F30142" s="1">
        <v>3.3013395774050602E-2</v>
      </c>
    </row>
    <row r="30143" spans="1:6" x14ac:dyDescent="0.25">
      <c r="A30143" s="2" t="str">
        <f t="shared" si="1084"/>
        <v>12420</v>
      </c>
      <c r="B30143" s="2" t="str">
        <f>"78722"</f>
        <v>78722</v>
      </c>
      <c r="C30143" s="1">
        <v>3.39764603755628E-3</v>
      </c>
      <c r="D30143" s="1">
        <v>2.50298906059691E-3</v>
      </c>
      <c r="E30143" s="1">
        <v>3.4309758860657001E-3</v>
      </c>
      <c r="F30143" s="1">
        <v>3.3273861750349101E-3</v>
      </c>
    </row>
    <row r="30144" spans="1:6" x14ac:dyDescent="0.25">
      <c r="A30144" s="2" t="str">
        <f t="shared" si="1084"/>
        <v>12420</v>
      </c>
      <c r="B30144" s="2" t="str">
        <f>"78714"</f>
        <v>78714</v>
      </c>
      <c r="C30144" s="1">
        <v>1.66149171892219E-3</v>
      </c>
      <c r="D30144" s="1">
        <v>8.2464550300023406E-3</v>
      </c>
      <c r="E30144" s="1">
        <v>3.2367697038355702E-5</v>
      </c>
      <c r="F30144" s="1">
        <v>2.1406214024803799E-3</v>
      </c>
    </row>
    <row r="30145" spans="1:6" x14ac:dyDescent="0.25">
      <c r="A30145" s="2" t="str">
        <f t="shared" si="1084"/>
        <v>12420</v>
      </c>
      <c r="B30145" s="2" t="str">
        <f>"78713"</f>
        <v>78713</v>
      </c>
      <c r="C30145" s="1">
        <v>1.27623270440877E-3</v>
      </c>
      <c r="D30145" s="1">
        <v>1.4414535215044699E-3</v>
      </c>
      <c r="E30145" s="1">
        <v>3.2367697038355702E-5</v>
      </c>
      <c r="F30145" s="1">
        <v>1.2552148755408199E-3</v>
      </c>
    </row>
    <row r="30146" spans="1:6" x14ac:dyDescent="0.25">
      <c r="A30146" s="2" t="str">
        <f t="shared" si="1084"/>
        <v>12420</v>
      </c>
      <c r="B30146" s="2" t="str">
        <f>"78605"</f>
        <v>78605</v>
      </c>
      <c r="C30146" s="1">
        <v>9.9550132949202502E-7</v>
      </c>
      <c r="D30146" s="1">
        <v>0</v>
      </c>
      <c r="E30146" s="1">
        <v>0</v>
      </c>
      <c r="F30146" s="1">
        <v>8.88962376445341E-7</v>
      </c>
    </row>
    <row r="30147" spans="1:6" x14ac:dyDescent="0.25">
      <c r="A30147" s="2" t="str">
        <f t="shared" si="1084"/>
        <v>12420</v>
      </c>
      <c r="B30147" s="2" t="str">
        <f>"78606"</f>
        <v>78606</v>
      </c>
      <c r="C30147" s="1">
        <v>9.9550132949202502E-7</v>
      </c>
      <c r="D30147" s="1">
        <v>0</v>
      </c>
      <c r="E30147" s="1">
        <v>0</v>
      </c>
      <c r="F30147" s="1">
        <v>8.88962376445341E-7</v>
      </c>
    </row>
    <row r="30148" spans="1:6" x14ac:dyDescent="0.25">
      <c r="A30148" s="2" t="str">
        <f t="shared" si="1084"/>
        <v>12420</v>
      </c>
      <c r="B30148" s="2" t="str">
        <f>"78645"</f>
        <v>78645</v>
      </c>
      <c r="C30148" s="1">
        <v>7.3945838754667604E-3</v>
      </c>
      <c r="D30148" s="1">
        <v>3.9891388153263296E-3</v>
      </c>
      <c r="E30148" s="1">
        <v>1.3270755785725801E-2</v>
      </c>
      <c r="F30148" s="1">
        <v>7.2850466749695697E-3</v>
      </c>
    </row>
    <row r="30149" spans="1:6" x14ac:dyDescent="0.25">
      <c r="A30149" s="2" t="str">
        <f t="shared" si="1084"/>
        <v>12420</v>
      </c>
      <c r="B30149" s="2" t="str">
        <f>"78623"</f>
        <v>78623</v>
      </c>
      <c r="C30149" s="1">
        <v>1.29415172833963E-5</v>
      </c>
      <c r="D30149" s="1">
        <v>0</v>
      </c>
      <c r="E30149" s="1">
        <v>0</v>
      </c>
      <c r="F30149" s="1">
        <v>1.1556510893789401E-5</v>
      </c>
    </row>
    <row r="30150" spans="1:6" x14ac:dyDescent="0.25">
      <c r="A30150" s="2" t="str">
        <f t="shared" si="1084"/>
        <v>12420</v>
      </c>
      <c r="B30150" s="2" t="str">
        <f>"76573"</f>
        <v>76573</v>
      </c>
      <c r="C30150" s="1">
        <v>9.9550132949202502E-7</v>
      </c>
      <c r="D30150" s="1">
        <v>1.1174058306236201E-5</v>
      </c>
      <c r="E30150" s="1">
        <v>0</v>
      </c>
      <c r="F30150" s="1">
        <v>1.7779247528906801E-6</v>
      </c>
    </row>
    <row r="30151" spans="1:6" x14ac:dyDescent="0.25">
      <c r="A30151" s="2" t="str">
        <f t="shared" si="1084"/>
        <v>12420</v>
      </c>
      <c r="B30151" s="2" t="str">
        <f>"73301"</f>
        <v>73301</v>
      </c>
      <c r="C30151" s="1">
        <v>0</v>
      </c>
      <c r="D30151" s="1">
        <v>3.3522174918708697E-5</v>
      </c>
      <c r="E30151" s="1">
        <v>0</v>
      </c>
      <c r="F30151" s="1">
        <v>2.6668871293360201E-6</v>
      </c>
    </row>
    <row r="30152" spans="1:6" x14ac:dyDescent="0.25">
      <c r="A30152" s="2" t="str">
        <f t="shared" si="1084"/>
        <v>12420</v>
      </c>
      <c r="B30152" s="2" t="str">
        <f>"78779"</f>
        <v>78779</v>
      </c>
      <c r="C30152" s="1">
        <v>0</v>
      </c>
      <c r="D30152" s="1">
        <v>1.1174058306236201E-5</v>
      </c>
      <c r="E30152" s="1">
        <v>0</v>
      </c>
      <c r="F30152" s="1">
        <v>8.88962376445341E-7</v>
      </c>
    </row>
    <row r="30153" spans="1:6" x14ac:dyDescent="0.25">
      <c r="A30153" s="2" t="str">
        <f t="shared" si="1084"/>
        <v>12420</v>
      </c>
      <c r="B30153" s="2" t="str">
        <f>"78761"</f>
        <v>78761</v>
      </c>
      <c r="C30153" s="1">
        <v>1.4922564929085399E-3</v>
      </c>
      <c r="D30153" s="1">
        <v>3.8103538824265501E-3</v>
      </c>
      <c r="E30153" s="1">
        <v>3.2367697038355702E-5</v>
      </c>
      <c r="F30153" s="1">
        <v>1.63657973503587E-3</v>
      </c>
    </row>
    <row r="30154" spans="1:6" x14ac:dyDescent="0.25">
      <c r="A30154" s="2" t="str">
        <f t="shared" si="1084"/>
        <v>12420</v>
      </c>
      <c r="B30154" s="2" t="str">
        <f>"78768"</f>
        <v>78768</v>
      </c>
      <c r="C30154" s="1">
        <v>1.1786735741185501E-3</v>
      </c>
      <c r="D30154" s="1">
        <v>3.4192618417082901E-3</v>
      </c>
      <c r="E30154" s="1">
        <v>9.7103091115067106E-5</v>
      </c>
      <c r="F30154" s="1">
        <v>1.3272208280328899E-3</v>
      </c>
    </row>
    <row r="30155" spans="1:6" x14ac:dyDescent="0.25">
      <c r="A30155" s="2" t="str">
        <f t="shared" si="1084"/>
        <v>12420</v>
      </c>
      <c r="B30155" s="2" t="str">
        <f>"78957"</f>
        <v>78957</v>
      </c>
      <c r="C30155" s="1">
        <v>4.5962296382646801E-3</v>
      </c>
      <c r="D30155" s="1">
        <v>2.82703675147776E-3</v>
      </c>
      <c r="E30155" s="1">
        <v>8.2861304418190597E-3</v>
      </c>
      <c r="F30155" s="1">
        <v>4.5568211416588201E-3</v>
      </c>
    </row>
    <row r="30156" spans="1:6" x14ac:dyDescent="0.25">
      <c r="A30156" s="2" t="str">
        <f t="shared" si="1084"/>
        <v>12420</v>
      </c>
      <c r="B30156" s="2" t="str">
        <f>"78757"</f>
        <v>78757</v>
      </c>
      <c r="C30156" s="1">
        <v>1.2630920868594801E-2</v>
      </c>
      <c r="D30156" s="1">
        <v>1.7420356899422298E-2</v>
      </c>
      <c r="E30156" s="1">
        <v>1.7769865674057202E-2</v>
      </c>
      <c r="F30156" s="1">
        <v>1.31530873218852E-2</v>
      </c>
    </row>
    <row r="30157" spans="1:6" x14ac:dyDescent="0.25">
      <c r="A30157" s="2" t="str">
        <f t="shared" si="1084"/>
        <v>12420</v>
      </c>
      <c r="B30157" s="2" t="str">
        <f>"78751"</f>
        <v>78751</v>
      </c>
      <c r="C30157" s="1">
        <v>1.01790010940559E-2</v>
      </c>
      <c r="D30157" s="1">
        <v>8.0676700971025594E-3</v>
      </c>
      <c r="E30157" s="1">
        <v>2.31752710794626E-2</v>
      </c>
      <c r="F30157" s="1">
        <v>1.0367968196482001E-2</v>
      </c>
    </row>
    <row r="30158" spans="1:6" x14ac:dyDescent="0.25">
      <c r="A30158" s="2" t="str">
        <f t="shared" si="1084"/>
        <v>12420</v>
      </c>
      <c r="B30158" s="2" t="str">
        <f>"78704"</f>
        <v>78704</v>
      </c>
      <c r="C30158" s="1">
        <v>3.1187065650326098E-2</v>
      </c>
      <c r="D30158" s="1">
        <v>3.6595040952923603E-2</v>
      </c>
      <c r="E30158" s="1">
        <v>5.4766143388897799E-2</v>
      </c>
      <c r="F30158" s="1">
        <v>3.2264889453083603E-2</v>
      </c>
    </row>
    <row r="30159" spans="1:6" x14ac:dyDescent="0.25">
      <c r="A30159" s="2" t="str">
        <f t="shared" si="1084"/>
        <v>12420</v>
      </c>
      <c r="B30159" s="2" t="str">
        <f>"78673"</f>
        <v>78673</v>
      </c>
      <c r="C30159" s="1">
        <v>0</v>
      </c>
      <c r="D30159" s="1">
        <v>1.1174058306236201E-5</v>
      </c>
      <c r="E30159" s="1">
        <v>0</v>
      </c>
      <c r="F30159" s="1">
        <v>8.88962376445341E-7</v>
      </c>
    </row>
    <row r="30160" spans="1:6" x14ac:dyDescent="0.25">
      <c r="A30160" s="2" t="str">
        <f t="shared" si="1084"/>
        <v>12420</v>
      </c>
      <c r="B30160" s="2" t="str">
        <f>"78682"</f>
        <v>78682</v>
      </c>
      <c r="C30160" s="1">
        <v>0</v>
      </c>
      <c r="D30160" s="1">
        <v>2.2348116612472401E-5</v>
      </c>
      <c r="E30160" s="1">
        <v>0</v>
      </c>
      <c r="F30160" s="1">
        <v>1.7779247528906801E-6</v>
      </c>
    </row>
    <row r="30161" spans="1:6" x14ac:dyDescent="0.25">
      <c r="A30161" s="2" t="str">
        <f t="shared" si="1084"/>
        <v>12420</v>
      </c>
      <c r="B30161" s="2" t="str">
        <f>"78744"</f>
        <v>78744</v>
      </c>
      <c r="C30161" s="1">
        <v>1.8999142873355301E-2</v>
      </c>
      <c r="D30161" s="1">
        <v>1.2313812253472301E-2</v>
      </c>
      <c r="E30161" s="1">
        <v>1.2267357177536801E-2</v>
      </c>
      <c r="F30161" s="1">
        <v>1.8282400233974799E-2</v>
      </c>
    </row>
    <row r="30162" spans="1:6" x14ac:dyDescent="0.25">
      <c r="A30162" s="2" t="str">
        <f t="shared" si="1084"/>
        <v>12420</v>
      </c>
      <c r="B30162" s="2" t="str">
        <f>"78746"</f>
        <v>78746</v>
      </c>
      <c r="C30162" s="1">
        <v>1.2607028836687E-2</v>
      </c>
      <c r="D30162" s="1">
        <v>3.6002815862693098E-2</v>
      </c>
      <c r="E30162" s="1">
        <v>1.82230134325942E-2</v>
      </c>
      <c r="F30162" s="1">
        <v>1.46225421301494E-2</v>
      </c>
    </row>
    <row r="30163" spans="1:6" x14ac:dyDescent="0.25">
      <c r="A30163" s="2" t="str">
        <f t="shared" si="1084"/>
        <v>12420</v>
      </c>
      <c r="B30163" s="2" t="str">
        <f>"78718"</f>
        <v>78718</v>
      </c>
      <c r="C30163" s="1">
        <v>7.2472496787019398E-4</v>
      </c>
      <c r="D30163" s="1">
        <v>1.4973238130356499E-3</v>
      </c>
      <c r="E30163" s="1">
        <v>3.2367697038355702E-5</v>
      </c>
      <c r="F30163" s="1">
        <v>7.6717453087232898E-4</v>
      </c>
    </row>
    <row r="30164" spans="1:6" x14ac:dyDescent="0.25">
      <c r="A30164" s="2" t="str">
        <f t="shared" si="1084"/>
        <v>12420</v>
      </c>
      <c r="B30164" s="2" t="str">
        <f>"78651"</f>
        <v>78651</v>
      </c>
      <c r="C30164" s="1">
        <v>0</v>
      </c>
      <c r="D30164" s="1">
        <v>1.1174058306236201E-5</v>
      </c>
      <c r="E30164" s="1">
        <v>0</v>
      </c>
      <c r="F30164" s="1">
        <v>8.88962376445341E-7</v>
      </c>
    </row>
    <row r="30165" spans="1:6" x14ac:dyDescent="0.25">
      <c r="A30165" s="2" t="str">
        <f t="shared" si="1084"/>
        <v>12420</v>
      </c>
      <c r="B30165" s="2" t="str">
        <f>"78650"</f>
        <v>78650</v>
      </c>
      <c r="C30165" s="1">
        <v>5.6345375249248597E-4</v>
      </c>
      <c r="D30165" s="1">
        <v>1.00566524756126E-4</v>
      </c>
      <c r="E30165" s="1">
        <v>1.65075254895614E-3</v>
      </c>
      <c r="F30165" s="1">
        <v>5.5649044765478301E-4</v>
      </c>
    </row>
    <row r="30166" spans="1:6" x14ac:dyDescent="0.25">
      <c r="A30166" s="2" t="str">
        <f t="shared" si="1084"/>
        <v>12420</v>
      </c>
      <c r="B30166" s="2" t="str">
        <f>"78653"</f>
        <v>78653</v>
      </c>
      <c r="C30166" s="1">
        <v>1.09405596111173E-2</v>
      </c>
      <c r="D30166" s="1">
        <v>6.0451655436738003E-3</v>
      </c>
      <c r="E30166" s="1">
        <v>9.7426768085450699E-3</v>
      </c>
      <c r="F30166" s="1">
        <v>1.05182028381012E-2</v>
      </c>
    </row>
    <row r="30167" spans="1:6" x14ac:dyDescent="0.25">
      <c r="A30167" s="2" t="str">
        <f t="shared" ref="A30167:A30198" si="1085">"12420"</f>
        <v>12420</v>
      </c>
      <c r="B30167" s="2" t="str">
        <f>"78632"</f>
        <v>78632</v>
      </c>
      <c r="C30167" s="1">
        <v>2.8272237757573501E-4</v>
      </c>
      <c r="D30167" s="1">
        <v>2.2348116612472401E-5</v>
      </c>
      <c r="E30167" s="1">
        <v>3.2367697038355702E-5</v>
      </c>
      <c r="F30167" s="1">
        <v>2.5513220203981298E-4</v>
      </c>
    </row>
    <row r="30168" spans="1:6" x14ac:dyDescent="0.25">
      <c r="A30168" s="2" t="str">
        <f t="shared" si="1085"/>
        <v>12420</v>
      </c>
      <c r="B30168" s="2" t="str">
        <f>"78628"</f>
        <v>78628</v>
      </c>
      <c r="C30168" s="1">
        <v>1.79200194321859E-2</v>
      </c>
      <c r="D30168" s="1">
        <v>1.16992390466293E-2</v>
      </c>
      <c r="E30168" s="1">
        <v>1.4694934455413399E-2</v>
      </c>
      <c r="F30168" s="1">
        <v>1.7336544265437001E-2</v>
      </c>
    </row>
    <row r="30169" spans="1:6" x14ac:dyDescent="0.25">
      <c r="A30169" s="2" t="str">
        <f t="shared" si="1085"/>
        <v>12420</v>
      </c>
      <c r="B30169" s="2" t="str">
        <f>"78627"</f>
        <v>78627</v>
      </c>
      <c r="C30169" s="1">
        <v>1.3279987735423601E-3</v>
      </c>
      <c r="D30169" s="1">
        <v>8.0006257472651394E-3</v>
      </c>
      <c r="E30169" s="1">
        <v>3.2367697038355702E-5</v>
      </c>
      <c r="F30169" s="1">
        <v>1.8232618340893901E-3</v>
      </c>
    </row>
    <row r="30170" spans="1:6" x14ac:dyDescent="0.25">
      <c r="A30170" s="2" t="str">
        <f t="shared" si="1085"/>
        <v>12420</v>
      </c>
      <c r="B30170" s="2" t="str">
        <f>"78621"</f>
        <v>78621</v>
      </c>
      <c r="C30170" s="1">
        <v>9.3676675105199593E-3</v>
      </c>
      <c r="D30170" s="1">
        <v>4.6484082553942697E-3</v>
      </c>
      <c r="E30170" s="1">
        <v>1.5407023790257299E-2</v>
      </c>
      <c r="F30170" s="1">
        <v>9.1580904021399106E-3</v>
      </c>
    </row>
    <row r="30171" spans="1:6" x14ac:dyDescent="0.25">
      <c r="A30171" s="2" t="str">
        <f t="shared" si="1085"/>
        <v>12420</v>
      </c>
      <c r="B30171" s="2" t="str">
        <f>"78619"</f>
        <v>78619</v>
      </c>
      <c r="C30171" s="1">
        <v>2.26874752991232E-3</v>
      </c>
      <c r="D30171" s="1">
        <v>7.7101002313030001E-4</v>
      </c>
      <c r="E30171" s="1">
        <v>1.26234018449587E-3</v>
      </c>
      <c r="F30171" s="1">
        <v>2.1219531925750299E-3</v>
      </c>
    </row>
    <row r="30172" spans="1:6" x14ac:dyDescent="0.25">
      <c r="A30172" s="2" t="str">
        <f t="shared" si="1085"/>
        <v>12420</v>
      </c>
      <c r="B30172" s="2" t="str">
        <f>"76571"</f>
        <v>76571</v>
      </c>
      <c r="C30172" s="1">
        <v>9.9550132949202502E-7</v>
      </c>
      <c r="D30172" s="1">
        <v>0</v>
      </c>
      <c r="E30172" s="1">
        <v>0</v>
      </c>
      <c r="F30172" s="1">
        <v>8.88962376445341E-7</v>
      </c>
    </row>
    <row r="30173" spans="1:6" x14ac:dyDescent="0.25">
      <c r="A30173" s="2" t="str">
        <f t="shared" si="1085"/>
        <v>12420</v>
      </c>
      <c r="B30173" s="2" t="str">
        <f>"76577"</f>
        <v>76577</v>
      </c>
      <c r="C30173" s="1">
        <v>6.3712085087489601E-5</v>
      </c>
      <c r="D30173" s="1">
        <v>2.2348116612472401E-5</v>
      </c>
      <c r="E30173" s="1">
        <v>0</v>
      </c>
      <c r="F30173" s="1">
        <v>5.8671516845392501E-5</v>
      </c>
    </row>
    <row r="30174" spans="1:6" x14ac:dyDescent="0.25">
      <c r="A30174" s="2" t="str">
        <f t="shared" si="1085"/>
        <v>12420</v>
      </c>
      <c r="B30174" s="2" t="str">
        <f>"78762"</f>
        <v>78762</v>
      </c>
      <c r="C30174" s="1">
        <v>4.4399359295344302E-4</v>
      </c>
      <c r="D30174" s="1">
        <v>2.57003341043433E-3</v>
      </c>
      <c r="E30174" s="1">
        <v>3.2367697038355702E-5</v>
      </c>
      <c r="F30174" s="1">
        <v>6.0182752885349603E-4</v>
      </c>
    </row>
    <row r="30175" spans="1:6" x14ac:dyDescent="0.25">
      <c r="A30175" s="2" t="str">
        <f t="shared" si="1085"/>
        <v>12420</v>
      </c>
      <c r="B30175" s="2" t="str">
        <f>"78778"</f>
        <v>78778</v>
      </c>
      <c r="C30175" s="1">
        <v>0</v>
      </c>
      <c r="D30175" s="1">
        <v>1.1174058306236201E-5</v>
      </c>
      <c r="E30175" s="1">
        <v>0</v>
      </c>
      <c r="F30175" s="1">
        <v>8.88962376445341E-7</v>
      </c>
    </row>
    <row r="30176" spans="1:6" x14ac:dyDescent="0.25">
      <c r="A30176" s="2" t="str">
        <f t="shared" si="1085"/>
        <v>12420</v>
      </c>
      <c r="B30176" s="2" t="str">
        <f>"78774"</f>
        <v>78774</v>
      </c>
      <c r="C30176" s="1">
        <v>0</v>
      </c>
      <c r="D30176" s="1">
        <v>1.1174058306236201E-5</v>
      </c>
      <c r="E30176" s="1">
        <v>0</v>
      </c>
      <c r="F30176" s="1">
        <v>8.88962376445341E-7</v>
      </c>
    </row>
    <row r="30177" spans="1:6" x14ac:dyDescent="0.25">
      <c r="A30177" s="2" t="str">
        <f t="shared" si="1085"/>
        <v>12420</v>
      </c>
      <c r="B30177" s="2" t="str">
        <f>"78767"</f>
        <v>78767</v>
      </c>
      <c r="C30177" s="1">
        <v>7.6653602370885905E-4</v>
      </c>
      <c r="D30177" s="1">
        <v>4.7824969550691104E-3</v>
      </c>
      <c r="E30177" s="1">
        <v>9.7103091115067106E-5</v>
      </c>
      <c r="F30177" s="1">
        <v>1.06764381411085E-3</v>
      </c>
    </row>
    <row r="30178" spans="1:6" x14ac:dyDescent="0.25">
      <c r="A30178" s="2" t="str">
        <f t="shared" si="1085"/>
        <v>12420</v>
      </c>
      <c r="B30178" s="2" t="str">
        <f>"78765"</f>
        <v>78765</v>
      </c>
      <c r="C30178" s="1">
        <v>1.2393991552175701E-3</v>
      </c>
      <c r="D30178" s="1">
        <v>4.16792374822611E-3</v>
      </c>
      <c r="E30178" s="1">
        <v>3.2367697038355702E-5</v>
      </c>
      <c r="F30178" s="1">
        <v>1.439230087465E-3</v>
      </c>
    </row>
    <row r="30179" spans="1:6" x14ac:dyDescent="0.25">
      <c r="A30179" s="2" t="str">
        <f t="shared" si="1085"/>
        <v>12420</v>
      </c>
      <c r="B30179" s="2" t="str">
        <f>"78763"</f>
        <v>78763</v>
      </c>
      <c r="C30179" s="1">
        <v>8.9296469255434601E-4</v>
      </c>
      <c r="D30179" s="1">
        <v>4.6260601387817998E-3</v>
      </c>
      <c r="E30179" s="1">
        <v>3.2367697038355702E-5</v>
      </c>
      <c r="F30179" s="1">
        <v>1.16631863789628E-3</v>
      </c>
    </row>
    <row r="30180" spans="1:6" x14ac:dyDescent="0.25">
      <c r="A30180" s="2" t="str">
        <f t="shared" si="1085"/>
        <v>12420</v>
      </c>
      <c r="B30180" s="2" t="str">
        <f>"78753"</f>
        <v>78753</v>
      </c>
      <c r="C30180" s="1">
        <v>2.3453015821502599E-2</v>
      </c>
      <c r="D30180" s="1">
        <v>1.7856145173365499E-2</v>
      </c>
      <c r="E30180" s="1">
        <v>2.2786858715002401E-2</v>
      </c>
      <c r="F30180" s="1">
        <v>2.2989456017252899E-2</v>
      </c>
    </row>
    <row r="30181" spans="1:6" x14ac:dyDescent="0.25">
      <c r="A30181" s="2" t="str">
        <f t="shared" si="1085"/>
        <v>12420</v>
      </c>
      <c r="B30181" s="2" t="str">
        <f>"78758"</f>
        <v>78758</v>
      </c>
      <c r="C30181" s="1">
        <v>2.40403616059029E-2</v>
      </c>
      <c r="D30181" s="1">
        <v>2.9130770004357799E-2</v>
      </c>
      <c r="E30181" s="1">
        <v>3.3565301828774798E-2</v>
      </c>
      <c r="F30181" s="1">
        <v>2.47069313285453E-2</v>
      </c>
    </row>
    <row r="30182" spans="1:6" x14ac:dyDescent="0.25">
      <c r="A30182" s="2" t="str">
        <f t="shared" si="1085"/>
        <v>12420</v>
      </c>
      <c r="B30182" s="2" t="str">
        <f>"78703"</f>
        <v>78703</v>
      </c>
      <c r="C30182" s="1">
        <v>1.4213767982487101E-2</v>
      </c>
      <c r="D30182" s="1">
        <v>1.51520230632563E-2</v>
      </c>
      <c r="E30182" s="1">
        <v>2.9875384366402299E-2</v>
      </c>
      <c r="F30182" s="1">
        <v>1.4718550066805501E-2</v>
      </c>
    </row>
    <row r="30183" spans="1:6" x14ac:dyDescent="0.25">
      <c r="A30183" s="2" t="str">
        <f t="shared" si="1085"/>
        <v>12420</v>
      </c>
      <c r="B30183" s="2" t="str">
        <f>"78676"</f>
        <v>78676</v>
      </c>
      <c r="C30183" s="1">
        <v>9.3965370490752195E-3</v>
      </c>
      <c r="D30183" s="1">
        <v>1.1207580481154901E-2</v>
      </c>
      <c r="E30183" s="1">
        <v>9.3542644440847995E-3</v>
      </c>
      <c r="F30183" s="1">
        <v>9.5394552616349607E-3</v>
      </c>
    </row>
    <row r="30184" spans="1:6" x14ac:dyDescent="0.25">
      <c r="A30184" s="2" t="str">
        <f t="shared" si="1085"/>
        <v>12420</v>
      </c>
      <c r="B30184" s="2" t="str">
        <f>"78733"</f>
        <v>78733</v>
      </c>
      <c r="C30184" s="1">
        <v>3.3946595335678001E-3</v>
      </c>
      <c r="D30184" s="1">
        <v>1.28501670521716E-3</v>
      </c>
      <c r="E30184" s="1">
        <v>4.7904191616766397E-3</v>
      </c>
      <c r="F30184" s="1">
        <v>3.26515880868374E-3</v>
      </c>
    </row>
    <row r="30185" spans="1:6" x14ac:dyDescent="0.25">
      <c r="A30185" s="2" t="str">
        <f t="shared" si="1085"/>
        <v>12420</v>
      </c>
      <c r="B30185" s="2" t="str">
        <f>"78732"</f>
        <v>78732</v>
      </c>
      <c r="C30185" s="1">
        <v>6.8390941336102101E-3</v>
      </c>
      <c r="D30185" s="1">
        <v>1.95546020359134E-3</v>
      </c>
      <c r="E30185" s="1">
        <v>2.5570480660300999E-3</v>
      </c>
      <c r="F30185" s="1">
        <v>6.3329679697966103E-3</v>
      </c>
    </row>
    <row r="30186" spans="1:6" x14ac:dyDescent="0.25">
      <c r="A30186" s="2" t="str">
        <f t="shared" si="1085"/>
        <v>12420</v>
      </c>
      <c r="B30186" s="2" t="str">
        <f>"78711"</f>
        <v>78711</v>
      </c>
      <c r="C30186" s="1">
        <v>7.6554052237936697E-4</v>
      </c>
      <c r="D30186" s="1">
        <v>2.6259037019655102E-3</v>
      </c>
      <c r="E30186" s="1">
        <v>6.4735394076711404E-5</v>
      </c>
      <c r="F30186" s="1">
        <v>8.9429615070401301E-4</v>
      </c>
    </row>
    <row r="30187" spans="1:6" x14ac:dyDescent="0.25">
      <c r="A30187" s="2" t="str">
        <f t="shared" si="1085"/>
        <v>12420</v>
      </c>
      <c r="B30187" s="2" t="str">
        <f>"78721"</f>
        <v>78721</v>
      </c>
      <c r="C30187" s="1">
        <v>5.0282772152642199E-3</v>
      </c>
      <c r="D30187" s="1">
        <v>3.3186953169521598E-3</v>
      </c>
      <c r="E30187" s="1">
        <v>5.5996115876355296E-3</v>
      </c>
      <c r="F30187" s="1">
        <v>4.9079612803547296E-3</v>
      </c>
    </row>
    <row r="30188" spans="1:6" x14ac:dyDescent="0.25">
      <c r="A30188" s="2" t="str">
        <f t="shared" si="1085"/>
        <v>12420</v>
      </c>
      <c r="B30188" s="2" t="str">
        <f>"78712"</f>
        <v>78712</v>
      </c>
      <c r="C30188" s="1">
        <v>0</v>
      </c>
      <c r="D30188" s="1">
        <v>1.0056652475612601E-2</v>
      </c>
      <c r="E30188" s="1">
        <v>5.7614500728273097E-3</v>
      </c>
      <c r="F30188" s="1">
        <v>9.5830144180807802E-4</v>
      </c>
    </row>
    <row r="30189" spans="1:6" x14ac:dyDescent="0.25">
      <c r="A30189" s="2" t="str">
        <f t="shared" si="1085"/>
        <v>12420</v>
      </c>
      <c r="B30189" s="2" t="str">
        <f>"78661"</f>
        <v>78661</v>
      </c>
      <c r="C30189" s="1">
        <v>0</v>
      </c>
      <c r="D30189" s="1">
        <v>1.1174058306236201E-5</v>
      </c>
      <c r="E30189" s="1">
        <v>0</v>
      </c>
      <c r="F30189" s="1">
        <v>8.88962376445341E-7</v>
      </c>
    </row>
    <row r="30190" spans="1:6" x14ac:dyDescent="0.25">
      <c r="A30190" s="2" t="str">
        <f t="shared" si="1085"/>
        <v>12420</v>
      </c>
      <c r="B30190" s="2" t="str">
        <f>"78612"</f>
        <v>78612</v>
      </c>
      <c r="C30190" s="1">
        <v>5.5320008879871799E-3</v>
      </c>
      <c r="D30190" s="1">
        <v>2.39124847753455E-3</v>
      </c>
      <c r="E30190" s="1">
        <v>1.52775530021039E-2</v>
      </c>
      <c r="F30190" s="1">
        <v>5.5497921161482599E-3</v>
      </c>
    </row>
    <row r="30191" spans="1:6" x14ac:dyDescent="0.25">
      <c r="A30191" s="2" t="str">
        <f t="shared" si="1085"/>
        <v>12420</v>
      </c>
      <c r="B30191" s="2" t="str">
        <f>"78642"</f>
        <v>78642</v>
      </c>
      <c r="C30191" s="1">
        <v>7.4632734672017099E-3</v>
      </c>
      <c r="D30191" s="1">
        <v>4.6484082553942697E-3</v>
      </c>
      <c r="E30191" s="1">
        <v>4.0459621297944601E-3</v>
      </c>
      <c r="F30191" s="1">
        <v>7.1454795818676501E-3</v>
      </c>
    </row>
    <row r="30192" spans="1:6" x14ac:dyDescent="0.25">
      <c r="A30192" s="2" t="str">
        <f t="shared" si="1085"/>
        <v>12420</v>
      </c>
      <c r="B30192" s="2" t="str">
        <f>"78634"</f>
        <v>78634</v>
      </c>
      <c r="C30192" s="1">
        <v>1.36742062619024E-2</v>
      </c>
      <c r="D30192" s="1">
        <v>1.15651503469545E-2</v>
      </c>
      <c r="E30192" s="1">
        <v>8.1890273507039899E-3</v>
      </c>
      <c r="F30192" s="1">
        <v>1.3355770743714799E-2</v>
      </c>
    </row>
    <row r="30193" spans="1:6" x14ac:dyDescent="0.25">
      <c r="A30193" s="2" t="str">
        <f t="shared" si="1085"/>
        <v>12420</v>
      </c>
      <c r="B30193" s="2" t="str">
        <f>"78633"</f>
        <v>78633</v>
      </c>
      <c r="C30193" s="1">
        <v>1.44974858613923E-2</v>
      </c>
      <c r="D30193" s="1">
        <v>3.3633915501770999E-3</v>
      </c>
      <c r="E30193" s="1">
        <v>2.0067972163780499E-3</v>
      </c>
      <c r="F30193" s="1">
        <v>1.32686524308231E-2</v>
      </c>
    </row>
    <row r="30194" spans="1:6" x14ac:dyDescent="0.25">
      <c r="A30194" s="2" t="str">
        <f t="shared" si="1085"/>
        <v>12420</v>
      </c>
      <c r="B30194" s="2" t="str">
        <f>"78641"</f>
        <v>78641</v>
      </c>
      <c r="C30194" s="1">
        <v>3.0913302784715799E-2</v>
      </c>
      <c r="D30194" s="1">
        <v>1.0280133641737301E-2</v>
      </c>
      <c r="E30194" s="1">
        <v>1.2688137239035399E-2</v>
      </c>
      <c r="F30194" s="1">
        <v>2.8771267313653402E-2</v>
      </c>
    </row>
    <row r="30195" spans="1:6" x14ac:dyDescent="0.25">
      <c r="A30195" s="2" t="str">
        <f t="shared" si="1085"/>
        <v>12420</v>
      </c>
      <c r="B30195" s="2" t="str">
        <f>"78764"</f>
        <v>78764</v>
      </c>
      <c r="C30195" s="1">
        <v>4.4897109960090299E-4</v>
      </c>
      <c r="D30195" s="1">
        <v>9.8331713094878897E-4</v>
      </c>
      <c r="E30195" s="1">
        <v>3.2367697038355702E-5</v>
      </c>
      <c r="F30195" s="1">
        <v>4.8003968328048398E-4</v>
      </c>
    </row>
    <row r="30196" spans="1:6" x14ac:dyDescent="0.25">
      <c r="A30196" s="2" t="str">
        <f t="shared" si="1085"/>
        <v>12420</v>
      </c>
      <c r="B30196" s="2" t="str">
        <f>"78756"</f>
        <v>78756</v>
      </c>
      <c r="C30196" s="1">
        <v>4.8042894161285099E-3</v>
      </c>
      <c r="D30196" s="1">
        <v>1.0414222341412101E-2</v>
      </c>
      <c r="E30196" s="1">
        <v>1.02929276581971E-2</v>
      </c>
      <c r="F30196" s="1">
        <v>5.4013353992818898E-3</v>
      </c>
    </row>
    <row r="30197" spans="1:6" x14ac:dyDescent="0.25">
      <c r="A30197" s="2" t="str">
        <f t="shared" si="1085"/>
        <v>12420</v>
      </c>
      <c r="B30197" s="2" t="str">
        <f>"78754"</f>
        <v>78754</v>
      </c>
      <c r="C30197" s="1">
        <v>1.05612736045808E-2</v>
      </c>
      <c r="D30197" s="1">
        <v>1.38558322997329E-2</v>
      </c>
      <c r="E30197" s="1">
        <v>8.2537627447807002E-3</v>
      </c>
      <c r="F30197" s="1">
        <v>1.0760000604494399E-2</v>
      </c>
    </row>
    <row r="30198" spans="1:6" x14ac:dyDescent="0.25">
      <c r="A30198" s="2" t="str">
        <f t="shared" si="1085"/>
        <v>12420</v>
      </c>
      <c r="B30198" s="2" t="str">
        <f>"78752"</f>
        <v>78752</v>
      </c>
      <c r="C30198" s="1">
        <v>9.1625942366445993E-3</v>
      </c>
      <c r="D30198" s="1">
        <v>1.6861653984110402E-2</v>
      </c>
      <c r="E30198" s="1">
        <v>1.89998381615148E-2</v>
      </c>
      <c r="F30198" s="1">
        <v>1.00452748538323E-2</v>
      </c>
    </row>
    <row r="30199" spans="1:6" x14ac:dyDescent="0.25">
      <c r="A30199" s="2" t="str">
        <f t="shared" ref="A30199:A30230" si="1086">"12420"</f>
        <v>12420</v>
      </c>
      <c r="B30199" s="2" t="str">
        <f>"78749"</f>
        <v>78749</v>
      </c>
      <c r="C30199" s="1">
        <v>1.5866300189443901E-2</v>
      </c>
      <c r="D30199" s="1">
        <v>4.6931044886192198E-3</v>
      </c>
      <c r="E30199" s="1">
        <v>1.0616604628580601E-2</v>
      </c>
      <c r="F30199" s="1">
        <v>1.48332262133669E-2</v>
      </c>
    </row>
    <row r="30200" spans="1:6" x14ac:dyDescent="0.25">
      <c r="A30200" s="2" t="str">
        <f t="shared" si="1086"/>
        <v>12420</v>
      </c>
      <c r="B30200" s="2" t="str">
        <f>"78674"</f>
        <v>78674</v>
      </c>
      <c r="C30200" s="1">
        <v>1.99100265898405E-6</v>
      </c>
      <c r="D30200" s="1">
        <v>1.1174058306236201E-5</v>
      </c>
      <c r="E30200" s="1">
        <v>0</v>
      </c>
      <c r="F30200" s="1">
        <v>2.6668871293360201E-6</v>
      </c>
    </row>
    <row r="30201" spans="1:6" x14ac:dyDescent="0.25">
      <c r="A30201" s="2" t="str">
        <f t="shared" si="1086"/>
        <v>12420</v>
      </c>
      <c r="B30201" s="2" t="str">
        <f>"78680"</f>
        <v>78680</v>
      </c>
      <c r="C30201" s="1">
        <v>1.2374081525585801E-3</v>
      </c>
      <c r="D30201" s="1">
        <v>6.3468651179421796E-3</v>
      </c>
      <c r="E30201" s="1">
        <v>3.2367697038355702E-5</v>
      </c>
      <c r="F30201" s="1">
        <v>1.6107998261189499E-3</v>
      </c>
    </row>
    <row r="30202" spans="1:6" x14ac:dyDescent="0.25">
      <c r="A30202" s="2" t="str">
        <f t="shared" si="1086"/>
        <v>12420</v>
      </c>
      <c r="B30202" s="2" t="str">
        <f>"78691"</f>
        <v>78691</v>
      </c>
      <c r="C30202" s="1">
        <v>2.12340433580649E-3</v>
      </c>
      <c r="D30202" s="1">
        <v>7.0061345580101197E-3</v>
      </c>
      <c r="E30202" s="1">
        <v>3.2367697038355702E-5</v>
      </c>
      <c r="F30202" s="1">
        <v>2.45442512136558E-3</v>
      </c>
    </row>
    <row r="30203" spans="1:6" x14ac:dyDescent="0.25">
      <c r="A30203" s="2" t="str">
        <f t="shared" si="1086"/>
        <v>12420</v>
      </c>
      <c r="B30203" s="2" t="str">
        <f>"78730"</f>
        <v>78730</v>
      </c>
      <c r="C30203" s="1">
        <v>4.2866287247926597E-3</v>
      </c>
      <c r="D30203" s="1">
        <v>4.3690567977383698E-3</v>
      </c>
      <c r="E30203" s="1">
        <v>3.0101958245670802E-3</v>
      </c>
      <c r="F30203" s="1">
        <v>4.2581297831731802E-3</v>
      </c>
    </row>
    <row r="30204" spans="1:6" x14ac:dyDescent="0.25">
      <c r="A30204" s="2" t="str">
        <f t="shared" si="1086"/>
        <v>12420</v>
      </c>
      <c r="B30204" s="2" t="str">
        <f>"78736"</f>
        <v>78736</v>
      </c>
      <c r="C30204" s="1">
        <v>4.51758503323481E-3</v>
      </c>
      <c r="D30204" s="1">
        <v>2.4694668856782001E-3</v>
      </c>
      <c r="E30204" s="1">
        <v>5.6643469817122503E-3</v>
      </c>
      <c r="F30204" s="1">
        <v>4.3861403653813096E-3</v>
      </c>
    </row>
    <row r="30205" spans="1:6" x14ac:dyDescent="0.25">
      <c r="A30205" s="2" t="str">
        <f t="shared" si="1086"/>
        <v>12420</v>
      </c>
      <c r="B30205" s="2" t="str">
        <f>"78741"</f>
        <v>78741</v>
      </c>
      <c r="C30205" s="1">
        <v>2.5416144443260898E-2</v>
      </c>
      <c r="D30205" s="1">
        <v>1.0648877565843101E-2</v>
      </c>
      <c r="E30205" s="1">
        <v>2.7124130118141999E-2</v>
      </c>
      <c r="F30205" s="1">
        <v>2.4288230049239599E-2</v>
      </c>
    </row>
    <row r="30206" spans="1:6" x14ac:dyDescent="0.25">
      <c r="A30206" s="2" t="str">
        <f t="shared" si="1086"/>
        <v>12420</v>
      </c>
      <c r="B30206" s="2" t="str">
        <f>"78667"</f>
        <v>78667</v>
      </c>
      <c r="C30206" s="1">
        <v>1.248358667183E-3</v>
      </c>
      <c r="D30206" s="1">
        <v>5.7211178527929504E-3</v>
      </c>
      <c r="E30206" s="1">
        <v>9.7103091115067106E-5</v>
      </c>
      <c r="F30206" s="1">
        <v>1.5725744439317999E-3</v>
      </c>
    </row>
    <row r="30207" spans="1:6" x14ac:dyDescent="0.25">
      <c r="A30207" s="2" t="str">
        <f t="shared" si="1086"/>
        <v>12420</v>
      </c>
      <c r="B30207" s="2" t="str">
        <f>"78710"</f>
        <v>78710</v>
      </c>
      <c r="C30207" s="1">
        <v>0</v>
      </c>
      <c r="D30207" s="1">
        <v>2.2348116612472401E-5</v>
      </c>
      <c r="E30207" s="1">
        <v>0</v>
      </c>
      <c r="F30207" s="1">
        <v>1.7779247528906801E-6</v>
      </c>
    </row>
    <row r="30208" spans="1:6" x14ac:dyDescent="0.25">
      <c r="A30208" s="2" t="str">
        <f t="shared" si="1086"/>
        <v>12420</v>
      </c>
      <c r="B30208" s="2" t="str">
        <f>"78717"</f>
        <v>78717</v>
      </c>
      <c r="C30208" s="1">
        <v>1.4553233935843899E-2</v>
      </c>
      <c r="D30208" s="1">
        <v>9.3303386857072606E-3</v>
      </c>
      <c r="E30208" s="1">
        <v>3.4309758860657001E-3</v>
      </c>
      <c r="F30208" s="1">
        <v>1.3832254577489499E-2</v>
      </c>
    </row>
    <row r="30209" spans="1:6" x14ac:dyDescent="0.25">
      <c r="A30209" s="2" t="str">
        <f t="shared" si="1086"/>
        <v>12420</v>
      </c>
      <c r="B30209" s="2" t="str">
        <f>"78709"</f>
        <v>78709</v>
      </c>
      <c r="C30209" s="1">
        <v>9.6165428428929603E-4</v>
      </c>
      <c r="D30209" s="1">
        <v>9.1850759277261902E-3</v>
      </c>
      <c r="E30209" s="1">
        <v>3.2367697038355702E-5</v>
      </c>
      <c r="F30209" s="1">
        <v>1.5903536914607099E-3</v>
      </c>
    </row>
    <row r="30210" spans="1:6" x14ac:dyDescent="0.25">
      <c r="A30210" s="2" t="str">
        <f t="shared" si="1086"/>
        <v>12420</v>
      </c>
      <c r="B30210" s="2" t="str">
        <f>"78705"</f>
        <v>78705</v>
      </c>
      <c r="C30210" s="1">
        <v>1.5031074574E-2</v>
      </c>
      <c r="D30210" s="1">
        <v>1.7319790374666098E-2</v>
      </c>
      <c r="E30210" s="1">
        <v>4.3178507849166499E-2</v>
      </c>
      <c r="F30210" s="1">
        <v>1.59862104156165E-2</v>
      </c>
    </row>
    <row r="30211" spans="1:6" x14ac:dyDescent="0.25">
      <c r="A30211" s="2" t="str">
        <f t="shared" si="1086"/>
        <v>12420</v>
      </c>
      <c r="B30211" s="2" t="str">
        <f>"78660"</f>
        <v>78660</v>
      </c>
      <c r="C30211" s="1">
        <v>3.9543303810082198E-2</v>
      </c>
      <c r="D30211" s="1">
        <v>1.9800431318650599E-2</v>
      </c>
      <c r="E30211" s="1">
        <v>2.0585855316394199E-2</v>
      </c>
      <c r="F30211" s="1">
        <v>3.7451984919642203E-2</v>
      </c>
    </row>
    <row r="30212" spans="1:6" x14ac:dyDescent="0.25">
      <c r="A30212" s="2" t="str">
        <f t="shared" si="1086"/>
        <v>12420</v>
      </c>
      <c r="B30212" s="2" t="str">
        <f>"78659"</f>
        <v>78659</v>
      </c>
      <c r="C30212" s="1">
        <v>1.35189080545017E-3</v>
      </c>
      <c r="D30212" s="1">
        <v>1.7878493289977899E-4</v>
      </c>
      <c r="E30212" s="1">
        <v>2.1686357015698299E-3</v>
      </c>
      <c r="F30212" s="1">
        <v>1.28099478445773E-3</v>
      </c>
    </row>
    <row r="30213" spans="1:6" x14ac:dyDescent="0.25">
      <c r="A30213" s="2" t="str">
        <f t="shared" si="1086"/>
        <v>12420</v>
      </c>
      <c r="B30213" s="2" t="str">
        <f>"78602"</f>
        <v>78602</v>
      </c>
      <c r="C30213" s="1">
        <v>1.41132223482084E-2</v>
      </c>
      <c r="D30213" s="1">
        <v>1.7163353558378801E-2</v>
      </c>
      <c r="E30213" s="1">
        <v>2.3498948049846199E-2</v>
      </c>
      <c r="F30213" s="1">
        <v>1.4613652506384901E-2</v>
      </c>
    </row>
    <row r="30214" spans="1:6" x14ac:dyDescent="0.25">
      <c r="A30214" s="2" t="str">
        <f t="shared" si="1086"/>
        <v>12420</v>
      </c>
      <c r="B30214" s="2" t="str">
        <f>"78610"</f>
        <v>78610</v>
      </c>
      <c r="C30214" s="1">
        <v>1.67045123088761E-2</v>
      </c>
      <c r="D30214" s="1">
        <v>1.37999620082017E-2</v>
      </c>
      <c r="E30214" s="1">
        <v>1.20407832982683E-2</v>
      </c>
      <c r="F30214" s="1">
        <v>1.63453512157004E-2</v>
      </c>
    </row>
    <row r="30215" spans="1:6" x14ac:dyDescent="0.25">
      <c r="A30215" s="2" t="str">
        <f t="shared" si="1086"/>
        <v>12420</v>
      </c>
      <c r="B30215" s="2" t="str">
        <f>"78648"</f>
        <v>78648</v>
      </c>
      <c r="C30215" s="1">
        <v>3.2214423022361902E-3</v>
      </c>
      <c r="D30215" s="1">
        <v>3.18460661727732E-3</v>
      </c>
      <c r="E30215" s="1">
        <v>2.8807250364136501E-3</v>
      </c>
      <c r="F30215" s="1">
        <v>3.2091541789676802E-3</v>
      </c>
    </row>
    <row r="30216" spans="1:6" x14ac:dyDescent="0.25">
      <c r="A30216" s="2" t="str">
        <f t="shared" si="1086"/>
        <v>12420</v>
      </c>
      <c r="B30216" s="2" t="str">
        <f>"78630"</f>
        <v>78630</v>
      </c>
      <c r="C30216" s="1">
        <v>2.02086769886881E-3</v>
      </c>
      <c r="D30216" s="1">
        <v>9.53147173521951E-3</v>
      </c>
      <c r="E30216" s="1">
        <v>3.2367697038355702E-5</v>
      </c>
      <c r="F30216" s="1">
        <v>2.5637674936683599E-3</v>
      </c>
    </row>
    <row r="30217" spans="1:6" x14ac:dyDescent="0.25">
      <c r="A30217" s="2" t="str">
        <f t="shared" si="1086"/>
        <v>12420</v>
      </c>
      <c r="B30217" s="2" t="str">
        <f>"78626"</f>
        <v>78626</v>
      </c>
      <c r="C30217" s="1">
        <v>1.5862318184125899E-2</v>
      </c>
      <c r="D30217" s="1">
        <v>1.65487803515358E-2</v>
      </c>
      <c r="E30217" s="1">
        <v>1.27852403301505E-2</v>
      </c>
      <c r="F30217" s="1">
        <v>1.5832419924491501E-2</v>
      </c>
    </row>
    <row r="30218" spans="1:6" x14ac:dyDescent="0.25">
      <c r="A30218" s="2" t="str">
        <f t="shared" si="1086"/>
        <v>12420</v>
      </c>
      <c r="B30218" s="2" t="str">
        <f>"76530"</f>
        <v>76530</v>
      </c>
      <c r="C30218" s="1">
        <v>9.0889271382621896E-4</v>
      </c>
      <c r="D30218" s="1">
        <v>3.1287363257461403E-4</v>
      </c>
      <c r="E30218" s="1">
        <v>8.7392782003560402E-4</v>
      </c>
      <c r="F30218" s="1">
        <v>8.6051558039908996E-4</v>
      </c>
    </row>
    <row r="30219" spans="1:6" x14ac:dyDescent="0.25">
      <c r="A30219" s="2" t="str">
        <f t="shared" si="1086"/>
        <v>12420</v>
      </c>
      <c r="B30219" s="2" t="str">
        <f>"76578"</f>
        <v>76578</v>
      </c>
      <c r="C30219" s="1">
        <v>6.1422432029657899E-4</v>
      </c>
      <c r="D30219" s="1">
        <v>1.4526275798107101E-4</v>
      </c>
      <c r="E30219" s="1">
        <v>3.8841236446026799E-4</v>
      </c>
      <c r="F30219" s="1">
        <v>5.7071384567790903E-4</v>
      </c>
    </row>
    <row r="30220" spans="1:6" x14ac:dyDescent="0.25">
      <c r="A30220" s="2" t="str">
        <f t="shared" si="1086"/>
        <v>12420</v>
      </c>
      <c r="B30220" s="2" t="str">
        <f>"78766"</f>
        <v>78766</v>
      </c>
      <c r="C30220" s="1">
        <v>1.70728478007882E-3</v>
      </c>
      <c r="D30220" s="1">
        <v>5.94459901891768E-3</v>
      </c>
      <c r="E30220" s="1">
        <v>3.2367697038355702E-5</v>
      </c>
      <c r="F30220" s="1">
        <v>1.9983874222491201E-3</v>
      </c>
    </row>
    <row r="30221" spans="1:6" x14ac:dyDescent="0.25">
      <c r="A30221" s="2" t="str">
        <f t="shared" si="1086"/>
        <v>12420</v>
      </c>
      <c r="B30221" s="2" t="str">
        <f>"78755"</f>
        <v>78755</v>
      </c>
      <c r="C30221" s="1">
        <v>2.1652153916451502E-3</v>
      </c>
      <c r="D30221" s="1">
        <v>7.17374543260366E-3</v>
      </c>
      <c r="E30221" s="1">
        <v>3.2367697038355702E-5</v>
      </c>
      <c r="F30221" s="1">
        <v>2.5050959768229699E-3</v>
      </c>
    </row>
    <row r="30222" spans="1:6" x14ac:dyDescent="0.25">
      <c r="A30222" s="2" t="str">
        <f t="shared" si="1086"/>
        <v>12420</v>
      </c>
      <c r="B30222" s="2" t="str">
        <f>"78683"</f>
        <v>78683</v>
      </c>
      <c r="C30222" s="1">
        <v>1.9880161549955702E-3</v>
      </c>
      <c r="D30222" s="1">
        <v>5.7322919110991896E-3</v>
      </c>
      <c r="E30222" s="1">
        <v>3.2367697038355702E-5</v>
      </c>
      <c r="F30222" s="1">
        <v>2.2321845272542501E-3</v>
      </c>
    </row>
    <row r="30223" spans="1:6" x14ac:dyDescent="0.25">
      <c r="A30223" s="2" t="str">
        <f t="shared" si="1086"/>
        <v>12420</v>
      </c>
      <c r="B30223" s="2" t="str">
        <f>"78745"</f>
        <v>78745</v>
      </c>
      <c r="C30223" s="1">
        <v>2.9159229442150901E-2</v>
      </c>
      <c r="D30223" s="1">
        <v>2.3420826209871098E-2</v>
      </c>
      <c r="E30223" s="1">
        <v>2.8159896423369399E-2</v>
      </c>
      <c r="F30223" s="1">
        <v>2.86752593769973E-2</v>
      </c>
    </row>
    <row r="30224" spans="1:6" x14ac:dyDescent="0.25">
      <c r="A30224" s="2" t="str">
        <f t="shared" si="1086"/>
        <v>12420</v>
      </c>
      <c r="B30224" s="2" t="str">
        <f>"78731"</f>
        <v>78731</v>
      </c>
      <c r="C30224" s="1">
        <v>1.36443412220177E-2</v>
      </c>
      <c r="D30224" s="1">
        <v>1.7330964432972398E-2</v>
      </c>
      <c r="E30224" s="1">
        <v>1.3108917300534E-2</v>
      </c>
      <c r="F30224" s="1">
        <v>1.3922928739886899E-2</v>
      </c>
    </row>
    <row r="30225" spans="1:6" x14ac:dyDescent="0.25">
      <c r="A30225" s="2" t="str">
        <f t="shared" si="1086"/>
        <v>12420</v>
      </c>
      <c r="B30225" s="2" t="str">
        <f>"78737"</f>
        <v>78737</v>
      </c>
      <c r="C30225" s="1">
        <v>7.97496115056061E-3</v>
      </c>
      <c r="D30225" s="1">
        <v>4.9389337713564097E-3</v>
      </c>
      <c r="E30225" s="1">
        <v>4.5314775853698003E-3</v>
      </c>
      <c r="F30225" s="1">
        <v>7.6388537007948199E-3</v>
      </c>
    </row>
    <row r="30226" spans="1:6" x14ac:dyDescent="0.25">
      <c r="A30226" s="2" t="str">
        <f t="shared" si="1086"/>
        <v>12420</v>
      </c>
      <c r="B30226" s="2" t="str">
        <f>"78663"</f>
        <v>78663</v>
      </c>
      <c r="C30226" s="1">
        <v>3.2851543873236799E-5</v>
      </c>
      <c r="D30226" s="1">
        <v>1.1174058306236201E-5</v>
      </c>
      <c r="E30226" s="1">
        <v>0</v>
      </c>
      <c r="F30226" s="1">
        <v>3.02247207991416E-5</v>
      </c>
    </row>
    <row r="30227" spans="1:6" x14ac:dyDescent="0.25">
      <c r="A30227" s="2" t="str">
        <f t="shared" si="1086"/>
        <v>12420</v>
      </c>
      <c r="B30227" s="2" t="str">
        <f>"78708"</f>
        <v>78708</v>
      </c>
      <c r="C30227" s="1">
        <v>1.3887243546413699E-3</v>
      </c>
      <c r="D30227" s="1">
        <v>6.4362575843920702E-3</v>
      </c>
      <c r="E30227" s="1">
        <v>3.2367697038355702E-5</v>
      </c>
      <c r="F30227" s="1">
        <v>1.7530338063502101E-3</v>
      </c>
    </row>
    <row r="30228" spans="1:6" x14ac:dyDescent="0.25">
      <c r="A30228" s="2" t="str">
        <f t="shared" si="1086"/>
        <v>12420</v>
      </c>
      <c r="B30228" s="2" t="str">
        <f>"78725"</f>
        <v>78725</v>
      </c>
      <c r="C30228" s="1">
        <v>3.3986415388857702E-3</v>
      </c>
      <c r="D30228" s="1">
        <v>6.1457320684299302E-4</v>
      </c>
      <c r="E30228" s="1">
        <v>1.1005016993040899E-3</v>
      </c>
      <c r="F30228" s="1">
        <v>3.1140352046880298E-3</v>
      </c>
    </row>
    <row r="30229" spans="1:6" x14ac:dyDescent="0.25">
      <c r="A30229" s="2" t="str">
        <f t="shared" si="1086"/>
        <v>12420</v>
      </c>
      <c r="B30229" s="2" t="str">
        <f>"78720"</f>
        <v>78720</v>
      </c>
      <c r="C30229" s="1">
        <v>1.61768966042454E-3</v>
      </c>
      <c r="D30229" s="1">
        <v>1.1207580481154901E-2</v>
      </c>
      <c r="E30229" s="1">
        <v>3.2367697038355702E-5</v>
      </c>
      <c r="F30229" s="1">
        <v>2.3370820876748E-3</v>
      </c>
    </row>
    <row r="30230" spans="1:6" x14ac:dyDescent="0.25">
      <c r="A30230" s="2" t="str">
        <f t="shared" si="1086"/>
        <v>12420</v>
      </c>
      <c r="B30230" s="2" t="str">
        <f>"78656"</f>
        <v>78656</v>
      </c>
      <c r="C30230" s="1">
        <v>9.5568127631234399E-4</v>
      </c>
      <c r="D30230" s="1">
        <v>3.1287363257461403E-4</v>
      </c>
      <c r="E30230" s="1">
        <v>2.2657387926849001E-4</v>
      </c>
      <c r="F30230" s="1">
        <v>8.8451756456311395E-4</v>
      </c>
    </row>
    <row r="30231" spans="1:6" x14ac:dyDescent="0.25">
      <c r="A30231" s="2" t="str">
        <f t="shared" ref="A30231:A30262" si="1087">"12420"</f>
        <v>12420</v>
      </c>
      <c r="B30231" s="2" t="str">
        <f>"78655"</f>
        <v>78655</v>
      </c>
      <c r="C30231" s="1">
        <v>1.2971382323281001E-3</v>
      </c>
      <c r="D30231" s="1">
        <v>7.2631378990535502E-4</v>
      </c>
      <c r="E30231" s="1">
        <v>1.6183848519177801E-4</v>
      </c>
      <c r="F30231" s="1">
        <v>1.22054534285945E-3</v>
      </c>
    </row>
    <row r="30232" spans="1:6" x14ac:dyDescent="0.25">
      <c r="A30232" s="2" t="str">
        <f t="shared" si="1087"/>
        <v>12420</v>
      </c>
      <c r="B30232" s="2" t="str">
        <f>"78662"</f>
        <v>78662</v>
      </c>
      <c r="C30232" s="1">
        <v>1.06518642255646E-3</v>
      </c>
      <c r="D30232" s="1">
        <v>2.7935145765590601E-4</v>
      </c>
      <c r="E30232" s="1">
        <v>2.2010033986081799E-3</v>
      </c>
      <c r="F30232" s="1">
        <v>1.03386324380593E-3</v>
      </c>
    </row>
    <row r="30233" spans="1:6" x14ac:dyDescent="0.25">
      <c r="A30233" s="2" t="str">
        <f t="shared" si="1087"/>
        <v>12420</v>
      </c>
      <c r="B30233" s="2" t="str">
        <f>"78615"</f>
        <v>78615</v>
      </c>
      <c r="C30233" s="1">
        <v>6.4010735486337198E-4</v>
      </c>
      <c r="D30233" s="1">
        <v>2.0113304951225201E-4</v>
      </c>
      <c r="E30233" s="1">
        <v>8.0919242595889297E-4</v>
      </c>
      <c r="F30233" s="1">
        <v>6.0982819024150395E-4</v>
      </c>
    </row>
    <row r="30234" spans="1:6" x14ac:dyDescent="0.25">
      <c r="A30234" s="2" t="str">
        <f t="shared" si="1087"/>
        <v>12420</v>
      </c>
      <c r="B30234" s="2" t="str">
        <f>"78646"</f>
        <v>78646</v>
      </c>
      <c r="C30234" s="1">
        <v>1.2563226778189299E-3</v>
      </c>
      <c r="D30234" s="1">
        <v>4.8271931882940501E-3</v>
      </c>
      <c r="E30234" s="1">
        <v>6.4735394076711404E-5</v>
      </c>
      <c r="F30234" s="1">
        <v>1.5076801904512899E-3</v>
      </c>
    </row>
    <row r="30235" spans="1:6" x14ac:dyDescent="0.25">
      <c r="A30235" s="2" t="str">
        <f t="shared" si="1087"/>
        <v>12420</v>
      </c>
      <c r="B30235" s="2" t="str">
        <f>"78617"</f>
        <v>78617</v>
      </c>
      <c r="C30235" s="1">
        <v>7.7240948155286203E-3</v>
      </c>
      <c r="D30235" s="1">
        <v>3.3969137250958099E-3</v>
      </c>
      <c r="E30235" s="1">
        <v>2.2204240168312E-2</v>
      </c>
      <c r="F30235" s="1">
        <v>7.77753183152029E-3</v>
      </c>
    </row>
    <row r="30236" spans="1:6" x14ac:dyDescent="0.25">
      <c r="A30236" s="2" t="str">
        <f t="shared" si="1087"/>
        <v>12420</v>
      </c>
      <c r="B30236" s="2" t="str">
        <f>"78130"</f>
        <v>78130</v>
      </c>
      <c r="C30236" s="1">
        <v>1.79190239308564E-5</v>
      </c>
      <c r="D30236" s="1">
        <v>0</v>
      </c>
      <c r="E30236" s="1">
        <v>3.2367697038355702E-5</v>
      </c>
      <c r="F30236" s="1">
        <v>1.6890285152461399E-5</v>
      </c>
    </row>
    <row r="30237" spans="1:6" x14ac:dyDescent="0.25">
      <c r="A30237" s="2" t="str">
        <f t="shared" si="1087"/>
        <v>12420</v>
      </c>
      <c r="B30237" s="2" t="str">
        <f>"76537"</f>
        <v>76537</v>
      </c>
      <c r="C30237" s="1">
        <v>3.7400984949015302E-3</v>
      </c>
      <c r="D30237" s="1">
        <v>1.8548936788352101E-3</v>
      </c>
      <c r="E30237" s="1">
        <v>2.0067972163780499E-3</v>
      </c>
      <c r="F30237" s="1">
        <v>3.5425150701346802E-3</v>
      </c>
    </row>
    <row r="30238" spans="1:6" x14ac:dyDescent="0.25">
      <c r="A30238" s="2" t="str">
        <f t="shared" si="1087"/>
        <v>12420</v>
      </c>
      <c r="B30238" s="2" t="str">
        <f>"78772"</f>
        <v>78772</v>
      </c>
      <c r="C30238" s="1">
        <v>0</v>
      </c>
      <c r="D30238" s="1">
        <v>1.1174058306236201E-5</v>
      </c>
      <c r="E30238" s="1">
        <v>0</v>
      </c>
      <c r="F30238" s="1">
        <v>8.88962376445341E-7</v>
      </c>
    </row>
    <row r="30239" spans="1:6" x14ac:dyDescent="0.25">
      <c r="A30239" s="2" t="str">
        <f t="shared" si="1087"/>
        <v>12420</v>
      </c>
      <c r="B30239" s="2" t="str">
        <f>"78760"</f>
        <v>78760</v>
      </c>
      <c r="C30239" s="1">
        <v>1.2822057123857201E-3</v>
      </c>
      <c r="D30239" s="1">
        <v>3.8550501156515002E-3</v>
      </c>
      <c r="E30239" s="1">
        <v>3.2367697038355702E-5</v>
      </c>
      <c r="F30239" s="1">
        <v>1.45256452311168E-3</v>
      </c>
    </row>
    <row r="30240" spans="1:6" x14ac:dyDescent="0.25">
      <c r="A30240" s="2" t="str">
        <f t="shared" si="1087"/>
        <v>12420</v>
      </c>
      <c r="B30240" s="2" t="str">
        <f>"78941"</f>
        <v>78941</v>
      </c>
      <c r="C30240" s="1">
        <v>6.3712085087489601E-5</v>
      </c>
      <c r="D30240" s="1">
        <v>0</v>
      </c>
      <c r="E30240" s="1">
        <v>3.2367697038355702E-5</v>
      </c>
      <c r="F30240" s="1">
        <v>5.77825544689472E-5</v>
      </c>
    </row>
    <row r="30241" spans="1:6" x14ac:dyDescent="0.25">
      <c r="A30241" s="2" t="str">
        <f t="shared" si="1087"/>
        <v>12420</v>
      </c>
      <c r="B30241" s="2" t="str">
        <f>"78701"</f>
        <v>78701</v>
      </c>
      <c r="C30241" s="1">
        <v>7.5269855522892004E-3</v>
      </c>
      <c r="D30241" s="1">
        <v>4.23385069223291E-2</v>
      </c>
      <c r="E30241" s="1">
        <v>1.7996439553325701E-2</v>
      </c>
      <c r="F30241" s="1">
        <v>1.0583986053958201E-2</v>
      </c>
    </row>
    <row r="30242" spans="1:6" x14ac:dyDescent="0.25">
      <c r="A30242" s="2" t="str">
        <f t="shared" si="1087"/>
        <v>12420</v>
      </c>
      <c r="B30242" s="2" t="str">
        <f>"78702"</f>
        <v>78702</v>
      </c>
      <c r="C30242" s="1">
        <v>1.3420353422881901E-2</v>
      </c>
      <c r="D30242" s="1">
        <v>2.06831819248432E-2</v>
      </c>
      <c r="E30242" s="1">
        <v>2.18158278038517E-2</v>
      </c>
      <c r="F30242" s="1">
        <v>1.4228731797384099E-2</v>
      </c>
    </row>
    <row r="30243" spans="1:6" x14ac:dyDescent="0.25">
      <c r="A30243" s="2" t="str">
        <f t="shared" si="1087"/>
        <v>12420</v>
      </c>
      <c r="B30243" s="2" t="str">
        <f>"78738"</f>
        <v>78738</v>
      </c>
      <c r="C30243" s="1">
        <v>1.19967865217083E-2</v>
      </c>
      <c r="D30243" s="1">
        <v>1.2090331087347601E-2</v>
      </c>
      <c r="E30243" s="1">
        <v>8.5127043210875501E-3</v>
      </c>
      <c r="F30243" s="1">
        <v>1.1908539994861699E-2</v>
      </c>
    </row>
    <row r="30244" spans="1:6" x14ac:dyDescent="0.25">
      <c r="A30244" s="2" t="str">
        <f t="shared" si="1087"/>
        <v>12420</v>
      </c>
      <c r="B30244" s="2" t="str">
        <f>"78735"</f>
        <v>78735</v>
      </c>
      <c r="C30244" s="1">
        <v>1.03980113865442E-2</v>
      </c>
      <c r="D30244" s="1">
        <v>9.9337378342440105E-3</v>
      </c>
      <c r="E30244" s="1">
        <v>8.9982197766628903E-3</v>
      </c>
      <c r="F30244" s="1">
        <v>1.0322631115283301E-2</v>
      </c>
    </row>
    <row r="30245" spans="1:6" x14ac:dyDescent="0.25">
      <c r="A30245" s="2" t="str">
        <f t="shared" si="1087"/>
        <v>12420</v>
      </c>
      <c r="B30245" s="2" t="str">
        <f>"78724"</f>
        <v>78724</v>
      </c>
      <c r="C30245" s="1">
        <v>8.95453445878076E-3</v>
      </c>
      <c r="D30245" s="1">
        <v>3.4863061915457001E-3</v>
      </c>
      <c r="E30245" s="1">
        <v>6.2145978313642904E-3</v>
      </c>
      <c r="F30245" s="1">
        <v>8.4442536138542995E-3</v>
      </c>
    </row>
    <row r="30246" spans="1:6" x14ac:dyDescent="0.25">
      <c r="A30246" s="2" t="str">
        <f t="shared" si="1087"/>
        <v>12420</v>
      </c>
      <c r="B30246" s="2" t="str">
        <f>"78719"</f>
        <v>78719</v>
      </c>
      <c r="C30246" s="1">
        <v>6.2617033625048395E-4</v>
      </c>
      <c r="D30246" s="1">
        <v>1.8548936788352101E-3</v>
      </c>
      <c r="E30246" s="1">
        <v>3.2367697038355701E-3</v>
      </c>
      <c r="F30246" s="1">
        <v>7.9562132691858003E-4</v>
      </c>
    </row>
    <row r="30247" spans="1:6" x14ac:dyDescent="0.25">
      <c r="A30247" s="2" t="str">
        <f t="shared" si="1087"/>
        <v>12420</v>
      </c>
      <c r="B30247" s="2" t="str">
        <f>"78726"</f>
        <v>78726</v>
      </c>
      <c r="C30247" s="1">
        <v>6.7514900166149097E-3</v>
      </c>
      <c r="D30247" s="1">
        <v>4.5813639055568497E-3</v>
      </c>
      <c r="E30247" s="1">
        <v>2.7512542482602299E-3</v>
      </c>
      <c r="F30247" s="1">
        <v>6.4689792133927502E-3</v>
      </c>
    </row>
    <row r="30248" spans="1:6" x14ac:dyDescent="0.25">
      <c r="A30248" s="2" t="str">
        <f t="shared" si="1087"/>
        <v>12420</v>
      </c>
      <c r="B30248" s="2" t="str">
        <f>"78652"</f>
        <v>78652</v>
      </c>
      <c r="C30248" s="1">
        <v>3.2941138992891102E-3</v>
      </c>
      <c r="D30248" s="1">
        <v>4.86071536321276E-3</v>
      </c>
      <c r="E30248" s="1">
        <v>2.5894157630684499E-3</v>
      </c>
      <c r="F30248" s="1">
        <v>3.3993921275269801E-3</v>
      </c>
    </row>
    <row r="30249" spans="1:6" x14ac:dyDescent="0.25">
      <c r="A30249" s="2" t="str">
        <f t="shared" si="1087"/>
        <v>12420</v>
      </c>
      <c r="B30249" s="2" t="str">
        <f>"78636"</f>
        <v>78636</v>
      </c>
      <c r="C30249" s="1">
        <v>9.9550132949202502E-7</v>
      </c>
      <c r="D30249" s="1">
        <v>0</v>
      </c>
      <c r="E30249" s="1">
        <v>0</v>
      </c>
      <c r="F30249" s="1">
        <v>8.88962376445341E-7</v>
      </c>
    </row>
    <row r="30250" spans="1:6" x14ac:dyDescent="0.25">
      <c r="A30250" s="2" t="str">
        <f t="shared" si="1087"/>
        <v>12420</v>
      </c>
      <c r="B30250" s="2" t="str">
        <f>"78616"</f>
        <v>78616</v>
      </c>
      <c r="C30250" s="1">
        <v>3.6524943779062402E-3</v>
      </c>
      <c r="D30250" s="1">
        <v>4.9165856547439405E-4</v>
      </c>
      <c r="E30250" s="1">
        <v>3.0101958245670802E-3</v>
      </c>
      <c r="F30250" s="1">
        <v>3.3833908047509699E-3</v>
      </c>
    </row>
    <row r="30251" spans="1:6" x14ac:dyDescent="0.25">
      <c r="A30251" s="2" t="str">
        <f t="shared" si="1087"/>
        <v>12420</v>
      </c>
      <c r="B30251" s="2" t="str">
        <f>"78132"</f>
        <v>78132</v>
      </c>
      <c r="C30251" s="1">
        <v>1.99100265898405E-6</v>
      </c>
      <c r="D30251" s="1">
        <v>0</v>
      </c>
      <c r="E30251" s="1">
        <v>0</v>
      </c>
      <c r="F30251" s="1">
        <v>1.7779247528906801E-6</v>
      </c>
    </row>
    <row r="30252" spans="1:6" x14ac:dyDescent="0.25">
      <c r="A30252" s="2" t="str">
        <f t="shared" si="1087"/>
        <v>12420</v>
      </c>
      <c r="B30252" s="2" t="str">
        <f>"76574"</f>
        <v>76574</v>
      </c>
      <c r="C30252" s="1">
        <v>8.1013898194061008E-3</v>
      </c>
      <c r="D30252" s="1">
        <v>8.7939838870079202E-3</v>
      </c>
      <c r="E30252" s="1">
        <v>6.2469655284026499E-3</v>
      </c>
      <c r="F30252" s="1">
        <v>8.1055589484286192E-3</v>
      </c>
    </row>
    <row r="30253" spans="1:6" x14ac:dyDescent="0.25">
      <c r="A30253" s="2" t="str">
        <f t="shared" si="1087"/>
        <v>12420</v>
      </c>
      <c r="B30253" s="2" t="str">
        <f>"78759"</f>
        <v>78759</v>
      </c>
      <c r="C30253" s="1">
        <v>2.21270080506192E-2</v>
      </c>
      <c r="D30253" s="1">
        <v>3.4337881175063902E-2</v>
      </c>
      <c r="E30253" s="1">
        <v>2.0941899983816101E-2</v>
      </c>
      <c r="F30253" s="1">
        <v>2.3065906781627201E-2</v>
      </c>
    </row>
    <row r="30254" spans="1:6" x14ac:dyDescent="0.25">
      <c r="A30254" s="2" t="str">
        <f t="shared" si="1087"/>
        <v>12420</v>
      </c>
      <c r="B30254" s="2" t="str">
        <f>"78942"</f>
        <v>78942</v>
      </c>
      <c r="C30254" s="1">
        <v>3.9820053179680997E-5</v>
      </c>
      <c r="D30254" s="1">
        <v>0</v>
      </c>
      <c r="E30254" s="1">
        <v>9.7103091115067106E-5</v>
      </c>
      <c r="F30254" s="1">
        <v>3.8225382187149598E-5</v>
      </c>
    </row>
    <row r="30255" spans="1:6" x14ac:dyDescent="0.25">
      <c r="A30255" s="2" t="str">
        <f t="shared" si="1087"/>
        <v>12420</v>
      </c>
      <c r="B30255" s="2" t="str">
        <f>"78750"</f>
        <v>78750</v>
      </c>
      <c r="C30255" s="1">
        <v>1.2017692049627699E-2</v>
      </c>
      <c r="D30255" s="1">
        <v>1.30289519850714E-2</v>
      </c>
      <c r="E30255" s="1">
        <v>6.5059071047094902E-3</v>
      </c>
      <c r="F30255" s="1">
        <v>1.1946765377048901E-2</v>
      </c>
    </row>
    <row r="30256" spans="1:6" x14ac:dyDescent="0.25">
      <c r="A30256" s="2" t="str">
        <f t="shared" si="1087"/>
        <v>12420</v>
      </c>
      <c r="B30256" s="2" t="str">
        <f>"78748"</f>
        <v>78748</v>
      </c>
      <c r="C30256" s="1">
        <v>2.3600350018267401E-2</v>
      </c>
      <c r="D30256" s="1">
        <v>1.0738270032292999E-2</v>
      </c>
      <c r="E30256" s="1">
        <v>2.39520958083832E-2</v>
      </c>
      <c r="F30256" s="1">
        <v>2.25867560607232E-2</v>
      </c>
    </row>
    <row r="30257" spans="1:6" x14ac:dyDescent="0.25">
      <c r="A30257" s="2" t="str">
        <f t="shared" si="1087"/>
        <v>12420</v>
      </c>
      <c r="B30257" s="2" t="str">
        <f>"78729"</f>
        <v>78729</v>
      </c>
      <c r="C30257" s="1">
        <v>1.50032005367743E-2</v>
      </c>
      <c r="D30257" s="1">
        <v>8.1347144469399793E-3</v>
      </c>
      <c r="E30257" s="1">
        <v>9.4189998381615098E-3</v>
      </c>
      <c r="F30257" s="1">
        <v>1.4303404637005499E-2</v>
      </c>
    </row>
    <row r="30258" spans="1:6" x14ac:dyDescent="0.25">
      <c r="A30258" s="2" t="str">
        <f t="shared" si="1087"/>
        <v>12420</v>
      </c>
      <c r="B30258" s="2" t="str">
        <f>"78734"</f>
        <v>78734</v>
      </c>
      <c r="C30258" s="1">
        <v>1.21082826706115E-2</v>
      </c>
      <c r="D30258" s="1">
        <v>1.8861810420926699E-2</v>
      </c>
      <c r="E30258" s="1">
        <v>2.7059394724065301E-2</v>
      </c>
      <c r="F30258" s="1">
        <v>1.30561904228527E-2</v>
      </c>
    </row>
    <row r="30259" spans="1:6" x14ac:dyDescent="0.25">
      <c r="A30259" s="2" t="str">
        <f t="shared" si="1087"/>
        <v>12420</v>
      </c>
      <c r="B30259" s="2" t="str">
        <f>"78665"</f>
        <v>78665</v>
      </c>
      <c r="C30259" s="1">
        <v>2.2606839691434399E-2</v>
      </c>
      <c r="D30259" s="1">
        <v>1.06600516241493E-2</v>
      </c>
      <c r="E30259" s="1">
        <v>5.5672438905971797E-3</v>
      </c>
      <c r="F30259" s="1">
        <v>2.11884182425747E-2</v>
      </c>
    </row>
    <row r="30260" spans="1:6" x14ac:dyDescent="0.25">
      <c r="A30260" s="2" t="str">
        <f t="shared" si="1087"/>
        <v>12420</v>
      </c>
      <c r="B30260" s="2" t="str">
        <f>"78664"</f>
        <v>78664</v>
      </c>
      <c r="C30260" s="1">
        <v>2.3150383417336998E-2</v>
      </c>
      <c r="D30260" s="1">
        <v>2.5946163387080501E-2</v>
      </c>
      <c r="E30260" s="1">
        <v>2.23337109564654E-2</v>
      </c>
      <c r="F30260" s="1">
        <v>2.3350374742089699E-2</v>
      </c>
    </row>
    <row r="30261" spans="1:6" x14ac:dyDescent="0.25">
      <c r="A30261" s="2" t="str">
        <f t="shared" si="1087"/>
        <v>12420</v>
      </c>
      <c r="B30261" s="2" t="str">
        <f>"78715"</f>
        <v>78715</v>
      </c>
      <c r="C30261" s="1">
        <v>1.5937976285167301E-3</v>
      </c>
      <c r="D30261" s="1">
        <v>6.3356910596359403E-3</v>
      </c>
      <c r="E30261" s="1">
        <v>3.2367697038355702E-5</v>
      </c>
      <c r="F30261" s="1">
        <v>1.9281593945099399E-3</v>
      </c>
    </row>
    <row r="30262" spans="1:6" x14ac:dyDescent="0.25">
      <c r="A30262" s="2" t="str">
        <f t="shared" si="1087"/>
        <v>12420</v>
      </c>
      <c r="B30262" s="2" t="str">
        <f>"78723"</f>
        <v>78723</v>
      </c>
      <c r="C30262" s="1">
        <v>1.62764467371946E-2</v>
      </c>
      <c r="D30262" s="1">
        <v>1.05706591576994E-2</v>
      </c>
      <c r="E30262" s="1">
        <v>1.7122511733290099E-2</v>
      </c>
      <c r="F30262" s="1">
        <v>1.5845754360138201E-2</v>
      </c>
    </row>
    <row r="30263" spans="1:6" x14ac:dyDescent="0.25">
      <c r="A30263" s="2" t="str">
        <f t="shared" ref="A30263:A30274" si="1088">"12420"</f>
        <v>12420</v>
      </c>
      <c r="B30263" s="2" t="str">
        <f>"78716"</f>
        <v>78716</v>
      </c>
      <c r="C30263" s="1">
        <v>1.50221150620346E-3</v>
      </c>
      <c r="D30263" s="1">
        <v>8.8386801202328599E-3</v>
      </c>
      <c r="E30263" s="1">
        <v>3.2367697038355702E-5</v>
      </c>
      <c r="F30263" s="1">
        <v>2.0455024282007299E-3</v>
      </c>
    </row>
    <row r="30264" spans="1:6" x14ac:dyDescent="0.25">
      <c r="A30264" s="2" t="str">
        <f t="shared" si="1088"/>
        <v>12420</v>
      </c>
      <c r="B30264" s="2" t="str">
        <f>"78654"</f>
        <v>78654</v>
      </c>
      <c r="C30264" s="1">
        <v>3.86254515842905E-4</v>
      </c>
      <c r="D30264" s="1">
        <v>7.8218408143653601E-5</v>
      </c>
      <c r="E30264" s="1">
        <v>4.85515455575335E-4</v>
      </c>
      <c r="F30264" s="1">
        <v>3.6447457434258997E-4</v>
      </c>
    </row>
    <row r="30265" spans="1:6" x14ac:dyDescent="0.25">
      <c r="A30265" s="2" t="str">
        <f t="shared" si="1088"/>
        <v>12420</v>
      </c>
      <c r="B30265" s="2" t="str">
        <f>"78640"</f>
        <v>78640</v>
      </c>
      <c r="C30265" s="1">
        <v>2.46316893956211E-2</v>
      </c>
      <c r="D30265" s="1">
        <v>1.4436883331657199E-2</v>
      </c>
      <c r="E30265" s="1">
        <v>1.7834601068134E-2</v>
      </c>
      <c r="F30265" s="1">
        <v>2.3633953740175798E-2</v>
      </c>
    </row>
    <row r="30266" spans="1:6" x14ac:dyDescent="0.25">
      <c r="A30266" s="2" t="str">
        <f t="shared" si="1088"/>
        <v>12420</v>
      </c>
      <c r="B30266" s="2" t="str">
        <f>"78622"</f>
        <v>78622</v>
      </c>
      <c r="C30266" s="1">
        <v>0</v>
      </c>
      <c r="D30266" s="1">
        <v>2.2348116612472401E-5</v>
      </c>
      <c r="E30266" s="1">
        <v>0</v>
      </c>
      <c r="F30266" s="1">
        <v>1.7779247528906801E-6</v>
      </c>
    </row>
    <row r="30267" spans="1:6" x14ac:dyDescent="0.25">
      <c r="A30267" s="2" t="str">
        <f t="shared" si="1088"/>
        <v>12420</v>
      </c>
      <c r="B30267" s="2" t="str">
        <f>"78620"</f>
        <v>78620</v>
      </c>
      <c r="C30267" s="1">
        <v>9.1118236688405001E-3</v>
      </c>
      <c r="D30267" s="1">
        <v>1.2023286737510099E-2</v>
      </c>
      <c r="E30267" s="1">
        <v>7.4445703188218103E-3</v>
      </c>
      <c r="F30267" s="1">
        <v>9.2976574952418206E-3</v>
      </c>
    </row>
    <row r="30268" spans="1:6" x14ac:dyDescent="0.25">
      <c r="A30268" s="2" t="str">
        <f t="shared" si="1088"/>
        <v>12420</v>
      </c>
      <c r="B30268" s="2" t="str">
        <f>"76511"</f>
        <v>76511</v>
      </c>
      <c r="C30268" s="1">
        <v>3.8127700919544499E-4</v>
      </c>
      <c r="D30268" s="1">
        <v>1.7878493289977899E-4</v>
      </c>
      <c r="E30268" s="1">
        <v>2.2657387926849001E-4</v>
      </c>
      <c r="F30268" s="1">
        <v>3.6091872483680798E-4</v>
      </c>
    </row>
    <row r="30269" spans="1:6" x14ac:dyDescent="0.25">
      <c r="A30269" s="2" t="str">
        <f t="shared" si="1088"/>
        <v>12420</v>
      </c>
      <c r="B30269" s="2" t="str">
        <f>"78799"</f>
        <v>78799</v>
      </c>
      <c r="C30269" s="1">
        <v>0</v>
      </c>
      <c r="D30269" s="1">
        <v>0</v>
      </c>
      <c r="E30269" s="1">
        <v>3.2367697038355702E-5</v>
      </c>
      <c r="F30269" s="1">
        <v>8.88962376445341E-7</v>
      </c>
    </row>
    <row r="30270" spans="1:6" x14ac:dyDescent="0.25">
      <c r="A30270" s="2" t="str">
        <f t="shared" si="1088"/>
        <v>12420</v>
      </c>
      <c r="B30270" s="2" t="str">
        <f>"78727"</f>
        <v>78727</v>
      </c>
      <c r="C30270" s="1">
        <v>1.3921090591616401E-2</v>
      </c>
      <c r="D30270" s="1">
        <v>6.3021688847172399E-3</v>
      </c>
      <c r="E30270" s="1">
        <v>7.8977180773587893E-3</v>
      </c>
      <c r="F30270" s="1">
        <v>1.31495314723794E-2</v>
      </c>
    </row>
    <row r="30271" spans="1:6" x14ac:dyDescent="0.25">
      <c r="A30271" s="2" t="str">
        <f t="shared" si="1088"/>
        <v>12420</v>
      </c>
      <c r="B30271" s="2" t="str">
        <f>"78739"</f>
        <v>78739</v>
      </c>
      <c r="C30271" s="1">
        <v>6.9714958104326501E-3</v>
      </c>
      <c r="D30271" s="1">
        <v>4.1344015733074001E-4</v>
      </c>
      <c r="E30271" s="1">
        <v>1.6183848519177801E-4</v>
      </c>
      <c r="F30271" s="1">
        <v>6.2627399420574301E-3</v>
      </c>
    </row>
    <row r="30272" spans="1:6" x14ac:dyDescent="0.25">
      <c r="A30272" s="2" t="str">
        <f t="shared" si="1088"/>
        <v>12420</v>
      </c>
      <c r="B30272" s="2" t="str">
        <f>"78613"</f>
        <v>78613</v>
      </c>
      <c r="C30272" s="1">
        <v>3.3039693624510799E-2</v>
      </c>
      <c r="D30272" s="1">
        <v>3.01252611936129E-2</v>
      </c>
      <c r="E30272" s="1">
        <v>1.5018611425797E-2</v>
      </c>
      <c r="F30272" s="1">
        <v>3.2312893421411699E-2</v>
      </c>
    </row>
    <row r="30273" spans="1:6" x14ac:dyDescent="0.25">
      <c r="A30273" s="2" t="str">
        <f t="shared" si="1088"/>
        <v>12420</v>
      </c>
      <c r="B30273" s="2" t="str">
        <f>"78644"</f>
        <v>78644</v>
      </c>
      <c r="C30273" s="1">
        <v>7.8903435375537907E-3</v>
      </c>
      <c r="D30273" s="1">
        <v>7.4419228319533301E-3</v>
      </c>
      <c r="E30273" s="1">
        <v>1.4533095970221699E-2</v>
      </c>
      <c r="F30273" s="1">
        <v>8.0371088454423301E-3</v>
      </c>
    </row>
    <row r="30274" spans="1:6" x14ac:dyDescent="0.25">
      <c r="A30274" s="2" t="str">
        <f t="shared" si="1088"/>
        <v>12420</v>
      </c>
      <c r="B30274" s="2" t="str">
        <f>"76527"</f>
        <v>76527</v>
      </c>
      <c r="C30274" s="1">
        <v>1.4325264131390199E-3</v>
      </c>
      <c r="D30274" s="1">
        <v>5.5870291531181203E-4</v>
      </c>
      <c r="E30274" s="1">
        <v>1.6183848519177801E-3</v>
      </c>
      <c r="F30274" s="1">
        <v>1.3681130973493801E-3</v>
      </c>
    </row>
    <row r="30275" spans="1:6" x14ac:dyDescent="0.25">
      <c r="A30275" s="2" t="str">
        <f t="shared" ref="A30275:A30282" si="1089">"21120"</f>
        <v>21120</v>
      </c>
      <c r="B30275" s="2" t="str">
        <f>"73644"</f>
        <v>73644</v>
      </c>
      <c r="C30275" s="1">
        <v>0.68964014986494704</v>
      </c>
      <c r="D30275" s="1">
        <v>0.754208754208754</v>
      </c>
      <c r="E30275" s="1">
        <v>0.74454828660436101</v>
      </c>
      <c r="F30275" s="1">
        <v>0.69818565083188999</v>
      </c>
    </row>
    <row r="30276" spans="1:6" x14ac:dyDescent="0.25">
      <c r="A30276" s="2" t="str">
        <f t="shared" si="1089"/>
        <v>21120</v>
      </c>
      <c r="B30276" s="2" t="str">
        <f>"73664"</f>
        <v>73664</v>
      </c>
      <c r="C30276" s="1">
        <v>8.7130783305741898E-5</v>
      </c>
      <c r="D30276" s="1">
        <v>0</v>
      </c>
      <c r="E30276" s="1">
        <v>0</v>
      </c>
      <c r="F30276" s="1">
        <v>7.5284197846871894E-5</v>
      </c>
    </row>
    <row r="30277" spans="1:6" x14ac:dyDescent="0.25">
      <c r="A30277" s="2" t="str">
        <f t="shared" si="1089"/>
        <v>21120</v>
      </c>
      <c r="B30277" s="2" t="str">
        <f>"73666"</f>
        <v>73666</v>
      </c>
      <c r="C30277" s="1">
        <v>8.3645551973512196E-3</v>
      </c>
      <c r="D30277" s="1">
        <v>3.3670033670033599E-3</v>
      </c>
      <c r="E30277" s="1">
        <v>0</v>
      </c>
      <c r="F30277" s="1">
        <v>7.60370398253406E-3</v>
      </c>
    </row>
    <row r="30278" spans="1:6" x14ac:dyDescent="0.25">
      <c r="A30278" s="2" t="str">
        <f t="shared" si="1089"/>
        <v>21120</v>
      </c>
      <c r="B30278" s="2" t="str">
        <f>"73668"</f>
        <v>73668</v>
      </c>
      <c r="C30278" s="1">
        <v>5.2278469983445099E-3</v>
      </c>
      <c r="D30278" s="1">
        <v>7.4074074074073999E-3</v>
      </c>
      <c r="E30278" s="1">
        <v>3.1152647975077798E-3</v>
      </c>
      <c r="F30278" s="1">
        <v>5.4204622449747697E-3</v>
      </c>
    </row>
    <row r="30279" spans="1:6" x14ac:dyDescent="0.25">
      <c r="A30279" s="2" t="str">
        <f t="shared" si="1089"/>
        <v>21120</v>
      </c>
      <c r="B30279" s="2" t="str">
        <f>"73645"</f>
        <v>73645</v>
      </c>
      <c r="C30279" s="1">
        <v>3.2412651389735897E-2</v>
      </c>
      <c r="D30279" s="1">
        <v>1.8181818181818101E-2</v>
      </c>
      <c r="E30279" s="1">
        <v>1.24610591900311E-2</v>
      </c>
      <c r="F30279" s="1">
        <v>3.0339531732289302E-2</v>
      </c>
    </row>
    <row r="30280" spans="1:6" x14ac:dyDescent="0.25">
      <c r="A30280" s="2" t="str">
        <f t="shared" si="1089"/>
        <v>21120</v>
      </c>
      <c r="B30280" s="2" t="str">
        <f>"73673"</f>
        <v>73673</v>
      </c>
      <c r="C30280" s="1">
        <v>1.48122331619761E-3</v>
      </c>
      <c r="D30280" s="1">
        <v>6.73400673400673E-4</v>
      </c>
      <c r="E30280" s="1">
        <v>0</v>
      </c>
      <c r="F30280" s="1">
        <v>1.35511556124369E-3</v>
      </c>
    </row>
    <row r="30281" spans="1:6" x14ac:dyDescent="0.25">
      <c r="A30281" s="2" t="str">
        <f t="shared" si="1089"/>
        <v>21120</v>
      </c>
      <c r="B30281" s="2" t="str">
        <f>"73627"</f>
        <v>73627</v>
      </c>
      <c r="C30281" s="1">
        <v>2.1434172693212499E-2</v>
      </c>
      <c r="D30281" s="1">
        <v>5.3872053872053797E-3</v>
      </c>
      <c r="E30281" s="1">
        <v>3.1152647975077798E-3</v>
      </c>
      <c r="F30281" s="1">
        <v>1.9197470450952301E-2</v>
      </c>
    </row>
    <row r="30282" spans="1:6" x14ac:dyDescent="0.25">
      <c r="A30282" s="2" t="str">
        <f t="shared" si="1089"/>
        <v>21120</v>
      </c>
      <c r="B30282" s="2" t="str">
        <f>"73662"</f>
        <v>73662</v>
      </c>
      <c r="C30282" s="1">
        <v>0.24135226975690499</v>
      </c>
      <c r="D30282" s="1">
        <v>0.21077441077441</v>
      </c>
      <c r="E30282" s="1">
        <v>0.23676012461059101</v>
      </c>
      <c r="F30282" s="1">
        <v>0.23782278099826801</v>
      </c>
    </row>
    <row r="30283" spans="1:6" x14ac:dyDescent="0.25">
      <c r="A30283" s="2" t="str">
        <f t="shared" ref="A30283:A30291" si="1090">"49260"</f>
        <v>49260</v>
      </c>
      <c r="B30283" s="2" t="str">
        <f>"73858"</f>
        <v>73858</v>
      </c>
      <c r="C30283" s="1">
        <v>8.0440812654621704E-2</v>
      </c>
      <c r="D30283" s="1">
        <v>4.2615723732549501E-2</v>
      </c>
      <c r="E30283" s="1">
        <v>9.4339622641509396E-3</v>
      </c>
      <c r="F30283" s="1">
        <v>7.55093887335197E-2</v>
      </c>
    </row>
    <row r="30284" spans="1:6" x14ac:dyDescent="0.25">
      <c r="A30284" s="2" t="str">
        <f t="shared" si="1090"/>
        <v>49260</v>
      </c>
      <c r="B30284" s="2" t="str">
        <f>"73841"</f>
        <v>73841</v>
      </c>
      <c r="C30284" s="1">
        <v>1.8891970912362201E-2</v>
      </c>
      <c r="D30284" s="1">
        <v>5.1432770022042601E-3</v>
      </c>
      <c r="E30284" s="1">
        <v>2.20125786163522E-2</v>
      </c>
      <c r="F30284" s="1">
        <v>1.7712078838726799E-2</v>
      </c>
    </row>
    <row r="30285" spans="1:6" x14ac:dyDescent="0.25">
      <c r="A30285" s="2" t="str">
        <f t="shared" si="1090"/>
        <v>49260</v>
      </c>
      <c r="B30285" s="2" t="str">
        <f>"73832"</f>
        <v>73832</v>
      </c>
      <c r="C30285" s="1">
        <v>4.3031711522602802E-2</v>
      </c>
      <c r="D30285" s="1">
        <v>1.32255694342395E-2</v>
      </c>
      <c r="E30285" s="1">
        <v>3.1446540880503099E-3</v>
      </c>
      <c r="F30285" s="1">
        <v>3.9485950193101603E-2</v>
      </c>
    </row>
    <row r="30286" spans="1:6" x14ac:dyDescent="0.25">
      <c r="A30286" s="2" t="str">
        <f t="shared" si="1090"/>
        <v>49260</v>
      </c>
      <c r="B30286" s="2" t="str">
        <f>"73843"</f>
        <v>73843</v>
      </c>
      <c r="C30286" s="1">
        <v>5.7725466676662403E-2</v>
      </c>
      <c r="D30286" s="1">
        <v>2.2777369581190299E-2</v>
      </c>
      <c r="E30286" s="1">
        <v>1.5723270440251499E-2</v>
      </c>
      <c r="F30286" s="1">
        <v>5.3668930616593398E-2</v>
      </c>
    </row>
    <row r="30287" spans="1:6" x14ac:dyDescent="0.25">
      <c r="A30287" s="2" t="str">
        <f t="shared" si="1090"/>
        <v>49260</v>
      </c>
      <c r="B30287" s="2" t="str">
        <f>"73852"</f>
        <v>73852</v>
      </c>
      <c r="C30287" s="1">
        <v>5.9974510832895997E-2</v>
      </c>
      <c r="D30287" s="1">
        <v>1.7634092578985999E-2</v>
      </c>
      <c r="E30287" s="1">
        <v>2.20125786163522E-2</v>
      </c>
      <c r="F30287" s="1">
        <v>5.5333599680383497E-2</v>
      </c>
    </row>
    <row r="30288" spans="1:6" x14ac:dyDescent="0.25">
      <c r="A30288" s="2" t="str">
        <f t="shared" si="1090"/>
        <v>49260</v>
      </c>
      <c r="B30288" s="2" t="str">
        <f>"73857"</f>
        <v>73857</v>
      </c>
      <c r="C30288" s="1">
        <v>3.6359547192443199E-2</v>
      </c>
      <c r="D30288" s="1">
        <v>1.6164584864070498E-2</v>
      </c>
      <c r="E30288" s="1">
        <v>3.1446540880503099E-3</v>
      </c>
      <c r="F30288" s="1">
        <v>3.3826075376215202E-2</v>
      </c>
    </row>
    <row r="30289" spans="1:6" x14ac:dyDescent="0.25">
      <c r="A30289" s="2" t="str">
        <f t="shared" si="1090"/>
        <v>49260</v>
      </c>
      <c r="B30289" s="2" t="str">
        <f>"73853"</f>
        <v>73853</v>
      </c>
      <c r="C30289" s="1">
        <v>2.4889421995651799E-2</v>
      </c>
      <c r="D30289" s="1">
        <v>5.1432770022042601E-3</v>
      </c>
      <c r="E30289" s="1">
        <v>3.1446540880503099E-3</v>
      </c>
      <c r="F30289" s="1">
        <v>2.2639499267545601E-2</v>
      </c>
    </row>
    <row r="30290" spans="1:6" x14ac:dyDescent="0.25">
      <c r="A30290" s="2" t="str">
        <f t="shared" si="1090"/>
        <v>49260</v>
      </c>
      <c r="B30290" s="2" t="str">
        <f>"73840"</f>
        <v>73840</v>
      </c>
      <c r="C30290" s="1">
        <v>2.19656645925481E-2</v>
      </c>
      <c r="D30290" s="1">
        <v>1.4695077149155E-3</v>
      </c>
      <c r="E30290" s="1">
        <v>3.1446540880503099E-3</v>
      </c>
      <c r="F30290" s="1">
        <v>1.9709681715274999E-2</v>
      </c>
    </row>
    <row r="30291" spans="1:6" x14ac:dyDescent="0.25">
      <c r="A30291" s="2" t="str">
        <f t="shared" si="1090"/>
        <v>49260</v>
      </c>
      <c r="B30291" s="2" t="str">
        <f>"73801"</f>
        <v>73801</v>
      </c>
      <c r="C30291" s="1">
        <v>0.65672089362021102</v>
      </c>
      <c r="D30291" s="1">
        <v>0.87582659808963903</v>
      </c>
      <c r="E30291" s="1">
        <v>0.91823899371069095</v>
      </c>
      <c r="F30291" s="1">
        <v>0.68211479557863797</v>
      </c>
    </row>
    <row r="30292" spans="1:6" x14ac:dyDescent="0.25">
      <c r="A30292" s="2" t="str">
        <f t="shared" ref="A30292:A30302" si="1091">"10220"</f>
        <v>10220</v>
      </c>
      <c r="B30292" s="2" t="str">
        <f>"74872"</f>
        <v>74872</v>
      </c>
      <c r="C30292" s="1">
        <v>1.5509867573555901E-2</v>
      </c>
      <c r="D30292" s="1">
        <v>1.3157894736842101E-3</v>
      </c>
      <c r="E30292" s="1">
        <v>0</v>
      </c>
      <c r="F30292" s="1">
        <v>1.3656169983379001E-2</v>
      </c>
    </row>
    <row r="30293" spans="1:6" x14ac:dyDescent="0.25">
      <c r="A30293" s="2" t="str">
        <f t="shared" si="1091"/>
        <v>10220</v>
      </c>
      <c r="B30293" s="2" t="str">
        <f>"74865"</f>
        <v>74865</v>
      </c>
      <c r="C30293" s="1">
        <v>2.31875096614623E-2</v>
      </c>
      <c r="D30293" s="1">
        <v>7.8947368421052599E-3</v>
      </c>
      <c r="E30293" s="1">
        <v>5.2264808362369299E-3</v>
      </c>
      <c r="F30293" s="1">
        <v>2.1158079151879901E-2</v>
      </c>
    </row>
    <row r="30294" spans="1:6" x14ac:dyDescent="0.25">
      <c r="A30294" s="2" t="str">
        <f t="shared" si="1091"/>
        <v>10220</v>
      </c>
      <c r="B30294" s="2" t="str">
        <f>"74831"</f>
        <v>74831</v>
      </c>
      <c r="C30294" s="1">
        <v>2.06111196990776E-3</v>
      </c>
      <c r="D30294" s="1">
        <v>0</v>
      </c>
      <c r="E30294" s="1">
        <v>0</v>
      </c>
      <c r="F30294" s="1">
        <v>1.7968644714972299E-3</v>
      </c>
    </row>
    <row r="30295" spans="1:6" x14ac:dyDescent="0.25">
      <c r="A30295" s="2" t="str">
        <f t="shared" si="1091"/>
        <v>10220</v>
      </c>
      <c r="B30295" s="2" t="str">
        <f>"74820"</f>
        <v>74820</v>
      </c>
      <c r="C30295" s="1">
        <v>0.78971505127015995</v>
      </c>
      <c r="D30295" s="1">
        <v>0.77368421052631497</v>
      </c>
      <c r="E30295" s="1">
        <v>0.98257839721254303</v>
      </c>
      <c r="F30295" s="1">
        <v>0.79304613449530503</v>
      </c>
    </row>
    <row r="30296" spans="1:6" x14ac:dyDescent="0.25">
      <c r="A30296" s="2" t="str">
        <f t="shared" si="1091"/>
        <v>10220</v>
      </c>
      <c r="B30296" s="2" t="str">
        <f>"74572"</f>
        <v>74572</v>
      </c>
      <c r="C30296" s="1">
        <v>5.3588911217601802E-3</v>
      </c>
      <c r="D30296" s="1">
        <v>1.7543859649122801E-3</v>
      </c>
      <c r="E30296" s="1">
        <v>0</v>
      </c>
      <c r="F30296" s="1">
        <v>4.8515340730425401E-3</v>
      </c>
    </row>
    <row r="30297" spans="1:6" x14ac:dyDescent="0.25">
      <c r="A30297" s="2" t="str">
        <f t="shared" si="1091"/>
        <v>10220</v>
      </c>
      <c r="B30297" s="2" t="str">
        <f>"74844"</f>
        <v>74844</v>
      </c>
      <c r="C30297" s="1">
        <v>0</v>
      </c>
      <c r="D30297" s="1">
        <v>0</v>
      </c>
      <c r="E30297" s="1">
        <v>1.74216027874564E-3</v>
      </c>
      <c r="F30297" s="1">
        <v>4.4921611787430902E-5</v>
      </c>
    </row>
    <row r="30298" spans="1:6" x14ac:dyDescent="0.25">
      <c r="A30298" s="2" t="str">
        <f t="shared" si="1091"/>
        <v>10220</v>
      </c>
      <c r="B30298" s="2" t="str">
        <f>"74825"</f>
        <v>74825</v>
      </c>
      <c r="C30298" s="1">
        <v>4.7766269902612402E-2</v>
      </c>
      <c r="D30298" s="1">
        <v>1.09649122807017E-2</v>
      </c>
      <c r="E30298" s="1">
        <v>3.4843205574912801E-3</v>
      </c>
      <c r="F30298" s="1">
        <v>4.2855217645209102E-2</v>
      </c>
    </row>
    <row r="30299" spans="1:6" x14ac:dyDescent="0.25">
      <c r="A30299" s="2" t="str">
        <f t="shared" si="1091"/>
        <v>10220</v>
      </c>
      <c r="B30299" s="2" t="str">
        <f>"74843"</f>
        <v>74843</v>
      </c>
      <c r="C30299" s="1">
        <v>5.6680579172463498E-3</v>
      </c>
      <c r="D30299" s="1">
        <v>2.1929824561403499E-3</v>
      </c>
      <c r="E30299" s="1">
        <v>1.74216027874564E-3</v>
      </c>
      <c r="F30299" s="1">
        <v>5.2109069673419803E-3</v>
      </c>
    </row>
    <row r="30300" spans="1:6" x14ac:dyDescent="0.25">
      <c r="A30300" s="2" t="str">
        <f t="shared" si="1091"/>
        <v>10220</v>
      </c>
      <c r="B30300" s="2" t="str">
        <f>"74842"</f>
        <v>74842</v>
      </c>
      <c r="C30300" s="1">
        <v>1.03055598495388E-4</v>
      </c>
      <c r="D30300" s="1">
        <v>0</v>
      </c>
      <c r="E30300" s="1">
        <v>1.74216027874564E-3</v>
      </c>
      <c r="F30300" s="1">
        <v>1.3476483536229201E-4</v>
      </c>
    </row>
    <row r="30301" spans="1:6" x14ac:dyDescent="0.25">
      <c r="A30301" s="2" t="str">
        <f t="shared" si="1091"/>
        <v>10220</v>
      </c>
      <c r="B30301" s="2" t="str">
        <f>"74821"</f>
        <v>74821</v>
      </c>
      <c r="C30301" s="1">
        <v>6.2142525892719097E-2</v>
      </c>
      <c r="D30301" s="1">
        <v>0.19385964912280701</v>
      </c>
      <c r="E30301" s="1">
        <v>3.4843205574912801E-3</v>
      </c>
      <c r="F30301" s="1">
        <v>7.4120659449260995E-2</v>
      </c>
    </row>
    <row r="30302" spans="1:6" x14ac:dyDescent="0.25">
      <c r="A30302" s="2" t="str">
        <f t="shared" si="1091"/>
        <v>10220</v>
      </c>
      <c r="B30302" s="2" t="str">
        <f>"74871"</f>
        <v>74871</v>
      </c>
      <c r="C30302" s="1">
        <v>4.8487659092080103E-2</v>
      </c>
      <c r="D30302" s="1">
        <v>8.3333333333333297E-3</v>
      </c>
      <c r="E30302" s="1">
        <v>0</v>
      </c>
      <c r="F30302" s="1">
        <v>4.3124747315933597E-2</v>
      </c>
    </row>
    <row r="30303" spans="1:6" x14ac:dyDescent="0.25">
      <c r="A30303" s="2" t="str">
        <f t="shared" ref="A30303:A30330" si="1092">"46340"</f>
        <v>46340</v>
      </c>
      <c r="B30303" s="2" t="str">
        <f>"75790"</f>
        <v>75790</v>
      </c>
      <c r="C30303" s="1">
        <v>5.8243238324050804E-4</v>
      </c>
      <c r="D30303" s="1">
        <v>2.4477806788511698E-4</v>
      </c>
      <c r="E30303" s="1">
        <v>0</v>
      </c>
      <c r="F30303" s="1">
        <v>5.3621019439620298E-4</v>
      </c>
    </row>
    <row r="30304" spans="1:6" x14ac:dyDescent="0.25">
      <c r="A30304" s="2" t="str">
        <f t="shared" si="1092"/>
        <v>46340</v>
      </c>
      <c r="B30304" s="2" t="str">
        <f>"75792"</f>
        <v>75792</v>
      </c>
      <c r="C30304" s="1">
        <v>1.53070510720396E-2</v>
      </c>
      <c r="D30304" s="1">
        <v>5.2219321148824997E-3</v>
      </c>
      <c r="E30304" s="1">
        <v>6.04766986837424E-3</v>
      </c>
      <c r="F30304" s="1">
        <v>1.41095309361269E-2</v>
      </c>
    </row>
    <row r="30305" spans="1:6" x14ac:dyDescent="0.25">
      <c r="A30305" s="2" t="str">
        <f t="shared" si="1092"/>
        <v>46340</v>
      </c>
      <c r="B30305" s="2" t="str">
        <f>"75647"</f>
        <v>75647</v>
      </c>
      <c r="C30305" s="1">
        <v>7.8082341378180598E-3</v>
      </c>
      <c r="D30305" s="1">
        <v>1.71344647519582E-3</v>
      </c>
      <c r="E30305" s="1">
        <v>1.0672358591248599E-3</v>
      </c>
      <c r="F30305" s="1">
        <v>7.0587670366783701E-3</v>
      </c>
    </row>
    <row r="30306" spans="1:6" x14ac:dyDescent="0.25">
      <c r="A30306" s="2" t="str">
        <f t="shared" si="1092"/>
        <v>46340</v>
      </c>
      <c r="B30306" s="2" t="str">
        <f>"75712"</f>
        <v>75712</v>
      </c>
      <c r="C30306" s="1">
        <v>8.8365913144770793E-3</v>
      </c>
      <c r="D30306" s="1">
        <v>2.1948433420365499E-2</v>
      </c>
      <c r="E30306" s="1">
        <v>7.1149057274991104E-4</v>
      </c>
      <c r="F30306" s="1">
        <v>9.9398964394042406E-3</v>
      </c>
    </row>
    <row r="30307" spans="1:6" x14ac:dyDescent="0.25">
      <c r="A30307" s="2" t="str">
        <f t="shared" si="1092"/>
        <v>46340</v>
      </c>
      <c r="B30307" s="2" t="str">
        <f>"75709"</f>
        <v>75709</v>
      </c>
      <c r="C30307" s="1">
        <v>2.7447126060208899E-2</v>
      </c>
      <c r="D30307" s="1">
        <v>1.0851827676240201E-2</v>
      </c>
      <c r="E30307" s="1">
        <v>2.2056207755247199E-2</v>
      </c>
      <c r="F30307" s="1">
        <v>2.5698073644868698E-2</v>
      </c>
    </row>
    <row r="30308" spans="1:6" x14ac:dyDescent="0.25">
      <c r="A30308" s="2" t="str">
        <f t="shared" si="1092"/>
        <v>46340</v>
      </c>
      <c r="B30308" s="2" t="str">
        <f>"75702"</f>
        <v>75702</v>
      </c>
      <c r="C30308" s="1">
        <v>9.5791926031087299E-2</v>
      </c>
      <c r="D30308" s="1">
        <v>0.20904046997389</v>
      </c>
      <c r="E30308" s="1">
        <v>0.14016364283173199</v>
      </c>
      <c r="F30308" s="1">
        <v>0.107898296132083</v>
      </c>
    </row>
    <row r="30309" spans="1:6" x14ac:dyDescent="0.25">
      <c r="A30309" s="2" t="str">
        <f t="shared" si="1092"/>
        <v>46340</v>
      </c>
      <c r="B30309" s="2" t="str">
        <f>"75701"</f>
        <v>75701</v>
      </c>
      <c r="C30309" s="1">
        <v>0.138709912271122</v>
      </c>
      <c r="D30309" s="1">
        <v>0.200391644908616</v>
      </c>
      <c r="E30309" s="1">
        <v>0.213091426538598</v>
      </c>
      <c r="F30309" s="1">
        <v>0.14643340189354201</v>
      </c>
    </row>
    <row r="30310" spans="1:6" x14ac:dyDescent="0.25">
      <c r="A30310" s="2" t="str">
        <f t="shared" si="1092"/>
        <v>46340</v>
      </c>
      <c r="B30310" s="2" t="str">
        <f>"75771"</f>
        <v>75771</v>
      </c>
      <c r="C30310" s="1">
        <v>8.3342433839321398E-2</v>
      </c>
      <c r="D30310" s="1">
        <v>3.0678851174934699E-2</v>
      </c>
      <c r="E30310" s="1">
        <v>6.2966915688367098E-2</v>
      </c>
      <c r="F30310" s="1">
        <v>7.7718465638530299E-2</v>
      </c>
    </row>
    <row r="30311" spans="1:6" x14ac:dyDescent="0.25">
      <c r="A30311" s="2" t="str">
        <f t="shared" si="1092"/>
        <v>46340</v>
      </c>
      <c r="B30311" s="2" t="str">
        <f>"75703"</f>
        <v>75703</v>
      </c>
      <c r="C30311" s="1">
        <v>0.19660733136762401</v>
      </c>
      <c r="D30311" s="1">
        <v>0.19484334203655301</v>
      </c>
      <c r="E30311" s="1">
        <v>0.268943436499466</v>
      </c>
      <c r="F30311" s="1">
        <v>0.198061640162943</v>
      </c>
    </row>
    <row r="30312" spans="1:6" x14ac:dyDescent="0.25">
      <c r="A30312" s="2" t="str">
        <f t="shared" si="1092"/>
        <v>46340</v>
      </c>
      <c r="B30312" s="2" t="str">
        <f>"75799"</f>
        <v>75799</v>
      </c>
      <c r="C30312" s="1">
        <v>0</v>
      </c>
      <c r="D30312" s="1">
        <v>8.1592689295039098E-5</v>
      </c>
      <c r="E30312" s="1">
        <v>0</v>
      </c>
      <c r="F30312" s="1">
        <v>8.0031372297940696E-6</v>
      </c>
    </row>
    <row r="30313" spans="1:6" x14ac:dyDescent="0.25">
      <c r="A30313" s="2" t="str">
        <f t="shared" si="1092"/>
        <v>46340</v>
      </c>
      <c r="B30313" s="2" t="str">
        <f>"75711"</f>
        <v>75711</v>
      </c>
      <c r="C30313" s="1">
        <v>1.6590222416366301E-2</v>
      </c>
      <c r="D30313" s="1">
        <v>7.4575718015665704E-2</v>
      </c>
      <c r="E30313" s="1">
        <v>7.1149057274991104E-4</v>
      </c>
      <c r="F30313" s="1">
        <v>2.19205928724059E-2</v>
      </c>
    </row>
    <row r="30314" spans="1:6" x14ac:dyDescent="0.25">
      <c r="A30314" s="2" t="str">
        <f t="shared" si="1092"/>
        <v>46340</v>
      </c>
      <c r="B30314" s="2" t="str">
        <f>"75707"</f>
        <v>75707</v>
      </c>
      <c r="C30314" s="1">
        <v>7.03833133122201E-2</v>
      </c>
      <c r="D30314" s="1">
        <v>3.2392297650130498E-2</v>
      </c>
      <c r="E30314" s="1">
        <v>4.9448594806118802E-2</v>
      </c>
      <c r="F30314" s="1">
        <v>6.6185944890397003E-2</v>
      </c>
    </row>
    <row r="30315" spans="1:6" x14ac:dyDescent="0.25">
      <c r="A30315" s="2" t="str">
        <f t="shared" si="1092"/>
        <v>46340</v>
      </c>
      <c r="B30315" s="2" t="str">
        <f>"75706"</f>
        <v>75706</v>
      </c>
      <c r="C30315" s="1">
        <v>3.8904663099268301E-2</v>
      </c>
      <c r="D30315" s="1">
        <v>1.5910574412532599E-2</v>
      </c>
      <c r="E30315" s="1">
        <v>3.34400569192458E-2</v>
      </c>
      <c r="F30315" s="1">
        <v>3.6526318316780097E-2</v>
      </c>
    </row>
    <row r="30316" spans="1:6" x14ac:dyDescent="0.25">
      <c r="A30316" s="2" t="str">
        <f t="shared" si="1092"/>
        <v>46340</v>
      </c>
      <c r="B30316" s="2" t="str">
        <f>"75713"</f>
        <v>75713</v>
      </c>
      <c r="C30316" s="1">
        <v>1.5125040952276901E-2</v>
      </c>
      <c r="D30316" s="1">
        <v>4.1530678851174903E-2</v>
      </c>
      <c r="E30316" s="1">
        <v>7.1149057274991104E-4</v>
      </c>
      <c r="F30316" s="1">
        <v>1.7390817200342499E-2</v>
      </c>
    </row>
    <row r="30317" spans="1:6" x14ac:dyDescent="0.25">
      <c r="A30317" s="2" t="str">
        <f t="shared" si="1092"/>
        <v>46340</v>
      </c>
      <c r="B30317" s="2" t="str">
        <f>"75798"</f>
        <v>75798</v>
      </c>
      <c r="C30317" s="1">
        <v>0</v>
      </c>
      <c r="D30317" s="1">
        <v>8.1592689295039098E-5</v>
      </c>
      <c r="E30317" s="1">
        <v>0</v>
      </c>
      <c r="F30317" s="1">
        <v>8.0031372297940696E-6</v>
      </c>
    </row>
    <row r="30318" spans="1:6" x14ac:dyDescent="0.25">
      <c r="A30318" s="2" t="str">
        <f t="shared" si="1092"/>
        <v>46340</v>
      </c>
      <c r="B30318" s="2" t="str">
        <f>"75762"</f>
        <v>75762</v>
      </c>
      <c r="C30318" s="1">
        <v>6.2793491318117206E-2</v>
      </c>
      <c r="D30318" s="1">
        <v>3.6716710182767599E-2</v>
      </c>
      <c r="E30318" s="1">
        <v>3.2728566346495902E-2</v>
      </c>
      <c r="F30318" s="1">
        <v>5.9559347264127503E-2</v>
      </c>
    </row>
    <row r="30319" spans="1:6" x14ac:dyDescent="0.25">
      <c r="A30319" s="2" t="str">
        <f t="shared" si="1092"/>
        <v>46340</v>
      </c>
      <c r="B30319" s="2" t="str">
        <f>"75773"</f>
        <v>75773</v>
      </c>
      <c r="C30319" s="1">
        <v>4.54115248807833E-3</v>
      </c>
      <c r="D30319" s="1">
        <v>5.7114882506527397E-4</v>
      </c>
      <c r="E30319" s="1">
        <v>7.1149057274991104E-4</v>
      </c>
      <c r="F30319" s="1">
        <v>4.06559371273539E-3</v>
      </c>
    </row>
    <row r="30320" spans="1:6" x14ac:dyDescent="0.25">
      <c r="A30320" s="2" t="str">
        <f t="shared" si="1092"/>
        <v>46340</v>
      </c>
      <c r="B30320" s="2" t="str">
        <f>"75791"</f>
        <v>75791</v>
      </c>
      <c r="C30320" s="1">
        <v>5.0435004186232701E-2</v>
      </c>
      <c r="D30320" s="1">
        <v>2.5048955613576999E-2</v>
      </c>
      <c r="E30320" s="1">
        <v>5.7630736392742701E-2</v>
      </c>
      <c r="F30320" s="1">
        <v>4.81068578882922E-2</v>
      </c>
    </row>
    <row r="30321" spans="1:6" x14ac:dyDescent="0.25">
      <c r="A30321" s="2" t="str">
        <f t="shared" si="1092"/>
        <v>46340</v>
      </c>
      <c r="B30321" s="2" t="str">
        <f>"75789"</f>
        <v>75789</v>
      </c>
      <c r="C30321" s="1">
        <v>2.2523752320629E-2</v>
      </c>
      <c r="D30321" s="1">
        <v>1.2565274151436E-2</v>
      </c>
      <c r="E30321" s="1">
        <v>9.2493774457488402E-3</v>
      </c>
      <c r="F30321" s="1">
        <v>2.1248329345103199E-2</v>
      </c>
    </row>
    <row r="30322" spans="1:6" x14ac:dyDescent="0.25">
      <c r="A30322" s="2" t="str">
        <f t="shared" si="1092"/>
        <v>46340</v>
      </c>
      <c r="B30322" s="2" t="str">
        <f>"75757"</f>
        <v>75757</v>
      </c>
      <c r="C30322" s="1">
        <v>3.080521276983E-2</v>
      </c>
      <c r="D30322" s="1">
        <v>1.3462793733681399E-2</v>
      </c>
      <c r="E30322" s="1">
        <v>9.2493774457488402E-3</v>
      </c>
      <c r="F30322" s="1">
        <v>2.8619218733743599E-2</v>
      </c>
    </row>
    <row r="30323" spans="1:6" x14ac:dyDescent="0.25">
      <c r="A30323" s="2" t="str">
        <f t="shared" si="1092"/>
        <v>46340</v>
      </c>
      <c r="B30323" s="2" t="str">
        <f>"75750"</f>
        <v>75750</v>
      </c>
      <c r="C30323" s="1">
        <v>1.5479960685814099E-2</v>
      </c>
      <c r="D30323" s="1">
        <v>1.63185378590078E-3</v>
      </c>
      <c r="E30323" s="1">
        <v>2.8459622909996398E-3</v>
      </c>
      <c r="F30323" s="1">
        <v>1.3837424270313901E-2</v>
      </c>
    </row>
    <row r="30324" spans="1:6" x14ac:dyDescent="0.25">
      <c r="A30324" s="2" t="str">
        <f t="shared" si="1092"/>
        <v>46340</v>
      </c>
      <c r="B30324" s="2" t="str">
        <f>"75684"</f>
        <v>75684</v>
      </c>
      <c r="C30324" s="1">
        <v>2.61184521859415E-3</v>
      </c>
      <c r="D30324" s="1">
        <v>4.0796344647519499E-4</v>
      </c>
      <c r="E30324" s="1">
        <v>2.1344717182497299E-3</v>
      </c>
      <c r="F30324" s="1">
        <v>2.3849348944786301E-3</v>
      </c>
    </row>
    <row r="30325" spans="1:6" x14ac:dyDescent="0.25">
      <c r="A30325" s="2" t="str">
        <f t="shared" si="1092"/>
        <v>46340</v>
      </c>
      <c r="B30325" s="2" t="str">
        <f>"75662"</f>
        <v>75662</v>
      </c>
      <c r="C30325" s="1">
        <v>2.4207345928433598E-3</v>
      </c>
      <c r="D30325" s="1">
        <v>5.7114882506527397E-4</v>
      </c>
      <c r="E30325" s="1">
        <v>2.1344717182497299E-3</v>
      </c>
      <c r="F30325" s="1">
        <v>2.23287528711254E-3</v>
      </c>
    </row>
    <row r="30326" spans="1:6" x14ac:dyDescent="0.25">
      <c r="A30326" s="2" t="str">
        <f t="shared" si="1092"/>
        <v>46340</v>
      </c>
      <c r="B30326" s="2" t="str">
        <f>"75140"</f>
        <v>75140</v>
      </c>
      <c r="C30326" s="1">
        <v>4.7322631138291201E-4</v>
      </c>
      <c r="D30326" s="1">
        <v>0</v>
      </c>
      <c r="E30326" s="1">
        <v>3.5574528637495498E-4</v>
      </c>
      <c r="F30326" s="1">
        <v>4.2416627317908598E-4</v>
      </c>
    </row>
    <row r="30327" spans="1:6" x14ac:dyDescent="0.25">
      <c r="A30327" s="2" t="str">
        <f t="shared" si="1092"/>
        <v>46340</v>
      </c>
      <c r="B30327" s="2" t="str">
        <f>"75710"</f>
        <v>75710</v>
      </c>
      <c r="C30327" s="1">
        <v>1.11117178115103E-2</v>
      </c>
      <c r="D30327" s="1">
        <v>1.8113577023498601E-2</v>
      </c>
      <c r="E30327" s="1">
        <v>7.1149057274991104E-4</v>
      </c>
      <c r="F30327" s="1">
        <v>1.15645332970524E-2</v>
      </c>
    </row>
    <row r="30328" spans="1:6" x14ac:dyDescent="0.25">
      <c r="A30328" s="2" t="str">
        <f t="shared" si="1092"/>
        <v>46340</v>
      </c>
      <c r="B30328" s="2" t="str">
        <f>"75708"</f>
        <v>75708</v>
      </c>
      <c r="C30328" s="1">
        <v>3.0532197590186001E-2</v>
      </c>
      <c r="D30328" s="1">
        <v>3.1413185378590003E-2</v>
      </c>
      <c r="E30328" s="1">
        <v>2.7036641764496602E-2</v>
      </c>
      <c r="F30328" s="1">
        <v>3.05399716688942E-2</v>
      </c>
    </row>
    <row r="30329" spans="1:6" x14ac:dyDescent="0.25">
      <c r="A30329" s="2" t="str">
        <f t="shared" si="1092"/>
        <v>46340</v>
      </c>
      <c r="B30329" s="2" t="str">
        <f>"75705"</f>
        <v>75705</v>
      </c>
      <c r="C30329" s="1">
        <v>1.00469586108987E-2</v>
      </c>
      <c r="D30329" s="1">
        <v>2.4477806788511698E-3</v>
      </c>
      <c r="E30329" s="1">
        <v>7.4706510138740599E-3</v>
      </c>
      <c r="F30329" s="1">
        <v>9.2436235004121608E-3</v>
      </c>
    </row>
    <row r="30330" spans="1:6" x14ac:dyDescent="0.25">
      <c r="A30330" s="2" t="str">
        <f t="shared" si="1092"/>
        <v>46340</v>
      </c>
      <c r="B30330" s="2" t="str">
        <f>"75704"</f>
        <v>75704</v>
      </c>
      <c r="C30330" s="1">
        <v>4.07884678388118E-2</v>
      </c>
      <c r="D30330" s="1">
        <v>1.75424281984334E-2</v>
      </c>
      <c r="E30330" s="1">
        <v>4.8381358946993899E-2</v>
      </c>
      <c r="F30330" s="1">
        <v>3.8679162231594698E-2</v>
      </c>
    </row>
    <row r="30331" spans="1:6" x14ac:dyDescent="0.25">
      <c r="A30331" s="2" t="str">
        <f t="shared" ref="A30331:A30347" si="1093">"37580"</f>
        <v>37580</v>
      </c>
      <c r="B30331" s="2" t="str">
        <f>"75425"</f>
        <v>75425</v>
      </c>
      <c r="C30331" s="1">
        <v>0</v>
      </c>
      <c r="D30331" s="1">
        <v>0</v>
      </c>
      <c r="E30331" s="1">
        <v>3.9370078740157398E-4</v>
      </c>
      <c r="F30331" s="1">
        <v>2.97831784608053E-5</v>
      </c>
    </row>
    <row r="30332" spans="1:6" x14ac:dyDescent="0.25">
      <c r="A30332" s="2" t="str">
        <f t="shared" si="1093"/>
        <v>37580</v>
      </c>
      <c r="B30332" s="2" t="str">
        <f>"75435"</f>
        <v>75435</v>
      </c>
      <c r="C30332" s="1">
        <v>1.6759383142032201E-2</v>
      </c>
      <c r="D30332" s="1">
        <v>2.6575550493545901E-3</v>
      </c>
      <c r="E30332" s="1">
        <v>1.5748031496062901E-3</v>
      </c>
      <c r="F30332" s="1">
        <v>1.45044079104121E-2</v>
      </c>
    </row>
    <row r="30333" spans="1:6" x14ac:dyDescent="0.25">
      <c r="A30333" s="2" t="str">
        <f t="shared" si="1093"/>
        <v>37580</v>
      </c>
      <c r="B30333" s="2" t="str">
        <f>"75470"</f>
        <v>75470</v>
      </c>
      <c r="C30333" s="1">
        <v>4.3658897260756202E-3</v>
      </c>
      <c r="D30333" s="1">
        <v>1.5186028853454801E-3</v>
      </c>
      <c r="E30333" s="1">
        <v>1.1811023622047201E-3</v>
      </c>
      <c r="F30333" s="1">
        <v>3.9015963783654902E-3</v>
      </c>
    </row>
    <row r="30334" spans="1:6" x14ac:dyDescent="0.25">
      <c r="A30334" s="2" t="str">
        <f t="shared" si="1093"/>
        <v>37580</v>
      </c>
      <c r="B30334" s="2" t="str">
        <f>"75416"</f>
        <v>75416</v>
      </c>
      <c r="C30334" s="1">
        <v>6.1263291317512798E-2</v>
      </c>
      <c r="D30334" s="1">
        <v>1.5945330296127502E-2</v>
      </c>
      <c r="E30334" s="1">
        <v>6.2992125984251898E-3</v>
      </c>
      <c r="F30334" s="1">
        <v>5.35501548725279E-2</v>
      </c>
    </row>
    <row r="30335" spans="1:6" x14ac:dyDescent="0.25">
      <c r="A30335" s="2" t="str">
        <f t="shared" si="1093"/>
        <v>37580</v>
      </c>
      <c r="B30335" s="2" t="str">
        <f>"75461"</f>
        <v>75461</v>
      </c>
      <c r="C30335" s="1">
        <v>6.0347862826561502E-2</v>
      </c>
      <c r="D30335" s="1">
        <v>0.12680334092634701</v>
      </c>
      <c r="E30335" s="1">
        <v>7.8740157480314905E-4</v>
      </c>
      <c r="F30335" s="1">
        <v>6.1055515844650902E-2</v>
      </c>
    </row>
    <row r="30336" spans="1:6" x14ac:dyDescent="0.25">
      <c r="A30336" s="2" t="str">
        <f t="shared" si="1093"/>
        <v>37580</v>
      </c>
      <c r="B30336" s="2" t="str">
        <f>"75460"</f>
        <v>75460</v>
      </c>
      <c r="C30336" s="1">
        <v>0.41447785367227602</v>
      </c>
      <c r="D30336" s="1">
        <v>0.68564920273348495</v>
      </c>
      <c r="E30336" s="1">
        <v>0.33897637795275498</v>
      </c>
      <c r="F30336" s="1">
        <v>0.43003931379556798</v>
      </c>
    </row>
    <row r="30337" spans="1:6" x14ac:dyDescent="0.25">
      <c r="A30337" s="2" t="str">
        <f t="shared" si="1093"/>
        <v>37580</v>
      </c>
      <c r="B30337" s="2" t="str">
        <f>"75477"</f>
        <v>75477</v>
      </c>
      <c r="C30337" s="1">
        <v>7.46426308006478E-3</v>
      </c>
      <c r="D30337" s="1">
        <v>0</v>
      </c>
      <c r="E30337" s="1">
        <v>3.18897637795275E-2</v>
      </c>
      <c r="F30337" s="1">
        <v>8.72647128901596E-3</v>
      </c>
    </row>
    <row r="30338" spans="1:6" x14ac:dyDescent="0.25">
      <c r="A30338" s="2" t="str">
        <f t="shared" si="1093"/>
        <v>37580</v>
      </c>
      <c r="B30338" s="2" t="str">
        <f>"75417"</f>
        <v>75417</v>
      </c>
      <c r="C30338" s="1">
        <v>3.5208788113513102E-5</v>
      </c>
      <c r="D30338" s="1">
        <v>0</v>
      </c>
      <c r="E30338" s="1">
        <v>0</v>
      </c>
      <c r="F30338" s="1">
        <v>2.97831784608053E-5</v>
      </c>
    </row>
    <row r="30339" spans="1:6" x14ac:dyDescent="0.25">
      <c r="A30339" s="2" t="str">
        <f t="shared" si="1093"/>
        <v>37580</v>
      </c>
      <c r="B30339" s="2" t="str">
        <f>"75436"</f>
        <v>75436</v>
      </c>
      <c r="C30339" s="1">
        <v>4.0490106330540098E-3</v>
      </c>
      <c r="D30339" s="1">
        <v>1.8982536066818501E-3</v>
      </c>
      <c r="E30339" s="1">
        <v>0</v>
      </c>
      <c r="F30339" s="1">
        <v>3.5739814152966399E-3</v>
      </c>
    </row>
    <row r="30340" spans="1:6" x14ac:dyDescent="0.25">
      <c r="A30340" s="2" t="str">
        <f t="shared" si="1093"/>
        <v>37580</v>
      </c>
      <c r="B30340" s="2" t="str">
        <f>"75411"</f>
        <v>75411</v>
      </c>
      <c r="C30340" s="1">
        <v>3.2568129004999599E-2</v>
      </c>
      <c r="D30340" s="1">
        <v>4.9354593773728098E-3</v>
      </c>
      <c r="E30340" s="1">
        <v>2.3622047244094401E-3</v>
      </c>
      <c r="F30340" s="1">
        <v>2.8115320467000202E-2</v>
      </c>
    </row>
    <row r="30341" spans="1:6" x14ac:dyDescent="0.25">
      <c r="A30341" s="2" t="str">
        <f t="shared" si="1093"/>
        <v>37580</v>
      </c>
      <c r="B30341" s="2" t="str">
        <f>"75446"</f>
        <v>75446</v>
      </c>
      <c r="C30341" s="1">
        <v>7.1121751989296498E-3</v>
      </c>
      <c r="D30341" s="1">
        <v>1.8982536066818501E-3</v>
      </c>
      <c r="E30341" s="1">
        <v>0</v>
      </c>
      <c r="F30341" s="1">
        <v>6.1651179413866998E-3</v>
      </c>
    </row>
    <row r="30342" spans="1:6" x14ac:dyDescent="0.25">
      <c r="A30342" s="2" t="str">
        <f t="shared" si="1093"/>
        <v>37580</v>
      </c>
      <c r="B30342" s="2" t="str">
        <f>"75434"</f>
        <v>75434</v>
      </c>
      <c r="C30342" s="1">
        <v>0</v>
      </c>
      <c r="D30342" s="1">
        <v>0</v>
      </c>
      <c r="E30342" s="1">
        <v>3.9370078740157398E-4</v>
      </c>
      <c r="F30342" s="1">
        <v>2.97831784608053E-5</v>
      </c>
    </row>
    <row r="30343" spans="1:6" x14ac:dyDescent="0.25">
      <c r="A30343" s="2" t="str">
        <f t="shared" si="1093"/>
        <v>37580</v>
      </c>
      <c r="B30343" s="2" t="str">
        <f>"75421"</f>
        <v>75421</v>
      </c>
      <c r="C30343" s="1">
        <v>2.5526371382296999E-2</v>
      </c>
      <c r="D30343" s="1">
        <v>2.2779043280182201E-3</v>
      </c>
      <c r="E30343" s="1">
        <v>7.8740157480314905E-4</v>
      </c>
      <c r="F30343" s="1">
        <v>2.1831069811770298E-2</v>
      </c>
    </row>
    <row r="30344" spans="1:6" x14ac:dyDescent="0.25">
      <c r="A30344" s="2" t="str">
        <f t="shared" si="1093"/>
        <v>37580</v>
      </c>
      <c r="B30344" s="2" t="str">
        <f>"75473"</f>
        <v>75473</v>
      </c>
      <c r="C30344" s="1">
        <v>9.2211816069290797E-2</v>
      </c>
      <c r="D30344" s="1">
        <v>2.8853454821564099E-2</v>
      </c>
      <c r="E30344" s="1">
        <v>2.3622047244094401E-3</v>
      </c>
      <c r="F30344" s="1">
        <v>8.0444365022635203E-2</v>
      </c>
    </row>
    <row r="30345" spans="1:6" x14ac:dyDescent="0.25">
      <c r="A30345" s="2" t="str">
        <f t="shared" si="1093"/>
        <v>37580</v>
      </c>
      <c r="B30345" s="2" t="str">
        <f>"75468"</f>
        <v>75468</v>
      </c>
      <c r="C30345" s="1">
        <v>1.6794591930145701E-2</v>
      </c>
      <c r="D30345" s="1">
        <v>3.0372057706909601E-3</v>
      </c>
      <c r="E30345" s="1">
        <v>8.8976377952755897E-2</v>
      </c>
      <c r="F30345" s="1">
        <v>2.11758398856325E-2</v>
      </c>
    </row>
    <row r="30346" spans="1:6" x14ac:dyDescent="0.25">
      <c r="A30346" s="2" t="str">
        <f t="shared" si="1093"/>
        <v>37580</v>
      </c>
      <c r="B30346" s="2" t="str">
        <f>"75486"</f>
        <v>75486</v>
      </c>
      <c r="C30346" s="1">
        <v>6.8234631363988399E-2</v>
      </c>
      <c r="D30346" s="1">
        <v>1.2148823082763801E-2</v>
      </c>
      <c r="E30346" s="1">
        <v>7.8740157480314905E-4</v>
      </c>
      <c r="F30346" s="1">
        <v>5.8732427924708099E-2</v>
      </c>
    </row>
    <row r="30347" spans="1:6" x14ac:dyDescent="0.25">
      <c r="A30347" s="2" t="str">
        <f t="shared" si="1093"/>
        <v>37580</v>
      </c>
      <c r="B30347" s="2" t="str">
        <f>"75462"</f>
        <v>75462</v>
      </c>
      <c r="C30347" s="1">
        <v>0.188789521864657</v>
      </c>
      <c r="D30347" s="1">
        <v>0.11237661351556499</v>
      </c>
      <c r="E30347" s="1">
        <v>0.52322834645669203</v>
      </c>
      <c r="F30347" s="1">
        <v>0.208095067905646</v>
      </c>
    </row>
    <row r="30348" spans="1:6" x14ac:dyDescent="0.25">
      <c r="A30348" s="2" t="str">
        <f t="shared" ref="A30348:A30363" si="1094">"44500"</f>
        <v>44500</v>
      </c>
      <c r="B30348" s="2" t="str">
        <f>"76463"</f>
        <v>76463</v>
      </c>
      <c r="C30348" s="1">
        <v>6.3212383654372602E-3</v>
      </c>
      <c r="D30348" s="1">
        <v>5.65552699228791E-3</v>
      </c>
      <c r="E30348" s="1">
        <v>1.80831826401446E-3</v>
      </c>
      <c r="F30348" s="1">
        <v>6.1534375138341604E-3</v>
      </c>
    </row>
    <row r="30349" spans="1:6" x14ac:dyDescent="0.25">
      <c r="A30349" s="2" t="str">
        <f t="shared" si="1094"/>
        <v>44500</v>
      </c>
      <c r="B30349" s="2" t="str">
        <f>"76402"</f>
        <v>76402</v>
      </c>
      <c r="C30349" s="1">
        <v>0</v>
      </c>
      <c r="D30349" s="1">
        <v>5.14138817480719E-4</v>
      </c>
      <c r="E30349" s="1">
        <v>0</v>
      </c>
      <c r="F30349" s="1">
        <v>4.4269334631900402E-5</v>
      </c>
    </row>
    <row r="30350" spans="1:6" x14ac:dyDescent="0.25">
      <c r="A30350" s="2" t="str">
        <f t="shared" si="1094"/>
        <v>44500</v>
      </c>
      <c r="B30350" s="2" t="str">
        <f>"76690"</f>
        <v>76690</v>
      </c>
      <c r="C30350" s="1">
        <v>4.9773530436513797E-5</v>
      </c>
      <c r="D30350" s="1">
        <v>0</v>
      </c>
      <c r="E30350" s="1">
        <v>0</v>
      </c>
      <c r="F30350" s="1">
        <v>4.4269334631900402E-5</v>
      </c>
    </row>
    <row r="30351" spans="1:6" x14ac:dyDescent="0.25">
      <c r="A30351" s="2" t="str">
        <f t="shared" si="1094"/>
        <v>44500</v>
      </c>
      <c r="B30351" s="2" t="str">
        <f>"76446"</f>
        <v>76446</v>
      </c>
      <c r="C30351" s="1">
        <v>0.17674580658006001</v>
      </c>
      <c r="D30351" s="1">
        <v>0.137789203084832</v>
      </c>
      <c r="E30351" s="1">
        <v>9.5840867992766698E-2</v>
      </c>
      <c r="F30351" s="1">
        <v>0.171410863694718</v>
      </c>
    </row>
    <row r="30352" spans="1:6" x14ac:dyDescent="0.25">
      <c r="A30352" s="2" t="str">
        <f t="shared" si="1094"/>
        <v>44500</v>
      </c>
      <c r="B30352" s="2" t="str">
        <f>"76457"</f>
        <v>76457</v>
      </c>
      <c r="C30352" s="1">
        <v>3.4244188940321503E-2</v>
      </c>
      <c r="D30352" s="1">
        <v>5.1413881748071898E-3</v>
      </c>
      <c r="E30352" s="1">
        <v>1.4466546112115701E-2</v>
      </c>
      <c r="F30352" s="1">
        <v>3.1254150250121703E-2</v>
      </c>
    </row>
    <row r="30353" spans="1:6" x14ac:dyDescent="0.25">
      <c r="A30353" s="2" t="str">
        <f t="shared" si="1094"/>
        <v>44500</v>
      </c>
      <c r="B30353" s="2" t="str">
        <f>"76436"</f>
        <v>76436</v>
      </c>
      <c r="C30353" s="1">
        <v>2.4886765218256902E-4</v>
      </c>
      <c r="D30353" s="1">
        <v>5.14138817480719E-4</v>
      </c>
      <c r="E30353" s="1">
        <v>0</v>
      </c>
      <c r="F30353" s="1">
        <v>2.65616007791402E-4</v>
      </c>
    </row>
    <row r="30354" spans="1:6" x14ac:dyDescent="0.25">
      <c r="A30354" s="2" t="str">
        <f t="shared" si="1094"/>
        <v>44500</v>
      </c>
      <c r="B30354" s="2" t="str">
        <f>"76401"</f>
        <v>76401</v>
      </c>
      <c r="C30354" s="1">
        <v>0.73719575929520598</v>
      </c>
      <c r="D30354" s="1">
        <v>0.84267352185089905</v>
      </c>
      <c r="E30354" s="1">
        <v>0.87703435804701602</v>
      </c>
      <c r="F30354" s="1">
        <v>0.74970118199123403</v>
      </c>
    </row>
    <row r="30355" spans="1:6" x14ac:dyDescent="0.25">
      <c r="A30355" s="2" t="str">
        <f t="shared" si="1094"/>
        <v>44500</v>
      </c>
      <c r="B30355" s="2" t="str">
        <f>"76453"</f>
        <v>76453</v>
      </c>
      <c r="C30355" s="1">
        <v>2.8370912348812901E-3</v>
      </c>
      <c r="D30355" s="1">
        <v>1.5424164524421499E-3</v>
      </c>
      <c r="E30355" s="1">
        <v>0</v>
      </c>
      <c r="F30355" s="1">
        <v>2.6561600779140201E-3</v>
      </c>
    </row>
    <row r="30356" spans="1:6" x14ac:dyDescent="0.25">
      <c r="A30356" s="2" t="str">
        <f t="shared" si="1094"/>
        <v>44500</v>
      </c>
      <c r="B30356" s="2" t="str">
        <f>"76649"</f>
        <v>76649</v>
      </c>
      <c r="C30356" s="1">
        <v>1.4932059130954101E-3</v>
      </c>
      <c r="D30356" s="1">
        <v>5.14138817480719E-4</v>
      </c>
      <c r="E30356" s="1">
        <v>0</v>
      </c>
      <c r="F30356" s="1">
        <v>1.3723493735889099E-3</v>
      </c>
    </row>
    <row r="30357" spans="1:6" x14ac:dyDescent="0.25">
      <c r="A30357" s="2" t="str">
        <f t="shared" si="1094"/>
        <v>44500</v>
      </c>
      <c r="B30357" s="2" t="str">
        <f>"76444"</f>
        <v>76444</v>
      </c>
      <c r="C30357" s="1">
        <v>4.4796177392862402E-4</v>
      </c>
      <c r="D30357" s="1">
        <v>0</v>
      </c>
      <c r="E30357" s="1">
        <v>0</v>
      </c>
      <c r="F30357" s="1">
        <v>3.9842401168710401E-4</v>
      </c>
    </row>
    <row r="30358" spans="1:6" x14ac:dyDescent="0.25">
      <c r="A30358" s="2" t="str">
        <f t="shared" si="1094"/>
        <v>44500</v>
      </c>
      <c r="B30358" s="2" t="str">
        <f>"76462"</f>
        <v>76462</v>
      </c>
      <c r="C30358" s="1">
        <v>9.20810313075506E-3</v>
      </c>
      <c r="D30358" s="1">
        <v>1.02827763496143E-3</v>
      </c>
      <c r="E30358" s="1">
        <v>1.80831826401446E-3</v>
      </c>
      <c r="F30358" s="1">
        <v>8.3226349107972906E-3</v>
      </c>
    </row>
    <row r="30359" spans="1:6" x14ac:dyDescent="0.25">
      <c r="A30359" s="2" t="str">
        <f t="shared" si="1094"/>
        <v>44500</v>
      </c>
      <c r="B30359" s="2" t="str">
        <f>"76433"</f>
        <v>76433</v>
      </c>
      <c r="C30359" s="1">
        <v>3.0112985914090801E-2</v>
      </c>
      <c r="D30359" s="1">
        <v>3.5989717223650301E-3</v>
      </c>
      <c r="E30359" s="1">
        <v>5.4249547920433901E-3</v>
      </c>
      <c r="F30359" s="1">
        <v>2.7225640798618701E-2</v>
      </c>
    </row>
    <row r="30360" spans="1:6" x14ac:dyDescent="0.25">
      <c r="A30360" s="2" t="str">
        <f t="shared" si="1094"/>
        <v>44500</v>
      </c>
      <c r="B30360" s="2" t="str">
        <f>"76465"</f>
        <v>76465</v>
      </c>
      <c r="C30360" s="1">
        <v>4.9773530436513797E-5</v>
      </c>
      <c r="D30360" s="1">
        <v>0</v>
      </c>
      <c r="E30360" s="1">
        <v>0</v>
      </c>
      <c r="F30360" s="1">
        <v>4.4269334631900402E-5</v>
      </c>
    </row>
    <row r="30361" spans="1:6" x14ac:dyDescent="0.25">
      <c r="A30361" s="2" t="str">
        <f t="shared" si="1094"/>
        <v>44500</v>
      </c>
      <c r="B30361" s="2" t="str">
        <f>"76470"</f>
        <v>76470</v>
      </c>
      <c r="C30361" s="1">
        <v>1.99094121746055E-4</v>
      </c>
      <c r="D30361" s="1">
        <v>5.14138817480719E-4</v>
      </c>
      <c r="E30361" s="1">
        <v>0</v>
      </c>
      <c r="F30361" s="1">
        <v>2.21346673159502E-4</v>
      </c>
    </row>
    <row r="30362" spans="1:6" x14ac:dyDescent="0.25">
      <c r="A30362" s="2" t="str">
        <f t="shared" si="1094"/>
        <v>44500</v>
      </c>
      <c r="B30362" s="2" t="str">
        <f>"76461"</f>
        <v>76461</v>
      </c>
      <c r="C30362" s="1">
        <v>0</v>
      </c>
      <c r="D30362" s="1">
        <v>0</v>
      </c>
      <c r="E30362" s="1">
        <v>1.80831826401446E-3</v>
      </c>
      <c r="F30362" s="1">
        <v>4.4269334631900402E-5</v>
      </c>
    </row>
    <row r="30363" spans="1:6" x14ac:dyDescent="0.25">
      <c r="A30363" s="2" t="str">
        <f t="shared" si="1094"/>
        <v>44500</v>
      </c>
      <c r="B30363" s="2" t="str">
        <f>"76445"</f>
        <v>76445</v>
      </c>
      <c r="C30363" s="1">
        <v>8.4615001742073504E-4</v>
      </c>
      <c r="D30363" s="1">
        <v>5.14138817480719E-4</v>
      </c>
      <c r="E30363" s="1">
        <v>1.80831826401446E-3</v>
      </c>
      <c r="F30363" s="1">
        <v>8.4111735800610897E-4</v>
      </c>
    </row>
    <row r="30364" spans="1:6" x14ac:dyDescent="0.25">
      <c r="A30364" s="2" t="str">
        <f t="shared" ref="A30364:A30395" si="1095">"18580"</f>
        <v>18580</v>
      </c>
      <c r="B30364" s="2" t="str">
        <f>"78339"</f>
        <v>78339</v>
      </c>
      <c r="C30364" s="1">
        <v>4.9336181675555401E-6</v>
      </c>
      <c r="D30364" s="1">
        <v>4.7105374723255901E-5</v>
      </c>
      <c r="E30364" s="1">
        <v>0</v>
      </c>
      <c r="F30364" s="1">
        <v>8.7108013937282196E-6</v>
      </c>
    </row>
    <row r="30365" spans="1:6" x14ac:dyDescent="0.25">
      <c r="A30365" s="2" t="str">
        <f t="shared" si="1095"/>
        <v>18580</v>
      </c>
      <c r="B30365" s="2" t="str">
        <f>"78343"</f>
        <v>78343</v>
      </c>
      <c r="C30365" s="1">
        <v>9.8277673897706301E-3</v>
      </c>
      <c r="D30365" s="1">
        <v>5.7468557162372201E-3</v>
      </c>
      <c r="E30365" s="1">
        <v>9.6830985915492898E-3</v>
      </c>
      <c r="F30365" s="1">
        <v>9.4468641114982509E-3</v>
      </c>
    </row>
    <row r="30366" spans="1:6" x14ac:dyDescent="0.25">
      <c r="A30366" s="2" t="str">
        <f t="shared" si="1095"/>
        <v>18580</v>
      </c>
      <c r="B30366" s="2" t="str">
        <f>"78469"</f>
        <v>78469</v>
      </c>
      <c r="C30366" s="1">
        <v>4.4106546417946504E-3</v>
      </c>
      <c r="D30366" s="1">
        <v>1.3377926421404601E-2</v>
      </c>
      <c r="E30366" s="1">
        <v>3.5211267605633799E-4</v>
      </c>
      <c r="F30366" s="1">
        <v>5.1393728222996499E-3</v>
      </c>
    </row>
    <row r="30367" spans="1:6" x14ac:dyDescent="0.25">
      <c r="A30367" s="2" t="str">
        <f t="shared" si="1095"/>
        <v>18580</v>
      </c>
      <c r="B30367" s="2" t="str">
        <f>"78383"</f>
        <v>78383</v>
      </c>
      <c r="C30367" s="1">
        <v>1.40114755958577E-3</v>
      </c>
      <c r="D30367" s="1">
        <v>4.7105374723255901E-5</v>
      </c>
      <c r="E30367" s="1">
        <v>3.5211267605633799E-4</v>
      </c>
      <c r="F30367" s="1">
        <v>1.25E-3</v>
      </c>
    </row>
    <row r="30368" spans="1:6" x14ac:dyDescent="0.25">
      <c r="A30368" s="2" t="str">
        <f t="shared" si="1095"/>
        <v>18580</v>
      </c>
      <c r="B30368" s="2" t="str">
        <f>"78412"</f>
        <v>78412</v>
      </c>
      <c r="C30368" s="1">
        <v>9.3906488201252095E-2</v>
      </c>
      <c r="D30368" s="1">
        <v>5.3700127184511698E-2</v>
      </c>
      <c r="E30368" s="1">
        <v>5.8450704225352097E-2</v>
      </c>
      <c r="F30368" s="1">
        <v>8.9311846689895405E-2</v>
      </c>
    </row>
    <row r="30369" spans="1:6" x14ac:dyDescent="0.25">
      <c r="A30369" s="2" t="str">
        <f t="shared" si="1095"/>
        <v>18580</v>
      </c>
      <c r="B30369" s="2" t="str">
        <f>"78411"</f>
        <v>78411</v>
      </c>
      <c r="C30369" s="1">
        <v>5.4807564223374398E-2</v>
      </c>
      <c r="D30369" s="1">
        <v>0.108436572612935</v>
      </c>
      <c r="E30369" s="1">
        <v>8.4330985915492901E-2</v>
      </c>
      <c r="F30369" s="1">
        <v>6.0496515679442503E-2</v>
      </c>
    </row>
    <row r="30370" spans="1:6" x14ac:dyDescent="0.25">
      <c r="A30370" s="2" t="str">
        <f t="shared" si="1095"/>
        <v>18580</v>
      </c>
      <c r="B30370" s="2" t="str">
        <f>"78408"</f>
        <v>78408</v>
      </c>
      <c r="C30370" s="1">
        <v>2.28870546792901E-2</v>
      </c>
      <c r="D30370" s="1">
        <v>4.7576428470488402E-2</v>
      </c>
      <c r="E30370" s="1">
        <v>2.4647887323943601E-2</v>
      </c>
      <c r="F30370" s="1">
        <v>2.5213414634146301E-2</v>
      </c>
    </row>
    <row r="30371" spans="1:6" x14ac:dyDescent="0.25">
      <c r="A30371" s="2" t="str">
        <f t="shared" si="1095"/>
        <v>18580</v>
      </c>
      <c r="B30371" s="2" t="str">
        <f>"78359"</f>
        <v>78359</v>
      </c>
      <c r="C30371" s="1">
        <v>3.9468945340444301E-5</v>
      </c>
      <c r="D30371" s="1">
        <v>4.7105374723255901E-5</v>
      </c>
      <c r="E30371" s="1">
        <v>0</v>
      </c>
      <c r="F30371" s="1">
        <v>3.9198606271776997E-5</v>
      </c>
    </row>
    <row r="30372" spans="1:6" x14ac:dyDescent="0.25">
      <c r="A30372" s="2" t="str">
        <f t="shared" si="1095"/>
        <v>18580</v>
      </c>
      <c r="B30372" s="2" t="str">
        <f>"78370"</f>
        <v>78370</v>
      </c>
      <c r="C30372" s="1">
        <v>1.4618310630467E-2</v>
      </c>
      <c r="D30372" s="1">
        <v>5.8881718404069899E-3</v>
      </c>
      <c r="E30372" s="1">
        <v>5.8098591549295697E-3</v>
      </c>
      <c r="F30372" s="1">
        <v>1.35932055749128E-2</v>
      </c>
    </row>
    <row r="30373" spans="1:6" x14ac:dyDescent="0.25">
      <c r="A30373" s="2" t="str">
        <f t="shared" si="1095"/>
        <v>18580</v>
      </c>
      <c r="B30373" s="2" t="str">
        <f>"78335"</f>
        <v>78335</v>
      </c>
      <c r="C30373" s="1">
        <v>9.8129665352679595E-3</v>
      </c>
      <c r="D30373" s="1">
        <v>7.0658062084883802E-3</v>
      </c>
      <c r="E30373" s="1">
        <v>3.5211267605633799E-4</v>
      </c>
      <c r="F30373" s="1">
        <v>9.3249128919860608E-3</v>
      </c>
    </row>
    <row r="30374" spans="1:6" x14ac:dyDescent="0.25">
      <c r="A30374" s="2" t="str">
        <f t="shared" si="1095"/>
        <v>18580</v>
      </c>
      <c r="B30374" s="2" t="str">
        <f>"78467"</f>
        <v>78467</v>
      </c>
      <c r="C30374" s="1">
        <v>5.6983289835266402E-3</v>
      </c>
      <c r="D30374" s="1">
        <v>8.6673889490790808E-3</v>
      </c>
      <c r="E30374" s="1">
        <v>3.5211267605633799E-4</v>
      </c>
      <c r="F30374" s="1">
        <v>5.8405923344947699E-3</v>
      </c>
    </row>
    <row r="30375" spans="1:6" x14ac:dyDescent="0.25">
      <c r="A30375" s="2" t="str">
        <f t="shared" si="1095"/>
        <v>18580</v>
      </c>
      <c r="B30375" s="2" t="str">
        <f>"78463"</f>
        <v>78463</v>
      </c>
      <c r="C30375" s="1">
        <v>4.9385517857230901E-3</v>
      </c>
      <c r="D30375" s="1">
        <v>8.2905459512930407E-3</v>
      </c>
      <c r="E30375" s="1">
        <v>1.76056338028169E-4</v>
      </c>
      <c r="F30375" s="1">
        <v>5.1306620209059196E-3</v>
      </c>
    </row>
    <row r="30376" spans="1:6" x14ac:dyDescent="0.25">
      <c r="A30376" s="2" t="str">
        <f t="shared" si="1095"/>
        <v>18580</v>
      </c>
      <c r="B30376" s="2" t="str">
        <f>"78405"</f>
        <v>78405</v>
      </c>
      <c r="C30376" s="1">
        <v>2.9532638350987399E-2</v>
      </c>
      <c r="D30376" s="1">
        <v>5.4218286306467502E-2</v>
      </c>
      <c r="E30376" s="1">
        <v>3.4859154929577398E-2</v>
      </c>
      <c r="F30376" s="1">
        <v>3.1946864111498198E-2</v>
      </c>
    </row>
    <row r="30377" spans="1:6" x14ac:dyDescent="0.25">
      <c r="A30377" s="2" t="str">
        <f t="shared" si="1095"/>
        <v>18580</v>
      </c>
      <c r="B30377" s="2" t="str">
        <f>"78363"</f>
        <v>78363</v>
      </c>
      <c r="C30377" s="1">
        <v>0</v>
      </c>
      <c r="D30377" s="1">
        <v>4.7105374723255901E-5</v>
      </c>
      <c r="E30377" s="1">
        <v>0</v>
      </c>
      <c r="F30377" s="1">
        <v>4.3554006968641098E-6</v>
      </c>
    </row>
    <row r="30378" spans="1:6" x14ac:dyDescent="0.25">
      <c r="A30378" s="2" t="str">
        <f t="shared" si="1095"/>
        <v>18580</v>
      </c>
      <c r="B30378" s="2" t="str">
        <f>"78330"</f>
        <v>78330</v>
      </c>
      <c r="C30378" s="1">
        <v>1.2334045418888799E-4</v>
      </c>
      <c r="D30378" s="1">
        <v>9.4210749446511802E-5</v>
      </c>
      <c r="E30378" s="1">
        <v>0</v>
      </c>
      <c r="F30378" s="1">
        <v>1.17595818815331E-4</v>
      </c>
    </row>
    <row r="30379" spans="1:6" x14ac:dyDescent="0.25">
      <c r="A30379" s="2" t="str">
        <f t="shared" si="1095"/>
        <v>18580</v>
      </c>
      <c r="B30379" s="2" t="str">
        <f>"78427"</f>
        <v>78427</v>
      </c>
      <c r="C30379" s="1">
        <v>4.45505720530265E-3</v>
      </c>
      <c r="D30379" s="1">
        <v>2.05850487540628E-2</v>
      </c>
      <c r="E30379" s="1">
        <v>3.5211267605633799E-4</v>
      </c>
      <c r="F30379" s="1">
        <v>5.8449477351916303E-3</v>
      </c>
    </row>
    <row r="30380" spans="1:6" x14ac:dyDescent="0.25">
      <c r="A30380" s="2" t="str">
        <f t="shared" si="1095"/>
        <v>18580</v>
      </c>
      <c r="B30380" s="2" t="str">
        <f>"78426"</f>
        <v>78426</v>
      </c>
      <c r="C30380" s="1">
        <v>3.6360765894884301E-3</v>
      </c>
      <c r="D30380" s="1">
        <v>8.4318620754628096E-3</v>
      </c>
      <c r="E30380" s="1">
        <v>1.76056338028169E-4</v>
      </c>
      <c r="F30380" s="1">
        <v>3.9939024390243903E-3</v>
      </c>
    </row>
    <row r="30381" spans="1:6" x14ac:dyDescent="0.25">
      <c r="A30381" s="2" t="str">
        <f t="shared" si="1095"/>
        <v>18580</v>
      </c>
      <c r="B30381" s="2" t="str">
        <f>"78402"</f>
        <v>78402</v>
      </c>
      <c r="C30381" s="1">
        <v>3.8728902615310901E-3</v>
      </c>
      <c r="D30381" s="1">
        <v>4.1923783503697697E-3</v>
      </c>
      <c r="E30381" s="1">
        <v>4.7535211267605596E-3</v>
      </c>
      <c r="F30381" s="1">
        <v>3.9242160278745598E-3</v>
      </c>
    </row>
    <row r="30382" spans="1:6" x14ac:dyDescent="0.25">
      <c r="A30382" s="2" t="str">
        <f t="shared" si="1095"/>
        <v>18580</v>
      </c>
      <c r="B30382" s="2" t="str">
        <f>"78351"</f>
        <v>78351</v>
      </c>
      <c r="C30382" s="1">
        <v>0</v>
      </c>
      <c r="D30382" s="1">
        <v>4.7105374723255901E-5</v>
      </c>
      <c r="E30382" s="1">
        <v>0</v>
      </c>
      <c r="F30382" s="1">
        <v>4.3554006968641098E-6</v>
      </c>
    </row>
    <row r="30383" spans="1:6" x14ac:dyDescent="0.25">
      <c r="A30383" s="2" t="str">
        <f t="shared" si="1095"/>
        <v>18580</v>
      </c>
      <c r="B30383" s="2" t="str">
        <f>"78419"</f>
        <v>78419</v>
      </c>
      <c r="C30383" s="1">
        <v>0</v>
      </c>
      <c r="D30383" s="1">
        <v>2.3552687361627898E-3</v>
      </c>
      <c r="E30383" s="1">
        <v>1.0563380281690101E-3</v>
      </c>
      <c r="F30383" s="1">
        <v>2.4390243902439E-4</v>
      </c>
    </row>
    <row r="30384" spans="1:6" x14ac:dyDescent="0.25">
      <c r="A30384" s="2" t="str">
        <f t="shared" si="1095"/>
        <v>18580</v>
      </c>
      <c r="B30384" s="2" t="str">
        <f>"78480"</f>
        <v>78480</v>
      </c>
      <c r="C30384" s="1">
        <v>5.2543033484466501E-3</v>
      </c>
      <c r="D30384" s="1">
        <v>9.42107494465118E-3</v>
      </c>
      <c r="E30384" s="1">
        <v>1.76056338028169E-4</v>
      </c>
      <c r="F30384" s="1">
        <v>5.5139372822299599E-3</v>
      </c>
    </row>
    <row r="30385" spans="1:6" x14ac:dyDescent="0.25">
      <c r="A30385" s="2" t="str">
        <f t="shared" si="1095"/>
        <v>18580</v>
      </c>
      <c r="B30385" s="2" t="str">
        <f>"78418"</f>
        <v>78418</v>
      </c>
      <c r="C30385" s="1">
        <v>7.98308755692161E-2</v>
      </c>
      <c r="D30385" s="1">
        <v>3.8014037401667498E-2</v>
      </c>
      <c r="E30385" s="1">
        <v>0.15669014084506999</v>
      </c>
      <c r="F30385" s="1">
        <v>7.7865853658536502E-2</v>
      </c>
    </row>
    <row r="30386" spans="1:6" x14ac:dyDescent="0.25">
      <c r="A30386" s="2" t="str">
        <f t="shared" si="1095"/>
        <v>18580</v>
      </c>
      <c r="B30386" s="2" t="str">
        <f>"78413"</f>
        <v>78413</v>
      </c>
      <c r="C30386" s="1">
        <v>8.0630121712360101E-2</v>
      </c>
      <c r="D30386" s="1">
        <v>4.7152480097979101E-2</v>
      </c>
      <c r="E30386" s="1">
        <v>6.83098591549295E-2</v>
      </c>
      <c r="F30386" s="1">
        <v>7.7229965156794395E-2</v>
      </c>
    </row>
    <row r="30387" spans="1:6" x14ac:dyDescent="0.25">
      <c r="A30387" s="2" t="str">
        <f t="shared" si="1095"/>
        <v>18580</v>
      </c>
      <c r="B30387" s="2" t="str">
        <f>"78410"</f>
        <v>78410</v>
      </c>
      <c r="C30387" s="1">
        <v>5.5878159365734002E-2</v>
      </c>
      <c r="D30387" s="1">
        <v>3.70248245324791E-2</v>
      </c>
      <c r="E30387" s="1">
        <v>4.4190140845070398E-2</v>
      </c>
      <c r="F30387" s="1">
        <v>5.3845818815331001E-2</v>
      </c>
    </row>
    <row r="30388" spans="1:6" x14ac:dyDescent="0.25">
      <c r="A30388" s="2" t="str">
        <f t="shared" si="1095"/>
        <v>18580</v>
      </c>
      <c r="B30388" s="2" t="str">
        <f>"78409"</f>
        <v>78409</v>
      </c>
      <c r="C30388" s="1">
        <v>6.0634167279257504E-3</v>
      </c>
      <c r="D30388" s="1">
        <v>1.7664515521220898E-2</v>
      </c>
      <c r="E30388" s="1">
        <v>9.3309859154929505E-3</v>
      </c>
      <c r="F30388" s="1">
        <v>7.2168989547038301E-3</v>
      </c>
    </row>
    <row r="30389" spans="1:6" x14ac:dyDescent="0.25">
      <c r="A30389" s="2" t="str">
        <f t="shared" si="1095"/>
        <v>18580</v>
      </c>
      <c r="B30389" s="2" t="str">
        <f>"78414"</f>
        <v>78414</v>
      </c>
      <c r="C30389" s="1">
        <v>9.5056021234292506E-2</v>
      </c>
      <c r="D30389" s="1">
        <v>2.6096377596683699E-2</v>
      </c>
      <c r="E30389" s="1">
        <v>4.1901408450704197E-2</v>
      </c>
      <c r="F30389" s="1">
        <v>8.7364982578397199E-2</v>
      </c>
    </row>
    <row r="30390" spans="1:6" x14ac:dyDescent="0.25">
      <c r="A30390" s="2" t="str">
        <f t="shared" si="1095"/>
        <v>18580</v>
      </c>
      <c r="B30390" s="2" t="str">
        <f>"78374"</f>
        <v>78374</v>
      </c>
      <c r="C30390" s="1">
        <v>4.5872781721931398E-2</v>
      </c>
      <c r="D30390" s="1">
        <v>3.0854020443732599E-2</v>
      </c>
      <c r="E30390" s="1">
        <v>2.8345070422535201E-2</v>
      </c>
      <c r="F30390" s="1">
        <v>4.4050522648083602E-2</v>
      </c>
    </row>
    <row r="30391" spans="1:6" x14ac:dyDescent="0.25">
      <c r="A30391" s="2" t="str">
        <f t="shared" si="1095"/>
        <v>18580</v>
      </c>
      <c r="B30391" s="2" t="str">
        <f>"78368"</f>
        <v>78368</v>
      </c>
      <c r="C30391" s="1">
        <v>2.2985727042641201E-2</v>
      </c>
      <c r="D30391" s="1">
        <v>1.6581091902586002E-2</v>
      </c>
      <c r="E30391" s="1">
        <v>8.6267605633802806E-3</v>
      </c>
      <c r="F30391" s="1">
        <v>2.2038327526132401E-2</v>
      </c>
    </row>
    <row r="30392" spans="1:6" x14ac:dyDescent="0.25">
      <c r="A30392" s="2" t="str">
        <f t="shared" si="1095"/>
        <v>18580</v>
      </c>
      <c r="B30392" s="2" t="str">
        <f>"78380"</f>
        <v>78380</v>
      </c>
      <c r="C30392" s="1">
        <v>4.9642066001943798E-2</v>
      </c>
      <c r="D30392" s="1">
        <v>3.7448772904988402E-2</v>
      </c>
      <c r="E30392" s="1">
        <v>4.4894366197182997E-2</v>
      </c>
      <c r="F30392" s="1">
        <v>4.8397212543554002E-2</v>
      </c>
    </row>
    <row r="30393" spans="1:6" x14ac:dyDescent="0.25">
      <c r="A30393" s="2" t="str">
        <f t="shared" si="1095"/>
        <v>18580</v>
      </c>
      <c r="B30393" s="2" t="str">
        <f>"78417"</f>
        <v>78417</v>
      </c>
      <c r="C30393" s="1">
        <v>7.7359132867270801E-3</v>
      </c>
      <c r="D30393" s="1">
        <v>1.22002920533232E-2</v>
      </c>
      <c r="E30393" s="1">
        <v>1.0739436619718301E-2</v>
      </c>
      <c r="F30393" s="1">
        <v>8.2229965156794399E-3</v>
      </c>
    </row>
    <row r="30394" spans="1:6" x14ac:dyDescent="0.25">
      <c r="A30394" s="2" t="str">
        <f t="shared" si="1095"/>
        <v>18580</v>
      </c>
      <c r="B30394" s="2" t="str">
        <f>"78415"</f>
        <v>78415</v>
      </c>
      <c r="C30394" s="1">
        <v>7.6994045122871696E-2</v>
      </c>
      <c r="D30394" s="1">
        <v>6.28856752555466E-2</v>
      </c>
      <c r="E30394" s="1">
        <v>7.9929577464788695E-2</v>
      </c>
      <c r="F30394" s="1">
        <v>7.5762195121951204E-2</v>
      </c>
    </row>
    <row r="30395" spans="1:6" x14ac:dyDescent="0.25">
      <c r="A30395" s="2" t="str">
        <f t="shared" si="1095"/>
        <v>18580</v>
      </c>
      <c r="B30395" s="2" t="str">
        <f>"78389"</f>
        <v>78389</v>
      </c>
      <c r="C30395" s="1">
        <v>9.8672363351110803E-6</v>
      </c>
      <c r="D30395" s="1">
        <v>0</v>
      </c>
      <c r="E30395" s="1">
        <v>0</v>
      </c>
      <c r="F30395" s="1">
        <v>8.7108013937282196E-6</v>
      </c>
    </row>
    <row r="30396" spans="1:6" x14ac:dyDescent="0.25">
      <c r="A30396" s="2" t="str">
        <f t="shared" ref="A30396:A30412" si="1096">"18580"</f>
        <v>18580</v>
      </c>
      <c r="B30396" s="2" t="str">
        <f>"78401"</f>
        <v>78401</v>
      </c>
      <c r="C30396" s="1">
        <v>1.2669531454282601E-2</v>
      </c>
      <c r="D30396" s="1">
        <v>0.102501295397804</v>
      </c>
      <c r="E30396" s="1">
        <v>5.26408450704225E-2</v>
      </c>
      <c r="F30396" s="1">
        <v>2.19642857142857E-2</v>
      </c>
    </row>
    <row r="30397" spans="1:6" x14ac:dyDescent="0.25">
      <c r="A30397" s="2" t="str">
        <f t="shared" si="1096"/>
        <v>18580</v>
      </c>
      <c r="B30397" s="2" t="str">
        <f>"78352"</f>
        <v>78352</v>
      </c>
      <c r="C30397" s="1">
        <v>0</v>
      </c>
      <c r="D30397" s="1">
        <v>4.7105374723255901E-5</v>
      </c>
      <c r="E30397" s="1">
        <v>0</v>
      </c>
      <c r="F30397" s="1">
        <v>4.3554006968641098E-6</v>
      </c>
    </row>
    <row r="30398" spans="1:6" x14ac:dyDescent="0.25">
      <c r="A30398" s="2" t="str">
        <f t="shared" si="1096"/>
        <v>18580</v>
      </c>
      <c r="B30398" s="2" t="str">
        <f>"78347"</f>
        <v>78347</v>
      </c>
      <c r="C30398" s="1">
        <v>0</v>
      </c>
      <c r="D30398" s="1">
        <v>4.7105374723255901E-5</v>
      </c>
      <c r="E30398" s="1">
        <v>0</v>
      </c>
      <c r="F30398" s="1">
        <v>4.3554006968641098E-6</v>
      </c>
    </row>
    <row r="30399" spans="1:6" x14ac:dyDescent="0.25">
      <c r="A30399" s="2" t="str">
        <f t="shared" si="1096"/>
        <v>18580</v>
      </c>
      <c r="B30399" s="2" t="str">
        <f>"78460"</f>
        <v>78460</v>
      </c>
      <c r="C30399" s="1">
        <v>2.3039996842484302E-3</v>
      </c>
      <c r="D30399" s="1">
        <v>6.5476470865325704E-3</v>
      </c>
      <c r="E30399" s="1">
        <v>1.76056338028169E-4</v>
      </c>
      <c r="F30399" s="1">
        <v>2.6437282229965098E-3</v>
      </c>
    </row>
    <row r="30400" spans="1:6" x14ac:dyDescent="0.25">
      <c r="A30400" s="2" t="str">
        <f t="shared" si="1096"/>
        <v>18580</v>
      </c>
      <c r="B30400" s="2" t="str">
        <f>"78404"</f>
        <v>78404</v>
      </c>
      <c r="C30400" s="1">
        <v>3.5374042261373202E-2</v>
      </c>
      <c r="D30400" s="1">
        <v>3.9050355645579099E-2</v>
      </c>
      <c r="E30400" s="1">
        <v>9.1549295774647793E-2</v>
      </c>
      <c r="F30400" s="1">
        <v>3.7103658536585302E-2</v>
      </c>
    </row>
    <row r="30401" spans="1:6" x14ac:dyDescent="0.25">
      <c r="A30401" s="2" t="str">
        <f t="shared" si="1096"/>
        <v>18580</v>
      </c>
      <c r="B30401" s="2" t="str">
        <f>"78468"</f>
        <v>78468</v>
      </c>
      <c r="C30401" s="1">
        <v>4.3563848419515402E-3</v>
      </c>
      <c r="D30401" s="1">
        <v>9.9392340666069907E-3</v>
      </c>
      <c r="E30401" s="1">
        <v>3.5211267605633799E-4</v>
      </c>
      <c r="F30401" s="1">
        <v>4.7735191637630599E-3</v>
      </c>
    </row>
    <row r="30402" spans="1:6" x14ac:dyDescent="0.25">
      <c r="A30402" s="2" t="str">
        <f t="shared" si="1096"/>
        <v>18580</v>
      </c>
      <c r="B30402" s="2" t="str">
        <f>"78465"</f>
        <v>78465</v>
      </c>
      <c r="C30402" s="1">
        <v>4.4599908234701996E-3</v>
      </c>
      <c r="D30402" s="1">
        <v>5.08738047011163E-3</v>
      </c>
      <c r="E30402" s="1">
        <v>1.76056338028169E-4</v>
      </c>
      <c r="F30402" s="1">
        <v>4.4120209059233398E-3</v>
      </c>
    </row>
    <row r="30403" spans="1:6" x14ac:dyDescent="0.25">
      <c r="A30403" s="2" t="str">
        <f t="shared" si="1096"/>
        <v>18580</v>
      </c>
      <c r="B30403" s="2" t="str">
        <f>"78403"</f>
        <v>78403</v>
      </c>
      <c r="C30403" s="1">
        <v>7.9875278132724107E-3</v>
      </c>
      <c r="D30403" s="1">
        <v>2.1574261623251201E-2</v>
      </c>
      <c r="E30403" s="1">
        <v>1.76056338028169E-4</v>
      </c>
      <c r="F30403" s="1">
        <v>9.0505226480836198E-3</v>
      </c>
    </row>
    <row r="30404" spans="1:6" x14ac:dyDescent="0.25">
      <c r="A30404" s="2" t="str">
        <f t="shared" si="1096"/>
        <v>18580</v>
      </c>
      <c r="B30404" s="2" t="str">
        <f>"78390"</f>
        <v>78390</v>
      </c>
      <c r="C30404" s="1">
        <v>1.49192613386879E-2</v>
      </c>
      <c r="D30404" s="1">
        <v>9.3739695699279202E-3</v>
      </c>
      <c r="E30404" s="1">
        <v>8.6267605633802806E-3</v>
      </c>
      <c r="F30404" s="1">
        <v>1.42508710801393E-2</v>
      </c>
    </row>
    <row r="30405" spans="1:6" x14ac:dyDescent="0.25">
      <c r="A30405" s="2" t="str">
        <f t="shared" si="1096"/>
        <v>18580</v>
      </c>
      <c r="B30405" s="2" t="str">
        <f>"78336"</f>
        <v>78336</v>
      </c>
      <c r="C30405" s="1">
        <v>2.4899970891652801E-2</v>
      </c>
      <c r="D30405" s="1">
        <v>2.4259267982476799E-2</v>
      </c>
      <c r="E30405" s="1">
        <v>1.93661971830985E-2</v>
      </c>
      <c r="F30405" s="1">
        <v>2.4703832752613199E-2</v>
      </c>
    </row>
    <row r="30406" spans="1:6" x14ac:dyDescent="0.25">
      <c r="A30406" s="2" t="str">
        <f t="shared" si="1096"/>
        <v>18580</v>
      </c>
      <c r="B30406" s="2" t="str">
        <f>"78466"</f>
        <v>78466</v>
      </c>
      <c r="C30406" s="1">
        <v>5.1408301305928697E-3</v>
      </c>
      <c r="D30406" s="1">
        <v>2.2186631494653501E-2</v>
      </c>
      <c r="E30406" s="1">
        <v>3.5211267605633799E-4</v>
      </c>
      <c r="F30406" s="1">
        <v>6.5984320557491202E-3</v>
      </c>
    </row>
    <row r="30407" spans="1:6" x14ac:dyDescent="0.25">
      <c r="A30407" s="2" t="str">
        <f t="shared" si="1096"/>
        <v>18580</v>
      </c>
      <c r="B30407" s="2" t="str">
        <f>"78416"</f>
        <v>78416</v>
      </c>
      <c r="C30407" s="1">
        <v>2.54870714535919E-2</v>
      </c>
      <c r="D30407" s="1">
        <v>1.72405671487116E-2</v>
      </c>
      <c r="E30407" s="1">
        <v>1.95422535211267E-2</v>
      </c>
      <c r="F30407" s="1">
        <v>2.45775261324041E-2</v>
      </c>
    </row>
    <row r="30408" spans="1:6" x14ac:dyDescent="0.25">
      <c r="A30408" s="2" t="str">
        <f t="shared" si="1096"/>
        <v>18580</v>
      </c>
      <c r="B30408" s="2" t="str">
        <f>"78387"</f>
        <v>78387</v>
      </c>
      <c r="C30408" s="1">
        <v>1.9167106580953198E-2</v>
      </c>
      <c r="D30408" s="1">
        <v>1.7381883272881399E-2</v>
      </c>
      <c r="E30408" s="1">
        <v>1.0387323943661901E-2</v>
      </c>
      <c r="F30408" s="1">
        <v>1.87848432055749E-2</v>
      </c>
    </row>
    <row r="30409" spans="1:6" x14ac:dyDescent="0.25">
      <c r="A30409" s="2" t="str">
        <f t="shared" si="1096"/>
        <v>18580</v>
      </c>
      <c r="B30409" s="2" t="str">
        <f>"78407"</f>
        <v>78407</v>
      </c>
      <c r="C30409" s="1">
        <v>6.4679734176653096E-3</v>
      </c>
      <c r="D30409" s="1">
        <v>4.89895897121861E-3</v>
      </c>
      <c r="E30409" s="1">
        <v>1.1971830985915401E-2</v>
      </c>
      <c r="F30409" s="1">
        <v>6.4590592334494703E-3</v>
      </c>
    </row>
    <row r="30410" spans="1:6" x14ac:dyDescent="0.25">
      <c r="A30410" s="2" t="str">
        <f t="shared" si="1096"/>
        <v>18580</v>
      </c>
      <c r="B30410" s="2" t="str">
        <f>"78406"</f>
        <v>78406</v>
      </c>
      <c r="C30410" s="1">
        <v>2.2793315934106499E-3</v>
      </c>
      <c r="D30410" s="1">
        <v>7.39554383155117E-3</v>
      </c>
      <c r="E30410" s="1">
        <v>5.6338028169014001E-3</v>
      </c>
      <c r="F30410" s="1">
        <v>2.83536585365853E-3</v>
      </c>
    </row>
    <row r="30411" spans="1:6" x14ac:dyDescent="0.25">
      <c r="A30411" s="2" t="str">
        <f t="shared" si="1096"/>
        <v>18580</v>
      </c>
      <c r="B30411" s="2" t="str">
        <f>"78373"</f>
        <v>78373</v>
      </c>
      <c r="C30411" s="1">
        <v>2.17720569734225E-2</v>
      </c>
      <c r="D30411" s="1">
        <v>1.7900042394837199E-2</v>
      </c>
      <c r="E30411" s="1">
        <v>4.2957746478873203E-2</v>
      </c>
      <c r="F30411" s="1">
        <v>2.19381533101045E-2</v>
      </c>
    </row>
    <row r="30412" spans="1:6" x14ac:dyDescent="0.25">
      <c r="A30412" s="2" t="str">
        <f t="shared" si="1096"/>
        <v>18580</v>
      </c>
      <c r="B30412" s="2" t="str">
        <f>"78362"</f>
        <v>78362</v>
      </c>
      <c r="C30412" s="1">
        <v>2.2788382315939E-2</v>
      </c>
      <c r="D30412" s="1">
        <v>1.0363182439116299E-2</v>
      </c>
      <c r="E30412" s="1">
        <v>1.7253521126760499E-2</v>
      </c>
      <c r="F30412" s="1">
        <v>2.1502613240418099E-2</v>
      </c>
    </row>
    <row r="30413" spans="1:6" x14ac:dyDescent="0.25">
      <c r="A30413" s="2" t="str">
        <f t="shared" ref="A30413:A30421" si="1097">"43660"</f>
        <v>43660</v>
      </c>
      <c r="B30413" s="2" t="str">
        <f>"79526"</f>
        <v>79526</v>
      </c>
      <c r="C30413" s="1">
        <v>6.9575628575229406E-2</v>
      </c>
      <c r="D30413" s="1">
        <v>2.6519337016574499E-2</v>
      </c>
      <c r="E30413" s="1">
        <v>7.9069767441860395E-2</v>
      </c>
      <c r="F30413" s="1">
        <v>6.53004515456755E-2</v>
      </c>
    </row>
    <row r="30414" spans="1:6" x14ac:dyDescent="0.25">
      <c r="A30414" s="2" t="str">
        <f t="shared" si="1097"/>
        <v>43660</v>
      </c>
      <c r="B30414" s="2" t="str">
        <f>"79545"</f>
        <v>79545</v>
      </c>
      <c r="C30414" s="1">
        <v>1.4633497405880001E-3</v>
      </c>
      <c r="D30414" s="1">
        <v>0</v>
      </c>
      <c r="E30414" s="1">
        <v>0</v>
      </c>
      <c r="F30414" s="1">
        <v>1.2735903670255801E-3</v>
      </c>
    </row>
    <row r="30415" spans="1:6" x14ac:dyDescent="0.25">
      <c r="A30415" s="2" t="str">
        <f t="shared" si="1097"/>
        <v>43660</v>
      </c>
      <c r="B30415" s="2" t="str">
        <f>"79546"</f>
        <v>79546</v>
      </c>
      <c r="C30415" s="1">
        <v>3.9909538379672701E-4</v>
      </c>
      <c r="D30415" s="1">
        <v>0</v>
      </c>
      <c r="E30415" s="1">
        <v>4.65116279069767E-3</v>
      </c>
      <c r="F30415" s="1">
        <v>4.6312376982748601E-4</v>
      </c>
    </row>
    <row r="30416" spans="1:6" x14ac:dyDescent="0.25">
      <c r="A30416" s="2" t="str">
        <f t="shared" si="1097"/>
        <v>43660</v>
      </c>
      <c r="B30416" s="2" t="str">
        <f>"79517"</f>
        <v>79517</v>
      </c>
      <c r="C30416" s="1">
        <v>1.13077025409072E-2</v>
      </c>
      <c r="D30416" s="1">
        <v>5.5248618784530298E-3</v>
      </c>
      <c r="E30416" s="1">
        <v>1.3953488372093001E-2</v>
      </c>
      <c r="F30416" s="1">
        <v>1.0767627648489E-2</v>
      </c>
    </row>
    <row r="30417" spans="1:6" x14ac:dyDescent="0.25">
      <c r="A30417" s="2" t="str">
        <f t="shared" si="1097"/>
        <v>43660</v>
      </c>
      <c r="B30417" s="2" t="str">
        <f>"79512"</f>
        <v>79512</v>
      </c>
      <c r="C30417" s="1">
        <v>1.4633497405880001E-3</v>
      </c>
      <c r="D30417" s="1">
        <v>2.20994475138121E-3</v>
      </c>
      <c r="E30417" s="1">
        <v>0</v>
      </c>
      <c r="F30417" s="1">
        <v>1.5051522519393299E-3</v>
      </c>
    </row>
    <row r="30418" spans="1:6" x14ac:dyDescent="0.25">
      <c r="A30418" s="2" t="str">
        <f t="shared" si="1097"/>
        <v>43660</v>
      </c>
      <c r="B30418" s="2" t="str">
        <f>"79532"</f>
        <v>79532</v>
      </c>
      <c r="C30418" s="1">
        <v>1.0642543567912701E-3</v>
      </c>
      <c r="D30418" s="1">
        <v>0</v>
      </c>
      <c r="E30418" s="1">
        <v>0</v>
      </c>
      <c r="F30418" s="1">
        <v>9.2624753965497202E-4</v>
      </c>
    </row>
    <row r="30419" spans="1:6" x14ac:dyDescent="0.25">
      <c r="A30419" s="2" t="str">
        <f t="shared" si="1097"/>
        <v>43660</v>
      </c>
      <c r="B30419" s="2" t="str">
        <f>"79516"</f>
        <v>79516</v>
      </c>
      <c r="C30419" s="1">
        <v>0</v>
      </c>
      <c r="D30419" s="1">
        <v>1.1049723756906E-3</v>
      </c>
      <c r="E30419" s="1">
        <v>0</v>
      </c>
      <c r="F30419" s="1">
        <v>1.15780942456871E-4</v>
      </c>
    </row>
    <row r="30420" spans="1:6" x14ac:dyDescent="0.25">
      <c r="A30420" s="2" t="str">
        <f t="shared" si="1097"/>
        <v>43660</v>
      </c>
      <c r="B30420" s="2" t="str">
        <f>"79549"</f>
        <v>79549</v>
      </c>
      <c r="C30420" s="1">
        <v>0.89676732739124598</v>
      </c>
      <c r="D30420" s="1">
        <v>0.95690607734806599</v>
      </c>
      <c r="E30420" s="1">
        <v>0.89767441860465103</v>
      </c>
      <c r="F30420" s="1">
        <v>0.90309135116359796</v>
      </c>
    </row>
    <row r="30421" spans="1:6" x14ac:dyDescent="0.25">
      <c r="A30421" s="2" t="str">
        <f t="shared" si="1097"/>
        <v>43660</v>
      </c>
      <c r="B30421" s="2" t="str">
        <f>"79527"</f>
        <v>79527</v>
      </c>
      <c r="C30421" s="1">
        <v>1.79592922708527E-2</v>
      </c>
      <c r="D30421" s="1">
        <v>7.7348066298342502E-3</v>
      </c>
      <c r="E30421" s="1">
        <v>4.65116279069767E-3</v>
      </c>
      <c r="F30421" s="1">
        <v>1.6556674771332599E-2</v>
      </c>
    </row>
    <row r="30422" spans="1:6" x14ac:dyDescent="0.25">
      <c r="A30422" s="2" t="str">
        <f t="shared" ref="A30422:A30453" si="1098">"21340"</f>
        <v>21340</v>
      </c>
      <c r="B30422" s="2" t="str">
        <f>"79950"</f>
        <v>79950</v>
      </c>
      <c r="C30422" s="1">
        <v>3.53756487951981E-4</v>
      </c>
      <c r="D30422" s="1">
        <v>4.9940071913703496E-4</v>
      </c>
      <c r="E30422" s="1">
        <v>8.2960013273602099E-5</v>
      </c>
      <c r="F30422" s="1">
        <v>3.5662600785610902E-4</v>
      </c>
    </row>
    <row r="30423" spans="1:6" x14ac:dyDescent="0.25">
      <c r="A30423" s="2" t="str">
        <f t="shared" si="1098"/>
        <v>21340</v>
      </c>
      <c r="B30423" s="2" t="str">
        <f>"79952"</f>
        <v>79952</v>
      </c>
      <c r="C30423" s="1">
        <v>5.7992866877374001E-4</v>
      </c>
      <c r="D30423" s="1">
        <v>7.9904115061925601E-4</v>
      </c>
      <c r="E30423" s="1">
        <v>8.2960013273602099E-5</v>
      </c>
      <c r="F30423" s="1">
        <v>5.8145544759148203E-4</v>
      </c>
    </row>
    <row r="30424" spans="1:6" x14ac:dyDescent="0.25">
      <c r="A30424" s="2" t="str">
        <f t="shared" si="1098"/>
        <v>21340</v>
      </c>
      <c r="B30424" s="2" t="str">
        <f>"79937"</f>
        <v>79937</v>
      </c>
      <c r="C30424" s="1">
        <v>3.63325310986748E-3</v>
      </c>
      <c r="D30424" s="1">
        <v>1.22186709282194E-2</v>
      </c>
      <c r="E30424" s="1">
        <v>8.2960013273602099E-5</v>
      </c>
      <c r="F30424" s="1">
        <v>4.1890634690924097E-3</v>
      </c>
    </row>
    <row r="30425" spans="1:6" x14ac:dyDescent="0.25">
      <c r="A30425" s="2" t="str">
        <f t="shared" si="1098"/>
        <v>21340</v>
      </c>
      <c r="B30425" s="2" t="str">
        <f>"79911"</f>
        <v>79911</v>
      </c>
      <c r="C30425" s="1">
        <v>8.9975932960245798E-3</v>
      </c>
      <c r="D30425" s="1">
        <v>9.6550805699826799E-4</v>
      </c>
      <c r="E30425" s="1">
        <v>1.5762402521984401E-3</v>
      </c>
      <c r="F30425" s="1">
        <v>8.1429605127144901E-3</v>
      </c>
    </row>
    <row r="30426" spans="1:6" x14ac:dyDescent="0.25">
      <c r="A30426" s="2" t="str">
        <f t="shared" si="1098"/>
        <v>21340</v>
      </c>
      <c r="B30426" s="2" t="str">
        <f>"79902"</f>
        <v>79902</v>
      </c>
      <c r="C30426" s="1">
        <v>3.2852959086032398E-2</v>
      </c>
      <c r="D30426" s="1">
        <v>6.3290717805300295E-2</v>
      </c>
      <c r="E30426" s="1">
        <v>8.7108013937282194E-2</v>
      </c>
      <c r="F30426" s="1">
        <v>3.6905623320239798E-2</v>
      </c>
    </row>
    <row r="30427" spans="1:6" x14ac:dyDescent="0.25">
      <c r="A30427" s="2" t="str">
        <f t="shared" si="1098"/>
        <v>21340</v>
      </c>
      <c r="B30427" s="2" t="str">
        <f>"79849"</f>
        <v>79849</v>
      </c>
      <c r="C30427" s="1">
        <v>1.46750949633195E-2</v>
      </c>
      <c r="D30427" s="1">
        <v>1.29844186975629E-3</v>
      </c>
      <c r="E30427" s="1">
        <v>1.03700016592002E-2</v>
      </c>
      <c r="F30427" s="1">
        <v>1.3502687616291E-2</v>
      </c>
    </row>
    <row r="30428" spans="1:6" x14ac:dyDescent="0.25">
      <c r="A30428" s="2" t="str">
        <f t="shared" si="1098"/>
        <v>21340</v>
      </c>
      <c r="B30428" s="2" t="str">
        <f>"79903"</f>
        <v>79903</v>
      </c>
      <c r="C30428" s="1">
        <v>2.07208513352857E-2</v>
      </c>
      <c r="D30428" s="1">
        <v>3.4658409908110199E-2</v>
      </c>
      <c r="E30428" s="1">
        <v>3.1773685083789603E-2</v>
      </c>
      <c r="F30428" s="1">
        <v>2.2146991937151101E-2</v>
      </c>
    </row>
    <row r="30429" spans="1:6" x14ac:dyDescent="0.25">
      <c r="A30429" s="2" t="str">
        <f t="shared" si="1098"/>
        <v>21340</v>
      </c>
      <c r="B30429" s="2" t="str">
        <f>"79955"</f>
        <v>79955</v>
      </c>
      <c r="C30429" s="1">
        <v>6.9301475918462005E-4</v>
      </c>
      <c r="D30429" s="1">
        <v>2.9964043148222099E-4</v>
      </c>
      <c r="E30429" s="1">
        <v>8.2960013273602099E-5</v>
      </c>
      <c r="F30429" s="1">
        <v>6.4347736200124001E-4</v>
      </c>
    </row>
    <row r="30430" spans="1:6" x14ac:dyDescent="0.25">
      <c r="A30430" s="2" t="str">
        <f t="shared" si="1098"/>
        <v>21340</v>
      </c>
      <c r="B30430" s="2" t="str">
        <f>"79929"</f>
        <v>79929</v>
      </c>
      <c r="C30430" s="1">
        <v>5.93556992489923E-3</v>
      </c>
      <c r="D30430" s="1">
        <v>3.6289785590624501E-3</v>
      </c>
      <c r="E30430" s="1">
        <v>1.6592002654720401E-4</v>
      </c>
      <c r="F30430" s="1">
        <v>5.5768038040107503E-3</v>
      </c>
    </row>
    <row r="30431" spans="1:6" x14ac:dyDescent="0.25">
      <c r="A30431" s="2" t="str">
        <f t="shared" si="1098"/>
        <v>21340</v>
      </c>
      <c r="B30431" s="2" t="str">
        <f>"79935"</f>
        <v>79935</v>
      </c>
      <c r="C30431" s="1">
        <v>2.03583959173021E-2</v>
      </c>
      <c r="D30431" s="1">
        <v>3.2261286456252397E-2</v>
      </c>
      <c r="E30431" s="1">
        <v>3.5258005641280898E-2</v>
      </c>
      <c r="F30431" s="1">
        <v>2.1746433739921401E-2</v>
      </c>
    </row>
    <row r="30432" spans="1:6" x14ac:dyDescent="0.25">
      <c r="A30432" s="2" t="str">
        <f t="shared" si="1098"/>
        <v>21340</v>
      </c>
      <c r="B30432" s="2" t="str">
        <f>"79918"</f>
        <v>79918</v>
      </c>
      <c r="C30432" s="1">
        <v>0</v>
      </c>
      <c r="D30432" s="1">
        <v>4.7942469037155402E-3</v>
      </c>
      <c r="E30432" s="1">
        <v>4.9776007964161197E-4</v>
      </c>
      <c r="F30432" s="1">
        <v>3.8763696506098801E-4</v>
      </c>
    </row>
    <row r="30433" spans="1:6" x14ac:dyDescent="0.25">
      <c r="A30433" s="2" t="str">
        <f t="shared" si="1098"/>
        <v>21340</v>
      </c>
      <c r="B30433" s="2" t="str">
        <f>"79914"</f>
        <v>79914</v>
      </c>
      <c r="C30433" s="1">
        <v>2.8271522602719801E-3</v>
      </c>
      <c r="D30433" s="1">
        <v>3.1961646024770201E-3</v>
      </c>
      <c r="E30433" s="1">
        <v>8.2960013273602099E-5</v>
      </c>
      <c r="F30433" s="1">
        <v>2.7703121769691902E-3</v>
      </c>
    </row>
    <row r="30434" spans="1:6" x14ac:dyDescent="0.25">
      <c r="A30434" s="2" t="str">
        <f t="shared" si="1098"/>
        <v>21340</v>
      </c>
      <c r="B30434" s="2" t="str">
        <f>"79837"</f>
        <v>79837</v>
      </c>
      <c r="C30434" s="1">
        <v>0</v>
      </c>
      <c r="D30434" s="1">
        <v>3.32933812758023E-5</v>
      </c>
      <c r="E30434" s="1">
        <v>0</v>
      </c>
      <c r="F30434" s="1">
        <v>2.5842464337399201E-6</v>
      </c>
    </row>
    <row r="30435" spans="1:6" x14ac:dyDescent="0.25">
      <c r="A30435" s="2" t="str">
        <f t="shared" si="1098"/>
        <v>21340</v>
      </c>
      <c r="B30435" s="2" t="str">
        <f>"79839"</f>
        <v>79839</v>
      </c>
      <c r="C30435" s="1">
        <v>5.8282831211760896E-4</v>
      </c>
      <c r="D30435" s="1">
        <v>6.6586762551604695E-5</v>
      </c>
      <c r="E30435" s="1">
        <v>2.4888003982080598E-4</v>
      </c>
      <c r="F30435" s="1">
        <v>5.3235476535042298E-4</v>
      </c>
    </row>
    <row r="30436" spans="1:6" x14ac:dyDescent="0.25">
      <c r="A30436" s="2" t="str">
        <f t="shared" si="1098"/>
        <v>21340</v>
      </c>
      <c r="B30436" s="2" t="str">
        <f>"79949"</f>
        <v>79949</v>
      </c>
      <c r="C30436" s="1">
        <v>3.53756487951981E-4</v>
      </c>
      <c r="D30436" s="1">
        <v>4.9940071913703496E-4</v>
      </c>
      <c r="E30436" s="1">
        <v>8.2960013273602099E-5</v>
      </c>
      <c r="F30436" s="1">
        <v>3.5662600785610902E-4</v>
      </c>
    </row>
    <row r="30437" spans="1:6" x14ac:dyDescent="0.25">
      <c r="A30437" s="2" t="str">
        <f t="shared" si="1098"/>
        <v>21340</v>
      </c>
      <c r="B30437" s="2" t="str">
        <f>"79947"</f>
        <v>79947</v>
      </c>
      <c r="C30437" s="1">
        <v>5.0163829848928504E-4</v>
      </c>
      <c r="D30437" s="1">
        <v>2.33053668930616E-4</v>
      </c>
      <c r="E30437" s="1">
        <v>8.2960013273602099E-5</v>
      </c>
      <c r="F30437" s="1">
        <v>4.6774860450692502E-4</v>
      </c>
    </row>
    <row r="30438" spans="1:6" x14ac:dyDescent="0.25">
      <c r="A30438" s="2" t="str">
        <f t="shared" si="1098"/>
        <v>21340</v>
      </c>
      <c r="B30438" s="2" t="str">
        <f>"79953"</f>
        <v>79953</v>
      </c>
      <c r="C30438" s="1">
        <v>6.9301475918462005E-4</v>
      </c>
      <c r="D30438" s="1">
        <v>2.9964043148222099E-4</v>
      </c>
      <c r="E30438" s="1">
        <v>8.2960013273602099E-5</v>
      </c>
      <c r="F30438" s="1">
        <v>6.4347736200124001E-4</v>
      </c>
    </row>
    <row r="30439" spans="1:6" x14ac:dyDescent="0.25">
      <c r="A30439" s="2" t="str">
        <f t="shared" si="1098"/>
        <v>21340</v>
      </c>
      <c r="B30439" s="2" t="str">
        <f>"79932"</f>
        <v>79932</v>
      </c>
      <c r="C30439" s="1">
        <v>3.2670281555368601E-2</v>
      </c>
      <c r="D30439" s="1">
        <v>2.0542016247169999E-2</v>
      </c>
      <c r="E30439" s="1">
        <v>2.1154803384768502E-2</v>
      </c>
      <c r="F30439" s="1">
        <v>3.1370167459168902E-2</v>
      </c>
    </row>
    <row r="30440" spans="1:6" x14ac:dyDescent="0.25">
      <c r="A30440" s="2" t="str">
        <f t="shared" si="1098"/>
        <v>21340</v>
      </c>
      <c r="B30440" s="2" t="str">
        <f>"79906"</f>
        <v>79906</v>
      </c>
      <c r="C30440" s="1">
        <v>1.0073360976599799E-2</v>
      </c>
      <c r="D30440" s="1">
        <v>8.3899320815021897E-3</v>
      </c>
      <c r="E30440" s="1">
        <v>3.7580886012941697E-2</v>
      </c>
      <c r="F30440" s="1">
        <v>1.07995658465991E-2</v>
      </c>
    </row>
    <row r="30441" spans="1:6" x14ac:dyDescent="0.25">
      <c r="A30441" s="2" t="str">
        <f t="shared" si="1098"/>
        <v>21340</v>
      </c>
      <c r="B30441" s="2" t="str">
        <f>"79913"</f>
        <v>79913</v>
      </c>
      <c r="C30441" s="1">
        <v>7.0838286890712397E-3</v>
      </c>
      <c r="D30441" s="1">
        <v>1.84112398455187E-2</v>
      </c>
      <c r="E30441" s="1">
        <v>8.2960013273602099E-5</v>
      </c>
      <c r="F30441" s="1">
        <v>7.7449865619185401E-3</v>
      </c>
    </row>
    <row r="30442" spans="1:6" x14ac:dyDescent="0.25">
      <c r="A30442" s="2" t="str">
        <f t="shared" si="1098"/>
        <v>21340</v>
      </c>
      <c r="B30442" s="2" t="str">
        <f>"79927"</f>
        <v>79927</v>
      </c>
      <c r="C30442" s="1">
        <v>3.8660944703801402E-2</v>
      </c>
      <c r="D30442" s="1">
        <v>2.7000932214675699E-2</v>
      </c>
      <c r="E30442" s="1">
        <v>5.7159449145511798E-2</v>
      </c>
      <c r="F30442" s="1">
        <v>3.8332127351664198E-2</v>
      </c>
    </row>
    <row r="30443" spans="1:6" x14ac:dyDescent="0.25">
      <c r="A30443" s="2" t="str">
        <f t="shared" si="1098"/>
        <v>21340</v>
      </c>
      <c r="B30443" s="2" t="str">
        <f>"79924"</f>
        <v>79924</v>
      </c>
      <c r="C30443" s="1">
        <v>6.5949488212949797E-2</v>
      </c>
      <c r="D30443" s="1">
        <v>3.4159009188973202E-2</v>
      </c>
      <c r="E30443" s="1">
        <v>3.0778164924506302E-2</v>
      </c>
      <c r="F30443" s="1">
        <v>6.23862931569154E-2</v>
      </c>
    </row>
    <row r="30444" spans="1:6" x14ac:dyDescent="0.25">
      <c r="A30444" s="2" t="str">
        <f t="shared" si="1098"/>
        <v>21340</v>
      </c>
      <c r="B30444" s="2" t="str">
        <f>"79923"</f>
        <v>79923</v>
      </c>
      <c r="C30444" s="1">
        <v>2.2907182416562698E-3</v>
      </c>
      <c r="D30444" s="1">
        <v>5.4268211479557796E-3</v>
      </c>
      <c r="E30444" s="1">
        <v>8.2960013273602099E-5</v>
      </c>
      <c r="F30444" s="1">
        <v>2.4653710977878798E-3</v>
      </c>
    </row>
    <row r="30445" spans="1:6" x14ac:dyDescent="0.25">
      <c r="A30445" s="2" t="str">
        <f t="shared" si="1098"/>
        <v>21340</v>
      </c>
      <c r="B30445" s="2" t="str">
        <f>"79928"</f>
        <v>79928</v>
      </c>
      <c r="C30445" s="1">
        <v>7.1018064778032297E-2</v>
      </c>
      <c r="D30445" s="1">
        <v>2.1640697829271499E-2</v>
      </c>
      <c r="E30445" s="1">
        <v>1.6757922681267599E-2</v>
      </c>
      <c r="F30445" s="1">
        <v>6.54951416167045E-2</v>
      </c>
    </row>
    <row r="30446" spans="1:6" x14ac:dyDescent="0.25">
      <c r="A30446" s="2" t="str">
        <f t="shared" si="1098"/>
        <v>21340</v>
      </c>
      <c r="B30446" s="2" t="str">
        <f>"79954"</f>
        <v>79954</v>
      </c>
      <c r="C30446" s="1">
        <v>3.4505755792037501E-4</v>
      </c>
      <c r="D30446" s="1">
        <v>1.66466906379011E-4</v>
      </c>
      <c r="E30446" s="1">
        <v>8.2960013273602099E-5</v>
      </c>
      <c r="F30446" s="1">
        <v>3.2303080421749E-4</v>
      </c>
    </row>
    <row r="30447" spans="1:6" x14ac:dyDescent="0.25">
      <c r="A30447" s="2" t="str">
        <f t="shared" si="1098"/>
        <v>21340</v>
      </c>
      <c r="B30447" s="2" t="str">
        <f>"79930"</f>
        <v>79930</v>
      </c>
      <c r="C30447" s="1">
        <v>3.6007771044161502E-2</v>
      </c>
      <c r="D30447" s="1">
        <v>1.52483686243174E-2</v>
      </c>
      <c r="E30447" s="1">
        <v>5.6578729052596602E-2</v>
      </c>
      <c r="F30447" s="1">
        <v>3.5037213148645802E-2</v>
      </c>
    </row>
    <row r="30448" spans="1:6" x14ac:dyDescent="0.25">
      <c r="A30448" s="2" t="str">
        <f t="shared" si="1098"/>
        <v>21340</v>
      </c>
      <c r="B30448" s="2" t="str">
        <f>"79905"</f>
        <v>79905</v>
      </c>
      <c r="C30448" s="1">
        <v>2.68419984341925E-2</v>
      </c>
      <c r="D30448" s="1">
        <v>4.5944866160607202E-2</v>
      </c>
      <c r="E30448" s="1">
        <v>5.5666168906587002E-2</v>
      </c>
      <c r="F30448" s="1">
        <v>2.9222658672731001E-2</v>
      </c>
    </row>
    <row r="30449" spans="1:6" x14ac:dyDescent="0.25">
      <c r="A30449" s="2" t="str">
        <f t="shared" si="1098"/>
        <v>21340</v>
      </c>
      <c r="B30449" s="2" t="str">
        <f>"79916"</f>
        <v>79916</v>
      </c>
      <c r="C30449" s="1">
        <v>0</v>
      </c>
      <c r="D30449" s="1">
        <v>8.3233453189505893E-3</v>
      </c>
      <c r="E30449" s="1">
        <v>7.4664011946241904E-4</v>
      </c>
      <c r="F30449" s="1">
        <v>6.6931982633863904E-4</v>
      </c>
    </row>
    <row r="30450" spans="1:6" x14ac:dyDescent="0.25">
      <c r="A30450" s="2" t="str">
        <f t="shared" si="1098"/>
        <v>21340</v>
      </c>
      <c r="B30450" s="2" t="str">
        <f>"79851"</f>
        <v>79851</v>
      </c>
      <c r="C30450" s="1">
        <v>0</v>
      </c>
      <c r="D30450" s="1">
        <v>3.32933812758023E-5</v>
      </c>
      <c r="E30450" s="1">
        <v>0</v>
      </c>
      <c r="F30450" s="1">
        <v>2.5842464337399201E-6</v>
      </c>
    </row>
    <row r="30451" spans="1:6" x14ac:dyDescent="0.25">
      <c r="A30451" s="2" t="str">
        <f t="shared" si="1098"/>
        <v>21340</v>
      </c>
      <c r="B30451" s="2" t="str">
        <f>"79836"</f>
        <v>79836</v>
      </c>
      <c r="C30451" s="1">
        <v>1.0983848986574601E-2</v>
      </c>
      <c r="D30451" s="1">
        <v>3.5290984152350499E-3</v>
      </c>
      <c r="E30451" s="1">
        <v>3.89912062385929E-3</v>
      </c>
      <c r="F30451" s="1">
        <v>1.0184515195369E-2</v>
      </c>
    </row>
    <row r="30452" spans="1:6" x14ac:dyDescent="0.25">
      <c r="A30452" s="2" t="str">
        <f t="shared" si="1098"/>
        <v>21340</v>
      </c>
      <c r="B30452" s="2" t="str">
        <f>"79821"</f>
        <v>79821</v>
      </c>
      <c r="C30452" s="1">
        <v>5.3730391161886997E-3</v>
      </c>
      <c r="D30452" s="1">
        <v>8.2234651751231808E-3</v>
      </c>
      <c r="E30452" s="1">
        <v>5.30944084951053E-3</v>
      </c>
      <c r="F30452" s="1">
        <v>5.5923092826131804E-3</v>
      </c>
    </row>
    <row r="30453" spans="1:6" x14ac:dyDescent="0.25">
      <c r="A30453" s="2" t="str">
        <f t="shared" si="1098"/>
        <v>21340</v>
      </c>
      <c r="B30453" s="2" t="str">
        <f>"79997"</f>
        <v>79997</v>
      </c>
      <c r="C30453" s="1">
        <v>3.2447009017890702E-3</v>
      </c>
      <c r="D30453" s="1">
        <v>8.0237048874683692E-3</v>
      </c>
      <c r="E30453" s="1">
        <v>8.2960013273602099E-5</v>
      </c>
      <c r="F30453" s="1">
        <v>3.5171593963200299E-3</v>
      </c>
    </row>
    <row r="30454" spans="1:6" x14ac:dyDescent="0.25">
      <c r="A30454" s="2" t="str">
        <f t="shared" ref="A30454:A30483" si="1099">"21340"</f>
        <v>21340</v>
      </c>
      <c r="B30454" s="2" t="str">
        <f>"79995"</f>
        <v>79995</v>
      </c>
      <c r="C30454" s="1">
        <v>4.4422536028068497E-3</v>
      </c>
      <c r="D30454" s="1">
        <v>7.1580769742974996E-3</v>
      </c>
      <c r="E30454" s="1">
        <v>8.2960013273602099E-5</v>
      </c>
      <c r="F30454" s="1">
        <v>4.5172627661773804E-3</v>
      </c>
    </row>
    <row r="30455" spans="1:6" x14ac:dyDescent="0.25">
      <c r="A30455" s="2" t="str">
        <f t="shared" si="1099"/>
        <v>21340</v>
      </c>
      <c r="B30455" s="2" t="str">
        <f>"79951"</f>
        <v>79951</v>
      </c>
      <c r="C30455" s="1">
        <v>6.1472438890016498E-4</v>
      </c>
      <c r="D30455" s="1">
        <v>3.99520575309628E-4</v>
      </c>
      <c r="E30455" s="1">
        <v>8.2960013273602099E-5</v>
      </c>
      <c r="F30455" s="1">
        <v>5.8145544759148203E-4</v>
      </c>
    </row>
    <row r="30456" spans="1:6" x14ac:dyDescent="0.25">
      <c r="A30456" s="2" t="str">
        <f t="shared" si="1099"/>
        <v>21340</v>
      </c>
      <c r="B30456" s="2" t="str">
        <f>"79934"</f>
        <v>79934</v>
      </c>
      <c r="C30456" s="1">
        <v>3.0159190419578302E-2</v>
      </c>
      <c r="D30456" s="1">
        <v>7.35783726195232E-3</v>
      </c>
      <c r="E30456" s="1">
        <v>3.89912062385929E-3</v>
      </c>
      <c r="F30456" s="1">
        <v>2.7571325201571201E-2</v>
      </c>
    </row>
    <row r="30457" spans="1:6" x14ac:dyDescent="0.25">
      <c r="A30457" s="2" t="str">
        <f t="shared" si="1099"/>
        <v>21340</v>
      </c>
      <c r="B30457" s="2" t="str">
        <f>"79931"</f>
        <v>79931</v>
      </c>
      <c r="C30457" s="1">
        <v>1.58320526575231E-3</v>
      </c>
      <c r="D30457" s="1">
        <v>1.8644293514449299E-3</v>
      </c>
      <c r="E30457" s="1">
        <v>8.2960013273602099E-5</v>
      </c>
      <c r="F30457" s="1">
        <v>1.5583005995451699E-3</v>
      </c>
    </row>
    <row r="30458" spans="1:6" x14ac:dyDescent="0.25">
      <c r="A30458" s="2" t="str">
        <f t="shared" si="1099"/>
        <v>21340</v>
      </c>
      <c r="B30458" s="2" t="str">
        <f>"79908"</f>
        <v>79908</v>
      </c>
      <c r="C30458" s="1">
        <v>3.2881955519471098E-3</v>
      </c>
      <c r="D30458" s="1">
        <v>1.66466906379011E-4</v>
      </c>
      <c r="E30458" s="1">
        <v>2.3477683756429401E-2</v>
      </c>
      <c r="F30458" s="1">
        <v>3.6747984287781601E-3</v>
      </c>
    </row>
    <row r="30459" spans="1:6" x14ac:dyDescent="0.25">
      <c r="A30459" s="2" t="str">
        <f t="shared" si="1099"/>
        <v>21340</v>
      </c>
      <c r="B30459" s="2" t="str">
        <f>"79904"</f>
        <v>79904</v>
      </c>
      <c r="C30459" s="1">
        <v>4.2131817786412201E-2</v>
      </c>
      <c r="D30459" s="1">
        <v>2.53362631508856E-2</v>
      </c>
      <c r="E30459" s="1">
        <v>5.10204081632653E-2</v>
      </c>
      <c r="F30459" s="1">
        <v>4.1105023775067098E-2</v>
      </c>
    </row>
    <row r="30460" spans="1:6" x14ac:dyDescent="0.25">
      <c r="A30460" s="2" t="str">
        <f t="shared" si="1099"/>
        <v>21340</v>
      </c>
      <c r="B30460" s="2" t="str">
        <f>"79945"</f>
        <v>79945</v>
      </c>
      <c r="C30460" s="1">
        <v>3.7695363470293102E-4</v>
      </c>
      <c r="D30460" s="1">
        <v>1.99760287654814E-4</v>
      </c>
      <c r="E30460" s="1">
        <v>8.2960013273602099E-5</v>
      </c>
      <c r="F30460" s="1">
        <v>3.5404176142236898E-4</v>
      </c>
    </row>
    <row r="30461" spans="1:6" x14ac:dyDescent="0.25">
      <c r="A30461" s="2" t="str">
        <f t="shared" si="1099"/>
        <v>21340</v>
      </c>
      <c r="B30461" s="2" t="str">
        <f>"79944"</f>
        <v>79944</v>
      </c>
      <c r="C30461" s="1">
        <v>4.9293936845767904E-4</v>
      </c>
      <c r="D30461" s="1">
        <v>3.3293381275802298E-4</v>
      </c>
      <c r="E30461" s="1">
        <v>8.2960013273602099E-5</v>
      </c>
      <c r="F30461" s="1">
        <v>4.6774860450692502E-4</v>
      </c>
    </row>
    <row r="30462" spans="1:6" x14ac:dyDescent="0.25">
      <c r="A30462" s="2" t="str">
        <f t="shared" si="1099"/>
        <v>21340</v>
      </c>
      <c r="B30462" s="2" t="str">
        <f>"79943"</f>
        <v>79943</v>
      </c>
      <c r="C30462" s="1">
        <v>6.0602545886855898E-4</v>
      </c>
      <c r="D30462" s="1">
        <v>4.6610733786123302E-4</v>
      </c>
      <c r="E30462" s="1">
        <v>8.2960013273602099E-5</v>
      </c>
      <c r="F30462" s="1">
        <v>5.7887120115774195E-4</v>
      </c>
    </row>
    <row r="30463" spans="1:6" x14ac:dyDescent="0.25">
      <c r="A30463" s="2" t="str">
        <f t="shared" si="1099"/>
        <v>21340</v>
      </c>
      <c r="B30463" s="2" t="str">
        <f>"79942"</f>
        <v>79942</v>
      </c>
      <c r="C30463" s="1">
        <v>2.0587467741467699E-4</v>
      </c>
      <c r="D30463" s="1">
        <v>5.6598748168864004E-4</v>
      </c>
      <c r="E30463" s="1">
        <v>8.2960013273602099E-5</v>
      </c>
      <c r="F30463" s="1">
        <v>2.29997932602853E-4</v>
      </c>
    </row>
    <row r="30464" spans="1:6" x14ac:dyDescent="0.25">
      <c r="A30464" s="2" t="str">
        <f t="shared" si="1099"/>
        <v>21340</v>
      </c>
      <c r="B30464" s="2" t="str">
        <f>"79940"</f>
        <v>79940</v>
      </c>
      <c r="C30464" s="1">
        <v>8.4089656972192401E-5</v>
      </c>
      <c r="D30464" s="1">
        <v>7.6574776934345396E-4</v>
      </c>
      <c r="E30464" s="1">
        <v>8.2960013273602099E-5</v>
      </c>
      <c r="F30464" s="1">
        <v>1.3696506098821501E-4</v>
      </c>
    </row>
    <row r="30465" spans="1:6" x14ac:dyDescent="0.25">
      <c r="A30465" s="2" t="str">
        <f t="shared" si="1099"/>
        <v>21340</v>
      </c>
      <c r="B30465" s="2" t="str">
        <f>"79996"</f>
        <v>79996</v>
      </c>
      <c r="C30465" s="1">
        <v>7.0374343955693398E-3</v>
      </c>
      <c r="D30465" s="1">
        <v>1.11532827273937E-2</v>
      </c>
      <c r="E30465" s="1">
        <v>8.2960013273602099E-5</v>
      </c>
      <c r="F30465" s="1">
        <v>7.1402728964234004E-3</v>
      </c>
    </row>
    <row r="30466" spans="1:6" x14ac:dyDescent="0.25">
      <c r="A30466" s="2" t="str">
        <f t="shared" si="1099"/>
        <v>21340</v>
      </c>
      <c r="B30466" s="2" t="str">
        <f>"79912"</f>
        <v>79912</v>
      </c>
      <c r="C30466" s="1">
        <v>9.6685707657958003E-2</v>
      </c>
      <c r="D30466" s="1">
        <v>8.7361832467705403E-2</v>
      </c>
      <c r="E30466" s="1">
        <v>8.3457773353243697E-2</v>
      </c>
      <c r="F30466" s="1">
        <v>9.5549927641099805E-2</v>
      </c>
    </row>
    <row r="30467" spans="1:6" x14ac:dyDescent="0.25">
      <c r="A30467" s="2" t="str">
        <f t="shared" si="1099"/>
        <v>21340</v>
      </c>
      <c r="B30467" s="2" t="str">
        <f>"79925"</f>
        <v>79925</v>
      </c>
      <c r="C30467" s="1">
        <v>4.82964595354771E-2</v>
      </c>
      <c r="D30467" s="1">
        <v>0.114262884538553</v>
      </c>
      <c r="E30467" s="1">
        <v>4.9858967977434797E-2</v>
      </c>
      <c r="F30467" s="1">
        <v>5.3465474467645199E-2</v>
      </c>
    </row>
    <row r="30468" spans="1:6" x14ac:dyDescent="0.25">
      <c r="A30468" s="2" t="str">
        <f t="shared" si="1099"/>
        <v>21340</v>
      </c>
      <c r="B30468" s="2" t="str">
        <f>"79835"</f>
        <v>79835</v>
      </c>
      <c r="C30468" s="1">
        <v>1.5846550874242402E-2</v>
      </c>
      <c r="D30468" s="1">
        <v>1.90771074710347E-2</v>
      </c>
      <c r="E30468" s="1">
        <v>3.2271445163431202E-2</v>
      </c>
      <c r="F30468" s="1">
        <v>1.66089518296464E-2</v>
      </c>
    </row>
    <row r="30469" spans="1:6" x14ac:dyDescent="0.25">
      <c r="A30469" s="2" t="str">
        <f t="shared" si="1099"/>
        <v>21340</v>
      </c>
      <c r="B30469" s="2" t="str">
        <f>"79946"</f>
        <v>79946</v>
      </c>
      <c r="C30469" s="1">
        <v>3.7115434801519398E-4</v>
      </c>
      <c r="D30469" s="1">
        <v>4.6610733786123302E-4</v>
      </c>
      <c r="E30469" s="1">
        <v>8.2960013273602099E-5</v>
      </c>
      <c r="F30469" s="1">
        <v>3.6954724002480799E-4</v>
      </c>
    </row>
    <row r="30470" spans="1:6" x14ac:dyDescent="0.25">
      <c r="A30470" s="2" t="str">
        <f t="shared" si="1099"/>
        <v>21340</v>
      </c>
      <c r="B30470" s="2" t="str">
        <f>"79941"</f>
        <v>79941</v>
      </c>
      <c r="C30470" s="1">
        <v>1.62380027256647E-4</v>
      </c>
      <c r="D30470" s="1">
        <v>4.9940071913703496E-4</v>
      </c>
      <c r="E30470" s="1">
        <v>8.2960013273602099E-5</v>
      </c>
      <c r="F30470" s="1">
        <v>1.8606574322927401E-4</v>
      </c>
    </row>
    <row r="30471" spans="1:6" x14ac:dyDescent="0.25">
      <c r="A30471" s="2" t="str">
        <f t="shared" si="1099"/>
        <v>21340</v>
      </c>
      <c r="B30471" s="2" t="str">
        <f>"79968"</f>
        <v>79968</v>
      </c>
      <c r="C30471" s="1">
        <v>0</v>
      </c>
      <c r="D30471" s="1">
        <v>6.6586762551604695E-5</v>
      </c>
      <c r="E30471" s="1">
        <v>8.2960013273602099E-5</v>
      </c>
      <c r="F30471" s="1">
        <v>7.7527393012197606E-6</v>
      </c>
    </row>
    <row r="30472" spans="1:6" x14ac:dyDescent="0.25">
      <c r="A30472" s="2" t="str">
        <f t="shared" si="1099"/>
        <v>21340</v>
      </c>
      <c r="B30472" s="2" t="str">
        <f>"79910"</f>
        <v>79910</v>
      </c>
      <c r="C30472" s="1">
        <v>0</v>
      </c>
      <c r="D30472" s="1">
        <v>0</v>
      </c>
      <c r="E30472" s="1">
        <v>1.6592002654720401E-4</v>
      </c>
      <c r="F30472" s="1">
        <v>5.1684928674798401E-6</v>
      </c>
    </row>
    <row r="30473" spans="1:6" x14ac:dyDescent="0.25">
      <c r="A30473" s="2" t="str">
        <f t="shared" si="1099"/>
        <v>21340</v>
      </c>
      <c r="B30473" s="2" t="str">
        <f>"79926"</f>
        <v>79926</v>
      </c>
      <c r="C30473" s="1">
        <v>2.1573346478383098E-3</v>
      </c>
      <c r="D30473" s="1">
        <v>4.5611932347849196E-3</v>
      </c>
      <c r="E30473" s="1">
        <v>8.2960013273602099E-5</v>
      </c>
      <c r="F30473" s="1">
        <v>2.27930535455861E-3</v>
      </c>
    </row>
    <row r="30474" spans="1:6" x14ac:dyDescent="0.25">
      <c r="A30474" s="2" t="str">
        <f t="shared" si="1099"/>
        <v>21340</v>
      </c>
      <c r="B30474" s="2" t="str">
        <f>"79917"</f>
        <v>79917</v>
      </c>
      <c r="C30474" s="1">
        <v>4.2334792820482997E-3</v>
      </c>
      <c r="D30474" s="1">
        <v>4.6610733786123298E-3</v>
      </c>
      <c r="E30474" s="1">
        <v>8.2960013273602099E-5</v>
      </c>
      <c r="F30474" s="1">
        <v>4.1373785404176097E-3</v>
      </c>
    </row>
    <row r="30475" spans="1:6" x14ac:dyDescent="0.25">
      <c r="A30475" s="2" t="str">
        <f t="shared" si="1099"/>
        <v>21340</v>
      </c>
      <c r="B30475" s="2" t="str">
        <f>"79922"</f>
        <v>79922</v>
      </c>
      <c r="C30475" s="1">
        <v>9.2498622669411595E-3</v>
      </c>
      <c r="D30475" s="1">
        <v>1.28512451724597E-2</v>
      </c>
      <c r="E30475" s="1">
        <v>6.6368010618881599E-3</v>
      </c>
      <c r="F30475" s="1">
        <v>9.4480049617531505E-3</v>
      </c>
    </row>
    <row r="30476" spans="1:6" x14ac:dyDescent="0.25">
      <c r="A30476" s="2" t="str">
        <f t="shared" si="1099"/>
        <v>21340</v>
      </c>
      <c r="B30476" s="2" t="str">
        <f>"79915"</f>
        <v>79915</v>
      </c>
      <c r="C30476" s="1">
        <v>4.0209354249427301E-2</v>
      </c>
      <c r="D30476" s="1">
        <v>4.7542948461845702E-2</v>
      </c>
      <c r="E30476" s="1">
        <v>4.9361207897793198E-2</v>
      </c>
      <c r="F30476" s="1">
        <v>4.1063675832127298E-2</v>
      </c>
    </row>
    <row r="30477" spans="1:6" x14ac:dyDescent="0.25">
      <c r="A30477" s="2" t="str">
        <f t="shared" si="1099"/>
        <v>21340</v>
      </c>
      <c r="B30477" s="2" t="str">
        <f>"79838"</f>
        <v>79838</v>
      </c>
      <c r="C30477" s="1">
        <v>1.15985733754748E-5</v>
      </c>
      <c r="D30477" s="1">
        <v>6.6586762551604695E-5</v>
      </c>
      <c r="E30477" s="1">
        <v>0</v>
      </c>
      <c r="F30477" s="1">
        <v>1.5505478602439501E-5</v>
      </c>
    </row>
    <row r="30478" spans="1:6" x14ac:dyDescent="0.25">
      <c r="A30478" s="2" t="str">
        <f t="shared" si="1099"/>
        <v>21340</v>
      </c>
      <c r="B30478" s="2" t="str">
        <f>"79901"</f>
        <v>79901</v>
      </c>
      <c r="C30478" s="1">
        <v>1.54000057992866E-2</v>
      </c>
      <c r="D30478" s="1">
        <v>8.0137168730856301E-2</v>
      </c>
      <c r="E30478" s="1">
        <v>6.6202090592334395E-2</v>
      </c>
      <c r="F30478" s="1">
        <v>2.2007442629729101E-2</v>
      </c>
    </row>
    <row r="30479" spans="1:6" x14ac:dyDescent="0.25">
      <c r="A30479" s="2" t="str">
        <f t="shared" si="1099"/>
        <v>21340</v>
      </c>
      <c r="B30479" s="2" t="str">
        <f>"79948"</f>
        <v>79948</v>
      </c>
      <c r="C30479" s="1">
        <v>6.0602545886855898E-4</v>
      </c>
      <c r="D30479" s="1">
        <v>4.9940071913703496E-4</v>
      </c>
      <c r="E30479" s="1">
        <v>8.2960013273602099E-5</v>
      </c>
      <c r="F30479" s="1">
        <v>5.8145544759148203E-4</v>
      </c>
    </row>
    <row r="30480" spans="1:6" x14ac:dyDescent="0.25">
      <c r="A30480" s="2" t="str">
        <f t="shared" si="1099"/>
        <v>21340</v>
      </c>
      <c r="B30480" s="2" t="str">
        <f>"79936"</f>
        <v>79936</v>
      </c>
      <c r="C30480" s="1">
        <v>0.11023284136051199</v>
      </c>
      <c r="D30480" s="1">
        <v>0.10996803835397501</v>
      </c>
      <c r="E30480" s="1">
        <v>9.5155135224821594E-2</v>
      </c>
      <c r="F30480" s="1">
        <v>0.109742609055199</v>
      </c>
    </row>
    <row r="30481" spans="1:6" x14ac:dyDescent="0.25">
      <c r="A30481" s="2" t="str">
        <f t="shared" si="1099"/>
        <v>21340</v>
      </c>
      <c r="B30481" s="2" t="str">
        <f>"79938"</f>
        <v>79938</v>
      </c>
      <c r="C30481" s="1">
        <v>8.5533679357438996E-2</v>
      </c>
      <c r="D30481" s="1">
        <v>3.6456252497003502E-2</v>
      </c>
      <c r="E30481" s="1">
        <v>4.1231126596980201E-2</v>
      </c>
      <c r="F30481" s="1">
        <v>8.0344221624974094E-2</v>
      </c>
    </row>
    <row r="30482" spans="1:6" x14ac:dyDescent="0.25">
      <c r="A30482" s="2" t="str">
        <f t="shared" si="1099"/>
        <v>21340</v>
      </c>
      <c r="B30482" s="2" t="str">
        <f>"79907"</f>
        <v>79907</v>
      </c>
      <c r="C30482" s="1">
        <v>5.4588685591672202E-2</v>
      </c>
      <c r="D30482" s="1">
        <v>4.15834332134771E-2</v>
      </c>
      <c r="E30482" s="1">
        <v>4.2392566782810601E-2</v>
      </c>
      <c r="F30482" s="1">
        <v>5.3199297084970003E-2</v>
      </c>
    </row>
    <row r="30483" spans="1:6" x14ac:dyDescent="0.25">
      <c r="A30483" s="2" t="str">
        <f t="shared" si="1099"/>
        <v>21340</v>
      </c>
      <c r="B30483" s="2" t="str">
        <f>"79853"</f>
        <v>79853</v>
      </c>
      <c r="C30483" s="1">
        <v>1.0902658972946301E-3</v>
      </c>
      <c r="D30483" s="1">
        <v>6.6586762551604695E-5</v>
      </c>
      <c r="E30483" s="1">
        <v>0</v>
      </c>
      <c r="F30483" s="1">
        <v>9.7684515195368992E-4</v>
      </c>
    </row>
    <row r="30484" spans="1:6" x14ac:dyDescent="0.25">
      <c r="A30484" s="2" t="str">
        <f t="shared" ref="A30484:A30515" si="1100">"22660"</f>
        <v>22660</v>
      </c>
      <c r="B30484" s="2" t="str">
        <f>"80532"</f>
        <v>80532</v>
      </c>
      <c r="C30484" s="1">
        <v>0</v>
      </c>
      <c r="D30484" s="1">
        <v>0</v>
      </c>
      <c r="E30484" s="1">
        <v>1.21995852141027E-4</v>
      </c>
      <c r="F30484" s="1">
        <v>5.0824112992168E-6</v>
      </c>
    </row>
    <row r="30485" spans="1:6" x14ac:dyDescent="0.25">
      <c r="A30485" s="2" t="str">
        <f t="shared" si="1100"/>
        <v>22660</v>
      </c>
      <c r="B30485" s="2" t="str">
        <f>"80511"</f>
        <v>80511</v>
      </c>
      <c r="C30485" s="1">
        <v>0</v>
      </c>
      <c r="D30485" s="1">
        <v>6.5590974681883706E-5</v>
      </c>
      <c r="E30485" s="1">
        <v>0</v>
      </c>
      <c r="F30485" s="1">
        <v>5.0824112992168E-6</v>
      </c>
    </row>
    <row r="30486" spans="1:6" x14ac:dyDescent="0.25">
      <c r="A30486" s="2" t="str">
        <f t="shared" si="1100"/>
        <v>22660</v>
      </c>
      <c r="B30486" s="2" t="str">
        <f>"80510"</f>
        <v>80510</v>
      </c>
      <c r="C30486" s="1">
        <v>9.8087863646329702E-5</v>
      </c>
      <c r="D30486" s="1">
        <v>0</v>
      </c>
      <c r="E30486" s="1">
        <v>1.21995852141027E-4</v>
      </c>
      <c r="F30486" s="1">
        <v>9.1483403385902404E-5</v>
      </c>
    </row>
    <row r="30487" spans="1:6" x14ac:dyDescent="0.25">
      <c r="A30487" s="2" t="str">
        <f t="shared" si="1100"/>
        <v>22660</v>
      </c>
      <c r="B30487" s="2" t="str">
        <f>"80504"</f>
        <v>80504</v>
      </c>
      <c r="C30487" s="1">
        <v>5.4236818722088202E-4</v>
      </c>
      <c r="D30487" s="1">
        <v>0</v>
      </c>
      <c r="E30487" s="1">
        <v>0</v>
      </c>
      <c r="F30487" s="1">
        <v>4.7774666212637898E-4</v>
      </c>
    </row>
    <row r="30488" spans="1:6" x14ac:dyDescent="0.25">
      <c r="A30488" s="2" t="str">
        <f t="shared" si="1100"/>
        <v>22660</v>
      </c>
      <c r="B30488" s="2" t="str">
        <f>"80524"</f>
        <v>80524</v>
      </c>
      <c r="C30488" s="1">
        <v>9.8445595854922199E-2</v>
      </c>
      <c r="D30488" s="1">
        <v>0.19008264462809901</v>
      </c>
      <c r="E30488" s="1">
        <v>0.18250579480297599</v>
      </c>
      <c r="F30488" s="1">
        <v>0.109048216835995</v>
      </c>
    </row>
    <row r="30489" spans="1:6" x14ac:dyDescent="0.25">
      <c r="A30489" s="2" t="str">
        <f t="shared" si="1100"/>
        <v>22660</v>
      </c>
      <c r="B30489" s="2" t="str">
        <f>"80541"</f>
        <v>80541</v>
      </c>
      <c r="C30489" s="1">
        <v>0</v>
      </c>
      <c r="D30489" s="1">
        <v>6.5590974681883706E-5</v>
      </c>
      <c r="E30489" s="1">
        <v>0</v>
      </c>
      <c r="F30489" s="1">
        <v>5.0824112992168E-6</v>
      </c>
    </row>
    <row r="30490" spans="1:6" x14ac:dyDescent="0.25">
      <c r="A30490" s="2" t="str">
        <f t="shared" si="1100"/>
        <v>22660</v>
      </c>
      <c r="B30490" s="2" t="str">
        <f>"80540"</f>
        <v>80540</v>
      </c>
      <c r="C30490" s="1">
        <v>4.3677948694277402E-3</v>
      </c>
      <c r="D30490" s="1">
        <v>5.9031877213695295E-4</v>
      </c>
      <c r="E30490" s="1">
        <v>0</v>
      </c>
      <c r="F30490" s="1">
        <v>3.8931270552000599E-3</v>
      </c>
    </row>
    <row r="30491" spans="1:6" x14ac:dyDescent="0.25">
      <c r="A30491" s="2" t="str">
        <f t="shared" si="1100"/>
        <v>22660</v>
      </c>
      <c r="B30491" s="2" t="str">
        <f>"80538"</f>
        <v>80538</v>
      </c>
      <c r="C30491" s="1">
        <v>0.12521781275603799</v>
      </c>
      <c r="D30491" s="1">
        <v>0.114259477895841</v>
      </c>
      <c r="E30491" s="1">
        <v>9.5766743930706305E-2</v>
      </c>
      <c r="F30491" s="1">
        <v>0.12314174336872299</v>
      </c>
    </row>
    <row r="30492" spans="1:6" x14ac:dyDescent="0.25">
      <c r="A30492" s="2" t="str">
        <f t="shared" si="1100"/>
        <v>22660</v>
      </c>
      <c r="B30492" s="2" t="str">
        <f>"80550"</f>
        <v>80550</v>
      </c>
      <c r="C30492" s="1">
        <v>1.3138003854275999E-2</v>
      </c>
      <c r="D30492" s="1">
        <v>5.3128689492325798E-3</v>
      </c>
      <c r="E30492" s="1">
        <v>8.1737220934488194E-3</v>
      </c>
      <c r="F30492" s="1">
        <v>1.23248474006007E-2</v>
      </c>
    </row>
    <row r="30493" spans="1:6" x14ac:dyDescent="0.25">
      <c r="A30493" s="2" t="str">
        <f t="shared" si="1100"/>
        <v>22660</v>
      </c>
      <c r="B30493" s="2" t="str">
        <f>"80547"</f>
        <v>80547</v>
      </c>
      <c r="C30493" s="1">
        <v>1.4159271611064299E-2</v>
      </c>
      <c r="D30493" s="1">
        <v>1.11504656959202E-2</v>
      </c>
      <c r="E30493" s="1">
        <v>9.7596681712821696E-4</v>
      </c>
      <c r="F30493" s="1">
        <v>1.33769065395386E-2</v>
      </c>
    </row>
    <row r="30494" spans="1:6" x14ac:dyDescent="0.25">
      <c r="A30494" s="2" t="str">
        <f t="shared" si="1100"/>
        <v>22660</v>
      </c>
      <c r="B30494" s="2" t="str">
        <f>"80539"</f>
        <v>80539</v>
      </c>
      <c r="C30494" s="1">
        <v>1.0304995557196699E-2</v>
      </c>
      <c r="D30494" s="1">
        <v>2.03332021513839E-2</v>
      </c>
      <c r="E30494" s="1">
        <v>2.43991704282054E-4</v>
      </c>
      <c r="F30494" s="1">
        <v>1.06628989057568E-2</v>
      </c>
    </row>
    <row r="30495" spans="1:6" x14ac:dyDescent="0.25">
      <c r="A30495" s="2" t="str">
        <f t="shared" si="1100"/>
        <v>22660</v>
      </c>
      <c r="B30495" s="2" t="str">
        <f>"80537"</f>
        <v>80537</v>
      </c>
      <c r="C30495" s="1">
        <v>0.116014863196279</v>
      </c>
      <c r="D30495" s="1">
        <v>0.15709038436311101</v>
      </c>
      <c r="E30495" s="1">
        <v>0.10528242039770599</v>
      </c>
      <c r="F30495" s="1">
        <v>0.1187505400062</v>
      </c>
    </row>
    <row r="30496" spans="1:6" x14ac:dyDescent="0.25">
      <c r="A30496" s="2" t="str">
        <f t="shared" si="1100"/>
        <v>22660</v>
      </c>
      <c r="B30496" s="2" t="str">
        <f>"80534"</f>
        <v>80534</v>
      </c>
      <c r="C30496" s="1">
        <v>8.6375018752091505E-3</v>
      </c>
      <c r="D30496" s="1">
        <v>8.0676898858717001E-3</v>
      </c>
      <c r="E30496" s="1">
        <v>2.8059045992436201E-3</v>
      </c>
      <c r="F30496" s="1">
        <v>8.3504017646131995E-3</v>
      </c>
    </row>
    <row r="30497" spans="1:6" x14ac:dyDescent="0.25">
      <c r="A30497" s="2" t="str">
        <f t="shared" si="1100"/>
        <v>22660</v>
      </c>
      <c r="B30497" s="2" t="str">
        <f>"80522"</f>
        <v>80522</v>
      </c>
      <c r="C30497" s="1">
        <v>7.1142550515249699E-3</v>
      </c>
      <c r="D30497" s="1">
        <v>4.4208316935589603E-2</v>
      </c>
      <c r="E30497" s="1">
        <v>0</v>
      </c>
      <c r="F30497" s="1">
        <v>9.6921583476064308E-3</v>
      </c>
    </row>
    <row r="30498" spans="1:6" x14ac:dyDescent="0.25">
      <c r="A30498" s="2" t="str">
        <f t="shared" si="1100"/>
        <v>22660</v>
      </c>
      <c r="B30498" s="2" t="str">
        <f>"80515"</f>
        <v>80515</v>
      </c>
      <c r="C30498" s="1">
        <v>1.41938908570571E-3</v>
      </c>
      <c r="D30498" s="1">
        <v>2.6236389872753499E-4</v>
      </c>
      <c r="E30498" s="1">
        <v>4.0258631206538898E-3</v>
      </c>
      <c r="F30498" s="1">
        <v>1.43832239767835E-3</v>
      </c>
    </row>
    <row r="30499" spans="1:6" x14ac:dyDescent="0.25">
      <c r="A30499" s="2" t="str">
        <f t="shared" si="1100"/>
        <v>22660</v>
      </c>
      <c r="B30499" s="2" t="str">
        <f>"80545"</f>
        <v>80545</v>
      </c>
      <c r="C30499" s="1">
        <v>3.5369329656000001E-3</v>
      </c>
      <c r="D30499" s="1">
        <v>1.7709563164108599E-3</v>
      </c>
      <c r="E30499" s="1">
        <v>4.8798340856410799E-4</v>
      </c>
      <c r="F30499" s="1">
        <v>3.2730728766956099E-3</v>
      </c>
    </row>
    <row r="30500" spans="1:6" x14ac:dyDescent="0.25">
      <c r="A30500" s="2" t="str">
        <f t="shared" si="1100"/>
        <v>22660</v>
      </c>
      <c r="B30500" s="2" t="str">
        <f>"80430"</f>
        <v>80430</v>
      </c>
      <c r="C30500" s="1">
        <v>5.7698743321370398E-6</v>
      </c>
      <c r="D30500" s="1">
        <v>0</v>
      </c>
      <c r="E30500" s="1">
        <v>0</v>
      </c>
      <c r="F30500" s="1">
        <v>5.0824112992168E-6</v>
      </c>
    </row>
    <row r="30501" spans="1:6" x14ac:dyDescent="0.25">
      <c r="A30501" s="2" t="str">
        <f t="shared" si="1100"/>
        <v>22660</v>
      </c>
      <c r="B30501" s="2" t="str">
        <f>"80527"</f>
        <v>80527</v>
      </c>
      <c r="C30501" s="1">
        <v>1.15628281616026E-2</v>
      </c>
      <c r="D30501" s="1">
        <v>4.3093270365997603E-2</v>
      </c>
      <c r="E30501" s="1">
        <v>2.43991704282054E-4</v>
      </c>
      <c r="F30501" s="1">
        <v>1.35344612898143E-2</v>
      </c>
    </row>
    <row r="30502" spans="1:6" x14ac:dyDescent="0.25">
      <c r="A30502" s="2" t="str">
        <f t="shared" si="1100"/>
        <v>22660</v>
      </c>
      <c r="B30502" s="2" t="str">
        <f>"80513"</f>
        <v>80513</v>
      </c>
      <c r="C30502" s="1">
        <v>3.6177112062499198E-2</v>
      </c>
      <c r="D30502" s="1">
        <v>1.1544011544011501E-2</v>
      </c>
      <c r="E30502" s="1">
        <v>1.21995852141027E-2</v>
      </c>
      <c r="F30502" s="1">
        <v>3.3269464364673103E-2</v>
      </c>
    </row>
    <row r="30503" spans="1:6" x14ac:dyDescent="0.25">
      <c r="A30503" s="2" t="str">
        <f t="shared" si="1100"/>
        <v>22660</v>
      </c>
      <c r="B30503" s="2" t="str">
        <f>"80535"</f>
        <v>80535</v>
      </c>
      <c r="C30503" s="1">
        <v>1.18570917525416E-2</v>
      </c>
      <c r="D30503" s="1">
        <v>1.29214220123311E-2</v>
      </c>
      <c r="E30503" s="1">
        <v>3.41588385994876E-3</v>
      </c>
      <c r="F30503" s="1">
        <v>1.15878977622143E-2</v>
      </c>
    </row>
    <row r="30504" spans="1:6" x14ac:dyDescent="0.25">
      <c r="A30504" s="2" t="str">
        <f t="shared" si="1100"/>
        <v>22660</v>
      </c>
      <c r="B30504" s="2" t="str">
        <f>"80525"</f>
        <v>80525</v>
      </c>
      <c r="C30504" s="1">
        <v>0.153732531705459</v>
      </c>
      <c r="D30504" s="1">
        <v>0.19001705365341701</v>
      </c>
      <c r="E30504" s="1">
        <v>0.198853238989874</v>
      </c>
      <c r="F30504" s="1">
        <v>0.158423842607886</v>
      </c>
    </row>
    <row r="30505" spans="1:6" x14ac:dyDescent="0.25">
      <c r="A30505" s="2" t="str">
        <f t="shared" si="1100"/>
        <v>22660</v>
      </c>
      <c r="B30505" s="2" t="str">
        <f>"80512"</f>
        <v>80512</v>
      </c>
      <c r="C30505" s="1">
        <v>1.01434390758969E-2</v>
      </c>
      <c r="D30505" s="1">
        <v>6.0343696707333E-3</v>
      </c>
      <c r="E30505" s="1">
        <v>4.8798340856410799E-4</v>
      </c>
      <c r="F30505" s="1">
        <v>9.4227905487479398E-3</v>
      </c>
    </row>
    <row r="30506" spans="1:6" x14ac:dyDescent="0.25">
      <c r="A30506" s="2" t="str">
        <f t="shared" si="1100"/>
        <v>22660</v>
      </c>
      <c r="B30506" s="2" t="str">
        <f>"80503"</f>
        <v>80503</v>
      </c>
      <c r="C30506" s="1">
        <v>1.09627612310603E-4</v>
      </c>
      <c r="D30506" s="1">
        <v>0</v>
      </c>
      <c r="E30506" s="1">
        <v>0</v>
      </c>
      <c r="F30506" s="1">
        <v>9.6565814685119206E-5</v>
      </c>
    </row>
    <row r="30507" spans="1:6" x14ac:dyDescent="0.25">
      <c r="A30507" s="2" t="str">
        <f t="shared" si="1100"/>
        <v>22660</v>
      </c>
      <c r="B30507" s="2" t="str">
        <f>"80523"</f>
        <v>80523</v>
      </c>
      <c r="C30507" s="1">
        <v>0</v>
      </c>
      <c r="D30507" s="1">
        <v>6.5590974681883706E-5</v>
      </c>
      <c r="E30507" s="1">
        <v>2.1471269976820698E-2</v>
      </c>
      <c r="F30507" s="1">
        <v>8.9958679996137304E-4</v>
      </c>
    </row>
    <row r="30508" spans="1:6" x14ac:dyDescent="0.25">
      <c r="A30508" s="2" t="str">
        <f t="shared" si="1100"/>
        <v>22660</v>
      </c>
      <c r="B30508" s="2" t="str">
        <f>"80517"</f>
        <v>80517</v>
      </c>
      <c r="C30508" s="1">
        <v>5.4398375203388E-2</v>
      </c>
      <c r="D30508" s="1">
        <v>5.8835104289649699E-2</v>
      </c>
      <c r="E30508" s="1">
        <v>5.14822496035134E-2</v>
      </c>
      <c r="F30508" s="1">
        <v>5.4620674232682902E-2</v>
      </c>
    </row>
    <row r="30509" spans="1:6" x14ac:dyDescent="0.25">
      <c r="A30509" s="2" t="str">
        <f t="shared" si="1100"/>
        <v>22660</v>
      </c>
      <c r="B30509" s="2" t="str">
        <f>"80549"</f>
        <v>80549</v>
      </c>
      <c r="C30509" s="1">
        <v>2.3835350866058098E-2</v>
      </c>
      <c r="D30509" s="1">
        <v>2.8860028860028799E-3</v>
      </c>
      <c r="E30509" s="1">
        <v>1.34195437355129E-2</v>
      </c>
      <c r="F30509" s="1">
        <v>2.1778132417143901E-2</v>
      </c>
    </row>
    <row r="30510" spans="1:6" x14ac:dyDescent="0.25">
      <c r="A30510" s="2" t="str">
        <f t="shared" si="1100"/>
        <v>22660</v>
      </c>
      <c r="B30510" s="2" t="str">
        <f>"80526"</f>
        <v>80526</v>
      </c>
      <c r="C30510" s="1">
        <v>0.125615934084955</v>
      </c>
      <c r="D30510" s="1">
        <v>4.92588219860947E-2</v>
      </c>
      <c r="E30510" s="1">
        <v>0.12455776503598801</v>
      </c>
      <c r="F30510" s="1">
        <v>0.11965520921746101</v>
      </c>
    </row>
    <row r="30511" spans="1:6" x14ac:dyDescent="0.25">
      <c r="A30511" s="2" t="str">
        <f t="shared" si="1100"/>
        <v>22660</v>
      </c>
      <c r="B30511" s="2" t="str">
        <f>"80612"</f>
        <v>80612</v>
      </c>
      <c r="C30511" s="1">
        <v>4.6158994657096298E-4</v>
      </c>
      <c r="D30511" s="1">
        <v>6.5590974681883706E-5</v>
      </c>
      <c r="E30511" s="1">
        <v>0</v>
      </c>
      <c r="F30511" s="1">
        <v>4.1167531523656002E-4</v>
      </c>
    </row>
    <row r="30512" spans="1:6" x14ac:dyDescent="0.25">
      <c r="A30512" s="2" t="str">
        <f t="shared" si="1100"/>
        <v>22660</v>
      </c>
      <c r="B30512" s="2" t="str">
        <f>"80528"</f>
        <v>80528</v>
      </c>
      <c r="C30512" s="1">
        <v>5.24423878047936E-2</v>
      </c>
      <c r="D30512" s="1">
        <v>2.8663255935983199E-2</v>
      </c>
      <c r="E30512" s="1">
        <v>5.5386116872026298E-2</v>
      </c>
      <c r="F30512" s="1">
        <v>5.0722464766183598E-2</v>
      </c>
    </row>
    <row r="30513" spans="1:6" x14ac:dyDescent="0.25">
      <c r="A30513" s="2" t="str">
        <f t="shared" si="1100"/>
        <v>22660</v>
      </c>
      <c r="B30513" s="2" t="str">
        <f>"80521"</f>
        <v>80521</v>
      </c>
      <c r="C30513" s="1">
        <v>0.108369779706197</v>
      </c>
      <c r="D30513" s="1">
        <v>4.2043814771087401E-2</v>
      </c>
      <c r="E30513" s="1">
        <v>0.117725997316091</v>
      </c>
      <c r="F30513" s="1">
        <v>0.103620201568432</v>
      </c>
    </row>
    <row r="30514" spans="1:6" x14ac:dyDescent="0.25">
      <c r="A30514" s="2" t="str">
        <f t="shared" si="1100"/>
        <v>22660</v>
      </c>
      <c r="B30514" s="2" t="str">
        <f>"80553"</f>
        <v>80553</v>
      </c>
      <c r="C30514" s="1">
        <v>0</v>
      </c>
      <c r="D30514" s="1">
        <v>6.5590974681883706E-5</v>
      </c>
      <c r="E30514" s="1">
        <v>0</v>
      </c>
      <c r="F30514" s="1">
        <v>5.0824112992168E-6</v>
      </c>
    </row>
    <row r="30515" spans="1:6" x14ac:dyDescent="0.25">
      <c r="A30515" s="2" t="str">
        <f t="shared" si="1100"/>
        <v>22660</v>
      </c>
      <c r="B30515" s="2" t="str">
        <f>"80536"</f>
        <v>80536</v>
      </c>
      <c r="C30515" s="1">
        <v>8.2913094152809296E-3</v>
      </c>
      <c r="D30515" s="1">
        <v>1.2462285189557901E-3</v>
      </c>
      <c r="E30515" s="1">
        <v>2.43991704282054E-4</v>
      </c>
      <c r="F30515" s="1">
        <v>7.4101556742580902E-3</v>
      </c>
    </row>
    <row r="30516" spans="1:6" x14ac:dyDescent="0.25">
      <c r="A30516" s="2" t="str">
        <f t="shared" ref="A30516:A30530" si="1101">"15860"</f>
        <v>15860</v>
      </c>
      <c r="B30516" s="2" t="str">
        <f>"81290"</f>
        <v>81290</v>
      </c>
      <c r="C30516" s="1">
        <v>0</v>
      </c>
      <c r="D30516" s="1">
        <v>5.3676865271068104E-4</v>
      </c>
      <c r="E30516" s="1">
        <v>0</v>
      </c>
      <c r="F30516" s="1">
        <v>4.1259231753104703E-5</v>
      </c>
    </row>
    <row r="30517" spans="1:6" x14ac:dyDescent="0.25">
      <c r="A30517" s="2" t="str">
        <f t="shared" si="1101"/>
        <v>15860</v>
      </c>
      <c r="B30517" s="2" t="str">
        <f>"81240"</f>
        <v>81240</v>
      </c>
      <c r="C30517" s="1">
        <v>9.7780471882868605E-2</v>
      </c>
      <c r="D30517" s="1">
        <v>7.2463768115942004E-2</v>
      </c>
      <c r="E30517" s="1">
        <v>4.6336206896551699E-2</v>
      </c>
      <c r="F30517" s="1">
        <v>9.3864752238313295E-2</v>
      </c>
    </row>
    <row r="30518" spans="1:6" x14ac:dyDescent="0.25">
      <c r="A30518" s="2" t="str">
        <f t="shared" si="1101"/>
        <v>15860</v>
      </c>
      <c r="B30518" s="2" t="str">
        <f>"81253"</f>
        <v>81253</v>
      </c>
      <c r="C30518" s="1">
        <v>1.4454910006528E-3</v>
      </c>
      <c r="D30518" s="1">
        <v>0</v>
      </c>
      <c r="E30518" s="1">
        <v>0</v>
      </c>
      <c r="F30518" s="1">
        <v>1.27903618434624E-3</v>
      </c>
    </row>
    <row r="30519" spans="1:6" x14ac:dyDescent="0.25">
      <c r="A30519" s="2" t="str">
        <f t="shared" si="1101"/>
        <v>15860</v>
      </c>
      <c r="B30519" s="2" t="str">
        <f>"81232"</f>
        <v>81232</v>
      </c>
      <c r="C30519" s="1">
        <v>0</v>
      </c>
      <c r="D30519" s="1">
        <v>0</v>
      </c>
      <c r="E30519" s="1">
        <v>1.07758620689655E-3</v>
      </c>
      <c r="F30519" s="1">
        <v>4.1259231753104703E-5</v>
      </c>
    </row>
    <row r="30520" spans="1:6" x14ac:dyDescent="0.25">
      <c r="A30520" s="2" t="str">
        <f t="shared" si="1101"/>
        <v>15860</v>
      </c>
      <c r="B30520" s="2" t="str">
        <f>"81233"</f>
        <v>81233</v>
      </c>
      <c r="C30520" s="1">
        <v>2.3454257204140599E-2</v>
      </c>
      <c r="D30520" s="1">
        <v>7.5147611379495398E-3</v>
      </c>
      <c r="E30520" s="1">
        <v>1.1853448275862001E-2</v>
      </c>
      <c r="F30520" s="1">
        <v>2.1784874365639299E-2</v>
      </c>
    </row>
    <row r="30521" spans="1:6" x14ac:dyDescent="0.25">
      <c r="A30521" s="2" t="str">
        <f t="shared" si="1101"/>
        <v>15860</v>
      </c>
      <c r="B30521" s="2" t="str">
        <f>"81244"</f>
        <v>81244</v>
      </c>
      <c r="C30521" s="1">
        <v>0</v>
      </c>
      <c r="D30521" s="1">
        <v>0</v>
      </c>
      <c r="E30521" s="1">
        <v>1.07758620689655E-3</v>
      </c>
      <c r="F30521" s="1">
        <v>4.1259231753104703E-5</v>
      </c>
    </row>
    <row r="30522" spans="1:6" x14ac:dyDescent="0.25">
      <c r="A30522" s="2" t="str">
        <f t="shared" si="1101"/>
        <v>15860</v>
      </c>
      <c r="B30522" s="2" t="str">
        <f>"81215"</f>
        <v>81215</v>
      </c>
      <c r="C30522" s="1">
        <v>5.3902825701762497E-2</v>
      </c>
      <c r="D30522" s="1">
        <v>0.188405797101449</v>
      </c>
      <c r="E30522" s="1">
        <v>2.1551724137930999E-3</v>
      </c>
      <c r="F30522" s="1">
        <v>6.2260180715435001E-2</v>
      </c>
    </row>
    <row r="30523" spans="1:6" x14ac:dyDescent="0.25">
      <c r="A30523" s="2" t="str">
        <f t="shared" si="1101"/>
        <v>15860</v>
      </c>
      <c r="B30523" s="2" t="str">
        <f>"81223"</f>
        <v>81223</v>
      </c>
      <c r="C30523" s="1">
        <v>7.4093070968945199E-2</v>
      </c>
      <c r="D30523" s="1">
        <v>1.6639828234031099E-2</v>
      </c>
      <c r="E30523" s="1">
        <v>2.3706896551724099E-2</v>
      </c>
      <c r="F30523" s="1">
        <v>6.7747658538598002E-2</v>
      </c>
    </row>
    <row r="30524" spans="1:6" x14ac:dyDescent="0.25">
      <c r="A30524" s="2" t="str">
        <f t="shared" si="1101"/>
        <v>15860</v>
      </c>
      <c r="B30524" s="2" t="str">
        <f>"81201"</f>
        <v>81201</v>
      </c>
      <c r="C30524" s="1">
        <v>1.7718921943485899E-3</v>
      </c>
      <c r="D30524" s="1">
        <v>0</v>
      </c>
      <c r="E30524" s="1">
        <v>0</v>
      </c>
      <c r="F30524" s="1">
        <v>1.5678508066179801E-3</v>
      </c>
    </row>
    <row r="30525" spans="1:6" x14ac:dyDescent="0.25">
      <c r="A30525" s="2" t="str">
        <f t="shared" si="1101"/>
        <v>15860</v>
      </c>
      <c r="B30525" s="2" t="str">
        <f>"81252"</f>
        <v>81252</v>
      </c>
      <c r="C30525" s="1">
        <v>2.3314370978271001E-4</v>
      </c>
      <c r="D30525" s="1">
        <v>0</v>
      </c>
      <c r="E30525" s="1">
        <v>0</v>
      </c>
      <c r="F30525" s="1">
        <v>2.0629615876552299E-4</v>
      </c>
    </row>
    <row r="30526" spans="1:6" x14ac:dyDescent="0.25">
      <c r="A30526" s="2" t="str">
        <f t="shared" si="1101"/>
        <v>15860</v>
      </c>
      <c r="B30526" s="2" t="str">
        <f>"81222"</f>
        <v>81222</v>
      </c>
      <c r="C30526" s="1">
        <v>4.6628741956541997E-5</v>
      </c>
      <c r="D30526" s="1">
        <v>0</v>
      </c>
      <c r="E30526" s="1">
        <v>1.07758620689655E-3</v>
      </c>
      <c r="F30526" s="1">
        <v>8.25184635062095E-5</v>
      </c>
    </row>
    <row r="30527" spans="1:6" x14ac:dyDescent="0.25">
      <c r="A30527" s="2" t="str">
        <f t="shared" si="1101"/>
        <v>15860</v>
      </c>
      <c r="B30527" s="2" t="str">
        <f>"81212"</f>
        <v>81212</v>
      </c>
      <c r="C30527" s="1">
        <v>0.61316795672852697</v>
      </c>
      <c r="D30527" s="1">
        <v>0.60064412238325204</v>
      </c>
      <c r="E30527" s="1">
        <v>0.787715517241379</v>
      </c>
      <c r="F30527" s="1">
        <v>0.61888847629657096</v>
      </c>
    </row>
    <row r="30528" spans="1:6" x14ac:dyDescent="0.25">
      <c r="A30528" s="2" t="str">
        <f t="shared" si="1101"/>
        <v>15860</v>
      </c>
      <c r="B30528" s="2" t="str">
        <f>"80926"</f>
        <v>80926</v>
      </c>
      <c r="C30528" s="1">
        <v>1.39886225869626E-3</v>
      </c>
      <c r="D30528" s="1">
        <v>0</v>
      </c>
      <c r="E30528" s="1">
        <v>0</v>
      </c>
      <c r="F30528" s="1">
        <v>1.2377769525931399E-3</v>
      </c>
    </row>
    <row r="30529" spans="1:6" x14ac:dyDescent="0.25">
      <c r="A30529" s="2" t="str">
        <f t="shared" si="1101"/>
        <v>15860</v>
      </c>
      <c r="B30529" s="2" t="str">
        <f>"81221"</f>
        <v>81221</v>
      </c>
      <c r="C30529" s="1">
        <v>0</v>
      </c>
      <c r="D30529" s="1">
        <v>0</v>
      </c>
      <c r="E30529" s="1">
        <v>1.07758620689655E-3</v>
      </c>
      <c r="F30529" s="1">
        <v>4.1259231753104703E-5</v>
      </c>
    </row>
    <row r="30530" spans="1:6" x14ac:dyDescent="0.25">
      <c r="A30530" s="2" t="str">
        <f t="shared" si="1101"/>
        <v>15860</v>
      </c>
      <c r="B30530" s="2" t="str">
        <f>"81226"</f>
        <v>81226</v>
      </c>
      <c r="C30530" s="1">
        <v>0.13270539960831801</v>
      </c>
      <c r="D30530" s="1">
        <v>0.113794954374664</v>
      </c>
      <c r="E30530" s="1">
        <v>0.123922413793103</v>
      </c>
      <c r="F30530" s="1">
        <v>0.130915542352601</v>
      </c>
    </row>
    <row r="30531" spans="1:6" x14ac:dyDescent="0.25">
      <c r="A30531" s="2" t="str">
        <f t="shared" ref="A30531:A30544" si="1102">"27220"</f>
        <v>27220</v>
      </c>
      <c r="B30531" s="2" t="str">
        <f>"83012"</f>
        <v>83012</v>
      </c>
      <c r="C30531" s="1">
        <v>1.7047391749062301E-4</v>
      </c>
      <c r="D30531" s="1">
        <v>2.6678523788350298E-3</v>
      </c>
      <c r="E30531" s="1">
        <v>1.3717421124828501E-3</v>
      </c>
      <c r="F30531" s="1">
        <v>4.1600484078360098E-4</v>
      </c>
    </row>
    <row r="30532" spans="1:6" x14ac:dyDescent="0.25">
      <c r="A30532" s="2" t="str">
        <f t="shared" si="1102"/>
        <v>27220</v>
      </c>
      <c r="B30532" s="2" t="str">
        <f>"83025"</f>
        <v>83025</v>
      </c>
      <c r="C30532" s="1">
        <v>0</v>
      </c>
      <c r="D30532" s="1">
        <v>0</v>
      </c>
      <c r="E30532" s="1">
        <v>2.7434842249657002E-3</v>
      </c>
      <c r="F30532" s="1">
        <v>7.5637243778836603E-5</v>
      </c>
    </row>
    <row r="30533" spans="1:6" x14ac:dyDescent="0.25">
      <c r="A30533" s="2" t="str">
        <f t="shared" si="1102"/>
        <v>27220</v>
      </c>
      <c r="B30533" s="2" t="str">
        <f>"83013"</f>
        <v>83013</v>
      </c>
      <c r="C30533" s="1">
        <v>0</v>
      </c>
      <c r="D30533" s="1">
        <v>0</v>
      </c>
      <c r="E30533" s="1">
        <v>1.3717421124828501E-3</v>
      </c>
      <c r="F30533" s="1">
        <v>3.7818621889418301E-5</v>
      </c>
    </row>
    <row r="30534" spans="1:6" x14ac:dyDescent="0.25">
      <c r="A30534" s="2" t="str">
        <f t="shared" si="1102"/>
        <v>27220</v>
      </c>
      <c r="B30534" s="2" t="str">
        <f>"83424"</f>
        <v>83424</v>
      </c>
      <c r="C30534" s="1">
        <v>3.6225707466757502E-3</v>
      </c>
      <c r="D30534" s="1">
        <v>0</v>
      </c>
      <c r="E30534" s="1">
        <v>1.3717421124828501E-3</v>
      </c>
      <c r="F30534" s="1">
        <v>3.2524014824899701E-3</v>
      </c>
    </row>
    <row r="30535" spans="1:6" x14ac:dyDescent="0.25">
      <c r="A30535" s="2" t="str">
        <f t="shared" si="1102"/>
        <v>27220</v>
      </c>
      <c r="B30535" s="2" t="str">
        <f>"82190"</f>
        <v>82190</v>
      </c>
      <c r="C30535" s="1">
        <v>4.26184793726559E-4</v>
      </c>
      <c r="D30535" s="1">
        <v>0</v>
      </c>
      <c r="E30535" s="1">
        <v>0</v>
      </c>
      <c r="F30535" s="1">
        <v>3.7818621889418303E-4</v>
      </c>
    </row>
    <row r="30536" spans="1:6" x14ac:dyDescent="0.25">
      <c r="A30536" s="2" t="str">
        <f t="shared" si="1102"/>
        <v>27220</v>
      </c>
      <c r="B30536" s="2" t="str">
        <f>"83014"</f>
        <v>83014</v>
      </c>
      <c r="C30536" s="1">
        <v>9.1374019774974405E-2</v>
      </c>
      <c r="D30536" s="1">
        <v>8.7149844375277896E-2</v>
      </c>
      <c r="E30536" s="1">
        <v>0.112482853223593</v>
      </c>
      <c r="F30536" s="1">
        <v>9.1596702216171194E-2</v>
      </c>
    </row>
    <row r="30537" spans="1:6" x14ac:dyDescent="0.25">
      <c r="A30537" s="2" t="str">
        <f t="shared" si="1102"/>
        <v>27220</v>
      </c>
      <c r="B30537" s="2" t="str">
        <f>"83436"</f>
        <v>83436</v>
      </c>
      <c r="C30537" s="1">
        <v>3.83566314353903E-4</v>
      </c>
      <c r="D30537" s="1">
        <v>0</v>
      </c>
      <c r="E30537" s="1">
        <v>0</v>
      </c>
      <c r="F30537" s="1">
        <v>3.4036759700476502E-4</v>
      </c>
    </row>
    <row r="30538" spans="1:6" x14ac:dyDescent="0.25">
      <c r="A30538" s="2" t="str">
        <f t="shared" si="1102"/>
        <v>27220</v>
      </c>
      <c r="B30538" s="2" t="str">
        <f>"83455"</f>
        <v>83455</v>
      </c>
      <c r="C30538" s="1">
        <v>8.7666212069553301E-2</v>
      </c>
      <c r="D30538" s="1">
        <v>3.2458870609159599E-2</v>
      </c>
      <c r="E30538" s="1">
        <v>8.9163237311385396E-2</v>
      </c>
      <c r="F30538" s="1">
        <v>8.3011875047273198E-2</v>
      </c>
    </row>
    <row r="30539" spans="1:6" x14ac:dyDescent="0.25">
      <c r="A30539" s="2" t="str">
        <f t="shared" si="1102"/>
        <v>27220</v>
      </c>
      <c r="B30539" s="2" t="str">
        <f>"83001"</f>
        <v>83001</v>
      </c>
      <c r="C30539" s="1">
        <v>0.43321684282304801</v>
      </c>
      <c r="D30539" s="1">
        <v>0.42641173855046599</v>
      </c>
      <c r="E30539" s="1">
        <v>0.68861454046639203</v>
      </c>
      <c r="F30539" s="1">
        <v>0.43967929808637701</v>
      </c>
    </row>
    <row r="30540" spans="1:6" x14ac:dyDescent="0.25">
      <c r="A30540" s="2" t="str">
        <f t="shared" si="1102"/>
        <v>27220</v>
      </c>
      <c r="B30540" s="2" t="str">
        <f>"83422"</f>
        <v>83422</v>
      </c>
      <c r="C30540" s="1">
        <v>6.0816570064780001E-2</v>
      </c>
      <c r="D30540" s="1">
        <v>9.8265895953757204E-2</v>
      </c>
      <c r="E30540" s="1">
        <v>9.1906721536351099E-2</v>
      </c>
      <c r="F30540" s="1">
        <v>6.4858936540352394E-2</v>
      </c>
    </row>
    <row r="30541" spans="1:6" x14ac:dyDescent="0.25">
      <c r="A30541" s="2" t="str">
        <f t="shared" si="1102"/>
        <v>27220</v>
      </c>
      <c r="B30541" s="2" t="str">
        <f>"83414"</f>
        <v>83414</v>
      </c>
      <c r="C30541" s="1">
        <v>1.02284350494374E-2</v>
      </c>
      <c r="D30541" s="1">
        <v>3.1124944419742102E-3</v>
      </c>
      <c r="E30541" s="1">
        <v>0</v>
      </c>
      <c r="F30541" s="1">
        <v>9.3411996066863293E-3</v>
      </c>
    </row>
    <row r="30542" spans="1:6" x14ac:dyDescent="0.25">
      <c r="A30542" s="2" t="str">
        <f t="shared" si="1102"/>
        <v>27220</v>
      </c>
      <c r="B30542" s="2" t="str">
        <f>"83002"</f>
        <v>83002</v>
      </c>
      <c r="C30542" s="1">
        <v>0.28797306512103599</v>
      </c>
      <c r="D30542" s="1">
        <v>0.347710093374833</v>
      </c>
      <c r="E30542" s="1">
        <v>4.1152263374485496E-3</v>
      </c>
      <c r="F30542" s="1">
        <v>0.28522804628999299</v>
      </c>
    </row>
    <row r="30543" spans="1:6" x14ac:dyDescent="0.25">
      <c r="A30543" s="2" t="str">
        <f t="shared" si="1102"/>
        <v>27220</v>
      </c>
      <c r="B30543" s="2" t="str">
        <f>"83452"</f>
        <v>83452</v>
      </c>
      <c r="C30543" s="1">
        <v>2.3994203886805301E-2</v>
      </c>
      <c r="D30543" s="1">
        <v>2.2232103156958598E-3</v>
      </c>
      <c r="E30543" s="1">
        <v>5.4869684499314099E-3</v>
      </c>
      <c r="F30543" s="1">
        <v>2.16322517207472E-2</v>
      </c>
    </row>
    <row r="30544" spans="1:6" x14ac:dyDescent="0.25">
      <c r="A30544" s="2" t="str">
        <f t="shared" si="1102"/>
        <v>27220</v>
      </c>
      <c r="B30544" s="2" t="str">
        <f>"83011"</f>
        <v>83011</v>
      </c>
      <c r="C30544" s="1">
        <v>1.27855438117967E-4</v>
      </c>
      <c r="D30544" s="1">
        <v>0</v>
      </c>
      <c r="E30544" s="1">
        <v>1.3717421124828501E-3</v>
      </c>
      <c r="F30544" s="1">
        <v>1.5127448755767299E-4</v>
      </c>
    </row>
    <row r="30545" spans="1:6" x14ac:dyDescent="0.25">
      <c r="A30545" s="2" t="str">
        <f t="shared" ref="A30545:A30556" si="1103">"43260"</f>
        <v>43260</v>
      </c>
      <c r="B30545" s="2" t="str">
        <f>"82837"</f>
        <v>82837</v>
      </c>
      <c r="C30545" s="1">
        <v>2.6712969146520601E-4</v>
      </c>
      <c r="D30545" s="1">
        <v>0</v>
      </c>
      <c r="E30545" s="1">
        <v>1.2771392081736899E-3</v>
      </c>
      <c r="F30545" s="1">
        <v>2.8191249436174999E-4</v>
      </c>
    </row>
    <row r="30546" spans="1:6" x14ac:dyDescent="0.25">
      <c r="A30546" s="2" t="str">
        <f t="shared" si="1103"/>
        <v>43260</v>
      </c>
      <c r="B30546" s="2" t="str">
        <f>"82835"</f>
        <v>82835</v>
      </c>
      <c r="C30546" s="1">
        <v>6.2775477494323396E-3</v>
      </c>
      <c r="D30546" s="1">
        <v>1.0106114199090401E-3</v>
      </c>
      <c r="E30546" s="1">
        <v>1.2771392081736899E-3</v>
      </c>
      <c r="F30546" s="1">
        <v>5.4691023906179503E-3</v>
      </c>
    </row>
    <row r="30547" spans="1:6" x14ac:dyDescent="0.25">
      <c r="A30547" s="2" t="str">
        <f t="shared" si="1103"/>
        <v>43260</v>
      </c>
      <c r="B30547" s="2" t="str">
        <f>"82832"</f>
        <v>82832</v>
      </c>
      <c r="C30547" s="1">
        <v>1.6695605716575301E-2</v>
      </c>
      <c r="D30547" s="1">
        <v>3.53713996968165E-3</v>
      </c>
      <c r="E30547" s="1">
        <v>1.2771392081736899E-3</v>
      </c>
      <c r="F30547" s="1">
        <v>1.4546684709066299E-2</v>
      </c>
    </row>
    <row r="30548" spans="1:6" x14ac:dyDescent="0.25">
      <c r="A30548" s="2" t="str">
        <f t="shared" si="1103"/>
        <v>43260</v>
      </c>
      <c r="B30548" s="2" t="str">
        <f>"82838"</f>
        <v>82838</v>
      </c>
      <c r="C30548" s="1">
        <v>6.6782422866301502E-3</v>
      </c>
      <c r="D30548" s="1">
        <v>5.0530570995452198E-4</v>
      </c>
      <c r="E30548" s="1">
        <v>1.53256704980842E-2</v>
      </c>
      <c r="F30548" s="1">
        <v>6.3712223725755496E-3</v>
      </c>
    </row>
    <row r="30549" spans="1:6" x14ac:dyDescent="0.25">
      <c r="A30549" s="2" t="str">
        <f t="shared" si="1103"/>
        <v>43260</v>
      </c>
      <c r="B30549" s="2" t="str">
        <f>"82831"</f>
        <v>82831</v>
      </c>
      <c r="C30549" s="1">
        <v>4.1405102177106898E-3</v>
      </c>
      <c r="D30549" s="1">
        <v>0</v>
      </c>
      <c r="E30549" s="1">
        <v>1.40485312899106E-2</v>
      </c>
      <c r="F30549" s="1">
        <v>4.1159224176815501E-3</v>
      </c>
    </row>
    <row r="30550" spans="1:6" x14ac:dyDescent="0.25">
      <c r="A30550" s="2" t="str">
        <f t="shared" si="1103"/>
        <v>43260</v>
      </c>
      <c r="B30550" s="2" t="str">
        <f>"82842"</f>
        <v>82842</v>
      </c>
      <c r="C30550" s="1">
        <v>3.33912114331507E-4</v>
      </c>
      <c r="D30550" s="1">
        <v>0</v>
      </c>
      <c r="E30550" s="1">
        <v>1.2771392081736899E-3</v>
      </c>
      <c r="F30550" s="1">
        <v>3.382949932341E-4</v>
      </c>
    </row>
    <row r="30551" spans="1:6" x14ac:dyDescent="0.25">
      <c r="A30551" s="2" t="str">
        <f t="shared" si="1103"/>
        <v>43260</v>
      </c>
      <c r="B30551" s="2" t="str">
        <f>"82801"</f>
        <v>82801</v>
      </c>
      <c r="C30551" s="1">
        <v>0.92673968211566704</v>
      </c>
      <c r="D30551" s="1">
        <v>0.99242041435068196</v>
      </c>
      <c r="E30551" s="1">
        <v>0.95146871008939904</v>
      </c>
      <c r="F30551" s="1">
        <v>0.93516012629679701</v>
      </c>
    </row>
    <row r="30552" spans="1:6" x14ac:dyDescent="0.25">
      <c r="A30552" s="2" t="str">
        <f t="shared" si="1103"/>
        <v>43260</v>
      </c>
      <c r="B30552" s="2" t="str">
        <f>"82845"</f>
        <v>82845</v>
      </c>
      <c r="C30552" s="1">
        <v>3.6730332576465799E-3</v>
      </c>
      <c r="D30552" s="1">
        <v>5.0530570995452198E-4</v>
      </c>
      <c r="E30552" s="1">
        <v>1.2771392081736899E-3</v>
      </c>
      <c r="F30552" s="1">
        <v>3.21380243572395E-3</v>
      </c>
    </row>
    <row r="30553" spans="1:6" x14ac:dyDescent="0.25">
      <c r="A30553" s="2" t="str">
        <f t="shared" si="1103"/>
        <v>43260</v>
      </c>
      <c r="B30553" s="2" t="str">
        <f>"82844"</f>
        <v>82844</v>
      </c>
      <c r="C30553" s="1">
        <v>1.00173634299452E-3</v>
      </c>
      <c r="D30553" s="1">
        <v>5.0530570995452198E-4</v>
      </c>
      <c r="E30553" s="1">
        <v>1.2771392081736899E-3</v>
      </c>
      <c r="F30553" s="1">
        <v>9.5850248082995004E-4</v>
      </c>
    </row>
    <row r="30554" spans="1:6" x14ac:dyDescent="0.25">
      <c r="A30554" s="2" t="str">
        <f t="shared" si="1103"/>
        <v>43260</v>
      </c>
      <c r="B30554" s="2" t="str">
        <f>"82833"</f>
        <v>82833</v>
      </c>
      <c r="C30554" s="1">
        <v>0</v>
      </c>
      <c r="D30554" s="1">
        <v>0</v>
      </c>
      <c r="E30554" s="1">
        <v>1.2771392081736899E-3</v>
      </c>
      <c r="F30554" s="1">
        <v>5.6382498872350002E-5</v>
      </c>
    </row>
    <row r="30555" spans="1:6" x14ac:dyDescent="0.25">
      <c r="A30555" s="2" t="str">
        <f t="shared" si="1103"/>
        <v>43260</v>
      </c>
      <c r="B30555" s="2" t="str">
        <f>"82836"</f>
        <v>82836</v>
      </c>
      <c r="C30555" s="1">
        <v>5.3425938293041202E-4</v>
      </c>
      <c r="D30555" s="1">
        <v>0</v>
      </c>
      <c r="E30555" s="1">
        <v>2.5542784163473799E-3</v>
      </c>
      <c r="F30555" s="1">
        <v>5.6382498872349998E-4</v>
      </c>
    </row>
    <row r="30556" spans="1:6" x14ac:dyDescent="0.25">
      <c r="A30556" s="2" t="str">
        <f t="shared" si="1103"/>
        <v>43260</v>
      </c>
      <c r="B30556" s="2" t="str">
        <f>"82839"</f>
        <v>82839</v>
      </c>
      <c r="C30556" s="1">
        <v>3.3658341124615999E-2</v>
      </c>
      <c r="D30556" s="1">
        <v>1.5159171298635601E-3</v>
      </c>
      <c r="E30556" s="1">
        <v>7.66283524904214E-3</v>
      </c>
      <c r="F30556" s="1">
        <v>2.8924221921515499E-2</v>
      </c>
    </row>
    <row r="30557" spans="1:6" x14ac:dyDescent="0.25">
      <c r="A30557" s="2" t="str">
        <f t="shared" ref="A30557:A30571" si="1104">"38540"</f>
        <v>38540</v>
      </c>
      <c r="B30557" s="2" t="str">
        <f>"83246"</f>
        <v>83246</v>
      </c>
      <c r="C30557" s="1">
        <v>1.0621890547263599E-2</v>
      </c>
      <c r="D30557" s="1">
        <v>4.7014574518100598E-4</v>
      </c>
      <c r="E30557" s="1">
        <v>4.1791044776119399E-3</v>
      </c>
      <c r="F30557" s="1">
        <v>9.4517548613670295E-3</v>
      </c>
    </row>
    <row r="30558" spans="1:6" x14ac:dyDescent="0.25">
      <c r="A30558" s="2" t="str">
        <f t="shared" si="1104"/>
        <v>38540</v>
      </c>
      <c r="B30558" s="2" t="str">
        <f>"83245"</f>
        <v>83245</v>
      </c>
      <c r="C30558" s="1">
        <v>1.79601990049751E-2</v>
      </c>
      <c r="D30558" s="1">
        <v>0</v>
      </c>
      <c r="E30558" s="1">
        <v>4.1791044776119399E-3</v>
      </c>
      <c r="F30558" s="1">
        <v>1.5803507554900301E-2</v>
      </c>
    </row>
    <row r="30559" spans="1:6" x14ac:dyDescent="0.25">
      <c r="A30559" s="2" t="str">
        <f t="shared" si="1104"/>
        <v>38540</v>
      </c>
      <c r="B30559" s="2" t="str">
        <f>"83234"</f>
        <v>83234</v>
      </c>
      <c r="C30559" s="1">
        <v>1.09203980099502E-2</v>
      </c>
      <c r="D30559" s="1">
        <v>1.4104372355430101E-3</v>
      </c>
      <c r="E30559" s="1">
        <v>2.9850746268656699E-3</v>
      </c>
      <c r="F30559" s="1">
        <v>9.755251577099E-3</v>
      </c>
    </row>
    <row r="30560" spans="1:6" x14ac:dyDescent="0.25">
      <c r="A30560" s="2" t="str">
        <f t="shared" si="1104"/>
        <v>38540</v>
      </c>
      <c r="B30560" s="2" t="str">
        <f>"83204"</f>
        <v>83204</v>
      </c>
      <c r="C30560" s="1">
        <v>0.220621890547263</v>
      </c>
      <c r="D30560" s="1">
        <v>0.22919605077574001</v>
      </c>
      <c r="E30560" s="1">
        <v>0.20776119402984999</v>
      </c>
      <c r="F30560" s="1">
        <v>0.220945609052873</v>
      </c>
    </row>
    <row r="30561" spans="1:6" x14ac:dyDescent="0.25">
      <c r="A30561" s="2" t="str">
        <f t="shared" si="1104"/>
        <v>38540</v>
      </c>
      <c r="B30561" s="2" t="str">
        <f>"83281"</f>
        <v>83281</v>
      </c>
      <c r="C30561" s="1">
        <v>4.9751243781094498E-5</v>
      </c>
      <c r="D30561" s="1">
        <v>0</v>
      </c>
      <c r="E30561" s="1">
        <v>5.9701492537313401E-4</v>
      </c>
      <c r="F30561" s="1">
        <v>6.5035010513993298E-5</v>
      </c>
    </row>
    <row r="30562" spans="1:6" x14ac:dyDescent="0.25">
      <c r="A30562" s="2" t="str">
        <f t="shared" si="1104"/>
        <v>38540</v>
      </c>
      <c r="B30562" s="2" t="str">
        <f>"83250"</f>
        <v>83250</v>
      </c>
      <c r="C30562" s="1">
        <v>1.52238805970149E-2</v>
      </c>
      <c r="D30562" s="1">
        <v>2.1156558533145199E-3</v>
      </c>
      <c r="E30562" s="1">
        <v>2.38805970149253E-3</v>
      </c>
      <c r="F30562" s="1">
        <v>1.3548960523748601E-2</v>
      </c>
    </row>
    <row r="30563" spans="1:6" x14ac:dyDescent="0.25">
      <c r="A30563" s="2" t="str">
        <f t="shared" si="1104"/>
        <v>38540</v>
      </c>
      <c r="B30563" s="2" t="str">
        <f>"83271"</f>
        <v>83271</v>
      </c>
      <c r="C30563" s="1">
        <v>1.04477611940298E-3</v>
      </c>
      <c r="D30563" s="1">
        <v>7.0521861777150905E-4</v>
      </c>
      <c r="E30563" s="1">
        <v>5.9701492537313401E-4</v>
      </c>
      <c r="F30563" s="1">
        <v>9.9720349454789797E-4</v>
      </c>
    </row>
    <row r="30564" spans="1:6" x14ac:dyDescent="0.25">
      <c r="A30564" s="2" t="str">
        <f t="shared" si="1104"/>
        <v>38540</v>
      </c>
      <c r="B30564" s="2" t="str">
        <f>"83214"</f>
        <v>83214</v>
      </c>
      <c r="C30564" s="1">
        <v>5.87064676616915E-3</v>
      </c>
      <c r="D30564" s="1">
        <v>9.4029149036201195E-4</v>
      </c>
      <c r="E30564" s="1">
        <v>5.9701492537313401E-4</v>
      </c>
      <c r="F30564" s="1">
        <v>5.2244791779574602E-3</v>
      </c>
    </row>
    <row r="30565" spans="1:6" x14ac:dyDescent="0.25">
      <c r="A30565" s="2" t="str">
        <f t="shared" si="1104"/>
        <v>38540</v>
      </c>
      <c r="B30565" s="2" t="str">
        <f>"83205"</f>
        <v>83205</v>
      </c>
      <c r="C30565" s="1">
        <v>2.1044776119402898E-2</v>
      </c>
      <c r="D30565" s="1">
        <v>6.9816643159379396E-2</v>
      </c>
      <c r="E30565" s="1">
        <v>1.19402985074626E-3</v>
      </c>
      <c r="F30565" s="1">
        <v>2.48216956795074E-2</v>
      </c>
    </row>
    <row r="30566" spans="1:6" x14ac:dyDescent="0.25">
      <c r="A30566" s="2" t="str">
        <f t="shared" si="1104"/>
        <v>38540</v>
      </c>
      <c r="B30566" s="2" t="str">
        <f>"83201"</f>
        <v>83201</v>
      </c>
      <c r="C30566" s="1">
        <v>0.39472636815920298</v>
      </c>
      <c r="D30566" s="1">
        <v>0.40479548660084602</v>
      </c>
      <c r="E30566" s="1">
        <v>0.44597014925373102</v>
      </c>
      <c r="F30566" s="1">
        <v>0.39751566259836502</v>
      </c>
    </row>
    <row r="30567" spans="1:6" x14ac:dyDescent="0.25">
      <c r="A30567" s="2" t="str">
        <f t="shared" si="1104"/>
        <v>38540</v>
      </c>
      <c r="B30567" s="2" t="str">
        <f>"83206"</f>
        <v>83206</v>
      </c>
      <c r="C30567" s="1">
        <v>1.54726368159203E-2</v>
      </c>
      <c r="D30567" s="1">
        <v>5.5947343676539703E-2</v>
      </c>
      <c r="E30567" s="1">
        <v>1.19402985074626E-3</v>
      </c>
      <c r="F30567" s="1">
        <v>1.8686726354354002E-2</v>
      </c>
    </row>
    <row r="30568" spans="1:6" x14ac:dyDescent="0.25">
      <c r="A30568" s="2" t="str">
        <f t="shared" si="1104"/>
        <v>38540</v>
      </c>
      <c r="B30568" s="2" t="str">
        <f>"83211"</f>
        <v>83211</v>
      </c>
      <c r="C30568" s="1">
        <v>6.1542288557213901E-2</v>
      </c>
      <c r="D30568" s="1">
        <v>6.2294311236483303E-2</v>
      </c>
      <c r="E30568" s="1">
        <v>4.1194029850746203E-2</v>
      </c>
      <c r="F30568" s="1">
        <v>6.0872769841097699E-2</v>
      </c>
    </row>
    <row r="30569" spans="1:6" x14ac:dyDescent="0.25">
      <c r="A30569" s="2" t="str">
        <f t="shared" si="1104"/>
        <v>38540</v>
      </c>
      <c r="B30569" s="2" t="str">
        <f>"83209"</f>
        <v>83209</v>
      </c>
      <c r="C30569" s="1">
        <v>0</v>
      </c>
      <c r="D30569" s="1">
        <v>1.4104372355430101E-3</v>
      </c>
      <c r="E30569" s="1">
        <v>0</v>
      </c>
      <c r="F30569" s="1">
        <v>1.30070021027986E-4</v>
      </c>
    </row>
    <row r="30570" spans="1:6" x14ac:dyDescent="0.25">
      <c r="A30570" s="2" t="str">
        <f t="shared" si="1104"/>
        <v>38540</v>
      </c>
      <c r="B30570" s="2" t="str">
        <f>"83212"</f>
        <v>83212</v>
      </c>
      <c r="C30570" s="1">
        <v>1.9154228855721299E-3</v>
      </c>
      <c r="D30570" s="1">
        <v>9.4029149036201195E-4</v>
      </c>
      <c r="E30570" s="1">
        <v>1.19402985074626E-3</v>
      </c>
      <c r="F30570" s="1">
        <v>1.79930195755381E-3</v>
      </c>
    </row>
    <row r="30571" spans="1:6" x14ac:dyDescent="0.25">
      <c r="A30571" s="2" t="str">
        <f t="shared" si="1104"/>
        <v>38540</v>
      </c>
      <c r="B30571" s="2" t="str">
        <f>"83202"</f>
        <v>83202</v>
      </c>
      <c r="C30571" s="1">
        <v>0.22298507462686501</v>
      </c>
      <c r="D30571" s="1">
        <v>0.169957686882933</v>
      </c>
      <c r="E30571" s="1">
        <v>0.28597014925373099</v>
      </c>
      <c r="F30571" s="1">
        <v>0.22038197229508499</v>
      </c>
    </row>
    <row r="30572" spans="1:6" x14ac:dyDescent="0.25">
      <c r="A30572" s="2" t="str">
        <f t="shared" ref="A30572:A30579" si="1105">"34300"</f>
        <v>34300</v>
      </c>
      <c r="B30572" s="2" t="str">
        <f>"83327"</f>
        <v>83327</v>
      </c>
      <c r="C30572" s="1">
        <v>7.4716078900179299E-5</v>
      </c>
      <c r="D30572" s="1">
        <v>0</v>
      </c>
      <c r="E30572" s="1">
        <v>0</v>
      </c>
      <c r="F30572" s="1">
        <v>6.7380904251734995E-5</v>
      </c>
    </row>
    <row r="30573" spans="1:6" x14ac:dyDescent="0.25">
      <c r="A30573" s="2" t="str">
        <f t="shared" si="1105"/>
        <v>34300</v>
      </c>
      <c r="B30573" s="2" t="str">
        <f>"83716"</f>
        <v>83716</v>
      </c>
      <c r="C30573" s="1">
        <v>1.5690376569037601E-2</v>
      </c>
      <c r="D30573" s="1">
        <v>1.75644028103044E-2</v>
      </c>
      <c r="E30573" s="1">
        <v>0</v>
      </c>
      <c r="F30573" s="1">
        <v>1.51607034566403E-2</v>
      </c>
    </row>
    <row r="30574" spans="1:6" x14ac:dyDescent="0.25">
      <c r="A30574" s="2" t="str">
        <f t="shared" si="1105"/>
        <v>34300</v>
      </c>
      <c r="B30574" s="2" t="str">
        <f>"83648"</f>
        <v>83648</v>
      </c>
      <c r="C30574" s="1">
        <v>0.120218170950388</v>
      </c>
      <c r="D30574" s="1">
        <v>1.05386416861826E-2</v>
      </c>
      <c r="E30574" s="1">
        <v>0.462686567164179</v>
      </c>
      <c r="F30574" s="1">
        <v>0.12782157536554101</v>
      </c>
    </row>
    <row r="30575" spans="1:6" x14ac:dyDescent="0.25">
      <c r="A30575" s="2" t="str">
        <f t="shared" si="1105"/>
        <v>34300</v>
      </c>
      <c r="B30575" s="2" t="str">
        <f>"83627"</f>
        <v>83627</v>
      </c>
      <c r="C30575" s="1">
        <v>1.4943215780035801E-2</v>
      </c>
      <c r="D30575" s="1">
        <v>7.0257611241217703E-3</v>
      </c>
      <c r="E30575" s="1">
        <v>8.2918739635157498E-3</v>
      </c>
      <c r="F30575" s="1">
        <v>1.4217370797116E-2</v>
      </c>
    </row>
    <row r="30576" spans="1:6" x14ac:dyDescent="0.25">
      <c r="A30576" s="2" t="str">
        <f t="shared" si="1105"/>
        <v>34300</v>
      </c>
      <c r="B30576" s="2" t="str">
        <f>"83633"</f>
        <v>83633</v>
      </c>
      <c r="C30576" s="1">
        <v>1.44202032277346E-2</v>
      </c>
      <c r="D30576" s="1">
        <v>5.8548009367681399E-3</v>
      </c>
      <c r="E30576" s="1">
        <v>0</v>
      </c>
      <c r="F30576" s="1">
        <v>1.3341419041843499E-2</v>
      </c>
    </row>
    <row r="30577" spans="1:6" x14ac:dyDescent="0.25">
      <c r="A30577" s="2" t="str">
        <f t="shared" si="1105"/>
        <v>34300</v>
      </c>
      <c r="B30577" s="2" t="str">
        <f>"83624"</f>
        <v>83624</v>
      </c>
      <c r="C30577" s="1">
        <v>8.21876867901972E-4</v>
      </c>
      <c r="D30577" s="1">
        <v>0</v>
      </c>
      <c r="E30577" s="1">
        <v>0</v>
      </c>
      <c r="F30577" s="1">
        <v>7.4118994676908496E-4</v>
      </c>
    </row>
    <row r="30578" spans="1:6" x14ac:dyDescent="0.25">
      <c r="A30578" s="2" t="str">
        <f t="shared" si="1105"/>
        <v>34300</v>
      </c>
      <c r="B30578" s="2" t="str">
        <f>"83623"</f>
        <v>83623</v>
      </c>
      <c r="C30578" s="1">
        <v>4.2588164973102201E-2</v>
      </c>
      <c r="D30578" s="1">
        <v>2.8103044496487099E-2</v>
      </c>
      <c r="E30578" s="1">
        <v>1.1608623548922E-2</v>
      </c>
      <c r="F30578" s="1">
        <v>4.0495923455292702E-2</v>
      </c>
    </row>
    <row r="30579" spans="1:6" x14ac:dyDescent="0.25">
      <c r="A30579" s="2" t="str">
        <f t="shared" si="1105"/>
        <v>34300</v>
      </c>
      <c r="B30579" s="2" t="str">
        <f>"83647"</f>
        <v>83647</v>
      </c>
      <c r="C30579" s="1">
        <v>0.79124327555289797</v>
      </c>
      <c r="D30579" s="1">
        <v>0.93091334894613498</v>
      </c>
      <c r="E30579" s="1">
        <v>0.51741293532338295</v>
      </c>
      <c r="F30579" s="1">
        <v>0.78815443703254395</v>
      </c>
    </row>
    <row r="30580" spans="1:6" x14ac:dyDescent="0.25">
      <c r="A30580" s="2" t="str">
        <f t="shared" ref="A30580:A30611" si="1106">"39340"</f>
        <v>39340</v>
      </c>
      <c r="B30580" s="2" t="str">
        <f>"84663"</f>
        <v>84663</v>
      </c>
      <c r="C30580" s="1">
        <v>5.4807710824811701E-2</v>
      </c>
      <c r="D30580" s="1">
        <v>5.9989567031820498E-2</v>
      </c>
      <c r="E30580" s="1">
        <v>8.9795918367346905E-2</v>
      </c>
      <c r="F30580" s="1">
        <v>5.6399594406905298E-2</v>
      </c>
    </row>
    <row r="30581" spans="1:6" x14ac:dyDescent="0.25">
      <c r="A30581" s="2" t="str">
        <f t="shared" si="1106"/>
        <v>39340</v>
      </c>
      <c r="B30581" s="2" t="str">
        <f>"84603"</f>
        <v>84603</v>
      </c>
      <c r="C30581" s="1">
        <v>5.3055250640321903E-3</v>
      </c>
      <c r="D30581" s="1">
        <v>2.7908189880020799E-2</v>
      </c>
      <c r="E30581" s="1">
        <v>2.5510204081632601E-4</v>
      </c>
      <c r="F30581" s="1">
        <v>6.9828475021089104E-3</v>
      </c>
    </row>
    <row r="30582" spans="1:6" x14ac:dyDescent="0.25">
      <c r="A30582" s="2" t="str">
        <f t="shared" si="1106"/>
        <v>39340</v>
      </c>
      <c r="B30582" s="2" t="str">
        <f>"84057"</f>
        <v>84057</v>
      </c>
      <c r="C30582" s="1">
        <v>5.8408920214916997E-2</v>
      </c>
      <c r="D30582" s="1">
        <v>7.5013041210224299E-2</v>
      </c>
      <c r="E30582" s="1">
        <v>3.2653061224489702E-2</v>
      </c>
      <c r="F30582" s="1">
        <v>5.8904728227063899E-2</v>
      </c>
    </row>
    <row r="30583" spans="1:6" x14ac:dyDescent="0.25">
      <c r="A30583" s="2" t="str">
        <f t="shared" si="1106"/>
        <v>39340</v>
      </c>
      <c r="B30583" s="2" t="str">
        <f>"84042"</f>
        <v>84042</v>
      </c>
      <c r="C30583" s="1">
        <v>1.5728811600901199E-2</v>
      </c>
      <c r="D30583" s="1">
        <v>3.53677621283255E-2</v>
      </c>
      <c r="E30583" s="1">
        <v>1.67091836734693E-2</v>
      </c>
      <c r="F30583" s="1">
        <v>1.73655194744331E-2</v>
      </c>
    </row>
    <row r="30584" spans="1:6" x14ac:dyDescent="0.25">
      <c r="A30584" s="2" t="str">
        <f t="shared" si="1106"/>
        <v>39340</v>
      </c>
      <c r="B30584" s="2" t="str">
        <f>"84004"</f>
        <v>84004</v>
      </c>
      <c r="C30584" s="1">
        <v>1.4375950854083599E-2</v>
      </c>
      <c r="D30584" s="1">
        <v>1.06416275430359E-2</v>
      </c>
      <c r="E30584" s="1">
        <v>8.6734693877551002E-3</v>
      </c>
      <c r="F30584" s="1">
        <v>1.3880486370879E-2</v>
      </c>
    </row>
    <row r="30585" spans="1:6" x14ac:dyDescent="0.25">
      <c r="A30585" s="2" t="str">
        <f t="shared" si="1106"/>
        <v>39340</v>
      </c>
      <c r="B30585" s="2" t="str">
        <f>"84664"</f>
        <v>84664</v>
      </c>
      <c r="C30585" s="1">
        <v>1.5964719702659499E-2</v>
      </c>
      <c r="D30585" s="1">
        <v>4.7470005216484002E-3</v>
      </c>
      <c r="E30585" s="1">
        <v>4.2091836734693801E-3</v>
      </c>
      <c r="F30585" s="1">
        <v>1.4655884934261501E-2</v>
      </c>
    </row>
    <row r="30586" spans="1:6" x14ac:dyDescent="0.25">
      <c r="A30586" s="2" t="str">
        <f t="shared" si="1106"/>
        <v>39340</v>
      </c>
      <c r="B30586" s="2" t="str">
        <f>"84633"</f>
        <v>84633</v>
      </c>
      <c r="C30586" s="1">
        <v>0</v>
      </c>
      <c r="D30586" s="1">
        <v>0</v>
      </c>
      <c r="E30586" s="1">
        <v>1.2755102040816301E-4</v>
      </c>
      <c r="F30586" s="1">
        <v>4.26043166693649E-6</v>
      </c>
    </row>
    <row r="30587" spans="1:6" x14ac:dyDescent="0.25">
      <c r="A30587" s="2" t="str">
        <f t="shared" si="1106"/>
        <v>39340</v>
      </c>
      <c r="B30587" s="2" t="str">
        <f>"84655"</f>
        <v>84655</v>
      </c>
      <c r="C30587" s="1">
        <v>1.97151770755098E-2</v>
      </c>
      <c r="D30587" s="1">
        <v>4.3296817944705199E-3</v>
      </c>
      <c r="E30587" s="1">
        <v>6.3775510204081599E-3</v>
      </c>
      <c r="F30587" s="1">
        <v>1.8013105087807402E-2</v>
      </c>
    </row>
    <row r="30588" spans="1:6" x14ac:dyDescent="0.25">
      <c r="A30588" s="2" t="str">
        <f t="shared" si="1106"/>
        <v>39340</v>
      </c>
      <c r="B30588" s="2" t="str">
        <f>"84651"</f>
        <v>84651</v>
      </c>
      <c r="C30588" s="1">
        <v>4.0296955341151998E-2</v>
      </c>
      <c r="D30588" s="1">
        <v>2.6864893062076099E-2</v>
      </c>
      <c r="E30588" s="1">
        <v>2.8571428571428501E-2</v>
      </c>
      <c r="F30588" s="1">
        <v>3.8808272054124501E-2</v>
      </c>
    </row>
    <row r="30589" spans="1:6" x14ac:dyDescent="0.25">
      <c r="A30589" s="2" t="str">
        <f t="shared" si="1106"/>
        <v>39340</v>
      </c>
      <c r="B30589" s="2" t="str">
        <f>"84045"</f>
        <v>84045</v>
      </c>
      <c r="C30589" s="1">
        <v>4.4663662449207497E-2</v>
      </c>
      <c r="D30589" s="1">
        <v>1.1684924360980601E-2</v>
      </c>
      <c r="E30589" s="1">
        <v>1.4540816326530599E-2</v>
      </c>
      <c r="F30589" s="1">
        <v>4.0964050477594299E-2</v>
      </c>
    </row>
    <row r="30590" spans="1:6" x14ac:dyDescent="0.25">
      <c r="A30590" s="2" t="str">
        <f t="shared" si="1106"/>
        <v>39340</v>
      </c>
      <c r="B30590" s="2" t="str">
        <f>"84097"</f>
        <v>84097</v>
      </c>
      <c r="C30590" s="1">
        <v>4.2054229976697999E-2</v>
      </c>
      <c r="D30590" s="1">
        <v>7.3656755346896099E-2</v>
      </c>
      <c r="E30590" s="1">
        <v>2.99744897959183E-2</v>
      </c>
      <c r="F30590" s="1">
        <v>4.4231801566134599E-2</v>
      </c>
    </row>
    <row r="30591" spans="1:6" x14ac:dyDescent="0.25">
      <c r="A30591" s="2" t="str">
        <f t="shared" si="1106"/>
        <v>39340</v>
      </c>
      <c r="B30591" s="2" t="str">
        <f>"84639"</f>
        <v>84639</v>
      </c>
      <c r="C30591" s="1">
        <v>1.9257804225162199E-5</v>
      </c>
      <c r="D30591" s="1">
        <v>0</v>
      </c>
      <c r="E30591" s="1">
        <v>1.2755102040816301E-4</v>
      </c>
      <c r="F30591" s="1">
        <v>2.1302158334682398E-5</v>
      </c>
    </row>
    <row r="30592" spans="1:6" x14ac:dyDescent="0.25">
      <c r="A30592" s="2" t="str">
        <f t="shared" si="1106"/>
        <v>39340</v>
      </c>
      <c r="B30592" s="2" t="str">
        <f>"84653"</f>
        <v>84653</v>
      </c>
      <c r="C30592" s="1">
        <v>1.7924201282569701E-2</v>
      </c>
      <c r="D30592" s="1">
        <v>9.33750652060511E-3</v>
      </c>
      <c r="E30592" s="1">
        <v>7.9081632653061201E-3</v>
      </c>
      <c r="F30592" s="1">
        <v>1.6888351127736199E-2</v>
      </c>
    </row>
    <row r="30593" spans="1:6" x14ac:dyDescent="0.25">
      <c r="A30593" s="2" t="str">
        <f t="shared" si="1106"/>
        <v>39340</v>
      </c>
      <c r="B30593" s="2" t="str">
        <f>"84648"</f>
        <v>84648</v>
      </c>
      <c r="C30593" s="1">
        <v>1.10636085273557E-2</v>
      </c>
      <c r="D30593" s="1">
        <v>1.0485133020344199E-2</v>
      </c>
      <c r="E30593" s="1">
        <v>6.2500000000000003E-3</v>
      </c>
      <c r="F30593" s="1">
        <v>1.0855579887354101E-2</v>
      </c>
    </row>
    <row r="30594" spans="1:6" x14ac:dyDescent="0.25">
      <c r="A30594" s="2" t="str">
        <f t="shared" si="1106"/>
        <v>39340</v>
      </c>
      <c r="B30594" s="2" t="str">
        <f>"84604"</f>
        <v>84604</v>
      </c>
      <c r="C30594" s="1">
        <v>6.4999903710978801E-2</v>
      </c>
      <c r="D30594" s="1">
        <v>6.7762128325508597E-2</v>
      </c>
      <c r="E30594" s="1">
        <v>9.2346938775510201E-2</v>
      </c>
      <c r="F30594" s="1">
        <v>6.6138941197522103E-2</v>
      </c>
    </row>
    <row r="30595" spans="1:6" x14ac:dyDescent="0.25">
      <c r="A30595" s="2" t="str">
        <f t="shared" si="1106"/>
        <v>39340</v>
      </c>
      <c r="B30595" s="2" t="str">
        <f>"84606"</f>
        <v>84606</v>
      </c>
      <c r="C30595" s="1">
        <v>5.58331888998016E-2</v>
      </c>
      <c r="D30595" s="1">
        <v>4.17840375586854E-2</v>
      </c>
      <c r="E30595" s="1">
        <v>0.14846938775510199</v>
      </c>
      <c r="F30595" s="1">
        <v>5.7779974266992697E-2</v>
      </c>
    </row>
    <row r="30596" spans="1:6" x14ac:dyDescent="0.25">
      <c r="A30596" s="2" t="str">
        <f t="shared" si="1106"/>
        <v>39340</v>
      </c>
      <c r="B30596" s="2" t="str">
        <f>"84013"</f>
        <v>84013</v>
      </c>
      <c r="C30596" s="1">
        <v>1.0543647813276301E-3</v>
      </c>
      <c r="D30596" s="1">
        <v>1.5649452269170499E-4</v>
      </c>
      <c r="E30596" s="1">
        <v>2.5510204081632601E-4</v>
      </c>
      <c r="F30596" s="1">
        <v>9.54336693393774E-4</v>
      </c>
    </row>
    <row r="30597" spans="1:6" x14ac:dyDescent="0.25">
      <c r="A30597" s="2" t="str">
        <f t="shared" si="1106"/>
        <v>39340</v>
      </c>
      <c r="B30597" s="2" t="str">
        <f>"84660"</f>
        <v>84660</v>
      </c>
      <c r="C30597" s="1">
        <v>6.6184258670826293E-2</v>
      </c>
      <c r="D30597" s="1">
        <v>6.8544600938967096E-2</v>
      </c>
      <c r="E30597" s="1">
        <v>3.7499999999999999E-2</v>
      </c>
      <c r="F30597" s="1">
        <v>6.5418928245809804E-2</v>
      </c>
    </row>
    <row r="30598" spans="1:6" x14ac:dyDescent="0.25">
      <c r="A30598" s="2" t="str">
        <f t="shared" si="1106"/>
        <v>39340</v>
      </c>
      <c r="B30598" s="2" t="str">
        <f>"84062"</f>
        <v>84062</v>
      </c>
      <c r="C30598" s="1">
        <v>7.1436824773239302E-2</v>
      </c>
      <c r="D30598" s="1">
        <v>6.5623369848721899E-2</v>
      </c>
      <c r="E30598" s="1">
        <v>6.4668367346938704E-2</v>
      </c>
      <c r="F30598" s="1">
        <v>7.0735946966146601E-2</v>
      </c>
    </row>
    <row r="30599" spans="1:6" x14ac:dyDescent="0.25">
      <c r="A30599" s="2" t="str">
        <f t="shared" si="1106"/>
        <v>39340</v>
      </c>
      <c r="B30599" s="2" t="str">
        <f>"84058"</f>
        <v>84058</v>
      </c>
      <c r="C30599" s="1">
        <v>5.12209447878752E-2</v>
      </c>
      <c r="D30599" s="1">
        <v>6.1606677099634799E-2</v>
      </c>
      <c r="E30599" s="1">
        <v>2.6020408163265299E-2</v>
      </c>
      <c r="F30599" s="1">
        <v>5.1227430363244397E-2</v>
      </c>
    </row>
    <row r="30600" spans="1:6" x14ac:dyDescent="0.25">
      <c r="A30600" s="2" t="str">
        <f t="shared" si="1106"/>
        <v>39340</v>
      </c>
      <c r="B30600" s="2" t="str">
        <f>"84003"</f>
        <v>84003</v>
      </c>
      <c r="C30600" s="1">
        <v>7.7589693223178602E-2</v>
      </c>
      <c r="D30600" s="1">
        <v>0.10187793427230001</v>
      </c>
      <c r="E30600" s="1">
        <v>9.5535714285714196E-2</v>
      </c>
      <c r="F30600" s="1">
        <v>8.0172803108410906E-2</v>
      </c>
    </row>
    <row r="30601" spans="1:6" x14ac:dyDescent="0.25">
      <c r="A30601" s="2" t="str">
        <f t="shared" si="1106"/>
        <v>39340</v>
      </c>
      <c r="B30601" s="2" t="str">
        <f>"84626"</f>
        <v>84626</v>
      </c>
      <c r="C30601" s="1">
        <v>0</v>
      </c>
      <c r="D30601" s="1">
        <v>0</v>
      </c>
      <c r="E30601" s="1">
        <v>1.2755102040816301E-4</v>
      </c>
      <c r="F30601" s="1">
        <v>4.26043166693649E-6</v>
      </c>
    </row>
    <row r="30602" spans="1:6" x14ac:dyDescent="0.25">
      <c r="A30602" s="2" t="str">
        <f t="shared" si="1106"/>
        <v>39340</v>
      </c>
      <c r="B30602" s="2" t="str">
        <f>"84605"</f>
        <v>84605</v>
      </c>
      <c r="C30602" s="1">
        <v>5.82548577811157E-3</v>
      </c>
      <c r="D30602" s="1">
        <v>1.06416275430359E-2</v>
      </c>
      <c r="E30602" s="1">
        <v>2.5510204081632601E-4</v>
      </c>
      <c r="F30602" s="1">
        <v>6.0327712403820703E-3</v>
      </c>
    </row>
    <row r="30603" spans="1:6" x14ac:dyDescent="0.25">
      <c r="A30603" s="2" t="str">
        <f t="shared" si="1106"/>
        <v>39340</v>
      </c>
      <c r="B30603" s="2" t="str">
        <f>"84601"</f>
        <v>84601</v>
      </c>
      <c r="C30603" s="1">
        <v>5.6184643826910803E-2</v>
      </c>
      <c r="D30603" s="1">
        <v>7.1517996870109499E-2</v>
      </c>
      <c r="E30603" s="1">
        <v>8.9030612244897903E-2</v>
      </c>
      <c r="F30603" s="1">
        <v>5.8534070672040403E-2</v>
      </c>
    </row>
    <row r="30604" spans="1:6" x14ac:dyDescent="0.25">
      <c r="A30604" s="2" t="str">
        <f t="shared" si="1106"/>
        <v>39340</v>
      </c>
      <c r="B30604" s="2" t="str">
        <f>"84059"</f>
        <v>84059</v>
      </c>
      <c r="C30604" s="1">
        <v>3.04032584204748E-2</v>
      </c>
      <c r="D30604" s="1">
        <v>3.01512780386019E-2</v>
      </c>
      <c r="E30604" s="1">
        <v>2.2448979591836699E-2</v>
      </c>
      <c r="F30604" s="1">
        <v>3.0116991453574E-2</v>
      </c>
    </row>
    <row r="30605" spans="1:6" x14ac:dyDescent="0.25">
      <c r="A30605" s="2" t="str">
        <f t="shared" si="1106"/>
        <v>39340</v>
      </c>
      <c r="B30605" s="2" t="str">
        <f>"84645"</f>
        <v>84645</v>
      </c>
      <c r="C30605" s="1">
        <v>6.1480539988830402E-3</v>
      </c>
      <c r="D30605" s="1">
        <v>1.0432968179447E-3</v>
      </c>
      <c r="E30605" s="1">
        <v>3.8265306122448902E-4</v>
      </c>
      <c r="F30605" s="1">
        <v>5.5385611670174398E-3</v>
      </c>
    </row>
    <row r="30606" spans="1:6" x14ac:dyDescent="0.25">
      <c r="A30606" s="2" t="str">
        <f t="shared" si="1106"/>
        <v>39340</v>
      </c>
      <c r="B30606" s="2" t="str">
        <f>"84043"</f>
        <v>84043</v>
      </c>
      <c r="C30606" s="1">
        <v>0.103910297147919</v>
      </c>
      <c r="D30606" s="1">
        <v>9.6400625978090695E-2</v>
      </c>
      <c r="E30606" s="1">
        <v>0.106377551020408</v>
      </c>
      <c r="F30606" s="1">
        <v>0.103379374398214</v>
      </c>
    </row>
    <row r="30607" spans="1:6" x14ac:dyDescent="0.25">
      <c r="A30607" s="2" t="str">
        <f t="shared" si="1106"/>
        <v>39340</v>
      </c>
      <c r="B30607" s="2" t="str">
        <f>"84032"</f>
        <v>84032</v>
      </c>
      <c r="C30607" s="1">
        <v>0</v>
      </c>
      <c r="D30607" s="1">
        <v>5.2164840897235203E-5</v>
      </c>
      <c r="E30607" s="1">
        <v>0</v>
      </c>
      <c r="F30607" s="1">
        <v>4.26043166693649E-6</v>
      </c>
    </row>
    <row r="30608" spans="1:6" x14ac:dyDescent="0.25">
      <c r="A30608" s="2" t="str">
        <f t="shared" si="1106"/>
        <v>39340</v>
      </c>
      <c r="B30608" s="2" t="str">
        <f>"84020"</f>
        <v>84020</v>
      </c>
      <c r="C30608" s="1">
        <v>4.5159550908005401E-3</v>
      </c>
      <c r="D30608" s="1">
        <v>6.25978090766823E-4</v>
      </c>
      <c r="E30608" s="1">
        <v>1.2755102040816301E-4</v>
      </c>
      <c r="F30608" s="1">
        <v>4.0516705152565998E-3</v>
      </c>
    </row>
    <row r="30609" spans="1:6" x14ac:dyDescent="0.25">
      <c r="A30609" s="2" t="str">
        <f t="shared" si="1106"/>
        <v>39340</v>
      </c>
      <c r="B30609" s="2" t="str">
        <f>"84005"</f>
        <v>84005</v>
      </c>
      <c r="C30609" s="1">
        <v>5.0084734338590703E-2</v>
      </c>
      <c r="D30609" s="1">
        <v>5.1121544079290497E-3</v>
      </c>
      <c r="E30609" s="1">
        <v>6.2627551020408095E-2</v>
      </c>
      <c r="F30609" s="1">
        <v>4.6830664882965903E-2</v>
      </c>
    </row>
    <row r="30610" spans="1:6" x14ac:dyDescent="0.25">
      <c r="A30610" s="2" t="str">
        <f t="shared" si="1106"/>
        <v>39340</v>
      </c>
      <c r="B30610" s="2" t="str">
        <f>"84628"</f>
        <v>84628</v>
      </c>
      <c r="C30610" s="1">
        <v>5.7773412675486703E-5</v>
      </c>
      <c r="D30610" s="1">
        <v>0</v>
      </c>
      <c r="E30610" s="1">
        <v>1.2755102040816301E-4</v>
      </c>
      <c r="F30610" s="1">
        <v>5.5385611670174403E-5</v>
      </c>
    </row>
    <row r="30611" spans="1:6" x14ac:dyDescent="0.25">
      <c r="A30611" s="2" t="str">
        <f t="shared" si="1106"/>
        <v>39340</v>
      </c>
      <c r="B30611" s="2" t="str">
        <f>"84602"</f>
        <v>84602</v>
      </c>
      <c r="C30611" s="1">
        <v>1.4221888420282301E-2</v>
      </c>
      <c r="D30611" s="1">
        <v>2.7073552425665101E-2</v>
      </c>
      <c r="E30611" s="1">
        <v>7.5255102040816301E-3</v>
      </c>
      <c r="F30611" s="1">
        <v>1.50478446476196E-2</v>
      </c>
    </row>
    <row r="30612" spans="1:6" x14ac:dyDescent="0.25">
      <c r="A30612" s="2" t="str">
        <f t="shared" ref="A30612:A30623" si="1107">"16260"</f>
        <v>16260</v>
      </c>
      <c r="B30612" s="2" t="str">
        <f>"84760"</f>
        <v>84760</v>
      </c>
      <c r="C30612" s="1">
        <v>1.0838831291234601E-2</v>
      </c>
      <c r="D30612" s="1">
        <v>8.8809946714031899E-4</v>
      </c>
      <c r="E30612" s="1">
        <v>9.2081031307550605E-4</v>
      </c>
      <c r="F30612" s="1">
        <v>9.4877433015717796E-3</v>
      </c>
    </row>
    <row r="30613" spans="1:6" x14ac:dyDescent="0.25">
      <c r="A30613" s="2" t="str">
        <f t="shared" si="1107"/>
        <v>16260</v>
      </c>
      <c r="B30613" s="2" t="str">
        <f>"84757"</f>
        <v>84757</v>
      </c>
      <c r="C30613" s="1">
        <v>2.21489161168708E-3</v>
      </c>
      <c r="D30613" s="1">
        <v>0</v>
      </c>
      <c r="E30613" s="1">
        <v>0</v>
      </c>
      <c r="F30613" s="1">
        <v>1.91383663164752E-3</v>
      </c>
    </row>
    <row r="30614" spans="1:6" x14ac:dyDescent="0.25">
      <c r="A30614" s="2" t="str">
        <f t="shared" si="1107"/>
        <v>16260</v>
      </c>
      <c r="B30614" s="2" t="str">
        <f>"84714"</f>
        <v>84714</v>
      </c>
      <c r="C30614" s="1">
        <v>1.88972667295004E-2</v>
      </c>
      <c r="D30614" s="1">
        <v>7.9928952042628704E-3</v>
      </c>
      <c r="E30614" s="1">
        <v>1.8416206261510099E-2</v>
      </c>
      <c r="F30614" s="1">
        <v>1.7876048538154499E-2</v>
      </c>
    </row>
    <row r="30615" spans="1:6" x14ac:dyDescent="0.25">
      <c r="A30615" s="2" t="str">
        <f t="shared" si="1107"/>
        <v>16260</v>
      </c>
      <c r="B30615" s="2" t="str">
        <f>"84719"</f>
        <v>84719</v>
      </c>
      <c r="C30615" s="1">
        <v>2.21489161168708E-3</v>
      </c>
      <c r="D30615" s="1">
        <v>3.99644760213143E-3</v>
      </c>
      <c r="E30615" s="1">
        <v>1.6574585635359101E-2</v>
      </c>
      <c r="F30615" s="1">
        <v>3.01327469663653E-3</v>
      </c>
    </row>
    <row r="30616" spans="1:6" x14ac:dyDescent="0.25">
      <c r="A30616" s="2" t="str">
        <f t="shared" si="1107"/>
        <v>16260</v>
      </c>
      <c r="B30616" s="2" t="str">
        <f>"84756"</f>
        <v>84756</v>
      </c>
      <c r="C30616" s="1">
        <v>1.88501413760603E-4</v>
      </c>
      <c r="D30616" s="1">
        <v>4.4404973357015901E-4</v>
      </c>
      <c r="E30616" s="1">
        <v>9.2081031307550605E-4</v>
      </c>
      <c r="F30616" s="1">
        <v>2.4431956999755599E-4</v>
      </c>
    </row>
    <row r="30617" spans="1:6" x14ac:dyDescent="0.25">
      <c r="A30617" s="2" t="str">
        <f t="shared" si="1107"/>
        <v>16260</v>
      </c>
      <c r="B30617" s="2" t="str">
        <f>"84772"</f>
        <v>84772</v>
      </c>
      <c r="C30617" s="1">
        <v>3.2516493873704002E-3</v>
      </c>
      <c r="D30617" s="1">
        <v>0</v>
      </c>
      <c r="E30617" s="1">
        <v>9.2081031307550605E-4</v>
      </c>
      <c r="F30617" s="1">
        <v>2.85039498330482E-3</v>
      </c>
    </row>
    <row r="30618" spans="1:6" x14ac:dyDescent="0.25">
      <c r="A30618" s="2" t="str">
        <f t="shared" si="1107"/>
        <v>16260</v>
      </c>
      <c r="B30618" s="2" t="str">
        <f>"84761"</f>
        <v>84761</v>
      </c>
      <c r="C30618" s="1">
        <v>2.21489161168708E-3</v>
      </c>
      <c r="D30618" s="1">
        <v>0</v>
      </c>
      <c r="E30618" s="1">
        <v>9.2081031307550605E-4</v>
      </c>
      <c r="F30618" s="1">
        <v>1.9545565599804501E-3</v>
      </c>
    </row>
    <row r="30619" spans="1:6" x14ac:dyDescent="0.25">
      <c r="A30619" s="2" t="str">
        <f t="shared" si="1107"/>
        <v>16260</v>
      </c>
      <c r="B30619" s="2" t="str">
        <f>"84753"</f>
        <v>84753</v>
      </c>
      <c r="C30619" s="1">
        <v>8.0113100848256302E-4</v>
      </c>
      <c r="D30619" s="1">
        <v>0</v>
      </c>
      <c r="E30619" s="1">
        <v>0</v>
      </c>
      <c r="F30619" s="1">
        <v>6.9223878165974395E-4</v>
      </c>
    </row>
    <row r="30620" spans="1:6" x14ac:dyDescent="0.25">
      <c r="A30620" s="2" t="str">
        <f t="shared" si="1107"/>
        <v>16260</v>
      </c>
      <c r="B30620" s="2" t="str">
        <f>"84742"</f>
        <v>84742</v>
      </c>
      <c r="C30620" s="1">
        <v>1.28652214891611E-2</v>
      </c>
      <c r="D30620" s="1">
        <v>1.19893428063943E-2</v>
      </c>
      <c r="E30620" s="1">
        <v>1.8416206261510099E-3</v>
      </c>
      <c r="F30620" s="1">
        <v>1.2297418356543599E-2</v>
      </c>
    </row>
    <row r="30621" spans="1:6" x14ac:dyDescent="0.25">
      <c r="A30621" s="2" t="str">
        <f t="shared" si="1107"/>
        <v>16260</v>
      </c>
      <c r="B30621" s="2" t="str">
        <f>"84720"</f>
        <v>84720</v>
      </c>
      <c r="C30621" s="1">
        <v>0.41875589066918001</v>
      </c>
      <c r="D30621" s="1">
        <v>0.38499111900532801</v>
      </c>
      <c r="E30621" s="1">
        <v>0.44659300184161999</v>
      </c>
      <c r="F30621" s="1">
        <v>0.41689062627249701</v>
      </c>
    </row>
    <row r="30622" spans="1:6" x14ac:dyDescent="0.25">
      <c r="A30622" s="2" t="str">
        <f t="shared" si="1107"/>
        <v>16260</v>
      </c>
      <c r="B30622" s="2" t="str">
        <f>"84722"</f>
        <v>84722</v>
      </c>
      <c r="C30622" s="1">
        <v>4.7125353440150797E-5</v>
      </c>
      <c r="D30622" s="1">
        <v>0</v>
      </c>
      <c r="E30622" s="1">
        <v>0</v>
      </c>
      <c r="F30622" s="1">
        <v>4.0719928332926103E-5</v>
      </c>
    </row>
    <row r="30623" spans="1:6" x14ac:dyDescent="0.25">
      <c r="A30623" s="2" t="str">
        <f t="shared" si="1107"/>
        <v>16260</v>
      </c>
      <c r="B30623" s="2" t="str">
        <f>"84721"</f>
        <v>84721</v>
      </c>
      <c r="C30623" s="1">
        <v>0.52770970782280802</v>
      </c>
      <c r="D30623" s="1">
        <v>0.58969804618117205</v>
      </c>
      <c r="E30623" s="1">
        <v>0.51289134438305695</v>
      </c>
      <c r="F30623" s="1">
        <v>0.53273882237967196</v>
      </c>
    </row>
    <row r="30624" spans="1:6" x14ac:dyDescent="0.25">
      <c r="A30624" s="2" t="str">
        <f t="shared" ref="A30624:A30634" si="1108">"40940"</f>
        <v>40940</v>
      </c>
      <c r="B30624" s="2" t="str">
        <f>"85552"</f>
        <v>85552</v>
      </c>
      <c r="C30624" s="1">
        <v>0.254012324778221</v>
      </c>
      <c r="D30624" s="1">
        <v>0.197355035605289</v>
      </c>
      <c r="E30624" s="1">
        <v>0.19428571428571401</v>
      </c>
      <c r="F30624" s="1">
        <v>0.249254658385093</v>
      </c>
    </row>
    <row r="30625" spans="1:6" x14ac:dyDescent="0.25">
      <c r="A30625" s="2" t="str">
        <f t="shared" si="1108"/>
        <v>40940</v>
      </c>
      <c r="B30625" s="2" t="str">
        <f>"85546"</f>
        <v>85546</v>
      </c>
      <c r="C30625" s="1">
        <v>0.58684905532606402</v>
      </c>
      <c r="D30625" s="1">
        <v>0.67446592065106803</v>
      </c>
      <c r="E30625" s="1">
        <v>0.72571428571428498</v>
      </c>
      <c r="F30625" s="1">
        <v>0.59521739130434703</v>
      </c>
    </row>
    <row r="30626" spans="1:6" x14ac:dyDescent="0.25">
      <c r="A30626" s="2" t="str">
        <f t="shared" si="1108"/>
        <v>40940</v>
      </c>
      <c r="B30626" s="2" t="str">
        <f>"85535"</f>
        <v>85535</v>
      </c>
      <c r="C30626" s="1">
        <v>2.03155684973251E-4</v>
      </c>
      <c r="D30626" s="1">
        <v>0</v>
      </c>
      <c r="E30626" s="1">
        <v>2.8571428571428502E-3</v>
      </c>
      <c r="F30626" s="1">
        <v>2.48447204968944E-4</v>
      </c>
    </row>
    <row r="30627" spans="1:6" x14ac:dyDescent="0.25">
      <c r="A30627" s="2" t="str">
        <f t="shared" si="1108"/>
        <v>40940</v>
      </c>
      <c r="B30627" s="2" t="str">
        <f>"85548"</f>
        <v>85548</v>
      </c>
      <c r="C30627" s="1">
        <v>6.6567346109568604E-2</v>
      </c>
      <c r="D30627" s="1">
        <v>0.11291963377416001</v>
      </c>
      <c r="E30627" s="1">
        <v>5.7142857142857099E-3</v>
      </c>
      <c r="F30627" s="1">
        <v>6.8074534161490605E-2</v>
      </c>
    </row>
    <row r="30628" spans="1:6" x14ac:dyDescent="0.25">
      <c r="A30628" s="2" t="str">
        <f t="shared" si="1108"/>
        <v>40940</v>
      </c>
      <c r="B30628" s="2" t="str">
        <f>"85543"</f>
        <v>85543</v>
      </c>
      <c r="C30628" s="1">
        <v>7.6251100426626903E-2</v>
      </c>
      <c r="D30628" s="1">
        <v>4.0691759918616401E-3</v>
      </c>
      <c r="E30628" s="1">
        <v>4.57142857142857E-2</v>
      </c>
      <c r="F30628" s="1">
        <v>7.1180124223602398E-2</v>
      </c>
    </row>
    <row r="30629" spans="1:6" x14ac:dyDescent="0.25">
      <c r="A30629" s="2" t="str">
        <f t="shared" si="1108"/>
        <v>40940</v>
      </c>
      <c r="B30629" s="2" t="str">
        <f>"85531"</f>
        <v>85531</v>
      </c>
      <c r="C30629" s="1">
        <v>0</v>
      </c>
      <c r="D30629" s="1">
        <v>0</v>
      </c>
      <c r="E30629" s="1">
        <v>2.8571428571428502E-3</v>
      </c>
      <c r="F30629" s="1">
        <v>6.2111801242236E-5</v>
      </c>
    </row>
    <row r="30630" spans="1:6" x14ac:dyDescent="0.25">
      <c r="A30630" s="2" t="str">
        <f t="shared" si="1108"/>
        <v>40940</v>
      </c>
      <c r="B30630" s="2" t="str">
        <f>"85551"</f>
        <v>85551</v>
      </c>
      <c r="C30630" s="1">
        <v>0</v>
      </c>
      <c r="D30630" s="1">
        <v>0</v>
      </c>
      <c r="E30630" s="1">
        <v>2.8571428571428502E-3</v>
      </c>
      <c r="F30630" s="1">
        <v>6.2111801242236E-5</v>
      </c>
    </row>
    <row r="30631" spans="1:6" x14ac:dyDescent="0.25">
      <c r="A30631" s="2" t="str">
        <f t="shared" si="1108"/>
        <v>40940</v>
      </c>
      <c r="B30631" s="2" t="str">
        <f>"85530"</f>
        <v>85530</v>
      </c>
      <c r="C30631" s="1">
        <v>0</v>
      </c>
      <c r="D30631" s="1">
        <v>0</v>
      </c>
      <c r="E30631" s="1">
        <v>2.8571428571428502E-3</v>
      </c>
      <c r="F30631" s="1">
        <v>6.2111801242236E-5</v>
      </c>
    </row>
    <row r="30632" spans="1:6" x14ac:dyDescent="0.25">
      <c r="A30632" s="2" t="str">
        <f t="shared" si="1108"/>
        <v>40940</v>
      </c>
      <c r="B30632" s="2" t="str">
        <f>"85536"</f>
        <v>85536</v>
      </c>
      <c r="C30632" s="1">
        <v>2.03155684973251E-4</v>
      </c>
      <c r="D30632" s="1">
        <v>0</v>
      </c>
      <c r="E30632" s="1">
        <v>2.8571428571428502E-3</v>
      </c>
      <c r="F30632" s="1">
        <v>2.48447204968944E-4</v>
      </c>
    </row>
    <row r="30633" spans="1:6" x14ac:dyDescent="0.25">
      <c r="A30633" s="2" t="str">
        <f t="shared" si="1108"/>
        <v>40940</v>
      </c>
      <c r="B30633" s="2" t="str">
        <f>"85643"</f>
        <v>85643</v>
      </c>
      <c r="C30633" s="1">
        <v>1.5913861989571301E-2</v>
      </c>
      <c r="D30633" s="1">
        <v>1.11902339776195E-2</v>
      </c>
      <c r="E30633" s="1">
        <v>1.1428571428571401E-2</v>
      </c>
      <c r="F30633" s="1">
        <v>1.5527950310559001E-2</v>
      </c>
    </row>
    <row r="30634" spans="1:6" x14ac:dyDescent="0.25">
      <c r="A30634" s="2" t="str">
        <f t="shared" si="1108"/>
        <v>40940</v>
      </c>
      <c r="B30634" s="2" t="str">
        <f>"85550"</f>
        <v>85550</v>
      </c>
      <c r="C30634" s="1">
        <v>0</v>
      </c>
      <c r="D30634" s="1">
        <v>0</v>
      </c>
      <c r="E30634" s="1">
        <v>2.8571428571428502E-3</v>
      </c>
      <c r="F30634" s="1">
        <v>6.2111801242236E-5</v>
      </c>
    </row>
    <row r="30635" spans="1:6" x14ac:dyDescent="0.25">
      <c r="A30635" s="2" t="str">
        <f t="shared" ref="A30635:A30665" si="1109">"29420"</f>
        <v>29420</v>
      </c>
      <c r="B30635" s="2" t="str">
        <f>"86427"</f>
        <v>86427</v>
      </c>
      <c r="C30635" s="1">
        <v>2.6933739840609101E-2</v>
      </c>
      <c r="D30635" s="1">
        <v>2.5174367916303401E-2</v>
      </c>
      <c r="E30635" s="1">
        <v>3.30961442991891E-4</v>
      </c>
      <c r="F30635" s="1">
        <v>2.5686404467446002E-2</v>
      </c>
    </row>
    <row r="30636" spans="1:6" x14ac:dyDescent="0.25">
      <c r="A30636" s="2" t="str">
        <f t="shared" si="1109"/>
        <v>29420</v>
      </c>
      <c r="B30636" s="2" t="str">
        <f>"86413"</f>
        <v>86413</v>
      </c>
      <c r="C30636" s="1">
        <v>4.4057595551588703E-2</v>
      </c>
      <c r="D30636" s="1">
        <v>1.8090671316477701E-2</v>
      </c>
      <c r="E30636" s="1">
        <v>1.09217276187324E-2</v>
      </c>
      <c r="F30636" s="1">
        <v>4.0965690352967703E-2</v>
      </c>
    </row>
    <row r="30637" spans="1:6" x14ac:dyDescent="0.25">
      <c r="A30637" s="2" t="str">
        <f t="shared" si="1109"/>
        <v>29420</v>
      </c>
      <c r="B30637" s="2" t="str">
        <f>"86443"</f>
        <v>86443</v>
      </c>
      <c r="C30637" s="1">
        <v>6.3187659450109296E-5</v>
      </c>
      <c r="D30637" s="1">
        <v>1.08979947689625E-4</v>
      </c>
      <c r="E30637" s="1">
        <v>1.6548072149594499E-4</v>
      </c>
      <c r="F30637" s="1">
        <v>7.0508933481872106E-5</v>
      </c>
    </row>
    <row r="30638" spans="1:6" x14ac:dyDescent="0.25">
      <c r="A30638" s="2" t="str">
        <f t="shared" si="1109"/>
        <v>29420</v>
      </c>
      <c r="B30638" s="2" t="str">
        <f>"86437"</f>
        <v>86437</v>
      </c>
      <c r="C30638" s="1">
        <v>3.3173521211307401E-4</v>
      </c>
      <c r="D30638" s="1">
        <v>0</v>
      </c>
      <c r="E30638" s="1">
        <v>1.6548072149594499E-4</v>
      </c>
      <c r="F30638" s="1">
        <v>3.0318841397205002E-4</v>
      </c>
    </row>
    <row r="30639" spans="1:6" x14ac:dyDescent="0.25">
      <c r="A30639" s="2" t="str">
        <f t="shared" si="1109"/>
        <v>29420</v>
      </c>
      <c r="B30639" s="2" t="str">
        <f>"86431"</f>
        <v>86431</v>
      </c>
      <c r="C30639" s="1">
        <v>0</v>
      </c>
      <c r="D30639" s="1">
        <v>0</v>
      </c>
      <c r="E30639" s="1">
        <v>1.6548072149594499E-4</v>
      </c>
      <c r="F30639" s="1">
        <v>7.0508933481872101E-6</v>
      </c>
    </row>
    <row r="30640" spans="1:6" x14ac:dyDescent="0.25">
      <c r="A30640" s="2" t="str">
        <f t="shared" si="1109"/>
        <v>29420</v>
      </c>
      <c r="B30640" s="2" t="str">
        <f>"86432"</f>
        <v>86432</v>
      </c>
      <c r="C30640" s="1">
        <v>1.4138238801961901E-2</v>
      </c>
      <c r="D30640" s="1">
        <v>1.0897994768962499E-3</v>
      </c>
      <c r="E30640" s="1">
        <v>0</v>
      </c>
      <c r="F30640" s="1">
        <v>1.2691608026736899E-2</v>
      </c>
    </row>
    <row r="30641" spans="1:6" x14ac:dyDescent="0.25">
      <c r="A30641" s="2" t="str">
        <f t="shared" si="1109"/>
        <v>29420</v>
      </c>
      <c r="B30641" s="2" t="str">
        <f>"86021"</f>
        <v>86021</v>
      </c>
      <c r="C30641" s="1">
        <v>0</v>
      </c>
      <c r="D30641" s="1">
        <v>4.3591979075850002E-4</v>
      </c>
      <c r="E30641" s="1">
        <v>0</v>
      </c>
      <c r="F30641" s="1">
        <v>2.82035733927488E-5</v>
      </c>
    </row>
    <row r="30642" spans="1:6" x14ac:dyDescent="0.25">
      <c r="A30642" s="2" t="str">
        <f t="shared" si="1109"/>
        <v>29420</v>
      </c>
      <c r="B30642" s="2" t="str">
        <f>"86438"</f>
        <v>86438</v>
      </c>
      <c r="C30642" s="1">
        <v>7.8984574312636705E-6</v>
      </c>
      <c r="D30642" s="1">
        <v>1.08979947689625E-4</v>
      </c>
      <c r="E30642" s="1">
        <v>0</v>
      </c>
      <c r="F30642" s="1">
        <v>1.41017866963744E-5</v>
      </c>
    </row>
    <row r="30643" spans="1:6" x14ac:dyDescent="0.25">
      <c r="A30643" s="2" t="str">
        <f t="shared" si="1109"/>
        <v>29420</v>
      </c>
      <c r="B30643" s="2" t="str">
        <f>"86411"</f>
        <v>86411</v>
      </c>
      <c r="C30643" s="1">
        <v>8.4513494514521295E-4</v>
      </c>
      <c r="D30643" s="1">
        <v>2.1795989537925001E-4</v>
      </c>
      <c r="E30643" s="1">
        <v>1.6548072149594499E-4</v>
      </c>
      <c r="F30643" s="1">
        <v>7.7559826830059296E-4</v>
      </c>
    </row>
    <row r="30644" spans="1:6" x14ac:dyDescent="0.25">
      <c r="A30644" s="2" t="str">
        <f t="shared" si="1109"/>
        <v>29420</v>
      </c>
      <c r="B30644" s="2" t="str">
        <f>"86426"</f>
        <v>86426</v>
      </c>
      <c r="C30644" s="1">
        <v>6.1134060517980801E-2</v>
      </c>
      <c r="D30644" s="1">
        <v>6.7022667829119406E-2</v>
      </c>
      <c r="E30644" s="1">
        <v>3.4916432235644501E-2</v>
      </c>
      <c r="F30644" s="1">
        <v>6.0397952420571603E-2</v>
      </c>
    </row>
    <row r="30645" spans="1:6" x14ac:dyDescent="0.25">
      <c r="A30645" s="2" t="str">
        <f t="shared" si="1109"/>
        <v>29420</v>
      </c>
      <c r="B30645" s="2" t="str">
        <f>"86404"</f>
        <v>86404</v>
      </c>
      <c r="C30645" s="1">
        <v>8.9015615250341601E-2</v>
      </c>
      <c r="D30645" s="1">
        <v>4.0104620749782001E-2</v>
      </c>
      <c r="E30645" s="1">
        <v>0.118980638755584</v>
      </c>
      <c r="F30645" s="1">
        <v>8.7127889103549405E-2</v>
      </c>
    </row>
    <row r="30646" spans="1:6" x14ac:dyDescent="0.25">
      <c r="A30646" s="2" t="str">
        <f t="shared" si="1109"/>
        <v>29420</v>
      </c>
      <c r="B30646" s="2" t="str">
        <f>"86430"</f>
        <v>86430</v>
      </c>
      <c r="C30646" s="1">
        <v>2.1404819638724499E-2</v>
      </c>
      <c r="D30646" s="1">
        <v>1.3077593722755E-2</v>
      </c>
      <c r="E30646" s="1">
        <v>3.30961442991891E-4</v>
      </c>
      <c r="F30646" s="1">
        <v>1.9968129962066102E-2</v>
      </c>
    </row>
    <row r="30647" spans="1:6" x14ac:dyDescent="0.25">
      <c r="A30647" s="2" t="str">
        <f t="shared" si="1109"/>
        <v>29420</v>
      </c>
      <c r="B30647" s="2" t="str">
        <f>"86434"</f>
        <v>86434</v>
      </c>
      <c r="C30647" s="1">
        <v>6.7136888165741199E-4</v>
      </c>
      <c r="D30647" s="1">
        <v>8.7183958151700004E-4</v>
      </c>
      <c r="E30647" s="1">
        <v>1.6548072149594499E-4</v>
      </c>
      <c r="F30647" s="1">
        <v>6.6278397472959805E-4</v>
      </c>
    </row>
    <row r="30648" spans="1:6" x14ac:dyDescent="0.25">
      <c r="A30648" s="2" t="str">
        <f t="shared" si="1109"/>
        <v>29420</v>
      </c>
      <c r="B30648" s="2" t="str">
        <f>"86440"</f>
        <v>86440</v>
      </c>
      <c r="C30648" s="1">
        <v>3.5456175408942602E-2</v>
      </c>
      <c r="D30648" s="1">
        <v>1.9943330427201301E-2</v>
      </c>
      <c r="E30648" s="1">
        <v>1.6879033592586402E-2</v>
      </c>
      <c r="F30648" s="1">
        <v>3.3660964844245703E-2</v>
      </c>
    </row>
    <row r="30649" spans="1:6" x14ac:dyDescent="0.25">
      <c r="A30649" s="2" t="str">
        <f t="shared" si="1109"/>
        <v>29420</v>
      </c>
      <c r="B30649" s="2" t="str">
        <f>"86433"</f>
        <v>86433</v>
      </c>
      <c r="C30649" s="1">
        <v>3.0803983981928299E-4</v>
      </c>
      <c r="D30649" s="1">
        <v>5.4489973844812497E-4</v>
      </c>
      <c r="E30649" s="1">
        <v>0</v>
      </c>
      <c r="F30649" s="1">
        <v>3.1023930732023699E-4</v>
      </c>
    </row>
    <row r="30650" spans="1:6" x14ac:dyDescent="0.25">
      <c r="A30650" s="2" t="str">
        <f t="shared" si="1109"/>
        <v>29420</v>
      </c>
      <c r="B30650" s="2" t="str">
        <f>"86446"</f>
        <v>86446</v>
      </c>
      <c r="C30650" s="1">
        <v>1.7368707891348801E-2</v>
      </c>
      <c r="D30650" s="1">
        <v>1.10069747166521E-2</v>
      </c>
      <c r="E30650" s="1">
        <v>3.30961442991891E-4</v>
      </c>
      <c r="F30650" s="1">
        <v>1.6231156487526901E-2</v>
      </c>
    </row>
    <row r="30651" spans="1:6" x14ac:dyDescent="0.25">
      <c r="A30651" s="2" t="str">
        <f t="shared" si="1109"/>
        <v>29420</v>
      </c>
      <c r="B30651" s="2" t="str">
        <f>"86412"</f>
        <v>86412</v>
      </c>
      <c r="C30651" s="1">
        <v>3.5306104717748601E-3</v>
      </c>
      <c r="D30651" s="1">
        <v>1.9616390584132502E-3</v>
      </c>
      <c r="E30651" s="1">
        <v>3.30961442991891E-4</v>
      </c>
      <c r="F30651" s="1">
        <v>3.29276719360342E-3</v>
      </c>
    </row>
    <row r="30652" spans="1:6" x14ac:dyDescent="0.25">
      <c r="A30652" s="2" t="str">
        <f t="shared" si="1109"/>
        <v>29420</v>
      </c>
      <c r="B30652" s="2" t="str">
        <f>"86436"</f>
        <v>86436</v>
      </c>
      <c r="C30652" s="1">
        <v>1.18476861468955E-4</v>
      </c>
      <c r="D30652" s="1">
        <v>1.0897994768962499E-3</v>
      </c>
      <c r="E30652" s="1">
        <v>0</v>
      </c>
      <c r="F30652" s="1">
        <v>1.7627233370467999E-4</v>
      </c>
    </row>
    <row r="30653" spans="1:6" x14ac:dyDescent="0.25">
      <c r="A30653" s="2" t="str">
        <f t="shared" si="1109"/>
        <v>29420</v>
      </c>
      <c r="B30653" s="2" t="str">
        <f>"86405"</f>
        <v>86405</v>
      </c>
      <c r="C30653" s="1">
        <v>2.0757146129360901E-2</v>
      </c>
      <c r="D30653" s="1">
        <v>7.4433304272013903E-2</v>
      </c>
      <c r="E30653" s="1">
        <v>3.30961442991891E-4</v>
      </c>
      <c r="F30653" s="1">
        <v>2.33596096625442E-2</v>
      </c>
    </row>
    <row r="30654" spans="1:6" x14ac:dyDescent="0.25">
      <c r="A30654" s="2" t="str">
        <f t="shared" si="1109"/>
        <v>29420</v>
      </c>
      <c r="B30654" s="2" t="str">
        <f>"86402"</f>
        <v>86402</v>
      </c>
      <c r="C30654" s="1">
        <v>1.7376606348780001E-2</v>
      </c>
      <c r="D30654" s="1">
        <v>3.2802964254577099E-2</v>
      </c>
      <c r="E30654" s="1">
        <v>6.6192288598378201E-4</v>
      </c>
      <c r="F30654" s="1">
        <v>1.76624878372089E-2</v>
      </c>
    </row>
    <row r="30655" spans="1:6" x14ac:dyDescent="0.25">
      <c r="A30655" s="2" t="str">
        <f t="shared" si="1109"/>
        <v>29420</v>
      </c>
      <c r="B30655" s="2" t="str">
        <f>"86445"</f>
        <v>86445</v>
      </c>
      <c r="C30655" s="1">
        <v>3.2462660042493702E-3</v>
      </c>
      <c r="D30655" s="1">
        <v>6.5387968613775003E-4</v>
      </c>
      <c r="E30655" s="1">
        <v>3.30961442991891E-4</v>
      </c>
      <c r="F30655" s="1">
        <v>2.95432431289044E-3</v>
      </c>
    </row>
    <row r="30656" spans="1:6" x14ac:dyDescent="0.25">
      <c r="A30656" s="2" t="str">
        <f t="shared" si="1109"/>
        <v>29420</v>
      </c>
      <c r="B30656" s="2" t="str">
        <f>"86441"</f>
        <v>86441</v>
      </c>
      <c r="C30656" s="1">
        <v>1.18239907746017E-2</v>
      </c>
      <c r="D30656" s="1">
        <v>9.9171752397558804E-3</v>
      </c>
      <c r="E30656" s="1">
        <v>4.9644216448783702E-4</v>
      </c>
      <c r="F30656" s="1">
        <v>1.1217971316965799E-2</v>
      </c>
    </row>
    <row r="30657" spans="1:6" x14ac:dyDescent="0.25">
      <c r="A30657" s="2" t="str">
        <f t="shared" si="1109"/>
        <v>29420</v>
      </c>
      <c r="B30657" s="2" t="str">
        <f>"86439"</f>
        <v>86439</v>
      </c>
      <c r="C30657" s="1">
        <v>1.6626252892810001E-2</v>
      </c>
      <c r="D30657" s="1">
        <v>1.96163905841325E-2</v>
      </c>
      <c r="E30657" s="1">
        <v>3.30961442991891E-4</v>
      </c>
      <c r="F30657" s="1">
        <v>1.61253930873041E-2</v>
      </c>
    </row>
    <row r="30658" spans="1:6" x14ac:dyDescent="0.25">
      <c r="A30658" s="2" t="str">
        <f t="shared" si="1109"/>
        <v>29420</v>
      </c>
      <c r="B30658" s="2" t="str">
        <f>"86409"</f>
        <v>86409</v>
      </c>
      <c r="C30658" s="1">
        <v>0.110531013293103</v>
      </c>
      <c r="D30658" s="1">
        <v>9.8517872711420998E-2</v>
      </c>
      <c r="E30658" s="1">
        <v>9.4489491974185005E-2</v>
      </c>
      <c r="F30658" s="1">
        <v>0.109070269203108</v>
      </c>
    </row>
    <row r="30659" spans="1:6" x14ac:dyDescent="0.25">
      <c r="A30659" s="2" t="str">
        <f t="shared" si="1109"/>
        <v>29420</v>
      </c>
      <c r="B30659" s="2" t="str">
        <f>"86442"</f>
        <v>86442</v>
      </c>
      <c r="C30659" s="1">
        <v>0.15732147511590899</v>
      </c>
      <c r="D30659" s="1">
        <v>0.16161726242371399</v>
      </c>
      <c r="E30659" s="1">
        <v>0.161840145623034</v>
      </c>
      <c r="F30659" s="1">
        <v>0.157791942239081</v>
      </c>
    </row>
    <row r="30660" spans="1:6" x14ac:dyDescent="0.25">
      <c r="A30660" s="2" t="str">
        <f t="shared" si="1109"/>
        <v>29420</v>
      </c>
      <c r="B30660" s="2" t="str">
        <f>"86403"</f>
        <v>86403</v>
      </c>
      <c r="C30660" s="1">
        <v>9.2348764286334803E-2</v>
      </c>
      <c r="D30660" s="1">
        <v>0.239102005231037</v>
      </c>
      <c r="E30660" s="1">
        <v>0.245242429256991</v>
      </c>
      <c r="F30660" s="1">
        <v>0.108358128974941</v>
      </c>
    </row>
    <row r="30661" spans="1:6" x14ac:dyDescent="0.25">
      <c r="A30661" s="2" t="str">
        <f t="shared" si="1109"/>
        <v>29420</v>
      </c>
      <c r="B30661" s="2" t="str">
        <f>"86406"</f>
        <v>86406</v>
      </c>
      <c r="C30661" s="1">
        <v>0.109891238241171</v>
      </c>
      <c r="D30661" s="1">
        <v>2.4520488230165598E-2</v>
      </c>
      <c r="E30661" s="1">
        <v>0.15786860830713201</v>
      </c>
      <c r="F30661" s="1">
        <v>0.10641208241084101</v>
      </c>
    </row>
    <row r="30662" spans="1:6" x14ac:dyDescent="0.25">
      <c r="A30662" s="2" t="str">
        <f t="shared" si="1109"/>
        <v>29420</v>
      </c>
      <c r="B30662" s="2" t="str">
        <f>"86444"</f>
        <v>86444</v>
      </c>
      <c r="C30662" s="1">
        <v>1.84034058148443E-3</v>
      </c>
      <c r="D30662" s="1">
        <v>5.4489973844812497E-4</v>
      </c>
      <c r="E30662" s="1">
        <v>0</v>
      </c>
      <c r="F30662" s="1">
        <v>1.67811261686855E-3</v>
      </c>
    </row>
    <row r="30663" spans="1:6" x14ac:dyDescent="0.25">
      <c r="A30663" s="2" t="str">
        <f t="shared" si="1109"/>
        <v>29420</v>
      </c>
      <c r="B30663" s="2" t="str">
        <f>"86429"</f>
        <v>86429</v>
      </c>
      <c r="C30663" s="1">
        <v>4.1024587897983501E-2</v>
      </c>
      <c r="D30663" s="1">
        <v>2.05972101133391E-2</v>
      </c>
      <c r="E30663" s="1">
        <v>6.5530365712394498E-2</v>
      </c>
      <c r="F30663" s="1">
        <v>4.0747112659173898E-2</v>
      </c>
    </row>
    <row r="30664" spans="1:6" x14ac:dyDescent="0.25">
      <c r="A30664" s="2" t="str">
        <f t="shared" si="1109"/>
        <v>29420</v>
      </c>
      <c r="B30664" s="2" t="str">
        <f>"86401"</f>
        <v>86401</v>
      </c>
      <c r="C30664" s="1">
        <v>0.10181901474641999</v>
      </c>
      <c r="D30664" s="1">
        <v>0.11682650392327799</v>
      </c>
      <c r="E30664" s="1">
        <v>8.8863147443322799E-2</v>
      </c>
      <c r="F30664" s="1">
        <v>0.102237953548714</v>
      </c>
    </row>
    <row r="30665" spans="1:6" x14ac:dyDescent="0.25">
      <c r="A30665" s="2" t="str">
        <f t="shared" si="1109"/>
        <v>29420</v>
      </c>
      <c r="B30665" s="2" t="str">
        <f>"85360"</f>
        <v>85360</v>
      </c>
      <c r="C30665" s="1">
        <v>7.8984574312636705E-6</v>
      </c>
      <c r="D30665" s="1">
        <v>0</v>
      </c>
      <c r="E30665" s="1">
        <v>1.6548072149594499E-4</v>
      </c>
      <c r="F30665" s="1">
        <v>1.41017866963744E-5</v>
      </c>
    </row>
    <row r="30666" spans="1:6" x14ac:dyDescent="0.25">
      <c r="A30666" s="2" t="str">
        <f t="shared" ref="A30666:A30687" si="1110">"23700"</f>
        <v>23700</v>
      </c>
      <c r="B30666" s="2" t="str">
        <f>"87045"</f>
        <v>87045</v>
      </c>
      <c r="C30666" s="1">
        <v>9.8805485916531408E-3</v>
      </c>
      <c r="D30666" s="1">
        <v>2.8425241614553698E-3</v>
      </c>
      <c r="E30666" s="1">
        <v>2.0833333333333298E-3</v>
      </c>
      <c r="F30666" s="1">
        <v>8.8601987215998906E-3</v>
      </c>
    </row>
    <row r="30667" spans="1:6" x14ac:dyDescent="0.25">
      <c r="A30667" s="2" t="str">
        <f t="shared" si="1110"/>
        <v>23700</v>
      </c>
      <c r="B30667" s="2" t="str">
        <f>"87365"</f>
        <v>87365</v>
      </c>
      <c r="C30667" s="1">
        <v>0</v>
      </c>
      <c r="D30667" s="1">
        <v>0</v>
      </c>
      <c r="E30667" s="1">
        <v>2.0833333333333298E-3</v>
      </c>
      <c r="F30667" s="1">
        <v>6.3287133725713505E-5</v>
      </c>
    </row>
    <row r="30668" spans="1:6" x14ac:dyDescent="0.25">
      <c r="A30668" s="2" t="str">
        <f t="shared" si="1110"/>
        <v>23700</v>
      </c>
      <c r="B30668" s="2" t="str">
        <f>"87327"</f>
        <v>87327</v>
      </c>
      <c r="C30668" s="1">
        <v>0</v>
      </c>
      <c r="D30668" s="1">
        <v>5.6850483229107401E-4</v>
      </c>
      <c r="E30668" s="1">
        <v>2.0833333333333298E-3</v>
      </c>
      <c r="F30668" s="1">
        <v>1.2657426745142701E-4</v>
      </c>
    </row>
    <row r="30669" spans="1:6" x14ac:dyDescent="0.25">
      <c r="A30669" s="2" t="str">
        <f t="shared" si="1110"/>
        <v>23700</v>
      </c>
      <c r="B30669" s="2" t="str">
        <f>"87312"</f>
        <v>87312</v>
      </c>
      <c r="C30669" s="1">
        <v>7.3735437251142802E-5</v>
      </c>
      <c r="D30669" s="1">
        <v>0</v>
      </c>
      <c r="E30669" s="1">
        <v>2.0833333333333298E-3</v>
      </c>
      <c r="F30669" s="1">
        <v>1.2657426745142701E-4</v>
      </c>
    </row>
    <row r="30670" spans="1:6" x14ac:dyDescent="0.25">
      <c r="A30670" s="2" t="str">
        <f t="shared" si="1110"/>
        <v>23700</v>
      </c>
      <c r="B30670" s="2" t="str">
        <f>"87302"</f>
        <v>87302</v>
      </c>
      <c r="C30670" s="1">
        <v>0</v>
      </c>
      <c r="D30670" s="1">
        <v>5.6850483229107401E-4</v>
      </c>
      <c r="E30670" s="1">
        <v>0</v>
      </c>
      <c r="F30670" s="1">
        <v>6.3287133725713505E-5</v>
      </c>
    </row>
    <row r="30671" spans="1:6" x14ac:dyDescent="0.25">
      <c r="A30671" s="2" t="str">
        <f t="shared" si="1110"/>
        <v>23700</v>
      </c>
      <c r="B30671" s="2" t="str">
        <f>"87321"</f>
        <v>87321</v>
      </c>
      <c r="C30671" s="1">
        <v>2.6176080224155698E-2</v>
      </c>
      <c r="D30671" s="1">
        <v>1.08015918135304E-2</v>
      </c>
      <c r="E30671" s="1">
        <v>2.0833333333333298E-3</v>
      </c>
      <c r="F30671" s="1">
        <v>2.3732675147142501E-2</v>
      </c>
    </row>
    <row r="30672" spans="1:6" x14ac:dyDescent="0.25">
      <c r="A30672" s="2" t="str">
        <f t="shared" si="1110"/>
        <v>23700</v>
      </c>
      <c r="B30672" s="2" t="str">
        <f>"87347"</f>
        <v>87347</v>
      </c>
      <c r="C30672" s="1">
        <v>0</v>
      </c>
      <c r="D30672" s="1">
        <v>5.6850483229107401E-4</v>
      </c>
      <c r="E30672" s="1">
        <v>2.0833333333333298E-3</v>
      </c>
      <c r="F30672" s="1">
        <v>1.2657426745142701E-4</v>
      </c>
    </row>
    <row r="30673" spans="1:6" x14ac:dyDescent="0.25">
      <c r="A30673" s="2" t="str">
        <f t="shared" si="1110"/>
        <v>23700</v>
      </c>
      <c r="B30673" s="2" t="str">
        <f>"87320"</f>
        <v>87320</v>
      </c>
      <c r="C30673" s="1">
        <v>0</v>
      </c>
      <c r="D30673" s="1">
        <v>0</v>
      </c>
      <c r="E30673" s="1">
        <v>2.0833333333333298E-3</v>
      </c>
      <c r="F30673" s="1">
        <v>6.3287133725713505E-5</v>
      </c>
    </row>
    <row r="30674" spans="1:6" x14ac:dyDescent="0.25">
      <c r="A30674" s="2" t="str">
        <f t="shared" si="1110"/>
        <v>23700</v>
      </c>
      <c r="B30674" s="2" t="str">
        <f>"87325"</f>
        <v>87325</v>
      </c>
      <c r="C30674" s="1">
        <v>0</v>
      </c>
      <c r="D30674" s="1">
        <v>2.8425241614553698E-3</v>
      </c>
      <c r="E30674" s="1">
        <v>4.1666666666666597E-3</v>
      </c>
      <c r="F30674" s="1">
        <v>4.4300993607999402E-4</v>
      </c>
    </row>
    <row r="30675" spans="1:6" x14ac:dyDescent="0.25">
      <c r="A30675" s="2" t="str">
        <f t="shared" si="1110"/>
        <v>23700</v>
      </c>
      <c r="B30675" s="2" t="str">
        <f>"87323"</f>
        <v>87323</v>
      </c>
      <c r="C30675" s="1">
        <v>1.2018876271936201E-2</v>
      </c>
      <c r="D30675" s="1">
        <v>1.7055144968732201E-3</v>
      </c>
      <c r="E30675" s="1">
        <v>6.2500000000000003E-3</v>
      </c>
      <c r="F30675" s="1">
        <v>1.0695525599645501E-2</v>
      </c>
    </row>
    <row r="30676" spans="1:6" x14ac:dyDescent="0.25">
      <c r="A30676" s="2" t="str">
        <f t="shared" si="1110"/>
        <v>23700</v>
      </c>
      <c r="B30676" s="2" t="str">
        <f>"87316"</f>
        <v>87316</v>
      </c>
      <c r="C30676" s="1">
        <v>0</v>
      </c>
      <c r="D30676" s="1">
        <v>0</v>
      </c>
      <c r="E30676" s="1">
        <v>4.1666666666666597E-3</v>
      </c>
      <c r="F30676" s="1">
        <v>1.2657426745142701E-4</v>
      </c>
    </row>
    <row r="30677" spans="1:6" x14ac:dyDescent="0.25">
      <c r="A30677" s="2" t="str">
        <f t="shared" si="1110"/>
        <v>23700</v>
      </c>
      <c r="B30677" s="2" t="str">
        <f>"87301"</f>
        <v>87301</v>
      </c>
      <c r="C30677" s="1">
        <v>0.65307476773337203</v>
      </c>
      <c r="D30677" s="1">
        <v>0.78681068789084696</v>
      </c>
      <c r="E30677" s="1">
        <v>0.95625000000000004</v>
      </c>
      <c r="F30677" s="1">
        <v>0.67717233086513495</v>
      </c>
    </row>
    <row r="30678" spans="1:6" x14ac:dyDescent="0.25">
      <c r="A30678" s="2" t="str">
        <f t="shared" si="1110"/>
        <v>23700</v>
      </c>
      <c r="B30678" s="2" t="str">
        <f>"87328"</f>
        <v>87328</v>
      </c>
      <c r="C30678" s="1">
        <v>0</v>
      </c>
      <c r="D30678" s="1">
        <v>5.6850483229107401E-4</v>
      </c>
      <c r="E30678" s="1">
        <v>2.0833333333333298E-3</v>
      </c>
      <c r="F30678" s="1">
        <v>1.2657426745142701E-4</v>
      </c>
    </row>
    <row r="30679" spans="1:6" x14ac:dyDescent="0.25">
      <c r="A30679" s="2" t="str">
        <f t="shared" si="1110"/>
        <v>23700</v>
      </c>
      <c r="B30679" s="2" t="str">
        <f>"87326"</f>
        <v>87326</v>
      </c>
      <c r="C30679" s="1">
        <v>0</v>
      </c>
      <c r="D30679" s="1">
        <v>0</v>
      </c>
      <c r="E30679" s="1">
        <v>2.0833333333333298E-3</v>
      </c>
      <c r="F30679" s="1">
        <v>6.3287133725713505E-5</v>
      </c>
    </row>
    <row r="30680" spans="1:6" x14ac:dyDescent="0.25">
      <c r="A30680" s="2" t="str">
        <f t="shared" si="1110"/>
        <v>23700</v>
      </c>
      <c r="B30680" s="2" t="str">
        <f>"87317"</f>
        <v>87317</v>
      </c>
      <c r="C30680" s="1">
        <v>5.0877451703288598E-3</v>
      </c>
      <c r="D30680" s="1">
        <v>0</v>
      </c>
      <c r="E30680" s="1">
        <v>2.0833333333333298E-3</v>
      </c>
      <c r="F30680" s="1">
        <v>4.4300993607999401E-3</v>
      </c>
    </row>
    <row r="30681" spans="1:6" x14ac:dyDescent="0.25">
      <c r="A30681" s="2" t="str">
        <f t="shared" si="1110"/>
        <v>23700</v>
      </c>
      <c r="B30681" s="2" t="str">
        <f>"87313"</f>
        <v>87313</v>
      </c>
      <c r="C30681" s="1">
        <v>0</v>
      </c>
      <c r="D30681" s="1">
        <v>0</v>
      </c>
      <c r="E30681" s="1">
        <v>2.0833333333333298E-3</v>
      </c>
      <c r="F30681" s="1">
        <v>6.3287133725713505E-5</v>
      </c>
    </row>
    <row r="30682" spans="1:6" x14ac:dyDescent="0.25">
      <c r="A30682" s="2" t="str">
        <f t="shared" si="1110"/>
        <v>23700</v>
      </c>
      <c r="B30682" s="2" t="str">
        <f>"87310"</f>
        <v>87310</v>
      </c>
      <c r="C30682" s="1">
        <v>0</v>
      </c>
      <c r="D30682" s="1">
        <v>1.13700966458214E-3</v>
      </c>
      <c r="E30682" s="1">
        <v>0</v>
      </c>
      <c r="F30682" s="1">
        <v>1.2657426745142701E-4</v>
      </c>
    </row>
    <row r="30683" spans="1:6" x14ac:dyDescent="0.25">
      <c r="A30683" s="2" t="str">
        <f t="shared" si="1110"/>
        <v>23700</v>
      </c>
      <c r="B30683" s="2" t="str">
        <f>"87322"</f>
        <v>87322</v>
      </c>
      <c r="C30683" s="1">
        <v>0</v>
      </c>
      <c r="D30683" s="1">
        <v>0</v>
      </c>
      <c r="E30683" s="1">
        <v>4.1666666666666597E-3</v>
      </c>
      <c r="F30683" s="1">
        <v>1.2657426745142701E-4</v>
      </c>
    </row>
    <row r="30684" spans="1:6" x14ac:dyDescent="0.25">
      <c r="A30684" s="2" t="str">
        <f t="shared" si="1110"/>
        <v>23700</v>
      </c>
      <c r="B30684" s="2" t="str">
        <f>"87319"</f>
        <v>87319</v>
      </c>
      <c r="C30684" s="1">
        <v>0</v>
      </c>
      <c r="D30684" s="1">
        <v>5.6850483229107401E-4</v>
      </c>
      <c r="E30684" s="1">
        <v>0</v>
      </c>
      <c r="F30684" s="1">
        <v>6.3287133725713505E-5</v>
      </c>
    </row>
    <row r="30685" spans="1:6" x14ac:dyDescent="0.25">
      <c r="A30685" s="2" t="str">
        <f t="shared" si="1110"/>
        <v>23700</v>
      </c>
      <c r="B30685" s="2" t="str">
        <f>"87311"</f>
        <v>87311</v>
      </c>
      <c r="C30685" s="1">
        <v>0</v>
      </c>
      <c r="D30685" s="1">
        <v>1.13700966458214E-3</v>
      </c>
      <c r="E30685" s="1">
        <v>0</v>
      </c>
      <c r="F30685" s="1">
        <v>1.2657426745142701E-4</v>
      </c>
    </row>
    <row r="30686" spans="1:6" x14ac:dyDescent="0.25">
      <c r="A30686" s="2" t="str">
        <f t="shared" si="1110"/>
        <v>23700</v>
      </c>
      <c r="B30686" s="2" t="str">
        <f>"87305"</f>
        <v>87305</v>
      </c>
      <c r="C30686" s="1">
        <v>0.29162365432826998</v>
      </c>
      <c r="D30686" s="1">
        <v>0.18988061398521799</v>
      </c>
      <c r="E30686" s="1">
        <v>2.0833333333333298E-3</v>
      </c>
      <c r="F30686" s="1">
        <v>0.271501803683311</v>
      </c>
    </row>
    <row r="30687" spans="1:6" x14ac:dyDescent="0.25">
      <c r="A30687" s="2" t="str">
        <f t="shared" si="1110"/>
        <v>23700</v>
      </c>
      <c r="B30687" s="2" t="str">
        <f>"87020"</f>
        <v>87020</v>
      </c>
      <c r="C30687" s="1">
        <v>2.064592243032E-3</v>
      </c>
      <c r="D30687" s="1">
        <v>0</v>
      </c>
      <c r="E30687" s="1">
        <v>0</v>
      </c>
      <c r="F30687" s="1">
        <v>1.77203974431997E-3</v>
      </c>
    </row>
    <row r="30688" spans="1:6" x14ac:dyDescent="0.25">
      <c r="A30688" s="2" t="str">
        <f t="shared" ref="A30688:A30727" si="1111">"39900"</f>
        <v>39900</v>
      </c>
      <c r="B30688" s="2" t="str">
        <f>"89599"</f>
        <v>89599</v>
      </c>
      <c r="C30688" s="1">
        <v>0</v>
      </c>
      <c r="D30688" s="1">
        <v>0</v>
      </c>
      <c r="E30688" s="1">
        <v>1.0515247108307E-4</v>
      </c>
      <c r="F30688" s="1">
        <v>3.7543597502599801E-6</v>
      </c>
    </row>
    <row r="30689" spans="1:6" x14ac:dyDescent="0.25">
      <c r="A30689" s="2" t="str">
        <f t="shared" si="1111"/>
        <v>39900</v>
      </c>
      <c r="B30689" s="2" t="str">
        <f>"89595"</f>
        <v>89595</v>
      </c>
      <c r="C30689" s="1">
        <v>0</v>
      </c>
      <c r="D30689" s="1">
        <v>0</v>
      </c>
      <c r="E30689" s="1">
        <v>1.0515247108307E-4</v>
      </c>
      <c r="F30689" s="1">
        <v>3.7543597502599801E-6</v>
      </c>
    </row>
    <row r="30690" spans="1:6" x14ac:dyDescent="0.25">
      <c r="A30690" s="2" t="str">
        <f t="shared" si="1111"/>
        <v>39900</v>
      </c>
      <c r="B30690" s="2" t="str">
        <f>"89521"</f>
        <v>89521</v>
      </c>
      <c r="C30690" s="1">
        <v>7.1665999547519094E-2</v>
      </c>
      <c r="D30690" s="1">
        <v>7.13624412102358E-2</v>
      </c>
      <c r="E30690" s="1">
        <v>6.7087276550998901E-2</v>
      </c>
      <c r="F30690" s="1">
        <v>7.1471746565699407E-2</v>
      </c>
    </row>
    <row r="30691" spans="1:6" x14ac:dyDescent="0.25">
      <c r="A30691" s="2" t="str">
        <f t="shared" si="1111"/>
        <v>39900</v>
      </c>
      <c r="B30691" s="2" t="str">
        <f>"89510"</f>
        <v>89510</v>
      </c>
      <c r="C30691" s="1">
        <v>1.14207897530498E-2</v>
      </c>
      <c r="D30691" s="1">
        <v>2.29604118060956E-2</v>
      </c>
      <c r="E30691" s="1">
        <v>2.2082018927444698E-3</v>
      </c>
      <c r="F30691" s="1">
        <v>1.22617389443491E-2</v>
      </c>
    </row>
    <row r="30692" spans="1:6" x14ac:dyDescent="0.25">
      <c r="A30692" s="2" t="str">
        <f t="shared" si="1111"/>
        <v>39900</v>
      </c>
      <c r="B30692" s="2" t="str">
        <f>"89508"</f>
        <v>89508</v>
      </c>
      <c r="C30692" s="1">
        <v>2.1884408555367899E-2</v>
      </c>
      <c r="D30692" s="1">
        <v>1.8886790356627001E-3</v>
      </c>
      <c r="E30692" s="1">
        <v>2.8391167192429001E-3</v>
      </c>
      <c r="F30692" s="1">
        <v>1.9177269604328001E-2</v>
      </c>
    </row>
    <row r="30693" spans="1:6" x14ac:dyDescent="0.25">
      <c r="A30693" s="2" t="str">
        <f t="shared" si="1111"/>
        <v>39900</v>
      </c>
      <c r="B30693" s="2" t="str">
        <f>"89450"</f>
        <v>89450</v>
      </c>
      <c r="C30693" s="1">
        <v>1.5575781834635601E-2</v>
      </c>
      <c r="D30693" s="1">
        <v>1.2368996037477299E-2</v>
      </c>
      <c r="E30693" s="1">
        <v>2.1030494216614E-4</v>
      </c>
      <c r="F30693" s="1">
        <v>1.47020727820181E-2</v>
      </c>
    </row>
    <row r="30694" spans="1:6" x14ac:dyDescent="0.25">
      <c r="A30694" s="2" t="str">
        <f t="shared" si="1111"/>
        <v>39900</v>
      </c>
      <c r="B30694" s="2" t="str">
        <f>"89441"</f>
        <v>89441</v>
      </c>
      <c r="C30694" s="1">
        <v>2.1993177981587501E-2</v>
      </c>
      <c r="D30694" s="1">
        <v>4.9253786616301797E-3</v>
      </c>
      <c r="E30694" s="1">
        <v>3.15457413249211E-3</v>
      </c>
      <c r="F30694" s="1">
        <v>1.9590249176856599E-2</v>
      </c>
    </row>
    <row r="30695" spans="1:6" x14ac:dyDescent="0.25">
      <c r="A30695" s="2" t="str">
        <f t="shared" si="1111"/>
        <v>39900</v>
      </c>
      <c r="B30695" s="2" t="str">
        <f>"89512"</f>
        <v>89512</v>
      </c>
      <c r="C30695" s="1">
        <v>5.3131689319712502E-2</v>
      </c>
      <c r="D30695" s="1">
        <v>3.04040291819427E-2</v>
      </c>
      <c r="E30695" s="1">
        <v>0.103470031545741</v>
      </c>
      <c r="F30695" s="1">
        <v>5.2624860619394198E-2</v>
      </c>
    </row>
    <row r="30696" spans="1:6" x14ac:dyDescent="0.25">
      <c r="A30696" s="2" t="str">
        <f t="shared" si="1111"/>
        <v>39900</v>
      </c>
      <c r="B30696" s="2" t="str">
        <f>"89503"</f>
        <v>89503</v>
      </c>
      <c r="C30696" s="1">
        <v>5.77435129914202E-2</v>
      </c>
      <c r="D30696" s="1">
        <v>4.9031589082694498E-2</v>
      </c>
      <c r="E30696" s="1">
        <v>8.7066246056782301E-2</v>
      </c>
      <c r="F30696" s="1">
        <v>5.7907244788010001E-2</v>
      </c>
    </row>
    <row r="30697" spans="1:6" x14ac:dyDescent="0.25">
      <c r="A30697" s="2" t="str">
        <f t="shared" si="1111"/>
        <v>39900</v>
      </c>
      <c r="B30697" s="2" t="str">
        <f>"89506"</f>
        <v>89506</v>
      </c>
      <c r="C30697" s="1">
        <v>7.2209846678616796E-2</v>
      </c>
      <c r="D30697" s="1">
        <v>3.3107432507499097E-2</v>
      </c>
      <c r="E30697" s="1">
        <v>2.21871713985278E-2</v>
      </c>
      <c r="F30697" s="1">
        <v>6.6459676299102294E-2</v>
      </c>
    </row>
    <row r="30698" spans="1:6" x14ac:dyDescent="0.25">
      <c r="A30698" s="2" t="str">
        <f t="shared" si="1111"/>
        <v>39900</v>
      </c>
      <c r="B30698" s="2" t="str">
        <f>"89451"</f>
        <v>89451</v>
      </c>
      <c r="C30698" s="1">
        <v>1.7533631506586999E-2</v>
      </c>
      <c r="D30698" s="1">
        <v>5.69196015257563E-2</v>
      </c>
      <c r="E30698" s="1">
        <v>5.3101997896950498E-2</v>
      </c>
      <c r="F30698" s="1">
        <v>2.2796472403578599E-2</v>
      </c>
    </row>
    <row r="30699" spans="1:6" x14ac:dyDescent="0.25">
      <c r="A30699" s="2" t="str">
        <f t="shared" si="1111"/>
        <v>39900</v>
      </c>
      <c r="B30699" s="2" t="str">
        <f>"89703"</f>
        <v>89703</v>
      </c>
      <c r="C30699" s="1">
        <v>1.7403108195123599E-5</v>
      </c>
      <c r="D30699" s="1">
        <v>0</v>
      </c>
      <c r="E30699" s="1">
        <v>2.1030494216614E-4</v>
      </c>
      <c r="F30699" s="1">
        <v>2.25261585015599E-5</v>
      </c>
    </row>
    <row r="30700" spans="1:6" x14ac:dyDescent="0.25">
      <c r="A30700" s="2" t="str">
        <f t="shared" si="1111"/>
        <v>39900</v>
      </c>
      <c r="B30700" s="2" t="str">
        <f>"89519"</f>
        <v>89519</v>
      </c>
      <c r="C30700" s="1">
        <v>1.8817110735977399E-2</v>
      </c>
      <c r="D30700" s="1">
        <v>7.1843869199718496E-3</v>
      </c>
      <c r="E30700" s="1">
        <v>1.6088328075709701E-2</v>
      </c>
      <c r="F30700" s="1">
        <v>1.7540368753214599E-2</v>
      </c>
    </row>
    <row r="30701" spans="1:6" x14ac:dyDescent="0.25">
      <c r="A30701" s="2" t="str">
        <f t="shared" si="1111"/>
        <v>39900</v>
      </c>
      <c r="B30701" s="2" t="str">
        <f>"89412"</f>
        <v>89412</v>
      </c>
      <c r="C30701" s="1">
        <v>0</v>
      </c>
      <c r="D30701" s="1">
        <v>3.70329222678961E-5</v>
      </c>
      <c r="E30701" s="1">
        <v>2.4185068349106202E-3</v>
      </c>
      <c r="F30701" s="1">
        <v>9.0104634006239696E-5</v>
      </c>
    </row>
    <row r="30702" spans="1:6" x14ac:dyDescent="0.25">
      <c r="A30702" s="2" t="str">
        <f t="shared" si="1111"/>
        <v>39900</v>
      </c>
      <c r="B30702" s="2" t="str">
        <f>"89431"</f>
        <v>89431</v>
      </c>
      <c r="C30702" s="1">
        <v>7.0352064878787299E-2</v>
      </c>
      <c r="D30702" s="1">
        <v>0.131503906973299</v>
      </c>
      <c r="E30702" s="1">
        <v>0.111356466876971</v>
      </c>
      <c r="F30702" s="1">
        <v>7.8015595610402499E-2</v>
      </c>
    </row>
    <row r="30703" spans="1:6" x14ac:dyDescent="0.25">
      <c r="A30703" s="2" t="str">
        <f t="shared" si="1111"/>
        <v>39900</v>
      </c>
      <c r="B30703" s="2" t="str">
        <f>"89557"</f>
        <v>89557</v>
      </c>
      <c r="C30703" s="1">
        <v>0</v>
      </c>
      <c r="D30703" s="1">
        <v>1.8516461133947999E-4</v>
      </c>
      <c r="E30703" s="1">
        <v>1.0515247108307E-4</v>
      </c>
      <c r="F30703" s="1">
        <v>2.25261585015599E-5</v>
      </c>
    </row>
    <row r="30704" spans="1:6" x14ac:dyDescent="0.25">
      <c r="A30704" s="2" t="str">
        <f t="shared" si="1111"/>
        <v>39900</v>
      </c>
      <c r="B30704" s="2" t="str">
        <f>"89515"</f>
        <v>89515</v>
      </c>
      <c r="C30704" s="1">
        <v>4.1114843110979602E-3</v>
      </c>
      <c r="D30704" s="1">
        <v>8.1102099766692509E-3</v>
      </c>
      <c r="E30704" s="1">
        <v>2.1030494216614E-4</v>
      </c>
      <c r="F30704" s="1">
        <v>4.3775834688031404E-3</v>
      </c>
    </row>
    <row r="30705" spans="1:6" x14ac:dyDescent="0.25">
      <c r="A30705" s="2" t="str">
        <f t="shared" si="1111"/>
        <v>39900</v>
      </c>
      <c r="B30705" s="2" t="str">
        <f>"89509"</f>
        <v>89509</v>
      </c>
      <c r="C30705" s="1">
        <v>7.6351786429056198E-2</v>
      </c>
      <c r="D30705" s="1">
        <v>6.5140910269229302E-2</v>
      </c>
      <c r="E30705" s="1">
        <v>0.12565720294426899</v>
      </c>
      <c r="F30705" s="1">
        <v>7.6975637959580498E-2</v>
      </c>
    </row>
    <row r="30706" spans="1:6" x14ac:dyDescent="0.25">
      <c r="A30706" s="2" t="str">
        <f t="shared" si="1111"/>
        <v>39900</v>
      </c>
      <c r="B30706" s="2" t="str">
        <f>"89507"</f>
        <v>89507</v>
      </c>
      <c r="C30706" s="1">
        <v>1.64198325820991E-2</v>
      </c>
      <c r="D30706" s="1">
        <v>5.6290041847202096E-3</v>
      </c>
      <c r="E30706" s="1">
        <v>2.1030494216614E-4</v>
      </c>
      <c r="F30706" s="1">
        <v>1.4747125099021201E-2</v>
      </c>
    </row>
    <row r="30707" spans="1:6" x14ac:dyDescent="0.25">
      <c r="A30707" s="2" t="str">
        <f t="shared" si="1111"/>
        <v>39900</v>
      </c>
      <c r="B30707" s="2" t="str">
        <f>"89505"</f>
        <v>89505</v>
      </c>
      <c r="C30707" s="1">
        <v>5.2861941142688003E-3</v>
      </c>
      <c r="D30707" s="1">
        <v>5.8141687960596902E-3</v>
      </c>
      <c r="E30707" s="1">
        <v>2.1030494216614E-4</v>
      </c>
      <c r="F30707" s="1">
        <v>5.1584902968572202E-3</v>
      </c>
    </row>
    <row r="30708" spans="1:6" x14ac:dyDescent="0.25">
      <c r="A30708" s="2" t="str">
        <f t="shared" si="1111"/>
        <v>39900</v>
      </c>
      <c r="B30708" s="2" t="str">
        <f>"89501"</f>
        <v>89501</v>
      </c>
      <c r="C30708" s="1">
        <v>1.3339482431562201E-2</v>
      </c>
      <c r="D30708" s="1">
        <v>4.1847202162722599E-2</v>
      </c>
      <c r="E30708" s="1">
        <v>2.9863301787592E-2</v>
      </c>
      <c r="F30708" s="1">
        <v>1.68195316811647E-2</v>
      </c>
    </row>
    <row r="30709" spans="1:6" x14ac:dyDescent="0.25">
      <c r="A30709" s="2" t="str">
        <f t="shared" si="1111"/>
        <v>39900</v>
      </c>
      <c r="B30709" s="2" t="str">
        <f>"89436"</f>
        <v>89436</v>
      </c>
      <c r="C30709" s="1">
        <v>7.9118880632080807E-2</v>
      </c>
      <c r="D30709" s="1">
        <v>2.9293041513905799E-2</v>
      </c>
      <c r="E30709" s="1">
        <v>2.5762355415352201E-2</v>
      </c>
      <c r="F30709" s="1">
        <v>7.2162548759747203E-2</v>
      </c>
    </row>
    <row r="30710" spans="1:6" x14ac:dyDescent="0.25">
      <c r="A30710" s="2" t="str">
        <f t="shared" si="1111"/>
        <v>39900</v>
      </c>
      <c r="B30710" s="2" t="str">
        <f>"89433"</f>
        <v>89433</v>
      </c>
      <c r="C30710" s="1">
        <v>3.3566244931344698E-2</v>
      </c>
      <c r="D30710" s="1">
        <v>7.8509795207939801E-3</v>
      </c>
      <c r="E30710" s="1">
        <v>8.4121976866456307E-3</v>
      </c>
      <c r="F30710" s="1">
        <v>3.0061158520331699E-2</v>
      </c>
    </row>
    <row r="30711" spans="1:6" x14ac:dyDescent="0.25">
      <c r="A30711" s="2" t="str">
        <f t="shared" si="1111"/>
        <v>39900</v>
      </c>
      <c r="B30711" s="2" t="str">
        <f>"89704"</f>
        <v>89704</v>
      </c>
      <c r="C30711" s="1">
        <v>9.1496841335862496E-3</v>
      </c>
      <c r="D30711" s="1">
        <v>1.5924156575195299E-3</v>
      </c>
      <c r="E30711" s="1">
        <v>3.15457413249211E-3</v>
      </c>
      <c r="F30711" s="1">
        <v>8.1694868165657301E-3</v>
      </c>
    </row>
    <row r="30712" spans="1:6" x14ac:dyDescent="0.25">
      <c r="A30712" s="2" t="str">
        <f t="shared" si="1111"/>
        <v>39900</v>
      </c>
      <c r="B30712" s="2" t="str">
        <f>"89513"</f>
        <v>89513</v>
      </c>
      <c r="C30712" s="1">
        <v>6.7524059797079697E-3</v>
      </c>
      <c r="D30712" s="1">
        <v>9.9618560900640602E-3</v>
      </c>
      <c r="E30712" s="1">
        <v>2.1030494216614E-4</v>
      </c>
      <c r="F30712" s="1">
        <v>6.8441978247239599E-3</v>
      </c>
    </row>
    <row r="30713" spans="1:6" x14ac:dyDescent="0.25">
      <c r="A30713" s="2" t="str">
        <f t="shared" si="1111"/>
        <v>39900</v>
      </c>
      <c r="B30713" s="2" t="str">
        <f>"89442"</f>
        <v>89442</v>
      </c>
      <c r="C30713" s="1">
        <v>0</v>
      </c>
      <c r="D30713" s="1">
        <v>3.70329222678961E-5</v>
      </c>
      <c r="E30713" s="1">
        <v>9.4637223974763398E-4</v>
      </c>
      <c r="F30713" s="1">
        <v>3.7543597502599802E-5</v>
      </c>
    </row>
    <row r="30714" spans="1:6" x14ac:dyDescent="0.25">
      <c r="A30714" s="2" t="str">
        <f t="shared" si="1111"/>
        <v>39900</v>
      </c>
      <c r="B30714" s="2" t="str">
        <f>"89424"</f>
        <v>89424</v>
      </c>
      <c r="C30714" s="1">
        <v>0</v>
      </c>
      <c r="D30714" s="1">
        <v>3.70329222678961E-5</v>
      </c>
      <c r="E30714" s="1">
        <v>1.0515247108307E-4</v>
      </c>
      <c r="F30714" s="1">
        <v>7.5087195005199696E-6</v>
      </c>
    </row>
    <row r="30715" spans="1:6" x14ac:dyDescent="0.25">
      <c r="A30715" s="2" t="str">
        <f t="shared" si="1111"/>
        <v>39900</v>
      </c>
      <c r="B30715" s="2" t="str">
        <f>"89432"</f>
        <v>89432</v>
      </c>
      <c r="C30715" s="1">
        <v>1.79469553262212E-2</v>
      </c>
      <c r="D30715" s="1">
        <v>1.6887012554160599E-2</v>
      </c>
      <c r="E30715" s="1">
        <v>2.1030494216614E-4</v>
      </c>
      <c r="F30715" s="1">
        <v>1.7206230735441499E-2</v>
      </c>
    </row>
    <row r="30716" spans="1:6" x14ac:dyDescent="0.25">
      <c r="A30716" s="2" t="str">
        <f t="shared" si="1111"/>
        <v>39900</v>
      </c>
      <c r="B30716" s="2" t="str">
        <f>"89511"</f>
        <v>89511</v>
      </c>
      <c r="C30716" s="1">
        <v>6.3338612276152506E-2</v>
      </c>
      <c r="D30716" s="1">
        <v>0.10013702181239099</v>
      </c>
      <c r="E30716" s="1">
        <v>4.9421661409043097E-2</v>
      </c>
      <c r="F30716" s="1">
        <v>6.6572307091610106E-2</v>
      </c>
    </row>
    <row r="30717" spans="1:6" x14ac:dyDescent="0.25">
      <c r="A30717" s="2" t="str">
        <f t="shared" si="1111"/>
        <v>39900</v>
      </c>
      <c r="B30717" s="2" t="str">
        <f>"89502"</f>
        <v>89502</v>
      </c>
      <c r="C30717" s="1">
        <v>8.8742799463984195E-2</v>
      </c>
      <c r="D30717" s="1">
        <v>0.206384475798985</v>
      </c>
      <c r="E30717" s="1">
        <v>0.202523659305993</v>
      </c>
      <c r="F30717" s="1">
        <v>0.104731619593252</v>
      </c>
    </row>
    <row r="30718" spans="1:6" x14ac:dyDescent="0.25">
      <c r="A30718" s="2" t="str">
        <f t="shared" si="1111"/>
        <v>39900</v>
      </c>
      <c r="B30718" s="2" t="str">
        <f>"89440"</f>
        <v>89440</v>
      </c>
      <c r="C30718" s="1">
        <v>0</v>
      </c>
      <c r="D30718" s="1">
        <v>3.70329222678961E-5</v>
      </c>
      <c r="E30718" s="1">
        <v>6.30914826498422E-4</v>
      </c>
      <c r="F30718" s="1">
        <v>2.62805182518199E-5</v>
      </c>
    </row>
    <row r="30719" spans="1:6" x14ac:dyDescent="0.25">
      <c r="A30719" s="2" t="str">
        <f t="shared" si="1111"/>
        <v>39900</v>
      </c>
      <c r="B30719" s="2" t="str">
        <f>"89402"</f>
        <v>89402</v>
      </c>
      <c r="C30719" s="1">
        <v>5.7343241502932404E-3</v>
      </c>
      <c r="D30719" s="1">
        <v>2.2219753360737601E-3</v>
      </c>
      <c r="E30719" s="1">
        <v>1.78759200841219E-3</v>
      </c>
      <c r="F30719" s="1">
        <v>5.2373318516126801E-3</v>
      </c>
    </row>
    <row r="30720" spans="1:6" x14ac:dyDescent="0.25">
      <c r="A30720" s="2" t="str">
        <f t="shared" si="1111"/>
        <v>39900</v>
      </c>
      <c r="B30720" s="2" t="str">
        <f>"89403"</f>
        <v>89403</v>
      </c>
      <c r="C30720" s="1">
        <v>1.3356885539757401E-3</v>
      </c>
      <c r="D30720" s="1">
        <v>3.70329222678961E-5</v>
      </c>
      <c r="E30720" s="1">
        <v>1.0515247108307E-4</v>
      </c>
      <c r="F30720" s="1">
        <v>1.1600971628303301E-3</v>
      </c>
    </row>
    <row r="30721" spans="1:6" x14ac:dyDescent="0.25">
      <c r="A30721" s="2" t="str">
        <f t="shared" si="1111"/>
        <v>39900</v>
      </c>
      <c r="B30721" s="2" t="str">
        <f>"89533"</f>
        <v>89533</v>
      </c>
      <c r="C30721" s="1">
        <v>4.6074728946589802E-3</v>
      </c>
      <c r="D30721" s="1">
        <v>9.3693293337777199E-3</v>
      </c>
      <c r="E30721" s="1">
        <v>2.1030494216614E-4</v>
      </c>
      <c r="F30721" s="1">
        <v>4.9332287118416199E-3</v>
      </c>
    </row>
    <row r="30722" spans="1:6" x14ac:dyDescent="0.25">
      <c r="A30722" s="2" t="str">
        <f t="shared" si="1111"/>
        <v>39900</v>
      </c>
      <c r="B30722" s="2" t="str">
        <f>"89504"</f>
        <v>89504</v>
      </c>
      <c r="C30722" s="1">
        <v>5.3862619863907597E-3</v>
      </c>
      <c r="D30722" s="1">
        <v>5.4438395733807298E-3</v>
      </c>
      <c r="E30722" s="1">
        <v>2.1030494216614E-4</v>
      </c>
      <c r="F30722" s="1">
        <v>5.2072969736106003E-3</v>
      </c>
    </row>
    <row r="30723" spans="1:6" x14ac:dyDescent="0.25">
      <c r="A30723" s="2" t="str">
        <f t="shared" si="1111"/>
        <v>39900</v>
      </c>
      <c r="B30723" s="2" t="str">
        <f>"89439"</f>
        <v>89439</v>
      </c>
      <c r="C30723" s="1">
        <v>1.8229755834392001E-3</v>
      </c>
      <c r="D30723" s="1">
        <v>3.70329222678961E-5</v>
      </c>
      <c r="E30723" s="1">
        <v>4.8370136698212404E-3</v>
      </c>
      <c r="F30723" s="1">
        <v>1.74953164362115E-3</v>
      </c>
    </row>
    <row r="30724" spans="1:6" x14ac:dyDescent="0.25">
      <c r="A30724" s="2" t="str">
        <f t="shared" si="1111"/>
        <v>39900</v>
      </c>
      <c r="B30724" s="2" t="str">
        <f>"89434"</f>
        <v>89434</v>
      </c>
      <c r="C30724" s="1">
        <v>5.2996815231200201E-2</v>
      </c>
      <c r="D30724" s="1">
        <v>2.94041402807095E-2</v>
      </c>
      <c r="E30724" s="1">
        <v>5.0578338590956798E-2</v>
      </c>
      <c r="F30724" s="1">
        <v>5.0518664799498403E-2</v>
      </c>
    </row>
    <row r="30725" spans="1:6" x14ac:dyDescent="0.25">
      <c r="A30725" s="2" t="str">
        <f t="shared" si="1111"/>
        <v>39900</v>
      </c>
      <c r="B30725" s="2" t="str">
        <f>"89570"</f>
        <v>89570</v>
      </c>
      <c r="C30725" s="1">
        <v>8.6580463270740098E-4</v>
      </c>
      <c r="D30725" s="1">
        <v>1.3702181239121499E-3</v>
      </c>
      <c r="E30725" s="1">
        <v>2.1030494216614E-4</v>
      </c>
      <c r="F30725" s="1">
        <v>8.9353762056187697E-4</v>
      </c>
    </row>
    <row r="30726" spans="1:6" x14ac:dyDescent="0.25">
      <c r="A30726" s="2" t="str">
        <f t="shared" si="1111"/>
        <v>39900</v>
      </c>
      <c r="B30726" s="2" t="str">
        <f>"89523"</f>
        <v>89523</v>
      </c>
      <c r="C30726" s="1">
        <v>7.3945806721080296E-2</v>
      </c>
      <c r="D30726" s="1">
        <v>2.0294041402806998E-2</v>
      </c>
      <c r="E30726" s="1">
        <v>2.26077812828601E-2</v>
      </c>
      <c r="F30726" s="1">
        <v>6.6673674804867106E-2</v>
      </c>
    </row>
    <row r="30727" spans="1:6" x14ac:dyDescent="0.25">
      <c r="A30727" s="2" t="str">
        <f t="shared" si="1111"/>
        <v>39900</v>
      </c>
      <c r="B30727" s="2" t="str">
        <f>"89435"</f>
        <v>89435</v>
      </c>
      <c r="C30727" s="1">
        <v>6.8350707436348104E-3</v>
      </c>
      <c r="D30727" s="1">
        <v>1.1183942524904599E-2</v>
      </c>
      <c r="E30727" s="1">
        <v>2.1030494216614E-4</v>
      </c>
      <c r="F30727" s="1">
        <v>7.0394245317374803E-3</v>
      </c>
    </row>
    <row r="30728" spans="1:6" x14ac:dyDescent="0.25">
      <c r="A30728" s="2" t="str">
        <f t="shared" ref="A30728:A30738" si="1112">"16180"</f>
        <v>16180</v>
      </c>
      <c r="B30728" s="2" t="str">
        <f>"89703"</f>
        <v>89703</v>
      </c>
      <c r="C30728" s="1">
        <v>0.16432325886990801</v>
      </c>
      <c r="D30728" s="1">
        <v>0.1056827473426</v>
      </c>
      <c r="E30728" s="1">
        <v>0.11742006615214901</v>
      </c>
      <c r="F30728" s="1">
        <v>0.15431001992139101</v>
      </c>
    </row>
    <row r="30729" spans="1:6" x14ac:dyDescent="0.25">
      <c r="A30729" s="2" t="str">
        <f t="shared" si="1112"/>
        <v>16180</v>
      </c>
      <c r="B30729" s="2" t="str">
        <f>"89702"</f>
        <v>89702</v>
      </c>
      <c r="C30729" s="1">
        <v>0.11041392904073501</v>
      </c>
      <c r="D30729" s="1">
        <v>0.135322976287816</v>
      </c>
      <c r="E30729" s="1">
        <v>1.10253583241455E-3</v>
      </c>
      <c r="F30729" s="1">
        <v>0.108356216012491</v>
      </c>
    </row>
    <row r="30730" spans="1:6" x14ac:dyDescent="0.25">
      <c r="A30730" s="2" t="str">
        <f t="shared" si="1112"/>
        <v>16180</v>
      </c>
      <c r="B30730" s="2" t="str">
        <f>"89721"</f>
        <v>89721</v>
      </c>
      <c r="C30730" s="1">
        <v>6.3074901445466403E-2</v>
      </c>
      <c r="D30730" s="1">
        <v>5.9689288634505303E-2</v>
      </c>
      <c r="E30730" s="1">
        <v>1.10253583241455E-3</v>
      </c>
      <c r="F30730" s="1">
        <v>5.9602649006622502E-2</v>
      </c>
    </row>
    <row r="30731" spans="1:6" x14ac:dyDescent="0.25">
      <c r="A30731" s="2" t="str">
        <f t="shared" si="1112"/>
        <v>16180</v>
      </c>
      <c r="B30731" s="2" t="str">
        <f>"89714"</f>
        <v>89714</v>
      </c>
      <c r="C30731" s="1">
        <v>0</v>
      </c>
      <c r="D30731" s="1">
        <v>0</v>
      </c>
      <c r="E30731" s="1">
        <v>5.5126791620727599E-4</v>
      </c>
      <c r="F30731" s="1">
        <v>2.6920799009314502E-5</v>
      </c>
    </row>
    <row r="30732" spans="1:6" x14ac:dyDescent="0.25">
      <c r="A30732" s="2" t="str">
        <f t="shared" si="1112"/>
        <v>16180</v>
      </c>
      <c r="B30732" s="2" t="str">
        <f>"89711"</f>
        <v>89711</v>
      </c>
      <c r="C30732" s="1">
        <v>0</v>
      </c>
      <c r="D30732" s="1">
        <v>4.0883074407195401E-4</v>
      </c>
      <c r="E30732" s="1">
        <v>5.5126791620727599E-4</v>
      </c>
      <c r="F30732" s="1">
        <v>8.0762397027943694E-5</v>
      </c>
    </row>
    <row r="30733" spans="1:6" x14ac:dyDescent="0.25">
      <c r="A30733" s="2" t="str">
        <f t="shared" si="1112"/>
        <v>16180</v>
      </c>
      <c r="B30733" s="2" t="str">
        <f>"89706"</f>
        <v>89706</v>
      </c>
      <c r="C30733" s="1">
        <v>0.28679369250985498</v>
      </c>
      <c r="D30733" s="1">
        <v>0.22628781684382601</v>
      </c>
      <c r="E30733" s="1">
        <v>0.36824696802646001</v>
      </c>
      <c r="F30733" s="1">
        <v>0.28280299359284899</v>
      </c>
    </row>
    <row r="30734" spans="1:6" x14ac:dyDescent="0.25">
      <c r="A30734" s="2" t="str">
        <f t="shared" si="1112"/>
        <v>16180</v>
      </c>
      <c r="B30734" s="2" t="str">
        <f>"89705"</f>
        <v>89705</v>
      </c>
      <c r="C30734" s="1">
        <v>9.8554533508541297E-4</v>
      </c>
      <c r="D30734" s="1">
        <v>4.0883074407195401E-4</v>
      </c>
      <c r="E30734" s="1">
        <v>0</v>
      </c>
      <c r="F30734" s="1">
        <v>8.6146556829806698E-4</v>
      </c>
    </row>
    <row r="30735" spans="1:6" x14ac:dyDescent="0.25">
      <c r="A30735" s="2" t="str">
        <f t="shared" si="1112"/>
        <v>16180</v>
      </c>
      <c r="B30735" s="2" t="str">
        <f>"89713"</f>
        <v>89713</v>
      </c>
      <c r="C30735" s="1">
        <v>0</v>
      </c>
      <c r="D30735" s="1">
        <v>2.04415372035977E-4</v>
      </c>
      <c r="E30735" s="1">
        <v>5.5126791620727599E-4</v>
      </c>
      <c r="F30735" s="1">
        <v>5.3841598018629098E-5</v>
      </c>
    </row>
    <row r="30736" spans="1:6" x14ac:dyDescent="0.25">
      <c r="A30736" s="2" t="str">
        <f t="shared" si="1112"/>
        <v>16180</v>
      </c>
      <c r="B30736" s="2" t="str">
        <f>"89423"</f>
        <v>89423</v>
      </c>
      <c r="C30736" s="1">
        <v>9.8554533508541305E-5</v>
      </c>
      <c r="D30736" s="1">
        <v>0</v>
      </c>
      <c r="E30736" s="1">
        <v>1.10253583241455E-3</v>
      </c>
      <c r="F30736" s="1">
        <v>1.3460399504657201E-4</v>
      </c>
    </row>
    <row r="30737" spans="1:6" x14ac:dyDescent="0.25">
      <c r="A30737" s="2" t="str">
        <f t="shared" si="1112"/>
        <v>16180</v>
      </c>
      <c r="B30737" s="2" t="str">
        <f>"89712"</f>
        <v>89712</v>
      </c>
      <c r="C30737" s="1">
        <v>0</v>
      </c>
      <c r="D30737" s="1">
        <v>2.04415372035977E-4</v>
      </c>
      <c r="E30737" s="1">
        <v>5.5126791620727599E-4</v>
      </c>
      <c r="F30737" s="1">
        <v>5.3841598018629098E-5</v>
      </c>
    </row>
    <row r="30738" spans="1:6" x14ac:dyDescent="0.25">
      <c r="A30738" s="2" t="str">
        <f t="shared" si="1112"/>
        <v>16180</v>
      </c>
      <c r="B30738" s="2" t="str">
        <f>"89701"</f>
        <v>89701</v>
      </c>
      <c r="C30738" s="1">
        <v>0.37431011826543997</v>
      </c>
      <c r="D30738" s="1">
        <v>0.47179067865903501</v>
      </c>
      <c r="E30738" s="1">
        <v>0.508820286659316</v>
      </c>
      <c r="F30738" s="1">
        <v>0.39371668551122502</v>
      </c>
    </row>
    <row r="30739" spans="1:6" x14ac:dyDescent="0.25">
      <c r="A30739" s="2" t="str">
        <f t="shared" ref="A30739:A30759" si="1113">"27060"</f>
        <v>27060</v>
      </c>
      <c r="B30739" s="2" t="str">
        <f>"14867"</f>
        <v>14867</v>
      </c>
      <c r="C30739" s="1">
        <v>5.7147861881719199E-2</v>
      </c>
      <c r="D30739" s="1">
        <v>1.3440860215053699E-2</v>
      </c>
      <c r="E30739" s="1">
        <v>2.6215936529837801E-2</v>
      </c>
      <c r="F30739" s="1">
        <v>5.2323580034423403E-2</v>
      </c>
    </row>
    <row r="30740" spans="1:6" x14ac:dyDescent="0.25">
      <c r="A30740" s="2" t="str">
        <f t="shared" si="1113"/>
        <v>27060</v>
      </c>
      <c r="B30740" s="2" t="str">
        <f>"14817"</f>
        <v>14817</v>
      </c>
      <c r="C30740" s="1">
        <v>2.6121608898425599E-2</v>
      </c>
      <c r="D30740" s="1">
        <v>3.7634408602150501E-3</v>
      </c>
      <c r="E30740" s="1">
        <v>1.27630217316315E-2</v>
      </c>
      <c r="F30740" s="1">
        <v>2.37903996940141E-2</v>
      </c>
    </row>
    <row r="30741" spans="1:6" x14ac:dyDescent="0.25">
      <c r="A30741" s="2" t="str">
        <f t="shared" si="1113"/>
        <v>27060</v>
      </c>
      <c r="B30741" s="2" t="str">
        <f>"13736"</f>
        <v>13736</v>
      </c>
      <c r="C30741" s="1">
        <v>3.0872982855641401E-3</v>
      </c>
      <c r="D30741" s="1">
        <v>8.0645161290322505E-4</v>
      </c>
      <c r="E30741" s="1">
        <v>0</v>
      </c>
      <c r="F30741" s="1">
        <v>2.7538726333906998E-3</v>
      </c>
    </row>
    <row r="30742" spans="1:6" x14ac:dyDescent="0.25">
      <c r="A30742" s="2" t="str">
        <f t="shared" si="1113"/>
        <v>27060</v>
      </c>
      <c r="B30742" s="2" t="str">
        <f>"13102"</f>
        <v>13102</v>
      </c>
      <c r="C30742" s="1">
        <v>5.9118477808675E-4</v>
      </c>
      <c r="D30742" s="1">
        <v>0</v>
      </c>
      <c r="E30742" s="1">
        <v>6.8989306657468003E-4</v>
      </c>
      <c r="F30742" s="1">
        <v>5.5459934978007201E-4</v>
      </c>
    </row>
    <row r="30743" spans="1:6" x14ac:dyDescent="0.25">
      <c r="A30743" s="2" t="str">
        <f t="shared" si="1113"/>
        <v>27060</v>
      </c>
      <c r="B30743" s="2" t="str">
        <f>"13864"</f>
        <v>13864</v>
      </c>
      <c r="C30743" s="1">
        <v>3.3500470758249198E-3</v>
      </c>
      <c r="D30743" s="1">
        <v>0</v>
      </c>
      <c r="E30743" s="1">
        <v>0</v>
      </c>
      <c r="F30743" s="1">
        <v>2.9259896729776202E-3</v>
      </c>
    </row>
    <row r="30744" spans="1:6" x14ac:dyDescent="0.25">
      <c r="A30744" s="2" t="str">
        <f t="shared" si="1113"/>
        <v>27060</v>
      </c>
      <c r="B30744" s="2" t="str">
        <f>"13062"</f>
        <v>13062</v>
      </c>
      <c r="C30744" s="1">
        <v>8.5393356834752895E-4</v>
      </c>
      <c r="D30744" s="1">
        <v>0</v>
      </c>
      <c r="E30744" s="1">
        <v>6.8989306657468003E-4</v>
      </c>
      <c r="F30744" s="1">
        <v>7.8408873589596402E-4</v>
      </c>
    </row>
    <row r="30745" spans="1:6" x14ac:dyDescent="0.25">
      <c r="A30745" s="2" t="str">
        <f t="shared" si="1113"/>
        <v>27060</v>
      </c>
      <c r="B30745" s="2" t="str">
        <f>"14881"</f>
        <v>14881</v>
      </c>
      <c r="C30745" s="1">
        <v>2.4742177749556599E-3</v>
      </c>
      <c r="D30745" s="1">
        <v>1.0752688172043E-3</v>
      </c>
      <c r="E30745" s="1">
        <v>1.0348395998620199E-3</v>
      </c>
      <c r="F30745" s="1">
        <v>2.2948938611589199E-3</v>
      </c>
    </row>
    <row r="30746" spans="1:6" x14ac:dyDescent="0.25">
      <c r="A30746" s="2" t="str">
        <f t="shared" si="1113"/>
        <v>27060</v>
      </c>
      <c r="B30746" s="2" t="str">
        <f>"14886"</f>
        <v>14886</v>
      </c>
      <c r="C30746" s="1">
        <v>4.0813645420507499E-2</v>
      </c>
      <c r="D30746" s="1">
        <v>9.6774193548386997E-3</v>
      </c>
      <c r="E30746" s="1">
        <v>1.69023801310796E-2</v>
      </c>
      <c r="F30746" s="1">
        <v>3.7272901128322801E-2</v>
      </c>
    </row>
    <row r="30747" spans="1:6" x14ac:dyDescent="0.25">
      <c r="A30747" s="2" t="str">
        <f t="shared" si="1113"/>
        <v>27060</v>
      </c>
      <c r="B30747" s="2" t="str">
        <f>"14882"</f>
        <v>14882</v>
      </c>
      <c r="C30747" s="1">
        <v>3.8711655098421303E-2</v>
      </c>
      <c r="D30747" s="1">
        <v>2.5000000000000001E-2</v>
      </c>
      <c r="E30747" s="1">
        <v>3.2769920662297301E-2</v>
      </c>
      <c r="F30747" s="1">
        <v>3.7406769936890398E-2</v>
      </c>
    </row>
    <row r="30748" spans="1:6" x14ac:dyDescent="0.25">
      <c r="A30748" s="2" t="str">
        <f t="shared" si="1113"/>
        <v>27060</v>
      </c>
      <c r="B30748" s="2" t="str">
        <f>"13068"</f>
        <v>13068</v>
      </c>
      <c r="C30748" s="1">
        <v>5.22870092618948E-2</v>
      </c>
      <c r="D30748" s="1">
        <v>1.5591397849462301E-2</v>
      </c>
      <c r="E30748" s="1">
        <v>2.7940669196274501E-2</v>
      </c>
      <c r="F30748" s="1">
        <v>4.83266398929049E-2</v>
      </c>
    </row>
    <row r="30749" spans="1:6" x14ac:dyDescent="0.25">
      <c r="A30749" s="2" t="str">
        <f t="shared" si="1113"/>
        <v>27060</v>
      </c>
      <c r="B30749" s="2" t="str">
        <f>"13092"</f>
        <v>13092</v>
      </c>
      <c r="C30749" s="1">
        <v>2.6712793676512401E-3</v>
      </c>
      <c r="D30749" s="1">
        <v>2.68817204301075E-4</v>
      </c>
      <c r="E30749" s="1">
        <v>3.4494653328734002E-4</v>
      </c>
      <c r="F30749" s="1">
        <v>2.37139032319755E-3</v>
      </c>
    </row>
    <row r="30750" spans="1:6" x14ac:dyDescent="0.25">
      <c r="A30750" s="2" t="str">
        <f t="shared" si="1113"/>
        <v>27060</v>
      </c>
      <c r="B30750" s="2" t="str">
        <f>"13081"</f>
        <v>13081</v>
      </c>
      <c r="C30750" s="1">
        <v>2.1895732521731501E-5</v>
      </c>
      <c r="D30750" s="1">
        <v>0</v>
      </c>
      <c r="E30750" s="1">
        <v>0</v>
      </c>
      <c r="F30750" s="1">
        <v>1.91241155096576E-5</v>
      </c>
    </row>
    <row r="30751" spans="1:6" x14ac:dyDescent="0.25">
      <c r="A30751" s="2" t="str">
        <f t="shared" si="1113"/>
        <v>27060</v>
      </c>
      <c r="B30751" s="2" t="str">
        <f>"14852"</f>
        <v>14852</v>
      </c>
      <c r="C30751" s="1">
        <v>1.7866917737732899E-2</v>
      </c>
      <c r="D30751" s="1">
        <v>4.94623655913978E-2</v>
      </c>
      <c r="E30751" s="1">
        <v>6.8989306657468003E-4</v>
      </c>
      <c r="F30751" s="1">
        <v>1.91623637406769E-2</v>
      </c>
    </row>
    <row r="30752" spans="1:6" x14ac:dyDescent="0.25">
      <c r="A30752" s="2" t="str">
        <f t="shared" si="1113"/>
        <v>27060</v>
      </c>
      <c r="B30752" s="2" t="str">
        <f>"13073"</f>
        <v>13073</v>
      </c>
      <c r="C30752" s="1">
        <v>6.1373738258413399E-2</v>
      </c>
      <c r="D30752" s="1">
        <v>2.63440860215053E-2</v>
      </c>
      <c r="E30752" s="1">
        <v>4.7947568126940301E-2</v>
      </c>
      <c r="F30752" s="1">
        <v>5.81373111493593E-2</v>
      </c>
    </row>
    <row r="30753" spans="1:6" x14ac:dyDescent="0.25">
      <c r="A30753" s="2" t="str">
        <f t="shared" si="1113"/>
        <v>27060</v>
      </c>
      <c r="B30753" s="2" t="str">
        <f>"13053"</f>
        <v>13053</v>
      </c>
      <c r="C30753" s="1">
        <v>3.3763219548509901E-2</v>
      </c>
      <c r="D30753" s="1">
        <v>1.04838709677419E-2</v>
      </c>
      <c r="E30753" s="1">
        <v>2.72507761296998E-2</v>
      </c>
      <c r="F30753" s="1">
        <v>3.1746031746031703E-2</v>
      </c>
    </row>
    <row r="30754" spans="1:6" x14ac:dyDescent="0.25">
      <c r="A30754" s="2" t="str">
        <f t="shared" si="1113"/>
        <v>27060</v>
      </c>
      <c r="B30754" s="2" t="str">
        <f>"14853"</f>
        <v>14853</v>
      </c>
      <c r="C30754" s="1">
        <v>2.1895732521731501E-5</v>
      </c>
      <c r="D30754" s="1">
        <v>4.2204301075268798E-2</v>
      </c>
      <c r="E30754" s="1">
        <v>3.4494653328734002E-4</v>
      </c>
      <c r="F30754" s="1">
        <v>3.0407343660355701E-3</v>
      </c>
    </row>
    <row r="30755" spans="1:6" x14ac:dyDescent="0.25">
      <c r="A30755" s="2" t="str">
        <f t="shared" si="1113"/>
        <v>27060</v>
      </c>
      <c r="B30755" s="2" t="str">
        <f>"14851"</f>
        <v>14851</v>
      </c>
      <c r="C30755" s="1">
        <v>1.8633268375993502E-2</v>
      </c>
      <c r="D30755" s="1">
        <v>0.108870967741935</v>
      </c>
      <c r="E30755" s="1">
        <v>3.4494653328734002E-4</v>
      </c>
      <c r="F30755" s="1">
        <v>2.40390131956397E-2</v>
      </c>
    </row>
    <row r="30756" spans="1:6" x14ac:dyDescent="0.25">
      <c r="A30756" s="2" t="str">
        <f t="shared" si="1113"/>
        <v>27060</v>
      </c>
      <c r="B30756" s="2" t="str">
        <f>"14883"</f>
        <v>14883</v>
      </c>
      <c r="C30756" s="1">
        <v>9.4151649843445505E-3</v>
      </c>
      <c r="D30756" s="1">
        <v>1.3440860215053699E-3</v>
      </c>
      <c r="E30756" s="1">
        <v>1.0348395998620199E-3</v>
      </c>
      <c r="F30756" s="1">
        <v>8.3763625932300606E-3</v>
      </c>
    </row>
    <row r="30757" spans="1:6" x14ac:dyDescent="0.25">
      <c r="A30757" s="2" t="str">
        <f t="shared" si="1113"/>
        <v>27060</v>
      </c>
      <c r="B30757" s="2" t="str">
        <f>"14850"</f>
        <v>14850</v>
      </c>
      <c r="C30757" s="1">
        <v>0.62818856604847695</v>
      </c>
      <c r="D30757" s="1">
        <v>0.69086021505376305</v>
      </c>
      <c r="E30757" s="1">
        <v>0.80269058295964102</v>
      </c>
      <c r="F30757" s="1">
        <v>0.64232166762287202</v>
      </c>
    </row>
    <row r="30758" spans="1:6" x14ac:dyDescent="0.25">
      <c r="A30758" s="2" t="str">
        <f t="shared" si="1113"/>
        <v>27060</v>
      </c>
      <c r="B30758" s="2" t="str">
        <f>"14854"</f>
        <v>14854</v>
      </c>
      <c r="C30758" s="1">
        <v>0</v>
      </c>
      <c r="D30758" s="1">
        <v>0</v>
      </c>
      <c r="E30758" s="1">
        <v>3.4494653328734002E-4</v>
      </c>
      <c r="F30758" s="1">
        <v>1.91241155096576E-5</v>
      </c>
    </row>
    <row r="30759" spans="1:6" x14ac:dyDescent="0.25">
      <c r="A30759" s="2" t="str">
        <f t="shared" si="1113"/>
        <v>27060</v>
      </c>
      <c r="B30759" s="2" t="str">
        <f>"13045"</f>
        <v>13045</v>
      </c>
      <c r="C30759" s="1">
        <v>2.6055921700860502E-3</v>
      </c>
      <c r="D30759" s="1">
        <v>8.0645161290322505E-4</v>
      </c>
      <c r="E30759" s="1">
        <v>0</v>
      </c>
      <c r="F30759" s="1">
        <v>2.3331420921782302E-3</v>
      </c>
    </row>
    <row r="30760" spans="1:6" x14ac:dyDescent="0.25">
      <c r="A30760" s="2" t="str">
        <f t="shared" ref="A30760:A30782" si="1114">"12860"</f>
        <v>12860</v>
      </c>
      <c r="B30760" s="2" t="str">
        <f>"14525"</f>
        <v>14525</v>
      </c>
      <c r="C30760" s="1">
        <v>2.5392800891245002E-2</v>
      </c>
      <c r="D30760" s="1">
        <v>1.3733468972533001E-2</v>
      </c>
      <c r="E30760" s="1">
        <v>5.67853705486044E-2</v>
      </c>
      <c r="F30760" s="1">
        <v>2.57266841162694E-2</v>
      </c>
    </row>
    <row r="30761" spans="1:6" x14ac:dyDescent="0.25">
      <c r="A30761" s="2" t="str">
        <f t="shared" si="1114"/>
        <v>12860</v>
      </c>
      <c r="B30761" s="2" t="str">
        <f>"14125"</f>
        <v>14125</v>
      </c>
      <c r="C30761" s="1">
        <v>5.6279051899657997E-2</v>
      </c>
      <c r="D30761" s="1">
        <v>3.25534079348931E-2</v>
      </c>
      <c r="E30761" s="1">
        <v>5.5822906641000897E-2</v>
      </c>
      <c r="F30761" s="1">
        <v>5.4656288745006103E-2</v>
      </c>
    </row>
    <row r="30762" spans="1:6" x14ac:dyDescent="0.25">
      <c r="A30762" s="2" t="str">
        <f t="shared" si="1114"/>
        <v>12860</v>
      </c>
      <c r="B30762" s="2" t="str">
        <f>"14416"</f>
        <v>14416</v>
      </c>
      <c r="C30762" s="1">
        <v>5.9429142176635502E-2</v>
      </c>
      <c r="D30762" s="1">
        <v>2.3906408952187101E-2</v>
      </c>
      <c r="E30762" s="1">
        <v>4.9085659287776702E-2</v>
      </c>
      <c r="F30762" s="1">
        <v>5.6653809064609401E-2</v>
      </c>
    </row>
    <row r="30763" spans="1:6" x14ac:dyDescent="0.25">
      <c r="A30763" s="2" t="str">
        <f t="shared" si="1114"/>
        <v>12860</v>
      </c>
      <c r="B30763" s="2" t="str">
        <f>"14058"</f>
        <v>14058</v>
      </c>
      <c r="C30763" s="1">
        <v>3.2230801736391201E-2</v>
      </c>
      <c r="D30763" s="1">
        <v>1.8819938962360099E-2</v>
      </c>
      <c r="E30763" s="1">
        <v>8.6621751684311799E-3</v>
      </c>
      <c r="F30763" s="1">
        <v>3.04794048767047E-2</v>
      </c>
    </row>
    <row r="30764" spans="1:6" x14ac:dyDescent="0.25">
      <c r="A30764" s="2" t="str">
        <f t="shared" si="1114"/>
        <v>12860</v>
      </c>
      <c r="B30764" s="2" t="str">
        <f>"14001"</f>
        <v>14001</v>
      </c>
      <c r="C30764" s="1">
        <v>6.9148323153163504E-3</v>
      </c>
      <c r="D30764" s="1">
        <v>5.5951169888097596E-3</v>
      </c>
      <c r="E30764" s="1">
        <v>5.7747834456207802E-3</v>
      </c>
      <c r="F30764" s="1">
        <v>6.7846810855489697E-3</v>
      </c>
    </row>
    <row r="30765" spans="1:6" x14ac:dyDescent="0.25">
      <c r="A30765" s="2" t="str">
        <f t="shared" si="1114"/>
        <v>12860</v>
      </c>
      <c r="B30765" s="2" t="str">
        <f>"14004"</f>
        <v>14004</v>
      </c>
      <c r="C30765" s="1">
        <v>2.7275171910414501E-3</v>
      </c>
      <c r="D30765" s="1">
        <v>0</v>
      </c>
      <c r="E30765" s="1">
        <v>0</v>
      </c>
      <c r="F30765" s="1">
        <v>2.44524039123846E-3</v>
      </c>
    </row>
    <row r="30766" spans="1:6" x14ac:dyDescent="0.25">
      <c r="A30766" s="2" t="str">
        <f t="shared" si="1114"/>
        <v>12860</v>
      </c>
      <c r="B30766" s="2" t="str">
        <f>"14040"</f>
        <v>14040</v>
      </c>
      <c r="C30766" s="1">
        <v>2.8043486612116302E-2</v>
      </c>
      <c r="D30766" s="1">
        <v>7.6297049847405896E-3</v>
      </c>
      <c r="E30766" s="1">
        <v>1.7324350336862301E-2</v>
      </c>
      <c r="F30766" s="1">
        <v>2.62777242044358E-2</v>
      </c>
    </row>
    <row r="30767" spans="1:6" x14ac:dyDescent="0.25">
      <c r="A30767" s="2" t="str">
        <f t="shared" si="1114"/>
        <v>12860</v>
      </c>
      <c r="B30767" s="2" t="str">
        <f>"14143"</f>
        <v>14143</v>
      </c>
      <c r="C30767" s="1">
        <v>1.95151934232261E-2</v>
      </c>
      <c r="D30767" s="1">
        <v>4.0691759918616401E-3</v>
      </c>
      <c r="E30767" s="1">
        <v>9.6246390760346395E-4</v>
      </c>
      <c r="F30767" s="1">
        <v>1.7805482848877199E-2</v>
      </c>
    </row>
    <row r="30768" spans="1:6" x14ac:dyDescent="0.25">
      <c r="A30768" s="2" t="str">
        <f t="shared" si="1114"/>
        <v>12860</v>
      </c>
      <c r="B30768" s="2" t="str">
        <f>"14056"</f>
        <v>14056</v>
      </c>
      <c r="C30768" s="1">
        <v>2.3049441051054501E-3</v>
      </c>
      <c r="D30768" s="1">
        <v>0</v>
      </c>
      <c r="E30768" s="1">
        <v>9.6246390760346395E-4</v>
      </c>
      <c r="F30768" s="1">
        <v>2.1008403361344498E-3</v>
      </c>
    </row>
    <row r="30769" spans="1:6" x14ac:dyDescent="0.25">
      <c r="A30769" s="2" t="str">
        <f t="shared" si="1114"/>
        <v>12860</v>
      </c>
      <c r="B30769" s="2" t="str">
        <f>"14020"</f>
        <v>14020</v>
      </c>
      <c r="C30769" s="1">
        <v>0.39376128462218102</v>
      </c>
      <c r="D30769" s="1">
        <v>0.56917599186164802</v>
      </c>
      <c r="E30769" s="1">
        <v>0.56400384985563001</v>
      </c>
      <c r="F30769" s="1">
        <v>0.41173026587684203</v>
      </c>
    </row>
    <row r="30770" spans="1:6" x14ac:dyDescent="0.25">
      <c r="A30770" s="2" t="str">
        <f t="shared" si="1114"/>
        <v>12860</v>
      </c>
      <c r="B30770" s="2" t="str">
        <f>"14103"</f>
        <v>14103</v>
      </c>
      <c r="C30770" s="1">
        <v>3.8415735085090797E-5</v>
      </c>
      <c r="D30770" s="1">
        <v>0</v>
      </c>
      <c r="E30770" s="1">
        <v>0</v>
      </c>
      <c r="F30770" s="1">
        <v>3.44400055104008E-5</v>
      </c>
    </row>
    <row r="30771" spans="1:6" x14ac:dyDescent="0.25">
      <c r="A30771" s="2" t="str">
        <f t="shared" si="1114"/>
        <v>12860</v>
      </c>
      <c r="B30771" s="2" t="str">
        <f>"14036"</f>
        <v>14036</v>
      </c>
      <c r="C30771" s="1">
        <v>7.8982751334946699E-2</v>
      </c>
      <c r="D30771" s="1">
        <v>3.25534079348931E-2</v>
      </c>
      <c r="E30771" s="1">
        <v>5.1010587102983597E-2</v>
      </c>
      <c r="F30771" s="1">
        <v>7.4838131974101094E-2</v>
      </c>
    </row>
    <row r="30772" spans="1:6" x14ac:dyDescent="0.25">
      <c r="A30772" s="2" t="str">
        <f t="shared" si="1114"/>
        <v>12860</v>
      </c>
      <c r="B30772" s="2" t="str">
        <f>"14021"</f>
        <v>14021</v>
      </c>
      <c r="C30772" s="1">
        <v>2.9119127194498801E-2</v>
      </c>
      <c r="D30772" s="1">
        <v>0.110376398779247</v>
      </c>
      <c r="E30772" s="1">
        <v>1.9249278152069201E-3</v>
      </c>
      <c r="F30772" s="1">
        <v>3.3647885383661598E-2</v>
      </c>
    </row>
    <row r="30773" spans="1:6" x14ac:dyDescent="0.25">
      <c r="A30773" s="2" t="str">
        <f t="shared" si="1114"/>
        <v>12860</v>
      </c>
      <c r="B30773" s="2" t="str">
        <f>"14591"</f>
        <v>14591</v>
      </c>
      <c r="C30773" s="1">
        <v>2.1128654296799902E-3</v>
      </c>
      <c r="D30773" s="1">
        <v>0</v>
      </c>
      <c r="E30773" s="1">
        <v>1.9249278152069201E-3</v>
      </c>
      <c r="F30773" s="1">
        <v>1.9630803140928501E-3</v>
      </c>
    </row>
    <row r="30774" spans="1:6" x14ac:dyDescent="0.25">
      <c r="A30774" s="2" t="str">
        <f t="shared" si="1114"/>
        <v>12860</v>
      </c>
      <c r="B30774" s="2" t="str">
        <f>"14482"</f>
        <v>14482</v>
      </c>
      <c r="C30774" s="1">
        <v>0.14294495025162299</v>
      </c>
      <c r="D30774" s="1">
        <v>0.13326551373346801</v>
      </c>
      <c r="E30774" s="1">
        <v>0.13378248315688099</v>
      </c>
      <c r="F30774" s="1">
        <v>0.14196170271387201</v>
      </c>
    </row>
    <row r="30775" spans="1:6" x14ac:dyDescent="0.25">
      <c r="A30775" s="2" t="str">
        <f t="shared" si="1114"/>
        <v>12860</v>
      </c>
      <c r="B30775" s="2" t="str">
        <f>"14054"</f>
        <v>14054</v>
      </c>
      <c r="C30775" s="1">
        <v>2.0898159886289399E-2</v>
      </c>
      <c r="D30775" s="1">
        <v>7.1210579857578799E-3</v>
      </c>
      <c r="E30775" s="1">
        <v>1.34744947064485E-2</v>
      </c>
      <c r="F30775" s="1">
        <v>1.9699683151949299E-2</v>
      </c>
    </row>
    <row r="30776" spans="1:6" x14ac:dyDescent="0.25">
      <c r="A30776" s="2" t="str">
        <f t="shared" si="1114"/>
        <v>12860</v>
      </c>
      <c r="B30776" s="2" t="str">
        <f>"14011"</f>
        <v>14011</v>
      </c>
      <c r="C30776" s="1">
        <v>1.0449079943144699E-2</v>
      </c>
      <c r="D30776" s="1">
        <v>1.5768056968463801E-2</v>
      </c>
      <c r="E30776" s="1">
        <v>1.9249278152069201E-3</v>
      </c>
      <c r="F30776" s="1">
        <v>1.05042016806722E-2</v>
      </c>
    </row>
    <row r="30777" spans="1:6" x14ac:dyDescent="0.25">
      <c r="A30777" s="2" t="str">
        <f t="shared" si="1114"/>
        <v>12860</v>
      </c>
      <c r="B30777" s="2" t="str">
        <f>"14557"</f>
        <v>14557</v>
      </c>
      <c r="C30777" s="1">
        <v>1.42138219814836E-3</v>
      </c>
      <c r="D30777" s="1">
        <v>0</v>
      </c>
      <c r="E30777" s="1">
        <v>9.6246390760346395E-4</v>
      </c>
      <c r="F30777" s="1">
        <v>1.3087202093952301E-3</v>
      </c>
    </row>
    <row r="30778" spans="1:6" x14ac:dyDescent="0.25">
      <c r="A30778" s="2" t="str">
        <f t="shared" si="1114"/>
        <v>12860</v>
      </c>
      <c r="B30778" s="2" t="str">
        <f>"14013"</f>
        <v>14013</v>
      </c>
      <c r="C30778" s="1">
        <v>2.7083093234989E-2</v>
      </c>
      <c r="D30778" s="1">
        <v>1.22075279755849E-2</v>
      </c>
      <c r="E30778" s="1">
        <v>4.8123195380173197E-3</v>
      </c>
      <c r="F30778" s="1">
        <v>2.52789640446342E-2</v>
      </c>
    </row>
    <row r="30779" spans="1:6" x14ac:dyDescent="0.25">
      <c r="A30779" s="2" t="str">
        <f t="shared" si="1114"/>
        <v>12860</v>
      </c>
      <c r="B30779" s="2" t="str">
        <f>"14105"</f>
        <v>14105</v>
      </c>
      <c r="C30779" s="1">
        <v>3.0732588068072599E-4</v>
      </c>
      <c r="D30779" s="1">
        <v>0</v>
      </c>
      <c r="E30779" s="1">
        <v>0</v>
      </c>
      <c r="F30779" s="1">
        <v>2.7552004408320699E-4</v>
      </c>
    </row>
    <row r="30780" spans="1:6" x14ac:dyDescent="0.25">
      <c r="A30780" s="2" t="str">
        <f t="shared" si="1114"/>
        <v>12860</v>
      </c>
      <c r="B30780" s="2" t="str">
        <f>"14428"</f>
        <v>14428</v>
      </c>
      <c r="C30780" s="1">
        <v>1.53662940340363E-4</v>
      </c>
      <c r="D30780" s="1">
        <v>0</v>
      </c>
      <c r="E30780" s="1">
        <v>0</v>
      </c>
      <c r="F30780" s="1">
        <v>1.3776002204160301E-4</v>
      </c>
    </row>
    <row r="30781" spans="1:6" x14ac:dyDescent="0.25">
      <c r="A30781" s="2" t="str">
        <f t="shared" si="1114"/>
        <v>12860</v>
      </c>
      <c r="B30781" s="2" t="str">
        <f>"14422"</f>
        <v>14422</v>
      </c>
      <c r="C30781" s="1">
        <v>3.35753524643694E-2</v>
      </c>
      <c r="D30781" s="1">
        <v>5.0864699898270603E-3</v>
      </c>
      <c r="E30781" s="1">
        <v>1.6361886429258898E-2</v>
      </c>
      <c r="F30781" s="1">
        <v>3.10304449648711E-2</v>
      </c>
    </row>
    <row r="30782" spans="1:6" x14ac:dyDescent="0.25">
      <c r="A30782" s="2" t="str">
        <f t="shared" si="1114"/>
        <v>12860</v>
      </c>
      <c r="B30782" s="2" t="str">
        <f>"14005"</f>
        <v>14005</v>
      </c>
      <c r="C30782" s="1">
        <v>2.63147785332872E-2</v>
      </c>
      <c r="D30782" s="1">
        <v>8.1383519837232906E-3</v>
      </c>
      <c r="E30782" s="1">
        <v>1.4436958614051899E-2</v>
      </c>
      <c r="F30782" s="1">
        <v>2.4659043945447E-2</v>
      </c>
    </row>
    <row r="30783" spans="1:6" x14ac:dyDescent="0.25">
      <c r="A30783" s="2" t="str">
        <f t="shared" ref="A30783:A30813" si="1115">"42380"</f>
        <v>42380</v>
      </c>
      <c r="B30783" s="2" t="str">
        <f>"18837"</f>
        <v>18837</v>
      </c>
      <c r="C30783" s="1">
        <v>4.3853776111408602E-2</v>
      </c>
      <c r="D30783" s="1">
        <v>3.11871227364185E-2</v>
      </c>
      <c r="E30783" s="1">
        <v>8.1680280046674408E-3</v>
      </c>
      <c r="F30783" s="1">
        <v>4.2149341321025699E-2</v>
      </c>
    </row>
    <row r="30784" spans="1:6" x14ac:dyDescent="0.25">
      <c r="A30784" s="2" t="str">
        <f t="shared" si="1115"/>
        <v>42380</v>
      </c>
      <c r="B30784" s="2" t="str">
        <f>"18840"</f>
        <v>18840</v>
      </c>
      <c r="C30784" s="1">
        <v>0.203099892876272</v>
      </c>
      <c r="D30784" s="1">
        <v>0.25955734406438602</v>
      </c>
      <c r="E30784" s="1">
        <v>0.30688448074679098</v>
      </c>
      <c r="F30784" s="1">
        <v>0.20924901427392401</v>
      </c>
    </row>
    <row r="30785" spans="1:6" x14ac:dyDescent="0.25">
      <c r="A30785" s="2" t="str">
        <f t="shared" si="1115"/>
        <v>42380</v>
      </c>
      <c r="B30785" s="2" t="str">
        <f>"18831"</f>
        <v>18831</v>
      </c>
      <c r="C30785" s="1">
        <v>1.8780128548473399E-2</v>
      </c>
      <c r="D30785" s="1">
        <v>8.5513078470824903E-3</v>
      </c>
      <c r="E30785" s="1">
        <v>2.3337222870478398E-3</v>
      </c>
      <c r="F30785" s="1">
        <v>1.77277867775162E-2</v>
      </c>
    </row>
    <row r="30786" spans="1:6" x14ac:dyDescent="0.25">
      <c r="A30786" s="2" t="str">
        <f t="shared" si="1115"/>
        <v>42380</v>
      </c>
      <c r="B30786" s="2" t="str">
        <f>"18616"</f>
        <v>18616</v>
      </c>
      <c r="C30786" s="1">
        <v>1.67380824852704E-4</v>
      </c>
      <c r="D30786" s="1">
        <v>0</v>
      </c>
      <c r="E30786" s="1">
        <v>0</v>
      </c>
      <c r="F30786" s="1">
        <v>1.52825748082036E-4</v>
      </c>
    </row>
    <row r="30787" spans="1:6" x14ac:dyDescent="0.25">
      <c r="A30787" s="2" t="str">
        <f t="shared" si="1115"/>
        <v>42380</v>
      </c>
      <c r="B30787" s="2" t="str">
        <f>"18623"</f>
        <v>18623</v>
      </c>
      <c r="C30787" s="1">
        <v>1.49303695768612E-2</v>
      </c>
      <c r="D30787" s="1">
        <v>8.0482897384305807E-3</v>
      </c>
      <c r="E30787" s="1">
        <v>4.6674445740956796E-3</v>
      </c>
      <c r="F30787" s="1">
        <v>1.42433597212458E-2</v>
      </c>
    </row>
    <row r="30788" spans="1:6" x14ac:dyDescent="0.25">
      <c r="A30788" s="2" t="str">
        <f t="shared" si="1115"/>
        <v>42380</v>
      </c>
      <c r="B30788" s="2" t="str">
        <f>"17724"</f>
        <v>17724</v>
      </c>
      <c r="C30788" s="1">
        <v>6.9831280128548404E-2</v>
      </c>
      <c r="D30788" s="1">
        <v>8.5010060362172998E-2</v>
      </c>
      <c r="E30788" s="1">
        <v>5.8343057176195999E-2</v>
      </c>
      <c r="F30788" s="1">
        <v>7.0452669865818898E-2</v>
      </c>
    </row>
    <row r="30789" spans="1:6" x14ac:dyDescent="0.25">
      <c r="A30789" s="2" t="str">
        <f t="shared" si="1115"/>
        <v>42380</v>
      </c>
      <c r="B30789" s="2" t="str">
        <f>"16926"</f>
        <v>16926</v>
      </c>
      <c r="C30789" s="1">
        <v>1.24866095340117E-2</v>
      </c>
      <c r="D30789" s="1">
        <v>4.5271629778671999E-3</v>
      </c>
      <c r="E30789" s="1">
        <v>0</v>
      </c>
      <c r="F30789" s="1">
        <v>1.1675887153467601E-2</v>
      </c>
    </row>
    <row r="30790" spans="1:6" x14ac:dyDescent="0.25">
      <c r="A30790" s="2" t="str">
        <f t="shared" si="1115"/>
        <v>42380</v>
      </c>
      <c r="B30790" s="2" t="str">
        <f>"18832"</f>
        <v>18832</v>
      </c>
      <c r="C30790" s="1">
        <v>2.5241028387787801E-2</v>
      </c>
      <c r="D30790" s="1">
        <v>1.55935613682092E-2</v>
      </c>
      <c r="E30790" s="1">
        <v>1.4002333722287E-2</v>
      </c>
      <c r="F30790" s="1">
        <v>2.4360424244276601E-2</v>
      </c>
    </row>
    <row r="30791" spans="1:6" x14ac:dyDescent="0.25">
      <c r="A30791" s="2" t="str">
        <f t="shared" si="1115"/>
        <v>42380</v>
      </c>
      <c r="B30791" s="2" t="str">
        <f>"16914"</f>
        <v>16914</v>
      </c>
      <c r="C30791" s="1">
        <v>3.3710498125334699E-2</v>
      </c>
      <c r="D30791" s="1">
        <v>1.00603621730382E-2</v>
      </c>
      <c r="E30791" s="1">
        <v>7.0011668611435198E-3</v>
      </c>
      <c r="F30791" s="1">
        <v>3.1573799553748803E-2</v>
      </c>
    </row>
    <row r="30792" spans="1:6" x14ac:dyDescent="0.25">
      <c r="A30792" s="2" t="str">
        <f t="shared" si="1115"/>
        <v>42380</v>
      </c>
      <c r="B30792" s="2" t="str">
        <f>"18854"</f>
        <v>18854</v>
      </c>
      <c r="C30792" s="1">
        <v>2.3065077664702699E-2</v>
      </c>
      <c r="D30792" s="1">
        <v>3.1690140845070401E-2</v>
      </c>
      <c r="E30792" s="1">
        <v>9.3348891481913592E-3</v>
      </c>
      <c r="F30792" s="1">
        <v>2.3229513708469599E-2</v>
      </c>
    </row>
    <row r="30793" spans="1:6" x14ac:dyDescent="0.25">
      <c r="A30793" s="2" t="str">
        <f t="shared" si="1115"/>
        <v>42380</v>
      </c>
      <c r="B30793" s="2" t="str">
        <f>"18850"</f>
        <v>18850</v>
      </c>
      <c r="C30793" s="1">
        <v>3.47482592394215E-2</v>
      </c>
      <c r="D30793" s="1">
        <v>1.2575452716297701E-2</v>
      </c>
      <c r="E30793" s="1">
        <v>1.05017502917152E-2</v>
      </c>
      <c r="F30793" s="1">
        <v>3.27658403887887E-2</v>
      </c>
    </row>
    <row r="30794" spans="1:6" x14ac:dyDescent="0.25">
      <c r="A30794" s="2" t="str">
        <f t="shared" si="1115"/>
        <v>42380</v>
      </c>
      <c r="B30794" s="2" t="str">
        <f>"18848"</f>
        <v>18848</v>
      </c>
      <c r="C30794" s="1">
        <v>0.14933717193358301</v>
      </c>
      <c r="D30794" s="1">
        <v>0.24094567404426501</v>
      </c>
      <c r="E30794" s="1">
        <v>0.29171528588098</v>
      </c>
      <c r="F30794" s="1">
        <v>0.15863312650915401</v>
      </c>
    </row>
    <row r="30795" spans="1:6" x14ac:dyDescent="0.25">
      <c r="A30795" s="2" t="str">
        <f t="shared" si="1115"/>
        <v>42380</v>
      </c>
      <c r="B30795" s="2" t="str">
        <f>"18810"</f>
        <v>18810</v>
      </c>
      <c r="C30795" s="1">
        <v>9.5875736475629303E-2</v>
      </c>
      <c r="D30795" s="1">
        <v>7.6458752515090503E-2</v>
      </c>
      <c r="E30795" s="1">
        <v>0.13535589264877401</v>
      </c>
      <c r="F30795" s="1">
        <v>9.5730048598587802E-2</v>
      </c>
    </row>
    <row r="30796" spans="1:6" x14ac:dyDescent="0.25">
      <c r="A30796" s="2" t="str">
        <f t="shared" si="1115"/>
        <v>42380</v>
      </c>
      <c r="B30796" s="2" t="str">
        <f>"17735"</f>
        <v>17735</v>
      </c>
      <c r="C30796" s="1">
        <v>8.3690412426352403E-4</v>
      </c>
      <c r="D30796" s="1">
        <v>1.50905432595573E-3</v>
      </c>
      <c r="E30796" s="1">
        <v>0</v>
      </c>
      <c r="F30796" s="1">
        <v>8.5582418925940604E-4</v>
      </c>
    </row>
    <row r="30797" spans="1:6" x14ac:dyDescent="0.25">
      <c r="A30797" s="2" t="str">
        <f t="shared" si="1115"/>
        <v>42380</v>
      </c>
      <c r="B30797" s="2" t="str">
        <f>"16910"</f>
        <v>16910</v>
      </c>
      <c r="C30797" s="1">
        <v>8.3690412426352403E-4</v>
      </c>
      <c r="D30797" s="1">
        <v>1.50905432595573E-3</v>
      </c>
      <c r="E30797" s="1">
        <v>0</v>
      </c>
      <c r="F30797" s="1">
        <v>8.5582418925940604E-4</v>
      </c>
    </row>
    <row r="30798" spans="1:6" x14ac:dyDescent="0.25">
      <c r="A30798" s="2" t="str">
        <f t="shared" si="1115"/>
        <v>42380</v>
      </c>
      <c r="B30798" s="2" t="str">
        <f>"18814"</f>
        <v>18814</v>
      </c>
      <c r="C30798" s="1">
        <v>1.77423674343867E-3</v>
      </c>
      <c r="D30798" s="1">
        <v>4.0241448692152904E-3</v>
      </c>
      <c r="E30798" s="1">
        <v>0</v>
      </c>
      <c r="F30798" s="1">
        <v>1.8644741266008399E-3</v>
      </c>
    </row>
    <row r="30799" spans="1:6" x14ac:dyDescent="0.25">
      <c r="A30799" s="2" t="str">
        <f t="shared" si="1115"/>
        <v>42380</v>
      </c>
      <c r="B30799" s="2" t="str">
        <f>"18818"</f>
        <v>18818</v>
      </c>
      <c r="C30799" s="1">
        <v>3.34761649705409E-5</v>
      </c>
      <c r="D30799" s="1">
        <v>0</v>
      </c>
      <c r="E30799" s="1">
        <v>0</v>
      </c>
      <c r="F30799" s="1">
        <v>3.0565149616407299E-5</v>
      </c>
    </row>
    <row r="30800" spans="1:6" x14ac:dyDescent="0.25">
      <c r="A30800" s="2" t="str">
        <f t="shared" si="1115"/>
        <v>42380</v>
      </c>
      <c r="B30800" s="2" t="str">
        <f>"16945"</f>
        <v>16945</v>
      </c>
      <c r="C30800" s="1">
        <v>5.3561863952865504E-4</v>
      </c>
      <c r="D30800" s="1">
        <v>2.01207243460764E-3</v>
      </c>
      <c r="E30800" s="1">
        <v>0</v>
      </c>
      <c r="F30800" s="1">
        <v>6.1130299232814705E-4</v>
      </c>
    </row>
    <row r="30801" spans="1:6" x14ac:dyDescent="0.25">
      <c r="A30801" s="2" t="str">
        <f t="shared" si="1115"/>
        <v>42380</v>
      </c>
      <c r="B30801" s="2" t="str">
        <f>"16947"</f>
        <v>16947</v>
      </c>
      <c r="C30801" s="1">
        <v>6.8458757364756206E-2</v>
      </c>
      <c r="D30801" s="1">
        <v>0.102615694164989</v>
      </c>
      <c r="E30801" s="1">
        <v>6.6511085180863405E-2</v>
      </c>
      <c r="F30801" s="1">
        <v>7.0483235015435394E-2</v>
      </c>
    </row>
    <row r="30802" spans="1:6" x14ac:dyDescent="0.25">
      <c r="A30802" s="2" t="str">
        <f t="shared" si="1115"/>
        <v>42380</v>
      </c>
      <c r="B30802" s="2" t="str">
        <f>"18853"</f>
        <v>18853</v>
      </c>
      <c r="C30802" s="1">
        <v>6.64836636314943E-2</v>
      </c>
      <c r="D30802" s="1">
        <v>5.1307847082494903E-2</v>
      </c>
      <c r="E30802" s="1">
        <v>3.1505250875145802E-2</v>
      </c>
      <c r="F30802" s="1">
        <v>6.4645291438701499E-2</v>
      </c>
    </row>
    <row r="30803" spans="1:6" x14ac:dyDescent="0.25">
      <c r="A30803" s="2" t="str">
        <f t="shared" si="1115"/>
        <v>42380</v>
      </c>
      <c r="B30803" s="2" t="str">
        <f>"18851"</f>
        <v>18851</v>
      </c>
      <c r="C30803" s="1">
        <v>1.1448848419925E-2</v>
      </c>
      <c r="D30803" s="1">
        <v>1.50905432595573E-3</v>
      </c>
      <c r="E30803" s="1">
        <v>0</v>
      </c>
      <c r="F30803" s="1">
        <v>1.05449766176605E-2</v>
      </c>
    </row>
    <row r="30804" spans="1:6" x14ac:dyDescent="0.25">
      <c r="A30804" s="2" t="str">
        <f t="shared" si="1115"/>
        <v>42380</v>
      </c>
      <c r="B30804" s="2" t="str">
        <f>"18846"</f>
        <v>18846</v>
      </c>
      <c r="C30804" s="1">
        <v>1.2386181039100099E-2</v>
      </c>
      <c r="D30804" s="1">
        <v>2.51509054325955E-3</v>
      </c>
      <c r="E30804" s="1">
        <v>0</v>
      </c>
      <c r="F30804" s="1">
        <v>1.1461931106152699E-2</v>
      </c>
    </row>
    <row r="30805" spans="1:6" x14ac:dyDescent="0.25">
      <c r="A30805" s="2" t="str">
        <f t="shared" si="1115"/>
        <v>42380</v>
      </c>
      <c r="B30805" s="2" t="str">
        <f>"18830"</f>
        <v>18830</v>
      </c>
      <c r="C30805" s="1">
        <v>6.6952329941081905E-4</v>
      </c>
      <c r="D30805" s="1">
        <v>0</v>
      </c>
      <c r="E30805" s="1">
        <v>0</v>
      </c>
      <c r="F30805" s="1">
        <v>6.1130299232814705E-4</v>
      </c>
    </row>
    <row r="30806" spans="1:6" x14ac:dyDescent="0.25">
      <c r="A30806" s="2" t="str">
        <f t="shared" si="1115"/>
        <v>42380</v>
      </c>
      <c r="B30806" s="2" t="str">
        <f>"18829"</f>
        <v>18829</v>
      </c>
      <c r="C30806" s="1">
        <v>1.2185324049276899E-2</v>
      </c>
      <c r="D30806" s="1">
        <v>5.0301810865191103E-3</v>
      </c>
      <c r="E30806" s="1">
        <v>2.3337222870478398E-3</v>
      </c>
      <c r="F30806" s="1">
        <v>1.14924962557691E-2</v>
      </c>
    </row>
    <row r="30807" spans="1:6" x14ac:dyDescent="0.25">
      <c r="A30807" s="2" t="str">
        <f t="shared" si="1115"/>
        <v>42380</v>
      </c>
      <c r="B30807" s="2" t="str">
        <f>"18614"</f>
        <v>18614</v>
      </c>
      <c r="C30807" s="1">
        <v>4.3519014461703201E-4</v>
      </c>
      <c r="D30807" s="1">
        <v>0</v>
      </c>
      <c r="E30807" s="1">
        <v>0</v>
      </c>
      <c r="F30807" s="1">
        <v>3.9734694501329502E-4</v>
      </c>
    </row>
    <row r="30808" spans="1:6" x14ac:dyDescent="0.25">
      <c r="A30808" s="2" t="str">
        <f t="shared" si="1115"/>
        <v>42380</v>
      </c>
      <c r="B30808" s="2" t="str">
        <f>"16925"</f>
        <v>16925</v>
      </c>
      <c r="C30808" s="1">
        <v>5.7344670594536601E-2</v>
      </c>
      <c r="D30808" s="1">
        <v>2.1629778672032099E-2</v>
      </c>
      <c r="E30808" s="1">
        <v>2.68378063010501E-2</v>
      </c>
      <c r="F30808" s="1">
        <v>5.4375401167588697E-2</v>
      </c>
    </row>
    <row r="30809" spans="1:6" x14ac:dyDescent="0.25">
      <c r="A30809" s="2" t="str">
        <f t="shared" si="1115"/>
        <v>42380</v>
      </c>
      <c r="B30809" s="2" t="str">
        <f>"18845"</f>
        <v>18845</v>
      </c>
      <c r="C30809" s="1">
        <v>5.5570433851098002E-3</v>
      </c>
      <c r="D30809" s="1">
        <v>3.5211267605633799E-3</v>
      </c>
      <c r="E30809" s="1">
        <v>0</v>
      </c>
      <c r="F30809" s="1">
        <v>5.2877708836384704E-3</v>
      </c>
    </row>
    <row r="30810" spans="1:6" x14ac:dyDescent="0.25">
      <c r="A30810" s="2" t="str">
        <f t="shared" si="1115"/>
        <v>42380</v>
      </c>
      <c r="B30810" s="2" t="str">
        <f>"18833"</f>
        <v>18833</v>
      </c>
      <c r="C30810" s="1">
        <v>2.9291644349223302E-2</v>
      </c>
      <c r="D30810" s="1">
        <v>1.00603621730382E-2</v>
      </c>
      <c r="E30810" s="1">
        <v>1.98366394399066E-2</v>
      </c>
      <c r="F30810" s="1">
        <v>2.78754164501635E-2</v>
      </c>
    </row>
    <row r="30811" spans="1:6" x14ac:dyDescent="0.25">
      <c r="A30811" s="2" t="str">
        <f t="shared" si="1115"/>
        <v>42380</v>
      </c>
      <c r="B30811" s="2" t="str">
        <f>"18817"</f>
        <v>18817</v>
      </c>
      <c r="C30811" s="1">
        <v>1.53990358864488E-3</v>
      </c>
      <c r="D30811" s="1">
        <v>3.5211267605633799E-3</v>
      </c>
      <c r="E30811" s="1">
        <v>0</v>
      </c>
      <c r="F30811" s="1">
        <v>1.61995292966959E-3</v>
      </c>
    </row>
    <row r="30812" spans="1:6" x14ac:dyDescent="0.25">
      <c r="A30812" s="2" t="str">
        <f t="shared" si="1115"/>
        <v>42380</v>
      </c>
      <c r="B30812" s="2" t="str">
        <f>"17765"</f>
        <v>17765</v>
      </c>
      <c r="C30812" s="1">
        <v>1.00428494911622E-4</v>
      </c>
      <c r="D30812" s="1">
        <v>0</v>
      </c>
      <c r="E30812" s="1">
        <v>0</v>
      </c>
      <c r="F30812" s="1">
        <v>9.1695448849222095E-5</v>
      </c>
    </row>
    <row r="30813" spans="1:6" x14ac:dyDescent="0.25">
      <c r="A30813" s="2" t="str">
        <f t="shared" si="1115"/>
        <v>42380</v>
      </c>
      <c r="B30813" s="2" t="str">
        <f>"16936"</f>
        <v>16936</v>
      </c>
      <c r="C30813" s="1">
        <v>4.9544724156400603E-3</v>
      </c>
      <c r="D30813" s="1">
        <v>5.0301810865191103E-3</v>
      </c>
      <c r="E30813" s="1">
        <v>4.6674445740956796E-3</v>
      </c>
      <c r="F30813" s="1">
        <v>4.9515542378579898E-3</v>
      </c>
    </row>
    <row r="30814" spans="1:6" x14ac:dyDescent="0.25">
      <c r="A30814" s="2" t="str">
        <f t="shared" ref="A30814:A30837" si="1116">"30140"</f>
        <v>30140</v>
      </c>
      <c r="B30814" s="2" t="str">
        <f>"17545"</f>
        <v>17545</v>
      </c>
      <c r="C30814" s="1">
        <v>4.1969827097275998E-3</v>
      </c>
      <c r="D30814" s="1">
        <v>3.4147622800105E-3</v>
      </c>
      <c r="E30814" s="1">
        <v>0</v>
      </c>
      <c r="F30814" s="1">
        <v>4.0336932020405697E-3</v>
      </c>
    </row>
    <row r="30815" spans="1:6" x14ac:dyDescent="0.25">
      <c r="A30815" s="2" t="str">
        <f t="shared" si="1116"/>
        <v>30140</v>
      </c>
      <c r="B30815" s="2" t="str">
        <f>"17026"</f>
        <v>17026</v>
      </c>
      <c r="C30815" s="1">
        <v>2.1487255108489499E-2</v>
      </c>
      <c r="D30815" s="1">
        <v>1.1032308904649299E-2</v>
      </c>
      <c r="E30815" s="1">
        <v>2.0898641588296702E-3</v>
      </c>
      <c r="F30815" s="1">
        <v>2.0346423063234E-2</v>
      </c>
    </row>
    <row r="30816" spans="1:6" x14ac:dyDescent="0.25">
      <c r="A30816" s="2" t="str">
        <f t="shared" si="1116"/>
        <v>30140</v>
      </c>
      <c r="B30816" s="2" t="str">
        <f>"19567"</f>
        <v>19567</v>
      </c>
      <c r="C30816" s="1">
        <v>6.4818265787298801E-5</v>
      </c>
      <c r="D30816" s="1">
        <v>2.6267402153926902E-4</v>
      </c>
      <c r="E30816" s="1">
        <v>0</v>
      </c>
      <c r="F30816" s="1">
        <v>7.4148772096334006E-5</v>
      </c>
    </row>
    <row r="30817" spans="1:6" x14ac:dyDescent="0.25">
      <c r="A30817" s="2" t="str">
        <f t="shared" si="1116"/>
        <v>30140</v>
      </c>
      <c r="B30817" s="2" t="str">
        <f>"17041"</f>
        <v>17041</v>
      </c>
      <c r="C30817" s="1">
        <v>3.2409132893649401E-5</v>
      </c>
      <c r="D30817" s="1">
        <v>2.6267402153926902E-4</v>
      </c>
      <c r="E30817" s="1">
        <v>5.2246603970741896E-4</v>
      </c>
      <c r="F30817" s="1">
        <v>5.93190176770672E-5</v>
      </c>
    </row>
    <row r="30818" spans="1:6" x14ac:dyDescent="0.25">
      <c r="A30818" s="2" t="str">
        <f t="shared" si="1116"/>
        <v>30140</v>
      </c>
      <c r="B30818" s="2" t="str">
        <f>"17038"</f>
        <v>17038</v>
      </c>
      <c r="C30818" s="1">
        <v>5.0817520377242298E-2</v>
      </c>
      <c r="D30818" s="1">
        <v>3.5198318886262098E-2</v>
      </c>
      <c r="E30818" s="1">
        <v>2.7168234064785701E-2</v>
      </c>
      <c r="F30818" s="1">
        <v>4.92644441808043E-2</v>
      </c>
    </row>
    <row r="30819" spans="1:6" x14ac:dyDescent="0.25">
      <c r="A30819" s="2" t="str">
        <f t="shared" si="1116"/>
        <v>30140</v>
      </c>
      <c r="B30819" s="2" t="str">
        <f>"17016"</f>
        <v>17016</v>
      </c>
      <c r="C30819" s="1">
        <v>5.1854612629839E-3</v>
      </c>
      <c r="D30819" s="1">
        <v>7.61754662463882E-3</v>
      </c>
      <c r="E30819" s="1">
        <v>1.0449320794148299E-3</v>
      </c>
      <c r="F30819" s="1">
        <v>5.2052438011626501E-3</v>
      </c>
    </row>
    <row r="30820" spans="1:6" x14ac:dyDescent="0.25">
      <c r="A30820" s="2" t="str">
        <f t="shared" si="1116"/>
        <v>30140</v>
      </c>
      <c r="B30820" s="2" t="str">
        <f>"17033"</f>
        <v>17033</v>
      </c>
      <c r="C30820" s="1">
        <v>1.3935927144269201E-3</v>
      </c>
      <c r="D30820" s="1">
        <v>1.57604412923561E-3</v>
      </c>
      <c r="E30820" s="1">
        <v>0</v>
      </c>
      <c r="F30820" s="1">
        <v>1.3643374065725399E-3</v>
      </c>
    </row>
    <row r="30821" spans="1:6" x14ac:dyDescent="0.25">
      <c r="A30821" s="2" t="str">
        <f t="shared" si="1116"/>
        <v>30140</v>
      </c>
      <c r="B30821" s="2" t="str">
        <f>"17963"</f>
        <v>17963</v>
      </c>
      <c r="C30821" s="1">
        <v>5.8336439208568896E-4</v>
      </c>
      <c r="D30821" s="1">
        <v>2.6267402153926902E-4</v>
      </c>
      <c r="E30821" s="1">
        <v>1.0449320794148299E-3</v>
      </c>
      <c r="F30821" s="1">
        <v>5.7836042235140503E-4</v>
      </c>
    </row>
    <row r="30822" spans="1:6" x14ac:dyDescent="0.25">
      <c r="A30822" s="2" t="str">
        <f t="shared" si="1116"/>
        <v>30140</v>
      </c>
      <c r="B30822" s="2" t="str">
        <f>"17085"</f>
        <v>17085</v>
      </c>
      <c r="C30822" s="1">
        <v>0</v>
      </c>
      <c r="D30822" s="1">
        <v>0</v>
      </c>
      <c r="E30822" s="1">
        <v>5.2246603970741896E-4</v>
      </c>
      <c r="F30822" s="1">
        <v>1.48297544192668E-5</v>
      </c>
    </row>
    <row r="30823" spans="1:6" x14ac:dyDescent="0.25">
      <c r="A30823" s="2" t="str">
        <f t="shared" si="1116"/>
        <v>30140</v>
      </c>
      <c r="B30823" s="2" t="str">
        <f>"17064"</f>
        <v>17064</v>
      </c>
      <c r="C30823" s="1">
        <v>4.90998363338788E-3</v>
      </c>
      <c r="D30823" s="1">
        <v>7.8802206461780903E-4</v>
      </c>
      <c r="E30823" s="1">
        <v>0</v>
      </c>
      <c r="F30823" s="1">
        <v>4.53790485229564E-3</v>
      </c>
    </row>
    <row r="30824" spans="1:6" x14ac:dyDescent="0.25">
      <c r="A30824" s="2" t="str">
        <f t="shared" si="1116"/>
        <v>30140</v>
      </c>
      <c r="B30824" s="2" t="str">
        <f>"17046"</f>
        <v>17046</v>
      </c>
      <c r="C30824" s="1">
        <v>0.21555314287566199</v>
      </c>
      <c r="D30824" s="1">
        <v>0.159443131074336</v>
      </c>
      <c r="E30824" s="1">
        <v>0.31713688610240298</v>
      </c>
      <c r="F30824" s="1">
        <v>0.21526871515007701</v>
      </c>
    </row>
    <row r="30825" spans="1:6" x14ac:dyDescent="0.25">
      <c r="A30825" s="2" t="str">
        <f t="shared" si="1116"/>
        <v>30140</v>
      </c>
      <c r="B30825" s="2" t="str">
        <f>"17087"</f>
        <v>17087</v>
      </c>
      <c r="C30825" s="1">
        <v>9.7227398680948193E-3</v>
      </c>
      <c r="D30825" s="1">
        <v>8.14289466771736E-3</v>
      </c>
      <c r="E30825" s="1">
        <v>4.7021943573667697E-3</v>
      </c>
      <c r="F30825" s="1">
        <v>9.4910428283307598E-3</v>
      </c>
    </row>
    <row r="30826" spans="1:6" x14ac:dyDescent="0.25">
      <c r="A30826" s="2" t="str">
        <f t="shared" si="1116"/>
        <v>30140</v>
      </c>
      <c r="B30826" s="2" t="str">
        <f>"17003"</f>
        <v>17003</v>
      </c>
      <c r="C30826" s="1">
        <v>9.6190306428351496E-2</v>
      </c>
      <c r="D30826" s="1">
        <v>7.3286052009456204E-2</v>
      </c>
      <c r="E30826" s="1">
        <v>9.8746081504702099E-2</v>
      </c>
      <c r="F30826" s="1">
        <v>9.4969747300984605E-2</v>
      </c>
    </row>
    <row r="30827" spans="1:6" x14ac:dyDescent="0.25">
      <c r="A30827" s="2" t="str">
        <f t="shared" si="1116"/>
        <v>30140</v>
      </c>
      <c r="B30827" s="2" t="str">
        <f>"17042"</f>
        <v>17042</v>
      </c>
      <c r="C30827" s="1">
        <v>0.29732138516633899</v>
      </c>
      <c r="D30827" s="1">
        <v>0.43577620173364801</v>
      </c>
      <c r="E30827" s="1">
        <v>0.35736677115987397</v>
      </c>
      <c r="F30827" s="1">
        <v>0.30684244868904897</v>
      </c>
    </row>
    <row r="30828" spans="1:6" x14ac:dyDescent="0.25">
      <c r="A30828" s="2" t="str">
        <f t="shared" si="1116"/>
        <v>30140</v>
      </c>
      <c r="B30828" s="2" t="str">
        <f>"17010"</f>
        <v>17010</v>
      </c>
      <c r="C30828" s="1">
        <v>3.2409132893649401E-5</v>
      </c>
      <c r="D30828" s="1">
        <v>0</v>
      </c>
      <c r="E30828" s="1">
        <v>5.2246603970741896E-4</v>
      </c>
      <c r="F30828" s="1">
        <v>4.44892632578004E-5</v>
      </c>
    </row>
    <row r="30829" spans="1:6" x14ac:dyDescent="0.25">
      <c r="A30829" s="2" t="str">
        <f t="shared" si="1116"/>
        <v>30140</v>
      </c>
      <c r="B30829" s="2" t="str">
        <f>"17083"</f>
        <v>17083</v>
      </c>
      <c r="C30829" s="1">
        <v>1.62045664468247E-5</v>
      </c>
      <c r="D30829" s="1">
        <v>2.6267402153926902E-4</v>
      </c>
      <c r="E30829" s="1">
        <v>0</v>
      </c>
      <c r="F30829" s="1">
        <v>2.96595088385336E-5</v>
      </c>
    </row>
    <row r="30830" spans="1:6" x14ac:dyDescent="0.25">
      <c r="A30830" s="2" t="str">
        <f t="shared" si="1116"/>
        <v>30140</v>
      </c>
      <c r="B30830" s="2" t="str">
        <f>"17088"</f>
        <v>17088</v>
      </c>
      <c r="C30830" s="1">
        <v>1.5394338124483399E-3</v>
      </c>
      <c r="D30830" s="1">
        <v>7.8802206461780903E-4</v>
      </c>
      <c r="E30830" s="1">
        <v>5.2246603970741896E-4</v>
      </c>
      <c r="F30830" s="1">
        <v>1.4681456875074101E-3</v>
      </c>
    </row>
    <row r="30831" spans="1:6" x14ac:dyDescent="0.25">
      <c r="A30831" s="2" t="str">
        <f t="shared" si="1116"/>
        <v>30140</v>
      </c>
      <c r="B30831" s="2" t="str">
        <f>"19551"</f>
        <v>19551</v>
      </c>
      <c r="C30831" s="1">
        <v>1.9607525400657899E-3</v>
      </c>
      <c r="D30831" s="1">
        <v>5.2534804307853903E-4</v>
      </c>
      <c r="E30831" s="1">
        <v>0</v>
      </c>
      <c r="F30831" s="1">
        <v>1.82405979356981E-3</v>
      </c>
    </row>
    <row r="30832" spans="1:6" x14ac:dyDescent="0.25">
      <c r="A30832" s="2" t="str">
        <f t="shared" si="1116"/>
        <v>30140</v>
      </c>
      <c r="B30832" s="2" t="str">
        <f>"17077"</f>
        <v>17077</v>
      </c>
      <c r="C30832" s="1">
        <v>6.96796357213462E-4</v>
      </c>
      <c r="D30832" s="1">
        <v>2.6267402153926902E-4</v>
      </c>
      <c r="E30832" s="1">
        <v>0</v>
      </c>
      <c r="F30832" s="1">
        <v>6.5250919444773895E-4</v>
      </c>
    </row>
    <row r="30833" spans="1:6" x14ac:dyDescent="0.25">
      <c r="A30833" s="2" t="str">
        <f t="shared" si="1116"/>
        <v>30140</v>
      </c>
      <c r="B30833" s="2" t="str">
        <f>"17028"</f>
        <v>17028</v>
      </c>
      <c r="C30833" s="1">
        <v>6.8221224741132E-3</v>
      </c>
      <c r="D30833" s="1">
        <v>6.56685053848174E-3</v>
      </c>
      <c r="E30833" s="1">
        <v>8.3594566353186999E-3</v>
      </c>
      <c r="F30833" s="1">
        <v>6.8513465417012597E-3</v>
      </c>
    </row>
    <row r="30834" spans="1:6" x14ac:dyDescent="0.25">
      <c r="A30834" s="2" t="str">
        <f t="shared" si="1116"/>
        <v>30140</v>
      </c>
      <c r="B30834" s="2" t="str">
        <f>"17078"</f>
        <v>17078</v>
      </c>
      <c r="C30834" s="1">
        <v>0.15559624702241001</v>
      </c>
      <c r="D30834" s="1">
        <v>0.14919884423430499</v>
      </c>
      <c r="E30834" s="1">
        <v>0.12068965517241299</v>
      </c>
      <c r="F30834" s="1">
        <v>0.15424427571479399</v>
      </c>
    </row>
    <row r="30835" spans="1:6" x14ac:dyDescent="0.25">
      <c r="A30835" s="2" t="str">
        <f t="shared" si="1116"/>
        <v>30140</v>
      </c>
      <c r="B30835" s="2" t="str">
        <f>"17073"</f>
        <v>17073</v>
      </c>
      <c r="C30835" s="1">
        <v>3.4969454392247697E-2</v>
      </c>
      <c r="D30835" s="1">
        <v>1.28710270554242E-2</v>
      </c>
      <c r="E30835" s="1">
        <v>4.7021943573667697E-3</v>
      </c>
      <c r="F30835" s="1">
        <v>3.2862735793095198E-2</v>
      </c>
    </row>
    <row r="30836" spans="1:6" x14ac:dyDescent="0.25">
      <c r="A30836" s="2" t="str">
        <f t="shared" si="1116"/>
        <v>30140</v>
      </c>
      <c r="B30836" s="2" t="str">
        <f>"17067"</f>
        <v>17067</v>
      </c>
      <c r="C30836" s="1">
        <v>9.05673218713033E-2</v>
      </c>
      <c r="D30836" s="1">
        <v>9.2461255581822901E-2</v>
      </c>
      <c r="E30836" s="1">
        <v>5.4336468129571498E-2</v>
      </c>
      <c r="F30836" s="1">
        <v>8.96458654644679E-2</v>
      </c>
    </row>
    <row r="30837" spans="1:6" x14ac:dyDescent="0.25">
      <c r="A30837" s="2" t="str">
        <f t="shared" si="1116"/>
        <v>30140</v>
      </c>
      <c r="B30837" s="2" t="str">
        <f>"17039"</f>
        <v>17039</v>
      </c>
      <c r="C30837" s="1">
        <v>3.4029589538331898E-4</v>
      </c>
      <c r="D30837" s="1">
        <v>0</v>
      </c>
      <c r="E30837" s="1">
        <v>5.2246603970741896E-4</v>
      </c>
      <c r="F30837" s="1">
        <v>3.2625459722386899E-4</v>
      </c>
    </row>
    <row r="30838" spans="1:6" x14ac:dyDescent="0.25">
      <c r="A30838" s="2" t="str">
        <f t="shared" ref="A30838:A30852" si="1117">"30260"</f>
        <v>30260</v>
      </c>
      <c r="B30838" s="2" t="str">
        <f>"17885"</f>
        <v>17885</v>
      </c>
      <c r="C30838" s="1">
        <v>9.6838231733888504E-5</v>
      </c>
      <c r="D30838" s="1">
        <v>5.9488399762046404E-4</v>
      </c>
      <c r="E30838" s="1">
        <v>0</v>
      </c>
      <c r="F30838" s="1">
        <v>1.31147540983606E-4</v>
      </c>
    </row>
    <row r="30839" spans="1:6" x14ac:dyDescent="0.25">
      <c r="A30839" s="2" t="str">
        <f t="shared" si="1117"/>
        <v>30260</v>
      </c>
      <c r="B30839" s="2" t="str">
        <f>"17844"</f>
        <v>17844</v>
      </c>
      <c r="C30839" s="1">
        <v>0.21362513920495799</v>
      </c>
      <c r="D30839" s="1">
        <v>0.193932183224271</v>
      </c>
      <c r="E30839" s="1">
        <v>0.23659889094269801</v>
      </c>
      <c r="F30839" s="1">
        <v>0.21272131147540899</v>
      </c>
    </row>
    <row r="30840" spans="1:6" x14ac:dyDescent="0.25">
      <c r="A30840" s="2" t="str">
        <f t="shared" si="1117"/>
        <v>30260</v>
      </c>
      <c r="B30840" s="2" t="str">
        <f>"17856"</f>
        <v>17856</v>
      </c>
      <c r="C30840" s="1">
        <v>7.3839151697090002E-2</v>
      </c>
      <c r="D30840" s="1">
        <v>3.4503271861986901E-2</v>
      </c>
      <c r="E30840" s="1">
        <v>4.6210720887245801E-2</v>
      </c>
      <c r="F30840" s="1">
        <v>7.0295081967213097E-2</v>
      </c>
    </row>
    <row r="30841" spans="1:6" x14ac:dyDescent="0.25">
      <c r="A30841" s="2" t="str">
        <f t="shared" si="1117"/>
        <v>30260</v>
      </c>
      <c r="B30841" s="2" t="str">
        <f>"17835"</f>
        <v>17835</v>
      </c>
      <c r="C30841" s="1">
        <v>9.6838231733888504E-5</v>
      </c>
      <c r="D30841" s="1">
        <v>1.1897679952409201E-3</v>
      </c>
      <c r="E30841" s="1">
        <v>0</v>
      </c>
      <c r="F30841" s="1">
        <v>1.74863387978142E-4</v>
      </c>
    </row>
    <row r="30842" spans="1:6" x14ac:dyDescent="0.25">
      <c r="A30842" s="2" t="str">
        <f t="shared" si="1117"/>
        <v>30260</v>
      </c>
      <c r="B30842" s="2" t="str">
        <f>"17886"</f>
        <v>17886</v>
      </c>
      <c r="C30842" s="1">
        <v>1.8254006681837898E-2</v>
      </c>
      <c r="D30842" s="1">
        <v>8.3283759666864902E-3</v>
      </c>
      <c r="E30842" s="1">
        <v>1.47874306839186E-2</v>
      </c>
      <c r="F30842" s="1">
        <v>1.7442622950819602E-2</v>
      </c>
    </row>
    <row r="30843" spans="1:6" x14ac:dyDescent="0.25">
      <c r="A30843" s="2" t="str">
        <f t="shared" si="1117"/>
        <v>30260</v>
      </c>
      <c r="B30843" s="2" t="str">
        <f>"17855"</f>
        <v>17855</v>
      </c>
      <c r="C30843" s="1">
        <v>2.2611727109862902E-2</v>
      </c>
      <c r="D30843" s="1">
        <v>4.7590719809637097E-3</v>
      </c>
      <c r="E30843" s="1">
        <v>0</v>
      </c>
      <c r="F30843" s="1">
        <v>2.07650273224043E-2</v>
      </c>
    </row>
    <row r="30844" spans="1:6" x14ac:dyDescent="0.25">
      <c r="A30844" s="2" t="str">
        <f t="shared" si="1117"/>
        <v>30260</v>
      </c>
      <c r="B30844" s="2" t="str">
        <f>"17889"</f>
        <v>17889</v>
      </c>
      <c r="C30844" s="1">
        <v>3.3748123759260097E-2</v>
      </c>
      <c r="D30844" s="1">
        <v>2.5580011897679899E-2</v>
      </c>
      <c r="E30844" s="1">
        <v>2.95748613678373E-2</v>
      </c>
      <c r="F30844" s="1">
        <v>3.3049180327868799E-2</v>
      </c>
    </row>
    <row r="30845" spans="1:6" x14ac:dyDescent="0.25">
      <c r="A30845" s="2" t="str">
        <f t="shared" si="1117"/>
        <v>30260</v>
      </c>
      <c r="B30845" s="2" t="str">
        <f>"17841"</f>
        <v>17841</v>
      </c>
      <c r="C30845" s="1">
        <v>4.8419115866944198E-5</v>
      </c>
      <c r="D30845" s="1">
        <v>0</v>
      </c>
      <c r="E30845" s="1">
        <v>0</v>
      </c>
      <c r="F30845" s="1">
        <v>4.37158469945355E-5</v>
      </c>
    </row>
    <row r="30846" spans="1:6" x14ac:dyDescent="0.25">
      <c r="A30846" s="2" t="str">
        <f t="shared" si="1117"/>
        <v>30260</v>
      </c>
      <c r="B30846" s="2" t="str">
        <f>"17887"</f>
        <v>17887</v>
      </c>
      <c r="C30846" s="1">
        <v>1.9367646346777701E-4</v>
      </c>
      <c r="D30846" s="1">
        <v>5.9488399762046404E-4</v>
      </c>
      <c r="E30846" s="1">
        <v>0</v>
      </c>
      <c r="F30846" s="1">
        <v>2.18579234972677E-4</v>
      </c>
    </row>
    <row r="30847" spans="1:6" x14ac:dyDescent="0.25">
      <c r="A30847" s="2" t="str">
        <f t="shared" si="1117"/>
        <v>30260</v>
      </c>
      <c r="B30847" s="2" t="str">
        <f>"17880"</f>
        <v>17880</v>
      </c>
      <c r="C30847" s="1">
        <v>0</v>
      </c>
      <c r="D30847" s="1">
        <v>1.1897679952409201E-3</v>
      </c>
      <c r="E30847" s="1">
        <v>0</v>
      </c>
      <c r="F30847" s="1">
        <v>8.7431693989071E-5</v>
      </c>
    </row>
    <row r="30848" spans="1:6" x14ac:dyDescent="0.25">
      <c r="A30848" s="2" t="str">
        <f t="shared" si="1117"/>
        <v>30260</v>
      </c>
      <c r="B30848" s="2" t="str">
        <f>"17870"</f>
        <v>17870</v>
      </c>
      <c r="C30848" s="1">
        <v>3.2440807630852598E-3</v>
      </c>
      <c r="D30848" s="1">
        <v>5.9488399762046404E-4</v>
      </c>
      <c r="E30848" s="1">
        <v>0</v>
      </c>
      <c r="F30848" s="1">
        <v>2.9726775956284098E-3</v>
      </c>
    </row>
    <row r="30849" spans="1:6" x14ac:dyDescent="0.25">
      <c r="A30849" s="2" t="str">
        <f t="shared" si="1117"/>
        <v>30260</v>
      </c>
      <c r="B30849" s="2" t="str">
        <f>"17829"</f>
        <v>17829</v>
      </c>
      <c r="C30849" s="1">
        <v>2.4209557933472099E-4</v>
      </c>
      <c r="D30849" s="1">
        <v>1.1897679952409201E-3</v>
      </c>
      <c r="E30849" s="1">
        <v>0</v>
      </c>
      <c r="F30849" s="1">
        <v>3.0601092896174803E-4</v>
      </c>
    </row>
    <row r="30850" spans="1:6" x14ac:dyDescent="0.25">
      <c r="A30850" s="2" t="str">
        <f t="shared" si="1117"/>
        <v>30260</v>
      </c>
      <c r="B30850" s="2" t="str">
        <f>"17837"</f>
        <v>17837</v>
      </c>
      <c r="C30850" s="1">
        <v>0.56660049387498101</v>
      </c>
      <c r="D30850" s="1">
        <v>0.68530636525877398</v>
      </c>
      <c r="E30850" s="1">
        <v>0.66358595194085002</v>
      </c>
      <c r="F30850" s="1">
        <v>0.57761748633879695</v>
      </c>
    </row>
    <row r="30851" spans="1:6" x14ac:dyDescent="0.25">
      <c r="A30851" s="2" t="str">
        <f t="shared" si="1117"/>
        <v>30260</v>
      </c>
      <c r="B30851" s="2" t="str">
        <f>"17845"</f>
        <v>17845</v>
      </c>
      <c r="C30851" s="1">
        <v>5.0597976080956703E-2</v>
      </c>
      <c r="D30851" s="1">
        <v>2.37953599048185E-2</v>
      </c>
      <c r="E30851" s="1">
        <v>5.5452865064695E-3</v>
      </c>
      <c r="F30851" s="1">
        <v>4.7562841530054599E-2</v>
      </c>
    </row>
    <row r="30852" spans="1:6" x14ac:dyDescent="0.25">
      <c r="A30852" s="2" t="str">
        <f t="shared" si="1117"/>
        <v>30260</v>
      </c>
      <c r="B30852" s="2" t="str">
        <f>"17810"</f>
        <v>17810</v>
      </c>
      <c r="C30852" s="1">
        <v>1.6801433205829601E-2</v>
      </c>
      <c r="D30852" s="1">
        <v>1.84414039262343E-2</v>
      </c>
      <c r="E30852" s="1">
        <v>3.6968576709796599E-3</v>
      </c>
      <c r="F30852" s="1">
        <v>1.66120218579234E-2</v>
      </c>
    </row>
    <row r="30853" spans="1:6" x14ac:dyDescent="0.25">
      <c r="A30853" s="2" t="str">
        <f t="shared" ref="A30853:A30880" si="1118">"40300"</f>
        <v>40300</v>
      </c>
      <c r="B30853" s="2" t="str">
        <f>"61043"</f>
        <v>61043</v>
      </c>
      <c r="C30853" s="1">
        <v>2.1727322107550199E-3</v>
      </c>
      <c r="D30853" s="1">
        <v>0</v>
      </c>
      <c r="E30853" s="1">
        <v>1.1904761904761899E-3</v>
      </c>
      <c r="F30853" s="1">
        <v>2.0062078885608198E-3</v>
      </c>
    </row>
    <row r="30854" spans="1:6" x14ac:dyDescent="0.25">
      <c r="A30854" s="2" t="str">
        <f t="shared" si="1118"/>
        <v>40300</v>
      </c>
      <c r="B30854" s="2" t="str">
        <f>"61052"</f>
        <v>61052</v>
      </c>
      <c r="C30854" s="1">
        <v>1.91367567793423E-2</v>
      </c>
      <c r="D30854" s="1">
        <v>4.8632218844984797E-3</v>
      </c>
      <c r="E30854" s="1">
        <v>9.5238095238095195E-3</v>
      </c>
      <c r="F30854" s="1">
        <v>1.7942312059959099E-2</v>
      </c>
    </row>
    <row r="30855" spans="1:6" x14ac:dyDescent="0.25">
      <c r="A30855" s="2" t="str">
        <f t="shared" si="1118"/>
        <v>40300</v>
      </c>
      <c r="B30855" s="2" t="str">
        <f>"61047"</f>
        <v>61047</v>
      </c>
      <c r="C30855" s="1">
        <v>3.38862658254293E-2</v>
      </c>
      <c r="D30855" s="1">
        <v>1.8844984802431599E-2</v>
      </c>
      <c r="E30855" s="1">
        <v>2.5000000000000001E-2</v>
      </c>
      <c r="F30855" s="1">
        <v>3.2667120902414998E-2</v>
      </c>
    </row>
    <row r="30856" spans="1:6" x14ac:dyDescent="0.25">
      <c r="A30856" s="2" t="str">
        <f t="shared" si="1118"/>
        <v>40300</v>
      </c>
      <c r="B30856" s="2" t="str">
        <f>"60113"</f>
        <v>60113</v>
      </c>
      <c r="C30856" s="1">
        <v>4.1783311745288902E-5</v>
      </c>
      <c r="D30856" s="1">
        <v>0</v>
      </c>
      <c r="E30856" s="1">
        <v>1.1904761904761899E-3</v>
      </c>
      <c r="F30856" s="1">
        <v>7.5705958058899203E-5</v>
      </c>
    </row>
    <row r="30857" spans="1:6" x14ac:dyDescent="0.25">
      <c r="A30857" s="2" t="str">
        <f t="shared" si="1118"/>
        <v>40300</v>
      </c>
      <c r="B30857" s="2" t="str">
        <f>"61054"</f>
        <v>61054</v>
      </c>
      <c r="C30857" s="1">
        <v>8.2772740567417305E-2</v>
      </c>
      <c r="D30857" s="1">
        <v>7.4772036474164097E-2</v>
      </c>
      <c r="E30857" s="1">
        <v>0.104761904761904</v>
      </c>
      <c r="F30857" s="1">
        <v>8.2973730032553497E-2</v>
      </c>
    </row>
    <row r="30858" spans="1:6" x14ac:dyDescent="0.25">
      <c r="A30858" s="2" t="str">
        <f t="shared" si="1118"/>
        <v>40300</v>
      </c>
      <c r="B30858" s="2" t="str">
        <f>"61030"</f>
        <v>61030</v>
      </c>
      <c r="C30858" s="1">
        <v>4.3997827267789197E-2</v>
      </c>
      <c r="D30858" s="1">
        <v>2.3708206686930001E-2</v>
      </c>
      <c r="E30858" s="1">
        <v>2.0238095238095201E-2</v>
      </c>
      <c r="F30858" s="1">
        <v>4.1978953743659599E-2</v>
      </c>
    </row>
    <row r="30859" spans="1:6" x14ac:dyDescent="0.25">
      <c r="A30859" s="2" t="str">
        <f t="shared" si="1118"/>
        <v>40300</v>
      </c>
      <c r="B30859" s="2" t="str">
        <f>"61021"</f>
        <v>61021</v>
      </c>
      <c r="C30859" s="1">
        <v>3.2298499979108303E-2</v>
      </c>
      <c r="D30859" s="1">
        <v>1.27659574468085E-2</v>
      </c>
      <c r="E30859" s="1">
        <v>7.14285714285714E-3</v>
      </c>
      <c r="F30859" s="1">
        <v>3.0282383223559601E-2</v>
      </c>
    </row>
    <row r="30860" spans="1:6" x14ac:dyDescent="0.25">
      <c r="A30860" s="2" t="str">
        <f t="shared" si="1118"/>
        <v>40300</v>
      </c>
      <c r="B30860" s="2" t="str">
        <f>"61091"</f>
        <v>61091</v>
      </c>
      <c r="C30860" s="1">
        <v>7.9388292316048901E-4</v>
      </c>
      <c r="D30860" s="1">
        <v>0</v>
      </c>
      <c r="E30860" s="1">
        <v>3.57142857142857E-3</v>
      </c>
      <c r="F30860" s="1">
        <v>8.3276553864789101E-4</v>
      </c>
    </row>
    <row r="30861" spans="1:6" x14ac:dyDescent="0.25">
      <c r="A30861" s="2" t="str">
        <f t="shared" si="1118"/>
        <v>40300</v>
      </c>
      <c r="B30861" s="2" t="str">
        <f>"61031"</f>
        <v>61031</v>
      </c>
      <c r="C30861" s="1">
        <v>5.8496636443404503E-4</v>
      </c>
      <c r="D30861" s="1">
        <v>6.0790273556230996E-4</v>
      </c>
      <c r="E30861" s="1">
        <v>0</v>
      </c>
      <c r="F30861" s="1">
        <v>5.6779468544174399E-4</v>
      </c>
    </row>
    <row r="30862" spans="1:6" x14ac:dyDescent="0.25">
      <c r="A30862" s="2" t="str">
        <f t="shared" si="1118"/>
        <v>40300</v>
      </c>
      <c r="B30862" s="2" t="str">
        <f>"61049"</f>
        <v>61049</v>
      </c>
      <c r="C30862" s="1">
        <v>8.8998454017465405E-3</v>
      </c>
      <c r="D30862" s="1">
        <v>3.0395136778115501E-3</v>
      </c>
      <c r="E30862" s="1">
        <v>5.9523809523809503E-3</v>
      </c>
      <c r="F30862" s="1">
        <v>8.4412143235672605E-3</v>
      </c>
    </row>
    <row r="30863" spans="1:6" x14ac:dyDescent="0.25">
      <c r="A30863" s="2" t="str">
        <f t="shared" si="1118"/>
        <v>40300</v>
      </c>
      <c r="B30863" s="2" t="str">
        <f>"61010"</f>
        <v>61010</v>
      </c>
      <c r="C30863" s="1">
        <v>0.142898926168888</v>
      </c>
      <c r="D30863" s="1">
        <v>7.1732522796352505E-2</v>
      </c>
      <c r="E30863" s="1">
        <v>0.128571428571428</v>
      </c>
      <c r="F30863" s="1">
        <v>0.13801196154137299</v>
      </c>
    </row>
    <row r="30864" spans="1:6" x14ac:dyDescent="0.25">
      <c r="A30864" s="2" t="str">
        <f t="shared" si="1118"/>
        <v>40300</v>
      </c>
      <c r="B30864" s="2" t="str">
        <f>"60146"</f>
        <v>60146</v>
      </c>
      <c r="C30864" s="1">
        <v>2.0891655872644401E-4</v>
      </c>
      <c r="D30864" s="1">
        <v>0</v>
      </c>
      <c r="E30864" s="1">
        <v>0</v>
      </c>
      <c r="F30864" s="1">
        <v>1.8926489514724799E-4</v>
      </c>
    </row>
    <row r="30865" spans="1:6" x14ac:dyDescent="0.25">
      <c r="A30865" s="2" t="str">
        <f t="shared" si="1118"/>
        <v>40300</v>
      </c>
      <c r="B30865" s="2" t="str">
        <f>"60129"</f>
        <v>60129</v>
      </c>
      <c r="C30865" s="1">
        <v>2.1727322107550199E-3</v>
      </c>
      <c r="D30865" s="1">
        <v>0</v>
      </c>
      <c r="E30865" s="1">
        <v>0</v>
      </c>
      <c r="F30865" s="1">
        <v>1.9683549095313802E-3</v>
      </c>
    </row>
    <row r="30866" spans="1:6" x14ac:dyDescent="0.25">
      <c r="A30866" s="2" t="str">
        <f t="shared" si="1118"/>
        <v>40300</v>
      </c>
      <c r="B30866" s="2" t="str">
        <f>"61084"</f>
        <v>61084</v>
      </c>
      <c r="C30866" s="1">
        <v>5.0390673964818403E-2</v>
      </c>
      <c r="D30866" s="1">
        <v>1.27659574468085E-2</v>
      </c>
      <c r="E30866" s="1">
        <v>2.6190476190476101E-2</v>
      </c>
      <c r="F30866" s="1">
        <v>4.7278370807782501E-2</v>
      </c>
    </row>
    <row r="30867" spans="1:6" x14ac:dyDescent="0.25">
      <c r="A30867" s="2" t="str">
        <f t="shared" si="1118"/>
        <v>40300</v>
      </c>
      <c r="B30867" s="2" t="str">
        <f>"61068"</f>
        <v>61068</v>
      </c>
      <c r="C30867" s="1">
        <v>0.26051894873187598</v>
      </c>
      <c r="D30867" s="1">
        <v>0.40425531914893598</v>
      </c>
      <c r="E30867" s="1">
        <v>0.40595238095238001</v>
      </c>
      <c r="F30867" s="1">
        <v>0.274093421152244</v>
      </c>
    </row>
    <row r="30868" spans="1:6" x14ac:dyDescent="0.25">
      <c r="A30868" s="2" t="str">
        <f t="shared" si="1118"/>
        <v>40300</v>
      </c>
      <c r="B30868" s="2" t="str">
        <f>"61064"</f>
        <v>61064</v>
      </c>
      <c r="C30868" s="1">
        <v>7.4875694647557695E-2</v>
      </c>
      <c r="D30868" s="1">
        <v>0.114285714285714</v>
      </c>
      <c r="E30868" s="1">
        <v>6.6666666666666596E-2</v>
      </c>
      <c r="F30868" s="1">
        <v>7.7068665303959394E-2</v>
      </c>
    </row>
    <row r="30869" spans="1:6" x14ac:dyDescent="0.25">
      <c r="A30869" s="2" t="str">
        <f t="shared" si="1118"/>
        <v>40300</v>
      </c>
      <c r="B30869" s="2" t="str">
        <f>"61051"</f>
        <v>61051</v>
      </c>
      <c r="C30869" s="1">
        <v>5.4318305268875595E-4</v>
      </c>
      <c r="D30869" s="1">
        <v>0</v>
      </c>
      <c r="E30869" s="1">
        <v>0</v>
      </c>
      <c r="F30869" s="1">
        <v>4.9208872738284505E-4</v>
      </c>
    </row>
    <row r="30870" spans="1:6" x14ac:dyDescent="0.25">
      <c r="A30870" s="2" t="str">
        <f t="shared" si="1118"/>
        <v>40300</v>
      </c>
      <c r="B30870" s="2" t="str">
        <f>"61039"</f>
        <v>61039</v>
      </c>
      <c r="C30870" s="1">
        <v>2.5487820164626202E-3</v>
      </c>
      <c r="D30870" s="1">
        <v>1.2158054711246199E-3</v>
      </c>
      <c r="E30870" s="1">
        <v>0</v>
      </c>
      <c r="F30870" s="1">
        <v>2.3847376788553201E-3</v>
      </c>
    </row>
    <row r="30871" spans="1:6" x14ac:dyDescent="0.25">
      <c r="A30871" s="2" t="str">
        <f t="shared" si="1118"/>
        <v>40300</v>
      </c>
      <c r="B30871" s="2" t="str">
        <f>"61109"</f>
        <v>61109</v>
      </c>
      <c r="C30871" s="1">
        <v>5.0139974094346698E-4</v>
      </c>
      <c r="D30871" s="1">
        <v>0</v>
      </c>
      <c r="E30871" s="1">
        <v>0</v>
      </c>
      <c r="F30871" s="1">
        <v>4.5423574835339498E-4</v>
      </c>
    </row>
    <row r="30872" spans="1:6" x14ac:dyDescent="0.25">
      <c r="A30872" s="2" t="str">
        <f t="shared" si="1118"/>
        <v>40300</v>
      </c>
      <c r="B30872" s="2" t="str">
        <f>"61007"</f>
        <v>61007</v>
      </c>
      <c r="C30872" s="1">
        <v>5.3900472151422697E-3</v>
      </c>
      <c r="D30872" s="1">
        <v>1.2158054711246199E-3</v>
      </c>
      <c r="E30872" s="1">
        <v>2.3809523809523799E-3</v>
      </c>
      <c r="F30872" s="1">
        <v>5.0344462109167898E-3</v>
      </c>
    </row>
    <row r="30873" spans="1:6" x14ac:dyDescent="0.25">
      <c r="A30873" s="2" t="str">
        <f t="shared" si="1118"/>
        <v>40300</v>
      </c>
      <c r="B30873" s="2" t="str">
        <f>"61088"</f>
        <v>61088</v>
      </c>
      <c r="C30873" s="1">
        <v>4.5961642919817801E-4</v>
      </c>
      <c r="D30873" s="1">
        <v>0</v>
      </c>
      <c r="E30873" s="1">
        <v>0</v>
      </c>
      <c r="F30873" s="1">
        <v>4.1638276932394502E-4</v>
      </c>
    </row>
    <row r="30874" spans="1:6" x14ac:dyDescent="0.25">
      <c r="A30874" s="2" t="str">
        <f t="shared" si="1118"/>
        <v>40300</v>
      </c>
      <c r="B30874" s="2" t="str">
        <f>"61102"</f>
        <v>61102</v>
      </c>
      <c r="C30874" s="1">
        <v>3.9694146158024404E-3</v>
      </c>
      <c r="D30874" s="1">
        <v>3.0395136778115501E-3</v>
      </c>
      <c r="E30874" s="1">
        <v>7.14285714285714E-3</v>
      </c>
      <c r="F30874" s="1">
        <v>4.0124157771216501E-3</v>
      </c>
    </row>
    <row r="30875" spans="1:6" x14ac:dyDescent="0.25">
      <c r="A30875" s="2" t="str">
        <f t="shared" si="1118"/>
        <v>40300</v>
      </c>
      <c r="B30875" s="2" t="str">
        <f>"61015"</f>
        <v>61015</v>
      </c>
      <c r="C30875" s="1">
        <v>1.7089374503823099E-2</v>
      </c>
      <c r="D30875" s="1">
        <v>2.4316109422492399E-3</v>
      </c>
      <c r="E30875" s="1">
        <v>2.3809523809523799E-3</v>
      </c>
      <c r="F30875" s="1">
        <v>1.5708986297221499E-2</v>
      </c>
    </row>
    <row r="30876" spans="1:6" x14ac:dyDescent="0.25">
      <c r="A30876" s="2" t="str">
        <f t="shared" si="1118"/>
        <v>40300</v>
      </c>
      <c r="B30876" s="2" t="str">
        <f>"61078"</f>
        <v>61078</v>
      </c>
      <c r="C30876" s="1">
        <v>1.5459825345756899E-3</v>
      </c>
      <c r="D30876" s="1">
        <v>1.2158054711246199E-3</v>
      </c>
      <c r="E30876" s="1">
        <v>0</v>
      </c>
      <c r="F30876" s="1">
        <v>1.4762661821485299E-3</v>
      </c>
    </row>
    <row r="30877" spans="1:6" x14ac:dyDescent="0.25">
      <c r="A30877" s="2" t="str">
        <f t="shared" si="1118"/>
        <v>40300</v>
      </c>
      <c r="B30877" s="2" t="str">
        <f>"61061"</f>
        <v>61061</v>
      </c>
      <c r="C30877" s="1">
        <v>0.144361342079973</v>
      </c>
      <c r="D30877" s="1">
        <v>0.22553191489361701</v>
      </c>
      <c r="E30877" s="1">
        <v>0.17976190476190401</v>
      </c>
      <c r="F30877" s="1">
        <v>0.150541297600121</v>
      </c>
    </row>
    <row r="30878" spans="1:6" x14ac:dyDescent="0.25">
      <c r="A30878" s="2" t="str">
        <f t="shared" si="1118"/>
        <v>40300</v>
      </c>
      <c r="B30878" s="2" t="str">
        <f>"61006"</f>
        <v>61006</v>
      </c>
      <c r="C30878" s="1">
        <v>4.0529812392930201E-3</v>
      </c>
      <c r="D30878" s="1">
        <v>1.82370820668693E-3</v>
      </c>
      <c r="E30878" s="1">
        <v>0</v>
      </c>
      <c r="F30878" s="1">
        <v>3.7852979029449601E-3</v>
      </c>
    </row>
    <row r="30879" spans="1:6" x14ac:dyDescent="0.25">
      <c r="A30879" s="2" t="str">
        <f t="shared" si="1118"/>
        <v>40300</v>
      </c>
      <c r="B30879" s="2" t="str">
        <f>"61020"</f>
        <v>61020</v>
      </c>
      <c r="C30879" s="1">
        <v>6.3844900346801403E-2</v>
      </c>
      <c r="D30879" s="1">
        <v>2.1884498480243101E-2</v>
      </c>
      <c r="E30879" s="1">
        <v>2.3809523809523799E-3</v>
      </c>
      <c r="F30879" s="1">
        <v>5.9277765160118102E-2</v>
      </c>
    </row>
    <row r="30880" spans="1:6" x14ac:dyDescent="0.25">
      <c r="A30880" s="2" t="str">
        <f t="shared" si="1118"/>
        <v>40300</v>
      </c>
      <c r="B30880" s="2" t="str">
        <f>"60553"</f>
        <v>60553</v>
      </c>
      <c r="C30880" s="1">
        <v>4.1783311745288902E-5</v>
      </c>
      <c r="D30880" s="1">
        <v>0</v>
      </c>
      <c r="E30880" s="1">
        <v>0</v>
      </c>
      <c r="F30880" s="1">
        <v>3.7852979029449602E-5</v>
      </c>
    </row>
    <row r="30881" spans="1:6" x14ac:dyDescent="0.25">
      <c r="A30881" s="2" t="str">
        <f t="shared" ref="A30881:A30922" si="1119">"14010"</f>
        <v>14010</v>
      </c>
      <c r="B30881" s="2" t="str">
        <f>"61791"</f>
        <v>61791</v>
      </c>
      <c r="C30881" s="1">
        <v>0</v>
      </c>
      <c r="D30881" s="1">
        <v>1.52392563242913E-4</v>
      </c>
      <c r="E30881" s="1">
        <v>0</v>
      </c>
      <c r="F30881" s="1">
        <v>1.0121662381829499E-5</v>
      </c>
    </row>
    <row r="30882" spans="1:6" x14ac:dyDescent="0.25">
      <c r="A30882" s="2" t="str">
        <f t="shared" si="1119"/>
        <v>14010</v>
      </c>
      <c r="B30882" s="2" t="str">
        <f>"61745"</f>
        <v>61745</v>
      </c>
      <c r="C30882" s="1">
        <v>2.8076660466649399E-2</v>
      </c>
      <c r="D30882" s="1">
        <v>5.1813471502590597E-3</v>
      </c>
      <c r="E30882" s="1">
        <v>6.9958847736625498E-3</v>
      </c>
      <c r="F30882" s="1">
        <v>2.5000506083119E-2</v>
      </c>
    </row>
    <row r="30883" spans="1:6" x14ac:dyDescent="0.25">
      <c r="A30883" s="2" t="str">
        <f t="shared" si="1119"/>
        <v>14010</v>
      </c>
      <c r="B30883" s="2" t="str">
        <f>"61705"</f>
        <v>61705</v>
      </c>
      <c r="C30883" s="1">
        <v>7.3199444352883003E-2</v>
      </c>
      <c r="D30883" s="1">
        <v>3.5507467235598902E-2</v>
      </c>
      <c r="E30883" s="1">
        <v>1.48148148148148E-2</v>
      </c>
      <c r="F30883" s="1">
        <v>6.6387983562420205E-2</v>
      </c>
    </row>
    <row r="30884" spans="1:6" x14ac:dyDescent="0.25">
      <c r="A30884" s="2" t="str">
        <f t="shared" si="1119"/>
        <v>14010</v>
      </c>
      <c r="B30884" s="2" t="str">
        <f>"61772"</f>
        <v>61772</v>
      </c>
      <c r="C30884" s="1">
        <v>3.22557860287712E-3</v>
      </c>
      <c r="D30884" s="1">
        <v>1.37153306918622E-3</v>
      </c>
      <c r="E30884" s="1">
        <v>0</v>
      </c>
      <c r="F30884" s="1">
        <v>2.86443045405777E-3</v>
      </c>
    </row>
    <row r="30885" spans="1:6" x14ac:dyDescent="0.25">
      <c r="A30885" s="2" t="str">
        <f t="shared" si="1119"/>
        <v>14010</v>
      </c>
      <c r="B30885" s="2" t="str">
        <f>"61755"</f>
        <v>61755</v>
      </c>
      <c r="C30885" s="1">
        <v>2.35443693640665E-5</v>
      </c>
      <c r="D30885" s="1">
        <v>0</v>
      </c>
      <c r="E30885" s="1">
        <v>0</v>
      </c>
      <c r="F30885" s="1">
        <v>2.02433247636591E-5</v>
      </c>
    </row>
    <row r="30886" spans="1:6" x14ac:dyDescent="0.25">
      <c r="A30886" s="2" t="str">
        <f t="shared" si="1119"/>
        <v>14010</v>
      </c>
      <c r="B30886" s="2" t="str">
        <f>"61754"</f>
        <v>61754</v>
      </c>
      <c r="C30886" s="1">
        <v>6.3805240976620402E-3</v>
      </c>
      <c r="D30886" s="1">
        <v>8.9911612313319095E-3</v>
      </c>
      <c r="E30886" s="1">
        <v>1.92043895747599E-3</v>
      </c>
      <c r="F30886" s="1">
        <v>6.2248223648251897E-3</v>
      </c>
    </row>
    <row r="30887" spans="1:6" x14ac:dyDescent="0.25">
      <c r="A30887" s="2" t="str">
        <f t="shared" si="1119"/>
        <v>14010</v>
      </c>
      <c r="B30887" s="2" t="str">
        <f>"61709"</f>
        <v>61709</v>
      </c>
      <c r="C30887" s="1">
        <v>0</v>
      </c>
      <c r="D30887" s="1">
        <v>1.52392563242913E-4</v>
      </c>
      <c r="E30887" s="1">
        <v>0</v>
      </c>
      <c r="F30887" s="1">
        <v>1.0121662381829499E-5</v>
      </c>
    </row>
    <row r="30888" spans="1:6" x14ac:dyDescent="0.25">
      <c r="A30888" s="2" t="str">
        <f t="shared" si="1119"/>
        <v>14010</v>
      </c>
      <c r="B30888" s="2" t="str">
        <f>"61731"</f>
        <v>61731</v>
      </c>
      <c r="C30888" s="1">
        <v>1.61278930143856E-3</v>
      </c>
      <c r="D30888" s="1">
        <v>1.52392563242913E-4</v>
      </c>
      <c r="E30888" s="1">
        <v>2.7434842249657001E-4</v>
      </c>
      <c r="F30888" s="1">
        <v>1.4170327334561399E-3</v>
      </c>
    </row>
    <row r="30889" spans="1:6" x14ac:dyDescent="0.25">
      <c r="A30889" s="2" t="str">
        <f t="shared" si="1119"/>
        <v>14010</v>
      </c>
      <c r="B30889" s="2" t="str">
        <f>"61736"</f>
        <v>61736</v>
      </c>
      <c r="C30889" s="1">
        <v>9.5943305158571295E-3</v>
      </c>
      <c r="D30889" s="1">
        <v>4.26699177080158E-3</v>
      </c>
      <c r="E30889" s="1">
        <v>1.09739368998628E-3</v>
      </c>
      <c r="F30889" s="1">
        <v>8.6135346869369803E-3</v>
      </c>
    </row>
    <row r="30890" spans="1:6" x14ac:dyDescent="0.25">
      <c r="A30890" s="2" t="str">
        <f t="shared" si="1119"/>
        <v>14010</v>
      </c>
      <c r="B30890" s="2" t="str">
        <f>"61776"</f>
        <v>61776</v>
      </c>
      <c r="C30890" s="1">
        <v>1.0112306641866501E-2</v>
      </c>
      <c r="D30890" s="1">
        <v>1.2191405059432999E-3</v>
      </c>
      <c r="E30890" s="1">
        <v>9.6021947873799695E-4</v>
      </c>
      <c r="F30890" s="1">
        <v>8.8463329217190606E-3</v>
      </c>
    </row>
    <row r="30891" spans="1:6" x14ac:dyDescent="0.25">
      <c r="A30891" s="2" t="str">
        <f t="shared" si="1119"/>
        <v>14010</v>
      </c>
      <c r="B30891" s="2" t="str">
        <f>"61739"</f>
        <v>61739</v>
      </c>
      <c r="C30891" s="1">
        <v>3.5316554046099803E-5</v>
      </c>
      <c r="D30891" s="1">
        <v>0</v>
      </c>
      <c r="E30891" s="1">
        <v>0</v>
      </c>
      <c r="F30891" s="1">
        <v>3.0364987145488699E-5</v>
      </c>
    </row>
    <row r="30892" spans="1:6" x14ac:dyDescent="0.25">
      <c r="A30892" s="2" t="str">
        <f t="shared" si="1119"/>
        <v>14010</v>
      </c>
      <c r="B30892" s="2" t="str">
        <f>"61744"</f>
        <v>61744</v>
      </c>
      <c r="C30892" s="1">
        <v>1.30200362583288E-2</v>
      </c>
      <c r="D30892" s="1">
        <v>4.4193843340444901E-3</v>
      </c>
      <c r="E30892" s="1">
        <v>7.4074074074073999E-3</v>
      </c>
      <c r="F30892" s="1">
        <v>1.20346565719953E-2</v>
      </c>
    </row>
    <row r="30893" spans="1:6" x14ac:dyDescent="0.25">
      <c r="A30893" s="2" t="str">
        <f t="shared" si="1119"/>
        <v>14010</v>
      </c>
      <c r="B30893" s="2" t="str">
        <f>"61730"</f>
        <v>61730</v>
      </c>
      <c r="C30893" s="1">
        <v>3.2608951569232198E-3</v>
      </c>
      <c r="D30893" s="1">
        <v>1.8287107589149601E-3</v>
      </c>
      <c r="E30893" s="1">
        <v>5.4869684499314099E-4</v>
      </c>
      <c r="F30893" s="1">
        <v>2.9656470778760698E-3</v>
      </c>
    </row>
    <row r="30894" spans="1:6" x14ac:dyDescent="0.25">
      <c r="A30894" s="2" t="str">
        <f t="shared" si="1119"/>
        <v>14010</v>
      </c>
      <c r="B30894" s="2" t="str">
        <f>"61728"</f>
        <v>61728</v>
      </c>
      <c r="C30894" s="1">
        <v>9.2411649753961298E-3</v>
      </c>
      <c r="D30894" s="1">
        <v>4.26699177080158E-3</v>
      </c>
      <c r="E30894" s="1">
        <v>3.6213991769547302E-2</v>
      </c>
      <c r="F30894" s="1">
        <v>1.09010303852304E-2</v>
      </c>
    </row>
    <row r="30895" spans="1:6" x14ac:dyDescent="0.25">
      <c r="A30895" s="2" t="str">
        <f t="shared" si="1119"/>
        <v>14010</v>
      </c>
      <c r="B30895" s="2" t="str">
        <f>"61725"</f>
        <v>61725</v>
      </c>
      <c r="C30895" s="1">
        <v>5.2739387375509098E-3</v>
      </c>
      <c r="D30895" s="1">
        <v>2.5906735751295299E-3</v>
      </c>
      <c r="E30895" s="1">
        <v>1.92043895747599E-3</v>
      </c>
      <c r="F30895" s="1">
        <v>4.8482762808963699E-3</v>
      </c>
    </row>
    <row r="30896" spans="1:6" x14ac:dyDescent="0.25">
      <c r="A30896" s="2" t="str">
        <f t="shared" si="1119"/>
        <v>14010</v>
      </c>
      <c r="B30896" s="2" t="str">
        <f>"61724"</f>
        <v>61724</v>
      </c>
      <c r="C30896" s="1">
        <v>3.8377322063428499E-3</v>
      </c>
      <c r="D30896" s="1">
        <v>6.0957025297165397E-4</v>
      </c>
      <c r="E30896" s="1">
        <v>0</v>
      </c>
      <c r="F30896" s="1">
        <v>3.3401485860037601E-3</v>
      </c>
    </row>
    <row r="30897" spans="1:6" x14ac:dyDescent="0.25">
      <c r="A30897" s="2" t="str">
        <f t="shared" si="1119"/>
        <v>14010</v>
      </c>
      <c r="B30897" s="2" t="str">
        <f>"61704"</f>
        <v>61704</v>
      </c>
      <c r="C30897" s="1">
        <v>0.20889741718268001</v>
      </c>
      <c r="D30897" s="1">
        <v>0.22599817128924099</v>
      </c>
      <c r="E30897" s="1">
        <v>0.19972565157750299</v>
      </c>
      <c r="F30897" s="1">
        <v>0.209356464705763</v>
      </c>
    </row>
    <row r="30898" spans="1:6" x14ac:dyDescent="0.25">
      <c r="A30898" s="2" t="str">
        <f t="shared" si="1119"/>
        <v>14010</v>
      </c>
      <c r="B30898" s="2" t="str">
        <f>"61774"</f>
        <v>61774</v>
      </c>
      <c r="C30898" s="1">
        <v>7.3340710569067399E-3</v>
      </c>
      <c r="D30898" s="1">
        <v>1.67631819567205E-3</v>
      </c>
      <c r="E30898" s="1">
        <v>6.8587105624142602E-4</v>
      </c>
      <c r="F30898" s="1">
        <v>6.4677422619891E-3</v>
      </c>
    </row>
    <row r="30899" spans="1:6" x14ac:dyDescent="0.25">
      <c r="A30899" s="2" t="str">
        <f t="shared" si="1119"/>
        <v>14010</v>
      </c>
      <c r="B30899" s="2" t="str">
        <f>"61748"</f>
        <v>61748</v>
      </c>
      <c r="C30899" s="1">
        <v>1.49389023615002E-2</v>
      </c>
      <c r="D30899" s="1">
        <v>4.87656202377323E-3</v>
      </c>
      <c r="E30899" s="1">
        <v>4.12894375857338E-2</v>
      </c>
      <c r="F30899" s="1">
        <v>1.6214903135690999E-2</v>
      </c>
    </row>
    <row r="30900" spans="1:6" x14ac:dyDescent="0.25">
      <c r="A30900" s="2" t="str">
        <f t="shared" si="1119"/>
        <v>14010</v>
      </c>
      <c r="B30900" s="2" t="str">
        <f>"61738"</f>
        <v>61738</v>
      </c>
      <c r="C30900" s="1">
        <v>1.5303840086643199E-4</v>
      </c>
      <c r="D30900" s="1">
        <v>0</v>
      </c>
      <c r="E30900" s="1">
        <v>0</v>
      </c>
      <c r="F30900" s="1">
        <v>1.3158161096378401E-4</v>
      </c>
    </row>
    <row r="30901" spans="1:6" x14ac:dyDescent="0.25">
      <c r="A30901" s="2" t="str">
        <f t="shared" si="1119"/>
        <v>14010</v>
      </c>
      <c r="B30901" s="2" t="str">
        <f>"61770"</f>
        <v>61770</v>
      </c>
      <c r="C30901" s="1">
        <v>6.4864737598003402E-3</v>
      </c>
      <c r="D30901" s="1">
        <v>1.37153306918622E-3</v>
      </c>
      <c r="E30901" s="1">
        <v>2.05761316872427E-3</v>
      </c>
      <c r="F30901" s="1">
        <v>5.8199558695520102E-3</v>
      </c>
    </row>
    <row r="30902" spans="1:6" x14ac:dyDescent="0.25">
      <c r="A30902" s="2" t="str">
        <f t="shared" si="1119"/>
        <v>14010</v>
      </c>
      <c r="B30902" s="2" t="str">
        <f>"61761"</f>
        <v>61761</v>
      </c>
      <c r="C30902" s="1">
        <v>0.27040708214630399</v>
      </c>
      <c r="D30902" s="1">
        <v>0.215025906735751</v>
      </c>
      <c r="E30902" s="1">
        <v>0.27791495198902599</v>
      </c>
      <c r="F30902" s="1">
        <v>0.26728273851697398</v>
      </c>
    </row>
    <row r="30903" spans="1:6" x14ac:dyDescent="0.25">
      <c r="A30903" s="2" t="str">
        <f t="shared" si="1119"/>
        <v>14010</v>
      </c>
      <c r="B30903" s="2" t="str">
        <f>"61753"</f>
        <v>61753</v>
      </c>
      <c r="C30903" s="1">
        <v>1.6151437383749599E-2</v>
      </c>
      <c r="D30903" s="1">
        <v>1.4020115818348E-2</v>
      </c>
      <c r="E30903" s="1">
        <v>7.6817558299039704E-3</v>
      </c>
      <c r="F30903" s="1">
        <v>1.5384926820380901E-2</v>
      </c>
    </row>
    <row r="30904" spans="1:6" x14ac:dyDescent="0.25">
      <c r="A30904" s="2" t="str">
        <f t="shared" si="1119"/>
        <v>14010</v>
      </c>
      <c r="B30904" s="2" t="str">
        <f>"61845"</f>
        <v>61845</v>
      </c>
      <c r="C30904" s="1">
        <v>2.35443693640665E-5</v>
      </c>
      <c r="D30904" s="1">
        <v>0</v>
      </c>
      <c r="E30904" s="1">
        <v>0</v>
      </c>
      <c r="F30904" s="1">
        <v>2.02433247636591E-5</v>
      </c>
    </row>
    <row r="30905" spans="1:6" x14ac:dyDescent="0.25">
      <c r="A30905" s="2" t="str">
        <f t="shared" si="1119"/>
        <v>14010</v>
      </c>
      <c r="B30905" s="2" t="str">
        <f>"61737"</f>
        <v>61737</v>
      </c>
      <c r="C30905" s="1">
        <v>2.8253243236879902E-3</v>
      </c>
      <c r="D30905" s="1">
        <v>7.6196281621456797E-4</v>
      </c>
      <c r="E30905" s="1">
        <v>6.8587105624142602E-4</v>
      </c>
      <c r="F30905" s="1">
        <v>2.5304155954573898E-3</v>
      </c>
    </row>
    <row r="30906" spans="1:6" x14ac:dyDescent="0.25">
      <c r="A30906" s="2" t="str">
        <f t="shared" si="1119"/>
        <v>14010</v>
      </c>
      <c r="B30906" s="2" t="str">
        <f>"60936"</f>
        <v>60936</v>
      </c>
      <c r="C30906" s="1">
        <v>5.8860923410166401E-5</v>
      </c>
      <c r="D30906" s="1">
        <v>0</v>
      </c>
      <c r="E30906" s="1">
        <v>0</v>
      </c>
      <c r="F30906" s="1">
        <v>5.0608311909147897E-5</v>
      </c>
    </row>
    <row r="30907" spans="1:6" x14ac:dyDescent="0.25">
      <c r="A30907" s="2" t="str">
        <f t="shared" si="1119"/>
        <v>14010</v>
      </c>
      <c r="B30907" s="2" t="str">
        <f>"61799"</f>
        <v>61799</v>
      </c>
      <c r="C30907" s="1">
        <v>0</v>
      </c>
      <c r="D30907" s="1">
        <v>1.52392563242913E-4</v>
      </c>
      <c r="E30907" s="1">
        <v>0</v>
      </c>
      <c r="F30907" s="1">
        <v>1.0121662381829499E-5</v>
      </c>
    </row>
    <row r="30908" spans="1:6" x14ac:dyDescent="0.25">
      <c r="A30908" s="2" t="str">
        <f t="shared" si="1119"/>
        <v>14010</v>
      </c>
      <c r="B30908" s="2" t="str">
        <f>"61759"</f>
        <v>61759</v>
      </c>
      <c r="C30908" s="1">
        <v>7.0633108092199701E-5</v>
      </c>
      <c r="D30908" s="1">
        <v>0</v>
      </c>
      <c r="E30908" s="1">
        <v>0</v>
      </c>
      <c r="F30908" s="1">
        <v>6.07299742909775E-5</v>
      </c>
    </row>
    <row r="30909" spans="1:6" x14ac:dyDescent="0.25">
      <c r="A30909" s="2" t="str">
        <f t="shared" si="1119"/>
        <v>14010</v>
      </c>
      <c r="B30909" s="2" t="str">
        <f>"61729"</f>
        <v>61729</v>
      </c>
      <c r="C30909" s="1">
        <v>5.8860923410166401E-5</v>
      </c>
      <c r="D30909" s="1">
        <v>0</v>
      </c>
      <c r="E30909" s="1">
        <v>0</v>
      </c>
      <c r="F30909" s="1">
        <v>5.0608311909147897E-5</v>
      </c>
    </row>
    <row r="30910" spans="1:6" x14ac:dyDescent="0.25">
      <c r="A30910" s="2" t="str">
        <f t="shared" si="1119"/>
        <v>14010</v>
      </c>
      <c r="B30910" s="2" t="str">
        <f>"61723"</f>
        <v>61723</v>
      </c>
      <c r="C30910" s="1">
        <v>9.4177477456266299E-5</v>
      </c>
      <c r="D30910" s="1">
        <v>0</v>
      </c>
      <c r="E30910" s="1">
        <v>0</v>
      </c>
      <c r="F30910" s="1">
        <v>8.0973299054636698E-5</v>
      </c>
    </row>
    <row r="30911" spans="1:6" x14ac:dyDescent="0.25">
      <c r="A30911" s="2" t="str">
        <f t="shared" si="1119"/>
        <v>14010</v>
      </c>
      <c r="B30911" s="2" t="str">
        <f>"61726"</f>
        <v>61726</v>
      </c>
      <c r="C30911" s="1">
        <v>1.39264944788453E-2</v>
      </c>
      <c r="D30911" s="1">
        <v>1.7677537336177902E-2</v>
      </c>
      <c r="E30911" s="1">
        <v>3.1687242798353901E-2</v>
      </c>
      <c r="F30911" s="1">
        <v>1.5486143444199201E-2</v>
      </c>
    </row>
    <row r="30912" spans="1:6" x14ac:dyDescent="0.25">
      <c r="A30912" s="2" t="str">
        <f t="shared" si="1119"/>
        <v>14010</v>
      </c>
      <c r="B30912" s="2" t="str">
        <f>"61854"</f>
        <v>61854</v>
      </c>
      <c r="C30912" s="1">
        <v>3.5316554046099803E-5</v>
      </c>
      <c r="D30912" s="1">
        <v>0</v>
      </c>
      <c r="E30912" s="1">
        <v>0</v>
      </c>
      <c r="F30912" s="1">
        <v>3.0364987145488699E-5</v>
      </c>
    </row>
    <row r="30913" spans="1:6" x14ac:dyDescent="0.25">
      <c r="A30913" s="2" t="str">
        <f t="shared" si="1119"/>
        <v>14010</v>
      </c>
      <c r="B30913" s="2" t="str">
        <f>"61843"</f>
        <v>61843</v>
      </c>
      <c r="C30913" s="1">
        <v>1.29494031502366E-4</v>
      </c>
      <c r="D30913" s="1">
        <v>0</v>
      </c>
      <c r="E30913" s="1">
        <v>0</v>
      </c>
      <c r="F30913" s="1">
        <v>1.11338286200125E-4</v>
      </c>
    </row>
    <row r="30914" spans="1:6" x14ac:dyDescent="0.25">
      <c r="A30914" s="2" t="str">
        <f t="shared" si="1119"/>
        <v>14010</v>
      </c>
      <c r="B30914" s="2" t="str">
        <f>"61720"</f>
        <v>61720</v>
      </c>
      <c r="C30914" s="1">
        <v>2.2013985355402201E-3</v>
      </c>
      <c r="D30914" s="1">
        <v>4.5717768972874099E-4</v>
      </c>
      <c r="E30914" s="1">
        <v>0</v>
      </c>
      <c r="F30914" s="1">
        <v>1.9231158525476199E-3</v>
      </c>
    </row>
    <row r="30915" spans="1:6" x14ac:dyDescent="0.25">
      <c r="A30915" s="2" t="str">
        <f t="shared" si="1119"/>
        <v>14010</v>
      </c>
      <c r="B30915" s="2" t="str">
        <f>"61722"</f>
        <v>61722</v>
      </c>
      <c r="C30915" s="1">
        <v>2.81355213900595E-3</v>
      </c>
      <c r="D30915" s="1">
        <v>6.0957025297165397E-4</v>
      </c>
      <c r="E30915" s="1">
        <v>6.8587105624142602E-4</v>
      </c>
      <c r="F30915" s="1">
        <v>2.5101722706937302E-3</v>
      </c>
    </row>
    <row r="30916" spans="1:6" x14ac:dyDescent="0.25">
      <c r="A30916" s="2" t="str">
        <f t="shared" si="1119"/>
        <v>14010</v>
      </c>
      <c r="B30916" s="2" t="str">
        <f>"61702"</f>
        <v>61702</v>
      </c>
      <c r="C30916" s="1">
        <v>2.37798130577072E-2</v>
      </c>
      <c r="D30916" s="1">
        <v>0.10515086863761</v>
      </c>
      <c r="E30916" s="1">
        <v>5.4869684499314099E-4</v>
      </c>
      <c r="F30916" s="1">
        <v>2.7470191704285499E-2</v>
      </c>
    </row>
    <row r="30917" spans="1:6" x14ac:dyDescent="0.25">
      <c r="A30917" s="2" t="str">
        <f t="shared" si="1119"/>
        <v>14010</v>
      </c>
      <c r="B30917" s="2" t="str">
        <f>"61701"</f>
        <v>61701</v>
      </c>
      <c r="C30917" s="1">
        <v>0.22424834600805199</v>
      </c>
      <c r="D30917" s="1">
        <v>0.31194757695824399</v>
      </c>
      <c r="E30917" s="1">
        <v>0.31659807956104202</v>
      </c>
      <c r="F30917" s="1">
        <v>0.23688738638433901</v>
      </c>
    </row>
    <row r="30918" spans="1:6" x14ac:dyDescent="0.25">
      <c r="A30918" s="2" t="str">
        <f t="shared" si="1119"/>
        <v>14010</v>
      </c>
      <c r="B30918" s="2" t="str">
        <f>"61790"</f>
        <v>61790</v>
      </c>
      <c r="C30918" s="1">
        <v>0</v>
      </c>
      <c r="D30918" s="1">
        <v>3.0478512648582698E-4</v>
      </c>
      <c r="E30918" s="1">
        <v>1.37174211248285E-4</v>
      </c>
      <c r="F30918" s="1">
        <v>3.0364987145488699E-5</v>
      </c>
    </row>
    <row r="30919" spans="1:6" x14ac:dyDescent="0.25">
      <c r="A30919" s="2" t="str">
        <f t="shared" si="1119"/>
        <v>14010</v>
      </c>
      <c r="B30919" s="2" t="str">
        <f>"61758"</f>
        <v>61758</v>
      </c>
      <c r="C30919" s="1">
        <v>0</v>
      </c>
      <c r="D30919" s="1">
        <v>1.52392563242913E-4</v>
      </c>
      <c r="E30919" s="1">
        <v>0</v>
      </c>
      <c r="F30919" s="1">
        <v>1.0121662381829499E-5</v>
      </c>
    </row>
    <row r="30920" spans="1:6" x14ac:dyDescent="0.25">
      <c r="A30920" s="2" t="str">
        <f t="shared" si="1119"/>
        <v>14010</v>
      </c>
      <c r="B30920" s="2" t="str">
        <f>"61752"</f>
        <v>61752</v>
      </c>
      <c r="C30920" s="1">
        <v>2.4074117674757999E-2</v>
      </c>
      <c r="D30920" s="1">
        <v>2.3925632429137401E-2</v>
      </c>
      <c r="E30920" s="1">
        <v>4.5679012345678997E-2</v>
      </c>
      <c r="F30920" s="1">
        <v>2.5658414137937999E-2</v>
      </c>
    </row>
    <row r="30921" spans="1:6" x14ac:dyDescent="0.25">
      <c r="A30921" s="2" t="str">
        <f t="shared" si="1119"/>
        <v>14010</v>
      </c>
      <c r="B30921" s="2" t="str">
        <f>"61842"</f>
        <v>61842</v>
      </c>
      <c r="C30921" s="1">
        <v>5.17976126009464E-4</v>
      </c>
      <c r="D30921" s="1">
        <v>7.6196281621456797E-4</v>
      </c>
      <c r="E30921" s="1">
        <v>0</v>
      </c>
      <c r="F30921" s="1">
        <v>4.95961456709649E-4</v>
      </c>
    </row>
    <row r="30922" spans="1:6" x14ac:dyDescent="0.25">
      <c r="A30922" s="2" t="str">
        <f t="shared" si="1119"/>
        <v>14010</v>
      </c>
      <c r="B30922" s="2" t="str">
        <f>"61732"</f>
        <v>61732</v>
      </c>
      <c r="C30922" s="1">
        <v>1.3879405740117199E-2</v>
      </c>
      <c r="D30922" s="1">
        <v>4.4193843340444901E-3</v>
      </c>
      <c r="E30922" s="1">
        <v>2.4691358024691301E-3</v>
      </c>
      <c r="F30922" s="1">
        <v>1.2409158080123E-2</v>
      </c>
    </row>
    <row r="30923" spans="1:6" x14ac:dyDescent="0.25">
      <c r="A30923" s="2" t="str">
        <f t="shared" ref="A30923:A30954" si="1120">"37900"</f>
        <v>37900</v>
      </c>
      <c r="B30923" s="2" t="str">
        <f>"61760"</f>
        <v>61760</v>
      </c>
      <c r="C30923" s="1">
        <v>5.9830833382739403E-3</v>
      </c>
      <c r="D30923" s="1">
        <v>6.5188289389441802E-3</v>
      </c>
      <c r="E30923" s="1">
        <v>5.7703988661672399E-3</v>
      </c>
      <c r="F30923" s="1">
        <v>6.0140414794541998E-3</v>
      </c>
    </row>
    <row r="30924" spans="1:6" x14ac:dyDescent="0.25">
      <c r="A30924" s="2" t="str">
        <f t="shared" si="1120"/>
        <v>37900</v>
      </c>
      <c r="B30924" s="2" t="str">
        <f>"61747"</f>
        <v>61747</v>
      </c>
      <c r="C30924" s="1">
        <v>2.9643682931167299E-3</v>
      </c>
      <c r="D30924" s="1">
        <v>1.8043187241720501E-3</v>
      </c>
      <c r="E30924" s="1">
        <v>1.4172909495849301E-3</v>
      </c>
      <c r="F30924" s="1">
        <v>2.81091069148403E-3</v>
      </c>
    </row>
    <row r="30925" spans="1:6" x14ac:dyDescent="0.25">
      <c r="A30925" s="2" t="str">
        <f t="shared" si="1120"/>
        <v>37900</v>
      </c>
      <c r="B30925" s="2" t="str">
        <f>"61652"</f>
        <v>61652</v>
      </c>
      <c r="C30925" s="1">
        <v>7.6085452856662899E-4</v>
      </c>
      <c r="D30925" s="1">
        <v>2.32815319248006E-3</v>
      </c>
      <c r="E30925" s="1">
        <v>2.0247013565499001E-4</v>
      </c>
      <c r="F30925" s="1">
        <v>8.54168210125379E-4</v>
      </c>
    </row>
    <row r="30926" spans="1:6" x14ac:dyDescent="0.25">
      <c r="A30926" s="2" t="str">
        <f t="shared" si="1120"/>
        <v>37900</v>
      </c>
      <c r="B30926" s="2" t="str">
        <f>"61651"</f>
        <v>61651</v>
      </c>
      <c r="C30926" s="1">
        <v>6.0275488626706901E-4</v>
      </c>
      <c r="D30926" s="1">
        <v>3.0848029800360798E-3</v>
      </c>
      <c r="E30926" s="1">
        <v>2.0247013565499001E-4</v>
      </c>
      <c r="F30926" s="1">
        <v>7.7136618975608205E-4</v>
      </c>
    </row>
    <row r="30927" spans="1:6" x14ac:dyDescent="0.25">
      <c r="A30927" s="2" t="str">
        <f t="shared" si="1120"/>
        <v>37900</v>
      </c>
      <c r="B30927" s="2" t="str">
        <f>"61641"</f>
        <v>61641</v>
      </c>
      <c r="C30927" s="1">
        <v>0</v>
      </c>
      <c r="D30927" s="1">
        <v>5.8203829812001602E-5</v>
      </c>
      <c r="E30927" s="1">
        <v>0</v>
      </c>
      <c r="F30927" s="1">
        <v>4.35800107206826E-6</v>
      </c>
    </row>
    <row r="30928" spans="1:6" x14ac:dyDescent="0.25">
      <c r="A30928" s="2" t="str">
        <f t="shared" si="1120"/>
        <v>37900</v>
      </c>
      <c r="B30928" s="2" t="str">
        <f>"61639"</f>
        <v>61639</v>
      </c>
      <c r="C30928" s="1">
        <v>0</v>
      </c>
      <c r="D30928" s="1">
        <v>5.8203829812001602E-5</v>
      </c>
      <c r="E30928" s="1">
        <v>0</v>
      </c>
      <c r="F30928" s="1">
        <v>4.35800107206826E-6</v>
      </c>
    </row>
    <row r="30929" spans="1:6" x14ac:dyDescent="0.25">
      <c r="A30929" s="2" t="str">
        <f t="shared" si="1120"/>
        <v>37900</v>
      </c>
      <c r="B30929" s="2" t="str">
        <f>"61636"</f>
        <v>61636</v>
      </c>
      <c r="C30929" s="1">
        <v>0</v>
      </c>
      <c r="D30929" s="1">
        <v>5.8203829812001602E-5</v>
      </c>
      <c r="E30929" s="1">
        <v>0</v>
      </c>
      <c r="F30929" s="1">
        <v>4.35800107206826E-6</v>
      </c>
    </row>
    <row r="30930" spans="1:6" x14ac:dyDescent="0.25">
      <c r="A30930" s="2" t="str">
        <f t="shared" si="1120"/>
        <v>37900</v>
      </c>
      <c r="B30930" s="2" t="str">
        <f>"61482"</f>
        <v>61482</v>
      </c>
      <c r="C30930" s="1">
        <v>1.4327780083397499E-3</v>
      </c>
      <c r="D30930" s="1">
        <v>1.1058727664280299E-3</v>
      </c>
      <c r="E30930" s="1">
        <v>1.1135857461024401E-3</v>
      </c>
      <c r="F30930" s="1">
        <v>1.39456034306184E-3</v>
      </c>
    </row>
    <row r="30931" spans="1:6" x14ac:dyDescent="0.25">
      <c r="A30931" s="2" t="str">
        <f t="shared" si="1120"/>
        <v>37900</v>
      </c>
      <c r="B30931" s="2" t="str">
        <f>"61443"</f>
        <v>61443</v>
      </c>
      <c r="C30931" s="1">
        <v>4.9406138218612197E-6</v>
      </c>
      <c r="D30931" s="1">
        <v>0</v>
      </c>
      <c r="E30931" s="1">
        <v>0</v>
      </c>
      <c r="F30931" s="1">
        <v>4.35800107206826E-6</v>
      </c>
    </row>
    <row r="30932" spans="1:6" x14ac:dyDescent="0.25">
      <c r="A30932" s="2" t="str">
        <f t="shared" si="1120"/>
        <v>37900</v>
      </c>
      <c r="B30932" s="2" t="str">
        <f>"61612"</f>
        <v>61612</v>
      </c>
      <c r="C30932" s="1">
        <v>4.9109701389300599E-3</v>
      </c>
      <c r="D30932" s="1">
        <v>2.63663349048367E-2</v>
      </c>
      <c r="E30932" s="1">
        <v>2.0247013565499001E-4</v>
      </c>
      <c r="F30932" s="1">
        <v>6.3147435534269096E-3</v>
      </c>
    </row>
    <row r="30933" spans="1:6" x14ac:dyDescent="0.25">
      <c r="A30933" s="2" t="str">
        <f t="shared" si="1120"/>
        <v>37900</v>
      </c>
      <c r="B30933" s="2" t="str">
        <f>"61611"</f>
        <v>61611</v>
      </c>
      <c r="C30933" s="1">
        <v>6.2103515740795603E-2</v>
      </c>
      <c r="D30933" s="1">
        <v>7.240556428613E-2</v>
      </c>
      <c r="E30933" s="1">
        <v>5.7703988661672402E-2</v>
      </c>
      <c r="F30933" s="1">
        <v>6.2685487420629904E-2</v>
      </c>
    </row>
    <row r="30934" spans="1:6" x14ac:dyDescent="0.25">
      <c r="A30934" s="2" t="str">
        <f t="shared" si="1120"/>
        <v>37900</v>
      </c>
      <c r="B30934" s="2" t="str">
        <f>"61615"</f>
        <v>61615</v>
      </c>
      <c r="C30934" s="1">
        <v>6.0591687911306098E-2</v>
      </c>
      <c r="D30934" s="1">
        <v>8.3638903439846299E-2</v>
      </c>
      <c r="E30934" s="1">
        <v>7.6634946345413998E-2</v>
      </c>
      <c r="F30934" s="1">
        <v>6.3007979499962896E-2</v>
      </c>
    </row>
    <row r="30935" spans="1:6" x14ac:dyDescent="0.25">
      <c r="A30935" s="2" t="str">
        <f t="shared" si="1120"/>
        <v>37900</v>
      </c>
      <c r="B30935" s="2" t="str">
        <f>"61555"</f>
        <v>61555</v>
      </c>
      <c r="C30935" s="1">
        <v>4.6046520819746596E-3</v>
      </c>
      <c r="D30935" s="1">
        <v>1.4027122984692299E-2</v>
      </c>
      <c r="E30935" s="1">
        <v>2.0247013565499001E-4</v>
      </c>
      <c r="F30935" s="1">
        <v>5.1206512596801996E-3</v>
      </c>
    </row>
    <row r="30936" spans="1:6" x14ac:dyDescent="0.25">
      <c r="A30936" s="2" t="str">
        <f t="shared" si="1120"/>
        <v>37900</v>
      </c>
      <c r="B30936" s="2" t="str">
        <f>"61560"</f>
        <v>61560</v>
      </c>
      <c r="C30936" s="1">
        <v>4.4465524396751E-5</v>
      </c>
      <c r="D30936" s="1">
        <v>0</v>
      </c>
      <c r="E30936" s="1">
        <v>0</v>
      </c>
      <c r="F30936" s="1">
        <v>3.9222009648614303E-5</v>
      </c>
    </row>
    <row r="30937" spans="1:6" x14ac:dyDescent="0.25">
      <c r="A30937" s="2" t="str">
        <f t="shared" si="1120"/>
        <v>37900</v>
      </c>
      <c r="B30937" s="2" t="str">
        <f>"61545"</f>
        <v>61545</v>
      </c>
      <c r="C30937" s="1">
        <v>2.3467915653840798E-3</v>
      </c>
      <c r="D30937" s="1">
        <v>7.5664978755602102E-4</v>
      </c>
      <c r="E30937" s="1">
        <v>6.0741040696497199E-4</v>
      </c>
      <c r="F30937" s="1">
        <v>2.1528525296017199E-3</v>
      </c>
    </row>
    <row r="30938" spans="1:6" x14ac:dyDescent="0.25">
      <c r="A30938" s="2" t="str">
        <f t="shared" si="1120"/>
        <v>37900</v>
      </c>
      <c r="B30938" s="2" t="str">
        <f>"61559"</f>
        <v>61559</v>
      </c>
      <c r="C30938" s="1">
        <v>7.4059801189699801E-3</v>
      </c>
      <c r="D30938" s="1">
        <v>3.7250451079680999E-3</v>
      </c>
      <c r="E30938" s="1">
        <v>2.8345818991698702E-3</v>
      </c>
      <c r="F30938" s="1">
        <v>6.9335797056605999E-3</v>
      </c>
    </row>
    <row r="30939" spans="1:6" x14ac:dyDescent="0.25">
      <c r="A30939" s="2" t="str">
        <f t="shared" si="1120"/>
        <v>37900</v>
      </c>
      <c r="B30939" s="2" t="str">
        <f>"61604"</f>
        <v>61604</v>
      </c>
      <c r="C30939" s="1">
        <v>7.2004505839805499E-2</v>
      </c>
      <c r="D30939" s="1">
        <v>4.9647866829637302E-2</v>
      </c>
      <c r="E30939" s="1">
        <v>8.7872038874266006E-2</v>
      </c>
      <c r="F30939" s="1">
        <v>7.1013627469352303E-2</v>
      </c>
    </row>
    <row r="30940" spans="1:6" x14ac:dyDescent="0.25">
      <c r="A30940" s="2" t="str">
        <f t="shared" si="1120"/>
        <v>37900</v>
      </c>
      <c r="B30940" s="2" t="str">
        <f>"61375"</f>
        <v>61375</v>
      </c>
      <c r="C30940" s="1">
        <v>4.5503053299341904E-3</v>
      </c>
      <c r="D30940" s="1">
        <v>1.3968919154880299E-3</v>
      </c>
      <c r="E30940" s="1">
        <v>3.4419923061348402E-3</v>
      </c>
      <c r="F30940" s="1">
        <v>4.2664830495548296E-3</v>
      </c>
    </row>
    <row r="30941" spans="1:6" x14ac:dyDescent="0.25">
      <c r="A30941" s="2" t="str">
        <f t="shared" si="1120"/>
        <v>37900</v>
      </c>
      <c r="B30941" s="2" t="str">
        <f>"61524"</f>
        <v>61524</v>
      </c>
      <c r="C30941" s="1">
        <v>0</v>
      </c>
      <c r="D30941" s="1">
        <v>0</v>
      </c>
      <c r="E30941" s="1">
        <v>1.0123506782749501E-4</v>
      </c>
      <c r="F30941" s="1">
        <v>4.35800107206826E-6</v>
      </c>
    </row>
    <row r="30942" spans="1:6" x14ac:dyDescent="0.25">
      <c r="A30942" s="2" t="str">
        <f t="shared" si="1120"/>
        <v>37900</v>
      </c>
      <c r="B30942" s="2" t="str">
        <f>"61771"</f>
        <v>61771</v>
      </c>
      <c r="C30942" s="1">
        <v>2.6926345329143599E-3</v>
      </c>
      <c r="D30942" s="1">
        <v>6.4024212793201704E-4</v>
      </c>
      <c r="E30942" s="1">
        <v>2.0247013565499001E-4</v>
      </c>
      <c r="F30942" s="1">
        <v>2.4317645982140901E-3</v>
      </c>
    </row>
    <row r="30943" spans="1:6" x14ac:dyDescent="0.25">
      <c r="A30943" s="2" t="str">
        <f t="shared" si="1120"/>
        <v>37900</v>
      </c>
      <c r="B30943" s="2" t="str">
        <f>"61643"</f>
        <v>61643</v>
      </c>
      <c r="C30943" s="1">
        <v>0</v>
      </c>
      <c r="D30943" s="1">
        <v>5.8203829812001602E-5</v>
      </c>
      <c r="E30943" s="1">
        <v>0</v>
      </c>
      <c r="F30943" s="1">
        <v>4.35800107206826E-6</v>
      </c>
    </row>
    <row r="30944" spans="1:6" x14ac:dyDescent="0.25">
      <c r="A30944" s="2" t="str">
        <f t="shared" si="1120"/>
        <v>37900</v>
      </c>
      <c r="B30944" s="2" t="str">
        <f>"61630"</f>
        <v>61630</v>
      </c>
      <c r="C30944" s="1">
        <v>0</v>
      </c>
      <c r="D30944" s="1">
        <v>5.8203829812001602E-5</v>
      </c>
      <c r="E30944" s="1">
        <v>1.0123506782749501E-4</v>
      </c>
      <c r="F30944" s="1">
        <v>8.7160021441365199E-6</v>
      </c>
    </row>
    <row r="30945" spans="1:6" x14ac:dyDescent="0.25">
      <c r="A30945" s="2" t="str">
        <f t="shared" si="1120"/>
        <v>37900</v>
      </c>
      <c r="B30945" s="2" t="str">
        <f>"61616"</f>
        <v>61616</v>
      </c>
      <c r="C30945" s="1">
        <v>1.6457184640619699E-2</v>
      </c>
      <c r="D30945" s="1">
        <v>2.40963855421686E-2</v>
      </c>
      <c r="E30945" s="1">
        <v>2.3486535735978899E-2</v>
      </c>
      <c r="F30945" s="1">
        <v>1.73317702636154E-2</v>
      </c>
    </row>
    <row r="30946" spans="1:6" x14ac:dyDescent="0.25">
      <c r="A30946" s="2" t="str">
        <f t="shared" si="1120"/>
        <v>37900</v>
      </c>
      <c r="B30946" s="2" t="str">
        <f>"61451"</f>
        <v>61451</v>
      </c>
      <c r="C30946" s="1">
        <v>8.6954803264757598E-4</v>
      </c>
      <c r="D30946" s="1">
        <v>2.32815319248006E-4</v>
      </c>
      <c r="E30946" s="1">
        <v>1.0123506782749501E-4</v>
      </c>
      <c r="F30946" s="1">
        <v>7.8879819404435497E-4</v>
      </c>
    </row>
    <row r="30947" spans="1:6" x14ac:dyDescent="0.25">
      <c r="A30947" s="2" t="str">
        <f t="shared" si="1120"/>
        <v>37900</v>
      </c>
      <c r="B30947" s="2" t="str">
        <f>"61431"</f>
        <v>61431</v>
      </c>
      <c r="C30947" s="1">
        <v>9.93063378194106E-4</v>
      </c>
      <c r="D30947" s="1">
        <v>2.9101914906000799E-4</v>
      </c>
      <c r="E30947" s="1">
        <v>0</v>
      </c>
      <c r="F30947" s="1">
        <v>8.97748220846062E-4</v>
      </c>
    </row>
    <row r="30948" spans="1:6" x14ac:dyDescent="0.25">
      <c r="A30948" s="2" t="str">
        <f t="shared" si="1120"/>
        <v>37900</v>
      </c>
      <c r="B30948" s="2" t="str">
        <f>"61614"</f>
        <v>61614</v>
      </c>
      <c r="C30948" s="1">
        <v>7.1925456018655701E-2</v>
      </c>
      <c r="D30948" s="1">
        <v>8.7596763867062402E-2</v>
      </c>
      <c r="E30948" s="1">
        <v>9.1415266248228294E-2</v>
      </c>
      <c r="F30948" s="1">
        <v>7.3937846188710105E-2</v>
      </c>
    </row>
    <row r="30949" spans="1:6" x14ac:dyDescent="0.25">
      <c r="A30949" s="2" t="str">
        <f t="shared" si="1120"/>
        <v>37900</v>
      </c>
      <c r="B30949" s="2" t="str">
        <f>"61613"</f>
        <v>61613</v>
      </c>
      <c r="C30949" s="1">
        <v>0</v>
      </c>
      <c r="D30949" s="1">
        <v>7.0426634072521897E-3</v>
      </c>
      <c r="E30949" s="1">
        <v>3.0370520348248599E-4</v>
      </c>
      <c r="F30949" s="1">
        <v>5.4039213293646403E-4</v>
      </c>
    </row>
    <row r="30950" spans="1:6" x14ac:dyDescent="0.25">
      <c r="A30950" s="2" t="str">
        <f t="shared" si="1120"/>
        <v>37900</v>
      </c>
      <c r="B30950" s="2" t="str">
        <f>"61606"</f>
        <v>61606</v>
      </c>
      <c r="C30950" s="1">
        <v>1.64769470959071E-2</v>
      </c>
      <c r="D30950" s="1">
        <v>1.51911995809324E-2</v>
      </c>
      <c r="E30950" s="1">
        <v>6.6916379833974401E-2</v>
      </c>
      <c r="F30950" s="1">
        <v>1.8552010563794501E-2</v>
      </c>
    </row>
    <row r="30951" spans="1:6" x14ac:dyDescent="0.25">
      <c r="A30951" s="2" t="str">
        <f t="shared" si="1120"/>
        <v>37900</v>
      </c>
      <c r="B30951" s="2" t="str">
        <f>"61562"</f>
        <v>61562</v>
      </c>
      <c r="C30951" s="1">
        <v>0</v>
      </c>
      <c r="D30951" s="1">
        <v>5.8203829812001602E-5</v>
      </c>
      <c r="E30951" s="1">
        <v>0</v>
      </c>
      <c r="F30951" s="1">
        <v>4.35800107206826E-6</v>
      </c>
    </row>
    <row r="30952" spans="1:6" x14ac:dyDescent="0.25">
      <c r="A30952" s="2" t="str">
        <f t="shared" si="1120"/>
        <v>37900</v>
      </c>
      <c r="B30952" s="2" t="str">
        <f>"61553"</f>
        <v>61553</v>
      </c>
      <c r="C30952" s="1">
        <v>1.6304025612142001E-4</v>
      </c>
      <c r="D30952" s="1">
        <v>0</v>
      </c>
      <c r="E30952" s="1">
        <v>1.0123506782749501E-4</v>
      </c>
      <c r="F30952" s="1">
        <v>1.4817203645031999E-4</v>
      </c>
    </row>
    <row r="30953" spans="1:6" x14ac:dyDescent="0.25">
      <c r="A30953" s="2" t="str">
        <f t="shared" si="1120"/>
        <v>37900</v>
      </c>
      <c r="B30953" s="2" t="str">
        <f>"61554"</f>
        <v>61554</v>
      </c>
      <c r="C30953" s="1">
        <v>9.6307385229540896E-2</v>
      </c>
      <c r="D30953" s="1">
        <v>9.1845643443338496E-2</v>
      </c>
      <c r="E30953" s="1">
        <v>0.100020247013565</v>
      </c>
      <c r="F30953" s="1">
        <v>9.6133145648753804E-2</v>
      </c>
    </row>
    <row r="30954" spans="1:6" x14ac:dyDescent="0.25">
      <c r="A30954" s="2" t="str">
        <f t="shared" si="1120"/>
        <v>37900</v>
      </c>
      <c r="B30954" s="2" t="str">
        <f>"61603"</f>
        <v>61603</v>
      </c>
      <c r="C30954" s="1">
        <v>3.9001205509772499E-2</v>
      </c>
      <c r="D30954" s="1">
        <v>4.5282579593737202E-2</v>
      </c>
      <c r="E30954" s="1">
        <v>8.8783154484713495E-2</v>
      </c>
      <c r="F30954" s="1">
        <v>4.1614552237179803E-2</v>
      </c>
    </row>
    <row r="30955" spans="1:6" x14ac:dyDescent="0.25">
      <c r="A30955" s="2" t="str">
        <f t="shared" ref="A30955:A30986" si="1121">"37900"</f>
        <v>37900</v>
      </c>
      <c r="B30955" s="2" t="str">
        <f>"61539"</f>
        <v>61539</v>
      </c>
      <c r="C30955" s="1">
        <v>0</v>
      </c>
      <c r="D30955" s="1">
        <v>5.8203829812001602E-5</v>
      </c>
      <c r="E30955" s="1">
        <v>0</v>
      </c>
      <c r="F30955" s="1">
        <v>4.35800107206826E-6</v>
      </c>
    </row>
    <row r="30956" spans="1:6" x14ac:dyDescent="0.25">
      <c r="A30956" s="2" t="str">
        <f t="shared" si="1121"/>
        <v>37900</v>
      </c>
      <c r="B30956" s="2" t="str">
        <f>"61540"</f>
        <v>61540</v>
      </c>
      <c r="C30956" s="1">
        <v>8.1421315784272995E-3</v>
      </c>
      <c r="D30956" s="1">
        <v>1.08259123450323E-2</v>
      </c>
      <c r="E30956" s="1">
        <v>5.4666936626847499E-3</v>
      </c>
      <c r="F30956" s="1">
        <v>8.2279060240648804E-3</v>
      </c>
    </row>
    <row r="30957" spans="1:6" x14ac:dyDescent="0.25">
      <c r="A30957" s="2" t="str">
        <f t="shared" si="1121"/>
        <v>37900</v>
      </c>
      <c r="B30957" s="2" t="str">
        <f>"62682"</f>
        <v>62682</v>
      </c>
      <c r="C30957" s="1">
        <v>1.7292148376514199E-4</v>
      </c>
      <c r="D30957" s="1">
        <v>1.16407659624003E-4</v>
      </c>
      <c r="E30957" s="1">
        <v>0</v>
      </c>
      <c r="F30957" s="1">
        <v>1.6124603966652501E-4</v>
      </c>
    </row>
    <row r="30958" spans="1:6" x14ac:dyDescent="0.25">
      <c r="A30958" s="2" t="str">
        <f t="shared" si="1121"/>
        <v>37900</v>
      </c>
      <c r="B30958" s="2" t="str">
        <f>"62635"</f>
        <v>62635</v>
      </c>
      <c r="C30958" s="1">
        <v>3.9524910574889798E-5</v>
      </c>
      <c r="D30958" s="1">
        <v>0</v>
      </c>
      <c r="E30958" s="1">
        <v>0</v>
      </c>
      <c r="F30958" s="1">
        <v>3.48640085765461E-5</v>
      </c>
    </row>
    <row r="30959" spans="1:6" x14ac:dyDescent="0.25">
      <c r="A30959" s="2" t="str">
        <f t="shared" si="1121"/>
        <v>37900</v>
      </c>
      <c r="B30959" s="2" t="str">
        <f>"61759"</f>
        <v>61759</v>
      </c>
      <c r="C30959" s="1">
        <v>3.7845101875456999E-3</v>
      </c>
      <c r="D30959" s="1">
        <v>4.6563063849601298E-4</v>
      </c>
      <c r="E30959" s="1">
        <v>2.4296416278598901E-3</v>
      </c>
      <c r="F30959" s="1">
        <v>3.4776848555104702E-3</v>
      </c>
    </row>
    <row r="30960" spans="1:6" x14ac:dyDescent="0.25">
      <c r="A30960" s="2" t="str">
        <f t="shared" si="1121"/>
        <v>37900</v>
      </c>
      <c r="B30960" s="2" t="str">
        <f>"61655"</f>
        <v>61655</v>
      </c>
      <c r="C30960" s="1">
        <v>4.59477085433094E-4</v>
      </c>
      <c r="D30960" s="1">
        <v>2.5027646819160698E-3</v>
      </c>
      <c r="E30960" s="1">
        <v>2.0247013565499001E-4</v>
      </c>
      <c r="F30960" s="1">
        <v>6.0140414794541996E-4</v>
      </c>
    </row>
    <row r="30961" spans="1:6" x14ac:dyDescent="0.25">
      <c r="A30961" s="2" t="str">
        <f t="shared" si="1121"/>
        <v>37900</v>
      </c>
      <c r="B30961" s="2" t="str">
        <f>"61635"</f>
        <v>61635</v>
      </c>
      <c r="C30961" s="1">
        <v>0</v>
      </c>
      <c r="D30961" s="1">
        <v>5.8203829812001602E-5</v>
      </c>
      <c r="E30961" s="1">
        <v>0</v>
      </c>
      <c r="F30961" s="1">
        <v>4.35800107206826E-6</v>
      </c>
    </row>
    <row r="30962" spans="1:6" x14ac:dyDescent="0.25">
      <c r="A30962" s="2" t="str">
        <f t="shared" si="1121"/>
        <v>37900</v>
      </c>
      <c r="B30962" s="2" t="str">
        <f>"61633"</f>
        <v>61633</v>
      </c>
      <c r="C30962" s="1">
        <v>0</v>
      </c>
      <c r="D30962" s="1">
        <v>5.8203829812001602E-5</v>
      </c>
      <c r="E30962" s="1">
        <v>0</v>
      </c>
      <c r="F30962" s="1">
        <v>4.35800107206826E-6</v>
      </c>
    </row>
    <row r="30963" spans="1:6" x14ac:dyDescent="0.25">
      <c r="A30963" s="2" t="str">
        <f t="shared" si="1121"/>
        <v>37900</v>
      </c>
      <c r="B30963" s="2" t="str">
        <f>"61483"</f>
        <v>61483</v>
      </c>
      <c r="C30963" s="1">
        <v>6.3289263058042304E-3</v>
      </c>
      <c r="D30963" s="1">
        <v>4.3652872359001204E-3</v>
      </c>
      <c r="E30963" s="1">
        <v>4.7580481878922798E-3</v>
      </c>
      <c r="F30963" s="1">
        <v>6.1142755041117703E-3</v>
      </c>
    </row>
    <row r="30964" spans="1:6" x14ac:dyDescent="0.25">
      <c r="A30964" s="2" t="str">
        <f t="shared" si="1121"/>
        <v>37900</v>
      </c>
      <c r="B30964" s="2" t="str">
        <f>"61433"</f>
        <v>61433</v>
      </c>
      <c r="C30964" s="1">
        <v>0</v>
      </c>
      <c r="D30964" s="1">
        <v>5.8203829812001602E-5</v>
      </c>
      <c r="E30964" s="1">
        <v>0</v>
      </c>
      <c r="F30964" s="1">
        <v>4.35800107206826E-6</v>
      </c>
    </row>
    <row r="30965" spans="1:6" x14ac:dyDescent="0.25">
      <c r="A30965" s="2" t="str">
        <f t="shared" si="1121"/>
        <v>37900</v>
      </c>
      <c r="B30965" s="2" t="str">
        <f>"61427"</f>
        <v>61427</v>
      </c>
      <c r="C30965" s="1">
        <v>5.5137250251971297E-3</v>
      </c>
      <c r="D30965" s="1">
        <v>1.8043187241720501E-3</v>
      </c>
      <c r="E30965" s="1">
        <v>3.0370520348248599E-4</v>
      </c>
      <c r="F30965" s="1">
        <v>5.0117012328784998E-3</v>
      </c>
    </row>
    <row r="30966" spans="1:6" x14ac:dyDescent="0.25">
      <c r="A30966" s="2" t="str">
        <f t="shared" si="1121"/>
        <v>37900</v>
      </c>
      <c r="B30966" s="2" t="str">
        <f>"61421"</f>
        <v>61421</v>
      </c>
      <c r="C30966" s="1">
        <v>3.5967668623149698E-3</v>
      </c>
      <c r="D30966" s="1">
        <v>1.8043187241720501E-3</v>
      </c>
      <c r="E30966" s="1">
        <v>1.3160558817574401E-3</v>
      </c>
      <c r="F30966" s="1">
        <v>3.3643768276366902E-3</v>
      </c>
    </row>
    <row r="30967" spans="1:6" x14ac:dyDescent="0.25">
      <c r="A30967" s="2" t="str">
        <f t="shared" si="1121"/>
        <v>37900</v>
      </c>
      <c r="B30967" s="2" t="str">
        <f>"61546"</f>
        <v>61546</v>
      </c>
      <c r="C30967" s="1">
        <v>4.6244145372620997E-3</v>
      </c>
      <c r="D30967" s="1">
        <v>1.0476689366160201E-3</v>
      </c>
      <c r="E30967" s="1">
        <v>8.0988054261996298E-4</v>
      </c>
      <c r="F30967" s="1">
        <v>4.1923970313296598E-3</v>
      </c>
    </row>
    <row r="30968" spans="1:6" x14ac:dyDescent="0.25">
      <c r="A30968" s="2" t="str">
        <f t="shared" si="1121"/>
        <v>37900</v>
      </c>
      <c r="B30968" s="2" t="str">
        <f>"61570"</f>
        <v>61570</v>
      </c>
      <c r="C30968" s="1">
        <v>4.8170984763146896E-3</v>
      </c>
      <c r="D30968" s="1">
        <v>1.2222804260520301E-3</v>
      </c>
      <c r="E30968" s="1">
        <v>1.37679692245393E-2</v>
      </c>
      <c r="F30968" s="1">
        <v>4.9332572135812698E-3</v>
      </c>
    </row>
    <row r="30969" spans="1:6" x14ac:dyDescent="0.25">
      <c r="A30969" s="2" t="str">
        <f t="shared" si="1121"/>
        <v>37900</v>
      </c>
      <c r="B30969" s="2" t="str">
        <f>"61565"</f>
        <v>61565</v>
      </c>
      <c r="C30969" s="1">
        <v>3.4090235370842401E-3</v>
      </c>
      <c r="D30969" s="1">
        <v>1.16407659624003E-3</v>
      </c>
      <c r="E30969" s="1">
        <v>7.0864547479246797E-4</v>
      </c>
      <c r="F30969" s="1">
        <v>3.1246867686729402E-3</v>
      </c>
    </row>
    <row r="30970" spans="1:6" x14ac:dyDescent="0.25">
      <c r="A30970" s="2" t="str">
        <f t="shared" si="1121"/>
        <v>37900</v>
      </c>
      <c r="B30970" s="2" t="str">
        <f>"61369"</f>
        <v>61369</v>
      </c>
      <c r="C30970" s="1">
        <v>4.5700677852216296E-3</v>
      </c>
      <c r="D30970" s="1">
        <v>1.2222804260520301E-3</v>
      </c>
      <c r="E30970" s="1">
        <v>3.4419923061348402E-3</v>
      </c>
      <c r="F30970" s="1">
        <v>4.2708410506268899E-3</v>
      </c>
    </row>
    <row r="30971" spans="1:6" x14ac:dyDescent="0.25">
      <c r="A30971" s="2" t="str">
        <f t="shared" si="1121"/>
        <v>37900</v>
      </c>
      <c r="B30971" s="2" t="str">
        <f>"61536"</f>
        <v>61536</v>
      </c>
      <c r="C30971" s="1">
        <v>7.06013715143969E-3</v>
      </c>
      <c r="D30971" s="1">
        <v>1.5132995751120401E-3</v>
      </c>
      <c r="E30971" s="1">
        <v>3.9481676452723198E-3</v>
      </c>
      <c r="F30971" s="1">
        <v>6.5108536016699799E-3</v>
      </c>
    </row>
    <row r="30972" spans="1:6" x14ac:dyDescent="0.25">
      <c r="A30972" s="2" t="str">
        <f t="shared" si="1121"/>
        <v>37900</v>
      </c>
      <c r="B30972" s="2" t="str">
        <f>"61533"</f>
        <v>61533</v>
      </c>
      <c r="C30972" s="1">
        <v>4.9504950495049497E-3</v>
      </c>
      <c r="D30972" s="1">
        <v>9.3126127699202596E-4</v>
      </c>
      <c r="E30972" s="1">
        <v>2.0247013565499001E-3</v>
      </c>
      <c r="F30972" s="1">
        <v>4.5236051128068498E-3</v>
      </c>
    </row>
    <row r="30973" spans="1:6" x14ac:dyDescent="0.25">
      <c r="A30973" s="2" t="str">
        <f t="shared" si="1121"/>
        <v>37900</v>
      </c>
      <c r="B30973" s="2" t="str">
        <f>"61523"</f>
        <v>61523</v>
      </c>
      <c r="C30973" s="1">
        <v>2.55281516175569E-2</v>
      </c>
      <c r="D30973" s="1">
        <v>1.8625225539840501E-2</v>
      </c>
      <c r="E30973" s="1">
        <v>1.8323547276776601E-2</v>
      </c>
      <c r="F30973" s="1">
        <v>2.4701150076482901E-2</v>
      </c>
    </row>
    <row r="30974" spans="1:6" x14ac:dyDescent="0.25">
      <c r="A30974" s="2" t="str">
        <f t="shared" si="1121"/>
        <v>37900</v>
      </c>
      <c r="B30974" s="2" t="str">
        <f>"61516"</f>
        <v>61516</v>
      </c>
      <c r="C30974" s="1">
        <v>1.97130491492262E-3</v>
      </c>
      <c r="D30974" s="1">
        <v>1.2222804260520301E-3</v>
      </c>
      <c r="E30974" s="1">
        <v>4.04940271309981E-4</v>
      </c>
      <c r="F30974" s="1">
        <v>1.8477924545569401E-3</v>
      </c>
    </row>
    <row r="30975" spans="1:6" x14ac:dyDescent="0.25">
      <c r="A30975" s="2" t="str">
        <f t="shared" si="1121"/>
        <v>37900</v>
      </c>
      <c r="B30975" s="2" t="str">
        <f>"61358"</f>
        <v>61358</v>
      </c>
      <c r="C30975" s="1">
        <v>2.0750578051817101E-4</v>
      </c>
      <c r="D30975" s="1">
        <v>0</v>
      </c>
      <c r="E30975" s="1">
        <v>0</v>
      </c>
      <c r="F30975" s="1">
        <v>1.83036045026867E-4</v>
      </c>
    </row>
    <row r="30976" spans="1:6" x14ac:dyDescent="0.25">
      <c r="A30976" s="2" t="str">
        <f t="shared" si="1121"/>
        <v>37900</v>
      </c>
      <c r="B30976" s="2" t="str">
        <f>"61321"</f>
        <v>61321</v>
      </c>
      <c r="C30976" s="1">
        <v>1.4821841465583601E-5</v>
      </c>
      <c r="D30976" s="1">
        <v>0</v>
      </c>
      <c r="E30976" s="1">
        <v>0</v>
      </c>
      <c r="F30976" s="1">
        <v>1.3074003216204699E-5</v>
      </c>
    </row>
    <row r="30977" spans="1:6" x14ac:dyDescent="0.25">
      <c r="A30977" s="2" t="str">
        <f t="shared" si="1121"/>
        <v>37900</v>
      </c>
      <c r="B30977" s="2" t="str">
        <f>"62644"</f>
        <v>62644</v>
      </c>
      <c r="C30977" s="1">
        <v>4.1007094721448101E-4</v>
      </c>
      <c r="D30977" s="1">
        <v>1.7461148943600401E-4</v>
      </c>
      <c r="E30977" s="1">
        <v>0</v>
      </c>
      <c r="F30977" s="1">
        <v>3.7478809219786997E-4</v>
      </c>
    </row>
    <row r="30978" spans="1:6" x14ac:dyDescent="0.25">
      <c r="A30978" s="2" t="str">
        <f t="shared" si="1121"/>
        <v>37900</v>
      </c>
      <c r="B30978" s="2" t="str">
        <f>"61725"</f>
        <v>61725</v>
      </c>
      <c r="C30978" s="1">
        <v>1.1017568822750501E-3</v>
      </c>
      <c r="D30978" s="1">
        <v>2.9101914906000799E-4</v>
      </c>
      <c r="E30978" s="1">
        <v>0</v>
      </c>
      <c r="F30978" s="1">
        <v>9.9362424443156399E-4</v>
      </c>
    </row>
    <row r="30979" spans="1:6" x14ac:dyDescent="0.25">
      <c r="A30979" s="2" t="str">
        <f t="shared" si="1121"/>
        <v>37900</v>
      </c>
      <c r="B30979" s="2" t="str">
        <f>"61742"</f>
        <v>61742</v>
      </c>
      <c r="C30979" s="1">
        <v>3.0780024110195398E-3</v>
      </c>
      <c r="D30979" s="1">
        <v>3.8996565974041002E-3</v>
      </c>
      <c r="E30979" s="1">
        <v>4.04940271309981E-4</v>
      </c>
      <c r="F30979" s="1">
        <v>3.0244527440153701E-3</v>
      </c>
    </row>
    <row r="30980" spans="1:6" x14ac:dyDescent="0.25">
      <c r="A30980" s="2" t="str">
        <f t="shared" si="1121"/>
        <v>37900</v>
      </c>
      <c r="B30980" s="2" t="str">
        <f>"61738"</f>
        <v>61738</v>
      </c>
      <c r="C30980" s="1">
        <v>9.2784727574553808E-3</v>
      </c>
      <c r="D30980" s="1">
        <v>1.0011058727664199E-2</v>
      </c>
      <c r="E30980" s="1">
        <v>1.0022271714921999E-2</v>
      </c>
      <c r="F30980" s="1">
        <v>9.3653443038746904E-3</v>
      </c>
    </row>
    <row r="30981" spans="1:6" x14ac:dyDescent="0.25">
      <c r="A30981" s="2" t="str">
        <f t="shared" si="1121"/>
        <v>37900</v>
      </c>
      <c r="B30981" s="2" t="str">
        <f>"61734"</f>
        <v>61734</v>
      </c>
      <c r="C30981" s="1">
        <v>6.1016580699986096E-3</v>
      </c>
      <c r="D30981" s="1">
        <v>3.0848029800360798E-3</v>
      </c>
      <c r="E30981" s="1">
        <v>3.9481676452723198E-3</v>
      </c>
      <c r="F30981" s="1">
        <v>5.7830674226345804E-3</v>
      </c>
    </row>
    <row r="30982" spans="1:6" x14ac:dyDescent="0.25">
      <c r="A30982" s="2" t="str">
        <f t="shared" si="1121"/>
        <v>37900</v>
      </c>
      <c r="B30982" s="2" t="str">
        <f>"61656"</f>
        <v>61656</v>
      </c>
      <c r="C30982" s="1">
        <v>2.0750578051817101E-4</v>
      </c>
      <c r="D30982" s="1">
        <v>6.4024212793201704E-4</v>
      </c>
      <c r="E30982" s="1">
        <v>2.0247013565499001E-4</v>
      </c>
      <c r="F30982" s="1">
        <v>2.39690058963754E-4</v>
      </c>
    </row>
    <row r="30983" spans="1:6" x14ac:dyDescent="0.25">
      <c r="A30983" s="2" t="str">
        <f t="shared" si="1121"/>
        <v>37900</v>
      </c>
      <c r="B30983" s="2" t="str">
        <f>"61637"</f>
        <v>61637</v>
      </c>
      <c r="C30983" s="1">
        <v>0</v>
      </c>
      <c r="D30983" s="1">
        <v>5.8203829812001602E-5</v>
      </c>
      <c r="E30983" s="1">
        <v>0</v>
      </c>
      <c r="F30983" s="1">
        <v>4.35800107206826E-6</v>
      </c>
    </row>
    <row r="30984" spans="1:6" x14ac:dyDescent="0.25">
      <c r="A30984" s="2" t="str">
        <f t="shared" si="1121"/>
        <v>37900</v>
      </c>
      <c r="B30984" s="2" t="str">
        <f>"61634"</f>
        <v>61634</v>
      </c>
      <c r="C30984" s="1">
        <v>0</v>
      </c>
      <c r="D30984" s="1">
        <v>5.8203829812001602E-5</v>
      </c>
      <c r="E30984" s="1">
        <v>0</v>
      </c>
      <c r="F30984" s="1">
        <v>4.35800107206826E-6</v>
      </c>
    </row>
    <row r="30985" spans="1:6" x14ac:dyDescent="0.25">
      <c r="A30985" s="2" t="str">
        <f t="shared" si="1121"/>
        <v>37900</v>
      </c>
      <c r="B30985" s="2" t="str">
        <f>"61474"</f>
        <v>61474</v>
      </c>
      <c r="C30985" s="1">
        <v>2.96436829311673E-5</v>
      </c>
      <c r="D30985" s="1">
        <v>0</v>
      </c>
      <c r="E30985" s="1">
        <v>0</v>
      </c>
      <c r="F30985" s="1">
        <v>2.61480064324095E-5</v>
      </c>
    </row>
    <row r="30986" spans="1:6" x14ac:dyDescent="0.25">
      <c r="A30986" s="2" t="str">
        <f t="shared" si="1121"/>
        <v>37900</v>
      </c>
      <c r="B30986" s="2" t="str">
        <f>"61484"</f>
        <v>61484</v>
      </c>
      <c r="C30986" s="1">
        <v>1.72427422382956E-3</v>
      </c>
      <c r="D30986" s="1">
        <v>1.16407659624003E-4</v>
      </c>
      <c r="E30986" s="1">
        <v>6.0741040696497199E-4</v>
      </c>
      <c r="F30986" s="1">
        <v>1.5558063827283699E-3</v>
      </c>
    </row>
    <row r="30987" spans="1:6" x14ac:dyDescent="0.25">
      <c r="A30987" s="2" t="str">
        <f t="shared" ref="A30987:A31018" si="1122">"37900"</f>
        <v>37900</v>
      </c>
      <c r="B30987" s="2" t="str">
        <f>"61459"</f>
        <v>61459</v>
      </c>
      <c r="C30987" s="1">
        <v>7.50973300922906E-4</v>
      </c>
      <c r="D30987" s="1">
        <v>1.7461148943600401E-4</v>
      </c>
      <c r="E30987" s="1">
        <v>0</v>
      </c>
      <c r="F30987" s="1">
        <v>6.7549016617057995E-4</v>
      </c>
    </row>
    <row r="30988" spans="1:6" x14ac:dyDescent="0.25">
      <c r="A30988" s="2" t="str">
        <f t="shared" si="1122"/>
        <v>37900</v>
      </c>
      <c r="B30988" s="2" t="str">
        <f>"61426"</f>
        <v>61426</v>
      </c>
      <c r="C30988" s="1">
        <v>0</v>
      </c>
      <c r="D30988" s="1">
        <v>5.8203829812001602E-5</v>
      </c>
      <c r="E30988" s="1">
        <v>0</v>
      </c>
      <c r="F30988" s="1">
        <v>4.35800107206826E-6</v>
      </c>
    </row>
    <row r="30989" spans="1:6" x14ac:dyDescent="0.25">
      <c r="A30989" s="2" t="str">
        <f t="shared" si="1122"/>
        <v>37900</v>
      </c>
      <c r="B30989" s="2" t="str">
        <f>"61441"</f>
        <v>61441</v>
      </c>
      <c r="C30989" s="1">
        <v>2.420900772712E-3</v>
      </c>
      <c r="D30989" s="1">
        <v>1.45509574530004E-3</v>
      </c>
      <c r="E30989" s="1">
        <v>9.1111561044745798E-4</v>
      </c>
      <c r="F30989" s="1">
        <v>2.2835925617637701E-3</v>
      </c>
    </row>
    <row r="30990" spans="1:6" x14ac:dyDescent="0.25">
      <c r="A30990" s="2" t="str">
        <f t="shared" si="1122"/>
        <v>37900</v>
      </c>
      <c r="B30990" s="2" t="str">
        <f>"61610"</f>
        <v>61610</v>
      </c>
      <c r="C30990" s="1">
        <v>1.25936246319242E-2</v>
      </c>
      <c r="D30990" s="1">
        <v>1.0011058727664199E-2</v>
      </c>
      <c r="E30990" s="1">
        <v>1.32617938854019E-2</v>
      </c>
      <c r="F30990" s="1">
        <v>1.24290190575386E-2</v>
      </c>
    </row>
    <row r="30991" spans="1:6" x14ac:dyDescent="0.25">
      <c r="A30991" s="2" t="str">
        <f t="shared" si="1122"/>
        <v>37900</v>
      </c>
      <c r="B30991" s="2" t="str">
        <f>"61541"</f>
        <v>61541</v>
      </c>
      <c r="C30991" s="1">
        <v>3.11258670777257E-4</v>
      </c>
      <c r="D30991" s="1">
        <v>5.8203829812001602E-5</v>
      </c>
      <c r="E30991" s="1">
        <v>0</v>
      </c>
      <c r="F30991" s="1">
        <v>2.7891206861236799E-4</v>
      </c>
    </row>
    <row r="30992" spans="1:6" x14ac:dyDescent="0.25">
      <c r="A30992" s="2" t="str">
        <f t="shared" si="1122"/>
        <v>37900</v>
      </c>
      <c r="B30992" s="2" t="str">
        <f>"61547"</f>
        <v>61547</v>
      </c>
      <c r="C30992" s="1">
        <v>7.3516333669294996E-3</v>
      </c>
      <c r="D30992" s="1">
        <v>1.5132995751120401E-3</v>
      </c>
      <c r="E30992" s="1">
        <v>3.0370520348248599E-4</v>
      </c>
      <c r="F30992" s="1">
        <v>6.6110876263275496E-3</v>
      </c>
    </row>
    <row r="30993" spans="1:6" x14ac:dyDescent="0.25">
      <c r="A30993" s="2" t="str">
        <f t="shared" si="1122"/>
        <v>37900</v>
      </c>
      <c r="B30993" s="2" t="str">
        <f>"61605"</f>
        <v>61605</v>
      </c>
      <c r="C30993" s="1">
        <v>3.7924151696606699E-2</v>
      </c>
      <c r="D30993" s="1">
        <v>2.40381817123566E-2</v>
      </c>
      <c r="E30993" s="1">
        <v>3.2293986636971E-2</v>
      </c>
      <c r="F30993" s="1">
        <v>3.6642073013949901E-2</v>
      </c>
    </row>
    <row r="30994" spans="1:6" x14ac:dyDescent="0.25">
      <c r="A30994" s="2" t="str">
        <f t="shared" si="1122"/>
        <v>37900</v>
      </c>
      <c r="B30994" s="2" t="str">
        <f>"61377"</f>
        <v>61377</v>
      </c>
      <c r="C30994" s="1">
        <v>3.2262208256753802E-3</v>
      </c>
      <c r="D30994" s="1">
        <v>1.92072638379605E-3</v>
      </c>
      <c r="E30994" s="1">
        <v>3.2395221704798502E-3</v>
      </c>
      <c r="F30994" s="1">
        <v>3.12904476974501E-3</v>
      </c>
    </row>
    <row r="30995" spans="1:6" x14ac:dyDescent="0.25">
      <c r="A30995" s="2" t="str">
        <f t="shared" si="1122"/>
        <v>37900</v>
      </c>
      <c r="B30995" s="2" t="str">
        <f>"61528"</f>
        <v>61528</v>
      </c>
      <c r="C30995" s="1">
        <v>6.3931542854884201E-3</v>
      </c>
      <c r="D30995" s="1">
        <v>3.3176182992840902E-3</v>
      </c>
      <c r="E30995" s="1">
        <v>1.4172909495849301E-3</v>
      </c>
      <c r="F30995" s="1">
        <v>5.9486714633731697E-3</v>
      </c>
    </row>
    <row r="30996" spans="1:6" x14ac:dyDescent="0.25">
      <c r="A30996" s="2" t="str">
        <f t="shared" si="1122"/>
        <v>37900</v>
      </c>
      <c r="B30996" s="2" t="str">
        <f>"61520"</f>
        <v>61520</v>
      </c>
      <c r="C30996" s="1">
        <v>3.81415387047686E-2</v>
      </c>
      <c r="D30996" s="1">
        <v>3.7250451079681002E-2</v>
      </c>
      <c r="E30996" s="1">
        <v>3.0572990483903599E-2</v>
      </c>
      <c r="F30996" s="1">
        <v>3.7749005286255299E-2</v>
      </c>
    </row>
    <row r="30997" spans="1:6" x14ac:dyDescent="0.25">
      <c r="A30997" s="2" t="str">
        <f t="shared" si="1122"/>
        <v>37900</v>
      </c>
      <c r="B30997" s="2" t="str">
        <f>"61501"</f>
        <v>61501</v>
      </c>
      <c r="C30997" s="1">
        <v>5.2321100373510397E-3</v>
      </c>
      <c r="D30997" s="1">
        <v>2.1535417030440602E-3</v>
      </c>
      <c r="E30997" s="1">
        <v>1.2958088681919401E-2</v>
      </c>
      <c r="F30997" s="1">
        <v>5.3341933122115501E-3</v>
      </c>
    </row>
    <row r="30998" spans="1:6" x14ac:dyDescent="0.25">
      <c r="A30998" s="2" t="str">
        <f t="shared" si="1122"/>
        <v>37900</v>
      </c>
      <c r="B30998" s="2" t="str">
        <f>"61336"</f>
        <v>61336</v>
      </c>
      <c r="C30998" s="1">
        <v>1.8774332523072601E-4</v>
      </c>
      <c r="D30998" s="1">
        <v>1.16407659624003E-4</v>
      </c>
      <c r="E30998" s="1">
        <v>2.0247013565499001E-4</v>
      </c>
      <c r="F30998" s="1">
        <v>1.83036045026867E-4</v>
      </c>
    </row>
    <row r="30999" spans="1:6" x14ac:dyDescent="0.25">
      <c r="A30999" s="2" t="str">
        <f t="shared" si="1122"/>
        <v>37900</v>
      </c>
      <c r="B30999" s="2" t="str">
        <f>"61774"</f>
        <v>61774</v>
      </c>
      <c r="C30999" s="1">
        <v>4.9406138218612197E-6</v>
      </c>
      <c r="D30999" s="1">
        <v>0</v>
      </c>
      <c r="E30999" s="1">
        <v>0</v>
      </c>
      <c r="F30999" s="1">
        <v>4.35800107206826E-6</v>
      </c>
    </row>
    <row r="31000" spans="1:6" x14ac:dyDescent="0.25">
      <c r="A31000" s="2" t="str">
        <f t="shared" si="1122"/>
        <v>37900</v>
      </c>
      <c r="B31000" s="2" t="str">
        <f>"61748"</f>
        <v>61748</v>
      </c>
      <c r="C31000" s="1">
        <v>6.4227979684195903E-5</v>
      </c>
      <c r="D31000" s="1">
        <v>0</v>
      </c>
      <c r="E31000" s="1">
        <v>0</v>
      </c>
      <c r="F31000" s="1">
        <v>5.6654013936887401E-5</v>
      </c>
    </row>
    <row r="31001" spans="1:6" x14ac:dyDescent="0.25">
      <c r="A31001" s="2" t="str">
        <f t="shared" si="1122"/>
        <v>37900</v>
      </c>
      <c r="B31001" s="2" t="str">
        <f>"61755"</f>
        <v>61755</v>
      </c>
      <c r="C31001" s="1">
        <v>9.2142447777711894E-3</v>
      </c>
      <c r="D31001" s="1">
        <v>4.1324719166521097E-3</v>
      </c>
      <c r="E31001" s="1">
        <v>3.8469325774448202E-3</v>
      </c>
      <c r="F31001" s="1">
        <v>8.6026941162627504E-3</v>
      </c>
    </row>
    <row r="31002" spans="1:6" x14ac:dyDescent="0.25">
      <c r="A31002" s="2" t="str">
        <f t="shared" si="1122"/>
        <v>37900</v>
      </c>
      <c r="B31002" s="2" t="str">
        <f>"61744"</f>
        <v>61744</v>
      </c>
      <c r="C31002" s="1">
        <v>4.9406138218612202E-5</v>
      </c>
      <c r="D31002" s="1">
        <v>0</v>
      </c>
      <c r="E31002" s="1">
        <v>0</v>
      </c>
      <c r="F31002" s="1">
        <v>4.3580010720682601E-5</v>
      </c>
    </row>
    <row r="31003" spans="1:6" x14ac:dyDescent="0.25">
      <c r="A31003" s="2" t="str">
        <f t="shared" si="1122"/>
        <v>37900</v>
      </c>
      <c r="B31003" s="2" t="str">
        <f>"61733"</f>
        <v>61733</v>
      </c>
      <c r="C31003" s="1">
        <v>2.6778126914487801E-3</v>
      </c>
      <c r="D31003" s="1">
        <v>1.1058727664280299E-3</v>
      </c>
      <c r="E31003" s="1">
        <v>1.5185260174124301E-3</v>
      </c>
      <c r="F31003" s="1">
        <v>2.5102086175113102E-3</v>
      </c>
    </row>
    <row r="31004" spans="1:6" x14ac:dyDescent="0.25">
      <c r="A31004" s="2" t="str">
        <f t="shared" si="1122"/>
        <v>37900</v>
      </c>
      <c r="B31004" s="2" t="str">
        <f>"61479"</f>
        <v>61479</v>
      </c>
      <c r="C31004" s="1">
        <v>4.59477085433094E-4</v>
      </c>
      <c r="D31004" s="1">
        <v>2.32815319248006E-4</v>
      </c>
      <c r="E31004" s="1">
        <v>0</v>
      </c>
      <c r="F31004" s="1">
        <v>4.2272610399062102E-4</v>
      </c>
    </row>
    <row r="31005" spans="1:6" x14ac:dyDescent="0.25">
      <c r="A31005" s="2" t="str">
        <f t="shared" si="1122"/>
        <v>37900</v>
      </c>
      <c r="B31005" s="2" t="str">
        <f>"61434"</f>
        <v>61434</v>
      </c>
      <c r="C31005" s="1">
        <v>1.4821841465583601E-5</v>
      </c>
      <c r="D31005" s="1">
        <v>5.8203829812001602E-5</v>
      </c>
      <c r="E31005" s="1">
        <v>0</v>
      </c>
      <c r="F31005" s="1">
        <v>1.7432004288272999E-5</v>
      </c>
    </row>
    <row r="31006" spans="1:6" x14ac:dyDescent="0.25">
      <c r="A31006" s="2" t="str">
        <f t="shared" si="1122"/>
        <v>37900</v>
      </c>
      <c r="B31006" s="2" t="str">
        <f>"61432"</f>
        <v>61432</v>
      </c>
      <c r="C31006" s="1">
        <v>1.61558071974862E-3</v>
      </c>
      <c r="D31006" s="1">
        <v>6.4024212793201704E-4</v>
      </c>
      <c r="E31006" s="1">
        <v>3.0370520348248599E-4</v>
      </c>
      <c r="F31006" s="1">
        <v>1.48607836557527E-3</v>
      </c>
    </row>
    <row r="31007" spans="1:6" x14ac:dyDescent="0.25">
      <c r="A31007" s="2" t="str">
        <f t="shared" si="1122"/>
        <v>37900</v>
      </c>
      <c r="B31007" s="2" t="str">
        <f>"61548"</f>
        <v>61548</v>
      </c>
      <c r="C31007" s="1">
        <v>3.02662002727218E-2</v>
      </c>
      <c r="D31007" s="1">
        <v>1.2921250218264299E-2</v>
      </c>
      <c r="E31007" s="1">
        <v>9.9210366470945492E-3</v>
      </c>
      <c r="F31007" s="1">
        <v>2.8091674910551999E-2</v>
      </c>
    </row>
    <row r="31008" spans="1:6" x14ac:dyDescent="0.25">
      <c r="A31008" s="2" t="str">
        <f t="shared" si="1122"/>
        <v>37900</v>
      </c>
      <c r="B31008" s="2" t="str">
        <f>"61542"</f>
        <v>61542</v>
      </c>
      <c r="C31008" s="1">
        <v>9.6094938835200802E-3</v>
      </c>
      <c r="D31008" s="1">
        <v>1.0709504685408201E-2</v>
      </c>
      <c r="E31008" s="1">
        <v>5.8716339339947299E-3</v>
      </c>
      <c r="F31008" s="1">
        <v>9.5309483446132902E-3</v>
      </c>
    </row>
    <row r="31009" spans="1:6" x14ac:dyDescent="0.25">
      <c r="A31009" s="2" t="str">
        <f t="shared" si="1122"/>
        <v>37900</v>
      </c>
      <c r="B31009" s="2" t="str">
        <f>"61571"</f>
        <v>61571</v>
      </c>
      <c r="C31009" s="1">
        <v>5.50236161340684E-2</v>
      </c>
      <c r="D31009" s="1">
        <v>3.9695011931785103E-2</v>
      </c>
      <c r="E31009" s="1">
        <v>3.8671795910103203E-2</v>
      </c>
      <c r="F31009" s="1">
        <v>5.3171971080304803E-2</v>
      </c>
    </row>
    <row r="31010" spans="1:6" x14ac:dyDescent="0.25">
      <c r="A31010" s="2" t="str">
        <f t="shared" si="1122"/>
        <v>37900</v>
      </c>
      <c r="B31010" s="2" t="str">
        <f>"61529"</f>
        <v>61529</v>
      </c>
      <c r="C31010" s="1">
        <v>6.5018477895693698E-3</v>
      </c>
      <c r="D31010" s="1">
        <v>2.3863570222920601E-3</v>
      </c>
      <c r="E31010" s="1">
        <v>3.9481676452723198E-3</v>
      </c>
      <c r="F31010" s="1">
        <v>6.0837694966072902E-3</v>
      </c>
    </row>
    <row r="31011" spans="1:6" x14ac:dyDescent="0.25">
      <c r="A31011" s="2" t="str">
        <f t="shared" si="1122"/>
        <v>37900</v>
      </c>
      <c r="B31011" s="2" t="str">
        <f>"61517"</f>
        <v>61517</v>
      </c>
      <c r="C31011" s="1">
        <v>6.8575719847433804E-3</v>
      </c>
      <c r="D31011" s="1">
        <v>2.32815319248006E-3</v>
      </c>
      <c r="E31011" s="1">
        <v>2.3284065600323901E-3</v>
      </c>
      <c r="F31011" s="1">
        <v>6.3234595555710501E-3</v>
      </c>
    </row>
    <row r="31012" spans="1:6" x14ac:dyDescent="0.25">
      <c r="A31012" s="2" t="str">
        <f t="shared" si="1122"/>
        <v>37900</v>
      </c>
      <c r="B31012" s="2" t="str">
        <f>"61732"</f>
        <v>61732</v>
      </c>
      <c r="C31012" s="1">
        <v>2.8161498784608902E-4</v>
      </c>
      <c r="D31012" s="1">
        <v>0</v>
      </c>
      <c r="E31012" s="1">
        <v>0</v>
      </c>
      <c r="F31012" s="1">
        <v>2.48406061107891E-4</v>
      </c>
    </row>
    <row r="31013" spans="1:6" x14ac:dyDescent="0.25">
      <c r="A31013" s="2" t="str">
        <f t="shared" si="1122"/>
        <v>37900</v>
      </c>
      <c r="B31013" s="2" t="str">
        <f>"61653"</f>
        <v>61653</v>
      </c>
      <c r="C31013" s="1">
        <v>8.0037943914151801E-4</v>
      </c>
      <c r="D31013" s="1">
        <v>1.9789302136080499E-3</v>
      </c>
      <c r="E31013" s="1">
        <v>2.0247013565499001E-4</v>
      </c>
      <c r="F31013" s="1">
        <v>8.6288421226951605E-4</v>
      </c>
    </row>
    <row r="31014" spans="1:6" x14ac:dyDescent="0.25">
      <c r="A31014" s="2" t="str">
        <f t="shared" si="1122"/>
        <v>37900</v>
      </c>
      <c r="B31014" s="2" t="str">
        <f>"61424"</f>
        <v>61424</v>
      </c>
      <c r="C31014" s="1">
        <v>0</v>
      </c>
      <c r="D31014" s="1">
        <v>5.8203829812001602E-5</v>
      </c>
      <c r="E31014" s="1">
        <v>0</v>
      </c>
      <c r="F31014" s="1">
        <v>4.35800107206826E-6</v>
      </c>
    </row>
    <row r="31015" spans="1:6" x14ac:dyDescent="0.25">
      <c r="A31015" s="2" t="str">
        <f t="shared" si="1122"/>
        <v>37900</v>
      </c>
      <c r="B31015" s="2" t="str">
        <f>"61531"</f>
        <v>61531</v>
      </c>
      <c r="C31015" s="1">
        <v>8.3792810418766399E-3</v>
      </c>
      <c r="D31015" s="1">
        <v>9.6618357487922701E-3</v>
      </c>
      <c r="E31015" s="1">
        <v>5.3654585948572503E-3</v>
      </c>
      <c r="F31015" s="1">
        <v>8.3455720530107198E-3</v>
      </c>
    </row>
    <row r="31016" spans="1:6" x14ac:dyDescent="0.25">
      <c r="A31016" s="2" t="str">
        <f t="shared" si="1122"/>
        <v>37900</v>
      </c>
      <c r="B31016" s="2" t="str">
        <f>"61525"</f>
        <v>61525</v>
      </c>
      <c r="C31016" s="1">
        <v>2.1244639434003201E-2</v>
      </c>
      <c r="D31016" s="1">
        <v>4.6563063849601304E-3</v>
      </c>
      <c r="E31016" s="1">
        <v>5.8716339339947299E-3</v>
      </c>
      <c r="F31016" s="1">
        <v>1.93408087578389E-2</v>
      </c>
    </row>
    <row r="31017" spans="1:6" x14ac:dyDescent="0.25">
      <c r="A31017" s="2" t="str">
        <f t="shared" si="1122"/>
        <v>37900</v>
      </c>
      <c r="B31017" s="2" t="str">
        <f>"61729"</f>
        <v>61729</v>
      </c>
      <c r="C31017" s="1">
        <v>3.4287859923716902E-3</v>
      </c>
      <c r="D31017" s="1">
        <v>1.2222804260520301E-3</v>
      </c>
      <c r="E31017" s="1">
        <v>3.0370520348248599E-4</v>
      </c>
      <c r="F31017" s="1">
        <v>3.12904476974501E-3</v>
      </c>
    </row>
    <row r="31018" spans="1:6" x14ac:dyDescent="0.25">
      <c r="A31018" s="2" t="str">
        <f t="shared" si="1122"/>
        <v>37900</v>
      </c>
      <c r="B31018" s="2" t="str">
        <f>"61654"</f>
        <v>61654</v>
      </c>
      <c r="C31018" s="1">
        <v>4.19952174858204E-4</v>
      </c>
      <c r="D31018" s="1">
        <v>1.86252255398405E-3</v>
      </c>
      <c r="E31018" s="1">
        <v>2.0247013565499001E-4</v>
      </c>
      <c r="F31018" s="1">
        <v>5.1860212757612301E-4</v>
      </c>
    </row>
    <row r="31019" spans="1:6" x14ac:dyDescent="0.25">
      <c r="A31019" s="2" t="str">
        <f t="shared" ref="A31019:A31046" si="1123">"37900"</f>
        <v>37900</v>
      </c>
      <c r="B31019" s="2" t="str">
        <f>"61638"</f>
        <v>61638</v>
      </c>
      <c r="C31019" s="1">
        <v>0</v>
      </c>
      <c r="D31019" s="1">
        <v>5.8203829812001602E-5</v>
      </c>
      <c r="E31019" s="1">
        <v>0</v>
      </c>
      <c r="F31019" s="1">
        <v>4.35800107206826E-6</v>
      </c>
    </row>
    <row r="31020" spans="1:6" x14ac:dyDescent="0.25">
      <c r="A31020" s="2" t="str">
        <f t="shared" si="1123"/>
        <v>37900</v>
      </c>
      <c r="B31020" s="2" t="str">
        <f>"61625"</f>
        <v>61625</v>
      </c>
      <c r="C31020" s="1">
        <v>0</v>
      </c>
      <c r="D31020" s="1">
        <v>5.8203829812001602E-5</v>
      </c>
      <c r="E31020" s="1">
        <v>0</v>
      </c>
      <c r="F31020" s="1">
        <v>4.35800107206826E-6</v>
      </c>
    </row>
    <row r="31021" spans="1:6" x14ac:dyDescent="0.25">
      <c r="A31021" s="2" t="str">
        <f t="shared" si="1123"/>
        <v>37900</v>
      </c>
      <c r="B31021" s="2" t="str">
        <f>"61415"</f>
        <v>61415</v>
      </c>
      <c r="C31021" s="1">
        <v>3.0236556589790702E-3</v>
      </c>
      <c r="D31021" s="1">
        <v>5.2383446830801404E-4</v>
      </c>
      <c r="E31021" s="1">
        <v>9.1111561044745798E-4</v>
      </c>
      <c r="F31021" s="1">
        <v>2.7455406754029999E-3</v>
      </c>
    </row>
    <row r="31022" spans="1:6" x14ac:dyDescent="0.25">
      <c r="A31022" s="2" t="str">
        <f t="shared" si="1123"/>
        <v>37900</v>
      </c>
      <c r="B31022" s="2" t="str">
        <f>"61607"</f>
        <v>61607</v>
      </c>
      <c r="C31022" s="1">
        <v>2.42188889547637E-2</v>
      </c>
      <c r="D31022" s="1">
        <v>2.7646819160700699E-2</v>
      </c>
      <c r="E31022" s="1">
        <v>2.6827292974286199E-2</v>
      </c>
      <c r="F31022" s="1">
        <v>2.4587842048609101E-2</v>
      </c>
    </row>
    <row r="31023" spans="1:6" x14ac:dyDescent="0.25">
      <c r="A31023" s="2" t="str">
        <f t="shared" si="1123"/>
        <v>37900</v>
      </c>
      <c r="B31023" s="2" t="str">
        <f>"61564"</f>
        <v>61564</v>
      </c>
      <c r="C31023" s="1">
        <v>2.2430386751249899E-3</v>
      </c>
      <c r="D31023" s="1">
        <v>2.32815319248006E-4</v>
      </c>
      <c r="E31023" s="1">
        <v>1.3160558817574401E-3</v>
      </c>
      <c r="F31023" s="1">
        <v>2.0526185049441498E-3</v>
      </c>
    </row>
    <row r="31024" spans="1:6" x14ac:dyDescent="0.25">
      <c r="A31024" s="2" t="str">
        <f t="shared" si="1123"/>
        <v>37900</v>
      </c>
      <c r="B31024" s="2" t="str">
        <f>"61543"</f>
        <v>61543</v>
      </c>
      <c r="C31024" s="1">
        <v>4.9406138218612197E-6</v>
      </c>
      <c r="D31024" s="1">
        <v>5.8203829812001602E-5</v>
      </c>
      <c r="E31024" s="1">
        <v>0</v>
      </c>
      <c r="F31024" s="1">
        <v>8.7160021441365199E-6</v>
      </c>
    </row>
    <row r="31025" spans="1:6" x14ac:dyDescent="0.25">
      <c r="A31025" s="2" t="str">
        <f t="shared" si="1123"/>
        <v>37900</v>
      </c>
      <c r="B31025" s="2" t="str">
        <f>"61561"</f>
        <v>61561</v>
      </c>
      <c r="C31025" s="1">
        <v>6.7735815497717402E-3</v>
      </c>
      <c r="D31025" s="1">
        <v>2.9683953204120801E-3</v>
      </c>
      <c r="E31025" s="1">
        <v>3.8469325774448202E-3</v>
      </c>
      <c r="F31025" s="1">
        <v>6.3626815652196604E-3</v>
      </c>
    </row>
    <row r="31026" spans="1:6" x14ac:dyDescent="0.25">
      <c r="A31026" s="2" t="str">
        <f t="shared" si="1123"/>
        <v>37900</v>
      </c>
      <c r="B31026" s="2" t="str">
        <f>"61550"</f>
        <v>61550</v>
      </c>
      <c r="C31026" s="1">
        <v>4.2014979941107797E-2</v>
      </c>
      <c r="D31026" s="1">
        <v>4.84837902333973E-2</v>
      </c>
      <c r="E31026" s="1">
        <v>2.4802591617736298E-2</v>
      </c>
      <c r="F31026" s="1">
        <v>4.1758366272558099E-2</v>
      </c>
    </row>
    <row r="31027" spans="1:6" x14ac:dyDescent="0.25">
      <c r="A31027" s="2" t="str">
        <f t="shared" si="1123"/>
        <v>37900</v>
      </c>
      <c r="B31027" s="2" t="str">
        <f>"61544"</f>
        <v>61544</v>
      </c>
      <c r="C31027" s="1">
        <v>1.4278373945178901E-3</v>
      </c>
      <c r="D31027" s="1">
        <v>3.49222978872009E-4</v>
      </c>
      <c r="E31027" s="1">
        <v>0</v>
      </c>
      <c r="F31027" s="1">
        <v>1.28561031626013E-3</v>
      </c>
    </row>
    <row r="31028" spans="1:6" x14ac:dyDescent="0.25">
      <c r="A31028" s="2" t="str">
        <f t="shared" si="1123"/>
        <v>37900</v>
      </c>
      <c r="B31028" s="2" t="str">
        <f>"61569"</f>
        <v>61569</v>
      </c>
      <c r="C31028" s="1">
        <v>2.6333471670520301E-3</v>
      </c>
      <c r="D31028" s="1">
        <v>4.6563063849601298E-4</v>
      </c>
      <c r="E31028" s="1">
        <v>5.0617533913747698E-4</v>
      </c>
      <c r="F31028" s="1">
        <v>2.37946858534927E-3</v>
      </c>
    </row>
    <row r="31029" spans="1:6" x14ac:dyDescent="0.25">
      <c r="A31029" s="2" t="str">
        <f t="shared" si="1123"/>
        <v>37900</v>
      </c>
      <c r="B31029" s="2" t="str">
        <f>"61519"</f>
        <v>61519</v>
      </c>
      <c r="C31029" s="1">
        <v>5.1876445129542801E-4</v>
      </c>
      <c r="D31029" s="1">
        <v>5.8203829812001602E-5</v>
      </c>
      <c r="E31029" s="1">
        <v>0</v>
      </c>
      <c r="F31029" s="1">
        <v>4.6194811363923501E-4</v>
      </c>
    </row>
    <row r="31030" spans="1:6" x14ac:dyDescent="0.25">
      <c r="A31030" s="2" t="str">
        <f t="shared" si="1123"/>
        <v>37900</v>
      </c>
      <c r="B31030" s="2" t="str">
        <f>"61537"</f>
        <v>61537</v>
      </c>
      <c r="C31030" s="1">
        <v>7.5937234442006998E-3</v>
      </c>
      <c r="D31030" s="1">
        <v>9.1380012804842502E-3</v>
      </c>
      <c r="E31030" s="1">
        <v>2.5612472160356298E-2</v>
      </c>
      <c r="F31030" s="1">
        <v>8.4850280873169006E-3</v>
      </c>
    </row>
    <row r="31031" spans="1:6" x14ac:dyDescent="0.25">
      <c r="A31031" s="2" t="str">
        <f t="shared" si="1123"/>
        <v>37900</v>
      </c>
      <c r="B31031" s="2" t="str">
        <f>"61535"</f>
        <v>61535</v>
      </c>
      <c r="C31031" s="1">
        <v>3.8240350981205901E-3</v>
      </c>
      <c r="D31031" s="1">
        <v>9.3126127699202596E-4</v>
      </c>
      <c r="E31031" s="1">
        <v>2.0247013565499001E-4</v>
      </c>
      <c r="F31031" s="1">
        <v>3.4515368490780599E-3</v>
      </c>
    </row>
    <row r="31032" spans="1:6" x14ac:dyDescent="0.25">
      <c r="A31032" s="2" t="str">
        <f t="shared" si="1123"/>
        <v>37900</v>
      </c>
      <c r="B31032" s="2" t="str">
        <f>"61534"</f>
        <v>61534</v>
      </c>
      <c r="C31032" s="1">
        <v>3.4880733582340201E-3</v>
      </c>
      <c r="D31032" s="1">
        <v>1.1058727664280299E-3</v>
      </c>
      <c r="E31032" s="1">
        <v>1.0123506782749501E-3</v>
      </c>
      <c r="F31032" s="1">
        <v>3.2031307879701698E-3</v>
      </c>
    </row>
    <row r="31033" spans="1:6" x14ac:dyDescent="0.25">
      <c r="A31033" s="2" t="str">
        <f t="shared" si="1123"/>
        <v>37900</v>
      </c>
      <c r="B31033" s="2" t="str">
        <f>"61491"</f>
        <v>61491</v>
      </c>
      <c r="C31033" s="1">
        <v>6.6500662042252101E-3</v>
      </c>
      <c r="D31033" s="1">
        <v>7.7993131948082099E-3</v>
      </c>
      <c r="E31033" s="1">
        <v>8.8074509009921E-3</v>
      </c>
      <c r="F31033" s="1">
        <v>6.8289876799309604E-3</v>
      </c>
    </row>
    <row r="31034" spans="1:6" x14ac:dyDescent="0.25">
      <c r="A31034" s="2" t="str">
        <f t="shared" si="1123"/>
        <v>37900</v>
      </c>
      <c r="B31034" s="2" t="str">
        <f>"61721"</f>
        <v>61721</v>
      </c>
      <c r="C31034" s="1">
        <v>1.28455959368391E-3</v>
      </c>
      <c r="D31034" s="1">
        <v>2.9101914906000799E-4</v>
      </c>
      <c r="E31034" s="1">
        <v>0</v>
      </c>
      <c r="F31034" s="1">
        <v>1.15487028409808E-3</v>
      </c>
    </row>
    <row r="31035" spans="1:6" x14ac:dyDescent="0.25">
      <c r="A31035" s="2" t="str">
        <f t="shared" si="1123"/>
        <v>37900</v>
      </c>
      <c r="B31035" s="2" t="str">
        <f>"61629"</f>
        <v>61629</v>
      </c>
      <c r="C31035" s="1">
        <v>0</v>
      </c>
      <c r="D31035" s="1">
        <v>5.8203829812001602E-5</v>
      </c>
      <c r="E31035" s="1">
        <v>0</v>
      </c>
      <c r="F31035" s="1">
        <v>4.35800107206826E-6</v>
      </c>
    </row>
    <row r="31036" spans="1:6" x14ac:dyDescent="0.25">
      <c r="A31036" s="2" t="str">
        <f t="shared" si="1123"/>
        <v>37900</v>
      </c>
      <c r="B31036" s="2" t="str">
        <f>"61489"</f>
        <v>61489</v>
      </c>
      <c r="C31036" s="1">
        <v>6.9168593506057098E-5</v>
      </c>
      <c r="D31036" s="1">
        <v>0</v>
      </c>
      <c r="E31036" s="1">
        <v>0</v>
      </c>
      <c r="F31036" s="1">
        <v>6.1012015008955597E-5</v>
      </c>
    </row>
    <row r="31037" spans="1:6" x14ac:dyDescent="0.25">
      <c r="A31037" s="2" t="str">
        <f t="shared" si="1123"/>
        <v>37900</v>
      </c>
      <c r="B31037" s="2" t="str">
        <f>"61477"</f>
        <v>61477</v>
      </c>
      <c r="C31037" s="1">
        <v>1.52664967095511E-3</v>
      </c>
      <c r="D31037" s="1">
        <v>2.9101914906000799E-4</v>
      </c>
      <c r="E31037" s="1">
        <v>1.0123506782749501E-4</v>
      </c>
      <c r="F31037" s="1">
        <v>1.3727703377014999E-3</v>
      </c>
    </row>
    <row r="31038" spans="1:6" x14ac:dyDescent="0.25">
      <c r="A31038" s="2" t="str">
        <f t="shared" si="1123"/>
        <v>37900</v>
      </c>
      <c r="B31038" s="2" t="str">
        <f>"61449"</f>
        <v>61449</v>
      </c>
      <c r="C31038" s="1">
        <v>1.2993814351495E-3</v>
      </c>
      <c r="D31038" s="1">
        <v>5.8203829812001598E-4</v>
      </c>
      <c r="E31038" s="1">
        <v>1.0123506782749501E-4</v>
      </c>
      <c r="F31038" s="1">
        <v>1.1940922937467E-3</v>
      </c>
    </row>
    <row r="31039" spans="1:6" x14ac:dyDescent="0.25">
      <c r="A31039" s="2" t="str">
        <f t="shared" si="1123"/>
        <v>37900</v>
      </c>
      <c r="B31039" s="2" t="str">
        <f>"61558"</f>
        <v>61558</v>
      </c>
      <c r="C31039" s="1">
        <v>0</v>
      </c>
      <c r="D31039" s="1">
        <v>5.8203829812001602E-5</v>
      </c>
      <c r="E31039" s="1">
        <v>0</v>
      </c>
      <c r="F31039" s="1">
        <v>4.35800107206826E-6</v>
      </c>
    </row>
    <row r="31040" spans="1:6" x14ac:dyDescent="0.25">
      <c r="A31040" s="2" t="str">
        <f t="shared" si="1123"/>
        <v>37900</v>
      </c>
      <c r="B31040" s="2" t="str">
        <f>"61552"</f>
        <v>61552</v>
      </c>
      <c r="C31040" s="1">
        <v>5.08883223651706E-4</v>
      </c>
      <c r="D31040" s="1">
        <v>1.8043187241720501E-3</v>
      </c>
      <c r="E31040" s="1">
        <v>6.0741040696497199E-4</v>
      </c>
      <c r="F31040" s="1">
        <v>6.1012015008955604E-4</v>
      </c>
    </row>
    <row r="31041" spans="1:6" x14ac:dyDescent="0.25">
      <c r="A31041" s="2" t="str">
        <f t="shared" si="1123"/>
        <v>37900</v>
      </c>
      <c r="B31041" s="2" t="str">
        <f>"61563"</f>
        <v>61563</v>
      </c>
      <c r="C31041" s="1">
        <v>1.1511630204936599E-3</v>
      </c>
      <c r="D31041" s="1">
        <v>1.16407659624003E-4</v>
      </c>
      <c r="E31041" s="1">
        <v>0</v>
      </c>
      <c r="F31041" s="1">
        <v>1.02413025193604E-3</v>
      </c>
    </row>
    <row r="31042" spans="1:6" x14ac:dyDescent="0.25">
      <c r="A31042" s="2" t="str">
        <f t="shared" si="1123"/>
        <v>37900</v>
      </c>
      <c r="B31042" s="2" t="str">
        <f>"61601"</f>
        <v>61601</v>
      </c>
      <c r="C31042" s="1">
        <v>4.2933934111974003E-3</v>
      </c>
      <c r="D31042" s="1">
        <v>1.12915429835283E-2</v>
      </c>
      <c r="E31042" s="1">
        <v>3.0370520348248599E-4</v>
      </c>
      <c r="F31042" s="1">
        <v>4.6456291428247599E-3</v>
      </c>
    </row>
    <row r="31043" spans="1:6" x14ac:dyDescent="0.25">
      <c r="A31043" s="2" t="str">
        <f t="shared" si="1123"/>
        <v>37900</v>
      </c>
      <c r="B31043" s="2" t="str">
        <f>"61602"</f>
        <v>61602</v>
      </c>
      <c r="C31043" s="1">
        <v>4.2538685006225097E-3</v>
      </c>
      <c r="D31043" s="1">
        <v>8.1485361736802195E-2</v>
      </c>
      <c r="E31043" s="1">
        <v>2.33853006681514E-2</v>
      </c>
      <c r="F31043" s="1">
        <v>1.08601386715941E-2</v>
      </c>
    </row>
    <row r="31044" spans="1:6" x14ac:dyDescent="0.25">
      <c r="A31044" s="2" t="str">
        <f t="shared" si="1123"/>
        <v>37900</v>
      </c>
      <c r="B31044" s="2" t="str">
        <f>"61568"</f>
        <v>61568</v>
      </c>
      <c r="C31044" s="1">
        <v>9.3970474891800493E-3</v>
      </c>
      <c r="D31044" s="1">
        <v>4.7727140445841297E-3</v>
      </c>
      <c r="E31044" s="1">
        <v>4.7580481878922798E-3</v>
      </c>
      <c r="F31044" s="1">
        <v>8.8511001773706396E-3</v>
      </c>
    </row>
    <row r="31045" spans="1:6" x14ac:dyDescent="0.25">
      <c r="A31045" s="2" t="str">
        <f t="shared" si="1123"/>
        <v>37900</v>
      </c>
      <c r="B31045" s="2" t="str">
        <f>"61530"</f>
        <v>61530</v>
      </c>
      <c r="C31045" s="1">
        <v>1.58346672990652E-2</v>
      </c>
      <c r="D31045" s="1">
        <v>1.64134800069844E-2</v>
      </c>
      <c r="E31045" s="1">
        <v>1.7209961530674198E-2</v>
      </c>
      <c r="F31045" s="1">
        <v>1.5937209920553599E-2</v>
      </c>
    </row>
    <row r="31046" spans="1:6" x14ac:dyDescent="0.25">
      <c r="A31046" s="2" t="str">
        <f t="shared" si="1123"/>
        <v>37900</v>
      </c>
      <c r="B31046" s="2" t="str">
        <f>"61526"</f>
        <v>61526</v>
      </c>
      <c r="C31046" s="1">
        <v>2.1985731507282399E-3</v>
      </c>
      <c r="D31046" s="1">
        <v>4.6563063849601298E-4</v>
      </c>
      <c r="E31046" s="1">
        <v>3.3407572383073402E-3</v>
      </c>
      <c r="F31046" s="1">
        <v>2.11798852102517E-3</v>
      </c>
    </row>
    <row r="31047" spans="1:6" x14ac:dyDescent="0.25">
      <c r="A31047" s="2" t="str">
        <f t="shared" ref="A31047:A31075" si="1124">"19500"</f>
        <v>19500</v>
      </c>
      <c r="B31047" s="2" t="str">
        <f>"62537"</f>
        <v>62537</v>
      </c>
      <c r="C31047" s="1">
        <v>5.4762513234273997E-5</v>
      </c>
      <c r="D31047" s="1">
        <v>2.11371803001479E-4</v>
      </c>
      <c r="E31047" s="1">
        <v>0</v>
      </c>
      <c r="F31047" s="1">
        <v>6.5106286011914398E-5</v>
      </c>
    </row>
    <row r="31048" spans="1:6" x14ac:dyDescent="0.25">
      <c r="A31048" s="2" t="str">
        <f t="shared" si="1124"/>
        <v>19500</v>
      </c>
      <c r="B31048" s="2" t="str">
        <f>"62535"</f>
        <v>62535</v>
      </c>
      <c r="C31048" s="1">
        <v>2.7892373407323499E-2</v>
      </c>
      <c r="D31048" s="1">
        <v>4.9038258296343201E-2</v>
      </c>
      <c r="E31048" s="1">
        <v>1.9220779220779201E-2</v>
      </c>
      <c r="F31048" s="1">
        <v>2.9248998990852499E-2</v>
      </c>
    </row>
    <row r="31049" spans="1:6" x14ac:dyDescent="0.25">
      <c r="A31049" s="2" t="str">
        <f t="shared" si="1124"/>
        <v>19500</v>
      </c>
      <c r="B31049" s="2" t="str">
        <f>"62513"</f>
        <v>62513</v>
      </c>
      <c r="C31049" s="1">
        <v>1.21755321090869E-2</v>
      </c>
      <c r="D31049" s="1">
        <v>1.26823081800887E-3</v>
      </c>
      <c r="E31049" s="1">
        <v>8.3116883116883099E-3</v>
      </c>
      <c r="F31049" s="1">
        <v>1.12145577655522E-2</v>
      </c>
    </row>
    <row r="31050" spans="1:6" x14ac:dyDescent="0.25">
      <c r="A31050" s="2" t="str">
        <f t="shared" si="1124"/>
        <v>19500</v>
      </c>
      <c r="B31050" s="2" t="str">
        <f>"62524"</f>
        <v>62524</v>
      </c>
      <c r="C31050" s="1">
        <v>1.93311671716987E-2</v>
      </c>
      <c r="D31050" s="1">
        <v>4.1006129782287001E-2</v>
      </c>
      <c r="E31050" s="1">
        <v>1.0389610389610301E-3</v>
      </c>
      <c r="F31050" s="1">
        <v>2.04270972362381E-2</v>
      </c>
    </row>
    <row r="31051" spans="1:6" x14ac:dyDescent="0.25">
      <c r="A31051" s="2" t="str">
        <f t="shared" si="1124"/>
        <v>19500</v>
      </c>
      <c r="B31051" s="2" t="str">
        <f>"62532"</f>
        <v>62532</v>
      </c>
      <c r="C31051" s="1">
        <v>0</v>
      </c>
      <c r="D31051" s="1">
        <v>2.11371803001479E-4</v>
      </c>
      <c r="E31051" s="1">
        <v>0</v>
      </c>
      <c r="F31051" s="1">
        <v>1.62765715029786E-5</v>
      </c>
    </row>
    <row r="31052" spans="1:6" x14ac:dyDescent="0.25">
      <c r="A31052" s="2" t="str">
        <f t="shared" si="1124"/>
        <v>19500</v>
      </c>
      <c r="B31052" s="2" t="str">
        <f>"62550"</f>
        <v>62550</v>
      </c>
      <c r="C31052" s="1">
        <v>5.6587930342083103E-4</v>
      </c>
      <c r="D31052" s="1">
        <v>4.2274360600295902E-4</v>
      </c>
      <c r="E31052" s="1">
        <v>0</v>
      </c>
      <c r="F31052" s="1">
        <v>5.3712685959829399E-4</v>
      </c>
    </row>
    <row r="31053" spans="1:6" x14ac:dyDescent="0.25">
      <c r="A31053" s="2" t="str">
        <f t="shared" si="1124"/>
        <v>19500</v>
      </c>
      <c r="B31053" s="2" t="str">
        <f>"62523"</f>
        <v>62523</v>
      </c>
      <c r="C31053" s="1">
        <v>8.0318352743601901E-3</v>
      </c>
      <c r="D31053" s="1">
        <v>0.13612344113295199</v>
      </c>
      <c r="E31053" s="1">
        <v>6.0779220779220697E-2</v>
      </c>
      <c r="F31053" s="1">
        <v>1.95481623750773E-2</v>
      </c>
    </row>
    <row r="31054" spans="1:6" x14ac:dyDescent="0.25">
      <c r="A31054" s="2" t="str">
        <f t="shared" si="1124"/>
        <v>19500</v>
      </c>
      <c r="B31054" s="2" t="str">
        <f>"62554"</f>
        <v>62554</v>
      </c>
      <c r="C31054" s="1">
        <v>1.2650140557117299E-2</v>
      </c>
      <c r="D31054" s="1">
        <v>1.4796026210103499E-3</v>
      </c>
      <c r="E31054" s="1">
        <v>1.0389610389610299E-2</v>
      </c>
      <c r="F31054" s="1">
        <v>1.1719131482144599E-2</v>
      </c>
    </row>
    <row r="31055" spans="1:6" x14ac:dyDescent="0.25">
      <c r="A31055" s="2" t="str">
        <f t="shared" si="1124"/>
        <v>19500</v>
      </c>
      <c r="B31055" s="2" t="str">
        <f>"61830"</f>
        <v>61830</v>
      </c>
      <c r="C31055" s="1">
        <v>6.0238764557701396E-4</v>
      </c>
      <c r="D31055" s="1">
        <v>2.11371803001479E-4</v>
      </c>
      <c r="E31055" s="1">
        <v>0</v>
      </c>
      <c r="F31055" s="1">
        <v>5.5340343110127203E-4</v>
      </c>
    </row>
    <row r="31056" spans="1:6" x14ac:dyDescent="0.25">
      <c r="A31056" s="2" t="str">
        <f t="shared" si="1124"/>
        <v>19500</v>
      </c>
      <c r="B31056" s="2" t="str">
        <f>"62543"</f>
        <v>62543</v>
      </c>
      <c r="C31056" s="1">
        <v>4.5635427695228301E-4</v>
      </c>
      <c r="D31056" s="1">
        <v>0</v>
      </c>
      <c r="E31056" s="1">
        <v>0</v>
      </c>
      <c r="F31056" s="1">
        <v>4.0691428757446497E-4</v>
      </c>
    </row>
    <row r="31057" spans="1:6" x14ac:dyDescent="0.25">
      <c r="A31057" s="2" t="str">
        <f t="shared" si="1124"/>
        <v>19500</v>
      </c>
      <c r="B31057" s="2" t="str">
        <f>"62539"</f>
        <v>62539</v>
      </c>
      <c r="C31057" s="1">
        <v>5.1111679018655696E-4</v>
      </c>
      <c r="D31057" s="1">
        <v>0</v>
      </c>
      <c r="E31057" s="1">
        <v>0</v>
      </c>
      <c r="F31057" s="1">
        <v>4.55744002083401E-4</v>
      </c>
    </row>
    <row r="31058" spans="1:6" x14ac:dyDescent="0.25">
      <c r="A31058" s="2" t="str">
        <f t="shared" si="1124"/>
        <v>19500</v>
      </c>
      <c r="B31058" s="2" t="str">
        <f>"62525"</f>
        <v>62525</v>
      </c>
      <c r="C31058" s="1">
        <v>1.89113212369026E-2</v>
      </c>
      <c r="D31058" s="1">
        <v>7.4191502853519303E-2</v>
      </c>
      <c r="E31058" s="1">
        <v>1.0389610389610301E-3</v>
      </c>
      <c r="F31058" s="1">
        <v>2.2608157817637201E-2</v>
      </c>
    </row>
    <row r="31059" spans="1:6" x14ac:dyDescent="0.25">
      <c r="A31059" s="2" t="str">
        <f t="shared" si="1124"/>
        <v>19500</v>
      </c>
      <c r="B31059" s="2" t="str">
        <f>"61818"</f>
        <v>61818</v>
      </c>
      <c r="C31059" s="1">
        <v>6.7540432988937905E-4</v>
      </c>
      <c r="D31059" s="1">
        <v>2.11371803001479E-4</v>
      </c>
      <c r="E31059" s="1">
        <v>0</v>
      </c>
      <c r="F31059" s="1">
        <v>6.1850971711318703E-4</v>
      </c>
    </row>
    <row r="31060" spans="1:6" x14ac:dyDescent="0.25">
      <c r="A31060" s="2" t="str">
        <f t="shared" si="1124"/>
        <v>19500</v>
      </c>
      <c r="B31060" s="2" t="str">
        <f>"61756"</f>
        <v>61756</v>
      </c>
      <c r="C31060" s="1">
        <v>2.01343506991347E-2</v>
      </c>
      <c r="D31060" s="1">
        <v>5.2842950750369901E-3</v>
      </c>
      <c r="E31060" s="1">
        <v>1.19480519480519E-2</v>
      </c>
      <c r="F31060" s="1">
        <v>1.87343337999283E-2</v>
      </c>
    </row>
    <row r="31061" spans="1:6" x14ac:dyDescent="0.25">
      <c r="A31061" s="2" t="str">
        <f t="shared" si="1124"/>
        <v>19500</v>
      </c>
      <c r="B31061" s="2" t="str">
        <f>"61925"</f>
        <v>61925</v>
      </c>
      <c r="C31061" s="1">
        <v>3.0667007411193398E-3</v>
      </c>
      <c r="D31061" s="1">
        <v>0</v>
      </c>
      <c r="E31061" s="1">
        <v>0</v>
      </c>
      <c r="F31061" s="1">
        <v>2.7344640125003998E-3</v>
      </c>
    </row>
    <row r="31062" spans="1:6" x14ac:dyDescent="0.25">
      <c r="A31062" s="2" t="str">
        <f t="shared" si="1124"/>
        <v>19500</v>
      </c>
      <c r="B31062" s="2" t="str">
        <f>"62547"</f>
        <v>62547</v>
      </c>
      <c r="C31062" s="1">
        <v>2.1905005293709599E-4</v>
      </c>
      <c r="D31062" s="1">
        <v>0</v>
      </c>
      <c r="E31062" s="1">
        <v>0</v>
      </c>
      <c r="F31062" s="1">
        <v>1.95318858035743E-4</v>
      </c>
    </row>
    <row r="31063" spans="1:6" x14ac:dyDescent="0.25">
      <c r="A31063" s="2" t="str">
        <f t="shared" si="1124"/>
        <v>19500</v>
      </c>
      <c r="B31063" s="2" t="str">
        <f>"62573"</f>
        <v>62573</v>
      </c>
      <c r="C31063" s="1">
        <v>1.2394582162024E-2</v>
      </c>
      <c r="D31063" s="1">
        <v>5.2842950750369901E-3</v>
      </c>
      <c r="E31063" s="1">
        <v>1.24675324675324E-2</v>
      </c>
      <c r="F31063" s="1">
        <v>1.18493440541684E-2</v>
      </c>
    </row>
    <row r="31064" spans="1:6" x14ac:dyDescent="0.25">
      <c r="A31064" s="2" t="str">
        <f t="shared" si="1124"/>
        <v>19500</v>
      </c>
      <c r="B31064" s="2" t="str">
        <f>"62514"</f>
        <v>62514</v>
      </c>
      <c r="C31064" s="1">
        <v>1.8254171078091301E-5</v>
      </c>
      <c r="D31064" s="1">
        <v>2.11371803001479E-4</v>
      </c>
      <c r="E31064" s="1">
        <v>0</v>
      </c>
      <c r="F31064" s="1">
        <v>3.2553143005957199E-5</v>
      </c>
    </row>
    <row r="31065" spans="1:6" x14ac:dyDescent="0.25">
      <c r="A31065" s="2" t="str">
        <f t="shared" si="1124"/>
        <v>19500</v>
      </c>
      <c r="B31065" s="2" t="str">
        <f>"61749"</f>
        <v>61749</v>
      </c>
      <c r="C31065" s="1">
        <v>2.0079588185900401E-4</v>
      </c>
      <c r="D31065" s="1">
        <v>0</v>
      </c>
      <c r="E31065" s="1">
        <v>0</v>
      </c>
      <c r="F31065" s="1">
        <v>1.7904228653276401E-4</v>
      </c>
    </row>
    <row r="31066" spans="1:6" x14ac:dyDescent="0.25">
      <c r="A31066" s="2" t="str">
        <f t="shared" si="1124"/>
        <v>19500</v>
      </c>
      <c r="B31066" s="2" t="str">
        <f>"62501"</f>
        <v>62501</v>
      </c>
      <c r="C31066" s="1">
        <v>2.1612938556460098E-2</v>
      </c>
      <c r="D31066" s="1">
        <v>6.3411540900443798E-3</v>
      </c>
      <c r="E31066" s="1">
        <v>4.1558441558441498E-3</v>
      </c>
      <c r="F31066" s="1">
        <v>1.9889970376639799E-2</v>
      </c>
    </row>
    <row r="31067" spans="1:6" x14ac:dyDescent="0.25">
      <c r="A31067" s="2" t="str">
        <f t="shared" si="1124"/>
        <v>19500</v>
      </c>
      <c r="B31067" s="2" t="str">
        <f>"62551"</f>
        <v>62551</v>
      </c>
      <c r="C31067" s="1">
        <v>7.5937351684859898E-3</v>
      </c>
      <c r="D31067" s="1">
        <v>6.3411540900443805E-4</v>
      </c>
      <c r="E31067" s="1">
        <v>5.1948051948051896E-3</v>
      </c>
      <c r="F31067" s="1">
        <v>6.9826491747778203E-3</v>
      </c>
    </row>
    <row r="31068" spans="1:6" x14ac:dyDescent="0.25">
      <c r="A31068" s="2" t="str">
        <f t="shared" si="1124"/>
        <v>19500</v>
      </c>
      <c r="B31068" s="2" t="str">
        <f>"62549"</f>
        <v>62549</v>
      </c>
      <c r="C31068" s="1">
        <v>5.0801358110328203E-2</v>
      </c>
      <c r="D31068" s="1">
        <v>4.8192771084337303E-2</v>
      </c>
      <c r="E31068" s="1">
        <v>1.4025974025974001E-2</v>
      </c>
      <c r="F31068" s="1">
        <v>4.9448224226048998E-2</v>
      </c>
    </row>
    <row r="31069" spans="1:6" x14ac:dyDescent="0.25">
      <c r="A31069" s="2" t="str">
        <f t="shared" si="1124"/>
        <v>19500</v>
      </c>
      <c r="B31069" s="2" t="str">
        <f>"62544"</f>
        <v>62544</v>
      </c>
      <c r="C31069" s="1">
        <v>1.51692161658939E-2</v>
      </c>
      <c r="D31069" s="1">
        <v>6.5525258930458604E-3</v>
      </c>
      <c r="E31069" s="1">
        <v>3.1168831168831099E-3</v>
      </c>
      <c r="F31069" s="1">
        <v>1.41280640645854E-2</v>
      </c>
    </row>
    <row r="31070" spans="1:6" x14ac:dyDescent="0.25">
      <c r="A31070" s="2" t="str">
        <f t="shared" si="1124"/>
        <v>19500</v>
      </c>
      <c r="B31070" s="2" t="str">
        <f>"62521"</f>
        <v>62521</v>
      </c>
      <c r="C31070" s="1">
        <v>0.31736701836369602</v>
      </c>
      <c r="D31070" s="1">
        <v>0.220672162333544</v>
      </c>
      <c r="E31070" s="1">
        <v>0.188051948051948</v>
      </c>
      <c r="F31070" s="1">
        <v>0.30586933168397401</v>
      </c>
    </row>
    <row r="31071" spans="1:6" x14ac:dyDescent="0.25">
      <c r="A31071" s="2" t="str">
        <f t="shared" si="1124"/>
        <v>19500</v>
      </c>
      <c r="B31071" s="2" t="str">
        <f>"62526"</f>
        <v>62526</v>
      </c>
      <c r="C31071" s="1">
        <v>0.31039392501186502</v>
      </c>
      <c r="D31071" s="1">
        <v>0.30796871697315498</v>
      </c>
      <c r="E31071" s="1">
        <v>0.38389610389610301</v>
      </c>
      <c r="F31071" s="1">
        <v>0.31251017285718902</v>
      </c>
    </row>
    <row r="31072" spans="1:6" x14ac:dyDescent="0.25">
      <c r="A31072" s="2" t="str">
        <f t="shared" si="1124"/>
        <v>19500</v>
      </c>
      <c r="B31072" s="2" t="str">
        <f>"62522"</f>
        <v>62522</v>
      </c>
      <c r="C31072" s="1">
        <v>0.138585666824869</v>
      </c>
      <c r="D31072" s="1">
        <v>9.4060452335658407E-2</v>
      </c>
      <c r="E31072" s="1">
        <v>0.27636363636363598</v>
      </c>
      <c r="F31072" s="1">
        <v>0.13947394120902301</v>
      </c>
    </row>
    <row r="31073" spans="1:6" x14ac:dyDescent="0.25">
      <c r="A31073" s="2" t="str">
        <f t="shared" si="1124"/>
        <v>19500</v>
      </c>
      <c r="B31073" s="2" t="str">
        <f>"61937"</f>
        <v>61937</v>
      </c>
      <c r="C31073" s="1">
        <v>3.8333759263991802E-4</v>
      </c>
      <c r="D31073" s="1">
        <v>2.11371803001479E-4</v>
      </c>
      <c r="E31073" s="1">
        <v>0</v>
      </c>
      <c r="F31073" s="1">
        <v>3.58084573065529E-4</v>
      </c>
    </row>
    <row r="31074" spans="1:6" x14ac:dyDescent="0.25">
      <c r="A31074" s="2" t="str">
        <f t="shared" si="1124"/>
        <v>19500</v>
      </c>
      <c r="B31074" s="2" t="str">
        <f>"61914"</f>
        <v>61914</v>
      </c>
      <c r="C31074" s="1">
        <v>5.4762513234273997E-5</v>
      </c>
      <c r="D31074" s="1">
        <v>2.11371803001479E-4</v>
      </c>
      <c r="E31074" s="1">
        <v>0</v>
      </c>
      <c r="F31074" s="1">
        <v>6.5106286011914398E-5</v>
      </c>
    </row>
    <row r="31075" spans="1:6" x14ac:dyDescent="0.25">
      <c r="A31075" s="2" t="str">
        <f t="shared" si="1124"/>
        <v>19500</v>
      </c>
      <c r="B31075" s="2" t="str">
        <f>"61882"</f>
        <v>61882</v>
      </c>
      <c r="C31075" s="1">
        <v>1.4603336862473E-4</v>
      </c>
      <c r="D31075" s="1">
        <v>0</v>
      </c>
      <c r="E31075" s="1">
        <v>0</v>
      </c>
      <c r="F31075" s="1">
        <v>1.3021257202382801E-4</v>
      </c>
    </row>
    <row r="31076" spans="1:6" x14ac:dyDescent="0.25">
      <c r="A31076" s="2" t="str">
        <f t="shared" ref="A31076:A31097" si="1125">"16660"</f>
        <v>16660</v>
      </c>
      <c r="B31076" s="2" t="str">
        <f>"62468"</f>
        <v>62468</v>
      </c>
      <c r="C31076" s="1">
        <v>4.0082787167988902E-2</v>
      </c>
      <c r="D31076" s="1">
        <v>1.27214902317128E-2</v>
      </c>
      <c r="E31076" s="1">
        <v>1.08991825613079E-2</v>
      </c>
      <c r="F31076" s="1">
        <v>3.6927033895710198E-2</v>
      </c>
    </row>
    <row r="31077" spans="1:6" x14ac:dyDescent="0.25">
      <c r="A31077" s="2" t="str">
        <f t="shared" si="1125"/>
        <v>16660</v>
      </c>
      <c r="B31077" s="2" t="str">
        <f>"62474"</f>
        <v>62474</v>
      </c>
      <c r="C31077" s="1">
        <v>2.0006898930665699E-3</v>
      </c>
      <c r="D31077" s="1">
        <v>0</v>
      </c>
      <c r="E31077" s="1">
        <v>0</v>
      </c>
      <c r="F31077" s="1">
        <v>1.7759270032762699E-3</v>
      </c>
    </row>
    <row r="31078" spans="1:6" x14ac:dyDescent="0.25">
      <c r="A31078" s="2" t="str">
        <f t="shared" si="1125"/>
        <v>16660</v>
      </c>
      <c r="B31078" s="2" t="str">
        <f>"61943"</f>
        <v>61943</v>
      </c>
      <c r="C31078" s="1">
        <v>2.27319765436357E-2</v>
      </c>
      <c r="D31078" s="1">
        <v>1.1812812358019001E-2</v>
      </c>
      <c r="E31078" s="1">
        <v>2.7247956403269702E-3</v>
      </c>
      <c r="F31078" s="1">
        <v>2.1096788021678501E-2</v>
      </c>
    </row>
    <row r="31079" spans="1:6" x14ac:dyDescent="0.25">
      <c r="A31079" s="2" t="str">
        <f t="shared" si="1125"/>
        <v>16660</v>
      </c>
      <c r="B31079" s="2" t="str">
        <f>"62445"</f>
        <v>62445</v>
      </c>
      <c r="C31079" s="1">
        <v>5.8295964125560503E-3</v>
      </c>
      <c r="D31079" s="1">
        <v>1.81735574738755E-3</v>
      </c>
      <c r="E31079" s="1">
        <v>6.8119891008174298E-4</v>
      </c>
      <c r="F31079" s="1">
        <v>5.3277810098288298E-3</v>
      </c>
    </row>
    <row r="31080" spans="1:6" x14ac:dyDescent="0.25">
      <c r="A31080" s="2" t="str">
        <f t="shared" si="1125"/>
        <v>16660</v>
      </c>
      <c r="B31080" s="2" t="str">
        <f>"61911"</f>
        <v>61911</v>
      </c>
      <c r="C31080" s="1">
        <v>8.9686098654708499E-4</v>
      </c>
      <c r="D31080" s="1">
        <v>9.0867787369377498E-4</v>
      </c>
      <c r="E31080" s="1">
        <v>0</v>
      </c>
      <c r="F31080" s="1">
        <v>8.5734407054716903E-4</v>
      </c>
    </row>
    <row r="31081" spans="1:6" x14ac:dyDescent="0.25">
      <c r="A31081" s="2" t="str">
        <f t="shared" si="1125"/>
        <v>16660</v>
      </c>
      <c r="B31081" s="2" t="str">
        <f>"62432"</f>
        <v>62432</v>
      </c>
      <c r="C31081" s="1">
        <v>1.37978613314936E-4</v>
      </c>
      <c r="D31081" s="1">
        <v>0</v>
      </c>
      <c r="E31081" s="1">
        <v>0</v>
      </c>
      <c r="F31081" s="1">
        <v>1.2247772436388101E-4</v>
      </c>
    </row>
    <row r="31082" spans="1:6" x14ac:dyDescent="0.25">
      <c r="A31082" s="2" t="str">
        <f t="shared" si="1125"/>
        <v>16660</v>
      </c>
      <c r="B31082" s="2" t="str">
        <f>"61930"</f>
        <v>61930</v>
      </c>
      <c r="C31082" s="1">
        <v>4.1393583994480797E-4</v>
      </c>
      <c r="D31082" s="1">
        <v>0</v>
      </c>
      <c r="E31082" s="1">
        <v>0</v>
      </c>
      <c r="F31082" s="1">
        <v>3.6743317309164298E-4</v>
      </c>
    </row>
    <row r="31083" spans="1:6" x14ac:dyDescent="0.25">
      <c r="A31083" s="2" t="str">
        <f t="shared" si="1125"/>
        <v>16660</v>
      </c>
      <c r="B31083" s="2" t="str">
        <f>"61912"</f>
        <v>61912</v>
      </c>
      <c r="C31083" s="1">
        <v>2.1283201103828898E-2</v>
      </c>
      <c r="D31083" s="1">
        <v>2.1808268968650599E-2</v>
      </c>
      <c r="E31083" s="1">
        <v>6.8119891008174298E-4</v>
      </c>
      <c r="F31083" s="1">
        <v>2.0392541106586198E-2</v>
      </c>
    </row>
    <row r="31084" spans="1:6" x14ac:dyDescent="0.25">
      <c r="A31084" s="2" t="str">
        <f t="shared" si="1125"/>
        <v>16660</v>
      </c>
      <c r="B31084" s="2" t="str">
        <f>"62462"</f>
        <v>62462</v>
      </c>
      <c r="C31084" s="1">
        <v>5.5881338392549098E-3</v>
      </c>
      <c r="D31084" s="1">
        <v>1.81735574738755E-3</v>
      </c>
      <c r="E31084" s="1">
        <v>0</v>
      </c>
      <c r="F31084" s="1">
        <v>5.0828255611010701E-3</v>
      </c>
    </row>
    <row r="31085" spans="1:6" x14ac:dyDescent="0.25">
      <c r="A31085" s="2" t="str">
        <f t="shared" si="1125"/>
        <v>16660</v>
      </c>
      <c r="B31085" s="2" t="str">
        <f>"62440"</f>
        <v>62440</v>
      </c>
      <c r="C31085" s="1">
        <v>1.7281821317695699E-2</v>
      </c>
      <c r="D31085" s="1">
        <v>2.2716946842344298E-3</v>
      </c>
      <c r="E31085" s="1">
        <v>6.8119891008174298E-4</v>
      </c>
      <c r="F31085" s="1">
        <v>1.55240515631219E-2</v>
      </c>
    </row>
    <row r="31086" spans="1:6" x14ac:dyDescent="0.25">
      <c r="A31086" s="2" t="str">
        <f t="shared" si="1125"/>
        <v>16660</v>
      </c>
      <c r="B31086" s="2" t="str">
        <f>"62420"</f>
        <v>62420</v>
      </c>
      <c r="C31086" s="1">
        <v>8.9686098654708502E-3</v>
      </c>
      <c r="D31086" s="1">
        <v>1.81735574738755E-3</v>
      </c>
      <c r="E31086" s="1">
        <v>0</v>
      </c>
      <c r="F31086" s="1">
        <v>8.0835298080161599E-3</v>
      </c>
    </row>
    <row r="31087" spans="1:6" x14ac:dyDescent="0.25">
      <c r="A31087" s="2" t="str">
        <f t="shared" si="1125"/>
        <v>16660</v>
      </c>
      <c r="B31087" s="2" t="str">
        <f>"61910"</f>
        <v>61910</v>
      </c>
      <c r="C31087" s="1">
        <v>3.0355294929285898E-3</v>
      </c>
      <c r="D31087" s="1">
        <v>9.0867787369377498E-4</v>
      </c>
      <c r="E31087" s="1">
        <v>0</v>
      </c>
      <c r="F31087" s="1">
        <v>2.7557487981873202E-3</v>
      </c>
    </row>
    <row r="31088" spans="1:6" x14ac:dyDescent="0.25">
      <c r="A31088" s="2" t="str">
        <f t="shared" si="1125"/>
        <v>16660</v>
      </c>
      <c r="B31088" s="2" t="str">
        <f>"61928"</f>
        <v>61928</v>
      </c>
      <c r="C31088" s="1">
        <v>5.3121766126250402E-3</v>
      </c>
      <c r="D31088" s="1">
        <v>9.0867787369377498E-4</v>
      </c>
      <c r="E31088" s="1">
        <v>0</v>
      </c>
      <c r="F31088" s="1">
        <v>4.7766312501913702E-3</v>
      </c>
    </row>
    <row r="31089" spans="1:6" x14ac:dyDescent="0.25">
      <c r="A31089" s="2" t="str">
        <f t="shared" si="1125"/>
        <v>16660</v>
      </c>
      <c r="B31089" s="2" t="str">
        <f>"62436"</f>
        <v>62436</v>
      </c>
      <c r="C31089" s="1">
        <v>5.93308037254225E-3</v>
      </c>
      <c r="D31089" s="1">
        <v>1.3630168105406601E-3</v>
      </c>
      <c r="E31089" s="1">
        <v>6.8119891008174298E-4</v>
      </c>
      <c r="F31089" s="1">
        <v>5.3890198720107701E-3</v>
      </c>
    </row>
    <row r="31090" spans="1:6" x14ac:dyDescent="0.25">
      <c r="A31090" s="2" t="str">
        <f t="shared" si="1125"/>
        <v>16660</v>
      </c>
      <c r="B31090" s="2" t="str">
        <f>"62447"</f>
        <v>62447</v>
      </c>
      <c r="C31090" s="1">
        <v>4.7361159020351797E-2</v>
      </c>
      <c r="D31090" s="1">
        <v>1.9536574284416099E-2</v>
      </c>
      <c r="E31090" s="1">
        <v>1.15803814713896E-2</v>
      </c>
      <c r="F31090" s="1">
        <v>4.3877644753360402E-2</v>
      </c>
    </row>
    <row r="31091" spans="1:6" x14ac:dyDescent="0.25">
      <c r="A31091" s="2" t="str">
        <f t="shared" si="1125"/>
        <v>16660</v>
      </c>
      <c r="B31091" s="2" t="str">
        <f>"62428"</f>
        <v>62428</v>
      </c>
      <c r="C31091" s="1">
        <v>5.1466022766471102E-2</v>
      </c>
      <c r="D31091" s="1">
        <v>1.6356201726487898E-2</v>
      </c>
      <c r="E31091" s="1">
        <v>2.1117166212534001E-2</v>
      </c>
      <c r="F31091" s="1">
        <v>4.7735693070822698E-2</v>
      </c>
    </row>
    <row r="31092" spans="1:6" x14ac:dyDescent="0.25">
      <c r="A31092" s="2" t="str">
        <f t="shared" si="1125"/>
        <v>16660</v>
      </c>
      <c r="B31092" s="2" t="str">
        <f>"61951"</f>
        <v>61951</v>
      </c>
      <c r="C31092" s="1">
        <v>5.8640910658847804E-4</v>
      </c>
      <c r="D31092" s="1">
        <v>4.54338936846887E-4</v>
      </c>
      <c r="E31092" s="1">
        <v>0</v>
      </c>
      <c r="F31092" s="1">
        <v>5.5114975963746504E-4</v>
      </c>
    </row>
    <row r="31093" spans="1:6" x14ac:dyDescent="0.25">
      <c r="A31093" s="2" t="str">
        <f t="shared" si="1125"/>
        <v>16660</v>
      </c>
      <c r="B31093" s="2" t="str">
        <f>"62469"</f>
        <v>62469</v>
      </c>
      <c r="C31093" s="1">
        <v>6.5539841324594597E-3</v>
      </c>
      <c r="D31093" s="1">
        <v>3.18037255792821E-3</v>
      </c>
      <c r="E31093" s="1">
        <v>6.8119891008174298E-4</v>
      </c>
      <c r="F31093" s="1">
        <v>6.06264735601212E-3</v>
      </c>
    </row>
    <row r="31094" spans="1:6" x14ac:dyDescent="0.25">
      <c r="A31094" s="2" t="str">
        <f t="shared" si="1125"/>
        <v>16660</v>
      </c>
      <c r="B31094" s="2" t="str">
        <f>"61938"</f>
        <v>61938</v>
      </c>
      <c r="C31094" s="1">
        <v>0.37716453949637802</v>
      </c>
      <c r="D31094" s="1">
        <v>0.530213539300318</v>
      </c>
      <c r="E31094" s="1">
        <v>0.36852861035422302</v>
      </c>
      <c r="F31094" s="1">
        <v>0.387090847852046</v>
      </c>
    </row>
    <row r="31095" spans="1:6" x14ac:dyDescent="0.25">
      <c r="A31095" s="2" t="str">
        <f t="shared" si="1125"/>
        <v>16660</v>
      </c>
      <c r="B31095" s="2" t="str">
        <f>"61931"</f>
        <v>61931</v>
      </c>
      <c r="C31095" s="1">
        <v>1.7833735770955501E-2</v>
      </c>
      <c r="D31095" s="1">
        <v>4.5433893684688701E-3</v>
      </c>
      <c r="E31095" s="1">
        <v>2.7247956403269702E-3</v>
      </c>
      <c r="F31095" s="1">
        <v>1.6258917909305198E-2</v>
      </c>
    </row>
    <row r="31096" spans="1:6" x14ac:dyDescent="0.25">
      <c r="A31096" s="2" t="str">
        <f t="shared" si="1125"/>
        <v>16660</v>
      </c>
      <c r="B31096" s="2" t="str">
        <f>"61920"</f>
        <v>61920</v>
      </c>
      <c r="C31096" s="1">
        <v>0.35705415660572598</v>
      </c>
      <c r="D31096" s="1">
        <v>0.36756019990913202</v>
      </c>
      <c r="E31096" s="1">
        <v>0.57833787465940001</v>
      </c>
      <c r="F31096" s="1">
        <v>0.36770874797146202</v>
      </c>
    </row>
    <row r="31097" spans="1:6" x14ac:dyDescent="0.25">
      <c r="A31097" s="2" t="str">
        <f t="shared" si="1125"/>
        <v>16660</v>
      </c>
      <c r="B31097" s="2" t="str">
        <f>"62467"</f>
        <v>62467</v>
      </c>
      <c r="C31097" s="1">
        <v>2.48361503966885E-3</v>
      </c>
      <c r="D31097" s="1">
        <v>0</v>
      </c>
      <c r="E31097" s="1">
        <v>6.8119891008174298E-4</v>
      </c>
      <c r="F31097" s="1">
        <v>2.2352184696408299E-3</v>
      </c>
    </row>
    <row r="31098" spans="1:6" x14ac:dyDescent="0.25">
      <c r="A31098" s="2" t="str">
        <f t="shared" ref="A31098:A31117" si="1126">"45380"</f>
        <v>45380</v>
      </c>
      <c r="B31098" s="2" t="str">
        <f>"62075"</f>
        <v>62075</v>
      </c>
      <c r="C31098" s="1">
        <v>3.9315155358275204E-3</v>
      </c>
      <c r="D31098" s="1">
        <v>1.6051364365971101E-3</v>
      </c>
      <c r="E31098" s="1">
        <v>0</v>
      </c>
      <c r="F31098" s="1">
        <v>3.6697247706421999E-3</v>
      </c>
    </row>
    <row r="31099" spans="1:6" x14ac:dyDescent="0.25">
      <c r="A31099" s="2" t="str">
        <f t="shared" si="1126"/>
        <v>45380</v>
      </c>
      <c r="B31099" s="2" t="str">
        <f>"62556"</f>
        <v>62556</v>
      </c>
      <c r="C31099" s="1">
        <v>1.1921369689283401E-2</v>
      </c>
      <c r="D31099" s="1">
        <v>8.0256821829855505E-4</v>
      </c>
      <c r="E31099" s="1">
        <v>0</v>
      </c>
      <c r="F31099" s="1">
        <v>1.0837155963302701E-2</v>
      </c>
    </row>
    <row r="31100" spans="1:6" x14ac:dyDescent="0.25">
      <c r="A31100" s="2" t="str">
        <f t="shared" si="1126"/>
        <v>45380</v>
      </c>
      <c r="B31100" s="2" t="str">
        <f>"62570"</f>
        <v>62570</v>
      </c>
      <c r="C31100" s="1">
        <v>1.31261889663918E-2</v>
      </c>
      <c r="D31100" s="1">
        <v>8.0256821829855505E-4</v>
      </c>
      <c r="E31100" s="1">
        <v>4.7169811320754698E-3</v>
      </c>
      <c r="F31100" s="1">
        <v>1.2041284403669699E-2</v>
      </c>
    </row>
    <row r="31101" spans="1:6" x14ac:dyDescent="0.25">
      <c r="A31101" s="2" t="str">
        <f t="shared" si="1126"/>
        <v>45380</v>
      </c>
      <c r="B31101" s="2" t="str">
        <f>"62517"</f>
        <v>62517</v>
      </c>
      <c r="C31101" s="1">
        <v>6.5948002536461601E-3</v>
      </c>
      <c r="D31101" s="1">
        <v>2.4077046548956599E-3</v>
      </c>
      <c r="E31101" s="1">
        <v>4.7169811320754698E-3</v>
      </c>
      <c r="F31101" s="1">
        <v>6.2500000000000003E-3</v>
      </c>
    </row>
    <row r="31102" spans="1:6" x14ac:dyDescent="0.25">
      <c r="A31102" s="2" t="str">
        <f t="shared" si="1126"/>
        <v>45380</v>
      </c>
      <c r="B31102" s="2" t="str">
        <f>"62513"</f>
        <v>62513</v>
      </c>
      <c r="C31102" s="1">
        <v>6.4679771718452704E-3</v>
      </c>
      <c r="D31102" s="1">
        <v>4.0128410914927696E-3</v>
      </c>
      <c r="E31102" s="1">
        <v>0</v>
      </c>
      <c r="F31102" s="1">
        <v>6.1353211009174298E-3</v>
      </c>
    </row>
    <row r="31103" spans="1:6" x14ac:dyDescent="0.25">
      <c r="A31103" s="2" t="str">
        <f t="shared" si="1126"/>
        <v>45380</v>
      </c>
      <c r="B31103" s="2" t="str">
        <f>"62540"</f>
        <v>62540</v>
      </c>
      <c r="C31103" s="1">
        <v>4.3056436271401301E-2</v>
      </c>
      <c r="D31103" s="1">
        <v>3.2102728731942198E-2</v>
      </c>
      <c r="E31103" s="1">
        <v>1.6509433962264099E-2</v>
      </c>
      <c r="F31103" s="1">
        <v>4.16284403669724E-2</v>
      </c>
    </row>
    <row r="31104" spans="1:6" x14ac:dyDescent="0.25">
      <c r="A31104" s="2" t="str">
        <f t="shared" si="1126"/>
        <v>45380</v>
      </c>
      <c r="B31104" s="2" t="str">
        <f>"62531"</f>
        <v>62531</v>
      </c>
      <c r="C31104" s="1">
        <v>5.3836398224476799E-2</v>
      </c>
      <c r="D31104" s="1">
        <v>1.20385232744783E-2</v>
      </c>
      <c r="E31104" s="1">
        <v>2.5943396226414998E-2</v>
      </c>
      <c r="F31104" s="1">
        <v>5.0172018348623802E-2</v>
      </c>
    </row>
    <row r="31105" spans="1:6" x14ac:dyDescent="0.25">
      <c r="A31105" s="2" t="str">
        <f t="shared" si="1126"/>
        <v>45380</v>
      </c>
      <c r="B31105" s="2" t="str">
        <f>"62555"</f>
        <v>62555</v>
      </c>
      <c r="C31105" s="1">
        <v>1.4838300570703801E-2</v>
      </c>
      <c r="D31105" s="1">
        <v>6.4205457463884404E-3</v>
      </c>
      <c r="E31105" s="1">
        <v>4.7169811320754698E-3</v>
      </c>
      <c r="F31105" s="1">
        <v>1.39908256880733E-2</v>
      </c>
    </row>
    <row r="31106" spans="1:6" x14ac:dyDescent="0.25">
      <c r="A31106" s="2" t="str">
        <f t="shared" si="1126"/>
        <v>45380</v>
      </c>
      <c r="B31106" s="2" t="str">
        <f>"62563"</f>
        <v>62563</v>
      </c>
      <c r="C31106" s="1">
        <v>1.26823081800887E-3</v>
      </c>
      <c r="D31106" s="1">
        <v>0</v>
      </c>
      <c r="E31106" s="1">
        <v>0</v>
      </c>
      <c r="F31106" s="1">
        <v>1.1467889908256799E-3</v>
      </c>
    </row>
    <row r="31107" spans="1:6" x14ac:dyDescent="0.25">
      <c r="A31107" s="2" t="str">
        <f t="shared" si="1126"/>
        <v>45380</v>
      </c>
      <c r="B31107" s="2" t="str">
        <f>"62547"</f>
        <v>62547</v>
      </c>
      <c r="C31107" s="1">
        <v>2.2003804692453999E-2</v>
      </c>
      <c r="D31107" s="1">
        <v>1.04333868378812E-2</v>
      </c>
      <c r="E31107" s="1">
        <v>0</v>
      </c>
      <c r="F31107" s="1">
        <v>2.06422018348623E-2</v>
      </c>
    </row>
    <row r="31108" spans="1:6" x14ac:dyDescent="0.25">
      <c r="A31108" s="2" t="str">
        <f t="shared" si="1126"/>
        <v>45380</v>
      </c>
      <c r="B31108" s="2" t="str">
        <f>"62568"</f>
        <v>62568</v>
      </c>
      <c r="C31108" s="1">
        <v>0.45948002536461602</v>
      </c>
      <c r="D31108" s="1">
        <v>0.536115569823434</v>
      </c>
      <c r="E31108" s="1">
        <v>0.59198113207547098</v>
      </c>
      <c r="F31108" s="1">
        <v>0.46817660550458701</v>
      </c>
    </row>
    <row r="31109" spans="1:6" x14ac:dyDescent="0.25">
      <c r="A31109" s="2" t="str">
        <f t="shared" si="1126"/>
        <v>45380</v>
      </c>
      <c r="B31109" s="2" t="str">
        <f>"62083"</f>
        <v>62083</v>
      </c>
      <c r="C31109" s="1">
        <v>5.1997463538363898E-3</v>
      </c>
      <c r="D31109" s="1">
        <v>0</v>
      </c>
      <c r="E31109" s="1">
        <v>2.3584905660377301E-3</v>
      </c>
      <c r="F31109" s="1">
        <v>4.7591743119265997E-3</v>
      </c>
    </row>
    <row r="31110" spans="1:6" x14ac:dyDescent="0.25">
      <c r="A31110" s="2" t="str">
        <f t="shared" si="1126"/>
        <v>45380</v>
      </c>
      <c r="B31110" s="2" t="str">
        <f>"62510"</f>
        <v>62510</v>
      </c>
      <c r="C31110" s="1">
        <v>4.6036778693722198E-2</v>
      </c>
      <c r="D31110" s="1">
        <v>6.9020866773675693E-2</v>
      </c>
      <c r="E31110" s="1">
        <v>6.3679245283018798E-2</v>
      </c>
      <c r="F31110" s="1">
        <v>4.8107798165137598E-2</v>
      </c>
    </row>
    <row r="31111" spans="1:6" x14ac:dyDescent="0.25">
      <c r="A31111" s="2" t="str">
        <f t="shared" si="1126"/>
        <v>45380</v>
      </c>
      <c r="B31111" s="2" t="str">
        <f>"62550"</f>
        <v>62550</v>
      </c>
      <c r="C31111" s="1">
        <v>1.09067850348763E-2</v>
      </c>
      <c r="D31111" s="1">
        <v>4.8154093097913303E-3</v>
      </c>
      <c r="E31111" s="1">
        <v>0</v>
      </c>
      <c r="F31111" s="1">
        <v>1.02064220183486E-2</v>
      </c>
    </row>
    <row r="31112" spans="1:6" x14ac:dyDescent="0.25">
      <c r="A31112" s="2" t="str">
        <f t="shared" si="1126"/>
        <v>45380</v>
      </c>
      <c r="B31112" s="2" t="str">
        <f>"62567"</f>
        <v>62567</v>
      </c>
      <c r="C31112" s="1">
        <v>3.3354470513633397E-2</v>
      </c>
      <c r="D31112" s="1">
        <v>2.64847512038523E-2</v>
      </c>
      <c r="E31112" s="1">
        <v>2.1226415094339601E-2</v>
      </c>
      <c r="F31112" s="1">
        <v>3.2568807339449501E-2</v>
      </c>
    </row>
    <row r="31113" spans="1:6" x14ac:dyDescent="0.25">
      <c r="A31113" s="2" t="str">
        <f t="shared" si="1126"/>
        <v>45380</v>
      </c>
      <c r="B31113" s="2" t="str">
        <f>"62538"</f>
        <v>62538</v>
      </c>
      <c r="C31113" s="1">
        <v>2.4730500951173099E-3</v>
      </c>
      <c r="D31113" s="1">
        <v>1.6051364365971101E-3</v>
      </c>
      <c r="E31113" s="1">
        <v>0</v>
      </c>
      <c r="F31113" s="1">
        <v>2.3509174311926598E-3</v>
      </c>
    </row>
    <row r="31114" spans="1:6" x14ac:dyDescent="0.25">
      <c r="A31114" s="2" t="str">
        <f t="shared" si="1126"/>
        <v>45380</v>
      </c>
      <c r="B31114" s="2" t="str">
        <f>"62558"</f>
        <v>62558</v>
      </c>
      <c r="C31114" s="1">
        <v>4.8192771084337302E-3</v>
      </c>
      <c r="D31114" s="1">
        <v>2.4077046548956599E-3</v>
      </c>
      <c r="E31114" s="1">
        <v>0</v>
      </c>
      <c r="F31114" s="1">
        <v>4.5298165137614603E-3</v>
      </c>
    </row>
    <row r="31115" spans="1:6" x14ac:dyDescent="0.25">
      <c r="A31115" s="2" t="str">
        <f t="shared" si="1126"/>
        <v>45380</v>
      </c>
      <c r="B31115" s="2" t="str">
        <f>"62557"</f>
        <v>62557</v>
      </c>
      <c r="C31115" s="1">
        <v>0.20818008877615701</v>
      </c>
      <c r="D31115" s="1">
        <v>0.25441412520064199</v>
      </c>
      <c r="E31115" s="1">
        <v>0.25</v>
      </c>
      <c r="F31115" s="1">
        <v>0.21249999999999999</v>
      </c>
    </row>
    <row r="31116" spans="1:6" x14ac:dyDescent="0.25">
      <c r="A31116" s="2" t="str">
        <f t="shared" si="1126"/>
        <v>45380</v>
      </c>
      <c r="B31116" s="2" t="str">
        <f>"62546"</f>
        <v>62546</v>
      </c>
      <c r="C31116" s="1">
        <v>4.43246670894102E-2</v>
      </c>
      <c r="D31116" s="1">
        <v>3.4510433386837798E-2</v>
      </c>
      <c r="E31116" s="1">
        <v>1.41509433962264E-2</v>
      </c>
      <c r="F31116" s="1">
        <v>4.2889908256880702E-2</v>
      </c>
    </row>
    <row r="31117" spans="1:6" x14ac:dyDescent="0.25">
      <c r="A31117" s="2" t="str">
        <f t="shared" si="1126"/>
        <v>45380</v>
      </c>
      <c r="B31117" s="2" t="str">
        <f>"62545"</f>
        <v>62545</v>
      </c>
      <c r="C31117" s="1">
        <v>8.1800887761572603E-3</v>
      </c>
      <c r="D31117" s="1">
        <v>0</v>
      </c>
      <c r="E31117" s="1">
        <v>0</v>
      </c>
      <c r="F31117" s="1">
        <v>7.3967889908256798E-3</v>
      </c>
    </row>
    <row r="31118" spans="1:6" x14ac:dyDescent="0.25">
      <c r="A31118" s="2" t="str">
        <f t="shared" ref="A31118:A31137" si="1127">"34500"</f>
        <v>34500</v>
      </c>
      <c r="B31118" s="2" t="str">
        <f>"62853"</f>
        <v>62853</v>
      </c>
      <c r="C31118" s="1">
        <v>1.08271979211779E-4</v>
      </c>
      <c r="D31118" s="1">
        <v>0</v>
      </c>
      <c r="E31118" s="1">
        <v>0</v>
      </c>
      <c r="F31118" s="1">
        <v>9.6413420748168104E-5</v>
      </c>
    </row>
    <row r="31119" spans="1:6" x14ac:dyDescent="0.25">
      <c r="A31119" s="2" t="str">
        <f t="shared" si="1127"/>
        <v>34500</v>
      </c>
      <c r="B31119" s="2" t="str">
        <f>"62836"</f>
        <v>62836</v>
      </c>
      <c r="C31119" s="1">
        <v>1.40753572975313E-3</v>
      </c>
      <c r="D31119" s="1">
        <v>0</v>
      </c>
      <c r="E31119" s="1">
        <v>0</v>
      </c>
      <c r="F31119" s="1">
        <v>1.2533744697261801E-3</v>
      </c>
    </row>
    <row r="31120" spans="1:6" x14ac:dyDescent="0.25">
      <c r="A31120" s="2" t="str">
        <f t="shared" si="1127"/>
        <v>34500</v>
      </c>
      <c r="B31120" s="2" t="str">
        <f>"62831"</f>
        <v>62831</v>
      </c>
      <c r="C31120" s="1">
        <v>1.08271979211779E-4</v>
      </c>
      <c r="D31120" s="1">
        <v>0</v>
      </c>
      <c r="E31120" s="1">
        <v>0</v>
      </c>
      <c r="F31120" s="1">
        <v>9.6413420748168104E-5</v>
      </c>
    </row>
    <row r="31121" spans="1:6" x14ac:dyDescent="0.25">
      <c r="A31121" s="2" t="str">
        <f t="shared" si="1127"/>
        <v>34500</v>
      </c>
      <c r="B31121" s="2" t="str">
        <f>"62814"</f>
        <v>62814</v>
      </c>
      <c r="C31121" s="1">
        <v>5.2024686011260202E-2</v>
      </c>
      <c r="D31121" s="1">
        <v>2.01454952434247E-2</v>
      </c>
      <c r="E31121" s="1">
        <v>2.0618556701030898E-3</v>
      </c>
      <c r="F31121" s="1">
        <v>4.81102969533359E-2</v>
      </c>
    </row>
    <row r="31122" spans="1:6" x14ac:dyDescent="0.25">
      <c r="A31122" s="2" t="str">
        <f t="shared" si="1127"/>
        <v>34500</v>
      </c>
      <c r="B31122" s="2" t="str">
        <f>"62898"</f>
        <v>62898</v>
      </c>
      <c r="C31122" s="1">
        <v>5.0725422260718897E-2</v>
      </c>
      <c r="D31122" s="1">
        <v>1.3989927252378199E-2</v>
      </c>
      <c r="E31122" s="1">
        <v>2.4742268041237098E-2</v>
      </c>
      <c r="F31122" s="1">
        <v>4.6953335904357803E-2</v>
      </c>
    </row>
    <row r="31123" spans="1:6" x14ac:dyDescent="0.25">
      <c r="A31123" s="2" t="str">
        <f t="shared" si="1127"/>
        <v>34500</v>
      </c>
      <c r="B31123" s="2" t="str">
        <f>"62846"</f>
        <v>62846</v>
      </c>
      <c r="C31123" s="1">
        <v>1.7052836725855301E-2</v>
      </c>
      <c r="D31123" s="1">
        <v>8.9535534415220996E-3</v>
      </c>
      <c r="E31123" s="1">
        <v>1.85567010309278E-2</v>
      </c>
      <c r="F31123" s="1">
        <v>1.6390281527188501E-2</v>
      </c>
    </row>
    <row r="31124" spans="1:6" x14ac:dyDescent="0.25">
      <c r="A31124" s="2" t="str">
        <f t="shared" si="1127"/>
        <v>34500</v>
      </c>
      <c r="B31124" s="2" t="str">
        <f>"62808"</f>
        <v>62808</v>
      </c>
      <c r="C31124" s="1">
        <v>7.6331745344304803E-3</v>
      </c>
      <c r="D31124" s="1">
        <v>1.67879127028539E-3</v>
      </c>
      <c r="E31124" s="1">
        <v>0</v>
      </c>
      <c r="F31124" s="1">
        <v>6.9417662938681002E-3</v>
      </c>
    </row>
    <row r="31125" spans="1:6" x14ac:dyDescent="0.25">
      <c r="A31125" s="2" t="str">
        <f t="shared" si="1127"/>
        <v>34500</v>
      </c>
      <c r="B31125" s="2" t="str">
        <f>"62851"</f>
        <v>62851</v>
      </c>
      <c r="C31125" s="1">
        <v>9.2031182330012896E-4</v>
      </c>
      <c r="D31125" s="1">
        <v>0</v>
      </c>
      <c r="E31125" s="1">
        <v>0</v>
      </c>
      <c r="F31125" s="1">
        <v>8.1951407635942901E-4</v>
      </c>
    </row>
    <row r="31126" spans="1:6" x14ac:dyDescent="0.25">
      <c r="A31126" s="2" t="str">
        <f t="shared" si="1127"/>
        <v>34500</v>
      </c>
      <c r="B31126" s="2" t="str">
        <f>"62816"</f>
        <v>62816</v>
      </c>
      <c r="C31126" s="1">
        <v>3.3618449545257598E-2</v>
      </c>
      <c r="D31126" s="1">
        <v>4.4767767207610498E-3</v>
      </c>
      <c r="E31126" s="1">
        <v>2.0618556701030898E-3</v>
      </c>
      <c r="F31126" s="1">
        <v>3.0370227535672902E-2</v>
      </c>
    </row>
    <row r="31127" spans="1:6" x14ac:dyDescent="0.25">
      <c r="A31127" s="2" t="str">
        <f t="shared" si="1127"/>
        <v>34500</v>
      </c>
      <c r="B31127" s="2" t="str">
        <f>"62894"</f>
        <v>62894</v>
      </c>
      <c r="C31127" s="1">
        <v>2.5931139021221301E-2</v>
      </c>
      <c r="D31127" s="1">
        <v>1.3989927252378199E-2</v>
      </c>
      <c r="E31127" s="1">
        <v>2.0618556701030898E-3</v>
      </c>
      <c r="F31127" s="1">
        <v>2.4344388738912402E-2</v>
      </c>
    </row>
    <row r="31128" spans="1:6" x14ac:dyDescent="0.25">
      <c r="A31128" s="2" t="str">
        <f t="shared" si="1127"/>
        <v>34500</v>
      </c>
      <c r="B31128" s="2" t="str">
        <f>"62810"</f>
        <v>62810</v>
      </c>
      <c r="C31128" s="1">
        <v>2.60935469900389E-2</v>
      </c>
      <c r="D31128" s="1">
        <v>8.3939563514269701E-3</v>
      </c>
      <c r="E31128" s="1">
        <v>4.1237113402061796E-3</v>
      </c>
      <c r="F31128" s="1">
        <v>2.4055148476667901E-2</v>
      </c>
    </row>
    <row r="31129" spans="1:6" x14ac:dyDescent="0.25">
      <c r="A31129" s="2" t="str">
        <f t="shared" si="1127"/>
        <v>34500</v>
      </c>
      <c r="B31129" s="2" t="str">
        <f>"62830"</f>
        <v>62830</v>
      </c>
      <c r="C31129" s="1">
        <v>3.9898224339540898E-2</v>
      </c>
      <c r="D31129" s="1">
        <v>1.8466703973139299E-2</v>
      </c>
      <c r="E31129" s="1">
        <v>6.1855670103092703E-3</v>
      </c>
      <c r="F31129" s="1">
        <v>3.7263787119166898E-2</v>
      </c>
    </row>
    <row r="31130" spans="1:6" x14ac:dyDescent="0.25">
      <c r="A31130" s="2" t="str">
        <f t="shared" si="1127"/>
        <v>34500</v>
      </c>
      <c r="B31130" s="2" t="str">
        <f>"62884"</f>
        <v>62884</v>
      </c>
      <c r="C31130" s="1">
        <v>5.4135989605889899E-5</v>
      </c>
      <c r="D31130" s="1">
        <v>0</v>
      </c>
      <c r="E31130" s="1">
        <v>0</v>
      </c>
      <c r="F31130" s="1">
        <v>4.8206710374083998E-5</v>
      </c>
    </row>
    <row r="31131" spans="1:6" x14ac:dyDescent="0.25">
      <c r="A31131" s="2" t="str">
        <f t="shared" si="1127"/>
        <v>34500</v>
      </c>
      <c r="B31131" s="2" t="str">
        <f>"62893"</f>
        <v>62893</v>
      </c>
      <c r="C31131" s="1">
        <v>1.16392377652663E-2</v>
      </c>
      <c r="D31131" s="1">
        <v>2.2383883603805201E-3</v>
      </c>
      <c r="E31131" s="1">
        <v>0</v>
      </c>
      <c r="F31131" s="1">
        <v>1.05572695719244E-2</v>
      </c>
    </row>
    <row r="31132" spans="1:6" x14ac:dyDescent="0.25">
      <c r="A31132" s="2" t="str">
        <f t="shared" si="1127"/>
        <v>34500</v>
      </c>
      <c r="B31132" s="2" t="str">
        <f>"62889"</f>
        <v>62889</v>
      </c>
      <c r="C31132" s="1">
        <v>1.8297964486790799E-2</v>
      </c>
      <c r="D31132" s="1">
        <v>3.35758254057078E-3</v>
      </c>
      <c r="E31132" s="1">
        <v>4.1237113402061796E-3</v>
      </c>
      <c r="F31132" s="1">
        <v>1.6679521789433001E-2</v>
      </c>
    </row>
    <row r="31133" spans="1:6" x14ac:dyDescent="0.25">
      <c r="A31133" s="2" t="str">
        <f t="shared" si="1127"/>
        <v>34500</v>
      </c>
      <c r="B31133" s="2" t="str">
        <f>"62883"</f>
        <v>62883</v>
      </c>
      <c r="C31133" s="1">
        <v>1.38588133391078E-2</v>
      </c>
      <c r="D31133" s="1">
        <v>3.35758254057078E-3</v>
      </c>
      <c r="E31133" s="1">
        <v>2.0618556701030898E-3</v>
      </c>
      <c r="F31133" s="1">
        <v>1.26783648283841E-2</v>
      </c>
    </row>
    <row r="31134" spans="1:6" x14ac:dyDescent="0.25">
      <c r="A31134" s="2" t="str">
        <f t="shared" si="1127"/>
        <v>34500</v>
      </c>
      <c r="B31134" s="2" t="str">
        <f>"62877"</f>
        <v>62877</v>
      </c>
      <c r="C31134" s="1">
        <v>5.9549588566478904E-4</v>
      </c>
      <c r="D31134" s="1">
        <v>0</v>
      </c>
      <c r="E31134" s="1">
        <v>0</v>
      </c>
      <c r="F31134" s="1">
        <v>5.3027381411492396E-4</v>
      </c>
    </row>
    <row r="31135" spans="1:6" x14ac:dyDescent="0.25">
      <c r="A31135" s="2" t="str">
        <f t="shared" si="1127"/>
        <v>34500</v>
      </c>
      <c r="B31135" s="2" t="str">
        <f>"62801"</f>
        <v>62801</v>
      </c>
      <c r="C31135" s="1">
        <v>1.13685578172368E-2</v>
      </c>
      <c r="D31135" s="1">
        <v>3.9171796306659203E-3</v>
      </c>
      <c r="E31135" s="1">
        <v>0</v>
      </c>
      <c r="F31135" s="1">
        <v>1.0460856151176199E-2</v>
      </c>
    </row>
    <row r="31136" spans="1:6" x14ac:dyDescent="0.25">
      <c r="A31136" s="2" t="str">
        <f t="shared" si="1127"/>
        <v>34500</v>
      </c>
      <c r="B31136" s="2" t="str">
        <f>"62872"</f>
        <v>62872</v>
      </c>
      <c r="C31136" s="1">
        <v>2.46318752706799E-2</v>
      </c>
      <c r="D31136" s="1">
        <v>3.9171796306659203E-3</v>
      </c>
      <c r="E31136" s="1">
        <v>6.1855670103092703E-3</v>
      </c>
      <c r="F31136" s="1">
        <v>2.2416120323949001E-2</v>
      </c>
    </row>
    <row r="31137" spans="1:6" x14ac:dyDescent="0.25">
      <c r="A31137" s="2" t="str">
        <f t="shared" si="1127"/>
        <v>34500</v>
      </c>
      <c r="B31137" s="2" t="str">
        <f>"62864"</f>
        <v>62864</v>
      </c>
      <c r="C31137" s="1">
        <v>0.66403204850584596</v>
      </c>
      <c r="D31137" s="1">
        <v>0.89311695579182904</v>
      </c>
      <c r="E31137" s="1">
        <v>0.92783505154639101</v>
      </c>
      <c r="F31137" s="1">
        <v>0.68993443887389105</v>
      </c>
    </row>
    <row r="31138" spans="1:6" x14ac:dyDescent="0.25">
      <c r="A31138" s="2" t="str">
        <f t="shared" ref="A31138:A31169" si="1128">"27620"</f>
        <v>27620</v>
      </c>
      <c r="B31138" s="2" t="str">
        <f>"65101"</f>
        <v>65101</v>
      </c>
      <c r="C31138" s="1">
        <v>0.17844037337277199</v>
      </c>
      <c r="D31138" s="1">
        <v>0.217157375579136</v>
      </c>
      <c r="E31138" s="1">
        <v>0.28337874659400503</v>
      </c>
      <c r="F31138" s="1">
        <v>0.18585685422151399</v>
      </c>
    </row>
    <row r="31139" spans="1:6" x14ac:dyDescent="0.25">
      <c r="A31139" s="2" t="str">
        <f t="shared" si="1128"/>
        <v>27620</v>
      </c>
      <c r="B31139" s="2" t="str">
        <f>"65064"</f>
        <v>65064</v>
      </c>
      <c r="C31139" s="1">
        <v>2.7905289447614698E-5</v>
      </c>
      <c r="D31139" s="1">
        <v>0</v>
      </c>
      <c r="E31139" s="1">
        <v>0</v>
      </c>
      <c r="F31139" s="1">
        <v>2.4490295720320801E-5</v>
      </c>
    </row>
    <row r="31140" spans="1:6" x14ac:dyDescent="0.25">
      <c r="A31140" s="2" t="str">
        <f t="shared" si="1128"/>
        <v>27620</v>
      </c>
      <c r="B31140" s="2" t="str">
        <f>"65068"</f>
        <v>65068</v>
      </c>
      <c r="C31140" s="1">
        <v>1.11621157790459E-4</v>
      </c>
      <c r="D31140" s="1">
        <v>0</v>
      </c>
      <c r="E31140" s="1">
        <v>0</v>
      </c>
      <c r="F31140" s="1">
        <v>9.7961182881283203E-5</v>
      </c>
    </row>
    <row r="31141" spans="1:6" x14ac:dyDescent="0.25">
      <c r="A31141" s="2" t="str">
        <f t="shared" si="1128"/>
        <v>27620</v>
      </c>
      <c r="B31141" s="2" t="str">
        <f>"65080"</f>
        <v>65080</v>
      </c>
      <c r="C31141" s="1">
        <v>6.3345007046085502E-3</v>
      </c>
      <c r="D31141" s="1">
        <v>5.9781796442983097E-4</v>
      </c>
      <c r="E31141" s="1">
        <v>3.02755071147441E-4</v>
      </c>
      <c r="F31141" s="1">
        <v>5.6205228678136198E-3</v>
      </c>
    </row>
    <row r="31142" spans="1:6" x14ac:dyDescent="0.25">
      <c r="A31142" s="2" t="str">
        <f t="shared" si="1128"/>
        <v>27620</v>
      </c>
      <c r="B31142" s="2" t="str">
        <f>"65042"</f>
        <v>65042</v>
      </c>
      <c r="C31142" s="1">
        <v>0</v>
      </c>
      <c r="D31142" s="1">
        <v>0</v>
      </c>
      <c r="E31142" s="1">
        <v>3.02755071147441E-4</v>
      </c>
      <c r="F31142" s="1">
        <v>1.22451478601604E-5</v>
      </c>
    </row>
    <row r="31143" spans="1:6" x14ac:dyDescent="0.25">
      <c r="A31143" s="2" t="str">
        <f t="shared" si="1128"/>
        <v>27620</v>
      </c>
      <c r="B31143" s="2" t="str">
        <f>"63388"</f>
        <v>63388</v>
      </c>
      <c r="C31143" s="1">
        <v>6.7530800463227797E-3</v>
      </c>
      <c r="D31143" s="1">
        <v>3.1385443132566099E-3</v>
      </c>
      <c r="E31143" s="1">
        <v>3.02755071147441E-4</v>
      </c>
      <c r="F31143" s="1">
        <v>6.1960448172411597E-3</v>
      </c>
    </row>
    <row r="31144" spans="1:6" x14ac:dyDescent="0.25">
      <c r="A31144" s="2" t="str">
        <f t="shared" si="1128"/>
        <v>27620</v>
      </c>
      <c r="B31144" s="2" t="str">
        <f>"65582"</f>
        <v>65582</v>
      </c>
      <c r="C31144" s="1">
        <v>1.39526447238073E-4</v>
      </c>
      <c r="D31144" s="1">
        <v>0</v>
      </c>
      <c r="E31144" s="1">
        <v>0</v>
      </c>
      <c r="F31144" s="1">
        <v>1.22451478601604E-4</v>
      </c>
    </row>
    <row r="31145" spans="1:6" x14ac:dyDescent="0.25">
      <c r="A31145" s="2" t="str">
        <f t="shared" si="1128"/>
        <v>27620</v>
      </c>
      <c r="B31145" s="2" t="str">
        <f>"65104"</f>
        <v>65104</v>
      </c>
      <c r="C31145" s="1">
        <v>0</v>
      </c>
      <c r="D31145" s="1">
        <v>0</v>
      </c>
      <c r="E31145" s="1">
        <v>3.02755071147441E-4</v>
      </c>
      <c r="F31145" s="1">
        <v>1.22451478601604E-5</v>
      </c>
    </row>
    <row r="31146" spans="1:6" x14ac:dyDescent="0.25">
      <c r="A31146" s="2" t="str">
        <f t="shared" si="1128"/>
        <v>27620</v>
      </c>
      <c r="B31146" s="2" t="str">
        <f>"65067"</f>
        <v>65067</v>
      </c>
      <c r="C31146" s="1">
        <v>3.1114397734090401E-3</v>
      </c>
      <c r="D31146" s="1">
        <v>7.4727245553728801E-4</v>
      </c>
      <c r="E31146" s="1">
        <v>3.02755071147441E-4</v>
      </c>
      <c r="F31146" s="1">
        <v>2.8041388599767299E-3</v>
      </c>
    </row>
    <row r="31147" spans="1:6" x14ac:dyDescent="0.25">
      <c r="A31147" s="2" t="str">
        <f t="shared" si="1128"/>
        <v>27620</v>
      </c>
      <c r="B31147" s="2" t="str">
        <f>"65081"</f>
        <v>65081</v>
      </c>
      <c r="C31147" s="1">
        <v>1.63524996163022E-2</v>
      </c>
      <c r="D31147" s="1">
        <v>1.5094903601853201E-2</v>
      </c>
      <c r="E31147" s="1">
        <v>8.1743869209809205E-3</v>
      </c>
      <c r="F31147" s="1">
        <v>1.5918692218208502E-2</v>
      </c>
    </row>
    <row r="31148" spans="1:6" x14ac:dyDescent="0.25">
      <c r="A31148" s="2" t="str">
        <f t="shared" si="1128"/>
        <v>27620</v>
      </c>
      <c r="B31148" s="2" t="str">
        <f>"65046"</f>
        <v>65046</v>
      </c>
      <c r="C31148" s="1">
        <v>8.2181077423225495E-3</v>
      </c>
      <c r="D31148" s="1">
        <v>3.8858167687938999E-3</v>
      </c>
      <c r="E31148" s="1">
        <v>4.54132606721162E-3</v>
      </c>
      <c r="F31148" s="1">
        <v>7.7144431519010504E-3</v>
      </c>
    </row>
    <row r="31149" spans="1:6" x14ac:dyDescent="0.25">
      <c r="A31149" s="2" t="str">
        <f t="shared" si="1128"/>
        <v>27620</v>
      </c>
      <c r="B31149" s="2" t="str">
        <f>"65043"</f>
        <v>65043</v>
      </c>
      <c r="C31149" s="1">
        <v>7.3000237194960294E-2</v>
      </c>
      <c r="D31149" s="1">
        <v>3.6018532356897302E-2</v>
      </c>
      <c r="E31149" s="1">
        <v>6.2670299727520404E-2</v>
      </c>
      <c r="F31149" s="1">
        <v>6.9552439845711106E-2</v>
      </c>
    </row>
    <row r="31150" spans="1:6" x14ac:dyDescent="0.25">
      <c r="A31150" s="2" t="str">
        <f t="shared" si="1128"/>
        <v>27620</v>
      </c>
      <c r="B31150" s="2" t="str">
        <f>"65032"</f>
        <v>65032</v>
      </c>
      <c r="C31150" s="1">
        <v>5.4833893764563001E-3</v>
      </c>
      <c r="D31150" s="1">
        <v>5.3803616798684803E-3</v>
      </c>
      <c r="E31150" s="1">
        <v>3.3303057826218501E-3</v>
      </c>
      <c r="F31150" s="1">
        <v>5.3878650584705803E-3</v>
      </c>
    </row>
    <row r="31151" spans="1:6" x14ac:dyDescent="0.25">
      <c r="A31151" s="2" t="str">
        <f t="shared" si="1128"/>
        <v>27620</v>
      </c>
      <c r="B31151" s="2" t="str">
        <f>"65231"</f>
        <v>65231</v>
      </c>
      <c r="C31151" s="1">
        <v>2.0635961546511102E-2</v>
      </c>
      <c r="D31151" s="1">
        <v>5.2309071887610198E-3</v>
      </c>
      <c r="E31151" s="1">
        <v>8.7798970632757996E-3</v>
      </c>
      <c r="F31151" s="1">
        <v>1.8894263148227501E-2</v>
      </c>
    </row>
    <row r="31152" spans="1:6" x14ac:dyDescent="0.25">
      <c r="A31152" s="2" t="str">
        <f t="shared" si="1128"/>
        <v>27620</v>
      </c>
      <c r="B31152" s="2" t="str">
        <f>"65111"</f>
        <v>65111</v>
      </c>
      <c r="C31152" s="1">
        <v>0</v>
      </c>
      <c r="D31152" s="1">
        <v>2.98908982214915E-4</v>
      </c>
      <c r="E31152" s="1">
        <v>0</v>
      </c>
      <c r="F31152" s="1">
        <v>2.4490295720320801E-5</v>
      </c>
    </row>
    <row r="31153" spans="1:6" x14ac:dyDescent="0.25">
      <c r="A31153" s="2" t="str">
        <f t="shared" si="1128"/>
        <v>27620</v>
      </c>
      <c r="B31153" s="2" t="str">
        <f>"65102"</f>
        <v>65102</v>
      </c>
      <c r="C31153" s="1">
        <v>1.7971006404263901E-2</v>
      </c>
      <c r="D31153" s="1">
        <v>9.9536691077566797E-2</v>
      </c>
      <c r="E31153" s="1">
        <v>3.02755071147441E-4</v>
      </c>
      <c r="F31153" s="1">
        <v>2.3939264066613598E-2</v>
      </c>
    </row>
    <row r="31154" spans="1:6" x14ac:dyDescent="0.25">
      <c r="A31154" s="2" t="str">
        <f t="shared" si="1128"/>
        <v>27620</v>
      </c>
      <c r="B31154" s="2" t="str">
        <f>"65062"</f>
        <v>65062</v>
      </c>
      <c r="C31154" s="1">
        <v>8.3715868342844305E-5</v>
      </c>
      <c r="D31154" s="1">
        <v>0</v>
      </c>
      <c r="E31154" s="1">
        <v>0</v>
      </c>
      <c r="F31154" s="1">
        <v>7.3470887160962395E-5</v>
      </c>
    </row>
    <row r="31155" spans="1:6" x14ac:dyDescent="0.25">
      <c r="A31155" s="2" t="str">
        <f t="shared" si="1128"/>
        <v>27620</v>
      </c>
      <c r="B31155" s="2" t="str">
        <f>"65077"</f>
        <v>65077</v>
      </c>
      <c r="C31155" s="1">
        <v>5.1066679689135003E-3</v>
      </c>
      <c r="D31155" s="1">
        <v>1.7934538932894901E-3</v>
      </c>
      <c r="E31155" s="1">
        <v>1.5137753557372001E-3</v>
      </c>
      <c r="F31155" s="1">
        <v>4.6898916304414298E-3</v>
      </c>
    </row>
    <row r="31156" spans="1:6" x14ac:dyDescent="0.25">
      <c r="A31156" s="2" t="str">
        <f t="shared" si="1128"/>
        <v>27620</v>
      </c>
      <c r="B31156" s="2" t="str">
        <f>"65023"</f>
        <v>65023</v>
      </c>
      <c r="C31156" s="1">
        <v>1.2222516778055199E-2</v>
      </c>
      <c r="D31156" s="1">
        <v>3.8858167687938999E-3</v>
      </c>
      <c r="E31156" s="1">
        <v>3.0275507114744101E-3</v>
      </c>
      <c r="F31156" s="1">
        <v>1.11675748484662E-2</v>
      </c>
    </row>
    <row r="31157" spans="1:6" x14ac:dyDescent="0.25">
      <c r="A31157" s="2" t="str">
        <f t="shared" si="1128"/>
        <v>27620</v>
      </c>
      <c r="B31157" s="2" t="str">
        <f>"65014"</f>
        <v>65014</v>
      </c>
      <c r="C31157" s="1">
        <v>4.0323143251803301E-3</v>
      </c>
      <c r="D31157" s="1">
        <v>5.9781796442983097E-4</v>
      </c>
      <c r="E31157" s="1">
        <v>0</v>
      </c>
      <c r="F31157" s="1">
        <v>3.5878283230270001E-3</v>
      </c>
    </row>
    <row r="31158" spans="1:6" x14ac:dyDescent="0.25">
      <c r="A31158" s="2" t="str">
        <f t="shared" si="1128"/>
        <v>27620</v>
      </c>
      <c r="B31158" s="2" t="str">
        <f>"65048"</f>
        <v>65048</v>
      </c>
      <c r="C31158" s="1">
        <v>1.21388009097124E-3</v>
      </c>
      <c r="D31158" s="1">
        <v>0</v>
      </c>
      <c r="E31158" s="1">
        <v>3.02755071147441E-4</v>
      </c>
      <c r="F31158" s="1">
        <v>1.0775730116941099E-3</v>
      </c>
    </row>
    <row r="31159" spans="1:6" x14ac:dyDescent="0.25">
      <c r="A31159" s="2" t="str">
        <f t="shared" si="1128"/>
        <v>27620</v>
      </c>
      <c r="B31159" s="2" t="str">
        <f>"65040"</f>
        <v>65040</v>
      </c>
      <c r="C31159" s="1">
        <v>7.1158488091417702E-3</v>
      </c>
      <c r="D31159" s="1">
        <v>5.9781796442983097E-4</v>
      </c>
      <c r="E31159" s="1">
        <v>9.0826521344232502E-4</v>
      </c>
      <c r="F31159" s="1">
        <v>6.3307414437029303E-3</v>
      </c>
    </row>
    <row r="31160" spans="1:6" x14ac:dyDescent="0.25">
      <c r="A31160" s="2" t="str">
        <f t="shared" si="1128"/>
        <v>27620</v>
      </c>
      <c r="B31160" s="2" t="str">
        <f>"63384"</f>
        <v>63384</v>
      </c>
      <c r="C31160" s="1">
        <v>1.5347909196188099E-4</v>
      </c>
      <c r="D31160" s="1">
        <v>0</v>
      </c>
      <c r="E31160" s="1">
        <v>0</v>
      </c>
      <c r="F31160" s="1">
        <v>1.3469662646176399E-4</v>
      </c>
    </row>
    <row r="31161" spans="1:6" x14ac:dyDescent="0.25">
      <c r="A31161" s="2" t="str">
        <f t="shared" si="1128"/>
        <v>27620</v>
      </c>
      <c r="B31161" s="2" t="str">
        <f>"65287"</f>
        <v>65287</v>
      </c>
      <c r="C31161" s="1">
        <v>5.8601107839991004E-4</v>
      </c>
      <c r="D31161" s="1">
        <v>0</v>
      </c>
      <c r="E31161" s="1">
        <v>0</v>
      </c>
      <c r="F31161" s="1">
        <v>5.14296210126737E-4</v>
      </c>
    </row>
    <row r="31162" spans="1:6" x14ac:dyDescent="0.25">
      <c r="A31162" s="2" t="str">
        <f t="shared" si="1128"/>
        <v>27620</v>
      </c>
      <c r="B31162" s="2" t="str">
        <f>"65105"</f>
        <v>65105</v>
      </c>
      <c r="C31162" s="1">
        <v>0</v>
      </c>
      <c r="D31162" s="1">
        <v>0</v>
      </c>
      <c r="E31162" s="1">
        <v>3.02755071147441E-4</v>
      </c>
      <c r="F31162" s="1">
        <v>1.22451478601604E-5</v>
      </c>
    </row>
    <row r="31163" spans="1:6" x14ac:dyDescent="0.25">
      <c r="A31163" s="2" t="str">
        <f t="shared" si="1128"/>
        <v>27620</v>
      </c>
      <c r="B31163" s="2" t="str">
        <f>"65109"</f>
        <v>65109</v>
      </c>
      <c r="C31163" s="1">
        <v>0.259812197402017</v>
      </c>
      <c r="D31163" s="1">
        <v>0.28575698699745899</v>
      </c>
      <c r="E31163" s="1">
        <v>0.43869209809264298</v>
      </c>
      <c r="F31163" s="1">
        <v>0.26917284026204602</v>
      </c>
    </row>
    <row r="31164" spans="1:6" x14ac:dyDescent="0.25">
      <c r="A31164" s="2" t="str">
        <f t="shared" si="1128"/>
        <v>27620</v>
      </c>
      <c r="B31164" s="2" t="str">
        <f>"65085"</f>
        <v>65085</v>
      </c>
      <c r="C31164" s="1">
        <v>7.0739908749703501E-3</v>
      </c>
      <c r="D31164" s="1">
        <v>3.4374532954715201E-3</v>
      </c>
      <c r="E31164" s="1">
        <v>5.7523463518013903E-3</v>
      </c>
      <c r="F31164" s="1">
        <v>6.7225861752280604E-3</v>
      </c>
    </row>
    <row r="31165" spans="1:6" x14ac:dyDescent="0.25">
      <c r="A31165" s="2" t="str">
        <f t="shared" si="1128"/>
        <v>27620</v>
      </c>
      <c r="B31165" s="2" t="str">
        <f>"65013"</f>
        <v>65013</v>
      </c>
      <c r="C31165" s="1">
        <v>5.0089994558468499E-3</v>
      </c>
      <c r="D31165" s="1">
        <v>1.19563592885966E-3</v>
      </c>
      <c r="E31165" s="1">
        <v>0</v>
      </c>
      <c r="F31165" s="1">
        <v>4.4939692646788704E-3</v>
      </c>
    </row>
    <row r="31166" spans="1:6" x14ac:dyDescent="0.25">
      <c r="A31166" s="2" t="str">
        <f t="shared" si="1128"/>
        <v>27620</v>
      </c>
      <c r="B31166" s="2" t="str">
        <f>"65240"</f>
        <v>65240</v>
      </c>
      <c r="C31166" s="1">
        <v>5.8601107839991004E-4</v>
      </c>
      <c r="D31166" s="1">
        <v>0</v>
      </c>
      <c r="E31166" s="1">
        <v>0</v>
      </c>
      <c r="F31166" s="1">
        <v>5.14296210126737E-4</v>
      </c>
    </row>
    <row r="31167" spans="1:6" x14ac:dyDescent="0.25">
      <c r="A31167" s="2" t="str">
        <f t="shared" si="1128"/>
        <v>27620</v>
      </c>
      <c r="B31167" s="2" t="str">
        <f>"65202"</f>
        <v>65202</v>
      </c>
      <c r="C31167" s="1">
        <v>3.2649188653709302E-3</v>
      </c>
      <c r="D31167" s="1">
        <v>8.07054251980272E-3</v>
      </c>
      <c r="E31167" s="1">
        <v>1.5137753557372001E-3</v>
      </c>
      <c r="F31167" s="1">
        <v>3.5878283230270001E-3</v>
      </c>
    </row>
    <row r="31168" spans="1:6" x14ac:dyDescent="0.25">
      <c r="A31168" s="2" t="str">
        <f t="shared" si="1128"/>
        <v>27620</v>
      </c>
      <c r="B31168" s="2" t="str">
        <f>"65055"</f>
        <v>65055</v>
      </c>
      <c r="C31168" s="1">
        <v>0</v>
      </c>
      <c r="D31168" s="1">
        <v>0</v>
      </c>
      <c r="E31168" s="1">
        <v>3.02755071147441E-4</v>
      </c>
      <c r="F31168" s="1">
        <v>1.22451478601604E-5</v>
      </c>
    </row>
    <row r="31169" spans="1:6" x14ac:dyDescent="0.25">
      <c r="A31169" s="2" t="str">
        <f t="shared" si="1128"/>
        <v>27620</v>
      </c>
      <c r="B31169" s="2" t="str">
        <f>"65018"</f>
        <v>65018</v>
      </c>
      <c r="C31169" s="1">
        <v>5.0717863571039801E-2</v>
      </c>
      <c r="D31169" s="1">
        <v>4.82738006277088E-2</v>
      </c>
      <c r="E31169" s="1">
        <v>5.2376627308507402E-2</v>
      </c>
      <c r="F31169" s="1">
        <v>5.0584705810322601E-2</v>
      </c>
    </row>
    <row r="31170" spans="1:6" x14ac:dyDescent="0.25">
      <c r="A31170" s="2" t="str">
        <f t="shared" ref="A31170:A31198" si="1129">"27620"</f>
        <v>27620</v>
      </c>
      <c r="B31170" s="2" t="str">
        <f>"65034"</f>
        <v>65034</v>
      </c>
      <c r="C31170" s="1">
        <v>1.7022226563045001E-3</v>
      </c>
      <c r="D31170" s="1">
        <v>1.3450904199671201E-3</v>
      </c>
      <c r="E31170" s="1">
        <v>3.02755071147441E-4</v>
      </c>
      <c r="F31170" s="1">
        <v>1.61635951754117E-3</v>
      </c>
    </row>
    <row r="31171" spans="1:6" x14ac:dyDescent="0.25">
      <c r="A31171" s="2" t="str">
        <f t="shared" si="1129"/>
        <v>27620</v>
      </c>
      <c r="B31171" s="2" t="str">
        <f>"65051"</f>
        <v>65051</v>
      </c>
      <c r="C31171" s="1">
        <v>3.0402812853176302E-2</v>
      </c>
      <c r="D31171" s="1">
        <v>1.09101778508444E-2</v>
      </c>
      <c r="E31171" s="1">
        <v>2.9972752043596701E-2</v>
      </c>
      <c r="F31171" s="1">
        <v>2.8788342619237101E-2</v>
      </c>
    </row>
    <row r="31172" spans="1:6" x14ac:dyDescent="0.25">
      <c r="A31172" s="2" t="str">
        <f t="shared" si="1129"/>
        <v>27620</v>
      </c>
      <c r="B31172" s="2" t="str">
        <f>"65265"</f>
        <v>65265</v>
      </c>
      <c r="C31172" s="1">
        <v>1.11621157790459E-4</v>
      </c>
      <c r="D31172" s="1">
        <v>0</v>
      </c>
      <c r="E31172" s="1">
        <v>0</v>
      </c>
      <c r="F31172" s="1">
        <v>9.7961182881283203E-5</v>
      </c>
    </row>
    <row r="31173" spans="1:6" x14ac:dyDescent="0.25">
      <c r="A31173" s="2" t="str">
        <f t="shared" si="1129"/>
        <v>27620</v>
      </c>
      <c r="B31173" s="2" t="str">
        <f>"65251"</f>
        <v>65251</v>
      </c>
      <c r="C31173" s="1">
        <v>0.14164724923609201</v>
      </c>
      <c r="D31173" s="1">
        <v>0.141981766552084</v>
      </c>
      <c r="E31173" s="1">
        <v>5.9642749016046E-2</v>
      </c>
      <c r="F31173" s="1">
        <v>0.13835792567195199</v>
      </c>
    </row>
    <row r="31174" spans="1:6" x14ac:dyDescent="0.25">
      <c r="A31174" s="2" t="str">
        <f t="shared" si="1129"/>
        <v>27620</v>
      </c>
      <c r="B31174" s="2" t="str">
        <f>"65076"</f>
        <v>65076</v>
      </c>
      <c r="C31174" s="1">
        <v>3.4881611809518399E-3</v>
      </c>
      <c r="D31174" s="1">
        <v>7.4727245553728801E-4</v>
      </c>
      <c r="E31174" s="1">
        <v>3.02755071147441E-4</v>
      </c>
      <c r="F31174" s="1">
        <v>3.1347578522010599E-3</v>
      </c>
    </row>
    <row r="31175" spans="1:6" x14ac:dyDescent="0.25">
      <c r="A31175" s="2" t="str">
        <f t="shared" si="1129"/>
        <v>27620</v>
      </c>
      <c r="B31175" s="2" t="str">
        <f>"65063"</f>
        <v>65063</v>
      </c>
      <c r="C31175" s="1">
        <v>2.1877746926929901E-2</v>
      </c>
      <c r="D31175" s="1">
        <v>8.5189059931250893E-3</v>
      </c>
      <c r="E31175" s="1">
        <v>6.9633666363911502E-3</v>
      </c>
      <c r="F31175" s="1">
        <v>2.0180003673544299E-2</v>
      </c>
    </row>
    <row r="31176" spans="1:6" x14ac:dyDescent="0.25">
      <c r="A31176" s="2" t="str">
        <f t="shared" si="1129"/>
        <v>27620</v>
      </c>
      <c r="B31176" s="2" t="str">
        <f>"65061"</f>
        <v>65061</v>
      </c>
      <c r="C31176" s="1">
        <v>1.7719858799235301E-3</v>
      </c>
      <c r="D31176" s="1">
        <v>1.4945449110745701E-4</v>
      </c>
      <c r="E31176" s="1">
        <v>0</v>
      </c>
      <c r="F31176" s="1">
        <v>1.5673789261005299E-3</v>
      </c>
    </row>
    <row r="31177" spans="1:6" x14ac:dyDescent="0.25">
      <c r="A31177" s="2" t="str">
        <f t="shared" si="1129"/>
        <v>27620</v>
      </c>
      <c r="B31177" s="2" t="str">
        <f>"65054"</f>
        <v>65054</v>
      </c>
      <c r="C31177" s="1">
        <v>5.1206206136373096E-3</v>
      </c>
      <c r="D31177" s="1">
        <v>4.4836347332237302E-3</v>
      </c>
      <c r="E31177" s="1">
        <v>1.81653042688465E-3</v>
      </c>
      <c r="F31177" s="1">
        <v>4.9347945876446397E-3</v>
      </c>
    </row>
    <row r="31178" spans="1:6" x14ac:dyDescent="0.25">
      <c r="A31178" s="2" t="str">
        <f t="shared" si="1129"/>
        <v>27620</v>
      </c>
      <c r="B31178" s="2" t="str">
        <f>"65011"</f>
        <v>65011</v>
      </c>
      <c r="C31178" s="1">
        <v>7.3949017036179204E-4</v>
      </c>
      <c r="D31178" s="1">
        <v>0</v>
      </c>
      <c r="E31178" s="1">
        <v>0</v>
      </c>
      <c r="F31178" s="1">
        <v>6.4899283658850098E-4</v>
      </c>
    </row>
    <row r="31179" spans="1:6" x14ac:dyDescent="0.25">
      <c r="A31179" s="2" t="str">
        <f t="shared" si="1129"/>
        <v>27620</v>
      </c>
      <c r="B31179" s="2" t="str">
        <f>"65026"</f>
        <v>65026</v>
      </c>
      <c r="C31179" s="1">
        <v>1.39526447238073E-5</v>
      </c>
      <c r="D31179" s="1">
        <v>0</v>
      </c>
      <c r="E31179" s="1">
        <v>0</v>
      </c>
      <c r="F31179" s="1">
        <v>1.22451478601604E-5</v>
      </c>
    </row>
    <row r="31180" spans="1:6" x14ac:dyDescent="0.25">
      <c r="A31180" s="2" t="str">
        <f t="shared" si="1129"/>
        <v>27620</v>
      </c>
      <c r="B31180" s="2" t="str">
        <f>"65264"</f>
        <v>65264</v>
      </c>
      <c r="C31180" s="1">
        <v>9.2087455177128797E-4</v>
      </c>
      <c r="D31180" s="1">
        <v>1.4945449110745701E-4</v>
      </c>
      <c r="E31180" s="1">
        <v>0</v>
      </c>
      <c r="F31180" s="1">
        <v>8.2042490663074698E-4</v>
      </c>
    </row>
    <row r="31181" spans="1:6" x14ac:dyDescent="0.25">
      <c r="A31181" s="2" t="str">
        <f t="shared" si="1129"/>
        <v>27620</v>
      </c>
      <c r="B31181" s="2" t="str">
        <f>"65262"</f>
        <v>65262</v>
      </c>
      <c r="C31181" s="1">
        <v>5.6926790473134101E-3</v>
      </c>
      <c r="D31181" s="1">
        <v>7.6221790464803402E-3</v>
      </c>
      <c r="E31181" s="1">
        <v>2.7247956403269702E-3</v>
      </c>
      <c r="F31181" s="1">
        <v>5.7307291985550703E-3</v>
      </c>
    </row>
    <row r="31182" spans="1:6" x14ac:dyDescent="0.25">
      <c r="A31182" s="2" t="str">
        <f t="shared" si="1129"/>
        <v>27620</v>
      </c>
      <c r="B31182" s="2" t="str">
        <f>"65074"</f>
        <v>65074</v>
      </c>
      <c r="C31182" s="1">
        <v>1.9101170626892299E-2</v>
      </c>
      <c r="D31182" s="1">
        <v>3.8858167687938999E-3</v>
      </c>
      <c r="E31182" s="1">
        <v>4.54132606721162E-3</v>
      </c>
      <c r="F31182" s="1">
        <v>1.7265658482826102E-2</v>
      </c>
    </row>
    <row r="31183" spans="1:6" x14ac:dyDescent="0.25">
      <c r="A31183" s="2" t="str">
        <f t="shared" si="1129"/>
        <v>27620</v>
      </c>
      <c r="B31183" s="2" t="str">
        <f>"65053"</f>
        <v>65053</v>
      </c>
      <c r="C31183" s="1">
        <v>8.4971606367987007E-3</v>
      </c>
      <c r="D31183" s="1">
        <v>2.5407263488267801E-3</v>
      </c>
      <c r="E31183" s="1">
        <v>9.0826521344232502E-4</v>
      </c>
      <c r="F31183" s="1">
        <v>7.7021980040408904E-3</v>
      </c>
    </row>
    <row r="31184" spans="1:6" x14ac:dyDescent="0.25">
      <c r="A31184" s="2" t="str">
        <f t="shared" si="1129"/>
        <v>27620</v>
      </c>
      <c r="B31184" s="2" t="str">
        <f>"65016"</f>
        <v>65016</v>
      </c>
      <c r="C31184" s="1">
        <v>8.0088180714654403E-3</v>
      </c>
      <c r="D31184" s="1">
        <v>8.9672694664474602E-4</v>
      </c>
      <c r="E31184" s="1">
        <v>1.5137753557372001E-3</v>
      </c>
      <c r="F31184" s="1">
        <v>7.1634114981938401E-3</v>
      </c>
    </row>
    <row r="31185" spans="1:6" x14ac:dyDescent="0.25">
      <c r="A31185" s="2" t="str">
        <f t="shared" si="1129"/>
        <v>27620</v>
      </c>
      <c r="B31185" s="2" t="str">
        <f>"65001"</f>
        <v>65001</v>
      </c>
      <c r="C31185" s="1">
        <v>1.5626962090664199E-3</v>
      </c>
      <c r="D31185" s="1">
        <v>4.4836347332237301E-4</v>
      </c>
      <c r="E31185" s="1">
        <v>1.5137753557372001E-3</v>
      </c>
      <c r="F31185" s="1">
        <v>1.46941774321924E-3</v>
      </c>
    </row>
    <row r="31186" spans="1:6" x14ac:dyDescent="0.25">
      <c r="A31186" s="2" t="str">
        <f t="shared" si="1129"/>
        <v>27620</v>
      </c>
      <c r="B31186" s="2" t="str">
        <f>"65024"</f>
        <v>65024</v>
      </c>
      <c r="C31186" s="1">
        <v>8.6227344393129696E-3</v>
      </c>
      <c r="D31186" s="1">
        <v>4.1847257510088101E-3</v>
      </c>
      <c r="E31186" s="1">
        <v>1.5137753557372001E-3</v>
      </c>
      <c r="F31186" s="1">
        <v>7.9715912569644203E-3</v>
      </c>
    </row>
    <row r="31187" spans="1:6" x14ac:dyDescent="0.25">
      <c r="A31187" s="2" t="str">
        <f t="shared" si="1129"/>
        <v>27620</v>
      </c>
      <c r="B31187" s="2" t="str">
        <f>"65084"</f>
        <v>65084</v>
      </c>
      <c r="C31187" s="1">
        <v>1.5347909196188099E-4</v>
      </c>
      <c r="D31187" s="1">
        <v>0</v>
      </c>
      <c r="E31187" s="1">
        <v>0</v>
      </c>
      <c r="F31187" s="1">
        <v>1.3469662646176399E-4</v>
      </c>
    </row>
    <row r="31188" spans="1:6" x14ac:dyDescent="0.25">
      <c r="A31188" s="2" t="str">
        <f t="shared" si="1129"/>
        <v>27620</v>
      </c>
      <c r="B31188" s="2" t="str">
        <f>"65103"</f>
        <v>65103</v>
      </c>
      <c r="C31188" s="1">
        <v>0</v>
      </c>
      <c r="D31188" s="1">
        <v>0</v>
      </c>
      <c r="E31188" s="1">
        <v>3.02755071147441E-4</v>
      </c>
      <c r="F31188" s="1">
        <v>1.22451478601604E-5</v>
      </c>
    </row>
    <row r="31189" spans="1:6" x14ac:dyDescent="0.25">
      <c r="A31189" s="2" t="str">
        <f t="shared" si="1129"/>
        <v>27620</v>
      </c>
      <c r="B31189" s="2" t="str">
        <f>"65201"</f>
        <v>65201</v>
      </c>
      <c r="C31189" s="1">
        <v>3.2091082864756998E-4</v>
      </c>
      <c r="D31189" s="1">
        <v>5.0814526976535601E-3</v>
      </c>
      <c r="E31189" s="1">
        <v>1.2110202845897599E-3</v>
      </c>
      <c r="F31189" s="1">
        <v>7.4695401946978503E-4</v>
      </c>
    </row>
    <row r="31190" spans="1:6" x14ac:dyDescent="0.25">
      <c r="A31190" s="2" t="str">
        <f t="shared" si="1129"/>
        <v>27620</v>
      </c>
      <c r="B31190" s="2" t="str">
        <f>"65110"</f>
        <v>65110</v>
      </c>
      <c r="C31190" s="1">
        <v>1.80686749173305E-2</v>
      </c>
      <c r="D31190" s="1">
        <v>5.8137797040800999E-2</v>
      </c>
      <c r="E31190" s="1">
        <v>3.02755071147441E-4</v>
      </c>
      <c r="F31190" s="1">
        <v>2.0633074144370201E-2</v>
      </c>
    </row>
    <row r="31191" spans="1:6" x14ac:dyDescent="0.25">
      <c r="A31191" s="2" t="str">
        <f t="shared" si="1129"/>
        <v>27620</v>
      </c>
      <c r="B31191" s="2" t="str">
        <f>"65069"</f>
        <v>65069</v>
      </c>
      <c r="C31191" s="1">
        <v>4.3253198643802902E-4</v>
      </c>
      <c r="D31191" s="1">
        <v>1.4945449110745701E-4</v>
      </c>
      <c r="E31191" s="1">
        <v>0</v>
      </c>
      <c r="F31191" s="1">
        <v>3.9184473152513297E-4</v>
      </c>
    </row>
    <row r="31192" spans="1:6" x14ac:dyDescent="0.25">
      <c r="A31192" s="2" t="str">
        <f t="shared" si="1129"/>
        <v>27620</v>
      </c>
      <c r="B31192" s="2" t="str">
        <f>"65059"</f>
        <v>65059</v>
      </c>
      <c r="C31192" s="1">
        <v>6.2228795468180897E-3</v>
      </c>
      <c r="D31192" s="1">
        <v>1.4945449110745699E-3</v>
      </c>
      <c r="E31192" s="1">
        <v>1.81653042688465E-3</v>
      </c>
      <c r="F31192" s="1">
        <v>5.6572583113941102E-3</v>
      </c>
    </row>
    <row r="31193" spans="1:6" x14ac:dyDescent="0.25">
      <c r="A31193" s="2" t="str">
        <f t="shared" si="1129"/>
        <v>27620</v>
      </c>
      <c r="B31193" s="2" t="str">
        <f>"65058"</f>
        <v>65058</v>
      </c>
      <c r="C31193" s="1">
        <v>2.1626599321901401E-3</v>
      </c>
      <c r="D31193" s="1">
        <v>2.98908982214915E-4</v>
      </c>
      <c r="E31193" s="1">
        <v>2.1192854980320898E-3</v>
      </c>
      <c r="F31193" s="1">
        <v>2.0082042490663001E-3</v>
      </c>
    </row>
    <row r="31194" spans="1:6" x14ac:dyDescent="0.25">
      <c r="A31194" s="2" t="str">
        <f t="shared" si="1129"/>
        <v>27620</v>
      </c>
      <c r="B31194" s="2" t="str">
        <f>"65039"</f>
        <v>65039</v>
      </c>
      <c r="C31194" s="1">
        <v>7.5344281508559895E-4</v>
      </c>
      <c r="D31194" s="1">
        <v>2.98908982214915E-4</v>
      </c>
      <c r="E31194" s="1">
        <v>0</v>
      </c>
      <c r="F31194" s="1">
        <v>6.8572828016898299E-4</v>
      </c>
    </row>
    <row r="31195" spans="1:6" x14ac:dyDescent="0.25">
      <c r="A31195" s="2" t="str">
        <f t="shared" si="1129"/>
        <v>27620</v>
      </c>
      <c r="B31195" s="2" t="str">
        <f>"65050"</f>
        <v>65050</v>
      </c>
      <c r="C31195" s="1">
        <v>2.93005539199955E-3</v>
      </c>
      <c r="D31195" s="1">
        <v>2.5407263488267801E-3</v>
      </c>
      <c r="E31195" s="1">
        <v>3.02755071147441E-4</v>
      </c>
      <c r="F31195" s="1">
        <v>2.7918937121165699E-3</v>
      </c>
    </row>
    <row r="31196" spans="1:6" x14ac:dyDescent="0.25">
      <c r="A31196" s="2" t="str">
        <f t="shared" si="1129"/>
        <v>27620</v>
      </c>
      <c r="B31196" s="2" t="str">
        <f>"65035"</f>
        <v>65035</v>
      </c>
      <c r="C31196" s="1">
        <v>9.7947565961127893E-3</v>
      </c>
      <c r="D31196" s="1">
        <v>2.0923628755043998E-3</v>
      </c>
      <c r="E31196" s="1">
        <v>2.7247956403269702E-3</v>
      </c>
      <c r="F31196" s="1">
        <v>8.8777321986162894E-3</v>
      </c>
    </row>
    <row r="31197" spans="1:6" x14ac:dyDescent="0.25">
      <c r="A31197" s="2" t="str">
        <f t="shared" si="1129"/>
        <v>27620</v>
      </c>
      <c r="B31197" s="2" t="str">
        <f>"65025"</f>
        <v>65025</v>
      </c>
      <c r="C31197" s="1">
        <v>3.9485984568374899E-3</v>
      </c>
      <c r="D31197" s="1">
        <v>1.0461814377521999E-3</v>
      </c>
      <c r="E31197" s="1">
        <v>2.1192854980320898E-3</v>
      </c>
      <c r="F31197" s="1">
        <v>3.6368089144676401E-3</v>
      </c>
    </row>
    <row r="31198" spans="1:6" x14ac:dyDescent="0.25">
      <c r="A31198" s="2" t="str">
        <f t="shared" si="1129"/>
        <v>27620</v>
      </c>
      <c r="B31198" s="2" t="str">
        <f>"63361"</f>
        <v>63361</v>
      </c>
      <c r="C31198" s="1">
        <v>2.3719496030472501E-3</v>
      </c>
      <c r="D31198" s="1">
        <v>2.98908982214915E-4</v>
      </c>
      <c r="E31198" s="1">
        <v>0</v>
      </c>
      <c r="F31198" s="1">
        <v>2.1061654319475898E-3</v>
      </c>
    </row>
    <row r="31199" spans="1:6" x14ac:dyDescent="0.25">
      <c r="A31199" s="2" t="str">
        <f t="shared" ref="A31199:A31213" si="1130">"28380"</f>
        <v>28380</v>
      </c>
      <c r="B31199" s="2" t="str">
        <f>"63875"</f>
        <v>63875</v>
      </c>
      <c r="C31199" s="1">
        <v>0</v>
      </c>
      <c r="D31199" s="1">
        <v>0</v>
      </c>
      <c r="E31199" s="1">
        <v>2.17391304347826E-3</v>
      </c>
      <c r="F31199" s="1">
        <v>5.8312438043034503E-5</v>
      </c>
    </row>
    <row r="31200" spans="1:6" x14ac:dyDescent="0.25">
      <c r="A31200" s="2" t="str">
        <f t="shared" si="1130"/>
        <v>28380</v>
      </c>
      <c r="B31200" s="2" t="str">
        <f>"63837"</f>
        <v>63837</v>
      </c>
      <c r="C31200" s="1">
        <v>4.3659314203916902E-2</v>
      </c>
      <c r="D31200" s="1">
        <v>1.4393939393939299E-2</v>
      </c>
      <c r="E31200" s="1">
        <v>1.0869565217391301E-2</v>
      </c>
      <c r="F31200" s="1">
        <v>4.0527144439908999E-2</v>
      </c>
    </row>
    <row r="31201" spans="1:6" x14ac:dyDescent="0.25">
      <c r="A31201" s="2" t="str">
        <f t="shared" si="1130"/>
        <v>28380</v>
      </c>
      <c r="B31201" s="2" t="str">
        <f>"63876"</f>
        <v>63876</v>
      </c>
      <c r="C31201" s="1">
        <v>7.4435552085366605E-2</v>
      </c>
      <c r="D31201" s="1">
        <v>2.6515151515151499E-2</v>
      </c>
      <c r="E31201" s="1">
        <v>1.30434782608695E-2</v>
      </c>
      <c r="F31201" s="1">
        <v>6.9100239080995898E-2</v>
      </c>
    </row>
    <row r="31202" spans="1:6" x14ac:dyDescent="0.25">
      <c r="A31202" s="2" t="str">
        <f t="shared" si="1130"/>
        <v>28380</v>
      </c>
      <c r="B31202" s="2" t="str">
        <f>"63933"</f>
        <v>63933</v>
      </c>
      <c r="C31202" s="1">
        <v>0.118940724835708</v>
      </c>
      <c r="D31202" s="1">
        <v>0.111363636363636</v>
      </c>
      <c r="E31202" s="1">
        <v>6.5217391304347797E-3</v>
      </c>
      <c r="F31202" s="1">
        <v>0.115342002449122</v>
      </c>
    </row>
    <row r="31203" spans="1:6" x14ac:dyDescent="0.25">
      <c r="A31203" s="2" t="str">
        <f t="shared" si="1130"/>
        <v>28380</v>
      </c>
      <c r="B31203" s="2" t="str">
        <f>"63822"</f>
        <v>63822</v>
      </c>
      <c r="C31203" s="1">
        <v>1.4314529247185801E-3</v>
      </c>
      <c r="D31203" s="1">
        <v>0</v>
      </c>
      <c r="E31203" s="1">
        <v>0</v>
      </c>
      <c r="F31203" s="1">
        <v>1.28287363694676E-3</v>
      </c>
    </row>
    <row r="31204" spans="1:6" x14ac:dyDescent="0.25">
      <c r="A31204" s="2" t="str">
        <f t="shared" si="1130"/>
        <v>28380</v>
      </c>
      <c r="B31204" s="2" t="str">
        <f>"63821"</f>
        <v>63821</v>
      </c>
      <c r="C31204" s="1">
        <v>3.1036502049580299E-2</v>
      </c>
      <c r="D31204" s="1">
        <v>2.19696969696969E-2</v>
      </c>
      <c r="E31204" s="1">
        <v>2.17391304347826E-3</v>
      </c>
      <c r="F31204" s="1">
        <v>2.95644060878185E-2</v>
      </c>
    </row>
    <row r="31205" spans="1:6" x14ac:dyDescent="0.25">
      <c r="A31205" s="2" t="str">
        <f t="shared" si="1130"/>
        <v>28380</v>
      </c>
      <c r="B31205" s="2" t="str">
        <f>"63880"</f>
        <v>63880</v>
      </c>
      <c r="C31205" s="1">
        <v>0</v>
      </c>
      <c r="D31205" s="1">
        <v>0</v>
      </c>
      <c r="E31205" s="1">
        <v>2.17391304347826E-3</v>
      </c>
      <c r="F31205" s="1">
        <v>5.8312438043034503E-5</v>
      </c>
    </row>
    <row r="31206" spans="1:6" x14ac:dyDescent="0.25">
      <c r="A31206" s="2" t="str">
        <f t="shared" si="1130"/>
        <v>28380</v>
      </c>
      <c r="B31206" s="2" t="str">
        <f>"63849"</f>
        <v>63849</v>
      </c>
      <c r="C31206" s="1">
        <v>5.2052833626130496E-3</v>
      </c>
      <c r="D31206" s="1">
        <v>0</v>
      </c>
      <c r="E31206" s="1">
        <v>0</v>
      </c>
      <c r="F31206" s="1">
        <v>4.6649950434427597E-3</v>
      </c>
    </row>
    <row r="31207" spans="1:6" x14ac:dyDescent="0.25">
      <c r="A31207" s="2" t="str">
        <f t="shared" si="1130"/>
        <v>28380</v>
      </c>
      <c r="B31207" s="2" t="str">
        <f>"63857"</f>
        <v>63857</v>
      </c>
      <c r="C31207" s="1">
        <v>0.40106708308933497</v>
      </c>
      <c r="D31207" s="1">
        <v>0.49166666666666597</v>
      </c>
      <c r="E31207" s="1">
        <v>0.81086956521739095</v>
      </c>
      <c r="F31207" s="1">
        <v>0.41903317977724602</v>
      </c>
    </row>
    <row r="31208" spans="1:6" x14ac:dyDescent="0.25">
      <c r="A31208" s="2" t="str">
        <f t="shared" si="1130"/>
        <v>28380</v>
      </c>
      <c r="B31208" s="2" t="str">
        <f>"63847"</f>
        <v>63847</v>
      </c>
      <c r="C31208" s="1">
        <v>1.88691521894723E-3</v>
      </c>
      <c r="D31208" s="1">
        <v>0</v>
      </c>
      <c r="E31208" s="1">
        <v>4.3478260869565201E-3</v>
      </c>
      <c r="F31208" s="1">
        <v>1.8076855793340699E-3</v>
      </c>
    </row>
    <row r="31209" spans="1:6" x14ac:dyDescent="0.25">
      <c r="A31209" s="2" t="str">
        <f t="shared" si="1130"/>
        <v>28380</v>
      </c>
      <c r="B31209" s="2" t="str">
        <f>"63855"</f>
        <v>63855</v>
      </c>
      <c r="C31209" s="1">
        <v>3.5330860823736002E-2</v>
      </c>
      <c r="D31209" s="1">
        <v>2.95454545454545E-2</v>
      </c>
      <c r="E31209" s="1">
        <v>6.5217391304347797E-3</v>
      </c>
      <c r="F31209" s="1">
        <v>3.4112776255175198E-2</v>
      </c>
    </row>
    <row r="31210" spans="1:6" x14ac:dyDescent="0.25">
      <c r="A31210" s="2" t="str">
        <f t="shared" si="1130"/>
        <v>28380</v>
      </c>
      <c r="B31210" s="2" t="str">
        <f>"63852"</f>
        <v>63852</v>
      </c>
      <c r="C31210" s="1">
        <v>3.9430021471793801E-2</v>
      </c>
      <c r="D31210" s="1">
        <v>6.81818181818181E-3</v>
      </c>
      <c r="E31210" s="1">
        <v>2.17391304347826E-3</v>
      </c>
      <c r="F31210" s="1">
        <v>3.5920461834509303E-2</v>
      </c>
    </row>
    <row r="31211" spans="1:6" x14ac:dyDescent="0.25">
      <c r="A31211" s="2" t="str">
        <f t="shared" si="1130"/>
        <v>28380</v>
      </c>
      <c r="B31211" s="2" t="str">
        <f>"63877"</f>
        <v>63877</v>
      </c>
      <c r="C31211" s="1">
        <v>8.4585854642461997E-4</v>
      </c>
      <c r="D31211" s="1">
        <v>0</v>
      </c>
      <c r="E31211" s="1">
        <v>0</v>
      </c>
      <c r="F31211" s="1">
        <v>7.58061694559449E-4</v>
      </c>
    </row>
    <row r="31212" spans="1:6" x14ac:dyDescent="0.25">
      <c r="A31212" s="2" t="str">
        <f t="shared" si="1130"/>
        <v>28380</v>
      </c>
      <c r="B31212" s="2" t="str">
        <f>"63863"</f>
        <v>63863</v>
      </c>
      <c r="C31212" s="1">
        <v>0.20860173075671801</v>
      </c>
      <c r="D31212" s="1">
        <v>0.27424242424242401</v>
      </c>
      <c r="E31212" s="1">
        <v>0.13043478260869501</v>
      </c>
      <c r="F31212" s="1">
        <v>0.21155752522012899</v>
      </c>
    </row>
    <row r="31213" spans="1:6" x14ac:dyDescent="0.25">
      <c r="A31213" s="2" t="str">
        <f t="shared" si="1130"/>
        <v>28380</v>
      </c>
      <c r="B31213" s="2" t="str">
        <f>"63829"</f>
        <v>63829</v>
      </c>
      <c r="C31213" s="1">
        <v>3.81287006311406E-2</v>
      </c>
      <c r="D31213" s="1">
        <v>2.34848484848484E-2</v>
      </c>
      <c r="E31213" s="1">
        <v>8.6956521739130401E-3</v>
      </c>
      <c r="F31213" s="1">
        <v>3.6212024024724399E-2</v>
      </c>
    </row>
    <row r="31214" spans="1:6" x14ac:dyDescent="0.25">
      <c r="A31214" s="2" t="str">
        <f t="shared" ref="A31214:A31227" si="1131">"28860"</f>
        <v>28860</v>
      </c>
      <c r="B31214" s="2" t="str">
        <f>"63535"</f>
        <v>63535</v>
      </c>
      <c r="C31214" s="1">
        <v>5.25217157093798E-3</v>
      </c>
      <c r="D31214" s="1">
        <v>0</v>
      </c>
      <c r="E31214" s="1">
        <v>1.23762376237623E-3</v>
      </c>
      <c r="F31214" s="1">
        <v>4.6842573376815796E-3</v>
      </c>
    </row>
    <row r="31215" spans="1:6" x14ac:dyDescent="0.25">
      <c r="A31215" s="2" t="str">
        <f t="shared" si="1131"/>
        <v>28860</v>
      </c>
      <c r="B31215" s="2" t="str">
        <f>"63561"</f>
        <v>63561</v>
      </c>
      <c r="C31215" s="1">
        <v>3.7775233990977E-2</v>
      </c>
      <c r="D31215" s="1">
        <v>1.0779436152570401E-2</v>
      </c>
      <c r="E31215" s="1">
        <v>6.1881188118811797E-3</v>
      </c>
      <c r="F31215" s="1">
        <v>3.4331455677438401E-2</v>
      </c>
    </row>
    <row r="31216" spans="1:6" x14ac:dyDescent="0.25">
      <c r="A31216" s="2" t="str">
        <f t="shared" si="1131"/>
        <v>28860</v>
      </c>
      <c r="B31216" s="2" t="str">
        <f>"63549"</f>
        <v>63549</v>
      </c>
      <c r="C31216" s="1">
        <v>9.6289812133862999E-3</v>
      </c>
      <c r="D31216" s="1">
        <v>5.80431177446102E-3</v>
      </c>
      <c r="E31216" s="1">
        <v>0</v>
      </c>
      <c r="F31216" s="1">
        <v>8.8941595019270594E-3</v>
      </c>
    </row>
    <row r="31217" spans="1:6" x14ac:dyDescent="0.25">
      <c r="A31217" s="2" t="str">
        <f t="shared" si="1131"/>
        <v>28860</v>
      </c>
      <c r="B31217" s="2" t="str">
        <f>"63559"</f>
        <v>63559</v>
      </c>
      <c r="C31217" s="1">
        <v>4.43741162211298E-2</v>
      </c>
      <c r="D31217" s="1">
        <v>9.1210613598673301E-3</v>
      </c>
      <c r="E31217" s="1">
        <v>4.9504950495049497E-3</v>
      </c>
      <c r="F31217" s="1">
        <v>3.9964423361992199E-2</v>
      </c>
    </row>
    <row r="31218" spans="1:6" x14ac:dyDescent="0.25">
      <c r="A31218" s="2" t="str">
        <f t="shared" si="1131"/>
        <v>28860</v>
      </c>
      <c r="B31218" s="2" t="str">
        <f>"63533"</f>
        <v>63533</v>
      </c>
      <c r="C31218" s="1">
        <v>2.6799542118375801E-2</v>
      </c>
      <c r="D31218" s="1">
        <v>1.24378109452736E-2</v>
      </c>
      <c r="E31218" s="1">
        <v>6.1881188118811797E-3</v>
      </c>
      <c r="F31218" s="1">
        <v>2.4785057812036701E-2</v>
      </c>
    </row>
    <row r="31219" spans="1:6" x14ac:dyDescent="0.25">
      <c r="A31219" s="2" t="str">
        <f t="shared" si="1131"/>
        <v>28860</v>
      </c>
      <c r="B31219" s="2" t="str">
        <f>"63557"</f>
        <v>63557</v>
      </c>
      <c r="C31219" s="1">
        <v>2.6934213184297301E-4</v>
      </c>
      <c r="D31219" s="1">
        <v>0</v>
      </c>
      <c r="E31219" s="1">
        <v>0</v>
      </c>
      <c r="F31219" s="1">
        <v>2.3717758671805501E-4</v>
      </c>
    </row>
    <row r="31220" spans="1:6" x14ac:dyDescent="0.25">
      <c r="A31220" s="2" t="str">
        <f t="shared" si="1131"/>
        <v>28860</v>
      </c>
      <c r="B31220" s="2" t="str">
        <f>"63541"</f>
        <v>63541</v>
      </c>
      <c r="C31220" s="1">
        <v>1.2591744663658999E-2</v>
      </c>
      <c r="D31220" s="1">
        <v>2.4875621890547198E-3</v>
      </c>
      <c r="E31220" s="1">
        <v>3.7128712871287101E-3</v>
      </c>
      <c r="F31220" s="1">
        <v>1.1443818559146101E-2</v>
      </c>
    </row>
    <row r="31221" spans="1:6" x14ac:dyDescent="0.25">
      <c r="A31221" s="2" t="str">
        <f t="shared" si="1131"/>
        <v>28860</v>
      </c>
      <c r="B31221" s="2" t="str">
        <f>"63536"</f>
        <v>63536</v>
      </c>
      <c r="C31221" s="1">
        <v>4.5653491347384001E-2</v>
      </c>
      <c r="D31221" s="1">
        <v>1.8242122719734601E-2</v>
      </c>
      <c r="E31221" s="1">
        <v>1.23762376237623E-3</v>
      </c>
      <c r="F31221" s="1">
        <v>4.1565372072339103E-2</v>
      </c>
    </row>
    <row r="31222" spans="1:6" x14ac:dyDescent="0.25">
      <c r="A31222" s="2" t="str">
        <f t="shared" si="1131"/>
        <v>28860</v>
      </c>
      <c r="B31222" s="2" t="str">
        <f>"63546"</f>
        <v>63546</v>
      </c>
      <c r="C31222" s="1">
        <v>5.3397077637869501E-2</v>
      </c>
      <c r="D31222" s="1">
        <v>1.3266998341625201E-2</v>
      </c>
      <c r="E31222" s="1">
        <v>6.1881188118811797E-3</v>
      </c>
      <c r="F31222" s="1">
        <v>4.8265638897124201E-2</v>
      </c>
    </row>
    <row r="31223" spans="1:6" x14ac:dyDescent="0.25">
      <c r="A31223" s="2" t="str">
        <f t="shared" si="1131"/>
        <v>28860</v>
      </c>
      <c r="B31223" s="2" t="str">
        <f>"63501"</f>
        <v>63501</v>
      </c>
      <c r="C31223" s="1">
        <v>0.69396000269342095</v>
      </c>
      <c r="D31223" s="1">
        <v>0.89635157545605304</v>
      </c>
      <c r="E31223" s="1">
        <v>0.95420792079207895</v>
      </c>
      <c r="F31223" s="1">
        <v>0.72090127482952804</v>
      </c>
    </row>
    <row r="31224" spans="1:6" x14ac:dyDescent="0.25">
      <c r="A31224" s="2" t="str">
        <f t="shared" si="1131"/>
        <v>28860</v>
      </c>
      <c r="B31224" s="2" t="str">
        <f>"63540"</f>
        <v>63540</v>
      </c>
      <c r="C31224" s="1">
        <v>4.5788162413305496E-3</v>
      </c>
      <c r="D31224" s="1">
        <v>1.6583747927031501E-3</v>
      </c>
      <c r="E31224" s="1">
        <v>1.23762376237623E-3</v>
      </c>
      <c r="F31224" s="1">
        <v>4.2099021642454703E-3</v>
      </c>
    </row>
    <row r="31225" spans="1:6" x14ac:dyDescent="0.25">
      <c r="A31225" s="2" t="str">
        <f t="shared" si="1131"/>
        <v>28860</v>
      </c>
      <c r="B31225" s="2" t="str">
        <f>"63548"</f>
        <v>63548</v>
      </c>
      <c r="C31225" s="1">
        <v>5.0838327385361197E-2</v>
      </c>
      <c r="D31225" s="1">
        <v>2.9850746268656699E-2</v>
      </c>
      <c r="E31225" s="1">
        <v>1.36138613861386E-2</v>
      </c>
      <c r="F31225" s="1">
        <v>4.7554106136969997E-2</v>
      </c>
    </row>
    <row r="31226" spans="1:6" x14ac:dyDescent="0.25">
      <c r="A31226" s="2" t="str">
        <f t="shared" si="1131"/>
        <v>28860</v>
      </c>
      <c r="B31226" s="2" t="str">
        <f>"63547"</f>
        <v>63547</v>
      </c>
      <c r="C31226" s="1">
        <v>9.4269746145040701E-4</v>
      </c>
      <c r="D31226" s="1">
        <v>0</v>
      </c>
      <c r="E31226" s="1">
        <v>0</v>
      </c>
      <c r="F31226" s="1">
        <v>8.3012155351319303E-4</v>
      </c>
    </row>
    <row r="31227" spans="1:6" x14ac:dyDescent="0.25">
      <c r="A31227" s="2" t="str">
        <f t="shared" si="1131"/>
        <v>28860</v>
      </c>
      <c r="B31227" s="2" t="str">
        <f>"63544"</f>
        <v>63544</v>
      </c>
      <c r="C31227" s="1">
        <v>1.39384553228738E-2</v>
      </c>
      <c r="D31227" s="1">
        <v>0</v>
      </c>
      <c r="E31227" s="1">
        <v>1.23762376237623E-3</v>
      </c>
      <c r="F31227" s="1">
        <v>1.2333234509338801E-2</v>
      </c>
    </row>
    <row r="31228" spans="1:6" x14ac:dyDescent="0.25">
      <c r="A31228" s="2" t="str">
        <f t="shared" ref="A31228:A31245" si="1132">"32340"</f>
        <v>32340</v>
      </c>
      <c r="B31228" s="2" t="str">
        <f>"64476"</f>
        <v>64476</v>
      </c>
      <c r="C31228" s="1">
        <v>1.8247052793439199E-2</v>
      </c>
      <c r="D31228" s="1">
        <v>3.2573289902280101E-3</v>
      </c>
      <c r="E31228" s="1">
        <v>1.6863406408094399E-3</v>
      </c>
      <c r="F31228" s="1">
        <v>1.65115854771027E-2</v>
      </c>
    </row>
    <row r="31229" spans="1:6" x14ac:dyDescent="0.25">
      <c r="A31229" s="2" t="str">
        <f t="shared" si="1132"/>
        <v>32340</v>
      </c>
      <c r="B31229" s="2" t="str">
        <f>"64468"</f>
        <v>64468</v>
      </c>
      <c r="C31229" s="1">
        <v>0.66242952332137295</v>
      </c>
      <c r="D31229" s="1">
        <v>0.874592833876221</v>
      </c>
      <c r="E31229" s="1">
        <v>0.54806070826306896</v>
      </c>
      <c r="F31229" s="1">
        <v>0.66812625433314998</v>
      </c>
    </row>
    <row r="31230" spans="1:6" x14ac:dyDescent="0.25">
      <c r="A31230" s="2" t="str">
        <f t="shared" si="1132"/>
        <v>32340</v>
      </c>
      <c r="B31230" s="2" t="str">
        <f>"64487"</f>
        <v>64487</v>
      </c>
      <c r="C31230" s="1">
        <v>3.7724243977447398E-2</v>
      </c>
      <c r="D31230" s="1">
        <v>4.8859934853420096E-3</v>
      </c>
      <c r="E31230" s="1">
        <v>3.3726812816188799E-3</v>
      </c>
      <c r="F31230" s="1">
        <v>3.4026637474913302E-2</v>
      </c>
    </row>
    <row r="31231" spans="1:6" x14ac:dyDescent="0.25">
      <c r="A31231" s="2" t="str">
        <f t="shared" si="1132"/>
        <v>32340</v>
      </c>
      <c r="B31231" s="2" t="str">
        <f>"64427"</f>
        <v>64427</v>
      </c>
      <c r="C31231" s="1">
        <v>3.0753459764223398E-3</v>
      </c>
      <c r="D31231" s="1">
        <v>0</v>
      </c>
      <c r="E31231" s="1">
        <v>0</v>
      </c>
      <c r="F31231" s="1">
        <v>2.7367268746579E-3</v>
      </c>
    </row>
    <row r="31232" spans="1:6" x14ac:dyDescent="0.25">
      <c r="A31232" s="2" t="str">
        <f t="shared" si="1132"/>
        <v>32340</v>
      </c>
      <c r="B31232" s="2" t="str">
        <f>"64434"</f>
        <v>64434</v>
      </c>
      <c r="C31232" s="1">
        <v>1.8247052793439199E-2</v>
      </c>
      <c r="D31232" s="1">
        <v>1.6286644951140001E-3</v>
      </c>
      <c r="E31232" s="1">
        <v>0.17875210792580101</v>
      </c>
      <c r="F31232" s="1">
        <v>2.59989053092501E-2</v>
      </c>
    </row>
    <row r="31233" spans="1:6" x14ac:dyDescent="0.25">
      <c r="A31233" s="2" t="str">
        <f t="shared" si="1132"/>
        <v>32340</v>
      </c>
      <c r="B31233" s="2" t="str">
        <f>"64431"</f>
        <v>64431</v>
      </c>
      <c r="C31233" s="1">
        <v>1.8247052793439199E-2</v>
      </c>
      <c r="D31233" s="1">
        <v>1.3029315960912001E-2</v>
      </c>
      <c r="E31233" s="1">
        <v>3.3726812816188799E-3</v>
      </c>
      <c r="F31233" s="1">
        <v>1.71501550811895E-2</v>
      </c>
    </row>
    <row r="31234" spans="1:6" x14ac:dyDescent="0.25">
      <c r="A31234" s="2" t="str">
        <f t="shared" si="1132"/>
        <v>32340</v>
      </c>
      <c r="B31234" s="2" t="str">
        <f>"64433"</f>
        <v>64433</v>
      </c>
      <c r="C31234" s="1">
        <v>2.97283444387493E-3</v>
      </c>
      <c r="D31234" s="1">
        <v>3.2573289902280101E-3</v>
      </c>
      <c r="E31234" s="1">
        <v>2.3608768971332201E-2</v>
      </c>
      <c r="F31234" s="1">
        <v>4.1050903119868604E-3</v>
      </c>
    </row>
    <row r="31235" spans="1:6" x14ac:dyDescent="0.25">
      <c r="A31235" s="2" t="str">
        <f t="shared" si="1132"/>
        <v>32340</v>
      </c>
      <c r="B31235" s="2" t="str">
        <f>"64445"</f>
        <v>64445</v>
      </c>
      <c r="C31235" s="1">
        <v>1.5069195284469501E-2</v>
      </c>
      <c r="D31235" s="1">
        <v>1.6286644951140001E-3</v>
      </c>
      <c r="E31235" s="1">
        <v>1.6863406408094399E-3</v>
      </c>
      <c r="F31235" s="1">
        <v>1.35924101441342E-2</v>
      </c>
    </row>
    <row r="31236" spans="1:6" x14ac:dyDescent="0.25">
      <c r="A31236" s="2" t="str">
        <f t="shared" si="1132"/>
        <v>32340</v>
      </c>
      <c r="B31236" s="2" t="str">
        <f>"64486"</f>
        <v>64486</v>
      </c>
      <c r="C31236" s="1">
        <v>4.5105074320860999E-3</v>
      </c>
      <c r="D31236" s="1">
        <v>0</v>
      </c>
      <c r="E31236" s="1">
        <v>0</v>
      </c>
      <c r="F31236" s="1">
        <v>4.0138660828315997E-3</v>
      </c>
    </row>
    <row r="31237" spans="1:6" x14ac:dyDescent="0.25">
      <c r="A31237" s="2" t="str">
        <f t="shared" si="1132"/>
        <v>32340</v>
      </c>
      <c r="B31237" s="2" t="str">
        <f>"64479"</f>
        <v>64479</v>
      </c>
      <c r="C31237" s="1">
        <v>4.0287032291132702E-2</v>
      </c>
      <c r="D31237" s="1">
        <v>2.9315960912052099E-2</v>
      </c>
      <c r="E31237" s="1">
        <v>5.0590219224283303E-3</v>
      </c>
      <c r="F31237" s="1">
        <v>3.77668308702791E-2</v>
      </c>
    </row>
    <row r="31238" spans="1:6" x14ac:dyDescent="0.25">
      <c r="A31238" s="2" t="str">
        <f t="shared" si="1132"/>
        <v>32340</v>
      </c>
      <c r="B31238" s="2" t="str">
        <f>"64489"</f>
        <v>64489</v>
      </c>
      <c r="C31238" s="1">
        <v>5.5356227575602199E-3</v>
      </c>
      <c r="D31238" s="1">
        <v>1.6286644951140001E-3</v>
      </c>
      <c r="E31238" s="1">
        <v>0</v>
      </c>
      <c r="F31238" s="1">
        <v>5.0173326035394998E-3</v>
      </c>
    </row>
    <row r="31239" spans="1:6" x14ac:dyDescent="0.25">
      <c r="A31239" s="2" t="str">
        <f t="shared" si="1132"/>
        <v>32340</v>
      </c>
      <c r="B31239" s="2" t="str">
        <f>"64428"</f>
        <v>64428</v>
      </c>
      <c r="C31239" s="1">
        <v>4.4900051255766203E-2</v>
      </c>
      <c r="D31239" s="1">
        <v>1.4657980456025999E-2</v>
      </c>
      <c r="E31239" s="1">
        <v>3.3726812816188799E-3</v>
      </c>
      <c r="F31239" s="1">
        <v>4.0959678890713301E-2</v>
      </c>
    </row>
    <row r="31240" spans="1:6" x14ac:dyDescent="0.25">
      <c r="A31240" s="2" t="str">
        <f t="shared" si="1132"/>
        <v>32340</v>
      </c>
      <c r="B31240" s="2" t="str">
        <f>"64461"</f>
        <v>64461</v>
      </c>
      <c r="C31240" s="1">
        <v>3.8646847770374103E-2</v>
      </c>
      <c r="D31240" s="1">
        <v>8.1433224755700293E-3</v>
      </c>
      <c r="E31240" s="1">
        <v>5.0590219224283303E-3</v>
      </c>
      <c r="F31240" s="1">
        <v>3.5121328224776503E-2</v>
      </c>
    </row>
    <row r="31241" spans="1:6" x14ac:dyDescent="0.25">
      <c r="A31241" s="2" t="str">
        <f t="shared" si="1132"/>
        <v>32340</v>
      </c>
      <c r="B31241" s="2" t="str">
        <f>"64432"</f>
        <v>64432</v>
      </c>
      <c r="C31241" s="1">
        <v>2.97283444387493E-3</v>
      </c>
      <c r="D31241" s="1">
        <v>1.6286644951140001E-3</v>
      </c>
      <c r="E31241" s="1">
        <v>3.7099494097807703E-2</v>
      </c>
      <c r="F31241" s="1">
        <v>4.7436599160737003E-3</v>
      </c>
    </row>
    <row r="31242" spans="1:6" x14ac:dyDescent="0.25">
      <c r="A31242" s="2" t="str">
        <f t="shared" si="1132"/>
        <v>32340</v>
      </c>
      <c r="B31242" s="2" t="str">
        <f>"64423"</f>
        <v>64423</v>
      </c>
      <c r="C31242" s="1">
        <v>3.1881086622245002E-2</v>
      </c>
      <c r="D31242" s="1">
        <v>8.1433224755700293E-3</v>
      </c>
      <c r="E31242" s="1">
        <v>3.3726812816188799E-3</v>
      </c>
      <c r="F31242" s="1">
        <v>2.9009304871373799E-2</v>
      </c>
    </row>
    <row r="31243" spans="1:6" x14ac:dyDescent="0.25">
      <c r="A31243" s="2" t="str">
        <f t="shared" si="1132"/>
        <v>32340</v>
      </c>
      <c r="B31243" s="2" t="str">
        <f>"64475"</f>
        <v>64475</v>
      </c>
      <c r="C31243" s="1">
        <v>2.25525371604305E-2</v>
      </c>
      <c r="D31243" s="1">
        <v>9.7719869706840295E-3</v>
      </c>
      <c r="E31243" s="1">
        <v>0.18043844856661001</v>
      </c>
      <c r="F31243" s="1">
        <v>3.0377668308702699E-2</v>
      </c>
    </row>
    <row r="31244" spans="1:6" x14ac:dyDescent="0.25">
      <c r="A31244" s="2" t="str">
        <f t="shared" si="1132"/>
        <v>32340</v>
      </c>
      <c r="B31244" s="2" t="str">
        <f>"64457"</f>
        <v>64457</v>
      </c>
      <c r="C31244" s="1">
        <v>1.08662224500256E-2</v>
      </c>
      <c r="D31244" s="1">
        <v>4.8859934853420096E-3</v>
      </c>
      <c r="E31244" s="1">
        <v>1.6863406408094399E-3</v>
      </c>
      <c r="F31244" s="1">
        <v>1.0034665207079E-2</v>
      </c>
    </row>
    <row r="31245" spans="1:6" x14ac:dyDescent="0.25">
      <c r="A31245" s="2" t="str">
        <f t="shared" si="1132"/>
        <v>32340</v>
      </c>
      <c r="B31245" s="2" t="str">
        <f>"64455"</f>
        <v>64455</v>
      </c>
      <c r="C31245" s="1">
        <v>2.1834956432598598E-2</v>
      </c>
      <c r="D31245" s="1">
        <v>1.9543973941368E-2</v>
      </c>
      <c r="E31245" s="1">
        <v>3.3726812816188799E-3</v>
      </c>
      <c r="F31245" s="1">
        <v>2.0707900018244799E-2</v>
      </c>
    </row>
    <row r="31246" spans="1:6" x14ac:dyDescent="0.25">
      <c r="A31246" s="2" t="str">
        <f t="shared" ref="A31246:A31286" si="1133">"17860"</f>
        <v>17860</v>
      </c>
      <c r="B31246" s="2" t="str">
        <f>"65256"</f>
        <v>65256</v>
      </c>
      <c r="C31246" s="1">
        <v>9.5463137996219197E-3</v>
      </c>
      <c r="D31246" s="1">
        <v>3.1110004977600702E-3</v>
      </c>
      <c r="E31246" s="1">
        <v>1.8633540372670801E-3</v>
      </c>
      <c r="F31246" s="1">
        <v>8.7245341672372006E-3</v>
      </c>
    </row>
    <row r="31247" spans="1:6" x14ac:dyDescent="0.25">
      <c r="A31247" s="2" t="str">
        <f t="shared" si="1133"/>
        <v>17860</v>
      </c>
      <c r="B31247" s="2" t="str">
        <f>"65255"</f>
        <v>65255</v>
      </c>
      <c r="C31247" s="1">
        <v>1.84835118672547E-2</v>
      </c>
      <c r="D31247" s="1">
        <v>6.5953210552513603E-3</v>
      </c>
      <c r="E31247" s="1">
        <v>4.5548654244306399E-3</v>
      </c>
      <c r="F31247" s="1">
        <v>1.6977221841866601E-2</v>
      </c>
    </row>
    <row r="31248" spans="1:6" x14ac:dyDescent="0.25">
      <c r="A31248" s="2" t="str">
        <f t="shared" si="1133"/>
        <v>17860</v>
      </c>
      <c r="B31248" s="2" t="str">
        <f>"65215"</f>
        <v>65215</v>
      </c>
      <c r="C31248" s="1">
        <v>0</v>
      </c>
      <c r="D31248" s="1">
        <v>1.2444001991040299E-4</v>
      </c>
      <c r="E31248" s="1">
        <v>0</v>
      </c>
      <c r="F31248" s="1">
        <v>9.2518920119164306E-6</v>
      </c>
    </row>
    <row r="31249" spans="1:6" x14ac:dyDescent="0.25">
      <c r="A31249" s="2" t="str">
        <f t="shared" si="1133"/>
        <v>17860</v>
      </c>
      <c r="B31249" s="2" t="str">
        <f>"65250"</f>
        <v>65250</v>
      </c>
      <c r="C31249" s="1">
        <v>3.3081285444234399E-3</v>
      </c>
      <c r="D31249" s="1">
        <v>9.9552015928322502E-4</v>
      </c>
      <c r="E31249" s="1">
        <v>1.4492753623188399E-3</v>
      </c>
      <c r="F31249" s="1">
        <v>3.0531243639324202E-3</v>
      </c>
    </row>
    <row r="31250" spans="1:6" x14ac:dyDescent="0.25">
      <c r="A31250" s="2" t="str">
        <f t="shared" si="1133"/>
        <v>17860</v>
      </c>
      <c r="B31250" s="2" t="str">
        <f>"65233"</f>
        <v>65233</v>
      </c>
      <c r="C31250" s="1">
        <v>5.4116782188615799E-2</v>
      </c>
      <c r="D31250" s="1">
        <v>7.1428571428571397E-2</v>
      </c>
      <c r="E31250" s="1">
        <v>4.0165631469979202E-2</v>
      </c>
      <c r="F31250" s="1">
        <v>5.4780452602557199E-2</v>
      </c>
    </row>
    <row r="31251" spans="1:6" x14ac:dyDescent="0.25">
      <c r="A31251" s="2" t="str">
        <f t="shared" si="1133"/>
        <v>17860</v>
      </c>
      <c r="B31251" s="2" t="str">
        <f>"65230"</f>
        <v>65230</v>
      </c>
      <c r="C31251" s="1">
        <v>3.22411258139046E-3</v>
      </c>
      <c r="D31251" s="1">
        <v>9.9552015928322502E-4</v>
      </c>
      <c r="E31251" s="1">
        <v>2.0703933747412E-4</v>
      </c>
      <c r="F31251" s="1">
        <v>2.9235978757655898E-3</v>
      </c>
    </row>
    <row r="31252" spans="1:6" x14ac:dyDescent="0.25">
      <c r="A31252" s="2" t="str">
        <f t="shared" si="1133"/>
        <v>17860</v>
      </c>
      <c r="B31252" s="2" t="str">
        <f>"65211"</f>
        <v>65211</v>
      </c>
      <c r="C31252" s="1">
        <v>0</v>
      </c>
      <c r="D31252" s="1">
        <v>2.4888003982080598E-4</v>
      </c>
      <c r="E31252" s="1">
        <v>6.4596273291925396E-2</v>
      </c>
      <c r="F31252" s="1">
        <v>2.90509409174176E-3</v>
      </c>
    </row>
    <row r="31253" spans="1:6" x14ac:dyDescent="0.25">
      <c r="A31253" s="2" t="str">
        <f t="shared" si="1133"/>
        <v>17860</v>
      </c>
      <c r="B31253" s="2" t="str">
        <f>"65281"</f>
        <v>65281</v>
      </c>
      <c r="C31253" s="1">
        <v>9.4517958412098196E-5</v>
      </c>
      <c r="D31253" s="1">
        <v>0</v>
      </c>
      <c r="E31253" s="1">
        <v>0</v>
      </c>
      <c r="F31253" s="1">
        <v>8.3267028107247894E-5</v>
      </c>
    </row>
    <row r="31254" spans="1:6" x14ac:dyDescent="0.25">
      <c r="A31254" s="2" t="str">
        <f t="shared" si="1133"/>
        <v>17860</v>
      </c>
      <c r="B31254" s="2" t="str">
        <f>"65025"</f>
        <v>65025</v>
      </c>
      <c r="C31254" s="1">
        <v>1.00819155639571E-3</v>
      </c>
      <c r="D31254" s="1">
        <v>2.4888003982080598E-4</v>
      </c>
      <c r="E31254" s="1">
        <v>0</v>
      </c>
      <c r="F31254" s="1">
        <v>9.0668541716781002E-4</v>
      </c>
    </row>
    <row r="31255" spans="1:6" x14ac:dyDescent="0.25">
      <c r="A31255" s="2" t="str">
        <f t="shared" si="1133"/>
        <v>17860</v>
      </c>
      <c r="B31255" s="2" t="str">
        <f>"65254"</f>
        <v>65254</v>
      </c>
      <c r="C31255" s="1">
        <v>8.9371980676328493E-3</v>
      </c>
      <c r="D31255" s="1">
        <v>1.2817322050771501E-2</v>
      </c>
      <c r="E31255" s="1">
        <v>2.2774327122153199E-3</v>
      </c>
      <c r="F31255" s="1">
        <v>8.9280757914993597E-3</v>
      </c>
    </row>
    <row r="31256" spans="1:6" x14ac:dyDescent="0.25">
      <c r="A31256" s="2" t="str">
        <f t="shared" si="1133"/>
        <v>17860</v>
      </c>
      <c r="B31256" s="2" t="str">
        <f>"65218"</f>
        <v>65218</v>
      </c>
      <c r="C31256" s="1">
        <v>0</v>
      </c>
      <c r="D31256" s="1">
        <v>1.2444001991040299E-4</v>
      </c>
      <c r="E31256" s="1">
        <v>0</v>
      </c>
      <c r="F31256" s="1">
        <v>9.2518920119164306E-6</v>
      </c>
    </row>
    <row r="31257" spans="1:6" x14ac:dyDescent="0.25">
      <c r="A31257" s="2" t="str">
        <f t="shared" si="1133"/>
        <v>17860</v>
      </c>
      <c r="B31257" s="2" t="str">
        <f>"65348"</f>
        <v>65348</v>
      </c>
      <c r="C31257" s="1">
        <v>5.4400336063852098E-3</v>
      </c>
      <c r="D31257" s="1">
        <v>1.3688402190144299E-3</v>
      </c>
      <c r="E31257" s="1">
        <v>1.8633540372670801E-3</v>
      </c>
      <c r="F31257" s="1">
        <v>4.9775179024110399E-3</v>
      </c>
    </row>
    <row r="31258" spans="1:6" x14ac:dyDescent="0.25">
      <c r="A31258" s="2" t="str">
        <f t="shared" si="1133"/>
        <v>17860</v>
      </c>
      <c r="B31258" s="2" t="str">
        <f>"65301"</f>
        <v>65301</v>
      </c>
      <c r="C31258" s="1">
        <v>1.0501995379122E-4</v>
      </c>
      <c r="D31258" s="1">
        <v>0</v>
      </c>
      <c r="E31258" s="1">
        <v>0</v>
      </c>
      <c r="F31258" s="1">
        <v>9.2518920119164302E-5</v>
      </c>
    </row>
    <row r="31259" spans="1:6" x14ac:dyDescent="0.25">
      <c r="A31259" s="2" t="str">
        <f t="shared" si="1133"/>
        <v>17860</v>
      </c>
      <c r="B31259" s="2" t="str">
        <f>"65287"</f>
        <v>65287</v>
      </c>
      <c r="C31259" s="1">
        <v>1.19722747321991E-3</v>
      </c>
      <c r="D31259" s="1">
        <v>1.2444001991040299E-4</v>
      </c>
      <c r="E31259" s="1">
        <v>2.0703933747412E-4</v>
      </c>
      <c r="F31259" s="1">
        <v>1.0732194733823E-3</v>
      </c>
    </row>
    <row r="31260" spans="1:6" x14ac:dyDescent="0.25">
      <c r="A31260" s="2" t="str">
        <f t="shared" si="1133"/>
        <v>17860</v>
      </c>
      <c r="B31260" s="2" t="str">
        <f>"65279"</f>
        <v>65279</v>
      </c>
      <c r="C31260" s="1">
        <v>9.5148078134845594E-3</v>
      </c>
      <c r="D31260" s="1">
        <v>4.2309606769537003E-3</v>
      </c>
      <c r="E31260" s="1">
        <v>1.65631469979296E-3</v>
      </c>
      <c r="F31260" s="1">
        <v>8.7707936272967794E-3</v>
      </c>
    </row>
    <row r="31261" spans="1:6" x14ac:dyDescent="0.25">
      <c r="A31261" s="2" t="str">
        <f t="shared" si="1133"/>
        <v>17860</v>
      </c>
      <c r="B31261" s="2" t="str">
        <f>"65274"</f>
        <v>65274</v>
      </c>
      <c r="C31261" s="1">
        <v>8.1390464188195698E-3</v>
      </c>
      <c r="D31261" s="1">
        <v>3.6087605774016902E-3</v>
      </c>
      <c r="E31261" s="1">
        <v>3.5196687370600398E-3</v>
      </c>
      <c r="F31261" s="1">
        <v>7.5958033417833897E-3</v>
      </c>
    </row>
    <row r="31262" spans="1:6" x14ac:dyDescent="0.25">
      <c r="A31262" s="2" t="str">
        <f t="shared" si="1133"/>
        <v>17860</v>
      </c>
      <c r="B31262" s="2" t="str">
        <f>"65248"</f>
        <v>65248</v>
      </c>
      <c r="C31262" s="1">
        <v>2.1224532661205602E-2</v>
      </c>
      <c r="D31262" s="1">
        <v>2.5759084121453401E-2</v>
      </c>
      <c r="E31262" s="1">
        <v>1.20082815734989E-2</v>
      </c>
      <c r="F31262" s="1">
        <v>2.1149825139240901E-2</v>
      </c>
    </row>
    <row r="31263" spans="1:6" x14ac:dyDescent="0.25">
      <c r="A31263" s="2" t="str">
        <f t="shared" si="1133"/>
        <v>17860</v>
      </c>
      <c r="B31263" s="2" t="str">
        <f>"65350"</f>
        <v>65350</v>
      </c>
      <c r="C31263" s="1">
        <v>5.2509976895610102E-5</v>
      </c>
      <c r="D31263" s="1">
        <v>0</v>
      </c>
      <c r="E31263" s="1">
        <v>0</v>
      </c>
      <c r="F31263" s="1">
        <v>4.6259460059582097E-5</v>
      </c>
    </row>
    <row r="31264" spans="1:6" x14ac:dyDescent="0.25">
      <c r="A31264" s="2" t="str">
        <f t="shared" si="1133"/>
        <v>17860</v>
      </c>
      <c r="B31264" s="2" t="str">
        <f>"65046"</f>
        <v>65046</v>
      </c>
      <c r="C31264" s="1">
        <v>4.20079815164881E-5</v>
      </c>
      <c r="D31264" s="1">
        <v>0</v>
      </c>
      <c r="E31264" s="1">
        <v>0</v>
      </c>
      <c r="F31264" s="1">
        <v>3.7007568047665702E-5</v>
      </c>
    </row>
    <row r="31265" spans="1:6" x14ac:dyDescent="0.25">
      <c r="A31265" s="2" t="str">
        <f t="shared" si="1133"/>
        <v>17860</v>
      </c>
      <c r="B31265" s="2" t="str">
        <f>"65217"</f>
        <v>65217</v>
      </c>
      <c r="C31265" s="1">
        <v>0</v>
      </c>
      <c r="D31265" s="1">
        <v>1.2444001991040299E-4</v>
      </c>
      <c r="E31265" s="1">
        <v>0</v>
      </c>
      <c r="F31265" s="1">
        <v>9.2518920119164306E-6</v>
      </c>
    </row>
    <row r="31266" spans="1:6" x14ac:dyDescent="0.25">
      <c r="A31266" s="2" t="str">
        <f t="shared" si="1133"/>
        <v>17860</v>
      </c>
      <c r="B31266" s="2" t="str">
        <f>"65216"</f>
        <v>65216</v>
      </c>
      <c r="C31266" s="1">
        <v>0</v>
      </c>
      <c r="D31266" s="1">
        <v>1.2444001991040299E-4</v>
      </c>
      <c r="E31266" s="1">
        <v>0</v>
      </c>
      <c r="F31266" s="1">
        <v>9.2518920119164306E-6</v>
      </c>
    </row>
    <row r="31267" spans="1:6" x14ac:dyDescent="0.25">
      <c r="A31267" s="2" t="str">
        <f t="shared" si="1133"/>
        <v>17860</v>
      </c>
      <c r="B31267" s="2" t="str">
        <f>"65205"</f>
        <v>65205</v>
      </c>
      <c r="C31267" s="1">
        <v>1.8231463978155799E-2</v>
      </c>
      <c r="D31267" s="1">
        <v>0.104778496764559</v>
      </c>
      <c r="E31267" s="1">
        <v>4.1407867494824E-4</v>
      </c>
      <c r="F31267" s="1">
        <v>2.3869881390744401E-2</v>
      </c>
    </row>
    <row r="31268" spans="1:6" x14ac:dyDescent="0.25">
      <c r="A31268" s="2" t="str">
        <f t="shared" si="1133"/>
        <v>17860</v>
      </c>
      <c r="B31268" s="2" t="str">
        <f>"65237"</f>
        <v>65237</v>
      </c>
      <c r="C31268" s="1">
        <v>5.3875236294896002E-3</v>
      </c>
      <c r="D31268" s="1">
        <v>3.1110004977600702E-3</v>
      </c>
      <c r="E31268" s="1">
        <v>1.8633540372670801E-3</v>
      </c>
      <c r="F31268" s="1">
        <v>5.0607849305182896E-3</v>
      </c>
    </row>
    <row r="31269" spans="1:6" x14ac:dyDescent="0.25">
      <c r="A31269" s="2" t="str">
        <f t="shared" si="1133"/>
        <v>17860</v>
      </c>
      <c r="B31269" s="2" t="str">
        <f>"65202"</f>
        <v>65202</v>
      </c>
      <c r="C31269" s="1">
        <v>0.23037177063642</v>
      </c>
      <c r="D31269" s="1">
        <v>0.15766550522648001</v>
      </c>
      <c r="E31269" s="1">
        <v>0.21821946169772199</v>
      </c>
      <c r="F31269" s="1">
        <v>0.22442314453305701</v>
      </c>
    </row>
    <row r="31270" spans="1:6" x14ac:dyDescent="0.25">
      <c r="A31270" s="2" t="str">
        <f t="shared" si="1133"/>
        <v>17860</v>
      </c>
      <c r="B31270" s="2" t="str">
        <f>"65299"</f>
        <v>65299</v>
      </c>
      <c r="C31270" s="1">
        <v>0</v>
      </c>
      <c r="D31270" s="1">
        <v>0</v>
      </c>
      <c r="E31270" s="1">
        <v>2.0703933747412E-4</v>
      </c>
      <c r="F31270" s="1">
        <v>9.2518920119164306E-6</v>
      </c>
    </row>
    <row r="31271" spans="1:6" x14ac:dyDescent="0.25">
      <c r="A31271" s="2" t="str">
        <f t="shared" si="1133"/>
        <v>17860</v>
      </c>
      <c r="B31271" s="2" t="str">
        <f>"65081"</f>
        <v>65081</v>
      </c>
      <c r="C31271" s="1">
        <v>4.51585801302247E-4</v>
      </c>
      <c r="D31271" s="1">
        <v>0</v>
      </c>
      <c r="E31271" s="1">
        <v>0</v>
      </c>
      <c r="F31271" s="1">
        <v>3.9783135651240599E-4</v>
      </c>
    </row>
    <row r="31272" spans="1:6" x14ac:dyDescent="0.25">
      <c r="A31272" s="2" t="str">
        <f t="shared" si="1133"/>
        <v>17860</v>
      </c>
      <c r="B31272" s="2" t="str">
        <f>"65240"</f>
        <v>65240</v>
      </c>
      <c r="C31272" s="1">
        <v>3.06133165301407E-2</v>
      </c>
      <c r="D31272" s="1">
        <v>2.8123444499751099E-2</v>
      </c>
      <c r="E31272" s="1">
        <v>1.9461697722567201E-2</v>
      </c>
      <c r="F31272" s="1">
        <v>2.9929870658549601E-2</v>
      </c>
    </row>
    <row r="31273" spans="1:6" x14ac:dyDescent="0.25">
      <c r="A31273" s="2" t="str">
        <f t="shared" si="1133"/>
        <v>17860</v>
      </c>
      <c r="B31273" s="2" t="str">
        <f>"65354"</f>
        <v>65354</v>
      </c>
      <c r="C31273" s="1">
        <v>2.41545893719806E-4</v>
      </c>
      <c r="D31273" s="1">
        <v>2.4888003982080598E-4</v>
      </c>
      <c r="E31273" s="1">
        <v>0</v>
      </c>
      <c r="F31273" s="1">
        <v>2.3129730029791001E-4</v>
      </c>
    </row>
    <row r="31274" spans="1:6" x14ac:dyDescent="0.25">
      <c r="A31274" s="2" t="str">
        <f t="shared" si="1133"/>
        <v>17860</v>
      </c>
      <c r="B31274" s="2" t="str">
        <f>"65284"</f>
        <v>65284</v>
      </c>
      <c r="C31274" s="1">
        <v>1.00294055870615E-2</v>
      </c>
      <c r="D31274" s="1">
        <v>3.2354405176704799E-3</v>
      </c>
      <c r="E31274" s="1">
        <v>2.2774327122153199E-3</v>
      </c>
      <c r="F31274" s="1">
        <v>9.1778768758210994E-3</v>
      </c>
    </row>
    <row r="31275" spans="1:6" x14ac:dyDescent="0.25">
      <c r="A31275" s="2" t="str">
        <f t="shared" si="1133"/>
        <v>17860</v>
      </c>
      <c r="B31275" s="2" t="str">
        <f>"65068"</f>
        <v>65068</v>
      </c>
      <c r="C31275" s="1">
        <v>3.5181684520058801E-3</v>
      </c>
      <c r="D31275" s="1">
        <v>9.9552015928322502E-4</v>
      </c>
      <c r="E31275" s="1">
        <v>6.2111801242235995E-4</v>
      </c>
      <c r="F31275" s="1">
        <v>3.2011546361230799E-3</v>
      </c>
    </row>
    <row r="31276" spans="1:6" x14ac:dyDescent="0.25">
      <c r="A31276" s="2" t="str">
        <f t="shared" si="1133"/>
        <v>17860</v>
      </c>
      <c r="B31276" s="2" t="str">
        <f>"65203"</f>
        <v>65203</v>
      </c>
      <c r="C31276" s="1">
        <v>0.28310228943499199</v>
      </c>
      <c r="D31276" s="1">
        <v>0.25012444001991002</v>
      </c>
      <c r="E31276" s="1">
        <v>0.212215320910973</v>
      </c>
      <c r="F31276" s="1">
        <v>0.27748274522139699</v>
      </c>
    </row>
    <row r="31277" spans="1:6" x14ac:dyDescent="0.25">
      <c r="A31277" s="2" t="str">
        <f t="shared" si="1133"/>
        <v>17860</v>
      </c>
      <c r="B31277" s="2" t="str">
        <f>"65322"</f>
        <v>65322</v>
      </c>
      <c r="C31277" s="1">
        <v>3.3396345305607999E-3</v>
      </c>
      <c r="D31277" s="1">
        <v>1.1199601791936199E-3</v>
      </c>
      <c r="E31277" s="1">
        <v>2.0703933747412E-4</v>
      </c>
      <c r="F31277" s="1">
        <v>3.0346205799085899E-3</v>
      </c>
    </row>
    <row r="31278" spans="1:6" x14ac:dyDescent="0.25">
      <c r="A31278" s="2" t="str">
        <f t="shared" si="1133"/>
        <v>17860</v>
      </c>
      <c r="B31278" s="2" t="str">
        <f>"65276"</f>
        <v>65276</v>
      </c>
      <c r="C31278" s="1">
        <v>7.9500105019953693E-3</v>
      </c>
      <c r="D31278" s="1">
        <v>3.1110004977600702E-3</v>
      </c>
      <c r="E31278" s="1">
        <v>1.8633540372670801E-3</v>
      </c>
      <c r="F31278" s="1">
        <v>7.3182465814259001E-3</v>
      </c>
    </row>
    <row r="31279" spans="1:6" x14ac:dyDescent="0.25">
      <c r="A31279" s="2" t="str">
        <f t="shared" si="1133"/>
        <v>17860</v>
      </c>
      <c r="B31279" s="2" t="str">
        <f>"65347"</f>
        <v>65347</v>
      </c>
      <c r="C31279" s="1">
        <v>4.6208779668136901E-4</v>
      </c>
      <c r="D31279" s="1">
        <v>1.2444001991040299E-4</v>
      </c>
      <c r="E31279" s="1">
        <v>0</v>
      </c>
      <c r="F31279" s="1">
        <v>4.16335140536239E-4</v>
      </c>
    </row>
    <row r="31280" spans="1:6" x14ac:dyDescent="0.25">
      <c r="A31280" s="2" t="str">
        <f t="shared" si="1133"/>
        <v>17860</v>
      </c>
      <c r="B31280" s="2" t="str">
        <f>"65018"</f>
        <v>65018</v>
      </c>
      <c r="C31280" s="1">
        <v>7.4564167191766399E-4</v>
      </c>
      <c r="D31280" s="1">
        <v>2.4888003982080598E-4</v>
      </c>
      <c r="E31280" s="1">
        <v>0</v>
      </c>
      <c r="F31280" s="1">
        <v>6.7538811686989903E-4</v>
      </c>
    </row>
    <row r="31281" spans="1:6" x14ac:dyDescent="0.25">
      <c r="A31281" s="2" t="str">
        <f t="shared" si="1133"/>
        <v>17860</v>
      </c>
      <c r="B31281" s="2" t="str">
        <f>"65257"</f>
        <v>65257</v>
      </c>
      <c r="C31281" s="1">
        <v>2.0478890989287899E-3</v>
      </c>
      <c r="D31281" s="1">
        <v>1.2444001991040299E-4</v>
      </c>
      <c r="E31281" s="1">
        <v>0</v>
      </c>
      <c r="F31281" s="1">
        <v>1.81337083433562E-3</v>
      </c>
    </row>
    <row r="31282" spans="1:6" x14ac:dyDescent="0.25">
      <c r="A31282" s="2" t="str">
        <f t="shared" si="1133"/>
        <v>17860</v>
      </c>
      <c r="B31282" s="2" t="str">
        <f>"65212"</f>
        <v>65212</v>
      </c>
      <c r="C31282" s="1">
        <v>0</v>
      </c>
      <c r="D31282" s="1">
        <v>1.2444001991040299E-4</v>
      </c>
      <c r="E31282" s="1">
        <v>0</v>
      </c>
      <c r="F31282" s="1">
        <v>9.2518920119164306E-6</v>
      </c>
    </row>
    <row r="31283" spans="1:6" x14ac:dyDescent="0.25">
      <c r="A31283" s="2" t="str">
        <f t="shared" si="1133"/>
        <v>17860</v>
      </c>
      <c r="B31283" s="2" t="str">
        <f>"65243"</f>
        <v>65243</v>
      </c>
      <c r="C31283" s="1">
        <v>3.22411258139046E-3</v>
      </c>
      <c r="D31283" s="1">
        <v>2.4888003982080598E-4</v>
      </c>
      <c r="E31283" s="1">
        <v>4.1407867494824E-4</v>
      </c>
      <c r="F31283" s="1">
        <v>2.8773384157060101E-3</v>
      </c>
    </row>
    <row r="31284" spans="1:6" x14ac:dyDescent="0.25">
      <c r="A31284" s="2" t="str">
        <f t="shared" si="1133"/>
        <v>17860</v>
      </c>
      <c r="B31284" s="2" t="str">
        <f>"65201"</f>
        <v>65201</v>
      </c>
      <c r="C31284" s="1">
        <v>0.21320100819155599</v>
      </c>
      <c r="D31284" s="1">
        <v>0.29641612742658002</v>
      </c>
      <c r="E31284" s="1">
        <v>0.36956521739130399</v>
      </c>
      <c r="F31284" s="1">
        <v>0.22637529374757101</v>
      </c>
    </row>
    <row r="31285" spans="1:6" x14ac:dyDescent="0.25">
      <c r="A31285" s="2" t="str">
        <f t="shared" si="1133"/>
        <v>17860</v>
      </c>
      <c r="B31285" s="2" t="str">
        <f>"65010"</f>
        <v>65010</v>
      </c>
      <c r="C31285" s="1">
        <v>3.2440663726107898E-2</v>
      </c>
      <c r="D31285" s="1">
        <v>1.6674962667993998E-2</v>
      </c>
      <c r="E31285" s="1">
        <v>3.7681159420289802E-2</v>
      </c>
      <c r="F31285" s="1">
        <v>3.1502692300575397E-2</v>
      </c>
    </row>
    <row r="31286" spans="1:6" x14ac:dyDescent="0.25">
      <c r="A31286" s="2" t="str">
        <f t="shared" si="1133"/>
        <v>17860</v>
      </c>
      <c r="B31286" s="2" t="str">
        <f>"65039"</f>
        <v>65039</v>
      </c>
      <c r="C31286" s="1">
        <v>1.0207939508506601E-2</v>
      </c>
      <c r="D31286" s="1">
        <v>1.49328023892483E-3</v>
      </c>
      <c r="E31286" s="1">
        <v>6.2111801242235995E-4</v>
      </c>
      <c r="F31286" s="1">
        <v>9.1316174157615206E-3</v>
      </c>
    </row>
    <row r="31287" spans="1:6" x14ac:dyDescent="0.25">
      <c r="A31287" s="2" t="str">
        <f t="shared" ref="A31287:A31308" si="1134">"14700"</f>
        <v>14700</v>
      </c>
      <c r="B31287" s="2" t="str">
        <f>"65680"</f>
        <v>65680</v>
      </c>
      <c r="C31287" s="1">
        <v>1.5164427511529899E-2</v>
      </c>
      <c r="D31287" s="1">
        <v>1.83534347142108E-3</v>
      </c>
      <c r="E31287" s="1">
        <v>6.2500000000000001E-4</v>
      </c>
      <c r="F31287" s="1">
        <v>1.3529022290885E-2</v>
      </c>
    </row>
    <row r="31288" spans="1:6" x14ac:dyDescent="0.25">
      <c r="A31288" s="2" t="str">
        <f t="shared" si="1134"/>
        <v>14700</v>
      </c>
      <c r="B31288" s="2" t="str">
        <f>"65627"</f>
        <v>65627</v>
      </c>
      <c r="C31288" s="1">
        <v>9.5498295568477998E-3</v>
      </c>
      <c r="D31288" s="1">
        <v>1.3109596224436201E-3</v>
      </c>
      <c r="E31288" s="1">
        <v>6.2500000000000001E-4</v>
      </c>
      <c r="F31288" s="1">
        <v>8.5411608916354E-3</v>
      </c>
    </row>
    <row r="31289" spans="1:6" x14ac:dyDescent="0.25">
      <c r="A31289" s="2" t="str">
        <f t="shared" si="1134"/>
        <v>14700</v>
      </c>
      <c r="B31289" s="2" t="str">
        <f>"65614"</f>
        <v>65614</v>
      </c>
      <c r="C31289" s="1">
        <v>5.7399238018848997E-3</v>
      </c>
      <c r="D31289" s="1">
        <v>2.6219192448872499E-4</v>
      </c>
      <c r="E31289" s="1">
        <v>6.2500000000000001E-4</v>
      </c>
      <c r="F31289" s="1">
        <v>5.0982123151622101E-3</v>
      </c>
    </row>
    <row r="31290" spans="1:6" x14ac:dyDescent="0.25">
      <c r="A31290" s="2" t="str">
        <f t="shared" si="1134"/>
        <v>14700</v>
      </c>
      <c r="B31290" s="2" t="str">
        <f>"65739"</f>
        <v>65739</v>
      </c>
      <c r="C31290" s="1">
        <v>1.86484860637657E-2</v>
      </c>
      <c r="D31290" s="1">
        <v>9.1767173571054E-3</v>
      </c>
      <c r="E31290" s="1">
        <v>2.5000000000000001E-3</v>
      </c>
      <c r="F31290" s="1">
        <v>1.7280953431913399E-2</v>
      </c>
    </row>
    <row r="31291" spans="1:6" x14ac:dyDescent="0.25">
      <c r="A31291" s="2" t="str">
        <f t="shared" si="1134"/>
        <v>14700</v>
      </c>
      <c r="B31291" s="2" t="str">
        <f>"65672"</f>
        <v>65672</v>
      </c>
      <c r="C31291" s="1">
        <v>0.137808301584118</v>
      </c>
      <c r="D31291" s="1">
        <v>0.101730466701625</v>
      </c>
      <c r="E31291" s="1">
        <v>0.28875000000000001</v>
      </c>
      <c r="F31291" s="1">
        <v>0.14010152284263899</v>
      </c>
    </row>
    <row r="31292" spans="1:6" x14ac:dyDescent="0.25">
      <c r="A31292" s="2" t="str">
        <f t="shared" si="1134"/>
        <v>14700</v>
      </c>
      <c r="B31292" s="2" t="str">
        <f>"65731"</f>
        <v>65731</v>
      </c>
      <c r="C31292" s="1">
        <v>3.78484058552235E-3</v>
      </c>
      <c r="D31292" s="1">
        <v>1.3109596224436201E-3</v>
      </c>
      <c r="E31292" s="1">
        <v>6.2500000000000001E-4</v>
      </c>
      <c r="F31292" s="1">
        <v>3.4650187596557002E-3</v>
      </c>
    </row>
    <row r="31293" spans="1:6" x14ac:dyDescent="0.25">
      <c r="A31293" s="2" t="str">
        <f t="shared" si="1134"/>
        <v>14700</v>
      </c>
      <c r="B31293" s="2" t="str">
        <f>"65740"</f>
        <v>65740</v>
      </c>
      <c r="C31293" s="1">
        <v>4.1934028474032402E-2</v>
      </c>
      <c r="D31293" s="1">
        <v>2.6219192448872501E-3</v>
      </c>
      <c r="E31293" s="1">
        <v>1.125E-2</v>
      </c>
      <c r="F31293" s="1">
        <v>3.7541381593467198E-2</v>
      </c>
    </row>
    <row r="31294" spans="1:6" x14ac:dyDescent="0.25">
      <c r="A31294" s="2" t="str">
        <f t="shared" si="1134"/>
        <v>14700</v>
      </c>
      <c r="B31294" s="2" t="str">
        <f>"65673"</f>
        <v>65673</v>
      </c>
      <c r="C31294" s="1">
        <v>3.36123922197714E-2</v>
      </c>
      <c r="D31294" s="1">
        <v>3.5658101730466699E-2</v>
      </c>
      <c r="E31294" s="1">
        <v>1.25E-3</v>
      </c>
      <c r="F31294" s="1">
        <v>3.2641800926947601E-2</v>
      </c>
    </row>
    <row r="31295" spans="1:6" x14ac:dyDescent="0.25">
      <c r="A31295" s="2" t="str">
        <f t="shared" si="1134"/>
        <v>14700</v>
      </c>
      <c r="B31295" s="2" t="str">
        <f>"65726"</f>
        <v>65726</v>
      </c>
      <c r="C31295" s="1">
        <v>3.4439542811309398E-2</v>
      </c>
      <c r="D31295" s="1">
        <v>3.40849501835343E-3</v>
      </c>
      <c r="E31295" s="1">
        <v>3.1250000000000002E-3</v>
      </c>
      <c r="F31295" s="1">
        <v>3.07216949900684E-2</v>
      </c>
    </row>
    <row r="31296" spans="1:6" x14ac:dyDescent="0.25">
      <c r="A31296" s="2" t="str">
        <f t="shared" si="1134"/>
        <v>14700</v>
      </c>
      <c r="B31296" s="2" t="str">
        <f>"65616"</f>
        <v>65616</v>
      </c>
      <c r="C31296" s="1">
        <v>0.36647784239021403</v>
      </c>
      <c r="D31296" s="1">
        <v>0.649187205034084</v>
      </c>
      <c r="E31296" s="1">
        <v>0.63</v>
      </c>
      <c r="F31296" s="1">
        <v>0.399580666519532</v>
      </c>
    </row>
    <row r="31297" spans="1:6" x14ac:dyDescent="0.25">
      <c r="A31297" s="2" t="str">
        <f t="shared" si="1134"/>
        <v>14700</v>
      </c>
      <c r="B31297" s="2" t="str">
        <f>"65615"</f>
        <v>65615</v>
      </c>
      <c r="C31297" s="1">
        <v>5.5569480649689099E-2</v>
      </c>
      <c r="D31297" s="1">
        <v>0.12165705296276801</v>
      </c>
      <c r="E31297" s="1">
        <v>1.25E-3</v>
      </c>
      <c r="F31297" s="1">
        <v>5.92143014787022E-2</v>
      </c>
    </row>
    <row r="31298" spans="1:6" x14ac:dyDescent="0.25">
      <c r="A31298" s="2" t="str">
        <f t="shared" si="1134"/>
        <v>14700</v>
      </c>
      <c r="B31298" s="2" t="str">
        <f>"65761"</f>
        <v>65761</v>
      </c>
      <c r="C31298" s="1">
        <v>2.2007218768798801E-2</v>
      </c>
      <c r="D31298" s="1">
        <v>6.0304142632406901E-3</v>
      </c>
      <c r="E31298" s="1">
        <v>0</v>
      </c>
      <c r="F31298" s="1">
        <v>1.9885235047450801E-2</v>
      </c>
    </row>
    <row r="31299" spans="1:6" x14ac:dyDescent="0.25">
      <c r="A31299" s="2" t="str">
        <f t="shared" si="1134"/>
        <v>14700</v>
      </c>
      <c r="B31299" s="2" t="str">
        <f>"65737"</f>
        <v>65737</v>
      </c>
      <c r="C31299" s="1">
        <v>5.2887507519550798E-3</v>
      </c>
      <c r="D31299" s="1">
        <v>1.3109596224436201E-3</v>
      </c>
      <c r="E31299" s="1">
        <v>0</v>
      </c>
      <c r="F31299" s="1">
        <v>4.7671595674244E-3</v>
      </c>
    </row>
    <row r="31300" spans="1:6" x14ac:dyDescent="0.25">
      <c r="A31300" s="2" t="str">
        <f t="shared" si="1134"/>
        <v>14700</v>
      </c>
      <c r="B31300" s="2" t="str">
        <f>"65733"</f>
        <v>65733</v>
      </c>
      <c r="C31300" s="1">
        <v>1.1705434128734701E-2</v>
      </c>
      <c r="D31300" s="1">
        <v>3.1463030938646999E-3</v>
      </c>
      <c r="E31300" s="1">
        <v>6.2500000000000001E-4</v>
      </c>
      <c r="F31300" s="1">
        <v>1.05936879276097E-2</v>
      </c>
    </row>
    <row r="31301" spans="1:6" x14ac:dyDescent="0.25">
      <c r="A31301" s="2" t="str">
        <f t="shared" si="1134"/>
        <v>14700</v>
      </c>
      <c r="B31301" s="2" t="str">
        <f>"65679"</f>
        <v>65679</v>
      </c>
      <c r="C31301" s="1">
        <v>3.0353920192500501E-2</v>
      </c>
      <c r="D31301" s="1">
        <v>9.4389092815941201E-3</v>
      </c>
      <c r="E31301" s="1">
        <v>1.125E-2</v>
      </c>
      <c r="F31301" s="1">
        <v>2.7918781725888301E-2</v>
      </c>
    </row>
    <row r="31302" spans="1:6" x14ac:dyDescent="0.25">
      <c r="A31302" s="2" t="str">
        <f t="shared" si="1134"/>
        <v>14700</v>
      </c>
      <c r="B31302" s="2" t="str">
        <f>"65653"</f>
        <v>65653</v>
      </c>
      <c r="C31302" s="1">
        <v>6.6197112492480406E-2</v>
      </c>
      <c r="D31302" s="1">
        <v>2.83167278447823E-2</v>
      </c>
      <c r="E31302" s="1">
        <v>3.1875000000000001E-2</v>
      </c>
      <c r="F31302" s="1">
        <v>6.1796512911057103E-2</v>
      </c>
    </row>
    <row r="31303" spans="1:6" x14ac:dyDescent="0.25">
      <c r="A31303" s="2" t="str">
        <f t="shared" si="1134"/>
        <v>14700</v>
      </c>
      <c r="B31303" s="2" t="str">
        <f>"65630"</f>
        <v>65630</v>
      </c>
      <c r="C31303" s="1">
        <v>4.7623821937036202E-4</v>
      </c>
      <c r="D31303" s="1">
        <v>0</v>
      </c>
      <c r="E31303" s="1">
        <v>0</v>
      </c>
      <c r="F31303" s="1">
        <v>4.1933348046788703E-4</v>
      </c>
    </row>
    <row r="31304" spans="1:6" x14ac:dyDescent="0.25">
      <c r="A31304" s="2" t="str">
        <f t="shared" si="1134"/>
        <v>14700</v>
      </c>
      <c r="B31304" s="2" t="str">
        <f>"65771"</f>
        <v>65771</v>
      </c>
      <c r="C31304" s="1">
        <v>1.6417685983557199E-2</v>
      </c>
      <c r="D31304" s="1">
        <v>6.0304142632406901E-3</v>
      </c>
      <c r="E31304" s="1">
        <v>6.2500000000000001E-4</v>
      </c>
      <c r="F31304" s="1">
        <v>1.49856543809313E-2</v>
      </c>
    </row>
    <row r="31305" spans="1:6" x14ac:dyDescent="0.25">
      <c r="A31305" s="2" t="str">
        <f t="shared" si="1134"/>
        <v>14700</v>
      </c>
      <c r="B31305" s="2" t="str">
        <f>"65759"</f>
        <v>65759</v>
      </c>
      <c r="C31305" s="1">
        <v>1.20312813314618E-2</v>
      </c>
      <c r="D31305" s="1">
        <v>1.83534347142108E-3</v>
      </c>
      <c r="E31305" s="1">
        <v>1.25E-3</v>
      </c>
      <c r="F31305" s="1">
        <v>1.07923195762524E-2</v>
      </c>
    </row>
    <row r="31306" spans="1:6" x14ac:dyDescent="0.25">
      <c r="A31306" s="2" t="str">
        <f t="shared" si="1134"/>
        <v>14700</v>
      </c>
      <c r="B31306" s="2" t="str">
        <f>"65744"</f>
        <v>65744</v>
      </c>
      <c r="C31306" s="1">
        <v>1.62923601363545E-3</v>
      </c>
      <c r="D31306" s="1">
        <v>7.8657577346617704E-4</v>
      </c>
      <c r="E31306" s="1">
        <v>6.2500000000000001E-4</v>
      </c>
      <c r="F31306" s="1">
        <v>1.5228426395938999E-3</v>
      </c>
    </row>
    <row r="31307" spans="1:6" x14ac:dyDescent="0.25">
      <c r="A31307" s="2" t="str">
        <f t="shared" si="1134"/>
        <v>14700</v>
      </c>
      <c r="B31307" s="2" t="str">
        <f>"65611"</f>
        <v>65611</v>
      </c>
      <c r="C31307" s="1">
        <v>8.3717665931421596E-3</v>
      </c>
      <c r="D31307" s="1">
        <v>1.83534347142108E-3</v>
      </c>
      <c r="E31307" s="1">
        <v>0</v>
      </c>
      <c r="F31307" s="1">
        <v>7.5259324652394597E-3</v>
      </c>
    </row>
    <row r="31308" spans="1:6" x14ac:dyDescent="0.25">
      <c r="A31308" s="2" t="str">
        <f t="shared" si="1134"/>
        <v>14700</v>
      </c>
      <c r="B31308" s="2" t="str">
        <f>"65608"</f>
        <v>65608</v>
      </c>
      <c r="C31308" s="1">
        <v>0.102792259875676</v>
      </c>
      <c r="D31308" s="1">
        <v>1.31095962244362E-2</v>
      </c>
      <c r="E31308" s="1">
        <v>1.3125E-2</v>
      </c>
      <c r="F31308" s="1">
        <v>9.2076804237475093E-2</v>
      </c>
    </row>
    <row r="31309" spans="1:6" x14ac:dyDescent="0.25">
      <c r="A31309" s="2" t="str">
        <f t="shared" ref="A31309:A31318" si="1135">"19980"</f>
        <v>19980</v>
      </c>
      <c r="B31309" s="2" t="str">
        <f>"67865"</f>
        <v>67865</v>
      </c>
      <c r="C31309" s="1">
        <v>7.1920191787178001E-3</v>
      </c>
      <c r="D31309" s="1">
        <v>2.2255192878338202E-3</v>
      </c>
      <c r="E31309" s="1">
        <v>0</v>
      </c>
      <c r="F31309" s="1">
        <v>6.2963205876565799E-3</v>
      </c>
    </row>
    <row r="31310" spans="1:6" x14ac:dyDescent="0.25">
      <c r="A31310" s="2" t="str">
        <f t="shared" si="1135"/>
        <v>19980</v>
      </c>
      <c r="B31310" s="2" t="str">
        <f>"67841"</f>
        <v>67841</v>
      </c>
      <c r="C31310" s="1">
        <v>3.2480086613564298E-3</v>
      </c>
      <c r="D31310" s="1">
        <v>0</v>
      </c>
      <c r="E31310" s="1">
        <v>0</v>
      </c>
      <c r="F31310" s="1">
        <v>2.7546402570997499E-3</v>
      </c>
    </row>
    <row r="31311" spans="1:6" x14ac:dyDescent="0.25">
      <c r="A31311" s="2" t="str">
        <f t="shared" si="1135"/>
        <v>19980</v>
      </c>
      <c r="B31311" s="2" t="str">
        <f>"67882"</f>
        <v>67882</v>
      </c>
      <c r="C31311" s="1">
        <v>1.2682700487201199E-2</v>
      </c>
      <c r="D31311" s="1">
        <v>5.1928783382789298E-3</v>
      </c>
      <c r="E31311" s="1">
        <v>0</v>
      </c>
      <c r="F31311" s="1">
        <v>1.12153210467632E-2</v>
      </c>
    </row>
    <row r="31312" spans="1:6" x14ac:dyDescent="0.25">
      <c r="A31312" s="2" t="str">
        <f t="shared" si="1135"/>
        <v>19980</v>
      </c>
      <c r="B31312" s="2" t="str">
        <f>"67876"</f>
        <v>67876</v>
      </c>
      <c r="C31312" s="1">
        <v>3.6501430670481699E-2</v>
      </c>
      <c r="D31312" s="1">
        <v>2.2255192878338201E-2</v>
      </c>
      <c r="E31312" s="1">
        <v>7.2314049586776801E-3</v>
      </c>
      <c r="F31312" s="1">
        <v>3.3383616449137503E-2</v>
      </c>
    </row>
    <row r="31313" spans="1:6" x14ac:dyDescent="0.25">
      <c r="A31313" s="2" t="str">
        <f t="shared" si="1135"/>
        <v>19980</v>
      </c>
      <c r="B31313" s="2" t="str">
        <f>"67835"</f>
        <v>67835</v>
      </c>
      <c r="C31313" s="1">
        <v>7.7333539556105401E-5</v>
      </c>
      <c r="D31313" s="1">
        <v>0</v>
      </c>
      <c r="E31313" s="1">
        <v>0</v>
      </c>
      <c r="F31313" s="1">
        <v>6.5586672788089405E-5</v>
      </c>
    </row>
    <row r="31314" spans="1:6" x14ac:dyDescent="0.25">
      <c r="A31314" s="2" t="str">
        <f t="shared" si="1135"/>
        <v>19980</v>
      </c>
      <c r="B31314" s="2" t="str">
        <f>"67834"</f>
        <v>67834</v>
      </c>
      <c r="C31314" s="1">
        <v>3.6501430670481699E-2</v>
      </c>
      <c r="D31314" s="1">
        <v>2.9673590504451001E-3</v>
      </c>
      <c r="E31314" s="1">
        <v>3.0991735537190001E-3</v>
      </c>
      <c r="F31314" s="1">
        <v>3.1416016265494798E-2</v>
      </c>
    </row>
    <row r="31315" spans="1:6" x14ac:dyDescent="0.25">
      <c r="A31315" s="2" t="str">
        <f t="shared" si="1135"/>
        <v>19980</v>
      </c>
      <c r="B31315" s="2" t="str">
        <f>"67842"</f>
        <v>67842</v>
      </c>
      <c r="C31315" s="1">
        <v>1.73227128605676E-2</v>
      </c>
      <c r="D31315" s="1">
        <v>2.9673590504451001E-3</v>
      </c>
      <c r="E31315" s="1">
        <v>1.13636363636363E-2</v>
      </c>
      <c r="F31315" s="1">
        <v>1.5675214796353299E-2</v>
      </c>
    </row>
    <row r="31316" spans="1:6" x14ac:dyDescent="0.25">
      <c r="A31316" s="2" t="str">
        <f t="shared" si="1135"/>
        <v>19980</v>
      </c>
      <c r="B31316" s="2" t="str">
        <f>"67563"</f>
        <v>67563</v>
      </c>
      <c r="C31316" s="1">
        <v>3.4026757404686399E-3</v>
      </c>
      <c r="D31316" s="1">
        <v>7.4183976261127502E-4</v>
      </c>
      <c r="E31316" s="1">
        <v>0</v>
      </c>
      <c r="F31316" s="1">
        <v>2.9514002754640199E-3</v>
      </c>
    </row>
    <row r="31317" spans="1:6" x14ac:dyDescent="0.25">
      <c r="A31317" s="2" t="str">
        <f t="shared" si="1135"/>
        <v>19980</v>
      </c>
      <c r="B31317" s="2" t="str">
        <f>"67844"</f>
        <v>67844</v>
      </c>
      <c r="C31317" s="1">
        <v>1.8560049493465301E-3</v>
      </c>
      <c r="D31317" s="1">
        <v>0</v>
      </c>
      <c r="E31317" s="1">
        <v>0</v>
      </c>
      <c r="F31317" s="1">
        <v>1.57408014691414E-3</v>
      </c>
    </row>
    <row r="31318" spans="1:6" x14ac:dyDescent="0.25">
      <c r="A31318" s="2" t="str">
        <f t="shared" si="1135"/>
        <v>19980</v>
      </c>
      <c r="B31318" s="2" t="str">
        <f>"67801"</f>
        <v>67801</v>
      </c>
      <c r="C31318" s="1">
        <v>0.88121568324182098</v>
      </c>
      <c r="D31318" s="1">
        <v>0.96364985163204697</v>
      </c>
      <c r="E31318" s="1">
        <v>0.97830578512396604</v>
      </c>
      <c r="F31318" s="1">
        <v>0.894667803502328</v>
      </c>
    </row>
    <row r="31319" spans="1:6" x14ac:dyDescent="0.25">
      <c r="A31319" s="2" t="str">
        <f t="shared" ref="A31319:A31328" si="1136">"23780"</f>
        <v>23780</v>
      </c>
      <c r="B31319" s="2" t="str">
        <f>"67853"</f>
        <v>67853</v>
      </c>
      <c r="C31319" s="1">
        <v>7.73480662983425E-4</v>
      </c>
      <c r="D31319" s="1">
        <v>4.6061722708429199E-4</v>
      </c>
      <c r="E31319" s="1">
        <v>0</v>
      </c>
      <c r="F31319" s="1">
        <v>6.9845408828459604E-4</v>
      </c>
    </row>
    <row r="31320" spans="1:6" x14ac:dyDescent="0.25">
      <c r="A31320" s="2" t="str">
        <f t="shared" si="1136"/>
        <v>23780</v>
      </c>
      <c r="B31320" s="2" t="str">
        <f>"67860"</f>
        <v>67860</v>
      </c>
      <c r="C31320" s="1">
        <v>6.1436464088397702E-2</v>
      </c>
      <c r="D31320" s="1">
        <v>2.9479502533394701E-2</v>
      </c>
      <c r="E31320" s="1">
        <v>2.8215767634854699E-2</v>
      </c>
      <c r="F31320" s="1">
        <v>5.6341963121624102E-2</v>
      </c>
    </row>
    <row r="31321" spans="1:6" x14ac:dyDescent="0.25">
      <c r="A31321" s="2" t="str">
        <f t="shared" si="1136"/>
        <v>23780</v>
      </c>
      <c r="B31321" s="2" t="str">
        <f>"67835"</f>
        <v>67835</v>
      </c>
      <c r="C31321" s="1">
        <v>5.3038674033149104E-3</v>
      </c>
      <c r="D31321" s="1">
        <v>1.38185168125287E-3</v>
      </c>
      <c r="E31321" s="1">
        <v>8.2987551867219904E-4</v>
      </c>
      <c r="F31321" s="1">
        <v>4.6563605885639701E-3</v>
      </c>
    </row>
    <row r="31322" spans="1:6" x14ac:dyDescent="0.25">
      <c r="A31322" s="2" t="str">
        <f t="shared" si="1136"/>
        <v>23780</v>
      </c>
      <c r="B31322" s="2" t="str">
        <f>"67839"</f>
        <v>67839</v>
      </c>
      <c r="C31322" s="1">
        <v>5.5248618784530299E-5</v>
      </c>
      <c r="D31322" s="1">
        <v>0</v>
      </c>
      <c r="E31322" s="1">
        <v>0</v>
      </c>
      <c r="F31322" s="1">
        <v>4.6563605885639702E-5</v>
      </c>
    </row>
    <row r="31323" spans="1:6" x14ac:dyDescent="0.25">
      <c r="A31323" s="2" t="str">
        <f t="shared" si="1136"/>
        <v>23780</v>
      </c>
      <c r="B31323" s="2" t="str">
        <f>"67851"</f>
        <v>67851</v>
      </c>
      <c r="C31323" s="1">
        <v>5.0607734806629799E-2</v>
      </c>
      <c r="D31323" s="1">
        <v>1.0594196222938701E-2</v>
      </c>
      <c r="E31323" s="1">
        <v>1.9087136929460499E-2</v>
      </c>
      <c r="F31323" s="1">
        <v>4.4794188861985398E-2</v>
      </c>
    </row>
    <row r="31324" spans="1:6" x14ac:dyDescent="0.25">
      <c r="A31324" s="2" t="str">
        <f t="shared" si="1136"/>
        <v>23780</v>
      </c>
      <c r="B31324" s="2" t="str">
        <f>"67838"</f>
        <v>67838</v>
      </c>
      <c r="C31324" s="1">
        <v>1.9116022099447499E-2</v>
      </c>
      <c r="D31324" s="1">
        <v>6.9092584062643899E-3</v>
      </c>
      <c r="E31324" s="1">
        <v>7.4688796680497903E-3</v>
      </c>
      <c r="F31324" s="1">
        <v>1.7228534177686699E-2</v>
      </c>
    </row>
    <row r="31325" spans="1:6" x14ac:dyDescent="0.25">
      <c r="A31325" s="2" t="str">
        <f t="shared" si="1136"/>
        <v>23780</v>
      </c>
      <c r="B31325" s="2" t="str">
        <f>"67871"</f>
        <v>67871</v>
      </c>
      <c r="C31325" s="1">
        <v>1.54696132596685E-3</v>
      </c>
      <c r="D31325" s="1">
        <v>9.2123445416858495E-4</v>
      </c>
      <c r="E31325" s="1">
        <v>0</v>
      </c>
      <c r="F31325" s="1">
        <v>1.3969081765691899E-3</v>
      </c>
    </row>
    <row r="31326" spans="1:6" x14ac:dyDescent="0.25">
      <c r="A31326" s="2" t="str">
        <f t="shared" si="1136"/>
        <v>23780</v>
      </c>
      <c r="B31326" s="2" t="str">
        <f>"67868"</f>
        <v>67868</v>
      </c>
      <c r="C31326" s="1">
        <v>6.0773480662983399E-3</v>
      </c>
      <c r="D31326" s="1">
        <v>3.2243205895900501E-3</v>
      </c>
      <c r="E31326" s="1">
        <v>2.48962655601659E-3</v>
      </c>
      <c r="F31326" s="1">
        <v>5.5876327062767701E-3</v>
      </c>
    </row>
    <row r="31327" spans="1:6" x14ac:dyDescent="0.25">
      <c r="A31327" s="2" t="str">
        <f t="shared" si="1136"/>
        <v>23780</v>
      </c>
      <c r="B31327" s="2" t="str">
        <f>"67846"</f>
        <v>67846</v>
      </c>
      <c r="C31327" s="1">
        <v>0.85486187845303796</v>
      </c>
      <c r="D31327" s="1">
        <v>0.947029018885306</v>
      </c>
      <c r="E31327" s="1">
        <v>0.94190871369294604</v>
      </c>
      <c r="F31327" s="1">
        <v>0.86906314024957998</v>
      </c>
    </row>
    <row r="31328" spans="1:6" x14ac:dyDescent="0.25">
      <c r="A31328" s="2" t="str">
        <f t="shared" si="1136"/>
        <v>23780</v>
      </c>
      <c r="B31328" s="2" t="str">
        <f>"67880"</f>
        <v>67880</v>
      </c>
      <c r="C31328" s="1">
        <v>2.2099447513812101E-4</v>
      </c>
      <c r="D31328" s="1">
        <v>0</v>
      </c>
      <c r="E31328" s="1">
        <v>0</v>
      </c>
      <c r="F31328" s="1">
        <v>1.86254423542559E-4</v>
      </c>
    </row>
    <row r="31329" spans="1:6" x14ac:dyDescent="0.25">
      <c r="A31329" s="2" t="str">
        <f t="shared" ref="A31329:A31360" si="1137">"30700"</f>
        <v>30700</v>
      </c>
      <c r="B31329" s="2" t="str">
        <f>"68460"</f>
        <v>68460</v>
      </c>
      <c r="C31329" s="1">
        <v>2.6915364635902401E-5</v>
      </c>
      <c r="D31329" s="1">
        <v>0</v>
      </c>
      <c r="E31329" s="1">
        <v>0</v>
      </c>
      <c r="F31329" s="1">
        <v>2.3385111868528899E-5</v>
      </c>
    </row>
    <row r="31330" spans="1:6" x14ac:dyDescent="0.25">
      <c r="A31330" s="2" t="str">
        <f t="shared" si="1137"/>
        <v>30700</v>
      </c>
      <c r="B31330" s="2" t="str">
        <f>"68419"</f>
        <v>68419</v>
      </c>
      <c r="C31330" s="1">
        <v>7.9400325675911998E-4</v>
      </c>
      <c r="D31330" s="1">
        <v>4.5092439500977002E-4</v>
      </c>
      <c r="E31330" s="1">
        <v>1.09541023113155E-4</v>
      </c>
      <c r="F31330" s="1">
        <v>7.3078474589152796E-4</v>
      </c>
    </row>
    <row r="31331" spans="1:6" x14ac:dyDescent="0.25">
      <c r="A31331" s="2" t="str">
        <f t="shared" si="1137"/>
        <v>30700</v>
      </c>
      <c r="B31331" s="2" t="str">
        <f>"68438"</f>
        <v>68438</v>
      </c>
      <c r="C31331" s="1">
        <v>4.6429003996931601E-4</v>
      </c>
      <c r="D31331" s="1">
        <v>0</v>
      </c>
      <c r="E31331" s="1">
        <v>1.09541023113155E-4</v>
      </c>
      <c r="F31331" s="1">
        <v>4.0923945769925501E-4</v>
      </c>
    </row>
    <row r="31332" spans="1:6" x14ac:dyDescent="0.25">
      <c r="A31332" s="2" t="str">
        <f t="shared" si="1137"/>
        <v>30700</v>
      </c>
      <c r="B31332" s="2" t="str">
        <f>"68430"</f>
        <v>68430</v>
      </c>
      <c r="C31332" s="1">
        <v>5.2013942158881301E-3</v>
      </c>
      <c r="D31332" s="1">
        <v>2.5552382383886899E-3</v>
      </c>
      <c r="E31332" s="1">
        <v>1.20495125424471E-3</v>
      </c>
      <c r="F31332" s="1">
        <v>4.7822553771141602E-3</v>
      </c>
    </row>
    <row r="31333" spans="1:6" x14ac:dyDescent="0.25">
      <c r="A31333" s="2" t="str">
        <f t="shared" si="1137"/>
        <v>30700</v>
      </c>
      <c r="B31333" s="2" t="str">
        <f>"68364"</f>
        <v>68364</v>
      </c>
      <c r="C31333" s="1">
        <v>2.2878059940516999E-4</v>
      </c>
      <c r="D31333" s="1">
        <v>0</v>
      </c>
      <c r="E31333" s="1">
        <v>1.09541023113155E-4</v>
      </c>
      <c r="F31333" s="1">
        <v>2.0461972884962699E-4</v>
      </c>
    </row>
    <row r="31334" spans="1:6" x14ac:dyDescent="0.25">
      <c r="A31334" s="2" t="str">
        <f t="shared" si="1137"/>
        <v>30700</v>
      </c>
      <c r="B31334" s="2" t="str">
        <f>"68368"</f>
        <v>68368</v>
      </c>
      <c r="C31334" s="1">
        <v>1.58800651351824E-3</v>
      </c>
      <c r="D31334" s="1">
        <v>2.2546219750488501E-4</v>
      </c>
      <c r="E31334" s="1">
        <v>1.09541023113155E-4</v>
      </c>
      <c r="F31334" s="1">
        <v>1.4031067121117299E-3</v>
      </c>
    </row>
    <row r="31335" spans="1:6" x14ac:dyDescent="0.25">
      <c r="A31335" s="2" t="str">
        <f t="shared" si="1137"/>
        <v>30700</v>
      </c>
      <c r="B31335" s="2" t="str">
        <f>"68510"</f>
        <v>68510</v>
      </c>
      <c r="C31335" s="1">
        <v>6.6117593228094199E-2</v>
      </c>
      <c r="D31335" s="1">
        <v>8.7779948895235202E-2</v>
      </c>
      <c r="E31335" s="1">
        <v>8.4894292912695804E-2</v>
      </c>
      <c r="F31335" s="1">
        <v>6.8804845395179101E-2</v>
      </c>
    </row>
    <row r="31336" spans="1:6" x14ac:dyDescent="0.25">
      <c r="A31336" s="2" t="str">
        <f t="shared" si="1137"/>
        <v>30700</v>
      </c>
      <c r="B31336" s="2" t="str">
        <f>"68507"</f>
        <v>68507</v>
      </c>
      <c r="C31336" s="1">
        <v>4.7949722098860101E-2</v>
      </c>
      <c r="D31336" s="1">
        <v>4.0282579287539401E-2</v>
      </c>
      <c r="E31336" s="1">
        <v>3.6038996604228199E-2</v>
      </c>
      <c r="F31336" s="1">
        <v>4.6717607235353599E-2</v>
      </c>
    </row>
    <row r="31337" spans="1:6" x14ac:dyDescent="0.25">
      <c r="A31337" s="2" t="str">
        <f t="shared" si="1137"/>
        <v>30700</v>
      </c>
      <c r="B31337" s="2" t="str">
        <f>"68529"</f>
        <v>68529</v>
      </c>
      <c r="C31337" s="1">
        <v>2.0186523476926799E-3</v>
      </c>
      <c r="D31337" s="1">
        <v>7.5905606493311198E-3</v>
      </c>
      <c r="E31337" s="1">
        <v>2.19082046226311E-4</v>
      </c>
      <c r="F31337" s="1">
        <v>2.35605002075428E-3</v>
      </c>
    </row>
    <row r="31338" spans="1:6" x14ac:dyDescent="0.25">
      <c r="A31338" s="2" t="str">
        <f t="shared" si="1137"/>
        <v>30700</v>
      </c>
      <c r="B31338" s="2" t="str">
        <f>"68527"</f>
        <v>68527</v>
      </c>
      <c r="C31338" s="1">
        <v>5.1004615985034999E-3</v>
      </c>
      <c r="D31338" s="1">
        <v>5.26078460844731E-4</v>
      </c>
      <c r="E31338" s="1">
        <v>1.09541023113155E-4</v>
      </c>
      <c r="F31338" s="1">
        <v>4.4782489228232802E-3</v>
      </c>
    </row>
    <row r="31339" spans="1:6" x14ac:dyDescent="0.25">
      <c r="A31339" s="2" t="str">
        <f t="shared" si="1137"/>
        <v>30700</v>
      </c>
      <c r="B31339" s="2" t="str">
        <f>"68317"</f>
        <v>68317</v>
      </c>
      <c r="C31339" s="1">
        <v>5.1341058042983804E-3</v>
      </c>
      <c r="D31339" s="1">
        <v>8.2669472418457797E-4</v>
      </c>
      <c r="E31339" s="1">
        <v>8.7632818490524704E-4</v>
      </c>
      <c r="F31339" s="1">
        <v>4.5717893702974001E-3</v>
      </c>
    </row>
    <row r="31340" spans="1:6" x14ac:dyDescent="0.25">
      <c r="A31340" s="2" t="str">
        <f t="shared" si="1137"/>
        <v>30700</v>
      </c>
      <c r="B31340" s="2" t="str">
        <f>"68428"</f>
        <v>68428</v>
      </c>
      <c r="C31340" s="1">
        <v>4.3804755944931101E-3</v>
      </c>
      <c r="D31340" s="1">
        <v>1.3527731850293101E-3</v>
      </c>
      <c r="E31340" s="1">
        <v>7.6678716179209101E-4</v>
      </c>
      <c r="F31340" s="1">
        <v>3.9520839057813799E-3</v>
      </c>
    </row>
    <row r="31341" spans="1:6" x14ac:dyDescent="0.25">
      <c r="A31341" s="2" t="str">
        <f t="shared" si="1137"/>
        <v>30700</v>
      </c>
      <c r="B31341" s="2" t="str">
        <f>"68405"</f>
        <v>68405</v>
      </c>
      <c r="C31341" s="1">
        <v>8.8551549652118901E-3</v>
      </c>
      <c r="D31341" s="1">
        <v>5.7868630692920397E-3</v>
      </c>
      <c r="E31341" s="1">
        <v>6.4629203636761903E-3</v>
      </c>
      <c r="F31341" s="1">
        <v>8.4887956082759907E-3</v>
      </c>
    </row>
    <row r="31342" spans="1:6" x14ac:dyDescent="0.25">
      <c r="A31342" s="2" t="str">
        <f t="shared" si="1137"/>
        <v>30700</v>
      </c>
      <c r="B31342" s="2" t="str">
        <f>"68343"</f>
        <v>68343</v>
      </c>
      <c r="C31342" s="1">
        <v>3.3644205794877997E-5</v>
      </c>
      <c r="D31342" s="1">
        <v>2.2546219750488501E-4</v>
      </c>
      <c r="E31342" s="1">
        <v>0</v>
      </c>
      <c r="F31342" s="1">
        <v>4.6770223737057799E-5</v>
      </c>
    </row>
    <row r="31343" spans="1:6" x14ac:dyDescent="0.25">
      <c r="A31343" s="2" t="str">
        <f t="shared" si="1137"/>
        <v>30700</v>
      </c>
      <c r="B31343" s="2" t="str">
        <f>"68366"</f>
        <v>68366</v>
      </c>
      <c r="C31343" s="1">
        <v>3.0952669331287702E-4</v>
      </c>
      <c r="D31343" s="1">
        <v>0</v>
      </c>
      <c r="E31343" s="1">
        <v>0</v>
      </c>
      <c r="F31343" s="1">
        <v>2.68928786488082E-4</v>
      </c>
    </row>
    <row r="31344" spans="1:6" x14ac:dyDescent="0.25">
      <c r="A31344" s="2" t="str">
        <f t="shared" si="1137"/>
        <v>30700</v>
      </c>
      <c r="B31344" s="2" t="str">
        <f>"68333"</f>
        <v>68333</v>
      </c>
      <c r="C31344" s="1">
        <v>2.3618232468004298E-3</v>
      </c>
      <c r="D31344" s="1">
        <v>3.7577032917480801E-4</v>
      </c>
      <c r="E31344" s="1">
        <v>1.0954102311315501E-3</v>
      </c>
      <c r="F31344" s="1">
        <v>2.1397377359703902E-3</v>
      </c>
    </row>
    <row r="31345" spans="1:6" x14ac:dyDescent="0.25">
      <c r="A31345" s="2" t="str">
        <f t="shared" si="1137"/>
        <v>30700</v>
      </c>
      <c r="B31345" s="2" t="str">
        <f>"68508"</f>
        <v>68508</v>
      </c>
      <c r="C31345" s="1">
        <v>4.14362038569717E-2</v>
      </c>
      <c r="D31345" s="1">
        <v>0.127010371261085</v>
      </c>
      <c r="E31345" s="1">
        <v>0.12082374849381</v>
      </c>
      <c r="F31345" s="1">
        <v>5.2330034083800499E-2</v>
      </c>
    </row>
    <row r="31346" spans="1:6" x14ac:dyDescent="0.25">
      <c r="A31346" s="2" t="str">
        <f t="shared" si="1137"/>
        <v>30700</v>
      </c>
      <c r="B31346" s="2" t="str">
        <f>"68542"</f>
        <v>68542</v>
      </c>
      <c r="C31346" s="1">
        <v>4.4612216884008203E-3</v>
      </c>
      <c r="D31346" s="1">
        <v>2.6679693371411298E-2</v>
      </c>
      <c r="E31346" s="1">
        <v>2.19082046226311E-4</v>
      </c>
      <c r="F31346" s="1">
        <v>5.9632035264748596E-3</v>
      </c>
    </row>
    <row r="31347" spans="1:6" x14ac:dyDescent="0.25">
      <c r="A31347" s="2" t="str">
        <f t="shared" si="1137"/>
        <v>30700</v>
      </c>
      <c r="B31347" s="2" t="str">
        <f>"68462"</f>
        <v>68462</v>
      </c>
      <c r="C31347" s="1">
        <v>1.17754720282073E-2</v>
      </c>
      <c r="D31347" s="1">
        <v>6.1626333984668496E-3</v>
      </c>
      <c r="E31347" s="1">
        <v>4.8198050169788497E-3</v>
      </c>
      <c r="F31347" s="1">
        <v>1.096761746634E-2</v>
      </c>
    </row>
    <row r="31348" spans="1:6" x14ac:dyDescent="0.25">
      <c r="A31348" s="2" t="str">
        <f t="shared" si="1137"/>
        <v>30700</v>
      </c>
      <c r="B31348" s="2" t="str">
        <f>"68501"</f>
        <v>68501</v>
      </c>
      <c r="C31348" s="1">
        <v>1.16812682519816E-2</v>
      </c>
      <c r="D31348" s="1">
        <v>4.4716669171802101E-2</v>
      </c>
      <c r="E31348" s="1">
        <v>1.09541023113155E-4</v>
      </c>
      <c r="F31348" s="1">
        <v>1.36335202193523E-2</v>
      </c>
    </row>
    <row r="31349" spans="1:6" x14ac:dyDescent="0.25">
      <c r="A31349" s="2" t="str">
        <f t="shared" si="1137"/>
        <v>30700</v>
      </c>
      <c r="B31349" s="2" t="str">
        <f>"68331"</f>
        <v>68331</v>
      </c>
      <c r="C31349" s="1">
        <v>6.7288411589756001E-6</v>
      </c>
      <c r="D31349" s="1">
        <v>0</v>
      </c>
      <c r="E31349" s="1">
        <v>0</v>
      </c>
      <c r="F31349" s="1">
        <v>5.8462779671322198E-6</v>
      </c>
    </row>
    <row r="31350" spans="1:6" x14ac:dyDescent="0.25">
      <c r="A31350" s="2" t="str">
        <f t="shared" si="1137"/>
        <v>30700</v>
      </c>
      <c r="B31350" s="2" t="str">
        <f>"68360"</f>
        <v>68360</v>
      </c>
      <c r="C31350" s="1">
        <v>1.7629563836516001E-3</v>
      </c>
      <c r="D31350" s="1">
        <v>3.0061626333984599E-4</v>
      </c>
      <c r="E31350" s="1">
        <v>2.19082046226311E-4</v>
      </c>
      <c r="F31350" s="1">
        <v>1.5668024951914299E-3</v>
      </c>
    </row>
    <row r="31351" spans="1:6" x14ac:dyDescent="0.25">
      <c r="A31351" s="2" t="str">
        <f t="shared" si="1137"/>
        <v>30700</v>
      </c>
      <c r="B31351" s="2" t="str">
        <f>"68358"</f>
        <v>68358</v>
      </c>
      <c r="C31351" s="1">
        <v>3.92291439568277E-3</v>
      </c>
      <c r="D31351" s="1">
        <v>7.5154065834961601E-4</v>
      </c>
      <c r="E31351" s="1">
        <v>1.20495125424471E-3</v>
      </c>
      <c r="F31351" s="1">
        <v>3.5311518921478601E-3</v>
      </c>
    </row>
    <row r="31352" spans="1:6" x14ac:dyDescent="0.25">
      <c r="A31352" s="2" t="str">
        <f t="shared" si="1137"/>
        <v>30700</v>
      </c>
      <c r="B31352" s="2" t="str">
        <f>"68339"</f>
        <v>68339</v>
      </c>
      <c r="C31352" s="1">
        <v>4.0238470130674001E-3</v>
      </c>
      <c r="D31352" s="1">
        <v>7.5154065834961607E-5</v>
      </c>
      <c r="E31352" s="1">
        <v>6.5724613867893498E-4</v>
      </c>
      <c r="F31352" s="1">
        <v>3.5369981701149902E-3</v>
      </c>
    </row>
    <row r="31353" spans="1:6" x14ac:dyDescent="0.25">
      <c r="A31353" s="2" t="str">
        <f t="shared" si="1137"/>
        <v>30700</v>
      </c>
      <c r="B31353" s="2" t="str">
        <f>"68336"</f>
        <v>68336</v>
      </c>
      <c r="C31353" s="1">
        <v>1.64856608394902E-3</v>
      </c>
      <c r="D31353" s="1">
        <v>2.2546219750488501E-4</v>
      </c>
      <c r="E31353" s="1">
        <v>1.09541023113155E-4</v>
      </c>
      <c r="F31353" s="1">
        <v>1.45572321381592E-3</v>
      </c>
    </row>
    <row r="31354" spans="1:6" x14ac:dyDescent="0.25">
      <c r="A31354" s="2" t="str">
        <f t="shared" si="1137"/>
        <v>30700</v>
      </c>
      <c r="B31354" s="2" t="str">
        <f>"68517"</f>
        <v>68517</v>
      </c>
      <c r="C31354" s="1">
        <v>1.3255817083181901E-3</v>
      </c>
      <c r="D31354" s="1">
        <v>2.0291597775439602E-3</v>
      </c>
      <c r="E31354" s="1">
        <v>6.5724613867893498E-4</v>
      </c>
      <c r="F31354" s="1">
        <v>1.34464393244041E-3</v>
      </c>
    </row>
    <row r="31355" spans="1:6" x14ac:dyDescent="0.25">
      <c r="A31355" s="2" t="str">
        <f t="shared" si="1137"/>
        <v>30700</v>
      </c>
      <c r="B31355" s="2" t="str">
        <f>"68465"</f>
        <v>68465</v>
      </c>
      <c r="C31355" s="1">
        <v>4.7101888112829197E-5</v>
      </c>
      <c r="D31355" s="1">
        <v>0</v>
      </c>
      <c r="E31355" s="1">
        <v>0</v>
      </c>
      <c r="F31355" s="1">
        <v>4.0923945769925498E-5</v>
      </c>
    </row>
    <row r="31356" spans="1:6" x14ac:dyDescent="0.25">
      <c r="A31356" s="2" t="str">
        <f t="shared" si="1137"/>
        <v>30700</v>
      </c>
      <c r="B31356" s="2" t="str">
        <f>"68502"</f>
        <v>68502</v>
      </c>
      <c r="C31356" s="1">
        <v>8.1721775875758601E-2</v>
      </c>
      <c r="D31356" s="1">
        <v>7.1020592214038697E-2</v>
      </c>
      <c r="E31356" s="1">
        <v>0.17186986526454101</v>
      </c>
      <c r="F31356" s="1">
        <v>8.5700588720191206E-2</v>
      </c>
    </row>
    <row r="31357" spans="1:6" x14ac:dyDescent="0.25">
      <c r="A31357" s="2" t="str">
        <f t="shared" si="1137"/>
        <v>30700</v>
      </c>
      <c r="B31357" s="2" t="str">
        <f>"68017"</f>
        <v>68017</v>
      </c>
      <c r="C31357" s="1">
        <v>8.0073209791809601E-4</v>
      </c>
      <c r="D31357" s="1">
        <v>1.50308131669923E-4</v>
      </c>
      <c r="E31357" s="1">
        <v>1.09541023113155E-4</v>
      </c>
      <c r="F31357" s="1">
        <v>7.1324591199013103E-4</v>
      </c>
    </row>
    <row r="31358" spans="1:6" x14ac:dyDescent="0.25">
      <c r="A31358" s="2" t="str">
        <f t="shared" si="1137"/>
        <v>30700</v>
      </c>
      <c r="B31358" s="2" t="str">
        <f>"68669"</f>
        <v>68669</v>
      </c>
      <c r="C31358" s="1">
        <v>4.0373046953853601E-5</v>
      </c>
      <c r="D31358" s="1">
        <v>7.5154065834961607E-5</v>
      </c>
      <c r="E31358" s="1">
        <v>0</v>
      </c>
      <c r="F31358" s="1">
        <v>4.0923945769925498E-5</v>
      </c>
    </row>
    <row r="31359" spans="1:6" x14ac:dyDescent="0.25">
      <c r="A31359" s="2" t="str">
        <f t="shared" si="1137"/>
        <v>30700</v>
      </c>
      <c r="B31359" s="2" t="str">
        <f>"68404"</f>
        <v>68404</v>
      </c>
      <c r="C31359" s="1">
        <v>3.49226856150833E-3</v>
      </c>
      <c r="D31359" s="1">
        <v>9.7700285585450102E-4</v>
      </c>
      <c r="E31359" s="1">
        <v>5.4770511556577895E-4</v>
      </c>
      <c r="F31359" s="1">
        <v>3.1394512683499999E-3</v>
      </c>
    </row>
    <row r="31360" spans="1:6" x14ac:dyDescent="0.25">
      <c r="A31360" s="2" t="str">
        <f t="shared" si="1137"/>
        <v>30700</v>
      </c>
      <c r="B31360" s="2" t="str">
        <f>"68359"</f>
        <v>68359</v>
      </c>
      <c r="C31360" s="1">
        <v>2.9606901099492599E-4</v>
      </c>
      <c r="D31360" s="1">
        <v>7.5154065834961607E-5</v>
      </c>
      <c r="E31360" s="1">
        <v>0</v>
      </c>
      <c r="F31360" s="1">
        <v>2.6308250852095E-4</v>
      </c>
    </row>
    <row r="31361" spans="1:6" x14ac:dyDescent="0.25">
      <c r="A31361" s="2" t="str">
        <f t="shared" ref="A31361:A31393" si="1138">"30700"</f>
        <v>30700</v>
      </c>
      <c r="B31361" s="2" t="str">
        <f>"68372"</f>
        <v>68372</v>
      </c>
      <c r="C31361" s="1">
        <v>9.7770062039915402E-3</v>
      </c>
      <c r="D31361" s="1">
        <v>3.2316248309033498E-3</v>
      </c>
      <c r="E31361" s="1">
        <v>2.6289845547157399E-3</v>
      </c>
      <c r="F31361" s="1">
        <v>8.8863425100409801E-3</v>
      </c>
    </row>
    <row r="31362" spans="1:6" x14ac:dyDescent="0.25">
      <c r="A31362" s="2" t="str">
        <f t="shared" si="1138"/>
        <v>30700</v>
      </c>
      <c r="B31362" s="2" t="str">
        <f>"68583"</f>
        <v>68583</v>
      </c>
      <c r="C31362" s="1">
        <v>0</v>
      </c>
      <c r="D31362" s="1">
        <v>4.2086276867578497E-3</v>
      </c>
      <c r="E31362" s="1">
        <v>0</v>
      </c>
      <c r="F31362" s="1">
        <v>3.2739156615940398E-4</v>
      </c>
    </row>
    <row r="31363" spans="1:6" x14ac:dyDescent="0.25">
      <c r="A31363" s="2" t="str">
        <f t="shared" si="1138"/>
        <v>30700</v>
      </c>
      <c r="B31363" s="2" t="str">
        <f>"68314"</f>
        <v>68314</v>
      </c>
      <c r="C31363" s="1">
        <v>1.0025973326873599E-3</v>
      </c>
      <c r="D31363" s="1">
        <v>6.0123252667969296E-4</v>
      </c>
      <c r="E31363" s="1">
        <v>1.09541023113155E-4</v>
      </c>
      <c r="F31363" s="1">
        <v>9.2371191880689105E-4</v>
      </c>
    </row>
    <row r="31364" spans="1:6" x14ac:dyDescent="0.25">
      <c r="A31364" s="2" t="str">
        <f t="shared" si="1138"/>
        <v>30700</v>
      </c>
      <c r="B31364" s="2" t="str">
        <f>"68301"</f>
        <v>68301</v>
      </c>
      <c r="C31364" s="1">
        <v>6.7288411589756E-4</v>
      </c>
      <c r="D31364" s="1">
        <v>7.5154065834961607E-5</v>
      </c>
      <c r="E31364" s="1">
        <v>0</v>
      </c>
      <c r="F31364" s="1">
        <v>5.9047407468035404E-4</v>
      </c>
    </row>
    <row r="31365" spans="1:6" x14ac:dyDescent="0.25">
      <c r="A31365" s="2" t="str">
        <f t="shared" si="1138"/>
        <v>30700</v>
      </c>
      <c r="B31365" s="2" t="str">
        <f>"68505"</f>
        <v>68505</v>
      </c>
      <c r="C31365" s="1">
        <v>5.5257243597507603E-2</v>
      </c>
      <c r="D31365" s="1">
        <v>5.7492860363745603E-2</v>
      </c>
      <c r="E31365" s="1">
        <v>2.55230583853653E-2</v>
      </c>
      <c r="F31365" s="1">
        <v>5.3844220077287702E-2</v>
      </c>
    </row>
    <row r="31366" spans="1:6" x14ac:dyDescent="0.25">
      <c r="A31366" s="2" t="str">
        <f t="shared" si="1138"/>
        <v>30700</v>
      </c>
      <c r="B31366" s="2" t="str">
        <f>"68367"</f>
        <v>68367</v>
      </c>
      <c r="C31366" s="1">
        <v>1.9513639361029201E-4</v>
      </c>
      <c r="D31366" s="1">
        <v>0</v>
      </c>
      <c r="E31366" s="1">
        <v>0</v>
      </c>
      <c r="F31366" s="1">
        <v>1.6954206104683399E-4</v>
      </c>
    </row>
    <row r="31367" spans="1:6" x14ac:dyDescent="0.25">
      <c r="A31367" s="2" t="str">
        <f t="shared" si="1138"/>
        <v>30700</v>
      </c>
      <c r="B31367" s="2" t="str">
        <f>"68512"</f>
        <v>68512</v>
      </c>
      <c r="C31367" s="1">
        <v>3.8690836664109697E-2</v>
      </c>
      <c r="D31367" s="1">
        <v>3.41950999549075E-2</v>
      </c>
      <c r="E31367" s="1">
        <v>3.52722094424361E-2</v>
      </c>
      <c r="F31367" s="1">
        <v>3.8158656291471998E-2</v>
      </c>
    </row>
    <row r="31368" spans="1:6" x14ac:dyDescent="0.25">
      <c r="A31368" s="2" t="str">
        <f t="shared" si="1138"/>
        <v>30700</v>
      </c>
      <c r="B31368" s="2" t="str">
        <f>"68523"</f>
        <v>68523</v>
      </c>
      <c r="C31368" s="1">
        <v>4.4544928472418401E-3</v>
      </c>
      <c r="D31368" s="1">
        <v>7.5154065834961601E-4</v>
      </c>
      <c r="E31368" s="1">
        <v>1.09541023113155E-4</v>
      </c>
      <c r="F31368" s="1">
        <v>3.9345450718799796E-3</v>
      </c>
    </row>
    <row r="31369" spans="1:6" x14ac:dyDescent="0.25">
      <c r="A31369" s="2" t="str">
        <f t="shared" si="1138"/>
        <v>30700</v>
      </c>
      <c r="B31369" s="2" t="str">
        <f>"68522"</f>
        <v>68522</v>
      </c>
      <c r="C31369" s="1">
        <v>3.2251335674970003E-2</v>
      </c>
      <c r="D31369" s="1">
        <v>2.2020141289643701E-2</v>
      </c>
      <c r="E31369" s="1">
        <v>2.1141417460839002E-2</v>
      </c>
      <c r="F31369" s="1">
        <v>3.0862501388491E-2</v>
      </c>
    </row>
    <row r="31370" spans="1:6" x14ac:dyDescent="0.25">
      <c r="A31370" s="2" t="str">
        <f t="shared" si="1138"/>
        <v>30700</v>
      </c>
      <c r="B31370" s="2" t="str">
        <f>"68521"</f>
        <v>68521</v>
      </c>
      <c r="C31370" s="1">
        <v>0.102944540891167</v>
      </c>
      <c r="D31370" s="1">
        <v>6.1626333984668498E-2</v>
      </c>
      <c r="E31370" s="1">
        <v>7.9636323803264297E-2</v>
      </c>
      <c r="F31370" s="1">
        <v>9.8486398634309399E-2</v>
      </c>
    </row>
    <row r="31371" spans="1:6" x14ac:dyDescent="0.25">
      <c r="A31371" s="2" t="str">
        <f t="shared" si="1138"/>
        <v>30700</v>
      </c>
      <c r="B31371" s="2" t="str">
        <f>"68461"</f>
        <v>68461</v>
      </c>
      <c r="C31371" s="1">
        <v>2.5569596404107198E-3</v>
      </c>
      <c r="D31371" s="1">
        <v>9.0184879001954004E-4</v>
      </c>
      <c r="E31371" s="1">
        <v>2.19082046226311E-4</v>
      </c>
      <c r="F31371" s="1">
        <v>2.3034335190500899E-3</v>
      </c>
    </row>
    <row r="31372" spans="1:6" x14ac:dyDescent="0.25">
      <c r="A31372" s="2" t="str">
        <f t="shared" si="1138"/>
        <v>30700</v>
      </c>
      <c r="B31372" s="2" t="str">
        <f>"68423"</f>
        <v>68423</v>
      </c>
      <c r="C31372" s="1">
        <v>2.9741477922672101E-3</v>
      </c>
      <c r="D31372" s="1">
        <v>3.0061626333984599E-4</v>
      </c>
      <c r="E31372" s="1">
        <v>1.20495125424471E-3</v>
      </c>
      <c r="F31372" s="1">
        <v>2.6717490309794202E-3</v>
      </c>
    </row>
    <row r="31373" spans="1:6" x14ac:dyDescent="0.25">
      <c r="A31373" s="2" t="str">
        <f t="shared" si="1138"/>
        <v>30700</v>
      </c>
      <c r="B31373" s="2" t="str">
        <f>"68402"</f>
        <v>68402</v>
      </c>
      <c r="C31373" s="1">
        <v>3.6066588612109199E-3</v>
      </c>
      <c r="D31373" s="1">
        <v>1.0521569216894601E-3</v>
      </c>
      <c r="E31373" s="1">
        <v>5.4770511556577895E-4</v>
      </c>
      <c r="F31373" s="1">
        <v>3.24468427175838E-3</v>
      </c>
    </row>
    <row r="31374" spans="1:6" x14ac:dyDescent="0.25">
      <c r="A31374" s="2" t="str">
        <f t="shared" si="1138"/>
        <v>30700</v>
      </c>
      <c r="B31374" s="2" t="str">
        <f>"68588"</f>
        <v>68588</v>
      </c>
      <c r="C31374" s="1">
        <v>0</v>
      </c>
      <c r="D31374" s="1">
        <v>7.3650984518262401E-3</v>
      </c>
      <c r="E31374" s="1">
        <v>3.28623069339467E-4</v>
      </c>
      <c r="F31374" s="1">
        <v>5.9047407468035404E-4</v>
      </c>
    </row>
    <row r="31375" spans="1:6" x14ac:dyDescent="0.25">
      <c r="A31375" s="2" t="str">
        <f t="shared" si="1138"/>
        <v>30700</v>
      </c>
      <c r="B31375" s="2" t="str">
        <f>"68532"</f>
        <v>68532</v>
      </c>
      <c r="C31375" s="1">
        <v>1.64183724279004E-3</v>
      </c>
      <c r="D31375" s="1">
        <v>0</v>
      </c>
      <c r="E31375" s="1">
        <v>1.09541023113155E-4</v>
      </c>
      <c r="F31375" s="1">
        <v>1.43233810194739E-3</v>
      </c>
    </row>
    <row r="31376" spans="1:6" x14ac:dyDescent="0.25">
      <c r="A31376" s="2" t="str">
        <f t="shared" si="1138"/>
        <v>30700</v>
      </c>
      <c r="B31376" s="2" t="str">
        <f>"68526"</f>
        <v>68526</v>
      </c>
      <c r="C31376" s="1">
        <v>2.02538118885165E-2</v>
      </c>
      <c r="D31376" s="1">
        <v>1.03712610852247E-2</v>
      </c>
      <c r="E31376" s="1">
        <v>8.1060357103735301E-3</v>
      </c>
      <c r="F31376" s="1">
        <v>1.8836707610099999E-2</v>
      </c>
    </row>
    <row r="31377" spans="1:6" x14ac:dyDescent="0.25">
      <c r="A31377" s="2" t="str">
        <f t="shared" si="1138"/>
        <v>30700</v>
      </c>
      <c r="B31377" s="2" t="str">
        <f>"68524"</f>
        <v>68524</v>
      </c>
      <c r="C31377" s="1">
        <v>1.43189739863E-2</v>
      </c>
      <c r="D31377" s="1">
        <v>9.3191041635352408E-3</v>
      </c>
      <c r="E31377" s="1">
        <v>2.7385255778288901E-3</v>
      </c>
      <c r="F31377" s="1">
        <v>1.3311974931160001E-2</v>
      </c>
    </row>
    <row r="31378" spans="1:6" x14ac:dyDescent="0.25">
      <c r="A31378" s="2" t="str">
        <f t="shared" si="1138"/>
        <v>30700</v>
      </c>
      <c r="B31378" s="2" t="str">
        <f>"68520"</f>
        <v>68520</v>
      </c>
      <c r="C31378" s="1">
        <v>5.82717644367287E-3</v>
      </c>
      <c r="D31378" s="1">
        <v>1.57823538253419E-3</v>
      </c>
      <c r="E31378" s="1">
        <v>8.7632818490524704E-4</v>
      </c>
      <c r="F31378" s="1">
        <v>5.2324187805833401E-3</v>
      </c>
    </row>
    <row r="31379" spans="1:6" x14ac:dyDescent="0.25">
      <c r="A31379" s="2" t="str">
        <f t="shared" si="1138"/>
        <v>30700</v>
      </c>
      <c r="B31379" s="2" t="str">
        <f>"68506"</f>
        <v>68506</v>
      </c>
      <c r="C31379" s="1">
        <v>9.1640087744088702E-2</v>
      </c>
      <c r="D31379" s="1">
        <v>9.5445663610401299E-2</v>
      </c>
      <c r="E31379" s="1">
        <v>7.6021470040530101E-2</v>
      </c>
      <c r="F31379" s="1">
        <v>9.11025495618214E-2</v>
      </c>
    </row>
    <row r="31380" spans="1:6" x14ac:dyDescent="0.25">
      <c r="A31380" s="2" t="str">
        <f t="shared" si="1138"/>
        <v>30700</v>
      </c>
      <c r="B31380" s="2" t="str">
        <f>"68439"</f>
        <v>68439</v>
      </c>
      <c r="C31380" s="1">
        <v>1.4063278022259E-3</v>
      </c>
      <c r="D31380" s="1">
        <v>3.7577032917480801E-4</v>
      </c>
      <c r="E31380" s="1">
        <v>2.19082046226311E-4</v>
      </c>
      <c r="F31380" s="1">
        <v>1.2627960409005599E-3</v>
      </c>
    </row>
    <row r="31381" spans="1:6" x14ac:dyDescent="0.25">
      <c r="A31381" s="2" t="str">
        <f t="shared" si="1138"/>
        <v>30700</v>
      </c>
      <c r="B31381" s="2" t="str">
        <f>"68434"</f>
        <v>68434</v>
      </c>
      <c r="C31381" s="1">
        <v>2.57310885919226E-2</v>
      </c>
      <c r="D31381" s="1">
        <v>3.3443559296557901E-2</v>
      </c>
      <c r="E31381" s="1">
        <v>2.4865812246686301E-2</v>
      </c>
      <c r="F31381" s="1">
        <v>2.6284865740226399E-2</v>
      </c>
    </row>
    <row r="31382" spans="1:6" x14ac:dyDescent="0.25">
      <c r="A31382" s="2" t="str">
        <f t="shared" si="1138"/>
        <v>30700</v>
      </c>
      <c r="B31382" s="2" t="str">
        <f>"68330"</f>
        <v>68330</v>
      </c>
      <c r="C31382" s="1">
        <v>5.0466308692316997E-4</v>
      </c>
      <c r="D31382" s="1">
        <v>0</v>
      </c>
      <c r="E31382" s="1">
        <v>1.09541023113155E-4</v>
      </c>
      <c r="F31382" s="1">
        <v>4.4431712550204897E-4</v>
      </c>
    </row>
    <row r="31383" spans="1:6" x14ac:dyDescent="0.25">
      <c r="A31383" s="2" t="str">
        <f t="shared" si="1138"/>
        <v>30700</v>
      </c>
      <c r="B31383" s="2" t="str">
        <f>"68347"</f>
        <v>68347</v>
      </c>
      <c r="C31383" s="1">
        <v>2.6915364635902401E-5</v>
      </c>
      <c r="D31383" s="1">
        <v>0</v>
      </c>
      <c r="E31383" s="1">
        <v>0</v>
      </c>
      <c r="F31383" s="1">
        <v>2.3385111868528899E-5</v>
      </c>
    </row>
    <row r="31384" spans="1:6" x14ac:dyDescent="0.25">
      <c r="A31384" s="2" t="str">
        <f t="shared" si="1138"/>
        <v>30700</v>
      </c>
      <c r="B31384" s="2" t="str">
        <f>"68531"</f>
        <v>68531</v>
      </c>
      <c r="C31384" s="1">
        <v>3.0279785215390202E-4</v>
      </c>
      <c r="D31384" s="1">
        <v>7.5154065834961607E-5</v>
      </c>
      <c r="E31384" s="1">
        <v>1.09541023113155E-4</v>
      </c>
      <c r="F31384" s="1">
        <v>2.74775064455214E-4</v>
      </c>
    </row>
    <row r="31385" spans="1:6" x14ac:dyDescent="0.25">
      <c r="A31385" s="2" t="str">
        <f t="shared" si="1138"/>
        <v>30700</v>
      </c>
      <c r="B31385" s="2" t="str">
        <f>"68528"</f>
        <v>68528</v>
      </c>
      <c r="C31385" s="1">
        <v>2.03278291412652E-2</v>
      </c>
      <c r="D31385" s="1">
        <v>1.93145949195851E-2</v>
      </c>
      <c r="E31385" s="1">
        <v>1.5554825282068099E-2</v>
      </c>
      <c r="F31385" s="1">
        <v>1.99942706475922E-2</v>
      </c>
    </row>
    <row r="31386" spans="1:6" x14ac:dyDescent="0.25">
      <c r="A31386" s="2" t="str">
        <f t="shared" si="1138"/>
        <v>30700</v>
      </c>
      <c r="B31386" s="2" t="str">
        <f>"68313"</f>
        <v>68313</v>
      </c>
      <c r="C31386" s="1">
        <v>2.7857402398158899E-3</v>
      </c>
      <c r="D31386" s="1">
        <v>5.26078460844731E-4</v>
      </c>
      <c r="E31386" s="1">
        <v>4.3816409245262298E-4</v>
      </c>
      <c r="F31386" s="1">
        <v>2.48466813603119E-3</v>
      </c>
    </row>
    <row r="31387" spans="1:6" x14ac:dyDescent="0.25">
      <c r="A31387" s="2" t="str">
        <f t="shared" si="1138"/>
        <v>30700</v>
      </c>
      <c r="B31387" s="2" t="str">
        <f>"68003"</f>
        <v>68003</v>
      </c>
      <c r="C31387" s="1">
        <v>2.6915364635902401E-5</v>
      </c>
      <c r="D31387" s="1">
        <v>0</v>
      </c>
      <c r="E31387" s="1">
        <v>0</v>
      </c>
      <c r="F31387" s="1">
        <v>2.3385111868528899E-5</v>
      </c>
    </row>
    <row r="31388" spans="1:6" x14ac:dyDescent="0.25">
      <c r="A31388" s="2" t="str">
        <f t="shared" si="1138"/>
        <v>30700</v>
      </c>
      <c r="B31388" s="2" t="str">
        <f>"68456"</f>
        <v>68456</v>
      </c>
      <c r="C31388" s="1">
        <v>3.2500302797852099E-3</v>
      </c>
      <c r="D31388" s="1">
        <v>2.2546219750488499E-3</v>
      </c>
      <c r="E31388" s="1">
        <v>3.28623069339467E-4</v>
      </c>
      <c r="F31388" s="1">
        <v>3.01667943104022E-3</v>
      </c>
    </row>
    <row r="31389" spans="1:6" x14ac:dyDescent="0.25">
      <c r="A31389" s="2" t="str">
        <f t="shared" si="1138"/>
        <v>30700</v>
      </c>
      <c r="B31389" s="2" t="str">
        <f>"68514"</f>
        <v>68514</v>
      </c>
      <c r="C31389" s="1">
        <v>9.0166471530272996E-4</v>
      </c>
      <c r="D31389" s="1">
        <v>1.3527731850293101E-3</v>
      </c>
      <c r="E31389" s="1">
        <v>3.28623069339467E-4</v>
      </c>
      <c r="F31389" s="1">
        <v>9.0617308490549401E-4</v>
      </c>
    </row>
    <row r="31390" spans="1:6" x14ac:dyDescent="0.25">
      <c r="A31390" s="2" t="str">
        <f t="shared" si="1138"/>
        <v>30700</v>
      </c>
      <c r="B31390" s="2" t="str">
        <f>"68516"</f>
        <v>68516</v>
      </c>
      <c r="C31390" s="1">
        <v>0.13309647812453701</v>
      </c>
      <c r="D31390" s="1">
        <v>8.9959416804449105E-2</v>
      </c>
      <c r="E31390" s="1">
        <v>8.5003833935808903E-2</v>
      </c>
      <c r="F31390" s="1">
        <v>0.12717408461902699</v>
      </c>
    </row>
    <row r="31391" spans="1:6" x14ac:dyDescent="0.25">
      <c r="A31391" s="2" t="str">
        <f t="shared" si="1138"/>
        <v>30700</v>
      </c>
      <c r="B31391" s="2" t="str">
        <f>"68504"</f>
        <v>68504</v>
      </c>
      <c r="C31391" s="1">
        <v>5.92945482928929E-2</v>
      </c>
      <c r="D31391" s="1">
        <v>8.5375018788516402E-2</v>
      </c>
      <c r="E31391" s="1">
        <v>0.11622302552305799</v>
      </c>
      <c r="F31391" s="1">
        <v>6.4361674140158601E-2</v>
      </c>
    </row>
    <row r="31392" spans="1:6" x14ac:dyDescent="0.25">
      <c r="A31392" s="2" t="str">
        <f t="shared" si="1138"/>
        <v>30700</v>
      </c>
      <c r="B31392" s="2" t="str">
        <f>"68503"</f>
        <v>68503</v>
      </c>
      <c r="C31392" s="1">
        <v>4.4322876714172198E-2</v>
      </c>
      <c r="D31392" s="1">
        <v>2.85585450172854E-2</v>
      </c>
      <c r="E31392" s="1">
        <v>6.8791762515061805E-2</v>
      </c>
      <c r="F31392" s="1">
        <v>4.4402481160369198E-2</v>
      </c>
    </row>
    <row r="31393" spans="1:6" x14ac:dyDescent="0.25">
      <c r="A31393" s="2" t="str">
        <f t="shared" si="1138"/>
        <v>30700</v>
      </c>
      <c r="B31393" s="2" t="str">
        <f>"68065"</f>
        <v>68065</v>
      </c>
      <c r="C31393" s="1">
        <v>9.4876660341555903E-4</v>
      </c>
      <c r="D31393" s="1">
        <v>0</v>
      </c>
      <c r="E31393" s="1">
        <v>0</v>
      </c>
      <c r="F31393" s="1">
        <v>8.2432519336564304E-4</v>
      </c>
    </row>
    <row r="31394" spans="1:6" x14ac:dyDescent="0.25">
      <c r="A31394" s="2" t="str">
        <f t="shared" ref="A31394:A31425" si="1139">"41740"</f>
        <v>41740</v>
      </c>
      <c r="B31394" s="2" t="str">
        <f>"92147"</f>
        <v>92147</v>
      </c>
      <c r="C31394" s="1">
        <v>7.3796531785061804E-4</v>
      </c>
      <c r="D31394" s="1">
        <v>4.0002207018318201E-4</v>
      </c>
      <c r="E31394" s="1">
        <v>2.1103279449626399E-4</v>
      </c>
      <c r="F31394" s="1">
        <v>6.7577081877020996E-4</v>
      </c>
    </row>
    <row r="31395" spans="1:6" x14ac:dyDescent="0.25">
      <c r="A31395" s="2" t="str">
        <f t="shared" si="1139"/>
        <v>41740</v>
      </c>
      <c r="B31395" s="2" t="str">
        <f>"92136"</f>
        <v>92136</v>
      </c>
      <c r="C31395" s="1">
        <v>0</v>
      </c>
      <c r="D31395" s="1">
        <v>1.834583977047E-3</v>
      </c>
      <c r="E31395" s="1">
        <v>8.5468281770987198E-4</v>
      </c>
      <c r="F31395" s="1">
        <v>2.1813253405884899E-4</v>
      </c>
    </row>
    <row r="31396" spans="1:6" x14ac:dyDescent="0.25">
      <c r="A31396" s="2" t="str">
        <f t="shared" si="1139"/>
        <v>41740</v>
      </c>
      <c r="B31396" s="2" t="str">
        <f>"92134"</f>
        <v>92134</v>
      </c>
      <c r="C31396" s="1">
        <v>0</v>
      </c>
      <c r="D31396" s="1">
        <v>9.6557051423526799E-4</v>
      </c>
      <c r="E31396" s="1">
        <v>1.7937787532182499E-4</v>
      </c>
      <c r="F31396" s="1">
        <v>9.8693970741323695E-5</v>
      </c>
    </row>
    <row r="31397" spans="1:6" x14ac:dyDescent="0.25">
      <c r="A31397" s="2" t="str">
        <f t="shared" si="1139"/>
        <v>41740</v>
      </c>
      <c r="B31397" s="2" t="str">
        <f>"92130"</f>
        <v>92130</v>
      </c>
      <c r="C31397" s="1">
        <v>1.7120499299784101E-2</v>
      </c>
      <c r="D31397" s="1">
        <v>9.1522290885014297E-3</v>
      </c>
      <c r="E31397" s="1">
        <v>3.4387793863166302E-2</v>
      </c>
      <c r="F31397" s="1">
        <v>1.7422943267939601E-2</v>
      </c>
    </row>
    <row r="31398" spans="1:6" x14ac:dyDescent="0.25">
      <c r="A31398" s="2" t="str">
        <f t="shared" si="1139"/>
        <v>41740</v>
      </c>
      <c r="B31398" s="2" t="str">
        <f>"92129"</f>
        <v>92129</v>
      </c>
      <c r="C31398" s="1">
        <v>1.34506577291689E-2</v>
      </c>
      <c r="D31398" s="1">
        <v>2.69670050761421E-3</v>
      </c>
      <c r="E31398" s="1">
        <v>1.14485291014223E-2</v>
      </c>
      <c r="F31398" s="1">
        <v>1.2351204695067E-2</v>
      </c>
    </row>
    <row r="31399" spans="1:6" x14ac:dyDescent="0.25">
      <c r="A31399" s="2" t="str">
        <f t="shared" si="1139"/>
        <v>41740</v>
      </c>
      <c r="B31399" s="2" t="str">
        <f>"92123"</f>
        <v>92123</v>
      </c>
      <c r="C31399" s="1">
        <v>1.00554251183557E-2</v>
      </c>
      <c r="D31399" s="1">
        <v>2.26909070845288E-2</v>
      </c>
      <c r="E31399" s="1">
        <v>1.1353564343899E-2</v>
      </c>
      <c r="F31399" s="1">
        <v>1.12844297374363E-2</v>
      </c>
    </row>
    <row r="31400" spans="1:6" x14ac:dyDescent="0.25">
      <c r="A31400" s="2" t="str">
        <f t="shared" si="1139"/>
        <v>41740</v>
      </c>
      <c r="B31400" s="2" t="str">
        <f>"92122"</f>
        <v>92122</v>
      </c>
      <c r="C31400" s="1">
        <v>1.70694264743762E-2</v>
      </c>
      <c r="D31400" s="1">
        <v>1.0200562789671099E-2</v>
      </c>
      <c r="E31400" s="1">
        <v>2.0311906470265401E-2</v>
      </c>
      <c r="F31400" s="1">
        <v>1.66365346220963E-2</v>
      </c>
    </row>
    <row r="31401" spans="1:6" x14ac:dyDescent="0.25">
      <c r="A31401" s="2" t="str">
        <f t="shared" si="1139"/>
        <v>41740</v>
      </c>
      <c r="B31401" s="2" t="str">
        <f>"92121"</f>
        <v>92121</v>
      </c>
      <c r="C31401" s="1">
        <v>1.3663831261306299E-3</v>
      </c>
      <c r="D31401" s="1">
        <v>4.1671264621496298E-2</v>
      </c>
      <c r="E31401" s="1">
        <v>1.7579031781538801E-2</v>
      </c>
      <c r="F31401" s="1">
        <v>6.0058738628191496E-3</v>
      </c>
    </row>
    <row r="31402" spans="1:6" x14ac:dyDescent="0.25">
      <c r="A31402" s="2" t="str">
        <f t="shared" si="1139"/>
        <v>41740</v>
      </c>
      <c r="B31402" s="2" t="str">
        <f>"92177"</f>
        <v>92177</v>
      </c>
      <c r="C31402" s="1">
        <v>1.0865928652003E-3</v>
      </c>
      <c r="D31402" s="1">
        <v>2.1587397925402702E-3</v>
      </c>
      <c r="E31402" s="1">
        <v>2.1103279449626401E-5</v>
      </c>
      <c r="F31402" s="1">
        <v>1.12083662313235E-3</v>
      </c>
    </row>
    <row r="31403" spans="1:6" x14ac:dyDescent="0.25">
      <c r="A31403" s="2" t="str">
        <f t="shared" si="1139"/>
        <v>41740</v>
      </c>
      <c r="B31403" s="2" t="str">
        <f>"92082"</f>
        <v>92082</v>
      </c>
      <c r="C31403" s="1">
        <v>6.0547204614022597E-3</v>
      </c>
      <c r="D31403" s="1">
        <v>3.8277973957183799E-3</v>
      </c>
      <c r="E31403" s="1">
        <v>6.7530494238804699E-4</v>
      </c>
      <c r="F31403" s="1">
        <v>5.5312627296363499E-3</v>
      </c>
    </row>
    <row r="31404" spans="1:6" x14ac:dyDescent="0.25">
      <c r="A31404" s="2" t="str">
        <f t="shared" si="1139"/>
        <v>41740</v>
      </c>
      <c r="B31404" s="2" t="str">
        <f>"92069"</f>
        <v>92069</v>
      </c>
      <c r="C31404" s="1">
        <v>1.19132916658031E-2</v>
      </c>
      <c r="D31404" s="1">
        <v>1.23593025822114E-2</v>
      </c>
      <c r="E31404" s="1">
        <v>1.18705946904148E-2</v>
      </c>
      <c r="F31404" s="1">
        <v>1.1951399819962001E-2</v>
      </c>
    </row>
    <row r="31405" spans="1:6" x14ac:dyDescent="0.25">
      <c r="A31405" s="2" t="str">
        <f t="shared" si="1139"/>
        <v>41740</v>
      </c>
      <c r="B31405" s="2" t="str">
        <f>"92111"</f>
        <v>92111</v>
      </c>
      <c r="C31405" s="1">
        <v>1.29843406276184E-2</v>
      </c>
      <c r="D31405" s="1">
        <v>2.6608364599426101E-2</v>
      </c>
      <c r="E31405" s="1">
        <v>1.6724348963828899E-2</v>
      </c>
      <c r="F31405" s="1">
        <v>1.44489230413332E-2</v>
      </c>
    </row>
    <row r="31406" spans="1:6" x14ac:dyDescent="0.25">
      <c r="A31406" s="2" t="str">
        <f t="shared" si="1139"/>
        <v>41740</v>
      </c>
      <c r="B31406" s="2" t="str">
        <f>"92108"</f>
        <v>92108</v>
      </c>
      <c r="C31406" s="1">
        <v>1.0990279879083201E-2</v>
      </c>
      <c r="D31406" s="1">
        <v>2.4566872655042999E-2</v>
      </c>
      <c r="E31406" s="1">
        <v>1.4772295614738499E-2</v>
      </c>
      <c r="F31406" s="1">
        <v>1.24530417858956E-2</v>
      </c>
    </row>
    <row r="31407" spans="1:6" x14ac:dyDescent="0.25">
      <c r="A31407" s="2" t="str">
        <f t="shared" si="1139"/>
        <v>41740</v>
      </c>
      <c r="B31407" s="2" t="str">
        <f>"91931"</f>
        <v>91931</v>
      </c>
      <c r="C31407" s="1">
        <v>3.5528922022898301E-5</v>
      </c>
      <c r="D31407" s="1">
        <v>6.8969322445376199E-6</v>
      </c>
      <c r="E31407" s="1">
        <v>2.1103279449626401E-5</v>
      </c>
      <c r="F31407" s="1">
        <v>3.2059824890493598E-5</v>
      </c>
    </row>
    <row r="31408" spans="1:6" x14ac:dyDescent="0.25">
      <c r="A31408" s="2" t="str">
        <f t="shared" si="1139"/>
        <v>41740</v>
      </c>
      <c r="B31408" s="2" t="str">
        <f>"91916"</f>
        <v>91916</v>
      </c>
      <c r="C31408" s="1">
        <v>9.0080621045556897E-4</v>
      </c>
      <c r="D31408" s="1">
        <v>5.7244537629662297E-4</v>
      </c>
      <c r="E31408" s="1">
        <v>1.16068036972945E-4</v>
      </c>
      <c r="F31408" s="1">
        <v>8.2412608689092599E-4</v>
      </c>
    </row>
    <row r="31409" spans="1:6" x14ac:dyDescent="0.25">
      <c r="A31409" s="2" t="str">
        <f t="shared" si="1139"/>
        <v>41740</v>
      </c>
      <c r="B31409" s="2" t="str">
        <f>"91915"</f>
        <v>91915</v>
      </c>
      <c r="C31409" s="1">
        <v>7.7060751495915602E-3</v>
      </c>
      <c r="D31409" s="1">
        <v>2.6070403884352199E-3</v>
      </c>
      <c r="E31409" s="1">
        <v>1.3442789009412001E-2</v>
      </c>
      <c r="F31409" s="1">
        <v>7.5830915226279497E-3</v>
      </c>
    </row>
    <row r="31410" spans="1:6" x14ac:dyDescent="0.25">
      <c r="A31410" s="2" t="str">
        <f t="shared" si="1139"/>
        <v>41740</v>
      </c>
      <c r="B31410" s="2" t="str">
        <f>"92025"</f>
        <v>92025</v>
      </c>
      <c r="C31410" s="1">
        <v>1.21027792499252E-2</v>
      </c>
      <c r="D31410" s="1">
        <v>2.0911498565437999E-2</v>
      </c>
      <c r="E31410" s="1">
        <v>1.6977588317224401E-2</v>
      </c>
      <c r="F31410" s="1">
        <v>1.31960753745341E-2</v>
      </c>
    </row>
    <row r="31411" spans="1:6" x14ac:dyDescent="0.25">
      <c r="A31411" s="2" t="str">
        <f t="shared" si="1139"/>
        <v>41740</v>
      </c>
      <c r="B31411" s="2" t="str">
        <f>"92009"</f>
        <v>92009</v>
      </c>
      <c r="C31411" s="1">
        <v>1.26379336378951E-2</v>
      </c>
      <c r="D31411" s="1">
        <v>6.9383138380048502E-3</v>
      </c>
      <c r="E31411" s="1">
        <v>1.6576626007681498E-2</v>
      </c>
      <c r="F31411" s="1">
        <v>1.2353090567119401E-2</v>
      </c>
    </row>
    <row r="31412" spans="1:6" x14ac:dyDescent="0.25">
      <c r="A31412" s="2" t="str">
        <f t="shared" si="1139"/>
        <v>41740</v>
      </c>
      <c r="B31412" s="2" t="str">
        <f>"91978"</f>
        <v>91978</v>
      </c>
      <c r="C31412" s="1">
        <v>2.5188525342484001E-3</v>
      </c>
      <c r="D31412" s="1">
        <v>2.1587397925402702E-3</v>
      </c>
      <c r="E31412" s="1">
        <v>2.2791541805596499E-3</v>
      </c>
      <c r="F31412" s="1">
        <v>2.4717496366553101E-3</v>
      </c>
    </row>
    <row r="31413" spans="1:6" x14ac:dyDescent="0.25">
      <c r="A31413" s="2" t="str">
        <f t="shared" si="1139"/>
        <v>41740</v>
      </c>
      <c r="B31413" s="2" t="str">
        <f>"91976"</f>
        <v>91976</v>
      </c>
      <c r="C31413" s="1">
        <v>5.0480676707534704E-4</v>
      </c>
      <c r="D31413" s="1">
        <v>9.2418892076804205E-4</v>
      </c>
      <c r="E31413" s="1">
        <v>2.1103279449626401E-5</v>
      </c>
      <c r="F31413" s="1">
        <v>5.1421444628281998E-4</v>
      </c>
    </row>
    <row r="31414" spans="1:6" x14ac:dyDescent="0.25">
      <c r="A31414" s="2" t="str">
        <f t="shared" si="1139"/>
        <v>41740</v>
      </c>
      <c r="B31414" s="2" t="str">
        <f>"91942"</f>
        <v>91942</v>
      </c>
      <c r="C31414" s="1">
        <v>1.38222310386584E-2</v>
      </c>
      <c r="D31414" s="1">
        <v>1.6745751489737299E-2</v>
      </c>
      <c r="E31414" s="1">
        <v>1.8117165407504299E-2</v>
      </c>
      <c r="F31414" s="1">
        <v>1.4344571454434799E-2</v>
      </c>
    </row>
    <row r="31415" spans="1:6" x14ac:dyDescent="0.25">
      <c r="A31415" s="2" t="str">
        <f t="shared" si="1139"/>
        <v>41740</v>
      </c>
      <c r="B31415" s="2" t="str">
        <f>"92143"</f>
        <v>92143</v>
      </c>
      <c r="C31415" s="1">
        <v>4.1272764416600202E-3</v>
      </c>
      <c r="D31415" s="1">
        <v>2.7863606267932001E-3</v>
      </c>
      <c r="E31415" s="1">
        <v>2.1103279449626401E-5</v>
      </c>
      <c r="F31415" s="1">
        <v>3.7604288724496699E-3</v>
      </c>
    </row>
    <row r="31416" spans="1:6" x14ac:dyDescent="0.25">
      <c r="A31416" s="2" t="str">
        <f t="shared" si="1139"/>
        <v>41740</v>
      </c>
      <c r="B31416" s="2" t="str">
        <f>"92179"</f>
        <v>92179</v>
      </c>
      <c r="C31416" s="1">
        <v>0</v>
      </c>
      <c r="D31416" s="1">
        <v>6.8969322445376199E-6</v>
      </c>
      <c r="E31416" s="1">
        <v>1.05516397248132E-5</v>
      </c>
      <c r="F31416" s="1">
        <v>1.25724803492132E-6</v>
      </c>
    </row>
    <row r="31417" spans="1:6" x14ac:dyDescent="0.25">
      <c r="A31417" s="2" t="str">
        <f t="shared" si="1139"/>
        <v>41740</v>
      </c>
      <c r="B31417" s="2" t="str">
        <f>"92193"</f>
        <v>92193</v>
      </c>
      <c r="C31417" s="1">
        <v>7.4388680485443497E-4</v>
      </c>
      <c r="D31417" s="1">
        <v>1.28282939748399E-3</v>
      </c>
      <c r="E31417" s="1">
        <v>2.1103279449626401E-5</v>
      </c>
      <c r="F31417" s="1">
        <v>7.4994845283056803E-4</v>
      </c>
    </row>
    <row r="31418" spans="1:6" x14ac:dyDescent="0.25">
      <c r="A31418" s="2" t="str">
        <f t="shared" si="1139"/>
        <v>41740</v>
      </c>
      <c r="B31418" s="2" t="str">
        <f>"92175"</f>
        <v>92175</v>
      </c>
      <c r="C31418" s="1">
        <v>8.9710528107818399E-4</v>
      </c>
      <c r="D31418" s="1">
        <v>1.1310968881041699E-3</v>
      </c>
      <c r="E31418" s="1">
        <v>2.1103279449626401E-5</v>
      </c>
      <c r="F31418" s="1">
        <v>8.6624389606078996E-4</v>
      </c>
    </row>
    <row r="31419" spans="1:6" x14ac:dyDescent="0.25">
      <c r="A31419" s="2" t="str">
        <f t="shared" si="1139"/>
        <v>41740</v>
      </c>
      <c r="B31419" s="2" t="str">
        <f>"92169"</f>
        <v>92169</v>
      </c>
      <c r="C31419" s="1">
        <v>1.7031676994726901E-3</v>
      </c>
      <c r="D31419" s="1">
        <v>3.5105385124696502E-3</v>
      </c>
      <c r="E31419" s="1">
        <v>2.1103279449626401E-5</v>
      </c>
      <c r="F31419" s="1">
        <v>1.76769073709937E-3</v>
      </c>
    </row>
    <row r="31420" spans="1:6" x14ac:dyDescent="0.25">
      <c r="A31420" s="2" t="str">
        <f t="shared" si="1139"/>
        <v>41740</v>
      </c>
      <c r="B31420" s="2" t="str">
        <f>"92195"</f>
        <v>92195</v>
      </c>
      <c r="C31420" s="1">
        <v>1.0888134228267401E-3</v>
      </c>
      <c r="D31420" s="1">
        <v>1.60698521297726E-3</v>
      </c>
      <c r="E31420" s="1">
        <v>2.1103279449626401E-5</v>
      </c>
      <c r="F31420" s="1">
        <v>1.07243257378788E-3</v>
      </c>
    </row>
    <row r="31421" spans="1:6" x14ac:dyDescent="0.25">
      <c r="A31421" s="2" t="str">
        <f t="shared" si="1139"/>
        <v>41740</v>
      </c>
      <c r="B31421" s="2" t="str">
        <f>"92172"</f>
        <v>92172</v>
      </c>
      <c r="C31421" s="1">
        <v>1.38414758714208E-3</v>
      </c>
      <c r="D31421" s="1">
        <v>2.9656808651511799E-3</v>
      </c>
      <c r="E31421" s="1">
        <v>2.1103279449626401E-5</v>
      </c>
      <c r="F31421" s="1">
        <v>1.44709248819444E-3</v>
      </c>
    </row>
    <row r="31422" spans="1:6" x14ac:dyDescent="0.25">
      <c r="A31422" s="2" t="str">
        <f t="shared" si="1139"/>
        <v>41740</v>
      </c>
      <c r="B31422" s="2" t="str">
        <f>"92059"</f>
        <v>92059</v>
      </c>
      <c r="C31422" s="1">
        <v>3.8341628349711102E-4</v>
      </c>
      <c r="D31422" s="1">
        <v>1.65526373868903E-4</v>
      </c>
      <c r="E31422" s="1">
        <v>3.1654919174439699E-5</v>
      </c>
      <c r="F31422" s="1">
        <v>3.4260008951606002E-4</v>
      </c>
    </row>
    <row r="31423" spans="1:6" x14ac:dyDescent="0.25">
      <c r="A31423" s="2" t="str">
        <f t="shared" si="1139"/>
        <v>41740</v>
      </c>
      <c r="B31423" s="2" t="str">
        <f>"92113"</f>
        <v>92113</v>
      </c>
      <c r="C31423" s="1">
        <v>1.0256015490610001E-2</v>
      </c>
      <c r="D31423" s="1">
        <v>7.8762966232619695E-3</v>
      </c>
      <c r="E31423" s="1">
        <v>1.3273962773815E-2</v>
      </c>
      <c r="F31423" s="1">
        <v>1.0218912027840499E-2</v>
      </c>
    </row>
    <row r="31424" spans="1:6" x14ac:dyDescent="0.25">
      <c r="A31424" s="2" t="str">
        <f t="shared" si="1139"/>
        <v>41740</v>
      </c>
      <c r="B31424" s="2" t="str">
        <f>"92106"</f>
        <v>92106</v>
      </c>
      <c r="C31424" s="1">
        <v>6.1768511308559803E-3</v>
      </c>
      <c r="D31424" s="1">
        <v>8.0142352681527203E-3</v>
      </c>
      <c r="E31424" s="1">
        <v>5.0753387076351601E-3</v>
      </c>
      <c r="F31424" s="1">
        <v>6.2786966863970697E-3</v>
      </c>
    </row>
    <row r="31425" spans="1:6" x14ac:dyDescent="0.25">
      <c r="A31425" s="2" t="str">
        <f t="shared" si="1139"/>
        <v>41740</v>
      </c>
      <c r="B31425" s="2" t="str">
        <f>"92093"</f>
        <v>92093</v>
      </c>
      <c r="C31425" s="1">
        <v>0</v>
      </c>
      <c r="D31425" s="1">
        <v>4.0278084308099701E-3</v>
      </c>
      <c r="E31425" s="1">
        <v>3.1654919174439699E-5</v>
      </c>
      <c r="F31425" s="1">
        <v>3.69002298249407E-4</v>
      </c>
    </row>
    <row r="31426" spans="1:6" x14ac:dyDescent="0.25">
      <c r="A31426" s="2" t="str">
        <f t="shared" ref="A31426:A31457" si="1140">"41740"</f>
        <v>41740</v>
      </c>
      <c r="B31426" s="2" t="str">
        <f>"92028"</f>
        <v>92028</v>
      </c>
      <c r="C31426" s="1">
        <v>1.3748952636986099E-2</v>
      </c>
      <c r="D31426" s="1">
        <v>8.0211322003972598E-3</v>
      </c>
      <c r="E31426" s="1">
        <v>5.8878149664457801E-3</v>
      </c>
      <c r="F31426" s="1">
        <v>1.27585530583815E-2</v>
      </c>
    </row>
    <row r="31427" spans="1:6" x14ac:dyDescent="0.25">
      <c r="A31427" s="2" t="str">
        <f t="shared" si="1140"/>
        <v>41740</v>
      </c>
      <c r="B31427" s="2" t="str">
        <f>"91933"</f>
        <v>91933</v>
      </c>
      <c r="C31427" s="1">
        <v>1.1191610437212901E-3</v>
      </c>
      <c r="D31427" s="1">
        <v>1.0759214301478701E-3</v>
      </c>
      <c r="E31427" s="1">
        <v>2.1103279449626401E-5</v>
      </c>
      <c r="F31427" s="1">
        <v>1.0498021091592999E-3</v>
      </c>
    </row>
    <row r="31428" spans="1:6" x14ac:dyDescent="0.25">
      <c r="A31428" s="2" t="str">
        <f t="shared" si="1140"/>
        <v>41740</v>
      </c>
      <c r="B31428" s="2" t="str">
        <f>"91913"</f>
        <v>91913</v>
      </c>
      <c r="C31428" s="1">
        <v>1.2628311221513901E-2</v>
      </c>
      <c r="D31428" s="1">
        <v>1.22765393952769E-3</v>
      </c>
      <c r="E31428" s="1">
        <v>1.50888448064829E-2</v>
      </c>
      <c r="F31428" s="1">
        <v>1.1735781781972999E-2</v>
      </c>
    </row>
    <row r="31429" spans="1:6" x14ac:dyDescent="0.25">
      <c r="A31429" s="2" t="str">
        <f t="shared" si="1140"/>
        <v>41740</v>
      </c>
      <c r="B31429" s="2" t="str">
        <f>"91908"</f>
        <v>91908</v>
      </c>
      <c r="C31429" s="1">
        <v>7.6091107999040695E-4</v>
      </c>
      <c r="D31429" s="1">
        <v>2.4208232178327001E-3</v>
      </c>
      <c r="E31429" s="1">
        <v>2.1103279449626401E-5</v>
      </c>
      <c r="F31429" s="1">
        <v>8.6812976811317195E-4</v>
      </c>
    </row>
    <row r="31430" spans="1:6" x14ac:dyDescent="0.25">
      <c r="A31430" s="2" t="str">
        <f t="shared" si="1140"/>
        <v>41740</v>
      </c>
      <c r="B31430" s="2" t="str">
        <f>"91910"</f>
        <v>91910</v>
      </c>
      <c r="C31430" s="1">
        <v>2.0512030981220002E-2</v>
      </c>
      <c r="D31430" s="1">
        <v>1.5304292650628999E-2</v>
      </c>
      <c r="E31430" s="1">
        <v>3.5907229983539402E-2</v>
      </c>
      <c r="F31430" s="1">
        <v>2.0954552998033601E-2</v>
      </c>
    </row>
    <row r="31431" spans="1:6" x14ac:dyDescent="0.25">
      <c r="A31431" s="2" t="str">
        <f t="shared" si="1140"/>
        <v>41740</v>
      </c>
      <c r="B31431" s="2" t="str">
        <f>"91902"</f>
        <v>91902</v>
      </c>
      <c r="C31431" s="1">
        <v>4.5358590449233599E-3</v>
      </c>
      <c r="D31431" s="1">
        <v>2.2621937762083398E-3</v>
      </c>
      <c r="E31431" s="1">
        <v>1.2134385683535199E-3</v>
      </c>
      <c r="F31431" s="1">
        <v>4.1306884187340001E-3</v>
      </c>
    </row>
    <row r="31432" spans="1:6" x14ac:dyDescent="0.25">
      <c r="A31432" s="2" t="str">
        <f t="shared" si="1140"/>
        <v>41740</v>
      </c>
      <c r="B31432" s="2" t="str">
        <f>"92026"</f>
        <v>92026</v>
      </c>
      <c r="C31432" s="1">
        <v>1.3679375164691299E-2</v>
      </c>
      <c r="D31432" s="1">
        <v>2.8829176782167198E-3</v>
      </c>
      <c r="E31432" s="1">
        <v>6.9324272992022902E-3</v>
      </c>
      <c r="F31432" s="1">
        <v>1.22933712854606E-2</v>
      </c>
    </row>
    <row r="31433" spans="1:6" x14ac:dyDescent="0.25">
      <c r="A31433" s="2" t="str">
        <f t="shared" si="1140"/>
        <v>41740</v>
      </c>
      <c r="B31433" s="2" t="str">
        <f>"92027"</f>
        <v>92027</v>
      </c>
      <c r="C31433" s="1">
        <v>1.29229051999538E-2</v>
      </c>
      <c r="D31433" s="1">
        <v>4.4485212977267699E-3</v>
      </c>
      <c r="E31433" s="1">
        <v>6.7530494238804703E-3</v>
      </c>
      <c r="F31433" s="1">
        <v>1.1782928583282601E-2</v>
      </c>
    </row>
    <row r="31434" spans="1:6" x14ac:dyDescent="0.25">
      <c r="A31434" s="2" t="str">
        <f t="shared" si="1140"/>
        <v>41740</v>
      </c>
      <c r="B31434" s="2" t="str">
        <f>"91948"</f>
        <v>91948</v>
      </c>
      <c r="C31434" s="1">
        <v>0</v>
      </c>
      <c r="D31434" s="1">
        <v>6.8969322445376199E-6</v>
      </c>
      <c r="E31434" s="1">
        <v>0</v>
      </c>
      <c r="F31434" s="1">
        <v>6.2862401746066002E-7</v>
      </c>
    </row>
    <row r="31435" spans="1:6" x14ac:dyDescent="0.25">
      <c r="A31435" s="2" t="str">
        <f t="shared" si="1140"/>
        <v>41740</v>
      </c>
      <c r="B31435" s="2" t="str">
        <f>"91962"</f>
        <v>91962</v>
      </c>
      <c r="C31435" s="1">
        <v>2.82010818556755E-4</v>
      </c>
      <c r="D31435" s="1">
        <v>1.9311410284705301E-4</v>
      </c>
      <c r="E31435" s="1">
        <v>3.1654919174439699E-5</v>
      </c>
      <c r="F31435" s="1">
        <v>2.5899309519379198E-4</v>
      </c>
    </row>
    <row r="31436" spans="1:6" x14ac:dyDescent="0.25">
      <c r="A31436" s="2" t="str">
        <f t="shared" si="1140"/>
        <v>41740</v>
      </c>
      <c r="B31436" s="2" t="str">
        <f>"92672"</f>
        <v>92672</v>
      </c>
      <c r="C31436" s="1">
        <v>9.3559494660298999E-4</v>
      </c>
      <c r="D31436" s="1">
        <v>2.06907967336128E-5</v>
      </c>
      <c r="E31436" s="1">
        <v>1.81488203266787E-3</v>
      </c>
      <c r="F31436" s="1">
        <v>9.0458996112589005E-4</v>
      </c>
    </row>
    <row r="31437" spans="1:6" x14ac:dyDescent="0.25">
      <c r="A31437" s="2" t="str">
        <f t="shared" si="1140"/>
        <v>41740</v>
      </c>
      <c r="B31437" s="2" t="str">
        <f>"92142"</f>
        <v>92142</v>
      </c>
      <c r="C31437" s="1">
        <v>7.3574476022418697E-4</v>
      </c>
      <c r="D31437" s="1">
        <v>1.2552416685058399E-3</v>
      </c>
      <c r="E31437" s="1">
        <v>2.1103279449626401E-5</v>
      </c>
      <c r="F31437" s="1">
        <v>7.4051909256865796E-4</v>
      </c>
    </row>
    <row r="31438" spans="1:6" x14ac:dyDescent="0.25">
      <c r="A31438" s="2" t="str">
        <f t="shared" si="1140"/>
        <v>41740</v>
      </c>
      <c r="B31438" s="2" t="str">
        <f>"92150"</f>
        <v>92150</v>
      </c>
      <c r="C31438" s="1">
        <v>2.5025684449879E-3</v>
      </c>
      <c r="D31438" s="1">
        <v>5.2071838446259098E-3</v>
      </c>
      <c r="E31438" s="1">
        <v>2.1103279449626401E-5</v>
      </c>
      <c r="F31438" s="1">
        <v>2.60124618425221E-3</v>
      </c>
    </row>
    <row r="31439" spans="1:6" x14ac:dyDescent="0.25">
      <c r="A31439" s="2" t="str">
        <f t="shared" si="1140"/>
        <v>41740</v>
      </c>
      <c r="B31439" s="2" t="str">
        <f>"92158"</f>
        <v>92158</v>
      </c>
      <c r="C31439" s="1">
        <v>0</v>
      </c>
      <c r="D31439" s="1">
        <v>6.8969322445376199E-6</v>
      </c>
      <c r="E31439" s="1">
        <v>0</v>
      </c>
      <c r="F31439" s="1">
        <v>6.2862401746066002E-7</v>
      </c>
    </row>
    <row r="31440" spans="1:6" x14ac:dyDescent="0.25">
      <c r="A31440" s="2" t="str">
        <f t="shared" si="1140"/>
        <v>41740</v>
      </c>
      <c r="B31440" s="2" t="str">
        <f>"92196"</f>
        <v>92196</v>
      </c>
      <c r="C31440" s="1">
        <v>1.20724316290306E-3</v>
      </c>
      <c r="D31440" s="1">
        <v>2.4346170823217801E-3</v>
      </c>
      <c r="E31440" s="1">
        <v>2.1103279449626401E-5</v>
      </c>
      <c r="F31440" s="1">
        <v>1.2484472986768701E-3</v>
      </c>
    </row>
    <row r="31441" spans="1:6" x14ac:dyDescent="0.25">
      <c r="A31441" s="2" t="str">
        <f t="shared" si="1140"/>
        <v>41740</v>
      </c>
      <c r="B31441" s="2" t="str">
        <f>"92161"</f>
        <v>92161</v>
      </c>
      <c r="C31441" s="1">
        <v>0</v>
      </c>
      <c r="D31441" s="1">
        <v>6.8969322445376199E-6</v>
      </c>
      <c r="E31441" s="1">
        <v>0</v>
      </c>
      <c r="F31441" s="1">
        <v>6.2862401746066002E-7</v>
      </c>
    </row>
    <row r="31442" spans="1:6" x14ac:dyDescent="0.25">
      <c r="A31442" s="2" t="str">
        <f t="shared" si="1140"/>
        <v>41740</v>
      </c>
      <c r="B31442" s="2" t="str">
        <f>"92198"</f>
        <v>92198</v>
      </c>
      <c r="C31442" s="1">
        <v>1.1850375866387501E-3</v>
      </c>
      <c r="D31442" s="1">
        <v>3.44846612226881E-3</v>
      </c>
      <c r="E31442" s="1">
        <v>2.1103279449626401E-5</v>
      </c>
      <c r="F31442" s="1">
        <v>1.32199630871976E-3</v>
      </c>
    </row>
    <row r="31443" spans="1:6" x14ac:dyDescent="0.25">
      <c r="A31443" s="2" t="str">
        <f t="shared" si="1140"/>
        <v>41740</v>
      </c>
      <c r="B31443" s="2" t="str">
        <f>"92115"</f>
        <v>92115</v>
      </c>
      <c r="C31443" s="1">
        <v>1.7290742051143799E-2</v>
      </c>
      <c r="D31443" s="1">
        <v>9.7660560582652801E-3</v>
      </c>
      <c r="E31443" s="1">
        <v>1.9246190858059301E-2</v>
      </c>
      <c r="F31443" s="1">
        <v>1.67213988644535E-2</v>
      </c>
    </row>
    <row r="31444" spans="1:6" x14ac:dyDescent="0.25">
      <c r="A31444" s="2" t="str">
        <f t="shared" si="1140"/>
        <v>41740</v>
      </c>
      <c r="B31444" s="2" t="str">
        <f>"92079"</f>
        <v>92079</v>
      </c>
      <c r="C31444" s="1">
        <v>1.13544513298179E-3</v>
      </c>
      <c r="D31444" s="1">
        <v>3.2829397483999101E-3</v>
      </c>
      <c r="E31444" s="1">
        <v>2.1103279449626401E-5</v>
      </c>
      <c r="F31444" s="1">
        <v>1.26479152313084E-3</v>
      </c>
    </row>
    <row r="31445" spans="1:6" x14ac:dyDescent="0.25">
      <c r="A31445" s="2" t="str">
        <f t="shared" si="1140"/>
        <v>41740</v>
      </c>
      <c r="B31445" s="2" t="str">
        <f>"92066"</f>
        <v>92066</v>
      </c>
      <c r="C31445" s="1">
        <v>1.4507643159350099E-4</v>
      </c>
      <c r="D31445" s="1">
        <v>2.75877289781505E-5</v>
      </c>
      <c r="E31445" s="1">
        <v>1.05516397248132E-5</v>
      </c>
      <c r="F31445" s="1">
        <v>1.2635342750959199E-4</v>
      </c>
    </row>
    <row r="31446" spans="1:6" x14ac:dyDescent="0.25">
      <c r="A31446" s="2" t="str">
        <f t="shared" si="1140"/>
        <v>41740</v>
      </c>
      <c r="B31446" s="2" t="str">
        <f>"92065"</f>
        <v>92065</v>
      </c>
      <c r="C31446" s="1">
        <v>1.13699952332029E-2</v>
      </c>
      <c r="D31446" s="1">
        <v>9.4350033105274692E-3</v>
      </c>
      <c r="E31446" s="1">
        <v>2.81728780652513E-3</v>
      </c>
      <c r="F31446" s="1">
        <v>1.06840938007613E-2</v>
      </c>
    </row>
    <row r="31447" spans="1:6" x14ac:dyDescent="0.25">
      <c r="A31447" s="2" t="str">
        <f t="shared" si="1140"/>
        <v>41740</v>
      </c>
      <c r="B31447" s="2" t="str">
        <f>"92102"</f>
        <v>92102</v>
      </c>
      <c r="C31447" s="1">
        <v>1.1136836682427599E-2</v>
      </c>
      <c r="D31447" s="1">
        <v>6.7176120061796501E-3</v>
      </c>
      <c r="E31447" s="1">
        <v>1.48145021736377E-2</v>
      </c>
      <c r="F31447" s="1">
        <v>1.09531448802345E-2</v>
      </c>
    </row>
    <row r="31448" spans="1:6" x14ac:dyDescent="0.25">
      <c r="A31448" s="2" t="str">
        <f t="shared" si="1140"/>
        <v>41740</v>
      </c>
      <c r="B31448" s="2" t="str">
        <f>"92088"</f>
        <v>92088</v>
      </c>
      <c r="C31448" s="1">
        <v>1.3204916018510499E-3</v>
      </c>
      <c r="D31448" s="1">
        <v>3.3450121386007499E-3</v>
      </c>
      <c r="E31448" s="1">
        <v>2.1103279449626401E-5</v>
      </c>
      <c r="F31448" s="1">
        <v>1.4276051436531601E-3</v>
      </c>
    </row>
    <row r="31449" spans="1:6" x14ac:dyDescent="0.25">
      <c r="A31449" s="2" t="str">
        <f t="shared" si="1140"/>
        <v>41740</v>
      </c>
      <c r="B31449" s="2" t="str">
        <f>"92091"</f>
        <v>92091</v>
      </c>
      <c r="C31449" s="1">
        <v>6.9799528057485705E-4</v>
      </c>
      <c r="D31449" s="1">
        <v>3.5864047671595601E-4</v>
      </c>
      <c r="E31449" s="1">
        <v>2.84894272569957E-4</v>
      </c>
      <c r="F31449" s="1">
        <v>6.4245374584479497E-4</v>
      </c>
    </row>
    <row r="31450" spans="1:6" x14ac:dyDescent="0.25">
      <c r="A31450" s="2" t="str">
        <f t="shared" si="1140"/>
        <v>41740</v>
      </c>
      <c r="B31450" s="2" t="str">
        <f>"92101"</f>
        <v>92101</v>
      </c>
      <c r="C31450" s="1">
        <v>2.2204836078435999E-2</v>
      </c>
      <c r="D31450" s="1">
        <v>4.8775104833370102E-2</v>
      </c>
      <c r="E31450" s="1">
        <v>1.87291605115434E-2</v>
      </c>
      <c r="F31450" s="1">
        <v>2.4419528582276799E-2</v>
      </c>
    </row>
    <row r="31451" spans="1:6" x14ac:dyDescent="0.25">
      <c r="A31451" s="2" t="str">
        <f t="shared" si="1140"/>
        <v>41740</v>
      </c>
      <c r="B31451" s="2" t="str">
        <f>"92030"</f>
        <v>92030</v>
      </c>
      <c r="C31451" s="1">
        <v>1.07771063469458E-3</v>
      </c>
      <c r="D31451" s="1">
        <v>1.8207901125579301E-3</v>
      </c>
      <c r="E31451" s="1">
        <v>2.1103279449626401E-5</v>
      </c>
      <c r="F31451" s="1">
        <v>1.0824905580672499E-3</v>
      </c>
    </row>
    <row r="31452" spans="1:6" x14ac:dyDescent="0.25">
      <c r="A31452" s="2" t="str">
        <f t="shared" si="1140"/>
        <v>41740</v>
      </c>
      <c r="B31452" s="2" t="str">
        <f>"91921"</f>
        <v>91921</v>
      </c>
      <c r="C31452" s="1">
        <v>1.24573282842787E-3</v>
      </c>
      <c r="D31452" s="1">
        <v>2.7932575590377401E-3</v>
      </c>
      <c r="E31452" s="1">
        <v>3.1654919174439699E-5</v>
      </c>
      <c r="F31452" s="1">
        <v>1.3144528205102401E-3</v>
      </c>
    </row>
    <row r="31453" spans="1:6" x14ac:dyDescent="0.25">
      <c r="A31453" s="2" t="str">
        <f t="shared" si="1140"/>
        <v>41740</v>
      </c>
      <c r="B31453" s="2" t="str">
        <f>"91932"</f>
        <v>91932</v>
      </c>
      <c r="C31453" s="1">
        <v>7.6135519151569299E-3</v>
      </c>
      <c r="D31453" s="1">
        <v>2.9863716618847898E-3</v>
      </c>
      <c r="E31453" s="1">
        <v>9.7813700249018594E-3</v>
      </c>
      <c r="F31453" s="1">
        <v>7.3209553073468499E-3</v>
      </c>
    </row>
    <row r="31454" spans="1:6" x14ac:dyDescent="0.25">
      <c r="A31454" s="2" t="str">
        <f t="shared" si="1140"/>
        <v>41740</v>
      </c>
      <c r="B31454" s="2" t="str">
        <f>"92010"</f>
        <v>92010</v>
      </c>
      <c r="C31454" s="1">
        <v>5.4966203112925697E-3</v>
      </c>
      <c r="D31454" s="1">
        <v>5.3037408960494303E-3</v>
      </c>
      <c r="E31454" s="1">
        <v>3.9885198159793998E-3</v>
      </c>
      <c r="F31454" s="1">
        <v>5.3891937016902402E-3</v>
      </c>
    </row>
    <row r="31455" spans="1:6" x14ac:dyDescent="0.25">
      <c r="A31455" s="2" t="str">
        <f t="shared" si="1140"/>
        <v>41740</v>
      </c>
      <c r="B31455" s="2" t="str">
        <f>"91980"</f>
        <v>91980</v>
      </c>
      <c r="C31455" s="1">
        <v>1.24943375780526E-3</v>
      </c>
      <c r="D31455" s="1">
        <v>6.8279629220922497E-4</v>
      </c>
      <c r="E31455" s="1">
        <v>1.05516397248132E-5</v>
      </c>
      <c r="F31455" s="1">
        <v>1.1239797432196601E-3</v>
      </c>
    </row>
    <row r="31456" spans="1:6" x14ac:dyDescent="0.25">
      <c r="A31456" s="2" t="str">
        <f t="shared" si="1140"/>
        <v>41740</v>
      </c>
      <c r="B31456" s="2" t="str">
        <f>"92019"</f>
        <v>92019</v>
      </c>
      <c r="C31456" s="1">
        <v>1.154393891394E-2</v>
      </c>
      <c r="D31456" s="1">
        <v>4.0140145663208997E-3</v>
      </c>
      <c r="E31456" s="1">
        <v>1.1195289748026801E-2</v>
      </c>
      <c r="F31456" s="1">
        <v>1.08368494370043E-2</v>
      </c>
    </row>
    <row r="31457" spans="1:6" x14ac:dyDescent="0.25">
      <c r="A31457" s="2" t="str">
        <f t="shared" si="1140"/>
        <v>41740</v>
      </c>
      <c r="B31457" s="2" t="str">
        <f>"91963"</f>
        <v>91963</v>
      </c>
      <c r="C31457" s="1">
        <v>5.7512442524566701E-4</v>
      </c>
      <c r="D31457" s="1">
        <v>1.3793864489075201E-4</v>
      </c>
      <c r="E31457" s="1">
        <v>3.1654919174439699E-5</v>
      </c>
      <c r="F31457" s="1">
        <v>5.0289921396852802E-4</v>
      </c>
    </row>
    <row r="31458" spans="1:6" x14ac:dyDescent="0.25">
      <c r="A31458" s="2" t="str">
        <f t="shared" ref="A31458:A31489" si="1141">"41740"</f>
        <v>41740</v>
      </c>
      <c r="B31458" s="2" t="str">
        <f>"92132"</f>
        <v>92132</v>
      </c>
      <c r="C31458" s="1">
        <v>0</v>
      </c>
      <c r="D31458" s="1">
        <v>8.82807327300816E-4</v>
      </c>
      <c r="E31458" s="1">
        <v>4.2206558899252903E-5</v>
      </c>
      <c r="F31458" s="1">
        <v>8.2978370304807194E-5</v>
      </c>
    </row>
    <row r="31459" spans="1:6" x14ac:dyDescent="0.25">
      <c r="A31459" s="2" t="str">
        <f t="shared" si="1141"/>
        <v>41740</v>
      </c>
      <c r="B31459" s="2" t="str">
        <f>"92153"</f>
        <v>92153</v>
      </c>
      <c r="C31459" s="1">
        <v>1.54180717861869E-3</v>
      </c>
      <c r="D31459" s="1">
        <v>1.0000551754579499E-3</v>
      </c>
      <c r="E31459" s="1">
        <v>3.1654919174439699E-5</v>
      </c>
      <c r="F31459" s="1">
        <v>1.40246018295473E-3</v>
      </c>
    </row>
    <row r="31460" spans="1:6" x14ac:dyDescent="0.25">
      <c r="A31460" s="2" t="str">
        <f t="shared" si="1141"/>
        <v>41740</v>
      </c>
      <c r="B31460" s="2" t="str">
        <f>"92127"</f>
        <v>92127</v>
      </c>
      <c r="C31460" s="1">
        <v>1.26016645299967E-2</v>
      </c>
      <c r="D31460" s="1">
        <v>7.7797395718384402E-3</v>
      </c>
      <c r="E31460" s="1">
        <v>1.1617355337019301E-2</v>
      </c>
      <c r="F31460" s="1">
        <v>1.2103526832187499E-2</v>
      </c>
    </row>
    <row r="31461" spans="1:6" x14ac:dyDescent="0.25">
      <c r="A31461" s="2" t="str">
        <f t="shared" si="1141"/>
        <v>41740</v>
      </c>
      <c r="B31461" s="2" t="str">
        <f>"92199"</f>
        <v>92199</v>
      </c>
      <c r="C31461" s="1">
        <v>0</v>
      </c>
      <c r="D31461" s="1">
        <v>6.8969322445376199E-6</v>
      </c>
      <c r="E31461" s="1">
        <v>1.05516397248132E-5</v>
      </c>
      <c r="F31461" s="1">
        <v>1.25724803492132E-6</v>
      </c>
    </row>
    <row r="31462" spans="1:6" x14ac:dyDescent="0.25">
      <c r="A31462" s="2" t="str">
        <f t="shared" si="1141"/>
        <v>41740</v>
      </c>
      <c r="B31462" s="2" t="str">
        <f>"92166"</f>
        <v>92166</v>
      </c>
      <c r="C31462" s="1">
        <v>9.6816312512398102E-4</v>
      </c>
      <c r="D31462" s="1">
        <v>1.79320238357978E-3</v>
      </c>
      <c r="E31462" s="1">
        <v>2.1103279449626401E-5</v>
      </c>
      <c r="F31462" s="1">
        <v>9.8693970741323698E-4</v>
      </c>
    </row>
    <row r="31463" spans="1:6" x14ac:dyDescent="0.25">
      <c r="A31463" s="2" t="str">
        <f t="shared" si="1141"/>
        <v>41740</v>
      </c>
      <c r="B31463" s="2" t="str">
        <f>"92165"</f>
        <v>92165</v>
      </c>
      <c r="C31463" s="1">
        <v>7.9569981613782797E-4</v>
      </c>
      <c r="D31463" s="1">
        <v>6.62105495475612E-4</v>
      </c>
      <c r="E31463" s="1">
        <v>2.1103279449626401E-5</v>
      </c>
      <c r="F31463" s="1">
        <v>7.3737597248135496E-4</v>
      </c>
    </row>
    <row r="31464" spans="1:6" x14ac:dyDescent="0.25">
      <c r="A31464" s="2" t="str">
        <f t="shared" si="1141"/>
        <v>41740</v>
      </c>
      <c r="B31464" s="2" t="str">
        <f>"92074"</f>
        <v>92074</v>
      </c>
      <c r="C31464" s="1">
        <v>8.4529226979479001E-4</v>
      </c>
      <c r="D31464" s="1">
        <v>2.4277201500772401E-3</v>
      </c>
      <c r="E31464" s="1">
        <v>2.1103279449626401E-5</v>
      </c>
      <c r="F31464" s="1">
        <v>9.4042153012114803E-4</v>
      </c>
    </row>
    <row r="31465" spans="1:6" x14ac:dyDescent="0.25">
      <c r="A31465" s="2" t="str">
        <f t="shared" si="1141"/>
        <v>41740</v>
      </c>
      <c r="B31465" s="2" t="str">
        <f>"92081"</f>
        <v>92081</v>
      </c>
      <c r="C31465" s="1">
        <v>8.3455957460037301E-3</v>
      </c>
      <c r="D31465" s="1">
        <v>1.27938093136173E-2</v>
      </c>
      <c r="E31465" s="1">
        <v>8.8633773688431092E-3</v>
      </c>
      <c r="F31465" s="1">
        <v>8.7818775239254295E-3</v>
      </c>
    </row>
    <row r="31466" spans="1:6" x14ac:dyDescent="0.25">
      <c r="A31466" s="2" t="str">
        <f t="shared" si="1141"/>
        <v>41740</v>
      </c>
      <c r="B31466" s="2" t="str">
        <f>"92067"</f>
        <v>92067</v>
      </c>
      <c r="C31466" s="1">
        <v>4.2464463676118299E-3</v>
      </c>
      <c r="D31466" s="1">
        <v>4.4347274332376899E-3</v>
      </c>
      <c r="E31466" s="1">
        <v>8.7578609715949804E-4</v>
      </c>
      <c r="F31466" s="1">
        <v>4.0627970248482501E-3</v>
      </c>
    </row>
    <row r="31467" spans="1:6" x14ac:dyDescent="0.25">
      <c r="A31467" s="2" t="str">
        <f t="shared" si="1141"/>
        <v>41740</v>
      </c>
      <c r="B31467" s="2" t="str">
        <f>"92071"</f>
        <v>92071</v>
      </c>
      <c r="C31467" s="1">
        <v>1.5813331043691599E-2</v>
      </c>
      <c r="D31467" s="1">
        <v>1.35179871992937E-2</v>
      </c>
      <c r="E31467" s="1">
        <v>1.72413793103448E-2</v>
      </c>
      <c r="F31467" s="1">
        <v>1.5689198227783099E-2</v>
      </c>
    </row>
    <row r="31468" spans="1:6" x14ac:dyDescent="0.25">
      <c r="A31468" s="2" t="str">
        <f t="shared" si="1141"/>
        <v>41740</v>
      </c>
      <c r="B31468" s="2" t="str">
        <f>"92112"</f>
        <v>92112</v>
      </c>
      <c r="C31468" s="1">
        <v>3.3708064769224799E-3</v>
      </c>
      <c r="D31468" s="1">
        <v>2.3587508276318599E-3</v>
      </c>
      <c r="E31468" s="1">
        <v>4.2206558899252903E-5</v>
      </c>
      <c r="F31468" s="1">
        <v>3.0802576855572302E-3</v>
      </c>
    </row>
    <row r="31469" spans="1:6" x14ac:dyDescent="0.25">
      <c r="A31469" s="2" t="str">
        <f t="shared" si="1141"/>
        <v>41740</v>
      </c>
      <c r="B31469" s="2" t="str">
        <f>"92103"</f>
        <v>92103</v>
      </c>
      <c r="C31469" s="1">
        <v>1.5058341450705099E-2</v>
      </c>
      <c r="D31469" s="1">
        <v>2.0166629883028E-2</v>
      </c>
      <c r="E31469" s="1">
        <v>2.0470181066137599E-2</v>
      </c>
      <c r="F31469" s="1">
        <v>1.5846354232148301E-2</v>
      </c>
    </row>
    <row r="31470" spans="1:6" x14ac:dyDescent="0.25">
      <c r="A31470" s="2" t="str">
        <f t="shared" si="1141"/>
        <v>41740</v>
      </c>
      <c r="B31470" s="2" t="str">
        <f>"92107"</f>
        <v>92107</v>
      </c>
      <c r="C31470" s="1">
        <v>1.0710489618152901E-2</v>
      </c>
      <c r="D31470" s="1">
        <v>4.29678878834694E-3</v>
      </c>
      <c r="E31470" s="1">
        <v>1.1838939771240399E-2</v>
      </c>
      <c r="F31470" s="1">
        <v>1.01931384431246E-2</v>
      </c>
    </row>
    <row r="31471" spans="1:6" x14ac:dyDescent="0.25">
      <c r="A31471" s="2" t="str">
        <f t="shared" si="1141"/>
        <v>41740</v>
      </c>
      <c r="B31471" s="2" t="str">
        <f>"92051"</f>
        <v>92051</v>
      </c>
      <c r="C31471" s="1">
        <v>1.34417754986632E-3</v>
      </c>
      <c r="D31471" s="1">
        <v>1.0621275656587899E-3</v>
      </c>
      <c r="E31471" s="1">
        <v>2.1103279449626401E-5</v>
      </c>
      <c r="F31471" s="1">
        <v>1.2396465624324199E-3</v>
      </c>
    </row>
    <row r="31472" spans="1:6" x14ac:dyDescent="0.25">
      <c r="A31472" s="2" t="str">
        <f t="shared" si="1141"/>
        <v>41740</v>
      </c>
      <c r="B31472" s="2" t="str">
        <f>"92054"</f>
        <v>92054</v>
      </c>
      <c r="C31472" s="1">
        <v>1.37556143098654E-2</v>
      </c>
      <c r="D31472" s="1">
        <v>1.35248841315382E-2</v>
      </c>
      <c r="E31472" s="1">
        <v>2.02696999113662E-2</v>
      </c>
      <c r="F31472" s="1">
        <v>1.4122667176271199E-2</v>
      </c>
    </row>
    <row r="31473" spans="1:6" x14ac:dyDescent="0.25">
      <c r="A31473" s="2" t="str">
        <f t="shared" si="1141"/>
        <v>41740</v>
      </c>
      <c r="B31473" s="2" t="str">
        <f>"92086"</f>
        <v>92086</v>
      </c>
      <c r="C31473" s="1">
        <v>5.2479178571322802E-4</v>
      </c>
      <c r="D31473" s="1">
        <v>1.9311410284705301E-4</v>
      </c>
      <c r="E31473" s="1">
        <v>4.3261722871734199E-4</v>
      </c>
      <c r="F31473" s="1">
        <v>4.8906948558439405E-4</v>
      </c>
    </row>
    <row r="31474" spans="1:6" x14ac:dyDescent="0.25">
      <c r="A31474" s="2" t="str">
        <f t="shared" si="1141"/>
        <v>41740</v>
      </c>
      <c r="B31474" s="2" t="str">
        <f>"92036"</f>
        <v>92036</v>
      </c>
      <c r="C31474" s="1">
        <v>5.2775252921513605E-4</v>
      </c>
      <c r="D31474" s="1">
        <v>2.5518649304789198E-4</v>
      </c>
      <c r="E31474" s="1">
        <v>3.59810914616131E-3</v>
      </c>
      <c r="F31474" s="1">
        <v>6.8582880304958005E-4</v>
      </c>
    </row>
    <row r="31475" spans="1:6" x14ac:dyDescent="0.25">
      <c r="A31475" s="2" t="str">
        <f t="shared" si="1141"/>
        <v>41740</v>
      </c>
      <c r="B31475" s="2" t="str">
        <f>"91934"</f>
        <v>91934</v>
      </c>
      <c r="C31475" s="1">
        <v>1.19169925951805E-4</v>
      </c>
      <c r="D31475" s="1">
        <v>2.06907967336128E-5</v>
      </c>
      <c r="E31475" s="1">
        <v>0</v>
      </c>
      <c r="F31475" s="1">
        <v>1.0309433886354801E-4</v>
      </c>
    </row>
    <row r="31476" spans="1:6" x14ac:dyDescent="0.25">
      <c r="A31476" s="2" t="str">
        <f t="shared" si="1141"/>
        <v>41740</v>
      </c>
      <c r="B31476" s="2" t="str">
        <f>"91917"</f>
        <v>91917</v>
      </c>
      <c r="C31476" s="1">
        <v>2.7534914567746199E-4</v>
      </c>
      <c r="D31476" s="1">
        <v>2.75877289781505E-5</v>
      </c>
      <c r="E31476" s="1">
        <v>1.7937787532182499E-4</v>
      </c>
      <c r="F31476" s="1">
        <v>2.4704923886203898E-4</v>
      </c>
    </row>
    <row r="31477" spans="1:6" x14ac:dyDescent="0.25">
      <c r="A31477" s="2" t="str">
        <f t="shared" si="1141"/>
        <v>41740</v>
      </c>
      <c r="B31477" s="2" t="str">
        <f>"91905"</f>
        <v>91905</v>
      </c>
      <c r="C31477" s="1">
        <v>4.0118074450856E-4</v>
      </c>
      <c r="D31477" s="1">
        <v>1.3793864489075201E-4</v>
      </c>
      <c r="E31477" s="1">
        <v>1.05516397248132E-4</v>
      </c>
      <c r="F31477" s="1">
        <v>3.5957293798749698E-4</v>
      </c>
    </row>
    <row r="31478" spans="1:6" x14ac:dyDescent="0.25">
      <c r="A31478" s="2" t="str">
        <f t="shared" si="1141"/>
        <v>41740</v>
      </c>
      <c r="B31478" s="2" t="str">
        <f>"92023"</f>
        <v>92023</v>
      </c>
      <c r="C31478" s="1">
        <v>1.83270022768117E-3</v>
      </c>
      <c r="D31478" s="1">
        <v>6.7314058706687196E-3</v>
      </c>
      <c r="E31478" s="1">
        <v>4.2206558899252903E-5</v>
      </c>
      <c r="F31478" s="1">
        <v>2.17252460434404E-3</v>
      </c>
    </row>
    <row r="31479" spans="1:6" x14ac:dyDescent="0.25">
      <c r="A31479" s="2" t="str">
        <f t="shared" si="1141"/>
        <v>41740</v>
      </c>
      <c r="B31479" s="2" t="str">
        <f>"92008"</f>
        <v>92008</v>
      </c>
      <c r="C31479" s="1">
        <v>9.3774148564187403E-3</v>
      </c>
      <c r="D31479" s="1">
        <v>2.1111509600529599E-2</v>
      </c>
      <c r="E31479" s="1">
        <v>2.1240450766049E-2</v>
      </c>
      <c r="F31479" s="1">
        <v>1.1153675941804501E-2</v>
      </c>
    </row>
    <row r="31480" spans="1:6" x14ac:dyDescent="0.25">
      <c r="A31480" s="2" t="str">
        <f t="shared" si="1141"/>
        <v>41740</v>
      </c>
      <c r="B31480" s="2" t="str">
        <f>"91944"</f>
        <v>91944</v>
      </c>
      <c r="C31480" s="1">
        <v>9.0968844096129403E-4</v>
      </c>
      <c r="D31480" s="1">
        <v>2.7725667623041202E-3</v>
      </c>
      <c r="E31480" s="1">
        <v>2.1103279449626401E-5</v>
      </c>
      <c r="F31480" s="1">
        <v>1.0265430205132499E-3</v>
      </c>
    </row>
    <row r="31481" spans="1:6" x14ac:dyDescent="0.25">
      <c r="A31481" s="2" t="str">
        <f t="shared" si="1141"/>
        <v>41740</v>
      </c>
      <c r="B31481" s="2" t="str">
        <f>"91941"</f>
        <v>91941</v>
      </c>
      <c r="C31481" s="1">
        <v>9.6468425150923898E-3</v>
      </c>
      <c r="D31481" s="1">
        <v>3.2484550871772198E-3</v>
      </c>
      <c r="E31481" s="1">
        <v>8.1036593086565595E-3</v>
      </c>
      <c r="F31481" s="1">
        <v>8.9717219771985393E-3</v>
      </c>
    </row>
    <row r="31482" spans="1:6" x14ac:dyDescent="0.25">
      <c r="A31482" s="2" t="str">
        <f t="shared" si="1141"/>
        <v>41740</v>
      </c>
      <c r="B31482" s="2" t="str">
        <f>"91977"</f>
        <v>91977</v>
      </c>
      <c r="C31482" s="1">
        <v>1.42611612628163E-2</v>
      </c>
      <c r="D31482" s="1">
        <v>7.0348708894283803E-3</v>
      </c>
      <c r="E31482" s="1">
        <v>1.0920947115181601E-2</v>
      </c>
      <c r="F31482" s="1">
        <v>1.3403521300296199E-2</v>
      </c>
    </row>
    <row r="31483" spans="1:6" x14ac:dyDescent="0.25">
      <c r="A31483" s="2" t="str">
        <f t="shared" si="1141"/>
        <v>41740</v>
      </c>
      <c r="B31483" s="2" t="str">
        <f>"92536"</f>
        <v>92536</v>
      </c>
      <c r="C31483" s="1">
        <v>8.1420446302475408E-6</v>
      </c>
      <c r="D31483" s="1">
        <v>0</v>
      </c>
      <c r="E31483" s="1">
        <v>2.1103279449626401E-5</v>
      </c>
      <c r="F31483" s="1">
        <v>8.1721122269885808E-6</v>
      </c>
    </row>
    <row r="31484" spans="1:6" x14ac:dyDescent="0.25">
      <c r="A31484" s="2" t="str">
        <f t="shared" si="1141"/>
        <v>41740</v>
      </c>
      <c r="B31484" s="2" t="str">
        <f>"92145"</f>
        <v>92145</v>
      </c>
      <c r="C31484" s="1">
        <v>0</v>
      </c>
      <c r="D31484" s="1">
        <v>3.9312513793864399E-4</v>
      </c>
      <c r="E31484" s="1">
        <v>5.27581986240661E-5</v>
      </c>
      <c r="F31484" s="1">
        <v>3.8974689082560899E-5</v>
      </c>
    </row>
    <row r="31485" spans="1:6" x14ac:dyDescent="0.25">
      <c r="A31485" s="2" t="str">
        <f t="shared" si="1141"/>
        <v>41740</v>
      </c>
      <c r="B31485" s="2" t="str">
        <f>"92135"</f>
        <v>92135</v>
      </c>
      <c r="C31485" s="1">
        <v>0</v>
      </c>
      <c r="D31485" s="1">
        <v>0</v>
      </c>
      <c r="E31485" s="1">
        <v>2.1103279449626401E-5</v>
      </c>
      <c r="F31485" s="1">
        <v>1.25724803492132E-6</v>
      </c>
    </row>
    <row r="31486" spans="1:6" x14ac:dyDescent="0.25">
      <c r="A31486" s="2" t="str">
        <f t="shared" si="1141"/>
        <v>41740</v>
      </c>
      <c r="B31486" s="2" t="str">
        <f>"92152"</f>
        <v>92152</v>
      </c>
      <c r="C31486" s="1">
        <v>0</v>
      </c>
      <c r="D31486" s="1">
        <v>6.6900242772015002E-4</v>
      </c>
      <c r="E31486" s="1">
        <v>2.2158443422107699E-3</v>
      </c>
      <c r="F31486" s="1">
        <v>1.9298757336042201E-4</v>
      </c>
    </row>
    <row r="31487" spans="1:6" x14ac:dyDescent="0.25">
      <c r="A31487" s="2" t="str">
        <f t="shared" si="1141"/>
        <v>41740</v>
      </c>
      <c r="B31487" s="2" t="str">
        <f>"92139"</f>
        <v>92139</v>
      </c>
      <c r="C31487" s="1">
        <v>8.0458204664355295E-3</v>
      </c>
      <c r="D31487" s="1">
        <v>8.5521959832266599E-4</v>
      </c>
      <c r="E31487" s="1">
        <v>6.4787067910353196E-3</v>
      </c>
      <c r="F31487" s="1">
        <v>7.2970675946833399E-3</v>
      </c>
    </row>
    <row r="31488" spans="1:6" x14ac:dyDescent="0.25">
      <c r="A31488" s="2" t="str">
        <f t="shared" si="1141"/>
        <v>41740</v>
      </c>
      <c r="B31488" s="2" t="str">
        <f>"92126"</f>
        <v>92126</v>
      </c>
      <c r="C31488" s="1">
        <v>1.9430619417148E-2</v>
      </c>
      <c r="D31488" s="1">
        <v>1.9725226219377601E-2</v>
      </c>
      <c r="E31488" s="1">
        <v>2.3614569704132001E-2</v>
      </c>
      <c r="F31488" s="1">
        <v>1.9706734323374199E-2</v>
      </c>
    </row>
    <row r="31489" spans="1:6" x14ac:dyDescent="0.25">
      <c r="A31489" s="2" t="str">
        <f t="shared" si="1141"/>
        <v>41740</v>
      </c>
      <c r="B31489" s="2" t="str">
        <f>"92182"</f>
        <v>92182</v>
      </c>
      <c r="C31489" s="1">
        <v>0</v>
      </c>
      <c r="D31489" s="1">
        <v>2.06907967336128E-5</v>
      </c>
      <c r="E31489" s="1">
        <v>3.1654919174439699E-5</v>
      </c>
      <c r="F31489" s="1">
        <v>3.7717441047639599E-6</v>
      </c>
    </row>
    <row r="31490" spans="1:6" x14ac:dyDescent="0.25">
      <c r="A31490" s="2" t="str">
        <f t="shared" ref="A31490:A31521" si="1142">"41740"</f>
        <v>41740</v>
      </c>
      <c r="B31490" s="2" t="str">
        <f>"92117"</f>
        <v>92117</v>
      </c>
      <c r="C31490" s="1">
        <v>1.5734871340891101E-2</v>
      </c>
      <c r="D31490" s="1">
        <v>9.4556941072610895E-3</v>
      </c>
      <c r="E31490" s="1">
        <v>1.33372726121639E-2</v>
      </c>
      <c r="F31490" s="1">
        <v>1.5019713649187499E-2</v>
      </c>
    </row>
    <row r="31491" spans="1:6" x14ac:dyDescent="0.25">
      <c r="A31491" s="2" t="str">
        <f t="shared" si="1142"/>
        <v>41740</v>
      </c>
      <c r="B31491" s="2" t="str">
        <f>"92116"</f>
        <v>92116</v>
      </c>
      <c r="C31491" s="1">
        <v>1.29029201813159E-2</v>
      </c>
      <c r="D31491" s="1">
        <v>5.2347715736040601E-3</v>
      </c>
      <c r="E31491" s="1">
        <v>1.9815979403199201E-2</v>
      </c>
      <c r="F31491" s="1">
        <v>1.26158554064179E-2</v>
      </c>
    </row>
    <row r="31492" spans="1:6" x14ac:dyDescent="0.25">
      <c r="A31492" s="2" t="str">
        <f t="shared" si="1142"/>
        <v>41740</v>
      </c>
      <c r="B31492" s="2" t="str">
        <f>"92118"</f>
        <v>92118</v>
      </c>
      <c r="C31492" s="1">
        <v>7.1583376017385399E-3</v>
      </c>
      <c r="D31492" s="1">
        <v>4.3036857205914804E-3</v>
      </c>
      <c r="E31492" s="1">
        <v>5.2758198624066098E-3</v>
      </c>
      <c r="F31492" s="1">
        <v>6.7859962684878299E-3</v>
      </c>
    </row>
    <row r="31493" spans="1:6" x14ac:dyDescent="0.25">
      <c r="A31493" s="2" t="str">
        <f t="shared" si="1142"/>
        <v>41740</v>
      </c>
      <c r="B31493" s="2" t="str">
        <f>"92114"</f>
        <v>92114</v>
      </c>
      <c r="C31493" s="1">
        <v>1.3774859142627801E-2</v>
      </c>
      <c r="D31493" s="1">
        <v>2.7794636945486602E-3</v>
      </c>
      <c r="E31493" s="1">
        <v>4.4527919638711801E-3</v>
      </c>
      <c r="F31493" s="1">
        <v>1.2217307779347901E-2</v>
      </c>
    </row>
    <row r="31494" spans="1:6" x14ac:dyDescent="0.25">
      <c r="A31494" s="2" t="str">
        <f t="shared" si="1142"/>
        <v>41740</v>
      </c>
      <c r="B31494" s="2" t="str">
        <f>"92049"</f>
        <v>92049</v>
      </c>
      <c r="C31494" s="1">
        <v>4.68537659176972E-4</v>
      </c>
      <c r="D31494" s="1">
        <v>8.6901346281174105E-4</v>
      </c>
      <c r="E31494" s="1">
        <v>2.1103279449626401E-5</v>
      </c>
      <c r="F31494" s="1">
        <v>4.78382877287562E-4</v>
      </c>
    </row>
    <row r="31495" spans="1:6" x14ac:dyDescent="0.25">
      <c r="A31495" s="2" t="str">
        <f t="shared" si="1142"/>
        <v>41740</v>
      </c>
      <c r="B31495" s="2" t="str">
        <f>"92039"</f>
        <v>92039</v>
      </c>
      <c r="C31495" s="1">
        <v>6.2175613540072102E-4</v>
      </c>
      <c r="D31495" s="1">
        <v>1.0690244979033299E-3</v>
      </c>
      <c r="E31495" s="1">
        <v>4.2206558899252903E-5</v>
      </c>
      <c r="F31495" s="1">
        <v>6.2799539344320001E-4</v>
      </c>
    </row>
    <row r="31496" spans="1:6" x14ac:dyDescent="0.25">
      <c r="A31496" s="2" t="str">
        <f t="shared" si="1142"/>
        <v>41740</v>
      </c>
      <c r="B31496" s="2" t="str">
        <f>"91906"</f>
        <v>91906</v>
      </c>
      <c r="C31496" s="1">
        <v>1.39154944589685E-3</v>
      </c>
      <c r="D31496" s="1">
        <v>7.8625027587728895E-4</v>
      </c>
      <c r="E31496" s="1">
        <v>1.5827459587219799E-4</v>
      </c>
      <c r="F31496" s="1">
        <v>1.26290565107846E-3</v>
      </c>
    </row>
    <row r="31497" spans="1:6" x14ac:dyDescent="0.25">
      <c r="A31497" s="2" t="str">
        <f t="shared" si="1142"/>
        <v>41740</v>
      </c>
      <c r="B31497" s="2" t="str">
        <f>"92011"</f>
        <v>92011</v>
      </c>
      <c r="C31497" s="1">
        <v>7.4662549259370001E-3</v>
      </c>
      <c r="D31497" s="1">
        <v>7.5383469432796198E-3</v>
      </c>
      <c r="E31497" s="1">
        <v>6.0038830034187304E-3</v>
      </c>
      <c r="F31497" s="1">
        <v>7.3857035811452998E-3</v>
      </c>
    </row>
    <row r="31498" spans="1:6" x14ac:dyDescent="0.25">
      <c r="A31498" s="2" t="str">
        <f t="shared" si="1142"/>
        <v>41740</v>
      </c>
      <c r="B31498" s="2" t="str">
        <f>"92003"</f>
        <v>92003</v>
      </c>
      <c r="C31498" s="1">
        <v>2.3456490393867699E-3</v>
      </c>
      <c r="D31498" s="1">
        <v>2.4828956080335399E-3</v>
      </c>
      <c r="E31498" s="1">
        <v>4.0096230954290199E-4</v>
      </c>
      <c r="F31498" s="1">
        <v>2.24230187028217E-3</v>
      </c>
    </row>
    <row r="31499" spans="1:6" x14ac:dyDescent="0.25">
      <c r="A31499" s="2" t="str">
        <f t="shared" si="1142"/>
        <v>41740</v>
      </c>
      <c r="B31499" s="2" t="str">
        <f>"92013"</f>
        <v>92013</v>
      </c>
      <c r="C31499" s="1">
        <v>4.3744985240693602E-4</v>
      </c>
      <c r="D31499" s="1">
        <v>3.2691458839108302E-3</v>
      </c>
      <c r="E31499" s="1">
        <v>3.1654919174439699E-5</v>
      </c>
      <c r="F31499" s="1">
        <v>6.7137045064798498E-4</v>
      </c>
    </row>
    <row r="31500" spans="1:6" x14ac:dyDescent="0.25">
      <c r="A31500" s="2" t="str">
        <f t="shared" si="1142"/>
        <v>41740</v>
      </c>
      <c r="B31500" s="2" t="str">
        <f>"92014"</f>
        <v>92014</v>
      </c>
      <c r="C31500" s="1">
        <v>5.9355505354504604E-3</v>
      </c>
      <c r="D31500" s="1">
        <v>1.0469543147208099E-2</v>
      </c>
      <c r="E31500" s="1">
        <v>3.5770058667116801E-3</v>
      </c>
      <c r="F31500" s="1">
        <v>6.2082907964414796E-3</v>
      </c>
    </row>
    <row r="31501" spans="1:6" x14ac:dyDescent="0.25">
      <c r="A31501" s="2" t="str">
        <f t="shared" si="1142"/>
        <v>41740</v>
      </c>
      <c r="B31501" s="2" t="str">
        <f>"92021"</f>
        <v>92021</v>
      </c>
      <c r="C31501" s="1">
        <v>1.9206343096878398E-2</v>
      </c>
      <c r="D31501" s="1">
        <v>1.32628007062458E-2</v>
      </c>
      <c r="E31501" s="1">
        <v>1.38015447600557E-2</v>
      </c>
      <c r="F31501" s="1">
        <v>1.8342620205484599E-2</v>
      </c>
    </row>
    <row r="31502" spans="1:6" x14ac:dyDescent="0.25">
      <c r="A31502" s="2" t="str">
        <f t="shared" si="1142"/>
        <v>41740</v>
      </c>
      <c r="B31502" s="2" t="str">
        <f>"91951"</f>
        <v>91951</v>
      </c>
      <c r="C31502" s="1">
        <v>1.53292494811297E-3</v>
      </c>
      <c r="D31502" s="1">
        <v>1.3655925844184499E-3</v>
      </c>
      <c r="E31502" s="1">
        <v>2.1103279449626401E-5</v>
      </c>
      <c r="F31502" s="1">
        <v>1.4276051436531601E-3</v>
      </c>
    </row>
    <row r="31503" spans="1:6" x14ac:dyDescent="0.25">
      <c r="A31503" s="2" t="str">
        <f t="shared" si="1142"/>
        <v>41740</v>
      </c>
      <c r="B31503" s="2" t="str">
        <f>"91946"</f>
        <v>91946</v>
      </c>
      <c r="C31503" s="1">
        <v>9.6150145224468703E-4</v>
      </c>
      <c r="D31503" s="1">
        <v>1.40697417788567E-3</v>
      </c>
      <c r="E31503" s="1">
        <v>2.1103279449626401E-5</v>
      </c>
      <c r="F31503" s="1">
        <v>9.4607914627829401E-4</v>
      </c>
    </row>
    <row r="31504" spans="1:6" x14ac:dyDescent="0.25">
      <c r="A31504" s="2" t="str">
        <f t="shared" si="1142"/>
        <v>41740</v>
      </c>
      <c r="B31504" s="2" t="str">
        <f>"91943"</f>
        <v>91943</v>
      </c>
      <c r="C31504" s="1">
        <v>3.8711721287449697E-4</v>
      </c>
      <c r="D31504" s="1">
        <v>1.27593246523946E-3</v>
      </c>
      <c r="E31504" s="1">
        <v>2.1103279449626401E-5</v>
      </c>
      <c r="F31504" s="1">
        <v>4.4632305239706899E-4</v>
      </c>
    </row>
    <row r="31505" spans="1:6" x14ac:dyDescent="0.25">
      <c r="A31505" s="2" t="str">
        <f t="shared" si="1142"/>
        <v>41740</v>
      </c>
      <c r="B31505" s="2" t="str">
        <f>"92197"</f>
        <v>92197</v>
      </c>
      <c r="C31505" s="1">
        <v>0</v>
      </c>
      <c r="D31505" s="1">
        <v>2.75877289781505E-5</v>
      </c>
      <c r="E31505" s="1">
        <v>0</v>
      </c>
      <c r="F31505" s="1">
        <v>2.5144960698426401E-6</v>
      </c>
    </row>
    <row r="31506" spans="1:6" x14ac:dyDescent="0.25">
      <c r="A31506" s="2" t="str">
        <f t="shared" si="1142"/>
        <v>41740</v>
      </c>
      <c r="B31506" s="2" t="str">
        <f>"92191"</f>
        <v>92191</v>
      </c>
      <c r="C31506" s="1">
        <v>4.6483672979958702E-4</v>
      </c>
      <c r="D31506" s="1">
        <v>1.834583977047E-3</v>
      </c>
      <c r="E31506" s="1">
        <v>2.1103279449626401E-5</v>
      </c>
      <c r="F31506" s="1">
        <v>5.6324711964475104E-4</v>
      </c>
    </row>
    <row r="31507" spans="1:6" x14ac:dyDescent="0.25">
      <c r="A31507" s="2" t="str">
        <f t="shared" si="1142"/>
        <v>41740</v>
      </c>
      <c r="B31507" s="2" t="str">
        <f>"92176"</f>
        <v>92176</v>
      </c>
      <c r="C31507" s="1">
        <v>6.3063836590644597E-4</v>
      </c>
      <c r="D31507" s="1">
        <v>1.6828514676671799E-3</v>
      </c>
      <c r="E31507" s="1">
        <v>2.1103279449626401E-5</v>
      </c>
      <c r="F31507" s="1">
        <v>6.9022917117180502E-4</v>
      </c>
    </row>
    <row r="31508" spans="1:6" x14ac:dyDescent="0.25">
      <c r="A31508" s="2" t="str">
        <f t="shared" si="1142"/>
        <v>41740</v>
      </c>
      <c r="B31508" s="2" t="str">
        <f>"92167"</f>
        <v>92167</v>
      </c>
      <c r="C31508" s="1">
        <v>6.3804022466121605E-4</v>
      </c>
      <c r="D31508" s="1">
        <v>1.35179871992937E-3</v>
      </c>
      <c r="E31508" s="1">
        <v>2.1103279449626401E-5</v>
      </c>
      <c r="F31508" s="1">
        <v>6.6634145850829999E-4</v>
      </c>
    </row>
    <row r="31509" spans="1:6" x14ac:dyDescent="0.25">
      <c r="A31509" s="2" t="str">
        <f t="shared" si="1142"/>
        <v>41740</v>
      </c>
      <c r="B31509" s="2" t="str">
        <f>"92163"</f>
        <v>92163</v>
      </c>
      <c r="C31509" s="1">
        <v>1.5410669927432099E-3</v>
      </c>
      <c r="D31509" s="1">
        <v>2.9932685941293298E-3</v>
      </c>
      <c r="E31509" s="1">
        <v>2.1103279449626401E-5</v>
      </c>
      <c r="F31509" s="1">
        <v>1.5828752759659401E-3</v>
      </c>
    </row>
    <row r="31510" spans="1:6" x14ac:dyDescent="0.25">
      <c r="A31510" s="2" t="str">
        <f t="shared" si="1142"/>
        <v>41740</v>
      </c>
      <c r="B31510" s="2" t="str">
        <f>"92192"</f>
        <v>92192</v>
      </c>
      <c r="C31510" s="1">
        <v>1.5913996322756501E-3</v>
      </c>
      <c r="D31510" s="1">
        <v>3.1518980357536901E-3</v>
      </c>
      <c r="E31510" s="1">
        <v>4.2206558899252903E-5</v>
      </c>
      <c r="F31510" s="1">
        <v>1.6413373095897799E-3</v>
      </c>
    </row>
    <row r="31511" spans="1:6" x14ac:dyDescent="0.25">
      <c r="A31511" s="2" t="str">
        <f t="shared" si="1142"/>
        <v>41740</v>
      </c>
      <c r="B31511" s="2" t="str">
        <f>"92173"</f>
        <v>92173</v>
      </c>
      <c r="C31511" s="1">
        <v>5.9399916507033197E-3</v>
      </c>
      <c r="D31511" s="1">
        <v>6.01412491723681E-3</v>
      </c>
      <c r="E31511" s="1">
        <v>1.2672519309500601E-2</v>
      </c>
      <c r="F31511" s="1">
        <v>6.3478453283177501E-3</v>
      </c>
    </row>
    <row r="31512" spans="1:6" x14ac:dyDescent="0.25">
      <c r="A31512" s="2" t="str">
        <f t="shared" si="1142"/>
        <v>41740</v>
      </c>
      <c r="B31512" s="2" t="str">
        <f>"92170"</f>
        <v>92170</v>
      </c>
      <c r="C31512" s="1">
        <v>8.1124371952284605E-4</v>
      </c>
      <c r="D31512" s="1">
        <v>8.7591039505627798E-4</v>
      </c>
      <c r="E31512" s="1">
        <v>2.1103279449626401E-5</v>
      </c>
      <c r="F31512" s="1">
        <v>7.7006442138930896E-4</v>
      </c>
    </row>
    <row r="31513" spans="1:6" x14ac:dyDescent="0.25">
      <c r="A31513" s="2" t="str">
        <f t="shared" si="1142"/>
        <v>41740</v>
      </c>
      <c r="B31513" s="2" t="str">
        <f>"92168"</f>
        <v>92168</v>
      </c>
      <c r="C31513" s="1">
        <v>1.0140546494035499E-3</v>
      </c>
      <c r="D31513" s="1">
        <v>1.5518097550209599E-3</v>
      </c>
      <c r="E31513" s="1">
        <v>2.1103279449626401E-5</v>
      </c>
      <c r="F31513" s="1">
        <v>1.0039125558846699E-3</v>
      </c>
    </row>
    <row r="31514" spans="1:6" x14ac:dyDescent="0.25">
      <c r="A31514" s="2" t="str">
        <f t="shared" si="1142"/>
        <v>41740</v>
      </c>
      <c r="B31514" s="2" t="str">
        <f>"92083"</f>
        <v>92083</v>
      </c>
      <c r="C31514" s="1">
        <v>9.5150894292574707E-3</v>
      </c>
      <c r="D31514" s="1">
        <v>8.9798057823879899E-3</v>
      </c>
      <c r="E31514" s="1">
        <v>8.4096568606761395E-3</v>
      </c>
      <c r="F31514" s="1">
        <v>9.4004435571067198E-3</v>
      </c>
    </row>
    <row r="31515" spans="1:6" x14ac:dyDescent="0.25">
      <c r="A31515" s="2" t="str">
        <f t="shared" si="1142"/>
        <v>41740</v>
      </c>
      <c r="B31515" s="2" t="str">
        <f>"92072"</f>
        <v>92072</v>
      </c>
      <c r="C31515" s="1">
        <v>1.4537250594369199E-3</v>
      </c>
      <c r="D31515" s="1">
        <v>2.9518870006621E-3</v>
      </c>
      <c r="E31515" s="1">
        <v>2.1103279449626401E-5</v>
      </c>
      <c r="F31515" s="1">
        <v>1.5049258978008201E-3</v>
      </c>
    </row>
    <row r="31516" spans="1:6" x14ac:dyDescent="0.25">
      <c r="A31516" s="2" t="str">
        <f t="shared" si="1142"/>
        <v>41740</v>
      </c>
      <c r="B31516" s="2" t="str">
        <f>"92060"</f>
        <v>92060</v>
      </c>
      <c r="C31516" s="1">
        <v>6.6616728792934395E-5</v>
      </c>
      <c r="D31516" s="1">
        <v>1.03453983668064E-4</v>
      </c>
      <c r="E31516" s="1">
        <v>0</v>
      </c>
      <c r="F31516" s="1">
        <v>6.6005521833369297E-5</v>
      </c>
    </row>
    <row r="31517" spans="1:6" x14ac:dyDescent="0.25">
      <c r="A31517" s="2" t="str">
        <f t="shared" si="1142"/>
        <v>41740</v>
      </c>
      <c r="B31517" s="2" t="str">
        <f>"92061"</f>
        <v>92061</v>
      </c>
      <c r="C31517" s="1">
        <v>1.16949368325373E-3</v>
      </c>
      <c r="D31517" s="1">
        <v>7.5866254689913905E-4</v>
      </c>
      <c r="E31517" s="1">
        <v>6.3309838348879399E-5</v>
      </c>
      <c r="F31517" s="1">
        <v>1.06614633361328E-3</v>
      </c>
    </row>
    <row r="31518" spans="1:6" x14ac:dyDescent="0.25">
      <c r="A31518" s="2" t="str">
        <f t="shared" si="1142"/>
        <v>41740</v>
      </c>
      <c r="B31518" s="2" t="str">
        <f>"92110"</f>
        <v>92110</v>
      </c>
      <c r="C31518" s="1">
        <v>9.68607236649267E-3</v>
      </c>
      <c r="D31518" s="1">
        <v>1.94217612006179E-2</v>
      </c>
      <c r="E31518" s="1">
        <v>1.26936225889503E-2</v>
      </c>
      <c r="F31518" s="1">
        <v>1.0752613818664601E-2</v>
      </c>
    </row>
    <row r="31519" spans="1:6" x14ac:dyDescent="0.25">
      <c r="A31519" s="2" t="str">
        <f t="shared" si="1142"/>
        <v>41740</v>
      </c>
      <c r="B31519" s="2" t="str">
        <f>"92046"</f>
        <v>92046</v>
      </c>
      <c r="C31519" s="1">
        <v>1.2746000775714699E-3</v>
      </c>
      <c r="D31519" s="1">
        <v>3.8140035312293E-3</v>
      </c>
      <c r="E31519" s="1">
        <v>2.1103279449626401E-5</v>
      </c>
      <c r="F31519" s="1">
        <v>1.43137688775792E-3</v>
      </c>
    </row>
    <row r="31520" spans="1:6" x14ac:dyDescent="0.25">
      <c r="A31520" s="2" t="str">
        <f t="shared" si="1142"/>
        <v>41740</v>
      </c>
      <c r="B31520" s="2" t="str">
        <f>"92058"</f>
        <v>92058</v>
      </c>
      <c r="C31520" s="1">
        <v>1.1048014377370401E-2</v>
      </c>
      <c r="D31520" s="1">
        <v>6.1382696976384904E-3</v>
      </c>
      <c r="E31520" s="1">
        <v>1.4002025914827101E-2</v>
      </c>
      <c r="F31520" s="1">
        <v>1.07765015313281E-2</v>
      </c>
    </row>
    <row r="31521" spans="1:6" x14ac:dyDescent="0.25">
      <c r="A31521" s="2" t="str">
        <f t="shared" si="1142"/>
        <v>41740</v>
      </c>
      <c r="B31521" s="2" t="str">
        <f>"92096"</f>
        <v>92096</v>
      </c>
      <c r="C31521" s="1">
        <v>0</v>
      </c>
      <c r="D31521" s="1">
        <v>0</v>
      </c>
      <c r="E31521" s="1">
        <v>1.05516397248132E-5</v>
      </c>
      <c r="F31521" s="1">
        <v>6.2862401746066002E-7</v>
      </c>
    </row>
    <row r="31522" spans="1:6" x14ac:dyDescent="0.25">
      <c r="A31522" s="2" t="str">
        <f t="shared" ref="A31522:A31553" si="1143">"41740"</f>
        <v>41740</v>
      </c>
      <c r="B31522" s="2" t="str">
        <f>"92038"</f>
        <v>92038</v>
      </c>
      <c r="C31522" s="1">
        <v>2.33898736650747E-3</v>
      </c>
      <c r="D31522" s="1">
        <v>3.5795078349150199E-3</v>
      </c>
      <c r="E31522" s="1">
        <v>2.1103279449626401E-5</v>
      </c>
      <c r="F31522" s="1">
        <v>2.3139650082726901E-3</v>
      </c>
    </row>
    <row r="31523" spans="1:6" x14ac:dyDescent="0.25">
      <c r="A31523" s="2" t="str">
        <f t="shared" si="1143"/>
        <v>41740</v>
      </c>
      <c r="B31523" s="2" t="str">
        <f>"92037"</f>
        <v>92037</v>
      </c>
      <c r="C31523" s="1">
        <v>1.5839977735208802E-2</v>
      </c>
      <c r="D31523" s="1">
        <v>2.17529242992716E-2</v>
      </c>
      <c r="E31523" s="1">
        <v>1.9932047440172199E-2</v>
      </c>
      <c r="F31523" s="1">
        <v>1.66227048937122E-2</v>
      </c>
    </row>
    <row r="31524" spans="1:6" x14ac:dyDescent="0.25">
      <c r="A31524" s="2" t="str">
        <f t="shared" si="1143"/>
        <v>41740</v>
      </c>
      <c r="B31524" s="2" t="str">
        <f>"92040"</f>
        <v>92040</v>
      </c>
      <c r="C31524" s="1">
        <v>1.3416609178897001E-2</v>
      </c>
      <c r="D31524" s="1">
        <v>7.2141911277863596E-3</v>
      </c>
      <c r="E31524" s="1">
        <v>9.9501962604988808E-3</v>
      </c>
      <c r="F31524" s="1">
        <v>1.26447721112211E-2</v>
      </c>
    </row>
    <row r="31525" spans="1:6" x14ac:dyDescent="0.25">
      <c r="A31525" s="2" t="str">
        <f t="shared" si="1143"/>
        <v>41740</v>
      </c>
      <c r="B31525" s="2" t="str">
        <f>"91903"</f>
        <v>91903</v>
      </c>
      <c r="C31525" s="1">
        <v>1.4107942786592499E-3</v>
      </c>
      <c r="D31525" s="1">
        <v>1.91045023173692E-3</v>
      </c>
      <c r="E31525" s="1">
        <v>2.1103279449626401E-5</v>
      </c>
      <c r="F31525" s="1">
        <v>1.3735434781515399E-3</v>
      </c>
    </row>
    <row r="31526" spans="1:6" x14ac:dyDescent="0.25">
      <c r="A31526" s="2" t="str">
        <f t="shared" si="1143"/>
        <v>41740</v>
      </c>
      <c r="B31526" s="2" t="str">
        <f>"91911"</f>
        <v>91911</v>
      </c>
      <c r="C31526" s="1">
        <v>1.92825822420526E-2</v>
      </c>
      <c r="D31526" s="1">
        <v>1.9697638490399402E-2</v>
      </c>
      <c r="E31526" s="1">
        <v>2.3836154138353102E-2</v>
      </c>
      <c r="F31526" s="1">
        <v>1.95916961281789E-2</v>
      </c>
    </row>
    <row r="31527" spans="1:6" x14ac:dyDescent="0.25">
      <c r="A31527" s="2" t="str">
        <f t="shared" si="1143"/>
        <v>41740</v>
      </c>
      <c r="B31527" s="2" t="str">
        <f>"91979"</f>
        <v>91979</v>
      </c>
      <c r="C31527" s="1">
        <v>8.7563989068934899E-4</v>
      </c>
      <c r="D31527" s="1">
        <v>1.8138931803133901E-3</v>
      </c>
      <c r="E31527" s="1">
        <v>2.1103279449626401E-5</v>
      </c>
      <c r="F31527" s="1">
        <v>9.1024757728303603E-4</v>
      </c>
    </row>
    <row r="31528" spans="1:6" x14ac:dyDescent="0.25">
      <c r="A31528" s="2" t="str">
        <f t="shared" si="1143"/>
        <v>41740</v>
      </c>
      <c r="B31528" s="2" t="str">
        <f>"92018"</f>
        <v>92018</v>
      </c>
      <c r="C31528" s="1">
        <v>1.3345551334851199E-3</v>
      </c>
      <c r="D31528" s="1">
        <v>4.5450783491502904E-3</v>
      </c>
      <c r="E31528" s="1">
        <v>2.1103279449626401E-5</v>
      </c>
      <c r="F31528" s="1">
        <v>1.5489295790230601E-3</v>
      </c>
    </row>
    <row r="31529" spans="1:6" x14ac:dyDescent="0.25">
      <c r="A31529" s="2" t="str">
        <f t="shared" si="1143"/>
        <v>41740</v>
      </c>
      <c r="B31529" s="2" t="str">
        <f>"92149"</f>
        <v>92149</v>
      </c>
      <c r="C31529" s="1">
        <v>3.3974531684396499E-4</v>
      </c>
      <c r="D31529" s="1">
        <v>4.7588832487309598E-4</v>
      </c>
      <c r="E31529" s="1">
        <v>2.1103279449626401E-5</v>
      </c>
      <c r="F31529" s="1">
        <v>3.3317072925415E-4</v>
      </c>
    </row>
    <row r="31530" spans="1:6" x14ac:dyDescent="0.25">
      <c r="A31530" s="2" t="str">
        <f t="shared" si="1143"/>
        <v>41740</v>
      </c>
      <c r="B31530" s="2" t="str">
        <f>"92140"</f>
        <v>92140</v>
      </c>
      <c r="C31530" s="1">
        <v>4.4263115353527501E-4</v>
      </c>
      <c r="D31530" s="1">
        <v>4.8002648421981899E-3</v>
      </c>
      <c r="E31530" s="1">
        <v>1.8992951504663799E-4</v>
      </c>
      <c r="F31530" s="1">
        <v>8.24754710908386E-4</v>
      </c>
    </row>
    <row r="31531" spans="1:6" x14ac:dyDescent="0.25">
      <c r="A31531" s="2" t="str">
        <f t="shared" si="1143"/>
        <v>41740</v>
      </c>
      <c r="B31531" s="2" t="str">
        <f>"92128"</f>
        <v>92128</v>
      </c>
      <c r="C31531" s="1">
        <v>1.5654191080464099E-2</v>
      </c>
      <c r="D31531" s="1">
        <v>9.3798278525711702E-3</v>
      </c>
      <c r="E31531" s="1">
        <v>2.47646984341366E-2</v>
      </c>
      <c r="F31531" s="1">
        <v>1.5625078578002102E-2</v>
      </c>
    </row>
    <row r="31532" spans="1:6" x14ac:dyDescent="0.25">
      <c r="A31532" s="2" t="str">
        <f t="shared" si="1143"/>
        <v>41740</v>
      </c>
      <c r="B31532" s="2" t="str">
        <f>"92119"</f>
        <v>92119</v>
      </c>
      <c r="C31532" s="1">
        <v>7.61873321628527E-3</v>
      </c>
      <c r="D31532" s="1">
        <v>1.7242330611344E-3</v>
      </c>
      <c r="E31532" s="1">
        <v>4.5794116405689402E-3</v>
      </c>
      <c r="F31532" s="1">
        <v>6.9004058396656704E-3</v>
      </c>
    </row>
    <row r="31533" spans="1:6" x14ac:dyDescent="0.25">
      <c r="A31533" s="2" t="str">
        <f t="shared" si="1143"/>
        <v>41740</v>
      </c>
      <c r="B31533" s="2" t="str">
        <f>"92159"</f>
        <v>92159</v>
      </c>
      <c r="C31533" s="1">
        <v>7.06877511080582E-4</v>
      </c>
      <c r="D31533" s="1">
        <v>1.7035422644007901E-3</v>
      </c>
      <c r="E31533" s="1">
        <v>2.1103279449626401E-5</v>
      </c>
      <c r="F31533" s="1">
        <v>7.5686331702263501E-4</v>
      </c>
    </row>
    <row r="31534" spans="1:6" x14ac:dyDescent="0.25">
      <c r="A31534" s="2" t="str">
        <f t="shared" si="1143"/>
        <v>41740</v>
      </c>
      <c r="B31534" s="2" t="str">
        <f>"92178"</f>
        <v>92178</v>
      </c>
      <c r="C31534" s="1">
        <v>1.16801331150278E-3</v>
      </c>
      <c r="D31534" s="1">
        <v>1.8690686382696899E-3</v>
      </c>
      <c r="E31534" s="1">
        <v>2.1103279449626401E-5</v>
      </c>
      <c r="F31534" s="1">
        <v>1.16358305631968E-3</v>
      </c>
    </row>
    <row r="31535" spans="1:6" x14ac:dyDescent="0.25">
      <c r="A31535" s="2" t="str">
        <f t="shared" si="1143"/>
        <v>41740</v>
      </c>
      <c r="B31535" s="2" t="str">
        <f>"92171"</f>
        <v>92171</v>
      </c>
      <c r="C31535" s="1">
        <v>1.34861866511918E-3</v>
      </c>
      <c r="D31535" s="1">
        <v>1.6414698741999501E-3</v>
      </c>
      <c r="E31535" s="1">
        <v>2.1103279449626401E-5</v>
      </c>
      <c r="F31535" s="1">
        <v>1.2962227240038799E-3</v>
      </c>
    </row>
    <row r="31536" spans="1:6" x14ac:dyDescent="0.25">
      <c r="A31536" s="2" t="str">
        <f t="shared" si="1143"/>
        <v>41740</v>
      </c>
      <c r="B31536" s="2" t="str">
        <f>"92160"</f>
        <v>92160</v>
      </c>
      <c r="C31536" s="1">
        <v>8.8896323644793598E-4</v>
      </c>
      <c r="D31536" s="1">
        <v>2.0345950121386002E-3</v>
      </c>
      <c r="E31536" s="1">
        <v>2.1103279449626401E-5</v>
      </c>
      <c r="F31536" s="1">
        <v>9.4167877815606903E-4</v>
      </c>
    </row>
    <row r="31537" spans="1:6" x14ac:dyDescent="0.25">
      <c r="A31537" s="2" t="str">
        <f t="shared" si="1143"/>
        <v>41740</v>
      </c>
      <c r="B31537" s="2" t="str">
        <f>"92154"</f>
        <v>92154</v>
      </c>
      <c r="C31537" s="1">
        <v>1.72766785195098E-2</v>
      </c>
      <c r="D31537" s="1">
        <v>1.8725171043919599E-2</v>
      </c>
      <c r="E31537" s="1">
        <v>2.25277508124762E-2</v>
      </c>
      <c r="F31537" s="1">
        <v>1.7721539676233401E-2</v>
      </c>
    </row>
    <row r="31538" spans="1:6" x14ac:dyDescent="0.25">
      <c r="A31538" s="2" t="str">
        <f t="shared" si="1143"/>
        <v>41740</v>
      </c>
      <c r="B31538" s="2" t="str">
        <f>"92078"</f>
        <v>92078</v>
      </c>
      <c r="C31538" s="1">
        <v>1.3852578659552899E-2</v>
      </c>
      <c r="D31538" s="1">
        <v>1.5173250937982699E-2</v>
      </c>
      <c r="E31538" s="1">
        <v>9.6336470687544799E-3</v>
      </c>
      <c r="F31538" s="1">
        <v>1.3721605053131299E-2</v>
      </c>
    </row>
    <row r="31539" spans="1:6" x14ac:dyDescent="0.25">
      <c r="A31539" s="2" t="str">
        <f t="shared" si="1143"/>
        <v>41740</v>
      </c>
      <c r="B31539" s="2" t="str">
        <f>"92075"</f>
        <v>92075</v>
      </c>
      <c r="C31539" s="1">
        <v>5.6416967428860702E-3</v>
      </c>
      <c r="D31539" s="1">
        <v>1.200755903774E-2</v>
      </c>
      <c r="E31539" s="1">
        <v>6.6686363060819596E-3</v>
      </c>
      <c r="F31539" s="1">
        <v>6.2830970545193002E-3</v>
      </c>
    </row>
    <row r="31540" spans="1:6" x14ac:dyDescent="0.25">
      <c r="A31540" s="2" t="str">
        <f t="shared" si="1143"/>
        <v>41740</v>
      </c>
      <c r="B31540" s="2" t="str">
        <f>"92068"</f>
        <v>92068</v>
      </c>
      <c r="C31540" s="1">
        <v>3.7157330948947798E-4</v>
      </c>
      <c r="D31540" s="1">
        <v>5.6554844405208495E-4</v>
      </c>
      <c r="E31540" s="1">
        <v>2.1103279449626401E-5</v>
      </c>
      <c r="F31540" s="1">
        <v>3.6837367423194698E-4</v>
      </c>
    </row>
    <row r="31541" spans="1:6" x14ac:dyDescent="0.25">
      <c r="A31541" s="2" t="str">
        <f t="shared" si="1143"/>
        <v>41740</v>
      </c>
      <c r="B31541" s="2" t="str">
        <f>"92064"</f>
        <v>92064</v>
      </c>
      <c r="C31541" s="1">
        <v>1.2583159883109801E-2</v>
      </c>
      <c r="D31541" s="1">
        <v>1.45318362392407E-2</v>
      </c>
      <c r="E31541" s="1">
        <v>6.7424977841556502E-3</v>
      </c>
      <c r="F31541" s="1">
        <v>1.2412809848778201E-2</v>
      </c>
    </row>
    <row r="31542" spans="1:6" x14ac:dyDescent="0.25">
      <c r="A31542" s="2" t="str">
        <f t="shared" si="1143"/>
        <v>41740</v>
      </c>
      <c r="B31542" s="2" t="str">
        <f>"92109"</f>
        <v>92109</v>
      </c>
      <c r="C31542" s="1">
        <v>2.09354173019928E-2</v>
      </c>
      <c r="D31542" s="1">
        <v>1.3924906201721401E-2</v>
      </c>
      <c r="E31542" s="1">
        <v>3.0262102730764299E-2</v>
      </c>
      <c r="F31542" s="1">
        <v>2.08520872831875E-2</v>
      </c>
    </row>
    <row r="31543" spans="1:6" x14ac:dyDescent="0.25">
      <c r="A31543" s="2" t="str">
        <f t="shared" si="1143"/>
        <v>41740</v>
      </c>
      <c r="B31543" s="2" t="str">
        <f>"92055"</f>
        <v>92055</v>
      </c>
      <c r="C31543" s="1">
        <v>0</v>
      </c>
      <c r="D31543" s="1">
        <v>1.03453983668064E-4</v>
      </c>
      <c r="E31543" s="1">
        <v>2.42687713670704E-4</v>
      </c>
      <c r="F31543" s="1">
        <v>2.38877126635051E-5</v>
      </c>
    </row>
    <row r="31544" spans="1:6" x14ac:dyDescent="0.25">
      <c r="A31544" s="2" t="str">
        <f t="shared" si="1143"/>
        <v>41740</v>
      </c>
      <c r="B31544" s="2" t="str">
        <f>"92056"</f>
        <v>92056</v>
      </c>
      <c r="C31544" s="1">
        <v>1.54728455409722E-2</v>
      </c>
      <c r="D31544" s="1">
        <v>1.1014400794526501E-2</v>
      </c>
      <c r="E31544" s="1">
        <v>1.19444561684885E-2</v>
      </c>
      <c r="F31544" s="1">
        <v>1.48562714046477E-2</v>
      </c>
    </row>
    <row r="31545" spans="1:6" x14ac:dyDescent="0.25">
      <c r="A31545" s="2" t="str">
        <f t="shared" si="1143"/>
        <v>41740</v>
      </c>
      <c r="B31545" s="2" t="str">
        <f>"92052"</f>
        <v>92052</v>
      </c>
      <c r="C31545" s="1">
        <v>1.3204916018510499E-3</v>
      </c>
      <c r="D31545" s="1">
        <v>3.4622599867578899E-3</v>
      </c>
      <c r="E31545" s="1">
        <v>2.1103279449626401E-5</v>
      </c>
      <c r="F31545" s="1">
        <v>1.4382917519499901E-3</v>
      </c>
    </row>
    <row r="31546" spans="1:6" x14ac:dyDescent="0.25">
      <c r="A31546" s="2" t="str">
        <f t="shared" si="1143"/>
        <v>41740</v>
      </c>
      <c r="B31546" s="2" t="str">
        <f>"92092"</f>
        <v>92092</v>
      </c>
      <c r="C31546" s="1">
        <v>0</v>
      </c>
      <c r="D31546" s="1">
        <v>5.5175457956301E-5</v>
      </c>
      <c r="E31546" s="1">
        <v>3.1654919174439699E-5</v>
      </c>
      <c r="F31546" s="1">
        <v>6.9148641920672597E-6</v>
      </c>
    </row>
    <row r="31547" spans="1:6" x14ac:dyDescent="0.25">
      <c r="A31547" s="2" t="str">
        <f t="shared" si="1143"/>
        <v>41740</v>
      </c>
      <c r="B31547" s="2" t="str">
        <f>"92085"</f>
        <v>92085</v>
      </c>
      <c r="C31547" s="1">
        <v>1.69354528309148E-3</v>
      </c>
      <c r="D31547" s="1">
        <v>4.1381593467225697E-3</v>
      </c>
      <c r="E31547" s="1">
        <v>2.1103279449626401E-5</v>
      </c>
      <c r="F31547" s="1">
        <v>1.8167234104613001E-3</v>
      </c>
    </row>
    <row r="31548" spans="1:6" x14ac:dyDescent="0.25">
      <c r="A31548" s="2" t="str">
        <f t="shared" si="1143"/>
        <v>41740</v>
      </c>
      <c r="B31548" s="2" t="str">
        <f>"92033"</f>
        <v>92033</v>
      </c>
      <c r="C31548" s="1">
        <v>1.64321264355905E-3</v>
      </c>
      <c r="D31548" s="1">
        <v>3.0208563231074802E-3</v>
      </c>
      <c r="E31548" s="1">
        <v>2.1103279449626401E-5</v>
      </c>
      <c r="F31548" s="1">
        <v>1.6721398864453501E-3</v>
      </c>
    </row>
    <row r="31549" spans="1:6" x14ac:dyDescent="0.25">
      <c r="A31549" s="2" t="str">
        <f t="shared" si="1143"/>
        <v>41740</v>
      </c>
      <c r="B31549" s="2" t="str">
        <f>"92029"</f>
        <v>92029</v>
      </c>
      <c r="C31549" s="1">
        <v>5.8718945501594301E-3</v>
      </c>
      <c r="D31549" s="1">
        <v>1.1545464577355899E-2</v>
      </c>
      <c r="E31549" s="1">
        <v>4.8854091925885201E-3</v>
      </c>
      <c r="F31549" s="1">
        <v>6.3302438558288498E-3</v>
      </c>
    </row>
    <row r="31550" spans="1:6" x14ac:dyDescent="0.25">
      <c r="A31550" s="2" t="str">
        <f t="shared" si="1143"/>
        <v>41740</v>
      </c>
      <c r="B31550" s="2" t="str">
        <f>"91914"</f>
        <v>91914</v>
      </c>
      <c r="C31550" s="1">
        <v>3.7660657344272199E-3</v>
      </c>
      <c r="D31550" s="1">
        <v>4.0898808210108103E-3</v>
      </c>
      <c r="E31550" s="1">
        <v>3.43983455028911E-3</v>
      </c>
      <c r="F31550" s="1">
        <v>3.7761444728861798E-3</v>
      </c>
    </row>
    <row r="31551" spans="1:6" x14ac:dyDescent="0.25">
      <c r="A31551" s="2" t="str">
        <f t="shared" si="1143"/>
        <v>41740</v>
      </c>
      <c r="B31551" s="2" t="str">
        <f>"92024"</f>
        <v>92024</v>
      </c>
      <c r="C31551" s="1">
        <v>1.6155296918162001E-2</v>
      </c>
      <c r="D31551" s="1">
        <v>1.8573438534539799E-2</v>
      </c>
      <c r="E31551" s="1">
        <v>1.2113282404085501E-2</v>
      </c>
      <c r="F31551" s="1">
        <v>1.6134892656162698E-2</v>
      </c>
    </row>
    <row r="31552" spans="1:6" x14ac:dyDescent="0.25">
      <c r="A31552" s="2" t="str">
        <f t="shared" si="1143"/>
        <v>41740</v>
      </c>
      <c r="B31552" s="2" t="str">
        <f>"92022"</f>
        <v>92022</v>
      </c>
      <c r="C31552" s="1">
        <v>1.91264030223269E-3</v>
      </c>
      <c r="D31552" s="1">
        <v>2.45530787905539E-3</v>
      </c>
      <c r="E31552" s="1">
        <v>2.1103279449626401E-5</v>
      </c>
      <c r="F31552" s="1">
        <v>1.84941185936926E-3</v>
      </c>
    </row>
    <row r="31553" spans="1:6" x14ac:dyDescent="0.25">
      <c r="A31553" s="2" t="str">
        <f t="shared" si="1143"/>
        <v>41740</v>
      </c>
      <c r="B31553" s="2" t="str">
        <f>"92007"</f>
        <v>92007</v>
      </c>
      <c r="C31553" s="1">
        <v>3.73349755590623E-3</v>
      </c>
      <c r="D31553" s="1">
        <v>1.8759655705142301E-3</v>
      </c>
      <c r="E31553" s="1">
        <v>2.5746000928544201E-3</v>
      </c>
      <c r="F31553" s="1">
        <v>3.49514953708127E-3</v>
      </c>
    </row>
    <row r="31554" spans="1:6" x14ac:dyDescent="0.25">
      <c r="A31554" s="2" t="str">
        <f t="shared" ref="A31554:A31572" si="1144">"41740"</f>
        <v>41740</v>
      </c>
      <c r="B31554" s="2" t="str">
        <f>"92004"</f>
        <v>92004</v>
      </c>
      <c r="C31554" s="1">
        <v>3.76014424742341E-4</v>
      </c>
      <c r="D31554" s="1">
        <v>2.2759876406974099E-4</v>
      </c>
      <c r="E31554" s="1">
        <v>4.2523108090997304E-3</v>
      </c>
      <c r="F31554" s="1">
        <v>5.9342107248286304E-4</v>
      </c>
    </row>
    <row r="31555" spans="1:6" x14ac:dyDescent="0.25">
      <c r="A31555" s="2" t="str">
        <f t="shared" si="1144"/>
        <v>41740</v>
      </c>
      <c r="B31555" s="2" t="str">
        <f>"91945"</f>
        <v>91945</v>
      </c>
      <c r="C31555" s="1">
        <v>6.9355416532199503E-3</v>
      </c>
      <c r="D31555" s="1">
        <v>5.6899691017435403E-3</v>
      </c>
      <c r="E31555" s="1">
        <v>4.9487190309374001E-3</v>
      </c>
      <c r="F31555" s="1">
        <v>6.7036465222004796E-3</v>
      </c>
    </row>
    <row r="31556" spans="1:6" x14ac:dyDescent="0.25">
      <c r="A31556" s="2" t="str">
        <f t="shared" si="1144"/>
        <v>41740</v>
      </c>
      <c r="B31556" s="2" t="str">
        <f>"92138"</f>
        <v>92138</v>
      </c>
      <c r="C31556" s="1">
        <v>2.6187776274378002E-3</v>
      </c>
      <c r="D31556" s="1">
        <v>4.9726881483116298E-3</v>
      </c>
      <c r="E31556" s="1">
        <v>4.2206558899252903E-5</v>
      </c>
      <c r="F31556" s="1">
        <v>2.6798241864347898E-3</v>
      </c>
    </row>
    <row r="31557" spans="1:6" x14ac:dyDescent="0.25">
      <c r="A31557" s="2" t="str">
        <f t="shared" si="1144"/>
        <v>41740</v>
      </c>
      <c r="B31557" s="2" t="str">
        <f>"92137"</f>
        <v>92137</v>
      </c>
      <c r="C31557" s="1">
        <v>5.4625717610206205E-4</v>
      </c>
      <c r="D31557" s="1">
        <v>9.5867358199072997E-4</v>
      </c>
      <c r="E31557" s="1">
        <v>4.2206558899252903E-5</v>
      </c>
      <c r="F31557" s="1">
        <v>5.5381775938284205E-4</v>
      </c>
    </row>
    <row r="31558" spans="1:6" x14ac:dyDescent="0.25">
      <c r="A31558" s="2" t="str">
        <f t="shared" si="1144"/>
        <v>41740</v>
      </c>
      <c r="B31558" s="2" t="str">
        <f>"92131"</f>
        <v>92131</v>
      </c>
      <c r="C31558" s="1">
        <v>9.6120537789449595E-3</v>
      </c>
      <c r="D31558" s="1">
        <v>7.4555837563451697E-3</v>
      </c>
      <c r="E31558" s="1">
        <v>1.03828134892162E-2</v>
      </c>
      <c r="F31558" s="1">
        <v>9.4614200868004001E-3</v>
      </c>
    </row>
    <row r="31559" spans="1:6" x14ac:dyDescent="0.25">
      <c r="A31559" s="2" t="str">
        <f t="shared" si="1144"/>
        <v>41740</v>
      </c>
      <c r="B31559" s="2" t="str">
        <f>"92120"</f>
        <v>92120</v>
      </c>
      <c r="C31559" s="1">
        <v>9.8067226641954299E-3</v>
      </c>
      <c r="D31559" s="1">
        <v>9.9522732288677904E-3</v>
      </c>
      <c r="E31559" s="1">
        <v>6.6580846663571499E-3</v>
      </c>
      <c r="F31559" s="1">
        <v>9.6324058195497008E-3</v>
      </c>
    </row>
    <row r="31560" spans="1:6" x14ac:dyDescent="0.25">
      <c r="A31560" s="2" t="str">
        <f t="shared" si="1144"/>
        <v>41740</v>
      </c>
      <c r="B31560" s="2" t="str">
        <f>"92124"</f>
        <v>92124</v>
      </c>
      <c r="C31560" s="1">
        <v>9.1612805807794392E-3</v>
      </c>
      <c r="D31560" s="1">
        <v>1.60698521297726E-3</v>
      </c>
      <c r="E31560" s="1">
        <v>4.1784493310260398E-3</v>
      </c>
      <c r="F31560" s="1">
        <v>8.1758839710933499E-3</v>
      </c>
    </row>
    <row r="31561" spans="1:6" x14ac:dyDescent="0.25">
      <c r="A31561" s="2" t="str">
        <f t="shared" si="1144"/>
        <v>41740</v>
      </c>
      <c r="B31561" s="2" t="str">
        <f>"92174"</f>
        <v>92174</v>
      </c>
      <c r="C31561" s="1">
        <v>1.41005409278377E-3</v>
      </c>
      <c r="D31561" s="1">
        <v>1.35869565217391E-3</v>
      </c>
      <c r="E31561" s="1">
        <v>2.1103279449626401E-5</v>
      </c>
      <c r="F31561" s="1">
        <v>1.32262493273723E-3</v>
      </c>
    </row>
    <row r="31562" spans="1:6" x14ac:dyDescent="0.25">
      <c r="A31562" s="2" t="str">
        <f t="shared" si="1144"/>
        <v>41740</v>
      </c>
      <c r="B31562" s="2" t="str">
        <f>"92155"</f>
        <v>92155</v>
      </c>
      <c r="C31562" s="1">
        <v>0</v>
      </c>
      <c r="D31562" s="1">
        <v>6.4141469874199903E-4</v>
      </c>
      <c r="E31562" s="1">
        <v>1.5827459587219799E-4</v>
      </c>
      <c r="F31562" s="1">
        <v>6.7891393885751304E-5</v>
      </c>
    </row>
    <row r="31563" spans="1:6" x14ac:dyDescent="0.25">
      <c r="A31563" s="2" t="str">
        <f t="shared" si="1144"/>
        <v>41740</v>
      </c>
      <c r="B31563" s="2" t="str">
        <f>"92070"</f>
        <v>92070</v>
      </c>
      <c r="C31563" s="1">
        <v>2.2131557676763699E-4</v>
      </c>
      <c r="D31563" s="1">
        <v>1.86217170602516E-4</v>
      </c>
      <c r="E31563" s="1">
        <v>2.84894272569957E-4</v>
      </c>
      <c r="F31563" s="1">
        <v>2.21904278163613E-4</v>
      </c>
    </row>
    <row r="31564" spans="1:6" x14ac:dyDescent="0.25">
      <c r="A31564" s="2" t="str">
        <f t="shared" si="1144"/>
        <v>41740</v>
      </c>
      <c r="B31564" s="2" t="str">
        <f>"92104"</f>
        <v>92104</v>
      </c>
      <c r="C31564" s="1">
        <v>1.7224865508226401E-2</v>
      </c>
      <c r="D31564" s="1">
        <v>7.9245751489737306E-3</v>
      </c>
      <c r="E31564" s="1">
        <v>2.4975731228632898E-2</v>
      </c>
      <c r="F31564" s="1">
        <v>1.6838951555718702E-2</v>
      </c>
    </row>
    <row r="31565" spans="1:6" x14ac:dyDescent="0.25">
      <c r="A31565" s="2" t="str">
        <f t="shared" si="1144"/>
        <v>41740</v>
      </c>
      <c r="B31565" s="2" t="str">
        <f>"92105"</f>
        <v>92105</v>
      </c>
      <c r="C31565" s="1">
        <v>1.6362548963295601E-2</v>
      </c>
      <c r="D31565" s="1">
        <v>7.3866144338998003E-3</v>
      </c>
      <c r="E31565" s="1">
        <v>2.4680285316338101E-2</v>
      </c>
      <c r="F31565" s="1">
        <v>1.60399704295262E-2</v>
      </c>
    </row>
    <row r="31566" spans="1:6" x14ac:dyDescent="0.25">
      <c r="A31566" s="2" t="str">
        <f t="shared" si="1144"/>
        <v>41740</v>
      </c>
      <c r="B31566" s="2" t="str">
        <f>"92057"</f>
        <v>92057</v>
      </c>
      <c r="C31566" s="1">
        <v>1.47171157621101E-2</v>
      </c>
      <c r="D31566" s="1">
        <v>1.9863164864268299E-3</v>
      </c>
      <c r="E31566" s="1">
        <v>1.40336808340016E-2</v>
      </c>
      <c r="F31566" s="1">
        <v>1.3516044999421601E-2</v>
      </c>
    </row>
    <row r="31567" spans="1:6" x14ac:dyDescent="0.25">
      <c r="A31567" s="2" t="str">
        <f t="shared" si="1144"/>
        <v>41740</v>
      </c>
      <c r="B31567" s="2" t="str">
        <f>"92084"</f>
        <v>92084</v>
      </c>
      <c r="C31567" s="1">
        <v>1.1914772037554E-2</v>
      </c>
      <c r="D31567" s="1">
        <v>8.8487640697417699E-3</v>
      </c>
      <c r="E31567" s="1">
        <v>7.6815937196640302E-3</v>
      </c>
      <c r="F31567" s="1">
        <v>1.13831237081776E-2</v>
      </c>
    </row>
    <row r="31568" spans="1:6" x14ac:dyDescent="0.25">
      <c r="A31568" s="2" t="str">
        <f t="shared" si="1144"/>
        <v>41740</v>
      </c>
      <c r="B31568" s="2" t="str">
        <f>"91935"</f>
        <v>91935</v>
      </c>
      <c r="C31568" s="1">
        <v>3.0591882233466398E-3</v>
      </c>
      <c r="D31568" s="1">
        <v>1.8690686382696899E-3</v>
      </c>
      <c r="E31568" s="1">
        <v>4.3261722871734199E-4</v>
      </c>
      <c r="F31568" s="1">
        <v>2.7942337576126299E-3</v>
      </c>
    </row>
    <row r="31569" spans="1:6" x14ac:dyDescent="0.25">
      <c r="A31569" s="2" t="str">
        <f t="shared" si="1144"/>
        <v>41740</v>
      </c>
      <c r="B31569" s="2" t="str">
        <f>"91912"</f>
        <v>91912</v>
      </c>
      <c r="C31569" s="1">
        <v>4.5395599743007402E-3</v>
      </c>
      <c r="D31569" s="1">
        <v>3.2484550871772198E-3</v>
      </c>
      <c r="E31569" s="1">
        <v>2.1103279449626401E-5</v>
      </c>
      <c r="F31569" s="1">
        <v>4.1526902593451197E-3</v>
      </c>
    </row>
    <row r="31570" spans="1:6" x14ac:dyDescent="0.25">
      <c r="A31570" s="2" t="str">
        <f t="shared" si="1144"/>
        <v>41740</v>
      </c>
      <c r="B31570" s="2" t="str">
        <f>"91901"</f>
        <v>91901</v>
      </c>
      <c r="C31570" s="1">
        <v>4.9525836928169401E-3</v>
      </c>
      <c r="D31570" s="1">
        <v>3.5243323769587201E-3</v>
      </c>
      <c r="E31570" s="1">
        <v>1.68826235597011E-3</v>
      </c>
      <c r="F31570" s="1">
        <v>4.6279300165453802E-3</v>
      </c>
    </row>
    <row r="31571" spans="1:6" x14ac:dyDescent="0.25">
      <c r="A31571" s="2" t="str">
        <f t="shared" si="1144"/>
        <v>41740</v>
      </c>
      <c r="B31571" s="2" t="str">
        <f>"92020"</f>
        <v>92020</v>
      </c>
      <c r="C31571" s="1">
        <v>1.5791125467427301E-2</v>
      </c>
      <c r="D31571" s="1">
        <v>2.3015062900022001E-2</v>
      </c>
      <c r="E31571" s="1">
        <v>1.9214535938884902E-2</v>
      </c>
      <c r="F31571" s="1">
        <v>1.6653507470567801E-2</v>
      </c>
    </row>
    <row r="31572" spans="1:6" x14ac:dyDescent="0.25">
      <c r="A31572" s="2" t="str">
        <f t="shared" si="1144"/>
        <v>41740</v>
      </c>
      <c r="B31572" s="2" t="str">
        <f>"91950"</f>
        <v>91950</v>
      </c>
      <c r="C31572" s="1">
        <v>1.32456262416618E-2</v>
      </c>
      <c r="D31572" s="1">
        <v>1.95734937099977E-2</v>
      </c>
      <c r="E31572" s="1">
        <v>1.6924830118600399E-2</v>
      </c>
      <c r="F31572" s="1">
        <v>1.40415746780187E-2</v>
      </c>
    </row>
    <row r="31573" spans="1:6" x14ac:dyDescent="0.25">
      <c r="A31573" s="2" t="str">
        <f t="shared" ref="A31573:A31585" si="1145">"25260"</f>
        <v>25260</v>
      </c>
      <c r="B31573" s="2" t="str">
        <f>"93204"</f>
        <v>93204</v>
      </c>
      <c r="C31573" s="1">
        <v>5.16845791571066E-2</v>
      </c>
      <c r="D31573" s="1">
        <v>4.6741106206180202E-2</v>
      </c>
      <c r="E31573" s="1">
        <v>6.3283582089552204E-2</v>
      </c>
      <c r="F31573" s="1">
        <v>5.1691661233065199E-2</v>
      </c>
    </row>
    <row r="31574" spans="1:6" x14ac:dyDescent="0.25">
      <c r="A31574" s="2" t="str">
        <f t="shared" si="1145"/>
        <v>25260</v>
      </c>
      <c r="B31574" s="2" t="str">
        <f>"93246"</f>
        <v>93246</v>
      </c>
      <c r="C31574" s="1">
        <v>0</v>
      </c>
      <c r="D31574" s="1">
        <v>2.2851207478576899E-2</v>
      </c>
      <c r="E31574" s="1">
        <v>7.7611940298507398E-3</v>
      </c>
      <c r="F31574" s="1">
        <v>1.82931246830399E-3</v>
      </c>
    </row>
    <row r="31575" spans="1:6" x14ac:dyDescent="0.25">
      <c r="A31575" s="2" t="str">
        <f t="shared" si="1145"/>
        <v>25260</v>
      </c>
      <c r="B31575" s="2" t="str">
        <f>"93232"</f>
        <v>93232</v>
      </c>
      <c r="C31575" s="1">
        <v>2.6647345328664002E-2</v>
      </c>
      <c r="D31575" s="1">
        <v>0.111918982082575</v>
      </c>
      <c r="E31575" s="1">
        <v>1.19402985074626E-3</v>
      </c>
      <c r="F31575" s="1">
        <v>3.18227921466347E-2</v>
      </c>
    </row>
    <row r="31576" spans="1:6" x14ac:dyDescent="0.25">
      <c r="A31576" s="2" t="str">
        <f t="shared" si="1145"/>
        <v>25260</v>
      </c>
      <c r="B31576" s="2" t="str">
        <f>"93242"</f>
        <v>93242</v>
      </c>
      <c r="C31576" s="1">
        <v>2.3547880690737801E-3</v>
      </c>
      <c r="D31576" s="1">
        <v>7.7901843676967005E-4</v>
      </c>
      <c r="E31576" s="1">
        <v>0</v>
      </c>
      <c r="F31576" s="1">
        <v>2.1734405564007801E-3</v>
      </c>
    </row>
    <row r="31577" spans="1:6" x14ac:dyDescent="0.25">
      <c r="A31577" s="2" t="str">
        <f t="shared" si="1145"/>
        <v>25260</v>
      </c>
      <c r="B31577" s="2" t="str">
        <f>"93230"</f>
        <v>93230</v>
      </c>
      <c r="C31577" s="1">
        <v>0.48240953186008101</v>
      </c>
      <c r="D31577" s="1">
        <v>0.517787587639574</v>
      </c>
      <c r="E31577" s="1">
        <v>0.54149253731343205</v>
      </c>
      <c r="F31577" s="1">
        <v>0.48666956458740801</v>
      </c>
    </row>
    <row r="31578" spans="1:6" x14ac:dyDescent="0.25">
      <c r="A31578" s="2" t="str">
        <f t="shared" si="1145"/>
        <v>25260</v>
      </c>
      <c r="B31578" s="2" t="str">
        <f>"93631"</f>
        <v>93631</v>
      </c>
      <c r="C31578" s="1">
        <v>5.1724831944612096E-3</v>
      </c>
      <c r="D31578" s="1">
        <v>1.2983640612827801E-3</v>
      </c>
      <c r="E31578" s="1">
        <v>1.19402985074626E-3</v>
      </c>
      <c r="F31578" s="1">
        <v>4.7815692240817196E-3</v>
      </c>
    </row>
    <row r="31579" spans="1:6" x14ac:dyDescent="0.25">
      <c r="A31579" s="2" t="str">
        <f t="shared" si="1145"/>
        <v>25260</v>
      </c>
      <c r="B31579" s="2" t="str">
        <f>"93212"</f>
        <v>93212</v>
      </c>
      <c r="C31579" s="1">
        <v>9.4533671456748306E-2</v>
      </c>
      <c r="D31579" s="1">
        <v>7.1929368995066204E-2</v>
      </c>
      <c r="E31579" s="1">
        <v>5.6716417910447701E-2</v>
      </c>
      <c r="F31579" s="1">
        <v>9.1809751503296302E-2</v>
      </c>
    </row>
    <row r="31580" spans="1:6" x14ac:dyDescent="0.25">
      <c r="A31580" s="2" t="str">
        <f t="shared" si="1145"/>
        <v>25260</v>
      </c>
      <c r="B31580" s="2" t="str">
        <f>"93202"</f>
        <v>93202</v>
      </c>
      <c r="C31580" s="1">
        <v>3.8743307974077199E-2</v>
      </c>
      <c r="D31580" s="1">
        <v>1.76577512334458E-2</v>
      </c>
      <c r="E31580" s="1">
        <v>1.19402985074626E-2</v>
      </c>
      <c r="F31580" s="1">
        <v>3.6459465333623098E-2</v>
      </c>
    </row>
    <row r="31581" spans="1:6" x14ac:dyDescent="0.25">
      <c r="A31581" s="2" t="str">
        <f t="shared" si="1145"/>
        <v>25260</v>
      </c>
      <c r="B31581" s="2" t="str">
        <f>"93239"</f>
        <v>93239</v>
      </c>
      <c r="C31581" s="1">
        <v>2.8780743066457301E-3</v>
      </c>
      <c r="D31581" s="1">
        <v>1.2983640612827801E-3</v>
      </c>
      <c r="E31581" s="1">
        <v>2.38805970149253E-3</v>
      </c>
      <c r="F31581" s="1">
        <v>2.7530247047743198E-3</v>
      </c>
    </row>
    <row r="31582" spans="1:6" x14ac:dyDescent="0.25">
      <c r="A31582" s="2" t="str">
        <f t="shared" si="1145"/>
        <v>25260</v>
      </c>
      <c r="B31582" s="2" t="str">
        <f>"93656"</f>
        <v>93656</v>
      </c>
      <c r="C31582" s="1">
        <v>2.4755464315903801E-3</v>
      </c>
      <c r="D31582" s="1">
        <v>7.7901843676967005E-4</v>
      </c>
      <c r="E31582" s="1">
        <v>0</v>
      </c>
      <c r="F31582" s="1">
        <v>2.2821125842208199E-3</v>
      </c>
    </row>
    <row r="31583" spans="1:6" x14ac:dyDescent="0.25">
      <c r="A31583" s="2" t="str">
        <f t="shared" si="1145"/>
        <v>25260</v>
      </c>
      <c r="B31583" s="2" t="str">
        <f>"93274"</f>
        <v>93274</v>
      </c>
      <c r="C31583" s="1">
        <v>2.8176951253874302E-4</v>
      </c>
      <c r="D31583" s="1">
        <v>0</v>
      </c>
      <c r="E31583" s="1">
        <v>0</v>
      </c>
      <c r="F31583" s="1">
        <v>2.53568064913424E-4</v>
      </c>
    </row>
    <row r="31584" spans="1:6" x14ac:dyDescent="0.25">
      <c r="A31584" s="2" t="str">
        <f t="shared" si="1145"/>
        <v>25260</v>
      </c>
      <c r="B31584" s="2" t="str">
        <f>"93245"</f>
        <v>93245</v>
      </c>
      <c r="C31584" s="1">
        <v>0.28734452360825902</v>
      </c>
      <c r="D31584" s="1">
        <v>0.20592054011944899</v>
      </c>
      <c r="E31584" s="1">
        <v>0.31343283582089498</v>
      </c>
      <c r="F31584" s="1">
        <v>0.282456712308918</v>
      </c>
    </row>
    <row r="31585" spans="1:6" x14ac:dyDescent="0.25">
      <c r="A31585" s="2" t="str">
        <f t="shared" si="1145"/>
        <v>25260</v>
      </c>
      <c r="B31585" s="2" t="str">
        <f>"93266"</f>
        <v>93266</v>
      </c>
      <c r="C31585" s="1">
        <v>5.4743791007527201E-3</v>
      </c>
      <c r="D31585" s="1">
        <v>1.03869124902622E-3</v>
      </c>
      <c r="E31585" s="1">
        <v>5.9701492537313401E-4</v>
      </c>
      <c r="F31585" s="1">
        <v>5.0170252843584704E-3</v>
      </c>
    </row>
    <row r="31586" spans="1:6" x14ac:dyDescent="0.25">
      <c r="A31586" s="2" t="str">
        <f t="shared" ref="A31586:A31617" si="1146">"12540"</f>
        <v>12540</v>
      </c>
      <c r="B31586" s="2" t="str">
        <f>"93387"</f>
        <v>93387</v>
      </c>
      <c r="C31586" s="1">
        <v>3.2249599251303399E-3</v>
      </c>
      <c r="D31586" s="1">
        <v>5.6938000843525897E-3</v>
      </c>
      <c r="E31586" s="1">
        <v>6.8432217888181698E-5</v>
      </c>
      <c r="F31586" s="1">
        <v>3.2920734218640402E-3</v>
      </c>
    </row>
    <row r="31587" spans="1:6" x14ac:dyDescent="0.25">
      <c r="A31587" s="2" t="str">
        <f t="shared" si="1146"/>
        <v>12540</v>
      </c>
      <c r="B31587" s="2" t="str">
        <f>"93386"</f>
        <v>93386</v>
      </c>
      <c r="C31587" s="1">
        <v>2.7918035430295001E-3</v>
      </c>
      <c r="D31587" s="1">
        <v>7.5214396176015701E-3</v>
      </c>
      <c r="E31587" s="1">
        <v>1.3686443577636299E-4</v>
      </c>
      <c r="F31587" s="1">
        <v>3.0583167291873001E-3</v>
      </c>
    </row>
    <row r="31588" spans="1:6" x14ac:dyDescent="0.25">
      <c r="A31588" s="2" t="str">
        <f t="shared" si="1146"/>
        <v>12540</v>
      </c>
      <c r="B31588" s="2" t="str">
        <f>"93528"</f>
        <v>93528</v>
      </c>
      <c r="C31588" s="1">
        <v>0</v>
      </c>
      <c r="D31588" s="1">
        <v>3.5146914100941898E-5</v>
      </c>
      <c r="E31588" s="1">
        <v>0</v>
      </c>
      <c r="F31588" s="1">
        <v>2.7828177699611501E-6</v>
      </c>
    </row>
    <row r="31589" spans="1:6" x14ac:dyDescent="0.25">
      <c r="A31589" s="2" t="str">
        <f t="shared" si="1146"/>
        <v>12540</v>
      </c>
      <c r="B31589" s="2" t="str">
        <f>"93527"</f>
        <v>93527</v>
      </c>
      <c r="C31589" s="1">
        <v>2.5704827638538901E-3</v>
      </c>
      <c r="D31589" s="1">
        <v>1.05440742302825E-4</v>
      </c>
      <c r="E31589" s="1">
        <v>4.7902552521727202E-4</v>
      </c>
      <c r="F31589" s="1">
        <v>2.2902590246780198E-3</v>
      </c>
    </row>
    <row r="31590" spans="1:6" x14ac:dyDescent="0.25">
      <c r="A31590" s="2" t="str">
        <f t="shared" si="1146"/>
        <v>12540</v>
      </c>
      <c r="B31590" s="2" t="str">
        <f>"93501"</f>
        <v>93501</v>
      </c>
      <c r="C31590" s="1">
        <v>8.6378338386824405E-3</v>
      </c>
      <c r="D31590" s="1">
        <v>1.4480528609587999E-2</v>
      </c>
      <c r="E31590" s="1">
        <v>1.07438582084445E-2</v>
      </c>
      <c r="F31590" s="1">
        <v>9.1860814586417604E-3</v>
      </c>
    </row>
    <row r="31591" spans="1:6" x14ac:dyDescent="0.25">
      <c r="A31591" s="2" t="str">
        <f t="shared" si="1146"/>
        <v>12540</v>
      </c>
      <c r="B31591" s="2" t="str">
        <f>"93205"</f>
        <v>93205</v>
      </c>
      <c r="C31591" s="1">
        <v>3.0921674576249699E-3</v>
      </c>
      <c r="D31591" s="1">
        <v>1.7573457050470899E-4</v>
      </c>
      <c r="E31591" s="1">
        <v>5.4745774310545402E-4</v>
      </c>
      <c r="F31591" s="1">
        <v>2.7577724100315E-3</v>
      </c>
    </row>
    <row r="31592" spans="1:6" x14ac:dyDescent="0.25">
      <c r="A31592" s="2" t="str">
        <f t="shared" si="1146"/>
        <v>12540</v>
      </c>
      <c r="B31592" s="2" t="str">
        <f>"93304"</f>
        <v>93304</v>
      </c>
      <c r="C31592" s="1">
        <v>5.2864048968803201E-2</v>
      </c>
      <c r="D31592" s="1">
        <v>4.2668353718543502E-2</v>
      </c>
      <c r="E31592" s="1">
        <v>6.2547047149798099E-2</v>
      </c>
      <c r="F31592" s="1">
        <v>5.2450549328227701E-2</v>
      </c>
    </row>
    <row r="31593" spans="1:6" x14ac:dyDescent="0.25">
      <c r="A31593" s="2" t="str">
        <f t="shared" si="1146"/>
        <v>12540</v>
      </c>
      <c r="B31593" s="2" t="str">
        <f>"93301"</f>
        <v>93301</v>
      </c>
      <c r="C31593" s="1">
        <v>1.94951989199545E-2</v>
      </c>
      <c r="D31593" s="1">
        <v>0.109377196682131</v>
      </c>
      <c r="E31593" s="1">
        <v>7.0348319989050806E-2</v>
      </c>
      <c r="F31593" s="1">
        <v>2.86797199372196E-2</v>
      </c>
    </row>
    <row r="31594" spans="1:6" x14ac:dyDescent="0.25">
      <c r="A31594" s="2" t="str">
        <f t="shared" si="1146"/>
        <v>12540</v>
      </c>
      <c r="B31594" s="2" t="str">
        <f>"93251"</f>
        <v>93251</v>
      </c>
      <c r="C31594" s="1">
        <v>1.2963074208857201E-4</v>
      </c>
      <c r="D31594" s="1">
        <v>1.15984816533108E-3</v>
      </c>
      <c r="E31594" s="1">
        <v>2.7372887155272701E-4</v>
      </c>
      <c r="F31594" s="1">
        <v>2.17059786056969E-4</v>
      </c>
    </row>
    <row r="31595" spans="1:6" x14ac:dyDescent="0.25">
      <c r="A31595" s="2" t="str">
        <f t="shared" si="1146"/>
        <v>12540</v>
      </c>
      <c r="B31595" s="2" t="str">
        <f>"93249"</f>
        <v>93249</v>
      </c>
      <c r="C31595" s="1">
        <v>6.9241786627798497E-4</v>
      </c>
      <c r="D31595" s="1">
        <v>1.3707296499367301E-3</v>
      </c>
      <c r="E31595" s="1">
        <v>1.77923766509272E-3</v>
      </c>
      <c r="F31595" s="1">
        <v>7.90320246668967E-4</v>
      </c>
    </row>
    <row r="31596" spans="1:6" x14ac:dyDescent="0.25">
      <c r="A31596" s="2" t="str">
        <f t="shared" si="1146"/>
        <v>12540</v>
      </c>
      <c r="B31596" s="2" t="str">
        <f>"93385"</f>
        <v>93385</v>
      </c>
      <c r="C31596" s="1">
        <v>2.3175447305103301E-3</v>
      </c>
      <c r="D31596" s="1">
        <v>2.8469000421762901E-3</v>
      </c>
      <c r="E31596" s="1">
        <v>1.3686443577636299E-4</v>
      </c>
      <c r="F31596" s="1">
        <v>2.27077930028829E-3</v>
      </c>
    </row>
    <row r="31597" spans="1:6" x14ac:dyDescent="0.25">
      <c r="A31597" s="2" t="str">
        <f t="shared" si="1146"/>
        <v>12540</v>
      </c>
      <c r="B31597" s="2" t="str">
        <f>"93307"</f>
        <v>93307</v>
      </c>
      <c r="C31597" s="1">
        <v>7.7471757887714404E-2</v>
      </c>
      <c r="D31597" s="1">
        <v>5.8835934204976799E-2</v>
      </c>
      <c r="E31597" s="1">
        <v>7.3633066447683498E-2</v>
      </c>
      <c r="F31597" s="1">
        <v>7.5840132684751205E-2</v>
      </c>
    </row>
    <row r="31598" spans="1:6" x14ac:dyDescent="0.25">
      <c r="A31598" s="2" t="str">
        <f t="shared" si="1146"/>
        <v>12540</v>
      </c>
      <c r="B31598" s="2" t="str">
        <f>"93222"</f>
        <v>93222</v>
      </c>
      <c r="C31598" s="1">
        <v>6.3234508335889E-6</v>
      </c>
      <c r="D31598" s="1">
        <v>7.0293828201883795E-5</v>
      </c>
      <c r="E31598" s="1">
        <v>0</v>
      </c>
      <c r="F31598" s="1">
        <v>1.1131271079844601E-5</v>
      </c>
    </row>
    <row r="31599" spans="1:6" x14ac:dyDescent="0.25">
      <c r="A31599" s="2" t="str">
        <f t="shared" si="1146"/>
        <v>12540</v>
      </c>
      <c r="B31599" s="2" t="str">
        <f>"93226"</f>
        <v>93226</v>
      </c>
      <c r="C31599" s="1">
        <v>3.4778979584738898E-5</v>
      </c>
      <c r="D31599" s="1">
        <v>3.5146914100941898E-5</v>
      </c>
      <c r="E31599" s="1">
        <v>0</v>
      </c>
      <c r="F31599" s="1">
        <v>3.3393813239533803E-5</v>
      </c>
    </row>
    <row r="31600" spans="1:6" x14ac:dyDescent="0.25">
      <c r="A31600" s="2" t="str">
        <f t="shared" si="1146"/>
        <v>12540</v>
      </c>
      <c r="B31600" s="2" t="str">
        <f>"93206"</f>
        <v>93206</v>
      </c>
      <c r="C31600" s="1">
        <v>1.6188034133987499E-3</v>
      </c>
      <c r="D31600" s="1">
        <v>1.8627864473499201E-3</v>
      </c>
      <c r="E31600" s="1">
        <v>5.4745774310545402E-4</v>
      </c>
      <c r="F31600" s="1">
        <v>1.5945545821877401E-3</v>
      </c>
    </row>
    <row r="31601" spans="1:6" x14ac:dyDescent="0.25">
      <c r="A31601" s="2" t="str">
        <f t="shared" si="1146"/>
        <v>12540</v>
      </c>
      <c r="B31601" s="2" t="str">
        <f>"93203"</f>
        <v>93203</v>
      </c>
      <c r="C31601" s="1">
        <v>1.8815427955343699E-2</v>
      </c>
      <c r="D31601" s="1">
        <v>1.5816111345423801E-2</v>
      </c>
      <c r="E31601" s="1">
        <v>8.9646205433518093E-3</v>
      </c>
      <c r="F31601" s="1">
        <v>1.8177365673386198E-2</v>
      </c>
    </row>
    <row r="31602" spans="1:6" x14ac:dyDescent="0.25">
      <c r="A31602" s="2" t="str">
        <f t="shared" si="1146"/>
        <v>12540</v>
      </c>
      <c r="B31602" s="2" t="str">
        <f>"93554"</f>
        <v>93554</v>
      </c>
      <c r="C31602" s="1">
        <v>0</v>
      </c>
      <c r="D31602" s="1">
        <v>3.5146914100941898E-5</v>
      </c>
      <c r="E31602" s="1">
        <v>0</v>
      </c>
      <c r="F31602" s="1">
        <v>2.7828177699611501E-6</v>
      </c>
    </row>
    <row r="31603" spans="1:6" x14ac:dyDescent="0.25">
      <c r="A31603" s="2" t="str">
        <f t="shared" si="1146"/>
        <v>12540</v>
      </c>
      <c r="B31603" s="2" t="str">
        <f>"93556"</f>
        <v>93556</v>
      </c>
      <c r="C31603" s="1">
        <v>4.8658954164466604E-3</v>
      </c>
      <c r="D31603" s="1">
        <v>9.8411359482637392E-3</v>
      </c>
      <c r="E31603" s="1">
        <v>6.8432217888181698E-5</v>
      </c>
      <c r="F31603" s="1">
        <v>5.0647283413292896E-3</v>
      </c>
    </row>
    <row r="31604" spans="1:6" x14ac:dyDescent="0.25">
      <c r="A31604" s="2" t="str">
        <f t="shared" si="1146"/>
        <v>12540</v>
      </c>
      <c r="B31604" s="2" t="str">
        <f>"93312"</f>
        <v>93312</v>
      </c>
      <c r="C31604" s="1">
        <v>6.3655017816322698E-2</v>
      </c>
      <c r="D31604" s="1">
        <v>3.2651483199774997E-2</v>
      </c>
      <c r="E31604" s="1">
        <v>3.8116745363717203E-2</v>
      </c>
      <c r="F31604" s="1">
        <v>6.0161737368790102E-2</v>
      </c>
    </row>
    <row r="31605" spans="1:6" x14ac:dyDescent="0.25">
      <c r="A31605" s="2" t="str">
        <f t="shared" si="1146"/>
        <v>12540</v>
      </c>
      <c r="B31605" s="2" t="str">
        <f>"93204"</f>
        <v>93204</v>
      </c>
      <c r="C31605" s="1">
        <v>3.16172541679445E-6</v>
      </c>
      <c r="D31605" s="1">
        <v>0</v>
      </c>
      <c r="E31605" s="1">
        <v>0</v>
      </c>
      <c r="F31605" s="1">
        <v>2.7828177699611501E-6</v>
      </c>
    </row>
    <row r="31606" spans="1:6" x14ac:dyDescent="0.25">
      <c r="A31606" s="2" t="str">
        <f t="shared" si="1146"/>
        <v>12540</v>
      </c>
      <c r="B31606" s="2" t="str">
        <f>"93263"</f>
        <v>93263</v>
      </c>
      <c r="C31606" s="1">
        <v>2.2837142685506299E-2</v>
      </c>
      <c r="D31606" s="1">
        <v>2.1931674398987699E-2</v>
      </c>
      <c r="E31606" s="1">
        <v>9.8542393758981692E-3</v>
      </c>
      <c r="F31606" s="1">
        <v>2.2237496799759501E-2</v>
      </c>
    </row>
    <row r="31607" spans="1:6" x14ac:dyDescent="0.25">
      <c r="A31607" s="2" t="str">
        <f t="shared" si="1146"/>
        <v>12540</v>
      </c>
      <c r="B31607" s="2" t="str">
        <f>"93280"</f>
        <v>93280</v>
      </c>
      <c r="C31607" s="1">
        <v>2.5135717063515899E-2</v>
      </c>
      <c r="D31607" s="1">
        <v>1.97877126388303E-2</v>
      </c>
      <c r="E31607" s="1">
        <v>1.56025456785054E-2</v>
      </c>
      <c r="F31607" s="1">
        <v>2.43246101272304E-2</v>
      </c>
    </row>
    <row r="31608" spans="1:6" x14ac:dyDescent="0.25">
      <c r="A31608" s="2" t="str">
        <f t="shared" si="1146"/>
        <v>12540</v>
      </c>
      <c r="B31608" s="2" t="str">
        <f>"93250"</f>
        <v>93250</v>
      </c>
      <c r="C31608" s="1">
        <v>1.14359608325455E-2</v>
      </c>
      <c r="D31608" s="1">
        <v>5.6586531702516501E-3</v>
      </c>
      <c r="E31608" s="1">
        <v>5.4061452131663502E-3</v>
      </c>
      <c r="F31608" s="1">
        <v>1.07333281387401E-2</v>
      </c>
    </row>
    <row r="31609" spans="1:6" x14ac:dyDescent="0.25">
      <c r="A31609" s="2" t="str">
        <f t="shared" si="1146"/>
        <v>12540</v>
      </c>
      <c r="B31609" s="2" t="str">
        <f>"93581"</f>
        <v>93581</v>
      </c>
      <c r="C31609" s="1">
        <v>5.62470951647733E-3</v>
      </c>
      <c r="D31609" s="1">
        <v>9.5599606354562008E-3</v>
      </c>
      <c r="E31609" s="1">
        <v>6.8432217888181698E-5</v>
      </c>
      <c r="F31609" s="1">
        <v>5.71034206396028E-3</v>
      </c>
    </row>
    <row r="31610" spans="1:6" x14ac:dyDescent="0.25">
      <c r="A31610" s="2" t="str">
        <f t="shared" si="1146"/>
        <v>12540</v>
      </c>
      <c r="B31610" s="2" t="str">
        <f>"93536"</f>
        <v>93536</v>
      </c>
      <c r="C31610" s="1">
        <v>9.4851762503833501E-5</v>
      </c>
      <c r="D31610" s="1">
        <v>0</v>
      </c>
      <c r="E31610" s="1">
        <v>0</v>
      </c>
      <c r="F31610" s="1">
        <v>8.3484533098834502E-5</v>
      </c>
    </row>
    <row r="31611" spans="1:6" x14ac:dyDescent="0.25">
      <c r="A31611" s="2" t="str">
        <f t="shared" si="1146"/>
        <v>12540</v>
      </c>
      <c r="B31611" s="2" t="str">
        <f>"93384"</f>
        <v>93384</v>
      </c>
      <c r="C31611" s="1">
        <v>5.58676881147579E-3</v>
      </c>
      <c r="D31611" s="1">
        <v>1.5113173063405001E-2</v>
      </c>
      <c r="E31611" s="1">
        <v>1.3686443577636299E-4</v>
      </c>
      <c r="F31611" s="1">
        <v>6.1194162761445698E-3</v>
      </c>
    </row>
    <row r="31612" spans="1:6" x14ac:dyDescent="0.25">
      <c r="A31612" s="2" t="str">
        <f t="shared" si="1146"/>
        <v>12540</v>
      </c>
      <c r="B31612" s="2" t="str">
        <f>"93380"</f>
        <v>93380</v>
      </c>
      <c r="C31612" s="1">
        <v>2.1562967342538099E-3</v>
      </c>
      <c r="D31612" s="1">
        <v>1.6729931112048301E-2</v>
      </c>
      <c r="E31612" s="1">
        <v>1.3686443577636299E-4</v>
      </c>
      <c r="F31612" s="1">
        <v>3.2280686131549302E-3</v>
      </c>
    </row>
    <row r="31613" spans="1:6" x14ac:dyDescent="0.25">
      <c r="A31613" s="2" t="str">
        <f t="shared" si="1146"/>
        <v>12540</v>
      </c>
      <c r="B31613" s="2" t="str">
        <f>"93523"</f>
        <v>93523</v>
      </c>
      <c r="C31613" s="1">
        <v>4.9512620027001098E-3</v>
      </c>
      <c r="D31613" s="1">
        <v>6.6779136791789595E-4</v>
      </c>
      <c r="E31613" s="1">
        <v>2.6004242797509E-3</v>
      </c>
      <c r="F31613" s="1">
        <v>4.5165132406469397E-3</v>
      </c>
    </row>
    <row r="31614" spans="1:6" x14ac:dyDescent="0.25">
      <c r="A31614" s="2" t="str">
        <f t="shared" si="1146"/>
        <v>12540</v>
      </c>
      <c r="B31614" s="2" t="str">
        <f>"93505"</f>
        <v>93505</v>
      </c>
      <c r="C31614" s="1">
        <v>1.6681263299007501E-2</v>
      </c>
      <c r="D31614" s="1">
        <v>1.07901026289891E-2</v>
      </c>
      <c r="E31614" s="1">
        <v>1.9503182098131799E-2</v>
      </c>
      <c r="F31614" s="1">
        <v>1.6329574674132E-2</v>
      </c>
    </row>
    <row r="31615" spans="1:6" x14ac:dyDescent="0.25">
      <c r="A31615" s="2" t="str">
        <f t="shared" si="1146"/>
        <v>12540</v>
      </c>
      <c r="B31615" s="2" t="str">
        <f>"93302"</f>
        <v>93302</v>
      </c>
      <c r="C31615" s="1">
        <v>2.7696714651119399E-3</v>
      </c>
      <c r="D31615" s="1">
        <v>1.4867144664698399E-2</v>
      </c>
      <c r="E31615" s="1">
        <v>1.3686443577636299E-4</v>
      </c>
      <c r="F31615" s="1">
        <v>3.6204459187194498E-3</v>
      </c>
    </row>
    <row r="31616" spans="1:6" x14ac:dyDescent="0.25">
      <c r="A31616" s="2" t="str">
        <f t="shared" si="1146"/>
        <v>12540</v>
      </c>
      <c r="B31616" s="2" t="str">
        <f>"93390"</f>
        <v>93390</v>
      </c>
      <c r="C31616" s="1">
        <v>3.5474559176433699E-3</v>
      </c>
      <c r="D31616" s="1">
        <v>2.57626880359904E-2</v>
      </c>
      <c r="E31616" s="1">
        <v>1.3686443577636299E-4</v>
      </c>
      <c r="F31616" s="1">
        <v>5.1676925988178501E-3</v>
      </c>
    </row>
    <row r="31617" spans="1:6" x14ac:dyDescent="0.25">
      <c r="A31617" s="2" t="str">
        <f t="shared" si="1146"/>
        <v>12540</v>
      </c>
      <c r="B31617" s="2" t="str">
        <f>"93389"</f>
        <v>93389</v>
      </c>
      <c r="C31617" s="1">
        <v>6.6712406294362897E-3</v>
      </c>
      <c r="D31617" s="1">
        <v>2.44271053001546E-2</v>
      </c>
      <c r="E31617" s="1">
        <v>1.3686443577636299E-4</v>
      </c>
      <c r="F31617" s="1">
        <v>7.8113694802809499E-3</v>
      </c>
    </row>
    <row r="31618" spans="1:6" x14ac:dyDescent="0.25">
      <c r="A31618" s="2" t="str">
        <f t="shared" ref="A31618:A31652" si="1147">"12540"</f>
        <v>12540</v>
      </c>
      <c r="B31618" s="2" t="str">
        <f>"93314"</f>
        <v>93314</v>
      </c>
      <c r="C31618" s="1">
        <v>3.38842112917861E-2</v>
      </c>
      <c r="D31618" s="1">
        <v>1.1036131027695699E-2</v>
      </c>
      <c r="E31618" s="1">
        <v>9.3067816327927107E-3</v>
      </c>
      <c r="F31618" s="1">
        <v>3.1075726037156099E-2</v>
      </c>
    </row>
    <row r="31619" spans="1:6" x14ac:dyDescent="0.25">
      <c r="A31619" s="2" t="str">
        <f t="shared" si="1147"/>
        <v>12540</v>
      </c>
      <c r="B31619" s="2" t="str">
        <f>"93504"</f>
        <v>93504</v>
      </c>
      <c r="C31619" s="1">
        <v>1.7168169013193799E-3</v>
      </c>
      <c r="D31619" s="1">
        <v>2.8469000421762901E-3</v>
      </c>
      <c r="E31619" s="1">
        <v>6.8432217888181698E-5</v>
      </c>
      <c r="F31619" s="1">
        <v>1.7392611062257101E-3</v>
      </c>
    </row>
    <row r="31620" spans="1:6" x14ac:dyDescent="0.25">
      <c r="A31620" s="2" t="str">
        <f t="shared" si="1147"/>
        <v>12540</v>
      </c>
      <c r="B31620" s="2" t="str">
        <f>"93306"</f>
        <v>93306</v>
      </c>
      <c r="C31620" s="1">
        <v>7.7146100169784598E-2</v>
      </c>
      <c r="D31620" s="1">
        <v>2.9031351047378001E-2</v>
      </c>
      <c r="E31620" s="1">
        <v>5.5977554232532603E-2</v>
      </c>
      <c r="F31620" s="1">
        <v>7.2475706000868195E-2</v>
      </c>
    </row>
    <row r="31621" spans="1:6" x14ac:dyDescent="0.25">
      <c r="A31621" s="2" t="str">
        <f t="shared" si="1147"/>
        <v>12540</v>
      </c>
      <c r="B31621" s="2" t="str">
        <f>"93252"</f>
        <v>93252</v>
      </c>
      <c r="C31621" s="1">
        <v>1.05601628920934E-3</v>
      </c>
      <c r="D31621" s="1">
        <v>4.9205679741318696E-4</v>
      </c>
      <c r="E31621" s="1">
        <v>6.8432217888181698E-5</v>
      </c>
      <c r="F31621" s="1">
        <v>9.7120340171644203E-4</v>
      </c>
    </row>
    <row r="31622" spans="1:6" x14ac:dyDescent="0.25">
      <c r="A31622" s="2" t="str">
        <f t="shared" si="1147"/>
        <v>12540</v>
      </c>
      <c r="B31622" s="2" t="str">
        <f>"93241"</f>
        <v>93241</v>
      </c>
      <c r="C31622" s="1">
        <v>1.5748554301053101E-2</v>
      </c>
      <c r="D31622" s="1">
        <v>1.0754955714888201E-2</v>
      </c>
      <c r="E31622" s="1">
        <v>1.0538561554779899E-2</v>
      </c>
      <c r="F31622" s="1">
        <v>1.51413114863586E-2</v>
      </c>
    </row>
    <row r="31623" spans="1:6" x14ac:dyDescent="0.25">
      <c r="A31623" s="2" t="str">
        <f t="shared" si="1147"/>
        <v>12540</v>
      </c>
      <c r="B31623" s="2" t="str">
        <f>"93524"</f>
        <v>93524</v>
      </c>
      <c r="C31623" s="1">
        <v>0</v>
      </c>
      <c r="D31623" s="1">
        <v>2.95234078447912E-3</v>
      </c>
      <c r="E31623" s="1">
        <v>4.7902552521727202E-4</v>
      </c>
      <c r="F31623" s="1">
        <v>2.5323641706646399E-4</v>
      </c>
    </row>
    <row r="31624" spans="1:6" x14ac:dyDescent="0.25">
      <c r="A31624" s="2" t="str">
        <f t="shared" si="1147"/>
        <v>12540</v>
      </c>
      <c r="B31624" s="2" t="str">
        <f>"93309"</f>
        <v>93309</v>
      </c>
      <c r="C31624" s="1">
        <v>7.4196210355915407E-2</v>
      </c>
      <c r="D31624" s="1">
        <v>8.5653029663995503E-2</v>
      </c>
      <c r="E31624" s="1">
        <v>0.15239854923698001</v>
      </c>
      <c r="F31624" s="1">
        <v>7.82834466867771E-2</v>
      </c>
    </row>
    <row r="31625" spans="1:6" x14ac:dyDescent="0.25">
      <c r="A31625" s="2" t="str">
        <f t="shared" si="1147"/>
        <v>12540</v>
      </c>
      <c r="B31625" s="2" t="str">
        <f>"93219"</f>
        <v>93219</v>
      </c>
      <c r="C31625" s="1">
        <v>3.16172541679445E-6</v>
      </c>
      <c r="D31625" s="1">
        <v>0</v>
      </c>
      <c r="E31625" s="1">
        <v>0</v>
      </c>
      <c r="F31625" s="1">
        <v>2.7828177699611501E-6</v>
      </c>
    </row>
    <row r="31626" spans="1:6" x14ac:dyDescent="0.25">
      <c r="A31626" s="2" t="str">
        <f t="shared" si="1147"/>
        <v>12540</v>
      </c>
      <c r="B31626" s="2" t="str">
        <f>"93225"</f>
        <v>93225</v>
      </c>
      <c r="C31626" s="1">
        <v>4.1545071976679098E-3</v>
      </c>
      <c r="D31626" s="1">
        <v>1.1247012512301401E-3</v>
      </c>
      <c r="E31626" s="1">
        <v>5.4745774310545402E-4</v>
      </c>
      <c r="F31626" s="1">
        <v>3.7679352605273901E-3</v>
      </c>
    </row>
    <row r="31627" spans="1:6" x14ac:dyDescent="0.25">
      <c r="A31627" s="2" t="str">
        <f t="shared" si="1147"/>
        <v>12540</v>
      </c>
      <c r="B31627" s="2" t="str">
        <f>"93215"</f>
        <v>93215</v>
      </c>
      <c r="C31627" s="1">
        <v>3.6024699398955903E-2</v>
      </c>
      <c r="D31627" s="1">
        <v>3.2581189371573102E-2</v>
      </c>
      <c r="E31627" s="1">
        <v>3.07260658317936E-2</v>
      </c>
      <c r="F31627" s="1">
        <v>3.55365829224039E-2</v>
      </c>
    </row>
    <row r="31628" spans="1:6" x14ac:dyDescent="0.25">
      <c r="A31628" s="2" t="str">
        <f t="shared" si="1147"/>
        <v>12540</v>
      </c>
      <c r="B31628" s="2" t="str">
        <f>"93285"</f>
        <v>93285</v>
      </c>
      <c r="C31628" s="1">
        <v>3.0257712238722901E-3</v>
      </c>
      <c r="D31628" s="1">
        <v>1.47617039223956E-3</v>
      </c>
      <c r="E31628" s="1">
        <v>1.2317799219872701E-3</v>
      </c>
      <c r="F31628" s="1">
        <v>2.8301256720504901E-3</v>
      </c>
    </row>
    <row r="31629" spans="1:6" x14ac:dyDescent="0.25">
      <c r="A31629" s="2" t="str">
        <f t="shared" si="1147"/>
        <v>12540</v>
      </c>
      <c r="B31629" s="2" t="str">
        <f>"93283"</f>
        <v>93283</v>
      </c>
      <c r="C31629" s="1">
        <v>2.4503371980157001E-3</v>
      </c>
      <c r="D31629" s="1">
        <v>3.1632222690847699E-4</v>
      </c>
      <c r="E31629" s="1">
        <v>2.0529665366454501E-4</v>
      </c>
      <c r="F31629" s="1">
        <v>2.1900775849594198E-3</v>
      </c>
    </row>
    <row r="31630" spans="1:6" x14ac:dyDescent="0.25">
      <c r="A31630" s="2" t="str">
        <f t="shared" si="1147"/>
        <v>12540</v>
      </c>
      <c r="B31630" s="2" t="str">
        <f>"93276"</f>
        <v>93276</v>
      </c>
      <c r="C31630" s="1">
        <v>0</v>
      </c>
      <c r="D31630" s="1">
        <v>3.5146914100941898E-5</v>
      </c>
      <c r="E31630" s="1">
        <v>0</v>
      </c>
      <c r="F31630" s="1">
        <v>2.7828177699611501E-6</v>
      </c>
    </row>
    <row r="31631" spans="1:6" x14ac:dyDescent="0.25">
      <c r="A31631" s="2" t="str">
        <f t="shared" si="1147"/>
        <v>12540</v>
      </c>
      <c r="B31631" s="2" t="str">
        <f>"93243"</f>
        <v>93243</v>
      </c>
      <c r="C31631" s="1">
        <v>8.7895966586885703E-4</v>
      </c>
      <c r="D31631" s="1">
        <v>1.33558273583579E-3</v>
      </c>
      <c r="E31631" s="1">
        <v>3.4216108944090797E-4</v>
      </c>
      <c r="F31631" s="1">
        <v>8.9328450415752903E-4</v>
      </c>
    </row>
    <row r="31632" spans="1:6" x14ac:dyDescent="0.25">
      <c r="A31632" s="2" t="str">
        <f t="shared" si="1147"/>
        <v>12540</v>
      </c>
      <c r="B31632" s="2" t="str">
        <f>"93561"</f>
        <v>93561</v>
      </c>
      <c r="C31632" s="1">
        <v>4.5446641141003399E-2</v>
      </c>
      <c r="D31632" s="1">
        <v>3.3530156052298601E-2</v>
      </c>
      <c r="E31632" s="1">
        <v>4.0854034079244497E-2</v>
      </c>
      <c r="F31632" s="1">
        <v>4.4316372986631297E-2</v>
      </c>
    </row>
    <row r="31633" spans="1:6" x14ac:dyDescent="0.25">
      <c r="A31633" s="2" t="str">
        <f t="shared" si="1147"/>
        <v>12540</v>
      </c>
      <c r="B31633" s="2" t="str">
        <f>"93388"</f>
        <v>93388</v>
      </c>
      <c r="C31633" s="1">
        <v>1.36902710547199E-3</v>
      </c>
      <c r="D31633" s="1">
        <v>5.5883593420497603E-3</v>
      </c>
      <c r="E31633" s="1">
        <v>1.3686443577636299E-4</v>
      </c>
      <c r="F31633" s="1">
        <v>1.65299375535692E-3</v>
      </c>
    </row>
    <row r="31634" spans="1:6" x14ac:dyDescent="0.25">
      <c r="A31634" s="2" t="str">
        <f t="shared" si="1147"/>
        <v>12540</v>
      </c>
      <c r="B31634" s="2" t="str">
        <f>"93518"</f>
        <v>93518</v>
      </c>
      <c r="C31634" s="1">
        <v>2.4408520217653099E-3</v>
      </c>
      <c r="D31634" s="1">
        <v>1.6167580486433201E-3</v>
      </c>
      <c r="E31634" s="1">
        <v>1.3686443577636299E-4</v>
      </c>
      <c r="F31634" s="1">
        <v>2.2819105713681401E-3</v>
      </c>
    </row>
    <row r="31635" spans="1:6" x14ac:dyDescent="0.25">
      <c r="A31635" s="2" t="str">
        <f t="shared" si="1147"/>
        <v>12540</v>
      </c>
      <c r="B31635" s="2" t="str">
        <f>"93220"</f>
        <v>93220</v>
      </c>
      <c r="C31635" s="1">
        <v>2.21320779175611E-5</v>
      </c>
      <c r="D31635" s="1">
        <v>3.5146914100941898E-5</v>
      </c>
      <c r="E31635" s="1">
        <v>2.7372887155272701E-4</v>
      </c>
      <c r="F31635" s="1">
        <v>3.3393813239533803E-5</v>
      </c>
    </row>
    <row r="31636" spans="1:6" x14ac:dyDescent="0.25">
      <c r="A31636" s="2" t="str">
        <f t="shared" si="1147"/>
        <v>12540</v>
      </c>
      <c r="B31636" s="2" t="str">
        <f>"93224"</f>
        <v>93224</v>
      </c>
      <c r="C31636" s="1">
        <v>5.81757476690179E-4</v>
      </c>
      <c r="D31636" s="1">
        <v>3.8661605511036099E-4</v>
      </c>
      <c r="E31636" s="1">
        <v>6.8432217888181698E-5</v>
      </c>
      <c r="F31636" s="1">
        <v>5.4543228291238503E-4</v>
      </c>
    </row>
    <row r="31637" spans="1:6" x14ac:dyDescent="0.25">
      <c r="A31637" s="2" t="str">
        <f t="shared" si="1147"/>
        <v>12540</v>
      </c>
      <c r="B31637" s="2" t="str">
        <f>"93268"</f>
        <v>93268</v>
      </c>
      <c r="C31637" s="1">
        <v>1.9985266359557701E-2</v>
      </c>
      <c r="D31637" s="1">
        <v>2.1791086742583999E-2</v>
      </c>
      <c r="E31637" s="1">
        <v>1.9913775405460798E-2</v>
      </c>
      <c r="F31637" s="1">
        <v>2.0125338112359E-2</v>
      </c>
    </row>
    <row r="31638" spans="1:6" x14ac:dyDescent="0.25">
      <c r="A31638" s="2" t="str">
        <f t="shared" si="1147"/>
        <v>12540</v>
      </c>
      <c r="B31638" s="2" t="str">
        <f>"93238"</f>
        <v>93238</v>
      </c>
      <c r="C31638" s="1">
        <v>8.5050413711770703E-4</v>
      </c>
      <c r="D31638" s="1">
        <v>2.2845494165612198E-3</v>
      </c>
      <c r="E31638" s="1">
        <v>8.8961883254636204E-4</v>
      </c>
      <c r="F31638" s="1">
        <v>9.6563776617651902E-4</v>
      </c>
    </row>
    <row r="31639" spans="1:6" x14ac:dyDescent="0.25">
      <c r="A31639" s="2" t="str">
        <f t="shared" si="1147"/>
        <v>12540</v>
      </c>
      <c r="B31639" s="2" t="str">
        <f>"93255"</f>
        <v>93255</v>
      </c>
      <c r="C31639" s="1">
        <v>7.1138821877875095E-4</v>
      </c>
      <c r="D31639" s="1">
        <v>7.0293828201883795E-5</v>
      </c>
      <c r="E31639" s="1">
        <v>6.8432217888181698E-5</v>
      </c>
      <c r="F31639" s="1">
        <v>6.3448245155114198E-4</v>
      </c>
    </row>
    <row r="31640" spans="1:6" x14ac:dyDescent="0.25">
      <c r="A31640" s="2" t="str">
        <f t="shared" si="1147"/>
        <v>12540</v>
      </c>
      <c r="B31640" s="2" t="str">
        <f>"93240"</f>
        <v>93240</v>
      </c>
      <c r="C31640" s="1">
        <v>8.9445212041115007E-3</v>
      </c>
      <c r="D31640" s="1">
        <v>4.0067482075073803E-3</v>
      </c>
      <c r="E31640" s="1">
        <v>5.4745774310545397E-3</v>
      </c>
      <c r="F31640" s="1">
        <v>8.4124581185925605E-3</v>
      </c>
    </row>
    <row r="31641" spans="1:6" x14ac:dyDescent="0.25">
      <c r="A31641" s="2" t="str">
        <f t="shared" si="1147"/>
        <v>12540</v>
      </c>
      <c r="B31641" s="2" t="str">
        <f>"93560"</f>
        <v>93560</v>
      </c>
      <c r="C31641" s="1">
        <v>3.15445344833582E-2</v>
      </c>
      <c r="D31641" s="1">
        <v>1.05440742302825E-2</v>
      </c>
      <c r="E31641" s="1">
        <v>1.3960172449189E-2</v>
      </c>
      <c r="F31641" s="1">
        <v>2.9166713046962799E-2</v>
      </c>
    </row>
    <row r="31642" spans="1:6" x14ac:dyDescent="0.25">
      <c r="A31642" s="2" t="str">
        <f t="shared" si="1147"/>
        <v>12540</v>
      </c>
      <c r="B31642" s="2" t="str">
        <f>"93555"</f>
        <v>93555</v>
      </c>
      <c r="C31642" s="1">
        <v>4.8345943348203899E-2</v>
      </c>
      <c r="D31642" s="1">
        <v>3.9188809222550199E-2</v>
      </c>
      <c r="E31642" s="1">
        <v>8.3008280298364406E-2</v>
      </c>
      <c r="F31642" s="1">
        <v>4.9030466288945501E-2</v>
      </c>
    </row>
    <row r="31643" spans="1:6" x14ac:dyDescent="0.25">
      <c r="A31643" s="2" t="str">
        <f t="shared" si="1147"/>
        <v>12540</v>
      </c>
      <c r="B31643" s="2" t="str">
        <f>"93313"</f>
        <v>93313</v>
      </c>
      <c r="C31643" s="1">
        <v>5.0205037893279097E-2</v>
      </c>
      <c r="D31643" s="1">
        <v>4.4671727822297197E-2</v>
      </c>
      <c r="E31643" s="1">
        <v>2.2103606377882699E-2</v>
      </c>
      <c r="F31643" s="1">
        <v>4.8624174894531198E-2</v>
      </c>
    </row>
    <row r="31644" spans="1:6" x14ac:dyDescent="0.25">
      <c r="A31644" s="2" t="str">
        <f t="shared" si="1147"/>
        <v>12540</v>
      </c>
      <c r="B31644" s="2" t="str">
        <f>"93531"</f>
        <v>93531</v>
      </c>
      <c r="C31644" s="1">
        <v>7.4616719836348997E-4</v>
      </c>
      <c r="D31644" s="1">
        <v>1.05440742302825E-4</v>
      </c>
      <c r="E31644" s="1">
        <v>6.8432217888181698E-5</v>
      </c>
      <c r="F31644" s="1">
        <v>6.6787626479067601E-4</v>
      </c>
    </row>
    <row r="31645" spans="1:6" x14ac:dyDescent="0.25">
      <c r="A31645" s="2" t="str">
        <f t="shared" si="1147"/>
        <v>12540</v>
      </c>
      <c r="B31645" s="2" t="str">
        <f>"93516"</f>
        <v>93516</v>
      </c>
      <c r="C31645" s="1">
        <v>3.8383346559884598E-3</v>
      </c>
      <c r="D31645" s="1">
        <v>3.3389568395894801E-3</v>
      </c>
      <c r="E31645" s="1">
        <v>1.50550879353999E-3</v>
      </c>
      <c r="F31645" s="1">
        <v>3.7039304518182901E-3</v>
      </c>
    </row>
    <row r="31646" spans="1:6" x14ac:dyDescent="0.25">
      <c r="A31646" s="2" t="str">
        <f t="shared" si="1147"/>
        <v>12540</v>
      </c>
      <c r="B31646" s="2" t="str">
        <f>"93461"</f>
        <v>93461</v>
      </c>
      <c r="C31646" s="1">
        <v>3.16172541679445E-6</v>
      </c>
      <c r="D31646" s="1">
        <v>0</v>
      </c>
      <c r="E31646" s="1">
        <v>0</v>
      </c>
      <c r="F31646" s="1">
        <v>2.7828177699611501E-6</v>
      </c>
    </row>
    <row r="31647" spans="1:6" x14ac:dyDescent="0.25">
      <c r="A31647" s="2" t="str">
        <f t="shared" si="1147"/>
        <v>12540</v>
      </c>
      <c r="B31647" s="2" t="str">
        <f>"93502"</f>
        <v>93502</v>
      </c>
      <c r="C31647" s="1">
        <v>2.4977630792676099E-3</v>
      </c>
      <c r="D31647" s="1">
        <v>1.96822718965274E-3</v>
      </c>
      <c r="E31647" s="1">
        <v>6.8432217888181698E-5</v>
      </c>
      <c r="F31647" s="1">
        <v>2.3570466511570898E-3</v>
      </c>
    </row>
    <row r="31648" spans="1:6" x14ac:dyDescent="0.25">
      <c r="A31648" s="2" t="str">
        <f t="shared" si="1147"/>
        <v>12540</v>
      </c>
      <c r="B31648" s="2" t="str">
        <f>"93311"</f>
        <v>93311</v>
      </c>
      <c r="C31648" s="1">
        <v>5.5586294552663201E-2</v>
      </c>
      <c r="D31648" s="1">
        <v>2.7660621397441298E-2</v>
      </c>
      <c r="E31648" s="1">
        <v>3.2984329022103603E-2</v>
      </c>
      <c r="F31648" s="1">
        <v>5.2456114963767703E-2</v>
      </c>
    </row>
    <row r="31649" spans="1:6" x14ac:dyDescent="0.25">
      <c r="A31649" s="2" t="str">
        <f t="shared" si="1147"/>
        <v>12540</v>
      </c>
      <c r="B31649" s="2" t="str">
        <f>"93308"</f>
        <v>93308</v>
      </c>
      <c r="C31649" s="1">
        <v>6.7872759522326506E-2</v>
      </c>
      <c r="D31649" s="1">
        <v>0.103823984254182</v>
      </c>
      <c r="E31649" s="1">
        <v>0.11400807500170999</v>
      </c>
      <c r="F31649" s="1">
        <v>7.2595367164976499E-2</v>
      </c>
    </row>
    <row r="31650" spans="1:6" x14ac:dyDescent="0.25">
      <c r="A31650" s="2" t="str">
        <f t="shared" si="1147"/>
        <v>12540</v>
      </c>
      <c r="B31650" s="2" t="str">
        <f>"93303"</f>
        <v>93303</v>
      </c>
      <c r="C31650" s="1">
        <v>1.3627036546384E-3</v>
      </c>
      <c r="D31650" s="1">
        <v>9.9465766905665592E-3</v>
      </c>
      <c r="E31650" s="1">
        <v>1.3686443577636299E-4</v>
      </c>
      <c r="F31650" s="1">
        <v>1.9924975232921802E-3</v>
      </c>
    </row>
    <row r="31651" spans="1:6" x14ac:dyDescent="0.25">
      <c r="A31651" s="2" t="str">
        <f t="shared" si="1147"/>
        <v>12540</v>
      </c>
      <c r="B31651" s="2" t="str">
        <f>"93305"</f>
        <v>93305</v>
      </c>
      <c r="C31651" s="1">
        <v>3.7526518971933299E-2</v>
      </c>
      <c r="D31651" s="1">
        <v>3.9821453676367198E-2</v>
      </c>
      <c r="E31651" s="1">
        <v>8.0339423800725299E-2</v>
      </c>
      <c r="F31651" s="1">
        <v>3.9449224706969203E-2</v>
      </c>
    </row>
    <row r="31652" spans="1:6" x14ac:dyDescent="0.25">
      <c r="A31652" s="2" t="str">
        <f t="shared" si="1147"/>
        <v>12540</v>
      </c>
      <c r="B31652" s="2" t="str">
        <f>"93287"</f>
        <v>93287</v>
      </c>
      <c r="C31652" s="1">
        <v>5.3749332085505697E-5</v>
      </c>
      <c r="D31652" s="1">
        <v>1.05440742302825E-4</v>
      </c>
      <c r="E31652" s="1">
        <v>0</v>
      </c>
      <c r="F31652" s="1">
        <v>5.5656355399223001E-5</v>
      </c>
    </row>
    <row r="31653" spans="1:6" x14ac:dyDescent="0.25">
      <c r="A31653" s="2" t="str">
        <f t="shared" ref="A31653:A31679" si="1148">"32900"</f>
        <v>32900</v>
      </c>
      <c r="B31653" s="2" t="str">
        <f>"95388"</f>
        <v>95388</v>
      </c>
      <c r="C31653" s="1">
        <v>5.1734121977953698E-2</v>
      </c>
      <c r="D31653" s="1">
        <v>2.0682953914491899E-2</v>
      </c>
      <c r="E31653" s="1">
        <v>2.08464939987365E-2</v>
      </c>
      <c r="F31653" s="1">
        <v>4.8731741940304003E-2</v>
      </c>
    </row>
    <row r="31654" spans="1:6" x14ac:dyDescent="0.25">
      <c r="A31654" s="2" t="str">
        <f t="shared" si="1148"/>
        <v>32900</v>
      </c>
      <c r="B31654" s="2" t="str">
        <f>"95380"</f>
        <v>95380</v>
      </c>
      <c r="C31654" s="1">
        <v>4.69464149070378E-3</v>
      </c>
      <c r="D31654" s="1">
        <v>2.3598001110494101E-3</v>
      </c>
      <c r="E31654" s="1">
        <v>0</v>
      </c>
      <c r="F31654" s="1">
        <v>4.3987448167656599E-3</v>
      </c>
    </row>
    <row r="31655" spans="1:6" x14ac:dyDescent="0.25">
      <c r="A31655" s="2" t="str">
        <f t="shared" si="1148"/>
        <v>32900</v>
      </c>
      <c r="B31655" s="2" t="str">
        <f>"95317"</f>
        <v>95317</v>
      </c>
      <c r="C31655" s="1">
        <v>2.51277066572911E-3</v>
      </c>
      <c r="D31655" s="1">
        <v>9.7168239866740602E-4</v>
      </c>
      <c r="E31655" s="1">
        <v>3.1585596967782602E-4</v>
      </c>
      <c r="F31655" s="1">
        <v>2.3441294034143899E-3</v>
      </c>
    </row>
    <row r="31656" spans="1:6" x14ac:dyDescent="0.25">
      <c r="A31656" s="2" t="str">
        <f t="shared" si="1148"/>
        <v>32900</v>
      </c>
      <c r="B31656" s="2" t="str">
        <f>"95303"</f>
        <v>95303</v>
      </c>
      <c r="C31656" s="1">
        <v>2.5231112857526899E-3</v>
      </c>
      <c r="D31656" s="1">
        <v>2.0821765685730101E-3</v>
      </c>
      <c r="E31656" s="1">
        <v>3.1585596967782602E-4</v>
      </c>
      <c r="F31656" s="1">
        <v>2.4281818521423998E-3</v>
      </c>
    </row>
    <row r="31657" spans="1:6" x14ac:dyDescent="0.25">
      <c r="A31657" s="2" t="str">
        <f t="shared" si="1148"/>
        <v>32900</v>
      </c>
      <c r="B31657" s="2" t="str">
        <f>"95365"</f>
        <v>95365</v>
      </c>
      <c r="C31657" s="1">
        <v>6.7420842553719499E-3</v>
      </c>
      <c r="D31657" s="1">
        <v>1.9433647973348101E-3</v>
      </c>
      <c r="E31657" s="1">
        <v>5.5274794693619698E-2</v>
      </c>
      <c r="F31657" s="1">
        <v>7.8542343755836908E-3</v>
      </c>
    </row>
    <row r="31658" spans="1:6" x14ac:dyDescent="0.25">
      <c r="A31658" s="2" t="str">
        <f t="shared" si="1148"/>
        <v>32900</v>
      </c>
      <c r="B31658" s="2" t="str">
        <f>"95348"</f>
        <v>95348</v>
      </c>
      <c r="C31658" s="1">
        <v>0.136144603230409</v>
      </c>
      <c r="D31658" s="1">
        <v>9.8833981121599093E-2</v>
      </c>
      <c r="E31658" s="1">
        <v>0.28584965255843298</v>
      </c>
      <c r="F31658" s="1">
        <v>0.13806081661623501</v>
      </c>
    </row>
    <row r="31659" spans="1:6" x14ac:dyDescent="0.25">
      <c r="A31659" s="2" t="str">
        <f t="shared" si="1148"/>
        <v>32900</v>
      </c>
      <c r="B31659" s="2" t="str">
        <f>"95333"</f>
        <v>95333</v>
      </c>
      <c r="C31659" s="1">
        <v>8.7378239199222291E-3</v>
      </c>
      <c r="D31659" s="1">
        <v>5.1360355358134298E-3</v>
      </c>
      <c r="E31659" s="1">
        <v>4.1061276058117404E-3</v>
      </c>
      <c r="F31659" s="1">
        <v>8.3585490679517292E-3</v>
      </c>
    </row>
    <row r="31660" spans="1:6" x14ac:dyDescent="0.25">
      <c r="A31660" s="2" t="str">
        <f t="shared" si="1148"/>
        <v>32900</v>
      </c>
      <c r="B31660" s="2" t="str">
        <f>"95324"</f>
        <v>95324</v>
      </c>
      <c r="C31660" s="1">
        <v>3.6347279382871703E-2</v>
      </c>
      <c r="D31660" s="1">
        <v>3.60910605219322E-2</v>
      </c>
      <c r="E31660" s="1">
        <v>8.2122552116234895E-3</v>
      </c>
      <c r="F31660" s="1">
        <v>3.5498150846127903E-2</v>
      </c>
    </row>
    <row r="31661" spans="1:6" x14ac:dyDescent="0.25">
      <c r="A31661" s="2" t="str">
        <f t="shared" si="1148"/>
        <v>32900</v>
      </c>
      <c r="B31661" s="2" t="str">
        <f>"93635"</f>
        <v>93635</v>
      </c>
      <c r="C31661" s="1">
        <v>0.162926809091473</v>
      </c>
      <c r="D31661" s="1">
        <v>0.173237090505274</v>
      </c>
      <c r="E31661" s="1">
        <v>0.15540113708149</v>
      </c>
      <c r="F31661" s="1">
        <v>0.16339796032724399</v>
      </c>
    </row>
    <row r="31662" spans="1:6" x14ac:dyDescent="0.25">
      <c r="A31662" s="2" t="str">
        <f t="shared" si="1148"/>
        <v>32900</v>
      </c>
      <c r="B31662" s="2" t="str">
        <f>"95374"</f>
        <v>95374</v>
      </c>
      <c r="C31662" s="1">
        <v>6.8041279755134097E-3</v>
      </c>
      <c r="D31662" s="1">
        <v>1.9433647973348101E-3</v>
      </c>
      <c r="E31662" s="1">
        <v>6.3171193935565302E-4</v>
      </c>
      <c r="F31662" s="1">
        <v>6.2945944936306899E-3</v>
      </c>
    </row>
    <row r="31663" spans="1:6" x14ac:dyDescent="0.25">
      <c r="A31663" s="2" t="str">
        <f t="shared" si="1148"/>
        <v>32900</v>
      </c>
      <c r="B31663" s="2" t="str">
        <f>"95344"</f>
        <v>95344</v>
      </c>
      <c r="C31663" s="1">
        <v>9.9683577027278505E-3</v>
      </c>
      <c r="D31663" s="1">
        <v>3.9283731260410799E-2</v>
      </c>
      <c r="E31663" s="1">
        <v>6.3171193935565302E-4</v>
      </c>
      <c r="F31663" s="1">
        <v>1.16646120512533E-2</v>
      </c>
    </row>
    <row r="31664" spans="1:6" x14ac:dyDescent="0.25">
      <c r="A31664" s="2" t="str">
        <f t="shared" si="1148"/>
        <v>32900</v>
      </c>
      <c r="B31664" s="2" t="str">
        <f>"95343"</f>
        <v>95343</v>
      </c>
      <c r="C31664" s="1">
        <v>0</v>
      </c>
      <c r="D31664" s="1">
        <v>8.0510827318156508E-3</v>
      </c>
      <c r="E31664" s="1">
        <v>9.4756790903347996E-4</v>
      </c>
      <c r="F31664" s="1">
        <v>5.6968881915648597E-4</v>
      </c>
    </row>
    <row r="31665" spans="1:6" x14ac:dyDescent="0.25">
      <c r="A31665" s="2" t="str">
        <f t="shared" si="1148"/>
        <v>32900</v>
      </c>
      <c r="B31665" s="2" t="str">
        <f>"95315"</f>
        <v>95315</v>
      </c>
      <c r="C31665" s="1">
        <v>3.56854797013628E-2</v>
      </c>
      <c r="D31665" s="1">
        <v>1.20766240977234E-2</v>
      </c>
      <c r="E31665" s="1">
        <v>1.4845230574857799E-2</v>
      </c>
      <c r="F31665" s="1">
        <v>3.3480892076655798E-2</v>
      </c>
    </row>
    <row r="31666" spans="1:6" x14ac:dyDescent="0.25">
      <c r="A31666" s="2" t="str">
        <f t="shared" si="1148"/>
        <v>32900</v>
      </c>
      <c r="B31666" s="2" t="str">
        <f>"95334"</f>
        <v>95334</v>
      </c>
      <c r="C31666" s="1">
        <v>5.44020019440365E-2</v>
      </c>
      <c r="D31666" s="1">
        <v>4.6779566907273702E-2</v>
      </c>
      <c r="E31666" s="1">
        <v>3.2533164876816102E-2</v>
      </c>
      <c r="F31666" s="1">
        <v>5.3242556688706998E-2</v>
      </c>
    </row>
    <row r="31667" spans="1:6" x14ac:dyDescent="0.25">
      <c r="A31667" s="2" t="str">
        <f t="shared" si="1148"/>
        <v>32900</v>
      </c>
      <c r="B31667" s="2" t="str">
        <f>"95301"</f>
        <v>95301</v>
      </c>
      <c r="C31667" s="1">
        <v>0.14948400306082299</v>
      </c>
      <c r="D31667" s="1">
        <v>0.15074958356468601</v>
      </c>
      <c r="E31667" s="1">
        <v>4.7378395451674001E-2</v>
      </c>
      <c r="F31667" s="1">
        <v>0.14655011393776299</v>
      </c>
    </row>
    <row r="31668" spans="1:6" x14ac:dyDescent="0.25">
      <c r="A31668" s="2" t="str">
        <f t="shared" si="1148"/>
        <v>32900</v>
      </c>
      <c r="B31668" s="2" t="str">
        <f>"95340"</f>
        <v>95340</v>
      </c>
      <c r="C31668" s="1">
        <v>0.13772671809401599</v>
      </c>
      <c r="D31668" s="1">
        <v>0.200860632981676</v>
      </c>
      <c r="E31668" s="1">
        <v>0.17150979153505999</v>
      </c>
      <c r="F31668" s="1">
        <v>0.142973215286338</v>
      </c>
    </row>
    <row r="31669" spans="1:6" x14ac:dyDescent="0.25">
      <c r="A31669" s="2" t="str">
        <f t="shared" si="1148"/>
        <v>32900</v>
      </c>
      <c r="B31669" s="2" t="str">
        <f>"95316"</f>
        <v>95316</v>
      </c>
      <c r="C31669" s="1">
        <v>4.5498728103737101E-4</v>
      </c>
      <c r="D31669" s="1">
        <v>1.3881177123820001E-4</v>
      </c>
      <c r="E31669" s="1">
        <v>0</v>
      </c>
      <c r="F31669" s="1">
        <v>4.2026224364003102E-4</v>
      </c>
    </row>
    <row r="31670" spans="1:6" x14ac:dyDescent="0.25">
      <c r="A31670" s="2" t="str">
        <f t="shared" si="1148"/>
        <v>32900</v>
      </c>
      <c r="B31670" s="2" t="str">
        <f>"95322"</f>
        <v>95322</v>
      </c>
      <c r="C31670" s="1">
        <v>4.0018199491241399E-2</v>
      </c>
      <c r="D31670" s="1">
        <v>4.0116601887839998E-2</v>
      </c>
      <c r="E31670" s="1">
        <v>2.5268477574226102E-2</v>
      </c>
      <c r="F31670" s="1">
        <v>3.9588703350890903E-2</v>
      </c>
    </row>
    <row r="31671" spans="1:6" x14ac:dyDescent="0.25">
      <c r="A31671" s="2" t="str">
        <f t="shared" si="1148"/>
        <v>32900</v>
      </c>
      <c r="B31671" s="2" t="str">
        <f>"93622"</f>
        <v>93622</v>
      </c>
      <c r="C31671" s="1">
        <v>1.96471780447955E-4</v>
      </c>
      <c r="D31671" s="1">
        <v>2.7762354247640099E-4</v>
      </c>
      <c r="E31671" s="1">
        <v>0</v>
      </c>
      <c r="F31671" s="1">
        <v>1.9612238036534701E-4</v>
      </c>
    </row>
    <row r="31672" spans="1:6" x14ac:dyDescent="0.25">
      <c r="A31672" s="2" t="str">
        <f t="shared" si="1148"/>
        <v>32900</v>
      </c>
      <c r="B31672" s="2" t="str">
        <f>"93620"</f>
        <v>93620</v>
      </c>
      <c r="C31672" s="1">
        <v>3.4434264678510101E-2</v>
      </c>
      <c r="D31672" s="1">
        <v>2.88728484175458E-2</v>
      </c>
      <c r="E31672" s="1">
        <v>1.38976626658243E-2</v>
      </c>
      <c r="F31672" s="1">
        <v>3.34528745937464E-2</v>
      </c>
    </row>
    <row r="31673" spans="1:6" x14ac:dyDescent="0.25">
      <c r="A31673" s="2" t="str">
        <f t="shared" si="1148"/>
        <v>32900</v>
      </c>
      <c r="B31673" s="2" t="str">
        <f>"93665"</f>
        <v>93665</v>
      </c>
      <c r="C31673" s="1">
        <v>0</v>
      </c>
      <c r="D31673" s="1">
        <v>0</v>
      </c>
      <c r="E31673" s="1">
        <v>3.1585596967782602E-4</v>
      </c>
      <c r="F31673" s="1">
        <v>9.3391609697784695E-6</v>
      </c>
    </row>
    <row r="31674" spans="1:6" x14ac:dyDescent="0.25">
      <c r="A31674" s="2" t="str">
        <f t="shared" si="1148"/>
        <v>32900</v>
      </c>
      <c r="B31674" s="2" t="str">
        <f>"93661"</f>
        <v>93661</v>
      </c>
      <c r="C31674" s="1">
        <v>0</v>
      </c>
      <c r="D31674" s="1">
        <v>0</v>
      </c>
      <c r="E31674" s="1">
        <v>3.1585596967782602E-4</v>
      </c>
      <c r="F31674" s="1">
        <v>9.3391609697784695E-6</v>
      </c>
    </row>
    <row r="31675" spans="1:6" x14ac:dyDescent="0.25">
      <c r="A31675" s="2" t="str">
        <f t="shared" si="1148"/>
        <v>32900</v>
      </c>
      <c r="B31675" s="2" t="str">
        <f>"95312"</f>
        <v>95312</v>
      </c>
      <c r="C31675" s="1">
        <v>0</v>
      </c>
      <c r="D31675" s="1">
        <v>0</v>
      </c>
      <c r="E31675" s="1">
        <v>3.1585596967782602E-4</v>
      </c>
      <c r="F31675" s="1">
        <v>9.3391609697784695E-6</v>
      </c>
    </row>
    <row r="31676" spans="1:6" x14ac:dyDescent="0.25">
      <c r="A31676" s="2" t="str">
        <f t="shared" si="1148"/>
        <v>32900</v>
      </c>
      <c r="B31676" s="2" t="str">
        <f>"95369"</f>
        <v>95369</v>
      </c>
      <c r="C31676" s="1">
        <v>2.4507269455876501E-3</v>
      </c>
      <c r="D31676" s="1">
        <v>9.7168239866740602E-4</v>
      </c>
      <c r="E31676" s="1">
        <v>9.4756790903347996E-4</v>
      </c>
      <c r="F31676" s="1">
        <v>2.3067727595352801E-3</v>
      </c>
    </row>
    <row r="31677" spans="1:6" x14ac:dyDescent="0.25">
      <c r="A31677" s="2" t="str">
        <f t="shared" si="1148"/>
        <v>32900</v>
      </c>
      <c r="B31677" s="2" t="str">
        <f>"95341"</f>
        <v>95341</v>
      </c>
      <c r="C31677" s="1">
        <v>0.11444998242094501</v>
      </c>
      <c r="D31677" s="1">
        <v>0.12687395891171499</v>
      </c>
      <c r="E31677" s="1">
        <v>0.15887555274794599</v>
      </c>
      <c r="F31677" s="1">
        <v>0.116599424707684</v>
      </c>
    </row>
    <row r="31678" spans="1:6" x14ac:dyDescent="0.25">
      <c r="A31678" s="2" t="str">
        <f t="shared" si="1148"/>
        <v>32900</v>
      </c>
      <c r="B31678" s="2" t="str">
        <f>"93610"</f>
        <v>93610</v>
      </c>
      <c r="C31678" s="1">
        <v>6.2043720141459599E-4</v>
      </c>
      <c r="D31678" s="1">
        <v>5.5524708495280296E-4</v>
      </c>
      <c r="E31678" s="1">
        <v>0</v>
      </c>
      <c r="F31678" s="1">
        <v>5.9770630206582205E-4</v>
      </c>
    </row>
    <row r="31679" spans="1:6" x14ac:dyDescent="0.25">
      <c r="A31679" s="2" t="str">
        <f t="shared" si="1148"/>
        <v>32900</v>
      </c>
      <c r="B31679" s="2" t="str">
        <f>"95360"</f>
        <v>95360</v>
      </c>
      <c r="C31679" s="1">
        <v>9.4099642214547097E-4</v>
      </c>
      <c r="D31679" s="1">
        <v>1.1104941699056001E-3</v>
      </c>
      <c r="E31679" s="1">
        <v>1.2634238787113E-3</v>
      </c>
      <c r="F31679" s="1">
        <v>9.6193357988718199E-4</v>
      </c>
    </row>
    <row r="31680" spans="1:6" x14ac:dyDescent="0.25">
      <c r="A31680" s="2" t="str">
        <f t="shared" ref="A31680:A31711" si="1149">"40900"</f>
        <v>40900</v>
      </c>
      <c r="B31680" s="2" t="str">
        <f>"95866"</f>
        <v>95866</v>
      </c>
      <c r="C31680" s="1">
        <v>9.41147396656558E-4</v>
      </c>
      <c r="D31680" s="1">
        <v>1.9699159573898601E-3</v>
      </c>
      <c r="E31680" s="1">
        <v>4.6566858366900203E-5</v>
      </c>
      <c r="F31680" s="1">
        <v>9.9321991965753702E-4</v>
      </c>
    </row>
    <row r="31681" spans="1:6" x14ac:dyDescent="0.25">
      <c r="A31681" s="2" t="str">
        <f t="shared" si="1149"/>
        <v>40900</v>
      </c>
      <c r="B31681" s="2" t="str">
        <f>"95894"</f>
        <v>95894</v>
      </c>
      <c r="C31681" s="1">
        <v>0</v>
      </c>
      <c r="D31681" s="1">
        <v>1.07060649858144E-5</v>
      </c>
      <c r="E31681" s="1">
        <v>0</v>
      </c>
      <c r="F31681" s="1">
        <v>9.0292719968867003E-7</v>
      </c>
    </row>
    <row r="31682" spans="1:6" x14ac:dyDescent="0.25">
      <c r="A31682" s="2" t="str">
        <f t="shared" si="1149"/>
        <v>40900</v>
      </c>
      <c r="B31682" s="2" t="str">
        <f>"95829"</f>
        <v>95829</v>
      </c>
      <c r="C31682" s="1">
        <v>1.1101214533210399E-2</v>
      </c>
      <c r="D31682" s="1">
        <v>4.7534928537016196E-3</v>
      </c>
      <c r="E31682" s="1">
        <v>9.0805373815455498E-4</v>
      </c>
      <c r="F31682" s="1">
        <v>1.01705719772931E-2</v>
      </c>
    </row>
    <row r="31683" spans="1:6" x14ac:dyDescent="0.25">
      <c r="A31683" s="2" t="str">
        <f t="shared" si="1149"/>
        <v>40900</v>
      </c>
      <c r="B31683" s="2" t="str">
        <f>"95670"</f>
        <v>95670</v>
      </c>
      <c r="C31683" s="1">
        <v>2.33011208303514E-2</v>
      </c>
      <c r="D31683" s="1">
        <v>2.24720304052245E-2</v>
      </c>
      <c r="E31683" s="1">
        <v>3.1036811101539E-2</v>
      </c>
      <c r="F31683" s="1">
        <v>2.3531185751086401E-2</v>
      </c>
    </row>
    <row r="31684" spans="1:6" x14ac:dyDescent="0.25">
      <c r="A31684" s="2" t="str">
        <f t="shared" si="1149"/>
        <v>40900</v>
      </c>
      <c r="B31684" s="2" t="str">
        <f>"95651"</f>
        <v>95651</v>
      </c>
      <c r="C31684" s="1">
        <v>1.75049296971132E-4</v>
      </c>
      <c r="D31684" s="1">
        <v>2.4623949467373197E-4</v>
      </c>
      <c r="E31684" s="1">
        <v>1.86267433467601E-4</v>
      </c>
      <c r="F31684" s="1">
        <v>1.8148836713742199E-4</v>
      </c>
    </row>
    <row r="31685" spans="1:6" x14ac:dyDescent="0.25">
      <c r="A31685" s="2" t="str">
        <f t="shared" si="1149"/>
        <v>40900</v>
      </c>
      <c r="B31685" s="2" t="str">
        <f>"95662"</f>
        <v>95662</v>
      </c>
      <c r="C31685" s="1">
        <v>1.49265565229031E-2</v>
      </c>
      <c r="D31685" s="1">
        <v>1.1594668379637E-2</v>
      </c>
      <c r="E31685" s="1">
        <v>5.8441407250459801E-3</v>
      </c>
      <c r="F31685" s="1">
        <v>1.4293337571071599E-2</v>
      </c>
    </row>
    <row r="31686" spans="1:6" x14ac:dyDescent="0.25">
      <c r="A31686" s="2" t="str">
        <f t="shared" si="1149"/>
        <v>40900</v>
      </c>
      <c r="B31686" s="2" t="str">
        <f>"95736"</f>
        <v>95736</v>
      </c>
      <c r="C31686" s="1">
        <v>1.02970174688901E-6</v>
      </c>
      <c r="D31686" s="1">
        <v>0</v>
      </c>
      <c r="E31686" s="1">
        <v>2.3283429183450102E-5</v>
      </c>
      <c r="F31686" s="1">
        <v>1.8058543993773401E-6</v>
      </c>
    </row>
    <row r="31687" spans="1:6" x14ac:dyDescent="0.25">
      <c r="A31687" s="2" t="str">
        <f t="shared" si="1149"/>
        <v>40900</v>
      </c>
      <c r="B31687" s="2" t="str">
        <f>"95735"</f>
        <v>95735</v>
      </c>
      <c r="C31687" s="1">
        <v>1.02970174688901E-6</v>
      </c>
      <c r="D31687" s="1">
        <v>1.07060649858144E-5</v>
      </c>
      <c r="E31687" s="1">
        <v>2.3283429183450102E-5</v>
      </c>
      <c r="F31687" s="1">
        <v>2.7087815990660102E-6</v>
      </c>
    </row>
    <row r="31688" spans="1:6" x14ac:dyDescent="0.25">
      <c r="A31688" s="2" t="str">
        <f t="shared" si="1149"/>
        <v>40900</v>
      </c>
      <c r="B31688" s="2" t="str">
        <f>"95722"</f>
        <v>95722</v>
      </c>
      <c r="C31688" s="1">
        <v>2.88831340002368E-3</v>
      </c>
      <c r="D31688" s="1">
        <v>1.8521492425459E-3</v>
      </c>
      <c r="E31688" s="1">
        <v>4.6566858366900199E-4</v>
      </c>
      <c r="F31688" s="1">
        <v>2.7069757446666299E-3</v>
      </c>
    </row>
    <row r="31689" spans="1:6" x14ac:dyDescent="0.25">
      <c r="A31689" s="2" t="str">
        <f t="shared" si="1149"/>
        <v>40900</v>
      </c>
      <c r="B31689" s="2" t="str">
        <f>"95703"</f>
        <v>95703</v>
      </c>
      <c r="C31689" s="1">
        <v>5.4677162759806601E-4</v>
      </c>
      <c r="D31689" s="1">
        <v>1.1776671484395899E-4</v>
      </c>
      <c r="E31689" s="1">
        <v>1.1641714591725E-4</v>
      </c>
      <c r="F31689" s="1">
        <v>4.9390117822970198E-4</v>
      </c>
    </row>
    <row r="31690" spans="1:6" x14ac:dyDescent="0.25">
      <c r="A31690" s="2" t="str">
        <f t="shared" si="1149"/>
        <v>40900</v>
      </c>
      <c r="B31690" s="2" t="str">
        <f>"95695"</f>
        <v>95695</v>
      </c>
      <c r="C31690" s="1">
        <v>1.5055269241264199E-2</v>
      </c>
      <c r="D31690" s="1">
        <v>1.40891815213318E-2</v>
      </c>
      <c r="E31690" s="1">
        <v>1.41563249435376E-2</v>
      </c>
      <c r="F31690" s="1">
        <v>1.4938930518849E-2</v>
      </c>
    </row>
    <row r="31691" spans="1:6" x14ac:dyDescent="0.25">
      <c r="A31691" s="2" t="str">
        <f t="shared" si="1149"/>
        <v>40900</v>
      </c>
      <c r="B31691" s="2" t="str">
        <f>"95811"</f>
        <v>95811</v>
      </c>
      <c r="C31691" s="1">
        <v>5.37092431177309E-3</v>
      </c>
      <c r="D31691" s="1">
        <v>1.66586371179273E-2</v>
      </c>
      <c r="E31691" s="1">
        <v>2.7986681878506999E-2</v>
      </c>
      <c r="F31691" s="1">
        <v>7.1999414903174599E-3</v>
      </c>
    </row>
    <row r="31692" spans="1:6" x14ac:dyDescent="0.25">
      <c r="A31692" s="2" t="str">
        <f t="shared" si="1149"/>
        <v>40900</v>
      </c>
      <c r="B31692" s="2" t="str">
        <f>"95814"</f>
        <v>95814</v>
      </c>
      <c r="C31692" s="1">
        <v>6.9628432124634997E-3</v>
      </c>
      <c r="D31692" s="1">
        <v>3.8552540013917801E-2</v>
      </c>
      <c r="E31692" s="1">
        <v>2.5541921814244799E-2</v>
      </c>
      <c r="F31692" s="1">
        <v>1.0347545708432101E-2</v>
      </c>
    </row>
    <row r="31693" spans="1:6" x14ac:dyDescent="0.25">
      <c r="A31693" s="2" t="str">
        <f t="shared" si="1149"/>
        <v>40900</v>
      </c>
      <c r="B31693" s="2" t="str">
        <f>"95636"</f>
        <v>95636</v>
      </c>
      <c r="C31693" s="1">
        <v>1.10178086917124E-4</v>
      </c>
      <c r="D31693" s="1">
        <v>1.07060649858144E-5</v>
      </c>
      <c r="E31693" s="1">
        <v>2.3283429183450102E-5</v>
      </c>
      <c r="F31693" s="1">
        <v>9.8419064766065104E-5</v>
      </c>
    </row>
    <row r="31694" spans="1:6" x14ac:dyDescent="0.25">
      <c r="A31694" s="2" t="str">
        <f t="shared" si="1149"/>
        <v>40900</v>
      </c>
      <c r="B31694" s="2" t="str">
        <f>"95648"</f>
        <v>95648</v>
      </c>
      <c r="C31694" s="1">
        <v>2.3030309270919602E-2</v>
      </c>
      <c r="D31694" s="1">
        <v>1.6005567153792599E-2</v>
      </c>
      <c r="E31694" s="1">
        <v>1.00118745488835E-2</v>
      </c>
      <c r="F31694" s="1">
        <v>2.1933004607637498E-2</v>
      </c>
    </row>
    <row r="31695" spans="1:6" x14ac:dyDescent="0.25">
      <c r="A31695" s="2" t="str">
        <f t="shared" si="1149"/>
        <v>40900</v>
      </c>
      <c r="B31695" s="2" t="str">
        <f>"95681"</f>
        <v>95681</v>
      </c>
      <c r="C31695" s="1">
        <v>4.3556383893405198E-4</v>
      </c>
      <c r="D31695" s="1">
        <v>1.71297039773031E-4</v>
      </c>
      <c r="E31695" s="1">
        <v>6.9850287550350396E-5</v>
      </c>
      <c r="F31695" s="1">
        <v>3.9909382226239201E-4</v>
      </c>
    </row>
    <row r="31696" spans="1:6" x14ac:dyDescent="0.25">
      <c r="A31696" s="2" t="str">
        <f t="shared" si="1149"/>
        <v>40900</v>
      </c>
      <c r="B31696" s="2" t="str">
        <f>"95678"</f>
        <v>95678</v>
      </c>
      <c r="C31696" s="1">
        <v>1.8966076475948699E-2</v>
      </c>
      <c r="D31696" s="1">
        <v>3.6871687811144999E-2</v>
      </c>
      <c r="E31696" s="1">
        <v>2.71950452862697E-2</v>
      </c>
      <c r="F31696" s="1">
        <v>2.0795316336029698E-2</v>
      </c>
    </row>
    <row r="31697" spans="1:6" x14ac:dyDescent="0.25">
      <c r="A31697" s="2" t="str">
        <f t="shared" si="1149"/>
        <v>40900</v>
      </c>
      <c r="B31697" s="2" t="str">
        <f>"95621"</f>
        <v>95621</v>
      </c>
      <c r="C31697" s="1">
        <v>1.9147303983401202E-2</v>
      </c>
      <c r="D31697" s="1">
        <v>5.8348054172688802E-3</v>
      </c>
      <c r="E31697" s="1">
        <v>1.39933409392535E-2</v>
      </c>
      <c r="F31697" s="1">
        <v>1.7824685849054001E-2</v>
      </c>
    </row>
    <row r="31698" spans="1:6" x14ac:dyDescent="0.25">
      <c r="A31698" s="2" t="str">
        <f t="shared" si="1149"/>
        <v>40900</v>
      </c>
      <c r="B31698" s="2" t="str">
        <f>"95615"</f>
        <v>95615</v>
      </c>
      <c r="C31698" s="1">
        <v>1.16356297398458E-4</v>
      </c>
      <c r="D31698" s="1">
        <v>9.6354584872330098E-5</v>
      </c>
      <c r="E31698" s="1">
        <v>2.3283429183450102E-5</v>
      </c>
      <c r="F31698" s="1">
        <v>1.11060045561706E-4</v>
      </c>
    </row>
    <row r="31699" spans="1:6" x14ac:dyDescent="0.25">
      <c r="A31699" s="2" t="str">
        <f t="shared" si="1149"/>
        <v>40900</v>
      </c>
      <c r="B31699" s="2" t="str">
        <f>"95606"</f>
        <v>95606</v>
      </c>
      <c r="C31699" s="1">
        <v>6.3841508307118796E-5</v>
      </c>
      <c r="D31699" s="1">
        <v>0</v>
      </c>
      <c r="E31699" s="1">
        <v>4.6566858366900203E-5</v>
      </c>
      <c r="F31699" s="1">
        <v>5.7787340780074902E-5</v>
      </c>
    </row>
    <row r="31700" spans="1:6" x14ac:dyDescent="0.25">
      <c r="A31700" s="2" t="str">
        <f t="shared" si="1149"/>
        <v>40900</v>
      </c>
      <c r="B31700" s="2" t="str">
        <f>"95840"</f>
        <v>95840</v>
      </c>
      <c r="C31700" s="1">
        <v>0</v>
      </c>
      <c r="D31700" s="1">
        <v>1.07060649858144E-5</v>
      </c>
      <c r="E31700" s="1">
        <v>0</v>
      </c>
      <c r="F31700" s="1">
        <v>9.0292719968867003E-7</v>
      </c>
    </row>
    <row r="31701" spans="1:6" x14ac:dyDescent="0.25">
      <c r="A31701" s="2" t="str">
        <f t="shared" si="1149"/>
        <v>40900</v>
      </c>
      <c r="B31701" s="2" t="str">
        <f>"95865"</f>
        <v>95865</v>
      </c>
      <c r="C31701" s="1">
        <v>6.6827643373096898E-4</v>
      </c>
      <c r="D31701" s="1">
        <v>2.90134361115571E-3</v>
      </c>
      <c r="E31701" s="1">
        <v>4.6566858366900203E-5</v>
      </c>
      <c r="F31701" s="1">
        <v>8.3249887811295397E-4</v>
      </c>
    </row>
    <row r="31702" spans="1:6" x14ac:dyDescent="0.25">
      <c r="A31702" s="2" t="str">
        <f t="shared" si="1149"/>
        <v>40900</v>
      </c>
      <c r="B31702" s="2" t="str">
        <f>"95843"</f>
        <v>95843</v>
      </c>
      <c r="C31702" s="1">
        <v>1.5366239168824699E-2</v>
      </c>
      <c r="D31702" s="1">
        <v>2.45168888175151E-3</v>
      </c>
      <c r="E31702" s="1">
        <v>1.9558080514098099E-3</v>
      </c>
      <c r="F31702" s="1">
        <v>1.37569988144565E-2</v>
      </c>
    </row>
    <row r="31703" spans="1:6" x14ac:dyDescent="0.25">
      <c r="A31703" s="2" t="str">
        <f t="shared" si="1149"/>
        <v>40900</v>
      </c>
      <c r="B31703" s="2" t="str">
        <f>"95831"</f>
        <v>95831</v>
      </c>
      <c r="C31703" s="1">
        <v>1.9909283276099001E-2</v>
      </c>
      <c r="D31703" s="1">
        <v>5.9846903270702797E-3</v>
      </c>
      <c r="E31703" s="1">
        <v>2.1839856574076201E-2</v>
      </c>
      <c r="F31703" s="1">
        <v>1.8809779423914302E-2</v>
      </c>
    </row>
    <row r="31704" spans="1:6" x14ac:dyDescent="0.25">
      <c r="A31704" s="2" t="str">
        <f t="shared" si="1149"/>
        <v>40900</v>
      </c>
      <c r="B31704" s="2" t="str">
        <f>"95666"</f>
        <v>95666</v>
      </c>
      <c r="C31704" s="1">
        <v>1.02970174688901E-6</v>
      </c>
      <c r="D31704" s="1">
        <v>1.07060649858144E-5</v>
      </c>
      <c r="E31704" s="1">
        <v>0</v>
      </c>
      <c r="F31704" s="1">
        <v>1.8058543993773401E-6</v>
      </c>
    </row>
    <row r="31705" spans="1:6" x14ac:dyDescent="0.25">
      <c r="A31705" s="2" t="str">
        <f t="shared" si="1149"/>
        <v>40900</v>
      </c>
      <c r="B31705" s="2" t="str">
        <f>"95680"</f>
        <v>95680</v>
      </c>
      <c r="C31705" s="1">
        <v>0</v>
      </c>
      <c r="D31705" s="1">
        <v>0</v>
      </c>
      <c r="E31705" s="1">
        <v>2.3283429183450102E-5</v>
      </c>
      <c r="F31705" s="1">
        <v>9.0292719968867003E-7</v>
      </c>
    </row>
    <row r="31706" spans="1:6" x14ac:dyDescent="0.25">
      <c r="A31706" s="2" t="str">
        <f t="shared" si="1149"/>
        <v>40900</v>
      </c>
      <c r="B31706" s="2" t="str">
        <f>"95693"</f>
        <v>95693</v>
      </c>
      <c r="C31706" s="1">
        <v>2.51659106939674E-3</v>
      </c>
      <c r="D31706" s="1">
        <v>2.0341523473047399E-4</v>
      </c>
      <c r="E31706" s="1">
        <v>6.9850287550350396E-5</v>
      </c>
      <c r="F31706" s="1">
        <v>2.2266184744322601E-3</v>
      </c>
    </row>
    <row r="31707" spans="1:6" x14ac:dyDescent="0.25">
      <c r="A31707" s="2" t="str">
        <f t="shared" si="1149"/>
        <v>40900</v>
      </c>
      <c r="B31707" s="2" t="str">
        <f>"95624"</f>
        <v>95624</v>
      </c>
      <c r="C31707" s="1">
        <v>2.11696382142912E-2</v>
      </c>
      <c r="D31707" s="1">
        <v>1.5716503399175599E-2</v>
      </c>
      <c r="E31707" s="1">
        <v>9.1736710982793495E-3</v>
      </c>
      <c r="F31707" s="1">
        <v>2.0244530744219599E-2</v>
      </c>
    </row>
    <row r="31708" spans="1:6" x14ac:dyDescent="0.25">
      <c r="A31708" s="2" t="str">
        <f t="shared" si="1149"/>
        <v>40900</v>
      </c>
      <c r="B31708" s="2" t="str">
        <f>"95613"</f>
        <v>95613</v>
      </c>
      <c r="C31708" s="1">
        <v>0</v>
      </c>
      <c r="D31708" s="1">
        <v>0</v>
      </c>
      <c r="E31708" s="1">
        <v>2.3283429183450102E-5</v>
      </c>
      <c r="F31708" s="1">
        <v>9.0292719968867003E-7</v>
      </c>
    </row>
    <row r="31709" spans="1:6" x14ac:dyDescent="0.25">
      <c r="A31709" s="2" t="str">
        <f t="shared" si="1149"/>
        <v>40900</v>
      </c>
      <c r="B31709" s="2" t="str">
        <f>"96146"</f>
        <v>96146</v>
      </c>
      <c r="C31709" s="1">
        <v>7.39325854266311E-4</v>
      </c>
      <c r="D31709" s="1">
        <v>1.3917884481558801E-4</v>
      </c>
      <c r="E31709" s="1">
        <v>2.7940115020140099E-4</v>
      </c>
      <c r="F31709" s="1">
        <v>6.7087490936868204E-4</v>
      </c>
    </row>
    <row r="31710" spans="1:6" x14ac:dyDescent="0.25">
      <c r="A31710" s="2" t="str">
        <f t="shared" si="1149"/>
        <v>40900</v>
      </c>
      <c r="B31710" s="2" t="str">
        <f>"95842"</f>
        <v>95842</v>
      </c>
      <c r="C31710" s="1">
        <v>1.24892524880168E-2</v>
      </c>
      <c r="D31710" s="1">
        <v>4.1325410845243797E-3</v>
      </c>
      <c r="E31710" s="1">
        <v>1.5879298703112901E-2</v>
      </c>
      <c r="F31710" s="1">
        <v>1.19159302542913E-2</v>
      </c>
    </row>
    <row r="31711" spans="1:6" x14ac:dyDescent="0.25">
      <c r="A31711" s="2" t="str">
        <f t="shared" si="1149"/>
        <v>40900</v>
      </c>
      <c r="B31711" s="2" t="str">
        <f>"95832"</f>
        <v>95832</v>
      </c>
      <c r="C31711" s="1">
        <v>3.3022535022730602E-3</v>
      </c>
      <c r="D31711" s="1">
        <v>1.65944007280124E-3</v>
      </c>
      <c r="E31711" s="1">
        <v>2.49132692262916E-3</v>
      </c>
      <c r="F31711" s="1">
        <v>3.1322544557199901E-3</v>
      </c>
    </row>
    <row r="31712" spans="1:6" x14ac:dyDescent="0.25">
      <c r="A31712" s="2" t="str">
        <f t="shared" ref="A31712:A31743" si="1150">"40900"</f>
        <v>40900</v>
      </c>
      <c r="B31712" s="2" t="str">
        <f>"95828"</f>
        <v>95828</v>
      </c>
      <c r="C31712" s="1">
        <v>1.9871184311464101E-2</v>
      </c>
      <c r="D31712" s="1">
        <v>1.48171939403672E-2</v>
      </c>
      <c r="E31712" s="1">
        <v>1.1199329437239501E-2</v>
      </c>
      <c r="F31712" s="1">
        <v>1.9108648327011299E-2</v>
      </c>
    </row>
    <row r="31713" spans="1:6" x14ac:dyDescent="0.25">
      <c r="A31713" s="2" t="str">
        <f t="shared" si="1150"/>
        <v>40900</v>
      </c>
      <c r="B31713" s="2" t="str">
        <f>"95656"</f>
        <v>95656</v>
      </c>
      <c r="C31713" s="1">
        <v>0</v>
      </c>
      <c r="D31713" s="1">
        <v>0</v>
      </c>
      <c r="E31713" s="1">
        <v>2.3283429183450102E-5</v>
      </c>
      <c r="F31713" s="1">
        <v>9.0292719968867003E-7</v>
      </c>
    </row>
    <row r="31714" spans="1:6" x14ac:dyDescent="0.25">
      <c r="A31714" s="2" t="str">
        <f t="shared" si="1150"/>
        <v>40900</v>
      </c>
      <c r="B31714" s="2" t="str">
        <f>"95660"</f>
        <v>95660</v>
      </c>
      <c r="C31714" s="1">
        <v>1.3184301167166901E-2</v>
      </c>
      <c r="D31714" s="1">
        <v>1.88854986349767E-2</v>
      </c>
      <c r="E31714" s="1">
        <v>9.6859065403152502E-3</v>
      </c>
      <c r="F31714" s="1">
        <v>1.3529461160135E-2</v>
      </c>
    </row>
    <row r="31715" spans="1:6" x14ac:dyDescent="0.25">
      <c r="A31715" s="2" t="str">
        <f t="shared" si="1150"/>
        <v>40900</v>
      </c>
      <c r="B31715" s="2" t="str">
        <f>"95816"</f>
        <v>95816</v>
      </c>
      <c r="C31715" s="1">
        <v>1.34921819894867E-2</v>
      </c>
      <c r="D31715" s="1">
        <v>2.2728975964884102E-2</v>
      </c>
      <c r="E31715" s="1">
        <v>4.8336398984842398E-2</v>
      </c>
      <c r="F31715" s="1">
        <v>1.5622446409013301E-2</v>
      </c>
    </row>
    <row r="31716" spans="1:6" x14ac:dyDescent="0.25">
      <c r="A31716" s="2" t="str">
        <f t="shared" si="1150"/>
        <v>40900</v>
      </c>
      <c r="B31716" s="2" t="str">
        <f>"95715"</f>
        <v>95715</v>
      </c>
      <c r="C31716" s="1">
        <v>2.0594034937780201E-6</v>
      </c>
      <c r="D31716" s="1">
        <v>0</v>
      </c>
      <c r="E31716" s="1">
        <v>0</v>
      </c>
      <c r="F31716" s="1">
        <v>1.8058543993773401E-6</v>
      </c>
    </row>
    <row r="31717" spans="1:6" x14ac:dyDescent="0.25">
      <c r="A31717" s="2" t="str">
        <f t="shared" si="1150"/>
        <v>40900</v>
      </c>
      <c r="B31717" s="2" t="str">
        <f>"95741"</f>
        <v>95741</v>
      </c>
      <c r="C31717" s="1">
        <v>1.9389283893920101E-3</v>
      </c>
      <c r="D31717" s="1">
        <v>4.4751351640704403E-3</v>
      </c>
      <c r="E31717" s="1">
        <v>4.6566858366900203E-5</v>
      </c>
      <c r="F31717" s="1">
        <v>2.0794413408829998E-3</v>
      </c>
    </row>
    <row r="31718" spans="1:6" x14ac:dyDescent="0.25">
      <c r="A31718" s="2" t="str">
        <f t="shared" si="1150"/>
        <v>40900</v>
      </c>
      <c r="B31718" s="2" t="str">
        <f>"95742"</f>
        <v>95742</v>
      </c>
      <c r="C31718" s="1">
        <v>4.9724297357270396E-3</v>
      </c>
      <c r="D31718" s="1">
        <v>1.9795514158770899E-2</v>
      </c>
      <c r="E31718" s="1">
        <v>1.1525297445807801E-2</v>
      </c>
      <c r="F31718" s="1">
        <v>6.4766968033668302E-3</v>
      </c>
    </row>
    <row r="31719" spans="1:6" x14ac:dyDescent="0.25">
      <c r="A31719" s="2" t="str">
        <f t="shared" si="1150"/>
        <v>40900</v>
      </c>
      <c r="B31719" s="2" t="str">
        <f>"95713"</f>
        <v>95713</v>
      </c>
      <c r="C31719" s="1">
        <v>3.04894687253836E-3</v>
      </c>
      <c r="D31719" s="1">
        <v>1.29543386328355E-3</v>
      </c>
      <c r="E31719" s="1">
        <v>1.4668560385573499E-3</v>
      </c>
      <c r="F31719" s="1">
        <v>2.8397060430208599E-3</v>
      </c>
    </row>
    <row r="31720" spans="1:6" x14ac:dyDescent="0.25">
      <c r="A31720" s="2" t="str">
        <f t="shared" si="1150"/>
        <v>40900</v>
      </c>
      <c r="B31720" s="2" t="str">
        <f>"95813"</f>
        <v>95813</v>
      </c>
      <c r="C31720" s="1">
        <v>3.0170261183847999E-4</v>
      </c>
      <c r="D31720" s="1">
        <v>7.2801241903538299E-4</v>
      </c>
      <c r="E31720" s="1">
        <v>1.1641714591725E-4</v>
      </c>
      <c r="F31720" s="1">
        <v>3.30471355086053E-4</v>
      </c>
    </row>
    <row r="31721" spans="1:6" x14ac:dyDescent="0.25">
      <c r="A31721" s="2" t="str">
        <f t="shared" si="1150"/>
        <v>40900</v>
      </c>
      <c r="B31721" s="2" t="str">
        <f>"95812"</f>
        <v>95812</v>
      </c>
      <c r="C31721" s="1">
        <v>1.68871086489798E-3</v>
      </c>
      <c r="D31721" s="1">
        <v>2.8692254161982698E-3</v>
      </c>
      <c r="E31721" s="1">
        <v>4.6566858366900203E-5</v>
      </c>
      <c r="F31721" s="1">
        <v>1.7245909514053599E-3</v>
      </c>
    </row>
    <row r="31722" spans="1:6" x14ac:dyDescent="0.25">
      <c r="A31722" s="2" t="str">
        <f t="shared" si="1150"/>
        <v>40900</v>
      </c>
      <c r="B31722" s="2" t="str">
        <f>"95762"</f>
        <v>95762</v>
      </c>
      <c r="C31722" s="1">
        <v>1.9010353651064901E-2</v>
      </c>
      <c r="D31722" s="1">
        <v>1.74401798618917E-2</v>
      </c>
      <c r="E31722" s="1">
        <v>7.6835316305385402E-3</v>
      </c>
      <c r="F31722" s="1">
        <v>1.8438676344842302E-2</v>
      </c>
    </row>
    <row r="31723" spans="1:6" x14ac:dyDescent="0.25">
      <c r="A31723" s="2" t="str">
        <f t="shared" si="1150"/>
        <v>40900</v>
      </c>
      <c r="B31723" s="2" t="str">
        <f>"95645"</f>
        <v>95645</v>
      </c>
      <c r="C31723" s="1">
        <v>2.2653438431558201E-5</v>
      </c>
      <c r="D31723" s="1">
        <v>0</v>
      </c>
      <c r="E31723" s="1">
        <v>2.3283429183450102E-5</v>
      </c>
      <c r="F31723" s="1">
        <v>2.0767325592839399E-5</v>
      </c>
    </row>
    <row r="31724" spans="1:6" x14ac:dyDescent="0.25">
      <c r="A31724" s="2" t="str">
        <f t="shared" si="1150"/>
        <v>40900</v>
      </c>
      <c r="B31724" s="2" t="str">
        <f>"95641"</f>
        <v>95641</v>
      </c>
      <c r="C31724" s="1">
        <v>7.1358331059408599E-4</v>
      </c>
      <c r="D31724" s="1">
        <v>4.0683046946094902E-4</v>
      </c>
      <c r="E31724" s="1">
        <v>4.4238515448555201E-4</v>
      </c>
      <c r="F31724" s="1">
        <v>6.7719539976650301E-4</v>
      </c>
    </row>
    <row r="31725" spans="1:6" x14ac:dyDescent="0.25">
      <c r="A31725" s="2" t="str">
        <f t="shared" si="1150"/>
        <v>40900</v>
      </c>
      <c r="B31725" s="2" t="str">
        <f>"95682"</f>
        <v>95682</v>
      </c>
      <c r="C31725" s="1">
        <v>1.2180341963950099E-2</v>
      </c>
      <c r="D31725" s="1">
        <v>1.30292810877362E-2</v>
      </c>
      <c r="E31725" s="1">
        <v>1.2712752334163699E-2</v>
      </c>
      <c r="F31725" s="1">
        <v>1.2272586498168399E-2</v>
      </c>
    </row>
    <row r="31726" spans="1:6" x14ac:dyDescent="0.25">
      <c r="A31726" s="2" t="str">
        <f t="shared" si="1150"/>
        <v>40900</v>
      </c>
      <c r="B31726" s="2" t="str">
        <f>"95627"</f>
        <v>95627</v>
      </c>
      <c r="C31726" s="1">
        <v>1.12649371109658E-3</v>
      </c>
      <c r="D31726" s="1">
        <v>2.5694555965954702E-4</v>
      </c>
      <c r="E31726" s="1">
        <v>5.3551887121935297E-4</v>
      </c>
      <c r="F31726" s="1">
        <v>1.03023993484477E-3</v>
      </c>
    </row>
    <row r="31727" spans="1:6" x14ac:dyDescent="0.25">
      <c r="A31727" s="2" t="str">
        <f t="shared" si="1150"/>
        <v>40900</v>
      </c>
      <c r="B31727" s="2" t="str">
        <f>"95620"</f>
        <v>95620</v>
      </c>
      <c r="C31727" s="1">
        <v>1.54455262033352E-5</v>
      </c>
      <c r="D31727" s="1">
        <v>2.1412129971628899E-5</v>
      </c>
      <c r="E31727" s="1">
        <v>2.3283429183450102E-5</v>
      </c>
      <c r="F31727" s="1">
        <v>1.6252689594396E-5</v>
      </c>
    </row>
    <row r="31728" spans="1:6" x14ac:dyDescent="0.25">
      <c r="A31728" s="2" t="str">
        <f t="shared" si="1150"/>
        <v>40900</v>
      </c>
      <c r="B31728" s="2" t="str">
        <f>"95628"</f>
        <v>95628</v>
      </c>
      <c r="C31728" s="1">
        <v>2.0439579675746899E-2</v>
      </c>
      <c r="D31728" s="1">
        <v>2.0320111343075799E-2</v>
      </c>
      <c r="E31728" s="1">
        <v>1.5343779831893599E-2</v>
      </c>
      <c r="F31728" s="1">
        <v>2.0231889763424001E-2</v>
      </c>
    </row>
    <row r="31729" spans="1:6" x14ac:dyDescent="0.25">
      <c r="A31729" s="2" t="str">
        <f t="shared" si="1150"/>
        <v>40900</v>
      </c>
      <c r="B31729" s="2" t="str">
        <f>"96161"</f>
        <v>96161</v>
      </c>
      <c r="C31729" s="1">
        <v>2.41053178946718E-3</v>
      </c>
      <c r="D31729" s="1">
        <v>1.88426743750334E-3</v>
      </c>
      <c r="E31729" s="1">
        <v>1.1408880299890499E-3</v>
      </c>
      <c r="F31729" s="1">
        <v>2.3169111944011198E-3</v>
      </c>
    </row>
    <row r="31730" spans="1:6" x14ac:dyDescent="0.25">
      <c r="A31730" s="2" t="str">
        <f t="shared" si="1150"/>
        <v>40900</v>
      </c>
      <c r="B31730" s="2" t="str">
        <f>"96158"</f>
        <v>96158</v>
      </c>
      <c r="C31730" s="1">
        <v>3.0407092585632502E-3</v>
      </c>
      <c r="D31730" s="1">
        <v>3.0619345859429301E-3</v>
      </c>
      <c r="E31730" s="1">
        <v>4.6566858366900203E-5</v>
      </c>
      <c r="F31730" s="1">
        <v>2.9263870541909802E-3</v>
      </c>
    </row>
    <row r="31731" spans="1:6" x14ac:dyDescent="0.25">
      <c r="A31731" s="2" t="str">
        <f t="shared" si="1150"/>
        <v>40900</v>
      </c>
      <c r="B31731" s="2" t="str">
        <f>"96143"</f>
        <v>96143</v>
      </c>
      <c r="C31731" s="1">
        <v>2.3137398252596102E-3</v>
      </c>
      <c r="D31731" s="1">
        <v>1.39178844815588E-3</v>
      </c>
      <c r="E31731" s="1">
        <v>3.0268457938485103E-4</v>
      </c>
      <c r="F31731" s="1">
        <v>2.15799600725592E-3</v>
      </c>
    </row>
    <row r="31732" spans="1:6" x14ac:dyDescent="0.25">
      <c r="A31732" s="2" t="str">
        <f t="shared" si="1150"/>
        <v>40900</v>
      </c>
      <c r="B31732" s="2" t="str">
        <f>"96150"</f>
        <v>96150</v>
      </c>
      <c r="C31732" s="1">
        <v>1.4086319897441701E-2</v>
      </c>
      <c r="D31732" s="1">
        <v>1.75793587067073E-2</v>
      </c>
      <c r="E31732" s="1">
        <v>2.97329390672658E-2</v>
      </c>
      <c r="F31732" s="1">
        <v>1.4987688587632201E-2</v>
      </c>
    </row>
    <row r="31733" spans="1:6" x14ac:dyDescent="0.25">
      <c r="A31733" s="2" t="str">
        <f t="shared" si="1150"/>
        <v>40900</v>
      </c>
      <c r="B31733" s="2" t="str">
        <f>"95835"</f>
        <v>95835</v>
      </c>
      <c r="C31733" s="1">
        <v>1.55299617465801E-2</v>
      </c>
      <c r="D31733" s="1">
        <v>1.7772067876452001E-3</v>
      </c>
      <c r="E31733" s="1">
        <v>2.00237490977671E-3</v>
      </c>
      <c r="F31733" s="1">
        <v>1.3845485680026E-2</v>
      </c>
    </row>
    <row r="31734" spans="1:6" x14ac:dyDescent="0.25">
      <c r="A31734" s="2" t="str">
        <f t="shared" si="1150"/>
        <v>40900</v>
      </c>
      <c r="B31734" s="2" t="str">
        <f>"95826"</f>
        <v>95826</v>
      </c>
      <c r="C31734" s="1">
        <v>1.77963352914828E-2</v>
      </c>
      <c r="D31734" s="1">
        <v>1.8403725710615E-2</v>
      </c>
      <c r="E31734" s="1">
        <v>3.0035623646650599E-2</v>
      </c>
      <c r="F31734" s="1">
        <v>1.8322198736082498E-2</v>
      </c>
    </row>
    <row r="31735" spans="1:6" x14ac:dyDescent="0.25">
      <c r="A31735" s="2" t="str">
        <f t="shared" si="1150"/>
        <v>40900</v>
      </c>
      <c r="B31735" s="2" t="str">
        <f>"95824"</f>
        <v>95824</v>
      </c>
      <c r="C31735" s="1">
        <v>1.12062441113931E-2</v>
      </c>
      <c r="D31735" s="1">
        <v>8.7361490284245998E-3</v>
      </c>
      <c r="E31735" s="1">
        <v>1.2666185475796799E-2</v>
      </c>
      <c r="F31735" s="1">
        <v>1.1054537705788301E-2</v>
      </c>
    </row>
    <row r="31736" spans="1:6" x14ac:dyDescent="0.25">
      <c r="A31736" s="2" t="str">
        <f t="shared" si="1150"/>
        <v>40900</v>
      </c>
      <c r="B31736" s="2" t="str">
        <f>"95661"</f>
        <v>95661</v>
      </c>
      <c r="C31736" s="1">
        <v>1.43808145970519E-2</v>
      </c>
      <c r="D31736" s="1">
        <v>2.8210481237621099E-2</v>
      </c>
      <c r="E31736" s="1">
        <v>1.80912244755407E-2</v>
      </c>
      <c r="F31736" s="1">
        <v>1.56910688761897E-2</v>
      </c>
    </row>
    <row r="31737" spans="1:6" x14ac:dyDescent="0.25">
      <c r="A31737" s="2" t="str">
        <f t="shared" si="1150"/>
        <v>40900</v>
      </c>
      <c r="B31737" s="2" t="str">
        <f>"95658"</f>
        <v>95658</v>
      </c>
      <c r="C31737" s="1">
        <v>3.56688685122354E-3</v>
      </c>
      <c r="D31737" s="1">
        <v>3.2439376907017802E-3</v>
      </c>
      <c r="E31737" s="1">
        <v>9.5462059652145505E-4</v>
      </c>
      <c r="F31737" s="1">
        <v>3.4383467764144502E-3</v>
      </c>
    </row>
    <row r="31738" spans="1:6" x14ac:dyDescent="0.25">
      <c r="A31738" s="2" t="str">
        <f t="shared" si="1150"/>
        <v>40900</v>
      </c>
      <c r="B31738" s="2" t="str">
        <f>"95819"</f>
        <v>95819</v>
      </c>
      <c r="C31738" s="1">
        <v>9.5587213163707101E-3</v>
      </c>
      <c r="D31738" s="1">
        <v>1.1123601520261201E-2</v>
      </c>
      <c r="E31738" s="1">
        <v>6.2399590211646297E-3</v>
      </c>
      <c r="F31738" s="1">
        <v>9.5619990447030206E-3</v>
      </c>
    </row>
    <row r="31739" spans="1:6" x14ac:dyDescent="0.25">
      <c r="A31739" s="2" t="str">
        <f t="shared" si="1150"/>
        <v>40900</v>
      </c>
      <c r="B31739" s="2" t="str">
        <f>"95817"</f>
        <v>95817</v>
      </c>
      <c r="C31739" s="1">
        <v>7.5858127693313598E-3</v>
      </c>
      <c r="D31739" s="1">
        <v>5.4600931427653699E-3</v>
      </c>
      <c r="E31739" s="1">
        <v>9.9653076905166504E-3</v>
      </c>
      <c r="F31739" s="1">
        <v>7.4988103934144103E-3</v>
      </c>
    </row>
    <row r="31740" spans="1:6" x14ac:dyDescent="0.25">
      <c r="A31740" s="2" t="str">
        <f t="shared" si="1150"/>
        <v>40900</v>
      </c>
      <c r="B31740" s="2" t="str">
        <f>"95698"</f>
        <v>95698</v>
      </c>
      <c r="C31740" s="1">
        <v>0</v>
      </c>
      <c r="D31740" s="1">
        <v>0</v>
      </c>
      <c r="E31740" s="1">
        <v>2.3283429183450102E-5</v>
      </c>
      <c r="F31740" s="1">
        <v>9.0292719968867003E-7</v>
      </c>
    </row>
    <row r="31741" spans="1:6" x14ac:dyDescent="0.25">
      <c r="A31741" s="2" t="str">
        <f t="shared" si="1150"/>
        <v>40900</v>
      </c>
      <c r="B31741" s="2" t="str">
        <f>"95709"</f>
        <v>95709</v>
      </c>
      <c r="C31741" s="1">
        <v>3.2620951341443901E-3</v>
      </c>
      <c r="D31741" s="1">
        <v>1.40249451314169E-3</v>
      </c>
      <c r="E31741" s="1">
        <v>6.7521944632005395E-4</v>
      </c>
      <c r="F31741" s="1">
        <v>3.0049417205638899E-3</v>
      </c>
    </row>
    <row r="31742" spans="1:6" x14ac:dyDescent="0.25">
      <c r="A31742" s="2" t="str">
        <f t="shared" si="1150"/>
        <v>40900</v>
      </c>
      <c r="B31742" s="2" t="str">
        <f>"95694"</f>
        <v>95694</v>
      </c>
      <c r="C31742" s="1">
        <v>2.99128357471258E-3</v>
      </c>
      <c r="D31742" s="1">
        <v>2.0555644772763701E-3</v>
      </c>
      <c r="E31742" s="1">
        <v>1.88595776385946E-3</v>
      </c>
      <c r="F31742" s="1">
        <v>2.8695026406105901E-3</v>
      </c>
    </row>
    <row r="31743" spans="1:6" x14ac:dyDescent="0.25">
      <c r="A31743" s="2" t="str">
        <f t="shared" si="1150"/>
        <v>40900</v>
      </c>
      <c r="B31743" s="2" t="str">
        <f>"95635"</f>
        <v>95635</v>
      </c>
      <c r="C31743" s="1">
        <v>4.8601922453161397E-4</v>
      </c>
      <c r="D31743" s="1">
        <v>1.07060649858144E-4</v>
      </c>
      <c r="E31743" s="1">
        <v>2.3283429183450102E-5</v>
      </c>
      <c r="F31743" s="1">
        <v>4.3611383744962702E-4</v>
      </c>
    </row>
    <row r="31744" spans="1:6" x14ac:dyDescent="0.25">
      <c r="A31744" s="2" t="str">
        <f t="shared" ref="A31744:A31775" si="1151">"40900"</f>
        <v>40900</v>
      </c>
      <c r="B31744" s="2" t="str">
        <f>"95612"</f>
        <v>95612</v>
      </c>
      <c r="C31744" s="1">
        <v>8.2376139751121004E-4</v>
      </c>
      <c r="D31744" s="1">
        <v>1.1883732134253999E-3</v>
      </c>
      <c r="E31744" s="1">
        <v>4.6566858366900203E-5</v>
      </c>
      <c r="F31744" s="1">
        <v>8.2437253331575601E-4</v>
      </c>
    </row>
    <row r="31745" spans="1:6" x14ac:dyDescent="0.25">
      <c r="A31745" s="2" t="str">
        <f t="shared" si="1151"/>
        <v>40900</v>
      </c>
      <c r="B31745" s="2" t="str">
        <f>"95618"</f>
        <v>95618</v>
      </c>
      <c r="C31745" s="1">
        <v>1.1096066024475999E-2</v>
      </c>
      <c r="D31745" s="1">
        <v>6.11316310690005E-3</v>
      </c>
      <c r="E31745" s="1">
        <v>1.04076928450022E-2</v>
      </c>
      <c r="F31745" s="1">
        <v>1.0649123393128099E-2</v>
      </c>
    </row>
    <row r="31746" spans="1:6" x14ac:dyDescent="0.25">
      <c r="A31746" s="2" t="str">
        <f t="shared" si="1151"/>
        <v>40900</v>
      </c>
      <c r="B31746" s="2" t="str">
        <f>"94571"</f>
        <v>94571</v>
      </c>
      <c r="C31746" s="1">
        <v>1.10178086917124E-4</v>
      </c>
      <c r="D31746" s="1">
        <v>3.2118194957443303E-5</v>
      </c>
      <c r="E31746" s="1">
        <v>4.6566858366900203E-5</v>
      </c>
      <c r="F31746" s="1">
        <v>1.01127846365131E-4</v>
      </c>
    </row>
    <row r="31747" spans="1:6" x14ac:dyDescent="0.25">
      <c r="A31747" s="2" t="str">
        <f t="shared" si="1151"/>
        <v>40900</v>
      </c>
      <c r="B31747" s="2" t="str">
        <f>"95853"</f>
        <v>95853</v>
      </c>
      <c r="C31747" s="1">
        <v>2.6154424370980901E-4</v>
      </c>
      <c r="D31747" s="1">
        <v>7.49424549007012E-4</v>
      </c>
      <c r="E31747" s="1">
        <v>4.6566858366900203E-5</v>
      </c>
      <c r="F31747" s="1">
        <v>2.94354267098506E-4</v>
      </c>
    </row>
    <row r="31748" spans="1:6" x14ac:dyDescent="0.25">
      <c r="A31748" s="2" t="str">
        <f t="shared" si="1151"/>
        <v>40900</v>
      </c>
      <c r="B31748" s="2" t="str">
        <f>"95851"</f>
        <v>95851</v>
      </c>
      <c r="C31748" s="1">
        <v>2.2241557732802599E-4</v>
      </c>
      <c r="D31748" s="1">
        <v>9.7425191370911605E-4</v>
      </c>
      <c r="E31748" s="1">
        <v>4.6566858366900203E-5</v>
      </c>
      <c r="F31748" s="1">
        <v>2.79004504703799E-4</v>
      </c>
    </row>
    <row r="31749" spans="1:6" x14ac:dyDescent="0.25">
      <c r="A31749" s="2" t="str">
        <f t="shared" si="1151"/>
        <v>40900</v>
      </c>
      <c r="B31749" s="2" t="str">
        <f>"95838"</f>
        <v>95838</v>
      </c>
      <c r="C31749" s="1">
        <v>1.3183271465419999E-2</v>
      </c>
      <c r="D31749" s="1">
        <v>9.9031101118783708E-3</v>
      </c>
      <c r="E31749" s="1">
        <v>1.7788539896155899E-2</v>
      </c>
      <c r="F31749" s="1">
        <v>1.3085220977888201E-2</v>
      </c>
    </row>
    <row r="31750" spans="1:6" x14ac:dyDescent="0.25">
      <c r="A31750" s="2" t="str">
        <f t="shared" si="1151"/>
        <v>40900</v>
      </c>
      <c r="B31750" s="2" t="str">
        <f>"95827"</f>
        <v>95827</v>
      </c>
      <c r="C31750" s="1">
        <v>9.9325030504914206E-3</v>
      </c>
      <c r="D31750" s="1">
        <v>1.8971147154863199E-2</v>
      </c>
      <c r="E31750" s="1">
        <v>9.7790402570490497E-3</v>
      </c>
      <c r="F31750" s="1">
        <v>1.0688852189914401E-2</v>
      </c>
    </row>
    <row r="31751" spans="1:6" x14ac:dyDescent="0.25">
      <c r="A31751" s="2" t="str">
        <f t="shared" si="1151"/>
        <v>40900</v>
      </c>
      <c r="B31751" s="2" t="str">
        <f>"95821"</f>
        <v>95821</v>
      </c>
      <c r="C31751" s="1">
        <v>1.7848850080574099E-2</v>
      </c>
      <c r="D31751" s="1">
        <v>1.7665007226593799E-2</v>
      </c>
      <c r="E31751" s="1">
        <v>2.6775943560967599E-2</v>
      </c>
      <c r="F31751" s="1">
        <v>1.81795362385316E-2</v>
      </c>
    </row>
    <row r="31752" spans="1:6" x14ac:dyDescent="0.25">
      <c r="A31752" s="2" t="str">
        <f t="shared" si="1151"/>
        <v>40900</v>
      </c>
      <c r="B31752" s="2" t="str">
        <f>"95671"</f>
        <v>95671</v>
      </c>
      <c r="C31752" s="1">
        <v>0</v>
      </c>
      <c r="D31752" s="1">
        <v>2.1412129971628899E-5</v>
      </c>
      <c r="E31752" s="1">
        <v>2.3283429183450102E-5</v>
      </c>
      <c r="F31752" s="1">
        <v>2.7087815990660102E-6</v>
      </c>
    </row>
    <row r="31753" spans="1:6" x14ac:dyDescent="0.25">
      <c r="A31753" s="2" t="str">
        <f t="shared" si="1151"/>
        <v>40900</v>
      </c>
      <c r="B31753" s="2" t="str">
        <f>"95818"</f>
        <v>95818</v>
      </c>
      <c r="C31753" s="1">
        <v>1.23317081207428E-2</v>
      </c>
      <c r="D31753" s="1">
        <v>1.0331352711310899E-2</v>
      </c>
      <c r="E31753" s="1">
        <v>2.2864327458147999E-2</v>
      </c>
      <c r="F31753" s="1">
        <v>1.2571455401265299E-2</v>
      </c>
    </row>
    <row r="31754" spans="1:6" x14ac:dyDescent="0.25">
      <c r="A31754" s="2" t="str">
        <f t="shared" si="1151"/>
        <v>40900</v>
      </c>
      <c r="B31754" s="2" t="str">
        <f>"95717"</f>
        <v>95717</v>
      </c>
      <c r="C31754" s="1">
        <v>0</v>
      </c>
      <c r="D31754" s="1">
        <v>0</v>
      </c>
      <c r="E31754" s="1">
        <v>2.3283429183450102E-5</v>
      </c>
      <c r="F31754" s="1">
        <v>9.0292719968867003E-7</v>
      </c>
    </row>
    <row r="31755" spans="1:6" x14ac:dyDescent="0.25">
      <c r="A31755" s="2" t="str">
        <f t="shared" si="1151"/>
        <v>40900</v>
      </c>
      <c r="B31755" s="2" t="str">
        <f>"95759"</f>
        <v>95759</v>
      </c>
      <c r="C31755" s="1">
        <v>1.44982005961973E-3</v>
      </c>
      <c r="D31755" s="1">
        <v>6.0382206519993499E-3</v>
      </c>
      <c r="E31755" s="1">
        <v>4.6566858366900203E-5</v>
      </c>
      <c r="F31755" s="1">
        <v>1.78237829218543E-3</v>
      </c>
    </row>
    <row r="31756" spans="1:6" x14ac:dyDescent="0.25">
      <c r="A31756" s="2" t="str">
        <f t="shared" si="1151"/>
        <v>40900</v>
      </c>
      <c r="B31756" s="2" t="str">
        <f>"95758"</f>
        <v>95758</v>
      </c>
      <c r="C31756" s="1">
        <v>2.28851213246083E-2</v>
      </c>
      <c r="D31756" s="1">
        <v>1.24404475135164E-2</v>
      </c>
      <c r="E31756" s="1">
        <v>9.6393396819483505E-3</v>
      </c>
      <c r="F31756" s="1">
        <v>2.1490570279790001E-2</v>
      </c>
    </row>
    <row r="31757" spans="1:6" x14ac:dyDescent="0.25">
      <c r="A31757" s="2" t="str">
        <f t="shared" si="1151"/>
        <v>40900</v>
      </c>
      <c r="B31757" s="2" t="str">
        <f>"95757"</f>
        <v>95757</v>
      </c>
      <c r="C31757" s="1">
        <v>1.6521564528834201E-2</v>
      </c>
      <c r="D31757" s="1">
        <v>2.3232161019217301E-3</v>
      </c>
      <c r="E31757" s="1">
        <v>1.3038720342731999E-3</v>
      </c>
      <c r="F31757" s="1">
        <v>1.47339660445197E-2</v>
      </c>
    </row>
    <row r="31758" spans="1:6" x14ac:dyDescent="0.25">
      <c r="A31758" s="2" t="str">
        <f t="shared" si="1151"/>
        <v>40900</v>
      </c>
      <c r="B31758" s="2" t="str">
        <f>"95629"</f>
        <v>95629</v>
      </c>
      <c r="C31758" s="1">
        <v>5.2514789091339599E-5</v>
      </c>
      <c r="D31758" s="1">
        <v>0</v>
      </c>
      <c r="E31758" s="1">
        <v>0</v>
      </c>
      <c r="F31758" s="1">
        <v>4.6049287184122199E-5</v>
      </c>
    </row>
    <row r="31759" spans="1:6" x14ac:dyDescent="0.25">
      <c r="A31759" s="2" t="str">
        <f t="shared" si="1151"/>
        <v>40900</v>
      </c>
      <c r="B31759" s="2" t="str">
        <f>"95610"</f>
        <v>95610</v>
      </c>
      <c r="C31759" s="1">
        <v>1.9157601000869998E-2</v>
      </c>
      <c r="D31759" s="1">
        <v>1.6037685348750001E-2</v>
      </c>
      <c r="E31759" s="1">
        <v>1.81377913339076E-2</v>
      </c>
      <c r="F31759" s="1">
        <v>1.8854925783898802E-2</v>
      </c>
    </row>
    <row r="31760" spans="1:6" x14ac:dyDescent="0.25">
      <c r="A31760" s="2" t="str">
        <f t="shared" si="1151"/>
        <v>40900</v>
      </c>
      <c r="B31760" s="2" t="str">
        <f>"95609"</f>
        <v>95609</v>
      </c>
      <c r="C31760" s="1">
        <v>2.2632844396620502E-3</v>
      </c>
      <c r="D31760" s="1">
        <v>3.8755955248648299E-3</v>
      </c>
      <c r="E31760" s="1">
        <v>4.6566858366900203E-5</v>
      </c>
      <c r="F31760" s="1">
        <v>2.3132994856023699E-3</v>
      </c>
    </row>
    <row r="31761" spans="1:6" x14ac:dyDescent="0.25">
      <c r="A31761" s="2" t="str">
        <f t="shared" si="1151"/>
        <v>40900</v>
      </c>
      <c r="B31761" s="2" t="str">
        <f>"95607"</f>
        <v>95607</v>
      </c>
      <c r="C31761" s="1">
        <v>1.6475227950224199E-4</v>
      </c>
      <c r="D31761" s="1">
        <v>5.35303249290723E-5</v>
      </c>
      <c r="E31761" s="1">
        <v>6.9850287550350396E-5</v>
      </c>
      <c r="F31761" s="1">
        <v>1.5169176954769599E-4</v>
      </c>
    </row>
    <row r="31762" spans="1:6" x14ac:dyDescent="0.25">
      <c r="A31762" s="2" t="str">
        <f t="shared" si="1151"/>
        <v>40900</v>
      </c>
      <c r="B31762" s="2" t="str">
        <f>"95604"</f>
        <v>95604</v>
      </c>
      <c r="C31762" s="1">
        <v>2.62676915631387E-3</v>
      </c>
      <c r="D31762" s="1">
        <v>1.08559498956158E-2</v>
      </c>
      <c r="E31762" s="1">
        <v>1.3970057510070001E-4</v>
      </c>
      <c r="F31762" s="1">
        <v>3.2243530300882402E-3</v>
      </c>
    </row>
    <row r="31763" spans="1:6" x14ac:dyDescent="0.25">
      <c r="A31763" s="2" t="str">
        <f t="shared" si="1151"/>
        <v>40900</v>
      </c>
      <c r="B31763" s="2" t="str">
        <f>"95602"</f>
        <v>95602</v>
      </c>
      <c r="C31763" s="1">
        <v>5.3760728205075299E-3</v>
      </c>
      <c r="D31763" s="1">
        <v>5.0960869332476802E-3</v>
      </c>
      <c r="E31763" s="1">
        <v>1.12924631539733E-2</v>
      </c>
      <c r="F31763" s="1">
        <v>5.5818959484753598E-3</v>
      </c>
    </row>
    <row r="31764" spans="1:6" x14ac:dyDescent="0.25">
      <c r="A31764" s="2" t="str">
        <f t="shared" si="1151"/>
        <v>40900</v>
      </c>
      <c r="B31764" s="2" t="str">
        <f>"95912"</f>
        <v>95912</v>
      </c>
      <c r="C31764" s="1">
        <v>6.1782104813340797E-6</v>
      </c>
      <c r="D31764" s="1">
        <v>0</v>
      </c>
      <c r="E31764" s="1">
        <v>0</v>
      </c>
      <c r="F31764" s="1">
        <v>5.4175631981320204E-6</v>
      </c>
    </row>
    <row r="31765" spans="1:6" x14ac:dyDescent="0.25">
      <c r="A31765" s="2" t="str">
        <f t="shared" si="1151"/>
        <v>40900</v>
      </c>
      <c r="B31765" s="2" t="str">
        <f>"95867"</f>
        <v>95867</v>
      </c>
      <c r="C31765" s="1">
        <v>0</v>
      </c>
      <c r="D31765" s="1">
        <v>1.07060649858144E-5</v>
      </c>
      <c r="E31765" s="1">
        <v>0</v>
      </c>
      <c r="F31765" s="1">
        <v>9.0292719968867003E-7</v>
      </c>
    </row>
    <row r="31766" spans="1:6" x14ac:dyDescent="0.25">
      <c r="A31766" s="2" t="str">
        <f t="shared" si="1151"/>
        <v>40900</v>
      </c>
      <c r="B31766" s="2" t="str">
        <f>"95841"</f>
        <v>95841</v>
      </c>
      <c r="C31766" s="1">
        <v>1.05081063270023E-2</v>
      </c>
      <c r="D31766" s="1">
        <v>1.6969113002515902E-2</v>
      </c>
      <c r="E31766" s="1">
        <v>2.1024936552655402E-2</v>
      </c>
      <c r="F31766" s="1">
        <v>1.14608549456482E-2</v>
      </c>
    </row>
    <row r="31767" spans="1:6" x14ac:dyDescent="0.25">
      <c r="A31767" s="2" t="str">
        <f t="shared" si="1151"/>
        <v>40900</v>
      </c>
      <c r="B31767" s="2" t="str">
        <f>"95837"</f>
        <v>95837</v>
      </c>
      <c r="C31767" s="1">
        <v>1.0399987643579E-4</v>
      </c>
      <c r="D31767" s="1">
        <v>1.4560248380707599E-3</v>
      </c>
      <c r="E31767" s="1">
        <v>2.0955086265105101E-4</v>
      </c>
      <c r="F31767" s="1">
        <v>2.2212009112341201E-4</v>
      </c>
    </row>
    <row r="31768" spans="1:6" x14ac:dyDescent="0.25">
      <c r="A31768" s="2" t="str">
        <f t="shared" si="1151"/>
        <v>40900</v>
      </c>
      <c r="B31768" s="2" t="str">
        <f>"95836"</f>
        <v>95836</v>
      </c>
      <c r="C31768" s="1">
        <v>0</v>
      </c>
      <c r="D31768" s="1">
        <v>0</v>
      </c>
      <c r="E31768" s="1">
        <v>2.3283429183450102E-5</v>
      </c>
      <c r="F31768" s="1">
        <v>9.0292719968867003E-7</v>
      </c>
    </row>
    <row r="31769" spans="1:6" x14ac:dyDescent="0.25">
      <c r="A31769" s="2" t="str">
        <f t="shared" si="1151"/>
        <v>40900</v>
      </c>
      <c r="B31769" s="2" t="str">
        <f>"95830"</f>
        <v>95830</v>
      </c>
      <c r="C31769" s="1">
        <v>2.8522738388825602E-4</v>
      </c>
      <c r="D31769" s="1">
        <v>5.35303249290723E-5</v>
      </c>
      <c r="E31769" s="1">
        <v>4.6566858366900203E-5</v>
      </c>
      <c r="F31769" s="1">
        <v>2.56431324711582E-4</v>
      </c>
    </row>
    <row r="31770" spans="1:6" x14ac:dyDescent="0.25">
      <c r="A31770" s="2" t="str">
        <f t="shared" si="1151"/>
        <v>40900</v>
      </c>
      <c r="B31770" s="2" t="str">
        <f>"95937"</f>
        <v>95937</v>
      </c>
      <c r="C31770" s="1">
        <v>0</v>
      </c>
      <c r="D31770" s="1">
        <v>0</v>
      </c>
      <c r="E31770" s="1">
        <v>1.1641714591725E-4</v>
      </c>
      <c r="F31770" s="1">
        <v>4.51463599844335E-6</v>
      </c>
    </row>
    <row r="31771" spans="1:6" x14ac:dyDescent="0.25">
      <c r="A31771" s="2" t="str">
        <f t="shared" si="1151"/>
        <v>40900</v>
      </c>
      <c r="B31771" s="2" t="str">
        <f>"95823"</f>
        <v>95823</v>
      </c>
      <c r="C31771" s="1">
        <v>2.8187055619339801E-2</v>
      </c>
      <c r="D31771" s="1">
        <v>2.32963974091322E-2</v>
      </c>
      <c r="E31771" s="1">
        <v>3.56003632214952E-2</v>
      </c>
      <c r="F31771" s="1">
        <v>2.8062074439124101E-2</v>
      </c>
    </row>
    <row r="31772" spans="1:6" x14ac:dyDescent="0.25">
      <c r="A31772" s="2" t="str">
        <f t="shared" si="1151"/>
        <v>40900</v>
      </c>
      <c r="B31772" s="2" t="str">
        <f>"95677"</f>
        <v>95677</v>
      </c>
      <c r="C31772" s="1">
        <v>1.31286972728349E-2</v>
      </c>
      <c r="D31772" s="1">
        <v>1.8371607515657602E-2</v>
      </c>
      <c r="E31772" s="1">
        <v>1.2433351183962301E-2</v>
      </c>
      <c r="F31772" s="1">
        <v>1.354390799533E-2</v>
      </c>
    </row>
    <row r="31773" spans="1:6" x14ac:dyDescent="0.25">
      <c r="A31773" s="2" t="str">
        <f t="shared" si="1151"/>
        <v>40900</v>
      </c>
      <c r="B31773" s="2" t="str">
        <f>"95653"</f>
        <v>95653</v>
      </c>
      <c r="C31773" s="1">
        <v>0</v>
      </c>
      <c r="D31773" s="1">
        <v>0</v>
      </c>
      <c r="E31773" s="1">
        <v>2.3283429183450102E-5</v>
      </c>
      <c r="F31773" s="1">
        <v>9.0292719968867003E-7</v>
      </c>
    </row>
    <row r="31774" spans="1:6" x14ac:dyDescent="0.25">
      <c r="A31774" s="2" t="str">
        <f t="shared" si="1151"/>
        <v>40900</v>
      </c>
      <c r="B31774" s="2" t="str">
        <f>"95664"</f>
        <v>95664</v>
      </c>
      <c r="C31774" s="1">
        <v>5.2720729440717401E-4</v>
      </c>
      <c r="D31774" s="1">
        <v>0</v>
      </c>
      <c r="E31774" s="1">
        <v>1.1641714591725E-4</v>
      </c>
      <c r="F31774" s="1">
        <v>4.6681336223904199E-4</v>
      </c>
    </row>
    <row r="31775" spans="1:6" x14ac:dyDescent="0.25">
      <c r="A31775" s="2" t="str">
        <f t="shared" si="1151"/>
        <v>40900</v>
      </c>
      <c r="B31775" s="2" t="str">
        <f>"95667"</f>
        <v>95667</v>
      </c>
      <c r="C31775" s="1">
        <v>1.7936374729059699E-2</v>
      </c>
      <c r="D31775" s="1">
        <v>2.0598469032707001E-2</v>
      </c>
      <c r="E31775" s="1">
        <v>1.38303569349693E-2</v>
      </c>
      <c r="F31775" s="1">
        <v>1.8001659580193001E-2</v>
      </c>
    </row>
    <row r="31776" spans="1:6" x14ac:dyDescent="0.25">
      <c r="A31776" s="2" t="str">
        <f t="shared" ref="A31776:A31807" si="1152">"40900"</f>
        <v>40900</v>
      </c>
      <c r="B31776" s="2" t="str">
        <f>"95820"</f>
        <v>95820</v>
      </c>
      <c r="C31776" s="1">
        <v>1.41511911074957E-2</v>
      </c>
      <c r="D31776" s="1">
        <v>1.07703013757293E-2</v>
      </c>
      <c r="E31776" s="1">
        <v>1.31318540594658E-2</v>
      </c>
      <c r="F31776" s="1">
        <v>1.38265242088326E-2</v>
      </c>
    </row>
    <row r="31777" spans="1:6" x14ac:dyDescent="0.25">
      <c r="A31777" s="2" t="str">
        <f t="shared" si="1152"/>
        <v>40900</v>
      </c>
      <c r="B31777" s="2" t="str">
        <f>"95697"</f>
        <v>95697</v>
      </c>
      <c r="C31777" s="1">
        <v>0</v>
      </c>
      <c r="D31777" s="1">
        <v>0</v>
      </c>
      <c r="E31777" s="1">
        <v>2.3283429183450102E-5</v>
      </c>
      <c r="F31777" s="1">
        <v>9.0292719968867003E-7</v>
      </c>
    </row>
    <row r="31778" spans="1:6" x14ac:dyDescent="0.25">
      <c r="A31778" s="2" t="str">
        <f t="shared" si="1152"/>
        <v>40900</v>
      </c>
      <c r="B31778" s="2" t="str">
        <f>"95714"</f>
        <v>95714</v>
      </c>
      <c r="C31778" s="1">
        <v>0</v>
      </c>
      <c r="D31778" s="1">
        <v>1.07060649858144E-5</v>
      </c>
      <c r="E31778" s="1">
        <v>2.3283429183450102E-5</v>
      </c>
      <c r="F31778" s="1">
        <v>1.8058543993773401E-6</v>
      </c>
    </row>
    <row r="31779" spans="1:6" x14ac:dyDescent="0.25">
      <c r="A31779" s="2" t="str">
        <f t="shared" si="1152"/>
        <v>40900</v>
      </c>
      <c r="B31779" s="2" t="str">
        <f>"95746"</f>
        <v>95746</v>
      </c>
      <c r="C31779" s="1">
        <v>8.6402273581457096E-3</v>
      </c>
      <c r="D31779" s="1">
        <v>9.2393340827578805E-3</v>
      </c>
      <c r="E31779" s="1">
        <v>2.7940115020140101E-3</v>
      </c>
      <c r="F31779" s="1">
        <v>8.4640395698815894E-3</v>
      </c>
    </row>
    <row r="31780" spans="1:6" x14ac:dyDescent="0.25">
      <c r="A31780" s="2" t="str">
        <f t="shared" si="1152"/>
        <v>40900</v>
      </c>
      <c r="B31780" s="2" t="str">
        <f>"95799"</f>
        <v>95799</v>
      </c>
      <c r="C31780" s="1">
        <v>0</v>
      </c>
      <c r="D31780" s="1">
        <v>0</v>
      </c>
      <c r="E31780" s="1">
        <v>1.1641714591725E-4</v>
      </c>
      <c r="F31780" s="1">
        <v>4.51463599844335E-6</v>
      </c>
    </row>
    <row r="31781" spans="1:6" x14ac:dyDescent="0.25">
      <c r="A31781" s="2" t="str">
        <f t="shared" si="1152"/>
        <v>40900</v>
      </c>
      <c r="B31781" s="2" t="str">
        <f>"95765"</f>
        <v>95765</v>
      </c>
      <c r="C31781" s="1">
        <v>1.54166945544223E-2</v>
      </c>
      <c r="D31781" s="1">
        <v>1.26866870081901E-2</v>
      </c>
      <c r="E31781" s="1">
        <v>8.4518847935923999E-3</v>
      </c>
      <c r="F31781" s="1">
        <v>1.49163573388568E-2</v>
      </c>
    </row>
    <row r="31782" spans="1:6" x14ac:dyDescent="0.25">
      <c r="A31782" s="2" t="str">
        <f t="shared" si="1152"/>
        <v>40900</v>
      </c>
      <c r="B31782" s="2" t="str">
        <f>"95630"</f>
        <v>95630</v>
      </c>
      <c r="C31782" s="1">
        <v>3.0404003480391899E-2</v>
      </c>
      <c r="D31782" s="1">
        <v>3.04587548846421E-2</v>
      </c>
      <c r="E31782" s="1">
        <v>2.5402221239144099E-2</v>
      </c>
      <c r="F31782" s="1">
        <v>3.0214652883181901E-2</v>
      </c>
    </row>
    <row r="31783" spans="1:6" x14ac:dyDescent="0.25">
      <c r="A31783" s="2" t="str">
        <f t="shared" si="1152"/>
        <v>40900</v>
      </c>
      <c r="B31783" s="2" t="str">
        <f>"95679"</f>
        <v>95679</v>
      </c>
      <c r="C31783" s="1">
        <v>0</v>
      </c>
      <c r="D31783" s="1">
        <v>0</v>
      </c>
      <c r="E31783" s="1">
        <v>2.3283429183450102E-5</v>
      </c>
      <c r="F31783" s="1">
        <v>9.0292719968867003E-7</v>
      </c>
    </row>
    <row r="31784" spans="1:6" x14ac:dyDescent="0.25">
      <c r="A31784" s="2" t="str">
        <f t="shared" si="1152"/>
        <v>40900</v>
      </c>
      <c r="B31784" s="2" t="str">
        <f>"95684"</f>
        <v>95684</v>
      </c>
      <c r="C31784" s="1">
        <v>1.9904134767364601E-3</v>
      </c>
      <c r="D31784" s="1">
        <v>7.70836678978641E-4</v>
      </c>
      <c r="E31784" s="1">
        <v>1.6298400428414999E-4</v>
      </c>
      <c r="F31784" s="1">
        <v>1.8166895257736E-3</v>
      </c>
    </row>
    <row r="31785" spans="1:6" x14ac:dyDescent="0.25">
      <c r="A31785" s="2" t="str">
        <f t="shared" si="1152"/>
        <v>40900</v>
      </c>
      <c r="B31785" s="2" t="str">
        <f>"95617"</f>
        <v>95617</v>
      </c>
      <c r="C31785" s="1">
        <v>3.4206692031653E-3</v>
      </c>
      <c r="D31785" s="1">
        <v>7.3764787752261599E-3</v>
      </c>
      <c r="E31785" s="1">
        <v>9.3133716733800502E-5</v>
      </c>
      <c r="F31785" s="1">
        <v>3.6252527067500099E-3</v>
      </c>
    </row>
    <row r="31786" spans="1:6" x14ac:dyDescent="0.25">
      <c r="A31786" s="2" t="str">
        <f t="shared" si="1152"/>
        <v>40900</v>
      </c>
      <c r="B31786" s="2" t="str">
        <f>"95616"</f>
        <v>95616</v>
      </c>
      <c r="C31786" s="1">
        <v>2.0382946079668E-2</v>
      </c>
      <c r="D31786" s="1">
        <v>1.6594400728012399E-2</v>
      </c>
      <c r="E31786" s="1">
        <v>2.6100724114647599E-2</v>
      </c>
      <c r="F31786" s="1">
        <v>2.0285162468205602E-2</v>
      </c>
    </row>
    <row r="31787" spans="1:6" x14ac:dyDescent="0.25">
      <c r="A31787" s="2" t="str">
        <f t="shared" si="1152"/>
        <v>40900</v>
      </c>
      <c r="B31787" s="2" t="str">
        <f>"95605"</f>
        <v>95605</v>
      </c>
      <c r="C31787" s="1">
        <v>6.5458140049734501E-3</v>
      </c>
      <c r="D31787" s="1">
        <v>5.0746748032760502E-3</v>
      </c>
      <c r="E31787" s="1">
        <v>1.19211157419264E-2</v>
      </c>
      <c r="F31787" s="1">
        <v>6.6301944273139003E-3</v>
      </c>
    </row>
    <row r="31788" spans="1:6" x14ac:dyDescent="0.25">
      <c r="A31788" s="2" t="str">
        <f t="shared" si="1152"/>
        <v>40900</v>
      </c>
      <c r="B31788" s="2" t="str">
        <f>"96155"</f>
        <v>96155</v>
      </c>
      <c r="C31788" s="1">
        <v>1.1470877460343599E-3</v>
      </c>
      <c r="D31788" s="1">
        <v>4.9247898934746503E-4</v>
      </c>
      <c r="E31788" s="1">
        <v>4.6566858366900203E-5</v>
      </c>
      <c r="F31788" s="1">
        <v>1.04920140603823E-3</v>
      </c>
    </row>
    <row r="31789" spans="1:6" x14ac:dyDescent="0.25">
      <c r="A31789" s="2" t="str">
        <f t="shared" si="1152"/>
        <v>40900</v>
      </c>
      <c r="B31789" s="2" t="str">
        <f>"96141"</f>
        <v>96141</v>
      </c>
      <c r="C31789" s="1">
        <v>0</v>
      </c>
      <c r="D31789" s="1">
        <v>0</v>
      </c>
      <c r="E31789" s="1">
        <v>1.1176046008056001E-3</v>
      </c>
      <c r="F31789" s="1">
        <v>4.3340505585056102E-5</v>
      </c>
    </row>
    <row r="31790" spans="1:6" x14ac:dyDescent="0.25">
      <c r="A31790" s="2" t="str">
        <f t="shared" si="1152"/>
        <v>40900</v>
      </c>
      <c r="B31790" s="2" t="str">
        <f>"96145"</f>
        <v>96145</v>
      </c>
      <c r="C31790" s="1">
        <v>0</v>
      </c>
      <c r="D31790" s="1">
        <v>0</v>
      </c>
      <c r="E31790" s="1">
        <v>1.5599897552911501E-3</v>
      </c>
      <c r="F31790" s="1">
        <v>6.0496122379140897E-5</v>
      </c>
    </row>
    <row r="31791" spans="1:6" x14ac:dyDescent="0.25">
      <c r="A31791" s="2" t="str">
        <f t="shared" si="1152"/>
        <v>40900</v>
      </c>
      <c r="B31791" s="2" t="str">
        <f>"95852"</f>
        <v>95852</v>
      </c>
      <c r="C31791" s="1">
        <v>2.5845513846914201E-4</v>
      </c>
      <c r="D31791" s="1">
        <v>6.5306996413468197E-4</v>
      </c>
      <c r="E31791" s="1">
        <v>4.6566858366900203E-5</v>
      </c>
      <c r="F31791" s="1">
        <v>2.8351914070224199E-4</v>
      </c>
    </row>
    <row r="31792" spans="1:6" x14ac:dyDescent="0.25">
      <c r="A31792" s="2" t="str">
        <f t="shared" si="1152"/>
        <v>40900</v>
      </c>
      <c r="B31792" s="2" t="str">
        <f>"95864"</f>
        <v>95864</v>
      </c>
      <c r="C31792" s="1">
        <v>1.05441458881434E-2</v>
      </c>
      <c r="D31792" s="1">
        <v>4.0361864996520504E-3</v>
      </c>
      <c r="E31792" s="1">
        <v>8.1259167850240895E-3</v>
      </c>
      <c r="F31792" s="1">
        <v>9.9014996717859596E-3</v>
      </c>
    </row>
    <row r="31793" spans="1:6" x14ac:dyDescent="0.25">
      <c r="A31793" s="2" t="str">
        <f t="shared" si="1152"/>
        <v>40900</v>
      </c>
      <c r="B31793" s="2" t="str">
        <f>"95860"</f>
        <v>95860</v>
      </c>
      <c r="C31793" s="1">
        <v>1.21401835958214E-3</v>
      </c>
      <c r="D31793" s="1">
        <v>2.4409828167656902E-3</v>
      </c>
      <c r="E31793" s="1">
        <v>4.6566858366900203E-5</v>
      </c>
      <c r="F31793" s="1">
        <v>1.2722244243613299E-3</v>
      </c>
    </row>
    <row r="31794" spans="1:6" x14ac:dyDescent="0.25">
      <c r="A31794" s="2" t="str">
        <f t="shared" si="1152"/>
        <v>40900</v>
      </c>
      <c r="B31794" s="2" t="str">
        <f>"95834"</f>
        <v>95834</v>
      </c>
      <c r="C31794" s="1">
        <v>1.2992776642245501E-2</v>
      </c>
      <c r="D31794" s="1">
        <v>1.8435843905572499E-2</v>
      </c>
      <c r="E31794" s="1">
        <v>2.0396283964702298E-2</v>
      </c>
      <c r="F31794" s="1">
        <v>1.37389402704628E-2</v>
      </c>
    </row>
    <row r="31795" spans="1:6" x14ac:dyDescent="0.25">
      <c r="A31795" s="2" t="str">
        <f t="shared" si="1152"/>
        <v>40900</v>
      </c>
      <c r="B31795" s="2" t="str">
        <f>"95833"</f>
        <v>95833</v>
      </c>
      <c r="C31795" s="1">
        <v>1.57760604640865E-2</v>
      </c>
      <c r="D31795" s="1">
        <v>9.5605160323323102E-3</v>
      </c>
      <c r="E31795" s="1">
        <v>2.85222007497264E-2</v>
      </c>
      <c r="F31795" s="1">
        <v>1.57461474353707E-2</v>
      </c>
    </row>
    <row r="31796" spans="1:6" x14ac:dyDescent="0.25">
      <c r="A31796" s="2" t="str">
        <f t="shared" si="1152"/>
        <v>40900</v>
      </c>
      <c r="B31796" s="2" t="str">
        <f>"95673"</f>
        <v>95673</v>
      </c>
      <c r="C31796" s="1">
        <v>6.5694971451518997E-3</v>
      </c>
      <c r="D31796" s="1">
        <v>3.76853487500669E-3</v>
      </c>
      <c r="E31796" s="1">
        <v>1.6764069012084001E-3</v>
      </c>
      <c r="F31796" s="1">
        <v>6.1435166666817097E-3</v>
      </c>
    </row>
    <row r="31797" spans="1:6" x14ac:dyDescent="0.25">
      <c r="A31797" s="2" t="str">
        <f t="shared" si="1152"/>
        <v>40900</v>
      </c>
      <c r="B31797" s="2" t="str">
        <f>"95663"</f>
        <v>95663</v>
      </c>
      <c r="C31797" s="1">
        <v>1.7082751980888699E-3</v>
      </c>
      <c r="D31797" s="1">
        <v>1.30613992826936E-3</v>
      </c>
      <c r="E31797" s="1">
        <v>4.4238515448555201E-4</v>
      </c>
      <c r="F31797" s="1">
        <v>1.6252689594396001E-3</v>
      </c>
    </row>
    <row r="31798" spans="1:6" x14ac:dyDescent="0.25">
      <c r="A31798" s="2" t="str">
        <f t="shared" si="1152"/>
        <v>40900</v>
      </c>
      <c r="B31798" s="2" t="str">
        <f>"95652"</f>
        <v>95652</v>
      </c>
      <c r="C31798" s="1">
        <v>2.5124722624091903E-4</v>
      </c>
      <c r="D31798" s="1">
        <v>4.5286654889995096E-3</v>
      </c>
      <c r="E31798" s="1">
        <v>1.7462571887587599E-3</v>
      </c>
      <c r="F31798" s="1">
        <v>6.6997198216899305E-4</v>
      </c>
    </row>
    <row r="31799" spans="1:6" x14ac:dyDescent="0.25">
      <c r="A31799" s="2" t="str">
        <f t="shared" si="1152"/>
        <v>40900</v>
      </c>
      <c r="B31799" s="2" t="str">
        <f>"95701"</f>
        <v>95701</v>
      </c>
      <c r="C31799" s="1">
        <v>0</v>
      </c>
      <c r="D31799" s="1">
        <v>0</v>
      </c>
      <c r="E31799" s="1">
        <v>2.3283429183450102E-5</v>
      </c>
      <c r="F31799" s="1">
        <v>9.0292719968867003E-7</v>
      </c>
    </row>
    <row r="31800" spans="1:6" x14ac:dyDescent="0.25">
      <c r="A31800" s="2" t="str">
        <f t="shared" si="1152"/>
        <v>40900</v>
      </c>
      <c r="B31800" s="2" t="str">
        <f>"95720"</f>
        <v>95720</v>
      </c>
      <c r="C31800" s="1">
        <v>3.0891052406670399E-6</v>
      </c>
      <c r="D31800" s="1">
        <v>0</v>
      </c>
      <c r="E31800" s="1">
        <v>2.3283429183450102E-5</v>
      </c>
      <c r="F31800" s="1">
        <v>3.6117087987546801E-6</v>
      </c>
    </row>
    <row r="31801" spans="1:6" x14ac:dyDescent="0.25">
      <c r="A31801" s="2" t="str">
        <f t="shared" si="1152"/>
        <v>40900</v>
      </c>
      <c r="B31801" s="2" t="str">
        <f>"95747"</f>
        <v>95747</v>
      </c>
      <c r="C31801" s="1">
        <v>2.8103649777841799E-2</v>
      </c>
      <c r="D31801" s="1">
        <v>9.1643916278571803E-3</v>
      </c>
      <c r="E31801" s="1">
        <v>4.1677338238375701E-3</v>
      </c>
      <c r="F31801" s="1">
        <v>2.5578121712780601E-2</v>
      </c>
    </row>
    <row r="31802" spans="1:6" x14ac:dyDescent="0.25">
      <c r="A31802" s="2" t="str">
        <f t="shared" si="1152"/>
        <v>40900</v>
      </c>
      <c r="B31802" s="2" t="str">
        <f>"95639"</f>
        <v>95639</v>
      </c>
      <c r="C31802" s="1">
        <v>0</v>
      </c>
      <c r="D31802" s="1">
        <v>1.07060649858144E-5</v>
      </c>
      <c r="E31802" s="1">
        <v>2.3283429183450102E-5</v>
      </c>
      <c r="F31802" s="1">
        <v>1.8058543993773401E-6</v>
      </c>
    </row>
    <row r="31803" spans="1:6" x14ac:dyDescent="0.25">
      <c r="A31803" s="2" t="str">
        <f t="shared" si="1152"/>
        <v>40900</v>
      </c>
      <c r="B31803" s="2" t="str">
        <f>"95633"</f>
        <v>95633</v>
      </c>
      <c r="C31803" s="1">
        <v>1.1748896932003601E-3</v>
      </c>
      <c r="D31803" s="1">
        <v>2.5694555965954702E-4</v>
      </c>
      <c r="E31803" s="1">
        <v>6.9850287550350396E-5</v>
      </c>
      <c r="F31803" s="1">
        <v>1.05461896923636E-3</v>
      </c>
    </row>
    <row r="31804" spans="1:6" x14ac:dyDescent="0.25">
      <c r="A31804" s="2" t="str">
        <f t="shared" si="1152"/>
        <v>40900</v>
      </c>
      <c r="B31804" s="2" t="str">
        <f>"95632"</f>
        <v>95632</v>
      </c>
      <c r="C31804" s="1">
        <v>1.11351946908577E-2</v>
      </c>
      <c r="D31804" s="1">
        <v>7.9010759595310696E-3</v>
      </c>
      <c r="E31804" s="1">
        <v>3.44594751915062E-3</v>
      </c>
      <c r="F31804" s="1">
        <v>1.0564248236357401E-2</v>
      </c>
    </row>
    <row r="31805" spans="1:6" x14ac:dyDescent="0.25">
      <c r="A31805" s="2" t="str">
        <f t="shared" si="1152"/>
        <v>40900</v>
      </c>
      <c r="B31805" s="2" t="str">
        <f>"95631"</f>
        <v>95631</v>
      </c>
      <c r="C31805" s="1">
        <v>2.3559575968820599E-3</v>
      </c>
      <c r="D31805" s="1">
        <v>6.1024570419142396E-4</v>
      </c>
      <c r="E31805" s="1">
        <v>5.3551887121935297E-4</v>
      </c>
      <c r="F31805" s="1">
        <v>2.1381316088627698E-3</v>
      </c>
    </row>
    <row r="31806" spans="1:6" x14ac:dyDescent="0.25">
      <c r="A31806" s="2" t="str">
        <f t="shared" si="1152"/>
        <v>40900</v>
      </c>
      <c r="B31806" s="2" t="str">
        <f>"95690"</f>
        <v>95690</v>
      </c>
      <c r="C31806" s="1">
        <v>3.5936590966426497E-4</v>
      </c>
      <c r="D31806" s="1">
        <v>2.3553342968791799E-4</v>
      </c>
      <c r="E31806" s="1">
        <v>1.86267433467601E-4</v>
      </c>
      <c r="F31806" s="1">
        <v>3.4220940868200599E-4</v>
      </c>
    </row>
    <row r="31807" spans="1:6" x14ac:dyDescent="0.25">
      <c r="A31807" s="2" t="str">
        <f t="shared" si="1152"/>
        <v>40900</v>
      </c>
      <c r="B31807" s="2" t="str">
        <f>"95623"</f>
        <v>95623</v>
      </c>
      <c r="C31807" s="1">
        <v>3.0818973284388101E-3</v>
      </c>
      <c r="D31807" s="1">
        <v>2.1090948022054398E-3</v>
      </c>
      <c r="E31807" s="1">
        <v>1.0710377424387001E-3</v>
      </c>
      <c r="F31807" s="1">
        <v>2.9218724181925299E-3</v>
      </c>
    </row>
    <row r="31808" spans="1:6" x14ac:dyDescent="0.25">
      <c r="A31808" s="2" t="str">
        <f t="shared" ref="A31808:A31834" si="1153">"40900"</f>
        <v>40900</v>
      </c>
      <c r="B31808" s="2" t="str">
        <f>"95608"</f>
        <v>95608</v>
      </c>
      <c r="C31808" s="1">
        <v>2.80006796031529E-2</v>
      </c>
      <c r="D31808" s="1">
        <v>1.99561051335581E-2</v>
      </c>
      <c r="E31808" s="1">
        <v>3.0734126522154102E-2</v>
      </c>
      <c r="F31808" s="1">
        <v>2.7428219544942699E-2</v>
      </c>
    </row>
    <row r="31809" spans="1:6" x14ac:dyDescent="0.25">
      <c r="A31809" s="2" t="str">
        <f t="shared" si="1153"/>
        <v>40900</v>
      </c>
      <c r="B31809" s="2" t="str">
        <f>"96151"</f>
        <v>96151</v>
      </c>
      <c r="C31809" s="1">
        <v>4.8828456837477002E-3</v>
      </c>
      <c r="D31809" s="1">
        <v>2.9334618061131598E-3</v>
      </c>
      <c r="E31809" s="1">
        <v>4.6566858366900203E-5</v>
      </c>
      <c r="F31809" s="1">
        <v>4.5308886880377399E-3</v>
      </c>
    </row>
    <row r="31810" spans="1:6" x14ac:dyDescent="0.25">
      <c r="A31810" s="2" t="str">
        <f t="shared" si="1153"/>
        <v>40900</v>
      </c>
      <c r="B31810" s="2" t="str">
        <f>"96142"</f>
        <v>96142</v>
      </c>
      <c r="C31810" s="1">
        <v>0</v>
      </c>
      <c r="D31810" s="1">
        <v>0</v>
      </c>
      <c r="E31810" s="1">
        <v>7.2178630468695403E-4</v>
      </c>
      <c r="F31810" s="1">
        <v>2.79907431903487E-5</v>
      </c>
    </row>
    <row r="31811" spans="1:6" x14ac:dyDescent="0.25">
      <c r="A31811" s="2" t="str">
        <f t="shared" si="1153"/>
        <v>40900</v>
      </c>
      <c r="B31811" s="2" t="str">
        <f>"96140"</f>
        <v>96140</v>
      </c>
      <c r="C31811" s="1">
        <v>0</v>
      </c>
      <c r="D31811" s="1">
        <v>0</v>
      </c>
      <c r="E31811" s="1">
        <v>6.2865258795315301E-4</v>
      </c>
      <c r="F31811" s="1">
        <v>2.43790343915941E-5</v>
      </c>
    </row>
    <row r="31812" spans="1:6" x14ac:dyDescent="0.25">
      <c r="A31812" s="2" t="str">
        <f t="shared" si="1153"/>
        <v>40900</v>
      </c>
      <c r="B31812" s="2" t="str">
        <f>"96148"</f>
        <v>96148</v>
      </c>
      <c r="C31812" s="1">
        <v>0</v>
      </c>
      <c r="D31812" s="1">
        <v>0</v>
      </c>
      <c r="E31812" s="1">
        <v>3.2596800856830101E-4</v>
      </c>
      <c r="F31812" s="1">
        <v>1.26409807956413E-5</v>
      </c>
    </row>
    <row r="31813" spans="1:6" x14ac:dyDescent="0.25">
      <c r="A31813" s="2" t="str">
        <f t="shared" si="1153"/>
        <v>40900</v>
      </c>
      <c r="B31813" s="2" t="str">
        <f>"95825"</f>
        <v>95825</v>
      </c>
      <c r="C31813" s="1">
        <v>1.7623345398005402E-2</v>
      </c>
      <c r="D31813" s="1">
        <v>3.2824795246507103E-2</v>
      </c>
      <c r="E31813" s="1">
        <v>5.1130410486856501E-2</v>
      </c>
      <c r="F31813" s="1">
        <v>2.02048019474333E-2</v>
      </c>
    </row>
    <row r="31814" spans="1:6" x14ac:dyDescent="0.25">
      <c r="A31814" s="2" t="str">
        <f t="shared" si="1153"/>
        <v>40900</v>
      </c>
      <c r="B31814" s="2" t="str">
        <f>"95822"</f>
        <v>95822</v>
      </c>
      <c r="C31814" s="1">
        <v>1.8577878917371501E-2</v>
      </c>
      <c r="D31814" s="1">
        <v>1.4442481665863699E-2</v>
      </c>
      <c r="E31814" s="1">
        <v>1.7695406179422099E-2</v>
      </c>
      <c r="F31814" s="1">
        <v>1.8194886000926402E-2</v>
      </c>
    </row>
    <row r="31815" spans="1:6" x14ac:dyDescent="0.25">
      <c r="A31815" s="2" t="str">
        <f t="shared" si="1153"/>
        <v>40900</v>
      </c>
      <c r="B31815" s="2" t="str">
        <f>"95668"</f>
        <v>95668</v>
      </c>
      <c r="C31815" s="1">
        <v>5.66335960788957E-5</v>
      </c>
      <c r="D31815" s="1">
        <v>2.1412129971628899E-5</v>
      </c>
      <c r="E31815" s="1">
        <v>0</v>
      </c>
      <c r="F31815" s="1">
        <v>5.1466850382254202E-5</v>
      </c>
    </row>
    <row r="31816" spans="1:6" x14ac:dyDescent="0.25">
      <c r="A31816" s="2" t="str">
        <f t="shared" si="1153"/>
        <v>40900</v>
      </c>
      <c r="B31816" s="2" t="str">
        <f>"95672"</f>
        <v>95672</v>
      </c>
      <c r="C31816" s="1">
        <v>2.1222153003382501E-3</v>
      </c>
      <c r="D31816" s="1">
        <v>8.4577913387934203E-4</v>
      </c>
      <c r="E31816" s="1">
        <v>1.6298400428414999E-4</v>
      </c>
      <c r="F31816" s="1">
        <v>1.9385846977315699E-3</v>
      </c>
    </row>
    <row r="31817" spans="1:6" x14ac:dyDescent="0.25">
      <c r="A31817" s="2" t="str">
        <f t="shared" si="1153"/>
        <v>40900</v>
      </c>
      <c r="B31817" s="2" t="str">
        <f>"95655"</f>
        <v>95655</v>
      </c>
      <c r="C31817" s="1">
        <v>1.78241372386488E-3</v>
      </c>
      <c r="D31817" s="1">
        <v>1.2097853433970299E-3</v>
      </c>
      <c r="E31817" s="1">
        <v>8.84770308971105E-4</v>
      </c>
      <c r="F31817" s="1">
        <v>1.69930898981407E-3</v>
      </c>
    </row>
    <row r="31818" spans="1:6" x14ac:dyDescent="0.25">
      <c r="A31818" s="2" t="str">
        <f t="shared" si="1153"/>
        <v>40900</v>
      </c>
      <c r="B31818" s="2" t="str">
        <f>"95650"</f>
        <v>95650</v>
      </c>
      <c r="C31818" s="1">
        <v>6.2801509542760904E-3</v>
      </c>
      <c r="D31818" s="1">
        <v>9.7318130721053397E-3</v>
      </c>
      <c r="E31818" s="1">
        <v>3.77191552771892E-3</v>
      </c>
      <c r="F31818" s="1">
        <v>6.4739880217677603E-3</v>
      </c>
    </row>
    <row r="31819" spans="1:6" x14ac:dyDescent="0.25">
      <c r="A31819" s="2" t="str">
        <f t="shared" si="1153"/>
        <v>40900</v>
      </c>
      <c r="B31819" s="2" t="str">
        <f>"95815"</f>
        <v>95815</v>
      </c>
      <c r="C31819" s="1">
        <v>1.0390720327856999E-2</v>
      </c>
      <c r="D31819" s="1">
        <v>2.51378405866923E-2</v>
      </c>
      <c r="E31819" s="1">
        <v>3.0803976809704502E-2</v>
      </c>
      <c r="F31819" s="1">
        <v>1.24260841221154E-2</v>
      </c>
    </row>
    <row r="31820" spans="1:6" x14ac:dyDescent="0.25">
      <c r="A31820" s="2" t="str">
        <f t="shared" si="1153"/>
        <v>40900</v>
      </c>
      <c r="B31820" s="2" t="str">
        <f>"95721"</f>
        <v>95721</v>
      </c>
      <c r="C31820" s="1">
        <v>0</v>
      </c>
      <c r="D31820" s="1">
        <v>1.07060649858144E-5</v>
      </c>
      <c r="E31820" s="1">
        <v>2.3283429183450102E-5</v>
      </c>
      <c r="F31820" s="1">
        <v>1.8058543993773401E-6</v>
      </c>
    </row>
    <row r="31821" spans="1:6" x14ac:dyDescent="0.25">
      <c r="A31821" s="2" t="str">
        <f t="shared" si="1153"/>
        <v>40900</v>
      </c>
      <c r="B31821" s="2" t="str">
        <f>"95726"</f>
        <v>95726</v>
      </c>
      <c r="C31821" s="1">
        <v>5.96094341274049E-3</v>
      </c>
      <c r="D31821" s="1">
        <v>2.2161554520635902E-3</v>
      </c>
      <c r="E31821" s="1">
        <v>1.8626743346760099E-3</v>
      </c>
      <c r="F31821" s="1">
        <v>5.4861856653083598E-3</v>
      </c>
    </row>
    <row r="31822" spans="1:6" x14ac:dyDescent="0.25">
      <c r="A31822" s="2" t="str">
        <f t="shared" si="1153"/>
        <v>40900</v>
      </c>
      <c r="B31822" s="2" t="str">
        <f>"95763"</f>
        <v>95763</v>
      </c>
      <c r="C31822" s="1">
        <v>2.0213045291431302E-3</v>
      </c>
      <c r="D31822" s="1">
        <v>5.2673839730207096E-3</v>
      </c>
      <c r="E31822" s="1">
        <v>4.6566858366900203E-5</v>
      </c>
      <c r="F31822" s="1">
        <v>2.2184921296350599E-3</v>
      </c>
    </row>
    <row r="31823" spans="1:6" x14ac:dyDescent="0.25">
      <c r="A31823" s="2" t="str">
        <f t="shared" si="1153"/>
        <v>40900</v>
      </c>
      <c r="B31823" s="2" t="str">
        <f>"95798"</f>
        <v>95798</v>
      </c>
      <c r="C31823" s="1">
        <v>6.5489031102141195E-4</v>
      </c>
      <c r="D31823" s="1">
        <v>1.89497350248916E-3</v>
      </c>
      <c r="E31823" s="1">
        <v>4.6566858366900203E-5</v>
      </c>
      <c r="F31823" s="1">
        <v>7.3588566774626597E-4</v>
      </c>
    </row>
    <row r="31824" spans="1:6" x14ac:dyDescent="0.25">
      <c r="A31824" s="2" t="str">
        <f t="shared" si="1153"/>
        <v>40900</v>
      </c>
      <c r="B31824" s="2" t="str">
        <f>"95776"</f>
        <v>95776</v>
      </c>
      <c r="C31824" s="1">
        <v>1.0668739799516999E-2</v>
      </c>
      <c r="D31824" s="1">
        <v>1.5095551629998301E-2</v>
      </c>
      <c r="E31824" s="1">
        <v>6.0536915876970299E-3</v>
      </c>
      <c r="F31824" s="1">
        <v>1.0863117139454301E-2</v>
      </c>
    </row>
    <row r="31825" spans="1:6" x14ac:dyDescent="0.25">
      <c r="A31825" s="2" t="str">
        <f t="shared" si="1153"/>
        <v>40900</v>
      </c>
      <c r="B31825" s="2" t="str">
        <f>"95637"</f>
        <v>95637</v>
      </c>
      <c r="C31825" s="1">
        <v>3.2950455900448403E-5</v>
      </c>
      <c r="D31825" s="1">
        <v>0</v>
      </c>
      <c r="E31825" s="1">
        <v>2.3283429183450102E-5</v>
      </c>
      <c r="F31825" s="1">
        <v>2.97965975897261E-5</v>
      </c>
    </row>
    <row r="31826" spans="1:6" x14ac:dyDescent="0.25">
      <c r="A31826" s="2" t="str">
        <f t="shared" si="1153"/>
        <v>40900</v>
      </c>
      <c r="B31826" s="2" t="str">
        <f>"95638"</f>
        <v>95638</v>
      </c>
      <c r="C31826" s="1">
        <v>1.1110481848932399E-3</v>
      </c>
      <c r="D31826" s="1">
        <v>4.4965472940420703E-4</v>
      </c>
      <c r="E31826" s="1">
        <v>6.9850287550350396E-5</v>
      </c>
      <c r="F31826" s="1">
        <v>1.0148901724500599E-3</v>
      </c>
    </row>
    <row r="31827" spans="1:6" x14ac:dyDescent="0.25">
      <c r="A31827" s="2" t="str">
        <f t="shared" si="1153"/>
        <v>40900</v>
      </c>
      <c r="B31827" s="2" t="str">
        <f>"95634"</f>
        <v>95634</v>
      </c>
      <c r="C31827" s="1">
        <v>1.1965134298850301E-3</v>
      </c>
      <c r="D31827" s="1">
        <v>5.0318505433327905E-4</v>
      </c>
      <c r="E31827" s="1">
        <v>3.9581829611865199E-4</v>
      </c>
      <c r="F31827" s="1">
        <v>1.10698874681831E-3</v>
      </c>
    </row>
    <row r="31828" spans="1:6" x14ac:dyDescent="0.25">
      <c r="A31828" s="2" t="str">
        <f t="shared" si="1153"/>
        <v>40900</v>
      </c>
      <c r="B31828" s="2" t="str">
        <f>"95691"</f>
        <v>95691</v>
      </c>
      <c r="C31828" s="1">
        <v>1.6590554545875699E-2</v>
      </c>
      <c r="D31828" s="1">
        <v>2.1005299502167899E-2</v>
      </c>
      <c r="E31828" s="1">
        <v>1.80679410463573E-2</v>
      </c>
      <c r="F31828" s="1">
        <v>1.7020177714131401E-2</v>
      </c>
    </row>
    <row r="31829" spans="1:6" x14ac:dyDescent="0.25">
      <c r="A31829" s="2" t="str">
        <f t="shared" si="1153"/>
        <v>40900</v>
      </c>
      <c r="B31829" s="2" t="str">
        <f>"95683"</f>
        <v>95683</v>
      </c>
      <c r="C31829" s="1">
        <v>3.2569466254099501E-3</v>
      </c>
      <c r="D31829" s="1">
        <v>2.09838873721963E-3</v>
      </c>
      <c r="E31829" s="1">
        <v>1.3970057510070001E-4</v>
      </c>
      <c r="F31829" s="1">
        <v>3.03835002695237E-3</v>
      </c>
    </row>
    <row r="31830" spans="1:6" x14ac:dyDescent="0.25">
      <c r="A31830" s="2" t="str">
        <f t="shared" si="1153"/>
        <v>40900</v>
      </c>
      <c r="B31830" s="2" t="str">
        <f>"95626"</f>
        <v>95626</v>
      </c>
      <c r="C31830" s="1">
        <v>2.9500955048370201E-3</v>
      </c>
      <c r="D31830" s="1">
        <v>1.2204914083828399E-3</v>
      </c>
      <c r="E31830" s="1">
        <v>4.6566858366900203E-5</v>
      </c>
      <c r="F31830" s="1">
        <v>2.6916259822719201E-3</v>
      </c>
    </row>
    <row r="31831" spans="1:6" x14ac:dyDescent="0.25">
      <c r="A31831" s="2" t="str">
        <f t="shared" si="1153"/>
        <v>40900</v>
      </c>
      <c r="B31831" s="2" t="str">
        <f>"95619"</f>
        <v>95619</v>
      </c>
      <c r="C31831" s="1">
        <v>3.6811837451282202E-3</v>
      </c>
      <c r="D31831" s="1">
        <v>5.8240993522830596E-3</v>
      </c>
      <c r="E31831" s="1">
        <v>4.1910172530210199E-3</v>
      </c>
      <c r="F31831" s="1">
        <v>3.8816840314615901E-3</v>
      </c>
    </row>
    <row r="31832" spans="1:6" x14ac:dyDescent="0.25">
      <c r="A31832" s="2" t="str">
        <f t="shared" si="1153"/>
        <v>40900</v>
      </c>
      <c r="B31832" s="2" t="str">
        <f>"95611"</f>
        <v>95611</v>
      </c>
      <c r="C31832" s="1">
        <v>2.8203530847290001E-3</v>
      </c>
      <c r="D31832" s="1">
        <v>2.92275574112734E-3</v>
      </c>
      <c r="E31832" s="1">
        <v>4.6566858366900203E-5</v>
      </c>
      <c r="F31832" s="1">
        <v>2.7214225798616498E-3</v>
      </c>
    </row>
    <row r="31833" spans="1:6" x14ac:dyDescent="0.25">
      <c r="A31833" s="2" t="str">
        <f t="shared" si="1153"/>
        <v>40900</v>
      </c>
      <c r="B31833" s="2" t="str">
        <f>"95614"</f>
        <v>95614</v>
      </c>
      <c r="C31833" s="1">
        <v>2.2148884575582599E-3</v>
      </c>
      <c r="D31833" s="1">
        <v>1.5523794229430901E-3</v>
      </c>
      <c r="E31833" s="1">
        <v>4.6566858366900199E-4</v>
      </c>
      <c r="F31833" s="1">
        <v>2.0911793944789602E-3</v>
      </c>
    </row>
    <row r="31834" spans="1:6" x14ac:dyDescent="0.25">
      <c r="A31834" s="2" t="str">
        <f t="shared" si="1153"/>
        <v>40900</v>
      </c>
      <c r="B31834" s="2" t="str">
        <f>"95603"</f>
        <v>95603</v>
      </c>
      <c r="C31834" s="1">
        <v>1.29773311160422E-2</v>
      </c>
      <c r="D31834" s="1">
        <v>2.48808950270328E-2</v>
      </c>
      <c r="E31834" s="1">
        <v>1.5669747840461899E-2</v>
      </c>
      <c r="F31834" s="1">
        <v>1.4085664315143199E-2</v>
      </c>
    </row>
    <row r="31835" spans="1:6" x14ac:dyDescent="0.25">
      <c r="A31835" s="2" t="str">
        <f t="shared" ref="A31835:A31866" si="1154">"49700"</f>
        <v>49700</v>
      </c>
      <c r="B31835" s="2" t="str">
        <f>"95914"</f>
        <v>95914</v>
      </c>
      <c r="C31835" s="1">
        <v>1.02168899786904E-4</v>
      </c>
      <c r="D31835" s="1">
        <v>0</v>
      </c>
      <c r="E31835" s="1">
        <v>0</v>
      </c>
      <c r="F31835" s="1">
        <v>9.0715877870509496E-5</v>
      </c>
    </row>
    <row r="31836" spans="1:6" x14ac:dyDescent="0.25">
      <c r="A31836" s="2" t="str">
        <f t="shared" si="1154"/>
        <v>49700</v>
      </c>
      <c r="B31836" s="2" t="str">
        <f>"95918"</f>
        <v>95918</v>
      </c>
      <c r="C31836" s="1">
        <v>1.20705257319671E-2</v>
      </c>
      <c r="D31836" s="1">
        <v>2.2839072382290901E-3</v>
      </c>
      <c r="E31836" s="1">
        <v>3.3806626098715299E-4</v>
      </c>
      <c r="F31836" s="1">
        <v>1.08988647555855E-2</v>
      </c>
    </row>
    <row r="31837" spans="1:6" x14ac:dyDescent="0.25">
      <c r="A31837" s="2" t="str">
        <f t="shared" si="1154"/>
        <v>49700</v>
      </c>
      <c r="B31837" s="2" t="str">
        <f>"95836"</f>
        <v>95836</v>
      </c>
      <c r="C31837" s="1">
        <v>1.45955571124149E-5</v>
      </c>
      <c r="D31837" s="1">
        <v>1.75685172171468E-4</v>
      </c>
      <c r="E31837" s="1">
        <v>0</v>
      </c>
      <c r="F31837" s="1">
        <v>2.5918822248717002E-5</v>
      </c>
    </row>
    <row r="31838" spans="1:6" x14ac:dyDescent="0.25">
      <c r="A31838" s="2" t="str">
        <f t="shared" si="1154"/>
        <v>49700</v>
      </c>
      <c r="B31838" s="2" t="str">
        <f>"95957"</f>
        <v>95957</v>
      </c>
      <c r="C31838" s="1">
        <v>2.59800916600986E-3</v>
      </c>
      <c r="D31838" s="1">
        <v>2.4595924104005599E-3</v>
      </c>
      <c r="E31838" s="1">
        <v>1.01419878296146E-3</v>
      </c>
      <c r="F31838" s="1">
        <v>2.5270851692499002E-3</v>
      </c>
    </row>
    <row r="31839" spans="1:6" x14ac:dyDescent="0.25">
      <c r="A31839" s="2" t="str">
        <f t="shared" si="1154"/>
        <v>49700</v>
      </c>
      <c r="B31839" s="2" t="str">
        <f>"95941"</f>
        <v>95941</v>
      </c>
      <c r="C31839" s="1">
        <v>3.7948448492278902E-4</v>
      </c>
      <c r="D31839" s="1">
        <v>0</v>
      </c>
      <c r="E31839" s="1">
        <v>0</v>
      </c>
      <c r="F31839" s="1">
        <v>3.3694468923332102E-4</v>
      </c>
    </row>
    <row r="31840" spans="1:6" x14ac:dyDescent="0.25">
      <c r="A31840" s="2" t="str">
        <f t="shared" si="1154"/>
        <v>49700</v>
      </c>
      <c r="B31840" s="2" t="str">
        <f>"95692"</f>
        <v>95692</v>
      </c>
      <c r="C31840" s="1">
        <v>2.5848731646086899E-2</v>
      </c>
      <c r="D31840" s="1">
        <v>2.2663387210119401E-2</v>
      </c>
      <c r="E31840" s="1">
        <v>4.1244083840432703E-2</v>
      </c>
      <c r="F31840" s="1">
        <v>2.6203929293452902E-2</v>
      </c>
    </row>
    <row r="31841" spans="1:6" x14ac:dyDescent="0.25">
      <c r="A31841" s="2" t="str">
        <f t="shared" si="1154"/>
        <v>49700</v>
      </c>
      <c r="B31841" s="2" t="str">
        <f>"95626"</f>
        <v>95626</v>
      </c>
      <c r="C31841" s="1">
        <v>9.3411565519455802E-4</v>
      </c>
      <c r="D31841" s="1">
        <v>8.7842586085734304E-4</v>
      </c>
      <c r="E31841" s="1">
        <v>0</v>
      </c>
      <c r="F31841" s="1">
        <v>8.9419936758073704E-4</v>
      </c>
    </row>
    <row r="31842" spans="1:6" x14ac:dyDescent="0.25">
      <c r="A31842" s="2" t="str">
        <f t="shared" si="1154"/>
        <v>49700</v>
      </c>
      <c r="B31842" s="2" t="str">
        <f>"95922"</f>
        <v>95922</v>
      </c>
      <c r="C31842" s="1">
        <v>2.0141868815132598E-3</v>
      </c>
      <c r="D31842" s="1">
        <v>8.7842586085734304E-4</v>
      </c>
      <c r="E31842" s="1">
        <v>1.35226504394861E-3</v>
      </c>
      <c r="F31842" s="1">
        <v>1.9050334352806999E-3</v>
      </c>
    </row>
    <row r="31843" spans="1:6" x14ac:dyDescent="0.25">
      <c r="A31843" s="2" t="str">
        <f t="shared" si="1154"/>
        <v>49700</v>
      </c>
      <c r="B31843" s="2" t="str">
        <f>"95903"</f>
        <v>95903</v>
      </c>
      <c r="C31843" s="1">
        <v>2.8928394196806401E-2</v>
      </c>
      <c r="D31843" s="1">
        <v>7.0274068868587405E-4</v>
      </c>
      <c r="E31843" s="1">
        <v>4.3948613928329897E-2</v>
      </c>
      <c r="F31843" s="1">
        <v>2.7422113939142598E-2</v>
      </c>
    </row>
    <row r="31844" spans="1:6" x14ac:dyDescent="0.25">
      <c r="A31844" s="2" t="str">
        <f t="shared" si="1154"/>
        <v>49700</v>
      </c>
      <c r="B31844" s="2" t="str">
        <f>"95992"</f>
        <v>95992</v>
      </c>
      <c r="C31844" s="1">
        <v>2.0083486586682998E-2</v>
      </c>
      <c r="D31844" s="1">
        <v>9.2410400562192505E-2</v>
      </c>
      <c r="E31844" s="1">
        <v>6.7613252197430598E-4</v>
      </c>
      <c r="F31844" s="1">
        <v>2.46747187807786E-2</v>
      </c>
    </row>
    <row r="31845" spans="1:6" x14ac:dyDescent="0.25">
      <c r="A31845" s="2" t="str">
        <f t="shared" si="1154"/>
        <v>49700</v>
      </c>
      <c r="B31845" s="2" t="str">
        <f>"95991"</f>
        <v>95991</v>
      </c>
      <c r="C31845" s="1">
        <v>0.225019704002101</v>
      </c>
      <c r="D31845" s="1">
        <v>0.34838369641602202</v>
      </c>
      <c r="E31845" s="1">
        <v>0.33333333333333298</v>
      </c>
      <c r="F31845" s="1">
        <v>0.23827173293245499</v>
      </c>
    </row>
    <row r="31846" spans="1:6" x14ac:dyDescent="0.25">
      <c r="A31846" s="2" t="str">
        <f t="shared" si="1154"/>
        <v>49700</v>
      </c>
      <c r="B31846" s="2" t="str">
        <f>"95953"</f>
        <v>95953</v>
      </c>
      <c r="C31846" s="1">
        <v>6.0805090930320799E-2</v>
      </c>
      <c r="D31846" s="1">
        <v>3.7596626844694302E-2</v>
      </c>
      <c r="E31846" s="1">
        <v>3.0087897227856601E-2</v>
      </c>
      <c r="F31846" s="1">
        <v>5.7915608314758102E-2</v>
      </c>
    </row>
    <row r="31847" spans="1:6" x14ac:dyDescent="0.25">
      <c r="A31847" s="2" t="str">
        <f t="shared" si="1154"/>
        <v>49700</v>
      </c>
      <c r="B31847" s="2" t="str">
        <f>"95972"</f>
        <v>95972</v>
      </c>
      <c r="C31847" s="1">
        <v>2.6272002802346899E-4</v>
      </c>
      <c r="D31847" s="1">
        <v>0</v>
      </c>
      <c r="E31847" s="1">
        <v>3.3806626098715299E-4</v>
      </c>
      <c r="F31847" s="1">
        <v>2.46228811362811E-4</v>
      </c>
    </row>
    <row r="31848" spans="1:6" x14ac:dyDescent="0.25">
      <c r="A31848" s="2" t="str">
        <f t="shared" si="1154"/>
        <v>49700</v>
      </c>
      <c r="B31848" s="2" t="str">
        <f>"95659"</f>
        <v>95659</v>
      </c>
      <c r="C31848" s="1">
        <v>4.11594710570102E-3</v>
      </c>
      <c r="D31848" s="1">
        <v>5.9732958538299304E-3</v>
      </c>
      <c r="E31848" s="1">
        <v>6.7613252197430598E-4</v>
      </c>
      <c r="F31848" s="1">
        <v>4.1210927375459998E-3</v>
      </c>
    </row>
    <row r="31849" spans="1:6" x14ac:dyDescent="0.25">
      <c r="A31849" s="2" t="str">
        <f t="shared" si="1154"/>
        <v>49700</v>
      </c>
      <c r="B31849" s="2" t="str">
        <f>"95948"</f>
        <v>95948</v>
      </c>
      <c r="C31849" s="1">
        <v>1.1676445689931901E-4</v>
      </c>
      <c r="D31849" s="1">
        <v>1.75685172171468E-4</v>
      </c>
      <c r="E31849" s="1">
        <v>0</v>
      </c>
      <c r="F31849" s="1">
        <v>1.16634700119226E-4</v>
      </c>
    </row>
    <row r="31850" spans="1:6" x14ac:dyDescent="0.25">
      <c r="A31850" s="2" t="str">
        <f t="shared" si="1154"/>
        <v>49700</v>
      </c>
      <c r="B31850" s="2" t="str">
        <f>"95993"</f>
        <v>95993</v>
      </c>
      <c r="C31850" s="1">
        <v>0.184954899728522</v>
      </c>
      <c r="D31850" s="1">
        <v>0.15073787772312</v>
      </c>
      <c r="E31850" s="1">
        <v>0.123394185260311</v>
      </c>
      <c r="F31850" s="1">
        <v>0.18007101757296101</v>
      </c>
    </row>
    <row r="31851" spans="1:6" x14ac:dyDescent="0.25">
      <c r="A31851" s="2" t="str">
        <f t="shared" si="1154"/>
        <v>49700</v>
      </c>
      <c r="B31851" s="2" t="str">
        <f>"95645"</f>
        <v>95645</v>
      </c>
      <c r="C31851" s="1">
        <v>1.4157690399042499E-3</v>
      </c>
      <c r="D31851" s="1">
        <v>3.5137034434293702E-4</v>
      </c>
      <c r="E31851" s="1">
        <v>0</v>
      </c>
      <c r="F31851" s="1">
        <v>1.2829817013114901E-3</v>
      </c>
    </row>
    <row r="31852" spans="1:6" x14ac:dyDescent="0.25">
      <c r="A31852" s="2" t="str">
        <f t="shared" si="1154"/>
        <v>49700</v>
      </c>
      <c r="B31852" s="2" t="str">
        <f>"95837"</f>
        <v>95837</v>
      </c>
      <c r="C31852" s="1">
        <v>5.54631170271769E-4</v>
      </c>
      <c r="D31852" s="1">
        <v>1.75685172171468E-4</v>
      </c>
      <c r="E31852" s="1">
        <v>1.01419878296146E-3</v>
      </c>
      <c r="F31852" s="1">
        <v>5.4429526722305703E-4</v>
      </c>
    </row>
    <row r="31853" spans="1:6" x14ac:dyDescent="0.25">
      <c r="A31853" s="2" t="str">
        <f t="shared" si="1154"/>
        <v>49700</v>
      </c>
      <c r="B31853" s="2" t="str">
        <f>"95925"</f>
        <v>95925</v>
      </c>
      <c r="C31853" s="1">
        <v>2.4812447091105398E-4</v>
      </c>
      <c r="D31853" s="1">
        <v>1.75685172171468E-4</v>
      </c>
      <c r="E31853" s="1">
        <v>3.3806626098715299E-4</v>
      </c>
      <c r="F31853" s="1">
        <v>2.46228811362811E-4</v>
      </c>
    </row>
    <row r="31854" spans="1:6" x14ac:dyDescent="0.25">
      <c r="A31854" s="2" t="str">
        <f t="shared" si="1154"/>
        <v>49700</v>
      </c>
      <c r="B31854" s="2" t="str">
        <f>"95919"</f>
        <v>95919</v>
      </c>
      <c r="C31854" s="1">
        <v>3.8824181919023802E-3</v>
      </c>
      <c r="D31854" s="1">
        <v>2.98664792691496E-3</v>
      </c>
      <c r="E31854" s="1">
        <v>1.01419878296146E-3</v>
      </c>
      <c r="F31854" s="1">
        <v>3.70639158156653E-3</v>
      </c>
    </row>
    <row r="31855" spans="1:6" x14ac:dyDescent="0.25">
      <c r="A31855" s="2" t="str">
        <f t="shared" si="1154"/>
        <v>49700</v>
      </c>
      <c r="B31855" s="2" t="str">
        <f>"95962"</f>
        <v>95962</v>
      </c>
      <c r="C31855" s="1">
        <v>9.6330676941938805E-4</v>
      </c>
      <c r="D31855" s="1">
        <v>2.98664792691496E-3</v>
      </c>
      <c r="E31855" s="1">
        <v>3.3806626098715299E-4</v>
      </c>
      <c r="F31855" s="1">
        <v>1.0885905344461099E-3</v>
      </c>
    </row>
    <row r="31856" spans="1:6" x14ac:dyDescent="0.25">
      <c r="A31856" s="2" t="str">
        <f t="shared" si="1154"/>
        <v>49700</v>
      </c>
      <c r="B31856" s="2" t="str">
        <f>"95966"</f>
        <v>95966</v>
      </c>
      <c r="C31856" s="1">
        <v>4.8165338470969402E-4</v>
      </c>
      <c r="D31856" s="1">
        <v>0</v>
      </c>
      <c r="E31856" s="1">
        <v>0</v>
      </c>
      <c r="F31856" s="1">
        <v>4.2766056710383E-4</v>
      </c>
    </row>
    <row r="31857" spans="1:6" x14ac:dyDescent="0.25">
      <c r="A31857" s="2" t="str">
        <f t="shared" si="1154"/>
        <v>49700</v>
      </c>
      <c r="B31857" s="2" t="str">
        <f>"95961"</f>
        <v>95961</v>
      </c>
      <c r="C31857" s="1">
        <v>0.164798435356277</v>
      </c>
      <c r="D31857" s="1">
        <v>5.7449051300070199E-2</v>
      </c>
      <c r="E31857" s="1">
        <v>0.112576064908722</v>
      </c>
      <c r="F31857" s="1">
        <v>0.15487792234720801</v>
      </c>
    </row>
    <row r="31858" spans="1:6" x14ac:dyDescent="0.25">
      <c r="A31858" s="2" t="str">
        <f t="shared" si="1154"/>
        <v>49700</v>
      </c>
      <c r="B31858" s="2" t="str">
        <f>"95981"</f>
        <v>95981</v>
      </c>
      <c r="C31858" s="1">
        <v>0</v>
      </c>
      <c r="D31858" s="1">
        <v>1.75685172171468E-4</v>
      </c>
      <c r="E31858" s="1">
        <v>6.7613252197430598E-4</v>
      </c>
      <c r="F31858" s="1">
        <v>3.8878233373075499E-5</v>
      </c>
    </row>
    <row r="31859" spans="1:6" x14ac:dyDescent="0.25">
      <c r="A31859" s="2" t="str">
        <f t="shared" si="1154"/>
        <v>49700</v>
      </c>
      <c r="B31859" s="2" t="str">
        <f>"95935"</f>
        <v>95935</v>
      </c>
      <c r="C31859" s="1">
        <v>4.6705782759727901E-4</v>
      </c>
      <c r="D31859" s="1">
        <v>0</v>
      </c>
      <c r="E31859" s="1">
        <v>6.7613252197430598E-4</v>
      </c>
      <c r="F31859" s="1">
        <v>4.4061997822818899E-4</v>
      </c>
    </row>
    <row r="31860" spans="1:6" x14ac:dyDescent="0.25">
      <c r="A31860" s="2" t="str">
        <f t="shared" si="1154"/>
        <v>49700</v>
      </c>
      <c r="B31860" s="2" t="str">
        <f>"95668"</f>
        <v>95668</v>
      </c>
      <c r="C31860" s="1">
        <v>4.0137782059141104E-3</v>
      </c>
      <c r="D31860" s="1">
        <v>1.5108924806746299E-2</v>
      </c>
      <c r="E31860" s="1">
        <v>1.01419878296146E-3</v>
      </c>
      <c r="F31860" s="1">
        <v>4.7172256492664898E-3</v>
      </c>
    </row>
    <row r="31861" spans="1:6" x14ac:dyDescent="0.25">
      <c r="A31861" s="2" t="str">
        <f t="shared" si="1154"/>
        <v>49700</v>
      </c>
      <c r="B31861" s="2" t="str">
        <f>"95960"</f>
        <v>95960</v>
      </c>
      <c r="C31861" s="1">
        <v>4.08675599147619E-4</v>
      </c>
      <c r="D31861" s="1">
        <v>0</v>
      </c>
      <c r="E31861" s="1">
        <v>0</v>
      </c>
      <c r="F31861" s="1">
        <v>3.6286351148203798E-4</v>
      </c>
    </row>
    <row r="31862" spans="1:6" x14ac:dyDescent="0.25">
      <c r="A31862" s="2" t="str">
        <f t="shared" si="1154"/>
        <v>49700</v>
      </c>
      <c r="B31862" s="2" t="str">
        <f>"95901"</f>
        <v>95901</v>
      </c>
      <c r="C31862" s="1">
        <v>0.22809936655282101</v>
      </c>
      <c r="D31862" s="1">
        <v>0.24894588896697101</v>
      </c>
      <c r="E31862" s="1">
        <v>0.30020283975659201</v>
      </c>
      <c r="F31862" s="1">
        <v>0.23240111969312099</v>
      </c>
    </row>
    <row r="31863" spans="1:6" x14ac:dyDescent="0.25">
      <c r="A31863" s="2" t="str">
        <f t="shared" si="1154"/>
        <v>49700</v>
      </c>
      <c r="B31863" s="2" t="str">
        <f>"95982"</f>
        <v>95982</v>
      </c>
      <c r="C31863" s="1">
        <v>1.7412499635111E-2</v>
      </c>
      <c r="D31863" s="1">
        <v>4.74349964862965E-3</v>
      </c>
      <c r="E31863" s="1">
        <v>4.73292765382014E-3</v>
      </c>
      <c r="F31863" s="1">
        <v>1.5991913327458401E-2</v>
      </c>
    </row>
    <row r="31864" spans="1:6" x14ac:dyDescent="0.25">
      <c r="A31864" s="2" t="str">
        <f t="shared" si="1154"/>
        <v>49700</v>
      </c>
      <c r="B31864" s="2" t="str">
        <f>"95977"</f>
        <v>95977</v>
      </c>
      <c r="C31864" s="1">
        <v>3.94080042035204E-3</v>
      </c>
      <c r="D31864" s="1">
        <v>0</v>
      </c>
      <c r="E31864" s="1">
        <v>3.3806626098715299E-4</v>
      </c>
      <c r="F31864" s="1">
        <v>3.5120004147011501E-3</v>
      </c>
    </row>
    <row r="31865" spans="1:6" x14ac:dyDescent="0.25">
      <c r="A31865" s="2" t="str">
        <f t="shared" si="1154"/>
        <v>49700</v>
      </c>
      <c r="B31865" s="2" t="str">
        <f>"95676"</f>
        <v>95676</v>
      </c>
      <c r="C31865" s="1">
        <v>0</v>
      </c>
      <c r="D31865" s="1">
        <v>0</v>
      </c>
      <c r="E31865" s="1">
        <v>3.3806626098715299E-4</v>
      </c>
      <c r="F31865" s="1">
        <v>1.2959411124358501E-5</v>
      </c>
    </row>
    <row r="31866" spans="1:6" x14ac:dyDescent="0.25">
      <c r="A31866" s="2" t="str">
        <f t="shared" si="1154"/>
        <v>49700</v>
      </c>
      <c r="B31866" s="2" t="str">
        <f>"95674"</f>
        <v>95674</v>
      </c>
      <c r="C31866" s="1">
        <v>5.0646583180079903E-3</v>
      </c>
      <c r="D31866" s="1">
        <v>1.5811665495432099E-3</v>
      </c>
      <c r="E31866" s="1">
        <v>3.3806626098715299E-4</v>
      </c>
      <c r="F31866" s="1">
        <v>4.6265097713959801E-3</v>
      </c>
    </row>
    <row r="31867" spans="1:6" x14ac:dyDescent="0.25">
      <c r="A31867" s="2" t="str">
        <f t="shared" ref="A31867:A31875" si="1155">"11820"</f>
        <v>11820</v>
      </c>
      <c r="B31867" s="2" t="str">
        <f>"97121"</f>
        <v>97121</v>
      </c>
      <c r="C31867" s="1">
        <v>2.5152928091713999E-2</v>
      </c>
      <c r="D31867" s="1">
        <v>2.6197604790419099E-3</v>
      </c>
      <c r="E31867" s="1">
        <v>9.0556274256144795E-3</v>
      </c>
      <c r="F31867" s="1">
        <v>2.2069215437579202E-2</v>
      </c>
    </row>
    <row r="31868" spans="1:6" x14ac:dyDescent="0.25">
      <c r="A31868" s="2" t="str">
        <f t="shared" si="1155"/>
        <v>11820</v>
      </c>
      <c r="B31868" s="2" t="str">
        <f>"97102"</f>
        <v>97102</v>
      </c>
      <c r="C31868" s="1">
        <v>8.4270864524960392E-3</v>
      </c>
      <c r="D31868" s="1">
        <v>2.2455089820359198E-3</v>
      </c>
      <c r="E31868" s="1">
        <v>3.23415265200517E-3</v>
      </c>
      <c r="F31868" s="1">
        <v>7.53759739083167E-3</v>
      </c>
    </row>
    <row r="31869" spans="1:6" x14ac:dyDescent="0.25">
      <c r="A31869" s="2" t="str">
        <f t="shared" si="1155"/>
        <v>11820</v>
      </c>
      <c r="B31869" s="2" t="str">
        <f>"97131"</f>
        <v>97131</v>
      </c>
      <c r="C31869" s="1">
        <v>2.4810711382983199E-3</v>
      </c>
      <c r="D31869" s="1">
        <v>7.4850299401197598E-4</v>
      </c>
      <c r="E31869" s="1">
        <v>0</v>
      </c>
      <c r="F31869" s="1">
        <v>2.1743069396629798E-3</v>
      </c>
    </row>
    <row r="31870" spans="1:6" x14ac:dyDescent="0.25">
      <c r="A31870" s="2" t="str">
        <f t="shared" si="1155"/>
        <v>11820</v>
      </c>
      <c r="B31870" s="2" t="str">
        <f>"97110"</f>
        <v>97110</v>
      </c>
      <c r="C31870" s="1">
        <v>7.8410403387945402E-2</v>
      </c>
      <c r="D31870" s="1">
        <v>1.8712574850299399E-3</v>
      </c>
      <c r="E31870" s="1">
        <v>1.48771021992238E-2</v>
      </c>
      <c r="F31870" s="1">
        <v>6.7439753578546799E-2</v>
      </c>
    </row>
    <row r="31871" spans="1:6" x14ac:dyDescent="0.25">
      <c r="A31871" s="2" t="str">
        <f t="shared" si="1155"/>
        <v>11820</v>
      </c>
      <c r="B31871" s="2" t="str">
        <f>"97138"</f>
        <v>97138</v>
      </c>
      <c r="C31871" s="1">
        <v>0.28690593318218699</v>
      </c>
      <c r="D31871" s="1">
        <v>0.26347305389221498</v>
      </c>
      <c r="E31871" s="1">
        <v>0.32794307891332403</v>
      </c>
      <c r="F31871" s="1">
        <v>0.28693603913752402</v>
      </c>
    </row>
    <row r="31872" spans="1:6" x14ac:dyDescent="0.25">
      <c r="A31872" s="2" t="str">
        <f t="shared" si="1155"/>
        <v>11820</v>
      </c>
      <c r="B31872" s="2" t="str">
        <f>"97016"</f>
        <v>97016</v>
      </c>
      <c r="C31872" s="1">
        <v>2.5666253154810199E-2</v>
      </c>
      <c r="D31872" s="1">
        <v>2.9940119760479E-3</v>
      </c>
      <c r="E31872" s="1">
        <v>9.0556274256144795E-3</v>
      </c>
      <c r="F31872" s="1">
        <v>2.2540315274506201E-2</v>
      </c>
    </row>
    <row r="31873" spans="1:6" x14ac:dyDescent="0.25">
      <c r="A31873" s="2" t="str">
        <f t="shared" si="1155"/>
        <v>11820</v>
      </c>
      <c r="B31873" s="2" t="str">
        <f>"97146"</f>
        <v>97146</v>
      </c>
      <c r="C31873" s="1">
        <v>0.171578902339906</v>
      </c>
      <c r="D31873" s="1">
        <v>0.16654191616766401</v>
      </c>
      <c r="E31873" s="1">
        <v>0.14941785252263901</v>
      </c>
      <c r="F31873" s="1">
        <v>0.16984961043667299</v>
      </c>
    </row>
    <row r="31874" spans="1:6" x14ac:dyDescent="0.25">
      <c r="A31874" s="2" t="str">
        <f t="shared" si="1155"/>
        <v>11820</v>
      </c>
      <c r="B31874" s="2" t="str">
        <f>"97103"</f>
        <v>97103</v>
      </c>
      <c r="C31874" s="1">
        <v>0.401377422252641</v>
      </c>
      <c r="D31874" s="1">
        <v>0.55950598802395202</v>
      </c>
      <c r="E31874" s="1">
        <v>0.48576972833117699</v>
      </c>
      <c r="F31874" s="1">
        <v>0.42141692335567998</v>
      </c>
    </row>
    <row r="31875" spans="1:6" x14ac:dyDescent="0.25">
      <c r="A31875" s="2" t="str">
        <f t="shared" si="1155"/>
        <v>11820</v>
      </c>
      <c r="B31875" s="2" t="str">
        <f>"97145"</f>
        <v>97145</v>
      </c>
      <c r="C31875" s="1">
        <v>0</v>
      </c>
      <c r="D31875" s="1">
        <v>0</v>
      </c>
      <c r="E31875" s="1">
        <v>6.4683053040103401E-4</v>
      </c>
      <c r="F31875" s="1">
        <v>3.6238448994383002E-5</v>
      </c>
    </row>
    <row r="31876" spans="1:6" x14ac:dyDescent="0.25">
      <c r="A31876" s="2" t="str">
        <f t="shared" ref="A31876:A31896" si="1156">"10540"</f>
        <v>10540</v>
      </c>
      <c r="B31876" s="2" t="str">
        <f>"97377"</f>
        <v>97377</v>
      </c>
      <c r="C31876" s="1">
        <v>7.2853365089928304E-3</v>
      </c>
      <c r="D31876" s="1">
        <v>5.2885720855368997E-3</v>
      </c>
      <c r="E31876" s="1">
        <v>0</v>
      </c>
      <c r="F31876" s="1">
        <v>6.9379691821414404E-3</v>
      </c>
    </row>
    <row r="31877" spans="1:6" x14ac:dyDescent="0.25">
      <c r="A31877" s="2" t="str">
        <f t="shared" si="1156"/>
        <v>10540</v>
      </c>
      <c r="B31877" s="2" t="str">
        <f>"97383"</f>
        <v>97383</v>
      </c>
      <c r="C31877" s="1">
        <v>5.2188227876919799E-3</v>
      </c>
      <c r="D31877" s="1">
        <v>2.2993791676247399E-3</v>
      </c>
      <c r="E31877" s="1">
        <v>0</v>
      </c>
      <c r="F31877" s="1">
        <v>4.8676412485183698E-3</v>
      </c>
    </row>
    <row r="31878" spans="1:6" x14ac:dyDescent="0.25">
      <c r="A31878" s="2" t="str">
        <f t="shared" si="1156"/>
        <v>10540</v>
      </c>
      <c r="B31878" s="2" t="str">
        <f>"97386"</f>
        <v>97386</v>
      </c>
      <c r="C31878" s="1">
        <v>0.108597047337174</v>
      </c>
      <c r="D31878" s="1">
        <v>7.4959760864566502E-2</v>
      </c>
      <c r="E31878" s="1">
        <v>7.4520547945205406E-2</v>
      </c>
      <c r="F31878" s="1">
        <v>0.105302252074278</v>
      </c>
    </row>
    <row r="31879" spans="1:6" x14ac:dyDescent="0.25">
      <c r="A31879" s="2" t="str">
        <f t="shared" si="1156"/>
        <v>10540</v>
      </c>
      <c r="B31879" s="2" t="str">
        <f>"97346"</f>
        <v>97346</v>
      </c>
      <c r="C31879" s="1">
        <v>2.24164200276702E-3</v>
      </c>
      <c r="D31879" s="1">
        <v>2.29937916762474E-4</v>
      </c>
      <c r="E31879" s="1">
        <v>5.4794520547945202E-4</v>
      </c>
      <c r="F31879" s="1">
        <v>2.0545239035954098E-3</v>
      </c>
    </row>
    <row r="31880" spans="1:6" x14ac:dyDescent="0.25">
      <c r="A31880" s="2" t="str">
        <f t="shared" si="1156"/>
        <v>10540</v>
      </c>
      <c r="B31880" s="2" t="str">
        <f>"97350"</f>
        <v>97350</v>
      </c>
      <c r="C31880" s="1">
        <v>4.3782070366543398E-4</v>
      </c>
      <c r="D31880" s="1">
        <v>6.8981375028742198E-4</v>
      </c>
      <c r="E31880" s="1">
        <v>0</v>
      </c>
      <c r="F31880" s="1">
        <v>4.4251284077439698E-4</v>
      </c>
    </row>
    <row r="31881" spans="1:6" x14ac:dyDescent="0.25">
      <c r="A31881" s="2" t="str">
        <f t="shared" si="1156"/>
        <v>10540</v>
      </c>
      <c r="B31881" s="2" t="str">
        <f>"97360"</f>
        <v>97360</v>
      </c>
      <c r="C31881" s="1">
        <v>1.41328523143202E-2</v>
      </c>
      <c r="D31881" s="1">
        <v>1.3796275005748401E-3</v>
      </c>
      <c r="E31881" s="1">
        <v>2.1917808219177998E-3</v>
      </c>
      <c r="F31881" s="1">
        <v>1.29118925325958E-2</v>
      </c>
    </row>
    <row r="31882" spans="1:6" x14ac:dyDescent="0.25">
      <c r="A31882" s="2" t="str">
        <f t="shared" si="1156"/>
        <v>10540</v>
      </c>
      <c r="B31882" s="2" t="str">
        <f>"97335"</f>
        <v>97335</v>
      </c>
      <c r="C31882" s="1">
        <v>1.8213341272482E-3</v>
      </c>
      <c r="D31882" s="1">
        <v>0</v>
      </c>
      <c r="E31882" s="1">
        <v>1.0958904109588999E-3</v>
      </c>
      <c r="F31882" s="1">
        <v>1.6752271829316399E-3</v>
      </c>
    </row>
    <row r="31883" spans="1:6" x14ac:dyDescent="0.25">
      <c r="A31883" s="2" t="str">
        <f t="shared" si="1156"/>
        <v>10540</v>
      </c>
      <c r="B31883" s="2" t="str">
        <f>"97322"</f>
        <v>97322</v>
      </c>
      <c r="C31883" s="1">
        <v>0.264163499763576</v>
      </c>
      <c r="D31883" s="1">
        <v>0.21453207633938801</v>
      </c>
      <c r="E31883" s="1">
        <v>0.42465753424657499</v>
      </c>
      <c r="F31883" s="1">
        <v>0.26538127222441699</v>
      </c>
    </row>
    <row r="31884" spans="1:6" x14ac:dyDescent="0.25">
      <c r="A31884" s="2" t="str">
        <f t="shared" si="1156"/>
        <v>10540</v>
      </c>
      <c r="B31884" s="2" t="str">
        <f>"97355"</f>
        <v>97355</v>
      </c>
      <c r="C31884" s="1">
        <v>0.25246493056163599</v>
      </c>
      <c r="D31884" s="1">
        <v>0.21683145550701299</v>
      </c>
      <c r="E31884" s="1">
        <v>0.18630136986301299</v>
      </c>
      <c r="F31884" s="1">
        <v>0.24810746740418799</v>
      </c>
    </row>
    <row r="31885" spans="1:6" x14ac:dyDescent="0.25">
      <c r="A31885" s="2" t="str">
        <f t="shared" si="1156"/>
        <v>10540</v>
      </c>
      <c r="B31885" s="2" t="str">
        <f>"97327"</f>
        <v>97327</v>
      </c>
      <c r="C31885" s="1">
        <v>2.3309574263147701E-2</v>
      </c>
      <c r="D31885" s="1">
        <v>5.7484479190618503E-3</v>
      </c>
      <c r="E31885" s="1">
        <v>1.2054794520547901E-2</v>
      </c>
      <c r="F31885" s="1">
        <v>2.1777953378111399E-2</v>
      </c>
    </row>
    <row r="31886" spans="1:6" x14ac:dyDescent="0.25">
      <c r="A31886" s="2" t="str">
        <f t="shared" si="1156"/>
        <v>10540</v>
      </c>
      <c r="B31886" s="2" t="str">
        <f>"97358"</f>
        <v>97358</v>
      </c>
      <c r="C31886" s="1">
        <v>1.49034167527714E-2</v>
      </c>
      <c r="D31886" s="1">
        <v>1.2876523338698501E-2</v>
      </c>
      <c r="E31886" s="1">
        <v>6.5753424657534199E-3</v>
      </c>
      <c r="F31886" s="1">
        <v>1.45239035954168E-2</v>
      </c>
    </row>
    <row r="31887" spans="1:6" x14ac:dyDescent="0.25">
      <c r="A31887" s="2" t="str">
        <f t="shared" si="1156"/>
        <v>10540</v>
      </c>
      <c r="B31887" s="2" t="str">
        <f>"97321"</f>
        <v>97321</v>
      </c>
      <c r="C31887" s="1">
        <v>0.163850020139752</v>
      </c>
      <c r="D31887" s="1">
        <v>0.36721085306967099</v>
      </c>
      <c r="E31887" s="1">
        <v>0.224657534246575</v>
      </c>
      <c r="F31887" s="1">
        <v>0.17958119320426699</v>
      </c>
    </row>
    <row r="31888" spans="1:6" x14ac:dyDescent="0.25">
      <c r="A31888" s="2" t="str">
        <f t="shared" si="1156"/>
        <v>10540</v>
      </c>
      <c r="B31888" s="2" t="str">
        <f>"97348"</f>
        <v>97348</v>
      </c>
      <c r="C31888" s="1">
        <v>1.82833925850685E-2</v>
      </c>
      <c r="D31888" s="1">
        <v>7.8178891699241197E-3</v>
      </c>
      <c r="E31888" s="1">
        <v>6.5753424657534199E-3</v>
      </c>
      <c r="F31888" s="1">
        <v>1.72263927301461E-2</v>
      </c>
    </row>
    <row r="31889" spans="1:6" x14ac:dyDescent="0.25">
      <c r="A31889" s="2" t="str">
        <f t="shared" si="1156"/>
        <v>10540</v>
      </c>
      <c r="B31889" s="2" t="str">
        <f>"97345"</f>
        <v>97345</v>
      </c>
      <c r="C31889" s="1">
        <v>4.8335405684663997E-3</v>
      </c>
      <c r="D31889" s="1">
        <v>1.3796275005748401E-3</v>
      </c>
      <c r="E31889" s="1">
        <v>5.4794520547945202E-4</v>
      </c>
      <c r="F31889" s="1">
        <v>4.4725404978269399E-3</v>
      </c>
    </row>
    <row r="31890" spans="1:6" x14ac:dyDescent="0.25">
      <c r="A31890" s="2" t="str">
        <f t="shared" si="1156"/>
        <v>10540</v>
      </c>
      <c r="B31890" s="2" t="str">
        <f>"97336"</f>
        <v>97336</v>
      </c>
      <c r="C31890" s="1">
        <v>5.4289767254513902E-4</v>
      </c>
      <c r="D31890" s="1">
        <v>0</v>
      </c>
      <c r="E31890" s="1">
        <v>5.4794520547945202E-4</v>
      </c>
      <c r="F31890" s="1">
        <v>5.0572896088502497E-4</v>
      </c>
    </row>
    <row r="31891" spans="1:6" x14ac:dyDescent="0.25">
      <c r="A31891" s="2" t="str">
        <f t="shared" si="1156"/>
        <v>10540</v>
      </c>
      <c r="B31891" s="2" t="str">
        <f>"97389"</f>
        <v>97389</v>
      </c>
      <c r="C31891" s="1">
        <v>1.40803138298803E-2</v>
      </c>
      <c r="D31891" s="1">
        <v>2.7362612094734399E-2</v>
      </c>
      <c r="E31891" s="1">
        <v>1.53424657534246E-2</v>
      </c>
      <c r="F31891" s="1">
        <v>1.5029632556301801E-2</v>
      </c>
    </row>
    <row r="31892" spans="1:6" x14ac:dyDescent="0.25">
      <c r="A31892" s="2" t="str">
        <f t="shared" si="1156"/>
        <v>10540</v>
      </c>
      <c r="B31892" s="2" t="str">
        <f>"97446"</f>
        <v>97446</v>
      </c>
      <c r="C31892" s="1">
        <v>3.6426682544964097E-2</v>
      </c>
      <c r="D31892" s="1">
        <v>1.2646585421936E-2</v>
      </c>
      <c r="E31892" s="1">
        <v>2.7945205479452E-2</v>
      </c>
      <c r="F31892" s="1">
        <v>3.4547609640458297E-2</v>
      </c>
    </row>
    <row r="31893" spans="1:6" x14ac:dyDescent="0.25">
      <c r="A31893" s="2" t="str">
        <f t="shared" si="1156"/>
        <v>10540</v>
      </c>
      <c r="B31893" s="2" t="str">
        <f>"97333"</f>
        <v>97333</v>
      </c>
      <c r="C31893" s="1">
        <v>1.24165951559517E-2</v>
      </c>
      <c r="D31893" s="1">
        <v>1.51759025063232E-2</v>
      </c>
      <c r="E31893" s="1">
        <v>7.1232876712328703E-3</v>
      </c>
      <c r="F31893" s="1">
        <v>1.2453575661793699E-2</v>
      </c>
    </row>
    <row r="31894" spans="1:6" x14ac:dyDescent="0.25">
      <c r="A31894" s="2" t="str">
        <f t="shared" si="1156"/>
        <v>10540</v>
      </c>
      <c r="B31894" s="2" t="str">
        <f>"97374"</f>
        <v>97374</v>
      </c>
      <c r="C31894" s="1">
        <v>5.3729356753822101E-2</v>
      </c>
      <c r="D31894" s="1">
        <v>3.3570935847321202E-2</v>
      </c>
      <c r="E31894" s="1">
        <v>7.67123287671232E-3</v>
      </c>
      <c r="F31894" s="1">
        <v>5.1015408929276897E-2</v>
      </c>
    </row>
    <row r="31895" spans="1:6" x14ac:dyDescent="0.25">
      <c r="A31895" s="2" t="str">
        <f t="shared" si="1156"/>
        <v>10540</v>
      </c>
      <c r="B31895" s="2" t="str">
        <f>"97352"</f>
        <v>97352</v>
      </c>
      <c r="C31895" s="1">
        <v>6.12948985131608E-4</v>
      </c>
      <c r="D31895" s="1">
        <v>0</v>
      </c>
      <c r="E31895" s="1">
        <v>1.0958904109588999E-3</v>
      </c>
      <c r="F31895" s="1">
        <v>5.8474911102330998E-4</v>
      </c>
    </row>
    <row r="31896" spans="1:6" x14ac:dyDescent="0.25">
      <c r="A31896" s="2" t="str">
        <f t="shared" si="1156"/>
        <v>10540</v>
      </c>
      <c r="B31896" s="2" t="str">
        <f>"97329"</f>
        <v>97329</v>
      </c>
      <c r="C31896" s="1">
        <v>6.4797464142484298E-4</v>
      </c>
      <c r="D31896" s="1">
        <v>0</v>
      </c>
      <c r="E31896" s="1">
        <v>5.4794520547945202E-4</v>
      </c>
      <c r="F31896" s="1">
        <v>6.00553141050967E-4</v>
      </c>
    </row>
    <row r="31897" spans="1:6" x14ac:dyDescent="0.25">
      <c r="A31897" s="2" t="str">
        <f t="shared" ref="A31897:A31904" si="1157">"36020"</f>
        <v>36020</v>
      </c>
      <c r="B31897" s="2" t="str">
        <f>"98253"</f>
        <v>98253</v>
      </c>
      <c r="C31897" s="1">
        <v>2.80536457007045E-2</v>
      </c>
      <c r="D31897" s="1">
        <v>8.6956521739130401E-3</v>
      </c>
      <c r="E31897" s="1">
        <v>4.1551246537396098E-3</v>
      </c>
      <c r="F31897" s="1">
        <v>2.6071050351400699E-2</v>
      </c>
    </row>
    <row r="31898" spans="1:6" x14ac:dyDescent="0.25">
      <c r="A31898" s="2" t="str">
        <f t="shared" si="1157"/>
        <v>36020</v>
      </c>
      <c r="B31898" s="2" t="str">
        <f>"98239"</f>
        <v>98239</v>
      </c>
      <c r="C31898" s="1">
        <v>8.0404889228418597E-2</v>
      </c>
      <c r="D31898" s="1">
        <v>4.9905482041587901E-2</v>
      </c>
      <c r="E31898" s="1">
        <v>4.1089566020313897E-2</v>
      </c>
      <c r="F31898" s="1">
        <v>7.7211899489746702E-2</v>
      </c>
    </row>
    <row r="31899" spans="1:6" x14ac:dyDescent="0.25">
      <c r="A31899" s="2" t="str">
        <f t="shared" si="1157"/>
        <v>36020</v>
      </c>
      <c r="B31899" s="2" t="str">
        <f>"98236"</f>
        <v>98236</v>
      </c>
      <c r="C31899" s="1">
        <v>8.9572192513368898E-2</v>
      </c>
      <c r="D31899" s="1">
        <v>0.102835538752362</v>
      </c>
      <c r="E31899" s="1">
        <v>9.6952908587257594E-3</v>
      </c>
      <c r="F31899" s="1">
        <v>8.6916337729854604E-2</v>
      </c>
    </row>
    <row r="31900" spans="1:6" x14ac:dyDescent="0.25">
      <c r="A31900" s="2" t="str">
        <f t="shared" si="1157"/>
        <v>36020</v>
      </c>
      <c r="B31900" s="2" t="str">
        <f>"98282"</f>
        <v>98282</v>
      </c>
      <c r="C31900" s="1">
        <v>0.18797215856039301</v>
      </c>
      <c r="D31900" s="1">
        <v>5.2930056710774998E-2</v>
      </c>
      <c r="E31900" s="1">
        <v>0.343951985226223</v>
      </c>
      <c r="F31900" s="1">
        <v>0.18759988447097301</v>
      </c>
    </row>
    <row r="31901" spans="1:6" x14ac:dyDescent="0.25">
      <c r="A31901" s="2" t="str">
        <f t="shared" si="1157"/>
        <v>36020</v>
      </c>
      <c r="B31901" s="2" t="str">
        <f>"98260"</f>
        <v>98260</v>
      </c>
      <c r="C31901" s="1">
        <v>9.3052372464137098E-2</v>
      </c>
      <c r="D31901" s="1">
        <v>9.9810964083175802E-2</v>
      </c>
      <c r="E31901" s="1">
        <v>3.1855955678670299E-2</v>
      </c>
      <c r="F31901" s="1">
        <v>9.0844324636564902E-2</v>
      </c>
    </row>
    <row r="31902" spans="1:6" x14ac:dyDescent="0.25">
      <c r="A31902" s="2" t="str">
        <f t="shared" si="1157"/>
        <v>36020</v>
      </c>
      <c r="B31902" s="2" t="str">
        <f>"98249"</f>
        <v>98249</v>
      </c>
      <c r="C31902" s="1">
        <v>8.7513793396146303E-2</v>
      </c>
      <c r="D31902" s="1">
        <v>0.15425330812854399</v>
      </c>
      <c r="E31902" s="1">
        <v>2.0313942751615799E-2</v>
      </c>
      <c r="F31902" s="1">
        <v>8.8110137672090097E-2</v>
      </c>
    </row>
    <row r="31903" spans="1:6" x14ac:dyDescent="0.25">
      <c r="A31903" s="2" t="str">
        <f t="shared" si="1157"/>
        <v>36020</v>
      </c>
      <c r="B31903" s="2" t="str">
        <f>"98278"</f>
        <v>98278</v>
      </c>
      <c r="C31903" s="1">
        <v>0</v>
      </c>
      <c r="D31903" s="1">
        <v>7.56143667296786E-4</v>
      </c>
      <c r="E31903" s="1">
        <v>2.3084025854108899E-2</v>
      </c>
      <c r="F31903" s="1">
        <v>1.0012515644555601E-3</v>
      </c>
    </row>
    <row r="31904" spans="1:6" x14ac:dyDescent="0.25">
      <c r="A31904" s="2" t="str">
        <f t="shared" si="1157"/>
        <v>36020</v>
      </c>
      <c r="B31904" s="2" t="str">
        <f>"98277"</f>
        <v>98277</v>
      </c>
      <c r="C31904" s="1">
        <v>0.43343094813682997</v>
      </c>
      <c r="D31904" s="1">
        <v>0.53081285444234405</v>
      </c>
      <c r="E31904" s="1">
        <v>0.52585410895660201</v>
      </c>
      <c r="F31904" s="1">
        <v>0.44224511408491302</v>
      </c>
    </row>
    <row r="31905" spans="1:6" x14ac:dyDescent="0.25">
      <c r="A31905" s="2" t="str">
        <f t="shared" ref="A31905:A31916" si="1158">"31020"</f>
        <v>31020</v>
      </c>
      <c r="B31905" s="2" t="str">
        <f>"98632"</f>
        <v>98632</v>
      </c>
      <c r="C31905" s="1">
        <v>0.45129586623316298</v>
      </c>
      <c r="D31905" s="1">
        <v>0.58042686100989005</v>
      </c>
      <c r="E31905" s="1">
        <v>0.57971721111652796</v>
      </c>
      <c r="F31905" s="1">
        <v>0.464014200073679</v>
      </c>
    </row>
    <row r="31906" spans="1:6" x14ac:dyDescent="0.25">
      <c r="A31906" s="2" t="str">
        <f t="shared" si="1158"/>
        <v>31020</v>
      </c>
      <c r="B31906" s="2" t="str">
        <f>"98581"</f>
        <v>98581</v>
      </c>
      <c r="C31906" s="1">
        <v>5.4435671156525698E-3</v>
      </c>
      <c r="D31906" s="1">
        <v>1.82196772514315E-3</v>
      </c>
      <c r="E31906" s="1">
        <v>9.7513408093612803E-4</v>
      </c>
      <c r="F31906" s="1">
        <v>5.0571017113768E-3</v>
      </c>
    </row>
    <row r="31907" spans="1:6" x14ac:dyDescent="0.25">
      <c r="A31907" s="2" t="str">
        <f t="shared" si="1158"/>
        <v>31020</v>
      </c>
      <c r="B31907" s="2" t="str">
        <f>"98603"</f>
        <v>98603</v>
      </c>
      <c r="C31907" s="1">
        <v>1.31165815141662E-2</v>
      </c>
      <c r="D31907" s="1">
        <v>3.38365434669442E-3</v>
      </c>
      <c r="E31907" s="1">
        <v>3.90053632374451E-3</v>
      </c>
      <c r="F31907" s="1">
        <v>1.21738839210958E-2</v>
      </c>
    </row>
    <row r="31908" spans="1:6" x14ac:dyDescent="0.25">
      <c r="A31908" s="2" t="str">
        <f t="shared" si="1158"/>
        <v>31020</v>
      </c>
      <c r="B31908" s="2" t="str">
        <f>"98649"</f>
        <v>98649</v>
      </c>
      <c r="C31908" s="1">
        <v>1.14259173246632E-2</v>
      </c>
      <c r="D31908" s="1">
        <v>2.0822488287350299E-3</v>
      </c>
      <c r="E31908" s="1">
        <v>2.9254022428083799E-3</v>
      </c>
      <c r="F31908" s="1">
        <v>1.05328376703841E-2</v>
      </c>
    </row>
    <row r="31909" spans="1:6" x14ac:dyDescent="0.25">
      <c r="A31909" s="2" t="str">
        <f t="shared" si="1158"/>
        <v>31020</v>
      </c>
      <c r="B31909" s="2" t="str">
        <f>"98625"</f>
        <v>98625</v>
      </c>
      <c r="C31909" s="1">
        <v>6.1625638643752902E-2</v>
      </c>
      <c r="D31909" s="1">
        <v>1.45757418011452E-2</v>
      </c>
      <c r="E31909" s="1">
        <v>3.0229156509019899E-2</v>
      </c>
      <c r="F31909" s="1">
        <v>5.7520345624434803E-2</v>
      </c>
    </row>
    <row r="31910" spans="1:6" x14ac:dyDescent="0.25">
      <c r="A31910" s="2" t="str">
        <f t="shared" si="1158"/>
        <v>31020</v>
      </c>
      <c r="B31910" s="2" t="str">
        <f>"98601"</f>
        <v>98601</v>
      </c>
      <c r="C31910" s="1">
        <v>1.6535067347886599E-3</v>
      </c>
      <c r="D31910" s="1">
        <v>5.2056220718375802E-4</v>
      </c>
      <c r="E31910" s="1">
        <v>0</v>
      </c>
      <c r="F31910" s="1">
        <v>1.5238286613751199E-3</v>
      </c>
    </row>
    <row r="31911" spans="1:6" x14ac:dyDescent="0.25">
      <c r="A31911" s="2" t="str">
        <f t="shared" si="1158"/>
        <v>31020</v>
      </c>
      <c r="B31911" s="2" t="str">
        <f>"98674"</f>
        <v>98674</v>
      </c>
      <c r="C31911" s="1">
        <v>0.120743149094287</v>
      </c>
      <c r="D31911" s="1">
        <v>0.15486725663716799</v>
      </c>
      <c r="E31911" s="1">
        <v>9.3125304729400199E-2</v>
      </c>
      <c r="F31911" s="1">
        <v>0.12199001975953599</v>
      </c>
    </row>
    <row r="31912" spans="1:6" x14ac:dyDescent="0.25">
      <c r="A31912" s="2" t="str">
        <f t="shared" si="1158"/>
        <v>31020</v>
      </c>
      <c r="B31912" s="2" t="str">
        <f>"98616"</f>
        <v>98616</v>
      </c>
      <c r="C31912" s="1">
        <v>2.9540176497909799E-3</v>
      </c>
      <c r="D31912" s="1">
        <v>1.04112441436751E-3</v>
      </c>
      <c r="E31912" s="1">
        <v>4.8756704046806402E-4</v>
      </c>
      <c r="F31912" s="1">
        <v>2.74624066445627E-3</v>
      </c>
    </row>
    <row r="31913" spans="1:6" x14ac:dyDescent="0.25">
      <c r="A31913" s="2" t="str">
        <f t="shared" si="1158"/>
        <v>31020</v>
      </c>
      <c r="B31913" s="2" t="str">
        <f>"98609"</f>
        <v>98609</v>
      </c>
      <c r="C31913" s="1">
        <v>2.9725963771481598E-4</v>
      </c>
      <c r="D31913" s="1">
        <v>0</v>
      </c>
      <c r="E31913" s="1">
        <v>4.8756704046806402E-4</v>
      </c>
      <c r="F31913" s="1">
        <v>2.8467128838875999E-4</v>
      </c>
    </row>
    <row r="31914" spans="1:6" x14ac:dyDescent="0.25">
      <c r="A31914" s="2" t="str">
        <f t="shared" si="1158"/>
        <v>31020</v>
      </c>
      <c r="B31914" s="2" t="str">
        <f>"98626"</f>
        <v>98626</v>
      </c>
      <c r="C31914" s="1">
        <v>0.22935438922433801</v>
      </c>
      <c r="D31914" s="1">
        <v>0.223321186881832</v>
      </c>
      <c r="E31914" s="1">
        <v>0.25109702584105298</v>
      </c>
      <c r="F31914" s="1">
        <v>0.22971298435982401</v>
      </c>
    </row>
    <row r="31915" spans="1:6" x14ac:dyDescent="0.25">
      <c r="A31915" s="2" t="str">
        <f t="shared" si="1158"/>
        <v>31020</v>
      </c>
      <c r="B31915" s="2" t="str">
        <f>"98645"</f>
        <v>98645</v>
      </c>
      <c r="C31915" s="1">
        <v>1.5643288434742199E-2</v>
      </c>
      <c r="D31915" s="1">
        <v>1.82196772514315E-3</v>
      </c>
      <c r="E31915" s="1">
        <v>2.43783520234032E-3</v>
      </c>
      <c r="F31915" s="1">
        <v>1.43005458990589E-2</v>
      </c>
    </row>
    <row r="31916" spans="1:6" x14ac:dyDescent="0.25">
      <c r="A31916" s="2" t="str">
        <f t="shared" si="1158"/>
        <v>31020</v>
      </c>
      <c r="B31916" s="2" t="str">
        <f>"98611"</f>
        <v>98611</v>
      </c>
      <c r="C31916" s="1">
        <v>8.6446818392939995E-2</v>
      </c>
      <c r="D31916" s="1">
        <v>1.6137428422696502E-2</v>
      </c>
      <c r="E31916" s="1">
        <v>3.4617259873232498E-2</v>
      </c>
      <c r="F31916" s="1">
        <v>8.0143340366388593E-2</v>
      </c>
    </row>
    <row r="31917" spans="1:6" x14ac:dyDescent="0.25">
      <c r="A31917" s="2" t="str">
        <f t="shared" ref="A31917:A31942" si="1159">"49420"</f>
        <v>49420</v>
      </c>
      <c r="B31917" s="2" t="str">
        <f>"98921"</f>
        <v>98921</v>
      </c>
      <c r="C31917" s="1">
        <v>1.00499482427665E-5</v>
      </c>
      <c r="D31917" s="1">
        <v>0</v>
      </c>
      <c r="E31917" s="1">
        <v>7.1552891123573704E-3</v>
      </c>
      <c r="F31917" s="1">
        <v>3.3430987005903201E-4</v>
      </c>
    </row>
    <row r="31918" spans="1:6" x14ac:dyDescent="0.25">
      <c r="A31918" s="2" t="str">
        <f t="shared" si="1159"/>
        <v>49420</v>
      </c>
      <c r="B31918" s="2" t="str">
        <f>"99322"</f>
        <v>99322</v>
      </c>
      <c r="C31918" s="1">
        <v>3.01498447282996E-5</v>
      </c>
      <c r="D31918" s="1">
        <v>0</v>
      </c>
      <c r="E31918" s="1">
        <v>0</v>
      </c>
      <c r="F31918" s="1">
        <v>2.63928844783446E-5</v>
      </c>
    </row>
    <row r="31919" spans="1:6" x14ac:dyDescent="0.25">
      <c r="A31919" s="2" t="str">
        <f t="shared" si="1159"/>
        <v>49420</v>
      </c>
      <c r="B31919" s="2" t="str">
        <f>"98909"</f>
        <v>98909</v>
      </c>
      <c r="C31919" s="1">
        <v>1.4200576867029101E-2</v>
      </c>
      <c r="D31919" s="1">
        <v>4.9816523963082303E-2</v>
      </c>
      <c r="E31919" s="1">
        <v>1.9338619222587501E-4</v>
      </c>
      <c r="F31919" s="1">
        <v>1.6381183632892499E-2</v>
      </c>
    </row>
    <row r="31920" spans="1:6" x14ac:dyDescent="0.25">
      <c r="A31920" s="2" t="str">
        <f t="shared" si="1159"/>
        <v>49420</v>
      </c>
      <c r="B31920" s="2" t="str">
        <f>"98903"</f>
        <v>98903</v>
      </c>
      <c r="C31920" s="1">
        <v>7.1435032109584601E-2</v>
      </c>
      <c r="D31920" s="1">
        <v>0.10741687979539601</v>
      </c>
      <c r="E31920" s="1">
        <v>3.8483852252949098E-2</v>
      </c>
      <c r="F31920" s="1">
        <v>7.2782777763114995E-2</v>
      </c>
    </row>
    <row r="31921" spans="1:6" x14ac:dyDescent="0.25">
      <c r="A31921" s="2" t="str">
        <f t="shared" si="1159"/>
        <v>49420</v>
      </c>
      <c r="B31921" s="2" t="str">
        <f>"98933"</f>
        <v>98933</v>
      </c>
      <c r="C31921" s="1">
        <v>2.8742851974312301E-3</v>
      </c>
      <c r="D31921" s="1">
        <v>6.6718558879128205E-4</v>
      </c>
      <c r="E31921" s="1">
        <v>0</v>
      </c>
      <c r="F31921" s="1">
        <v>2.5689074225588699E-3</v>
      </c>
    </row>
    <row r="31922" spans="1:6" x14ac:dyDescent="0.25">
      <c r="A31922" s="2" t="str">
        <f t="shared" si="1159"/>
        <v>49420</v>
      </c>
      <c r="B31922" s="2" t="str">
        <f>"98907"</f>
        <v>98907</v>
      </c>
      <c r="C31922" s="1">
        <v>1.66929640312352E-2</v>
      </c>
      <c r="D31922" s="1">
        <v>6.8608918047370099E-2</v>
      </c>
      <c r="E31922" s="1">
        <v>1.9338619222587501E-4</v>
      </c>
      <c r="F31922" s="1">
        <v>2.0049794575382401E-2</v>
      </c>
    </row>
    <row r="31923" spans="1:6" x14ac:dyDescent="0.25">
      <c r="A31923" s="2" t="str">
        <f t="shared" si="1159"/>
        <v>49420</v>
      </c>
      <c r="B31923" s="2" t="str">
        <f>"98951"</f>
        <v>98951</v>
      </c>
      <c r="C31923" s="1">
        <v>5.3877772529471402E-2</v>
      </c>
      <c r="D31923" s="1">
        <v>3.79183809629711E-2</v>
      </c>
      <c r="E31923" s="1">
        <v>3.42293560239798E-2</v>
      </c>
      <c r="F31923" s="1">
        <v>5.1721255949396E-2</v>
      </c>
    </row>
    <row r="31924" spans="1:6" x14ac:dyDescent="0.25">
      <c r="A31924" s="2" t="str">
        <f t="shared" si="1159"/>
        <v>49420</v>
      </c>
      <c r="B31924" s="2" t="str">
        <f>"98942"</f>
        <v>98942</v>
      </c>
      <c r="C31924" s="1">
        <v>8.0680984492929805E-2</v>
      </c>
      <c r="D31924" s="1">
        <v>5.1595685533192402E-2</v>
      </c>
      <c r="E31924" s="1">
        <v>4.2544962289692498E-2</v>
      </c>
      <c r="F31924" s="1">
        <v>7.6644936525112797E-2</v>
      </c>
    </row>
    <row r="31925" spans="1:6" x14ac:dyDescent="0.25">
      <c r="A31925" s="2" t="str">
        <f t="shared" si="1159"/>
        <v>49420</v>
      </c>
      <c r="B31925" s="2" t="str">
        <f>"99350"</f>
        <v>99350</v>
      </c>
      <c r="C31925" s="1">
        <v>4.4219772268172801E-4</v>
      </c>
      <c r="D31925" s="1">
        <v>1.1119759813188E-4</v>
      </c>
      <c r="E31925" s="1">
        <v>0</v>
      </c>
      <c r="F31925" s="1">
        <v>3.95893267175169E-4</v>
      </c>
    </row>
    <row r="31926" spans="1:6" x14ac:dyDescent="0.25">
      <c r="A31926" s="2" t="str">
        <f t="shared" si="1159"/>
        <v>49420</v>
      </c>
      <c r="B31926" s="2" t="str">
        <f>"98923"</f>
        <v>98923</v>
      </c>
      <c r="C31926" s="1">
        <v>8.6329055405364608E-3</v>
      </c>
      <c r="D31926" s="1">
        <v>3.5583231402201701E-3</v>
      </c>
      <c r="E31926" s="1">
        <v>7.7354476890350004E-4</v>
      </c>
      <c r="F31926" s="1">
        <v>7.8738772027061501E-3</v>
      </c>
    </row>
    <row r="31927" spans="1:6" x14ac:dyDescent="0.25">
      <c r="A31927" s="2" t="str">
        <f t="shared" si="1159"/>
        <v>49420</v>
      </c>
      <c r="B31927" s="2" t="str">
        <f>"98952"</f>
        <v>98952</v>
      </c>
      <c r="C31927" s="1">
        <v>3.2461332824135899E-3</v>
      </c>
      <c r="D31927" s="1">
        <v>1.2231735794506801E-3</v>
      </c>
      <c r="E31927" s="1">
        <v>0</v>
      </c>
      <c r="F31927" s="1">
        <v>2.9384078052556999E-3</v>
      </c>
    </row>
    <row r="31928" spans="1:6" x14ac:dyDescent="0.25">
      <c r="A31928" s="2" t="str">
        <f t="shared" si="1159"/>
        <v>49420</v>
      </c>
      <c r="B31928" s="2" t="str">
        <f>"98948"</f>
        <v>98948</v>
      </c>
      <c r="C31928" s="1">
        <v>3.8702350682893898E-2</v>
      </c>
      <c r="D31928" s="1">
        <v>4.2366284888246397E-2</v>
      </c>
      <c r="E31928" s="1">
        <v>3.3262425062850501E-2</v>
      </c>
      <c r="F31928" s="1">
        <v>3.8744754414209902E-2</v>
      </c>
    </row>
    <row r="31929" spans="1:6" x14ac:dyDescent="0.25">
      <c r="A31929" s="2" t="str">
        <f t="shared" si="1159"/>
        <v>49420</v>
      </c>
      <c r="B31929" s="2" t="str">
        <f>"98936"</f>
        <v>98936</v>
      </c>
      <c r="C31929" s="1">
        <v>3.0200094469513401E-2</v>
      </c>
      <c r="D31929" s="1">
        <v>1.64572445235182E-2</v>
      </c>
      <c r="E31929" s="1">
        <v>3.4809514600657502E-3</v>
      </c>
      <c r="F31929" s="1">
        <v>2.7897278893610201E-2</v>
      </c>
    </row>
    <row r="31930" spans="1:6" x14ac:dyDescent="0.25">
      <c r="A31930" s="2" t="str">
        <f t="shared" si="1159"/>
        <v>49420</v>
      </c>
      <c r="B31930" s="2" t="str">
        <f>"98947"</f>
        <v>98947</v>
      </c>
      <c r="C31930" s="1">
        <v>8.7434549712068904E-3</v>
      </c>
      <c r="D31930" s="1">
        <v>4.4479039252752099E-4</v>
      </c>
      <c r="E31930" s="1">
        <v>2.3786501643782602E-2</v>
      </c>
      <c r="F31930" s="1">
        <v>8.7712352749698599E-3</v>
      </c>
    </row>
    <row r="31931" spans="1:6" x14ac:dyDescent="0.25">
      <c r="A31931" s="2" t="str">
        <f t="shared" si="1159"/>
        <v>49420</v>
      </c>
      <c r="B31931" s="2" t="str">
        <f>"98930"</f>
        <v>98930</v>
      </c>
      <c r="C31931" s="1">
        <v>4.5486065746761402E-2</v>
      </c>
      <c r="D31931" s="1">
        <v>3.3804069832091603E-2</v>
      </c>
      <c r="E31931" s="1">
        <v>2.7074066911622501E-2</v>
      </c>
      <c r="F31931" s="1">
        <v>4.3724211952457598E-2</v>
      </c>
    </row>
    <row r="31932" spans="1:6" x14ac:dyDescent="0.25">
      <c r="A31932" s="2" t="str">
        <f t="shared" si="1159"/>
        <v>49420</v>
      </c>
      <c r="B31932" s="2" t="str">
        <f>"98944"</f>
        <v>98944</v>
      </c>
      <c r="C31932" s="1">
        <v>8.0188537029034307E-2</v>
      </c>
      <c r="D31932" s="1">
        <v>0.104525742243967</v>
      </c>
      <c r="E31932" s="1">
        <v>5.1053954747630997E-2</v>
      </c>
      <c r="F31932" s="1">
        <v>8.0788619388212898E-2</v>
      </c>
    </row>
    <row r="31933" spans="1:6" x14ac:dyDescent="0.25">
      <c r="A31933" s="2" t="str">
        <f t="shared" si="1159"/>
        <v>49420</v>
      </c>
      <c r="B31933" s="2" t="str">
        <f>"98937"</f>
        <v>98937</v>
      </c>
      <c r="C31933" s="1">
        <v>2.7446408650995398E-2</v>
      </c>
      <c r="D31933" s="1">
        <v>1.9348382074947101E-2</v>
      </c>
      <c r="E31933" s="1">
        <v>6.1883581512280003E-3</v>
      </c>
      <c r="F31933" s="1">
        <v>2.5838633904299399E-2</v>
      </c>
    </row>
    <row r="31934" spans="1:6" x14ac:dyDescent="0.25">
      <c r="A31934" s="2" t="str">
        <f t="shared" si="1159"/>
        <v>49420</v>
      </c>
      <c r="B31934" s="2" t="str">
        <f>"98938"</f>
        <v>98938</v>
      </c>
      <c r="C31934" s="1">
        <v>5.9797192044460899E-3</v>
      </c>
      <c r="D31934" s="1">
        <v>5.5598799065940095E-4</v>
      </c>
      <c r="E31934" s="1">
        <v>0</v>
      </c>
      <c r="F31934" s="1">
        <v>5.2785768956689202E-3</v>
      </c>
    </row>
    <row r="31935" spans="1:6" x14ac:dyDescent="0.25">
      <c r="A31935" s="2" t="str">
        <f t="shared" si="1159"/>
        <v>49420</v>
      </c>
      <c r="B31935" s="2" t="str">
        <f>"98902"</f>
        <v>98902</v>
      </c>
      <c r="C31935" s="1">
        <v>0.18167291438448999</v>
      </c>
      <c r="D31935" s="1">
        <v>0.21716890915156201</v>
      </c>
      <c r="E31935" s="1">
        <v>0.30245600464126798</v>
      </c>
      <c r="F31935" s="1">
        <v>0.18997598247512401</v>
      </c>
    </row>
    <row r="31936" spans="1:6" x14ac:dyDescent="0.25">
      <c r="A31936" s="2" t="str">
        <f t="shared" si="1159"/>
        <v>49420</v>
      </c>
      <c r="B31936" s="2" t="str">
        <f>"98920"</f>
        <v>98920</v>
      </c>
      <c r="C31936" s="1">
        <v>0</v>
      </c>
      <c r="D31936" s="1">
        <v>1.1119759813188E-4</v>
      </c>
      <c r="E31936" s="1">
        <v>0</v>
      </c>
      <c r="F31936" s="1">
        <v>8.7976281594482096E-6</v>
      </c>
    </row>
    <row r="31937" spans="1:6" x14ac:dyDescent="0.25">
      <c r="A31937" s="2" t="str">
        <f t="shared" si="1159"/>
        <v>49420</v>
      </c>
      <c r="B31937" s="2" t="str">
        <f>"98908"</f>
        <v>98908</v>
      </c>
      <c r="C31937" s="1">
        <v>0.160387124006311</v>
      </c>
      <c r="D31937" s="1">
        <v>6.6829756477259999E-2</v>
      </c>
      <c r="E31937" s="1">
        <v>0.157803132856314</v>
      </c>
      <c r="F31937" s="1">
        <v>0.15286758689857199</v>
      </c>
    </row>
    <row r="31938" spans="1:6" x14ac:dyDescent="0.25">
      <c r="A31938" s="2" t="str">
        <f t="shared" si="1159"/>
        <v>49420</v>
      </c>
      <c r="B31938" s="2" t="str">
        <f>"98939"</f>
        <v>98939</v>
      </c>
      <c r="C31938" s="1">
        <v>0</v>
      </c>
      <c r="D31938" s="1">
        <v>1.1119759813188E-4</v>
      </c>
      <c r="E31938" s="1">
        <v>1.16031715335525E-2</v>
      </c>
      <c r="F31938" s="1">
        <v>5.3665531772633995E-4</v>
      </c>
    </row>
    <row r="31939" spans="1:6" x14ac:dyDescent="0.25">
      <c r="A31939" s="2" t="str">
        <f t="shared" si="1159"/>
        <v>49420</v>
      </c>
      <c r="B31939" s="2" t="str">
        <f>"98935"</f>
        <v>98935</v>
      </c>
      <c r="C31939" s="1">
        <v>6.2410178587580202E-3</v>
      </c>
      <c r="D31939" s="1">
        <v>1.00077838318692E-3</v>
      </c>
      <c r="E31939" s="1">
        <v>4.2351576097466599E-2</v>
      </c>
      <c r="F31939" s="1">
        <v>7.4691863073715302E-3</v>
      </c>
    </row>
    <row r="31940" spans="1:6" x14ac:dyDescent="0.25">
      <c r="A31940" s="2" t="str">
        <f t="shared" si="1159"/>
        <v>49420</v>
      </c>
      <c r="B31940" s="2" t="str">
        <f>"98932"</f>
        <v>98932</v>
      </c>
      <c r="C31940" s="1">
        <v>2.2441534426097701E-2</v>
      </c>
      <c r="D31940" s="1">
        <v>7.7838318692316196E-3</v>
      </c>
      <c r="E31940" s="1">
        <v>1.2956874879133599E-2</v>
      </c>
      <c r="F31940" s="1">
        <v>2.0850378737892201E-2</v>
      </c>
    </row>
    <row r="31941" spans="1:6" x14ac:dyDescent="0.25">
      <c r="A31941" s="2" t="str">
        <f t="shared" si="1159"/>
        <v>49420</v>
      </c>
      <c r="B31941" s="2" t="str">
        <f>"98953"</f>
        <v>98953</v>
      </c>
      <c r="C31941" s="1">
        <v>2.21500859270574E-2</v>
      </c>
      <c r="D31941" s="1">
        <v>8.7846102524185392E-3</v>
      </c>
      <c r="E31941" s="1">
        <v>2.2819570682653199E-2</v>
      </c>
      <c r="F31941" s="1">
        <v>2.1123105210835099E-2</v>
      </c>
    </row>
    <row r="31942" spans="1:6" x14ac:dyDescent="0.25">
      <c r="A31942" s="2" t="str">
        <f t="shared" si="1159"/>
        <v>49420</v>
      </c>
      <c r="B31942" s="2" t="str">
        <f>"98901"</f>
        <v>98901</v>
      </c>
      <c r="C31942" s="1">
        <v>0.118237641076148</v>
      </c>
      <c r="D31942" s="1">
        <v>0.15979094851551201</v>
      </c>
      <c r="E31942" s="1">
        <v>0.18158963450009599</v>
      </c>
      <c r="F31942" s="1">
        <v>0.12440725980275701</v>
      </c>
    </row>
    <row r="31943" spans="1:6" x14ac:dyDescent="0.25">
      <c r="A31943" s="2" t="str">
        <f t="shared" ref="A31943:A31953" si="1160">"36830"</f>
        <v>36830</v>
      </c>
      <c r="B31943" s="2" t="str">
        <f>"99344"</f>
        <v>99344</v>
      </c>
      <c r="C31943" s="1">
        <v>0.75339684522879902</v>
      </c>
      <c r="D31943" s="1">
        <v>0.612540192926045</v>
      </c>
      <c r="E31943" s="1">
        <v>0.363228699551569</v>
      </c>
      <c r="F31943" s="1">
        <v>0.71837772721188498</v>
      </c>
    </row>
    <row r="31944" spans="1:6" x14ac:dyDescent="0.25">
      <c r="A31944" s="2" t="str">
        <f t="shared" si="1160"/>
        <v>36830</v>
      </c>
      <c r="B31944" s="2" t="str">
        <f>"99341"</f>
        <v>99341</v>
      </c>
      <c r="C31944" s="1">
        <v>1.3587380915196E-2</v>
      </c>
      <c r="D31944" s="1">
        <v>1.12540192926045E-2</v>
      </c>
      <c r="E31944" s="1">
        <v>0.412556053811659</v>
      </c>
      <c r="F31944" s="1">
        <v>3.7210547450140498E-2</v>
      </c>
    </row>
    <row r="31945" spans="1:6" x14ac:dyDescent="0.25">
      <c r="A31945" s="2" t="str">
        <f t="shared" si="1160"/>
        <v>36830</v>
      </c>
      <c r="B31945" s="2" t="str">
        <f>"99017"</f>
        <v>99017</v>
      </c>
      <c r="C31945" s="1">
        <v>3.1235358425737899E-4</v>
      </c>
      <c r="D31945" s="1">
        <v>0</v>
      </c>
      <c r="E31945" s="1">
        <v>0</v>
      </c>
      <c r="F31945" s="1">
        <v>2.6770178021683799E-4</v>
      </c>
    </row>
    <row r="31946" spans="1:6" x14ac:dyDescent="0.25">
      <c r="A31946" s="2" t="str">
        <f t="shared" si="1160"/>
        <v>36830</v>
      </c>
      <c r="B31946" s="2" t="str">
        <f>"99326"</f>
        <v>99326</v>
      </c>
      <c r="C31946" s="1">
        <v>6.2470716851475798E-4</v>
      </c>
      <c r="D31946" s="1">
        <v>3.2154340836012801E-3</v>
      </c>
      <c r="E31946" s="1">
        <v>4.4843049327354199E-3</v>
      </c>
      <c r="F31946" s="1">
        <v>1.07080712086735E-3</v>
      </c>
    </row>
    <row r="31947" spans="1:6" x14ac:dyDescent="0.25">
      <c r="A31947" s="2" t="str">
        <f t="shared" si="1160"/>
        <v>36830</v>
      </c>
      <c r="B31947" s="2" t="str">
        <f>"98857"</f>
        <v>98857</v>
      </c>
      <c r="C31947" s="1">
        <v>2.8111822583164101E-3</v>
      </c>
      <c r="D31947" s="1">
        <v>0</v>
      </c>
      <c r="E31947" s="1">
        <v>0</v>
      </c>
      <c r="F31947" s="1">
        <v>2.4093160219515399E-3</v>
      </c>
    </row>
    <row r="31948" spans="1:6" x14ac:dyDescent="0.25">
      <c r="A31948" s="2" t="str">
        <f t="shared" si="1160"/>
        <v>36830</v>
      </c>
      <c r="B31948" s="2" t="str">
        <f>"99169"</f>
        <v>99169</v>
      </c>
      <c r="C31948" s="1">
        <v>0.183195377166952</v>
      </c>
      <c r="D31948" s="1">
        <v>0.28295819935691302</v>
      </c>
      <c r="E31948" s="1">
        <v>0.21076233183856499</v>
      </c>
      <c r="F31948" s="1">
        <v>0.19314683442644801</v>
      </c>
    </row>
    <row r="31949" spans="1:6" x14ac:dyDescent="0.25">
      <c r="A31949" s="2" t="str">
        <f t="shared" si="1160"/>
        <v>36830</v>
      </c>
      <c r="B31949" s="2" t="str">
        <f>"99032"</f>
        <v>99032</v>
      </c>
      <c r="C31949" s="1">
        <v>2.9673590504451001E-3</v>
      </c>
      <c r="D31949" s="1">
        <v>4.8231511254019201E-3</v>
      </c>
      <c r="E31949" s="1">
        <v>0</v>
      </c>
      <c r="F31949" s="1">
        <v>2.9447195823852201E-3</v>
      </c>
    </row>
    <row r="31950" spans="1:6" x14ac:dyDescent="0.25">
      <c r="A31950" s="2" t="str">
        <f t="shared" si="1160"/>
        <v>36830</v>
      </c>
      <c r="B31950" s="2" t="str">
        <f>"99371"</f>
        <v>99371</v>
      </c>
      <c r="C31950" s="1">
        <v>3.1860065594252598E-2</v>
      </c>
      <c r="D31950" s="1">
        <v>8.0385852090032101E-2</v>
      </c>
      <c r="E31950" s="1">
        <v>2.2421524663677099E-3</v>
      </c>
      <c r="F31950" s="1">
        <v>3.4131976977646902E-2</v>
      </c>
    </row>
    <row r="31951" spans="1:6" x14ac:dyDescent="0.25">
      <c r="A31951" s="2" t="str">
        <f t="shared" si="1160"/>
        <v>36830</v>
      </c>
      <c r="B31951" s="2" t="str">
        <f>"99125"</f>
        <v>99125</v>
      </c>
      <c r="C31951" s="1">
        <v>1.2494143370295099E-3</v>
      </c>
      <c r="D31951" s="1">
        <v>0</v>
      </c>
      <c r="E31951" s="1">
        <v>0</v>
      </c>
      <c r="F31951" s="1">
        <v>1.07080712086735E-3</v>
      </c>
    </row>
    <row r="31952" spans="1:6" x14ac:dyDescent="0.25">
      <c r="A31952" s="2" t="str">
        <f t="shared" si="1160"/>
        <v>36830</v>
      </c>
      <c r="B31952" s="2" t="str">
        <f>"99159"</f>
        <v>99159</v>
      </c>
      <c r="C31952" s="1">
        <v>4.9976573481180604E-3</v>
      </c>
      <c r="D31952" s="1">
        <v>0</v>
      </c>
      <c r="E31952" s="1">
        <v>2.2421524663677099E-3</v>
      </c>
      <c r="F31952" s="1">
        <v>4.4170793735778301E-3</v>
      </c>
    </row>
    <row r="31953" spans="1:6" x14ac:dyDescent="0.25">
      <c r="A31953" s="2" t="str">
        <f t="shared" si="1160"/>
        <v>36830</v>
      </c>
      <c r="B31953" s="2" t="str">
        <f>"99105"</f>
        <v>99105</v>
      </c>
      <c r="C31953" s="1">
        <v>4.9976573481180604E-3</v>
      </c>
      <c r="D31953" s="1">
        <v>4.8231511254019201E-3</v>
      </c>
      <c r="E31953" s="1">
        <v>4.4843049327354199E-3</v>
      </c>
      <c r="F31953" s="1">
        <v>4.9524829340115099E-3</v>
      </c>
    </row>
    <row r="31954" spans="1:6" x14ac:dyDescent="0.25">
      <c r="A31954" s="2" t="str">
        <f t="shared" ref="A31954:A32017" si="1161">"99999"</f>
        <v>99999</v>
      </c>
      <c r="B31954" s="2" t="str">
        <f>"99682"</f>
        <v>99682</v>
      </c>
      <c r="C31954" s="1">
        <v>0</v>
      </c>
      <c r="D31954" s="1">
        <v>0</v>
      </c>
      <c r="E31954" s="1">
        <v>4.3455399550671099E-6</v>
      </c>
      <c r="F31954" s="1">
        <v>9.9485134582992598E-8</v>
      </c>
    </row>
    <row r="31955" spans="1:6" x14ac:dyDescent="0.25">
      <c r="A31955" s="2" t="str">
        <f t="shared" si="1161"/>
        <v>99999</v>
      </c>
      <c r="B31955" s="2" t="str">
        <f>"99664"</f>
        <v>99664</v>
      </c>
      <c r="C31955" s="1">
        <v>3.3723691428005097E-5</v>
      </c>
      <c r="D31955" s="1">
        <v>5.9186504262945899E-5</v>
      </c>
      <c r="E31955" s="1">
        <v>5.21464794608054E-5</v>
      </c>
      <c r="F31955" s="1">
        <v>3.5814648449877303E-5</v>
      </c>
    </row>
    <row r="31956" spans="1:6" x14ac:dyDescent="0.25">
      <c r="A31956" s="2" t="str">
        <f t="shared" si="1161"/>
        <v>99999</v>
      </c>
      <c r="B31956" s="2" t="str">
        <f>"99661"</f>
        <v>99661</v>
      </c>
      <c r="C31956" s="1">
        <v>0</v>
      </c>
      <c r="D31956" s="1">
        <v>0</v>
      </c>
      <c r="E31956" s="1">
        <v>4.3455399550671099E-6</v>
      </c>
      <c r="F31956" s="1">
        <v>9.9485134582992598E-8</v>
      </c>
    </row>
    <row r="31957" spans="1:6" x14ac:dyDescent="0.25">
      <c r="A31957" s="2" t="str">
        <f t="shared" si="1161"/>
        <v>99999</v>
      </c>
      <c r="B31957" s="2" t="str">
        <f>"99690"</f>
        <v>99690</v>
      </c>
      <c r="C31957" s="1">
        <v>0</v>
      </c>
      <c r="D31957" s="1">
        <v>0</v>
      </c>
      <c r="E31957" s="1">
        <v>4.3455399550671099E-6</v>
      </c>
      <c r="F31957" s="1">
        <v>9.9485134582992598E-8</v>
      </c>
    </row>
    <row r="31958" spans="1:6" x14ac:dyDescent="0.25">
      <c r="A31958" s="2" t="str">
        <f t="shared" si="1161"/>
        <v>99999</v>
      </c>
      <c r="B31958" s="2" t="str">
        <f>"99572"</f>
        <v>99572</v>
      </c>
      <c r="C31958" s="1">
        <v>1.20051975957299E-6</v>
      </c>
      <c r="D31958" s="1">
        <v>9.1056160404532095E-6</v>
      </c>
      <c r="E31958" s="1">
        <v>0</v>
      </c>
      <c r="F31958" s="1">
        <v>1.6912472879108699E-6</v>
      </c>
    </row>
    <row r="31959" spans="1:6" x14ac:dyDescent="0.25">
      <c r="A31959" s="2" t="str">
        <f t="shared" si="1161"/>
        <v>99999</v>
      </c>
      <c r="B31959" s="2" t="str">
        <f>"99569"</f>
        <v>99569</v>
      </c>
      <c r="C31959" s="1">
        <v>0</v>
      </c>
      <c r="D31959" s="1">
        <v>0</v>
      </c>
      <c r="E31959" s="1">
        <v>4.3455399550671099E-6</v>
      </c>
      <c r="F31959" s="1">
        <v>9.9485134582992598E-8</v>
      </c>
    </row>
    <row r="31960" spans="1:6" x14ac:dyDescent="0.25">
      <c r="A31960" s="2" t="str">
        <f t="shared" si="1161"/>
        <v>99999</v>
      </c>
      <c r="B31960" s="2" t="str">
        <f>"99633"</f>
        <v>99633</v>
      </c>
      <c r="C31960" s="1">
        <v>0</v>
      </c>
      <c r="D31960" s="1">
        <v>0</v>
      </c>
      <c r="E31960" s="1">
        <v>4.3455399550671099E-6</v>
      </c>
      <c r="F31960" s="1">
        <v>9.9485134582992598E-8</v>
      </c>
    </row>
    <row r="31961" spans="1:6" x14ac:dyDescent="0.25">
      <c r="A31961" s="2" t="str">
        <f t="shared" si="1161"/>
        <v>99999</v>
      </c>
      <c r="B31961" s="2" t="str">
        <f>"99628"</f>
        <v>99628</v>
      </c>
      <c r="C31961" s="1">
        <v>0</v>
      </c>
      <c r="D31961" s="1">
        <v>0</v>
      </c>
      <c r="E31961" s="1">
        <v>4.3455399550671099E-6</v>
      </c>
      <c r="F31961" s="1">
        <v>9.9485134582992598E-8</v>
      </c>
    </row>
    <row r="31962" spans="1:6" x14ac:dyDescent="0.25">
      <c r="A31962" s="2" t="str">
        <f t="shared" si="1161"/>
        <v>99999</v>
      </c>
      <c r="B31962" s="2" t="str">
        <f>"99621"</f>
        <v>99621</v>
      </c>
      <c r="C31962" s="1">
        <v>0</v>
      </c>
      <c r="D31962" s="1">
        <v>0</v>
      </c>
      <c r="E31962" s="1">
        <v>4.3455399550671099E-6</v>
      </c>
      <c r="F31962" s="1">
        <v>9.9485134582992598E-8</v>
      </c>
    </row>
    <row r="31963" spans="1:6" x14ac:dyDescent="0.25">
      <c r="A31963" s="2" t="str">
        <f t="shared" si="1161"/>
        <v>99999</v>
      </c>
      <c r="B31963" s="2" t="str">
        <f>"99578"</f>
        <v>99578</v>
      </c>
      <c r="C31963" s="1">
        <v>0</v>
      </c>
      <c r="D31963" s="1">
        <v>0</v>
      </c>
      <c r="E31963" s="1">
        <v>4.3455399550671099E-6</v>
      </c>
      <c r="F31963" s="1">
        <v>9.9485134582992598E-8</v>
      </c>
    </row>
    <row r="31964" spans="1:6" x14ac:dyDescent="0.25">
      <c r="A31964" s="2" t="str">
        <f t="shared" si="1161"/>
        <v>99999</v>
      </c>
      <c r="B31964" s="2" t="str">
        <f>"99615"</f>
        <v>99615</v>
      </c>
      <c r="C31964" s="1">
        <v>5.0116243054174601E-4</v>
      </c>
      <c r="D31964" s="1">
        <v>8.1798784096737999E-4</v>
      </c>
      <c r="E31964" s="1">
        <v>1.57743100368936E-3</v>
      </c>
      <c r="F31964" s="1">
        <v>5.4657132939896105E-4</v>
      </c>
    </row>
    <row r="31965" spans="1:6" x14ac:dyDescent="0.25">
      <c r="A31965" s="2" t="str">
        <f t="shared" si="1161"/>
        <v>99999</v>
      </c>
      <c r="B31965" s="2" t="str">
        <f>"99603"</f>
        <v>99603</v>
      </c>
      <c r="C31965" s="1">
        <v>3.8067390194460098E-4</v>
      </c>
      <c r="D31965" s="1">
        <v>9.37878452166681E-4</v>
      </c>
      <c r="E31965" s="1">
        <v>1.22109672737385E-3</v>
      </c>
      <c r="F31965" s="1">
        <v>4.3644128541558801E-4</v>
      </c>
    </row>
    <row r="31966" spans="1:6" x14ac:dyDescent="0.25">
      <c r="A31966" s="2" t="str">
        <f t="shared" si="1161"/>
        <v>99999</v>
      </c>
      <c r="B31966" s="2" t="str">
        <f>"99574"</f>
        <v>99574</v>
      </c>
      <c r="C31966" s="1">
        <v>2.1827631992236301E-7</v>
      </c>
      <c r="D31966" s="1">
        <v>0</v>
      </c>
      <c r="E31966" s="1">
        <v>1.3036619865201299E-5</v>
      </c>
      <c r="F31966" s="1">
        <v>4.9742567291496303E-7</v>
      </c>
    </row>
    <row r="31967" spans="1:6" x14ac:dyDescent="0.25">
      <c r="A31967" s="2" t="str">
        <f t="shared" si="1161"/>
        <v>99999</v>
      </c>
      <c r="B31967" s="2" t="str">
        <f>"99573"</f>
        <v>99573</v>
      </c>
      <c r="C31967" s="1">
        <v>4.3000435024705598E-5</v>
      </c>
      <c r="D31967" s="1">
        <v>1.21408213872709E-5</v>
      </c>
      <c r="E31967" s="1">
        <v>4.3455399550671099E-6</v>
      </c>
      <c r="F31967" s="1">
        <v>4.0092509236946002E-5</v>
      </c>
    </row>
    <row r="31968" spans="1:6" x14ac:dyDescent="0.25">
      <c r="A31968" s="2" t="str">
        <f t="shared" si="1161"/>
        <v>99999</v>
      </c>
      <c r="B31968" s="2" t="str">
        <f>"99554"</f>
        <v>99554</v>
      </c>
      <c r="C31968" s="1">
        <v>0</v>
      </c>
      <c r="D31968" s="1">
        <v>0</v>
      </c>
      <c r="E31968" s="1">
        <v>4.3455399550671099E-6</v>
      </c>
      <c r="F31968" s="1">
        <v>9.9485134582992598E-8</v>
      </c>
    </row>
    <row r="31969" spans="1:6" x14ac:dyDescent="0.25">
      <c r="A31969" s="2" t="str">
        <f t="shared" si="1161"/>
        <v>99999</v>
      </c>
      <c r="B31969" s="2" t="str">
        <f>"99547"</f>
        <v>99547</v>
      </c>
      <c r="C31969" s="1">
        <v>0</v>
      </c>
      <c r="D31969" s="1">
        <v>0</v>
      </c>
      <c r="E31969" s="1">
        <v>4.3455399550671099E-6</v>
      </c>
      <c r="F31969" s="1">
        <v>9.9485134582992598E-8</v>
      </c>
    </row>
    <row r="31970" spans="1:6" x14ac:dyDescent="0.25">
      <c r="A31970" s="2" t="str">
        <f t="shared" si="1161"/>
        <v>99999</v>
      </c>
      <c r="B31970" s="2" t="str">
        <f>"99734"</f>
        <v>99734</v>
      </c>
      <c r="C31970" s="1">
        <v>0</v>
      </c>
      <c r="D31970" s="1">
        <v>0</v>
      </c>
      <c r="E31970" s="1">
        <v>4.3455399550671099E-6</v>
      </c>
      <c r="F31970" s="1">
        <v>9.9485134582992598E-8</v>
      </c>
    </row>
    <row r="31971" spans="1:6" x14ac:dyDescent="0.25">
      <c r="A31971" s="2" t="str">
        <f t="shared" si="1161"/>
        <v>99999</v>
      </c>
      <c r="B31971" s="2" t="str">
        <f>"99729"</f>
        <v>99729</v>
      </c>
      <c r="C31971" s="1">
        <v>1.09138159961181E-7</v>
      </c>
      <c r="D31971" s="1">
        <v>0</v>
      </c>
      <c r="E31971" s="1">
        <v>4.3455399550671099E-6</v>
      </c>
      <c r="F31971" s="1">
        <v>1.9897026916598501E-7</v>
      </c>
    </row>
    <row r="31972" spans="1:6" x14ac:dyDescent="0.25">
      <c r="A31972" s="2" t="str">
        <f t="shared" si="1161"/>
        <v>99999</v>
      </c>
      <c r="B31972" s="2" t="str">
        <f>"99723"</f>
        <v>99723</v>
      </c>
      <c r="C31972" s="1">
        <v>0</v>
      </c>
      <c r="D31972" s="1">
        <v>0</v>
      </c>
      <c r="E31972" s="1">
        <v>4.3455399550671099E-6</v>
      </c>
      <c r="F31972" s="1">
        <v>9.9485134582992598E-8</v>
      </c>
    </row>
    <row r="31973" spans="1:6" x14ac:dyDescent="0.25">
      <c r="A31973" s="2" t="str">
        <f t="shared" si="1161"/>
        <v>99999</v>
      </c>
      <c r="B31973" s="2" t="str">
        <f>"99833"</f>
        <v>99833</v>
      </c>
      <c r="C31973" s="1">
        <v>0</v>
      </c>
      <c r="D31973" s="1">
        <v>0</v>
      </c>
      <c r="E31973" s="1">
        <v>4.3455399550671099E-6</v>
      </c>
      <c r="F31973" s="1">
        <v>9.9485134582992598E-8</v>
      </c>
    </row>
    <row r="31974" spans="1:6" x14ac:dyDescent="0.25">
      <c r="A31974" s="2" t="str">
        <f t="shared" si="1161"/>
        <v>99999</v>
      </c>
      <c r="B31974" s="2" t="str">
        <f>"99774"</f>
        <v>99774</v>
      </c>
      <c r="C31974" s="1">
        <v>0</v>
      </c>
      <c r="D31974" s="1">
        <v>0</v>
      </c>
      <c r="E31974" s="1">
        <v>4.3455399550671099E-6</v>
      </c>
      <c r="F31974" s="1">
        <v>9.9485134582992598E-8</v>
      </c>
    </row>
    <row r="31975" spans="1:6" x14ac:dyDescent="0.25">
      <c r="A31975" s="2" t="str">
        <f t="shared" si="1161"/>
        <v>99999</v>
      </c>
      <c r="B31975" s="2" t="str">
        <f>"99766"</f>
        <v>99766</v>
      </c>
      <c r="C31975" s="1">
        <v>0</v>
      </c>
      <c r="D31975" s="1">
        <v>0</v>
      </c>
      <c r="E31975" s="1">
        <v>4.3455399550671099E-6</v>
      </c>
      <c r="F31975" s="1">
        <v>9.9485134582992598E-8</v>
      </c>
    </row>
    <row r="31976" spans="1:6" x14ac:dyDescent="0.25">
      <c r="A31976" s="2" t="str">
        <f t="shared" si="1161"/>
        <v>99999</v>
      </c>
      <c r="B31976" s="2" t="str">
        <f>"99761"</f>
        <v>99761</v>
      </c>
      <c r="C31976" s="1">
        <v>0</v>
      </c>
      <c r="D31976" s="1">
        <v>0</v>
      </c>
      <c r="E31976" s="1">
        <v>4.3455399550671099E-6</v>
      </c>
      <c r="F31976" s="1">
        <v>9.9485134582992598E-8</v>
      </c>
    </row>
    <row r="31977" spans="1:6" x14ac:dyDescent="0.25">
      <c r="A31977" s="2" t="str">
        <f t="shared" si="1161"/>
        <v>99999</v>
      </c>
      <c r="B31977" s="2" t="str">
        <f>"99757"</f>
        <v>99757</v>
      </c>
      <c r="C31977" s="1">
        <v>0</v>
      </c>
      <c r="D31977" s="1">
        <v>0</v>
      </c>
      <c r="E31977" s="1">
        <v>4.3455399550671099E-6</v>
      </c>
      <c r="F31977" s="1">
        <v>9.9485134582992598E-8</v>
      </c>
    </row>
    <row r="31978" spans="1:6" x14ac:dyDescent="0.25">
      <c r="A31978" s="2" t="str">
        <f t="shared" si="1161"/>
        <v>99999</v>
      </c>
      <c r="B31978" s="2" t="str">
        <f>"99756"</f>
        <v>99756</v>
      </c>
      <c r="C31978" s="1">
        <v>0</v>
      </c>
      <c r="D31978" s="1">
        <v>0</v>
      </c>
      <c r="E31978" s="1">
        <v>4.3455399550671099E-6</v>
      </c>
      <c r="F31978" s="1">
        <v>9.9485134582992598E-8</v>
      </c>
    </row>
    <row r="31979" spans="1:6" x14ac:dyDescent="0.25">
      <c r="A31979" s="2" t="str">
        <f t="shared" si="1161"/>
        <v>99999</v>
      </c>
      <c r="B31979" s="2" t="str">
        <f>"99746"</f>
        <v>99746</v>
      </c>
      <c r="C31979" s="1">
        <v>0</v>
      </c>
      <c r="D31979" s="1">
        <v>0</v>
      </c>
      <c r="E31979" s="1">
        <v>4.3455399550671099E-6</v>
      </c>
      <c r="F31979" s="1">
        <v>9.9485134582992598E-8</v>
      </c>
    </row>
    <row r="31980" spans="1:6" x14ac:dyDescent="0.25">
      <c r="A31980" s="2" t="str">
        <f t="shared" si="1161"/>
        <v>99999</v>
      </c>
      <c r="B31980" s="2" t="str">
        <f>"99739"</f>
        <v>99739</v>
      </c>
      <c r="C31980" s="1">
        <v>0</v>
      </c>
      <c r="D31980" s="1">
        <v>0</v>
      </c>
      <c r="E31980" s="1">
        <v>4.3455399550671099E-6</v>
      </c>
      <c r="F31980" s="1">
        <v>9.9485134582992598E-8</v>
      </c>
    </row>
    <row r="31981" spans="1:6" x14ac:dyDescent="0.25">
      <c r="A31981" s="2" t="str">
        <f t="shared" si="1161"/>
        <v>99999</v>
      </c>
      <c r="B31981" s="2" t="str">
        <f>"99143"</f>
        <v>99143</v>
      </c>
      <c r="C31981" s="1">
        <v>7.63967119728272E-7</v>
      </c>
      <c r="D31981" s="1">
        <v>0</v>
      </c>
      <c r="E31981" s="1">
        <v>0</v>
      </c>
      <c r="F31981" s="1">
        <v>6.9639594208094799E-7</v>
      </c>
    </row>
    <row r="31982" spans="1:6" x14ac:dyDescent="0.25">
      <c r="A31982" s="2" t="str">
        <f t="shared" si="1161"/>
        <v>99999</v>
      </c>
      <c r="B31982" s="2" t="str">
        <f>"98829"</f>
        <v>98829</v>
      </c>
      <c r="C31982" s="1">
        <v>0</v>
      </c>
      <c r="D31982" s="1">
        <v>1.51760267340886E-6</v>
      </c>
      <c r="E31982" s="1">
        <v>7.0397747272087205E-4</v>
      </c>
      <c r="F31982" s="1">
        <v>1.6216076937027799E-5</v>
      </c>
    </row>
    <row r="31983" spans="1:6" x14ac:dyDescent="0.25">
      <c r="A31983" s="2" t="str">
        <f t="shared" si="1161"/>
        <v>99999</v>
      </c>
      <c r="B31983" s="2" t="str">
        <f>"98672"</f>
        <v>98672</v>
      </c>
      <c r="C31983" s="1">
        <v>4.6820270623346898E-4</v>
      </c>
      <c r="D31983" s="1">
        <v>4.46175185982207E-4</v>
      </c>
      <c r="E31983" s="1">
        <v>4.3455399550671103E-5</v>
      </c>
      <c r="F31983" s="1">
        <v>4.57034708274268E-4</v>
      </c>
    </row>
    <row r="31984" spans="1:6" x14ac:dyDescent="0.25">
      <c r="A31984" s="2" t="str">
        <f t="shared" si="1161"/>
        <v>99999</v>
      </c>
      <c r="B31984" s="2" t="str">
        <f>"98859"</f>
        <v>98859</v>
      </c>
      <c r="C31984" s="1">
        <v>1.7243829273866699E-5</v>
      </c>
      <c r="D31984" s="1">
        <v>0</v>
      </c>
      <c r="E31984" s="1">
        <v>1.7382159820268399E-5</v>
      </c>
      <c r="F31984" s="1">
        <v>1.61165918024448E-5</v>
      </c>
    </row>
    <row r="31985" spans="1:6" x14ac:dyDescent="0.25">
      <c r="A31985" s="2" t="str">
        <f t="shared" si="1161"/>
        <v>99999</v>
      </c>
      <c r="B31985" s="2" t="str">
        <f>"98670"</f>
        <v>98670</v>
      </c>
      <c r="C31985" s="1">
        <v>7.5305330373215401E-6</v>
      </c>
      <c r="D31985" s="1">
        <v>7.5880133670443404E-6</v>
      </c>
      <c r="E31985" s="1">
        <v>4.3455399550671099E-6</v>
      </c>
      <c r="F31985" s="1">
        <v>7.4613850937244396E-6</v>
      </c>
    </row>
    <row r="31986" spans="1:6" x14ac:dyDescent="0.25">
      <c r="A31986" s="2" t="str">
        <f t="shared" si="1161"/>
        <v>99999</v>
      </c>
      <c r="B31986" s="2" t="str">
        <f>"98647"</f>
        <v>98647</v>
      </c>
      <c r="C31986" s="1">
        <v>4.4310092944239701E-5</v>
      </c>
      <c r="D31986" s="1">
        <v>3.0352053468177301E-6</v>
      </c>
      <c r="E31986" s="1">
        <v>2.1727699775335501E-5</v>
      </c>
      <c r="F31986" s="1">
        <v>4.1087360582775899E-5</v>
      </c>
    </row>
    <row r="31987" spans="1:6" x14ac:dyDescent="0.25">
      <c r="A31987" s="2" t="str">
        <f t="shared" si="1161"/>
        <v>99999</v>
      </c>
      <c r="B31987" s="2" t="str">
        <f>"98614"</f>
        <v>98614</v>
      </c>
      <c r="C31987" s="1">
        <v>4.3546125824511501E-5</v>
      </c>
      <c r="D31987" s="1">
        <v>0</v>
      </c>
      <c r="E31987" s="1">
        <v>4.3455399550671099E-6</v>
      </c>
      <c r="F31987" s="1">
        <v>3.9794053833197E-5</v>
      </c>
    </row>
    <row r="31988" spans="1:6" x14ac:dyDescent="0.25">
      <c r="A31988" s="2" t="str">
        <f t="shared" si="1161"/>
        <v>99999</v>
      </c>
      <c r="B31988" s="2" t="str">
        <f>"98624"</f>
        <v>98624</v>
      </c>
      <c r="C31988" s="1">
        <v>7.6724126452710695E-5</v>
      </c>
      <c r="D31988" s="1">
        <v>3.0352053468177301E-6</v>
      </c>
      <c r="E31988" s="1">
        <v>2.60732397304027E-5</v>
      </c>
      <c r="F31988" s="1">
        <v>7.0733930688507695E-5</v>
      </c>
    </row>
    <row r="31989" spans="1:6" x14ac:dyDescent="0.25">
      <c r="A31989" s="2" t="str">
        <f t="shared" si="1161"/>
        <v>99999</v>
      </c>
      <c r="B31989" s="2" t="str">
        <f>"98382"</f>
        <v>98382</v>
      </c>
      <c r="C31989" s="1">
        <v>2.58657439108E-5</v>
      </c>
      <c r="D31989" s="1">
        <v>1.0623218713862E-5</v>
      </c>
      <c r="E31989" s="1">
        <v>0</v>
      </c>
      <c r="F31989" s="1">
        <v>2.4274372838250201E-5</v>
      </c>
    </row>
    <row r="31990" spans="1:6" x14ac:dyDescent="0.25">
      <c r="A31990" s="2" t="str">
        <f t="shared" si="1161"/>
        <v>99999</v>
      </c>
      <c r="B31990" s="2" t="str">
        <f>"98376"</f>
        <v>98376</v>
      </c>
      <c r="C31990" s="1">
        <v>1.7145604929901599E-4</v>
      </c>
      <c r="D31990" s="1">
        <v>1.24443419219527E-4</v>
      </c>
      <c r="E31990" s="1">
        <v>4.7800939505738197E-5</v>
      </c>
      <c r="F31990" s="1">
        <v>1.6554326394609901E-4</v>
      </c>
    </row>
    <row r="31991" spans="1:6" x14ac:dyDescent="0.25">
      <c r="A31991" s="2" t="str">
        <f t="shared" si="1161"/>
        <v>99999</v>
      </c>
      <c r="B31991" s="2" t="str">
        <f>"98245"</f>
        <v>98245</v>
      </c>
      <c r="C31991" s="1">
        <v>2.2515202399991699E-4</v>
      </c>
      <c r="D31991" s="1">
        <v>1.7452430744201901E-4</v>
      </c>
      <c r="E31991" s="1">
        <v>7.8132808392106703E-3</v>
      </c>
      <c r="F31991" s="1">
        <v>3.9555289510197802E-4</v>
      </c>
    </row>
    <row r="31992" spans="1:6" x14ac:dyDescent="0.25">
      <c r="A31992" s="2" t="str">
        <f t="shared" si="1161"/>
        <v>99999</v>
      </c>
      <c r="B31992" s="2" t="str">
        <f>"98222"</f>
        <v>98222</v>
      </c>
      <c r="C31992" s="1">
        <v>2.2919013591848101E-5</v>
      </c>
      <c r="D31992" s="1">
        <v>7.5880133670443404E-6</v>
      </c>
      <c r="E31992" s="1">
        <v>1.7382159820268399E-5</v>
      </c>
      <c r="F31992" s="1">
        <v>2.1787244473675299E-5</v>
      </c>
    </row>
    <row r="31993" spans="1:6" x14ac:dyDescent="0.25">
      <c r="A31993" s="2" t="str">
        <f t="shared" si="1161"/>
        <v>99999</v>
      </c>
      <c r="B31993" s="2" t="str">
        <f>"97637"</f>
        <v>97637</v>
      </c>
      <c r="C31993" s="1">
        <v>9.4950199166228093E-6</v>
      </c>
      <c r="D31993" s="1">
        <v>1.51760267340886E-6</v>
      </c>
      <c r="E31993" s="1">
        <v>4.3455399550671099E-6</v>
      </c>
      <c r="F31993" s="1">
        <v>8.8541769778863392E-6</v>
      </c>
    </row>
    <row r="31994" spans="1:6" x14ac:dyDescent="0.25">
      <c r="A31994" s="2" t="str">
        <f t="shared" si="1161"/>
        <v>99999</v>
      </c>
      <c r="B31994" s="2" t="str">
        <f>"97638"</f>
        <v>97638</v>
      </c>
      <c r="C31994" s="1">
        <v>4.3109573184666699E-5</v>
      </c>
      <c r="D31994" s="1">
        <v>6.0704106936354696E-6</v>
      </c>
      <c r="E31994" s="1">
        <v>8.69107991013423E-6</v>
      </c>
      <c r="F31994" s="1">
        <v>3.9893538967779998E-5</v>
      </c>
    </row>
    <row r="31995" spans="1:6" x14ac:dyDescent="0.25">
      <c r="A31995" s="2" t="str">
        <f t="shared" si="1161"/>
        <v>99999</v>
      </c>
      <c r="B31995" s="2" t="str">
        <f>"97877"</f>
        <v>97877</v>
      </c>
      <c r="C31995" s="1">
        <v>6.45006525370584E-5</v>
      </c>
      <c r="D31995" s="1">
        <v>4.5528080202265997E-6</v>
      </c>
      <c r="E31995" s="1">
        <v>4.3455399550671099E-6</v>
      </c>
      <c r="F31995" s="1">
        <v>5.9193655076880599E-5</v>
      </c>
    </row>
    <row r="31996" spans="1:6" x14ac:dyDescent="0.25">
      <c r="A31996" s="2" t="str">
        <f t="shared" si="1161"/>
        <v>99999</v>
      </c>
      <c r="B31996" s="2" t="str">
        <f>"97820"</f>
        <v>97820</v>
      </c>
      <c r="C31996" s="1">
        <v>6.5373757816747802E-5</v>
      </c>
      <c r="D31996" s="1">
        <v>6.2221709609763595E-5</v>
      </c>
      <c r="E31996" s="1">
        <v>1.7382159820268399E-5</v>
      </c>
      <c r="F31996" s="1">
        <v>6.4068426671447194E-5</v>
      </c>
    </row>
    <row r="31997" spans="1:6" x14ac:dyDescent="0.25">
      <c r="A31997" s="2" t="str">
        <f t="shared" si="1161"/>
        <v>99999</v>
      </c>
      <c r="B31997" s="2" t="str">
        <f>"97732"</f>
        <v>97732</v>
      </c>
      <c r="C31997" s="1">
        <v>8.8401909568557204E-6</v>
      </c>
      <c r="D31997" s="1">
        <v>0</v>
      </c>
      <c r="E31997" s="1">
        <v>1.3036619865201299E-5</v>
      </c>
      <c r="F31997" s="1">
        <v>8.3567513049713805E-6</v>
      </c>
    </row>
    <row r="31998" spans="1:6" x14ac:dyDescent="0.25">
      <c r="A31998" s="2" t="str">
        <f t="shared" si="1161"/>
        <v>99999</v>
      </c>
      <c r="B31998" s="2" t="str">
        <f>"97741"</f>
        <v>97741</v>
      </c>
      <c r="C31998" s="1">
        <v>6.7993073655816204E-4</v>
      </c>
      <c r="D31998" s="1">
        <v>1.00465296979667E-3</v>
      </c>
      <c r="E31998" s="1">
        <v>7.9088827182221503E-4</v>
      </c>
      <c r="F31998" s="1">
        <v>7.0375784204008897E-4</v>
      </c>
    </row>
    <row r="31999" spans="1:6" x14ac:dyDescent="0.25">
      <c r="A31999" s="2" t="str">
        <f t="shared" si="1161"/>
        <v>99999</v>
      </c>
      <c r="B31999" s="2" t="str">
        <f>"97147"</f>
        <v>97147</v>
      </c>
      <c r="C31999" s="1">
        <v>2.8703336069790699E-5</v>
      </c>
      <c r="D31999" s="1">
        <v>0</v>
      </c>
      <c r="E31999" s="1">
        <v>4.3455399550671099E-6</v>
      </c>
      <c r="F31999" s="1">
        <v>2.6264075529910002E-5</v>
      </c>
    </row>
    <row r="32000" spans="1:6" x14ac:dyDescent="0.25">
      <c r="A32000" s="2" t="str">
        <f t="shared" si="1161"/>
        <v>99999</v>
      </c>
      <c r="B32000" s="2" t="str">
        <f>"97065"</f>
        <v>97065</v>
      </c>
      <c r="C32000" s="1">
        <v>3.5579040147345198E-5</v>
      </c>
      <c r="D32000" s="1">
        <v>3.1869656141586203E-5</v>
      </c>
      <c r="E32000" s="1">
        <v>2.0858591784322101E-4</v>
      </c>
      <c r="F32000" s="1">
        <v>3.9296628160282001E-5</v>
      </c>
    </row>
    <row r="32001" spans="1:6" x14ac:dyDescent="0.25">
      <c r="A32001" s="2" t="str">
        <f t="shared" si="1161"/>
        <v>99999</v>
      </c>
      <c r="B32001" s="2" t="str">
        <f>"96110"</f>
        <v>96110</v>
      </c>
      <c r="C32001" s="1">
        <v>0</v>
      </c>
      <c r="D32001" s="1">
        <v>0</v>
      </c>
      <c r="E32001" s="1">
        <v>4.7800939505738197E-5</v>
      </c>
      <c r="F32001" s="1">
        <v>1.09433648041291E-6</v>
      </c>
    </row>
    <row r="32002" spans="1:6" x14ac:dyDescent="0.25">
      <c r="A32002" s="2" t="str">
        <f t="shared" si="1161"/>
        <v>99999</v>
      </c>
      <c r="B32002" s="2" t="str">
        <f>"96085"</f>
        <v>96085</v>
      </c>
      <c r="C32002" s="1">
        <v>1.09138159961181E-7</v>
      </c>
      <c r="D32002" s="1">
        <v>0</v>
      </c>
      <c r="E32002" s="1">
        <v>4.3455399550671099E-6</v>
      </c>
      <c r="F32002" s="1">
        <v>1.9897026916598501E-7</v>
      </c>
    </row>
    <row r="32003" spans="1:6" x14ac:dyDescent="0.25">
      <c r="A32003" s="2" t="str">
        <f t="shared" si="1161"/>
        <v>99999</v>
      </c>
      <c r="B32003" s="2" t="str">
        <f>"96115"</f>
        <v>96115</v>
      </c>
      <c r="C32003" s="1">
        <v>3.4924211187578098E-6</v>
      </c>
      <c r="D32003" s="1">
        <v>0</v>
      </c>
      <c r="E32003" s="1">
        <v>2.60732397304027E-5</v>
      </c>
      <c r="F32003" s="1">
        <v>3.7804351141537199E-6</v>
      </c>
    </row>
    <row r="32004" spans="1:6" x14ac:dyDescent="0.25">
      <c r="A32004" s="2" t="str">
        <f t="shared" si="1161"/>
        <v>99999</v>
      </c>
      <c r="B32004" s="2" t="str">
        <f>"96034"</f>
        <v>96034</v>
      </c>
      <c r="C32004" s="1">
        <v>5.1294935181755401E-6</v>
      </c>
      <c r="D32004" s="1">
        <v>1.51760267340886E-6</v>
      </c>
      <c r="E32004" s="1">
        <v>0</v>
      </c>
      <c r="F32004" s="1">
        <v>4.7752864599836398E-6</v>
      </c>
    </row>
    <row r="32005" spans="1:6" x14ac:dyDescent="0.25">
      <c r="A32005" s="2" t="str">
        <f t="shared" si="1161"/>
        <v>99999</v>
      </c>
      <c r="B32005" s="2" t="str">
        <f>"95922"</f>
        <v>95922</v>
      </c>
      <c r="C32005" s="1">
        <v>3.2741447988354498E-7</v>
      </c>
      <c r="D32005" s="1">
        <v>1.51760267340886E-6</v>
      </c>
      <c r="E32005" s="1">
        <v>0</v>
      </c>
      <c r="F32005" s="1">
        <v>3.9794053833197002E-7</v>
      </c>
    </row>
    <row r="32006" spans="1:6" x14ac:dyDescent="0.25">
      <c r="A32006" s="2" t="str">
        <f t="shared" si="1161"/>
        <v>99999</v>
      </c>
      <c r="B32006" s="2" t="str">
        <f>"95920"</f>
        <v>95920</v>
      </c>
      <c r="C32006" s="1">
        <v>4.1472500785249E-6</v>
      </c>
      <c r="D32006" s="1">
        <v>0</v>
      </c>
      <c r="E32006" s="1">
        <v>8.69107991013423E-6</v>
      </c>
      <c r="F32006" s="1">
        <v>3.9794053833197E-6</v>
      </c>
    </row>
    <row r="32007" spans="1:6" x14ac:dyDescent="0.25">
      <c r="A32007" s="2" t="str">
        <f t="shared" si="1161"/>
        <v>99999</v>
      </c>
      <c r="B32007" s="2" t="str">
        <f>"95951"</f>
        <v>95951</v>
      </c>
      <c r="C32007" s="1">
        <v>0</v>
      </c>
      <c r="D32007" s="1">
        <v>0</v>
      </c>
      <c r="E32007" s="1">
        <v>8.69107991013423E-6</v>
      </c>
      <c r="F32007" s="1">
        <v>1.9897026916598501E-7</v>
      </c>
    </row>
    <row r="32008" spans="1:6" x14ac:dyDescent="0.25">
      <c r="A32008" s="2" t="str">
        <f t="shared" si="1161"/>
        <v>99999</v>
      </c>
      <c r="B32008" s="2" t="str">
        <f>"95981"</f>
        <v>95981</v>
      </c>
      <c r="C32008" s="1">
        <v>0</v>
      </c>
      <c r="D32008" s="1">
        <v>0</v>
      </c>
      <c r="E32008" s="1">
        <v>4.3455399550671099E-6</v>
      </c>
      <c r="F32008" s="1">
        <v>9.9485134582992598E-8</v>
      </c>
    </row>
    <row r="32009" spans="1:6" x14ac:dyDescent="0.25">
      <c r="A32009" s="2" t="str">
        <f t="shared" si="1161"/>
        <v>99999</v>
      </c>
      <c r="B32009" s="2" t="str">
        <f>"95987"</f>
        <v>95987</v>
      </c>
      <c r="C32009" s="1">
        <v>1.1263058107993901E-4</v>
      </c>
      <c r="D32009" s="1">
        <v>6.6774517629990203E-5</v>
      </c>
      <c r="E32009" s="1">
        <v>5.6492019415872502E-5</v>
      </c>
      <c r="F32009" s="1">
        <v>1.08339311560878E-4</v>
      </c>
    </row>
    <row r="32010" spans="1:6" x14ac:dyDescent="0.25">
      <c r="A32010" s="2" t="str">
        <f t="shared" si="1161"/>
        <v>99999</v>
      </c>
      <c r="B32010" s="2" t="str">
        <f>"95936"</f>
        <v>95936</v>
      </c>
      <c r="C32010" s="1">
        <v>0</v>
      </c>
      <c r="D32010" s="1">
        <v>0</v>
      </c>
      <c r="E32010" s="1">
        <v>4.3455399550671099E-6</v>
      </c>
      <c r="F32010" s="1">
        <v>9.9485134582992598E-8</v>
      </c>
    </row>
    <row r="32011" spans="1:6" x14ac:dyDescent="0.25">
      <c r="A32011" s="2" t="str">
        <f t="shared" si="1161"/>
        <v>99999</v>
      </c>
      <c r="B32011" s="2" t="str">
        <f>"95939"</f>
        <v>95939</v>
      </c>
      <c r="C32011" s="1">
        <v>4.2563882384860804E-6</v>
      </c>
      <c r="D32011" s="1">
        <v>1.51760267340886E-6</v>
      </c>
      <c r="E32011" s="1">
        <v>4.3455399550671099E-6</v>
      </c>
      <c r="F32011" s="1">
        <v>4.07889051790269E-6</v>
      </c>
    </row>
    <row r="32012" spans="1:6" x14ac:dyDescent="0.25">
      <c r="A32012" s="2" t="str">
        <f t="shared" si="1161"/>
        <v>99999</v>
      </c>
      <c r="B32012" s="2" t="str">
        <f>"95944"</f>
        <v>95944</v>
      </c>
      <c r="C32012" s="1">
        <v>0</v>
      </c>
      <c r="D32012" s="1">
        <v>0</v>
      </c>
      <c r="E32012" s="1">
        <v>4.3455399550671099E-6</v>
      </c>
      <c r="F32012" s="1">
        <v>9.9485134582992598E-8</v>
      </c>
    </row>
    <row r="32013" spans="1:6" x14ac:dyDescent="0.25">
      <c r="A32013" s="2" t="str">
        <f t="shared" si="1161"/>
        <v>99999</v>
      </c>
      <c r="B32013" s="2" t="str">
        <f>"95665"</f>
        <v>95665</v>
      </c>
      <c r="C32013" s="1">
        <v>2.12273721124498E-4</v>
      </c>
      <c r="D32013" s="1">
        <v>1.5631307536111301E-4</v>
      </c>
      <c r="E32013" s="1">
        <v>1.6078497833748299E-4</v>
      </c>
      <c r="F32013" s="1">
        <v>2.0742650560553899E-4</v>
      </c>
    </row>
    <row r="32014" spans="1:6" x14ac:dyDescent="0.25">
      <c r="A32014" s="2" t="str">
        <f t="shared" si="1161"/>
        <v>99999</v>
      </c>
      <c r="B32014" s="2" t="str">
        <f>"95689"</f>
        <v>95689</v>
      </c>
      <c r="C32014" s="1">
        <v>8.2617587090614498E-5</v>
      </c>
      <c r="D32014" s="1">
        <v>3.0352053468177301E-6</v>
      </c>
      <c r="E32014" s="1">
        <v>4.3455399550671099E-6</v>
      </c>
      <c r="F32014" s="1">
        <v>7.5608702283074398E-5</v>
      </c>
    </row>
    <row r="32015" spans="1:6" x14ac:dyDescent="0.25">
      <c r="A32015" s="2" t="str">
        <f t="shared" si="1161"/>
        <v>99999</v>
      </c>
      <c r="B32015" s="2" t="str">
        <f>"95251"</f>
        <v>95251</v>
      </c>
      <c r="C32015" s="1">
        <v>8.4036383170109905E-6</v>
      </c>
      <c r="D32015" s="1">
        <v>3.0352053468177301E-6</v>
      </c>
      <c r="E32015" s="1">
        <v>4.3455399550671099E-6</v>
      </c>
      <c r="F32015" s="1">
        <v>7.9588107666394102E-6</v>
      </c>
    </row>
    <row r="32016" spans="1:6" x14ac:dyDescent="0.25">
      <c r="A32016" s="2" t="str">
        <f t="shared" si="1161"/>
        <v>99999</v>
      </c>
      <c r="B32016" s="2" t="str">
        <f>"95254"</f>
        <v>95254</v>
      </c>
      <c r="C32016" s="1">
        <v>0</v>
      </c>
      <c r="D32016" s="1">
        <v>0</v>
      </c>
      <c r="E32016" s="1">
        <v>4.3455399550671099E-6</v>
      </c>
      <c r="F32016" s="1">
        <v>9.9485134582992598E-8</v>
      </c>
    </row>
    <row r="32017" spans="1:6" x14ac:dyDescent="0.25">
      <c r="A32017" s="2" t="str">
        <f t="shared" si="1161"/>
        <v>99999</v>
      </c>
      <c r="B32017" s="2" t="str">
        <f>"95233"</f>
        <v>95233</v>
      </c>
      <c r="C32017" s="1">
        <v>0</v>
      </c>
      <c r="D32017" s="1">
        <v>0</v>
      </c>
      <c r="E32017" s="1">
        <v>4.3455399550671099E-6</v>
      </c>
      <c r="F32017" s="1">
        <v>9.9485134582992598E-8</v>
      </c>
    </row>
    <row r="32018" spans="1:6" x14ac:dyDescent="0.25">
      <c r="A32018" s="2" t="str">
        <f t="shared" ref="A32018:A32081" si="1162">"99999"</f>
        <v>99999</v>
      </c>
      <c r="B32018" s="2" t="str">
        <f>"95257"</f>
        <v>95257</v>
      </c>
      <c r="C32018" s="1">
        <v>1.54976187144878E-5</v>
      </c>
      <c r="D32018" s="1">
        <v>0</v>
      </c>
      <c r="E32018" s="1">
        <v>4.3455399550671099E-6</v>
      </c>
      <c r="F32018" s="1">
        <v>1.42263742453679E-5</v>
      </c>
    </row>
    <row r="32019" spans="1:6" x14ac:dyDescent="0.25">
      <c r="A32019" s="2" t="str">
        <f t="shared" si="1162"/>
        <v>99999</v>
      </c>
      <c r="B32019" s="2" t="str">
        <f>"95252"</f>
        <v>95252</v>
      </c>
      <c r="C32019" s="1">
        <v>6.14884393221297E-4</v>
      </c>
      <c r="D32019" s="1">
        <v>4.27963953901301E-4</v>
      </c>
      <c r="E32019" s="1">
        <v>2.0424037788815399E-4</v>
      </c>
      <c r="F32019" s="1">
        <v>5.9322985751838499E-4</v>
      </c>
    </row>
    <row r="32020" spans="1:6" x14ac:dyDescent="0.25">
      <c r="A32020" s="2" t="str">
        <f t="shared" si="1162"/>
        <v>99999</v>
      </c>
      <c r="B32020" s="2" t="str">
        <f>"95228"</f>
        <v>95228</v>
      </c>
      <c r="C32020" s="1">
        <v>3.1148030852921199E-4</v>
      </c>
      <c r="D32020" s="1">
        <v>2.1094677160383201E-4</v>
      </c>
      <c r="E32020" s="1">
        <v>8.2565259146275205E-5</v>
      </c>
      <c r="F32020" s="1">
        <v>2.9964922536397301E-4</v>
      </c>
    </row>
    <row r="32021" spans="1:6" x14ac:dyDescent="0.25">
      <c r="A32021" s="2" t="str">
        <f t="shared" si="1162"/>
        <v>99999</v>
      </c>
      <c r="B32021" s="2" t="str">
        <f>"93653"</f>
        <v>93653</v>
      </c>
      <c r="C32021" s="1">
        <v>4.6929408783308102E-6</v>
      </c>
      <c r="D32021" s="1">
        <v>0</v>
      </c>
      <c r="E32021" s="1">
        <v>0</v>
      </c>
      <c r="F32021" s="1">
        <v>4.2778607870686803E-6</v>
      </c>
    </row>
    <row r="32022" spans="1:6" x14ac:dyDescent="0.25">
      <c r="A32022" s="2" t="str">
        <f t="shared" si="1162"/>
        <v>99999</v>
      </c>
      <c r="B32022" s="2" t="str">
        <f>"93530"</f>
        <v>93530</v>
      </c>
      <c r="C32022" s="1">
        <v>1.6370723994177199E-6</v>
      </c>
      <c r="D32022" s="1">
        <v>1.51760267340886E-6</v>
      </c>
      <c r="E32022" s="1">
        <v>0</v>
      </c>
      <c r="F32022" s="1">
        <v>1.5917621533278801E-6</v>
      </c>
    </row>
    <row r="32023" spans="1:6" x14ac:dyDescent="0.25">
      <c r="A32023" s="2" t="str">
        <f t="shared" si="1162"/>
        <v>99999</v>
      </c>
      <c r="B32023" s="2" t="str">
        <f>"93514"</f>
        <v>93514</v>
      </c>
      <c r="C32023" s="1">
        <v>7.5840107357025104E-4</v>
      </c>
      <c r="D32023" s="1">
        <v>1.1306139916895999E-3</v>
      </c>
      <c r="E32023" s="1">
        <v>1.7077972023413701E-3</v>
      </c>
      <c r="F32023" s="1">
        <v>8.0453628337266096E-4</v>
      </c>
    </row>
    <row r="32024" spans="1:6" x14ac:dyDescent="0.25">
      <c r="A32024" s="2" t="str">
        <f t="shared" si="1162"/>
        <v>99999</v>
      </c>
      <c r="B32024" s="2" t="str">
        <f>"93512"</f>
        <v>93512</v>
      </c>
      <c r="C32024" s="1">
        <v>4.9112171982531701E-6</v>
      </c>
      <c r="D32024" s="1">
        <v>1.51760267340886E-6</v>
      </c>
      <c r="E32024" s="1">
        <v>0</v>
      </c>
      <c r="F32024" s="1">
        <v>4.5763161908176597E-6</v>
      </c>
    </row>
    <row r="32025" spans="1:6" x14ac:dyDescent="0.25">
      <c r="A32025" s="2" t="str">
        <f t="shared" si="1162"/>
        <v>99999</v>
      </c>
      <c r="B32025" s="2" t="str">
        <f>"93513"</f>
        <v>93513</v>
      </c>
      <c r="C32025" s="1">
        <v>4.8457343022764599E-5</v>
      </c>
      <c r="D32025" s="1">
        <v>3.0352053468177301E-6</v>
      </c>
      <c r="E32025" s="1">
        <v>1.7382159820268399E-5</v>
      </c>
      <c r="F32025" s="1">
        <v>4.47683105623466E-5</v>
      </c>
    </row>
    <row r="32026" spans="1:6" x14ac:dyDescent="0.25">
      <c r="A32026" s="2" t="str">
        <f t="shared" si="1162"/>
        <v>99999</v>
      </c>
      <c r="B32026" s="2" t="str">
        <f>"92389"</f>
        <v>92389</v>
      </c>
      <c r="C32026" s="1">
        <v>4.0381119185637197E-6</v>
      </c>
      <c r="D32026" s="1">
        <v>1.51760267340886E-6</v>
      </c>
      <c r="E32026" s="1">
        <v>0</v>
      </c>
      <c r="F32026" s="1">
        <v>3.7804351141537199E-6</v>
      </c>
    </row>
    <row r="32027" spans="1:6" x14ac:dyDescent="0.25">
      <c r="A32027" s="2" t="str">
        <f t="shared" si="1162"/>
        <v>99999</v>
      </c>
      <c r="B32027" s="2" t="str">
        <f>"68854"</f>
        <v>68854</v>
      </c>
      <c r="C32027" s="1">
        <v>4.4746645584084497E-5</v>
      </c>
      <c r="D32027" s="1">
        <v>3.7940066835221703E-5</v>
      </c>
      <c r="E32027" s="1">
        <v>0</v>
      </c>
      <c r="F32027" s="1">
        <v>4.3276033543601697E-5</v>
      </c>
    </row>
    <row r="32028" spans="1:6" x14ac:dyDescent="0.25">
      <c r="A32028" s="2" t="str">
        <f t="shared" si="1162"/>
        <v>99999</v>
      </c>
      <c r="B32028" s="2" t="str">
        <f>"68850"</f>
        <v>68850</v>
      </c>
      <c r="C32028" s="1">
        <v>2.1827631992236301E-7</v>
      </c>
      <c r="D32028" s="1">
        <v>0</v>
      </c>
      <c r="E32028" s="1">
        <v>0</v>
      </c>
      <c r="F32028" s="1">
        <v>1.9897026916598501E-7</v>
      </c>
    </row>
    <row r="32029" spans="1:6" x14ac:dyDescent="0.25">
      <c r="A32029" s="2" t="str">
        <f t="shared" si="1162"/>
        <v>99999</v>
      </c>
      <c r="B32029" s="2" t="str">
        <f>"68843"</f>
        <v>68843</v>
      </c>
      <c r="C32029" s="1">
        <v>3.9835428385831298E-5</v>
      </c>
      <c r="D32029" s="1">
        <v>4.7045682875674899E-5</v>
      </c>
      <c r="E32029" s="1">
        <v>1.3036619865201299E-5</v>
      </c>
      <c r="F32029" s="1">
        <v>3.9694568698614001E-5</v>
      </c>
    </row>
    <row r="32030" spans="1:6" x14ac:dyDescent="0.25">
      <c r="A32030" s="2" t="str">
        <f t="shared" si="1162"/>
        <v>99999</v>
      </c>
      <c r="B32030" s="2" t="str">
        <f>"68828"</f>
        <v>68828</v>
      </c>
      <c r="C32030" s="1">
        <v>1.71346911139055E-5</v>
      </c>
      <c r="D32030" s="1">
        <v>1.51760267340886E-6</v>
      </c>
      <c r="E32030" s="1">
        <v>4.3455399550671099E-6</v>
      </c>
      <c r="F32030" s="1">
        <v>1.5818136398695801E-5</v>
      </c>
    </row>
    <row r="32031" spans="1:6" x14ac:dyDescent="0.25">
      <c r="A32031" s="2" t="str">
        <f t="shared" si="1162"/>
        <v>99999</v>
      </c>
      <c r="B32031" s="2" t="str">
        <f>"68815"</f>
        <v>68815</v>
      </c>
      <c r="C32031" s="1">
        <v>3.0231270309247298E-5</v>
      </c>
      <c r="D32031" s="1">
        <v>1.66936294074975E-5</v>
      </c>
      <c r="E32031" s="1">
        <v>1.3036619865201299E-5</v>
      </c>
      <c r="F32031" s="1">
        <v>2.8950174163650799E-5</v>
      </c>
    </row>
    <row r="32032" spans="1:6" x14ac:dyDescent="0.25">
      <c r="A32032" s="2" t="str">
        <f t="shared" si="1162"/>
        <v>99999</v>
      </c>
      <c r="B32032" s="2" t="str">
        <f>"68813"</f>
        <v>68813</v>
      </c>
      <c r="C32032" s="1">
        <v>3.09952374289756E-5</v>
      </c>
      <c r="D32032" s="1">
        <v>2.7316848121359601E-5</v>
      </c>
      <c r="E32032" s="1">
        <v>4.3455399550671099E-6</v>
      </c>
      <c r="F32032" s="1">
        <v>3.01439957786467E-5</v>
      </c>
    </row>
    <row r="32033" spans="1:6" x14ac:dyDescent="0.25">
      <c r="A32033" s="2" t="str">
        <f t="shared" si="1162"/>
        <v>99999</v>
      </c>
      <c r="B32033" s="2" t="str">
        <f>"69220"</f>
        <v>69220</v>
      </c>
      <c r="C32033" s="1">
        <v>4.1472500785249E-6</v>
      </c>
      <c r="D32033" s="1">
        <v>1.51760267340886E-6</v>
      </c>
      <c r="E32033" s="1">
        <v>0</v>
      </c>
      <c r="F32033" s="1">
        <v>3.87992024873671E-6</v>
      </c>
    </row>
    <row r="32034" spans="1:6" x14ac:dyDescent="0.25">
      <c r="A32034" s="2" t="str">
        <f t="shared" si="1162"/>
        <v>99999</v>
      </c>
      <c r="B32034" s="2" t="str">
        <f>"69337"</f>
        <v>69337</v>
      </c>
      <c r="C32034" s="1">
        <v>3.5535384883360701E-4</v>
      </c>
      <c r="D32034" s="1">
        <v>6.2221709609763603E-4</v>
      </c>
      <c r="E32034" s="1">
        <v>7.6046949213674504E-4</v>
      </c>
      <c r="F32034" s="1">
        <v>3.8212240193327397E-4</v>
      </c>
    </row>
    <row r="32035" spans="1:6" x14ac:dyDescent="0.25">
      <c r="A32035" s="2" t="str">
        <f t="shared" si="1162"/>
        <v>99999</v>
      </c>
      <c r="B32035" s="2" t="str">
        <f>"69169"</f>
        <v>69169</v>
      </c>
      <c r="C32035" s="1">
        <v>4.1472500785249E-6</v>
      </c>
      <c r="D32035" s="1">
        <v>7.5880133670443404E-6</v>
      </c>
      <c r="E32035" s="1">
        <v>0</v>
      </c>
      <c r="F32035" s="1">
        <v>4.2778607870686803E-6</v>
      </c>
    </row>
    <row r="32036" spans="1:6" x14ac:dyDescent="0.25">
      <c r="A32036" s="2" t="str">
        <f t="shared" si="1162"/>
        <v>99999</v>
      </c>
      <c r="B32036" s="2" t="str">
        <f>"69037"</f>
        <v>69037</v>
      </c>
      <c r="C32036" s="1">
        <v>6.8757040775544402E-6</v>
      </c>
      <c r="D32036" s="1">
        <v>0</v>
      </c>
      <c r="E32036" s="1">
        <v>4.3455399550671099E-6</v>
      </c>
      <c r="F32036" s="1">
        <v>6.3670486133115203E-6</v>
      </c>
    </row>
    <row r="32037" spans="1:6" x14ac:dyDescent="0.25">
      <c r="A32037" s="2" t="str">
        <f t="shared" si="1162"/>
        <v>99999</v>
      </c>
      <c r="B32037" s="2" t="str">
        <f>"69046"</f>
        <v>69046</v>
      </c>
      <c r="C32037" s="1">
        <v>1.20051975957299E-5</v>
      </c>
      <c r="D32037" s="1">
        <v>0</v>
      </c>
      <c r="E32037" s="1">
        <v>4.3455399550671099E-6</v>
      </c>
      <c r="F32037" s="1">
        <v>1.10428499387121E-5</v>
      </c>
    </row>
    <row r="32038" spans="1:6" x14ac:dyDescent="0.25">
      <c r="A32038" s="2" t="str">
        <f t="shared" si="1162"/>
        <v>99999</v>
      </c>
      <c r="B32038" s="2" t="str">
        <f>"69039"</f>
        <v>69039</v>
      </c>
      <c r="C32038" s="1">
        <v>6.1117369578261701E-6</v>
      </c>
      <c r="D32038" s="1">
        <v>0</v>
      </c>
      <c r="E32038" s="1">
        <v>4.3455399550671099E-6</v>
      </c>
      <c r="F32038" s="1">
        <v>5.6706526712305799E-6</v>
      </c>
    </row>
    <row r="32039" spans="1:6" x14ac:dyDescent="0.25">
      <c r="A32039" s="2" t="str">
        <f t="shared" si="1162"/>
        <v>99999</v>
      </c>
      <c r="B32039" s="2" t="str">
        <f>"68979"</f>
        <v>68979</v>
      </c>
      <c r="C32039" s="1">
        <v>9.7023824205490501E-5</v>
      </c>
      <c r="D32039" s="1">
        <v>1.00161776444985E-4</v>
      </c>
      <c r="E32039" s="1">
        <v>7.3874179236140894E-5</v>
      </c>
      <c r="F32039" s="1">
        <v>9.6699550814668796E-5</v>
      </c>
    </row>
    <row r="32040" spans="1:6" x14ac:dyDescent="0.25">
      <c r="A32040" s="2" t="str">
        <f t="shared" si="1162"/>
        <v>99999</v>
      </c>
      <c r="B32040" s="2" t="str">
        <f>"68977"</f>
        <v>68977</v>
      </c>
      <c r="C32040" s="1">
        <v>1.8335210873478499E-5</v>
      </c>
      <c r="D32040" s="1">
        <v>4.5528080202265997E-6</v>
      </c>
      <c r="E32040" s="1">
        <v>4.3455399550671099E-6</v>
      </c>
      <c r="F32040" s="1">
        <v>1.7111443148274701E-5</v>
      </c>
    </row>
    <row r="32041" spans="1:6" x14ac:dyDescent="0.25">
      <c r="A32041" s="2" t="str">
        <f t="shared" si="1162"/>
        <v>99999</v>
      </c>
      <c r="B32041" s="2" t="str">
        <f>"69142"</f>
        <v>69142</v>
      </c>
      <c r="C32041" s="1">
        <v>7.4213948773603504E-6</v>
      </c>
      <c r="D32041" s="1">
        <v>6.0704106936354696E-6</v>
      </c>
      <c r="E32041" s="1">
        <v>4.3455399550671099E-6</v>
      </c>
      <c r="F32041" s="1">
        <v>7.2624148245584604E-6</v>
      </c>
    </row>
    <row r="32042" spans="1:6" x14ac:dyDescent="0.25">
      <c r="A32042" s="2" t="str">
        <f t="shared" si="1162"/>
        <v>99999</v>
      </c>
      <c r="B32042" s="2" t="str">
        <f>"69154"</f>
        <v>69154</v>
      </c>
      <c r="C32042" s="1">
        <v>8.4145521330071101E-5</v>
      </c>
      <c r="D32042" s="1">
        <v>6.0704106936354703E-5</v>
      </c>
      <c r="E32042" s="1">
        <v>1.3036619865201299E-5</v>
      </c>
      <c r="F32042" s="1">
        <v>8.0980899550556006E-5</v>
      </c>
    </row>
    <row r="32043" spans="1:6" x14ac:dyDescent="0.25">
      <c r="A32043" s="2" t="str">
        <f t="shared" si="1162"/>
        <v>99999</v>
      </c>
      <c r="B32043" s="2" t="str">
        <f>"69125"</f>
        <v>69125</v>
      </c>
      <c r="C32043" s="1">
        <v>2.3137289911770499E-5</v>
      </c>
      <c r="D32043" s="1">
        <v>7.5880133670443404E-6</v>
      </c>
      <c r="E32043" s="1">
        <v>4.3455399550671099E-6</v>
      </c>
      <c r="F32043" s="1">
        <v>2.16877593390923E-5</v>
      </c>
    </row>
    <row r="32044" spans="1:6" x14ac:dyDescent="0.25">
      <c r="A32044" s="2" t="str">
        <f t="shared" si="1162"/>
        <v>99999</v>
      </c>
      <c r="B32044" s="2" t="str">
        <f>"68755"</f>
        <v>68755</v>
      </c>
      <c r="C32044" s="1">
        <v>1.7462105593788999E-5</v>
      </c>
      <c r="D32044" s="1">
        <v>3.0352053468177301E-6</v>
      </c>
      <c r="E32044" s="1">
        <v>0</v>
      </c>
      <c r="F32044" s="1">
        <v>1.61165918024448E-5</v>
      </c>
    </row>
    <row r="32045" spans="1:6" x14ac:dyDescent="0.25">
      <c r="A32045" s="2" t="str">
        <f t="shared" si="1162"/>
        <v>99999</v>
      </c>
      <c r="B32045" s="2" t="str">
        <f>"68791"</f>
        <v>68791</v>
      </c>
      <c r="C32045" s="1">
        <v>9.8879172924830596E-5</v>
      </c>
      <c r="D32045" s="1">
        <v>4.0975272182039399E-5</v>
      </c>
      <c r="E32045" s="1">
        <v>1.3471173860707999E-4</v>
      </c>
      <c r="F32045" s="1">
        <v>9.5903669738004902E-5</v>
      </c>
    </row>
    <row r="32046" spans="1:6" x14ac:dyDescent="0.25">
      <c r="A32046" s="2" t="str">
        <f t="shared" si="1162"/>
        <v>99999</v>
      </c>
      <c r="B32046" s="2" t="str">
        <f>"68774"</f>
        <v>68774</v>
      </c>
      <c r="C32046" s="1">
        <v>2.2045908312158699E-5</v>
      </c>
      <c r="D32046" s="1">
        <v>1.3658424060679801E-5</v>
      </c>
      <c r="E32046" s="1">
        <v>3.0418779685469802E-5</v>
      </c>
      <c r="F32046" s="1">
        <v>2.16877593390923E-5</v>
      </c>
    </row>
    <row r="32047" spans="1:6" x14ac:dyDescent="0.25">
      <c r="A32047" s="2" t="str">
        <f t="shared" si="1162"/>
        <v>99999</v>
      </c>
      <c r="B32047" s="2" t="str">
        <f>"68954"</f>
        <v>68954</v>
      </c>
      <c r="C32047" s="1">
        <v>4.9112171982531701E-6</v>
      </c>
      <c r="D32047" s="1">
        <v>6.0704106936354696E-6</v>
      </c>
      <c r="E32047" s="1">
        <v>4.3455399550671099E-6</v>
      </c>
      <c r="F32047" s="1">
        <v>4.9742567291496301E-6</v>
      </c>
    </row>
    <row r="32048" spans="1:6" x14ac:dyDescent="0.25">
      <c r="A32048" s="2" t="str">
        <f t="shared" si="1162"/>
        <v>99999</v>
      </c>
      <c r="B32048" s="2" t="str">
        <f>"68932"</f>
        <v>68932</v>
      </c>
      <c r="C32048" s="1">
        <v>1.1459506795924E-5</v>
      </c>
      <c r="D32048" s="1">
        <v>6.0704106936354696E-6</v>
      </c>
      <c r="E32048" s="1">
        <v>4.3455399550671099E-6</v>
      </c>
      <c r="F32048" s="1">
        <v>1.09433648041291E-5</v>
      </c>
    </row>
    <row r="32049" spans="1:6" x14ac:dyDescent="0.25">
      <c r="A32049" s="2" t="str">
        <f t="shared" si="1162"/>
        <v>99999</v>
      </c>
      <c r="B32049" s="2" t="str">
        <f>"68923"</f>
        <v>68923</v>
      </c>
      <c r="C32049" s="1">
        <v>6.4391514377097196E-6</v>
      </c>
      <c r="D32049" s="1">
        <v>1.51760267340886E-6</v>
      </c>
      <c r="E32049" s="1">
        <v>4.3455399550671099E-6</v>
      </c>
      <c r="F32049" s="1">
        <v>6.0685932095625502E-6</v>
      </c>
    </row>
    <row r="32050" spans="1:6" x14ac:dyDescent="0.25">
      <c r="A32050" s="2" t="str">
        <f t="shared" si="1162"/>
        <v>99999</v>
      </c>
      <c r="B32050" s="2" t="str">
        <f>"68926"</f>
        <v>68926</v>
      </c>
      <c r="C32050" s="1">
        <v>5.0749244381949503E-5</v>
      </c>
      <c r="D32050" s="1">
        <v>1.5176026734088599E-5</v>
      </c>
      <c r="E32050" s="1">
        <v>1.7382159820268399E-5</v>
      </c>
      <c r="F32050" s="1">
        <v>4.7653379465253401E-5</v>
      </c>
    </row>
    <row r="32051" spans="1:6" x14ac:dyDescent="0.25">
      <c r="A32051" s="2" t="str">
        <f t="shared" si="1162"/>
        <v>99999</v>
      </c>
      <c r="B32051" s="2" t="str">
        <f>"68726"</f>
        <v>68726</v>
      </c>
      <c r="C32051" s="1">
        <v>7.7924646212283697E-5</v>
      </c>
      <c r="D32051" s="1">
        <v>3.0352053468177301E-6</v>
      </c>
      <c r="E32051" s="1">
        <v>8.69107991013423E-6</v>
      </c>
      <c r="F32051" s="1">
        <v>7.1430326630588705E-5</v>
      </c>
    </row>
    <row r="32052" spans="1:6" x14ac:dyDescent="0.25">
      <c r="A32052" s="2" t="str">
        <f t="shared" si="1162"/>
        <v>99999</v>
      </c>
      <c r="B32052" s="2" t="str">
        <f>"68716"</f>
        <v>68716</v>
      </c>
      <c r="C32052" s="1">
        <v>4.60563035036186E-5</v>
      </c>
      <c r="D32052" s="1">
        <v>2.5799245447950699E-5</v>
      </c>
      <c r="E32052" s="1">
        <v>7.3874179236140894E-5</v>
      </c>
      <c r="F32052" s="1">
        <v>4.5365221369844598E-5</v>
      </c>
    </row>
    <row r="32053" spans="1:6" x14ac:dyDescent="0.25">
      <c r="A32053" s="2" t="str">
        <f t="shared" si="1162"/>
        <v>99999</v>
      </c>
      <c r="B32053" s="2" t="str">
        <f>"68714"</f>
        <v>68714</v>
      </c>
      <c r="C32053" s="1">
        <v>9.0257258287897201E-5</v>
      </c>
      <c r="D32053" s="1">
        <v>3.1869656141586203E-5</v>
      </c>
      <c r="E32053" s="1">
        <v>5.21464794608054E-5</v>
      </c>
      <c r="F32053" s="1">
        <v>8.5557215741373599E-5</v>
      </c>
    </row>
    <row r="32054" spans="1:6" x14ac:dyDescent="0.25">
      <c r="A32054" s="2" t="str">
        <f t="shared" si="1162"/>
        <v>99999</v>
      </c>
      <c r="B32054" s="2" t="str">
        <f>"68433"</f>
        <v>68433</v>
      </c>
      <c r="C32054" s="1">
        <v>1.5279342394565399E-5</v>
      </c>
      <c r="D32054" s="1">
        <v>6.0704106936354696E-6</v>
      </c>
      <c r="E32054" s="1">
        <v>4.3455399550671099E-6</v>
      </c>
      <c r="F32054" s="1">
        <v>1.44253445145339E-5</v>
      </c>
    </row>
    <row r="32055" spans="1:6" x14ac:dyDescent="0.25">
      <c r="A32055" s="2" t="str">
        <f t="shared" si="1162"/>
        <v>99999</v>
      </c>
      <c r="B32055" s="2" t="str">
        <f>"68421"</f>
        <v>68421</v>
      </c>
      <c r="C32055" s="1">
        <v>3.6233869107112297E-5</v>
      </c>
      <c r="D32055" s="1">
        <v>4.5528080202265997E-6</v>
      </c>
      <c r="E32055" s="1">
        <v>2.1727699775335501E-5</v>
      </c>
      <c r="F32055" s="1">
        <v>3.3824945758217401E-5</v>
      </c>
    </row>
    <row r="32056" spans="1:6" x14ac:dyDescent="0.25">
      <c r="A32056" s="2" t="str">
        <f t="shared" si="1162"/>
        <v>99999</v>
      </c>
      <c r="B32056" s="2" t="str">
        <f>"68362"</f>
        <v>68362</v>
      </c>
      <c r="C32056" s="1">
        <v>0</v>
      </c>
      <c r="D32056" s="1">
        <v>0</v>
      </c>
      <c r="E32056" s="1">
        <v>4.3455399550671099E-6</v>
      </c>
      <c r="F32056" s="1">
        <v>9.9485134582992598E-8</v>
      </c>
    </row>
    <row r="32057" spans="1:6" x14ac:dyDescent="0.25">
      <c r="A32057" s="2" t="str">
        <f t="shared" si="1162"/>
        <v>99999</v>
      </c>
      <c r="B32057" s="2" t="str">
        <f>"68338"</f>
        <v>68338</v>
      </c>
      <c r="C32057" s="1">
        <v>1.01498488763899E-5</v>
      </c>
      <c r="D32057" s="1">
        <v>3.0352053468177301E-6</v>
      </c>
      <c r="E32057" s="1">
        <v>4.3455399550671099E-6</v>
      </c>
      <c r="F32057" s="1">
        <v>9.5505729199672898E-6</v>
      </c>
    </row>
    <row r="32058" spans="1:6" x14ac:dyDescent="0.25">
      <c r="A32058" s="2" t="str">
        <f t="shared" si="1162"/>
        <v>99999</v>
      </c>
      <c r="B32058" s="2" t="str">
        <f>"68371"</f>
        <v>68371</v>
      </c>
      <c r="C32058" s="1">
        <v>6.8211349975738495E-5</v>
      </c>
      <c r="D32058" s="1">
        <v>5.4633696242719298E-5</v>
      </c>
      <c r="E32058" s="1">
        <v>4.7800939505738197E-5</v>
      </c>
      <c r="F32058" s="1">
        <v>6.6854010439771003E-5</v>
      </c>
    </row>
    <row r="32059" spans="1:6" x14ac:dyDescent="0.25">
      <c r="A32059" s="2" t="str">
        <f t="shared" si="1162"/>
        <v>99999</v>
      </c>
      <c r="B32059" s="2" t="str">
        <f>"68337"</f>
        <v>68337</v>
      </c>
      <c r="C32059" s="1">
        <v>2.0408835912740901E-5</v>
      </c>
      <c r="D32059" s="1">
        <v>4.5528080202265997E-6</v>
      </c>
      <c r="E32059" s="1">
        <v>4.3455399550671099E-6</v>
      </c>
      <c r="F32059" s="1">
        <v>1.90016607053515E-5</v>
      </c>
    </row>
    <row r="32060" spans="1:6" x14ac:dyDescent="0.25">
      <c r="A32060" s="2" t="str">
        <f t="shared" si="1162"/>
        <v>99999</v>
      </c>
      <c r="B32060" s="2" t="str">
        <f>"68661"</f>
        <v>68661</v>
      </c>
      <c r="C32060" s="1">
        <v>2.80048518460392E-4</v>
      </c>
      <c r="D32060" s="1">
        <v>3.9305909241289702E-4</v>
      </c>
      <c r="E32060" s="1">
        <v>4.0848075577630798E-4</v>
      </c>
      <c r="F32060" s="1">
        <v>2.90397107847755E-4</v>
      </c>
    </row>
    <row r="32061" spans="1:6" x14ac:dyDescent="0.25">
      <c r="A32061" s="2" t="str">
        <f t="shared" si="1162"/>
        <v>99999</v>
      </c>
      <c r="B32061" s="2" t="str">
        <f>"68640"</f>
        <v>68640</v>
      </c>
      <c r="C32061" s="1">
        <v>7.5741883013060097E-5</v>
      </c>
      <c r="D32061" s="1">
        <v>1.5176026734088599E-5</v>
      </c>
      <c r="E32061" s="1">
        <v>1.3036619865201299E-5</v>
      </c>
      <c r="F32061" s="1">
        <v>7.0335990150175701E-5</v>
      </c>
    </row>
    <row r="32062" spans="1:6" x14ac:dyDescent="0.25">
      <c r="A32062" s="2" t="str">
        <f t="shared" si="1162"/>
        <v>99999</v>
      </c>
      <c r="B32062" s="2" t="str">
        <f>"68319"</f>
        <v>68319</v>
      </c>
      <c r="C32062" s="1">
        <v>2.9249026869596701E-5</v>
      </c>
      <c r="D32062" s="1">
        <v>2.2764040101133E-5</v>
      </c>
      <c r="E32062" s="1">
        <v>4.3455399550671099E-6</v>
      </c>
      <c r="F32062" s="1">
        <v>2.8253778221569901E-5</v>
      </c>
    </row>
    <row r="32063" spans="1:6" x14ac:dyDescent="0.25">
      <c r="A32063" s="2" t="str">
        <f t="shared" si="1162"/>
        <v>99999</v>
      </c>
      <c r="B32063" s="2" t="str">
        <f>"68323"</f>
        <v>68323</v>
      </c>
      <c r="C32063" s="1">
        <v>1.6261585834216E-5</v>
      </c>
      <c r="D32063" s="1">
        <v>7.5880133670443404E-6</v>
      </c>
      <c r="E32063" s="1">
        <v>1.3036619865201299E-5</v>
      </c>
      <c r="F32063" s="1">
        <v>1.5619166129529801E-5</v>
      </c>
    </row>
    <row r="32064" spans="1:6" x14ac:dyDescent="0.25">
      <c r="A32064" s="2" t="str">
        <f t="shared" si="1162"/>
        <v>99999</v>
      </c>
      <c r="B32064" s="2" t="str">
        <f>"68047"</f>
        <v>68047</v>
      </c>
      <c r="C32064" s="1">
        <v>8.3927245010148696E-5</v>
      </c>
      <c r="D32064" s="1">
        <v>6.2221709609763595E-5</v>
      </c>
      <c r="E32064" s="1">
        <v>7.3874179236140894E-5</v>
      </c>
      <c r="F32064" s="1">
        <v>8.2274206300134899E-5</v>
      </c>
    </row>
    <row r="32065" spans="1:6" x14ac:dyDescent="0.25">
      <c r="A32065" s="2" t="str">
        <f t="shared" si="1162"/>
        <v>99999</v>
      </c>
      <c r="B32065" s="2" t="str">
        <f>"68045"</f>
        <v>68045</v>
      </c>
      <c r="C32065" s="1">
        <v>9.9097449244753001E-5</v>
      </c>
      <c r="D32065" s="1">
        <v>1.8059471813565501E-4</v>
      </c>
      <c r="E32065" s="1">
        <v>1.6078497833748299E-4</v>
      </c>
      <c r="F32065" s="1">
        <v>1.0585218319630399E-4</v>
      </c>
    </row>
    <row r="32066" spans="1:6" x14ac:dyDescent="0.25">
      <c r="A32066" s="2" t="str">
        <f t="shared" si="1162"/>
        <v>99999</v>
      </c>
      <c r="B32066" s="2" t="str">
        <f>"67860"</f>
        <v>67860</v>
      </c>
      <c r="C32066" s="1">
        <v>1.09138159961181E-7</v>
      </c>
      <c r="D32066" s="1">
        <v>0</v>
      </c>
      <c r="E32066" s="1">
        <v>0</v>
      </c>
      <c r="F32066" s="1">
        <v>9.9485134582992598E-8</v>
      </c>
    </row>
    <row r="32067" spans="1:6" x14ac:dyDescent="0.25">
      <c r="A32067" s="2" t="str">
        <f t="shared" si="1162"/>
        <v>99999</v>
      </c>
      <c r="B32067" s="2" t="str">
        <f>"67855"</f>
        <v>67855</v>
      </c>
      <c r="C32067" s="1">
        <v>4.7911652222958702E-5</v>
      </c>
      <c r="D32067" s="1">
        <v>3.9457669508630602E-5</v>
      </c>
      <c r="E32067" s="1">
        <v>2.1727699775335501E-5</v>
      </c>
      <c r="F32067" s="1">
        <v>4.6758013254006503E-5</v>
      </c>
    </row>
    <row r="32068" spans="1:6" x14ac:dyDescent="0.25">
      <c r="A32068" s="2" t="str">
        <f t="shared" si="1162"/>
        <v>99999</v>
      </c>
      <c r="B32068" s="2" t="str">
        <f>"67853"</f>
        <v>67853</v>
      </c>
      <c r="C32068" s="1">
        <v>3.00129939893249E-5</v>
      </c>
      <c r="D32068" s="1">
        <v>1.8211232080906399E-5</v>
      </c>
      <c r="E32068" s="1">
        <v>1.7382159820268399E-5</v>
      </c>
      <c r="F32068" s="1">
        <v>2.8950174163650799E-5</v>
      </c>
    </row>
    <row r="32069" spans="1:6" x14ac:dyDescent="0.25">
      <c r="A32069" s="2" t="str">
        <f t="shared" si="1162"/>
        <v>99999</v>
      </c>
      <c r="B32069" s="2" t="str">
        <f>"68055"</f>
        <v>68055</v>
      </c>
      <c r="C32069" s="1">
        <v>1.41879607949536E-5</v>
      </c>
      <c r="D32069" s="1">
        <v>3.0352053468177301E-6</v>
      </c>
      <c r="E32069" s="1">
        <v>4.3455399550671099E-6</v>
      </c>
      <c r="F32069" s="1">
        <v>1.3231522899537999E-5</v>
      </c>
    </row>
    <row r="32070" spans="1:6" x14ac:dyDescent="0.25">
      <c r="A32070" s="2" t="str">
        <f t="shared" si="1162"/>
        <v>99999</v>
      </c>
      <c r="B32070" s="2" t="str">
        <f>"67764"</f>
        <v>67764</v>
      </c>
      <c r="C32070" s="1">
        <v>2.3355566231692799E-5</v>
      </c>
      <c r="D32070" s="1">
        <v>9.1056160404532095E-6</v>
      </c>
      <c r="E32070" s="1">
        <v>8.69107991013423E-6</v>
      </c>
      <c r="F32070" s="1">
        <v>2.2085699877424301E-5</v>
      </c>
    </row>
    <row r="32071" spans="1:6" x14ac:dyDescent="0.25">
      <c r="A32071" s="2" t="str">
        <f t="shared" si="1162"/>
        <v>99999</v>
      </c>
      <c r="B32071" s="2" t="str">
        <f>"67837"</f>
        <v>67837</v>
      </c>
      <c r="C32071" s="1">
        <v>3.5142487507500497E-5</v>
      </c>
      <c r="D32071" s="1">
        <v>2.2764040101133E-5</v>
      </c>
      <c r="E32071" s="1">
        <v>4.3455399550671099E-6</v>
      </c>
      <c r="F32071" s="1">
        <v>3.3625975489051499E-5</v>
      </c>
    </row>
    <row r="32072" spans="1:6" x14ac:dyDescent="0.25">
      <c r="A32072" s="2" t="str">
        <f t="shared" si="1162"/>
        <v>99999</v>
      </c>
      <c r="B32072" s="2" t="str">
        <f>"67418"</f>
        <v>67418</v>
      </c>
      <c r="C32072" s="1">
        <v>1.06955396761958E-5</v>
      </c>
      <c r="D32072" s="1">
        <v>4.5528080202265997E-6</v>
      </c>
      <c r="E32072" s="1">
        <v>4.3455399550671099E-6</v>
      </c>
      <c r="F32072" s="1">
        <v>1.01474837274652E-5</v>
      </c>
    </row>
    <row r="32073" spans="1:6" x14ac:dyDescent="0.25">
      <c r="A32073" s="2" t="str">
        <f t="shared" si="1162"/>
        <v>99999</v>
      </c>
      <c r="B32073" s="2" t="str">
        <f>"67357"</f>
        <v>67357</v>
      </c>
      <c r="C32073" s="1">
        <v>1.9863145112935E-5</v>
      </c>
      <c r="D32073" s="1">
        <v>9.1056160404532095E-6</v>
      </c>
      <c r="E32073" s="1">
        <v>4.3455399550671099E-6</v>
      </c>
      <c r="F32073" s="1">
        <v>1.8802690436185601E-5</v>
      </c>
    </row>
    <row r="32074" spans="1:6" x14ac:dyDescent="0.25">
      <c r="A32074" s="2" t="str">
        <f t="shared" si="1162"/>
        <v>99999</v>
      </c>
      <c r="B32074" s="2" t="str">
        <f>"67344"</f>
        <v>67344</v>
      </c>
      <c r="C32074" s="1">
        <v>1.76803819137114E-5</v>
      </c>
      <c r="D32074" s="1">
        <v>1.51760267340886E-6</v>
      </c>
      <c r="E32074" s="1">
        <v>4.3455399550671099E-6</v>
      </c>
      <c r="F32074" s="1">
        <v>1.6315562071610699E-5</v>
      </c>
    </row>
    <row r="32075" spans="1:6" x14ac:dyDescent="0.25">
      <c r="A32075" s="2" t="str">
        <f t="shared" si="1162"/>
        <v>99999</v>
      </c>
      <c r="B32075" s="2" t="str">
        <f>"67657"</f>
        <v>67657</v>
      </c>
      <c r="C32075" s="1">
        <v>1.25508883955359E-5</v>
      </c>
      <c r="D32075" s="1">
        <v>3.0352053468177301E-6</v>
      </c>
      <c r="E32075" s="1">
        <v>4.3455399550671099E-6</v>
      </c>
      <c r="F32075" s="1">
        <v>1.17392458807931E-5</v>
      </c>
    </row>
    <row r="32076" spans="1:6" x14ac:dyDescent="0.25">
      <c r="A32076" s="2" t="str">
        <f t="shared" si="1162"/>
        <v>99999</v>
      </c>
      <c r="B32076" s="2" t="str">
        <f>"67640"</f>
        <v>67640</v>
      </c>
      <c r="C32076" s="1">
        <v>1.5388480554526601E-5</v>
      </c>
      <c r="D32076" s="1">
        <v>0</v>
      </c>
      <c r="E32076" s="1">
        <v>4.3455399550671099E-6</v>
      </c>
      <c r="F32076" s="1">
        <v>1.41268891107849E-5</v>
      </c>
    </row>
    <row r="32077" spans="1:6" x14ac:dyDescent="0.25">
      <c r="A32077" s="2" t="str">
        <f t="shared" si="1162"/>
        <v>99999</v>
      </c>
      <c r="B32077" s="2" t="str">
        <f>"67669"</f>
        <v>67669</v>
      </c>
      <c r="C32077" s="1">
        <v>1.0640970596215199E-4</v>
      </c>
      <c r="D32077" s="1">
        <v>2.03358758236788E-4</v>
      </c>
      <c r="E32077" s="1">
        <v>1.12984038831745E-4</v>
      </c>
      <c r="F32077" s="1">
        <v>1.12915627751696E-4</v>
      </c>
    </row>
    <row r="32078" spans="1:6" x14ac:dyDescent="0.25">
      <c r="A32078" s="2" t="str">
        <f t="shared" si="1162"/>
        <v>99999</v>
      </c>
      <c r="B32078" s="2" t="str">
        <f>"67651"</f>
        <v>67651</v>
      </c>
      <c r="C32078" s="1">
        <v>3.4378520387772203E-5</v>
      </c>
      <c r="D32078" s="1">
        <v>1.0623218713862E-5</v>
      </c>
      <c r="E32078" s="1">
        <v>2.1727699775335501E-5</v>
      </c>
      <c r="F32078" s="1">
        <v>3.2531639008638501E-5</v>
      </c>
    </row>
    <row r="32079" spans="1:6" x14ac:dyDescent="0.25">
      <c r="A32079" s="2" t="str">
        <f t="shared" si="1162"/>
        <v>99999</v>
      </c>
      <c r="B32079" s="2" t="str">
        <f>"67642"</f>
        <v>67642</v>
      </c>
      <c r="C32079" s="1">
        <v>1.0848333100141401E-4</v>
      </c>
      <c r="D32079" s="1">
        <v>3.2173176676268E-4</v>
      </c>
      <c r="E32079" s="1">
        <v>1.21675118741879E-4</v>
      </c>
      <c r="F32079" s="1">
        <v>1.2276465607541199E-4</v>
      </c>
    </row>
    <row r="32080" spans="1:6" x14ac:dyDescent="0.25">
      <c r="A32080" s="2" t="str">
        <f t="shared" si="1162"/>
        <v>99999</v>
      </c>
      <c r="B32080" s="2" t="str">
        <f>"67526"</f>
        <v>67526</v>
      </c>
      <c r="C32080" s="1">
        <v>2.5101776791071799E-6</v>
      </c>
      <c r="D32080" s="1">
        <v>1.51760267340886E-6</v>
      </c>
      <c r="E32080" s="1">
        <v>0</v>
      </c>
      <c r="F32080" s="1">
        <v>2.3876432299918199E-6</v>
      </c>
    </row>
    <row r="32081" spans="1:6" x14ac:dyDescent="0.25">
      <c r="A32081" s="2" t="str">
        <f t="shared" si="1162"/>
        <v>99999</v>
      </c>
      <c r="B32081" s="2" t="str">
        <f>"67570"</f>
        <v>67570</v>
      </c>
      <c r="C32081" s="1">
        <v>3.8198355986413598E-6</v>
      </c>
      <c r="D32081" s="1">
        <v>0</v>
      </c>
      <c r="E32081" s="1">
        <v>0</v>
      </c>
      <c r="F32081" s="1">
        <v>3.48197971040474E-6</v>
      </c>
    </row>
    <row r="32082" spans="1:6" x14ac:dyDescent="0.25">
      <c r="A32082" s="2" t="str">
        <f t="shared" ref="A32082:A32145" si="1163">"99999"</f>
        <v>99999</v>
      </c>
      <c r="B32082" s="2" t="str">
        <f>"67546"</f>
        <v>67546</v>
      </c>
      <c r="C32082" s="1">
        <v>5.6751843179814504E-6</v>
      </c>
      <c r="D32082" s="1">
        <v>0</v>
      </c>
      <c r="E32082" s="1">
        <v>0</v>
      </c>
      <c r="F32082" s="1">
        <v>5.1732269983156102E-6</v>
      </c>
    </row>
    <row r="32083" spans="1:6" x14ac:dyDescent="0.25">
      <c r="A32083" s="2" t="str">
        <f t="shared" si="1163"/>
        <v>99999</v>
      </c>
      <c r="B32083" s="2" t="str">
        <f>"67578"</f>
        <v>67578</v>
      </c>
      <c r="C32083" s="1">
        <v>9.4622784686344496E-5</v>
      </c>
      <c r="D32083" s="1">
        <v>1.73006704768611E-4</v>
      </c>
      <c r="E32083" s="1">
        <v>1.3036619865201299E-5</v>
      </c>
      <c r="F32083" s="1">
        <v>9.7893372429664696E-5</v>
      </c>
    </row>
    <row r="32084" spans="1:6" x14ac:dyDescent="0.25">
      <c r="A32084" s="2" t="str">
        <f t="shared" si="1163"/>
        <v>99999</v>
      </c>
      <c r="B32084" s="2" t="str">
        <f>"67436"</f>
        <v>67436</v>
      </c>
      <c r="C32084" s="1">
        <v>3.27414479883545E-6</v>
      </c>
      <c r="D32084" s="1">
        <v>1.51760267340886E-6</v>
      </c>
      <c r="E32084" s="1">
        <v>0</v>
      </c>
      <c r="F32084" s="1">
        <v>3.0840391720727701E-6</v>
      </c>
    </row>
    <row r="32085" spans="1:6" x14ac:dyDescent="0.25">
      <c r="A32085" s="2" t="str">
        <f t="shared" si="1163"/>
        <v>99999</v>
      </c>
      <c r="B32085" s="2" t="str">
        <f>"67444"</f>
        <v>67444</v>
      </c>
      <c r="C32085" s="1">
        <v>3.8744046786219498E-5</v>
      </c>
      <c r="D32085" s="1">
        <v>1.8211232080906399E-5</v>
      </c>
      <c r="E32085" s="1">
        <v>1.7382159820268399E-5</v>
      </c>
      <c r="F32085" s="1">
        <v>3.6908984930290199E-5</v>
      </c>
    </row>
    <row r="32086" spans="1:6" x14ac:dyDescent="0.25">
      <c r="A32086" s="2" t="str">
        <f t="shared" si="1163"/>
        <v>99999</v>
      </c>
      <c r="B32086" s="2" t="str">
        <f>"67452"</f>
        <v>67452</v>
      </c>
      <c r="C32086" s="1">
        <v>1.06955396761958E-5</v>
      </c>
      <c r="D32086" s="1">
        <v>3.0352053468177301E-6</v>
      </c>
      <c r="E32086" s="1">
        <v>4.3455399550671099E-6</v>
      </c>
      <c r="F32086" s="1">
        <v>1.0047998592882199E-5</v>
      </c>
    </row>
    <row r="32087" spans="1:6" x14ac:dyDescent="0.25">
      <c r="A32087" s="2" t="str">
        <f t="shared" si="1163"/>
        <v>99999</v>
      </c>
      <c r="B32087" s="2" t="str">
        <f>"67468"</f>
        <v>67468</v>
      </c>
      <c r="C32087" s="1">
        <v>1.7462105593788999E-5</v>
      </c>
      <c r="D32087" s="1">
        <v>0</v>
      </c>
      <c r="E32087" s="1">
        <v>4.3455399550671099E-6</v>
      </c>
      <c r="F32087" s="1">
        <v>1.6017106667861799E-5</v>
      </c>
    </row>
    <row r="32088" spans="1:6" x14ac:dyDescent="0.25">
      <c r="A32088" s="2" t="str">
        <f t="shared" si="1163"/>
        <v>99999</v>
      </c>
      <c r="B32088" s="2" t="str">
        <f>"67024"</f>
        <v>67024</v>
      </c>
      <c r="C32088" s="1">
        <v>3.8962323106141801E-5</v>
      </c>
      <c r="D32088" s="1">
        <v>9.1056160404532095E-6</v>
      </c>
      <c r="E32088" s="1">
        <v>1.3036619865201299E-5</v>
      </c>
      <c r="F32088" s="1">
        <v>3.6411559257375301E-5</v>
      </c>
    </row>
    <row r="32089" spans="1:6" x14ac:dyDescent="0.25">
      <c r="A32089" s="2" t="str">
        <f t="shared" si="1163"/>
        <v>99999</v>
      </c>
      <c r="B32089" s="2" t="str">
        <f>"66955"</f>
        <v>66955</v>
      </c>
      <c r="C32089" s="1">
        <v>1.09138159961181E-5</v>
      </c>
      <c r="D32089" s="1">
        <v>1.51760267340886E-6</v>
      </c>
      <c r="E32089" s="1">
        <v>6.9528639281073799E-5</v>
      </c>
      <c r="F32089" s="1">
        <v>1.1639760746210099E-5</v>
      </c>
    </row>
    <row r="32090" spans="1:6" x14ac:dyDescent="0.25">
      <c r="A32090" s="2" t="str">
        <f t="shared" si="1163"/>
        <v>99999</v>
      </c>
      <c r="B32090" s="2" t="str">
        <f>"66952"</f>
        <v>66952</v>
      </c>
      <c r="C32090" s="1">
        <v>3.6997836226840599E-5</v>
      </c>
      <c r="D32090" s="1">
        <v>3.7940066835221703E-5</v>
      </c>
      <c r="E32090" s="1">
        <v>1.3036619865201299E-5</v>
      </c>
      <c r="F32090" s="1">
        <v>3.6511044391958198E-5</v>
      </c>
    </row>
    <row r="32091" spans="1:6" x14ac:dyDescent="0.25">
      <c r="A32091" s="2" t="str">
        <f t="shared" si="1163"/>
        <v>99999</v>
      </c>
      <c r="B32091" s="2" t="str">
        <f>"66943"</f>
        <v>66943</v>
      </c>
      <c r="C32091" s="1">
        <v>3.1104375588936701E-5</v>
      </c>
      <c r="D32091" s="1">
        <v>1.21408213872709E-5</v>
      </c>
      <c r="E32091" s="1">
        <v>1.3036619865201299E-5</v>
      </c>
      <c r="F32091" s="1">
        <v>2.9447599836565802E-5</v>
      </c>
    </row>
    <row r="32092" spans="1:6" x14ac:dyDescent="0.25">
      <c r="A32092" s="2" t="str">
        <f t="shared" si="1163"/>
        <v>99999</v>
      </c>
      <c r="B32092" s="2" t="str">
        <f>"66942"</f>
        <v>66942</v>
      </c>
      <c r="C32092" s="1">
        <v>1.7243829273866699E-5</v>
      </c>
      <c r="D32092" s="1">
        <v>0</v>
      </c>
      <c r="E32092" s="1">
        <v>8.69107991013423E-6</v>
      </c>
      <c r="F32092" s="1">
        <v>1.59176215332788E-5</v>
      </c>
    </row>
    <row r="32093" spans="1:6" x14ac:dyDescent="0.25">
      <c r="A32093" s="2" t="str">
        <f t="shared" si="1163"/>
        <v>99999</v>
      </c>
      <c r="B32093" s="2" t="str">
        <f>"66937"</f>
        <v>66937</v>
      </c>
      <c r="C32093" s="1">
        <v>4.8239066702842302E-5</v>
      </c>
      <c r="D32093" s="1">
        <v>5.7668901589537E-5</v>
      </c>
      <c r="E32093" s="1">
        <v>1.3036619865201299E-5</v>
      </c>
      <c r="F32093" s="1">
        <v>4.8051320003585402E-5</v>
      </c>
    </row>
    <row r="32094" spans="1:6" x14ac:dyDescent="0.25">
      <c r="A32094" s="2" t="str">
        <f t="shared" si="1163"/>
        <v>99999</v>
      </c>
      <c r="B32094" s="2" t="str">
        <f>"66871"</f>
        <v>66871</v>
      </c>
      <c r="C32094" s="1">
        <v>7.2140323734341103E-5</v>
      </c>
      <c r="D32094" s="1">
        <v>1.21408213872709E-5</v>
      </c>
      <c r="E32094" s="1">
        <v>1.3036619865201299E-5</v>
      </c>
      <c r="F32094" s="1">
        <v>6.6854010439771003E-5</v>
      </c>
    </row>
    <row r="32095" spans="1:6" x14ac:dyDescent="0.25">
      <c r="A32095" s="2" t="str">
        <f t="shared" si="1163"/>
        <v>99999</v>
      </c>
      <c r="B32095" s="2" t="str">
        <f>"67073"</f>
        <v>67073</v>
      </c>
      <c r="C32095" s="1">
        <v>1.51702042346042E-5</v>
      </c>
      <c r="D32095" s="1">
        <v>1.66936294074975E-5</v>
      </c>
      <c r="E32095" s="1">
        <v>4.3455399550671099E-6</v>
      </c>
      <c r="F32095" s="1">
        <v>1.50222553220318E-5</v>
      </c>
    </row>
    <row r="32096" spans="1:6" x14ac:dyDescent="0.25">
      <c r="A32096" s="2" t="str">
        <f t="shared" si="1163"/>
        <v>99999</v>
      </c>
      <c r="B32096" s="2" t="str">
        <f>"67068"</f>
        <v>67068</v>
      </c>
      <c r="C32096" s="1">
        <v>2.3388307679681199E-4</v>
      </c>
      <c r="D32096" s="1">
        <v>3.9912950310653199E-4</v>
      </c>
      <c r="E32096" s="1">
        <v>1.9989483793308701E-4</v>
      </c>
      <c r="F32096" s="1">
        <v>2.4393754999749699E-4</v>
      </c>
    </row>
    <row r="32097" spans="1:6" x14ac:dyDescent="0.25">
      <c r="A32097" s="2" t="str">
        <f t="shared" si="1163"/>
        <v>99999</v>
      </c>
      <c r="B32097" s="2" t="str">
        <f>"67057"</f>
        <v>67057</v>
      </c>
      <c r="C32097" s="1">
        <v>1.5388480554526601E-5</v>
      </c>
      <c r="D32097" s="1">
        <v>2.5799245447950699E-5</v>
      </c>
      <c r="E32097" s="1">
        <v>8.69107991013423E-6</v>
      </c>
      <c r="F32097" s="1">
        <v>1.59176215332788E-5</v>
      </c>
    </row>
    <row r="32098" spans="1:6" x14ac:dyDescent="0.25">
      <c r="A32098" s="2" t="str">
        <f t="shared" si="1163"/>
        <v>99999</v>
      </c>
      <c r="B32098" s="2" t="str">
        <f>"67150"</f>
        <v>67150</v>
      </c>
      <c r="C32098" s="1">
        <v>3.1650066388742701E-6</v>
      </c>
      <c r="D32098" s="1">
        <v>0</v>
      </c>
      <c r="E32098" s="1">
        <v>4.3455399550671099E-6</v>
      </c>
      <c r="F32098" s="1">
        <v>2.9845540374897699E-6</v>
      </c>
    </row>
    <row r="32099" spans="1:6" x14ac:dyDescent="0.25">
      <c r="A32099" s="2" t="str">
        <f t="shared" si="1163"/>
        <v>99999</v>
      </c>
      <c r="B32099" s="2" t="str">
        <f>"67142"</f>
        <v>67142</v>
      </c>
      <c r="C32099" s="1">
        <v>2.4556085991265801E-5</v>
      </c>
      <c r="D32099" s="1">
        <v>2.2764040101133E-5</v>
      </c>
      <c r="E32099" s="1">
        <v>8.69107991013423E-6</v>
      </c>
      <c r="F32099" s="1">
        <v>2.40754025690842E-5</v>
      </c>
    </row>
    <row r="32100" spans="1:6" x14ac:dyDescent="0.25">
      <c r="A32100" s="2" t="str">
        <f t="shared" si="1163"/>
        <v>99999</v>
      </c>
      <c r="B32100" s="2" t="str">
        <f>"66781"</f>
        <v>66781</v>
      </c>
      <c r="C32100" s="1">
        <v>6.9521007895272707E-5</v>
      </c>
      <c r="D32100" s="1">
        <v>9.1056160404532095E-6</v>
      </c>
      <c r="E32100" s="1">
        <v>1.3036619865201299E-5</v>
      </c>
      <c r="F32100" s="1">
        <v>6.4267396940613205E-5</v>
      </c>
    </row>
    <row r="32101" spans="1:6" x14ac:dyDescent="0.25">
      <c r="A32101" s="2" t="str">
        <f t="shared" si="1163"/>
        <v>99999</v>
      </c>
      <c r="B32101" s="2" t="str">
        <f>"66770"</f>
        <v>66770</v>
      </c>
      <c r="C32101" s="1">
        <v>5.0967520701871799E-5</v>
      </c>
      <c r="D32101" s="1">
        <v>1.9728834754315301E-5</v>
      </c>
      <c r="E32101" s="1">
        <v>8.8214461087862401E-4</v>
      </c>
      <c r="F32101" s="1">
        <v>6.7948346920183899E-5</v>
      </c>
    </row>
    <row r="32102" spans="1:6" x14ac:dyDescent="0.25">
      <c r="A32102" s="2" t="str">
        <f t="shared" si="1163"/>
        <v>99999</v>
      </c>
      <c r="B32102" s="2" t="str">
        <f>"67036"</f>
        <v>67036</v>
      </c>
      <c r="C32102" s="1">
        <v>6.5482895976709E-6</v>
      </c>
      <c r="D32102" s="1">
        <v>1.51760267340886E-6</v>
      </c>
      <c r="E32102" s="1">
        <v>4.3455399550671099E-6</v>
      </c>
      <c r="F32102" s="1">
        <v>6.1680783441455402E-6</v>
      </c>
    </row>
    <row r="32103" spans="1:6" x14ac:dyDescent="0.25">
      <c r="A32103" s="2" t="str">
        <f t="shared" si="1163"/>
        <v>99999</v>
      </c>
      <c r="B32103" s="2" t="str">
        <f>"67054"</f>
        <v>67054</v>
      </c>
      <c r="C32103" s="1">
        <v>6.2427027497795901E-5</v>
      </c>
      <c r="D32103" s="1">
        <v>1.94253142196335E-4</v>
      </c>
      <c r="E32103" s="1">
        <v>9.9947418966543598E-5</v>
      </c>
      <c r="F32103" s="1">
        <v>7.1927752303503595E-5</v>
      </c>
    </row>
    <row r="32104" spans="1:6" x14ac:dyDescent="0.25">
      <c r="A32104" s="2" t="str">
        <f t="shared" si="1163"/>
        <v>99999</v>
      </c>
      <c r="B32104" s="2" t="str">
        <f>"66728"</f>
        <v>66728</v>
      </c>
      <c r="C32104" s="1">
        <v>0</v>
      </c>
      <c r="D32104" s="1">
        <v>0</v>
      </c>
      <c r="E32104" s="1">
        <v>4.3455399550671099E-6</v>
      </c>
      <c r="F32104" s="1">
        <v>9.9485134582992598E-8</v>
      </c>
    </row>
    <row r="32105" spans="1:6" x14ac:dyDescent="0.25">
      <c r="A32105" s="2" t="str">
        <f t="shared" si="1163"/>
        <v>99999</v>
      </c>
      <c r="B32105" s="2" t="str">
        <f>"66738"</f>
        <v>66738</v>
      </c>
      <c r="C32105" s="1">
        <v>2.2045908312158699E-5</v>
      </c>
      <c r="D32105" s="1">
        <v>6.0704106936354696E-6</v>
      </c>
      <c r="E32105" s="1">
        <v>4.3455399550671099E-6</v>
      </c>
      <c r="F32105" s="1">
        <v>2.0593422858679401E-5</v>
      </c>
    </row>
    <row r="32106" spans="1:6" x14ac:dyDescent="0.25">
      <c r="A32106" s="2" t="str">
        <f t="shared" si="1163"/>
        <v>99999</v>
      </c>
      <c r="B32106" s="2" t="str">
        <f>"66714"</f>
        <v>66714</v>
      </c>
      <c r="C32106" s="1">
        <v>1.7789520073672599E-5</v>
      </c>
      <c r="D32106" s="1">
        <v>0</v>
      </c>
      <c r="E32106" s="1">
        <v>8.69107991013423E-6</v>
      </c>
      <c r="F32106" s="1">
        <v>1.6415047206193701E-5</v>
      </c>
    </row>
    <row r="32107" spans="1:6" x14ac:dyDescent="0.25">
      <c r="A32107" s="2" t="str">
        <f t="shared" si="1163"/>
        <v>99999</v>
      </c>
      <c r="B32107" s="2" t="str">
        <f>"66434"</f>
        <v>66434</v>
      </c>
      <c r="C32107" s="1">
        <v>2.6913470246427401E-4</v>
      </c>
      <c r="D32107" s="1">
        <v>5.43301757080375E-4</v>
      </c>
      <c r="E32107" s="1">
        <v>3.3895211649523501E-4</v>
      </c>
      <c r="F32107" s="1">
        <v>2.8870586055984397E-4</v>
      </c>
    </row>
    <row r="32108" spans="1:6" x14ac:dyDescent="0.25">
      <c r="A32108" s="2" t="str">
        <f t="shared" si="1163"/>
        <v>99999</v>
      </c>
      <c r="B32108" s="2" t="str">
        <f>"66403"</f>
        <v>66403</v>
      </c>
      <c r="C32108" s="1">
        <v>3.6670421746956999E-5</v>
      </c>
      <c r="D32108" s="1">
        <v>3.9457669508630602E-5</v>
      </c>
      <c r="E32108" s="1">
        <v>2.1727699775335501E-5</v>
      </c>
      <c r="F32108" s="1">
        <v>3.6511044391958198E-5</v>
      </c>
    </row>
    <row r="32109" spans="1:6" x14ac:dyDescent="0.25">
      <c r="A32109" s="2" t="str">
        <f t="shared" si="1163"/>
        <v>99999</v>
      </c>
      <c r="B32109" s="2" t="str">
        <f>"66701"</f>
        <v>66701</v>
      </c>
      <c r="C32109" s="1">
        <v>7.2271289526294497E-4</v>
      </c>
      <c r="D32109" s="1">
        <v>9.7430091632849398E-4</v>
      </c>
      <c r="E32109" s="1">
        <v>3.9978967586617401E-4</v>
      </c>
      <c r="F32109" s="1">
        <v>7.3181264999249297E-4</v>
      </c>
    </row>
    <row r="32110" spans="1:6" x14ac:dyDescent="0.25">
      <c r="A32110" s="2" t="str">
        <f t="shared" si="1163"/>
        <v>99999</v>
      </c>
      <c r="B32110" s="2" t="str">
        <f>"66550"</f>
        <v>66550</v>
      </c>
      <c r="C32110" s="1">
        <v>2.69571255104118E-5</v>
      </c>
      <c r="D32110" s="1">
        <v>2.4281642774541899E-5</v>
      </c>
      <c r="E32110" s="1">
        <v>4.3455399550671099E-6</v>
      </c>
      <c r="F32110" s="1">
        <v>2.6264075529910002E-5</v>
      </c>
    </row>
    <row r="32111" spans="1:6" x14ac:dyDescent="0.25">
      <c r="A32111" s="2" t="str">
        <f t="shared" si="1163"/>
        <v>99999</v>
      </c>
      <c r="B32111" s="2" t="str">
        <f>"65652"</f>
        <v>65652</v>
      </c>
      <c r="C32111" s="1">
        <v>3.2741447988354498E-7</v>
      </c>
      <c r="D32111" s="1">
        <v>0</v>
      </c>
      <c r="E32111" s="1">
        <v>0</v>
      </c>
      <c r="F32111" s="1">
        <v>2.9845540374897701E-7</v>
      </c>
    </row>
    <row r="32112" spans="1:6" x14ac:dyDescent="0.25">
      <c r="A32112" s="2" t="str">
        <f t="shared" si="1163"/>
        <v>99999</v>
      </c>
      <c r="B32112" s="2" t="str">
        <f>"65669"</f>
        <v>65669</v>
      </c>
      <c r="C32112" s="1">
        <v>1.2987441035380599E-5</v>
      </c>
      <c r="D32112" s="1">
        <v>0</v>
      </c>
      <c r="E32112" s="1">
        <v>4.3455399550671099E-6</v>
      </c>
      <c r="F32112" s="1">
        <v>1.19382161499591E-5</v>
      </c>
    </row>
    <row r="32113" spans="1:6" x14ac:dyDescent="0.25">
      <c r="A32113" s="2" t="str">
        <f t="shared" si="1163"/>
        <v>99999</v>
      </c>
      <c r="B32113" s="2" t="str">
        <f>"65668"</f>
        <v>65668</v>
      </c>
      <c r="C32113" s="1">
        <v>1.8149676001544501E-4</v>
      </c>
      <c r="D32113" s="1">
        <v>1.6845389674838401E-4</v>
      </c>
      <c r="E32113" s="1">
        <v>1.6513051829255E-4</v>
      </c>
      <c r="F32113" s="1">
        <v>1.80267063864382E-4</v>
      </c>
    </row>
    <row r="32114" spans="1:6" x14ac:dyDescent="0.25">
      <c r="A32114" s="2" t="str">
        <f t="shared" si="1163"/>
        <v>99999</v>
      </c>
      <c r="B32114" s="2" t="str">
        <f>"65647"</f>
        <v>65647</v>
      </c>
      <c r="C32114" s="1">
        <v>1.2583629843524201E-4</v>
      </c>
      <c r="D32114" s="1">
        <v>2.88344507947685E-5</v>
      </c>
      <c r="E32114" s="1">
        <v>1.2602065869694599E-4</v>
      </c>
      <c r="F32114" s="1">
        <v>1.19481646634174E-4</v>
      </c>
    </row>
    <row r="32115" spans="1:6" x14ac:dyDescent="0.25">
      <c r="A32115" s="2" t="str">
        <f t="shared" si="1163"/>
        <v>99999</v>
      </c>
      <c r="B32115" s="2" t="str">
        <f>"65646"</f>
        <v>65646</v>
      </c>
      <c r="C32115" s="1">
        <v>1.30092686673728E-4</v>
      </c>
      <c r="D32115" s="1">
        <v>1.5176026734088599E-5</v>
      </c>
      <c r="E32115" s="1">
        <v>1.3036619865201299E-5</v>
      </c>
      <c r="F32115" s="1">
        <v>1.1987958717250601E-4</v>
      </c>
    </row>
    <row r="32116" spans="1:6" x14ac:dyDescent="0.25">
      <c r="A32116" s="2" t="str">
        <f t="shared" si="1163"/>
        <v>99999</v>
      </c>
      <c r="B32116" s="2" t="str">
        <f>"65626"</f>
        <v>65626</v>
      </c>
      <c r="C32116" s="1">
        <v>3.8962323106141801E-5</v>
      </c>
      <c r="D32116" s="1">
        <v>9.1056160404532095E-6</v>
      </c>
      <c r="E32116" s="1">
        <v>0</v>
      </c>
      <c r="F32116" s="1">
        <v>3.6113103853626299E-5</v>
      </c>
    </row>
    <row r="32117" spans="1:6" x14ac:dyDescent="0.25">
      <c r="A32117" s="2" t="str">
        <f t="shared" si="1163"/>
        <v>99999</v>
      </c>
      <c r="B32117" s="2" t="str">
        <f>"65616"</f>
        <v>65616</v>
      </c>
      <c r="C32117" s="1">
        <v>1.34676489392098E-4</v>
      </c>
      <c r="D32117" s="1">
        <v>1.15337803179074E-4</v>
      </c>
      <c r="E32117" s="1">
        <v>5.3884695442832202E-4</v>
      </c>
      <c r="F32117" s="1">
        <v>1.4266168299201099E-4</v>
      </c>
    </row>
    <row r="32118" spans="1:6" x14ac:dyDescent="0.25">
      <c r="A32118" s="2" t="str">
        <f t="shared" si="1163"/>
        <v>99999</v>
      </c>
      <c r="B32118" s="2" t="str">
        <f>"65766"</f>
        <v>65766</v>
      </c>
      <c r="C32118" s="1">
        <v>1.4842789754720701E-5</v>
      </c>
      <c r="D32118" s="1">
        <v>3.0352053468177301E-6</v>
      </c>
      <c r="E32118" s="1">
        <v>4.3455399550671099E-6</v>
      </c>
      <c r="F32118" s="1">
        <v>1.3828433707035901E-5</v>
      </c>
    </row>
    <row r="32119" spans="1:6" x14ac:dyDescent="0.25">
      <c r="A32119" s="2" t="str">
        <f t="shared" si="1163"/>
        <v>99999</v>
      </c>
      <c r="B32119" s="2" t="str">
        <f>"65774"</f>
        <v>65774</v>
      </c>
      <c r="C32119" s="1">
        <v>9.1457778047470203E-5</v>
      </c>
      <c r="D32119" s="1">
        <v>2.5799245447950699E-5</v>
      </c>
      <c r="E32119" s="1">
        <v>3.0418779685469802E-5</v>
      </c>
      <c r="F32119" s="1">
        <v>8.5756186010539596E-5</v>
      </c>
    </row>
    <row r="32120" spans="1:6" x14ac:dyDescent="0.25">
      <c r="A32120" s="2" t="str">
        <f t="shared" si="1163"/>
        <v>99999</v>
      </c>
      <c r="B32120" s="2" t="str">
        <f>"65772"</f>
        <v>65772</v>
      </c>
      <c r="C32120" s="1">
        <v>1.2321698259617399E-4</v>
      </c>
      <c r="D32120" s="1">
        <v>4.5528080202266E-5</v>
      </c>
      <c r="E32120" s="1">
        <v>2.1727699775335501E-5</v>
      </c>
      <c r="F32120" s="1">
        <v>1.1580069665460301E-4</v>
      </c>
    </row>
    <row r="32121" spans="1:6" x14ac:dyDescent="0.25">
      <c r="A32121" s="2" t="str">
        <f t="shared" si="1163"/>
        <v>99999</v>
      </c>
      <c r="B32121" s="2" t="str">
        <f>"65769"</f>
        <v>65769</v>
      </c>
      <c r="C32121" s="1">
        <v>1.4264357506926399E-4</v>
      </c>
      <c r="D32121" s="1">
        <v>2.1246437427724101E-5</v>
      </c>
      <c r="E32121" s="1">
        <v>1.7382159820268399E-5</v>
      </c>
      <c r="F32121" s="1">
        <v>1.31817803322465E-4</v>
      </c>
    </row>
    <row r="32122" spans="1:6" x14ac:dyDescent="0.25">
      <c r="A32122" s="2" t="str">
        <f t="shared" si="1163"/>
        <v>99999</v>
      </c>
      <c r="B32122" s="2" t="str">
        <f>"65754"</f>
        <v>65754</v>
      </c>
      <c r="C32122" s="1">
        <v>8.7310527968945299E-7</v>
      </c>
      <c r="D32122" s="1">
        <v>0</v>
      </c>
      <c r="E32122" s="1">
        <v>0</v>
      </c>
      <c r="F32122" s="1">
        <v>7.9588107666394099E-7</v>
      </c>
    </row>
    <row r="32123" spans="1:6" x14ac:dyDescent="0.25">
      <c r="A32123" s="2" t="str">
        <f t="shared" si="1163"/>
        <v>99999</v>
      </c>
      <c r="B32123" s="2" t="str">
        <f>"65738"</f>
        <v>65738</v>
      </c>
      <c r="C32123" s="1">
        <v>1.7462105593789001E-6</v>
      </c>
      <c r="D32123" s="1">
        <v>0</v>
      </c>
      <c r="E32123" s="1">
        <v>0</v>
      </c>
      <c r="F32123" s="1">
        <v>1.5917621533278801E-6</v>
      </c>
    </row>
    <row r="32124" spans="1:6" x14ac:dyDescent="0.25">
      <c r="A32124" s="2" t="str">
        <f t="shared" si="1163"/>
        <v>99999</v>
      </c>
      <c r="B32124" s="2" t="str">
        <f>"65589"</f>
        <v>65589</v>
      </c>
      <c r="C32124" s="1">
        <v>1.12412304760017E-5</v>
      </c>
      <c r="D32124" s="1">
        <v>3.0352053468177301E-6</v>
      </c>
      <c r="E32124" s="1">
        <v>0</v>
      </c>
      <c r="F32124" s="1">
        <v>1.04459391312142E-5</v>
      </c>
    </row>
    <row r="32125" spans="1:6" x14ac:dyDescent="0.25">
      <c r="A32125" s="2" t="str">
        <f t="shared" si="1163"/>
        <v>99999</v>
      </c>
      <c r="B32125" s="2" t="str">
        <f>"65603"</f>
        <v>65603</v>
      </c>
      <c r="C32125" s="1">
        <v>9.9315725564675307E-6</v>
      </c>
      <c r="D32125" s="1">
        <v>3.0352053468177301E-6</v>
      </c>
      <c r="E32125" s="1">
        <v>8.69107991013423E-6</v>
      </c>
      <c r="F32125" s="1">
        <v>9.4510877853842998E-6</v>
      </c>
    </row>
    <row r="32126" spans="1:6" x14ac:dyDescent="0.25">
      <c r="A32126" s="2" t="str">
        <f t="shared" si="1163"/>
        <v>99999</v>
      </c>
      <c r="B32126" s="2" t="str">
        <f>"65612"</f>
        <v>65612</v>
      </c>
      <c r="C32126" s="1">
        <v>4.1472500785249E-6</v>
      </c>
      <c r="D32126" s="1">
        <v>0</v>
      </c>
      <c r="E32126" s="1">
        <v>0</v>
      </c>
      <c r="F32126" s="1">
        <v>3.7804351141537199E-6</v>
      </c>
    </row>
    <row r="32127" spans="1:6" x14ac:dyDescent="0.25">
      <c r="A32127" s="2" t="str">
        <f t="shared" si="1163"/>
        <v>99999</v>
      </c>
      <c r="B32127" s="2" t="str">
        <f>"65610"</f>
        <v>65610</v>
      </c>
      <c r="C32127" s="1">
        <v>3.7543527026646502E-5</v>
      </c>
      <c r="D32127" s="1">
        <v>4.5528080202265997E-6</v>
      </c>
      <c r="E32127" s="1">
        <v>4.3455399550671099E-6</v>
      </c>
      <c r="F32127" s="1">
        <v>3.4620826834881403E-5</v>
      </c>
    </row>
    <row r="32128" spans="1:6" x14ac:dyDescent="0.25">
      <c r="A32128" s="2" t="str">
        <f t="shared" si="1163"/>
        <v>99999</v>
      </c>
      <c r="B32128" s="2" t="str">
        <f>"65609"</f>
        <v>65609</v>
      </c>
      <c r="C32128" s="1">
        <v>4.2018191585054898E-5</v>
      </c>
      <c r="D32128" s="1">
        <v>9.1056160404532095E-6</v>
      </c>
      <c r="E32128" s="1">
        <v>4.3455399550671099E-6</v>
      </c>
      <c r="F32128" s="1">
        <v>3.89981727565331E-5</v>
      </c>
    </row>
    <row r="32129" spans="1:6" x14ac:dyDescent="0.25">
      <c r="A32129" s="2" t="str">
        <f t="shared" si="1163"/>
        <v>99999</v>
      </c>
      <c r="B32129" s="2" t="str">
        <f>"65706"</f>
        <v>65706</v>
      </c>
      <c r="C32129" s="1">
        <v>1.09138159961181E-7</v>
      </c>
      <c r="D32129" s="1">
        <v>0</v>
      </c>
      <c r="E32129" s="1">
        <v>0</v>
      </c>
      <c r="F32129" s="1">
        <v>9.9485134582992598E-8</v>
      </c>
    </row>
    <row r="32130" spans="1:6" x14ac:dyDescent="0.25">
      <c r="A32130" s="2" t="str">
        <f t="shared" si="1163"/>
        <v>99999</v>
      </c>
      <c r="B32130" s="2" t="str">
        <f>"65690"</f>
        <v>65690</v>
      </c>
      <c r="C32130" s="1">
        <v>3.53607638274228E-5</v>
      </c>
      <c r="D32130" s="1">
        <v>2.1246437427724101E-5</v>
      </c>
      <c r="E32130" s="1">
        <v>4.3455399550671099E-6</v>
      </c>
      <c r="F32130" s="1">
        <v>3.3725460623634497E-5</v>
      </c>
    </row>
    <row r="32131" spans="1:6" x14ac:dyDescent="0.25">
      <c r="A32131" s="2" t="str">
        <f t="shared" si="1163"/>
        <v>99999</v>
      </c>
      <c r="B32131" s="2" t="str">
        <f>"65681"</f>
        <v>65681</v>
      </c>
      <c r="C32131" s="1">
        <v>1.4428064746868199E-4</v>
      </c>
      <c r="D32131" s="1">
        <v>9.2573763077941E-5</v>
      </c>
      <c r="E32131" s="1">
        <v>2.1727699775335501E-5</v>
      </c>
      <c r="F32131" s="1">
        <v>1.3808536680119299E-4</v>
      </c>
    </row>
    <row r="32132" spans="1:6" x14ac:dyDescent="0.25">
      <c r="A32132" s="2" t="str">
        <f t="shared" si="1163"/>
        <v>99999</v>
      </c>
      <c r="B32132" s="2" t="str">
        <f>"65676"</f>
        <v>65676</v>
      </c>
      <c r="C32132" s="1">
        <v>3.52516256674617E-5</v>
      </c>
      <c r="D32132" s="1">
        <v>7.5880133670443404E-6</v>
      </c>
      <c r="E32132" s="1">
        <v>3.47643196405369E-5</v>
      </c>
      <c r="F32132" s="1">
        <v>3.3427005219885502E-5</v>
      </c>
    </row>
    <row r="32133" spans="1:6" x14ac:dyDescent="0.25">
      <c r="A32133" s="2" t="str">
        <f t="shared" si="1163"/>
        <v>99999</v>
      </c>
      <c r="B32133" s="2" t="str">
        <f>"65541"</f>
        <v>65541</v>
      </c>
      <c r="C32133" s="1">
        <v>2.0954526712546801E-5</v>
      </c>
      <c r="D32133" s="1">
        <v>3.0352053468177301E-6</v>
      </c>
      <c r="E32133" s="1">
        <v>4.3455399550671099E-6</v>
      </c>
      <c r="F32133" s="1">
        <v>1.9399601243683501E-5</v>
      </c>
    </row>
    <row r="32134" spans="1:6" x14ac:dyDescent="0.25">
      <c r="A32134" s="2" t="str">
        <f t="shared" si="1163"/>
        <v>99999</v>
      </c>
      <c r="B32134" s="2" t="str">
        <f>"65559"</f>
        <v>65559</v>
      </c>
      <c r="C32134" s="1">
        <v>3.6124730947151102E-5</v>
      </c>
      <c r="D32134" s="1">
        <v>4.5528080202265997E-6</v>
      </c>
      <c r="E32134" s="1">
        <v>0</v>
      </c>
      <c r="F32134" s="1">
        <v>3.3228034950719498E-5</v>
      </c>
    </row>
    <row r="32135" spans="1:6" x14ac:dyDescent="0.25">
      <c r="A32135" s="2" t="str">
        <f t="shared" si="1163"/>
        <v>99999</v>
      </c>
      <c r="B32135" s="2" t="str">
        <f>"65247"</f>
        <v>65247</v>
      </c>
      <c r="C32135" s="1">
        <v>3.7216112546762902E-5</v>
      </c>
      <c r="D32135" s="1">
        <v>7.5880133670443404E-6</v>
      </c>
      <c r="E32135" s="1">
        <v>2.1727699775335501E-5</v>
      </c>
      <c r="F32135" s="1">
        <v>3.4919282238630398E-5</v>
      </c>
    </row>
    <row r="32136" spans="1:6" x14ac:dyDescent="0.25">
      <c r="A32136" s="2" t="str">
        <f t="shared" si="1163"/>
        <v>99999</v>
      </c>
      <c r="B32136" s="2" t="str">
        <f>"65468"</f>
        <v>65468</v>
      </c>
      <c r="C32136" s="1">
        <v>4.9112171982531701E-6</v>
      </c>
      <c r="D32136" s="1">
        <v>3.0352053468177301E-6</v>
      </c>
      <c r="E32136" s="1">
        <v>4.3455399550671099E-6</v>
      </c>
      <c r="F32136" s="1">
        <v>4.7752864599836398E-6</v>
      </c>
    </row>
    <row r="32137" spans="1:6" x14ac:dyDescent="0.25">
      <c r="A32137" s="2" t="str">
        <f t="shared" si="1163"/>
        <v>99999</v>
      </c>
      <c r="B32137" s="2" t="str">
        <f>"65535"</f>
        <v>65535</v>
      </c>
      <c r="C32137" s="1">
        <v>9.4295370206461004E-5</v>
      </c>
      <c r="D32137" s="1">
        <v>4.5528080202266E-5</v>
      </c>
      <c r="E32137" s="1">
        <v>3.9109859595604001E-5</v>
      </c>
      <c r="F32137" s="1">
        <v>8.9835076528442298E-5</v>
      </c>
    </row>
    <row r="32138" spans="1:6" x14ac:dyDescent="0.25">
      <c r="A32138" s="2" t="str">
        <f t="shared" si="1163"/>
        <v>99999</v>
      </c>
      <c r="B32138" s="2" t="str">
        <f>"65452"</f>
        <v>65452</v>
      </c>
      <c r="C32138" s="1">
        <v>7.2031185574379897E-6</v>
      </c>
      <c r="D32138" s="1">
        <v>0</v>
      </c>
      <c r="E32138" s="1">
        <v>0</v>
      </c>
      <c r="F32138" s="1">
        <v>6.5660188824775097E-6</v>
      </c>
    </row>
    <row r="32139" spans="1:6" x14ac:dyDescent="0.25">
      <c r="A32139" s="2" t="str">
        <f t="shared" si="1163"/>
        <v>99999</v>
      </c>
      <c r="B32139" s="2" t="str">
        <f>"64779"</f>
        <v>64779</v>
      </c>
      <c r="C32139" s="1">
        <v>2.4665224151227E-5</v>
      </c>
      <c r="D32139" s="1">
        <v>1.21408213872709E-5</v>
      </c>
      <c r="E32139" s="1">
        <v>0</v>
      </c>
      <c r="F32139" s="1">
        <v>2.3279521492420199E-5</v>
      </c>
    </row>
    <row r="32140" spans="1:6" x14ac:dyDescent="0.25">
      <c r="A32140" s="2" t="str">
        <f t="shared" si="1163"/>
        <v>99999</v>
      </c>
      <c r="B32140" s="2" t="str">
        <f>"64790"</f>
        <v>64790</v>
      </c>
      <c r="C32140" s="1">
        <v>4.3982678464356202E-5</v>
      </c>
      <c r="D32140" s="1">
        <v>1.5176026734088599E-5</v>
      </c>
      <c r="E32140" s="1">
        <v>1.3036619865201299E-5</v>
      </c>
      <c r="F32140" s="1">
        <v>4.1385815986524902E-5</v>
      </c>
    </row>
    <row r="32141" spans="1:6" x14ac:dyDescent="0.25">
      <c r="A32141" s="2" t="str">
        <f t="shared" si="1163"/>
        <v>99999</v>
      </c>
      <c r="B32141" s="2" t="str">
        <f>"65075"</f>
        <v>65075</v>
      </c>
      <c r="C32141" s="1">
        <v>3.6124730947151102E-5</v>
      </c>
      <c r="D32141" s="1">
        <v>1.8211232080906399E-5</v>
      </c>
      <c r="E32141" s="1">
        <v>1.3036619865201299E-5</v>
      </c>
      <c r="F32141" s="1">
        <v>3.4421856565715399E-5</v>
      </c>
    </row>
    <row r="32142" spans="1:6" x14ac:dyDescent="0.25">
      <c r="A32142" s="2" t="str">
        <f t="shared" si="1163"/>
        <v>99999</v>
      </c>
      <c r="B32142" s="2" t="str">
        <f>"65072"</f>
        <v>65072</v>
      </c>
      <c r="C32142" s="1">
        <v>1.80077963935949E-4</v>
      </c>
      <c r="D32142" s="1">
        <v>5.15984908959015E-5</v>
      </c>
      <c r="E32142" s="1">
        <v>1.0429295892161E-4</v>
      </c>
      <c r="F32142" s="1">
        <v>1.69920609867751E-4</v>
      </c>
    </row>
    <row r="32143" spans="1:6" x14ac:dyDescent="0.25">
      <c r="A32143" s="2" t="str">
        <f t="shared" si="1163"/>
        <v>99999</v>
      </c>
      <c r="B32143" s="2" t="str">
        <f>"65049"</f>
        <v>65049</v>
      </c>
      <c r="C32143" s="1">
        <v>7.7870077132303095E-4</v>
      </c>
      <c r="D32143" s="1">
        <v>1.04866344732552E-3</v>
      </c>
      <c r="E32143" s="1">
        <v>2.0206760791061998E-3</v>
      </c>
      <c r="F32143" s="1">
        <v>8.2483125082759095E-4</v>
      </c>
    </row>
    <row r="32144" spans="1:6" x14ac:dyDescent="0.25">
      <c r="A32144" s="2" t="str">
        <f t="shared" si="1163"/>
        <v>99999</v>
      </c>
      <c r="B32144" s="2" t="str">
        <f>"64733"</f>
        <v>64733</v>
      </c>
      <c r="C32144" s="1">
        <v>1.1459506795924E-5</v>
      </c>
      <c r="D32144" s="1">
        <v>6.0704106936354696E-6</v>
      </c>
      <c r="E32144" s="1">
        <v>0</v>
      </c>
      <c r="F32144" s="1">
        <v>1.0843879669546099E-5</v>
      </c>
    </row>
    <row r="32145" spans="1:6" x14ac:dyDescent="0.25">
      <c r="A32145" s="2" t="str">
        <f t="shared" si="1163"/>
        <v>99999</v>
      </c>
      <c r="B32145" s="2" t="str">
        <f>"64761"</f>
        <v>64761</v>
      </c>
      <c r="C32145" s="1">
        <v>7.0939803974768102E-6</v>
      </c>
      <c r="D32145" s="1">
        <v>0</v>
      </c>
      <c r="E32145" s="1">
        <v>0</v>
      </c>
      <c r="F32145" s="1">
        <v>6.4665337478945197E-6</v>
      </c>
    </row>
    <row r="32146" spans="1:6" x14ac:dyDescent="0.25">
      <c r="A32146" s="2" t="str">
        <f t="shared" ref="A32146:A32209" si="1164">"99999"</f>
        <v>99999</v>
      </c>
      <c r="B32146" s="2" t="str">
        <f>"64865"</f>
        <v>64865</v>
      </c>
      <c r="C32146" s="1">
        <v>1.73529674338278E-5</v>
      </c>
      <c r="D32146" s="1">
        <v>4.5528080202265997E-6</v>
      </c>
      <c r="E32146" s="1">
        <v>0</v>
      </c>
      <c r="F32146" s="1">
        <v>1.61165918024448E-5</v>
      </c>
    </row>
    <row r="32147" spans="1:6" x14ac:dyDescent="0.25">
      <c r="A32147" s="2" t="str">
        <f t="shared" si="1164"/>
        <v>99999</v>
      </c>
      <c r="B32147" s="2" t="str">
        <f>"64680"</f>
        <v>64680</v>
      </c>
      <c r="C32147" s="1">
        <v>0</v>
      </c>
      <c r="D32147" s="1">
        <v>1.51760267340886E-6</v>
      </c>
      <c r="E32147" s="1">
        <v>0</v>
      </c>
      <c r="F32147" s="1">
        <v>9.9485134582992598E-8</v>
      </c>
    </row>
    <row r="32148" spans="1:6" x14ac:dyDescent="0.25">
      <c r="A32148" s="2" t="str">
        <f t="shared" si="1164"/>
        <v>99999</v>
      </c>
      <c r="B32148" s="2" t="str">
        <f>"64661"</f>
        <v>64661</v>
      </c>
      <c r="C32148" s="1">
        <v>5.99168498186887E-5</v>
      </c>
      <c r="D32148" s="1">
        <v>3.7940066835221703E-5</v>
      </c>
      <c r="E32148" s="1">
        <v>2.60732397304027E-5</v>
      </c>
      <c r="F32148" s="1">
        <v>5.7701378058135702E-5</v>
      </c>
    </row>
    <row r="32149" spans="1:6" x14ac:dyDescent="0.25">
      <c r="A32149" s="2" t="str">
        <f t="shared" si="1164"/>
        <v>99999</v>
      </c>
      <c r="B32149" s="2" t="str">
        <f>"64660"</f>
        <v>64660</v>
      </c>
      <c r="C32149" s="1">
        <v>2.9903855829363701E-5</v>
      </c>
      <c r="D32149" s="1">
        <v>1.3658424060679801E-5</v>
      </c>
      <c r="E32149" s="1">
        <v>4.3455399550671099E-6</v>
      </c>
      <c r="F32149" s="1">
        <v>2.8253778221569901E-5</v>
      </c>
    </row>
    <row r="32150" spans="1:6" x14ac:dyDescent="0.25">
      <c r="A32150" s="2" t="str">
        <f t="shared" si="1164"/>
        <v>99999</v>
      </c>
      <c r="B32150" s="2" t="str">
        <f>"64654"</f>
        <v>64654</v>
      </c>
      <c r="C32150" s="1">
        <v>0</v>
      </c>
      <c r="D32150" s="1">
        <v>0</v>
      </c>
      <c r="E32150" s="1">
        <v>4.3455399550671099E-6</v>
      </c>
      <c r="F32150" s="1">
        <v>9.9485134582992598E-8</v>
      </c>
    </row>
    <row r="32151" spans="1:6" x14ac:dyDescent="0.25">
      <c r="A32151" s="2" t="str">
        <f t="shared" si="1164"/>
        <v>99999</v>
      </c>
      <c r="B32151" s="2" t="str">
        <f>"64645"</f>
        <v>64645</v>
      </c>
      <c r="C32151" s="1">
        <v>1.7571243753750201E-5</v>
      </c>
      <c r="D32151" s="1">
        <v>1.21408213872709E-5</v>
      </c>
      <c r="E32151" s="1">
        <v>8.69107991013423E-6</v>
      </c>
      <c r="F32151" s="1">
        <v>1.7011958013691699E-5</v>
      </c>
    </row>
    <row r="32152" spans="1:6" x14ac:dyDescent="0.25">
      <c r="A32152" s="2" t="str">
        <f t="shared" si="1164"/>
        <v>99999</v>
      </c>
      <c r="B32152" s="2" t="str">
        <f>"64632"</f>
        <v>64632</v>
      </c>
      <c r="C32152" s="1">
        <v>4.7584237743075203E-5</v>
      </c>
      <c r="D32152" s="1">
        <v>1.0623218713862E-5</v>
      </c>
      <c r="E32152" s="1">
        <v>8.69107991013423E-6</v>
      </c>
      <c r="F32152" s="1">
        <v>4.4270884889431703E-5</v>
      </c>
    </row>
    <row r="32153" spans="1:6" x14ac:dyDescent="0.25">
      <c r="A32153" s="2" t="str">
        <f t="shared" si="1164"/>
        <v>99999</v>
      </c>
      <c r="B32153" s="2" t="str">
        <f>"64475"</f>
        <v>64475</v>
      </c>
      <c r="C32153" s="1">
        <v>4.3655263984472599E-6</v>
      </c>
      <c r="D32153" s="1">
        <v>4.5528080202265997E-6</v>
      </c>
      <c r="E32153" s="1">
        <v>0</v>
      </c>
      <c r="F32153" s="1">
        <v>4.2778607870686803E-6</v>
      </c>
    </row>
    <row r="32154" spans="1:6" x14ac:dyDescent="0.25">
      <c r="A32154" s="2" t="str">
        <f t="shared" si="1164"/>
        <v>99999</v>
      </c>
      <c r="B32154" s="2" t="str">
        <f>"64497"</f>
        <v>64497</v>
      </c>
      <c r="C32154" s="1">
        <v>8.6219146369333496E-6</v>
      </c>
      <c r="D32154" s="1">
        <v>3.0352053468177301E-6</v>
      </c>
      <c r="E32154" s="1">
        <v>0</v>
      </c>
      <c r="F32154" s="1">
        <v>8.0582959012224002E-6</v>
      </c>
    </row>
    <row r="32155" spans="1:6" x14ac:dyDescent="0.25">
      <c r="A32155" s="2" t="str">
        <f t="shared" si="1164"/>
        <v>99999</v>
      </c>
      <c r="B32155" s="2" t="str">
        <f>"64429"</f>
        <v>64429</v>
      </c>
      <c r="C32155" s="1">
        <v>4.2563882384860804E-6</v>
      </c>
      <c r="D32155" s="1">
        <v>1.51760267340886E-6</v>
      </c>
      <c r="E32155" s="1">
        <v>0</v>
      </c>
      <c r="F32155" s="1">
        <v>3.9794053833197E-6</v>
      </c>
    </row>
    <row r="32156" spans="1:6" x14ac:dyDescent="0.25">
      <c r="A32156" s="2" t="str">
        <f t="shared" si="1164"/>
        <v>99999</v>
      </c>
      <c r="B32156" s="2" t="str">
        <f>"64035"</f>
        <v>64035</v>
      </c>
      <c r="C32156" s="1">
        <v>4.3655263984472602E-7</v>
      </c>
      <c r="D32156" s="1">
        <v>0</v>
      </c>
      <c r="E32156" s="1">
        <v>0</v>
      </c>
      <c r="F32156" s="1">
        <v>3.9794053833197002E-7</v>
      </c>
    </row>
    <row r="32157" spans="1:6" x14ac:dyDescent="0.25">
      <c r="A32157" s="2" t="str">
        <f t="shared" si="1164"/>
        <v>99999</v>
      </c>
      <c r="B32157" s="2" t="str">
        <f>"63966"</f>
        <v>63966</v>
      </c>
      <c r="C32157" s="1">
        <v>0</v>
      </c>
      <c r="D32157" s="1">
        <v>1.51760267340886E-6</v>
      </c>
      <c r="E32157" s="1">
        <v>0</v>
      </c>
      <c r="F32157" s="1">
        <v>9.9485134582992598E-8</v>
      </c>
    </row>
    <row r="32158" spans="1:6" x14ac:dyDescent="0.25">
      <c r="A32158" s="2" t="str">
        <f t="shared" si="1164"/>
        <v>99999</v>
      </c>
      <c r="B32158" s="2" t="str">
        <f>"63936"</f>
        <v>63936</v>
      </c>
      <c r="C32158" s="1">
        <v>4.4637507424123302E-5</v>
      </c>
      <c r="D32158" s="1">
        <v>4.7045682875674899E-5</v>
      </c>
      <c r="E32158" s="1">
        <v>2.1727699775335501E-5</v>
      </c>
      <c r="F32158" s="1">
        <v>4.4270884889431703E-5</v>
      </c>
    </row>
    <row r="32159" spans="1:6" x14ac:dyDescent="0.25">
      <c r="A32159" s="2" t="str">
        <f t="shared" si="1164"/>
        <v>99999</v>
      </c>
      <c r="B32159" s="2" t="str">
        <f>"63901"</f>
        <v>63901</v>
      </c>
      <c r="C32159" s="1">
        <v>1.52793423945654E-6</v>
      </c>
      <c r="D32159" s="1">
        <v>0</v>
      </c>
      <c r="E32159" s="1">
        <v>0</v>
      </c>
      <c r="F32159" s="1">
        <v>1.39279188416189E-6</v>
      </c>
    </row>
    <row r="32160" spans="1:6" x14ac:dyDescent="0.25">
      <c r="A32160" s="2" t="str">
        <f t="shared" si="1164"/>
        <v>99999</v>
      </c>
      <c r="B32160" s="2" t="str">
        <f>"63873"</f>
        <v>63873</v>
      </c>
      <c r="C32160" s="1">
        <v>2.4370551119331799E-4</v>
      </c>
      <c r="D32160" s="1">
        <v>2.9593252131472901E-4</v>
      </c>
      <c r="E32160" s="1">
        <v>2.3900469752869099E-4</v>
      </c>
      <c r="F32160" s="1">
        <v>2.4702158916957E-4</v>
      </c>
    </row>
    <row r="32161" spans="1:6" x14ac:dyDescent="0.25">
      <c r="A32161" s="2" t="str">
        <f t="shared" si="1164"/>
        <v>99999</v>
      </c>
      <c r="B32161" s="2" t="str">
        <f>"63560"</f>
        <v>63560</v>
      </c>
      <c r="C32161" s="1">
        <v>1.4078822634992399E-5</v>
      </c>
      <c r="D32161" s="1">
        <v>0</v>
      </c>
      <c r="E32161" s="1">
        <v>2.1727699775335501E-5</v>
      </c>
      <c r="F32161" s="1">
        <v>1.3331008034121E-5</v>
      </c>
    </row>
    <row r="32162" spans="1:6" x14ac:dyDescent="0.25">
      <c r="A32162" s="2" t="str">
        <f t="shared" si="1164"/>
        <v>99999</v>
      </c>
      <c r="B32162" s="2" t="str">
        <f>"63556"</f>
        <v>63556</v>
      </c>
      <c r="C32162" s="1">
        <v>2.0910871448562399E-4</v>
      </c>
      <c r="D32162" s="1">
        <v>3.46013409537222E-4</v>
      </c>
      <c r="E32162" s="1">
        <v>2.6507793725909402E-4</v>
      </c>
      <c r="F32162" s="1">
        <v>2.19364721755498E-4</v>
      </c>
    </row>
    <row r="32163" spans="1:6" x14ac:dyDescent="0.25">
      <c r="A32163" s="2" t="str">
        <f t="shared" si="1164"/>
        <v>99999</v>
      </c>
      <c r="B32163" s="2" t="str">
        <f>"63534"</f>
        <v>63534</v>
      </c>
      <c r="C32163" s="1">
        <v>5.12949351817554E-5</v>
      </c>
      <c r="D32163" s="1">
        <v>1.66936294074975E-5</v>
      </c>
      <c r="E32163" s="1">
        <v>3.0418779685469802E-5</v>
      </c>
      <c r="F32163" s="1">
        <v>4.8548745676500402E-5</v>
      </c>
    </row>
    <row r="32164" spans="1:6" x14ac:dyDescent="0.25">
      <c r="A32164" s="2" t="str">
        <f t="shared" si="1164"/>
        <v>99999</v>
      </c>
      <c r="B32164" s="2" t="str">
        <f>"63462"</f>
        <v>63462</v>
      </c>
      <c r="C32164" s="1">
        <v>9.9315725564675307E-6</v>
      </c>
      <c r="D32164" s="1">
        <v>0</v>
      </c>
      <c r="E32164" s="1">
        <v>0</v>
      </c>
      <c r="F32164" s="1">
        <v>9.0531472470523294E-6</v>
      </c>
    </row>
    <row r="32165" spans="1:6" x14ac:dyDescent="0.25">
      <c r="A32165" s="2" t="str">
        <f t="shared" si="1164"/>
        <v>99999</v>
      </c>
      <c r="B32165" s="2" t="str">
        <f>"63532"</f>
        <v>63532</v>
      </c>
      <c r="C32165" s="1">
        <v>8.0653100211313303E-5</v>
      </c>
      <c r="D32165" s="1">
        <v>6.2221709609763595E-5</v>
      </c>
      <c r="E32165" s="1">
        <v>5.21464794608054E-5</v>
      </c>
      <c r="F32165" s="1">
        <v>7.8792226589730107E-5</v>
      </c>
    </row>
    <row r="32166" spans="1:6" x14ac:dyDescent="0.25">
      <c r="A32166" s="2" t="str">
        <f t="shared" si="1164"/>
        <v>99999</v>
      </c>
      <c r="B32166" s="2" t="str">
        <f>"63459"</f>
        <v>63459</v>
      </c>
      <c r="C32166" s="1">
        <v>2.4010395191459898E-6</v>
      </c>
      <c r="D32166" s="1">
        <v>0</v>
      </c>
      <c r="E32166" s="1">
        <v>0</v>
      </c>
      <c r="F32166" s="1">
        <v>2.1886729608258301E-6</v>
      </c>
    </row>
    <row r="32167" spans="1:6" x14ac:dyDescent="0.25">
      <c r="A32167" s="2" t="str">
        <f t="shared" si="1164"/>
        <v>99999</v>
      </c>
      <c r="B32167" s="2" t="str">
        <f>"63849"</f>
        <v>63849</v>
      </c>
      <c r="C32167" s="1">
        <v>5.5660461580202599E-6</v>
      </c>
      <c r="D32167" s="1">
        <v>1.51760267340886E-6</v>
      </c>
      <c r="E32167" s="1">
        <v>4.3455399550671099E-6</v>
      </c>
      <c r="F32167" s="1">
        <v>5.2727121328986002E-6</v>
      </c>
    </row>
    <row r="32168" spans="1:6" x14ac:dyDescent="0.25">
      <c r="A32168" s="2" t="str">
        <f t="shared" si="1164"/>
        <v>99999</v>
      </c>
      <c r="B32168" s="2" t="str">
        <f>"63841"</f>
        <v>63841</v>
      </c>
      <c r="C32168" s="1">
        <v>7.3100739541999502E-4</v>
      </c>
      <c r="D32168" s="1">
        <v>1.13213159436301E-3</v>
      </c>
      <c r="E32168" s="1">
        <v>5.2146479460805396E-4</v>
      </c>
      <c r="F32168" s="1">
        <v>7.5250555798575601E-4</v>
      </c>
    </row>
    <row r="32169" spans="1:6" x14ac:dyDescent="0.25">
      <c r="A32169" s="2" t="str">
        <f t="shared" si="1164"/>
        <v>99999</v>
      </c>
      <c r="B32169" s="2" t="str">
        <f>"63830"</f>
        <v>63830</v>
      </c>
      <c r="C32169" s="1">
        <v>3.5164315139492698E-4</v>
      </c>
      <c r="D32169" s="1">
        <v>4.4465758330879801E-4</v>
      </c>
      <c r="E32169" s="1">
        <v>3.2591549663003302E-4</v>
      </c>
      <c r="F32169" s="1">
        <v>3.5715163315294299E-4</v>
      </c>
    </row>
    <row r="32170" spans="1:6" x14ac:dyDescent="0.25">
      <c r="A32170" s="2" t="str">
        <f t="shared" si="1164"/>
        <v>99999</v>
      </c>
      <c r="B32170" s="2" t="str">
        <f>"63825"</f>
        <v>63825</v>
      </c>
      <c r="C32170" s="1">
        <v>2.2646168191945199E-4</v>
      </c>
      <c r="D32170" s="1">
        <v>1.5327787001429501E-4</v>
      </c>
      <c r="E32170" s="1">
        <v>6.5183099326006705E-5</v>
      </c>
      <c r="F32170" s="1">
        <v>2.1797192987133601E-4</v>
      </c>
    </row>
    <row r="32171" spans="1:6" x14ac:dyDescent="0.25">
      <c r="A32171" s="2" t="str">
        <f t="shared" si="1164"/>
        <v>99999</v>
      </c>
      <c r="B32171" s="2" t="str">
        <f>"63674"</f>
        <v>63674</v>
      </c>
      <c r="C32171" s="1">
        <v>0</v>
      </c>
      <c r="D32171" s="1">
        <v>0</v>
      </c>
      <c r="E32171" s="1">
        <v>4.3455399550671099E-6</v>
      </c>
      <c r="F32171" s="1">
        <v>9.9485134582992598E-8</v>
      </c>
    </row>
    <row r="32172" spans="1:6" x14ac:dyDescent="0.25">
      <c r="A32172" s="2" t="str">
        <f t="shared" si="1164"/>
        <v>99999</v>
      </c>
      <c r="B32172" s="2" t="str">
        <f>"63655"</f>
        <v>63655</v>
      </c>
      <c r="C32172" s="1">
        <v>8.13079291710803E-5</v>
      </c>
      <c r="D32172" s="1">
        <v>1.3658424060679801E-5</v>
      </c>
      <c r="E32172" s="1">
        <v>1.3036619865201299E-5</v>
      </c>
      <c r="F32172" s="1">
        <v>7.5310246879325396E-5</v>
      </c>
    </row>
    <row r="32173" spans="1:6" x14ac:dyDescent="0.25">
      <c r="A32173" s="2" t="str">
        <f t="shared" si="1164"/>
        <v>99999</v>
      </c>
      <c r="B32173" s="2" t="str">
        <f>"63648"</f>
        <v>63648</v>
      </c>
      <c r="C32173" s="1">
        <v>5.0094415422182397E-5</v>
      </c>
      <c r="D32173" s="1">
        <v>3.0352053468177301E-6</v>
      </c>
      <c r="E32173" s="1">
        <v>8.69107991013423E-6</v>
      </c>
      <c r="F32173" s="1">
        <v>4.60616173119255E-5</v>
      </c>
    </row>
    <row r="32174" spans="1:6" x14ac:dyDescent="0.25">
      <c r="A32174" s="2" t="str">
        <f t="shared" si="1164"/>
        <v>99999</v>
      </c>
      <c r="B32174" s="2" t="str">
        <f>"63738"</f>
        <v>63738</v>
      </c>
      <c r="C32174" s="1">
        <v>2.1827631992236301E-7</v>
      </c>
      <c r="D32174" s="1">
        <v>0</v>
      </c>
      <c r="E32174" s="1">
        <v>8.69107991013423E-6</v>
      </c>
      <c r="F32174" s="1">
        <v>3.9794053833197002E-7</v>
      </c>
    </row>
    <row r="32175" spans="1:6" x14ac:dyDescent="0.25">
      <c r="A32175" s="2" t="str">
        <f t="shared" si="1164"/>
        <v>99999</v>
      </c>
      <c r="B32175" s="2" t="str">
        <f>"63735"</f>
        <v>63735</v>
      </c>
      <c r="C32175" s="1">
        <v>3.3723691428005097E-5</v>
      </c>
      <c r="D32175" s="1">
        <v>2.4281642774541899E-5</v>
      </c>
      <c r="E32175" s="1">
        <v>4.3455399550671099E-6</v>
      </c>
      <c r="F32175" s="1">
        <v>3.2432153874055598E-5</v>
      </c>
    </row>
    <row r="32176" spans="1:6" x14ac:dyDescent="0.25">
      <c r="A32176" s="2" t="str">
        <f t="shared" si="1164"/>
        <v>99999</v>
      </c>
      <c r="B32176" s="2" t="str">
        <f>"63434"</f>
        <v>63434</v>
      </c>
      <c r="C32176" s="1">
        <v>3.1650066388742699E-5</v>
      </c>
      <c r="D32176" s="1">
        <v>3.9457669508630602E-5</v>
      </c>
      <c r="E32176" s="1">
        <v>3.0418779685469802E-5</v>
      </c>
      <c r="F32176" s="1">
        <v>3.2133698470306602E-5</v>
      </c>
    </row>
    <row r="32177" spans="1:6" x14ac:dyDescent="0.25">
      <c r="A32177" s="2" t="str">
        <f t="shared" si="1164"/>
        <v>99999</v>
      </c>
      <c r="B32177" s="2" t="str">
        <f>"63640"</f>
        <v>63640</v>
      </c>
      <c r="C32177" s="1">
        <v>7.8142922532206102E-5</v>
      </c>
      <c r="D32177" s="1">
        <v>1.66936294074975E-5</v>
      </c>
      <c r="E32177" s="1">
        <v>0</v>
      </c>
      <c r="F32177" s="1">
        <v>7.2325692841835603E-5</v>
      </c>
    </row>
    <row r="32178" spans="1:6" x14ac:dyDescent="0.25">
      <c r="A32178" s="2" t="str">
        <f t="shared" si="1164"/>
        <v>99999</v>
      </c>
      <c r="B32178" s="2" t="str">
        <f>"63620"</f>
        <v>63620</v>
      </c>
      <c r="C32178" s="1">
        <v>1.13176271879745E-4</v>
      </c>
      <c r="D32178" s="1">
        <v>5.0080888222492601E-5</v>
      </c>
      <c r="E32178" s="1">
        <v>1.6513051829255E-4</v>
      </c>
      <c r="F32178" s="1">
        <v>1.1022952911795499E-4</v>
      </c>
    </row>
    <row r="32179" spans="1:6" x14ac:dyDescent="0.25">
      <c r="A32179" s="2" t="str">
        <f t="shared" si="1164"/>
        <v>99999</v>
      </c>
      <c r="B32179" s="2" t="str">
        <f>"63353"</f>
        <v>63353</v>
      </c>
      <c r="C32179" s="1">
        <v>2.8921612389713102E-4</v>
      </c>
      <c r="D32179" s="1">
        <v>5.1598490895901497E-4</v>
      </c>
      <c r="E32179" s="1">
        <v>3.5633427631550301E-4</v>
      </c>
      <c r="F32179" s="1">
        <v>3.05618333438953E-4</v>
      </c>
    </row>
    <row r="32180" spans="1:6" x14ac:dyDescent="0.25">
      <c r="A32180" s="2" t="str">
        <f t="shared" si="1164"/>
        <v>99999</v>
      </c>
      <c r="B32180" s="2" t="str">
        <f>"63336"</f>
        <v>63336</v>
      </c>
      <c r="C32180" s="1">
        <v>7.7378955412477801E-5</v>
      </c>
      <c r="D32180" s="1">
        <v>2.5799245447950699E-5</v>
      </c>
      <c r="E32180" s="1">
        <v>5.21464794608054E-5</v>
      </c>
      <c r="F32180" s="1">
        <v>7.3420029322248499E-5</v>
      </c>
    </row>
    <row r="32181" spans="1:6" x14ac:dyDescent="0.25">
      <c r="A32181" s="2" t="str">
        <f t="shared" si="1164"/>
        <v>99999</v>
      </c>
      <c r="B32181" s="2" t="str">
        <f>"63334"</f>
        <v>63334</v>
      </c>
      <c r="C32181" s="1">
        <v>3.5579040147345201E-4</v>
      </c>
      <c r="D32181" s="1">
        <v>6.1766428807740901E-4</v>
      </c>
      <c r="E32181" s="1">
        <v>4.5193615532698002E-4</v>
      </c>
      <c r="F32181" s="1">
        <v>3.7515844251246499E-4</v>
      </c>
    </row>
    <row r="32182" spans="1:6" x14ac:dyDescent="0.25">
      <c r="A32182" s="2" t="str">
        <f t="shared" si="1164"/>
        <v>99999</v>
      </c>
      <c r="B32182" s="2" t="str">
        <f>"63028"</f>
        <v>63028</v>
      </c>
      <c r="C32182" s="1">
        <v>3.5142487507500497E-5</v>
      </c>
      <c r="D32182" s="1">
        <v>1.51760267340886E-6</v>
      </c>
      <c r="E32182" s="1">
        <v>0</v>
      </c>
      <c r="F32182" s="1">
        <v>3.2133698470306602E-5</v>
      </c>
    </row>
    <row r="32183" spans="1:6" x14ac:dyDescent="0.25">
      <c r="A32183" s="2" t="str">
        <f t="shared" si="1164"/>
        <v>99999</v>
      </c>
      <c r="B32183" s="2" t="str">
        <f>"62992"</f>
        <v>62992</v>
      </c>
      <c r="C32183" s="1">
        <v>4.8020790382919898E-5</v>
      </c>
      <c r="D32183" s="1">
        <v>4.2492874855448297E-5</v>
      </c>
      <c r="E32183" s="1">
        <v>2.60732397304027E-5</v>
      </c>
      <c r="F32183" s="1">
        <v>4.7155953792338497E-5</v>
      </c>
    </row>
    <row r="32184" spans="1:6" x14ac:dyDescent="0.25">
      <c r="A32184" s="2" t="str">
        <f t="shared" si="1164"/>
        <v>99999</v>
      </c>
      <c r="B32184" s="2" t="str">
        <f>"62985"</f>
        <v>62985</v>
      </c>
      <c r="C32184" s="1">
        <v>2.4665224151227E-5</v>
      </c>
      <c r="D32184" s="1">
        <v>1.21408213872709E-5</v>
      </c>
      <c r="E32184" s="1">
        <v>0</v>
      </c>
      <c r="F32184" s="1">
        <v>2.3279521492420199E-5</v>
      </c>
    </row>
    <row r="32185" spans="1:6" x14ac:dyDescent="0.25">
      <c r="A32185" s="2" t="str">
        <f t="shared" si="1164"/>
        <v>99999</v>
      </c>
      <c r="B32185" s="2" t="str">
        <f>"63037"</f>
        <v>63037</v>
      </c>
      <c r="C32185" s="1">
        <v>5.4569079980590801E-7</v>
      </c>
      <c r="D32185" s="1">
        <v>0</v>
      </c>
      <c r="E32185" s="1">
        <v>0</v>
      </c>
      <c r="F32185" s="1">
        <v>4.9742567291496303E-7</v>
      </c>
    </row>
    <row r="32186" spans="1:6" x14ac:dyDescent="0.25">
      <c r="A32186" s="2" t="str">
        <f t="shared" si="1164"/>
        <v>99999</v>
      </c>
      <c r="B32186" s="2" t="str">
        <f>"62972"</f>
        <v>62972</v>
      </c>
      <c r="C32186" s="1">
        <v>1.9644868793012701E-6</v>
      </c>
      <c r="D32186" s="1">
        <v>0</v>
      </c>
      <c r="E32186" s="1">
        <v>0</v>
      </c>
      <c r="F32186" s="1">
        <v>1.79073242249386E-6</v>
      </c>
    </row>
    <row r="32187" spans="1:6" x14ac:dyDescent="0.25">
      <c r="A32187" s="2" t="str">
        <f t="shared" si="1164"/>
        <v>99999</v>
      </c>
      <c r="B32187" s="2" t="str">
        <f>"62838"</f>
        <v>62838</v>
      </c>
      <c r="C32187" s="1">
        <v>7.7378955412477801E-5</v>
      </c>
      <c r="D32187" s="1">
        <v>5.6151298916128101E-5</v>
      </c>
      <c r="E32187" s="1">
        <v>1.3036619865201299E-5</v>
      </c>
      <c r="F32187" s="1">
        <v>7.4514365802661394E-5</v>
      </c>
    </row>
    <row r="32188" spans="1:6" x14ac:dyDescent="0.25">
      <c r="A32188" s="2" t="str">
        <f t="shared" si="1164"/>
        <v>99999</v>
      </c>
      <c r="B32188" s="2" t="str">
        <f>"62823"</f>
        <v>62823</v>
      </c>
      <c r="C32188" s="1">
        <v>8.0980514691196795E-5</v>
      </c>
      <c r="D32188" s="1">
        <v>1.66936294074975E-5</v>
      </c>
      <c r="E32188" s="1">
        <v>4.3455399550671099E-6</v>
      </c>
      <c r="F32188" s="1">
        <v>7.5011791475576394E-5</v>
      </c>
    </row>
    <row r="32189" spans="1:6" x14ac:dyDescent="0.25">
      <c r="A32189" s="2" t="str">
        <f t="shared" si="1164"/>
        <v>99999</v>
      </c>
      <c r="B32189" s="2" t="str">
        <f>"62822"</f>
        <v>62822</v>
      </c>
      <c r="C32189" s="1">
        <v>1.6916414793983101E-4</v>
      </c>
      <c r="D32189" s="1">
        <v>1.94253142196335E-4</v>
      </c>
      <c r="E32189" s="1">
        <v>6.9528639281073799E-5</v>
      </c>
      <c r="F32189" s="1">
        <v>1.6852781798358901E-4</v>
      </c>
    </row>
    <row r="32190" spans="1:6" x14ac:dyDescent="0.25">
      <c r="A32190" s="2" t="str">
        <f t="shared" si="1164"/>
        <v>99999</v>
      </c>
      <c r="B32190" s="2" t="str">
        <f>"62934"</f>
        <v>62934</v>
      </c>
      <c r="C32190" s="1">
        <v>4.0490257345598397E-5</v>
      </c>
      <c r="D32190" s="1">
        <v>3.3387258814995101E-5</v>
      </c>
      <c r="E32190" s="1">
        <v>3.9109859595604001E-5</v>
      </c>
      <c r="F32190" s="1">
        <v>3.9993024102362997E-5</v>
      </c>
    </row>
    <row r="32191" spans="1:6" x14ac:dyDescent="0.25">
      <c r="A32191" s="2" t="str">
        <f t="shared" si="1164"/>
        <v>99999</v>
      </c>
      <c r="B32191" s="2" t="str">
        <f>"62896"</f>
        <v>62896</v>
      </c>
      <c r="C32191" s="1">
        <v>6.47080150409846E-4</v>
      </c>
      <c r="D32191" s="1">
        <v>7.1934366719580403E-4</v>
      </c>
      <c r="E32191" s="1">
        <v>5.3450141447325503E-4</v>
      </c>
      <c r="F32191" s="1">
        <v>6.4923998828860896E-4</v>
      </c>
    </row>
    <row r="32192" spans="1:6" x14ac:dyDescent="0.25">
      <c r="A32192" s="2" t="str">
        <f t="shared" si="1164"/>
        <v>99999</v>
      </c>
      <c r="B32192" s="2" t="str">
        <f>"62890"</f>
        <v>62890</v>
      </c>
      <c r="C32192" s="1">
        <v>1.2409008787586301E-4</v>
      </c>
      <c r="D32192" s="1">
        <v>7.4362530997034595E-5</v>
      </c>
      <c r="E32192" s="1">
        <v>1.3036619865201299E-5</v>
      </c>
      <c r="F32192" s="1">
        <v>1.18287825019178E-4</v>
      </c>
    </row>
    <row r="32193" spans="1:6" x14ac:dyDescent="0.25">
      <c r="A32193" s="2" t="str">
        <f t="shared" si="1164"/>
        <v>99999</v>
      </c>
      <c r="B32193" s="2" t="str">
        <f>"62917"</f>
        <v>62917</v>
      </c>
      <c r="C32193" s="1">
        <v>1.14158515319396E-4</v>
      </c>
      <c r="D32193" s="1">
        <v>3.6422464161812797E-5</v>
      </c>
      <c r="E32193" s="1">
        <v>9.1256339056409395E-5</v>
      </c>
      <c r="F32193" s="1">
        <v>1.08538281830044E-4</v>
      </c>
    </row>
    <row r="32194" spans="1:6" x14ac:dyDescent="0.25">
      <c r="A32194" s="2" t="str">
        <f t="shared" si="1164"/>
        <v>99999</v>
      </c>
      <c r="B32194" s="2" t="str">
        <f>"62906"</f>
        <v>62906</v>
      </c>
      <c r="C32194" s="1">
        <v>3.98463422018274E-4</v>
      </c>
      <c r="D32194" s="1">
        <v>5.8124182391559702E-4</v>
      </c>
      <c r="E32194" s="1">
        <v>5.2581033456312095E-4</v>
      </c>
      <c r="F32194" s="1">
        <v>4.1336073419233398E-4</v>
      </c>
    </row>
    <row r="32195" spans="1:6" x14ac:dyDescent="0.25">
      <c r="A32195" s="2" t="str">
        <f t="shared" si="1164"/>
        <v>99999</v>
      </c>
      <c r="B32195" s="2" t="str">
        <f>"62677"</f>
        <v>62677</v>
      </c>
      <c r="C32195" s="1">
        <v>1.09138159961181E-7</v>
      </c>
      <c r="D32195" s="1">
        <v>0</v>
      </c>
      <c r="E32195" s="1">
        <v>0</v>
      </c>
      <c r="F32195" s="1">
        <v>9.9485134582992598E-8</v>
      </c>
    </row>
    <row r="32196" spans="1:6" x14ac:dyDescent="0.25">
      <c r="A32196" s="2" t="str">
        <f t="shared" si="1164"/>
        <v>99999</v>
      </c>
      <c r="B32196" s="2" t="str">
        <f>"62451"</f>
        <v>62451</v>
      </c>
      <c r="C32196" s="1">
        <v>1.2441750235574699E-4</v>
      </c>
      <c r="D32196" s="1">
        <v>1.69971499421793E-4</v>
      </c>
      <c r="E32196" s="1">
        <v>1.3471173860707999E-4</v>
      </c>
      <c r="F32196" s="1">
        <v>1.27639427669979E-4</v>
      </c>
    </row>
    <row r="32197" spans="1:6" x14ac:dyDescent="0.25">
      <c r="A32197" s="2" t="str">
        <f t="shared" si="1164"/>
        <v>99999</v>
      </c>
      <c r="B32197" s="2" t="str">
        <f>"62447"</f>
        <v>62447</v>
      </c>
      <c r="C32197" s="1">
        <v>3.6670421746956999E-5</v>
      </c>
      <c r="D32197" s="1">
        <v>6.0704106936354696E-6</v>
      </c>
      <c r="E32197" s="1">
        <v>0</v>
      </c>
      <c r="F32197" s="1">
        <v>3.3824945758217401E-5</v>
      </c>
    </row>
    <row r="32198" spans="1:6" x14ac:dyDescent="0.25">
      <c r="A32198" s="2" t="str">
        <f t="shared" si="1164"/>
        <v>99999</v>
      </c>
      <c r="B32198" s="2" t="str">
        <f>"62449"</f>
        <v>62449</v>
      </c>
      <c r="C32198" s="1">
        <v>1.6534431234118999E-4</v>
      </c>
      <c r="D32198" s="1">
        <v>1.69971499421793E-4</v>
      </c>
      <c r="E32198" s="1">
        <v>9.9947418966543598E-5</v>
      </c>
      <c r="F32198" s="1">
        <v>1.6415047206193699E-4</v>
      </c>
    </row>
    <row r="32199" spans="1:6" x14ac:dyDescent="0.25">
      <c r="A32199" s="2" t="str">
        <f t="shared" si="1164"/>
        <v>99999</v>
      </c>
      <c r="B32199" s="2" t="str">
        <f>"62444"</f>
        <v>62444</v>
      </c>
      <c r="C32199" s="1">
        <v>2.16093556723139E-5</v>
      </c>
      <c r="D32199" s="1">
        <v>4.5528080202265997E-6</v>
      </c>
      <c r="E32199" s="1">
        <v>4.3455399550671099E-6</v>
      </c>
      <c r="F32199" s="1">
        <v>2.00959971857645E-5</v>
      </c>
    </row>
    <row r="32200" spans="1:6" x14ac:dyDescent="0.25">
      <c r="A32200" s="2" t="str">
        <f t="shared" si="1164"/>
        <v>99999</v>
      </c>
      <c r="B32200" s="2" t="str">
        <f>"62442"</f>
        <v>62442</v>
      </c>
      <c r="C32200" s="1">
        <v>1.3325769331260201E-4</v>
      </c>
      <c r="D32200" s="1">
        <v>1.10784995158847E-4</v>
      </c>
      <c r="E32200" s="1">
        <v>9.5601879011476503E-5</v>
      </c>
      <c r="F32200" s="1">
        <v>1.3092243711121799E-4</v>
      </c>
    </row>
    <row r="32201" spans="1:6" x14ac:dyDescent="0.25">
      <c r="A32201" s="2" t="str">
        <f t="shared" si="1164"/>
        <v>99999</v>
      </c>
      <c r="B32201" s="2" t="str">
        <f>"62432"</f>
        <v>62432</v>
      </c>
      <c r="C32201" s="1">
        <v>2.7721092630140101E-5</v>
      </c>
      <c r="D32201" s="1">
        <v>9.1056160404532095E-6</v>
      </c>
      <c r="E32201" s="1">
        <v>8.69107991013423E-6</v>
      </c>
      <c r="F32201" s="1">
        <v>2.6065105260744001E-5</v>
      </c>
    </row>
    <row r="32202" spans="1:6" x14ac:dyDescent="0.25">
      <c r="A32202" s="2" t="str">
        <f t="shared" si="1164"/>
        <v>99999</v>
      </c>
      <c r="B32202" s="2" t="str">
        <f>"62675"</f>
        <v>62675</v>
      </c>
      <c r="C32202" s="1">
        <v>7.63967119728272E-7</v>
      </c>
      <c r="D32202" s="1">
        <v>0</v>
      </c>
      <c r="E32202" s="1">
        <v>0</v>
      </c>
      <c r="F32202" s="1">
        <v>6.9639594208094799E-7</v>
      </c>
    </row>
    <row r="32203" spans="1:6" x14ac:dyDescent="0.25">
      <c r="A32203" s="2" t="str">
        <f t="shared" si="1164"/>
        <v>99999</v>
      </c>
      <c r="B32203" s="2" t="str">
        <f>"62639"</f>
        <v>62639</v>
      </c>
      <c r="C32203" s="1">
        <v>1.5825033194371299E-5</v>
      </c>
      <c r="D32203" s="1">
        <v>3.0352053468177301E-6</v>
      </c>
      <c r="E32203" s="1">
        <v>0</v>
      </c>
      <c r="F32203" s="1">
        <v>1.4624314783699901E-5</v>
      </c>
    </row>
    <row r="32204" spans="1:6" x14ac:dyDescent="0.25">
      <c r="A32204" s="2" t="str">
        <f t="shared" si="1164"/>
        <v>99999</v>
      </c>
      <c r="B32204" s="2" t="str">
        <f>"62618"</f>
        <v>62618</v>
      </c>
      <c r="C32204" s="1">
        <v>3.6266610555100602E-4</v>
      </c>
      <c r="D32204" s="1">
        <v>4.4465758330879801E-4</v>
      </c>
      <c r="E32204" s="1">
        <v>4.0848075577630798E-4</v>
      </c>
      <c r="F32204" s="1">
        <v>3.69089849302902E-4</v>
      </c>
    </row>
    <row r="32205" spans="1:6" x14ac:dyDescent="0.25">
      <c r="A32205" s="2" t="str">
        <f t="shared" si="1164"/>
        <v>99999</v>
      </c>
      <c r="B32205" s="2" t="str">
        <f>"62424"</f>
        <v>62424</v>
      </c>
      <c r="C32205" s="1">
        <v>3.4924211187578098E-6</v>
      </c>
      <c r="D32205" s="1">
        <v>3.0352053468177301E-6</v>
      </c>
      <c r="E32205" s="1">
        <v>0</v>
      </c>
      <c r="F32205" s="1">
        <v>3.3824945758217398E-6</v>
      </c>
    </row>
    <row r="32206" spans="1:6" x14ac:dyDescent="0.25">
      <c r="A32206" s="2" t="str">
        <f t="shared" si="1164"/>
        <v>99999</v>
      </c>
      <c r="B32206" s="2" t="str">
        <f>"62362"</f>
        <v>62362</v>
      </c>
      <c r="C32206" s="1">
        <v>1.7898658233633802E-5</v>
      </c>
      <c r="D32206" s="1">
        <v>1.51760267340886E-6</v>
      </c>
      <c r="E32206" s="1">
        <v>1.3036619865201299E-5</v>
      </c>
      <c r="F32206" s="1">
        <v>1.67135026099427E-5</v>
      </c>
    </row>
    <row r="32207" spans="1:6" x14ac:dyDescent="0.25">
      <c r="A32207" s="2" t="str">
        <f t="shared" si="1164"/>
        <v>99999</v>
      </c>
      <c r="B32207" s="2" t="str">
        <f>"62422"</f>
        <v>62422</v>
      </c>
      <c r="C32207" s="1">
        <v>5.0530968062027098E-5</v>
      </c>
      <c r="D32207" s="1">
        <v>6.0704106936354696E-6</v>
      </c>
      <c r="E32207" s="1">
        <v>2.1727699775335501E-5</v>
      </c>
      <c r="F32207" s="1">
        <v>4.69569835231725E-5</v>
      </c>
    </row>
    <row r="32208" spans="1:6" x14ac:dyDescent="0.25">
      <c r="A32208" s="2" t="str">
        <f t="shared" si="1164"/>
        <v>99999</v>
      </c>
      <c r="B32208" s="2" t="str">
        <f>"62417"</f>
        <v>62417</v>
      </c>
      <c r="C32208" s="1">
        <v>1.6207016754235401E-4</v>
      </c>
      <c r="D32208" s="1">
        <v>1.7148910209520199E-4</v>
      </c>
      <c r="E32208" s="1">
        <v>6.0837559370939603E-5</v>
      </c>
      <c r="F32208" s="1">
        <v>1.6037003694778401E-4</v>
      </c>
    </row>
    <row r="32209" spans="1:6" x14ac:dyDescent="0.25">
      <c r="A32209" s="2" t="str">
        <f t="shared" si="1164"/>
        <v>99999</v>
      </c>
      <c r="B32209" s="2" t="str">
        <f>"62378"</f>
        <v>62378</v>
      </c>
      <c r="C32209" s="1">
        <v>4.8784757502648199E-5</v>
      </c>
      <c r="D32209" s="1">
        <v>1.51760267340886E-6</v>
      </c>
      <c r="E32209" s="1">
        <v>3.47643196405369E-5</v>
      </c>
      <c r="F32209" s="1">
        <v>4.5365221369844598E-5</v>
      </c>
    </row>
    <row r="32210" spans="1:6" x14ac:dyDescent="0.25">
      <c r="A32210" s="2" t="str">
        <f t="shared" ref="A32210:A32273" si="1165">"99999"</f>
        <v>99999</v>
      </c>
      <c r="B32210" s="2" t="str">
        <f>"62319"</f>
        <v>62319</v>
      </c>
      <c r="C32210" s="1">
        <v>1.04772633562734E-5</v>
      </c>
      <c r="D32210" s="1">
        <v>0</v>
      </c>
      <c r="E32210" s="1">
        <v>4.3455399550671099E-6</v>
      </c>
      <c r="F32210" s="1">
        <v>9.6500580545502799E-6</v>
      </c>
    </row>
    <row r="32211" spans="1:6" x14ac:dyDescent="0.25">
      <c r="A32211" s="2" t="str">
        <f t="shared" si="1165"/>
        <v>99999</v>
      </c>
      <c r="B32211" s="2" t="str">
        <f>"62098"</f>
        <v>62098</v>
      </c>
      <c r="C32211" s="1">
        <v>6.3300132777485401E-6</v>
      </c>
      <c r="D32211" s="1">
        <v>3.0352053468177301E-6</v>
      </c>
      <c r="E32211" s="1">
        <v>4.3455399550671099E-6</v>
      </c>
      <c r="F32211" s="1">
        <v>6.0685932095625502E-6</v>
      </c>
    </row>
    <row r="32212" spans="1:6" x14ac:dyDescent="0.25">
      <c r="A32212" s="2" t="str">
        <f t="shared" si="1165"/>
        <v>99999</v>
      </c>
      <c r="B32212" s="2" t="str">
        <f>"62078"</f>
        <v>62078</v>
      </c>
      <c r="C32212" s="1">
        <v>6.6574277576320803E-6</v>
      </c>
      <c r="D32212" s="1">
        <v>0</v>
      </c>
      <c r="E32212" s="1">
        <v>4.3455399550671099E-6</v>
      </c>
      <c r="F32212" s="1">
        <v>6.1680783441455402E-6</v>
      </c>
    </row>
    <row r="32213" spans="1:6" x14ac:dyDescent="0.25">
      <c r="A32213" s="2" t="str">
        <f t="shared" si="1165"/>
        <v>99999</v>
      </c>
      <c r="B32213" s="2" t="str">
        <f>"62082"</f>
        <v>62082</v>
      </c>
      <c r="C32213" s="1">
        <v>1.8608056273381401E-4</v>
      </c>
      <c r="D32213" s="1">
        <v>1.39619445953615E-4</v>
      </c>
      <c r="E32213" s="1">
        <v>8.2565259146275205E-5</v>
      </c>
      <c r="F32213" s="1">
        <v>1.80665004402714E-4</v>
      </c>
    </row>
    <row r="32214" spans="1:6" x14ac:dyDescent="0.25">
      <c r="A32214" s="2" t="str">
        <f t="shared" si="1165"/>
        <v>99999</v>
      </c>
      <c r="B32214" s="2" t="str">
        <f>"62056"</f>
        <v>62056</v>
      </c>
      <c r="C32214" s="1">
        <v>4.5215939671917503E-4</v>
      </c>
      <c r="D32214" s="1">
        <v>7.8308297947897595E-4</v>
      </c>
      <c r="E32214" s="1">
        <v>3.5633427631550301E-4</v>
      </c>
      <c r="F32214" s="1">
        <v>4.71659023057968E-4</v>
      </c>
    </row>
    <row r="32215" spans="1:6" x14ac:dyDescent="0.25">
      <c r="A32215" s="2" t="str">
        <f t="shared" si="1165"/>
        <v>99999</v>
      </c>
      <c r="B32215" s="2" t="str">
        <f>"62278"</f>
        <v>62278</v>
      </c>
      <c r="C32215" s="1">
        <v>2.7295453806291503E-4</v>
      </c>
      <c r="D32215" s="1">
        <v>4.76527239450385E-4</v>
      </c>
      <c r="E32215" s="1">
        <v>1.82512678112818E-4</v>
      </c>
      <c r="F32215" s="1">
        <v>2.8422902950360902E-4</v>
      </c>
    </row>
    <row r="32216" spans="1:6" x14ac:dyDescent="0.25">
      <c r="A32216" s="2" t="str">
        <f t="shared" si="1165"/>
        <v>99999</v>
      </c>
      <c r="B32216" s="2" t="str">
        <f>"62050"</f>
        <v>62050</v>
      </c>
      <c r="C32216" s="1">
        <v>3.8089217826452399E-5</v>
      </c>
      <c r="D32216" s="1">
        <v>4.5528080202265997E-6</v>
      </c>
      <c r="E32216" s="1">
        <v>4.3455399550671099E-6</v>
      </c>
      <c r="F32216" s="1">
        <v>3.5118252507796402E-5</v>
      </c>
    </row>
    <row r="32217" spans="1:6" x14ac:dyDescent="0.25">
      <c r="A32217" s="2" t="str">
        <f t="shared" si="1165"/>
        <v>99999</v>
      </c>
      <c r="B32217" s="2" t="str">
        <f>"62032"</f>
        <v>62032</v>
      </c>
      <c r="C32217" s="1">
        <v>4.0381119185637202E-5</v>
      </c>
      <c r="D32217" s="1">
        <v>1.9728834754315301E-5</v>
      </c>
      <c r="E32217" s="1">
        <v>1.3036619865201299E-5</v>
      </c>
      <c r="F32217" s="1">
        <v>3.8401261949035102E-5</v>
      </c>
    </row>
    <row r="32218" spans="1:6" x14ac:dyDescent="0.25">
      <c r="A32218" s="2" t="str">
        <f t="shared" si="1165"/>
        <v>99999</v>
      </c>
      <c r="B32218" s="2" t="str">
        <f>"61957"</f>
        <v>61957</v>
      </c>
      <c r="C32218" s="1">
        <v>9.6805547885568205E-5</v>
      </c>
      <c r="D32218" s="1">
        <v>1.21408213872709E-4</v>
      </c>
      <c r="E32218" s="1">
        <v>1.3036619865201299E-5</v>
      </c>
      <c r="F32218" s="1">
        <v>9.6500580545502799E-5</v>
      </c>
    </row>
    <row r="32219" spans="1:6" x14ac:dyDescent="0.25">
      <c r="A32219" s="2" t="str">
        <f t="shared" si="1165"/>
        <v>99999</v>
      </c>
      <c r="B32219" s="2" t="str">
        <f>"61956"</f>
        <v>61956</v>
      </c>
      <c r="C32219" s="1">
        <v>1.44171509308721E-4</v>
      </c>
      <c r="D32219" s="1">
        <v>1.4417225397384201E-4</v>
      </c>
      <c r="E32219" s="1">
        <v>2.3900469752869099E-4</v>
      </c>
      <c r="F32219" s="1">
        <v>1.4634263297158201E-4</v>
      </c>
    </row>
    <row r="32220" spans="1:6" x14ac:dyDescent="0.25">
      <c r="A32220" s="2" t="str">
        <f t="shared" si="1165"/>
        <v>99999</v>
      </c>
      <c r="B32220" s="2" t="str">
        <f>"61850"</f>
        <v>61850</v>
      </c>
      <c r="C32220" s="1">
        <v>1.09138159961181E-7</v>
      </c>
      <c r="D32220" s="1">
        <v>0</v>
      </c>
      <c r="E32220" s="1">
        <v>0</v>
      </c>
      <c r="F32220" s="1">
        <v>9.9485134582992598E-8</v>
      </c>
    </row>
    <row r="32221" spans="1:6" x14ac:dyDescent="0.25">
      <c r="A32221" s="2" t="str">
        <f t="shared" si="1165"/>
        <v>99999</v>
      </c>
      <c r="B32221" s="2" t="str">
        <f>"61928"</f>
        <v>61928</v>
      </c>
      <c r="C32221" s="1">
        <v>2.8157645269984799E-5</v>
      </c>
      <c r="D32221" s="1">
        <v>1.9728834754315301E-5</v>
      </c>
      <c r="E32221" s="1">
        <v>4.3455399550671099E-6</v>
      </c>
      <c r="F32221" s="1">
        <v>2.7059956606573898E-5</v>
      </c>
    </row>
    <row r="32222" spans="1:6" x14ac:dyDescent="0.25">
      <c r="A32222" s="2" t="str">
        <f t="shared" si="1165"/>
        <v>99999</v>
      </c>
      <c r="B32222" s="2" t="str">
        <f>"61910"</f>
        <v>61910</v>
      </c>
      <c r="C32222" s="1">
        <v>1.9306540497133001E-4</v>
      </c>
      <c r="D32222" s="1">
        <v>3.0503813735518201E-4</v>
      </c>
      <c r="E32222" s="1">
        <v>2.6942347721416101E-4</v>
      </c>
      <c r="F32222" s="1">
        <v>2.02153793472641E-4</v>
      </c>
    </row>
    <row r="32223" spans="1:6" x14ac:dyDescent="0.25">
      <c r="A32223" s="2" t="str">
        <f t="shared" si="1165"/>
        <v>99999</v>
      </c>
      <c r="B32223" s="2" t="str">
        <f>"61735"</f>
        <v>61735</v>
      </c>
      <c r="C32223" s="1">
        <v>2.4883500471149398E-5</v>
      </c>
      <c r="D32223" s="1">
        <v>9.1056160404532095E-6</v>
      </c>
      <c r="E32223" s="1">
        <v>4.3455399550671099E-6</v>
      </c>
      <c r="F32223" s="1">
        <v>2.3379006627003201E-5</v>
      </c>
    </row>
    <row r="32224" spans="1:6" x14ac:dyDescent="0.25">
      <c r="A32224" s="2" t="str">
        <f t="shared" si="1165"/>
        <v>99999</v>
      </c>
      <c r="B32224" s="2" t="str">
        <f>"61474"</f>
        <v>61474</v>
      </c>
      <c r="C32224" s="1">
        <v>1.3096579195341799E-6</v>
      </c>
      <c r="D32224" s="1">
        <v>3.0352053468177301E-6</v>
      </c>
      <c r="E32224" s="1">
        <v>0</v>
      </c>
      <c r="F32224" s="1">
        <v>1.39279188416189E-6</v>
      </c>
    </row>
    <row r="32225" spans="1:6" x14ac:dyDescent="0.25">
      <c r="A32225" s="2" t="str">
        <f t="shared" si="1165"/>
        <v>99999</v>
      </c>
      <c r="B32225" s="2" t="str">
        <f>"61418"</f>
        <v>61418</v>
      </c>
      <c r="C32225" s="1">
        <v>1.09138159961181E-7</v>
      </c>
      <c r="D32225" s="1">
        <v>0</v>
      </c>
      <c r="E32225" s="1">
        <v>0</v>
      </c>
      <c r="F32225" s="1">
        <v>9.9485134582992598E-8</v>
      </c>
    </row>
    <row r="32226" spans="1:6" x14ac:dyDescent="0.25">
      <c r="A32226" s="2" t="str">
        <f t="shared" si="1165"/>
        <v>99999</v>
      </c>
      <c r="B32226" s="2" t="str">
        <f>"61435"</f>
        <v>61435</v>
      </c>
      <c r="C32226" s="1">
        <v>1.04772633562734E-5</v>
      </c>
      <c r="D32226" s="1">
        <v>7.5880133670443404E-6</v>
      </c>
      <c r="E32226" s="1">
        <v>4.3455399550671099E-6</v>
      </c>
      <c r="F32226" s="1">
        <v>1.01474837274652E-5</v>
      </c>
    </row>
    <row r="32227" spans="1:6" x14ac:dyDescent="0.25">
      <c r="A32227" s="2" t="str">
        <f t="shared" si="1165"/>
        <v>99999</v>
      </c>
      <c r="B32227" s="2" t="str">
        <f>"61423"</f>
        <v>61423</v>
      </c>
      <c r="C32227" s="1">
        <v>3.0122132149286099E-5</v>
      </c>
      <c r="D32227" s="1">
        <v>1.3658424060679801E-5</v>
      </c>
      <c r="E32227" s="1">
        <v>0</v>
      </c>
      <c r="F32227" s="1">
        <v>2.8353263356152899E-5</v>
      </c>
    </row>
    <row r="32228" spans="1:6" x14ac:dyDescent="0.25">
      <c r="A32228" s="2" t="str">
        <f t="shared" si="1165"/>
        <v>99999</v>
      </c>
      <c r="B32228" s="2" t="str">
        <f>"61062"</f>
        <v>61062</v>
      </c>
      <c r="C32228" s="1">
        <v>2.1827631992236299E-6</v>
      </c>
      <c r="D32228" s="1">
        <v>0</v>
      </c>
      <c r="E32228" s="1">
        <v>0</v>
      </c>
      <c r="F32228" s="1">
        <v>1.98970269165985E-6</v>
      </c>
    </row>
    <row r="32229" spans="1:6" x14ac:dyDescent="0.25">
      <c r="A32229" s="2" t="str">
        <f t="shared" si="1165"/>
        <v>99999</v>
      </c>
      <c r="B32229" s="2" t="str">
        <f>"61036"</f>
        <v>61036</v>
      </c>
      <c r="C32229" s="1">
        <v>5.0771072013941704E-4</v>
      </c>
      <c r="D32229" s="1">
        <v>7.6487174739806995E-4</v>
      </c>
      <c r="E32229" s="1">
        <v>8.1696151155261705E-4</v>
      </c>
      <c r="F32229" s="1">
        <v>5.3164855921151197E-4</v>
      </c>
    </row>
    <row r="32230" spans="1:6" x14ac:dyDescent="0.25">
      <c r="A32230" s="2" t="str">
        <f t="shared" si="1165"/>
        <v>99999</v>
      </c>
      <c r="B32230" s="2" t="str">
        <f>"61001"</f>
        <v>61001</v>
      </c>
      <c r="C32230" s="1">
        <v>1.13503686359629E-4</v>
      </c>
      <c r="D32230" s="1">
        <v>3.6422464161812797E-5</v>
      </c>
      <c r="E32230" s="1">
        <v>6.0837559370939603E-5</v>
      </c>
      <c r="F32230" s="1">
        <v>1.07244975080466E-4</v>
      </c>
    </row>
    <row r="32231" spans="1:6" x14ac:dyDescent="0.25">
      <c r="A32231" s="2" t="str">
        <f t="shared" si="1165"/>
        <v>99999</v>
      </c>
      <c r="B32231" s="2" t="str">
        <f>"60956"</f>
        <v>60956</v>
      </c>
      <c r="C32231" s="1">
        <v>5.5660461580202599E-6</v>
      </c>
      <c r="D32231" s="1">
        <v>1.51760267340886E-6</v>
      </c>
      <c r="E32231" s="1">
        <v>0</v>
      </c>
      <c r="F32231" s="1">
        <v>5.1732269983156102E-6</v>
      </c>
    </row>
    <row r="32232" spans="1:6" x14ac:dyDescent="0.25">
      <c r="A32232" s="2" t="str">
        <f t="shared" si="1165"/>
        <v>99999</v>
      </c>
      <c r="B32232" s="2" t="str">
        <f>"60955"</f>
        <v>60955</v>
      </c>
      <c r="C32232" s="1">
        <v>8.8947600368363098E-5</v>
      </c>
      <c r="D32232" s="1">
        <v>1.5327787001429501E-4</v>
      </c>
      <c r="E32232" s="1">
        <v>1.17329578786812E-4</v>
      </c>
      <c r="F32232" s="1">
        <v>9.3814481911761995E-5</v>
      </c>
    </row>
    <row r="32233" spans="1:6" x14ac:dyDescent="0.25">
      <c r="A32233" s="2" t="str">
        <f t="shared" si="1165"/>
        <v>99999</v>
      </c>
      <c r="B32233" s="2" t="str">
        <f>"60951"</f>
        <v>60951</v>
      </c>
      <c r="C32233" s="1">
        <v>3.4160244067849798E-5</v>
      </c>
      <c r="D32233" s="1">
        <v>6.0704106936354696E-6</v>
      </c>
      <c r="E32233" s="1">
        <v>9.6905540997996699E-4</v>
      </c>
      <c r="F32233" s="1">
        <v>5.3721972674815999E-5</v>
      </c>
    </row>
    <row r="32234" spans="1:6" x14ac:dyDescent="0.25">
      <c r="A32234" s="2" t="str">
        <f t="shared" si="1165"/>
        <v>99999</v>
      </c>
      <c r="B32234" s="2" t="str">
        <f>"60948"</f>
        <v>60948</v>
      </c>
      <c r="C32234" s="1">
        <v>9.01481201279361E-5</v>
      </c>
      <c r="D32234" s="1">
        <v>1.5176026734088599E-5</v>
      </c>
      <c r="E32234" s="1">
        <v>3.9109859595604001E-5</v>
      </c>
      <c r="F32234" s="1">
        <v>8.4064938722628696E-5</v>
      </c>
    </row>
    <row r="32235" spans="1:6" x14ac:dyDescent="0.25">
      <c r="A32235" s="2" t="str">
        <f t="shared" si="1165"/>
        <v>99999</v>
      </c>
      <c r="B32235" s="2" t="str">
        <f>"60931"</f>
        <v>60931</v>
      </c>
      <c r="C32235" s="1">
        <v>3.0340408469208501E-5</v>
      </c>
      <c r="D32235" s="1">
        <v>7.5880133670443404E-6</v>
      </c>
      <c r="E32235" s="1">
        <v>5.9533897384419501E-4</v>
      </c>
      <c r="F32235" s="1">
        <v>4.1783756524856902E-5</v>
      </c>
    </row>
    <row r="32236" spans="1:6" x14ac:dyDescent="0.25">
      <c r="A32236" s="2" t="str">
        <f t="shared" si="1165"/>
        <v>99999</v>
      </c>
      <c r="B32236" s="2" t="str">
        <f>"60922"</f>
        <v>60922</v>
      </c>
      <c r="C32236" s="1">
        <v>5.12949351817554E-5</v>
      </c>
      <c r="D32236" s="1">
        <v>2.4281642774541899E-5</v>
      </c>
      <c r="E32236" s="1">
        <v>4.6931831514724801E-4</v>
      </c>
      <c r="F32236" s="1">
        <v>5.90941699422976E-5</v>
      </c>
    </row>
    <row r="32237" spans="1:6" x14ac:dyDescent="0.25">
      <c r="A32237" s="2" t="str">
        <f t="shared" si="1165"/>
        <v>99999</v>
      </c>
      <c r="B32237" s="2" t="str">
        <f>"18844"</f>
        <v>18844</v>
      </c>
      <c r="C32237" s="1">
        <v>7.9998271251546197E-5</v>
      </c>
      <c r="D32237" s="1">
        <v>1.9728834754315301E-5</v>
      </c>
      <c r="E32237" s="1">
        <v>3.47643196405369E-5</v>
      </c>
      <c r="F32237" s="1">
        <v>7.5011791475576394E-5</v>
      </c>
    </row>
    <row r="32238" spans="1:6" x14ac:dyDescent="0.25">
      <c r="A32238" s="2" t="str">
        <f t="shared" si="1165"/>
        <v>99999</v>
      </c>
      <c r="B32238" s="2" t="str">
        <f>"18812"</f>
        <v>18812</v>
      </c>
      <c r="C32238" s="1">
        <v>8.9493291168168994E-5</v>
      </c>
      <c r="D32238" s="1">
        <v>1.9728834754315301E-5</v>
      </c>
      <c r="E32238" s="1">
        <v>8.69107991013423E-6</v>
      </c>
      <c r="F32238" s="1">
        <v>8.3070087376798806E-5</v>
      </c>
    </row>
    <row r="32239" spans="1:6" x14ac:dyDescent="0.25">
      <c r="A32239" s="2" t="str">
        <f t="shared" si="1165"/>
        <v>99999</v>
      </c>
      <c r="B32239" s="2" t="str">
        <f>"18419"</f>
        <v>18419</v>
      </c>
      <c r="C32239" s="1">
        <v>2.2919013591848099E-6</v>
      </c>
      <c r="D32239" s="1">
        <v>0</v>
      </c>
      <c r="E32239" s="1">
        <v>0</v>
      </c>
      <c r="F32239" s="1">
        <v>2.08918782624284E-6</v>
      </c>
    </row>
    <row r="32240" spans="1:6" x14ac:dyDescent="0.25">
      <c r="A32240" s="2" t="str">
        <f t="shared" si="1165"/>
        <v>99999</v>
      </c>
      <c r="B32240" s="2" t="str">
        <f>"18413"</f>
        <v>18413</v>
      </c>
      <c r="C32240" s="1">
        <v>6.5482895976708995E-7</v>
      </c>
      <c r="D32240" s="1">
        <v>1.51760267340886E-6</v>
      </c>
      <c r="E32240" s="1">
        <v>8.69107991013423E-6</v>
      </c>
      <c r="F32240" s="1">
        <v>8.9536621124693305E-7</v>
      </c>
    </row>
    <row r="32241" spans="1:6" x14ac:dyDescent="0.25">
      <c r="A32241" s="2" t="str">
        <f t="shared" si="1165"/>
        <v>99999</v>
      </c>
      <c r="B32241" s="2" t="str">
        <f>"18421"</f>
        <v>18421</v>
      </c>
      <c r="C32241" s="1">
        <v>2.0288783936783599E-4</v>
      </c>
      <c r="D32241" s="1">
        <v>1.15337803179074E-4</v>
      </c>
      <c r="E32241" s="1">
        <v>3.1287887676483201E-4</v>
      </c>
      <c r="F32241" s="1">
        <v>1.9966666510806599E-4</v>
      </c>
    </row>
    <row r="32242" spans="1:6" x14ac:dyDescent="0.25">
      <c r="A32242" s="2" t="str">
        <f t="shared" si="1165"/>
        <v>99999</v>
      </c>
      <c r="B32242" s="2" t="str">
        <f>"18632"</f>
        <v>18632</v>
      </c>
      <c r="C32242" s="1">
        <v>7.0939803974768102E-6</v>
      </c>
      <c r="D32242" s="1">
        <v>4.5528080202265997E-6</v>
      </c>
      <c r="E32242" s="1">
        <v>0</v>
      </c>
      <c r="F32242" s="1">
        <v>6.7649891516434898E-6</v>
      </c>
    </row>
    <row r="32243" spans="1:6" x14ac:dyDescent="0.25">
      <c r="A32243" s="2" t="str">
        <f t="shared" si="1165"/>
        <v>99999</v>
      </c>
      <c r="B32243" s="2" t="str">
        <f>"18629"</f>
        <v>18629</v>
      </c>
      <c r="C32243" s="1">
        <v>7.63967119728272E-7</v>
      </c>
      <c r="D32243" s="1">
        <v>0</v>
      </c>
      <c r="E32243" s="1">
        <v>0</v>
      </c>
      <c r="F32243" s="1">
        <v>6.9639594208094799E-7</v>
      </c>
    </row>
    <row r="32244" spans="1:6" x14ac:dyDescent="0.25">
      <c r="A32244" s="2" t="str">
        <f t="shared" si="1165"/>
        <v>99999</v>
      </c>
      <c r="B32244" s="2" t="str">
        <f>"18623"</f>
        <v>18623</v>
      </c>
      <c r="C32244" s="1">
        <v>1.8880901673284399E-5</v>
      </c>
      <c r="D32244" s="1">
        <v>1.5176026734088599E-5</v>
      </c>
      <c r="E32244" s="1">
        <v>0</v>
      </c>
      <c r="F32244" s="1">
        <v>1.82057796286876E-5</v>
      </c>
    </row>
    <row r="32245" spans="1:6" x14ac:dyDescent="0.25">
      <c r="A32245" s="2" t="str">
        <f t="shared" si="1165"/>
        <v>99999</v>
      </c>
      <c r="B32245" s="2" t="str">
        <f>"18619"</f>
        <v>18619</v>
      </c>
      <c r="C32245" s="1">
        <v>1.0040710716428699E-5</v>
      </c>
      <c r="D32245" s="1">
        <v>3.0352053468177301E-6</v>
      </c>
      <c r="E32245" s="1">
        <v>0</v>
      </c>
      <c r="F32245" s="1">
        <v>9.3516026508012996E-6</v>
      </c>
    </row>
    <row r="32246" spans="1:6" x14ac:dyDescent="0.25">
      <c r="A32246" s="2" t="str">
        <f t="shared" si="1165"/>
        <v>99999</v>
      </c>
      <c r="B32246" s="2" t="str">
        <f>"17059"</f>
        <v>17059</v>
      </c>
      <c r="C32246" s="1">
        <v>3.4869642107597499E-4</v>
      </c>
      <c r="D32246" s="1">
        <v>4.8259765014401997E-4</v>
      </c>
      <c r="E32246" s="1">
        <v>3.8240751604590601E-4</v>
      </c>
      <c r="F32246" s="1">
        <v>3.5824596963335601E-4</v>
      </c>
    </row>
    <row r="32247" spans="1:6" x14ac:dyDescent="0.25">
      <c r="A32247" s="2" t="str">
        <f t="shared" si="1165"/>
        <v>99999</v>
      </c>
      <c r="B32247" s="2" t="str">
        <f>"17212"</f>
        <v>17212</v>
      </c>
      <c r="C32247" s="1">
        <v>3.4924211187578099E-5</v>
      </c>
      <c r="D32247" s="1">
        <v>4.5528080202265997E-6</v>
      </c>
      <c r="E32247" s="1">
        <v>4.3455399550671099E-6</v>
      </c>
      <c r="F32247" s="1">
        <v>3.2233183604889601E-5</v>
      </c>
    </row>
    <row r="32248" spans="1:6" x14ac:dyDescent="0.25">
      <c r="A32248" s="2" t="str">
        <f t="shared" si="1165"/>
        <v>99999</v>
      </c>
      <c r="B32248" s="2" t="str">
        <f>"16672"</f>
        <v>16672</v>
      </c>
      <c r="C32248" s="1">
        <v>0</v>
      </c>
      <c r="D32248" s="1">
        <v>1.51760267340886E-6</v>
      </c>
      <c r="E32248" s="1">
        <v>0</v>
      </c>
      <c r="F32248" s="1">
        <v>9.9485134582992598E-8</v>
      </c>
    </row>
    <row r="32249" spans="1:6" x14ac:dyDescent="0.25">
      <c r="A32249" s="2" t="str">
        <f t="shared" si="1165"/>
        <v>99999</v>
      </c>
      <c r="B32249" s="2" t="str">
        <f>"16670"</f>
        <v>16670</v>
      </c>
      <c r="C32249" s="1">
        <v>9.71329623654517E-6</v>
      </c>
      <c r="D32249" s="1">
        <v>1.51760267340886E-6</v>
      </c>
      <c r="E32249" s="1">
        <v>8.69107991013423E-6</v>
      </c>
      <c r="F32249" s="1">
        <v>9.1526323816353195E-6</v>
      </c>
    </row>
    <row r="32250" spans="1:6" x14ac:dyDescent="0.25">
      <c r="A32250" s="2" t="str">
        <f t="shared" si="1165"/>
        <v>99999</v>
      </c>
      <c r="B32250" s="2" t="str">
        <f>"16655"</f>
        <v>16655</v>
      </c>
      <c r="C32250" s="1">
        <v>7.2031185574379894E-5</v>
      </c>
      <c r="D32250" s="1">
        <v>3.3387258814995101E-5</v>
      </c>
      <c r="E32250" s="1">
        <v>1.3036619865201299E-5</v>
      </c>
      <c r="F32250" s="1">
        <v>6.8147317189349896E-5</v>
      </c>
    </row>
    <row r="32251" spans="1:6" x14ac:dyDescent="0.25">
      <c r="A32251" s="2" t="str">
        <f t="shared" si="1165"/>
        <v>99999</v>
      </c>
      <c r="B32251" s="2" t="str">
        <f>"16927"</f>
        <v>16927</v>
      </c>
      <c r="C32251" s="1">
        <v>3.4487658547733398E-5</v>
      </c>
      <c r="D32251" s="1">
        <v>3.4904861488403899E-5</v>
      </c>
      <c r="E32251" s="1">
        <v>6.5183099326006705E-5</v>
      </c>
      <c r="F32251" s="1">
        <v>3.5217737642379299E-5</v>
      </c>
    </row>
    <row r="32252" spans="1:6" x14ac:dyDescent="0.25">
      <c r="A32252" s="2" t="str">
        <f t="shared" si="1165"/>
        <v>99999</v>
      </c>
      <c r="B32252" s="2" t="str">
        <f>"16901"</f>
        <v>16901</v>
      </c>
      <c r="C32252" s="1">
        <v>5.6020617508074498E-4</v>
      </c>
      <c r="D32252" s="1">
        <v>7.6487174739806995E-4</v>
      </c>
      <c r="E32252" s="1">
        <v>7.6046949213674504E-4</v>
      </c>
      <c r="F32252" s="1">
        <v>5.7820760219635297E-4</v>
      </c>
    </row>
    <row r="32253" spans="1:6" x14ac:dyDescent="0.25">
      <c r="A32253" s="2" t="str">
        <f t="shared" si="1165"/>
        <v>99999</v>
      </c>
      <c r="B32253" s="2" t="str">
        <f>"17014"</f>
        <v>17014</v>
      </c>
      <c r="C32253" s="1">
        <v>6.8757040775544402E-6</v>
      </c>
      <c r="D32253" s="1">
        <v>3.0352053468177301E-6</v>
      </c>
      <c r="E32253" s="1">
        <v>2.60732397304027E-5</v>
      </c>
      <c r="F32253" s="1">
        <v>7.0634445553924701E-6</v>
      </c>
    </row>
    <row r="32254" spans="1:6" x14ac:dyDescent="0.25">
      <c r="A32254" s="2" t="str">
        <f t="shared" si="1165"/>
        <v>99999</v>
      </c>
      <c r="B32254" s="2" t="str">
        <f>"16938"</f>
        <v>16938</v>
      </c>
      <c r="C32254" s="1">
        <v>3.3068862468237998E-5</v>
      </c>
      <c r="D32254" s="1">
        <v>1.5176026734088599E-5</v>
      </c>
      <c r="E32254" s="1">
        <v>8.69107991013423E-6</v>
      </c>
      <c r="F32254" s="1">
        <v>3.1337817393642601E-5</v>
      </c>
    </row>
    <row r="32255" spans="1:6" x14ac:dyDescent="0.25">
      <c r="A32255" s="2" t="str">
        <f t="shared" si="1165"/>
        <v>99999</v>
      </c>
      <c r="B32255" s="2" t="str">
        <f>"16322"</f>
        <v>16322</v>
      </c>
      <c r="C32255" s="1">
        <v>0</v>
      </c>
      <c r="D32255" s="1">
        <v>0</v>
      </c>
      <c r="E32255" s="1">
        <v>4.3455399550671099E-6</v>
      </c>
      <c r="F32255" s="1">
        <v>9.9485134582992598E-8</v>
      </c>
    </row>
    <row r="32256" spans="1:6" x14ac:dyDescent="0.25">
      <c r="A32256" s="2" t="str">
        <f t="shared" si="1165"/>
        <v>99999</v>
      </c>
      <c r="B32256" s="2" t="str">
        <f>"16321"</f>
        <v>16321</v>
      </c>
      <c r="C32256" s="1">
        <v>0</v>
      </c>
      <c r="D32256" s="1">
        <v>0</v>
      </c>
      <c r="E32256" s="1">
        <v>4.3455399550671099E-6</v>
      </c>
      <c r="F32256" s="1">
        <v>9.9485134582992598E-8</v>
      </c>
    </row>
    <row r="32257" spans="1:6" x14ac:dyDescent="0.25">
      <c r="A32257" s="2" t="str">
        <f t="shared" si="1165"/>
        <v>99999</v>
      </c>
      <c r="B32257" s="2" t="str">
        <f>"16260"</f>
        <v>16260</v>
      </c>
      <c r="C32257" s="1">
        <v>1.5279342394565399E-5</v>
      </c>
      <c r="D32257" s="1">
        <v>4.5528080202265997E-6</v>
      </c>
      <c r="E32257" s="1">
        <v>4.3455399550671099E-6</v>
      </c>
      <c r="F32257" s="1">
        <v>1.43258593799509E-5</v>
      </c>
    </row>
    <row r="32258" spans="1:6" x14ac:dyDescent="0.25">
      <c r="A32258" s="2" t="str">
        <f t="shared" si="1165"/>
        <v>99999</v>
      </c>
      <c r="B32258" s="2" t="str">
        <f>"16217"</f>
        <v>16217</v>
      </c>
      <c r="C32258" s="1">
        <v>7.2031185574379897E-6</v>
      </c>
      <c r="D32258" s="1">
        <v>1.0623218713862E-5</v>
      </c>
      <c r="E32258" s="1">
        <v>4.3455399550671099E-6</v>
      </c>
      <c r="F32258" s="1">
        <v>7.3618999591414504E-6</v>
      </c>
    </row>
    <row r="32259" spans="1:6" x14ac:dyDescent="0.25">
      <c r="A32259" s="2" t="str">
        <f t="shared" si="1165"/>
        <v>99999</v>
      </c>
      <c r="B32259" s="2" t="str">
        <f>"16222"</f>
        <v>16222</v>
      </c>
      <c r="C32259" s="1">
        <v>5.0203553582143598E-6</v>
      </c>
      <c r="D32259" s="1">
        <v>1.51760267340886E-6</v>
      </c>
      <c r="E32259" s="1">
        <v>0</v>
      </c>
      <c r="F32259" s="1">
        <v>4.6758013254006498E-6</v>
      </c>
    </row>
    <row r="32260" spans="1:6" x14ac:dyDescent="0.25">
      <c r="A32260" s="2" t="str">
        <f t="shared" si="1165"/>
        <v>99999</v>
      </c>
      <c r="B32260" s="2" t="str">
        <f>"16370"</f>
        <v>16370</v>
      </c>
      <c r="C32260" s="1">
        <v>0</v>
      </c>
      <c r="D32260" s="1">
        <v>0</v>
      </c>
      <c r="E32260" s="1">
        <v>4.3455399550671099E-6</v>
      </c>
      <c r="F32260" s="1">
        <v>9.9485134582992598E-8</v>
      </c>
    </row>
    <row r="32261" spans="1:6" x14ac:dyDescent="0.25">
      <c r="A32261" s="2" t="str">
        <f t="shared" si="1165"/>
        <v>99999</v>
      </c>
      <c r="B32261" s="2" t="str">
        <f>"16375"</f>
        <v>16375</v>
      </c>
      <c r="C32261" s="1">
        <v>0</v>
      </c>
      <c r="D32261" s="1">
        <v>0</v>
      </c>
      <c r="E32261" s="1">
        <v>4.3455399550671099E-6</v>
      </c>
      <c r="F32261" s="1">
        <v>9.9485134582992598E-8</v>
      </c>
    </row>
    <row r="32262" spans="1:6" x14ac:dyDescent="0.25">
      <c r="A32262" s="2" t="str">
        <f t="shared" si="1165"/>
        <v>99999</v>
      </c>
      <c r="B32262" s="2" t="str">
        <f>"15828"</f>
        <v>15828</v>
      </c>
      <c r="C32262" s="1">
        <v>2.13910793523916E-5</v>
      </c>
      <c r="D32262" s="1">
        <v>2.2764040101133E-5</v>
      </c>
      <c r="E32262" s="1">
        <v>4.3455399550671099E-6</v>
      </c>
      <c r="F32262" s="1">
        <v>2.1090848531594401E-5</v>
      </c>
    </row>
    <row r="32263" spans="1:6" x14ac:dyDescent="0.25">
      <c r="A32263" s="2" t="str">
        <f t="shared" si="1165"/>
        <v>99999</v>
      </c>
      <c r="B32263" s="2" t="str">
        <f>"15784"</f>
        <v>15784</v>
      </c>
      <c r="C32263" s="1">
        <v>7.6396711972827196E-6</v>
      </c>
      <c r="D32263" s="1">
        <v>3.0352053468177301E-6</v>
      </c>
      <c r="E32263" s="1">
        <v>0</v>
      </c>
      <c r="F32263" s="1">
        <v>7.1629296899754602E-6</v>
      </c>
    </row>
    <row r="32264" spans="1:6" x14ac:dyDescent="0.25">
      <c r="A32264" s="2" t="str">
        <f t="shared" si="1165"/>
        <v>99999</v>
      </c>
      <c r="B32264" s="2" t="str">
        <f>"15863"</f>
        <v>15863</v>
      </c>
      <c r="C32264" s="1">
        <v>1.3096579195341799E-6</v>
      </c>
      <c r="D32264" s="1">
        <v>1.51760267340886E-6</v>
      </c>
      <c r="E32264" s="1">
        <v>4.3455399550671099E-6</v>
      </c>
      <c r="F32264" s="1">
        <v>1.39279188416189E-6</v>
      </c>
    </row>
    <row r="32265" spans="1:6" x14ac:dyDescent="0.25">
      <c r="A32265" s="2" t="str">
        <f t="shared" si="1165"/>
        <v>99999</v>
      </c>
      <c r="B32265" s="2" t="str">
        <f>"15853"</f>
        <v>15853</v>
      </c>
      <c r="C32265" s="1">
        <v>1.6370723994177199E-6</v>
      </c>
      <c r="D32265" s="1">
        <v>0</v>
      </c>
      <c r="E32265" s="1">
        <v>0</v>
      </c>
      <c r="F32265" s="1">
        <v>1.4922770187448801E-6</v>
      </c>
    </row>
    <row r="32266" spans="1:6" x14ac:dyDescent="0.25">
      <c r="A32266" s="2" t="str">
        <f t="shared" si="1165"/>
        <v>99999</v>
      </c>
      <c r="B32266" s="2" t="str">
        <f>"15316"</f>
        <v>15316</v>
      </c>
      <c r="C32266" s="1">
        <v>3.8198355986413598E-6</v>
      </c>
      <c r="D32266" s="1">
        <v>0</v>
      </c>
      <c r="E32266" s="1">
        <v>8.69107991013423E-6</v>
      </c>
      <c r="F32266" s="1">
        <v>3.6809499795707201E-6</v>
      </c>
    </row>
    <row r="32267" spans="1:6" x14ac:dyDescent="0.25">
      <c r="A32267" s="2" t="str">
        <f t="shared" si="1165"/>
        <v>99999</v>
      </c>
      <c r="B32267" s="2" t="str">
        <f>"15315"</f>
        <v>15315</v>
      </c>
      <c r="C32267" s="1">
        <v>0</v>
      </c>
      <c r="D32267" s="1">
        <v>0</v>
      </c>
      <c r="E32267" s="1">
        <v>1.3036619865201299E-5</v>
      </c>
      <c r="F32267" s="1">
        <v>2.9845540374897701E-7</v>
      </c>
    </row>
    <row r="32268" spans="1:6" x14ac:dyDescent="0.25">
      <c r="A32268" s="2" t="str">
        <f t="shared" si="1165"/>
        <v>99999</v>
      </c>
      <c r="B32268" s="2" t="str">
        <f>"15364"</f>
        <v>15364</v>
      </c>
      <c r="C32268" s="1">
        <v>3.71069743868017E-5</v>
      </c>
      <c r="D32268" s="1">
        <v>1.3658424060679801E-5</v>
      </c>
      <c r="E32268" s="1">
        <v>4.3455399550671099E-6</v>
      </c>
      <c r="F32268" s="1">
        <v>3.48197971040474E-5</v>
      </c>
    </row>
    <row r="32269" spans="1:6" x14ac:dyDescent="0.25">
      <c r="A32269" s="2" t="str">
        <f t="shared" si="1165"/>
        <v>99999</v>
      </c>
      <c r="B32269" s="2" t="str">
        <f>"15353"</f>
        <v>15353</v>
      </c>
      <c r="C32269" s="1">
        <v>0</v>
      </c>
      <c r="D32269" s="1">
        <v>0</v>
      </c>
      <c r="E32269" s="1">
        <v>8.69107991013423E-6</v>
      </c>
      <c r="F32269" s="1">
        <v>1.9897026916598501E-7</v>
      </c>
    </row>
    <row r="32270" spans="1:6" x14ac:dyDescent="0.25">
      <c r="A32270" s="2" t="str">
        <f t="shared" si="1165"/>
        <v>99999</v>
      </c>
      <c r="B32270" s="2" t="str">
        <f>"15341"</f>
        <v>15341</v>
      </c>
      <c r="C32270" s="1">
        <v>4.9330448302454102E-5</v>
      </c>
      <c r="D32270" s="1">
        <v>2.4281642774541899E-5</v>
      </c>
      <c r="E32270" s="1">
        <v>4.3455399550671099E-6</v>
      </c>
      <c r="F32270" s="1">
        <v>4.6658528119423498E-5</v>
      </c>
    </row>
    <row r="32271" spans="1:6" x14ac:dyDescent="0.25">
      <c r="A32271" s="2" t="str">
        <f t="shared" si="1165"/>
        <v>99999</v>
      </c>
      <c r="B32271" s="2" t="str">
        <f>"14889"</f>
        <v>14889</v>
      </c>
      <c r="C32271" s="1">
        <v>5.4569079980590801E-7</v>
      </c>
      <c r="D32271" s="1">
        <v>0</v>
      </c>
      <c r="E32271" s="1">
        <v>0</v>
      </c>
      <c r="F32271" s="1">
        <v>4.9742567291496303E-7</v>
      </c>
    </row>
    <row r="32272" spans="1:6" x14ac:dyDescent="0.25">
      <c r="A32272" s="2" t="str">
        <f t="shared" si="1165"/>
        <v>99999</v>
      </c>
      <c r="B32272" s="2" t="str">
        <f>"14870"</f>
        <v>14870</v>
      </c>
      <c r="C32272" s="1">
        <v>8.5127764769721692E-6</v>
      </c>
      <c r="D32272" s="1">
        <v>0</v>
      </c>
      <c r="E32272" s="1">
        <v>0</v>
      </c>
      <c r="F32272" s="1">
        <v>7.7598404974734199E-6</v>
      </c>
    </row>
    <row r="32273" spans="1:6" x14ac:dyDescent="0.25">
      <c r="A32273" s="2" t="str">
        <f t="shared" si="1165"/>
        <v>99999</v>
      </c>
      <c r="B32273" s="2" t="str">
        <f>"14865"</f>
        <v>14865</v>
      </c>
      <c r="C32273" s="1">
        <v>1.17105245638348E-4</v>
      </c>
      <c r="D32273" s="1">
        <v>1.0623218713862E-4</v>
      </c>
      <c r="E32273" s="1">
        <v>1.7816713815775099E-4</v>
      </c>
      <c r="F32273" s="1">
        <v>1.17790399346263E-4</v>
      </c>
    </row>
    <row r="32274" spans="1:6" x14ac:dyDescent="0.25">
      <c r="A32274" s="2" t="str">
        <f t="shared" ref="A32274:A32337" si="1166">"99999"</f>
        <v>99999</v>
      </c>
      <c r="B32274" s="2" t="str">
        <f>"14843"</f>
        <v>14843</v>
      </c>
      <c r="C32274" s="1">
        <v>4.6929408783308102E-6</v>
      </c>
      <c r="D32274" s="1">
        <v>1.51760267340886E-6</v>
      </c>
      <c r="E32274" s="1">
        <v>0</v>
      </c>
      <c r="F32274" s="1">
        <v>4.3773459216516703E-6</v>
      </c>
    </row>
    <row r="32275" spans="1:6" x14ac:dyDescent="0.25">
      <c r="A32275" s="2" t="str">
        <f t="shared" si="1166"/>
        <v>99999</v>
      </c>
      <c r="B32275" s="2" t="str">
        <f>"14745"</f>
        <v>14745</v>
      </c>
      <c r="C32275" s="1">
        <v>6.5482895976708995E-7</v>
      </c>
      <c r="D32275" s="1">
        <v>0</v>
      </c>
      <c r="E32275" s="1">
        <v>4.3455399550671099E-6</v>
      </c>
      <c r="F32275" s="1">
        <v>6.9639594208094799E-7</v>
      </c>
    </row>
    <row r="32276" spans="1:6" x14ac:dyDescent="0.25">
      <c r="A32276" s="2" t="str">
        <f t="shared" si="1166"/>
        <v>99999</v>
      </c>
      <c r="B32276" s="2" t="str">
        <f>"14735"</f>
        <v>14735</v>
      </c>
      <c r="C32276" s="1">
        <v>1.2190732467663999E-4</v>
      </c>
      <c r="D32276" s="1">
        <v>2.1246437427724101E-5</v>
      </c>
      <c r="E32276" s="1">
        <v>2.3900469752869099E-4</v>
      </c>
      <c r="F32276" s="1">
        <v>1.17989369615429E-4</v>
      </c>
    </row>
    <row r="32277" spans="1:6" x14ac:dyDescent="0.25">
      <c r="A32277" s="2" t="str">
        <f t="shared" si="1166"/>
        <v>99999</v>
      </c>
      <c r="B32277" s="2" t="str">
        <f>"14838"</f>
        <v>14838</v>
      </c>
      <c r="C32277" s="1">
        <v>1.0913815996118101E-6</v>
      </c>
      <c r="D32277" s="1">
        <v>0</v>
      </c>
      <c r="E32277" s="1">
        <v>0</v>
      </c>
      <c r="F32277" s="1">
        <v>9.9485134582992606E-7</v>
      </c>
    </row>
    <row r="32278" spans="1:6" x14ac:dyDescent="0.25">
      <c r="A32278" s="2" t="str">
        <f t="shared" si="1166"/>
        <v>99999</v>
      </c>
      <c r="B32278" s="2" t="str">
        <f>"14802"</f>
        <v>14802</v>
      </c>
      <c r="C32278" s="1">
        <v>5.9480297178843999E-5</v>
      </c>
      <c r="D32278" s="1">
        <v>7.7397736343852298E-5</v>
      </c>
      <c r="E32278" s="1">
        <v>2.0858591784322101E-4</v>
      </c>
      <c r="F32278" s="1">
        <v>6.4068426671447194E-5</v>
      </c>
    </row>
    <row r="32279" spans="1:6" x14ac:dyDescent="0.25">
      <c r="A32279" s="2" t="str">
        <f t="shared" si="1166"/>
        <v>99999</v>
      </c>
      <c r="B32279" s="2" t="str">
        <f>"14777"</f>
        <v>14777</v>
      </c>
      <c r="C32279" s="1">
        <v>2.4883500471149398E-5</v>
      </c>
      <c r="D32279" s="1">
        <v>9.1056160404532095E-6</v>
      </c>
      <c r="E32279" s="1">
        <v>3.9109859595604001E-5</v>
      </c>
      <c r="F32279" s="1">
        <v>2.4174887703667199E-5</v>
      </c>
    </row>
    <row r="32280" spans="1:6" x14ac:dyDescent="0.25">
      <c r="A32280" s="2" t="str">
        <f t="shared" si="1166"/>
        <v>99999</v>
      </c>
      <c r="B32280" s="2" t="str">
        <f>"14837"</f>
        <v>14837</v>
      </c>
      <c r="C32280" s="1">
        <v>5.7406672139581499E-5</v>
      </c>
      <c r="D32280" s="1">
        <v>1.5176026734088599E-5</v>
      </c>
      <c r="E32280" s="1">
        <v>2.1727699775335501E-5</v>
      </c>
      <c r="F32280" s="1">
        <v>5.3821457809398998E-5</v>
      </c>
    </row>
    <row r="32281" spans="1:6" x14ac:dyDescent="0.25">
      <c r="A32281" s="2" t="str">
        <f t="shared" si="1166"/>
        <v>99999</v>
      </c>
      <c r="B32281" s="2" t="str">
        <f>"14803"</f>
        <v>14803</v>
      </c>
      <c r="C32281" s="1">
        <v>5.7406672139581499E-5</v>
      </c>
      <c r="D32281" s="1">
        <v>3.9457669508630602E-5</v>
      </c>
      <c r="E32281" s="1">
        <v>8.2565259146275205E-5</v>
      </c>
      <c r="F32281" s="1">
        <v>5.6806011846888702E-5</v>
      </c>
    </row>
    <row r="32282" spans="1:6" x14ac:dyDescent="0.25">
      <c r="A32282" s="2" t="str">
        <f t="shared" si="1166"/>
        <v>99999</v>
      </c>
      <c r="B32282" s="2" t="str">
        <f>"14530"</f>
        <v>14530</v>
      </c>
      <c r="C32282" s="1">
        <v>2.7677437366155599E-4</v>
      </c>
      <c r="D32282" s="1">
        <v>3.6118943627131003E-4</v>
      </c>
      <c r="E32282" s="1">
        <v>2.6073239730402698E-4</v>
      </c>
      <c r="F32282" s="1">
        <v>2.8194087140820102E-4</v>
      </c>
    </row>
    <row r="32283" spans="1:6" x14ac:dyDescent="0.25">
      <c r="A32283" s="2" t="str">
        <f t="shared" si="1166"/>
        <v>99999</v>
      </c>
      <c r="B32283" s="2" t="str">
        <f>"14481"</f>
        <v>14481</v>
      </c>
      <c r="C32283" s="1">
        <v>3.2741447988354498E-7</v>
      </c>
      <c r="D32283" s="1">
        <v>0</v>
      </c>
      <c r="E32283" s="1">
        <v>0</v>
      </c>
      <c r="F32283" s="1">
        <v>2.9845540374897701E-7</v>
      </c>
    </row>
    <row r="32284" spans="1:6" x14ac:dyDescent="0.25">
      <c r="A32284" s="2" t="str">
        <f t="shared" si="1166"/>
        <v>99999</v>
      </c>
      <c r="B32284" s="2" t="str">
        <f>"14060"</f>
        <v>14060</v>
      </c>
      <c r="C32284" s="1">
        <v>9.6041580765839897E-6</v>
      </c>
      <c r="D32284" s="1">
        <v>0</v>
      </c>
      <c r="E32284" s="1">
        <v>8.69107991013423E-6</v>
      </c>
      <c r="F32284" s="1">
        <v>8.9536621124693292E-6</v>
      </c>
    </row>
    <row r="32285" spans="1:6" x14ac:dyDescent="0.25">
      <c r="A32285" s="2" t="str">
        <f t="shared" si="1166"/>
        <v>99999</v>
      </c>
      <c r="B32285" s="2" t="str">
        <f>"13787"</f>
        <v>13787</v>
      </c>
      <c r="C32285" s="1">
        <v>3.1868342708665002E-5</v>
      </c>
      <c r="D32285" s="1">
        <v>6.0704106936354696E-6</v>
      </c>
      <c r="E32285" s="1">
        <v>0</v>
      </c>
      <c r="F32285" s="1">
        <v>2.9447599836565802E-5</v>
      </c>
    </row>
    <row r="32286" spans="1:6" x14ac:dyDescent="0.25">
      <c r="A32286" s="2" t="str">
        <f t="shared" si="1166"/>
        <v>99999</v>
      </c>
      <c r="B32286" s="2" t="str">
        <f>"13782"</f>
        <v>13782</v>
      </c>
      <c r="C32286" s="1">
        <v>4.9439586462415298E-5</v>
      </c>
      <c r="D32286" s="1">
        <v>2.2764040101133E-5</v>
      </c>
      <c r="E32286" s="1">
        <v>2.1727699775335501E-5</v>
      </c>
      <c r="F32286" s="1">
        <v>4.7056468657755498E-5</v>
      </c>
    </row>
    <row r="32287" spans="1:6" x14ac:dyDescent="0.25">
      <c r="A32287" s="2" t="str">
        <f t="shared" si="1166"/>
        <v>99999</v>
      </c>
      <c r="B32287" s="2" t="str">
        <f>"13740"</f>
        <v>13740</v>
      </c>
      <c r="C32287" s="1">
        <v>3.1868342708665002E-5</v>
      </c>
      <c r="D32287" s="1">
        <v>7.5880133670443404E-6</v>
      </c>
      <c r="E32287" s="1">
        <v>8.69107991013423E-6</v>
      </c>
      <c r="F32287" s="1">
        <v>2.9746055240314699E-5</v>
      </c>
    </row>
    <row r="32288" spans="1:6" x14ac:dyDescent="0.25">
      <c r="A32288" s="2" t="str">
        <f t="shared" si="1166"/>
        <v>99999</v>
      </c>
      <c r="B32288" s="2" t="str">
        <f>"13830"</f>
        <v>13830</v>
      </c>
      <c r="C32288" s="1">
        <v>2.0627112232663301E-4</v>
      </c>
      <c r="D32288" s="1">
        <v>8.043294169067E-5</v>
      </c>
      <c r="E32288" s="1">
        <v>1.12984038831745E-4</v>
      </c>
      <c r="F32288" s="1">
        <v>1.9588622999391201E-4</v>
      </c>
    </row>
    <row r="32289" spans="1:6" x14ac:dyDescent="0.25">
      <c r="A32289" s="2" t="str">
        <f t="shared" si="1166"/>
        <v>99999</v>
      </c>
      <c r="B32289" s="2" t="str">
        <f>"13473"</f>
        <v>13473</v>
      </c>
      <c r="C32289" s="1">
        <v>2.6302296550644701E-5</v>
      </c>
      <c r="D32289" s="1">
        <v>1.0623218713862E-5</v>
      </c>
      <c r="E32289" s="1">
        <v>4.3455399550671099E-6</v>
      </c>
      <c r="F32289" s="1">
        <v>2.4771798511165099E-5</v>
      </c>
    </row>
    <row r="32290" spans="1:6" x14ac:dyDescent="0.25">
      <c r="A32290" s="2" t="str">
        <f t="shared" si="1166"/>
        <v>99999</v>
      </c>
      <c r="B32290" s="2" t="str">
        <f>"13733"</f>
        <v>13733</v>
      </c>
      <c r="C32290" s="1">
        <v>2.7197229462326398E-4</v>
      </c>
      <c r="D32290" s="1">
        <v>1.8970033417610801E-4</v>
      </c>
      <c r="E32290" s="1">
        <v>2.4335023748375801E-4</v>
      </c>
      <c r="F32290" s="1">
        <v>2.6592376474033897E-4</v>
      </c>
    </row>
    <row r="32291" spans="1:6" x14ac:dyDescent="0.25">
      <c r="A32291" s="2" t="str">
        <f t="shared" si="1166"/>
        <v>99999</v>
      </c>
      <c r="B32291" s="2" t="str">
        <f>"13404"</f>
        <v>13404</v>
      </c>
      <c r="C32291" s="1">
        <v>0</v>
      </c>
      <c r="D32291" s="1">
        <v>0</v>
      </c>
      <c r="E32291" s="1">
        <v>4.3455399550671099E-6</v>
      </c>
      <c r="F32291" s="1">
        <v>9.9485134582992598E-8</v>
      </c>
    </row>
    <row r="32292" spans="1:6" x14ac:dyDescent="0.25">
      <c r="A32292" s="2" t="str">
        <f t="shared" si="1166"/>
        <v>99999</v>
      </c>
      <c r="B32292" s="2" t="str">
        <f>"13040"</f>
        <v>13040</v>
      </c>
      <c r="C32292" s="1">
        <v>1.04772633562734E-5</v>
      </c>
      <c r="D32292" s="1">
        <v>0</v>
      </c>
      <c r="E32292" s="1">
        <v>0</v>
      </c>
      <c r="F32292" s="1">
        <v>9.5505729199672898E-6</v>
      </c>
    </row>
    <row r="32293" spans="1:6" x14ac:dyDescent="0.25">
      <c r="A32293" s="2" t="str">
        <f t="shared" si="1166"/>
        <v>99999</v>
      </c>
      <c r="B32293" s="2" t="str">
        <f>"13305"</f>
        <v>13305</v>
      </c>
      <c r="C32293" s="1">
        <v>0</v>
      </c>
      <c r="D32293" s="1">
        <v>0</v>
      </c>
      <c r="E32293" s="1">
        <v>4.3455399550671099E-6</v>
      </c>
      <c r="F32293" s="1">
        <v>9.9485134582992598E-8</v>
      </c>
    </row>
    <row r="32294" spans="1:6" x14ac:dyDescent="0.25">
      <c r="A32294" s="2" t="str">
        <f t="shared" si="1166"/>
        <v>99999</v>
      </c>
      <c r="B32294" s="2" t="str">
        <f>"12977"</f>
        <v>12977</v>
      </c>
      <c r="C32294" s="1">
        <v>1.09138159961181E-7</v>
      </c>
      <c r="D32294" s="1">
        <v>3.0352053468177301E-6</v>
      </c>
      <c r="E32294" s="1">
        <v>4.3455399550671099E-6</v>
      </c>
      <c r="F32294" s="1">
        <v>3.9794053833197002E-7</v>
      </c>
    </row>
    <row r="32295" spans="1:6" x14ac:dyDescent="0.25">
      <c r="A32295" s="2" t="str">
        <f t="shared" si="1166"/>
        <v>99999</v>
      </c>
      <c r="B32295" s="2" t="str">
        <f>"12974"</f>
        <v>12974</v>
      </c>
      <c r="C32295" s="1">
        <v>9.01481201279361E-5</v>
      </c>
      <c r="D32295" s="1">
        <v>1.4417225397384201E-4</v>
      </c>
      <c r="E32295" s="1">
        <v>2.5638685734895902E-4</v>
      </c>
      <c r="F32295" s="1">
        <v>9.7495431891332702E-5</v>
      </c>
    </row>
    <row r="32296" spans="1:6" x14ac:dyDescent="0.25">
      <c r="A32296" s="2" t="str">
        <f t="shared" si="1166"/>
        <v>99999</v>
      </c>
      <c r="B32296" s="2" t="str">
        <f>"12960"</f>
        <v>12960</v>
      </c>
      <c r="C32296" s="1">
        <v>3.4269382227811E-5</v>
      </c>
      <c r="D32296" s="1">
        <v>7.5880133670443404E-6</v>
      </c>
      <c r="E32296" s="1">
        <v>4.3455399550671099E-6</v>
      </c>
      <c r="F32296" s="1">
        <v>3.18352430665576E-5</v>
      </c>
    </row>
    <row r="32297" spans="1:6" x14ac:dyDescent="0.25">
      <c r="A32297" s="2" t="str">
        <f t="shared" si="1166"/>
        <v>99999</v>
      </c>
      <c r="B32297" s="2" t="str">
        <f>"12864"</f>
        <v>12864</v>
      </c>
      <c r="C32297" s="1">
        <v>5.4569079980590803E-6</v>
      </c>
      <c r="D32297" s="1">
        <v>0</v>
      </c>
      <c r="E32297" s="1">
        <v>4.3455399550671099E-6</v>
      </c>
      <c r="F32297" s="1">
        <v>5.0737418637326201E-6</v>
      </c>
    </row>
    <row r="32298" spans="1:6" x14ac:dyDescent="0.25">
      <c r="A32298" s="2" t="str">
        <f t="shared" si="1166"/>
        <v>99999</v>
      </c>
      <c r="B32298" s="2" t="str">
        <f>"12853"</f>
        <v>12853</v>
      </c>
      <c r="C32298" s="1">
        <v>3.27414479883545E-6</v>
      </c>
      <c r="D32298" s="1">
        <v>0</v>
      </c>
      <c r="E32298" s="1">
        <v>0</v>
      </c>
      <c r="F32298" s="1">
        <v>2.9845540374897699E-6</v>
      </c>
    </row>
    <row r="32299" spans="1:6" x14ac:dyDescent="0.25">
      <c r="A32299" s="2" t="str">
        <f t="shared" si="1166"/>
        <v>99999</v>
      </c>
      <c r="B32299" s="2" t="str">
        <f>"12857"</f>
        <v>12857</v>
      </c>
      <c r="C32299" s="1">
        <v>2.5320053110994099E-5</v>
      </c>
      <c r="D32299" s="1">
        <v>4.5528080202265997E-6</v>
      </c>
      <c r="E32299" s="1">
        <v>4.3455399550671099E-6</v>
      </c>
      <c r="F32299" s="1">
        <v>2.3478491761586199E-5</v>
      </c>
    </row>
    <row r="32300" spans="1:6" x14ac:dyDescent="0.25">
      <c r="A32300" s="2" t="str">
        <f t="shared" si="1166"/>
        <v>99999</v>
      </c>
      <c r="B32300" s="2" t="str">
        <f>"12861"</f>
        <v>12861</v>
      </c>
      <c r="C32300" s="1">
        <v>1.0913815996118101E-6</v>
      </c>
      <c r="D32300" s="1">
        <v>0</v>
      </c>
      <c r="E32300" s="1">
        <v>0</v>
      </c>
      <c r="F32300" s="1">
        <v>9.9485134582992606E-7</v>
      </c>
    </row>
    <row r="32301" spans="1:6" x14ac:dyDescent="0.25">
      <c r="A32301" s="2" t="str">
        <f t="shared" si="1166"/>
        <v>99999</v>
      </c>
      <c r="B32301" s="2" t="str">
        <f>"12851"</f>
        <v>12851</v>
      </c>
      <c r="C32301" s="1">
        <v>1.41879607949536E-5</v>
      </c>
      <c r="D32301" s="1">
        <v>4.5528080202265997E-6</v>
      </c>
      <c r="E32301" s="1">
        <v>4.3455399550671099E-6</v>
      </c>
      <c r="F32301" s="1">
        <v>1.3331008034121E-5</v>
      </c>
    </row>
    <row r="32302" spans="1:6" x14ac:dyDescent="0.25">
      <c r="A32302" s="2" t="str">
        <f t="shared" si="1166"/>
        <v>99999</v>
      </c>
      <c r="B32302" s="2" t="str">
        <f>"12847"</f>
        <v>12847</v>
      </c>
      <c r="C32302" s="1">
        <v>6.2645303817718305E-5</v>
      </c>
      <c r="D32302" s="1">
        <v>1.8211232080906399E-5</v>
      </c>
      <c r="E32302" s="1">
        <v>3.0418779685469802E-5</v>
      </c>
      <c r="F32302" s="1">
        <v>5.8994684807714602E-5</v>
      </c>
    </row>
    <row r="32303" spans="1:6" x14ac:dyDescent="0.25">
      <c r="A32303" s="2" t="str">
        <f t="shared" si="1166"/>
        <v>99999</v>
      </c>
      <c r="B32303" s="2" t="str">
        <f>"12738"</f>
        <v>12738</v>
      </c>
      <c r="C32303" s="1">
        <v>1.1350368635962901E-5</v>
      </c>
      <c r="D32303" s="1">
        <v>1.51760267340886E-6</v>
      </c>
      <c r="E32303" s="1">
        <v>1.3036619865201299E-5</v>
      </c>
      <c r="F32303" s="1">
        <v>1.0744394534963201E-5</v>
      </c>
    </row>
    <row r="32304" spans="1:6" x14ac:dyDescent="0.25">
      <c r="A32304" s="2" t="str">
        <f t="shared" si="1166"/>
        <v>99999</v>
      </c>
      <c r="B32304" s="2" t="str">
        <f>"12767"</f>
        <v>12767</v>
      </c>
      <c r="C32304" s="1">
        <v>4.3655263984472602E-7</v>
      </c>
      <c r="D32304" s="1">
        <v>0</v>
      </c>
      <c r="E32304" s="1">
        <v>4.3455399550671099E-6</v>
      </c>
      <c r="F32304" s="1">
        <v>4.9742567291496303E-7</v>
      </c>
    </row>
    <row r="32305" spans="1:6" x14ac:dyDescent="0.25">
      <c r="A32305" s="2" t="str">
        <f t="shared" si="1166"/>
        <v>99999</v>
      </c>
      <c r="B32305" s="2" t="str">
        <f>"12788"</f>
        <v>12788</v>
      </c>
      <c r="C32305" s="1">
        <v>1.11866613960211E-4</v>
      </c>
      <c r="D32305" s="1">
        <v>3.4904861488403899E-5</v>
      </c>
      <c r="E32305" s="1">
        <v>5.6492019415872502E-5</v>
      </c>
      <c r="F32305" s="1">
        <v>1.0555372779255501E-4</v>
      </c>
    </row>
    <row r="32306" spans="1:6" x14ac:dyDescent="0.25">
      <c r="A32306" s="2" t="str">
        <f t="shared" si="1166"/>
        <v>99999</v>
      </c>
      <c r="B32306" s="2" t="str">
        <f>"12783"</f>
        <v>12783</v>
      </c>
      <c r="C32306" s="1">
        <v>9.7023824205490501E-5</v>
      </c>
      <c r="D32306" s="1">
        <v>6.2221709609763595E-5</v>
      </c>
      <c r="E32306" s="1">
        <v>7.3874179236140894E-5</v>
      </c>
      <c r="F32306" s="1">
        <v>9.4212422450094002E-5</v>
      </c>
    </row>
    <row r="32307" spans="1:6" x14ac:dyDescent="0.25">
      <c r="A32307" s="2" t="str">
        <f t="shared" si="1166"/>
        <v>99999</v>
      </c>
      <c r="B32307" s="2" t="str">
        <f>"12776"</f>
        <v>12776</v>
      </c>
      <c r="C32307" s="1">
        <v>1.5388480554526601E-4</v>
      </c>
      <c r="D32307" s="1">
        <v>7.1327325650216798E-5</v>
      </c>
      <c r="E32307" s="1">
        <v>1.12984038831745E-4</v>
      </c>
      <c r="F32307" s="1">
        <v>1.4753645458657799E-4</v>
      </c>
    </row>
    <row r="32308" spans="1:6" x14ac:dyDescent="0.25">
      <c r="A32308" s="2" t="str">
        <f t="shared" si="1166"/>
        <v>99999</v>
      </c>
      <c r="B32308" s="2" t="str">
        <f>"12766"</f>
        <v>12766</v>
      </c>
      <c r="C32308" s="1">
        <v>2.0408835912740901E-5</v>
      </c>
      <c r="D32308" s="1">
        <v>7.5880133670443404E-6</v>
      </c>
      <c r="E32308" s="1">
        <v>4.3455399550671099E-6</v>
      </c>
      <c r="F32308" s="1">
        <v>1.92006309745175E-5</v>
      </c>
    </row>
    <row r="32309" spans="1:6" x14ac:dyDescent="0.25">
      <c r="A32309" s="2" t="str">
        <f t="shared" si="1166"/>
        <v>99999</v>
      </c>
      <c r="B32309" s="2" t="str">
        <f>"12722"</f>
        <v>12722</v>
      </c>
      <c r="C32309" s="1">
        <v>4.3655263984472602E-7</v>
      </c>
      <c r="D32309" s="1">
        <v>0</v>
      </c>
      <c r="E32309" s="1">
        <v>4.3455399550671099E-6</v>
      </c>
      <c r="F32309" s="1">
        <v>4.9742567291496303E-7</v>
      </c>
    </row>
    <row r="32310" spans="1:6" x14ac:dyDescent="0.25">
      <c r="A32310" s="2" t="str">
        <f t="shared" si="1166"/>
        <v>99999</v>
      </c>
      <c r="B32310" s="2" t="str">
        <f>"12729"</f>
        <v>12729</v>
      </c>
      <c r="C32310" s="1">
        <v>7.4213948773603504E-6</v>
      </c>
      <c r="D32310" s="1">
        <v>1.51760267340886E-6</v>
      </c>
      <c r="E32310" s="1">
        <v>0</v>
      </c>
      <c r="F32310" s="1">
        <v>6.86447428622649E-6</v>
      </c>
    </row>
    <row r="32311" spans="1:6" x14ac:dyDescent="0.25">
      <c r="A32311" s="2" t="str">
        <f t="shared" si="1166"/>
        <v>99999</v>
      </c>
      <c r="B32311" s="2" t="str">
        <f>"12723"</f>
        <v>12723</v>
      </c>
      <c r="C32311" s="1">
        <v>1.35877009151671E-4</v>
      </c>
      <c r="D32311" s="1">
        <v>9.4091365751349906E-5</v>
      </c>
      <c r="E32311" s="1">
        <v>9.9947418966543598E-5</v>
      </c>
      <c r="F32311" s="1">
        <v>1.3231522899537999E-4</v>
      </c>
    </row>
    <row r="32312" spans="1:6" x14ac:dyDescent="0.25">
      <c r="A32312" s="2" t="str">
        <f t="shared" si="1166"/>
        <v>99999</v>
      </c>
      <c r="B32312" s="2" t="str">
        <f>"12439"</f>
        <v>12439</v>
      </c>
      <c r="C32312" s="1">
        <v>2.0081421432857398E-5</v>
      </c>
      <c r="D32312" s="1">
        <v>1.0623218713862E-5</v>
      </c>
      <c r="E32312" s="1">
        <v>4.3455399550671103E-5</v>
      </c>
      <c r="F32312" s="1">
        <v>1.9996512051181498E-5</v>
      </c>
    </row>
    <row r="32313" spans="1:6" x14ac:dyDescent="0.25">
      <c r="A32313" s="2" t="str">
        <f t="shared" si="1166"/>
        <v>99999</v>
      </c>
      <c r="B32313" s="2" t="str">
        <f>"12492"</f>
        <v>12492</v>
      </c>
      <c r="C32313" s="1">
        <v>1.49519279146818E-5</v>
      </c>
      <c r="D32313" s="1">
        <v>4.5528080202265997E-6</v>
      </c>
      <c r="E32313" s="1">
        <v>4.3455399550671099E-6</v>
      </c>
      <c r="F32313" s="1">
        <v>1.4027403976201899E-5</v>
      </c>
    </row>
    <row r="32314" spans="1:6" x14ac:dyDescent="0.25">
      <c r="A32314" s="2" t="str">
        <f t="shared" si="1166"/>
        <v>99999</v>
      </c>
      <c r="B32314" s="2" t="str">
        <f>"12435"</f>
        <v>12435</v>
      </c>
      <c r="C32314" s="1">
        <v>2.1827631992236301E-7</v>
      </c>
      <c r="D32314" s="1">
        <v>0</v>
      </c>
      <c r="E32314" s="1">
        <v>0</v>
      </c>
      <c r="F32314" s="1">
        <v>1.9897026916598501E-7</v>
      </c>
    </row>
    <row r="32315" spans="1:6" x14ac:dyDescent="0.25">
      <c r="A32315" s="2" t="str">
        <f t="shared" si="1166"/>
        <v>99999</v>
      </c>
      <c r="B32315" s="2" t="str">
        <f>"12473"</f>
        <v>12473</v>
      </c>
      <c r="C32315" s="1">
        <v>3.0776961109053202E-5</v>
      </c>
      <c r="D32315" s="1">
        <v>7.5880133670443404E-6</v>
      </c>
      <c r="E32315" s="1">
        <v>4.3455399550671099E-6</v>
      </c>
      <c r="F32315" s="1">
        <v>2.86517187599018E-5</v>
      </c>
    </row>
    <row r="32316" spans="1:6" x14ac:dyDescent="0.25">
      <c r="A32316" s="2" t="str">
        <f t="shared" si="1166"/>
        <v>99999</v>
      </c>
      <c r="B32316" s="2" t="str">
        <f>"12434"</f>
        <v>12434</v>
      </c>
      <c r="C32316" s="1">
        <v>7.6396711972827196E-6</v>
      </c>
      <c r="D32316" s="1">
        <v>1.51760267340886E-6</v>
      </c>
      <c r="E32316" s="1">
        <v>2.60732397304027E-5</v>
      </c>
      <c r="F32316" s="1">
        <v>7.6603553628904299E-6</v>
      </c>
    </row>
    <row r="32317" spans="1:6" x14ac:dyDescent="0.25">
      <c r="A32317" s="2" t="str">
        <f t="shared" si="1166"/>
        <v>99999</v>
      </c>
      <c r="B32317" s="2" t="str">
        <f>"12139"</f>
        <v>12139</v>
      </c>
      <c r="C32317" s="1">
        <v>2.4228671511382299E-5</v>
      </c>
      <c r="D32317" s="1">
        <v>4.5528080202265997E-6</v>
      </c>
      <c r="E32317" s="1">
        <v>1.7382159820268399E-5</v>
      </c>
      <c r="F32317" s="1">
        <v>2.2782095819505301E-5</v>
      </c>
    </row>
    <row r="32318" spans="1:6" x14ac:dyDescent="0.25">
      <c r="A32318" s="2" t="str">
        <f t="shared" si="1166"/>
        <v>99999</v>
      </c>
      <c r="B32318" s="2" t="str">
        <f>"12108"</f>
        <v>12108</v>
      </c>
      <c r="C32318" s="1">
        <v>3.1540928228781503E-5</v>
      </c>
      <c r="D32318" s="1">
        <v>6.0704106936354696E-6</v>
      </c>
      <c r="E32318" s="1">
        <v>4.3455399550671099E-6</v>
      </c>
      <c r="F32318" s="1">
        <v>2.9248629567399801E-5</v>
      </c>
    </row>
    <row r="32319" spans="1:6" x14ac:dyDescent="0.25">
      <c r="A32319" s="2" t="str">
        <f t="shared" si="1166"/>
        <v>99999</v>
      </c>
      <c r="B32319" s="2" t="str">
        <f>"12418"</f>
        <v>12418</v>
      </c>
      <c r="C32319" s="1">
        <v>3.8089217826452399E-5</v>
      </c>
      <c r="D32319" s="1">
        <v>1.21408213872709E-5</v>
      </c>
      <c r="E32319" s="1">
        <v>4.3455399550671099E-6</v>
      </c>
      <c r="F32319" s="1">
        <v>3.56156781807113E-5</v>
      </c>
    </row>
    <row r="32320" spans="1:6" x14ac:dyDescent="0.25">
      <c r="A32320" s="2" t="str">
        <f t="shared" si="1166"/>
        <v>99999</v>
      </c>
      <c r="B32320" s="2" t="str">
        <f>"12046"</f>
        <v>12046</v>
      </c>
      <c r="C32320" s="1">
        <v>3.27414479883545E-6</v>
      </c>
      <c r="D32320" s="1">
        <v>0</v>
      </c>
      <c r="E32320" s="1">
        <v>0</v>
      </c>
      <c r="F32320" s="1">
        <v>2.9845540374897699E-6</v>
      </c>
    </row>
    <row r="32321" spans="1:6" x14ac:dyDescent="0.25">
      <c r="A32321" s="2" t="str">
        <f t="shared" si="1166"/>
        <v>99999</v>
      </c>
      <c r="B32321" s="2" t="str">
        <f>"12167"</f>
        <v>12167</v>
      </c>
      <c r="C32321" s="1">
        <v>9.9752278204520107E-5</v>
      </c>
      <c r="D32321" s="1">
        <v>1.82112320809064E-4</v>
      </c>
      <c r="E32321" s="1">
        <v>2.8246009707936202E-4</v>
      </c>
      <c r="F32321" s="1">
        <v>1.09334162906708E-4</v>
      </c>
    </row>
    <row r="32322" spans="1:6" x14ac:dyDescent="0.25">
      <c r="A32322" s="2" t="str">
        <f t="shared" si="1166"/>
        <v>99999</v>
      </c>
      <c r="B32322" s="2" t="str">
        <f>"89318"</f>
        <v>89318</v>
      </c>
      <c r="C32322" s="1">
        <v>0</v>
      </c>
      <c r="D32322" s="1">
        <v>1.51760267340886E-6</v>
      </c>
      <c r="E32322" s="1">
        <v>3.47643196405369E-5</v>
      </c>
      <c r="F32322" s="1">
        <v>8.9536621124693305E-7</v>
      </c>
    </row>
    <row r="32323" spans="1:6" x14ac:dyDescent="0.25">
      <c r="A32323" s="2" t="str">
        <f t="shared" si="1166"/>
        <v>99999</v>
      </c>
      <c r="B32323" s="2" t="str">
        <f>"89310"</f>
        <v>89310</v>
      </c>
      <c r="C32323" s="1">
        <v>5.91528826989605E-5</v>
      </c>
      <c r="D32323" s="1">
        <v>1.66936294074975E-5</v>
      </c>
      <c r="E32323" s="1">
        <v>0</v>
      </c>
      <c r="F32323" s="1">
        <v>5.5015279424394898E-5</v>
      </c>
    </row>
    <row r="32324" spans="1:6" x14ac:dyDescent="0.25">
      <c r="A32324" s="2" t="str">
        <f t="shared" si="1166"/>
        <v>99999</v>
      </c>
      <c r="B32324" s="2" t="str">
        <f>"89422"</f>
        <v>89422</v>
      </c>
      <c r="C32324" s="1">
        <v>0</v>
      </c>
      <c r="D32324" s="1">
        <v>1.51760267340886E-6</v>
      </c>
      <c r="E32324" s="1">
        <v>0</v>
      </c>
      <c r="F32324" s="1">
        <v>9.9485134582992598E-8</v>
      </c>
    </row>
    <row r="32325" spans="1:6" x14ac:dyDescent="0.25">
      <c r="A32325" s="2" t="str">
        <f t="shared" si="1166"/>
        <v>99999</v>
      </c>
      <c r="B32325" s="2" t="str">
        <f>"89419"</f>
        <v>89419</v>
      </c>
      <c r="C32325" s="1">
        <v>8.2071896290808601E-5</v>
      </c>
      <c r="D32325" s="1">
        <v>5.15984908959015E-5</v>
      </c>
      <c r="E32325" s="1">
        <v>3.0853333680976502E-4</v>
      </c>
      <c r="F32325" s="1">
        <v>8.5258760337624597E-5</v>
      </c>
    </row>
    <row r="32326" spans="1:6" x14ac:dyDescent="0.25">
      <c r="A32326" s="2" t="str">
        <f t="shared" si="1166"/>
        <v>99999</v>
      </c>
      <c r="B32326" s="2" t="str">
        <f>"88414"</f>
        <v>88414</v>
      </c>
      <c r="C32326" s="1">
        <v>5.4569079980590803E-6</v>
      </c>
      <c r="D32326" s="1">
        <v>0</v>
      </c>
      <c r="E32326" s="1">
        <v>4.3455399550671099E-6</v>
      </c>
      <c r="F32326" s="1">
        <v>5.0737418637326201E-6</v>
      </c>
    </row>
    <row r="32327" spans="1:6" x14ac:dyDescent="0.25">
      <c r="A32327" s="2" t="str">
        <f t="shared" si="1166"/>
        <v>99999</v>
      </c>
      <c r="B32327" s="2" t="str">
        <f>"88435"</f>
        <v>88435</v>
      </c>
      <c r="C32327" s="1">
        <v>2.17184938322751E-4</v>
      </c>
      <c r="D32327" s="1">
        <v>4.5376319934925101E-4</v>
      </c>
      <c r="E32327" s="1">
        <v>3.7371643613577199E-4</v>
      </c>
      <c r="F32327" s="1">
        <v>2.36277194634607E-4</v>
      </c>
    </row>
    <row r="32328" spans="1:6" x14ac:dyDescent="0.25">
      <c r="A32328" s="2" t="str">
        <f t="shared" si="1166"/>
        <v>99999</v>
      </c>
      <c r="B32328" s="2" t="str">
        <f>"87828"</f>
        <v>87828</v>
      </c>
      <c r="C32328" s="1">
        <v>1.8444349033439702E-5</v>
      </c>
      <c r="D32328" s="1">
        <v>4.5528080202265997E-6</v>
      </c>
      <c r="E32328" s="1">
        <v>4.3455399550671099E-6</v>
      </c>
      <c r="F32328" s="1">
        <v>1.7210928282857699E-5</v>
      </c>
    </row>
    <row r="32329" spans="1:6" x14ac:dyDescent="0.25">
      <c r="A32329" s="2" t="str">
        <f t="shared" si="1166"/>
        <v>99999</v>
      </c>
      <c r="B32329" s="2" t="str">
        <f>"87820"</f>
        <v>87820</v>
      </c>
      <c r="C32329" s="1">
        <v>9.1676054367392598E-6</v>
      </c>
      <c r="D32329" s="1">
        <v>4.5528080202265997E-6</v>
      </c>
      <c r="E32329" s="1">
        <v>0</v>
      </c>
      <c r="F32329" s="1">
        <v>8.6552067087203506E-6</v>
      </c>
    </row>
    <row r="32330" spans="1:6" x14ac:dyDescent="0.25">
      <c r="A32330" s="2" t="str">
        <f t="shared" si="1166"/>
        <v>99999</v>
      </c>
      <c r="B32330" s="2" t="str">
        <f>"87942"</f>
        <v>87942</v>
      </c>
      <c r="C32330" s="1">
        <v>4.2127329745016101E-5</v>
      </c>
      <c r="D32330" s="1">
        <v>1.51760267340886E-6</v>
      </c>
      <c r="E32330" s="1">
        <v>8.69107991013423E-6</v>
      </c>
      <c r="F32330" s="1">
        <v>3.8699717352784098E-5</v>
      </c>
    </row>
    <row r="32331" spans="1:6" x14ac:dyDescent="0.25">
      <c r="A32331" s="2" t="str">
        <f t="shared" si="1166"/>
        <v>99999</v>
      </c>
      <c r="B32331" s="2" t="str">
        <f>"87823"</f>
        <v>87823</v>
      </c>
      <c r="C32331" s="1">
        <v>2.58657439108E-5</v>
      </c>
      <c r="D32331" s="1">
        <v>3.0352053468177301E-6</v>
      </c>
      <c r="E32331" s="1">
        <v>4.3455399550671099E-6</v>
      </c>
      <c r="F32331" s="1">
        <v>2.38764322999182E-5</v>
      </c>
    </row>
    <row r="32332" spans="1:6" x14ac:dyDescent="0.25">
      <c r="A32332" s="2" t="str">
        <f t="shared" si="1166"/>
        <v>99999</v>
      </c>
      <c r="B32332" s="2" t="str">
        <f>"87718"</f>
        <v>87718</v>
      </c>
      <c r="C32332" s="1">
        <v>7.8579475172050803E-6</v>
      </c>
      <c r="D32332" s="1">
        <v>0</v>
      </c>
      <c r="E32332" s="1">
        <v>8.69107991013423E-6</v>
      </c>
      <c r="F32332" s="1">
        <v>7.3618999591414504E-6</v>
      </c>
    </row>
    <row r="32333" spans="1:6" x14ac:dyDescent="0.25">
      <c r="A32333" s="2" t="str">
        <f t="shared" si="1166"/>
        <v>99999</v>
      </c>
      <c r="B32333" s="2" t="str">
        <f>"87711"</f>
        <v>87711</v>
      </c>
      <c r="C32333" s="1">
        <v>3.3287138788160402E-5</v>
      </c>
      <c r="D32333" s="1">
        <v>3.0352053468177301E-6</v>
      </c>
      <c r="E32333" s="1">
        <v>8.69107991013423E-6</v>
      </c>
      <c r="F32333" s="1">
        <v>3.0740906586144698E-5</v>
      </c>
    </row>
    <row r="32334" spans="1:6" x14ac:dyDescent="0.25">
      <c r="A32334" s="2" t="str">
        <f t="shared" si="1166"/>
        <v>99999</v>
      </c>
      <c r="B32334" s="2" t="str">
        <f>"87654"</f>
        <v>87654</v>
      </c>
      <c r="C32334" s="1">
        <v>0</v>
      </c>
      <c r="D32334" s="1">
        <v>0</v>
      </c>
      <c r="E32334" s="1">
        <v>4.3455399550671099E-6</v>
      </c>
      <c r="F32334" s="1">
        <v>9.9485134582992598E-8</v>
      </c>
    </row>
    <row r="32335" spans="1:6" x14ac:dyDescent="0.25">
      <c r="A32335" s="2" t="str">
        <f t="shared" si="1166"/>
        <v>99999</v>
      </c>
      <c r="B32335" s="2" t="str">
        <f>"88042"</f>
        <v>88042</v>
      </c>
      <c r="C32335" s="1">
        <v>1.65890003140996E-5</v>
      </c>
      <c r="D32335" s="1">
        <v>9.1056160404532095E-6</v>
      </c>
      <c r="E32335" s="1">
        <v>4.3455399550671099E-6</v>
      </c>
      <c r="F32335" s="1">
        <v>1.5818136398695801E-5</v>
      </c>
    </row>
    <row r="32336" spans="1:6" x14ac:dyDescent="0.25">
      <c r="A32336" s="2" t="str">
        <f t="shared" si="1166"/>
        <v>99999</v>
      </c>
      <c r="B32336" s="2" t="str">
        <f>"88120"</f>
        <v>88120</v>
      </c>
      <c r="C32336" s="1">
        <v>3.27414479883545E-6</v>
      </c>
      <c r="D32336" s="1">
        <v>4.5528080202265997E-6</v>
      </c>
      <c r="E32336" s="1">
        <v>0</v>
      </c>
      <c r="F32336" s="1">
        <v>3.2830094412387502E-6</v>
      </c>
    </row>
    <row r="32337" spans="1:6" x14ac:dyDescent="0.25">
      <c r="A32337" s="2" t="str">
        <f t="shared" si="1166"/>
        <v>99999</v>
      </c>
      <c r="B32337" s="2" t="str">
        <f>"86540"</f>
        <v>86540</v>
      </c>
      <c r="C32337" s="1">
        <v>0</v>
      </c>
      <c r="D32337" s="1">
        <v>1.51760267340886E-6</v>
      </c>
      <c r="E32337" s="1">
        <v>0</v>
      </c>
      <c r="F32337" s="1">
        <v>9.9485134582992598E-8</v>
      </c>
    </row>
    <row r="32338" spans="1:6" x14ac:dyDescent="0.25">
      <c r="A32338" s="2" t="str">
        <f t="shared" ref="A32338:A32401" si="1167">"99999"</f>
        <v>99999</v>
      </c>
      <c r="B32338" s="2" t="str">
        <f>"86507"</f>
        <v>86507</v>
      </c>
      <c r="C32338" s="1">
        <v>0</v>
      </c>
      <c r="D32338" s="1">
        <v>0</v>
      </c>
      <c r="E32338" s="1">
        <v>4.3455399550671099E-6</v>
      </c>
      <c r="F32338" s="1">
        <v>9.9485134582992598E-8</v>
      </c>
    </row>
    <row r="32339" spans="1:6" x14ac:dyDescent="0.25">
      <c r="A32339" s="2" t="str">
        <f t="shared" si="1167"/>
        <v>99999</v>
      </c>
      <c r="B32339" s="2" t="str">
        <f>"86505"</f>
        <v>86505</v>
      </c>
      <c r="C32339" s="1">
        <v>0</v>
      </c>
      <c r="D32339" s="1">
        <v>1.8211232080906399E-5</v>
      </c>
      <c r="E32339" s="1">
        <v>8.69107991013423E-6</v>
      </c>
      <c r="F32339" s="1">
        <v>1.39279188416189E-6</v>
      </c>
    </row>
    <row r="32340" spans="1:6" x14ac:dyDescent="0.25">
      <c r="A32340" s="2" t="str">
        <f t="shared" si="1167"/>
        <v>99999</v>
      </c>
      <c r="B32340" s="2" t="str">
        <f>"85533"</f>
        <v>85533</v>
      </c>
      <c r="C32340" s="1">
        <v>4.7911652222958702E-5</v>
      </c>
      <c r="D32340" s="1">
        <v>1.3658424060679801E-5</v>
      </c>
      <c r="E32340" s="1">
        <v>1.3036619865201299E-5</v>
      </c>
      <c r="F32340" s="1">
        <v>4.4867795696929599E-5</v>
      </c>
    </row>
    <row r="32341" spans="1:6" x14ac:dyDescent="0.25">
      <c r="A32341" s="2" t="str">
        <f t="shared" si="1167"/>
        <v>99999</v>
      </c>
      <c r="B32341" s="2" t="str">
        <f>"84764"</f>
        <v>84764</v>
      </c>
      <c r="C32341" s="1">
        <v>3.05586847891308E-6</v>
      </c>
      <c r="D32341" s="1">
        <v>3.0352053468177301E-5</v>
      </c>
      <c r="E32341" s="1">
        <v>4.3455399550671099E-6</v>
      </c>
      <c r="F32341" s="1">
        <v>4.8747715945666299E-6</v>
      </c>
    </row>
    <row r="32342" spans="1:6" x14ac:dyDescent="0.25">
      <c r="A32342" s="2" t="str">
        <f t="shared" si="1167"/>
        <v>99999</v>
      </c>
      <c r="B32342" s="2" t="str">
        <f>"84728"</f>
        <v>84728</v>
      </c>
      <c r="C32342" s="1">
        <v>6.0025987978649897E-6</v>
      </c>
      <c r="D32342" s="1">
        <v>1.0623218713862E-5</v>
      </c>
      <c r="E32342" s="1">
        <v>4.3455399550671099E-6</v>
      </c>
      <c r="F32342" s="1">
        <v>6.2675634787285303E-6</v>
      </c>
    </row>
    <row r="32343" spans="1:6" x14ac:dyDescent="0.25">
      <c r="A32343" s="2" t="str">
        <f t="shared" si="1167"/>
        <v>99999</v>
      </c>
      <c r="B32343" s="2" t="str">
        <f>"84755"</f>
        <v>84755</v>
      </c>
      <c r="C32343" s="1">
        <v>1.09138159961181E-7</v>
      </c>
      <c r="D32343" s="1">
        <v>0</v>
      </c>
      <c r="E32343" s="1">
        <v>4.3455399550671099E-6</v>
      </c>
      <c r="F32343" s="1">
        <v>1.9897026916598501E-7</v>
      </c>
    </row>
    <row r="32344" spans="1:6" x14ac:dyDescent="0.25">
      <c r="A32344" s="2" t="str">
        <f t="shared" si="1167"/>
        <v>99999</v>
      </c>
      <c r="B32344" s="2" t="str">
        <f>"84758"</f>
        <v>84758</v>
      </c>
      <c r="C32344" s="1">
        <v>1.09138159961181E-7</v>
      </c>
      <c r="D32344" s="1">
        <v>0</v>
      </c>
      <c r="E32344" s="1">
        <v>8.69107991013423E-6</v>
      </c>
      <c r="F32344" s="1">
        <v>2.9845540374897701E-7</v>
      </c>
    </row>
    <row r="32345" spans="1:6" x14ac:dyDescent="0.25">
      <c r="A32345" s="2" t="str">
        <f t="shared" si="1167"/>
        <v>99999</v>
      </c>
      <c r="B32345" s="2" t="str">
        <f>"84739"</f>
        <v>84739</v>
      </c>
      <c r="C32345" s="1">
        <v>2.24824609520034E-5</v>
      </c>
      <c r="D32345" s="1">
        <v>7.5880133670443404E-6</v>
      </c>
      <c r="E32345" s="1">
        <v>1.6078497833748299E-4</v>
      </c>
      <c r="F32345" s="1">
        <v>2.46723133765821E-5</v>
      </c>
    </row>
    <row r="32346" spans="1:6" x14ac:dyDescent="0.25">
      <c r="A32346" s="2" t="str">
        <f t="shared" si="1167"/>
        <v>99999</v>
      </c>
      <c r="B32346" s="2" t="str">
        <f>"84724"</f>
        <v>84724</v>
      </c>
      <c r="C32346" s="1">
        <v>5.4459941820629598E-5</v>
      </c>
      <c r="D32346" s="1">
        <v>6.0704106936354696E-6</v>
      </c>
      <c r="E32346" s="1">
        <v>0</v>
      </c>
      <c r="F32346" s="1">
        <v>5.0041022695245203E-5</v>
      </c>
    </row>
    <row r="32347" spans="1:6" x14ac:dyDescent="0.25">
      <c r="A32347" s="2" t="str">
        <f t="shared" si="1167"/>
        <v>99999</v>
      </c>
      <c r="B32347" s="2" t="str">
        <f>"84662"</f>
        <v>84662</v>
      </c>
      <c r="C32347" s="1">
        <v>5.14040733417165E-5</v>
      </c>
      <c r="D32347" s="1">
        <v>0</v>
      </c>
      <c r="E32347" s="1">
        <v>1.7382159820268399E-5</v>
      </c>
      <c r="F32347" s="1">
        <v>4.7255438926921502E-5</v>
      </c>
    </row>
    <row r="32348" spans="1:6" x14ac:dyDescent="0.25">
      <c r="A32348" s="2" t="str">
        <f t="shared" si="1167"/>
        <v>99999</v>
      </c>
      <c r="B32348" s="2" t="str">
        <f>"84638"</f>
        <v>84638</v>
      </c>
      <c r="C32348" s="1">
        <v>1.7462105593789001E-6</v>
      </c>
      <c r="D32348" s="1">
        <v>1.51760267340886E-6</v>
      </c>
      <c r="E32348" s="1">
        <v>4.3455399550671099E-6</v>
      </c>
      <c r="F32348" s="1">
        <v>1.79073242249386E-6</v>
      </c>
    </row>
    <row r="32349" spans="1:6" x14ac:dyDescent="0.25">
      <c r="A32349" s="2" t="str">
        <f t="shared" si="1167"/>
        <v>99999</v>
      </c>
      <c r="B32349" s="2" t="str">
        <f>"84627"</f>
        <v>84627</v>
      </c>
      <c r="C32349" s="1">
        <v>2.22205293680966E-4</v>
      </c>
      <c r="D32349" s="1">
        <v>3.0200293200836502E-4</v>
      </c>
      <c r="E32349" s="1">
        <v>1.6078497833748299E-4</v>
      </c>
      <c r="F32349" s="1">
        <v>2.2603022577255899E-4</v>
      </c>
    </row>
    <row r="32350" spans="1:6" x14ac:dyDescent="0.25">
      <c r="A32350" s="2" t="str">
        <f t="shared" si="1167"/>
        <v>99999</v>
      </c>
      <c r="B32350" s="2" t="str">
        <f>"84510"</f>
        <v>84510</v>
      </c>
      <c r="C32350" s="1">
        <v>1.09138159961181E-7</v>
      </c>
      <c r="D32350" s="1">
        <v>0</v>
      </c>
      <c r="E32350" s="1">
        <v>1.3036619865201299E-5</v>
      </c>
      <c r="F32350" s="1">
        <v>3.9794053833197002E-7</v>
      </c>
    </row>
    <row r="32351" spans="1:6" x14ac:dyDescent="0.25">
      <c r="A32351" s="2" t="str">
        <f t="shared" si="1167"/>
        <v>99999</v>
      </c>
      <c r="B32351" s="2" t="str">
        <f>"84513"</f>
        <v>84513</v>
      </c>
      <c r="C32351" s="1">
        <v>1.09138159961181E-5</v>
      </c>
      <c r="D32351" s="1">
        <v>0</v>
      </c>
      <c r="E32351" s="1">
        <v>0</v>
      </c>
      <c r="F32351" s="1">
        <v>9.9485134582992602E-6</v>
      </c>
    </row>
    <row r="32352" spans="1:6" x14ac:dyDescent="0.25">
      <c r="A32352" s="2" t="str">
        <f t="shared" si="1167"/>
        <v>99999</v>
      </c>
      <c r="B32352" s="2" t="str">
        <f>"84523"</f>
        <v>84523</v>
      </c>
      <c r="C32352" s="1">
        <v>1.7462105593789001E-6</v>
      </c>
      <c r="D32352" s="1">
        <v>8.9538557731123203E-5</v>
      </c>
      <c r="E32352" s="1">
        <v>0</v>
      </c>
      <c r="F32352" s="1">
        <v>7.4613850937244396E-6</v>
      </c>
    </row>
    <row r="32353" spans="1:6" x14ac:dyDescent="0.25">
      <c r="A32353" s="2" t="str">
        <f t="shared" si="1167"/>
        <v>99999</v>
      </c>
      <c r="B32353" s="2" t="str">
        <f>"84522"</f>
        <v>84522</v>
      </c>
      <c r="C32353" s="1">
        <v>1.4187960794953601E-6</v>
      </c>
      <c r="D32353" s="1">
        <v>1.30513829913162E-4</v>
      </c>
      <c r="E32353" s="1">
        <v>4.3455399550671099E-6</v>
      </c>
      <c r="F32353" s="1">
        <v>9.9485134582992602E-6</v>
      </c>
    </row>
    <row r="32354" spans="1:6" x14ac:dyDescent="0.25">
      <c r="A32354" s="2" t="str">
        <f t="shared" si="1167"/>
        <v>99999</v>
      </c>
      <c r="B32354" s="2" t="str">
        <f>"84537"</f>
        <v>84537</v>
      </c>
      <c r="C32354" s="1">
        <v>7.63967119728272E-7</v>
      </c>
      <c r="D32354" s="1">
        <v>1.2292581654611801E-4</v>
      </c>
      <c r="E32354" s="1">
        <v>4.3455399550671099E-6</v>
      </c>
      <c r="F32354" s="1">
        <v>8.8541769778863392E-6</v>
      </c>
    </row>
    <row r="32355" spans="1:6" x14ac:dyDescent="0.25">
      <c r="A32355" s="2" t="str">
        <f t="shared" si="1167"/>
        <v>99999</v>
      </c>
      <c r="B32355" s="2" t="str">
        <f>"84511"</f>
        <v>84511</v>
      </c>
      <c r="C32355" s="1">
        <v>1.68836733459948E-4</v>
      </c>
      <c r="D32355" s="1">
        <v>2.21569990317694E-4</v>
      </c>
      <c r="E32355" s="1">
        <v>2.7376901716922799E-4</v>
      </c>
      <c r="F32355" s="1">
        <v>1.7469589632773501E-4</v>
      </c>
    </row>
    <row r="32356" spans="1:6" x14ac:dyDescent="0.25">
      <c r="A32356" s="2" t="str">
        <f t="shared" si="1167"/>
        <v>99999</v>
      </c>
      <c r="B32356" s="2" t="str">
        <f>"84053"</f>
        <v>84053</v>
      </c>
      <c r="C32356" s="1">
        <v>2.2373322792042201E-5</v>
      </c>
      <c r="D32356" s="1">
        <v>0</v>
      </c>
      <c r="E32356" s="1">
        <v>1.3036619865201299E-5</v>
      </c>
      <c r="F32356" s="1">
        <v>2.06929079932624E-5</v>
      </c>
    </row>
    <row r="32357" spans="1:6" x14ac:dyDescent="0.25">
      <c r="A32357" s="2" t="str">
        <f t="shared" si="1167"/>
        <v>99999</v>
      </c>
      <c r="B32357" s="2" t="str">
        <f>"84031"</f>
        <v>84031</v>
      </c>
      <c r="C32357" s="1">
        <v>9.8224343965063504E-6</v>
      </c>
      <c r="D32357" s="1">
        <v>7.5880133670443404E-6</v>
      </c>
      <c r="E32357" s="1">
        <v>1.3036619865201299E-5</v>
      </c>
      <c r="F32357" s="1">
        <v>9.7495431891332699E-6</v>
      </c>
    </row>
    <row r="32358" spans="1:6" x14ac:dyDescent="0.25">
      <c r="A32358" s="2" t="str">
        <f t="shared" si="1167"/>
        <v>99999</v>
      </c>
      <c r="B32358" s="2" t="str">
        <f>"83812"</f>
        <v>83812</v>
      </c>
      <c r="C32358" s="1">
        <v>2.2919013591848099E-6</v>
      </c>
      <c r="D32358" s="1">
        <v>3.0352053468177301E-6</v>
      </c>
      <c r="E32358" s="1">
        <v>4.3455399550671099E-6</v>
      </c>
      <c r="F32358" s="1">
        <v>2.3876432299918199E-6</v>
      </c>
    </row>
    <row r="32359" spans="1:6" x14ac:dyDescent="0.25">
      <c r="A32359" s="2" t="str">
        <f t="shared" si="1167"/>
        <v>99999</v>
      </c>
      <c r="B32359" s="2" t="str">
        <f>"83805"</f>
        <v>83805</v>
      </c>
      <c r="C32359" s="1">
        <v>5.4099785892757705E-4</v>
      </c>
      <c r="D32359" s="1">
        <v>6.8899161372762603E-4</v>
      </c>
      <c r="E32359" s="1">
        <v>5.9099343388912704E-4</v>
      </c>
      <c r="F32359" s="1">
        <v>5.5184404153185999E-4</v>
      </c>
    </row>
    <row r="32360" spans="1:6" x14ac:dyDescent="0.25">
      <c r="A32360" s="2" t="str">
        <f t="shared" si="1167"/>
        <v>99999</v>
      </c>
      <c r="B32360" s="2" t="str">
        <f>"83870"</f>
        <v>83870</v>
      </c>
      <c r="C32360" s="1">
        <v>1.2660026555497001E-5</v>
      </c>
      <c r="D32360" s="1">
        <v>4.5528080202265997E-6</v>
      </c>
      <c r="E32360" s="1">
        <v>1.6513051829255E-4</v>
      </c>
      <c r="F32360" s="1">
        <v>1.5619166129529801E-5</v>
      </c>
    </row>
    <row r="32361" spans="1:6" x14ac:dyDescent="0.25">
      <c r="A32361" s="2" t="str">
        <f t="shared" si="1167"/>
        <v>99999</v>
      </c>
      <c r="B32361" s="2" t="str">
        <f>"83643"</f>
        <v>83643</v>
      </c>
      <c r="C32361" s="1">
        <v>5.8934606379038102E-6</v>
      </c>
      <c r="D32361" s="1">
        <v>3.0352053468177301E-6</v>
      </c>
      <c r="E32361" s="1">
        <v>4.3455399550671099E-6</v>
      </c>
      <c r="F32361" s="1">
        <v>5.6706526712305799E-6</v>
      </c>
    </row>
    <row r="32362" spans="1:6" x14ac:dyDescent="0.25">
      <c r="A32362" s="2" t="str">
        <f t="shared" si="1167"/>
        <v>99999</v>
      </c>
      <c r="B32362" s="2" t="str">
        <f>"83638"</f>
        <v>83638</v>
      </c>
      <c r="C32362" s="1">
        <v>5.4077958260765496E-4</v>
      </c>
      <c r="D32362" s="1">
        <v>1.10026193822143E-3</v>
      </c>
      <c r="E32362" s="1">
        <v>3.2591549663003302E-4</v>
      </c>
      <c r="F32362" s="1">
        <v>5.7253694952512195E-4</v>
      </c>
    </row>
    <row r="32363" spans="1:6" x14ac:dyDescent="0.25">
      <c r="A32363" s="2" t="str">
        <f t="shared" si="1167"/>
        <v>99999</v>
      </c>
      <c r="B32363" s="2" t="str">
        <f>"83349"</f>
        <v>83349</v>
      </c>
      <c r="C32363" s="1">
        <v>3.8089217826452399E-5</v>
      </c>
      <c r="D32363" s="1">
        <v>4.5528080202265997E-6</v>
      </c>
      <c r="E32363" s="1">
        <v>4.3455399550671103E-5</v>
      </c>
      <c r="F32363" s="1">
        <v>3.60136187190433E-5</v>
      </c>
    </row>
    <row r="32364" spans="1:6" x14ac:dyDescent="0.25">
      <c r="A32364" s="2" t="str">
        <f t="shared" si="1167"/>
        <v>99999</v>
      </c>
      <c r="B32364" s="2" t="str">
        <f>"83525"</f>
        <v>83525</v>
      </c>
      <c r="C32364" s="1">
        <v>1.22234739156523E-5</v>
      </c>
      <c r="D32364" s="1">
        <v>1.66936294074975E-5</v>
      </c>
      <c r="E32364" s="1">
        <v>4.6931831514724801E-4</v>
      </c>
      <c r="F32364" s="1">
        <v>2.29810660886712E-5</v>
      </c>
    </row>
    <row r="32365" spans="1:6" x14ac:dyDescent="0.25">
      <c r="A32365" s="2" t="str">
        <f t="shared" si="1167"/>
        <v>99999</v>
      </c>
      <c r="B32365" s="2" t="str">
        <f>"83547"</f>
        <v>83547</v>
      </c>
      <c r="C32365" s="1">
        <v>8.7310527968945299E-6</v>
      </c>
      <c r="D32365" s="1">
        <v>1.51760267340886E-6</v>
      </c>
      <c r="E32365" s="1">
        <v>1.5209389842734899E-4</v>
      </c>
      <c r="F32365" s="1">
        <v>1.1540275611627099E-5</v>
      </c>
    </row>
    <row r="32366" spans="1:6" x14ac:dyDescent="0.25">
      <c r="A32366" s="2" t="str">
        <f t="shared" si="1167"/>
        <v>99999</v>
      </c>
      <c r="B32366" s="2" t="str">
        <f>"83552"</f>
        <v>83552</v>
      </c>
      <c r="C32366" s="1">
        <v>5.5223908940357899E-5</v>
      </c>
      <c r="D32366" s="1">
        <v>1.0623218713862E-5</v>
      </c>
      <c r="E32366" s="1">
        <v>2.3900469752869099E-4</v>
      </c>
      <c r="F32366" s="1">
        <v>5.6507556443139802E-5</v>
      </c>
    </row>
    <row r="32367" spans="1:6" x14ac:dyDescent="0.25">
      <c r="A32367" s="2" t="str">
        <f t="shared" si="1167"/>
        <v>99999</v>
      </c>
      <c r="B32367" s="2" t="str">
        <f>"83531"</f>
        <v>83531</v>
      </c>
      <c r="C32367" s="1">
        <v>0</v>
      </c>
      <c r="D32367" s="1">
        <v>0</v>
      </c>
      <c r="E32367" s="1">
        <v>4.3455399550671099E-6</v>
      </c>
      <c r="F32367" s="1">
        <v>9.9485134582992598E-8</v>
      </c>
    </row>
    <row r="32368" spans="1:6" x14ac:dyDescent="0.25">
      <c r="A32368" s="2" t="str">
        <f t="shared" si="1167"/>
        <v>99999</v>
      </c>
      <c r="B32368" s="2" t="str">
        <f>"83276"</f>
        <v>83276</v>
      </c>
      <c r="C32368" s="1">
        <v>2.1358337904403199E-4</v>
      </c>
      <c r="D32368" s="1">
        <v>3.5967183359790202E-4</v>
      </c>
      <c r="E32368" s="1">
        <v>2.9115117698949599E-4</v>
      </c>
      <c r="F32368" s="1">
        <v>2.24935889292146E-4</v>
      </c>
    </row>
    <row r="32369" spans="1:6" x14ac:dyDescent="0.25">
      <c r="A32369" s="2" t="str">
        <f t="shared" si="1167"/>
        <v>99999</v>
      </c>
      <c r="B32369" s="2" t="str">
        <f>"83241"</f>
        <v>83241</v>
      </c>
      <c r="C32369" s="1">
        <v>7.5414468533176497E-5</v>
      </c>
      <c r="D32369" s="1">
        <v>2.7316848121359601E-5</v>
      </c>
      <c r="E32369" s="1">
        <v>1.7382159820268399E-5</v>
      </c>
      <c r="F32369" s="1">
        <v>7.0932900957673705E-5</v>
      </c>
    </row>
    <row r="32370" spans="1:6" x14ac:dyDescent="0.25">
      <c r="A32370" s="2" t="str">
        <f t="shared" si="1167"/>
        <v>99999</v>
      </c>
      <c r="B32370" s="2" t="str">
        <f>"82420"</f>
        <v>82420</v>
      </c>
      <c r="C32370" s="1">
        <v>5.4569079980590801E-7</v>
      </c>
      <c r="D32370" s="1">
        <v>0</v>
      </c>
      <c r="E32370" s="1">
        <v>4.3455399550671099E-6</v>
      </c>
      <c r="F32370" s="1">
        <v>5.9691080749795498E-7</v>
      </c>
    </row>
    <row r="32371" spans="1:6" x14ac:dyDescent="0.25">
      <c r="A32371" s="2" t="str">
        <f t="shared" si="1167"/>
        <v>99999</v>
      </c>
      <c r="B32371" s="2" t="str">
        <f>"82321"</f>
        <v>82321</v>
      </c>
      <c r="C32371" s="1">
        <v>1.6479862154138401E-5</v>
      </c>
      <c r="D32371" s="1">
        <v>0</v>
      </c>
      <c r="E32371" s="1">
        <v>4.3455399550671099E-6</v>
      </c>
      <c r="F32371" s="1">
        <v>1.51217404566148E-5</v>
      </c>
    </row>
    <row r="32372" spans="1:6" x14ac:dyDescent="0.25">
      <c r="A32372" s="2" t="str">
        <f t="shared" si="1167"/>
        <v>99999</v>
      </c>
      <c r="B32372" s="2" t="str">
        <f>"82221"</f>
        <v>82221</v>
      </c>
      <c r="C32372" s="1">
        <v>1.5279342394565399E-5</v>
      </c>
      <c r="D32372" s="1">
        <v>3.0352053468177301E-6</v>
      </c>
      <c r="E32372" s="1">
        <v>2.7811455712429498E-4</v>
      </c>
      <c r="F32372" s="1">
        <v>2.04939377240964E-5</v>
      </c>
    </row>
    <row r="32373" spans="1:6" x14ac:dyDescent="0.25">
      <c r="A32373" s="2" t="str">
        <f t="shared" si="1167"/>
        <v>99999</v>
      </c>
      <c r="B32373" s="2" t="str">
        <f>"83127"</f>
        <v>83127</v>
      </c>
      <c r="C32373" s="1">
        <v>1.5661325954429499E-4</v>
      </c>
      <c r="D32373" s="1">
        <v>2.1246437427724101E-5</v>
      </c>
      <c r="E32373" s="1">
        <v>2.1727699775335501E-5</v>
      </c>
      <c r="F32373" s="1">
        <v>1.4465138568367099E-4</v>
      </c>
    </row>
    <row r="32374" spans="1:6" x14ac:dyDescent="0.25">
      <c r="A32374" s="2" t="str">
        <f t="shared" si="1167"/>
        <v>99999</v>
      </c>
      <c r="B32374" s="2" t="str">
        <f>"82434"</f>
        <v>82434</v>
      </c>
      <c r="C32374" s="1">
        <v>6.1117369578261701E-6</v>
      </c>
      <c r="D32374" s="1">
        <v>1.51760267340886E-6</v>
      </c>
      <c r="E32374" s="1">
        <v>8.69107991013423E-6</v>
      </c>
      <c r="F32374" s="1">
        <v>5.86962294039656E-6</v>
      </c>
    </row>
    <row r="32375" spans="1:6" x14ac:dyDescent="0.25">
      <c r="A32375" s="2" t="str">
        <f t="shared" si="1167"/>
        <v>99999</v>
      </c>
      <c r="B32375" s="2" t="str">
        <f>"82428"</f>
        <v>82428</v>
      </c>
      <c r="C32375" s="1">
        <v>8.7310527968945299E-7</v>
      </c>
      <c r="D32375" s="1">
        <v>4.5528080202265997E-6</v>
      </c>
      <c r="E32375" s="1">
        <v>4.3455399550671099E-6</v>
      </c>
      <c r="F32375" s="1">
        <v>1.19382161499591E-6</v>
      </c>
    </row>
    <row r="32376" spans="1:6" x14ac:dyDescent="0.25">
      <c r="A32376" s="2" t="str">
        <f t="shared" si="1167"/>
        <v>99999</v>
      </c>
      <c r="B32376" s="2" t="str">
        <f>"82422"</f>
        <v>82422</v>
      </c>
      <c r="C32376" s="1">
        <v>0</v>
      </c>
      <c r="D32376" s="1">
        <v>0</v>
      </c>
      <c r="E32376" s="1">
        <v>4.3455399550671099E-6</v>
      </c>
      <c r="F32376" s="1">
        <v>9.9485134582992598E-8</v>
      </c>
    </row>
    <row r="32377" spans="1:6" x14ac:dyDescent="0.25">
      <c r="A32377" s="2" t="str">
        <f t="shared" si="1167"/>
        <v>99999</v>
      </c>
      <c r="B32377" s="2" t="str">
        <f>"82421"</f>
        <v>82421</v>
      </c>
      <c r="C32377" s="1">
        <v>2.1827631992236301E-5</v>
      </c>
      <c r="D32377" s="1">
        <v>0</v>
      </c>
      <c r="E32377" s="1">
        <v>8.69107991013423E-6</v>
      </c>
      <c r="F32377" s="1">
        <v>2.00959971857645E-5</v>
      </c>
    </row>
    <row r="32378" spans="1:6" x14ac:dyDescent="0.25">
      <c r="A32378" s="2" t="str">
        <f t="shared" si="1167"/>
        <v>99999</v>
      </c>
      <c r="B32378" s="2" t="str">
        <f>"81087"</f>
        <v>81087</v>
      </c>
      <c r="C32378" s="1">
        <v>7.5305330373215401E-6</v>
      </c>
      <c r="D32378" s="1">
        <v>0</v>
      </c>
      <c r="E32378" s="1">
        <v>4.3455399550671099E-6</v>
      </c>
      <c r="F32378" s="1">
        <v>6.9639594208094801E-6</v>
      </c>
    </row>
    <row r="32379" spans="1:6" x14ac:dyDescent="0.25">
      <c r="A32379" s="2" t="str">
        <f t="shared" si="1167"/>
        <v>99999</v>
      </c>
      <c r="B32379" s="2" t="str">
        <f>"81064"</f>
        <v>81064</v>
      </c>
      <c r="C32379" s="1">
        <v>1.6916414793983099E-5</v>
      </c>
      <c r="D32379" s="1">
        <v>1.51760267340886E-6</v>
      </c>
      <c r="E32379" s="1">
        <v>4.3455399550671099E-6</v>
      </c>
      <c r="F32379" s="1">
        <v>1.5619166129529801E-5</v>
      </c>
    </row>
    <row r="32380" spans="1:6" x14ac:dyDescent="0.25">
      <c r="A32380" s="2" t="str">
        <f t="shared" si="1167"/>
        <v>99999</v>
      </c>
      <c r="B32380" s="2" t="str">
        <f>"81129"</f>
        <v>81129</v>
      </c>
      <c r="C32380" s="1">
        <v>0</v>
      </c>
      <c r="D32380" s="1">
        <v>0</v>
      </c>
      <c r="E32380" s="1">
        <v>4.3455399550671099E-6</v>
      </c>
      <c r="F32380" s="1">
        <v>9.9485134582992598E-8</v>
      </c>
    </row>
    <row r="32381" spans="1:6" x14ac:dyDescent="0.25">
      <c r="A32381" s="2" t="str">
        <f t="shared" si="1167"/>
        <v>99999</v>
      </c>
      <c r="B32381" s="2" t="str">
        <f>"81121"</f>
        <v>81121</v>
      </c>
      <c r="C32381" s="1">
        <v>1.2114335755691101E-5</v>
      </c>
      <c r="D32381" s="1">
        <v>0</v>
      </c>
      <c r="E32381" s="1">
        <v>4.3455399550671103E-5</v>
      </c>
      <c r="F32381" s="1">
        <v>1.20377012845421E-5</v>
      </c>
    </row>
    <row r="32382" spans="1:6" x14ac:dyDescent="0.25">
      <c r="A32382" s="2" t="str">
        <f t="shared" si="1167"/>
        <v>99999</v>
      </c>
      <c r="B32382" s="2" t="str">
        <f>"81040"</f>
        <v>81040</v>
      </c>
      <c r="C32382" s="1">
        <v>2.4556085991265801E-5</v>
      </c>
      <c r="D32382" s="1">
        <v>1.21408213872709E-5</v>
      </c>
      <c r="E32382" s="1">
        <v>4.3455399550671099E-6</v>
      </c>
      <c r="F32382" s="1">
        <v>2.3279521492420199E-5</v>
      </c>
    </row>
    <row r="32383" spans="1:6" x14ac:dyDescent="0.25">
      <c r="A32383" s="2" t="str">
        <f t="shared" si="1167"/>
        <v>99999</v>
      </c>
      <c r="B32383" s="2" t="str">
        <f>"81027"</f>
        <v>81027</v>
      </c>
      <c r="C32383" s="1">
        <v>9.1676054367392598E-6</v>
      </c>
      <c r="D32383" s="1">
        <v>0</v>
      </c>
      <c r="E32383" s="1">
        <v>4.3455399550671099E-6</v>
      </c>
      <c r="F32383" s="1">
        <v>8.4562364395543705E-6</v>
      </c>
    </row>
    <row r="32384" spans="1:6" x14ac:dyDescent="0.25">
      <c r="A32384" s="2" t="str">
        <f t="shared" si="1167"/>
        <v>99999</v>
      </c>
      <c r="B32384" s="2" t="str">
        <f>"81024"</f>
        <v>81024</v>
      </c>
      <c r="C32384" s="1">
        <v>1.5279342394565399E-5</v>
      </c>
      <c r="D32384" s="1">
        <v>7.5880133670443404E-6</v>
      </c>
      <c r="E32384" s="1">
        <v>4.3455399550671099E-6</v>
      </c>
      <c r="F32384" s="1">
        <v>1.45248296491169E-5</v>
      </c>
    </row>
    <row r="32385" spans="1:6" x14ac:dyDescent="0.25">
      <c r="A32385" s="2" t="str">
        <f t="shared" si="1167"/>
        <v>99999</v>
      </c>
      <c r="B32385" s="2" t="str">
        <f>"81243"</f>
        <v>81243</v>
      </c>
      <c r="C32385" s="1">
        <v>1.8116934553556101E-5</v>
      </c>
      <c r="D32385" s="1">
        <v>9.1056160404532095E-6</v>
      </c>
      <c r="E32385" s="1">
        <v>0</v>
      </c>
      <c r="F32385" s="1">
        <v>1.7111443148274701E-5</v>
      </c>
    </row>
    <row r="32386" spans="1:6" x14ac:dyDescent="0.25">
      <c r="A32386" s="2" t="str">
        <f t="shared" si="1167"/>
        <v>99999</v>
      </c>
      <c r="B32386" s="2" t="str">
        <f>"81231"</f>
        <v>81231</v>
      </c>
      <c r="C32386" s="1">
        <v>0</v>
      </c>
      <c r="D32386" s="1">
        <v>6.0704106936354696E-6</v>
      </c>
      <c r="E32386" s="1">
        <v>0</v>
      </c>
      <c r="F32386" s="1">
        <v>3.9794053833197002E-7</v>
      </c>
    </row>
    <row r="32387" spans="1:6" x14ac:dyDescent="0.25">
      <c r="A32387" s="2" t="str">
        <f t="shared" si="1167"/>
        <v>99999</v>
      </c>
      <c r="B32387" s="2" t="str">
        <f>"81320"</f>
        <v>81320</v>
      </c>
      <c r="C32387" s="1">
        <v>2.4665224151227E-5</v>
      </c>
      <c r="D32387" s="1">
        <v>7.5880133670443404E-6</v>
      </c>
      <c r="E32387" s="1">
        <v>8.69107991013423E-6</v>
      </c>
      <c r="F32387" s="1">
        <v>2.31800363578372E-5</v>
      </c>
    </row>
    <row r="32388" spans="1:6" x14ac:dyDescent="0.25">
      <c r="A32388" s="2" t="str">
        <f t="shared" si="1167"/>
        <v>99999</v>
      </c>
      <c r="B32388" s="2" t="str">
        <f>"81252"</f>
        <v>81252</v>
      </c>
      <c r="C32388" s="1">
        <v>2.4621568887242599E-4</v>
      </c>
      <c r="D32388" s="1">
        <v>1.82112320809064E-4</v>
      </c>
      <c r="E32388" s="1">
        <v>3.3026103658510001E-4</v>
      </c>
      <c r="F32388" s="1">
        <v>2.4393754999749699E-4</v>
      </c>
    </row>
    <row r="32389" spans="1:6" x14ac:dyDescent="0.25">
      <c r="A32389" s="2" t="str">
        <f t="shared" si="1167"/>
        <v>99999</v>
      </c>
      <c r="B32389" s="2" t="str">
        <f>"81225"</f>
        <v>81225</v>
      </c>
      <c r="C32389" s="1">
        <v>8.7310527968945299E-7</v>
      </c>
      <c r="D32389" s="1">
        <v>0</v>
      </c>
      <c r="E32389" s="1">
        <v>0</v>
      </c>
      <c r="F32389" s="1">
        <v>7.9588107666394099E-7</v>
      </c>
    </row>
    <row r="32390" spans="1:6" x14ac:dyDescent="0.25">
      <c r="A32390" s="2" t="str">
        <f t="shared" si="1167"/>
        <v>99999</v>
      </c>
      <c r="B32390" s="2" t="str">
        <f>"81201"</f>
        <v>81201</v>
      </c>
      <c r="C32390" s="1">
        <v>6.2819924873656202E-4</v>
      </c>
      <c r="D32390" s="1">
        <v>1.1655188531780099E-3</v>
      </c>
      <c r="E32390" s="1">
        <v>2.0293671590163398E-3</v>
      </c>
      <c r="F32390" s="1">
        <v>6.9550057586970104E-4</v>
      </c>
    </row>
    <row r="32391" spans="1:6" x14ac:dyDescent="0.25">
      <c r="A32391" s="2" t="str">
        <f t="shared" si="1167"/>
        <v>99999</v>
      </c>
      <c r="B32391" s="2" t="str">
        <f>"81143"</f>
        <v>81143</v>
      </c>
      <c r="C32391" s="1">
        <v>4.8893895662609401E-5</v>
      </c>
      <c r="D32391" s="1">
        <v>1.8211232080906399E-5</v>
      </c>
      <c r="E32391" s="1">
        <v>4.3455399550671099E-6</v>
      </c>
      <c r="F32391" s="1">
        <v>4.5862647042759598E-5</v>
      </c>
    </row>
    <row r="32392" spans="1:6" x14ac:dyDescent="0.25">
      <c r="A32392" s="2" t="str">
        <f t="shared" si="1167"/>
        <v>99999</v>
      </c>
      <c r="B32392" s="2" t="str">
        <f>"80741"</f>
        <v>80741</v>
      </c>
      <c r="C32392" s="1">
        <v>4.0381119185637197E-6</v>
      </c>
      <c r="D32392" s="1">
        <v>0</v>
      </c>
      <c r="E32392" s="1">
        <v>0</v>
      </c>
      <c r="F32392" s="1">
        <v>3.6809499795707201E-6</v>
      </c>
    </row>
    <row r="32393" spans="1:6" x14ac:dyDescent="0.25">
      <c r="A32393" s="2" t="str">
        <f t="shared" si="1167"/>
        <v>99999</v>
      </c>
      <c r="B32393" s="2" t="str">
        <f>"80828"</f>
        <v>80828</v>
      </c>
      <c r="C32393" s="1">
        <v>1.17760074598115E-4</v>
      </c>
      <c r="D32393" s="1">
        <v>6.37393122831725E-5</v>
      </c>
      <c r="E32393" s="1">
        <v>1.6078497833748299E-4</v>
      </c>
      <c r="F32393" s="1">
        <v>1.15203785847105E-4</v>
      </c>
    </row>
    <row r="32394" spans="1:6" x14ac:dyDescent="0.25">
      <c r="A32394" s="2" t="str">
        <f t="shared" si="1167"/>
        <v>99999</v>
      </c>
      <c r="B32394" s="2" t="str">
        <f>"80442"</f>
        <v>80442</v>
      </c>
      <c r="C32394" s="1">
        <v>0</v>
      </c>
      <c r="D32394" s="1">
        <v>3.0352053468177301E-6</v>
      </c>
      <c r="E32394" s="1">
        <v>4.3455399550671099E-6</v>
      </c>
      <c r="F32394" s="1">
        <v>2.9845540374897701E-7</v>
      </c>
    </row>
    <row r="32395" spans="1:6" x14ac:dyDescent="0.25">
      <c r="A32395" s="2" t="str">
        <f t="shared" si="1167"/>
        <v>99999</v>
      </c>
      <c r="B32395" s="2" t="str">
        <f>"80446"</f>
        <v>80446</v>
      </c>
      <c r="C32395" s="1">
        <v>5.0858382541910597E-5</v>
      </c>
      <c r="D32395" s="1">
        <v>4.5528080202265997E-6</v>
      </c>
      <c r="E32395" s="1">
        <v>1.17329578786812E-4</v>
      </c>
      <c r="F32395" s="1">
        <v>4.9344626753164302E-5</v>
      </c>
    </row>
    <row r="32396" spans="1:6" x14ac:dyDescent="0.25">
      <c r="A32396" s="2" t="str">
        <f t="shared" si="1167"/>
        <v>99999</v>
      </c>
      <c r="B32396" s="2" t="str">
        <f>"79742"</f>
        <v>79742</v>
      </c>
      <c r="C32396" s="1">
        <v>0</v>
      </c>
      <c r="D32396" s="1">
        <v>1.51760267340886E-6</v>
      </c>
      <c r="E32396" s="1">
        <v>0</v>
      </c>
      <c r="F32396" s="1">
        <v>9.9485134582992598E-8</v>
      </c>
    </row>
    <row r="32397" spans="1:6" x14ac:dyDescent="0.25">
      <c r="A32397" s="2" t="str">
        <f t="shared" si="1167"/>
        <v>99999</v>
      </c>
      <c r="B32397" s="2" t="str">
        <f>"79735"</f>
        <v>79735</v>
      </c>
      <c r="C32397" s="1">
        <v>5.0978434517867904E-4</v>
      </c>
      <c r="D32397" s="1">
        <v>8.7869194790373502E-4</v>
      </c>
      <c r="E32397" s="1">
        <v>9.5601879011476495E-4</v>
      </c>
      <c r="F32397" s="1">
        <v>5.4418368616896903E-4</v>
      </c>
    </row>
    <row r="32398" spans="1:6" x14ac:dyDescent="0.25">
      <c r="A32398" s="2" t="str">
        <f t="shared" si="1167"/>
        <v>99999</v>
      </c>
      <c r="B32398" s="2" t="str">
        <f>"79781"</f>
        <v>79781</v>
      </c>
      <c r="C32398" s="1">
        <v>0</v>
      </c>
      <c r="D32398" s="1">
        <v>1.51760267340886E-6</v>
      </c>
      <c r="E32398" s="1">
        <v>0</v>
      </c>
      <c r="F32398" s="1">
        <v>9.9485134582992598E-8</v>
      </c>
    </row>
    <row r="32399" spans="1:6" x14ac:dyDescent="0.25">
      <c r="A32399" s="2" t="str">
        <f t="shared" si="1167"/>
        <v>99999</v>
      </c>
      <c r="B32399" s="2" t="str">
        <f>"79848"</f>
        <v>79848</v>
      </c>
      <c r="C32399" s="1">
        <v>7.63967119728272E-7</v>
      </c>
      <c r="D32399" s="1">
        <v>1.51760267340886E-6</v>
      </c>
      <c r="E32399" s="1">
        <v>0</v>
      </c>
      <c r="F32399" s="1">
        <v>7.9588107666394099E-7</v>
      </c>
    </row>
    <row r="32400" spans="1:6" x14ac:dyDescent="0.25">
      <c r="A32400" s="2" t="str">
        <f t="shared" si="1167"/>
        <v>99999</v>
      </c>
      <c r="B32400" s="2" t="str">
        <f>"79830"</f>
        <v>79830</v>
      </c>
      <c r="C32400" s="1">
        <v>5.0530968062027098E-4</v>
      </c>
      <c r="D32400" s="1">
        <v>7.58801336704434E-4</v>
      </c>
      <c r="E32400" s="1">
        <v>1.5165934443184201E-3</v>
      </c>
      <c r="F32400" s="1">
        <v>5.4507905238021601E-4</v>
      </c>
    </row>
    <row r="32401" spans="1:6" x14ac:dyDescent="0.25">
      <c r="A32401" s="2" t="str">
        <f t="shared" si="1167"/>
        <v>99999</v>
      </c>
      <c r="B32401" s="2" t="str">
        <f>"79364"</f>
        <v>79364</v>
      </c>
      <c r="C32401" s="1">
        <v>5.8934606379038102E-6</v>
      </c>
      <c r="D32401" s="1">
        <v>1.51760267340886E-6</v>
      </c>
      <c r="E32401" s="1">
        <v>1.7382159820268399E-5</v>
      </c>
      <c r="F32401" s="1">
        <v>5.86962294039656E-6</v>
      </c>
    </row>
    <row r="32402" spans="1:6" x14ac:dyDescent="0.25">
      <c r="A32402" s="2" t="str">
        <f t="shared" ref="A32402:A32465" si="1168">"99999"</f>
        <v>99999</v>
      </c>
      <c r="B32402" s="2" t="str">
        <f>"79371"</f>
        <v>79371</v>
      </c>
      <c r="C32402" s="1">
        <v>7.6396711972827203E-5</v>
      </c>
      <c r="D32402" s="1">
        <v>2.1246437427724101E-5</v>
      </c>
      <c r="E32402" s="1">
        <v>6.0837559370939597E-4</v>
      </c>
      <c r="F32402" s="1">
        <v>8.4960304933875703E-5</v>
      </c>
    </row>
    <row r="32403" spans="1:6" x14ac:dyDescent="0.25">
      <c r="A32403" s="2" t="str">
        <f t="shared" si="1168"/>
        <v>99999</v>
      </c>
      <c r="B32403" s="2" t="str">
        <f>"79336"</f>
        <v>79336</v>
      </c>
      <c r="C32403" s="1">
        <v>9.8224343965063504E-7</v>
      </c>
      <c r="D32403" s="1">
        <v>1.51760267340886E-6</v>
      </c>
      <c r="E32403" s="1">
        <v>0</v>
      </c>
      <c r="F32403" s="1">
        <v>9.9485134582992606E-7</v>
      </c>
    </row>
    <row r="32404" spans="1:6" x14ac:dyDescent="0.25">
      <c r="A32404" s="2" t="str">
        <f t="shared" si="1168"/>
        <v>99999</v>
      </c>
      <c r="B32404" s="2" t="str">
        <f>"79326"</f>
        <v>79326</v>
      </c>
      <c r="C32404" s="1">
        <v>2.4010395191459898E-6</v>
      </c>
      <c r="D32404" s="1">
        <v>0</v>
      </c>
      <c r="E32404" s="1">
        <v>4.3455399550671099E-6</v>
      </c>
      <c r="F32404" s="1">
        <v>2.2881580954088299E-6</v>
      </c>
    </row>
    <row r="32405" spans="1:6" x14ac:dyDescent="0.25">
      <c r="A32405" s="2" t="str">
        <f t="shared" si="1168"/>
        <v>99999</v>
      </c>
      <c r="B32405" s="2" t="str">
        <f>"79323"</f>
        <v>79323</v>
      </c>
      <c r="C32405" s="1">
        <v>2.8135817637992602E-4</v>
      </c>
      <c r="D32405" s="1">
        <v>4.5528080202266E-4</v>
      </c>
      <c r="E32405" s="1">
        <v>3.9109859595603998E-4</v>
      </c>
      <c r="F32405" s="1">
        <v>2.9527187944232203E-4</v>
      </c>
    </row>
    <row r="32406" spans="1:6" x14ac:dyDescent="0.25">
      <c r="A32406" s="2" t="str">
        <f t="shared" si="1168"/>
        <v>99999</v>
      </c>
      <c r="B32406" s="2" t="str">
        <f>"79502"</f>
        <v>79502</v>
      </c>
      <c r="C32406" s="1">
        <v>4.0053704705753601E-5</v>
      </c>
      <c r="D32406" s="1">
        <v>2.88344507947685E-5</v>
      </c>
      <c r="E32406" s="1">
        <v>7.8219719191208097E-5</v>
      </c>
      <c r="F32406" s="1">
        <v>4.0191994371529001E-5</v>
      </c>
    </row>
    <row r="32407" spans="1:6" x14ac:dyDescent="0.25">
      <c r="A32407" s="2" t="str">
        <f t="shared" si="1168"/>
        <v>99999</v>
      </c>
      <c r="B32407" s="2" t="str">
        <f>"79530"</f>
        <v>79530</v>
      </c>
      <c r="C32407" s="1">
        <v>6.5482895976708995E-7</v>
      </c>
      <c r="D32407" s="1">
        <v>0</v>
      </c>
      <c r="E32407" s="1">
        <v>0</v>
      </c>
      <c r="F32407" s="1">
        <v>5.9691080749795498E-7</v>
      </c>
    </row>
    <row r="32408" spans="1:6" x14ac:dyDescent="0.25">
      <c r="A32408" s="2" t="str">
        <f t="shared" si="1168"/>
        <v>99999</v>
      </c>
      <c r="B32408" s="2" t="str">
        <f>"79519"</f>
        <v>79519</v>
      </c>
      <c r="C32408" s="1">
        <v>4.1472500785249E-6</v>
      </c>
      <c r="D32408" s="1">
        <v>0</v>
      </c>
      <c r="E32408" s="1">
        <v>4.3455399550671099E-6</v>
      </c>
      <c r="F32408" s="1">
        <v>3.87992024873671E-6</v>
      </c>
    </row>
    <row r="32409" spans="1:6" x14ac:dyDescent="0.25">
      <c r="A32409" s="2" t="str">
        <f t="shared" si="1168"/>
        <v>99999</v>
      </c>
      <c r="B32409" s="2" t="str">
        <f>"79257"</f>
        <v>79257</v>
      </c>
      <c r="C32409" s="1">
        <v>5.3150283901095501E-5</v>
      </c>
      <c r="D32409" s="1">
        <v>3.9457669508630602E-5</v>
      </c>
      <c r="E32409" s="1">
        <v>2.60732397304027E-5</v>
      </c>
      <c r="F32409" s="1">
        <v>5.1632784848573098E-5</v>
      </c>
    </row>
    <row r="32410" spans="1:6" x14ac:dyDescent="0.25">
      <c r="A32410" s="2" t="str">
        <f t="shared" si="1168"/>
        <v>99999</v>
      </c>
      <c r="B32410" s="2" t="str">
        <f>"78827"</f>
        <v>78827</v>
      </c>
      <c r="C32410" s="1">
        <v>5.1294935181755401E-6</v>
      </c>
      <c r="D32410" s="1">
        <v>6.0704106936354703E-5</v>
      </c>
      <c r="E32410" s="1">
        <v>6.0837559370939603E-5</v>
      </c>
      <c r="F32410" s="1">
        <v>1.0047998592882199E-5</v>
      </c>
    </row>
    <row r="32411" spans="1:6" x14ac:dyDescent="0.25">
      <c r="A32411" s="2" t="str">
        <f t="shared" si="1168"/>
        <v>99999</v>
      </c>
      <c r="B32411" s="2" t="str">
        <f>"78961"</f>
        <v>78961</v>
      </c>
      <c r="C32411" s="1">
        <v>2.9467303189519E-6</v>
      </c>
      <c r="D32411" s="1">
        <v>0</v>
      </c>
      <c r="E32411" s="1">
        <v>0</v>
      </c>
      <c r="F32411" s="1">
        <v>2.6860986337408002E-6</v>
      </c>
    </row>
    <row r="32412" spans="1:6" x14ac:dyDescent="0.25">
      <c r="A32412" s="2" t="str">
        <f t="shared" si="1168"/>
        <v>99999</v>
      </c>
      <c r="B32412" s="2" t="str">
        <f>"78960"</f>
        <v>78960</v>
      </c>
      <c r="C32412" s="1">
        <v>0</v>
      </c>
      <c r="D32412" s="1">
        <v>1.51760267340886E-6</v>
      </c>
      <c r="E32412" s="1">
        <v>0</v>
      </c>
      <c r="F32412" s="1">
        <v>9.9485134582992598E-8</v>
      </c>
    </row>
    <row r="32413" spans="1:6" x14ac:dyDescent="0.25">
      <c r="A32413" s="2" t="str">
        <f t="shared" si="1168"/>
        <v>99999</v>
      </c>
      <c r="B32413" s="2" t="str">
        <f>"79046"</f>
        <v>79046</v>
      </c>
      <c r="C32413" s="1">
        <v>8.5127764769721692E-6</v>
      </c>
      <c r="D32413" s="1">
        <v>0</v>
      </c>
      <c r="E32413" s="1">
        <v>4.3455399550671099E-6</v>
      </c>
      <c r="F32413" s="1">
        <v>7.85932563205641E-6</v>
      </c>
    </row>
    <row r="32414" spans="1:6" x14ac:dyDescent="0.25">
      <c r="A32414" s="2" t="str">
        <f t="shared" si="1168"/>
        <v>99999</v>
      </c>
      <c r="B32414" s="2" t="str">
        <f>"79042"</f>
        <v>79042</v>
      </c>
      <c r="C32414" s="1">
        <v>2.3246428071731702E-5</v>
      </c>
      <c r="D32414" s="1">
        <v>3.0352053468177301E-6</v>
      </c>
      <c r="E32414" s="1">
        <v>4.3455399550671099E-6</v>
      </c>
      <c r="F32414" s="1">
        <v>2.1488789069926402E-5</v>
      </c>
    </row>
    <row r="32415" spans="1:6" x14ac:dyDescent="0.25">
      <c r="A32415" s="2" t="str">
        <f t="shared" si="1168"/>
        <v>99999</v>
      </c>
      <c r="B32415" s="2" t="str">
        <f>"79065"</f>
        <v>79065</v>
      </c>
      <c r="C32415" s="1">
        <v>1.09138159961181E-7</v>
      </c>
      <c r="D32415" s="1">
        <v>0</v>
      </c>
      <c r="E32415" s="1">
        <v>0</v>
      </c>
      <c r="F32415" s="1">
        <v>9.9485134582992598E-8</v>
      </c>
    </row>
    <row r="32416" spans="1:6" x14ac:dyDescent="0.25">
      <c r="A32416" s="2" t="str">
        <f t="shared" si="1168"/>
        <v>99999</v>
      </c>
      <c r="B32416" s="2" t="str">
        <f>"79052"</f>
        <v>79052</v>
      </c>
      <c r="C32416" s="1">
        <v>4.7693375903036399E-5</v>
      </c>
      <c r="D32416" s="1">
        <v>1.21408213872709E-5</v>
      </c>
      <c r="E32416" s="1">
        <v>2.60732397304027E-5</v>
      </c>
      <c r="F32416" s="1">
        <v>4.4867795696929599E-5</v>
      </c>
    </row>
    <row r="32417" spans="1:6" x14ac:dyDescent="0.25">
      <c r="A32417" s="2" t="str">
        <f t="shared" si="1168"/>
        <v>99999</v>
      </c>
      <c r="B32417" s="2" t="str">
        <f>"78949"</f>
        <v>78949</v>
      </c>
      <c r="C32417" s="1">
        <v>3.3505415108082699E-5</v>
      </c>
      <c r="D32417" s="1">
        <v>7.5880133670443404E-6</v>
      </c>
      <c r="E32417" s="1">
        <v>0</v>
      </c>
      <c r="F32417" s="1">
        <v>3.10393619898937E-5</v>
      </c>
    </row>
    <row r="32418" spans="1:6" x14ac:dyDescent="0.25">
      <c r="A32418" s="2" t="str">
        <f t="shared" si="1168"/>
        <v>99999</v>
      </c>
      <c r="B32418" s="2" t="str">
        <f>"78932"</f>
        <v>78932</v>
      </c>
      <c r="C32418" s="1">
        <v>2.75028163102177E-5</v>
      </c>
      <c r="D32418" s="1">
        <v>2.4281642774541899E-5</v>
      </c>
      <c r="E32418" s="1">
        <v>1.3036619865201299E-5</v>
      </c>
      <c r="F32418" s="1">
        <v>2.6960471471991001E-5</v>
      </c>
    </row>
    <row r="32419" spans="1:6" x14ac:dyDescent="0.25">
      <c r="A32419" s="2" t="str">
        <f t="shared" si="1168"/>
        <v>99999</v>
      </c>
      <c r="B32419" s="2" t="str">
        <f>"78604"</f>
        <v>78604</v>
      </c>
      <c r="C32419" s="1">
        <v>0</v>
      </c>
      <c r="D32419" s="1">
        <v>1.51760267340886E-6</v>
      </c>
      <c r="E32419" s="1">
        <v>0</v>
      </c>
      <c r="F32419" s="1">
        <v>9.9485134582992598E-8</v>
      </c>
    </row>
    <row r="32420" spans="1:6" x14ac:dyDescent="0.25">
      <c r="A32420" s="2" t="str">
        <f t="shared" si="1168"/>
        <v>99999</v>
      </c>
      <c r="B32420" s="2" t="str">
        <f>"78624"</f>
        <v>78624</v>
      </c>
      <c r="C32420" s="1">
        <v>1.20051975957299E-6</v>
      </c>
      <c r="D32420" s="1">
        <v>1.51760267340886E-6</v>
      </c>
      <c r="E32420" s="1">
        <v>0</v>
      </c>
      <c r="F32420" s="1">
        <v>1.19382161499591E-6</v>
      </c>
    </row>
    <row r="32421" spans="1:6" x14ac:dyDescent="0.25">
      <c r="A32421" s="2" t="str">
        <f t="shared" si="1168"/>
        <v>99999</v>
      </c>
      <c r="B32421" s="2" t="str">
        <f>"78360"</f>
        <v>78360</v>
      </c>
      <c r="C32421" s="1">
        <v>1.9644868793012701E-6</v>
      </c>
      <c r="D32421" s="1">
        <v>0</v>
      </c>
      <c r="E32421" s="1">
        <v>1.7382159820268399E-5</v>
      </c>
      <c r="F32421" s="1">
        <v>2.1886729608258301E-6</v>
      </c>
    </row>
    <row r="32422" spans="1:6" x14ac:dyDescent="0.25">
      <c r="A32422" s="2" t="str">
        <f t="shared" si="1168"/>
        <v>99999</v>
      </c>
      <c r="B32422" s="2" t="str">
        <f>"78372"</f>
        <v>78372</v>
      </c>
      <c r="C32422" s="1">
        <v>4.3655263984472602E-7</v>
      </c>
      <c r="D32422" s="1">
        <v>0</v>
      </c>
      <c r="E32422" s="1">
        <v>0</v>
      </c>
      <c r="F32422" s="1">
        <v>3.9794053833197002E-7</v>
      </c>
    </row>
    <row r="32423" spans="1:6" x14ac:dyDescent="0.25">
      <c r="A32423" s="2" t="str">
        <f t="shared" si="1168"/>
        <v>99999</v>
      </c>
      <c r="B32423" s="2" t="str">
        <f>"78159"</f>
        <v>78159</v>
      </c>
      <c r="C32423" s="1">
        <v>2.21550464721198E-5</v>
      </c>
      <c r="D32423" s="1">
        <v>1.0623218713862E-5</v>
      </c>
      <c r="E32423" s="1">
        <v>0</v>
      </c>
      <c r="F32423" s="1">
        <v>2.08918782624284E-5</v>
      </c>
    </row>
    <row r="32424" spans="1:6" x14ac:dyDescent="0.25">
      <c r="A32424" s="2" t="str">
        <f t="shared" si="1168"/>
        <v>99999</v>
      </c>
      <c r="B32424" s="2" t="str">
        <f>"78144"</f>
        <v>78144</v>
      </c>
      <c r="C32424" s="1">
        <v>0</v>
      </c>
      <c r="D32424" s="1">
        <v>1.51760267340886E-6</v>
      </c>
      <c r="E32424" s="1">
        <v>0</v>
      </c>
      <c r="F32424" s="1">
        <v>9.9485134582992598E-8</v>
      </c>
    </row>
    <row r="32425" spans="1:6" x14ac:dyDescent="0.25">
      <c r="A32425" s="2" t="str">
        <f t="shared" si="1168"/>
        <v>99999</v>
      </c>
      <c r="B32425" s="2" t="str">
        <f>"78022"</f>
        <v>78022</v>
      </c>
      <c r="C32425" s="1">
        <v>1.68945871619909E-4</v>
      </c>
      <c r="D32425" s="1">
        <v>1.4720745932066001E-4</v>
      </c>
      <c r="E32425" s="1">
        <v>9.9947418966543598E-5</v>
      </c>
      <c r="F32425" s="1">
        <v>1.65941204484431E-4</v>
      </c>
    </row>
    <row r="32426" spans="1:6" x14ac:dyDescent="0.25">
      <c r="A32426" s="2" t="str">
        <f t="shared" si="1168"/>
        <v>99999</v>
      </c>
      <c r="B32426" s="2" t="str">
        <f>"78117"</f>
        <v>78117</v>
      </c>
      <c r="C32426" s="1">
        <v>3.3614553268043901E-5</v>
      </c>
      <c r="D32426" s="1">
        <v>9.1056160404532095E-6</v>
      </c>
      <c r="E32426" s="1">
        <v>3.47643196405369E-5</v>
      </c>
      <c r="F32426" s="1">
        <v>3.2034213335723597E-5</v>
      </c>
    </row>
    <row r="32427" spans="1:6" x14ac:dyDescent="0.25">
      <c r="A32427" s="2" t="str">
        <f t="shared" si="1168"/>
        <v>99999</v>
      </c>
      <c r="B32427" s="2" t="str">
        <f>"78061"</f>
        <v>78061</v>
      </c>
      <c r="C32427" s="1">
        <v>1.09138159961181E-7</v>
      </c>
      <c r="D32427" s="1">
        <v>0</v>
      </c>
      <c r="E32427" s="1">
        <v>0</v>
      </c>
      <c r="F32427" s="1">
        <v>9.9485134582992598E-8</v>
      </c>
    </row>
    <row r="32428" spans="1:6" x14ac:dyDescent="0.25">
      <c r="A32428" s="2" t="str">
        <f t="shared" si="1168"/>
        <v>99999</v>
      </c>
      <c r="B32428" s="2" t="str">
        <f>"78060"</f>
        <v>78060</v>
      </c>
      <c r="C32428" s="1">
        <v>3.8198355986413598E-6</v>
      </c>
      <c r="D32428" s="1">
        <v>6.0704106936354696E-6</v>
      </c>
      <c r="E32428" s="1">
        <v>0</v>
      </c>
      <c r="F32428" s="1">
        <v>3.87992024873671E-6</v>
      </c>
    </row>
    <row r="32429" spans="1:6" x14ac:dyDescent="0.25">
      <c r="A32429" s="2" t="str">
        <f t="shared" si="1168"/>
        <v>99999</v>
      </c>
      <c r="B32429" s="2" t="str">
        <f>"78070"</f>
        <v>78070</v>
      </c>
      <c r="C32429" s="1">
        <v>3.5579040147345198E-5</v>
      </c>
      <c r="D32429" s="1">
        <v>1.51760267340886E-6</v>
      </c>
      <c r="E32429" s="1">
        <v>8.69107991013423E-6</v>
      </c>
      <c r="F32429" s="1">
        <v>3.2730609277804499E-5</v>
      </c>
    </row>
    <row r="32430" spans="1:6" x14ac:dyDescent="0.25">
      <c r="A32430" s="2" t="str">
        <f t="shared" si="1168"/>
        <v>99999</v>
      </c>
      <c r="B32430" s="2" t="str">
        <f>"78001"</f>
        <v>78001</v>
      </c>
      <c r="C32430" s="1">
        <v>1.09138159961181E-7</v>
      </c>
      <c r="D32430" s="1">
        <v>0</v>
      </c>
      <c r="E32430" s="1">
        <v>0</v>
      </c>
      <c r="F32430" s="1">
        <v>9.9485134582992598E-8</v>
      </c>
    </row>
    <row r="32431" spans="1:6" x14ac:dyDescent="0.25">
      <c r="A32431" s="2" t="str">
        <f t="shared" si="1168"/>
        <v>99999</v>
      </c>
      <c r="B32431" s="2" t="str">
        <f>"77986"</f>
        <v>77986</v>
      </c>
      <c r="C32431" s="1">
        <v>4.0381119185637197E-6</v>
      </c>
      <c r="D32431" s="1">
        <v>3.0352053468177301E-6</v>
      </c>
      <c r="E32431" s="1">
        <v>0</v>
      </c>
      <c r="F32431" s="1">
        <v>3.87992024873671E-6</v>
      </c>
    </row>
    <row r="32432" spans="1:6" x14ac:dyDescent="0.25">
      <c r="A32432" s="2" t="str">
        <f t="shared" si="1168"/>
        <v>99999</v>
      </c>
      <c r="B32432" s="2" t="str">
        <f>"77995"</f>
        <v>77995</v>
      </c>
      <c r="C32432" s="1">
        <v>4.9199482510500704E-4</v>
      </c>
      <c r="D32432" s="1">
        <v>5.4633696242719298E-4</v>
      </c>
      <c r="E32432" s="1">
        <v>4.2586291559657701E-4</v>
      </c>
      <c r="F32432" s="1">
        <v>4.9404317833914098E-4</v>
      </c>
    </row>
    <row r="32433" spans="1:6" x14ac:dyDescent="0.25">
      <c r="A32433" s="2" t="str">
        <f t="shared" si="1168"/>
        <v>99999</v>
      </c>
      <c r="B32433" s="2" t="str">
        <f>"77975"</f>
        <v>77975</v>
      </c>
      <c r="C32433" s="1">
        <v>7.3449981653875301E-5</v>
      </c>
      <c r="D32433" s="1">
        <v>8.043294169067E-5</v>
      </c>
      <c r="E32433" s="1">
        <v>2.60732397304027E-5</v>
      </c>
      <c r="F32433" s="1">
        <v>7.2823118514750602E-5</v>
      </c>
    </row>
    <row r="32434" spans="1:6" x14ac:dyDescent="0.25">
      <c r="A32434" s="2" t="str">
        <f t="shared" si="1168"/>
        <v>99999</v>
      </c>
      <c r="B32434" s="2" t="str">
        <f>"77876"</f>
        <v>77876</v>
      </c>
      <c r="C32434" s="1">
        <v>0</v>
      </c>
      <c r="D32434" s="1">
        <v>1.51760267340886E-6</v>
      </c>
      <c r="E32434" s="1">
        <v>0</v>
      </c>
      <c r="F32434" s="1">
        <v>9.9485134582992598E-8</v>
      </c>
    </row>
    <row r="32435" spans="1:6" x14ac:dyDescent="0.25">
      <c r="A32435" s="2" t="str">
        <f t="shared" si="1168"/>
        <v>99999</v>
      </c>
      <c r="B32435" s="2" t="str">
        <f>"77872"</f>
        <v>77872</v>
      </c>
      <c r="C32435" s="1">
        <v>9.9752278204520107E-5</v>
      </c>
      <c r="D32435" s="1">
        <v>2.7316848121359601E-5</v>
      </c>
      <c r="E32435" s="1">
        <v>0</v>
      </c>
      <c r="F32435" s="1">
        <v>9.2720145431349099E-5</v>
      </c>
    </row>
    <row r="32436" spans="1:6" x14ac:dyDescent="0.25">
      <c r="A32436" s="2" t="str">
        <f t="shared" si="1168"/>
        <v>99999</v>
      </c>
      <c r="B32436" s="2" t="str">
        <f>"77612"</f>
        <v>77612</v>
      </c>
      <c r="C32436" s="1">
        <v>3.6637680298968702E-4</v>
      </c>
      <c r="D32436" s="1">
        <v>1.57830678034522E-4</v>
      </c>
      <c r="E32436" s="1">
        <v>5.6492019415872502E-5</v>
      </c>
      <c r="F32436" s="1">
        <v>3.4561135754131601E-4</v>
      </c>
    </row>
    <row r="32437" spans="1:6" x14ac:dyDescent="0.25">
      <c r="A32437" s="2" t="str">
        <f t="shared" si="1168"/>
        <v>99999</v>
      </c>
      <c r="B32437" s="2" t="str">
        <f>"77465"</f>
        <v>77465</v>
      </c>
      <c r="C32437" s="1">
        <v>6.3736685417330099E-5</v>
      </c>
      <c r="D32437" s="1">
        <v>1.66936294074975E-5</v>
      </c>
      <c r="E32437" s="1">
        <v>0</v>
      </c>
      <c r="F32437" s="1">
        <v>5.9193655076880599E-5</v>
      </c>
    </row>
    <row r="32438" spans="1:6" x14ac:dyDescent="0.25">
      <c r="A32438" s="2" t="str">
        <f t="shared" si="1168"/>
        <v>99999</v>
      </c>
      <c r="B32438" s="2" t="str">
        <f>"77484"</f>
        <v>77484</v>
      </c>
      <c r="C32438" s="1">
        <v>3.4051105907888697E-5</v>
      </c>
      <c r="D32438" s="1">
        <v>1.51760267340886E-6</v>
      </c>
      <c r="E32438" s="1">
        <v>0</v>
      </c>
      <c r="F32438" s="1">
        <v>3.1138847124476597E-5</v>
      </c>
    </row>
    <row r="32439" spans="1:6" x14ac:dyDescent="0.25">
      <c r="A32439" s="2" t="str">
        <f t="shared" si="1168"/>
        <v>99999</v>
      </c>
      <c r="B32439" s="2" t="str">
        <f>"77350"</f>
        <v>77350</v>
      </c>
      <c r="C32439" s="1">
        <v>0</v>
      </c>
      <c r="D32439" s="1">
        <v>1.51760267340886E-6</v>
      </c>
      <c r="E32439" s="1">
        <v>0</v>
      </c>
      <c r="F32439" s="1">
        <v>9.9485134582992598E-8</v>
      </c>
    </row>
    <row r="32440" spans="1:6" x14ac:dyDescent="0.25">
      <c r="A32440" s="2" t="str">
        <f t="shared" si="1168"/>
        <v>99999</v>
      </c>
      <c r="B32440" s="2" t="str">
        <f>"77332"</f>
        <v>77332</v>
      </c>
      <c r="C32440" s="1">
        <v>0</v>
      </c>
      <c r="D32440" s="1">
        <v>1.51760267340886E-6</v>
      </c>
      <c r="E32440" s="1">
        <v>0</v>
      </c>
      <c r="F32440" s="1">
        <v>9.9485134582992598E-8</v>
      </c>
    </row>
    <row r="32441" spans="1:6" x14ac:dyDescent="0.25">
      <c r="A32441" s="2" t="str">
        <f t="shared" si="1168"/>
        <v>99999</v>
      </c>
      <c r="B32441" s="2" t="str">
        <f>"77331"</f>
        <v>77331</v>
      </c>
      <c r="C32441" s="1">
        <v>4.25311409368725E-4</v>
      </c>
      <c r="D32441" s="1">
        <v>2.7468608388700499E-4</v>
      </c>
      <c r="E32441" s="1">
        <v>1.12984038831745E-4</v>
      </c>
      <c r="F32441" s="1">
        <v>4.0828699232860102E-4</v>
      </c>
    </row>
    <row r="32442" spans="1:6" x14ac:dyDescent="0.25">
      <c r="A32442" s="2" t="str">
        <f t="shared" si="1168"/>
        <v>99999</v>
      </c>
      <c r="B32442" s="2" t="str">
        <f>"76887"</f>
        <v>76887</v>
      </c>
      <c r="C32442" s="1">
        <v>1.6370723994177199E-6</v>
      </c>
      <c r="D32442" s="1">
        <v>3.0352053468177301E-6</v>
      </c>
      <c r="E32442" s="1">
        <v>4.3455399550671099E-6</v>
      </c>
      <c r="F32442" s="1">
        <v>1.79073242249386E-6</v>
      </c>
    </row>
    <row r="32443" spans="1:6" x14ac:dyDescent="0.25">
      <c r="A32443" s="2" t="str">
        <f t="shared" si="1168"/>
        <v>99999</v>
      </c>
      <c r="B32443" s="2" t="str">
        <f>"76855"</f>
        <v>76855</v>
      </c>
      <c r="C32443" s="1">
        <v>0</v>
      </c>
      <c r="D32443" s="1">
        <v>0</v>
      </c>
      <c r="E32443" s="1">
        <v>4.3455399550671099E-6</v>
      </c>
      <c r="F32443" s="1">
        <v>9.9485134582992598E-8</v>
      </c>
    </row>
    <row r="32444" spans="1:6" x14ac:dyDescent="0.25">
      <c r="A32444" s="2" t="str">
        <f t="shared" si="1168"/>
        <v>99999</v>
      </c>
      <c r="B32444" s="2" t="str">
        <f>"76845"</f>
        <v>76845</v>
      </c>
      <c r="C32444" s="1">
        <v>1.45153752748371E-5</v>
      </c>
      <c r="D32444" s="1">
        <v>1.0623218713862E-5</v>
      </c>
      <c r="E32444" s="1">
        <v>2.1727699775335501E-5</v>
      </c>
      <c r="F32444" s="1">
        <v>1.44253445145339E-5</v>
      </c>
    </row>
    <row r="32445" spans="1:6" x14ac:dyDescent="0.25">
      <c r="A32445" s="2" t="str">
        <f t="shared" si="1168"/>
        <v>99999</v>
      </c>
      <c r="B32445" s="2" t="str">
        <f>"76567"</f>
        <v>76567</v>
      </c>
      <c r="C32445" s="1">
        <v>4.9406845014426904E-4</v>
      </c>
      <c r="D32445" s="1">
        <v>6.0855867203695596E-4</v>
      </c>
      <c r="E32445" s="1">
        <v>2.8246009707936202E-4</v>
      </c>
      <c r="F32445" s="1">
        <v>4.9672927697288203E-4</v>
      </c>
    </row>
    <row r="32446" spans="1:6" x14ac:dyDescent="0.25">
      <c r="A32446" s="2" t="str">
        <f t="shared" si="1168"/>
        <v>99999</v>
      </c>
      <c r="B32446" s="2" t="str">
        <f>"76556"</f>
        <v>76556</v>
      </c>
      <c r="C32446" s="1">
        <v>8.0871376531235599E-5</v>
      </c>
      <c r="D32446" s="1">
        <v>2.1246437427724101E-5</v>
      </c>
      <c r="E32446" s="1">
        <v>3.47643196405369E-5</v>
      </c>
      <c r="F32446" s="1">
        <v>7.5907157686823306E-5</v>
      </c>
    </row>
    <row r="32447" spans="1:6" x14ac:dyDescent="0.25">
      <c r="A32447" s="2" t="str">
        <f t="shared" si="1168"/>
        <v>99999</v>
      </c>
      <c r="B32447" s="2" t="str">
        <f>"76673"</f>
        <v>76673</v>
      </c>
      <c r="C32447" s="1">
        <v>6.4391514377097205E-5</v>
      </c>
      <c r="D32447" s="1">
        <v>1.21408213872709E-5</v>
      </c>
      <c r="E32447" s="1">
        <v>9.1256339056409395E-5</v>
      </c>
      <c r="F32447" s="1">
        <v>6.1581298306872401E-5</v>
      </c>
    </row>
    <row r="32448" spans="1:6" x14ac:dyDescent="0.25">
      <c r="A32448" s="2" t="str">
        <f t="shared" si="1168"/>
        <v>99999</v>
      </c>
      <c r="B32448" s="2" t="str">
        <f>"76539"</f>
        <v>76539</v>
      </c>
      <c r="C32448" s="1">
        <v>1.386054631507E-5</v>
      </c>
      <c r="D32448" s="1">
        <v>0</v>
      </c>
      <c r="E32448" s="1">
        <v>0</v>
      </c>
      <c r="F32448" s="1">
        <v>1.263461209204E-5</v>
      </c>
    </row>
    <row r="32449" spans="1:6" x14ac:dyDescent="0.25">
      <c r="A32449" s="2" t="str">
        <f t="shared" si="1168"/>
        <v>99999</v>
      </c>
      <c r="B32449" s="2" t="str">
        <f>"76538"</f>
        <v>76538</v>
      </c>
      <c r="C32449" s="1">
        <v>2.41195333514211E-5</v>
      </c>
      <c r="D32449" s="1">
        <v>9.1056160404532095E-6</v>
      </c>
      <c r="E32449" s="1">
        <v>0</v>
      </c>
      <c r="F32449" s="1">
        <v>2.2583125550339301E-5</v>
      </c>
    </row>
    <row r="32450" spans="1:6" x14ac:dyDescent="0.25">
      <c r="A32450" s="2" t="str">
        <f t="shared" si="1168"/>
        <v>99999</v>
      </c>
      <c r="B32450" s="2" t="str">
        <f>"76631"</f>
        <v>76631</v>
      </c>
      <c r="C32450" s="1">
        <v>2.2373322792042201E-5</v>
      </c>
      <c r="D32450" s="1">
        <v>0</v>
      </c>
      <c r="E32450" s="1">
        <v>4.3455399550671099E-6</v>
      </c>
      <c r="F32450" s="1">
        <v>2.04939377240964E-5</v>
      </c>
    </row>
    <row r="32451" spans="1:6" x14ac:dyDescent="0.25">
      <c r="A32451" s="2" t="str">
        <f t="shared" si="1168"/>
        <v>99999</v>
      </c>
      <c r="B32451" s="2" t="str">
        <f>"76525"</f>
        <v>76525</v>
      </c>
      <c r="C32451" s="1">
        <v>2.2700737271925801E-5</v>
      </c>
      <c r="D32451" s="1">
        <v>1.21408213872709E-5</v>
      </c>
      <c r="E32451" s="1">
        <v>1.7382159820268399E-5</v>
      </c>
      <c r="F32451" s="1">
        <v>2.1886729608258301E-5</v>
      </c>
    </row>
    <row r="32452" spans="1:6" x14ac:dyDescent="0.25">
      <c r="A32452" s="2" t="str">
        <f t="shared" si="1168"/>
        <v>99999</v>
      </c>
      <c r="B32452" s="2" t="str">
        <f>"76520"</f>
        <v>76520</v>
      </c>
      <c r="C32452" s="1">
        <v>4.5390560727855399E-4</v>
      </c>
      <c r="D32452" s="1">
        <v>6.0552346669013799E-4</v>
      </c>
      <c r="E32452" s="1">
        <v>7.2135963254114097E-4</v>
      </c>
      <c r="F32452" s="1">
        <v>4.6996777577005698E-4</v>
      </c>
    </row>
    <row r="32453" spans="1:6" x14ac:dyDescent="0.25">
      <c r="A32453" s="2" t="str">
        <f t="shared" si="1168"/>
        <v>99999</v>
      </c>
      <c r="B32453" s="2" t="str">
        <f>"76518"</f>
        <v>76518</v>
      </c>
      <c r="C32453" s="1">
        <v>6.9521007895272707E-5</v>
      </c>
      <c r="D32453" s="1">
        <v>9.1056160404532095E-6</v>
      </c>
      <c r="E32453" s="1">
        <v>3.0418779685469802E-5</v>
      </c>
      <c r="F32453" s="1">
        <v>6.4665337478945199E-5</v>
      </c>
    </row>
    <row r="32454" spans="1:6" x14ac:dyDescent="0.25">
      <c r="A32454" s="2" t="str">
        <f t="shared" si="1168"/>
        <v>99999</v>
      </c>
      <c r="B32454" s="2" t="str">
        <f>"76443"</f>
        <v>76443</v>
      </c>
      <c r="C32454" s="1">
        <v>3.27414479883545E-6</v>
      </c>
      <c r="D32454" s="1">
        <v>3.0352053468177301E-6</v>
      </c>
      <c r="E32454" s="1">
        <v>4.3455399550671099E-6</v>
      </c>
      <c r="F32454" s="1">
        <v>3.2830094412387502E-6</v>
      </c>
    </row>
    <row r="32455" spans="1:6" x14ac:dyDescent="0.25">
      <c r="A32455" s="2" t="str">
        <f t="shared" si="1168"/>
        <v>99999</v>
      </c>
      <c r="B32455" s="2" t="str">
        <f>"76452"</f>
        <v>76452</v>
      </c>
      <c r="C32455" s="1">
        <v>0</v>
      </c>
      <c r="D32455" s="1">
        <v>0</v>
      </c>
      <c r="E32455" s="1">
        <v>8.69107991013423E-6</v>
      </c>
      <c r="F32455" s="1">
        <v>1.9897026916598501E-7</v>
      </c>
    </row>
    <row r="32456" spans="1:6" x14ac:dyDescent="0.25">
      <c r="A32456" s="2" t="str">
        <f t="shared" si="1168"/>
        <v>99999</v>
      </c>
      <c r="B32456" s="2" t="str">
        <f>"76491"</f>
        <v>76491</v>
      </c>
      <c r="C32456" s="1">
        <v>1.9644868793012701E-5</v>
      </c>
      <c r="D32456" s="1">
        <v>0</v>
      </c>
      <c r="E32456" s="1">
        <v>4.3455399550671099E-6</v>
      </c>
      <c r="F32456" s="1">
        <v>1.8006809359521599E-5</v>
      </c>
    </row>
    <row r="32457" spans="1:6" x14ac:dyDescent="0.25">
      <c r="A32457" s="2" t="str">
        <f t="shared" si="1168"/>
        <v>99999</v>
      </c>
      <c r="B32457" s="2" t="str">
        <f>"76261"</f>
        <v>76261</v>
      </c>
      <c r="C32457" s="1">
        <v>1.2987441035380599E-5</v>
      </c>
      <c r="D32457" s="1">
        <v>1.51760267340886E-6</v>
      </c>
      <c r="E32457" s="1">
        <v>0</v>
      </c>
      <c r="F32457" s="1">
        <v>1.19382161499591E-5</v>
      </c>
    </row>
    <row r="32458" spans="1:6" x14ac:dyDescent="0.25">
      <c r="A32458" s="2" t="str">
        <f t="shared" si="1168"/>
        <v>99999</v>
      </c>
      <c r="B32458" s="2" t="str">
        <f>"76424"</f>
        <v>76424</v>
      </c>
      <c r="C32458" s="1">
        <v>4.728956471118E-4</v>
      </c>
      <c r="D32458" s="1">
        <v>8.5441030512919296E-4</v>
      </c>
      <c r="E32458" s="1">
        <v>5.5622911424858996E-4</v>
      </c>
      <c r="F32458" s="1">
        <v>4.9981331614495504E-4</v>
      </c>
    </row>
    <row r="32459" spans="1:6" x14ac:dyDescent="0.25">
      <c r="A32459" s="2" t="str">
        <f t="shared" si="1168"/>
        <v>99999</v>
      </c>
      <c r="B32459" s="2" t="str">
        <f>"76225"</f>
        <v>76225</v>
      </c>
      <c r="C32459" s="1">
        <v>5.4569079980590801E-7</v>
      </c>
      <c r="D32459" s="1">
        <v>0</v>
      </c>
      <c r="E32459" s="1">
        <v>0</v>
      </c>
      <c r="F32459" s="1">
        <v>4.9742567291496303E-7</v>
      </c>
    </row>
    <row r="32460" spans="1:6" x14ac:dyDescent="0.25">
      <c r="A32460" s="2" t="str">
        <f t="shared" si="1168"/>
        <v>99999</v>
      </c>
      <c r="B32460" s="2" t="str">
        <f>"76048"</f>
        <v>76048</v>
      </c>
      <c r="C32460" s="1">
        <v>1.09138159961181E-5</v>
      </c>
      <c r="D32460" s="1">
        <v>1.0623218713862E-5</v>
      </c>
      <c r="E32460" s="1">
        <v>3.9109859595604001E-5</v>
      </c>
      <c r="F32460" s="1">
        <v>1.1540275611627099E-5</v>
      </c>
    </row>
    <row r="32461" spans="1:6" x14ac:dyDescent="0.25">
      <c r="A32461" s="2" t="str">
        <f t="shared" si="1168"/>
        <v>99999</v>
      </c>
      <c r="B32461" s="2" t="str">
        <f>"76050"</f>
        <v>76050</v>
      </c>
      <c r="C32461" s="1">
        <v>1.6698138474060799E-5</v>
      </c>
      <c r="D32461" s="1">
        <v>3.0352053468177301E-6</v>
      </c>
      <c r="E32461" s="1">
        <v>0</v>
      </c>
      <c r="F32461" s="1">
        <v>1.5420195860363801E-5</v>
      </c>
    </row>
    <row r="32462" spans="1:6" x14ac:dyDescent="0.25">
      <c r="A32462" s="2" t="str">
        <f t="shared" si="1168"/>
        <v>99999</v>
      </c>
      <c r="B32462" s="2" t="str">
        <f>"75979"</f>
        <v>75979</v>
      </c>
      <c r="C32462" s="1">
        <v>8.7659770080821095E-4</v>
      </c>
      <c r="D32462" s="1">
        <v>8.4226948374192204E-4</v>
      </c>
      <c r="E32462" s="1">
        <v>6.7355869303540304E-4</v>
      </c>
      <c r="F32462" s="1">
        <v>8.6969904652452103E-4</v>
      </c>
    </row>
    <row r="32463" spans="1:6" x14ac:dyDescent="0.25">
      <c r="A32463" s="2" t="str">
        <f t="shared" si="1168"/>
        <v>99999</v>
      </c>
      <c r="B32463" s="2" t="str">
        <f>"75975"</f>
        <v>75975</v>
      </c>
      <c r="C32463" s="1">
        <v>1.7898658233633799E-4</v>
      </c>
      <c r="D32463" s="1">
        <v>6.9809722976807906E-5</v>
      </c>
      <c r="E32463" s="1">
        <v>1.8512000208585899E-3</v>
      </c>
      <c r="F32463" s="1">
        <v>2.1011260423928001E-4</v>
      </c>
    </row>
    <row r="32464" spans="1:6" x14ac:dyDescent="0.25">
      <c r="A32464" s="2" t="str">
        <f t="shared" si="1168"/>
        <v>99999</v>
      </c>
      <c r="B32464" s="2" t="str">
        <f>"75973"</f>
        <v>75973</v>
      </c>
      <c r="C32464" s="1">
        <v>2.5767519566834997E-4</v>
      </c>
      <c r="D32464" s="1">
        <v>5.3116093569310399E-5</v>
      </c>
      <c r="E32464" s="1">
        <v>1.3036619865201299E-5</v>
      </c>
      <c r="F32464" s="1">
        <v>2.3866483786459899E-4</v>
      </c>
    </row>
    <row r="32465" spans="1:6" x14ac:dyDescent="0.25">
      <c r="A32465" s="2" t="str">
        <f t="shared" si="1168"/>
        <v>99999</v>
      </c>
      <c r="B32465" s="2" t="str">
        <f>"75961"</f>
        <v>75961</v>
      </c>
      <c r="C32465" s="1">
        <v>3.2741447988354498E-7</v>
      </c>
      <c r="D32465" s="1">
        <v>0</v>
      </c>
      <c r="E32465" s="1">
        <v>0</v>
      </c>
      <c r="F32465" s="1">
        <v>2.9845540374897701E-7</v>
      </c>
    </row>
    <row r="32466" spans="1:6" x14ac:dyDescent="0.25">
      <c r="A32466" s="2" t="str">
        <f t="shared" ref="A32466:A32529" si="1169">"99999"</f>
        <v>99999</v>
      </c>
      <c r="B32466" s="2" t="str">
        <f>"75834"</f>
        <v>75834</v>
      </c>
      <c r="C32466" s="1">
        <v>0</v>
      </c>
      <c r="D32466" s="1">
        <v>0</v>
      </c>
      <c r="E32466" s="1">
        <v>4.3455399550671099E-6</v>
      </c>
      <c r="F32466" s="1">
        <v>9.9485134582992598E-8</v>
      </c>
    </row>
    <row r="32467" spans="1:6" x14ac:dyDescent="0.25">
      <c r="A32467" s="2" t="str">
        <f t="shared" si="1169"/>
        <v>99999</v>
      </c>
      <c r="B32467" s="2" t="str">
        <f>"75835"</f>
        <v>75835</v>
      </c>
      <c r="C32467" s="1">
        <v>8.5236902929682903E-4</v>
      </c>
      <c r="D32467" s="1">
        <v>1.0774978981202899E-3</v>
      </c>
      <c r="E32467" s="1">
        <v>7.2135963254114097E-4</v>
      </c>
      <c r="F32467" s="1">
        <v>8.6412787898787404E-4</v>
      </c>
    </row>
    <row r="32468" spans="1:6" x14ac:dyDescent="0.25">
      <c r="A32468" s="2" t="str">
        <f t="shared" si="1169"/>
        <v>99999</v>
      </c>
      <c r="B32468" s="2" t="str">
        <f>"75833"</f>
        <v>75833</v>
      </c>
      <c r="C32468" s="1">
        <v>1.7516674673769599E-4</v>
      </c>
      <c r="D32468" s="1">
        <v>8.8020955057714406E-5</v>
      </c>
      <c r="E32468" s="1">
        <v>6.9528639281073799E-5</v>
      </c>
      <c r="F32468" s="1">
        <v>1.6703554096484399E-4</v>
      </c>
    </row>
    <row r="32469" spans="1:6" x14ac:dyDescent="0.25">
      <c r="A32469" s="2" t="str">
        <f t="shared" si="1169"/>
        <v>99999</v>
      </c>
      <c r="B32469" s="2" t="str">
        <f>"75773"</f>
        <v>75773</v>
      </c>
      <c r="C32469" s="1">
        <v>6.3278305145493096E-4</v>
      </c>
      <c r="D32469" s="1">
        <v>8.0888222492692704E-4</v>
      </c>
      <c r="E32469" s="1">
        <v>4.8670047496751699E-4</v>
      </c>
      <c r="F32469" s="1">
        <v>6.4098272211822102E-4</v>
      </c>
    </row>
    <row r="32470" spans="1:6" x14ac:dyDescent="0.25">
      <c r="A32470" s="2" t="str">
        <f t="shared" si="1169"/>
        <v>99999</v>
      </c>
      <c r="B32470" s="2" t="str">
        <f>"75844"</f>
        <v>75844</v>
      </c>
      <c r="C32470" s="1">
        <v>3.90605474501069E-4</v>
      </c>
      <c r="D32470" s="1">
        <v>3.0352053468177301E-5</v>
      </c>
      <c r="E32470" s="1">
        <v>6.9528639281073799E-5</v>
      </c>
      <c r="F32470" s="1">
        <v>3.59638761517518E-4</v>
      </c>
    </row>
    <row r="32471" spans="1:6" x14ac:dyDescent="0.25">
      <c r="A32471" s="2" t="str">
        <f t="shared" si="1169"/>
        <v>99999</v>
      </c>
      <c r="B32471" s="2" t="str">
        <f>"75656"</f>
        <v>75656</v>
      </c>
      <c r="C32471" s="1">
        <v>3.0220356493251198E-4</v>
      </c>
      <c r="D32471" s="1">
        <v>1.04714584465211E-4</v>
      </c>
      <c r="E32471" s="1">
        <v>3.9109859595604001E-5</v>
      </c>
      <c r="F32471" s="1">
        <v>2.8323417815778002E-4</v>
      </c>
    </row>
    <row r="32472" spans="1:6" x14ac:dyDescent="0.25">
      <c r="A32472" s="2" t="str">
        <f t="shared" si="1169"/>
        <v>99999</v>
      </c>
      <c r="B32472" s="2" t="str">
        <f>"75566"</f>
        <v>75566</v>
      </c>
      <c r="C32472" s="1">
        <v>7.3559119813836402E-5</v>
      </c>
      <c r="D32472" s="1">
        <v>1.5176026734088599E-5</v>
      </c>
      <c r="E32472" s="1">
        <v>8.69107991013423E-6</v>
      </c>
      <c r="F32472" s="1">
        <v>6.8246802323932901E-5</v>
      </c>
    </row>
    <row r="32473" spans="1:6" x14ac:dyDescent="0.25">
      <c r="A32473" s="2" t="str">
        <f t="shared" si="1169"/>
        <v>99999</v>
      </c>
      <c r="B32473" s="2" t="str">
        <f>"75451"</f>
        <v>75451</v>
      </c>
      <c r="C32473" s="1">
        <v>1.85534871934008E-6</v>
      </c>
      <c r="D32473" s="1">
        <v>0</v>
      </c>
      <c r="E32473" s="1">
        <v>0</v>
      </c>
      <c r="F32473" s="1">
        <v>1.6912472879108699E-6</v>
      </c>
    </row>
    <row r="32474" spans="1:6" x14ac:dyDescent="0.25">
      <c r="A32474" s="2" t="str">
        <f t="shared" si="1169"/>
        <v>99999</v>
      </c>
      <c r="B32474" s="2" t="str">
        <f>"75431"</f>
        <v>75431</v>
      </c>
      <c r="C32474" s="1">
        <v>1.68072766340219E-5</v>
      </c>
      <c r="D32474" s="1">
        <v>1.66936294074975E-5</v>
      </c>
      <c r="E32474" s="1">
        <v>0</v>
      </c>
      <c r="F32474" s="1">
        <v>1.6415047206193701E-5</v>
      </c>
    </row>
    <row r="32475" spans="1:6" x14ac:dyDescent="0.25">
      <c r="A32475" s="2" t="str">
        <f t="shared" si="1169"/>
        <v>99999</v>
      </c>
      <c r="B32475" s="2" t="str">
        <f>"75551"</f>
        <v>75551</v>
      </c>
      <c r="C32475" s="1">
        <v>5.7297533979620396E-4</v>
      </c>
      <c r="D32475" s="1">
        <v>7.4666051531716298E-4</v>
      </c>
      <c r="E32475" s="1">
        <v>5.5188357429352298E-4</v>
      </c>
      <c r="F32475" s="1">
        <v>5.8387825486758301E-4</v>
      </c>
    </row>
    <row r="32476" spans="1:6" x14ac:dyDescent="0.25">
      <c r="A32476" s="2" t="str">
        <f t="shared" si="1169"/>
        <v>99999</v>
      </c>
      <c r="B32476" s="2" t="str">
        <f>"75494"</f>
        <v>75494</v>
      </c>
      <c r="C32476" s="1">
        <v>5.8759985323100197E-4</v>
      </c>
      <c r="D32476" s="1">
        <v>6.2373469877104496E-4</v>
      </c>
      <c r="E32476" s="1">
        <v>5.3015587451818804E-4</v>
      </c>
      <c r="F32476" s="1">
        <v>5.8865354132756704E-4</v>
      </c>
    </row>
    <row r="32477" spans="1:6" x14ac:dyDescent="0.25">
      <c r="A32477" s="2" t="str">
        <f t="shared" si="1169"/>
        <v>99999</v>
      </c>
      <c r="B32477" s="2" t="str">
        <f>"74957"</f>
        <v>74957</v>
      </c>
      <c r="C32477" s="1">
        <v>5.8170639259309801E-5</v>
      </c>
      <c r="D32477" s="1">
        <v>1.8211232080906399E-5</v>
      </c>
      <c r="E32477" s="1">
        <v>2.1727699775335501E-5</v>
      </c>
      <c r="F32477" s="1">
        <v>5.4716824020645903E-5</v>
      </c>
    </row>
    <row r="32478" spans="1:6" x14ac:dyDescent="0.25">
      <c r="A32478" s="2" t="str">
        <f t="shared" si="1169"/>
        <v>99999</v>
      </c>
      <c r="B32478" s="2" t="str">
        <f>"74949"</f>
        <v>74949</v>
      </c>
      <c r="C32478" s="1">
        <v>9.6041580765839897E-6</v>
      </c>
      <c r="D32478" s="1">
        <v>1.51760267340886E-6</v>
      </c>
      <c r="E32478" s="1">
        <v>4.3455399550671099E-6</v>
      </c>
      <c r="F32478" s="1">
        <v>8.9536621124693292E-6</v>
      </c>
    </row>
    <row r="32479" spans="1:6" x14ac:dyDescent="0.25">
      <c r="A32479" s="2" t="str">
        <f t="shared" si="1169"/>
        <v>99999</v>
      </c>
      <c r="B32479" s="2" t="str">
        <f>"74960"</f>
        <v>74960</v>
      </c>
      <c r="C32479" s="1">
        <v>8.3632571978253497E-4</v>
      </c>
      <c r="D32479" s="1">
        <v>6.9050921640103496E-4</v>
      </c>
      <c r="E32479" s="1">
        <v>1.6947605824761699E-4</v>
      </c>
      <c r="F32479" s="1">
        <v>8.1150024279346995E-4</v>
      </c>
    </row>
    <row r="32480" spans="1:6" x14ac:dyDescent="0.25">
      <c r="A32480" s="2" t="str">
        <f t="shared" si="1169"/>
        <v>99999</v>
      </c>
      <c r="B32480" s="2" t="str">
        <f>"74901"</f>
        <v>74901</v>
      </c>
      <c r="C32480" s="1">
        <v>1.6348896362185E-4</v>
      </c>
      <c r="D32480" s="1">
        <v>8.65033523843055E-5</v>
      </c>
      <c r="E32480" s="1">
        <v>1.2602065869694599E-4</v>
      </c>
      <c r="F32480" s="1">
        <v>1.5758445317946E-4</v>
      </c>
    </row>
    <row r="32481" spans="1:6" x14ac:dyDescent="0.25">
      <c r="A32481" s="2" t="str">
        <f t="shared" si="1169"/>
        <v>99999</v>
      </c>
      <c r="B32481" s="2" t="str">
        <f>"74574"</f>
        <v>74574</v>
      </c>
      <c r="C32481" s="1">
        <v>5.5223908940357899E-5</v>
      </c>
      <c r="D32481" s="1">
        <v>2.5799245447950699E-5</v>
      </c>
      <c r="E32481" s="1">
        <v>4.3455399550671099E-6</v>
      </c>
      <c r="F32481" s="1">
        <v>5.2130210521488097E-5</v>
      </c>
    </row>
    <row r="32482" spans="1:6" x14ac:dyDescent="0.25">
      <c r="A32482" s="2" t="str">
        <f t="shared" si="1169"/>
        <v>99999</v>
      </c>
      <c r="B32482" s="2" t="str">
        <f>"74569"</f>
        <v>74569</v>
      </c>
      <c r="C32482" s="1">
        <v>3.6997836226840599E-5</v>
      </c>
      <c r="D32482" s="1">
        <v>9.1056160404532095E-6</v>
      </c>
      <c r="E32482" s="1">
        <v>4.3455399550671099E-6</v>
      </c>
      <c r="F32482" s="1">
        <v>3.4421856565715399E-5</v>
      </c>
    </row>
    <row r="32483" spans="1:6" x14ac:dyDescent="0.25">
      <c r="A32483" s="2" t="str">
        <f t="shared" si="1169"/>
        <v>99999</v>
      </c>
      <c r="B32483" s="2" t="str">
        <f>"74570"</f>
        <v>74570</v>
      </c>
      <c r="C32483" s="1">
        <v>4.1472500785249002E-5</v>
      </c>
      <c r="D32483" s="1">
        <v>1.3658424060679801E-5</v>
      </c>
      <c r="E32483" s="1">
        <v>4.3455399550671103E-5</v>
      </c>
      <c r="F32483" s="1">
        <v>3.9694568698614001E-5</v>
      </c>
    </row>
    <row r="32484" spans="1:6" x14ac:dyDescent="0.25">
      <c r="A32484" s="2" t="str">
        <f t="shared" si="1169"/>
        <v>99999</v>
      </c>
      <c r="B32484" s="2" t="str">
        <f>"74535"</f>
        <v>74535</v>
      </c>
      <c r="C32484" s="1">
        <v>1.4187960794953601E-6</v>
      </c>
      <c r="D32484" s="1">
        <v>0</v>
      </c>
      <c r="E32484" s="1">
        <v>4.3455399550671099E-6</v>
      </c>
      <c r="F32484" s="1">
        <v>1.39279188416189E-6</v>
      </c>
    </row>
    <row r="32485" spans="1:6" x14ac:dyDescent="0.25">
      <c r="A32485" s="2" t="str">
        <f t="shared" si="1169"/>
        <v>99999</v>
      </c>
      <c r="B32485" s="2" t="str">
        <f>"74549"</f>
        <v>74549</v>
      </c>
      <c r="C32485" s="1">
        <v>1.1132092316040499E-5</v>
      </c>
      <c r="D32485" s="1">
        <v>7.5880133670443404E-6</v>
      </c>
      <c r="E32485" s="1">
        <v>4.3455399550671099E-6</v>
      </c>
      <c r="F32485" s="1">
        <v>1.0744394534963201E-5</v>
      </c>
    </row>
    <row r="32486" spans="1:6" x14ac:dyDescent="0.25">
      <c r="A32486" s="2" t="str">
        <f t="shared" si="1169"/>
        <v>99999</v>
      </c>
      <c r="B32486" s="2" t="str">
        <f>"74523"</f>
        <v>74523</v>
      </c>
      <c r="C32486" s="1">
        <v>4.5576095599789401E-4</v>
      </c>
      <c r="D32486" s="1">
        <v>5.3723134638673895E-4</v>
      </c>
      <c r="E32486" s="1">
        <v>2.0858591784322101E-4</v>
      </c>
      <c r="F32486" s="1">
        <v>4.5544294612094002E-4</v>
      </c>
    </row>
    <row r="32487" spans="1:6" x14ac:dyDescent="0.25">
      <c r="A32487" s="2" t="str">
        <f t="shared" si="1169"/>
        <v>99999</v>
      </c>
      <c r="B32487" s="2" t="str">
        <f>"74521"</f>
        <v>74521</v>
      </c>
      <c r="C32487" s="1">
        <v>4.5838027183696299E-6</v>
      </c>
      <c r="D32487" s="1">
        <v>0</v>
      </c>
      <c r="E32487" s="1">
        <v>4.3455399550671099E-6</v>
      </c>
      <c r="F32487" s="1">
        <v>4.2778607870686803E-6</v>
      </c>
    </row>
    <row r="32488" spans="1:6" x14ac:dyDescent="0.25">
      <c r="A32488" s="2" t="str">
        <f t="shared" si="1169"/>
        <v>99999</v>
      </c>
      <c r="B32488" s="2" t="str">
        <f>"74752"</f>
        <v>74752</v>
      </c>
      <c r="C32488" s="1">
        <v>0</v>
      </c>
      <c r="D32488" s="1">
        <v>0</v>
      </c>
      <c r="E32488" s="1">
        <v>4.3455399550671099E-6</v>
      </c>
      <c r="F32488" s="1">
        <v>9.9485134582992598E-8</v>
      </c>
    </row>
    <row r="32489" spans="1:6" x14ac:dyDescent="0.25">
      <c r="A32489" s="2" t="str">
        <f t="shared" si="1169"/>
        <v>99999</v>
      </c>
      <c r="B32489" s="2" t="str">
        <f>"74761"</f>
        <v>74761</v>
      </c>
      <c r="C32489" s="1">
        <v>0</v>
      </c>
      <c r="D32489" s="1">
        <v>0</v>
      </c>
      <c r="E32489" s="1">
        <v>4.3455399550671099E-6</v>
      </c>
      <c r="F32489" s="1">
        <v>9.9485134582992598E-8</v>
      </c>
    </row>
    <row r="32490" spans="1:6" x14ac:dyDescent="0.25">
      <c r="A32490" s="2" t="str">
        <f t="shared" si="1169"/>
        <v>99999</v>
      </c>
      <c r="B32490" s="2" t="str">
        <f>"74737"</f>
        <v>74737</v>
      </c>
      <c r="C32490" s="1">
        <v>0</v>
      </c>
      <c r="D32490" s="1">
        <v>0</v>
      </c>
      <c r="E32490" s="1">
        <v>4.3455399550671099E-6</v>
      </c>
      <c r="F32490" s="1">
        <v>9.9485134582992598E-8</v>
      </c>
    </row>
    <row r="32491" spans="1:6" x14ac:dyDescent="0.25">
      <c r="A32491" s="2" t="str">
        <f t="shared" si="1169"/>
        <v>99999</v>
      </c>
      <c r="B32491" s="2" t="str">
        <f>"74755"</f>
        <v>74755</v>
      </c>
      <c r="C32491" s="1">
        <v>1.39696844750312E-5</v>
      </c>
      <c r="D32491" s="1">
        <v>1.51760267340886E-6</v>
      </c>
      <c r="E32491" s="1">
        <v>4.3455399550671099E-6</v>
      </c>
      <c r="F32491" s="1">
        <v>1.2933067495789E-5</v>
      </c>
    </row>
    <row r="32492" spans="1:6" x14ac:dyDescent="0.25">
      <c r="A32492" s="2" t="str">
        <f t="shared" si="1169"/>
        <v>99999</v>
      </c>
      <c r="B32492" s="2" t="str">
        <f>"74748"</f>
        <v>74748</v>
      </c>
      <c r="C32492" s="1">
        <v>3.6779559906918201E-5</v>
      </c>
      <c r="D32492" s="1">
        <v>1.66936294074975E-5</v>
      </c>
      <c r="E32492" s="1">
        <v>4.3455399550671099E-6</v>
      </c>
      <c r="F32492" s="1">
        <v>3.4720311969464401E-5</v>
      </c>
    </row>
    <row r="32493" spans="1:6" x14ac:dyDescent="0.25">
      <c r="A32493" s="2" t="str">
        <f t="shared" si="1169"/>
        <v>99999</v>
      </c>
      <c r="B32493" s="2" t="str">
        <f>"74825"</f>
        <v>74825</v>
      </c>
      <c r="C32493" s="1">
        <v>2.5320053110994099E-5</v>
      </c>
      <c r="D32493" s="1">
        <v>4.5528080202265997E-6</v>
      </c>
      <c r="E32493" s="1">
        <v>0</v>
      </c>
      <c r="F32493" s="1">
        <v>2.3379006627003201E-5</v>
      </c>
    </row>
    <row r="32494" spans="1:6" x14ac:dyDescent="0.25">
      <c r="A32494" s="2" t="str">
        <f t="shared" si="1169"/>
        <v>99999</v>
      </c>
      <c r="B32494" s="2" t="str">
        <f>"74646"</f>
        <v>74646</v>
      </c>
      <c r="C32494" s="1">
        <v>1.52793423945654E-6</v>
      </c>
      <c r="D32494" s="1">
        <v>0</v>
      </c>
      <c r="E32494" s="1">
        <v>0</v>
      </c>
      <c r="F32494" s="1">
        <v>1.39279188416189E-6</v>
      </c>
    </row>
    <row r="32495" spans="1:6" x14ac:dyDescent="0.25">
      <c r="A32495" s="2" t="str">
        <f t="shared" si="1169"/>
        <v>99999</v>
      </c>
      <c r="B32495" s="2" t="str">
        <f>"74445"</f>
        <v>74445</v>
      </c>
      <c r="C32495" s="1">
        <v>1.09138159961181E-7</v>
      </c>
      <c r="D32495" s="1">
        <v>0</v>
      </c>
      <c r="E32495" s="1">
        <v>0</v>
      </c>
      <c r="F32495" s="1">
        <v>9.9485134582992598E-8</v>
      </c>
    </row>
    <row r="32496" spans="1:6" x14ac:dyDescent="0.25">
      <c r="A32496" s="2" t="str">
        <f t="shared" si="1169"/>
        <v>99999</v>
      </c>
      <c r="B32496" s="2" t="str">
        <f>"74428"</f>
        <v>74428</v>
      </c>
      <c r="C32496" s="1">
        <v>2.3682980711576399E-5</v>
      </c>
      <c r="D32496" s="1">
        <v>0</v>
      </c>
      <c r="E32496" s="1">
        <v>0</v>
      </c>
      <c r="F32496" s="1">
        <v>2.15882742045094E-5</v>
      </c>
    </row>
    <row r="32497" spans="1:6" x14ac:dyDescent="0.25">
      <c r="A32497" s="2" t="str">
        <f t="shared" si="1169"/>
        <v>99999</v>
      </c>
      <c r="B32497" s="2" t="str">
        <f>"74344"</f>
        <v>74344</v>
      </c>
      <c r="C32497" s="1">
        <v>1.04576184874804E-3</v>
      </c>
      <c r="D32497" s="1">
        <v>1.27326864299004E-3</v>
      </c>
      <c r="E32497" s="1">
        <v>1.53832114409375E-3</v>
      </c>
      <c r="F32497" s="1">
        <v>1.07195232513174E-3</v>
      </c>
    </row>
    <row r="32498" spans="1:6" x14ac:dyDescent="0.25">
      <c r="A32498" s="2" t="str">
        <f t="shared" si="1169"/>
        <v>99999</v>
      </c>
      <c r="B32498" s="2" t="str">
        <f>"74343"</f>
        <v>74343</v>
      </c>
      <c r="C32498" s="1">
        <v>2.6193158390683598E-6</v>
      </c>
      <c r="D32498" s="1">
        <v>0</v>
      </c>
      <c r="E32498" s="1">
        <v>0</v>
      </c>
      <c r="F32498" s="1">
        <v>2.3876432299918199E-6</v>
      </c>
    </row>
    <row r="32499" spans="1:6" x14ac:dyDescent="0.25">
      <c r="A32499" s="2" t="str">
        <f t="shared" si="1169"/>
        <v>99999</v>
      </c>
      <c r="B32499" s="2" t="str">
        <f>"74340"</f>
        <v>74340</v>
      </c>
      <c r="C32499" s="1">
        <v>1.6370723994177199E-6</v>
      </c>
      <c r="D32499" s="1">
        <v>0</v>
      </c>
      <c r="E32499" s="1">
        <v>4.3455399550671099E-6</v>
      </c>
      <c r="F32499" s="1">
        <v>1.5917621533278801E-6</v>
      </c>
    </row>
    <row r="32500" spans="1:6" x14ac:dyDescent="0.25">
      <c r="A32500" s="2" t="str">
        <f t="shared" si="1169"/>
        <v>99999</v>
      </c>
      <c r="B32500" s="2" t="str">
        <f>"74338"</f>
        <v>74338</v>
      </c>
      <c r="C32500" s="1">
        <v>2.33773938636851E-4</v>
      </c>
      <c r="D32500" s="1">
        <v>2.03358758236788E-4</v>
      </c>
      <c r="E32500" s="1">
        <v>6.5183099326006705E-5</v>
      </c>
      <c r="F32500" s="1">
        <v>2.27920443329636E-4</v>
      </c>
    </row>
    <row r="32501" spans="1:6" x14ac:dyDescent="0.25">
      <c r="A32501" s="2" t="str">
        <f t="shared" si="1169"/>
        <v>99999</v>
      </c>
      <c r="B32501" s="2" t="str">
        <f>"73852"</f>
        <v>73852</v>
      </c>
      <c r="C32501" s="1">
        <v>1.09138159961181E-7</v>
      </c>
      <c r="D32501" s="1">
        <v>0</v>
      </c>
      <c r="E32501" s="1">
        <v>0</v>
      </c>
      <c r="F32501" s="1">
        <v>9.9485134582992598E-8</v>
      </c>
    </row>
    <row r="32502" spans="1:6" x14ac:dyDescent="0.25">
      <c r="A32502" s="2" t="str">
        <f t="shared" si="1169"/>
        <v>99999</v>
      </c>
      <c r="B32502" s="2" t="str">
        <f>"73950"</f>
        <v>73950</v>
      </c>
      <c r="C32502" s="1">
        <v>6.3954961737252395E-5</v>
      </c>
      <c r="D32502" s="1">
        <v>2.88344507947685E-5</v>
      </c>
      <c r="E32502" s="1">
        <v>0</v>
      </c>
      <c r="F32502" s="1">
        <v>6.0188506422710503E-5</v>
      </c>
    </row>
    <row r="32503" spans="1:6" x14ac:dyDescent="0.25">
      <c r="A32503" s="2" t="str">
        <f t="shared" si="1169"/>
        <v>99999</v>
      </c>
      <c r="B32503" s="2" t="str">
        <f>"73938"</f>
        <v>73938</v>
      </c>
      <c r="C32503" s="1">
        <v>1.1896059435768801E-5</v>
      </c>
      <c r="D32503" s="1">
        <v>3.0352053468177301E-6</v>
      </c>
      <c r="E32503" s="1">
        <v>0</v>
      </c>
      <c r="F32503" s="1">
        <v>1.10428499387121E-5</v>
      </c>
    </row>
    <row r="32504" spans="1:6" x14ac:dyDescent="0.25">
      <c r="A32504" s="2" t="str">
        <f t="shared" si="1169"/>
        <v>99999</v>
      </c>
      <c r="B32504" s="2" t="str">
        <f>"73838"</f>
        <v>73838</v>
      </c>
      <c r="C32504" s="1">
        <v>4.6929408783308097E-5</v>
      </c>
      <c r="D32504" s="1">
        <v>7.5880133670443404E-6</v>
      </c>
      <c r="E32504" s="1">
        <v>4.3455399550671099E-6</v>
      </c>
      <c r="F32504" s="1">
        <v>4.3375518678184703E-5</v>
      </c>
    </row>
    <row r="32505" spans="1:6" x14ac:dyDescent="0.25">
      <c r="A32505" s="2" t="str">
        <f t="shared" si="1169"/>
        <v>99999</v>
      </c>
      <c r="B32505" s="2" t="str">
        <f>"73526"</f>
        <v>73526</v>
      </c>
      <c r="C32505" s="1">
        <v>1.20051975957299E-6</v>
      </c>
      <c r="D32505" s="1">
        <v>0</v>
      </c>
      <c r="E32505" s="1">
        <v>0</v>
      </c>
      <c r="F32505" s="1">
        <v>1.09433648041291E-6</v>
      </c>
    </row>
    <row r="32506" spans="1:6" x14ac:dyDescent="0.25">
      <c r="A32506" s="2" t="str">
        <f t="shared" si="1169"/>
        <v>99999</v>
      </c>
      <c r="B32506" s="2" t="str">
        <f>"73444"</f>
        <v>73444</v>
      </c>
      <c r="C32506" s="1">
        <v>2.7284539990295402E-6</v>
      </c>
      <c r="D32506" s="1">
        <v>1.51760267340886E-6</v>
      </c>
      <c r="E32506" s="1">
        <v>0</v>
      </c>
      <c r="F32506" s="1">
        <v>2.5866134991578E-6</v>
      </c>
    </row>
    <row r="32507" spans="1:6" x14ac:dyDescent="0.25">
      <c r="A32507" s="2" t="str">
        <f t="shared" si="1169"/>
        <v>99999</v>
      </c>
      <c r="B32507" s="2" t="str">
        <f>"73450"</f>
        <v>73450</v>
      </c>
      <c r="C32507" s="1">
        <v>5.9043744538999298E-5</v>
      </c>
      <c r="D32507" s="1">
        <v>1.21408213872709E-5</v>
      </c>
      <c r="E32507" s="1">
        <v>4.3455399550671099E-6</v>
      </c>
      <c r="F32507" s="1">
        <v>5.4716824020645903E-5</v>
      </c>
    </row>
    <row r="32508" spans="1:6" x14ac:dyDescent="0.25">
      <c r="A32508" s="2" t="str">
        <f t="shared" si="1169"/>
        <v>99999</v>
      </c>
      <c r="B32508" s="2" t="str">
        <f>"73440"</f>
        <v>73440</v>
      </c>
      <c r="C32508" s="1">
        <v>2.2919013591848099E-6</v>
      </c>
      <c r="D32508" s="1">
        <v>0</v>
      </c>
      <c r="E32508" s="1">
        <v>4.3455399550671099E-6</v>
      </c>
      <c r="F32508" s="1">
        <v>2.1886729608258301E-6</v>
      </c>
    </row>
    <row r="32509" spans="1:6" x14ac:dyDescent="0.25">
      <c r="A32509" s="2" t="str">
        <f t="shared" si="1169"/>
        <v>99999</v>
      </c>
      <c r="B32509" s="2" t="str">
        <f>"73754"</f>
        <v>73754</v>
      </c>
      <c r="C32509" s="1">
        <v>2.1827631992236301E-7</v>
      </c>
      <c r="D32509" s="1">
        <v>0</v>
      </c>
      <c r="E32509" s="1">
        <v>0</v>
      </c>
      <c r="F32509" s="1">
        <v>1.9897026916598501E-7</v>
      </c>
    </row>
    <row r="32510" spans="1:6" x14ac:dyDescent="0.25">
      <c r="A32510" s="2" t="str">
        <f t="shared" si="1169"/>
        <v>99999</v>
      </c>
      <c r="B32510" s="2" t="str">
        <f>"73757"</f>
        <v>73757</v>
      </c>
      <c r="C32510" s="1">
        <v>9.4950199166228093E-6</v>
      </c>
      <c r="D32510" s="1">
        <v>4.5528080202265997E-6</v>
      </c>
      <c r="E32510" s="1">
        <v>0</v>
      </c>
      <c r="F32510" s="1">
        <v>8.9536621124693292E-6</v>
      </c>
    </row>
    <row r="32511" spans="1:6" x14ac:dyDescent="0.25">
      <c r="A32511" s="2" t="str">
        <f t="shared" si="1169"/>
        <v>99999</v>
      </c>
      <c r="B32511" s="2" t="str">
        <f>"73744"</f>
        <v>73744</v>
      </c>
      <c r="C32511" s="1">
        <v>2.02996977527798E-5</v>
      </c>
      <c r="D32511" s="1">
        <v>4.5528080202265997E-6</v>
      </c>
      <c r="E32511" s="1">
        <v>4.3455399550671099E-6</v>
      </c>
      <c r="F32511" s="1">
        <v>1.89021755707686E-5</v>
      </c>
    </row>
    <row r="32512" spans="1:6" x14ac:dyDescent="0.25">
      <c r="A32512" s="2" t="str">
        <f t="shared" si="1169"/>
        <v>99999</v>
      </c>
      <c r="B32512" s="2" t="str">
        <f>"73734"</f>
        <v>73734</v>
      </c>
      <c r="C32512" s="1">
        <v>3.9508013905947698E-5</v>
      </c>
      <c r="D32512" s="1">
        <v>2.7316848121359601E-5</v>
      </c>
      <c r="E32512" s="1">
        <v>4.3455399550671099E-6</v>
      </c>
      <c r="F32512" s="1">
        <v>3.7903836276120103E-5</v>
      </c>
    </row>
    <row r="32513" spans="1:6" x14ac:dyDescent="0.25">
      <c r="A32513" s="2" t="str">
        <f t="shared" si="1169"/>
        <v>99999</v>
      </c>
      <c r="B32513" s="2" t="str">
        <f>"73569"</f>
        <v>73569</v>
      </c>
      <c r="C32513" s="1">
        <v>2.2045908312158699E-5</v>
      </c>
      <c r="D32513" s="1">
        <v>2.5799245447950699E-5</v>
      </c>
      <c r="E32513" s="1">
        <v>4.3455399550671099E-6</v>
      </c>
      <c r="F32513" s="1">
        <v>2.1886729608258301E-5</v>
      </c>
    </row>
    <row r="32514" spans="1:6" x14ac:dyDescent="0.25">
      <c r="A32514" s="2" t="str">
        <f t="shared" si="1169"/>
        <v>99999</v>
      </c>
      <c r="B32514" s="2" t="str">
        <f>"73641"</f>
        <v>73641</v>
      </c>
      <c r="C32514" s="1">
        <v>4.0817671825481903E-5</v>
      </c>
      <c r="D32514" s="1">
        <v>1.0623218713862E-5</v>
      </c>
      <c r="E32514" s="1">
        <v>4.3455399550671099E-6</v>
      </c>
      <c r="F32514" s="1">
        <v>3.8003321410703101E-5</v>
      </c>
    </row>
    <row r="32515" spans="1:6" x14ac:dyDescent="0.25">
      <c r="A32515" s="2" t="str">
        <f t="shared" si="1169"/>
        <v>99999</v>
      </c>
      <c r="B32515" s="2" t="str">
        <f>"73601"</f>
        <v>73601</v>
      </c>
      <c r="C32515" s="1">
        <v>2.8485059749868399E-5</v>
      </c>
      <c r="D32515" s="1">
        <v>2.2764040101133E-5</v>
      </c>
      <c r="E32515" s="1">
        <v>8.69107991013423E-6</v>
      </c>
      <c r="F32515" s="1">
        <v>2.76568674140719E-5</v>
      </c>
    </row>
    <row r="32516" spans="1:6" x14ac:dyDescent="0.25">
      <c r="A32516" s="2" t="str">
        <f t="shared" si="1169"/>
        <v>99999</v>
      </c>
      <c r="B32516" s="2" t="str">
        <f>"73651"</f>
        <v>73651</v>
      </c>
      <c r="C32516" s="1">
        <v>2.7611954470178901E-4</v>
      </c>
      <c r="D32516" s="1">
        <v>6.1766428807740901E-4</v>
      </c>
      <c r="E32516" s="1">
        <v>2.3031361761855699E-4</v>
      </c>
      <c r="F32516" s="1">
        <v>2.9746055240314698E-4</v>
      </c>
    </row>
    <row r="32517" spans="1:6" x14ac:dyDescent="0.25">
      <c r="A32517" s="2" t="str">
        <f t="shared" si="1169"/>
        <v>99999</v>
      </c>
      <c r="B32517" s="2" t="str">
        <f>"73638"</f>
        <v>73638</v>
      </c>
      <c r="C32517" s="1">
        <v>1.3205717355302901E-5</v>
      </c>
      <c r="D32517" s="1">
        <v>7.5880133670443404E-6</v>
      </c>
      <c r="E32517" s="1">
        <v>4.3455399550671099E-6</v>
      </c>
      <c r="F32517" s="1">
        <v>1.263461209204E-5</v>
      </c>
    </row>
    <row r="32518" spans="1:6" x14ac:dyDescent="0.25">
      <c r="A32518" s="2" t="str">
        <f t="shared" si="1169"/>
        <v>99999</v>
      </c>
      <c r="B32518" s="2" t="str">
        <f>"73632"</f>
        <v>73632</v>
      </c>
      <c r="C32518" s="1">
        <v>2.1194630664461399E-4</v>
      </c>
      <c r="D32518" s="1">
        <v>4.2492874855448297E-4</v>
      </c>
      <c r="E32518" s="1">
        <v>1.56439438382416E-4</v>
      </c>
      <c r="F32518" s="1">
        <v>2.24637433888397E-4</v>
      </c>
    </row>
    <row r="32519" spans="1:6" x14ac:dyDescent="0.25">
      <c r="A32519" s="2" t="str">
        <f t="shared" si="1169"/>
        <v>99999</v>
      </c>
      <c r="B32519" s="2" t="str">
        <f>"73660"</f>
        <v>73660</v>
      </c>
      <c r="C32519" s="1">
        <v>3.2850586148315701E-5</v>
      </c>
      <c r="D32519" s="1">
        <v>3.0352053468177301E-6</v>
      </c>
      <c r="E32519" s="1">
        <v>4.3455399550671099E-6</v>
      </c>
      <c r="F32519" s="1">
        <v>3.0243480913229702E-5</v>
      </c>
    </row>
    <row r="32520" spans="1:6" x14ac:dyDescent="0.25">
      <c r="A32520" s="2" t="str">
        <f t="shared" si="1169"/>
        <v>99999</v>
      </c>
      <c r="B32520" s="2" t="str">
        <f>"73530"</f>
        <v>73530</v>
      </c>
      <c r="C32520" s="1">
        <v>1.2114335755691101E-5</v>
      </c>
      <c r="D32520" s="1">
        <v>6.0704106936354696E-6</v>
      </c>
      <c r="E32520" s="1">
        <v>1.3036619865201299E-5</v>
      </c>
      <c r="F32520" s="1">
        <v>1.17392458807931E-5</v>
      </c>
    </row>
    <row r="32521" spans="1:6" x14ac:dyDescent="0.25">
      <c r="A32521" s="2" t="str">
        <f t="shared" si="1169"/>
        <v>99999</v>
      </c>
      <c r="B32521" s="2" t="str">
        <f>"73547"</f>
        <v>73547</v>
      </c>
      <c r="C32521" s="1">
        <v>4.3873540304395E-5</v>
      </c>
      <c r="D32521" s="1">
        <v>1.0623218713862E-5</v>
      </c>
      <c r="E32521" s="1">
        <v>2.1727699775335501E-5</v>
      </c>
      <c r="F32521" s="1">
        <v>4.1186845717358898E-5</v>
      </c>
    </row>
    <row r="32522" spans="1:6" x14ac:dyDescent="0.25">
      <c r="A32522" s="2" t="str">
        <f t="shared" si="1169"/>
        <v>99999</v>
      </c>
      <c r="B32522" s="2" t="str">
        <f>"73546"</f>
        <v>73546</v>
      </c>
      <c r="C32522" s="1">
        <v>7.4432225093525899E-5</v>
      </c>
      <c r="D32522" s="1">
        <v>5.9186504262945899E-5</v>
      </c>
      <c r="E32522" s="1">
        <v>4.3455399550671099E-6</v>
      </c>
      <c r="F32522" s="1">
        <v>7.1828267168920604E-5</v>
      </c>
    </row>
    <row r="32523" spans="1:6" x14ac:dyDescent="0.25">
      <c r="A32523" s="2" t="str">
        <f t="shared" si="1169"/>
        <v>99999</v>
      </c>
      <c r="B32523" s="2" t="str">
        <f>"73079"</f>
        <v>73079</v>
      </c>
      <c r="C32523" s="1">
        <v>4.3655263984472602E-7</v>
      </c>
      <c r="D32523" s="1">
        <v>0</v>
      </c>
      <c r="E32523" s="1">
        <v>0</v>
      </c>
      <c r="F32523" s="1">
        <v>3.9794053833197002E-7</v>
      </c>
    </row>
    <row r="32524" spans="1:6" x14ac:dyDescent="0.25">
      <c r="A32524" s="2" t="str">
        <f t="shared" si="1169"/>
        <v>99999</v>
      </c>
      <c r="B32524" s="2" t="str">
        <f>"73074"</f>
        <v>73074</v>
      </c>
      <c r="C32524" s="1">
        <v>3.1322651908859099E-5</v>
      </c>
      <c r="D32524" s="1">
        <v>3.0352053468177301E-6</v>
      </c>
      <c r="E32524" s="1">
        <v>4.3455399550671099E-6</v>
      </c>
      <c r="F32524" s="1">
        <v>2.88506890290678E-5</v>
      </c>
    </row>
    <row r="32525" spans="1:6" x14ac:dyDescent="0.25">
      <c r="A32525" s="2" t="str">
        <f t="shared" si="1169"/>
        <v>99999</v>
      </c>
      <c r="B32525" s="2" t="str">
        <f>"73059"</f>
        <v>73059</v>
      </c>
      <c r="C32525" s="1">
        <v>2.9358165029557801E-5</v>
      </c>
      <c r="D32525" s="1">
        <v>1.0623218713862E-5</v>
      </c>
      <c r="E32525" s="1">
        <v>0</v>
      </c>
      <c r="F32525" s="1">
        <v>2.7457897144905899E-5</v>
      </c>
    </row>
    <row r="32526" spans="1:6" x14ac:dyDescent="0.25">
      <c r="A32526" s="2" t="str">
        <f t="shared" si="1169"/>
        <v>99999</v>
      </c>
      <c r="B32526" s="2" t="str">
        <f>"73052"</f>
        <v>73052</v>
      </c>
      <c r="C32526" s="1">
        <v>2.4839845207164898E-4</v>
      </c>
      <c r="D32526" s="1">
        <v>5.12949703612197E-4</v>
      </c>
      <c r="E32526" s="1">
        <v>9.1256339056409395E-5</v>
      </c>
      <c r="F32526" s="1">
        <v>2.6214332962618502E-4</v>
      </c>
    </row>
    <row r="32527" spans="1:6" x14ac:dyDescent="0.25">
      <c r="A32527" s="2" t="str">
        <f t="shared" si="1169"/>
        <v>99999</v>
      </c>
      <c r="B32527" s="2" t="str">
        <f>"73028"</f>
        <v>73028</v>
      </c>
      <c r="C32527" s="1">
        <v>3.27414479883545E-6</v>
      </c>
      <c r="D32527" s="1">
        <v>1.51760267340886E-6</v>
      </c>
      <c r="E32527" s="1">
        <v>0</v>
      </c>
      <c r="F32527" s="1">
        <v>3.0840391720727701E-6</v>
      </c>
    </row>
    <row r="32528" spans="1:6" x14ac:dyDescent="0.25">
      <c r="A32528" s="2" t="str">
        <f t="shared" si="1169"/>
        <v>99999</v>
      </c>
      <c r="B32528" s="2" t="str">
        <f>"73033"</f>
        <v>73033</v>
      </c>
      <c r="C32528" s="1">
        <v>1.09138159961181E-7</v>
      </c>
      <c r="D32528" s="1">
        <v>0</v>
      </c>
      <c r="E32528" s="1">
        <v>4.3455399550671099E-6</v>
      </c>
      <c r="F32528" s="1">
        <v>1.9897026916598501E-7</v>
      </c>
    </row>
    <row r="32529" spans="1:6" x14ac:dyDescent="0.25">
      <c r="A32529" s="2" t="str">
        <f t="shared" si="1169"/>
        <v>99999</v>
      </c>
      <c r="B32529" s="2" t="str">
        <f>"73015"</f>
        <v>73015</v>
      </c>
      <c r="C32529" s="1">
        <v>1.10447817880715E-4</v>
      </c>
      <c r="D32529" s="1">
        <v>5.4633696242719298E-5</v>
      </c>
      <c r="E32529" s="1">
        <v>3.47643196405369E-5</v>
      </c>
      <c r="F32529" s="1">
        <v>1.0505630211964001E-4</v>
      </c>
    </row>
    <row r="32530" spans="1:6" x14ac:dyDescent="0.25">
      <c r="A32530" s="2" t="str">
        <f t="shared" ref="A32530:A32593" si="1170">"99999"</f>
        <v>99999</v>
      </c>
      <c r="B32530" s="2" t="str">
        <f>"72854"</f>
        <v>72854</v>
      </c>
      <c r="C32530" s="1">
        <v>6.5810310456592504E-5</v>
      </c>
      <c r="D32530" s="1">
        <v>9.1056160404532095E-6</v>
      </c>
      <c r="E32530" s="1">
        <v>4.3455399550671099E-6</v>
      </c>
      <c r="F32530" s="1">
        <v>6.0685932095625502E-5</v>
      </c>
    </row>
    <row r="32531" spans="1:6" x14ac:dyDescent="0.25">
      <c r="A32531" s="2" t="str">
        <f t="shared" si="1170"/>
        <v>99999</v>
      </c>
      <c r="B32531" s="2" t="str">
        <f>"72851"</f>
        <v>72851</v>
      </c>
      <c r="C32531" s="1">
        <v>4.2345606064938499E-5</v>
      </c>
      <c r="D32531" s="1">
        <v>7.5880133670443404E-6</v>
      </c>
      <c r="E32531" s="1">
        <v>4.3455399550671099E-6</v>
      </c>
      <c r="F32531" s="1">
        <v>3.9197143025699002E-5</v>
      </c>
    </row>
    <row r="32532" spans="1:6" x14ac:dyDescent="0.25">
      <c r="A32532" s="2" t="str">
        <f t="shared" si="1170"/>
        <v>99999</v>
      </c>
      <c r="B32532" s="2" t="str">
        <f>"72662"</f>
        <v>72662</v>
      </c>
      <c r="C32532" s="1">
        <v>2.4010395191459898E-6</v>
      </c>
      <c r="D32532" s="1">
        <v>0</v>
      </c>
      <c r="E32532" s="1">
        <v>0</v>
      </c>
      <c r="F32532" s="1">
        <v>2.1886729608258301E-6</v>
      </c>
    </row>
    <row r="32533" spans="1:6" x14ac:dyDescent="0.25">
      <c r="A32533" s="2" t="str">
        <f t="shared" si="1170"/>
        <v>99999</v>
      </c>
      <c r="B32533" s="2" t="str">
        <f>"72669"</f>
        <v>72669</v>
      </c>
      <c r="C32533" s="1">
        <v>0</v>
      </c>
      <c r="D32533" s="1">
        <v>0</v>
      </c>
      <c r="E32533" s="1">
        <v>4.3455399550671099E-6</v>
      </c>
      <c r="F32533" s="1">
        <v>9.9485134582992598E-8</v>
      </c>
    </row>
    <row r="32534" spans="1:6" x14ac:dyDescent="0.25">
      <c r="A32534" s="2" t="str">
        <f t="shared" si="1170"/>
        <v>99999</v>
      </c>
      <c r="B32534" s="2" t="str">
        <f>"72660"</f>
        <v>72660</v>
      </c>
      <c r="C32534" s="1">
        <v>2.5320053110994099E-5</v>
      </c>
      <c r="D32534" s="1">
        <v>2.4281642774541899E-5</v>
      </c>
      <c r="E32534" s="1">
        <v>4.3455399550671099E-6</v>
      </c>
      <c r="F32534" s="1">
        <v>2.4771798511165099E-5</v>
      </c>
    </row>
    <row r="32535" spans="1:6" x14ac:dyDescent="0.25">
      <c r="A32535" s="2" t="str">
        <f t="shared" si="1170"/>
        <v>99999</v>
      </c>
      <c r="B32535" s="2" t="str">
        <f>"72682"</f>
        <v>72682</v>
      </c>
      <c r="C32535" s="1">
        <v>1.8662625353362001E-5</v>
      </c>
      <c r="D32535" s="1">
        <v>1.51760267340886E-6</v>
      </c>
      <c r="E32535" s="1">
        <v>0</v>
      </c>
      <c r="F32535" s="1">
        <v>1.7111443148274701E-5</v>
      </c>
    </row>
    <row r="32536" spans="1:6" x14ac:dyDescent="0.25">
      <c r="A32536" s="2" t="str">
        <f t="shared" si="1170"/>
        <v>99999</v>
      </c>
      <c r="B32536" s="2" t="str">
        <f>"72639"</f>
        <v>72639</v>
      </c>
      <c r="C32536" s="1">
        <v>5.2277178621405997E-5</v>
      </c>
      <c r="D32536" s="1">
        <v>1.5176026734088599E-5</v>
      </c>
      <c r="E32536" s="1">
        <v>4.3455399550671099E-6</v>
      </c>
      <c r="F32536" s="1">
        <v>4.8747715945666297E-5</v>
      </c>
    </row>
    <row r="32537" spans="1:6" x14ac:dyDescent="0.25">
      <c r="A32537" s="2" t="str">
        <f t="shared" si="1170"/>
        <v>99999</v>
      </c>
      <c r="B32537" s="2" t="str">
        <f>"72636"</f>
        <v>72636</v>
      </c>
      <c r="C32537" s="1">
        <v>0</v>
      </c>
      <c r="D32537" s="1">
        <v>0</v>
      </c>
      <c r="E32537" s="1">
        <v>4.3455399550671099E-6</v>
      </c>
      <c r="F32537" s="1">
        <v>9.9485134582992598E-8</v>
      </c>
    </row>
    <row r="32538" spans="1:6" x14ac:dyDescent="0.25">
      <c r="A32538" s="2" t="str">
        <f t="shared" si="1170"/>
        <v>99999</v>
      </c>
      <c r="B32538" s="2" t="str">
        <f>"72387"</f>
        <v>72387</v>
      </c>
      <c r="C32538" s="1">
        <v>0</v>
      </c>
      <c r="D32538" s="1">
        <v>0</v>
      </c>
      <c r="E32538" s="1">
        <v>4.3455399550671099E-6</v>
      </c>
      <c r="F32538" s="1">
        <v>9.9485134582992598E-8</v>
      </c>
    </row>
    <row r="32539" spans="1:6" x14ac:dyDescent="0.25">
      <c r="A32539" s="2" t="str">
        <f t="shared" si="1170"/>
        <v>99999</v>
      </c>
      <c r="B32539" s="2" t="str">
        <f>"72624"</f>
        <v>72624</v>
      </c>
      <c r="C32539" s="1">
        <v>6.2208751177873496E-6</v>
      </c>
      <c r="D32539" s="1">
        <v>0</v>
      </c>
      <c r="E32539" s="1">
        <v>4.3455399550671099E-6</v>
      </c>
      <c r="F32539" s="1">
        <v>5.7701378058135699E-6</v>
      </c>
    </row>
    <row r="32540" spans="1:6" x14ac:dyDescent="0.25">
      <c r="A32540" s="2" t="str">
        <f t="shared" si="1170"/>
        <v>99999</v>
      </c>
      <c r="B32540" s="2" t="str">
        <f>"72616"</f>
        <v>72616</v>
      </c>
      <c r="C32540" s="1">
        <v>5.2790127973223596E-4</v>
      </c>
      <c r="D32540" s="1">
        <v>8.0888222492692704E-4</v>
      </c>
      <c r="E32540" s="1">
        <v>4.3889953546177803E-4</v>
      </c>
      <c r="F32540" s="1">
        <v>5.4428317130355197E-4</v>
      </c>
    </row>
    <row r="32541" spans="1:6" x14ac:dyDescent="0.25">
      <c r="A32541" s="2" t="str">
        <f t="shared" si="1170"/>
        <v>99999</v>
      </c>
      <c r="B32541" s="2" t="str">
        <f>"72464"</f>
        <v>72464</v>
      </c>
      <c r="C32541" s="1">
        <v>0</v>
      </c>
      <c r="D32541" s="1">
        <v>0</v>
      </c>
      <c r="E32541" s="1">
        <v>4.3455399550671099E-6</v>
      </c>
      <c r="F32541" s="1">
        <v>9.9485134582992598E-8</v>
      </c>
    </row>
    <row r="32542" spans="1:6" x14ac:dyDescent="0.25">
      <c r="A32542" s="2" t="str">
        <f t="shared" si="1170"/>
        <v>99999</v>
      </c>
      <c r="B32542" s="2" t="str">
        <f>"72469"</f>
        <v>72469</v>
      </c>
      <c r="C32542" s="1">
        <v>5.3041145741134299E-5</v>
      </c>
      <c r="D32542" s="1">
        <v>1.5176026734088599E-5</v>
      </c>
      <c r="E32542" s="1">
        <v>8.69107991013423E-6</v>
      </c>
      <c r="F32542" s="1">
        <v>4.9543597022330299E-5</v>
      </c>
    </row>
    <row r="32543" spans="1:6" x14ac:dyDescent="0.25">
      <c r="A32543" s="2" t="str">
        <f t="shared" si="1170"/>
        <v>99999</v>
      </c>
      <c r="B32543" s="2" t="str">
        <f>"72539"</f>
        <v>72539</v>
      </c>
      <c r="C32543" s="1">
        <v>1.93174543131291E-5</v>
      </c>
      <c r="D32543" s="1">
        <v>6.0704106936354696E-6</v>
      </c>
      <c r="E32543" s="1">
        <v>4.3455399550671099E-6</v>
      </c>
      <c r="F32543" s="1">
        <v>1.8106294494104601E-5</v>
      </c>
    </row>
    <row r="32544" spans="1:6" x14ac:dyDescent="0.25">
      <c r="A32544" s="2" t="str">
        <f t="shared" si="1170"/>
        <v>99999</v>
      </c>
      <c r="B32544" s="2" t="str">
        <f>"72517"</f>
        <v>72517</v>
      </c>
      <c r="C32544" s="1">
        <v>3.4051105907888697E-5</v>
      </c>
      <c r="D32544" s="1">
        <v>3.0352053468177301E-5</v>
      </c>
      <c r="E32544" s="1">
        <v>8.69107991013423E-6</v>
      </c>
      <c r="F32544" s="1">
        <v>3.3228034950719498E-5</v>
      </c>
    </row>
    <row r="32545" spans="1:6" x14ac:dyDescent="0.25">
      <c r="A32545" s="2" t="str">
        <f t="shared" si="1170"/>
        <v>99999</v>
      </c>
      <c r="B32545" s="2" t="str">
        <f>"72554"</f>
        <v>72554</v>
      </c>
      <c r="C32545" s="1">
        <v>2.40758780874366E-4</v>
      </c>
      <c r="D32545" s="1">
        <v>1.09267392485438E-4</v>
      </c>
      <c r="E32545" s="1">
        <v>6.0837559370939603E-5</v>
      </c>
      <c r="F32545" s="1">
        <v>2.2801992846421899E-4</v>
      </c>
    </row>
    <row r="32546" spans="1:6" x14ac:dyDescent="0.25">
      <c r="A32546" s="2" t="str">
        <f t="shared" si="1170"/>
        <v>99999</v>
      </c>
      <c r="B32546" s="2" t="str">
        <f>"72320"</f>
        <v>72320</v>
      </c>
      <c r="C32546" s="1">
        <v>8.7310527968945299E-6</v>
      </c>
      <c r="D32546" s="1">
        <v>6.0704106936354696E-6</v>
      </c>
      <c r="E32546" s="1">
        <v>4.3455399550671099E-6</v>
      </c>
      <c r="F32546" s="1">
        <v>8.4562364395543705E-6</v>
      </c>
    </row>
    <row r="32547" spans="1:6" x14ac:dyDescent="0.25">
      <c r="A32547" s="2" t="str">
        <f t="shared" si="1170"/>
        <v>99999</v>
      </c>
      <c r="B32547" s="2" t="str">
        <f>"72454"</f>
        <v>72454</v>
      </c>
      <c r="C32547" s="1">
        <v>2.9249026869596702E-4</v>
      </c>
      <c r="D32547" s="1">
        <v>4.0823511914698499E-4</v>
      </c>
      <c r="E32547" s="1">
        <v>8.69107991013423E-5</v>
      </c>
      <c r="F32547" s="1">
        <v>2.9537136457690502E-4</v>
      </c>
    </row>
    <row r="32548" spans="1:6" x14ac:dyDescent="0.25">
      <c r="A32548" s="2" t="str">
        <f t="shared" si="1170"/>
        <v>99999</v>
      </c>
      <c r="B32548" s="2" t="str">
        <f>"72436"</f>
        <v>72436</v>
      </c>
      <c r="C32548" s="1">
        <v>7.5305330373215401E-6</v>
      </c>
      <c r="D32548" s="1">
        <v>0</v>
      </c>
      <c r="E32548" s="1">
        <v>0</v>
      </c>
      <c r="F32548" s="1">
        <v>6.86447428622649E-6</v>
      </c>
    </row>
    <row r="32549" spans="1:6" x14ac:dyDescent="0.25">
      <c r="A32549" s="2" t="str">
        <f t="shared" si="1170"/>
        <v>99999</v>
      </c>
      <c r="B32549" s="2" t="str">
        <f>"72080"</f>
        <v>72080</v>
      </c>
      <c r="C32549" s="1">
        <v>3.8089217826452399E-5</v>
      </c>
      <c r="D32549" s="1">
        <v>7.5880133670443404E-6</v>
      </c>
      <c r="E32549" s="1">
        <v>4.3455399550671099E-6</v>
      </c>
      <c r="F32549" s="1">
        <v>3.5317222776962297E-5</v>
      </c>
    </row>
    <row r="32550" spans="1:6" x14ac:dyDescent="0.25">
      <c r="A32550" s="2" t="str">
        <f t="shared" si="1170"/>
        <v>99999</v>
      </c>
      <c r="B32550" s="2" t="str">
        <f>"72101"</f>
        <v>72101</v>
      </c>
      <c r="C32550" s="1">
        <v>1.6359810178181099E-4</v>
      </c>
      <c r="D32550" s="1">
        <v>1.01679379118394E-4</v>
      </c>
      <c r="E32550" s="1">
        <v>1.12984038831745E-4</v>
      </c>
      <c r="F32550" s="1">
        <v>1.5838033425612401E-4</v>
      </c>
    </row>
    <row r="32551" spans="1:6" x14ac:dyDescent="0.25">
      <c r="A32551" s="2" t="str">
        <f t="shared" si="1170"/>
        <v>99999</v>
      </c>
      <c r="B32551" s="2" t="str">
        <f>"72088"</f>
        <v>72088</v>
      </c>
      <c r="C32551" s="1">
        <v>1.9175574705179599E-4</v>
      </c>
      <c r="D32551" s="1">
        <v>6.9809722976807906E-5</v>
      </c>
      <c r="E32551" s="1">
        <v>6.5183099326006705E-5</v>
      </c>
      <c r="F32551" s="1">
        <v>1.8086397467188001E-4</v>
      </c>
    </row>
    <row r="32552" spans="1:6" x14ac:dyDescent="0.25">
      <c r="A32552" s="2" t="str">
        <f t="shared" si="1170"/>
        <v>99999</v>
      </c>
      <c r="B32552" s="2" t="str">
        <f>"72059"</f>
        <v>72059</v>
      </c>
      <c r="C32552" s="1">
        <v>0</v>
      </c>
      <c r="D32552" s="1">
        <v>0</v>
      </c>
      <c r="E32552" s="1">
        <v>4.3455399550671099E-6</v>
      </c>
      <c r="F32552" s="1">
        <v>9.9485134582992598E-8</v>
      </c>
    </row>
    <row r="32553" spans="1:6" x14ac:dyDescent="0.25">
      <c r="A32553" s="2" t="str">
        <f t="shared" si="1170"/>
        <v>99999</v>
      </c>
      <c r="B32553" s="2" t="str">
        <f>"72042"</f>
        <v>72042</v>
      </c>
      <c r="C32553" s="1">
        <v>2.97728900374103E-4</v>
      </c>
      <c r="D32553" s="1">
        <v>4.4465758330879801E-4</v>
      </c>
      <c r="E32553" s="1">
        <v>1.08638498876677E-4</v>
      </c>
      <c r="F32553" s="1">
        <v>3.03031719939795E-4</v>
      </c>
    </row>
    <row r="32554" spans="1:6" x14ac:dyDescent="0.25">
      <c r="A32554" s="2" t="str">
        <f t="shared" si="1170"/>
        <v>99999</v>
      </c>
      <c r="B32554" s="2" t="str">
        <f>"72140"</f>
        <v>72140</v>
      </c>
      <c r="C32554" s="1">
        <v>3.8198355986413598E-6</v>
      </c>
      <c r="D32554" s="1">
        <v>3.0352053468177301E-6</v>
      </c>
      <c r="E32554" s="1">
        <v>4.3455399550671099E-6</v>
      </c>
      <c r="F32554" s="1">
        <v>3.7804351141537199E-6</v>
      </c>
    </row>
    <row r="32555" spans="1:6" x14ac:dyDescent="0.25">
      <c r="A32555" s="2" t="str">
        <f t="shared" si="1170"/>
        <v>99999</v>
      </c>
      <c r="B32555" s="2" t="str">
        <f>"72141"</f>
        <v>72141</v>
      </c>
      <c r="C32555" s="1">
        <v>3.52516256674617E-5</v>
      </c>
      <c r="D32555" s="1">
        <v>9.1056160404532095E-6</v>
      </c>
      <c r="E32555" s="1">
        <v>4.3455399550671099E-6</v>
      </c>
      <c r="F32555" s="1">
        <v>3.2830094412387497E-5</v>
      </c>
    </row>
    <row r="32556" spans="1:6" x14ac:dyDescent="0.25">
      <c r="A32556" s="2" t="str">
        <f t="shared" si="1170"/>
        <v>99999</v>
      </c>
      <c r="B32556" s="2" t="str">
        <f>"72131"</f>
        <v>72131</v>
      </c>
      <c r="C32556" s="1">
        <v>2.1980425416181999E-4</v>
      </c>
      <c r="D32556" s="1">
        <v>9.7126571098167595E-5</v>
      </c>
      <c r="E32556" s="1">
        <v>2.1727699775335501E-5</v>
      </c>
      <c r="F32556" s="1">
        <v>2.0722753533637301E-4</v>
      </c>
    </row>
    <row r="32557" spans="1:6" x14ac:dyDescent="0.25">
      <c r="A32557" s="2" t="str">
        <f t="shared" si="1170"/>
        <v>99999</v>
      </c>
      <c r="B32557" s="2" t="str">
        <f>"72027"</f>
        <v>72027</v>
      </c>
      <c r="C32557" s="1">
        <v>8.3927245010148696E-5</v>
      </c>
      <c r="D32557" s="1">
        <v>2.2764040101133E-5</v>
      </c>
      <c r="E32557" s="1">
        <v>4.3455399550671099E-6</v>
      </c>
      <c r="F32557" s="1">
        <v>7.8095830647649205E-5</v>
      </c>
    </row>
    <row r="32558" spans="1:6" x14ac:dyDescent="0.25">
      <c r="A32558" s="2" t="str">
        <f t="shared" si="1170"/>
        <v>99999</v>
      </c>
      <c r="B32558" s="2" t="str">
        <f>"72024"</f>
        <v>72024</v>
      </c>
      <c r="C32558" s="1">
        <v>8.7310527968945299E-6</v>
      </c>
      <c r="D32558" s="1">
        <v>3.0352053468177301E-6</v>
      </c>
      <c r="E32558" s="1">
        <v>0</v>
      </c>
      <c r="F32558" s="1">
        <v>8.1577810358053902E-6</v>
      </c>
    </row>
    <row r="32559" spans="1:6" x14ac:dyDescent="0.25">
      <c r="A32559" s="2" t="str">
        <f t="shared" si="1170"/>
        <v>99999</v>
      </c>
      <c r="B32559" s="2" t="str">
        <f>"71763"</f>
        <v>71763</v>
      </c>
      <c r="C32559" s="1">
        <v>9.3313126766810298E-5</v>
      </c>
      <c r="D32559" s="1">
        <v>4.7045682875674899E-5</v>
      </c>
      <c r="E32559" s="1">
        <v>4.3455399550671099E-6</v>
      </c>
      <c r="F32559" s="1">
        <v>8.8243314375114403E-5</v>
      </c>
    </row>
    <row r="32560" spans="1:6" x14ac:dyDescent="0.25">
      <c r="A32560" s="2" t="str">
        <f t="shared" si="1170"/>
        <v>99999</v>
      </c>
      <c r="B32560" s="2" t="str">
        <f>"71661"</f>
        <v>71661</v>
      </c>
      <c r="C32560" s="1">
        <v>5.2386316781367196E-6</v>
      </c>
      <c r="D32560" s="1">
        <v>9.1056160404532095E-6</v>
      </c>
      <c r="E32560" s="1">
        <v>5.21464794608054E-5</v>
      </c>
      <c r="F32560" s="1">
        <v>6.5660188824775097E-6</v>
      </c>
    </row>
    <row r="32561" spans="1:6" x14ac:dyDescent="0.25">
      <c r="A32561" s="2" t="str">
        <f t="shared" si="1170"/>
        <v>99999</v>
      </c>
      <c r="B32561" s="2" t="str">
        <f>"71949"</f>
        <v>71949</v>
      </c>
      <c r="C32561" s="1">
        <v>6.5482895976708995E-7</v>
      </c>
      <c r="D32561" s="1">
        <v>0</v>
      </c>
      <c r="E32561" s="1">
        <v>0</v>
      </c>
      <c r="F32561" s="1">
        <v>5.9691080749795498E-7</v>
      </c>
    </row>
    <row r="32562" spans="1:6" x14ac:dyDescent="0.25">
      <c r="A32562" s="2" t="str">
        <f t="shared" si="1170"/>
        <v>99999</v>
      </c>
      <c r="B32562" s="2" t="str">
        <f>"72006"</f>
        <v>72006</v>
      </c>
      <c r="C32562" s="1">
        <v>1.7243829273866701E-4</v>
      </c>
      <c r="D32562" s="1">
        <v>2.7013327586677803E-4</v>
      </c>
      <c r="E32562" s="1">
        <v>9.1256339056409395E-5</v>
      </c>
      <c r="F32562" s="1">
        <v>1.7698405442314301E-4</v>
      </c>
    </row>
    <row r="32563" spans="1:6" x14ac:dyDescent="0.25">
      <c r="A32563" s="2" t="str">
        <f t="shared" si="1170"/>
        <v>99999</v>
      </c>
      <c r="B32563" s="2" t="str">
        <f>"71860"</f>
        <v>71860</v>
      </c>
      <c r="C32563" s="1">
        <v>1.6698138474060799E-4</v>
      </c>
      <c r="D32563" s="1">
        <v>2.06393963583606E-4</v>
      </c>
      <c r="E32563" s="1">
        <v>2.2162253770842199E-4</v>
      </c>
      <c r="F32563" s="1">
        <v>1.7081597607899801E-4</v>
      </c>
    </row>
    <row r="32564" spans="1:6" x14ac:dyDescent="0.25">
      <c r="A32564" s="2" t="str">
        <f t="shared" si="1170"/>
        <v>99999</v>
      </c>
      <c r="B32564" s="2" t="str">
        <f>"71933"</f>
        <v>71933</v>
      </c>
      <c r="C32564" s="1">
        <v>1.27691647154582E-5</v>
      </c>
      <c r="D32564" s="1">
        <v>1.51760267340886E-6</v>
      </c>
      <c r="E32564" s="1">
        <v>0</v>
      </c>
      <c r="F32564" s="1">
        <v>1.17392458807931E-5</v>
      </c>
    </row>
    <row r="32565" spans="1:6" x14ac:dyDescent="0.25">
      <c r="A32565" s="2" t="str">
        <f t="shared" si="1170"/>
        <v>99999</v>
      </c>
      <c r="B32565" s="2" t="str">
        <f>"71937"</f>
        <v>71937</v>
      </c>
      <c r="C32565" s="1">
        <v>1.11320923160405E-4</v>
      </c>
      <c r="D32565" s="1">
        <v>3.1869656141586203E-5</v>
      </c>
      <c r="E32565" s="1">
        <v>4.3455399550671099E-6</v>
      </c>
      <c r="F32565" s="1">
        <v>1.03663510235478E-4</v>
      </c>
    </row>
    <row r="32566" spans="1:6" x14ac:dyDescent="0.25">
      <c r="A32566" s="2" t="str">
        <f t="shared" si="1170"/>
        <v>99999</v>
      </c>
      <c r="B32566" s="2" t="str">
        <f>"71630"</f>
        <v>71630</v>
      </c>
      <c r="C32566" s="1">
        <v>0</v>
      </c>
      <c r="D32566" s="1">
        <v>0</v>
      </c>
      <c r="E32566" s="1">
        <v>4.3455399550671099E-6</v>
      </c>
      <c r="F32566" s="1">
        <v>9.9485134582992598E-8</v>
      </c>
    </row>
    <row r="32567" spans="1:6" x14ac:dyDescent="0.25">
      <c r="A32567" s="2" t="str">
        <f t="shared" si="1170"/>
        <v>99999</v>
      </c>
      <c r="B32567" s="2" t="str">
        <f>"71654"</f>
        <v>71654</v>
      </c>
      <c r="C32567" s="1">
        <v>2.6051278782734E-4</v>
      </c>
      <c r="D32567" s="1">
        <v>4.1582313251402997E-4</v>
      </c>
      <c r="E32567" s="1">
        <v>2.5204131739389198E-4</v>
      </c>
      <c r="F32567" s="1">
        <v>2.70500080931156E-4</v>
      </c>
    </row>
    <row r="32568" spans="1:6" x14ac:dyDescent="0.25">
      <c r="A32568" s="2" t="str">
        <f t="shared" si="1170"/>
        <v>99999</v>
      </c>
      <c r="B32568" s="2" t="str">
        <f>"71465"</f>
        <v>71465</v>
      </c>
      <c r="C32568" s="1">
        <v>1.3675011443135999E-4</v>
      </c>
      <c r="D32568" s="1">
        <v>5.6151298916128101E-5</v>
      </c>
      <c r="E32568" s="1">
        <v>3.0418779685469802E-5</v>
      </c>
      <c r="F32568" s="1">
        <v>1.2903221955414099E-4</v>
      </c>
    </row>
    <row r="32569" spans="1:6" x14ac:dyDescent="0.25">
      <c r="A32569" s="2" t="str">
        <f t="shared" si="1170"/>
        <v>99999</v>
      </c>
      <c r="B32569" s="2" t="str">
        <f>"71247"</f>
        <v>71247</v>
      </c>
      <c r="C32569" s="1">
        <v>1.09138159961181E-7</v>
      </c>
      <c r="D32569" s="1">
        <v>1.51760267340886E-6</v>
      </c>
      <c r="E32569" s="1">
        <v>4.3455399550671099E-6</v>
      </c>
      <c r="F32569" s="1">
        <v>2.9845540374897701E-7</v>
      </c>
    </row>
    <row r="32570" spans="1:6" x14ac:dyDescent="0.25">
      <c r="A32570" s="2" t="str">
        <f t="shared" si="1170"/>
        <v>99999</v>
      </c>
      <c r="B32570" s="2" t="str">
        <f>"71259"</f>
        <v>71259</v>
      </c>
      <c r="C32570" s="1">
        <v>8.2617587090614498E-5</v>
      </c>
      <c r="D32570" s="1">
        <v>9.1056160404532095E-5</v>
      </c>
      <c r="E32570" s="1">
        <v>3.9109859595604001E-5</v>
      </c>
      <c r="F32570" s="1">
        <v>8.2174721165551894E-5</v>
      </c>
    </row>
    <row r="32571" spans="1:6" x14ac:dyDescent="0.25">
      <c r="A32571" s="2" t="str">
        <f t="shared" si="1170"/>
        <v>99999</v>
      </c>
      <c r="B32571" s="2" t="str">
        <f>"71251"</f>
        <v>71251</v>
      </c>
      <c r="C32571" s="1">
        <v>4.3491556744530902E-4</v>
      </c>
      <c r="D32571" s="1">
        <v>5.6606579718150802E-4</v>
      </c>
      <c r="E32571" s="1">
        <v>1.6078497833748299E-4</v>
      </c>
      <c r="F32571" s="1">
        <v>4.3723716649225199E-4</v>
      </c>
    </row>
    <row r="32572" spans="1:6" x14ac:dyDescent="0.25">
      <c r="A32572" s="2" t="str">
        <f t="shared" si="1170"/>
        <v>99999</v>
      </c>
      <c r="B32572" s="2" t="str">
        <f>"71449"</f>
        <v>71449</v>
      </c>
      <c r="C32572" s="1">
        <v>6.0637161674432496E-4</v>
      </c>
      <c r="D32572" s="1">
        <v>8.4833989443555799E-4</v>
      </c>
      <c r="E32572" s="1">
        <v>2.0858591784322101E-4</v>
      </c>
      <c r="F32572" s="1">
        <v>6.1312688443498301E-4</v>
      </c>
    </row>
    <row r="32573" spans="1:6" x14ac:dyDescent="0.25">
      <c r="A32573" s="2" t="str">
        <f t="shared" si="1170"/>
        <v>99999</v>
      </c>
      <c r="B32573" s="2" t="str">
        <f>"71410"</f>
        <v>71410</v>
      </c>
      <c r="C32573" s="1">
        <v>0</v>
      </c>
      <c r="D32573" s="1">
        <v>0</v>
      </c>
      <c r="E32573" s="1">
        <v>4.3455399550671099E-6</v>
      </c>
      <c r="F32573" s="1">
        <v>9.9485134582992598E-8</v>
      </c>
    </row>
    <row r="32574" spans="1:6" x14ac:dyDescent="0.25">
      <c r="A32574" s="2" t="str">
        <f t="shared" si="1170"/>
        <v>99999</v>
      </c>
      <c r="B32574" s="2" t="str">
        <f>"71371"</f>
        <v>71371</v>
      </c>
      <c r="C32574" s="1">
        <v>9.3749679406655094E-5</v>
      </c>
      <c r="D32574" s="1">
        <v>4.0975272182039399E-5</v>
      </c>
      <c r="E32574" s="1">
        <v>1.7382159820268399E-5</v>
      </c>
      <c r="F32574" s="1">
        <v>8.8541769778863405E-5</v>
      </c>
    </row>
    <row r="32575" spans="1:6" x14ac:dyDescent="0.25">
      <c r="A32575" s="2" t="str">
        <f t="shared" si="1170"/>
        <v>99999</v>
      </c>
      <c r="B32575" s="2" t="str">
        <f>"71115"</f>
        <v>71115</v>
      </c>
      <c r="C32575" s="1">
        <v>8.5127764769721692E-6</v>
      </c>
      <c r="D32575" s="1">
        <v>1.8211232080906399E-5</v>
      </c>
      <c r="E32575" s="1">
        <v>0</v>
      </c>
      <c r="F32575" s="1">
        <v>8.9536621124693292E-6</v>
      </c>
    </row>
    <row r="32576" spans="1:6" x14ac:dyDescent="0.25">
      <c r="A32576" s="2" t="str">
        <f t="shared" si="1170"/>
        <v>99999</v>
      </c>
      <c r="B32576" s="2" t="str">
        <f>"71003"</f>
        <v>71003</v>
      </c>
      <c r="C32576" s="1">
        <v>4.8784757502648199E-5</v>
      </c>
      <c r="D32576" s="1">
        <v>1.66936294074975E-5</v>
      </c>
      <c r="E32576" s="1">
        <v>4.3455399550671099E-6</v>
      </c>
      <c r="F32576" s="1">
        <v>4.5663676773593601E-5</v>
      </c>
    </row>
    <row r="32577" spans="1:6" x14ac:dyDescent="0.25">
      <c r="A32577" s="2" t="str">
        <f t="shared" si="1170"/>
        <v>99999</v>
      </c>
      <c r="B32577" s="2" t="str">
        <f>"70570"</f>
        <v>70570</v>
      </c>
      <c r="C32577" s="1">
        <v>7.63967119728272E-7</v>
      </c>
      <c r="D32577" s="1">
        <v>0</v>
      </c>
      <c r="E32577" s="1">
        <v>0</v>
      </c>
      <c r="F32577" s="1">
        <v>6.9639594208094799E-7</v>
      </c>
    </row>
    <row r="32578" spans="1:6" x14ac:dyDescent="0.25">
      <c r="A32578" s="2" t="str">
        <f t="shared" si="1170"/>
        <v>99999</v>
      </c>
      <c r="B32578" s="2" t="str">
        <f>"70637"</f>
        <v>70637</v>
      </c>
      <c r="C32578" s="1">
        <v>1.7462105593788999E-5</v>
      </c>
      <c r="D32578" s="1">
        <v>0</v>
      </c>
      <c r="E32578" s="1">
        <v>0</v>
      </c>
      <c r="F32578" s="1">
        <v>1.59176215332788E-5</v>
      </c>
    </row>
    <row r="32579" spans="1:6" x14ac:dyDescent="0.25">
      <c r="A32579" s="2" t="str">
        <f t="shared" si="1170"/>
        <v>99999</v>
      </c>
      <c r="B32579" s="2" t="str">
        <f>"59710"</f>
        <v>59710</v>
      </c>
      <c r="C32579" s="1">
        <v>3.2741447988354498E-7</v>
      </c>
      <c r="D32579" s="1">
        <v>0</v>
      </c>
      <c r="E32579" s="1">
        <v>4.3455399550671099E-6</v>
      </c>
      <c r="F32579" s="1">
        <v>3.9794053833197002E-7</v>
      </c>
    </row>
    <row r="32580" spans="1:6" x14ac:dyDescent="0.25">
      <c r="A32580" s="2" t="str">
        <f t="shared" si="1170"/>
        <v>99999</v>
      </c>
      <c r="B32580" s="2" t="str">
        <f>"59642"</f>
        <v>59642</v>
      </c>
      <c r="C32580" s="1">
        <v>1.7462105593789001E-6</v>
      </c>
      <c r="D32580" s="1">
        <v>0</v>
      </c>
      <c r="E32580" s="1">
        <v>4.3455399550671099E-6</v>
      </c>
      <c r="F32580" s="1">
        <v>1.6912472879108699E-6</v>
      </c>
    </row>
    <row r="32581" spans="1:6" x14ac:dyDescent="0.25">
      <c r="A32581" s="2" t="str">
        <f t="shared" si="1170"/>
        <v>99999</v>
      </c>
      <c r="B32581" s="2" t="str">
        <f>"59641"</f>
        <v>59641</v>
      </c>
      <c r="C32581" s="1">
        <v>5.4569079980590801E-7</v>
      </c>
      <c r="D32581" s="1">
        <v>0</v>
      </c>
      <c r="E32581" s="1">
        <v>4.3455399550671099E-6</v>
      </c>
      <c r="F32581" s="1">
        <v>5.9691080749795498E-7</v>
      </c>
    </row>
    <row r="32582" spans="1:6" x14ac:dyDescent="0.25">
      <c r="A32582" s="2" t="str">
        <f t="shared" si="1170"/>
        <v>99999</v>
      </c>
      <c r="B32582" s="2" t="str">
        <f>"59711"</f>
        <v>59711</v>
      </c>
      <c r="C32582" s="1">
        <v>6.7698400623921004E-4</v>
      </c>
      <c r="D32582" s="1">
        <v>7.40590104623528E-4</v>
      </c>
      <c r="E32582" s="1">
        <v>7.73506112001946E-4</v>
      </c>
      <c r="F32582" s="1">
        <v>6.8336338945057605E-4</v>
      </c>
    </row>
    <row r="32583" spans="1:6" x14ac:dyDescent="0.25">
      <c r="A32583" s="2" t="str">
        <f t="shared" si="1170"/>
        <v>99999</v>
      </c>
      <c r="B32583" s="2" t="str">
        <f>"59644"</f>
        <v>59644</v>
      </c>
      <c r="C32583" s="1">
        <v>2.2569771479972301E-4</v>
      </c>
      <c r="D32583" s="1">
        <v>2.5343964645928101E-4</v>
      </c>
      <c r="E32583" s="1">
        <v>3.0418779685469798E-4</v>
      </c>
      <c r="F32583" s="1">
        <v>2.2931323521379799E-4</v>
      </c>
    </row>
    <row r="32584" spans="1:6" x14ac:dyDescent="0.25">
      <c r="A32584" s="2" t="str">
        <f t="shared" si="1170"/>
        <v>99999</v>
      </c>
      <c r="B32584" s="2" t="str">
        <f>"59461"</f>
        <v>59461</v>
      </c>
      <c r="C32584" s="1">
        <v>2.5101776791071799E-6</v>
      </c>
      <c r="D32584" s="1">
        <v>0</v>
      </c>
      <c r="E32584" s="1">
        <v>4.3455399550671099E-6</v>
      </c>
      <c r="F32584" s="1">
        <v>2.3876432299918199E-6</v>
      </c>
    </row>
    <row r="32585" spans="1:6" x14ac:dyDescent="0.25">
      <c r="A32585" s="2" t="str">
        <f t="shared" si="1170"/>
        <v>99999</v>
      </c>
      <c r="B32585" s="2" t="str">
        <f>"59464"</f>
        <v>59464</v>
      </c>
      <c r="C32585" s="1">
        <v>2.7611954470178899E-5</v>
      </c>
      <c r="D32585" s="1">
        <v>1.8211232080906399E-5</v>
      </c>
      <c r="E32585" s="1">
        <v>1.3036619865201299E-5</v>
      </c>
      <c r="F32585" s="1">
        <v>2.6662016068241999E-5</v>
      </c>
    </row>
    <row r="32586" spans="1:6" x14ac:dyDescent="0.25">
      <c r="A32586" s="2" t="str">
        <f t="shared" si="1170"/>
        <v>99999</v>
      </c>
      <c r="B32586" s="2" t="str">
        <f>"59524"</f>
        <v>59524</v>
      </c>
      <c r="C32586" s="1">
        <v>2.30281517518093E-5</v>
      </c>
      <c r="D32586" s="1">
        <v>1.51760267340886E-6</v>
      </c>
      <c r="E32586" s="1">
        <v>4.3455399550671099E-6</v>
      </c>
      <c r="F32586" s="1">
        <v>2.1190333666177399E-5</v>
      </c>
    </row>
    <row r="32587" spans="1:6" x14ac:dyDescent="0.25">
      <c r="A32587" s="2" t="str">
        <f t="shared" si="1170"/>
        <v>99999</v>
      </c>
      <c r="B32587" s="2" t="str">
        <f>"59865"</f>
        <v>59865</v>
      </c>
      <c r="C32587" s="1">
        <v>1.05754877002385E-4</v>
      </c>
      <c r="D32587" s="1">
        <v>3.0352053468177301E-5</v>
      </c>
      <c r="E32587" s="1">
        <v>2.1727699775335501E-5</v>
      </c>
      <c r="F32587" s="1">
        <v>9.88882237754946E-5</v>
      </c>
    </row>
    <row r="32588" spans="1:6" x14ac:dyDescent="0.25">
      <c r="A32588" s="2" t="str">
        <f t="shared" si="1170"/>
        <v>99999</v>
      </c>
      <c r="B32588" s="2" t="str">
        <f>"59727"</f>
        <v>59727</v>
      </c>
      <c r="C32588" s="1">
        <v>2.9467303189519E-6</v>
      </c>
      <c r="D32588" s="1">
        <v>3.0352053468177301E-6</v>
      </c>
      <c r="E32588" s="1">
        <v>0</v>
      </c>
      <c r="F32588" s="1">
        <v>2.8850689029067799E-6</v>
      </c>
    </row>
    <row r="32589" spans="1:6" x14ac:dyDescent="0.25">
      <c r="A32589" s="2" t="str">
        <f t="shared" si="1170"/>
        <v>99999</v>
      </c>
      <c r="B32589" s="2" t="str">
        <f>"59740"</f>
        <v>59740</v>
      </c>
      <c r="C32589" s="1">
        <v>3.4705934867655701E-5</v>
      </c>
      <c r="D32589" s="1">
        <v>0</v>
      </c>
      <c r="E32589" s="1">
        <v>4.3455399550671099E-6</v>
      </c>
      <c r="F32589" s="1">
        <v>3.1735757931974601E-5</v>
      </c>
    </row>
    <row r="32590" spans="1:6" x14ac:dyDescent="0.25">
      <c r="A32590" s="2" t="str">
        <f t="shared" si="1170"/>
        <v>99999</v>
      </c>
      <c r="B32590" s="2" t="str">
        <f>"59741"</f>
        <v>59741</v>
      </c>
      <c r="C32590" s="1">
        <v>1.09138159961181E-7</v>
      </c>
      <c r="D32590" s="1">
        <v>0</v>
      </c>
      <c r="E32590" s="1">
        <v>0</v>
      </c>
      <c r="F32590" s="1">
        <v>9.9485134582992598E-8</v>
      </c>
    </row>
    <row r="32591" spans="1:6" x14ac:dyDescent="0.25">
      <c r="A32591" s="2" t="str">
        <f t="shared" si="1170"/>
        <v>99999</v>
      </c>
      <c r="B32591" s="2" t="str">
        <f>"59756"</f>
        <v>59756</v>
      </c>
      <c r="C32591" s="1">
        <v>6.1117369578261701E-6</v>
      </c>
      <c r="D32591" s="1">
        <v>0</v>
      </c>
      <c r="E32591" s="1">
        <v>4.3455399550671099E-6</v>
      </c>
      <c r="F32591" s="1">
        <v>5.6706526712305799E-6</v>
      </c>
    </row>
    <row r="32592" spans="1:6" x14ac:dyDescent="0.25">
      <c r="A32592" s="2" t="str">
        <f t="shared" si="1170"/>
        <v>99999</v>
      </c>
      <c r="B32592" s="2" t="str">
        <f>"59755"</f>
        <v>59755</v>
      </c>
      <c r="C32592" s="1">
        <v>0</v>
      </c>
      <c r="D32592" s="1">
        <v>0</v>
      </c>
      <c r="E32592" s="1">
        <v>4.3455399550671099E-6</v>
      </c>
      <c r="F32592" s="1">
        <v>9.9485134582992598E-8</v>
      </c>
    </row>
    <row r="32593" spans="1:6" x14ac:dyDescent="0.25">
      <c r="A32593" s="2" t="str">
        <f t="shared" si="1170"/>
        <v>99999</v>
      </c>
      <c r="B32593" s="2" t="str">
        <f>"59731"</f>
        <v>59731</v>
      </c>
      <c r="C32593" s="1">
        <v>1.7898658233633802E-5</v>
      </c>
      <c r="D32593" s="1">
        <v>1.3658424060679801E-5</v>
      </c>
      <c r="E32593" s="1">
        <v>4.3455399550671099E-6</v>
      </c>
      <c r="F32593" s="1">
        <v>1.7310413417440701E-5</v>
      </c>
    </row>
    <row r="32594" spans="1:6" x14ac:dyDescent="0.25">
      <c r="A32594" s="2" t="str">
        <f t="shared" ref="A32594:A32657" si="1171">"99999"</f>
        <v>99999</v>
      </c>
      <c r="B32594" s="2" t="str">
        <f>"59837"</f>
        <v>59837</v>
      </c>
      <c r="C32594" s="1">
        <v>1.28783028754194E-5</v>
      </c>
      <c r="D32594" s="1">
        <v>9.1056160404532095E-6</v>
      </c>
      <c r="E32594" s="1">
        <v>4.3455399550671099E-6</v>
      </c>
      <c r="F32594" s="1">
        <v>1.2435641822873999E-5</v>
      </c>
    </row>
    <row r="32595" spans="1:6" x14ac:dyDescent="0.25">
      <c r="A32595" s="2" t="str">
        <f t="shared" si="1171"/>
        <v>99999</v>
      </c>
      <c r="B32595" s="2" t="str">
        <f>"59832"</f>
        <v>59832</v>
      </c>
      <c r="C32595" s="1">
        <v>3.7761803346568799E-5</v>
      </c>
      <c r="D32595" s="1">
        <v>4.2492874855448297E-5</v>
      </c>
      <c r="E32595" s="1">
        <v>5.6492019415872502E-5</v>
      </c>
      <c r="F32595" s="1">
        <v>3.8500747083618101E-5</v>
      </c>
    </row>
    <row r="32596" spans="1:6" x14ac:dyDescent="0.25">
      <c r="A32596" s="2" t="str">
        <f t="shared" si="1171"/>
        <v>99999</v>
      </c>
      <c r="B32596" s="2" t="str">
        <f>"59825"</f>
        <v>59825</v>
      </c>
      <c r="C32596" s="1">
        <v>1.8662625353362001E-5</v>
      </c>
      <c r="D32596" s="1">
        <v>1.51760267340886E-6</v>
      </c>
      <c r="E32596" s="1">
        <v>0</v>
      </c>
      <c r="F32596" s="1">
        <v>1.7111443148274701E-5</v>
      </c>
    </row>
    <row r="32597" spans="1:6" x14ac:dyDescent="0.25">
      <c r="A32597" s="2" t="str">
        <f t="shared" si="1171"/>
        <v>99999</v>
      </c>
      <c r="B32597" s="2" t="str">
        <f>"59411"</f>
        <v>59411</v>
      </c>
      <c r="C32597" s="1">
        <v>6.5482895976708995E-7</v>
      </c>
      <c r="D32597" s="1">
        <v>0</v>
      </c>
      <c r="E32597" s="1">
        <v>4.3455399550671099E-6</v>
      </c>
      <c r="F32597" s="1">
        <v>6.9639594208094799E-7</v>
      </c>
    </row>
    <row r="32598" spans="1:6" x14ac:dyDescent="0.25">
      <c r="A32598" s="2" t="str">
        <f t="shared" si="1171"/>
        <v>99999</v>
      </c>
      <c r="B32598" s="2" t="str">
        <f>"59450"</f>
        <v>59450</v>
      </c>
      <c r="C32598" s="1">
        <v>2.16093556723139E-5</v>
      </c>
      <c r="D32598" s="1">
        <v>1.3658424060679801E-5</v>
      </c>
      <c r="E32598" s="1">
        <v>4.3455399550671099E-6</v>
      </c>
      <c r="F32598" s="1">
        <v>2.06929079932624E-5</v>
      </c>
    </row>
    <row r="32599" spans="1:6" x14ac:dyDescent="0.25">
      <c r="A32599" s="2" t="str">
        <f t="shared" si="1171"/>
        <v>99999</v>
      </c>
      <c r="B32599" s="2" t="str">
        <f>"59456"</f>
        <v>59456</v>
      </c>
      <c r="C32599" s="1">
        <v>1.3533131835186499E-5</v>
      </c>
      <c r="D32599" s="1">
        <v>3.0352053468177301E-6</v>
      </c>
      <c r="E32599" s="1">
        <v>1.3036619865201299E-5</v>
      </c>
      <c r="F32599" s="1">
        <v>1.2833582361206E-5</v>
      </c>
    </row>
    <row r="32600" spans="1:6" x14ac:dyDescent="0.25">
      <c r="A32600" s="2" t="str">
        <f t="shared" si="1171"/>
        <v>99999</v>
      </c>
      <c r="B32600" s="2" t="str">
        <f>"59436"</f>
        <v>59436</v>
      </c>
      <c r="C32600" s="1">
        <v>8.5782593729488805E-5</v>
      </c>
      <c r="D32600" s="1">
        <v>1.66936294074975E-5</v>
      </c>
      <c r="E32600" s="1">
        <v>4.7800939505738197E-5</v>
      </c>
      <c r="F32600" s="1">
        <v>8.0383988743058002E-5</v>
      </c>
    </row>
    <row r="32601" spans="1:6" x14ac:dyDescent="0.25">
      <c r="A32601" s="2" t="str">
        <f t="shared" si="1171"/>
        <v>99999</v>
      </c>
      <c r="B32601" s="2" t="str">
        <f>"59433"</f>
        <v>59433</v>
      </c>
      <c r="C32601" s="1">
        <v>3.2304895348509703E-5</v>
      </c>
      <c r="D32601" s="1">
        <v>3.7940066835221703E-5</v>
      </c>
      <c r="E32601" s="1">
        <v>4.7800939505738197E-5</v>
      </c>
      <c r="F32601" s="1">
        <v>3.3029064681553501E-5</v>
      </c>
    </row>
    <row r="32602" spans="1:6" x14ac:dyDescent="0.25">
      <c r="A32602" s="2" t="str">
        <f t="shared" si="1171"/>
        <v>99999</v>
      </c>
      <c r="B32602" s="2" t="str">
        <f>"59422"</f>
        <v>59422</v>
      </c>
      <c r="C32602" s="1">
        <v>1.4133391714972999E-4</v>
      </c>
      <c r="D32602" s="1">
        <v>7.4362530997034595E-5</v>
      </c>
      <c r="E32602" s="1">
        <v>1.82512678112818E-4</v>
      </c>
      <c r="F32602" s="1">
        <v>1.3788639653202701E-4</v>
      </c>
    </row>
    <row r="32603" spans="1:6" x14ac:dyDescent="0.25">
      <c r="A32603" s="2" t="str">
        <f t="shared" si="1171"/>
        <v>99999</v>
      </c>
      <c r="B32603" s="2" t="str">
        <f>"59721"</f>
        <v>59721</v>
      </c>
      <c r="C32603" s="1">
        <v>1.0258987036351001E-5</v>
      </c>
      <c r="D32603" s="1">
        <v>0</v>
      </c>
      <c r="E32603" s="1">
        <v>0</v>
      </c>
      <c r="F32603" s="1">
        <v>9.3516026508012996E-6</v>
      </c>
    </row>
    <row r="32604" spans="1:6" x14ac:dyDescent="0.25">
      <c r="A32604" s="2" t="str">
        <f t="shared" si="1171"/>
        <v>99999</v>
      </c>
      <c r="B32604" s="2" t="str">
        <f>"59722"</f>
        <v>59722</v>
      </c>
      <c r="C32604" s="1">
        <v>2.5669295222869898E-4</v>
      </c>
      <c r="D32604" s="1">
        <v>4.0216470845335001E-4</v>
      </c>
      <c r="E32604" s="1">
        <v>3.3895211649523501E-4</v>
      </c>
      <c r="F32604" s="1">
        <v>2.6811243770116501E-4</v>
      </c>
    </row>
    <row r="32605" spans="1:6" x14ac:dyDescent="0.25">
      <c r="A32605" s="2" t="str">
        <f t="shared" si="1171"/>
        <v>99999</v>
      </c>
      <c r="B32605" s="2" t="str">
        <f>"59217"</f>
        <v>59217</v>
      </c>
      <c r="C32605" s="1">
        <v>1.7462105593789001E-6</v>
      </c>
      <c r="D32605" s="1">
        <v>0</v>
      </c>
      <c r="E32605" s="1">
        <v>4.3455399550671099E-6</v>
      </c>
      <c r="F32605" s="1">
        <v>1.6912472879108699E-6</v>
      </c>
    </row>
    <row r="32606" spans="1:6" x14ac:dyDescent="0.25">
      <c r="A32606" s="2" t="str">
        <f t="shared" si="1171"/>
        <v>99999</v>
      </c>
      <c r="B32606" s="2" t="str">
        <f>"59219"</f>
        <v>59219</v>
      </c>
      <c r="C32606" s="1">
        <v>9.3858817566616205E-6</v>
      </c>
      <c r="D32606" s="1">
        <v>3.0352053468177301E-6</v>
      </c>
      <c r="E32606" s="1">
        <v>1.3036619865201299E-5</v>
      </c>
      <c r="F32606" s="1">
        <v>9.0531472470523294E-6</v>
      </c>
    </row>
    <row r="32607" spans="1:6" x14ac:dyDescent="0.25">
      <c r="A32607" s="2" t="str">
        <f t="shared" si="1171"/>
        <v>99999</v>
      </c>
      <c r="B32607" s="2" t="str">
        <f>"59242"</f>
        <v>59242</v>
      </c>
      <c r="C32607" s="1">
        <v>7.0939803974768102E-6</v>
      </c>
      <c r="D32607" s="1">
        <v>0</v>
      </c>
      <c r="E32607" s="1">
        <v>4.3455399550671099E-6</v>
      </c>
      <c r="F32607" s="1">
        <v>6.5660188824775097E-6</v>
      </c>
    </row>
    <row r="32608" spans="1:6" x14ac:dyDescent="0.25">
      <c r="A32608" s="2" t="str">
        <f t="shared" si="1171"/>
        <v>99999</v>
      </c>
      <c r="B32608" s="2" t="str">
        <f>"59225"</f>
        <v>59225</v>
      </c>
      <c r="C32608" s="1">
        <v>1.8116934553556101E-5</v>
      </c>
      <c r="D32608" s="1">
        <v>1.0623218713862E-5</v>
      </c>
      <c r="E32608" s="1">
        <v>1.3036619865201299E-5</v>
      </c>
      <c r="F32608" s="1">
        <v>1.7509383686606702E-5</v>
      </c>
    </row>
    <row r="32609" spans="1:6" x14ac:dyDescent="0.25">
      <c r="A32609" s="2" t="str">
        <f t="shared" si="1171"/>
        <v>99999</v>
      </c>
      <c r="B32609" s="2" t="str">
        <f>"59333"</f>
        <v>59333</v>
      </c>
      <c r="C32609" s="1">
        <v>2.7284539990295402E-6</v>
      </c>
      <c r="D32609" s="1">
        <v>0</v>
      </c>
      <c r="E32609" s="1">
        <v>4.3455399550671099E-6</v>
      </c>
      <c r="F32609" s="1">
        <v>2.5866134991578E-6</v>
      </c>
    </row>
    <row r="32610" spans="1:6" x14ac:dyDescent="0.25">
      <c r="A32610" s="2" t="str">
        <f t="shared" si="1171"/>
        <v>99999</v>
      </c>
      <c r="B32610" s="2" t="str">
        <f>"59253"</f>
        <v>59253</v>
      </c>
      <c r="C32610" s="1">
        <v>5.6751843179814504E-6</v>
      </c>
      <c r="D32610" s="1">
        <v>0</v>
      </c>
      <c r="E32610" s="1">
        <v>4.3455399550671099E-6</v>
      </c>
      <c r="F32610" s="1">
        <v>5.2727121328986002E-6</v>
      </c>
    </row>
    <row r="32611" spans="1:6" x14ac:dyDescent="0.25">
      <c r="A32611" s="2" t="str">
        <f t="shared" si="1171"/>
        <v>99999</v>
      </c>
      <c r="B32611" s="2" t="str">
        <f>"59262"</f>
        <v>59262</v>
      </c>
      <c r="C32611" s="1">
        <v>3.74343888666853E-5</v>
      </c>
      <c r="D32611" s="1">
        <v>1.51760267340886E-6</v>
      </c>
      <c r="E32611" s="1">
        <v>3.9109859595604001E-5</v>
      </c>
      <c r="F32611" s="1">
        <v>3.5118252507796402E-5</v>
      </c>
    </row>
    <row r="32612" spans="1:6" x14ac:dyDescent="0.25">
      <c r="A32612" s="2" t="str">
        <f t="shared" si="1171"/>
        <v>99999</v>
      </c>
      <c r="B32612" s="2" t="str">
        <f>"59337"</f>
        <v>59337</v>
      </c>
      <c r="C32612" s="1">
        <v>3.9508013905947698E-5</v>
      </c>
      <c r="D32612" s="1">
        <v>6.0704106936354696E-6</v>
      </c>
      <c r="E32612" s="1">
        <v>3.0418779685469802E-5</v>
      </c>
      <c r="F32612" s="1">
        <v>3.7107955199456203E-5</v>
      </c>
    </row>
    <row r="32613" spans="1:6" x14ac:dyDescent="0.25">
      <c r="A32613" s="2" t="str">
        <f t="shared" si="1171"/>
        <v>99999</v>
      </c>
      <c r="B32613" s="2" t="str">
        <f>"59270"</f>
        <v>59270</v>
      </c>
      <c r="C32613" s="1">
        <v>4.6722046279381902E-4</v>
      </c>
      <c r="D32613" s="1">
        <v>8.3923427839510396E-4</v>
      </c>
      <c r="E32613" s="1">
        <v>1.0820394488117099E-3</v>
      </c>
      <c r="F32613" s="1">
        <v>5.0568293908535096E-4</v>
      </c>
    </row>
    <row r="32614" spans="1:6" x14ac:dyDescent="0.25">
      <c r="A32614" s="2" t="str">
        <f t="shared" si="1171"/>
        <v>99999</v>
      </c>
      <c r="B32614" s="2" t="str">
        <f>"58568"</f>
        <v>58568</v>
      </c>
      <c r="C32614" s="1">
        <v>1.9426592473090299E-5</v>
      </c>
      <c r="D32614" s="1">
        <v>6.0704106936354696E-6</v>
      </c>
      <c r="E32614" s="1">
        <v>4.3455399550671099E-6</v>
      </c>
      <c r="F32614" s="1">
        <v>1.82057796286876E-5</v>
      </c>
    </row>
    <row r="32615" spans="1:6" x14ac:dyDescent="0.25">
      <c r="A32615" s="2" t="str">
        <f t="shared" si="1171"/>
        <v>99999</v>
      </c>
      <c r="B32615" s="2" t="str">
        <f>"58544"</f>
        <v>58544</v>
      </c>
      <c r="C32615" s="1">
        <v>2.8485059749868399E-5</v>
      </c>
      <c r="D32615" s="1">
        <v>3.0352053468177301E-6</v>
      </c>
      <c r="E32615" s="1">
        <v>3.0418779685469802E-5</v>
      </c>
      <c r="F32615" s="1">
        <v>2.6860986337408E-5</v>
      </c>
    </row>
    <row r="32616" spans="1:6" x14ac:dyDescent="0.25">
      <c r="A32616" s="2" t="str">
        <f t="shared" si="1171"/>
        <v>99999</v>
      </c>
      <c r="B32616" s="2" t="str">
        <f>"58581"</f>
        <v>58581</v>
      </c>
      <c r="C32616" s="1">
        <v>1.0040710716428699E-5</v>
      </c>
      <c r="D32616" s="1">
        <v>3.0352053468177301E-6</v>
      </c>
      <c r="E32616" s="1">
        <v>4.3455399550671099E-6</v>
      </c>
      <c r="F32616" s="1">
        <v>9.4510877853842998E-6</v>
      </c>
    </row>
    <row r="32617" spans="1:6" x14ac:dyDescent="0.25">
      <c r="A32617" s="2" t="str">
        <f t="shared" si="1171"/>
        <v>99999</v>
      </c>
      <c r="B32617" s="2" t="str">
        <f>"58579"</f>
        <v>58579</v>
      </c>
      <c r="C32617" s="1">
        <v>4.1145086305365503E-5</v>
      </c>
      <c r="D32617" s="1">
        <v>1.21408213872709E-5</v>
      </c>
      <c r="E32617" s="1">
        <v>3.47643196405369E-5</v>
      </c>
      <c r="F32617" s="1">
        <v>3.9097657891116098E-5</v>
      </c>
    </row>
    <row r="32618" spans="1:6" x14ac:dyDescent="0.25">
      <c r="A32618" s="2" t="str">
        <f t="shared" si="1171"/>
        <v>99999</v>
      </c>
      <c r="B32618" s="2" t="str">
        <f>"58576"</f>
        <v>58576</v>
      </c>
      <c r="C32618" s="1">
        <v>3.9289737586025402E-5</v>
      </c>
      <c r="D32618" s="1">
        <v>1.21408213872709E-5</v>
      </c>
      <c r="E32618" s="1">
        <v>2.60732397304027E-5</v>
      </c>
      <c r="F32618" s="1">
        <v>3.7207440334039201E-5</v>
      </c>
    </row>
    <row r="32619" spans="1:6" x14ac:dyDescent="0.25">
      <c r="A32619" s="2" t="str">
        <f t="shared" si="1171"/>
        <v>99999</v>
      </c>
      <c r="B32619" s="2" t="str">
        <f>"58540"</f>
        <v>58540</v>
      </c>
      <c r="C32619" s="1">
        <v>1.27582508994621E-4</v>
      </c>
      <c r="D32619" s="1">
        <v>6.9809722976807906E-5</v>
      </c>
      <c r="E32619" s="1">
        <v>2.6507793725909402E-4</v>
      </c>
      <c r="F32619" s="1">
        <v>1.26943031727898E-4</v>
      </c>
    </row>
    <row r="32620" spans="1:6" x14ac:dyDescent="0.25">
      <c r="A32620" s="2" t="str">
        <f t="shared" si="1171"/>
        <v>99999</v>
      </c>
      <c r="B32620" s="2" t="str">
        <f>"58497"</f>
        <v>58497</v>
      </c>
      <c r="C32620" s="1">
        <v>1.7462105593789001E-6</v>
      </c>
      <c r="D32620" s="1">
        <v>0</v>
      </c>
      <c r="E32620" s="1">
        <v>0</v>
      </c>
      <c r="F32620" s="1">
        <v>1.5917621533278801E-6</v>
      </c>
    </row>
    <row r="32621" spans="1:6" x14ac:dyDescent="0.25">
      <c r="A32621" s="2" t="str">
        <f t="shared" si="1171"/>
        <v>99999</v>
      </c>
      <c r="B32621" s="2" t="str">
        <f>"58524"</f>
        <v>58524</v>
      </c>
      <c r="C32621" s="1">
        <v>8.7310527968945299E-6</v>
      </c>
      <c r="D32621" s="1">
        <v>1.51760267340886E-6</v>
      </c>
      <c r="E32621" s="1">
        <v>4.3455399550671099E-6</v>
      </c>
      <c r="F32621" s="1">
        <v>8.1577810358053902E-6</v>
      </c>
    </row>
    <row r="32622" spans="1:6" x14ac:dyDescent="0.25">
      <c r="A32622" s="2" t="str">
        <f t="shared" si="1171"/>
        <v>99999</v>
      </c>
      <c r="B32622" s="2" t="str">
        <f>"58504"</f>
        <v>58504</v>
      </c>
      <c r="C32622" s="1">
        <v>1.3096579195341799E-6</v>
      </c>
      <c r="D32622" s="1">
        <v>0</v>
      </c>
      <c r="E32622" s="1">
        <v>0</v>
      </c>
      <c r="F32622" s="1">
        <v>1.19382161499591E-6</v>
      </c>
    </row>
    <row r="32623" spans="1:6" x14ac:dyDescent="0.25">
      <c r="A32623" s="2" t="str">
        <f t="shared" si="1171"/>
        <v>99999</v>
      </c>
      <c r="B32623" s="2" t="str">
        <f>"58533"</f>
        <v>58533</v>
      </c>
      <c r="C32623" s="1">
        <v>6.1226507738222898E-5</v>
      </c>
      <c r="D32623" s="1">
        <v>1.8211232080906399E-5</v>
      </c>
      <c r="E32623" s="1">
        <v>5.6492019415872502E-5</v>
      </c>
      <c r="F32623" s="1">
        <v>5.8298288865633599E-5</v>
      </c>
    </row>
    <row r="32624" spans="1:6" x14ac:dyDescent="0.25">
      <c r="A32624" s="2" t="str">
        <f t="shared" si="1171"/>
        <v>99999</v>
      </c>
      <c r="B32624" s="2" t="str">
        <f>"58531"</f>
        <v>58531</v>
      </c>
      <c r="C32624" s="1">
        <v>2.4774362311188199E-5</v>
      </c>
      <c r="D32624" s="1">
        <v>7.5880133670443404E-6</v>
      </c>
      <c r="E32624" s="1">
        <v>6.0837559370939603E-5</v>
      </c>
      <c r="F32624" s="1">
        <v>2.44733431074161E-5</v>
      </c>
    </row>
    <row r="32625" spans="1:6" x14ac:dyDescent="0.25">
      <c r="A32625" s="2" t="str">
        <f t="shared" si="1171"/>
        <v>99999</v>
      </c>
      <c r="B32625" s="2" t="str">
        <f>"58782"</f>
        <v>58782</v>
      </c>
      <c r="C32625" s="1">
        <v>9.8224343965063504E-7</v>
      </c>
      <c r="D32625" s="1">
        <v>0</v>
      </c>
      <c r="E32625" s="1">
        <v>0</v>
      </c>
      <c r="F32625" s="1">
        <v>8.9536621124693305E-7</v>
      </c>
    </row>
    <row r="32626" spans="1:6" x14ac:dyDescent="0.25">
      <c r="A32626" s="2" t="str">
        <f t="shared" si="1171"/>
        <v>99999</v>
      </c>
      <c r="B32626" s="2" t="str">
        <f>"58752"</f>
        <v>58752</v>
      </c>
      <c r="C32626" s="1">
        <v>6.7665659175932598E-6</v>
      </c>
      <c r="D32626" s="1">
        <v>3.0352053468177301E-6</v>
      </c>
      <c r="E32626" s="1">
        <v>1.3036619865201299E-5</v>
      </c>
      <c r="F32626" s="1">
        <v>6.6655040170604998E-6</v>
      </c>
    </row>
    <row r="32627" spans="1:6" x14ac:dyDescent="0.25">
      <c r="A32627" s="2" t="str">
        <f t="shared" si="1171"/>
        <v>99999</v>
      </c>
      <c r="B32627" s="2" t="str">
        <f>"58776"</f>
        <v>58776</v>
      </c>
      <c r="C32627" s="1">
        <v>1.03681251963122E-5</v>
      </c>
      <c r="D32627" s="1">
        <v>1.0623218713862E-5</v>
      </c>
      <c r="E32627" s="1">
        <v>1.3036619865201299E-5</v>
      </c>
      <c r="F32627" s="1">
        <v>1.04459391312142E-5</v>
      </c>
    </row>
    <row r="32628" spans="1:6" x14ac:dyDescent="0.25">
      <c r="A32628" s="2" t="str">
        <f t="shared" si="1171"/>
        <v>99999</v>
      </c>
      <c r="B32628" s="2" t="str">
        <f>"59053"</f>
        <v>59053</v>
      </c>
      <c r="C32628" s="1">
        <v>1.4624513434798299E-5</v>
      </c>
      <c r="D32628" s="1">
        <v>4.5528080202265997E-6</v>
      </c>
      <c r="E32628" s="1">
        <v>4.3455399550671099E-6</v>
      </c>
      <c r="F32628" s="1">
        <v>1.37289485724529E-5</v>
      </c>
    </row>
    <row r="32629" spans="1:6" x14ac:dyDescent="0.25">
      <c r="A32629" s="2" t="str">
        <f t="shared" si="1171"/>
        <v>99999</v>
      </c>
      <c r="B32629" s="2" t="str">
        <f>"59078"</f>
        <v>59078</v>
      </c>
      <c r="C32629" s="1">
        <v>3.27414479883545E-6</v>
      </c>
      <c r="D32629" s="1">
        <v>1.51760267340886E-6</v>
      </c>
      <c r="E32629" s="1">
        <v>4.3455399550671099E-6</v>
      </c>
      <c r="F32629" s="1">
        <v>3.1835243066557602E-6</v>
      </c>
    </row>
    <row r="32630" spans="1:6" x14ac:dyDescent="0.25">
      <c r="A32630" s="2" t="str">
        <f t="shared" si="1171"/>
        <v>99999</v>
      </c>
      <c r="B32630" s="2" t="str">
        <f>"59086"</f>
        <v>59086</v>
      </c>
      <c r="C32630" s="1">
        <v>3.9944566545792501E-5</v>
      </c>
      <c r="D32630" s="1">
        <v>1.51760267340886E-6</v>
      </c>
      <c r="E32630" s="1">
        <v>3.9109859595604001E-5</v>
      </c>
      <c r="F32630" s="1">
        <v>3.7406410603205198E-5</v>
      </c>
    </row>
    <row r="32631" spans="1:6" x14ac:dyDescent="0.25">
      <c r="A32631" s="2" t="str">
        <f t="shared" si="1171"/>
        <v>99999</v>
      </c>
      <c r="B32631" s="2" t="str">
        <f>"59077"</f>
        <v>59077</v>
      </c>
      <c r="C32631" s="1">
        <v>4.1472500785249E-6</v>
      </c>
      <c r="D32631" s="1">
        <v>3.0352053468177301E-6</v>
      </c>
      <c r="E32631" s="1">
        <v>4.3455399550671099E-6</v>
      </c>
      <c r="F32631" s="1">
        <v>4.07889051790269E-6</v>
      </c>
    </row>
    <row r="32632" spans="1:6" x14ac:dyDescent="0.25">
      <c r="A32632" s="2" t="str">
        <f t="shared" si="1171"/>
        <v>99999</v>
      </c>
      <c r="B32632" s="2" t="str">
        <f>"59076"</f>
        <v>59076</v>
      </c>
      <c r="C32632" s="1">
        <v>2.5101776791071799E-6</v>
      </c>
      <c r="D32632" s="1">
        <v>0</v>
      </c>
      <c r="E32632" s="1">
        <v>4.3455399550671099E-6</v>
      </c>
      <c r="F32632" s="1">
        <v>2.3876432299918199E-6</v>
      </c>
    </row>
    <row r="32633" spans="1:6" x14ac:dyDescent="0.25">
      <c r="A32633" s="2" t="str">
        <f t="shared" si="1171"/>
        <v>99999</v>
      </c>
      <c r="B32633" s="2" t="str">
        <f>"59043"</f>
        <v>59043</v>
      </c>
      <c r="C32633" s="1">
        <v>1.2441750235574699E-5</v>
      </c>
      <c r="D32633" s="1">
        <v>3.0352053468177301E-6</v>
      </c>
      <c r="E32633" s="1">
        <v>1.3036619865201299E-5</v>
      </c>
      <c r="F32633" s="1">
        <v>1.18387310153761E-5</v>
      </c>
    </row>
    <row r="32634" spans="1:6" x14ac:dyDescent="0.25">
      <c r="A32634" s="2" t="str">
        <f t="shared" si="1171"/>
        <v>99999</v>
      </c>
      <c r="B32634" s="2" t="str">
        <f>"58385"</f>
        <v>58385</v>
      </c>
      <c r="C32634" s="1">
        <v>9.8224343965063504E-6</v>
      </c>
      <c r="D32634" s="1">
        <v>1.0623218713862E-5</v>
      </c>
      <c r="E32634" s="1">
        <v>4.3455399550671099E-6</v>
      </c>
      <c r="F32634" s="1">
        <v>9.7495431891332699E-6</v>
      </c>
    </row>
    <row r="32635" spans="1:6" x14ac:dyDescent="0.25">
      <c r="A32635" s="2" t="str">
        <f t="shared" si="1171"/>
        <v>99999</v>
      </c>
      <c r="B32635" s="2" t="str">
        <f>"58464"</f>
        <v>58464</v>
      </c>
      <c r="C32635" s="1">
        <v>1.2114335755691101E-5</v>
      </c>
      <c r="D32635" s="1">
        <v>1.51760267340886E-6</v>
      </c>
      <c r="E32635" s="1">
        <v>4.3455399550671099E-6</v>
      </c>
      <c r="F32635" s="1">
        <v>1.12418202078781E-5</v>
      </c>
    </row>
    <row r="32636" spans="1:6" x14ac:dyDescent="0.25">
      <c r="A32636" s="2" t="str">
        <f t="shared" si="1171"/>
        <v>99999</v>
      </c>
      <c r="B32636" s="2" t="str">
        <f>"58448"</f>
        <v>58448</v>
      </c>
      <c r="C32636" s="1">
        <v>2.02996977527798E-5</v>
      </c>
      <c r="D32636" s="1">
        <v>1.3658424060679801E-5</v>
      </c>
      <c r="E32636" s="1">
        <v>3.47643196405369E-5</v>
      </c>
      <c r="F32636" s="1">
        <v>2.0195482320347499E-5</v>
      </c>
    </row>
    <row r="32637" spans="1:6" x14ac:dyDescent="0.25">
      <c r="A32637" s="2" t="str">
        <f t="shared" si="1171"/>
        <v>99999</v>
      </c>
      <c r="B32637" s="2" t="str">
        <f>"58363"</f>
        <v>58363</v>
      </c>
      <c r="C32637" s="1">
        <v>6.4391514377097196E-6</v>
      </c>
      <c r="D32637" s="1">
        <v>3.0352053468177301E-6</v>
      </c>
      <c r="E32637" s="1">
        <v>4.3455399550671099E-6</v>
      </c>
      <c r="F32637" s="1">
        <v>6.1680783441455402E-6</v>
      </c>
    </row>
    <row r="32638" spans="1:6" x14ac:dyDescent="0.25">
      <c r="A32638" s="2" t="str">
        <f t="shared" si="1171"/>
        <v>99999</v>
      </c>
      <c r="B32638" s="2" t="str">
        <f>"58454"</f>
        <v>58454</v>
      </c>
      <c r="C32638" s="1">
        <v>1.386054631507E-5</v>
      </c>
      <c r="D32638" s="1">
        <v>6.0704106936354696E-6</v>
      </c>
      <c r="E32638" s="1">
        <v>4.3455399550671099E-6</v>
      </c>
      <c r="F32638" s="1">
        <v>1.3132037764955001E-5</v>
      </c>
    </row>
    <row r="32639" spans="1:6" x14ac:dyDescent="0.25">
      <c r="A32639" s="2" t="str">
        <f t="shared" si="1171"/>
        <v>99999</v>
      </c>
      <c r="B32639" s="2" t="str">
        <f>"58442"</f>
        <v>58442</v>
      </c>
      <c r="C32639" s="1">
        <v>2.4992638631110601E-5</v>
      </c>
      <c r="D32639" s="1">
        <v>1.5176026734088599E-5</v>
      </c>
      <c r="E32639" s="1">
        <v>1.7382159820268399E-5</v>
      </c>
      <c r="F32639" s="1">
        <v>2.4174887703667199E-5</v>
      </c>
    </row>
    <row r="32640" spans="1:6" x14ac:dyDescent="0.25">
      <c r="A32640" s="2" t="str">
        <f t="shared" si="1171"/>
        <v>99999</v>
      </c>
      <c r="B32640" s="2" t="str">
        <f>"58416"</f>
        <v>58416</v>
      </c>
      <c r="C32640" s="1">
        <v>2.4446947831304701E-5</v>
      </c>
      <c r="D32640" s="1">
        <v>9.1056160404532095E-6</v>
      </c>
      <c r="E32640" s="1">
        <v>7.3874179236140894E-5</v>
      </c>
      <c r="F32640" s="1">
        <v>2.4572828241999101E-5</v>
      </c>
    </row>
    <row r="32641" spans="1:6" x14ac:dyDescent="0.25">
      <c r="A32641" s="2" t="str">
        <f t="shared" si="1171"/>
        <v>99999</v>
      </c>
      <c r="B32641" s="2" t="str">
        <f>"58369"</f>
        <v>58369</v>
      </c>
      <c r="C32641" s="1">
        <v>4.5838027183696297E-5</v>
      </c>
      <c r="D32641" s="1">
        <v>1.0623218713862E-5</v>
      </c>
      <c r="E32641" s="1">
        <v>1.3036619865201299E-5</v>
      </c>
      <c r="F32641" s="1">
        <v>4.27786078706868E-5</v>
      </c>
    </row>
    <row r="32642" spans="1:6" x14ac:dyDescent="0.25">
      <c r="A32642" s="2" t="str">
        <f t="shared" si="1171"/>
        <v>99999</v>
      </c>
      <c r="B32642" s="2" t="str">
        <f>"58362"</f>
        <v>58362</v>
      </c>
      <c r="C32642" s="1">
        <v>4.4746645584084504E-6</v>
      </c>
      <c r="D32642" s="1">
        <v>1.51760267340886E-6</v>
      </c>
      <c r="E32642" s="1">
        <v>4.3455399550671099E-6</v>
      </c>
      <c r="F32642" s="1">
        <v>4.2778607870686803E-6</v>
      </c>
    </row>
    <row r="32643" spans="1:6" x14ac:dyDescent="0.25">
      <c r="A32643" s="2" t="str">
        <f t="shared" si="1171"/>
        <v>99999</v>
      </c>
      <c r="B32643" s="2" t="str">
        <f>"58626"</f>
        <v>58626</v>
      </c>
      <c r="C32643" s="1">
        <v>2.51017767910718E-5</v>
      </c>
      <c r="D32643" s="1">
        <v>6.0704106936354696E-6</v>
      </c>
      <c r="E32643" s="1">
        <v>1.7382159820268399E-5</v>
      </c>
      <c r="F32643" s="1">
        <v>2.36774620307522E-5</v>
      </c>
    </row>
    <row r="32644" spans="1:6" x14ac:dyDescent="0.25">
      <c r="A32644" s="2" t="str">
        <f t="shared" si="1171"/>
        <v>99999</v>
      </c>
      <c r="B32644" s="2" t="str">
        <f>"58718"</f>
        <v>58718</v>
      </c>
      <c r="C32644" s="1">
        <v>6.5482895976709E-6</v>
      </c>
      <c r="D32644" s="1">
        <v>4.5528080202265997E-6</v>
      </c>
      <c r="E32644" s="1">
        <v>0</v>
      </c>
      <c r="F32644" s="1">
        <v>6.2675634787285303E-6</v>
      </c>
    </row>
    <row r="32645" spans="1:6" x14ac:dyDescent="0.25">
      <c r="A32645" s="2" t="str">
        <f t="shared" si="1171"/>
        <v>99999</v>
      </c>
      <c r="B32645" s="2" t="str">
        <f>"58647"</f>
        <v>58647</v>
      </c>
      <c r="C32645" s="1">
        <v>6.0680816938417001E-5</v>
      </c>
      <c r="D32645" s="1">
        <v>1.0623218713862E-5</v>
      </c>
      <c r="E32645" s="1">
        <v>6.9528639281073799E-5</v>
      </c>
      <c r="F32645" s="1">
        <v>5.7601892923552697E-5</v>
      </c>
    </row>
    <row r="32646" spans="1:6" x14ac:dyDescent="0.25">
      <c r="A32646" s="2" t="str">
        <f t="shared" si="1171"/>
        <v>99999</v>
      </c>
      <c r="B32646" s="2" t="str">
        <f>"58272"</f>
        <v>58272</v>
      </c>
      <c r="C32646" s="1">
        <v>7.2031185574379897E-6</v>
      </c>
      <c r="D32646" s="1">
        <v>0</v>
      </c>
      <c r="E32646" s="1">
        <v>4.3455399550671099E-6</v>
      </c>
      <c r="F32646" s="1">
        <v>6.6655040170604998E-6</v>
      </c>
    </row>
    <row r="32647" spans="1:6" x14ac:dyDescent="0.25">
      <c r="A32647" s="2" t="str">
        <f t="shared" si="1171"/>
        <v>99999</v>
      </c>
      <c r="B32647" s="2" t="str">
        <f>"58343"</f>
        <v>58343</v>
      </c>
      <c r="C32647" s="1">
        <v>4.9112171982531701E-6</v>
      </c>
      <c r="D32647" s="1">
        <v>0</v>
      </c>
      <c r="E32647" s="1">
        <v>4.3455399550671099E-6</v>
      </c>
      <c r="F32647" s="1">
        <v>4.5763161908176597E-6</v>
      </c>
    </row>
    <row r="32648" spans="1:6" x14ac:dyDescent="0.25">
      <c r="A32648" s="2" t="str">
        <f t="shared" si="1171"/>
        <v>99999</v>
      </c>
      <c r="B32648" s="2" t="str">
        <f>"58301"</f>
        <v>58301</v>
      </c>
      <c r="C32648" s="1">
        <v>5.7930535307395203E-4</v>
      </c>
      <c r="D32648" s="1">
        <v>9.0297359067827696E-4</v>
      </c>
      <c r="E32648" s="1">
        <v>1.82512678112818E-3</v>
      </c>
      <c r="F32648" s="1">
        <v>6.2904450596826202E-4</v>
      </c>
    </row>
    <row r="32649" spans="1:6" x14ac:dyDescent="0.25">
      <c r="A32649" s="2" t="str">
        <f t="shared" si="1171"/>
        <v>99999</v>
      </c>
      <c r="B32649" s="2" t="str">
        <f>"58265"</f>
        <v>58265</v>
      </c>
      <c r="C32649" s="1">
        <v>2.7721092630140101E-5</v>
      </c>
      <c r="D32649" s="1">
        <v>2.5799245447950699E-5</v>
      </c>
      <c r="E32649" s="1">
        <v>4.3455399550671099E-6</v>
      </c>
      <c r="F32649" s="1">
        <v>2.7059956606573898E-5</v>
      </c>
    </row>
    <row r="32650" spans="1:6" x14ac:dyDescent="0.25">
      <c r="A32650" s="2" t="str">
        <f t="shared" si="1171"/>
        <v>99999</v>
      </c>
      <c r="B32650" s="2" t="str">
        <f>"57661"</f>
        <v>57661</v>
      </c>
      <c r="C32650" s="1">
        <v>4.2563882384860804E-6</v>
      </c>
      <c r="D32650" s="1">
        <v>0</v>
      </c>
      <c r="E32650" s="1">
        <v>4.3455399550671099E-6</v>
      </c>
      <c r="F32650" s="1">
        <v>3.9794053833197E-6</v>
      </c>
    </row>
    <row r="32651" spans="1:6" x14ac:dyDescent="0.25">
      <c r="A32651" s="2" t="str">
        <f t="shared" si="1171"/>
        <v>99999</v>
      </c>
      <c r="B32651" s="2" t="str">
        <f>"57660"</f>
        <v>57660</v>
      </c>
      <c r="C32651" s="1">
        <v>4.6929408783308102E-6</v>
      </c>
      <c r="D32651" s="1">
        <v>4.5528080202265997E-6</v>
      </c>
      <c r="E32651" s="1">
        <v>4.3455399550671099E-6</v>
      </c>
      <c r="F32651" s="1">
        <v>4.6758013254006498E-6</v>
      </c>
    </row>
    <row r="32652" spans="1:6" x14ac:dyDescent="0.25">
      <c r="A32652" s="2" t="str">
        <f t="shared" si="1171"/>
        <v>99999</v>
      </c>
      <c r="B32652" s="2" t="str">
        <f>"57622"</f>
        <v>57622</v>
      </c>
      <c r="C32652" s="1">
        <v>1.04772633562734E-5</v>
      </c>
      <c r="D32652" s="1">
        <v>0</v>
      </c>
      <c r="E32652" s="1">
        <v>0</v>
      </c>
      <c r="F32652" s="1">
        <v>9.5505729199672898E-6</v>
      </c>
    </row>
    <row r="32653" spans="1:6" x14ac:dyDescent="0.25">
      <c r="A32653" s="2" t="str">
        <f t="shared" si="1171"/>
        <v>99999</v>
      </c>
      <c r="B32653" s="2" t="str">
        <f>"57638"</f>
        <v>57638</v>
      </c>
      <c r="C32653" s="1">
        <v>1.2943785771396099E-4</v>
      </c>
      <c r="D32653" s="1">
        <v>2.18534784970877E-4</v>
      </c>
      <c r="E32653" s="1">
        <v>1.47748358472281E-4</v>
      </c>
      <c r="F32653" s="1">
        <v>1.35697723571201E-4</v>
      </c>
    </row>
    <row r="32654" spans="1:6" x14ac:dyDescent="0.25">
      <c r="A32654" s="2" t="str">
        <f t="shared" si="1171"/>
        <v>99999</v>
      </c>
      <c r="B32654" s="2" t="str">
        <f>"57520"</f>
        <v>57520</v>
      </c>
      <c r="C32654" s="1">
        <v>7.0939803974768102E-6</v>
      </c>
      <c r="D32654" s="1">
        <v>4.5528080202265997E-6</v>
      </c>
      <c r="E32654" s="1">
        <v>4.3455399550671099E-6</v>
      </c>
      <c r="F32654" s="1">
        <v>6.86447428622649E-6</v>
      </c>
    </row>
    <row r="32655" spans="1:6" x14ac:dyDescent="0.25">
      <c r="A32655" s="2" t="str">
        <f t="shared" si="1171"/>
        <v>99999</v>
      </c>
      <c r="B32655" s="2" t="str">
        <f>"57475"</f>
        <v>57475</v>
      </c>
      <c r="C32655" s="1">
        <v>5.0203553582143598E-6</v>
      </c>
      <c r="D32655" s="1">
        <v>1.51760267340886E-6</v>
      </c>
      <c r="E32655" s="1">
        <v>0</v>
      </c>
      <c r="F32655" s="1">
        <v>4.6758013254006498E-6</v>
      </c>
    </row>
    <row r="32656" spans="1:6" x14ac:dyDescent="0.25">
      <c r="A32656" s="2" t="str">
        <f t="shared" si="1171"/>
        <v>99999</v>
      </c>
      <c r="B32656" s="2" t="str">
        <f>"57547"</f>
        <v>57547</v>
      </c>
      <c r="C32656" s="1">
        <v>5.0203553582143598E-6</v>
      </c>
      <c r="D32656" s="1">
        <v>1.51760267340886E-6</v>
      </c>
      <c r="E32656" s="1">
        <v>4.3455399550671099E-6</v>
      </c>
      <c r="F32656" s="1">
        <v>4.7752864599836398E-6</v>
      </c>
    </row>
    <row r="32657" spans="1:6" x14ac:dyDescent="0.25">
      <c r="A32657" s="2" t="str">
        <f t="shared" si="1171"/>
        <v>99999</v>
      </c>
      <c r="B32657" s="2" t="str">
        <f>"57481"</f>
        <v>57481</v>
      </c>
      <c r="C32657" s="1">
        <v>4.6929408783308102E-6</v>
      </c>
      <c r="D32657" s="1">
        <v>1.51760267340886E-6</v>
      </c>
      <c r="E32657" s="1">
        <v>0</v>
      </c>
      <c r="F32657" s="1">
        <v>4.3773459216516703E-6</v>
      </c>
    </row>
    <row r="32658" spans="1:6" x14ac:dyDescent="0.25">
      <c r="A32658" s="2" t="str">
        <f t="shared" ref="A32658:A32721" si="1172">"99999"</f>
        <v>99999</v>
      </c>
      <c r="B32658" s="2" t="str">
        <f>"57567"</f>
        <v>57567</v>
      </c>
      <c r="C32658" s="1">
        <v>2.21550464721198E-5</v>
      </c>
      <c r="D32658" s="1">
        <v>2.7316848121359601E-5</v>
      </c>
      <c r="E32658" s="1">
        <v>4.3455399550671099E-6</v>
      </c>
      <c r="F32658" s="1">
        <v>2.2085699877424301E-5</v>
      </c>
    </row>
    <row r="32659" spans="1:6" x14ac:dyDescent="0.25">
      <c r="A32659" s="2" t="str">
        <f t="shared" si="1172"/>
        <v>99999</v>
      </c>
      <c r="B32659" s="2" t="str">
        <f>"57551"</f>
        <v>57551</v>
      </c>
      <c r="C32659" s="1">
        <v>4.8348204862803498E-5</v>
      </c>
      <c r="D32659" s="1">
        <v>3.4904861488403899E-5</v>
      </c>
      <c r="E32659" s="1">
        <v>6.0837559370939603E-5</v>
      </c>
      <c r="F32659" s="1">
        <v>4.77528645998364E-5</v>
      </c>
    </row>
    <row r="32660" spans="1:6" x14ac:dyDescent="0.25">
      <c r="A32660" s="2" t="str">
        <f t="shared" si="1172"/>
        <v>99999</v>
      </c>
      <c r="B32660" s="2" t="str">
        <f>"57472"</f>
        <v>57472</v>
      </c>
      <c r="C32660" s="1">
        <v>5.2277178621405997E-5</v>
      </c>
      <c r="D32660" s="1">
        <v>7.8915339017261203E-5</v>
      </c>
      <c r="E32660" s="1">
        <v>6.0837559370939603E-5</v>
      </c>
      <c r="F32660" s="1">
        <v>5.4219398347730897E-5</v>
      </c>
    </row>
    <row r="32661" spans="1:6" x14ac:dyDescent="0.25">
      <c r="A32661" s="2" t="str">
        <f t="shared" si="1172"/>
        <v>99999</v>
      </c>
      <c r="B32661" s="2" t="str">
        <f>"57466"</f>
        <v>57466</v>
      </c>
      <c r="C32661" s="1">
        <v>6.1117369578261701E-6</v>
      </c>
      <c r="D32661" s="1">
        <v>1.51760267340886E-6</v>
      </c>
      <c r="E32661" s="1">
        <v>4.3455399550671099E-6</v>
      </c>
      <c r="F32661" s="1">
        <v>5.7701378058135699E-6</v>
      </c>
    </row>
    <row r="32662" spans="1:6" x14ac:dyDescent="0.25">
      <c r="A32662" s="2" t="str">
        <f t="shared" si="1172"/>
        <v>99999</v>
      </c>
      <c r="B32662" s="2" t="str">
        <f>"57450"</f>
        <v>57450</v>
      </c>
      <c r="C32662" s="1">
        <v>2.9139888709635502E-5</v>
      </c>
      <c r="D32662" s="1">
        <v>3.0352053468177301E-6</v>
      </c>
      <c r="E32662" s="1">
        <v>2.1727699775335501E-5</v>
      </c>
      <c r="F32662" s="1">
        <v>2.7258926875739899E-5</v>
      </c>
    </row>
    <row r="32663" spans="1:6" x14ac:dyDescent="0.25">
      <c r="A32663" s="2" t="str">
        <f t="shared" si="1172"/>
        <v>99999</v>
      </c>
      <c r="B32663" s="2" t="str">
        <f>"58048"</f>
        <v>58048</v>
      </c>
      <c r="C32663" s="1">
        <v>1.0913815996118101E-6</v>
      </c>
      <c r="D32663" s="1">
        <v>0</v>
      </c>
      <c r="E32663" s="1">
        <v>0</v>
      </c>
      <c r="F32663" s="1">
        <v>9.9485134582992606E-7</v>
      </c>
    </row>
    <row r="32664" spans="1:6" x14ac:dyDescent="0.25">
      <c r="A32664" s="2" t="str">
        <f t="shared" si="1172"/>
        <v>99999</v>
      </c>
      <c r="B32664" s="2" t="str">
        <f>"57776"</f>
        <v>57776</v>
      </c>
      <c r="C32664" s="1">
        <v>1.09138159961181E-7</v>
      </c>
      <c r="D32664" s="1">
        <v>0</v>
      </c>
      <c r="E32664" s="1">
        <v>4.3455399550671099E-6</v>
      </c>
      <c r="F32664" s="1">
        <v>1.9897026916598501E-7</v>
      </c>
    </row>
    <row r="32665" spans="1:6" x14ac:dyDescent="0.25">
      <c r="A32665" s="2" t="str">
        <f t="shared" si="1172"/>
        <v>99999</v>
      </c>
      <c r="B32665" s="2" t="str">
        <f>"58009"</f>
        <v>58009</v>
      </c>
      <c r="C32665" s="1">
        <v>5.2386316781367196E-6</v>
      </c>
      <c r="D32665" s="1">
        <v>3.0352053468177301E-6</v>
      </c>
      <c r="E32665" s="1">
        <v>4.3455399550671099E-6</v>
      </c>
      <c r="F32665" s="1">
        <v>5.0737418637326201E-6</v>
      </c>
    </row>
    <row r="32666" spans="1:6" x14ac:dyDescent="0.25">
      <c r="A32666" s="2" t="str">
        <f t="shared" si="1172"/>
        <v>99999</v>
      </c>
      <c r="B32666" s="2" t="str">
        <f>"58035"</f>
        <v>58035</v>
      </c>
      <c r="C32666" s="1">
        <v>1.1459506795924E-5</v>
      </c>
      <c r="D32666" s="1">
        <v>1.51760267340886E-6</v>
      </c>
      <c r="E32666" s="1">
        <v>1.3036619865201299E-5</v>
      </c>
      <c r="F32666" s="1">
        <v>1.0843879669546099E-5</v>
      </c>
    </row>
    <row r="32667" spans="1:6" x14ac:dyDescent="0.25">
      <c r="A32667" s="2" t="str">
        <f t="shared" si="1172"/>
        <v>99999</v>
      </c>
      <c r="B32667" s="2" t="str">
        <f>"57788"</f>
        <v>57788</v>
      </c>
      <c r="C32667" s="1">
        <v>1.28783028754194E-5</v>
      </c>
      <c r="D32667" s="1">
        <v>4.5528080202265997E-6</v>
      </c>
      <c r="E32667" s="1">
        <v>1.3036619865201299E-5</v>
      </c>
      <c r="F32667" s="1">
        <v>1.2336156688290999E-5</v>
      </c>
    </row>
    <row r="32668" spans="1:6" x14ac:dyDescent="0.25">
      <c r="A32668" s="2" t="str">
        <f t="shared" si="1172"/>
        <v>99999</v>
      </c>
      <c r="B32668" s="2" t="str">
        <f>"58064"</f>
        <v>58064</v>
      </c>
      <c r="C32668" s="1">
        <v>3.4924211187578098E-6</v>
      </c>
      <c r="D32668" s="1">
        <v>0</v>
      </c>
      <c r="E32668" s="1">
        <v>0</v>
      </c>
      <c r="F32668" s="1">
        <v>3.1835243066557602E-6</v>
      </c>
    </row>
    <row r="32669" spans="1:6" x14ac:dyDescent="0.25">
      <c r="A32669" s="2" t="str">
        <f t="shared" si="1172"/>
        <v>99999</v>
      </c>
      <c r="B32669" s="2" t="str">
        <f>"58071"</f>
        <v>58071</v>
      </c>
      <c r="C32669" s="1">
        <v>6.2208751177873496E-6</v>
      </c>
      <c r="D32669" s="1">
        <v>6.0704106936354696E-6</v>
      </c>
      <c r="E32669" s="1">
        <v>0</v>
      </c>
      <c r="F32669" s="1">
        <v>6.0685932095625502E-6</v>
      </c>
    </row>
    <row r="32670" spans="1:6" x14ac:dyDescent="0.25">
      <c r="A32670" s="2" t="str">
        <f t="shared" si="1172"/>
        <v>99999</v>
      </c>
      <c r="B32670" s="2" t="str">
        <f>"57367"</f>
        <v>57367</v>
      </c>
      <c r="C32670" s="1">
        <v>1.09138159961181E-7</v>
      </c>
      <c r="D32670" s="1">
        <v>0</v>
      </c>
      <c r="E32670" s="1">
        <v>4.3455399550671099E-6</v>
      </c>
      <c r="F32670" s="1">
        <v>1.9897026916598501E-7</v>
      </c>
    </row>
    <row r="32671" spans="1:6" x14ac:dyDescent="0.25">
      <c r="A32671" s="2" t="str">
        <f t="shared" si="1172"/>
        <v>99999</v>
      </c>
      <c r="B32671" s="2" t="str">
        <f>"57361"</f>
        <v>57361</v>
      </c>
      <c r="C32671" s="1">
        <v>0</v>
      </c>
      <c r="D32671" s="1">
        <v>0</v>
      </c>
      <c r="E32671" s="1">
        <v>4.3455399550671099E-6</v>
      </c>
      <c r="F32671" s="1">
        <v>9.9485134582992598E-8</v>
      </c>
    </row>
    <row r="32672" spans="1:6" x14ac:dyDescent="0.25">
      <c r="A32672" s="2" t="str">
        <f t="shared" si="1172"/>
        <v>99999</v>
      </c>
      <c r="B32672" s="2" t="str">
        <f>"57363"</f>
        <v>57363</v>
      </c>
      <c r="C32672" s="1">
        <v>2.2919013591848099E-6</v>
      </c>
      <c r="D32672" s="1">
        <v>1.51760267340886E-6</v>
      </c>
      <c r="E32672" s="1">
        <v>0</v>
      </c>
      <c r="F32672" s="1">
        <v>2.1886729608258301E-6</v>
      </c>
    </row>
    <row r="32673" spans="1:6" x14ac:dyDescent="0.25">
      <c r="A32673" s="2" t="str">
        <f t="shared" si="1172"/>
        <v>99999</v>
      </c>
      <c r="B32673" s="2" t="str">
        <f>"57386"</f>
        <v>57386</v>
      </c>
      <c r="C32673" s="1">
        <v>8.7310527968945299E-7</v>
      </c>
      <c r="D32673" s="1">
        <v>0</v>
      </c>
      <c r="E32673" s="1">
        <v>0</v>
      </c>
      <c r="F32673" s="1">
        <v>7.9588107666394099E-7</v>
      </c>
    </row>
    <row r="32674" spans="1:6" x14ac:dyDescent="0.25">
      <c r="A32674" s="2" t="str">
        <f t="shared" si="1172"/>
        <v>99999</v>
      </c>
      <c r="B32674" s="2" t="str">
        <f>"57356"</f>
        <v>57356</v>
      </c>
      <c r="C32674" s="1">
        <v>6.3190994617524202E-5</v>
      </c>
      <c r="D32674" s="1">
        <v>1.8211232080906399E-5</v>
      </c>
      <c r="E32674" s="1">
        <v>2.60732397304027E-5</v>
      </c>
      <c r="F32674" s="1">
        <v>5.9392625346046603E-5</v>
      </c>
    </row>
    <row r="32675" spans="1:6" x14ac:dyDescent="0.25">
      <c r="A32675" s="2" t="str">
        <f t="shared" si="1172"/>
        <v>99999</v>
      </c>
      <c r="B32675" s="2" t="str">
        <f>"57752"</f>
        <v>57752</v>
      </c>
      <c r="C32675" s="1">
        <v>9.5605028125995202E-5</v>
      </c>
      <c r="D32675" s="1">
        <v>3.0352053468177301E-6</v>
      </c>
      <c r="E32675" s="1">
        <v>3.9109859595604001E-5</v>
      </c>
      <c r="F32675" s="1">
        <v>8.8243314375114403E-5</v>
      </c>
    </row>
    <row r="32676" spans="1:6" x14ac:dyDescent="0.25">
      <c r="A32676" s="2" t="str">
        <f t="shared" si="1172"/>
        <v>99999</v>
      </c>
      <c r="B32676" s="2" t="str">
        <f>"57261"</f>
        <v>57261</v>
      </c>
      <c r="C32676" s="1">
        <v>1.6698138474060799E-5</v>
      </c>
      <c r="D32676" s="1">
        <v>6.0704106936354696E-6</v>
      </c>
      <c r="E32676" s="1">
        <v>1.7382159820268399E-5</v>
      </c>
      <c r="F32676" s="1">
        <v>1.6017106667861799E-5</v>
      </c>
    </row>
    <row r="32677" spans="1:6" x14ac:dyDescent="0.25">
      <c r="A32677" s="2" t="str">
        <f t="shared" si="1172"/>
        <v>99999</v>
      </c>
      <c r="B32677" s="2" t="str">
        <f>"57340"</f>
        <v>57340</v>
      </c>
      <c r="C32677" s="1">
        <v>7.63967119728272E-7</v>
      </c>
      <c r="D32677" s="1">
        <v>0</v>
      </c>
      <c r="E32677" s="1">
        <v>0</v>
      </c>
      <c r="F32677" s="1">
        <v>6.9639594208094799E-7</v>
      </c>
    </row>
    <row r="32678" spans="1:6" x14ac:dyDescent="0.25">
      <c r="A32678" s="2" t="str">
        <f t="shared" si="1172"/>
        <v>99999</v>
      </c>
      <c r="B32678" s="2" t="str">
        <f>"57345"</f>
        <v>57345</v>
      </c>
      <c r="C32678" s="1">
        <v>3.8307494146374702E-5</v>
      </c>
      <c r="D32678" s="1">
        <v>6.0704106936354696E-6</v>
      </c>
      <c r="E32678" s="1">
        <v>4.3455399550671099E-6</v>
      </c>
      <c r="F32678" s="1">
        <v>3.5416707911545303E-5</v>
      </c>
    </row>
    <row r="32679" spans="1:6" x14ac:dyDescent="0.25">
      <c r="A32679" s="2" t="str">
        <f t="shared" si="1172"/>
        <v>99999</v>
      </c>
      <c r="B32679" s="2" t="str">
        <f>"57339"</f>
        <v>57339</v>
      </c>
      <c r="C32679" s="1">
        <v>4.1472500785249E-6</v>
      </c>
      <c r="D32679" s="1">
        <v>3.0352053468177301E-6</v>
      </c>
      <c r="E32679" s="1">
        <v>4.3455399550671099E-6</v>
      </c>
      <c r="F32679" s="1">
        <v>4.07889051790269E-6</v>
      </c>
    </row>
    <row r="32680" spans="1:6" x14ac:dyDescent="0.25">
      <c r="A32680" s="2" t="str">
        <f t="shared" si="1172"/>
        <v>99999</v>
      </c>
      <c r="B32680" s="2" t="str">
        <f>"57325"</f>
        <v>57325</v>
      </c>
      <c r="C32680" s="1">
        <v>2.1401993168387699E-4</v>
      </c>
      <c r="D32680" s="1">
        <v>5.3116093569310398E-4</v>
      </c>
      <c r="E32680" s="1">
        <v>3.9544413591110703E-4</v>
      </c>
      <c r="F32680" s="1">
        <v>2.38963293268348E-4</v>
      </c>
    </row>
    <row r="32681" spans="1:6" x14ac:dyDescent="0.25">
      <c r="A32681" s="2" t="str">
        <f t="shared" si="1172"/>
        <v>99999</v>
      </c>
      <c r="B32681" s="2" t="str">
        <f>"57273"</f>
        <v>57273</v>
      </c>
      <c r="C32681" s="1">
        <v>5.5987876060086201E-5</v>
      </c>
      <c r="D32681" s="1">
        <v>2.5799245447950699E-5</v>
      </c>
      <c r="E32681" s="1">
        <v>1.3036619865201299E-5</v>
      </c>
      <c r="F32681" s="1">
        <v>5.3025576732735003E-5</v>
      </c>
    </row>
    <row r="32682" spans="1:6" x14ac:dyDescent="0.25">
      <c r="A32682" s="2" t="str">
        <f t="shared" si="1172"/>
        <v>99999</v>
      </c>
      <c r="B32682" s="2" t="str">
        <f>"57270"</f>
        <v>57270</v>
      </c>
      <c r="C32682" s="1">
        <v>2.8703336069790699E-5</v>
      </c>
      <c r="D32682" s="1">
        <v>1.51760267340886E-6</v>
      </c>
      <c r="E32682" s="1">
        <v>3.47643196405369E-5</v>
      </c>
      <c r="F32682" s="1">
        <v>2.7059956606573898E-5</v>
      </c>
    </row>
    <row r="32683" spans="1:6" x14ac:dyDescent="0.25">
      <c r="A32683" s="2" t="str">
        <f t="shared" si="1172"/>
        <v>99999</v>
      </c>
      <c r="B32683" s="2" t="str">
        <f>"56736"</f>
        <v>56736</v>
      </c>
      <c r="C32683" s="1">
        <v>2.1827631992236301E-7</v>
      </c>
      <c r="D32683" s="1">
        <v>0</v>
      </c>
      <c r="E32683" s="1">
        <v>0</v>
      </c>
      <c r="F32683" s="1">
        <v>1.9897026916598501E-7</v>
      </c>
    </row>
    <row r="32684" spans="1:6" x14ac:dyDescent="0.25">
      <c r="A32684" s="2" t="str">
        <f t="shared" si="1172"/>
        <v>99999</v>
      </c>
      <c r="B32684" s="2" t="str">
        <f>"56761"</f>
        <v>56761</v>
      </c>
      <c r="C32684" s="1">
        <v>2.9139888709635502E-5</v>
      </c>
      <c r="D32684" s="1">
        <v>4.5528080202265997E-6</v>
      </c>
      <c r="E32684" s="1">
        <v>4.3455399550671099E-6</v>
      </c>
      <c r="F32684" s="1">
        <v>2.6960471471991001E-5</v>
      </c>
    </row>
    <row r="32685" spans="1:6" x14ac:dyDescent="0.25">
      <c r="A32685" s="2" t="str">
        <f t="shared" si="1172"/>
        <v>99999</v>
      </c>
      <c r="B32685" s="2" t="str">
        <f>"56757"</f>
        <v>56757</v>
      </c>
      <c r="C32685" s="1">
        <v>3.2414033508470899E-5</v>
      </c>
      <c r="D32685" s="1">
        <v>1.21408213872709E-5</v>
      </c>
      <c r="E32685" s="1">
        <v>4.7800939505738197E-5</v>
      </c>
      <c r="F32685" s="1">
        <v>3.1437302528225599E-5</v>
      </c>
    </row>
    <row r="32686" spans="1:6" x14ac:dyDescent="0.25">
      <c r="A32686" s="2" t="str">
        <f t="shared" si="1172"/>
        <v>99999</v>
      </c>
      <c r="B32686" s="2" t="str">
        <f>"56733"</f>
        <v>56733</v>
      </c>
      <c r="C32686" s="1">
        <v>1.6370723994177199E-5</v>
      </c>
      <c r="D32686" s="1">
        <v>3.0352053468177301E-6</v>
      </c>
      <c r="E32686" s="1">
        <v>1.3036619865201299E-5</v>
      </c>
      <c r="F32686" s="1">
        <v>1.5420195860363801E-5</v>
      </c>
    </row>
    <row r="32687" spans="1:6" x14ac:dyDescent="0.25">
      <c r="A32687" s="2" t="str">
        <f t="shared" si="1172"/>
        <v>99999</v>
      </c>
      <c r="B32687" s="2" t="str">
        <f>"56669"</f>
        <v>56669</v>
      </c>
      <c r="C32687" s="1">
        <v>1.39696844750312E-5</v>
      </c>
      <c r="D32687" s="1">
        <v>1.51760267340886E-6</v>
      </c>
      <c r="E32687" s="1">
        <v>0</v>
      </c>
      <c r="F32687" s="1">
        <v>1.2833582361206E-5</v>
      </c>
    </row>
    <row r="32688" spans="1:6" x14ac:dyDescent="0.25">
      <c r="A32688" s="2" t="str">
        <f t="shared" si="1172"/>
        <v>99999</v>
      </c>
      <c r="B32688" s="2" t="str">
        <f>"56686"</f>
        <v>56686</v>
      </c>
      <c r="C32688" s="1">
        <v>6.5701172296631403E-5</v>
      </c>
      <c r="D32688" s="1">
        <v>6.0704106936354696E-6</v>
      </c>
      <c r="E32688" s="1">
        <v>4.3455399550671099E-6</v>
      </c>
      <c r="F32688" s="1">
        <v>6.03874766918765E-5</v>
      </c>
    </row>
    <row r="32689" spans="1:6" x14ac:dyDescent="0.25">
      <c r="A32689" s="2" t="str">
        <f t="shared" si="1172"/>
        <v>99999</v>
      </c>
      <c r="B32689" s="2" t="str">
        <f>"56678"</f>
        <v>56678</v>
      </c>
      <c r="C32689" s="1">
        <v>2.3464704391654001E-5</v>
      </c>
      <c r="D32689" s="1">
        <v>1.51760267340886E-6</v>
      </c>
      <c r="E32689" s="1">
        <v>4.3455399550671099E-6</v>
      </c>
      <c r="F32689" s="1">
        <v>2.15882742045094E-5</v>
      </c>
    </row>
    <row r="32690" spans="1:6" x14ac:dyDescent="0.25">
      <c r="A32690" s="2" t="str">
        <f t="shared" si="1172"/>
        <v>99999</v>
      </c>
      <c r="B32690" s="2" t="str">
        <f>"56673"</f>
        <v>56673</v>
      </c>
      <c r="C32690" s="1">
        <v>4.1909053425093703E-5</v>
      </c>
      <c r="D32690" s="1">
        <v>6.0704106936354696E-6</v>
      </c>
      <c r="E32690" s="1">
        <v>2.1727699775335501E-5</v>
      </c>
      <c r="F32690" s="1">
        <v>3.9097657891116098E-5</v>
      </c>
    </row>
    <row r="32691" spans="1:6" x14ac:dyDescent="0.25">
      <c r="A32691" s="2" t="str">
        <f t="shared" si="1172"/>
        <v>99999</v>
      </c>
      <c r="B32691" s="2" t="str">
        <f>"56644"</f>
        <v>56644</v>
      </c>
      <c r="C32691" s="1">
        <v>4.2127329745016101E-5</v>
      </c>
      <c r="D32691" s="1">
        <v>6.0704106936354696E-6</v>
      </c>
      <c r="E32691" s="1">
        <v>3.9109859595604001E-5</v>
      </c>
      <c r="F32691" s="1">
        <v>3.9694568698614001E-5</v>
      </c>
    </row>
    <row r="32692" spans="1:6" x14ac:dyDescent="0.25">
      <c r="A32692" s="2" t="str">
        <f t="shared" si="1172"/>
        <v>99999</v>
      </c>
      <c r="B32692" s="2" t="str">
        <f>"57223"</f>
        <v>57223</v>
      </c>
      <c r="C32692" s="1">
        <v>1.09138159961181E-7</v>
      </c>
      <c r="D32692" s="1">
        <v>0</v>
      </c>
      <c r="E32692" s="1">
        <v>0</v>
      </c>
      <c r="F32692" s="1">
        <v>9.9485134582992598E-8</v>
      </c>
    </row>
    <row r="32693" spans="1:6" x14ac:dyDescent="0.25">
      <c r="A32693" s="2" t="str">
        <f t="shared" si="1172"/>
        <v>99999</v>
      </c>
      <c r="B32693" s="2" t="str">
        <f>"57217"</f>
        <v>57217</v>
      </c>
      <c r="C32693" s="1">
        <v>1.1459506795924E-5</v>
      </c>
      <c r="D32693" s="1">
        <v>1.51760267340886E-6</v>
      </c>
      <c r="E32693" s="1">
        <v>4.3455399550671099E-6</v>
      </c>
      <c r="F32693" s="1">
        <v>1.0644909400380201E-5</v>
      </c>
    </row>
    <row r="32694" spans="1:6" x14ac:dyDescent="0.25">
      <c r="A32694" s="2" t="str">
        <f t="shared" si="1172"/>
        <v>99999</v>
      </c>
      <c r="B32694" s="2" t="str">
        <f>"57232"</f>
        <v>57232</v>
      </c>
      <c r="C32694" s="1">
        <v>1.41879607949536E-5</v>
      </c>
      <c r="D32694" s="1">
        <v>4.5528080202265997E-6</v>
      </c>
      <c r="E32694" s="1">
        <v>4.3455399550671099E-6</v>
      </c>
      <c r="F32694" s="1">
        <v>1.3331008034121E-5</v>
      </c>
    </row>
    <row r="32695" spans="1:6" x14ac:dyDescent="0.25">
      <c r="A32695" s="2" t="str">
        <f t="shared" si="1172"/>
        <v>99999</v>
      </c>
      <c r="B32695" s="2" t="str">
        <f>"57212"</f>
        <v>57212</v>
      </c>
      <c r="C32695" s="1">
        <v>7.9670856771662596E-5</v>
      </c>
      <c r="D32695" s="1">
        <v>2.2764040101133E-5</v>
      </c>
      <c r="E32695" s="1">
        <v>1.6078497833748299E-4</v>
      </c>
      <c r="F32695" s="1">
        <v>7.7797375243900203E-5</v>
      </c>
    </row>
    <row r="32696" spans="1:6" x14ac:dyDescent="0.25">
      <c r="A32696" s="2" t="str">
        <f t="shared" si="1172"/>
        <v>99999</v>
      </c>
      <c r="B32696" s="2" t="str">
        <f>"57062"</f>
        <v>57062</v>
      </c>
      <c r="C32696" s="1">
        <v>6.6246863096437299E-5</v>
      </c>
      <c r="D32696" s="1">
        <v>2.5799245447950699E-5</v>
      </c>
      <c r="E32696" s="1">
        <v>1.39057278562147E-4</v>
      </c>
      <c r="F32696" s="1">
        <v>6.5262248286443095E-5</v>
      </c>
    </row>
    <row r="32697" spans="1:6" x14ac:dyDescent="0.25">
      <c r="A32697" s="2" t="str">
        <f t="shared" si="1172"/>
        <v>99999</v>
      </c>
      <c r="B32697" s="2" t="str">
        <f>"56623"</f>
        <v>56623</v>
      </c>
      <c r="C32697" s="1">
        <v>1.9350195761117501E-4</v>
      </c>
      <c r="D32697" s="1">
        <v>1.4720745932066001E-4</v>
      </c>
      <c r="E32697" s="1">
        <v>1.8685821806788599E-4</v>
      </c>
      <c r="F32697" s="1">
        <v>1.9031506245726401E-4</v>
      </c>
    </row>
    <row r="32698" spans="1:6" x14ac:dyDescent="0.25">
      <c r="A32698" s="2" t="str">
        <f t="shared" si="1172"/>
        <v>99999</v>
      </c>
      <c r="B32698" s="2" t="str">
        <f>"56590"</f>
        <v>56590</v>
      </c>
      <c r="C32698" s="1">
        <v>1.7571243753750201E-5</v>
      </c>
      <c r="D32698" s="1">
        <v>9.1056160404532095E-6</v>
      </c>
      <c r="E32698" s="1">
        <v>4.3455399550671099E-6</v>
      </c>
      <c r="F32698" s="1">
        <v>1.67135026099427E-5</v>
      </c>
    </row>
    <row r="32699" spans="1:6" x14ac:dyDescent="0.25">
      <c r="A32699" s="2" t="str">
        <f t="shared" si="1172"/>
        <v>99999</v>
      </c>
      <c r="B32699" s="2" t="str">
        <f>"57052"</f>
        <v>57052</v>
      </c>
      <c r="C32699" s="1">
        <v>1.10229541560793E-5</v>
      </c>
      <c r="D32699" s="1">
        <v>2.2764040101133E-5</v>
      </c>
      <c r="E32699" s="1">
        <v>1.3036619865201299E-5</v>
      </c>
      <c r="F32699" s="1">
        <v>1.18387310153761E-5</v>
      </c>
    </row>
    <row r="32700" spans="1:6" x14ac:dyDescent="0.25">
      <c r="A32700" s="2" t="str">
        <f t="shared" si="1172"/>
        <v>99999</v>
      </c>
      <c r="B32700" s="2" t="str">
        <f>"56344"</f>
        <v>56344</v>
      </c>
      <c r="C32700" s="1">
        <v>0</v>
      </c>
      <c r="D32700" s="1">
        <v>1.51760267340886E-6</v>
      </c>
      <c r="E32700" s="1">
        <v>0</v>
      </c>
      <c r="F32700" s="1">
        <v>9.9485134582992598E-8</v>
      </c>
    </row>
    <row r="32701" spans="1:6" x14ac:dyDescent="0.25">
      <c r="A32701" s="2" t="str">
        <f t="shared" si="1172"/>
        <v>99999</v>
      </c>
      <c r="B32701" s="2" t="str">
        <f>"56516"</f>
        <v>56516</v>
      </c>
      <c r="C32701" s="1">
        <v>1.1132092316040499E-5</v>
      </c>
      <c r="D32701" s="1">
        <v>6.0704106936354696E-6</v>
      </c>
      <c r="E32701" s="1">
        <v>4.3455399550671099E-6</v>
      </c>
      <c r="F32701" s="1">
        <v>1.0644909400380201E-5</v>
      </c>
    </row>
    <row r="32702" spans="1:6" x14ac:dyDescent="0.25">
      <c r="A32702" s="2" t="str">
        <f t="shared" si="1172"/>
        <v>99999</v>
      </c>
      <c r="B32702" s="2" t="str">
        <f>"56521"</f>
        <v>56521</v>
      </c>
      <c r="C32702" s="1">
        <v>3.4705934867655701E-5</v>
      </c>
      <c r="D32702" s="1">
        <v>1.0623218713862E-5</v>
      </c>
      <c r="E32702" s="1">
        <v>1.7382159820268399E-5</v>
      </c>
      <c r="F32702" s="1">
        <v>3.2730609277804499E-5</v>
      </c>
    </row>
    <row r="32703" spans="1:6" x14ac:dyDescent="0.25">
      <c r="A32703" s="2" t="str">
        <f t="shared" si="1172"/>
        <v>99999</v>
      </c>
      <c r="B32703" s="2" t="str">
        <f>"56482"</f>
        <v>56482</v>
      </c>
      <c r="C32703" s="1">
        <v>3.0547770973134701E-4</v>
      </c>
      <c r="D32703" s="1">
        <v>5.6606579718150802E-4</v>
      </c>
      <c r="E32703" s="1">
        <v>7.0832301267594001E-4</v>
      </c>
      <c r="F32703" s="1">
        <v>3.3178292383427999E-4</v>
      </c>
    </row>
    <row r="32704" spans="1:6" x14ac:dyDescent="0.25">
      <c r="A32704" s="2" t="str">
        <f t="shared" si="1172"/>
        <v>99999</v>
      </c>
      <c r="B32704" s="2" t="str">
        <f>"56444"</f>
        <v>56444</v>
      </c>
      <c r="C32704" s="1">
        <v>5.4569079980590801E-7</v>
      </c>
      <c r="D32704" s="1">
        <v>0</v>
      </c>
      <c r="E32704" s="1">
        <v>0</v>
      </c>
      <c r="F32704" s="1">
        <v>4.9742567291496303E-7</v>
      </c>
    </row>
    <row r="32705" spans="1:6" x14ac:dyDescent="0.25">
      <c r="A32705" s="2" t="str">
        <f t="shared" si="1172"/>
        <v>99999</v>
      </c>
      <c r="B32705" s="2" t="str">
        <f>"56449"</f>
        <v>56449</v>
      </c>
      <c r="C32705" s="1">
        <v>1.8335210873478499E-5</v>
      </c>
      <c r="D32705" s="1">
        <v>1.51760267340886E-6</v>
      </c>
      <c r="E32705" s="1">
        <v>0</v>
      </c>
      <c r="F32705" s="1">
        <v>1.6812987744525699E-5</v>
      </c>
    </row>
    <row r="32706" spans="1:6" x14ac:dyDescent="0.25">
      <c r="A32706" s="2" t="str">
        <f t="shared" si="1172"/>
        <v>99999</v>
      </c>
      <c r="B32706" s="2" t="str">
        <f>"56446"</f>
        <v>56446</v>
      </c>
      <c r="C32706" s="1">
        <v>7.5851021173021306E-5</v>
      </c>
      <c r="D32706" s="1">
        <v>4.2492874855448297E-5</v>
      </c>
      <c r="E32706" s="1">
        <v>5.21464794608054E-5</v>
      </c>
      <c r="F32706" s="1">
        <v>7.3121573918499496E-5</v>
      </c>
    </row>
    <row r="32707" spans="1:6" x14ac:dyDescent="0.25">
      <c r="A32707" s="2" t="str">
        <f t="shared" si="1172"/>
        <v>99999</v>
      </c>
      <c r="B32707" s="2" t="str">
        <f>"56434"</f>
        <v>56434</v>
      </c>
      <c r="C32707" s="1">
        <v>8.9493291168169008E-6</v>
      </c>
      <c r="D32707" s="1">
        <v>7.5880133670443404E-6</v>
      </c>
      <c r="E32707" s="1">
        <v>8.69107991013423E-6</v>
      </c>
      <c r="F32707" s="1">
        <v>8.8541769778863392E-6</v>
      </c>
    </row>
    <row r="32708" spans="1:6" x14ac:dyDescent="0.25">
      <c r="A32708" s="2" t="str">
        <f t="shared" si="1172"/>
        <v>99999</v>
      </c>
      <c r="B32708" s="2" t="str">
        <f>"56469"</f>
        <v>56469</v>
      </c>
      <c r="C32708" s="1">
        <v>7.3013429014030505E-5</v>
      </c>
      <c r="D32708" s="1">
        <v>6.0704106936354696E-6</v>
      </c>
      <c r="E32708" s="1">
        <v>4.3455399550671099E-6</v>
      </c>
      <c r="F32708" s="1">
        <v>6.7052980708937E-5</v>
      </c>
    </row>
    <row r="32709" spans="1:6" x14ac:dyDescent="0.25">
      <c r="A32709" s="2" t="str">
        <f t="shared" si="1172"/>
        <v>99999</v>
      </c>
      <c r="B32709" s="2" t="str">
        <f>"56287"</f>
        <v>56287</v>
      </c>
      <c r="C32709" s="1">
        <v>4.4746645584084504E-6</v>
      </c>
      <c r="D32709" s="1">
        <v>4.5528080202265997E-6</v>
      </c>
      <c r="E32709" s="1">
        <v>4.3455399550671099E-6</v>
      </c>
      <c r="F32709" s="1">
        <v>4.4768310562346604E-6</v>
      </c>
    </row>
    <row r="32710" spans="1:6" x14ac:dyDescent="0.25">
      <c r="A32710" s="2" t="str">
        <f t="shared" si="1172"/>
        <v>99999</v>
      </c>
      <c r="B32710" s="2" t="str">
        <f>"56382"</f>
        <v>56382</v>
      </c>
      <c r="C32710" s="1">
        <v>7.0503251334923399E-5</v>
      </c>
      <c r="D32710" s="1">
        <v>4.5528080202265997E-6</v>
      </c>
      <c r="E32710" s="1">
        <v>1.3036619865201299E-5</v>
      </c>
      <c r="F32710" s="1">
        <v>6.4864307748111196E-5</v>
      </c>
    </row>
    <row r="32711" spans="1:6" x14ac:dyDescent="0.25">
      <c r="A32711" s="2" t="str">
        <f t="shared" si="1172"/>
        <v>99999</v>
      </c>
      <c r="B32711" s="2" t="str">
        <f>"56271"</f>
        <v>56271</v>
      </c>
      <c r="C32711" s="1">
        <v>6.3736685417330099E-5</v>
      </c>
      <c r="D32711" s="1">
        <v>5.4633696242719298E-5</v>
      </c>
      <c r="E32711" s="1">
        <v>8.69107991013423E-5</v>
      </c>
      <c r="F32711" s="1">
        <v>6.36704861331152E-5</v>
      </c>
    </row>
    <row r="32712" spans="1:6" x14ac:dyDescent="0.25">
      <c r="A32712" s="2" t="str">
        <f t="shared" si="1172"/>
        <v>99999</v>
      </c>
      <c r="B32712" s="2" t="str">
        <f>"56248"</f>
        <v>56248</v>
      </c>
      <c r="C32712" s="1">
        <v>3.0122132149286099E-5</v>
      </c>
      <c r="D32712" s="1">
        <v>1.0623218713862E-5</v>
      </c>
      <c r="E32712" s="1">
        <v>3.0418779685469802E-5</v>
      </c>
      <c r="F32712" s="1">
        <v>2.88506890290678E-5</v>
      </c>
    </row>
    <row r="32713" spans="1:6" x14ac:dyDescent="0.25">
      <c r="A32713" s="2" t="str">
        <f t="shared" si="1172"/>
        <v>99999</v>
      </c>
      <c r="B32713" s="2" t="str">
        <f>"56245"</f>
        <v>56245</v>
      </c>
      <c r="C32713" s="1">
        <v>2.1281941192430401E-5</v>
      </c>
      <c r="D32713" s="1">
        <v>2.1246437427724101E-5</v>
      </c>
      <c r="E32713" s="1">
        <v>1.7382159820268399E-5</v>
      </c>
      <c r="F32713" s="1">
        <v>2.1190333666177399E-5</v>
      </c>
    </row>
    <row r="32714" spans="1:6" x14ac:dyDescent="0.25">
      <c r="A32714" s="2" t="str">
        <f t="shared" si="1172"/>
        <v>99999</v>
      </c>
      <c r="B32714" s="2" t="str">
        <f>"56236"</f>
        <v>56236</v>
      </c>
      <c r="C32714" s="1">
        <v>1.4842789754720701E-5</v>
      </c>
      <c r="D32714" s="1">
        <v>4.5528080202265997E-6</v>
      </c>
      <c r="E32714" s="1">
        <v>0</v>
      </c>
      <c r="F32714" s="1">
        <v>1.3828433707035901E-5</v>
      </c>
    </row>
    <row r="32715" spans="1:6" x14ac:dyDescent="0.25">
      <c r="A32715" s="2" t="str">
        <f t="shared" si="1172"/>
        <v>99999</v>
      </c>
      <c r="B32715" s="2" t="str">
        <f>"56022"</f>
        <v>56022</v>
      </c>
      <c r="C32715" s="1">
        <v>0</v>
      </c>
      <c r="D32715" s="1">
        <v>0</v>
      </c>
      <c r="E32715" s="1">
        <v>4.3455399550671099E-6</v>
      </c>
      <c r="F32715" s="1">
        <v>9.9485134582992598E-8</v>
      </c>
    </row>
    <row r="32716" spans="1:6" x14ac:dyDescent="0.25">
      <c r="A32716" s="2" t="str">
        <f t="shared" si="1172"/>
        <v>99999</v>
      </c>
      <c r="B32716" s="2" t="str">
        <f>"56185"</f>
        <v>56185</v>
      </c>
      <c r="C32716" s="1">
        <v>1.09138159961181E-7</v>
      </c>
      <c r="D32716" s="1">
        <v>0</v>
      </c>
      <c r="E32716" s="1">
        <v>0</v>
      </c>
      <c r="F32716" s="1">
        <v>9.9485134582992598E-8</v>
      </c>
    </row>
    <row r="32717" spans="1:6" x14ac:dyDescent="0.25">
      <c r="A32717" s="2" t="str">
        <f t="shared" si="1172"/>
        <v>99999</v>
      </c>
      <c r="B32717" s="2" t="str">
        <f>"56223"</f>
        <v>56223</v>
      </c>
      <c r="C32717" s="1">
        <v>7.3995672453681198E-5</v>
      </c>
      <c r="D32717" s="1">
        <v>7.2844928323625703E-5</v>
      </c>
      <c r="E32717" s="1">
        <v>7.3874179236140894E-5</v>
      </c>
      <c r="F32717" s="1">
        <v>7.3917454995163498E-5</v>
      </c>
    </row>
    <row r="32718" spans="1:6" x14ac:dyDescent="0.25">
      <c r="A32718" s="2" t="str">
        <f t="shared" si="1172"/>
        <v>99999</v>
      </c>
      <c r="B32718" s="2" t="str">
        <f>"56081"</f>
        <v>56081</v>
      </c>
      <c r="C32718" s="1">
        <v>3.0667822949091998E-4</v>
      </c>
      <c r="D32718" s="1">
        <v>3.6118943627131003E-4</v>
      </c>
      <c r="E32718" s="1">
        <v>3.8240751604590601E-4</v>
      </c>
      <c r="F32718" s="1">
        <v>3.1198538205226399E-4</v>
      </c>
    </row>
    <row r="32719" spans="1:6" x14ac:dyDescent="0.25">
      <c r="A32719" s="2" t="str">
        <f t="shared" si="1172"/>
        <v>99999</v>
      </c>
      <c r="B32719" s="2" t="str">
        <f>"56147"</f>
        <v>56147</v>
      </c>
      <c r="C32719" s="1">
        <v>7.4213948773603504E-6</v>
      </c>
      <c r="D32719" s="1">
        <v>6.0704106936354696E-6</v>
      </c>
      <c r="E32719" s="1">
        <v>4.3455399550671099E-6</v>
      </c>
      <c r="F32719" s="1">
        <v>7.2624148245584604E-6</v>
      </c>
    </row>
    <row r="32720" spans="1:6" x14ac:dyDescent="0.25">
      <c r="A32720" s="2" t="str">
        <f t="shared" si="1172"/>
        <v>99999</v>
      </c>
      <c r="B32720" s="2" t="str">
        <f>"56119"</f>
        <v>56119</v>
      </c>
      <c r="C32720" s="1">
        <v>9.3858817566616205E-6</v>
      </c>
      <c r="D32720" s="1">
        <v>3.0352053468177301E-6</v>
      </c>
      <c r="E32720" s="1">
        <v>0</v>
      </c>
      <c r="F32720" s="1">
        <v>8.7546918433033508E-6</v>
      </c>
    </row>
    <row r="32721" spans="1:6" x14ac:dyDescent="0.25">
      <c r="A32721" s="2" t="str">
        <f t="shared" si="1172"/>
        <v>99999</v>
      </c>
      <c r="B32721" s="2" t="str">
        <f>"56170"</f>
        <v>56170</v>
      </c>
      <c r="C32721" s="1">
        <v>2.8703336069790699E-5</v>
      </c>
      <c r="D32721" s="1">
        <v>1.3658424060679801E-5</v>
      </c>
      <c r="E32721" s="1">
        <v>0</v>
      </c>
      <c r="F32721" s="1">
        <v>2.7059956606573898E-5</v>
      </c>
    </row>
    <row r="32722" spans="1:6" x14ac:dyDescent="0.25">
      <c r="A32722" s="2" t="str">
        <f t="shared" ref="A32722:A32785" si="1173">"99999"</f>
        <v>99999</v>
      </c>
      <c r="B32722" s="2" t="str">
        <f>"56151"</f>
        <v>56151</v>
      </c>
      <c r="C32722" s="1">
        <v>4.5510612703812697E-5</v>
      </c>
      <c r="D32722" s="1">
        <v>1.8211232080906399E-5</v>
      </c>
      <c r="E32722" s="1">
        <v>1.3036619865201299E-5</v>
      </c>
      <c r="F32722" s="1">
        <v>4.2977578139852803E-5</v>
      </c>
    </row>
    <row r="32723" spans="1:6" x14ac:dyDescent="0.25">
      <c r="A32723" s="2" t="str">
        <f t="shared" si="1173"/>
        <v>99999</v>
      </c>
      <c r="B32723" s="2" t="str">
        <f>"56111"</f>
        <v>56111</v>
      </c>
      <c r="C32723" s="1">
        <v>2.30281517518093E-5</v>
      </c>
      <c r="D32723" s="1">
        <v>1.9728834754315301E-5</v>
      </c>
      <c r="E32723" s="1">
        <v>0</v>
      </c>
      <c r="F32723" s="1">
        <v>2.2284670146590302E-5</v>
      </c>
    </row>
    <row r="32724" spans="1:6" x14ac:dyDescent="0.25">
      <c r="A32724" s="2" t="str">
        <f t="shared" si="1173"/>
        <v>99999</v>
      </c>
      <c r="B32724" s="2" t="str">
        <f>"56063"</f>
        <v>56063</v>
      </c>
      <c r="C32724" s="1">
        <v>1.4187960794953601E-6</v>
      </c>
      <c r="D32724" s="1">
        <v>0</v>
      </c>
      <c r="E32724" s="1">
        <v>0</v>
      </c>
      <c r="F32724" s="1">
        <v>1.2933067495789E-6</v>
      </c>
    </row>
    <row r="32725" spans="1:6" x14ac:dyDescent="0.25">
      <c r="A32725" s="2" t="str">
        <f t="shared" si="1173"/>
        <v>99999</v>
      </c>
      <c r="B32725" s="2" t="str">
        <f>"55339"</f>
        <v>55339</v>
      </c>
      <c r="C32725" s="1">
        <v>3.6015592787189902E-6</v>
      </c>
      <c r="D32725" s="1">
        <v>1.51760267340886E-6</v>
      </c>
      <c r="E32725" s="1">
        <v>0</v>
      </c>
      <c r="F32725" s="1">
        <v>3.3824945758217398E-6</v>
      </c>
    </row>
    <row r="32726" spans="1:6" x14ac:dyDescent="0.25">
      <c r="A32726" s="2" t="str">
        <f t="shared" si="1173"/>
        <v>99999</v>
      </c>
      <c r="B32726" s="2" t="str">
        <f>"55036"</f>
        <v>55036</v>
      </c>
      <c r="C32726" s="1">
        <v>6.1117369578261701E-6</v>
      </c>
      <c r="D32726" s="1">
        <v>3.0352053468177301E-6</v>
      </c>
      <c r="E32726" s="1">
        <v>4.3455399550671099E-6</v>
      </c>
      <c r="F32726" s="1">
        <v>5.86962294039656E-6</v>
      </c>
    </row>
    <row r="32727" spans="1:6" x14ac:dyDescent="0.25">
      <c r="A32727" s="2" t="str">
        <f t="shared" si="1173"/>
        <v>99999</v>
      </c>
      <c r="B32727" s="2" t="str">
        <f>"55030"</f>
        <v>55030</v>
      </c>
      <c r="C32727" s="1">
        <v>7.5632744853098901E-5</v>
      </c>
      <c r="D32727" s="1">
        <v>6.0704106936354696E-6</v>
      </c>
      <c r="E32727" s="1">
        <v>1.7382159820268399E-5</v>
      </c>
      <c r="F32727" s="1">
        <v>6.9739079342677804E-5</v>
      </c>
    </row>
    <row r="32728" spans="1:6" x14ac:dyDescent="0.25">
      <c r="A32728" s="2" t="str">
        <f t="shared" si="1173"/>
        <v>99999</v>
      </c>
      <c r="B32728" s="2" t="str">
        <f>"54967"</f>
        <v>54967</v>
      </c>
      <c r="C32728" s="1">
        <v>2.4883500471149398E-5</v>
      </c>
      <c r="D32728" s="1">
        <v>4.5528080202265997E-6</v>
      </c>
      <c r="E32728" s="1">
        <v>3.9109859595604001E-5</v>
      </c>
      <c r="F32728" s="1">
        <v>2.38764322999182E-5</v>
      </c>
    </row>
    <row r="32729" spans="1:6" x14ac:dyDescent="0.25">
      <c r="A32729" s="2" t="str">
        <f t="shared" si="1173"/>
        <v>99999</v>
      </c>
      <c r="B32729" s="2" t="str">
        <f>"54990"</f>
        <v>54990</v>
      </c>
      <c r="C32729" s="1">
        <v>0</v>
      </c>
      <c r="D32729" s="1">
        <v>1.51760267340886E-6</v>
      </c>
      <c r="E32729" s="1">
        <v>0</v>
      </c>
      <c r="F32729" s="1">
        <v>9.9485134582992598E-8</v>
      </c>
    </row>
    <row r="32730" spans="1:6" x14ac:dyDescent="0.25">
      <c r="A32730" s="2" t="str">
        <f t="shared" si="1173"/>
        <v>99999</v>
      </c>
      <c r="B32730" s="2" t="str">
        <f>"54982"</f>
        <v>54982</v>
      </c>
      <c r="C32730" s="1">
        <v>4.44410587361932E-4</v>
      </c>
      <c r="D32730" s="1">
        <v>3.7788306567880801E-4</v>
      </c>
      <c r="E32730" s="1">
        <v>2.1293145779828799E-4</v>
      </c>
      <c r="F32730" s="1">
        <v>4.3475003812767698E-4</v>
      </c>
    </row>
    <row r="32731" spans="1:6" x14ac:dyDescent="0.25">
      <c r="A32731" s="2" t="str">
        <f t="shared" si="1173"/>
        <v>99999</v>
      </c>
      <c r="B32731" s="2" t="str">
        <f>"54965"</f>
        <v>54965</v>
      </c>
      <c r="C32731" s="1">
        <v>7.1485494774573997E-5</v>
      </c>
      <c r="D32731" s="1">
        <v>1.21408213872709E-5</v>
      </c>
      <c r="E32731" s="1">
        <v>8.69107991013423E-6</v>
      </c>
      <c r="F32731" s="1">
        <v>6.6157614497690102E-5</v>
      </c>
    </row>
    <row r="32732" spans="1:6" x14ac:dyDescent="0.25">
      <c r="A32732" s="2" t="str">
        <f t="shared" si="1173"/>
        <v>99999</v>
      </c>
      <c r="B32732" s="2" t="str">
        <f>"54857"</f>
        <v>54857</v>
      </c>
      <c r="C32732" s="1">
        <v>0</v>
      </c>
      <c r="D32732" s="1">
        <v>0</v>
      </c>
      <c r="E32732" s="1">
        <v>4.3455399550671099E-6</v>
      </c>
      <c r="F32732" s="1">
        <v>9.9485134582992598E-8</v>
      </c>
    </row>
    <row r="32733" spans="1:6" x14ac:dyDescent="0.25">
      <c r="A32733" s="2" t="str">
        <f t="shared" si="1173"/>
        <v>99999</v>
      </c>
      <c r="B32733" s="2" t="str">
        <f>"54876"</f>
        <v>54876</v>
      </c>
      <c r="C32733" s="1">
        <v>1.6130620042262601E-4</v>
      </c>
      <c r="D32733" s="1">
        <v>6.5256914956581297E-5</v>
      </c>
      <c r="E32733" s="1">
        <v>4.7800939505738197E-5</v>
      </c>
      <c r="F32733" s="1">
        <v>1.5241122618114399E-4</v>
      </c>
    </row>
    <row r="32734" spans="1:6" x14ac:dyDescent="0.25">
      <c r="A32734" s="2" t="str">
        <f t="shared" si="1173"/>
        <v>99999</v>
      </c>
      <c r="B32734" s="2" t="str">
        <f>"54858"</f>
        <v>54858</v>
      </c>
      <c r="C32734" s="1">
        <v>1.07282811241841E-4</v>
      </c>
      <c r="D32734" s="1">
        <v>4.7045682875674899E-5</v>
      </c>
      <c r="E32734" s="1">
        <v>8.2565259146275205E-5</v>
      </c>
      <c r="F32734" s="1">
        <v>1.0276814402423099E-4</v>
      </c>
    </row>
    <row r="32735" spans="1:6" x14ac:dyDescent="0.25">
      <c r="A32735" s="2" t="str">
        <f t="shared" si="1173"/>
        <v>99999</v>
      </c>
      <c r="B32735" s="2" t="str">
        <f>"54855"</f>
        <v>54855</v>
      </c>
      <c r="C32735" s="1">
        <v>3.8853184946180599E-5</v>
      </c>
      <c r="D32735" s="1">
        <v>1.3658424060679801E-5</v>
      </c>
      <c r="E32735" s="1">
        <v>1.7382159820268399E-5</v>
      </c>
      <c r="F32735" s="1">
        <v>3.6710014661124202E-5</v>
      </c>
    </row>
    <row r="32736" spans="1:6" x14ac:dyDescent="0.25">
      <c r="A32736" s="2" t="str">
        <f t="shared" si="1173"/>
        <v>99999</v>
      </c>
      <c r="B32736" s="2" t="str">
        <f>"54848"</f>
        <v>54848</v>
      </c>
      <c r="C32736" s="1">
        <v>3.39856230119119E-4</v>
      </c>
      <c r="D32736" s="1">
        <v>5.0536169024515299E-4</v>
      </c>
      <c r="E32736" s="1">
        <v>3.7371643613577199E-4</v>
      </c>
      <c r="F32736" s="1">
        <v>3.5148098048171198E-4</v>
      </c>
    </row>
    <row r="32737" spans="1:6" x14ac:dyDescent="0.25">
      <c r="A32737" s="2" t="str">
        <f t="shared" si="1173"/>
        <v>99999</v>
      </c>
      <c r="B32737" s="2" t="str">
        <f>"54961"</f>
        <v>54961</v>
      </c>
      <c r="C32737" s="1">
        <v>5.3816026676858702E-4</v>
      </c>
      <c r="D32737" s="1">
        <v>4.4921039132902497E-4</v>
      </c>
      <c r="E32737" s="1">
        <v>7.73506112001946E-4</v>
      </c>
      <c r="F32737" s="1">
        <v>5.3771715242107495E-4</v>
      </c>
    </row>
    <row r="32738" spans="1:6" x14ac:dyDescent="0.25">
      <c r="A32738" s="2" t="str">
        <f t="shared" si="1173"/>
        <v>99999</v>
      </c>
      <c r="B32738" s="2" t="str">
        <f>"54926"</f>
        <v>54926</v>
      </c>
      <c r="C32738" s="1">
        <v>2.2919013591848099E-6</v>
      </c>
      <c r="D32738" s="1">
        <v>0</v>
      </c>
      <c r="E32738" s="1">
        <v>4.3455399550671099E-6</v>
      </c>
      <c r="F32738" s="1">
        <v>2.1886729608258301E-6</v>
      </c>
    </row>
    <row r="32739" spans="1:6" x14ac:dyDescent="0.25">
      <c r="A32739" s="2" t="str">
        <f t="shared" si="1173"/>
        <v>99999</v>
      </c>
      <c r="B32739" s="2" t="str">
        <f>"54805"</f>
        <v>54805</v>
      </c>
      <c r="C32739" s="1">
        <v>8.2945001570498098E-5</v>
      </c>
      <c r="D32739" s="1">
        <v>3.9457669508630602E-5</v>
      </c>
      <c r="E32739" s="1">
        <v>6.5183099326006705E-5</v>
      </c>
      <c r="F32739" s="1">
        <v>7.96875928009771E-5</v>
      </c>
    </row>
    <row r="32740" spans="1:6" x14ac:dyDescent="0.25">
      <c r="A32740" s="2" t="str">
        <f t="shared" si="1173"/>
        <v>99999</v>
      </c>
      <c r="B32740" s="2" t="str">
        <f>"54889"</f>
        <v>54889</v>
      </c>
      <c r="C32740" s="1">
        <v>1.88263325933038E-4</v>
      </c>
      <c r="D32740" s="1">
        <v>7.1327325650216798E-5</v>
      </c>
      <c r="E32740" s="1">
        <v>1.6078497833748299E-4</v>
      </c>
      <c r="F32740" s="1">
        <v>1.79968608460633E-4</v>
      </c>
    </row>
    <row r="32741" spans="1:6" x14ac:dyDescent="0.25">
      <c r="A32741" s="2" t="str">
        <f t="shared" si="1173"/>
        <v>99999</v>
      </c>
      <c r="B32741" s="2" t="str">
        <f>"54733"</f>
        <v>54733</v>
      </c>
      <c r="C32741" s="1">
        <v>6.7119968376126702E-5</v>
      </c>
      <c r="D32741" s="1">
        <v>1.5176026734088599E-5</v>
      </c>
      <c r="E32741" s="1">
        <v>2.1727699775335501E-5</v>
      </c>
      <c r="F32741" s="1">
        <v>6.2675634787285296E-5</v>
      </c>
    </row>
    <row r="32742" spans="1:6" x14ac:dyDescent="0.25">
      <c r="A32742" s="2" t="str">
        <f t="shared" si="1173"/>
        <v>99999</v>
      </c>
      <c r="B32742" s="2" t="str">
        <f>"54550"</f>
        <v>54550</v>
      </c>
      <c r="C32742" s="1">
        <v>3.9726290225870103E-5</v>
      </c>
      <c r="D32742" s="1">
        <v>4.5528080202265997E-6</v>
      </c>
      <c r="E32742" s="1">
        <v>4.3455399550671099E-6</v>
      </c>
      <c r="F32742" s="1">
        <v>3.6610529526541203E-5</v>
      </c>
    </row>
    <row r="32743" spans="1:6" x14ac:dyDescent="0.25">
      <c r="A32743" s="2" t="str">
        <f t="shared" si="1173"/>
        <v>99999</v>
      </c>
      <c r="B32743" s="2" t="str">
        <f>"54555"</f>
        <v>54555</v>
      </c>
      <c r="C32743" s="1">
        <v>3.4989694083554802E-4</v>
      </c>
      <c r="D32743" s="1">
        <v>3.9609429775971401E-4</v>
      </c>
      <c r="E32743" s="1">
        <v>2.8246009707936202E-4</v>
      </c>
      <c r="F32743" s="1">
        <v>3.5138149534712899E-4</v>
      </c>
    </row>
    <row r="32744" spans="1:6" x14ac:dyDescent="0.25">
      <c r="A32744" s="2" t="str">
        <f t="shared" si="1173"/>
        <v>99999</v>
      </c>
      <c r="B32744" s="2" t="str">
        <f>"54529"</f>
        <v>54529</v>
      </c>
      <c r="C32744" s="1">
        <v>1.03572113803161E-4</v>
      </c>
      <c r="D32744" s="1">
        <v>2.2764040101133E-5</v>
      </c>
      <c r="E32744" s="1">
        <v>1.7382159820268399E-5</v>
      </c>
      <c r="F32744" s="1">
        <v>9.6301610276336802E-5</v>
      </c>
    </row>
    <row r="32745" spans="1:6" x14ac:dyDescent="0.25">
      <c r="A32745" s="2" t="str">
        <f t="shared" si="1173"/>
        <v>99999</v>
      </c>
      <c r="B32745" s="2" t="str">
        <f>"54511"</f>
        <v>54511</v>
      </c>
      <c r="C32745" s="1">
        <v>8.8292771408596005E-5</v>
      </c>
      <c r="D32745" s="1">
        <v>1.5176026734088599E-5</v>
      </c>
      <c r="E32745" s="1">
        <v>4.3455399550671099E-6</v>
      </c>
      <c r="F32745" s="1">
        <v>8.1577810358053902E-5</v>
      </c>
    </row>
    <row r="32746" spans="1:6" x14ac:dyDescent="0.25">
      <c r="A32746" s="2" t="str">
        <f t="shared" si="1173"/>
        <v>99999</v>
      </c>
      <c r="B32746" s="2" t="str">
        <f>"54721"</f>
        <v>54721</v>
      </c>
      <c r="C32746" s="1">
        <v>6.9193593415389201E-5</v>
      </c>
      <c r="D32746" s="1">
        <v>1.8211232080906399E-5</v>
      </c>
      <c r="E32746" s="1">
        <v>2.60732397304027E-5</v>
      </c>
      <c r="F32746" s="1">
        <v>6.4864307748111196E-5</v>
      </c>
    </row>
    <row r="32747" spans="1:6" x14ac:dyDescent="0.25">
      <c r="A32747" s="2" t="str">
        <f t="shared" si="1173"/>
        <v>99999</v>
      </c>
      <c r="B32747" s="2" t="str">
        <f>"54649"</f>
        <v>54649</v>
      </c>
      <c r="C32747" s="1">
        <v>0</v>
      </c>
      <c r="D32747" s="1">
        <v>1.51760267340886E-6</v>
      </c>
      <c r="E32747" s="1">
        <v>0</v>
      </c>
      <c r="F32747" s="1">
        <v>9.9485134582992598E-8</v>
      </c>
    </row>
    <row r="32748" spans="1:6" x14ac:dyDescent="0.25">
      <c r="A32748" s="2" t="str">
        <f t="shared" si="1173"/>
        <v>99999</v>
      </c>
      <c r="B32748" s="2" t="str">
        <f>"54620"</f>
        <v>54620</v>
      </c>
      <c r="C32748" s="1">
        <v>0</v>
      </c>
      <c r="D32748" s="1">
        <v>1.51760267340886E-6</v>
      </c>
      <c r="E32748" s="1">
        <v>0</v>
      </c>
      <c r="F32748" s="1">
        <v>9.9485134582992598E-8</v>
      </c>
    </row>
    <row r="32749" spans="1:6" x14ac:dyDescent="0.25">
      <c r="A32749" s="2" t="str">
        <f t="shared" si="1173"/>
        <v>99999</v>
      </c>
      <c r="B32749" s="2" t="str">
        <f>"54623"</f>
        <v>54623</v>
      </c>
      <c r="C32749" s="1">
        <v>6.5919448616553699E-5</v>
      </c>
      <c r="D32749" s="1">
        <v>5.6151298916128101E-5</v>
      </c>
      <c r="E32749" s="1">
        <v>7.3874179236140894E-5</v>
      </c>
      <c r="F32749" s="1">
        <v>6.5461218555609105E-5</v>
      </c>
    </row>
    <row r="32750" spans="1:6" x14ac:dyDescent="0.25">
      <c r="A32750" s="2" t="str">
        <f t="shared" si="1173"/>
        <v>99999</v>
      </c>
      <c r="B32750" s="2" t="str">
        <f>"54646"</f>
        <v>54646</v>
      </c>
      <c r="C32750" s="1">
        <v>2.6782504454473901E-4</v>
      </c>
      <c r="D32750" s="1">
        <v>1.54795472687704E-4</v>
      </c>
      <c r="E32750" s="1">
        <v>2.0424037788815399E-4</v>
      </c>
      <c r="F32750" s="1">
        <v>2.5895980531952901E-4</v>
      </c>
    </row>
    <row r="32751" spans="1:6" x14ac:dyDescent="0.25">
      <c r="A32751" s="2" t="str">
        <f t="shared" si="1173"/>
        <v>99999</v>
      </c>
      <c r="B32751" s="2" t="str">
        <f>"54622"</f>
        <v>54622</v>
      </c>
      <c r="C32751" s="1">
        <v>1.19942837797338E-4</v>
      </c>
      <c r="D32751" s="1">
        <v>3.4904861488403899E-5</v>
      </c>
      <c r="E32751" s="1">
        <v>5.6492019415872502E-5</v>
      </c>
      <c r="F32751" s="1">
        <v>1.12915627751696E-4</v>
      </c>
    </row>
    <row r="32752" spans="1:6" x14ac:dyDescent="0.25">
      <c r="A32752" s="2" t="str">
        <f t="shared" si="1173"/>
        <v>99999</v>
      </c>
      <c r="B32752" s="2" t="str">
        <f>"54660"</f>
        <v>54660</v>
      </c>
      <c r="C32752" s="1">
        <v>8.0685841659301598E-4</v>
      </c>
      <c r="D32752" s="1">
        <v>8.9993838533145899E-4</v>
      </c>
      <c r="E32752" s="1">
        <v>1.7208338222065699E-3</v>
      </c>
      <c r="F32752" s="1">
        <v>8.3388439807464401E-4</v>
      </c>
    </row>
    <row r="32753" spans="1:6" x14ac:dyDescent="0.25">
      <c r="A32753" s="2" t="str">
        <f t="shared" si="1173"/>
        <v>99999</v>
      </c>
      <c r="B32753" s="2" t="str">
        <f>"54656"</f>
        <v>54656</v>
      </c>
      <c r="C32753" s="1">
        <v>8.8063581272677504E-4</v>
      </c>
      <c r="D32753" s="1">
        <v>8.5441030512919296E-4</v>
      </c>
      <c r="E32753" s="1">
        <v>1.5252845242285499E-3</v>
      </c>
      <c r="F32753" s="1">
        <v>8.9367496395902199E-4</v>
      </c>
    </row>
    <row r="32754" spans="1:6" x14ac:dyDescent="0.25">
      <c r="A32754" s="2" t="str">
        <f t="shared" si="1173"/>
        <v>99999</v>
      </c>
      <c r="B32754" s="2" t="str">
        <f>"54561"</f>
        <v>54561</v>
      </c>
      <c r="C32754" s="1">
        <v>4.4746645584084504E-6</v>
      </c>
      <c r="D32754" s="1">
        <v>6.0704106936354696E-6</v>
      </c>
      <c r="E32754" s="1">
        <v>4.3455399550671099E-6</v>
      </c>
      <c r="F32754" s="1">
        <v>4.5763161908176597E-6</v>
      </c>
    </row>
    <row r="32755" spans="1:6" x14ac:dyDescent="0.25">
      <c r="A32755" s="2" t="str">
        <f t="shared" si="1173"/>
        <v>99999</v>
      </c>
      <c r="B32755" s="2" t="str">
        <f>"54460"</f>
        <v>54460</v>
      </c>
      <c r="C32755" s="1">
        <v>1.15031620599085E-4</v>
      </c>
      <c r="D32755" s="1">
        <v>8.1950544364078906E-5</v>
      </c>
      <c r="E32755" s="1">
        <v>7.8219719191208097E-5</v>
      </c>
      <c r="F32755" s="1">
        <v>1.1202026154044899E-4</v>
      </c>
    </row>
    <row r="32756" spans="1:6" x14ac:dyDescent="0.25">
      <c r="A32756" s="2" t="str">
        <f t="shared" si="1173"/>
        <v>99999</v>
      </c>
      <c r="B32756" s="2" t="str">
        <f>"54457"</f>
        <v>54457</v>
      </c>
      <c r="C32756" s="1">
        <v>3.0951582164991099E-4</v>
      </c>
      <c r="D32756" s="1">
        <v>1.12302597832256E-4</v>
      </c>
      <c r="E32756" s="1">
        <v>3.0418779685469802E-5</v>
      </c>
      <c r="F32756" s="1">
        <v>2.9019813757858901E-4</v>
      </c>
    </row>
    <row r="32757" spans="1:6" x14ac:dyDescent="0.25">
      <c r="A32757" s="2" t="str">
        <f t="shared" si="1173"/>
        <v>99999</v>
      </c>
      <c r="B32757" s="2" t="str">
        <f>"54456"</f>
        <v>54456</v>
      </c>
      <c r="C32757" s="1">
        <v>3.2621396012397197E-4</v>
      </c>
      <c r="D32757" s="1">
        <v>3.8850628439267E-4</v>
      </c>
      <c r="E32757" s="1">
        <v>3.4764319640536898E-4</v>
      </c>
      <c r="F32757" s="1">
        <v>3.3078807248845002E-4</v>
      </c>
    </row>
    <row r="32758" spans="1:6" x14ac:dyDescent="0.25">
      <c r="A32758" s="2" t="str">
        <f t="shared" si="1173"/>
        <v>99999</v>
      </c>
      <c r="B32758" s="2" t="str">
        <f>"54202"</f>
        <v>54202</v>
      </c>
      <c r="C32758" s="1">
        <v>1.16232140358658E-4</v>
      </c>
      <c r="D32758" s="1">
        <v>2.2764040101133E-5</v>
      </c>
      <c r="E32758" s="1">
        <v>4.7800939505738197E-5</v>
      </c>
      <c r="F32758" s="1">
        <v>1.08538281830044E-4</v>
      </c>
    </row>
    <row r="32759" spans="1:6" x14ac:dyDescent="0.25">
      <c r="A32759" s="2" t="str">
        <f t="shared" si="1173"/>
        <v>99999</v>
      </c>
      <c r="B32759" s="2" t="str">
        <f>"54001"</f>
        <v>54001</v>
      </c>
      <c r="C32759" s="1">
        <v>4.4910352824026198E-4</v>
      </c>
      <c r="D32759" s="1">
        <v>4.21893543207665E-4</v>
      </c>
      <c r="E32759" s="1">
        <v>2.8246009707936202E-4</v>
      </c>
      <c r="F32759" s="1">
        <v>4.4350472997098102E-4</v>
      </c>
    </row>
    <row r="32760" spans="1:6" x14ac:dyDescent="0.25">
      <c r="A32760" s="2" t="str">
        <f t="shared" si="1173"/>
        <v>99999</v>
      </c>
      <c r="B32760" s="2" t="str">
        <f>"53937"</f>
        <v>53937</v>
      </c>
      <c r="C32760" s="1">
        <v>9.6041580765839897E-6</v>
      </c>
      <c r="D32760" s="1">
        <v>3.0352053468177301E-6</v>
      </c>
      <c r="E32760" s="1">
        <v>0</v>
      </c>
      <c r="F32760" s="1">
        <v>8.9536621124693292E-6</v>
      </c>
    </row>
    <row r="32761" spans="1:6" x14ac:dyDescent="0.25">
      <c r="A32761" s="2" t="str">
        <f t="shared" si="1173"/>
        <v>99999</v>
      </c>
      <c r="B32761" s="2" t="str">
        <f>"53930"</f>
        <v>53930</v>
      </c>
      <c r="C32761" s="1">
        <v>6.3954961737252395E-5</v>
      </c>
      <c r="D32761" s="1">
        <v>3.0352053468177301E-5</v>
      </c>
      <c r="E32761" s="1">
        <v>3.0418779685469802E-5</v>
      </c>
      <c r="F32761" s="1">
        <v>6.0984387499374403E-5</v>
      </c>
    </row>
    <row r="32762" spans="1:6" x14ac:dyDescent="0.25">
      <c r="A32762" s="2" t="str">
        <f t="shared" si="1173"/>
        <v>99999</v>
      </c>
      <c r="B32762" s="2" t="str">
        <f>"52765"</f>
        <v>52765</v>
      </c>
      <c r="C32762" s="1">
        <v>3.27414479883545E-6</v>
      </c>
      <c r="D32762" s="1">
        <v>0</v>
      </c>
      <c r="E32762" s="1">
        <v>0</v>
      </c>
      <c r="F32762" s="1">
        <v>2.9845540374897699E-6</v>
      </c>
    </row>
    <row r="32763" spans="1:6" x14ac:dyDescent="0.25">
      <c r="A32763" s="2" t="str">
        <f t="shared" si="1173"/>
        <v>99999</v>
      </c>
      <c r="B32763" s="2" t="str">
        <f>"52777"</f>
        <v>52777</v>
      </c>
      <c r="C32763" s="1">
        <v>3.3832829587966299E-6</v>
      </c>
      <c r="D32763" s="1">
        <v>0</v>
      </c>
      <c r="E32763" s="1">
        <v>0</v>
      </c>
      <c r="F32763" s="1">
        <v>3.0840391720727701E-6</v>
      </c>
    </row>
    <row r="32764" spans="1:6" x14ac:dyDescent="0.25">
      <c r="A32764" s="2" t="str">
        <f t="shared" si="1173"/>
        <v>99999</v>
      </c>
      <c r="B32764" s="2" t="str">
        <f>"52747"</f>
        <v>52747</v>
      </c>
      <c r="C32764" s="1">
        <v>9.1457778047470203E-5</v>
      </c>
      <c r="D32764" s="1">
        <v>1.01679379118394E-4</v>
      </c>
      <c r="E32764" s="1">
        <v>7.3874179236140894E-5</v>
      </c>
      <c r="F32764" s="1">
        <v>9.1725294085519195E-5</v>
      </c>
    </row>
    <row r="32765" spans="1:6" x14ac:dyDescent="0.25">
      <c r="A32765" s="2" t="str">
        <f t="shared" si="1173"/>
        <v>99999</v>
      </c>
      <c r="B32765" s="2" t="str">
        <f>"52623"</f>
        <v>52623</v>
      </c>
      <c r="C32765" s="1">
        <v>1.3205717355302901E-5</v>
      </c>
      <c r="D32765" s="1">
        <v>3.0352053468177301E-6</v>
      </c>
      <c r="E32765" s="1">
        <v>0</v>
      </c>
      <c r="F32765" s="1">
        <v>1.2236671553708001E-5</v>
      </c>
    </row>
    <row r="32766" spans="1:6" x14ac:dyDescent="0.25">
      <c r="A32766" s="2" t="str">
        <f t="shared" si="1173"/>
        <v>99999</v>
      </c>
      <c r="B32766" s="2" t="str">
        <f>"52251"</f>
        <v>52251</v>
      </c>
      <c r="C32766" s="1">
        <v>1.8116934553556101E-5</v>
      </c>
      <c r="D32766" s="1">
        <v>4.5528080202265997E-6</v>
      </c>
      <c r="E32766" s="1">
        <v>1.3036619865201299E-5</v>
      </c>
      <c r="F32766" s="1">
        <v>1.7111443148274701E-5</v>
      </c>
    </row>
    <row r="32767" spans="1:6" x14ac:dyDescent="0.25">
      <c r="A32767" s="2" t="str">
        <f t="shared" si="1173"/>
        <v>99999</v>
      </c>
      <c r="B32767" s="2" t="str">
        <f>"52232"</f>
        <v>52232</v>
      </c>
      <c r="C32767" s="1">
        <v>1.12412304760017E-5</v>
      </c>
      <c r="D32767" s="1">
        <v>7.5880133670443404E-6</v>
      </c>
      <c r="E32767" s="1">
        <v>4.3455399550671099E-6</v>
      </c>
      <c r="F32767" s="1">
        <v>1.0843879669546099E-5</v>
      </c>
    </row>
    <row r="32768" spans="1:6" x14ac:dyDescent="0.25">
      <c r="A32768" s="2" t="str">
        <f t="shared" si="1173"/>
        <v>99999</v>
      </c>
      <c r="B32768" s="2" t="str">
        <f>"52204"</f>
        <v>52204</v>
      </c>
      <c r="C32768" s="1">
        <v>0</v>
      </c>
      <c r="D32768" s="1">
        <v>4.5528080202265997E-6</v>
      </c>
      <c r="E32768" s="1">
        <v>0</v>
      </c>
      <c r="F32768" s="1">
        <v>2.9845540374897701E-7</v>
      </c>
    </row>
    <row r="32769" spans="1:6" x14ac:dyDescent="0.25">
      <c r="A32769" s="2" t="str">
        <f t="shared" si="1173"/>
        <v>99999</v>
      </c>
      <c r="B32769" s="2" t="str">
        <f>"52208"</f>
        <v>52208</v>
      </c>
      <c r="C32769" s="1">
        <v>1.09138159961181E-5</v>
      </c>
      <c r="D32769" s="1">
        <v>7.5880133670443404E-6</v>
      </c>
      <c r="E32769" s="1">
        <v>0</v>
      </c>
      <c r="F32769" s="1">
        <v>1.04459391312142E-5</v>
      </c>
    </row>
    <row r="32770" spans="1:6" x14ac:dyDescent="0.25">
      <c r="A32770" s="2" t="str">
        <f t="shared" si="1173"/>
        <v>99999</v>
      </c>
      <c r="B32770" s="2" t="str">
        <f>"52573"</f>
        <v>52573</v>
      </c>
      <c r="C32770" s="1">
        <v>9.6041580765839897E-6</v>
      </c>
      <c r="D32770" s="1">
        <v>3.0352053468177301E-6</v>
      </c>
      <c r="E32770" s="1">
        <v>4.3455399550671099E-6</v>
      </c>
      <c r="F32770" s="1">
        <v>9.0531472470523294E-6</v>
      </c>
    </row>
    <row r="32771" spans="1:6" x14ac:dyDescent="0.25">
      <c r="A32771" s="2" t="str">
        <f t="shared" si="1173"/>
        <v>99999</v>
      </c>
      <c r="B32771" s="2" t="str">
        <f>"52585"</f>
        <v>52585</v>
      </c>
      <c r="C32771" s="1">
        <v>4.0926809985443098E-5</v>
      </c>
      <c r="D32771" s="1">
        <v>2.7316848121359601E-5</v>
      </c>
      <c r="E32771" s="1">
        <v>3.0418779685469802E-5</v>
      </c>
      <c r="F32771" s="1">
        <v>3.9794053833197E-5</v>
      </c>
    </row>
    <row r="32772" spans="1:6" x14ac:dyDescent="0.25">
      <c r="A32772" s="2" t="str">
        <f t="shared" si="1173"/>
        <v>99999</v>
      </c>
      <c r="B32772" s="2" t="str">
        <f>"52572"</f>
        <v>52572</v>
      </c>
      <c r="C32772" s="1">
        <v>7.0721527654845696E-5</v>
      </c>
      <c r="D32772" s="1">
        <v>9.1056160404532095E-5</v>
      </c>
      <c r="E32772" s="1">
        <v>0</v>
      </c>
      <c r="F32772" s="1">
        <v>7.0435475284758706E-5</v>
      </c>
    </row>
    <row r="32773" spans="1:6" x14ac:dyDescent="0.25">
      <c r="A32773" s="2" t="str">
        <f t="shared" si="1173"/>
        <v>99999</v>
      </c>
      <c r="B32773" s="2" t="str">
        <f>"52171"</f>
        <v>52171</v>
      </c>
      <c r="C32773" s="1">
        <v>5.5223908940357899E-5</v>
      </c>
      <c r="D32773" s="1">
        <v>3.1869656141586203E-5</v>
      </c>
      <c r="E32773" s="1">
        <v>8.69107991013423E-6</v>
      </c>
      <c r="F32773" s="1">
        <v>5.2627636194403097E-5</v>
      </c>
    </row>
    <row r="32774" spans="1:6" x14ac:dyDescent="0.25">
      <c r="A32774" s="2" t="str">
        <f t="shared" si="1173"/>
        <v>99999</v>
      </c>
      <c r="B32774" s="2" t="str">
        <f>"52165"</f>
        <v>52165</v>
      </c>
      <c r="C32774" s="1">
        <v>5.2495454941328402E-5</v>
      </c>
      <c r="D32774" s="1">
        <v>7.5880133670443404E-6</v>
      </c>
      <c r="E32774" s="1">
        <v>4.3455399550671103E-5</v>
      </c>
      <c r="F32774" s="1">
        <v>4.9344626753164302E-5</v>
      </c>
    </row>
    <row r="32775" spans="1:6" x14ac:dyDescent="0.25">
      <c r="A32775" s="2" t="str">
        <f t="shared" si="1173"/>
        <v>99999</v>
      </c>
      <c r="B32775" s="2" t="str">
        <f>"52308"</f>
        <v>52308</v>
      </c>
      <c r="C32775" s="1">
        <v>8.4036383170109905E-6</v>
      </c>
      <c r="D32775" s="1">
        <v>0</v>
      </c>
      <c r="E32775" s="1">
        <v>1.3036619865201299E-5</v>
      </c>
      <c r="F32775" s="1">
        <v>7.9588107666394102E-6</v>
      </c>
    </row>
    <row r="32776" spans="1:6" x14ac:dyDescent="0.25">
      <c r="A32776" s="2" t="str">
        <f t="shared" si="1173"/>
        <v>99999</v>
      </c>
      <c r="B32776" s="2" t="str">
        <f>"52325"</f>
        <v>52325</v>
      </c>
      <c r="C32776" s="1">
        <v>3.71069743868017E-5</v>
      </c>
      <c r="D32776" s="1">
        <v>3.0352053468177301E-6</v>
      </c>
      <c r="E32776" s="1">
        <v>1.3036619865201299E-5</v>
      </c>
      <c r="F32776" s="1">
        <v>3.43223714311324E-5</v>
      </c>
    </row>
    <row r="32777" spans="1:6" x14ac:dyDescent="0.25">
      <c r="A32777" s="2" t="str">
        <f t="shared" si="1173"/>
        <v>99999</v>
      </c>
      <c r="B32777" s="2" t="str">
        <f>"52342"</f>
        <v>52342</v>
      </c>
      <c r="C32777" s="1">
        <v>1.6370723994177199E-4</v>
      </c>
      <c r="D32777" s="1">
        <v>2.36746017051783E-4</v>
      </c>
      <c r="E32777" s="1">
        <v>3.34606576540167E-4</v>
      </c>
      <c r="F32777" s="1">
        <v>1.7240773823232601E-4</v>
      </c>
    </row>
    <row r="32778" spans="1:6" x14ac:dyDescent="0.25">
      <c r="A32778" s="2" t="str">
        <f t="shared" si="1173"/>
        <v>99999</v>
      </c>
      <c r="B32778" s="2" t="str">
        <f>"52044"</f>
        <v>52044</v>
      </c>
      <c r="C32778" s="1">
        <v>8.0762238371274393E-6</v>
      </c>
      <c r="D32778" s="1">
        <v>3.0352053468177301E-6</v>
      </c>
      <c r="E32778" s="1">
        <v>4.3455399550671099E-6</v>
      </c>
      <c r="F32778" s="1">
        <v>7.6603553628904299E-6</v>
      </c>
    </row>
    <row r="32779" spans="1:6" x14ac:dyDescent="0.25">
      <c r="A32779" s="2" t="str">
        <f t="shared" si="1173"/>
        <v>99999</v>
      </c>
      <c r="B32779" s="2" t="str">
        <f>"52042"</f>
        <v>52042</v>
      </c>
      <c r="C32779" s="1">
        <v>8.6873975329100598E-5</v>
      </c>
      <c r="D32779" s="1">
        <v>6.37393122831725E-5</v>
      </c>
      <c r="E32779" s="1">
        <v>7.3874179236140894E-5</v>
      </c>
      <c r="F32779" s="1">
        <v>8.5059790068458695E-5</v>
      </c>
    </row>
    <row r="32780" spans="1:6" x14ac:dyDescent="0.25">
      <c r="A32780" s="2" t="str">
        <f t="shared" si="1173"/>
        <v>99999</v>
      </c>
      <c r="B32780" s="2" t="str">
        <f>"52030"</f>
        <v>52030</v>
      </c>
      <c r="C32780" s="1">
        <v>2.0190559592818601E-5</v>
      </c>
      <c r="D32780" s="1">
        <v>1.51760267340886E-6</v>
      </c>
      <c r="E32780" s="1">
        <v>5.21464794608054E-5</v>
      </c>
      <c r="F32780" s="1">
        <v>1.96980566474325E-5</v>
      </c>
    </row>
    <row r="32781" spans="1:6" x14ac:dyDescent="0.25">
      <c r="A32781" s="2" t="str">
        <f t="shared" si="1173"/>
        <v>99999</v>
      </c>
      <c r="B32781" s="2" t="str">
        <f>"51201"</f>
        <v>51201</v>
      </c>
      <c r="C32781" s="1">
        <v>3.5240711851465501E-4</v>
      </c>
      <c r="D32781" s="1">
        <v>5.3723134638673895E-4</v>
      </c>
      <c r="E32781" s="1">
        <v>5.7361127406885899E-4</v>
      </c>
      <c r="F32781" s="1">
        <v>3.6958727497581702E-4</v>
      </c>
    </row>
    <row r="32782" spans="1:6" x14ac:dyDescent="0.25">
      <c r="A32782" s="2" t="str">
        <f t="shared" si="1173"/>
        <v>99999</v>
      </c>
      <c r="B32782" s="2" t="str">
        <f>"50862"</f>
        <v>50862</v>
      </c>
      <c r="C32782" s="1">
        <v>8.9493291168169008E-6</v>
      </c>
      <c r="D32782" s="1">
        <v>0</v>
      </c>
      <c r="E32782" s="1">
        <v>4.3455399550671099E-6</v>
      </c>
      <c r="F32782" s="1">
        <v>8.2572661703883803E-6</v>
      </c>
    </row>
    <row r="32783" spans="1:6" x14ac:dyDescent="0.25">
      <c r="A32783" s="2" t="str">
        <f t="shared" si="1173"/>
        <v>99999</v>
      </c>
      <c r="B32783" s="2" t="str">
        <f>"51014"</f>
        <v>51014</v>
      </c>
      <c r="C32783" s="1">
        <v>2.3137289911770499E-5</v>
      </c>
      <c r="D32783" s="1">
        <v>0</v>
      </c>
      <c r="E32783" s="1">
        <v>4.3455399550671099E-6</v>
      </c>
      <c r="F32783" s="1">
        <v>2.1190333666177399E-5</v>
      </c>
    </row>
    <row r="32784" spans="1:6" x14ac:dyDescent="0.25">
      <c r="A32784" s="2" t="str">
        <f t="shared" si="1173"/>
        <v>99999</v>
      </c>
      <c r="B32784" s="2" t="str">
        <f>"51028"</f>
        <v>51028</v>
      </c>
      <c r="C32784" s="1">
        <v>9.8551758444947104E-5</v>
      </c>
      <c r="D32784" s="1">
        <v>1.09267392485438E-4</v>
      </c>
      <c r="E32784" s="1">
        <v>3.0418779685469802E-5</v>
      </c>
      <c r="F32784" s="1">
        <v>9.7694402160498699E-5</v>
      </c>
    </row>
    <row r="32785" spans="1:6" x14ac:dyDescent="0.25">
      <c r="A32785" s="2" t="str">
        <f t="shared" si="1173"/>
        <v>99999</v>
      </c>
      <c r="B32785" s="2" t="str">
        <f>"51647"</f>
        <v>51647</v>
      </c>
      <c r="C32785" s="1">
        <v>1.0586401516234599E-5</v>
      </c>
      <c r="D32785" s="1">
        <v>3.0352053468177301E-6</v>
      </c>
      <c r="E32785" s="1">
        <v>8.69107991013423E-6</v>
      </c>
      <c r="F32785" s="1">
        <v>1.0047998592882199E-5</v>
      </c>
    </row>
    <row r="32786" spans="1:6" x14ac:dyDescent="0.25">
      <c r="A32786" s="2" t="str">
        <f t="shared" ref="A32786:A32849" si="1174">"99999"</f>
        <v>99999</v>
      </c>
      <c r="B32786" s="2" t="str">
        <f>"51636"</f>
        <v>51636</v>
      </c>
      <c r="C32786" s="1">
        <v>2.3137289911770499E-5</v>
      </c>
      <c r="D32786" s="1">
        <v>1.3658424060679801E-5</v>
      </c>
      <c r="E32786" s="1">
        <v>4.3455399550671099E-6</v>
      </c>
      <c r="F32786" s="1">
        <v>2.2085699877424301E-5</v>
      </c>
    </row>
    <row r="32787" spans="1:6" x14ac:dyDescent="0.25">
      <c r="A32787" s="2" t="str">
        <f t="shared" si="1174"/>
        <v>99999</v>
      </c>
      <c r="B32787" s="2" t="str">
        <f>"51639"</f>
        <v>51639</v>
      </c>
      <c r="C32787" s="1">
        <v>4.5183198223929198E-5</v>
      </c>
      <c r="D32787" s="1">
        <v>9.1056160404532095E-6</v>
      </c>
      <c r="E32787" s="1">
        <v>2.60732397304027E-5</v>
      </c>
      <c r="F32787" s="1">
        <v>4.2380667332354799E-5</v>
      </c>
    </row>
    <row r="32788" spans="1:6" x14ac:dyDescent="0.25">
      <c r="A32788" s="2" t="str">
        <f t="shared" si="1174"/>
        <v>99999</v>
      </c>
      <c r="B32788" s="2" t="str">
        <f>"51638"</f>
        <v>51638</v>
      </c>
      <c r="C32788" s="1">
        <v>7.1703771094496402E-5</v>
      </c>
      <c r="D32788" s="1">
        <v>7.5880133670443404E-6</v>
      </c>
      <c r="E32788" s="1">
        <v>1.3471173860707999E-4</v>
      </c>
      <c r="F32788" s="1">
        <v>6.8943198266013803E-5</v>
      </c>
    </row>
    <row r="32789" spans="1:6" x14ac:dyDescent="0.25">
      <c r="A32789" s="2" t="str">
        <f t="shared" si="1174"/>
        <v>99999</v>
      </c>
      <c r="B32789" s="2" t="str">
        <f>"51631"</f>
        <v>51631</v>
      </c>
      <c r="C32789" s="1">
        <v>1.65890003140996E-5</v>
      </c>
      <c r="D32789" s="1">
        <v>1.21408213872709E-5</v>
      </c>
      <c r="E32789" s="1">
        <v>1.7382159820268399E-5</v>
      </c>
      <c r="F32789" s="1">
        <v>1.6315562071610699E-5</v>
      </c>
    </row>
    <row r="32790" spans="1:6" x14ac:dyDescent="0.25">
      <c r="A32790" s="2" t="str">
        <f t="shared" si="1174"/>
        <v>99999</v>
      </c>
      <c r="B32790" s="2" t="str">
        <f>"51566"</f>
        <v>51566</v>
      </c>
      <c r="C32790" s="1">
        <v>3.8580339546277699E-4</v>
      </c>
      <c r="D32790" s="1">
        <v>5.7668901589537E-4</v>
      </c>
      <c r="E32790" s="1">
        <v>9.2560001042929496E-4</v>
      </c>
      <c r="F32790" s="1">
        <v>4.1067463555859298E-4</v>
      </c>
    </row>
    <row r="32791" spans="1:6" x14ac:dyDescent="0.25">
      <c r="A32791" s="2" t="str">
        <f t="shared" si="1174"/>
        <v>99999</v>
      </c>
      <c r="B32791" s="2" t="str">
        <f>"51460"</f>
        <v>51460</v>
      </c>
      <c r="C32791" s="1">
        <v>1.9644868793012701E-6</v>
      </c>
      <c r="D32791" s="1">
        <v>0</v>
      </c>
      <c r="E32791" s="1">
        <v>4.3455399550671099E-6</v>
      </c>
      <c r="F32791" s="1">
        <v>1.89021755707686E-6</v>
      </c>
    </row>
    <row r="32792" spans="1:6" x14ac:dyDescent="0.25">
      <c r="A32792" s="2" t="str">
        <f t="shared" si="1174"/>
        <v>99999</v>
      </c>
      <c r="B32792" s="2" t="str">
        <f>"51466"</f>
        <v>51466</v>
      </c>
      <c r="C32792" s="1">
        <v>5.9698573498766397E-5</v>
      </c>
      <c r="D32792" s="1">
        <v>1.5176026734088599E-5</v>
      </c>
      <c r="E32792" s="1">
        <v>4.7800939505738197E-5</v>
      </c>
      <c r="F32792" s="1">
        <v>5.6507556443139802E-5</v>
      </c>
    </row>
    <row r="32793" spans="1:6" x14ac:dyDescent="0.25">
      <c r="A32793" s="2" t="str">
        <f t="shared" si="1174"/>
        <v>99999</v>
      </c>
      <c r="B32793" s="2" t="str">
        <f>"51462"</f>
        <v>51462</v>
      </c>
      <c r="C32793" s="1">
        <v>5.9371159018882803E-5</v>
      </c>
      <c r="D32793" s="1">
        <v>1.66936294074975E-5</v>
      </c>
      <c r="E32793" s="1">
        <v>4.7800939505738197E-5</v>
      </c>
      <c r="F32793" s="1">
        <v>5.6308586173973798E-5</v>
      </c>
    </row>
    <row r="32794" spans="1:6" x14ac:dyDescent="0.25">
      <c r="A32794" s="2" t="str">
        <f t="shared" si="1174"/>
        <v>99999</v>
      </c>
      <c r="B32794" s="2" t="str">
        <f>"51458"</f>
        <v>51458</v>
      </c>
      <c r="C32794" s="1">
        <v>8.1198791011119199E-5</v>
      </c>
      <c r="D32794" s="1">
        <v>5.3116093569310399E-5</v>
      </c>
      <c r="E32794" s="1">
        <v>9.5601879011476503E-5</v>
      </c>
      <c r="F32794" s="1">
        <v>7.96875928009771E-5</v>
      </c>
    </row>
    <row r="32795" spans="1:6" x14ac:dyDescent="0.25">
      <c r="A32795" s="2" t="str">
        <f t="shared" si="1174"/>
        <v>99999</v>
      </c>
      <c r="B32795" s="2" t="str">
        <f>"51439"</f>
        <v>51439</v>
      </c>
      <c r="C32795" s="1">
        <v>5.14040733417165E-5</v>
      </c>
      <c r="D32795" s="1">
        <v>2.2764040101133E-5</v>
      </c>
      <c r="E32795" s="1">
        <v>2.1727699775335501E-5</v>
      </c>
      <c r="F32795" s="1">
        <v>4.8847201080249302E-5</v>
      </c>
    </row>
    <row r="32796" spans="1:6" x14ac:dyDescent="0.25">
      <c r="A32796" s="2" t="str">
        <f t="shared" si="1174"/>
        <v>99999</v>
      </c>
      <c r="B32796" s="2" t="str">
        <f>"51544"</f>
        <v>51544</v>
      </c>
      <c r="C32796" s="1">
        <v>3.6670421746956999E-5</v>
      </c>
      <c r="D32796" s="1">
        <v>1.21408213872709E-5</v>
      </c>
      <c r="E32796" s="1">
        <v>3.47643196405369E-5</v>
      </c>
      <c r="F32796" s="1">
        <v>3.5018767373213403E-5</v>
      </c>
    </row>
    <row r="32797" spans="1:6" x14ac:dyDescent="0.25">
      <c r="A32797" s="2" t="str">
        <f t="shared" si="1174"/>
        <v>99999</v>
      </c>
      <c r="B32797" s="2" t="str">
        <f>"50851"</f>
        <v>50851</v>
      </c>
      <c r="C32797" s="1">
        <v>1.1263058107993901E-4</v>
      </c>
      <c r="D32797" s="1">
        <v>1.6238348605474899E-4</v>
      </c>
      <c r="E32797" s="1">
        <v>1.17329578786812E-4</v>
      </c>
      <c r="F32797" s="1">
        <v>1.15999666923769E-4</v>
      </c>
    </row>
    <row r="32798" spans="1:6" x14ac:dyDescent="0.25">
      <c r="A32798" s="2" t="str">
        <f t="shared" si="1174"/>
        <v>99999</v>
      </c>
      <c r="B32798" s="2" t="str">
        <f>"50841"</f>
        <v>50841</v>
      </c>
      <c r="C32798" s="1">
        <v>1.5617670690445099E-4</v>
      </c>
      <c r="D32798" s="1">
        <v>3.0200293200836502E-4</v>
      </c>
      <c r="E32798" s="1">
        <v>2.1727699775335501E-4</v>
      </c>
      <c r="F32798" s="1">
        <v>1.6713502609942699E-4</v>
      </c>
    </row>
    <row r="32799" spans="1:6" x14ac:dyDescent="0.25">
      <c r="A32799" s="2" t="str">
        <f t="shared" si="1174"/>
        <v>99999</v>
      </c>
      <c r="B32799" s="2" t="str">
        <f>"50860"</f>
        <v>50860</v>
      </c>
      <c r="C32799" s="1">
        <v>1.57158950344101E-5</v>
      </c>
      <c r="D32799" s="1">
        <v>4.5528080202265997E-6</v>
      </c>
      <c r="E32799" s="1">
        <v>4.3455399550671099E-6</v>
      </c>
      <c r="F32799" s="1">
        <v>1.4723799918282901E-5</v>
      </c>
    </row>
    <row r="32800" spans="1:6" x14ac:dyDescent="0.25">
      <c r="A32800" s="2" t="str">
        <f t="shared" si="1174"/>
        <v>99999</v>
      </c>
      <c r="B32800" s="2" t="str">
        <f>"50652"</f>
        <v>50652</v>
      </c>
      <c r="C32800" s="1">
        <v>0</v>
      </c>
      <c r="D32800" s="1">
        <v>0</v>
      </c>
      <c r="E32800" s="1">
        <v>4.3455399550671099E-6</v>
      </c>
      <c r="F32800" s="1">
        <v>9.9485134582992598E-8</v>
      </c>
    </row>
    <row r="32801" spans="1:6" x14ac:dyDescent="0.25">
      <c r="A32801" s="2" t="str">
        <f t="shared" si="1174"/>
        <v>99999</v>
      </c>
      <c r="B32801" s="2" t="str">
        <f>"50655"</f>
        <v>50655</v>
      </c>
      <c r="C32801" s="1">
        <v>4.0926809985443098E-5</v>
      </c>
      <c r="D32801" s="1">
        <v>4.5528080202265997E-6</v>
      </c>
      <c r="E32801" s="1">
        <v>5.6492019415872502E-5</v>
      </c>
      <c r="F32801" s="1">
        <v>3.8898687621950101E-5</v>
      </c>
    </row>
    <row r="32802" spans="1:6" x14ac:dyDescent="0.25">
      <c r="A32802" s="2" t="str">
        <f t="shared" si="1174"/>
        <v>99999</v>
      </c>
      <c r="B32802" s="2" t="str">
        <f>"50632"</f>
        <v>50632</v>
      </c>
      <c r="C32802" s="1">
        <v>5.4241665500707301E-5</v>
      </c>
      <c r="D32802" s="1">
        <v>4.5528080202266E-5</v>
      </c>
      <c r="E32802" s="1">
        <v>4.3455399550671103E-5</v>
      </c>
      <c r="F32802" s="1">
        <v>5.3423517271066997E-5</v>
      </c>
    </row>
    <row r="32803" spans="1:6" x14ac:dyDescent="0.25">
      <c r="A32803" s="2" t="str">
        <f t="shared" si="1174"/>
        <v>99999</v>
      </c>
      <c r="B32803" s="2" t="str">
        <f>"50628"</f>
        <v>50628</v>
      </c>
      <c r="C32803" s="1">
        <v>7.0175836855039799E-5</v>
      </c>
      <c r="D32803" s="1">
        <v>4.4010477528857203E-5</v>
      </c>
      <c r="E32803" s="1">
        <v>3.47643196405369E-5</v>
      </c>
      <c r="F32803" s="1">
        <v>6.7649891516434897E-5</v>
      </c>
    </row>
    <row r="32804" spans="1:6" x14ac:dyDescent="0.25">
      <c r="A32804" s="2" t="str">
        <f t="shared" si="1174"/>
        <v>99999</v>
      </c>
      <c r="B32804" s="2" t="str">
        <f>"50625"</f>
        <v>50625</v>
      </c>
      <c r="C32804" s="1">
        <v>5.77340866194651E-5</v>
      </c>
      <c r="D32804" s="1">
        <v>2.2764040101133E-5</v>
      </c>
      <c r="E32804" s="1">
        <v>1.7382159820268399E-5</v>
      </c>
      <c r="F32804" s="1">
        <v>5.4517853751479899E-5</v>
      </c>
    </row>
    <row r="32805" spans="1:6" x14ac:dyDescent="0.25">
      <c r="A32805" s="2" t="str">
        <f t="shared" si="1174"/>
        <v>99999</v>
      </c>
      <c r="B32805" s="2" t="str">
        <f>"50528"</f>
        <v>50528</v>
      </c>
      <c r="C32805" s="1">
        <v>2.1063664872508E-5</v>
      </c>
      <c r="D32805" s="1">
        <v>1.0623218713862E-5</v>
      </c>
      <c r="E32805" s="1">
        <v>4.3455399550671099E-6</v>
      </c>
      <c r="F32805" s="1">
        <v>1.9996512051181498E-5</v>
      </c>
    </row>
    <row r="32806" spans="1:6" x14ac:dyDescent="0.25">
      <c r="A32806" s="2" t="str">
        <f t="shared" si="1174"/>
        <v>99999</v>
      </c>
      <c r="B32806" s="2" t="str">
        <f>"50556"</f>
        <v>50556</v>
      </c>
      <c r="C32806" s="1">
        <v>1.8990039833245598E-5</v>
      </c>
      <c r="D32806" s="1">
        <v>3.0352053468177301E-6</v>
      </c>
      <c r="E32806" s="1">
        <v>1.3036619865201299E-5</v>
      </c>
      <c r="F32806" s="1">
        <v>1.7807839090355599E-5</v>
      </c>
    </row>
    <row r="32807" spans="1:6" x14ac:dyDescent="0.25">
      <c r="A32807" s="2" t="str">
        <f t="shared" si="1174"/>
        <v>99999</v>
      </c>
      <c r="B32807" s="2" t="str">
        <f>"50573"</f>
        <v>50573</v>
      </c>
      <c r="C32807" s="1">
        <v>0</v>
      </c>
      <c r="D32807" s="1">
        <v>0</v>
      </c>
      <c r="E32807" s="1">
        <v>4.3455399550671099E-6</v>
      </c>
      <c r="F32807" s="1">
        <v>9.9485134582992598E-8</v>
      </c>
    </row>
    <row r="32808" spans="1:6" x14ac:dyDescent="0.25">
      <c r="A32808" s="2" t="str">
        <f t="shared" si="1174"/>
        <v>99999</v>
      </c>
      <c r="B32808" s="2" t="str">
        <f>"50546"</f>
        <v>50546</v>
      </c>
      <c r="C32808" s="1">
        <v>2.2264184632080999E-5</v>
      </c>
      <c r="D32808" s="1">
        <v>4.5528080202265997E-6</v>
      </c>
      <c r="E32808" s="1">
        <v>4.3455399550671099E-6</v>
      </c>
      <c r="F32808" s="1">
        <v>2.06929079932624E-5</v>
      </c>
    </row>
    <row r="32809" spans="1:6" x14ac:dyDescent="0.25">
      <c r="A32809" s="2" t="str">
        <f t="shared" si="1174"/>
        <v>99999</v>
      </c>
      <c r="B32809" s="2" t="str">
        <f>"50606"</f>
        <v>50606</v>
      </c>
      <c r="C32809" s="1">
        <v>4.81299285428811E-5</v>
      </c>
      <c r="D32809" s="1">
        <v>4.5528080202266E-5</v>
      </c>
      <c r="E32809" s="1">
        <v>4.3455399550671103E-5</v>
      </c>
      <c r="F32809" s="1">
        <v>4.7852349734419398E-5</v>
      </c>
    </row>
    <row r="32810" spans="1:6" x14ac:dyDescent="0.25">
      <c r="A32810" s="2" t="str">
        <f t="shared" si="1174"/>
        <v>99999</v>
      </c>
      <c r="B32810" s="2" t="str">
        <f>"50607"</f>
        <v>50607</v>
      </c>
      <c r="C32810" s="1">
        <v>2.67388491904895E-5</v>
      </c>
      <c r="D32810" s="1">
        <v>6.0704106936354696E-6</v>
      </c>
      <c r="E32810" s="1">
        <v>1.3036619865201299E-5</v>
      </c>
      <c r="F32810" s="1">
        <v>2.5070253914914101E-5</v>
      </c>
    </row>
    <row r="32811" spans="1:6" x14ac:dyDescent="0.25">
      <c r="A32811" s="2" t="str">
        <f t="shared" si="1174"/>
        <v>99999</v>
      </c>
      <c r="B32811" s="2" t="str">
        <f>"50548"</f>
        <v>50548</v>
      </c>
      <c r="C32811" s="1">
        <v>3.0853357821025999E-4</v>
      </c>
      <c r="D32811" s="1">
        <v>5.7517141322196096E-4</v>
      </c>
      <c r="E32811" s="1">
        <v>5.43192494383389E-4</v>
      </c>
      <c r="F32811" s="1">
        <v>3.3138498329594803E-4</v>
      </c>
    </row>
    <row r="32812" spans="1:6" x14ac:dyDescent="0.25">
      <c r="A32812" s="2" t="str">
        <f t="shared" si="1174"/>
        <v>99999</v>
      </c>
      <c r="B32812" s="2" t="str">
        <f>"50540"</f>
        <v>50540</v>
      </c>
      <c r="C32812" s="1">
        <v>5.7624948459503897E-5</v>
      </c>
      <c r="D32812" s="1">
        <v>1.8211232080906399E-5</v>
      </c>
      <c r="E32812" s="1">
        <v>3.47643196405369E-5</v>
      </c>
      <c r="F32812" s="1">
        <v>5.4517853751479899E-5</v>
      </c>
    </row>
    <row r="32813" spans="1:6" x14ac:dyDescent="0.25">
      <c r="A32813" s="2" t="str">
        <f t="shared" si="1174"/>
        <v>99999</v>
      </c>
      <c r="B32813" s="2" t="str">
        <f>"50452"</f>
        <v>50452</v>
      </c>
      <c r="C32813" s="1">
        <v>2.2919013591848101E-5</v>
      </c>
      <c r="D32813" s="1">
        <v>1.0623218713862E-5</v>
      </c>
      <c r="E32813" s="1">
        <v>1.3036619865201299E-5</v>
      </c>
      <c r="F32813" s="1">
        <v>2.1886729608258301E-5</v>
      </c>
    </row>
    <row r="32814" spans="1:6" x14ac:dyDescent="0.25">
      <c r="A32814" s="2" t="str">
        <f t="shared" si="1174"/>
        <v>99999</v>
      </c>
      <c r="B32814" s="2" t="str">
        <f>"50274"</f>
        <v>50274</v>
      </c>
      <c r="C32814" s="1">
        <v>2.13910793523916E-5</v>
      </c>
      <c r="D32814" s="1">
        <v>1.3658424060679801E-5</v>
      </c>
      <c r="E32814" s="1">
        <v>4.3455399550671099E-6</v>
      </c>
      <c r="F32814" s="1">
        <v>2.04939377240964E-5</v>
      </c>
    </row>
    <row r="32815" spans="1:6" x14ac:dyDescent="0.25">
      <c r="A32815" s="2" t="str">
        <f t="shared" si="1174"/>
        <v>99999</v>
      </c>
      <c r="B32815" s="2" t="str">
        <f>"50034"</f>
        <v>50034</v>
      </c>
      <c r="C32815" s="1">
        <v>2.2809875431886899E-5</v>
      </c>
      <c r="D32815" s="1">
        <v>1.5176026734088599E-5</v>
      </c>
      <c r="E32815" s="1">
        <v>1.3036619865201299E-5</v>
      </c>
      <c r="F32815" s="1">
        <v>2.2085699877424301E-5</v>
      </c>
    </row>
    <row r="32816" spans="1:6" x14ac:dyDescent="0.25">
      <c r="A32816" s="2" t="str">
        <f t="shared" si="1174"/>
        <v>99999</v>
      </c>
      <c r="B32816" s="2" t="str">
        <f>"50227"</f>
        <v>50227</v>
      </c>
      <c r="C32816" s="1">
        <v>3.1650066388742701E-6</v>
      </c>
      <c r="D32816" s="1">
        <v>4.5528080202265997E-6</v>
      </c>
      <c r="E32816" s="1">
        <v>4.3455399550671099E-6</v>
      </c>
      <c r="F32816" s="1">
        <v>3.2830094412387502E-6</v>
      </c>
    </row>
    <row r="32817" spans="1:6" x14ac:dyDescent="0.25">
      <c r="A32817" s="2" t="str">
        <f t="shared" si="1174"/>
        <v>99999</v>
      </c>
      <c r="B32817" s="2" t="str">
        <f>"50236"</f>
        <v>50236</v>
      </c>
      <c r="C32817" s="1">
        <v>2.1827631992236301E-7</v>
      </c>
      <c r="D32817" s="1">
        <v>0</v>
      </c>
      <c r="E32817" s="1">
        <v>0</v>
      </c>
      <c r="F32817" s="1">
        <v>1.9897026916598501E-7</v>
      </c>
    </row>
    <row r="32818" spans="1:6" x14ac:dyDescent="0.25">
      <c r="A32818" s="2" t="str">
        <f t="shared" si="1174"/>
        <v>99999</v>
      </c>
      <c r="B32818" s="2" t="str">
        <f>"50220"</f>
        <v>50220</v>
      </c>
      <c r="C32818" s="1">
        <v>1.6370723994177199E-6</v>
      </c>
      <c r="D32818" s="1">
        <v>1.51760267340886E-6</v>
      </c>
      <c r="E32818" s="1">
        <v>0</v>
      </c>
      <c r="F32818" s="1">
        <v>1.5917621533278801E-6</v>
      </c>
    </row>
    <row r="32819" spans="1:6" x14ac:dyDescent="0.25">
      <c r="A32819" s="2" t="str">
        <f t="shared" si="1174"/>
        <v>99999</v>
      </c>
      <c r="B32819" s="2" t="str">
        <f>"50248"</f>
        <v>50248</v>
      </c>
      <c r="C32819" s="1">
        <v>1.47336515947595E-5</v>
      </c>
      <c r="D32819" s="1">
        <v>6.0704106936354696E-6</v>
      </c>
      <c r="E32819" s="1">
        <v>0</v>
      </c>
      <c r="F32819" s="1">
        <v>1.3828433707035901E-5</v>
      </c>
    </row>
    <row r="32820" spans="1:6" x14ac:dyDescent="0.25">
      <c r="A32820" s="2" t="str">
        <f t="shared" si="1174"/>
        <v>99999</v>
      </c>
      <c r="B32820" s="2" t="str">
        <f>"50144"</f>
        <v>50144</v>
      </c>
      <c r="C32820" s="1">
        <v>1.5803205562379101E-4</v>
      </c>
      <c r="D32820" s="1">
        <v>2.36746017051783E-4</v>
      </c>
      <c r="E32820" s="1">
        <v>2.6942347721416101E-4</v>
      </c>
      <c r="F32820" s="1">
        <v>1.6574223421526499E-4</v>
      </c>
    </row>
    <row r="32821" spans="1:6" x14ac:dyDescent="0.25">
      <c r="A32821" s="2" t="str">
        <f t="shared" si="1174"/>
        <v>99999</v>
      </c>
      <c r="B32821" s="2" t="str">
        <f>"50207"</f>
        <v>50207</v>
      </c>
      <c r="C32821" s="1">
        <v>1.52793423945654E-6</v>
      </c>
      <c r="D32821" s="1">
        <v>0</v>
      </c>
      <c r="E32821" s="1">
        <v>0</v>
      </c>
      <c r="F32821" s="1">
        <v>1.39279188416189E-6</v>
      </c>
    </row>
    <row r="32822" spans="1:6" x14ac:dyDescent="0.25">
      <c r="A32822" s="2" t="str">
        <f t="shared" si="1174"/>
        <v>99999</v>
      </c>
      <c r="B32822" s="2" t="str">
        <f>"50006"</f>
        <v>50006</v>
      </c>
      <c r="C32822" s="1">
        <v>9.2003468847276195E-5</v>
      </c>
      <c r="D32822" s="1">
        <v>5.3116093569310399E-5</v>
      </c>
      <c r="E32822" s="1">
        <v>3.0418779685469802E-5</v>
      </c>
      <c r="F32822" s="1">
        <v>8.8044344105948406E-5</v>
      </c>
    </row>
    <row r="32823" spans="1:6" x14ac:dyDescent="0.25">
      <c r="A32823" s="2" t="str">
        <f t="shared" si="1174"/>
        <v>99999</v>
      </c>
      <c r="B32823" s="2" t="str">
        <f>"29932"</f>
        <v>29932</v>
      </c>
      <c r="C32823" s="1">
        <v>1.44062371148759E-5</v>
      </c>
      <c r="D32823" s="1">
        <v>1.5176026734088599E-5</v>
      </c>
      <c r="E32823" s="1">
        <v>0</v>
      </c>
      <c r="F32823" s="1">
        <v>1.41268891107849E-5</v>
      </c>
    </row>
    <row r="32824" spans="1:6" x14ac:dyDescent="0.25">
      <c r="A32824" s="2" t="str">
        <f t="shared" si="1174"/>
        <v>99999</v>
      </c>
      <c r="B32824" s="2" t="str">
        <f>"50074"</f>
        <v>50074</v>
      </c>
      <c r="C32824" s="1">
        <v>3.9835428385831298E-5</v>
      </c>
      <c r="D32824" s="1">
        <v>1.8211232080906399E-5</v>
      </c>
      <c r="E32824" s="1">
        <v>4.3455399550671099E-6</v>
      </c>
      <c r="F32824" s="1">
        <v>3.7605380872371202E-5</v>
      </c>
    </row>
    <row r="32825" spans="1:6" x14ac:dyDescent="0.25">
      <c r="A32825" s="2" t="str">
        <f t="shared" si="1174"/>
        <v>99999</v>
      </c>
      <c r="B32825" s="2" t="str">
        <f>"50101"</f>
        <v>50101</v>
      </c>
      <c r="C32825" s="1">
        <v>4.3655263984472599E-6</v>
      </c>
      <c r="D32825" s="1">
        <v>6.0704106936354696E-6</v>
      </c>
      <c r="E32825" s="1">
        <v>4.3455399550671099E-6</v>
      </c>
      <c r="F32825" s="1">
        <v>4.4768310562346604E-6</v>
      </c>
    </row>
    <row r="32826" spans="1:6" x14ac:dyDescent="0.25">
      <c r="A32826" s="2" t="str">
        <f t="shared" si="1174"/>
        <v>99999</v>
      </c>
      <c r="B32826" s="2" t="str">
        <f>"29921"</f>
        <v>29921</v>
      </c>
      <c r="C32826" s="1">
        <v>1.09138159961181E-7</v>
      </c>
      <c r="D32826" s="1">
        <v>1.51760267340886E-6</v>
      </c>
      <c r="E32826" s="1">
        <v>0</v>
      </c>
      <c r="F32826" s="1">
        <v>1.9897026916598501E-7</v>
      </c>
    </row>
    <row r="32827" spans="1:6" x14ac:dyDescent="0.25">
      <c r="A32827" s="2" t="str">
        <f t="shared" si="1174"/>
        <v>99999</v>
      </c>
      <c r="B32827" s="2" t="str">
        <f>"29720"</f>
        <v>29720</v>
      </c>
      <c r="C32827" s="1">
        <v>0</v>
      </c>
      <c r="D32827" s="1">
        <v>1.51760267340886E-6</v>
      </c>
      <c r="E32827" s="1">
        <v>0</v>
      </c>
      <c r="F32827" s="1">
        <v>9.9485134582992598E-8</v>
      </c>
    </row>
    <row r="32828" spans="1:6" x14ac:dyDescent="0.25">
      <c r="A32828" s="2" t="str">
        <f t="shared" si="1174"/>
        <v>99999</v>
      </c>
      <c r="B32828" s="2" t="str">
        <f>"29727"</f>
        <v>29727</v>
      </c>
      <c r="C32828" s="1">
        <v>8.0980514691196795E-5</v>
      </c>
      <c r="D32828" s="1">
        <v>3.1869656141586203E-5</v>
      </c>
      <c r="E32828" s="1">
        <v>8.69107991013423E-6</v>
      </c>
      <c r="F32828" s="1">
        <v>7.6106127955989303E-5</v>
      </c>
    </row>
    <row r="32829" spans="1:6" x14ac:dyDescent="0.25">
      <c r="A32829" s="2" t="str">
        <f t="shared" si="1174"/>
        <v>99999</v>
      </c>
      <c r="B32829" s="2" t="str">
        <f>"29849"</f>
        <v>29849</v>
      </c>
      <c r="C32829" s="1">
        <v>1.7462105593788999E-5</v>
      </c>
      <c r="D32829" s="1">
        <v>1.5176026734088599E-5</v>
      </c>
      <c r="E32829" s="1">
        <v>0</v>
      </c>
      <c r="F32829" s="1">
        <v>1.69124728791087E-5</v>
      </c>
    </row>
    <row r="32830" spans="1:6" x14ac:dyDescent="0.25">
      <c r="A32830" s="2" t="str">
        <f t="shared" si="1174"/>
        <v>99999</v>
      </c>
      <c r="B32830" s="2" t="str">
        <f>"29808"</f>
        <v>29808</v>
      </c>
      <c r="C32830" s="1">
        <v>0</v>
      </c>
      <c r="D32830" s="1">
        <v>3.0352053468177301E-6</v>
      </c>
      <c r="E32830" s="1">
        <v>0</v>
      </c>
      <c r="F32830" s="1">
        <v>1.9897026916598501E-7</v>
      </c>
    </row>
    <row r="32831" spans="1:6" x14ac:dyDescent="0.25">
      <c r="A32831" s="2" t="str">
        <f t="shared" si="1174"/>
        <v>99999</v>
      </c>
      <c r="B32831" s="2" t="str">
        <f>"29844"</f>
        <v>29844</v>
      </c>
      <c r="C32831" s="1">
        <v>0</v>
      </c>
      <c r="D32831" s="1">
        <v>0</v>
      </c>
      <c r="E32831" s="1">
        <v>8.69107991013423E-6</v>
      </c>
      <c r="F32831" s="1">
        <v>1.9897026916598501E-7</v>
      </c>
    </row>
    <row r="32832" spans="1:6" x14ac:dyDescent="0.25">
      <c r="A32832" s="2" t="str">
        <f t="shared" si="1174"/>
        <v>99999</v>
      </c>
      <c r="B32832" s="2" t="str">
        <f>"29692"</f>
        <v>29692</v>
      </c>
      <c r="C32832" s="1">
        <v>4.16907771051714E-5</v>
      </c>
      <c r="D32832" s="1">
        <v>3.3387258814995101E-5</v>
      </c>
      <c r="E32832" s="1">
        <v>1.3036619865201299E-5</v>
      </c>
      <c r="F32832" s="1">
        <v>4.0490449775278003E-5</v>
      </c>
    </row>
    <row r="32833" spans="1:6" x14ac:dyDescent="0.25">
      <c r="A32833" s="2" t="str">
        <f t="shared" si="1174"/>
        <v>99999</v>
      </c>
      <c r="B32833" s="2" t="str">
        <f>"29653"</f>
        <v>29653</v>
      </c>
      <c r="C32833" s="1">
        <v>6.5482895976709E-6</v>
      </c>
      <c r="D32833" s="1">
        <v>1.51760267340886E-6</v>
      </c>
      <c r="E32833" s="1">
        <v>0</v>
      </c>
      <c r="F32833" s="1">
        <v>6.0685932095625502E-6</v>
      </c>
    </row>
    <row r="32834" spans="1:6" x14ac:dyDescent="0.25">
      <c r="A32834" s="2" t="str">
        <f t="shared" si="1174"/>
        <v>99999</v>
      </c>
      <c r="B32834" s="2" t="str">
        <f>"29646"</f>
        <v>29646</v>
      </c>
      <c r="C32834" s="1">
        <v>6.3300132777485401E-6</v>
      </c>
      <c r="D32834" s="1">
        <v>0</v>
      </c>
      <c r="E32834" s="1">
        <v>4.3455399550671099E-6</v>
      </c>
      <c r="F32834" s="1">
        <v>5.86962294039656E-6</v>
      </c>
    </row>
    <row r="32835" spans="1:6" x14ac:dyDescent="0.25">
      <c r="A32835" s="2" t="str">
        <f t="shared" si="1174"/>
        <v>99999</v>
      </c>
      <c r="B32835" s="2" t="str">
        <f>"29581"</f>
        <v>29581</v>
      </c>
      <c r="C32835" s="1">
        <v>9.3858817566616195E-5</v>
      </c>
      <c r="D32835" s="1">
        <v>1.9728834754315301E-5</v>
      </c>
      <c r="E32835" s="1">
        <v>0</v>
      </c>
      <c r="F32835" s="1">
        <v>8.6850522490952505E-5</v>
      </c>
    </row>
    <row r="32836" spans="1:6" x14ac:dyDescent="0.25">
      <c r="A32836" s="2" t="str">
        <f t="shared" si="1174"/>
        <v>99999</v>
      </c>
      <c r="B32836" s="2" t="str">
        <f>"29556"</f>
        <v>29556</v>
      </c>
      <c r="C32836" s="1">
        <v>7.1671029646507998E-4</v>
      </c>
      <c r="D32836" s="1">
        <v>1.04714584465211E-3</v>
      </c>
      <c r="E32836" s="1">
        <v>4.73663855102315E-4</v>
      </c>
      <c r="F32836" s="1">
        <v>7.3280750133832299E-4</v>
      </c>
    </row>
    <row r="32837" spans="1:6" x14ac:dyDescent="0.25">
      <c r="A32837" s="2" t="str">
        <f t="shared" si="1174"/>
        <v>99999</v>
      </c>
      <c r="B32837" s="2" t="str">
        <f>"29520"</f>
        <v>29520</v>
      </c>
      <c r="C32837" s="1">
        <v>7.52835027412231E-4</v>
      </c>
      <c r="D32837" s="1">
        <v>1.0987443355480199E-3</v>
      </c>
      <c r="E32837" s="1">
        <v>2.5638685734895902E-4</v>
      </c>
      <c r="F32837" s="1">
        <v>7.6414531873196599E-4</v>
      </c>
    </row>
    <row r="32838" spans="1:6" x14ac:dyDescent="0.25">
      <c r="A32838" s="2" t="str">
        <f t="shared" si="1174"/>
        <v>99999</v>
      </c>
      <c r="B32838" s="2" t="str">
        <f>"29518"</f>
        <v>29518</v>
      </c>
      <c r="C32838" s="1">
        <v>7.0721527654845696E-5</v>
      </c>
      <c r="D32838" s="1">
        <v>3.0352053468177301E-5</v>
      </c>
      <c r="E32838" s="1">
        <v>8.69107991013423E-6</v>
      </c>
      <c r="F32838" s="1">
        <v>6.6655040170605006E-5</v>
      </c>
    </row>
    <row r="32839" spans="1:6" x14ac:dyDescent="0.25">
      <c r="A32839" s="2" t="str">
        <f t="shared" si="1174"/>
        <v>99999</v>
      </c>
      <c r="B32839" s="2" t="str">
        <f>"29546"</f>
        <v>29546</v>
      </c>
      <c r="C32839" s="1">
        <v>1.5290256210561499E-4</v>
      </c>
      <c r="D32839" s="1">
        <v>6.0704106936354703E-5</v>
      </c>
      <c r="E32839" s="1">
        <v>0</v>
      </c>
      <c r="F32839" s="1">
        <v>1.4335807893409199E-4</v>
      </c>
    </row>
    <row r="32840" spans="1:6" x14ac:dyDescent="0.25">
      <c r="A32840" s="2" t="str">
        <f t="shared" si="1174"/>
        <v>99999</v>
      </c>
      <c r="B32840" s="2" t="str">
        <f>"29536"</f>
        <v>29536</v>
      </c>
      <c r="C32840" s="1">
        <v>8.5444265433609102E-4</v>
      </c>
      <c r="D32840" s="1">
        <v>1.3112087098252601E-3</v>
      </c>
      <c r="E32840" s="1">
        <v>5.5188357429352298E-4</v>
      </c>
      <c r="F32840" s="1">
        <v>8.7745888702199504E-4</v>
      </c>
    </row>
    <row r="32841" spans="1:6" x14ac:dyDescent="0.25">
      <c r="A32841" s="2" t="str">
        <f t="shared" si="1174"/>
        <v>99999</v>
      </c>
      <c r="B32841" s="2" t="str">
        <f>"29488"</f>
        <v>29488</v>
      </c>
      <c r="C32841" s="1">
        <v>1.2906678797009301E-3</v>
      </c>
      <c r="D32841" s="1">
        <v>2.0715276492030998E-3</v>
      </c>
      <c r="E32841" s="1">
        <v>5.9099343388912704E-4</v>
      </c>
      <c r="F32841" s="1">
        <v>1.3258383885875399E-3</v>
      </c>
    </row>
    <row r="32842" spans="1:6" x14ac:dyDescent="0.25">
      <c r="A32842" s="2" t="str">
        <f t="shared" si="1174"/>
        <v>99999</v>
      </c>
      <c r="B32842" s="2" t="str">
        <f>"29432"</f>
        <v>29432</v>
      </c>
      <c r="C32842" s="1">
        <v>3.1540928228781503E-5</v>
      </c>
      <c r="D32842" s="1">
        <v>1.0623218713862E-5</v>
      </c>
      <c r="E32842" s="1">
        <v>0</v>
      </c>
      <c r="F32842" s="1">
        <v>2.9447599836565802E-5</v>
      </c>
    </row>
    <row r="32843" spans="1:6" x14ac:dyDescent="0.25">
      <c r="A32843" s="2" t="str">
        <f t="shared" si="1174"/>
        <v>99999</v>
      </c>
      <c r="B32843" s="2" t="str">
        <f>"29056"</f>
        <v>29056</v>
      </c>
      <c r="C32843" s="1">
        <v>1.17105245638348E-4</v>
      </c>
      <c r="D32843" s="1">
        <v>8.3468147037487798E-5</v>
      </c>
      <c r="E32843" s="1">
        <v>5.21464794608054E-5</v>
      </c>
      <c r="F32843" s="1">
        <v>1.13413053424611E-4</v>
      </c>
    </row>
    <row r="32844" spans="1:6" x14ac:dyDescent="0.25">
      <c r="A32844" s="2" t="str">
        <f t="shared" si="1174"/>
        <v>99999</v>
      </c>
      <c r="B32844" s="2" t="str">
        <f>"29040"</f>
        <v>29040</v>
      </c>
      <c r="C32844" s="1">
        <v>4.1254224465326597E-5</v>
      </c>
      <c r="D32844" s="1">
        <v>4.5528080202265997E-6</v>
      </c>
      <c r="E32844" s="1">
        <v>0</v>
      </c>
      <c r="F32844" s="1">
        <v>3.7903836276120103E-5</v>
      </c>
    </row>
    <row r="32845" spans="1:6" x14ac:dyDescent="0.25">
      <c r="A32845" s="2" t="str">
        <f t="shared" si="1174"/>
        <v>99999</v>
      </c>
      <c r="B32845" s="2" t="str">
        <f>"29010"</f>
        <v>29010</v>
      </c>
      <c r="C32845" s="1">
        <v>6.1750370906036602E-4</v>
      </c>
      <c r="D32845" s="1">
        <v>7.8308297947897595E-4</v>
      </c>
      <c r="E32845" s="1">
        <v>8.6910799101342295E-4</v>
      </c>
      <c r="F32845" s="1">
        <v>6.3411824783199497E-4</v>
      </c>
    </row>
    <row r="32846" spans="1:6" x14ac:dyDescent="0.25">
      <c r="A32846" s="2" t="str">
        <f t="shared" si="1174"/>
        <v>99999</v>
      </c>
      <c r="B32846" s="2" t="str">
        <f>"29104"</f>
        <v>29104</v>
      </c>
      <c r="C32846" s="1">
        <v>3.8853184946180599E-5</v>
      </c>
      <c r="D32846" s="1">
        <v>1.66936294074975E-5</v>
      </c>
      <c r="E32846" s="1">
        <v>3.47643196405369E-5</v>
      </c>
      <c r="F32846" s="1">
        <v>3.73069254686222E-5</v>
      </c>
    </row>
    <row r="32847" spans="1:6" x14ac:dyDescent="0.25">
      <c r="A32847" s="2" t="str">
        <f t="shared" si="1174"/>
        <v>99999</v>
      </c>
      <c r="B32847" s="2" t="str">
        <f>"29101"</f>
        <v>29101</v>
      </c>
      <c r="C32847" s="1">
        <v>1.0804677836156899E-4</v>
      </c>
      <c r="D32847" s="1">
        <v>5.6151298916128101E-5</v>
      </c>
      <c r="E32847" s="1">
        <v>4.3455399550671099E-6</v>
      </c>
      <c r="F32847" s="1">
        <v>1.0227071835131599E-4</v>
      </c>
    </row>
    <row r="32848" spans="1:6" x14ac:dyDescent="0.25">
      <c r="A32848" s="2" t="str">
        <f t="shared" si="1174"/>
        <v>99999</v>
      </c>
      <c r="B32848" s="2" t="str">
        <f>"29081"</f>
        <v>29081</v>
      </c>
      <c r="C32848" s="1">
        <v>4.5292336383890401E-5</v>
      </c>
      <c r="D32848" s="1">
        <v>3.9457669508630602E-5</v>
      </c>
      <c r="E32848" s="1">
        <v>0</v>
      </c>
      <c r="F32848" s="1">
        <v>4.3872944351099702E-5</v>
      </c>
    </row>
    <row r="32849" spans="1:6" x14ac:dyDescent="0.25">
      <c r="A32849" s="2" t="str">
        <f t="shared" si="1174"/>
        <v>99999</v>
      </c>
      <c r="B32849" s="2" t="str">
        <f>"28904"</f>
        <v>28904</v>
      </c>
      <c r="C32849" s="1">
        <v>7.0819751998810795E-4</v>
      </c>
      <c r="D32849" s="1">
        <v>8.1798784096737999E-4</v>
      </c>
      <c r="E32849" s="1">
        <v>3.17224416719899E-4</v>
      </c>
      <c r="F32849" s="1">
        <v>7.0644394067383002E-4</v>
      </c>
    </row>
    <row r="32850" spans="1:6" x14ac:dyDescent="0.25">
      <c r="A32850" s="2" t="str">
        <f t="shared" ref="A32850:A32913" si="1175">"99999"</f>
        <v>99999</v>
      </c>
      <c r="B32850" s="2" t="str">
        <f>"28901"</f>
        <v>28901</v>
      </c>
      <c r="C32850" s="1">
        <v>2.4643396519234798E-4</v>
      </c>
      <c r="D32850" s="1">
        <v>3.1869656141586197E-4</v>
      </c>
      <c r="E32850" s="1">
        <v>8.2565259146275205E-5</v>
      </c>
      <c r="F32850" s="1">
        <v>2.4741952970790202E-4</v>
      </c>
    </row>
    <row r="32851" spans="1:6" x14ac:dyDescent="0.25">
      <c r="A32851" s="2" t="str">
        <f t="shared" si="1175"/>
        <v>99999</v>
      </c>
      <c r="B32851" s="2" t="str">
        <f>"28763"</f>
        <v>28763</v>
      </c>
      <c r="C32851" s="1">
        <v>1.7287484537851101E-4</v>
      </c>
      <c r="D32851" s="1">
        <v>8.043294169067E-5</v>
      </c>
      <c r="E32851" s="1">
        <v>4.3455399550671099E-6</v>
      </c>
      <c r="F32851" s="1">
        <v>1.6295665044694101E-4</v>
      </c>
    </row>
    <row r="32852" spans="1:6" x14ac:dyDescent="0.25">
      <c r="A32852" s="2" t="str">
        <f t="shared" si="1175"/>
        <v>99999</v>
      </c>
      <c r="B32852" s="2" t="str">
        <f>"28705"</f>
        <v>28705</v>
      </c>
      <c r="C32852" s="1">
        <v>4.0271981025676002E-4</v>
      </c>
      <c r="D32852" s="1">
        <v>3.0352053468177303E-4</v>
      </c>
      <c r="E32852" s="1">
        <v>1.30366198652013E-4</v>
      </c>
      <c r="F32852" s="1">
        <v>3.8998172756533103E-4</v>
      </c>
    </row>
    <row r="32853" spans="1:6" x14ac:dyDescent="0.25">
      <c r="A32853" s="2" t="str">
        <f t="shared" si="1175"/>
        <v>99999</v>
      </c>
      <c r="B32853" s="2" t="str">
        <f>"28618"</f>
        <v>28618</v>
      </c>
      <c r="C32853" s="1">
        <v>2.1827631992236301E-7</v>
      </c>
      <c r="D32853" s="1">
        <v>0</v>
      </c>
      <c r="E32853" s="1">
        <v>0</v>
      </c>
      <c r="F32853" s="1">
        <v>1.9897026916598501E-7</v>
      </c>
    </row>
    <row r="32854" spans="1:6" x14ac:dyDescent="0.25">
      <c r="A32854" s="2" t="str">
        <f t="shared" si="1175"/>
        <v>99999</v>
      </c>
      <c r="B32854" s="2" t="str">
        <f>"28615"</f>
        <v>28615</v>
      </c>
      <c r="C32854" s="1">
        <v>1.3511304203194199E-4</v>
      </c>
      <c r="D32854" s="1">
        <v>2.88344507947685E-5</v>
      </c>
      <c r="E32854" s="1">
        <v>3.9109859595604001E-5</v>
      </c>
      <c r="F32854" s="1">
        <v>1.25948180382068E-4</v>
      </c>
    </row>
    <row r="32855" spans="1:6" x14ac:dyDescent="0.25">
      <c r="A32855" s="2" t="str">
        <f t="shared" si="1175"/>
        <v>99999</v>
      </c>
      <c r="B32855" s="2" t="str">
        <f>"28702"</f>
        <v>28702</v>
      </c>
      <c r="C32855" s="1">
        <v>2.9358165029557801E-5</v>
      </c>
      <c r="D32855" s="1">
        <v>9.1056160404532095E-6</v>
      </c>
      <c r="E32855" s="1">
        <v>1.3036619865201299E-5</v>
      </c>
      <c r="F32855" s="1">
        <v>2.76568674140719E-5</v>
      </c>
    </row>
    <row r="32856" spans="1:6" x14ac:dyDescent="0.25">
      <c r="A32856" s="2" t="str">
        <f t="shared" si="1175"/>
        <v>99999</v>
      </c>
      <c r="B32856" s="2" t="str">
        <f>"28694"</f>
        <v>28694</v>
      </c>
      <c r="C32856" s="1">
        <v>6.0266091930564504E-4</v>
      </c>
      <c r="D32856" s="1">
        <v>9.2422002810600104E-4</v>
      </c>
      <c r="E32856" s="1">
        <v>4.9973709483271795E-4</v>
      </c>
      <c r="F32856" s="1">
        <v>6.2138415060537203E-4</v>
      </c>
    </row>
    <row r="32857" spans="1:6" x14ac:dyDescent="0.25">
      <c r="A32857" s="2" t="str">
        <f t="shared" si="1175"/>
        <v>99999</v>
      </c>
      <c r="B32857" s="2" t="str">
        <f>"28668"</f>
        <v>28668</v>
      </c>
      <c r="C32857" s="1">
        <v>3.27414479883545E-6</v>
      </c>
      <c r="D32857" s="1">
        <v>7.5880133670443404E-6</v>
      </c>
      <c r="E32857" s="1">
        <v>0</v>
      </c>
      <c r="F32857" s="1">
        <v>3.48197971040474E-6</v>
      </c>
    </row>
    <row r="32858" spans="1:6" x14ac:dyDescent="0.25">
      <c r="A32858" s="2" t="str">
        <f t="shared" si="1175"/>
        <v>99999</v>
      </c>
      <c r="B32858" s="2" t="str">
        <f>"28631"</f>
        <v>28631</v>
      </c>
      <c r="C32858" s="1">
        <v>5.7188395819659203E-5</v>
      </c>
      <c r="D32858" s="1">
        <v>2.4281642774541899E-5</v>
      </c>
      <c r="E32858" s="1">
        <v>1.3036619865201299E-5</v>
      </c>
      <c r="F32858" s="1">
        <v>5.4020428078565001E-5</v>
      </c>
    </row>
    <row r="32859" spans="1:6" x14ac:dyDescent="0.25">
      <c r="A32859" s="2" t="str">
        <f t="shared" si="1175"/>
        <v>99999</v>
      </c>
      <c r="B32859" s="2" t="str">
        <f>"28444"</f>
        <v>28444</v>
      </c>
      <c r="C32859" s="1">
        <v>1.23107844436213E-4</v>
      </c>
      <c r="D32859" s="1">
        <v>5.6151298916128101E-5</v>
      </c>
      <c r="E32859" s="1">
        <v>8.69107991013423E-6</v>
      </c>
      <c r="F32859" s="1">
        <v>1.1609915205835199E-4</v>
      </c>
    </row>
    <row r="32860" spans="1:6" x14ac:dyDescent="0.25">
      <c r="A32860" s="2" t="str">
        <f t="shared" si="1175"/>
        <v>99999</v>
      </c>
      <c r="B32860" s="2" t="str">
        <f>"28442"</f>
        <v>28442</v>
      </c>
      <c r="C32860" s="1">
        <v>8.5346041089644104E-5</v>
      </c>
      <c r="D32860" s="1">
        <v>3.3387258814995101E-5</v>
      </c>
      <c r="E32860" s="1">
        <v>8.69107991013423E-6</v>
      </c>
      <c r="F32860" s="1">
        <v>8.0185018473892005E-5</v>
      </c>
    </row>
    <row r="32861" spans="1:6" x14ac:dyDescent="0.25">
      <c r="A32861" s="2" t="str">
        <f t="shared" si="1175"/>
        <v>99999</v>
      </c>
      <c r="B32861" s="2" t="str">
        <f>"28439"</f>
        <v>28439</v>
      </c>
      <c r="C32861" s="1">
        <v>7.0066698695078603E-5</v>
      </c>
      <c r="D32861" s="1">
        <v>4.8563285549083798E-5</v>
      </c>
      <c r="E32861" s="1">
        <v>3.47643196405369E-5</v>
      </c>
      <c r="F32861" s="1">
        <v>6.7848861785600894E-5</v>
      </c>
    </row>
    <row r="32862" spans="1:6" x14ac:dyDescent="0.25">
      <c r="A32862" s="2" t="str">
        <f t="shared" si="1175"/>
        <v>99999</v>
      </c>
      <c r="B32862" s="2" t="str">
        <f>"28431"</f>
        <v>28431</v>
      </c>
      <c r="C32862" s="1">
        <v>3.9628065881904998E-4</v>
      </c>
      <c r="D32862" s="1">
        <v>3.79400668352217E-4</v>
      </c>
      <c r="E32862" s="1">
        <v>2.4769577743882499E-4</v>
      </c>
      <c r="F32862" s="1">
        <v>3.9177245998782499E-4</v>
      </c>
    </row>
    <row r="32863" spans="1:6" x14ac:dyDescent="0.25">
      <c r="A32863" s="2" t="str">
        <f t="shared" si="1175"/>
        <v>99999</v>
      </c>
      <c r="B32863" s="2" t="str">
        <f>"28472"</f>
        <v>28472</v>
      </c>
      <c r="C32863" s="1">
        <v>1.0281906049942899E-3</v>
      </c>
      <c r="D32863" s="1">
        <v>1.8605808775992701E-3</v>
      </c>
      <c r="E32863" s="1">
        <v>1.08638498876677E-3</v>
      </c>
      <c r="F32863" s="1">
        <v>1.0840895115508699E-3</v>
      </c>
    </row>
    <row r="32864" spans="1:6" x14ac:dyDescent="0.25">
      <c r="A32864" s="2" t="str">
        <f t="shared" si="1175"/>
        <v>99999</v>
      </c>
      <c r="B32864" s="2" t="str">
        <f>"28466"</f>
        <v>28466</v>
      </c>
      <c r="C32864" s="1">
        <v>7.0754269102834102E-4</v>
      </c>
      <c r="D32864" s="1">
        <v>1.08660351416075E-3</v>
      </c>
      <c r="E32864" s="1">
        <v>1.82512678112818E-4</v>
      </c>
      <c r="F32864" s="1">
        <v>7.2037185951544897E-4</v>
      </c>
    </row>
    <row r="32865" spans="1:6" x14ac:dyDescent="0.25">
      <c r="A32865" s="2" t="str">
        <f t="shared" si="1175"/>
        <v>99999</v>
      </c>
      <c r="B32865" s="2" t="str">
        <f>"28399"</f>
        <v>28399</v>
      </c>
      <c r="C32865" s="1">
        <v>9.9097449244753001E-5</v>
      </c>
      <c r="D32865" s="1">
        <v>4.8563285549083798E-5</v>
      </c>
      <c r="E32865" s="1">
        <v>4.7800939505738197E-5</v>
      </c>
      <c r="F32865" s="1">
        <v>9.4610362988425901E-5</v>
      </c>
    </row>
    <row r="32866" spans="1:6" x14ac:dyDescent="0.25">
      <c r="A32866" s="2" t="str">
        <f t="shared" si="1175"/>
        <v>99999</v>
      </c>
      <c r="B32866" s="2" t="str">
        <f>"28328"</f>
        <v>28328</v>
      </c>
      <c r="C32866" s="1">
        <v>1.38125255246871E-3</v>
      </c>
      <c r="D32866" s="1">
        <v>1.9136969711685799E-3</v>
      </c>
      <c r="E32866" s="1">
        <v>1.11680376845224E-3</v>
      </c>
      <c r="F32866" s="1">
        <v>1.41010229757933E-3</v>
      </c>
    </row>
    <row r="32867" spans="1:6" x14ac:dyDescent="0.25">
      <c r="A32867" s="2" t="str">
        <f t="shared" si="1175"/>
        <v>99999</v>
      </c>
      <c r="B32867" s="2" t="str">
        <f>"28127"</f>
        <v>28127</v>
      </c>
      <c r="C32867" s="1">
        <v>1.4220702242941899E-4</v>
      </c>
      <c r="D32867" s="1">
        <v>5.3116093569310399E-5</v>
      </c>
      <c r="E32867" s="1">
        <v>0</v>
      </c>
      <c r="F32867" s="1">
        <v>1.33111110072044E-4</v>
      </c>
    </row>
    <row r="32868" spans="1:6" x14ac:dyDescent="0.25">
      <c r="A32868" s="2" t="str">
        <f t="shared" si="1175"/>
        <v>99999</v>
      </c>
      <c r="B32868" s="2" t="str">
        <f>"27869"</f>
        <v>27869</v>
      </c>
      <c r="C32868" s="1">
        <v>7.63967119728272E-7</v>
      </c>
      <c r="D32868" s="1">
        <v>0</v>
      </c>
      <c r="E32868" s="1">
        <v>0</v>
      </c>
      <c r="F32868" s="1">
        <v>6.9639594208094799E-7</v>
      </c>
    </row>
    <row r="32869" spans="1:6" x14ac:dyDescent="0.25">
      <c r="A32869" s="2" t="str">
        <f t="shared" si="1175"/>
        <v>99999</v>
      </c>
      <c r="B32869" s="2" t="str">
        <f>"27846"</f>
        <v>27846</v>
      </c>
      <c r="C32869" s="1">
        <v>1.5595843058452801E-4</v>
      </c>
      <c r="D32869" s="1">
        <v>4.5528080202266E-5</v>
      </c>
      <c r="E32869" s="1">
        <v>6.0837559370939603E-5</v>
      </c>
      <c r="F32869" s="1">
        <v>1.4654160324074799E-4</v>
      </c>
    </row>
    <row r="32870" spans="1:6" x14ac:dyDescent="0.25">
      <c r="A32870" s="2" t="str">
        <f t="shared" si="1175"/>
        <v>99999</v>
      </c>
      <c r="B32870" s="2" t="str">
        <f>"27825"</f>
        <v>27825</v>
      </c>
      <c r="C32870" s="1">
        <v>1.09138159961181E-7</v>
      </c>
      <c r="D32870" s="1">
        <v>1.51760267340886E-6</v>
      </c>
      <c r="E32870" s="1">
        <v>0</v>
      </c>
      <c r="F32870" s="1">
        <v>1.9897026916598501E-7</v>
      </c>
    </row>
    <row r="32871" spans="1:6" x14ac:dyDescent="0.25">
      <c r="A32871" s="2" t="str">
        <f t="shared" si="1175"/>
        <v>99999</v>
      </c>
      <c r="B32871" s="2" t="str">
        <f>"27826"</f>
        <v>27826</v>
      </c>
      <c r="C32871" s="1">
        <v>3.85257704662971E-5</v>
      </c>
      <c r="D32871" s="1">
        <v>1.8211232080906399E-5</v>
      </c>
      <c r="E32871" s="1">
        <v>0</v>
      </c>
      <c r="F32871" s="1">
        <v>3.6312074122792303E-5</v>
      </c>
    </row>
    <row r="32872" spans="1:6" x14ac:dyDescent="0.25">
      <c r="A32872" s="2" t="str">
        <f t="shared" si="1175"/>
        <v>99999</v>
      </c>
      <c r="B32872" s="2" t="str">
        <f>"27314"</f>
        <v>27314</v>
      </c>
      <c r="C32872" s="1">
        <v>5.3259422061056602E-5</v>
      </c>
      <c r="D32872" s="1">
        <v>1.9728834754315301E-5</v>
      </c>
      <c r="E32872" s="1">
        <v>8.69107991013423E-6</v>
      </c>
      <c r="F32872" s="1">
        <v>5.0041022695245203E-5</v>
      </c>
    </row>
    <row r="32873" spans="1:6" x14ac:dyDescent="0.25">
      <c r="A32873" s="2" t="str">
        <f t="shared" si="1175"/>
        <v>99999</v>
      </c>
      <c r="B32873" s="2" t="str">
        <f>"27229"</f>
        <v>27229</v>
      </c>
      <c r="C32873" s="1">
        <v>1.3849632499073899E-4</v>
      </c>
      <c r="D32873" s="1">
        <v>1.07749789812029E-4</v>
      </c>
      <c r="E32873" s="1">
        <v>0</v>
      </c>
      <c r="F32873" s="1">
        <v>1.3331008034121001E-4</v>
      </c>
    </row>
    <row r="32874" spans="1:6" x14ac:dyDescent="0.25">
      <c r="A32874" s="2" t="str">
        <f t="shared" si="1175"/>
        <v>99999</v>
      </c>
      <c r="B32874" s="2" t="str">
        <f>"27217"</f>
        <v>27217</v>
      </c>
      <c r="C32874" s="1">
        <v>6.8647902615583305E-5</v>
      </c>
      <c r="D32874" s="1">
        <v>2.2764040101133E-5</v>
      </c>
      <c r="E32874" s="1">
        <v>2.1727699775335501E-5</v>
      </c>
      <c r="F32874" s="1">
        <v>6.4565852344362193E-5</v>
      </c>
    </row>
    <row r="32875" spans="1:6" x14ac:dyDescent="0.25">
      <c r="A32875" s="2" t="str">
        <f t="shared" si="1175"/>
        <v>99999</v>
      </c>
      <c r="B32875" s="2" t="str">
        <f>"26886"</f>
        <v>26886</v>
      </c>
      <c r="C32875" s="1">
        <v>0</v>
      </c>
      <c r="D32875" s="1">
        <v>1.51760267340886E-6</v>
      </c>
      <c r="E32875" s="1">
        <v>0</v>
      </c>
      <c r="F32875" s="1">
        <v>9.9485134582992598E-8</v>
      </c>
    </row>
    <row r="32876" spans="1:6" x14ac:dyDescent="0.25">
      <c r="A32876" s="2" t="str">
        <f t="shared" si="1175"/>
        <v>99999</v>
      </c>
      <c r="B32876" s="2" t="str">
        <f>"26836"</f>
        <v>26836</v>
      </c>
      <c r="C32876" s="1">
        <v>3.56008677793374E-4</v>
      </c>
      <c r="D32876" s="1">
        <v>5.43301757080375E-4</v>
      </c>
      <c r="E32876" s="1">
        <v>3.9544413591110703E-4</v>
      </c>
      <c r="F32876" s="1">
        <v>3.6918933443748499E-4</v>
      </c>
    </row>
    <row r="32877" spans="1:6" x14ac:dyDescent="0.25">
      <c r="A32877" s="2" t="str">
        <f t="shared" si="1175"/>
        <v>99999</v>
      </c>
      <c r="B32877" s="2" t="str">
        <f>"26833"</f>
        <v>26833</v>
      </c>
      <c r="C32877" s="1">
        <v>1.11648337640288E-4</v>
      </c>
      <c r="D32877" s="1">
        <v>3.6422464161812797E-5</v>
      </c>
      <c r="E32877" s="1">
        <v>8.69107991013423E-6</v>
      </c>
      <c r="F32877" s="1">
        <v>1.04359906177559E-4</v>
      </c>
    </row>
    <row r="32878" spans="1:6" x14ac:dyDescent="0.25">
      <c r="A32878" s="2" t="str">
        <f t="shared" si="1175"/>
        <v>99999</v>
      </c>
      <c r="B32878" s="2" t="str">
        <f>"26815"</f>
        <v>26815</v>
      </c>
      <c r="C32878" s="1">
        <v>6.7993073655816199E-5</v>
      </c>
      <c r="D32878" s="1">
        <v>7.5880133670443404E-6</v>
      </c>
      <c r="E32878" s="1">
        <v>1.7382159820268399E-5</v>
      </c>
      <c r="F32878" s="1">
        <v>6.2874605056451307E-5</v>
      </c>
    </row>
    <row r="32879" spans="1:6" x14ac:dyDescent="0.25">
      <c r="A32879" s="2" t="str">
        <f t="shared" si="1175"/>
        <v>99999</v>
      </c>
      <c r="B32879" s="2" t="str">
        <f>"26385"</f>
        <v>26385</v>
      </c>
      <c r="C32879" s="1">
        <v>5.4569079980590801E-7</v>
      </c>
      <c r="D32879" s="1">
        <v>0</v>
      </c>
      <c r="E32879" s="1">
        <v>0</v>
      </c>
      <c r="F32879" s="1">
        <v>4.9742567291496303E-7</v>
      </c>
    </row>
    <row r="32880" spans="1:6" x14ac:dyDescent="0.25">
      <c r="A32880" s="2" t="str">
        <f t="shared" si="1175"/>
        <v>99999</v>
      </c>
      <c r="B32880" s="2" t="str">
        <f>"26362"</f>
        <v>26362</v>
      </c>
      <c r="C32880" s="1">
        <v>1.82479003455095E-4</v>
      </c>
      <c r="D32880" s="1">
        <v>2.42816427745419E-4</v>
      </c>
      <c r="E32880" s="1">
        <v>1.08638498876677E-4</v>
      </c>
      <c r="F32880" s="1">
        <v>1.8474389492061701E-4</v>
      </c>
    </row>
    <row r="32881" spans="1:6" x14ac:dyDescent="0.25">
      <c r="A32881" s="2" t="str">
        <f t="shared" si="1175"/>
        <v>99999</v>
      </c>
      <c r="B32881" s="2" t="str">
        <f>"26684"</f>
        <v>26684</v>
      </c>
      <c r="C32881" s="1">
        <v>9.71329623654517E-6</v>
      </c>
      <c r="D32881" s="1">
        <v>0</v>
      </c>
      <c r="E32881" s="1">
        <v>4.3455399550671099E-6</v>
      </c>
      <c r="F32881" s="1">
        <v>8.9536621124693292E-6</v>
      </c>
    </row>
    <row r="32882" spans="1:6" x14ac:dyDescent="0.25">
      <c r="A32882" s="2" t="str">
        <f t="shared" si="1175"/>
        <v>99999</v>
      </c>
      <c r="B32882" s="2" t="str">
        <f>"26679"</f>
        <v>26679</v>
      </c>
      <c r="C32882" s="1">
        <v>8.4363797649993397E-5</v>
      </c>
      <c r="D32882" s="1">
        <v>3.1869656141586203E-5</v>
      </c>
      <c r="E32882" s="1">
        <v>1.7382159820268399E-5</v>
      </c>
      <c r="F32882" s="1">
        <v>7.9389137397228098E-5</v>
      </c>
    </row>
    <row r="32883" spans="1:6" x14ac:dyDescent="0.25">
      <c r="A32883" s="2" t="str">
        <f t="shared" si="1175"/>
        <v>99999</v>
      </c>
      <c r="B32883" s="2" t="str">
        <f>"26667"</f>
        <v>26667</v>
      </c>
      <c r="C32883" s="1">
        <v>0</v>
      </c>
      <c r="D32883" s="1">
        <v>0</v>
      </c>
      <c r="E32883" s="1">
        <v>4.3455399550671099E-6</v>
      </c>
      <c r="F32883" s="1">
        <v>9.9485134582992598E-8</v>
      </c>
    </row>
    <row r="32884" spans="1:6" x14ac:dyDescent="0.25">
      <c r="A32884" s="2" t="str">
        <f t="shared" si="1175"/>
        <v>99999</v>
      </c>
      <c r="B32884" s="2" t="str">
        <f>"26276"</f>
        <v>26276</v>
      </c>
      <c r="C32884" s="1">
        <v>2.3682980711576399E-5</v>
      </c>
      <c r="D32884" s="1">
        <v>3.0352053468177301E-6</v>
      </c>
      <c r="E32884" s="1">
        <v>0</v>
      </c>
      <c r="F32884" s="1">
        <v>2.1787244473675299E-5</v>
      </c>
    </row>
    <row r="32885" spans="1:6" x14ac:dyDescent="0.25">
      <c r="A32885" s="2" t="str">
        <f t="shared" si="1175"/>
        <v>99999</v>
      </c>
      <c r="B32885" s="2" t="str">
        <f>"26229"</f>
        <v>26229</v>
      </c>
      <c r="C32885" s="1">
        <v>0</v>
      </c>
      <c r="D32885" s="1">
        <v>1.51760267340886E-6</v>
      </c>
      <c r="E32885" s="1">
        <v>0</v>
      </c>
      <c r="F32885" s="1">
        <v>9.9485134582992598E-8</v>
      </c>
    </row>
    <row r="32886" spans="1:6" x14ac:dyDescent="0.25">
      <c r="A32886" s="2" t="str">
        <f t="shared" si="1175"/>
        <v>99999</v>
      </c>
      <c r="B32886" s="2" t="str">
        <f>"26271"</f>
        <v>26271</v>
      </c>
      <c r="C32886" s="1">
        <v>9.0584672767780794E-6</v>
      </c>
      <c r="D32886" s="1">
        <v>1.51760267340886E-6</v>
      </c>
      <c r="E32886" s="1">
        <v>0</v>
      </c>
      <c r="F32886" s="1">
        <v>8.3567513049713805E-6</v>
      </c>
    </row>
    <row r="32887" spans="1:6" x14ac:dyDescent="0.25">
      <c r="A32887" s="2" t="str">
        <f t="shared" si="1175"/>
        <v>99999</v>
      </c>
      <c r="B32887" s="2" t="str">
        <f>"26294"</f>
        <v>26294</v>
      </c>
      <c r="C32887" s="1">
        <v>1.7462105593788999E-5</v>
      </c>
      <c r="D32887" s="1">
        <v>1.51760267340886E-6</v>
      </c>
      <c r="E32887" s="1">
        <v>0</v>
      </c>
      <c r="F32887" s="1">
        <v>1.6017106667861799E-5</v>
      </c>
    </row>
    <row r="32888" spans="1:6" x14ac:dyDescent="0.25">
      <c r="A32888" s="2" t="str">
        <f t="shared" si="1175"/>
        <v>99999</v>
      </c>
      <c r="B32888" s="2" t="str">
        <f>"25826"</f>
        <v>25826</v>
      </c>
      <c r="C32888" s="1">
        <v>0</v>
      </c>
      <c r="D32888" s="1">
        <v>3.0352053468177301E-6</v>
      </c>
      <c r="E32888" s="1">
        <v>0</v>
      </c>
      <c r="F32888" s="1">
        <v>1.9897026916598501E-7</v>
      </c>
    </row>
    <row r="32889" spans="1:6" x14ac:dyDescent="0.25">
      <c r="A32889" s="2" t="str">
        <f t="shared" si="1175"/>
        <v>99999</v>
      </c>
      <c r="B32889" s="2" t="str">
        <f>"25691"</f>
        <v>25691</v>
      </c>
      <c r="C32889" s="1">
        <v>0</v>
      </c>
      <c r="D32889" s="1">
        <v>1.51760267340886E-6</v>
      </c>
      <c r="E32889" s="1">
        <v>0</v>
      </c>
      <c r="F32889" s="1">
        <v>9.9485134582992598E-8</v>
      </c>
    </row>
    <row r="32890" spans="1:6" x14ac:dyDescent="0.25">
      <c r="A32890" s="2" t="str">
        <f t="shared" si="1175"/>
        <v>99999</v>
      </c>
      <c r="B32890" s="2" t="str">
        <f>"25672"</f>
        <v>25672</v>
      </c>
      <c r="C32890" s="1">
        <v>1.68072766340219E-5</v>
      </c>
      <c r="D32890" s="1">
        <v>4.5528080202265997E-6</v>
      </c>
      <c r="E32890" s="1">
        <v>0</v>
      </c>
      <c r="F32890" s="1">
        <v>1.5619166129529801E-5</v>
      </c>
    </row>
    <row r="32891" spans="1:6" x14ac:dyDescent="0.25">
      <c r="A32891" s="2" t="str">
        <f t="shared" si="1175"/>
        <v>99999</v>
      </c>
      <c r="B32891" s="2" t="str">
        <f>"26146"</f>
        <v>26146</v>
      </c>
      <c r="C32891" s="1">
        <v>8.2617587090614498E-5</v>
      </c>
      <c r="D32891" s="1">
        <v>2.88344507947685E-5</v>
      </c>
      <c r="E32891" s="1">
        <v>8.69107991013423E-6</v>
      </c>
      <c r="F32891" s="1">
        <v>7.7399434705568195E-5</v>
      </c>
    </row>
    <row r="32892" spans="1:6" x14ac:dyDescent="0.25">
      <c r="A32892" s="2" t="str">
        <f t="shared" si="1175"/>
        <v>99999</v>
      </c>
      <c r="B32892" s="2" t="str">
        <f>"26039"</f>
        <v>26039</v>
      </c>
      <c r="C32892" s="1">
        <v>1.09138159961181E-7</v>
      </c>
      <c r="D32892" s="1">
        <v>0</v>
      </c>
      <c r="E32892" s="1">
        <v>0</v>
      </c>
      <c r="F32892" s="1">
        <v>9.9485134582992598E-8</v>
      </c>
    </row>
    <row r="32893" spans="1:6" x14ac:dyDescent="0.25">
      <c r="A32893" s="2" t="str">
        <f t="shared" si="1175"/>
        <v>99999</v>
      </c>
      <c r="B32893" s="2" t="str">
        <f>"25916"</f>
        <v>25916</v>
      </c>
      <c r="C32893" s="1">
        <v>0</v>
      </c>
      <c r="D32893" s="1">
        <v>1.51760267340886E-6</v>
      </c>
      <c r="E32893" s="1">
        <v>0</v>
      </c>
      <c r="F32893" s="1">
        <v>9.9485134582992598E-8</v>
      </c>
    </row>
    <row r="32894" spans="1:6" x14ac:dyDescent="0.25">
      <c r="A32894" s="2" t="str">
        <f t="shared" si="1175"/>
        <v>99999</v>
      </c>
      <c r="B32894" s="2" t="str">
        <f>"25978"</f>
        <v>25978</v>
      </c>
      <c r="C32894" s="1">
        <v>2.9576441349480199E-5</v>
      </c>
      <c r="D32894" s="1">
        <v>7.5880133670443404E-6</v>
      </c>
      <c r="E32894" s="1">
        <v>0</v>
      </c>
      <c r="F32894" s="1">
        <v>2.7457897144905899E-5</v>
      </c>
    </row>
    <row r="32895" spans="1:6" x14ac:dyDescent="0.25">
      <c r="A32895" s="2" t="str">
        <f t="shared" si="1175"/>
        <v>99999</v>
      </c>
      <c r="B32895" s="2" t="str">
        <f>"25976"</f>
        <v>25976</v>
      </c>
      <c r="C32895" s="1">
        <v>8.9056738528324198E-5</v>
      </c>
      <c r="D32895" s="1">
        <v>2.5799245447950699E-5</v>
      </c>
      <c r="E32895" s="1">
        <v>8.69107991013423E-6</v>
      </c>
      <c r="F32895" s="1">
        <v>8.3070087376798806E-5</v>
      </c>
    </row>
    <row r="32896" spans="1:6" x14ac:dyDescent="0.25">
      <c r="A32896" s="2" t="str">
        <f t="shared" si="1175"/>
        <v>99999</v>
      </c>
      <c r="B32896" s="2" t="str">
        <f>"25958"</f>
        <v>25958</v>
      </c>
      <c r="C32896" s="1">
        <v>3.74343888666853E-5</v>
      </c>
      <c r="D32896" s="1">
        <v>1.3658424060679801E-5</v>
      </c>
      <c r="E32896" s="1">
        <v>1.3036619865201299E-5</v>
      </c>
      <c r="F32896" s="1">
        <v>3.5317222776962297E-5</v>
      </c>
    </row>
    <row r="32897" spans="1:6" x14ac:dyDescent="0.25">
      <c r="A32897" s="2" t="str">
        <f t="shared" si="1175"/>
        <v>99999</v>
      </c>
      <c r="B32897" s="2" t="str">
        <f>"25259"</f>
        <v>25259</v>
      </c>
      <c r="C32897" s="1">
        <v>4.4637507424123302E-5</v>
      </c>
      <c r="D32897" s="1">
        <v>3.0352053468177301E-6</v>
      </c>
      <c r="E32897" s="1">
        <v>1.3036619865201299E-5</v>
      </c>
      <c r="F32897" s="1">
        <v>4.1186845717358898E-5</v>
      </c>
    </row>
    <row r="32898" spans="1:6" x14ac:dyDescent="0.25">
      <c r="A32898" s="2" t="str">
        <f t="shared" si="1175"/>
        <v>99999</v>
      </c>
      <c r="B32898" s="2" t="str">
        <f>"24986"</f>
        <v>24986</v>
      </c>
      <c r="C32898" s="1">
        <v>4.79771351189354E-4</v>
      </c>
      <c r="D32898" s="1">
        <v>4.30999159248118E-4</v>
      </c>
      <c r="E32898" s="1">
        <v>4.6062723523711399E-4</v>
      </c>
      <c r="F32898" s="1">
        <v>4.7613585411420198E-4</v>
      </c>
    </row>
    <row r="32899" spans="1:6" x14ac:dyDescent="0.25">
      <c r="A32899" s="2" t="str">
        <f t="shared" si="1175"/>
        <v>99999</v>
      </c>
      <c r="B32899" s="2" t="str">
        <f>"24981"</f>
        <v>24981</v>
      </c>
      <c r="C32899" s="1">
        <v>3.2304895348509703E-5</v>
      </c>
      <c r="D32899" s="1">
        <v>1.21408213872709E-5</v>
      </c>
      <c r="E32899" s="1">
        <v>4.3455399550671099E-6</v>
      </c>
      <c r="F32899" s="1">
        <v>3.03429660478127E-5</v>
      </c>
    </row>
    <row r="32900" spans="1:6" x14ac:dyDescent="0.25">
      <c r="A32900" s="2" t="str">
        <f t="shared" si="1175"/>
        <v>99999</v>
      </c>
      <c r="B32900" s="2" t="str">
        <f>"24977"</f>
        <v>24977</v>
      </c>
      <c r="C32900" s="1">
        <v>3.53607638274228E-5</v>
      </c>
      <c r="D32900" s="1">
        <v>7.5880133670443404E-6</v>
      </c>
      <c r="E32900" s="1">
        <v>0</v>
      </c>
      <c r="F32900" s="1">
        <v>3.2730609277804499E-5</v>
      </c>
    </row>
    <row r="32901" spans="1:6" x14ac:dyDescent="0.25">
      <c r="A32901" s="2" t="str">
        <f t="shared" si="1175"/>
        <v>99999</v>
      </c>
      <c r="B32901" s="2" t="str">
        <f>"24970"</f>
        <v>24970</v>
      </c>
      <c r="C32901" s="1">
        <v>3.96062382499128E-4</v>
      </c>
      <c r="D32901" s="1">
        <v>4.7804484212379301E-4</v>
      </c>
      <c r="E32901" s="1">
        <v>3.0418779685469798E-4</v>
      </c>
      <c r="F32901" s="1">
        <v>3.9933333021613198E-4</v>
      </c>
    </row>
    <row r="32902" spans="1:6" x14ac:dyDescent="0.25">
      <c r="A32902" s="2" t="str">
        <f t="shared" si="1175"/>
        <v>99999</v>
      </c>
      <c r="B32902" s="2" t="str">
        <f>"24963"</f>
        <v>24963</v>
      </c>
      <c r="C32902" s="1">
        <v>2.5494674166932002E-4</v>
      </c>
      <c r="D32902" s="1">
        <v>4.4010477528857203E-5</v>
      </c>
      <c r="E32902" s="1">
        <v>6.5183099326006705E-5</v>
      </c>
      <c r="F32902" s="1">
        <v>2.3677462030752199E-4</v>
      </c>
    </row>
    <row r="32903" spans="1:6" x14ac:dyDescent="0.25">
      <c r="A32903" s="2" t="str">
        <f t="shared" si="1175"/>
        <v>99999</v>
      </c>
      <c r="B32903" s="2" t="str">
        <f>"24951"</f>
        <v>24951</v>
      </c>
      <c r="C32903" s="1">
        <v>1.2256215363640701E-4</v>
      </c>
      <c r="D32903" s="1">
        <v>3.7940066835221703E-5</v>
      </c>
      <c r="E32903" s="1">
        <v>0</v>
      </c>
      <c r="F32903" s="1">
        <v>1.14208934501275E-4</v>
      </c>
    </row>
    <row r="32904" spans="1:6" x14ac:dyDescent="0.25">
      <c r="A32904" s="2" t="str">
        <f t="shared" si="1175"/>
        <v>99999</v>
      </c>
      <c r="B32904" s="2" t="str">
        <f>"24816"</f>
        <v>24816</v>
      </c>
      <c r="C32904" s="1">
        <v>0</v>
      </c>
      <c r="D32904" s="1">
        <v>1.51760267340886E-6</v>
      </c>
      <c r="E32904" s="1">
        <v>0</v>
      </c>
      <c r="F32904" s="1">
        <v>9.9485134582992598E-8</v>
      </c>
    </row>
    <row r="32905" spans="1:6" x14ac:dyDescent="0.25">
      <c r="A32905" s="2" t="str">
        <f t="shared" si="1175"/>
        <v>99999</v>
      </c>
      <c r="B32905" s="2" t="str">
        <f>"24871"</f>
        <v>24871</v>
      </c>
      <c r="C32905" s="1">
        <v>2.1827631992236301E-7</v>
      </c>
      <c r="D32905" s="1">
        <v>1.51760267340886E-6</v>
      </c>
      <c r="E32905" s="1">
        <v>0</v>
      </c>
      <c r="F32905" s="1">
        <v>2.9845540374897701E-7</v>
      </c>
    </row>
    <row r="32906" spans="1:6" x14ac:dyDescent="0.25">
      <c r="A32906" s="2" t="str">
        <f t="shared" si="1175"/>
        <v>99999</v>
      </c>
      <c r="B32906" s="2" t="str">
        <f>"24944"</f>
        <v>24944</v>
      </c>
      <c r="C32906" s="1">
        <v>2.1827631992236301E-5</v>
      </c>
      <c r="D32906" s="1">
        <v>1.0623218713862E-5</v>
      </c>
      <c r="E32906" s="1">
        <v>4.3455399550671099E-6</v>
      </c>
      <c r="F32906" s="1">
        <v>2.06929079932624E-5</v>
      </c>
    </row>
    <row r="32907" spans="1:6" x14ac:dyDescent="0.25">
      <c r="A32907" s="2" t="str">
        <f t="shared" si="1175"/>
        <v>99999</v>
      </c>
      <c r="B32907" s="2" t="str">
        <f>"24870"</f>
        <v>24870</v>
      </c>
      <c r="C32907" s="1">
        <v>2.8048507110023701E-5</v>
      </c>
      <c r="D32907" s="1">
        <v>7.5880133670443404E-6</v>
      </c>
      <c r="E32907" s="1">
        <v>1.7382159820268399E-5</v>
      </c>
      <c r="F32907" s="1">
        <v>2.6463045799075999E-5</v>
      </c>
    </row>
    <row r="32908" spans="1:6" x14ac:dyDescent="0.25">
      <c r="A32908" s="2" t="str">
        <f t="shared" si="1175"/>
        <v>99999</v>
      </c>
      <c r="B32908" s="2" t="str">
        <f>"24874"</f>
        <v>24874</v>
      </c>
      <c r="C32908" s="1">
        <v>2.83759215899072E-5</v>
      </c>
      <c r="D32908" s="1">
        <v>3.0352053468177301E-5</v>
      </c>
      <c r="E32908" s="1">
        <v>3.0418779685469802E-5</v>
      </c>
      <c r="F32908" s="1">
        <v>2.8552233625318801E-5</v>
      </c>
    </row>
    <row r="32909" spans="1:6" x14ac:dyDescent="0.25">
      <c r="A32909" s="2" t="str">
        <f t="shared" si="1175"/>
        <v>99999</v>
      </c>
      <c r="B32909" s="2" t="str">
        <f>"24935"</f>
        <v>24935</v>
      </c>
      <c r="C32909" s="1">
        <v>4.6711132463385699E-5</v>
      </c>
      <c r="D32909" s="1">
        <v>1.0623218713862E-5</v>
      </c>
      <c r="E32909" s="1">
        <v>0</v>
      </c>
      <c r="F32909" s="1">
        <v>4.3276033543601697E-5</v>
      </c>
    </row>
    <row r="32910" spans="1:6" x14ac:dyDescent="0.25">
      <c r="A32910" s="2" t="str">
        <f t="shared" si="1175"/>
        <v>99999</v>
      </c>
      <c r="B32910" s="2" t="str">
        <f>"24925"</f>
        <v>24925</v>
      </c>
      <c r="C32910" s="1">
        <v>8.0871376531235599E-5</v>
      </c>
      <c r="D32910" s="1">
        <v>3.6422464161812797E-5</v>
      </c>
      <c r="E32910" s="1">
        <v>0</v>
      </c>
      <c r="F32910" s="1">
        <v>7.6106127955989303E-5</v>
      </c>
    </row>
    <row r="32911" spans="1:6" x14ac:dyDescent="0.25">
      <c r="A32911" s="2" t="str">
        <f t="shared" si="1175"/>
        <v>99999</v>
      </c>
      <c r="B32911" s="2" t="str">
        <f>"24920"</f>
        <v>24920</v>
      </c>
      <c r="C32911" s="1">
        <v>2.56474675908777E-5</v>
      </c>
      <c r="D32911" s="1">
        <v>1.0623218713862E-5</v>
      </c>
      <c r="E32911" s="1">
        <v>0</v>
      </c>
      <c r="F32911" s="1">
        <v>2.40754025690842E-5</v>
      </c>
    </row>
    <row r="32912" spans="1:6" x14ac:dyDescent="0.25">
      <c r="A32912" s="2" t="str">
        <f t="shared" si="1175"/>
        <v>99999</v>
      </c>
      <c r="B32912" s="2" t="str">
        <f>"24892"</f>
        <v>24892</v>
      </c>
      <c r="C32912" s="1">
        <v>5.8170639259309801E-5</v>
      </c>
      <c r="D32912" s="1">
        <v>3.0352053468177301E-6</v>
      </c>
      <c r="E32912" s="1">
        <v>0</v>
      </c>
      <c r="F32912" s="1">
        <v>5.3224547001901E-5</v>
      </c>
    </row>
    <row r="32913" spans="1:6" x14ac:dyDescent="0.25">
      <c r="A32913" s="2" t="str">
        <f t="shared" si="1175"/>
        <v>99999</v>
      </c>
      <c r="B32913" s="2" t="str">
        <f>"24823"</f>
        <v>24823</v>
      </c>
      <c r="C32913" s="1">
        <v>1.3533131835186499E-5</v>
      </c>
      <c r="D32913" s="1">
        <v>1.51760267340886E-6</v>
      </c>
      <c r="E32913" s="1">
        <v>0</v>
      </c>
      <c r="F32913" s="1">
        <v>1.2435641822873999E-5</v>
      </c>
    </row>
    <row r="32914" spans="1:6" x14ac:dyDescent="0.25">
      <c r="A32914" s="2" t="str">
        <f t="shared" ref="A32914:A32977" si="1176">"99999"</f>
        <v>99999</v>
      </c>
      <c r="B32914" s="2" t="str">
        <f>"24945"</f>
        <v>24945</v>
      </c>
      <c r="C32914" s="1">
        <v>2.61931583906836E-5</v>
      </c>
      <c r="D32914" s="1">
        <v>7.5880133670443404E-6</v>
      </c>
      <c r="E32914" s="1">
        <v>8.69107991013423E-6</v>
      </c>
      <c r="F32914" s="1">
        <v>2.4572828241999101E-5</v>
      </c>
    </row>
    <row r="32915" spans="1:6" x14ac:dyDescent="0.25">
      <c r="A32915" s="2" t="str">
        <f t="shared" si="1176"/>
        <v>99999</v>
      </c>
      <c r="B32915" s="2" t="str">
        <f>"24539"</f>
        <v>24539</v>
      </c>
      <c r="C32915" s="1">
        <v>1.10229541560793E-5</v>
      </c>
      <c r="D32915" s="1">
        <v>1.51760267340886E-6</v>
      </c>
      <c r="E32915" s="1">
        <v>4.3455399550671099E-6</v>
      </c>
      <c r="F32915" s="1">
        <v>1.02469688620482E-5</v>
      </c>
    </row>
    <row r="32916" spans="1:6" x14ac:dyDescent="0.25">
      <c r="A32916" s="2" t="str">
        <f t="shared" si="1176"/>
        <v>99999</v>
      </c>
      <c r="B32916" s="2" t="str">
        <f>"24520"</f>
        <v>24520</v>
      </c>
      <c r="C32916" s="1">
        <v>1.34567351232137E-4</v>
      </c>
      <c r="D32916" s="1">
        <v>6.9809722976807906E-5</v>
      </c>
      <c r="E32916" s="1">
        <v>1.7382159820268399E-5</v>
      </c>
      <c r="F32916" s="1">
        <v>1.27639427669979E-4</v>
      </c>
    </row>
    <row r="32917" spans="1:6" x14ac:dyDescent="0.25">
      <c r="A32917" s="2" t="str">
        <f t="shared" si="1176"/>
        <v>99999</v>
      </c>
      <c r="B32917" s="2" t="str">
        <f>"24651"</f>
        <v>24651</v>
      </c>
      <c r="C32917" s="1">
        <v>3.2741447988354498E-7</v>
      </c>
      <c r="D32917" s="1">
        <v>0</v>
      </c>
      <c r="E32917" s="1">
        <v>0</v>
      </c>
      <c r="F32917" s="1">
        <v>2.9845540374897701E-7</v>
      </c>
    </row>
    <row r="32918" spans="1:6" x14ac:dyDescent="0.25">
      <c r="A32918" s="2" t="str">
        <f t="shared" si="1176"/>
        <v>99999</v>
      </c>
      <c r="B32918" s="2" t="str">
        <f>"24719"</f>
        <v>24719</v>
      </c>
      <c r="C32918" s="1">
        <v>1.09138159961181E-7</v>
      </c>
      <c r="D32918" s="1">
        <v>1.51760267340886E-6</v>
      </c>
      <c r="E32918" s="1">
        <v>0</v>
      </c>
      <c r="F32918" s="1">
        <v>1.9897026916598501E-7</v>
      </c>
    </row>
    <row r="32919" spans="1:6" x14ac:dyDescent="0.25">
      <c r="A32919" s="2" t="str">
        <f t="shared" si="1176"/>
        <v>99999</v>
      </c>
      <c r="B32919" s="2" t="str">
        <f>"24578"</f>
        <v>24578</v>
      </c>
      <c r="C32919" s="1">
        <v>5.3914251020823701E-5</v>
      </c>
      <c r="D32919" s="1">
        <v>6.6774517629990203E-5</v>
      </c>
      <c r="E32919" s="1">
        <v>4.3455399550671099E-6</v>
      </c>
      <c r="F32919" s="1">
        <v>5.3622487540233001E-5</v>
      </c>
    </row>
    <row r="32920" spans="1:6" x14ac:dyDescent="0.25">
      <c r="A32920" s="2" t="str">
        <f t="shared" si="1176"/>
        <v>99999</v>
      </c>
      <c r="B32920" s="2" t="str">
        <f>"24631"</f>
        <v>24631</v>
      </c>
      <c r="C32920" s="1">
        <v>5.91528826989605E-5</v>
      </c>
      <c r="D32920" s="1">
        <v>6.8292120303399095E-5</v>
      </c>
      <c r="E32920" s="1">
        <v>4.3455399550671103E-5</v>
      </c>
      <c r="F32920" s="1">
        <v>5.9392625346046603E-5</v>
      </c>
    </row>
    <row r="32921" spans="1:6" x14ac:dyDescent="0.25">
      <c r="A32921" s="2" t="str">
        <f t="shared" si="1176"/>
        <v>99999</v>
      </c>
      <c r="B32921" s="2" t="str">
        <f>"24614"</f>
        <v>24614</v>
      </c>
      <c r="C32921" s="1">
        <v>3.32434835241759E-4</v>
      </c>
      <c r="D32921" s="1">
        <v>2.8530930260086697E-4</v>
      </c>
      <c r="E32921" s="1">
        <v>1.82512678112818E-4</v>
      </c>
      <c r="F32921" s="1">
        <v>3.2591330089388299E-4</v>
      </c>
    </row>
    <row r="32922" spans="1:6" x14ac:dyDescent="0.25">
      <c r="A32922" s="2" t="str">
        <f t="shared" si="1176"/>
        <v>99999</v>
      </c>
      <c r="B32922" s="2" t="str">
        <f>"24483"</f>
        <v>24483</v>
      </c>
      <c r="C32922" s="1">
        <v>2.78302307901013E-5</v>
      </c>
      <c r="D32922" s="1">
        <v>1.5176026734088599E-5</v>
      </c>
      <c r="E32922" s="1">
        <v>4.3455399550671099E-6</v>
      </c>
      <c r="F32922" s="1">
        <v>2.6463045799075999E-5</v>
      </c>
    </row>
    <row r="32923" spans="1:6" x14ac:dyDescent="0.25">
      <c r="A32923" s="2" t="str">
        <f t="shared" si="1176"/>
        <v>99999</v>
      </c>
      <c r="B32923" s="2" t="str">
        <f>"24472"</f>
        <v>24472</v>
      </c>
      <c r="C32923" s="1">
        <v>8.0980514691196795E-5</v>
      </c>
      <c r="D32923" s="1">
        <v>4.8563285549083798E-5</v>
      </c>
      <c r="E32923" s="1">
        <v>4.7800939505738197E-5</v>
      </c>
      <c r="F32923" s="1">
        <v>7.8095830647649205E-5</v>
      </c>
    </row>
    <row r="32924" spans="1:6" x14ac:dyDescent="0.25">
      <c r="A32924" s="2" t="str">
        <f t="shared" si="1176"/>
        <v>99999</v>
      </c>
      <c r="B32924" s="2" t="str">
        <f>"24465"</f>
        <v>24465</v>
      </c>
      <c r="C32924" s="1">
        <v>8.16353436509639E-5</v>
      </c>
      <c r="D32924" s="1">
        <v>2.7316848121359601E-5</v>
      </c>
      <c r="E32924" s="1">
        <v>8.69107991013423E-6</v>
      </c>
      <c r="F32924" s="1">
        <v>7.6404583359738305E-5</v>
      </c>
    </row>
    <row r="32925" spans="1:6" x14ac:dyDescent="0.25">
      <c r="A32925" s="2" t="str">
        <f t="shared" si="1176"/>
        <v>99999</v>
      </c>
      <c r="B32925" s="2" t="str">
        <f>"24442"</f>
        <v>24442</v>
      </c>
      <c r="C32925" s="1">
        <v>8.4036383170109905E-6</v>
      </c>
      <c r="D32925" s="1">
        <v>7.5880133670443404E-6</v>
      </c>
      <c r="E32925" s="1">
        <v>0</v>
      </c>
      <c r="F32925" s="1">
        <v>8.1577810358053902E-6</v>
      </c>
    </row>
    <row r="32926" spans="1:6" x14ac:dyDescent="0.25">
      <c r="A32926" s="2" t="str">
        <f t="shared" si="1176"/>
        <v>99999</v>
      </c>
      <c r="B32926" s="2" t="str">
        <f>"24415"</f>
        <v>24415</v>
      </c>
      <c r="C32926" s="1">
        <v>0</v>
      </c>
      <c r="D32926" s="1">
        <v>1.51760267340886E-6</v>
      </c>
      <c r="E32926" s="1">
        <v>4.3455399550671099E-6</v>
      </c>
      <c r="F32926" s="1">
        <v>1.9897026916598501E-7</v>
      </c>
    </row>
    <row r="32927" spans="1:6" x14ac:dyDescent="0.25">
      <c r="A32927" s="2" t="str">
        <f t="shared" si="1176"/>
        <v>99999</v>
      </c>
      <c r="B32927" s="2" t="str">
        <f>"24448"</f>
        <v>24448</v>
      </c>
      <c r="C32927" s="1">
        <v>3.2741447988354498E-7</v>
      </c>
      <c r="D32927" s="1">
        <v>1.51760267340886E-6</v>
      </c>
      <c r="E32927" s="1">
        <v>0</v>
      </c>
      <c r="F32927" s="1">
        <v>3.9794053833197002E-7</v>
      </c>
    </row>
    <row r="32928" spans="1:6" x14ac:dyDescent="0.25">
      <c r="A32928" s="2" t="str">
        <f t="shared" si="1176"/>
        <v>99999</v>
      </c>
      <c r="B32928" s="2" t="str">
        <f>"24450"</f>
        <v>24450</v>
      </c>
      <c r="C32928" s="1">
        <v>1.2753885373063599E-3</v>
      </c>
      <c r="D32928" s="1">
        <v>1.5965180124261299E-3</v>
      </c>
      <c r="E32928" s="1">
        <v>1.2080601075086499E-3</v>
      </c>
      <c r="F32928" s="1">
        <v>1.29489851173223E-3</v>
      </c>
    </row>
    <row r="32929" spans="1:6" x14ac:dyDescent="0.25">
      <c r="A32929" s="2" t="str">
        <f t="shared" si="1176"/>
        <v>99999</v>
      </c>
      <c r="B32929" s="2" t="str">
        <f>"24347"</f>
        <v>24347</v>
      </c>
      <c r="C32929" s="1">
        <v>5.2386316781367196E-6</v>
      </c>
      <c r="D32929" s="1">
        <v>0</v>
      </c>
      <c r="E32929" s="1">
        <v>0</v>
      </c>
      <c r="F32929" s="1">
        <v>4.7752864599836398E-6</v>
      </c>
    </row>
    <row r="32930" spans="1:6" x14ac:dyDescent="0.25">
      <c r="A32930" s="2" t="str">
        <f t="shared" si="1176"/>
        <v>99999</v>
      </c>
      <c r="B32930" s="2" t="str">
        <f>"24330"</f>
        <v>24330</v>
      </c>
      <c r="C32930" s="1">
        <v>1.7571243753750201E-4</v>
      </c>
      <c r="D32930" s="1">
        <v>5.4633696242719298E-5</v>
      </c>
      <c r="E32930" s="1">
        <v>2.1727699775335501E-5</v>
      </c>
      <c r="F32930" s="1">
        <v>1.6424995719652001E-4</v>
      </c>
    </row>
    <row r="32931" spans="1:6" x14ac:dyDescent="0.25">
      <c r="A32931" s="2" t="str">
        <f t="shared" si="1176"/>
        <v>99999</v>
      </c>
      <c r="B32931" s="2" t="str">
        <f>"24162"</f>
        <v>24162</v>
      </c>
      <c r="C32931" s="1">
        <v>2.1827631992236299E-6</v>
      </c>
      <c r="D32931" s="1">
        <v>0</v>
      </c>
      <c r="E32931" s="1">
        <v>0</v>
      </c>
      <c r="F32931" s="1">
        <v>1.98970269165985E-6</v>
      </c>
    </row>
    <row r="32932" spans="1:6" x14ac:dyDescent="0.25">
      <c r="A32932" s="2" t="str">
        <f t="shared" si="1176"/>
        <v>99999</v>
      </c>
      <c r="B32932" s="2" t="str">
        <f>"24266"</f>
        <v>24266</v>
      </c>
      <c r="C32932" s="1">
        <v>4.1221483017338299E-4</v>
      </c>
      <c r="D32932" s="1">
        <v>3.2476697210949797E-4</v>
      </c>
      <c r="E32932" s="1">
        <v>5.2146479460805396E-4</v>
      </c>
      <c r="F32932" s="1">
        <v>4.0898338827068201E-4</v>
      </c>
    </row>
    <row r="32933" spans="1:6" x14ac:dyDescent="0.25">
      <c r="A32933" s="2" t="str">
        <f t="shared" si="1176"/>
        <v>99999</v>
      </c>
      <c r="B32933" s="2" t="str">
        <f>"23955"</f>
        <v>23955</v>
      </c>
      <c r="C32933" s="1">
        <v>0</v>
      </c>
      <c r="D32933" s="1">
        <v>0</v>
      </c>
      <c r="E32933" s="1">
        <v>4.3455399550671099E-6</v>
      </c>
      <c r="F32933" s="1">
        <v>9.9485134582992598E-8</v>
      </c>
    </row>
    <row r="32934" spans="1:6" x14ac:dyDescent="0.25">
      <c r="A32934" s="2" t="str">
        <f t="shared" si="1176"/>
        <v>99999</v>
      </c>
      <c r="B32934" s="2" t="str">
        <f>"23954"</f>
        <v>23954</v>
      </c>
      <c r="C32934" s="1">
        <v>1.0902902180122E-4</v>
      </c>
      <c r="D32934" s="1">
        <v>2.5799245447950699E-5</v>
      </c>
      <c r="E32934" s="1">
        <v>2.1727699775335501E-5</v>
      </c>
      <c r="F32934" s="1">
        <v>1.01574322409235E-4</v>
      </c>
    </row>
    <row r="32935" spans="1:6" x14ac:dyDescent="0.25">
      <c r="A32935" s="2" t="str">
        <f t="shared" si="1176"/>
        <v>99999</v>
      </c>
      <c r="B32935" s="2" t="str">
        <f>"23950"</f>
        <v>23950</v>
      </c>
      <c r="C32935" s="1">
        <v>1.7091035849921E-4</v>
      </c>
      <c r="D32935" s="1">
        <v>1.4720745932066001E-4</v>
      </c>
      <c r="E32935" s="1">
        <v>7.3874179236140894E-5</v>
      </c>
      <c r="F32935" s="1">
        <v>1.6713502609942699E-4</v>
      </c>
    </row>
    <row r="32936" spans="1:6" x14ac:dyDescent="0.25">
      <c r="A32936" s="2" t="str">
        <f t="shared" si="1176"/>
        <v>99999</v>
      </c>
      <c r="B32936" s="2" t="str">
        <f>"23943"</f>
        <v>23943</v>
      </c>
      <c r="C32936" s="1">
        <v>0</v>
      </c>
      <c r="D32936" s="1">
        <v>9.1056160404532095E-6</v>
      </c>
      <c r="E32936" s="1">
        <v>0</v>
      </c>
      <c r="F32936" s="1">
        <v>5.9691080749795498E-7</v>
      </c>
    </row>
    <row r="32937" spans="1:6" x14ac:dyDescent="0.25">
      <c r="A32937" s="2" t="str">
        <f t="shared" si="1176"/>
        <v>99999</v>
      </c>
      <c r="B32937" s="2" t="str">
        <f>"23919"</f>
        <v>23919</v>
      </c>
      <c r="C32937" s="1">
        <v>1.7560329937754099E-4</v>
      </c>
      <c r="D32937" s="1">
        <v>6.5256914956581297E-5</v>
      </c>
      <c r="E32937" s="1">
        <v>4.3455399550671099E-6</v>
      </c>
      <c r="F32937" s="1">
        <v>1.6444892746568599E-4</v>
      </c>
    </row>
    <row r="32938" spans="1:6" x14ac:dyDescent="0.25">
      <c r="A32938" s="2" t="str">
        <f t="shared" si="1176"/>
        <v>99999</v>
      </c>
      <c r="B32938" s="2" t="str">
        <f>"23915"</f>
        <v>23915</v>
      </c>
      <c r="C32938" s="1">
        <v>4.2563882384860802E-5</v>
      </c>
      <c r="D32938" s="1">
        <v>1.9728834754315301E-5</v>
      </c>
      <c r="E32938" s="1">
        <v>4.3455399550671099E-6</v>
      </c>
      <c r="F32938" s="1">
        <v>4.0191994371529001E-5</v>
      </c>
    </row>
    <row r="32939" spans="1:6" x14ac:dyDescent="0.25">
      <c r="A32939" s="2" t="str">
        <f t="shared" si="1176"/>
        <v>99999</v>
      </c>
      <c r="B32939" s="2" t="str">
        <f>"24105"</f>
        <v>24105</v>
      </c>
      <c r="C32939" s="1">
        <v>2.7939368950062499E-5</v>
      </c>
      <c r="D32939" s="1">
        <v>3.0352053468177301E-6</v>
      </c>
      <c r="E32939" s="1">
        <v>4.3455399550671099E-6</v>
      </c>
      <c r="F32939" s="1">
        <v>2.5766649856994999E-5</v>
      </c>
    </row>
    <row r="32940" spans="1:6" x14ac:dyDescent="0.25">
      <c r="A32940" s="2" t="str">
        <f t="shared" si="1176"/>
        <v>99999</v>
      </c>
      <c r="B32940" s="2" t="str">
        <f>"24055"</f>
        <v>24055</v>
      </c>
      <c r="C32940" s="1">
        <v>2.0081421432857398E-5</v>
      </c>
      <c r="D32940" s="1">
        <v>4.5528080202265997E-6</v>
      </c>
      <c r="E32940" s="1">
        <v>0</v>
      </c>
      <c r="F32940" s="1">
        <v>1.8603720167019601E-5</v>
      </c>
    </row>
    <row r="32941" spans="1:6" x14ac:dyDescent="0.25">
      <c r="A32941" s="2" t="str">
        <f t="shared" si="1176"/>
        <v>99999</v>
      </c>
      <c r="B32941" s="2" t="str">
        <f>"24082"</f>
        <v>24082</v>
      </c>
      <c r="C32941" s="1">
        <v>1.87717635133232E-5</v>
      </c>
      <c r="D32941" s="1">
        <v>3.0352053468177301E-6</v>
      </c>
      <c r="E32941" s="1">
        <v>4.3455399550671099E-6</v>
      </c>
      <c r="F32941" s="1">
        <v>1.74098985520237E-5</v>
      </c>
    </row>
    <row r="32942" spans="1:6" x14ac:dyDescent="0.25">
      <c r="A32942" s="2" t="str">
        <f t="shared" si="1176"/>
        <v>99999</v>
      </c>
      <c r="B32942" s="2" t="str">
        <f>"24072"</f>
        <v>24072</v>
      </c>
      <c r="C32942" s="1">
        <v>7.09398039747681E-5</v>
      </c>
      <c r="D32942" s="1">
        <v>1.8211232080906399E-5</v>
      </c>
      <c r="E32942" s="1">
        <v>1.3036619865201299E-5</v>
      </c>
      <c r="F32942" s="1">
        <v>6.6157614497690102E-5</v>
      </c>
    </row>
    <row r="32943" spans="1:6" x14ac:dyDescent="0.25">
      <c r="A32943" s="2" t="str">
        <f t="shared" si="1176"/>
        <v>99999</v>
      </c>
      <c r="B32943" s="2" t="str">
        <f>"23870"</f>
        <v>23870</v>
      </c>
      <c r="C32943" s="1">
        <v>0</v>
      </c>
      <c r="D32943" s="1">
        <v>1.51760267340886E-6</v>
      </c>
      <c r="E32943" s="1">
        <v>0</v>
      </c>
      <c r="F32943" s="1">
        <v>9.9485134582992598E-8</v>
      </c>
    </row>
    <row r="32944" spans="1:6" x14ac:dyDescent="0.25">
      <c r="A32944" s="2" t="str">
        <f t="shared" si="1176"/>
        <v>99999</v>
      </c>
      <c r="B32944" s="2" t="str">
        <f>"23889"</f>
        <v>23889</v>
      </c>
      <c r="C32944" s="1">
        <v>3.4924211187578099E-5</v>
      </c>
      <c r="D32944" s="1">
        <v>2.1246437427724101E-5</v>
      </c>
      <c r="E32944" s="1">
        <v>4.3455399550671099E-6</v>
      </c>
      <c r="F32944" s="1">
        <v>3.3327520085302503E-5</v>
      </c>
    </row>
    <row r="32945" spans="1:6" x14ac:dyDescent="0.25">
      <c r="A32945" s="2" t="str">
        <f t="shared" si="1176"/>
        <v>99999</v>
      </c>
      <c r="B32945" s="2" t="str">
        <f>"23842"</f>
        <v>23842</v>
      </c>
      <c r="C32945" s="1">
        <v>1.6370723994177199E-6</v>
      </c>
      <c r="D32945" s="1">
        <v>0</v>
      </c>
      <c r="E32945" s="1">
        <v>0</v>
      </c>
      <c r="F32945" s="1">
        <v>1.4922770187448801E-6</v>
      </c>
    </row>
    <row r="32946" spans="1:6" x14ac:dyDescent="0.25">
      <c r="A32946" s="2" t="str">
        <f t="shared" si="1176"/>
        <v>99999</v>
      </c>
      <c r="B32946" s="2" t="str">
        <f>"23839"</f>
        <v>23839</v>
      </c>
      <c r="C32946" s="1">
        <v>4.2891296864744402E-5</v>
      </c>
      <c r="D32946" s="1">
        <v>5.6151298916128101E-5</v>
      </c>
      <c r="E32946" s="1">
        <v>4.3455399550671099E-6</v>
      </c>
      <c r="F32946" s="1">
        <v>4.2878093005269798E-5</v>
      </c>
    </row>
    <row r="32947" spans="1:6" x14ac:dyDescent="0.25">
      <c r="A32947" s="2" t="str">
        <f t="shared" si="1176"/>
        <v>99999</v>
      </c>
      <c r="B32947" s="2" t="str">
        <f>"23847"</f>
        <v>23847</v>
      </c>
      <c r="C32947" s="1">
        <v>7.4410397461533698E-4</v>
      </c>
      <c r="D32947" s="1">
        <v>1.1731068665450501E-3</v>
      </c>
      <c r="E32947" s="1">
        <v>1.0690028289465101E-3</v>
      </c>
      <c r="F32947" s="1">
        <v>7.7966499972691302E-4</v>
      </c>
    </row>
    <row r="32948" spans="1:6" x14ac:dyDescent="0.25">
      <c r="A32948" s="2" t="str">
        <f t="shared" si="1176"/>
        <v>99999</v>
      </c>
      <c r="B32948" s="2" t="str">
        <f>"23420"</f>
        <v>23420</v>
      </c>
      <c r="C32948" s="1">
        <v>1.01716765083821E-4</v>
      </c>
      <c r="D32948" s="1">
        <v>4.0975272182039399E-5</v>
      </c>
      <c r="E32948" s="1">
        <v>8.69107991013423E-6</v>
      </c>
      <c r="F32948" s="1">
        <v>9.56052143342559E-5</v>
      </c>
    </row>
    <row r="32949" spans="1:6" x14ac:dyDescent="0.25">
      <c r="A32949" s="2" t="str">
        <f t="shared" si="1176"/>
        <v>99999</v>
      </c>
      <c r="B32949" s="2" t="str">
        <f>"23359"</f>
        <v>23359</v>
      </c>
      <c r="C32949" s="1">
        <v>2.8048507110023701E-5</v>
      </c>
      <c r="D32949" s="1">
        <v>9.1056160404532095E-6</v>
      </c>
      <c r="E32949" s="1">
        <v>0</v>
      </c>
      <c r="F32949" s="1">
        <v>2.6164590395327E-5</v>
      </c>
    </row>
    <row r="32950" spans="1:6" x14ac:dyDescent="0.25">
      <c r="A32950" s="2" t="str">
        <f t="shared" si="1176"/>
        <v>99999</v>
      </c>
      <c r="B32950" s="2" t="str">
        <f>"23350"</f>
        <v>23350</v>
      </c>
      <c r="C32950" s="1">
        <v>1.06737120442035E-4</v>
      </c>
      <c r="D32950" s="1">
        <v>1.04714584465211E-4</v>
      </c>
      <c r="E32950" s="1">
        <v>1.21675118741879E-4</v>
      </c>
      <c r="F32950" s="1">
        <v>1.06946519676717E-4</v>
      </c>
    </row>
    <row r="32951" spans="1:6" x14ac:dyDescent="0.25">
      <c r="A32951" s="2" t="str">
        <f t="shared" si="1176"/>
        <v>99999</v>
      </c>
      <c r="B32951" s="2" t="str">
        <f>"23302"</f>
        <v>23302</v>
      </c>
      <c r="C32951" s="1">
        <v>1.20051975957299E-6</v>
      </c>
      <c r="D32951" s="1">
        <v>1.51760267340886E-6</v>
      </c>
      <c r="E32951" s="1">
        <v>0</v>
      </c>
      <c r="F32951" s="1">
        <v>1.19382161499591E-6</v>
      </c>
    </row>
    <row r="32952" spans="1:6" x14ac:dyDescent="0.25">
      <c r="A32952" s="2" t="str">
        <f t="shared" si="1176"/>
        <v>99999</v>
      </c>
      <c r="B32952" s="2" t="str">
        <f>"23310"</f>
        <v>23310</v>
      </c>
      <c r="C32952" s="1">
        <v>3.5469901987383997E-4</v>
      </c>
      <c r="D32952" s="1">
        <v>4.0823511914698499E-4</v>
      </c>
      <c r="E32952" s="1">
        <v>2.9549671694456298E-4</v>
      </c>
      <c r="F32952" s="1">
        <v>3.5685317774919402E-4</v>
      </c>
    </row>
    <row r="32953" spans="1:6" x14ac:dyDescent="0.25">
      <c r="A32953" s="2" t="str">
        <f t="shared" si="1176"/>
        <v>99999</v>
      </c>
      <c r="B32953" s="2" t="str">
        <f>"23176"</f>
        <v>23176</v>
      </c>
      <c r="C32953" s="1">
        <v>4.2563882384860802E-5</v>
      </c>
      <c r="D32953" s="1">
        <v>0</v>
      </c>
      <c r="E32953" s="1">
        <v>8.69107991013423E-6</v>
      </c>
      <c r="F32953" s="1">
        <v>3.89981727565331E-5</v>
      </c>
    </row>
    <row r="32954" spans="1:6" x14ac:dyDescent="0.25">
      <c r="A32954" s="2" t="str">
        <f t="shared" si="1176"/>
        <v>99999</v>
      </c>
      <c r="B32954" s="2" t="str">
        <f>"23149"</f>
        <v>23149</v>
      </c>
      <c r="C32954" s="1">
        <v>5.8607191899154502E-5</v>
      </c>
      <c r="D32954" s="1">
        <v>6.5256914956581297E-5</v>
      </c>
      <c r="E32954" s="1">
        <v>2.1727699775335501E-5</v>
      </c>
      <c r="F32954" s="1">
        <v>5.81988037310506E-5</v>
      </c>
    </row>
    <row r="32955" spans="1:6" x14ac:dyDescent="0.25">
      <c r="A32955" s="2" t="str">
        <f t="shared" si="1176"/>
        <v>99999</v>
      </c>
      <c r="B32955" s="2" t="str">
        <f>"22847"</f>
        <v>22847</v>
      </c>
      <c r="C32955" s="1">
        <v>4.5510612703812697E-5</v>
      </c>
      <c r="D32955" s="1">
        <v>3.1869656141586203E-5</v>
      </c>
      <c r="E32955" s="1">
        <v>4.3455399550671099E-6</v>
      </c>
      <c r="F32955" s="1">
        <v>4.3673974081933698E-5</v>
      </c>
    </row>
    <row r="32956" spans="1:6" x14ac:dyDescent="0.25">
      <c r="A32956" s="2" t="str">
        <f t="shared" si="1176"/>
        <v>99999</v>
      </c>
      <c r="B32956" s="2" t="str">
        <f>"22815"</f>
        <v>22815</v>
      </c>
      <c r="C32956" s="1">
        <v>4.2563882384860804E-6</v>
      </c>
      <c r="D32956" s="1">
        <v>0</v>
      </c>
      <c r="E32956" s="1">
        <v>0</v>
      </c>
      <c r="F32956" s="1">
        <v>3.87992024873671E-6</v>
      </c>
    </row>
    <row r="32957" spans="1:6" x14ac:dyDescent="0.25">
      <c r="A32957" s="2" t="str">
        <f t="shared" si="1176"/>
        <v>99999</v>
      </c>
      <c r="B32957" s="2" t="str">
        <f>"22835"</f>
        <v>22835</v>
      </c>
      <c r="C32957" s="1">
        <v>6.9531921711268798E-4</v>
      </c>
      <c r="D32957" s="1">
        <v>8.1039982760033598E-4</v>
      </c>
      <c r="E32957" s="1">
        <v>3.4764319640536898E-4</v>
      </c>
      <c r="F32957" s="1">
        <v>6.9490366506220298E-4</v>
      </c>
    </row>
    <row r="32958" spans="1:6" x14ac:dyDescent="0.25">
      <c r="A32958" s="2" t="str">
        <f t="shared" si="1176"/>
        <v>99999</v>
      </c>
      <c r="B32958" s="2" t="str">
        <f>"23093"</f>
        <v>23093</v>
      </c>
      <c r="C32958" s="1">
        <v>7.7826421868318601E-4</v>
      </c>
      <c r="D32958" s="1">
        <v>6.4953394421899595E-4</v>
      </c>
      <c r="E32958" s="1">
        <v>3.2591549663003302E-4</v>
      </c>
      <c r="F32958" s="1">
        <v>7.59469517406565E-4</v>
      </c>
    </row>
    <row r="32959" spans="1:6" x14ac:dyDescent="0.25">
      <c r="A32959" s="2" t="str">
        <f t="shared" si="1176"/>
        <v>99999</v>
      </c>
      <c r="B32959" s="2" t="str">
        <f>"23002"</f>
        <v>23002</v>
      </c>
      <c r="C32959" s="1">
        <v>2.2919013591848099E-6</v>
      </c>
      <c r="D32959" s="1">
        <v>0</v>
      </c>
      <c r="E32959" s="1">
        <v>0</v>
      </c>
      <c r="F32959" s="1">
        <v>2.08918782624284E-6</v>
      </c>
    </row>
    <row r="32960" spans="1:6" x14ac:dyDescent="0.25">
      <c r="A32960" s="2" t="str">
        <f t="shared" si="1176"/>
        <v>99999</v>
      </c>
      <c r="B32960" s="2" t="str">
        <f>"23038"</f>
        <v>23038</v>
      </c>
      <c r="C32960" s="1">
        <v>3.31780006281992E-5</v>
      </c>
      <c r="D32960" s="1">
        <v>1.5176026734088599E-5</v>
      </c>
      <c r="E32960" s="1">
        <v>0</v>
      </c>
      <c r="F32960" s="1">
        <v>3.1238332259059602E-5</v>
      </c>
    </row>
    <row r="32961" spans="1:6" x14ac:dyDescent="0.25">
      <c r="A32961" s="2" t="str">
        <f t="shared" si="1176"/>
        <v>99999</v>
      </c>
      <c r="B32961" s="2" t="str">
        <f>"22942"</f>
        <v>22942</v>
      </c>
      <c r="C32961" s="1">
        <v>4.0599395505559602E-4</v>
      </c>
      <c r="D32961" s="1">
        <v>2.5647485180609801E-4</v>
      </c>
      <c r="E32961" s="1">
        <v>2.9115117698949599E-4</v>
      </c>
      <c r="F32961" s="1">
        <v>3.9356319241031802E-4</v>
      </c>
    </row>
    <row r="32962" spans="1:6" x14ac:dyDescent="0.25">
      <c r="A32962" s="2" t="str">
        <f t="shared" si="1176"/>
        <v>99999</v>
      </c>
      <c r="B32962" s="2" t="str">
        <f>"22923"</f>
        <v>22923</v>
      </c>
      <c r="C32962" s="1">
        <v>7.7378955412477801E-5</v>
      </c>
      <c r="D32962" s="1">
        <v>3.6422464161812797E-5</v>
      </c>
      <c r="E32962" s="1">
        <v>3.0418779685469802E-5</v>
      </c>
      <c r="F32962" s="1">
        <v>7.3618999591414496E-5</v>
      </c>
    </row>
    <row r="32963" spans="1:6" x14ac:dyDescent="0.25">
      <c r="A32963" s="2" t="str">
        <f t="shared" si="1176"/>
        <v>99999</v>
      </c>
      <c r="B32963" s="2" t="str">
        <f>"22626"</f>
        <v>22626</v>
      </c>
      <c r="C32963" s="1">
        <v>0</v>
      </c>
      <c r="D32963" s="1">
        <v>1.51760267340886E-6</v>
      </c>
      <c r="E32963" s="1">
        <v>0</v>
      </c>
      <c r="F32963" s="1">
        <v>9.9485134582992598E-8</v>
      </c>
    </row>
    <row r="32964" spans="1:6" x14ac:dyDescent="0.25">
      <c r="A32964" s="2" t="str">
        <f t="shared" si="1176"/>
        <v>99999</v>
      </c>
      <c r="B32964" s="2" t="str">
        <f>"22513"</f>
        <v>22513</v>
      </c>
      <c r="C32964" s="1">
        <v>0</v>
      </c>
      <c r="D32964" s="1">
        <v>0</v>
      </c>
      <c r="E32964" s="1">
        <v>4.3455399550671099E-6</v>
      </c>
      <c r="F32964" s="1">
        <v>9.9485134582992598E-8</v>
      </c>
    </row>
    <row r="32965" spans="1:6" x14ac:dyDescent="0.25">
      <c r="A32965" s="2" t="str">
        <f t="shared" si="1176"/>
        <v>99999</v>
      </c>
      <c r="B32965" s="2" t="str">
        <f>"22530"</f>
        <v>22530</v>
      </c>
      <c r="C32965" s="1">
        <v>0</v>
      </c>
      <c r="D32965" s="1">
        <v>0</v>
      </c>
      <c r="E32965" s="1">
        <v>4.3455399550671099E-6</v>
      </c>
      <c r="F32965" s="1">
        <v>9.9485134582992598E-8</v>
      </c>
    </row>
    <row r="32966" spans="1:6" x14ac:dyDescent="0.25">
      <c r="A32966" s="2" t="str">
        <f t="shared" si="1176"/>
        <v>99999</v>
      </c>
      <c r="B32966" s="2" t="str">
        <f>"22514"</f>
        <v>22514</v>
      </c>
      <c r="C32966" s="1">
        <v>1.06300567802191E-4</v>
      </c>
      <c r="D32966" s="1">
        <v>9.1056160404532095E-5</v>
      </c>
      <c r="E32966" s="1">
        <v>3.0418779685469802E-5</v>
      </c>
      <c r="F32966" s="1">
        <v>1.03564025100895E-4</v>
      </c>
    </row>
    <row r="32967" spans="1:6" x14ac:dyDescent="0.25">
      <c r="A32967" s="2" t="str">
        <f t="shared" si="1176"/>
        <v>99999</v>
      </c>
      <c r="B32967" s="2" t="str">
        <f>"22577"</f>
        <v>22577</v>
      </c>
      <c r="C32967" s="1">
        <v>1.09138159961181E-7</v>
      </c>
      <c r="D32967" s="1">
        <v>1.51760267340886E-6</v>
      </c>
      <c r="E32967" s="1">
        <v>0</v>
      </c>
      <c r="F32967" s="1">
        <v>1.9897026916598501E-7</v>
      </c>
    </row>
    <row r="32968" spans="1:6" x14ac:dyDescent="0.25">
      <c r="A32968" s="2" t="str">
        <f t="shared" si="1176"/>
        <v>99999</v>
      </c>
      <c r="B32968" s="2" t="str">
        <f>"22579"</f>
        <v>22579</v>
      </c>
      <c r="C32968" s="1">
        <v>0</v>
      </c>
      <c r="D32968" s="1">
        <v>0</v>
      </c>
      <c r="E32968" s="1">
        <v>4.3455399550671099E-6</v>
      </c>
      <c r="F32968" s="1">
        <v>9.9485134582992598E-8</v>
      </c>
    </row>
    <row r="32969" spans="1:6" x14ac:dyDescent="0.25">
      <c r="A32969" s="2" t="str">
        <f t="shared" si="1176"/>
        <v>99999</v>
      </c>
      <c r="B32969" s="2" t="str">
        <f>"22448"</f>
        <v>22448</v>
      </c>
      <c r="C32969" s="1">
        <v>8.9384153008207799E-5</v>
      </c>
      <c r="D32969" s="1">
        <v>4.4313998063538897E-4</v>
      </c>
      <c r="E32969" s="1">
        <v>2.2162253770842199E-4</v>
      </c>
      <c r="F32969" s="1">
        <v>1.15601726385437E-4</v>
      </c>
    </row>
    <row r="32970" spans="1:6" x14ac:dyDescent="0.25">
      <c r="A32970" s="2" t="str">
        <f t="shared" si="1176"/>
        <v>99999</v>
      </c>
      <c r="B32970" s="2" t="str">
        <f>"22432"</f>
        <v>22432</v>
      </c>
      <c r="C32970" s="1">
        <v>2.0736250392624501E-5</v>
      </c>
      <c r="D32970" s="1">
        <v>3.4904861488403899E-5</v>
      </c>
      <c r="E32970" s="1">
        <v>4.7800939505738197E-5</v>
      </c>
      <c r="F32970" s="1">
        <v>2.2284670146590302E-5</v>
      </c>
    </row>
    <row r="32971" spans="1:6" x14ac:dyDescent="0.25">
      <c r="A32971" s="2" t="str">
        <f t="shared" si="1176"/>
        <v>99999</v>
      </c>
      <c r="B32971" s="2" t="str">
        <f>"21930"</f>
        <v>21930</v>
      </c>
      <c r="C32971" s="1">
        <v>6.5482895976708995E-7</v>
      </c>
      <c r="D32971" s="1">
        <v>0</v>
      </c>
      <c r="E32971" s="1">
        <v>0</v>
      </c>
      <c r="F32971" s="1">
        <v>5.9691080749795498E-7</v>
      </c>
    </row>
    <row r="32972" spans="1:6" x14ac:dyDescent="0.25">
      <c r="A32972" s="2" t="str">
        <f t="shared" si="1176"/>
        <v>99999</v>
      </c>
      <c r="B32972" s="2" t="str">
        <f>"21650"</f>
        <v>21650</v>
      </c>
      <c r="C32972" s="1">
        <v>8.9493291168169008E-6</v>
      </c>
      <c r="D32972" s="1">
        <v>7.5880133670443404E-6</v>
      </c>
      <c r="E32972" s="1">
        <v>0</v>
      </c>
      <c r="F32972" s="1">
        <v>8.6552067087203506E-6</v>
      </c>
    </row>
    <row r="32973" spans="1:6" x14ac:dyDescent="0.25">
      <c r="A32973" s="2" t="str">
        <f t="shared" si="1176"/>
        <v>99999</v>
      </c>
      <c r="B32973" s="2" t="str">
        <f>"21660"</f>
        <v>21660</v>
      </c>
      <c r="C32973" s="1">
        <v>1.7363881249823999E-4</v>
      </c>
      <c r="D32973" s="1">
        <v>1.24443419219527E-4</v>
      </c>
      <c r="E32973" s="1">
        <v>2.6942347721416101E-4</v>
      </c>
      <c r="F32973" s="1">
        <v>1.7260670850149199E-4</v>
      </c>
    </row>
    <row r="32974" spans="1:6" x14ac:dyDescent="0.25">
      <c r="A32974" s="2" t="str">
        <f t="shared" si="1176"/>
        <v>99999</v>
      </c>
      <c r="B32974" s="2" t="str">
        <f>"21521"</f>
        <v>21521</v>
      </c>
      <c r="C32974" s="1">
        <v>6.1117369578261701E-6</v>
      </c>
      <c r="D32974" s="1">
        <v>0</v>
      </c>
      <c r="E32974" s="1">
        <v>0</v>
      </c>
      <c r="F32974" s="1">
        <v>5.5711675366475797E-6</v>
      </c>
    </row>
    <row r="32975" spans="1:6" x14ac:dyDescent="0.25">
      <c r="A32975" s="2" t="str">
        <f t="shared" si="1176"/>
        <v>99999</v>
      </c>
      <c r="B32975" s="2" t="str">
        <f>"21541"</f>
        <v>21541</v>
      </c>
      <c r="C32975" s="1">
        <v>1.31293206433301E-4</v>
      </c>
      <c r="D32975" s="1">
        <v>2.12464374277241E-4</v>
      </c>
      <c r="E32975" s="1">
        <v>1.7816713815775099E-4</v>
      </c>
      <c r="F32975" s="1">
        <v>1.37687426262861E-4</v>
      </c>
    </row>
    <row r="32976" spans="1:6" x14ac:dyDescent="0.25">
      <c r="A32976" s="2" t="str">
        <f t="shared" si="1176"/>
        <v>99999</v>
      </c>
      <c r="B32976" s="2" t="str">
        <f>"21520"</f>
        <v>21520</v>
      </c>
      <c r="C32976" s="1">
        <v>1.08155916521531E-4</v>
      </c>
      <c r="D32976" s="1">
        <v>1.12302597832256E-4</v>
      </c>
      <c r="E32976" s="1">
        <v>9.5601879011476503E-5</v>
      </c>
      <c r="F32976" s="1">
        <v>1.0814034129171201E-4</v>
      </c>
    </row>
    <row r="32977" spans="1:6" x14ac:dyDescent="0.25">
      <c r="A32977" s="2" t="str">
        <f t="shared" si="1176"/>
        <v>99999</v>
      </c>
      <c r="B32977" s="2" t="str">
        <f>"49885"</f>
        <v>49885</v>
      </c>
      <c r="C32977" s="1">
        <v>1.4624513434798299E-5</v>
      </c>
      <c r="D32977" s="1">
        <v>3.0352053468177301E-6</v>
      </c>
      <c r="E32977" s="1">
        <v>0</v>
      </c>
      <c r="F32977" s="1">
        <v>1.35299783032869E-5</v>
      </c>
    </row>
    <row r="32978" spans="1:6" x14ac:dyDescent="0.25">
      <c r="A32978" s="2" t="str">
        <f t="shared" ref="A32978:A33041" si="1177">"99999"</f>
        <v>99999</v>
      </c>
      <c r="B32978" s="2" t="str">
        <f>"49826"</f>
        <v>49826</v>
      </c>
      <c r="C32978" s="1">
        <v>1.09138159961181E-7</v>
      </c>
      <c r="D32978" s="1">
        <v>0</v>
      </c>
      <c r="E32978" s="1">
        <v>0</v>
      </c>
      <c r="F32978" s="1">
        <v>9.9485134582992598E-8</v>
      </c>
    </row>
    <row r="32979" spans="1:6" x14ac:dyDescent="0.25">
      <c r="A32979" s="2" t="str">
        <f t="shared" si="1177"/>
        <v>99999</v>
      </c>
      <c r="B32979" s="2" t="str">
        <f>"49959"</f>
        <v>49959</v>
      </c>
      <c r="C32979" s="1">
        <v>3.17592045487038E-5</v>
      </c>
      <c r="D32979" s="1">
        <v>0</v>
      </c>
      <c r="E32979" s="1">
        <v>4.3455399550671099E-6</v>
      </c>
      <c r="F32979" s="1">
        <v>2.9049659298233801E-5</v>
      </c>
    </row>
    <row r="32980" spans="1:6" x14ac:dyDescent="0.25">
      <c r="A32980" s="2" t="str">
        <f t="shared" si="1177"/>
        <v>99999</v>
      </c>
      <c r="B32980" s="2" t="str">
        <f>"49781"</f>
        <v>49781</v>
      </c>
      <c r="C32980" s="1">
        <v>2.7939368950062501E-4</v>
      </c>
      <c r="D32980" s="1">
        <v>4.61351212716296E-4</v>
      </c>
      <c r="E32980" s="1">
        <v>4.4759061537191297E-4</v>
      </c>
      <c r="F32980" s="1">
        <v>2.9517239430773898E-4</v>
      </c>
    </row>
    <row r="32981" spans="1:6" x14ac:dyDescent="0.25">
      <c r="A32981" s="2" t="str">
        <f t="shared" si="1177"/>
        <v>99999</v>
      </c>
      <c r="B32981" s="2" t="str">
        <f>"49759"</f>
        <v>49759</v>
      </c>
      <c r="C32981" s="1">
        <v>1.42425298749342E-4</v>
      </c>
      <c r="D32981" s="1">
        <v>2.7316848121359601E-5</v>
      </c>
      <c r="E32981" s="1">
        <v>0</v>
      </c>
      <c r="F32981" s="1">
        <v>1.3161883305329899E-4</v>
      </c>
    </row>
    <row r="32982" spans="1:6" x14ac:dyDescent="0.25">
      <c r="A32982" s="2" t="str">
        <f t="shared" si="1177"/>
        <v>99999</v>
      </c>
      <c r="B32982" s="2" t="str">
        <f>"49910"</f>
        <v>49910</v>
      </c>
      <c r="C32982" s="1">
        <v>8.8401909568557204E-6</v>
      </c>
      <c r="D32982" s="1">
        <v>3.0352053468177301E-6</v>
      </c>
      <c r="E32982" s="1">
        <v>4.3455399550671099E-6</v>
      </c>
      <c r="F32982" s="1">
        <v>8.3567513049713805E-6</v>
      </c>
    </row>
    <row r="32983" spans="1:6" x14ac:dyDescent="0.25">
      <c r="A32983" s="2" t="str">
        <f t="shared" si="1177"/>
        <v>99999</v>
      </c>
      <c r="B32983" s="2" t="str">
        <f>"49908"</f>
        <v>49908</v>
      </c>
      <c r="C32983" s="1">
        <v>1.2769164715458199E-4</v>
      </c>
      <c r="D32983" s="1">
        <v>1.13820200505665E-4</v>
      </c>
      <c r="E32983" s="1">
        <v>1.17329578786812E-4</v>
      </c>
      <c r="F32983" s="1">
        <v>1.2654509118956601E-4</v>
      </c>
    </row>
    <row r="32984" spans="1:6" x14ac:dyDescent="0.25">
      <c r="A32984" s="2" t="str">
        <f t="shared" si="1177"/>
        <v>99999</v>
      </c>
      <c r="B32984" s="2" t="str">
        <f>"49738"</f>
        <v>49738</v>
      </c>
      <c r="C32984" s="1">
        <v>6.1892250513986098E-4</v>
      </c>
      <c r="D32984" s="1">
        <v>6.7078038164672003E-4</v>
      </c>
      <c r="E32984" s="1">
        <v>3.6502535622563698E-4</v>
      </c>
      <c r="F32984" s="1">
        <v>6.1650937901080495E-4</v>
      </c>
    </row>
    <row r="32985" spans="1:6" x14ac:dyDescent="0.25">
      <c r="A32985" s="2" t="str">
        <f t="shared" si="1177"/>
        <v>99999</v>
      </c>
      <c r="B32985" s="2" t="str">
        <f>"49721"</f>
        <v>49721</v>
      </c>
      <c r="C32985" s="1">
        <v>9.2407280039132501E-4</v>
      </c>
      <c r="D32985" s="1">
        <v>9.3484324681986303E-4</v>
      </c>
      <c r="E32985" s="1">
        <v>9.3429109033943002E-4</v>
      </c>
      <c r="F32985" s="1">
        <v>9.2501278135266498E-4</v>
      </c>
    </row>
    <row r="32986" spans="1:6" x14ac:dyDescent="0.25">
      <c r="A32986" s="2" t="str">
        <f t="shared" si="1177"/>
        <v>99999</v>
      </c>
      <c r="B32986" s="2" t="str">
        <f>"49719"</f>
        <v>49719</v>
      </c>
      <c r="C32986" s="1">
        <v>9.3203988606849197E-5</v>
      </c>
      <c r="D32986" s="1">
        <v>5.4633696242719298E-5</v>
      </c>
      <c r="E32986" s="1">
        <v>5.21464794608054E-5</v>
      </c>
      <c r="F32986" s="1">
        <v>8.9735591393859306E-5</v>
      </c>
    </row>
    <row r="32987" spans="1:6" x14ac:dyDescent="0.25">
      <c r="A32987" s="2" t="str">
        <f t="shared" si="1177"/>
        <v>99999</v>
      </c>
      <c r="B32987" s="2" t="str">
        <f>"49638"</f>
        <v>49638</v>
      </c>
      <c r="C32987" s="1">
        <v>5.2386316781367196E-6</v>
      </c>
      <c r="D32987" s="1">
        <v>0</v>
      </c>
      <c r="E32987" s="1">
        <v>0</v>
      </c>
      <c r="F32987" s="1">
        <v>4.7752864599836398E-6</v>
      </c>
    </row>
    <row r="32988" spans="1:6" x14ac:dyDescent="0.25">
      <c r="A32988" s="2" t="str">
        <f t="shared" si="1177"/>
        <v>99999</v>
      </c>
      <c r="B32988" s="2" t="str">
        <f>"49660"</f>
        <v>49660</v>
      </c>
      <c r="C32988" s="1">
        <v>7.9037855443887795E-4</v>
      </c>
      <c r="D32988" s="1">
        <v>1.00313536712326E-3</v>
      </c>
      <c r="E32988" s="1">
        <v>9.994741896654359E-4</v>
      </c>
      <c r="F32988" s="1">
        <v>8.0911259956347901E-4</v>
      </c>
    </row>
    <row r="32989" spans="1:6" x14ac:dyDescent="0.25">
      <c r="A32989" s="2" t="str">
        <f t="shared" si="1177"/>
        <v>99999</v>
      </c>
      <c r="B32989" s="2" t="str">
        <f>"49631"</f>
        <v>49631</v>
      </c>
      <c r="C32989" s="1">
        <v>3.1268082828878502E-4</v>
      </c>
      <c r="D32989" s="1">
        <v>1.73006704768611E-4</v>
      </c>
      <c r="E32989" s="1">
        <v>1.0429295892161E-4</v>
      </c>
      <c r="F32989" s="1">
        <v>2.9875385915272598E-4</v>
      </c>
    </row>
    <row r="32990" spans="1:6" x14ac:dyDescent="0.25">
      <c r="A32990" s="2" t="str">
        <f t="shared" si="1177"/>
        <v>99999</v>
      </c>
      <c r="B32990" s="2" t="str">
        <f>"49629"</f>
        <v>49629</v>
      </c>
      <c r="C32990" s="1">
        <v>1.5453963450503299E-4</v>
      </c>
      <c r="D32990" s="1">
        <v>2.33710811704965E-4</v>
      </c>
      <c r="E32990" s="1">
        <v>3.34606576540167E-4</v>
      </c>
      <c r="F32990" s="1">
        <v>1.6385201665818799E-4</v>
      </c>
    </row>
    <row r="32991" spans="1:6" x14ac:dyDescent="0.25">
      <c r="A32991" s="2" t="str">
        <f t="shared" si="1177"/>
        <v>99999</v>
      </c>
      <c r="B32991" s="2" t="str">
        <f>"49457"</f>
        <v>49457</v>
      </c>
      <c r="C32991" s="1">
        <v>2.6193158390683598E-6</v>
      </c>
      <c r="D32991" s="1">
        <v>0</v>
      </c>
      <c r="E32991" s="1">
        <v>0</v>
      </c>
      <c r="F32991" s="1">
        <v>2.3876432299918199E-6</v>
      </c>
    </row>
    <row r="32992" spans="1:6" x14ac:dyDescent="0.25">
      <c r="A32992" s="2" t="str">
        <f t="shared" si="1177"/>
        <v>99999</v>
      </c>
      <c r="B32992" s="2" t="str">
        <f>"49309"</f>
        <v>49309</v>
      </c>
      <c r="C32992" s="1">
        <v>1.6981897689959799E-4</v>
      </c>
      <c r="D32992" s="1">
        <v>3.9457669508630602E-5</v>
      </c>
      <c r="E32992" s="1">
        <v>0</v>
      </c>
      <c r="F32992" s="1">
        <v>1.5738548291029401E-4</v>
      </c>
    </row>
    <row r="32993" spans="1:6" x14ac:dyDescent="0.25">
      <c r="A32993" s="2" t="str">
        <f t="shared" si="1177"/>
        <v>99999</v>
      </c>
      <c r="B32993" s="2" t="str">
        <f>"49338"</f>
        <v>49338</v>
      </c>
      <c r="C32993" s="1">
        <v>3.3723691428005097E-5</v>
      </c>
      <c r="D32993" s="1">
        <v>7.5880133670443404E-6</v>
      </c>
      <c r="E32993" s="1">
        <v>4.3455399550671099E-6</v>
      </c>
      <c r="F32993" s="1">
        <v>3.1337817393642601E-5</v>
      </c>
    </row>
    <row r="32994" spans="1:6" x14ac:dyDescent="0.25">
      <c r="A32994" s="2" t="str">
        <f t="shared" si="1177"/>
        <v>99999</v>
      </c>
      <c r="B32994" s="2" t="str">
        <f>"49087"</f>
        <v>49087</v>
      </c>
      <c r="C32994" s="1">
        <v>3.3832829587966299E-6</v>
      </c>
      <c r="D32994" s="1">
        <v>0</v>
      </c>
      <c r="E32994" s="1">
        <v>0</v>
      </c>
      <c r="F32994" s="1">
        <v>3.0840391720727701E-6</v>
      </c>
    </row>
    <row r="32995" spans="1:6" x14ac:dyDescent="0.25">
      <c r="A32995" s="2" t="str">
        <f t="shared" si="1177"/>
        <v>99999</v>
      </c>
      <c r="B32995" s="2" t="str">
        <f>"49058"</f>
        <v>49058</v>
      </c>
      <c r="C32995" s="1">
        <v>9.2232658983194599E-4</v>
      </c>
      <c r="D32995" s="1">
        <v>9.8188892969553799E-4</v>
      </c>
      <c r="E32995" s="1">
        <v>1.14722254813771E-3</v>
      </c>
      <c r="F32995" s="1">
        <v>9.31379829965977E-4</v>
      </c>
    </row>
    <row r="32996" spans="1:6" x14ac:dyDescent="0.25">
      <c r="A32996" s="2" t="str">
        <f t="shared" si="1177"/>
        <v>99999</v>
      </c>
      <c r="B32996" s="2" t="str">
        <f>"48897"</f>
        <v>48897</v>
      </c>
      <c r="C32996" s="1">
        <v>6.6901692056204405E-5</v>
      </c>
      <c r="D32996" s="1">
        <v>3.0352053468177301E-5</v>
      </c>
      <c r="E32996" s="1">
        <v>8.69107991013423E-6</v>
      </c>
      <c r="F32996" s="1">
        <v>6.3173060460200295E-5</v>
      </c>
    </row>
    <row r="32997" spans="1:6" x14ac:dyDescent="0.25">
      <c r="A32997" s="2" t="str">
        <f t="shared" si="1177"/>
        <v>99999</v>
      </c>
      <c r="B32997" s="2" t="str">
        <f>"48758"</f>
        <v>48758</v>
      </c>
      <c r="C32997" s="1">
        <v>0</v>
      </c>
      <c r="D32997" s="1">
        <v>1.51760267340886E-6</v>
      </c>
      <c r="E32997" s="1">
        <v>0</v>
      </c>
      <c r="F32997" s="1">
        <v>9.9485134582992598E-8</v>
      </c>
    </row>
    <row r="32998" spans="1:6" x14ac:dyDescent="0.25">
      <c r="A32998" s="2" t="str">
        <f t="shared" si="1177"/>
        <v>99999</v>
      </c>
      <c r="B32998" s="2" t="str">
        <f>"48765"</f>
        <v>48765</v>
      </c>
      <c r="C32998" s="1">
        <v>5.45690799805908E-5</v>
      </c>
      <c r="D32998" s="1">
        <v>1.0623218713862E-5</v>
      </c>
      <c r="E32998" s="1">
        <v>0</v>
      </c>
      <c r="F32998" s="1">
        <v>5.0438963233577197E-5</v>
      </c>
    </row>
    <row r="32999" spans="1:6" x14ac:dyDescent="0.25">
      <c r="A32999" s="2" t="str">
        <f t="shared" si="1177"/>
        <v>99999</v>
      </c>
      <c r="B32999" s="2" t="str">
        <f>"48759"</f>
        <v>48759</v>
      </c>
      <c r="C32999" s="1">
        <v>1.99395418249079E-4</v>
      </c>
      <c r="D32999" s="1">
        <v>2.4433403041882699E-4</v>
      </c>
      <c r="E32999" s="1">
        <v>1.47748358472281E-4</v>
      </c>
      <c r="F32999" s="1">
        <v>2.01158942126811E-4</v>
      </c>
    </row>
    <row r="33000" spans="1:6" x14ac:dyDescent="0.25">
      <c r="A33000" s="2" t="str">
        <f t="shared" si="1177"/>
        <v>99999</v>
      </c>
      <c r="B33000" s="2" t="str">
        <f>"48757"</f>
        <v>48757</v>
      </c>
      <c r="C33000" s="1">
        <v>1.53993943705227E-4</v>
      </c>
      <c r="D33000" s="1">
        <v>9.8644173771576501E-5</v>
      </c>
      <c r="E33000" s="1">
        <v>9.1256339056409395E-5</v>
      </c>
      <c r="F33000" s="1">
        <v>1.4892924647073901E-4</v>
      </c>
    </row>
    <row r="33001" spans="1:6" x14ac:dyDescent="0.25">
      <c r="A33001" s="2" t="str">
        <f t="shared" si="1177"/>
        <v>99999</v>
      </c>
      <c r="B33001" s="2" t="str">
        <f>"48743"</f>
        <v>48743</v>
      </c>
      <c r="C33001" s="1">
        <v>4.5838027183696299E-6</v>
      </c>
      <c r="D33001" s="1">
        <v>3.0352053468177301E-6</v>
      </c>
      <c r="E33001" s="1">
        <v>0</v>
      </c>
      <c r="F33001" s="1">
        <v>4.3773459216516703E-6</v>
      </c>
    </row>
    <row r="33002" spans="1:6" x14ac:dyDescent="0.25">
      <c r="A33002" s="2" t="str">
        <f t="shared" si="1177"/>
        <v>99999</v>
      </c>
      <c r="B33002" s="2" t="str">
        <f>"48740"</f>
        <v>48740</v>
      </c>
      <c r="C33002" s="1">
        <v>1.7571243753750201E-4</v>
      </c>
      <c r="D33002" s="1">
        <v>1.07749789812029E-4</v>
      </c>
      <c r="E33002" s="1">
        <v>5.21464794608054E-5</v>
      </c>
      <c r="F33002" s="1">
        <v>1.6842833284900599E-4</v>
      </c>
    </row>
    <row r="33003" spans="1:6" x14ac:dyDescent="0.25">
      <c r="A33003" s="2" t="str">
        <f t="shared" si="1177"/>
        <v>99999</v>
      </c>
      <c r="B33003" s="2" t="str">
        <f>"48737"</f>
        <v>48737</v>
      </c>
      <c r="C33003" s="1">
        <v>1.23871811555941E-4</v>
      </c>
      <c r="D33003" s="1">
        <v>6.6774517629990203E-5</v>
      </c>
      <c r="E33003" s="1">
        <v>8.69107991013423E-6</v>
      </c>
      <c r="F33003" s="1">
        <v>1.17491943942514E-4</v>
      </c>
    </row>
    <row r="33004" spans="1:6" x14ac:dyDescent="0.25">
      <c r="A33004" s="2" t="str">
        <f t="shared" si="1177"/>
        <v>99999</v>
      </c>
      <c r="B33004" s="2" t="str">
        <f>"48849"</f>
        <v>48849</v>
      </c>
      <c r="C33004" s="1">
        <v>4.3546125824511501E-5</v>
      </c>
      <c r="D33004" s="1">
        <v>1.9728834754315301E-5</v>
      </c>
      <c r="E33004" s="1">
        <v>8.69107991013423E-6</v>
      </c>
      <c r="F33004" s="1">
        <v>4.1186845717358898E-5</v>
      </c>
    </row>
    <row r="33005" spans="1:6" x14ac:dyDescent="0.25">
      <c r="A33005" s="2" t="str">
        <f t="shared" si="1177"/>
        <v>99999</v>
      </c>
      <c r="B33005" s="2" t="str">
        <f>"48705"</f>
        <v>48705</v>
      </c>
      <c r="C33005" s="1">
        <v>4.7693375903036399E-5</v>
      </c>
      <c r="D33005" s="1">
        <v>1.21408213872709E-5</v>
      </c>
      <c r="E33005" s="1">
        <v>0</v>
      </c>
      <c r="F33005" s="1">
        <v>4.4270884889431703E-5</v>
      </c>
    </row>
    <row r="33006" spans="1:6" x14ac:dyDescent="0.25">
      <c r="A33006" s="2" t="str">
        <f t="shared" si="1177"/>
        <v>99999</v>
      </c>
      <c r="B33006" s="2" t="str">
        <f>"48454"</f>
        <v>48454</v>
      </c>
      <c r="C33006" s="1">
        <v>6.41732380571748E-5</v>
      </c>
      <c r="D33006" s="1">
        <v>1.66936294074975E-5</v>
      </c>
      <c r="E33006" s="1">
        <v>1.3036619865201299E-5</v>
      </c>
      <c r="F33006" s="1">
        <v>5.98900510189615E-5</v>
      </c>
    </row>
    <row r="33007" spans="1:6" x14ac:dyDescent="0.25">
      <c r="A33007" s="2" t="str">
        <f t="shared" si="1177"/>
        <v>99999</v>
      </c>
      <c r="B33007" s="2" t="str">
        <f>"48471"</f>
        <v>48471</v>
      </c>
      <c r="C33007" s="1">
        <v>2.8888870941724798E-4</v>
      </c>
      <c r="D33007" s="1">
        <v>6.4953394421899595E-4</v>
      </c>
      <c r="E33007" s="1">
        <v>5.0408263478778504E-4</v>
      </c>
      <c r="F33007" s="1">
        <v>3.1745706445432902E-4</v>
      </c>
    </row>
    <row r="33008" spans="1:6" x14ac:dyDescent="0.25">
      <c r="A33008" s="2" t="str">
        <f t="shared" si="1177"/>
        <v>99999</v>
      </c>
      <c r="B33008" s="2" t="str">
        <f>"48464"</f>
        <v>48464</v>
      </c>
      <c r="C33008" s="1">
        <v>1.8007796393594899E-5</v>
      </c>
      <c r="D33008" s="1">
        <v>1.51760267340886E-6</v>
      </c>
      <c r="E33008" s="1">
        <v>8.69107991013423E-6</v>
      </c>
      <c r="F33008" s="1">
        <v>1.67135026099427E-5</v>
      </c>
    </row>
    <row r="33009" spans="1:6" x14ac:dyDescent="0.25">
      <c r="A33009" s="2" t="str">
        <f t="shared" si="1177"/>
        <v>99999</v>
      </c>
      <c r="B33009" s="2" t="str">
        <f>"48627"</f>
        <v>48627</v>
      </c>
      <c r="C33009" s="1">
        <v>5.23863167813672E-5</v>
      </c>
      <c r="D33009" s="1">
        <v>3.7940066835221703E-5</v>
      </c>
      <c r="E33009" s="1">
        <v>4.3455399550671099E-6</v>
      </c>
      <c r="F33009" s="1">
        <v>5.0339478098994199E-5</v>
      </c>
    </row>
    <row r="33010" spans="1:6" x14ac:dyDescent="0.25">
      <c r="A33010" s="2" t="str">
        <f t="shared" si="1177"/>
        <v>99999</v>
      </c>
      <c r="B33010" s="2" t="str">
        <f>"48630"</f>
        <v>48630</v>
      </c>
      <c r="C33010" s="1">
        <v>1.6261585834216E-5</v>
      </c>
      <c r="D33010" s="1">
        <v>0</v>
      </c>
      <c r="E33010" s="1">
        <v>0</v>
      </c>
      <c r="F33010" s="1">
        <v>1.4823285052865899E-5</v>
      </c>
    </row>
    <row r="33011" spans="1:6" x14ac:dyDescent="0.25">
      <c r="A33011" s="2" t="str">
        <f t="shared" si="1177"/>
        <v>99999</v>
      </c>
      <c r="B33011" s="2" t="str">
        <f>"48636"</f>
        <v>48636</v>
      </c>
      <c r="C33011" s="1">
        <v>6.5373757816747802E-5</v>
      </c>
      <c r="D33011" s="1">
        <v>1.8211232080906399E-5</v>
      </c>
      <c r="E33011" s="1">
        <v>0</v>
      </c>
      <c r="F33011" s="1">
        <v>6.0785417230208501E-5</v>
      </c>
    </row>
    <row r="33012" spans="1:6" x14ac:dyDescent="0.25">
      <c r="A33012" s="2" t="str">
        <f t="shared" si="1177"/>
        <v>99999</v>
      </c>
      <c r="B33012" s="2" t="str">
        <f>"48434"</f>
        <v>48434</v>
      </c>
      <c r="C33012" s="1">
        <v>6.4391514377097196E-6</v>
      </c>
      <c r="D33012" s="1">
        <v>1.51760267340886E-6</v>
      </c>
      <c r="E33012" s="1">
        <v>4.3455399550671099E-6</v>
      </c>
      <c r="F33012" s="1">
        <v>6.0685932095625502E-6</v>
      </c>
    </row>
    <row r="33013" spans="1:6" x14ac:dyDescent="0.25">
      <c r="A33013" s="2" t="str">
        <f t="shared" si="1177"/>
        <v>99999</v>
      </c>
      <c r="B33013" s="2" t="str">
        <f>"47848"</f>
        <v>47848</v>
      </c>
      <c r="C33013" s="1">
        <v>7.0939803974768102E-6</v>
      </c>
      <c r="D33013" s="1">
        <v>0</v>
      </c>
      <c r="E33013" s="1">
        <v>0</v>
      </c>
      <c r="F33013" s="1">
        <v>6.4665337478945197E-6</v>
      </c>
    </row>
    <row r="33014" spans="1:6" x14ac:dyDescent="0.25">
      <c r="A33014" s="2" t="str">
        <f t="shared" si="1177"/>
        <v>99999</v>
      </c>
      <c r="B33014" s="2" t="str">
        <f>"48032"</f>
        <v>48032</v>
      </c>
      <c r="C33014" s="1">
        <v>1.4078822634992399E-5</v>
      </c>
      <c r="D33014" s="1">
        <v>6.0704106936354696E-6</v>
      </c>
      <c r="E33014" s="1">
        <v>0</v>
      </c>
      <c r="F33014" s="1">
        <v>1.3231522899537999E-5</v>
      </c>
    </row>
    <row r="33015" spans="1:6" x14ac:dyDescent="0.25">
      <c r="A33015" s="2" t="str">
        <f t="shared" si="1177"/>
        <v>99999</v>
      </c>
      <c r="B33015" s="2" t="str">
        <f>"47987"</f>
        <v>47987</v>
      </c>
      <c r="C33015" s="1">
        <v>2.0081421432857399E-4</v>
      </c>
      <c r="D33015" s="1">
        <v>1.73006704768611E-4</v>
      </c>
      <c r="E33015" s="1">
        <v>9.1256339056409395E-5</v>
      </c>
      <c r="F33015" s="1">
        <v>1.9648314080141001E-4</v>
      </c>
    </row>
    <row r="33016" spans="1:6" x14ac:dyDescent="0.25">
      <c r="A33016" s="2" t="str">
        <f t="shared" si="1177"/>
        <v>99999</v>
      </c>
      <c r="B33016" s="2" t="str">
        <f>"47960"</f>
        <v>47960</v>
      </c>
      <c r="C33016" s="1">
        <v>7.8732268595996496E-4</v>
      </c>
      <c r="D33016" s="1">
        <v>1.0107233804902999E-3</v>
      </c>
      <c r="E33016" s="1">
        <v>8.0392489168741599E-4</v>
      </c>
      <c r="F33016" s="1">
        <v>8.0234761041183503E-4</v>
      </c>
    </row>
    <row r="33017" spans="1:6" x14ac:dyDescent="0.25">
      <c r="A33017" s="2" t="str">
        <f t="shared" si="1177"/>
        <v>99999</v>
      </c>
      <c r="B33017" s="2" t="str">
        <f>"47957"</f>
        <v>47957</v>
      </c>
      <c r="C33017" s="1">
        <v>8.2945001570498098E-5</v>
      </c>
      <c r="D33017" s="1">
        <v>2.1246437427724101E-5</v>
      </c>
      <c r="E33017" s="1">
        <v>1.7382159820268399E-5</v>
      </c>
      <c r="F33017" s="1">
        <v>7.7399434705568195E-5</v>
      </c>
    </row>
    <row r="33018" spans="1:6" x14ac:dyDescent="0.25">
      <c r="A33018" s="2" t="str">
        <f t="shared" si="1177"/>
        <v>99999</v>
      </c>
      <c r="B33018" s="2" t="str">
        <f>"47952"</f>
        <v>47952</v>
      </c>
      <c r="C33018" s="1">
        <v>1.20925081236989E-4</v>
      </c>
      <c r="D33018" s="1">
        <v>2.7316848121359601E-5</v>
      </c>
      <c r="E33018" s="1">
        <v>3.47643196405369E-5</v>
      </c>
      <c r="F33018" s="1">
        <v>1.12816142617113E-4</v>
      </c>
    </row>
    <row r="33019" spans="1:6" x14ac:dyDescent="0.25">
      <c r="A33019" s="2" t="str">
        <f t="shared" si="1177"/>
        <v>99999</v>
      </c>
      <c r="B33019" s="2" t="str">
        <f>"47556"</f>
        <v>47556</v>
      </c>
      <c r="C33019" s="1">
        <v>0</v>
      </c>
      <c r="D33019" s="1">
        <v>0</v>
      </c>
      <c r="E33019" s="1">
        <v>8.69107991013423E-6</v>
      </c>
      <c r="F33019" s="1">
        <v>1.9897026916598501E-7</v>
      </c>
    </row>
    <row r="33020" spans="1:6" x14ac:dyDescent="0.25">
      <c r="A33020" s="2" t="str">
        <f t="shared" si="1177"/>
        <v>99999</v>
      </c>
      <c r="B33020" s="2" t="str">
        <f>"47529"</f>
        <v>47529</v>
      </c>
      <c r="C33020" s="1">
        <v>1.7462105593789001E-6</v>
      </c>
      <c r="D33020" s="1">
        <v>1.51760267340886E-6</v>
      </c>
      <c r="E33020" s="1">
        <v>4.3455399550671099E-6</v>
      </c>
      <c r="F33020" s="1">
        <v>1.79073242249386E-6</v>
      </c>
    </row>
    <row r="33021" spans="1:6" x14ac:dyDescent="0.25">
      <c r="A33021" s="2" t="str">
        <f t="shared" si="1177"/>
        <v>99999</v>
      </c>
      <c r="B33021" s="2" t="str">
        <f>"47550"</f>
        <v>47550</v>
      </c>
      <c r="C33021" s="1">
        <v>3.3068862468237998E-5</v>
      </c>
      <c r="D33021" s="1">
        <v>1.21408213872709E-5</v>
      </c>
      <c r="E33021" s="1">
        <v>4.3455399550671099E-6</v>
      </c>
      <c r="F33021" s="1">
        <v>3.10393619898937E-5</v>
      </c>
    </row>
    <row r="33022" spans="1:6" x14ac:dyDescent="0.25">
      <c r="A33022" s="2" t="str">
        <f t="shared" si="1177"/>
        <v>99999</v>
      </c>
      <c r="B33022" s="2" t="str">
        <f>"47523"</f>
        <v>47523</v>
      </c>
      <c r="C33022" s="1">
        <v>2.1336510272411001E-4</v>
      </c>
      <c r="D33022" s="1">
        <v>1.3203143258657101E-4</v>
      </c>
      <c r="E33022" s="1">
        <v>9.1256339056409395E-5</v>
      </c>
      <c r="F33022" s="1">
        <v>2.0523783264471301E-4</v>
      </c>
    </row>
    <row r="33023" spans="1:6" x14ac:dyDescent="0.25">
      <c r="A33023" s="2" t="str">
        <f t="shared" si="1177"/>
        <v>99999</v>
      </c>
      <c r="B33023" s="2" t="str">
        <f>"47454"</f>
        <v>47454</v>
      </c>
      <c r="C33023" s="1">
        <v>4.5619750863773901E-4</v>
      </c>
      <c r="D33023" s="1">
        <v>6.4649873887217798E-4</v>
      </c>
      <c r="E33023" s="1">
        <v>4.1717183568644299E-4</v>
      </c>
      <c r="F33023" s="1">
        <v>4.67779102809231E-4</v>
      </c>
    </row>
    <row r="33024" spans="1:6" x14ac:dyDescent="0.25">
      <c r="A33024" s="2" t="str">
        <f t="shared" si="1177"/>
        <v>99999</v>
      </c>
      <c r="B33024" s="2" t="str">
        <f>"47619"</f>
        <v>47619</v>
      </c>
      <c r="C33024" s="1">
        <v>3.27414479883545E-6</v>
      </c>
      <c r="D33024" s="1">
        <v>0</v>
      </c>
      <c r="E33024" s="1">
        <v>0</v>
      </c>
      <c r="F33024" s="1">
        <v>2.9845540374897699E-6</v>
      </c>
    </row>
    <row r="33025" spans="1:6" x14ac:dyDescent="0.25">
      <c r="A33025" s="2" t="str">
        <f t="shared" si="1177"/>
        <v>99999</v>
      </c>
      <c r="B33025" s="2" t="str">
        <f>"47647"</f>
        <v>47647</v>
      </c>
      <c r="C33025" s="1">
        <v>2.2919013591848099E-6</v>
      </c>
      <c r="D33025" s="1">
        <v>1.51760267340886E-6</v>
      </c>
      <c r="E33025" s="1">
        <v>8.69107991013423E-6</v>
      </c>
      <c r="F33025" s="1">
        <v>2.3876432299918199E-6</v>
      </c>
    </row>
    <row r="33026" spans="1:6" x14ac:dyDescent="0.25">
      <c r="A33026" s="2" t="str">
        <f t="shared" si="1177"/>
        <v>99999</v>
      </c>
      <c r="B33026" s="2" t="str">
        <f>"47449"</f>
        <v>47449</v>
      </c>
      <c r="C33026" s="1">
        <v>4.5838027183696297E-5</v>
      </c>
      <c r="D33026" s="1">
        <v>2.7316848121359601E-5</v>
      </c>
      <c r="E33026" s="1">
        <v>8.69107991013423E-6</v>
      </c>
      <c r="F33026" s="1">
        <v>4.3773459216516703E-5</v>
      </c>
    </row>
    <row r="33027" spans="1:6" x14ac:dyDescent="0.25">
      <c r="A33027" s="2" t="str">
        <f t="shared" si="1177"/>
        <v>99999</v>
      </c>
      <c r="B33027" s="2" t="str">
        <f>"47562"</f>
        <v>47562</v>
      </c>
      <c r="C33027" s="1">
        <v>2.2919013591848099E-6</v>
      </c>
      <c r="D33027" s="1">
        <v>0</v>
      </c>
      <c r="E33027" s="1">
        <v>0</v>
      </c>
      <c r="F33027" s="1">
        <v>2.08918782624284E-6</v>
      </c>
    </row>
    <row r="33028" spans="1:6" x14ac:dyDescent="0.25">
      <c r="A33028" s="2" t="str">
        <f t="shared" si="1177"/>
        <v>99999</v>
      </c>
      <c r="B33028" s="2" t="str">
        <f>"47576"</f>
        <v>47576</v>
      </c>
      <c r="C33028" s="1">
        <v>2.9139888709635502E-5</v>
      </c>
      <c r="D33028" s="1">
        <v>1.0623218713862E-5</v>
      </c>
      <c r="E33028" s="1">
        <v>1.3036619865201299E-5</v>
      </c>
      <c r="F33028" s="1">
        <v>2.7557382279488901E-5</v>
      </c>
    </row>
    <row r="33029" spans="1:6" x14ac:dyDescent="0.25">
      <c r="A33029" s="2" t="str">
        <f t="shared" si="1177"/>
        <v>99999</v>
      </c>
      <c r="B33029" s="2" t="str">
        <f>"47381"</f>
        <v>47381</v>
      </c>
      <c r="C33029" s="1">
        <v>7.4213948773603504E-6</v>
      </c>
      <c r="D33029" s="1">
        <v>1.3658424060679801E-5</v>
      </c>
      <c r="E33029" s="1">
        <v>1.3036619865201299E-5</v>
      </c>
      <c r="F33029" s="1">
        <v>7.9588107666394102E-6</v>
      </c>
    </row>
    <row r="33030" spans="1:6" x14ac:dyDescent="0.25">
      <c r="A33030" s="2" t="str">
        <f t="shared" si="1177"/>
        <v>99999</v>
      </c>
      <c r="B33030" s="2" t="str">
        <f>"47224"</f>
        <v>47224</v>
      </c>
      <c r="C33030" s="1">
        <v>1.8990039833245598E-5</v>
      </c>
      <c r="D33030" s="1">
        <v>4.5528080202265997E-6</v>
      </c>
      <c r="E33030" s="1">
        <v>4.3455399550671099E-6</v>
      </c>
      <c r="F33030" s="1">
        <v>1.77083539557726E-5</v>
      </c>
    </row>
    <row r="33031" spans="1:6" x14ac:dyDescent="0.25">
      <c r="A33031" s="2" t="str">
        <f t="shared" si="1177"/>
        <v>99999</v>
      </c>
      <c r="B33031" s="2" t="str">
        <f>"47348"</f>
        <v>47348</v>
      </c>
      <c r="C33031" s="1">
        <v>5.6348031987958104E-4</v>
      </c>
      <c r="D33031" s="1">
        <v>5.6303059183469004E-4</v>
      </c>
      <c r="E33031" s="1">
        <v>4.6062723523711399E-4</v>
      </c>
      <c r="F33031" s="1">
        <v>5.6109615904807795E-4</v>
      </c>
    </row>
    <row r="33032" spans="1:6" x14ac:dyDescent="0.25">
      <c r="A33032" s="2" t="str">
        <f t="shared" si="1177"/>
        <v>99999</v>
      </c>
      <c r="B33032" s="2" t="str">
        <f>"47336"</f>
        <v>47336</v>
      </c>
      <c r="C33032" s="1">
        <v>1.8313383241486201E-4</v>
      </c>
      <c r="D33032" s="1">
        <v>1.7452430744201901E-4</v>
      </c>
      <c r="E33032" s="1">
        <v>1.08638498876677E-4</v>
      </c>
      <c r="F33032" s="1">
        <v>1.8086397467188001E-4</v>
      </c>
    </row>
    <row r="33033" spans="1:6" x14ac:dyDescent="0.25">
      <c r="A33033" s="2" t="str">
        <f t="shared" si="1177"/>
        <v>99999</v>
      </c>
      <c r="B33033" s="2" t="str">
        <f>"47108"</f>
        <v>47108</v>
      </c>
      <c r="C33033" s="1">
        <v>4.6929408783308102E-6</v>
      </c>
      <c r="D33033" s="1">
        <v>0</v>
      </c>
      <c r="E33033" s="1">
        <v>1.7382159820268399E-5</v>
      </c>
      <c r="F33033" s="1">
        <v>4.6758013254006498E-6</v>
      </c>
    </row>
    <row r="33034" spans="1:6" x14ac:dyDescent="0.25">
      <c r="A33034" s="2" t="str">
        <f t="shared" si="1177"/>
        <v>99999</v>
      </c>
      <c r="B33034" s="2" t="str">
        <f>"46945"</f>
        <v>46945</v>
      </c>
      <c r="C33034" s="1">
        <v>0</v>
      </c>
      <c r="D33034" s="1">
        <v>0</v>
      </c>
      <c r="E33034" s="1">
        <v>4.3455399550671099E-6</v>
      </c>
      <c r="F33034" s="1">
        <v>9.9485134582992598E-8</v>
      </c>
    </row>
    <row r="33035" spans="1:6" x14ac:dyDescent="0.25">
      <c r="A33035" s="2" t="str">
        <f t="shared" si="1177"/>
        <v>99999</v>
      </c>
      <c r="B33035" s="2" t="str">
        <f>"46952"</f>
        <v>46952</v>
      </c>
      <c r="C33035" s="1">
        <v>6.5482895976709E-6</v>
      </c>
      <c r="D33035" s="1">
        <v>0</v>
      </c>
      <c r="E33035" s="1">
        <v>4.3455399550671099E-6</v>
      </c>
      <c r="F33035" s="1">
        <v>6.0685932095625502E-6</v>
      </c>
    </row>
    <row r="33036" spans="1:6" x14ac:dyDescent="0.25">
      <c r="A33036" s="2" t="str">
        <f t="shared" si="1177"/>
        <v>99999</v>
      </c>
      <c r="B33036" s="2" t="str">
        <f>"47039"</f>
        <v>47039</v>
      </c>
      <c r="C33036" s="1">
        <v>0</v>
      </c>
      <c r="D33036" s="1">
        <v>1.51760267340886E-6</v>
      </c>
      <c r="E33036" s="1">
        <v>0</v>
      </c>
      <c r="F33036" s="1">
        <v>9.9485134582992598E-8</v>
      </c>
    </row>
    <row r="33037" spans="1:6" x14ac:dyDescent="0.25">
      <c r="A33037" s="2" t="str">
        <f t="shared" si="1177"/>
        <v>99999</v>
      </c>
      <c r="B33037" s="2" t="str">
        <f>"47018"</f>
        <v>47018</v>
      </c>
      <c r="C33037" s="1">
        <v>4.3764402144433798E-5</v>
      </c>
      <c r="D33037" s="1">
        <v>2.88344507947685E-5</v>
      </c>
      <c r="E33037" s="1">
        <v>8.69107991013423E-6</v>
      </c>
      <c r="F33037" s="1">
        <v>4.1982726794022798E-5</v>
      </c>
    </row>
    <row r="33038" spans="1:6" x14ac:dyDescent="0.25">
      <c r="A33038" s="2" t="str">
        <f t="shared" si="1177"/>
        <v>99999</v>
      </c>
      <c r="B33038" s="2" t="str">
        <f>"47043"</f>
        <v>47043</v>
      </c>
      <c r="C33038" s="1">
        <v>4.4004506096348401E-4</v>
      </c>
      <c r="D33038" s="1">
        <v>2.8682690527427601E-4</v>
      </c>
      <c r="E33038" s="1">
        <v>4.3889953546177803E-4</v>
      </c>
      <c r="F33038" s="1">
        <v>4.2997475166769398E-4</v>
      </c>
    </row>
    <row r="33039" spans="1:6" x14ac:dyDescent="0.25">
      <c r="A33039" s="2" t="str">
        <f t="shared" si="1177"/>
        <v>99999</v>
      </c>
      <c r="B33039" s="2" t="str">
        <f>"47023"</f>
        <v>47023</v>
      </c>
      <c r="C33039" s="1">
        <v>8.0871376531235599E-5</v>
      </c>
      <c r="D33039" s="1">
        <v>3.9457669508630602E-5</v>
      </c>
      <c r="E33039" s="1">
        <v>2.1727699775335501E-5</v>
      </c>
      <c r="F33039" s="1">
        <v>7.6802523898070299E-5</v>
      </c>
    </row>
    <row r="33040" spans="1:6" x14ac:dyDescent="0.25">
      <c r="A33040" s="2" t="str">
        <f t="shared" si="1177"/>
        <v>99999</v>
      </c>
      <c r="B33040" s="2" t="str">
        <f>"46902"</f>
        <v>46902</v>
      </c>
      <c r="C33040" s="1">
        <v>5.7843224779426299E-6</v>
      </c>
      <c r="D33040" s="1">
        <v>0</v>
      </c>
      <c r="E33040" s="1">
        <v>0</v>
      </c>
      <c r="F33040" s="1">
        <v>5.2727121328986002E-6</v>
      </c>
    </row>
    <row r="33041" spans="1:6" x14ac:dyDescent="0.25">
      <c r="A33041" s="2" t="str">
        <f t="shared" si="1177"/>
        <v>99999</v>
      </c>
      <c r="B33041" s="2" t="str">
        <f>"46761"</f>
        <v>46761</v>
      </c>
      <c r="C33041" s="1">
        <v>4.9537810806380301E-4</v>
      </c>
      <c r="D33041" s="1">
        <v>6.25252301444454E-4</v>
      </c>
      <c r="E33041" s="1">
        <v>3.7806197609083903E-4</v>
      </c>
      <c r="F33041" s="1">
        <v>5.0120610802911595E-4</v>
      </c>
    </row>
    <row r="33042" spans="1:6" x14ac:dyDescent="0.25">
      <c r="A33042" s="2" t="str">
        <f t="shared" ref="A33042:A33105" si="1178">"99999"</f>
        <v>99999</v>
      </c>
      <c r="B33042" s="2" t="str">
        <f>"46759"</f>
        <v>46759</v>
      </c>
      <c r="C33042" s="1">
        <v>2.8485059749868399E-5</v>
      </c>
      <c r="D33042" s="1">
        <v>3.0352053468177301E-6</v>
      </c>
      <c r="E33042" s="1">
        <v>1.7382159820268399E-5</v>
      </c>
      <c r="F33042" s="1">
        <v>2.6562530933659001E-5</v>
      </c>
    </row>
    <row r="33043" spans="1:6" x14ac:dyDescent="0.25">
      <c r="A33043" s="2" t="str">
        <f t="shared" si="1178"/>
        <v>99999</v>
      </c>
      <c r="B33043" s="2" t="str">
        <f>"46532"</f>
        <v>46532</v>
      </c>
      <c r="C33043" s="1">
        <v>5.7952362939387498E-5</v>
      </c>
      <c r="D33043" s="1">
        <v>2.88344507947685E-5</v>
      </c>
      <c r="E33043" s="1">
        <v>3.0418779685469802E-5</v>
      </c>
      <c r="F33043" s="1">
        <v>5.5413219962726798E-5</v>
      </c>
    </row>
    <row r="33044" spans="1:6" x14ac:dyDescent="0.25">
      <c r="A33044" s="2" t="str">
        <f t="shared" si="1178"/>
        <v>99999</v>
      </c>
      <c r="B33044" s="2" t="str">
        <f>"46146"</f>
        <v>46146</v>
      </c>
      <c r="C33044" s="1">
        <v>8.8401909568557204E-6</v>
      </c>
      <c r="D33044" s="1">
        <v>9.1056160404532095E-6</v>
      </c>
      <c r="E33044" s="1">
        <v>1.3036619865201299E-5</v>
      </c>
      <c r="F33044" s="1">
        <v>8.9536621124693292E-6</v>
      </c>
    </row>
    <row r="33045" spans="1:6" x14ac:dyDescent="0.25">
      <c r="A33045" s="2" t="str">
        <f t="shared" si="1178"/>
        <v>99999</v>
      </c>
      <c r="B33045" s="2" t="str">
        <f>"46104"</f>
        <v>46104</v>
      </c>
      <c r="C33045" s="1">
        <v>3.3832829587966299E-5</v>
      </c>
      <c r="D33045" s="1">
        <v>1.3658424060679801E-5</v>
      </c>
      <c r="E33045" s="1">
        <v>3.47643196405369E-5</v>
      </c>
      <c r="F33045" s="1">
        <v>3.2531639008638501E-5</v>
      </c>
    </row>
    <row r="33046" spans="1:6" x14ac:dyDescent="0.25">
      <c r="A33046" s="2" t="str">
        <f t="shared" si="1178"/>
        <v>99999</v>
      </c>
      <c r="B33046" s="2" t="str">
        <f>"46076"</f>
        <v>46076</v>
      </c>
      <c r="C33046" s="1">
        <v>7.8688613332011999E-5</v>
      </c>
      <c r="D33046" s="1">
        <v>1.8211232080906399E-5</v>
      </c>
      <c r="E33046" s="1">
        <v>2.60732397304027E-5</v>
      </c>
      <c r="F33046" s="1">
        <v>7.3519514456831504E-5</v>
      </c>
    </row>
    <row r="33047" spans="1:6" x14ac:dyDescent="0.25">
      <c r="A33047" s="2" t="str">
        <f t="shared" si="1178"/>
        <v>99999</v>
      </c>
      <c r="B33047" s="2" t="str">
        <f>"46072"</f>
        <v>46072</v>
      </c>
      <c r="C33047" s="1">
        <v>4.7802514062997601E-4</v>
      </c>
      <c r="D33047" s="1">
        <v>6.5256914956581295E-4</v>
      </c>
      <c r="E33047" s="1">
        <v>5.0842817474285203E-4</v>
      </c>
      <c r="F33047" s="1">
        <v>4.9016325809040403E-4</v>
      </c>
    </row>
    <row r="33048" spans="1:6" x14ac:dyDescent="0.25">
      <c r="A33048" s="2" t="str">
        <f t="shared" si="1178"/>
        <v>99999</v>
      </c>
      <c r="B33048" s="2" t="str">
        <f>"46031"</f>
        <v>46031</v>
      </c>
      <c r="C33048" s="1">
        <v>2.2700737271925801E-5</v>
      </c>
      <c r="D33048" s="1">
        <v>1.0623218713862E-5</v>
      </c>
      <c r="E33048" s="1">
        <v>0</v>
      </c>
      <c r="F33048" s="1">
        <v>2.13893039353434E-5</v>
      </c>
    </row>
    <row r="33049" spans="1:6" x14ac:dyDescent="0.25">
      <c r="A33049" s="2" t="str">
        <f t="shared" si="1178"/>
        <v>99999</v>
      </c>
      <c r="B33049" s="2" t="str">
        <f>"45693"</f>
        <v>45693</v>
      </c>
      <c r="C33049" s="1">
        <v>4.7442358135125698E-4</v>
      </c>
      <c r="D33049" s="1">
        <v>5.3723134638673895E-4</v>
      </c>
      <c r="E33049" s="1">
        <v>6.7790423299047002E-4</v>
      </c>
      <c r="F33049" s="1">
        <v>4.8319929866959499E-4</v>
      </c>
    </row>
    <row r="33050" spans="1:6" x14ac:dyDescent="0.25">
      <c r="A33050" s="2" t="str">
        <f t="shared" si="1178"/>
        <v>99999</v>
      </c>
      <c r="B33050" s="2" t="str">
        <f>"45672"</f>
        <v>45672</v>
      </c>
      <c r="C33050" s="1">
        <v>4.8239066702842302E-5</v>
      </c>
      <c r="D33050" s="1">
        <v>7.5880133670443404E-6</v>
      </c>
      <c r="E33050" s="1">
        <v>0</v>
      </c>
      <c r="F33050" s="1">
        <v>4.44698551585977E-5</v>
      </c>
    </row>
    <row r="33051" spans="1:6" x14ac:dyDescent="0.25">
      <c r="A33051" s="2" t="str">
        <f t="shared" si="1178"/>
        <v>99999</v>
      </c>
      <c r="B33051" s="2" t="str">
        <f>"45650"</f>
        <v>45650</v>
      </c>
      <c r="C33051" s="1">
        <v>3.0558684789130797E-5</v>
      </c>
      <c r="D33051" s="1">
        <v>6.0704106936354696E-6</v>
      </c>
      <c r="E33051" s="1">
        <v>0</v>
      </c>
      <c r="F33051" s="1">
        <v>2.8253778221569901E-5</v>
      </c>
    </row>
    <row r="33052" spans="1:6" x14ac:dyDescent="0.25">
      <c r="A33052" s="2" t="str">
        <f t="shared" si="1178"/>
        <v>99999</v>
      </c>
      <c r="B33052" s="2" t="str">
        <f>"45848"</f>
        <v>45848</v>
      </c>
      <c r="C33052" s="1">
        <v>0</v>
      </c>
      <c r="D33052" s="1">
        <v>1.51760267340886E-6</v>
      </c>
      <c r="E33052" s="1">
        <v>0</v>
      </c>
      <c r="F33052" s="1">
        <v>9.9485134582992598E-8</v>
      </c>
    </row>
    <row r="33053" spans="1:6" x14ac:dyDescent="0.25">
      <c r="A33053" s="2" t="str">
        <f t="shared" si="1178"/>
        <v>99999</v>
      </c>
      <c r="B33053" s="2" t="str">
        <f>"45850"</f>
        <v>45850</v>
      </c>
      <c r="C33053" s="1">
        <v>1.4624513434798299E-5</v>
      </c>
      <c r="D33053" s="1">
        <v>0</v>
      </c>
      <c r="E33053" s="1">
        <v>0</v>
      </c>
      <c r="F33053" s="1">
        <v>1.3331008034121E-5</v>
      </c>
    </row>
    <row r="33054" spans="1:6" x14ac:dyDescent="0.25">
      <c r="A33054" s="2" t="str">
        <f t="shared" si="1178"/>
        <v>99999</v>
      </c>
      <c r="B33054" s="2" t="str">
        <f>"45779"</f>
        <v>45779</v>
      </c>
      <c r="C33054" s="1">
        <v>0</v>
      </c>
      <c r="D33054" s="1">
        <v>1.51760267340886E-6</v>
      </c>
      <c r="E33054" s="1">
        <v>0</v>
      </c>
      <c r="F33054" s="1">
        <v>9.9485134582992598E-8</v>
      </c>
    </row>
    <row r="33055" spans="1:6" x14ac:dyDescent="0.25">
      <c r="A33055" s="2" t="str">
        <f t="shared" si="1178"/>
        <v>99999</v>
      </c>
      <c r="B33055" s="2" t="str">
        <f>"45769"</f>
        <v>45769</v>
      </c>
      <c r="C33055" s="1">
        <v>3.8100131642448498E-4</v>
      </c>
      <c r="D33055" s="1">
        <v>5.4178415440696596E-4</v>
      </c>
      <c r="E33055" s="1">
        <v>2.1293145779828799E-4</v>
      </c>
      <c r="F33055" s="1">
        <v>3.87693569469922E-4</v>
      </c>
    </row>
    <row r="33056" spans="1:6" x14ac:dyDescent="0.25">
      <c r="A33056" s="2" t="str">
        <f t="shared" si="1178"/>
        <v>99999</v>
      </c>
      <c r="B33056" s="2" t="str">
        <f>"45807"</f>
        <v>45807</v>
      </c>
      <c r="C33056" s="1">
        <v>1.09138159961181E-7</v>
      </c>
      <c r="D33056" s="1">
        <v>0</v>
      </c>
      <c r="E33056" s="1">
        <v>0</v>
      </c>
      <c r="F33056" s="1">
        <v>9.9485134582992598E-8</v>
      </c>
    </row>
    <row r="33057" spans="1:6" x14ac:dyDescent="0.25">
      <c r="A33057" s="2" t="str">
        <f t="shared" si="1178"/>
        <v>99999</v>
      </c>
      <c r="B33057" s="2" t="str">
        <f>"45813"</f>
        <v>45813</v>
      </c>
      <c r="C33057" s="1">
        <v>1.53120838425537E-4</v>
      </c>
      <c r="D33057" s="1">
        <v>2.5799245447950699E-5</v>
      </c>
      <c r="E33057" s="1">
        <v>1.17329578786812E-4</v>
      </c>
      <c r="F33057" s="1">
        <v>1.4395498974158999E-4</v>
      </c>
    </row>
    <row r="33058" spans="1:6" x14ac:dyDescent="0.25">
      <c r="A33058" s="2" t="str">
        <f t="shared" si="1178"/>
        <v>99999</v>
      </c>
      <c r="B33058" s="2" t="str">
        <f>"45812"</f>
        <v>45812</v>
      </c>
      <c r="C33058" s="1">
        <v>7.8906889651934295E-5</v>
      </c>
      <c r="D33058" s="1">
        <v>2.1246437427724101E-5</v>
      </c>
      <c r="E33058" s="1">
        <v>3.0418779685469802E-5</v>
      </c>
      <c r="F33058" s="1">
        <v>7.4016940129746503E-5</v>
      </c>
    </row>
    <row r="33059" spans="1:6" x14ac:dyDescent="0.25">
      <c r="A33059" s="2" t="str">
        <f t="shared" si="1178"/>
        <v>99999</v>
      </c>
      <c r="B33059" s="2" t="str">
        <f>"45618"</f>
        <v>45618</v>
      </c>
      <c r="C33059" s="1">
        <v>0</v>
      </c>
      <c r="D33059" s="1">
        <v>1.51760267340886E-6</v>
      </c>
      <c r="E33059" s="1">
        <v>0</v>
      </c>
      <c r="F33059" s="1">
        <v>9.9485134582992598E-8</v>
      </c>
    </row>
    <row r="33060" spans="1:6" x14ac:dyDescent="0.25">
      <c r="A33060" s="2" t="str">
        <f t="shared" si="1178"/>
        <v>99999</v>
      </c>
      <c r="B33060" s="2" t="str">
        <f>"45746"</f>
        <v>45746</v>
      </c>
      <c r="C33060" s="1">
        <v>1.04772633562734E-5</v>
      </c>
      <c r="D33060" s="1">
        <v>0</v>
      </c>
      <c r="E33060" s="1">
        <v>0</v>
      </c>
      <c r="F33060" s="1">
        <v>9.5505729199672898E-6</v>
      </c>
    </row>
    <row r="33061" spans="1:6" x14ac:dyDescent="0.25">
      <c r="A33061" s="2" t="str">
        <f t="shared" si="1178"/>
        <v>99999</v>
      </c>
      <c r="B33061" s="2" t="str">
        <f>"45745"</f>
        <v>45745</v>
      </c>
      <c r="C33061" s="1">
        <v>2.9030750549674299E-5</v>
      </c>
      <c r="D33061" s="1">
        <v>6.0704106936354696E-6</v>
      </c>
      <c r="E33061" s="1">
        <v>0</v>
      </c>
      <c r="F33061" s="1">
        <v>2.6860986337408E-5</v>
      </c>
    </row>
    <row r="33062" spans="1:6" x14ac:dyDescent="0.25">
      <c r="A33062" s="2" t="str">
        <f t="shared" si="1178"/>
        <v>99999</v>
      </c>
      <c r="B33062" s="2" t="str">
        <f>"45347"</f>
        <v>45347</v>
      </c>
      <c r="C33062" s="1">
        <v>1.903369509723E-4</v>
      </c>
      <c r="D33062" s="1">
        <v>1.39619445953615E-4</v>
      </c>
      <c r="E33062" s="1">
        <v>9.1256339056409395E-5</v>
      </c>
      <c r="F33062" s="1">
        <v>1.8474389492061701E-4</v>
      </c>
    </row>
    <row r="33063" spans="1:6" x14ac:dyDescent="0.25">
      <c r="A33063" s="2" t="str">
        <f t="shared" si="1178"/>
        <v>99999</v>
      </c>
      <c r="B33063" s="2" t="str">
        <f>"45154"</f>
        <v>45154</v>
      </c>
      <c r="C33063" s="1">
        <v>2.7066263670372999E-5</v>
      </c>
      <c r="D33063" s="1">
        <v>6.0704106936354696E-6</v>
      </c>
      <c r="E33063" s="1">
        <v>0</v>
      </c>
      <c r="F33063" s="1">
        <v>2.5070253914914101E-5</v>
      </c>
    </row>
    <row r="33064" spans="1:6" x14ac:dyDescent="0.25">
      <c r="A33064" s="2" t="str">
        <f t="shared" si="1178"/>
        <v>99999</v>
      </c>
      <c r="B33064" s="2" t="str">
        <f>"44687"</f>
        <v>44687</v>
      </c>
      <c r="C33064" s="1">
        <v>0</v>
      </c>
      <c r="D33064" s="1">
        <v>0</v>
      </c>
      <c r="E33064" s="1">
        <v>4.3455399550671099E-6</v>
      </c>
      <c r="F33064" s="1">
        <v>9.9485134582992598E-8</v>
      </c>
    </row>
    <row r="33065" spans="1:6" x14ac:dyDescent="0.25">
      <c r="A33065" s="2" t="str">
        <f t="shared" si="1178"/>
        <v>99999</v>
      </c>
      <c r="B33065" s="2" t="str">
        <f>"44617"</f>
        <v>44617</v>
      </c>
      <c r="C33065" s="1">
        <v>0</v>
      </c>
      <c r="D33065" s="1">
        <v>0</v>
      </c>
      <c r="E33065" s="1">
        <v>4.3455399550671099E-6</v>
      </c>
      <c r="F33065" s="1">
        <v>9.9485134582992598E-8</v>
      </c>
    </row>
    <row r="33066" spans="1:6" x14ac:dyDescent="0.25">
      <c r="A33066" s="2" t="str">
        <f t="shared" si="1178"/>
        <v>99999</v>
      </c>
      <c r="B33066" s="2" t="str">
        <f>"43713"</f>
        <v>43713</v>
      </c>
      <c r="C33066" s="1">
        <v>1.09138159961181E-7</v>
      </c>
      <c r="D33066" s="1">
        <v>0</v>
      </c>
      <c r="E33066" s="1">
        <v>0</v>
      </c>
      <c r="F33066" s="1">
        <v>9.9485134582992598E-8</v>
      </c>
    </row>
    <row r="33067" spans="1:6" x14ac:dyDescent="0.25">
      <c r="A33067" s="2" t="str">
        <f t="shared" si="1178"/>
        <v>99999</v>
      </c>
      <c r="B33067" s="2" t="str">
        <f>"43716"</f>
        <v>43716</v>
      </c>
      <c r="C33067" s="1">
        <v>9.3967955726577404E-5</v>
      </c>
      <c r="D33067" s="1">
        <v>4.5528080202266E-5</v>
      </c>
      <c r="E33067" s="1">
        <v>1.7382159820268399E-5</v>
      </c>
      <c r="F33067" s="1">
        <v>8.9039195451778405E-5</v>
      </c>
    </row>
    <row r="33068" spans="1:6" x14ac:dyDescent="0.25">
      <c r="A33068" s="2" t="str">
        <f t="shared" si="1178"/>
        <v>99999</v>
      </c>
      <c r="B33068" s="2" t="str">
        <f>"43332"</f>
        <v>43332</v>
      </c>
      <c r="C33068" s="1">
        <v>8.7310527968945299E-6</v>
      </c>
      <c r="D33068" s="1">
        <v>1.51760267340886E-6</v>
      </c>
      <c r="E33068" s="1">
        <v>0</v>
      </c>
      <c r="F33068" s="1">
        <v>8.0582959012224002E-6</v>
      </c>
    </row>
    <row r="33069" spans="1:6" x14ac:dyDescent="0.25">
      <c r="A33069" s="2" t="str">
        <f t="shared" si="1178"/>
        <v>99999</v>
      </c>
      <c r="B33069" s="2" t="str">
        <f>"43316"</f>
        <v>43316</v>
      </c>
      <c r="C33069" s="1">
        <v>2.7273626174299299E-4</v>
      </c>
      <c r="D33069" s="1">
        <v>2.91379713294502E-4</v>
      </c>
      <c r="E33069" s="1">
        <v>2.1293145779828799E-4</v>
      </c>
      <c r="F33069" s="1">
        <v>2.7258926875739899E-4</v>
      </c>
    </row>
    <row r="33070" spans="1:6" x14ac:dyDescent="0.25">
      <c r="A33070" s="2" t="str">
        <f t="shared" si="1178"/>
        <v>99999</v>
      </c>
      <c r="B33070" s="2" t="str">
        <f>"43523"</f>
        <v>43523</v>
      </c>
      <c r="C33070" s="1">
        <v>1.09138159961181E-7</v>
      </c>
      <c r="D33070" s="1">
        <v>0</v>
      </c>
      <c r="E33070" s="1">
        <v>4.3455399550671099E-6</v>
      </c>
      <c r="F33070" s="1">
        <v>1.9897026916598501E-7</v>
      </c>
    </row>
    <row r="33071" spans="1:6" x14ac:dyDescent="0.25">
      <c r="A33071" s="2" t="str">
        <f t="shared" si="1178"/>
        <v>99999</v>
      </c>
      <c r="B33071" s="2" t="str">
        <f>"43548"</f>
        <v>43548</v>
      </c>
      <c r="C33071" s="1">
        <v>3.2195757188548602E-5</v>
      </c>
      <c r="D33071" s="1">
        <v>1.3658424060679801E-5</v>
      </c>
      <c r="E33071" s="1">
        <v>0</v>
      </c>
      <c r="F33071" s="1">
        <v>3.0243480913229702E-5</v>
      </c>
    </row>
    <row r="33072" spans="1:6" x14ac:dyDescent="0.25">
      <c r="A33072" s="2" t="str">
        <f t="shared" si="1178"/>
        <v>99999</v>
      </c>
      <c r="B33072" s="2" t="str">
        <f>"42720"</f>
        <v>42720</v>
      </c>
      <c r="C33072" s="1">
        <v>0</v>
      </c>
      <c r="D33072" s="1">
        <v>0</v>
      </c>
      <c r="E33072" s="1">
        <v>4.3455399550671099E-6</v>
      </c>
      <c r="F33072" s="1">
        <v>9.9485134582992598E-8</v>
      </c>
    </row>
    <row r="33073" spans="1:6" x14ac:dyDescent="0.25">
      <c r="A33073" s="2" t="str">
        <f t="shared" si="1178"/>
        <v>99999</v>
      </c>
      <c r="B33073" s="2" t="str">
        <f>"42635"</f>
        <v>42635</v>
      </c>
      <c r="C33073" s="1">
        <v>1.3227544987295199E-4</v>
      </c>
      <c r="D33073" s="1">
        <v>4.0975272182039399E-5</v>
      </c>
      <c r="E33073" s="1">
        <v>5.6492019415872502E-5</v>
      </c>
      <c r="F33073" s="1">
        <v>1.2455538849790601E-4</v>
      </c>
    </row>
    <row r="33074" spans="1:6" x14ac:dyDescent="0.25">
      <c r="A33074" s="2" t="str">
        <f t="shared" si="1178"/>
        <v>99999</v>
      </c>
      <c r="B33074" s="2" t="str">
        <f>"42764"</f>
        <v>42764</v>
      </c>
      <c r="C33074" s="1">
        <v>9.8224343965063504E-7</v>
      </c>
      <c r="D33074" s="1">
        <v>0</v>
      </c>
      <c r="E33074" s="1">
        <v>0</v>
      </c>
      <c r="F33074" s="1">
        <v>8.9536621124693305E-7</v>
      </c>
    </row>
    <row r="33075" spans="1:6" x14ac:dyDescent="0.25">
      <c r="A33075" s="2" t="str">
        <f t="shared" si="1178"/>
        <v>99999</v>
      </c>
      <c r="B33075" s="2" t="str">
        <f>"42762"</f>
        <v>42762</v>
      </c>
      <c r="C33075" s="1">
        <v>2.2373322792042201E-5</v>
      </c>
      <c r="D33075" s="1">
        <v>7.5880133670443404E-6</v>
      </c>
      <c r="E33075" s="1">
        <v>3.47643196405369E-5</v>
      </c>
      <c r="F33075" s="1">
        <v>2.16877593390923E-5</v>
      </c>
    </row>
    <row r="33076" spans="1:6" x14ac:dyDescent="0.25">
      <c r="A33076" s="2" t="str">
        <f t="shared" si="1178"/>
        <v>99999</v>
      </c>
      <c r="B33076" s="2" t="str">
        <f>"42759"</f>
        <v>42759</v>
      </c>
      <c r="C33076" s="1">
        <v>0</v>
      </c>
      <c r="D33076" s="1">
        <v>0</v>
      </c>
      <c r="E33076" s="1">
        <v>8.69107991013423E-6</v>
      </c>
      <c r="F33076" s="1">
        <v>1.9897026916598501E-7</v>
      </c>
    </row>
    <row r="33077" spans="1:6" x14ac:dyDescent="0.25">
      <c r="A33077" s="2" t="str">
        <f t="shared" si="1178"/>
        <v>99999</v>
      </c>
      <c r="B33077" s="2" t="str">
        <f>"42437"</f>
        <v>42437</v>
      </c>
      <c r="C33077" s="1">
        <v>3.5491729619376299E-4</v>
      </c>
      <c r="D33077" s="1">
        <v>5.0839689559197096E-4</v>
      </c>
      <c r="E33077" s="1">
        <v>2.6942347721416101E-4</v>
      </c>
      <c r="F33077" s="1">
        <v>3.6302125609333999E-4</v>
      </c>
    </row>
    <row r="33078" spans="1:6" x14ac:dyDescent="0.25">
      <c r="A33078" s="2" t="str">
        <f t="shared" si="1178"/>
        <v>99999</v>
      </c>
      <c r="B33078" s="2" t="str">
        <f>"42140"</f>
        <v>42140</v>
      </c>
      <c r="C33078" s="1">
        <v>7.1048942134729296E-5</v>
      </c>
      <c r="D33078" s="1">
        <v>5.6151298916128101E-5</v>
      </c>
      <c r="E33078" s="1">
        <v>4.3455399550671103E-5</v>
      </c>
      <c r="F33078" s="1">
        <v>6.9440623938928802E-5</v>
      </c>
    </row>
    <row r="33079" spans="1:6" x14ac:dyDescent="0.25">
      <c r="A33079" s="2" t="str">
        <f t="shared" si="1178"/>
        <v>99999</v>
      </c>
      <c r="B33079" s="2" t="str">
        <f>"42129"</f>
        <v>42129</v>
      </c>
      <c r="C33079" s="1">
        <v>1.7025552953944301E-5</v>
      </c>
      <c r="D33079" s="1">
        <v>0</v>
      </c>
      <c r="E33079" s="1">
        <v>0</v>
      </c>
      <c r="F33079" s="1">
        <v>1.5519680994946799E-5</v>
      </c>
    </row>
    <row r="33080" spans="1:6" x14ac:dyDescent="0.25">
      <c r="A33080" s="2" t="str">
        <f t="shared" si="1178"/>
        <v>99999</v>
      </c>
      <c r="B33080" s="2" t="str">
        <f>"42404"</f>
        <v>42404</v>
      </c>
      <c r="C33080" s="1">
        <v>1.20488528597144E-4</v>
      </c>
      <c r="D33080" s="1">
        <v>5.3116093569310399E-5</v>
      </c>
      <c r="E33080" s="1">
        <v>6.5183099326006705E-5</v>
      </c>
      <c r="F33080" s="1">
        <v>1.1480584530877299E-4</v>
      </c>
    </row>
    <row r="33081" spans="1:6" x14ac:dyDescent="0.25">
      <c r="A33081" s="2" t="str">
        <f t="shared" si="1178"/>
        <v>99999</v>
      </c>
      <c r="B33081" s="2" t="str">
        <f>"42361"</f>
        <v>42361</v>
      </c>
      <c r="C33081" s="1">
        <v>3.3505415108082699E-5</v>
      </c>
      <c r="D33081" s="1">
        <v>6.0704106936354696E-6</v>
      </c>
      <c r="E33081" s="1">
        <v>8.69107991013423E-6</v>
      </c>
      <c r="F33081" s="1">
        <v>3.1138847124476597E-5</v>
      </c>
    </row>
    <row r="33082" spans="1:6" x14ac:dyDescent="0.25">
      <c r="A33082" s="2" t="str">
        <f t="shared" si="1178"/>
        <v>99999</v>
      </c>
      <c r="B33082" s="2" t="str">
        <f>"42347"</f>
        <v>42347</v>
      </c>
      <c r="C33082" s="1">
        <v>3.1497272964796998E-4</v>
      </c>
      <c r="D33082" s="1">
        <v>3.73330257658581E-4</v>
      </c>
      <c r="E33082" s="1">
        <v>3.4764319640536898E-4</v>
      </c>
      <c r="F33082" s="1">
        <v>3.1954625228057201E-4</v>
      </c>
    </row>
    <row r="33083" spans="1:6" x14ac:dyDescent="0.25">
      <c r="A33083" s="2" t="str">
        <f t="shared" si="1178"/>
        <v>99999</v>
      </c>
      <c r="B33083" s="2" t="str">
        <f>"42276"</f>
        <v>42276</v>
      </c>
      <c r="C33083" s="1">
        <v>8.1111480483150205E-4</v>
      </c>
      <c r="D33083" s="1">
        <v>1.35521918735412E-3</v>
      </c>
      <c r="E33083" s="1">
        <v>5.4753803433845599E-4</v>
      </c>
      <c r="F33083" s="1">
        <v>8.4074887236086995E-4</v>
      </c>
    </row>
    <row r="33084" spans="1:6" x14ac:dyDescent="0.25">
      <c r="A33084" s="2" t="str">
        <f t="shared" si="1178"/>
        <v>99999</v>
      </c>
      <c r="B33084" s="2" t="str">
        <f>"42328"</f>
        <v>42328</v>
      </c>
      <c r="C33084" s="1">
        <v>6.41732380571748E-5</v>
      </c>
      <c r="D33084" s="1">
        <v>1.21408213872709E-5</v>
      </c>
      <c r="E33084" s="1">
        <v>3.47643196405369E-5</v>
      </c>
      <c r="F33084" s="1">
        <v>6.0089021288127497E-5</v>
      </c>
    </row>
    <row r="33085" spans="1:6" x14ac:dyDescent="0.25">
      <c r="A33085" s="2" t="str">
        <f t="shared" si="1178"/>
        <v>99999</v>
      </c>
      <c r="B33085" s="2" t="str">
        <f>"42320"</f>
        <v>42320</v>
      </c>
      <c r="C33085" s="1">
        <v>4.0195584313703199E-4</v>
      </c>
      <c r="D33085" s="1">
        <v>4.0671751647357698E-4</v>
      </c>
      <c r="E33085" s="1">
        <v>3.3895211649523501E-4</v>
      </c>
      <c r="F33085" s="1">
        <v>4.0082560723487702E-4</v>
      </c>
    </row>
    <row r="33086" spans="1:6" x14ac:dyDescent="0.25">
      <c r="A33086" s="2" t="str">
        <f t="shared" si="1178"/>
        <v>99999</v>
      </c>
      <c r="B33086" s="2" t="str">
        <f>"42211"</f>
        <v>42211</v>
      </c>
      <c r="C33086" s="1">
        <v>1.7462105593789001E-6</v>
      </c>
      <c r="D33086" s="1">
        <v>0</v>
      </c>
      <c r="E33086" s="1">
        <v>0</v>
      </c>
      <c r="F33086" s="1">
        <v>1.5917621533278801E-6</v>
      </c>
    </row>
    <row r="33087" spans="1:6" x14ac:dyDescent="0.25">
      <c r="A33087" s="2" t="str">
        <f t="shared" si="1178"/>
        <v>99999</v>
      </c>
      <c r="B33087" s="2" t="str">
        <f>"42045"</f>
        <v>42045</v>
      </c>
      <c r="C33087" s="1">
        <v>0</v>
      </c>
      <c r="D33087" s="1">
        <v>1.51760267340886E-6</v>
      </c>
      <c r="E33087" s="1">
        <v>0</v>
      </c>
      <c r="F33087" s="1">
        <v>9.9485134582992598E-8</v>
      </c>
    </row>
    <row r="33088" spans="1:6" x14ac:dyDescent="0.25">
      <c r="A33088" s="2" t="str">
        <f t="shared" si="1178"/>
        <v>99999</v>
      </c>
      <c r="B33088" s="2" t="str">
        <f>"41159"</f>
        <v>41159</v>
      </c>
      <c r="C33088" s="1">
        <v>2.9467303189519E-5</v>
      </c>
      <c r="D33088" s="1">
        <v>1.0623218713862E-5</v>
      </c>
      <c r="E33088" s="1">
        <v>4.3455399550671099E-6</v>
      </c>
      <c r="F33088" s="1">
        <v>2.76568674140719E-5</v>
      </c>
    </row>
    <row r="33089" spans="1:6" x14ac:dyDescent="0.25">
      <c r="A33089" s="2" t="str">
        <f t="shared" si="1178"/>
        <v>99999</v>
      </c>
      <c r="B33089" s="2" t="str">
        <f>"41132"</f>
        <v>41132</v>
      </c>
      <c r="C33089" s="1">
        <v>2.5101776791071799E-6</v>
      </c>
      <c r="D33089" s="1">
        <v>0</v>
      </c>
      <c r="E33089" s="1">
        <v>0</v>
      </c>
      <c r="F33089" s="1">
        <v>2.2881580954088299E-6</v>
      </c>
    </row>
    <row r="33090" spans="1:6" x14ac:dyDescent="0.25">
      <c r="A33090" s="2" t="str">
        <f t="shared" si="1178"/>
        <v>99999</v>
      </c>
      <c r="B33090" s="2" t="str">
        <f>"41778"</f>
        <v>41778</v>
      </c>
      <c r="C33090" s="1">
        <v>3.1650066388742701E-6</v>
      </c>
      <c r="D33090" s="1">
        <v>0</v>
      </c>
      <c r="E33090" s="1">
        <v>8.69107991013423E-6</v>
      </c>
      <c r="F33090" s="1">
        <v>3.0840391720727701E-6</v>
      </c>
    </row>
    <row r="33091" spans="1:6" x14ac:dyDescent="0.25">
      <c r="A33091" s="2" t="str">
        <f t="shared" si="1178"/>
        <v>99999</v>
      </c>
      <c r="B33091" s="2" t="str">
        <f>"41739"</f>
        <v>41739</v>
      </c>
      <c r="C33091" s="1">
        <v>5.1294935181755401E-6</v>
      </c>
      <c r="D33091" s="1">
        <v>0</v>
      </c>
      <c r="E33091" s="1">
        <v>4.3455399550671099E-6</v>
      </c>
      <c r="F33091" s="1">
        <v>4.7752864599836398E-6</v>
      </c>
    </row>
    <row r="33092" spans="1:6" x14ac:dyDescent="0.25">
      <c r="A33092" s="2" t="str">
        <f t="shared" si="1178"/>
        <v>99999</v>
      </c>
      <c r="B33092" s="2" t="str">
        <f>"41810"</f>
        <v>41810</v>
      </c>
      <c r="C33092" s="1">
        <v>5.4569079980590801E-7</v>
      </c>
      <c r="D33092" s="1">
        <v>0</v>
      </c>
      <c r="E33092" s="1">
        <v>4.3455399550671099E-6</v>
      </c>
      <c r="F33092" s="1">
        <v>5.9691080749795498E-7</v>
      </c>
    </row>
    <row r="33093" spans="1:6" x14ac:dyDescent="0.25">
      <c r="A33093" s="2" t="str">
        <f t="shared" si="1178"/>
        <v>99999</v>
      </c>
      <c r="B33093" s="2" t="str">
        <f>"41759"</f>
        <v>41759</v>
      </c>
      <c r="C33093" s="1">
        <v>2.19367701521975E-5</v>
      </c>
      <c r="D33093" s="1">
        <v>3.0352053468177301E-6</v>
      </c>
      <c r="E33093" s="1">
        <v>1.3036619865201299E-5</v>
      </c>
      <c r="F33093" s="1">
        <v>2.04939377240964E-5</v>
      </c>
    </row>
    <row r="33094" spans="1:6" x14ac:dyDescent="0.25">
      <c r="A33094" s="2" t="str">
        <f t="shared" si="1178"/>
        <v>99999</v>
      </c>
      <c r="B33094" s="2" t="str">
        <f>"41862"</f>
        <v>41862</v>
      </c>
      <c r="C33094" s="1">
        <v>3.5033349347539302E-5</v>
      </c>
      <c r="D33094" s="1">
        <v>3.0352053468177301E-6</v>
      </c>
      <c r="E33094" s="1">
        <v>3.0418779685469802E-5</v>
      </c>
      <c r="F33094" s="1">
        <v>3.2830094412387497E-5</v>
      </c>
    </row>
    <row r="33095" spans="1:6" x14ac:dyDescent="0.25">
      <c r="A33095" s="2" t="str">
        <f t="shared" si="1178"/>
        <v>99999</v>
      </c>
      <c r="B33095" s="2" t="str">
        <f>"41855"</f>
        <v>41855</v>
      </c>
      <c r="C33095" s="1">
        <v>2.2919013591848101E-5</v>
      </c>
      <c r="D33095" s="1">
        <v>0</v>
      </c>
      <c r="E33095" s="1">
        <v>1.3036619865201299E-5</v>
      </c>
      <c r="F33095" s="1">
        <v>2.1190333666177399E-5</v>
      </c>
    </row>
    <row r="33096" spans="1:6" x14ac:dyDescent="0.25">
      <c r="A33096" s="2" t="str">
        <f t="shared" si="1178"/>
        <v>99999</v>
      </c>
      <c r="B33096" s="2" t="str">
        <f>"41817"</f>
        <v>41817</v>
      </c>
      <c r="C33096" s="1">
        <v>1.7025552953944301E-5</v>
      </c>
      <c r="D33096" s="1">
        <v>0</v>
      </c>
      <c r="E33096" s="1">
        <v>8.69107991013423E-6</v>
      </c>
      <c r="F33096" s="1">
        <v>1.57186512641128E-5</v>
      </c>
    </row>
    <row r="33097" spans="1:6" x14ac:dyDescent="0.25">
      <c r="A33097" s="2" t="str">
        <f t="shared" si="1178"/>
        <v>99999</v>
      </c>
      <c r="B33097" s="2" t="str">
        <f>"41825"</f>
        <v>41825</v>
      </c>
      <c r="C33097" s="1">
        <v>1.93174543131291E-5</v>
      </c>
      <c r="D33097" s="1">
        <v>3.0352053468177301E-6</v>
      </c>
      <c r="E33097" s="1">
        <v>7.3874179236140894E-5</v>
      </c>
      <c r="F33097" s="1">
        <v>1.9499086378266499E-5</v>
      </c>
    </row>
    <row r="33098" spans="1:6" x14ac:dyDescent="0.25">
      <c r="A33098" s="2" t="str">
        <f t="shared" si="1178"/>
        <v>99999</v>
      </c>
      <c r="B33098" s="2" t="str">
        <f>"41861"</f>
        <v>41861</v>
      </c>
      <c r="C33098" s="1">
        <v>1.22234739156523E-5</v>
      </c>
      <c r="D33098" s="1">
        <v>0</v>
      </c>
      <c r="E33098" s="1">
        <v>4.3455399550671099E-6</v>
      </c>
      <c r="F33098" s="1">
        <v>1.12418202078781E-5</v>
      </c>
    </row>
    <row r="33099" spans="1:6" x14ac:dyDescent="0.25">
      <c r="A33099" s="2" t="str">
        <f t="shared" si="1178"/>
        <v>99999</v>
      </c>
      <c r="B33099" s="2" t="str">
        <f>"41849"</f>
        <v>41849</v>
      </c>
      <c r="C33099" s="1">
        <v>7.0939803974768102E-6</v>
      </c>
      <c r="D33099" s="1">
        <v>0</v>
      </c>
      <c r="E33099" s="1">
        <v>4.3455399550671099E-6</v>
      </c>
      <c r="F33099" s="1">
        <v>6.5660188824775097E-6</v>
      </c>
    </row>
    <row r="33100" spans="1:6" x14ac:dyDescent="0.25">
      <c r="A33100" s="2" t="str">
        <f t="shared" si="1178"/>
        <v>99999</v>
      </c>
      <c r="B33100" s="2" t="str">
        <f>"41777"</f>
        <v>41777</v>
      </c>
      <c r="C33100" s="1">
        <v>3.5033349347539302E-5</v>
      </c>
      <c r="D33100" s="1">
        <v>1.21408213872709E-5</v>
      </c>
      <c r="E33100" s="1">
        <v>2.1727699775335501E-5</v>
      </c>
      <c r="F33100" s="1">
        <v>3.3228034950719498E-5</v>
      </c>
    </row>
    <row r="33101" spans="1:6" x14ac:dyDescent="0.25">
      <c r="A33101" s="2" t="str">
        <f t="shared" si="1178"/>
        <v>99999</v>
      </c>
      <c r="B33101" s="2" t="str">
        <f>"41773"</f>
        <v>41773</v>
      </c>
      <c r="C33101" s="1">
        <v>4.1581638945210197E-5</v>
      </c>
      <c r="D33101" s="1">
        <v>3.0352053468177301E-6</v>
      </c>
      <c r="E33101" s="1">
        <v>6.0837559370939603E-5</v>
      </c>
      <c r="F33101" s="1">
        <v>3.9495598429447998E-5</v>
      </c>
    </row>
    <row r="33102" spans="1:6" x14ac:dyDescent="0.25">
      <c r="A33102" s="2" t="str">
        <f t="shared" si="1178"/>
        <v>99999</v>
      </c>
      <c r="B33102" s="2" t="str">
        <f>"41347"</f>
        <v>41347</v>
      </c>
      <c r="C33102" s="1">
        <v>0</v>
      </c>
      <c r="D33102" s="1">
        <v>0</v>
      </c>
      <c r="E33102" s="1">
        <v>4.3455399550671099E-6</v>
      </c>
      <c r="F33102" s="1">
        <v>9.9485134582992598E-8</v>
      </c>
    </row>
    <row r="33103" spans="1:6" x14ac:dyDescent="0.25">
      <c r="A33103" s="2" t="str">
        <f t="shared" si="1178"/>
        <v>99999</v>
      </c>
      <c r="B33103" s="2" t="str">
        <f>"41351"</f>
        <v>41351</v>
      </c>
      <c r="C33103" s="1">
        <v>4.3655263984472599E-6</v>
      </c>
      <c r="D33103" s="1">
        <v>0</v>
      </c>
      <c r="E33103" s="1">
        <v>4.3455399550671099E-6</v>
      </c>
      <c r="F33103" s="1">
        <v>4.07889051790269E-6</v>
      </c>
    </row>
    <row r="33104" spans="1:6" x14ac:dyDescent="0.25">
      <c r="A33104" s="2" t="str">
        <f t="shared" si="1178"/>
        <v>99999</v>
      </c>
      <c r="B33104" s="2" t="str">
        <f>"41348"</f>
        <v>41348</v>
      </c>
      <c r="C33104" s="1">
        <v>4.4855783744045598E-5</v>
      </c>
      <c r="D33104" s="1">
        <v>4.5528080202265997E-6</v>
      </c>
      <c r="E33104" s="1">
        <v>2.1727699775335501E-5</v>
      </c>
      <c r="F33104" s="1">
        <v>4.1684271390273897E-5</v>
      </c>
    </row>
    <row r="33105" spans="1:6" x14ac:dyDescent="0.25">
      <c r="A33105" s="2" t="str">
        <f t="shared" si="1178"/>
        <v>99999</v>
      </c>
      <c r="B33105" s="2" t="str">
        <f>"41534"</f>
        <v>41534</v>
      </c>
      <c r="C33105" s="1">
        <v>6.3300132777485401E-6</v>
      </c>
      <c r="D33105" s="1">
        <v>0</v>
      </c>
      <c r="E33105" s="1">
        <v>4.3455399550671099E-6</v>
      </c>
      <c r="F33105" s="1">
        <v>5.86962294039656E-6</v>
      </c>
    </row>
    <row r="33106" spans="1:6" x14ac:dyDescent="0.25">
      <c r="A33106" s="2" t="str">
        <f t="shared" ref="A33106:A33169" si="1179">"99999"</f>
        <v>99999</v>
      </c>
      <c r="B33106" s="2" t="str">
        <f>"41663"</f>
        <v>41663</v>
      </c>
      <c r="C33106" s="1">
        <v>1.6370723994177199E-5</v>
      </c>
      <c r="D33106" s="1">
        <v>0</v>
      </c>
      <c r="E33106" s="1">
        <v>4.3455399550671099E-6</v>
      </c>
      <c r="F33106" s="1">
        <v>1.50222553220318E-5</v>
      </c>
    </row>
    <row r="33107" spans="1:6" x14ac:dyDescent="0.25">
      <c r="A33107" s="2" t="str">
        <f t="shared" si="1179"/>
        <v>99999</v>
      </c>
      <c r="B33107" s="2" t="str">
        <f>"41712"</f>
        <v>41712</v>
      </c>
      <c r="C33107" s="1">
        <v>1.36422699951477E-5</v>
      </c>
      <c r="D33107" s="1">
        <v>1.51760267340886E-6</v>
      </c>
      <c r="E33107" s="1">
        <v>4.3455399550671099E-6</v>
      </c>
      <c r="F33107" s="1">
        <v>1.263461209204E-5</v>
      </c>
    </row>
    <row r="33108" spans="1:6" x14ac:dyDescent="0.25">
      <c r="A33108" s="2" t="str">
        <f t="shared" si="1179"/>
        <v>99999</v>
      </c>
      <c r="B33108" s="2" t="str">
        <f>"41519"</f>
        <v>41519</v>
      </c>
      <c r="C33108" s="1">
        <v>4.2345606064938499E-5</v>
      </c>
      <c r="D33108" s="1">
        <v>0</v>
      </c>
      <c r="E33108" s="1">
        <v>4.3455399550671099E-6</v>
      </c>
      <c r="F33108" s="1">
        <v>3.8699717352784098E-5</v>
      </c>
    </row>
    <row r="33109" spans="1:6" x14ac:dyDescent="0.25">
      <c r="A33109" s="2" t="str">
        <f t="shared" si="1179"/>
        <v>99999</v>
      </c>
      <c r="B33109" s="2" t="str">
        <f>"41554"</f>
        <v>41554</v>
      </c>
      <c r="C33109" s="1">
        <v>3.4924211187578099E-5</v>
      </c>
      <c r="D33109" s="1">
        <v>1.51760267340886E-6</v>
      </c>
      <c r="E33109" s="1">
        <v>8.69107991013423E-5</v>
      </c>
      <c r="F33109" s="1">
        <v>3.3924430892800399E-5</v>
      </c>
    </row>
    <row r="33110" spans="1:6" x14ac:dyDescent="0.25">
      <c r="A33110" s="2" t="str">
        <f t="shared" si="1179"/>
        <v>99999</v>
      </c>
      <c r="B33110" s="2" t="str">
        <f>"41721"</f>
        <v>41721</v>
      </c>
      <c r="C33110" s="1">
        <v>4.1145086305365503E-5</v>
      </c>
      <c r="D33110" s="1">
        <v>1.8211232080906399E-5</v>
      </c>
      <c r="E33110" s="1">
        <v>4.3455399550671099E-6</v>
      </c>
      <c r="F33110" s="1">
        <v>3.8799202487367103E-5</v>
      </c>
    </row>
    <row r="33111" spans="1:6" x14ac:dyDescent="0.25">
      <c r="A33111" s="2" t="str">
        <f t="shared" si="1179"/>
        <v>99999</v>
      </c>
      <c r="B33111" s="2" t="str">
        <f>"41666"</f>
        <v>41666</v>
      </c>
      <c r="C33111" s="1">
        <v>2.8812474229751901E-5</v>
      </c>
      <c r="D33111" s="1">
        <v>1.51760267340886E-6</v>
      </c>
      <c r="E33111" s="1">
        <v>2.60732397304027E-5</v>
      </c>
      <c r="F33111" s="1">
        <v>2.6960471471991001E-5</v>
      </c>
    </row>
    <row r="33112" spans="1:6" x14ac:dyDescent="0.25">
      <c r="A33112" s="2" t="str">
        <f t="shared" si="1179"/>
        <v>99999</v>
      </c>
      <c r="B33112" s="2" t="str">
        <f>"41653"</f>
        <v>41653</v>
      </c>
      <c r="C33112" s="1">
        <v>6.18595090659978E-4</v>
      </c>
      <c r="D33112" s="1">
        <v>1.08812111683415E-3</v>
      </c>
      <c r="E33112" s="1">
        <v>1.6121953233299E-3</v>
      </c>
      <c r="F33112" s="1">
        <v>6.7212156924269803E-4</v>
      </c>
    </row>
    <row r="33113" spans="1:6" x14ac:dyDescent="0.25">
      <c r="A33113" s="2" t="str">
        <f t="shared" si="1179"/>
        <v>99999</v>
      </c>
      <c r="B33113" s="2" t="str">
        <f>"41631"</f>
        <v>41631</v>
      </c>
      <c r="C33113" s="1">
        <v>4.0490257345598397E-5</v>
      </c>
      <c r="D33113" s="1">
        <v>2.5799245447950699E-5</v>
      </c>
      <c r="E33113" s="1">
        <v>8.69107991013423E-6</v>
      </c>
      <c r="F33113" s="1">
        <v>3.8799202487367103E-5</v>
      </c>
    </row>
    <row r="33114" spans="1:6" x14ac:dyDescent="0.25">
      <c r="A33114" s="2" t="str">
        <f t="shared" si="1179"/>
        <v>99999</v>
      </c>
      <c r="B33114" s="2" t="str">
        <f>"41557"</f>
        <v>41557</v>
      </c>
      <c r="C33114" s="1">
        <v>8.6546560849217106E-5</v>
      </c>
      <c r="D33114" s="1">
        <v>6.0704106936354696E-6</v>
      </c>
      <c r="E33114" s="1">
        <v>3.0418779685469802E-5</v>
      </c>
      <c r="F33114" s="1">
        <v>7.9986048204725994E-5</v>
      </c>
    </row>
    <row r="33115" spans="1:6" x14ac:dyDescent="0.25">
      <c r="A33115" s="2" t="str">
        <f t="shared" si="1179"/>
        <v>99999</v>
      </c>
      <c r="B33115" s="2" t="str">
        <f>"41514"</f>
        <v>41514</v>
      </c>
      <c r="C33115" s="1">
        <v>1.7145604929901599E-4</v>
      </c>
      <c r="D33115" s="1">
        <v>9.7126571098167595E-5</v>
      </c>
      <c r="E33115" s="1">
        <v>1.39057278562147E-4</v>
      </c>
      <c r="F33115" s="1">
        <v>1.6584171934984801E-4</v>
      </c>
    </row>
    <row r="33116" spans="1:6" x14ac:dyDescent="0.25">
      <c r="A33116" s="2" t="str">
        <f t="shared" si="1179"/>
        <v>99999</v>
      </c>
      <c r="B33116" s="2" t="str">
        <f>"41502"</f>
        <v>41502</v>
      </c>
      <c r="C33116" s="1">
        <v>2.66406248465244E-4</v>
      </c>
      <c r="D33116" s="1">
        <v>5.5847778381446303E-4</v>
      </c>
      <c r="E33116" s="1">
        <v>1.3036619865201299E-5</v>
      </c>
      <c r="F33116" s="1">
        <v>2.7975219844737499E-4</v>
      </c>
    </row>
    <row r="33117" spans="1:6" x14ac:dyDescent="0.25">
      <c r="A33117" s="2" t="str">
        <f t="shared" si="1179"/>
        <v>99999</v>
      </c>
      <c r="B33117" s="2" t="str">
        <f>"41049"</f>
        <v>41049</v>
      </c>
      <c r="C33117" s="1">
        <v>1.30856653793456E-4</v>
      </c>
      <c r="D33117" s="1">
        <v>2.2764040101133E-5</v>
      </c>
      <c r="E33117" s="1">
        <v>2.60732397304027E-5</v>
      </c>
      <c r="F33117" s="1">
        <v>1.21371864191251E-4</v>
      </c>
    </row>
    <row r="33118" spans="1:6" x14ac:dyDescent="0.25">
      <c r="A33118" s="2" t="str">
        <f t="shared" si="1179"/>
        <v>99999</v>
      </c>
      <c r="B33118" s="2" t="str">
        <f>"41214"</f>
        <v>41214</v>
      </c>
      <c r="C33118" s="1">
        <v>3.4815073027616897E-5</v>
      </c>
      <c r="D33118" s="1">
        <v>2.7316848121359601E-5</v>
      </c>
      <c r="E33118" s="1">
        <v>6.0837559370939603E-5</v>
      </c>
      <c r="F33118" s="1">
        <v>3.4919282238630398E-5</v>
      </c>
    </row>
    <row r="33119" spans="1:6" x14ac:dyDescent="0.25">
      <c r="A33119" s="2" t="str">
        <f t="shared" si="1179"/>
        <v>99999</v>
      </c>
      <c r="B33119" s="2" t="str">
        <f>"41035"</f>
        <v>41035</v>
      </c>
      <c r="C33119" s="1">
        <v>3.3832829587966299E-6</v>
      </c>
      <c r="D33119" s="1">
        <v>0</v>
      </c>
      <c r="E33119" s="1">
        <v>4.3455399550671099E-6</v>
      </c>
      <c r="F33119" s="1">
        <v>3.1835243066557602E-6</v>
      </c>
    </row>
    <row r="33120" spans="1:6" x14ac:dyDescent="0.25">
      <c r="A33120" s="2" t="str">
        <f t="shared" si="1179"/>
        <v>99999</v>
      </c>
      <c r="B33120" s="2" t="str">
        <f>"41039"</f>
        <v>41039</v>
      </c>
      <c r="C33120" s="1">
        <v>1.6250672018219901E-4</v>
      </c>
      <c r="D33120" s="1">
        <v>5.7668901589537E-5</v>
      </c>
      <c r="E33120" s="1">
        <v>1.3036619865201299E-5</v>
      </c>
      <c r="F33120" s="1">
        <v>1.5221225591197801E-4</v>
      </c>
    </row>
    <row r="33121" spans="1:6" x14ac:dyDescent="0.25">
      <c r="A33121" s="2" t="str">
        <f t="shared" si="1179"/>
        <v>99999</v>
      </c>
      <c r="B33121" s="2" t="str">
        <f>"40492"</f>
        <v>40492</v>
      </c>
      <c r="C33121" s="1">
        <v>0</v>
      </c>
      <c r="D33121" s="1">
        <v>0</v>
      </c>
      <c r="E33121" s="1">
        <v>4.3455399550671099E-6</v>
      </c>
      <c r="F33121" s="1">
        <v>9.9485134582992598E-8</v>
      </c>
    </row>
    <row r="33122" spans="1:6" x14ac:dyDescent="0.25">
      <c r="A33122" s="2" t="str">
        <f t="shared" si="1179"/>
        <v>99999</v>
      </c>
      <c r="B33122" s="2" t="str">
        <f>"40843"</f>
        <v>40843</v>
      </c>
      <c r="C33122" s="1">
        <v>8.8401909568557204E-6</v>
      </c>
      <c r="D33122" s="1">
        <v>3.0352053468177301E-6</v>
      </c>
      <c r="E33122" s="1">
        <v>8.69107991013423E-6</v>
      </c>
      <c r="F33122" s="1">
        <v>8.4562364395543705E-6</v>
      </c>
    </row>
    <row r="33123" spans="1:6" x14ac:dyDescent="0.25">
      <c r="A33123" s="2" t="str">
        <f t="shared" si="1179"/>
        <v>99999</v>
      </c>
      <c r="B33123" s="2" t="str">
        <f>"40827"</f>
        <v>40827</v>
      </c>
      <c r="C33123" s="1">
        <v>1.5279342394565399E-5</v>
      </c>
      <c r="D33123" s="1">
        <v>0</v>
      </c>
      <c r="E33123" s="1">
        <v>8.69107991013423E-6</v>
      </c>
      <c r="F33123" s="1">
        <v>1.41268891107849E-5</v>
      </c>
    </row>
    <row r="33124" spans="1:6" x14ac:dyDescent="0.25">
      <c r="A33124" s="2" t="str">
        <f t="shared" si="1179"/>
        <v>99999</v>
      </c>
      <c r="B33124" s="2" t="str">
        <f>"40840"</f>
        <v>40840</v>
      </c>
      <c r="C33124" s="1">
        <v>2.02996977527798E-5</v>
      </c>
      <c r="D33124" s="1">
        <v>4.5528080202265997E-6</v>
      </c>
      <c r="E33124" s="1">
        <v>1.3036619865201299E-5</v>
      </c>
      <c r="F33124" s="1">
        <v>1.9101145839934498E-5</v>
      </c>
    </row>
    <row r="33125" spans="1:6" x14ac:dyDescent="0.25">
      <c r="A33125" s="2" t="str">
        <f t="shared" si="1179"/>
        <v>99999</v>
      </c>
      <c r="B33125" s="2" t="str">
        <f>"40820"</f>
        <v>40820</v>
      </c>
      <c r="C33125" s="1">
        <v>1.3751408155108801E-5</v>
      </c>
      <c r="D33125" s="1">
        <v>0</v>
      </c>
      <c r="E33125" s="1">
        <v>4.3455399550671099E-6</v>
      </c>
      <c r="F33125" s="1">
        <v>1.263461209204E-5</v>
      </c>
    </row>
    <row r="33126" spans="1:6" x14ac:dyDescent="0.25">
      <c r="A33126" s="2" t="str">
        <f t="shared" si="1179"/>
        <v>99999</v>
      </c>
      <c r="B33126" s="2" t="str">
        <f>"40863"</f>
        <v>40863</v>
      </c>
      <c r="C33126" s="1">
        <v>2.2045908312158699E-5</v>
      </c>
      <c r="D33126" s="1">
        <v>6.0704106936354696E-6</v>
      </c>
      <c r="E33126" s="1">
        <v>1.3036619865201299E-5</v>
      </c>
      <c r="F33126" s="1">
        <v>2.0792393127845399E-5</v>
      </c>
    </row>
    <row r="33127" spans="1:6" x14ac:dyDescent="0.25">
      <c r="A33127" s="2" t="str">
        <f t="shared" si="1179"/>
        <v>99999</v>
      </c>
      <c r="B33127" s="2" t="str">
        <f>"40816"</f>
        <v>40816</v>
      </c>
      <c r="C33127" s="1">
        <v>2.7284539990295402E-6</v>
      </c>
      <c r="D33127" s="1">
        <v>1.51760267340886E-6</v>
      </c>
      <c r="E33127" s="1">
        <v>3.47643196405369E-5</v>
      </c>
      <c r="F33127" s="1">
        <v>3.3824945758217398E-6</v>
      </c>
    </row>
    <row r="33128" spans="1:6" x14ac:dyDescent="0.25">
      <c r="A33128" s="2" t="str">
        <f t="shared" si="1179"/>
        <v>99999</v>
      </c>
      <c r="B33128" s="2" t="str">
        <f>"40437"</f>
        <v>40437</v>
      </c>
      <c r="C33128" s="1">
        <v>5.6424428699930902E-5</v>
      </c>
      <c r="D33128" s="1">
        <v>1.5176026734088599E-5</v>
      </c>
      <c r="E33128" s="1">
        <v>1.3036619865201299E-5</v>
      </c>
      <c r="F33128" s="1">
        <v>5.2727121328986E-5</v>
      </c>
    </row>
    <row r="33129" spans="1:6" x14ac:dyDescent="0.25">
      <c r="A33129" s="2" t="str">
        <f t="shared" si="1179"/>
        <v>99999</v>
      </c>
      <c r="B33129" s="2" t="str">
        <f>"40461"</f>
        <v>40461</v>
      </c>
      <c r="C33129" s="1">
        <v>6.9630146055233902E-5</v>
      </c>
      <c r="D33129" s="1">
        <v>3.7940066835221703E-5</v>
      </c>
      <c r="E33129" s="1">
        <v>4.3455399550671099E-6</v>
      </c>
      <c r="F33129" s="1">
        <v>6.6058129363107097E-5</v>
      </c>
    </row>
    <row r="33130" spans="1:6" x14ac:dyDescent="0.25">
      <c r="A33130" s="2" t="str">
        <f t="shared" si="1179"/>
        <v>99999</v>
      </c>
      <c r="B33130" s="2" t="str">
        <f>"40460"</f>
        <v>40460</v>
      </c>
      <c r="C33130" s="1">
        <v>5.2495454941328402E-5</v>
      </c>
      <c r="D33130" s="1">
        <v>3.0352053468177301E-6</v>
      </c>
      <c r="E33130" s="1">
        <v>4.3455399550671099E-6</v>
      </c>
      <c r="F33130" s="1">
        <v>4.8150805138168401E-5</v>
      </c>
    </row>
    <row r="33131" spans="1:6" x14ac:dyDescent="0.25">
      <c r="A33131" s="2" t="str">
        <f t="shared" si="1179"/>
        <v>99999</v>
      </c>
      <c r="B33131" s="2" t="str">
        <f>"40371"</f>
        <v>40371</v>
      </c>
      <c r="C33131" s="1">
        <v>7.63967119728272E-7</v>
      </c>
      <c r="D33131" s="1">
        <v>1.51760267340886E-6</v>
      </c>
      <c r="E33131" s="1">
        <v>4.3455399550671099E-6</v>
      </c>
      <c r="F33131" s="1">
        <v>8.9536621124693305E-7</v>
      </c>
    </row>
    <row r="33132" spans="1:6" x14ac:dyDescent="0.25">
      <c r="A33132" s="2" t="str">
        <f t="shared" si="1179"/>
        <v>99999</v>
      </c>
      <c r="B33132" s="2" t="str">
        <f>"40361"</f>
        <v>40361</v>
      </c>
      <c r="C33132" s="1">
        <v>2.07362503926245E-6</v>
      </c>
      <c r="D33132" s="1">
        <v>0</v>
      </c>
      <c r="E33132" s="1">
        <v>0</v>
      </c>
      <c r="F33132" s="1">
        <v>1.89021755707686E-6</v>
      </c>
    </row>
    <row r="33133" spans="1:6" x14ac:dyDescent="0.25">
      <c r="A33133" s="2" t="str">
        <f t="shared" si="1179"/>
        <v>99999</v>
      </c>
      <c r="B33133" s="2" t="str">
        <f>"40359"</f>
        <v>40359</v>
      </c>
      <c r="C33133" s="1">
        <v>4.1145086305365502E-4</v>
      </c>
      <c r="D33133" s="1">
        <v>3.1414375339563501E-4</v>
      </c>
      <c r="E33133" s="1">
        <v>6.0403005375432898E-4</v>
      </c>
      <c r="F33133" s="1">
        <v>4.0948081394359697E-4</v>
      </c>
    </row>
    <row r="33134" spans="1:6" x14ac:dyDescent="0.25">
      <c r="A33134" s="2" t="str">
        <f t="shared" si="1179"/>
        <v>99999</v>
      </c>
      <c r="B33134" s="2" t="str">
        <f>"40350"</f>
        <v>40350</v>
      </c>
      <c r="C33134" s="1">
        <v>1.6261585834216E-5</v>
      </c>
      <c r="D33134" s="1">
        <v>1.51760267340886E-6</v>
      </c>
      <c r="E33134" s="1">
        <v>4.3455399550671099E-6</v>
      </c>
      <c r="F33134" s="1">
        <v>1.50222553220318E-5</v>
      </c>
    </row>
    <row r="33135" spans="1:6" x14ac:dyDescent="0.25">
      <c r="A33135" s="2" t="str">
        <f t="shared" si="1179"/>
        <v>99999</v>
      </c>
      <c r="B33135" s="2" t="str">
        <f>"40311"</f>
        <v>40311</v>
      </c>
      <c r="C33135" s="1">
        <v>3.8089217826452399E-4</v>
      </c>
      <c r="D33135" s="1">
        <v>2.8986211062109399E-4</v>
      </c>
      <c r="E33135" s="1">
        <v>3.0853333680976502E-4</v>
      </c>
      <c r="F33135" s="1">
        <v>3.7326822495538798E-4</v>
      </c>
    </row>
    <row r="33136" spans="1:6" x14ac:dyDescent="0.25">
      <c r="A33136" s="2" t="str">
        <f t="shared" si="1179"/>
        <v>99999</v>
      </c>
      <c r="B33136" s="2" t="str">
        <f>"40171"</f>
        <v>40171</v>
      </c>
      <c r="C33136" s="1">
        <v>1.51702042346042E-5</v>
      </c>
      <c r="D33136" s="1">
        <v>1.51760267340886E-6</v>
      </c>
      <c r="E33136" s="1">
        <v>3.9109859595604001E-5</v>
      </c>
      <c r="F33136" s="1">
        <v>1.4823285052865899E-5</v>
      </c>
    </row>
    <row r="33137" spans="1:6" x14ac:dyDescent="0.25">
      <c r="A33137" s="2" t="str">
        <f t="shared" si="1179"/>
        <v>99999</v>
      </c>
      <c r="B33137" s="2" t="str">
        <f>"40178"</f>
        <v>40178</v>
      </c>
      <c r="C33137" s="1">
        <v>3.4269382227811E-5</v>
      </c>
      <c r="D33137" s="1">
        <v>4.5528080202265997E-6</v>
      </c>
      <c r="E33137" s="1">
        <v>4.7800939505738197E-5</v>
      </c>
      <c r="F33137" s="1">
        <v>3.26311241432215E-5</v>
      </c>
    </row>
    <row r="33138" spans="1:6" x14ac:dyDescent="0.25">
      <c r="A33138" s="2" t="str">
        <f t="shared" si="1179"/>
        <v>99999</v>
      </c>
      <c r="B33138" s="2" t="str">
        <f>"39743"</f>
        <v>39743</v>
      </c>
      <c r="C33138" s="1">
        <v>1.7462105593789001E-6</v>
      </c>
      <c r="D33138" s="1">
        <v>0</v>
      </c>
      <c r="E33138" s="1">
        <v>0</v>
      </c>
      <c r="F33138" s="1">
        <v>1.5917621533278801E-6</v>
      </c>
    </row>
    <row r="33139" spans="1:6" x14ac:dyDescent="0.25">
      <c r="A33139" s="2" t="str">
        <f t="shared" si="1179"/>
        <v>99999</v>
      </c>
      <c r="B33139" s="2" t="str">
        <f>"39669"</f>
        <v>39669</v>
      </c>
      <c r="C33139" s="1">
        <v>2.10200096085236E-4</v>
      </c>
      <c r="D33139" s="1">
        <v>1.09267392485438E-4</v>
      </c>
      <c r="E33139" s="1">
        <v>1.7382159820268399E-5</v>
      </c>
      <c r="F33139" s="1">
        <v>1.99169239435151E-4</v>
      </c>
    </row>
    <row r="33140" spans="1:6" x14ac:dyDescent="0.25">
      <c r="A33140" s="2" t="str">
        <f t="shared" si="1179"/>
        <v>99999</v>
      </c>
      <c r="B33140" s="2" t="str">
        <f>"39664"</f>
        <v>39664</v>
      </c>
      <c r="C33140" s="1">
        <v>1.31729759073146E-4</v>
      </c>
      <c r="D33140" s="1">
        <v>3.6422464161812797E-5</v>
      </c>
      <c r="E33140" s="1">
        <v>4.3455399550671099E-6</v>
      </c>
      <c r="F33140" s="1">
        <v>1.2256568580624601E-4</v>
      </c>
    </row>
    <row r="33141" spans="1:6" x14ac:dyDescent="0.25">
      <c r="A33141" s="2" t="str">
        <f t="shared" si="1179"/>
        <v>99999</v>
      </c>
      <c r="B33141" s="2" t="str">
        <f>"39652"</f>
        <v>39652</v>
      </c>
      <c r="C33141" s="1">
        <v>5.88254682190769E-5</v>
      </c>
      <c r="D33141" s="1">
        <v>3.0352053468177301E-6</v>
      </c>
      <c r="E33141" s="1">
        <v>0</v>
      </c>
      <c r="F33141" s="1">
        <v>5.3821457809398998E-5</v>
      </c>
    </row>
    <row r="33142" spans="1:6" x14ac:dyDescent="0.25">
      <c r="A33142" s="2" t="str">
        <f t="shared" si="1179"/>
        <v>99999</v>
      </c>
      <c r="B33142" s="2" t="str">
        <f>"39829"</f>
        <v>39829</v>
      </c>
      <c r="C33142" s="1">
        <v>0</v>
      </c>
      <c r="D33142" s="1">
        <v>1.51760267340886E-6</v>
      </c>
      <c r="E33142" s="1">
        <v>0</v>
      </c>
      <c r="F33142" s="1">
        <v>9.9485134582992598E-8</v>
      </c>
    </row>
    <row r="33143" spans="1:6" x14ac:dyDescent="0.25">
      <c r="A33143" s="2" t="str">
        <f t="shared" si="1179"/>
        <v>99999</v>
      </c>
      <c r="B33143" s="2" t="str">
        <f>"39837"</f>
        <v>39837</v>
      </c>
      <c r="C33143" s="1">
        <v>3.4967866451562598E-4</v>
      </c>
      <c r="D33143" s="1">
        <v>5.4785456510060104E-4</v>
      </c>
      <c r="E33143" s="1">
        <v>2.6507793725909402E-4</v>
      </c>
      <c r="F33143" s="1">
        <v>3.6073309799793102E-4</v>
      </c>
    </row>
    <row r="33144" spans="1:6" x14ac:dyDescent="0.25">
      <c r="A33144" s="2" t="str">
        <f t="shared" si="1179"/>
        <v>99999</v>
      </c>
      <c r="B33144" s="2" t="str">
        <f>"39643"</f>
        <v>39643</v>
      </c>
      <c r="C33144" s="1">
        <v>8.9275014848246603E-5</v>
      </c>
      <c r="D33144" s="1">
        <v>6.2221709609763595E-5</v>
      </c>
      <c r="E33144" s="1">
        <v>1.7382159820268399E-5</v>
      </c>
      <c r="F33144" s="1">
        <v>8.5855671145122601E-5</v>
      </c>
    </row>
    <row r="33145" spans="1:6" x14ac:dyDescent="0.25">
      <c r="A33145" s="2" t="str">
        <f t="shared" si="1179"/>
        <v>99999</v>
      </c>
      <c r="B33145" s="2" t="str">
        <f>"39631"</f>
        <v>39631</v>
      </c>
      <c r="C33145" s="1">
        <v>1.4177046978957499E-4</v>
      </c>
      <c r="D33145" s="1">
        <v>1.12302597832256E-4</v>
      </c>
      <c r="E33145" s="1">
        <v>3.9109859595604001E-5</v>
      </c>
      <c r="F33145" s="1">
        <v>1.3748845599369499E-4</v>
      </c>
    </row>
    <row r="33146" spans="1:6" x14ac:dyDescent="0.25">
      <c r="A33146" s="2" t="str">
        <f t="shared" si="1179"/>
        <v>99999</v>
      </c>
      <c r="B33146" s="2" t="str">
        <f>"39751"</f>
        <v>39751</v>
      </c>
      <c r="C33146" s="1">
        <v>2.6193158390683598E-6</v>
      </c>
      <c r="D33146" s="1">
        <v>1.51760267340886E-6</v>
      </c>
      <c r="E33146" s="1">
        <v>0</v>
      </c>
      <c r="F33146" s="1">
        <v>2.48712836457481E-6</v>
      </c>
    </row>
    <row r="33147" spans="1:6" x14ac:dyDescent="0.25">
      <c r="A33147" s="2" t="str">
        <f t="shared" si="1179"/>
        <v>99999</v>
      </c>
      <c r="B33147" s="2" t="str">
        <f>"39439"</f>
        <v>39439</v>
      </c>
      <c r="C33147" s="1">
        <v>6.3300132777485401E-6</v>
      </c>
      <c r="D33147" s="1">
        <v>4.5528080202265997E-6</v>
      </c>
      <c r="E33147" s="1">
        <v>0</v>
      </c>
      <c r="F33147" s="1">
        <v>6.0685932095625502E-6</v>
      </c>
    </row>
    <row r="33148" spans="1:6" x14ac:dyDescent="0.25">
      <c r="A33148" s="2" t="str">
        <f t="shared" si="1179"/>
        <v>99999</v>
      </c>
      <c r="B33148" s="2" t="str">
        <f>"39483"</f>
        <v>39483</v>
      </c>
      <c r="C33148" s="1">
        <v>4.3513384376523101E-4</v>
      </c>
      <c r="D33148" s="1">
        <v>2.15499579624059E-4</v>
      </c>
      <c r="E33148" s="1">
        <v>3.47643196405369E-5</v>
      </c>
      <c r="F33148" s="1">
        <v>4.1157000176984002E-4</v>
      </c>
    </row>
    <row r="33149" spans="1:6" x14ac:dyDescent="0.25">
      <c r="A33149" s="2" t="str">
        <f t="shared" si="1179"/>
        <v>99999</v>
      </c>
      <c r="B33149" s="2" t="str">
        <f>"39359"</f>
        <v>39359</v>
      </c>
      <c r="C33149" s="1">
        <v>2.1827631992236301E-7</v>
      </c>
      <c r="D33149" s="1">
        <v>3.0352053468177301E-6</v>
      </c>
      <c r="E33149" s="1">
        <v>0</v>
      </c>
      <c r="F33149" s="1">
        <v>3.9794053833197002E-7</v>
      </c>
    </row>
    <row r="33150" spans="1:6" x14ac:dyDescent="0.25">
      <c r="A33150" s="2" t="str">
        <f t="shared" si="1179"/>
        <v>99999</v>
      </c>
      <c r="B33150" s="2" t="str">
        <f>"39362"</f>
        <v>39362</v>
      </c>
      <c r="C33150" s="1">
        <v>1.51047213386275E-4</v>
      </c>
      <c r="D33150" s="1">
        <v>5.9186504262945899E-5</v>
      </c>
      <c r="E33150" s="1">
        <v>2.1727699775335501E-5</v>
      </c>
      <c r="F33150" s="1">
        <v>1.4206477218451299E-4</v>
      </c>
    </row>
    <row r="33151" spans="1:6" x14ac:dyDescent="0.25">
      <c r="A33151" s="2" t="str">
        <f t="shared" si="1179"/>
        <v>99999</v>
      </c>
      <c r="B33151" s="2" t="str">
        <f>"39324"</f>
        <v>39324</v>
      </c>
      <c r="C33151" s="1">
        <v>0</v>
      </c>
      <c r="D33151" s="1">
        <v>1.51760267340886E-6</v>
      </c>
      <c r="E33151" s="1">
        <v>0</v>
      </c>
      <c r="F33151" s="1">
        <v>9.9485134582992598E-8</v>
      </c>
    </row>
    <row r="33152" spans="1:6" x14ac:dyDescent="0.25">
      <c r="A33152" s="2" t="str">
        <f t="shared" si="1179"/>
        <v>99999</v>
      </c>
      <c r="B33152" s="2" t="str">
        <f>"39327"</f>
        <v>39327</v>
      </c>
      <c r="C33152" s="1">
        <v>2.01032490648496E-4</v>
      </c>
      <c r="D33152" s="1">
        <v>8.4985749710896595E-5</v>
      </c>
      <c r="E33152" s="1">
        <v>7.3874179236140894E-5</v>
      </c>
      <c r="F33152" s="1">
        <v>1.9051403272642999E-4</v>
      </c>
    </row>
    <row r="33153" spans="1:6" x14ac:dyDescent="0.25">
      <c r="A33153" s="2" t="str">
        <f t="shared" si="1179"/>
        <v>99999</v>
      </c>
      <c r="B33153" s="2" t="str">
        <f>"39120"</f>
        <v>39120</v>
      </c>
      <c r="C33153" s="1">
        <v>4.7147685103230502E-5</v>
      </c>
      <c r="D33153" s="1">
        <v>1.8211232080906399E-5</v>
      </c>
      <c r="E33153" s="1">
        <v>0</v>
      </c>
      <c r="F33153" s="1">
        <v>4.4171399754848697E-5</v>
      </c>
    </row>
    <row r="33154" spans="1:6" x14ac:dyDescent="0.25">
      <c r="A33154" s="2" t="str">
        <f t="shared" si="1179"/>
        <v>99999</v>
      </c>
      <c r="B33154" s="2" t="str">
        <f>"39116"</f>
        <v>39116</v>
      </c>
      <c r="C33154" s="1">
        <v>1.4602685802806101E-4</v>
      </c>
      <c r="D33154" s="1">
        <v>4.8563285549083798E-5</v>
      </c>
      <c r="E33154" s="1">
        <v>0</v>
      </c>
      <c r="F33154" s="1">
        <v>1.3629463437869901E-4</v>
      </c>
    </row>
    <row r="33155" spans="1:6" x14ac:dyDescent="0.25">
      <c r="A33155" s="2" t="str">
        <f t="shared" si="1179"/>
        <v>99999</v>
      </c>
      <c r="B33155" s="2" t="str">
        <f>"39086"</f>
        <v>39086</v>
      </c>
      <c r="C33155" s="1">
        <v>7.9561718611701401E-5</v>
      </c>
      <c r="D33155" s="1">
        <v>1.5176026734088599E-5</v>
      </c>
      <c r="E33155" s="1">
        <v>2.1727699775335501E-5</v>
      </c>
      <c r="F33155" s="1">
        <v>7.4016940129746503E-5</v>
      </c>
    </row>
    <row r="33156" spans="1:6" x14ac:dyDescent="0.25">
      <c r="A33156" s="2" t="str">
        <f t="shared" si="1179"/>
        <v>99999</v>
      </c>
      <c r="B33156" s="2" t="str">
        <f>"39168"</f>
        <v>39168</v>
      </c>
      <c r="C33156" s="1">
        <v>1.9437506289086401E-4</v>
      </c>
      <c r="D33156" s="1">
        <v>7.7397736343852298E-5</v>
      </c>
      <c r="E33156" s="1">
        <v>3.9109859595604001E-5</v>
      </c>
      <c r="F33156" s="1">
        <v>1.8315213276728901E-4</v>
      </c>
    </row>
    <row r="33157" spans="1:6" x14ac:dyDescent="0.25">
      <c r="A33157" s="2" t="str">
        <f t="shared" si="1179"/>
        <v>99999</v>
      </c>
      <c r="B33157" s="2" t="str">
        <f>"39160"</f>
        <v>39160</v>
      </c>
      <c r="C33157" s="1">
        <v>1.46572548827867E-4</v>
      </c>
      <c r="D33157" s="1">
        <v>2.2764040101133E-5</v>
      </c>
      <c r="E33157" s="1">
        <v>4.3455399550671099E-6</v>
      </c>
      <c r="F33157" s="1">
        <v>1.3520029789828599E-4</v>
      </c>
    </row>
    <row r="33158" spans="1:6" x14ac:dyDescent="0.25">
      <c r="A33158" s="2" t="str">
        <f t="shared" si="1179"/>
        <v>99999</v>
      </c>
      <c r="B33158" s="2" t="str">
        <f>"38851"</f>
        <v>38851</v>
      </c>
      <c r="C33158" s="1">
        <v>4.7398702871141198E-4</v>
      </c>
      <c r="D33158" s="1">
        <v>8.07364622253518E-4</v>
      </c>
      <c r="E33158" s="1">
        <v>2.2596807766349001E-4</v>
      </c>
      <c r="F33158" s="1">
        <v>4.9016325809040403E-4</v>
      </c>
    </row>
    <row r="33159" spans="1:6" x14ac:dyDescent="0.25">
      <c r="A33159" s="2" t="str">
        <f t="shared" si="1179"/>
        <v>99999</v>
      </c>
      <c r="B33159" s="2" t="str">
        <f>"38849"</f>
        <v>38849</v>
      </c>
      <c r="C33159" s="1">
        <v>2.8594197909829602E-5</v>
      </c>
      <c r="D33159" s="1">
        <v>1.51760267340886E-6</v>
      </c>
      <c r="E33159" s="1">
        <v>4.3455399550671099E-6</v>
      </c>
      <c r="F33159" s="1">
        <v>2.6264075529910002E-5</v>
      </c>
    </row>
    <row r="33160" spans="1:6" x14ac:dyDescent="0.25">
      <c r="A33160" s="2" t="str">
        <f t="shared" si="1179"/>
        <v>99999</v>
      </c>
      <c r="B33160" s="2" t="str">
        <f>"38877"</f>
        <v>38877</v>
      </c>
      <c r="C33160" s="1">
        <v>0</v>
      </c>
      <c r="D33160" s="1">
        <v>1.51760267340886E-6</v>
      </c>
      <c r="E33160" s="1">
        <v>0</v>
      </c>
      <c r="F33160" s="1">
        <v>9.9485134582992598E-8</v>
      </c>
    </row>
    <row r="33161" spans="1:6" x14ac:dyDescent="0.25">
      <c r="A33161" s="2" t="str">
        <f t="shared" si="1179"/>
        <v>99999</v>
      </c>
      <c r="B33161" s="2" t="str">
        <f>"38670"</f>
        <v>38670</v>
      </c>
      <c r="C33161" s="1">
        <v>4.2891296864744402E-5</v>
      </c>
      <c r="D33161" s="1">
        <v>1.5176026734088599E-5</v>
      </c>
      <c r="E33161" s="1">
        <v>8.69107991013423E-6</v>
      </c>
      <c r="F33161" s="1">
        <v>4.0291479506111999E-5</v>
      </c>
    </row>
    <row r="33162" spans="1:6" x14ac:dyDescent="0.25">
      <c r="A33162" s="2" t="str">
        <f t="shared" si="1179"/>
        <v>99999</v>
      </c>
      <c r="B33162" s="2" t="str">
        <f>"38665"</f>
        <v>38665</v>
      </c>
      <c r="C33162" s="1">
        <v>2.4992638631110601E-5</v>
      </c>
      <c r="D33162" s="1">
        <v>0</v>
      </c>
      <c r="E33162" s="1">
        <v>0</v>
      </c>
      <c r="F33162" s="1">
        <v>2.2782095819505301E-5</v>
      </c>
    </row>
    <row r="33163" spans="1:6" x14ac:dyDescent="0.25">
      <c r="A33163" s="2" t="str">
        <f t="shared" si="1179"/>
        <v>99999</v>
      </c>
      <c r="B33163" s="2" t="str">
        <f>"38839"</f>
        <v>38839</v>
      </c>
      <c r="C33163" s="1">
        <v>2.1827631992236301E-7</v>
      </c>
      <c r="D33163" s="1">
        <v>1.51760267340886E-6</v>
      </c>
      <c r="E33163" s="1">
        <v>0</v>
      </c>
      <c r="F33163" s="1">
        <v>2.9845540374897701E-7</v>
      </c>
    </row>
    <row r="33164" spans="1:6" x14ac:dyDescent="0.25">
      <c r="A33164" s="2" t="str">
        <f t="shared" si="1179"/>
        <v>99999</v>
      </c>
      <c r="B33164" s="2" t="str">
        <f>"38655"</f>
        <v>38655</v>
      </c>
      <c r="C33164" s="1">
        <v>7.63967119728272E-7</v>
      </c>
      <c r="D33164" s="1">
        <v>1.51760267340886E-6</v>
      </c>
      <c r="E33164" s="1">
        <v>0</v>
      </c>
      <c r="F33164" s="1">
        <v>7.9588107666394099E-7</v>
      </c>
    </row>
    <row r="33165" spans="1:6" x14ac:dyDescent="0.25">
      <c r="A33165" s="2" t="str">
        <f t="shared" si="1179"/>
        <v>99999</v>
      </c>
      <c r="B33165" s="2" t="str">
        <f>"38633"</f>
        <v>38633</v>
      </c>
      <c r="C33165" s="1">
        <v>1.28783028754194E-4</v>
      </c>
      <c r="D33165" s="1">
        <v>2.7316848121359601E-5</v>
      </c>
      <c r="E33165" s="1">
        <v>3.47643196405369E-5</v>
      </c>
      <c r="F33165" s="1">
        <v>1.19979072307089E-4</v>
      </c>
    </row>
    <row r="33166" spans="1:6" x14ac:dyDescent="0.25">
      <c r="A33166" s="2" t="str">
        <f t="shared" si="1179"/>
        <v>99999</v>
      </c>
      <c r="B33166" s="2" t="str">
        <f>"38454"</f>
        <v>38454</v>
      </c>
      <c r="C33166" s="1">
        <v>5.7952362939387498E-5</v>
      </c>
      <c r="D33166" s="1">
        <v>1.21408213872709E-5</v>
      </c>
      <c r="E33166" s="1">
        <v>0</v>
      </c>
      <c r="F33166" s="1">
        <v>5.3622487540233001E-5</v>
      </c>
    </row>
    <row r="33167" spans="1:6" x14ac:dyDescent="0.25">
      <c r="A33167" s="2" t="str">
        <f t="shared" si="1179"/>
        <v>99999</v>
      </c>
      <c r="B33167" s="2" t="str">
        <f>"38387"</f>
        <v>38387</v>
      </c>
      <c r="C33167" s="1">
        <v>2.2809875431886899E-5</v>
      </c>
      <c r="D33167" s="1">
        <v>1.51760267340886E-6</v>
      </c>
      <c r="E33167" s="1">
        <v>0</v>
      </c>
      <c r="F33167" s="1">
        <v>2.08918782624284E-5</v>
      </c>
    </row>
    <row r="33168" spans="1:6" x14ac:dyDescent="0.25">
      <c r="A33168" s="2" t="str">
        <f t="shared" si="1179"/>
        <v>99999</v>
      </c>
      <c r="B33168" s="2" t="str">
        <f>"38379"</f>
        <v>38379</v>
      </c>
      <c r="C33168" s="1">
        <v>7.5414468533176497E-5</v>
      </c>
      <c r="D33168" s="1">
        <v>3.0352053468177301E-5</v>
      </c>
      <c r="E33168" s="1">
        <v>0</v>
      </c>
      <c r="F33168" s="1">
        <v>7.0733930688507695E-5</v>
      </c>
    </row>
    <row r="33169" spans="1:6" x14ac:dyDescent="0.25">
      <c r="A33169" s="2" t="str">
        <f t="shared" si="1179"/>
        <v>99999</v>
      </c>
      <c r="B33169" s="2" t="str">
        <f>"38619"</f>
        <v>38619</v>
      </c>
      <c r="C33169" s="1">
        <v>1.72547430898628E-4</v>
      </c>
      <c r="D33169" s="1">
        <v>1.01679379118394E-4</v>
      </c>
      <c r="E33169" s="1">
        <v>2.60732397304027E-5</v>
      </c>
      <c r="F33169" s="1">
        <v>1.6454841260026901E-4</v>
      </c>
    </row>
    <row r="33170" spans="1:6" x14ac:dyDescent="0.25">
      <c r="A33170" s="2" t="str">
        <f t="shared" ref="A33170:A33233" si="1180">"99999"</f>
        <v>99999</v>
      </c>
      <c r="B33170" s="2" t="str">
        <f>"38610"</f>
        <v>38610</v>
      </c>
      <c r="C33170" s="1">
        <v>1.86298839053737E-4</v>
      </c>
      <c r="D33170" s="1">
        <v>7.5880133670443406E-5</v>
      </c>
      <c r="E33170" s="1">
        <v>5.6492019415872502E-5</v>
      </c>
      <c r="F33170" s="1">
        <v>1.76088688211896E-4</v>
      </c>
    </row>
    <row r="33171" spans="1:6" x14ac:dyDescent="0.25">
      <c r="A33171" s="2" t="str">
        <f t="shared" si="1180"/>
        <v>99999</v>
      </c>
      <c r="B33171" s="2" t="str">
        <f>"38556"</f>
        <v>38556</v>
      </c>
      <c r="C33171" s="1">
        <v>7.0110353959063098E-4</v>
      </c>
      <c r="D33171" s="1">
        <v>5.7213620787514299E-4</v>
      </c>
      <c r="E33171" s="1">
        <v>3.4764319640536898E-4</v>
      </c>
      <c r="F33171" s="1">
        <v>6.8455721106557195E-4</v>
      </c>
    </row>
    <row r="33172" spans="1:6" x14ac:dyDescent="0.25">
      <c r="A33172" s="2" t="str">
        <f t="shared" si="1180"/>
        <v>99999</v>
      </c>
      <c r="B33172" s="2" t="str">
        <f>"38577"</f>
        <v>38577</v>
      </c>
      <c r="C33172" s="1">
        <v>7.6287573812865994E-5</v>
      </c>
      <c r="D33172" s="1">
        <v>3.6422464161812797E-5</v>
      </c>
      <c r="E33172" s="1">
        <v>8.69107991013423E-6</v>
      </c>
      <c r="F33172" s="1">
        <v>7.2126722572669606E-5</v>
      </c>
    </row>
    <row r="33173" spans="1:6" x14ac:dyDescent="0.25">
      <c r="A33173" s="2" t="str">
        <f t="shared" si="1180"/>
        <v>99999</v>
      </c>
      <c r="B33173" s="2" t="str">
        <f>"38372"</f>
        <v>38372</v>
      </c>
      <c r="C33173" s="1">
        <v>1.17247125246297E-3</v>
      </c>
      <c r="D33173" s="1">
        <v>1.9076265604749401E-3</v>
      </c>
      <c r="E33173" s="1">
        <v>8.9083569078875799E-4</v>
      </c>
      <c r="F33173" s="1">
        <v>1.2142160675854201E-3</v>
      </c>
    </row>
    <row r="33174" spans="1:6" x14ac:dyDescent="0.25">
      <c r="A33174" s="2" t="str">
        <f t="shared" si="1180"/>
        <v>99999</v>
      </c>
      <c r="B33174" s="2" t="str">
        <f>"38553"</f>
        <v>38553</v>
      </c>
      <c r="C33174" s="1">
        <v>1.3260286435283499E-4</v>
      </c>
      <c r="D33174" s="1">
        <v>1.198906111993E-4</v>
      </c>
      <c r="E33174" s="1">
        <v>4.3455399550671103E-5</v>
      </c>
      <c r="F33174" s="1">
        <v>1.2972861549622201E-4</v>
      </c>
    </row>
    <row r="33175" spans="1:6" x14ac:dyDescent="0.25">
      <c r="A33175" s="2" t="str">
        <f t="shared" si="1180"/>
        <v>99999</v>
      </c>
      <c r="B33175" s="2" t="str">
        <f>"38549"</f>
        <v>38549</v>
      </c>
      <c r="C33175" s="1">
        <v>2.6968039326408E-4</v>
      </c>
      <c r="D33175" s="1">
        <v>3.0807334270199999E-4</v>
      </c>
      <c r="E33175" s="1">
        <v>6.9528639281073799E-5</v>
      </c>
      <c r="F33175" s="1">
        <v>2.6761501202825E-4</v>
      </c>
    </row>
    <row r="33176" spans="1:6" x14ac:dyDescent="0.25">
      <c r="A33176" s="2" t="str">
        <f t="shared" si="1180"/>
        <v>99999</v>
      </c>
      <c r="B33176" s="2" t="str">
        <f>"38348"</f>
        <v>38348</v>
      </c>
      <c r="C33176" s="1">
        <v>5.4241665500707301E-5</v>
      </c>
      <c r="D33176" s="1">
        <v>1.8211232080906399E-5</v>
      </c>
      <c r="E33176" s="1">
        <v>8.69107991013423E-6</v>
      </c>
      <c r="F33176" s="1">
        <v>5.0836903771909198E-5</v>
      </c>
    </row>
    <row r="33177" spans="1:6" x14ac:dyDescent="0.25">
      <c r="A33177" s="2" t="str">
        <f t="shared" si="1180"/>
        <v>99999</v>
      </c>
      <c r="B33177" s="2" t="str">
        <f>"38332"</f>
        <v>38332</v>
      </c>
      <c r="C33177" s="1">
        <v>6.9848422375156299E-6</v>
      </c>
      <c r="D33177" s="1">
        <v>0</v>
      </c>
      <c r="E33177" s="1">
        <v>0</v>
      </c>
      <c r="F33177" s="1">
        <v>6.3670486133115203E-6</v>
      </c>
    </row>
    <row r="33178" spans="1:6" x14ac:dyDescent="0.25">
      <c r="A33178" s="2" t="str">
        <f t="shared" si="1180"/>
        <v>99999</v>
      </c>
      <c r="B33178" s="2" t="str">
        <f>"38351"</f>
        <v>38351</v>
      </c>
      <c r="C33178" s="1">
        <v>9.7482204477327501E-4</v>
      </c>
      <c r="D33178" s="1">
        <v>1.2459517948686799E-3</v>
      </c>
      <c r="E33178" s="1">
        <v>6.7790423299047002E-4</v>
      </c>
      <c r="F33178" s="1">
        <v>9.8579819858287407E-4</v>
      </c>
    </row>
    <row r="33179" spans="1:6" x14ac:dyDescent="0.25">
      <c r="A33179" s="2" t="str">
        <f t="shared" si="1180"/>
        <v>99999</v>
      </c>
      <c r="B33179" s="2" t="str">
        <f>"38317"</f>
        <v>38317</v>
      </c>
      <c r="C33179" s="1">
        <v>1.4482633826848801E-4</v>
      </c>
      <c r="D33179" s="1">
        <v>1.7452430744201901E-4</v>
      </c>
      <c r="E33179" s="1">
        <v>6.9528639281073799E-5</v>
      </c>
      <c r="F33179" s="1">
        <v>1.4504932622200301E-4</v>
      </c>
    </row>
    <row r="33180" spans="1:6" x14ac:dyDescent="0.25">
      <c r="A33180" s="2" t="str">
        <f t="shared" si="1180"/>
        <v>99999</v>
      </c>
      <c r="B33180" s="2" t="str">
        <f>"38258"</f>
        <v>38258</v>
      </c>
      <c r="C33180" s="1">
        <v>9.2767435967004401E-5</v>
      </c>
      <c r="D33180" s="1">
        <v>5.3116093569310399E-5</v>
      </c>
      <c r="E33180" s="1">
        <v>0</v>
      </c>
      <c r="F33180" s="1">
        <v>8.8044344105948406E-5</v>
      </c>
    </row>
    <row r="33181" spans="1:6" x14ac:dyDescent="0.25">
      <c r="A33181" s="2" t="str">
        <f t="shared" si="1180"/>
        <v>99999</v>
      </c>
      <c r="B33181" s="2" t="str">
        <f>"38042"</f>
        <v>38042</v>
      </c>
      <c r="C33181" s="1">
        <v>4.4637507424123302E-5</v>
      </c>
      <c r="D33181" s="1">
        <v>2.2764040101133E-5</v>
      </c>
      <c r="E33181" s="1">
        <v>0</v>
      </c>
      <c r="F33181" s="1">
        <v>4.2181697063188802E-5</v>
      </c>
    </row>
    <row r="33182" spans="1:6" x14ac:dyDescent="0.25">
      <c r="A33182" s="2" t="str">
        <f t="shared" si="1180"/>
        <v>99999</v>
      </c>
      <c r="B33182" s="2" t="str">
        <f>"37869"</f>
        <v>37869</v>
      </c>
      <c r="C33182" s="1">
        <v>2.9663751877449102E-4</v>
      </c>
      <c r="D33182" s="1">
        <v>1.42654651300433E-4</v>
      </c>
      <c r="E33182" s="1">
        <v>2.5204131739389198E-4</v>
      </c>
      <c r="F33182" s="1">
        <v>2.8552233625318802E-4</v>
      </c>
    </row>
    <row r="33183" spans="1:6" x14ac:dyDescent="0.25">
      <c r="A33183" s="2" t="str">
        <f t="shared" si="1180"/>
        <v>99999</v>
      </c>
      <c r="B33183" s="2" t="str">
        <f>"37846"</f>
        <v>37846</v>
      </c>
      <c r="C33183" s="1">
        <v>6.7010830216165506E-5</v>
      </c>
      <c r="D33183" s="1">
        <v>1.3658424060679801E-5</v>
      </c>
      <c r="E33183" s="1">
        <v>1.3036619865201299E-5</v>
      </c>
      <c r="F33183" s="1">
        <v>6.2277694248953302E-5</v>
      </c>
    </row>
    <row r="33184" spans="1:6" x14ac:dyDescent="0.25">
      <c r="A33184" s="2" t="str">
        <f t="shared" si="1180"/>
        <v>99999</v>
      </c>
      <c r="B33184" s="2" t="str">
        <f>"37774"</f>
        <v>37774</v>
      </c>
      <c r="C33184" s="1">
        <v>5.7843224779426299E-6</v>
      </c>
      <c r="D33184" s="1">
        <v>0</v>
      </c>
      <c r="E33184" s="1">
        <v>8.69107991013423E-6</v>
      </c>
      <c r="F33184" s="1">
        <v>5.4716824020645896E-6</v>
      </c>
    </row>
    <row r="33185" spans="1:6" x14ac:dyDescent="0.25">
      <c r="A33185" s="2" t="str">
        <f t="shared" si="1180"/>
        <v>99999</v>
      </c>
      <c r="B33185" s="2" t="str">
        <f>"37680"</f>
        <v>37680</v>
      </c>
      <c r="C33185" s="1">
        <v>4.5728889023735102E-5</v>
      </c>
      <c r="D33185" s="1">
        <v>2.7316848121359601E-5</v>
      </c>
      <c r="E33185" s="1">
        <v>1.7382159820268399E-5</v>
      </c>
      <c r="F33185" s="1">
        <v>4.3872944351099702E-5</v>
      </c>
    </row>
    <row r="33186" spans="1:6" x14ac:dyDescent="0.25">
      <c r="A33186" s="2" t="str">
        <f t="shared" si="1180"/>
        <v>99999</v>
      </c>
      <c r="B33186" s="2" t="str">
        <f>"37640"</f>
        <v>37640</v>
      </c>
      <c r="C33186" s="1">
        <v>2.0157818144830199E-4</v>
      </c>
      <c r="D33186" s="1">
        <v>8.4985749710896595E-5</v>
      </c>
      <c r="E33186" s="1">
        <v>5.21464794608054E-5</v>
      </c>
      <c r="F33186" s="1">
        <v>1.9051403272642999E-4</v>
      </c>
    </row>
    <row r="33187" spans="1:6" x14ac:dyDescent="0.25">
      <c r="A33187" s="2" t="str">
        <f t="shared" si="1180"/>
        <v>99999</v>
      </c>
      <c r="B33187" s="2" t="str">
        <f>"37356"</f>
        <v>37356</v>
      </c>
      <c r="C33187" s="1">
        <v>8.7637942448828899E-5</v>
      </c>
      <c r="D33187" s="1">
        <v>5.15984908959015E-5</v>
      </c>
      <c r="E33187" s="1">
        <v>5.21464794608054E-5</v>
      </c>
      <c r="F33187" s="1">
        <v>8.4462879260960703E-5</v>
      </c>
    </row>
    <row r="33188" spans="1:6" x14ac:dyDescent="0.25">
      <c r="A33188" s="2" t="str">
        <f t="shared" si="1180"/>
        <v>99999</v>
      </c>
      <c r="B33188" s="2" t="str">
        <f>"37339"</f>
        <v>37339</v>
      </c>
      <c r="C33188" s="1">
        <v>7.06123894948845E-5</v>
      </c>
      <c r="D33188" s="1">
        <v>2.2764040101133E-5</v>
      </c>
      <c r="E33188" s="1">
        <v>4.3455399550671099E-6</v>
      </c>
      <c r="F33188" s="1">
        <v>6.5958644228524105E-5</v>
      </c>
    </row>
    <row r="33189" spans="1:6" x14ac:dyDescent="0.25">
      <c r="A33189" s="2" t="str">
        <f t="shared" si="1180"/>
        <v>99999</v>
      </c>
      <c r="B33189" s="2" t="str">
        <f>"37329"</f>
        <v>37329</v>
      </c>
      <c r="C33189" s="1">
        <v>2.5974882070761199E-5</v>
      </c>
      <c r="D33189" s="1">
        <v>1.51760267340886E-6</v>
      </c>
      <c r="E33189" s="1">
        <v>0</v>
      </c>
      <c r="F33189" s="1">
        <v>2.3776947165335201E-5</v>
      </c>
    </row>
    <row r="33190" spans="1:6" x14ac:dyDescent="0.25">
      <c r="A33190" s="2" t="str">
        <f t="shared" si="1180"/>
        <v>99999</v>
      </c>
      <c r="B33190" s="2" t="str">
        <f>"37374"</f>
        <v>37374</v>
      </c>
      <c r="C33190" s="1">
        <v>2.07362503926245E-6</v>
      </c>
      <c r="D33190" s="1">
        <v>1.51760267340886E-6</v>
      </c>
      <c r="E33190" s="1">
        <v>0</v>
      </c>
      <c r="F33190" s="1">
        <v>1.98970269165985E-6</v>
      </c>
    </row>
    <row r="33191" spans="1:6" x14ac:dyDescent="0.25">
      <c r="A33191" s="2" t="str">
        <f t="shared" si="1180"/>
        <v>99999</v>
      </c>
      <c r="B33191" s="2" t="str">
        <f>"37379"</f>
        <v>37379</v>
      </c>
      <c r="C33191" s="1">
        <v>1.2660026555497001E-5</v>
      </c>
      <c r="D33191" s="1">
        <v>1.51760267340886E-6</v>
      </c>
      <c r="E33191" s="1">
        <v>0</v>
      </c>
      <c r="F33191" s="1">
        <v>1.1639760746210099E-5</v>
      </c>
    </row>
    <row r="33192" spans="1:6" x14ac:dyDescent="0.25">
      <c r="A33192" s="2" t="str">
        <f t="shared" si="1180"/>
        <v>99999</v>
      </c>
      <c r="B33192" s="2" t="str">
        <f>"37308"</f>
        <v>37308</v>
      </c>
      <c r="C33192" s="1">
        <v>5.6860981339775603E-5</v>
      </c>
      <c r="D33192" s="1">
        <v>1.0623218713862E-5</v>
      </c>
      <c r="E33192" s="1">
        <v>0</v>
      </c>
      <c r="F33192" s="1">
        <v>5.2528151059820098E-5</v>
      </c>
    </row>
    <row r="33193" spans="1:6" x14ac:dyDescent="0.25">
      <c r="A33193" s="2" t="str">
        <f t="shared" si="1180"/>
        <v>99999</v>
      </c>
      <c r="B33193" s="2" t="str">
        <f>"37150"</f>
        <v>37150</v>
      </c>
      <c r="C33193" s="1">
        <v>1.52356871305809E-4</v>
      </c>
      <c r="D33193" s="1">
        <v>1.09267392485438E-4</v>
      </c>
      <c r="E33193" s="1">
        <v>0</v>
      </c>
      <c r="F33193" s="1">
        <v>1.4604417756783301E-4</v>
      </c>
    </row>
    <row r="33194" spans="1:6" x14ac:dyDescent="0.25">
      <c r="A33194" s="2" t="str">
        <f t="shared" si="1180"/>
        <v>99999</v>
      </c>
      <c r="B33194" s="2" t="str">
        <f>"37185"</f>
        <v>37185</v>
      </c>
      <c r="C33194" s="1">
        <v>5.20807299334759E-4</v>
      </c>
      <c r="D33194" s="1">
        <v>6.6015716293285804E-4</v>
      </c>
      <c r="E33194" s="1">
        <v>1.6947605824761699E-4</v>
      </c>
      <c r="F33194" s="1">
        <v>5.2189901602237899E-4</v>
      </c>
    </row>
    <row r="33195" spans="1:6" x14ac:dyDescent="0.25">
      <c r="A33195" s="2" t="str">
        <f t="shared" si="1180"/>
        <v>99999</v>
      </c>
      <c r="B33195" s="2" t="str">
        <f>"37097"</f>
        <v>37097</v>
      </c>
      <c r="C33195" s="1">
        <v>1.6578086498103499E-4</v>
      </c>
      <c r="D33195" s="1">
        <v>8.9538557731123203E-5</v>
      </c>
      <c r="E33195" s="1">
        <v>1.3036619865201299E-5</v>
      </c>
      <c r="F33195" s="1">
        <v>1.5728599777571099E-4</v>
      </c>
    </row>
    <row r="33196" spans="1:6" x14ac:dyDescent="0.25">
      <c r="A33196" s="2" t="str">
        <f t="shared" si="1180"/>
        <v>99999</v>
      </c>
      <c r="B33196" s="2" t="str">
        <f>"37078"</f>
        <v>37078</v>
      </c>
      <c r="C33196" s="1">
        <v>4.5728889023735102E-5</v>
      </c>
      <c r="D33196" s="1">
        <v>6.37393122831725E-5</v>
      </c>
      <c r="E33196" s="1">
        <v>0</v>
      </c>
      <c r="F33196" s="1">
        <v>4.5862647042759598E-5</v>
      </c>
    </row>
    <row r="33197" spans="1:6" x14ac:dyDescent="0.25">
      <c r="A33197" s="2" t="str">
        <f t="shared" si="1180"/>
        <v>99999</v>
      </c>
      <c r="B33197" s="2" t="str">
        <f>"37061"</f>
        <v>37061</v>
      </c>
      <c r="C33197" s="1">
        <v>3.9813600753838999E-4</v>
      </c>
      <c r="D33197" s="1">
        <v>2.5040444111246299E-4</v>
      </c>
      <c r="E33197" s="1">
        <v>6.5183099326006705E-5</v>
      </c>
      <c r="F33197" s="1">
        <v>3.8082909518369497E-4</v>
      </c>
    </row>
    <row r="33198" spans="1:6" x14ac:dyDescent="0.25">
      <c r="A33198" s="2" t="str">
        <f t="shared" si="1180"/>
        <v>99999</v>
      </c>
      <c r="B33198" s="2" t="str">
        <f>"37059"</f>
        <v>37059</v>
      </c>
      <c r="C33198" s="1">
        <v>9.3531403086732703E-5</v>
      </c>
      <c r="D33198" s="1">
        <v>4.7045682875674899E-5</v>
      </c>
      <c r="E33198" s="1">
        <v>0</v>
      </c>
      <c r="F33198" s="1">
        <v>8.8342799509697395E-5</v>
      </c>
    </row>
    <row r="33199" spans="1:6" x14ac:dyDescent="0.25">
      <c r="A33199" s="2" t="str">
        <f t="shared" si="1180"/>
        <v>99999</v>
      </c>
      <c r="B33199" s="2" t="str">
        <f>"36910"</f>
        <v>36910</v>
      </c>
      <c r="C33199" s="1">
        <v>4.3655263984472599E-6</v>
      </c>
      <c r="D33199" s="1">
        <v>3.0352053468177301E-6</v>
      </c>
      <c r="E33199" s="1">
        <v>0</v>
      </c>
      <c r="F33199" s="1">
        <v>4.1783756524856902E-6</v>
      </c>
    </row>
    <row r="33200" spans="1:6" x14ac:dyDescent="0.25">
      <c r="A33200" s="2" t="str">
        <f t="shared" si="1180"/>
        <v>99999</v>
      </c>
      <c r="B33200" s="2" t="str">
        <f>"36860"</f>
        <v>36860</v>
      </c>
      <c r="C33200" s="1">
        <v>1.15686449558852E-5</v>
      </c>
      <c r="D33200" s="1">
        <v>4.5528080202265997E-6</v>
      </c>
      <c r="E33200" s="1">
        <v>0</v>
      </c>
      <c r="F33200" s="1">
        <v>1.0843879669546099E-5</v>
      </c>
    </row>
    <row r="33201" spans="1:6" x14ac:dyDescent="0.25">
      <c r="A33201" s="2" t="str">
        <f t="shared" si="1180"/>
        <v>99999</v>
      </c>
      <c r="B33201" s="2" t="str">
        <f>"36728"</f>
        <v>36728</v>
      </c>
      <c r="C33201" s="1">
        <v>5.0421829902065903E-5</v>
      </c>
      <c r="D33201" s="1">
        <v>1.5176026734088599E-5</v>
      </c>
      <c r="E33201" s="1">
        <v>8.69107991013423E-6</v>
      </c>
      <c r="F33201" s="1">
        <v>4.7155953792338497E-5</v>
      </c>
    </row>
    <row r="33202" spans="1:6" x14ac:dyDescent="0.25">
      <c r="A33202" s="2" t="str">
        <f t="shared" si="1180"/>
        <v>99999</v>
      </c>
      <c r="B33202" s="2" t="str">
        <f>"36759"</f>
        <v>36759</v>
      </c>
      <c r="C33202" s="1">
        <v>1.0804677836156901E-5</v>
      </c>
      <c r="D33202" s="1">
        <v>1.51760267340886E-6</v>
      </c>
      <c r="E33202" s="1">
        <v>0</v>
      </c>
      <c r="F33202" s="1">
        <v>9.9485134582992602E-6</v>
      </c>
    </row>
    <row r="33203" spans="1:6" x14ac:dyDescent="0.25">
      <c r="A33203" s="2" t="str">
        <f t="shared" si="1180"/>
        <v>99999</v>
      </c>
      <c r="B33203" s="2" t="str">
        <f>"36753"</f>
        <v>36753</v>
      </c>
      <c r="C33203" s="1">
        <v>0</v>
      </c>
      <c r="D33203" s="1">
        <v>1.51760267340886E-6</v>
      </c>
      <c r="E33203" s="1">
        <v>0</v>
      </c>
      <c r="F33203" s="1">
        <v>9.9485134582992598E-8</v>
      </c>
    </row>
    <row r="33204" spans="1:6" x14ac:dyDescent="0.25">
      <c r="A33204" s="2" t="str">
        <f t="shared" si="1180"/>
        <v>99999</v>
      </c>
      <c r="B33204" s="2" t="str">
        <f>"36558"</f>
        <v>36558</v>
      </c>
      <c r="C33204" s="1">
        <v>1.4842789754720701E-5</v>
      </c>
      <c r="D33204" s="1">
        <v>9.1056160404532095E-6</v>
      </c>
      <c r="E33204" s="1">
        <v>0</v>
      </c>
      <c r="F33204" s="1">
        <v>1.41268891107849E-5</v>
      </c>
    </row>
    <row r="33205" spans="1:6" x14ac:dyDescent="0.25">
      <c r="A33205" s="2" t="str">
        <f t="shared" si="1180"/>
        <v>99999</v>
      </c>
      <c r="B33205" s="2" t="str">
        <f>"36502"</f>
        <v>36502</v>
      </c>
      <c r="C33205" s="1">
        <v>2.5538329430916501E-5</v>
      </c>
      <c r="D33205" s="1">
        <v>1.3658424060679801E-5</v>
      </c>
      <c r="E33205" s="1">
        <v>0</v>
      </c>
      <c r="F33205" s="1">
        <v>2.4174887703667199E-5</v>
      </c>
    </row>
    <row r="33206" spans="1:6" x14ac:dyDescent="0.25">
      <c r="A33206" s="2" t="str">
        <f t="shared" si="1180"/>
        <v>99999</v>
      </c>
      <c r="B33206" s="2" t="str">
        <f>"36420"</f>
        <v>36420</v>
      </c>
      <c r="C33206" s="1">
        <v>7.6134780388920304E-4</v>
      </c>
      <c r="D33206" s="1">
        <v>1.9258377925558501E-3</v>
      </c>
      <c r="E33206" s="1">
        <v>4.8670047496751699E-4</v>
      </c>
      <c r="F33206" s="1">
        <v>8.3139726971006905E-4</v>
      </c>
    </row>
    <row r="33207" spans="1:6" x14ac:dyDescent="0.25">
      <c r="A33207" s="2" t="str">
        <f t="shared" si="1180"/>
        <v>99999</v>
      </c>
      <c r="B33207" s="2" t="str">
        <f>"36474"</f>
        <v>36474</v>
      </c>
      <c r="C33207" s="1">
        <v>1.82042450815251E-4</v>
      </c>
      <c r="D33207" s="1">
        <v>6.2221709609763595E-5</v>
      </c>
      <c r="E33207" s="1">
        <v>4.3455399550671099E-6</v>
      </c>
      <c r="F33207" s="1">
        <v>1.7011958013691701E-4</v>
      </c>
    </row>
    <row r="33208" spans="1:6" x14ac:dyDescent="0.25">
      <c r="A33208" s="2" t="str">
        <f t="shared" si="1180"/>
        <v>99999</v>
      </c>
      <c r="B33208" s="2" t="str">
        <f>"36471"</f>
        <v>36471</v>
      </c>
      <c r="C33208" s="1">
        <v>7.3449981653875301E-5</v>
      </c>
      <c r="D33208" s="1">
        <v>1.8211232080906399E-5</v>
      </c>
      <c r="E33208" s="1">
        <v>4.3455399550671099E-6</v>
      </c>
      <c r="F33208" s="1">
        <v>6.8246802323932901E-5</v>
      </c>
    </row>
    <row r="33209" spans="1:6" x14ac:dyDescent="0.25">
      <c r="A33209" s="2" t="str">
        <f t="shared" si="1180"/>
        <v>99999</v>
      </c>
      <c r="B33209" s="2" t="str">
        <f>"36460"</f>
        <v>36460</v>
      </c>
      <c r="C33209" s="1">
        <v>6.0015074162653799E-4</v>
      </c>
      <c r="D33209" s="1">
        <v>1.0274170098977999E-3</v>
      </c>
      <c r="E33209" s="1">
        <v>5.5622911424858996E-4</v>
      </c>
      <c r="F33209" s="1">
        <v>6.2715428841118501E-4</v>
      </c>
    </row>
    <row r="33210" spans="1:6" x14ac:dyDescent="0.25">
      <c r="A33210" s="2" t="str">
        <f t="shared" si="1180"/>
        <v>99999</v>
      </c>
      <c r="B33210" s="2" t="str">
        <f>"36451"</f>
        <v>36451</v>
      </c>
      <c r="C33210" s="1">
        <v>2.7546471574202202E-4</v>
      </c>
      <c r="D33210" s="1">
        <v>2.2612279833792101E-4</v>
      </c>
      <c r="E33210" s="1">
        <v>2.9549671694456298E-4</v>
      </c>
      <c r="F33210" s="1">
        <v>2.7268875389198198E-4</v>
      </c>
    </row>
    <row r="33211" spans="1:6" x14ac:dyDescent="0.25">
      <c r="A33211" s="2" t="str">
        <f t="shared" si="1180"/>
        <v>99999</v>
      </c>
      <c r="B33211" s="2" t="str">
        <f>"36445"</f>
        <v>36445</v>
      </c>
      <c r="C33211" s="1">
        <v>2.4850759023160998E-4</v>
      </c>
      <c r="D33211" s="1">
        <v>1.12302597832256E-4</v>
      </c>
      <c r="E33211" s="1">
        <v>1.2602065869694599E-4</v>
      </c>
      <c r="F33211" s="1">
        <v>2.3677462030752199E-4</v>
      </c>
    </row>
    <row r="33212" spans="1:6" x14ac:dyDescent="0.25">
      <c r="A33212" s="2" t="str">
        <f t="shared" si="1180"/>
        <v>99999</v>
      </c>
      <c r="B33212" s="2" t="str">
        <f>"36274"</f>
        <v>36274</v>
      </c>
      <c r="C33212" s="1">
        <v>6.1368387346172402E-4</v>
      </c>
      <c r="D33212" s="1">
        <v>7.92188595519429E-4</v>
      </c>
      <c r="E33212" s="1">
        <v>7.7785165195701298E-4</v>
      </c>
      <c r="F33212" s="1">
        <v>6.2914399110284495E-4</v>
      </c>
    </row>
    <row r="33213" spans="1:6" x14ac:dyDescent="0.25">
      <c r="A33213" s="2" t="str">
        <f t="shared" si="1180"/>
        <v>99999</v>
      </c>
      <c r="B33213" s="2" t="str">
        <f>"36261"</f>
        <v>36261</v>
      </c>
      <c r="C33213" s="1">
        <v>0</v>
      </c>
      <c r="D33213" s="1">
        <v>1.51760267340886E-6</v>
      </c>
      <c r="E33213" s="1">
        <v>0</v>
      </c>
      <c r="F33213" s="1">
        <v>9.9485134582992598E-8</v>
      </c>
    </row>
    <row r="33214" spans="1:6" x14ac:dyDescent="0.25">
      <c r="A33214" s="2" t="str">
        <f t="shared" si="1180"/>
        <v>99999</v>
      </c>
      <c r="B33214" s="2" t="str">
        <f>"36251"</f>
        <v>36251</v>
      </c>
      <c r="C33214" s="1">
        <v>3.7259767810747399E-4</v>
      </c>
      <c r="D33214" s="1">
        <v>2.09429168930423E-4</v>
      </c>
      <c r="E33214" s="1">
        <v>8.0827043164248297E-4</v>
      </c>
      <c r="F33214" s="1">
        <v>3.7187543307122599E-4</v>
      </c>
    </row>
    <row r="33215" spans="1:6" x14ac:dyDescent="0.25">
      <c r="A33215" s="2" t="str">
        <f t="shared" si="1180"/>
        <v>99999</v>
      </c>
      <c r="B33215" s="2" t="str">
        <f>"36049"</f>
        <v>36049</v>
      </c>
      <c r="C33215" s="1">
        <v>3.8023734930475701E-4</v>
      </c>
      <c r="D33215" s="1">
        <v>7.2844928323625698E-4</v>
      </c>
      <c r="E33215" s="1">
        <v>4.2151737564151003E-4</v>
      </c>
      <c r="F33215" s="1">
        <v>4.0400913154153302E-4</v>
      </c>
    </row>
    <row r="33216" spans="1:6" x14ac:dyDescent="0.25">
      <c r="A33216" s="2" t="str">
        <f t="shared" si="1180"/>
        <v>99999</v>
      </c>
      <c r="B33216" s="2" t="str">
        <f>"36039"</f>
        <v>36039</v>
      </c>
      <c r="C33216" s="1">
        <v>1.9754006952973801E-5</v>
      </c>
      <c r="D33216" s="1">
        <v>4.5528080202265997E-6</v>
      </c>
      <c r="E33216" s="1">
        <v>1.3036619865201299E-5</v>
      </c>
      <c r="F33216" s="1">
        <v>1.8603720167019601E-5</v>
      </c>
    </row>
    <row r="33217" spans="1:6" x14ac:dyDescent="0.25">
      <c r="A33217" s="2" t="str">
        <f t="shared" si="1180"/>
        <v>99999</v>
      </c>
      <c r="B33217" s="2" t="str">
        <f>"36042"</f>
        <v>36042</v>
      </c>
      <c r="C33217" s="1">
        <v>9.3203988606849197E-5</v>
      </c>
      <c r="D33217" s="1">
        <v>1.3658424060679801E-5</v>
      </c>
      <c r="E33217" s="1">
        <v>1.3036619865201299E-5</v>
      </c>
      <c r="F33217" s="1">
        <v>8.6154126548871604E-5</v>
      </c>
    </row>
    <row r="33218" spans="1:6" x14ac:dyDescent="0.25">
      <c r="A33218" s="2" t="str">
        <f t="shared" si="1180"/>
        <v>99999</v>
      </c>
      <c r="B33218" s="2" t="str">
        <f>"35973"</f>
        <v>35973</v>
      </c>
      <c r="C33218" s="1">
        <v>1.7603985201738599E-4</v>
      </c>
      <c r="D33218" s="1">
        <v>3.7940066835221703E-5</v>
      </c>
      <c r="E33218" s="1">
        <v>1.7382159820268399E-5</v>
      </c>
      <c r="F33218" s="1">
        <v>1.63354590985273E-4</v>
      </c>
    </row>
    <row r="33219" spans="1:6" x14ac:dyDescent="0.25">
      <c r="A33219" s="2" t="str">
        <f t="shared" si="1180"/>
        <v>99999</v>
      </c>
      <c r="B33219" s="2" t="str">
        <f>"35592"</f>
        <v>35592</v>
      </c>
      <c r="C33219" s="1">
        <v>2.5680209038865998E-4</v>
      </c>
      <c r="D33219" s="1">
        <v>2.0184115556337901E-4</v>
      </c>
      <c r="E33219" s="1">
        <v>6.5617653321513401E-4</v>
      </c>
      <c r="F33219" s="1">
        <v>2.62342299895351E-4</v>
      </c>
    </row>
    <row r="33220" spans="1:6" x14ac:dyDescent="0.25">
      <c r="A33220" s="2" t="str">
        <f t="shared" si="1180"/>
        <v>99999</v>
      </c>
      <c r="B33220" s="2" t="str">
        <f>"35654"</f>
        <v>35654</v>
      </c>
      <c r="C33220" s="1">
        <v>3.9093288898095198E-4</v>
      </c>
      <c r="D33220" s="1">
        <v>2.21569990317694E-4</v>
      </c>
      <c r="E33220" s="1">
        <v>2.7811455712429498E-4</v>
      </c>
      <c r="F33220" s="1">
        <v>3.7724763033870798E-4</v>
      </c>
    </row>
    <row r="33221" spans="1:6" x14ac:dyDescent="0.25">
      <c r="A33221" s="2" t="str">
        <f t="shared" si="1180"/>
        <v>99999</v>
      </c>
      <c r="B33221" s="2" t="str">
        <f>"35554"</f>
        <v>35554</v>
      </c>
      <c r="C33221" s="1">
        <v>4.1472500785249002E-5</v>
      </c>
      <c r="D33221" s="1">
        <v>1.66936294074975E-5</v>
      </c>
      <c r="E33221" s="1">
        <v>8.69107991013423E-6</v>
      </c>
      <c r="F33221" s="1">
        <v>3.9097657891116098E-5</v>
      </c>
    </row>
    <row r="33222" spans="1:6" x14ac:dyDescent="0.25">
      <c r="A33222" s="2" t="str">
        <f t="shared" si="1180"/>
        <v>99999</v>
      </c>
      <c r="B33222" s="2" t="str">
        <f>"35553"</f>
        <v>35553</v>
      </c>
      <c r="C33222" s="1">
        <v>2.6455089974590398E-4</v>
      </c>
      <c r="D33222" s="1">
        <v>1.6541869140156601E-4</v>
      </c>
      <c r="E33222" s="1">
        <v>5.21464794608054E-5</v>
      </c>
      <c r="F33222" s="1">
        <v>2.5318966751371598E-4</v>
      </c>
    </row>
    <row r="33223" spans="1:6" x14ac:dyDescent="0.25">
      <c r="A33223" s="2" t="str">
        <f t="shared" si="1180"/>
        <v>99999</v>
      </c>
      <c r="B33223" s="2" t="str">
        <f>"35552"</f>
        <v>35552</v>
      </c>
      <c r="C33223" s="1">
        <v>7.48687777333706E-5</v>
      </c>
      <c r="D33223" s="1">
        <v>3.6422464161812797E-5</v>
      </c>
      <c r="E33223" s="1">
        <v>2.1727699775335501E-5</v>
      </c>
      <c r="F33223" s="1">
        <v>7.1131871226839702E-5</v>
      </c>
    </row>
    <row r="33224" spans="1:6" x14ac:dyDescent="0.25">
      <c r="A33224" s="2" t="str">
        <f t="shared" si="1180"/>
        <v>99999</v>
      </c>
      <c r="B33224" s="2" t="str">
        <f>"35543"</f>
        <v>35543</v>
      </c>
      <c r="C33224" s="1">
        <v>6.6465139416359596E-5</v>
      </c>
      <c r="D33224" s="1">
        <v>5.6151298916128101E-5</v>
      </c>
      <c r="E33224" s="1">
        <v>3.0418779685469802E-5</v>
      </c>
      <c r="F33224" s="1">
        <v>6.4963792882694106E-5</v>
      </c>
    </row>
    <row r="33225" spans="1:6" x14ac:dyDescent="0.25">
      <c r="A33225" s="2" t="str">
        <f t="shared" si="1180"/>
        <v>99999</v>
      </c>
      <c r="B33225" s="2" t="str">
        <f>"32697"</f>
        <v>32697</v>
      </c>
      <c r="C33225" s="1">
        <v>0</v>
      </c>
      <c r="D33225" s="1">
        <v>0</v>
      </c>
      <c r="E33225" s="1">
        <v>4.3455399550671099E-6</v>
      </c>
      <c r="F33225" s="1">
        <v>9.9485134582992598E-8</v>
      </c>
    </row>
    <row r="33226" spans="1:6" x14ac:dyDescent="0.25">
      <c r="A33226" s="2" t="str">
        <f t="shared" si="1180"/>
        <v>99999</v>
      </c>
      <c r="B33226" s="2" t="str">
        <f>"32455"</f>
        <v>32455</v>
      </c>
      <c r="C33226" s="1">
        <v>1.1754179827819199E-4</v>
      </c>
      <c r="D33226" s="1">
        <v>8.8020955057714406E-5</v>
      </c>
      <c r="E33226" s="1">
        <v>3.47643196405369E-5</v>
      </c>
      <c r="F33226" s="1">
        <v>1.1371150882836E-4</v>
      </c>
    </row>
    <row r="33227" spans="1:6" x14ac:dyDescent="0.25">
      <c r="A33227" s="2" t="str">
        <f t="shared" si="1180"/>
        <v>99999</v>
      </c>
      <c r="B33227" s="2" t="str">
        <f>"32445"</f>
        <v>32445</v>
      </c>
      <c r="C33227" s="1">
        <v>6.9193593415389201E-5</v>
      </c>
      <c r="D33227" s="1">
        <v>8.1950544364078906E-5</v>
      </c>
      <c r="E33227" s="1">
        <v>2.1727699775335501E-5</v>
      </c>
      <c r="F33227" s="1">
        <v>6.8943198266013803E-5</v>
      </c>
    </row>
    <row r="33228" spans="1:6" x14ac:dyDescent="0.25">
      <c r="A33228" s="2" t="str">
        <f t="shared" si="1180"/>
        <v>99999</v>
      </c>
      <c r="B33228" s="2" t="str">
        <f>"32443"</f>
        <v>32443</v>
      </c>
      <c r="C33228" s="1">
        <v>1.76803819137114E-4</v>
      </c>
      <c r="D33228" s="1">
        <v>5.3116093569310399E-5</v>
      </c>
      <c r="E33228" s="1">
        <v>1.08638498876677E-4</v>
      </c>
      <c r="F33228" s="1">
        <v>1.6713502609942699E-4</v>
      </c>
    </row>
    <row r="33229" spans="1:6" x14ac:dyDescent="0.25">
      <c r="A33229" s="2" t="str">
        <f t="shared" si="1180"/>
        <v>99999</v>
      </c>
      <c r="B33229" s="2" t="str">
        <f>"32448"</f>
        <v>32448</v>
      </c>
      <c r="C33229" s="1">
        <v>5.4230751684711199E-4</v>
      </c>
      <c r="D33229" s="1">
        <v>7.1175565382875904E-4</v>
      </c>
      <c r="E33229" s="1">
        <v>6.6052207317020099E-4</v>
      </c>
      <c r="F33229" s="1">
        <v>5.5612190231892804E-4</v>
      </c>
    </row>
    <row r="33230" spans="1:6" x14ac:dyDescent="0.25">
      <c r="A33230" s="2" t="str">
        <f t="shared" si="1180"/>
        <v>99999</v>
      </c>
      <c r="B33230" s="2" t="str">
        <f>"32428"</f>
        <v>32428</v>
      </c>
      <c r="C33230" s="1">
        <v>8.9918929992017604E-4</v>
      </c>
      <c r="D33230" s="1">
        <v>1.06839228207984E-3</v>
      </c>
      <c r="E33230" s="1">
        <v>4.4324507541684501E-4</v>
      </c>
      <c r="F33230" s="1">
        <v>8.9984304230316802E-4</v>
      </c>
    </row>
    <row r="33231" spans="1:6" x14ac:dyDescent="0.25">
      <c r="A33231" s="2" t="str">
        <f t="shared" si="1180"/>
        <v>99999</v>
      </c>
      <c r="B33231" s="2" t="str">
        <f>"32427"</f>
        <v>32427</v>
      </c>
      <c r="C33231" s="1">
        <v>7.6833264612671904E-5</v>
      </c>
      <c r="D33231" s="1">
        <v>4.2492874855448297E-5</v>
      </c>
      <c r="E33231" s="1">
        <v>8.69107991013423E-6</v>
      </c>
      <c r="F33231" s="1">
        <v>7.3022088783916505E-5</v>
      </c>
    </row>
    <row r="33232" spans="1:6" x14ac:dyDescent="0.25">
      <c r="A33232" s="2" t="str">
        <f t="shared" si="1180"/>
        <v>99999</v>
      </c>
      <c r="B33232" s="2" t="str">
        <f>"32423"</f>
        <v>32423</v>
      </c>
      <c r="C33232" s="1">
        <v>8.6546560849217106E-5</v>
      </c>
      <c r="D33232" s="1">
        <v>2.7316848121359601E-5</v>
      </c>
      <c r="E33232" s="1">
        <v>8.69107991013423E-6</v>
      </c>
      <c r="F33232" s="1">
        <v>8.0881414415973001E-5</v>
      </c>
    </row>
    <row r="33233" spans="1:6" x14ac:dyDescent="0.25">
      <c r="A33233" s="2" t="str">
        <f t="shared" si="1180"/>
        <v>99999</v>
      </c>
      <c r="B33233" s="2" t="str">
        <f>"32054"</f>
        <v>32054</v>
      </c>
      <c r="C33233" s="1">
        <v>5.1709660189607897E-4</v>
      </c>
      <c r="D33233" s="1">
        <v>4.4313998063538897E-4</v>
      </c>
      <c r="E33233" s="1">
        <v>1.6947605824761699E-4</v>
      </c>
      <c r="F33233" s="1">
        <v>5.0429014720118897E-4</v>
      </c>
    </row>
    <row r="33234" spans="1:6" x14ac:dyDescent="0.25">
      <c r="A33234" s="2" t="str">
        <f t="shared" ref="A33234:A33297" si="1181">"99999"</f>
        <v>99999</v>
      </c>
      <c r="B33234" s="2" t="str">
        <f>"32044"</f>
        <v>32044</v>
      </c>
      <c r="C33234" s="1">
        <v>7.8797751491973194E-5</v>
      </c>
      <c r="D33234" s="1">
        <v>3.6422464161812797E-5</v>
      </c>
      <c r="E33234" s="1">
        <v>1.7382159820268399E-5</v>
      </c>
      <c r="F33234" s="1">
        <v>7.46138509372444E-5</v>
      </c>
    </row>
    <row r="33235" spans="1:6" x14ac:dyDescent="0.25">
      <c r="A33235" s="2" t="str">
        <f t="shared" si="1181"/>
        <v>99999</v>
      </c>
      <c r="B33235" s="2" t="str">
        <f>"31812"</f>
        <v>31812</v>
      </c>
      <c r="C33235" s="1">
        <v>7.8579475172050803E-6</v>
      </c>
      <c r="D33235" s="1">
        <v>1.51760267340886E-6</v>
      </c>
      <c r="E33235" s="1">
        <v>0</v>
      </c>
      <c r="F33235" s="1">
        <v>7.2624148245584604E-6</v>
      </c>
    </row>
    <row r="33236" spans="1:6" x14ac:dyDescent="0.25">
      <c r="A33236" s="2" t="str">
        <f t="shared" si="1181"/>
        <v>99999</v>
      </c>
      <c r="B33236" s="2" t="str">
        <f>"31730"</f>
        <v>31730</v>
      </c>
      <c r="C33236" s="1">
        <v>4.9548724622376498E-4</v>
      </c>
      <c r="D33236" s="1">
        <v>9.1056160404532098E-4</v>
      </c>
      <c r="E33236" s="1">
        <v>4.1717183568644299E-4</v>
      </c>
      <c r="F33236" s="1">
        <v>5.2090416467654897E-4</v>
      </c>
    </row>
    <row r="33237" spans="1:6" x14ac:dyDescent="0.25">
      <c r="A33237" s="2" t="str">
        <f t="shared" si="1181"/>
        <v>99999</v>
      </c>
      <c r="B33237" s="2" t="str">
        <f>"31803"</f>
        <v>31803</v>
      </c>
      <c r="C33237" s="1">
        <v>3.2741447988354498E-7</v>
      </c>
      <c r="D33237" s="1">
        <v>0</v>
      </c>
      <c r="E33237" s="1">
        <v>0</v>
      </c>
      <c r="F33237" s="1">
        <v>2.9845540374897701E-7</v>
      </c>
    </row>
    <row r="33238" spans="1:6" x14ac:dyDescent="0.25">
      <c r="A33238" s="2" t="str">
        <f t="shared" si="1181"/>
        <v>99999</v>
      </c>
      <c r="B33238" s="2" t="str">
        <f>"31544"</f>
        <v>31544</v>
      </c>
      <c r="C33238" s="1">
        <v>4.1035948145404301E-5</v>
      </c>
      <c r="D33238" s="1">
        <v>2.2764040101133E-5</v>
      </c>
      <c r="E33238" s="1">
        <v>0</v>
      </c>
      <c r="F33238" s="1">
        <v>3.8898687621950101E-5</v>
      </c>
    </row>
    <row r="33239" spans="1:6" x14ac:dyDescent="0.25">
      <c r="A33239" s="2" t="str">
        <f t="shared" si="1181"/>
        <v>99999</v>
      </c>
      <c r="B33239" s="2" t="str">
        <f>"31642"</f>
        <v>31642</v>
      </c>
      <c r="C33239" s="1">
        <v>2.5101776791071799E-6</v>
      </c>
      <c r="D33239" s="1">
        <v>0</v>
      </c>
      <c r="E33239" s="1">
        <v>0</v>
      </c>
      <c r="F33239" s="1">
        <v>2.2881580954088299E-6</v>
      </c>
    </row>
    <row r="33240" spans="1:6" x14ac:dyDescent="0.25">
      <c r="A33240" s="2" t="str">
        <f t="shared" si="1181"/>
        <v>99999</v>
      </c>
      <c r="B33240" s="2" t="str">
        <f>"31645"</f>
        <v>31645</v>
      </c>
      <c r="C33240" s="1">
        <v>1.5672239770425601E-4</v>
      </c>
      <c r="D33240" s="1">
        <v>4.4010477528857203E-5</v>
      </c>
      <c r="E33240" s="1">
        <v>1.0429295892161E-4</v>
      </c>
      <c r="F33240" s="1">
        <v>1.48133365394076E-4</v>
      </c>
    </row>
    <row r="33241" spans="1:6" x14ac:dyDescent="0.25">
      <c r="A33241" s="2" t="str">
        <f t="shared" si="1181"/>
        <v>99999</v>
      </c>
      <c r="B33241" s="2" t="str">
        <f>"31639"</f>
        <v>31639</v>
      </c>
      <c r="C33241" s="1">
        <v>5.4623649060571401E-4</v>
      </c>
      <c r="D33241" s="1">
        <v>8.4985749710896595E-4</v>
      </c>
      <c r="E33241" s="1">
        <v>4.7800939505738199E-4</v>
      </c>
      <c r="F33241" s="1">
        <v>5.6457813875848304E-4</v>
      </c>
    </row>
    <row r="33242" spans="1:6" x14ac:dyDescent="0.25">
      <c r="A33242" s="2" t="str">
        <f t="shared" si="1181"/>
        <v>99999</v>
      </c>
      <c r="B33242" s="2" t="str">
        <f>"31519"</f>
        <v>31519</v>
      </c>
      <c r="C33242" s="1">
        <v>6.4391514377097196E-6</v>
      </c>
      <c r="D33242" s="1">
        <v>3.0352053468177301E-6</v>
      </c>
      <c r="E33242" s="1">
        <v>4.3455399550671099E-6</v>
      </c>
      <c r="F33242" s="1">
        <v>6.1680783441455402E-6</v>
      </c>
    </row>
    <row r="33243" spans="1:6" x14ac:dyDescent="0.25">
      <c r="A33243" s="2" t="str">
        <f t="shared" si="1181"/>
        <v>99999</v>
      </c>
      <c r="B33243" s="2" t="str">
        <f>"31083"</f>
        <v>31083</v>
      </c>
      <c r="C33243" s="1">
        <v>0</v>
      </c>
      <c r="D33243" s="1">
        <v>1.51760267340886E-6</v>
      </c>
      <c r="E33243" s="1">
        <v>4.3455399550671099E-6</v>
      </c>
      <c r="F33243" s="1">
        <v>1.9897026916598501E-7</v>
      </c>
    </row>
    <row r="33244" spans="1:6" x14ac:dyDescent="0.25">
      <c r="A33244" s="2" t="str">
        <f t="shared" si="1181"/>
        <v>99999</v>
      </c>
      <c r="B33244" s="2" t="str">
        <f>"31087"</f>
        <v>31087</v>
      </c>
      <c r="C33244" s="1">
        <v>1.0913815996118101E-6</v>
      </c>
      <c r="D33244" s="1">
        <v>1.51760267340886E-6</v>
      </c>
      <c r="E33244" s="1">
        <v>0</v>
      </c>
      <c r="F33244" s="1">
        <v>1.09433648041291E-6</v>
      </c>
    </row>
    <row r="33245" spans="1:6" x14ac:dyDescent="0.25">
      <c r="A33245" s="2" t="str">
        <f t="shared" si="1181"/>
        <v>99999</v>
      </c>
      <c r="B33245" s="2" t="str">
        <f>"31079"</f>
        <v>31079</v>
      </c>
      <c r="C33245" s="1">
        <v>1.09792988920948E-4</v>
      </c>
      <c r="D33245" s="1">
        <v>6.8292120303399095E-5</v>
      </c>
      <c r="E33245" s="1">
        <v>1.7382159820268399E-5</v>
      </c>
      <c r="F33245" s="1">
        <v>1.04956816985057E-4</v>
      </c>
    </row>
    <row r="33246" spans="1:6" x14ac:dyDescent="0.25">
      <c r="A33246" s="2" t="str">
        <f t="shared" si="1181"/>
        <v>99999</v>
      </c>
      <c r="B33246" s="2" t="str">
        <f>"31068"</f>
        <v>31068</v>
      </c>
      <c r="C33246" s="1">
        <v>1.19506285157494E-4</v>
      </c>
      <c r="D33246" s="1">
        <v>5.0080888222492601E-5</v>
      </c>
      <c r="E33246" s="1">
        <v>4.3455399550671103E-5</v>
      </c>
      <c r="F33246" s="1">
        <v>1.13214083155445E-4</v>
      </c>
    </row>
    <row r="33247" spans="1:6" x14ac:dyDescent="0.25">
      <c r="A33247" s="2" t="str">
        <f t="shared" si="1181"/>
        <v>99999</v>
      </c>
      <c r="B33247" s="2" t="str">
        <f>"30822"</f>
        <v>30822</v>
      </c>
      <c r="C33247" s="1">
        <v>0</v>
      </c>
      <c r="D33247" s="1">
        <v>1.51760267340886E-6</v>
      </c>
      <c r="E33247" s="1">
        <v>0</v>
      </c>
      <c r="F33247" s="1">
        <v>9.9485134582992598E-8</v>
      </c>
    </row>
    <row r="33248" spans="1:6" x14ac:dyDescent="0.25">
      <c r="A33248" s="2" t="str">
        <f t="shared" si="1181"/>
        <v>99999</v>
      </c>
      <c r="B33248" s="2" t="str">
        <f>"30819"</f>
        <v>30819</v>
      </c>
      <c r="C33248" s="1">
        <v>0</v>
      </c>
      <c r="D33248" s="1">
        <v>1.51760267340886E-6</v>
      </c>
      <c r="E33248" s="1">
        <v>0</v>
      </c>
      <c r="F33248" s="1">
        <v>9.9485134582992598E-8</v>
      </c>
    </row>
    <row r="33249" spans="1:6" x14ac:dyDescent="0.25">
      <c r="A33249" s="2" t="str">
        <f t="shared" si="1181"/>
        <v>99999</v>
      </c>
      <c r="B33249" s="2" t="str">
        <f>"30817"</f>
        <v>30817</v>
      </c>
      <c r="C33249" s="1">
        <v>4.6929408783308102E-6</v>
      </c>
      <c r="D33249" s="1">
        <v>0</v>
      </c>
      <c r="E33249" s="1">
        <v>0</v>
      </c>
      <c r="F33249" s="1">
        <v>4.2778607870686803E-6</v>
      </c>
    </row>
    <row r="33250" spans="1:6" x14ac:dyDescent="0.25">
      <c r="A33250" s="2" t="str">
        <f t="shared" si="1181"/>
        <v>99999</v>
      </c>
      <c r="B33250" s="2" t="str">
        <f>"30660"</f>
        <v>30660</v>
      </c>
      <c r="C33250" s="1">
        <v>5.8607191899154502E-5</v>
      </c>
      <c r="D33250" s="1">
        <v>1.9728834754315301E-5</v>
      </c>
      <c r="E33250" s="1">
        <v>8.69107991013423E-6</v>
      </c>
      <c r="F33250" s="1">
        <v>5.49157942898119E-5</v>
      </c>
    </row>
    <row r="33251" spans="1:6" x14ac:dyDescent="0.25">
      <c r="A33251" s="2" t="str">
        <f t="shared" si="1181"/>
        <v>99999</v>
      </c>
      <c r="B33251" s="2" t="str">
        <f>"30678"</f>
        <v>30678</v>
      </c>
      <c r="C33251" s="1">
        <v>7.6614988292749499E-5</v>
      </c>
      <c r="D33251" s="1">
        <v>2.2764040101133E-5</v>
      </c>
      <c r="E33251" s="1">
        <v>1.3036619865201299E-5</v>
      </c>
      <c r="F33251" s="1">
        <v>7.1629296899754607E-5</v>
      </c>
    </row>
    <row r="33252" spans="1:6" x14ac:dyDescent="0.25">
      <c r="A33252" s="2" t="str">
        <f t="shared" si="1181"/>
        <v>99999</v>
      </c>
      <c r="B33252" s="2" t="str">
        <f>"30582"</f>
        <v>30582</v>
      </c>
      <c r="C33252" s="1">
        <v>5.3248508245060501E-4</v>
      </c>
      <c r="D33252" s="1">
        <v>3.5815423092449297E-4</v>
      </c>
      <c r="E33252" s="1">
        <v>2.2162253770842199E-4</v>
      </c>
      <c r="F33252" s="1">
        <v>5.13940205255739E-4</v>
      </c>
    </row>
    <row r="33253" spans="1:6" x14ac:dyDescent="0.25">
      <c r="A33253" s="2" t="str">
        <f t="shared" si="1181"/>
        <v>99999</v>
      </c>
      <c r="B33253" s="2" t="str">
        <f>"30520"</f>
        <v>30520</v>
      </c>
      <c r="C33253" s="1">
        <v>2.40649642714405E-4</v>
      </c>
      <c r="D33253" s="1">
        <v>1.3203143258657101E-4</v>
      </c>
      <c r="E33253" s="1">
        <v>4.3455399550671099E-6</v>
      </c>
      <c r="F33253" s="1">
        <v>2.2811941359880201E-4</v>
      </c>
    </row>
    <row r="33254" spans="1:6" x14ac:dyDescent="0.25">
      <c r="A33254" s="2" t="str">
        <f t="shared" si="1181"/>
        <v>99999</v>
      </c>
      <c r="B33254" s="2" t="str">
        <f>"30560"</f>
        <v>30560</v>
      </c>
      <c r="C33254" s="1">
        <v>4.5117715327952501E-4</v>
      </c>
      <c r="D33254" s="1">
        <v>1.73006704768611E-4</v>
      </c>
      <c r="E33254" s="1">
        <v>4.7800939505738197E-5</v>
      </c>
      <c r="F33254" s="1">
        <v>4.2370718818896501E-4</v>
      </c>
    </row>
    <row r="33255" spans="1:6" x14ac:dyDescent="0.25">
      <c r="A33255" s="2" t="str">
        <f t="shared" si="1181"/>
        <v>99999</v>
      </c>
      <c r="B33255" s="2" t="str">
        <f>"30417"</f>
        <v>30417</v>
      </c>
      <c r="C33255" s="1">
        <v>5.4481769452621905E-4</v>
      </c>
      <c r="D33255" s="1">
        <v>6.6926277897331099E-4</v>
      </c>
      <c r="E33255" s="1">
        <v>3.9544413591110703E-4</v>
      </c>
      <c r="F33255" s="1">
        <v>5.4955588343645102E-4</v>
      </c>
    </row>
    <row r="33256" spans="1:6" x14ac:dyDescent="0.25">
      <c r="A33256" s="2" t="str">
        <f t="shared" si="1181"/>
        <v>99999</v>
      </c>
      <c r="B33256" s="2" t="str">
        <f>"30448"</f>
        <v>30448</v>
      </c>
      <c r="C33256" s="1">
        <v>0</v>
      </c>
      <c r="D33256" s="1">
        <v>1.51760267340886E-6</v>
      </c>
      <c r="E33256" s="1">
        <v>0</v>
      </c>
      <c r="F33256" s="1">
        <v>9.9485134582992598E-8</v>
      </c>
    </row>
    <row r="33257" spans="1:6" x14ac:dyDescent="0.25">
      <c r="A33257" s="2" t="str">
        <f t="shared" si="1181"/>
        <v>99999</v>
      </c>
      <c r="B33257" s="2" t="str">
        <f>"30429"</f>
        <v>30429</v>
      </c>
      <c r="C33257" s="1">
        <v>0</v>
      </c>
      <c r="D33257" s="1">
        <v>1.51760267340886E-6</v>
      </c>
      <c r="E33257" s="1">
        <v>0</v>
      </c>
      <c r="F33257" s="1">
        <v>9.9485134582992598E-8</v>
      </c>
    </row>
    <row r="33258" spans="1:6" x14ac:dyDescent="0.25">
      <c r="A33258" s="2" t="str">
        <f t="shared" si="1181"/>
        <v>99999</v>
      </c>
      <c r="B33258" s="2" t="str">
        <f>"30452"</f>
        <v>30452</v>
      </c>
      <c r="C33258" s="1">
        <v>4.4746645584084504E-6</v>
      </c>
      <c r="D33258" s="1">
        <v>3.0352053468177301E-6</v>
      </c>
      <c r="E33258" s="1">
        <v>0</v>
      </c>
      <c r="F33258" s="1">
        <v>4.2778607870686803E-6</v>
      </c>
    </row>
    <row r="33259" spans="1:6" x14ac:dyDescent="0.25">
      <c r="A33259" s="2" t="str">
        <f t="shared" si="1181"/>
        <v>99999</v>
      </c>
      <c r="B33259" s="2" t="str">
        <f>"30453"</f>
        <v>30453</v>
      </c>
      <c r="C33259" s="1">
        <v>2.3977653743471601E-4</v>
      </c>
      <c r="D33259" s="1">
        <v>8.1950544364078906E-5</v>
      </c>
      <c r="E33259" s="1">
        <v>8.2565259146275205E-5</v>
      </c>
      <c r="F33259" s="1">
        <v>2.2583125550339301E-4</v>
      </c>
    </row>
    <row r="33260" spans="1:6" x14ac:dyDescent="0.25">
      <c r="A33260" s="2" t="str">
        <f t="shared" si="1181"/>
        <v>99999</v>
      </c>
      <c r="B33260" s="2" t="str">
        <f>"05863"</f>
        <v>05863</v>
      </c>
      <c r="C33260" s="1">
        <v>0</v>
      </c>
      <c r="D33260" s="1">
        <v>1.51760267340886E-6</v>
      </c>
      <c r="E33260" s="1">
        <v>0</v>
      </c>
      <c r="F33260" s="1">
        <v>9.9485134582992598E-8</v>
      </c>
    </row>
    <row r="33261" spans="1:6" x14ac:dyDescent="0.25">
      <c r="A33261" s="2" t="str">
        <f t="shared" si="1181"/>
        <v>99999</v>
      </c>
      <c r="B33261" s="2" t="str">
        <f>"05875"</f>
        <v>05875</v>
      </c>
      <c r="C33261" s="1">
        <v>4.07085336655207E-5</v>
      </c>
      <c r="D33261" s="1">
        <v>1.5176026734088599E-5</v>
      </c>
      <c r="E33261" s="1">
        <v>8.69107991013423E-6</v>
      </c>
      <c r="F33261" s="1">
        <v>3.8301776814452097E-5</v>
      </c>
    </row>
    <row r="33262" spans="1:6" x14ac:dyDescent="0.25">
      <c r="A33262" s="2" t="str">
        <f t="shared" si="1181"/>
        <v>99999</v>
      </c>
      <c r="B33262" s="2" t="str">
        <f>"05847"</f>
        <v>05847</v>
      </c>
      <c r="C33262" s="1">
        <v>5.2058902301483599E-5</v>
      </c>
      <c r="D33262" s="1">
        <v>1.21408213872709E-5</v>
      </c>
      <c r="E33262" s="1">
        <v>1.3036619865201299E-5</v>
      </c>
      <c r="F33262" s="1">
        <v>4.8548745676500402E-5</v>
      </c>
    </row>
    <row r="33263" spans="1:6" x14ac:dyDescent="0.25">
      <c r="A33263" s="2" t="str">
        <f t="shared" si="1181"/>
        <v>99999</v>
      </c>
      <c r="B33263" s="2" t="str">
        <f>"05855"</f>
        <v>05855</v>
      </c>
      <c r="C33263" s="1">
        <v>4.1308793545307202E-4</v>
      </c>
      <c r="D33263" s="1">
        <v>8.2861105968124198E-4</v>
      </c>
      <c r="E33263" s="1">
        <v>1.8425089409484501E-3</v>
      </c>
      <c r="F33263" s="1">
        <v>4.7305181494212902E-4</v>
      </c>
    </row>
    <row r="33264" spans="1:6" x14ac:dyDescent="0.25">
      <c r="A33264" s="2" t="str">
        <f t="shared" si="1181"/>
        <v>99999</v>
      </c>
      <c r="B33264" s="2" t="str">
        <f>"05492"</f>
        <v>05492</v>
      </c>
      <c r="C33264" s="1">
        <v>3.5579040147345198E-5</v>
      </c>
      <c r="D33264" s="1">
        <v>1.5176026734088599E-5</v>
      </c>
      <c r="E33264" s="1">
        <v>2.60732397304027E-5</v>
      </c>
      <c r="F33264" s="1">
        <v>3.4023916027383398E-5</v>
      </c>
    </row>
    <row r="33265" spans="1:6" x14ac:dyDescent="0.25">
      <c r="A33265" s="2" t="str">
        <f t="shared" si="1181"/>
        <v>99999</v>
      </c>
      <c r="B33265" s="2" t="str">
        <f>"05355"</f>
        <v>05355</v>
      </c>
      <c r="C33265" s="1">
        <v>1.7243829273866699E-5</v>
      </c>
      <c r="D33265" s="1">
        <v>3.0352053468177301E-6</v>
      </c>
      <c r="E33265" s="1">
        <v>4.3455399550671099E-6</v>
      </c>
      <c r="F33265" s="1">
        <v>1.6017106667861799E-5</v>
      </c>
    </row>
    <row r="33266" spans="1:6" x14ac:dyDescent="0.25">
      <c r="A33266" s="2" t="str">
        <f t="shared" si="1181"/>
        <v>99999</v>
      </c>
      <c r="B33266" s="2" t="str">
        <f>"05356"</f>
        <v>05356</v>
      </c>
      <c r="C33266" s="1">
        <v>5.45690799805908E-5</v>
      </c>
      <c r="D33266" s="1">
        <v>2.7316848121359601E-5</v>
      </c>
      <c r="E33266" s="1">
        <v>2.60732397304027E-5</v>
      </c>
      <c r="F33266" s="1">
        <v>5.2130210521488097E-5</v>
      </c>
    </row>
    <row r="33267" spans="1:6" x14ac:dyDescent="0.25">
      <c r="A33267" s="2" t="str">
        <f t="shared" si="1181"/>
        <v>99999</v>
      </c>
      <c r="B33267" s="2" t="str">
        <f>"05050"</f>
        <v>05050</v>
      </c>
      <c r="C33267" s="1">
        <v>9.71329623654517E-6</v>
      </c>
      <c r="D33267" s="1">
        <v>1.51760267340886E-6</v>
      </c>
      <c r="E33267" s="1">
        <v>0</v>
      </c>
      <c r="F33267" s="1">
        <v>8.9536621124693292E-6</v>
      </c>
    </row>
    <row r="33268" spans="1:6" x14ac:dyDescent="0.25">
      <c r="A33268" s="2" t="str">
        <f t="shared" si="1181"/>
        <v>99999</v>
      </c>
      <c r="B33268" s="2" t="str">
        <f>"05042"</f>
        <v>05042</v>
      </c>
      <c r="C33268" s="1">
        <v>3.0340408469208501E-5</v>
      </c>
      <c r="D33268" s="1">
        <v>1.21408213872709E-5</v>
      </c>
      <c r="E33268" s="1">
        <v>1.7382159820268399E-5</v>
      </c>
      <c r="F33268" s="1">
        <v>2.88506890290678E-5</v>
      </c>
    </row>
    <row r="33269" spans="1:6" x14ac:dyDescent="0.25">
      <c r="A33269" s="2" t="str">
        <f t="shared" si="1181"/>
        <v>99999</v>
      </c>
      <c r="B33269" s="2" t="str">
        <f>"04982"</f>
        <v>04982</v>
      </c>
      <c r="C33269" s="1">
        <v>7.6396711972827196E-6</v>
      </c>
      <c r="D33269" s="1">
        <v>1.51760267340886E-6</v>
      </c>
      <c r="E33269" s="1">
        <v>2.1727699775335501E-5</v>
      </c>
      <c r="F33269" s="1">
        <v>7.5608702283074398E-6</v>
      </c>
    </row>
    <row r="33270" spans="1:6" x14ac:dyDescent="0.25">
      <c r="A33270" s="2" t="str">
        <f t="shared" si="1181"/>
        <v>99999</v>
      </c>
      <c r="B33270" s="2" t="str">
        <f>"04983"</f>
        <v>04983</v>
      </c>
      <c r="C33270" s="1">
        <v>6.7883935495855003E-5</v>
      </c>
      <c r="D33270" s="1">
        <v>3.3387258814995101E-5</v>
      </c>
      <c r="E33270" s="1">
        <v>5.6492019415872502E-5</v>
      </c>
      <c r="F33270" s="1">
        <v>6.53617334210261E-5</v>
      </c>
    </row>
    <row r="33271" spans="1:6" x14ac:dyDescent="0.25">
      <c r="A33271" s="2" t="str">
        <f t="shared" si="1181"/>
        <v>99999</v>
      </c>
      <c r="B33271" s="2" t="str">
        <f>"04976"</f>
        <v>04976</v>
      </c>
      <c r="C33271" s="1">
        <v>5.4001561548792704E-4</v>
      </c>
      <c r="D33271" s="1">
        <v>6.4498113619876904E-4</v>
      </c>
      <c r="E33271" s="1">
        <v>2.1944976773088901E-3</v>
      </c>
      <c r="F33271" s="1">
        <v>5.8477362107882999E-4</v>
      </c>
    </row>
    <row r="33272" spans="1:6" x14ac:dyDescent="0.25">
      <c r="A33272" s="2" t="str">
        <f t="shared" si="1181"/>
        <v>99999</v>
      </c>
      <c r="B33272" s="2" t="str">
        <f>"04920"</f>
        <v>04920</v>
      </c>
      <c r="C33272" s="1">
        <v>6.10082314183005E-5</v>
      </c>
      <c r="D33272" s="1">
        <v>7.5880133670443404E-6</v>
      </c>
      <c r="E33272" s="1">
        <v>6.9528639281073799E-5</v>
      </c>
      <c r="F33272" s="1">
        <v>5.7701378058135702E-5</v>
      </c>
    </row>
    <row r="33273" spans="1:6" x14ac:dyDescent="0.25">
      <c r="A33273" s="2" t="str">
        <f t="shared" si="1181"/>
        <v>99999</v>
      </c>
      <c r="B33273" s="2" t="str">
        <f>"04852"</f>
        <v>04852</v>
      </c>
      <c r="C33273" s="1">
        <v>0</v>
      </c>
      <c r="D33273" s="1">
        <v>0</v>
      </c>
      <c r="E33273" s="1">
        <v>4.3455399550671099E-6</v>
      </c>
      <c r="F33273" s="1">
        <v>9.9485134582992598E-8</v>
      </c>
    </row>
    <row r="33274" spans="1:6" x14ac:dyDescent="0.25">
      <c r="A33274" s="2" t="str">
        <f t="shared" si="1181"/>
        <v>99999</v>
      </c>
      <c r="B33274" s="2" t="str">
        <f>"04859"</f>
        <v>04859</v>
      </c>
      <c r="C33274" s="1">
        <v>3.3941967747927502E-5</v>
      </c>
      <c r="D33274" s="1">
        <v>6.0704106936354696E-6</v>
      </c>
      <c r="E33274" s="1">
        <v>8.69107991013423E-6</v>
      </c>
      <c r="F33274" s="1">
        <v>3.1536787662808598E-5</v>
      </c>
    </row>
    <row r="33275" spans="1:6" x14ac:dyDescent="0.25">
      <c r="A33275" s="2" t="str">
        <f t="shared" si="1181"/>
        <v>99999</v>
      </c>
      <c r="B33275" s="2" t="str">
        <f>"04854"</f>
        <v>04854</v>
      </c>
      <c r="C33275" s="1">
        <v>9.3313126766810298E-5</v>
      </c>
      <c r="D33275" s="1">
        <v>1.8211232080906399E-5</v>
      </c>
      <c r="E33275" s="1">
        <v>4.7800939505738197E-5</v>
      </c>
      <c r="F33275" s="1">
        <v>8.7347948163867505E-5</v>
      </c>
    </row>
    <row r="33276" spans="1:6" x14ac:dyDescent="0.25">
      <c r="A33276" s="2" t="str">
        <f t="shared" si="1181"/>
        <v>99999</v>
      </c>
      <c r="B33276" s="2" t="str">
        <f>"04849"</f>
        <v>04849</v>
      </c>
      <c r="C33276" s="1">
        <v>3.06350815011037E-4</v>
      </c>
      <c r="D33276" s="1">
        <v>1.5631307536111301E-4</v>
      </c>
      <c r="E33276" s="1">
        <v>2.5638685734895902E-4</v>
      </c>
      <c r="F33276" s="1">
        <v>2.9537136457690502E-4</v>
      </c>
    </row>
    <row r="33277" spans="1:6" x14ac:dyDescent="0.25">
      <c r="A33277" s="2" t="str">
        <f t="shared" si="1181"/>
        <v>99999</v>
      </c>
      <c r="B33277" s="2" t="str">
        <f>"04865"</f>
        <v>04865</v>
      </c>
      <c r="C33277" s="1">
        <v>0</v>
      </c>
      <c r="D33277" s="1">
        <v>0</v>
      </c>
      <c r="E33277" s="1">
        <v>4.3455399550671099E-6</v>
      </c>
      <c r="F33277" s="1">
        <v>9.9485134582992598E-8</v>
      </c>
    </row>
    <row r="33278" spans="1:6" x14ac:dyDescent="0.25">
      <c r="A33278" s="2" t="str">
        <f t="shared" si="1181"/>
        <v>99999</v>
      </c>
      <c r="B33278" s="2" t="str">
        <f>"04861"</f>
        <v>04861</v>
      </c>
      <c r="C33278" s="1">
        <v>1.5301170026557601E-4</v>
      </c>
      <c r="D33278" s="1">
        <v>2.18534784970877E-4</v>
      </c>
      <c r="E33278" s="1">
        <v>3.0418779685469798E-4</v>
      </c>
      <c r="F33278" s="1">
        <v>1.60767977486116E-4</v>
      </c>
    </row>
    <row r="33279" spans="1:6" x14ac:dyDescent="0.25">
      <c r="A33279" s="2" t="str">
        <f t="shared" si="1181"/>
        <v>99999</v>
      </c>
      <c r="B33279" s="2" t="str">
        <f>"04779"</f>
        <v>04779</v>
      </c>
      <c r="C33279" s="1">
        <v>3.2850586148315701E-5</v>
      </c>
      <c r="D33279" s="1">
        <v>7.5880133670443404E-6</v>
      </c>
      <c r="E33279" s="1">
        <v>4.3455399550671099E-6</v>
      </c>
      <c r="F33279" s="1">
        <v>3.0541936316978701E-5</v>
      </c>
    </row>
    <row r="33280" spans="1:6" x14ac:dyDescent="0.25">
      <c r="A33280" s="2" t="str">
        <f t="shared" si="1181"/>
        <v>99999</v>
      </c>
      <c r="B33280" s="2" t="str">
        <f>"04786"</f>
        <v>04786</v>
      </c>
      <c r="C33280" s="1">
        <v>6.9957560535117394E-5</v>
      </c>
      <c r="D33280" s="1">
        <v>2.2764040101133E-5</v>
      </c>
      <c r="E33280" s="1">
        <v>1.3471173860707999E-4</v>
      </c>
      <c r="F33280" s="1">
        <v>6.8346287458515906E-5</v>
      </c>
    </row>
    <row r="33281" spans="1:6" x14ac:dyDescent="0.25">
      <c r="A33281" s="2" t="str">
        <f t="shared" si="1181"/>
        <v>99999</v>
      </c>
      <c r="B33281" s="2" t="str">
        <f>"04772"</f>
        <v>04772</v>
      </c>
      <c r="C33281" s="1">
        <v>3.1213513748897903E-5</v>
      </c>
      <c r="D33281" s="1">
        <v>9.1056160404532095E-6</v>
      </c>
      <c r="E33281" s="1">
        <v>3.0418779685469802E-5</v>
      </c>
      <c r="F33281" s="1">
        <v>2.9746055240314699E-5</v>
      </c>
    </row>
    <row r="33282" spans="1:6" x14ac:dyDescent="0.25">
      <c r="A33282" s="2" t="str">
        <f t="shared" si="1181"/>
        <v>99999</v>
      </c>
      <c r="B33282" s="2" t="str">
        <f>"04766"</f>
        <v>04766</v>
      </c>
      <c r="C33282" s="1">
        <v>2.1063664872508E-5</v>
      </c>
      <c r="D33282" s="1">
        <v>3.0352053468177301E-6</v>
      </c>
      <c r="E33282" s="1">
        <v>4.3455399550671099E-6</v>
      </c>
      <c r="F33282" s="1">
        <v>1.9499086378266499E-5</v>
      </c>
    </row>
    <row r="33283" spans="1:6" x14ac:dyDescent="0.25">
      <c r="A33283" s="2" t="str">
        <f t="shared" si="1181"/>
        <v>99999</v>
      </c>
      <c r="B33283" s="2" t="str">
        <f>"04762"</f>
        <v>04762</v>
      </c>
      <c r="C33283" s="1">
        <v>3.3723691428005097E-5</v>
      </c>
      <c r="D33283" s="1">
        <v>1.66936294074975E-5</v>
      </c>
      <c r="E33283" s="1">
        <v>1.7382159820268399E-5</v>
      </c>
      <c r="F33283" s="1">
        <v>3.2233183604889601E-5</v>
      </c>
    </row>
    <row r="33284" spans="1:6" x14ac:dyDescent="0.25">
      <c r="A33284" s="2" t="str">
        <f t="shared" si="1181"/>
        <v>99999</v>
      </c>
      <c r="B33284" s="2" t="str">
        <f>"04685"</f>
        <v>04685</v>
      </c>
      <c r="C33284" s="1">
        <v>1.8116934553556101E-5</v>
      </c>
      <c r="D33284" s="1">
        <v>3.0352053468177301E-6</v>
      </c>
      <c r="E33284" s="1">
        <v>3.47643196405369E-5</v>
      </c>
      <c r="F33284" s="1">
        <v>1.7509383686606702E-5</v>
      </c>
    </row>
    <row r="33285" spans="1:6" x14ac:dyDescent="0.25">
      <c r="A33285" s="2" t="str">
        <f t="shared" si="1181"/>
        <v>99999</v>
      </c>
      <c r="B33285" s="2" t="str">
        <f>"04681"</f>
        <v>04681</v>
      </c>
      <c r="C33285" s="1">
        <v>6.2754441977679501E-5</v>
      </c>
      <c r="D33285" s="1">
        <v>2.88344507947685E-5</v>
      </c>
      <c r="E33285" s="1">
        <v>6.5183099326006705E-5</v>
      </c>
      <c r="F33285" s="1">
        <v>6.0586446961042497E-5</v>
      </c>
    </row>
    <row r="33286" spans="1:6" x14ac:dyDescent="0.25">
      <c r="A33286" s="2" t="str">
        <f t="shared" si="1181"/>
        <v>99999</v>
      </c>
      <c r="B33286" s="2" t="str">
        <f>"04676"</f>
        <v>04676</v>
      </c>
      <c r="C33286" s="1">
        <v>5.8716330059115698E-5</v>
      </c>
      <c r="D33286" s="1">
        <v>3.4904861488403899E-5</v>
      </c>
      <c r="E33286" s="1">
        <v>3.9109859595604001E-5</v>
      </c>
      <c r="F33286" s="1">
        <v>5.6706526712305799E-5</v>
      </c>
    </row>
    <row r="33287" spans="1:6" x14ac:dyDescent="0.25">
      <c r="A33287" s="2" t="str">
        <f t="shared" si="1181"/>
        <v>99999</v>
      </c>
      <c r="B33287" s="2" t="str">
        <f>"04735"</f>
        <v>04735</v>
      </c>
      <c r="C33287" s="1">
        <v>3.0231270309247298E-5</v>
      </c>
      <c r="D33287" s="1">
        <v>2.4281642774541899E-5</v>
      </c>
      <c r="E33287" s="1">
        <v>4.3455399550671099E-6</v>
      </c>
      <c r="F33287" s="1">
        <v>2.9248629567399801E-5</v>
      </c>
    </row>
    <row r="33288" spans="1:6" x14ac:dyDescent="0.25">
      <c r="A33288" s="2" t="str">
        <f t="shared" si="1181"/>
        <v>99999</v>
      </c>
      <c r="B33288" s="2" t="str">
        <f>"04740"</f>
        <v>04740</v>
      </c>
      <c r="C33288" s="1">
        <v>5.8498053739193401E-5</v>
      </c>
      <c r="D33288" s="1">
        <v>3.0352053468177301E-5</v>
      </c>
      <c r="E33288" s="1">
        <v>8.2565259146275205E-5</v>
      </c>
      <c r="F33288" s="1">
        <v>5.7203952385220703E-5</v>
      </c>
    </row>
    <row r="33289" spans="1:6" x14ac:dyDescent="0.25">
      <c r="A33289" s="2" t="str">
        <f t="shared" si="1181"/>
        <v>99999</v>
      </c>
      <c r="B33289" s="2" t="str">
        <f>"04739"</f>
        <v>04739</v>
      </c>
      <c r="C33289" s="1">
        <v>4.8784757502648199E-5</v>
      </c>
      <c r="D33289" s="1">
        <v>1.0623218713862E-5</v>
      </c>
      <c r="E33289" s="1">
        <v>7.3874179236140894E-5</v>
      </c>
      <c r="F33289" s="1">
        <v>4.6857498388589501E-5</v>
      </c>
    </row>
    <row r="33290" spans="1:6" x14ac:dyDescent="0.25">
      <c r="A33290" s="2" t="str">
        <f t="shared" si="1181"/>
        <v>99999</v>
      </c>
      <c r="B33290" s="2" t="str">
        <f>"04644"</f>
        <v>04644</v>
      </c>
      <c r="C33290" s="1">
        <v>0</v>
      </c>
      <c r="D33290" s="1">
        <v>0</v>
      </c>
      <c r="E33290" s="1">
        <v>4.3455399550671099E-6</v>
      </c>
      <c r="F33290" s="1">
        <v>9.9485134582992598E-8</v>
      </c>
    </row>
    <row r="33291" spans="1:6" x14ac:dyDescent="0.25">
      <c r="A33291" s="2" t="str">
        <f t="shared" si="1181"/>
        <v>99999</v>
      </c>
      <c r="B33291" s="2" t="str">
        <f>"04628"</f>
        <v>04628</v>
      </c>
      <c r="C33291" s="1">
        <v>3.6779559906918201E-5</v>
      </c>
      <c r="D33291" s="1">
        <v>1.8211232080906399E-5</v>
      </c>
      <c r="E33291" s="1">
        <v>2.1727699775335501E-5</v>
      </c>
      <c r="F33291" s="1">
        <v>3.5217737642379299E-5</v>
      </c>
    </row>
    <row r="33292" spans="1:6" x14ac:dyDescent="0.25">
      <c r="A33292" s="2" t="str">
        <f t="shared" si="1181"/>
        <v>99999</v>
      </c>
      <c r="B33292" s="2" t="str">
        <f>"04626"</f>
        <v>04626</v>
      </c>
      <c r="C33292" s="1">
        <v>3.0340408469208501E-5</v>
      </c>
      <c r="D33292" s="1">
        <v>1.5176026734088599E-5</v>
      </c>
      <c r="E33292" s="1">
        <v>3.0418779685469802E-5</v>
      </c>
      <c r="F33292" s="1">
        <v>2.93481147019828E-5</v>
      </c>
    </row>
    <row r="33293" spans="1:6" x14ac:dyDescent="0.25">
      <c r="A33293" s="2" t="str">
        <f t="shared" si="1181"/>
        <v>99999</v>
      </c>
      <c r="B33293" s="2" t="str">
        <f>"04573"</f>
        <v>04573</v>
      </c>
      <c r="C33293" s="1">
        <v>2.51017767910718E-5</v>
      </c>
      <c r="D33293" s="1">
        <v>9.1056160404532095E-6</v>
      </c>
      <c r="E33293" s="1">
        <v>3.0418779685469802E-5</v>
      </c>
      <c r="F33293" s="1">
        <v>2.4174887703667199E-5</v>
      </c>
    </row>
    <row r="33294" spans="1:6" x14ac:dyDescent="0.25">
      <c r="A33294" s="2" t="str">
        <f t="shared" si="1181"/>
        <v>99999</v>
      </c>
      <c r="B33294" s="2" t="str">
        <f>"04563"</f>
        <v>04563</v>
      </c>
      <c r="C33294" s="1">
        <v>8.5127764769721699E-5</v>
      </c>
      <c r="D33294" s="1">
        <v>9.1056160404532095E-6</v>
      </c>
      <c r="E33294" s="1">
        <v>3.0418779685469802E-5</v>
      </c>
      <c r="F33294" s="1">
        <v>7.8891711724313098E-5</v>
      </c>
    </row>
    <row r="33295" spans="1:6" x14ac:dyDescent="0.25">
      <c r="A33295" s="2" t="str">
        <f t="shared" si="1181"/>
        <v>99999</v>
      </c>
      <c r="B33295" s="2" t="str">
        <f>"04607"</f>
        <v>04607</v>
      </c>
      <c r="C33295" s="1">
        <v>7.0066698695078603E-5</v>
      </c>
      <c r="D33295" s="1">
        <v>3.0352053468177301E-5</v>
      </c>
      <c r="E33295" s="1">
        <v>1.5209389842734899E-4</v>
      </c>
      <c r="F33295" s="1">
        <v>6.9341138804345797E-5</v>
      </c>
    </row>
    <row r="33296" spans="1:6" x14ac:dyDescent="0.25">
      <c r="A33296" s="2" t="str">
        <f t="shared" si="1181"/>
        <v>99999</v>
      </c>
      <c r="B33296" s="2" t="str">
        <f>"04609"</f>
        <v>04609</v>
      </c>
      <c r="C33296" s="1">
        <v>3.9420703377978798E-4</v>
      </c>
      <c r="D33296" s="1">
        <v>8.5137509978237499E-4</v>
      </c>
      <c r="E33296" s="1">
        <v>9.3429109033943002E-4</v>
      </c>
      <c r="F33296" s="1">
        <v>4.36540770550171E-4</v>
      </c>
    </row>
    <row r="33297" spans="1:6" x14ac:dyDescent="0.25">
      <c r="A33297" s="2" t="str">
        <f t="shared" si="1181"/>
        <v>99999</v>
      </c>
      <c r="B33297" s="2" t="str">
        <f>"04535"</f>
        <v>04535</v>
      </c>
      <c r="C33297" s="1">
        <v>3.6124730947151102E-5</v>
      </c>
      <c r="D33297" s="1">
        <v>9.1056160404532095E-6</v>
      </c>
      <c r="E33297" s="1">
        <v>2.1727699775335501E-5</v>
      </c>
      <c r="F33297" s="1">
        <v>3.4023916027383398E-5</v>
      </c>
    </row>
    <row r="33298" spans="1:6" x14ac:dyDescent="0.25">
      <c r="A33298" s="2" t="str">
        <f t="shared" ref="A33298:A33361" si="1182">"99999"</f>
        <v>99999</v>
      </c>
      <c r="B33298" s="2" t="str">
        <f>"04555"</f>
        <v>04555</v>
      </c>
      <c r="C33298" s="1">
        <v>1.02808146683433E-4</v>
      </c>
      <c r="D33298" s="1">
        <v>4.2492874855448297E-5</v>
      </c>
      <c r="E33298" s="1">
        <v>6.0837559370939603E-5</v>
      </c>
      <c r="F33298" s="1">
        <v>9.7893372429664696E-5</v>
      </c>
    </row>
    <row r="33299" spans="1:6" x14ac:dyDescent="0.25">
      <c r="A33299" s="2" t="str">
        <f t="shared" si="1182"/>
        <v>99999</v>
      </c>
      <c r="B33299" s="2" t="str">
        <f>"04547"</f>
        <v>04547</v>
      </c>
      <c r="C33299" s="1">
        <v>5.66427050198533E-5</v>
      </c>
      <c r="D33299" s="1">
        <v>1.3658424060679801E-5</v>
      </c>
      <c r="E33299" s="1">
        <v>2.1727699775335501E-5</v>
      </c>
      <c r="F33299" s="1">
        <v>5.3025576732735003E-5</v>
      </c>
    </row>
    <row r="33300" spans="1:6" x14ac:dyDescent="0.25">
      <c r="A33300" s="2" t="str">
        <f t="shared" si="1182"/>
        <v>99999</v>
      </c>
      <c r="B33300" s="2" t="str">
        <f>"04490"</f>
        <v>04490</v>
      </c>
      <c r="C33300" s="1">
        <v>1.1896059435768801E-5</v>
      </c>
      <c r="D33300" s="1">
        <v>1.5176026734088599E-5</v>
      </c>
      <c r="E33300" s="1">
        <v>4.3455399550671099E-6</v>
      </c>
      <c r="F33300" s="1">
        <v>1.19382161499591E-5</v>
      </c>
    </row>
    <row r="33301" spans="1:6" x14ac:dyDescent="0.25">
      <c r="A33301" s="2" t="str">
        <f t="shared" si="1182"/>
        <v>99999</v>
      </c>
      <c r="B33301" s="2" t="str">
        <f>"04464"</f>
        <v>04464</v>
      </c>
      <c r="C33301" s="1">
        <v>2.0408835912740901E-5</v>
      </c>
      <c r="D33301" s="1">
        <v>4.5528080202265997E-6</v>
      </c>
      <c r="E33301" s="1">
        <v>1.3036619865201299E-5</v>
      </c>
      <c r="F33301" s="1">
        <v>1.92006309745175E-5</v>
      </c>
    </row>
    <row r="33302" spans="1:6" x14ac:dyDescent="0.25">
      <c r="A33302" s="2" t="str">
        <f t="shared" si="1182"/>
        <v>99999</v>
      </c>
      <c r="B33302" s="2" t="str">
        <f>"04420"</f>
        <v>04420</v>
      </c>
      <c r="C33302" s="1">
        <v>0</v>
      </c>
      <c r="D33302" s="1">
        <v>1.51760267340886E-6</v>
      </c>
      <c r="E33302" s="1">
        <v>4.3455399550671099E-6</v>
      </c>
      <c r="F33302" s="1">
        <v>1.9897026916598501E-7</v>
      </c>
    </row>
    <row r="33303" spans="1:6" x14ac:dyDescent="0.25">
      <c r="A33303" s="2" t="str">
        <f t="shared" si="1182"/>
        <v>99999</v>
      </c>
      <c r="B33303" s="2" t="str">
        <f>"04408"</f>
        <v>04408</v>
      </c>
      <c r="C33303" s="1">
        <v>9.9315725564675307E-6</v>
      </c>
      <c r="D33303" s="1">
        <v>7.5880133670443404E-6</v>
      </c>
      <c r="E33303" s="1">
        <v>3.47643196405369E-5</v>
      </c>
      <c r="F33303" s="1">
        <v>1.03464539966312E-5</v>
      </c>
    </row>
    <row r="33304" spans="1:6" x14ac:dyDescent="0.25">
      <c r="A33304" s="2" t="str">
        <f t="shared" si="1182"/>
        <v>99999</v>
      </c>
      <c r="B33304" s="2" t="str">
        <f>"04342"</f>
        <v>04342</v>
      </c>
      <c r="C33304" s="1">
        <v>9.1239501727547893E-5</v>
      </c>
      <c r="D33304" s="1">
        <v>1.8211232080906399E-5</v>
      </c>
      <c r="E33304" s="1">
        <v>3.47643196405369E-5</v>
      </c>
      <c r="F33304" s="1">
        <v>8.5159275203041605E-5</v>
      </c>
    </row>
    <row r="33305" spans="1:6" x14ac:dyDescent="0.25">
      <c r="A33305" s="2" t="str">
        <f t="shared" si="1182"/>
        <v>99999</v>
      </c>
      <c r="B33305" s="2" t="str">
        <f>"04353"</f>
        <v>04353</v>
      </c>
      <c r="C33305" s="1">
        <v>1.0477263356273401E-4</v>
      </c>
      <c r="D33305" s="1">
        <v>2.88344507947685E-5</v>
      </c>
      <c r="E33305" s="1">
        <v>5.21464794608054E-5</v>
      </c>
      <c r="F33305" s="1">
        <v>9.8589768371745706E-5</v>
      </c>
    </row>
    <row r="33306" spans="1:6" x14ac:dyDescent="0.25">
      <c r="A33306" s="2" t="str">
        <f t="shared" si="1182"/>
        <v>99999</v>
      </c>
      <c r="B33306" s="2" t="str">
        <f>"04261"</f>
        <v>04261</v>
      </c>
      <c r="C33306" s="1">
        <v>3.6452145427034702E-5</v>
      </c>
      <c r="D33306" s="1">
        <v>1.66936294074975E-5</v>
      </c>
      <c r="E33306" s="1">
        <v>3.0418779685469802E-5</v>
      </c>
      <c r="F33306" s="1">
        <v>3.5018767373213403E-5</v>
      </c>
    </row>
    <row r="33307" spans="1:6" x14ac:dyDescent="0.25">
      <c r="A33307" s="2" t="str">
        <f t="shared" si="1182"/>
        <v>99999</v>
      </c>
      <c r="B33307" s="2" t="str">
        <f>"04010"</f>
        <v>04010</v>
      </c>
      <c r="C33307" s="1">
        <v>7.7706369892361306E-5</v>
      </c>
      <c r="D33307" s="1">
        <v>3.6422464161812797E-5</v>
      </c>
      <c r="E33307" s="1">
        <v>2.60732397304027E-5</v>
      </c>
      <c r="F33307" s="1">
        <v>7.3817969860580506E-5</v>
      </c>
    </row>
    <row r="33308" spans="1:6" x14ac:dyDescent="0.25">
      <c r="A33308" s="2" t="str">
        <f t="shared" si="1182"/>
        <v>99999</v>
      </c>
      <c r="B33308" s="2" t="str">
        <f>"03882"</f>
        <v>03882</v>
      </c>
      <c r="C33308" s="1">
        <v>7.8252060692167298E-5</v>
      </c>
      <c r="D33308" s="1">
        <v>3.0352053468177301E-5</v>
      </c>
      <c r="E33308" s="1">
        <v>3.0418779685469802E-5</v>
      </c>
      <c r="F33308" s="1">
        <v>7.4016940129746503E-5</v>
      </c>
    </row>
    <row r="33309" spans="1:6" x14ac:dyDescent="0.25">
      <c r="A33309" s="2" t="str">
        <f t="shared" si="1182"/>
        <v>99999</v>
      </c>
      <c r="B33309" s="2" t="str">
        <f>"03850"</f>
        <v>03850</v>
      </c>
      <c r="C33309" s="1">
        <v>1.09138159961181E-7</v>
      </c>
      <c r="D33309" s="1">
        <v>0</v>
      </c>
      <c r="E33309" s="1">
        <v>4.3455399550671099E-6</v>
      </c>
      <c r="F33309" s="1">
        <v>1.9897026916598501E-7</v>
      </c>
    </row>
    <row r="33310" spans="1:6" x14ac:dyDescent="0.25">
      <c r="A33310" s="2" t="str">
        <f t="shared" si="1182"/>
        <v>99999</v>
      </c>
      <c r="B33310" s="2" t="str">
        <f>"03836"</f>
        <v>03836</v>
      </c>
      <c r="C33310" s="1">
        <v>1.0619142964222899E-4</v>
      </c>
      <c r="D33310" s="1">
        <v>2.1246437427724101E-5</v>
      </c>
      <c r="E33310" s="1">
        <v>3.0418779685469802E-5</v>
      </c>
      <c r="F33310" s="1">
        <v>9.88882237754946E-5</v>
      </c>
    </row>
    <row r="33311" spans="1:6" x14ac:dyDescent="0.25">
      <c r="A33311" s="2" t="str">
        <f t="shared" si="1182"/>
        <v>99999</v>
      </c>
      <c r="B33311" s="2" t="str">
        <f>"03817"</f>
        <v>03817</v>
      </c>
      <c r="C33311" s="1">
        <v>1.65890003140996E-5</v>
      </c>
      <c r="D33311" s="1">
        <v>1.66936294074975E-5</v>
      </c>
      <c r="E33311" s="1">
        <v>3.0418779685469802E-5</v>
      </c>
      <c r="F33311" s="1">
        <v>1.69124728791087E-5</v>
      </c>
    </row>
    <row r="33312" spans="1:6" x14ac:dyDescent="0.25">
      <c r="A33312" s="2" t="str">
        <f t="shared" si="1182"/>
        <v>99999</v>
      </c>
      <c r="B33312" s="2" t="str">
        <f>"02584"</f>
        <v>02584</v>
      </c>
      <c r="C33312" s="1">
        <v>1.89027293052766E-4</v>
      </c>
      <c r="D33312" s="1">
        <v>1.51760267340886E-4</v>
      </c>
      <c r="E33312" s="1">
        <v>8.69107991013423E-6</v>
      </c>
      <c r="F33312" s="1">
        <v>1.8245573682520801E-4</v>
      </c>
    </row>
    <row r="33313" spans="1:6" x14ac:dyDescent="0.25">
      <c r="A33313" s="2" t="str">
        <f t="shared" si="1182"/>
        <v>99999</v>
      </c>
      <c r="B33313" s="2" t="str">
        <f>"02564"</f>
        <v>02564</v>
      </c>
      <c r="C33313" s="1">
        <v>0</v>
      </c>
      <c r="D33313" s="1">
        <v>0</v>
      </c>
      <c r="E33313" s="1">
        <v>1.3036619865201299E-5</v>
      </c>
      <c r="F33313" s="1">
        <v>2.9845540374897701E-7</v>
      </c>
    </row>
    <row r="33314" spans="1:6" x14ac:dyDescent="0.25">
      <c r="A33314" s="2" t="str">
        <f t="shared" si="1182"/>
        <v>99999</v>
      </c>
      <c r="B33314" s="2" t="str">
        <f>"00850"</f>
        <v>00850</v>
      </c>
      <c r="C33314" s="1">
        <v>1.4046081187003999E-4</v>
      </c>
      <c r="D33314" s="1">
        <v>3.1869656141586197E-4</v>
      </c>
      <c r="E33314" s="1">
        <v>1.3036619865201299E-5</v>
      </c>
      <c r="F33314" s="1">
        <v>1.4922770187448801E-4</v>
      </c>
    </row>
    <row r="33315" spans="1:6" x14ac:dyDescent="0.25">
      <c r="A33315" s="2" t="str">
        <f t="shared" si="1182"/>
        <v>99999</v>
      </c>
      <c r="B33315" s="2" t="str">
        <f>"99665"</f>
        <v>99665</v>
      </c>
      <c r="C33315" s="1">
        <v>0</v>
      </c>
      <c r="D33315" s="1">
        <v>0</v>
      </c>
      <c r="E33315" s="1">
        <v>4.3455399550671099E-6</v>
      </c>
      <c r="F33315" s="1">
        <v>9.9485134582992598E-8</v>
      </c>
    </row>
    <row r="33316" spans="1:6" x14ac:dyDescent="0.25">
      <c r="A33316" s="2" t="str">
        <f t="shared" si="1182"/>
        <v>99999</v>
      </c>
      <c r="B33316" s="2" t="str">
        <f>"99644"</f>
        <v>99644</v>
      </c>
      <c r="C33316" s="1">
        <v>0</v>
      </c>
      <c r="D33316" s="1">
        <v>0</v>
      </c>
      <c r="E33316" s="1">
        <v>4.3455399550671099E-6</v>
      </c>
      <c r="F33316" s="1">
        <v>9.9485134582992598E-8</v>
      </c>
    </row>
    <row r="33317" spans="1:6" x14ac:dyDescent="0.25">
      <c r="A33317" s="2" t="str">
        <f t="shared" si="1182"/>
        <v>99999</v>
      </c>
      <c r="B33317" s="2" t="str">
        <f>"99639"</f>
        <v>99639</v>
      </c>
      <c r="C33317" s="1">
        <v>9.9315725564675307E-6</v>
      </c>
      <c r="D33317" s="1">
        <v>1.5176026734088599E-5</v>
      </c>
      <c r="E33317" s="1">
        <v>1.3036619865201299E-5</v>
      </c>
      <c r="F33317" s="1">
        <v>1.03464539966312E-5</v>
      </c>
    </row>
    <row r="33318" spans="1:6" x14ac:dyDescent="0.25">
      <c r="A33318" s="2" t="str">
        <f t="shared" si="1182"/>
        <v>99999</v>
      </c>
      <c r="B33318" s="2" t="str">
        <f>"99651"</f>
        <v>99651</v>
      </c>
      <c r="C33318" s="1">
        <v>0</v>
      </c>
      <c r="D33318" s="1">
        <v>0</v>
      </c>
      <c r="E33318" s="1">
        <v>4.3455399550671099E-6</v>
      </c>
      <c r="F33318" s="1">
        <v>9.9485134582992598E-8</v>
      </c>
    </row>
    <row r="33319" spans="1:6" x14ac:dyDescent="0.25">
      <c r="A33319" s="2" t="str">
        <f t="shared" si="1182"/>
        <v>99999</v>
      </c>
      <c r="B33319" s="2" t="str">
        <f>"99650"</f>
        <v>99650</v>
      </c>
      <c r="C33319" s="1">
        <v>0</v>
      </c>
      <c r="D33319" s="1">
        <v>0</v>
      </c>
      <c r="E33319" s="1">
        <v>4.3455399550671099E-6</v>
      </c>
      <c r="F33319" s="1">
        <v>9.9485134582992598E-8</v>
      </c>
    </row>
    <row r="33320" spans="1:6" x14ac:dyDescent="0.25">
      <c r="A33320" s="2" t="str">
        <f t="shared" si="1182"/>
        <v>99999</v>
      </c>
      <c r="B33320" s="2" t="str">
        <f>"99620"</f>
        <v>99620</v>
      </c>
      <c r="C33320" s="1">
        <v>0</v>
      </c>
      <c r="D33320" s="1">
        <v>0</v>
      </c>
      <c r="E33320" s="1">
        <v>4.3455399550671099E-6</v>
      </c>
      <c r="F33320" s="1">
        <v>9.9485134582992598E-8</v>
      </c>
    </row>
    <row r="33321" spans="1:6" x14ac:dyDescent="0.25">
      <c r="A33321" s="2" t="str">
        <f t="shared" si="1182"/>
        <v>99999</v>
      </c>
      <c r="B33321" s="2" t="str">
        <f>"99608"</f>
        <v>99608</v>
      </c>
      <c r="C33321" s="1">
        <v>0</v>
      </c>
      <c r="D33321" s="1">
        <v>0</v>
      </c>
      <c r="E33321" s="1">
        <v>4.3455399550671099E-6</v>
      </c>
      <c r="F33321" s="1">
        <v>9.9485134582992598E-8</v>
      </c>
    </row>
    <row r="33322" spans="1:6" x14ac:dyDescent="0.25">
      <c r="A33322" s="2" t="str">
        <f t="shared" si="1182"/>
        <v>99999</v>
      </c>
      <c r="B33322" s="2" t="str">
        <f>"99605"</f>
        <v>99605</v>
      </c>
      <c r="C33322" s="1">
        <v>1.52793423945654E-6</v>
      </c>
      <c r="D33322" s="1">
        <v>1.51760267340886E-6</v>
      </c>
      <c r="E33322" s="1">
        <v>4.3455399550671099E-6</v>
      </c>
      <c r="F33322" s="1">
        <v>1.5917621533278801E-6</v>
      </c>
    </row>
    <row r="33323" spans="1:6" x14ac:dyDescent="0.25">
      <c r="A33323" s="2" t="str">
        <f t="shared" si="1182"/>
        <v>99999</v>
      </c>
      <c r="B33323" s="2" t="str">
        <f>"99590"</f>
        <v>99590</v>
      </c>
      <c r="C33323" s="1">
        <v>0</v>
      </c>
      <c r="D33323" s="1">
        <v>0</v>
      </c>
      <c r="E33323" s="1">
        <v>4.3455399550671099E-6</v>
      </c>
      <c r="F33323" s="1">
        <v>9.9485134582992598E-8</v>
      </c>
    </row>
    <row r="33324" spans="1:6" x14ac:dyDescent="0.25">
      <c r="A33324" s="2" t="str">
        <f t="shared" si="1182"/>
        <v>99999</v>
      </c>
      <c r="B33324" s="2" t="str">
        <f>"99613"</f>
        <v>99613</v>
      </c>
      <c r="C33324" s="1">
        <v>0</v>
      </c>
      <c r="D33324" s="1">
        <v>0</v>
      </c>
      <c r="E33324" s="1">
        <v>8.69107991013423E-6</v>
      </c>
      <c r="F33324" s="1">
        <v>1.9897026916598501E-7</v>
      </c>
    </row>
    <row r="33325" spans="1:6" x14ac:dyDescent="0.25">
      <c r="A33325" s="2" t="str">
        <f t="shared" si="1182"/>
        <v>99999</v>
      </c>
      <c r="B33325" s="2" t="str">
        <f>"99612"</f>
        <v>99612</v>
      </c>
      <c r="C33325" s="1">
        <v>0</v>
      </c>
      <c r="D33325" s="1">
        <v>0</v>
      </c>
      <c r="E33325" s="1">
        <v>4.3455399550671099E-6</v>
      </c>
      <c r="F33325" s="1">
        <v>9.9485134582992598E-8</v>
      </c>
    </row>
    <row r="33326" spans="1:6" x14ac:dyDescent="0.25">
      <c r="A33326" s="2" t="str">
        <f t="shared" si="1182"/>
        <v>99999</v>
      </c>
      <c r="B33326" s="2" t="str">
        <f>"99546"</f>
        <v>99546</v>
      </c>
      <c r="C33326" s="1">
        <v>0</v>
      </c>
      <c r="D33326" s="1">
        <v>0</v>
      </c>
      <c r="E33326" s="1">
        <v>4.3455399550671099E-6</v>
      </c>
      <c r="F33326" s="1">
        <v>9.9485134582992598E-8</v>
      </c>
    </row>
    <row r="33327" spans="1:6" x14ac:dyDescent="0.25">
      <c r="A33327" s="2" t="str">
        <f t="shared" si="1182"/>
        <v>99999</v>
      </c>
      <c r="B33327" s="2" t="str">
        <f>"99565"</f>
        <v>99565</v>
      </c>
      <c r="C33327" s="1">
        <v>0</v>
      </c>
      <c r="D33327" s="1">
        <v>0</v>
      </c>
      <c r="E33327" s="1">
        <v>4.3455399550671099E-6</v>
      </c>
      <c r="F33327" s="1">
        <v>9.9485134582992598E-8</v>
      </c>
    </row>
    <row r="33328" spans="1:6" x14ac:dyDescent="0.25">
      <c r="A33328" s="2" t="str">
        <f t="shared" si="1182"/>
        <v>99999</v>
      </c>
      <c r="B33328" s="2" t="str">
        <f>"99564"</f>
        <v>99564</v>
      </c>
      <c r="C33328" s="1">
        <v>0</v>
      </c>
      <c r="D33328" s="1">
        <v>0</v>
      </c>
      <c r="E33328" s="1">
        <v>4.3455399550671099E-6</v>
      </c>
      <c r="F33328" s="1">
        <v>9.9485134582992598E-8</v>
      </c>
    </row>
    <row r="33329" spans="1:6" x14ac:dyDescent="0.25">
      <c r="A33329" s="2" t="str">
        <f t="shared" si="1182"/>
        <v>99999</v>
      </c>
      <c r="B33329" s="2" t="str">
        <f>"99561"</f>
        <v>99561</v>
      </c>
      <c r="C33329" s="1">
        <v>1.09138159961181E-7</v>
      </c>
      <c r="D33329" s="1">
        <v>0</v>
      </c>
      <c r="E33329" s="1">
        <v>4.3455399550671099E-6</v>
      </c>
      <c r="F33329" s="1">
        <v>1.9897026916598501E-7</v>
      </c>
    </row>
    <row r="33330" spans="1:6" x14ac:dyDescent="0.25">
      <c r="A33330" s="2" t="str">
        <f t="shared" si="1182"/>
        <v>99999</v>
      </c>
      <c r="B33330" s="2" t="str">
        <f>"99732"</f>
        <v>99732</v>
      </c>
      <c r="C33330" s="1">
        <v>0</v>
      </c>
      <c r="D33330" s="1">
        <v>0</v>
      </c>
      <c r="E33330" s="1">
        <v>4.3455399550671099E-6</v>
      </c>
      <c r="F33330" s="1">
        <v>9.9485134582992598E-8</v>
      </c>
    </row>
    <row r="33331" spans="1:6" x14ac:dyDescent="0.25">
      <c r="A33331" s="2" t="str">
        <f t="shared" si="1182"/>
        <v>99999</v>
      </c>
      <c r="B33331" s="2" t="str">
        <f>"99731"</f>
        <v>99731</v>
      </c>
      <c r="C33331" s="1">
        <v>0</v>
      </c>
      <c r="D33331" s="1">
        <v>1.51760267340886E-6</v>
      </c>
      <c r="E33331" s="1">
        <v>0</v>
      </c>
      <c r="F33331" s="1">
        <v>9.9485134582992598E-8</v>
      </c>
    </row>
    <row r="33332" spans="1:6" x14ac:dyDescent="0.25">
      <c r="A33332" s="2" t="str">
        <f t="shared" si="1182"/>
        <v>99999</v>
      </c>
      <c r="B33332" s="2" t="str">
        <f>"99727"</f>
        <v>99727</v>
      </c>
      <c r="C33332" s="1">
        <v>2.1827631992236301E-7</v>
      </c>
      <c r="D33332" s="1">
        <v>0</v>
      </c>
      <c r="E33332" s="1">
        <v>4.3455399550671099E-6</v>
      </c>
      <c r="F33332" s="1">
        <v>2.9845540374897701E-7</v>
      </c>
    </row>
    <row r="33333" spans="1:6" x14ac:dyDescent="0.25">
      <c r="A33333" s="2" t="str">
        <f t="shared" si="1182"/>
        <v>99999</v>
      </c>
      <c r="B33333" s="2" t="str">
        <f>"99724"</f>
        <v>99724</v>
      </c>
      <c r="C33333" s="1">
        <v>0</v>
      </c>
      <c r="D33333" s="1">
        <v>0</v>
      </c>
      <c r="E33333" s="1">
        <v>4.3455399550671099E-6</v>
      </c>
      <c r="F33333" s="1">
        <v>9.9485134582992598E-8</v>
      </c>
    </row>
    <row r="33334" spans="1:6" x14ac:dyDescent="0.25">
      <c r="A33334" s="2" t="str">
        <f t="shared" si="1182"/>
        <v>99999</v>
      </c>
      <c r="B33334" s="2" t="str">
        <f>"99785"</f>
        <v>99785</v>
      </c>
      <c r="C33334" s="1">
        <v>0</v>
      </c>
      <c r="D33334" s="1">
        <v>0</v>
      </c>
      <c r="E33334" s="1">
        <v>4.3455399550671099E-6</v>
      </c>
      <c r="F33334" s="1">
        <v>9.9485134582992598E-8</v>
      </c>
    </row>
    <row r="33335" spans="1:6" x14ac:dyDescent="0.25">
      <c r="A33335" s="2" t="str">
        <f t="shared" si="1182"/>
        <v>99999</v>
      </c>
      <c r="B33335" s="2" t="str">
        <f>"99783"</f>
        <v>99783</v>
      </c>
      <c r="C33335" s="1">
        <v>0</v>
      </c>
      <c r="D33335" s="1">
        <v>0</v>
      </c>
      <c r="E33335" s="1">
        <v>4.3455399550671099E-6</v>
      </c>
      <c r="F33335" s="1">
        <v>9.9485134582992598E-8</v>
      </c>
    </row>
    <row r="33336" spans="1:6" x14ac:dyDescent="0.25">
      <c r="A33336" s="2" t="str">
        <f t="shared" si="1182"/>
        <v>99999</v>
      </c>
      <c r="B33336" s="2" t="str">
        <f>"99830"</f>
        <v>99830</v>
      </c>
      <c r="C33336" s="1">
        <v>1.09138159961181E-7</v>
      </c>
      <c r="D33336" s="1">
        <v>0</v>
      </c>
      <c r="E33336" s="1">
        <v>4.3455399550671099E-6</v>
      </c>
      <c r="F33336" s="1">
        <v>1.9897026916598501E-7</v>
      </c>
    </row>
    <row r="33337" spans="1:6" x14ac:dyDescent="0.25">
      <c r="A33337" s="2" t="str">
        <f t="shared" si="1182"/>
        <v>99999</v>
      </c>
      <c r="B33337" s="2" t="str">
        <f>"99780"</f>
        <v>99780</v>
      </c>
      <c r="C33337" s="1">
        <v>6.7665659175932598E-6</v>
      </c>
      <c r="D33337" s="1">
        <v>1.21408213872709E-5</v>
      </c>
      <c r="E33337" s="1">
        <v>8.69107991013423E-6</v>
      </c>
      <c r="F33337" s="1">
        <v>7.1629296899754602E-6</v>
      </c>
    </row>
    <row r="33338" spans="1:6" x14ac:dyDescent="0.25">
      <c r="A33338" s="2" t="str">
        <f t="shared" si="1182"/>
        <v>99999</v>
      </c>
      <c r="B33338" s="2" t="str">
        <f>"99777"</f>
        <v>99777</v>
      </c>
      <c r="C33338" s="1">
        <v>0</v>
      </c>
      <c r="D33338" s="1">
        <v>0</v>
      </c>
      <c r="E33338" s="1">
        <v>4.3455399550671099E-6</v>
      </c>
      <c r="F33338" s="1">
        <v>9.9485134582992598E-8</v>
      </c>
    </row>
    <row r="33339" spans="1:6" x14ac:dyDescent="0.25">
      <c r="A33339" s="2" t="str">
        <f t="shared" si="1182"/>
        <v>99999</v>
      </c>
      <c r="B33339" s="2" t="str">
        <f>"99762"</f>
        <v>99762</v>
      </c>
      <c r="C33339" s="1">
        <v>0</v>
      </c>
      <c r="D33339" s="1">
        <v>1.51760267340886E-6</v>
      </c>
      <c r="E33339" s="1">
        <v>1.7382159820268399E-5</v>
      </c>
      <c r="F33339" s="1">
        <v>4.9742567291496303E-7</v>
      </c>
    </row>
    <row r="33340" spans="1:6" x14ac:dyDescent="0.25">
      <c r="A33340" s="2" t="str">
        <f t="shared" si="1182"/>
        <v>99999</v>
      </c>
      <c r="B33340" s="2" t="str">
        <f>"99827"</f>
        <v>99827</v>
      </c>
      <c r="C33340" s="1">
        <v>2.51017767910718E-5</v>
      </c>
      <c r="D33340" s="1">
        <v>3.6422464161812797E-5</v>
      </c>
      <c r="E33340" s="1">
        <v>4.3455399550671099E-6</v>
      </c>
      <c r="F33340" s="1">
        <v>2.53687093186631E-5</v>
      </c>
    </row>
    <row r="33341" spans="1:6" x14ac:dyDescent="0.25">
      <c r="A33341" s="2" t="str">
        <f t="shared" si="1182"/>
        <v>99999</v>
      </c>
      <c r="B33341" s="2" t="str">
        <f>"99826"</f>
        <v>99826</v>
      </c>
      <c r="C33341" s="1">
        <v>2.1827631992236301E-7</v>
      </c>
      <c r="D33341" s="1">
        <v>0</v>
      </c>
      <c r="E33341" s="1">
        <v>4.3455399550671099E-6</v>
      </c>
      <c r="F33341" s="1">
        <v>2.9845540374897701E-7</v>
      </c>
    </row>
    <row r="33342" spans="1:6" x14ac:dyDescent="0.25">
      <c r="A33342" s="2" t="str">
        <f t="shared" si="1182"/>
        <v>99999</v>
      </c>
      <c r="B33342" s="2" t="str">
        <f>"99752"</f>
        <v>99752</v>
      </c>
      <c r="C33342" s="1">
        <v>1.09138159961181E-7</v>
      </c>
      <c r="D33342" s="1">
        <v>0</v>
      </c>
      <c r="E33342" s="1">
        <v>4.3455399550671099E-6</v>
      </c>
      <c r="F33342" s="1">
        <v>1.9897026916598501E-7</v>
      </c>
    </row>
    <row r="33343" spans="1:6" x14ac:dyDescent="0.25">
      <c r="A33343" s="2" t="str">
        <f t="shared" si="1182"/>
        <v>99999</v>
      </c>
      <c r="B33343" s="2" t="str">
        <f>"99922"</f>
        <v>99922</v>
      </c>
      <c r="C33343" s="1">
        <v>0</v>
      </c>
      <c r="D33343" s="1">
        <v>0</v>
      </c>
      <c r="E33343" s="1">
        <v>4.3455399550671099E-6</v>
      </c>
      <c r="F33343" s="1">
        <v>9.9485134582992598E-8</v>
      </c>
    </row>
    <row r="33344" spans="1:6" x14ac:dyDescent="0.25">
      <c r="A33344" s="2" t="str">
        <f t="shared" si="1182"/>
        <v>99999</v>
      </c>
      <c r="B33344" s="2" t="str">
        <f>"99741"</f>
        <v>99741</v>
      </c>
      <c r="C33344" s="1">
        <v>0</v>
      </c>
      <c r="D33344" s="1">
        <v>0</v>
      </c>
      <c r="E33344" s="1">
        <v>4.3455399550671099E-6</v>
      </c>
      <c r="F33344" s="1">
        <v>9.9485134582992598E-8</v>
      </c>
    </row>
    <row r="33345" spans="1:6" x14ac:dyDescent="0.25">
      <c r="A33345" s="2" t="str">
        <f t="shared" si="1182"/>
        <v>99999</v>
      </c>
      <c r="B33345" s="2" t="str">
        <f>"99322"</f>
        <v>99322</v>
      </c>
      <c r="C33345" s="1">
        <v>7.7488093572439E-6</v>
      </c>
      <c r="D33345" s="1">
        <v>3.0352053468177301E-6</v>
      </c>
      <c r="E33345" s="1">
        <v>1.12984038831745E-4</v>
      </c>
      <c r="F33345" s="1">
        <v>9.8490283237162701E-6</v>
      </c>
    </row>
    <row r="33346" spans="1:6" x14ac:dyDescent="0.25">
      <c r="A33346" s="2" t="str">
        <f t="shared" si="1182"/>
        <v>99999</v>
      </c>
      <c r="B33346" s="2" t="str">
        <f>"99328"</f>
        <v>99328</v>
      </c>
      <c r="C33346" s="1">
        <v>2.08126471045973E-4</v>
      </c>
      <c r="D33346" s="1">
        <v>4.1127032449380301E-4</v>
      </c>
      <c r="E33346" s="1">
        <v>2.0424037788815399E-4</v>
      </c>
      <c r="F33346" s="1">
        <v>2.21354424447158E-4</v>
      </c>
    </row>
    <row r="33347" spans="1:6" x14ac:dyDescent="0.25">
      <c r="A33347" s="2" t="str">
        <f t="shared" si="1182"/>
        <v>99999</v>
      </c>
      <c r="B33347" s="2" t="str">
        <f>"99160"</f>
        <v>99160</v>
      </c>
      <c r="C33347" s="1">
        <v>4.4746645584084504E-6</v>
      </c>
      <c r="D33347" s="1">
        <v>6.0704106936354696E-6</v>
      </c>
      <c r="E33347" s="1">
        <v>2.1727699775335501E-5</v>
      </c>
      <c r="F33347" s="1">
        <v>4.9742567291496301E-6</v>
      </c>
    </row>
    <row r="33348" spans="1:6" x14ac:dyDescent="0.25">
      <c r="A33348" s="2" t="str">
        <f t="shared" si="1182"/>
        <v>99999</v>
      </c>
      <c r="B33348" s="2" t="str">
        <f>"99134"</f>
        <v>99134</v>
      </c>
      <c r="C33348" s="1">
        <v>9.8224343965063504E-6</v>
      </c>
      <c r="D33348" s="1">
        <v>1.51760267340886E-6</v>
      </c>
      <c r="E33348" s="1">
        <v>4.3455399550671099E-4</v>
      </c>
      <c r="F33348" s="1">
        <v>1.90016607053515E-5</v>
      </c>
    </row>
    <row r="33349" spans="1:6" x14ac:dyDescent="0.25">
      <c r="A33349" s="2" t="str">
        <f t="shared" si="1182"/>
        <v>99999</v>
      </c>
      <c r="B33349" s="2" t="str">
        <f>"99150"</f>
        <v>99150</v>
      </c>
      <c r="C33349" s="1">
        <v>8.8401909568557204E-6</v>
      </c>
      <c r="D33349" s="1">
        <v>3.0352053468177301E-6</v>
      </c>
      <c r="E33349" s="1">
        <v>1.9989483793308701E-4</v>
      </c>
      <c r="F33349" s="1">
        <v>1.2833582361206E-5</v>
      </c>
    </row>
    <row r="33350" spans="1:6" x14ac:dyDescent="0.25">
      <c r="A33350" s="2" t="str">
        <f t="shared" si="1182"/>
        <v>99999</v>
      </c>
      <c r="B33350" s="2" t="str">
        <f>"98855"</f>
        <v>98855</v>
      </c>
      <c r="C33350" s="1">
        <v>2.9980252541336603E-4</v>
      </c>
      <c r="D33350" s="1">
        <v>1.2899622723975301E-4</v>
      </c>
      <c r="E33350" s="1">
        <v>2.4335023748375801E-4</v>
      </c>
      <c r="F33350" s="1">
        <v>2.8731306867568198E-4</v>
      </c>
    </row>
    <row r="33351" spans="1:6" x14ac:dyDescent="0.25">
      <c r="A33351" s="2" t="str">
        <f t="shared" si="1182"/>
        <v>99999</v>
      </c>
      <c r="B33351" s="2" t="str">
        <f>"98849"</f>
        <v>98849</v>
      </c>
      <c r="C33351" s="1">
        <v>5.88254682190769E-5</v>
      </c>
      <c r="D33351" s="1">
        <v>2.7316848121359601E-5</v>
      </c>
      <c r="E33351" s="1">
        <v>4.3455399550671103E-5</v>
      </c>
      <c r="F33351" s="1">
        <v>5.6408071308556803E-5</v>
      </c>
    </row>
    <row r="33352" spans="1:6" x14ac:dyDescent="0.25">
      <c r="A33352" s="2" t="str">
        <f t="shared" si="1182"/>
        <v>99999</v>
      </c>
      <c r="B33352" s="2" t="str">
        <f>"98572"</f>
        <v>98572</v>
      </c>
      <c r="C33352" s="1">
        <v>1.09138159961181E-7</v>
      </c>
      <c r="D33352" s="1">
        <v>0</v>
      </c>
      <c r="E33352" s="1">
        <v>0</v>
      </c>
      <c r="F33352" s="1">
        <v>9.9485134582992598E-8</v>
      </c>
    </row>
    <row r="33353" spans="1:6" x14ac:dyDescent="0.25">
      <c r="A33353" s="2" t="str">
        <f t="shared" si="1182"/>
        <v>99999</v>
      </c>
      <c r="B33353" s="2" t="str">
        <f>"98651"</f>
        <v>98651</v>
      </c>
      <c r="C33353" s="1">
        <v>3.2741447988354498E-7</v>
      </c>
      <c r="D33353" s="1">
        <v>0</v>
      </c>
      <c r="E33353" s="1">
        <v>0</v>
      </c>
      <c r="F33353" s="1">
        <v>2.9845540374897701E-7</v>
      </c>
    </row>
    <row r="33354" spans="1:6" x14ac:dyDescent="0.25">
      <c r="A33354" s="2" t="str">
        <f t="shared" si="1182"/>
        <v>99999</v>
      </c>
      <c r="B33354" s="2" t="str">
        <f>"98632"</f>
        <v>98632</v>
      </c>
      <c r="C33354" s="1">
        <v>1.4187960794953601E-6</v>
      </c>
      <c r="D33354" s="1">
        <v>0</v>
      </c>
      <c r="E33354" s="1">
        <v>0</v>
      </c>
      <c r="F33354" s="1">
        <v>1.2933067495789E-6</v>
      </c>
    </row>
    <row r="33355" spans="1:6" x14ac:dyDescent="0.25">
      <c r="A33355" s="2" t="str">
        <f t="shared" si="1182"/>
        <v>99999</v>
      </c>
      <c r="B33355" s="2" t="str">
        <f>"98339"</f>
        <v>98339</v>
      </c>
      <c r="C33355" s="1">
        <v>3.8536684282293199E-4</v>
      </c>
      <c r="D33355" s="1">
        <v>4.2644635122789202E-4</v>
      </c>
      <c r="E33355" s="1">
        <v>2.6942347721416101E-4</v>
      </c>
      <c r="F33355" s="1">
        <v>3.8540541137451297E-4</v>
      </c>
    </row>
    <row r="33356" spans="1:6" x14ac:dyDescent="0.25">
      <c r="A33356" s="2" t="str">
        <f t="shared" si="1182"/>
        <v>99999</v>
      </c>
      <c r="B33356" s="2" t="str">
        <f>"98243"</f>
        <v>98243</v>
      </c>
      <c r="C33356" s="1">
        <v>3.20866190285874E-5</v>
      </c>
      <c r="D33356" s="1">
        <v>3.9457669508630602E-5</v>
      </c>
      <c r="E33356" s="1">
        <v>7.3874179236140894E-5</v>
      </c>
      <c r="F33356" s="1">
        <v>3.35264903544685E-5</v>
      </c>
    </row>
    <row r="33357" spans="1:6" x14ac:dyDescent="0.25">
      <c r="A33357" s="2" t="str">
        <f t="shared" si="1182"/>
        <v>99999</v>
      </c>
      <c r="B33357" s="2" t="str">
        <f>"97873"</f>
        <v>97873</v>
      </c>
      <c r="C33357" s="1">
        <v>2.56474675908777E-5</v>
      </c>
      <c r="D33357" s="1">
        <v>0</v>
      </c>
      <c r="E33357" s="1">
        <v>8.69107991013423E-6</v>
      </c>
      <c r="F33357" s="1">
        <v>2.3577976896169201E-5</v>
      </c>
    </row>
    <row r="33358" spans="1:6" x14ac:dyDescent="0.25">
      <c r="A33358" s="2" t="str">
        <f t="shared" si="1182"/>
        <v>99999</v>
      </c>
      <c r="B33358" s="2" t="str">
        <f>"97867"</f>
        <v>97867</v>
      </c>
      <c r="C33358" s="1">
        <v>4.1472500785249E-6</v>
      </c>
      <c r="D33358" s="1">
        <v>1.51760267340886E-6</v>
      </c>
      <c r="E33358" s="1">
        <v>0</v>
      </c>
      <c r="F33358" s="1">
        <v>3.87992024873671E-6</v>
      </c>
    </row>
    <row r="33359" spans="1:6" x14ac:dyDescent="0.25">
      <c r="A33359" s="2" t="str">
        <f t="shared" si="1182"/>
        <v>99999</v>
      </c>
      <c r="B33359" s="2" t="str">
        <f>"97874"</f>
        <v>97874</v>
      </c>
      <c r="C33359" s="1">
        <v>3.1540928228781503E-5</v>
      </c>
      <c r="D33359" s="1">
        <v>3.0352053468177301E-6</v>
      </c>
      <c r="E33359" s="1">
        <v>0</v>
      </c>
      <c r="F33359" s="1">
        <v>2.8950174163650799E-5</v>
      </c>
    </row>
    <row r="33360" spans="1:6" x14ac:dyDescent="0.25">
      <c r="A33360" s="2" t="str">
        <f t="shared" si="1182"/>
        <v>99999</v>
      </c>
      <c r="B33360" s="2" t="str">
        <f>"97758"</f>
        <v>97758</v>
      </c>
      <c r="C33360" s="1">
        <v>1.03681251963122E-5</v>
      </c>
      <c r="D33360" s="1">
        <v>1.66936294074975E-5</v>
      </c>
      <c r="E33360" s="1">
        <v>0</v>
      </c>
      <c r="F33360" s="1">
        <v>1.05454242657972E-5</v>
      </c>
    </row>
    <row r="33361" spans="1:6" x14ac:dyDescent="0.25">
      <c r="A33361" s="2" t="str">
        <f t="shared" si="1182"/>
        <v>99999</v>
      </c>
      <c r="B33361" s="2" t="str">
        <f>"97842"</f>
        <v>97842</v>
      </c>
      <c r="C33361" s="1">
        <v>1.76803819137114E-5</v>
      </c>
      <c r="D33361" s="1">
        <v>6.0704106936354696E-6</v>
      </c>
      <c r="E33361" s="1">
        <v>4.3455399550671099E-6</v>
      </c>
      <c r="F33361" s="1">
        <v>1.6614017475359701E-5</v>
      </c>
    </row>
    <row r="33362" spans="1:6" x14ac:dyDescent="0.25">
      <c r="A33362" s="2" t="str">
        <f t="shared" ref="A33362:A33425" si="1183">"99999"</f>
        <v>99999</v>
      </c>
      <c r="B33362" s="2" t="str">
        <f>"97812"</f>
        <v>97812</v>
      </c>
      <c r="C33362" s="1">
        <v>4.1363362625287799E-5</v>
      </c>
      <c r="D33362" s="1">
        <v>5.0080888222492601E-5</v>
      </c>
      <c r="E33362" s="1">
        <v>0</v>
      </c>
      <c r="F33362" s="1">
        <v>4.0987875448192901E-5</v>
      </c>
    </row>
    <row r="33363" spans="1:6" x14ac:dyDescent="0.25">
      <c r="A33363" s="2" t="str">
        <f t="shared" si="1183"/>
        <v>99999</v>
      </c>
      <c r="B33363" s="2" t="str">
        <f>"97130"</f>
        <v>97130</v>
      </c>
      <c r="C33363" s="1">
        <v>1.49082726506974E-4</v>
      </c>
      <c r="D33363" s="1">
        <v>0</v>
      </c>
      <c r="E33363" s="1">
        <v>8.69107991013423E-6</v>
      </c>
      <c r="F33363" s="1">
        <v>1.36095664109533E-4</v>
      </c>
    </row>
    <row r="33364" spans="1:6" x14ac:dyDescent="0.25">
      <c r="A33364" s="2" t="str">
        <f t="shared" si="1183"/>
        <v>99999</v>
      </c>
      <c r="B33364" s="2" t="str">
        <f>"96915"</f>
        <v>96915</v>
      </c>
      <c r="C33364" s="1">
        <v>6.2950890665609599E-4</v>
      </c>
      <c r="D33364" s="1">
        <v>1.12302597832256E-4</v>
      </c>
      <c r="E33364" s="1">
        <v>5.17119254652986E-4</v>
      </c>
      <c r="F33364" s="1">
        <v>5.9303088724921901E-4</v>
      </c>
    </row>
    <row r="33365" spans="1:6" x14ac:dyDescent="0.25">
      <c r="A33365" s="2" t="str">
        <f t="shared" si="1183"/>
        <v>99999</v>
      </c>
      <c r="B33365" s="2" t="str">
        <f>"96135"</f>
        <v>96135</v>
      </c>
      <c r="C33365" s="1">
        <v>0</v>
      </c>
      <c r="D33365" s="1">
        <v>0</v>
      </c>
      <c r="E33365" s="1">
        <v>4.3455399550671099E-6</v>
      </c>
      <c r="F33365" s="1">
        <v>9.9485134582992598E-8</v>
      </c>
    </row>
    <row r="33366" spans="1:6" x14ac:dyDescent="0.25">
      <c r="A33366" s="2" t="str">
        <f t="shared" si="1183"/>
        <v>99999</v>
      </c>
      <c r="B33366" s="2" t="str">
        <f>"96133"</f>
        <v>96133</v>
      </c>
      <c r="C33366" s="1">
        <v>6.1117369578261701E-6</v>
      </c>
      <c r="D33366" s="1">
        <v>1.0623218713862E-5</v>
      </c>
      <c r="E33366" s="1">
        <v>8.69107991013423E-6</v>
      </c>
      <c r="F33366" s="1">
        <v>6.4665337478945197E-6</v>
      </c>
    </row>
    <row r="33367" spans="1:6" x14ac:dyDescent="0.25">
      <c r="A33367" s="2" t="str">
        <f t="shared" si="1183"/>
        <v>99999</v>
      </c>
      <c r="B33367" s="2" t="str">
        <f>"96097"</f>
        <v>96097</v>
      </c>
      <c r="C33367" s="1">
        <v>6.8320488135699701E-4</v>
      </c>
      <c r="D33367" s="1">
        <v>1.4887682226141E-3</v>
      </c>
      <c r="E33367" s="1">
        <v>1.06031174903637E-3</v>
      </c>
      <c r="F33367" s="1">
        <v>7.4464623235369896E-4</v>
      </c>
    </row>
    <row r="33368" spans="1:6" x14ac:dyDescent="0.25">
      <c r="A33368" s="2" t="str">
        <f t="shared" si="1183"/>
        <v>99999</v>
      </c>
      <c r="B33368" s="2" t="str">
        <f>"96091"</f>
        <v>96091</v>
      </c>
      <c r="C33368" s="1">
        <v>4.3000435024705598E-5</v>
      </c>
      <c r="D33368" s="1">
        <v>2.4281642774541899E-5</v>
      </c>
      <c r="E33368" s="1">
        <v>4.3455399550671099E-6</v>
      </c>
      <c r="F33368" s="1">
        <v>4.0888390313609902E-5</v>
      </c>
    </row>
    <row r="33369" spans="1:6" x14ac:dyDescent="0.25">
      <c r="A33369" s="2" t="str">
        <f t="shared" si="1183"/>
        <v>99999</v>
      </c>
      <c r="B33369" s="2" t="str">
        <f>"96054"</f>
        <v>96054</v>
      </c>
      <c r="C33369" s="1">
        <v>0</v>
      </c>
      <c r="D33369" s="1">
        <v>0</v>
      </c>
      <c r="E33369" s="1">
        <v>4.3455399550671099E-6</v>
      </c>
      <c r="F33369" s="1">
        <v>9.9485134582992598E-8</v>
      </c>
    </row>
    <row r="33370" spans="1:6" x14ac:dyDescent="0.25">
      <c r="A33370" s="2" t="str">
        <f t="shared" si="1183"/>
        <v>99999</v>
      </c>
      <c r="B33370" s="2" t="str">
        <f>"96076"</f>
        <v>96076</v>
      </c>
      <c r="C33370" s="1">
        <v>6.1117369578261701E-6</v>
      </c>
      <c r="D33370" s="1">
        <v>1.51760267340886E-6</v>
      </c>
      <c r="E33370" s="1">
        <v>1.3036619865201299E-5</v>
      </c>
      <c r="F33370" s="1">
        <v>5.96910807497955E-6</v>
      </c>
    </row>
    <row r="33371" spans="1:6" x14ac:dyDescent="0.25">
      <c r="A33371" s="2" t="str">
        <f t="shared" si="1183"/>
        <v>99999</v>
      </c>
      <c r="B33371" s="2" t="str">
        <f>"96046"</f>
        <v>96046</v>
      </c>
      <c r="C33371" s="1">
        <v>0</v>
      </c>
      <c r="D33371" s="1">
        <v>0</v>
      </c>
      <c r="E33371" s="1">
        <v>4.3455399550671099E-6</v>
      </c>
      <c r="F33371" s="1">
        <v>9.9485134582992598E-8</v>
      </c>
    </row>
    <row r="33372" spans="1:6" x14ac:dyDescent="0.25">
      <c r="A33372" s="2" t="str">
        <f t="shared" si="1183"/>
        <v>99999</v>
      </c>
      <c r="B33372" s="2" t="str">
        <f>"96056"</f>
        <v>96056</v>
      </c>
      <c r="C33372" s="1">
        <v>7.3122567173991701E-6</v>
      </c>
      <c r="D33372" s="1">
        <v>0</v>
      </c>
      <c r="E33372" s="1">
        <v>0</v>
      </c>
      <c r="F33372" s="1">
        <v>6.6655040170604998E-6</v>
      </c>
    </row>
    <row r="33373" spans="1:6" x14ac:dyDescent="0.25">
      <c r="A33373" s="2" t="str">
        <f t="shared" si="1183"/>
        <v>99999</v>
      </c>
      <c r="B33373" s="2" t="str">
        <f>"96038"</f>
        <v>96038</v>
      </c>
      <c r="C33373" s="1">
        <v>1.36422699951477E-5</v>
      </c>
      <c r="D33373" s="1">
        <v>3.0352053468177301E-6</v>
      </c>
      <c r="E33373" s="1">
        <v>4.3455399550671099E-6</v>
      </c>
      <c r="F33373" s="1">
        <v>1.2734097226623E-5</v>
      </c>
    </row>
    <row r="33374" spans="1:6" x14ac:dyDescent="0.25">
      <c r="A33374" s="2" t="str">
        <f t="shared" si="1183"/>
        <v>99999</v>
      </c>
      <c r="B33374" s="2" t="str">
        <f>"96024"</f>
        <v>96024</v>
      </c>
      <c r="C33374" s="1">
        <v>5.4569079980590801E-7</v>
      </c>
      <c r="D33374" s="1">
        <v>0</v>
      </c>
      <c r="E33374" s="1">
        <v>4.3455399550671099E-6</v>
      </c>
      <c r="F33374" s="1">
        <v>5.9691080749795498E-7</v>
      </c>
    </row>
    <row r="33375" spans="1:6" x14ac:dyDescent="0.25">
      <c r="A33375" s="2" t="str">
        <f t="shared" si="1183"/>
        <v>99999</v>
      </c>
      <c r="B33375" s="2" t="str">
        <f>"96064"</f>
        <v>96064</v>
      </c>
      <c r="C33375" s="1">
        <v>1.9121005625199E-4</v>
      </c>
      <c r="D33375" s="1">
        <v>7.1327325650216798E-5</v>
      </c>
      <c r="E33375" s="1">
        <v>5.6492019415872502E-5</v>
      </c>
      <c r="F33375" s="1">
        <v>1.80267063864382E-4</v>
      </c>
    </row>
    <row r="33376" spans="1:6" x14ac:dyDescent="0.25">
      <c r="A33376" s="2" t="str">
        <f t="shared" si="1183"/>
        <v>99999</v>
      </c>
      <c r="B33376" s="2" t="str">
        <f>"96048"</f>
        <v>96048</v>
      </c>
      <c r="C33376" s="1">
        <v>2.2045908312158699E-5</v>
      </c>
      <c r="D33376" s="1">
        <v>1.51760267340886E-6</v>
      </c>
      <c r="E33376" s="1">
        <v>4.3455399550671099E-6</v>
      </c>
      <c r="F33376" s="1">
        <v>2.0294967454930399E-5</v>
      </c>
    </row>
    <row r="33377" spans="1:6" x14ac:dyDescent="0.25">
      <c r="A33377" s="2" t="str">
        <f t="shared" si="1183"/>
        <v>99999</v>
      </c>
      <c r="B33377" s="2" t="str">
        <f>"95955"</f>
        <v>95955</v>
      </c>
      <c r="C33377" s="1">
        <v>0</v>
      </c>
      <c r="D33377" s="1">
        <v>0</v>
      </c>
      <c r="E33377" s="1">
        <v>4.3455399550671099E-6</v>
      </c>
      <c r="F33377" s="1">
        <v>9.9485134582992598E-8</v>
      </c>
    </row>
    <row r="33378" spans="1:6" x14ac:dyDescent="0.25">
      <c r="A33378" s="2" t="str">
        <f t="shared" si="1183"/>
        <v>99999</v>
      </c>
      <c r="B33378" s="2" t="str">
        <f>"95970"</f>
        <v>95970</v>
      </c>
      <c r="C33378" s="1">
        <v>1.2114335755691101E-5</v>
      </c>
      <c r="D33378" s="1">
        <v>4.5528080202265997E-6</v>
      </c>
      <c r="E33378" s="1">
        <v>1.3036619865201299E-5</v>
      </c>
      <c r="F33378" s="1">
        <v>1.1639760746210099E-5</v>
      </c>
    </row>
    <row r="33379" spans="1:6" x14ac:dyDescent="0.25">
      <c r="A33379" s="2" t="str">
        <f t="shared" si="1183"/>
        <v>99999</v>
      </c>
      <c r="B33379" s="2" t="str">
        <f>"95932"</f>
        <v>95932</v>
      </c>
      <c r="C33379" s="1">
        <v>3.3276224972164301E-4</v>
      </c>
      <c r="D33379" s="1">
        <v>6.2980510946468004E-4</v>
      </c>
      <c r="E33379" s="1">
        <v>7.9088827182221503E-4</v>
      </c>
      <c r="F33379" s="1">
        <v>3.6272280068959102E-4</v>
      </c>
    </row>
    <row r="33380" spans="1:6" x14ac:dyDescent="0.25">
      <c r="A33380" s="2" t="str">
        <f t="shared" si="1183"/>
        <v>99999</v>
      </c>
      <c r="B33380" s="2" t="str">
        <f>"95640"</f>
        <v>95640</v>
      </c>
      <c r="C33380" s="1">
        <v>3.7980079666491201E-4</v>
      </c>
      <c r="D33380" s="1">
        <v>1.07749789812029E-4</v>
      </c>
      <c r="E33380" s="1">
        <v>2.0858591784322101E-4</v>
      </c>
      <c r="F33380" s="1">
        <v>3.5804699936418997E-4</v>
      </c>
    </row>
    <row r="33381" spans="1:6" x14ac:dyDescent="0.25">
      <c r="A33381" s="2" t="str">
        <f t="shared" si="1183"/>
        <v>99999</v>
      </c>
      <c r="B33381" s="2" t="str">
        <f>"95568"</f>
        <v>95568</v>
      </c>
      <c r="C33381" s="1">
        <v>1.8990039833245598E-5</v>
      </c>
      <c r="D33381" s="1">
        <v>7.5880133670443404E-6</v>
      </c>
      <c r="E33381" s="1">
        <v>4.3455399550671099E-6</v>
      </c>
      <c r="F33381" s="1">
        <v>1.7907324224938601E-5</v>
      </c>
    </row>
    <row r="33382" spans="1:6" x14ac:dyDescent="0.25">
      <c r="A33382" s="2" t="str">
        <f t="shared" si="1183"/>
        <v>99999</v>
      </c>
      <c r="B33382" s="2" t="str">
        <f>"95232"</f>
        <v>95232</v>
      </c>
      <c r="C33382" s="1">
        <v>3.7106974386801701E-6</v>
      </c>
      <c r="D33382" s="1">
        <v>3.0352053468177301E-6</v>
      </c>
      <c r="E33382" s="1">
        <v>8.69107991013423E-6</v>
      </c>
      <c r="F33382" s="1">
        <v>3.7804351141537199E-6</v>
      </c>
    </row>
    <row r="33383" spans="1:6" x14ac:dyDescent="0.25">
      <c r="A33383" s="2" t="str">
        <f t="shared" si="1183"/>
        <v>99999</v>
      </c>
      <c r="B33383" s="2" t="str">
        <f>"95225"</f>
        <v>95225</v>
      </c>
      <c r="C33383" s="1">
        <v>0</v>
      </c>
      <c r="D33383" s="1">
        <v>0</v>
      </c>
      <c r="E33383" s="1">
        <v>4.3455399550671099E-6</v>
      </c>
      <c r="F33383" s="1">
        <v>9.9485134582992598E-8</v>
      </c>
    </row>
    <row r="33384" spans="1:6" x14ac:dyDescent="0.25">
      <c r="A33384" s="2" t="str">
        <f t="shared" si="1183"/>
        <v>99999</v>
      </c>
      <c r="B33384" s="2" t="str">
        <f>"95230"</f>
        <v>95230</v>
      </c>
      <c r="C33384" s="1">
        <v>4.9112171982531701E-6</v>
      </c>
      <c r="D33384" s="1">
        <v>0</v>
      </c>
      <c r="E33384" s="1">
        <v>8.69107991013423E-6</v>
      </c>
      <c r="F33384" s="1">
        <v>4.6758013254006498E-6</v>
      </c>
    </row>
    <row r="33385" spans="1:6" x14ac:dyDescent="0.25">
      <c r="A33385" s="2" t="str">
        <f t="shared" si="1183"/>
        <v>99999</v>
      </c>
      <c r="B33385" s="2" t="str">
        <f>"93601"</f>
        <v>93601</v>
      </c>
      <c r="C33385" s="1">
        <v>4.6929408783308102E-6</v>
      </c>
      <c r="D33385" s="1">
        <v>0</v>
      </c>
      <c r="E33385" s="1">
        <v>0</v>
      </c>
      <c r="F33385" s="1">
        <v>4.2778607870686803E-6</v>
      </c>
    </row>
    <row r="33386" spans="1:6" x14ac:dyDescent="0.25">
      <c r="A33386" s="2" t="str">
        <f t="shared" si="1183"/>
        <v>99999</v>
      </c>
      <c r="B33386" s="2" t="str">
        <f>"93522"</f>
        <v>93522</v>
      </c>
      <c r="C33386" s="1">
        <v>0</v>
      </c>
      <c r="D33386" s="1">
        <v>3.0352053468177301E-6</v>
      </c>
      <c r="E33386" s="1">
        <v>0</v>
      </c>
      <c r="F33386" s="1">
        <v>1.9897026916598501E-7</v>
      </c>
    </row>
    <row r="33387" spans="1:6" x14ac:dyDescent="0.25">
      <c r="A33387" s="2" t="str">
        <f t="shared" si="1183"/>
        <v>99999</v>
      </c>
      <c r="B33387" s="2" t="str">
        <f>"93529"</f>
        <v>93529</v>
      </c>
      <c r="C33387" s="1">
        <v>2.13910793523916E-5</v>
      </c>
      <c r="D33387" s="1">
        <v>4.5528080202265997E-6</v>
      </c>
      <c r="E33387" s="1">
        <v>1.7382159820268399E-5</v>
      </c>
      <c r="F33387" s="1">
        <v>2.0195482320347499E-5</v>
      </c>
    </row>
    <row r="33388" spans="1:6" x14ac:dyDescent="0.25">
      <c r="A33388" s="2" t="str">
        <f t="shared" si="1183"/>
        <v>99999</v>
      </c>
      <c r="B33388" s="2" t="str">
        <f>"92328"</f>
        <v>92328</v>
      </c>
      <c r="C33388" s="1">
        <v>1.3096579195341799E-6</v>
      </c>
      <c r="D33388" s="1">
        <v>9.1056160404532095E-6</v>
      </c>
      <c r="E33388" s="1">
        <v>0</v>
      </c>
      <c r="F33388" s="1">
        <v>1.79073242249386E-6</v>
      </c>
    </row>
    <row r="33389" spans="1:6" x14ac:dyDescent="0.25">
      <c r="A33389" s="2" t="str">
        <f t="shared" si="1183"/>
        <v>99999</v>
      </c>
      <c r="B33389" s="2" t="str">
        <f>"69367"</f>
        <v>69367</v>
      </c>
      <c r="C33389" s="1">
        <v>1.6479862154138401E-5</v>
      </c>
      <c r="D33389" s="1">
        <v>3.0352053468177301E-6</v>
      </c>
      <c r="E33389" s="1">
        <v>0</v>
      </c>
      <c r="F33389" s="1">
        <v>1.52212255911978E-5</v>
      </c>
    </row>
    <row r="33390" spans="1:6" x14ac:dyDescent="0.25">
      <c r="A33390" s="2" t="str">
        <f t="shared" si="1183"/>
        <v>99999</v>
      </c>
      <c r="B33390" s="2" t="str">
        <f>"68837"</f>
        <v>68837</v>
      </c>
      <c r="C33390" s="1">
        <v>7.6396711972827196E-6</v>
      </c>
      <c r="D33390" s="1">
        <v>6.0704106936354696E-6</v>
      </c>
      <c r="E33390" s="1">
        <v>4.3455399550671099E-6</v>
      </c>
      <c r="F33390" s="1">
        <v>7.4613850937244396E-6</v>
      </c>
    </row>
    <row r="33391" spans="1:6" x14ac:dyDescent="0.25">
      <c r="A33391" s="2" t="str">
        <f t="shared" si="1183"/>
        <v>99999</v>
      </c>
      <c r="B33391" s="2" t="str">
        <f>"68834"</f>
        <v>68834</v>
      </c>
      <c r="C33391" s="1">
        <v>1.20051975957299E-6</v>
      </c>
      <c r="D33391" s="1">
        <v>0</v>
      </c>
      <c r="E33391" s="1">
        <v>0</v>
      </c>
      <c r="F33391" s="1">
        <v>1.09433648041291E-6</v>
      </c>
    </row>
    <row r="33392" spans="1:6" x14ac:dyDescent="0.25">
      <c r="A33392" s="2" t="str">
        <f t="shared" si="1183"/>
        <v>99999</v>
      </c>
      <c r="B33392" s="2" t="str">
        <f>"68814"</f>
        <v>68814</v>
      </c>
      <c r="C33392" s="1">
        <v>4.9112171982531698E-5</v>
      </c>
      <c r="D33392" s="1">
        <v>3.0352053468177301E-5</v>
      </c>
      <c r="E33392" s="1">
        <v>8.69107991013423E-6</v>
      </c>
      <c r="F33392" s="1">
        <v>4.69569835231725E-5</v>
      </c>
    </row>
    <row r="33393" spans="1:6" x14ac:dyDescent="0.25">
      <c r="A33393" s="2" t="str">
        <f t="shared" si="1183"/>
        <v>99999</v>
      </c>
      <c r="B33393" s="2" t="str">
        <f>"69354"</f>
        <v>69354</v>
      </c>
      <c r="C33393" s="1">
        <v>7.7488093572439E-6</v>
      </c>
      <c r="D33393" s="1">
        <v>1.51760267340886E-6</v>
      </c>
      <c r="E33393" s="1">
        <v>0</v>
      </c>
      <c r="F33393" s="1">
        <v>7.1629296899754602E-6</v>
      </c>
    </row>
    <row r="33394" spans="1:6" x14ac:dyDescent="0.25">
      <c r="A33394" s="2" t="str">
        <f t="shared" si="1183"/>
        <v>99999</v>
      </c>
      <c r="B33394" s="2" t="str">
        <f>"68975"</f>
        <v>68975</v>
      </c>
      <c r="C33394" s="1">
        <v>6.1117369578261701E-6</v>
      </c>
      <c r="D33394" s="1">
        <v>3.0352053468177301E-6</v>
      </c>
      <c r="E33394" s="1">
        <v>4.3455399550671099E-6</v>
      </c>
      <c r="F33394" s="1">
        <v>5.86962294039656E-6</v>
      </c>
    </row>
    <row r="33395" spans="1:6" x14ac:dyDescent="0.25">
      <c r="A33395" s="2" t="str">
        <f t="shared" si="1183"/>
        <v>99999</v>
      </c>
      <c r="B33395" s="2" t="str">
        <f>"68971"</f>
        <v>68971</v>
      </c>
      <c r="C33395" s="1">
        <v>4.1909053425093703E-5</v>
      </c>
      <c r="D33395" s="1">
        <v>2.7316848121359601E-5</v>
      </c>
      <c r="E33395" s="1">
        <v>4.3455399550671099E-6</v>
      </c>
      <c r="F33395" s="1">
        <v>4.0092509236946002E-5</v>
      </c>
    </row>
    <row r="33396" spans="1:6" x14ac:dyDescent="0.25">
      <c r="A33396" s="2" t="str">
        <f t="shared" si="1183"/>
        <v>99999</v>
      </c>
      <c r="B33396" s="2" t="str">
        <f>"69045"</f>
        <v>69045</v>
      </c>
      <c r="C33396" s="1">
        <v>5.7843224779426302E-5</v>
      </c>
      <c r="D33396" s="1">
        <v>5.6151298916128101E-5</v>
      </c>
      <c r="E33396" s="1">
        <v>4.3455399550671099E-6</v>
      </c>
      <c r="F33396" s="1">
        <v>5.6507556443139802E-5</v>
      </c>
    </row>
    <row r="33397" spans="1:6" x14ac:dyDescent="0.25">
      <c r="A33397" s="2" t="str">
        <f t="shared" si="1183"/>
        <v>99999</v>
      </c>
      <c r="B33397" s="2" t="str">
        <f>"69038"</f>
        <v>69038</v>
      </c>
      <c r="C33397" s="1">
        <v>2.0081421432857398E-5</v>
      </c>
      <c r="D33397" s="1">
        <v>3.4904861488403899E-5</v>
      </c>
      <c r="E33397" s="1">
        <v>0</v>
      </c>
      <c r="F33397" s="1">
        <v>2.0593422858679401E-5</v>
      </c>
    </row>
    <row r="33398" spans="1:6" x14ac:dyDescent="0.25">
      <c r="A33398" s="2" t="str">
        <f t="shared" si="1183"/>
        <v>99999</v>
      </c>
      <c r="B33398" s="2" t="str">
        <f>"69033"</f>
        <v>69033</v>
      </c>
      <c r="C33398" s="1">
        <v>1.4297098954914799E-4</v>
      </c>
      <c r="D33398" s="1">
        <v>1.9273553952292601E-4</v>
      </c>
      <c r="E33398" s="1">
        <v>2.1727699775335501E-5</v>
      </c>
      <c r="F33398" s="1">
        <v>1.4345756406867501E-4</v>
      </c>
    </row>
    <row r="33399" spans="1:6" x14ac:dyDescent="0.25">
      <c r="A33399" s="2" t="str">
        <f t="shared" si="1183"/>
        <v>99999</v>
      </c>
      <c r="B33399" s="2" t="str">
        <f>"69145"</f>
        <v>69145</v>
      </c>
      <c r="C33399" s="1">
        <v>1.8378866137463E-4</v>
      </c>
      <c r="D33399" s="1">
        <v>4.1734073518743902E-4</v>
      </c>
      <c r="E33399" s="1">
        <v>2.5204131739389198E-4</v>
      </c>
      <c r="F33399" s="1">
        <v>2.0066151645389599E-4</v>
      </c>
    </row>
    <row r="33400" spans="1:6" x14ac:dyDescent="0.25">
      <c r="A33400" s="2" t="str">
        <f t="shared" si="1183"/>
        <v>99999</v>
      </c>
      <c r="B33400" s="2" t="str">
        <f>"69120"</f>
        <v>69120</v>
      </c>
      <c r="C33400" s="1">
        <v>5.56604615802026E-5</v>
      </c>
      <c r="D33400" s="1">
        <v>8.8020955057714406E-5</v>
      </c>
      <c r="E33400" s="1">
        <v>2.60732397304027E-5</v>
      </c>
      <c r="F33400" s="1">
        <v>5.7104467250637698E-5</v>
      </c>
    </row>
    <row r="33401" spans="1:6" x14ac:dyDescent="0.25">
      <c r="A33401" s="2" t="str">
        <f t="shared" si="1183"/>
        <v>99999</v>
      </c>
      <c r="B33401" s="2" t="str">
        <f>"68769"</f>
        <v>68769</v>
      </c>
      <c r="C33401" s="1">
        <v>1.1459506795924E-5</v>
      </c>
      <c r="D33401" s="1">
        <v>4.5528080202265997E-6</v>
      </c>
      <c r="E33401" s="1">
        <v>0</v>
      </c>
      <c r="F33401" s="1">
        <v>1.0744394534963201E-5</v>
      </c>
    </row>
    <row r="33402" spans="1:6" x14ac:dyDescent="0.25">
      <c r="A33402" s="2" t="str">
        <f t="shared" si="1183"/>
        <v>99999</v>
      </c>
      <c r="B33402" s="2" t="str">
        <f>"68763"</f>
        <v>68763</v>
      </c>
      <c r="C33402" s="1">
        <v>2.6968039326408E-4</v>
      </c>
      <c r="D33402" s="1">
        <v>5.5847778381446303E-4</v>
      </c>
      <c r="E33402" s="1">
        <v>5.2146479460805396E-4</v>
      </c>
      <c r="F33402" s="1">
        <v>2.9437651323107499E-4</v>
      </c>
    </row>
    <row r="33403" spans="1:6" x14ac:dyDescent="0.25">
      <c r="A33403" s="2" t="str">
        <f t="shared" si="1183"/>
        <v>99999</v>
      </c>
      <c r="B33403" s="2" t="str">
        <f>"68930"</f>
        <v>68930</v>
      </c>
      <c r="C33403" s="1">
        <v>6.3736685417330099E-5</v>
      </c>
      <c r="D33403" s="1">
        <v>3.0352053468177301E-5</v>
      </c>
      <c r="E33403" s="1">
        <v>3.0418779685469802E-5</v>
      </c>
      <c r="F33403" s="1">
        <v>6.0785417230208501E-5</v>
      </c>
    </row>
    <row r="33404" spans="1:6" x14ac:dyDescent="0.25">
      <c r="A33404" s="2" t="str">
        <f t="shared" si="1183"/>
        <v>99999</v>
      </c>
      <c r="B33404" s="2" t="str">
        <f>"68927"</f>
        <v>68927</v>
      </c>
      <c r="C33404" s="1">
        <v>5.5442185260280297E-5</v>
      </c>
      <c r="D33404" s="1">
        <v>2.5799245447950699E-5</v>
      </c>
      <c r="E33404" s="1">
        <v>4.7800939505738197E-5</v>
      </c>
      <c r="F33404" s="1">
        <v>5.3324032136483998E-5</v>
      </c>
    </row>
    <row r="33405" spans="1:6" x14ac:dyDescent="0.25">
      <c r="A33405" s="2" t="str">
        <f t="shared" si="1183"/>
        <v>99999</v>
      </c>
      <c r="B33405" s="2" t="str">
        <f>"68701"</f>
        <v>68701</v>
      </c>
      <c r="C33405" s="1">
        <v>3.2741447988354498E-7</v>
      </c>
      <c r="D33405" s="1">
        <v>0</v>
      </c>
      <c r="E33405" s="1">
        <v>0</v>
      </c>
      <c r="F33405" s="1">
        <v>2.9845540374897701E-7</v>
      </c>
    </row>
    <row r="33406" spans="1:6" x14ac:dyDescent="0.25">
      <c r="A33406" s="2" t="str">
        <f t="shared" si="1183"/>
        <v>99999</v>
      </c>
      <c r="B33406" s="2" t="str">
        <f>"68722"</f>
        <v>68722</v>
      </c>
      <c r="C33406" s="1">
        <v>2.6629711030528301E-5</v>
      </c>
      <c r="D33406" s="1">
        <v>7.5880133670443404E-6</v>
      </c>
      <c r="E33406" s="1">
        <v>1.3036619865201299E-5</v>
      </c>
      <c r="F33406" s="1">
        <v>2.5070253914914101E-5</v>
      </c>
    </row>
    <row r="33407" spans="1:6" x14ac:dyDescent="0.25">
      <c r="A33407" s="2" t="str">
        <f t="shared" si="1183"/>
        <v>99999</v>
      </c>
      <c r="B33407" s="2" t="str">
        <f>"68734"</f>
        <v>68734</v>
      </c>
      <c r="C33407" s="1">
        <v>7.5305330373215401E-6</v>
      </c>
      <c r="D33407" s="1">
        <v>4.5528080202265997E-6</v>
      </c>
      <c r="E33407" s="1">
        <v>0</v>
      </c>
      <c r="F33407" s="1">
        <v>7.1629296899754602E-6</v>
      </c>
    </row>
    <row r="33408" spans="1:6" x14ac:dyDescent="0.25">
      <c r="A33408" s="2" t="str">
        <f t="shared" si="1183"/>
        <v>99999</v>
      </c>
      <c r="B33408" s="2" t="str">
        <f>"68725"</f>
        <v>68725</v>
      </c>
      <c r="C33408" s="1">
        <v>3.5579040147345198E-5</v>
      </c>
      <c r="D33408" s="1">
        <v>3.0352053468177301E-6</v>
      </c>
      <c r="E33408" s="1">
        <v>0</v>
      </c>
      <c r="F33408" s="1">
        <v>3.26311241432215E-5</v>
      </c>
    </row>
    <row r="33409" spans="1:6" x14ac:dyDescent="0.25">
      <c r="A33409" s="2" t="str">
        <f t="shared" si="1183"/>
        <v>99999</v>
      </c>
      <c r="B33409" s="2" t="str">
        <f>"68423"</f>
        <v>68423</v>
      </c>
      <c r="C33409" s="1">
        <v>2.1827631992236301E-7</v>
      </c>
      <c r="D33409" s="1">
        <v>0</v>
      </c>
      <c r="E33409" s="1">
        <v>0</v>
      </c>
      <c r="F33409" s="1">
        <v>1.9897026916598501E-7</v>
      </c>
    </row>
    <row r="33410" spans="1:6" x14ac:dyDescent="0.25">
      <c r="A33410" s="2" t="str">
        <f t="shared" si="1183"/>
        <v>99999</v>
      </c>
      <c r="B33410" s="2" t="str">
        <f>"68437"</f>
        <v>68437</v>
      </c>
      <c r="C33410" s="1">
        <v>1.6698138474060799E-5</v>
      </c>
      <c r="D33410" s="1">
        <v>1.51760267340886E-6</v>
      </c>
      <c r="E33410" s="1">
        <v>4.3455399550671099E-6</v>
      </c>
      <c r="F33410" s="1">
        <v>1.5420195860363801E-5</v>
      </c>
    </row>
    <row r="33411" spans="1:6" x14ac:dyDescent="0.25">
      <c r="A33411" s="2" t="str">
        <f t="shared" si="1183"/>
        <v>99999</v>
      </c>
      <c r="B33411" s="2" t="str">
        <f>"68460"</f>
        <v>68460</v>
      </c>
      <c r="C33411" s="1">
        <v>4.42009547842786E-5</v>
      </c>
      <c r="D33411" s="1">
        <v>3.0352053468177301E-5</v>
      </c>
      <c r="E33411" s="1">
        <v>3.47643196405369E-5</v>
      </c>
      <c r="F33411" s="1">
        <v>4.3077063274435802E-5</v>
      </c>
    </row>
    <row r="33412" spans="1:6" x14ac:dyDescent="0.25">
      <c r="A33412" s="2" t="str">
        <f t="shared" si="1183"/>
        <v>99999</v>
      </c>
      <c r="B33412" s="2" t="str">
        <f>"68416"</f>
        <v>68416</v>
      </c>
      <c r="C33412" s="1">
        <v>1.25508883955359E-5</v>
      </c>
      <c r="D33412" s="1">
        <v>4.5528080202265997E-6</v>
      </c>
      <c r="E33412" s="1">
        <v>4.3455399550671099E-6</v>
      </c>
      <c r="F33412" s="1">
        <v>1.18387310153761E-5</v>
      </c>
    </row>
    <row r="33413" spans="1:6" x14ac:dyDescent="0.25">
      <c r="A33413" s="2" t="str">
        <f t="shared" si="1183"/>
        <v>99999</v>
      </c>
      <c r="B33413" s="2" t="str">
        <f>"68414"</f>
        <v>68414</v>
      </c>
      <c r="C33413" s="1">
        <v>1.6916414793983099E-5</v>
      </c>
      <c r="D33413" s="1">
        <v>1.51760267340886E-6</v>
      </c>
      <c r="E33413" s="1">
        <v>8.69107991013423E-6</v>
      </c>
      <c r="F33413" s="1">
        <v>1.57186512641128E-5</v>
      </c>
    </row>
    <row r="33414" spans="1:6" x14ac:dyDescent="0.25">
      <c r="A33414" s="2" t="str">
        <f t="shared" si="1183"/>
        <v>99999</v>
      </c>
      <c r="B33414" s="2" t="str">
        <f>"68332"</f>
        <v>68332</v>
      </c>
      <c r="C33414" s="1">
        <v>8.1853619970886298E-6</v>
      </c>
      <c r="D33414" s="1">
        <v>1.51760267340886E-6</v>
      </c>
      <c r="E33414" s="1">
        <v>8.69107991013423E-6</v>
      </c>
      <c r="F33414" s="1">
        <v>7.7598404974734199E-6</v>
      </c>
    </row>
    <row r="33415" spans="1:6" x14ac:dyDescent="0.25">
      <c r="A33415" s="2" t="str">
        <f t="shared" si="1183"/>
        <v>99999</v>
      </c>
      <c r="B33415" s="2" t="str">
        <f>"68352"</f>
        <v>68352</v>
      </c>
      <c r="C33415" s="1">
        <v>3.0253097941239501E-4</v>
      </c>
      <c r="D33415" s="1">
        <v>5.0839689559197096E-4</v>
      </c>
      <c r="E33415" s="1">
        <v>3.43297656450302E-4</v>
      </c>
      <c r="F33415" s="1">
        <v>3.1695963878141401E-4</v>
      </c>
    </row>
    <row r="33416" spans="1:6" x14ac:dyDescent="0.25">
      <c r="A33416" s="2" t="str">
        <f t="shared" si="1183"/>
        <v>99999</v>
      </c>
      <c r="B33416" s="2" t="str">
        <f>"68659"</f>
        <v>68659</v>
      </c>
      <c r="C33416" s="1">
        <v>1.0258987036351001E-5</v>
      </c>
      <c r="D33416" s="1">
        <v>6.0704106936354696E-6</v>
      </c>
      <c r="E33416" s="1">
        <v>4.3455399550671099E-6</v>
      </c>
      <c r="F33416" s="1">
        <v>9.8490283237162701E-6</v>
      </c>
    </row>
    <row r="33417" spans="1:6" x14ac:dyDescent="0.25">
      <c r="A33417" s="2" t="str">
        <f t="shared" si="1183"/>
        <v>99999</v>
      </c>
      <c r="B33417" s="2" t="str">
        <f>"68651"</f>
        <v>68651</v>
      </c>
      <c r="C33417" s="1">
        <v>7.6505850132788303E-5</v>
      </c>
      <c r="D33417" s="1">
        <v>1.00161776444985E-4</v>
      </c>
      <c r="E33417" s="1">
        <v>5.21464794608054E-5</v>
      </c>
      <c r="F33417" s="1">
        <v>7.7498919840151201E-5</v>
      </c>
    </row>
    <row r="33418" spans="1:6" x14ac:dyDescent="0.25">
      <c r="A33418" s="2" t="str">
        <f t="shared" si="1183"/>
        <v>99999</v>
      </c>
      <c r="B33418" s="2" t="str">
        <f>"68316"</f>
        <v>68316</v>
      </c>
      <c r="C33418" s="1">
        <v>2.0190559592818601E-5</v>
      </c>
      <c r="D33418" s="1">
        <v>1.51760267340886E-6</v>
      </c>
      <c r="E33418" s="1">
        <v>0</v>
      </c>
      <c r="F33418" s="1">
        <v>1.8504235032436599E-5</v>
      </c>
    </row>
    <row r="33419" spans="1:6" x14ac:dyDescent="0.25">
      <c r="A33419" s="2" t="str">
        <f t="shared" si="1183"/>
        <v>99999</v>
      </c>
      <c r="B33419" s="2" t="str">
        <f>"68014"</f>
        <v>68014</v>
      </c>
      <c r="C33419" s="1">
        <v>1.5279342394565399E-5</v>
      </c>
      <c r="D33419" s="1">
        <v>3.0352053468177301E-6</v>
      </c>
      <c r="E33419" s="1">
        <v>4.3455399550671099E-6</v>
      </c>
      <c r="F33419" s="1">
        <v>1.42263742453679E-5</v>
      </c>
    </row>
    <row r="33420" spans="1:6" x14ac:dyDescent="0.25">
      <c r="A33420" s="2" t="str">
        <f t="shared" si="1183"/>
        <v>99999</v>
      </c>
      <c r="B33420" s="2" t="str">
        <f>"67871"</f>
        <v>67871</v>
      </c>
      <c r="C33420" s="1">
        <v>2.6138589310703E-4</v>
      </c>
      <c r="D33420" s="1">
        <v>4.94738471531291E-4</v>
      </c>
      <c r="E33420" s="1">
        <v>2.7376901716922799E-4</v>
      </c>
      <c r="F33420" s="1">
        <v>2.76966614679051E-4</v>
      </c>
    </row>
    <row r="33421" spans="1:6" x14ac:dyDescent="0.25">
      <c r="A33421" s="2" t="str">
        <f t="shared" si="1183"/>
        <v>99999</v>
      </c>
      <c r="B33421" s="2" t="str">
        <f>"67861"</f>
        <v>67861</v>
      </c>
      <c r="C33421" s="1">
        <v>8.589173188945E-5</v>
      </c>
      <c r="D33421" s="1">
        <v>1.16855405852482E-4</v>
      </c>
      <c r="E33421" s="1">
        <v>3.9109859595604001E-5</v>
      </c>
      <c r="F33421" s="1">
        <v>8.6850522490952505E-5</v>
      </c>
    </row>
    <row r="33422" spans="1:6" x14ac:dyDescent="0.25">
      <c r="A33422" s="2" t="str">
        <f t="shared" si="1183"/>
        <v>99999</v>
      </c>
      <c r="B33422" s="2" t="str">
        <f>"67846"</f>
        <v>67846</v>
      </c>
      <c r="C33422" s="1">
        <v>1.4187960794953601E-6</v>
      </c>
      <c r="D33422" s="1">
        <v>3.0352053468177301E-6</v>
      </c>
      <c r="E33422" s="1">
        <v>4.3455399550671099E-6</v>
      </c>
      <c r="F33422" s="1">
        <v>1.5917621533278801E-6</v>
      </c>
    </row>
    <row r="33423" spans="1:6" x14ac:dyDescent="0.25">
      <c r="A33423" s="2" t="str">
        <f t="shared" si="1183"/>
        <v>99999</v>
      </c>
      <c r="B33423" s="2" t="str">
        <f>"67843"</f>
        <v>67843</v>
      </c>
      <c r="C33423" s="1">
        <v>2.4010395191459898E-6</v>
      </c>
      <c r="D33423" s="1">
        <v>0</v>
      </c>
      <c r="E33423" s="1">
        <v>8.69107991013423E-6</v>
      </c>
      <c r="F33423" s="1">
        <v>2.3876432299918199E-6</v>
      </c>
    </row>
    <row r="33424" spans="1:6" x14ac:dyDescent="0.25">
      <c r="A33424" s="2" t="str">
        <f t="shared" si="1183"/>
        <v>99999</v>
      </c>
      <c r="B33424" s="2" t="str">
        <f>"67840"</f>
        <v>67840</v>
      </c>
      <c r="C33424" s="1">
        <v>6.5482895976709E-6</v>
      </c>
      <c r="D33424" s="1">
        <v>1.51760267340886E-6</v>
      </c>
      <c r="E33424" s="1">
        <v>4.3455399550671099E-6</v>
      </c>
      <c r="F33424" s="1">
        <v>6.1680783441455402E-6</v>
      </c>
    </row>
    <row r="33425" spans="1:6" x14ac:dyDescent="0.25">
      <c r="A33425" s="2" t="str">
        <f t="shared" si="1183"/>
        <v>99999</v>
      </c>
      <c r="B33425" s="2" t="str">
        <f>"67801"</f>
        <v>67801</v>
      </c>
      <c r="C33425" s="1">
        <v>4.3655263984472602E-7</v>
      </c>
      <c r="D33425" s="1">
        <v>0</v>
      </c>
      <c r="E33425" s="1">
        <v>0</v>
      </c>
      <c r="F33425" s="1">
        <v>3.9794053833197002E-7</v>
      </c>
    </row>
    <row r="33426" spans="1:6" x14ac:dyDescent="0.25">
      <c r="A33426" s="2" t="str">
        <f t="shared" ref="A33426:A33489" si="1184">"99999"</f>
        <v>99999</v>
      </c>
      <c r="B33426" s="2" t="str">
        <f>"67741"</f>
        <v>67741</v>
      </c>
      <c r="C33426" s="1">
        <v>2.0954526712546801E-5</v>
      </c>
      <c r="D33426" s="1">
        <v>1.21408213872709E-5</v>
      </c>
      <c r="E33426" s="1">
        <v>2.60732397304027E-5</v>
      </c>
      <c r="F33426" s="1">
        <v>2.04939377240964E-5</v>
      </c>
    </row>
    <row r="33427" spans="1:6" x14ac:dyDescent="0.25">
      <c r="A33427" s="2" t="str">
        <f t="shared" si="1184"/>
        <v>99999</v>
      </c>
      <c r="B33427" s="2" t="str">
        <f>"67740"</f>
        <v>67740</v>
      </c>
      <c r="C33427" s="1">
        <v>6.6137724936476104E-5</v>
      </c>
      <c r="D33427" s="1">
        <v>3.7940066835221703E-5</v>
      </c>
      <c r="E33427" s="1">
        <v>3.9109859595604001E-5</v>
      </c>
      <c r="F33427" s="1">
        <v>6.36704861331152E-5</v>
      </c>
    </row>
    <row r="33428" spans="1:6" x14ac:dyDescent="0.25">
      <c r="A33428" s="2" t="str">
        <f t="shared" si="1184"/>
        <v>99999</v>
      </c>
      <c r="B33428" s="2" t="str">
        <f>"67417"</f>
        <v>67417</v>
      </c>
      <c r="C33428" s="1">
        <v>1.06955396761958E-5</v>
      </c>
      <c r="D33428" s="1">
        <v>1.51760267340886E-6</v>
      </c>
      <c r="E33428" s="1">
        <v>4.3455399550671099E-6</v>
      </c>
      <c r="F33428" s="1">
        <v>9.9485134582992602E-6</v>
      </c>
    </row>
    <row r="33429" spans="1:6" x14ac:dyDescent="0.25">
      <c r="A33429" s="2" t="str">
        <f t="shared" si="1184"/>
        <v>99999</v>
      </c>
      <c r="B33429" s="2" t="str">
        <f>"67410"</f>
        <v>67410</v>
      </c>
      <c r="C33429" s="1">
        <v>5.1513211501677699E-4</v>
      </c>
      <c r="D33429" s="1">
        <v>6.8443880570739999E-4</v>
      </c>
      <c r="E33429" s="1">
        <v>6.9963193276580495E-4</v>
      </c>
      <c r="F33429" s="1">
        <v>5.3045473759651596E-4</v>
      </c>
    </row>
    <row r="33430" spans="1:6" x14ac:dyDescent="0.25">
      <c r="A33430" s="2" t="str">
        <f t="shared" si="1184"/>
        <v>99999</v>
      </c>
      <c r="B33430" s="2" t="str">
        <f>"67731"</f>
        <v>67731</v>
      </c>
      <c r="C33430" s="1">
        <v>4.0381119185637202E-5</v>
      </c>
      <c r="D33430" s="1">
        <v>3.3387258814995101E-5</v>
      </c>
      <c r="E33430" s="1">
        <v>3.0418779685469802E-5</v>
      </c>
      <c r="F33430" s="1">
        <v>3.9694568698614001E-5</v>
      </c>
    </row>
    <row r="33431" spans="1:6" x14ac:dyDescent="0.25">
      <c r="A33431" s="2" t="str">
        <f t="shared" si="1184"/>
        <v>99999</v>
      </c>
      <c r="B33431" s="2" t="str">
        <f>"67524"</f>
        <v>67524</v>
      </c>
      <c r="C33431" s="1">
        <v>2.1172803032469199E-5</v>
      </c>
      <c r="D33431" s="1">
        <v>1.9728834754315301E-5</v>
      </c>
      <c r="E33431" s="1">
        <v>2.60732397304027E-5</v>
      </c>
      <c r="F33431" s="1">
        <v>2.1190333666177399E-5</v>
      </c>
    </row>
    <row r="33432" spans="1:6" x14ac:dyDescent="0.25">
      <c r="A33432" s="2" t="str">
        <f t="shared" si="1184"/>
        <v>99999</v>
      </c>
      <c r="B33432" s="2" t="str">
        <f>"67567"</f>
        <v>67567</v>
      </c>
      <c r="C33432" s="1">
        <v>6.1117369578261701E-6</v>
      </c>
      <c r="D33432" s="1">
        <v>3.0352053468177301E-6</v>
      </c>
      <c r="E33432" s="1">
        <v>4.3455399550671099E-6</v>
      </c>
      <c r="F33432" s="1">
        <v>5.86962294039656E-6</v>
      </c>
    </row>
    <row r="33433" spans="1:6" x14ac:dyDescent="0.25">
      <c r="A33433" s="2" t="str">
        <f t="shared" si="1184"/>
        <v>99999</v>
      </c>
      <c r="B33433" s="2" t="str">
        <f>"67561"</f>
        <v>67561</v>
      </c>
      <c r="C33433" s="1">
        <v>2.1827631992236301E-7</v>
      </c>
      <c r="D33433" s="1">
        <v>0</v>
      </c>
      <c r="E33433" s="1">
        <v>0</v>
      </c>
      <c r="F33433" s="1">
        <v>1.9897026916598501E-7</v>
      </c>
    </row>
    <row r="33434" spans="1:6" x14ac:dyDescent="0.25">
      <c r="A33434" s="2" t="str">
        <f t="shared" si="1184"/>
        <v>99999</v>
      </c>
      <c r="B33434" s="2" t="str">
        <f>"67552"</f>
        <v>67552</v>
      </c>
      <c r="C33434" s="1">
        <v>3.2850586148315701E-5</v>
      </c>
      <c r="D33434" s="1">
        <v>1.5176026734088599E-5</v>
      </c>
      <c r="E33434" s="1">
        <v>1.7382159820268399E-5</v>
      </c>
      <c r="F33434" s="1">
        <v>3.1337817393642601E-5</v>
      </c>
    </row>
    <row r="33435" spans="1:6" x14ac:dyDescent="0.25">
      <c r="A33435" s="2" t="str">
        <f t="shared" si="1184"/>
        <v>99999</v>
      </c>
      <c r="B33435" s="2" t="str">
        <f>"67583"</f>
        <v>67583</v>
      </c>
      <c r="C33435" s="1">
        <v>2.4992638631110601E-5</v>
      </c>
      <c r="D33435" s="1">
        <v>1.66936294074975E-5</v>
      </c>
      <c r="E33435" s="1">
        <v>0</v>
      </c>
      <c r="F33435" s="1">
        <v>2.38764322999182E-5</v>
      </c>
    </row>
    <row r="33436" spans="1:6" x14ac:dyDescent="0.25">
      <c r="A33436" s="2" t="str">
        <f t="shared" si="1184"/>
        <v>99999</v>
      </c>
      <c r="B33436" s="2" t="str">
        <f>"67575"</f>
        <v>67575</v>
      </c>
      <c r="C33436" s="1">
        <v>2.9903855829363701E-5</v>
      </c>
      <c r="D33436" s="1">
        <v>2.4281642774541899E-5</v>
      </c>
      <c r="E33436" s="1">
        <v>1.3036619865201299E-5</v>
      </c>
      <c r="F33436" s="1">
        <v>2.9149144432816799E-5</v>
      </c>
    </row>
    <row r="33437" spans="1:6" x14ac:dyDescent="0.25">
      <c r="A33437" s="2" t="str">
        <f t="shared" si="1184"/>
        <v>99999</v>
      </c>
      <c r="B33437" s="2" t="str">
        <f>"67554"</f>
        <v>67554</v>
      </c>
      <c r="C33437" s="1">
        <v>2.3071807015793801E-4</v>
      </c>
      <c r="D33437" s="1">
        <v>4.4162237796198102E-4</v>
      </c>
      <c r="E33437" s="1">
        <v>1.4340281851721399E-4</v>
      </c>
      <c r="F33437" s="1">
        <v>2.42544758113336E-4</v>
      </c>
    </row>
    <row r="33438" spans="1:6" x14ac:dyDescent="0.25">
      <c r="A33438" s="2" t="str">
        <f t="shared" si="1184"/>
        <v>99999</v>
      </c>
      <c r="B33438" s="2" t="str">
        <f>"67547"</f>
        <v>67547</v>
      </c>
      <c r="C33438" s="1">
        <v>1.2027025227722201E-4</v>
      </c>
      <c r="D33438" s="1">
        <v>2.6861567319336899E-4</v>
      </c>
      <c r="E33438" s="1">
        <v>6.9528639281073799E-5</v>
      </c>
      <c r="F33438" s="1">
        <v>1.28833249284975E-4</v>
      </c>
    </row>
    <row r="33439" spans="1:6" x14ac:dyDescent="0.25">
      <c r="A33439" s="2" t="str">
        <f t="shared" si="1184"/>
        <v>99999</v>
      </c>
      <c r="B33439" s="2" t="str">
        <f>"67438"</f>
        <v>67438</v>
      </c>
      <c r="C33439" s="1">
        <v>1.5388480554526601E-5</v>
      </c>
      <c r="D33439" s="1">
        <v>6.0704106936354696E-6</v>
      </c>
      <c r="E33439" s="1">
        <v>4.3455399550671099E-6</v>
      </c>
      <c r="F33439" s="1">
        <v>1.45248296491169E-5</v>
      </c>
    </row>
    <row r="33440" spans="1:6" x14ac:dyDescent="0.25">
      <c r="A33440" s="2" t="str">
        <f t="shared" si="1184"/>
        <v>99999</v>
      </c>
      <c r="B33440" s="2" t="str">
        <f>"67459"</f>
        <v>67459</v>
      </c>
      <c r="C33440" s="1">
        <v>1.23326120756135E-5</v>
      </c>
      <c r="D33440" s="1">
        <v>4.0975272182039399E-5</v>
      </c>
      <c r="E33440" s="1">
        <v>0</v>
      </c>
      <c r="F33440" s="1">
        <v>1.3927918841618899E-5</v>
      </c>
    </row>
    <row r="33441" spans="1:6" x14ac:dyDescent="0.25">
      <c r="A33441" s="2" t="str">
        <f t="shared" si="1184"/>
        <v>99999</v>
      </c>
      <c r="B33441" s="2" t="str">
        <f>"67450"</f>
        <v>67450</v>
      </c>
      <c r="C33441" s="1">
        <v>3.2632309828393297E-5</v>
      </c>
      <c r="D33441" s="1">
        <v>9.1056160404532095E-6</v>
      </c>
      <c r="E33441" s="1">
        <v>1.7382159820268399E-5</v>
      </c>
      <c r="F33441" s="1">
        <v>3.0740906586144698E-5</v>
      </c>
    </row>
    <row r="33442" spans="1:6" x14ac:dyDescent="0.25">
      <c r="A33442" s="2" t="str">
        <f t="shared" si="1184"/>
        <v>99999</v>
      </c>
      <c r="B33442" s="2" t="str">
        <f>"67432"</f>
        <v>67432</v>
      </c>
      <c r="C33442" s="1">
        <v>3.2053877580599002E-4</v>
      </c>
      <c r="D33442" s="1">
        <v>5.5544257846764603E-4</v>
      </c>
      <c r="E33442" s="1">
        <v>1.73821598202684E-4</v>
      </c>
      <c r="F33442" s="1">
        <v>3.3257880491094398E-4</v>
      </c>
    </row>
    <row r="33443" spans="1:6" x14ac:dyDescent="0.25">
      <c r="A33443" s="2" t="str">
        <f t="shared" si="1184"/>
        <v>99999</v>
      </c>
      <c r="B33443" s="2" t="str">
        <f>"66970"</f>
        <v>66970</v>
      </c>
      <c r="C33443" s="1">
        <v>8.1853619970886298E-6</v>
      </c>
      <c r="D33443" s="1">
        <v>1.51760267340886E-6</v>
      </c>
      <c r="E33443" s="1">
        <v>1.7382159820268399E-5</v>
      </c>
      <c r="F33443" s="1">
        <v>7.9588107666394102E-6</v>
      </c>
    </row>
    <row r="33444" spans="1:6" x14ac:dyDescent="0.25">
      <c r="A33444" s="2" t="str">
        <f t="shared" si="1184"/>
        <v>99999</v>
      </c>
      <c r="B33444" s="2" t="str">
        <f>"66968"</f>
        <v>66968</v>
      </c>
      <c r="C33444" s="1">
        <v>9.5605028125995202E-5</v>
      </c>
      <c r="D33444" s="1">
        <v>2.82274097254049E-4</v>
      </c>
      <c r="E33444" s="1">
        <v>1.9989483793308701E-4</v>
      </c>
      <c r="F33444" s="1">
        <v>1.1022952911795499E-4</v>
      </c>
    </row>
    <row r="33445" spans="1:6" x14ac:dyDescent="0.25">
      <c r="A33445" s="2" t="str">
        <f t="shared" si="1184"/>
        <v>99999</v>
      </c>
      <c r="B33445" s="2" t="str">
        <f>"66946"</f>
        <v>66946</v>
      </c>
      <c r="C33445" s="1">
        <v>8.5127764769721692E-6</v>
      </c>
      <c r="D33445" s="1">
        <v>3.0352053468177301E-6</v>
      </c>
      <c r="E33445" s="1">
        <v>0</v>
      </c>
      <c r="F33445" s="1">
        <v>7.9588107666394102E-6</v>
      </c>
    </row>
    <row r="33446" spans="1:6" x14ac:dyDescent="0.25">
      <c r="A33446" s="2" t="str">
        <f t="shared" si="1184"/>
        <v>99999</v>
      </c>
      <c r="B33446" s="2" t="str">
        <f>"66870"</f>
        <v>66870</v>
      </c>
      <c r="C33446" s="1">
        <v>1.0804677836156901E-5</v>
      </c>
      <c r="D33446" s="1">
        <v>1.51760267340886E-6</v>
      </c>
      <c r="E33446" s="1">
        <v>8.69107991013423E-6</v>
      </c>
      <c r="F33446" s="1">
        <v>1.01474837274652E-5</v>
      </c>
    </row>
    <row r="33447" spans="1:6" x14ac:dyDescent="0.25">
      <c r="A33447" s="2" t="str">
        <f t="shared" si="1184"/>
        <v>99999</v>
      </c>
      <c r="B33447" s="2" t="str">
        <f>"66949"</f>
        <v>66949</v>
      </c>
      <c r="C33447" s="1">
        <v>3.3832829587966299E-5</v>
      </c>
      <c r="D33447" s="1">
        <v>1.5176026734088599E-5</v>
      </c>
      <c r="E33447" s="1">
        <v>8.69107991013423E-6</v>
      </c>
      <c r="F33447" s="1">
        <v>3.2034213335723597E-5</v>
      </c>
    </row>
    <row r="33448" spans="1:6" x14ac:dyDescent="0.25">
      <c r="A33448" s="2" t="str">
        <f t="shared" si="1184"/>
        <v>99999</v>
      </c>
      <c r="B33448" s="2" t="str">
        <f>"66940"</f>
        <v>66940</v>
      </c>
      <c r="C33448" s="1">
        <v>2.0081421432857398E-5</v>
      </c>
      <c r="D33448" s="1">
        <v>1.21408213872709E-5</v>
      </c>
      <c r="E33448" s="1">
        <v>4.3455399550671099E-6</v>
      </c>
      <c r="F33448" s="1">
        <v>1.92006309745175E-5</v>
      </c>
    </row>
    <row r="33449" spans="1:6" x14ac:dyDescent="0.25">
      <c r="A33449" s="2" t="str">
        <f t="shared" si="1184"/>
        <v>99999</v>
      </c>
      <c r="B33449" s="2" t="str">
        <f>"66872"</f>
        <v>66872</v>
      </c>
      <c r="C33449" s="1">
        <v>4.6820270623346902E-5</v>
      </c>
      <c r="D33449" s="1">
        <v>4.5528080202265997E-6</v>
      </c>
      <c r="E33449" s="1">
        <v>2.1727699775335501E-5</v>
      </c>
      <c r="F33449" s="1">
        <v>4.3475003812767701E-5</v>
      </c>
    </row>
    <row r="33450" spans="1:6" x14ac:dyDescent="0.25">
      <c r="A33450" s="2" t="str">
        <f t="shared" si="1184"/>
        <v>99999</v>
      </c>
      <c r="B33450" s="2" t="str">
        <f>"66861"</f>
        <v>66861</v>
      </c>
      <c r="C33450" s="1">
        <v>1.8389779953459099E-4</v>
      </c>
      <c r="D33450" s="1">
        <v>2.57992454479507E-4</v>
      </c>
      <c r="E33450" s="1">
        <v>1.39057278562147E-4</v>
      </c>
      <c r="F33450" s="1">
        <v>1.8772844895810701E-4</v>
      </c>
    </row>
    <row r="33451" spans="1:6" x14ac:dyDescent="0.25">
      <c r="A33451" s="2" t="str">
        <f t="shared" si="1184"/>
        <v>99999</v>
      </c>
      <c r="B33451" s="2" t="str">
        <f>"66858"</f>
        <v>66858</v>
      </c>
      <c r="C33451" s="1">
        <v>2.4774362311188199E-5</v>
      </c>
      <c r="D33451" s="1">
        <v>9.1056160404532095E-6</v>
      </c>
      <c r="E33451" s="1">
        <v>8.69107991013423E-6</v>
      </c>
      <c r="F33451" s="1">
        <v>2.3379006627003201E-5</v>
      </c>
    </row>
    <row r="33452" spans="1:6" x14ac:dyDescent="0.25">
      <c r="A33452" s="2" t="str">
        <f t="shared" si="1184"/>
        <v>99999</v>
      </c>
      <c r="B33452" s="2" t="str">
        <f>"66839"</f>
        <v>66839</v>
      </c>
      <c r="C33452" s="1">
        <v>2.24169780560267E-4</v>
      </c>
      <c r="D33452" s="1">
        <v>3.8395347637244299E-4</v>
      </c>
      <c r="E33452" s="1">
        <v>2.1727699775335501E-4</v>
      </c>
      <c r="F33452" s="1">
        <v>2.3448646221211299E-4</v>
      </c>
    </row>
    <row r="33453" spans="1:6" x14ac:dyDescent="0.25">
      <c r="A33453" s="2" t="str">
        <f t="shared" si="1184"/>
        <v>99999</v>
      </c>
      <c r="B33453" s="2" t="str">
        <f>"66958"</f>
        <v>66958</v>
      </c>
      <c r="C33453" s="1">
        <v>1.6479862154138401E-5</v>
      </c>
      <c r="D33453" s="1">
        <v>9.1056160404532095E-6</v>
      </c>
      <c r="E33453" s="1">
        <v>1.7382159820268399E-5</v>
      </c>
      <c r="F33453" s="1">
        <v>1.6017106667861799E-5</v>
      </c>
    </row>
    <row r="33454" spans="1:6" x14ac:dyDescent="0.25">
      <c r="A33454" s="2" t="str">
        <f t="shared" si="1184"/>
        <v>99999</v>
      </c>
      <c r="B33454" s="2" t="str">
        <f>"67114"</f>
        <v>67114</v>
      </c>
      <c r="C33454" s="1">
        <v>1.9099177993206801E-5</v>
      </c>
      <c r="D33454" s="1">
        <v>4.5528080202265997E-6</v>
      </c>
      <c r="E33454" s="1">
        <v>0</v>
      </c>
      <c r="F33454" s="1">
        <v>1.77083539557726E-5</v>
      </c>
    </row>
    <row r="33455" spans="1:6" x14ac:dyDescent="0.25">
      <c r="A33455" s="2" t="str">
        <f t="shared" si="1184"/>
        <v>99999</v>
      </c>
      <c r="B33455" s="2" t="str">
        <f>"67070"</f>
        <v>67070</v>
      </c>
      <c r="C33455" s="1">
        <v>7.1594632934535206E-5</v>
      </c>
      <c r="D33455" s="1">
        <v>1.7452430744201901E-4</v>
      </c>
      <c r="E33455" s="1">
        <v>3.47643196405369E-5</v>
      </c>
      <c r="F33455" s="1">
        <v>7.7498919840151201E-5</v>
      </c>
    </row>
    <row r="33456" spans="1:6" x14ac:dyDescent="0.25">
      <c r="A33456" s="2" t="str">
        <f t="shared" si="1184"/>
        <v>99999</v>
      </c>
      <c r="B33456" s="2" t="str">
        <f>"67066"</f>
        <v>67066</v>
      </c>
      <c r="C33456" s="1">
        <v>1.09138159961181E-5</v>
      </c>
      <c r="D33456" s="1">
        <v>0</v>
      </c>
      <c r="E33456" s="1">
        <v>4.3455399550671099E-6</v>
      </c>
      <c r="F33456" s="1">
        <v>1.0047998592882199E-5</v>
      </c>
    </row>
    <row r="33457" spans="1:6" x14ac:dyDescent="0.25">
      <c r="A33457" s="2" t="str">
        <f t="shared" si="1184"/>
        <v>99999</v>
      </c>
      <c r="B33457" s="2" t="str">
        <f>"67058"</f>
        <v>67058</v>
      </c>
      <c r="C33457" s="1">
        <v>1.2190732467663999E-4</v>
      </c>
      <c r="D33457" s="1">
        <v>1.94253142196335E-4</v>
      </c>
      <c r="E33457" s="1">
        <v>6.5183099326006705E-5</v>
      </c>
      <c r="F33457" s="1">
        <v>1.2535126957457E-4</v>
      </c>
    </row>
    <row r="33458" spans="1:6" x14ac:dyDescent="0.25">
      <c r="A33458" s="2" t="str">
        <f t="shared" si="1184"/>
        <v>99999</v>
      </c>
      <c r="B33458" s="2" t="str">
        <f>"67151"</f>
        <v>67151</v>
      </c>
      <c r="C33458" s="1">
        <v>1.6370723994177199E-6</v>
      </c>
      <c r="D33458" s="1">
        <v>0</v>
      </c>
      <c r="E33458" s="1">
        <v>0</v>
      </c>
      <c r="F33458" s="1">
        <v>1.4922770187448801E-6</v>
      </c>
    </row>
    <row r="33459" spans="1:6" x14ac:dyDescent="0.25">
      <c r="A33459" s="2" t="str">
        <f t="shared" si="1184"/>
        <v>99999</v>
      </c>
      <c r="B33459" s="2" t="str">
        <f>"67134"</f>
        <v>67134</v>
      </c>
      <c r="C33459" s="1">
        <v>2.19367701521975E-5</v>
      </c>
      <c r="D33459" s="1">
        <v>1.8211232080906399E-5</v>
      </c>
      <c r="E33459" s="1">
        <v>8.69107991013423E-6</v>
      </c>
      <c r="F33459" s="1">
        <v>2.13893039353434E-5</v>
      </c>
    </row>
    <row r="33460" spans="1:6" x14ac:dyDescent="0.25">
      <c r="A33460" s="2" t="str">
        <f t="shared" si="1184"/>
        <v>99999</v>
      </c>
      <c r="B33460" s="2" t="str">
        <f>"66772"</f>
        <v>66772</v>
      </c>
      <c r="C33460" s="1">
        <v>1.7898658233633802E-5</v>
      </c>
      <c r="D33460" s="1">
        <v>6.0704106936354696E-6</v>
      </c>
      <c r="E33460" s="1">
        <v>4.3455399550671099E-6</v>
      </c>
      <c r="F33460" s="1">
        <v>1.6812987744525699E-5</v>
      </c>
    </row>
    <row r="33461" spans="1:6" x14ac:dyDescent="0.25">
      <c r="A33461" s="2" t="str">
        <f t="shared" si="1184"/>
        <v>99999</v>
      </c>
      <c r="B33461" s="2" t="str">
        <f>"66771"</f>
        <v>66771</v>
      </c>
      <c r="C33461" s="1">
        <v>4.2018191585054898E-5</v>
      </c>
      <c r="D33461" s="1">
        <v>2.7316848121359601E-5</v>
      </c>
      <c r="E33461" s="1">
        <v>1.3036619865201299E-5</v>
      </c>
      <c r="F33461" s="1">
        <v>4.0390964640694998E-5</v>
      </c>
    </row>
    <row r="33462" spans="1:6" x14ac:dyDescent="0.25">
      <c r="A33462" s="2" t="str">
        <f t="shared" si="1184"/>
        <v>99999</v>
      </c>
      <c r="B33462" s="2" t="str">
        <f>"67045"</f>
        <v>67045</v>
      </c>
      <c r="C33462" s="1">
        <v>2.3148203727766601E-4</v>
      </c>
      <c r="D33462" s="1">
        <v>3.94576695086306E-4</v>
      </c>
      <c r="E33462" s="1">
        <v>1.73821598202684E-4</v>
      </c>
      <c r="F33462" s="1">
        <v>2.40853510825425E-4</v>
      </c>
    </row>
    <row r="33463" spans="1:6" x14ac:dyDescent="0.25">
      <c r="A33463" s="2" t="str">
        <f t="shared" si="1184"/>
        <v>99999</v>
      </c>
      <c r="B33463" s="2" t="str">
        <f>"66746"</f>
        <v>66746</v>
      </c>
      <c r="C33463" s="1">
        <v>1.0913815996118101E-6</v>
      </c>
      <c r="D33463" s="1">
        <v>6.0704106936354696E-6</v>
      </c>
      <c r="E33463" s="1">
        <v>0</v>
      </c>
      <c r="F33463" s="1">
        <v>1.39279188416189E-6</v>
      </c>
    </row>
    <row r="33464" spans="1:6" x14ac:dyDescent="0.25">
      <c r="A33464" s="2" t="str">
        <f t="shared" si="1184"/>
        <v>99999</v>
      </c>
      <c r="B33464" s="2" t="str">
        <f>"66732"</f>
        <v>66732</v>
      </c>
      <c r="C33464" s="1">
        <v>1.5606756874448901E-5</v>
      </c>
      <c r="D33464" s="1">
        <v>1.5176026734088599E-5</v>
      </c>
      <c r="E33464" s="1">
        <v>4.3455399550671099E-6</v>
      </c>
      <c r="F33464" s="1">
        <v>1.5320710725780799E-5</v>
      </c>
    </row>
    <row r="33465" spans="1:6" x14ac:dyDescent="0.25">
      <c r="A33465" s="2" t="str">
        <f t="shared" si="1184"/>
        <v>99999</v>
      </c>
      <c r="B33465" s="2" t="str">
        <f>"66720"</f>
        <v>66720</v>
      </c>
      <c r="C33465" s="1">
        <v>5.9807711658727502E-4</v>
      </c>
      <c r="D33465" s="1">
        <v>9.2573763077940998E-4</v>
      </c>
      <c r="E33465" s="1">
        <v>2.4769577743882499E-4</v>
      </c>
      <c r="F33465" s="1">
        <v>6.1153512228165504E-4</v>
      </c>
    </row>
    <row r="33466" spans="1:6" x14ac:dyDescent="0.25">
      <c r="A33466" s="2" t="str">
        <f t="shared" si="1184"/>
        <v>99999</v>
      </c>
      <c r="B33466" s="2" t="str">
        <f>"66432"</f>
        <v>66432</v>
      </c>
      <c r="C33466" s="1">
        <v>1.20051975957299E-6</v>
      </c>
      <c r="D33466" s="1">
        <v>0</v>
      </c>
      <c r="E33466" s="1">
        <v>0</v>
      </c>
      <c r="F33466" s="1">
        <v>1.09433648041291E-6</v>
      </c>
    </row>
    <row r="33467" spans="1:6" x14ac:dyDescent="0.25">
      <c r="A33467" s="2" t="str">
        <f t="shared" si="1184"/>
        <v>99999</v>
      </c>
      <c r="B33467" s="2" t="str">
        <f>"66417"</f>
        <v>66417</v>
      </c>
      <c r="C33467" s="1">
        <v>1.76803819137114E-5</v>
      </c>
      <c r="D33467" s="1">
        <v>1.66936294074975E-5</v>
      </c>
      <c r="E33467" s="1">
        <v>8.69107991013423E-6</v>
      </c>
      <c r="F33467" s="1">
        <v>1.74098985520237E-5</v>
      </c>
    </row>
    <row r="33468" spans="1:6" x14ac:dyDescent="0.25">
      <c r="A33468" s="2" t="str">
        <f t="shared" si="1184"/>
        <v>99999</v>
      </c>
      <c r="B33468" s="2" t="str">
        <f>"66415"</f>
        <v>66415</v>
      </c>
      <c r="C33468" s="1">
        <v>4.1254224465326597E-5</v>
      </c>
      <c r="D33468" s="1">
        <v>2.7316848121359601E-5</v>
      </c>
      <c r="E33468" s="1">
        <v>2.1727699775335501E-5</v>
      </c>
      <c r="F33468" s="1">
        <v>3.9893538967779998E-5</v>
      </c>
    </row>
    <row r="33469" spans="1:6" x14ac:dyDescent="0.25">
      <c r="A33469" s="2" t="str">
        <f t="shared" si="1184"/>
        <v>99999</v>
      </c>
      <c r="B33469" s="2" t="str">
        <f>"66411"</f>
        <v>66411</v>
      </c>
      <c r="C33469" s="1">
        <v>6.3627547257368903E-5</v>
      </c>
      <c r="D33469" s="1">
        <v>1.2596102189293599E-4</v>
      </c>
      <c r="E33469" s="1">
        <v>9.1256339056409395E-5</v>
      </c>
      <c r="F33469" s="1">
        <v>6.8346287458515906E-5</v>
      </c>
    </row>
    <row r="33470" spans="1:6" x14ac:dyDescent="0.25">
      <c r="A33470" s="2" t="str">
        <f t="shared" si="1184"/>
        <v>99999</v>
      </c>
      <c r="B33470" s="2" t="str">
        <f>"66522"</f>
        <v>66522</v>
      </c>
      <c r="C33470" s="1">
        <v>5.1294935181755401E-6</v>
      </c>
      <c r="D33470" s="1">
        <v>1.51760267340886E-6</v>
      </c>
      <c r="E33470" s="1">
        <v>0</v>
      </c>
      <c r="F33470" s="1">
        <v>4.7752864599836398E-6</v>
      </c>
    </row>
    <row r="33471" spans="1:6" x14ac:dyDescent="0.25">
      <c r="A33471" s="2" t="str">
        <f t="shared" si="1184"/>
        <v>99999</v>
      </c>
      <c r="B33471" s="2" t="str">
        <f>"66518"</f>
        <v>66518</v>
      </c>
      <c r="C33471" s="1">
        <v>1.09138159961181E-5</v>
      </c>
      <c r="D33471" s="1">
        <v>3.0352053468177301E-6</v>
      </c>
      <c r="E33471" s="1">
        <v>4.3455399550671099E-6</v>
      </c>
      <c r="F33471" s="1">
        <v>1.02469688620482E-5</v>
      </c>
    </row>
    <row r="33472" spans="1:6" x14ac:dyDescent="0.25">
      <c r="A33472" s="2" t="str">
        <f t="shared" si="1184"/>
        <v>99999</v>
      </c>
      <c r="B33472" s="2" t="str">
        <f>"66508"</f>
        <v>66508</v>
      </c>
      <c r="C33472" s="1">
        <v>2.4556085991265798E-4</v>
      </c>
      <c r="D33472" s="1">
        <v>5.6454819450809897E-4</v>
      </c>
      <c r="E33472" s="1">
        <v>5.9968451379926199E-4</v>
      </c>
      <c r="F33472" s="1">
        <v>2.7457897144905898E-4</v>
      </c>
    </row>
    <row r="33473" spans="1:6" x14ac:dyDescent="0.25">
      <c r="A33473" s="2" t="str">
        <f t="shared" si="1184"/>
        <v>99999</v>
      </c>
      <c r="B33473" s="2" t="str">
        <f>"66540"</f>
        <v>66540</v>
      </c>
      <c r="C33473" s="1">
        <v>2.1827631992236301E-7</v>
      </c>
      <c r="D33473" s="1">
        <v>0</v>
      </c>
      <c r="E33473" s="1">
        <v>0</v>
      </c>
      <c r="F33473" s="1">
        <v>1.9897026916598501E-7</v>
      </c>
    </row>
    <row r="33474" spans="1:6" x14ac:dyDescent="0.25">
      <c r="A33474" s="2" t="str">
        <f t="shared" si="1184"/>
        <v>99999</v>
      </c>
      <c r="B33474" s="2" t="str">
        <f>"66548"</f>
        <v>66548</v>
      </c>
      <c r="C33474" s="1">
        <v>4.9657862782337601E-5</v>
      </c>
      <c r="D33474" s="1">
        <v>3.3387258814995101E-5</v>
      </c>
      <c r="E33474" s="1">
        <v>3.47643196405369E-5</v>
      </c>
      <c r="F33474" s="1">
        <v>4.8250290272751399E-5</v>
      </c>
    </row>
    <row r="33475" spans="1:6" x14ac:dyDescent="0.25">
      <c r="A33475" s="2" t="str">
        <f t="shared" si="1184"/>
        <v>99999</v>
      </c>
      <c r="B33475" s="2" t="str">
        <f>"66039"</f>
        <v>66039</v>
      </c>
      <c r="C33475" s="1">
        <v>3.85257704662971E-5</v>
      </c>
      <c r="D33475" s="1">
        <v>9.1056160404532095E-6</v>
      </c>
      <c r="E33475" s="1">
        <v>1.3036619865201299E-5</v>
      </c>
      <c r="F33475" s="1">
        <v>3.60136187190433E-5</v>
      </c>
    </row>
    <row r="33476" spans="1:6" x14ac:dyDescent="0.25">
      <c r="A33476" s="2" t="str">
        <f t="shared" si="1184"/>
        <v>99999</v>
      </c>
      <c r="B33476" s="2" t="str">
        <f>"65661"</f>
        <v>65661</v>
      </c>
      <c r="C33476" s="1">
        <v>1.49519279146818E-4</v>
      </c>
      <c r="D33476" s="1">
        <v>2.2612279833792101E-4</v>
      </c>
      <c r="E33476" s="1">
        <v>1.08638498876677E-4</v>
      </c>
      <c r="F33476" s="1">
        <v>1.5360504779614E-4</v>
      </c>
    </row>
    <row r="33477" spans="1:6" x14ac:dyDescent="0.25">
      <c r="A33477" s="2" t="str">
        <f t="shared" si="1184"/>
        <v>99999</v>
      </c>
      <c r="B33477" s="2" t="str">
        <f>"65638"</f>
        <v>65638</v>
      </c>
      <c r="C33477" s="1">
        <v>3.8198355986413601E-5</v>
      </c>
      <c r="D33477" s="1">
        <v>1.51760267340886E-6</v>
      </c>
      <c r="E33477" s="1">
        <v>4.3455399550671099E-6</v>
      </c>
      <c r="F33477" s="1">
        <v>3.5018767373213403E-5</v>
      </c>
    </row>
    <row r="33478" spans="1:6" x14ac:dyDescent="0.25">
      <c r="A33478" s="2" t="str">
        <f t="shared" si="1184"/>
        <v>99999</v>
      </c>
      <c r="B33478" s="2" t="str">
        <f>"65634"</f>
        <v>65634</v>
      </c>
      <c r="C33478" s="1">
        <v>7.5851021173021306E-5</v>
      </c>
      <c r="D33478" s="1">
        <v>9.1056160404532095E-6</v>
      </c>
      <c r="E33478" s="1">
        <v>8.69107991013423E-6</v>
      </c>
      <c r="F33478" s="1">
        <v>6.9938049611843801E-5</v>
      </c>
    </row>
    <row r="33479" spans="1:6" x14ac:dyDescent="0.25">
      <c r="A33479" s="2" t="str">
        <f t="shared" si="1184"/>
        <v>99999</v>
      </c>
      <c r="B33479" s="2" t="str">
        <f>"65633"</f>
        <v>65633</v>
      </c>
      <c r="C33479" s="1">
        <v>2.02778701207875E-4</v>
      </c>
      <c r="D33479" s="1">
        <v>1.198906111993E-4</v>
      </c>
      <c r="E33479" s="1">
        <v>5.6492019415872502E-5</v>
      </c>
      <c r="F33479" s="1">
        <v>1.93996012436835E-4</v>
      </c>
    </row>
    <row r="33480" spans="1:6" x14ac:dyDescent="0.25">
      <c r="A33480" s="2" t="str">
        <f t="shared" si="1184"/>
        <v>99999</v>
      </c>
      <c r="B33480" s="2" t="str">
        <f>"65770"</f>
        <v>65770</v>
      </c>
      <c r="C33480" s="1">
        <v>9.0584672767780794E-6</v>
      </c>
      <c r="D33480" s="1">
        <v>3.0352053468177301E-6</v>
      </c>
      <c r="E33480" s="1">
        <v>0</v>
      </c>
      <c r="F33480" s="1">
        <v>8.4562364395543705E-6</v>
      </c>
    </row>
    <row r="33481" spans="1:6" x14ac:dyDescent="0.25">
      <c r="A33481" s="2" t="str">
        <f t="shared" si="1184"/>
        <v>99999</v>
      </c>
      <c r="B33481" s="2" t="str">
        <f>"65761"</f>
        <v>65761</v>
      </c>
      <c r="C33481" s="1">
        <v>6.9302731575350397E-5</v>
      </c>
      <c r="D33481" s="1">
        <v>2.7316848121359601E-5</v>
      </c>
      <c r="E33481" s="1">
        <v>2.1727699775335501E-5</v>
      </c>
      <c r="F33481" s="1">
        <v>6.5461218555609105E-5</v>
      </c>
    </row>
    <row r="33482" spans="1:6" x14ac:dyDescent="0.25">
      <c r="A33482" s="2" t="str">
        <f t="shared" si="1184"/>
        <v>99999</v>
      </c>
      <c r="B33482" s="2" t="str">
        <f>"65733"</f>
        <v>65733</v>
      </c>
      <c r="C33482" s="1">
        <v>3.2741447988354498E-7</v>
      </c>
      <c r="D33482" s="1">
        <v>0</v>
      </c>
      <c r="E33482" s="1">
        <v>0</v>
      </c>
      <c r="F33482" s="1">
        <v>2.9845540374897701E-7</v>
      </c>
    </row>
    <row r="33483" spans="1:6" x14ac:dyDescent="0.25">
      <c r="A33483" s="2" t="str">
        <f t="shared" si="1184"/>
        <v>99999</v>
      </c>
      <c r="B33483" s="2" t="str">
        <f>"65732"</f>
        <v>65732</v>
      </c>
      <c r="C33483" s="1">
        <v>7.1376356614612801E-5</v>
      </c>
      <c r="D33483" s="1">
        <v>3.3387258814995101E-5</v>
      </c>
      <c r="E33483" s="1">
        <v>1.7382159820268399E-5</v>
      </c>
      <c r="F33483" s="1">
        <v>6.7649891516434897E-5</v>
      </c>
    </row>
    <row r="33484" spans="1:6" x14ac:dyDescent="0.25">
      <c r="A33484" s="2" t="str">
        <f t="shared" si="1184"/>
        <v>99999</v>
      </c>
      <c r="B33484" s="2" t="str">
        <f>"65737"</f>
        <v>65737</v>
      </c>
      <c r="C33484" s="1">
        <v>6.8276832871715196E-4</v>
      </c>
      <c r="D33484" s="1">
        <v>9.8037132702212906E-4</v>
      </c>
      <c r="E33484" s="1">
        <v>4.2586291559657701E-4</v>
      </c>
      <c r="F33484" s="1">
        <v>6.9639594208094802E-4</v>
      </c>
    </row>
    <row r="33485" spans="1:6" x14ac:dyDescent="0.25">
      <c r="A33485" s="2" t="str">
        <f t="shared" si="1184"/>
        <v>99999</v>
      </c>
      <c r="B33485" s="2" t="str">
        <f>"65734"</f>
        <v>65734</v>
      </c>
      <c r="C33485" s="1">
        <v>2.8441404485883901E-4</v>
      </c>
      <c r="D33485" s="1">
        <v>6.0704106936354703E-5</v>
      </c>
      <c r="E33485" s="1">
        <v>6.9528639281073799E-5</v>
      </c>
      <c r="F33485" s="1">
        <v>2.6482942825992601E-4</v>
      </c>
    </row>
    <row r="33486" spans="1:6" x14ac:dyDescent="0.25">
      <c r="A33486" s="2" t="str">
        <f t="shared" si="1184"/>
        <v>99999</v>
      </c>
      <c r="B33486" s="2" t="str">
        <f>"65607"</f>
        <v>65607</v>
      </c>
      <c r="C33486" s="1">
        <v>0</v>
      </c>
      <c r="D33486" s="1">
        <v>0</v>
      </c>
      <c r="E33486" s="1">
        <v>4.3455399550671099E-6</v>
      </c>
      <c r="F33486" s="1">
        <v>9.9485134582992598E-8</v>
      </c>
    </row>
    <row r="33487" spans="1:6" x14ac:dyDescent="0.25">
      <c r="A33487" s="2" t="str">
        <f t="shared" si="1184"/>
        <v>99999</v>
      </c>
      <c r="B33487" s="2" t="str">
        <f>"65611"</f>
        <v>65611</v>
      </c>
      <c r="C33487" s="1">
        <v>1.53120838425537E-4</v>
      </c>
      <c r="D33487" s="1">
        <v>6.5256914956581297E-5</v>
      </c>
      <c r="E33487" s="1">
        <v>5.21464794608054E-5</v>
      </c>
      <c r="F33487" s="1">
        <v>1.4504932622200301E-4</v>
      </c>
    </row>
    <row r="33488" spans="1:6" x14ac:dyDescent="0.25">
      <c r="A33488" s="2" t="str">
        <f t="shared" si="1184"/>
        <v>99999</v>
      </c>
      <c r="B33488" s="2" t="str">
        <f>"65591"</f>
        <v>65591</v>
      </c>
      <c r="C33488" s="1">
        <v>8.4036383170109905E-5</v>
      </c>
      <c r="D33488" s="1">
        <v>2.2764040101133E-5</v>
      </c>
      <c r="E33488" s="1">
        <v>1.7382159820268399E-5</v>
      </c>
      <c r="F33488" s="1">
        <v>7.8493771185981104E-5</v>
      </c>
    </row>
    <row r="33489" spans="1:6" x14ac:dyDescent="0.25">
      <c r="A33489" s="2" t="str">
        <f t="shared" si="1184"/>
        <v>99999</v>
      </c>
      <c r="B33489" s="2" t="str">
        <f>"65707"</f>
        <v>65707</v>
      </c>
      <c r="C33489" s="1">
        <v>1.1917887067761E-4</v>
      </c>
      <c r="D33489" s="1">
        <v>1.00161776444985E-4</v>
      </c>
      <c r="E33489" s="1">
        <v>1.3036619865201299E-5</v>
      </c>
      <c r="F33489" s="1">
        <v>1.15502241250854E-4</v>
      </c>
    </row>
    <row r="33490" spans="1:6" x14ac:dyDescent="0.25">
      <c r="A33490" s="2" t="str">
        <f t="shared" ref="A33490:A33553" si="1185">"99999"</f>
        <v>99999</v>
      </c>
      <c r="B33490" s="2" t="str">
        <f>"65682"</f>
        <v>65682</v>
      </c>
      <c r="C33490" s="1">
        <v>8.8729324048440706E-5</v>
      </c>
      <c r="D33490" s="1">
        <v>3.9457669508630602E-5</v>
      </c>
      <c r="E33490" s="1">
        <v>8.69107991013423E-6</v>
      </c>
      <c r="F33490" s="1">
        <v>8.3666998184296797E-5</v>
      </c>
    </row>
    <row r="33491" spans="1:6" x14ac:dyDescent="0.25">
      <c r="A33491" s="2" t="str">
        <f t="shared" si="1185"/>
        <v>99999</v>
      </c>
      <c r="B33491" s="2" t="str">
        <f>"65557"</f>
        <v>65557</v>
      </c>
      <c r="C33491" s="1">
        <v>1.4624513434798299E-5</v>
      </c>
      <c r="D33491" s="1">
        <v>6.0704106936354696E-6</v>
      </c>
      <c r="E33491" s="1">
        <v>4.3455399550671099E-6</v>
      </c>
      <c r="F33491" s="1">
        <v>1.3828433707035901E-5</v>
      </c>
    </row>
    <row r="33492" spans="1:6" x14ac:dyDescent="0.25">
      <c r="A33492" s="2" t="str">
        <f t="shared" si="1185"/>
        <v>99999</v>
      </c>
      <c r="B33492" s="2" t="str">
        <f>"65570"</f>
        <v>65570</v>
      </c>
      <c r="C33492" s="1">
        <v>2.8594197909829602E-5</v>
      </c>
      <c r="D33492" s="1">
        <v>3.0352053468177301E-6</v>
      </c>
      <c r="E33492" s="1">
        <v>4.3455399550671099E-6</v>
      </c>
      <c r="F33492" s="1">
        <v>2.6363560664493E-5</v>
      </c>
    </row>
    <row r="33493" spans="1:6" x14ac:dyDescent="0.25">
      <c r="A33493" s="2" t="str">
        <f t="shared" si="1185"/>
        <v>99999</v>
      </c>
      <c r="B33493" s="2" t="str">
        <f>"65566"</f>
        <v>65566</v>
      </c>
      <c r="C33493" s="1">
        <v>4.1254224465326597E-5</v>
      </c>
      <c r="D33493" s="1">
        <v>3.0352053468177301E-5</v>
      </c>
      <c r="E33493" s="1">
        <v>8.69107991013423E-6</v>
      </c>
      <c r="F33493" s="1">
        <v>3.9794053833197E-5</v>
      </c>
    </row>
    <row r="33494" spans="1:6" x14ac:dyDescent="0.25">
      <c r="A33494" s="2" t="str">
        <f t="shared" si="1185"/>
        <v>99999</v>
      </c>
      <c r="B33494" s="2" t="str">
        <f>"65542"</f>
        <v>65542</v>
      </c>
      <c r="C33494" s="1">
        <v>2.7186315646330299E-4</v>
      </c>
      <c r="D33494" s="1">
        <v>1.16855405852482E-4</v>
      </c>
      <c r="E33494" s="1">
        <v>1.73821598202684E-4</v>
      </c>
      <c r="F33494" s="1">
        <v>2.5945723099244402E-4</v>
      </c>
    </row>
    <row r="33495" spans="1:6" x14ac:dyDescent="0.25">
      <c r="A33495" s="2" t="str">
        <f t="shared" si="1185"/>
        <v>99999</v>
      </c>
      <c r="B33495" s="2" t="str">
        <f>"65263"</f>
        <v>65263</v>
      </c>
      <c r="C33495" s="1">
        <v>9.6041580765839904E-5</v>
      </c>
      <c r="D33495" s="1">
        <v>1.9728834754315301E-5</v>
      </c>
      <c r="E33495" s="1">
        <v>5.21464794608054E-5</v>
      </c>
      <c r="F33495" s="1">
        <v>9.0034046797608295E-5</v>
      </c>
    </row>
    <row r="33496" spans="1:6" x14ac:dyDescent="0.25">
      <c r="A33496" s="2" t="str">
        <f t="shared" si="1185"/>
        <v>99999</v>
      </c>
      <c r="B33496" s="2" t="str">
        <f>"65536"</f>
        <v>65536</v>
      </c>
      <c r="C33496" s="1">
        <v>3.3832829587966299E-6</v>
      </c>
      <c r="D33496" s="1">
        <v>0</v>
      </c>
      <c r="E33496" s="1">
        <v>0</v>
      </c>
      <c r="F33496" s="1">
        <v>3.0840391720727701E-6</v>
      </c>
    </row>
    <row r="33497" spans="1:6" x14ac:dyDescent="0.25">
      <c r="A33497" s="2" t="str">
        <f t="shared" si="1185"/>
        <v>99999</v>
      </c>
      <c r="B33497" s="2" t="str">
        <f>"65444"</f>
        <v>65444</v>
      </c>
      <c r="C33497" s="1">
        <v>6.1444784058145303E-5</v>
      </c>
      <c r="D33497" s="1">
        <v>3.0352053468177301E-6</v>
      </c>
      <c r="E33497" s="1">
        <v>4.3455399550671099E-6</v>
      </c>
      <c r="F33497" s="1">
        <v>5.6308586173973798E-5</v>
      </c>
    </row>
    <row r="33498" spans="1:6" x14ac:dyDescent="0.25">
      <c r="A33498" s="2" t="str">
        <f t="shared" si="1185"/>
        <v>99999</v>
      </c>
      <c r="B33498" s="2" t="str">
        <f>"65401"</f>
        <v>65401</v>
      </c>
      <c r="C33498" s="1">
        <v>3.4705934867655701E-5</v>
      </c>
      <c r="D33498" s="1">
        <v>6.0704106936354696E-6</v>
      </c>
      <c r="E33498" s="1">
        <v>2.60732397304027E-5</v>
      </c>
      <c r="F33498" s="1">
        <v>3.26311241432215E-5</v>
      </c>
    </row>
    <row r="33499" spans="1:6" x14ac:dyDescent="0.25">
      <c r="A33499" s="2" t="str">
        <f t="shared" si="1185"/>
        <v>99999</v>
      </c>
      <c r="B33499" s="2" t="str">
        <f>"64778"</f>
        <v>64778</v>
      </c>
      <c r="C33499" s="1">
        <v>3.2523171668432101E-5</v>
      </c>
      <c r="D33499" s="1">
        <v>1.21408213872709E-5</v>
      </c>
      <c r="E33499" s="1">
        <v>4.3455399550671099E-6</v>
      </c>
      <c r="F33499" s="1">
        <v>3.0541936316978701E-5</v>
      </c>
    </row>
    <row r="33500" spans="1:6" x14ac:dyDescent="0.25">
      <c r="A33500" s="2" t="str">
        <f t="shared" si="1185"/>
        <v>99999</v>
      </c>
      <c r="B33500" s="2" t="str">
        <f>"64772"</f>
        <v>64772</v>
      </c>
      <c r="C33500" s="1">
        <v>8.5116850953725605E-4</v>
      </c>
      <c r="D33500" s="1">
        <v>1.1260611836693801E-3</v>
      </c>
      <c r="E33500" s="1">
        <v>5.2581033456312095E-4</v>
      </c>
      <c r="F33500" s="1">
        <v>8.6174023575788202E-4</v>
      </c>
    </row>
    <row r="33501" spans="1:6" x14ac:dyDescent="0.25">
      <c r="A33501" s="2" t="str">
        <f t="shared" si="1185"/>
        <v>99999</v>
      </c>
      <c r="B33501" s="2" t="str">
        <f>"65013"</f>
        <v>65013</v>
      </c>
      <c r="C33501" s="1">
        <v>9.6041580765839904E-5</v>
      </c>
      <c r="D33501" s="1">
        <v>4.5528080202266E-5</v>
      </c>
      <c r="E33501" s="1">
        <v>9.9947418966543598E-5</v>
      </c>
      <c r="F33501" s="1">
        <v>9.2819630565932104E-5</v>
      </c>
    </row>
    <row r="33502" spans="1:6" x14ac:dyDescent="0.25">
      <c r="A33502" s="2" t="str">
        <f t="shared" si="1185"/>
        <v>99999</v>
      </c>
      <c r="B33502" s="2" t="str">
        <f>"65001"</f>
        <v>65001</v>
      </c>
      <c r="C33502" s="1">
        <v>5.4569079980590803E-6</v>
      </c>
      <c r="D33502" s="1">
        <v>0</v>
      </c>
      <c r="E33502" s="1">
        <v>0</v>
      </c>
      <c r="F33502" s="1">
        <v>4.9742567291496301E-6</v>
      </c>
    </row>
    <row r="33503" spans="1:6" x14ac:dyDescent="0.25">
      <c r="A33503" s="2" t="str">
        <f t="shared" si="1185"/>
        <v>99999</v>
      </c>
      <c r="B33503" s="2" t="str">
        <f>"64873"</f>
        <v>64873</v>
      </c>
      <c r="C33503" s="1">
        <v>2.64114347106059E-5</v>
      </c>
      <c r="D33503" s="1">
        <v>1.51760267340886E-6</v>
      </c>
      <c r="E33503" s="1">
        <v>0</v>
      </c>
      <c r="F33503" s="1">
        <v>2.4174887703667199E-5</v>
      </c>
    </row>
    <row r="33504" spans="1:6" x14ac:dyDescent="0.25">
      <c r="A33504" s="2" t="str">
        <f t="shared" si="1185"/>
        <v>99999</v>
      </c>
      <c r="B33504" s="2" t="str">
        <f>"65038"</f>
        <v>65038</v>
      </c>
      <c r="C33504" s="1">
        <v>0</v>
      </c>
      <c r="D33504" s="1">
        <v>0</v>
      </c>
      <c r="E33504" s="1">
        <v>4.3455399550671099E-6</v>
      </c>
      <c r="F33504" s="1">
        <v>9.9485134582992598E-8</v>
      </c>
    </row>
    <row r="33505" spans="1:6" x14ac:dyDescent="0.25">
      <c r="A33505" s="2" t="str">
        <f t="shared" si="1185"/>
        <v>99999</v>
      </c>
      <c r="B33505" s="2" t="str">
        <f>"64726"</f>
        <v>64726</v>
      </c>
      <c r="C33505" s="1">
        <v>2.5538329430916501E-5</v>
      </c>
      <c r="D33505" s="1">
        <v>1.66936294074975E-5</v>
      </c>
      <c r="E33505" s="1">
        <v>4.3455399550671099E-6</v>
      </c>
      <c r="F33505" s="1">
        <v>2.44733431074161E-5</v>
      </c>
    </row>
    <row r="33506" spans="1:6" x14ac:dyDescent="0.25">
      <c r="A33506" s="2" t="str">
        <f t="shared" si="1185"/>
        <v>99999</v>
      </c>
      <c r="B33506" s="2" t="str">
        <f>"64676"</f>
        <v>64676</v>
      </c>
      <c r="C33506" s="1">
        <v>9.71329623654517E-6</v>
      </c>
      <c r="D33506" s="1">
        <v>6.0704106936354696E-6</v>
      </c>
      <c r="E33506" s="1">
        <v>4.3455399550671099E-6</v>
      </c>
      <c r="F33506" s="1">
        <v>9.3516026508012996E-6</v>
      </c>
    </row>
    <row r="33507" spans="1:6" x14ac:dyDescent="0.25">
      <c r="A33507" s="2" t="str">
        <f t="shared" si="1185"/>
        <v>99999</v>
      </c>
      <c r="B33507" s="2" t="str">
        <f>"64724"</f>
        <v>64724</v>
      </c>
      <c r="C33507" s="1">
        <v>1.13721962679551E-4</v>
      </c>
      <c r="D33507" s="1">
        <v>1.6541869140156601E-4</v>
      </c>
      <c r="E33507" s="1">
        <v>8.2565259146275205E-5</v>
      </c>
      <c r="F33507" s="1">
        <v>1.16397607462101E-4</v>
      </c>
    </row>
    <row r="33508" spans="1:6" x14ac:dyDescent="0.25">
      <c r="A33508" s="2" t="str">
        <f t="shared" si="1185"/>
        <v>99999</v>
      </c>
      <c r="B33508" s="2" t="str">
        <f>"64649"</f>
        <v>64649</v>
      </c>
      <c r="C33508" s="1">
        <v>1.20051975957299E-5</v>
      </c>
      <c r="D33508" s="1">
        <v>1.51760267340886E-6</v>
      </c>
      <c r="E33508" s="1">
        <v>0</v>
      </c>
      <c r="F33508" s="1">
        <v>1.10428499387121E-5</v>
      </c>
    </row>
    <row r="33509" spans="1:6" x14ac:dyDescent="0.25">
      <c r="A33509" s="2" t="str">
        <f t="shared" si="1185"/>
        <v>99999</v>
      </c>
      <c r="B33509" s="2" t="str">
        <f>"64638"</f>
        <v>64638</v>
      </c>
      <c r="C33509" s="1">
        <v>2.7611954470178899E-5</v>
      </c>
      <c r="D33509" s="1">
        <v>7.5880133670443404E-6</v>
      </c>
      <c r="E33509" s="1">
        <v>3.0418779685469802E-5</v>
      </c>
      <c r="F33509" s="1">
        <v>2.6363560664493E-5</v>
      </c>
    </row>
    <row r="33510" spans="1:6" x14ac:dyDescent="0.25">
      <c r="A33510" s="2" t="str">
        <f t="shared" si="1185"/>
        <v>99999</v>
      </c>
      <c r="B33510" s="2" t="str">
        <f>"64635"</f>
        <v>64635</v>
      </c>
      <c r="C33510" s="1">
        <v>2.8266783429946001E-5</v>
      </c>
      <c r="D33510" s="1">
        <v>7.5880133670443404E-6</v>
      </c>
      <c r="E33510" s="1">
        <v>4.3455399550671099E-6</v>
      </c>
      <c r="F33510" s="1">
        <v>2.6363560664493E-5</v>
      </c>
    </row>
    <row r="33511" spans="1:6" x14ac:dyDescent="0.25">
      <c r="A33511" s="2" t="str">
        <f t="shared" si="1185"/>
        <v>99999</v>
      </c>
      <c r="B33511" s="2" t="str">
        <f>"64630"</f>
        <v>64630</v>
      </c>
      <c r="C33511" s="1">
        <v>3.63430072670735E-5</v>
      </c>
      <c r="D33511" s="1">
        <v>3.0352053468177301E-6</v>
      </c>
      <c r="E33511" s="1">
        <v>8.69107991013423E-6</v>
      </c>
      <c r="F33511" s="1">
        <v>3.35264903544685E-5</v>
      </c>
    </row>
    <row r="33512" spans="1:6" x14ac:dyDescent="0.25">
      <c r="A33512" s="2" t="str">
        <f t="shared" si="1185"/>
        <v>99999</v>
      </c>
      <c r="B33512" s="2" t="str">
        <f>"64620"</f>
        <v>64620</v>
      </c>
      <c r="C33512" s="1">
        <v>3.0231270309247298E-5</v>
      </c>
      <c r="D33512" s="1">
        <v>7.5880133670443404E-6</v>
      </c>
      <c r="E33512" s="1">
        <v>4.3455399550671099E-6</v>
      </c>
      <c r="F33512" s="1">
        <v>2.8154293086986899E-5</v>
      </c>
    </row>
    <row r="33513" spans="1:6" x14ac:dyDescent="0.25">
      <c r="A33513" s="2" t="str">
        <f t="shared" si="1185"/>
        <v>99999</v>
      </c>
      <c r="B33513" s="2" t="str">
        <f>"64482"</f>
        <v>64482</v>
      </c>
      <c r="C33513" s="1">
        <v>1.1917887067761E-4</v>
      </c>
      <c r="D33513" s="1">
        <v>2.2764040101133E-4</v>
      </c>
      <c r="E33513" s="1">
        <v>9.5601879011476503E-5</v>
      </c>
      <c r="F33513" s="1">
        <v>1.2574921011290199E-4</v>
      </c>
    </row>
    <row r="33514" spans="1:6" x14ac:dyDescent="0.25">
      <c r="A33514" s="2" t="str">
        <f t="shared" si="1185"/>
        <v>99999</v>
      </c>
      <c r="B33514" s="2" t="str">
        <f>"63934"</f>
        <v>63934</v>
      </c>
      <c r="C33514" s="1">
        <v>2.8157645269984799E-5</v>
      </c>
      <c r="D33514" s="1">
        <v>1.21408213872709E-5</v>
      </c>
      <c r="E33514" s="1">
        <v>4.3455399550671099E-6</v>
      </c>
      <c r="F33514" s="1">
        <v>2.6562530933659001E-5</v>
      </c>
    </row>
    <row r="33515" spans="1:6" x14ac:dyDescent="0.25">
      <c r="A33515" s="2" t="str">
        <f t="shared" si="1185"/>
        <v>99999</v>
      </c>
      <c r="B33515" s="2" t="str">
        <f>"63956"</f>
        <v>63956</v>
      </c>
      <c r="C33515" s="1">
        <v>5.4132527340746099E-5</v>
      </c>
      <c r="D33515" s="1">
        <v>3.1869656141586203E-5</v>
      </c>
      <c r="E33515" s="1">
        <v>4.3455399550671099E-6</v>
      </c>
      <c r="F33515" s="1">
        <v>5.15332997139901E-5</v>
      </c>
    </row>
    <row r="33516" spans="1:6" x14ac:dyDescent="0.25">
      <c r="A33516" s="2" t="str">
        <f t="shared" si="1185"/>
        <v>99999</v>
      </c>
      <c r="B33516" s="2" t="str">
        <f>"63952"</f>
        <v>63952</v>
      </c>
      <c r="C33516" s="1">
        <v>2.1500217512352799E-5</v>
      </c>
      <c r="D33516" s="1">
        <v>1.51760267340886E-6</v>
      </c>
      <c r="E33516" s="1">
        <v>4.3455399550671099E-6</v>
      </c>
      <c r="F33516" s="1">
        <v>1.9797541782015501E-5</v>
      </c>
    </row>
    <row r="33517" spans="1:6" x14ac:dyDescent="0.25">
      <c r="A33517" s="2" t="str">
        <f t="shared" si="1185"/>
        <v>99999</v>
      </c>
      <c r="B33517" s="2" t="str">
        <f>"63957"</f>
        <v>63957</v>
      </c>
      <c r="C33517" s="1">
        <v>3.6528542139007498E-4</v>
      </c>
      <c r="D33517" s="1">
        <v>2.9441491864132003E-4</v>
      </c>
      <c r="E33517" s="1">
        <v>9.9947418966543598E-5</v>
      </c>
      <c r="F33517" s="1">
        <v>3.5456501965378499E-4</v>
      </c>
    </row>
    <row r="33518" spans="1:6" x14ac:dyDescent="0.25">
      <c r="A33518" s="2" t="str">
        <f t="shared" si="1185"/>
        <v>99999</v>
      </c>
      <c r="B33518" s="2" t="str">
        <f>"63860"</f>
        <v>63860</v>
      </c>
      <c r="C33518" s="1">
        <v>0</v>
      </c>
      <c r="D33518" s="1">
        <v>0</v>
      </c>
      <c r="E33518" s="1">
        <v>4.3455399550671099E-6</v>
      </c>
      <c r="F33518" s="1">
        <v>9.9485134582992598E-8</v>
      </c>
    </row>
    <row r="33519" spans="1:6" x14ac:dyDescent="0.25">
      <c r="A33519" s="2" t="str">
        <f t="shared" si="1185"/>
        <v>99999</v>
      </c>
      <c r="B33519" s="2" t="str">
        <f>"63866"</f>
        <v>63866</v>
      </c>
      <c r="C33519" s="1">
        <v>0</v>
      </c>
      <c r="D33519" s="1">
        <v>0</v>
      </c>
      <c r="E33519" s="1">
        <v>4.3455399550671099E-6</v>
      </c>
      <c r="F33519" s="1">
        <v>9.9485134582992598E-8</v>
      </c>
    </row>
    <row r="33520" spans="1:6" x14ac:dyDescent="0.25">
      <c r="A33520" s="2" t="str">
        <f t="shared" si="1185"/>
        <v>99999</v>
      </c>
      <c r="B33520" s="2" t="str">
        <f>"63857"</f>
        <v>63857</v>
      </c>
      <c r="C33520" s="1">
        <v>3.05586847891308E-6</v>
      </c>
      <c r="D33520" s="1">
        <v>0</v>
      </c>
      <c r="E33520" s="1">
        <v>0</v>
      </c>
      <c r="F33520" s="1">
        <v>2.7855837683237898E-6</v>
      </c>
    </row>
    <row r="33521" spans="1:6" x14ac:dyDescent="0.25">
      <c r="A33521" s="2" t="str">
        <f t="shared" si="1185"/>
        <v>99999</v>
      </c>
      <c r="B33521" s="2" t="str">
        <f>"63879"</f>
        <v>63879</v>
      </c>
      <c r="C33521" s="1">
        <v>4.05993955055596E-5</v>
      </c>
      <c r="D33521" s="1">
        <v>1.3658424060679801E-5</v>
      </c>
      <c r="E33521" s="1">
        <v>4.3455399550671099E-6</v>
      </c>
      <c r="F33521" s="1">
        <v>3.8003321410703101E-5</v>
      </c>
    </row>
    <row r="33522" spans="1:6" x14ac:dyDescent="0.25">
      <c r="A33522" s="2" t="str">
        <f t="shared" si="1185"/>
        <v>99999</v>
      </c>
      <c r="B33522" s="2" t="str">
        <f>"63551"</f>
        <v>63551</v>
      </c>
      <c r="C33522" s="1">
        <v>2.1827631992236301E-5</v>
      </c>
      <c r="D33522" s="1">
        <v>3.0352053468177301E-6</v>
      </c>
      <c r="E33522" s="1">
        <v>4.3455399550671099E-6</v>
      </c>
      <c r="F33522" s="1">
        <v>2.0195482320347499E-5</v>
      </c>
    </row>
    <row r="33523" spans="1:6" x14ac:dyDescent="0.25">
      <c r="A33523" s="2" t="str">
        <f t="shared" si="1185"/>
        <v>99999</v>
      </c>
      <c r="B33523" s="2" t="str">
        <f>"63539"</f>
        <v>63539</v>
      </c>
      <c r="C33523" s="1">
        <v>1.7898658233633802E-5</v>
      </c>
      <c r="D33523" s="1">
        <v>1.5176026734088599E-5</v>
      </c>
      <c r="E33523" s="1">
        <v>4.3455399550671099E-6</v>
      </c>
      <c r="F33523" s="1">
        <v>1.74098985520237E-5</v>
      </c>
    </row>
    <row r="33524" spans="1:6" x14ac:dyDescent="0.25">
      <c r="A33524" s="2" t="str">
        <f t="shared" si="1185"/>
        <v>99999</v>
      </c>
      <c r="B33524" s="2" t="str">
        <f>"63853"</f>
        <v>63853</v>
      </c>
      <c r="C33524" s="1">
        <v>1.09138159961181E-7</v>
      </c>
      <c r="D33524" s="1">
        <v>0</v>
      </c>
      <c r="E33524" s="1">
        <v>4.3455399550671099E-6</v>
      </c>
      <c r="F33524" s="1">
        <v>1.9897026916598501E-7</v>
      </c>
    </row>
    <row r="33525" spans="1:6" x14ac:dyDescent="0.25">
      <c r="A33525" s="2" t="str">
        <f t="shared" si="1185"/>
        <v>99999</v>
      </c>
      <c r="B33525" s="2" t="str">
        <f>"63771"</f>
        <v>63771</v>
      </c>
      <c r="C33525" s="1">
        <v>1.10229541560793E-5</v>
      </c>
      <c r="D33525" s="1">
        <v>4.5528080202265997E-6</v>
      </c>
      <c r="E33525" s="1">
        <v>4.3455399550671099E-6</v>
      </c>
      <c r="F33525" s="1">
        <v>1.04459391312142E-5</v>
      </c>
    </row>
    <row r="33526" spans="1:6" x14ac:dyDescent="0.25">
      <c r="A33526" s="2" t="str">
        <f t="shared" si="1185"/>
        <v>99999</v>
      </c>
      <c r="B33526" s="2" t="str">
        <f>"63748"</f>
        <v>63748</v>
      </c>
      <c r="C33526" s="1">
        <v>4.42009547842786E-5</v>
      </c>
      <c r="D33526" s="1">
        <v>1.5176026734088599E-5</v>
      </c>
      <c r="E33526" s="1">
        <v>4.3455399550671099E-6</v>
      </c>
      <c r="F33526" s="1">
        <v>4.1385815986524902E-5</v>
      </c>
    </row>
    <row r="33527" spans="1:6" x14ac:dyDescent="0.25">
      <c r="A33527" s="2" t="str">
        <f t="shared" si="1185"/>
        <v>99999</v>
      </c>
      <c r="B33527" s="2" t="str">
        <f>"63440"</f>
        <v>63440</v>
      </c>
      <c r="C33527" s="1">
        <v>1.0913815996118101E-6</v>
      </c>
      <c r="D33527" s="1">
        <v>0</v>
      </c>
      <c r="E33527" s="1">
        <v>0</v>
      </c>
      <c r="F33527" s="1">
        <v>9.9485134582992606E-7</v>
      </c>
    </row>
    <row r="33528" spans="1:6" x14ac:dyDescent="0.25">
      <c r="A33528" s="2" t="str">
        <f t="shared" si="1185"/>
        <v>99999</v>
      </c>
      <c r="B33528" s="2" t="str">
        <f>"63442"</f>
        <v>63442</v>
      </c>
      <c r="C33528" s="1">
        <v>3.7106974386801701E-6</v>
      </c>
      <c r="D33528" s="1">
        <v>6.0704106936354696E-6</v>
      </c>
      <c r="E33528" s="1">
        <v>4.3455399550671099E-6</v>
      </c>
      <c r="F33528" s="1">
        <v>3.87992024873671E-6</v>
      </c>
    </row>
    <row r="33529" spans="1:6" x14ac:dyDescent="0.25">
      <c r="A33529" s="2" t="str">
        <f t="shared" si="1185"/>
        <v>99999</v>
      </c>
      <c r="B33529" s="2" t="str">
        <f>"63439"</f>
        <v>63439</v>
      </c>
      <c r="C33529" s="1">
        <v>7.8579475172050803E-6</v>
      </c>
      <c r="D33529" s="1">
        <v>7.5880133670443404E-6</v>
      </c>
      <c r="E33529" s="1">
        <v>4.3455399550671099E-6</v>
      </c>
      <c r="F33529" s="1">
        <v>7.7598404974734199E-6</v>
      </c>
    </row>
    <row r="33530" spans="1:6" x14ac:dyDescent="0.25">
      <c r="A33530" s="2" t="str">
        <f t="shared" si="1185"/>
        <v>99999</v>
      </c>
      <c r="B33530" s="2" t="str">
        <f>"63432"</f>
        <v>63432</v>
      </c>
      <c r="C33530" s="1">
        <v>2.52109149510329E-5</v>
      </c>
      <c r="D33530" s="1">
        <v>7.5880133670443404E-6</v>
      </c>
      <c r="E33530" s="1">
        <v>0</v>
      </c>
      <c r="F33530" s="1">
        <v>2.3478491761586199E-5</v>
      </c>
    </row>
    <row r="33531" spans="1:6" x14ac:dyDescent="0.25">
      <c r="A33531" s="2" t="str">
        <f t="shared" si="1185"/>
        <v>99999</v>
      </c>
      <c r="B33531" s="2" t="str">
        <f>"63566"</f>
        <v>63566</v>
      </c>
      <c r="C33531" s="1">
        <v>5.6751843179814504E-6</v>
      </c>
      <c r="D33531" s="1">
        <v>3.0352053468177301E-6</v>
      </c>
      <c r="E33531" s="1">
        <v>1.3036619865201299E-5</v>
      </c>
      <c r="F33531" s="1">
        <v>5.6706526712305799E-6</v>
      </c>
    </row>
    <row r="33532" spans="1:6" x14ac:dyDescent="0.25">
      <c r="A33532" s="2" t="str">
        <f t="shared" si="1185"/>
        <v>99999</v>
      </c>
      <c r="B33532" s="2" t="str">
        <f>"63381"</f>
        <v>63381</v>
      </c>
      <c r="C33532" s="1">
        <v>4.4746645584084504E-6</v>
      </c>
      <c r="D33532" s="1">
        <v>1.51760267340886E-6</v>
      </c>
      <c r="E33532" s="1">
        <v>0</v>
      </c>
      <c r="F33532" s="1">
        <v>4.1783756524856902E-6</v>
      </c>
    </row>
    <row r="33533" spans="1:6" x14ac:dyDescent="0.25">
      <c r="A33533" s="2" t="str">
        <f t="shared" si="1185"/>
        <v>99999</v>
      </c>
      <c r="B33533" s="2" t="str">
        <f>"63384"</f>
        <v>63384</v>
      </c>
      <c r="C33533" s="1">
        <v>1.03790390123083E-4</v>
      </c>
      <c r="D33533" s="1">
        <v>1.7452430744201901E-4</v>
      </c>
      <c r="E33533" s="1">
        <v>3.9109859595604001E-5</v>
      </c>
      <c r="F33533" s="1">
        <v>1.06946519676717E-4</v>
      </c>
    </row>
    <row r="33534" spans="1:6" x14ac:dyDescent="0.25">
      <c r="A33534" s="2" t="str">
        <f t="shared" si="1185"/>
        <v>99999</v>
      </c>
      <c r="B33534" s="2" t="str">
        <f>"63023"</f>
        <v>63023</v>
      </c>
      <c r="C33534" s="1">
        <v>1.09138159961181E-7</v>
      </c>
      <c r="D33534" s="1">
        <v>0</v>
      </c>
      <c r="E33534" s="1">
        <v>0</v>
      </c>
      <c r="F33534" s="1">
        <v>9.9485134582992598E-8</v>
      </c>
    </row>
    <row r="33535" spans="1:6" x14ac:dyDescent="0.25">
      <c r="A33535" s="2" t="str">
        <f t="shared" si="1185"/>
        <v>99999</v>
      </c>
      <c r="B33535" s="2" t="str">
        <f>"63080"</f>
        <v>63080</v>
      </c>
      <c r="C33535" s="1">
        <v>1.87826773293193E-4</v>
      </c>
      <c r="D33535" s="1">
        <v>1.09267392485438E-4</v>
      </c>
      <c r="E33535" s="1">
        <v>1.56439438382416E-4</v>
      </c>
      <c r="F33535" s="1">
        <v>1.81958311152293E-4</v>
      </c>
    </row>
    <row r="33536" spans="1:6" x14ac:dyDescent="0.25">
      <c r="A33536" s="2" t="str">
        <f t="shared" si="1185"/>
        <v>99999</v>
      </c>
      <c r="B33536" s="2" t="str">
        <f>"63036"</f>
        <v>63036</v>
      </c>
      <c r="C33536" s="1">
        <v>1.1677783115846399E-5</v>
      </c>
      <c r="D33536" s="1">
        <v>0</v>
      </c>
      <c r="E33536" s="1">
        <v>0</v>
      </c>
      <c r="F33536" s="1">
        <v>1.0644909400380201E-5</v>
      </c>
    </row>
    <row r="33537" spans="1:6" x14ac:dyDescent="0.25">
      <c r="A33537" s="2" t="str">
        <f t="shared" si="1185"/>
        <v>99999</v>
      </c>
      <c r="B33537" s="2" t="str">
        <f>"62960"</f>
        <v>62960</v>
      </c>
      <c r="C33537" s="1">
        <v>8.7310527968945299E-7</v>
      </c>
      <c r="D33537" s="1">
        <v>0</v>
      </c>
      <c r="E33537" s="1">
        <v>0</v>
      </c>
      <c r="F33537" s="1">
        <v>7.9588107666394099E-7</v>
      </c>
    </row>
    <row r="33538" spans="1:6" x14ac:dyDescent="0.25">
      <c r="A33538" s="2" t="str">
        <f t="shared" si="1185"/>
        <v>99999</v>
      </c>
      <c r="B33538" s="2" t="str">
        <f>"62970"</f>
        <v>62970</v>
      </c>
      <c r="C33538" s="1">
        <v>3.2523171668432101E-5</v>
      </c>
      <c r="D33538" s="1">
        <v>1.8211232080906399E-5</v>
      </c>
      <c r="E33538" s="1">
        <v>1.3036619865201299E-5</v>
      </c>
      <c r="F33538" s="1">
        <v>3.1138847124476597E-5</v>
      </c>
    </row>
    <row r="33539" spans="1:6" x14ac:dyDescent="0.25">
      <c r="A33539" s="2" t="str">
        <f t="shared" si="1185"/>
        <v>99999</v>
      </c>
      <c r="B33539" s="2" t="str">
        <f>"62843"</f>
        <v>62843</v>
      </c>
      <c r="C33539" s="1">
        <v>6.7665659175932598E-6</v>
      </c>
      <c r="D33539" s="1">
        <v>4.5528080202265997E-6</v>
      </c>
      <c r="E33539" s="1">
        <v>4.3455399550671099E-6</v>
      </c>
      <c r="F33539" s="1">
        <v>6.5660188824775097E-6</v>
      </c>
    </row>
    <row r="33540" spans="1:6" x14ac:dyDescent="0.25">
      <c r="A33540" s="2" t="str">
        <f t="shared" si="1185"/>
        <v>99999</v>
      </c>
      <c r="B33540" s="2" t="str">
        <f>"62840"</f>
        <v>62840</v>
      </c>
      <c r="C33540" s="1">
        <v>0</v>
      </c>
      <c r="D33540" s="1">
        <v>0</v>
      </c>
      <c r="E33540" s="1">
        <v>4.3455399550671099E-6</v>
      </c>
      <c r="F33540" s="1">
        <v>9.9485134582992598E-8</v>
      </c>
    </row>
    <row r="33541" spans="1:6" x14ac:dyDescent="0.25">
      <c r="A33541" s="2" t="str">
        <f t="shared" si="1185"/>
        <v>99999</v>
      </c>
      <c r="B33541" s="2" t="str">
        <f>"62860"</f>
        <v>62860</v>
      </c>
      <c r="C33541" s="1">
        <v>3.4487658547733398E-5</v>
      </c>
      <c r="D33541" s="1">
        <v>1.9728834754315301E-5</v>
      </c>
      <c r="E33541" s="1">
        <v>4.3455399550671099E-6</v>
      </c>
      <c r="F33541" s="1">
        <v>3.2830094412387497E-5</v>
      </c>
    </row>
    <row r="33542" spans="1:6" x14ac:dyDescent="0.25">
      <c r="A33542" s="2" t="str">
        <f t="shared" si="1185"/>
        <v>99999</v>
      </c>
      <c r="B33542" s="2" t="str">
        <f>"62856"</f>
        <v>62856</v>
      </c>
      <c r="C33542" s="1">
        <v>1.41879607949536E-5</v>
      </c>
      <c r="D33542" s="1">
        <v>0</v>
      </c>
      <c r="E33542" s="1">
        <v>4.3455399550671099E-6</v>
      </c>
      <c r="F33542" s="1">
        <v>1.3032552630372001E-5</v>
      </c>
    </row>
    <row r="33543" spans="1:6" x14ac:dyDescent="0.25">
      <c r="A33543" s="2" t="str">
        <f t="shared" si="1185"/>
        <v>99999</v>
      </c>
      <c r="B33543" s="2" t="str">
        <f>"62831"</f>
        <v>62831</v>
      </c>
      <c r="C33543" s="1">
        <v>3.3941967747927502E-5</v>
      </c>
      <c r="D33543" s="1">
        <v>2.88344507947685E-5</v>
      </c>
      <c r="E33543" s="1">
        <v>4.3455399550671099E-6</v>
      </c>
      <c r="F33543" s="1">
        <v>3.2929579546970502E-5</v>
      </c>
    </row>
    <row r="33544" spans="1:6" x14ac:dyDescent="0.25">
      <c r="A33544" s="2" t="str">
        <f t="shared" si="1185"/>
        <v>99999</v>
      </c>
      <c r="B33544" s="2" t="str">
        <f>"62811"</f>
        <v>62811</v>
      </c>
      <c r="C33544" s="1">
        <v>1.3751408155108801E-5</v>
      </c>
      <c r="D33544" s="1">
        <v>0</v>
      </c>
      <c r="E33544" s="1">
        <v>4.3455399550671099E-6</v>
      </c>
      <c r="F33544" s="1">
        <v>1.263461209204E-5</v>
      </c>
    </row>
    <row r="33545" spans="1:6" x14ac:dyDescent="0.25">
      <c r="A33545" s="2" t="str">
        <f t="shared" si="1185"/>
        <v>99999</v>
      </c>
      <c r="B33545" s="2" t="str">
        <f>"62801"</f>
        <v>62801</v>
      </c>
      <c r="C33545" s="1">
        <v>2.6084020230722401E-5</v>
      </c>
      <c r="D33545" s="1">
        <v>1.21408213872709E-5</v>
      </c>
      <c r="E33545" s="1">
        <v>0</v>
      </c>
      <c r="F33545" s="1">
        <v>2.4572828241999101E-5</v>
      </c>
    </row>
    <row r="33546" spans="1:6" x14ac:dyDescent="0.25">
      <c r="A33546" s="2" t="str">
        <f t="shared" si="1185"/>
        <v>99999</v>
      </c>
      <c r="B33546" s="2" t="str">
        <f>"62821"</f>
        <v>62821</v>
      </c>
      <c r="C33546" s="1">
        <v>4.3327849504589099E-4</v>
      </c>
      <c r="D33546" s="1">
        <v>6.6167476560626698E-4</v>
      </c>
      <c r="E33546" s="1">
        <v>5.43192494383389E-4</v>
      </c>
      <c r="F33546" s="1">
        <v>4.5076714479553898E-4</v>
      </c>
    </row>
    <row r="33547" spans="1:6" x14ac:dyDescent="0.25">
      <c r="A33547" s="2" t="str">
        <f t="shared" si="1185"/>
        <v>99999</v>
      </c>
      <c r="B33547" s="2" t="str">
        <f>"62943"</f>
        <v>62943</v>
      </c>
      <c r="C33547" s="1">
        <v>1.6370723994177199E-6</v>
      </c>
      <c r="D33547" s="1">
        <v>3.0352053468177301E-6</v>
      </c>
      <c r="E33547" s="1">
        <v>0</v>
      </c>
      <c r="F33547" s="1">
        <v>1.6912472879108699E-6</v>
      </c>
    </row>
    <row r="33548" spans="1:6" x14ac:dyDescent="0.25">
      <c r="A33548" s="2" t="str">
        <f t="shared" si="1185"/>
        <v>99999</v>
      </c>
      <c r="B33548" s="2" t="str">
        <f>"62947"</f>
        <v>62947</v>
      </c>
      <c r="C33548" s="1">
        <v>4.9112171982531698E-5</v>
      </c>
      <c r="D33548" s="1">
        <v>9.1056160404532095E-6</v>
      </c>
      <c r="E33548" s="1">
        <v>4.3455399550671099E-6</v>
      </c>
      <c r="F33548" s="1">
        <v>4.5464706504427597E-5</v>
      </c>
    </row>
    <row r="33549" spans="1:6" x14ac:dyDescent="0.25">
      <c r="A33549" s="2" t="str">
        <f t="shared" si="1185"/>
        <v>99999</v>
      </c>
      <c r="B33549" s="2" t="str">
        <f>"62899"</f>
        <v>62899</v>
      </c>
      <c r="C33549" s="1">
        <v>9.0257258287897201E-5</v>
      </c>
      <c r="D33549" s="1">
        <v>3.7940066835221703E-5</v>
      </c>
      <c r="E33549" s="1">
        <v>1.7382159820268399E-5</v>
      </c>
      <c r="F33549" s="1">
        <v>8.5159275203041605E-5</v>
      </c>
    </row>
    <row r="33550" spans="1:6" x14ac:dyDescent="0.25">
      <c r="A33550" s="2" t="str">
        <f t="shared" si="1185"/>
        <v>99999</v>
      </c>
      <c r="B33550" s="2" t="str">
        <f>"62887"</f>
        <v>62887</v>
      </c>
      <c r="C33550" s="1">
        <v>1.9972283272896199E-5</v>
      </c>
      <c r="D33550" s="1">
        <v>4.5528080202265997E-6</v>
      </c>
      <c r="E33550" s="1">
        <v>4.3455399550671099E-6</v>
      </c>
      <c r="F33550" s="1">
        <v>1.8603720167019601E-5</v>
      </c>
    </row>
    <row r="33551" spans="1:6" x14ac:dyDescent="0.25">
      <c r="A33551" s="2" t="str">
        <f t="shared" si="1185"/>
        <v>99999</v>
      </c>
      <c r="B33551" s="2" t="str">
        <f>"62916"</f>
        <v>62916</v>
      </c>
      <c r="C33551" s="1">
        <v>1.01498488763899E-5</v>
      </c>
      <c r="D33551" s="1">
        <v>1.51760267340886E-6</v>
      </c>
      <c r="E33551" s="1">
        <v>0</v>
      </c>
      <c r="F33551" s="1">
        <v>9.3516026508012996E-6</v>
      </c>
    </row>
    <row r="33552" spans="1:6" x14ac:dyDescent="0.25">
      <c r="A33552" s="2" t="str">
        <f t="shared" si="1185"/>
        <v>99999</v>
      </c>
      <c r="B33552" s="2" t="str">
        <f>"62876"</f>
        <v>62876</v>
      </c>
      <c r="C33552" s="1">
        <v>0</v>
      </c>
      <c r="D33552" s="1">
        <v>0</v>
      </c>
      <c r="E33552" s="1">
        <v>4.3455399550671099E-6</v>
      </c>
      <c r="F33552" s="1">
        <v>9.9485134582992598E-8</v>
      </c>
    </row>
    <row r="33553" spans="1:6" x14ac:dyDescent="0.25">
      <c r="A33553" s="2" t="str">
        <f t="shared" si="1185"/>
        <v>99999</v>
      </c>
      <c r="B33553" s="2" t="str">
        <f>"62878"</f>
        <v>62878</v>
      </c>
      <c r="C33553" s="1">
        <v>1.8990039833245598E-5</v>
      </c>
      <c r="D33553" s="1">
        <v>4.5528080202265997E-6</v>
      </c>
      <c r="E33553" s="1">
        <v>4.3455399550671099E-6</v>
      </c>
      <c r="F33553" s="1">
        <v>1.77083539557726E-5</v>
      </c>
    </row>
    <row r="33554" spans="1:6" x14ac:dyDescent="0.25">
      <c r="A33554" s="2" t="str">
        <f t="shared" ref="A33554:A33617" si="1186">"99999"</f>
        <v>99999</v>
      </c>
      <c r="B33554" s="2" t="str">
        <f>"62869"</f>
        <v>62869</v>
      </c>
      <c r="C33554" s="1">
        <v>1.3478562755205899E-4</v>
      </c>
      <c r="D33554" s="1">
        <v>6.9809722976807906E-5</v>
      </c>
      <c r="E33554" s="1">
        <v>1.3471173860707999E-4</v>
      </c>
      <c r="F33554" s="1">
        <v>1.30524496572886E-4</v>
      </c>
    </row>
    <row r="33555" spans="1:6" x14ac:dyDescent="0.25">
      <c r="A33555" s="2" t="str">
        <f t="shared" si="1186"/>
        <v>99999</v>
      </c>
      <c r="B33555" s="2" t="str">
        <f>"62868"</f>
        <v>62868</v>
      </c>
      <c r="C33555" s="1">
        <v>1.0149848876389901E-4</v>
      </c>
      <c r="D33555" s="1">
        <v>6.5256914956581297E-5</v>
      </c>
      <c r="E33555" s="1">
        <v>2.60732397304027E-5</v>
      </c>
      <c r="F33555" s="1">
        <v>9.7395946756749697E-5</v>
      </c>
    </row>
    <row r="33556" spans="1:6" x14ac:dyDescent="0.25">
      <c r="A33556" s="2" t="str">
        <f t="shared" si="1186"/>
        <v>99999</v>
      </c>
      <c r="B33556" s="2" t="str">
        <f>"62865"</f>
        <v>62865</v>
      </c>
      <c r="C33556" s="1">
        <v>1.10011265240871E-4</v>
      </c>
      <c r="D33556" s="1">
        <v>2.88344507947685E-5</v>
      </c>
      <c r="E33556" s="1">
        <v>4.3455399550671099E-6</v>
      </c>
      <c r="F33556" s="1">
        <v>1.0227071835131599E-4</v>
      </c>
    </row>
    <row r="33557" spans="1:6" x14ac:dyDescent="0.25">
      <c r="A33557" s="2" t="str">
        <f t="shared" si="1186"/>
        <v>99999</v>
      </c>
      <c r="B33557" s="2" t="str">
        <f>"62863"</f>
        <v>62863</v>
      </c>
      <c r="C33557" s="1">
        <v>5.5169339860377305E-4</v>
      </c>
      <c r="D33557" s="1">
        <v>7.5576613135761603E-4</v>
      </c>
      <c r="E33557" s="1">
        <v>4.9973709483271795E-4</v>
      </c>
      <c r="F33557" s="1">
        <v>5.6388174281640205E-4</v>
      </c>
    </row>
    <row r="33558" spans="1:6" x14ac:dyDescent="0.25">
      <c r="A33558" s="2" t="str">
        <f t="shared" si="1186"/>
        <v>99999</v>
      </c>
      <c r="B33558" s="2" t="str">
        <f>"62691"</f>
        <v>62691</v>
      </c>
      <c r="C33558" s="1">
        <v>1.3162062091318501E-4</v>
      </c>
      <c r="D33558" s="1">
        <v>1.7755951278883701E-4</v>
      </c>
      <c r="E33558" s="1">
        <v>9.1256339056409395E-5</v>
      </c>
      <c r="F33558" s="1">
        <v>1.3370802087954201E-4</v>
      </c>
    </row>
    <row r="33559" spans="1:6" x14ac:dyDescent="0.25">
      <c r="A33559" s="2" t="str">
        <f t="shared" si="1186"/>
        <v>99999</v>
      </c>
      <c r="B33559" s="2" t="str">
        <f>"62481"</f>
        <v>62481</v>
      </c>
      <c r="C33559" s="1">
        <v>1.8662625353362001E-5</v>
      </c>
      <c r="D33559" s="1">
        <v>1.21408213872709E-5</v>
      </c>
      <c r="E33559" s="1">
        <v>4.3455399550671099E-6</v>
      </c>
      <c r="F33559" s="1">
        <v>1.7907324224938601E-5</v>
      </c>
    </row>
    <row r="33560" spans="1:6" x14ac:dyDescent="0.25">
      <c r="A33560" s="2" t="str">
        <f t="shared" si="1186"/>
        <v>99999</v>
      </c>
      <c r="B33560" s="2" t="str">
        <f>"62479"</f>
        <v>62479</v>
      </c>
      <c r="C33560" s="1">
        <v>3.7761803346568799E-5</v>
      </c>
      <c r="D33560" s="1">
        <v>6.0704106936354696E-6</v>
      </c>
      <c r="E33560" s="1">
        <v>4.3455399550671099E-6</v>
      </c>
      <c r="F33560" s="1">
        <v>3.4919282238630398E-5</v>
      </c>
    </row>
    <row r="33561" spans="1:6" x14ac:dyDescent="0.25">
      <c r="A33561" s="2" t="str">
        <f t="shared" si="1186"/>
        <v>99999</v>
      </c>
      <c r="B33561" s="2" t="str">
        <f>"62475"</f>
        <v>62475</v>
      </c>
      <c r="C33561" s="1">
        <v>1.4078822634992399E-5</v>
      </c>
      <c r="D33561" s="1">
        <v>4.5528080202265997E-6</v>
      </c>
      <c r="E33561" s="1">
        <v>4.3455399550671099E-6</v>
      </c>
      <c r="F33561" s="1">
        <v>1.3231522899537999E-5</v>
      </c>
    </row>
    <row r="33562" spans="1:6" x14ac:dyDescent="0.25">
      <c r="A33562" s="2" t="str">
        <f t="shared" si="1186"/>
        <v>99999</v>
      </c>
      <c r="B33562" s="2" t="str">
        <f>"62462"</f>
        <v>62462</v>
      </c>
      <c r="C33562" s="1">
        <v>2.7175401830334201E-5</v>
      </c>
      <c r="D33562" s="1">
        <v>1.3658424060679801E-5</v>
      </c>
      <c r="E33562" s="1">
        <v>4.3455399550671099E-6</v>
      </c>
      <c r="F33562" s="1">
        <v>2.5766649856994999E-5</v>
      </c>
    </row>
    <row r="33563" spans="1:6" x14ac:dyDescent="0.25">
      <c r="A33563" s="2" t="str">
        <f t="shared" si="1186"/>
        <v>99999</v>
      </c>
      <c r="B33563" s="2" t="str">
        <f>"62428"</f>
        <v>62428</v>
      </c>
      <c r="C33563" s="1">
        <v>3.2741447988354498E-7</v>
      </c>
      <c r="D33563" s="1">
        <v>0</v>
      </c>
      <c r="E33563" s="1">
        <v>0</v>
      </c>
      <c r="F33563" s="1">
        <v>2.9845540374897701E-7</v>
      </c>
    </row>
    <row r="33564" spans="1:6" x14ac:dyDescent="0.25">
      <c r="A33564" s="2" t="str">
        <f t="shared" si="1186"/>
        <v>99999</v>
      </c>
      <c r="B33564" s="2" t="str">
        <f>"62448"</f>
        <v>62448</v>
      </c>
      <c r="C33564" s="1">
        <v>3.1606411124758202E-4</v>
      </c>
      <c r="D33564" s="1">
        <v>5.0232648489833501E-4</v>
      </c>
      <c r="E33564" s="1">
        <v>2.4769577743882499E-4</v>
      </c>
      <c r="F33564" s="1">
        <v>3.2670918197054698E-4</v>
      </c>
    </row>
    <row r="33565" spans="1:6" x14ac:dyDescent="0.25">
      <c r="A33565" s="2" t="str">
        <f t="shared" si="1186"/>
        <v>99999</v>
      </c>
      <c r="B33565" s="2" t="str">
        <f>"62655"</f>
        <v>62655</v>
      </c>
      <c r="C33565" s="1">
        <v>2.67388491904895E-5</v>
      </c>
      <c r="D33565" s="1">
        <v>1.21408213872709E-5</v>
      </c>
      <c r="E33565" s="1">
        <v>4.3455399550671099E-6</v>
      </c>
      <c r="F33565" s="1">
        <v>2.5269224184080101E-5</v>
      </c>
    </row>
    <row r="33566" spans="1:6" x14ac:dyDescent="0.25">
      <c r="A33566" s="2" t="str">
        <f t="shared" si="1186"/>
        <v>99999</v>
      </c>
      <c r="B33566" s="2" t="str">
        <f>"62565"</f>
        <v>62565</v>
      </c>
      <c r="C33566" s="1">
        <v>4.1199655385346101E-4</v>
      </c>
      <c r="D33566" s="1">
        <v>5.7365381054855203E-4</v>
      </c>
      <c r="E33566" s="1">
        <v>3.7806197609083903E-4</v>
      </c>
      <c r="F33566" s="1">
        <v>4.21816970631888E-4</v>
      </c>
    </row>
    <row r="33567" spans="1:6" x14ac:dyDescent="0.25">
      <c r="A33567" s="2" t="str">
        <f t="shared" si="1186"/>
        <v>99999</v>
      </c>
      <c r="B33567" s="2" t="str">
        <f>"62534"</f>
        <v>62534</v>
      </c>
      <c r="C33567" s="1">
        <v>6.45006525370584E-5</v>
      </c>
      <c r="D33567" s="1">
        <v>2.2764040101133E-5</v>
      </c>
      <c r="E33567" s="1">
        <v>2.1727699775335501E-5</v>
      </c>
      <c r="F33567" s="1">
        <v>6.0785417230208501E-5</v>
      </c>
    </row>
    <row r="33568" spans="1:6" x14ac:dyDescent="0.25">
      <c r="A33568" s="2" t="str">
        <f t="shared" si="1186"/>
        <v>99999</v>
      </c>
      <c r="B33568" s="2" t="str">
        <f>"62617"</f>
        <v>62617</v>
      </c>
      <c r="C33568" s="1">
        <v>4.8675619342686997E-5</v>
      </c>
      <c r="D33568" s="1">
        <v>1.5176026734088599E-5</v>
      </c>
      <c r="E33568" s="1">
        <v>0</v>
      </c>
      <c r="F33568" s="1">
        <v>4.5365221369844598E-5</v>
      </c>
    </row>
    <row r="33569" spans="1:6" x14ac:dyDescent="0.25">
      <c r="A33569" s="2" t="str">
        <f t="shared" si="1186"/>
        <v>99999</v>
      </c>
      <c r="B33569" s="2" t="str">
        <f>"62411"</f>
        <v>62411</v>
      </c>
      <c r="C33569" s="1">
        <v>2.1827631992236301E-7</v>
      </c>
      <c r="D33569" s="1">
        <v>0</v>
      </c>
      <c r="E33569" s="1">
        <v>0</v>
      </c>
      <c r="F33569" s="1">
        <v>1.9897026916598501E-7</v>
      </c>
    </row>
    <row r="33570" spans="1:6" x14ac:dyDescent="0.25">
      <c r="A33570" s="2" t="str">
        <f t="shared" si="1186"/>
        <v>99999</v>
      </c>
      <c r="B33570" s="2" t="str">
        <f>"62340"</f>
        <v>62340</v>
      </c>
      <c r="C33570" s="1">
        <v>9.2221745167198505E-5</v>
      </c>
      <c r="D33570" s="1">
        <v>5.3116093569310399E-5</v>
      </c>
      <c r="E33570" s="1">
        <v>7.8219719191208097E-5</v>
      </c>
      <c r="F33570" s="1">
        <v>8.9337650855527299E-5</v>
      </c>
    </row>
    <row r="33571" spans="1:6" x14ac:dyDescent="0.25">
      <c r="A33571" s="2" t="str">
        <f t="shared" si="1186"/>
        <v>99999</v>
      </c>
      <c r="B33571" s="2" t="str">
        <f>"62323"</f>
        <v>62323</v>
      </c>
      <c r="C33571" s="1">
        <v>1.7243829273866699E-5</v>
      </c>
      <c r="D33571" s="1">
        <v>4.5528080202265997E-6</v>
      </c>
      <c r="E33571" s="1">
        <v>4.3455399550671099E-6</v>
      </c>
      <c r="F33571" s="1">
        <v>1.61165918024448E-5</v>
      </c>
    </row>
    <row r="33572" spans="1:6" x14ac:dyDescent="0.25">
      <c r="A33572" s="2" t="str">
        <f t="shared" si="1186"/>
        <v>99999</v>
      </c>
      <c r="B33572" s="2" t="str">
        <f>"62094"</f>
        <v>62094</v>
      </c>
      <c r="C33572" s="1">
        <v>6.0025987978649902E-5</v>
      </c>
      <c r="D33572" s="1">
        <v>9.1056160404532095E-6</v>
      </c>
      <c r="E33572" s="1">
        <v>4.7800939505738197E-5</v>
      </c>
      <c r="F33572" s="1">
        <v>5.6408071308556803E-5</v>
      </c>
    </row>
    <row r="33573" spans="1:6" x14ac:dyDescent="0.25">
      <c r="A33573" s="2" t="str">
        <f t="shared" si="1186"/>
        <v>99999</v>
      </c>
      <c r="B33573" s="2" t="str">
        <f>"62237"</f>
        <v>62237</v>
      </c>
      <c r="C33573" s="1">
        <v>1.38387186830778E-4</v>
      </c>
      <c r="D33573" s="1">
        <v>5.6151298916128101E-5</v>
      </c>
      <c r="E33573" s="1">
        <v>6.0837559370939603E-5</v>
      </c>
      <c r="F33573" s="1">
        <v>1.31220892514967E-4</v>
      </c>
    </row>
    <row r="33574" spans="1:6" x14ac:dyDescent="0.25">
      <c r="A33574" s="2" t="str">
        <f t="shared" si="1186"/>
        <v>99999</v>
      </c>
      <c r="B33574" s="2" t="str">
        <f>"62016"</f>
        <v>62016</v>
      </c>
      <c r="C33574" s="1">
        <v>2.7502816310217702E-4</v>
      </c>
      <c r="D33574" s="1">
        <v>2.7013327586677803E-4</v>
      </c>
      <c r="E33574" s="1">
        <v>1.3471173860707999E-4</v>
      </c>
      <c r="F33574" s="1">
        <v>2.7149493227698602E-4</v>
      </c>
    </row>
    <row r="33575" spans="1:6" x14ac:dyDescent="0.25">
      <c r="A33575" s="2" t="str">
        <f t="shared" si="1186"/>
        <v>99999</v>
      </c>
      <c r="B33575" s="2" t="str">
        <f>"61932"</f>
        <v>61932</v>
      </c>
      <c r="C33575" s="1">
        <v>2.5538329430916501E-5</v>
      </c>
      <c r="D33575" s="1">
        <v>1.0623218713862E-5</v>
      </c>
      <c r="E33575" s="1">
        <v>2.60732397304027E-5</v>
      </c>
      <c r="F33575" s="1">
        <v>2.4572828241999101E-5</v>
      </c>
    </row>
    <row r="33576" spans="1:6" x14ac:dyDescent="0.25">
      <c r="A33576" s="2" t="str">
        <f t="shared" si="1186"/>
        <v>99999</v>
      </c>
      <c r="B33576" s="2" t="str">
        <f>"61933"</f>
        <v>61933</v>
      </c>
      <c r="C33576" s="1">
        <v>6.2427027497795901E-5</v>
      </c>
      <c r="D33576" s="1">
        <v>4.5528080202266E-5</v>
      </c>
      <c r="E33576" s="1">
        <v>3.47643196405369E-5</v>
      </c>
      <c r="F33576" s="1">
        <v>6.0685932095625502E-5</v>
      </c>
    </row>
    <row r="33577" spans="1:6" x14ac:dyDescent="0.25">
      <c r="A33577" s="2" t="str">
        <f t="shared" si="1186"/>
        <v>99999</v>
      </c>
      <c r="B33577" s="2" t="str">
        <f>"61912"</f>
        <v>61912</v>
      </c>
      <c r="C33577" s="1">
        <v>1.09138159961181E-7</v>
      </c>
      <c r="D33577" s="1">
        <v>0</v>
      </c>
      <c r="E33577" s="1">
        <v>0</v>
      </c>
      <c r="F33577" s="1">
        <v>9.9485134582992598E-8</v>
      </c>
    </row>
    <row r="33578" spans="1:6" x14ac:dyDescent="0.25">
      <c r="A33578" s="2" t="str">
        <f t="shared" si="1186"/>
        <v>99999</v>
      </c>
      <c r="B33578" s="2" t="str">
        <f>"61924"</f>
        <v>61924</v>
      </c>
      <c r="C33578" s="1">
        <v>1.17214383798309E-4</v>
      </c>
      <c r="D33578" s="1">
        <v>1.3506663793338901E-4</v>
      </c>
      <c r="E33578" s="1">
        <v>2.60732397304027E-5</v>
      </c>
      <c r="F33578" s="1">
        <v>1.1629812232751801E-4</v>
      </c>
    </row>
    <row r="33579" spans="1:6" x14ac:dyDescent="0.25">
      <c r="A33579" s="2" t="str">
        <f t="shared" si="1186"/>
        <v>99999</v>
      </c>
      <c r="B33579" s="2" t="str">
        <f>"61882"</f>
        <v>61882</v>
      </c>
      <c r="C33579" s="1">
        <v>3.3505415108082699E-5</v>
      </c>
      <c r="D33579" s="1">
        <v>1.8211232080906399E-5</v>
      </c>
      <c r="E33579" s="1">
        <v>0</v>
      </c>
      <c r="F33579" s="1">
        <v>3.1735757931974601E-5</v>
      </c>
    </row>
    <row r="33580" spans="1:6" x14ac:dyDescent="0.25">
      <c r="A33580" s="2" t="str">
        <f t="shared" si="1186"/>
        <v>99999</v>
      </c>
      <c r="B33580" s="2" t="str">
        <f>"61466"</f>
        <v>61466</v>
      </c>
      <c r="C33580" s="1">
        <v>2.1827631992236301E-7</v>
      </c>
      <c r="D33580" s="1">
        <v>0</v>
      </c>
      <c r="E33580" s="1">
        <v>0</v>
      </c>
      <c r="F33580" s="1">
        <v>1.9897026916598501E-7</v>
      </c>
    </row>
    <row r="33581" spans="1:6" x14ac:dyDescent="0.25">
      <c r="A33581" s="2" t="str">
        <f t="shared" si="1186"/>
        <v>99999</v>
      </c>
      <c r="B33581" s="2" t="str">
        <f>"61567"</f>
        <v>61567</v>
      </c>
      <c r="C33581" s="1">
        <v>7.6178435652904798E-5</v>
      </c>
      <c r="D33581" s="1">
        <v>2.5799245447950699E-5</v>
      </c>
      <c r="E33581" s="1">
        <v>5.6492019415872502E-4</v>
      </c>
      <c r="F33581" s="1">
        <v>8.4064938722628696E-5</v>
      </c>
    </row>
    <row r="33582" spans="1:6" x14ac:dyDescent="0.25">
      <c r="A33582" s="2" t="str">
        <f t="shared" si="1186"/>
        <v>99999</v>
      </c>
      <c r="B33582" s="2" t="str">
        <f>"61053"</f>
        <v>61053</v>
      </c>
      <c r="C33582" s="1">
        <v>1.63925516261694E-4</v>
      </c>
      <c r="D33582" s="1">
        <v>2.7013327586677803E-4</v>
      </c>
      <c r="E33582" s="1">
        <v>2.4335023748375801E-4</v>
      </c>
      <c r="F33582" s="1">
        <v>1.7270619363607501E-4</v>
      </c>
    </row>
    <row r="33583" spans="1:6" x14ac:dyDescent="0.25">
      <c r="A33583" s="2" t="str">
        <f t="shared" si="1186"/>
        <v>99999</v>
      </c>
      <c r="B33583" s="2" t="str">
        <f>"60960"</f>
        <v>60960</v>
      </c>
      <c r="C33583" s="1">
        <v>9.9315725564675307E-6</v>
      </c>
      <c r="D33583" s="1">
        <v>3.0352053468177301E-6</v>
      </c>
      <c r="E33583" s="1">
        <v>4.3455399550671099E-6</v>
      </c>
      <c r="F33583" s="1">
        <v>9.3516026508012996E-6</v>
      </c>
    </row>
    <row r="33584" spans="1:6" x14ac:dyDescent="0.25">
      <c r="A33584" s="2" t="str">
        <f t="shared" si="1186"/>
        <v>99999</v>
      </c>
      <c r="B33584" s="2" t="str">
        <f>"60962"</f>
        <v>60962</v>
      </c>
      <c r="C33584" s="1">
        <v>3.4487658547733398E-5</v>
      </c>
      <c r="D33584" s="1">
        <v>4.5528080202266E-5</v>
      </c>
      <c r="E33584" s="1">
        <v>2.60732397304027E-5</v>
      </c>
      <c r="F33584" s="1">
        <v>3.5018767373213403E-5</v>
      </c>
    </row>
    <row r="33585" spans="1:6" x14ac:dyDescent="0.25">
      <c r="A33585" s="2" t="str">
        <f t="shared" si="1186"/>
        <v>99999</v>
      </c>
      <c r="B33585" s="2" t="str">
        <f>"60930"</f>
        <v>60930</v>
      </c>
      <c r="C33585" s="1">
        <v>3.4051105907888697E-5</v>
      </c>
      <c r="D33585" s="1">
        <v>7.5880133670443404E-6</v>
      </c>
      <c r="E33585" s="1">
        <v>5.7361127406885899E-4</v>
      </c>
      <c r="F33585" s="1">
        <v>4.4668825427763602E-5</v>
      </c>
    </row>
    <row r="33586" spans="1:6" x14ac:dyDescent="0.25">
      <c r="A33586" s="2" t="str">
        <f t="shared" si="1186"/>
        <v>99999</v>
      </c>
      <c r="B33586" s="2" t="str">
        <f>"60917"</f>
        <v>60917</v>
      </c>
      <c r="C33586" s="1">
        <v>2.1827631992236301E-7</v>
      </c>
      <c r="D33586" s="1">
        <v>0</v>
      </c>
      <c r="E33586" s="1">
        <v>0</v>
      </c>
      <c r="F33586" s="1">
        <v>1.9897026916598501E-7</v>
      </c>
    </row>
    <row r="33587" spans="1:6" x14ac:dyDescent="0.25">
      <c r="A33587" s="2" t="str">
        <f t="shared" si="1186"/>
        <v>99999</v>
      </c>
      <c r="B33587" s="2" t="str">
        <f>"60921"</f>
        <v>60921</v>
      </c>
      <c r="C33587" s="1">
        <v>3.2741447988354498E-7</v>
      </c>
      <c r="D33587" s="1">
        <v>0</v>
      </c>
      <c r="E33587" s="1">
        <v>0</v>
      </c>
      <c r="F33587" s="1">
        <v>2.9845540374897701E-7</v>
      </c>
    </row>
    <row r="33588" spans="1:6" x14ac:dyDescent="0.25">
      <c r="A33588" s="2" t="str">
        <f t="shared" si="1186"/>
        <v>99999</v>
      </c>
      <c r="B33588" s="2" t="str">
        <f>"18823"</f>
        <v>18823</v>
      </c>
      <c r="C33588" s="1">
        <v>1.0804677836156901E-5</v>
      </c>
      <c r="D33588" s="1">
        <v>6.0704106936354696E-6</v>
      </c>
      <c r="E33588" s="1">
        <v>1.7382159820268399E-5</v>
      </c>
      <c r="F33588" s="1">
        <v>1.0644909400380201E-5</v>
      </c>
    </row>
    <row r="33589" spans="1:6" x14ac:dyDescent="0.25">
      <c r="A33589" s="2" t="str">
        <f t="shared" si="1186"/>
        <v>99999</v>
      </c>
      <c r="B33589" s="2" t="str">
        <f>"18818"</f>
        <v>18818</v>
      </c>
      <c r="C33589" s="1">
        <v>6.8975317095466796E-5</v>
      </c>
      <c r="D33589" s="1">
        <v>3.4904861488403899E-5</v>
      </c>
      <c r="E33589" s="1">
        <v>4.3455399550671103E-5</v>
      </c>
      <c r="F33589" s="1">
        <v>6.6157614497690102E-5</v>
      </c>
    </row>
    <row r="33590" spans="1:6" x14ac:dyDescent="0.25">
      <c r="A33590" s="2" t="str">
        <f t="shared" si="1186"/>
        <v>99999</v>
      </c>
      <c r="B33590" s="2" t="str">
        <f>"18441"</f>
        <v>18441</v>
      </c>
      <c r="C33590" s="1">
        <v>1.2114335755691101E-5</v>
      </c>
      <c r="D33590" s="1">
        <v>6.0704106936354696E-6</v>
      </c>
      <c r="E33590" s="1">
        <v>1.3036619865201299E-5</v>
      </c>
      <c r="F33590" s="1">
        <v>1.17392458807931E-5</v>
      </c>
    </row>
    <row r="33591" spans="1:6" x14ac:dyDescent="0.25">
      <c r="A33591" s="2" t="str">
        <f t="shared" si="1186"/>
        <v>99999</v>
      </c>
      <c r="B33591" s="2" t="str">
        <f>"18470"</f>
        <v>18470</v>
      </c>
      <c r="C33591" s="1">
        <v>1.35440456511826E-4</v>
      </c>
      <c r="D33591" s="1">
        <v>3.7940066835221703E-5</v>
      </c>
      <c r="E33591" s="1">
        <v>2.60732397304027E-5</v>
      </c>
      <c r="F33591" s="1">
        <v>1.2654509118956601E-4</v>
      </c>
    </row>
    <row r="33592" spans="1:6" x14ac:dyDescent="0.25">
      <c r="A33592" s="2" t="str">
        <f t="shared" si="1186"/>
        <v>99999</v>
      </c>
      <c r="B33592" s="2" t="str">
        <f>"18463"</f>
        <v>18463</v>
      </c>
      <c r="C33592" s="1">
        <v>6.7665659175932598E-6</v>
      </c>
      <c r="D33592" s="1">
        <v>4.5528080202265997E-6</v>
      </c>
      <c r="E33592" s="1">
        <v>8.69107991013423E-6</v>
      </c>
      <c r="F33592" s="1">
        <v>6.6655040170604998E-6</v>
      </c>
    </row>
    <row r="33593" spans="1:6" x14ac:dyDescent="0.25">
      <c r="A33593" s="2" t="str">
        <f t="shared" si="1186"/>
        <v>99999</v>
      </c>
      <c r="B33593" s="2" t="str">
        <f>"16695"</f>
        <v>16695</v>
      </c>
      <c r="C33593" s="1">
        <v>3.7216112546762902E-5</v>
      </c>
      <c r="D33593" s="1">
        <v>3.1869656141586203E-5</v>
      </c>
      <c r="E33593" s="1">
        <v>0</v>
      </c>
      <c r="F33593" s="1">
        <v>3.60136187190433E-5</v>
      </c>
    </row>
    <row r="33594" spans="1:6" x14ac:dyDescent="0.25">
      <c r="A33594" s="2" t="str">
        <f t="shared" si="1186"/>
        <v>99999</v>
      </c>
      <c r="B33594" s="2" t="str">
        <f>"16933"</f>
        <v>16933</v>
      </c>
      <c r="C33594" s="1">
        <v>3.3636380900036199E-4</v>
      </c>
      <c r="D33594" s="1">
        <v>5.5392497579423699E-4</v>
      </c>
      <c r="E33594" s="1">
        <v>7.0832301267594001E-4</v>
      </c>
      <c r="F33594" s="1">
        <v>3.5914133584460299E-4</v>
      </c>
    </row>
    <row r="33595" spans="1:6" x14ac:dyDescent="0.25">
      <c r="A33595" s="2" t="str">
        <f t="shared" si="1186"/>
        <v>99999</v>
      </c>
      <c r="B33595" s="2" t="str">
        <f>"16232"</f>
        <v>16232</v>
      </c>
      <c r="C33595" s="1">
        <v>1.94484201050825E-4</v>
      </c>
      <c r="D33595" s="1">
        <v>8.65033523843055E-5</v>
      </c>
      <c r="E33595" s="1">
        <v>1.6078497833748299E-4</v>
      </c>
      <c r="F33595" s="1">
        <v>1.8663411247769399E-4</v>
      </c>
    </row>
    <row r="33596" spans="1:6" x14ac:dyDescent="0.25">
      <c r="A33596" s="2" t="str">
        <f t="shared" si="1186"/>
        <v>99999</v>
      </c>
      <c r="B33596" s="2" t="str">
        <f>"16364"</f>
        <v>16364</v>
      </c>
      <c r="C33596" s="1">
        <v>1.30965791953418E-5</v>
      </c>
      <c r="D33596" s="1">
        <v>4.5528080202265997E-6</v>
      </c>
      <c r="E33596" s="1">
        <v>8.69107991013423E-6</v>
      </c>
      <c r="F33596" s="1">
        <v>1.2435641822873999E-5</v>
      </c>
    </row>
    <row r="33597" spans="1:6" x14ac:dyDescent="0.25">
      <c r="A33597" s="2" t="str">
        <f t="shared" si="1186"/>
        <v>99999</v>
      </c>
      <c r="B33597" s="2" t="str">
        <f>"15834"</f>
        <v>15834</v>
      </c>
      <c r="C33597" s="1">
        <v>2.6749763006485598E-4</v>
      </c>
      <c r="D33597" s="1">
        <v>3.2476697210949797E-4</v>
      </c>
      <c r="E33597" s="1">
        <v>5.3884695442832202E-4</v>
      </c>
      <c r="F33597" s="1">
        <v>2.7746404035196602E-4</v>
      </c>
    </row>
    <row r="33598" spans="1:6" x14ac:dyDescent="0.25">
      <c r="A33598" s="2" t="str">
        <f t="shared" si="1186"/>
        <v>99999</v>
      </c>
      <c r="B33598" s="2" t="str">
        <f>"15824"</f>
        <v>15824</v>
      </c>
      <c r="C33598" s="1">
        <v>2.5636553774881498E-4</v>
      </c>
      <c r="D33598" s="1">
        <v>2.88344507947685E-4</v>
      </c>
      <c r="E33598" s="1">
        <v>3.17224416719899E-4</v>
      </c>
      <c r="F33598" s="1">
        <v>2.5985517153077599E-4</v>
      </c>
    </row>
    <row r="33599" spans="1:6" x14ac:dyDescent="0.25">
      <c r="A33599" s="2" t="str">
        <f t="shared" si="1186"/>
        <v>99999</v>
      </c>
      <c r="B33599" s="2" t="str">
        <f>"15730"</f>
        <v>15730</v>
      </c>
      <c r="C33599" s="1">
        <v>7.4213948773603504E-6</v>
      </c>
      <c r="D33599" s="1">
        <v>9.1056160404532095E-6</v>
      </c>
      <c r="E33599" s="1">
        <v>0</v>
      </c>
      <c r="F33599" s="1">
        <v>7.3618999591414504E-6</v>
      </c>
    </row>
    <row r="33600" spans="1:6" x14ac:dyDescent="0.25">
      <c r="A33600" s="2" t="str">
        <f t="shared" si="1186"/>
        <v>99999</v>
      </c>
      <c r="B33600" s="2" t="str">
        <f>"15861"</f>
        <v>15861</v>
      </c>
      <c r="C33600" s="1">
        <v>9.1676054367392598E-6</v>
      </c>
      <c r="D33600" s="1">
        <v>4.5528080202265997E-6</v>
      </c>
      <c r="E33600" s="1">
        <v>1.3036619865201299E-5</v>
      </c>
      <c r="F33600" s="1">
        <v>8.9536621124693292E-6</v>
      </c>
    </row>
    <row r="33601" spans="1:6" x14ac:dyDescent="0.25">
      <c r="A33601" s="2" t="str">
        <f t="shared" si="1186"/>
        <v>99999</v>
      </c>
      <c r="B33601" s="2" t="str">
        <f>"15865"</f>
        <v>15865</v>
      </c>
      <c r="C33601" s="1">
        <v>7.51961922132542E-5</v>
      </c>
      <c r="D33601" s="1">
        <v>8.3468147037487798E-5</v>
      </c>
      <c r="E33601" s="1">
        <v>1.0429295892161E-4</v>
      </c>
      <c r="F33601" s="1">
        <v>7.6404583359738305E-5</v>
      </c>
    </row>
    <row r="33602" spans="1:6" x14ac:dyDescent="0.25">
      <c r="A33602" s="2" t="str">
        <f t="shared" si="1186"/>
        <v>99999</v>
      </c>
      <c r="B33602" s="2" t="str">
        <f>"15554"</f>
        <v>15554</v>
      </c>
      <c r="C33602" s="1">
        <v>1.2943785771396099E-4</v>
      </c>
      <c r="D33602" s="1">
        <v>5.6151298916128101E-5</v>
      </c>
      <c r="E33602" s="1">
        <v>6.5183099326006705E-5</v>
      </c>
      <c r="F33602" s="1">
        <v>1.2316259661374399E-4</v>
      </c>
    </row>
    <row r="33603" spans="1:6" x14ac:dyDescent="0.25">
      <c r="A33603" s="2" t="str">
        <f t="shared" si="1186"/>
        <v>99999</v>
      </c>
      <c r="B33603" s="2" t="str">
        <f>"15521"</f>
        <v>15521</v>
      </c>
      <c r="C33603" s="1">
        <v>9.3094850446888002E-5</v>
      </c>
      <c r="D33603" s="1">
        <v>6.8292120303399095E-5</v>
      </c>
      <c r="E33603" s="1">
        <v>8.69107991013423E-6</v>
      </c>
      <c r="F33603" s="1">
        <v>8.9536621124693296E-5</v>
      </c>
    </row>
    <row r="33604" spans="1:6" x14ac:dyDescent="0.25">
      <c r="A33604" s="2" t="str">
        <f t="shared" si="1186"/>
        <v>99999</v>
      </c>
      <c r="B33604" s="2" t="str">
        <f>"15352"</f>
        <v>15352</v>
      </c>
      <c r="C33604" s="1">
        <v>5.1840625981561303E-5</v>
      </c>
      <c r="D33604" s="1">
        <v>1.9728834754315301E-5</v>
      </c>
      <c r="E33604" s="1">
        <v>4.3455399550671099E-6</v>
      </c>
      <c r="F33604" s="1">
        <v>4.86482308110834E-5</v>
      </c>
    </row>
    <row r="33605" spans="1:6" x14ac:dyDescent="0.25">
      <c r="A33605" s="2" t="str">
        <f t="shared" si="1186"/>
        <v>99999</v>
      </c>
      <c r="B33605" s="2" t="str">
        <f>"15349"</f>
        <v>15349</v>
      </c>
      <c r="C33605" s="1">
        <v>7.4213948773603494E-5</v>
      </c>
      <c r="D33605" s="1">
        <v>5.15984908959015E-5</v>
      </c>
      <c r="E33605" s="1">
        <v>1.7382159820268399E-5</v>
      </c>
      <c r="F33605" s="1">
        <v>7.1430326630588705E-5</v>
      </c>
    </row>
    <row r="33606" spans="1:6" x14ac:dyDescent="0.25">
      <c r="A33606" s="2" t="str">
        <f t="shared" si="1186"/>
        <v>99999</v>
      </c>
      <c r="B33606" s="2" t="str">
        <f>"14884"</f>
        <v>14884</v>
      </c>
      <c r="C33606" s="1">
        <v>1.82260727135173E-5</v>
      </c>
      <c r="D33606" s="1">
        <v>0</v>
      </c>
      <c r="E33606" s="1">
        <v>4.3455399550671099E-6</v>
      </c>
      <c r="F33606" s="1">
        <v>1.67135026099427E-5</v>
      </c>
    </row>
    <row r="33607" spans="1:6" x14ac:dyDescent="0.25">
      <c r="A33607" s="2" t="str">
        <f t="shared" si="1186"/>
        <v>99999</v>
      </c>
      <c r="B33607" s="2" t="str">
        <f>"14867"</f>
        <v>14867</v>
      </c>
      <c r="C33607" s="1">
        <v>3.2741447988354498E-7</v>
      </c>
      <c r="D33607" s="1">
        <v>0</v>
      </c>
      <c r="E33607" s="1">
        <v>0</v>
      </c>
      <c r="F33607" s="1">
        <v>2.9845540374897701E-7</v>
      </c>
    </row>
    <row r="33608" spans="1:6" x14ac:dyDescent="0.25">
      <c r="A33608" s="2" t="str">
        <f t="shared" si="1186"/>
        <v>99999</v>
      </c>
      <c r="B33608" s="2" t="str">
        <f>"14863"</f>
        <v>14863</v>
      </c>
      <c r="C33608" s="1">
        <v>0</v>
      </c>
      <c r="D33608" s="1">
        <v>0</v>
      </c>
      <c r="E33608" s="1">
        <v>4.3455399550671099E-6</v>
      </c>
      <c r="F33608" s="1">
        <v>9.9485134582992598E-8</v>
      </c>
    </row>
    <row r="33609" spans="1:6" x14ac:dyDescent="0.25">
      <c r="A33609" s="2" t="str">
        <f t="shared" si="1186"/>
        <v>99999</v>
      </c>
      <c r="B33609" s="2" t="str">
        <f>"14840"</f>
        <v>14840</v>
      </c>
      <c r="C33609" s="1">
        <v>4.5838027183696299E-6</v>
      </c>
      <c r="D33609" s="1">
        <v>0</v>
      </c>
      <c r="E33609" s="1">
        <v>8.69107991013423E-6</v>
      </c>
      <c r="F33609" s="1">
        <v>4.3773459216516703E-6</v>
      </c>
    </row>
    <row r="33610" spans="1:6" x14ac:dyDescent="0.25">
      <c r="A33610" s="2" t="str">
        <f t="shared" si="1186"/>
        <v>99999</v>
      </c>
      <c r="B33610" s="2" t="str">
        <f>"14714"</f>
        <v>14714</v>
      </c>
      <c r="C33610" s="1">
        <v>2.2045908312158699E-5</v>
      </c>
      <c r="D33610" s="1">
        <v>7.5880133670443404E-6</v>
      </c>
      <c r="E33610" s="1">
        <v>1.3036619865201299E-5</v>
      </c>
      <c r="F33610" s="1">
        <v>2.08918782624284E-5</v>
      </c>
    </row>
    <row r="33611" spans="1:6" x14ac:dyDescent="0.25">
      <c r="A33611" s="2" t="str">
        <f t="shared" si="1186"/>
        <v>99999</v>
      </c>
      <c r="B33611" s="2" t="str">
        <f>"14709"</f>
        <v>14709</v>
      </c>
      <c r="C33611" s="1">
        <v>7.8797751491973194E-5</v>
      </c>
      <c r="D33611" s="1">
        <v>3.9457669508630602E-5</v>
      </c>
      <c r="E33611" s="1">
        <v>3.47643196405369E-5</v>
      </c>
      <c r="F33611" s="1">
        <v>7.5210761744742404E-5</v>
      </c>
    </row>
    <row r="33612" spans="1:6" x14ac:dyDescent="0.25">
      <c r="A33612" s="2" t="str">
        <f t="shared" si="1186"/>
        <v>99999</v>
      </c>
      <c r="B33612" s="2" t="str">
        <f>"14822"</f>
        <v>14822</v>
      </c>
      <c r="C33612" s="1">
        <v>4.3982678464356202E-5</v>
      </c>
      <c r="D33612" s="1">
        <v>1.8211232080906399E-5</v>
      </c>
      <c r="E33612" s="1">
        <v>8.69107991013423E-6</v>
      </c>
      <c r="F33612" s="1">
        <v>4.14853011211079E-5</v>
      </c>
    </row>
    <row r="33613" spans="1:6" x14ac:dyDescent="0.25">
      <c r="A33613" s="2" t="str">
        <f t="shared" si="1186"/>
        <v>99999</v>
      </c>
      <c r="B33613" s="2" t="str">
        <f>"14813"</f>
        <v>14813</v>
      </c>
      <c r="C33613" s="1">
        <v>1.28892166914155E-4</v>
      </c>
      <c r="D33613" s="1">
        <v>2.09429168930423E-4</v>
      </c>
      <c r="E33613" s="1">
        <v>2.7376901716922799E-4</v>
      </c>
      <c r="F33613" s="1">
        <v>1.3748845599369499E-4</v>
      </c>
    </row>
    <row r="33614" spans="1:6" x14ac:dyDescent="0.25">
      <c r="A33614" s="2" t="str">
        <f t="shared" si="1186"/>
        <v>99999</v>
      </c>
      <c r="B33614" s="2" t="str">
        <f>"14805"</f>
        <v>14805</v>
      </c>
      <c r="C33614" s="1">
        <v>5.7297533979620399E-5</v>
      </c>
      <c r="D33614" s="1">
        <v>1.3658424060679801E-5</v>
      </c>
      <c r="E33614" s="1">
        <v>3.9109859595604001E-5</v>
      </c>
      <c r="F33614" s="1">
        <v>5.4020428078565001E-5</v>
      </c>
    </row>
    <row r="33615" spans="1:6" x14ac:dyDescent="0.25">
      <c r="A33615" s="2" t="str">
        <f t="shared" si="1186"/>
        <v>99999</v>
      </c>
      <c r="B33615" s="2" t="str">
        <f>"14437"</f>
        <v>14437</v>
      </c>
      <c r="C33615" s="1">
        <v>1.3096579195341799E-6</v>
      </c>
      <c r="D33615" s="1">
        <v>4.5528080202265997E-6</v>
      </c>
      <c r="E33615" s="1">
        <v>0</v>
      </c>
      <c r="F33615" s="1">
        <v>1.4922770187448801E-6</v>
      </c>
    </row>
    <row r="33616" spans="1:6" x14ac:dyDescent="0.25">
      <c r="A33616" s="2" t="str">
        <f t="shared" si="1186"/>
        <v>99999</v>
      </c>
      <c r="B33616" s="2" t="str">
        <f>"14030"</f>
        <v>14030</v>
      </c>
      <c r="C33616" s="1">
        <v>1.7462105593789001E-6</v>
      </c>
      <c r="D33616" s="1">
        <v>0</v>
      </c>
      <c r="E33616" s="1">
        <v>8.69107991013423E-6</v>
      </c>
      <c r="F33616" s="1">
        <v>1.79073242249386E-6</v>
      </c>
    </row>
    <row r="33617" spans="1:6" x14ac:dyDescent="0.25">
      <c r="A33617" s="2" t="str">
        <f t="shared" si="1186"/>
        <v>99999</v>
      </c>
      <c r="B33617" s="2" t="str">
        <f>"13620"</f>
        <v>13620</v>
      </c>
      <c r="C33617" s="1">
        <v>8.7528804288867704E-5</v>
      </c>
      <c r="D33617" s="1">
        <v>2.1246437427724101E-5</v>
      </c>
      <c r="E33617" s="1">
        <v>1.6078497833748299E-4</v>
      </c>
      <c r="F33617" s="1">
        <v>8.4860819799292698E-5</v>
      </c>
    </row>
    <row r="33618" spans="1:6" x14ac:dyDescent="0.25">
      <c r="A33618" s="2" t="str">
        <f t="shared" ref="A33618:A33681" si="1187">"99999"</f>
        <v>99999</v>
      </c>
      <c r="B33618" s="2" t="str">
        <f>"13750"</f>
        <v>13750</v>
      </c>
      <c r="C33618" s="1">
        <v>5.0530968062027098E-5</v>
      </c>
      <c r="D33618" s="1">
        <v>7.5880133670443404E-6</v>
      </c>
      <c r="E33618" s="1">
        <v>1.7382159820268399E-5</v>
      </c>
      <c r="F33618" s="1">
        <v>4.69569835231725E-5</v>
      </c>
    </row>
    <row r="33619" spans="1:6" x14ac:dyDescent="0.25">
      <c r="A33619" s="2" t="str">
        <f t="shared" si="1187"/>
        <v>99999</v>
      </c>
      <c r="B33619" s="2" t="str">
        <f>"13739"</f>
        <v>13739</v>
      </c>
      <c r="C33619" s="1">
        <v>5.4459941820629598E-5</v>
      </c>
      <c r="D33619" s="1">
        <v>6.0704106936354696E-6</v>
      </c>
      <c r="E33619" s="1">
        <v>2.60732397304027E-5</v>
      </c>
      <c r="F33619" s="1">
        <v>5.0637933502743201E-5</v>
      </c>
    </row>
    <row r="33620" spans="1:6" x14ac:dyDescent="0.25">
      <c r="A33620" s="2" t="str">
        <f t="shared" si="1187"/>
        <v>99999</v>
      </c>
      <c r="B33620" s="2" t="str">
        <f>"13806"</f>
        <v>13806</v>
      </c>
      <c r="C33620" s="1">
        <v>3.8198355986413598E-6</v>
      </c>
      <c r="D33620" s="1">
        <v>0</v>
      </c>
      <c r="E33620" s="1">
        <v>4.3455399550671099E-6</v>
      </c>
      <c r="F33620" s="1">
        <v>3.5814648449877301E-6</v>
      </c>
    </row>
    <row r="33621" spans="1:6" x14ac:dyDescent="0.25">
      <c r="A33621" s="2" t="str">
        <f t="shared" si="1187"/>
        <v>99999</v>
      </c>
      <c r="B33621" s="2" t="str">
        <f>"13813"</f>
        <v>13813</v>
      </c>
      <c r="C33621" s="1">
        <v>7.2031185574379897E-6</v>
      </c>
      <c r="D33621" s="1">
        <v>1.51760267340886E-6</v>
      </c>
      <c r="E33621" s="1">
        <v>0</v>
      </c>
      <c r="F33621" s="1">
        <v>6.6655040170604998E-6</v>
      </c>
    </row>
    <row r="33622" spans="1:6" x14ac:dyDescent="0.25">
      <c r="A33622" s="2" t="str">
        <f t="shared" si="1187"/>
        <v>99999</v>
      </c>
      <c r="B33622" s="2" t="str">
        <f>"13825"</f>
        <v>13825</v>
      </c>
      <c r="C33622" s="1">
        <v>3.8198355986413598E-6</v>
      </c>
      <c r="D33622" s="1">
        <v>0</v>
      </c>
      <c r="E33622" s="1">
        <v>0</v>
      </c>
      <c r="F33622" s="1">
        <v>3.48197971040474E-6</v>
      </c>
    </row>
    <row r="33623" spans="1:6" x14ac:dyDescent="0.25">
      <c r="A33623" s="2" t="str">
        <f t="shared" si="1187"/>
        <v>99999</v>
      </c>
      <c r="B33623" s="2" t="str">
        <f>"13846"</f>
        <v>13846</v>
      </c>
      <c r="C33623" s="1">
        <v>1.6916414793983099E-5</v>
      </c>
      <c r="D33623" s="1">
        <v>4.5528080202265997E-6</v>
      </c>
      <c r="E33623" s="1">
        <v>4.3455399550671099E-6</v>
      </c>
      <c r="F33623" s="1">
        <v>1.5818136398695801E-5</v>
      </c>
    </row>
    <row r="33624" spans="1:6" x14ac:dyDescent="0.25">
      <c r="A33624" s="2" t="str">
        <f t="shared" si="1187"/>
        <v>99999</v>
      </c>
      <c r="B33624" s="2" t="str">
        <f>"13843"</f>
        <v>13843</v>
      </c>
      <c r="C33624" s="1">
        <v>4.9985277262221202E-5</v>
      </c>
      <c r="D33624" s="1">
        <v>1.21408213872709E-5</v>
      </c>
      <c r="E33624" s="1">
        <v>3.9109859595604001E-5</v>
      </c>
      <c r="F33624" s="1">
        <v>4.7255438926921502E-5</v>
      </c>
    </row>
    <row r="33625" spans="1:6" x14ac:dyDescent="0.25">
      <c r="A33625" s="2" t="str">
        <f t="shared" si="1187"/>
        <v>99999</v>
      </c>
      <c r="B33625" s="2" t="str">
        <f>"13832"</f>
        <v>13832</v>
      </c>
      <c r="C33625" s="1">
        <v>1.87717635133232E-5</v>
      </c>
      <c r="D33625" s="1">
        <v>0</v>
      </c>
      <c r="E33625" s="1">
        <v>4.3455399550671099E-6</v>
      </c>
      <c r="F33625" s="1">
        <v>1.7210928282857699E-5</v>
      </c>
    </row>
    <row r="33626" spans="1:6" x14ac:dyDescent="0.25">
      <c r="A33626" s="2" t="str">
        <f t="shared" si="1187"/>
        <v>99999</v>
      </c>
      <c r="B33626" s="2" t="str">
        <f>"13815"</f>
        <v>13815</v>
      </c>
      <c r="C33626" s="1">
        <v>6.94118697353115E-4</v>
      </c>
      <c r="D33626" s="1">
        <v>9.1207920671873002E-4</v>
      </c>
      <c r="E33626" s="1">
        <v>1.6817239626109701E-3</v>
      </c>
      <c r="F33626" s="1">
        <v>7.3101676891582903E-4</v>
      </c>
    </row>
    <row r="33627" spans="1:6" x14ac:dyDescent="0.25">
      <c r="A33627" s="2" t="str">
        <f t="shared" si="1187"/>
        <v>99999</v>
      </c>
      <c r="B33627" s="2" t="str">
        <f>"13436"</f>
        <v>13436</v>
      </c>
      <c r="C33627" s="1">
        <v>1.54976187144878E-5</v>
      </c>
      <c r="D33627" s="1">
        <v>5.0080888222492601E-5</v>
      </c>
      <c r="E33627" s="1">
        <v>4.3455399550671099E-6</v>
      </c>
      <c r="F33627" s="1">
        <v>1.7509383686606702E-5</v>
      </c>
    </row>
    <row r="33628" spans="1:6" x14ac:dyDescent="0.25">
      <c r="A33628" s="2" t="str">
        <f t="shared" si="1187"/>
        <v>99999</v>
      </c>
      <c r="B33628" s="2" t="str">
        <f>"13485"</f>
        <v>13485</v>
      </c>
      <c r="C33628" s="1">
        <v>5.5660461580202599E-6</v>
      </c>
      <c r="D33628" s="1">
        <v>1.51760267340886E-6</v>
      </c>
      <c r="E33628" s="1">
        <v>0</v>
      </c>
      <c r="F33628" s="1">
        <v>5.1732269983156102E-6</v>
      </c>
    </row>
    <row r="33629" spans="1:6" x14ac:dyDescent="0.25">
      <c r="A33629" s="2" t="str">
        <f t="shared" si="1187"/>
        <v>99999</v>
      </c>
      <c r="B33629" s="2" t="str">
        <f>"13433"</f>
        <v>13433</v>
      </c>
      <c r="C33629" s="1">
        <v>5.6533566859892097E-5</v>
      </c>
      <c r="D33629" s="1">
        <v>1.66936294074975E-5</v>
      </c>
      <c r="E33629" s="1">
        <v>1.3036619865201299E-5</v>
      </c>
      <c r="F33629" s="1">
        <v>5.2926091598151997E-5</v>
      </c>
    </row>
    <row r="33630" spans="1:6" x14ac:dyDescent="0.25">
      <c r="A33630" s="2" t="str">
        <f t="shared" si="1187"/>
        <v>99999</v>
      </c>
      <c r="B33630" s="2" t="str">
        <f>"13367"</f>
        <v>13367</v>
      </c>
      <c r="C33630" s="1">
        <v>4.0490257345598399E-4</v>
      </c>
      <c r="D33630" s="1">
        <v>4.8259765014401997E-4</v>
      </c>
      <c r="E33630" s="1">
        <v>7.7785165195701298E-4</v>
      </c>
      <c r="F33630" s="1">
        <v>4.1853396119064998E-4</v>
      </c>
    </row>
    <row r="33631" spans="1:6" x14ac:dyDescent="0.25">
      <c r="A33631" s="2" t="str">
        <f t="shared" si="1187"/>
        <v>99999</v>
      </c>
      <c r="B33631" s="2" t="str">
        <f>"13072"</f>
        <v>13072</v>
      </c>
      <c r="C33631" s="1">
        <v>1.3751408155108801E-5</v>
      </c>
      <c r="D33631" s="1">
        <v>0</v>
      </c>
      <c r="E33631" s="1">
        <v>4.3455399550671099E-6</v>
      </c>
      <c r="F33631" s="1">
        <v>1.263461209204E-5</v>
      </c>
    </row>
    <row r="33632" spans="1:6" x14ac:dyDescent="0.25">
      <c r="A33632" s="2" t="str">
        <f t="shared" si="1187"/>
        <v>99999</v>
      </c>
      <c r="B33632" s="2" t="str">
        <f>"13325"</f>
        <v>13325</v>
      </c>
      <c r="C33632" s="1">
        <v>3.7543527026646502E-5</v>
      </c>
      <c r="D33632" s="1">
        <v>2.1246437427724101E-5</v>
      </c>
      <c r="E33632" s="1">
        <v>2.1727699775335501E-5</v>
      </c>
      <c r="F33632" s="1">
        <v>3.6113103853626299E-5</v>
      </c>
    </row>
    <row r="33633" spans="1:6" x14ac:dyDescent="0.25">
      <c r="A33633" s="2" t="str">
        <f t="shared" si="1187"/>
        <v>99999</v>
      </c>
      <c r="B33633" s="2" t="str">
        <f>"13309"</f>
        <v>13309</v>
      </c>
      <c r="C33633" s="1">
        <v>4.7693375903036399E-5</v>
      </c>
      <c r="D33633" s="1">
        <v>1.8211232080906399E-5</v>
      </c>
      <c r="E33633" s="1">
        <v>0</v>
      </c>
      <c r="F33633" s="1">
        <v>4.4668825427763602E-5</v>
      </c>
    </row>
    <row r="33634" spans="1:6" x14ac:dyDescent="0.25">
      <c r="A33634" s="2" t="str">
        <f t="shared" si="1187"/>
        <v>99999</v>
      </c>
      <c r="B33634" s="2" t="str">
        <f>"13124"</f>
        <v>13124</v>
      </c>
      <c r="C33634" s="1">
        <v>4.5838027183696299E-6</v>
      </c>
      <c r="D33634" s="1">
        <v>0</v>
      </c>
      <c r="E33634" s="1">
        <v>4.3455399550671099E-6</v>
      </c>
      <c r="F33634" s="1">
        <v>4.2778607870686803E-6</v>
      </c>
    </row>
    <row r="33635" spans="1:6" x14ac:dyDescent="0.25">
      <c r="A33635" s="2" t="str">
        <f t="shared" si="1187"/>
        <v>99999</v>
      </c>
      <c r="B33635" s="2" t="str">
        <f>"12912"</f>
        <v>12912</v>
      </c>
      <c r="C33635" s="1">
        <v>3.2959724308276802E-5</v>
      </c>
      <c r="D33635" s="1">
        <v>0</v>
      </c>
      <c r="E33635" s="1">
        <v>2.1727699775335501E-5</v>
      </c>
      <c r="F33635" s="1">
        <v>3.0541936316978701E-5</v>
      </c>
    </row>
    <row r="33636" spans="1:6" x14ac:dyDescent="0.25">
      <c r="A33636" s="2" t="str">
        <f t="shared" si="1187"/>
        <v>99999</v>
      </c>
      <c r="B33636" s="2" t="str">
        <f>"12946"</f>
        <v>12946</v>
      </c>
      <c r="C33636" s="1">
        <v>5.3237594429064402E-4</v>
      </c>
      <c r="D33636" s="1">
        <v>9.6823050563485803E-4</v>
      </c>
      <c r="E33636" s="1">
        <v>2.17711551748862E-3</v>
      </c>
      <c r="F33636" s="1">
        <v>5.98602054785866E-4</v>
      </c>
    </row>
    <row r="33637" spans="1:6" x14ac:dyDescent="0.25">
      <c r="A33637" s="2" t="str">
        <f t="shared" si="1187"/>
        <v>99999</v>
      </c>
      <c r="B33637" s="2" t="str">
        <f>"12944"</f>
        <v>12944</v>
      </c>
      <c r="C33637" s="1">
        <v>1.2703681819481501E-4</v>
      </c>
      <c r="D33637" s="1">
        <v>9.2573763077941E-5</v>
      </c>
      <c r="E33637" s="1">
        <v>1.2602065869694599E-4</v>
      </c>
      <c r="F33637" s="1">
        <v>1.2475435876707199E-4</v>
      </c>
    </row>
    <row r="33638" spans="1:6" x14ac:dyDescent="0.25">
      <c r="A33638" s="2" t="str">
        <f t="shared" si="1187"/>
        <v>99999</v>
      </c>
      <c r="B33638" s="2" t="str">
        <f>"12928"</f>
        <v>12928</v>
      </c>
      <c r="C33638" s="1">
        <v>9.23308833271597E-5</v>
      </c>
      <c r="D33638" s="1">
        <v>3.7940066835221703E-5</v>
      </c>
      <c r="E33638" s="1">
        <v>3.47643196405369E-5</v>
      </c>
      <c r="F33638" s="1">
        <v>8.7447433298450496E-5</v>
      </c>
    </row>
    <row r="33639" spans="1:6" x14ac:dyDescent="0.25">
      <c r="A33639" s="2" t="str">
        <f t="shared" si="1187"/>
        <v>99999</v>
      </c>
      <c r="B33639" s="2" t="str">
        <f>"12883"</f>
        <v>12883</v>
      </c>
      <c r="C33639" s="1">
        <v>2.6204072206679698E-4</v>
      </c>
      <c r="D33639" s="1">
        <v>2.9593252131472901E-4</v>
      </c>
      <c r="E33639" s="1">
        <v>6.3879437339486595E-4</v>
      </c>
      <c r="F33639" s="1">
        <v>2.7288772416114802E-4</v>
      </c>
    </row>
    <row r="33640" spans="1:6" x14ac:dyDescent="0.25">
      <c r="A33640" s="2" t="str">
        <f t="shared" si="1187"/>
        <v>99999</v>
      </c>
      <c r="B33640" s="2" t="str">
        <f>"12752"</f>
        <v>12752</v>
      </c>
      <c r="C33640" s="1">
        <v>1.5606756874448901E-5</v>
      </c>
      <c r="D33640" s="1">
        <v>4.5528080202265997E-6</v>
      </c>
      <c r="E33640" s="1">
        <v>3.0418779685469802E-5</v>
      </c>
      <c r="F33640" s="1">
        <v>1.52212255911978E-5</v>
      </c>
    </row>
    <row r="33641" spans="1:6" x14ac:dyDescent="0.25">
      <c r="A33641" s="2" t="str">
        <f t="shared" si="1187"/>
        <v>99999</v>
      </c>
      <c r="B33641" s="2" t="str">
        <f>"12765"</f>
        <v>12765</v>
      </c>
      <c r="C33641" s="1">
        <v>4.3873540304395E-5</v>
      </c>
      <c r="D33641" s="1">
        <v>2.1246437427724101E-5</v>
      </c>
      <c r="E33641" s="1">
        <v>1.3036619865201299E-5</v>
      </c>
      <c r="F33641" s="1">
        <v>4.1684271390273897E-5</v>
      </c>
    </row>
    <row r="33642" spans="1:6" x14ac:dyDescent="0.25">
      <c r="A33642" s="2" t="str">
        <f t="shared" si="1187"/>
        <v>99999</v>
      </c>
      <c r="B33642" s="2" t="str">
        <f>"12759"</f>
        <v>12759</v>
      </c>
      <c r="C33642" s="1">
        <v>7.2686014534147E-5</v>
      </c>
      <c r="D33642" s="1">
        <v>1.66936294074975E-5</v>
      </c>
      <c r="E33642" s="1">
        <v>7.3874179236140894E-5</v>
      </c>
      <c r="F33642" s="1">
        <v>6.9042683400596794E-5</v>
      </c>
    </row>
    <row r="33643" spans="1:6" x14ac:dyDescent="0.25">
      <c r="A33643" s="2" t="str">
        <f t="shared" si="1187"/>
        <v>99999</v>
      </c>
      <c r="B33643" s="2" t="str">
        <f>"12792"</f>
        <v>12792</v>
      </c>
      <c r="C33643" s="1">
        <v>5.4569079980590803E-6</v>
      </c>
      <c r="D33643" s="1">
        <v>3.0352053468177301E-6</v>
      </c>
      <c r="E33643" s="1">
        <v>4.3455399550671099E-6</v>
      </c>
      <c r="F33643" s="1">
        <v>5.2727121328986002E-6</v>
      </c>
    </row>
    <row r="33644" spans="1:6" x14ac:dyDescent="0.25">
      <c r="A33644" s="2" t="str">
        <f t="shared" si="1187"/>
        <v>99999</v>
      </c>
      <c r="B33644" s="2" t="str">
        <f>"12780"</f>
        <v>12780</v>
      </c>
      <c r="C33644" s="1">
        <v>3.1650066388742701E-6</v>
      </c>
      <c r="D33644" s="1">
        <v>3.0352053468177301E-6</v>
      </c>
      <c r="E33644" s="1">
        <v>0</v>
      </c>
      <c r="F33644" s="1">
        <v>3.0840391720727701E-6</v>
      </c>
    </row>
    <row r="33645" spans="1:6" x14ac:dyDescent="0.25">
      <c r="A33645" s="2" t="str">
        <f t="shared" si="1187"/>
        <v>99999</v>
      </c>
      <c r="B33645" s="2" t="str">
        <f>"12790"</f>
        <v>12790</v>
      </c>
      <c r="C33645" s="1">
        <v>2.8976181469693701E-4</v>
      </c>
      <c r="D33645" s="1">
        <v>6.9809722976807906E-5</v>
      </c>
      <c r="E33645" s="1">
        <v>1.08638498876677E-4</v>
      </c>
      <c r="F33645" s="1">
        <v>2.7119647687323699E-4</v>
      </c>
    </row>
    <row r="33646" spans="1:6" x14ac:dyDescent="0.25">
      <c r="A33646" s="2" t="str">
        <f t="shared" si="1187"/>
        <v>99999</v>
      </c>
      <c r="B33646" s="2" t="str">
        <f>"12779"</f>
        <v>12779</v>
      </c>
      <c r="C33646" s="1">
        <v>6.02442642985723E-5</v>
      </c>
      <c r="D33646" s="1">
        <v>3.3387258814995101E-5</v>
      </c>
      <c r="E33646" s="1">
        <v>9.1256339056409395E-5</v>
      </c>
      <c r="F33646" s="1">
        <v>5.9193655076880599E-5</v>
      </c>
    </row>
    <row r="33647" spans="1:6" x14ac:dyDescent="0.25">
      <c r="A33647" s="2" t="str">
        <f t="shared" si="1187"/>
        <v>99999</v>
      </c>
      <c r="B33647" s="2" t="str">
        <f>"12775"</f>
        <v>12775</v>
      </c>
      <c r="C33647" s="1">
        <v>1.3805977235089399E-4</v>
      </c>
      <c r="D33647" s="1">
        <v>4.7045682875674899E-5</v>
      </c>
      <c r="E33647" s="1">
        <v>3.0418779685469802E-5</v>
      </c>
      <c r="F33647" s="1">
        <v>1.2962913036163899E-4</v>
      </c>
    </row>
    <row r="33648" spans="1:6" x14ac:dyDescent="0.25">
      <c r="A33648" s="2" t="str">
        <f t="shared" si="1187"/>
        <v>99999</v>
      </c>
      <c r="B33648" s="2" t="str">
        <f>"12768"</f>
        <v>12768</v>
      </c>
      <c r="C33648" s="1">
        <v>7.7269817252516605E-5</v>
      </c>
      <c r="D33648" s="1">
        <v>3.3387258814995101E-5</v>
      </c>
      <c r="E33648" s="1">
        <v>5.21464794608054E-5</v>
      </c>
      <c r="F33648" s="1">
        <v>7.3817969860580506E-5</v>
      </c>
    </row>
    <row r="33649" spans="1:6" x14ac:dyDescent="0.25">
      <c r="A33649" s="2" t="str">
        <f t="shared" si="1187"/>
        <v>99999</v>
      </c>
      <c r="B33649" s="2" t="str">
        <f>"12764"</f>
        <v>12764</v>
      </c>
      <c r="C33649" s="1">
        <v>1.21143357556911E-4</v>
      </c>
      <c r="D33649" s="1">
        <v>5.7668901589537E-5</v>
      </c>
      <c r="E33649" s="1">
        <v>7.3874179236140894E-5</v>
      </c>
      <c r="F33649" s="1">
        <v>1.15900181789186E-4</v>
      </c>
    </row>
    <row r="33650" spans="1:6" x14ac:dyDescent="0.25">
      <c r="A33650" s="2" t="str">
        <f t="shared" si="1187"/>
        <v>99999</v>
      </c>
      <c r="B33650" s="2" t="str">
        <f>"12450"</f>
        <v>12450</v>
      </c>
      <c r="C33650" s="1">
        <v>8.9493291168169008E-6</v>
      </c>
      <c r="D33650" s="1">
        <v>0</v>
      </c>
      <c r="E33650" s="1">
        <v>1.3036619865201299E-5</v>
      </c>
      <c r="F33650" s="1">
        <v>8.4562364395543705E-6</v>
      </c>
    </row>
    <row r="33651" spans="1:6" x14ac:dyDescent="0.25">
      <c r="A33651" s="2" t="str">
        <f t="shared" si="1187"/>
        <v>99999</v>
      </c>
      <c r="B33651" s="2" t="str">
        <f>"12460"</f>
        <v>12460</v>
      </c>
      <c r="C33651" s="1">
        <v>1.06955396761958E-5</v>
      </c>
      <c r="D33651" s="1">
        <v>1.21408213872709E-5</v>
      </c>
      <c r="E33651" s="1">
        <v>4.3455399550671099E-6</v>
      </c>
      <c r="F33651" s="1">
        <v>1.0644909400380201E-5</v>
      </c>
    </row>
    <row r="33652" spans="1:6" x14ac:dyDescent="0.25">
      <c r="A33652" s="2" t="str">
        <f t="shared" si="1187"/>
        <v>99999</v>
      </c>
      <c r="B33652" s="2" t="str">
        <f>"12469"</f>
        <v>12469</v>
      </c>
      <c r="C33652" s="1">
        <v>3.8198355986413598E-6</v>
      </c>
      <c r="D33652" s="1">
        <v>0</v>
      </c>
      <c r="E33652" s="1">
        <v>0</v>
      </c>
      <c r="F33652" s="1">
        <v>3.48197971040474E-6</v>
      </c>
    </row>
    <row r="33653" spans="1:6" x14ac:dyDescent="0.25">
      <c r="A33653" s="2" t="str">
        <f t="shared" si="1187"/>
        <v>99999</v>
      </c>
      <c r="B33653" s="2" t="str">
        <f>"12436"</f>
        <v>12436</v>
      </c>
      <c r="C33653" s="1">
        <v>2.1500217512352799E-5</v>
      </c>
      <c r="D33653" s="1">
        <v>0</v>
      </c>
      <c r="E33653" s="1">
        <v>1.3036619865201299E-5</v>
      </c>
      <c r="F33653" s="1">
        <v>1.98970269165985E-5</v>
      </c>
    </row>
    <row r="33654" spans="1:6" x14ac:dyDescent="0.25">
      <c r="A33654" s="2" t="str">
        <f t="shared" si="1187"/>
        <v>99999</v>
      </c>
      <c r="B33654" s="2" t="str">
        <f>"12482"</f>
        <v>12482</v>
      </c>
      <c r="C33654" s="1">
        <v>3.9835428385831298E-5</v>
      </c>
      <c r="D33654" s="1">
        <v>1.3658424060679801E-5</v>
      </c>
      <c r="E33654" s="1">
        <v>6.0837559370939603E-5</v>
      </c>
      <c r="F33654" s="1">
        <v>3.8600232218201099E-5</v>
      </c>
    </row>
    <row r="33655" spans="1:6" x14ac:dyDescent="0.25">
      <c r="A33655" s="2" t="str">
        <f t="shared" si="1187"/>
        <v>99999</v>
      </c>
      <c r="B33655" s="2" t="str">
        <f>"12474"</f>
        <v>12474</v>
      </c>
      <c r="C33655" s="1">
        <v>6.3845823577291294E-5</v>
      </c>
      <c r="D33655" s="1">
        <v>3.0352053468177301E-5</v>
      </c>
      <c r="E33655" s="1">
        <v>2.60732397304027E-5</v>
      </c>
      <c r="F33655" s="1">
        <v>6.0785417230208501E-5</v>
      </c>
    </row>
    <row r="33656" spans="1:6" x14ac:dyDescent="0.25">
      <c r="A33656" s="2" t="str">
        <f t="shared" si="1187"/>
        <v>99999</v>
      </c>
      <c r="B33656" s="2" t="str">
        <f>"12120"</f>
        <v>12120</v>
      </c>
      <c r="C33656" s="1">
        <v>2.1827631992236301E-7</v>
      </c>
      <c r="D33656" s="1">
        <v>0</v>
      </c>
      <c r="E33656" s="1">
        <v>0</v>
      </c>
      <c r="F33656" s="1">
        <v>1.9897026916598501E-7</v>
      </c>
    </row>
    <row r="33657" spans="1:6" x14ac:dyDescent="0.25">
      <c r="A33657" s="2" t="str">
        <f t="shared" si="1187"/>
        <v>99999</v>
      </c>
      <c r="B33657" s="2" t="str">
        <f>"12083"</f>
        <v>12083</v>
      </c>
      <c r="C33657" s="1">
        <v>1.23435258916096E-4</v>
      </c>
      <c r="D33657" s="1">
        <v>4.8563285549083798E-5</v>
      </c>
      <c r="E33657" s="1">
        <v>1.56439438382416E-4</v>
      </c>
      <c r="F33657" s="1">
        <v>1.19282676365008E-4</v>
      </c>
    </row>
    <row r="33658" spans="1:6" x14ac:dyDescent="0.25">
      <c r="A33658" s="2" t="str">
        <f t="shared" si="1187"/>
        <v>99999</v>
      </c>
      <c r="B33658" s="2" t="str">
        <f>"12427"</f>
        <v>12427</v>
      </c>
      <c r="C33658" s="1">
        <v>1.2987441035380599E-5</v>
      </c>
      <c r="D33658" s="1">
        <v>6.0704106936354696E-6</v>
      </c>
      <c r="E33658" s="1">
        <v>4.3455399550671099E-6</v>
      </c>
      <c r="F33658" s="1">
        <v>1.2336156688290999E-5</v>
      </c>
    </row>
    <row r="33659" spans="1:6" x14ac:dyDescent="0.25">
      <c r="A33659" s="2" t="str">
        <f t="shared" si="1187"/>
        <v>99999</v>
      </c>
      <c r="B33659" s="2" t="str">
        <f>"12424"</f>
        <v>12424</v>
      </c>
      <c r="C33659" s="1">
        <v>2.2045908312158699E-5</v>
      </c>
      <c r="D33659" s="1">
        <v>6.0704106936354696E-6</v>
      </c>
      <c r="E33659" s="1">
        <v>3.0418779685469802E-5</v>
      </c>
      <c r="F33659" s="1">
        <v>2.1190333666177399E-5</v>
      </c>
    </row>
    <row r="33660" spans="1:6" x14ac:dyDescent="0.25">
      <c r="A33660" s="2" t="str">
        <f t="shared" si="1187"/>
        <v>99999</v>
      </c>
      <c r="B33660" s="2" t="str">
        <f>"12190"</f>
        <v>12190</v>
      </c>
      <c r="C33660" s="1">
        <v>1.8553487193400799E-5</v>
      </c>
      <c r="D33660" s="1">
        <v>4.5528080202265997E-6</v>
      </c>
      <c r="E33660" s="1">
        <v>4.3455399550671099E-6</v>
      </c>
      <c r="F33660" s="1">
        <v>1.7310413417440701E-5</v>
      </c>
    </row>
    <row r="33661" spans="1:6" x14ac:dyDescent="0.25">
      <c r="A33661" s="2" t="str">
        <f t="shared" si="1187"/>
        <v>99999</v>
      </c>
      <c r="B33661" s="2" t="str">
        <f>"89311"</f>
        <v>89311</v>
      </c>
      <c r="C33661" s="1">
        <v>5.7843224779426299E-6</v>
      </c>
      <c r="D33661" s="1">
        <v>6.0704106936354696E-6</v>
      </c>
      <c r="E33661" s="1">
        <v>0</v>
      </c>
      <c r="F33661" s="1">
        <v>5.6706526712305799E-6</v>
      </c>
    </row>
    <row r="33662" spans="1:6" x14ac:dyDescent="0.25">
      <c r="A33662" s="2" t="str">
        <f t="shared" si="1187"/>
        <v>99999</v>
      </c>
      <c r="B33662" s="2" t="str">
        <f>"89317"</f>
        <v>89317</v>
      </c>
      <c r="C33662" s="1">
        <v>0</v>
      </c>
      <c r="D33662" s="1">
        <v>1.51760267340886E-6</v>
      </c>
      <c r="E33662" s="1">
        <v>3.0418779685469798E-4</v>
      </c>
      <c r="F33662" s="1">
        <v>7.0634445553924701E-6</v>
      </c>
    </row>
    <row r="33663" spans="1:6" x14ac:dyDescent="0.25">
      <c r="A33663" s="2" t="str">
        <f t="shared" si="1187"/>
        <v>99999</v>
      </c>
      <c r="B33663" s="2" t="str">
        <f>"89427"</f>
        <v>89427</v>
      </c>
      <c r="C33663" s="1">
        <v>0</v>
      </c>
      <c r="D33663" s="1">
        <v>1.51760267340886E-6</v>
      </c>
      <c r="E33663" s="1">
        <v>4.3455399550671099E-6</v>
      </c>
      <c r="F33663" s="1">
        <v>1.9897026916598501E-7</v>
      </c>
    </row>
    <row r="33664" spans="1:6" x14ac:dyDescent="0.25">
      <c r="A33664" s="2" t="str">
        <f t="shared" si="1187"/>
        <v>99999</v>
      </c>
      <c r="B33664" s="2" t="str">
        <f>"89010"</f>
        <v>89010</v>
      </c>
      <c r="C33664" s="1">
        <v>1.4297098954914801E-5</v>
      </c>
      <c r="D33664" s="1">
        <v>2.7316848121359601E-5</v>
      </c>
      <c r="E33664" s="1">
        <v>8.69107991013423E-6</v>
      </c>
      <c r="F33664" s="1">
        <v>1.50222553220318E-5</v>
      </c>
    </row>
    <row r="33665" spans="1:6" x14ac:dyDescent="0.25">
      <c r="A33665" s="2" t="str">
        <f t="shared" si="1187"/>
        <v>99999</v>
      </c>
      <c r="B33665" s="2" t="str">
        <f>"89008"</f>
        <v>89008</v>
      </c>
      <c r="C33665" s="1">
        <v>4.1472500785249E-6</v>
      </c>
      <c r="D33665" s="1">
        <v>3.0352053468177301E-6</v>
      </c>
      <c r="E33665" s="1">
        <v>1.3905727856214701E-3</v>
      </c>
      <c r="F33665" s="1">
        <v>3.5814648449877303E-5</v>
      </c>
    </row>
    <row r="33666" spans="1:6" x14ac:dyDescent="0.25">
      <c r="A33666" s="2" t="str">
        <f t="shared" si="1187"/>
        <v>99999</v>
      </c>
      <c r="B33666" s="2" t="str">
        <f>"88411"</f>
        <v>88411</v>
      </c>
      <c r="C33666" s="1">
        <v>5.1294935181755401E-6</v>
      </c>
      <c r="D33666" s="1">
        <v>4.5528080202265997E-6</v>
      </c>
      <c r="E33666" s="1">
        <v>1.3036619865201299E-5</v>
      </c>
      <c r="F33666" s="1">
        <v>5.2727121328986002E-6</v>
      </c>
    </row>
    <row r="33667" spans="1:6" x14ac:dyDescent="0.25">
      <c r="A33667" s="2" t="str">
        <f t="shared" si="1187"/>
        <v>99999</v>
      </c>
      <c r="B33667" s="2" t="str">
        <f>"88410"</f>
        <v>88410</v>
      </c>
      <c r="C33667" s="1">
        <v>7.5305330373215401E-6</v>
      </c>
      <c r="D33667" s="1">
        <v>3.0352053468177301E-6</v>
      </c>
      <c r="E33667" s="1">
        <v>4.3455399550671099E-6</v>
      </c>
      <c r="F33667" s="1">
        <v>7.1629296899754602E-6</v>
      </c>
    </row>
    <row r="33668" spans="1:6" x14ac:dyDescent="0.25">
      <c r="A33668" s="2" t="str">
        <f t="shared" si="1187"/>
        <v>99999</v>
      </c>
      <c r="B33668" s="2" t="str">
        <f>"87728"</f>
        <v>87728</v>
      </c>
      <c r="C33668" s="1">
        <v>9.3858817566616205E-6</v>
      </c>
      <c r="D33668" s="1">
        <v>0</v>
      </c>
      <c r="E33668" s="1">
        <v>8.69107991013423E-6</v>
      </c>
      <c r="F33668" s="1">
        <v>8.7546918433033508E-6</v>
      </c>
    </row>
    <row r="33669" spans="1:6" x14ac:dyDescent="0.25">
      <c r="A33669" s="2" t="str">
        <f t="shared" si="1187"/>
        <v>99999</v>
      </c>
      <c r="B33669" s="2" t="str">
        <f>"87825"</f>
        <v>87825</v>
      </c>
      <c r="C33669" s="1">
        <v>1.17869212758076E-5</v>
      </c>
      <c r="D33669" s="1">
        <v>1.51760267340886E-6</v>
      </c>
      <c r="E33669" s="1">
        <v>8.69107991013423E-6</v>
      </c>
      <c r="F33669" s="1">
        <v>1.10428499387121E-5</v>
      </c>
    </row>
    <row r="33670" spans="1:6" x14ac:dyDescent="0.25">
      <c r="A33670" s="2" t="str">
        <f t="shared" si="1187"/>
        <v>99999</v>
      </c>
      <c r="B33670" s="2" t="str">
        <f>"87746"</f>
        <v>87746</v>
      </c>
      <c r="C33670" s="1">
        <v>3.7106974386801701E-6</v>
      </c>
      <c r="D33670" s="1">
        <v>1.51760267340886E-6</v>
      </c>
      <c r="E33670" s="1">
        <v>8.69107991013423E-6</v>
      </c>
      <c r="F33670" s="1">
        <v>3.6809499795707201E-6</v>
      </c>
    </row>
    <row r="33671" spans="1:6" x14ac:dyDescent="0.25">
      <c r="A33671" s="2" t="str">
        <f t="shared" si="1187"/>
        <v>99999</v>
      </c>
      <c r="B33671" s="2" t="str">
        <f>"88112"</f>
        <v>88112</v>
      </c>
      <c r="C33671" s="1">
        <v>5.4569079980590801E-7</v>
      </c>
      <c r="D33671" s="1">
        <v>1.51760267340886E-6</v>
      </c>
      <c r="E33671" s="1">
        <v>0</v>
      </c>
      <c r="F33671" s="1">
        <v>5.9691080749795498E-7</v>
      </c>
    </row>
    <row r="33672" spans="1:6" x14ac:dyDescent="0.25">
      <c r="A33672" s="2" t="str">
        <f t="shared" si="1187"/>
        <v>99999</v>
      </c>
      <c r="B33672" s="2" t="str">
        <f>"87011"</f>
        <v>87011</v>
      </c>
      <c r="C33672" s="1">
        <v>0</v>
      </c>
      <c r="D33672" s="1">
        <v>0</v>
      </c>
      <c r="E33672" s="1">
        <v>4.3455399550671099E-6</v>
      </c>
      <c r="F33672" s="1">
        <v>9.9485134582992598E-8</v>
      </c>
    </row>
    <row r="33673" spans="1:6" x14ac:dyDescent="0.25">
      <c r="A33673" s="2" t="str">
        <f t="shared" si="1187"/>
        <v>99999</v>
      </c>
      <c r="B33673" s="2" t="str">
        <f>"86544"</f>
        <v>86544</v>
      </c>
      <c r="C33673" s="1">
        <v>1.09138159961181E-7</v>
      </c>
      <c r="D33673" s="1">
        <v>0</v>
      </c>
      <c r="E33673" s="1">
        <v>4.3455399550671099E-6</v>
      </c>
      <c r="F33673" s="1">
        <v>1.9897026916598501E-7</v>
      </c>
    </row>
    <row r="33674" spans="1:6" x14ac:dyDescent="0.25">
      <c r="A33674" s="2" t="str">
        <f t="shared" si="1187"/>
        <v>99999</v>
      </c>
      <c r="B33674" s="2" t="str">
        <f>"86515"</f>
        <v>86515</v>
      </c>
      <c r="C33674" s="1">
        <v>0</v>
      </c>
      <c r="D33674" s="1">
        <v>0</v>
      </c>
      <c r="E33674" s="1">
        <v>4.3455399550671099E-6</v>
      </c>
      <c r="F33674" s="1">
        <v>9.9485134582992598E-8</v>
      </c>
    </row>
    <row r="33675" spans="1:6" x14ac:dyDescent="0.25">
      <c r="A33675" s="2" t="str">
        <f t="shared" si="1187"/>
        <v>99999</v>
      </c>
      <c r="B33675" s="2" t="str">
        <f>"85922"</f>
        <v>85922</v>
      </c>
      <c r="C33675" s="1">
        <v>7.7488093572439E-6</v>
      </c>
      <c r="D33675" s="1">
        <v>1.51760267340886E-6</v>
      </c>
      <c r="E33675" s="1">
        <v>2.1727699775335501E-5</v>
      </c>
      <c r="F33675" s="1">
        <v>7.6603553628904299E-6</v>
      </c>
    </row>
    <row r="33676" spans="1:6" x14ac:dyDescent="0.25">
      <c r="A33676" s="2" t="str">
        <f t="shared" si="1187"/>
        <v>99999</v>
      </c>
      <c r="B33676" s="2" t="str">
        <f>"85938"</f>
        <v>85938</v>
      </c>
      <c r="C33676" s="1">
        <v>5.9698573498766397E-5</v>
      </c>
      <c r="D33676" s="1">
        <v>1.16855405852482E-4</v>
      </c>
      <c r="E33676" s="1">
        <v>3.5198873636043602E-4</v>
      </c>
      <c r="F33676" s="1">
        <v>7.0137019881009798E-5</v>
      </c>
    </row>
    <row r="33677" spans="1:6" x14ac:dyDescent="0.25">
      <c r="A33677" s="2" t="str">
        <f t="shared" si="1187"/>
        <v>99999</v>
      </c>
      <c r="B33677" s="2" t="str">
        <f>"85901"</f>
        <v>85901</v>
      </c>
      <c r="C33677" s="1">
        <v>4.2673020544821998E-5</v>
      </c>
      <c r="D33677" s="1">
        <v>0</v>
      </c>
      <c r="E33677" s="1">
        <v>3.0418779685469802E-5</v>
      </c>
      <c r="F33677" s="1">
        <v>3.9595083564031003E-5</v>
      </c>
    </row>
    <row r="33678" spans="1:6" x14ac:dyDescent="0.25">
      <c r="A33678" s="2" t="str">
        <f t="shared" si="1187"/>
        <v>99999</v>
      </c>
      <c r="B33678" s="2" t="str">
        <f>"84736"</f>
        <v>84736</v>
      </c>
      <c r="C33678" s="1">
        <v>9.6041580765839897E-6</v>
      </c>
      <c r="D33678" s="1">
        <v>3.0352053468177301E-6</v>
      </c>
      <c r="E33678" s="1">
        <v>4.3455399550671099E-6</v>
      </c>
      <c r="F33678" s="1">
        <v>9.0531472470523294E-6</v>
      </c>
    </row>
    <row r="33679" spans="1:6" x14ac:dyDescent="0.25">
      <c r="A33679" s="2" t="str">
        <f t="shared" si="1187"/>
        <v>99999</v>
      </c>
      <c r="B33679" s="2" t="str">
        <f>"84751"</f>
        <v>84751</v>
      </c>
      <c r="C33679" s="1">
        <v>6.3627547257368903E-5</v>
      </c>
      <c r="D33679" s="1">
        <v>4.5528080202266E-5</v>
      </c>
      <c r="E33679" s="1">
        <v>4.7800939505738197E-5</v>
      </c>
      <c r="F33679" s="1">
        <v>6.20787239797874E-5</v>
      </c>
    </row>
    <row r="33680" spans="1:6" x14ac:dyDescent="0.25">
      <c r="A33680" s="2" t="str">
        <f t="shared" si="1187"/>
        <v>99999</v>
      </c>
      <c r="B33680" s="2" t="str">
        <f>"84749"</f>
        <v>84749</v>
      </c>
      <c r="C33680" s="1">
        <v>1.22234739156523E-5</v>
      </c>
      <c r="D33680" s="1">
        <v>3.0352053468177301E-6</v>
      </c>
      <c r="E33680" s="1">
        <v>1.3036619865201299E-5</v>
      </c>
      <c r="F33680" s="1">
        <v>1.1639760746210099E-5</v>
      </c>
    </row>
    <row r="33681" spans="1:6" x14ac:dyDescent="0.25">
      <c r="A33681" s="2" t="str">
        <f t="shared" si="1187"/>
        <v>99999</v>
      </c>
      <c r="B33681" s="2" t="str">
        <f>"84643"</f>
        <v>84643</v>
      </c>
      <c r="C33681" s="1">
        <v>9.8224343965063504E-7</v>
      </c>
      <c r="D33681" s="1">
        <v>0</v>
      </c>
      <c r="E33681" s="1">
        <v>4.3455399550671099E-6</v>
      </c>
      <c r="F33681" s="1">
        <v>9.9485134582992606E-7</v>
      </c>
    </row>
    <row r="33682" spans="1:6" x14ac:dyDescent="0.25">
      <c r="A33682" s="2" t="str">
        <f t="shared" ref="A33682:A33745" si="1188">"99999"</f>
        <v>99999</v>
      </c>
      <c r="B33682" s="2" t="str">
        <f>"84656"</f>
        <v>84656</v>
      </c>
      <c r="C33682" s="1">
        <v>2.8375921589907201E-6</v>
      </c>
      <c r="D33682" s="1">
        <v>3.0352053468177301E-6</v>
      </c>
      <c r="E33682" s="1">
        <v>0</v>
      </c>
      <c r="F33682" s="1">
        <v>2.7855837683237898E-6</v>
      </c>
    </row>
    <row r="33683" spans="1:6" x14ac:dyDescent="0.25">
      <c r="A33683" s="2" t="str">
        <f t="shared" si="1188"/>
        <v>99999</v>
      </c>
      <c r="B33683" s="2" t="str">
        <f>"84644"</f>
        <v>84644</v>
      </c>
      <c r="C33683" s="1">
        <v>2.2809875431886899E-5</v>
      </c>
      <c r="D33683" s="1">
        <v>0</v>
      </c>
      <c r="E33683" s="1">
        <v>4.3455399550671099E-6</v>
      </c>
      <c r="F33683" s="1">
        <v>2.08918782624284E-5</v>
      </c>
    </row>
    <row r="33684" spans="1:6" x14ac:dyDescent="0.25">
      <c r="A33684" s="2" t="str">
        <f t="shared" si="1188"/>
        <v>99999</v>
      </c>
      <c r="B33684" s="2" t="str">
        <f>"84516"</f>
        <v>84516</v>
      </c>
      <c r="C33684" s="1">
        <v>0</v>
      </c>
      <c r="D33684" s="1">
        <v>3.0352053468177301E-6</v>
      </c>
      <c r="E33684" s="1">
        <v>4.3455399550671099E-6</v>
      </c>
      <c r="F33684" s="1">
        <v>2.9845540374897701E-7</v>
      </c>
    </row>
    <row r="33685" spans="1:6" x14ac:dyDescent="0.25">
      <c r="A33685" s="2" t="str">
        <f t="shared" si="1188"/>
        <v>99999</v>
      </c>
      <c r="B33685" s="2" t="str">
        <f>"84515"</f>
        <v>84515</v>
      </c>
      <c r="C33685" s="1">
        <v>2.5101776791071799E-6</v>
      </c>
      <c r="D33685" s="1">
        <v>1.51760267340886E-6</v>
      </c>
      <c r="E33685" s="1">
        <v>4.3455399550671099E-6</v>
      </c>
      <c r="F33685" s="1">
        <v>2.48712836457481E-6</v>
      </c>
    </row>
    <row r="33686" spans="1:6" x14ac:dyDescent="0.25">
      <c r="A33686" s="2" t="str">
        <f t="shared" si="1188"/>
        <v>99999</v>
      </c>
      <c r="B33686" s="2" t="str">
        <f>"84531"</f>
        <v>84531</v>
      </c>
      <c r="C33686" s="1">
        <v>1.52793423945654E-6</v>
      </c>
      <c r="D33686" s="1">
        <v>1.51760267340886E-6</v>
      </c>
      <c r="E33686" s="1">
        <v>0</v>
      </c>
      <c r="F33686" s="1">
        <v>1.4922770187448801E-6</v>
      </c>
    </row>
    <row r="33687" spans="1:6" x14ac:dyDescent="0.25">
      <c r="A33687" s="2" t="str">
        <f t="shared" si="1188"/>
        <v>99999</v>
      </c>
      <c r="B33687" s="2" t="str">
        <f>"84534"</f>
        <v>84534</v>
      </c>
      <c r="C33687" s="1">
        <v>0</v>
      </c>
      <c r="D33687" s="1">
        <v>0</v>
      </c>
      <c r="E33687" s="1">
        <v>4.3455399550671099E-6</v>
      </c>
      <c r="F33687" s="1">
        <v>9.9485134582992598E-8</v>
      </c>
    </row>
    <row r="33688" spans="1:6" x14ac:dyDescent="0.25">
      <c r="A33688" s="2" t="str">
        <f t="shared" si="1188"/>
        <v>99999</v>
      </c>
      <c r="B33688" s="2" t="str">
        <f>"84518"</f>
        <v>84518</v>
      </c>
      <c r="C33688" s="1">
        <v>2.9576441349480199E-5</v>
      </c>
      <c r="D33688" s="1">
        <v>6.2221709609763595E-5</v>
      </c>
      <c r="E33688" s="1">
        <v>4.3455399550671099E-6</v>
      </c>
      <c r="F33688" s="1">
        <v>3.1138847124476597E-5</v>
      </c>
    </row>
    <row r="33689" spans="1:6" x14ac:dyDescent="0.25">
      <c r="A33689" s="2" t="str">
        <f t="shared" si="1188"/>
        <v>99999</v>
      </c>
      <c r="B33689" s="2" t="str">
        <f>"84046"</f>
        <v>84046</v>
      </c>
      <c r="C33689" s="1">
        <v>9.7242100525412906E-5</v>
      </c>
      <c r="D33689" s="1">
        <v>0</v>
      </c>
      <c r="E33689" s="1">
        <v>2.60732397304027E-5</v>
      </c>
      <c r="F33689" s="1">
        <v>8.9238165720944293E-5</v>
      </c>
    </row>
    <row r="33690" spans="1:6" x14ac:dyDescent="0.25">
      <c r="A33690" s="2" t="str">
        <f t="shared" si="1188"/>
        <v>99999</v>
      </c>
      <c r="B33690" s="2" t="str">
        <f>"83802"</f>
        <v>83802</v>
      </c>
      <c r="C33690" s="1">
        <v>1.7462105593789001E-6</v>
      </c>
      <c r="D33690" s="1">
        <v>1.51760267340886E-6</v>
      </c>
      <c r="E33690" s="1">
        <v>4.3455399550671099E-6</v>
      </c>
      <c r="F33690" s="1">
        <v>1.79073242249386E-6</v>
      </c>
    </row>
    <row r="33691" spans="1:6" x14ac:dyDescent="0.25">
      <c r="A33691" s="2" t="str">
        <f t="shared" si="1188"/>
        <v>99999</v>
      </c>
      <c r="B33691" s="2" t="str">
        <f>"83808"</f>
        <v>83808</v>
      </c>
      <c r="C33691" s="1">
        <v>4.3655263984472599E-6</v>
      </c>
      <c r="D33691" s="1">
        <v>1.51760267340886E-6</v>
      </c>
      <c r="E33691" s="1">
        <v>4.3455399550671099E-6</v>
      </c>
      <c r="F33691" s="1">
        <v>4.1783756524856902E-6</v>
      </c>
    </row>
    <row r="33692" spans="1:6" x14ac:dyDescent="0.25">
      <c r="A33692" s="2" t="str">
        <f t="shared" si="1188"/>
        <v>99999</v>
      </c>
      <c r="B33692" s="2" t="str">
        <f>"83868"</f>
        <v>83868</v>
      </c>
      <c r="C33692" s="1">
        <v>4.8020790382919898E-6</v>
      </c>
      <c r="D33692" s="1">
        <v>0</v>
      </c>
      <c r="E33692" s="1">
        <v>4.3455399550671099E-6</v>
      </c>
      <c r="F33692" s="1">
        <v>4.4768310562346604E-6</v>
      </c>
    </row>
    <row r="33693" spans="1:6" x14ac:dyDescent="0.25">
      <c r="A33693" s="2" t="str">
        <f t="shared" si="1188"/>
        <v>99999</v>
      </c>
      <c r="B33693" s="2" t="str">
        <f>"83867"</f>
        <v>83867</v>
      </c>
      <c r="C33693" s="1">
        <v>0</v>
      </c>
      <c r="D33693" s="1">
        <v>0</v>
      </c>
      <c r="E33693" s="1">
        <v>1.7382159820268399E-5</v>
      </c>
      <c r="F33693" s="1">
        <v>3.9794053833197002E-7</v>
      </c>
    </row>
    <row r="33694" spans="1:6" x14ac:dyDescent="0.25">
      <c r="A33694" s="2" t="str">
        <f t="shared" si="1188"/>
        <v>99999</v>
      </c>
      <c r="B33694" s="2" t="str">
        <f>"83446"</f>
        <v>83446</v>
      </c>
      <c r="C33694" s="1">
        <v>3.1650066388742701E-6</v>
      </c>
      <c r="D33694" s="1">
        <v>4.5528080202265997E-6</v>
      </c>
      <c r="E33694" s="1">
        <v>4.3455399550671099E-6</v>
      </c>
      <c r="F33694" s="1">
        <v>3.2830094412387502E-6</v>
      </c>
    </row>
    <row r="33695" spans="1:6" x14ac:dyDescent="0.25">
      <c r="A33695" s="2" t="str">
        <f t="shared" si="1188"/>
        <v>99999</v>
      </c>
      <c r="B33695" s="2" t="str">
        <f>"83537"</f>
        <v>83537</v>
      </c>
      <c r="C33695" s="1">
        <v>5.5660461580202599E-6</v>
      </c>
      <c r="D33695" s="1">
        <v>3.0352053468177301E-6</v>
      </c>
      <c r="E33695" s="1">
        <v>0</v>
      </c>
      <c r="F33695" s="1">
        <v>5.2727121328986002E-6</v>
      </c>
    </row>
    <row r="33696" spans="1:6" x14ac:dyDescent="0.25">
      <c r="A33696" s="2" t="str">
        <f t="shared" si="1188"/>
        <v>99999</v>
      </c>
      <c r="B33696" s="2" t="str">
        <f>"83542"</f>
        <v>83542</v>
      </c>
      <c r="C33696" s="1">
        <v>3.3832829587966299E-6</v>
      </c>
      <c r="D33696" s="1">
        <v>0</v>
      </c>
      <c r="E33696" s="1">
        <v>8.2565259146275205E-5</v>
      </c>
      <c r="F33696" s="1">
        <v>4.9742567291496301E-6</v>
      </c>
    </row>
    <row r="33697" spans="1:6" x14ac:dyDescent="0.25">
      <c r="A33697" s="2" t="str">
        <f t="shared" si="1188"/>
        <v>99999</v>
      </c>
      <c r="B33697" s="2" t="str">
        <f>"83238"</f>
        <v>83238</v>
      </c>
      <c r="C33697" s="1">
        <v>5.7843224779426299E-6</v>
      </c>
      <c r="D33697" s="1">
        <v>0</v>
      </c>
      <c r="E33697" s="1">
        <v>4.3455399550671099E-6</v>
      </c>
      <c r="F33697" s="1">
        <v>5.3721972674816004E-6</v>
      </c>
    </row>
    <row r="33698" spans="1:6" x14ac:dyDescent="0.25">
      <c r="A33698" s="2" t="str">
        <f t="shared" si="1188"/>
        <v>99999</v>
      </c>
      <c r="B33698" s="2" t="str">
        <f>"83227"</f>
        <v>83227</v>
      </c>
      <c r="C33698" s="1">
        <v>1.5279342394565399E-5</v>
      </c>
      <c r="D33698" s="1">
        <v>9.1056160404532095E-6</v>
      </c>
      <c r="E33698" s="1">
        <v>4.3455399550671099E-6</v>
      </c>
      <c r="F33698" s="1">
        <v>1.4624314783699901E-5</v>
      </c>
    </row>
    <row r="33699" spans="1:6" x14ac:dyDescent="0.25">
      <c r="A33699" s="2" t="str">
        <f t="shared" si="1188"/>
        <v>99999</v>
      </c>
      <c r="B33699" s="2" t="str">
        <f>"83255"</f>
        <v>83255</v>
      </c>
      <c r="C33699" s="1">
        <v>7.7488093572439E-6</v>
      </c>
      <c r="D33699" s="1">
        <v>0</v>
      </c>
      <c r="E33699" s="1">
        <v>4.3455399550671099E-6</v>
      </c>
      <c r="F33699" s="1">
        <v>7.1629296899754602E-6</v>
      </c>
    </row>
    <row r="33700" spans="1:6" x14ac:dyDescent="0.25">
      <c r="A33700" s="2" t="str">
        <f t="shared" si="1188"/>
        <v>99999</v>
      </c>
      <c r="B33700" s="2" t="str">
        <f>"83253"</f>
        <v>83253</v>
      </c>
      <c r="C33700" s="1">
        <v>1.17869212758076E-5</v>
      </c>
      <c r="D33700" s="1">
        <v>1.3658424060679801E-5</v>
      </c>
      <c r="E33700" s="1">
        <v>8.69107991013423E-6</v>
      </c>
      <c r="F33700" s="1">
        <v>1.18387310153761E-5</v>
      </c>
    </row>
    <row r="33701" spans="1:6" x14ac:dyDescent="0.25">
      <c r="A33701" s="2" t="str">
        <f t="shared" si="1188"/>
        <v>99999</v>
      </c>
      <c r="B33701" s="2" t="str">
        <f>"83229"</f>
        <v>83229</v>
      </c>
      <c r="C33701" s="1">
        <v>2.1827631992236301E-7</v>
      </c>
      <c r="D33701" s="1">
        <v>1.5176026734088599E-5</v>
      </c>
      <c r="E33701" s="1">
        <v>4.3455399550671099E-6</v>
      </c>
      <c r="F33701" s="1">
        <v>1.2933067495789E-6</v>
      </c>
    </row>
    <row r="33702" spans="1:6" x14ac:dyDescent="0.25">
      <c r="A33702" s="2" t="str">
        <f t="shared" si="1188"/>
        <v>99999</v>
      </c>
      <c r="B33702" s="2" t="str">
        <f>"82334"</f>
        <v>82334</v>
      </c>
      <c r="C33702" s="1">
        <v>2.5101776791071799E-6</v>
      </c>
      <c r="D33702" s="1">
        <v>3.0352053468177301E-6</v>
      </c>
      <c r="E33702" s="1">
        <v>4.3455399550671099E-6</v>
      </c>
      <c r="F33702" s="1">
        <v>2.5866134991578E-6</v>
      </c>
    </row>
    <row r="33703" spans="1:6" x14ac:dyDescent="0.25">
      <c r="A33703" s="2" t="str">
        <f t="shared" si="1188"/>
        <v>99999</v>
      </c>
      <c r="B33703" s="2" t="str">
        <f>"82411"</f>
        <v>82411</v>
      </c>
      <c r="C33703" s="1">
        <v>1.386054631507E-5</v>
      </c>
      <c r="D33703" s="1">
        <v>3.0352053468177301E-6</v>
      </c>
      <c r="E33703" s="1">
        <v>4.3455399550671099E-6</v>
      </c>
      <c r="F33703" s="1">
        <v>1.2933067495789E-5</v>
      </c>
    </row>
    <row r="33704" spans="1:6" x14ac:dyDescent="0.25">
      <c r="A33704" s="2" t="str">
        <f t="shared" si="1188"/>
        <v>99999</v>
      </c>
      <c r="B33704" s="2" t="str">
        <f>"82219"</f>
        <v>82219</v>
      </c>
      <c r="C33704" s="1">
        <v>7.2031185574379897E-6</v>
      </c>
      <c r="D33704" s="1">
        <v>0</v>
      </c>
      <c r="E33704" s="1">
        <v>5.6492019415872502E-5</v>
      </c>
      <c r="F33704" s="1">
        <v>7.85932563205641E-6</v>
      </c>
    </row>
    <row r="33705" spans="1:6" x14ac:dyDescent="0.25">
      <c r="A33705" s="2" t="str">
        <f t="shared" si="1188"/>
        <v>99999</v>
      </c>
      <c r="B33705" s="2" t="str">
        <f>"82414"</f>
        <v>82414</v>
      </c>
      <c r="C33705" s="1">
        <v>1.07075448737915E-3</v>
      </c>
      <c r="D33705" s="1">
        <v>2.3097912689282901E-3</v>
      </c>
      <c r="E33705" s="1">
        <v>2.2857540163652998E-3</v>
      </c>
      <c r="F33705" s="1">
        <v>1.1797942110197E-3</v>
      </c>
    </row>
    <row r="33706" spans="1:6" x14ac:dyDescent="0.25">
      <c r="A33706" s="2" t="str">
        <f t="shared" si="1188"/>
        <v>99999</v>
      </c>
      <c r="B33706" s="2" t="str">
        <f>"82213"</f>
        <v>82213</v>
      </c>
      <c r="C33706" s="1">
        <v>2.4992638631110601E-5</v>
      </c>
      <c r="D33706" s="1">
        <v>6.0704106936354703E-5</v>
      </c>
      <c r="E33706" s="1">
        <v>2.60732397304027E-5</v>
      </c>
      <c r="F33706" s="1">
        <v>2.7358412010322901E-5</v>
      </c>
    </row>
    <row r="33707" spans="1:6" x14ac:dyDescent="0.25">
      <c r="A33707" s="2" t="str">
        <f t="shared" si="1188"/>
        <v>99999</v>
      </c>
      <c r="B33707" s="2" t="str">
        <f>"83114"</f>
        <v>83114</v>
      </c>
      <c r="C33707" s="1">
        <v>3.1650066388742701E-6</v>
      </c>
      <c r="D33707" s="1">
        <v>3.0352053468177301E-6</v>
      </c>
      <c r="E33707" s="1">
        <v>1.3036619865201299E-5</v>
      </c>
      <c r="F33707" s="1">
        <v>3.3824945758217398E-6</v>
      </c>
    </row>
    <row r="33708" spans="1:6" x14ac:dyDescent="0.25">
      <c r="A33708" s="2" t="str">
        <f t="shared" si="1188"/>
        <v>99999</v>
      </c>
      <c r="B33708" s="2" t="str">
        <f>"83124"</f>
        <v>83124</v>
      </c>
      <c r="C33708" s="1">
        <v>5.1294935181755401E-6</v>
      </c>
      <c r="D33708" s="1">
        <v>0</v>
      </c>
      <c r="E33708" s="1">
        <v>4.3455399550671099E-6</v>
      </c>
      <c r="F33708" s="1">
        <v>4.7752864599836398E-6</v>
      </c>
    </row>
    <row r="33709" spans="1:6" x14ac:dyDescent="0.25">
      <c r="A33709" s="2" t="str">
        <f t="shared" si="1188"/>
        <v>99999</v>
      </c>
      <c r="B33709" s="2" t="str">
        <f>"83122"</f>
        <v>83122</v>
      </c>
      <c r="C33709" s="1">
        <v>3.1650066388742701E-6</v>
      </c>
      <c r="D33709" s="1">
        <v>0</v>
      </c>
      <c r="E33709" s="1">
        <v>4.3455399550671099E-6</v>
      </c>
      <c r="F33709" s="1">
        <v>2.9845540374897699E-6</v>
      </c>
    </row>
    <row r="33710" spans="1:6" x14ac:dyDescent="0.25">
      <c r="A33710" s="2" t="str">
        <f t="shared" si="1188"/>
        <v>99999</v>
      </c>
      <c r="B33710" s="2" t="str">
        <f>"83120"</f>
        <v>83120</v>
      </c>
      <c r="C33710" s="1">
        <v>1.3751408155108801E-5</v>
      </c>
      <c r="D33710" s="1">
        <v>1.3658424060679801E-5</v>
      </c>
      <c r="E33710" s="1">
        <v>2.1727699775335501E-5</v>
      </c>
      <c r="F33710" s="1">
        <v>1.3927918841618899E-5</v>
      </c>
    </row>
    <row r="33711" spans="1:6" x14ac:dyDescent="0.25">
      <c r="A33711" s="2" t="str">
        <f t="shared" si="1188"/>
        <v>99999</v>
      </c>
      <c r="B33711" s="2" t="str">
        <f>"82639"</f>
        <v>82639</v>
      </c>
      <c r="C33711" s="1">
        <v>4.5510612703812697E-5</v>
      </c>
      <c r="D33711" s="1">
        <v>4.7045682875674899E-5</v>
      </c>
      <c r="E33711" s="1">
        <v>4.3455399550671099E-6</v>
      </c>
      <c r="F33711" s="1">
        <v>4.4668825427763602E-5</v>
      </c>
    </row>
    <row r="33712" spans="1:6" x14ac:dyDescent="0.25">
      <c r="A33712" s="2" t="str">
        <f t="shared" si="1188"/>
        <v>99999</v>
      </c>
      <c r="B33712" s="2" t="str">
        <f>"81638"</f>
        <v>81638</v>
      </c>
      <c r="C33712" s="1">
        <v>1.09138159961181E-7</v>
      </c>
      <c r="D33712" s="1">
        <v>0</v>
      </c>
      <c r="E33712" s="1">
        <v>0</v>
      </c>
      <c r="F33712" s="1">
        <v>9.9485134582992598E-8</v>
      </c>
    </row>
    <row r="33713" spans="1:6" x14ac:dyDescent="0.25">
      <c r="A33713" s="2" t="str">
        <f t="shared" si="1188"/>
        <v>99999</v>
      </c>
      <c r="B33713" s="2" t="str">
        <f>"82443"</f>
        <v>82443</v>
      </c>
      <c r="C33713" s="1">
        <v>2.7710178814144E-4</v>
      </c>
      <c r="D33713" s="1">
        <v>4.3251676192152699E-4</v>
      </c>
      <c r="E33713" s="1">
        <v>6.86595312900604E-4</v>
      </c>
      <c r="F33713" s="1">
        <v>2.9666467132648402E-4</v>
      </c>
    </row>
    <row r="33714" spans="1:6" x14ac:dyDescent="0.25">
      <c r="A33714" s="2" t="str">
        <f t="shared" si="1188"/>
        <v>99999</v>
      </c>
      <c r="B33714" s="2" t="str">
        <f>"82442"</f>
        <v>82442</v>
      </c>
      <c r="C33714" s="1">
        <v>2.1172803032469199E-5</v>
      </c>
      <c r="D33714" s="1">
        <v>4.5528080202265997E-6</v>
      </c>
      <c r="E33714" s="1">
        <v>2.0424037788815399E-4</v>
      </c>
      <c r="F33714" s="1">
        <v>2.4274372838250201E-5</v>
      </c>
    </row>
    <row r="33715" spans="1:6" x14ac:dyDescent="0.25">
      <c r="A33715" s="2" t="str">
        <f t="shared" si="1188"/>
        <v>99999</v>
      </c>
      <c r="B33715" s="2" t="str">
        <f>"82431"</f>
        <v>82431</v>
      </c>
      <c r="C33715" s="1">
        <v>1.7614899017734701E-4</v>
      </c>
      <c r="D33715" s="1">
        <v>2.7772128923382301E-4</v>
      </c>
      <c r="E33715" s="1">
        <v>2.3900469752869099E-4</v>
      </c>
      <c r="F33715" s="1">
        <v>1.84246469247702E-4</v>
      </c>
    </row>
    <row r="33716" spans="1:6" x14ac:dyDescent="0.25">
      <c r="A33716" s="2" t="str">
        <f t="shared" si="1188"/>
        <v>99999</v>
      </c>
      <c r="B33716" s="2" t="str">
        <f>"81131"</f>
        <v>81131</v>
      </c>
      <c r="C33716" s="1">
        <v>1.09138159961181E-7</v>
      </c>
      <c r="D33716" s="1">
        <v>0</v>
      </c>
      <c r="E33716" s="1">
        <v>4.3455399550671099E-6</v>
      </c>
      <c r="F33716" s="1">
        <v>1.9897026916598501E-7</v>
      </c>
    </row>
    <row r="33717" spans="1:6" x14ac:dyDescent="0.25">
      <c r="A33717" s="2" t="str">
        <f t="shared" si="1188"/>
        <v>99999</v>
      </c>
      <c r="B33717" s="2" t="str">
        <f>"81130"</f>
        <v>81130</v>
      </c>
      <c r="C33717" s="1">
        <v>5.8716330059115698E-5</v>
      </c>
      <c r="D33717" s="1">
        <v>3.3387258814995101E-5</v>
      </c>
      <c r="E33717" s="1">
        <v>4.7800939505738197E-5</v>
      </c>
      <c r="F33717" s="1">
        <v>5.6806011846888702E-5</v>
      </c>
    </row>
    <row r="33718" spans="1:6" x14ac:dyDescent="0.25">
      <c r="A33718" s="2" t="str">
        <f t="shared" si="1188"/>
        <v>99999</v>
      </c>
      <c r="B33718" s="2" t="str">
        <f>"81092"</f>
        <v>81092</v>
      </c>
      <c r="C33718" s="1">
        <v>4.0381119185637202E-5</v>
      </c>
      <c r="D33718" s="1">
        <v>4.5528080202265997E-6</v>
      </c>
      <c r="E33718" s="1">
        <v>2.1727699775335501E-5</v>
      </c>
      <c r="F33718" s="1">
        <v>3.7605380872371202E-5</v>
      </c>
    </row>
    <row r="33719" spans="1:6" x14ac:dyDescent="0.25">
      <c r="A33719" s="2" t="str">
        <f t="shared" si="1188"/>
        <v>99999</v>
      </c>
      <c r="B33719" s="2" t="str">
        <f>"81082"</f>
        <v>81082</v>
      </c>
      <c r="C33719" s="1">
        <v>7.0415940806954397E-4</v>
      </c>
      <c r="D33719" s="1">
        <v>1.15034282644392E-3</v>
      </c>
      <c r="E33719" s="1">
        <v>1.48182912467788E-3</v>
      </c>
      <c r="F33719" s="1">
        <v>7.5121225123617695E-4</v>
      </c>
    </row>
    <row r="33720" spans="1:6" x14ac:dyDescent="0.25">
      <c r="A33720" s="2" t="str">
        <f t="shared" si="1188"/>
        <v>99999</v>
      </c>
      <c r="B33720" s="2" t="str">
        <f>"81073"</f>
        <v>81073</v>
      </c>
      <c r="C33720" s="1">
        <v>1.3489476571202001E-4</v>
      </c>
      <c r="D33720" s="1">
        <v>2.8075649458064001E-4</v>
      </c>
      <c r="E33720" s="1">
        <v>2.1727699775335501E-4</v>
      </c>
      <c r="F33720" s="1">
        <v>1.4634263297158201E-4</v>
      </c>
    </row>
    <row r="33721" spans="1:6" x14ac:dyDescent="0.25">
      <c r="A33721" s="2" t="str">
        <f t="shared" si="1188"/>
        <v>99999</v>
      </c>
      <c r="B33721" s="2" t="str">
        <f>"81069"</f>
        <v>81069</v>
      </c>
      <c r="C33721" s="1">
        <v>2.0408835912740901E-5</v>
      </c>
      <c r="D33721" s="1">
        <v>3.0352053468177301E-6</v>
      </c>
      <c r="E33721" s="1">
        <v>0</v>
      </c>
      <c r="F33721" s="1">
        <v>1.8802690436185601E-5</v>
      </c>
    </row>
    <row r="33722" spans="1:6" x14ac:dyDescent="0.25">
      <c r="A33722" s="2" t="str">
        <f t="shared" si="1188"/>
        <v>99999</v>
      </c>
      <c r="B33722" s="2" t="str">
        <f>"81039"</f>
        <v>81039</v>
      </c>
      <c r="C33722" s="1">
        <v>9.1785192527353804E-5</v>
      </c>
      <c r="D33722" s="1">
        <v>1.24443419219527E-4</v>
      </c>
      <c r="E33722" s="1">
        <v>8.69107991013423E-5</v>
      </c>
      <c r="F33722" s="1">
        <v>9.3814481911761995E-5</v>
      </c>
    </row>
    <row r="33723" spans="1:6" x14ac:dyDescent="0.25">
      <c r="A33723" s="2" t="str">
        <f t="shared" si="1188"/>
        <v>99999</v>
      </c>
      <c r="B33723" s="2" t="str">
        <f>"81052"</f>
        <v>81052</v>
      </c>
      <c r="C33723" s="1">
        <v>4.9625121334349301E-4</v>
      </c>
      <c r="D33723" s="1">
        <v>9.5760728692099604E-4</v>
      </c>
      <c r="E33723" s="1">
        <v>1.06031174903637E-3</v>
      </c>
      <c r="F33723" s="1">
        <v>5.3940839970898597E-4</v>
      </c>
    </row>
    <row r="33724" spans="1:6" x14ac:dyDescent="0.25">
      <c r="A33724" s="2" t="str">
        <f t="shared" si="1188"/>
        <v>99999</v>
      </c>
      <c r="B33724" s="2" t="str">
        <f>"81325"</f>
        <v>81325</v>
      </c>
      <c r="C33724" s="1">
        <v>8.1853619970886298E-6</v>
      </c>
      <c r="D33724" s="1">
        <v>0</v>
      </c>
      <c r="E33724" s="1">
        <v>1.3036619865201299E-5</v>
      </c>
      <c r="F33724" s="1">
        <v>7.7598404974734199E-6</v>
      </c>
    </row>
    <row r="33725" spans="1:6" x14ac:dyDescent="0.25">
      <c r="A33725" s="2" t="str">
        <f t="shared" si="1188"/>
        <v>99999</v>
      </c>
      <c r="B33725" s="2" t="str">
        <f>"81235"</f>
        <v>81235</v>
      </c>
      <c r="C33725" s="1">
        <v>9.8224343965063504E-7</v>
      </c>
      <c r="D33725" s="1">
        <v>1.51760267340886E-6</v>
      </c>
      <c r="E33725" s="1">
        <v>2.1727699775335501E-5</v>
      </c>
      <c r="F33725" s="1">
        <v>1.4922770187448801E-6</v>
      </c>
    </row>
    <row r="33726" spans="1:6" x14ac:dyDescent="0.25">
      <c r="A33726" s="2" t="str">
        <f t="shared" si="1188"/>
        <v>99999</v>
      </c>
      <c r="B33726" s="2" t="str">
        <f>"81332"</f>
        <v>81332</v>
      </c>
      <c r="C33726" s="1">
        <v>1.5606756874448901E-5</v>
      </c>
      <c r="D33726" s="1">
        <v>0</v>
      </c>
      <c r="E33726" s="1">
        <v>4.3455399550671099E-6</v>
      </c>
      <c r="F33726" s="1">
        <v>1.43258593799509E-5</v>
      </c>
    </row>
    <row r="33727" spans="1:6" x14ac:dyDescent="0.25">
      <c r="A33727" s="2" t="str">
        <f t="shared" si="1188"/>
        <v>99999</v>
      </c>
      <c r="B33727" s="2" t="str">
        <f>"81331"</f>
        <v>81331</v>
      </c>
      <c r="C33727" s="1">
        <v>1.5388480554526601E-5</v>
      </c>
      <c r="D33727" s="1">
        <v>0</v>
      </c>
      <c r="E33727" s="1">
        <v>4.3455399550671099E-6</v>
      </c>
      <c r="F33727" s="1">
        <v>1.41268891107849E-5</v>
      </c>
    </row>
    <row r="33728" spans="1:6" x14ac:dyDescent="0.25">
      <c r="A33728" s="2" t="str">
        <f t="shared" si="1188"/>
        <v>99999</v>
      </c>
      <c r="B33728" s="2" t="str">
        <f>"81416"</f>
        <v>81416</v>
      </c>
      <c r="C33728" s="1">
        <v>7.5087054053292999E-4</v>
      </c>
      <c r="D33728" s="1">
        <v>1.3415607632934401E-3</v>
      </c>
      <c r="E33728" s="1">
        <v>1.3949183255765401E-3</v>
      </c>
      <c r="F33728" s="1">
        <v>8.0433731310349497E-4</v>
      </c>
    </row>
    <row r="33729" spans="1:6" x14ac:dyDescent="0.25">
      <c r="A33729" s="2" t="str">
        <f t="shared" si="1188"/>
        <v>99999</v>
      </c>
      <c r="B33729" s="2" t="str">
        <f>"81415"</f>
        <v>81415</v>
      </c>
      <c r="C33729" s="1">
        <v>8.5236902929682894E-5</v>
      </c>
      <c r="D33729" s="1">
        <v>1.66936294074975E-5</v>
      </c>
      <c r="E33729" s="1">
        <v>6.5183099326006705E-5</v>
      </c>
      <c r="F33729" s="1">
        <v>8.0284503608474996E-5</v>
      </c>
    </row>
    <row r="33730" spans="1:6" x14ac:dyDescent="0.25">
      <c r="A33730" s="2" t="str">
        <f t="shared" si="1188"/>
        <v>99999</v>
      </c>
      <c r="B33730" s="2" t="str">
        <f>"81413"</f>
        <v>81413</v>
      </c>
      <c r="C33730" s="1">
        <v>3.96062382499128E-4</v>
      </c>
      <c r="D33730" s="1">
        <v>1.8666512882929001E-4</v>
      </c>
      <c r="E33730" s="1">
        <v>3.6067981627057E-4</v>
      </c>
      <c r="F33730" s="1">
        <v>3.8152549112577602E-4</v>
      </c>
    </row>
    <row r="33731" spans="1:6" x14ac:dyDescent="0.25">
      <c r="A33731" s="2" t="str">
        <f t="shared" si="1188"/>
        <v>99999</v>
      </c>
      <c r="B33731" s="2" t="str">
        <f>"81157"</f>
        <v>81157</v>
      </c>
      <c r="C33731" s="1">
        <v>7.2467738214224595E-5</v>
      </c>
      <c r="D33731" s="1">
        <v>1.09267392485438E-4</v>
      </c>
      <c r="E33731" s="1">
        <v>8.69107991013423E-6</v>
      </c>
      <c r="F33731" s="1">
        <v>7.3420029322248499E-5</v>
      </c>
    </row>
    <row r="33732" spans="1:6" x14ac:dyDescent="0.25">
      <c r="A33732" s="2" t="str">
        <f t="shared" si="1188"/>
        <v>99999</v>
      </c>
      <c r="B33732" s="2" t="str">
        <f>"81146"</f>
        <v>81146</v>
      </c>
      <c r="C33732" s="1">
        <v>3.4815073027616897E-5</v>
      </c>
      <c r="D33732" s="1">
        <v>1.9728834754315301E-5</v>
      </c>
      <c r="E33732" s="1">
        <v>3.9109859595604001E-5</v>
      </c>
      <c r="F33732" s="1">
        <v>3.3924430892800399E-5</v>
      </c>
    </row>
    <row r="33733" spans="1:6" x14ac:dyDescent="0.25">
      <c r="A33733" s="2" t="str">
        <f t="shared" si="1188"/>
        <v>99999</v>
      </c>
      <c r="B33733" s="2" t="str">
        <f>"81230"</f>
        <v>81230</v>
      </c>
      <c r="C33733" s="1">
        <v>7.4039327717665597E-4</v>
      </c>
      <c r="D33733" s="1">
        <v>1.4113704862702399E-3</v>
      </c>
      <c r="E33733" s="1">
        <v>3.0549145884121798E-3</v>
      </c>
      <c r="F33733" s="1">
        <v>8.3736637778504899E-4</v>
      </c>
    </row>
    <row r="33734" spans="1:6" x14ac:dyDescent="0.25">
      <c r="A33734" s="2" t="str">
        <f t="shared" si="1188"/>
        <v>99999</v>
      </c>
      <c r="B33734" s="2" t="str">
        <f>"80737"</f>
        <v>80737</v>
      </c>
      <c r="C33734" s="1">
        <v>9.8224343965063504E-5</v>
      </c>
      <c r="D33734" s="1">
        <v>2.2915800368473899E-4</v>
      </c>
      <c r="E33734" s="1">
        <v>1.5209389842734899E-4</v>
      </c>
      <c r="F33734" s="1">
        <v>1.0804085615713E-4</v>
      </c>
    </row>
    <row r="33735" spans="1:6" x14ac:dyDescent="0.25">
      <c r="A33735" s="2" t="str">
        <f t="shared" si="1188"/>
        <v>99999</v>
      </c>
      <c r="B33735" s="2" t="str">
        <f>"80731"</f>
        <v>80731</v>
      </c>
      <c r="C33735" s="1">
        <v>8.0325685731429702E-5</v>
      </c>
      <c r="D33735" s="1">
        <v>3.3387258814995101E-5</v>
      </c>
      <c r="E33735" s="1">
        <v>7.8219719191208097E-5</v>
      </c>
      <c r="F33735" s="1">
        <v>7.7200464436402198E-5</v>
      </c>
    </row>
    <row r="33736" spans="1:6" x14ac:dyDescent="0.25">
      <c r="A33736" s="2" t="str">
        <f t="shared" si="1188"/>
        <v>99999</v>
      </c>
      <c r="B33736" s="2" t="str">
        <f>"80805"</f>
        <v>80805</v>
      </c>
      <c r="C33736" s="1">
        <v>2.05179740727021E-5</v>
      </c>
      <c r="D33736" s="1">
        <v>0</v>
      </c>
      <c r="E33736" s="1">
        <v>4.3455399550671099E-6</v>
      </c>
      <c r="F33736" s="1">
        <v>1.8802690436185601E-5</v>
      </c>
    </row>
    <row r="33737" spans="1:6" x14ac:dyDescent="0.25">
      <c r="A33737" s="2" t="str">
        <f t="shared" si="1188"/>
        <v>99999</v>
      </c>
      <c r="B33737" s="2" t="str">
        <f>"80812"</f>
        <v>80812</v>
      </c>
      <c r="C33737" s="1">
        <v>1.1677783115846399E-5</v>
      </c>
      <c r="D33737" s="1">
        <v>3.0352053468177301E-6</v>
      </c>
      <c r="E33737" s="1">
        <v>2.1727699775335501E-5</v>
      </c>
      <c r="F33737" s="1">
        <v>1.13413053424611E-5</v>
      </c>
    </row>
    <row r="33738" spans="1:6" x14ac:dyDescent="0.25">
      <c r="A33738" s="2" t="str">
        <f t="shared" si="1188"/>
        <v>99999</v>
      </c>
      <c r="B33738" s="2" t="str">
        <f>"80451"</f>
        <v>80451</v>
      </c>
      <c r="C33738" s="1">
        <v>1.09138159961181E-7</v>
      </c>
      <c r="D33738" s="1">
        <v>0</v>
      </c>
      <c r="E33738" s="1">
        <v>4.3455399550671099E-6</v>
      </c>
      <c r="F33738" s="1">
        <v>1.9897026916598501E-7</v>
      </c>
    </row>
    <row r="33739" spans="1:6" x14ac:dyDescent="0.25">
      <c r="A33739" s="2" t="str">
        <f t="shared" si="1188"/>
        <v>99999</v>
      </c>
      <c r="B33739" s="2" t="str">
        <f>"79756"</f>
        <v>79756</v>
      </c>
      <c r="C33739" s="1">
        <v>4.8926637110597703E-4</v>
      </c>
      <c r="D33739" s="1">
        <v>6.4346353352536E-4</v>
      </c>
      <c r="E33739" s="1">
        <v>6.7355869303540304E-4</v>
      </c>
      <c r="F33739" s="1">
        <v>5.0359375125910797E-4</v>
      </c>
    </row>
    <row r="33740" spans="1:6" x14ac:dyDescent="0.25">
      <c r="A33740" s="2" t="str">
        <f t="shared" si="1188"/>
        <v>99999</v>
      </c>
      <c r="B33740" s="2" t="str">
        <f>"79744"</f>
        <v>79744</v>
      </c>
      <c r="C33740" s="1">
        <v>8.7310527968945299E-7</v>
      </c>
      <c r="D33740" s="1">
        <v>3.0352053468177301E-6</v>
      </c>
      <c r="E33740" s="1">
        <v>0</v>
      </c>
      <c r="F33740" s="1">
        <v>9.9485134582992606E-7</v>
      </c>
    </row>
    <row r="33741" spans="1:6" x14ac:dyDescent="0.25">
      <c r="A33741" s="2" t="str">
        <f t="shared" si="1188"/>
        <v>99999</v>
      </c>
      <c r="B33741" s="2" t="str">
        <f>"79739"</f>
        <v>79739</v>
      </c>
      <c r="C33741" s="1">
        <v>2.5756605750838801E-5</v>
      </c>
      <c r="D33741" s="1">
        <v>2.4281642774541899E-5</v>
      </c>
      <c r="E33741" s="1">
        <v>0</v>
      </c>
      <c r="F33741" s="1">
        <v>2.5070253914914101E-5</v>
      </c>
    </row>
    <row r="33742" spans="1:6" x14ac:dyDescent="0.25">
      <c r="A33742" s="2" t="str">
        <f t="shared" si="1188"/>
        <v>99999</v>
      </c>
      <c r="B33742" s="2" t="str">
        <f>"79842"</f>
        <v>79842</v>
      </c>
      <c r="C33742" s="1">
        <v>8.7310527968945299E-7</v>
      </c>
      <c r="D33742" s="1">
        <v>1.51760267340886E-6</v>
      </c>
      <c r="E33742" s="1">
        <v>0</v>
      </c>
      <c r="F33742" s="1">
        <v>8.9536621124693305E-7</v>
      </c>
    </row>
    <row r="33743" spans="1:6" x14ac:dyDescent="0.25">
      <c r="A33743" s="2" t="str">
        <f t="shared" si="1188"/>
        <v>99999</v>
      </c>
      <c r="B33743" s="2" t="str">
        <f>"79789"</f>
        <v>79789</v>
      </c>
      <c r="C33743" s="1">
        <v>3.2741447988354498E-7</v>
      </c>
      <c r="D33743" s="1">
        <v>4.5528080202265997E-6</v>
      </c>
      <c r="E33743" s="1">
        <v>0</v>
      </c>
      <c r="F33743" s="1">
        <v>5.9691080749795498E-7</v>
      </c>
    </row>
    <row r="33744" spans="1:6" x14ac:dyDescent="0.25">
      <c r="A33744" s="2" t="str">
        <f t="shared" si="1188"/>
        <v>99999</v>
      </c>
      <c r="B33744" s="2" t="str">
        <f>"79855"</f>
        <v>79855</v>
      </c>
      <c r="C33744" s="1">
        <v>1.0913815996118101E-6</v>
      </c>
      <c r="D33744" s="1">
        <v>3.0352053468177301E-6</v>
      </c>
      <c r="E33744" s="1">
        <v>0</v>
      </c>
      <c r="F33744" s="1">
        <v>1.19382161499591E-6</v>
      </c>
    </row>
    <row r="33745" spans="1:6" x14ac:dyDescent="0.25">
      <c r="A33745" s="2" t="str">
        <f t="shared" si="1188"/>
        <v>99999</v>
      </c>
      <c r="B33745" s="2" t="str">
        <f>"79843"</f>
        <v>79843</v>
      </c>
      <c r="C33745" s="1">
        <v>1.45153752748371E-5</v>
      </c>
      <c r="D33745" s="1">
        <v>1.8211232080906399E-5</v>
      </c>
      <c r="E33745" s="1">
        <v>2.60732397304027E-5</v>
      </c>
      <c r="F33745" s="1">
        <v>1.50222553220318E-5</v>
      </c>
    </row>
    <row r="33746" spans="1:6" x14ac:dyDescent="0.25">
      <c r="A33746" s="2" t="str">
        <f t="shared" ref="A33746:A33809" si="1189">"99999"</f>
        <v>99999</v>
      </c>
      <c r="B33746" s="2" t="str">
        <f>"79330"</f>
        <v>79330</v>
      </c>
      <c r="C33746" s="1">
        <v>1.01498488763899E-5</v>
      </c>
      <c r="D33746" s="1">
        <v>1.0623218713862E-5</v>
      </c>
      <c r="E33746" s="1">
        <v>1.30366198652013E-4</v>
      </c>
      <c r="F33746" s="1">
        <v>1.2933067495789E-5</v>
      </c>
    </row>
    <row r="33747" spans="1:6" x14ac:dyDescent="0.25">
      <c r="A33747" s="2" t="str">
        <f t="shared" si="1189"/>
        <v>99999</v>
      </c>
      <c r="B33747" s="2" t="str">
        <f>"79566"</f>
        <v>79566</v>
      </c>
      <c r="C33747" s="1">
        <v>4.3655263984472599E-6</v>
      </c>
      <c r="D33747" s="1">
        <v>1.51760267340886E-6</v>
      </c>
      <c r="E33747" s="1">
        <v>4.3455399550671099E-6</v>
      </c>
      <c r="F33747" s="1">
        <v>4.1783756524856902E-6</v>
      </c>
    </row>
    <row r="33748" spans="1:6" x14ac:dyDescent="0.25">
      <c r="A33748" s="2" t="str">
        <f t="shared" si="1189"/>
        <v>99999</v>
      </c>
      <c r="B33748" s="2" t="str">
        <f>"79556"</f>
        <v>79556</v>
      </c>
      <c r="C33748" s="1">
        <v>2.3792118871537602E-5</v>
      </c>
      <c r="D33748" s="1">
        <v>4.5528080202265997E-6</v>
      </c>
      <c r="E33748" s="1">
        <v>0</v>
      </c>
      <c r="F33748" s="1">
        <v>2.1986214742841299E-5</v>
      </c>
    </row>
    <row r="33749" spans="1:6" x14ac:dyDescent="0.25">
      <c r="A33749" s="2" t="str">
        <f t="shared" si="1189"/>
        <v>99999</v>
      </c>
      <c r="B33749" s="2" t="str">
        <f>"79505"</f>
        <v>79505</v>
      </c>
      <c r="C33749" s="1">
        <v>6.1117369578261701E-6</v>
      </c>
      <c r="D33749" s="1">
        <v>3.0352053468177301E-6</v>
      </c>
      <c r="E33749" s="1">
        <v>4.3455399550671099E-6</v>
      </c>
      <c r="F33749" s="1">
        <v>5.86962294039656E-6</v>
      </c>
    </row>
    <row r="33750" spans="1:6" x14ac:dyDescent="0.25">
      <c r="A33750" s="2" t="str">
        <f t="shared" si="1189"/>
        <v>99999</v>
      </c>
      <c r="B33750" s="2" t="str">
        <f>"79517"</f>
        <v>79517</v>
      </c>
      <c r="C33750" s="1">
        <v>4.4746645584084504E-6</v>
      </c>
      <c r="D33750" s="1">
        <v>3.0352053468177301E-6</v>
      </c>
      <c r="E33750" s="1">
        <v>8.69107991013423E-6</v>
      </c>
      <c r="F33750" s="1">
        <v>4.4768310562346604E-6</v>
      </c>
    </row>
    <row r="33751" spans="1:6" x14ac:dyDescent="0.25">
      <c r="A33751" s="2" t="str">
        <f t="shared" si="1189"/>
        <v>99999</v>
      </c>
      <c r="B33751" s="2" t="str">
        <f>"79547"</f>
        <v>79547</v>
      </c>
      <c r="C33751" s="1">
        <v>5.3150283901095501E-5</v>
      </c>
      <c r="D33751" s="1">
        <v>1.8211232080906399E-5</v>
      </c>
      <c r="E33751" s="1">
        <v>3.47643196405369E-5</v>
      </c>
      <c r="F33751" s="1">
        <v>5.0438963233577197E-5</v>
      </c>
    </row>
    <row r="33752" spans="1:6" x14ac:dyDescent="0.25">
      <c r="A33752" s="2" t="str">
        <f t="shared" si="1189"/>
        <v>99999</v>
      </c>
      <c r="B33752" s="2" t="str">
        <f>"79221"</f>
        <v>79221</v>
      </c>
      <c r="C33752" s="1">
        <v>1.09138159961181E-7</v>
      </c>
      <c r="D33752" s="1">
        <v>0</v>
      </c>
      <c r="E33752" s="1">
        <v>0</v>
      </c>
      <c r="F33752" s="1">
        <v>9.9485134582992598E-8</v>
      </c>
    </row>
    <row r="33753" spans="1:6" x14ac:dyDescent="0.25">
      <c r="A33753" s="2" t="str">
        <f t="shared" si="1189"/>
        <v>99999</v>
      </c>
      <c r="B33753" s="2" t="str">
        <f>"79239"</f>
        <v>79239</v>
      </c>
      <c r="C33753" s="1">
        <v>1.7025552953944301E-5</v>
      </c>
      <c r="D33753" s="1">
        <v>2.2764040101133E-5</v>
      </c>
      <c r="E33753" s="1">
        <v>4.3455399550671099E-6</v>
      </c>
      <c r="F33753" s="1">
        <v>1.7111443148274701E-5</v>
      </c>
    </row>
    <row r="33754" spans="1:6" x14ac:dyDescent="0.25">
      <c r="A33754" s="2" t="str">
        <f t="shared" si="1189"/>
        <v>99999</v>
      </c>
      <c r="B33754" s="2" t="str">
        <f>"79248"</f>
        <v>79248</v>
      </c>
      <c r="C33754" s="1">
        <v>3.4269382227811E-5</v>
      </c>
      <c r="D33754" s="1">
        <v>2.4281642774541899E-5</v>
      </c>
      <c r="E33754" s="1">
        <v>1.3036619865201299E-5</v>
      </c>
      <c r="F33754" s="1">
        <v>3.3128549816136499E-5</v>
      </c>
    </row>
    <row r="33755" spans="1:6" x14ac:dyDescent="0.25">
      <c r="A33755" s="2" t="str">
        <f t="shared" si="1189"/>
        <v>99999</v>
      </c>
      <c r="B33755" s="2" t="str">
        <f>"79231"</f>
        <v>79231</v>
      </c>
      <c r="C33755" s="1">
        <v>0</v>
      </c>
      <c r="D33755" s="1">
        <v>0</v>
      </c>
      <c r="E33755" s="1">
        <v>4.3455399550671099E-6</v>
      </c>
      <c r="F33755" s="1">
        <v>9.9485134582992598E-8</v>
      </c>
    </row>
    <row r="33756" spans="1:6" x14ac:dyDescent="0.25">
      <c r="A33756" s="2" t="str">
        <f t="shared" si="1189"/>
        <v>99999</v>
      </c>
      <c r="B33756" s="2" t="str">
        <f>"78840"</f>
        <v>78840</v>
      </c>
      <c r="C33756" s="1">
        <v>2.6193158390683598E-6</v>
      </c>
      <c r="D33756" s="1">
        <v>0</v>
      </c>
      <c r="E33756" s="1">
        <v>0</v>
      </c>
      <c r="F33756" s="1">
        <v>2.3876432299918199E-6</v>
      </c>
    </row>
    <row r="33757" spans="1:6" x14ac:dyDescent="0.25">
      <c r="A33757" s="2" t="str">
        <f t="shared" si="1189"/>
        <v>99999</v>
      </c>
      <c r="B33757" s="2" t="str">
        <f>"78832"</f>
        <v>78832</v>
      </c>
      <c r="C33757" s="1">
        <v>5.91528826989605E-5</v>
      </c>
      <c r="D33757" s="1">
        <v>1.9728834754315301E-5</v>
      </c>
      <c r="E33757" s="1">
        <v>5.21464794608054E-5</v>
      </c>
      <c r="F33757" s="1">
        <v>5.6408071308556803E-5</v>
      </c>
    </row>
    <row r="33758" spans="1:6" x14ac:dyDescent="0.25">
      <c r="A33758" s="2" t="str">
        <f t="shared" si="1189"/>
        <v>99999</v>
      </c>
      <c r="B33758" s="2" t="str">
        <f>"79084"</f>
        <v>79084</v>
      </c>
      <c r="C33758" s="1">
        <v>2.2809875431886899E-5</v>
      </c>
      <c r="D33758" s="1">
        <v>1.3658424060679801E-5</v>
      </c>
      <c r="E33758" s="1">
        <v>0</v>
      </c>
      <c r="F33758" s="1">
        <v>2.16877593390923E-5</v>
      </c>
    </row>
    <row r="33759" spans="1:6" x14ac:dyDescent="0.25">
      <c r="A33759" s="2" t="str">
        <f t="shared" si="1189"/>
        <v>99999</v>
      </c>
      <c r="B33759" s="2" t="str">
        <f>"78952"</f>
        <v>78952</v>
      </c>
      <c r="C33759" s="1">
        <v>0</v>
      </c>
      <c r="D33759" s="1">
        <v>1.51760267340886E-6</v>
      </c>
      <c r="E33759" s="1">
        <v>0</v>
      </c>
      <c r="F33759" s="1">
        <v>9.9485134582992598E-8</v>
      </c>
    </row>
    <row r="33760" spans="1:6" x14ac:dyDescent="0.25">
      <c r="A33760" s="2" t="str">
        <f t="shared" si="1189"/>
        <v>99999</v>
      </c>
      <c r="B33760" s="2" t="str">
        <f>"78954"</f>
        <v>78954</v>
      </c>
      <c r="C33760" s="1">
        <v>7.7815508052322502E-5</v>
      </c>
      <c r="D33760" s="1">
        <v>1.8970033417610801E-4</v>
      </c>
      <c r="E33760" s="1">
        <v>3.0418779685469802E-5</v>
      </c>
      <c r="F33760" s="1">
        <v>8.4064938722628696E-5</v>
      </c>
    </row>
    <row r="33761" spans="1:6" x14ac:dyDescent="0.25">
      <c r="A33761" s="2" t="str">
        <f t="shared" si="1189"/>
        <v>99999</v>
      </c>
      <c r="B33761" s="2" t="str">
        <f>"79033"</f>
        <v>79033</v>
      </c>
      <c r="C33761" s="1">
        <v>0</v>
      </c>
      <c r="D33761" s="1">
        <v>0</v>
      </c>
      <c r="E33761" s="1">
        <v>4.3455399550671099E-6</v>
      </c>
      <c r="F33761" s="1">
        <v>9.9485134582992598E-8</v>
      </c>
    </row>
    <row r="33762" spans="1:6" x14ac:dyDescent="0.25">
      <c r="A33762" s="2" t="str">
        <f t="shared" si="1189"/>
        <v>99999</v>
      </c>
      <c r="B33762" s="2" t="str">
        <f>"79043"</f>
        <v>79043</v>
      </c>
      <c r="C33762" s="1">
        <v>1.54976187144878E-5</v>
      </c>
      <c r="D33762" s="1">
        <v>1.3658424060679801E-5</v>
      </c>
      <c r="E33762" s="1">
        <v>4.3455399550671099E-6</v>
      </c>
      <c r="F33762" s="1">
        <v>1.51217404566148E-5</v>
      </c>
    </row>
    <row r="33763" spans="1:6" x14ac:dyDescent="0.25">
      <c r="A33763" s="2" t="str">
        <f t="shared" si="1189"/>
        <v>99999</v>
      </c>
      <c r="B33763" s="2" t="str">
        <f>"78946"</f>
        <v>78946</v>
      </c>
      <c r="C33763" s="1">
        <v>5.8607191899154502E-5</v>
      </c>
      <c r="D33763" s="1">
        <v>1.66936294074975E-5</v>
      </c>
      <c r="E33763" s="1">
        <v>1.9989483793308701E-4</v>
      </c>
      <c r="F33763" s="1">
        <v>5.90941699422976E-5</v>
      </c>
    </row>
    <row r="33764" spans="1:6" x14ac:dyDescent="0.25">
      <c r="A33764" s="2" t="str">
        <f t="shared" si="1189"/>
        <v>99999</v>
      </c>
      <c r="B33764" s="2" t="str">
        <f>"78942"</f>
        <v>78942</v>
      </c>
      <c r="C33764" s="1">
        <v>4.1145086305365502E-4</v>
      </c>
      <c r="D33764" s="1">
        <v>8.5896311314941998E-4</v>
      </c>
      <c r="E33764" s="1">
        <v>5.6492019415872502E-4</v>
      </c>
      <c r="F33764" s="1">
        <v>4.44300611047645E-4</v>
      </c>
    </row>
    <row r="33765" spans="1:6" x14ac:dyDescent="0.25">
      <c r="A33765" s="2" t="str">
        <f t="shared" si="1189"/>
        <v>99999</v>
      </c>
      <c r="B33765" s="2" t="str">
        <f>"78934"</f>
        <v>78934</v>
      </c>
      <c r="C33765" s="1">
        <v>3.7325250706724098E-4</v>
      </c>
      <c r="D33765" s="1">
        <v>6.3435791748490695E-4</v>
      </c>
      <c r="E33765" s="1">
        <v>3.4764319640536898E-4</v>
      </c>
      <c r="F33765" s="1">
        <v>3.8978275729616499E-4</v>
      </c>
    </row>
    <row r="33766" spans="1:6" x14ac:dyDescent="0.25">
      <c r="A33766" s="2" t="str">
        <f t="shared" si="1189"/>
        <v>99999</v>
      </c>
      <c r="B33766" s="2" t="str">
        <f>"78671"</f>
        <v>78671</v>
      </c>
      <c r="C33766" s="1">
        <v>6.5482895976708995E-7</v>
      </c>
      <c r="D33766" s="1">
        <v>0</v>
      </c>
      <c r="E33766" s="1">
        <v>0</v>
      </c>
      <c r="F33766" s="1">
        <v>5.9691080749795498E-7</v>
      </c>
    </row>
    <row r="33767" spans="1:6" x14ac:dyDescent="0.25">
      <c r="A33767" s="2" t="str">
        <f t="shared" si="1189"/>
        <v>99999</v>
      </c>
      <c r="B33767" s="2" t="str">
        <f>"78669"</f>
        <v>78669</v>
      </c>
      <c r="C33767" s="1">
        <v>2.79502827660586E-4</v>
      </c>
      <c r="D33767" s="1">
        <v>2.5647485180609801E-4</v>
      </c>
      <c r="E33767" s="1">
        <v>8.2565259146275205E-5</v>
      </c>
      <c r="F33767" s="1">
        <v>2.7348463496864602E-4</v>
      </c>
    </row>
    <row r="33768" spans="1:6" x14ac:dyDescent="0.25">
      <c r="A33768" s="2" t="str">
        <f t="shared" si="1189"/>
        <v>99999</v>
      </c>
      <c r="B33768" s="2" t="str">
        <f>"78659"</f>
        <v>78659</v>
      </c>
      <c r="C33768" s="1">
        <v>1.7462105593788999E-5</v>
      </c>
      <c r="D33768" s="1">
        <v>3.0352053468177301E-6</v>
      </c>
      <c r="E33768" s="1">
        <v>1.7382159820268399E-5</v>
      </c>
      <c r="F33768" s="1">
        <v>1.65145323407767E-5</v>
      </c>
    </row>
    <row r="33769" spans="1:6" x14ac:dyDescent="0.25">
      <c r="A33769" s="2" t="str">
        <f t="shared" si="1189"/>
        <v>99999</v>
      </c>
      <c r="B33769" s="2" t="str">
        <f>"78657"</f>
        <v>78657</v>
      </c>
      <c r="C33769" s="1">
        <v>5.4961977356451095E-4</v>
      </c>
      <c r="D33769" s="1">
        <v>4.5072799400243402E-4</v>
      </c>
      <c r="E33769" s="1">
        <v>1.3949183255765401E-3</v>
      </c>
      <c r="F33769" s="1">
        <v>5.6248895093223995E-4</v>
      </c>
    </row>
    <row r="33770" spans="1:6" x14ac:dyDescent="0.25">
      <c r="A33770" s="2" t="str">
        <f t="shared" si="1189"/>
        <v>99999</v>
      </c>
      <c r="B33770" s="2" t="str">
        <f>"78636"</f>
        <v>78636</v>
      </c>
      <c r="C33770" s="1">
        <v>1.61087924102704E-4</v>
      </c>
      <c r="D33770" s="1">
        <v>8.3468147037487798E-5</v>
      </c>
      <c r="E33770" s="1">
        <v>1.39057278562147E-4</v>
      </c>
      <c r="F33770" s="1">
        <v>1.5549526535321701E-4</v>
      </c>
    </row>
    <row r="33771" spans="1:6" x14ac:dyDescent="0.25">
      <c r="A33771" s="2" t="str">
        <f t="shared" si="1189"/>
        <v>99999</v>
      </c>
      <c r="B33771" s="2" t="str">
        <f>"78383"</f>
        <v>78383</v>
      </c>
      <c r="C33771" s="1">
        <v>1.0717367308188E-4</v>
      </c>
      <c r="D33771" s="1">
        <v>7.5880133670443404E-6</v>
      </c>
      <c r="E33771" s="1">
        <v>3.47643196405369E-5</v>
      </c>
      <c r="F33771" s="1">
        <v>9.8987708910077606E-5</v>
      </c>
    </row>
    <row r="33772" spans="1:6" x14ac:dyDescent="0.25">
      <c r="A33772" s="2" t="str">
        <f t="shared" si="1189"/>
        <v>99999</v>
      </c>
      <c r="B33772" s="2" t="str">
        <f>"78027"</f>
        <v>78027</v>
      </c>
      <c r="C33772" s="1">
        <v>2.07362503926245E-6</v>
      </c>
      <c r="D33772" s="1">
        <v>0</v>
      </c>
      <c r="E33772" s="1">
        <v>0</v>
      </c>
      <c r="F33772" s="1">
        <v>1.89021755707686E-6</v>
      </c>
    </row>
    <row r="33773" spans="1:6" x14ac:dyDescent="0.25">
      <c r="A33773" s="2" t="str">
        <f t="shared" si="1189"/>
        <v>99999</v>
      </c>
      <c r="B33773" s="2" t="str">
        <f>"78021"</f>
        <v>78021</v>
      </c>
      <c r="C33773" s="1">
        <v>2.07362503926245E-6</v>
      </c>
      <c r="D33773" s="1">
        <v>1.51760267340886E-6</v>
      </c>
      <c r="E33773" s="1">
        <v>3.47643196405369E-5</v>
      </c>
      <c r="F33773" s="1">
        <v>2.7855837683237898E-6</v>
      </c>
    </row>
    <row r="33774" spans="1:6" x14ac:dyDescent="0.25">
      <c r="A33774" s="2" t="str">
        <f t="shared" si="1189"/>
        <v>99999</v>
      </c>
      <c r="B33774" s="2" t="str">
        <f>"78019"</f>
        <v>78019</v>
      </c>
      <c r="C33774" s="1">
        <v>5.4569079980590801E-7</v>
      </c>
      <c r="D33774" s="1">
        <v>1.51760267340886E-6</v>
      </c>
      <c r="E33774" s="1">
        <v>0</v>
      </c>
      <c r="F33774" s="1">
        <v>5.9691080749795498E-7</v>
      </c>
    </row>
    <row r="33775" spans="1:6" x14ac:dyDescent="0.25">
      <c r="A33775" s="2" t="str">
        <f t="shared" si="1189"/>
        <v>99999</v>
      </c>
      <c r="B33775" s="2" t="str">
        <f>"78116"</f>
        <v>78116</v>
      </c>
      <c r="C33775" s="1">
        <v>1.6916414793983099E-5</v>
      </c>
      <c r="D33775" s="1">
        <v>3.0352053468177301E-6</v>
      </c>
      <c r="E33775" s="1">
        <v>1.7382159820268399E-5</v>
      </c>
      <c r="F33775" s="1">
        <v>1.6017106667861799E-5</v>
      </c>
    </row>
    <row r="33776" spans="1:6" x14ac:dyDescent="0.25">
      <c r="A33776" s="2" t="str">
        <f t="shared" si="1189"/>
        <v>99999</v>
      </c>
      <c r="B33776" s="2" t="str">
        <f>"78072"</f>
        <v>78072</v>
      </c>
      <c r="C33776" s="1">
        <v>7.5305330373215401E-6</v>
      </c>
      <c r="D33776" s="1">
        <v>9.1056160404532095E-6</v>
      </c>
      <c r="E33776" s="1">
        <v>4.3455399550671099E-6</v>
      </c>
      <c r="F33776" s="1">
        <v>7.5608702283074398E-6</v>
      </c>
    </row>
    <row r="33777" spans="1:6" x14ac:dyDescent="0.25">
      <c r="A33777" s="2" t="str">
        <f t="shared" si="1189"/>
        <v>99999</v>
      </c>
      <c r="B33777" s="2" t="str">
        <f>"77970"</f>
        <v>77970</v>
      </c>
      <c r="C33777" s="1">
        <v>1.09138159961181E-7</v>
      </c>
      <c r="D33777" s="1">
        <v>1.51760267340886E-6</v>
      </c>
      <c r="E33777" s="1">
        <v>0</v>
      </c>
      <c r="F33777" s="1">
        <v>1.9897026916598501E-7</v>
      </c>
    </row>
    <row r="33778" spans="1:6" x14ac:dyDescent="0.25">
      <c r="A33778" s="2" t="str">
        <f t="shared" si="1189"/>
        <v>99999</v>
      </c>
      <c r="B33778" s="2" t="str">
        <f>"77964"</f>
        <v>77964</v>
      </c>
      <c r="C33778" s="1">
        <v>4.4626593608127201E-4</v>
      </c>
      <c r="D33778" s="1">
        <v>5.4026655173355703E-4</v>
      </c>
      <c r="E33778" s="1">
        <v>6.9963193276580495E-4</v>
      </c>
      <c r="F33778" s="1">
        <v>4.5822852988926401E-4</v>
      </c>
    </row>
    <row r="33779" spans="1:6" x14ac:dyDescent="0.25">
      <c r="A33779" s="2" t="str">
        <f t="shared" si="1189"/>
        <v>99999</v>
      </c>
      <c r="B33779" s="2" t="str">
        <f>"77664"</f>
        <v>77664</v>
      </c>
      <c r="C33779" s="1">
        <v>1.5890516090348E-4</v>
      </c>
      <c r="D33779" s="1">
        <v>4.7045682875674899E-5</v>
      </c>
      <c r="E33779" s="1">
        <v>7.1701409258607398E-4</v>
      </c>
      <c r="F33779" s="1">
        <v>1.64349442331103E-4</v>
      </c>
    </row>
    <row r="33780" spans="1:6" x14ac:dyDescent="0.25">
      <c r="A33780" s="2" t="str">
        <f t="shared" si="1189"/>
        <v>99999</v>
      </c>
      <c r="B33780" s="2" t="str">
        <f>"77857"</f>
        <v>77857</v>
      </c>
      <c r="C33780" s="1">
        <v>5.14040733417165E-5</v>
      </c>
      <c r="D33780" s="1">
        <v>1.51760267340886E-6</v>
      </c>
      <c r="E33780" s="1">
        <v>0</v>
      </c>
      <c r="F33780" s="1">
        <v>4.69569835231725E-5</v>
      </c>
    </row>
    <row r="33781" spans="1:6" x14ac:dyDescent="0.25">
      <c r="A33781" s="2" t="str">
        <f t="shared" si="1189"/>
        <v>99999</v>
      </c>
      <c r="B33781" s="2" t="str">
        <f>"77624"</f>
        <v>77624</v>
      </c>
      <c r="C33781" s="1">
        <v>3.1322651908859099E-5</v>
      </c>
      <c r="D33781" s="1">
        <v>1.51760267340886E-6</v>
      </c>
      <c r="E33781" s="1">
        <v>0</v>
      </c>
      <c r="F33781" s="1">
        <v>2.86517187599018E-5</v>
      </c>
    </row>
    <row r="33782" spans="1:6" x14ac:dyDescent="0.25">
      <c r="A33782" s="2" t="str">
        <f t="shared" si="1189"/>
        <v>99999</v>
      </c>
      <c r="B33782" s="2" t="str">
        <f>"77632"</f>
        <v>77632</v>
      </c>
      <c r="C33782" s="1">
        <v>9.6368995245723395E-5</v>
      </c>
      <c r="D33782" s="1">
        <v>2.2764040101133E-5</v>
      </c>
      <c r="E33782" s="1">
        <v>4.3455399550671099E-6</v>
      </c>
      <c r="F33782" s="1">
        <v>8.9437135990110304E-5</v>
      </c>
    </row>
    <row r="33783" spans="1:6" x14ac:dyDescent="0.25">
      <c r="A33783" s="2" t="str">
        <f t="shared" si="1189"/>
        <v>99999</v>
      </c>
      <c r="B33783" s="2" t="str">
        <f>"76950"</f>
        <v>76950</v>
      </c>
      <c r="C33783" s="1">
        <v>1.8389779953459099E-4</v>
      </c>
      <c r="D33783" s="1">
        <v>3.9912950310653199E-4</v>
      </c>
      <c r="E33783" s="1">
        <v>4.30208455551644E-4</v>
      </c>
      <c r="F33783" s="1">
        <v>2.0364607049138501E-4</v>
      </c>
    </row>
    <row r="33784" spans="1:6" x14ac:dyDescent="0.25">
      <c r="A33784" s="2" t="str">
        <f t="shared" si="1189"/>
        <v>99999</v>
      </c>
      <c r="B33784" s="2" t="str">
        <f>"76945"</f>
        <v>76945</v>
      </c>
      <c r="C33784" s="1">
        <v>9.0475534607819606E-5</v>
      </c>
      <c r="D33784" s="1">
        <v>3.3387258814995101E-5</v>
      </c>
      <c r="E33784" s="1">
        <v>3.0418779685469802E-5</v>
      </c>
      <c r="F33784" s="1">
        <v>8.5358245472207602E-5</v>
      </c>
    </row>
    <row r="33785" spans="1:6" x14ac:dyDescent="0.25">
      <c r="A33785" s="2" t="str">
        <f t="shared" si="1189"/>
        <v>99999</v>
      </c>
      <c r="B33785" s="2" t="str">
        <f>"76857"</f>
        <v>76857</v>
      </c>
      <c r="C33785" s="1">
        <v>1.52793423945654E-6</v>
      </c>
      <c r="D33785" s="1">
        <v>0</v>
      </c>
      <c r="E33785" s="1">
        <v>0</v>
      </c>
      <c r="F33785" s="1">
        <v>1.39279188416189E-6</v>
      </c>
    </row>
    <row r="33786" spans="1:6" x14ac:dyDescent="0.25">
      <c r="A33786" s="2" t="str">
        <f t="shared" si="1189"/>
        <v>99999</v>
      </c>
      <c r="B33786" s="2" t="str">
        <f>"76858"</f>
        <v>76858</v>
      </c>
      <c r="C33786" s="1">
        <v>7.6396711972827196E-6</v>
      </c>
      <c r="D33786" s="1">
        <v>6.0704106936354696E-6</v>
      </c>
      <c r="E33786" s="1">
        <v>2.1727699775335501E-5</v>
      </c>
      <c r="F33786" s="1">
        <v>7.85932563205641E-6</v>
      </c>
    </row>
    <row r="33787" spans="1:6" x14ac:dyDescent="0.25">
      <c r="A33787" s="2" t="str">
        <f t="shared" si="1189"/>
        <v>99999</v>
      </c>
      <c r="B33787" s="2" t="str">
        <f>"76844"</f>
        <v>76844</v>
      </c>
      <c r="C33787" s="1">
        <v>2.39449122954832E-4</v>
      </c>
      <c r="D33787" s="1">
        <v>1.0623218713862E-4</v>
      </c>
      <c r="E33787" s="1">
        <v>1.39057278562147E-4</v>
      </c>
      <c r="F33787" s="1">
        <v>2.2841786900255101E-4</v>
      </c>
    </row>
    <row r="33788" spans="1:6" x14ac:dyDescent="0.25">
      <c r="A33788" s="2" t="str">
        <f t="shared" si="1189"/>
        <v>99999</v>
      </c>
      <c r="B33788" s="2" t="str">
        <f>"76841"</f>
        <v>76841</v>
      </c>
      <c r="C33788" s="1">
        <v>1.01498488763899E-5</v>
      </c>
      <c r="D33788" s="1">
        <v>3.0352053468177301E-6</v>
      </c>
      <c r="E33788" s="1">
        <v>0</v>
      </c>
      <c r="F33788" s="1">
        <v>9.4510877853842998E-6</v>
      </c>
    </row>
    <row r="33789" spans="1:6" x14ac:dyDescent="0.25">
      <c r="A33789" s="2" t="str">
        <f t="shared" si="1189"/>
        <v>99999</v>
      </c>
      <c r="B33789" s="2" t="str">
        <f>"76649"</f>
        <v>76649</v>
      </c>
      <c r="C33789" s="1">
        <v>4.0053704705753601E-5</v>
      </c>
      <c r="D33789" s="1">
        <v>7.5880133670443404E-6</v>
      </c>
      <c r="E33789" s="1">
        <v>3.47643196405369E-5</v>
      </c>
      <c r="F33789" s="1">
        <v>3.7804351141537199E-5</v>
      </c>
    </row>
    <row r="33790" spans="1:6" x14ac:dyDescent="0.25">
      <c r="A33790" s="2" t="str">
        <f t="shared" si="1189"/>
        <v>99999</v>
      </c>
      <c r="B33790" s="2" t="str">
        <f>"76642"</f>
        <v>76642</v>
      </c>
      <c r="C33790" s="1">
        <v>3.5611781595333602E-4</v>
      </c>
      <c r="D33790" s="1">
        <v>5.1902011430583295E-4</v>
      </c>
      <c r="E33790" s="1">
        <v>5.3450141447325503E-4</v>
      </c>
      <c r="F33790" s="1">
        <v>3.7088058172539602E-4</v>
      </c>
    </row>
    <row r="33791" spans="1:6" x14ac:dyDescent="0.25">
      <c r="A33791" s="2" t="str">
        <f t="shared" si="1189"/>
        <v>99999</v>
      </c>
      <c r="B33791" s="2" t="str">
        <f>"76534"</f>
        <v>76534</v>
      </c>
      <c r="C33791" s="1">
        <v>3.1650066388742701E-6</v>
      </c>
      <c r="D33791" s="1">
        <v>0</v>
      </c>
      <c r="E33791" s="1">
        <v>0</v>
      </c>
      <c r="F33791" s="1">
        <v>2.8850689029067799E-6</v>
      </c>
    </row>
    <row r="33792" spans="1:6" x14ac:dyDescent="0.25">
      <c r="A33792" s="2" t="str">
        <f t="shared" si="1189"/>
        <v>99999</v>
      </c>
      <c r="B33792" s="2" t="str">
        <f>"76530"</f>
        <v>76530</v>
      </c>
      <c r="C33792" s="1">
        <v>3.2741447988354498E-7</v>
      </c>
      <c r="D33792" s="1">
        <v>0</v>
      </c>
      <c r="E33792" s="1">
        <v>0</v>
      </c>
      <c r="F33792" s="1">
        <v>2.9845540374897701E-7</v>
      </c>
    </row>
    <row r="33793" spans="1:6" x14ac:dyDescent="0.25">
      <c r="A33793" s="2" t="str">
        <f t="shared" si="1189"/>
        <v>99999</v>
      </c>
      <c r="B33793" s="2" t="str">
        <f>"76633"</f>
        <v>76633</v>
      </c>
      <c r="C33793" s="1">
        <v>2.5320053110994099E-5</v>
      </c>
      <c r="D33793" s="1">
        <v>0</v>
      </c>
      <c r="E33793" s="1">
        <v>0</v>
      </c>
      <c r="F33793" s="1">
        <v>2.3080551223254198E-5</v>
      </c>
    </row>
    <row r="33794" spans="1:6" x14ac:dyDescent="0.25">
      <c r="A33794" s="2" t="str">
        <f t="shared" si="1189"/>
        <v>99999</v>
      </c>
      <c r="B33794" s="2" t="str">
        <f>"76636"</f>
        <v>76636</v>
      </c>
      <c r="C33794" s="1">
        <v>7.3995672453681198E-5</v>
      </c>
      <c r="D33794" s="1">
        <v>1.66936294074975E-5</v>
      </c>
      <c r="E33794" s="1">
        <v>2.1727699775335501E-5</v>
      </c>
      <c r="F33794" s="1">
        <v>6.9042683400596794E-5</v>
      </c>
    </row>
    <row r="33795" spans="1:6" x14ac:dyDescent="0.25">
      <c r="A33795" s="2" t="str">
        <f t="shared" si="1189"/>
        <v>99999</v>
      </c>
      <c r="B33795" s="2" t="str">
        <f>"76635"</f>
        <v>76635</v>
      </c>
      <c r="C33795" s="1">
        <v>4.8020790382919898E-5</v>
      </c>
      <c r="D33795" s="1">
        <v>1.3658424060679801E-5</v>
      </c>
      <c r="E33795" s="1">
        <v>3.0418779685469802E-5</v>
      </c>
      <c r="F33795" s="1">
        <v>4.5365221369844598E-5</v>
      </c>
    </row>
    <row r="33796" spans="1:6" x14ac:dyDescent="0.25">
      <c r="A33796" s="2" t="str">
        <f t="shared" si="1189"/>
        <v>99999</v>
      </c>
      <c r="B33796" s="2" t="str">
        <f>"76365"</f>
        <v>76365</v>
      </c>
      <c r="C33796" s="1">
        <v>2.5101776791071799E-6</v>
      </c>
      <c r="D33796" s="1">
        <v>0</v>
      </c>
      <c r="E33796" s="1">
        <v>0</v>
      </c>
      <c r="F33796" s="1">
        <v>2.2881580954088299E-6</v>
      </c>
    </row>
    <row r="33797" spans="1:6" x14ac:dyDescent="0.25">
      <c r="A33797" s="2" t="str">
        <f t="shared" si="1189"/>
        <v>99999</v>
      </c>
      <c r="B33797" s="2" t="str">
        <f>"76432"</f>
        <v>76432</v>
      </c>
      <c r="C33797" s="1">
        <v>6.6574277576320803E-6</v>
      </c>
      <c r="D33797" s="1">
        <v>3.0352053468177301E-6</v>
      </c>
      <c r="E33797" s="1">
        <v>0</v>
      </c>
      <c r="F33797" s="1">
        <v>6.2675634787285303E-6</v>
      </c>
    </row>
    <row r="33798" spans="1:6" x14ac:dyDescent="0.25">
      <c r="A33798" s="2" t="str">
        <f t="shared" si="1189"/>
        <v>99999</v>
      </c>
      <c r="B33798" s="2" t="str">
        <f>"76444"</f>
        <v>76444</v>
      </c>
      <c r="C33798" s="1">
        <v>2.1369251720399301E-4</v>
      </c>
      <c r="D33798" s="1">
        <v>2.8986211062109399E-4</v>
      </c>
      <c r="E33798" s="1">
        <v>2.6073239730402698E-4</v>
      </c>
      <c r="F33798" s="1">
        <v>2.1976266229383E-4</v>
      </c>
    </row>
    <row r="33799" spans="1:6" x14ac:dyDescent="0.25">
      <c r="A33799" s="2" t="str">
        <f t="shared" si="1189"/>
        <v>99999</v>
      </c>
      <c r="B33799" s="2" t="str">
        <f>"76487"</f>
        <v>76487</v>
      </c>
      <c r="C33799" s="1">
        <v>7.3122567173991701E-6</v>
      </c>
      <c r="D33799" s="1">
        <v>7.5880133670443404E-6</v>
      </c>
      <c r="E33799" s="1">
        <v>0</v>
      </c>
      <c r="F33799" s="1">
        <v>7.1629296899754602E-6</v>
      </c>
    </row>
    <row r="33800" spans="1:6" x14ac:dyDescent="0.25">
      <c r="A33800" s="2" t="str">
        <f t="shared" si="1189"/>
        <v>99999</v>
      </c>
      <c r="B33800" s="2" t="str">
        <f>"76470"</f>
        <v>76470</v>
      </c>
      <c r="C33800" s="1">
        <v>2.1238285928445899E-4</v>
      </c>
      <c r="D33800" s="1">
        <v>3.0352053468177303E-4</v>
      </c>
      <c r="E33800" s="1">
        <v>1.9554929797801999E-4</v>
      </c>
      <c r="F33800" s="1">
        <v>2.1797192987133601E-4</v>
      </c>
    </row>
    <row r="33801" spans="1:6" x14ac:dyDescent="0.25">
      <c r="A33801" s="2" t="str">
        <f t="shared" si="1189"/>
        <v>99999</v>
      </c>
      <c r="B33801" s="2" t="str">
        <f>"76388"</f>
        <v>76388</v>
      </c>
      <c r="C33801" s="1">
        <v>8.6219146369333496E-6</v>
      </c>
      <c r="D33801" s="1">
        <v>0</v>
      </c>
      <c r="E33801" s="1">
        <v>1.3036619865201299E-5</v>
      </c>
      <c r="F33801" s="1">
        <v>8.1577810358053902E-6</v>
      </c>
    </row>
    <row r="33802" spans="1:6" x14ac:dyDescent="0.25">
      <c r="A33802" s="2" t="str">
        <f t="shared" si="1189"/>
        <v>99999</v>
      </c>
      <c r="B33802" s="2" t="str">
        <f>"76380"</f>
        <v>76380</v>
      </c>
      <c r="C33802" s="1">
        <v>2.6324124182637001E-4</v>
      </c>
      <c r="D33802" s="1">
        <v>4.30999159248118E-4</v>
      </c>
      <c r="E33802" s="1">
        <v>2.9549671694456298E-4</v>
      </c>
      <c r="F33802" s="1">
        <v>2.7497691198739101E-4</v>
      </c>
    </row>
    <row r="33803" spans="1:6" x14ac:dyDescent="0.25">
      <c r="A33803" s="2" t="str">
        <f t="shared" si="1189"/>
        <v>99999</v>
      </c>
      <c r="B33803" s="2" t="str">
        <f>"75974"</f>
        <v>75974</v>
      </c>
      <c r="C33803" s="1">
        <v>1.3936943027042899E-4</v>
      </c>
      <c r="D33803" s="1">
        <v>5.4633696242719298E-5</v>
      </c>
      <c r="E33803" s="1">
        <v>1.5252845242285499E-3</v>
      </c>
      <c r="F33803" s="1">
        <v>1.6554326394609901E-4</v>
      </c>
    </row>
    <row r="33804" spans="1:6" x14ac:dyDescent="0.25">
      <c r="A33804" s="2" t="str">
        <f t="shared" si="1189"/>
        <v>99999</v>
      </c>
      <c r="B33804" s="2" t="str">
        <f>"75783"</f>
        <v>75783</v>
      </c>
      <c r="C33804" s="1">
        <v>4.28258139687677E-4</v>
      </c>
      <c r="D33804" s="1">
        <v>2.7772128923382301E-4</v>
      </c>
      <c r="E33804" s="1">
        <v>7.9523381177728201E-4</v>
      </c>
      <c r="F33804" s="1">
        <v>4.2679122736103802E-4</v>
      </c>
    </row>
    <row r="33805" spans="1:6" x14ac:dyDescent="0.25">
      <c r="A33805" s="2" t="str">
        <f t="shared" si="1189"/>
        <v>99999</v>
      </c>
      <c r="B33805" s="2" t="str">
        <f>"75934"</f>
        <v>75934</v>
      </c>
      <c r="C33805" s="1">
        <v>0</v>
      </c>
      <c r="D33805" s="1">
        <v>1.51760267340886E-6</v>
      </c>
      <c r="E33805" s="1">
        <v>0</v>
      </c>
      <c r="F33805" s="1">
        <v>9.9485134582992598E-8</v>
      </c>
    </row>
    <row r="33806" spans="1:6" x14ac:dyDescent="0.25">
      <c r="A33806" s="2" t="str">
        <f t="shared" si="1189"/>
        <v>99999</v>
      </c>
      <c r="B33806" s="2" t="str">
        <f>"75933"</f>
        <v>75933</v>
      </c>
      <c r="C33806" s="1">
        <v>1.33803384112408E-4</v>
      </c>
      <c r="D33806" s="1">
        <v>2.4281642774541899E-5</v>
      </c>
      <c r="E33806" s="1">
        <v>0</v>
      </c>
      <c r="F33806" s="1">
        <v>1.2356053715207601E-4</v>
      </c>
    </row>
    <row r="33807" spans="1:6" x14ac:dyDescent="0.25">
      <c r="A33807" s="2" t="str">
        <f t="shared" si="1189"/>
        <v>99999</v>
      </c>
      <c r="B33807" s="2" t="str">
        <f>"75948"</f>
        <v>75948</v>
      </c>
      <c r="C33807" s="1">
        <v>6.39222202892641E-4</v>
      </c>
      <c r="D33807" s="1">
        <v>4.52245596675843E-4</v>
      </c>
      <c r="E33807" s="1">
        <v>1.0429295892161E-4</v>
      </c>
      <c r="F33807" s="1">
        <v>6.1471864658831099E-4</v>
      </c>
    </row>
    <row r="33808" spans="1:6" x14ac:dyDescent="0.25">
      <c r="A33808" s="2" t="str">
        <f t="shared" si="1189"/>
        <v>99999</v>
      </c>
      <c r="B33808" s="2" t="str">
        <f>"75865"</f>
        <v>75865</v>
      </c>
      <c r="C33808" s="1">
        <v>5.4569079980590801E-7</v>
      </c>
      <c r="D33808" s="1">
        <v>0</v>
      </c>
      <c r="E33808" s="1">
        <v>4.3455399550671099E-6</v>
      </c>
      <c r="F33808" s="1">
        <v>5.9691080749795498E-7</v>
      </c>
    </row>
    <row r="33809" spans="1:6" x14ac:dyDescent="0.25">
      <c r="A33809" s="2" t="str">
        <f t="shared" si="1189"/>
        <v>99999</v>
      </c>
      <c r="B33809" s="2" t="str">
        <f>"75856"</f>
        <v>75856</v>
      </c>
      <c r="C33809" s="1">
        <v>1.8335210873478499E-5</v>
      </c>
      <c r="D33809" s="1">
        <v>6.0704106936354696E-6</v>
      </c>
      <c r="E33809" s="1">
        <v>4.3455399550671099E-6</v>
      </c>
      <c r="F33809" s="1">
        <v>1.7210928282857699E-5</v>
      </c>
    </row>
    <row r="33810" spans="1:6" x14ac:dyDescent="0.25">
      <c r="A33810" s="2" t="str">
        <f t="shared" ref="A33810:A33873" si="1190">"99999"</f>
        <v>99999</v>
      </c>
      <c r="B33810" s="2" t="str">
        <f>"75848"</f>
        <v>75848</v>
      </c>
      <c r="C33810" s="1">
        <v>1.09138159961181E-7</v>
      </c>
      <c r="D33810" s="1">
        <v>0</v>
      </c>
      <c r="E33810" s="1">
        <v>4.3455399550671099E-6</v>
      </c>
      <c r="F33810" s="1">
        <v>1.9897026916598501E-7</v>
      </c>
    </row>
    <row r="33811" spans="1:6" x14ac:dyDescent="0.25">
      <c r="A33811" s="2" t="str">
        <f t="shared" si="1190"/>
        <v>99999</v>
      </c>
      <c r="B33811" s="2" t="str">
        <f>"75756"</f>
        <v>75756</v>
      </c>
      <c r="C33811" s="1">
        <v>8.2945001570498102E-6</v>
      </c>
      <c r="D33811" s="1">
        <v>1.66936294074975E-5</v>
      </c>
      <c r="E33811" s="1">
        <v>0</v>
      </c>
      <c r="F33811" s="1">
        <v>8.6552067087203506E-6</v>
      </c>
    </row>
    <row r="33812" spans="1:6" x14ac:dyDescent="0.25">
      <c r="A33812" s="2" t="str">
        <f t="shared" si="1190"/>
        <v>99999</v>
      </c>
      <c r="B33812" s="2" t="str">
        <f>"75643"</f>
        <v>75643</v>
      </c>
      <c r="C33812" s="1">
        <v>1.6119706226266499E-4</v>
      </c>
      <c r="D33812" s="1">
        <v>2.2764040101133E-5</v>
      </c>
      <c r="E33812" s="1">
        <v>1.3036619865201299E-5</v>
      </c>
      <c r="F33812" s="1">
        <v>1.48730276201573E-4</v>
      </c>
    </row>
    <row r="33813" spans="1:6" x14ac:dyDescent="0.25">
      <c r="A33813" s="2" t="str">
        <f t="shared" si="1190"/>
        <v>99999</v>
      </c>
      <c r="B33813" s="2" t="str">
        <f>"75638"</f>
        <v>75638</v>
      </c>
      <c r="C33813" s="1">
        <v>4.0752188929505198E-4</v>
      </c>
      <c r="D33813" s="1">
        <v>4.76527239450385E-4</v>
      </c>
      <c r="E33813" s="1">
        <v>2.0424037788815399E-4</v>
      </c>
      <c r="F33813" s="1">
        <v>4.0739162611735398E-4</v>
      </c>
    </row>
    <row r="33814" spans="1:6" x14ac:dyDescent="0.25">
      <c r="A33814" s="2" t="str">
        <f t="shared" si="1190"/>
        <v>99999</v>
      </c>
      <c r="B33814" s="2" t="str">
        <f>"75672"</f>
        <v>75672</v>
      </c>
      <c r="C33814" s="1">
        <v>2.4010395191459898E-6</v>
      </c>
      <c r="D33814" s="1">
        <v>0</v>
      </c>
      <c r="E33814" s="1">
        <v>0</v>
      </c>
      <c r="F33814" s="1">
        <v>2.1886729608258301E-6</v>
      </c>
    </row>
    <row r="33815" spans="1:6" x14ac:dyDescent="0.25">
      <c r="A33815" s="2" t="str">
        <f t="shared" si="1190"/>
        <v>99999</v>
      </c>
      <c r="B33815" s="2" t="str">
        <f>"75669"</f>
        <v>75669</v>
      </c>
      <c r="C33815" s="1">
        <v>3.5142487507500497E-5</v>
      </c>
      <c r="D33815" s="1">
        <v>1.8211232080906399E-5</v>
      </c>
      <c r="E33815" s="1">
        <v>9.1256339056409395E-5</v>
      </c>
      <c r="F33815" s="1">
        <v>3.5317222776962297E-5</v>
      </c>
    </row>
    <row r="33816" spans="1:6" x14ac:dyDescent="0.25">
      <c r="A33816" s="2" t="str">
        <f t="shared" si="1190"/>
        <v>99999</v>
      </c>
      <c r="B33816" s="2" t="str">
        <f>"75444"</f>
        <v>75444</v>
      </c>
      <c r="C33816" s="1">
        <v>0</v>
      </c>
      <c r="D33816" s="1">
        <v>0</v>
      </c>
      <c r="E33816" s="1">
        <v>4.3455399550671099E-6</v>
      </c>
      <c r="F33816" s="1">
        <v>9.9485134582992598E-8</v>
      </c>
    </row>
    <row r="33817" spans="1:6" x14ac:dyDescent="0.25">
      <c r="A33817" s="2" t="str">
        <f t="shared" si="1190"/>
        <v>99999</v>
      </c>
      <c r="B33817" s="2" t="str">
        <f>"75440"</f>
        <v>75440</v>
      </c>
      <c r="C33817" s="1">
        <v>4.9974363446225105E-4</v>
      </c>
      <c r="D33817" s="1">
        <v>4.94738471531291E-4</v>
      </c>
      <c r="E33817" s="1">
        <v>2.6073239730402698E-4</v>
      </c>
      <c r="F33817" s="1">
        <v>4.9394369320455804E-4</v>
      </c>
    </row>
    <row r="33818" spans="1:6" x14ac:dyDescent="0.25">
      <c r="A33818" s="2" t="str">
        <f t="shared" si="1190"/>
        <v>99999</v>
      </c>
      <c r="B33818" s="2" t="str">
        <f>"75432"</f>
        <v>75432</v>
      </c>
      <c r="C33818" s="1">
        <v>2.1522045144344999E-4</v>
      </c>
      <c r="D33818" s="1">
        <v>2.6558046784655199E-4</v>
      </c>
      <c r="E33818" s="1">
        <v>1.30366198652013E-4</v>
      </c>
      <c r="F33818" s="1">
        <v>2.1657913798717399E-4</v>
      </c>
    </row>
    <row r="33819" spans="1:6" x14ac:dyDescent="0.25">
      <c r="A33819" s="2" t="str">
        <f t="shared" si="1190"/>
        <v>99999</v>
      </c>
      <c r="B33819" s="2" t="str">
        <f>"75428"</f>
        <v>75428</v>
      </c>
      <c r="C33819" s="1">
        <v>9.1676054367392598E-6</v>
      </c>
      <c r="D33819" s="1">
        <v>4.5528080202265997E-6</v>
      </c>
      <c r="E33819" s="1">
        <v>0</v>
      </c>
      <c r="F33819" s="1">
        <v>8.6552067087203506E-6</v>
      </c>
    </row>
    <row r="33820" spans="1:6" x14ac:dyDescent="0.25">
      <c r="A33820" s="2" t="str">
        <f t="shared" si="1190"/>
        <v>99999</v>
      </c>
      <c r="B33820" s="2" t="str">
        <f>"75554"</f>
        <v>75554</v>
      </c>
      <c r="C33820" s="1">
        <v>1.34676489392098E-4</v>
      </c>
      <c r="D33820" s="1">
        <v>4.5528080202266E-5</v>
      </c>
      <c r="E33820" s="1">
        <v>8.69107991013423E-6</v>
      </c>
      <c r="F33820" s="1">
        <v>1.25948180382068E-4</v>
      </c>
    </row>
    <row r="33821" spans="1:6" x14ac:dyDescent="0.25">
      <c r="A33821" s="2" t="str">
        <f t="shared" si="1190"/>
        <v>99999</v>
      </c>
      <c r="B33821" s="2" t="str">
        <f>"75417"</f>
        <v>75417</v>
      </c>
      <c r="C33821" s="1">
        <v>1.9666696425004899E-4</v>
      </c>
      <c r="D33821" s="1">
        <v>1.0623218713862E-4</v>
      </c>
      <c r="E33821" s="1">
        <v>8.2565259146275205E-5</v>
      </c>
      <c r="F33821" s="1">
        <v>1.88126389496439E-4</v>
      </c>
    </row>
    <row r="33822" spans="1:6" x14ac:dyDescent="0.25">
      <c r="A33822" s="2" t="str">
        <f t="shared" si="1190"/>
        <v>99999</v>
      </c>
      <c r="B33822" s="2" t="str">
        <f>"75410"</f>
        <v>75410</v>
      </c>
      <c r="C33822" s="1">
        <v>3.3723691428005101E-4</v>
      </c>
      <c r="D33822" s="1">
        <v>2.0184115556337901E-4</v>
      </c>
      <c r="E33822" s="1">
        <v>1.12984038831745E-4</v>
      </c>
      <c r="F33822" s="1">
        <v>3.2322720226014297E-4</v>
      </c>
    </row>
    <row r="33823" spans="1:6" x14ac:dyDescent="0.25">
      <c r="A33823" s="2" t="str">
        <f t="shared" si="1190"/>
        <v>99999</v>
      </c>
      <c r="B33823" s="2" t="str">
        <f>"75455"</f>
        <v>75455</v>
      </c>
      <c r="C33823" s="1">
        <v>6.1117369578261701E-6</v>
      </c>
      <c r="D33823" s="1">
        <v>0</v>
      </c>
      <c r="E33823" s="1">
        <v>0</v>
      </c>
      <c r="F33823" s="1">
        <v>5.5711675366475797E-6</v>
      </c>
    </row>
    <row r="33824" spans="1:6" x14ac:dyDescent="0.25">
      <c r="A33824" s="2" t="str">
        <f t="shared" si="1190"/>
        <v>99999</v>
      </c>
      <c r="B33824" s="2" t="str">
        <f>"75169"</f>
        <v>75169</v>
      </c>
      <c r="C33824" s="1">
        <v>6.6879864424212098E-4</v>
      </c>
      <c r="D33824" s="1">
        <v>6.58639560259449E-4</v>
      </c>
      <c r="E33824" s="1">
        <v>2.0424037788815399E-4</v>
      </c>
      <c r="F33824" s="1">
        <v>6.5749725445899798E-4</v>
      </c>
    </row>
    <row r="33825" spans="1:6" x14ac:dyDescent="0.25">
      <c r="A33825" s="2" t="str">
        <f t="shared" si="1190"/>
        <v>99999</v>
      </c>
      <c r="B33825" s="2" t="str">
        <f>"74964"</f>
        <v>74964</v>
      </c>
      <c r="C33825" s="1">
        <v>1.8029624025587201E-4</v>
      </c>
      <c r="D33825" s="1">
        <v>7.1327325650216798E-5</v>
      </c>
      <c r="E33825" s="1">
        <v>1.3036619865201299E-5</v>
      </c>
      <c r="F33825" s="1">
        <v>1.6932369906025299E-4</v>
      </c>
    </row>
    <row r="33826" spans="1:6" x14ac:dyDescent="0.25">
      <c r="A33826" s="2" t="str">
        <f t="shared" si="1190"/>
        <v>99999</v>
      </c>
      <c r="B33826" s="2" t="str">
        <f>"74630"</f>
        <v>74630</v>
      </c>
      <c r="C33826" s="1">
        <v>1.8007796393594899E-5</v>
      </c>
      <c r="D33826" s="1">
        <v>7.5880133670443404E-6</v>
      </c>
      <c r="E33826" s="1">
        <v>4.3455399550671099E-6</v>
      </c>
      <c r="F33826" s="1">
        <v>1.7011958013691699E-5</v>
      </c>
    </row>
    <row r="33827" spans="1:6" x14ac:dyDescent="0.25">
      <c r="A33827" s="2" t="str">
        <f t="shared" si="1190"/>
        <v>99999</v>
      </c>
      <c r="B33827" s="2" t="str">
        <f>"74572"</f>
        <v>74572</v>
      </c>
      <c r="C33827" s="1">
        <v>3.20866190285874E-5</v>
      </c>
      <c r="D33827" s="1">
        <v>2.1246437427724101E-5</v>
      </c>
      <c r="E33827" s="1">
        <v>8.69107991013423E-6</v>
      </c>
      <c r="F33827" s="1">
        <v>3.0840391720727703E-5</v>
      </c>
    </row>
    <row r="33828" spans="1:6" x14ac:dyDescent="0.25">
      <c r="A33828" s="2" t="str">
        <f t="shared" si="1190"/>
        <v>99999</v>
      </c>
      <c r="B33828" s="2" t="str">
        <f>"74543"</f>
        <v>74543</v>
      </c>
      <c r="C33828" s="1">
        <v>1.4624513434798299E-5</v>
      </c>
      <c r="D33828" s="1">
        <v>3.0352053468177301E-6</v>
      </c>
      <c r="E33828" s="1">
        <v>4.3455399550671099E-6</v>
      </c>
      <c r="F33828" s="1">
        <v>1.36294634378699E-5</v>
      </c>
    </row>
    <row r="33829" spans="1:6" x14ac:dyDescent="0.25">
      <c r="A33829" s="2" t="str">
        <f t="shared" si="1190"/>
        <v>99999</v>
      </c>
      <c r="B33829" s="2" t="str">
        <f>"74530"</f>
        <v>74530</v>
      </c>
      <c r="C33829" s="1">
        <v>6.5482895976708995E-7</v>
      </c>
      <c r="D33829" s="1">
        <v>0</v>
      </c>
      <c r="E33829" s="1">
        <v>4.3455399550671099E-6</v>
      </c>
      <c r="F33829" s="1">
        <v>6.9639594208094799E-7</v>
      </c>
    </row>
    <row r="33830" spans="1:6" x14ac:dyDescent="0.25">
      <c r="A33830" s="2" t="str">
        <f t="shared" si="1190"/>
        <v>99999</v>
      </c>
      <c r="B33830" s="2" t="str">
        <f>"74850"</f>
        <v>74850</v>
      </c>
      <c r="C33830" s="1">
        <v>1.7898658233633802E-5</v>
      </c>
      <c r="D33830" s="1">
        <v>4.5528080202265997E-6</v>
      </c>
      <c r="E33830" s="1">
        <v>2.60732397304027E-5</v>
      </c>
      <c r="F33830" s="1">
        <v>1.7210928282857699E-5</v>
      </c>
    </row>
    <row r="33831" spans="1:6" x14ac:dyDescent="0.25">
      <c r="A33831" s="2" t="str">
        <f t="shared" si="1190"/>
        <v>99999</v>
      </c>
      <c r="B33831" s="2" t="str">
        <f>"74868"</f>
        <v>74868</v>
      </c>
      <c r="C33831" s="1">
        <v>6.4478824905066104E-4</v>
      </c>
      <c r="D33831" s="1">
        <v>9.8340653236894692E-4</v>
      </c>
      <c r="E33831" s="1">
        <v>3.34606576540167E-4</v>
      </c>
      <c r="F33831" s="1">
        <v>6.5988489768899E-4</v>
      </c>
    </row>
    <row r="33832" spans="1:6" x14ac:dyDescent="0.25">
      <c r="A33832" s="2" t="str">
        <f t="shared" si="1190"/>
        <v>99999</v>
      </c>
      <c r="B33832" s="2" t="str">
        <f>"74859"</f>
        <v>74859</v>
      </c>
      <c r="C33832" s="1">
        <v>3.8471201386316501E-4</v>
      </c>
      <c r="D33832" s="1">
        <v>4.85632855490838E-4</v>
      </c>
      <c r="E33832" s="1">
        <v>1.6947605824761699E-4</v>
      </c>
      <c r="F33832" s="1">
        <v>3.86400262720343E-4</v>
      </c>
    </row>
    <row r="33833" spans="1:6" x14ac:dyDescent="0.25">
      <c r="A33833" s="2" t="str">
        <f t="shared" si="1190"/>
        <v>99999</v>
      </c>
      <c r="B33833" s="2" t="str">
        <f>"74745"</f>
        <v>74745</v>
      </c>
      <c r="C33833" s="1">
        <v>6.7796624967885995E-4</v>
      </c>
      <c r="D33833" s="1">
        <v>1.35521918735412E-3</v>
      </c>
      <c r="E33833" s="1">
        <v>6.3444883343979897E-4</v>
      </c>
      <c r="F33833" s="1">
        <v>7.21366710861279E-4</v>
      </c>
    </row>
    <row r="33834" spans="1:6" x14ac:dyDescent="0.25">
      <c r="A33834" s="2" t="str">
        <f t="shared" si="1190"/>
        <v>99999</v>
      </c>
      <c r="B33834" s="2" t="str">
        <f>"74836"</f>
        <v>74836</v>
      </c>
      <c r="C33834" s="1">
        <v>1.09138159961181E-7</v>
      </c>
      <c r="D33834" s="1">
        <v>0</v>
      </c>
      <c r="E33834" s="1">
        <v>4.3455399550671099E-6</v>
      </c>
      <c r="F33834" s="1">
        <v>1.9897026916598501E-7</v>
      </c>
    </row>
    <row r="33835" spans="1:6" x14ac:dyDescent="0.25">
      <c r="A33835" s="2" t="str">
        <f t="shared" si="1190"/>
        <v>99999</v>
      </c>
      <c r="B33835" s="2" t="str">
        <f>"74848"</f>
        <v>74848</v>
      </c>
      <c r="C33835" s="1">
        <v>3.6059248051174402E-4</v>
      </c>
      <c r="D33835" s="1">
        <v>6.5256914956581295E-4</v>
      </c>
      <c r="E33835" s="1">
        <v>3.7806197609083903E-4</v>
      </c>
      <c r="F33835" s="1">
        <v>3.8013269924161398E-4</v>
      </c>
    </row>
    <row r="33836" spans="1:6" x14ac:dyDescent="0.25">
      <c r="A33836" s="2" t="str">
        <f t="shared" si="1190"/>
        <v>99999</v>
      </c>
      <c r="B33836" s="2" t="str">
        <f>"74472"</f>
        <v>74472</v>
      </c>
      <c r="C33836" s="1">
        <v>2.72845399902954E-5</v>
      </c>
      <c r="D33836" s="1">
        <v>2.88344507947685E-5</v>
      </c>
      <c r="E33836" s="1">
        <v>1.3036619865201299E-5</v>
      </c>
      <c r="F33836" s="1">
        <v>2.7059956606573898E-5</v>
      </c>
    </row>
    <row r="33837" spans="1:6" x14ac:dyDescent="0.25">
      <c r="A33837" s="2" t="str">
        <f t="shared" si="1190"/>
        <v>99999</v>
      </c>
      <c r="B33837" s="2" t="str">
        <f>"74640"</f>
        <v>74640</v>
      </c>
      <c r="C33837" s="1">
        <v>1.6370723994177199E-6</v>
      </c>
      <c r="D33837" s="1">
        <v>0</v>
      </c>
      <c r="E33837" s="1">
        <v>0</v>
      </c>
      <c r="F33837" s="1">
        <v>1.4922770187448801E-6</v>
      </c>
    </row>
    <row r="33838" spans="1:6" x14ac:dyDescent="0.25">
      <c r="A33838" s="2" t="str">
        <f t="shared" si="1190"/>
        <v>99999</v>
      </c>
      <c r="B33838" s="2" t="str">
        <f>"74727"</f>
        <v>74727</v>
      </c>
      <c r="C33838" s="1">
        <v>1.4635427250794399E-4</v>
      </c>
      <c r="D33838" s="1">
        <v>5.0080888222492601E-5</v>
      </c>
      <c r="E33838" s="1">
        <v>2.60732397304027E-5</v>
      </c>
      <c r="F33838" s="1">
        <v>1.37289485724529E-4</v>
      </c>
    </row>
    <row r="33839" spans="1:6" x14ac:dyDescent="0.25">
      <c r="A33839" s="2" t="str">
        <f t="shared" si="1190"/>
        <v>99999</v>
      </c>
      <c r="B33839" s="2" t="str">
        <f>"74459"</f>
        <v>74459</v>
      </c>
      <c r="C33839" s="1">
        <v>1.09138159961181E-7</v>
      </c>
      <c r="D33839" s="1">
        <v>1.51760267340886E-6</v>
      </c>
      <c r="E33839" s="1">
        <v>0</v>
      </c>
      <c r="F33839" s="1">
        <v>1.9897026916598501E-7</v>
      </c>
    </row>
    <row r="33840" spans="1:6" x14ac:dyDescent="0.25">
      <c r="A33840" s="2" t="str">
        <f t="shared" si="1190"/>
        <v>99999</v>
      </c>
      <c r="B33840" s="2" t="str">
        <f>"74455"</f>
        <v>74455</v>
      </c>
      <c r="C33840" s="1">
        <v>1.71346911139055E-5</v>
      </c>
      <c r="D33840" s="1">
        <v>1.0623218713862E-5</v>
      </c>
      <c r="E33840" s="1">
        <v>0</v>
      </c>
      <c r="F33840" s="1">
        <v>1.6315562071610699E-5</v>
      </c>
    </row>
    <row r="33841" spans="1:6" x14ac:dyDescent="0.25">
      <c r="A33841" s="2" t="str">
        <f t="shared" si="1190"/>
        <v>99999</v>
      </c>
      <c r="B33841" s="2" t="str">
        <f>"74352"</f>
        <v>74352</v>
      </c>
      <c r="C33841" s="1">
        <v>4.0948637617435298E-4</v>
      </c>
      <c r="D33841" s="1">
        <v>7.2844928323625703E-5</v>
      </c>
      <c r="E33841" s="1">
        <v>3.9109859595604001E-5</v>
      </c>
      <c r="F33841" s="1">
        <v>3.7893887762661802E-4</v>
      </c>
    </row>
    <row r="33842" spans="1:6" x14ac:dyDescent="0.25">
      <c r="A33842" s="2" t="str">
        <f t="shared" si="1190"/>
        <v>99999</v>
      </c>
      <c r="B33842" s="2" t="str">
        <f>"74361"</f>
        <v>74361</v>
      </c>
      <c r="C33842" s="1">
        <v>8.3949072642140895E-4</v>
      </c>
      <c r="D33842" s="1">
        <v>1.3279023392327601E-3</v>
      </c>
      <c r="E33842" s="1">
        <v>9.7774648989010097E-4</v>
      </c>
      <c r="F33842" s="1">
        <v>8.7467330325367095E-4</v>
      </c>
    </row>
    <row r="33843" spans="1:6" x14ac:dyDescent="0.25">
      <c r="A33843" s="2" t="str">
        <f t="shared" si="1190"/>
        <v>99999</v>
      </c>
      <c r="B33843" s="2" t="str">
        <f>"74019"</f>
        <v>74019</v>
      </c>
      <c r="C33843" s="1">
        <v>2.5101776791071799E-6</v>
      </c>
      <c r="D33843" s="1">
        <v>0</v>
      </c>
      <c r="E33843" s="1">
        <v>0</v>
      </c>
      <c r="F33843" s="1">
        <v>2.2881580954088299E-6</v>
      </c>
    </row>
    <row r="33844" spans="1:6" x14ac:dyDescent="0.25">
      <c r="A33844" s="2" t="str">
        <f t="shared" si="1190"/>
        <v>99999</v>
      </c>
      <c r="B33844" s="2" t="str">
        <f>"74048"</f>
        <v>74048</v>
      </c>
      <c r="C33844" s="1">
        <v>3.2555913116420499E-4</v>
      </c>
      <c r="D33844" s="1">
        <v>3.9912950310653199E-4</v>
      </c>
      <c r="E33844" s="1">
        <v>1.3471173860707999E-4</v>
      </c>
      <c r="F33844" s="1">
        <v>3.2601278602846598E-4</v>
      </c>
    </row>
    <row r="33845" spans="1:6" x14ac:dyDescent="0.25">
      <c r="A33845" s="2" t="str">
        <f t="shared" si="1190"/>
        <v>99999</v>
      </c>
      <c r="B33845" s="2" t="str">
        <f>"74042"</f>
        <v>74042</v>
      </c>
      <c r="C33845" s="1">
        <v>1.5279342394565399E-5</v>
      </c>
      <c r="D33845" s="1">
        <v>3.0352053468177301E-6</v>
      </c>
      <c r="E33845" s="1">
        <v>4.3455399550671099E-6</v>
      </c>
      <c r="F33845" s="1">
        <v>1.42263742453679E-5</v>
      </c>
    </row>
    <row r="33846" spans="1:6" x14ac:dyDescent="0.25">
      <c r="A33846" s="2" t="str">
        <f t="shared" si="1190"/>
        <v>99999</v>
      </c>
      <c r="B33846" s="2" t="str">
        <f>"73946"</f>
        <v>73946</v>
      </c>
      <c r="C33846" s="1">
        <v>4.1472500785249E-6</v>
      </c>
      <c r="D33846" s="1">
        <v>0</v>
      </c>
      <c r="E33846" s="1">
        <v>4.3455399550671099E-6</v>
      </c>
      <c r="F33846" s="1">
        <v>3.87992024873671E-6</v>
      </c>
    </row>
    <row r="33847" spans="1:6" x14ac:dyDescent="0.25">
      <c r="A33847" s="2" t="str">
        <f t="shared" si="1190"/>
        <v>99999</v>
      </c>
      <c r="B33847" s="2" t="str">
        <f>"73933"</f>
        <v>73933</v>
      </c>
      <c r="C33847" s="1">
        <v>2.41195333514211E-5</v>
      </c>
      <c r="D33847" s="1">
        <v>1.0623218713862E-5</v>
      </c>
      <c r="E33847" s="1">
        <v>8.69107991013423E-6</v>
      </c>
      <c r="F33847" s="1">
        <v>2.28815809540883E-5</v>
      </c>
    </row>
    <row r="33848" spans="1:6" x14ac:dyDescent="0.25">
      <c r="A33848" s="2" t="str">
        <f t="shared" si="1190"/>
        <v>99999</v>
      </c>
      <c r="B33848" s="2" t="str">
        <f>"73447"</f>
        <v>73447</v>
      </c>
      <c r="C33848" s="1">
        <v>3.6015592787189899E-5</v>
      </c>
      <c r="D33848" s="1">
        <v>7.5880133670443404E-6</v>
      </c>
      <c r="E33848" s="1">
        <v>4.3455399550671099E-6</v>
      </c>
      <c r="F33848" s="1">
        <v>3.3427005219885502E-5</v>
      </c>
    </row>
    <row r="33849" spans="1:6" x14ac:dyDescent="0.25">
      <c r="A33849" s="2" t="str">
        <f t="shared" si="1190"/>
        <v>99999</v>
      </c>
      <c r="B33849" s="2" t="str">
        <f>"73446"</f>
        <v>73446</v>
      </c>
      <c r="C33849" s="1">
        <v>3.6899611882875501E-4</v>
      </c>
      <c r="D33849" s="1">
        <v>6.4649873887217798E-4</v>
      </c>
      <c r="E33849" s="1">
        <v>4.3455399550671099E-4</v>
      </c>
      <c r="F33849" s="1">
        <v>3.8868842081575203E-4</v>
      </c>
    </row>
    <row r="33850" spans="1:6" x14ac:dyDescent="0.25">
      <c r="A33850" s="2" t="str">
        <f t="shared" si="1190"/>
        <v>99999</v>
      </c>
      <c r="B33850" s="2" t="str">
        <f>"73760"</f>
        <v>73760</v>
      </c>
      <c r="C33850" s="1">
        <v>3.0886099269014397E-5</v>
      </c>
      <c r="D33850" s="1">
        <v>1.0623218713862E-5</v>
      </c>
      <c r="E33850" s="1">
        <v>4.3455399550671099E-6</v>
      </c>
      <c r="F33850" s="1">
        <v>2.8950174163650799E-5</v>
      </c>
    </row>
    <row r="33851" spans="1:6" x14ac:dyDescent="0.25">
      <c r="A33851" s="2" t="str">
        <f t="shared" si="1190"/>
        <v>99999</v>
      </c>
      <c r="B33851" s="2" t="str">
        <f>"73772"</f>
        <v>73772</v>
      </c>
      <c r="C33851" s="1">
        <v>2.4294154407358999E-4</v>
      </c>
      <c r="D33851" s="1">
        <v>4.2341114588107399E-4</v>
      </c>
      <c r="E33851" s="1">
        <v>1.4340281851721399E-4</v>
      </c>
      <c r="F33851" s="1">
        <v>2.5249327157163498E-4</v>
      </c>
    </row>
    <row r="33852" spans="1:6" x14ac:dyDescent="0.25">
      <c r="A33852" s="2" t="str">
        <f t="shared" si="1190"/>
        <v>99999</v>
      </c>
      <c r="B33852" s="2" t="str">
        <f>"73552"</f>
        <v>73552</v>
      </c>
      <c r="C33852" s="1">
        <v>3.2741447988354498E-7</v>
      </c>
      <c r="D33852" s="1">
        <v>0</v>
      </c>
      <c r="E33852" s="1">
        <v>0</v>
      </c>
      <c r="F33852" s="1">
        <v>2.9845540374897701E-7</v>
      </c>
    </row>
    <row r="33853" spans="1:6" x14ac:dyDescent="0.25">
      <c r="A33853" s="2" t="str">
        <f t="shared" si="1190"/>
        <v>99999</v>
      </c>
      <c r="B33853" s="2" t="str">
        <f>"73573"</f>
        <v>73573</v>
      </c>
      <c r="C33853" s="1">
        <v>1.6785449002029701E-4</v>
      </c>
      <c r="D33853" s="1">
        <v>2.8379169992745799E-4</v>
      </c>
      <c r="E33853" s="1">
        <v>8.69107991013423E-5</v>
      </c>
      <c r="F33853" s="1">
        <v>1.7360155984732199E-4</v>
      </c>
    </row>
    <row r="33854" spans="1:6" x14ac:dyDescent="0.25">
      <c r="A33854" s="2" t="str">
        <f t="shared" si="1190"/>
        <v>99999</v>
      </c>
      <c r="B33854" s="2" t="str">
        <f>"73570"</f>
        <v>73570</v>
      </c>
      <c r="C33854" s="1">
        <v>2.7611954470178899E-5</v>
      </c>
      <c r="D33854" s="1">
        <v>9.1056160404532095E-6</v>
      </c>
      <c r="E33854" s="1">
        <v>4.3455399550671099E-6</v>
      </c>
      <c r="F33854" s="1">
        <v>2.5866134991578001E-5</v>
      </c>
    </row>
    <row r="33855" spans="1:6" x14ac:dyDescent="0.25">
      <c r="A33855" s="2" t="str">
        <f t="shared" si="1190"/>
        <v>99999</v>
      </c>
      <c r="B33855" s="2" t="str">
        <f>"73659"</f>
        <v>73659</v>
      </c>
      <c r="C33855" s="1">
        <v>1.5279342394565399E-5</v>
      </c>
      <c r="D33855" s="1">
        <v>1.66936294074975E-5</v>
      </c>
      <c r="E33855" s="1">
        <v>4.3455399550671099E-6</v>
      </c>
      <c r="F33855" s="1">
        <v>1.51217404566148E-5</v>
      </c>
    </row>
    <row r="33856" spans="1:6" x14ac:dyDescent="0.25">
      <c r="A33856" s="2" t="str">
        <f t="shared" si="1190"/>
        <v>99999</v>
      </c>
      <c r="B33856" s="2" t="str">
        <f>"73666"</f>
        <v>73666</v>
      </c>
      <c r="C33856" s="1">
        <v>2.16093556723139E-5</v>
      </c>
      <c r="D33856" s="1">
        <v>4.5528080202265997E-6</v>
      </c>
      <c r="E33856" s="1">
        <v>4.3455399550671099E-6</v>
      </c>
      <c r="F33856" s="1">
        <v>2.00959971857645E-5</v>
      </c>
    </row>
    <row r="33857" spans="1:6" x14ac:dyDescent="0.25">
      <c r="A33857" s="2" t="str">
        <f t="shared" si="1190"/>
        <v>99999</v>
      </c>
      <c r="B33857" s="2" t="str">
        <f>"73662"</f>
        <v>73662</v>
      </c>
      <c r="C33857" s="1">
        <v>5.0203553582143598E-6</v>
      </c>
      <c r="D33857" s="1">
        <v>1.51760267340886E-6</v>
      </c>
      <c r="E33857" s="1">
        <v>8.69107991013423E-6</v>
      </c>
      <c r="F33857" s="1">
        <v>4.8747715945666299E-6</v>
      </c>
    </row>
    <row r="33858" spans="1:6" x14ac:dyDescent="0.25">
      <c r="A33858" s="2" t="str">
        <f t="shared" si="1190"/>
        <v>99999</v>
      </c>
      <c r="B33858" s="2" t="str">
        <f>"73726"</f>
        <v>73726</v>
      </c>
      <c r="C33858" s="1">
        <v>3.20866190285874E-5</v>
      </c>
      <c r="D33858" s="1">
        <v>1.21408213872709E-5</v>
      </c>
      <c r="E33858" s="1">
        <v>4.3455399550671099E-6</v>
      </c>
      <c r="F33858" s="1">
        <v>3.01439957786467E-5</v>
      </c>
    </row>
    <row r="33859" spans="1:6" x14ac:dyDescent="0.25">
      <c r="A33859" s="2" t="str">
        <f t="shared" si="1190"/>
        <v>99999</v>
      </c>
      <c r="B33859" s="2" t="str">
        <f>"73718"</f>
        <v>73718</v>
      </c>
      <c r="C33859" s="1">
        <v>2.9358165029557801E-5</v>
      </c>
      <c r="D33859" s="1">
        <v>2.1246437427724101E-5</v>
      </c>
      <c r="E33859" s="1">
        <v>4.3455399550671099E-6</v>
      </c>
      <c r="F33859" s="1">
        <v>2.8253778221569901E-5</v>
      </c>
    </row>
    <row r="33860" spans="1:6" x14ac:dyDescent="0.25">
      <c r="A33860" s="2" t="str">
        <f t="shared" si="1190"/>
        <v>99999</v>
      </c>
      <c r="B33860" s="2" t="str">
        <f>"73434"</f>
        <v>73434</v>
      </c>
      <c r="C33860" s="1">
        <v>4.5292336383890401E-5</v>
      </c>
      <c r="D33860" s="1">
        <v>1.5176026734088599E-5</v>
      </c>
      <c r="E33860" s="1">
        <v>4.3455399550671099E-6</v>
      </c>
      <c r="F33860" s="1">
        <v>4.2380667332354799E-5</v>
      </c>
    </row>
    <row r="33861" spans="1:6" x14ac:dyDescent="0.25">
      <c r="A33861" s="2" t="str">
        <f t="shared" si="1190"/>
        <v>99999</v>
      </c>
      <c r="B33861" s="2" t="str">
        <f>"73528"</f>
        <v>73528</v>
      </c>
      <c r="C33861" s="1">
        <v>1.03681251963122E-5</v>
      </c>
      <c r="D33861" s="1">
        <v>3.0352053468177301E-6</v>
      </c>
      <c r="E33861" s="1">
        <v>0</v>
      </c>
      <c r="F33861" s="1">
        <v>9.6500580545502799E-6</v>
      </c>
    </row>
    <row r="33862" spans="1:6" x14ac:dyDescent="0.25">
      <c r="A33862" s="2" t="str">
        <f t="shared" si="1190"/>
        <v>99999</v>
      </c>
      <c r="B33862" s="2" t="str">
        <f>"73550"</f>
        <v>73550</v>
      </c>
      <c r="C33862" s="1">
        <v>1.4853703570716801E-4</v>
      </c>
      <c r="D33862" s="1">
        <v>3.12626150722227E-4</v>
      </c>
      <c r="E33862" s="1">
        <v>3.9109859595604001E-5</v>
      </c>
      <c r="F33862" s="1">
        <v>1.5678857210279601E-4</v>
      </c>
    </row>
    <row r="33863" spans="1:6" x14ac:dyDescent="0.25">
      <c r="A33863" s="2" t="str">
        <f t="shared" si="1190"/>
        <v>99999</v>
      </c>
      <c r="B33863" s="2" t="str">
        <f>"73062"</f>
        <v>73062</v>
      </c>
      <c r="C33863" s="1">
        <v>8.0980514691196795E-5</v>
      </c>
      <c r="D33863" s="1">
        <v>3.9457669508630602E-5</v>
      </c>
      <c r="E33863" s="1">
        <v>4.3455399550671099E-6</v>
      </c>
      <c r="F33863" s="1">
        <v>7.6504068494321297E-5</v>
      </c>
    </row>
    <row r="33864" spans="1:6" x14ac:dyDescent="0.25">
      <c r="A33864" s="2" t="str">
        <f t="shared" si="1190"/>
        <v>99999</v>
      </c>
      <c r="B33864" s="2" t="str">
        <f>"73001"</f>
        <v>73001</v>
      </c>
      <c r="C33864" s="1">
        <v>0</v>
      </c>
      <c r="D33864" s="1">
        <v>1.51760267340886E-6</v>
      </c>
      <c r="E33864" s="1">
        <v>4.3455399550671099E-6</v>
      </c>
      <c r="F33864" s="1">
        <v>1.9897026916598501E-7</v>
      </c>
    </row>
    <row r="33865" spans="1:6" x14ac:dyDescent="0.25">
      <c r="A33865" s="2" t="str">
        <f t="shared" si="1190"/>
        <v>99999</v>
      </c>
      <c r="B33865" s="2" t="str">
        <f>"72949"</f>
        <v>72949</v>
      </c>
      <c r="C33865" s="1">
        <v>2.2919013591848101E-5</v>
      </c>
      <c r="D33865" s="1">
        <v>3.0352053468177301E-6</v>
      </c>
      <c r="E33865" s="1">
        <v>0</v>
      </c>
      <c r="F33865" s="1">
        <v>2.1090848531594401E-5</v>
      </c>
    </row>
    <row r="33866" spans="1:6" x14ac:dyDescent="0.25">
      <c r="A33866" s="2" t="str">
        <f t="shared" si="1190"/>
        <v>99999</v>
      </c>
      <c r="B33866" s="2" t="str">
        <f>"73038"</f>
        <v>73038</v>
      </c>
      <c r="C33866" s="1">
        <v>8.2945001570498098E-5</v>
      </c>
      <c r="D33866" s="1">
        <v>3.4904861488403899E-5</v>
      </c>
      <c r="E33866" s="1">
        <v>8.69107991013423E-6</v>
      </c>
      <c r="F33866" s="1">
        <v>7.8095830647649205E-5</v>
      </c>
    </row>
    <row r="33867" spans="1:6" x14ac:dyDescent="0.25">
      <c r="A33867" s="2" t="str">
        <f t="shared" si="1190"/>
        <v>99999</v>
      </c>
      <c r="B33867" s="2" t="str">
        <f>"72933"</f>
        <v>72933</v>
      </c>
      <c r="C33867" s="1">
        <v>1.9644868793012701E-6</v>
      </c>
      <c r="D33867" s="1">
        <v>0</v>
      </c>
      <c r="E33867" s="1">
        <v>0</v>
      </c>
      <c r="F33867" s="1">
        <v>1.79073242249386E-6</v>
      </c>
    </row>
    <row r="33868" spans="1:6" x14ac:dyDescent="0.25">
      <c r="A33868" s="2" t="str">
        <f t="shared" si="1190"/>
        <v>99999</v>
      </c>
      <c r="B33868" s="2" t="str">
        <f>"72852"</f>
        <v>72852</v>
      </c>
      <c r="C33868" s="1">
        <v>3.2850586148315701E-5</v>
      </c>
      <c r="D33868" s="1">
        <v>4.5528080202265997E-6</v>
      </c>
      <c r="E33868" s="1">
        <v>4.3455399550671099E-6</v>
      </c>
      <c r="F33868" s="1">
        <v>3.03429660478127E-5</v>
      </c>
    </row>
    <row r="33869" spans="1:6" x14ac:dyDescent="0.25">
      <c r="A33869" s="2" t="str">
        <f t="shared" si="1190"/>
        <v>99999</v>
      </c>
      <c r="B33869" s="2" t="str">
        <f>"72839"</f>
        <v>72839</v>
      </c>
      <c r="C33869" s="1">
        <v>3.4924211187578099E-5</v>
      </c>
      <c r="D33869" s="1">
        <v>4.5528080202265997E-6</v>
      </c>
      <c r="E33869" s="1">
        <v>4.3455399550671099E-6</v>
      </c>
      <c r="F33869" s="1">
        <v>3.2233183604889601E-5</v>
      </c>
    </row>
    <row r="33870" spans="1:6" x14ac:dyDescent="0.25">
      <c r="A33870" s="2" t="str">
        <f t="shared" si="1190"/>
        <v>99999</v>
      </c>
      <c r="B33870" s="2" t="str">
        <f>"72677"</f>
        <v>72677</v>
      </c>
      <c r="C33870" s="1">
        <v>4.3655263984472602E-7</v>
      </c>
      <c r="D33870" s="1">
        <v>0</v>
      </c>
      <c r="E33870" s="1">
        <v>4.3455399550671099E-6</v>
      </c>
      <c r="F33870" s="1">
        <v>4.9742567291496303E-7</v>
      </c>
    </row>
    <row r="33871" spans="1:6" x14ac:dyDescent="0.25">
      <c r="A33871" s="2" t="str">
        <f t="shared" si="1190"/>
        <v>99999</v>
      </c>
      <c r="B33871" s="2" t="str">
        <f>"72679"</f>
        <v>72679</v>
      </c>
      <c r="C33871" s="1">
        <v>7.0939803974768102E-6</v>
      </c>
      <c r="D33871" s="1">
        <v>4.5528080202265997E-6</v>
      </c>
      <c r="E33871" s="1">
        <v>0</v>
      </c>
      <c r="F33871" s="1">
        <v>6.7649891516434898E-6</v>
      </c>
    </row>
    <row r="33872" spans="1:6" x14ac:dyDescent="0.25">
      <c r="A33872" s="2" t="str">
        <f t="shared" si="1190"/>
        <v>99999</v>
      </c>
      <c r="B33872" s="2" t="str">
        <f>"72653"</f>
        <v>72653</v>
      </c>
      <c r="C33872" s="1">
        <v>1.4078822634992399E-5</v>
      </c>
      <c r="D33872" s="1">
        <v>7.5880133670443404E-6</v>
      </c>
      <c r="E33872" s="1">
        <v>4.3455399550671099E-6</v>
      </c>
      <c r="F33872" s="1">
        <v>1.3430493168704E-5</v>
      </c>
    </row>
    <row r="33873" spans="1:6" x14ac:dyDescent="0.25">
      <c r="A33873" s="2" t="str">
        <f t="shared" si="1190"/>
        <v>99999</v>
      </c>
      <c r="B33873" s="2" t="str">
        <f>"72650"</f>
        <v>72650</v>
      </c>
      <c r="C33873" s="1">
        <v>4.1745346185152E-4</v>
      </c>
      <c r="D33873" s="1">
        <v>1.12302597832256E-4</v>
      </c>
      <c r="E33873" s="1">
        <v>3.9109859595604001E-5</v>
      </c>
      <c r="F33873" s="1">
        <v>3.8878790595033502E-4</v>
      </c>
    </row>
    <row r="33874" spans="1:6" x14ac:dyDescent="0.25">
      <c r="A33874" s="2" t="str">
        <f t="shared" ref="A33874:A33937" si="1191">"99999"</f>
        <v>99999</v>
      </c>
      <c r="B33874" s="2" t="str">
        <f>"72416"</f>
        <v>72416</v>
      </c>
      <c r="C33874" s="1">
        <v>3.2741447988354498E-7</v>
      </c>
      <c r="D33874" s="1">
        <v>0</v>
      </c>
      <c r="E33874" s="1">
        <v>0</v>
      </c>
      <c r="F33874" s="1">
        <v>2.9845540374897701E-7</v>
      </c>
    </row>
    <row r="33875" spans="1:6" x14ac:dyDescent="0.25">
      <c r="A33875" s="2" t="str">
        <f t="shared" si="1191"/>
        <v>99999</v>
      </c>
      <c r="B33875" s="2" t="str">
        <f>"72396"</f>
        <v>72396</v>
      </c>
      <c r="C33875" s="1">
        <v>6.9651973687226095E-4</v>
      </c>
      <c r="D33875" s="1">
        <v>9.5912488959440498E-4</v>
      </c>
      <c r="E33875" s="1">
        <v>2.5638685734895902E-4</v>
      </c>
      <c r="F33875" s="1">
        <v>7.0365835690550604E-4</v>
      </c>
    </row>
    <row r="33876" spans="1:6" x14ac:dyDescent="0.25">
      <c r="A33876" s="2" t="str">
        <f t="shared" si="1191"/>
        <v>99999</v>
      </c>
      <c r="B33876" s="2" t="str">
        <f>"72572"</f>
        <v>72572</v>
      </c>
      <c r="C33876" s="1">
        <v>9.4950199166228093E-6</v>
      </c>
      <c r="D33876" s="1">
        <v>1.51760267340886E-6</v>
      </c>
      <c r="E33876" s="1">
        <v>4.3455399550671099E-6</v>
      </c>
      <c r="F33876" s="1">
        <v>8.8541769778863392E-6</v>
      </c>
    </row>
    <row r="33877" spans="1:6" x14ac:dyDescent="0.25">
      <c r="A33877" s="2" t="str">
        <f t="shared" si="1191"/>
        <v>99999</v>
      </c>
      <c r="B33877" s="2" t="str">
        <f>"72566"</f>
        <v>72566</v>
      </c>
      <c r="C33877" s="1">
        <v>4.4310092944239701E-5</v>
      </c>
      <c r="D33877" s="1">
        <v>1.66936294074975E-5</v>
      </c>
      <c r="E33877" s="1">
        <v>1.3036619865201299E-5</v>
      </c>
      <c r="F33877" s="1">
        <v>4.1783756524856902E-5</v>
      </c>
    </row>
    <row r="33878" spans="1:6" x14ac:dyDescent="0.25">
      <c r="A33878" s="2" t="str">
        <f t="shared" si="1191"/>
        <v>99999</v>
      </c>
      <c r="B33878" s="2" t="str">
        <f>"72565"</f>
        <v>72565</v>
      </c>
      <c r="C33878" s="1">
        <v>9.3203988606849197E-5</v>
      </c>
      <c r="D33878" s="1">
        <v>1.5176026734088599E-5</v>
      </c>
      <c r="E33878" s="1">
        <v>8.69107991013423E-6</v>
      </c>
      <c r="F33878" s="1">
        <v>8.6154126548871604E-5</v>
      </c>
    </row>
    <row r="33879" spans="1:6" x14ac:dyDescent="0.25">
      <c r="A33879" s="2" t="str">
        <f t="shared" si="1191"/>
        <v>99999</v>
      </c>
      <c r="B33879" s="2" t="str">
        <f>"72473"</f>
        <v>72473</v>
      </c>
      <c r="C33879" s="1">
        <v>1.05973153322307E-4</v>
      </c>
      <c r="D33879" s="1">
        <v>3.6422464161812797E-5</v>
      </c>
      <c r="E33879" s="1">
        <v>2.60732397304027E-5</v>
      </c>
      <c r="F33879" s="1">
        <v>9.9584619717575597E-5</v>
      </c>
    </row>
    <row r="33880" spans="1:6" x14ac:dyDescent="0.25">
      <c r="A33880" s="2" t="str">
        <f t="shared" si="1191"/>
        <v>99999</v>
      </c>
      <c r="B33880" s="2" t="str">
        <f>"72458"</f>
        <v>72458</v>
      </c>
      <c r="C33880" s="1">
        <v>3.53607638274228E-5</v>
      </c>
      <c r="D33880" s="1">
        <v>1.51760267340886E-6</v>
      </c>
      <c r="E33880" s="1">
        <v>4.3455399550671099E-6</v>
      </c>
      <c r="F33880" s="1">
        <v>3.2432153874055598E-5</v>
      </c>
    </row>
    <row r="33881" spans="1:6" x14ac:dyDescent="0.25">
      <c r="A33881" s="2" t="str">
        <f t="shared" si="1191"/>
        <v>99999</v>
      </c>
      <c r="B33881" s="2" t="str">
        <f>"72532"</f>
        <v>72532</v>
      </c>
      <c r="C33881" s="1">
        <v>4.0381119185637197E-6</v>
      </c>
      <c r="D33881" s="1">
        <v>0</v>
      </c>
      <c r="E33881" s="1">
        <v>0</v>
      </c>
      <c r="F33881" s="1">
        <v>3.6809499795707201E-6</v>
      </c>
    </row>
    <row r="33882" spans="1:6" x14ac:dyDescent="0.25">
      <c r="A33882" s="2" t="str">
        <f t="shared" si="1191"/>
        <v>99999</v>
      </c>
      <c r="B33882" s="2" t="str">
        <f>"72560"</f>
        <v>72560</v>
      </c>
      <c r="C33882" s="1">
        <v>5.1818798349568998E-4</v>
      </c>
      <c r="D33882" s="1">
        <v>4.3403436459493597E-4</v>
      </c>
      <c r="E33882" s="1">
        <v>1.30366198652013E-4</v>
      </c>
      <c r="F33882" s="1">
        <v>5.0379272152827395E-4</v>
      </c>
    </row>
    <row r="33883" spans="1:6" x14ac:dyDescent="0.25">
      <c r="A33883" s="2" t="str">
        <f t="shared" si="1191"/>
        <v>99999</v>
      </c>
      <c r="B33883" s="2" t="str">
        <f>"72556"</f>
        <v>72556</v>
      </c>
      <c r="C33883" s="1">
        <v>2.7535557758206098E-4</v>
      </c>
      <c r="D33883" s="1">
        <v>1.2292581654611801E-4</v>
      </c>
      <c r="E33883" s="1">
        <v>1.12984038831745E-4</v>
      </c>
      <c r="F33883" s="1">
        <v>2.6164590395327E-4</v>
      </c>
    </row>
    <row r="33884" spans="1:6" x14ac:dyDescent="0.25">
      <c r="A33884" s="2" t="str">
        <f t="shared" si="1191"/>
        <v>99999</v>
      </c>
      <c r="B33884" s="2" t="str">
        <f>"72531"</f>
        <v>72531</v>
      </c>
      <c r="C33884" s="1">
        <v>1.9972283272896199E-5</v>
      </c>
      <c r="D33884" s="1">
        <v>1.51760267340886E-6</v>
      </c>
      <c r="E33884" s="1">
        <v>4.3455399550671099E-6</v>
      </c>
      <c r="F33884" s="1">
        <v>1.84047498978536E-5</v>
      </c>
    </row>
    <row r="33885" spans="1:6" x14ac:dyDescent="0.25">
      <c r="A33885" s="2" t="str">
        <f t="shared" si="1191"/>
        <v>99999</v>
      </c>
      <c r="B33885" s="2" t="str">
        <f>"72523"</f>
        <v>72523</v>
      </c>
      <c r="C33885" s="1">
        <v>4.6820270623346902E-5</v>
      </c>
      <c r="D33885" s="1">
        <v>1.0623218713862E-5</v>
      </c>
      <c r="E33885" s="1">
        <v>4.3455399550671099E-6</v>
      </c>
      <c r="F33885" s="1">
        <v>4.3475003812767701E-5</v>
      </c>
    </row>
    <row r="33886" spans="1:6" x14ac:dyDescent="0.25">
      <c r="A33886" s="2" t="str">
        <f t="shared" si="1191"/>
        <v>99999</v>
      </c>
      <c r="B33886" s="2" t="str">
        <f>"72048"</f>
        <v>72048</v>
      </c>
      <c r="C33886" s="1">
        <v>4.4746645584084504E-6</v>
      </c>
      <c r="D33886" s="1">
        <v>0</v>
      </c>
      <c r="E33886" s="1">
        <v>4.3455399550671099E-6</v>
      </c>
      <c r="F33886" s="1">
        <v>4.1783756524856902E-6</v>
      </c>
    </row>
    <row r="33887" spans="1:6" x14ac:dyDescent="0.25">
      <c r="A33887" s="2" t="str">
        <f t="shared" si="1191"/>
        <v>99999</v>
      </c>
      <c r="B33887" s="2" t="str">
        <f>"72060"</f>
        <v>72060</v>
      </c>
      <c r="C33887" s="1">
        <v>1.8335210873478499E-5</v>
      </c>
      <c r="D33887" s="1">
        <v>9.1056160404532095E-6</v>
      </c>
      <c r="E33887" s="1">
        <v>0</v>
      </c>
      <c r="F33887" s="1">
        <v>1.7310413417440701E-5</v>
      </c>
    </row>
    <row r="33888" spans="1:6" x14ac:dyDescent="0.25">
      <c r="A33888" s="2" t="str">
        <f t="shared" si="1191"/>
        <v>99999</v>
      </c>
      <c r="B33888" s="2" t="str">
        <f>"72069"</f>
        <v>72069</v>
      </c>
      <c r="C33888" s="1">
        <v>6.7447382856010302E-5</v>
      </c>
      <c r="D33888" s="1">
        <v>1.66936294074975E-5</v>
      </c>
      <c r="E33888" s="1">
        <v>1.7382159820268399E-5</v>
      </c>
      <c r="F33888" s="1">
        <v>6.2974090191034298E-5</v>
      </c>
    </row>
    <row r="33889" spans="1:6" x14ac:dyDescent="0.25">
      <c r="A33889" s="2" t="str">
        <f t="shared" si="1191"/>
        <v>99999</v>
      </c>
      <c r="B33889" s="2" t="str">
        <f>"72051"</f>
        <v>72051</v>
      </c>
      <c r="C33889" s="1">
        <v>3.2741447988354499E-5</v>
      </c>
      <c r="D33889" s="1">
        <v>6.0704106936354696E-6</v>
      </c>
      <c r="E33889" s="1">
        <v>4.3455399550671099E-6</v>
      </c>
      <c r="F33889" s="1">
        <v>3.03429660478127E-5</v>
      </c>
    </row>
    <row r="33890" spans="1:6" x14ac:dyDescent="0.25">
      <c r="A33890" s="2" t="str">
        <f t="shared" si="1191"/>
        <v>99999</v>
      </c>
      <c r="B33890" s="2" t="str">
        <f>"72039"</f>
        <v>72039</v>
      </c>
      <c r="C33890" s="1">
        <v>5.8388915579232199E-5</v>
      </c>
      <c r="D33890" s="1">
        <v>4.0975272182039399E-5</v>
      </c>
      <c r="E33890" s="1">
        <v>1.3036619865201299E-5</v>
      </c>
      <c r="F33890" s="1">
        <v>5.6209101039390799E-5</v>
      </c>
    </row>
    <row r="33891" spans="1:6" x14ac:dyDescent="0.25">
      <c r="A33891" s="2" t="str">
        <f t="shared" si="1191"/>
        <v>99999</v>
      </c>
      <c r="B33891" s="2" t="str">
        <f>"72170"</f>
        <v>72170</v>
      </c>
      <c r="C33891" s="1">
        <v>1.09138159961181E-7</v>
      </c>
      <c r="D33891" s="1">
        <v>0</v>
      </c>
      <c r="E33891" s="1">
        <v>4.3455399550671099E-6</v>
      </c>
      <c r="F33891" s="1">
        <v>1.9897026916598501E-7</v>
      </c>
    </row>
    <row r="33892" spans="1:6" x14ac:dyDescent="0.25">
      <c r="A33892" s="2" t="str">
        <f t="shared" si="1191"/>
        <v>99999</v>
      </c>
      <c r="B33892" s="2" t="str">
        <f>"72179"</f>
        <v>72179</v>
      </c>
      <c r="C33892" s="1">
        <v>2.2591599111964599E-5</v>
      </c>
      <c r="D33892" s="1">
        <v>3.0352053468177301E-6</v>
      </c>
      <c r="E33892" s="1">
        <v>4.3455399550671099E-6</v>
      </c>
      <c r="F33892" s="1">
        <v>2.08918782624284E-5</v>
      </c>
    </row>
    <row r="33893" spans="1:6" x14ac:dyDescent="0.25">
      <c r="A33893" s="2" t="str">
        <f t="shared" si="1191"/>
        <v>99999</v>
      </c>
      <c r="B33893" s="2" t="str">
        <f>"72017"</f>
        <v>72017</v>
      </c>
      <c r="C33893" s="1">
        <v>3.4269382227811E-5</v>
      </c>
      <c r="D33893" s="1">
        <v>3.0352053468177301E-6</v>
      </c>
      <c r="E33893" s="1">
        <v>4.3455399550671099E-6</v>
      </c>
      <c r="F33893" s="1">
        <v>3.1536787662808598E-5</v>
      </c>
    </row>
    <row r="33894" spans="1:6" x14ac:dyDescent="0.25">
      <c r="A33894" s="2" t="str">
        <f t="shared" si="1191"/>
        <v>99999</v>
      </c>
      <c r="B33894" s="2" t="str">
        <f>"71677"</f>
        <v>71677</v>
      </c>
      <c r="C33894" s="1">
        <v>0</v>
      </c>
      <c r="D33894" s="1">
        <v>0</v>
      </c>
      <c r="E33894" s="1">
        <v>4.3455399550671099E-6</v>
      </c>
      <c r="F33894" s="1">
        <v>9.9485134582992598E-8</v>
      </c>
    </row>
    <row r="33895" spans="1:6" x14ac:dyDescent="0.25">
      <c r="A33895" s="2" t="str">
        <f t="shared" si="1191"/>
        <v>99999</v>
      </c>
      <c r="B33895" s="2" t="str">
        <f>"71725"</f>
        <v>71725</v>
      </c>
      <c r="C33895" s="1">
        <v>2.3682980711576399E-5</v>
      </c>
      <c r="D33895" s="1">
        <v>1.21408213872709E-5</v>
      </c>
      <c r="E33895" s="1">
        <v>4.3455399550671099E-6</v>
      </c>
      <c r="F33895" s="1">
        <v>2.2483640415756299E-5</v>
      </c>
    </row>
    <row r="33896" spans="1:6" x14ac:dyDescent="0.25">
      <c r="A33896" s="2" t="str">
        <f t="shared" si="1191"/>
        <v>99999</v>
      </c>
      <c r="B33896" s="2" t="str">
        <f>"71655"</f>
        <v>71655</v>
      </c>
      <c r="C33896" s="1">
        <v>8.8980341816351401E-4</v>
      </c>
      <c r="D33896" s="1">
        <v>1.12150837564915E-3</v>
      </c>
      <c r="E33896" s="1">
        <v>5.9533897384419501E-4</v>
      </c>
      <c r="F33896" s="1">
        <v>8.9825128014984004E-4</v>
      </c>
    </row>
    <row r="33897" spans="1:6" x14ac:dyDescent="0.25">
      <c r="A33897" s="2" t="str">
        <f t="shared" si="1191"/>
        <v>99999</v>
      </c>
      <c r="B33897" s="2" t="str">
        <f>"71945"</f>
        <v>71945</v>
      </c>
      <c r="C33897" s="1">
        <v>8.1744481810925096E-5</v>
      </c>
      <c r="D33897" s="1">
        <v>3.4904861488403899E-5</v>
      </c>
      <c r="E33897" s="1">
        <v>4.3455399550671099E-6</v>
      </c>
      <c r="F33897" s="1">
        <v>7.6902009032653304E-5</v>
      </c>
    </row>
    <row r="33898" spans="1:6" x14ac:dyDescent="0.25">
      <c r="A33898" s="2" t="str">
        <f t="shared" si="1191"/>
        <v>99999</v>
      </c>
      <c r="B33898" s="2" t="str">
        <f>"71861"</f>
        <v>71861</v>
      </c>
      <c r="C33898" s="1">
        <v>7.7815508052322502E-5</v>
      </c>
      <c r="D33898" s="1">
        <v>2.7316848121359601E-5</v>
      </c>
      <c r="E33898" s="1">
        <v>1.3036619865201299E-5</v>
      </c>
      <c r="F33898" s="1">
        <v>7.3022088783916505E-5</v>
      </c>
    </row>
    <row r="33899" spans="1:6" x14ac:dyDescent="0.25">
      <c r="A33899" s="2" t="str">
        <f t="shared" si="1191"/>
        <v>99999</v>
      </c>
      <c r="B33899" s="2" t="str">
        <f>"71833"</f>
        <v>71833</v>
      </c>
      <c r="C33899" s="1">
        <v>9.1348639887509103E-5</v>
      </c>
      <c r="D33899" s="1">
        <v>1.66936294074975E-5</v>
      </c>
      <c r="E33899" s="1">
        <v>1.7382159820268399E-5</v>
      </c>
      <c r="F33899" s="1">
        <v>8.4761334664709706E-5</v>
      </c>
    </row>
    <row r="33900" spans="1:6" x14ac:dyDescent="0.25">
      <c r="A33900" s="2" t="str">
        <f t="shared" si="1191"/>
        <v>99999</v>
      </c>
      <c r="B33900" s="2" t="str">
        <f>"71832"</f>
        <v>71832</v>
      </c>
      <c r="C33900" s="1">
        <v>4.7704289719032502E-4</v>
      </c>
      <c r="D33900" s="1">
        <v>6.9657962709467102E-4</v>
      </c>
      <c r="E33900" s="1">
        <v>3.7371643613577199E-4</v>
      </c>
      <c r="F33900" s="1">
        <v>4.8906892160999096E-4</v>
      </c>
    </row>
    <row r="33901" spans="1:6" x14ac:dyDescent="0.25">
      <c r="A33901" s="2" t="str">
        <f t="shared" si="1191"/>
        <v>99999</v>
      </c>
      <c r="B33901" s="2" t="str">
        <f>"71479"</f>
        <v>71479</v>
      </c>
      <c r="C33901" s="1">
        <v>3.0231270309247298E-5</v>
      </c>
      <c r="D33901" s="1">
        <v>4.5528080202265997E-6</v>
      </c>
      <c r="E33901" s="1">
        <v>1.3036619865201299E-5</v>
      </c>
      <c r="F33901" s="1">
        <v>2.8154293086986899E-5</v>
      </c>
    </row>
    <row r="33902" spans="1:6" x14ac:dyDescent="0.25">
      <c r="A33902" s="2" t="str">
        <f t="shared" si="1191"/>
        <v>99999</v>
      </c>
      <c r="B33902" s="2" t="str">
        <f>"71486"</f>
        <v>71486</v>
      </c>
      <c r="C33902" s="1">
        <v>2.1292855008426501E-4</v>
      </c>
      <c r="D33902" s="1">
        <v>6.6774517629990203E-5</v>
      </c>
      <c r="E33902" s="1">
        <v>5.6492019415872502E-5</v>
      </c>
      <c r="F33902" s="1">
        <v>1.9976615024264901E-4</v>
      </c>
    </row>
    <row r="33903" spans="1:6" x14ac:dyDescent="0.25">
      <c r="A33903" s="2" t="str">
        <f t="shared" si="1191"/>
        <v>99999</v>
      </c>
      <c r="B33903" s="2" t="str">
        <f>"71266"</f>
        <v>71266</v>
      </c>
      <c r="C33903" s="1">
        <v>8.3163277890420395E-5</v>
      </c>
      <c r="D33903" s="1">
        <v>6.37393122831725E-5</v>
      </c>
      <c r="E33903" s="1">
        <v>1.3036619865201299E-5</v>
      </c>
      <c r="F33903" s="1">
        <v>8.0284503608474996E-5</v>
      </c>
    </row>
    <row r="33904" spans="1:6" x14ac:dyDescent="0.25">
      <c r="A33904" s="2" t="str">
        <f t="shared" si="1191"/>
        <v>99999</v>
      </c>
      <c r="B33904" s="2" t="str">
        <f>"71263"</f>
        <v>71263</v>
      </c>
      <c r="C33904" s="1">
        <v>3.80346487464718E-4</v>
      </c>
      <c r="D33904" s="1">
        <v>3.0503813735518201E-4</v>
      </c>
      <c r="E33904" s="1">
        <v>1.39057278562147E-4</v>
      </c>
      <c r="F33904" s="1">
        <v>3.6988573037956599E-4</v>
      </c>
    </row>
    <row r="33905" spans="1:6" x14ac:dyDescent="0.25">
      <c r="A33905" s="2" t="str">
        <f t="shared" si="1191"/>
        <v>99999</v>
      </c>
      <c r="B33905" s="2" t="str">
        <f>"71238"</f>
        <v>71238</v>
      </c>
      <c r="C33905" s="1">
        <v>5.5442185260280297E-5</v>
      </c>
      <c r="D33905" s="1">
        <v>2.4281642774541899E-5</v>
      </c>
      <c r="E33905" s="1">
        <v>4.3455399550671099E-6</v>
      </c>
      <c r="F33905" s="1">
        <v>5.2229695656071103E-5</v>
      </c>
    </row>
    <row r="33906" spans="1:6" x14ac:dyDescent="0.25">
      <c r="A33906" s="2" t="str">
        <f t="shared" si="1191"/>
        <v>99999</v>
      </c>
      <c r="B33906" s="2" t="str">
        <f>"71422"</f>
        <v>71422</v>
      </c>
      <c r="C33906" s="1">
        <v>8.3708968690226305E-5</v>
      </c>
      <c r="D33906" s="1">
        <v>3.7940066835221703E-5</v>
      </c>
      <c r="E33906" s="1">
        <v>1.7382159820268399E-5</v>
      </c>
      <c r="F33906" s="1">
        <v>7.9190167128062101E-5</v>
      </c>
    </row>
    <row r="33907" spans="1:6" x14ac:dyDescent="0.25">
      <c r="A33907" s="2" t="str">
        <f t="shared" si="1191"/>
        <v>99999</v>
      </c>
      <c r="B33907" s="2" t="str">
        <f>"71366"</f>
        <v>71366</v>
      </c>
      <c r="C33907" s="1">
        <v>7.0721527654845696E-5</v>
      </c>
      <c r="D33907" s="1">
        <v>8.1950544364078906E-5</v>
      </c>
      <c r="E33907" s="1">
        <v>2.60732397304027E-5</v>
      </c>
      <c r="F33907" s="1">
        <v>7.0435475284758706E-5</v>
      </c>
    </row>
    <row r="33908" spans="1:6" x14ac:dyDescent="0.25">
      <c r="A33908" s="2" t="str">
        <f t="shared" si="1191"/>
        <v>99999</v>
      </c>
      <c r="B33908" s="2" t="str">
        <f>"71232"</f>
        <v>71232</v>
      </c>
      <c r="C33908" s="1">
        <v>3.63757487150618E-4</v>
      </c>
      <c r="D33908" s="1">
        <v>6.5105154689240499E-4</v>
      </c>
      <c r="E33908" s="1">
        <v>1.8685821806788599E-4</v>
      </c>
      <c r="F33908" s="1">
        <v>3.78540937088286E-4</v>
      </c>
    </row>
    <row r="33909" spans="1:6" x14ac:dyDescent="0.25">
      <c r="A33909" s="2" t="str">
        <f t="shared" si="1191"/>
        <v>99999</v>
      </c>
      <c r="B33909" s="2" t="str">
        <f>"71040"</f>
        <v>71040</v>
      </c>
      <c r="C33909" s="1">
        <v>4.4877611376037901E-4</v>
      </c>
      <c r="D33909" s="1">
        <v>5.5240737312082795E-4</v>
      </c>
      <c r="E33909" s="1">
        <v>2.0424037788815399E-4</v>
      </c>
      <c r="F33909" s="1">
        <v>4.4997126371887499E-4</v>
      </c>
    </row>
    <row r="33910" spans="1:6" x14ac:dyDescent="0.25">
      <c r="A33910" s="2" t="str">
        <f t="shared" si="1191"/>
        <v>99999</v>
      </c>
      <c r="B33910" s="2" t="str">
        <f>"71065"</f>
        <v>71065</v>
      </c>
      <c r="C33910" s="1">
        <v>5.6970119499736798E-5</v>
      </c>
      <c r="D33910" s="1">
        <v>2.2764040101133E-5</v>
      </c>
      <c r="E33910" s="1">
        <v>9.9947418966543598E-5</v>
      </c>
      <c r="F33910" s="1">
        <v>5.57116753664758E-5</v>
      </c>
    </row>
    <row r="33911" spans="1:6" x14ac:dyDescent="0.25">
      <c r="A33911" s="2" t="str">
        <f t="shared" si="1191"/>
        <v>99999</v>
      </c>
      <c r="B33911" s="2" t="str">
        <f>"71016"</f>
        <v>71016</v>
      </c>
      <c r="C33911" s="1">
        <v>1.05864015162346E-4</v>
      </c>
      <c r="D33911" s="1">
        <v>3.7940066835221703E-5</v>
      </c>
      <c r="E33911" s="1">
        <v>3.0418779685469802E-5</v>
      </c>
      <c r="F33911" s="1">
        <v>9.9684104852158602E-5</v>
      </c>
    </row>
    <row r="33912" spans="1:6" x14ac:dyDescent="0.25">
      <c r="A33912" s="2" t="str">
        <f t="shared" si="1191"/>
        <v>99999</v>
      </c>
      <c r="B33912" s="2" t="str">
        <f>"70644"</f>
        <v>70644</v>
      </c>
      <c r="C33912" s="1">
        <v>4.9112171982531701E-6</v>
      </c>
      <c r="D33912" s="1">
        <v>0</v>
      </c>
      <c r="E33912" s="1">
        <v>4.3455399550671099E-6</v>
      </c>
      <c r="F33912" s="1">
        <v>4.5763161908176597E-6</v>
      </c>
    </row>
    <row r="33913" spans="1:6" x14ac:dyDescent="0.25">
      <c r="A33913" s="2" t="str">
        <f t="shared" si="1191"/>
        <v>99999</v>
      </c>
      <c r="B33913" s="2" t="str">
        <f>"70532"</f>
        <v>70532</v>
      </c>
      <c r="C33913" s="1">
        <v>2.9685579509441402E-5</v>
      </c>
      <c r="D33913" s="1">
        <v>1.5176026734088599E-5</v>
      </c>
      <c r="E33913" s="1">
        <v>0</v>
      </c>
      <c r="F33913" s="1">
        <v>2.80548079524039E-5</v>
      </c>
    </row>
    <row r="33914" spans="1:6" x14ac:dyDescent="0.25">
      <c r="A33914" s="2" t="str">
        <f t="shared" si="1191"/>
        <v>99999</v>
      </c>
      <c r="B33914" s="2" t="str">
        <f>"59528"</f>
        <v>59528</v>
      </c>
      <c r="C33914" s="1">
        <v>7.0939803974768102E-6</v>
      </c>
      <c r="D33914" s="1">
        <v>0</v>
      </c>
      <c r="E33914" s="1">
        <v>4.3455399550671099E-6</v>
      </c>
      <c r="F33914" s="1">
        <v>6.5660188824775097E-6</v>
      </c>
    </row>
    <row r="33915" spans="1:6" x14ac:dyDescent="0.25">
      <c r="A33915" s="2" t="str">
        <f t="shared" si="1191"/>
        <v>99999</v>
      </c>
      <c r="B33915" s="2" t="str">
        <f>"59527"</f>
        <v>59527</v>
      </c>
      <c r="C33915" s="1">
        <v>0</v>
      </c>
      <c r="D33915" s="1">
        <v>0</v>
      </c>
      <c r="E33915" s="1">
        <v>4.3455399550671099E-6</v>
      </c>
      <c r="F33915" s="1">
        <v>9.9485134582992598E-8</v>
      </c>
    </row>
    <row r="33916" spans="1:6" x14ac:dyDescent="0.25">
      <c r="A33916" s="2" t="str">
        <f t="shared" si="1191"/>
        <v>99999</v>
      </c>
      <c r="B33916" s="2" t="str">
        <f>"59546"</f>
        <v>59546</v>
      </c>
      <c r="C33916" s="1">
        <v>3.27414479883545E-6</v>
      </c>
      <c r="D33916" s="1">
        <v>1.51760267340886E-6</v>
      </c>
      <c r="E33916" s="1">
        <v>4.3455399550671099E-6</v>
      </c>
      <c r="F33916" s="1">
        <v>3.1835243066557602E-6</v>
      </c>
    </row>
    <row r="33917" spans="1:6" x14ac:dyDescent="0.25">
      <c r="A33917" s="2" t="str">
        <f t="shared" si="1191"/>
        <v>99999</v>
      </c>
      <c r="B33917" s="2" t="str">
        <f>"59460"</f>
        <v>59460</v>
      </c>
      <c r="C33917" s="1">
        <v>6.9848422375156299E-6</v>
      </c>
      <c r="D33917" s="1">
        <v>0</v>
      </c>
      <c r="E33917" s="1">
        <v>4.3455399550671099E-6</v>
      </c>
      <c r="F33917" s="1">
        <v>6.4665337478945197E-6</v>
      </c>
    </row>
    <row r="33918" spans="1:6" x14ac:dyDescent="0.25">
      <c r="A33918" s="2" t="str">
        <f t="shared" si="1191"/>
        <v>99999</v>
      </c>
      <c r="B33918" s="2" t="str">
        <f>"59538"</f>
        <v>59538</v>
      </c>
      <c r="C33918" s="1">
        <v>1.3969684475031199E-4</v>
      </c>
      <c r="D33918" s="1">
        <v>3.0352053468177301E-5</v>
      </c>
      <c r="E33918" s="1">
        <v>1.3471173860707999E-4</v>
      </c>
      <c r="F33918" s="1">
        <v>1.3241471412996301E-4</v>
      </c>
    </row>
    <row r="33919" spans="1:6" x14ac:dyDescent="0.25">
      <c r="A33919" s="2" t="str">
        <f t="shared" si="1191"/>
        <v>99999</v>
      </c>
      <c r="B33919" s="2" t="str">
        <f>"59522"</f>
        <v>59522</v>
      </c>
      <c r="C33919" s="1">
        <v>5.3041145741134299E-5</v>
      </c>
      <c r="D33919" s="1">
        <v>1.5176026734088599E-5</v>
      </c>
      <c r="E33919" s="1">
        <v>2.1727699775335501E-5</v>
      </c>
      <c r="F33919" s="1">
        <v>4.9842052426079301E-5</v>
      </c>
    </row>
    <row r="33920" spans="1:6" x14ac:dyDescent="0.25">
      <c r="A33920" s="2" t="str">
        <f t="shared" si="1191"/>
        <v>99999</v>
      </c>
      <c r="B33920" s="2" t="str">
        <f>"59739"</f>
        <v>59739</v>
      </c>
      <c r="C33920" s="1">
        <v>1.2987441035380599E-5</v>
      </c>
      <c r="D33920" s="1">
        <v>1.3658424060679801E-5</v>
      </c>
      <c r="E33920" s="1">
        <v>4.3455399550671099E-6</v>
      </c>
      <c r="F33920" s="1">
        <v>1.2833582361206E-5</v>
      </c>
    </row>
    <row r="33921" spans="1:6" x14ac:dyDescent="0.25">
      <c r="A33921" s="2" t="str">
        <f t="shared" si="1191"/>
        <v>99999</v>
      </c>
      <c r="B33921" s="2" t="str">
        <f>"59736"</f>
        <v>59736</v>
      </c>
      <c r="C33921" s="1">
        <v>7.63967119728272E-7</v>
      </c>
      <c r="D33921" s="1">
        <v>0</v>
      </c>
      <c r="E33921" s="1">
        <v>4.3455399550671099E-6</v>
      </c>
      <c r="F33921" s="1">
        <v>7.9588107666394099E-7</v>
      </c>
    </row>
    <row r="33922" spans="1:6" x14ac:dyDescent="0.25">
      <c r="A33922" s="2" t="str">
        <f t="shared" si="1191"/>
        <v>99999</v>
      </c>
      <c r="B33922" s="2" t="str">
        <f>"59827"</f>
        <v>59827</v>
      </c>
      <c r="C33922" s="1">
        <v>9.71329623654517E-6</v>
      </c>
      <c r="D33922" s="1">
        <v>1.51760267340886E-6</v>
      </c>
      <c r="E33922" s="1">
        <v>1.7382159820268399E-5</v>
      </c>
      <c r="F33922" s="1">
        <v>9.3516026508012996E-6</v>
      </c>
    </row>
    <row r="33923" spans="1:6" x14ac:dyDescent="0.25">
      <c r="A33923" s="2" t="str">
        <f t="shared" si="1191"/>
        <v>99999</v>
      </c>
      <c r="B33923" s="2" t="str">
        <f>"59853"</f>
        <v>59853</v>
      </c>
      <c r="C33923" s="1">
        <v>4.7911652222958702E-5</v>
      </c>
      <c r="D33923" s="1">
        <v>2.4281642774541899E-5</v>
      </c>
      <c r="E33923" s="1">
        <v>2.60732397304027E-5</v>
      </c>
      <c r="F33923" s="1">
        <v>4.5862647042759598E-5</v>
      </c>
    </row>
    <row r="33924" spans="1:6" x14ac:dyDescent="0.25">
      <c r="A33924" s="2" t="str">
        <f t="shared" si="1191"/>
        <v>99999</v>
      </c>
      <c r="B33924" s="2" t="str">
        <f>"59848"</f>
        <v>59848</v>
      </c>
      <c r="C33924" s="1">
        <v>6.7665659175932598E-6</v>
      </c>
      <c r="D33924" s="1">
        <v>0</v>
      </c>
      <c r="E33924" s="1">
        <v>4.3455399550671099E-6</v>
      </c>
      <c r="F33924" s="1">
        <v>6.2675634787285303E-6</v>
      </c>
    </row>
    <row r="33925" spans="1:6" x14ac:dyDescent="0.25">
      <c r="A33925" s="2" t="str">
        <f t="shared" si="1191"/>
        <v>99999</v>
      </c>
      <c r="B33925" s="2" t="str">
        <f>"59831"</f>
        <v>59831</v>
      </c>
      <c r="C33925" s="1">
        <v>1.5061066074643001E-5</v>
      </c>
      <c r="D33925" s="1">
        <v>1.8211232080906399E-5</v>
      </c>
      <c r="E33925" s="1">
        <v>1.3036619865201299E-5</v>
      </c>
      <c r="F33925" s="1">
        <v>1.52212255911978E-5</v>
      </c>
    </row>
    <row r="33926" spans="1:6" x14ac:dyDescent="0.25">
      <c r="A33926" s="2" t="str">
        <f t="shared" si="1191"/>
        <v>99999</v>
      </c>
      <c r="B33926" s="2" t="str">
        <f>"59833"</f>
        <v>59833</v>
      </c>
      <c r="C33926" s="1">
        <v>2.0965440528543001E-4</v>
      </c>
      <c r="D33926" s="1">
        <v>1.24443419219527E-4</v>
      </c>
      <c r="E33926" s="1">
        <v>2.8680563703442901E-4</v>
      </c>
      <c r="F33926" s="1">
        <v>2.0583474345221099E-4</v>
      </c>
    </row>
    <row r="33927" spans="1:6" x14ac:dyDescent="0.25">
      <c r="A33927" s="2" t="str">
        <f t="shared" si="1191"/>
        <v>99999</v>
      </c>
      <c r="B33927" s="2" t="str">
        <f>"59447"</f>
        <v>59447</v>
      </c>
      <c r="C33927" s="1">
        <v>1.6916414793983099E-5</v>
      </c>
      <c r="D33927" s="1">
        <v>4.5528080202265997E-6</v>
      </c>
      <c r="E33927" s="1">
        <v>4.3455399550671099E-6</v>
      </c>
      <c r="F33927" s="1">
        <v>1.5818136398695801E-5</v>
      </c>
    </row>
    <row r="33928" spans="1:6" x14ac:dyDescent="0.25">
      <c r="A33928" s="2" t="str">
        <f t="shared" si="1191"/>
        <v>99999</v>
      </c>
      <c r="B33928" s="2" t="str">
        <f>"59420"</f>
        <v>59420</v>
      </c>
      <c r="C33928" s="1">
        <v>6.5482895976709E-6</v>
      </c>
      <c r="D33928" s="1">
        <v>0</v>
      </c>
      <c r="E33928" s="1">
        <v>4.3455399550671099E-6</v>
      </c>
      <c r="F33928" s="1">
        <v>6.0685932095625502E-6</v>
      </c>
    </row>
    <row r="33929" spans="1:6" x14ac:dyDescent="0.25">
      <c r="A33929" s="2" t="str">
        <f t="shared" si="1191"/>
        <v>99999</v>
      </c>
      <c r="B33929" s="2" t="str">
        <f>"59404"</f>
        <v>59404</v>
      </c>
      <c r="C33929" s="1">
        <v>4.3655263984472602E-7</v>
      </c>
      <c r="D33929" s="1">
        <v>0</v>
      </c>
      <c r="E33929" s="1">
        <v>0</v>
      </c>
      <c r="F33929" s="1">
        <v>3.9794053833197002E-7</v>
      </c>
    </row>
    <row r="33930" spans="1:6" x14ac:dyDescent="0.25">
      <c r="A33930" s="2" t="str">
        <f t="shared" si="1191"/>
        <v>99999</v>
      </c>
      <c r="B33930" s="2" t="str">
        <f>"59419"</f>
        <v>59419</v>
      </c>
      <c r="C33930" s="1">
        <v>6.6574277576320803E-6</v>
      </c>
      <c r="D33930" s="1">
        <v>0</v>
      </c>
      <c r="E33930" s="1">
        <v>4.3455399550671099E-6</v>
      </c>
      <c r="F33930" s="1">
        <v>6.1680783441455402E-6</v>
      </c>
    </row>
    <row r="33931" spans="1:6" x14ac:dyDescent="0.25">
      <c r="A33931" s="2" t="str">
        <f t="shared" si="1191"/>
        <v>99999</v>
      </c>
      <c r="B33931" s="2" t="str">
        <f>"59453"</f>
        <v>59453</v>
      </c>
      <c r="C33931" s="1">
        <v>2.3355566231692799E-5</v>
      </c>
      <c r="D33931" s="1">
        <v>0</v>
      </c>
      <c r="E33931" s="1">
        <v>4.3455399550671099E-6</v>
      </c>
      <c r="F33931" s="1">
        <v>2.13893039353434E-5</v>
      </c>
    </row>
    <row r="33932" spans="1:6" x14ac:dyDescent="0.25">
      <c r="A33932" s="2" t="str">
        <f t="shared" si="1191"/>
        <v>99999</v>
      </c>
      <c r="B33932" s="2" t="str">
        <f>"59451"</f>
        <v>59451</v>
      </c>
      <c r="C33932" s="1">
        <v>1.54976187144878E-5</v>
      </c>
      <c r="D33932" s="1">
        <v>7.5880133670443404E-6</v>
      </c>
      <c r="E33932" s="1">
        <v>4.3455399550671099E-6</v>
      </c>
      <c r="F33932" s="1">
        <v>1.4723799918282901E-5</v>
      </c>
    </row>
    <row r="33933" spans="1:6" x14ac:dyDescent="0.25">
      <c r="A33933" s="2" t="str">
        <f t="shared" si="1191"/>
        <v>99999</v>
      </c>
      <c r="B33933" s="2" t="str">
        <f>"59457"</f>
        <v>59457</v>
      </c>
      <c r="C33933" s="1">
        <v>5.1338590445739797E-4</v>
      </c>
      <c r="D33933" s="1">
        <v>1.0122409831637099E-3</v>
      </c>
      <c r="E33933" s="1">
        <v>8.4738029123808704E-4</v>
      </c>
      <c r="F33933" s="1">
        <v>5.53734259088937E-4</v>
      </c>
    </row>
    <row r="33934" spans="1:6" x14ac:dyDescent="0.25">
      <c r="A33934" s="2" t="str">
        <f t="shared" si="1191"/>
        <v>99999</v>
      </c>
      <c r="B33934" s="2" t="str">
        <f>"59247"</f>
        <v>59247</v>
      </c>
      <c r="C33934" s="1">
        <v>4.9112171982531701E-6</v>
      </c>
      <c r="D33934" s="1">
        <v>7.5880133670443404E-6</v>
      </c>
      <c r="E33934" s="1">
        <v>4.3455399550671099E-6</v>
      </c>
      <c r="F33934" s="1">
        <v>5.0737418637326201E-6</v>
      </c>
    </row>
    <row r="33935" spans="1:6" x14ac:dyDescent="0.25">
      <c r="A33935" s="2" t="str">
        <f t="shared" si="1191"/>
        <v>99999</v>
      </c>
      <c r="B33935" s="2" t="str">
        <f>"59250"</f>
        <v>59250</v>
      </c>
      <c r="C33935" s="1">
        <v>5.1294935181755401E-6</v>
      </c>
      <c r="D33935" s="1">
        <v>6.0704106936354696E-6</v>
      </c>
      <c r="E33935" s="1">
        <v>4.3455399550671099E-6</v>
      </c>
      <c r="F33935" s="1">
        <v>5.1732269983156102E-6</v>
      </c>
    </row>
    <row r="33936" spans="1:6" x14ac:dyDescent="0.25">
      <c r="A33936" s="2" t="str">
        <f t="shared" si="1191"/>
        <v>99999</v>
      </c>
      <c r="B33936" s="2" t="str">
        <f>"59244"</f>
        <v>59244</v>
      </c>
      <c r="C33936" s="1">
        <v>7.7488093572439E-6</v>
      </c>
      <c r="D33936" s="1">
        <v>0</v>
      </c>
      <c r="E33936" s="1">
        <v>4.3455399550671099E-6</v>
      </c>
      <c r="F33936" s="1">
        <v>7.1629296899754602E-6</v>
      </c>
    </row>
    <row r="33937" spans="1:6" x14ac:dyDescent="0.25">
      <c r="A33937" s="2" t="str">
        <f t="shared" si="1191"/>
        <v>99999</v>
      </c>
      <c r="B33937" s="2" t="str">
        <f>"59214"</f>
        <v>59214</v>
      </c>
      <c r="C33937" s="1">
        <v>9.1676054367392598E-6</v>
      </c>
      <c r="D33937" s="1">
        <v>4.5528080202265997E-6</v>
      </c>
      <c r="E33937" s="1">
        <v>4.3455399550671099E-6</v>
      </c>
      <c r="F33937" s="1">
        <v>8.7546918433033508E-6</v>
      </c>
    </row>
    <row r="33938" spans="1:6" x14ac:dyDescent="0.25">
      <c r="A33938" s="2" t="str">
        <f t="shared" ref="A33938:A34001" si="1192">"99999"</f>
        <v>99999</v>
      </c>
      <c r="B33938" s="2" t="str">
        <f>"59338"</f>
        <v>59338</v>
      </c>
      <c r="C33938" s="1">
        <v>7.2031185574379897E-6</v>
      </c>
      <c r="D33938" s="1">
        <v>1.51760267340886E-6</v>
      </c>
      <c r="E33938" s="1">
        <v>8.69107991013423E-6</v>
      </c>
      <c r="F33938" s="1">
        <v>6.86447428622649E-6</v>
      </c>
    </row>
    <row r="33939" spans="1:6" x14ac:dyDescent="0.25">
      <c r="A33939" s="2" t="str">
        <f t="shared" si="1192"/>
        <v>99999</v>
      </c>
      <c r="B33939" s="2" t="str">
        <f>"59347"</f>
        <v>59347</v>
      </c>
      <c r="C33939" s="1">
        <v>1.2660026555497001E-5</v>
      </c>
      <c r="D33939" s="1">
        <v>0</v>
      </c>
      <c r="E33939" s="1">
        <v>4.3455399550671099E-6</v>
      </c>
      <c r="F33939" s="1">
        <v>1.1639760746210099E-5</v>
      </c>
    </row>
    <row r="33940" spans="1:6" x14ac:dyDescent="0.25">
      <c r="A33940" s="2" t="str">
        <f t="shared" si="1192"/>
        <v>99999</v>
      </c>
      <c r="B33940" s="2" t="str">
        <f>"59273"</f>
        <v>59273</v>
      </c>
      <c r="C33940" s="1">
        <v>1.20051975957299E-6</v>
      </c>
      <c r="D33940" s="1">
        <v>0</v>
      </c>
      <c r="E33940" s="1">
        <v>4.3455399550671099E-6</v>
      </c>
      <c r="F33940" s="1">
        <v>1.19382161499591E-6</v>
      </c>
    </row>
    <row r="33941" spans="1:6" x14ac:dyDescent="0.25">
      <c r="A33941" s="2" t="str">
        <f t="shared" si="1192"/>
        <v>99999</v>
      </c>
      <c r="B33941" s="2" t="str">
        <f>"59345"</f>
        <v>59345</v>
      </c>
      <c r="C33941" s="1">
        <v>3.27414479883545E-6</v>
      </c>
      <c r="D33941" s="1">
        <v>1.51760267340886E-6</v>
      </c>
      <c r="E33941" s="1">
        <v>0</v>
      </c>
      <c r="F33941" s="1">
        <v>3.0840391720727701E-6</v>
      </c>
    </row>
    <row r="33942" spans="1:6" x14ac:dyDescent="0.25">
      <c r="A33942" s="2" t="str">
        <f t="shared" si="1192"/>
        <v>99999</v>
      </c>
      <c r="B33942" s="2" t="str">
        <f>"59312"</f>
        <v>59312</v>
      </c>
      <c r="C33942" s="1">
        <v>3.05586847891308E-6</v>
      </c>
      <c r="D33942" s="1">
        <v>0</v>
      </c>
      <c r="E33942" s="1">
        <v>4.3455399550671099E-6</v>
      </c>
      <c r="F33942" s="1">
        <v>2.8850689029067799E-6</v>
      </c>
    </row>
    <row r="33943" spans="1:6" x14ac:dyDescent="0.25">
      <c r="A33943" s="2" t="str">
        <f t="shared" si="1192"/>
        <v>99999</v>
      </c>
      <c r="B33943" s="2" t="str">
        <f>"59276"</f>
        <v>59276</v>
      </c>
      <c r="C33943" s="1">
        <v>8.7310527968945299E-7</v>
      </c>
      <c r="D33943" s="1">
        <v>0</v>
      </c>
      <c r="E33943" s="1">
        <v>1.3036619865201299E-5</v>
      </c>
      <c r="F33943" s="1">
        <v>1.09433648041291E-6</v>
      </c>
    </row>
    <row r="33944" spans="1:6" x14ac:dyDescent="0.25">
      <c r="A33944" s="2" t="str">
        <f t="shared" si="1192"/>
        <v>99999</v>
      </c>
      <c r="B33944" s="2" t="str">
        <f>"59261"</f>
        <v>59261</v>
      </c>
      <c r="C33944" s="1">
        <v>1.20051975957299E-5</v>
      </c>
      <c r="D33944" s="1">
        <v>4.5528080202265997E-6</v>
      </c>
      <c r="E33944" s="1">
        <v>4.3455399550671099E-6</v>
      </c>
      <c r="F33944" s="1">
        <v>1.13413053424611E-5</v>
      </c>
    </row>
    <row r="33945" spans="1:6" x14ac:dyDescent="0.25">
      <c r="A33945" s="2" t="str">
        <f t="shared" si="1192"/>
        <v>99999</v>
      </c>
      <c r="B33945" s="2" t="str">
        <f>"58559"</f>
        <v>58559</v>
      </c>
      <c r="C33945" s="1">
        <v>1.2441750235574699E-5</v>
      </c>
      <c r="D33945" s="1">
        <v>1.51760267340886E-6</v>
      </c>
      <c r="E33945" s="1">
        <v>2.1727699775335501E-5</v>
      </c>
      <c r="F33945" s="1">
        <v>1.19382161499591E-5</v>
      </c>
    </row>
    <row r="33946" spans="1:6" x14ac:dyDescent="0.25">
      <c r="A33946" s="2" t="str">
        <f t="shared" si="1192"/>
        <v>99999</v>
      </c>
      <c r="B33946" s="2" t="str">
        <f>"58621"</f>
        <v>58621</v>
      </c>
      <c r="C33946" s="1">
        <v>2.9467303189519E-5</v>
      </c>
      <c r="D33946" s="1">
        <v>3.0352053468177301E-6</v>
      </c>
      <c r="E33946" s="1">
        <v>4.7800939505738197E-5</v>
      </c>
      <c r="F33946" s="1">
        <v>2.8154293086986899E-5</v>
      </c>
    </row>
    <row r="33947" spans="1:6" x14ac:dyDescent="0.25">
      <c r="A33947" s="2" t="str">
        <f t="shared" si="1192"/>
        <v>99999</v>
      </c>
      <c r="B33947" s="2" t="str">
        <f>"58565"</f>
        <v>58565</v>
      </c>
      <c r="C33947" s="1">
        <v>9.6041580765839897E-6</v>
      </c>
      <c r="D33947" s="1">
        <v>1.21408213872709E-5</v>
      </c>
      <c r="E33947" s="1">
        <v>4.3455399550671099E-6</v>
      </c>
      <c r="F33947" s="1">
        <v>9.6500580545502799E-6</v>
      </c>
    </row>
    <row r="33948" spans="1:6" x14ac:dyDescent="0.25">
      <c r="A33948" s="2" t="str">
        <f t="shared" si="1192"/>
        <v>99999</v>
      </c>
      <c r="B33948" s="2" t="str">
        <f>"58535"</f>
        <v>58535</v>
      </c>
      <c r="C33948" s="1">
        <v>6.4391514377097196E-6</v>
      </c>
      <c r="D33948" s="1">
        <v>0</v>
      </c>
      <c r="E33948" s="1">
        <v>0</v>
      </c>
      <c r="F33948" s="1">
        <v>5.86962294039656E-6</v>
      </c>
    </row>
    <row r="33949" spans="1:6" x14ac:dyDescent="0.25">
      <c r="A33949" s="2" t="str">
        <f t="shared" si="1192"/>
        <v>99999</v>
      </c>
      <c r="B33949" s="2" t="str">
        <f>"58779"</f>
        <v>58779</v>
      </c>
      <c r="C33949" s="1">
        <v>9.2767435967004401E-6</v>
      </c>
      <c r="D33949" s="1">
        <v>3.0352053468177301E-6</v>
      </c>
      <c r="E33949" s="1">
        <v>0</v>
      </c>
      <c r="F33949" s="1">
        <v>8.6552067087203506E-6</v>
      </c>
    </row>
    <row r="33950" spans="1:6" x14ac:dyDescent="0.25">
      <c r="A33950" s="2" t="str">
        <f t="shared" si="1192"/>
        <v>99999</v>
      </c>
      <c r="B33950" s="2" t="str">
        <f>"58734"</f>
        <v>58734</v>
      </c>
      <c r="C33950" s="1">
        <v>4.4746645584084504E-6</v>
      </c>
      <c r="D33950" s="1">
        <v>1.51760267340886E-6</v>
      </c>
      <c r="E33950" s="1">
        <v>0</v>
      </c>
      <c r="F33950" s="1">
        <v>4.1783756524856902E-6</v>
      </c>
    </row>
    <row r="33951" spans="1:6" x14ac:dyDescent="0.25">
      <c r="A33951" s="2" t="str">
        <f t="shared" si="1192"/>
        <v>99999</v>
      </c>
      <c r="B33951" s="2" t="str">
        <f>"58789"</f>
        <v>58789</v>
      </c>
      <c r="C33951" s="1">
        <v>1.85534871934008E-6</v>
      </c>
      <c r="D33951" s="1">
        <v>0</v>
      </c>
      <c r="E33951" s="1">
        <v>0</v>
      </c>
      <c r="F33951" s="1">
        <v>1.6912472879108699E-6</v>
      </c>
    </row>
    <row r="33952" spans="1:6" x14ac:dyDescent="0.25">
      <c r="A33952" s="2" t="str">
        <f t="shared" si="1192"/>
        <v>99999</v>
      </c>
      <c r="B33952" s="2" t="str">
        <f>"58737"</f>
        <v>58737</v>
      </c>
      <c r="C33952" s="1">
        <v>1.36422699951477E-5</v>
      </c>
      <c r="D33952" s="1">
        <v>1.3658424060679801E-5</v>
      </c>
      <c r="E33952" s="1">
        <v>1.3036619865201299E-5</v>
      </c>
      <c r="F33952" s="1">
        <v>1.36294634378699E-5</v>
      </c>
    </row>
    <row r="33953" spans="1:6" x14ac:dyDescent="0.25">
      <c r="A33953" s="2" t="str">
        <f t="shared" si="1192"/>
        <v>99999</v>
      </c>
      <c r="B33953" s="2" t="str">
        <f>"58771"</f>
        <v>58771</v>
      </c>
      <c r="C33953" s="1">
        <v>2.1063664872508E-5</v>
      </c>
      <c r="D33953" s="1">
        <v>0</v>
      </c>
      <c r="E33953" s="1">
        <v>2.1727699775335501E-5</v>
      </c>
      <c r="F33953" s="1">
        <v>1.96980566474325E-5</v>
      </c>
    </row>
    <row r="33954" spans="1:6" x14ac:dyDescent="0.25">
      <c r="A33954" s="2" t="str">
        <f t="shared" si="1192"/>
        <v>99999</v>
      </c>
      <c r="B33954" s="2" t="str">
        <f>"58760"</f>
        <v>58760</v>
      </c>
      <c r="C33954" s="1">
        <v>1.23326120756135E-5</v>
      </c>
      <c r="D33954" s="1">
        <v>9.1056160404532095E-6</v>
      </c>
      <c r="E33954" s="1">
        <v>4.3455399550671099E-6</v>
      </c>
      <c r="F33954" s="1">
        <v>1.19382161499591E-5</v>
      </c>
    </row>
    <row r="33955" spans="1:6" x14ac:dyDescent="0.25">
      <c r="A33955" s="2" t="str">
        <f t="shared" si="1192"/>
        <v>99999</v>
      </c>
      <c r="B33955" s="2" t="str">
        <f>"58831"</f>
        <v>58831</v>
      </c>
      <c r="C33955" s="1">
        <v>3.8416632306335898E-5</v>
      </c>
      <c r="D33955" s="1">
        <v>8.043294169067E-5</v>
      </c>
      <c r="E33955" s="1">
        <v>2.6073239730402698E-4</v>
      </c>
      <c r="F33955" s="1">
        <v>4.6260587581091497E-5</v>
      </c>
    </row>
    <row r="33956" spans="1:6" x14ac:dyDescent="0.25">
      <c r="A33956" s="2" t="str">
        <f t="shared" si="1192"/>
        <v>99999</v>
      </c>
      <c r="B33956" s="2" t="str">
        <f>"58784"</f>
        <v>58784</v>
      </c>
      <c r="C33956" s="1">
        <v>1.1917887067761E-4</v>
      </c>
      <c r="D33956" s="1">
        <v>1.00161776444985E-4</v>
      </c>
      <c r="E33956" s="1">
        <v>3.2156995667496598E-4</v>
      </c>
      <c r="F33956" s="1">
        <v>1.2256568580624601E-4</v>
      </c>
    </row>
    <row r="33957" spans="1:6" x14ac:dyDescent="0.25">
      <c r="A33957" s="2" t="str">
        <f t="shared" si="1192"/>
        <v>99999</v>
      </c>
      <c r="B33957" s="2" t="str">
        <f>"59084"</f>
        <v>59084</v>
      </c>
      <c r="C33957" s="1">
        <v>6.5482895976708995E-7</v>
      </c>
      <c r="D33957" s="1">
        <v>0</v>
      </c>
      <c r="E33957" s="1">
        <v>4.3455399550671099E-6</v>
      </c>
      <c r="F33957" s="1">
        <v>6.9639594208094799E-7</v>
      </c>
    </row>
    <row r="33958" spans="1:6" x14ac:dyDescent="0.25">
      <c r="A33958" s="2" t="str">
        <f t="shared" si="1192"/>
        <v>99999</v>
      </c>
      <c r="B33958" s="2" t="str">
        <f>"59075"</f>
        <v>59075</v>
      </c>
      <c r="C33958" s="1">
        <v>4.3655263984472599E-6</v>
      </c>
      <c r="D33958" s="1">
        <v>0</v>
      </c>
      <c r="E33958" s="1">
        <v>4.3455399550671099E-6</v>
      </c>
      <c r="F33958" s="1">
        <v>4.07889051790269E-6</v>
      </c>
    </row>
    <row r="33959" spans="1:6" x14ac:dyDescent="0.25">
      <c r="A33959" s="2" t="str">
        <f t="shared" si="1192"/>
        <v>99999</v>
      </c>
      <c r="B33959" s="2" t="str">
        <f>"59046"</f>
        <v>59046</v>
      </c>
      <c r="C33959" s="1">
        <v>3.5579040147345198E-5</v>
      </c>
      <c r="D33959" s="1">
        <v>7.5880133670443404E-6</v>
      </c>
      <c r="E33959" s="1">
        <v>4.3455399550671099E-6</v>
      </c>
      <c r="F33959" s="1">
        <v>3.3029064681553501E-5</v>
      </c>
    </row>
    <row r="33960" spans="1:6" x14ac:dyDescent="0.25">
      <c r="A33960" s="2" t="str">
        <f t="shared" si="1192"/>
        <v>99999</v>
      </c>
      <c r="B33960" s="2" t="str">
        <f>"58481"</f>
        <v>58481</v>
      </c>
      <c r="C33960" s="1">
        <v>1.44062371148759E-5</v>
      </c>
      <c r="D33960" s="1">
        <v>1.51760267340886E-6</v>
      </c>
      <c r="E33960" s="1">
        <v>4.3455399550671099E-6</v>
      </c>
      <c r="F33960" s="1">
        <v>1.3331008034121E-5</v>
      </c>
    </row>
    <row r="33961" spans="1:6" x14ac:dyDescent="0.25">
      <c r="A33961" s="2" t="str">
        <f t="shared" si="1192"/>
        <v>99999</v>
      </c>
      <c r="B33961" s="2" t="str">
        <f>"58445"</f>
        <v>58445</v>
      </c>
      <c r="C33961" s="1">
        <v>5.5660461580202599E-6</v>
      </c>
      <c r="D33961" s="1">
        <v>4.5528080202265997E-6</v>
      </c>
      <c r="E33961" s="1">
        <v>1.3036619865201299E-5</v>
      </c>
      <c r="F33961" s="1">
        <v>5.6706526712305799E-6</v>
      </c>
    </row>
    <row r="33962" spans="1:6" x14ac:dyDescent="0.25">
      <c r="A33962" s="2" t="str">
        <f t="shared" si="1192"/>
        <v>99999</v>
      </c>
      <c r="B33962" s="2" t="str">
        <f>"58487"</f>
        <v>58487</v>
      </c>
      <c r="C33962" s="1">
        <v>2.52109149510329E-5</v>
      </c>
      <c r="D33962" s="1">
        <v>1.21408213872709E-5</v>
      </c>
      <c r="E33962" s="1">
        <v>4.3455399550671099E-6</v>
      </c>
      <c r="F33962" s="1">
        <v>2.38764322999182E-5</v>
      </c>
    </row>
    <row r="33963" spans="1:6" x14ac:dyDescent="0.25">
      <c r="A33963" s="2" t="str">
        <f t="shared" si="1192"/>
        <v>99999</v>
      </c>
      <c r="B33963" s="2" t="str">
        <f>"58461"</f>
        <v>58461</v>
      </c>
      <c r="C33963" s="1">
        <v>3.53607638274228E-5</v>
      </c>
      <c r="D33963" s="1">
        <v>1.21408213872709E-5</v>
      </c>
      <c r="E33963" s="1">
        <v>1.7382159820268399E-5</v>
      </c>
      <c r="F33963" s="1">
        <v>3.3427005219885502E-5</v>
      </c>
    </row>
    <row r="33964" spans="1:6" x14ac:dyDescent="0.25">
      <c r="A33964" s="2" t="str">
        <f t="shared" si="1192"/>
        <v>99999</v>
      </c>
      <c r="B33964" s="2" t="str">
        <f>"58429"</f>
        <v>58429</v>
      </c>
      <c r="C33964" s="1">
        <v>3.1322651908859099E-5</v>
      </c>
      <c r="D33964" s="1">
        <v>2.4281642774541899E-5</v>
      </c>
      <c r="E33964" s="1">
        <v>4.3455399550671103E-5</v>
      </c>
      <c r="F33964" s="1">
        <v>3.1138847124476597E-5</v>
      </c>
    </row>
    <row r="33965" spans="1:6" x14ac:dyDescent="0.25">
      <c r="A33965" s="2" t="str">
        <f t="shared" si="1192"/>
        <v>99999</v>
      </c>
      <c r="B33965" s="2" t="str">
        <f>"58643"</f>
        <v>58643</v>
      </c>
      <c r="C33965" s="1">
        <v>2.07362503926245E-6</v>
      </c>
      <c r="D33965" s="1">
        <v>4.5528080202265997E-6</v>
      </c>
      <c r="E33965" s="1">
        <v>4.3455399550671099E-6</v>
      </c>
      <c r="F33965" s="1">
        <v>2.2881580954088299E-6</v>
      </c>
    </row>
    <row r="33966" spans="1:6" x14ac:dyDescent="0.25">
      <c r="A33966" s="2" t="str">
        <f t="shared" si="1192"/>
        <v>99999</v>
      </c>
      <c r="B33966" s="2" t="str">
        <f>"58630"</f>
        <v>58630</v>
      </c>
      <c r="C33966" s="1">
        <v>5.1294935181755401E-6</v>
      </c>
      <c r="D33966" s="1">
        <v>0</v>
      </c>
      <c r="E33966" s="1">
        <v>0</v>
      </c>
      <c r="F33966" s="1">
        <v>4.6758013254006498E-6</v>
      </c>
    </row>
    <row r="33967" spans="1:6" x14ac:dyDescent="0.25">
      <c r="A33967" s="2" t="str">
        <f t="shared" si="1192"/>
        <v>99999</v>
      </c>
      <c r="B33967" s="2" t="str">
        <f>"58652"</f>
        <v>58652</v>
      </c>
      <c r="C33967" s="1">
        <v>4.8020790382919898E-6</v>
      </c>
      <c r="D33967" s="1">
        <v>0</v>
      </c>
      <c r="E33967" s="1">
        <v>0</v>
      </c>
      <c r="F33967" s="1">
        <v>4.3773459216516703E-6</v>
      </c>
    </row>
    <row r="33968" spans="1:6" x14ac:dyDescent="0.25">
      <c r="A33968" s="2" t="str">
        <f t="shared" si="1192"/>
        <v>99999</v>
      </c>
      <c r="B33968" s="2" t="str">
        <f>"58716"</f>
        <v>58716</v>
      </c>
      <c r="C33968" s="1">
        <v>6.2208751177873496E-6</v>
      </c>
      <c r="D33968" s="1">
        <v>0</v>
      </c>
      <c r="E33968" s="1">
        <v>4.3455399550671099E-6</v>
      </c>
      <c r="F33968" s="1">
        <v>5.7701378058135699E-6</v>
      </c>
    </row>
    <row r="33969" spans="1:6" x14ac:dyDescent="0.25">
      <c r="A33969" s="2" t="str">
        <f t="shared" si="1192"/>
        <v>99999</v>
      </c>
      <c r="B33969" s="2" t="str">
        <f>"58321"</f>
        <v>58321</v>
      </c>
      <c r="C33969" s="1">
        <v>7.6396711972827196E-6</v>
      </c>
      <c r="D33969" s="1">
        <v>1.51760267340886E-6</v>
      </c>
      <c r="E33969" s="1">
        <v>4.3455399550671099E-6</v>
      </c>
      <c r="F33969" s="1">
        <v>7.1629296899754602E-6</v>
      </c>
    </row>
    <row r="33970" spans="1:6" x14ac:dyDescent="0.25">
      <c r="A33970" s="2" t="str">
        <f t="shared" si="1192"/>
        <v>99999</v>
      </c>
      <c r="B33970" s="2" t="str">
        <f>"58227"</f>
        <v>58227</v>
      </c>
      <c r="C33970" s="1">
        <v>3.17592045487038E-5</v>
      </c>
      <c r="D33970" s="1">
        <v>7.5880133670443404E-6</v>
      </c>
      <c r="E33970" s="1">
        <v>2.1727699775335501E-5</v>
      </c>
      <c r="F33970" s="1">
        <v>2.9945025509480699E-5</v>
      </c>
    </row>
    <row r="33971" spans="1:6" x14ac:dyDescent="0.25">
      <c r="A33971" s="2" t="str">
        <f t="shared" si="1192"/>
        <v>99999</v>
      </c>
      <c r="B33971" s="2" t="str">
        <f>"58236"</f>
        <v>58236</v>
      </c>
      <c r="C33971" s="1">
        <v>2.1827631992236299E-6</v>
      </c>
      <c r="D33971" s="1">
        <v>1.51760267340886E-6</v>
      </c>
      <c r="E33971" s="1">
        <v>4.3455399550671099E-6</v>
      </c>
      <c r="F33971" s="1">
        <v>2.1886729608258301E-6</v>
      </c>
    </row>
    <row r="33972" spans="1:6" x14ac:dyDescent="0.25">
      <c r="A33972" s="2" t="str">
        <f t="shared" si="1192"/>
        <v>99999</v>
      </c>
      <c r="B33972" s="2" t="str">
        <f>"58224"</f>
        <v>58224</v>
      </c>
      <c r="C33972" s="1">
        <v>3.4924211187578098E-6</v>
      </c>
      <c r="D33972" s="1">
        <v>4.5528080202265997E-6</v>
      </c>
      <c r="E33972" s="1">
        <v>4.3455399550671099E-6</v>
      </c>
      <c r="F33972" s="1">
        <v>3.5814648449877301E-6</v>
      </c>
    </row>
    <row r="33973" spans="1:6" x14ac:dyDescent="0.25">
      <c r="A33973" s="2" t="str">
        <f t="shared" si="1192"/>
        <v>99999</v>
      </c>
      <c r="B33973" s="2" t="str">
        <f>"58282"</f>
        <v>58282</v>
      </c>
      <c r="C33973" s="1">
        <v>6.5592034136670194E-5</v>
      </c>
      <c r="D33973" s="1">
        <v>3.0352053468177301E-5</v>
      </c>
      <c r="E33973" s="1">
        <v>6.5183099326006705E-5</v>
      </c>
      <c r="F33973" s="1">
        <v>6.3272545594783301E-5</v>
      </c>
    </row>
    <row r="33974" spans="1:6" x14ac:dyDescent="0.25">
      <c r="A33974" s="2" t="str">
        <f t="shared" si="1192"/>
        <v>99999</v>
      </c>
      <c r="B33974" s="2" t="str">
        <f>"58277"</f>
        <v>58277</v>
      </c>
      <c r="C33974" s="1">
        <v>1.2441750235574699E-5</v>
      </c>
      <c r="D33974" s="1">
        <v>0</v>
      </c>
      <c r="E33974" s="1">
        <v>4.3455399550671099E-6</v>
      </c>
      <c r="F33974" s="1">
        <v>1.1440790477044101E-5</v>
      </c>
    </row>
    <row r="33975" spans="1:6" x14ac:dyDescent="0.25">
      <c r="A33975" s="2" t="str">
        <f t="shared" si="1192"/>
        <v>99999</v>
      </c>
      <c r="B33975" s="2" t="str">
        <f>"58257"</f>
        <v>58257</v>
      </c>
      <c r="C33975" s="1">
        <v>1.2747337083466001E-4</v>
      </c>
      <c r="D33975" s="1">
        <v>2.1094677160383201E-4</v>
      </c>
      <c r="E33975" s="1">
        <v>3.8240751604590601E-4</v>
      </c>
      <c r="F33975" s="1">
        <v>1.3878176274327399E-4</v>
      </c>
    </row>
    <row r="33976" spans="1:6" x14ac:dyDescent="0.25">
      <c r="A33976" s="2" t="str">
        <f t="shared" si="1192"/>
        <v>99999</v>
      </c>
      <c r="B33976" s="2" t="str">
        <f>"58241"</f>
        <v>58241</v>
      </c>
      <c r="C33976" s="1">
        <v>7.5305330373215401E-6</v>
      </c>
      <c r="D33976" s="1">
        <v>1.51760267340886E-6</v>
      </c>
      <c r="E33976" s="1">
        <v>4.3455399550671099E-6</v>
      </c>
      <c r="F33976" s="1">
        <v>7.0634445553924701E-6</v>
      </c>
    </row>
    <row r="33977" spans="1:6" x14ac:dyDescent="0.25">
      <c r="A33977" s="2" t="str">
        <f t="shared" si="1192"/>
        <v>99999</v>
      </c>
      <c r="B33977" s="2" t="str">
        <f>"58238"</f>
        <v>58238</v>
      </c>
      <c r="C33977" s="1">
        <v>6.1117369578261701E-6</v>
      </c>
      <c r="D33977" s="1">
        <v>1.51760267340886E-6</v>
      </c>
      <c r="E33977" s="1">
        <v>4.3455399550671099E-6</v>
      </c>
      <c r="F33977" s="1">
        <v>5.7701378058135699E-6</v>
      </c>
    </row>
    <row r="33978" spans="1:6" x14ac:dyDescent="0.25">
      <c r="A33978" s="2" t="str">
        <f t="shared" si="1192"/>
        <v>99999</v>
      </c>
      <c r="B33978" s="2" t="str">
        <f>"57659"</f>
        <v>57659</v>
      </c>
      <c r="C33978" s="1">
        <v>1.4187960794953601E-6</v>
      </c>
      <c r="D33978" s="1">
        <v>3.0352053468177301E-6</v>
      </c>
      <c r="E33978" s="1">
        <v>4.3455399550671099E-6</v>
      </c>
      <c r="F33978" s="1">
        <v>1.5917621533278801E-6</v>
      </c>
    </row>
    <row r="33979" spans="1:6" x14ac:dyDescent="0.25">
      <c r="A33979" s="2" t="str">
        <f t="shared" si="1192"/>
        <v>99999</v>
      </c>
      <c r="B33979" s="2" t="str">
        <f>"57541"</f>
        <v>57541</v>
      </c>
      <c r="C33979" s="1">
        <v>6.0025987978649897E-6</v>
      </c>
      <c r="D33979" s="1">
        <v>1.51760267340886E-6</v>
      </c>
      <c r="E33979" s="1">
        <v>4.3455399550671099E-6</v>
      </c>
      <c r="F33979" s="1">
        <v>5.6706526712305799E-6</v>
      </c>
    </row>
    <row r="33980" spans="1:6" x14ac:dyDescent="0.25">
      <c r="A33980" s="2" t="str">
        <f t="shared" si="1192"/>
        <v>99999</v>
      </c>
      <c r="B33980" s="2" t="str">
        <f>"57428"</f>
        <v>57428</v>
      </c>
      <c r="C33980" s="1">
        <v>2.9467303189519E-6</v>
      </c>
      <c r="D33980" s="1">
        <v>0</v>
      </c>
      <c r="E33980" s="1">
        <v>0</v>
      </c>
      <c r="F33980" s="1">
        <v>2.6860986337408002E-6</v>
      </c>
    </row>
    <row r="33981" spans="1:6" x14ac:dyDescent="0.25">
      <c r="A33981" s="2" t="str">
        <f t="shared" si="1192"/>
        <v>99999</v>
      </c>
      <c r="B33981" s="2" t="str">
        <f>"57477"</f>
        <v>57477</v>
      </c>
      <c r="C33981" s="1">
        <v>4.2563882384860804E-6</v>
      </c>
      <c r="D33981" s="1">
        <v>3.0352053468177301E-6</v>
      </c>
      <c r="E33981" s="1">
        <v>4.3455399550671099E-6</v>
      </c>
      <c r="F33981" s="1">
        <v>4.1783756524856902E-6</v>
      </c>
    </row>
    <row r="33982" spans="1:6" x14ac:dyDescent="0.25">
      <c r="A33982" s="2" t="str">
        <f t="shared" si="1192"/>
        <v>99999</v>
      </c>
      <c r="B33982" s="2" t="str">
        <f>"57457"</f>
        <v>57457</v>
      </c>
      <c r="C33982" s="1">
        <v>7.4213948773603504E-6</v>
      </c>
      <c r="D33982" s="1">
        <v>6.0704106936354696E-6</v>
      </c>
      <c r="E33982" s="1">
        <v>1.3036619865201299E-5</v>
      </c>
      <c r="F33982" s="1">
        <v>7.4613850937244396E-6</v>
      </c>
    </row>
    <row r="33983" spans="1:6" x14ac:dyDescent="0.25">
      <c r="A33983" s="2" t="str">
        <f t="shared" si="1192"/>
        <v>99999</v>
      </c>
      <c r="B33983" s="2" t="str">
        <f>"57568"</f>
        <v>57568</v>
      </c>
      <c r="C33983" s="1">
        <v>1.4297098954914801E-5</v>
      </c>
      <c r="D33983" s="1">
        <v>3.0352053468177301E-6</v>
      </c>
      <c r="E33983" s="1">
        <v>8.69107991013423E-6</v>
      </c>
      <c r="F33983" s="1">
        <v>1.3430493168704E-5</v>
      </c>
    </row>
    <row r="33984" spans="1:6" x14ac:dyDescent="0.25">
      <c r="A33984" s="2" t="str">
        <f t="shared" si="1192"/>
        <v>99999</v>
      </c>
      <c r="B33984" s="2" t="str">
        <f>"57566"</f>
        <v>57566</v>
      </c>
      <c r="C33984" s="1">
        <v>9.8224343965063504E-7</v>
      </c>
      <c r="D33984" s="1">
        <v>3.0352053468177301E-6</v>
      </c>
      <c r="E33984" s="1">
        <v>4.3455399550671099E-6</v>
      </c>
      <c r="F33984" s="1">
        <v>1.19382161499591E-6</v>
      </c>
    </row>
    <row r="33985" spans="1:6" x14ac:dyDescent="0.25">
      <c r="A33985" s="2" t="str">
        <f t="shared" si="1192"/>
        <v>99999</v>
      </c>
      <c r="B33985" s="2" t="str">
        <f>"57552"</f>
        <v>57552</v>
      </c>
      <c r="C33985" s="1">
        <v>3.3614553268043901E-5</v>
      </c>
      <c r="D33985" s="1">
        <v>1.21408213872709E-5</v>
      </c>
      <c r="E33985" s="1">
        <v>1.3036619865201299E-5</v>
      </c>
      <c r="F33985" s="1">
        <v>3.1735757931974601E-5</v>
      </c>
    </row>
    <row r="33986" spans="1:6" x14ac:dyDescent="0.25">
      <c r="A33986" s="2" t="str">
        <f t="shared" si="1192"/>
        <v>99999</v>
      </c>
      <c r="B33986" s="2" t="str">
        <f>"57543"</f>
        <v>57543</v>
      </c>
      <c r="C33986" s="1">
        <v>9.8224343965063504E-6</v>
      </c>
      <c r="D33986" s="1">
        <v>1.51760267340886E-6</v>
      </c>
      <c r="E33986" s="1">
        <v>8.69107991013423E-6</v>
      </c>
      <c r="F33986" s="1">
        <v>9.2521175162183095E-6</v>
      </c>
    </row>
    <row r="33987" spans="1:6" x14ac:dyDescent="0.25">
      <c r="A33987" s="2" t="str">
        <f t="shared" si="1192"/>
        <v>99999</v>
      </c>
      <c r="B33987" s="2" t="str">
        <f>"57521"</f>
        <v>57521</v>
      </c>
      <c r="C33987" s="1">
        <v>6.0025987978649897E-6</v>
      </c>
      <c r="D33987" s="1">
        <v>0</v>
      </c>
      <c r="E33987" s="1">
        <v>4.3455399550671099E-6</v>
      </c>
      <c r="F33987" s="1">
        <v>5.5711675366475797E-6</v>
      </c>
    </row>
    <row r="33988" spans="1:6" x14ac:dyDescent="0.25">
      <c r="A33988" s="2" t="str">
        <f t="shared" si="1192"/>
        <v>99999</v>
      </c>
      <c r="B33988" s="2" t="str">
        <f>"57434"</f>
        <v>57434</v>
      </c>
      <c r="C33988" s="1">
        <v>2.0190559592818601E-5</v>
      </c>
      <c r="D33988" s="1">
        <v>1.3658424060679801E-5</v>
      </c>
      <c r="E33988" s="1">
        <v>2.1727699775335501E-5</v>
      </c>
      <c r="F33988" s="1">
        <v>1.9797541782015501E-5</v>
      </c>
    </row>
    <row r="33989" spans="1:6" x14ac:dyDescent="0.25">
      <c r="A33989" s="2" t="str">
        <f t="shared" si="1192"/>
        <v>99999</v>
      </c>
      <c r="B33989" s="2" t="str">
        <f>"58057"</f>
        <v>58057</v>
      </c>
      <c r="C33989" s="1">
        <v>3.4924211187578098E-6</v>
      </c>
      <c r="D33989" s="1">
        <v>3.0352053468177301E-6</v>
      </c>
      <c r="E33989" s="1">
        <v>4.3455399550671099E-6</v>
      </c>
      <c r="F33989" s="1">
        <v>3.48197971040474E-6</v>
      </c>
    </row>
    <row r="33990" spans="1:6" x14ac:dyDescent="0.25">
      <c r="A33990" s="2" t="str">
        <f t="shared" si="1192"/>
        <v>99999</v>
      </c>
      <c r="B33990" s="2" t="str">
        <f>"58016"</f>
        <v>58016</v>
      </c>
      <c r="C33990" s="1">
        <v>1.1350368635962901E-5</v>
      </c>
      <c r="D33990" s="1">
        <v>3.0352053468177301E-6</v>
      </c>
      <c r="E33990" s="1">
        <v>4.3455399550671099E-6</v>
      </c>
      <c r="F33990" s="1">
        <v>1.0644909400380201E-5</v>
      </c>
    </row>
    <row r="33991" spans="1:6" x14ac:dyDescent="0.25">
      <c r="A33991" s="2" t="str">
        <f t="shared" si="1192"/>
        <v>99999</v>
      </c>
      <c r="B33991" s="2" t="str">
        <f>"58045"</f>
        <v>58045</v>
      </c>
      <c r="C33991" s="1">
        <v>1.2398094971590199E-4</v>
      </c>
      <c r="D33991" s="1">
        <v>4.8563285549083798E-5</v>
      </c>
      <c r="E33991" s="1">
        <v>1.9120375802295301E-4</v>
      </c>
      <c r="F33991" s="1">
        <v>1.20575983114587E-4</v>
      </c>
    </row>
    <row r="33992" spans="1:6" x14ac:dyDescent="0.25">
      <c r="A33992" s="2" t="str">
        <f t="shared" si="1192"/>
        <v>99999</v>
      </c>
      <c r="B33992" s="2" t="str">
        <f>"57794"</f>
        <v>57794</v>
      </c>
      <c r="C33992" s="1">
        <v>1.9644868793012701E-5</v>
      </c>
      <c r="D33992" s="1">
        <v>0</v>
      </c>
      <c r="E33992" s="1">
        <v>4.3455399550671099E-6</v>
      </c>
      <c r="F33992" s="1">
        <v>1.8006809359521599E-5</v>
      </c>
    </row>
    <row r="33993" spans="1:6" x14ac:dyDescent="0.25">
      <c r="A33993" s="2" t="str">
        <f t="shared" si="1192"/>
        <v>99999</v>
      </c>
      <c r="B33993" s="2" t="str">
        <f>"58069"</f>
        <v>58069</v>
      </c>
      <c r="C33993" s="1">
        <v>8.8401909568557204E-6</v>
      </c>
      <c r="D33993" s="1">
        <v>0</v>
      </c>
      <c r="E33993" s="1">
        <v>4.3455399550671099E-6</v>
      </c>
      <c r="F33993" s="1">
        <v>8.1577810358053902E-6</v>
      </c>
    </row>
    <row r="33994" spans="1:6" x14ac:dyDescent="0.25">
      <c r="A33994" s="2" t="str">
        <f t="shared" si="1192"/>
        <v>99999</v>
      </c>
      <c r="B33994" s="2" t="str">
        <f>"58068"</f>
        <v>58068</v>
      </c>
      <c r="C33994" s="1">
        <v>1.9208316153167901E-5</v>
      </c>
      <c r="D33994" s="1">
        <v>6.0704106936354696E-6</v>
      </c>
      <c r="E33994" s="1">
        <v>1.3036619865201299E-5</v>
      </c>
      <c r="F33994" s="1">
        <v>1.82057796286876E-5</v>
      </c>
    </row>
    <row r="33995" spans="1:6" x14ac:dyDescent="0.25">
      <c r="A33995" s="2" t="str">
        <f t="shared" si="1192"/>
        <v>99999</v>
      </c>
      <c r="B33995" s="2" t="str">
        <f>"57373"</f>
        <v>57373</v>
      </c>
      <c r="C33995" s="1">
        <v>2.2919013591848101E-5</v>
      </c>
      <c r="D33995" s="1">
        <v>6.0704106936354696E-6</v>
      </c>
      <c r="E33995" s="1">
        <v>4.3455399550671099E-6</v>
      </c>
      <c r="F33995" s="1">
        <v>2.13893039353434E-5</v>
      </c>
    </row>
    <row r="33996" spans="1:6" x14ac:dyDescent="0.25">
      <c r="A33996" s="2" t="str">
        <f t="shared" si="1192"/>
        <v>99999</v>
      </c>
      <c r="B33996" s="2" t="str">
        <f>"57380"</f>
        <v>57380</v>
      </c>
      <c r="C33996" s="1">
        <v>1.2365353523601801E-4</v>
      </c>
      <c r="D33996" s="1">
        <v>8.8020955057714406E-5</v>
      </c>
      <c r="E33996" s="1">
        <v>1.82512678112818E-4</v>
      </c>
      <c r="F33996" s="1">
        <v>1.22665170940829E-4</v>
      </c>
    </row>
    <row r="33997" spans="1:6" x14ac:dyDescent="0.25">
      <c r="A33997" s="2" t="str">
        <f t="shared" si="1192"/>
        <v>99999</v>
      </c>
      <c r="B33997" s="2" t="str">
        <f>"57369"</f>
        <v>57369</v>
      </c>
      <c r="C33997" s="1">
        <v>9.8224343965063504E-5</v>
      </c>
      <c r="D33997" s="1">
        <v>6.37393122831725E-5</v>
      </c>
      <c r="E33997" s="1">
        <v>1.21675118741879E-4</v>
      </c>
      <c r="F33997" s="1">
        <v>9.6500580545502799E-5</v>
      </c>
    </row>
    <row r="33998" spans="1:6" x14ac:dyDescent="0.25">
      <c r="A33998" s="2" t="str">
        <f t="shared" si="1192"/>
        <v>99999</v>
      </c>
      <c r="B33998" s="2" t="str">
        <f>"57362"</f>
        <v>57362</v>
      </c>
      <c r="C33998" s="1">
        <v>1.2561802211531999E-4</v>
      </c>
      <c r="D33998" s="1">
        <v>2.57992454479507E-4</v>
      </c>
      <c r="E33998" s="1">
        <v>2.6073239730402698E-4</v>
      </c>
      <c r="F33998" s="1">
        <v>1.37388970859112E-4</v>
      </c>
    </row>
    <row r="33999" spans="1:6" x14ac:dyDescent="0.25">
      <c r="A33999" s="2" t="str">
        <f t="shared" si="1192"/>
        <v>99999</v>
      </c>
      <c r="B33999" s="2" t="str">
        <f>"57756"</f>
        <v>57756</v>
      </c>
      <c r="C33999" s="1">
        <v>3.7761803346568799E-5</v>
      </c>
      <c r="D33999" s="1">
        <v>0</v>
      </c>
      <c r="E33999" s="1">
        <v>4.3455399550671099E-6</v>
      </c>
      <c r="F33999" s="1">
        <v>3.4521341700298397E-5</v>
      </c>
    </row>
    <row r="34000" spans="1:6" x14ac:dyDescent="0.25">
      <c r="A34000" s="2" t="str">
        <f t="shared" si="1192"/>
        <v>99999</v>
      </c>
      <c r="B34000" s="2" t="str">
        <f>"57760"</f>
        <v>57760</v>
      </c>
      <c r="C34000" s="1">
        <v>5.9043744538999298E-5</v>
      </c>
      <c r="D34000" s="1">
        <v>6.0704106936354696E-6</v>
      </c>
      <c r="E34000" s="1">
        <v>3.0418779685469802E-5</v>
      </c>
      <c r="F34000" s="1">
        <v>5.49157942898119E-5</v>
      </c>
    </row>
    <row r="34001" spans="1:6" x14ac:dyDescent="0.25">
      <c r="A34001" s="2" t="str">
        <f t="shared" si="1192"/>
        <v>99999</v>
      </c>
      <c r="B34001" s="2" t="str">
        <f>"57722"</f>
        <v>57722</v>
      </c>
      <c r="C34001" s="1">
        <v>2.13910793523916E-5</v>
      </c>
      <c r="D34001" s="1">
        <v>4.5528080202265997E-6</v>
      </c>
      <c r="E34001" s="1">
        <v>4.3455399550671099E-6</v>
      </c>
      <c r="F34001" s="1">
        <v>1.98970269165985E-5</v>
      </c>
    </row>
    <row r="34002" spans="1:6" x14ac:dyDescent="0.25">
      <c r="A34002" s="2" t="str">
        <f t="shared" ref="A34002:A34065" si="1193">"99999"</f>
        <v>99999</v>
      </c>
      <c r="B34002" s="2" t="str">
        <f>"57334"</f>
        <v>57334</v>
      </c>
      <c r="C34002" s="1">
        <v>1.85534871934008E-6</v>
      </c>
      <c r="D34002" s="1">
        <v>1.51760267340886E-6</v>
      </c>
      <c r="E34002" s="1">
        <v>0</v>
      </c>
      <c r="F34002" s="1">
        <v>1.79073242249386E-6</v>
      </c>
    </row>
    <row r="34003" spans="1:6" x14ac:dyDescent="0.25">
      <c r="A34003" s="2" t="str">
        <f t="shared" si="1193"/>
        <v>99999</v>
      </c>
      <c r="B34003" s="2" t="str">
        <f>"57341"</f>
        <v>57341</v>
      </c>
      <c r="C34003" s="1">
        <v>1.2660026555497001E-5</v>
      </c>
      <c r="D34003" s="1">
        <v>1.51760267340886E-6</v>
      </c>
      <c r="E34003" s="1">
        <v>4.3455399550671099E-6</v>
      </c>
      <c r="F34003" s="1">
        <v>1.17392458807931E-5</v>
      </c>
    </row>
    <row r="34004" spans="1:6" x14ac:dyDescent="0.25">
      <c r="A34004" s="2" t="str">
        <f t="shared" si="1193"/>
        <v>99999</v>
      </c>
      <c r="B34004" s="2" t="str">
        <f>"57263"</f>
        <v>57263</v>
      </c>
      <c r="C34004" s="1">
        <v>2.7284539990295402E-6</v>
      </c>
      <c r="D34004" s="1">
        <v>0</v>
      </c>
      <c r="E34004" s="1">
        <v>0</v>
      </c>
      <c r="F34004" s="1">
        <v>2.48712836457481E-6</v>
      </c>
    </row>
    <row r="34005" spans="1:6" x14ac:dyDescent="0.25">
      <c r="A34005" s="2" t="str">
        <f t="shared" si="1193"/>
        <v>99999</v>
      </c>
      <c r="B34005" s="2" t="str">
        <f>"57258"</f>
        <v>57258</v>
      </c>
      <c r="C34005" s="1">
        <v>7.9670856771662607E-6</v>
      </c>
      <c r="D34005" s="1">
        <v>4.5528080202265997E-6</v>
      </c>
      <c r="E34005" s="1">
        <v>8.69107991013423E-6</v>
      </c>
      <c r="F34005" s="1">
        <v>7.7598404974734199E-6</v>
      </c>
    </row>
    <row r="34006" spans="1:6" x14ac:dyDescent="0.25">
      <c r="A34006" s="2" t="str">
        <f t="shared" si="1193"/>
        <v>99999</v>
      </c>
      <c r="B34006" s="2" t="str">
        <f>"57248"</f>
        <v>57248</v>
      </c>
      <c r="C34006" s="1">
        <v>2.7284539990295402E-6</v>
      </c>
      <c r="D34006" s="1">
        <v>0</v>
      </c>
      <c r="E34006" s="1">
        <v>0</v>
      </c>
      <c r="F34006" s="1">
        <v>2.48712836457481E-6</v>
      </c>
    </row>
    <row r="34007" spans="1:6" x14ac:dyDescent="0.25">
      <c r="A34007" s="2" t="str">
        <f t="shared" si="1193"/>
        <v>99999</v>
      </c>
      <c r="B34007" s="2" t="str">
        <f>"57269"</f>
        <v>57269</v>
      </c>
      <c r="C34007" s="1">
        <v>1.9863145112935E-5</v>
      </c>
      <c r="D34007" s="1">
        <v>4.5528080202265997E-6</v>
      </c>
      <c r="E34007" s="1">
        <v>4.3455399550671099E-6</v>
      </c>
      <c r="F34007" s="1">
        <v>1.8504235032436599E-5</v>
      </c>
    </row>
    <row r="34008" spans="1:6" x14ac:dyDescent="0.25">
      <c r="A34008" s="2" t="str">
        <f t="shared" si="1193"/>
        <v>99999</v>
      </c>
      <c r="B34008" s="2" t="str">
        <f>"57321"</f>
        <v>57321</v>
      </c>
      <c r="C34008" s="1">
        <v>1.3751408155108801E-5</v>
      </c>
      <c r="D34008" s="1">
        <v>4.5528080202265997E-6</v>
      </c>
      <c r="E34008" s="1">
        <v>4.3455399550671099E-6</v>
      </c>
      <c r="F34008" s="1">
        <v>1.2933067495789E-5</v>
      </c>
    </row>
    <row r="34009" spans="1:6" x14ac:dyDescent="0.25">
      <c r="A34009" s="2" t="str">
        <f t="shared" si="1193"/>
        <v>99999</v>
      </c>
      <c r="B34009" s="2" t="str">
        <f>"57311"</f>
        <v>57311</v>
      </c>
      <c r="C34009" s="1">
        <v>1.09138159961181E-7</v>
      </c>
      <c r="D34009" s="1">
        <v>0</v>
      </c>
      <c r="E34009" s="1">
        <v>0</v>
      </c>
      <c r="F34009" s="1">
        <v>9.9485134582992598E-8</v>
      </c>
    </row>
    <row r="34010" spans="1:6" x14ac:dyDescent="0.25">
      <c r="A34010" s="2" t="str">
        <f t="shared" si="1193"/>
        <v>99999</v>
      </c>
      <c r="B34010" s="2" t="str">
        <f>"57249"</f>
        <v>57249</v>
      </c>
      <c r="C34010" s="1">
        <v>6.3409270937446498E-5</v>
      </c>
      <c r="D34010" s="1">
        <v>2.2764040101133E-5</v>
      </c>
      <c r="E34010" s="1">
        <v>1.3471173860707999E-4</v>
      </c>
      <c r="F34010" s="1">
        <v>6.2377179383536294E-5</v>
      </c>
    </row>
    <row r="34011" spans="1:6" x14ac:dyDescent="0.25">
      <c r="A34011" s="2" t="str">
        <f t="shared" si="1193"/>
        <v>99999</v>
      </c>
      <c r="B34011" s="2" t="str">
        <f>"56720"</f>
        <v>56720</v>
      </c>
      <c r="C34011" s="1">
        <v>0</v>
      </c>
      <c r="D34011" s="1">
        <v>0</v>
      </c>
      <c r="E34011" s="1">
        <v>4.3455399550671099E-6</v>
      </c>
      <c r="F34011" s="1">
        <v>9.9485134582992598E-8</v>
      </c>
    </row>
    <row r="34012" spans="1:6" x14ac:dyDescent="0.25">
      <c r="A34012" s="2" t="str">
        <f t="shared" si="1193"/>
        <v>99999</v>
      </c>
      <c r="B34012" s="2" t="str">
        <f>"56716"</f>
        <v>56716</v>
      </c>
      <c r="C34012" s="1">
        <v>1.4187960794953601E-6</v>
      </c>
      <c r="D34012" s="1">
        <v>1.51760267340886E-6</v>
      </c>
      <c r="E34012" s="1">
        <v>0</v>
      </c>
      <c r="F34012" s="1">
        <v>1.39279188416189E-6</v>
      </c>
    </row>
    <row r="34013" spans="1:6" x14ac:dyDescent="0.25">
      <c r="A34013" s="2" t="str">
        <f t="shared" si="1193"/>
        <v>99999</v>
      </c>
      <c r="B34013" s="2" t="str">
        <f>"56759"</f>
        <v>56759</v>
      </c>
      <c r="C34013" s="1">
        <v>2.0408835912740901E-5</v>
      </c>
      <c r="D34013" s="1">
        <v>0</v>
      </c>
      <c r="E34013" s="1">
        <v>4.3455399550671099E-6</v>
      </c>
      <c r="F34013" s="1">
        <v>1.8703205301602599E-5</v>
      </c>
    </row>
    <row r="34014" spans="1:6" x14ac:dyDescent="0.25">
      <c r="A34014" s="2" t="str">
        <f t="shared" si="1193"/>
        <v>99999</v>
      </c>
      <c r="B34014" s="2" t="str">
        <f>"56742"</f>
        <v>56742</v>
      </c>
      <c r="C34014" s="1">
        <v>3.4269382227811E-5</v>
      </c>
      <c r="D34014" s="1">
        <v>3.0352053468177301E-6</v>
      </c>
      <c r="E34014" s="1">
        <v>3.9109859595604001E-5</v>
      </c>
      <c r="F34014" s="1">
        <v>3.2332668739472599E-5</v>
      </c>
    </row>
    <row r="34015" spans="1:6" x14ac:dyDescent="0.25">
      <c r="A34015" s="2" t="str">
        <f t="shared" si="1193"/>
        <v>99999</v>
      </c>
      <c r="B34015" s="2" t="str">
        <f>"56738"</f>
        <v>56738</v>
      </c>
      <c r="C34015" s="1">
        <v>6.9630146055233902E-5</v>
      </c>
      <c r="D34015" s="1">
        <v>2.4281642774541899E-5</v>
      </c>
      <c r="E34015" s="1">
        <v>3.0418779685469802E-5</v>
      </c>
      <c r="F34015" s="1">
        <v>6.5759673959358094E-5</v>
      </c>
    </row>
    <row r="34016" spans="1:6" x14ac:dyDescent="0.25">
      <c r="A34016" s="2" t="str">
        <f t="shared" si="1193"/>
        <v>99999</v>
      </c>
      <c r="B34016" s="2" t="str">
        <f>"56728"</f>
        <v>56728</v>
      </c>
      <c r="C34016" s="1">
        <v>5.9262020858921601E-5</v>
      </c>
      <c r="D34016" s="1">
        <v>5.0080888222492601E-5</v>
      </c>
      <c r="E34016" s="1">
        <v>7.3874179236140894E-5</v>
      </c>
      <c r="F34016" s="1">
        <v>5.8994684807714602E-5</v>
      </c>
    </row>
    <row r="34017" spans="1:6" x14ac:dyDescent="0.25">
      <c r="A34017" s="2" t="str">
        <f t="shared" si="1193"/>
        <v>99999</v>
      </c>
      <c r="B34017" s="2" t="str">
        <f>"56727"</f>
        <v>56727</v>
      </c>
      <c r="C34017" s="1">
        <v>1.8444349033439702E-5</v>
      </c>
      <c r="D34017" s="1">
        <v>4.5528080202265997E-6</v>
      </c>
      <c r="E34017" s="1">
        <v>3.0418779685469802E-5</v>
      </c>
      <c r="F34017" s="1">
        <v>1.7807839090355599E-5</v>
      </c>
    </row>
    <row r="34018" spans="1:6" x14ac:dyDescent="0.25">
      <c r="A34018" s="2" t="str">
        <f t="shared" si="1193"/>
        <v>99999</v>
      </c>
      <c r="B34018" s="2" t="str">
        <f>"56714"</f>
        <v>56714</v>
      </c>
      <c r="C34018" s="1">
        <v>6.7119968376126702E-5</v>
      </c>
      <c r="D34018" s="1">
        <v>3.0352053468177301E-6</v>
      </c>
      <c r="E34018" s="1">
        <v>3.9109859595604001E-5</v>
      </c>
      <c r="F34018" s="1">
        <v>6.2277694248953302E-5</v>
      </c>
    </row>
    <row r="34019" spans="1:6" x14ac:dyDescent="0.25">
      <c r="A34019" s="2" t="str">
        <f t="shared" si="1193"/>
        <v>99999</v>
      </c>
      <c r="B34019" s="2" t="str">
        <f>"57219"</f>
        <v>57219</v>
      </c>
      <c r="C34019" s="1">
        <v>2.7066263670372999E-5</v>
      </c>
      <c r="D34019" s="1">
        <v>1.66936294074975E-5</v>
      </c>
      <c r="E34019" s="1">
        <v>4.7800939505738197E-5</v>
      </c>
      <c r="F34019" s="1">
        <v>2.6860986337408E-5</v>
      </c>
    </row>
    <row r="34020" spans="1:6" x14ac:dyDescent="0.25">
      <c r="A34020" s="2" t="str">
        <f t="shared" si="1193"/>
        <v>99999</v>
      </c>
      <c r="B34020" s="2" t="str">
        <f>"57221"</f>
        <v>57221</v>
      </c>
      <c r="C34020" s="1">
        <v>3.6015592787189902E-6</v>
      </c>
      <c r="D34020" s="1">
        <v>0</v>
      </c>
      <c r="E34020" s="1">
        <v>4.3455399550671099E-6</v>
      </c>
      <c r="F34020" s="1">
        <v>3.3824945758217398E-6</v>
      </c>
    </row>
    <row r="34021" spans="1:6" x14ac:dyDescent="0.25">
      <c r="A34021" s="2" t="str">
        <f t="shared" si="1193"/>
        <v>99999</v>
      </c>
      <c r="B34021" s="2" t="str">
        <f>"57237"</f>
        <v>57237</v>
      </c>
      <c r="C34021" s="1">
        <v>3.8416632306335898E-5</v>
      </c>
      <c r="D34021" s="1">
        <v>1.0623218713862E-5</v>
      </c>
      <c r="E34021" s="1">
        <v>4.7800939505738197E-5</v>
      </c>
      <c r="F34021" s="1">
        <v>3.68094997957072E-5</v>
      </c>
    </row>
    <row r="34022" spans="1:6" x14ac:dyDescent="0.25">
      <c r="A34022" s="2" t="str">
        <f t="shared" si="1193"/>
        <v>99999</v>
      </c>
      <c r="B34022" s="2" t="str">
        <f>"57227"</f>
        <v>57227</v>
      </c>
      <c r="C34022" s="1">
        <v>2.2591599111964599E-5</v>
      </c>
      <c r="D34022" s="1">
        <v>1.51760267340886E-6</v>
      </c>
      <c r="E34022" s="1">
        <v>2.1727699775335501E-5</v>
      </c>
      <c r="F34022" s="1">
        <v>2.1190333666177399E-5</v>
      </c>
    </row>
    <row r="34023" spans="1:6" x14ac:dyDescent="0.25">
      <c r="A34023" s="2" t="str">
        <f t="shared" si="1193"/>
        <v>99999</v>
      </c>
      <c r="B34023" s="2" t="str">
        <f>"57059"</f>
        <v>57059</v>
      </c>
      <c r="C34023" s="1">
        <v>6.8320488135699704E-5</v>
      </c>
      <c r="D34023" s="1">
        <v>4.4010477528857203E-5</v>
      </c>
      <c r="E34023" s="1">
        <v>3.47643196405369E-5</v>
      </c>
      <c r="F34023" s="1">
        <v>6.5958644228524105E-5</v>
      </c>
    </row>
    <row r="34024" spans="1:6" x14ac:dyDescent="0.25">
      <c r="A34024" s="2" t="str">
        <f t="shared" si="1193"/>
        <v>99999</v>
      </c>
      <c r="B34024" s="2" t="str">
        <f>"56629"</f>
        <v>56629</v>
      </c>
      <c r="C34024" s="1">
        <v>0</v>
      </c>
      <c r="D34024" s="1">
        <v>0</v>
      </c>
      <c r="E34024" s="1">
        <v>4.3455399550671099E-6</v>
      </c>
      <c r="F34024" s="1">
        <v>9.9485134582992598E-8</v>
      </c>
    </row>
    <row r="34025" spans="1:6" x14ac:dyDescent="0.25">
      <c r="A34025" s="2" t="str">
        <f t="shared" si="1193"/>
        <v>99999</v>
      </c>
      <c r="B34025" s="2" t="str">
        <f>"56593"</f>
        <v>56593</v>
      </c>
      <c r="C34025" s="1">
        <v>0</v>
      </c>
      <c r="D34025" s="1">
        <v>0</v>
      </c>
      <c r="E34025" s="1">
        <v>4.3455399550671099E-6</v>
      </c>
      <c r="F34025" s="1">
        <v>9.9485134582992598E-8</v>
      </c>
    </row>
    <row r="34026" spans="1:6" x14ac:dyDescent="0.25">
      <c r="A34026" s="2" t="str">
        <f t="shared" si="1193"/>
        <v>99999</v>
      </c>
      <c r="B34026" s="2" t="str">
        <f>"57050"</f>
        <v>57050</v>
      </c>
      <c r="C34026" s="1">
        <v>6.8757040775544402E-6</v>
      </c>
      <c r="D34026" s="1">
        <v>3.0352053468177301E-6</v>
      </c>
      <c r="E34026" s="1">
        <v>4.3455399550671099E-6</v>
      </c>
      <c r="F34026" s="1">
        <v>6.5660188824775097E-6</v>
      </c>
    </row>
    <row r="34027" spans="1:6" x14ac:dyDescent="0.25">
      <c r="A34027" s="2" t="str">
        <f t="shared" si="1193"/>
        <v>99999</v>
      </c>
      <c r="B34027" s="2" t="str">
        <f>"56540"</f>
        <v>56540</v>
      </c>
      <c r="C34027" s="1">
        <v>9.4950199166228093E-6</v>
      </c>
      <c r="D34027" s="1">
        <v>0</v>
      </c>
      <c r="E34027" s="1">
        <v>4.3455399550671099E-6</v>
      </c>
      <c r="F34027" s="1">
        <v>8.7546918433033508E-6</v>
      </c>
    </row>
    <row r="34028" spans="1:6" x14ac:dyDescent="0.25">
      <c r="A34028" s="2" t="str">
        <f t="shared" si="1193"/>
        <v>99999</v>
      </c>
      <c r="B34028" s="2" t="str">
        <f>"56550"</f>
        <v>56550</v>
      </c>
      <c r="C34028" s="1">
        <v>1.6152447674254801E-5</v>
      </c>
      <c r="D34028" s="1">
        <v>3.0352053468177301E-6</v>
      </c>
      <c r="E34028" s="1">
        <v>2.1727699775335501E-5</v>
      </c>
      <c r="F34028" s="1">
        <v>1.5420195860363801E-5</v>
      </c>
    </row>
    <row r="34029" spans="1:6" x14ac:dyDescent="0.25">
      <c r="A34029" s="2" t="str">
        <f t="shared" si="1193"/>
        <v>99999</v>
      </c>
      <c r="B34029" s="2" t="str">
        <f>"56546"</f>
        <v>56546</v>
      </c>
      <c r="C34029" s="1">
        <v>1.09138159961181E-7</v>
      </c>
      <c r="D34029" s="1">
        <v>0</v>
      </c>
      <c r="E34029" s="1">
        <v>0</v>
      </c>
      <c r="F34029" s="1">
        <v>9.9485134582992598E-8</v>
      </c>
    </row>
    <row r="34030" spans="1:6" x14ac:dyDescent="0.25">
      <c r="A34030" s="2" t="str">
        <f t="shared" si="1193"/>
        <v>99999</v>
      </c>
      <c r="B34030" s="2" t="str">
        <f>"56566"</f>
        <v>56566</v>
      </c>
      <c r="C34030" s="1">
        <v>1.44062371148759E-5</v>
      </c>
      <c r="D34030" s="1">
        <v>1.51760267340886E-6</v>
      </c>
      <c r="E34030" s="1">
        <v>2.1727699775335501E-5</v>
      </c>
      <c r="F34030" s="1">
        <v>1.37289485724529E-5</v>
      </c>
    </row>
    <row r="34031" spans="1:6" x14ac:dyDescent="0.25">
      <c r="A34031" s="2" t="str">
        <f t="shared" si="1193"/>
        <v>99999</v>
      </c>
      <c r="B34031" s="2" t="str">
        <f>"56548"</f>
        <v>56548</v>
      </c>
      <c r="C34031" s="1">
        <v>3.6779559906918201E-5</v>
      </c>
      <c r="D34031" s="1">
        <v>1.66936294074975E-5</v>
      </c>
      <c r="E34031" s="1">
        <v>8.2565259146275205E-5</v>
      </c>
      <c r="F34031" s="1">
        <v>3.6511044391958198E-5</v>
      </c>
    </row>
    <row r="34032" spans="1:6" x14ac:dyDescent="0.25">
      <c r="A34032" s="2" t="str">
        <f t="shared" si="1193"/>
        <v>99999</v>
      </c>
      <c r="B34032" s="2" t="str">
        <f>"56347"</f>
        <v>56347</v>
      </c>
      <c r="C34032" s="1">
        <v>3.3723691428005101E-4</v>
      </c>
      <c r="D34032" s="1">
        <v>4.4465758330879801E-4</v>
      </c>
      <c r="E34032" s="1">
        <v>7.4743287227154397E-4</v>
      </c>
      <c r="F34032" s="1">
        <v>3.5366965344253801E-4</v>
      </c>
    </row>
    <row r="34033" spans="1:6" x14ac:dyDescent="0.25">
      <c r="A34033" s="2" t="str">
        <f t="shared" si="1193"/>
        <v>99999</v>
      </c>
      <c r="B34033" s="2" t="str">
        <f>"56311"</f>
        <v>56311</v>
      </c>
      <c r="C34033" s="1">
        <v>2.9685579509441402E-5</v>
      </c>
      <c r="D34033" s="1">
        <v>3.0352053468177301E-6</v>
      </c>
      <c r="E34033" s="1">
        <v>1.3036619865201299E-5</v>
      </c>
      <c r="F34033" s="1">
        <v>2.7557382279488901E-5</v>
      </c>
    </row>
    <row r="34034" spans="1:6" x14ac:dyDescent="0.25">
      <c r="A34034" s="2" t="str">
        <f t="shared" si="1193"/>
        <v>99999</v>
      </c>
      <c r="B34034" s="2" t="str">
        <f>"56511"</f>
        <v>56511</v>
      </c>
      <c r="C34034" s="1">
        <v>1.1841490355788201E-4</v>
      </c>
      <c r="D34034" s="1">
        <v>3.1869656141586203E-5</v>
      </c>
      <c r="E34034" s="1">
        <v>5.6492019415872502E-5</v>
      </c>
      <c r="F34034" s="1">
        <v>1.11323865598368E-4</v>
      </c>
    </row>
    <row r="34035" spans="1:6" x14ac:dyDescent="0.25">
      <c r="A34035" s="2" t="str">
        <f t="shared" si="1193"/>
        <v>99999</v>
      </c>
      <c r="B34035" s="2" t="str">
        <f>"56475"</f>
        <v>56475</v>
      </c>
      <c r="C34035" s="1">
        <v>8.7310527968945299E-5</v>
      </c>
      <c r="D34035" s="1">
        <v>3.7940066835221703E-5</v>
      </c>
      <c r="E34035" s="1">
        <v>3.9109859595604001E-5</v>
      </c>
      <c r="F34035" s="1">
        <v>8.29706022422158E-5</v>
      </c>
    </row>
    <row r="34036" spans="1:6" x14ac:dyDescent="0.25">
      <c r="A34036" s="2" t="str">
        <f t="shared" si="1193"/>
        <v>99999</v>
      </c>
      <c r="B34036" s="2" t="str">
        <f>"56467"</f>
        <v>56467</v>
      </c>
      <c r="C34036" s="1">
        <v>2.1904028704209099E-4</v>
      </c>
      <c r="D34036" s="1">
        <v>6.2221709609763595E-5</v>
      </c>
      <c r="E34036" s="1">
        <v>5.6492019415872502E-5</v>
      </c>
      <c r="F34036" s="1">
        <v>2.05038862375547E-4</v>
      </c>
    </row>
    <row r="34037" spans="1:6" x14ac:dyDescent="0.25">
      <c r="A34037" s="2" t="str">
        <f t="shared" si="1193"/>
        <v>99999</v>
      </c>
      <c r="B34037" s="2" t="str">
        <f>"56466"</f>
        <v>56466</v>
      </c>
      <c r="C34037" s="1">
        <v>1.15577311398891E-4</v>
      </c>
      <c r="D34037" s="1">
        <v>5.6151298916128101E-5</v>
      </c>
      <c r="E34037" s="1">
        <v>6.9528639281073799E-5</v>
      </c>
      <c r="F34037" s="1">
        <v>1.10627469656287E-4</v>
      </c>
    </row>
    <row r="34038" spans="1:6" x14ac:dyDescent="0.25">
      <c r="A34038" s="2" t="str">
        <f t="shared" si="1193"/>
        <v>99999</v>
      </c>
      <c r="B34038" s="2" t="str">
        <f>"56289"</f>
        <v>56289</v>
      </c>
      <c r="C34038" s="1">
        <v>6.0025987978649897E-6</v>
      </c>
      <c r="D34038" s="1">
        <v>1.51760267340886E-6</v>
      </c>
      <c r="E34038" s="1">
        <v>0</v>
      </c>
      <c r="F34038" s="1">
        <v>5.5711675366475797E-6</v>
      </c>
    </row>
    <row r="34039" spans="1:6" x14ac:dyDescent="0.25">
      <c r="A34039" s="2" t="str">
        <f t="shared" si="1193"/>
        <v>99999</v>
      </c>
      <c r="B34039" s="2" t="str">
        <f>"56283"</f>
        <v>56283</v>
      </c>
      <c r="C34039" s="1">
        <v>3.5513557251368503E-4</v>
      </c>
      <c r="D34039" s="1">
        <v>5.8427702926241401E-4</v>
      </c>
      <c r="E34039" s="1">
        <v>6.2575775352966402E-4</v>
      </c>
      <c r="F34039" s="1">
        <v>3.76352264127461E-4</v>
      </c>
    </row>
    <row r="34040" spans="1:6" x14ac:dyDescent="0.25">
      <c r="A34040" s="2" t="str">
        <f t="shared" si="1193"/>
        <v>99999</v>
      </c>
      <c r="B34040" s="2" t="str">
        <f>"56282"</f>
        <v>56282</v>
      </c>
      <c r="C34040" s="1">
        <v>1.1896059435768801E-5</v>
      </c>
      <c r="D34040" s="1">
        <v>0</v>
      </c>
      <c r="E34040" s="1">
        <v>0</v>
      </c>
      <c r="F34040" s="1">
        <v>1.0843879669546099E-5</v>
      </c>
    </row>
    <row r="34041" spans="1:6" x14ac:dyDescent="0.25">
      <c r="A34041" s="2" t="str">
        <f t="shared" si="1193"/>
        <v>99999</v>
      </c>
      <c r="B34041" s="2" t="str">
        <f>"56373"</f>
        <v>56373</v>
      </c>
      <c r="C34041" s="1">
        <v>1.26709403714931E-4</v>
      </c>
      <c r="D34041" s="1">
        <v>4.2492874855448297E-5</v>
      </c>
      <c r="E34041" s="1">
        <v>1.0429295892161E-4</v>
      </c>
      <c r="F34041" s="1">
        <v>1.2067546824916999E-4</v>
      </c>
    </row>
    <row r="34042" spans="1:6" x14ac:dyDescent="0.25">
      <c r="A34042" s="2" t="str">
        <f t="shared" si="1193"/>
        <v>99999</v>
      </c>
      <c r="B34042" s="2" t="str">
        <f>"56258"</f>
        <v>56258</v>
      </c>
      <c r="C34042" s="1">
        <v>1.52793423945654E-6</v>
      </c>
      <c r="D34042" s="1">
        <v>0</v>
      </c>
      <c r="E34042" s="1">
        <v>0</v>
      </c>
      <c r="F34042" s="1">
        <v>1.39279188416189E-6</v>
      </c>
    </row>
    <row r="34043" spans="1:6" x14ac:dyDescent="0.25">
      <c r="A34043" s="2" t="str">
        <f t="shared" si="1193"/>
        <v>99999</v>
      </c>
      <c r="B34043" s="2" t="str">
        <f>"56278"</f>
        <v>56278</v>
      </c>
      <c r="C34043" s="1">
        <v>1.7483933225781299E-4</v>
      </c>
      <c r="D34043" s="1">
        <v>3.46013409537222E-4</v>
      </c>
      <c r="E34043" s="1">
        <v>2.5204131739389198E-4</v>
      </c>
      <c r="F34043" s="1">
        <v>1.8782793409269E-4</v>
      </c>
    </row>
    <row r="34044" spans="1:6" x14ac:dyDescent="0.25">
      <c r="A34044" s="2" t="str">
        <f t="shared" si="1193"/>
        <v>99999</v>
      </c>
      <c r="B34044" s="2" t="str">
        <f>"56240"</f>
        <v>56240</v>
      </c>
      <c r="C34044" s="1">
        <v>5.6315290539969699E-5</v>
      </c>
      <c r="D34044" s="1">
        <v>1.8211232080906399E-5</v>
      </c>
      <c r="E34044" s="1">
        <v>4.3455399550671103E-5</v>
      </c>
      <c r="F34044" s="1">
        <v>5.3523002405650002E-5</v>
      </c>
    </row>
    <row r="34045" spans="1:6" x14ac:dyDescent="0.25">
      <c r="A34045" s="2" t="str">
        <f t="shared" si="1193"/>
        <v>99999</v>
      </c>
      <c r="B34045" s="2" t="str">
        <f>"56023"</f>
        <v>56023</v>
      </c>
      <c r="C34045" s="1">
        <v>2.8157645269984799E-5</v>
      </c>
      <c r="D34045" s="1">
        <v>9.1056160404532095E-6</v>
      </c>
      <c r="E34045" s="1">
        <v>4.3455399550671099E-6</v>
      </c>
      <c r="F34045" s="1">
        <v>2.6363560664493E-5</v>
      </c>
    </row>
    <row r="34046" spans="1:6" x14ac:dyDescent="0.25">
      <c r="A34046" s="2" t="str">
        <f t="shared" si="1193"/>
        <v>99999</v>
      </c>
      <c r="B34046" s="2" t="str">
        <f>"56224"</f>
        <v>56224</v>
      </c>
      <c r="C34046" s="1">
        <v>1.7898658233633802E-5</v>
      </c>
      <c r="D34046" s="1">
        <v>3.0352053468177301E-5</v>
      </c>
      <c r="E34046" s="1">
        <v>0</v>
      </c>
      <c r="F34046" s="1">
        <v>1.8305264763270602E-5</v>
      </c>
    </row>
    <row r="34047" spans="1:6" x14ac:dyDescent="0.25">
      <c r="A34047" s="2" t="str">
        <f t="shared" si="1193"/>
        <v>99999</v>
      </c>
      <c r="B34047" s="2" t="str">
        <f>"56225"</f>
        <v>56225</v>
      </c>
      <c r="C34047" s="1">
        <v>3.3505415108082699E-5</v>
      </c>
      <c r="D34047" s="1">
        <v>2.4281642774541899E-5</v>
      </c>
      <c r="E34047" s="1">
        <v>8.69107991013423E-6</v>
      </c>
      <c r="F34047" s="1">
        <v>3.2332668739472599E-5</v>
      </c>
    </row>
    <row r="34048" spans="1:6" x14ac:dyDescent="0.25">
      <c r="A34048" s="2" t="str">
        <f t="shared" si="1193"/>
        <v>99999</v>
      </c>
      <c r="B34048" s="2" t="str">
        <f>"56220"</f>
        <v>56220</v>
      </c>
      <c r="C34048" s="1">
        <v>1.65562588661112E-4</v>
      </c>
      <c r="D34048" s="1">
        <v>1.9273553952292601E-4</v>
      </c>
      <c r="E34048" s="1">
        <v>1.82512678112818E-4</v>
      </c>
      <c r="F34048" s="1">
        <v>1.6773193690692499E-4</v>
      </c>
    </row>
    <row r="34049" spans="1:6" x14ac:dyDescent="0.25">
      <c r="A34049" s="2" t="str">
        <f t="shared" si="1193"/>
        <v>99999</v>
      </c>
      <c r="B34049" s="2" t="str">
        <f>"56211"</f>
        <v>56211</v>
      </c>
      <c r="C34049" s="1">
        <v>2.24824609520034E-5</v>
      </c>
      <c r="D34049" s="1">
        <v>0</v>
      </c>
      <c r="E34049" s="1">
        <v>1.7382159820268399E-5</v>
      </c>
      <c r="F34049" s="1">
        <v>2.08918782624284E-5</v>
      </c>
    </row>
    <row r="34050" spans="1:6" x14ac:dyDescent="0.25">
      <c r="A34050" s="2" t="str">
        <f t="shared" si="1193"/>
        <v>99999</v>
      </c>
      <c r="B34050" s="2" t="str">
        <f>"56091"</f>
        <v>56091</v>
      </c>
      <c r="C34050" s="1">
        <v>8.2945001570498102E-6</v>
      </c>
      <c r="D34050" s="1">
        <v>4.5528080202265997E-6</v>
      </c>
      <c r="E34050" s="1">
        <v>4.3455399550671099E-6</v>
      </c>
      <c r="F34050" s="1">
        <v>7.9588107666394102E-6</v>
      </c>
    </row>
    <row r="34051" spans="1:6" x14ac:dyDescent="0.25">
      <c r="A34051" s="2" t="str">
        <f t="shared" si="1193"/>
        <v>99999</v>
      </c>
      <c r="B34051" s="2" t="str">
        <f>"56087"</f>
        <v>56087</v>
      </c>
      <c r="C34051" s="1">
        <v>9.8224343965063504E-6</v>
      </c>
      <c r="D34051" s="1">
        <v>4.5528080202265997E-6</v>
      </c>
      <c r="E34051" s="1">
        <v>0</v>
      </c>
      <c r="F34051" s="1">
        <v>9.2521175162183095E-6</v>
      </c>
    </row>
    <row r="34052" spans="1:6" x14ac:dyDescent="0.25">
      <c r="A34052" s="2" t="str">
        <f t="shared" si="1193"/>
        <v>99999</v>
      </c>
      <c r="B34052" s="2" t="str">
        <f>"56127"</f>
        <v>56127</v>
      </c>
      <c r="C34052" s="1">
        <v>1.09138159961181E-7</v>
      </c>
      <c r="D34052" s="1">
        <v>0</v>
      </c>
      <c r="E34052" s="1">
        <v>0</v>
      </c>
      <c r="F34052" s="1">
        <v>9.9485134582992598E-8</v>
      </c>
    </row>
    <row r="34053" spans="1:6" x14ac:dyDescent="0.25">
      <c r="A34053" s="2" t="str">
        <f t="shared" si="1193"/>
        <v>99999</v>
      </c>
      <c r="B34053" s="2" t="str">
        <f>"56159"</f>
        <v>56159</v>
      </c>
      <c r="C34053" s="1">
        <v>1.38278048670817E-4</v>
      </c>
      <c r="D34053" s="1">
        <v>1.01679379118394E-4</v>
      </c>
      <c r="E34053" s="1">
        <v>6.9528639281073799E-5</v>
      </c>
      <c r="F34053" s="1">
        <v>1.3430493168704001E-4</v>
      </c>
    </row>
    <row r="34054" spans="1:6" x14ac:dyDescent="0.25">
      <c r="A34054" s="2" t="str">
        <f t="shared" si="1193"/>
        <v>99999</v>
      </c>
      <c r="B34054" s="2" t="str">
        <f>"56122"</f>
        <v>56122</v>
      </c>
      <c r="C34054" s="1">
        <v>2.7066263670372999E-5</v>
      </c>
      <c r="D34054" s="1">
        <v>1.5176026734088599E-5</v>
      </c>
      <c r="E34054" s="1">
        <v>2.1727699775335501E-5</v>
      </c>
      <c r="F34054" s="1">
        <v>2.6164590395327E-5</v>
      </c>
    </row>
    <row r="34055" spans="1:6" x14ac:dyDescent="0.25">
      <c r="A34055" s="2" t="str">
        <f t="shared" si="1193"/>
        <v>99999</v>
      </c>
      <c r="B34055" s="2" t="str">
        <f>"56120"</f>
        <v>56120</v>
      </c>
      <c r="C34055" s="1">
        <v>5.6860981339775603E-5</v>
      </c>
      <c r="D34055" s="1">
        <v>1.3658424060679801E-5</v>
      </c>
      <c r="E34055" s="1">
        <v>8.69107991013423E-6</v>
      </c>
      <c r="F34055" s="1">
        <v>5.2926091598151997E-5</v>
      </c>
    </row>
    <row r="34056" spans="1:6" x14ac:dyDescent="0.25">
      <c r="A34056" s="2" t="str">
        <f t="shared" si="1193"/>
        <v>99999</v>
      </c>
      <c r="B34056" s="2" t="str">
        <f>"56115"</f>
        <v>56115</v>
      </c>
      <c r="C34056" s="1">
        <v>1.06955396761958E-5</v>
      </c>
      <c r="D34056" s="1">
        <v>3.0352053468177301E-6</v>
      </c>
      <c r="E34056" s="1">
        <v>0</v>
      </c>
      <c r="F34056" s="1">
        <v>9.9485134582992602E-6</v>
      </c>
    </row>
    <row r="34057" spans="1:6" x14ac:dyDescent="0.25">
      <c r="A34057" s="2" t="str">
        <f t="shared" si="1193"/>
        <v>99999</v>
      </c>
      <c r="B34057" s="2" t="str">
        <f>"56056"</f>
        <v>56056</v>
      </c>
      <c r="C34057" s="1">
        <v>1.09138159961181E-7</v>
      </c>
      <c r="D34057" s="1">
        <v>0</v>
      </c>
      <c r="E34057" s="1">
        <v>4.3455399550671099E-6</v>
      </c>
      <c r="F34057" s="1">
        <v>1.9897026916598501E-7</v>
      </c>
    </row>
    <row r="34058" spans="1:6" x14ac:dyDescent="0.25">
      <c r="A34058" s="2" t="str">
        <f t="shared" si="1193"/>
        <v>99999</v>
      </c>
      <c r="B34058" s="2" t="str">
        <f>"56054"</f>
        <v>56054</v>
      </c>
      <c r="C34058" s="1">
        <v>2.5101776791071799E-6</v>
      </c>
      <c r="D34058" s="1">
        <v>0</v>
      </c>
      <c r="E34058" s="1">
        <v>0</v>
      </c>
      <c r="F34058" s="1">
        <v>2.2881580954088299E-6</v>
      </c>
    </row>
    <row r="34059" spans="1:6" x14ac:dyDescent="0.25">
      <c r="A34059" s="2" t="str">
        <f t="shared" si="1193"/>
        <v>99999</v>
      </c>
      <c r="B34059" s="2" t="str">
        <f>"55615"</f>
        <v>55615</v>
      </c>
      <c r="C34059" s="1">
        <v>9.4950199166228093E-6</v>
      </c>
      <c r="D34059" s="1">
        <v>3.0352053468177301E-6</v>
      </c>
      <c r="E34059" s="1">
        <v>4.3455399550671099E-6</v>
      </c>
      <c r="F34059" s="1">
        <v>8.9536621124693292E-6</v>
      </c>
    </row>
    <row r="34060" spans="1:6" x14ac:dyDescent="0.25">
      <c r="A34060" s="2" t="str">
        <f t="shared" si="1193"/>
        <v>99999</v>
      </c>
      <c r="B34060" s="2" t="str">
        <f>"55785"</f>
        <v>55785</v>
      </c>
      <c r="C34060" s="1">
        <v>1.2660026555497001E-5</v>
      </c>
      <c r="D34060" s="1">
        <v>0</v>
      </c>
      <c r="E34060" s="1">
        <v>2.60732397304027E-5</v>
      </c>
      <c r="F34060" s="1">
        <v>1.21371864191251E-5</v>
      </c>
    </row>
    <row r="34061" spans="1:6" x14ac:dyDescent="0.25">
      <c r="A34061" s="2" t="str">
        <f t="shared" si="1193"/>
        <v>99999</v>
      </c>
      <c r="B34061" s="2" t="str">
        <f>"55767"</f>
        <v>55767</v>
      </c>
      <c r="C34061" s="1">
        <v>1.9863145112935E-5</v>
      </c>
      <c r="D34061" s="1">
        <v>0</v>
      </c>
      <c r="E34061" s="1">
        <v>0</v>
      </c>
      <c r="F34061" s="1">
        <v>1.8106294494104601E-5</v>
      </c>
    </row>
    <row r="34062" spans="1:6" x14ac:dyDescent="0.25">
      <c r="A34062" s="2" t="str">
        <f t="shared" si="1193"/>
        <v>99999</v>
      </c>
      <c r="B34062" s="2" t="str">
        <f>"55396"</f>
        <v>55396</v>
      </c>
      <c r="C34062" s="1">
        <v>1.16013864038736E-4</v>
      </c>
      <c r="D34062" s="1">
        <v>3.3387258814995101E-5</v>
      </c>
      <c r="E34062" s="1">
        <v>4.3455399550671103E-5</v>
      </c>
      <c r="F34062" s="1">
        <v>1.0893622236837599E-4</v>
      </c>
    </row>
    <row r="34063" spans="1:6" x14ac:dyDescent="0.25">
      <c r="A34063" s="2" t="str">
        <f t="shared" si="1193"/>
        <v>99999</v>
      </c>
      <c r="B34063" s="2" t="str">
        <f>"55338"</f>
        <v>55338</v>
      </c>
      <c r="C34063" s="1">
        <v>5.9262020858921601E-5</v>
      </c>
      <c r="D34063" s="1">
        <v>4.5528080202265997E-6</v>
      </c>
      <c r="E34063" s="1">
        <v>4.3455399550671099E-6</v>
      </c>
      <c r="F34063" s="1">
        <v>5.4418368616896901E-5</v>
      </c>
    </row>
    <row r="34064" spans="1:6" x14ac:dyDescent="0.25">
      <c r="A34064" s="2" t="str">
        <f t="shared" si="1193"/>
        <v>99999</v>
      </c>
      <c r="B34064" s="2" t="str">
        <f>"55069"</f>
        <v>55069</v>
      </c>
      <c r="C34064" s="1">
        <v>1.5606756874448901E-5</v>
      </c>
      <c r="D34064" s="1">
        <v>3.0352053468177301E-6</v>
      </c>
      <c r="E34064" s="1">
        <v>4.3455399550671099E-6</v>
      </c>
      <c r="F34064" s="1">
        <v>1.45248296491169E-5</v>
      </c>
    </row>
    <row r="34065" spans="1:6" x14ac:dyDescent="0.25">
      <c r="A34065" s="2" t="str">
        <f t="shared" si="1193"/>
        <v>99999</v>
      </c>
      <c r="B34065" s="2" t="str">
        <f>"54963"</f>
        <v>54963</v>
      </c>
      <c r="C34065" s="1">
        <v>1.52793423945654E-6</v>
      </c>
      <c r="D34065" s="1">
        <v>1.51760267340886E-6</v>
      </c>
      <c r="E34065" s="1">
        <v>0</v>
      </c>
      <c r="F34065" s="1">
        <v>1.4922770187448801E-6</v>
      </c>
    </row>
    <row r="34066" spans="1:6" x14ac:dyDescent="0.25">
      <c r="A34066" s="2" t="str">
        <f t="shared" ref="A34066:A34129" si="1194">"99999"</f>
        <v>99999</v>
      </c>
      <c r="B34066" s="2" t="str">
        <f>"54875"</f>
        <v>54875</v>
      </c>
      <c r="C34066" s="1">
        <v>7.3995672453681198E-5</v>
      </c>
      <c r="D34066" s="1">
        <v>1.8211232080906399E-5</v>
      </c>
      <c r="E34066" s="1">
        <v>4.3455399550671099E-6</v>
      </c>
      <c r="F34066" s="1">
        <v>6.8744227996847901E-5</v>
      </c>
    </row>
    <row r="34067" spans="1:6" x14ac:dyDescent="0.25">
      <c r="A34067" s="2" t="str">
        <f t="shared" si="1194"/>
        <v>99999</v>
      </c>
      <c r="B34067" s="2" t="str">
        <f>"54868"</f>
        <v>54868</v>
      </c>
      <c r="C34067" s="1">
        <v>8.92750148482466E-4</v>
      </c>
      <c r="D34067" s="1">
        <v>1.51912027608227E-3</v>
      </c>
      <c r="E34067" s="1">
        <v>1.59915870346469E-3</v>
      </c>
      <c r="F34067" s="1">
        <v>9.4998355013299596E-4</v>
      </c>
    </row>
    <row r="34068" spans="1:6" x14ac:dyDescent="0.25">
      <c r="A34068" s="2" t="str">
        <f t="shared" si="1194"/>
        <v>99999</v>
      </c>
      <c r="B34068" s="2" t="str">
        <f>"54846"</f>
        <v>54846</v>
      </c>
      <c r="C34068" s="1">
        <v>3.0122132149286099E-5</v>
      </c>
      <c r="D34068" s="1">
        <v>7.5880133670443404E-6</v>
      </c>
      <c r="E34068" s="1">
        <v>1.3036619865201299E-5</v>
      </c>
      <c r="F34068" s="1">
        <v>2.8253778221569901E-5</v>
      </c>
    </row>
    <row r="34069" spans="1:6" x14ac:dyDescent="0.25">
      <c r="A34069" s="2" t="str">
        <f t="shared" si="1194"/>
        <v>99999</v>
      </c>
      <c r="B34069" s="2" t="str">
        <f>"54828"</f>
        <v>54828</v>
      </c>
      <c r="C34069" s="1">
        <v>5.2058902301483599E-5</v>
      </c>
      <c r="D34069" s="1">
        <v>1.21408213872709E-5</v>
      </c>
      <c r="E34069" s="1">
        <v>1.3036619865201299E-5</v>
      </c>
      <c r="F34069" s="1">
        <v>4.8548745676500402E-5</v>
      </c>
    </row>
    <row r="34070" spans="1:6" x14ac:dyDescent="0.25">
      <c r="A34070" s="2" t="str">
        <f t="shared" si="1194"/>
        <v>99999</v>
      </c>
      <c r="B34070" s="2" t="str">
        <f>"54838"</f>
        <v>54838</v>
      </c>
      <c r="C34070" s="1">
        <v>6.9848422375156299E-6</v>
      </c>
      <c r="D34070" s="1">
        <v>0</v>
      </c>
      <c r="E34070" s="1">
        <v>0</v>
      </c>
      <c r="F34070" s="1">
        <v>6.3670486133115203E-6</v>
      </c>
    </row>
    <row r="34071" spans="1:6" x14ac:dyDescent="0.25">
      <c r="A34071" s="2" t="str">
        <f t="shared" si="1194"/>
        <v>99999</v>
      </c>
      <c r="B34071" s="2" t="str">
        <f>"54827"</f>
        <v>54827</v>
      </c>
      <c r="C34071" s="1">
        <v>1.2660026555497001E-5</v>
      </c>
      <c r="D34071" s="1">
        <v>4.5528080202265997E-6</v>
      </c>
      <c r="E34071" s="1">
        <v>4.3455399550671099E-6</v>
      </c>
      <c r="F34071" s="1">
        <v>1.19382161499591E-5</v>
      </c>
    </row>
    <row r="34072" spans="1:6" x14ac:dyDescent="0.25">
      <c r="A34072" s="2" t="str">
        <f t="shared" si="1194"/>
        <v>99999</v>
      </c>
      <c r="B34072" s="2" t="str">
        <f>"54933"</f>
        <v>54933</v>
      </c>
      <c r="C34072" s="1">
        <v>5.2386316781367196E-6</v>
      </c>
      <c r="D34072" s="1">
        <v>1.51760267340886E-6</v>
      </c>
      <c r="E34072" s="1">
        <v>1.3036619865201299E-5</v>
      </c>
      <c r="F34072" s="1">
        <v>5.1732269983156102E-6</v>
      </c>
    </row>
    <row r="34073" spans="1:6" x14ac:dyDescent="0.25">
      <c r="A34073" s="2" t="str">
        <f t="shared" si="1194"/>
        <v>99999</v>
      </c>
      <c r="B34073" s="2" t="str">
        <f>"54760"</f>
        <v>54760</v>
      </c>
      <c r="C34073" s="1">
        <v>0</v>
      </c>
      <c r="D34073" s="1">
        <v>0</v>
      </c>
      <c r="E34073" s="1">
        <v>4.3455399550671099E-6</v>
      </c>
      <c r="F34073" s="1">
        <v>9.9485134582992598E-8</v>
      </c>
    </row>
    <row r="34074" spans="1:6" x14ac:dyDescent="0.25">
      <c r="A34074" s="2" t="str">
        <f t="shared" si="1194"/>
        <v>99999</v>
      </c>
      <c r="B34074" s="2" t="str">
        <f>"54768"</f>
        <v>54768</v>
      </c>
      <c r="C34074" s="1">
        <v>3.7543527026646502E-5</v>
      </c>
      <c r="D34074" s="1">
        <v>2.5799245447950699E-5</v>
      </c>
      <c r="E34074" s="1">
        <v>0</v>
      </c>
      <c r="F34074" s="1">
        <v>3.5914133584460302E-5</v>
      </c>
    </row>
    <row r="34075" spans="1:6" x14ac:dyDescent="0.25">
      <c r="A34075" s="2" t="str">
        <f t="shared" si="1194"/>
        <v>99999</v>
      </c>
      <c r="B34075" s="2" t="str">
        <f>"54757"</f>
        <v>54757</v>
      </c>
      <c r="C34075" s="1">
        <v>6.5592034136670194E-5</v>
      </c>
      <c r="D34075" s="1">
        <v>1.0623218713862E-5</v>
      </c>
      <c r="E34075" s="1">
        <v>1.7382159820268399E-5</v>
      </c>
      <c r="F34075" s="1">
        <v>6.0884902364791397E-5</v>
      </c>
    </row>
    <row r="34076" spans="1:6" x14ac:dyDescent="0.25">
      <c r="A34076" s="2" t="str">
        <f t="shared" si="1194"/>
        <v>99999</v>
      </c>
      <c r="B34076" s="2" t="str">
        <f>"54755"</f>
        <v>54755</v>
      </c>
      <c r="C34076" s="1">
        <v>2.9892942013367597E-4</v>
      </c>
      <c r="D34076" s="1">
        <v>2.7013327586677803E-4</v>
      </c>
      <c r="E34076" s="1">
        <v>3.34606576540167E-4</v>
      </c>
      <c r="F34076" s="1">
        <v>2.97858492941479E-4</v>
      </c>
    </row>
    <row r="34077" spans="1:6" x14ac:dyDescent="0.25">
      <c r="A34077" s="2" t="str">
        <f t="shared" si="1194"/>
        <v>99999</v>
      </c>
      <c r="B34077" s="2" t="str">
        <f>"54895"</f>
        <v>54895</v>
      </c>
      <c r="C34077" s="1">
        <v>7.6178435652904798E-5</v>
      </c>
      <c r="D34077" s="1">
        <v>2.4281642774541899E-5</v>
      </c>
      <c r="E34077" s="1">
        <v>1.7382159820268399E-5</v>
      </c>
      <c r="F34077" s="1">
        <v>7.1430326630588705E-5</v>
      </c>
    </row>
    <row r="34078" spans="1:6" x14ac:dyDescent="0.25">
      <c r="A34078" s="2" t="str">
        <f t="shared" si="1194"/>
        <v>99999</v>
      </c>
      <c r="B34078" s="2" t="str">
        <f>"54893"</f>
        <v>54893</v>
      </c>
      <c r="C34078" s="1">
        <v>3.2675965092377802E-4</v>
      </c>
      <c r="D34078" s="1">
        <v>1.3354903525998E-4</v>
      </c>
      <c r="E34078" s="1">
        <v>7.3874179236140894E-5</v>
      </c>
      <c r="F34078" s="1">
        <v>3.08304432072694E-4</v>
      </c>
    </row>
    <row r="34079" spans="1:6" x14ac:dyDescent="0.25">
      <c r="A34079" s="2" t="str">
        <f t="shared" si="1194"/>
        <v>99999</v>
      </c>
      <c r="B34079" s="2" t="str">
        <f>"54747"</f>
        <v>54747</v>
      </c>
      <c r="C34079" s="1">
        <v>1.5388480554526601E-4</v>
      </c>
      <c r="D34079" s="1">
        <v>7.8915339017261203E-5</v>
      </c>
      <c r="E34079" s="1">
        <v>3.2156995667496598E-4</v>
      </c>
      <c r="F34079" s="1">
        <v>1.5280916671947599E-4</v>
      </c>
    </row>
    <row r="34080" spans="1:6" x14ac:dyDescent="0.25">
      <c r="A34080" s="2" t="str">
        <f t="shared" si="1194"/>
        <v>99999</v>
      </c>
      <c r="B34080" s="2" t="str">
        <f>"54731"</f>
        <v>54731</v>
      </c>
      <c r="C34080" s="1">
        <v>4.16907771051714E-5</v>
      </c>
      <c r="D34080" s="1">
        <v>2.2764040101133E-5</v>
      </c>
      <c r="E34080" s="1">
        <v>3.47643196405369E-5</v>
      </c>
      <c r="F34080" s="1">
        <v>4.0291479506111999E-5</v>
      </c>
    </row>
    <row r="34081" spans="1:6" x14ac:dyDescent="0.25">
      <c r="A34081" s="2" t="str">
        <f t="shared" si="1194"/>
        <v>99999</v>
      </c>
      <c r="B34081" s="2" t="str">
        <f>"54517"</f>
        <v>54517</v>
      </c>
      <c r="C34081" s="1">
        <v>6.7665659175932598E-6</v>
      </c>
      <c r="D34081" s="1">
        <v>1.51760267340886E-6</v>
      </c>
      <c r="E34081" s="1">
        <v>4.3455399550671099E-6</v>
      </c>
      <c r="F34081" s="1">
        <v>6.3670486133115203E-6</v>
      </c>
    </row>
    <row r="34082" spans="1:6" x14ac:dyDescent="0.25">
      <c r="A34082" s="2" t="str">
        <f t="shared" si="1194"/>
        <v>99999</v>
      </c>
      <c r="B34082" s="2" t="str">
        <f>"54512"</f>
        <v>54512</v>
      </c>
      <c r="C34082" s="1">
        <v>6.1117369578261703E-5</v>
      </c>
      <c r="D34082" s="1">
        <v>5.9186504262945899E-5</v>
      </c>
      <c r="E34082" s="1">
        <v>3.0418779685469802E-5</v>
      </c>
      <c r="F34082" s="1">
        <v>6.0287991557293501E-5</v>
      </c>
    </row>
    <row r="34083" spans="1:6" x14ac:dyDescent="0.25">
      <c r="A34083" s="2" t="str">
        <f t="shared" si="1194"/>
        <v>99999</v>
      </c>
      <c r="B34083" s="2" t="str">
        <f>"54488"</f>
        <v>54488</v>
      </c>
      <c r="C34083" s="1">
        <v>3.0886099269014397E-5</v>
      </c>
      <c r="D34083" s="1">
        <v>6.0704106936354696E-6</v>
      </c>
      <c r="E34083" s="1">
        <v>2.1727699775335501E-5</v>
      </c>
      <c r="F34083" s="1">
        <v>2.9049659298233801E-5</v>
      </c>
    </row>
    <row r="34084" spans="1:6" x14ac:dyDescent="0.25">
      <c r="A34084" s="2" t="str">
        <f t="shared" si="1194"/>
        <v>99999</v>
      </c>
      <c r="B34084" s="2" t="str">
        <f>"54637"</f>
        <v>54637</v>
      </c>
      <c r="C34084" s="1">
        <v>4.3655263984472599E-6</v>
      </c>
      <c r="D34084" s="1">
        <v>1.0623218713862E-5</v>
      </c>
      <c r="E34084" s="1">
        <v>0</v>
      </c>
      <c r="F34084" s="1">
        <v>4.6758013254006498E-6</v>
      </c>
    </row>
    <row r="34085" spans="1:6" x14ac:dyDescent="0.25">
      <c r="A34085" s="2" t="str">
        <f t="shared" si="1194"/>
        <v>99999</v>
      </c>
      <c r="B34085" s="2" t="str">
        <f>"54654"</f>
        <v>54654</v>
      </c>
      <c r="C34085" s="1">
        <v>0</v>
      </c>
      <c r="D34085" s="1">
        <v>0</v>
      </c>
      <c r="E34085" s="1">
        <v>4.3455399550671099E-6</v>
      </c>
      <c r="F34085" s="1">
        <v>9.9485134582992598E-8</v>
      </c>
    </row>
    <row r="34086" spans="1:6" x14ac:dyDescent="0.25">
      <c r="A34086" s="2" t="str">
        <f t="shared" si="1194"/>
        <v>99999</v>
      </c>
      <c r="B34086" s="2" t="str">
        <f>"54651"</f>
        <v>54651</v>
      </c>
      <c r="C34086" s="1">
        <v>7.2358600054263399E-5</v>
      </c>
      <c r="D34086" s="1">
        <v>9.1056160404532095E-6</v>
      </c>
      <c r="E34086" s="1">
        <v>9.5601879011476503E-5</v>
      </c>
      <c r="F34086" s="1">
        <v>6.8744227996847901E-5</v>
      </c>
    </row>
    <row r="34087" spans="1:6" x14ac:dyDescent="0.25">
      <c r="A34087" s="2" t="str">
        <f t="shared" si="1194"/>
        <v>99999</v>
      </c>
      <c r="B34087" s="2" t="str">
        <f>"54624"</f>
        <v>54624</v>
      </c>
      <c r="C34087" s="1">
        <v>9.6914686045529306E-5</v>
      </c>
      <c r="D34087" s="1">
        <v>1.8211232080906399E-5</v>
      </c>
      <c r="E34087" s="1">
        <v>6.5183099326006705E-5</v>
      </c>
      <c r="F34087" s="1">
        <v>9.1028898143438199E-5</v>
      </c>
    </row>
    <row r="34088" spans="1:6" x14ac:dyDescent="0.25">
      <c r="A34088" s="2" t="str">
        <f t="shared" si="1194"/>
        <v>99999</v>
      </c>
      <c r="B34088" s="2" t="str">
        <f>"54618"</f>
        <v>54618</v>
      </c>
      <c r="C34088" s="1">
        <v>1.2365353523601801E-4</v>
      </c>
      <c r="D34088" s="1">
        <v>4.0975272182039399E-5</v>
      </c>
      <c r="E34088" s="1">
        <v>1.17329578786812E-4</v>
      </c>
      <c r="F34088" s="1">
        <v>1.1808885475001201E-4</v>
      </c>
    </row>
    <row r="34089" spans="1:6" x14ac:dyDescent="0.25">
      <c r="A34089" s="2" t="str">
        <f t="shared" si="1194"/>
        <v>99999</v>
      </c>
      <c r="B34089" s="2" t="str">
        <f>"54485"</f>
        <v>54485</v>
      </c>
      <c r="C34089" s="1">
        <v>2.7393678150256599E-5</v>
      </c>
      <c r="D34089" s="1">
        <v>7.5880133670443404E-6</v>
      </c>
      <c r="E34089" s="1">
        <v>8.69107991013423E-6</v>
      </c>
      <c r="F34089" s="1">
        <v>2.5667164722412099E-5</v>
      </c>
    </row>
    <row r="34090" spans="1:6" x14ac:dyDescent="0.25">
      <c r="A34090" s="2" t="str">
        <f t="shared" si="1194"/>
        <v>99999</v>
      </c>
      <c r="B34090" s="2" t="str">
        <f>"54480"</f>
        <v>54480</v>
      </c>
      <c r="C34090" s="1">
        <v>5.6860981339775603E-5</v>
      </c>
      <c r="D34090" s="1">
        <v>2.2764040101133E-5</v>
      </c>
      <c r="E34090" s="1">
        <v>3.0418779685469802E-5</v>
      </c>
      <c r="F34090" s="1">
        <v>5.4020428078565001E-5</v>
      </c>
    </row>
    <row r="34091" spans="1:6" x14ac:dyDescent="0.25">
      <c r="A34091" s="2" t="str">
        <f t="shared" si="1194"/>
        <v>99999</v>
      </c>
      <c r="B34091" s="2" t="str">
        <f>"54616"</f>
        <v>54616</v>
      </c>
      <c r="C34091" s="1">
        <v>1.3031096299365001E-4</v>
      </c>
      <c r="D34091" s="1">
        <v>3.1869656141586203E-5</v>
      </c>
      <c r="E34091" s="1">
        <v>1.6947605824761699E-4</v>
      </c>
      <c r="F34091" s="1">
        <v>1.2475435876707199E-4</v>
      </c>
    </row>
    <row r="34092" spans="1:6" x14ac:dyDescent="0.25">
      <c r="A34092" s="2" t="str">
        <f t="shared" si="1194"/>
        <v>99999</v>
      </c>
      <c r="B34092" s="2" t="str">
        <f>"54462"</f>
        <v>54462</v>
      </c>
      <c r="C34092" s="1">
        <v>3.5033349347539302E-5</v>
      </c>
      <c r="D34092" s="1">
        <v>4.5528080202265997E-6</v>
      </c>
      <c r="E34092" s="1">
        <v>1.3036619865201299E-5</v>
      </c>
      <c r="F34092" s="1">
        <v>3.2531639008638501E-5</v>
      </c>
    </row>
    <row r="34093" spans="1:6" x14ac:dyDescent="0.25">
      <c r="A34093" s="2" t="str">
        <f t="shared" si="1194"/>
        <v>99999</v>
      </c>
      <c r="B34093" s="2" t="str">
        <f>"54465"</f>
        <v>54465</v>
      </c>
      <c r="C34093" s="1">
        <v>6.7883935495855003E-5</v>
      </c>
      <c r="D34093" s="1">
        <v>9.1056160404532095E-6</v>
      </c>
      <c r="E34093" s="1">
        <v>8.69107991013423E-6</v>
      </c>
      <c r="F34093" s="1">
        <v>6.2675634787285296E-5</v>
      </c>
    </row>
    <row r="34094" spans="1:6" x14ac:dyDescent="0.25">
      <c r="A34094" s="2" t="str">
        <f t="shared" si="1194"/>
        <v>99999</v>
      </c>
      <c r="B34094" s="2" t="str">
        <f>"54463"</f>
        <v>54463</v>
      </c>
      <c r="C34094" s="1">
        <v>6.6246863096437299E-5</v>
      </c>
      <c r="D34094" s="1">
        <v>3.0352053468177301E-5</v>
      </c>
      <c r="E34094" s="1">
        <v>3.0418779685469802E-5</v>
      </c>
      <c r="F34094" s="1">
        <v>6.3073575325617304E-5</v>
      </c>
    </row>
    <row r="34095" spans="1:6" x14ac:dyDescent="0.25">
      <c r="A34095" s="2" t="str">
        <f t="shared" si="1194"/>
        <v>99999</v>
      </c>
      <c r="B34095" s="2" t="str">
        <f>"54436"</f>
        <v>54436</v>
      </c>
      <c r="C34095" s="1">
        <v>9.7678653165257594E-5</v>
      </c>
      <c r="D34095" s="1">
        <v>4.4010477528857203E-5</v>
      </c>
      <c r="E34095" s="1">
        <v>2.1727699775335501E-5</v>
      </c>
      <c r="F34095" s="1">
        <v>9.2421690027600097E-5</v>
      </c>
    </row>
    <row r="34096" spans="1:6" x14ac:dyDescent="0.25">
      <c r="A34096" s="2" t="str">
        <f t="shared" si="1194"/>
        <v>99999</v>
      </c>
      <c r="B34096" s="2" t="str">
        <f>"54428"</f>
        <v>54428</v>
      </c>
      <c r="C34096" s="1">
        <v>1.00407107164287E-4</v>
      </c>
      <c r="D34096" s="1">
        <v>3.6422464161812797E-5</v>
      </c>
      <c r="E34096" s="1">
        <v>1.3036619865201299E-5</v>
      </c>
      <c r="F34096" s="1">
        <v>9.4212422450094002E-5</v>
      </c>
    </row>
    <row r="34097" spans="1:6" x14ac:dyDescent="0.25">
      <c r="A34097" s="2" t="str">
        <f t="shared" si="1194"/>
        <v>99999</v>
      </c>
      <c r="B34097" s="2" t="str">
        <f>"54413"</f>
        <v>54413</v>
      </c>
      <c r="C34097" s="1">
        <v>2.1827631992236301E-7</v>
      </c>
      <c r="D34097" s="1">
        <v>0</v>
      </c>
      <c r="E34097" s="1">
        <v>0</v>
      </c>
      <c r="F34097" s="1">
        <v>1.9897026916598501E-7</v>
      </c>
    </row>
    <row r="34098" spans="1:6" x14ac:dyDescent="0.25">
      <c r="A34098" s="2" t="str">
        <f t="shared" si="1194"/>
        <v>99999</v>
      </c>
      <c r="B34098" s="2" t="str">
        <f>"54408"</f>
        <v>54408</v>
      </c>
      <c r="C34098" s="1">
        <v>6.3300132777485401E-6</v>
      </c>
      <c r="D34098" s="1">
        <v>3.0352053468177301E-6</v>
      </c>
      <c r="E34098" s="1">
        <v>8.69107991013423E-6</v>
      </c>
      <c r="F34098" s="1">
        <v>6.1680783441455402E-6</v>
      </c>
    </row>
    <row r="34099" spans="1:6" x14ac:dyDescent="0.25">
      <c r="A34099" s="2" t="str">
        <f t="shared" si="1194"/>
        <v>99999</v>
      </c>
      <c r="B34099" s="2" t="str">
        <f>"54409"</f>
        <v>54409</v>
      </c>
      <c r="C34099" s="1">
        <v>6.79275907598395E-4</v>
      </c>
      <c r="D34099" s="1">
        <v>9.3939605484009005E-4</v>
      </c>
      <c r="E34099" s="1">
        <v>8.0392489168741599E-4</v>
      </c>
      <c r="F34099" s="1">
        <v>6.99181525849272E-4</v>
      </c>
    </row>
    <row r="34100" spans="1:6" x14ac:dyDescent="0.25">
      <c r="A34100" s="2" t="str">
        <f t="shared" si="1194"/>
        <v>99999</v>
      </c>
      <c r="B34100" s="2" t="str">
        <f>"53924"</f>
        <v>53924</v>
      </c>
      <c r="C34100" s="1">
        <v>7.0284975015000995E-5</v>
      </c>
      <c r="D34100" s="1">
        <v>2.1246437427724101E-5</v>
      </c>
      <c r="E34100" s="1">
        <v>4.3455399550671103E-5</v>
      </c>
      <c r="F34100" s="1">
        <v>6.6456069901438996E-5</v>
      </c>
    </row>
    <row r="34101" spans="1:6" x14ac:dyDescent="0.25">
      <c r="A34101" s="2" t="str">
        <f t="shared" si="1194"/>
        <v>99999</v>
      </c>
      <c r="B34101" s="2" t="str">
        <f>"53952"</f>
        <v>53952</v>
      </c>
      <c r="C34101" s="1">
        <v>2.1489303696356599E-4</v>
      </c>
      <c r="D34101" s="1">
        <v>3.4904861488403899E-5</v>
      </c>
      <c r="E34101" s="1">
        <v>4.7800939505738197E-5</v>
      </c>
      <c r="F34101" s="1">
        <v>1.99268724569734E-4</v>
      </c>
    </row>
    <row r="34102" spans="1:6" x14ac:dyDescent="0.25">
      <c r="A34102" s="2" t="str">
        <f t="shared" si="1194"/>
        <v>99999</v>
      </c>
      <c r="B34102" s="2" t="str">
        <f>"53948"</f>
        <v>53948</v>
      </c>
      <c r="C34102" s="1">
        <v>4.7355047607156698E-4</v>
      </c>
      <c r="D34102" s="1">
        <v>5.2964333301969504E-4</v>
      </c>
      <c r="E34102" s="1">
        <v>8.2130705150768501E-4</v>
      </c>
      <c r="F34102" s="1">
        <v>4.8518900136125499E-4</v>
      </c>
    </row>
    <row r="34103" spans="1:6" x14ac:dyDescent="0.25">
      <c r="A34103" s="2" t="str">
        <f t="shared" si="1194"/>
        <v>99999</v>
      </c>
      <c r="B34103" s="2" t="str">
        <f>"53803"</f>
        <v>53803</v>
      </c>
      <c r="C34103" s="1">
        <v>6.6792553896243196E-5</v>
      </c>
      <c r="D34103" s="1">
        <v>4.2492874855448297E-5</v>
      </c>
      <c r="E34103" s="1">
        <v>6.0837559370939603E-5</v>
      </c>
      <c r="F34103" s="1">
        <v>6.5063278017277098E-5</v>
      </c>
    </row>
    <row r="34104" spans="1:6" x14ac:dyDescent="0.25">
      <c r="A34104" s="2" t="str">
        <f t="shared" si="1194"/>
        <v>99999</v>
      </c>
      <c r="B34104" s="2" t="str">
        <f>"53530"</f>
        <v>53530</v>
      </c>
      <c r="C34104" s="1">
        <v>2.2351495160049999E-4</v>
      </c>
      <c r="D34104" s="1">
        <v>3.9609429775971401E-4</v>
      </c>
      <c r="E34104" s="1">
        <v>2.3465915757362401E-4</v>
      </c>
      <c r="F34104" s="1">
        <v>2.3508337301961099E-4</v>
      </c>
    </row>
    <row r="34105" spans="1:6" x14ac:dyDescent="0.25">
      <c r="A34105" s="2" t="str">
        <f t="shared" si="1194"/>
        <v>99999</v>
      </c>
      <c r="B34105" s="2" t="str">
        <f>"53518"</f>
        <v>53518</v>
      </c>
      <c r="C34105" s="1">
        <v>5.0094415422182397E-5</v>
      </c>
      <c r="D34105" s="1">
        <v>1.5176026734088599E-5</v>
      </c>
      <c r="E34105" s="1">
        <v>0</v>
      </c>
      <c r="F34105" s="1">
        <v>4.6658528119423498E-5</v>
      </c>
    </row>
    <row r="34106" spans="1:6" x14ac:dyDescent="0.25">
      <c r="A34106" s="2" t="str">
        <f t="shared" si="1194"/>
        <v>99999</v>
      </c>
      <c r="B34106" s="2" t="str">
        <f>"52761"</f>
        <v>52761</v>
      </c>
      <c r="C34106" s="1">
        <v>3.00129939893249E-5</v>
      </c>
      <c r="D34106" s="1">
        <v>3.0352053468177301E-6</v>
      </c>
      <c r="E34106" s="1">
        <v>8.69107991013423E-6</v>
      </c>
      <c r="F34106" s="1">
        <v>2.7756352548654901E-5</v>
      </c>
    </row>
    <row r="34107" spans="1:6" x14ac:dyDescent="0.25">
      <c r="A34107" s="2" t="str">
        <f t="shared" si="1194"/>
        <v>99999</v>
      </c>
      <c r="B34107" s="2" t="str">
        <f>"52754"</f>
        <v>52754</v>
      </c>
      <c r="C34107" s="1">
        <v>3.4051105907888697E-5</v>
      </c>
      <c r="D34107" s="1">
        <v>1.0623218713862E-5</v>
      </c>
      <c r="E34107" s="1">
        <v>4.3455399550671099E-6</v>
      </c>
      <c r="F34107" s="1">
        <v>3.18352430665576E-5</v>
      </c>
    </row>
    <row r="34108" spans="1:6" x14ac:dyDescent="0.25">
      <c r="A34108" s="2" t="str">
        <f t="shared" si="1194"/>
        <v>99999</v>
      </c>
      <c r="B34108" s="2" t="str">
        <f>"52635"</f>
        <v>52635</v>
      </c>
      <c r="C34108" s="1">
        <v>1.4187960794953601E-6</v>
      </c>
      <c r="D34108" s="1">
        <v>1.51760267340886E-6</v>
      </c>
      <c r="E34108" s="1">
        <v>0</v>
      </c>
      <c r="F34108" s="1">
        <v>1.39279188416189E-6</v>
      </c>
    </row>
    <row r="34109" spans="1:6" x14ac:dyDescent="0.25">
      <c r="A34109" s="2" t="str">
        <f t="shared" si="1194"/>
        <v>99999</v>
      </c>
      <c r="B34109" s="2" t="str">
        <f>"52653"</f>
        <v>52653</v>
      </c>
      <c r="C34109" s="1">
        <v>1.88263325933038E-4</v>
      </c>
      <c r="D34109" s="1">
        <v>2.7165087854018701E-4</v>
      </c>
      <c r="E34109" s="1">
        <v>2.1727699775335501E-4</v>
      </c>
      <c r="F34109" s="1">
        <v>1.9439395297516699E-4</v>
      </c>
    </row>
    <row r="34110" spans="1:6" x14ac:dyDescent="0.25">
      <c r="A34110" s="2" t="str">
        <f t="shared" si="1194"/>
        <v>99999</v>
      </c>
      <c r="B34110" s="2" t="str">
        <f>"52637"</f>
        <v>52637</v>
      </c>
      <c r="C34110" s="1">
        <v>8.7310527968945299E-7</v>
      </c>
      <c r="D34110" s="1">
        <v>0</v>
      </c>
      <c r="E34110" s="1">
        <v>0</v>
      </c>
      <c r="F34110" s="1">
        <v>7.9588107666394099E-7</v>
      </c>
    </row>
    <row r="34111" spans="1:6" x14ac:dyDescent="0.25">
      <c r="A34111" s="2" t="str">
        <f t="shared" si="1194"/>
        <v>99999</v>
      </c>
      <c r="B34111" s="2" t="str">
        <f>"52255"</f>
        <v>52255</v>
      </c>
      <c r="C34111" s="1">
        <v>4.3655263984472602E-5</v>
      </c>
      <c r="D34111" s="1">
        <v>7.5880133670443404E-6</v>
      </c>
      <c r="E34111" s="1">
        <v>2.1727699775335501E-5</v>
      </c>
      <c r="F34111" s="1">
        <v>4.0788905179026897E-5</v>
      </c>
    </row>
    <row r="34112" spans="1:6" x14ac:dyDescent="0.25">
      <c r="A34112" s="2" t="str">
        <f t="shared" si="1194"/>
        <v>99999</v>
      </c>
      <c r="B34112" s="2" t="str">
        <f>"52201"</f>
        <v>52201</v>
      </c>
      <c r="C34112" s="1">
        <v>4.3655263984472602E-7</v>
      </c>
      <c r="D34112" s="1">
        <v>0</v>
      </c>
      <c r="E34112" s="1">
        <v>0</v>
      </c>
      <c r="F34112" s="1">
        <v>3.9794053833197002E-7</v>
      </c>
    </row>
    <row r="34113" spans="1:6" x14ac:dyDescent="0.25">
      <c r="A34113" s="2" t="str">
        <f t="shared" si="1194"/>
        <v>99999</v>
      </c>
      <c r="B34113" s="2" t="str">
        <f>"52221"</f>
        <v>52221</v>
      </c>
      <c r="C34113" s="1">
        <v>1.04772633562734E-5</v>
      </c>
      <c r="D34113" s="1">
        <v>3.0352053468177301E-6</v>
      </c>
      <c r="E34113" s="1">
        <v>0</v>
      </c>
      <c r="F34113" s="1">
        <v>9.7495431891332699E-6</v>
      </c>
    </row>
    <row r="34114" spans="1:6" x14ac:dyDescent="0.25">
      <c r="A34114" s="2" t="str">
        <f t="shared" si="1194"/>
        <v>99999</v>
      </c>
      <c r="B34114" s="2" t="str">
        <f>"52210"</f>
        <v>52210</v>
      </c>
      <c r="C34114" s="1">
        <v>3.4705934867655701E-5</v>
      </c>
      <c r="D34114" s="1">
        <v>9.1056160404532095E-6</v>
      </c>
      <c r="E34114" s="1">
        <v>2.1727699775335501E-5</v>
      </c>
      <c r="F34114" s="1">
        <v>3.2730609277804499E-5</v>
      </c>
    </row>
    <row r="34115" spans="1:6" x14ac:dyDescent="0.25">
      <c r="A34115" s="2" t="str">
        <f t="shared" si="1194"/>
        <v>99999</v>
      </c>
      <c r="B34115" s="2" t="str">
        <f>"52225"</f>
        <v>52225</v>
      </c>
      <c r="C34115" s="1">
        <v>2.1281941192430401E-5</v>
      </c>
      <c r="D34115" s="1">
        <v>4.5528080202265997E-6</v>
      </c>
      <c r="E34115" s="1">
        <v>4.3455399550671099E-6</v>
      </c>
      <c r="F34115" s="1">
        <v>1.9797541782015501E-5</v>
      </c>
    </row>
    <row r="34116" spans="1:6" x14ac:dyDescent="0.25">
      <c r="A34116" s="2" t="str">
        <f t="shared" si="1194"/>
        <v>99999</v>
      </c>
      <c r="B34116" s="2" t="str">
        <f>"52223"</f>
        <v>52223</v>
      </c>
      <c r="C34116" s="1">
        <v>8.0762238371274403E-5</v>
      </c>
      <c r="D34116" s="1">
        <v>2.2764040101133E-5</v>
      </c>
      <c r="E34116" s="1">
        <v>3.0418779685469802E-5</v>
      </c>
      <c r="F34116" s="1">
        <v>7.58076725522403E-5</v>
      </c>
    </row>
    <row r="34117" spans="1:6" x14ac:dyDescent="0.25">
      <c r="A34117" s="2" t="str">
        <f t="shared" si="1194"/>
        <v>99999</v>
      </c>
      <c r="B34117" s="2" t="str">
        <f>"52586"</f>
        <v>52586</v>
      </c>
      <c r="C34117" s="1">
        <v>6.5482895976708995E-7</v>
      </c>
      <c r="D34117" s="1">
        <v>0</v>
      </c>
      <c r="E34117" s="1">
        <v>0</v>
      </c>
      <c r="F34117" s="1">
        <v>5.9691080749795498E-7</v>
      </c>
    </row>
    <row r="34118" spans="1:6" x14ac:dyDescent="0.25">
      <c r="A34118" s="2" t="str">
        <f t="shared" si="1194"/>
        <v>99999</v>
      </c>
      <c r="B34118" s="2" t="str">
        <f>"52562"</f>
        <v>52562</v>
      </c>
      <c r="C34118" s="1">
        <v>3.7106974386801701E-6</v>
      </c>
      <c r="D34118" s="1">
        <v>3.0352053468177301E-6</v>
      </c>
      <c r="E34118" s="1">
        <v>8.69107991013423E-6</v>
      </c>
      <c r="F34118" s="1">
        <v>3.7804351141537199E-6</v>
      </c>
    </row>
    <row r="34119" spans="1:6" x14ac:dyDescent="0.25">
      <c r="A34119" s="2" t="str">
        <f t="shared" si="1194"/>
        <v>99999</v>
      </c>
      <c r="B34119" s="2" t="str">
        <f>"52581"</f>
        <v>52581</v>
      </c>
      <c r="C34119" s="1">
        <v>1.9535730633051498E-5</v>
      </c>
      <c r="D34119" s="1">
        <v>1.0623218713862E-5</v>
      </c>
      <c r="E34119" s="1">
        <v>8.69107991013423E-6</v>
      </c>
      <c r="F34119" s="1">
        <v>1.8703205301602599E-5</v>
      </c>
    </row>
    <row r="34120" spans="1:6" x14ac:dyDescent="0.25">
      <c r="A34120" s="2" t="str">
        <f t="shared" si="1194"/>
        <v>99999</v>
      </c>
      <c r="B34120" s="2" t="str">
        <f>"52568"</f>
        <v>52568</v>
      </c>
      <c r="C34120" s="1">
        <v>3.4924211187578098E-6</v>
      </c>
      <c r="D34120" s="1">
        <v>1.51760267340886E-6</v>
      </c>
      <c r="E34120" s="1">
        <v>4.3455399550671099E-6</v>
      </c>
      <c r="F34120" s="1">
        <v>3.3824945758217398E-6</v>
      </c>
    </row>
    <row r="34121" spans="1:6" x14ac:dyDescent="0.25">
      <c r="A34121" s="2" t="str">
        <f t="shared" si="1194"/>
        <v>99999</v>
      </c>
      <c r="B34121" s="2" t="str">
        <f>"52561"</f>
        <v>52561</v>
      </c>
      <c r="C34121" s="1">
        <v>2.2919013591848099E-6</v>
      </c>
      <c r="D34121" s="1">
        <v>3.0352053468177301E-6</v>
      </c>
      <c r="E34121" s="1">
        <v>0</v>
      </c>
      <c r="F34121" s="1">
        <v>2.2881580954088299E-6</v>
      </c>
    </row>
    <row r="34122" spans="1:6" x14ac:dyDescent="0.25">
      <c r="A34122" s="2" t="str">
        <f t="shared" si="1194"/>
        <v>99999</v>
      </c>
      <c r="B34122" s="2" t="str">
        <f>"52553"</f>
        <v>52553</v>
      </c>
      <c r="C34122" s="1">
        <v>1.0258987036351001E-5</v>
      </c>
      <c r="D34122" s="1">
        <v>2.2764040101133E-5</v>
      </c>
      <c r="E34122" s="1">
        <v>0</v>
      </c>
      <c r="F34122" s="1">
        <v>1.0843879669546099E-5</v>
      </c>
    </row>
    <row r="34123" spans="1:6" x14ac:dyDescent="0.25">
      <c r="A34123" s="2" t="str">
        <f t="shared" si="1194"/>
        <v>99999</v>
      </c>
      <c r="B34123" s="2" t="str">
        <f>"52576"</f>
        <v>52576</v>
      </c>
      <c r="C34123" s="1">
        <v>2.9467303189519E-5</v>
      </c>
      <c r="D34123" s="1">
        <v>1.3658424060679801E-5</v>
      </c>
      <c r="E34123" s="1">
        <v>8.69107991013423E-6</v>
      </c>
      <c r="F34123" s="1">
        <v>2.7955322817820898E-5</v>
      </c>
    </row>
    <row r="34124" spans="1:6" x14ac:dyDescent="0.25">
      <c r="A34124" s="2" t="str">
        <f t="shared" si="1194"/>
        <v>99999</v>
      </c>
      <c r="B34124" s="2" t="str">
        <f>"52551"</f>
        <v>52551</v>
      </c>
      <c r="C34124" s="1">
        <v>4.81299285428811E-5</v>
      </c>
      <c r="D34124" s="1">
        <v>1.8211232080906399E-5</v>
      </c>
      <c r="E34124" s="1">
        <v>2.60732397304027E-5</v>
      </c>
      <c r="F34124" s="1">
        <v>4.5663676773593601E-5</v>
      </c>
    </row>
    <row r="34125" spans="1:6" x14ac:dyDescent="0.25">
      <c r="A34125" s="2" t="str">
        <f t="shared" si="1194"/>
        <v>99999</v>
      </c>
      <c r="B34125" s="2" t="str">
        <f>"52501"</f>
        <v>52501</v>
      </c>
      <c r="C34125" s="1">
        <v>2.1827631992236301E-7</v>
      </c>
      <c r="D34125" s="1">
        <v>0</v>
      </c>
      <c r="E34125" s="1">
        <v>0</v>
      </c>
      <c r="F34125" s="1">
        <v>1.9897026916598501E-7</v>
      </c>
    </row>
    <row r="34126" spans="1:6" x14ac:dyDescent="0.25">
      <c r="A34126" s="2" t="str">
        <f t="shared" si="1194"/>
        <v>99999</v>
      </c>
      <c r="B34126" s="2" t="str">
        <f>"52542"</f>
        <v>52542</v>
      </c>
      <c r="C34126" s="1">
        <v>2.7066263670372999E-5</v>
      </c>
      <c r="D34126" s="1">
        <v>1.5176026734088599E-5</v>
      </c>
      <c r="E34126" s="1">
        <v>1.7382159820268399E-5</v>
      </c>
      <c r="F34126" s="1">
        <v>2.6065105260744001E-5</v>
      </c>
    </row>
    <row r="34127" spans="1:6" x14ac:dyDescent="0.25">
      <c r="A34127" s="2" t="str">
        <f t="shared" si="1194"/>
        <v>99999</v>
      </c>
      <c r="B34127" s="2" t="str">
        <f>"52166"</f>
        <v>52166</v>
      </c>
      <c r="C34127" s="1">
        <v>0</v>
      </c>
      <c r="D34127" s="1">
        <v>0</v>
      </c>
      <c r="E34127" s="1">
        <v>4.3455399550671099E-6</v>
      </c>
      <c r="F34127" s="1">
        <v>9.9485134582992598E-8</v>
      </c>
    </row>
    <row r="34128" spans="1:6" x14ac:dyDescent="0.25">
      <c r="A34128" s="2" t="str">
        <f t="shared" si="1194"/>
        <v>99999</v>
      </c>
      <c r="B34128" s="2" t="str">
        <f>"52071"</f>
        <v>52071</v>
      </c>
      <c r="C34128" s="1">
        <v>6.2208751177873496E-6</v>
      </c>
      <c r="D34128" s="1">
        <v>9.1056160404532095E-6</v>
      </c>
      <c r="E34128" s="1">
        <v>8.69107991013423E-6</v>
      </c>
      <c r="F34128" s="1">
        <v>6.4665337478945197E-6</v>
      </c>
    </row>
    <row r="34129" spans="1:6" x14ac:dyDescent="0.25">
      <c r="A34129" s="2" t="str">
        <f t="shared" si="1194"/>
        <v>99999</v>
      </c>
      <c r="B34129" s="2" t="str">
        <f>"52169"</f>
        <v>52169</v>
      </c>
      <c r="C34129" s="1">
        <v>1.9644868793012701E-5</v>
      </c>
      <c r="D34129" s="1">
        <v>0</v>
      </c>
      <c r="E34129" s="1">
        <v>4.3455399550671099E-6</v>
      </c>
      <c r="F34129" s="1">
        <v>1.8006809359521599E-5</v>
      </c>
    </row>
    <row r="34130" spans="1:6" x14ac:dyDescent="0.25">
      <c r="A34130" s="2" t="str">
        <f t="shared" ref="A34130:A34193" si="1195">"99999"</f>
        <v>99999</v>
      </c>
      <c r="B34130" s="2" t="str">
        <f>"52136"</f>
        <v>52136</v>
      </c>
      <c r="C34130" s="1">
        <v>3.1017065060967802E-4</v>
      </c>
      <c r="D34130" s="1">
        <v>4.0823511914698499E-4</v>
      </c>
      <c r="E34130" s="1">
        <v>2.9115117698949599E-4</v>
      </c>
      <c r="F34130" s="1">
        <v>3.1616375770475002E-4</v>
      </c>
    </row>
    <row r="34131" spans="1:6" x14ac:dyDescent="0.25">
      <c r="A34131" s="2" t="str">
        <f t="shared" si="1195"/>
        <v>99999</v>
      </c>
      <c r="B34131" s="2" t="str">
        <f>"52323"</f>
        <v>52323</v>
      </c>
      <c r="C34131" s="1">
        <v>1.6370723994177199E-6</v>
      </c>
      <c r="D34131" s="1">
        <v>0</v>
      </c>
      <c r="E34131" s="1">
        <v>0</v>
      </c>
      <c r="F34131" s="1">
        <v>1.4922770187448801E-6</v>
      </c>
    </row>
    <row r="34132" spans="1:6" x14ac:dyDescent="0.25">
      <c r="A34132" s="2" t="str">
        <f t="shared" si="1195"/>
        <v>99999</v>
      </c>
      <c r="B34132" s="2" t="str">
        <f>"52326"</f>
        <v>52326</v>
      </c>
      <c r="C34132" s="1">
        <v>3.09952374289756E-5</v>
      </c>
      <c r="D34132" s="1">
        <v>7.5880133670443404E-6</v>
      </c>
      <c r="E34132" s="1">
        <v>3.9109859595604001E-5</v>
      </c>
      <c r="F34132" s="1">
        <v>2.9646570105731799E-5</v>
      </c>
    </row>
    <row r="34133" spans="1:6" x14ac:dyDescent="0.25">
      <c r="A34133" s="2" t="str">
        <f t="shared" si="1195"/>
        <v>99999</v>
      </c>
      <c r="B34133" s="2" t="str">
        <f>"52333"</f>
        <v>52333</v>
      </c>
      <c r="C34133" s="1">
        <v>2.4010395191459898E-6</v>
      </c>
      <c r="D34133" s="1">
        <v>0</v>
      </c>
      <c r="E34133" s="1">
        <v>0</v>
      </c>
      <c r="F34133" s="1">
        <v>2.1886729608258301E-6</v>
      </c>
    </row>
    <row r="34134" spans="1:6" x14ac:dyDescent="0.25">
      <c r="A34134" s="2" t="str">
        <f t="shared" si="1195"/>
        <v>99999</v>
      </c>
      <c r="B34134" s="2" t="str">
        <f>"52335"</f>
        <v>52335</v>
      </c>
      <c r="C34134" s="1">
        <v>3.2414033508470899E-5</v>
      </c>
      <c r="D34134" s="1">
        <v>7.5880133670443404E-6</v>
      </c>
      <c r="E34134" s="1">
        <v>1.3036619865201299E-5</v>
      </c>
      <c r="F34134" s="1">
        <v>3.03429660478127E-5</v>
      </c>
    </row>
    <row r="34135" spans="1:6" x14ac:dyDescent="0.25">
      <c r="A34135" s="2" t="str">
        <f t="shared" si="1195"/>
        <v>99999</v>
      </c>
      <c r="B34135" s="2" t="str">
        <f>"52038"</f>
        <v>52038</v>
      </c>
      <c r="C34135" s="1">
        <v>2.30281517518093E-5</v>
      </c>
      <c r="D34135" s="1">
        <v>1.51760267340886E-6</v>
      </c>
      <c r="E34135" s="1">
        <v>1.3036619865201299E-5</v>
      </c>
      <c r="F34135" s="1">
        <v>2.13893039353434E-5</v>
      </c>
    </row>
    <row r="34136" spans="1:6" x14ac:dyDescent="0.25">
      <c r="A34136" s="2" t="str">
        <f t="shared" si="1195"/>
        <v>99999</v>
      </c>
      <c r="B34136" s="2" t="str">
        <f>"52054"</f>
        <v>52054</v>
      </c>
      <c r="C34136" s="1">
        <v>4.0162842865714797E-5</v>
      </c>
      <c r="D34136" s="1">
        <v>3.3387258814995101E-5</v>
      </c>
      <c r="E34136" s="1">
        <v>1.7382159820268399E-5</v>
      </c>
      <c r="F34136" s="1">
        <v>3.9197143025699002E-5</v>
      </c>
    </row>
    <row r="34137" spans="1:6" x14ac:dyDescent="0.25">
      <c r="A34137" s="2" t="str">
        <f t="shared" si="1195"/>
        <v>99999</v>
      </c>
      <c r="B34137" s="2" t="str">
        <f>"52049"</f>
        <v>52049</v>
      </c>
      <c r="C34137" s="1">
        <v>8.0107409411507298E-5</v>
      </c>
      <c r="D34137" s="1">
        <v>5.0080888222492601E-5</v>
      </c>
      <c r="E34137" s="1">
        <v>5.21464794608054E-5</v>
      </c>
      <c r="F34137" s="1">
        <v>7.7498919840151201E-5</v>
      </c>
    </row>
    <row r="34138" spans="1:6" x14ac:dyDescent="0.25">
      <c r="A34138" s="2" t="str">
        <f t="shared" si="1195"/>
        <v>99999</v>
      </c>
      <c r="B34138" s="2" t="str">
        <f>"52048"</f>
        <v>52048</v>
      </c>
      <c r="C34138" s="1">
        <v>1.9099177993206801E-5</v>
      </c>
      <c r="D34138" s="1">
        <v>1.3658424060679801E-5</v>
      </c>
      <c r="E34138" s="1">
        <v>0</v>
      </c>
      <c r="F34138" s="1">
        <v>1.8305264763270602E-5</v>
      </c>
    </row>
    <row r="34139" spans="1:6" x14ac:dyDescent="0.25">
      <c r="A34139" s="2" t="str">
        <f t="shared" si="1195"/>
        <v>99999</v>
      </c>
      <c r="B34139" s="2" t="str">
        <f>"52040"</f>
        <v>52040</v>
      </c>
      <c r="C34139" s="1">
        <v>3.6124730947151102E-5</v>
      </c>
      <c r="D34139" s="1">
        <v>4.8563285549083798E-5</v>
      </c>
      <c r="E34139" s="1">
        <v>1.7382159820268399E-5</v>
      </c>
      <c r="F34139" s="1">
        <v>3.6511044391958198E-5</v>
      </c>
    </row>
    <row r="34140" spans="1:6" x14ac:dyDescent="0.25">
      <c r="A34140" s="2" t="str">
        <f t="shared" si="1195"/>
        <v>99999</v>
      </c>
      <c r="B34140" s="2" t="str">
        <f>"52032"</f>
        <v>52032</v>
      </c>
      <c r="C34140" s="1">
        <v>4.3655263984472602E-5</v>
      </c>
      <c r="D34140" s="1">
        <v>3.0352053468177301E-6</v>
      </c>
      <c r="E34140" s="1">
        <v>0</v>
      </c>
      <c r="F34140" s="1">
        <v>3.9993024102362997E-5</v>
      </c>
    </row>
    <row r="34141" spans="1:6" x14ac:dyDescent="0.25">
      <c r="A34141" s="2" t="str">
        <f t="shared" si="1195"/>
        <v>99999</v>
      </c>
      <c r="B34141" s="2" t="str">
        <f>"51019"</f>
        <v>51019</v>
      </c>
      <c r="C34141" s="1">
        <v>5.4569079980590803E-6</v>
      </c>
      <c r="D34141" s="1">
        <v>0</v>
      </c>
      <c r="E34141" s="1">
        <v>0</v>
      </c>
      <c r="F34141" s="1">
        <v>4.9742567291496301E-6</v>
      </c>
    </row>
    <row r="34142" spans="1:6" x14ac:dyDescent="0.25">
      <c r="A34142" s="2" t="str">
        <f t="shared" si="1195"/>
        <v>99999</v>
      </c>
      <c r="B34142" s="2" t="str">
        <f>"51034"</f>
        <v>51034</v>
      </c>
      <c r="C34142" s="1">
        <v>1.0084365980413101E-4</v>
      </c>
      <c r="D34142" s="1">
        <v>1.8666512882929001E-4</v>
      </c>
      <c r="E34142" s="1">
        <v>1.6513051829255E-4</v>
      </c>
      <c r="F34142" s="1">
        <v>1.07941371022547E-4</v>
      </c>
    </row>
    <row r="34143" spans="1:6" x14ac:dyDescent="0.25">
      <c r="A34143" s="2" t="str">
        <f t="shared" si="1195"/>
        <v>99999</v>
      </c>
      <c r="B34143" s="2" t="str">
        <f>"51029"</f>
        <v>51029</v>
      </c>
      <c r="C34143" s="1">
        <v>1.5279342394565399E-5</v>
      </c>
      <c r="D34143" s="1">
        <v>9.1056160404532095E-6</v>
      </c>
      <c r="E34143" s="1">
        <v>4.3455399550671099E-6</v>
      </c>
      <c r="F34143" s="1">
        <v>1.4624314783699901E-5</v>
      </c>
    </row>
    <row r="34144" spans="1:6" x14ac:dyDescent="0.25">
      <c r="A34144" s="2" t="str">
        <f t="shared" si="1195"/>
        <v>99999</v>
      </c>
      <c r="B34144" s="2" t="str">
        <f>"51001"</f>
        <v>51001</v>
      </c>
      <c r="C34144" s="1">
        <v>1.34567351232137E-4</v>
      </c>
      <c r="D34144" s="1">
        <v>8.4985749710896595E-5</v>
      </c>
      <c r="E34144" s="1">
        <v>1.21675118741879E-4</v>
      </c>
      <c r="F34144" s="1">
        <v>1.3102192224580101E-4</v>
      </c>
    </row>
    <row r="34145" spans="1:6" x14ac:dyDescent="0.25">
      <c r="A34145" s="2" t="str">
        <f t="shared" si="1195"/>
        <v>99999</v>
      </c>
      <c r="B34145" s="2" t="str">
        <f>"51572"</f>
        <v>51572</v>
      </c>
      <c r="C34145" s="1">
        <v>2.5320053110994099E-5</v>
      </c>
      <c r="D34145" s="1">
        <v>4.5528080202265997E-6</v>
      </c>
      <c r="E34145" s="1">
        <v>1.3036619865201299E-5</v>
      </c>
      <c r="F34145" s="1">
        <v>2.36774620307522E-5</v>
      </c>
    </row>
    <row r="34146" spans="1:6" x14ac:dyDescent="0.25">
      <c r="A34146" s="2" t="str">
        <f t="shared" si="1195"/>
        <v>99999</v>
      </c>
      <c r="B34146" s="2" t="str">
        <f>"51570"</f>
        <v>51570</v>
      </c>
      <c r="C34146" s="1">
        <v>4.6165441663579803E-5</v>
      </c>
      <c r="D34146" s="1">
        <v>1.9728834754315301E-5</v>
      </c>
      <c r="E34146" s="1">
        <v>6.0837559370939603E-5</v>
      </c>
      <c r="F34146" s="1">
        <v>4.47683105623466E-5</v>
      </c>
    </row>
    <row r="34147" spans="1:6" x14ac:dyDescent="0.25">
      <c r="A34147" s="2" t="str">
        <f t="shared" si="1195"/>
        <v>99999</v>
      </c>
      <c r="B34147" s="2" t="str">
        <f>"51443"</f>
        <v>51443</v>
      </c>
      <c r="C34147" s="1">
        <v>3.2741447988354498E-7</v>
      </c>
      <c r="D34147" s="1">
        <v>0</v>
      </c>
      <c r="E34147" s="1">
        <v>0</v>
      </c>
      <c r="F34147" s="1">
        <v>2.9845540374897701E-7</v>
      </c>
    </row>
    <row r="34148" spans="1:6" x14ac:dyDescent="0.25">
      <c r="A34148" s="2" t="str">
        <f t="shared" si="1195"/>
        <v>99999</v>
      </c>
      <c r="B34148" s="2" t="str">
        <f>"51441"</f>
        <v>51441</v>
      </c>
      <c r="C34148" s="1">
        <v>2.0190559592818601E-5</v>
      </c>
      <c r="D34148" s="1">
        <v>0</v>
      </c>
      <c r="E34148" s="1">
        <v>1.7382159820268399E-5</v>
      </c>
      <c r="F34148" s="1">
        <v>1.8802690436185601E-5</v>
      </c>
    </row>
    <row r="34149" spans="1:6" x14ac:dyDescent="0.25">
      <c r="A34149" s="2" t="str">
        <f t="shared" si="1195"/>
        <v>99999</v>
      </c>
      <c r="B34149" s="2" t="str">
        <f>"51432"</f>
        <v>51432</v>
      </c>
      <c r="C34149" s="1">
        <v>2.9467303189519E-6</v>
      </c>
      <c r="D34149" s="1">
        <v>1.51760267340886E-6</v>
      </c>
      <c r="E34149" s="1">
        <v>4.3455399550671099E-6</v>
      </c>
      <c r="F34149" s="1">
        <v>2.8850689029067799E-6</v>
      </c>
    </row>
    <row r="34150" spans="1:6" x14ac:dyDescent="0.25">
      <c r="A34150" s="2" t="str">
        <f t="shared" si="1195"/>
        <v>99999</v>
      </c>
      <c r="B34150" s="2" t="str">
        <f>"51446"</f>
        <v>51446</v>
      </c>
      <c r="C34150" s="1">
        <v>3.1213513748897903E-5</v>
      </c>
      <c r="D34150" s="1">
        <v>9.1056160404532095E-6</v>
      </c>
      <c r="E34150" s="1">
        <v>2.1727699775335501E-5</v>
      </c>
      <c r="F34150" s="1">
        <v>2.95470849711488E-5</v>
      </c>
    </row>
    <row r="34151" spans="1:6" x14ac:dyDescent="0.25">
      <c r="A34151" s="2" t="str">
        <f t="shared" si="1195"/>
        <v>99999</v>
      </c>
      <c r="B34151" s="2" t="str">
        <f>"51436"</f>
        <v>51436</v>
      </c>
      <c r="C34151" s="1">
        <v>6.1117369578261701E-6</v>
      </c>
      <c r="D34151" s="1">
        <v>1.51760267340886E-6</v>
      </c>
      <c r="E34151" s="1">
        <v>0</v>
      </c>
      <c r="F34151" s="1">
        <v>5.6706526712305799E-6</v>
      </c>
    </row>
    <row r="34152" spans="1:6" x14ac:dyDescent="0.25">
      <c r="A34152" s="2" t="str">
        <f t="shared" si="1195"/>
        <v>99999</v>
      </c>
      <c r="B34152" s="2" t="str">
        <f>"50839"</f>
        <v>50839</v>
      </c>
      <c r="C34152" s="1">
        <v>2.6193158390683598E-6</v>
      </c>
      <c r="D34152" s="1">
        <v>1.51760267340886E-6</v>
      </c>
      <c r="E34152" s="1">
        <v>4.3455399550671099E-6</v>
      </c>
      <c r="F34152" s="1">
        <v>2.5866134991578E-6</v>
      </c>
    </row>
    <row r="34153" spans="1:6" x14ac:dyDescent="0.25">
      <c r="A34153" s="2" t="str">
        <f t="shared" si="1195"/>
        <v>99999</v>
      </c>
      <c r="B34153" s="2" t="str">
        <f>"51350"</f>
        <v>51350</v>
      </c>
      <c r="C34153" s="1">
        <v>2.5756605750838801E-5</v>
      </c>
      <c r="D34153" s="1">
        <v>4.5528080202265997E-6</v>
      </c>
      <c r="E34153" s="1">
        <v>4.3455399550671099E-6</v>
      </c>
      <c r="F34153" s="1">
        <v>2.38764322999182E-5</v>
      </c>
    </row>
    <row r="34154" spans="1:6" x14ac:dyDescent="0.25">
      <c r="A34154" s="2" t="str">
        <f t="shared" si="1195"/>
        <v>99999</v>
      </c>
      <c r="B34154" s="2" t="str">
        <f>"51358"</f>
        <v>51358</v>
      </c>
      <c r="C34154" s="1">
        <v>6.7556521015971403E-5</v>
      </c>
      <c r="D34154" s="1">
        <v>9.1056160404532095E-6</v>
      </c>
      <c r="E34154" s="1">
        <v>3.9109859595604001E-5</v>
      </c>
      <c r="F34154" s="1">
        <v>6.3073575325617304E-5</v>
      </c>
    </row>
    <row r="34155" spans="1:6" x14ac:dyDescent="0.25">
      <c r="A34155" s="2" t="str">
        <f t="shared" si="1195"/>
        <v>99999</v>
      </c>
      <c r="B34155" s="2" t="str">
        <f>"51246"</f>
        <v>51246</v>
      </c>
      <c r="C34155" s="1">
        <v>1.8357038505470701E-4</v>
      </c>
      <c r="D34155" s="1">
        <v>2.9593252131472901E-4</v>
      </c>
      <c r="E34155" s="1">
        <v>1.8685821806788599E-4</v>
      </c>
      <c r="F34155" s="1">
        <v>1.91011458399345E-4</v>
      </c>
    </row>
    <row r="34156" spans="1:6" x14ac:dyDescent="0.25">
      <c r="A34156" s="2" t="str">
        <f t="shared" si="1195"/>
        <v>99999</v>
      </c>
      <c r="B34156" s="2" t="str">
        <f>"51243"</f>
        <v>51243</v>
      </c>
      <c r="C34156" s="1">
        <v>4.0162842865714797E-5</v>
      </c>
      <c r="D34156" s="1">
        <v>1.0623218713862E-5</v>
      </c>
      <c r="E34156" s="1">
        <v>8.69107991013423E-6</v>
      </c>
      <c r="F34156" s="1">
        <v>3.7505895737788197E-5</v>
      </c>
    </row>
    <row r="34157" spans="1:6" x14ac:dyDescent="0.25">
      <c r="A34157" s="2" t="str">
        <f t="shared" si="1195"/>
        <v>99999</v>
      </c>
      <c r="B34157" s="2" t="str">
        <f>"50651"</f>
        <v>50651</v>
      </c>
      <c r="C34157" s="1">
        <v>9.8224343965063504E-7</v>
      </c>
      <c r="D34157" s="1">
        <v>1.51760267340886E-6</v>
      </c>
      <c r="E34157" s="1">
        <v>0</v>
      </c>
      <c r="F34157" s="1">
        <v>9.9485134582992606E-7</v>
      </c>
    </row>
    <row r="34158" spans="1:6" x14ac:dyDescent="0.25">
      <c r="A34158" s="2" t="str">
        <f t="shared" si="1195"/>
        <v>99999</v>
      </c>
      <c r="B34158" s="2" t="str">
        <f>"50669"</f>
        <v>50669</v>
      </c>
      <c r="C34158" s="1">
        <v>1.04772633562734E-5</v>
      </c>
      <c r="D34158" s="1">
        <v>9.1056160404532095E-6</v>
      </c>
      <c r="E34158" s="1">
        <v>0</v>
      </c>
      <c r="F34158" s="1">
        <v>1.01474837274652E-5</v>
      </c>
    </row>
    <row r="34159" spans="1:6" x14ac:dyDescent="0.25">
      <c r="A34159" s="2" t="str">
        <f t="shared" si="1195"/>
        <v>99999</v>
      </c>
      <c r="B34159" s="2" t="str">
        <f>"50648"</f>
        <v>50648</v>
      </c>
      <c r="C34159" s="1">
        <v>1.6152447674254799E-4</v>
      </c>
      <c r="D34159" s="1">
        <v>7.1327325650216798E-5</v>
      </c>
      <c r="E34159" s="1">
        <v>2.6507793725909402E-4</v>
      </c>
      <c r="F34159" s="1">
        <v>1.5798239371779199E-4</v>
      </c>
    </row>
    <row r="34160" spans="1:6" x14ac:dyDescent="0.25">
      <c r="A34160" s="2" t="str">
        <f t="shared" si="1195"/>
        <v>99999</v>
      </c>
      <c r="B34160" s="2" t="str">
        <f>"50641"</f>
        <v>50641</v>
      </c>
      <c r="C34160" s="1">
        <v>8.2945001570498098E-5</v>
      </c>
      <c r="D34160" s="1">
        <v>5.9186504262945899E-5</v>
      </c>
      <c r="E34160" s="1">
        <v>8.69107991013423E-5</v>
      </c>
      <c r="F34160" s="1">
        <v>8.1478325223470897E-5</v>
      </c>
    </row>
    <row r="34161" spans="1:6" x14ac:dyDescent="0.25">
      <c r="A34161" s="2" t="str">
        <f t="shared" si="1195"/>
        <v>99999</v>
      </c>
      <c r="B34161" s="2" t="str">
        <f>"50627"</f>
        <v>50627</v>
      </c>
      <c r="C34161" s="1">
        <v>1.7985968761602701E-4</v>
      </c>
      <c r="D34161" s="1">
        <v>2.9593252131472901E-4</v>
      </c>
      <c r="E34161" s="1">
        <v>2.0424037788815399E-4</v>
      </c>
      <c r="F34161" s="1">
        <v>1.8802690436185601E-4</v>
      </c>
    </row>
    <row r="34162" spans="1:6" x14ac:dyDescent="0.25">
      <c r="A34162" s="2" t="str">
        <f t="shared" si="1195"/>
        <v>99999</v>
      </c>
      <c r="B34162" s="2" t="str">
        <f>"50525"</f>
        <v>50525</v>
      </c>
      <c r="C34162" s="1">
        <v>1.99068003769195E-4</v>
      </c>
      <c r="D34162" s="1">
        <v>3.5360142290426601E-4</v>
      </c>
      <c r="E34162" s="1">
        <v>3.0853333680976502E-4</v>
      </c>
      <c r="F34162" s="1">
        <v>2.1170436639260799E-4</v>
      </c>
    </row>
    <row r="34163" spans="1:6" x14ac:dyDescent="0.25">
      <c r="A34163" s="2" t="str">
        <f t="shared" si="1195"/>
        <v>99999</v>
      </c>
      <c r="B34163" s="2" t="str">
        <f>"50483"</f>
        <v>50483</v>
      </c>
      <c r="C34163" s="1">
        <v>3.9944566545792501E-5</v>
      </c>
      <c r="D34163" s="1">
        <v>7.5880133670443404E-6</v>
      </c>
      <c r="E34163" s="1">
        <v>3.0418779685469802E-5</v>
      </c>
      <c r="F34163" s="1">
        <v>3.7605380872371202E-5</v>
      </c>
    </row>
    <row r="34164" spans="1:6" x14ac:dyDescent="0.25">
      <c r="A34164" s="2" t="str">
        <f t="shared" si="1195"/>
        <v>99999</v>
      </c>
      <c r="B34164" s="2" t="str">
        <f>"50475"</f>
        <v>50475</v>
      </c>
      <c r="C34164" s="1">
        <v>8.0653100211313303E-5</v>
      </c>
      <c r="D34164" s="1">
        <v>2.2764040101133E-5</v>
      </c>
      <c r="E34164" s="1">
        <v>5.21464794608054E-5</v>
      </c>
      <c r="F34164" s="1">
        <v>7.6205613090572294E-5</v>
      </c>
    </row>
    <row r="34165" spans="1:6" x14ac:dyDescent="0.25">
      <c r="A34165" s="2" t="str">
        <f t="shared" si="1195"/>
        <v>99999</v>
      </c>
      <c r="B34165" s="2" t="str">
        <f>"50566"</f>
        <v>50566</v>
      </c>
      <c r="C34165" s="1">
        <v>1.09138159961181E-7</v>
      </c>
      <c r="D34165" s="1">
        <v>0</v>
      </c>
      <c r="E34165" s="1">
        <v>0</v>
      </c>
      <c r="F34165" s="1">
        <v>9.9485134582992598E-8</v>
      </c>
    </row>
    <row r="34166" spans="1:6" x14ac:dyDescent="0.25">
      <c r="A34166" s="2" t="str">
        <f t="shared" si="1195"/>
        <v>99999</v>
      </c>
      <c r="B34166" s="2" t="str">
        <f>"50609"</f>
        <v>50609</v>
      </c>
      <c r="C34166" s="1">
        <v>6.5482895976708995E-7</v>
      </c>
      <c r="D34166" s="1">
        <v>0</v>
      </c>
      <c r="E34166" s="1">
        <v>0</v>
      </c>
      <c r="F34166" s="1">
        <v>5.9691080749795498E-7</v>
      </c>
    </row>
    <row r="34167" spans="1:6" x14ac:dyDescent="0.25">
      <c r="A34167" s="2" t="str">
        <f t="shared" si="1195"/>
        <v>99999</v>
      </c>
      <c r="B34167" s="2" t="str">
        <f>"50605"</f>
        <v>50605</v>
      </c>
      <c r="C34167" s="1">
        <v>9.4950199166228093E-6</v>
      </c>
      <c r="D34167" s="1">
        <v>7.5880133670443404E-6</v>
      </c>
      <c r="E34167" s="1">
        <v>4.3455399550671099E-6</v>
      </c>
      <c r="F34167" s="1">
        <v>9.2521175162183095E-6</v>
      </c>
    </row>
    <row r="34168" spans="1:6" x14ac:dyDescent="0.25">
      <c r="A34168" s="2" t="str">
        <f t="shared" si="1195"/>
        <v>99999</v>
      </c>
      <c r="B34168" s="2" t="str">
        <f>"50602"</f>
        <v>50602</v>
      </c>
      <c r="C34168" s="1">
        <v>8.1744481810925096E-5</v>
      </c>
      <c r="D34168" s="1">
        <v>3.3387258814995101E-5</v>
      </c>
      <c r="E34168" s="1">
        <v>3.9109859595604001E-5</v>
      </c>
      <c r="F34168" s="1">
        <v>7.7598404974734206E-5</v>
      </c>
    </row>
    <row r="34169" spans="1:6" x14ac:dyDescent="0.25">
      <c r="A34169" s="2" t="str">
        <f t="shared" si="1195"/>
        <v>99999</v>
      </c>
      <c r="B34169" s="2" t="str">
        <f>"50597"</f>
        <v>50597</v>
      </c>
      <c r="C34169" s="1">
        <v>7.6287573812865994E-5</v>
      </c>
      <c r="D34169" s="1">
        <v>1.27478624566345E-4</v>
      </c>
      <c r="E34169" s="1">
        <v>7.3874179236140894E-5</v>
      </c>
      <c r="F34169" s="1">
        <v>7.9588107666394095E-5</v>
      </c>
    </row>
    <row r="34170" spans="1:6" x14ac:dyDescent="0.25">
      <c r="A34170" s="2" t="str">
        <f t="shared" si="1195"/>
        <v>99999</v>
      </c>
      <c r="B34170" s="2" t="str">
        <f>"50595"</f>
        <v>50595</v>
      </c>
      <c r="C34170" s="1">
        <v>4.8042618014912202E-4</v>
      </c>
      <c r="D34170" s="1">
        <v>6.4042832817854203E-4</v>
      </c>
      <c r="E34170" s="1">
        <v>8.1696151155261705E-4</v>
      </c>
      <c r="F34170" s="1">
        <v>4.9861949452995903E-4</v>
      </c>
    </row>
    <row r="34171" spans="1:6" x14ac:dyDescent="0.25">
      <c r="A34171" s="2" t="str">
        <f t="shared" si="1195"/>
        <v>99999</v>
      </c>
      <c r="B34171" s="2" t="str">
        <f>"50583"</f>
        <v>50583</v>
      </c>
      <c r="C34171" s="1">
        <v>1.6207016754235401E-4</v>
      </c>
      <c r="D34171" s="1">
        <v>3.4753101221063099E-4</v>
      </c>
      <c r="E34171" s="1">
        <v>2.6073239730402698E-4</v>
      </c>
      <c r="F34171" s="1">
        <v>1.7648662875022799E-4</v>
      </c>
    </row>
    <row r="34172" spans="1:6" x14ac:dyDescent="0.25">
      <c r="A34172" s="2" t="str">
        <f t="shared" si="1195"/>
        <v>99999</v>
      </c>
      <c r="B34172" s="2" t="str">
        <f>"50571"</f>
        <v>50571</v>
      </c>
      <c r="C34172" s="1">
        <v>1.49519279146818E-5</v>
      </c>
      <c r="D34172" s="1">
        <v>4.5528080202265997E-6</v>
      </c>
      <c r="E34172" s="1">
        <v>4.3455399550671099E-6</v>
      </c>
      <c r="F34172" s="1">
        <v>1.4027403976201899E-5</v>
      </c>
    </row>
    <row r="34173" spans="1:6" x14ac:dyDescent="0.25">
      <c r="A34173" s="2" t="str">
        <f t="shared" si="1195"/>
        <v>99999</v>
      </c>
      <c r="B34173" s="2" t="str">
        <f>"50539"</f>
        <v>50539</v>
      </c>
      <c r="C34173" s="1">
        <v>2.9358165029557801E-5</v>
      </c>
      <c r="D34173" s="1">
        <v>1.3658424060679801E-5</v>
      </c>
      <c r="E34173" s="1">
        <v>4.3455399550671099E-6</v>
      </c>
      <c r="F34173" s="1">
        <v>2.7756352548654901E-5</v>
      </c>
    </row>
    <row r="34174" spans="1:6" x14ac:dyDescent="0.25">
      <c r="A34174" s="2" t="str">
        <f t="shared" si="1195"/>
        <v>99999</v>
      </c>
      <c r="B34174" s="2" t="str">
        <f>"50446"</f>
        <v>50446</v>
      </c>
      <c r="C34174" s="1">
        <v>2.4010395191459898E-6</v>
      </c>
      <c r="D34174" s="1">
        <v>0</v>
      </c>
      <c r="E34174" s="1">
        <v>0</v>
      </c>
      <c r="F34174" s="1">
        <v>2.1886729608258301E-6</v>
      </c>
    </row>
    <row r="34175" spans="1:6" x14ac:dyDescent="0.25">
      <c r="A34175" s="2" t="str">
        <f t="shared" si="1195"/>
        <v>99999</v>
      </c>
      <c r="B34175" s="2" t="str">
        <f>"50457"</f>
        <v>50457</v>
      </c>
      <c r="C34175" s="1">
        <v>2.9467303189519E-6</v>
      </c>
      <c r="D34175" s="1">
        <v>0</v>
      </c>
      <c r="E34175" s="1">
        <v>0</v>
      </c>
      <c r="F34175" s="1">
        <v>2.6860986337408002E-6</v>
      </c>
    </row>
    <row r="34176" spans="1:6" x14ac:dyDescent="0.25">
      <c r="A34176" s="2" t="str">
        <f t="shared" si="1195"/>
        <v>99999</v>
      </c>
      <c r="B34176" s="2" t="str">
        <f>"50450"</f>
        <v>50450</v>
      </c>
      <c r="C34176" s="1">
        <v>1.4853703570716801E-4</v>
      </c>
      <c r="D34176" s="1">
        <v>2.2005238764428599E-4</v>
      </c>
      <c r="E34176" s="1">
        <v>3.0853333680976502E-4</v>
      </c>
      <c r="F34176" s="1">
        <v>1.56888057237379E-4</v>
      </c>
    </row>
    <row r="34177" spans="1:6" x14ac:dyDescent="0.25">
      <c r="A34177" s="2" t="str">
        <f t="shared" si="1195"/>
        <v>99999</v>
      </c>
      <c r="B34177" s="2" t="str">
        <f>"50439"</f>
        <v>50439</v>
      </c>
      <c r="C34177" s="1">
        <v>1.57158950344101E-5</v>
      </c>
      <c r="D34177" s="1">
        <v>9.1056160404532095E-6</v>
      </c>
      <c r="E34177" s="1">
        <v>4.3455399550671099E-6</v>
      </c>
      <c r="F34177" s="1">
        <v>1.50222553220318E-5</v>
      </c>
    </row>
    <row r="34178" spans="1:6" x14ac:dyDescent="0.25">
      <c r="A34178" s="2" t="str">
        <f t="shared" si="1195"/>
        <v>99999</v>
      </c>
      <c r="B34178" s="2" t="str">
        <f>"50430"</f>
        <v>50430</v>
      </c>
      <c r="C34178" s="1">
        <v>3.1213513748897903E-5</v>
      </c>
      <c r="D34178" s="1">
        <v>1.0623218713862E-5</v>
      </c>
      <c r="E34178" s="1">
        <v>8.69107991013423E-6</v>
      </c>
      <c r="F34178" s="1">
        <v>2.93481147019828E-5</v>
      </c>
    </row>
    <row r="34179" spans="1:6" x14ac:dyDescent="0.25">
      <c r="A34179" s="2" t="str">
        <f t="shared" si="1195"/>
        <v>99999</v>
      </c>
      <c r="B34179" s="2" t="str">
        <f>"50059"</f>
        <v>50059</v>
      </c>
      <c r="C34179" s="1">
        <v>1.52793423945654E-6</v>
      </c>
      <c r="D34179" s="1">
        <v>1.5176026734088599E-5</v>
      </c>
      <c r="E34179" s="1">
        <v>1.7382159820268399E-5</v>
      </c>
      <c r="F34179" s="1">
        <v>2.7855837683237898E-6</v>
      </c>
    </row>
    <row r="34180" spans="1:6" x14ac:dyDescent="0.25">
      <c r="A34180" s="2" t="str">
        <f t="shared" si="1195"/>
        <v>99999</v>
      </c>
      <c r="B34180" s="2" t="str">
        <f>"50029"</f>
        <v>50029</v>
      </c>
      <c r="C34180" s="1">
        <v>3.2741447988354498E-7</v>
      </c>
      <c r="D34180" s="1">
        <v>0</v>
      </c>
      <c r="E34180" s="1">
        <v>0</v>
      </c>
      <c r="F34180" s="1">
        <v>2.9845540374897701E-7</v>
      </c>
    </row>
    <row r="34181" spans="1:6" x14ac:dyDescent="0.25">
      <c r="A34181" s="2" t="str">
        <f t="shared" si="1195"/>
        <v>99999</v>
      </c>
      <c r="B34181" s="2" t="str">
        <f>"50058"</f>
        <v>50058</v>
      </c>
      <c r="C34181" s="1">
        <v>6.3300132777485401E-6</v>
      </c>
      <c r="D34181" s="1">
        <v>3.0352053468177301E-6</v>
      </c>
      <c r="E34181" s="1">
        <v>0</v>
      </c>
      <c r="F34181" s="1">
        <v>5.96910807497955E-6</v>
      </c>
    </row>
    <row r="34182" spans="1:6" x14ac:dyDescent="0.25">
      <c r="A34182" s="2" t="str">
        <f t="shared" si="1195"/>
        <v>99999</v>
      </c>
      <c r="B34182" s="2" t="str">
        <f>"50048"</f>
        <v>50048</v>
      </c>
      <c r="C34182" s="1">
        <v>1.1459506795924E-5</v>
      </c>
      <c r="D34182" s="1">
        <v>3.0352053468177301E-6</v>
      </c>
      <c r="E34182" s="1">
        <v>0</v>
      </c>
      <c r="F34182" s="1">
        <v>1.0644909400380201E-5</v>
      </c>
    </row>
    <row r="34183" spans="1:6" x14ac:dyDescent="0.25">
      <c r="A34183" s="2" t="str">
        <f t="shared" si="1195"/>
        <v>99999</v>
      </c>
      <c r="B34183" s="2" t="str">
        <f>"50049"</f>
        <v>50049</v>
      </c>
      <c r="C34183" s="1">
        <v>3.5415332907403398E-4</v>
      </c>
      <c r="D34183" s="1">
        <v>4.37069569941754E-4</v>
      </c>
      <c r="E34183" s="1">
        <v>5.5188357429352298E-4</v>
      </c>
      <c r="F34183" s="1">
        <v>3.6411559257375301E-4</v>
      </c>
    </row>
    <row r="34184" spans="1:6" x14ac:dyDescent="0.25">
      <c r="A34184" s="2" t="str">
        <f t="shared" si="1195"/>
        <v>99999</v>
      </c>
      <c r="B34184" s="2" t="str">
        <f>"50222"</f>
        <v>50222</v>
      </c>
      <c r="C34184" s="1">
        <v>3.2741447988354498E-7</v>
      </c>
      <c r="D34184" s="1">
        <v>0</v>
      </c>
      <c r="E34184" s="1">
        <v>0</v>
      </c>
      <c r="F34184" s="1">
        <v>2.9845540374897701E-7</v>
      </c>
    </row>
    <row r="34185" spans="1:6" x14ac:dyDescent="0.25">
      <c r="A34185" s="2" t="str">
        <f t="shared" si="1195"/>
        <v>99999</v>
      </c>
      <c r="B34185" s="2" t="str">
        <f>"50133"</f>
        <v>50133</v>
      </c>
      <c r="C34185" s="1">
        <v>3.1650066388742699E-5</v>
      </c>
      <c r="D34185" s="1">
        <v>1.51760267340886E-6</v>
      </c>
      <c r="E34185" s="1">
        <v>1.3036619865201299E-5</v>
      </c>
      <c r="F34185" s="1">
        <v>2.9248629567399801E-5</v>
      </c>
    </row>
    <row r="34186" spans="1:6" x14ac:dyDescent="0.25">
      <c r="A34186" s="2" t="str">
        <f t="shared" si="1195"/>
        <v>99999</v>
      </c>
      <c r="B34186" s="2" t="str">
        <f>"50132"</f>
        <v>50132</v>
      </c>
      <c r="C34186" s="1">
        <v>2.1063664872508E-5</v>
      </c>
      <c r="D34186" s="1">
        <v>4.5528080202265997E-6</v>
      </c>
      <c r="E34186" s="1">
        <v>8.69107991013423E-6</v>
      </c>
      <c r="F34186" s="1">
        <v>1.96980566474325E-5</v>
      </c>
    </row>
    <row r="34187" spans="1:6" x14ac:dyDescent="0.25">
      <c r="A34187" s="2" t="str">
        <f t="shared" si="1195"/>
        <v>99999</v>
      </c>
      <c r="B34187" s="2" t="str">
        <f>"29945"</f>
        <v>29945</v>
      </c>
      <c r="C34187" s="1">
        <v>1.5224773314584801E-4</v>
      </c>
      <c r="D34187" s="1">
        <v>5.7668901589537E-5</v>
      </c>
      <c r="E34187" s="1">
        <v>1.3036619865201299E-5</v>
      </c>
      <c r="F34187" s="1">
        <v>1.42860653261177E-4</v>
      </c>
    </row>
    <row r="34188" spans="1:6" x14ac:dyDescent="0.25">
      <c r="A34188" s="2" t="str">
        <f t="shared" si="1195"/>
        <v>99999</v>
      </c>
      <c r="B34188" s="2" t="str">
        <f>"50122"</f>
        <v>50122</v>
      </c>
      <c r="C34188" s="1">
        <v>7.4104810613642393E-5</v>
      </c>
      <c r="D34188" s="1">
        <v>1.3658424060679801E-5</v>
      </c>
      <c r="E34188" s="1">
        <v>2.1727699775335501E-5</v>
      </c>
      <c r="F34188" s="1">
        <v>6.8943198266013803E-5</v>
      </c>
    </row>
    <row r="34189" spans="1:6" x14ac:dyDescent="0.25">
      <c r="A34189" s="2" t="str">
        <f t="shared" si="1195"/>
        <v>99999</v>
      </c>
      <c r="B34189" s="2" t="str">
        <f>"50071"</f>
        <v>50071</v>
      </c>
      <c r="C34189" s="1">
        <v>6.2863580137640602E-5</v>
      </c>
      <c r="D34189" s="1">
        <v>2.88344507947685E-5</v>
      </c>
      <c r="E34189" s="1">
        <v>3.47643196405369E-5</v>
      </c>
      <c r="F34189" s="1">
        <v>5.9989536153544499E-5</v>
      </c>
    </row>
    <row r="34190" spans="1:6" x14ac:dyDescent="0.25">
      <c r="A34190" s="2" t="str">
        <f t="shared" si="1195"/>
        <v>99999</v>
      </c>
      <c r="B34190" s="2" t="str">
        <f>"50068"</f>
        <v>50068</v>
      </c>
      <c r="C34190" s="1">
        <v>1.9426592473090299E-5</v>
      </c>
      <c r="D34190" s="1">
        <v>0</v>
      </c>
      <c r="E34190" s="1">
        <v>4.3455399550671099E-6</v>
      </c>
      <c r="F34190" s="1">
        <v>1.7807839090355599E-5</v>
      </c>
    </row>
    <row r="34191" spans="1:6" x14ac:dyDescent="0.25">
      <c r="A34191" s="2" t="str">
        <f t="shared" si="1195"/>
        <v>99999</v>
      </c>
      <c r="B34191" s="2" t="str">
        <f>"50065"</f>
        <v>50065</v>
      </c>
      <c r="C34191" s="1">
        <v>3.2741447988354499E-5</v>
      </c>
      <c r="D34191" s="1">
        <v>1.3658424060679801E-5</v>
      </c>
      <c r="E34191" s="1">
        <v>3.0418779685469802E-5</v>
      </c>
      <c r="F34191" s="1">
        <v>3.1437302528225599E-5</v>
      </c>
    </row>
    <row r="34192" spans="1:6" x14ac:dyDescent="0.25">
      <c r="A34192" s="2" t="str">
        <f t="shared" si="1195"/>
        <v>99999</v>
      </c>
      <c r="B34192" s="2" t="str">
        <f>"50126"</f>
        <v>50126</v>
      </c>
      <c r="C34192" s="1">
        <v>3.5950109891213198E-4</v>
      </c>
      <c r="D34192" s="1">
        <v>5.9338264530286696E-4</v>
      </c>
      <c r="E34192" s="1">
        <v>7.73506112001946E-4</v>
      </c>
      <c r="F34192" s="1">
        <v>3.8431107489410001E-4</v>
      </c>
    </row>
    <row r="34193" spans="1:6" x14ac:dyDescent="0.25">
      <c r="A34193" s="2" t="str">
        <f t="shared" si="1195"/>
        <v>99999</v>
      </c>
      <c r="B34193" s="2" t="str">
        <f>"29923"</f>
        <v>29923</v>
      </c>
      <c r="C34193" s="1">
        <v>0</v>
      </c>
      <c r="D34193" s="1">
        <v>1.51760267340886E-6</v>
      </c>
      <c r="E34193" s="1">
        <v>0</v>
      </c>
      <c r="F34193" s="1">
        <v>9.9485134582992598E-8</v>
      </c>
    </row>
    <row r="34194" spans="1:6" x14ac:dyDescent="0.25">
      <c r="A34194" s="2" t="str">
        <f t="shared" ref="A34194:A34257" si="1196">"99999"</f>
        <v>99999</v>
      </c>
      <c r="B34194" s="2" t="str">
        <f>"29911"</f>
        <v>29911</v>
      </c>
      <c r="C34194" s="1">
        <v>5.9262020858921601E-5</v>
      </c>
      <c r="D34194" s="1">
        <v>1.8211232080906399E-5</v>
      </c>
      <c r="E34194" s="1">
        <v>8.69107991013423E-6</v>
      </c>
      <c r="F34194" s="1">
        <v>5.5413219962726798E-5</v>
      </c>
    </row>
    <row r="34195" spans="1:6" x14ac:dyDescent="0.25">
      <c r="A34195" s="2" t="str">
        <f t="shared" si="1196"/>
        <v>99999</v>
      </c>
      <c r="B34195" s="2" t="str">
        <f>"29718"</f>
        <v>29718</v>
      </c>
      <c r="C34195" s="1">
        <v>1.5748636482398499E-4</v>
      </c>
      <c r="D34195" s="1">
        <v>1.13820200505665E-4</v>
      </c>
      <c r="E34195" s="1">
        <v>1.3036619865201299E-5</v>
      </c>
      <c r="F34195" s="1">
        <v>1.51316889700731E-4</v>
      </c>
    </row>
    <row r="34196" spans="1:6" x14ac:dyDescent="0.25">
      <c r="A34196" s="2" t="str">
        <f t="shared" si="1196"/>
        <v>99999</v>
      </c>
      <c r="B34196" s="2" t="str">
        <f>"29810"</f>
        <v>29810</v>
      </c>
      <c r="C34196" s="1">
        <v>2.8877957125728602E-4</v>
      </c>
      <c r="D34196" s="1">
        <v>4.8259765014401997E-4</v>
      </c>
      <c r="E34196" s="1">
        <v>1.39057278562147E-4</v>
      </c>
      <c r="F34196" s="1">
        <v>2.9805746321064498E-4</v>
      </c>
    </row>
    <row r="34197" spans="1:6" x14ac:dyDescent="0.25">
      <c r="A34197" s="2" t="str">
        <f t="shared" si="1196"/>
        <v>99999</v>
      </c>
      <c r="B34197" s="2" t="str">
        <f>"29655"</f>
        <v>29655</v>
      </c>
      <c r="C34197" s="1">
        <v>1.32930278832719E-4</v>
      </c>
      <c r="D34197" s="1">
        <v>2.5799245447950699E-5</v>
      </c>
      <c r="E34197" s="1">
        <v>4.3455399550671099E-6</v>
      </c>
      <c r="F34197" s="1">
        <v>1.22963626344578E-4</v>
      </c>
    </row>
    <row r="34198" spans="1:6" x14ac:dyDescent="0.25">
      <c r="A34198" s="2" t="str">
        <f t="shared" si="1196"/>
        <v>99999</v>
      </c>
      <c r="B34198" s="2" t="str">
        <f>"29628"</f>
        <v>29628</v>
      </c>
      <c r="C34198" s="1">
        <v>1.78440891536532E-4</v>
      </c>
      <c r="D34198" s="1">
        <v>1.88182731502699E-4</v>
      </c>
      <c r="E34198" s="1">
        <v>5.21464794608054E-5</v>
      </c>
      <c r="F34198" s="1">
        <v>1.7618817334647899E-4</v>
      </c>
    </row>
    <row r="34199" spans="1:6" x14ac:dyDescent="0.25">
      <c r="A34199" s="2" t="str">
        <f t="shared" si="1196"/>
        <v>99999</v>
      </c>
      <c r="B34199" s="2" t="str">
        <f>"29481"</f>
        <v>29481</v>
      </c>
      <c r="C34199" s="1">
        <v>1.11211785000444E-4</v>
      </c>
      <c r="D34199" s="1">
        <v>3.7940066835221703E-5</v>
      </c>
      <c r="E34199" s="1">
        <v>0</v>
      </c>
      <c r="F34199" s="1">
        <v>1.03862480504644E-4</v>
      </c>
    </row>
    <row r="34200" spans="1:6" x14ac:dyDescent="0.25">
      <c r="A34200" s="2" t="str">
        <f t="shared" si="1196"/>
        <v>99999</v>
      </c>
      <c r="B34200" s="2" t="str">
        <f>"29475"</f>
        <v>29475</v>
      </c>
      <c r="C34200" s="1">
        <v>1.6294327282204401E-4</v>
      </c>
      <c r="D34200" s="1">
        <v>5.0080888222492601E-5</v>
      </c>
      <c r="E34200" s="1">
        <v>8.69107991013423E-6</v>
      </c>
      <c r="F34200" s="1">
        <v>1.52013285642812E-4</v>
      </c>
    </row>
    <row r="34201" spans="1:6" x14ac:dyDescent="0.25">
      <c r="A34201" s="2" t="str">
        <f t="shared" si="1196"/>
        <v>99999</v>
      </c>
      <c r="B34201" s="2" t="str">
        <f>"29564"</f>
        <v>29564</v>
      </c>
      <c r="C34201" s="1">
        <v>4.4528369264162099E-5</v>
      </c>
      <c r="D34201" s="1">
        <v>1.8211232080906399E-5</v>
      </c>
      <c r="E34201" s="1">
        <v>0</v>
      </c>
      <c r="F34201" s="1">
        <v>4.1783756524856902E-5</v>
      </c>
    </row>
    <row r="34202" spans="1:6" x14ac:dyDescent="0.25">
      <c r="A34202" s="2" t="str">
        <f t="shared" si="1196"/>
        <v>99999</v>
      </c>
      <c r="B34202" s="2" t="str">
        <f>"29554"</f>
        <v>29554</v>
      </c>
      <c r="C34202" s="1">
        <v>2.7568299206194498E-4</v>
      </c>
      <c r="D34202" s="1">
        <v>2.2915800368473899E-4</v>
      </c>
      <c r="E34202" s="1">
        <v>1.8685821806788599E-4</v>
      </c>
      <c r="F34202" s="1">
        <v>2.7059956606573899E-4</v>
      </c>
    </row>
    <row r="34203" spans="1:6" x14ac:dyDescent="0.25">
      <c r="A34203" s="2" t="str">
        <f t="shared" si="1196"/>
        <v>99999</v>
      </c>
      <c r="B34203" s="2" t="str">
        <f>"29547"</f>
        <v>29547</v>
      </c>
      <c r="C34203" s="1">
        <v>1.2812819979442699E-4</v>
      </c>
      <c r="D34203" s="1">
        <v>5.7668901589537E-5</v>
      </c>
      <c r="E34203" s="1">
        <v>3.9109859595604001E-5</v>
      </c>
      <c r="F34203" s="1">
        <v>1.21471349325834E-4</v>
      </c>
    </row>
    <row r="34204" spans="1:6" x14ac:dyDescent="0.25">
      <c r="A34204" s="2" t="str">
        <f t="shared" si="1196"/>
        <v>99999</v>
      </c>
      <c r="B34204" s="2" t="str">
        <f>"29446"</f>
        <v>29446</v>
      </c>
      <c r="C34204" s="1">
        <v>8.7747080608790095E-5</v>
      </c>
      <c r="D34204" s="1">
        <v>6.37393122831725E-5</v>
      </c>
      <c r="E34204" s="1">
        <v>0</v>
      </c>
      <c r="F34204" s="1">
        <v>8.4164423857211701E-5</v>
      </c>
    </row>
    <row r="34205" spans="1:6" x14ac:dyDescent="0.25">
      <c r="A34205" s="2" t="str">
        <f t="shared" si="1196"/>
        <v>99999</v>
      </c>
      <c r="B34205" s="2" t="str">
        <f>"28905"</f>
        <v>28905</v>
      </c>
      <c r="C34205" s="1">
        <v>1.7833175337657E-4</v>
      </c>
      <c r="D34205" s="1">
        <v>8.65033523843055E-5</v>
      </c>
      <c r="E34205" s="1">
        <v>5.21464794608054E-5</v>
      </c>
      <c r="F34205" s="1">
        <v>1.6942318419483601E-4</v>
      </c>
    </row>
    <row r="34206" spans="1:6" x14ac:dyDescent="0.25">
      <c r="A34206" s="2" t="str">
        <f t="shared" si="1196"/>
        <v>99999</v>
      </c>
      <c r="B34206" s="2" t="str">
        <f>"28902"</f>
        <v>28902</v>
      </c>
      <c r="C34206" s="1">
        <v>8.1853619970886305E-5</v>
      </c>
      <c r="D34206" s="1">
        <v>4.2492874855448297E-5</v>
      </c>
      <c r="E34206" s="1">
        <v>1.3036619865201299E-5</v>
      </c>
      <c r="F34206" s="1">
        <v>7.7697890109317198E-5</v>
      </c>
    </row>
    <row r="34207" spans="1:6" x14ac:dyDescent="0.25">
      <c r="A34207" s="2" t="str">
        <f t="shared" si="1196"/>
        <v>99999</v>
      </c>
      <c r="B34207" s="2" t="str">
        <f>"28741"</f>
        <v>28741</v>
      </c>
      <c r="C34207" s="1">
        <v>3.8514856650301001E-4</v>
      </c>
      <c r="D34207" s="1">
        <v>1.7148910209520199E-4</v>
      </c>
      <c r="E34207" s="1">
        <v>7.8219719191208097E-5</v>
      </c>
      <c r="F34207" s="1">
        <v>3.6411559257375301E-4</v>
      </c>
    </row>
    <row r="34208" spans="1:6" x14ac:dyDescent="0.25">
      <c r="A34208" s="2" t="str">
        <f t="shared" si="1196"/>
        <v>99999</v>
      </c>
      <c r="B34208" s="2" t="str">
        <f>"28775"</f>
        <v>28775</v>
      </c>
      <c r="C34208" s="1">
        <v>3.0886099269014397E-5</v>
      </c>
      <c r="D34208" s="1">
        <v>1.8211232080906399E-5</v>
      </c>
      <c r="E34208" s="1">
        <v>0</v>
      </c>
      <c r="F34208" s="1">
        <v>2.93481147019828E-5</v>
      </c>
    </row>
    <row r="34209" spans="1:6" x14ac:dyDescent="0.25">
      <c r="A34209" s="2" t="str">
        <f t="shared" si="1196"/>
        <v>99999</v>
      </c>
      <c r="B34209" s="2" t="str">
        <f>"28773"</f>
        <v>28773</v>
      </c>
      <c r="C34209" s="1">
        <v>1.1983369963737699E-4</v>
      </c>
      <c r="D34209" s="1">
        <v>1.3506663793338901E-4</v>
      </c>
      <c r="E34209" s="1">
        <v>9.9947418966543598E-5</v>
      </c>
      <c r="F34209" s="1">
        <v>1.2037701284542101E-4</v>
      </c>
    </row>
    <row r="34210" spans="1:6" x14ac:dyDescent="0.25">
      <c r="A34210" s="2" t="str">
        <f t="shared" si="1196"/>
        <v>99999</v>
      </c>
      <c r="B34210" s="2" t="str">
        <f>"28779"</f>
        <v>28779</v>
      </c>
      <c r="C34210" s="1">
        <v>1.09138159961181E-7</v>
      </c>
      <c r="D34210" s="1">
        <v>0</v>
      </c>
      <c r="E34210" s="1">
        <v>0</v>
      </c>
      <c r="F34210" s="1">
        <v>9.9485134582992598E-8</v>
      </c>
    </row>
    <row r="34211" spans="1:6" x14ac:dyDescent="0.25">
      <c r="A34211" s="2" t="str">
        <f t="shared" si="1196"/>
        <v>99999</v>
      </c>
      <c r="B34211" s="2" t="str">
        <f>"28722"</f>
        <v>28722</v>
      </c>
      <c r="C34211" s="1">
        <v>3.6932353330863902E-4</v>
      </c>
      <c r="D34211" s="1">
        <v>3.8091827102562599E-4</v>
      </c>
      <c r="E34211" s="1">
        <v>2.6942347721416101E-4</v>
      </c>
      <c r="F34211" s="1">
        <v>3.67796542553323E-4</v>
      </c>
    </row>
    <row r="34212" spans="1:6" x14ac:dyDescent="0.25">
      <c r="A34212" s="2" t="str">
        <f t="shared" si="1196"/>
        <v>99999</v>
      </c>
      <c r="B34212" s="2" t="str">
        <f>"28611"</f>
        <v>28611</v>
      </c>
      <c r="C34212" s="1">
        <v>4.4746645584084504E-6</v>
      </c>
      <c r="D34212" s="1">
        <v>6.0704106936354696E-6</v>
      </c>
      <c r="E34212" s="1">
        <v>0</v>
      </c>
      <c r="F34212" s="1">
        <v>4.4768310562346604E-6</v>
      </c>
    </row>
    <row r="34213" spans="1:6" x14ac:dyDescent="0.25">
      <c r="A34213" s="2" t="str">
        <f t="shared" si="1196"/>
        <v>99999</v>
      </c>
      <c r="B34213" s="2" t="str">
        <f>"28623"</f>
        <v>28623</v>
      </c>
      <c r="C34213" s="1">
        <v>1.03572113803161E-4</v>
      </c>
      <c r="D34213" s="1">
        <v>3.9457669508630602E-5</v>
      </c>
      <c r="E34213" s="1">
        <v>8.69107991013423E-6</v>
      </c>
      <c r="F34213" s="1">
        <v>9.7196976487583795E-5</v>
      </c>
    </row>
    <row r="34214" spans="1:6" x14ac:dyDescent="0.25">
      <c r="A34214" s="2" t="str">
        <f t="shared" si="1196"/>
        <v>99999</v>
      </c>
      <c r="B34214" s="2" t="str">
        <f>"28622"</f>
        <v>28622</v>
      </c>
      <c r="C34214" s="1">
        <v>1.3685925259132101E-4</v>
      </c>
      <c r="D34214" s="1">
        <v>3.4904861488403899E-5</v>
      </c>
      <c r="E34214" s="1">
        <v>3.0418779685469802E-5</v>
      </c>
      <c r="F34214" s="1">
        <v>1.2773891280456199E-4</v>
      </c>
    </row>
    <row r="34215" spans="1:6" x14ac:dyDescent="0.25">
      <c r="A34215" s="2" t="str">
        <f t="shared" si="1196"/>
        <v>99999</v>
      </c>
      <c r="B34215" s="2" t="str">
        <f>"28617"</f>
        <v>28617</v>
      </c>
      <c r="C34215" s="1">
        <v>1.3402166043233101E-4</v>
      </c>
      <c r="D34215" s="1">
        <v>3.4904861488403899E-5</v>
      </c>
      <c r="E34215" s="1">
        <v>7.3874179236140894E-5</v>
      </c>
      <c r="F34215" s="1">
        <v>1.2614715065123401E-4</v>
      </c>
    </row>
    <row r="34216" spans="1:6" x14ac:dyDescent="0.25">
      <c r="A34216" s="2" t="str">
        <f t="shared" si="1196"/>
        <v>99999</v>
      </c>
      <c r="B34216" s="2" t="str">
        <f>"28605"</f>
        <v>28605</v>
      </c>
      <c r="C34216" s="1">
        <v>4.8020790382919898E-6</v>
      </c>
      <c r="D34216" s="1">
        <v>0</v>
      </c>
      <c r="E34216" s="1">
        <v>0</v>
      </c>
      <c r="F34216" s="1">
        <v>4.3773459216516703E-6</v>
      </c>
    </row>
    <row r="34217" spans="1:6" x14ac:dyDescent="0.25">
      <c r="A34217" s="2" t="str">
        <f t="shared" si="1196"/>
        <v>99999</v>
      </c>
      <c r="B34217" s="2" t="str">
        <f>"28693"</f>
        <v>28693</v>
      </c>
      <c r="C34217" s="1">
        <v>7.9779994931623806E-5</v>
      </c>
      <c r="D34217" s="1">
        <v>2.5799245447950699E-5</v>
      </c>
      <c r="E34217" s="1">
        <v>1.3036619865201299E-5</v>
      </c>
      <c r="F34217" s="1">
        <v>7.4713336071827405E-5</v>
      </c>
    </row>
    <row r="34218" spans="1:6" x14ac:dyDescent="0.25">
      <c r="A34218" s="2" t="str">
        <f t="shared" si="1196"/>
        <v>99999</v>
      </c>
      <c r="B34218" s="2" t="str">
        <f>"28657"</f>
        <v>28657</v>
      </c>
      <c r="C34218" s="1">
        <v>5.5605892500222001E-4</v>
      </c>
      <c r="D34218" s="1">
        <v>4.27963953901301E-4</v>
      </c>
      <c r="E34218" s="1">
        <v>8.69107991013423E-5</v>
      </c>
      <c r="F34218" s="1">
        <v>5.3692127134441102E-4</v>
      </c>
    </row>
    <row r="34219" spans="1:6" x14ac:dyDescent="0.25">
      <c r="A34219" s="2" t="str">
        <f t="shared" si="1196"/>
        <v>99999</v>
      </c>
      <c r="B34219" s="2" t="str">
        <f>"28664"</f>
        <v>28664</v>
      </c>
      <c r="C34219" s="1">
        <v>0</v>
      </c>
      <c r="D34219" s="1">
        <v>0</v>
      </c>
      <c r="E34219" s="1">
        <v>4.3455399550671099E-6</v>
      </c>
      <c r="F34219" s="1">
        <v>9.9485134582992598E-8</v>
      </c>
    </row>
    <row r="34220" spans="1:6" x14ac:dyDescent="0.25">
      <c r="A34220" s="2" t="str">
        <f t="shared" si="1196"/>
        <v>99999</v>
      </c>
      <c r="B34220" s="2" t="str">
        <f>"28627"</f>
        <v>28627</v>
      </c>
      <c r="C34220" s="1">
        <v>8.8511047728518302E-5</v>
      </c>
      <c r="D34220" s="1">
        <v>2.2764040101133E-5</v>
      </c>
      <c r="E34220" s="1">
        <v>1.3036619865201299E-5</v>
      </c>
      <c r="F34220" s="1">
        <v>8.2473176569300801E-5</v>
      </c>
    </row>
    <row r="34221" spans="1:6" x14ac:dyDescent="0.25">
      <c r="A34221" s="2" t="str">
        <f t="shared" si="1196"/>
        <v>99999</v>
      </c>
      <c r="B34221" s="2" t="str">
        <f>"28450"</f>
        <v>28450</v>
      </c>
      <c r="C34221" s="1">
        <v>1.18851456197726E-4</v>
      </c>
      <c r="D34221" s="1">
        <v>5.7668901589537E-5</v>
      </c>
      <c r="E34221" s="1">
        <v>9.1256339056409395E-5</v>
      </c>
      <c r="F34221" s="1">
        <v>1.14208934501275E-4</v>
      </c>
    </row>
    <row r="34222" spans="1:6" x14ac:dyDescent="0.25">
      <c r="A34222" s="2" t="str">
        <f t="shared" si="1196"/>
        <v>99999</v>
      </c>
      <c r="B34222" s="2" t="str">
        <f>"28434"</f>
        <v>28434</v>
      </c>
      <c r="C34222" s="1">
        <v>7.1922047414418698E-5</v>
      </c>
      <c r="D34222" s="1">
        <v>3.6422464161812797E-5</v>
      </c>
      <c r="E34222" s="1">
        <v>0</v>
      </c>
      <c r="F34222" s="1">
        <v>6.7948346920183899E-5</v>
      </c>
    </row>
    <row r="34223" spans="1:6" x14ac:dyDescent="0.25">
      <c r="A34223" s="2" t="str">
        <f t="shared" si="1196"/>
        <v>99999</v>
      </c>
      <c r="B34223" s="2" t="str">
        <f>"28464"</f>
        <v>28464</v>
      </c>
      <c r="C34223" s="1">
        <v>1.06518844122113E-4</v>
      </c>
      <c r="D34223" s="1">
        <v>5.0080888222492601E-5</v>
      </c>
      <c r="E34223" s="1">
        <v>3.9109859595604001E-5</v>
      </c>
      <c r="F34223" s="1">
        <v>1.01275867005486E-4</v>
      </c>
    </row>
    <row r="34224" spans="1:6" x14ac:dyDescent="0.25">
      <c r="A34224" s="2" t="str">
        <f t="shared" si="1196"/>
        <v>99999</v>
      </c>
      <c r="B34224" s="2" t="str">
        <f>"28456"</f>
        <v>28456</v>
      </c>
      <c r="C34224" s="1">
        <v>1.8106020737559999E-4</v>
      </c>
      <c r="D34224" s="1">
        <v>7.5880133670443406E-5</v>
      </c>
      <c r="E34224" s="1">
        <v>8.69107991013423E-6</v>
      </c>
      <c r="F34224" s="1">
        <v>1.702190652715E-4</v>
      </c>
    </row>
    <row r="34225" spans="1:6" x14ac:dyDescent="0.25">
      <c r="A34225" s="2" t="str">
        <f t="shared" si="1196"/>
        <v>99999</v>
      </c>
      <c r="B34225" s="2" t="str">
        <f>"28318"</f>
        <v>28318</v>
      </c>
      <c r="C34225" s="1">
        <v>2.01032490648496E-4</v>
      </c>
      <c r="D34225" s="1">
        <v>5.4633696242719298E-5</v>
      </c>
      <c r="E34225" s="1">
        <v>4.3455399550671099E-6</v>
      </c>
      <c r="F34225" s="1">
        <v>1.8693256788144299E-4</v>
      </c>
    </row>
    <row r="34226" spans="1:6" x14ac:dyDescent="0.25">
      <c r="A34226" s="2" t="str">
        <f t="shared" si="1196"/>
        <v>99999</v>
      </c>
      <c r="B34226" s="2" t="str">
        <f>"27857"</f>
        <v>27857</v>
      </c>
      <c r="C34226" s="1">
        <v>6.9739284215195098E-5</v>
      </c>
      <c r="D34226" s="1">
        <v>1.66936294074975E-5</v>
      </c>
      <c r="E34226" s="1">
        <v>5.21464794608054E-5</v>
      </c>
      <c r="F34226" s="1">
        <v>6.5859159093941099E-5</v>
      </c>
    </row>
    <row r="34227" spans="1:6" x14ac:dyDescent="0.25">
      <c r="A34227" s="2" t="str">
        <f t="shared" si="1196"/>
        <v>99999</v>
      </c>
      <c r="B34227" s="2" t="str">
        <f>"27983"</f>
        <v>27983</v>
      </c>
      <c r="C34227" s="1">
        <v>4.9264965406477397E-4</v>
      </c>
      <c r="D34227" s="1">
        <v>6.0552346669013799E-4</v>
      </c>
      <c r="E34227" s="1">
        <v>1.3471173860707999E-4</v>
      </c>
      <c r="F34227" s="1">
        <v>4.9185450537831505E-4</v>
      </c>
    </row>
    <row r="34228" spans="1:6" x14ac:dyDescent="0.25">
      <c r="A34228" s="2" t="str">
        <f t="shared" si="1196"/>
        <v>99999</v>
      </c>
      <c r="B34228" s="2" t="str">
        <f>"27957"</f>
        <v>27957</v>
      </c>
      <c r="C34228" s="1">
        <v>8.6110008209372297E-5</v>
      </c>
      <c r="D34228" s="1">
        <v>3.4904861488403899E-5</v>
      </c>
      <c r="E34228" s="1">
        <v>0</v>
      </c>
      <c r="F34228" s="1">
        <v>8.0781929281389996E-5</v>
      </c>
    </row>
    <row r="34229" spans="1:6" x14ac:dyDescent="0.25">
      <c r="A34229" s="2" t="str">
        <f t="shared" si="1196"/>
        <v>99999</v>
      </c>
      <c r="B34229" s="2" t="str">
        <f>"27570"</f>
        <v>27570</v>
      </c>
      <c r="C34229" s="1">
        <v>0</v>
      </c>
      <c r="D34229" s="1">
        <v>1.51760267340886E-6</v>
      </c>
      <c r="E34229" s="1">
        <v>0</v>
      </c>
      <c r="F34229" s="1">
        <v>9.9485134582992598E-8</v>
      </c>
    </row>
    <row r="34230" spans="1:6" x14ac:dyDescent="0.25">
      <c r="A34230" s="2" t="str">
        <f t="shared" si="1196"/>
        <v>99999</v>
      </c>
      <c r="B34230" s="2" t="str">
        <f>"27534"</f>
        <v>27534</v>
      </c>
      <c r="C34230" s="1">
        <v>4.3655263984472602E-7</v>
      </c>
      <c r="D34230" s="1">
        <v>1.51760267340886E-6</v>
      </c>
      <c r="E34230" s="1">
        <v>0</v>
      </c>
      <c r="F34230" s="1">
        <v>4.9742567291496303E-7</v>
      </c>
    </row>
    <row r="34231" spans="1:6" x14ac:dyDescent="0.25">
      <c r="A34231" s="2" t="str">
        <f t="shared" si="1196"/>
        <v>99999</v>
      </c>
      <c r="B34231" s="2" t="str">
        <f>"27553"</f>
        <v>27553</v>
      </c>
      <c r="C34231" s="1">
        <v>6.6028586776514895E-5</v>
      </c>
      <c r="D34231" s="1">
        <v>2.2764040101133E-5</v>
      </c>
      <c r="E34231" s="1">
        <v>8.69107991013423E-6</v>
      </c>
      <c r="F34231" s="1">
        <v>6.1879753710621403E-5</v>
      </c>
    </row>
    <row r="34232" spans="1:6" x14ac:dyDescent="0.25">
      <c r="A34232" s="2" t="str">
        <f t="shared" si="1196"/>
        <v>99999</v>
      </c>
      <c r="B34232" s="2" t="str">
        <f>"27306"</f>
        <v>27306</v>
      </c>
      <c r="C34232" s="1">
        <v>3.1399048620831899E-4</v>
      </c>
      <c r="D34232" s="1">
        <v>1.3203143258657101E-4</v>
      </c>
      <c r="E34232" s="1">
        <v>2.1727699775335501E-5</v>
      </c>
      <c r="F34232" s="1">
        <v>2.9537136457690502E-4</v>
      </c>
    </row>
    <row r="34233" spans="1:6" x14ac:dyDescent="0.25">
      <c r="A34233" s="2" t="str">
        <f t="shared" si="1196"/>
        <v>99999</v>
      </c>
      <c r="B34233" s="2" t="str">
        <f>"27371"</f>
        <v>27371</v>
      </c>
      <c r="C34233" s="1">
        <v>3.7259767810747399E-4</v>
      </c>
      <c r="D34233" s="1">
        <v>5.9945305599650302E-4</v>
      </c>
      <c r="E34233" s="1">
        <v>3.17224416719899E-4</v>
      </c>
      <c r="F34233" s="1">
        <v>3.8620129245117702E-4</v>
      </c>
    </row>
    <row r="34234" spans="1:6" x14ac:dyDescent="0.25">
      <c r="A34234" s="2" t="str">
        <f t="shared" si="1196"/>
        <v>99999</v>
      </c>
      <c r="B34234" s="2" t="str">
        <f>"27356"</f>
        <v>27356</v>
      </c>
      <c r="C34234" s="1">
        <v>1.20379390437183E-4</v>
      </c>
      <c r="D34234" s="1">
        <v>8.4985749710896595E-5</v>
      </c>
      <c r="E34234" s="1">
        <v>0</v>
      </c>
      <c r="F34234" s="1">
        <v>1.1530327098168801E-4</v>
      </c>
    </row>
    <row r="34235" spans="1:6" x14ac:dyDescent="0.25">
      <c r="A34235" s="2" t="str">
        <f t="shared" si="1196"/>
        <v>99999</v>
      </c>
      <c r="B34235" s="2" t="str">
        <f>"27343"</f>
        <v>27343</v>
      </c>
      <c r="C34235" s="1">
        <v>2.72845399902954E-5</v>
      </c>
      <c r="D34235" s="1">
        <v>1.5176026734088599E-5</v>
      </c>
      <c r="E34235" s="1">
        <v>1.7382159820268399E-5</v>
      </c>
      <c r="F34235" s="1">
        <v>2.6264075529910002E-5</v>
      </c>
    </row>
    <row r="34236" spans="1:6" x14ac:dyDescent="0.25">
      <c r="A34236" s="2" t="str">
        <f t="shared" si="1196"/>
        <v>99999</v>
      </c>
      <c r="B34236" s="2" t="str">
        <f>"27341"</f>
        <v>27341</v>
      </c>
      <c r="C34236" s="1">
        <v>2.1172803032469199E-5</v>
      </c>
      <c r="D34236" s="1">
        <v>1.8211232080906399E-5</v>
      </c>
      <c r="E34236" s="1">
        <v>0</v>
      </c>
      <c r="F34236" s="1">
        <v>2.04939377240964E-5</v>
      </c>
    </row>
    <row r="34237" spans="1:6" x14ac:dyDescent="0.25">
      <c r="A34237" s="2" t="str">
        <f t="shared" si="1196"/>
        <v>99999</v>
      </c>
      <c r="B34237" s="2" t="str">
        <f>"26818"</f>
        <v>26818</v>
      </c>
      <c r="C34237" s="1">
        <v>4.3218711344627901E-5</v>
      </c>
      <c r="D34237" s="1">
        <v>3.0352053468177301E-6</v>
      </c>
      <c r="E34237" s="1">
        <v>4.3455399550671099E-6</v>
      </c>
      <c r="F34237" s="1">
        <v>3.9694568698614001E-5</v>
      </c>
    </row>
    <row r="34238" spans="1:6" x14ac:dyDescent="0.25">
      <c r="A34238" s="2" t="str">
        <f t="shared" si="1196"/>
        <v>99999</v>
      </c>
      <c r="B34238" s="2" t="str">
        <f>"26812"</f>
        <v>26812</v>
      </c>
      <c r="C34238" s="1">
        <v>9.40770938865386E-5</v>
      </c>
      <c r="D34238" s="1">
        <v>3.9457669508630602E-5</v>
      </c>
      <c r="E34238" s="1">
        <v>4.3455399550671099E-6</v>
      </c>
      <c r="F34238" s="1">
        <v>8.84422846442804E-5</v>
      </c>
    </row>
    <row r="34239" spans="1:6" x14ac:dyDescent="0.25">
      <c r="A34239" s="2" t="str">
        <f t="shared" si="1196"/>
        <v>99999</v>
      </c>
      <c r="B34239" s="2" t="str">
        <f>"26801"</f>
        <v>26801</v>
      </c>
      <c r="C34239" s="1">
        <v>6.7665659175932598E-5</v>
      </c>
      <c r="D34239" s="1">
        <v>4.4010477528857203E-5</v>
      </c>
      <c r="E34239" s="1">
        <v>1.7382159820268399E-5</v>
      </c>
      <c r="F34239" s="1">
        <v>6.4963792882694106E-5</v>
      </c>
    </row>
    <row r="34240" spans="1:6" x14ac:dyDescent="0.25">
      <c r="A34240" s="2" t="str">
        <f t="shared" si="1196"/>
        <v>99999</v>
      </c>
      <c r="B34240" s="2" t="str">
        <f>"26415"</f>
        <v>26415</v>
      </c>
      <c r="C34240" s="1">
        <v>1.54867048984916E-4</v>
      </c>
      <c r="D34240" s="1">
        <v>1.4417225397384201E-4</v>
      </c>
      <c r="E34240" s="1">
        <v>6.9528639281073799E-5</v>
      </c>
      <c r="F34240" s="1">
        <v>1.5221225591197801E-4</v>
      </c>
    </row>
    <row r="34241" spans="1:6" x14ac:dyDescent="0.25">
      <c r="A34241" s="2" t="str">
        <f t="shared" si="1196"/>
        <v>99999</v>
      </c>
      <c r="B34241" s="2" t="str">
        <f>"26405"</f>
        <v>26405</v>
      </c>
      <c r="C34241" s="1">
        <v>5.8170639259309801E-5</v>
      </c>
      <c r="D34241" s="1">
        <v>1.3658424060679801E-5</v>
      </c>
      <c r="E34241" s="1">
        <v>0</v>
      </c>
      <c r="F34241" s="1">
        <v>5.3920942943982003E-5</v>
      </c>
    </row>
    <row r="34242" spans="1:6" x14ac:dyDescent="0.25">
      <c r="A34242" s="2" t="str">
        <f t="shared" si="1196"/>
        <v>99999</v>
      </c>
      <c r="B34242" s="2" t="str">
        <f>"26321"</f>
        <v>26321</v>
      </c>
      <c r="C34242" s="1">
        <v>2.3682980711576399E-5</v>
      </c>
      <c r="D34242" s="1">
        <v>1.21408213872709E-5</v>
      </c>
      <c r="E34242" s="1">
        <v>4.3455399550671099E-6</v>
      </c>
      <c r="F34242" s="1">
        <v>2.2483640415756299E-5</v>
      </c>
    </row>
    <row r="34243" spans="1:6" x14ac:dyDescent="0.25">
      <c r="A34243" s="2" t="str">
        <f t="shared" si="1196"/>
        <v>99999</v>
      </c>
      <c r="B34243" s="2" t="str">
        <f>"26561"</f>
        <v>26561</v>
      </c>
      <c r="C34243" s="1">
        <v>1.09138159961181E-7</v>
      </c>
      <c r="D34243" s="1">
        <v>0</v>
      </c>
      <c r="E34243" s="1">
        <v>4.3455399550671099E-6</v>
      </c>
      <c r="F34243" s="1">
        <v>1.9897026916598501E-7</v>
      </c>
    </row>
    <row r="34244" spans="1:6" x14ac:dyDescent="0.25">
      <c r="A34244" s="2" t="str">
        <f t="shared" si="1196"/>
        <v>99999</v>
      </c>
      <c r="B34244" s="2" t="str">
        <f>"26631"</f>
        <v>26631</v>
      </c>
      <c r="C34244" s="1">
        <v>1.6152447674254801E-5</v>
      </c>
      <c r="D34244" s="1">
        <v>3.0352053468177301E-6</v>
      </c>
      <c r="E34244" s="1">
        <v>4.3455399550671099E-6</v>
      </c>
      <c r="F34244" s="1">
        <v>1.50222553220318E-5</v>
      </c>
    </row>
    <row r="34245" spans="1:6" x14ac:dyDescent="0.25">
      <c r="A34245" s="2" t="str">
        <f t="shared" si="1196"/>
        <v>99999</v>
      </c>
      <c r="B34245" s="2" t="str">
        <f>"26621"</f>
        <v>26621</v>
      </c>
      <c r="C34245" s="1">
        <v>2.8157645269984799E-5</v>
      </c>
      <c r="D34245" s="1">
        <v>9.1056160404532095E-6</v>
      </c>
      <c r="E34245" s="1">
        <v>0</v>
      </c>
      <c r="F34245" s="1">
        <v>2.6264075529910002E-5</v>
      </c>
    </row>
    <row r="34246" spans="1:6" x14ac:dyDescent="0.25">
      <c r="A34246" s="2" t="str">
        <f t="shared" si="1196"/>
        <v>99999</v>
      </c>
      <c r="B34246" s="2" t="str">
        <f>"26260"</f>
        <v>26260</v>
      </c>
      <c r="C34246" s="1">
        <v>3.4051105907888697E-5</v>
      </c>
      <c r="D34246" s="1">
        <v>5.15984908959015E-5</v>
      </c>
      <c r="E34246" s="1">
        <v>1.3036619865201299E-5</v>
      </c>
      <c r="F34246" s="1">
        <v>3.4720311969464401E-5</v>
      </c>
    </row>
    <row r="34247" spans="1:6" x14ac:dyDescent="0.25">
      <c r="A34247" s="2" t="str">
        <f t="shared" si="1196"/>
        <v>99999</v>
      </c>
      <c r="B34247" s="2" t="str">
        <f>"26440"</f>
        <v>26440</v>
      </c>
      <c r="C34247" s="1">
        <v>4.8020790382919898E-6</v>
      </c>
      <c r="D34247" s="1">
        <v>0</v>
      </c>
      <c r="E34247" s="1">
        <v>0</v>
      </c>
      <c r="F34247" s="1">
        <v>4.3773459216516703E-6</v>
      </c>
    </row>
    <row r="34248" spans="1:6" x14ac:dyDescent="0.25">
      <c r="A34248" s="2" t="str">
        <f t="shared" si="1196"/>
        <v>99999</v>
      </c>
      <c r="B34248" s="2" t="str">
        <f>"26456"</f>
        <v>26456</v>
      </c>
      <c r="C34248" s="1">
        <v>1.0040710716428699E-5</v>
      </c>
      <c r="D34248" s="1">
        <v>0</v>
      </c>
      <c r="E34248" s="1">
        <v>0</v>
      </c>
      <c r="F34248" s="1">
        <v>9.1526323816353195E-6</v>
      </c>
    </row>
    <row r="34249" spans="1:6" x14ac:dyDescent="0.25">
      <c r="A34249" s="2" t="str">
        <f t="shared" si="1196"/>
        <v>99999</v>
      </c>
      <c r="B34249" s="2" t="str">
        <f>"26218"</f>
        <v>26218</v>
      </c>
      <c r="C34249" s="1">
        <v>1.2987441035380601E-4</v>
      </c>
      <c r="D34249" s="1">
        <v>1.8211232080906399E-5</v>
      </c>
      <c r="E34249" s="1">
        <v>0</v>
      </c>
      <c r="F34249" s="1">
        <v>1.19581131768757E-4</v>
      </c>
    </row>
    <row r="34250" spans="1:6" x14ac:dyDescent="0.25">
      <c r="A34250" s="2" t="str">
        <f t="shared" si="1196"/>
        <v>99999</v>
      </c>
      <c r="B34250" s="2" t="str">
        <f>"26206"</f>
        <v>26206</v>
      </c>
      <c r="C34250" s="1">
        <v>9.8442620284985895E-5</v>
      </c>
      <c r="D34250" s="1">
        <v>5.6151298916128101E-5</v>
      </c>
      <c r="E34250" s="1">
        <v>5.6492019415872502E-5</v>
      </c>
      <c r="F34250" s="1">
        <v>9.4709848123008907E-5</v>
      </c>
    </row>
    <row r="34251" spans="1:6" x14ac:dyDescent="0.25">
      <c r="A34251" s="2" t="str">
        <f t="shared" si="1196"/>
        <v>99999</v>
      </c>
      <c r="B34251" s="2" t="str">
        <f>"25617"</f>
        <v>25617</v>
      </c>
      <c r="C34251" s="1">
        <v>2.4010395191459898E-6</v>
      </c>
      <c r="D34251" s="1">
        <v>0</v>
      </c>
      <c r="E34251" s="1">
        <v>0</v>
      </c>
      <c r="F34251" s="1">
        <v>2.1886729608258301E-6</v>
      </c>
    </row>
    <row r="34252" spans="1:6" x14ac:dyDescent="0.25">
      <c r="A34252" s="2" t="str">
        <f t="shared" si="1196"/>
        <v>99999</v>
      </c>
      <c r="B34252" s="2" t="str">
        <f>"25688"</f>
        <v>25688</v>
      </c>
      <c r="C34252" s="1">
        <v>0</v>
      </c>
      <c r="D34252" s="1">
        <v>1.51760267340886E-6</v>
      </c>
      <c r="E34252" s="1">
        <v>0</v>
      </c>
      <c r="F34252" s="1">
        <v>9.9485134582992598E-8</v>
      </c>
    </row>
    <row r="34253" spans="1:6" x14ac:dyDescent="0.25">
      <c r="A34253" s="2" t="str">
        <f t="shared" si="1196"/>
        <v>99999</v>
      </c>
      <c r="B34253" s="2" t="str">
        <f>"25678"</f>
        <v>25678</v>
      </c>
      <c r="C34253" s="1">
        <v>6.5046343336864297E-5</v>
      </c>
      <c r="D34253" s="1">
        <v>9.1056160404532095E-6</v>
      </c>
      <c r="E34253" s="1">
        <v>0</v>
      </c>
      <c r="F34253" s="1">
        <v>5.98900510189615E-5</v>
      </c>
    </row>
    <row r="34254" spans="1:6" x14ac:dyDescent="0.25">
      <c r="A34254" s="2" t="str">
        <f t="shared" si="1196"/>
        <v>99999</v>
      </c>
      <c r="B34254" s="2" t="str">
        <f>"25621"</f>
        <v>25621</v>
      </c>
      <c r="C34254" s="1">
        <v>8.7310527968945299E-5</v>
      </c>
      <c r="D34254" s="1">
        <v>7.5880133670443404E-6</v>
      </c>
      <c r="E34254" s="1">
        <v>4.7800939505738197E-5</v>
      </c>
      <c r="F34254" s="1">
        <v>8.1179869819721895E-5</v>
      </c>
    </row>
    <row r="34255" spans="1:6" x14ac:dyDescent="0.25">
      <c r="A34255" s="2" t="str">
        <f t="shared" si="1196"/>
        <v>99999</v>
      </c>
      <c r="B34255" s="2" t="str">
        <f>"26033"</f>
        <v>26033</v>
      </c>
      <c r="C34255" s="1">
        <v>0</v>
      </c>
      <c r="D34255" s="1">
        <v>1.51760267340886E-6</v>
      </c>
      <c r="E34255" s="1">
        <v>0</v>
      </c>
      <c r="F34255" s="1">
        <v>9.9485134582992598E-8</v>
      </c>
    </row>
    <row r="34256" spans="1:6" x14ac:dyDescent="0.25">
      <c r="A34256" s="2" t="str">
        <f t="shared" si="1196"/>
        <v>99999</v>
      </c>
      <c r="B34256" s="2" t="str">
        <f>"26055"</f>
        <v>26055</v>
      </c>
      <c r="C34256" s="1">
        <v>3.0776961109053202E-5</v>
      </c>
      <c r="D34256" s="1">
        <v>4.2492874855448297E-5</v>
      </c>
      <c r="E34256" s="1">
        <v>1.3036619865201299E-5</v>
      </c>
      <c r="F34256" s="1">
        <v>3.1138847124476597E-5</v>
      </c>
    </row>
    <row r="34257" spans="1:6" x14ac:dyDescent="0.25">
      <c r="A34257" s="2" t="str">
        <f t="shared" si="1196"/>
        <v>99999</v>
      </c>
      <c r="B34257" s="2" t="str">
        <f>"25876"</f>
        <v>25876</v>
      </c>
      <c r="C34257" s="1">
        <v>1.17869212758076E-5</v>
      </c>
      <c r="D34257" s="1">
        <v>0</v>
      </c>
      <c r="E34257" s="1">
        <v>4.3455399550671099E-6</v>
      </c>
      <c r="F34257" s="1">
        <v>1.0843879669546099E-5</v>
      </c>
    </row>
    <row r="34258" spans="1:6" x14ac:dyDescent="0.25">
      <c r="A34258" s="2" t="str">
        <f t="shared" ref="A34258:A34321" si="1197">"99999"</f>
        <v>99999</v>
      </c>
      <c r="B34258" s="2" t="str">
        <f>"25845"</f>
        <v>25845</v>
      </c>
      <c r="C34258" s="1">
        <v>5.0203553582143598E-6</v>
      </c>
      <c r="D34258" s="1">
        <v>1.51760267340886E-6</v>
      </c>
      <c r="E34258" s="1">
        <v>0</v>
      </c>
      <c r="F34258" s="1">
        <v>4.6758013254006498E-6</v>
      </c>
    </row>
    <row r="34259" spans="1:6" x14ac:dyDescent="0.25">
      <c r="A34259" s="2" t="str">
        <f t="shared" si="1197"/>
        <v>99999</v>
      </c>
      <c r="B34259" s="2" t="str">
        <f>"25966"</f>
        <v>25966</v>
      </c>
      <c r="C34259" s="1">
        <v>0</v>
      </c>
      <c r="D34259" s="1">
        <v>1.51760267340886E-6</v>
      </c>
      <c r="E34259" s="1">
        <v>0</v>
      </c>
      <c r="F34259" s="1">
        <v>9.9485134582992598E-8</v>
      </c>
    </row>
    <row r="34260" spans="1:6" x14ac:dyDescent="0.25">
      <c r="A34260" s="2" t="str">
        <f t="shared" si="1197"/>
        <v>99999</v>
      </c>
      <c r="B34260" s="2" t="str">
        <f>"25882"</f>
        <v>25882</v>
      </c>
      <c r="C34260" s="1">
        <v>1.17214383798309E-4</v>
      </c>
      <c r="D34260" s="1">
        <v>2.1701718229746799E-4</v>
      </c>
      <c r="E34260" s="1">
        <v>1.4340281851721399E-4</v>
      </c>
      <c r="F34260" s="1">
        <v>1.2435641822874E-4</v>
      </c>
    </row>
    <row r="34261" spans="1:6" x14ac:dyDescent="0.25">
      <c r="A34261" s="2" t="str">
        <f t="shared" si="1197"/>
        <v>99999</v>
      </c>
      <c r="B34261" s="2" t="str">
        <f>"25251"</f>
        <v>25251</v>
      </c>
      <c r="C34261" s="1">
        <v>2.4228671511382299E-5</v>
      </c>
      <c r="D34261" s="1">
        <v>3.0352053468177301E-6</v>
      </c>
      <c r="E34261" s="1">
        <v>4.3455399550671099E-6</v>
      </c>
      <c r="F34261" s="1">
        <v>2.23841552811733E-5</v>
      </c>
    </row>
    <row r="34262" spans="1:6" x14ac:dyDescent="0.25">
      <c r="A34262" s="2" t="str">
        <f t="shared" si="1197"/>
        <v>99999</v>
      </c>
      <c r="B34262" s="2" t="str">
        <f>"25059"</f>
        <v>25059</v>
      </c>
      <c r="C34262" s="1">
        <v>1.20051975957299E-6</v>
      </c>
      <c r="D34262" s="1">
        <v>1.51760267340886E-6</v>
      </c>
      <c r="E34262" s="1">
        <v>0</v>
      </c>
      <c r="F34262" s="1">
        <v>1.19382161499591E-6</v>
      </c>
    </row>
    <row r="34263" spans="1:6" x14ac:dyDescent="0.25">
      <c r="A34263" s="2" t="str">
        <f t="shared" si="1197"/>
        <v>99999</v>
      </c>
      <c r="B34263" s="2" t="str">
        <f>"24983"</f>
        <v>24983</v>
      </c>
      <c r="C34263" s="1">
        <v>1.6665397026072401E-4</v>
      </c>
      <c r="D34263" s="1">
        <v>4.4010477528857203E-5</v>
      </c>
      <c r="E34263" s="1">
        <v>4.7800939505738197E-5</v>
      </c>
      <c r="F34263" s="1">
        <v>1.55893205891549E-4</v>
      </c>
    </row>
    <row r="34264" spans="1:6" x14ac:dyDescent="0.25">
      <c r="A34264" s="2" t="str">
        <f t="shared" si="1197"/>
        <v>99999</v>
      </c>
      <c r="B34264" s="2" t="str">
        <f>"24867"</f>
        <v>24867</v>
      </c>
      <c r="C34264" s="1">
        <v>1.09138159961181E-7</v>
      </c>
      <c r="D34264" s="1">
        <v>1.51760267340886E-6</v>
      </c>
      <c r="E34264" s="1">
        <v>0</v>
      </c>
      <c r="F34264" s="1">
        <v>1.9897026916598501E-7</v>
      </c>
    </row>
    <row r="34265" spans="1:6" x14ac:dyDescent="0.25">
      <c r="A34265" s="2" t="str">
        <f t="shared" si="1197"/>
        <v>99999</v>
      </c>
      <c r="B34265" s="2" t="str">
        <f>"24815"</f>
        <v>24815</v>
      </c>
      <c r="C34265" s="1">
        <v>1.6479862154138401E-5</v>
      </c>
      <c r="D34265" s="1">
        <v>3.0352053468177301E-6</v>
      </c>
      <c r="E34265" s="1">
        <v>0</v>
      </c>
      <c r="F34265" s="1">
        <v>1.52212255911978E-5</v>
      </c>
    </row>
    <row r="34266" spans="1:6" x14ac:dyDescent="0.25">
      <c r="A34266" s="2" t="str">
        <f t="shared" si="1197"/>
        <v>99999</v>
      </c>
      <c r="B34266" s="2" t="str">
        <f>"24822"</f>
        <v>24822</v>
      </c>
      <c r="C34266" s="1">
        <v>1.7243829273866699E-5</v>
      </c>
      <c r="D34266" s="1">
        <v>4.5528080202265997E-6</v>
      </c>
      <c r="E34266" s="1">
        <v>0</v>
      </c>
      <c r="F34266" s="1">
        <v>1.6017106667861799E-5</v>
      </c>
    </row>
    <row r="34267" spans="1:6" x14ac:dyDescent="0.25">
      <c r="A34267" s="2" t="str">
        <f t="shared" si="1197"/>
        <v>99999</v>
      </c>
      <c r="B34267" s="2" t="str">
        <f>"24888"</f>
        <v>24888</v>
      </c>
      <c r="C34267" s="1">
        <v>1.09138159961181E-7</v>
      </c>
      <c r="D34267" s="1">
        <v>1.51760267340886E-6</v>
      </c>
      <c r="E34267" s="1">
        <v>0</v>
      </c>
      <c r="F34267" s="1">
        <v>1.9897026916598501E-7</v>
      </c>
    </row>
    <row r="34268" spans="1:6" x14ac:dyDescent="0.25">
      <c r="A34268" s="2" t="str">
        <f t="shared" si="1197"/>
        <v>99999</v>
      </c>
      <c r="B34268" s="2" t="str">
        <f>"24879"</f>
        <v>24879</v>
      </c>
      <c r="C34268" s="1">
        <v>1.57158950344101E-5</v>
      </c>
      <c r="D34268" s="1">
        <v>1.51760267340886E-6</v>
      </c>
      <c r="E34268" s="1">
        <v>0</v>
      </c>
      <c r="F34268" s="1">
        <v>1.44253445145339E-5</v>
      </c>
    </row>
    <row r="34269" spans="1:6" x14ac:dyDescent="0.25">
      <c r="A34269" s="2" t="str">
        <f t="shared" si="1197"/>
        <v>99999</v>
      </c>
      <c r="B34269" s="2" t="str">
        <f>"24850"</f>
        <v>24850</v>
      </c>
      <c r="C34269" s="1">
        <v>1.65890003140996E-5</v>
      </c>
      <c r="D34269" s="1">
        <v>4.5528080202265997E-6</v>
      </c>
      <c r="E34269" s="1">
        <v>0</v>
      </c>
      <c r="F34269" s="1">
        <v>1.5420195860363801E-5</v>
      </c>
    </row>
    <row r="34270" spans="1:6" x14ac:dyDescent="0.25">
      <c r="A34270" s="2" t="str">
        <f t="shared" si="1197"/>
        <v>99999</v>
      </c>
      <c r="B34270" s="2" t="str">
        <f>"24847"</f>
        <v>24847</v>
      </c>
      <c r="C34270" s="1">
        <v>0</v>
      </c>
      <c r="D34270" s="1">
        <v>1.51760267340886E-6</v>
      </c>
      <c r="E34270" s="1">
        <v>0</v>
      </c>
      <c r="F34270" s="1">
        <v>9.9485134582992598E-8</v>
      </c>
    </row>
    <row r="34271" spans="1:6" x14ac:dyDescent="0.25">
      <c r="A34271" s="2" t="str">
        <f t="shared" si="1197"/>
        <v>99999</v>
      </c>
      <c r="B34271" s="2" t="str">
        <f>"24938"</f>
        <v>24938</v>
      </c>
      <c r="C34271" s="1">
        <v>1.0902902180122E-4</v>
      </c>
      <c r="D34271" s="1">
        <v>6.0704106936354696E-6</v>
      </c>
      <c r="E34271" s="1">
        <v>0</v>
      </c>
      <c r="F34271" s="1">
        <v>9.9783589986741594E-5</v>
      </c>
    </row>
    <row r="34272" spans="1:6" x14ac:dyDescent="0.25">
      <c r="A34272" s="2" t="str">
        <f t="shared" si="1197"/>
        <v>99999</v>
      </c>
      <c r="B34272" s="2" t="str">
        <f>"24934"</f>
        <v>24934</v>
      </c>
      <c r="C34272" s="1">
        <v>4.7256823263191603E-5</v>
      </c>
      <c r="D34272" s="1">
        <v>1.21408213872709E-5</v>
      </c>
      <c r="E34272" s="1">
        <v>8.69107991013423E-6</v>
      </c>
      <c r="F34272" s="1">
        <v>4.4071914620265699E-5</v>
      </c>
    </row>
    <row r="34273" spans="1:6" x14ac:dyDescent="0.25">
      <c r="A34273" s="2" t="str">
        <f t="shared" si="1197"/>
        <v>99999</v>
      </c>
      <c r="B34273" s="2" t="str">
        <f>"24868"</f>
        <v>24868</v>
      </c>
      <c r="C34273" s="1">
        <v>7.4541363253487094E-5</v>
      </c>
      <c r="D34273" s="1">
        <v>2.2764040101133E-5</v>
      </c>
      <c r="E34273" s="1">
        <v>8.69107991013423E-6</v>
      </c>
      <c r="F34273" s="1">
        <v>6.9639594208094799E-5</v>
      </c>
    </row>
    <row r="34274" spans="1:6" x14ac:dyDescent="0.25">
      <c r="A34274" s="2" t="str">
        <f t="shared" si="1197"/>
        <v>99999</v>
      </c>
      <c r="B34274" s="2" t="str">
        <f>"24716"</f>
        <v>24716</v>
      </c>
      <c r="C34274" s="1">
        <v>0</v>
      </c>
      <c r="D34274" s="1">
        <v>1.51760267340886E-6</v>
      </c>
      <c r="E34274" s="1">
        <v>0</v>
      </c>
      <c r="F34274" s="1">
        <v>9.9485134582992598E-8</v>
      </c>
    </row>
    <row r="34275" spans="1:6" x14ac:dyDescent="0.25">
      <c r="A34275" s="2" t="str">
        <f t="shared" si="1197"/>
        <v>99999</v>
      </c>
      <c r="B34275" s="2" t="str">
        <f>"24622"</f>
        <v>24622</v>
      </c>
      <c r="C34275" s="1">
        <v>3.3068862468237998E-5</v>
      </c>
      <c r="D34275" s="1">
        <v>7.5880133670443404E-6</v>
      </c>
      <c r="E34275" s="1">
        <v>0</v>
      </c>
      <c r="F34275" s="1">
        <v>3.0641421451561699E-5</v>
      </c>
    </row>
    <row r="34276" spans="1:6" x14ac:dyDescent="0.25">
      <c r="A34276" s="2" t="str">
        <f t="shared" si="1197"/>
        <v>99999</v>
      </c>
      <c r="B34276" s="2" t="str">
        <f>"24439"</f>
        <v>24439</v>
      </c>
      <c r="C34276" s="1">
        <v>5.1622349661638898E-5</v>
      </c>
      <c r="D34276" s="1">
        <v>1.66936294074975E-5</v>
      </c>
      <c r="E34276" s="1">
        <v>4.3455399550671099E-6</v>
      </c>
      <c r="F34276" s="1">
        <v>4.8250290272751399E-5</v>
      </c>
    </row>
    <row r="34277" spans="1:6" x14ac:dyDescent="0.25">
      <c r="A34277" s="2" t="str">
        <f t="shared" si="1197"/>
        <v>99999</v>
      </c>
      <c r="B34277" s="2" t="str">
        <f>"24225"</f>
        <v>24225</v>
      </c>
      <c r="C34277" s="1">
        <v>9.4731922846305705E-5</v>
      </c>
      <c r="D34277" s="1">
        <v>4.2492874855448297E-5</v>
      </c>
      <c r="E34277" s="1">
        <v>4.3455399550671103E-5</v>
      </c>
      <c r="F34277" s="1">
        <v>9.01335319321913E-5</v>
      </c>
    </row>
    <row r="34278" spans="1:6" x14ac:dyDescent="0.25">
      <c r="A34278" s="2" t="str">
        <f t="shared" si="1197"/>
        <v>99999</v>
      </c>
      <c r="B34278" s="2" t="str">
        <f>"24217"</f>
        <v>24217</v>
      </c>
      <c r="C34278" s="1">
        <v>2.05179740727021E-5</v>
      </c>
      <c r="D34278" s="1">
        <v>3.0352053468177301E-6</v>
      </c>
      <c r="E34278" s="1">
        <v>0</v>
      </c>
      <c r="F34278" s="1">
        <v>1.89021755707686E-5</v>
      </c>
    </row>
    <row r="34279" spans="1:6" x14ac:dyDescent="0.25">
      <c r="A34279" s="2" t="str">
        <f t="shared" si="1197"/>
        <v>99999</v>
      </c>
      <c r="B34279" s="2" t="str">
        <f>"24177"</f>
        <v>24177</v>
      </c>
      <c r="C34279" s="1">
        <v>0</v>
      </c>
      <c r="D34279" s="1">
        <v>0</v>
      </c>
      <c r="E34279" s="1">
        <v>4.3455399550671099E-6</v>
      </c>
      <c r="F34279" s="1">
        <v>9.9485134582992598E-8</v>
      </c>
    </row>
    <row r="34280" spans="1:6" x14ac:dyDescent="0.25">
      <c r="A34280" s="2" t="str">
        <f t="shared" si="1197"/>
        <v>99999</v>
      </c>
      <c r="B34280" s="2" t="str">
        <f>"24185"</f>
        <v>24185</v>
      </c>
      <c r="C34280" s="1">
        <v>4.8893895662609401E-5</v>
      </c>
      <c r="D34280" s="1">
        <v>1.9728834754315301E-5</v>
      </c>
      <c r="E34280" s="1">
        <v>2.1727699775335501E-5</v>
      </c>
      <c r="F34280" s="1">
        <v>4.6360072715674502E-5</v>
      </c>
    </row>
    <row r="34281" spans="1:6" x14ac:dyDescent="0.25">
      <c r="A34281" s="2" t="str">
        <f t="shared" si="1197"/>
        <v>99999</v>
      </c>
      <c r="B34281" s="2" t="str">
        <f>"24360"</f>
        <v>24360</v>
      </c>
      <c r="C34281" s="1">
        <v>2.87360775177791E-4</v>
      </c>
      <c r="D34281" s="1">
        <v>1.7452430744201901E-4</v>
      </c>
      <c r="E34281" s="1">
        <v>1.5209389842734899E-4</v>
      </c>
      <c r="F34281" s="1">
        <v>2.7686712954446801E-4</v>
      </c>
    </row>
    <row r="34282" spans="1:6" x14ac:dyDescent="0.25">
      <c r="A34282" s="2" t="str">
        <f t="shared" si="1197"/>
        <v>99999</v>
      </c>
      <c r="B34282" s="2" t="str">
        <f>"24382"</f>
        <v>24382</v>
      </c>
      <c r="C34282" s="1">
        <v>9.3476834006752101E-4</v>
      </c>
      <c r="D34282" s="1">
        <v>1.75131348511383E-3</v>
      </c>
      <c r="E34282" s="1">
        <v>1.27758874678973E-3</v>
      </c>
      <c r="F34282" s="1">
        <v>9.96144652579505E-4</v>
      </c>
    </row>
    <row r="34283" spans="1:6" x14ac:dyDescent="0.25">
      <c r="A34283" s="2" t="str">
        <f t="shared" si="1197"/>
        <v>99999</v>
      </c>
      <c r="B34283" s="2" t="str">
        <f>"24311"</f>
        <v>24311</v>
      </c>
      <c r="C34283" s="1">
        <v>8.9493291168168994E-5</v>
      </c>
      <c r="D34283" s="1">
        <v>4.2492874855448297E-5</v>
      </c>
      <c r="E34283" s="1">
        <v>1.3036619865201299E-5</v>
      </c>
      <c r="F34283" s="1">
        <v>8.4661849530126701E-5</v>
      </c>
    </row>
    <row r="34284" spans="1:6" x14ac:dyDescent="0.25">
      <c r="A34284" s="2" t="str">
        <f t="shared" si="1197"/>
        <v>99999</v>
      </c>
      <c r="B34284" s="2" t="str">
        <f>"24281"</f>
        <v>24281</v>
      </c>
      <c r="C34284" s="1">
        <v>1.21361633876834E-4</v>
      </c>
      <c r="D34284" s="1">
        <v>6.2221709609763595E-5</v>
      </c>
      <c r="E34284" s="1">
        <v>7.3874179236140894E-5</v>
      </c>
      <c r="F34284" s="1">
        <v>1.16397607462101E-4</v>
      </c>
    </row>
    <row r="34285" spans="1:6" x14ac:dyDescent="0.25">
      <c r="A34285" s="2" t="str">
        <f t="shared" si="1197"/>
        <v>99999</v>
      </c>
      <c r="B34285" s="2" t="str">
        <f>"24271"</f>
        <v>24271</v>
      </c>
      <c r="C34285" s="1">
        <v>1.6370723994177199E-6</v>
      </c>
      <c r="D34285" s="1">
        <v>0</v>
      </c>
      <c r="E34285" s="1">
        <v>0</v>
      </c>
      <c r="F34285" s="1">
        <v>1.4922770187448801E-6</v>
      </c>
    </row>
    <row r="34286" spans="1:6" x14ac:dyDescent="0.25">
      <c r="A34286" s="2" t="str">
        <f t="shared" si="1197"/>
        <v>99999</v>
      </c>
      <c r="B34286" s="2" t="str">
        <f>"24343"</f>
        <v>24343</v>
      </c>
      <c r="C34286" s="1">
        <v>4.8282721966826802E-4</v>
      </c>
      <c r="D34286" s="1">
        <v>5.2964333301969504E-4</v>
      </c>
      <c r="E34286" s="1">
        <v>3.5633427631550301E-4</v>
      </c>
      <c r="F34286" s="1">
        <v>4.8300032840042901E-4</v>
      </c>
    </row>
    <row r="34287" spans="1:6" x14ac:dyDescent="0.25">
      <c r="A34287" s="2" t="str">
        <f t="shared" si="1197"/>
        <v>99999</v>
      </c>
      <c r="B34287" s="2" t="str">
        <f>"24248"</f>
        <v>24248</v>
      </c>
      <c r="C34287" s="1">
        <v>1.30965791953418E-4</v>
      </c>
      <c r="D34287" s="1">
        <v>6.2221709609763595E-5</v>
      </c>
      <c r="E34287" s="1">
        <v>8.2565259146275205E-5</v>
      </c>
      <c r="F34287" s="1">
        <v>1.2535126957457E-4</v>
      </c>
    </row>
    <row r="34288" spans="1:6" x14ac:dyDescent="0.25">
      <c r="A34288" s="2" t="str">
        <f t="shared" si="1197"/>
        <v>99999</v>
      </c>
      <c r="B34288" s="2" t="str">
        <f>"23968"</f>
        <v>23968</v>
      </c>
      <c r="C34288" s="1">
        <v>5.1840625981561303E-5</v>
      </c>
      <c r="D34288" s="1">
        <v>4.0975272182039399E-5</v>
      </c>
      <c r="E34288" s="1">
        <v>4.3455399550671099E-6</v>
      </c>
      <c r="F34288" s="1">
        <v>5.0041022695245203E-5</v>
      </c>
    </row>
    <row r="34289" spans="1:6" x14ac:dyDescent="0.25">
      <c r="A34289" s="2" t="str">
        <f t="shared" si="1197"/>
        <v>99999</v>
      </c>
      <c r="B34289" s="2" t="str">
        <f>"23959"</f>
        <v>23959</v>
      </c>
      <c r="C34289" s="1">
        <v>6.2427027497795901E-5</v>
      </c>
      <c r="D34289" s="1">
        <v>1.3658424060679801E-5</v>
      </c>
      <c r="E34289" s="1">
        <v>4.3455399550671099E-6</v>
      </c>
      <c r="F34289" s="1">
        <v>5.7900348327301699E-5</v>
      </c>
    </row>
    <row r="34290" spans="1:6" x14ac:dyDescent="0.25">
      <c r="A34290" s="2" t="str">
        <f t="shared" si="1197"/>
        <v>99999</v>
      </c>
      <c r="B34290" s="2" t="str">
        <f>"23952"</f>
        <v>23952</v>
      </c>
      <c r="C34290" s="1">
        <v>1.27691647154582E-5</v>
      </c>
      <c r="D34290" s="1">
        <v>7.5880133670443404E-6</v>
      </c>
      <c r="E34290" s="1">
        <v>4.3455399550671099E-6</v>
      </c>
      <c r="F34290" s="1">
        <v>1.2236671553708001E-5</v>
      </c>
    </row>
    <row r="34291" spans="1:6" x14ac:dyDescent="0.25">
      <c r="A34291" s="2" t="str">
        <f t="shared" si="1197"/>
        <v>99999</v>
      </c>
      <c r="B34291" s="2" t="str">
        <f>"23947"</f>
        <v>23947</v>
      </c>
      <c r="C34291" s="1">
        <v>2.21004773921393E-4</v>
      </c>
      <c r="D34291" s="1">
        <v>1.18373008525891E-4</v>
      </c>
      <c r="E34291" s="1">
        <v>8.2565259146275205E-5</v>
      </c>
      <c r="F34291" s="1">
        <v>2.1110745558511001E-4</v>
      </c>
    </row>
    <row r="34292" spans="1:6" x14ac:dyDescent="0.25">
      <c r="A34292" s="2" t="str">
        <f t="shared" si="1197"/>
        <v>99999</v>
      </c>
      <c r="B34292" s="2" t="str">
        <f>"23944"</f>
        <v>23944</v>
      </c>
      <c r="C34292" s="1">
        <v>1.78004338896687E-4</v>
      </c>
      <c r="D34292" s="1">
        <v>6.8292120303399095E-5</v>
      </c>
      <c r="E34292" s="1">
        <v>6.5183099326006705E-5</v>
      </c>
      <c r="F34292" s="1">
        <v>1.6822936257984E-4</v>
      </c>
    </row>
    <row r="34293" spans="1:6" x14ac:dyDescent="0.25">
      <c r="A34293" s="2" t="str">
        <f t="shared" si="1197"/>
        <v>99999</v>
      </c>
      <c r="B34293" s="2" t="str">
        <f>"24079"</f>
        <v>24079</v>
      </c>
      <c r="C34293" s="1">
        <v>9.4731922846305705E-5</v>
      </c>
      <c r="D34293" s="1">
        <v>2.2764040101133E-5</v>
      </c>
      <c r="E34293" s="1">
        <v>5.6492019415872502E-5</v>
      </c>
      <c r="F34293" s="1">
        <v>8.9138680586361396E-5</v>
      </c>
    </row>
    <row r="34294" spans="1:6" x14ac:dyDescent="0.25">
      <c r="A34294" s="2" t="str">
        <f t="shared" si="1197"/>
        <v>99999</v>
      </c>
      <c r="B34294" s="2" t="str">
        <f>"23873"</f>
        <v>23873</v>
      </c>
      <c r="C34294" s="1">
        <v>0</v>
      </c>
      <c r="D34294" s="1">
        <v>0</v>
      </c>
      <c r="E34294" s="1">
        <v>4.3455399550671099E-6</v>
      </c>
      <c r="F34294" s="1">
        <v>9.9485134582992598E-8</v>
      </c>
    </row>
    <row r="34295" spans="1:6" x14ac:dyDescent="0.25">
      <c r="A34295" s="2" t="str">
        <f t="shared" si="1197"/>
        <v>99999</v>
      </c>
      <c r="B34295" s="2" t="str">
        <f>"23866"</f>
        <v>23866</v>
      </c>
      <c r="C34295" s="1">
        <v>1.85534871934008E-6</v>
      </c>
      <c r="D34295" s="1">
        <v>0</v>
      </c>
      <c r="E34295" s="1">
        <v>0</v>
      </c>
      <c r="F34295" s="1">
        <v>1.6912472879108699E-6</v>
      </c>
    </row>
    <row r="34296" spans="1:6" x14ac:dyDescent="0.25">
      <c r="A34296" s="2" t="str">
        <f t="shared" si="1197"/>
        <v>99999</v>
      </c>
      <c r="B34296" s="2" t="str">
        <f>"23890"</f>
        <v>23890</v>
      </c>
      <c r="C34296" s="1">
        <v>2.7393678150256599E-5</v>
      </c>
      <c r="D34296" s="1">
        <v>7.5880133670443404E-6</v>
      </c>
      <c r="E34296" s="1">
        <v>0</v>
      </c>
      <c r="F34296" s="1">
        <v>2.5468194453246102E-5</v>
      </c>
    </row>
    <row r="34297" spans="1:6" x14ac:dyDescent="0.25">
      <c r="A34297" s="2" t="str">
        <f t="shared" si="1197"/>
        <v>99999</v>
      </c>
      <c r="B34297" s="2" t="str">
        <f>"23407"</f>
        <v>23407</v>
      </c>
      <c r="C34297" s="1">
        <v>0</v>
      </c>
      <c r="D34297" s="1">
        <v>1.51760267340886E-6</v>
      </c>
      <c r="E34297" s="1">
        <v>0</v>
      </c>
      <c r="F34297" s="1">
        <v>9.9485134582992598E-8</v>
      </c>
    </row>
    <row r="34298" spans="1:6" x14ac:dyDescent="0.25">
      <c r="A34298" s="2" t="str">
        <f t="shared" si="1197"/>
        <v>99999</v>
      </c>
      <c r="B34298" s="2" t="str">
        <f>"23401"</f>
        <v>23401</v>
      </c>
      <c r="C34298" s="1">
        <v>0</v>
      </c>
      <c r="D34298" s="1">
        <v>1.51760267340886E-6</v>
      </c>
      <c r="E34298" s="1">
        <v>0</v>
      </c>
      <c r="F34298" s="1">
        <v>9.9485134582992598E-8</v>
      </c>
    </row>
    <row r="34299" spans="1:6" x14ac:dyDescent="0.25">
      <c r="A34299" s="2" t="str">
        <f t="shared" si="1197"/>
        <v>99999</v>
      </c>
      <c r="B34299" s="2" t="str">
        <f>"23389"</f>
        <v>23389</v>
      </c>
      <c r="C34299" s="1">
        <v>0</v>
      </c>
      <c r="D34299" s="1">
        <v>3.0352053468177301E-6</v>
      </c>
      <c r="E34299" s="1">
        <v>0</v>
      </c>
      <c r="F34299" s="1">
        <v>1.9897026916598501E-7</v>
      </c>
    </row>
    <row r="34300" spans="1:6" x14ac:dyDescent="0.25">
      <c r="A34300" s="2" t="str">
        <f t="shared" si="1197"/>
        <v>99999</v>
      </c>
      <c r="B34300" s="2" t="str">
        <f>"23336"</f>
        <v>23336</v>
      </c>
      <c r="C34300" s="1">
        <v>3.6484886875022999E-4</v>
      </c>
      <c r="D34300" s="1">
        <v>4.8108004747061099E-4</v>
      </c>
      <c r="E34300" s="1">
        <v>1.7816713815775099E-4</v>
      </c>
      <c r="F34300" s="1">
        <v>3.6819448309165502E-4</v>
      </c>
    </row>
    <row r="34301" spans="1:6" x14ac:dyDescent="0.25">
      <c r="A34301" s="2" t="str">
        <f t="shared" si="1197"/>
        <v>99999</v>
      </c>
      <c r="B34301" s="2" t="str">
        <f>"23303"</f>
        <v>23303</v>
      </c>
      <c r="C34301" s="1">
        <v>2.5538329430916501E-5</v>
      </c>
      <c r="D34301" s="1">
        <v>6.0704106936354696E-6</v>
      </c>
      <c r="E34301" s="1">
        <v>0</v>
      </c>
      <c r="F34301" s="1">
        <v>2.36774620307522E-5</v>
      </c>
    </row>
    <row r="34302" spans="1:6" x14ac:dyDescent="0.25">
      <c r="A34302" s="2" t="str">
        <f t="shared" si="1197"/>
        <v>99999</v>
      </c>
      <c r="B34302" s="2" t="str">
        <f>"23301"</f>
        <v>23301</v>
      </c>
      <c r="C34302" s="1">
        <v>5.8388915579232199E-5</v>
      </c>
      <c r="D34302" s="1">
        <v>6.8292120303399095E-5</v>
      </c>
      <c r="E34302" s="1">
        <v>2.60732397304027E-5</v>
      </c>
      <c r="F34302" s="1">
        <v>5.8298288865633599E-5</v>
      </c>
    </row>
    <row r="34303" spans="1:6" x14ac:dyDescent="0.25">
      <c r="A34303" s="2" t="str">
        <f t="shared" si="1197"/>
        <v>99999</v>
      </c>
      <c r="B34303" s="2" t="str">
        <f>"23139"</f>
        <v>23139</v>
      </c>
      <c r="C34303" s="1">
        <v>8.5127764769721692E-6</v>
      </c>
      <c r="D34303" s="1">
        <v>1.51760267340886E-6</v>
      </c>
      <c r="E34303" s="1">
        <v>0</v>
      </c>
      <c r="F34303" s="1">
        <v>7.85932563205641E-6</v>
      </c>
    </row>
    <row r="34304" spans="1:6" x14ac:dyDescent="0.25">
      <c r="A34304" s="2" t="str">
        <f t="shared" si="1197"/>
        <v>99999</v>
      </c>
      <c r="B34304" s="2" t="str">
        <f>"23117"</f>
        <v>23117</v>
      </c>
      <c r="C34304" s="1">
        <v>5.1829712165565205E-4</v>
      </c>
      <c r="D34304" s="1">
        <v>3.5663662825108399E-4</v>
      </c>
      <c r="E34304" s="1">
        <v>4.3455399550671103E-5</v>
      </c>
      <c r="F34304" s="1">
        <v>4.9682876210746497E-4</v>
      </c>
    </row>
    <row r="34305" spans="1:6" x14ac:dyDescent="0.25">
      <c r="A34305" s="2" t="str">
        <f t="shared" si="1197"/>
        <v>99999</v>
      </c>
      <c r="B34305" s="2" t="str">
        <f>"22849"</f>
        <v>22849</v>
      </c>
      <c r="C34305" s="1">
        <v>2.7066263670373001E-4</v>
      </c>
      <c r="D34305" s="1">
        <v>2.21569990317694E-4</v>
      </c>
      <c r="E34305" s="1">
        <v>1.30366198652013E-4</v>
      </c>
      <c r="F34305" s="1">
        <v>2.6423251745242801E-4</v>
      </c>
    </row>
    <row r="34306" spans="1:6" x14ac:dyDescent="0.25">
      <c r="A34306" s="2" t="str">
        <f t="shared" si="1197"/>
        <v>99999</v>
      </c>
      <c r="B34306" s="2" t="str">
        <f>"22844"</f>
        <v>22844</v>
      </c>
      <c r="C34306" s="1">
        <v>1.99831970888923E-4</v>
      </c>
      <c r="D34306" s="1">
        <v>1.36584240606798E-4</v>
      </c>
      <c r="E34306" s="1">
        <v>1.08638498876677E-4</v>
      </c>
      <c r="F34306" s="1">
        <v>1.9359807189850301E-4</v>
      </c>
    </row>
    <row r="34307" spans="1:6" x14ac:dyDescent="0.25">
      <c r="A34307" s="2" t="str">
        <f t="shared" si="1197"/>
        <v>99999</v>
      </c>
      <c r="B34307" s="2" t="str">
        <f>"23083"</f>
        <v>23083</v>
      </c>
      <c r="C34307" s="1">
        <v>6.5482895976708995E-7</v>
      </c>
      <c r="D34307" s="1">
        <v>1.51760267340886E-6</v>
      </c>
      <c r="E34307" s="1">
        <v>0</v>
      </c>
      <c r="F34307" s="1">
        <v>6.9639594208094799E-7</v>
      </c>
    </row>
    <row r="34308" spans="1:6" x14ac:dyDescent="0.25">
      <c r="A34308" s="2" t="str">
        <f t="shared" si="1197"/>
        <v>99999</v>
      </c>
      <c r="B34308" s="2" t="str">
        <f>"23084"</f>
        <v>23084</v>
      </c>
      <c r="C34308" s="1">
        <v>1.06955396761958E-5</v>
      </c>
      <c r="D34308" s="1">
        <v>1.0623218713862E-5</v>
      </c>
      <c r="E34308" s="1">
        <v>0</v>
      </c>
      <c r="F34308" s="1">
        <v>1.04459391312142E-5</v>
      </c>
    </row>
    <row r="34309" spans="1:6" x14ac:dyDescent="0.25">
      <c r="A34309" s="2" t="str">
        <f t="shared" si="1197"/>
        <v>99999</v>
      </c>
      <c r="B34309" s="2" t="str">
        <f>"23071"</f>
        <v>23071</v>
      </c>
      <c r="C34309" s="1">
        <v>9.2876574126965597E-5</v>
      </c>
      <c r="D34309" s="1">
        <v>6.37393122831725E-5</v>
      </c>
      <c r="E34309" s="1">
        <v>1.3036619865201299E-5</v>
      </c>
      <c r="F34309" s="1">
        <v>8.9138680586361396E-5</v>
      </c>
    </row>
    <row r="34310" spans="1:6" x14ac:dyDescent="0.25">
      <c r="A34310" s="2" t="str">
        <f t="shared" si="1197"/>
        <v>99999</v>
      </c>
      <c r="B34310" s="2" t="str">
        <f>"22968"</f>
        <v>22968</v>
      </c>
      <c r="C34310" s="1">
        <v>2.7284539990295402E-6</v>
      </c>
      <c r="D34310" s="1">
        <v>0</v>
      </c>
      <c r="E34310" s="1">
        <v>0</v>
      </c>
      <c r="F34310" s="1">
        <v>2.48712836457481E-6</v>
      </c>
    </row>
    <row r="34311" spans="1:6" x14ac:dyDescent="0.25">
      <c r="A34311" s="2" t="str">
        <f t="shared" si="1197"/>
        <v>99999</v>
      </c>
      <c r="B34311" s="2" t="str">
        <f>"22660"</f>
        <v>22660</v>
      </c>
      <c r="C34311" s="1">
        <v>8.5127764769721699E-5</v>
      </c>
      <c r="D34311" s="1">
        <v>4.0975272182039399E-5</v>
      </c>
      <c r="E34311" s="1">
        <v>1.7382159820268399E-5</v>
      </c>
      <c r="F34311" s="1">
        <v>8.0682444146807004E-5</v>
      </c>
    </row>
    <row r="34312" spans="1:6" x14ac:dyDescent="0.25">
      <c r="A34312" s="2" t="str">
        <f t="shared" si="1197"/>
        <v>99999</v>
      </c>
      <c r="B34312" s="2" t="str">
        <f>"22544"</f>
        <v>22544</v>
      </c>
      <c r="C34312" s="1">
        <v>0</v>
      </c>
      <c r="D34312" s="1">
        <v>0</v>
      </c>
      <c r="E34312" s="1">
        <v>4.3455399550671099E-6</v>
      </c>
      <c r="F34312" s="1">
        <v>9.9485134582992598E-8</v>
      </c>
    </row>
    <row r="34313" spans="1:6" x14ac:dyDescent="0.25">
      <c r="A34313" s="2" t="str">
        <f t="shared" si="1197"/>
        <v>99999</v>
      </c>
      <c r="B34313" s="2" t="str">
        <f>"22538"</f>
        <v>22538</v>
      </c>
      <c r="C34313" s="1">
        <v>8.0762238371274393E-6</v>
      </c>
      <c r="D34313" s="1">
        <v>1.51760267340886E-6</v>
      </c>
      <c r="E34313" s="1">
        <v>4.3455399550671099E-6</v>
      </c>
      <c r="F34313" s="1">
        <v>7.5608702283074398E-6</v>
      </c>
    </row>
    <row r="34314" spans="1:6" x14ac:dyDescent="0.25">
      <c r="A34314" s="2" t="str">
        <f t="shared" si="1197"/>
        <v>99999</v>
      </c>
      <c r="B34314" s="2" t="str">
        <f>"22437"</f>
        <v>22437</v>
      </c>
      <c r="C34314" s="1">
        <v>2.58657439108E-5</v>
      </c>
      <c r="D34314" s="1">
        <v>3.0352053468177301E-6</v>
      </c>
      <c r="E34314" s="1">
        <v>4.3455399550671099E-6</v>
      </c>
      <c r="F34314" s="1">
        <v>2.38764322999182E-5</v>
      </c>
    </row>
    <row r="34315" spans="1:6" x14ac:dyDescent="0.25">
      <c r="A34315" s="2" t="str">
        <f t="shared" si="1197"/>
        <v>99999</v>
      </c>
      <c r="B34315" s="2" t="str">
        <f>"22438"</f>
        <v>22438</v>
      </c>
      <c r="C34315" s="1">
        <v>1.87717635133232E-5</v>
      </c>
      <c r="D34315" s="1">
        <v>1.51760267340886E-6</v>
      </c>
      <c r="E34315" s="1">
        <v>4.3455399550671099E-6</v>
      </c>
      <c r="F34315" s="1">
        <v>1.7310413417440701E-5</v>
      </c>
    </row>
    <row r="34316" spans="1:6" x14ac:dyDescent="0.25">
      <c r="A34316" s="2" t="str">
        <f t="shared" si="1197"/>
        <v>99999</v>
      </c>
      <c r="B34316" s="2" t="str">
        <f>"21620"</f>
        <v>21620</v>
      </c>
      <c r="C34316" s="1">
        <v>6.3147339353539699E-4</v>
      </c>
      <c r="D34316" s="1">
        <v>1.27175104031663E-3</v>
      </c>
      <c r="E34316" s="1">
        <v>1.18198686777825E-3</v>
      </c>
      <c r="F34316" s="1">
        <v>6.8604948808431699E-4</v>
      </c>
    </row>
    <row r="34317" spans="1:6" x14ac:dyDescent="0.25">
      <c r="A34317" s="2" t="str">
        <f t="shared" si="1197"/>
        <v>99999</v>
      </c>
      <c r="B34317" s="2" t="str">
        <f>"21523"</f>
        <v>21523</v>
      </c>
      <c r="C34317" s="1">
        <v>1.51702042346042E-5</v>
      </c>
      <c r="D34317" s="1">
        <v>3.0352053468177301E-6</v>
      </c>
      <c r="E34317" s="1">
        <v>8.69107991013423E-6</v>
      </c>
      <c r="F34317" s="1">
        <v>1.42263742453679E-5</v>
      </c>
    </row>
    <row r="34318" spans="1:6" x14ac:dyDescent="0.25">
      <c r="A34318" s="2" t="str">
        <f t="shared" si="1197"/>
        <v>99999</v>
      </c>
      <c r="B34318" s="2" t="str">
        <f>"49960"</f>
        <v>49960</v>
      </c>
      <c r="C34318" s="1">
        <v>1.03681251963122E-5</v>
      </c>
      <c r="D34318" s="1">
        <v>1.51760267340886E-6</v>
      </c>
      <c r="E34318" s="1">
        <v>4.3455399550671099E-6</v>
      </c>
      <c r="F34318" s="1">
        <v>9.6500580545502799E-6</v>
      </c>
    </row>
    <row r="34319" spans="1:6" x14ac:dyDescent="0.25">
      <c r="A34319" s="2" t="str">
        <f t="shared" si="1197"/>
        <v>99999</v>
      </c>
      <c r="B34319" s="2" t="str">
        <f>"49756"</f>
        <v>49756</v>
      </c>
      <c r="C34319" s="1">
        <v>3.1988394684622298E-4</v>
      </c>
      <c r="D34319" s="1">
        <v>9.8644173771576501E-5</v>
      </c>
      <c r="E34319" s="1">
        <v>2.60732397304027E-5</v>
      </c>
      <c r="F34319" s="1">
        <v>2.9865437401814299E-4</v>
      </c>
    </row>
    <row r="34320" spans="1:6" x14ac:dyDescent="0.25">
      <c r="A34320" s="2" t="str">
        <f t="shared" si="1197"/>
        <v>99999</v>
      </c>
      <c r="B34320" s="2" t="str">
        <f>"49751"</f>
        <v>49751</v>
      </c>
      <c r="C34320" s="1">
        <v>1.6501689786130601E-4</v>
      </c>
      <c r="D34320" s="1">
        <v>5.0080888222492601E-5</v>
      </c>
      <c r="E34320" s="1">
        <v>0</v>
      </c>
      <c r="F34320" s="1">
        <v>1.5370453293072299E-4</v>
      </c>
    </row>
    <row r="34321" spans="1:6" x14ac:dyDescent="0.25">
      <c r="A34321" s="2" t="str">
        <f t="shared" si="1197"/>
        <v>99999</v>
      </c>
      <c r="B34321" s="2" t="str">
        <f>"49948"</f>
        <v>49948</v>
      </c>
      <c r="C34321" s="1">
        <v>4.3109573184666699E-5</v>
      </c>
      <c r="D34321" s="1">
        <v>7.5880133670443404E-6</v>
      </c>
      <c r="E34321" s="1">
        <v>4.3455399550671099E-6</v>
      </c>
      <c r="F34321" s="1">
        <v>3.9893538967779998E-5</v>
      </c>
    </row>
    <row r="34322" spans="1:6" x14ac:dyDescent="0.25">
      <c r="A34322" s="2" t="str">
        <f t="shared" ref="A34322:A34385" si="1198">"99999"</f>
        <v>99999</v>
      </c>
      <c r="B34322" s="2" t="str">
        <f>"49730"</f>
        <v>49730</v>
      </c>
      <c r="C34322" s="1">
        <v>1.3063837747353399E-4</v>
      </c>
      <c r="D34322" s="1">
        <v>4.0975272182039399E-5</v>
      </c>
      <c r="E34322" s="1">
        <v>1.7382159820268399E-5</v>
      </c>
      <c r="F34322" s="1">
        <v>1.2216774526791399E-4</v>
      </c>
    </row>
    <row r="34323" spans="1:6" x14ac:dyDescent="0.25">
      <c r="A34323" s="2" t="str">
        <f t="shared" si="1198"/>
        <v>99999</v>
      </c>
      <c r="B34323" s="2" t="str">
        <f>"49729"</f>
        <v>49729</v>
      </c>
      <c r="C34323" s="1">
        <v>9.1457778047470203E-5</v>
      </c>
      <c r="D34323" s="1">
        <v>5.15984908959015E-5</v>
      </c>
      <c r="E34323" s="1">
        <v>0</v>
      </c>
      <c r="F34323" s="1">
        <v>8.67510373563695E-5</v>
      </c>
    </row>
    <row r="34324" spans="1:6" x14ac:dyDescent="0.25">
      <c r="A34324" s="2" t="str">
        <f t="shared" si="1198"/>
        <v>99999</v>
      </c>
      <c r="B34324" s="2" t="str">
        <f>"49705"</f>
        <v>49705</v>
      </c>
      <c r="C34324" s="1">
        <v>4.92213101424929E-5</v>
      </c>
      <c r="D34324" s="1">
        <v>1.0623218713862E-5</v>
      </c>
      <c r="E34324" s="1">
        <v>1.3036619865201299E-5</v>
      </c>
      <c r="F34324" s="1">
        <v>4.5862647042759598E-5</v>
      </c>
    </row>
    <row r="34325" spans="1:6" x14ac:dyDescent="0.25">
      <c r="A34325" s="2" t="str">
        <f t="shared" si="1198"/>
        <v>99999</v>
      </c>
      <c r="B34325" s="2" t="str">
        <f>"49657"</f>
        <v>49657</v>
      </c>
      <c r="C34325" s="1">
        <v>1.09138159961181E-7</v>
      </c>
      <c r="D34325" s="1">
        <v>0</v>
      </c>
      <c r="E34325" s="1">
        <v>0</v>
      </c>
      <c r="F34325" s="1">
        <v>9.9485134582992598E-8</v>
      </c>
    </row>
    <row r="34326" spans="1:6" x14ac:dyDescent="0.25">
      <c r="A34326" s="2" t="str">
        <f t="shared" si="1198"/>
        <v>99999</v>
      </c>
      <c r="B34326" s="2" t="str">
        <f>"49659"</f>
        <v>49659</v>
      </c>
      <c r="C34326" s="1">
        <v>2.8877957125728602E-4</v>
      </c>
      <c r="D34326" s="1">
        <v>1.66936294074975E-4</v>
      </c>
      <c r="E34326" s="1">
        <v>1.2602065869694599E-4</v>
      </c>
      <c r="F34326" s="1">
        <v>2.7706609981363399E-4</v>
      </c>
    </row>
    <row r="34327" spans="1:6" x14ac:dyDescent="0.25">
      <c r="A34327" s="2" t="str">
        <f t="shared" si="1198"/>
        <v>99999</v>
      </c>
      <c r="B34327" s="2" t="str">
        <f>"49634"</f>
        <v>49634</v>
      </c>
      <c r="C34327" s="1">
        <v>5.4569079980590803E-6</v>
      </c>
      <c r="D34327" s="1">
        <v>7.5880133670443404E-6</v>
      </c>
      <c r="E34327" s="1">
        <v>8.69107991013423E-6</v>
      </c>
      <c r="F34327" s="1">
        <v>5.6706526712305799E-6</v>
      </c>
    </row>
    <row r="34328" spans="1:6" x14ac:dyDescent="0.25">
      <c r="A34328" s="2" t="str">
        <f t="shared" si="1198"/>
        <v>99999</v>
      </c>
      <c r="B34328" s="2" t="str">
        <f>"49616"</f>
        <v>49616</v>
      </c>
      <c r="C34328" s="1">
        <v>7.63967119728272E-7</v>
      </c>
      <c r="D34328" s="1">
        <v>0</v>
      </c>
      <c r="E34328" s="1">
        <v>0</v>
      </c>
      <c r="F34328" s="1">
        <v>6.9639594208094799E-7</v>
      </c>
    </row>
    <row r="34329" spans="1:6" x14ac:dyDescent="0.25">
      <c r="A34329" s="2" t="str">
        <f t="shared" si="1198"/>
        <v>99999</v>
      </c>
      <c r="B34329" s="2" t="str">
        <f>"49619"</f>
        <v>49619</v>
      </c>
      <c r="C34329" s="1">
        <v>6.5155481496825398E-5</v>
      </c>
      <c r="D34329" s="1">
        <v>2.1246437427724101E-5</v>
      </c>
      <c r="E34329" s="1">
        <v>0</v>
      </c>
      <c r="F34329" s="1">
        <v>6.0785417230208501E-5</v>
      </c>
    </row>
    <row r="34330" spans="1:6" x14ac:dyDescent="0.25">
      <c r="A34330" s="2" t="str">
        <f t="shared" si="1198"/>
        <v>99999</v>
      </c>
      <c r="B34330" s="2" t="str">
        <f>"49330"</f>
        <v>49330</v>
      </c>
      <c r="C34330" s="1">
        <v>1.20051975957299E-5</v>
      </c>
      <c r="D34330" s="1">
        <v>3.0352053468177301E-6</v>
      </c>
      <c r="E34330" s="1">
        <v>0</v>
      </c>
      <c r="F34330" s="1">
        <v>1.11423350732951E-5</v>
      </c>
    </row>
    <row r="34331" spans="1:6" x14ac:dyDescent="0.25">
      <c r="A34331" s="2" t="str">
        <f t="shared" si="1198"/>
        <v>99999</v>
      </c>
      <c r="B34331" s="2" t="str">
        <f>"49436"</f>
        <v>49436</v>
      </c>
      <c r="C34331" s="1">
        <v>1.7734950993691999E-4</v>
      </c>
      <c r="D34331" s="1">
        <v>7.1327325650216798E-5</v>
      </c>
      <c r="E34331" s="1">
        <v>8.69107991013423E-6</v>
      </c>
      <c r="F34331" s="1">
        <v>1.6653811529192901E-4</v>
      </c>
    </row>
    <row r="34332" spans="1:6" x14ac:dyDescent="0.25">
      <c r="A34332" s="2" t="str">
        <f t="shared" si="1198"/>
        <v>99999</v>
      </c>
      <c r="B34332" s="2" t="str">
        <f>"49420"</f>
        <v>49420</v>
      </c>
      <c r="C34332" s="1">
        <v>3.4007450643904201E-4</v>
      </c>
      <c r="D34332" s="1">
        <v>4.4465758330879801E-4</v>
      </c>
      <c r="E34332" s="1">
        <v>5.2581033456312095E-4</v>
      </c>
      <c r="F34332" s="1">
        <v>3.5118252507796398E-4</v>
      </c>
    </row>
    <row r="34333" spans="1:6" x14ac:dyDescent="0.25">
      <c r="A34333" s="2" t="str">
        <f t="shared" si="1198"/>
        <v>99999</v>
      </c>
      <c r="B34333" s="2" t="str">
        <f>"49043"</f>
        <v>49043</v>
      </c>
      <c r="C34333" s="1">
        <v>1.3685925259132101E-4</v>
      </c>
      <c r="D34333" s="1">
        <v>4.4010477528857203E-5</v>
      </c>
      <c r="E34333" s="1">
        <v>8.69107991013423E-5</v>
      </c>
      <c r="F34333" s="1">
        <v>1.2962913036163899E-4</v>
      </c>
    </row>
    <row r="34334" spans="1:6" x14ac:dyDescent="0.25">
      <c r="A34334" s="2" t="str">
        <f t="shared" si="1198"/>
        <v>99999</v>
      </c>
      <c r="B34334" s="2" t="str">
        <f>"49022"</f>
        <v>49022</v>
      </c>
      <c r="C34334" s="1">
        <v>2.2373322792042201E-5</v>
      </c>
      <c r="D34334" s="1">
        <v>1.21408213872709E-5</v>
      </c>
      <c r="E34334" s="1">
        <v>4.3455399550671099E-6</v>
      </c>
      <c r="F34334" s="1">
        <v>2.1289818800760401E-5</v>
      </c>
    </row>
    <row r="34335" spans="1:6" x14ac:dyDescent="0.25">
      <c r="A34335" s="2" t="str">
        <f t="shared" si="1198"/>
        <v>99999</v>
      </c>
      <c r="B34335" s="2" t="str">
        <f>"49078"</f>
        <v>49078</v>
      </c>
      <c r="C34335" s="1">
        <v>5.5660461580202599E-6</v>
      </c>
      <c r="D34335" s="1">
        <v>0</v>
      </c>
      <c r="E34335" s="1">
        <v>0</v>
      </c>
      <c r="F34335" s="1">
        <v>5.0737418637326201E-6</v>
      </c>
    </row>
    <row r="34336" spans="1:6" x14ac:dyDescent="0.25">
      <c r="A34336" s="2" t="str">
        <f t="shared" si="1198"/>
        <v>99999</v>
      </c>
      <c r="B34336" s="2" t="str">
        <f>"49071"</f>
        <v>49071</v>
      </c>
      <c r="C34336" s="1">
        <v>3.77399757145766E-4</v>
      </c>
      <c r="D34336" s="1">
        <v>2.57992454479507E-4</v>
      </c>
      <c r="E34336" s="1">
        <v>2.3900469752869099E-4</v>
      </c>
      <c r="F34336" s="1">
        <v>3.6640375066916101E-4</v>
      </c>
    </row>
    <row r="34337" spans="1:6" x14ac:dyDescent="0.25">
      <c r="A34337" s="2" t="str">
        <f t="shared" si="1198"/>
        <v>99999</v>
      </c>
      <c r="B34337" s="2" t="str">
        <f>"49098"</f>
        <v>49098</v>
      </c>
      <c r="C34337" s="1">
        <v>2.2809875431886899E-5</v>
      </c>
      <c r="D34337" s="1">
        <v>3.0352053468177301E-6</v>
      </c>
      <c r="E34337" s="1">
        <v>0</v>
      </c>
      <c r="F34337" s="1">
        <v>2.0991363397011399E-5</v>
      </c>
    </row>
    <row r="34338" spans="1:6" x14ac:dyDescent="0.25">
      <c r="A34338" s="2" t="str">
        <f t="shared" si="1198"/>
        <v>99999</v>
      </c>
      <c r="B34338" s="2" t="str">
        <f>"49057"</f>
        <v>49057</v>
      </c>
      <c r="C34338" s="1">
        <v>3.0667822949091998E-4</v>
      </c>
      <c r="D34338" s="1">
        <v>2.5495724913269E-4</v>
      </c>
      <c r="E34338" s="1">
        <v>3.7806197609083903E-4</v>
      </c>
      <c r="F34338" s="1">
        <v>3.0492193749687201E-4</v>
      </c>
    </row>
    <row r="34339" spans="1:6" x14ac:dyDescent="0.25">
      <c r="A34339" s="2" t="str">
        <f t="shared" si="1198"/>
        <v>99999</v>
      </c>
      <c r="B34339" s="2" t="str">
        <f>"48734"</f>
        <v>48734</v>
      </c>
      <c r="C34339" s="1">
        <v>7.8579475172050803E-6</v>
      </c>
      <c r="D34339" s="1">
        <v>3.0352053468177301E-6</v>
      </c>
      <c r="E34339" s="1">
        <v>0</v>
      </c>
      <c r="F34339" s="1">
        <v>7.3618999591414504E-6</v>
      </c>
    </row>
    <row r="34340" spans="1:6" x14ac:dyDescent="0.25">
      <c r="A34340" s="2" t="str">
        <f t="shared" si="1198"/>
        <v>99999</v>
      </c>
      <c r="B34340" s="2" t="str">
        <f>"48768"</f>
        <v>48768</v>
      </c>
      <c r="C34340" s="1">
        <v>4.7693375903036397E-4</v>
      </c>
      <c r="D34340" s="1">
        <v>3.7181265498517299E-4</v>
      </c>
      <c r="E34340" s="1">
        <v>3.8240751604590601E-4</v>
      </c>
      <c r="F34340" s="1">
        <v>4.6787858794381399E-4</v>
      </c>
    </row>
    <row r="34341" spans="1:6" x14ac:dyDescent="0.25">
      <c r="A34341" s="2" t="str">
        <f t="shared" si="1198"/>
        <v>99999</v>
      </c>
      <c r="B34341" s="2" t="str">
        <f>"48735"</f>
        <v>48735</v>
      </c>
      <c r="C34341" s="1">
        <v>4.92213101424929E-5</v>
      </c>
      <c r="D34341" s="1">
        <v>1.21408213872709E-5</v>
      </c>
      <c r="E34341" s="1">
        <v>8.69107991013423E-6</v>
      </c>
      <c r="F34341" s="1">
        <v>4.5862647042759598E-5</v>
      </c>
    </row>
    <row r="34342" spans="1:6" x14ac:dyDescent="0.25">
      <c r="A34342" s="2" t="str">
        <f t="shared" si="1198"/>
        <v>99999</v>
      </c>
      <c r="B34342" s="2" t="str">
        <f>"48703"</f>
        <v>48703</v>
      </c>
      <c r="C34342" s="1">
        <v>2.50690353430834E-4</v>
      </c>
      <c r="D34342" s="1">
        <v>8.043294169067E-5</v>
      </c>
      <c r="E34342" s="1">
        <v>1.3471173860707999E-4</v>
      </c>
      <c r="F34342" s="1">
        <v>2.3687410544210501E-4</v>
      </c>
    </row>
    <row r="34343" spans="1:6" x14ac:dyDescent="0.25">
      <c r="A34343" s="2" t="str">
        <f t="shared" si="1198"/>
        <v>99999</v>
      </c>
      <c r="B34343" s="2" t="str">
        <f>"48652"</f>
        <v>48652</v>
      </c>
      <c r="C34343" s="1">
        <v>3.9944566545792501E-5</v>
      </c>
      <c r="D34343" s="1">
        <v>1.66936294074975E-5</v>
      </c>
      <c r="E34343" s="1">
        <v>0</v>
      </c>
      <c r="F34343" s="1">
        <v>3.7505895737788197E-5</v>
      </c>
    </row>
    <row r="34344" spans="1:6" x14ac:dyDescent="0.25">
      <c r="A34344" s="2" t="str">
        <f t="shared" si="1198"/>
        <v>99999</v>
      </c>
      <c r="B34344" s="2" t="str">
        <f>"48659"</f>
        <v>48659</v>
      </c>
      <c r="C34344" s="1">
        <v>1.49519279146818E-4</v>
      </c>
      <c r="D34344" s="1">
        <v>8.1950544364078906E-5</v>
      </c>
      <c r="E34344" s="1">
        <v>8.69107991013423E-6</v>
      </c>
      <c r="F34344" s="1">
        <v>1.41865801915347E-4</v>
      </c>
    </row>
    <row r="34345" spans="1:6" x14ac:dyDescent="0.25">
      <c r="A34345" s="2" t="str">
        <f t="shared" si="1198"/>
        <v>99999</v>
      </c>
      <c r="B34345" s="2" t="str">
        <f>"48651"</f>
        <v>48651</v>
      </c>
      <c r="C34345" s="1">
        <v>3.5830057915255901E-4</v>
      </c>
      <c r="D34345" s="1">
        <v>2.2308759299110301E-4</v>
      </c>
      <c r="E34345" s="1">
        <v>2.4769577743882499E-4</v>
      </c>
      <c r="F34345" s="1">
        <v>3.4690466429089501E-4</v>
      </c>
    </row>
    <row r="34346" spans="1:6" x14ac:dyDescent="0.25">
      <c r="A34346" s="2" t="str">
        <f t="shared" si="1198"/>
        <v>99999</v>
      </c>
      <c r="B34346" s="2" t="str">
        <f>"48613"</f>
        <v>48613</v>
      </c>
      <c r="C34346" s="1">
        <v>6.2208751177873496E-6</v>
      </c>
      <c r="D34346" s="1">
        <v>3.0352053468177301E-6</v>
      </c>
      <c r="E34346" s="1">
        <v>0</v>
      </c>
      <c r="F34346" s="1">
        <v>5.86962294039656E-6</v>
      </c>
    </row>
    <row r="34347" spans="1:6" x14ac:dyDescent="0.25">
      <c r="A34347" s="2" t="str">
        <f t="shared" si="1198"/>
        <v>99999</v>
      </c>
      <c r="B34347" s="2" t="str">
        <f>"48617"</f>
        <v>48617</v>
      </c>
      <c r="C34347" s="1">
        <v>3.3756432875993502E-4</v>
      </c>
      <c r="D34347" s="1">
        <v>6.1766428807740901E-4</v>
      </c>
      <c r="E34347" s="1">
        <v>6.2141221357459703E-4</v>
      </c>
      <c r="F34347" s="1">
        <v>3.6242434528584199E-4</v>
      </c>
    </row>
    <row r="34348" spans="1:6" x14ac:dyDescent="0.25">
      <c r="A34348" s="2" t="str">
        <f t="shared" si="1198"/>
        <v>99999</v>
      </c>
      <c r="B34348" s="2" t="str">
        <f>"48610"</f>
        <v>48610</v>
      </c>
      <c r="C34348" s="1">
        <v>2.6422348526601997E-4</v>
      </c>
      <c r="D34348" s="1">
        <v>6.0704106936354703E-5</v>
      </c>
      <c r="E34348" s="1">
        <v>1.7382159820268399E-5</v>
      </c>
      <c r="F34348" s="1">
        <v>2.4523085674707599E-4</v>
      </c>
    </row>
    <row r="34349" spans="1:6" x14ac:dyDescent="0.25">
      <c r="A34349" s="2" t="str">
        <f t="shared" si="1198"/>
        <v>99999</v>
      </c>
      <c r="B34349" s="2" t="str">
        <f>"48633"</f>
        <v>48633</v>
      </c>
      <c r="C34349" s="1">
        <v>1.09138159961181E-7</v>
      </c>
      <c r="D34349" s="1">
        <v>0</v>
      </c>
      <c r="E34349" s="1">
        <v>0</v>
      </c>
      <c r="F34349" s="1">
        <v>9.9485134582992598E-8</v>
      </c>
    </row>
    <row r="34350" spans="1:6" x14ac:dyDescent="0.25">
      <c r="A34350" s="2" t="str">
        <f t="shared" si="1198"/>
        <v>99999</v>
      </c>
      <c r="B34350" s="2" t="str">
        <f>"48635"</f>
        <v>48635</v>
      </c>
      <c r="C34350" s="1">
        <v>1.5890516090348E-4</v>
      </c>
      <c r="D34350" s="1">
        <v>3.9457669508630602E-5</v>
      </c>
      <c r="E34350" s="1">
        <v>0</v>
      </c>
      <c r="F34350" s="1">
        <v>1.47436969451995E-4</v>
      </c>
    </row>
    <row r="34351" spans="1:6" x14ac:dyDescent="0.25">
      <c r="A34351" s="2" t="str">
        <f t="shared" si="1198"/>
        <v>99999</v>
      </c>
      <c r="B34351" s="2" t="str">
        <f>"48622"</f>
        <v>48622</v>
      </c>
      <c r="C34351" s="1">
        <v>3.06350815011037E-4</v>
      </c>
      <c r="D34351" s="1">
        <v>1.85147526155882E-4</v>
      </c>
      <c r="E34351" s="1">
        <v>8.69107991013423E-5</v>
      </c>
      <c r="F34351" s="1">
        <v>2.9338166188524502E-4</v>
      </c>
    </row>
    <row r="34352" spans="1:6" x14ac:dyDescent="0.25">
      <c r="A34352" s="2" t="str">
        <f t="shared" si="1198"/>
        <v>99999</v>
      </c>
      <c r="B34352" s="2" t="str">
        <f>"48441"</f>
        <v>48441</v>
      </c>
      <c r="C34352" s="1">
        <v>2.4501516911285302E-4</v>
      </c>
      <c r="D34352" s="1">
        <v>2.4736923576564501E-4</v>
      </c>
      <c r="E34352" s="1">
        <v>9.9947418966543598E-5</v>
      </c>
      <c r="F34352" s="1">
        <v>2.41848362171255E-4</v>
      </c>
    </row>
    <row r="34353" spans="1:6" x14ac:dyDescent="0.25">
      <c r="A34353" s="2" t="str">
        <f t="shared" si="1198"/>
        <v>99999</v>
      </c>
      <c r="B34353" s="2" t="str">
        <f>"48097"</f>
        <v>48097</v>
      </c>
      <c r="C34353" s="1">
        <v>2.3682980711576399E-5</v>
      </c>
      <c r="D34353" s="1">
        <v>4.5528080202265997E-6</v>
      </c>
      <c r="E34353" s="1">
        <v>0</v>
      </c>
      <c r="F34353" s="1">
        <v>2.1886729608258301E-5</v>
      </c>
    </row>
    <row r="34354" spans="1:6" x14ac:dyDescent="0.25">
      <c r="A34354" s="2" t="str">
        <f t="shared" si="1198"/>
        <v>99999</v>
      </c>
      <c r="B34354" s="2" t="str">
        <f>"47969"</f>
        <v>47969</v>
      </c>
      <c r="C34354" s="1">
        <v>1.85534871934008E-6</v>
      </c>
      <c r="D34354" s="1">
        <v>0</v>
      </c>
      <c r="E34354" s="1">
        <v>1.3036619865201299E-5</v>
      </c>
      <c r="F34354" s="1">
        <v>1.98970269165985E-6</v>
      </c>
    </row>
    <row r="34355" spans="1:6" x14ac:dyDescent="0.25">
      <c r="A34355" s="2" t="str">
        <f t="shared" si="1198"/>
        <v>99999</v>
      </c>
      <c r="B34355" s="2" t="str">
        <f>"47926"</f>
        <v>47926</v>
      </c>
      <c r="C34355" s="1">
        <v>3.6670421746956999E-5</v>
      </c>
      <c r="D34355" s="1">
        <v>1.66936294074975E-5</v>
      </c>
      <c r="E34355" s="1">
        <v>8.69107991013423E-6</v>
      </c>
      <c r="F34355" s="1">
        <v>3.4720311969464401E-5</v>
      </c>
    </row>
    <row r="34356" spans="1:6" x14ac:dyDescent="0.25">
      <c r="A34356" s="2" t="str">
        <f t="shared" si="1198"/>
        <v>99999</v>
      </c>
      <c r="B34356" s="2" t="str">
        <f>"47531"</f>
        <v>47531</v>
      </c>
      <c r="C34356" s="1">
        <v>4.7911652222958702E-5</v>
      </c>
      <c r="D34356" s="1">
        <v>1.5176026734088599E-5</v>
      </c>
      <c r="E34356" s="1">
        <v>0</v>
      </c>
      <c r="F34356" s="1">
        <v>4.4668825427763602E-5</v>
      </c>
    </row>
    <row r="34357" spans="1:6" x14ac:dyDescent="0.25">
      <c r="A34357" s="2" t="str">
        <f t="shared" si="1198"/>
        <v>99999</v>
      </c>
      <c r="B34357" s="2" t="str">
        <f>"47470"</f>
        <v>47470</v>
      </c>
      <c r="C34357" s="1">
        <v>1.25508883955359E-5</v>
      </c>
      <c r="D34357" s="1">
        <v>1.3658424060679801E-5</v>
      </c>
      <c r="E34357" s="1">
        <v>0</v>
      </c>
      <c r="F34357" s="1">
        <v>1.2336156688290999E-5</v>
      </c>
    </row>
    <row r="34358" spans="1:6" x14ac:dyDescent="0.25">
      <c r="A34358" s="2" t="str">
        <f t="shared" si="1198"/>
        <v>99999</v>
      </c>
      <c r="B34358" s="2" t="str">
        <f>"47515"</f>
        <v>47515</v>
      </c>
      <c r="C34358" s="1">
        <v>5.7079257659698001E-5</v>
      </c>
      <c r="D34358" s="1">
        <v>1.9728834754315301E-5</v>
      </c>
      <c r="E34358" s="1">
        <v>2.1727699775335501E-5</v>
      </c>
      <c r="F34358" s="1">
        <v>5.3821457809398998E-5</v>
      </c>
    </row>
    <row r="34359" spans="1:6" x14ac:dyDescent="0.25">
      <c r="A34359" s="2" t="str">
        <f t="shared" si="1198"/>
        <v>99999</v>
      </c>
      <c r="B34359" s="2" t="str">
        <f>"47460"</f>
        <v>47460</v>
      </c>
      <c r="C34359" s="1">
        <v>5.0203553582143598E-6</v>
      </c>
      <c r="D34359" s="1">
        <v>0</v>
      </c>
      <c r="E34359" s="1">
        <v>0</v>
      </c>
      <c r="F34359" s="1">
        <v>4.5763161908176597E-6</v>
      </c>
    </row>
    <row r="34360" spans="1:6" x14ac:dyDescent="0.25">
      <c r="A34360" s="2" t="str">
        <f t="shared" si="1198"/>
        <v>99999</v>
      </c>
      <c r="B34360" s="2" t="str">
        <f>"47637"</f>
        <v>47637</v>
      </c>
      <c r="C34360" s="1">
        <v>9.4950199166228093E-6</v>
      </c>
      <c r="D34360" s="1">
        <v>0</v>
      </c>
      <c r="E34360" s="1">
        <v>0</v>
      </c>
      <c r="F34360" s="1">
        <v>8.6552067087203506E-6</v>
      </c>
    </row>
    <row r="34361" spans="1:6" x14ac:dyDescent="0.25">
      <c r="A34361" s="2" t="str">
        <f t="shared" si="1198"/>
        <v>99999</v>
      </c>
      <c r="B34361" s="2" t="str">
        <f>"47639"</f>
        <v>47639</v>
      </c>
      <c r="C34361" s="1">
        <v>1.9262885233148501E-4</v>
      </c>
      <c r="D34361" s="1">
        <v>1.09267392485438E-4</v>
      </c>
      <c r="E34361" s="1">
        <v>9.1256339056409395E-5</v>
      </c>
      <c r="F34361" s="1">
        <v>1.848433800552E-4</v>
      </c>
    </row>
    <row r="34362" spans="1:6" x14ac:dyDescent="0.25">
      <c r="A34362" s="2" t="str">
        <f t="shared" si="1198"/>
        <v>99999</v>
      </c>
      <c r="B34362" s="2" t="str">
        <f>"47640"</f>
        <v>47640</v>
      </c>
      <c r="C34362" s="1">
        <v>4.5292336383890401E-5</v>
      </c>
      <c r="D34362" s="1">
        <v>1.21408213872709E-5</v>
      </c>
      <c r="E34362" s="1">
        <v>4.3455399550671099E-6</v>
      </c>
      <c r="F34362" s="1">
        <v>4.2181697063188802E-5</v>
      </c>
    </row>
    <row r="34363" spans="1:6" x14ac:dyDescent="0.25">
      <c r="A34363" s="2" t="str">
        <f t="shared" si="1198"/>
        <v>99999</v>
      </c>
      <c r="B34363" s="2" t="str">
        <f>"47446"</f>
        <v>47446</v>
      </c>
      <c r="C34363" s="1">
        <v>4.8020790382919898E-6</v>
      </c>
      <c r="D34363" s="1">
        <v>0</v>
      </c>
      <c r="E34363" s="1">
        <v>0</v>
      </c>
      <c r="F34363" s="1">
        <v>4.3773459216516703E-6</v>
      </c>
    </row>
    <row r="34364" spans="1:6" x14ac:dyDescent="0.25">
      <c r="A34364" s="2" t="str">
        <f t="shared" si="1198"/>
        <v>99999</v>
      </c>
      <c r="B34364" s="2" t="str">
        <f>"47452"</f>
        <v>47452</v>
      </c>
      <c r="C34364" s="1">
        <v>2.4828931391168799E-4</v>
      </c>
      <c r="D34364" s="1">
        <v>2.39781222398601E-4</v>
      </c>
      <c r="E34364" s="1">
        <v>2.3900469752869099E-4</v>
      </c>
      <c r="F34364" s="1">
        <v>2.4751901484248502E-4</v>
      </c>
    </row>
    <row r="34365" spans="1:6" x14ac:dyDescent="0.25">
      <c r="A34365" s="2" t="str">
        <f t="shared" si="1198"/>
        <v>99999</v>
      </c>
      <c r="B34365" s="2" t="str">
        <f>"47579"</f>
        <v>47579</v>
      </c>
      <c r="C34365" s="1">
        <v>1.3358510779248601E-4</v>
      </c>
      <c r="D34365" s="1">
        <v>5.3116093569310399E-5</v>
      </c>
      <c r="E34365" s="1">
        <v>1.39057278562147E-4</v>
      </c>
      <c r="F34365" s="1">
        <v>1.2843530874664301E-4</v>
      </c>
    </row>
    <row r="34366" spans="1:6" x14ac:dyDescent="0.25">
      <c r="A34366" s="2" t="str">
        <f t="shared" si="1198"/>
        <v>99999</v>
      </c>
      <c r="B34366" s="2" t="str">
        <f>"47358"</f>
        <v>47358</v>
      </c>
      <c r="C34366" s="1">
        <v>3.9944566545792501E-5</v>
      </c>
      <c r="D34366" s="1">
        <v>1.8211232080906399E-5</v>
      </c>
      <c r="E34366" s="1">
        <v>1.28193428674479E-3</v>
      </c>
      <c r="F34366" s="1">
        <v>6.6953495574353995E-5</v>
      </c>
    </row>
    <row r="34367" spans="1:6" x14ac:dyDescent="0.25">
      <c r="A34367" s="2" t="str">
        <f t="shared" si="1198"/>
        <v>99999</v>
      </c>
      <c r="B34367" s="2" t="str">
        <f>"47355"</f>
        <v>47355</v>
      </c>
      <c r="C34367" s="1">
        <v>1.13067133719784E-4</v>
      </c>
      <c r="D34367" s="1">
        <v>6.0704106936354703E-5</v>
      </c>
      <c r="E34367" s="1">
        <v>3.47643196405369E-5</v>
      </c>
      <c r="F34367" s="1">
        <v>1.0784188588796401E-4</v>
      </c>
    </row>
    <row r="34368" spans="1:6" x14ac:dyDescent="0.25">
      <c r="A34368" s="2" t="str">
        <f t="shared" si="1198"/>
        <v>99999</v>
      </c>
      <c r="B34368" s="2" t="str">
        <f>"47354"</f>
        <v>47354</v>
      </c>
      <c r="C34368" s="1">
        <v>3.0340408469208501E-5</v>
      </c>
      <c r="D34368" s="1">
        <v>2.2764040101133E-5</v>
      </c>
      <c r="E34368" s="1">
        <v>2.1727699775335501E-5</v>
      </c>
      <c r="F34368" s="1">
        <v>2.9646570105731799E-5</v>
      </c>
    </row>
    <row r="34369" spans="1:6" x14ac:dyDescent="0.25">
      <c r="A34369" s="2" t="str">
        <f t="shared" si="1198"/>
        <v>99999</v>
      </c>
      <c r="B34369" s="2" t="str">
        <f>"47006"</f>
        <v>47006</v>
      </c>
      <c r="C34369" s="1">
        <v>4.0217411945695397E-4</v>
      </c>
      <c r="D34369" s="1">
        <v>5.5392497579423699E-4</v>
      </c>
      <c r="E34369" s="1">
        <v>5.3450141447325503E-4</v>
      </c>
      <c r="F34369" s="1">
        <v>4.1515146661482799E-4</v>
      </c>
    </row>
    <row r="34370" spans="1:6" x14ac:dyDescent="0.25">
      <c r="A34370" s="2" t="str">
        <f t="shared" si="1198"/>
        <v>99999</v>
      </c>
      <c r="B34370" s="2" t="str">
        <f>"46978"</f>
        <v>46978</v>
      </c>
      <c r="C34370" s="1">
        <v>4.1472500785249E-6</v>
      </c>
      <c r="D34370" s="1">
        <v>4.5528080202265997E-6</v>
      </c>
      <c r="E34370" s="1">
        <v>0</v>
      </c>
      <c r="F34370" s="1">
        <v>4.07889051790269E-6</v>
      </c>
    </row>
    <row r="34371" spans="1:6" x14ac:dyDescent="0.25">
      <c r="A34371" s="2" t="str">
        <f t="shared" si="1198"/>
        <v>99999</v>
      </c>
      <c r="B34371" s="2" t="str">
        <f>"46939"</f>
        <v>46939</v>
      </c>
      <c r="C34371" s="1">
        <v>1.22998706276251E-4</v>
      </c>
      <c r="D34371" s="1">
        <v>3.0352053468177301E-5</v>
      </c>
      <c r="E34371" s="1">
        <v>6.5183099326006705E-5</v>
      </c>
      <c r="F34371" s="1">
        <v>1.15601726385437E-4</v>
      </c>
    </row>
    <row r="34372" spans="1:6" x14ac:dyDescent="0.25">
      <c r="A34372" s="2" t="str">
        <f t="shared" si="1198"/>
        <v>99999</v>
      </c>
      <c r="B34372" s="2" t="str">
        <f>"47033"</f>
        <v>47033</v>
      </c>
      <c r="C34372" s="1">
        <v>0</v>
      </c>
      <c r="D34372" s="1">
        <v>1.51760267340886E-6</v>
      </c>
      <c r="E34372" s="1">
        <v>0</v>
      </c>
      <c r="F34372" s="1">
        <v>9.9485134582992598E-8</v>
      </c>
    </row>
    <row r="34373" spans="1:6" x14ac:dyDescent="0.25">
      <c r="A34373" s="2" t="str">
        <f t="shared" si="1198"/>
        <v>99999</v>
      </c>
      <c r="B34373" s="2" t="str">
        <f>"47032"</f>
        <v>47032</v>
      </c>
      <c r="C34373" s="1">
        <v>9.4950199166228093E-6</v>
      </c>
      <c r="D34373" s="1">
        <v>0</v>
      </c>
      <c r="E34373" s="1">
        <v>0</v>
      </c>
      <c r="F34373" s="1">
        <v>8.6552067087203506E-6</v>
      </c>
    </row>
    <row r="34374" spans="1:6" x14ac:dyDescent="0.25">
      <c r="A34374" s="2" t="str">
        <f t="shared" si="1198"/>
        <v>99999</v>
      </c>
      <c r="B34374" s="2" t="str">
        <f>"46912"</f>
        <v>46912</v>
      </c>
      <c r="C34374" s="1">
        <v>0</v>
      </c>
      <c r="D34374" s="1">
        <v>0</v>
      </c>
      <c r="E34374" s="1">
        <v>4.3455399550671099E-6</v>
      </c>
      <c r="F34374" s="1">
        <v>9.9485134582992598E-8</v>
      </c>
    </row>
    <row r="34375" spans="1:6" x14ac:dyDescent="0.25">
      <c r="A34375" s="2" t="str">
        <f t="shared" si="1198"/>
        <v>99999</v>
      </c>
      <c r="B34375" s="2" t="str">
        <f>"46792"</f>
        <v>46792</v>
      </c>
      <c r="C34375" s="1">
        <v>2.5320053110994099E-5</v>
      </c>
      <c r="D34375" s="1">
        <v>4.5528080202265997E-6</v>
      </c>
      <c r="E34375" s="1">
        <v>0</v>
      </c>
      <c r="F34375" s="1">
        <v>2.3379006627003201E-5</v>
      </c>
    </row>
    <row r="34376" spans="1:6" x14ac:dyDescent="0.25">
      <c r="A34376" s="2" t="str">
        <f t="shared" si="1198"/>
        <v>99999</v>
      </c>
      <c r="B34376" s="2" t="str">
        <f>"46565"</f>
        <v>46565</v>
      </c>
      <c r="C34376" s="1">
        <v>3.0078476885301599E-4</v>
      </c>
      <c r="D34376" s="1">
        <v>3.0200293200836502E-4</v>
      </c>
      <c r="E34376" s="1">
        <v>2.2596807766349001E-4</v>
      </c>
      <c r="F34376" s="1">
        <v>2.99151799691058E-4</v>
      </c>
    </row>
    <row r="34377" spans="1:6" x14ac:dyDescent="0.25">
      <c r="A34377" s="2" t="str">
        <f t="shared" si="1198"/>
        <v>99999</v>
      </c>
      <c r="B34377" s="2" t="str">
        <f>"46531"</f>
        <v>46531</v>
      </c>
      <c r="C34377" s="1">
        <v>6.9521007895272707E-5</v>
      </c>
      <c r="D34377" s="1">
        <v>2.5799245447950699E-5</v>
      </c>
      <c r="E34377" s="1">
        <v>4.3455399550671099E-6</v>
      </c>
      <c r="F34377" s="1">
        <v>6.5162763151860103E-5</v>
      </c>
    </row>
    <row r="34378" spans="1:6" x14ac:dyDescent="0.25">
      <c r="A34378" s="2" t="str">
        <f t="shared" si="1198"/>
        <v>99999</v>
      </c>
      <c r="B34378" s="2" t="str">
        <f>"46050"</f>
        <v>46050</v>
      </c>
      <c r="C34378" s="1">
        <v>1.6370723994177199E-6</v>
      </c>
      <c r="D34378" s="1">
        <v>1.51760267340886E-6</v>
      </c>
      <c r="E34378" s="1">
        <v>0</v>
      </c>
      <c r="F34378" s="1">
        <v>1.5917621533278801E-6</v>
      </c>
    </row>
    <row r="34379" spans="1:6" x14ac:dyDescent="0.25">
      <c r="A34379" s="2" t="str">
        <f t="shared" si="1198"/>
        <v>99999</v>
      </c>
      <c r="B34379" s="2" t="str">
        <f>"45896"</f>
        <v>45896</v>
      </c>
      <c r="C34379" s="1">
        <v>7.2031185574379897E-6</v>
      </c>
      <c r="D34379" s="1">
        <v>3.0352053468177301E-6</v>
      </c>
      <c r="E34379" s="1">
        <v>0</v>
      </c>
      <c r="F34379" s="1">
        <v>6.7649891516434898E-6</v>
      </c>
    </row>
    <row r="34380" spans="1:6" x14ac:dyDescent="0.25">
      <c r="A34380" s="2" t="str">
        <f t="shared" si="1198"/>
        <v>99999</v>
      </c>
      <c r="B34380" s="2" t="str">
        <f>"45886"</f>
        <v>45886</v>
      </c>
      <c r="C34380" s="1">
        <v>4.2563882384860804E-6</v>
      </c>
      <c r="D34380" s="1">
        <v>1.51760267340886E-6</v>
      </c>
      <c r="E34380" s="1">
        <v>0</v>
      </c>
      <c r="F34380" s="1">
        <v>3.9794053833197E-6</v>
      </c>
    </row>
    <row r="34381" spans="1:6" x14ac:dyDescent="0.25">
      <c r="A34381" s="2" t="str">
        <f t="shared" si="1198"/>
        <v>99999</v>
      </c>
      <c r="B34381" s="2" t="str">
        <f>"45687"</f>
        <v>45687</v>
      </c>
      <c r="C34381" s="1">
        <v>0</v>
      </c>
      <c r="D34381" s="1">
        <v>1.51760267340886E-6</v>
      </c>
      <c r="E34381" s="1">
        <v>0</v>
      </c>
      <c r="F34381" s="1">
        <v>9.9485134582992598E-8</v>
      </c>
    </row>
    <row r="34382" spans="1:6" x14ac:dyDescent="0.25">
      <c r="A34382" s="2" t="str">
        <f t="shared" si="1198"/>
        <v>99999</v>
      </c>
      <c r="B34382" s="2" t="str">
        <f>"45660"</f>
        <v>45660</v>
      </c>
      <c r="C34382" s="1">
        <v>4.5117715327952501E-4</v>
      </c>
      <c r="D34382" s="1">
        <v>2.97450123988138E-4</v>
      </c>
      <c r="E34382" s="1">
        <v>1.9989483793308701E-4</v>
      </c>
      <c r="F34382" s="1">
        <v>4.3534694893517499E-4</v>
      </c>
    </row>
    <row r="34383" spans="1:6" x14ac:dyDescent="0.25">
      <c r="A34383" s="2" t="str">
        <f t="shared" si="1198"/>
        <v>99999</v>
      </c>
      <c r="B34383" s="2" t="str">
        <f>"45651"</f>
        <v>45651</v>
      </c>
      <c r="C34383" s="1">
        <v>3.0613253869111399E-4</v>
      </c>
      <c r="D34383" s="1">
        <v>2.7923889190723103E-4</v>
      </c>
      <c r="E34383" s="1">
        <v>1.0429295892161E-4</v>
      </c>
      <c r="F34383" s="1">
        <v>2.99748710498556E-4</v>
      </c>
    </row>
    <row r="34384" spans="1:6" x14ac:dyDescent="0.25">
      <c r="A34384" s="2" t="str">
        <f t="shared" si="1198"/>
        <v>99999</v>
      </c>
      <c r="B34384" s="2" t="str">
        <f>"45876"</f>
        <v>45876</v>
      </c>
      <c r="C34384" s="1">
        <v>4.0271981025675999E-5</v>
      </c>
      <c r="D34384" s="1">
        <v>1.51760267340886E-6</v>
      </c>
      <c r="E34384" s="1">
        <v>1.7382159820268399E-5</v>
      </c>
      <c r="F34384" s="1">
        <v>3.7207440334039201E-5</v>
      </c>
    </row>
    <row r="34385" spans="1:6" x14ac:dyDescent="0.25">
      <c r="A34385" s="2" t="str">
        <f t="shared" si="1198"/>
        <v>99999</v>
      </c>
      <c r="B34385" s="2" t="str">
        <f>"45849"</f>
        <v>45849</v>
      </c>
      <c r="C34385" s="1">
        <v>3.7543527026646502E-5</v>
      </c>
      <c r="D34385" s="1">
        <v>1.3658424060679801E-5</v>
      </c>
      <c r="E34385" s="1">
        <v>4.3455399550671099E-6</v>
      </c>
      <c r="F34385" s="1">
        <v>3.5217737642379299E-5</v>
      </c>
    </row>
    <row r="34386" spans="1:6" x14ac:dyDescent="0.25">
      <c r="A34386" s="2" t="str">
        <f t="shared" ref="A34386:A34449" si="1199">"99999"</f>
        <v>99999</v>
      </c>
      <c r="B34386" s="2" t="str">
        <f>"45877"</f>
        <v>45877</v>
      </c>
      <c r="C34386" s="1">
        <v>8.5455179249605299E-5</v>
      </c>
      <c r="D34386" s="1">
        <v>2.1246437427724101E-5</v>
      </c>
      <c r="E34386" s="1">
        <v>5.6492019415872502E-5</v>
      </c>
      <c r="F34386" s="1">
        <v>8.0582959012223999E-5</v>
      </c>
    </row>
    <row r="34387" spans="1:6" x14ac:dyDescent="0.25">
      <c r="A34387" s="2" t="str">
        <f t="shared" si="1199"/>
        <v>99999</v>
      </c>
      <c r="B34387" s="2" t="str">
        <f>"45832"</f>
        <v>45832</v>
      </c>
      <c r="C34387" s="1">
        <v>6.5482895976708995E-7</v>
      </c>
      <c r="D34387" s="1">
        <v>0</v>
      </c>
      <c r="E34387" s="1">
        <v>0</v>
      </c>
      <c r="F34387" s="1">
        <v>5.9691080749795498E-7</v>
      </c>
    </row>
    <row r="34388" spans="1:6" x14ac:dyDescent="0.25">
      <c r="A34388" s="2" t="str">
        <f t="shared" si="1199"/>
        <v>99999</v>
      </c>
      <c r="B34388" s="2" t="str">
        <f>"45810"</f>
        <v>45810</v>
      </c>
      <c r="C34388" s="1">
        <v>6.3158253169535799E-4</v>
      </c>
      <c r="D34388" s="1">
        <v>4.61351212716296E-4</v>
      </c>
      <c r="E34388" s="1">
        <v>1.0168563494856999E-3</v>
      </c>
      <c r="F34388" s="1">
        <v>6.29243476237428E-4</v>
      </c>
    </row>
    <row r="34389" spans="1:6" x14ac:dyDescent="0.25">
      <c r="A34389" s="2" t="str">
        <f t="shared" si="1199"/>
        <v>99999</v>
      </c>
      <c r="B34389" s="2" t="str">
        <f>"45613"</f>
        <v>45613</v>
      </c>
      <c r="C34389" s="1">
        <v>1.7101949665917099E-4</v>
      </c>
      <c r="D34389" s="1">
        <v>7.4362530997034595E-5</v>
      </c>
      <c r="E34389" s="1">
        <v>1.7382159820268399E-5</v>
      </c>
      <c r="F34389" s="1">
        <v>1.61165918024448E-4</v>
      </c>
    </row>
    <row r="34390" spans="1:6" x14ac:dyDescent="0.25">
      <c r="A34390" s="2" t="str">
        <f t="shared" si="1199"/>
        <v>99999</v>
      </c>
      <c r="B34390" s="2" t="str">
        <f>"45732"</f>
        <v>45732</v>
      </c>
      <c r="C34390" s="1">
        <v>5.45690799805908E-5</v>
      </c>
      <c r="D34390" s="1">
        <v>2.1246437427724101E-5</v>
      </c>
      <c r="E34390" s="1">
        <v>0</v>
      </c>
      <c r="F34390" s="1">
        <v>5.11353591756582E-5</v>
      </c>
    </row>
    <row r="34391" spans="1:6" x14ac:dyDescent="0.25">
      <c r="A34391" s="2" t="str">
        <f t="shared" si="1199"/>
        <v>99999</v>
      </c>
      <c r="B34391" s="2" t="str">
        <f>"45327"</f>
        <v>45327</v>
      </c>
      <c r="C34391" s="1">
        <v>3.1650066388742701E-6</v>
      </c>
      <c r="D34391" s="1">
        <v>0</v>
      </c>
      <c r="E34391" s="1">
        <v>0</v>
      </c>
      <c r="F34391" s="1">
        <v>2.8850689029067799E-6</v>
      </c>
    </row>
    <row r="34392" spans="1:6" x14ac:dyDescent="0.25">
      <c r="A34392" s="2" t="str">
        <f t="shared" si="1199"/>
        <v>99999</v>
      </c>
      <c r="B34392" s="2" t="str">
        <f>"45321"</f>
        <v>45321</v>
      </c>
      <c r="C34392" s="1">
        <v>4.5074060063968003E-5</v>
      </c>
      <c r="D34392" s="1">
        <v>3.9457669508630602E-5</v>
      </c>
      <c r="E34392" s="1">
        <v>0</v>
      </c>
      <c r="F34392" s="1">
        <v>4.3673974081933698E-5</v>
      </c>
    </row>
    <row r="34393" spans="1:6" x14ac:dyDescent="0.25">
      <c r="A34393" s="2" t="str">
        <f t="shared" si="1199"/>
        <v>99999</v>
      </c>
      <c r="B34393" s="2" t="str">
        <f>"45381"</f>
        <v>45381</v>
      </c>
      <c r="C34393" s="1">
        <v>2.4588827439254199E-4</v>
      </c>
      <c r="D34393" s="1">
        <v>1.63901088728157E-4</v>
      </c>
      <c r="E34393" s="1">
        <v>1.12984038831745E-4</v>
      </c>
      <c r="F34393" s="1">
        <v>2.3747101624960301E-4</v>
      </c>
    </row>
    <row r="34394" spans="1:6" x14ac:dyDescent="0.25">
      <c r="A34394" s="2" t="str">
        <f t="shared" si="1199"/>
        <v>99999</v>
      </c>
      <c r="B34394" s="2" t="str">
        <f>"45309"</f>
        <v>45309</v>
      </c>
      <c r="C34394" s="1">
        <v>3.8198355986413598E-6</v>
      </c>
      <c r="D34394" s="1">
        <v>1.51760267340886E-6</v>
      </c>
      <c r="E34394" s="1">
        <v>0</v>
      </c>
      <c r="F34394" s="1">
        <v>3.5814648449877301E-6</v>
      </c>
    </row>
    <row r="34395" spans="1:6" x14ac:dyDescent="0.25">
      <c r="A34395" s="2" t="str">
        <f t="shared" si="1199"/>
        <v>99999</v>
      </c>
      <c r="B34395" s="2" t="str">
        <f>"44882"</f>
        <v>44882</v>
      </c>
      <c r="C34395" s="1">
        <v>9.01481201279361E-5</v>
      </c>
      <c r="D34395" s="1">
        <v>3.1869656141586203E-5</v>
      </c>
      <c r="E34395" s="1">
        <v>3.9109859595604001E-5</v>
      </c>
      <c r="F34395" s="1">
        <v>8.5159275203041605E-5</v>
      </c>
    </row>
    <row r="34396" spans="1:6" x14ac:dyDescent="0.25">
      <c r="A34396" s="2" t="str">
        <f t="shared" si="1199"/>
        <v>99999</v>
      </c>
      <c r="B34396" s="2" t="str">
        <f>"44633"</f>
        <v>44633</v>
      </c>
      <c r="C34396" s="1">
        <v>6.4937205176903101E-5</v>
      </c>
      <c r="D34396" s="1">
        <v>4.2492874855448297E-5</v>
      </c>
      <c r="E34396" s="1">
        <v>2.1727699775335501E-5</v>
      </c>
      <c r="F34396" s="1">
        <v>6.2476664518119299E-5</v>
      </c>
    </row>
    <row r="34397" spans="1:6" x14ac:dyDescent="0.25">
      <c r="A34397" s="2" t="str">
        <f t="shared" si="1199"/>
        <v>99999</v>
      </c>
      <c r="B34397" s="2" t="str">
        <f>"44627"</f>
        <v>44627</v>
      </c>
      <c r="C34397" s="1">
        <v>7.8033784372244906E-5</v>
      </c>
      <c r="D34397" s="1">
        <v>5.7668901589537E-5</v>
      </c>
      <c r="E34397" s="1">
        <v>0</v>
      </c>
      <c r="F34397" s="1">
        <v>7.4912306340993402E-5</v>
      </c>
    </row>
    <row r="34398" spans="1:6" x14ac:dyDescent="0.25">
      <c r="A34398" s="2" t="str">
        <f t="shared" si="1199"/>
        <v>99999</v>
      </c>
      <c r="B34398" s="2" t="str">
        <f>"44611"</f>
        <v>44611</v>
      </c>
      <c r="C34398" s="1">
        <v>7.9343442291779104E-5</v>
      </c>
      <c r="D34398" s="1">
        <v>2.2764040101133E-5</v>
      </c>
      <c r="E34398" s="1">
        <v>4.3455399550671099E-6</v>
      </c>
      <c r="F34398" s="1">
        <v>7.3917454995163498E-5</v>
      </c>
    </row>
    <row r="34399" spans="1:6" x14ac:dyDescent="0.25">
      <c r="A34399" s="2" t="str">
        <f t="shared" si="1199"/>
        <v>99999</v>
      </c>
      <c r="B34399" s="2" t="str">
        <f>"44654"</f>
        <v>44654</v>
      </c>
      <c r="C34399" s="1">
        <v>7.3864706661727804E-4</v>
      </c>
      <c r="D34399" s="1">
        <v>1.0911563221809701E-3</v>
      </c>
      <c r="E34399" s="1">
        <v>6.3010329348473101E-4</v>
      </c>
      <c r="F34399" s="1">
        <v>7.5927054713739901E-4</v>
      </c>
    </row>
    <row r="34400" spans="1:6" x14ac:dyDescent="0.25">
      <c r="A34400" s="2" t="str">
        <f t="shared" si="1199"/>
        <v>99999</v>
      </c>
      <c r="B34400" s="2" t="str">
        <f>"43758"</f>
        <v>43758</v>
      </c>
      <c r="C34400" s="1">
        <v>1.64689483381423E-4</v>
      </c>
      <c r="D34400" s="1">
        <v>3.3387258814995101E-5</v>
      </c>
      <c r="E34400" s="1">
        <v>4.3455399550671103E-5</v>
      </c>
      <c r="F34400" s="1">
        <v>1.53306592392391E-4</v>
      </c>
    </row>
    <row r="34401" spans="1:6" x14ac:dyDescent="0.25">
      <c r="A34401" s="2" t="str">
        <f t="shared" si="1199"/>
        <v>99999</v>
      </c>
      <c r="B34401" s="2" t="str">
        <f>"43728"</f>
        <v>43728</v>
      </c>
      <c r="C34401" s="1">
        <v>5.0640106221988301E-5</v>
      </c>
      <c r="D34401" s="1">
        <v>7.5880133670443404E-6</v>
      </c>
      <c r="E34401" s="1">
        <v>0</v>
      </c>
      <c r="F34401" s="1">
        <v>4.6658528119423498E-5</v>
      </c>
    </row>
    <row r="34402" spans="1:6" x14ac:dyDescent="0.25">
      <c r="A34402" s="2" t="str">
        <f t="shared" si="1199"/>
        <v>99999</v>
      </c>
      <c r="B34402" s="2" t="str">
        <f>"43787"</f>
        <v>43787</v>
      </c>
      <c r="C34402" s="1">
        <v>1.4013339739015699E-4</v>
      </c>
      <c r="D34402" s="1">
        <v>3.3387258814995101E-5</v>
      </c>
      <c r="E34402" s="1">
        <v>1.3036619865201299E-5</v>
      </c>
      <c r="F34402" s="1">
        <v>1.30226041169137E-4</v>
      </c>
    </row>
    <row r="34403" spans="1:6" x14ac:dyDescent="0.25">
      <c r="A34403" s="2" t="str">
        <f t="shared" si="1199"/>
        <v>99999</v>
      </c>
      <c r="B34403" s="2" t="str">
        <f>"43535"</f>
        <v>43535</v>
      </c>
      <c r="C34403" s="1">
        <v>3.6997836226840599E-5</v>
      </c>
      <c r="D34403" s="1">
        <v>9.1056160404532095E-6</v>
      </c>
      <c r="E34403" s="1">
        <v>0</v>
      </c>
      <c r="F34403" s="1">
        <v>3.43223714311324E-5</v>
      </c>
    </row>
    <row r="34404" spans="1:6" x14ac:dyDescent="0.25">
      <c r="A34404" s="2" t="str">
        <f t="shared" si="1199"/>
        <v>99999</v>
      </c>
      <c r="B34404" s="2" t="str">
        <f>"43545"</f>
        <v>43545</v>
      </c>
      <c r="C34404" s="1">
        <v>7.1638288198519603E-4</v>
      </c>
      <c r="D34404" s="1">
        <v>9.5305447890077001E-4</v>
      </c>
      <c r="E34404" s="1">
        <v>1.3601540059360001E-3</v>
      </c>
      <c r="F34404" s="1">
        <v>7.4663593504535901E-4</v>
      </c>
    </row>
    <row r="34405" spans="1:6" x14ac:dyDescent="0.25">
      <c r="A34405" s="2" t="str">
        <f t="shared" si="1199"/>
        <v>99999</v>
      </c>
      <c r="B34405" s="2" t="str">
        <f>"43524"</f>
        <v>43524</v>
      </c>
      <c r="C34405" s="1">
        <v>5.3695974700901398E-5</v>
      </c>
      <c r="D34405" s="1">
        <v>2.4281642774541899E-5</v>
      </c>
      <c r="E34405" s="1">
        <v>8.69107991013423E-6</v>
      </c>
      <c r="F34405" s="1">
        <v>5.07374186373262E-5</v>
      </c>
    </row>
    <row r="34406" spans="1:6" x14ac:dyDescent="0.25">
      <c r="A34406" s="2" t="str">
        <f t="shared" si="1199"/>
        <v>99999</v>
      </c>
      <c r="B34406" s="2" t="str">
        <f>"43556"</f>
        <v>43556</v>
      </c>
      <c r="C34406" s="1">
        <v>3.2741447988354498E-7</v>
      </c>
      <c r="D34406" s="1">
        <v>0</v>
      </c>
      <c r="E34406" s="1">
        <v>0</v>
      </c>
      <c r="F34406" s="1">
        <v>2.9845540374897701E-7</v>
      </c>
    </row>
    <row r="34407" spans="1:6" x14ac:dyDescent="0.25">
      <c r="A34407" s="2" t="str">
        <f t="shared" si="1199"/>
        <v>99999</v>
      </c>
      <c r="B34407" s="2" t="str">
        <f>"43505"</f>
        <v>43505</v>
      </c>
      <c r="C34407" s="1">
        <v>1.20051975957299E-6</v>
      </c>
      <c r="D34407" s="1">
        <v>0</v>
      </c>
      <c r="E34407" s="1">
        <v>4.3455399550671099E-6</v>
      </c>
      <c r="F34407" s="1">
        <v>1.19382161499591E-6</v>
      </c>
    </row>
    <row r="34408" spans="1:6" x14ac:dyDescent="0.25">
      <c r="A34408" s="2" t="str">
        <f t="shared" si="1199"/>
        <v>99999</v>
      </c>
      <c r="B34408" s="2" t="str">
        <f>"42728"</f>
        <v>42728</v>
      </c>
      <c r="C34408" s="1">
        <v>8.5607972673550905E-4</v>
      </c>
      <c r="D34408" s="1">
        <v>1.02134659920416E-3</v>
      </c>
      <c r="E34408" s="1">
        <v>2.3465915757362398E-3</v>
      </c>
      <c r="F34408" s="1">
        <v>9.0103686391816403E-4</v>
      </c>
    </row>
    <row r="34409" spans="1:6" x14ac:dyDescent="0.25">
      <c r="A34409" s="2" t="str">
        <f t="shared" si="1199"/>
        <v>99999</v>
      </c>
      <c r="B34409" s="2" t="str">
        <f>"42726"</f>
        <v>42726</v>
      </c>
      <c r="C34409" s="1">
        <v>3.3538156556071099E-4</v>
      </c>
      <c r="D34409" s="1">
        <v>1.30513829913162E-4</v>
      </c>
      <c r="E34409" s="1">
        <v>5.2146479460805396E-4</v>
      </c>
      <c r="F34409" s="1">
        <v>3.2621175629763202E-4</v>
      </c>
    </row>
    <row r="34410" spans="1:6" x14ac:dyDescent="0.25">
      <c r="A34410" s="2" t="str">
        <f t="shared" si="1199"/>
        <v>99999</v>
      </c>
      <c r="B34410" s="2" t="str">
        <f>"42638"</f>
        <v>42638</v>
      </c>
      <c r="C34410" s="1">
        <v>0</v>
      </c>
      <c r="D34410" s="1">
        <v>0</v>
      </c>
      <c r="E34410" s="1">
        <v>4.3455399550671099E-6</v>
      </c>
      <c r="F34410" s="1">
        <v>9.9485134582992598E-8</v>
      </c>
    </row>
    <row r="34411" spans="1:6" x14ac:dyDescent="0.25">
      <c r="A34411" s="2" t="str">
        <f t="shared" si="1199"/>
        <v>99999</v>
      </c>
      <c r="B34411" s="2" t="str">
        <f>"42647"</f>
        <v>42647</v>
      </c>
      <c r="C34411" s="1">
        <v>1.6818190450018099E-4</v>
      </c>
      <c r="D34411" s="1">
        <v>3.7940066835221703E-5</v>
      </c>
      <c r="E34411" s="1">
        <v>6.9528639281073799E-5</v>
      </c>
      <c r="F34411" s="1">
        <v>1.5738548291029401E-4</v>
      </c>
    </row>
    <row r="34412" spans="1:6" x14ac:dyDescent="0.25">
      <c r="A34412" s="2" t="str">
        <f t="shared" si="1199"/>
        <v>99999</v>
      </c>
      <c r="B34412" s="2" t="str">
        <f>"42553"</f>
        <v>42553</v>
      </c>
      <c r="C34412" s="1">
        <v>1.6370723994177199E-6</v>
      </c>
      <c r="D34412" s="1">
        <v>0</v>
      </c>
      <c r="E34412" s="1">
        <v>0</v>
      </c>
      <c r="F34412" s="1">
        <v>1.4922770187448801E-6</v>
      </c>
    </row>
    <row r="34413" spans="1:6" x14ac:dyDescent="0.25">
      <c r="A34413" s="2" t="str">
        <f t="shared" si="1199"/>
        <v>99999</v>
      </c>
      <c r="B34413" s="2" t="str">
        <f>"42566"</f>
        <v>42566</v>
      </c>
      <c r="C34413" s="1">
        <v>3.52516256674617E-5</v>
      </c>
      <c r="D34413" s="1">
        <v>1.8211232080906399E-5</v>
      </c>
      <c r="E34413" s="1">
        <v>1.3036619865201299E-5</v>
      </c>
      <c r="F34413" s="1">
        <v>3.3625975489051499E-5</v>
      </c>
    </row>
    <row r="34414" spans="1:6" x14ac:dyDescent="0.25">
      <c r="A34414" s="2" t="str">
        <f t="shared" si="1199"/>
        <v>99999</v>
      </c>
      <c r="B34414" s="2" t="str">
        <f>"42565"</f>
        <v>42565</v>
      </c>
      <c r="C34414" s="1">
        <v>3.6561283586995803E-5</v>
      </c>
      <c r="D34414" s="1">
        <v>7.5880133670443404E-6</v>
      </c>
      <c r="E34414" s="1">
        <v>2.1727699775335501E-5</v>
      </c>
      <c r="F34414" s="1">
        <v>3.43223714311324E-5</v>
      </c>
    </row>
    <row r="34415" spans="1:6" x14ac:dyDescent="0.25">
      <c r="A34415" s="2" t="str">
        <f t="shared" si="1199"/>
        <v>99999</v>
      </c>
      <c r="B34415" s="2" t="str">
        <f>"42541"</f>
        <v>42541</v>
      </c>
      <c r="C34415" s="1">
        <v>2.8157645269984799E-5</v>
      </c>
      <c r="D34415" s="1">
        <v>7.5880133670443404E-6</v>
      </c>
      <c r="E34415" s="1">
        <v>7.3874179236140894E-5</v>
      </c>
      <c r="F34415" s="1">
        <v>2.78558376832379E-5</v>
      </c>
    </row>
    <row r="34416" spans="1:6" x14ac:dyDescent="0.25">
      <c r="A34416" s="2" t="str">
        <f t="shared" si="1199"/>
        <v>99999</v>
      </c>
      <c r="B34416" s="2" t="str">
        <f>"42445"</f>
        <v>42445</v>
      </c>
      <c r="C34416" s="1">
        <v>5.8607191899154505E-4</v>
      </c>
      <c r="D34416" s="1">
        <v>7.3451969392989195E-4</v>
      </c>
      <c r="E34416" s="1">
        <v>5.17119254652986E-4</v>
      </c>
      <c r="F34416" s="1">
        <v>5.9422470886421502E-4</v>
      </c>
    </row>
    <row r="34417" spans="1:6" x14ac:dyDescent="0.25">
      <c r="A34417" s="2" t="str">
        <f t="shared" si="1199"/>
        <v>99999</v>
      </c>
      <c r="B34417" s="2" t="str">
        <f>"42088"</f>
        <v>42088</v>
      </c>
      <c r="C34417" s="1">
        <v>1.5388480554526601E-5</v>
      </c>
      <c r="D34417" s="1">
        <v>1.51760267340886E-6</v>
      </c>
      <c r="E34417" s="1">
        <v>0</v>
      </c>
      <c r="F34417" s="1">
        <v>1.41268891107849E-5</v>
      </c>
    </row>
    <row r="34418" spans="1:6" x14ac:dyDescent="0.25">
      <c r="A34418" s="2" t="str">
        <f t="shared" si="1199"/>
        <v>99999</v>
      </c>
      <c r="B34418" s="2" t="str">
        <f>"42368"</f>
        <v>42368</v>
      </c>
      <c r="C34418" s="1">
        <v>3.1213513748897903E-5</v>
      </c>
      <c r="D34418" s="1">
        <v>3.0352053468177301E-6</v>
      </c>
      <c r="E34418" s="1">
        <v>2.60732397304027E-5</v>
      </c>
      <c r="F34418" s="1">
        <v>2.9248629567399801E-5</v>
      </c>
    </row>
    <row r="34419" spans="1:6" x14ac:dyDescent="0.25">
      <c r="A34419" s="2" t="str">
        <f t="shared" si="1199"/>
        <v>99999</v>
      </c>
      <c r="B34419" s="2" t="str">
        <f>"42280"</f>
        <v>42280</v>
      </c>
      <c r="C34419" s="1">
        <v>2.6520572870567099E-5</v>
      </c>
      <c r="D34419" s="1">
        <v>3.0352053468177301E-6</v>
      </c>
      <c r="E34419" s="1">
        <v>5.6492019415872502E-5</v>
      </c>
      <c r="F34419" s="1">
        <v>2.5667164722412099E-5</v>
      </c>
    </row>
    <row r="34420" spans="1:6" x14ac:dyDescent="0.25">
      <c r="A34420" s="2" t="str">
        <f t="shared" si="1199"/>
        <v>99999</v>
      </c>
      <c r="B34420" s="2" t="str">
        <f>"42054"</f>
        <v>42054</v>
      </c>
      <c r="C34420" s="1">
        <v>7.4213948773603504E-6</v>
      </c>
      <c r="D34420" s="1">
        <v>1.51760267340886E-6</v>
      </c>
      <c r="E34420" s="1">
        <v>2.60732397304027E-5</v>
      </c>
      <c r="F34420" s="1">
        <v>7.4613850937244396E-6</v>
      </c>
    </row>
    <row r="34421" spans="1:6" x14ac:dyDescent="0.25">
      <c r="A34421" s="2" t="str">
        <f t="shared" si="1199"/>
        <v>99999</v>
      </c>
      <c r="B34421" s="2" t="str">
        <f>"42050"</f>
        <v>42050</v>
      </c>
      <c r="C34421" s="1">
        <v>1.7156518745897701E-4</v>
      </c>
      <c r="D34421" s="1">
        <v>2.6709807051996097E-4</v>
      </c>
      <c r="E34421" s="1">
        <v>1.9989483793308701E-4</v>
      </c>
      <c r="F34421" s="1">
        <v>1.7847633144188799E-4</v>
      </c>
    </row>
    <row r="34422" spans="1:6" x14ac:dyDescent="0.25">
      <c r="A34422" s="2" t="str">
        <f t="shared" si="1199"/>
        <v>99999</v>
      </c>
      <c r="B34422" s="2" t="str">
        <f>"42206"</f>
        <v>42206</v>
      </c>
      <c r="C34422" s="1">
        <v>2.6968039326408E-4</v>
      </c>
      <c r="D34422" s="1">
        <v>9.4091365751349906E-5</v>
      </c>
      <c r="E34422" s="1">
        <v>1.39057278562147E-4</v>
      </c>
      <c r="F34422" s="1">
        <v>2.5517937020537598E-4</v>
      </c>
    </row>
    <row r="34423" spans="1:6" x14ac:dyDescent="0.25">
      <c r="A34423" s="2" t="str">
        <f t="shared" si="1199"/>
        <v>99999</v>
      </c>
      <c r="B34423" s="2" t="str">
        <f>"42003"</f>
        <v>42003</v>
      </c>
      <c r="C34423" s="1">
        <v>3.27414479883545E-6</v>
      </c>
      <c r="D34423" s="1">
        <v>0</v>
      </c>
      <c r="E34423" s="1">
        <v>0</v>
      </c>
      <c r="F34423" s="1">
        <v>2.9845540374897699E-6</v>
      </c>
    </row>
    <row r="34424" spans="1:6" x14ac:dyDescent="0.25">
      <c r="A34424" s="2" t="str">
        <f t="shared" si="1199"/>
        <v>99999</v>
      </c>
      <c r="B34424" s="2" t="str">
        <f>"42035"</f>
        <v>42035</v>
      </c>
      <c r="C34424" s="1">
        <v>4.05993955055596E-5</v>
      </c>
      <c r="D34424" s="1">
        <v>1.9728834754315301E-5</v>
      </c>
      <c r="E34424" s="1">
        <v>1.0429295892161E-4</v>
      </c>
      <c r="F34424" s="1">
        <v>4.0689420044443899E-5</v>
      </c>
    </row>
    <row r="34425" spans="1:6" x14ac:dyDescent="0.25">
      <c r="A34425" s="2" t="str">
        <f t="shared" si="1199"/>
        <v>99999</v>
      </c>
      <c r="B34425" s="2" t="str">
        <f>"42023"</f>
        <v>42023</v>
      </c>
      <c r="C34425" s="1">
        <v>1.23435258916096E-4</v>
      </c>
      <c r="D34425" s="1">
        <v>5.0080888222492601E-5</v>
      </c>
      <c r="E34425" s="1">
        <v>1.8685821806788599E-4</v>
      </c>
      <c r="F34425" s="1">
        <v>1.20078557441672E-4</v>
      </c>
    </row>
    <row r="34426" spans="1:6" x14ac:dyDescent="0.25">
      <c r="A34426" s="2" t="str">
        <f t="shared" si="1199"/>
        <v>99999</v>
      </c>
      <c r="B34426" s="2" t="str">
        <f>"41835"</f>
        <v>41835</v>
      </c>
      <c r="C34426" s="1">
        <v>2.5538329430916501E-5</v>
      </c>
      <c r="D34426" s="1">
        <v>3.0352053468177301E-6</v>
      </c>
      <c r="E34426" s="1">
        <v>8.69107991013423E-6</v>
      </c>
      <c r="F34426" s="1">
        <v>2.36774620307522E-5</v>
      </c>
    </row>
    <row r="34427" spans="1:6" x14ac:dyDescent="0.25">
      <c r="A34427" s="2" t="str">
        <f t="shared" si="1199"/>
        <v>99999</v>
      </c>
      <c r="B34427" s="2" t="str">
        <f>"41843"</f>
        <v>41843</v>
      </c>
      <c r="C34427" s="1">
        <v>2.5320053110994099E-5</v>
      </c>
      <c r="D34427" s="1">
        <v>0</v>
      </c>
      <c r="E34427" s="1">
        <v>1.3036619865201299E-5</v>
      </c>
      <c r="F34427" s="1">
        <v>2.3379006627003201E-5</v>
      </c>
    </row>
    <row r="34428" spans="1:6" x14ac:dyDescent="0.25">
      <c r="A34428" s="2" t="str">
        <f t="shared" si="1199"/>
        <v>99999</v>
      </c>
      <c r="B34428" s="2" t="str">
        <f>"41839"</f>
        <v>41839</v>
      </c>
      <c r="C34428" s="1">
        <v>2.30281517518093E-5</v>
      </c>
      <c r="D34428" s="1">
        <v>0</v>
      </c>
      <c r="E34428" s="1">
        <v>1.3036619865201299E-5</v>
      </c>
      <c r="F34428" s="1">
        <v>2.1289818800760401E-5</v>
      </c>
    </row>
    <row r="34429" spans="1:6" x14ac:dyDescent="0.25">
      <c r="A34429" s="2" t="str">
        <f t="shared" si="1199"/>
        <v>99999</v>
      </c>
      <c r="B34429" s="2" t="str">
        <f>"41838"</f>
        <v>41838</v>
      </c>
      <c r="C34429" s="1">
        <v>1.8553487193400799E-5</v>
      </c>
      <c r="D34429" s="1">
        <v>0</v>
      </c>
      <c r="E34429" s="1">
        <v>2.1727699775335501E-5</v>
      </c>
      <c r="F34429" s="1">
        <v>1.74098985520237E-5</v>
      </c>
    </row>
    <row r="34430" spans="1:6" x14ac:dyDescent="0.25">
      <c r="A34430" s="2" t="str">
        <f t="shared" si="1199"/>
        <v>99999</v>
      </c>
      <c r="B34430" s="2" t="str">
        <f>"41821"</f>
        <v>41821</v>
      </c>
      <c r="C34430" s="1">
        <v>2.64114347106059E-5</v>
      </c>
      <c r="D34430" s="1">
        <v>1.51760267340886E-6</v>
      </c>
      <c r="E34430" s="1">
        <v>4.3455399550671099E-6</v>
      </c>
      <c r="F34430" s="1">
        <v>2.4274372838250201E-5</v>
      </c>
    </row>
    <row r="34431" spans="1:6" x14ac:dyDescent="0.25">
      <c r="A34431" s="2" t="str">
        <f t="shared" si="1199"/>
        <v>99999</v>
      </c>
      <c r="B34431" s="2" t="str">
        <f>"41836"</f>
        <v>41836</v>
      </c>
      <c r="C34431" s="1">
        <v>3.8962323106141801E-5</v>
      </c>
      <c r="D34431" s="1">
        <v>1.3658424060679801E-5</v>
      </c>
      <c r="E34431" s="1">
        <v>1.3036619865201299E-5</v>
      </c>
      <c r="F34431" s="1">
        <v>3.6710014661124202E-5</v>
      </c>
    </row>
    <row r="34432" spans="1:6" x14ac:dyDescent="0.25">
      <c r="A34432" s="2" t="str">
        <f t="shared" si="1199"/>
        <v>99999</v>
      </c>
      <c r="B34432" s="2" t="str">
        <f>"41833"</f>
        <v>41833</v>
      </c>
      <c r="C34432" s="1">
        <v>1.9208316153167901E-5</v>
      </c>
      <c r="D34432" s="1">
        <v>0</v>
      </c>
      <c r="E34432" s="1">
        <v>2.1727699775335501E-5</v>
      </c>
      <c r="F34432" s="1">
        <v>1.8006809359521599E-5</v>
      </c>
    </row>
    <row r="34433" spans="1:6" x14ac:dyDescent="0.25">
      <c r="A34433" s="2" t="str">
        <f t="shared" si="1199"/>
        <v>99999</v>
      </c>
      <c r="B34433" s="2" t="str">
        <f>"41819"</f>
        <v>41819</v>
      </c>
      <c r="C34433" s="1">
        <v>2.41195333514211E-5</v>
      </c>
      <c r="D34433" s="1">
        <v>1.51760267340886E-6</v>
      </c>
      <c r="E34433" s="1">
        <v>8.69107991013423E-6</v>
      </c>
      <c r="F34433" s="1">
        <v>2.2284670146590302E-5</v>
      </c>
    </row>
    <row r="34434" spans="1:6" x14ac:dyDescent="0.25">
      <c r="A34434" s="2" t="str">
        <f t="shared" si="1199"/>
        <v>99999</v>
      </c>
      <c r="B34434" s="2" t="str">
        <f>"41746"</f>
        <v>41746</v>
      </c>
      <c r="C34434" s="1">
        <v>1.12412304760017E-5</v>
      </c>
      <c r="D34434" s="1">
        <v>3.0352053468177301E-6</v>
      </c>
      <c r="E34434" s="1">
        <v>8.69107991013423E-6</v>
      </c>
      <c r="F34434" s="1">
        <v>1.0644909400380201E-5</v>
      </c>
    </row>
    <row r="34435" spans="1:6" x14ac:dyDescent="0.25">
      <c r="A34435" s="2" t="str">
        <f t="shared" si="1199"/>
        <v>99999</v>
      </c>
      <c r="B34435" s="2" t="str">
        <f>"41740"</f>
        <v>41740</v>
      </c>
      <c r="C34435" s="1">
        <v>3.3287138788160402E-5</v>
      </c>
      <c r="D34435" s="1">
        <v>9.1056160404532095E-6</v>
      </c>
      <c r="E34435" s="1">
        <v>3.47643196405369E-5</v>
      </c>
      <c r="F34435" s="1">
        <v>3.1735757931974601E-5</v>
      </c>
    </row>
    <row r="34436" spans="1:6" x14ac:dyDescent="0.25">
      <c r="A34436" s="2" t="str">
        <f t="shared" si="1199"/>
        <v>99999</v>
      </c>
      <c r="B34436" s="2" t="str">
        <f>"41727"</f>
        <v>41727</v>
      </c>
      <c r="C34436" s="1">
        <v>3.4487658547733398E-5</v>
      </c>
      <c r="D34436" s="1">
        <v>1.9728834754315301E-5</v>
      </c>
      <c r="E34436" s="1">
        <v>3.0418779685469802E-5</v>
      </c>
      <c r="F34436" s="1">
        <v>3.3427005219885502E-5</v>
      </c>
    </row>
    <row r="34437" spans="1:6" x14ac:dyDescent="0.25">
      <c r="A34437" s="2" t="str">
        <f t="shared" si="1199"/>
        <v>99999</v>
      </c>
      <c r="B34437" s="2" t="str">
        <f>"41310"</f>
        <v>41310</v>
      </c>
      <c r="C34437" s="1">
        <v>1.0913815996118101E-6</v>
      </c>
      <c r="D34437" s="1">
        <v>0</v>
      </c>
      <c r="E34437" s="1">
        <v>4.3455399550671099E-6</v>
      </c>
      <c r="F34437" s="1">
        <v>1.09433648041291E-6</v>
      </c>
    </row>
    <row r="34438" spans="1:6" x14ac:dyDescent="0.25">
      <c r="A34438" s="2" t="str">
        <f t="shared" si="1199"/>
        <v>99999</v>
      </c>
      <c r="B34438" s="2" t="str">
        <f>"41352"</f>
        <v>41352</v>
      </c>
      <c r="C34438" s="1">
        <v>2.6847987350450699E-5</v>
      </c>
      <c r="D34438" s="1">
        <v>1.51760267340886E-6</v>
      </c>
      <c r="E34438" s="1">
        <v>3.9109859595604001E-5</v>
      </c>
      <c r="F34438" s="1">
        <v>2.5468194453246102E-5</v>
      </c>
    </row>
    <row r="34439" spans="1:6" x14ac:dyDescent="0.25">
      <c r="A34439" s="2" t="str">
        <f t="shared" si="1199"/>
        <v>99999</v>
      </c>
      <c r="B34439" s="2" t="str">
        <f>"41339"</f>
        <v>41339</v>
      </c>
      <c r="C34439" s="1">
        <v>5.4612735244575301E-4</v>
      </c>
      <c r="D34439" s="1">
        <v>6.28287506791271E-4</v>
      </c>
      <c r="E34439" s="1">
        <v>7.4743287227154397E-4</v>
      </c>
      <c r="F34439" s="1">
        <v>5.5612190231892804E-4</v>
      </c>
    </row>
    <row r="34440" spans="1:6" x14ac:dyDescent="0.25">
      <c r="A34440" s="2" t="str">
        <f t="shared" si="1199"/>
        <v>99999</v>
      </c>
      <c r="B34440" s="2" t="str">
        <f>"41520"</f>
        <v>41520</v>
      </c>
      <c r="C34440" s="1">
        <v>0</v>
      </c>
      <c r="D34440" s="1">
        <v>1.51760267340886E-6</v>
      </c>
      <c r="E34440" s="1">
        <v>4.3455399550671099E-6</v>
      </c>
      <c r="F34440" s="1">
        <v>1.9897026916598501E-7</v>
      </c>
    </row>
    <row r="34441" spans="1:6" x14ac:dyDescent="0.25">
      <c r="A34441" s="2" t="str">
        <f t="shared" si="1199"/>
        <v>99999</v>
      </c>
      <c r="B34441" s="2" t="str">
        <f>"41527"</f>
        <v>41527</v>
      </c>
      <c r="C34441" s="1">
        <v>2.3246428071731702E-5</v>
      </c>
      <c r="D34441" s="1">
        <v>3.0352053468177301E-6</v>
      </c>
      <c r="E34441" s="1">
        <v>4.3455399550671099E-6</v>
      </c>
      <c r="F34441" s="1">
        <v>2.1488789069926402E-5</v>
      </c>
    </row>
    <row r="34442" spans="1:6" x14ac:dyDescent="0.25">
      <c r="A34442" s="2" t="str">
        <f t="shared" si="1199"/>
        <v>99999</v>
      </c>
      <c r="B34442" s="2" t="str">
        <f>"41619"</f>
        <v>41619</v>
      </c>
      <c r="C34442" s="1">
        <v>2.19367701521975E-5</v>
      </c>
      <c r="D34442" s="1">
        <v>1.51760267340886E-6</v>
      </c>
      <c r="E34442" s="1">
        <v>1.3036619865201299E-5</v>
      </c>
      <c r="F34442" s="1">
        <v>2.0394452589513401E-5</v>
      </c>
    </row>
    <row r="34443" spans="1:6" x14ac:dyDescent="0.25">
      <c r="A34443" s="2" t="str">
        <f t="shared" si="1199"/>
        <v>99999</v>
      </c>
      <c r="B34443" s="2" t="str">
        <f>"41607"</f>
        <v>41607</v>
      </c>
      <c r="C34443" s="1">
        <v>1.5061066074643001E-5</v>
      </c>
      <c r="D34443" s="1">
        <v>1.51760267340886E-6</v>
      </c>
      <c r="E34443" s="1">
        <v>1.3036619865201299E-5</v>
      </c>
      <c r="F34443" s="1">
        <v>1.41268891107849E-5</v>
      </c>
    </row>
    <row r="34444" spans="1:6" x14ac:dyDescent="0.25">
      <c r="A34444" s="2" t="str">
        <f t="shared" si="1199"/>
        <v>99999</v>
      </c>
      <c r="B34444" s="2" t="str">
        <f>"41526"</f>
        <v>41526</v>
      </c>
      <c r="C34444" s="1">
        <v>0</v>
      </c>
      <c r="D34444" s="1">
        <v>0</v>
      </c>
      <c r="E34444" s="1">
        <v>4.3455399550671099E-6</v>
      </c>
      <c r="F34444" s="1">
        <v>9.9485134582992598E-8</v>
      </c>
    </row>
    <row r="34445" spans="1:6" x14ac:dyDescent="0.25">
      <c r="A34445" s="2" t="str">
        <f t="shared" si="1199"/>
        <v>99999</v>
      </c>
      <c r="B34445" s="2" t="str">
        <f>"41660"</f>
        <v>41660</v>
      </c>
      <c r="C34445" s="1">
        <v>2.9903855829363701E-5</v>
      </c>
      <c r="D34445" s="1">
        <v>1.51760267340886E-6</v>
      </c>
      <c r="E34445" s="1">
        <v>4.3455399550671099E-6</v>
      </c>
      <c r="F34445" s="1">
        <v>2.7457897144905899E-5</v>
      </c>
    </row>
    <row r="34446" spans="1:6" x14ac:dyDescent="0.25">
      <c r="A34446" s="2" t="str">
        <f t="shared" si="1199"/>
        <v>99999</v>
      </c>
      <c r="B34446" s="2" t="str">
        <f>"41566"</f>
        <v>41566</v>
      </c>
      <c r="C34446" s="1">
        <v>1.8990039833245598E-5</v>
      </c>
      <c r="D34446" s="1">
        <v>0</v>
      </c>
      <c r="E34446" s="1">
        <v>4.3455399550671099E-6</v>
      </c>
      <c r="F34446" s="1">
        <v>1.74098985520237E-5</v>
      </c>
    </row>
    <row r="34447" spans="1:6" x14ac:dyDescent="0.25">
      <c r="A34447" s="2" t="str">
        <f t="shared" si="1199"/>
        <v>99999</v>
      </c>
      <c r="B34447" s="2" t="str">
        <f>"41544"</f>
        <v>41544</v>
      </c>
      <c r="C34447" s="1">
        <v>3.0122132149286099E-5</v>
      </c>
      <c r="D34447" s="1">
        <v>1.51760267340886E-6</v>
      </c>
      <c r="E34447" s="1">
        <v>2.1727699775335501E-5</v>
      </c>
      <c r="F34447" s="1">
        <v>2.80548079524039E-5</v>
      </c>
    </row>
    <row r="34448" spans="1:6" x14ac:dyDescent="0.25">
      <c r="A34448" s="2" t="str">
        <f t="shared" si="1199"/>
        <v>99999</v>
      </c>
      <c r="B34448" s="2" t="str">
        <f>"41655"</f>
        <v>41655</v>
      </c>
      <c r="C34448" s="1">
        <v>4.0817671825481903E-5</v>
      </c>
      <c r="D34448" s="1">
        <v>0</v>
      </c>
      <c r="E34448" s="1">
        <v>2.1727699775335501E-5</v>
      </c>
      <c r="F34448" s="1">
        <v>3.7704866006954201E-5</v>
      </c>
    </row>
    <row r="34449" spans="1:6" x14ac:dyDescent="0.25">
      <c r="A34449" s="2" t="str">
        <f t="shared" si="1199"/>
        <v>99999</v>
      </c>
      <c r="B34449" s="2" t="str">
        <f>"41564"</f>
        <v>41564</v>
      </c>
      <c r="C34449" s="1">
        <v>3.9508013905947698E-5</v>
      </c>
      <c r="D34449" s="1">
        <v>1.51760267340886E-6</v>
      </c>
      <c r="E34449" s="1">
        <v>1.7382159820268399E-5</v>
      </c>
      <c r="F34449" s="1">
        <v>3.6511044391958198E-5</v>
      </c>
    </row>
    <row r="34450" spans="1:6" x14ac:dyDescent="0.25">
      <c r="A34450" s="2" t="str">
        <f t="shared" ref="A34450:A34513" si="1200">"99999"</f>
        <v>99999</v>
      </c>
      <c r="B34450" s="2" t="str">
        <f>"41547"</f>
        <v>41547</v>
      </c>
      <c r="C34450" s="1">
        <v>1.49519279146818E-5</v>
      </c>
      <c r="D34450" s="1">
        <v>0</v>
      </c>
      <c r="E34450" s="1">
        <v>8.69107991013423E-6</v>
      </c>
      <c r="F34450" s="1">
        <v>1.3828433707035901E-5</v>
      </c>
    </row>
    <row r="34451" spans="1:6" x14ac:dyDescent="0.25">
      <c r="A34451" s="2" t="str">
        <f t="shared" si="1200"/>
        <v>99999</v>
      </c>
      <c r="B34451" s="2" t="str">
        <f>"41537"</f>
        <v>41537</v>
      </c>
      <c r="C34451" s="1">
        <v>2.18385458082324E-4</v>
      </c>
      <c r="D34451" s="1">
        <v>9.2573763077941E-5</v>
      </c>
      <c r="E34451" s="1">
        <v>1.12984038831745E-4</v>
      </c>
      <c r="F34451" s="1">
        <v>2.0772496100928799E-4</v>
      </c>
    </row>
    <row r="34452" spans="1:6" x14ac:dyDescent="0.25">
      <c r="A34452" s="2" t="str">
        <f t="shared" si="1200"/>
        <v>99999</v>
      </c>
      <c r="B34452" s="2" t="str">
        <f>"41522"</f>
        <v>41522</v>
      </c>
      <c r="C34452" s="1">
        <v>2.6946211694415698E-4</v>
      </c>
      <c r="D34452" s="1">
        <v>1.36584240606798E-4</v>
      </c>
      <c r="E34452" s="1">
        <v>9.1256339056409395E-5</v>
      </c>
      <c r="F34452" s="1">
        <v>2.5667164722412101E-4</v>
      </c>
    </row>
    <row r="34453" spans="1:6" x14ac:dyDescent="0.25">
      <c r="A34453" s="2" t="str">
        <f t="shared" si="1200"/>
        <v>99999</v>
      </c>
      <c r="B34453" s="2" t="str">
        <f>"41503"</f>
        <v>41503</v>
      </c>
      <c r="C34453" s="1">
        <v>3.6124730947151102E-5</v>
      </c>
      <c r="D34453" s="1">
        <v>2.97450123988138E-4</v>
      </c>
      <c r="E34453" s="1">
        <v>8.69107991013423E-5</v>
      </c>
      <c r="F34453" s="1">
        <v>5.4418368616896901E-5</v>
      </c>
    </row>
    <row r="34454" spans="1:6" x14ac:dyDescent="0.25">
      <c r="A34454" s="2" t="str">
        <f t="shared" si="1200"/>
        <v>99999</v>
      </c>
      <c r="B34454" s="2" t="str">
        <f>"41056"</f>
        <v>41056</v>
      </c>
      <c r="C34454" s="1">
        <v>1.3096579195341799E-6</v>
      </c>
      <c r="D34454" s="1">
        <v>0</v>
      </c>
      <c r="E34454" s="1">
        <v>0</v>
      </c>
      <c r="F34454" s="1">
        <v>1.19382161499591E-6</v>
      </c>
    </row>
    <row r="34455" spans="1:6" x14ac:dyDescent="0.25">
      <c r="A34455" s="2" t="str">
        <f t="shared" si="1200"/>
        <v>99999</v>
      </c>
      <c r="B34455" s="2" t="str">
        <f>"41164"</f>
        <v>41164</v>
      </c>
      <c r="C34455" s="1">
        <v>6.3409270937446498E-5</v>
      </c>
      <c r="D34455" s="1">
        <v>1.51760267340886E-6</v>
      </c>
      <c r="E34455" s="1">
        <v>8.69107991013423E-6</v>
      </c>
      <c r="F34455" s="1">
        <v>5.8099318596467703E-5</v>
      </c>
    </row>
    <row r="34456" spans="1:6" x14ac:dyDescent="0.25">
      <c r="A34456" s="2" t="str">
        <f t="shared" si="1200"/>
        <v>99999</v>
      </c>
      <c r="B34456" s="2" t="str">
        <f>"41222"</f>
        <v>41222</v>
      </c>
      <c r="C34456" s="1">
        <v>1.0662798228207401E-4</v>
      </c>
      <c r="D34456" s="1">
        <v>4.5528080202266E-5</v>
      </c>
      <c r="E34456" s="1">
        <v>1.17329578786812E-4</v>
      </c>
      <c r="F34456" s="1">
        <v>1.02867629158814E-4</v>
      </c>
    </row>
    <row r="34457" spans="1:6" x14ac:dyDescent="0.25">
      <c r="A34457" s="2" t="str">
        <f t="shared" si="1200"/>
        <v>99999</v>
      </c>
      <c r="B34457" s="2" t="str">
        <f>"41219"</f>
        <v>41219</v>
      </c>
      <c r="C34457" s="1">
        <v>1.04008666443006E-4</v>
      </c>
      <c r="D34457" s="1">
        <v>1.3658424060679801E-5</v>
      </c>
      <c r="E34457" s="1">
        <v>1.2602065869694599E-4</v>
      </c>
      <c r="F34457" s="1">
        <v>9.8589768371745706E-5</v>
      </c>
    </row>
    <row r="34458" spans="1:6" x14ac:dyDescent="0.25">
      <c r="A34458" s="2" t="str">
        <f t="shared" si="1200"/>
        <v>99999</v>
      </c>
      <c r="B34458" s="2" t="str">
        <f>"41201"</f>
        <v>41201</v>
      </c>
      <c r="C34458" s="1">
        <v>1.39696844750312E-5</v>
      </c>
      <c r="D34458" s="1">
        <v>1.51760267340886E-6</v>
      </c>
      <c r="E34458" s="1">
        <v>8.69107991013423E-6</v>
      </c>
      <c r="F34458" s="1">
        <v>1.3032552630372001E-5</v>
      </c>
    </row>
    <row r="34459" spans="1:6" x14ac:dyDescent="0.25">
      <c r="A34459" s="2" t="str">
        <f t="shared" si="1200"/>
        <v>99999</v>
      </c>
      <c r="B34459" s="2" t="str">
        <f>"41041"</f>
        <v>41041</v>
      </c>
      <c r="C34459" s="1">
        <v>4.0697619849524598E-4</v>
      </c>
      <c r="D34459" s="1">
        <v>5.7213620787514299E-4</v>
      </c>
      <c r="E34459" s="1">
        <v>4.6497277519218097E-4</v>
      </c>
      <c r="F34459" s="1">
        <v>4.1913087199814701E-4</v>
      </c>
    </row>
    <row r="34460" spans="1:6" x14ac:dyDescent="0.25">
      <c r="A34460" s="2" t="str">
        <f t="shared" si="1200"/>
        <v>99999</v>
      </c>
      <c r="B34460" s="2" t="str">
        <f>"40810"</f>
        <v>40810</v>
      </c>
      <c r="C34460" s="1">
        <v>4.5728889023735102E-5</v>
      </c>
      <c r="D34460" s="1">
        <v>9.1056160404532095E-6</v>
      </c>
      <c r="E34460" s="1">
        <v>1.7382159820268399E-5</v>
      </c>
      <c r="F34460" s="1">
        <v>4.2679122736103801E-5</v>
      </c>
    </row>
    <row r="34461" spans="1:6" x14ac:dyDescent="0.25">
      <c r="A34461" s="2" t="str">
        <f t="shared" si="1200"/>
        <v>99999</v>
      </c>
      <c r="B34461" s="2" t="str">
        <f>"40829"</f>
        <v>40829</v>
      </c>
      <c r="C34461" s="1">
        <v>8.8401909568557204E-6</v>
      </c>
      <c r="D34461" s="1">
        <v>0</v>
      </c>
      <c r="E34461" s="1">
        <v>4.3455399550671099E-6</v>
      </c>
      <c r="F34461" s="1">
        <v>8.1577810358053902E-6</v>
      </c>
    </row>
    <row r="34462" spans="1:6" x14ac:dyDescent="0.25">
      <c r="A34462" s="2" t="str">
        <f t="shared" si="1200"/>
        <v>99999</v>
      </c>
      <c r="B34462" s="2" t="str">
        <f>"40972"</f>
        <v>40972</v>
      </c>
      <c r="C34462" s="1">
        <v>8.7310527968945299E-7</v>
      </c>
      <c r="D34462" s="1">
        <v>0</v>
      </c>
      <c r="E34462" s="1">
        <v>0</v>
      </c>
      <c r="F34462" s="1">
        <v>7.9588107666394099E-7</v>
      </c>
    </row>
    <row r="34463" spans="1:6" x14ac:dyDescent="0.25">
      <c r="A34463" s="2" t="str">
        <f t="shared" si="1200"/>
        <v>99999</v>
      </c>
      <c r="B34463" s="2" t="str">
        <f>"40979"</f>
        <v>40979</v>
      </c>
      <c r="C34463" s="1">
        <v>3.1650066388742701E-6</v>
      </c>
      <c r="D34463" s="1">
        <v>0</v>
      </c>
      <c r="E34463" s="1">
        <v>8.69107991013423E-6</v>
      </c>
      <c r="F34463" s="1">
        <v>3.0840391720727701E-6</v>
      </c>
    </row>
    <row r="34464" spans="1:6" x14ac:dyDescent="0.25">
      <c r="A34464" s="2" t="str">
        <f t="shared" si="1200"/>
        <v>99999</v>
      </c>
      <c r="B34464" s="2" t="str">
        <f>"40410"</f>
        <v>40410</v>
      </c>
      <c r="C34464" s="1">
        <v>0</v>
      </c>
      <c r="D34464" s="1">
        <v>0</v>
      </c>
      <c r="E34464" s="1">
        <v>4.3455399550671099E-6</v>
      </c>
      <c r="F34464" s="1">
        <v>9.9485134582992598E-8</v>
      </c>
    </row>
    <row r="34465" spans="1:6" x14ac:dyDescent="0.25">
      <c r="A34465" s="2" t="str">
        <f t="shared" si="1200"/>
        <v>99999</v>
      </c>
      <c r="B34465" s="2" t="str">
        <f>"40419"</f>
        <v>40419</v>
      </c>
      <c r="C34465" s="1">
        <v>7.1485494774573997E-5</v>
      </c>
      <c r="D34465" s="1">
        <v>3.9457669508630602E-5</v>
      </c>
      <c r="E34465" s="1">
        <v>1.7382159820268399E-5</v>
      </c>
      <c r="F34465" s="1">
        <v>6.8147317189349896E-5</v>
      </c>
    </row>
    <row r="34466" spans="1:6" x14ac:dyDescent="0.25">
      <c r="A34466" s="2" t="str">
        <f t="shared" si="1200"/>
        <v>99999</v>
      </c>
      <c r="B34466" s="2" t="str">
        <f>"40319"</f>
        <v>40319</v>
      </c>
      <c r="C34466" s="1">
        <v>0</v>
      </c>
      <c r="D34466" s="1">
        <v>0</v>
      </c>
      <c r="E34466" s="1">
        <v>4.3455399550671099E-6</v>
      </c>
      <c r="F34466" s="1">
        <v>9.9485134582992598E-8</v>
      </c>
    </row>
    <row r="34467" spans="1:6" x14ac:dyDescent="0.25">
      <c r="A34467" s="2" t="str">
        <f t="shared" si="1200"/>
        <v>99999</v>
      </c>
      <c r="B34467" s="2" t="str">
        <f>"40312"</f>
        <v>40312</v>
      </c>
      <c r="C34467" s="1">
        <v>2.9510958453503501E-4</v>
      </c>
      <c r="D34467" s="1">
        <v>1.3354903525998E-4</v>
      </c>
      <c r="E34467" s="1">
        <v>9.9947418966543598E-5</v>
      </c>
      <c r="F34467" s="1">
        <v>2.8005065385112402E-4</v>
      </c>
    </row>
    <row r="34468" spans="1:6" x14ac:dyDescent="0.25">
      <c r="A34468" s="2" t="str">
        <f t="shared" si="1200"/>
        <v>99999</v>
      </c>
      <c r="B34468" s="2" t="str">
        <f>"40170"</f>
        <v>40170</v>
      </c>
      <c r="C34468" s="1">
        <v>1.8553487193400799E-5</v>
      </c>
      <c r="D34468" s="1">
        <v>7.5880133670443404E-6</v>
      </c>
      <c r="E34468" s="1">
        <v>8.69107991013423E-6</v>
      </c>
      <c r="F34468" s="1">
        <v>1.7608868821189599E-5</v>
      </c>
    </row>
    <row r="34469" spans="1:6" x14ac:dyDescent="0.25">
      <c r="A34469" s="2" t="str">
        <f t="shared" si="1200"/>
        <v>99999</v>
      </c>
      <c r="B34469" s="2" t="str">
        <f>"40115"</f>
        <v>40115</v>
      </c>
      <c r="C34469" s="1">
        <v>3.20866190285874E-5</v>
      </c>
      <c r="D34469" s="1">
        <v>1.51760267340886E-6</v>
      </c>
      <c r="E34469" s="1">
        <v>8.2565259146275205E-5</v>
      </c>
      <c r="F34469" s="1">
        <v>3.1238332259059602E-5</v>
      </c>
    </row>
    <row r="34470" spans="1:6" x14ac:dyDescent="0.25">
      <c r="A34470" s="2" t="str">
        <f t="shared" si="1200"/>
        <v>99999</v>
      </c>
      <c r="B34470" s="2" t="str">
        <f>"40152"</f>
        <v>40152</v>
      </c>
      <c r="C34470" s="1">
        <v>5.7406672139581499E-5</v>
      </c>
      <c r="D34470" s="1">
        <v>3.4904861488403899E-5</v>
      </c>
      <c r="E34470" s="1">
        <v>1.0429295892161E-4</v>
      </c>
      <c r="F34470" s="1">
        <v>5.7004982116054699E-5</v>
      </c>
    </row>
    <row r="34471" spans="1:6" x14ac:dyDescent="0.25">
      <c r="A34471" s="2" t="str">
        <f t="shared" si="1200"/>
        <v>99999</v>
      </c>
      <c r="B34471" s="2" t="str">
        <f>"40111"</f>
        <v>40111</v>
      </c>
      <c r="C34471" s="1">
        <v>8.8947600368363098E-5</v>
      </c>
      <c r="D34471" s="1">
        <v>4.7045682875674899E-5</v>
      </c>
      <c r="E34471" s="1">
        <v>5.5188357429352298E-4</v>
      </c>
      <c r="F34471" s="1">
        <v>9.6799035949251801E-5</v>
      </c>
    </row>
    <row r="34472" spans="1:6" x14ac:dyDescent="0.25">
      <c r="A34472" s="2" t="str">
        <f t="shared" si="1200"/>
        <v>99999</v>
      </c>
      <c r="B34472" s="2" t="str">
        <f>"40049"</f>
        <v>40049</v>
      </c>
      <c r="C34472" s="1">
        <v>0</v>
      </c>
      <c r="D34472" s="1">
        <v>0</v>
      </c>
      <c r="E34472" s="1">
        <v>4.3455399550671099E-6</v>
      </c>
      <c r="F34472" s="1">
        <v>9.9485134582992598E-8</v>
      </c>
    </row>
    <row r="34473" spans="1:6" x14ac:dyDescent="0.25">
      <c r="A34473" s="2" t="str">
        <f t="shared" si="1200"/>
        <v>99999</v>
      </c>
      <c r="B34473" s="2" t="str">
        <f>"40040"</f>
        <v>40040</v>
      </c>
      <c r="C34473" s="1">
        <v>3.0340408469208501E-5</v>
      </c>
      <c r="D34473" s="1">
        <v>3.0352053468177301E-6</v>
      </c>
      <c r="E34473" s="1">
        <v>6.9528639281073799E-5</v>
      </c>
      <c r="F34473" s="1">
        <v>2.9447599836565802E-5</v>
      </c>
    </row>
    <row r="34474" spans="1:6" x14ac:dyDescent="0.25">
      <c r="A34474" s="2" t="str">
        <f t="shared" si="1200"/>
        <v>99999</v>
      </c>
      <c r="B34474" s="2" t="str">
        <f>"40062"</f>
        <v>40062</v>
      </c>
      <c r="C34474" s="1">
        <v>1.8444349033439702E-5</v>
      </c>
      <c r="D34474" s="1">
        <v>1.51760267340886E-6</v>
      </c>
      <c r="E34474" s="1">
        <v>1.7382159820268399E-5</v>
      </c>
      <c r="F34474" s="1">
        <v>1.7310413417440701E-5</v>
      </c>
    </row>
    <row r="34475" spans="1:6" x14ac:dyDescent="0.25">
      <c r="A34475" s="2" t="str">
        <f t="shared" si="1200"/>
        <v>99999</v>
      </c>
      <c r="B34475" s="2" t="str">
        <f>"39662"</f>
        <v>39662</v>
      </c>
      <c r="C34475" s="1">
        <v>1.01498488763899E-5</v>
      </c>
      <c r="D34475" s="1">
        <v>0</v>
      </c>
      <c r="E34475" s="1">
        <v>0</v>
      </c>
      <c r="F34475" s="1">
        <v>9.2521175162183095E-6</v>
      </c>
    </row>
    <row r="34476" spans="1:6" x14ac:dyDescent="0.25">
      <c r="A34476" s="2" t="str">
        <f t="shared" si="1200"/>
        <v>99999</v>
      </c>
      <c r="B34476" s="2" t="str">
        <f>"39668"</f>
        <v>39668</v>
      </c>
      <c r="C34476" s="1">
        <v>2.9794717669402601E-5</v>
      </c>
      <c r="D34476" s="1">
        <v>7.5880133670443404E-6</v>
      </c>
      <c r="E34476" s="1">
        <v>0</v>
      </c>
      <c r="F34476" s="1">
        <v>2.76568674140719E-5</v>
      </c>
    </row>
    <row r="34477" spans="1:6" x14ac:dyDescent="0.25">
      <c r="A34477" s="2" t="str">
        <f t="shared" si="1200"/>
        <v>99999</v>
      </c>
      <c r="B34477" s="2" t="str">
        <f>"39654"</f>
        <v>39654</v>
      </c>
      <c r="C34477" s="1">
        <v>3.0940668348994999E-4</v>
      </c>
      <c r="D34477" s="1">
        <v>2.6254526249973401E-4</v>
      </c>
      <c r="E34477" s="1">
        <v>9.5601879011476503E-5</v>
      </c>
      <c r="F34477" s="1">
        <v>3.0143995778646702E-4</v>
      </c>
    </row>
    <row r="34478" spans="1:6" x14ac:dyDescent="0.25">
      <c r="A34478" s="2" t="str">
        <f t="shared" si="1200"/>
        <v>99999</v>
      </c>
      <c r="B34478" s="2" t="str">
        <f>"39862"</f>
        <v>39862</v>
      </c>
      <c r="C34478" s="1">
        <v>6.41732380571748E-5</v>
      </c>
      <c r="D34478" s="1">
        <v>1.66936294074975E-5</v>
      </c>
      <c r="E34478" s="1">
        <v>0</v>
      </c>
      <c r="F34478" s="1">
        <v>5.9591595615212498E-5</v>
      </c>
    </row>
    <row r="34479" spans="1:6" x14ac:dyDescent="0.25">
      <c r="A34479" s="2" t="str">
        <f t="shared" si="1200"/>
        <v>99999</v>
      </c>
      <c r="B34479" s="2" t="str">
        <f>"39767"</f>
        <v>39767</v>
      </c>
      <c r="C34479" s="1">
        <v>3.2850586148315701E-5</v>
      </c>
      <c r="D34479" s="1">
        <v>1.8211232080906399E-5</v>
      </c>
      <c r="E34479" s="1">
        <v>0</v>
      </c>
      <c r="F34479" s="1">
        <v>3.1138847124476597E-5</v>
      </c>
    </row>
    <row r="34480" spans="1:6" x14ac:dyDescent="0.25">
      <c r="A34480" s="2" t="str">
        <f t="shared" si="1200"/>
        <v>99999</v>
      </c>
      <c r="B34480" s="2" t="str">
        <f>"39772"</f>
        <v>39772</v>
      </c>
      <c r="C34480" s="1">
        <v>1.04008666443006E-4</v>
      </c>
      <c r="D34480" s="1">
        <v>5.3116093569310399E-5</v>
      </c>
      <c r="E34480" s="1">
        <v>1.7382159820268399E-5</v>
      </c>
      <c r="F34480" s="1">
        <v>9.8689253506328603E-5</v>
      </c>
    </row>
    <row r="34481" spans="1:6" x14ac:dyDescent="0.25">
      <c r="A34481" s="2" t="str">
        <f t="shared" si="1200"/>
        <v>99999</v>
      </c>
      <c r="B34481" s="2" t="str">
        <f>"39769"</f>
        <v>39769</v>
      </c>
      <c r="C34481" s="1">
        <v>3.2523171668432101E-5</v>
      </c>
      <c r="D34481" s="1">
        <v>0</v>
      </c>
      <c r="E34481" s="1">
        <v>0</v>
      </c>
      <c r="F34481" s="1">
        <v>2.9646570105731799E-5</v>
      </c>
    </row>
    <row r="34482" spans="1:6" x14ac:dyDescent="0.25">
      <c r="A34482" s="2" t="str">
        <f t="shared" si="1200"/>
        <v>99999</v>
      </c>
      <c r="B34482" s="2" t="str">
        <f>"39845"</f>
        <v>39845</v>
      </c>
      <c r="C34482" s="1">
        <v>5.20698161174798E-4</v>
      </c>
      <c r="D34482" s="1">
        <v>6.73815586993538E-4</v>
      </c>
      <c r="E34482" s="1">
        <v>2.6507793725909402E-4</v>
      </c>
      <c r="F34482" s="1">
        <v>5.2488357005986896E-4</v>
      </c>
    </row>
    <row r="34483" spans="1:6" x14ac:dyDescent="0.25">
      <c r="A34483" s="2" t="str">
        <f t="shared" si="1200"/>
        <v>99999</v>
      </c>
      <c r="B34483" s="2" t="str">
        <f>"39840"</f>
        <v>39840</v>
      </c>
      <c r="C34483" s="1">
        <v>2.9936597277352097E-4</v>
      </c>
      <c r="D34483" s="1">
        <v>3.2324936943608899E-4</v>
      </c>
      <c r="E34483" s="1">
        <v>9.5601879011476503E-5</v>
      </c>
      <c r="F34483" s="1">
        <v>2.96266730788152E-4</v>
      </c>
    </row>
    <row r="34484" spans="1:6" x14ac:dyDescent="0.25">
      <c r="A34484" s="2" t="str">
        <f t="shared" si="1200"/>
        <v>99999</v>
      </c>
      <c r="B34484" s="2" t="str">
        <f>"39828"</f>
        <v>39828</v>
      </c>
      <c r="C34484" s="1">
        <v>8.3097794994443702E-4</v>
      </c>
      <c r="D34484" s="1">
        <v>1.2444341921952701E-3</v>
      </c>
      <c r="E34484" s="1">
        <v>8.0827043164248297E-4</v>
      </c>
      <c r="F34484" s="1">
        <v>8.5756186010539604E-4</v>
      </c>
    </row>
    <row r="34485" spans="1:6" x14ac:dyDescent="0.25">
      <c r="A34485" s="2" t="str">
        <f t="shared" si="1200"/>
        <v>99999</v>
      </c>
      <c r="B34485" s="2" t="str">
        <f>"39827"</f>
        <v>39827</v>
      </c>
      <c r="C34485" s="1">
        <v>2.2526116215987899E-4</v>
      </c>
      <c r="D34485" s="1">
        <v>8.65033523843055E-5</v>
      </c>
      <c r="E34485" s="1">
        <v>3.2156995667496598E-4</v>
      </c>
      <c r="F34485" s="1">
        <v>2.18369870409668E-4</v>
      </c>
    </row>
    <row r="34486" spans="1:6" x14ac:dyDescent="0.25">
      <c r="A34486" s="2" t="str">
        <f t="shared" si="1200"/>
        <v>99999</v>
      </c>
      <c r="B34486" s="2" t="str">
        <f>"39851"</f>
        <v>39851</v>
      </c>
      <c r="C34486" s="1">
        <v>2.0670767496647801E-4</v>
      </c>
      <c r="D34486" s="1">
        <v>1.85147526155882E-4</v>
      </c>
      <c r="E34486" s="1">
        <v>1.08638498876677E-4</v>
      </c>
      <c r="F34486" s="1">
        <v>2.03049159683887E-4</v>
      </c>
    </row>
    <row r="34487" spans="1:6" x14ac:dyDescent="0.25">
      <c r="A34487" s="2" t="str">
        <f t="shared" si="1200"/>
        <v>99999</v>
      </c>
      <c r="B34487" s="2" t="str">
        <f>"39641"</f>
        <v>39641</v>
      </c>
      <c r="C34487" s="1">
        <v>2.9292682133581099E-4</v>
      </c>
      <c r="D34487" s="1">
        <v>1.01679379118394E-4</v>
      </c>
      <c r="E34487" s="1">
        <v>6.5183099326006705E-5</v>
      </c>
      <c r="F34487" s="1">
        <v>2.7517588225655699E-4</v>
      </c>
    </row>
    <row r="34488" spans="1:6" x14ac:dyDescent="0.25">
      <c r="A34488" s="2" t="str">
        <f t="shared" si="1200"/>
        <v>99999</v>
      </c>
      <c r="B34488" s="2" t="str">
        <f>"39573"</f>
        <v>39573</v>
      </c>
      <c r="C34488" s="1">
        <v>1.7571243753750201E-5</v>
      </c>
      <c r="D34488" s="1">
        <v>3.0352053468177301E-6</v>
      </c>
      <c r="E34488" s="1">
        <v>0</v>
      </c>
      <c r="F34488" s="1">
        <v>1.6216076937027799E-5</v>
      </c>
    </row>
    <row r="34489" spans="1:6" x14ac:dyDescent="0.25">
      <c r="A34489" s="2" t="str">
        <f t="shared" si="1200"/>
        <v>99999</v>
      </c>
      <c r="B34489" s="2" t="str">
        <f>"39346"</f>
        <v>39346</v>
      </c>
      <c r="C34489" s="1">
        <v>1.84989181134203E-4</v>
      </c>
      <c r="D34489" s="1">
        <v>7.5880133670443406E-5</v>
      </c>
      <c r="E34489" s="1">
        <v>2.60732397304027E-5</v>
      </c>
      <c r="F34489" s="1">
        <v>1.7419847065482E-4</v>
      </c>
    </row>
    <row r="34490" spans="1:6" x14ac:dyDescent="0.25">
      <c r="A34490" s="2" t="str">
        <f t="shared" si="1200"/>
        <v>99999</v>
      </c>
      <c r="B34490" s="2" t="str">
        <f>"39328"</f>
        <v>39328</v>
      </c>
      <c r="C34490" s="1">
        <v>2.1827631992236301E-7</v>
      </c>
      <c r="D34490" s="1">
        <v>0</v>
      </c>
      <c r="E34490" s="1">
        <v>0</v>
      </c>
      <c r="F34490" s="1">
        <v>1.9897026916598501E-7</v>
      </c>
    </row>
    <row r="34491" spans="1:6" x14ac:dyDescent="0.25">
      <c r="A34491" s="2" t="str">
        <f t="shared" si="1200"/>
        <v>99999</v>
      </c>
      <c r="B34491" s="2" t="str">
        <f>"39332"</f>
        <v>39332</v>
      </c>
      <c r="C34491" s="1">
        <v>7.7378955412477801E-5</v>
      </c>
      <c r="D34491" s="1">
        <v>2.88344507947685E-5</v>
      </c>
      <c r="E34491" s="1">
        <v>8.69107991013423E-6</v>
      </c>
      <c r="F34491" s="1">
        <v>7.2624148245584605E-5</v>
      </c>
    </row>
    <row r="34492" spans="1:6" x14ac:dyDescent="0.25">
      <c r="A34492" s="2" t="str">
        <f t="shared" si="1200"/>
        <v>99999</v>
      </c>
      <c r="B34492" s="2" t="str">
        <f>"39341"</f>
        <v>39341</v>
      </c>
      <c r="C34492" s="1">
        <v>5.9327503754898301E-4</v>
      </c>
      <c r="D34492" s="1">
        <v>8.0584701958010896E-4</v>
      </c>
      <c r="E34492" s="1">
        <v>2.4769577743882499E-4</v>
      </c>
      <c r="F34492" s="1">
        <v>5.99298450727947E-4</v>
      </c>
    </row>
    <row r="34493" spans="1:6" x14ac:dyDescent="0.25">
      <c r="A34493" s="2" t="str">
        <f t="shared" si="1200"/>
        <v>99999</v>
      </c>
      <c r="B34493" s="2" t="str">
        <f>"39145"</f>
        <v>39145</v>
      </c>
      <c r="C34493" s="1">
        <v>7.3122567173991701E-6</v>
      </c>
      <c r="D34493" s="1">
        <v>0</v>
      </c>
      <c r="E34493" s="1">
        <v>0</v>
      </c>
      <c r="F34493" s="1">
        <v>6.6655040170604998E-6</v>
      </c>
    </row>
    <row r="34494" spans="1:6" x14ac:dyDescent="0.25">
      <c r="A34494" s="2" t="str">
        <f t="shared" si="1200"/>
        <v>99999</v>
      </c>
      <c r="B34494" s="2" t="str">
        <f>"39113"</f>
        <v>39113</v>
      </c>
      <c r="C34494" s="1">
        <v>8.7310527968945299E-7</v>
      </c>
      <c r="D34494" s="1">
        <v>7.5880133670443404E-6</v>
      </c>
      <c r="E34494" s="1">
        <v>0</v>
      </c>
      <c r="F34494" s="1">
        <v>1.2933067495789E-6</v>
      </c>
    </row>
    <row r="34495" spans="1:6" x14ac:dyDescent="0.25">
      <c r="A34495" s="2" t="str">
        <f t="shared" si="1200"/>
        <v>99999</v>
      </c>
      <c r="B34495" s="2" t="str">
        <f>"39191"</f>
        <v>39191</v>
      </c>
      <c r="C34495" s="1">
        <v>2.5101776791071799E-6</v>
      </c>
      <c r="D34495" s="1">
        <v>0</v>
      </c>
      <c r="E34495" s="1">
        <v>0</v>
      </c>
      <c r="F34495" s="1">
        <v>2.2881580954088299E-6</v>
      </c>
    </row>
    <row r="34496" spans="1:6" x14ac:dyDescent="0.25">
      <c r="A34496" s="2" t="str">
        <f t="shared" si="1200"/>
        <v>99999</v>
      </c>
      <c r="B34496" s="2" t="str">
        <f>"39192"</f>
        <v>39192</v>
      </c>
      <c r="C34496" s="1">
        <v>4.6711132463385699E-5</v>
      </c>
      <c r="D34496" s="1">
        <v>1.9728834754315301E-5</v>
      </c>
      <c r="E34496" s="1">
        <v>0</v>
      </c>
      <c r="F34496" s="1">
        <v>4.3872944351099702E-5</v>
      </c>
    </row>
    <row r="34497" spans="1:6" x14ac:dyDescent="0.25">
      <c r="A34497" s="2" t="str">
        <f t="shared" si="1200"/>
        <v>99999</v>
      </c>
      <c r="B34497" s="2" t="str">
        <f>"39087"</f>
        <v>39087</v>
      </c>
      <c r="C34497" s="1">
        <v>0</v>
      </c>
      <c r="D34497" s="1">
        <v>1.51760267340886E-6</v>
      </c>
      <c r="E34497" s="1">
        <v>0</v>
      </c>
      <c r="F34497" s="1">
        <v>9.9485134582992598E-8</v>
      </c>
    </row>
    <row r="34498" spans="1:6" x14ac:dyDescent="0.25">
      <c r="A34498" s="2" t="str">
        <f t="shared" si="1200"/>
        <v>99999</v>
      </c>
      <c r="B34498" s="2" t="str">
        <f>"39171"</f>
        <v>39171</v>
      </c>
      <c r="C34498" s="1">
        <v>0</v>
      </c>
      <c r="D34498" s="1">
        <v>1.51760267340886E-6</v>
      </c>
      <c r="E34498" s="1">
        <v>0</v>
      </c>
      <c r="F34498" s="1">
        <v>9.9485134582992598E-8</v>
      </c>
    </row>
    <row r="34499" spans="1:6" x14ac:dyDescent="0.25">
      <c r="A34499" s="2" t="str">
        <f t="shared" si="1200"/>
        <v>99999</v>
      </c>
      <c r="B34499" s="2" t="str">
        <f>"39051"</f>
        <v>39051</v>
      </c>
      <c r="C34499" s="1">
        <v>8.3479778554307901E-4</v>
      </c>
      <c r="D34499" s="1">
        <v>1.01831139385735E-3</v>
      </c>
      <c r="E34499" s="1">
        <v>3.1287887676483201E-4</v>
      </c>
      <c r="F34499" s="1">
        <v>8.3487924942047403E-4</v>
      </c>
    </row>
    <row r="34500" spans="1:6" x14ac:dyDescent="0.25">
      <c r="A34500" s="2" t="str">
        <f t="shared" si="1200"/>
        <v>99999</v>
      </c>
      <c r="B34500" s="2" t="str">
        <f>"38963"</f>
        <v>38963</v>
      </c>
      <c r="C34500" s="1">
        <v>8.4254659490032297E-5</v>
      </c>
      <c r="D34500" s="1">
        <v>5.0080888222492601E-5</v>
      </c>
      <c r="E34500" s="1">
        <v>8.69107991013423E-6</v>
      </c>
      <c r="F34500" s="1">
        <v>8.0284503608474996E-5</v>
      </c>
    </row>
    <row r="34501" spans="1:6" x14ac:dyDescent="0.25">
      <c r="A34501" s="2" t="str">
        <f t="shared" si="1200"/>
        <v>99999</v>
      </c>
      <c r="B34501" s="2" t="str">
        <f>"38950"</f>
        <v>38950</v>
      </c>
      <c r="C34501" s="1">
        <v>3.7325250706724098E-5</v>
      </c>
      <c r="D34501" s="1">
        <v>9.1056160404532095E-6</v>
      </c>
      <c r="E34501" s="1">
        <v>0</v>
      </c>
      <c r="F34501" s="1">
        <v>3.4620826834881403E-5</v>
      </c>
    </row>
    <row r="34502" spans="1:6" x14ac:dyDescent="0.25">
      <c r="A34502" s="2" t="str">
        <f t="shared" si="1200"/>
        <v>99999</v>
      </c>
      <c r="B34502" s="2" t="str">
        <f>"38925"</f>
        <v>38925</v>
      </c>
      <c r="C34502" s="1">
        <v>1.08155916521531E-4</v>
      </c>
      <c r="D34502" s="1">
        <v>3.0352053468177301E-5</v>
      </c>
      <c r="E34502" s="1">
        <v>1.7382159820268399E-5</v>
      </c>
      <c r="F34502" s="1">
        <v>1.0097741160173701E-4</v>
      </c>
    </row>
    <row r="34503" spans="1:6" x14ac:dyDescent="0.25">
      <c r="A34503" s="2" t="str">
        <f t="shared" si="1200"/>
        <v>99999</v>
      </c>
      <c r="B34503" s="2" t="str">
        <f>"38860"</f>
        <v>38860</v>
      </c>
      <c r="C34503" s="1">
        <v>3.07987887410454E-4</v>
      </c>
      <c r="D34503" s="1">
        <v>3.9609429775971401E-4</v>
      </c>
      <c r="E34503" s="1">
        <v>8.69107991013423E-5</v>
      </c>
      <c r="F34503" s="1">
        <v>3.0870237261102602E-4</v>
      </c>
    </row>
    <row r="34504" spans="1:6" x14ac:dyDescent="0.25">
      <c r="A34504" s="2" t="str">
        <f t="shared" si="1200"/>
        <v>99999</v>
      </c>
      <c r="B34504" s="2" t="str">
        <f>"38858"</f>
        <v>38858</v>
      </c>
      <c r="C34504" s="1">
        <v>1.78768306016415E-4</v>
      </c>
      <c r="D34504" s="1">
        <v>8.1950544364078906E-5</v>
      </c>
      <c r="E34504" s="1">
        <v>1.7382159820268399E-5</v>
      </c>
      <c r="F34504" s="1">
        <v>1.6872678825275499E-4</v>
      </c>
    </row>
    <row r="34505" spans="1:6" x14ac:dyDescent="0.25">
      <c r="A34505" s="2" t="str">
        <f t="shared" si="1200"/>
        <v>99999</v>
      </c>
      <c r="B34505" s="2" t="str">
        <f>"38871"</f>
        <v>38871</v>
      </c>
      <c r="C34505" s="1">
        <v>4.9112171982531701E-6</v>
      </c>
      <c r="D34505" s="1">
        <v>0</v>
      </c>
      <c r="E34505" s="1">
        <v>0</v>
      </c>
      <c r="F34505" s="1">
        <v>4.4768310562346604E-6</v>
      </c>
    </row>
    <row r="34506" spans="1:6" x14ac:dyDescent="0.25">
      <c r="A34506" s="2" t="str">
        <f t="shared" si="1200"/>
        <v>99999</v>
      </c>
      <c r="B34506" s="2" t="str">
        <f>"38914"</f>
        <v>38914</v>
      </c>
      <c r="C34506" s="1">
        <v>2.75028163102177E-5</v>
      </c>
      <c r="D34506" s="1">
        <v>2.4281642774541899E-5</v>
      </c>
      <c r="E34506" s="1">
        <v>0</v>
      </c>
      <c r="F34506" s="1">
        <v>2.6662016068241999E-5</v>
      </c>
    </row>
    <row r="34507" spans="1:6" x14ac:dyDescent="0.25">
      <c r="A34507" s="2" t="str">
        <f t="shared" si="1200"/>
        <v>99999</v>
      </c>
      <c r="B34507" s="2" t="str">
        <f>"38668"</f>
        <v>38668</v>
      </c>
      <c r="C34507" s="1">
        <v>1.3096579195341799E-6</v>
      </c>
      <c r="D34507" s="1">
        <v>1.51760267340886E-6</v>
      </c>
      <c r="E34507" s="1">
        <v>0</v>
      </c>
      <c r="F34507" s="1">
        <v>1.2933067495789E-6</v>
      </c>
    </row>
    <row r="34508" spans="1:6" x14ac:dyDescent="0.25">
      <c r="A34508" s="2" t="str">
        <f t="shared" si="1200"/>
        <v>99999</v>
      </c>
      <c r="B34508" s="2" t="str">
        <f>"38659"</f>
        <v>38659</v>
      </c>
      <c r="C34508" s="1">
        <v>1.5279342394565399E-5</v>
      </c>
      <c r="D34508" s="1">
        <v>1.51760267340886E-6</v>
      </c>
      <c r="E34508" s="1">
        <v>0</v>
      </c>
      <c r="F34508" s="1">
        <v>1.4027403976201899E-5</v>
      </c>
    </row>
    <row r="34509" spans="1:6" x14ac:dyDescent="0.25">
      <c r="A34509" s="2" t="str">
        <f t="shared" si="1200"/>
        <v>99999</v>
      </c>
      <c r="B34509" s="2" t="str">
        <f>"38841"</f>
        <v>38841</v>
      </c>
      <c r="C34509" s="1">
        <v>7.3122567173991701E-6</v>
      </c>
      <c r="D34509" s="1">
        <v>0</v>
      </c>
      <c r="E34509" s="1">
        <v>8.69107991013423E-6</v>
      </c>
      <c r="F34509" s="1">
        <v>6.86447428622649E-6</v>
      </c>
    </row>
    <row r="34510" spans="1:6" x14ac:dyDescent="0.25">
      <c r="A34510" s="2" t="str">
        <f t="shared" si="1200"/>
        <v>99999</v>
      </c>
      <c r="B34510" s="2" t="str">
        <f>"38645"</f>
        <v>38645</v>
      </c>
      <c r="C34510" s="1">
        <v>1.85534871934008E-6</v>
      </c>
      <c r="D34510" s="1">
        <v>1.51760267340886E-6</v>
      </c>
      <c r="E34510" s="1">
        <v>0</v>
      </c>
      <c r="F34510" s="1">
        <v>1.79073242249386E-6</v>
      </c>
    </row>
    <row r="34511" spans="1:6" x14ac:dyDescent="0.25">
      <c r="A34511" s="2" t="str">
        <f t="shared" si="1200"/>
        <v>99999</v>
      </c>
      <c r="B34511" s="2" t="str">
        <f>"38650"</f>
        <v>38650</v>
      </c>
      <c r="C34511" s="1">
        <v>2.02778701207875E-4</v>
      </c>
      <c r="D34511" s="1">
        <v>5.9186504262945899E-5</v>
      </c>
      <c r="E34511" s="1">
        <v>1.6513051829255E-4</v>
      </c>
      <c r="F34511" s="1">
        <v>1.9250373541808999E-4</v>
      </c>
    </row>
    <row r="34512" spans="1:6" x14ac:dyDescent="0.25">
      <c r="A34512" s="2" t="str">
        <f t="shared" si="1200"/>
        <v>99999</v>
      </c>
      <c r="B34512" s="2" t="str">
        <f>"38647"</f>
        <v>38647</v>
      </c>
      <c r="C34512" s="1">
        <v>6.9302731575350397E-5</v>
      </c>
      <c r="D34512" s="1">
        <v>3.9457669508630602E-5</v>
      </c>
      <c r="E34512" s="1">
        <v>0</v>
      </c>
      <c r="F34512" s="1">
        <v>6.5759673959358094E-5</v>
      </c>
    </row>
    <row r="34513" spans="1:6" x14ac:dyDescent="0.25">
      <c r="A34513" s="2" t="str">
        <f t="shared" si="1200"/>
        <v>99999</v>
      </c>
      <c r="B34513" s="2" t="str">
        <f>"38487"</f>
        <v>38487</v>
      </c>
      <c r="C34513" s="1">
        <v>1.7898658233633802E-5</v>
      </c>
      <c r="D34513" s="1">
        <v>1.0623218713862E-5</v>
      </c>
      <c r="E34513" s="1">
        <v>4.3455399550671099E-6</v>
      </c>
      <c r="F34513" s="1">
        <v>1.7111443148274701E-5</v>
      </c>
    </row>
    <row r="34514" spans="1:6" x14ac:dyDescent="0.25">
      <c r="A34514" s="2" t="str">
        <f t="shared" ref="A34514:A34577" si="1201">"99999"</f>
        <v>99999</v>
      </c>
      <c r="B34514" s="2" t="str">
        <f>"38463"</f>
        <v>38463</v>
      </c>
      <c r="C34514" s="1">
        <v>1.1546817323893E-4</v>
      </c>
      <c r="D34514" s="1">
        <v>6.6774517629990203E-5</v>
      </c>
      <c r="E34514" s="1">
        <v>8.69107991013423E-6</v>
      </c>
      <c r="F34514" s="1">
        <v>1.09831588579623E-4</v>
      </c>
    </row>
    <row r="34515" spans="1:6" x14ac:dyDescent="0.25">
      <c r="A34515" s="2" t="str">
        <f t="shared" si="1201"/>
        <v>99999</v>
      </c>
      <c r="B34515" s="2" t="str">
        <f>"38451"</f>
        <v>38451</v>
      </c>
      <c r="C34515" s="1">
        <v>1.4187960794953601E-6</v>
      </c>
      <c r="D34515" s="1">
        <v>0</v>
      </c>
      <c r="E34515" s="1">
        <v>0</v>
      </c>
      <c r="F34515" s="1">
        <v>1.2933067495789E-6</v>
      </c>
    </row>
    <row r="34516" spans="1:6" x14ac:dyDescent="0.25">
      <c r="A34516" s="2" t="str">
        <f t="shared" si="1201"/>
        <v>99999</v>
      </c>
      <c r="B34516" s="2" t="str">
        <f>"38393"</f>
        <v>38393</v>
      </c>
      <c r="C34516" s="1">
        <v>0</v>
      </c>
      <c r="D34516" s="1">
        <v>0</v>
      </c>
      <c r="E34516" s="1">
        <v>4.3455399550671099E-6</v>
      </c>
      <c r="F34516" s="1">
        <v>9.9485134582992598E-8</v>
      </c>
    </row>
    <row r="34517" spans="1:6" x14ac:dyDescent="0.25">
      <c r="A34517" s="2" t="str">
        <f t="shared" si="1201"/>
        <v>99999</v>
      </c>
      <c r="B34517" s="2" t="str">
        <f>"38460"</f>
        <v>38460</v>
      </c>
      <c r="C34517" s="1">
        <v>7.9670856771662596E-5</v>
      </c>
      <c r="D34517" s="1">
        <v>4.8563285549083798E-5</v>
      </c>
      <c r="E34517" s="1">
        <v>0</v>
      </c>
      <c r="F34517" s="1">
        <v>7.58076725522403E-5</v>
      </c>
    </row>
    <row r="34518" spans="1:6" x14ac:dyDescent="0.25">
      <c r="A34518" s="2" t="str">
        <f t="shared" si="1201"/>
        <v>99999</v>
      </c>
      <c r="B34518" s="2" t="str">
        <f>"38381"</f>
        <v>38381</v>
      </c>
      <c r="C34518" s="1">
        <v>8.8511047728518302E-5</v>
      </c>
      <c r="D34518" s="1">
        <v>3.9457669508630602E-5</v>
      </c>
      <c r="E34518" s="1">
        <v>2.60732397304027E-5</v>
      </c>
      <c r="F34518" s="1">
        <v>8.3865968453462699E-5</v>
      </c>
    </row>
    <row r="34519" spans="1:6" x14ac:dyDescent="0.25">
      <c r="A34519" s="2" t="str">
        <f t="shared" si="1201"/>
        <v>99999</v>
      </c>
      <c r="B34519" s="2" t="str">
        <f>"38620"</f>
        <v>38620</v>
      </c>
      <c r="C34519" s="1">
        <v>1.6152447674254799E-4</v>
      </c>
      <c r="D34519" s="1">
        <v>1.9728834754315301E-5</v>
      </c>
      <c r="E34519" s="1">
        <v>0</v>
      </c>
      <c r="F34519" s="1">
        <v>1.4853130593240799E-4</v>
      </c>
    </row>
    <row r="34520" spans="1:6" x14ac:dyDescent="0.25">
      <c r="A34520" s="2" t="str">
        <f t="shared" si="1201"/>
        <v>99999</v>
      </c>
      <c r="B34520" s="2" t="str">
        <f>"38585"</f>
        <v>38585</v>
      </c>
      <c r="C34520" s="1">
        <v>2.8746991333775199E-4</v>
      </c>
      <c r="D34520" s="1">
        <v>1.76041910115428E-4</v>
      </c>
      <c r="E34520" s="1">
        <v>1.4340281851721399E-4</v>
      </c>
      <c r="F34520" s="1">
        <v>2.7686712954446801E-4</v>
      </c>
    </row>
    <row r="34521" spans="1:6" x14ac:dyDescent="0.25">
      <c r="A34521" s="2" t="str">
        <f t="shared" si="1201"/>
        <v>99999</v>
      </c>
      <c r="B34521" s="2" t="str">
        <f>"38363"</f>
        <v>38363</v>
      </c>
      <c r="C34521" s="1">
        <v>3.6408490163050201E-4</v>
      </c>
      <c r="D34521" s="1">
        <v>5.5999538648787196E-4</v>
      </c>
      <c r="E34521" s="1">
        <v>2.5204131739389198E-4</v>
      </c>
      <c r="F34521" s="1">
        <v>3.74362561435801E-4</v>
      </c>
    </row>
    <row r="34522" spans="1:6" x14ac:dyDescent="0.25">
      <c r="A34522" s="2" t="str">
        <f t="shared" si="1201"/>
        <v>99999</v>
      </c>
      <c r="B34522" s="2" t="str">
        <f>"38375"</f>
        <v>38375</v>
      </c>
      <c r="C34522" s="1">
        <v>5.1185797021794201E-4</v>
      </c>
      <c r="D34522" s="1">
        <v>9.2573763077940998E-4</v>
      </c>
      <c r="E34522" s="1">
        <v>2.6073239730402698E-4</v>
      </c>
      <c r="F34522" s="1">
        <v>5.3324032136484005E-4</v>
      </c>
    </row>
    <row r="34523" spans="1:6" x14ac:dyDescent="0.25">
      <c r="A34523" s="2" t="str">
        <f t="shared" si="1201"/>
        <v>99999</v>
      </c>
      <c r="B34523" s="2" t="str">
        <f>"38340"</f>
        <v>38340</v>
      </c>
      <c r="C34523" s="1">
        <v>1.8116934553556101E-5</v>
      </c>
      <c r="D34523" s="1">
        <v>6.0704106936354696E-6</v>
      </c>
      <c r="E34523" s="1">
        <v>0</v>
      </c>
      <c r="F34523" s="1">
        <v>1.69124728791087E-5</v>
      </c>
    </row>
    <row r="34524" spans="1:6" x14ac:dyDescent="0.25">
      <c r="A34524" s="2" t="str">
        <f t="shared" si="1201"/>
        <v>99999</v>
      </c>
      <c r="B34524" s="2" t="str">
        <f>"38334"</f>
        <v>38334</v>
      </c>
      <c r="C34524" s="1">
        <v>6.7119968376126702E-5</v>
      </c>
      <c r="D34524" s="1">
        <v>3.6422464161812797E-5</v>
      </c>
      <c r="E34524" s="1">
        <v>8.69107991013423E-6</v>
      </c>
      <c r="F34524" s="1">
        <v>6.3769971267698205E-5</v>
      </c>
    </row>
    <row r="34525" spans="1:6" x14ac:dyDescent="0.25">
      <c r="A34525" s="2" t="str">
        <f t="shared" si="1201"/>
        <v>99999</v>
      </c>
      <c r="B34525" s="2" t="str">
        <f>"38328"</f>
        <v>38328</v>
      </c>
      <c r="C34525" s="1">
        <v>5.7297533979620399E-5</v>
      </c>
      <c r="D34525" s="1">
        <v>1.8211232080906399E-5</v>
      </c>
      <c r="E34525" s="1">
        <v>0</v>
      </c>
      <c r="F34525" s="1">
        <v>5.3423517271066997E-5</v>
      </c>
    </row>
    <row r="34526" spans="1:6" x14ac:dyDescent="0.25">
      <c r="A34526" s="2" t="str">
        <f t="shared" si="1201"/>
        <v>99999</v>
      </c>
      <c r="B34526" s="2" t="str">
        <f>"38305"</f>
        <v>38305</v>
      </c>
      <c r="C34526" s="1">
        <v>8.4036383170109905E-6</v>
      </c>
      <c r="D34526" s="1">
        <v>3.0352053468177301E-6</v>
      </c>
      <c r="E34526" s="1">
        <v>0</v>
      </c>
      <c r="F34526" s="1">
        <v>7.85932563205641E-6</v>
      </c>
    </row>
    <row r="34527" spans="1:6" x14ac:dyDescent="0.25">
      <c r="A34527" s="2" t="str">
        <f t="shared" si="1201"/>
        <v>99999</v>
      </c>
      <c r="B34527" s="2" t="str">
        <f>"38080"</f>
        <v>38080</v>
      </c>
      <c r="C34527" s="1">
        <v>1.21470772036795E-4</v>
      </c>
      <c r="D34527" s="1">
        <v>1.24443419219527E-4</v>
      </c>
      <c r="E34527" s="1">
        <v>6.0837559370939603E-5</v>
      </c>
      <c r="F34527" s="1">
        <v>1.20277527710838E-4</v>
      </c>
    </row>
    <row r="34528" spans="1:6" x14ac:dyDescent="0.25">
      <c r="A34528" s="2" t="str">
        <f t="shared" si="1201"/>
        <v>99999</v>
      </c>
      <c r="B34528" s="2" t="str">
        <f>"37841"</f>
        <v>37841</v>
      </c>
      <c r="C34528" s="1">
        <v>5.0181725950151305E-4</v>
      </c>
      <c r="D34528" s="1">
        <v>7.4666051531716298E-4</v>
      </c>
      <c r="E34528" s="1">
        <v>1.47748358472281E-4</v>
      </c>
      <c r="F34528" s="1">
        <v>5.09761829603254E-4</v>
      </c>
    </row>
    <row r="34529" spans="1:6" x14ac:dyDescent="0.25">
      <c r="A34529" s="2" t="str">
        <f t="shared" si="1201"/>
        <v>99999</v>
      </c>
      <c r="B34529" s="2" t="str">
        <f>"37730"</f>
        <v>37730</v>
      </c>
      <c r="C34529" s="1">
        <v>0</v>
      </c>
      <c r="D34529" s="1">
        <v>1.51760267340886E-6</v>
      </c>
      <c r="E34529" s="1">
        <v>0</v>
      </c>
      <c r="F34529" s="1">
        <v>9.9485134582992598E-8</v>
      </c>
    </row>
    <row r="34530" spans="1:6" x14ac:dyDescent="0.25">
      <c r="A34530" s="2" t="str">
        <f t="shared" si="1201"/>
        <v>99999</v>
      </c>
      <c r="B34530" s="2" t="str">
        <f>"37707"</f>
        <v>37707</v>
      </c>
      <c r="C34530" s="1">
        <v>0</v>
      </c>
      <c r="D34530" s="1">
        <v>0</v>
      </c>
      <c r="E34530" s="1">
        <v>4.3455399550671099E-6</v>
      </c>
      <c r="F34530" s="1">
        <v>9.9485134582992598E-8</v>
      </c>
    </row>
    <row r="34531" spans="1:6" x14ac:dyDescent="0.25">
      <c r="A34531" s="2" t="str">
        <f t="shared" si="1201"/>
        <v>99999</v>
      </c>
      <c r="B34531" s="2" t="str">
        <f>"37752"</f>
        <v>37752</v>
      </c>
      <c r="C34531" s="1">
        <v>3.1781032180696098E-4</v>
      </c>
      <c r="D34531" s="1">
        <v>2.1701718229746799E-4</v>
      </c>
      <c r="E34531" s="1">
        <v>3.7371643613577199E-4</v>
      </c>
      <c r="F34531" s="1">
        <v>3.12482807725179E-4</v>
      </c>
    </row>
    <row r="34532" spans="1:6" x14ac:dyDescent="0.25">
      <c r="A34532" s="2" t="str">
        <f t="shared" si="1201"/>
        <v>99999</v>
      </c>
      <c r="B34532" s="2" t="str">
        <f>"37348"</f>
        <v>37348</v>
      </c>
      <c r="C34532" s="1">
        <v>7.4650501413448304E-5</v>
      </c>
      <c r="D34532" s="1">
        <v>4.2492874855448297E-5</v>
      </c>
      <c r="E34532" s="1">
        <v>0</v>
      </c>
      <c r="F34532" s="1">
        <v>7.08334158230907E-5</v>
      </c>
    </row>
    <row r="34533" spans="1:6" x14ac:dyDescent="0.25">
      <c r="A34533" s="2" t="str">
        <f t="shared" si="1201"/>
        <v>99999</v>
      </c>
      <c r="B34533" s="2" t="str">
        <f>"37137"</f>
        <v>37137</v>
      </c>
      <c r="C34533" s="1">
        <v>1.9721265504985501E-4</v>
      </c>
      <c r="D34533" s="1">
        <v>5.15984908959015E-5</v>
      </c>
      <c r="E34533" s="1">
        <v>5.21464794608054E-5</v>
      </c>
      <c r="F34533" s="1">
        <v>1.8434595438228499E-4</v>
      </c>
    </row>
    <row r="34534" spans="1:6" x14ac:dyDescent="0.25">
      <c r="A34534" s="2" t="str">
        <f t="shared" si="1201"/>
        <v>99999</v>
      </c>
      <c r="B34534" s="2" t="str">
        <f>"37134"</f>
        <v>37134</v>
      </c>
      <c r="C34534" s="1">
        <v>1.5552187794468301E-4</v>
      </c>
      <c r="D34534" s="1">
        <v>1.15337803179074E-4</v>
      </c>
      <c r="E34534" s="1">
        <v>8.69107991013423E-6</v>
      </c>
      <c r="F34534" s="1">
        <v>1.4952615727823699E-4</v>
      </c>
    </row>
    <row r="34535" spans="1:6" x14ac:dyDescent="0.25">
      <c r="A34535" s="2" t="str">
        <f t="shared" si="1201"/>
        <v>99999</v>
      </c>
      <c r="B34535" s="2" t="str">
        <f>"36913"</f>
        <v>36913</v>
      </c>
      <c r="C34535" s="1">
        <v>2.8375921589907201E-6</v>
      </c>
      <c r="D34535" s="1">
        <v>4.5528080202265997E-6</v>
      </c>
      <c r="E34535" s="1">
        <v>0</v>
      </c>
      <c r="F34535" s="1">
        <v>2.8850689029067799E-6</v>
      </c>
    </row>
    <row r="34536" spans="1:6" x14ac:dyDescent="0.25">
      <c r="A34536" s="2" t="str">
        <f t="shared" si="1201"/>
        <v>99999</v>
      </c>
      <c r="B34536" s="2" t="str">
        <f>"36879"</f>
        <v>36879</v>
      </c>
      <c r="C34536" s="1">
        <v>1.09138159961181E-7</v>
      </c>
      <c r="D34536" s="1">
        <v>0</v>
      </c>
      <c r="E34536" s="1">
        <v>0</v>
      </c>
      <c r="F34536" s="1">
        <v>9.9485134582992598E-8</v>
      </c>
    </row>
    <row r="34537" spans="1:6" x14ac:dyDescent="0.25">
      <c r="A34537" s="2" t="str">
        <f t="shared" si="1201"/>
        <v>99999</v>
      </c>
      <c r="B34537" s="2" t="str">
        <f>"36804"</f>
        <v>36804</v>
      </c>
      <c r="C34537" s="1">
        <v>8.1853619970886298E-6</v>
      </c>
      <c r="D34537" s="1">
        <v>7.5880133670443404E-6</v>
      </c>
      <c r="E34537" s="1">
        <v>0</v>
      </c>
      <c r="F34537" s="1">
        <v>7.9588107666394102E-6</v>
      </c>
    </row>
    <row r="34538" spans="1:6" x14ac:dyDescent="0.25">
      <c r="A34538" s="2" t="str">
        <f t="shared" si="1201"/>
        <v>99999</v>
      </c>
      <c r="B34538" s="2" t="str">
        <f>"36830"</f>
        <v>36830</v>
      </c>
      <c r="C34538" s="1">
        <v>5.5442185260280297E-5</v>
      </c>
      <c r="D34538" s="1">
        <v>2.7316848121359601E-5</v>
      </c>
      <c r="E34538" s="1">
        <v>4.3455399550671103E-5</v>
      </c>
      <c r="F34538" s="1">
        <v>5.3324032136483998E-5</v>
      </c>
    </row>
    <row r="34539" spans="1:6" x14ac:dyDescent="0.25">
      <c r="A34539" s="2" t="str">
        <f t="shared" si="1201"/>
        <v>99999</v>
      </c>
      <c r="B34539" s="2" t="str">
        <f>"36793"</f>
        <v>36793</v>
      </c>
      <c r="C34539" s="1">
        <v>5.7843224779426299E-6</v>
      </c>
      <c r="D34539" s="1">
        <v>1.0623218713862E-5</v>
      </c>
      <c r="E34539" s="1">
        <v>0</v>
      </c>
      <c r="F34539" s="1">
        <v>5.96910807497955E-6</v>
      </c>
    </row>
    <row r="34540" spans="1:6" x14ac:dyDescent="0.25">
      <c r="A34540" s="2" t="str">
        <f t="shared" si="1201"/>
        <v>99999</v>
      </c>
      <c r="B34540" s="2" t="str">
        <f>"36720"</f>
        <v>36720</v>
      </c>
      <c r="C34540" s="1">
        <v>6.2863580137640602E-5</v>
      </c>
      <c r="D34540" s="1">
        <v>6.0704106936354696E-6</v>
      </c>
      <c r="E34540" s="1">
        <v>1.3036619865201299E-5</v>
      </c>
      <c r="F34540" s="1">
        <v>5.7999833461884698E-5</v>
      </c>
    </row>
    <row r="34541" spans="1:6" x14ac:dyDescent="0.25">
      <c r="A34541" s="2" t="str">
        <f t="shared" si="1201"/>
        <v>99999</v>
      </c>
      <c r="B34541" s="2" t="str">
        <f>"36736"</f>
        <v>36736</v>
      </c>
      <c r="C34541" s="1">
        <v>8.3708968690226305E-5</v>
      </c>
      <c r="D34541" s="1">
        <v>2.7316848121359601E-5</v>
      </c>
      <c r="E34541" s="1">
        <v>0</v>
      </c>
      <c r="F34541" s="1">
        <v>7.8095830647649205E-5</v>
      </c>
    </row>
    <row r="34542" spans="1:6" x14ac:dyDescent="0.25">
      <c r="A34542" s="2" t="str">
        <f t="shared" si="1201"/>
        <v>99999</v>
      </c>
      <c r="B34542" s="2" t="str">
        <f>"36481"</f>
        <v>36481</v>
      </c>
      <c r="C34542" s="1">
        <v>3.05586847891308E-6</v>
      </c>
      <c r="D34542" s="1">
        <v>3.0352053468177301E-6</v>
      </c>
      <c r="E34542" s="1">
        <v>0</v>
      </c>
      <c r="F34542" s="1">
        <v>2.9845540374897699E-6</v>
      </c>
    </row>
    <row r="34543" spans="1:6" x14ac:dyDescent="0.25">
      <c r="A34543" s="2" t="str">
        <f t="shared" si="1201"/>
        <v>99999</v>
      </c>
      <c r="B34543" s="2" t="str">
        <f>"36482"</f>
        <v>36482</v>
      </c>
      <c r="C34543" s="1">
        <v>7.0066698695078603E-5</v>
      </c>
      <c r="D34543" s="1">
        <v>1.9728834754315301E-5</v>
      </c>
      <c r="E34543" s="1">
        <v>4.3455399550671099E-6</v>
      </c>
      <c r="F34543" s="1">
        <v>6.5262248286443095E-5</v>
      </c>
    </row>
    <row r="34544" spans="1:6" x14ac:dyDescent="0.25">
      <c r="A34544" s="2" t="str">
        <f t="shared" si="1201"/>
        <v>99999</v>
      </c>
      <c r="B34544" s="2" t="str">
        <f>"36524"</f>
        <v>36524</v>
      </c>
      <c r="C34544" s="1">
        <v>7.2686014534147E-5</v>
      </c>
      <c r="D34544" s="1">
        <v>3.9457669508630602E-5</v>
      </c>
      <c r="E34544" s="1">
        <v>1.7382159820268399E-5</v>
      </c>
      <c r="F34544" s="1">
        <v>6.9241653669762805E-5</v>
      </c>
    </row>
    <row r="34545" spans="1:6" x14ac:dyDescent="0.25">
      <c r="A34545" s="2" t="str">
        <f t="shared" si="1201"/>
        <v>99999</v>
      </c>
      <c r="B34545" s="2" t="str">
        <f>"36426"</f>
        <v>36426</v>
      </c>
      <c r="C34545" s="1">
        <v>1.06955396761958E-5</v>
      </c>
      <c r="D34545" s="1">
        <v>9.1056160404532095E-6</v>
      </c>
      <c r="E34545" s="1">
        <v>0</v>
      </c>
      <c r="F34545" s="1">
        <v>1.03464539966312E-5</v>
      </c>
    </row>
    <row r="34546" spans="1:6" x14ac:dyDescent="0.25">
      <c r="A34546" s="2" t="str">
        <f t="shared" si="1201"/>
        <v>99999</v>
      </c>
      <c r="B34546" s="2" t="str">
        <f>"36435"</f>
        <v>36435</v>
      </c>
      <c r="C34546" s="1">
        <v>3.6888698066879403E-5</v>
      </c>
      <c r="D34546" s="1">
        <v>7.5880133670443404E-6</v>
      </c>
      <c r="E34546" s="1">
        <v>4.7800939505738197E-5</v>
      </c>
      <c r="F34546" s="1">
        <v>3.5217737642379299E-5</v>
      </c>
    </row>
    <row r="34547" spans="1:6" x14ac:dyDescent="0.25">
      <c r="A34547" s="2" t="str">
        <f t="shared" si="1201"/>
        <v>99999</v>
      </c>
      <c r="B34547" s="2" t="str">
        <f>"36476"</f>
        <v>36476</v>
      </c>
      <c r="C34547" s="1">
        <v>0</v>
      </c>
      <c r="D34547" s="1">
        <v>1.51760267340886E-6</v>
      </c>
      <c r="E34547" s="1">
        <v>0</v>
      </c>
      <c r="F34547" s="1">
        <v>9.9485134582992598E-8</v>
      </c>
    </row>
    <row r="34548" spans="1:6" x14ac:dyDescent="0.25">
      <c r="A34548" s="2" t="str">
        <f t="shared" si="1201"/>
        <v>99999</v>
      </c>
      <c r="B34548" s="2" t="str">
        <f>"36475"</f>
        <v>36475</v>
      </c>
      <c r="C34548" s="1">
        <v>1.02262455883627E-4</v>
      </c>
      <c r="D34548" s="1">
        <v>3.0352053468177301E-5</v>
      </c>
      <c r="E34548" s="1">
        <v>8.69107991013423E-6</v>
      </c>
      <c r="F34548" s="1">
        <v>9.5406244065089903E-5</v>
      </c>
    </row>
    <row r="34549" spans="1:6" x14ac:dyDescent="0.25">
      <c r="A34549" s="2" t="str">
        <f t="shared" si="1201"/>
        <v>99999</v>
      </c>
      <c r="B34549" s="2" t="str">
        <f>"36272"</f>
        <v>36272</v>
      </c>
      <c r="C34549" s="1">
        <v>1.8608056273381401E-4</v>
      </c>
      <c r="D34549" s="1">
        <v>5.6151298916128101E-5</v>
      </c>
      <c r="E34549" s="1">
        <v>2.60732397304027E-5</v>
      </c>
      <c r="F34549" s="1">
        <v>1.7390001525107099E-4</v>
      </c>
    </row>
    <row r="34550" spans="1:6" x14ac:dyDescent="0.25">
      <c r="A34550" s="2" t="str">
        <f t="shared" si="1201"/>
        <v>99999</v>
      </c>
      <c r="B34550" s="2" t="str">
        <f>"36258"</f>
        <v>36258</v>
      </c>
      <c r="C34550" s="1">
        <v>1.4340754218899199E-4</v>
      </c>
      <c r="D34550" s="1">
        <v>1.01679379118394E-4</v>
      </c>
      <c r="E34550" s="1">
        <v>3.0418779685469802E-5</v>
      </c>
      <c r="F34550" s="1">
        <v>1.3808536680119299E-4</v>
      </c>
    </row>
    <row r="34551" spans="1:6" x14ac:dyDescent="0.25">
      <c r="A34551" s="2" t="str">
        <f t="shared" si="1201"/>
        <v>99999</v>
      </c>
      <c r="B34551" s="2" t="str">
        <f>"36053"</f>
        <v>36053</v>
      </c>
      <c r="C34551" s="1">
        <v>8.1744481810925096E-5</v>
      </c>
      <c r="D34551" s="1">
        <v>3.4904861488403899E-5</v>
      </c>
      <c r="E34551" s="1">
        <v>3.47643196405369E-5</v>
      </c>
      <c r="F34551" s="1">
        <v>7.7598404974734206E-5</v>
      </c>
    </row>
    <row r="34552" spans="1:6" x14ac:dyDescent="0.25">
      <c r="A34552" s="2" t="str">
        <f t="shared" si="1201"/>
        <v>99999</v>
      </c>
      <c r="B34552" s="2" t="str">
        <f>"36035"</f>
        <v>36035</v>
      </c>
      <c r="C34552" s="1">
        <v>2.5538329430916501E-5</v>
      </c>
      <c r="D34552" s="1">
        <v>6.0704106936354696E-6</v>
      </c>
      <c r="E34552" s="1">
        <v>8.69107991013423E-6</v>
      </c>
      <c r="F34552" s="1">
        <v>2.38764322999182E-5</v>
      </c>
    </row>
    <row r="34553" spans="1:6" x14ac:dyDescent="0.25">
      <c r="A34553" s="2" t="str">
        <f t="shared" si="1201"/>
        <v>99999</v>
      </c>
      <c r="B34553" s="2" t="str">
        <f>"36005"</f>
        <v>36005</v>
      </c>
      <c r="C34553" s="1">
        <v>3.6779559906918201E-5</v>
      </c>
      <c r="D34553" s="1">
        <v>2.5799245447950699E-5</v>
      </c>
      <c r="E34553" s="1">
        <v>0</v>
      </c>
      <c r="F34553" s="1">
        <v>3.5217737642379299E-5</v>
      </c>
    </row>
    <row r="34554" spans="1:6" x14ac:dyDescent="0.25">
      <c r="A34554" s="2" t="str">
        <f t="shared" si="1201"/>
        <v>99999</v>
      </c>
      <c r="B34554" s="2" t="str">
        <f>"35594"</f>
        <v>35594</v>
      </c>
      <c r="C34554" s="1">
        <v>4.3000435024705602E-4</v>
      </c>
      <c r="D34554" s="1">
        <v>4.0823511914698499E-4</v>
      </c>
      <c r="E34554" s="1">
        <v>2.99842256899631E-4</v>
      </c>
      <c r="F34554" s="1">
        <v>4.2559740574604201E-4</v>
      </c>
    </row>
    <row r="34555" spans="1:6" x14ac:dyDescent="0.25">
      <c r="A34555" s="2" t="str">
        <f t="shared" si="1201"/>
        <v>99999</v>
      </c>
      <c r="B34555" s="2" t="str">
        <f>"35579"</f>
        <v>35579</v>
      </c>
      <c r="C34555" s="1">
        <v>1.09138159961181E-7</v>
      </c>
      <c r="D34555" s="1">
        <v>0</v>
      </c>
      <c r="E34555" s="1">
        <v>0</v>
      </c>
      <c r="F34555" s="1">
        <v>9.9485134582992598E-8</v>
      </c>
    </row>
    <row r="34556" spans="1:6" x14ac:dyDescent="0.25">
      <c r="A34556" s="2" t="str">
        <f t="shared" si="1201"/>
        <v>99999</v>
      </c>
      <c r="B34556" s="2" t="str">
        <f>"35575"</f>
        <v>35575</v>
      </c>
      <c r="C34556" s="1">
        <v>6.19904748579512E-5</v>
      </c>
      <c r="D34556" s="1">
        <v>4.5528080202266E-5</v>
      </c>
      <c r="E34556" s="1">
        <v>0</v>
      </c>
      <c r="F34556" s="1">
        <v>5.94921104806295E-5</v>
      </c>
    </row>
    <row r="34557" spans="1:6" x14ac:dyDescent="0.25">
      <c r="A34557" s="2" t="str">
        <f t="shared" si="1201"/>
        <v>99999</v>
      </c>
      <c r="B34557" s="2" t="str">
        <f>"35574"</f>
        <v>35574</v>
      </c>
      <c r="C34557" s="1">
        <v>7.9779994931623806E-5</v>
      </c>
      <c r="D34557" s="1">
        <v>1.8211232080906399E-5</v>
      </c>
      <c r="E34557" s="1">
        <v>3.9109859595604001E-5</v>
      </c>
      <c r="F34557" s="1">
        <v>7.4812821206410397E-5</v>
      </c>
    </row>
    <row r="34558" spans="1:6" x14ac:dyDescent="0.25">
      <c r="A34558" s="2" t="str">
        <f t="shared" si="1201"/>
        <v>99999</v>
      </c>
      <c r="B34558" s="2" t="str">
        <f>"35572"</f>
        <v>35572</v>
      </c>
      <c r="C34558" s="1">
        <v>6.8647902615583305E-5</v>
      </c>
      <c r="D34558" s="1">
        <v>9.1056160404532095E-6</v>
      </c>
      <c r="E34558" s="1">
        <v>1.7382159820268399E-5</v>
      </c>
      <c r="F34558" s="1">
        <v>6.3571000998532195E-5</v>
      </c>
    </row>
    <row r="34559" spans="1:6" x14ac:dyDescent="0.25">
      <c r="A34559" s="2" t="str">
        <f t="shared" si="1201"/>
        <v>99999</v>
      </c>
      <c r="B34559" s="2" t="str">
        <f>"35564"</f>
        <v>35564</v>
      </c>
      <c r="C34559" s="1">
        <v>1.5781377930386799E-4</v>
      </c>
      <c r="D34559" s="1">
        <v>1.18373008525891E-4</v>
      </c>
      <c r="E34559" s="1">
        <v>1.08638498876677E-4</v>
      </c>
      <c r="F34559" s="1">
        <v>1.5410247346905499E-4</v>
      </c>
    </row>
    <row r="34560" spans="1:6" x14ac:dyDescent="0.25">
      <c r="A34560" s="2" t="str">
        <f t="shared" si="1201"/>
        <v>99999</v>
      </c>
      <c r="B34560" s="2" t="str">
        <f>"35503"</f>
        <v>35503</v>
      </c>
      <c r="C34560" s="1">
        <v>2.9249026869596701E-5</v>
      </c>
      <c r="D34560" s="1">
        <v>7.5880133670443404E-6</v>
      </c>
      <c r="E34560" s="1">
        <v>3.0418779685469802E-5</v>
      </c>
      <c r="F34560" s="1">
        <v>2.78558376832379E-5</v>
      </c>
    </row>
    <row r="34561" spans="1:6" x14ac:dyDescent="0.25">
      <c r="A34561" s="2" t="str">
        <f t="shared" si="1201"/>
        <v>99999</v>
      </c>
      <c r="B34561" s="2" t="str">
        <f>"35089"</f>
        <v>35089</v>
      </c>
      <c r="C34561" s="1">
        <v>3.2741447988354498E-7</v>
      </c>
      <c r="D34561" s="1">
        <v>1.51760267340886E-6</v>
      </c>
      <c r="E34561" s="1">
        <v>0</v>
      </c>
      <c r="F34561" s="1">
        <v>3.9794053833197002E-7</v>
      </c>
    </row>
    <row r="34562" spans="1:6" x14ac:dyDescent="0.25">
      <c r="A34562" s="2" t="str">
        <f t="shared" si="1201"/>
        <v>99999</v>
      </c>
      <c r="B34562" s="2" t="str">
        <f>"33960"</f>
        <v>33960</v>
      </c>
      <c r="C34562" s="1">
        <v>2.1827631992236299E-6</v>
      </c>
      <c r="D34562" s="1">
        <v>1.51760267340886E-6</v>
      </c>
      <c r="E34562" s="1">
        <v>0</v>
      </c>
      <c r="F34562" s="1">
        <v>2.08918782624284E-6</v>
      </c>
    </row>
    <row r="34563" spans="1:6" x14ac:dyDescent="0.25">
      <c r="A34563" s="2" t="str">
        <f t="shared" si="1201"/>
        <v>99999</v>
      </c>
      <c r="B34563" s="2" t="str">
        <f>"33944"</f>
        <v>33944</v>
      </c>
      <c r="C34563" s="1">
        <v>0</v>
      </c>
      <c r="D34563" s="1">
        <v>0</v>
      </c>
      <c r="E34563" s="1">
        <v>4.3455399550671099E-6</v>
      </c>
      <c r="F34563" s="1">
        <v>9.9485134582992598E-8</v>
      </c>
    </row>
    <row r="34564" spans="1:6" x14ac:dyDescent="0.25">
      <c r="A34564" s="2" t="str">
        <f t="shared" si="1201"/>
        <v>99999</v>
      </c>
      <c r="B34564" s="2" t="str">
        <f>"33471"</f>
        <v>33471</v>
      </c>
      <c r="C34564" s="1">
        <v>4.3458815296542502E-4</v>
      </c>
      <c r="D34564" s="1">
        <v>1.88182731502699E-4</v>
      </c>
      <c r="E34564" s="1">
        <v>1.16156282998944E-2</v>
      </c>
      <c r="F34564" s="1">
        <v>6.7440972733810701E-4</v>
      </c>
    </row>
    <row r="34565" spans="1:6" x14ac:dyDescent="0.25">
      <c r="A34565" s="2" t="str">
        <f t="shared" si="1201"/>
        <v>99999</v>
      </c>
      <c r="B34565" s="2" t="str">
        <f>"32446"</f>
        <v>32446</v>
      </c>
      <c r="C34565" s="1">
        <v>5.57914273721561E-4</v>
      </c>
      <c r="D34565" s="1">
        <v>1.2505046028889E-3</v>
      </c>
      <c r="E34565" s="1">
        <v>5.9099343388912704E-4</v>
      </c>
      <c r="F34565" s="1">
        <v>6.0407373718793103E-4</v>
      </c>
    </row>
    <row r="34566" spans="1:6" x14ac:dyDescent="0.25">
      <c r="A34566" s="2" t="str">
        <f t="shared" si="1201"/>
        <v>99999</v>
      </c>
      <c r="B34566" s="2" t="str">
        <f>"32440"</f>
        <v>32440</v>
      </c>
      <c r="C34566" s="1">
        <v>3.2806930884331199E-4</v>
      </c>
      <c r="D34566" s="1">
        <v>4.4769278865561599E-4</v>
      </c>
      <c r="E34566" s="1">
        <v>2.0858591784322101E-4</v>
      </c>
      <c r="F34566" s="1">
        <v>3.3317571571844199E-4</v>
      </c>
    </row>
    <row r="34567" spans="1:6" x14ac:dyDescent="0.25">
      <c r="A34567" s="2" t="str">
        <f t="shared" si="1201"/>
        <v>99999</v>
      </c>
      <c r="B34567" s="2" t="str">
        <f>"32432"</f>
        <v>32432</v>
      </c>
      <c r="C34567" s="1">
        <v>0</v>
      </c>
      <c r="D34567" s="1">
        <v>0</v>
      </c>
      <c r="E34567" s="1">
        <v>4.3455399550671099E-6</v>
      </c>
      <c r="F34567" s="1">
        <v>9.9485134582992598E-8</v>
      </c>
    </row>
    <row r="34568" spans="1:6" x14ac:dyDescent="0.25">
      <c r="A34568" s="2" t="str">
        <f t="shared" si="1201"/>
        <v>99999</v>
      </c>
      <c r="B34568" s="2" t="str">
        <f>"32431"</f>
        <v>32431</v>
      </c>
      <c r="C34568" s="1">
        <v>2.90307505496743E-4</v>
      </c>
      <c r="D34568" s="1">
        <v>1.6541869140156601E-4</v>
      </c>
      <c r="E34568" s="1">
        <v>1.17329578786812E-4</v>
      </c>
      <c r="F34568" s="1">
        <v>2.7816043629404701E-4</v>
      </c>
    </row>
    <row r="34569" spans="1:6" x14ac:dyDescent="0.25">
      <c r="A34569" s="2" t="str">
        <f t="shared" si="1201"/>
        <v>99999</v>
      </c>
      <c r="B34569" s="2" t="str">
        <f>"32430"</f>
        <v>32430</v>
      </c>
      <c r="C34569" s="1">
        <v>6.8757040775544405E-5</v>
      </c>
      <c r="D34569" s="1">
        <v>2.4281642774541899E-5</v>
      </c>
      <c r="E34569" s="1">
        <v>3.9109859595604001E-5</v>
      </c>
      <c r="F34569" s="1">
        <v>6.5162763151860103E-5</v>
      </c>
    </row>
    <row r="34570" spans="1:6" x14ac:dyDescent="0.25">
      <c r="A34570" s="2" t="str">
        <f t="shared" si="1201"/>
        <v>99999</v>
      </c>
      <c r="B34570" s="2" t="str">
        <f>"32426"</f>
        <v>32426</v>
      </c>
      <c r="C34570" s="1">
        <v>5.99168498186887E-5</v>
      </c>
      <c r="D34570" s="1">
        <v>4.5528080202266E-5</v>
      </c>
      <c r="E34570" s="1">
        <v>1.7382159820268399E-5</v>
      </c>
      <c r="F34570" s="1">
        <v>5.7999833461884698E-5</v>
      </c>
    </row>
    <row r="34571" spans="1:6" x14ac:dyDescent="0.25">
      <c r="A34571" s="2" t="str">
        <f t="shared" si="1201"/>
        <v>99999</v>
      </c>
      <c r="B34571" s="2" t="str">
        <f>"32321"</f>
        <v>32321</v>
      </c>
      <c r="C34571" s="1">
        <v>2.4741620863199902E-4</v>
      </c>
      <c r="D34571" s="1">
        <v>1.54795472687704E-4</v>
      </c>
      <c r="E34571" s="1">
        <v>8.2565259146275205E-5</v>
      </c>
      <c r="F34571" s="1">
        <v>2.37570501384186E-4</v>
      </c>
    </row>
    <row r="34572" spans="1:6" x14ac:dyDescent="0.25">
      <c r="A34572" s="2" t="str">
        <f t="shared" si="1201"/>
        <v>99999</v>
      </c>
      <c r="B34572" s="2" t="str">
        <f>"32347"</f>
        <v>32347</v>
      </c>
      <c r="C34572" s="1">
        <v>4.3644350168476497E-4</v>
      </c>
      <c r="D34572" s="1">
        <v>6.5256914956581295E-4</v>
      </c>
      <c r="E34572" s="1">
        <v>1.12984038831745E-4</v>
      </c>
      <c r="F34572" s="1">
        <v>4.4320627456723199E-4</v>
      </c>
    </row>
    <row r="34573" spans="1:6" x14ac:dyDescent="0.25">
      <c r="A34573" s="2" t="str">
        <f t="shared" si="1201"/>
        <v>99999</v>
      </c>
      <c r="B34573" s="2" t="str">
        <f>"32060"</f>
        <v>32060</v>
      </c>
      <c r="C34573" s="1">
        <v>1.1050238696069599E-3</v>
      </c>
      <c r="D34573" s="1">
        <v>4.4313998063538897E-4</v>
      </c>
      <c r="E34573" s="1">
        <v>1.9120375802295301E-4</v>
      </c>
      <c r="F34573" s="1">
        <v>1.0407139928726801E-3</v>
      </c>
    </row>
    <row r="34574" spans="1:6" x14ac:dyDescent="0.25">
      <c r="A34574" s="2" t="str">
        <f t="shared" si="1201"/>
        <v>99999</v>
      </c>
      <c r="B34574" s="2" t="str">
        <f>"32058"</f>
        <v>32058</v>
      </c>
      <c r="C34574" s="1">
        <v>1.7112863481913199E-4</v>
      </c>
      <c r="D34574" s="1">
        <v>7.8915339017261203E-5</v>
      </c>
      <c r="E34574" s="1">
        <v>1.3036619865201299E-5</v>
      </c>
      <c r="F34574" s="1">
        <v>1.61464373428197E-4</v>
      </c>
    </row>
    <row r="34575" spans="1:6" x14ac:dyDescent="0.25">
      <c r="A34575" s="2" t="str">
        <f t="shared" si="1201"/>
        <v>99999</v>
      </c>
      <c r="B34575" s="2" t="str">
        <f>"32042"</f>
        <v>32042</v>
      </c>
      <c r="C34575" s="1">
        <v>0</v>
      </c>
      <c r="D34575" s="1">
        <v>0</v>
      </c>
      <c r="E34575" s="1">
        <v>8.69107991013423E-6</v>
      </c>
      <c r="F34575" s="1">
        <v>1.9897026916598501E-7</v>
      </c>
    </row>
    <row r="34576" spans="1:6" x14ac:dyDescent="0.25">
      <c r="A34576" s="2" t="str">
        <f t="shared" si="1201"/>
        <v>99999</v>
      </c>
      <c r="B34576" s="2" t="str">
        <f>"32052"</f>
        <v>32052</v>
      </c>
      <c r="C34576" s="1">
        <v>3.27414479883545E-4</v>
      </c>
      <c r="D34576" s="1">
        <v>4.70456828756749E-4</v>
      </c>
      <c r="E34576" s="1">
        <v>1.73821598202684E-4</v>
      </c>
      <c r="F34576" s="1">
        <v>3.3327520085302498E-4</v>
      </c>
    </row>
    <row r="34577" spans="1:6" x14ac:dyDescent="0.25">
      <c r="A34577" s="2" t="str">
        <f t="shared" si="1201"/>
        <v>99999</v>
      </c>
      <c r="B34577" s="2" t="str">
        <f>"32096"</f>
        <v>32096</v>
      </c>
      <c r="C34577" s="1">
        <v>9.6368995245723395E-5</v>
      </c>
      <c r="D34577" s="1">
        <v>1.3203143258657101E-4</v>
      </c>
      <c r="E34577" s="1">
        <v>1.7382159820268399E-5</v>
      </c>
      <c r="F34577" s="1">
        <v>9.6898521083834806E-5</v>
      </c>
    </row>
    <row r="34578" spans="1:6" x14ac:dyDescent="0.25">
      <c r="A34578" s="2" t="str">
        <f t="shared" ref="A34578:A34641" si="1202">"99999"</f>
        <v>99999</v>
      </c>
      <c r="B34578" s="2" t="str">
        <f>"31750"</f>
        <v>31750</v>
      </c>
      <c r="C34578" s="1">
        <v>7.2795152694108195E-5</v>
      </c>
      <c r="D34578" s="1">
        <v>2.1246437427724101E-5</v>
      </c>
      <c r="E34578" s="1">
        <v>0</v>
      </c>
      <c r="F34578" s="1">
        <v>6.7749376651017902E-5</v>
      </c>
    </row>
    <row r="34579" spans="1:6" x14ac:dyDescent="0.25">
      <c r="A34579" s="2" t="str">
        <f t="shared" si="1202"/>
        <v>99999</v>
      </c>
      <c r="B34579" s="2" t="str">
        <f>"31749"</f>
        <v>31749</v>
      </c>
      <c r="C34579" s="1">
        <v>1.28019061634466E-4</v>
      </c>
      <c r="D34579" s="1">
        <v>2.2764040101133E-5</v>
      </c>
      <c r="E34579" s="1">
        <v>6.0837559370939603E-5</v>
      </c>
      <c r="F34579" s="1">
        <v>1.19581131768757E-4</v>
      </c>
    </row>
    <row r="34580" spans="1:6" x14ac:dyDescent="0.25">
      <c r="A34580" s="2" t="str">
        <f t="shared" si="1202"/>
        <v>99999</v>
      </c>
      <c r="B34580" s="2" t="str">
        <f>"31094"</f>
        <v>31094</v>
      </c>
      <c r="C34580" s="1">
        <v>7.3559119813836402E-5</v>
      </c>
      <c r="D34580" s="1">
        <v>2.4281642774541899E-5</v>
      </c>
      <c r="E34580" s="1">
        <v>8.69107991013423E-6</v>
      </c>
      <c r="F34580" s="1">
        <v>6.8843713131430906E-5</v>
      </c>
    </row>
    <row r="34581" spans="1:6" x14ac:dyDescent="0.25">
      <c r="A34581" s="2" t="str">
        <f t="shared" si="1202"/>
        <v>99999</v>
      </c>
      <c r="B34581" s="2" t="str">
        <f>"31060"</f>
        <v>31060</v>
      </c>
      <c r="C34581" s="1">
        <v>1.04117804602967E-4</v>
      </c>
      <c r="D34581" s="1">
        <v>4.7045682875674899E-5</v>
      </c>
      <c r="E34581" s="1">
        <v>0</v>
      </c>
      <c r="F34581" s="1">
        <v>9.7992857564247702E-5</v>
      </c>
    </row>
    <row r="34582" spans="1:6" x14ac:dyDescent="0.25">
      <c r="A34582" s="2" t="str">
        <f t="shared" si="1202"/>
        <v>99999</v>
      </c>
      <c r="B34582" s="2" t="str">
        <f>"31044"</f>
        <v>31044</v>
      </c>
      <c r="C34582" s="1">
        <v>7.3122567173991701E-6</v>
      </c>
      <c r="D34582" s="1">
        <v>3.0352053468177301E-6</v>
      </c>
      <c r="E34582" s="1">
        <v>0</v>
      </c>
      <c r="F34582" s="1">
        <v>6.86447428622649E-6</v>
      </c>
    </row>
    <row r="34583" spans="1:6" x14ac:dyDescent="0.25">
      <c r="A34583" s="2" t="str">
        <f t="shared" si="1202"/>
        <v>99999</v>
      </c>
      <c r="B34583" s="2" t="str">
        <f>"31042"</f>
        <v>31042</v>
      </c>
      <c r="C34583" s="1">
        <v>7.9561718611701401E-5</v>
      </c>
      <c r="D34583" s="1">
        <v>6.2221709609763595E-5</v>
      </c>
      <c r="E34583" s="1">
        <v>2.1727699775335501E-5</v>
      </c>
      <c r="F34583" s="1">
        <v>7.7100979301819206E-5</v>
      </c>
    </row>
    <row r="34584" spans="1:6" x14ac:dyDescent="0.25">
      <c r="A34584" s="2" t="str">
        <f t="shared" si="1202"/>
        <v>99999</v>
      </c>
      <c r="B34584" s="2" t="str">
        <f>"31041"</f>
        <v>31041</v>
      </c>
      <c r="C34584" s="1">
        <v>2.9685579509441402E-5</v>
      </c>
      <c r="D34584" s="1">
        <v>1.3658424060679801E-5</v>
      </c>
      <c r="E34584" s="1">
        <v>8.69107991013423E-6</v>
      </c>
      <c r="F34584" s="1">
        <v>2.8154293086986899E-5</v>
      </c>
    </row>
    <row r="34585" spans="1:6" x14ac:dyDescent="0.25">
      <c r="A34585" s="2" t="str">
        <f t="shared" si="1202"/>
        <v>99999</v>
      </c>
      <c r="B34585" s="2" t="str">
        <f>"31018"</f>
        <v>31018</v>
      </c>
      <c r="C34585" s="1">
        <v>6.8757040775544405E-5</v>
      </c>
      <c r="D34585" s="1">
        <v>3.6422464161812797E-5</v>
      </c>
      <c r="E34585" s="1">
        <v>8.69107991013423E-6</v>
      </c>
      <c r="F34585" s="1">
        <v>6.5262248286443095E-5</v>
      </c>
    </row>
    <row r="34586" spans="1:6" x14ac:dyDescent="0.25">
      <c r="A34586" s="2" t="str">
        <f t="shared" si="1202"/>
        <v>99999</v>
      </c>
      <c r="B34586" s="2" t="str">
        <f>"30816"</f>
        <v>30816</v>
      </c>
      <c r="C34586" s="1">
        <v>1.5388480554526601E-5</v>
      </c>
      <c r="D34586" s="1">
        <v>3.0352053468177301E-6</v>
      </c>
      <c r="E34586" s="1">
        <v>4.3455399550671099E-6</v>
      </c>
      <c r="F34586" s="1">
        <v>1.43258593799509E-5</v>
      </c>
    </row>
    <row r="34587" spans="1:6" x14ac:dyDescent="0.25">
      <c r="A34587" s="2" t="str">
        <f t="shared" si="1202"/>
        <v>99999</v>
      </c>
      <c r="B34587" s="2" t="str">
        <f>"30818"</f>
        <v>30818</v>
      </c>
      <c r="C34587" s="1">
        <v>3.1213513748897903E-5</v>
      </c>
      <c r="D34587" s="1">
        <v>1.21408213872709E-5</v>
      </c>
      <c r="E34587" s="1">
        <v>8.69107991013423E-6</v>
      </c>
      <c r="F34587" s="1">
        <v>2.9447599836565802E-5</v>
      </c>
    </row>
    <row r="34588" spans="1:6" x14ac:dyDescent="0.25">
      <c r="A34588" s="2" t="str">
        <f t="shared" si="1202"/>
        <v>99999</v>
      </c>
      <c r="B34588" s="2" t="str">
        <f>"31011"</f>
        <v>31011</v>
      </c>
      <c r="C34588" s="1">
        <v>4.8893895662609401E-5</v>
      </c>
      <c r="D34588" s="1">
        <v>3.0352053468177301E-5</v>
      </c>
      <c r="E34588" s="1">
        <v>4.3455399550671099E-6</v>
      </c>
      <c r="F34588" s="1">
        <v>4.6658528119423498E-5</v>
      </c>
    </row>
    <row r="34589" spans="1:6" x14ac:dyDescent="0.25">
      <c r="A34589" s="2" t="str">
        <f t="shared" si="1202"/>
        <v>99999</v>
      </c>
      <c r="B34589" s="2" t="str">
        <f>"30642"</f>
        <v>30642</v>
      </c>
      <c r="C34589" s="1">
        <v>9.53540103580844E-4</v>
      </c>
      <c r="D34589" s="1">
        <v>1.53733150816318E-3</v>
      </c>
      <c r="E34589" s="1">
        <v>7.8654273186714804E-4</v>
      </c>
      <c r="F34589" s="1">
        <v>9.8798687154369891E-4</v>
      </c>
    </row>
    <row r="34590" spans="1:6" x14ac:dyDescent="0.25">
      <c r="A34590" s="2" t="str">
        <f t="shared" si="1202"/>
        <v>99999</v>
      </c>
      <c r="B34590" s="2" t="str">
        <f>"30669"</f>
        <v>30669</v>
      </c>
      <c r="C34590" s="1">
        <v>1.78004338896687E-4</v>
      </c>
      <c r="D34590" s="1">
        <v>1.97288347543153E-4</v>
      </c>
      <c r="E34590" s="1">
        <v>5.6492019415872502E-5</v>
      </c>
      <c r="F34590" s="1">
        <v>1.7648662875022799E-4</v>
      </c>
    </row>
    <row r="34591" spans="1:6" x14ac:dyDescent="0.25">
      <c r="A34591" s="2" t="str">
        <f t="shared" si="1202"/>
        <v>99999</v>
      </c>
      <c r="B34591" s="2" t="str">
        <f>"30523"</f>
        <v>30523</v>
      </c>
      <c r="C34591" s="1">
        <v>4.7584237743075203E-5</v>
      </c>
      <c r="D34591" s="1">
        <v>2.7316848121359601E-5</v>
      </c>
      <c r="E34591" s="1">
        <v>0</v>
      </c>
      <c r="F34591" s="1">
        <v>4.5166251100678601E-5</v>
      </c>
    </row>
    <row r="34592" spans="1:6" x14ac:dyDescent="0.25">
      <c r="A34592" s="2" t="str">
        <f t="shared" si="1202"/>
        <v>99999</v>
      </c>
      <c r="B34592" s="2" t="str">
        <f>"30539"</f>
        <v>30539</v>
      </c>
      <c r="C34592" s="1">
        <v>1.67636213700375E-4</v>
      </c>
      <c r="D34592" s="1">
        <v>1.03196981791803E-4</v>
      </c>
      <c r="E34592" s="1">
        <v>8.69107991013423E-6</v>
      </c>
      <c r="F34592" s="1">
        <v>1.59773126140286E-4</v>
      </c>
    </row>
    <row r="34593" spans="1:6" x14ac:dyDescent="0.25">
      <c r="A34593" s="2" t="str">
        <f t="shared" si="1202"/>
        <v>99999</v>
      </c>
      <c r="B34593" s="2" t="str">
        <f>"30546"</f>
        <v>30546</v>
      </c>
      <c r="C34593" s="1">
        <v>7.7182506724547705E-4</v>
      </c>
      <c r="D34593" s="1">
        <v>9.9251214840940009E-4</v>
      </c>
      <c r="E34593" s="1">
        <v>5.2146479460805396E-4</v>
      </c>
      <c r="F34593" s="1">
        <v>7.8056036593816E-4</v>
      </c>
    </row>
    <row r="34594" spans="1:6" x14ac:dyDescent="0.25">
      <c r="A34594" s="2" t="str">
        <f t="shared" si="1202"/>
        <v>99999</v>
      </c>
      <c r="B34594" s="2" t="str">
        <f>"30545"</f>
        <v>30545</v>
      </c>
      <c r="C34594" s="1">
        <v>5.8170639259309801E-5</v>
      </c>
      <c r="D34594" s="1">
        <v>2.30675606358148E-4</v>
      </c>
      <c r="E34594" s="1">
        <v>9.5601879011476503E-5</v>
      </c>
      <c r="F34594" s="1">
        <v>7.0335990150175701E-5</v>
      </c>
    </row>
    <row r="34595" spans="1:6" x14ac:dyDescent="0.25">
      <c r="A34595" s="2" t="str">
        <f t="shared" si="1202"/>
        <v>99999</v>
      </c>
      <c r="B34595" s="2" t="str">
        <f>"30541"</f>
        <v>30541</v>
      </c>
      <c r="C34595" s="1">
        <v>8.3054139730459294E-5</v>
      </c>
      <c r="D34595" s="1">
        <v>4.5528080202265997E-6</v>
      </c>
      <c r="E34595" s="1">
        <v>1.3036619865201299E-5</v>
      </c>
      <c r="F34595" s="1">
        <v>7.63050982251553E-5</v>
      </c>
    </row>
    <row r="34596" spans="1:6" x14ac:dyDescent="0.25">
      <c r="A34596" s="2" t="str">
        <f t="shared" si="1202"/>
        <v>99999</v>
      </c>
      <c r="B34596" s="2" t="str">
        <f>"30513"</f>
        <v>30513</v>
      </c>
      <c r="C34596" s="1">
        <v>9.8049722909125604E-4</v>
      </c>
      <c r="D34596" s="1">
        <v>1.98957710483902E-3</v>
      </c>
      <c r="E34596" s="1">
        <v>1.1776413278231799E-3</v>
      </c>
      <c r="F34596" s="1">
        <v>1.0511599320038999E-3</v>
      </c>
    </row>
    <row r="34597" spans="1:6" x14ac:dyDescent="0.25">
      <c r="A34597" s="2" t="str">
        <f t="shared" si="1202"/>
        <v>99999</v>
      </c>
      <c r="B34597" s="2" t="str">
        <f>"30530"</f>
        <v>30530</v>
      </c>
      <c r="C34597" s="1">
        <v>1.73857088818162E-4</v>
      </c>
      <c r="D34597" s="1">
        <v>3.7940066835221703E-5</v>
      </c>
      <c r="E34597" s="1">
        <v>0</v>
      </c>
      <c r="F34597" s="1">
        <v>1.6096694775528199E-4</v>
      </c>
    </row>
    <row r="34598" spans="1:6" x14ac:dyDescent="0.25">
      <c r="A34598" s="2" t="str">
        <f t="shared" si="1202"/>
        <v>99999</v>
      </c>
      <c r="B34598" s="2" t="str">
        <f>"30414"</f>
        <v>30414</v>
      </c>
      <c r="C34598" s="1">
        <v>0</v>
      </c>
      <c r="D34598" s="1">
        <v>3.0352053468177301E-6</v>
      </c>
      <c r="E34598" s="1">
        <v>0</v>
      </c>
      <c r="F34598" s="1">
        <v>1.9897026916598501E-7</v>
      </c>
    </row>
    <row r="34599" spans="1:6" x14ac:dyDescent="0.25">
      <c r="A34599" s="2" t="str">
        <f t="shared" si="1202"/>
        <v>99999</v>
      </c>
      <c r="B34599" s="2" t="str">
        <f>"05868"</f>
        <v>05868</v>
      </c>
      <c r="C34599" s="1">
        <v>9.8224343965063504E-7</v>
      </c>
      <c r="D34599" s="1">
        <v>0</v>
      </c>
      <c r="E34599" s="1">
        <v>4.3455399550671099E-6</v>
      </c>
      <c r="F34599" s="1">
        <v>9.9485134582992606E-7</v>
      </c>
    </row>
    <row r="34600" spans="1:6" x14ac:dyDescent="0.25">
      <c r="A34600" s="2" t="str">
        <f t="shared" si="1202"/>
        <v>99999</v>
      </c>
      <c r="B34600" s="2" t="str">
        <f>"05858"</f>
        <v>05858</v>
      </c>
      <c r="C34600" s="1">
        <v>1.60433095142937E-5</v>
      </c>
      <c r="D34600" s="1">
        <v>4.5528080202265997E-6</v>
      </c>
      <c r="E34600" s="1">
        <v>0</v>
      </c>
      <c r="F34600" s="1">
        <v>1.49227701874488E-5</v>
      </c>
    </row>
    <row r="34601" spans="1:6" x14ac:dyDescent="0.25">
      <c r="A34601" s="2" t="str">
        <f t="shared" si="1202"/>
        <v>99999</v>
      </c>
      <c r="B34601" s="2" t="str">
        <f>"05843"</f>
        <v>05843</v>
      </c>
      <c r="C34601" s="1">
        <v>1.2583629843524201E-4</v>
      </c>
      <c r="D34601" s="1">
        <v>3.7940066835221703E-5</v>
      </c>
      <c r="E34601" s="1">
        <v>1.2602065869694599E-4</v>
      </c>
      <c r="F34601" s="1">
        <v>1.20078557441672E-4</v>
      </c>
    </row>
    <row r="34602" spans="1:6" x14ac:dyDescent="0.25">
      <c r="A34602" s="2" t="str">
        <f t="shared" si="1202"/>
        <v>99999</v>
      </c>
      <c r="B34602" s="2" t="str">
        <f>"05826"</f>
        <v>05826</v>
      </c>
      <c r="C34602" s="1">
        <v>4.3764402144433798E-5</v>
      </c>
      <c r="D34602" s="1">
        <v>9.1056160404532095E-6</v>
      </c>
      <c r="E34602" s="1">
        <v>3.47643196405369E-5</v>
      </c>
      <c r="F34602" s="1">
        <v>4.1286330851941903E-5</v>
      </c>
    </row>
    <row r="34603" spans="1:6" x14ac:dyDescent="0.25">
      <c r="A34603" s="2" t="str">
        <f t="shared" si="1202"/>
        <v>99999</v>
      </c>
      <c r="B34603" s="2" t="str">
        <f>"05753"</f>
        <v>05753</v>
      </c>
      <c r="C34603" s="1">
        <v>5.2680989813262398E-4</v>
      </c>
      <c r="D34603" s="1">
        <v>5.9140976182743598E-3</v>
      </c>
      <c r="E34603" s="1">
        <v>1.4992112844981499E-3</v>
      </c>
      <c r="F34603" s="1">
        <v>9.0223068553316004E-4</v>
      </c>
    </row>
    <row r="34604" spans="1:6" x14ac:dyDescent="0.25">
      <c r="A34604" s="2" t="str">
        <f t="shared" si="1202"/>
        <v>99999</v>
      </c>
      <c r="B34604" s="2" t="str">
        <f>"05740"</f>
        <v>05740</v>
      </c>
      <c r="C34604" s="1">
        <v>7.0175836855039799E-5</v>
      </c>
      <c r="D34604" s="1">
        <v>4.2492874855448297E-5</v>
      </c>
      <c r="E34604" s="1">
        <v>8.69107991013423E-6</v>
      </c>
      <c r="F34604" s="1">
        <v>6.6953495574353995E-5</v>
      </c>
    </row>
    <row r="34605" spans="1:6" x14ac:dyDescent="0.25">
      <c r="A34605" s="2" t="str">
        <f t="shared" si="1202"/>
        <v>99999</v>
      </c>
      <c r="B34605" s="2" t="str">
        <f>"05747"</f>
        <v>05747</v>
      </c>
      <c r="C34605" s="1">
        <v>2.64114347106059E-5</v>
      </c>
      <c r="D34605" s="1">
        <v>9.1056160404532095E-6</v>
      </c>
      <c r="E34605" s="1">
        <v>0</v>
      </c>
      <c r="F34605" s="1">
        <v>2.46723133765821E-5</v>
      </c>
    </row>
    <row r="34606" spans="1:6" x14ac:dyDescent="0.25">
      <c r="A34606" s="2" t="str">
        <f t="shared" si="1202"/>
        <v>99999</v>
      </c>
      <c r="B34606" s="2" t="str">
        <f>"05662"</f>
        <v>05662</v>
      </c>
      <c r="C34606" s="1">
        <v>3.27414479883545E-6</v>
      </c>
      <c r="D34606" s="1">
        <v>1.51760267340886E-6</v>
      </c>
      <c r="E34606" s="1">
        <v>8.69107991013423E-6</v>
      </c>
      <c r="F34606" s="1">
        <v>3.2830094412387502E-6</v>
      </c>
    </row>
    <row r="34607" spans="1:6" x14ac:dyDescent="0.25">
      <c r="A34607" s="2" t="str">
        <f t="shared" si="1202"/>
        <v>99999</v>
      </c>
      <c r="B34607" s="2" t="str">
        <f>"05672"</f>
        <v>05672</v>
      </c>
      <c r="C34607" s="1">
        <v>4.8413687758780199E-4</v>
      </c>
      <c r="D34607" s="1">
        <v>1.2262229601143601E-3</v>
      </c>
      <c r="E34607" s="1">
        <v>1.09507606867691E-3</v>
      </c>
      <c r="F34607" s="1">
        <v>5.4677029966812704E-4</v>
      </c>
    </row>
    <row r="34608" spans="1:6" x14ac:dyDescent="0.25">
      <c r="A34608" s="2" t="str">
        <f t="shared" si="1202"/>
        <v>99999</v>
      </c>
      <c r="B34608" s="2" t="str">
        <f>"05444"</f>
        <v>05444</v>
      </c>
      <c r="C34608" s="1">
        <v>4.4855783744045598E-5</v>
      </c>
      <c r="D34608" s="1">
        <v>2.2764040101133E-5</v>
      </c>
      <c r="E34608" s="1">
        <v>3.9109859595604001E-5</v>
      </c>
      <c r="F34608" s="1">
        <v>4.3276033543601697E-5</v>
      </c>
    </row>
    <row r="34609" spans="1:6" x14ac:dyDescent="0.25">
      <c r="A34609" s="2" t="str">
        <f t="shared" si="1202"/>
        <v>99999</v>
      </c>
      <c r="B34609" s="2" t="str">
        <f>"05359"</f>
        <v>05359</v>
      </c>
      <c r="C34609" s="1">
        <v>3.4596796707694601E-5</v>
      </c>
      <c r="D34609" s="1">
        <v>1.3658424060679801E-5</v>
      </c>
      <c r="E34609" s="1">
        <v>2.60732397304027E-5</v>
      </c>
      <c r="F34609" s="1">
        <v>3.3029064681553501E-5</v>
      </c>
    </row>
    <row r="34610" spans="1:6" x14ac:dyDescent="0.25">
      <c r="A34610" s="2" t="str">
        <f t="shared" si="1202"/>
        <v>99999</v>
      </c>
      <c r="B34610" s="2" t="str">
        <f>"05353"</f>
        <v>05353</v>
      </c>
      <c r="C34610" s="1">
        <v>4.7256823263191603E-5</v>
      </c>
      <c r="D34610" s="1">
        <v>2.5799245447950699E-5</v>
      </c>
      <c r="E34610" s="1">
        <v>3.0418779685469802E-5</v>
      </c>
      <c r="F34610" s="1">
        <v>4.5464706504427597E-5</v>
      </c>
    </row>
    <row r="34611" spans="1:6" x14ac:dyDescent="0.25">
      <c r="A34611" s="2" t="str">
        <f t="shared" si="1202"/>
        <v>99999</v>
      </c>
      <c r="B34611" s="2" t="str">
        <f>"05343"</f>
        <v>05343</v>
      </c>
      <c r="C34611" s="1">
        <v>4.0271981025675999E-5</v>
      </c>
      <c r="D34611" s="1">
        <v>2.2764040101133E-5</v>
      </c>
      <c r="E34611" s="1">
        <v>1.3036619865201299E-5</v>
      </c>
      <c r="F34611" s="1">
        <v>3.8500747083618101E-5</v>
      </c>
    </row>
    <row r="34612" spans="1:6" x14ac:dyDescent="0.25">
      <c r="A34612" s="2" t="str">
        <f t="shared" si="1202"/>
        <v>99999</v>
      </c>
      <c r="B34612" s="2" t="str">
        <f>"05146"</f>
        <v>05146</v>
      </c>
      <c r="C34612" s="1">
        <v>3.8307494146374702E-5</v>
      </c>
      <c r="D34612" s="1">
        <v>7.5880133670443404E-6</v>
      </c>
      <c r="E34612" s="1">
        <v>4.3455399550671099E-6</v>
      </c>
      <c r="F34612" s="1">
        <v>3.5516193046128301E-5</v>
      </c>
    </row>
    <row r="34613" spans="1:6" x14ac:dyDescent="0.25">
      <c r="A34613" s="2" t="str">
        <f t="shared" si="1202"/>
        <v>99999</v>
      </c>
      <c r="B34613" s="2" t="str">
        <f>"05101"</f>
        <v>05101</v>
      </c>
      <c r="C34613" s="1">
        <v>2.31263760957744E-4</v>
      </c>
      <c r="D34613" s="1">
        <v>4.6893922608334001E-4</v>
      </c>
      <c r="E34613" s="1">
        <v>1.50355682445322E-3</v>
      </c>
      <c r="F34613" s="1">
        <v>2.7597176333322098E-4</v>
      </c>
    </row>
    <row r="34614" spans="1:6" x14ac:dyDescent="0.25">
      <c r="A34614" s="2" t="str">
        <f t="shared" si="1202"/>
        <v>99999</v>
      </c>
      <c r="B34614" s="2" t="str">
        <f>"04984"</f>
        <v>04984</v>
      </c>
      <c r="C34614" s="1">
        <v>2.5538329430916501E-5</v>
      </c>
      <c r="D34614" s="1">
        <v>0</v>
      </c>
      <c r="E34614" s="1">
        <v>8.69107991013423E-6</v>
      </c>
      <c r="F34614" s="1">
        <v>2.3478491761586199E-5</v>
      </c>
    </row>
    <row r="34615" spans="1:6" x14ac:dyDescent="0.25">
      <c r="A34615" s="2" t="str">
        <f t="shared" si="1202"/>
        <v>99999</v>
      </c>
      <c r="B34615" s="2" t="str">
        <f>"04975"</f>
        <v>04975</v>
      </c>
      <c r="C34615" s="1">
        <v>2.07362503926245E-6</v>
      </c>
      <c r="D34615" s="1">
        <v>0</v>
      </c>
      <c r="E34615" s="1">
        <v>4.3455399550671099E-6</v>
      </c>
      <c r="F34615" s="1">
        <v>1.98970269165985E-6</v>
      </c>
    </row>
    <row r="34616" spans="1:6" x14ac:dyDescent="0.25">
      <c r="A34616" s="2" t="str">
        <f t="shared" si="1202"/>
        <v>99999</v>
      </c>
      <c r="B34616" s="2" t="str">
        <f>"04938"</f>
        <v>04938</v>
      </c>
      <c r="C34616" s="1">
        <v>5.9229279410933299E-4</v>
      </c>
      <c r="D34616" s="1">
        <v>7.1479085917557702E-4</v>
      </c>
      <c r="E34616" s="1">
        <v>1.6469596429704301E-3</v>
      </c>
      <c r="F34616" s="1">
        <v>6.2446818977744396E-4</v>
      </c>
    </row>
    <row r="34617" spans="1:6" x14ac:dyDescent="0.25">
      <c r="A34617" s="2" t="str">
        <f t="shared" si="1202"/>
        <v>99999</v>
      </c>
      <c r="B34617" s="2" t="str">
        <f>"04950"</f>
        <v>04950</v>
      </c>
      <c r="C34617" s="1">
        <v>2.6062192598730099E-4</v>
      </c>
      <c r="D34617" s="1">
        <v>2.39781222398601E-4</v>
      </c>
      <c r="E34617" s="1">
        <v>4.9104601492258398E-4</v>
      </c>
      <c r="F34617" s="1">
        <v>2.6453097285617698E-4</v>
      </c>
    </row>
    <row r="34618" spans="1:6" x14ac:dyDescent="0.25">
      <c r="A34618" s="2" t="str">
        <f t="shared" si="1202"/>
        <v>99999</v>
      </c>
      <c r="B34618" s="2" t="str">
        <f>"04949"</f>
        <v>04949</v>
      </c>
      <c r="C34618" s="1">
        <v>5.77340866194651E-5</v>
      </c>
      <c r="D34618" s="1">
        <v>1.8211232080906399E-5</v>
      </c>
      <c r="E34618" s="1">
        <v>1.2602065869694599E-4</v>
      </c>
      <c r="F34618" s="1">
        <v>5.6706526712305799E-5</v>
      </c>
    </row>
    <row r="34619" spans="1:6" x14ac:dyDescent="0.25">
      <c r="A34619" s="2" t="str">
        <f t="shared" si="1202"/>
        <v>99999</v>
      </c>
      <c r="B34619" s="2" t="str">
        <f>"04942"</f>
        <v>04942</v>
      </c>
      <c r="C34619" s="1">
        <v>6.7883935495855003E-5</v>
      </c>
      <c r="D34619" s="1">
        <v>7.5880133670443404E-6</v>
      </c>
      <c r="E34619" s="1">
        <v>1.39057278562147E-4</v>
      </c>
      <c r="F34619" s="1">
        <v>6.5560703690192097E-5</v>
      </c>
    </row>
    <row r="34620" spans="1:6" x14ac:dyDescent="0.25">
      <c r="A34620" s="2" t="str">
        <f t="shared" si="1202"/>
        <v>99999</v>
      </c>
      <c r="B34620" s="2" t="str">
        <f>"04915"</f>
        <v>04915</v>
      </c>
      <c r="C34620" s="1">
        <v>6.23615446018192E-4</v>
      </c>
      <c r="D34620" s="1">
        <v>1.1655188531780099E-3</v>
      </c>
      <c r="E34620" s="1">
        <v>1.2428244271491899E-3</v>
      </c>
      <c r="F34620" s="1">
        <v>6.7331539085769404E-4</v>
      </c>
    </row>
    <row r="34621" spans="1:6" x14ac:dyDescent="0.25">
      <c r="A34621" s="2" t="str">
        <f t="shared" si="1202"/>
        <v>99999</v>
      </c>
      <c r="B34621" s="2" t="str">
        <f>"04850"</f>
        <v>04850</v>
      </c>
      <c r="C34621" s="1">
        <v>0</v>
      </c>
      <c r="D34621" s="1">
        <v>0</v>
      </c>
      <c r="E34621" s="1">
        <v>4.3455399550671099E-6</v>
      </c>
      <c r="F34621" s="1">
        <v>9.9485134582992598E-8</v>
      </c>
    </row>
    <row r="34622" spans="1:6" x14ac:dyDescent="0.25">
      <c r="A34622" s="2" t="str">
        <f t="shared" si="1202"/>
        <v>99999</v>
      </c>
      <c r="B34622" s="2" t="str">
        <f>"04858"</f>
        <v>04858</v>
      </c>
      <c r="C34622" s="1">
        <v>6.63560012563984E-5</v>
      </c>
      <c r="D34622" s="1">
        <v>9.1056160404532095E-6</v>
      </c>
      <c r="E34622" s="1">
        <v>4.3455399550671099E-6</v>
      </c>
      <c r="F34622" s="1">
        <v>6.1183357768540407E-5</v>
      </c>
    </row>
    <row r="34623" spans="1:6" x14ac:dyDescent="0.25">
      <c r="A34623" s="2" t="str">
        <f t="shared" si="1202"/>
        <v>99999</v>
      </c>
      <c r="B34623" s="2" t="str">
        <f>"04843"</f>
        <v>04843</v>
      </c>
      <c r="C34623" s="1">
        <v>3.4956952635566499E-4</v>
      </c>
      <c r="D34623" s="1">
        <v>5.2053771697924199E-4</v>
      </c>
      <c r="E34623" s="1">
        <v>8.6910799101342295E-4</v>
      </c>
      <c r="F34623" s="1">
        <v>3.7267131414788998E-4</v>
      </c>
    </row>
    <row r="34624" spans="1:6" x14ac:dyDescent="0.25">
      <c r="A34624" s="2" t="str">
        <f t="shared" si="1202"/>
        <v>99999</v>
      </c>
      <c r="B34624" s="2" t="str">
        <f>"04787"</f>
        <v>04787</v>
      </c>
      <c r="C34624" s="1">
        <v>1.8990039833245598E-5</v>
      </c>
      <c r="D34624" s="1">
        <v>3.0352053468177301E-6</v>
      </c>
      <c r="E34624" s="1">
        <v>0</v>
      </c>
      <c r="F34624" s="1">
        <v>1.7509383686606702E-5</v>
      </c>
    </row>
    <row r="34625" spans="1:6" x14ac:dyDescent="0.25">
      <c r="A34625" s="2" t="str">
        <f t="shared" si="1202"/>
        <v>99999</v>
      </c>
      <c r="B34625" s="2" t="str">
        <f>"04783"</f>
        <v>04783</v>
      </c>
      <c r="C34625" s="1">
        <v>3.63430072670735E-5</v>
      </c>
      <c r="D34625" s="1">
        <v>4.5528080202265997E-6</v>
      </c>
      <c r="E34625" s="1">
        <v>4.3455399550671099E-6</v>
      </c>
      <c r="F34625" s="1">
        <v>3.35264903544685E-5</v>
      </c>
    </row>
    <row r="34626" spans="1:6" x14ac:dyDescent="0.25">
      <c r="A34626" s="2" t="str">
        <f t="shared" si="1202"/>
        <v>99999</v>
      </c>
      <c r="B34626" s="2" t="str">
        <f>"04841"</f>
        <v>04841</v>
      </c>
      <c r="C34626" s="1">
        <v>5.7319361611612605E-4</v>
      </c>
      <c r="D34626" s="1">
        <v>1.38860644616911E-3</v>
      </c>
      <c r="E34626" s="1">
        <v>1.5904676235545599E-3</v>
      </c>
      <c r="F34626" s="1">
        <v>6.4993638423068995E-4</v>
      </c>
    </row>
    <row r="34627" spans="1:6" x14ac:dyDescent="0.25">
      <c r="A34627" s="2" t="str">
        <f t="shared" si="1202"/>
        <v>99999</v>
      </c>
      <c r="B34627" s="2" t="str">
        <f>"04756"</f>
        <v>04756</v>
      </c>
      <c r="C34627" s="1">
        <v>2.0005024720884599E-4</v>
      </c>
      <c r="D34627" s="1">
        <v>2.5343964645928101E-4</v>
      </c>
      <c r="E34627" s="1">
        <v>7.2135963254114097E-4</v>
      </c>
      <c r="F34627" s="1">
        <v>2.15484801506762E-4</v>
      </c>
    </row>
    <row r="34628" spans="1:6" x14ac:dyDescent="0.25">
      <c r="A34628" s="2" t="str">
        <f t="shared" si="1202"/>
        <v>99999</v>
      </c>
      <c r="B34628" s="2" t="str">
        <f>"04743"</f>
        <v>04743</v>
      </c>
      <c r="C34628" s="1">
        <v>2.4348723487339601E-4</v>
      </c>
      <c r="D34628" s="1">
        <v>3.39942998843586E-4</v>
      </c>
      <c r="E34628" s="1">
        <v>9.2994555038436303E-4</v>
      </c>
      <c r="F34628" s="1">
        <v>2.6552582420200701E-4</v>
      </c>
    </row>
    <row r="34629" spans="1:6" x14ac:dyDescent="0.25">
      <c r="A34629" s="2" t="str">
        <f t="shared" si="1202"/>
        <v>99999</v>
      </c>
      <c r="B34629" s="2" t="str">
        <f>"04672"</f>
        <v>04672</v>
      </c>
      <c r="C34629" s="1">
        <v>0</v>
      </c>
      <c r="D34629" s="1">
        <v>0</v>
      </c>
      <c r="E34629" s="1">
        <v>4.3455399550671099E-6</v>
      </c>
      <c r="F34629" s="1">
        <v>9.9485134582992598E-8</v>
      </c>
    </row>
    <row r="34630" spans="1:6" x14ac:dyDescent="0.25">
      <c r="A34630" s="2" t="str">
        <f t="shared" si="1202"/>
        <v>99999</v>
      </c>
      <c r="B34630" s="2" t="str">
        <f>"04680"</f>
        <v>04680</v>
      </c>
      <c r="C34630" s="1">
        <v>7.3995672453681198E-5</v>
      </c>
      <c r="D34630" s="1">
        <v>2.88344507947685E-5</v>
      </c>
      <c r="E34630" s="1">
        <v>2.2162253770842199E-4</v>
      </c>
      <c r="F34630" s="1">
        <v>7.4414880668078402E-5</v>
      </c>
    </row>
    <row r="34631" spans="1:6" x14ac:dyDescent="0.25">
      <c r="A34631" s="2" t="str">
        <f t="shared" si="1202"/>
        <v>99999</v>
      </c>
      <c r="B34631" s="2" t="str">
        <f>"04679"</f>
        <v>04679</v>
      </c>
      <c r="C34631" s="1">
        <v>8.8511047728518302E-5</v>
      </c>
      <c r="D34631" s="1">
        <v>4.4010477528857203E-5</v>
      </c>
      <c r="E34631" s="1">
        <v>5.21464794608054E-5</v>
      </c>
      <c r="F34631" s="1">
        <v>8.4761334664709706E-5</v>
      </c>
    </row>
    <row r="34632" spans="1:6" x14ac:dyDescent="0.25">
      <c r="A34632" s="2" t="str">
        <f t="shared" si="1202"/>
        <v>99999</v>
      </c>
      <c r="B34632" s="2" t="str">
        <f>"04666"</f>
        <v>04666</v>
      </c>
      <c r="C34632" s="1">
        <v>6.9848422375156293E-5</v>
      </c>
      <c r="D34632" s="1">
        <v>2.7316848121359601E-5</v>
      </c>
      <c r="E34632" s="1">
        <v>1.3036619865201299E-5</v>
      </c>
      <c r="F34632" s="1">
        <v>6.5759673959358094E-5</v>
      </c>
    </row>
    <row r="34633" spans="1:6" x14ac:dyDescent="0.25">
      <c r="A34633" s="2" t="str">
        <f t="shared" si="1202"/>
        <v>99999</v>
      </c>
      <c r="B34633" s="2" t="str">
        <f>"04646"</f>
        <v>04646</v>
      </c>
      <c r="C34633" s="1">
        <v>0</v>
      </c>
      <c r="D34633" s="1">
        <v>0</v>
      </c>
      <c r="E34633" s="1">
        <v>4.3455399550671099E-6</v>
      </c>
      <c r="F34633" s="1">
        <v>9.9485134582992598E-8</v>
      </c>
    </row>
    <row r="34634" spans="1:6" x14ac:dyDescent="0.25">
      <c r="A34634" s="2" t="str">
        <f t="shared" si="1202"/>
        <v>99999</v>
      </c>
      <c r="B34634" s="2" t="str">
        <f>"04645"</f>
        <v>04645</v>
      </c>
      <c r="C34634" s="1">
        <v>0</v>
      </c>
      <c r="D34634" s="1">
        <v>0</v>
      </c>
      <c r="E34634" s="1">
        <v>4.3455399550671099E-6</v>
      </c>
      <c r="F34634" s="1">
        <v>9.9485134582992598E-8</v>
      </c>
    </row>
    <row r="34635" spans="1:6" x14ac:dyDescent="0.25">
      <c r="A34635" s="2" t="str">
        <f t="shared" si="1202"/>
        <v>99999</v>
      </c>
      <c r="B34635" s="2" t="str">
        <f>"04642"</f>
        <v>04642</v>
      </c>
      <c r="C34635" s="1">
        <v>2.1063664872508E-5</v>
      </c>
      <c r="D34635" s="1">
        <v>1.51760267340886E-6</v>
      </c>
      <c r="E34635" s="1">
        <v>4.3455399550671099E-6</v>
      </c>
      <c r="F34635" s="1">
        <v>1.9399601243683501E-5</v>
      </c>
    </row>
    <row r="34636" spans="1:6" x14ac:dyDescent="0.25">
      <c r="A34636" s="2" t="str">
        <f t="shared" si="1202"/>
        <v>99999</v>
      </c>
      <c r="B34636" s="2" t="str">
        <f>"04649"</f>
        <v>04649</v>
      </c>
      <c r="C34636" s="1">
        <v>5.1513211501677703E-5</v>
      </c>
      <c r="D34636" s="1">
        <v>3.4904861488403899E-5</v>
      </c>
      <c r="E34636" s="1">
        <v>1.3036619865201299E-5</v>
      </c>
      <c r="F34636" s="1">
        <v>4.9543597022330299E-5</v>
      </c>
    </row>
    <row r="34637" spans="1:6" x14ac:dyDescent="0.25">
      <c r="A34637" s="2" t="str">
        <f t="shared" si="1202"/>
        <v>99999</v>
      </c>
      <c r="B34637" s="2" t="str">
        <f>"04643"</f>
        <v>04643</v>
      </c>
      <c r="C34637" s="1">
        <v>5.2495454941328402E-5</v>
      </c>
      <c r="D34637" s="1">
        <v>2.5799245447950699E-5</v>
      </c>
      <c r="E34637" s="1">
        <v>2.60732397304027E-5</v>
      </c>
      <c r="F34637" s="1">
        <v>5.0140507829828202E-5</v>
      </c>
    </row>
    <row r="34638" spans="1:6" x14ac:dyDescent="0.25">
      <c r="A34638" s="2" t="str">
        <f t="shared" si="1202"/>
        <v>99999</v>
      </c>
      <c r="B34638" s="2" t="str">
        <f>"04634"</f>
        <v>04634</v>
      </c>
      <c r="C34638" s="1">
        <v>1.18851456197726E-4</v>
      </c>
      <c r="D34638" s="1">
        <v>2.2764040101133E-5</v>
      </c>
      <c r="E34638" s="1">
        <v>2.1293145779828799E-4</v>
      </c>
      <c r="F34638" s="1">
        <v>1.1470636017419E-4</v>
      </c>
    </row>
    <row r="34639" spans="1:6" x14ac:dyDescent="0.25">
      <c r="A34639" s="2" t="str">
        <f t="shared" si="1202"/>
        <v>99999</v>
      </c>
      <c r="B34639" s="2" t="str">
        <f>"04629"</f>
        <v>04629</v>
      </c>
      <c r="C34639" s="1">
        <v>0</v>
      </c>
      <c r="D34639" s="1">
        <v>0</v>
      </c>
      <c r="E34639" s="1">
        <v>4.3455399550671099E-6</v>
      </c>
      <c r="F34639" s="1">
        <v>9.9485134582992598E-8</v>
      </c>
    </row>
    <row r="34640" spans="1:6" x14ac:dyDescent="0.25">
      <c r="A34640" s="2" t="str">
        <f t="shared" si="1202"/>
        <v>99999</v>
      </c>
      <c r="B34640" s="2" t="str">
        <f>"04623"</f>
        <v>04623</v>
      </c>
      <c r="C34640" s="1">
        <v>5.0094415422182397E-5</v>
      </c>
      <c r="D34640" s="1">
        <v>2.7316848121359601E-5</v>
      </c>
      <c r="E34640" s="1">
        <v>6.0837559370939603E-5</v>
      </c>
      <c r="F34640" s="1">
        <v>4.8847201080249302E-5</v>
      </c>
    </row>
    <row r="34641" spans="1:6" x14ac:dyDescent="0.25">
      <c r="A34641" s="2" t="str">
        <f t="shared" si="1202"/>
        <v>99999</v>
      </c>
      <c r="B34641" s="2" t="str">
        <f>"04616"</f>
        <v>04616</v>
      </c>
      <c r="C34641" s="1">
        <v>4.9985277262221202E-5</v>
      </c>
      <c r="D34641" s="1">
        <v>1.21408213872709E-5</v>
      </c>
      <c r="E34641" s="1">
        <v>4.3455399550671103E-5</v>
      </c>
      <c r="F34641" s="1">
        <v>4.7354924061504399E-5</v>
      </c>
    </row>
    <row r="34642" spans="1:6" x14ac:dyDescent="0.25">
      <c r="A34642" s="2" t="str">
        <f t="shared" ref="A34642:A34705" si="1203">"99999"</f>
        <v>99999</v>
      </c>
      <c r="B34642" s="2" t="str">
        <f>"04571"</f>
        <v>04571</v>
      </c>
      <c r="C34642" s="1">
        <v>1.7571243753750201E-5</v>
      </c>
      <c r="D34642" s="1">
        <v>3.0352053468177301E-6</v>
      </c>
      <c r="E34642" s="1">
        <v>4.3455399550671099E-6</v>
      </c>
      <c r="F34642" s="1">
        <v>1.6315562071610699E-5</v>
      </c>
    </row>
    <row r="34643" spans="1:6" x14ac:dyDescent="0.25">
      <c r="A34643" s="2" t="str">
        <f t="shared" si="1203"/>
        <v>99999</v>
      </c>
      <c r="B34643" s="2" t="str">
        <f>"04570"</f>
        <v>04570</v>
      </c>
      <c r="C34643" s="1">
        <v>0</v>
      </c>
      <c r="D34643" s="1">
        <v>0</v>
      </c>
      <c r="E34643" s="1">
        <v>4.3455399550671099E-6</v>
      </c>
      <c r="F34643" s="1">
        <v>9.9485134582992598E-8</v>
      </c>
    </row>
    <row r="34644" spans="1:6" x14ac:dyDescent="0.25">
      <c r="A34644" s="2" t="str">
        <f t="shared" si="1203"/>
        <v>99999</v>
      </c>
      <c r="B34644" s="2" t="str">
        <f>"04605"</f>
        <v>04605</v>
      </c>
      <c r="C34644" s="1">
        <v>9.1654226735400396E-4</v>
      </c>
      <c r="D34644" s="1">
        <v>1.76800711452133E-3</v>
      </c>
      <c r="E34644" s="1">
        <v>1.9076920402744601E-3</v>
      </c>
      <c r="F34644" s="1">
        <v>9.9505031609909192E-4</v>
      </c>
    </row>
    <row r="34645" spans="1:6" x14ac:dyDescent="0.25">
      <c r="A34645" s="2" t="str">
        <f t="shared" si="1203"/>
        <v>99999</v>
      </c>
      <c r="B34645" s="2" t="str">
        <f>"04544"</f>
        <v>04544</v>
      </c>
      <c r="C34645" s="1">
        <v>4.7256823263191603E-5</v>
      </c>
      <c r="D34645" s="1">
        <v>1.9728834754315301E-5</v>
      </c>
      <c r="E34645" s="1">
        <v>3.47643196405369E-5</v>
      </c>
      <c r="F34645" s="1">
        <v>4.5166251100678601E-5</v>
      </c>
    </row>
    <row r="34646" spans="1:6" x14ac:dyDescent="0.25">
      <c r="A34646" s="2" t="str">
        <f t="shared" si="1203"/>
        <v>99999</v>
      </c>
      <c r="B34646" s="2" t="str">
        <f>"04553"</f>
        <v>04553</v>
      </c>
      <c r="C34646" s="1">
        <v>9.2112607007237296E-5</v>
      </c>
      <c r="D34646" s="1">
        <v>7.8915339017261203E-5</v>
      </c>
      <c r="E34646" s="1">
        <v>8.2565259146275205E-5</v>
      </c>
      <c r="F34646" s="1">
        <v>9.1028898143438199E-5</v>
      </c>
    </row>
    <row r="34647" spans="1:6" x14ac:dyDescent="0.25">
      <c r="A34647" s="2" t="str">
        <f t="shared" si="1203"/>
        <v>99999</v>
      </c>
      <c r="B34647" s="2" t="str">
        <f>"04539"</f>
        <v>04539</v>
      </c>
      <c r="C34647" s="1">
        <v>4.9003033822570597E-5</v>
      </c>
      <c r="D34647" s="1">
        <v>1.21408213872709E-5</v>
      </c>
      <c r="E34647" s="1">
        <v>1.08638498876677E-4</v>
      </c>
      <c r="F34647" s="1">
        <v>4.7951834869002397E-5</v>
      </c>
    </row>
    <row r="34648" spans="1:6" x14ac:dyDescent="0.25">
      <c r="A34648" s="2" t="str">
        <f t="shared" si="1203"/>
        <v>99999</v>
      </c>
      <c r="B34648" s="2" t="str">
        <f>"04538"</f>
        <v>04538</v>
      </c>
      <c r="C34648" s="1">
        <v>1.8226072713517299E-4</v>
      </c>
      <c r="D34648" s="1">
        <v>4.5072799400243402E-4</v>
      </c>
      <c r="E34648" s="1">
        <v>4.30208455551644E-4</v>
      </c>
      <c r="F34648" s="1">
        <v>2.0553628804846199E-4</v>
      </c>
    </row>
    <row r="34649" spans="1:6" x14ac:dyDescent="0.25">
      <c r="A34649" s="2" t="str">
        <f t="shared" si="1203"/>
        <v>99999</v>
      </c>
      <c r="B34649" s="2" t="str">
        <f>"04537"</f>
        <v>04537</v>
      </c>
      <c r="C34649" s="1">
        <v>1.03572113803161E-4</v>
      </c>
      <c r="D34649" s="1">
        <v>5.4633696242719298E-5</v>
      </c>
      <c r="E34649" s="1">
        <v>3.47643196405369E-5</v>
      </c>
      <c r="F34649" s="1">
        <v>9.8788738640911595E-5</v>
      </c>
    </row>
    <row r="34650" spans="1:6" x14ac:dyDescent="0.25">
      <c r="A34650" s="2" t="str">
        <f t="shared" si="1203"/>
        <v>99999</v>
      </c>
      <c r="B34650" s="2" t="str">
        <f>"04472"</f>
        <v>04472</v>
      </c>
      <c r="C34650" s="1">
        <v>1.0149848876389901E-4</v>
      </c>
      <c r="D34650" s="1">
        <v>3.4904861488403899E-5</v>
      </c>
      <c r="E34650" s="1">
        <v>6.0837559370939603E-5</v>
      </c>
      <c r="F34650" s="1">
        <v>9.6202125141753796E-5</v>
      </c>
    </row>
    <row r="34651" spans="1:6" x14ac:dyDescent="0.25">
      <c r="A34651" s="2" t="str">
        <f t="shared" si="1203"/>
        <v>99999</v>
      </c>
      <c r="B34651" s="2" t="str">
        <f>"04479"</f>
        <v>04479</v>
      </c>
      <c r="C34651" s="1">
        <v>6.63560012563984E-5</v>
      </c>
      <c r="D34651" s="1">
        <v>1.5176026734088599E-5</v>
      </c>
      <c r="E34651" s="1">
        <v>5.21464794608054E-5</v>
      </c>
      <c r="F34651" s="1">
        <v>6.2675634787285296E-5</v>
      </c>
    </row>
    <row r="34652" spans="1:6" x14ac:dyDescent="0.25">
      <c r="A34652" s="2" t="str">
        <f t="shared" si="1203"/>
        <v>99999</v>
      </c>
      <c r="B34652" s="2" t="str">
        <f>"04442"</f>
        <v>04442</v>
      </c>
      <c r="C34652" s="1">
        <v>3.17592045487038E-5</v>
      </c>
      <c r="D34652" s="1">
        <v>1.51760267340886E-6</v>
      </c>
      <c r="E34652" s="1">
        <v>8.69107991013423E-6</v>
      </c>
      <c r="F34652" s="1">
        <v>2.9248629567399801E-5</v>
      </c>
    </row>
    <row r="34653" spans="1:6" x14ac:dyDescent="0.25">
      <c r="A34653" s="2" t="str">
        <f t="shared" si="1203"/>
        <v>99999</v>
      </c>
      <c r="B34653" s="2" t="str">
        <f>"04431"</f>
        <v>04431</v>
      </c>
      <c r="C34653" s="1">
        <v>0</v>
      </c>
      <c r="D34653" s="1">
        <v>0</v>
      </c>
      <c r="E34653" s="1">
        <v>4.3455399550671099E-6</v>
      </c>
      <c r="F34653" s="1">
        <v>9.9485134582992598E-8</v>
      </c>
    </row>
    <row r="34654" spans="1:6" x14ac:dyDescent="0.25">
      <c r="A34654" s="2" t="str">
        <f t="shared" si="1203"/>
        <v>99999</v>
      </c>
      <c r="B34654" s="2" t="str">
        <f>"04413"</f>
        <v>04413</v>
      </c>
      <c r="C34654" s="1">
        <v>1.41879607949536E-5</v>
      </c>
      <c r="D34654" s="1">
        <v>1.3658424060679801E-5</v>
      </c>
      <c r="E34654" s="1">
        <v>4.3455399550671099E-6</v>
      </c>
      <c r="F34654" s="1">
        <v>1.3927918841618899E-5</v>
      </c>
    </row>
    <row r="34655" spans="1:6" x14ac:dyDescent="0.25">
      <c r="A34655" s="2" t="str">
        <f t="shared" si="1203"/>
        <v>99999</v>
      </c>
      <c r="B34655" s="2" t="str">
        <f>"04358"</f>
        <v>04358</v>
      </c>
      <c r="C34655" s="1">
        <v>8.7310527968945299E-7</v>
      </c>
      <c r="D34655" s="1">
        <v>0</v>
      </c>
      <c r="E34655" s="1">
        <v>0</v>
      </c>
      <c r="F34655" s="1">
        <v>7.9588107666394099E-7</v>
      </c>
    </row>
    <row r="34656" spans="1:6" x14ac:dyDescent="0.25">
      <c r="A34656" s="2" t="str">
        <f t="shared" si="1203"/>
        <v>99999</v>
      </c>
      <c r="B34656" s="2" t="str">
        <f>"04234"</f>
        <v>04234</v>
      </c>
      <c r="C34656" s="1">
        <v>0</v>
      </c>
      <c r="D34656" s="1">
        <v>0</v>
      </c>
      <c r="E34656" s="1">
        <v>4.3455399550671099E-6</v>
      </c>
      <c r="F34656" s="1">
        <v>9.9485134582992598E-8</v>
      </c>
    </row>
    <row r="34657" spans="1:6" x14ac:dyDescent="0.25">
      <c r="A34657" s="2" t="str">
        <f t="shared" si="1203"/>
        <v>99999</v>
      </c>
      <c r="B34657" s="2" t="str">
        <f>"04237"</f>
        <v>04237</v>
      </c>
      <c r="C34657" s="1">
        <v>7.6396711972827196E-6</v>
      </c>
      <c r="D34657" s="1">
        <v>0</v>
      </c>
      <c r="E34657" s="1">
        <v>8.69107991013423E-6</v>
      </c>
      <c r="F34657" s="1">
        <v>7.1629296899754602E-6</v>
      </c>
    </row>
    <row r="34658" spans="1:6" x14ac:dyDescent="0.25">
      <c r="A34658" s="2" t="str">
        <f t="shared" si="1203"/>
        <v>99999</v>
      </c>
      <c r="B34658" s="2" t="str">
        <f>"04238"</f>
        <v>04238</v>
      </c>
      <c r="C34658" s="1">
        <v>5.0749244381949503E-5</v>
      </c>
      <c r="D34658" s="1">
        <v>1.0623218713862E-5</v>
      </c>
      <c r="E34658" s="1">
        <v>4.7800939505738197E-5</v>
      </c>
      <c r="F34658" s="1">
        <v>4.8051320003585402E-5</v>
      </c>
    </row>
    <row r="34659" spans="1:6" x14ac:dyDescent="0.25">
      <c r="A34659" s="2" t="str">
        <f t="shared" si="1203"/>
        <v>99999</v>
      </c>
      <c r="B34659" s="2" t="str">
        <f>"03887"</f>
        <v>03887</v>
      </c>
      <c r="C34659" s="1">
        <v>1.1459506795924E-5</v>
      </c>
      <c r="D34659" s="1">
        <v>1.0623218713862E-5</v>
      </c>
      <c r="E34659" s="1">
        <v>4.3455399550671099E-6</v>
      </c>
      <c r="F34659" s="1">
        <v>1.12418202078781E-5</v>
      </c>
    </row>
    <row r="34660" spans="1:6" x14ac:dyDescent="0.25">
      <c r="A34660" s="2" t="str">
        <f t="shared" si="1203"/>
        <v>99999</v>
      </c>
      <c r="B34660" s="2" t="str">
        <f>"03896"</f>
        <v>03896</v>
      </c>
      <c r="C34660" s="1">
        <v>8.55643174095664E-5</v>
      </c>
      <c r="D34660" s="1">
        <v>2.42816427745419E-4</v>
      </c>
      <c r="E34660" s="1">
        <v>8.69107991013423E-6</v>
      </c>
      <c r="F34660" s="1">
        <v>9.4112937315510997E-5</v>
      </c>
    </row>
    <row r="34661" spans="1:6" x14ac:dyDescent="0.25">
      <c r="A34661" s="2" t="str">
        <f t="shared" si="1203"/>
        <v>99999</v>
      </c>
      <c r="B34661" s="2" t="str">
        <f>"03226"</f>
        <v>03226</v>
      </c>
      <c r="C34661" s="1">
        <v>1.09138159961181E-7</v>
      </c>
      <c r="D34661" s="1">
        <v>0</v>
      </c>
      <c r="E34661" s="1">
        <v>0</v>
      </c>
      <c r="F34661" s="1">
        <v>9.9485134582992598E-8</v>
      </c>
    </row>
    <row r="34662" spans="1:6" x14ac:dyDescent="0.25">
      <c r="A34662" s="2" t="str">
        <f t="shared" si="1203"/>
        <v>99999</v>
      </c>
      <c r="B34662" s="2" t="str">
        <f>"00802"</f>
        <v>00802</v>
      </c>
      <c r="C34662" s="1">
        <v>1.2734240504270601E-3</v>
      </c>
      <c r="D34662" s="1">
        <v>4.9124798538245102E-3</v>
      </c>
      <c r="E34662" s="1">
        <v>2.3379004958261002E-3</v>
      </c>
      <c r="F34662" s="1">
        <v>1.53634893336515E-3</v>
      </c>
    </row>
    <row r="34663" spans="1:6" x14ac:dyDescent="0.25">
      <c r="A34663" s="2" t="str">
        <f t="shared" si="1203"/>
        <v>99999</v>
      </c>
      <c r="B34663" s="2" t="str">
        <f>"00606"</f>
        <v>00606</v>
      </c>
      <c r="C34663" s="1">
        <v>2.79611965820547E-4</v>
      </c>
      <c r="D34663" s="1">
        <v>2.15499579624059E-4</v>
      </c>
      <c r="E34663" s="1">
        <v>1.30366198652013E-4</v>
      </c>
      <c r="F34663" s="1">
        <v>2.7199235794990098E-4</v>
      </c>
    </row>
    <row r="34664" spans="1:6" x14ac:dyDescent="0.25">
      <c r="A34664" s="2" t="str">
        <f t="shared" si="1203"/>
        <v>99999</v>
      </c>
      <c r="B34664" s="2" t="str">
        <f>"99668"</f>
        <v>99668</v>
      </c>
      <c r="C34664" s="1">
        <v>0</v>
      </c>
      <c r="D34664" s="1">
        <v>0</v>
      </c>
      <c r="E34664" s="1">
        <v>4.3455399550671099E-6</v>
      </c>
      <c r="F34664" s="1">
        <v>9.9485134582992598E-8</v>
      </c>
    </row>
    <row r="34665" spans="1:6" x14ac:dyDescent="0.25">
      <c r="A34665" s="2" t="str">
        <f t="shared" si="1203"/>
        <v>99999</v>
      </c>
      <c r="B34665" s="2" t="str">
        <f>"99681"</f>
        <v>99681</v>
      </c>
      <c r="C34665" s="1">
        <v>0</v>
      </c>
      <c r="D34665" s="1">
        <v>0</v>
      </c>
      <c r="E34665" s="1">
        <v>4.3455399550671099E-6</v>
      </c>
      <c r="F34665" s="1">
        <v>9.9485134582992598E-8</v>
      </c>
    </row>
    <row r="34666" spans="1:6" x14ac:dyDescent="0.25">
      <c r="A34666" s="2" t="str">
        <f t="shared" si="1203"/>
        <v>99999</v>
      </c>
      <c r="B34666" s="2" t="str">
        <f>"99679"</f>
        <v>99679</v>
      </c>
      <c r="C34666" s="1">
        <v>0</v>
      </c>
      <c r="D34666" s="1">
        <v>0</v>
      </c>
      <c r="E34666" s="1">
        <v>4.3455399550671099E-6</v>
      </c>
      <c r="F34666" s="1">
        <v>9.9485134582992598E-8</v>
      </c>
    </row>
    <row r="34667" spans="1:6" x14ac:dyDescent="0.25">
      <c r="A34667" s="2" t="str">
        <f t="shared" si="1203"/>
        <v>99999</v>
      </c>
      <c r="B34667" s="2" t="str">
        <f>"99678"</f>
        <v>99678</v>
      </c>
      <c r="C34667" s="1">
        <v>0</v>
      </c>
      <c r="D34667" s="1">
        <v>0</v>
      </c>
      <c r="E34667" s="1">
        <v>4.3455399550671099E-6</v>
      </c>
      <c r="F34667" s="1">
        <v>9.9485134582992598E-8</v>
      </c>
    </row>
    <row r="34668" spans="1:6" x14ac:dyDescent="0.25">
      <c r="A34668" s="2" t="str">
        <f t="shared" si="1203"/>
        <v>99999</v>
      </c>
      <c r="B34668" s="2" t="str">
        <f>"99692"</f>
        <v>99692</v>
      </c>
      <c r="C34668" s="1">
        <v>0</v>
      </c>
      <c r="D34668" s="1">
        <v>0</v>
      </c>
      <c r="E34668" s="1">
        <v>4.3455399550671099E-6</v>
      </c>
      <c r="F34668" s="1">
        <v>9.9485134582992598E-8</v>
      </c>
    </row>
    <row r="34669" spans="1:6" x14ac:dyDescent="0.25">
      <c r="A34669" s="2" t="str">
        <f t="shared" si="1203"/>
        <v>99999</v>
      </c>
      <c r="B34669" s="2" t="str">
        <f>"99672"</f>
        <v>99672</v>
      </c>
      <c r="C34669" s="1">
        <v>7.7269817252516605E-5</v>
      </c>
      <c r="D34669" s="1">
        <v>1.0623218713862E-5</v>
      </c>
      <c r="E34669" s="1">
        <v>5.6492019415872502E-5</v>
      </c>
      <c r="F34669" s="1">
        <v>7.2425177976418595E-5</v>
      </c>
    </row>
    <row r="34670" spans="1:6" x14ac:dyDescent="0.25">
      <c r="A34670" s="2" t="str">
        <f t="shared" si="1203"/>
        <v>99999</v>
      </c>
      <c r="B34670" s="2" t="str">
        <f>"99669"</f>
        <v>99669</v>
      </c>
      <c r="C34670" s="1">
        <v>1.08548813897391E-3</v>
      </c>
      <c r="D34670" s="1">
        <v>1.5631307536111299E-3</v>
      </c>
      <c r="E34670" s="1">
        <v>1.56873992377922E-3</v>
      </c>
      <c r="F34670" s="1">
        <v>1.12786297076738E-3</v>
      </c>
    </row>
    <row r="34671" spans="1:6" x14ac:dyDescent="0.25">
      <c r="A34671" s="2" t="str">
        <f t="shared" si="1203"/>
        <v>99999</v>
      </c>
      <c r="B34671" s="2" t="str">
        <f>"99635"</f>
        <v>99635</v>
      </c>
      <c r="C34671" s="1">
        <v>0</v>
      </c>
      <c r="D34671" s="1">
        <v>0</v>
      </c>
      <c r="E34671" s="1">
        <v>4.3455399550671099E-6</v>
      </c>
      <c r="F34671" s="1">
        <v>9.9485134582992598E-8</v>
      </c>
    </row>
    <row r="34672" spans="1:6" x14ac:dyDescent="0.25">
      <c r="A34672" s="2" t="str">
        <f t="shared" si="1203"/>
        <v>99999</v>
      </c>
      <c r="B34672" s="2" t="str">
        <f>"99625"</f>
        <v>99625</v>
      </c>
      <c r="C34672" s="1">
        <v>0</v>
      </c>
      <c r="D34672" s="1">
        <v>0</v>
      </c>
      <c r="E34672" s="1">
        <v>4.3455399550671099E-6</v>
      </c>
      <c r="F34672" s="1">
        <v>9.9485134582992598E-8</v>
      </c>
    </row>
    <row r="34673" spans="1:6" x14ac:dyDescent="0.25">
      <c r="A34673" s="2" t="str">
        <f t="shared" si="1203"/>
        <v>99999</v>
      </c>
      <c r="B34673" s="2" t="str">
        <f>"99653"</f>
        <v>99653</v>
      </c>
      <c r="C34673" s="1">
        <v>0</v>
      </c>
      <c r="D34673" s="1">
        <v>1.51760267340886E-6</v>
      </c>
      <c r="E34673" s="1">
        <v>0</v>
      </c>
      <c r="F34673" s="1">
        <v>9.9485134582992598E-8</v>
      </c>
    </row>
    <row r="34674" spans="1:6" x14ac:dyDescent="0.25">
      <c r="A34674" s="2" t="str">
        <f t="shared" si="1203"/>
        <v>99999</v>
      </c>
      <c r="B34674" s="2" t="str">
        <f>"99606"</f>
        <v>99606</v>
      </c>
      <c r="C34674" s="1">
        <v>0</v>
      </c>
      <c r="D34674" s="1">
        <v>0</v>
      </c>
      <c r="E34674" s="1">
        <v>8.69107991013423E-6</v>
      </c>
      <c r="F34674" s="1">
        <v>1.9897026916598501E-7</v>
      </c>
    </row>
    <row r="34675" spans="1:6" x14ac:dyDescent="0.25">
      <c r="A34675" s="2" t="str">
        <f t="shared" si="1203"/>
        <v>99999</v>
      </c>
      <c r="B34675" s="2" t="str">
        <f>"99602"</f>
        <v>99602</v>
      </c>
      <c r="C34675" s="1">
        <v>0</v>
      </c>
      <c r="D34675" s="1">
        <v>0</v>
      </c>
      <c r="E34675" s="1">
        <v>4.3455399550671099E-6</v>
      </c>
      <c r="F34675" s="1">
        <v>9.9485134582992598E-8</v>
      </c>
    </row>
    <row r="34676" spans="1:6" x14ac:dyDescent="0.25">
      <c r="A34676" s="2" t="str">
        <f t="shared" si="1203"/>
        <v>99999</v>
      </c>
      <c r="B34676" s="2" t="str">
        <f>"99591"</f>
        <v>99591</v>
      </c>
      <c r="C34676" s="1">
        <v>0</v>
      </c>
      <c r="D34676" s="1">
        <v>0</v>
      </c>
      <c r="E34676" s="1">
        <v>4.3455399550671099E-6</v>
      </c>
      <c r="F34676" s="1">
        <v>9.9485134582992598E-8</v>
      </c>
    </row>
    <row r="34677" spans="1:6" x14ac:dyDescent="0.25">
      <c r="A34677" s="2" t="str">
        <f t="shared" si="1203"/>
        <v>99999</v>
      </c>
      <c r="B34677" s="2" t="str">
        <f>"99583"</f>
        <v>99583</v>
      </c>
      <c r="C34677" s="1">
        <v>0</v>
      </c>
      <c r="D34677" s="1">
        <v>0</v>
      </c>
      <c r="E34677" s="1">
        <v>4.3455399550671099E-6</v>
      </c>
      <c r="F34677" s="1">
        <v>9.9485134582992598E-8</v>
      </c>
    </row>
    <row r="34678" spans="1:6" x14ac:dyDescent="0.25">
      <c r="A34678" s="2" t="str">
        <f t="shared" si="1203"/>
        <v>99999</v>
      </c>
      <c r="B34678" s="2" t="str">
        <f>"99611"</f>
        <v>99611</v>
      </c>
      <c r="C34678" s="1">
        <v>9.3411351110775397E-4</v>
      </c>
      <c r="D34678" s="1">
        <v>1.3461135713136599E-3</v>
      </c>
      <c r="E34678" s="1">
        <v>1.9468018998700599E-3</v>
      </c>
      <c r="F34678" s="1">
        <v>9.8430592156412903E-4</v>
      </c>
    </row>
    <row r="34679" spans="1:6" x14ac:dyDescent="0.25">
      <c r="A34679" s="2" t="str">
        <f t="shared" si="1203"/>
        <v>99999</v>
      </c>
      <c r="B34679" s="2" t="str">
        <f>"99550"</f>
        <v>99550</v>
      </c>
      <c r="C34679" s="1">
        <v>0</v>
      </c>
      <c r="D34679" s="1">
        <v>0</v>
      </c>
      <c r="E34679" s="1">
        <v>4.3455399550671099E-6</v>
      </c>
      <c r="F34679" s="1">
        <v>9.9485134582992598E-8</v>
      </c>
    </row>
    <row r="34680" spans="1:6" x14ac:dyDescent="0.25">
      <c r="A34680" s="2" t="str">
        <f t="shared" si="1203"/>
        <v>99999</v>
      </c>
      <c r="B34680" s="2" t="str">
        <f>"99566"</f>
        <v>99566</v>
      </c>
      <c r="C34680" s="1">
        <v>1.09138159961181E-7</v>
      </c>
      <c r="D34680" s="1">
        <v>0</v>
      </c>
      <c r="E34680" s="1">
        <v>4.3455399550671099E-6</v>
      </c>
      <c r="F34680" s="1">
        <v>1.9897026916598501E-7</v>
      </c>
    </row>
    <row r="34681" spans="1:6" x14ac:dyDescent="0.25">
      <c r="A34681" s="2" t="str">
        <f t="shared" si="1203"/>
        <v>99999</v>
      </c>
      <c r="B34681" s="2" t="str">
        <f>"99557"</f>
        <v>99557</v>
      </c>
      <c r="C34681" s="1">
        <v>0</v>
      </c>
      <c r="D34681" s="1">
        <v>0</v>
      </c>
      <c r="E34681" s="1">
        <v>1.3036619865201299E-5</v>
      </c>
      <c r="F34681" s="1">
        <v>2.9845540374897701E-7</v>
      </c>
    </row>
    <row r="34682" spans="1:6" x14ac:dyDescent="0.25">
      <c r="A34682" s="2" t="str">
        <f t="shared" si="1203"/>
        <v>99999</v>
      </c>
      <c r="B34682" s="2" t="str">
        <f>"99556"</f>
        <v>99556</v>
      </c>
      <c r="C34682" s="1">
        <v>3.8307494146374702E-5</v>
      </c>
      <c r="D34682" s="1">
        <v>1.21408213872709E-5</v>
      </c>
      <c r="E34682" s="1">
        <v>1.3036619865201299E-5</v>
      </c>
      <c r="F34682" s="1">
        <v>3.60136187190433E-5</v>
      </c>
    </row>
    <row r="34683" spans="1:6" x14ac:dyDescent="0.25">
      <c r="A34683" s="2" t="str">
        <f t="shared" si="1203"/>
        <v>99999</v>
      </c>
      <c r="B34683" s="2" t="str">
        <f>"99722"</f>
        <v>99722</v>
      </c>
      <c r="C34683" s="1">
        <v>0</v>
      </c>
      <c r="D34683" s="1">
        <v>0</v>
      </c>
      <c r="E34683" s="1">
        <v>4.3455399550671099E-6</v>
      </c>
      <c r="F34683" s="1">
        <v>9.9485134582992598E-8</v>
      </c>
    </row>
    <row r="34684" spans="1:6" x14ac:dyDescent="0.25">
      <c r="A34684" s="2" t="str">
        <f t="shared" si="1203"/>
        <v>99999</v>
      </c>
      <c r="B34684" s="2" t="str">
        <f>"99776"</f>
        <v>99776</v>
      </c>
      <c r="C34684" s="1">
        <v>0</v>
      </c>
      <c r="D34684" s="1">
        <v>0</v>
      </c>
      <c r="E34684" s="1">
        <v>4.3455399550671099E-6</v>
      </c>
      <c r="F34684" s="1">
        <v>9.9485134582992598E-8</v>
      </c>
    </row>
    <row r="34685" spans="1:6" x14ac:dyDescent="0.25">
      <c r="A34685" s="2" t="str">
        <f t="shared" si="1203"/>
        <v>99999</v>
      </c>
      <c r="B34685" s="2" t="str">
        <f>"99768"</f>
        <v>99768</v>
      </c>
      <c r="C34685" s="1">
        <v>0</v>
      </c>
      <c r="D34685" s="1">
        <v>0</v>
      </c>
      <c r="E34685" s="1">
        <v>4.3455399550671099E-6</v>
      </c>
      <c r="F34685" s="1">
        <v>9.9485134582992598E-8</v>
      </c>
    </row>
    <row r="34686" spans="1:6" x14ac:dyDescent="0.25">
      <c r="A34686" s="2" t="str">
        <f t="shared" si="1203"/>
        <v>99999</v>
      </c>
      <c r="B34686" s="2" t="str">
        <f>"99765"</f>
        <v>99765</v>
      </c>
      <c r="C34686" s="1">
        <v>0</v>
      </c>
      <c r="D34686" s="1">
        <v>0</v>
      </c>
      <c r="E34686" s="1">
        <v>4.3455399550671099E-6</v>
      </c>
      <c r="F34686" s="1">
        <v>9.9485134582992598E-8</v>
      </c>
    </row>
    <row r="34687" spans="1:6" x14ac:dyDescent="0.25">
      <c r="A34687" s="2" t="str">
        <f t="shared" si="1203"/>
        <v>99999</v>
      </c>
      <c r="B34687" s="2" t="str">
        <f>"99764"</f>
        <v>99764</v>
      </c>
      <c r="C34687" s="1">
        <v>0</v>
      </c>
      <c r="D34687" s="1">
        <v>0</v>
      </c>
      <c r="E34687" s="1">
        <v>4.3455399550671099E-6</v>
      </c>
      <c r="F34687" s="1">
        <v>9.9485134582992598E-8</v>
      </c>
    </row>
    <row r="34688" spans="1:6" x14ac:dyDescent="0.25">
      <c r="A34688" s="2" t="str">
        <f t="shared" si="1203"/>
        <v>99999</v>
      </c>
      <c r="B34688" s="2" t="str">
        <f>"99825"</f>
        <v>99825</v>
      </c>
      <c r="C34688" s="1">
        <v>2.1827631992236301E-7</v>
      </c>
      <c r="D34688" s="1">
        <v>0</v>
      </c>
      <c r="E34688" s="1">
        <v>4.3455399550671099E-6</v>
      </c>
      <c r="F34688" s="1">
        <v>2.9845540374897701E-7</v>
      </c>
    </row>
    <row r="34689" spans="1:6" x14ac:dyDescent="0.25">
      <c r="A34689" s="2" t="str">
        <f t="shared" si="1203"/>
        <v>99999</v>
      </c>
      <c r="B34689" s="2" t="str">
        <f>"99753"</f>
        <v>99753</v>
      </c>
      <c r="C34689" s="1">
        <v>0</v>
      </c>
      <c r="D34689" s="1">
        <v>0</v>
      </c>
      <c r="E34689" s="1">
        <v>4.3455399550671099E-6</v>
      </c>
      <c r="F34689" s="1">
        <v>9.9485134582992598E-8</v>
      </c>
    </row>
    <row r="34690" spans="1:6" x14ac:dyDescent="0.25">
      <c r="A34690" s="2" t="str">
        <f t="shared" si="1203"/>
        <v>99999</v>
      </c>
      <c r="B34690" s="2" t="str">
        <f>"99749"</f>
        <v>99749</v>
      </c>
      <c r="C34690" s="1">
        <v>0</v>
      </c>
      <c r="D34690" s="1">
        <v>0</v>
      </c>
      <c r="E34690" s="1">
        <v>4.3455399550671099E-6</v>
      </c>
      <c r="F34690" s="1">
        <v>9.9485134582992598E-8</v>
      </c>
    </row>
    <row r="34691" spans="1:6" x14ac:dyDescent="0.25">
      <c r="A34691" s="2" t="str">
        <f t="shared" si="1203"/>
        <v>99999</v>
      </c>
      <c r="B34691" s="2" t="str">
        <f>"99927"</f>
        <v>99927</v>
      </c>
      <c r="C34691" s="1">
        <v>0</v>
      </c>
      <c r="D34691" s="1">
        <v>0</v>
      </c>
      <c r="E34691" s="1">
        <v>4.3455399550671099E-6</v>
      </c>
      <c r="F34691" s="1">
        <v>9.9485134582992598E-8</v>
      </c>
    </row>
    <row r="34692" spans="1:6" x14ac:dyDescent="0.25">
      <c r="A34692" s="2" t="str">
        <f t="shared" si="1203"/>
        <v>99999</v>
      </c>
      <c r="B34692" s="2" t="str">
        <f>"99919"</f>
        <v>99919</v>
      </c>
      <c r="C34692" s="1">
        <v>1.09138159961181E-7</v>
      </c>
      <c r="D34692" s="1">
        <v>0</v>
      </c>
      <c r="E34692" s="1">
        <v>4.3455399550671099E-6</v>
      </c>
      <c r="F34692" s="1">
        <v>1.9897026916598501E-7</v>
      </c>
    </row>
    <row r="34693" spans="1:6" x14ac:dyDescent="0.25">
      <c r="A34693" s="2" t="str">
        <f t="shared" si="1203"/>
        <v>99999</v>
      </c>
      <c r="B34693" s="2" t="str">
        <f>"99742"</f>
        <v>99742</v>
      </c>
      <c r="C34693" s="1">
        <v>0</v>
      </c>
      <c r="D34693" s="1">
        <v>0</v>
      </c>
      <c r="E34693" s="1">
        <v>4.3455399550671099E-6</v>
      </c>
      <c r="F34693" s="1">
        <v>9.9485134582992598E-8</v>
      </c>
    </row>
    <row r="34694" spans="1:6" x14ac:dyDescent="0.25">
      <c r="A34694" s="2" t="str">
        <f t="shared" si="1203"/>
        <v>99999</v>
      </c>
      <c r="B34694" s="2" t="str">
        <f>"99403"</f>
        <v>99403</v>
      </c>
      <c r="C34694" s="1">
        <v>1.7462105593789001E-6</v>
      </c>
      <c r="D34694" s="1">
        <v>0</v>
      </c>
      <c r="E34694" s="1">
        <v>0</v>
      </c>
      <c r="F34694" s="1">
        <v>1.5917621533278801E-6</v>
      </c>
    </row>
    <row r="34695" spans="1:6" x14ac:dyDescent="0.25">
      <c r="A34695" s="2" t="str">
        <f t="shared" si="1203"/>
        <v>99999</v>
      </c>
      <c r="B34695" s="2" t="str">
        <f>"99350"</f>
        <v>99350</v>
      </c>
      <c r="C34695" s="1">
        <v>9.2767435967004401E-6</v>
      </c>
      <c r="D34695" s="1">
        <v>1.8211232080906399E-5</v>
      </c>
      <c r="E34695" s="1">
        <v>4.3455399550671099E-6</v>
      </c>
      <c r="F34695" s="1">
        <v>9.7495431891332699E-6</v>
      </c>
    </row>
    <row r="34696" spans="1:6" x14ac:dyDescent="0.25">
      <c r="A34696" s="2" t="str">
        <f t="shared" si="1203"/>
        <v>99999</v>
      </c>
      <c r="B34696" s="2" t="str">
        <f>"99166"</f>
        <v>99166</v>
      </c>
      <c r="C34696" s="1">
        <v>1.4646341066790501E-4</v>
      </c>
      <c r="D34696" s="1">
        <v>1.01679379118394E-4</v>
      </c>
      <c r="E34696" s="1">
        <v>4.0848075577630798E-4</v>
      </c>
      <c r="F34696" s="1">
        <v>1.4952615727823699E-4</v>
      </c>
    </row>
    <row r="34697" spans="1:6" x14ac:dyDescent="0.25">
      <c r="A34697" s="2" t="str">
        <f t="shared" si="1203"/>
        <v>99999</v>
      </c>
      <c r="B34697" s="2" t="str">
        <f>"99133"</f>
        <v>99133</v>
      </c>
      <c r="C34697" s="1">
        <v>1.5934171354332501E-5</v>
      </c>
      <c r="D34697" s="1">
        <v>3.0352053468177301E-6</v>
      </c>
      <c r="E34697" s="1">
        <v>3.47643196405369E-5</v>
      </c>
      <c r="F34697" s="1">
        <v>1.5519680994946799E-5</v>
      </c>
    </row>
    <row r="34698" spans="1:6" x14ac:dyDescent="0.25">
      <c r="A34698" s="2" t="str">
        <f t="shared" si="1203"/>
        <v>99999</v>
      </c>
      <c r="B34698" s="2" t="str">
        <f>"98819"</f>
        <v>98819</v>
      </c>
      <c r="C34698" s="1">
        <v>0</v>
      </c>
      <c r="D34698" s="1">
        <v>3.0352053468177301E-6</v>
      </c>
      <c r="E34698" s="1">
        <v>7.3874179236140894E-5</v>
      </c>
      <c r="F34698" s="1">
        <v>1.89021755707686E-6</v>
      </c>
    </row>
    <row r="34699" spans="1:6" x14ac:dyDescent="0.25">
      <c r="A34699" s="2" t="str">
        <f t="shared" si="1203"/>
        <v>99999</v>
      </c>
      <c r="B34699" s="2" t="str">
        <f>"98813"</f>
        <v>98813</v>
      </c>
      <c r="C34699" s="1">
        <v>3.7106974386801701E-6</v>
      </c>
      <c r="D34699" s="1">
        <v>7.5880133670443404E-6</v>
      </c>
      <c r="E34699" s="1">
        <v>0</v>
      </c>
      <c r="F34699" s="1">
        <v>3.87992024873671E-6</v>
      </c>
    </row>
    <row r="34700" spans="1:6" x14ac:dyDescent="0.25">
      <c r="A34700" s="2" t="str">
        <f t="shared" si="1203"/>
        <v>99999</v>
      </c>
      <c r="B34700" s="2" t="str">
        <f>"98827"</f>
        <v>98827</v>
      </c>
      <c r="C34700" s="1">
        <v>1.41879607949536E-5</v>
      </c>
      <c r="D34700" s="1">
        <v>6.0704106936354696E-6</v>
      </c>
      <c r="E34700" s="1">
        <v>0</v>
      </c>
      <c r="F34700" s="1">
        <v>1.3331008034121E-5</v>
      </c>
    </row>
    <row r="34701" spans="1:6" x14ac:dyDescent="0.25">
      <c r="A34701" s="2" t="str">
        <f t="shared" si="1203"/>
        <v>99999</v>
      </c>
      <c r="B34701" s="2" t="str">
        <f>"99006"</f>
        <v>99006</v>
      </c>
      <c r="C34701" s="1">
        <v>4.6929408783308102E-6</v>
      </c>
      <c r="D34701" s="1">
        <v>0</v>
      </c>
      <c r="E34701" s="1">
        <v>0</v>
      </c>
      <c r="F34701" s="1">
        <v>4.2778607870686803E-6</v>
      </c>
    </row>
    <row r="34702" spans="1:6" x14ac:dyDescent="0.25">
      <c r="A34702" s="2" t="str">
        <f t="shared" si="1203"/>
        <v>99999</v>
      </c>
      <c r="B34702" s="2" t="str">
        <f>"98856"</f>
        <v>98856</v>
      </c>
      <c r="C34702" s="1">
        <v>8.3708968690226305E-5</v>
      </c>
      <c r="D34702" s="1">
        <v>1.66936294074975E-5</v>
      </c>
      <c r="E34702" s="1">
        <v>9.9078310975530192E-4</v>
      </c>
      <c r="F34702" s="1">
        <v>1.0008204539049E-4</v>
      </c>
    </row>
    <row r="34703" spans="1:6" x14ac:dyDescent="0.25">
      <c r="A34703" s="2" t="str">
        <f t="shared" si="1203"/>
        <v>99999</v>
      </c>
      <c r="B34703" s="2" t="str">
        <f>"98844"</f>
        <v>98844</v>
      </c>
      <c r="C34703" s="1">
        <v>2.5778433382831102E-4</v>
      </c>
      <c r="D34703" s="1">
        <v>2.09429168930423E-4</v>
      </c>
      <c r="E34703" s="1">
        <v>1.0298929693509E-3</v>
      </c>
      <c r="F34703" s="1">
        <v>2.7229081335365001E-4</v>
      </c>
    </row>
    <row r="34704" spans="1:6" x14ac:dyDescent="0.25">
      <c r="A34704" s="2" t="str">
        <f t="shared" si="1203"/>
        <v>99999</v>
      </c>
      <c r="B34704" s="2" t="str">
        <f>"98841"</f>
        <v>98841</v>
      </c>
      <c r="C34704" s="1">
        <v>5.8989175459018704E-4</v>
      </c>
      <c r="D34704" s="1">
        <v>6.4801634154558702E-4</v>
      </c>
      <c r="E34704" s="1">
        <v>3.43297656450302E-4</v>
      </c>
      <c r="F34704" s="1">
        <v>5.8805663052006899E-4</v>
      </c>
    </row>
    <row r="34705" spans="1:6" x14ac:dyDescent="0.25">
      <c r="A34705" s="2" t="str">
        <f t="shared" si="1203"/>
        <v>99999</v>
      </c>
      <c r="B34705" s="2" t="str">
        <f>"98561"</f>
        <v>98561</v>
      </c>
      <c r="C34705" s="1">
        <v>0</v>
      </c>
      <c r="D34705" s="1">
        <v>0</v>
      </c>
      <c r="E34705" s="1">
        <v>4.3455399550671099E-6</v>
      </c>
      <c r="F34705" s="1">
        <v>9.9485134582992598E-8</v>
      </c>
    </row>
    <row r="34706" spans="1:6" x14ac:dyDescent="0.25">
      <c r="A34706" s="2" t="str">
        <f t="shared" ref="A34706:A34769" si="1204">"99999"</f>
        <v>99999</v>
      </c>
      <c r="B34706" s="2" t="str">
        <f>"98605"</f>
        <v>98605</v>
      </c>
      <c r="C34706" s="1">
        <v>1.1459506795924E-4</v>
      </c>
      <c r="D34706" s="1">
        <v>1.36584240606798E-4</v>
      </c>
      <c r="E34706" s="1">
        <v>1.7382159820268399E-5</v>
      </c>
      <c r="F34706" s="1">
        <v>1.13810993962943E-4</v>
      </c>
    </row>
    <row r="34707" spans="1:6" x14ac:dyDescent="0.25">
      <c r="A34707" s="2" t="str">
        <f t="shared" si="1204"/>
        <v>99999</v>
      </c>
      <c r="B34707" s="2" t="str">
        <f>"98623"</f>
        <v>98623</v>
      </c>
      <c r="C34707" s="1">
        <v>0</v>
      </c>
      <c r="D34707" s="1">
        <v>1.51760267340886E-6</v>
      </c>
      <c r="E34707" s="1">
        <v>0</v>
      </c>
      <c r="F34707" s="1">
        <v>9.9485134582992598E-8</v>
      </c>
    </row>
    <row r="34708" spans="1:6" x14ac:dyDescent="0.25">
      <c r="A34708" s="2" t="str">
        <f t="shared" si="1204"/>
        <v>99999</v>
      </c>
      <c r="B34708" s="2" t="str">
        <f>"98641"</f>
        <v>98641</v>
      </c>
      <c r="C34708" s="1">
        <v>2.35738425516152E-5</v>
      </c>
      <c r="D34708" s="1">
        <v>0</v>
      </c>
      <c r="E34708" s="1">
        <v>4.3455399550671099E-6</v>
      </c>
      <c r="F34708" s="1">
        <v>2.15882742045094E-5</v>
      </c>
    </row>
    <row r="34709" spans="1:6" x14ac:dyDescent="0.25">
      <c r="A34709" s="2" t="str">
        <f t="shared" si="1204"/>
        <v>99999</v>
      </c>
      <c r="B34709" s="2" t="str">
        <f>"98635"</f>
        <v>98635</v>
      </c>
      <c r="C34709" s="1">
        <v>2.2558857663976199E-4</v>
      </c>
      <c r="D34709" s="1">
        <v>6.8292120303399095E-5</v>
      </c>
      <c r="E34709" s="1">
        <v>7.3874179236140894E-5</v>
      </c>
      <c r="F34709" s="1">
        <v>2.1180385152719101E-4</v>
      </c>
    </row>
    <row r="34710" spans="1:6" x14ac:dyDescent="0.25">
      <c r="A34710" s="2" t="str">
        <f t="shared" si="1204"/>
        <v>99999</v>
      </c>
      <c r="B34710" s="2" t="str">
        <f>"98620"</f>
        <v>98620</v>
      </c>
      <c r="C34710" s="1">
        <v>3.8722219154227201E-4</v>
      </c>
      <c r="D34710" s="1">
        <v>3.8243587369903497E-4</v>
      </c>
      <c r="E34710" s="1">
        <v>4.4759061537191297E-4</v>
      </c>
      <c r="F34710" s="1">
        <v>3.8829048027742E-4</v>
      </c>
    </row>
    <row r="34711" spans="1:6" x14ac:dyDescent="0.25">
      <c r="A34711" s="2" t="str">
        <f t="shared" si="1204"/>
        <v>99999</v>
      </c>
      <c r="B34711" s="2" t="str">
        <f>"98577"</f>
        <v>98577</v>
      </c>
      <c r="C34711" s="1">
        <v>3.3298052604156499E-4</v>
      </c>
      <c r="D34711" s="1">
        <v>3.7788306567880801E-4</v>
      </c>
      <c r="E34711" s="1">
        <v>4.5193615532698002E-4</v>
      </c>
      <c r="F34711" s="1">
        <v>3.3864739812050599E-4</v>
      </c>
    </row>
    <row r="34712" spans="1:6" x14ac:dyDescent="0.25">
      <c r="A34712" s="2" t="str">
        <f t="shared" si="1204"/>
        <v>99999</v>
      </c>
      <c r="B34712" s="2" t="str">
        <f>"98280"</f>
        <v>98280</v>
      </c>
      <c r="C34712" s="1">
        <v>9.8224343965063504E-7</v>
      </c>
      <c r="D34712" s="1">
        <v>1.51760267340886E-6</v>
      </c>
      <c r="E34712" s="1">
        <v>0</v>
      </c>
      <c r="F34712" s="1">
        <v>9.9485134582992606E-7</v>
      </c>
    </row>
    <row r="34713" spans="1:6" x14ac:dyDescent="0.25">
      <c r="A34713" s="2" t="str">
        <f t="shared" si="1204"/>
        <v>99999</v>
      </c>
      <c r="B34713" s="2" t="str">
        <f>"98279"</f>
        <v>98279</v>
      </c>
      <c r="C34713" s="1">
        <v>4.9439586462415298E-5</v>
      </c>
      <c r="D34713" s="1">
        <v>7.5880133670443404E-6</v>
      </c>
      <c r="E34713" s="1">
        <v>7.4743287227154397E-4</v>
      </c>
      <c r="F34713" s="1">
        <v>6.2675634787285296E-5</v>
      </c>
    </row>
    <row r="34714" spans="1:6" x14ac:dyDescent="0.25">
      <c r="A34714" s="2" t="str">
        <f t="shared" si="1204"/>
        <v>99999</v>
      </c>
      <c r="B34714" s="2" t="str">
        <f>"97857"</f>
        <v>97857</v>
      </c>
      <c r="C34714" s="1">
        <v>2.5974882070761199E-5</v>
      </c>
      <c r="D34714" s="1">
        <v>4.5528080202265997E-6</v>
      </c>
      <c r="E34714" s="1">
        <v>8.69107991013423E-6</v>
      </c>
      <c r="F34714" s="1">
        <v>2.4174887703667199E-5</v>
      </c>
    </row>
    <row r="34715" spans="1:6" x14ac:dyDescent="0.25">
      <c r="A34715" s="2" t="str">
        <f t="shared" si="1204"/>
        <v>99999</v>
      </c>
      <c r="B34715" s="2" t="str">
        <f>"97904"</f>
        <v>97904</v>
      </c>
      <c r="C34715" s="1">
        <v>1.5934171354332501E-5</v>
      </c>
      <c r="D34715" s="1">
        <v>1.51760267340886E-6</v>
      </c>
      <c r="E34715" s="1">
        <v>4.3455399550671099E-6</v>
      </c>
      <c r="F34715" s="1">
        <v>1.4723799918282901E-5</v>
      </c>
    </row>
    <row r="34716" spans="1:6" x14ac:dyDescent="0.25">
      <c r="A34716" s="2" t="str">
        <f t="shared" si="1204"/>
        <v>99999</v>
      </c>
      <c r="B34716" s="2" t="str">
        <f>"97885"</f>
        <v>97885</v>
      </c>
      <c r="C34716" s="1">
        <v>8.1198791011119199E-5</v>
      </c>
      <c r="D34716" s="1">
        <v>9.1056160404532095E-6</v>
      </c>
      <c r="E34716" s="1">
        <v>4.3455399550671099E-6</v>
      </c>
      <c r="F34716" s="1">
        <v>7.4713336071827405E-5</v>
      </c>
    </row>
    <row r="34717" spans="1:6" x14ac:dyDescent="0.25">
      <c r="A34717" s="2" t="str">
        <f t="shared" si="1204"/>
        <v>99999</v>
      </c>
      <c r="B34717" s="2" t="str">
        <f>"97761"</f>
        <v>97761</v>
      </c>
      <c r="C34717" s="1">
        <v>0</v>
      </c>
      <c r="D34717" s="1">
        <v>0</v>
      </c>
      <c r="E34717" s="1">
        <v>4.3455399550671099E-6</v>
      </c>
      <c r="F34717" s="1">
        <v>9.9485134582992598E-8</v>
      </c>
    </row>
    <row r="34718" spans="1:6" x14ac:dyDescent="0.25">
      <c r="A34718" s="2" t="str">
        <f t="shared" si="1204"/>
        <v>99999</v>
      </c>
      <c r="B34718" s="2" t="str">
        <f>"97840"</f>
        <v>97840</v>
      </c>
      <c r="C34718" s="1">
        <v>8.5127764769721692E-6</v>
      </c>
      <c r="D34718" s="1">
        <v>3.0352053468177301E-6</v>
      </c>
      <c r="E34718" s="1">
        <v>4.3455399550671099E-6</v>
      </c>
      <c r="F34718" s="1">
        <v>8.0582959012224002E-6</v>
      </c>
    </row>
    <row r="34719" spans="1:6" x14ac:dyDescent="0.25">
      <c r="A34719" s="2" t="str">
        <f t="shared" si="1204"/>
        <v>99999</v>
      </c>
      <c r="B34719" s="2" t="str">
        <f>"97730"</f>
        <v>97730</v>
      </c>
      <c r="C34719" s="1">
        <v>3.6015592787189899E-5</v>
      </c>
      <c r="D34719" s="1">
        <v>1.0623218713862E-5</v>
      </c>
      <c r="E34719" s="1">
        <v>8.69107991013423E-6</v>
      </c>
      <c r="F34719" s="1">
        <v>3.3725460623634497E-5</v>
      </c>
    </row>
    <row r="34720" spans="1:6" x14ac:dyDescent="0.25">
      <c r="A34720" s="2" t="str">
        <f t="shared" si="1204"/>
        <v>99999</v>
      </c>
      <c r="B34720" s="2" t="str">
        <f>"97722"</f>
        <v>97722</v>
      </c>
      <c r="C34720" s="1">
        <v>5.1294935181755401E-6</v>
      </c>
      <c r="D34720" s="1">
        <v>9.1056160404532095E-6</v>
      </c>
      <c r="E34720" s="1">
        <v>4.3455399550671099E-6</v>
      </c>
      <c r="F34720" s="1">
        <v>5.3721972674816004E-6</v>
      </c>
    </row>
    <row r="34721" spans="1:6" x14ac:dyDescent="0.25">
      <c r="A34721" s="2" t="str">
        <f t="shared" si="1204"/>
        <v>99999</v>
      </c>
      <c r="B34721" s="2" t="str">
        <f>"97108"</f>
        <v>97108</v>
      </c>
      <c r="C34721" s="1">
        <v>2.9685579509441402E-5</v>
      </c>
      <c r="D34721" s="1">
        <v>3.0352053468177301E-6</v>
      </c>
      <c r="E34721" s="1">
        <v>8.69107991013423E-6</v>
      </c>
      <c r="F34721" s="1">
        <v>2.7457897144905899E-5</v>
      </c>
    </row>
    <row r="34722" spans="1:6" x14ac:dyDescent="0.25">
      <c r="A34722" s="2" t="str">
        <f t="shared" si="1204"/>
        <v>99999</v>
      </c>
      <c r="B34722" s="2" t="str">
        <f>"96913"</f>
        <v>96913</v>
      </c>
      <c r="C34722" s="1">
        <v>6.7054485480150001E-4</v>
      </c>
      <c r="D34722" s="1">
        <v>3.3372082788261002E-3</v>
      </c>
      <c r="E34722" s="1">
        <v>2.8159098908834899E-3</v>
      </c>
      <c r="F34722" s="1">
        <v>8.9447084503568603E-4</v>
      </c>
    </row>
    <row r="34723" spans="1:6" x14ac:dyDescent="0.25">
      <c r="A34723" s="2" t="str">
        <f t="shared" si="1204"/>
        <v>99999</v>
      </c>
      <c r="B34723" s="2" t="str">
        <f>"97033"</f>
        <v>97033</v>
      </c>
      <c r="C34723" s="1">
        <v>5.3477698380979E-6</v>
      </c>
      <c r="D34723" s="1">
        <v>0</v>
      </c>
      <c r="E34723" s="1">
        <v>4.3455399550671099E-6</v>
      </c>
      <c r="F34723" s="1">
        <v>4.9742567291496301E-6</v>
      </c>
    </row>
    <row r="34724" spans="1:6" x14ac:dyDescent="0.25">
      <c r="A34724" s="2" t="str">
        <f t="shared" si="1204"/>
        <v>99999</v>
      </c>
      <c r="B34724" s="2" t="str">
        <f>"97039"</f>
        <v>97039</v>
      </c>
      <c r="C34724" s="1">
        <v>3.0122132149286099E-5</v>
      </c>
      <c r="D34724" s="1">
        <v>1.5176026734088599E-5</v>
      </c>
      <c r="E34724" s="1">
        <v>2.1293145779828799E-4</v>
      </c>
      <c r="F34724" s="1">
        <v>3.3327520085302503E-5</v>
      </c>
    </row>
    <row r="34725" spans="1:6" x14ac:dyDescent="0.25">
      <c r="A34725" s="2" t="str">
        <f t="shared" si="1204"/>
        <v>99999</v>
      </c>
      <c r="B34725" s="2" t="str">
        <f>"96742"</f>
        <v>96742</v>
      </c>
      <c r="C34725" s="1">
        <v>0</v>
      </c>
      <c r="D34725" s="1">
        <v>1.51760267340886E-6</v>
      </c>
      <c r="E34725" s="1">
        <v>0</v>
      </c>
      <c r="F34725" s="1">
        <v>9.9485134582992598E-8</v>
      </c>
    </row>
    <row r="34726" spans="1:6" x14ac:dyDescent="0.25">
      <c r="A34726" s="2" t="str">
        <f t="shared" si="1204"/>
        <v>99999</v>
      </c>
      <c r="B34726" s="2" t="str">
        <f>"96124"</f>
        <v>96124</v>
      </c>
      <c r="C34726" s="1">
        <v>5.1294935181755401E-6</v>
      </c>
      <c r="D34726" s="1">
        <v>3.0352053468177301E-6</v>
      </c>
      <c r="E34726" s="1">
        <v>0</v>
      </c>
      <c r="F34726" s="1">
        <v>4.8747715945666299E-6</v>
      </c>
    </row>
    <row r="34727" spans="1:6" x14ac:dyDescent="0.25">
      <c r="A34727" s="2" t="str">
        <f t="shared" si="1204"/>
        <v>99999</v>
      </c>
      <c r="B34727" s="2" t="str">
        <f>"96134"</f>
        <v>96134</v>
      </c>
      <c r="C34727" s="1">
        <v>8.0871376531235599E-5</v>
      </c>
      <c r="D34727" s="1">
        <v>5.4633696242719298E-5</v>
      </c>
      <c r="E34727" s="1">
        <v>2.99842256899631E-4</v>
      </c>
      <c r="F34727" s="1">
        <v>8.4164423857211701E-5</v>
      </c>
    </row>
    <row r="34728" spans="1:6" x14ac:dyDescent="0.25">
      <c r="A34728" s="2" t="str">
        <f t="shared" si="1204"/>
        <v>99999</v>
      </c>
      <c r="B34728" s="2" t="str">
        <f>"96058"</f>
        <v>96058</v>
      </c>
      <c r="C34728" s="1">
        <v>3.1322651908859099E-5</v>
      </c>
      <c r="D34728" s="1">
        <v>9.1056160404532095E-6</v>
      </c>
      <c r="E34728" s="1">
        <v>8.69107991013423E-6</v>
      </c>
      <c r="F34728" s="1">
        <v>2.93481147019828E-5</v>
      </c>
    </row>
    <row r="34729" spans="1:6" x14ac:dyDescent="0.25">
      <c r="A34729" s="2" t="str">
        <f t="shared" si="1204"/>
        <v>99999</v>
      </c>
      <c r="B34729" s="2" t="str">
        <f>"96044"</f>
        <v>96044</v>
      </c>
      <c r="C34729" s="1">
        <v>4.49649219040068E-5</v>
      </c>
      <c r="D34729" s="1">
        <v>1.3658424060679801E-5</v>
      </c>
      <c r="E34729" s="1">
        <v>4.3455399550671099E-6</v>
      </c>
      <c r="F34729" s="1">
        <v>4.1982726794022798E-5</v>
      </c>
    </row>
    <row r="34730" spans="1:6" x14ac:dyDescent="0.25">
      <c r="A34730" s="2" t="str">
        <f t="shared" si="1204"/>
        <v>99999</v>
      </c>
      <c r="B34730" s="2" t="str">
        <f>"96027"</f>
        <v>96027</v>
      </c>
      <c r="C34730" s="1">
        <v>6.9193593415389201E-5</v>
      </c>
      <c r="D34730" s="1">
        <v>1.21408213872709E-5</v>
      </c>
      <c r="E34730" s="1">
        <v>1.7382159820268399E-5</v>
      </c>
      <c r="F34730" s="1">
        <v>6.4267396940613205E-5</v>
      </c>
    </row>
    <row r="34731" spans="1:6" x14ac:dyDescent="0.25">
      <c r="A34731" s="2" t="str">
        <f t="shared" si="1204"/>
        <v>99999</v>
      </c>
      <c r="B34731" s="2" t="str">
        <f>"95915"</f>
        <v>95915</v>
      </c>
      <c r="C34731" s="1">
        <v>0</v>
      </c>
      <c r="D34731" s="1">
        <v>1.51760267340886E-6</v>
      </c>
      <c r="E34731" s="1">
        <v>4.3455399550671099E-6</v>
      </c>
      <c r="F34731" s="1">
        <v>1.9897026916598501E-7</v>
      </c>
    </row>
    <row r="34732" spans="1:6" x14ac:dyDescent="0.25">
      <c r="A34732" s="2" t="str">
        <f t="shared" si="1204"/>
        <v>99999</v>
      </c>
      <c r="B34732" s="2" t="str">
        <f>"95957"</f>
        <v>95957</v>
      </c>
      <c r="C34732" s="1">
        <v>7.63967119728272E-7</v>
      </c>
      <c r="D34732" s="1">
        <v>1.51760267340886E-6</v>
      </c>
      <c r="E34732" s="1">
        <v>0</v>
      </c>
      <c r="F34732" s="1">
        <v>7.9588107666394099E-7</v>
      </c>
    </row>
    <row r="34733" spans="1:6" x14ac:dyDescent="0.25">
      <c r="A34733" s="2" t="str">
        <f t="shared" si="1204"/>
        <v>99999</v>
      </c>
      <c r="B34733" s="2" t="str">
        <f>"95980"</f>
        <v>95980</v>
      </c>
      <c r="C34733" s="1">
        <v>0</v>
      </c>
      <c r="D34733" s="1">
        <v>0</v>
      </c>
      <c r="E34733" s="1">
        <v>4.3455399550671099E-6</v>
      </c>
      <c r="F34733" s="1">
        <v>9.9485134582992598E-8</v>
      </c>
    </row>
    <row r="34734" spans="1:6" x14ac:dyDescent="0.25">
      <c r="A34734" s="2" t="str">
        <f t="shared" si="1204"/>
        <v>99999</v>
      </c>
      <c r="B34734" s="2" t="str">
        <f>"95979"</f>
        <v>95979</v>
      </c>
      <c r="C34734" s="1">
        <v>2.89216123897131E-5</v>
      </c>
      <c r="D34734" s="1">
        <v>9.1056160404532095E-6</v>
      </c>
      <c r="E34734" s="1">
        <v>4.3455399550671099E-6</v>
      </c>
      <c r="F34734" s="1">
        <v>2.7059956606573898E-5</v>
      </c>
    </row>
    <row r="34735" spans="1:6" x14ac:dyDescent="0.25">
      <c r="A34735" s="2" t="str">
        <f t="shared" si="1204"/>
        <v>99999</v>
      </c>
      <c r="B34735" s="2" t="str">
        <f>"95654"</f>
        <v>95654</v>
      </c>
      <c r="C34735" s="1">
        <v>0</v>
      </c>
      <c r="D34735" s="1">
        <v>0</v>
      </c>
      <c r="E34735" s="1">
        <v>4.3455399550671099E-6</v>
      </c>
      <c r="F34735" s="1">
        <v>9.9485134582992598E-8</v>
      </c>
    </row>
    <row r="34736" spans="1:6" x14ac:dyDescent="0.25">
      <c r="A34736" s="2" t="str">
        <f t="shared" si="1204"/>
        <v>99999</v>
      </c>
      <c r="B34736" s="2" t="str">
        <f>"95552"</f>
        <v>95552</v>
      </c>
      <c r="C34736" s="1">
        <v>1.5606756874448901E-5</v>
      </c>
      <c r="D34736" s="1">
        <v>3.0352053468177301E-5</v>
      </c>
      <c r="E34736" s="1">
        <v>1.3036619865201299E-5</v>
      </c>
      <c r="F34736" s="1">
        <v>1.65145323407767E-5</v>
      </c>
    </row>
    <row r="34737" spans="1:6" x14ac:dyDescent="0.25">
      <c r="A34737" s="2" t="str">
        <f t="shared" si="1204"/>
        <v>99999</v>
      </c>
      <c r="B34737" s="2" t="str">
        <f>"95247"</f>
        <v>95247</v>
      </c>
      <c r="C34737" s="1">
        <v>1.75057608577735E-4</v>
      </c>
      <c r="D34737" s="1">
        <v>2.82274097254049E-4</v>
      </c>
      <c r="E34737" s="1">
        <v>2.7376901716922799E-4</v>
      </c>
      <c r="F34737" s="1">
        <v>1.8434595438228499E-4</v>
      </c>
    </row>
    <row r="34738" spans="1:6" x14ac:dyDescent="0.25">
      <c r="A34738" s="2" t="str">
        <f t="shared" si="1204"/>
        <v>99999</v>
      </c>
      <c r="B34738" s="2" t="str">
        <f>"95245"</f>
        <v>95245</v>
      </c>
      <c r="C34738" s="1">
        <v>1.0062538348420899E-4</v>
      </c>
      <c r="D34738" s="1">
        <v>2.88344507947685E-5</v>
      </c>
      <c r="E34738" s="1">
        <v>6.5183099326006705E-5</v>
      </c>
      <c r="F34738" s="1">
        <v>9.5107788661340901E-5</v>
      </c>
    </row>
    <row r="34739" spans="1:6" x14ac:dyDescent="0.25">
      <c r="A34739" s="2" t="str">
        <f t="shared" si="1204"/>
        <v>99999</v>
      </c>
      <c r="B34739" s="2" t="str">
        <f>"95345"</f>
        <v>95345</v>
      </c>
      <c r="C34739" s="1">
        <v>2.6302296550644701E-5</v>
      </c>
      <c r="D34739" s="1">
        <v>3.0352053468177301E-6</v>
      </c>
      <c r="E34739" s="1">
        <v>1.7382159820268399E-5</v>
      </c>
      <c r="F34739" s="1">
        <v>2.4572828241999101E-5</v>
      </c>
    </row>
    <row r="34740" spans="1:6" x14ac:dyDescent="0.25">
      <c r="A34740" s="2" t="str">
        <f t="shared" si="1204"/>
        <v>99999</v>
      </c>
      <c r="B34740" s="2" t="str">
        <f>"68823"</f>
        <v>68823</v>
      </c>
      <c r="C34740" s="1">
        <v>1.4646341066790501E-4</v>
      </c>
      <c r="D34740" s="1">
        <v>1.12302597832256E-4</v>
      </c>
      <c r="E34740" s="1">
        <v>0</v>
      </c>
      <c r="F34740" s="1">
        <v>1.4087095056951701E-4</v>
      </c>
    </row>
    <row r="34741" spans="1:6" x14ac:dyDescent="0.25">
      <c r="A34741" s="2" t="str">
        <f t="shared" si="1204"/>
        <v>99999</v>
      </c>
      <c r="B34741" s="2" t="str">
        <f>"69190"</f>
        <v>69190</v>
      </c>
      <c r="C34741" s="1">
        <v>0</v>
      </c>
      <c r="D34741" s="1">
        <v>1.51760267340886E-6</v>
      </c>
      <c r="E34741" s="1">
        <v>0</v>
      </c>
      <c r="F34741" s="1">
        <v>9.9485134582992598E-8</v>
      </c>
    </row>
    <row r="34742" spans="1:6" x14ac:dyDescent="0.25">
      <c r="A34742" s="2" t="str">
        <f t="shared" si="1204"/>
        <v>99999</v>
      </c>
      <c r="B34742" s="2" t="str">
        <f>"69167"</f>
        <v>69167</v>
      </c>
      <c r="C34742" s="1">
        <v>1.0913815996118101E-6</v>
      </c>
      <c r="D34742" s="1">
        <v>0</v>
      </c>
      <c r="E34742" s="1">
        <v>0</v>
      </c>
      <c r="F34742" s="1">
        <v>9.9485134582992606E-7</v>
      </c>
    </row>
    <row r="34743" spans="1:6" x14ac:dyDescent="0.25">
      <c r="A34743" s="2" t="str">
        <f t="shared" si="1204"/>
        <v>99999</v>
      </c>
      <c r="B34743" s="2" t="str">
        <f>"69216"</f>
        <v>69216</v>
      </c>
      <c r="C34743" s="1">
        <v>9.6041580765839897E-6</v>
      </c>
      <c r="D34743" s="1">
        <v>0</v>
      </c>
      <c r="E34743" s="1">
        <v>8.69107991013423E-6</v>
      </c>
      <c r="F34743" s="1">
        <v>8.9536621124693292E-6</v>
      </c>
    </row>
    <row r="34744" spans="1:6" x14ac:dyDescent="0.25">
      <c r="A34744" s="2" t="str">
        <f t="shared" si="1204"/>
        <v>99999</v>
      </c>
      <c r="B34744" s="2" t="str">
        <f>"69221"</f>
        <v>69221</v>
      </c>
      <c r="C34744" s="1">
        <v>7.5305330373215401E-6</v>
      </c>
      <c r="D34744" s="1">
        <v>0</v>
      </c>
      <c r="E34744" s="1">
        <v>4.3455399550671099E-6</v>
      </c>
      <c r="F34744" s="1">
        <v>6.9639594208094801E-6</v>
      </c>
    </row>
    <row r="34745" spans="1:6" x14ac:dyDescent="0.25">
      <c r="A34745" s="2" t="str">
        <f t="shared" si="1204"/>
        <v>99999</v>
      </c>
      <c r="B34745" s="2" t="str">
        <f>"69351"</f>
        <v>69351</v>
      </c>
      <c r="C34745" s="1">
        <v>1.1677783115846399E-5</v>
      </c>
      <c r="D34745" s="1">
        <v>1.51760267340886E-6</v>
      </c>
      <c r="E34745" s="1">
        <v>8.69107991013423E-6</v>
      </c>
      <c r="F34745" s="1">
        <v>1.09433648041291E-5</v>
      </c>
    </row>
    <row r="34746" spans="1:6" x14ac:dyDescent="0.25">
      <c r="A34746" s="2" t="str">
        <f t="shared" si="1204"/>
        <v>99999</v>
      </c>
      <c r="B34746" s="2" t="str">
        <f>"69336"</f>
        <v>69336</v>
      </c>
      <c r="C34746" s="1">
        <v>1.1732352195827E-4</v>
      </c>
      <c r="D34746" s="1">
        <v>9.7126571098167595E-5</v>
      </c>
      <c r="E34746" s="1">
        <v>3.9109859595604001E-5</v>
      </c>
      <c r="F34746" s="1">
        <v>1.14208934501275E-4</v>
      </c>
    </row>
    <row r="34747" spans="1:6" x14ac:dyDescent="0.25">
      <c r="A34747" s="2" t="str">
        <f t="shared" si="1204"/>
        <v>99999</v>
      </c>
      <c r="B34747" s="2" t="str">
        <f>"69211"</f>
        <v>69211</v>
      </c>
      <c r="C34747" s="1">
        <v>2.30281517518093E-5</v>
      </c>
      <c r="D34747" s="1">
        <v>1.8211232080906399E-5</v>
      </c>
      <c r="E34747" s="1">
        <v>4.3455399550671099E-6</v>
      </c>
      <c r="F34747" s="1">
        <v>2.2284670146590302E-5</v>
      </c>
    </row>
    <row r="34748" spans="1:6" x14ac:dyDescent="0.25">
      <c r="A34748" s="2" t="str">
        <f t="shared" si="1204"/>
        <v>99999</v>
      </c>
      <c r="B34748" s="2" t="str">
        <f>"69146"</f>
        <v>69146</v>
      </c>
      <c r="C34748" s="1">
        <v>2.3682980711576399E-5</v>
      </c>
      <c r="D34748" s="1">
        <v>1.0623218713862E-5</v>
      </c>
      <c r="E34748" s="1">
        <v>0</v>
      </c>
      <c r="F34748" s="1">
        <v>2.2284670146590302E-5</v>
      </c>
    </row>
    <row r="34749" spans="1:6" x14ac:dyDescent="0.25">
      <c r="A34749" s="2" t="str">
        <f t="shared" si="1204"/>
        <v>99999</v>
      </c>
      <c r="B34749" s="2" t="str">
        <f>"69144"</f>
        <v>69144</v>
      </c>
      <c r="C34749" s="1">
        <v>1.0040710716428699E-5</v>
      </c>
      <c r="D34749" s="1">
        <v>0</v>
      </c>
      <c r="E34749" s="1">
        <v>0</v>
      </c>
      <c r="F34749" s="1">
        <v>9.1526323816353195E-6</v>
      </c>
    </row>
    <row r="34750" spans="1:6" x14ac:dyDescent="0.25">
      <c r="A34750" s="2" t="str">
        <f t="shared" si="1204"/>
        <v>99999</v>
      </c>
      <c r="B34750" s="2" t="str">
        <f>"69138"</f>
        <v>69138</v>
      </c>
      <c r="C34750" s="1">
        <v>7.7488093572439E-6</v>
      </c>
      <c r="D34750" s="1">
        <v>1.51760267340886E-6</v>
      </c>
      <c r="E34750" s="1">
        <v>0</v>
      </c>
      <c r="F34750" s="1">
        <v>7.1629296899754602E-6</v>
      </c>
    </row>
    <row r="34751" spans="1:6" x14ac:dyDescent="0.25">
      <c r="A34751" s="2" t="str">
        <f t="shared" si="1204"/>
        <v>99999</v>
      </c>
      <c r="B34751" s="2" t="str">
        <f>"69156"</f>
        <v>69156</v>
      </c>
      <c r="C34751" s="1">
        <v>3.7652665186607698E-5</v>
      </c>
      <c r="D34751" s="1">
        <v>3.6422464161812797E-5</v>
      </c>
      <c r="E34751" s="1">
        <v>4.3455399550671099E-6</v>
      </c>
      <c r="F34751" s="1">
        <v>3.68094997957072E-5</v>
      </c>
    </row>
    <row r="34752" spans="1:6" x14ac:dyDescent="0.25">
      <c r="A34752" s="2" t="str">
        <f t="shared" si="1204"/>
        <v>99999</v>
      </c>
      <c r="B34752" s="2" t="str">
        <f>"69150"</f>
        <v>69150</v>
      </c>
      <c r="C34752" s="1">
        <v>2.6302296550644701E-5</v>
      </c>
      <c r="D34752" s="1">
        <v>3.1869656141586203E-5</v>
      </c>
      <c r="E34752" s="1">
        <v>0</v>
      </c>
      <c r="F34752" s="1">
        <v>2.6065105260744001E-5</v>
      </c>
    </row>
    <row r="34753" spans="1:6" x14ac:dyDescent="0.25">
      <c r="A34753" s="2" t="str">
        <f t="shared" si="1204"/>
        <v>99999</v>
      </c>
      <c r="B34753" s="2" t="str">
        <f>"68757"</f>
        <v>68757</v>
      </c>
      <c r="C34753" s="1">
        <v>3.05586847891308E-6</v>
      </c>
      <c r="D34753" s="1">
        <v>1.51760267340886E-6</v>
      </c>
      <c r="E34753" s="1">
        <v>0</v>
      </c>
      <c r="F34753" s="1">
        <v>2.8850689029067799E-6</v>
      </c>
    </row>
    <row r="34754" spans="1:6" x14ac:dyDescent="0.25">
      <c r="A34754" s="2" t="str">
        <f t="shared" si="1204"/>
        <v>99999</v>
      </c>
      <c r="B34754" s="2" t="str">
        <f>"68777"</f>
        <v>68777</v>
      </c>
      <c r="C34754" s="1">
        <v>4.24547442248996E-5</v>
      </c>
      <c r="D34754" s="1">
        <v>1.8211232080906399E-5</v>
      </c>
      <c r="E34754" s="1">
        <v>4.3455399550671099E-6</v>
      </c>
      <c r="F34754" s="1">
        <v>3.9993024102362997E-5</v>
      </c>
    </row>
    <row r="34755" spans="1:6" x14ac:dyDescent="0.25">
      <c r="A34755" s="2" t="str">
        <f t="shared" si="1204"/>
        <v>99999</v>
      </c>
      <c r="B34755" s="2" t="str">
        <f>"68760"</f>
        <v>68760</v>
      </c>
      <c r="C34755" s="1">
        <v>1.02262455883627E-4</v>
      </c>
      <c r="D34755" s="1">
        <v>6.8292120303399095E-5</v>
      </c>
      <c r="E34755" s="1">
        <v>1.6078497833748299E-4</v>
      </c>
      <c r="F34755" s="1">
        <v>1.01375352140069E-4</v>
      </c>
    </row>
    <row r="34756" spans="1:6" x14ac:dyDescent="0.25">
      <c r="A34756" s="2" t="str">
        <f t="shared" si="1204"/>
        <v>99999</v>
      </c>
      <c r="B34756" s="2" t="str">
        <f>"68878"</f>
        <v>68878</v>
      </c>
      <c r="C34756" s="1">
        <v>5.4569079980590801E-7</v>
      </c>
      <c r="D34756" s="1">
        <v>0</v>
      </c>
      <c r="E34756" s="1">
        <v>0</v>
      </c>
      <c r="F34756" s="1">
        <v>4.9742567291496303E-7</v>
      </c>
    </row>
    <row r="34757" spans="1:6" x14ac:dyDescent="0.25">
      <c r="A34757" s="2" t="str">
        <f t="shared" si="1204"/>
        <v>99999</v>
      </c>
      <c r="B34757" s="2" t="str">
        <f>"68929"</f>
        <v>68929</v>
      </c>
      <c r="C34757" s="1">
        <v>1.06955396761958E-5</v>
      </c>
      <c r="D34757" s="1">
        <v>1.51760267340886E-6</v>
      </c>
      <c r="E34757" s="1">
        <v>4.3455399550671099E-6</v>
      </c>
      <c r="F34757" s="1">
        <v>9.9485134582992602E-6</v>
      </c>
    </row>
    <row r="34758" spans="1:6" x14ac:dyDescent="0.25">
      <c r="A34758" s="2" t="str">
        <f t="shared" si="1204"/>
        <v>99999</v>
      </c>
      <c r="B34758" s="2" t="str">
        <f>"68922"</f>
        <v>68922</v>
      </c>
      <c r="C34758" s="1">
        <v>6.84296262956609E-5</v>
      </c>
      <c r="D34758" s="1">
        <v>2.2764040101133E-5</v>
      </c>
      <c r="E34758" s="1">
        <v>4.3455399550671103E-5</v>
      </c>
      <c r="F34758" s="1">
        <v>6.4864307748111196E-5</v>
      </c>
    </row>
    <row r="34759" spans="1:6" x14ac:dyDescent="0.25">
      <c r="A34759" s="2" t="str">
        <f t="shared" si="1204"/>
        <v>99999</v>
      </c>
      <c r="B34759" s="2" t="str">
        <f>"68719"</f>
        <v>68719</v>
      </c>
      <c r="C34759" s="1">
        <v>1.09138159961181E-5</v>
      </c>
      <c r="D34759" s="1">
        <v>3.0352053468177301E-6</v>
      </c>
      <c r="E34759" s="1">
        <v>4.3455399550671099E-6</v>
      </c>
      <c r="F34759" s="1">
        <v>1.02469688620482E-5</v>
      </c>
    </row>
    <row r="34760" spans="1:6" x14ac:dyDescent="0.25">
      <c r="A34760" s="2" t="str">
        <f t="shared" si="1204"/>
        <v>99999</v>
      </c>
      <c r="B34760" s="2" t="str">
        <f>"68727"</f>
        <v>68727</v>
      </c>
      <c r="C34760" s="1">
        <v>4.4419231104200897E-5</v>
      </c>
      <c r="D34760" s="1">
        <v>1.21408213872709E-5</v>
      </c>
      <c r="E34760" s="1">
        <v>3.0418779685469802E-5</v>
      </c>
      <c r="F34760" s="1">
        <v>4.1982726794022798E-5</v>
      </c>
    </row>
    <row r="34761" spans="1:6" x14ac:dyDescent="0.25">
      <c r="A34761" s="2" t="str">
        <f t="shared" si="1204"/>
        <v>99999</v>
      </c>
      <c r="B34761" s="2" t="str">
        <f>"68724"</f>
        <v>68724</v>
      </c>
      <c r="C34761" s="1">
        <v>1.0040710716428699E-5</v>
      </c>
      <c r="D34761" s="1">
        <v>1.9728834754315301E-5</v>
      </c>
      <c r="E34761" s="1">
        <v>1.3036619865201299E-5</v>
      </c>
      <c r="F34761" s="1">
        <v>1.0744394534963201E-5</v>
      </c>
    </row>
    <row r="34762" spans="1:6" x14ac:dyDescent="0.25">
      <c r="A34762" s="2" t="str">
        <f t="shared" si="1204"/>
        <v>99999</v>
      </c>
      <c r="B34762" s="2" t="str">
        <f>"68723"</f>
        <v>68723</v>
      </c>
      <c r="C34762" s="1">
        <v>2.8594197909829602E-5</v>
      </c>
      <c r="D34762" s="1">
        <v>3.0352053468177301E-6</v>
      </c>
      <c r="E34762" s="1">
        <v>8.69107991013423E-6</v>
      </c>
      <c r="F34762" s="1">
        <v>2.6463045799075999E-5</v>
      </c>
    </row>
    <row r="34763" spans="1:6" x14ac:dyDescent="0.25">
      <c r="A34763" s="2" t="str">
        <f t="shared" si="1204"/>
        <v>99999</v>
      </c>
      <c r="B34763" s="2" t="str">
        <f>"68455"</f>
        <v>68455</v>
      </c>
      <c r="C34763" s="1">
        <v>1.7462105593789001E-6</v>
      </c>
      <c r="D34763" s="1">
        <v>1.51760267340886E-6</v>
      </c>
      <c r="E34763" s="1">
        <v>0</v>
      </c>
      <c r="F34763" s="1">
        <v>1.6912472879108699E-6</v>
      </c>
    </row>
    <row r="34764" spans="1:6" x14ac:dyDescent="0.25">
      <c r="A34764" s="2" t="str">
        <f t="shared" si="1204"/>
        <v>99999</v>
      </c>
      <c r="B34764" s="2" t="str">
        <f>"68429"</f>
        <v>68429</v>
      </c>
      <c r="C34764" s="1">
        <v>8.4036383170109905E-6</v>
      </c>
      <c r="D34764" s="1">
        <v>1.21408213872709E-5</v>
      </c>
      <c r="E34764" s="1">
        <v>8.69107991013423E-6</v>
      </c>
      <c r="F34764" s="1">
        <v>8.6552067087203506E-6</v>
      </c>
    </row>
    <row r="34765" spans="1:6" x14ac:dyDescent="0.25">
      <c r="A34765" s="2" t="str">
        <f t="shared" si="1204"/>
        <v>99999</v>
      </c>
      <c r="B34765" s="2" t="str">
        <f>"68452"</f>
        <v>68452</v>
      </c>
      <c r="C34765" s="1">
        <v>5.3477698380979E-6</v>
      </c>
      <c r="D34765" s="1">
        <v>3.0352053468177301E-6</v>
      </c>
      <c r="E34765" s="1">
        <v>8.69107991013423E-6</v>
      </c>
      <c r="F34765" s="1">
        <v>5.2727121328986002E-6</v>
      </c>
    </row>
    <row r="34766" spans="1:6" x14ac:dyDescent="0.25">
      <c r="A34766" s="2" t="str">
        <f t="shared" si="1204"/>
        <v>99999</v>
      </c>
      <c r="B34766" s="2" t="str">
        <f>"68447"</f>
        <v>68447</v>
      </c>
      <c r="C34766" s="1">
        <v>2.61931583906836E-5</v>
      </c>
      <c r="D34766" s="1">
        <v>1.21408213872709E-5</v>
      </c>
      <c r="E34766" s="1">
        <v>4.3455399550671099E-6</v>
      </c>
      <c r="F34766" s="1">
        <v>2.4771798511165099E-5</v>
      </c>
    </row>
    <row r="34767" spans="1:6" x14ac:dyDescent="0.25">
      <c r="A34767" s="2" t="str">
        <f t="shared" si="1204"/>
        <v>99999</v>
      </c>
      <c r="B34767" s="2" t="str">
        <f>"68446"</f>
        <v>68446</v>
      </c>
      <c r="C34767" s="1">
        <v>1.42097884269458E-4</v>
      </c>
      <c r="D34767" s="1">
        <v>6.9809722976807906E-5</v>
      </c>
      <c r="E34767" s="1">
        <v>8.69107991013423E-5</v>
      </c>
      <c r="F34767" s="1">
        <v>1.36095664109533E-4</v>
      </c>
    </row>
    <row r="34768" spans="1:6" x14ac:dyDescent="0.25">
      <c r="A34768" s="2" t="str">
        <f t="shared" si="1204"/>
        <v>99999</v>
      </c>
      <c r="B34768" s="2" t="str">
        <f>"68443"</f>
        <v>68443</v>
      </c>
      <c r="C34768" s="1">
        <v>4.9985277262221202E-5</v>
      </c>
      <c r="D34768" s="1">
        <v>9.1056160404532095E-6</v>
      </c>
      <c r="E34768" s="1">
        <v>2.1727699775335501E-5</v>
      </c>
      <c r="F34768" s="1">
        <v>4.6658528119423498E-5</v>
      </c>
    </row>
    <row r="34769" spans="1:6" x14ac:dyDescent="0.25">
      <c r="A34769" s="2" t="str">
        <f t="shared" si="1204"/>
        <v>99999</v>
      </c>
      <c r="B34769" s="2" t="str">
        <f>"68440"</f>
        <v>68440</v>
      </c>
      <c r="C34769" s="1">
        <v>1.0586401516234599E-5</v>
      </c>
      <c r="D34769" s="1">
        <v>2.5799245447950699E-5</v>
      </c>
      <c r="E34769" s="1">
        <v>0</v>
      </c>
      <c r="F34769" s="1">
        <v>1.13413053424611E-5</v>
      </c>
    </row>
    <row r="34770" spans="1:6" x14ac:dyDescent="0.25">
      <c r="A34770" s="2" t="str">
        <f t="shared" ref="A34770:A34833" si="1205">"99999"</f>
        <v>99999</v>
      </c>
      <c r="B34770" s="2" t="str">
        <f>"68431"</f>
        <v>68431</v>
      </c>
      <c r="C34770" s="1">
        <v>1.8007796393594899E-5</v>
      </c>
      <c r="D34770" s="1">
        <v>4.5528080202265997E-6</v>
      </c>
      <c r="E34770" s="1">
        <v>4.3455399550671099E-6</v>
      </c>
      <c r="F34770" s="1">
        <v>1.6812987744525699E-5</v>
      </c>
    </row>
    <row r="34771" spans="1:6" x14ac:dyDescent="0.25">
      <c r="A34771" s="2" t="str">
        <f t="shared" si="1205"/>
        <v>99999</v>
      </c>
      <c r="B34771" s="2" t="str">
        <f>"68413"</f>
        <v>68413</v>
      </c>
      <c r="C34771" s="1">
        <v>1.9644868793012701E-6</v>
      </c>
      <c r="D34771" s="1">
        <v>0</v>
      </c>
      <c r="E34771" s="1">
        <v>0</v>
      </c>
      <c r="F34771" s="1">
        <v>1.79073242249386E-6</v>
      </c>
    </row>
    <row r="34772" spans="1:6" x14ac:dyDescent="0.25">
      <c r="A34772" s="2" t="str">
        <f t="shared" si="1205"/>
        <v>99999</v>
      </c>
      <c r="B34772" s="2" t="str">
        <f>"68378"</f>
        <v>68378</v>
      </c>
      <c r="C34772" s="1">
        <v>3.7216112546762902E-5</v>
      </c>
      <c r="D34772" s="1">
        <v>3.0352053468177301E-6</v>
      </c>
      <c r="E34772" s="1">
        <v>4.3455399550671099E-6</v>
      </c>
      <c r="F34772" s="1">
        <v>3.4222886296549402E-5</v>
      </c>
    </row>
    <row r="34773" spans="1:6" x14ac:dyDescent="0.25">
      <c r="A34773" s="2" t="str">
        <f t="shared" si="1205"/>
        <v>99999</v>
      </c>
      <c r="B34773" s="2" t="str">
        <f>"68346"</f>
        <v>68346</v>
      </c>
      <c r="C34773" s="1">
        <v>2.30281517518093E-5</v>
      </c>
      <c r="D34773" s="1">
        <v>9.1056160404532095E-6</v>
      </c>
      <c r="E34773" s="1">
        <v>0</v>
      </c>
      <c r="F34773" s="1">
        <v>2.15882742045094E-5</v>
      </c>
    </row>
    <row r="34774" spans="1:6" x14ac:dyDescent="0.25">
      <c r="A34774" s="2" t="str">
        <f t="shared" si="1205"/>
        <v>99999</v>
      </c>
      <c r="B34774" s="2" t="str">
        <f>"68359"</f>
        <v>68359</v>
      </c>
      <c r="C34774" s="1">
        <v>7.1485494774573997E-5</v>
      </c>
      <c r="D34774" s="1">
        <v>1.12302597832256E-4</v>
      </c>
      <c r="E34774" s="1">
        <v>3.47643196405369E-5</v>
      </c>
      <c r="F34774" s="1">
        <v>7.3320544187665493E-5</v>
      </c>
    </row>
    <row r="34775" spans="1:6" x14ac:dyDescent="0.25">
      <c r="A34775" s="2" t="str">
        <f t="shared" si="1205"/>
        <v>99999</v>
      </c>
      <c r="B34775" s="2" t="str">
        <f>"68355"</f>
        <v>68355</v>
      </c>
      <c r="C34775" s="1">
        <v>2.81576452699848E-4</v>
      </c>
      <c r="D34775" s="1">
        <v>4.76527239450385E-4</v>
      </c>
      <c r="E34775" s="1">
        <v>3.34606576540167E-4</v>
      </c>
      <c r="F34775" s="1">
        <v>2.95570334846071E-4</v>
      </c>
    </row>
    <row r="34776" spans="1:6" x14ac:dyDescent="0.25">
      <c r="A34776" s="2" t="str">
        <f t="shared" si="1205"/>
        <v>99999</v>
      </c>
      <c r="B34776" s="2" t="str">
        <f>"68351"</f>
        <v>68351</v>
      </c>
      <c r="C34776" s="1">
        <v>4.5183198223929198E-5</v>
      </c>
      <c r="D34776" s="1">
        <v>5.15984908959015E-5</v>
      </c>
      <c r="E34776" s="1">
        <v>1.3036619865201299E-5</v>
      </c>
      <c r="F34776" s="1">
        <v>4.4867795696929599E-5</v>
      </c>
    </row>
    <row r="34777" spans="1:6" x14ac:dyDescent="0.25">
      <c r="A34777" s="2" t="str">
        <f t="shared" si="1205"/>
        <v>99999</v>
      </c>
      <c r="B34777" s="2" t="str">
        <f>"68343"</f>
        <v>68343</v>
      </c>
      <c r="C34777" s="1">
        <v>5.2058902301483599E-5</v>
      </c>
      <c r="D34777" s="1">
        <v>3.0352053468177301E-6</v>
      </c>
      <c r="E34777" s="1">
        <v>1.3036619865201299E-5</v>
      </c>
      <c r="F34777" s="1">
        <v>4.7951834869002397E-5</v>
      </c>
    </row>
    <row r="34778" spans="1:6" x14ac:dyDescent="0.25">
      <c r="A34778" s="2" t="str">
        <f t="shared" si="1205"/>
        <v>99999</v>
      </c>
      <c r="B34778" s="2" t="str">
        <f>"68341"</f>
        <v>68341</v>
      </c>
      <c r="C34778" s="1">
        <v>4.2018191585054898E-5</v>
      </c>
      <c r="D34778" s="1">
        <v>7.5880133670443404E-6</v>
      </c>
      <c r="E34778" s="1">
        <v>1.7382159820268399E-5</v>
      </c>
      <c r="F34778" s="1">
        <v>3.9197143025699002E-5</v>
      </c>
    </row>
    <row r="34779" spans="1:6" x14ac:dyDescent="0.25">
      <c r="A34779" s="2" t="str">
        <f t="shared" si="1205"/>
        <v>99999</v>
      </c>
      <c r="B34779" s="2" t="str">
        <f>"68628"</f>
        <v>68628</v>
      </c>
      <c r="C34779" s="1">
        <v>5.7843224779426299E-6</v>
      </c>
      <c r="D34779" s="1">
        <v>0</v>
      </c>
      <c r="E34779" s="1">
        <v>0</v>
      </c>
      <c r="F34779" s="1">
        <v>5.2727121328986002E-6</v>
      </c>
    </row>
    <row r="34780" spans="1:6" x14ac:dyDescent="0.25">
      <c r="A34780" s="2" t="str">
        <f t="shared" si="1205"/>
        <v>99999</v>
      </c>
      <c r="B34780" s="2" t="str">
        <f>"68658"</f>
        <v>68658</v>
      </c>
      <c r="C34780" s="1">
        <v>3.6670421746956999E-5</v>
      </c>
      <c r="D34780" s="1">
        <v>6.0704106936354696E-6</v>
      </c>
      <c r="E34780" s="1">
        <v>8.69107991013423E-6</v>
      </c>
      <c r="F34780" s="1">
        <v>3.4023916027383398E-5</v>
      </c>
    </row>
    <row r="34781" spans="1:6" x14ac:dyDescent="0.25">
      <c r="A34781" s="2" t="str">
        <f t="shared" si="1205"/>
        <v>99999</v>
      </c>
      <c r="B34781" s="2" t="str">
        <f>"68624"</f>
        <v>68624</v>
      </c>
      <c r="C34781" s="1">
        <v>5.5223908940357899E-5</v>
      </c>
      <c r="D34781" s="1">
        <v>3.6422464161812797E-5</v>
      </c>
      <c r="E34781" s="1">
        <v>7.8219719191208097E-5</v>
      </c>
      <c r="F34781" s="1">
        <v>5.4517853751479899E-5</v>
      </c>
    </row>
    <row r="34782" spans="1:6" x14ac:dyDescent="0.25">
      <c r="A34782" s="2" t="str">
        <f t="shared" si="1205"/>
        <v>99999</v>
      </c>
      <c r="B34782" s="2" t="str">
        <f>"68620"</f>
        <v>68620</v>
      </c>
      <c r="C34782" s="1">
        <v>1.5966912802320801E-4</v>
      </c>
      <c r="D34782" s="1">
        <v>3.1717895874245299E-4</v>
      </c>
      <c r="E34782" s="1">
        <v>2.2162253770842199E-4</v>
      </c>
      <c r="F34782" s="1">
        <v>1.7141288688649601E-4</v>
      </c>
    </row>
    <row r="34783" spans="1:6" x14ac:dyDescent="0.25">
      <c r="A34783" s="2" t="str">
        <f t="shared" si="1205"/>
        <v>99999</v>
      </c>
      <c r="B34783" s="2" t="str">
        <f>"68601"</f>
        <v>68601</v>
      </c>
      <c r="C34783" s="1">
        <v>6.2208751177873496E-5</v>
      </c>
      <c r="D34783" s="1">
        <v>3.4904861488403899E-5</v>
      </c>
      <c r="E34783" s="1">
        <v>3.47643196405369E-5</v>
      </c>
      <c r="F34783" s="1">
        <v>5.9790565884378502E-5</v>
      </c>
    </row>
    <row r="34784" spans="1:6" x14ac:dyDescent="0.25">
      <c r="A34784" s="2" t="str">
        <f t="shared" si="1205"/>
        <v>99999</v>
      </c>
      <c r="B34784" s="2" t="str">
        <f>"68320"</f>
        <v>68320</v>
      </c>
      <c r="C34784" s="1">
        <v>1.9535730633051498E-5</v>
      </c>
      <c r="D34784" s="1">
        <v>3.0352053468177301E-6</v>
      </c>
      <c r="E34784" s="1">
        <v>8.69107991013423E-6</v>
      </c>
      <c r="F34784" s="1">
        <v>1.82057796286876E-5</v>
      </c>
    </row>
    <row r="34785" spans="1:6" x14ac:dyDescent="0.25">
      <c r="A34785" s="2" t="str">
        <f t="shared" si="1205"/>
        <v>99999</v>
      </c>
      <c r="B34785" s="2" t="str">
        <f>"68310"</f>
        <v>68310</v>
      </c>
      <c r="C34785" s="1">
        <v>2.1827631992236301E-7</v>
      </c>
      <c r="D34785" s="1">
        <v>0</v>
      </c>
      <c r="E34785" s="1">
        <v>0</v>
      </c>
      <c r="F34785" s="1">
        <v>1.9897026916598501E-7</v>
      </c>
    </row>
    <row r="34786" spans="1:6" x14ac:dyDescent="0.25">
      <c r="A34786" s="2" t="str">
        <f t="shared" si="1205"/>
        <v>99999</v>
      </c>
      <c r="B34786" s="2" t="str">
        <f>"67863"</f>
        <v>67863</v>
      </c>
      <c r="C34786" s="1">
        <v>1.9863145112935E-5</v>
      </c>
      <c r="D34786" s="1">
        <v>1.0623218713862E-5</v>
      </c>
      <c r="E34786" s="1">
        <v>3.0418779685469802E-5</v>
      </c>
      <c r="F34786" s="1">
        <v>1.9499086378266499E-5</v>
      </c>
    </row>
    <row r="34787" spans="1:6" x14ac:dyDescent="0.25">
      <c r="A34787" s="2" t="str">
        <f t="shared" si="1205"/>
        <v>99999</v>
      </c>
      <c r="B34787" s="2" t="str">
        <f>"67865"</f>
        <v>67865</v>
      </c>
      <c r="C34787" s="1">
        <v>3.9398875745986597E-5</v>
      </c>
      <c r="D34787" s="1">
        <v>9.1056160404532095E-6</v>
      </c>
      <c r="E34787" s="1">
        <v>4.7800939505738197E-5</v>
      </c>
      <c r="F34787" s="1">
        <v>3.7605380872371202E-5</v>
      </c>
    </row>
    <row r="34788" spans="1:6" x14ac:dyDescent="0.25">
      <c r="A34788" s="2" t="str">
        <f t="shared" si="1205"/>
        <v>99999</v>
      </c>
      <c r="B34788" s="2" t="str">
        <f>"67862"</f>
        <v>67862</v>
      </c>
      <c r="C34788" s="1">
        <v>1.23326120756135E-5</v>
      </c>
      <c r="D34788" s="1">
        <v>6.0704106936354696E-6</v>
      </c>
      <c r="E34788" s="1">
        <v>8.69107991013423E-6</v>
      </c>
      <c r="F34788" s="1">
        <v>1.18387310153761E-5</v>
      </c>
    </row>
    <row r="34789" spans="1:6" x14ac:dyDescent="0.25">
      <c r="A34789" s="2" t="str">
        <f t="shared" si="1205"/>
        <v>99999</v>
      </c>
      <c r="B34789" s="2" t="str">
        <f>"67751"</f>
        <v>67751</v>
      </c>
      <c r="C34789" s="1">
        <v>1.4842789754720701E-5</v>
      </c>
      <c r="D34789" s="1">
        <v>1.9728834754315301E-5</v>
      </c>
      <c r="E34789" s="1">
        <v>8.69107991013423E-6</v>
      </c>
      <c r="F34789" s="1">
        <v>1.50222553220318E-5</v>
      </c>
    </row>
    <row r="34790" spans="1:6" x14ac:dyDescent="0.25">
      <c r="A34790" s="2" t="str">
        <f t="shared" si="1205"/>
        <v>99999</v>
      </c>
      <c r="B34790" s="2" t="str">
        <f>"67834"</f>
        <v>67834</v>
      </c>
      <c r="C34790" s="1">
        <v>5.4569079980590801E-7</v>
      </c>
      <c r="D34790" s="1">
        <v>0</v>
      </c>
      <c r="E34790" s="1">
        <v>0</v>
      </c>
      <c r="F34790" s="1">
        <v>4.9742567291496303E-7</v>
      </c>
    </row>
    <row r="34791" spans="1:6" x14ac:dyDescent="0.25">
      <c r="A34791" s="2" t="str">
        <f t="shared" si="1205"/>
        <v>99999</v>
      </c>
      <c r="B34791" s="2" t="str">
        <f>"67747"</f>
        <v>67747</v>
      </c>
      <c r="C34791" s="1">
        <v>9.6041580765839897E-6</v>
      </c>
      <c r="D34791" s="1">
        <v>6.0704106936354696E-6</v>
      </c>
      <c r="E34791" s="1">
        <v>1.7382159820268399E-5</v>
      </c>
      <c r="F34791" s="1">
        <v>9.5505729199672898E-6</v>
      </c>
    </row>
    <row r="34792" spans="1:6" x14ac:dyDescent="0.25">
      <c r="A34792" s="2" t="str">
        <f t="shared" si="1205"/>
        <v>99999</v>
      </c>
      <c r="B34792" s="2" t="str">
        <f>"67758"</f>
        <v>67758</v>
      </c>
      <c r="C34792" s="1">
        <v>5.0749244381949503E-5</v>
      </c>
      <c r="D34792" s="1">
        <v>4.4010477528857203E-5</v>
      </c>
      <c r="E34792" s="1">
        <v>3.47643196405369E-5</v>
      </c>
      <c r="F34792" s="1">
        <v>4.99415375606623E-5</v>
      </c>
    </row>
    <row r="34793" spans="1:6" x14ac:dyDescent="0.25">
      <c r="A34793" s="2" t="str">
        <f t="shared" si="1205"/>
        <v>99999</v>
      </c>
      <c r="B34793" s="2" t="str">
        <f>"67756"</f>
        <v>67756</v>
      </c>
      <c r="C34793" s="1">
        <v>1.2332612075613501E-4</v>
      </c>
      <c r="D34793" s="1">
        <v>9.7126571098167595E-5</v>
      </c>
      <c r="E34793" s="1">
        <v>1.17329578786812E-4</v>
      </c>
      <c r="F34793" s="1">
        <v>1.21471349325834E-4</v>
      </c>
    </row>
    <row r="34794" spans="1:6" x14ac:dyDescent="0.25">
      <c r="A34794" s="2" t="str">
        <f t="shared" si="1205"/>
        <v>99999</v>
      </c>
      <c r="B34794" s="2" t="str">
        <f>"67752"</f>
        <v>67752</v>
      </c>
      <c r="C34794" s="1">
        <v>7.4541363253487094E-5</v>
      </c>
      <c r="D34794" s="1">
        <v>1.00161776444985E-4</v>
      </c>
      <c r="E34794" s="1">
        <v>5.6492019415872502E-5</v>
      </c>
      <c r="F34794" s="1">
        <v>7.58076725522403E-5</v>
      </c>
    </row>
    <row r="34795" spans="1:6" x14ac:dyDescent="0.25">
      <c r="A34795" s="2" t="str">
        <f t="shared" si="1205"/>
        <v>99999</v>
      </c>
      <c r="B34795" s="2" t="str">
        <f>"67355"</f>
        <v>67355</v>
      </c>
      <c r="C34795" s="1">
        <v>1.47336515947595E-5</v>
      </c>
      <c r="D34795" s="1">
        <v>1.51760267340886E-6</v>
      </c>
      <c r="E34795" s="1">
        <v>8.69107991013423E-6</v>
      </c>
      <c r="F34795" s="1">
        <v>1.37289485724529E-5</v>
      </c>
    </row>
    <row r="34796" spans="1:6" x14ac:dyDescent="0.25">
      <c r="A34796" s="2" t="str">
        <f t="shared" si="1205"/>
        <v>99999</v>
      </c>
      <c r="B34796" s="2" t="str">
        <f>"67352"</f>
        <v>67352</v>
      </c>
      <c r="C34796" s="1">
        <v>3.5142487507500497E-5</v>
      </c>
      <c r="D34796" s="1">
        <v>6.0704106936354696E-6</v>
      </c>
      <c r="E34796" s="1">
        <v>2.1727699775335501E-5</v>
      </c>
      <c r="F34796" s="1">
        <v>3.2929579546970502E-5</v>
      </c>
    </row>
    <row r="34797" spans="1:6" x14ac:dyDescent="0.25">
      <c r="A34797" s="2" t="str">
        <f t="shared" si="1205"/>
        <v>99999</v>
      </c>
      <c r="B34797" s="2" t="str">
        <f>"67341"</f>
        <v>67341</v>
      </c>
      <c r="C34797" s="1">
        <v>1.09138159961181E-7</v>
      </c>
      <c r="D34797" s="1">
        <v>0</v>
      </c>
      <c r="E34797" s="1">
        <v>0</v>
      </c>
      <c r="F34797" s="1">
        <v>9.9485134582992598E-8</v>
      </c>
    </row>
    <row r="34798" spans="1:6" x14ac:dyDescent="0.25">
      <c r="A34798" s="2" t="str">
        <f t="shared" si="1205"/>
        <v>99999</v>
      </c>
      <c r="B34798" s="2" t="str">
        <f>"67658"</f>
        <v>67658</v>
      </c>
      <c r="C34798" s="1">
        <v>3.8198355986413598E-6</v>
      </c>
      <c r="D34798" s="1">
        <v>0</v>
      </c>
      <c r="E34798" s="1">
        <v>4.3455399550671099E-6</v>
      </c>
      <c r="F34798" s="1">
        <v>3.5814648449877301E-6</v>
      </c>
    </row>
    <row r="34799" spans="1:6" x14ac:dyDescent="0.25">
      <c r="A34799" s="2" t="str">
        <f t="shared" si="1205"/>
        <v>99999</v>
      </c>
      <c r="B34799" s="2" t="str">
        <f>"67625"</f>
        <v>67625</v>
      </c>
      <c r="C34799" s="1">
        <v>1.8990039833245598E-5</v>
      </c>
      <c r="D34799" s="1">
        <v>1.5176026734088599E-5</v>
      </c>
      <c r="E34799" s="1">
        <v>1.3036619865201299E-5</v>
      </c>
      <c r="F34799" s="1">
        <v>1.8603720167019601E-5</v>
      </c>
    </row>
    <row r="34800" spans="1:6" x14ac:dyDescent="0.25">
      <c r="A34800" s="2" t="str">
        <f t="shared" si="1205"/>
        <v>99999</v>
      </c>
      <c r="B34800" s="2" t="str">
        <f>"67734"</f>
        <v>67734</v>
      </c>
      <c r="C34800" s="1">
        <v>1.06955396761958E-5</v>
      </c>
      <c r="D34800" s="1">
        <v>1.21408213872709E-5</v>
      </c>
      <c r="E34800" s="1">
        <v>1.3036619865201299E-5</v>
      </c>
      <c r="F34800" s="1">
        <v>1.0843879669546099E-5</v>
      </c>
    </row>
    <row r="34801" spans="1:6" x14ac:dyDescent="0.25">
      <c r="A34801" s="2" t="str">
        <f t="shared" si="1205"/>
        <v>99999</v>
      </c>
      <c r="B34801" s="2" t="str">
        <f>"67664"</f>
        <v>67664</v>
      </c>
      <c r="C34801" s="1">
        <v>1.6479862154138401E-5</v>
      </c>
      <c r="D34801" s="1">
        <v>6.0704106936354696E-6</v>
      </c>
      <c r="E34801" s="1">
        <v>4.3455399550671099E-6</v>
      </c>
      <c r="F34801" s="1">
        <v>1.5519680994946799E-5</v>
      </c>
    </row>
    <row r="34802" spans="1:6" x14ac:dyDescent="0.25">
      <c r="A34802" s="2" t="str">
        <f t="shared" si="1205"/>
        <v>99999</v>
      </c>
      <c r="B34802" s="2" t="str">
        <f>"67626"</f>
        <v>67626</v>
      </c>
      <c r="C34802" s="1">
        <v>5.8934606379038102E-6</v>
      </c>
      <c r="D34802" s="1">
        <v>7.5880133670443404E-6</v>
      </c>
      <c r="E34802" s="1">
        <v>4.3455399550671099E-6</v>
      </c>
      <c r="F34802" s="1">
        <v>5.96910807497955E-6</v>
      </c>
    </row>
    <row r="34803" spans="1:6" x14ac:dyDescent="0.25">
      <c r="A34803" s="2" t="str">
        <f t="shared" si="1205"/>
        <v>99999</v>
      </c>
      <c r="B34803" s="2" t="str">
        <f>"67623"</f>
        <v>67623</v>
      </c>
      <c r="C34803" s="1">
        <v>1.8662625353362001E-5</v>
      </c>
      <c r="D34803" s="1">
        <v>3.0352053468177301E-5</v>
      </c>
      <c r="E34803" s="1">
        <v>0</v>
      </c>
      <c r="F34803" s="1">
        <v>1.90016607053515E-5</v>
      </c>
    </row>
    <row r="34804" spans="1:6" x14ac:dyDescent="0.25">
      <c r="A34804" s="2" t="str">
        <f t="shared" si="1205"/>
        <v>99999</v>
      </c>
      <c r="B34804" s="2" t="str">
        <f>"67621"</f>
        <v>67621</v>
      </c>
      <c r="C34804" s="1">
        <v>1.9644868793012701E-5</v>
      </c>
      <c r="D34804" s="1">
        <v>1.3658424060679801E-5</v>
      </c>
      <c r="E34804" s="1">
        <v>8.69107991013423E-6</v>
      </c>
      <c r="F34804" s="1">
        <v>1.90016607053515E-5</v>
      </c>
    </row>
    <row r="34805" spans="1:6" x14ac:dyDescent="0.25">
      <c r="A34805" s="2" t="str">
        <f t="shared" si="1205"/>
        <v>99999</v>
      </c>
      <c r="B34805" s="2" t="str">
        <f>"67515"</f>
        <v>67515</v>
      </c>
      <c r="C34805" s="1">
        <v>2.6193158390683598E-6</v>
      </c>
      <c r="D34805" s="1">
        <v>4.5528080202265997E-6</v>
      </c>
      <c r="E34805" s="1">
        <v>4.3455399550671099E-6</v>
      </c>
      <c r="F34805" s="1">
        <v>2.7855837683237898E-6</v>
      </c>
    </row>
    <row r="34806" spans="1:6" x14ac:dyDescent="0.25">
      <c r="A34806" s="2" t="str">
        <f t="shared" si="1205"/>
        <v>99999</v>
      </c>
      <c r="B34806" s="2" t="str">
        <f>"67523"</f>
        <v>67523</v>
      </c>
      <c r="C34806" s="1">
        <v>2.02996977527798E-5</v>
      </c>
      <c r="D34806" s="1">
        <v>1.66936294074975E-5</v>
      </c>
      <c r="E34806" s="1">
        <v>4.3455399550671099E-6</v>
      </c>
      <c r="F34806" s="1">
        <v>1.96980566474325E-5</v>
      </c>
    </row>
    <row r="34807" spans="1:6" x14ac:dyDescent="0.25">
      <c r="A34807" s="2" t="str">
        <f t="shared" si="1205"/>
        <v>99999</v>
      </c>
      <c r="B34807" s="2" t="str">
        <f>"67511"</f>
        <v>67511</v>
      </c>
      <c r="C34807" s="1">
        <v>5.3477698380979E-6</v>
      </c>
      <c r="D34807" s="1">
        <v>3.0352053468177301E-6</v>
      </c>
      <c r="E34807" s="1">
        <v>4.3455399550671099E-6</v>
      </c>
      <c r="F34807" s="1">
        <v>5.1732269983156102E-6</v>
      </c>
    </row>
    <row r="34808" spans="1:6" x14ac:dyDescent="0.25">
      <c r="A34808" s="2" t="str">
        <f t="shared" si="1205"/>
        <v>99999</v>
      </c>
      <c r="B34808" s="2" t="str">
        <f>"67458"</f>
        <v>67458</v>
      </c>
      <c r="C34808" s="1">
        <v>1.30965791953418E-5</v>
      </c>
      <c r="D34808" s="1">
        <v>1.51760267340886E-6</v>
      </c>
      <c r="E34808" s="1">
        <v>4.3455399550671099E-6</v>
      </c>
      <c r="F34808" s="1">
        <v>1.21371864191251E-5</v>
      </c>
    </row>
    <row r="34809" spans="1:6" x14ac:dyDescent="0.25">
      <c r="A34809" s="2" t="str">
        <f t="shared" si="1205"/>
        <v>99999</v>
      </c>
      <c r="B34809" s="2" t="str">
        <f>"67491"</f>
        <v>67491</v>
      </c>
      <c r="C34809" s="1">
        <v>2.2919013591848099E-6</v>
      </c>
      <c r="D34809" s="1">
        <v>0</v>
      </c>
      <c r="E34809" s="1">
        <v>0</v>
      </c>
      <c r="F34809" s="1">
        <v>2.08918782624284E-6</v>
      </c>
    </row>
    <row r="34810" spans="1:6" x14ac:dyDescent="0.25">
      <c r="A34810" s="2" t="str">
        <f t="shared" si="1205"/>
        <v>99999</v>
      </c>
      <c r="B34810" s="2" t="str">
        <f>"67423"</f>
        <v>67423</v>
      </c>
      <c r="C34810" s="1">
        <v>1.6698138474060799E-5</v>
      </c>
      <c r="D34810" s="1">
        <v>6.0704106936354696E-6</v>
      </c>
      <c r="E34810" s="1">
        <v>4.3455399550671099E-6</v>
      </c>
      <c r="F34810" s="1">
        <v>1.57186512641128E-5</v>
      </c>
    </row>
    <row r="34811" spans="1:6" x14ac:dyDescent="0.25">
      <c r="A34811" s="2" t="str">
        <f t="shared" si="1205"/>
        <v>99999</v>
      </c>
      <c r="B34811" s="2" t="str">
        <f>"67487"</f>
        <v>67487</v>
      </c>
      <c r="C34811" s="1">
        <v>6.5482895976708998E-5</v>
      </c>
      <c r="D34811" s="1">
        <v>2.5799245447950699E-5</v>
      </c>
      <c r="E34811" s="1">
        <v>8.2565259146275205E-5</v>
      </c>
      <c r="F34811" s="1">
        <v>6.3272545594783301E-5</v>
      </c>
    </row>
    <row r="34812" spans="1:6" x14ac:dyDescent="0.25">
      <c r="A34812" s="2" t="str">
        <f t="shared" si="1205"/>
        <v>99999</v>
      </c>
      <c r="B34812" s="2" t="str">
        <f>"67466"</f>
        <v>67466</v>
      </c>
      <c r="C34812" s="1">
        <v>3.96171520659089E-5</v>
      </c>
      <c r="D34812" s="1">
        <v>1.21408213872709E-5</v>
      </c>
      <c r="E34812" s="1">
        <v>8.69107991013423E-6</v>
      </c>
      <c r="F34812" s="1">
        <v>3.7107955199456203E-5</v>
      </c>
    </row>
    <row r="34813" spans="1:6" x14ac:dyDescent="0.25">
      <c r="A34813" s="2" t="str">
        <f t="shared" si="1205"/>
        <v>99999</v>
      </c>
      <c r="B34813" s="2" t="str">
        <f>"67431"</f>
        <v>67431</v>
      </c>
      <c r="C34813" s="1">
        <v>1.1077523236059901E-4</v>
      </c>
      <c r="D34813" s="1">
        <v>2.88344507947685E-5</v>
      </c>
      <c r="E34813" s="1">
        <v>4.7800939505738197E-5</v>
      </c>
      <c r="F34813" s="1">
        <v>1.03961965639227E-4</v>
      </c>
    </row>
    <row r="34814" spans="1:6" x14ac:dyDescent="0.25">
      <c r="A34814" s="2" t="str">
        <f t="shared" si="1205"/>
        <v>99999</v>
      </c>
      <c r="B34814" s="2" t="str">
        <f>"66932"</f>
        <v>66932</v>
      </c>
      <c r="C34814" s="1">
        <v>8.8401909568557204E-6</v>
      </c>
      <c r="D34814" s="1">
        <v>6.0704106936354696E-6</v>
      </c>
      <c r="E34814" s="1">
        <v>4.3455399550671099E-6</v>
      </c>
      <c r="F34814" s="1">
        <v>8.5557215741373606E-6</v>
      </c>
    </row>
    <row r="34815" spans="1:6" x14ac:dyDescent="0.25">
      <c r="A34815" s="2" t="str">
        <f t="shared" si="1205"/>
        <v>99999</v>
      </c>
      <c r="B34815" s="2" t="str">
        <f>"66953"</f>
        <v>66953</v>
      </c>
      <c r="C34815" s="1">
        <v>3.20866190285874E-5</v>
      </c>
      <c r="D34815" s="1">
        <v>5.15984908959015E-5</v>
      </c>
      <c r="E34815" s="1">
        <v>2.1727699775335501E-5</v>
      </c>
      <c r="F34815" s="1">
        <v>3.3128549816136499E-5</v>
      </c>
    </row>
    <row r="34816" spans="1:6" x14ac:dyDescent="0.25">
      <c r="A34816" s="2" t="str">
        <f t="shared" si="1205"/>
        <v>99999</v>
      </c>
      <c r="B34816" s="2" t="str">
        <f>"66864"</f>
        <v>66864</v>
      </c>
      <c r="C34816" s="1">
        <v>2.5101776791071799E-6</v>
      </c>
      <c r="D34816" s="1">
        <v>1.51760267340886E-6</v>
      </c>
      <c r="E34816" s="1">
        <v>0</v>
      </c>
      <c r="F34816" s="1">
        <v>2.3876432299918199E-6</v>
      </c>
    </row>
    <row r="34817" spans="1:6" x14ac:dyDescent="0.25">
      <c r="A34817" s="2" t="str">
        <f t="shared" si="1205"/>
        <v>99999</v>
      </c>
      <c r="B34817" s="2" t="str">
        <f>"66959"</f>
        <v>66959</v>
      </c>
      <c r="C34817" s="1">
        <v>1.49519279146818E-5</v>
      </c>
      <c r="D34817" s="1">
        <v>0</v>
      </c>
      <c r="E34817" s="1">
        <v>1.3036619865201299E-5</v>
      </c>
      <c r="F34817" s="1">
        <v>1.3927918841618899E-5</v>
      </c>
    </row>
    <row r="34818" spans="1:6" x14ac:dyDescent="0.25">
      <c r="A34818" s="2" t="str">
        <f t="shared" si="1205"/>
        <v>99999</v>
      </c>
      <c r="B34818" s="2" t="str">
        <f>"67065"</f>
        <v>67065</v>
      </c>
      <c r="C34818" s="1">
        <v>1.386054631507E-5</v>
      </c>
      <c r="D34818" s="1">
        <v>7.5880133670443404E-6</v>
      </c>
      <c r="E34818" s="1">
        <v>8.69107991013423E-6</v>
      </c>
      <c r="F34818" s="1">
        <v>1.3331008034121E-5</v>
      </c>
    </row>
    <row r="34819" spans="1:6" x14ac:dyDescent="0.25">
      <c r="A34819" s="2" t="str">
        <f t="shared" si="1205"/>
        <v>99999</v>
      </c>
      <c r="B34819" s="2" t="str">
        <f>"67155"</f>
        <v>67155</v>
      </c>
      <c r="C34819" s="1">
        <v>9.9315725564675307E-6</v>
      </c>
      <c r="D34819" s="1">
        <v>0</v>
      </c>
      <c r="E34819" s="1">
        <v>4.3455399550671099E-6</v>
      </c>
      <c r="F34819" s="1">
        <v>9.1526323816353195E-6</v>
      </c>
    </row>
    <row r="34820" spans="1:6" x14ac:dyDescent="0.25">
      <c r="A34820" s="2" t="str">
        <f t="shared" si="1205"/>
        <v>99999</v>
      </c>
      <c r="B34820" s="2" t="str">
        <f>"67124"</f>
        <v>67124</v>
      </c>
      <c r="C34820" s="1">
        <v>4.3960850832363999E-4</v>
      </c>
      <c r="D34820" s="1">
        <v>8.1495263562056202E-4</v>
      </c>
      <c r="E34820" s="1">
        <v>5.43192494383389E-4</v>
      </c>
      <c r="F34820" s="1">
        <v>4.6658528119423499E-4</v>
      </c>
    </row>
    <row r="34821" spans="1:6" x14ac:dyDescent="0.25">
      <c r="A34821" s="2" t="str">
        <f t="shared" si="1205"/>
        <v>99999</v>
      </c>
      <c r="B34821" s="2" t="str">
        <f>"66834"</f>
        <v>66834</v>
      </c>
      <c r="C34821" s="1">
        <v>4.9112171982531701E-6</v>
      </c>
      <c r="D34821" s="1">
        <v>1.51760267340886E-6</v>
      </c>
      <c r="E34821" s="1">
        <v>0</v>
      </c>
      <c r="F34821" s="1">
        <v>4.5763161908176597E-6</v>
      </c>
    </row>
    <row r="34822" spans="1:6" x14ac:dyDescent="0.25">
      <c r="A34822" s="2" t="str">
        <f t="shared" si="1205"/>
        <v>99999</v>
      </c>
      <c r="B34822" s="2" t="str">
        <f>"66775"</f>
        <v>66775</v>
      </c>
      <c r="C34822" s="1">
        <v>9.2767435967004401E-6</v>
      </c>
      <c r="D34822" s="1">
        <v>4.5528080202265997E-6</v>
      </c>
      <c r="E34822" s="1">
        <v>4.3455399550671099E-6</v>
      </c>
      <c r="F34822" s="1">
        <v>8.8541769778863392E-6</v>
      </c>
    </row>
    <row r="34823" spans="1:6" x14ac:dyDescent="0.25">
      <c r="A34823" s="2" t="str">
        <f t="shared" si="1205"/>
        <v>99999</v>
      </c>
      <c r="B34823" s="2" t="str">
        <f>"66776"</f>
        <v>66776</v>
      </c>
      <c r="C34823" s="1">
        <v>5.7079257659698001E-5</v>
      </c>
      <c r="D34823" s="1">
        <v>2.2764040101133E-5</v>
      </c>
      <c r="E34823" s="1">
        <v>4.3455399550671099E-6</v>
      </c>
      <c r="F34823" s="1">
        <v>5.3622487540233001E-5</v>
      </c>
    </row>
    <row r="34824" spans="1:6" x14ac:dyDescent="0.25">
      <c r="A34824" s="2" t="str">
        <f t="shared" si="1205"/>
        <v>99999</v>
      </c>
      <c r="B34824" s="2" t="str">
        <f>"66761"</f>
        <v>66761</v>
      </c>
      <c r="C34824" s="1">
        <v>1.36422699951477E-5</v>
      </c>
      <c r="D34824" s="1">
        <v>1.5176026734088599E-5</v>
      </c>
      <c r="E34824" s="1">
        <v>4.73663855102315E-4</v>
      </c>
      <c r="F34824" s="1">
        <v>2.4274372838250201E-5</v>
      </c>
    </row>
    <row r="34825" spans="1:6" x14ac:dyDescent="0.25">
      <c r="A34825" s="2" t="str">
        <f t="shared" si="1205"/>
        <v>99999</v>
      </c>
      <c r="B34825" s="2" t="str">
        <f>"66755"</f>
        <v>66755</v>
      </c>
      <c r="C34825" s="1">
        <v>6.10082314183005E-5</v>
      </c>
      <c r="D34825" s="1">
        <v>4.5528080202266E-5</v>
      </c>
      <c r="E34825" s="1">
        <v>1.7382159820268399E-5</v>
      </c>
      <c r="F34825" s="1">
        <v>5.8994684807714602E-5</v>
      </c>
    </row>
    <row r="34826" spans="1:6" x14ac:dyDescent="0.25">
      <c r="A34826" s="2" t="str">
        <f t="shared" si="1205"/>
        <v>99999</v>
      </c>
      <c r="B34826" s="2" t="str">
        <f>"67053"</f>
        <v>67053</v>
      </c>
      <c r="C34826" s="1">
        <v>2.67388491904895E-5</v>
      </c>
      <c r="D34826" s="1">
        <v>4.8563285549083798E-5</v>
      </c>
      <c r="E34826" s="1">
        <v>2.60732397304027E-5</v>
      </c>
      <c r="F34826" s="1">
        <v>2.8154293086986899E-5</v>
      </c>
    </row>
    <row r="34827" spans="1:6" x14ac:dyDescent="0.25">
      <c r="A34827" s="2" t="str">
        <f t="shared" si="1205"/>
        <v>99999</v>
      </c>
      <c r="B34827" s="2" t="str">
        <f>"66741"</f>
        <v>66741</v>
      </c>
      <c r="C34827" s="1">
        <v>1.0804677836156901E-5</v>
      </c>
      <c r="D34827" s="1">
        <v>7.5880133670443404E-6</v>
      </c>
      <c r="E34827" s="1">
        <v>8.69107991013423E-6</v>
      </c>
      <c r="F34827" s="1">
        <v>1.05454242657972E-5</v>
      </c>
    </row>
    <row r="34828" spans="1:6" x14ac:dyDescent="0.25">
      <c r="A34828" s="2" t="str">
        <f t="shared" si="1205"/>
        <v>99999</v>
      </c>
      <c r="B34828" s="2" t="str">
        <f>"66725"</f>
        <v>66725</v>
      </c>
      <c r="C34828" s="1">
        <v>2.9128974893639399E-4</v>
      </c>
      <c r="D34828" s="1">
        <v>4.27963953901301E-4</v>
      </c>
      <c r="E34828" s="1">
        <v>1.56439438382416E-4</v>
      </c>
      <c r="F34828" s="1">
        <v>2.9716209699939898E-4</v>
      </c>
    </row>
    <row r="34829" spans="1:6" x14ac:dyDescent="0.25">
      <c r="A34829" s="2" t="str">
        <f t="shared" si="1205"/>
        <v>99999</v>
      </c>
      <c r="B34829" s="2" t="str">
        <f>"66412"</f>
        <v>66412</v>
      </c>
      <c r="C34829" s="1">
        <v>1.5934171354332501E-5</v>
      </c>
      <c r="D34829" s="1">
        <v>1.0623218713862E-5</v>
      </c>
      <c r="E34829" s="1">
        <v>0</v>
      </c>
      <c r="F34829" s="1">
        <v>1.52212255911978E-5</v>
      </c>
    </row>
    <row r="34830" spans="1:6" x14ac:dyDescent="0.25">
      <c r="A34830" s="2" t="str">
        <f t="shared" si="1205"/>
        <v>99999</v>
      </c>
      <c r="B34830" s="2" t="str">
        <f>"66406"</f>
        <v>66406</v>
      </c>
      <c r="C34830" s="1">
        <v>2.51017767910718E-5</v>
      </c>
      <c r="D34830" s="1">
        <v>1.0623218713862E-5</v>
      </c>
      <c r="E34830" s="1">
        <v>2.1727699775335501E-5</v>
      </c>
      <c r="F34830" s="1">
        <v>2.40754025690842E-5</v>
      </c>
    </row>
    <row r="34831" spans="1:6" x14ac:dyDescent="0.25">
      <c r="A34831" s="2" t="str">
        <f t="shared" si="1205"/>
        <v>99999</v>
      </c>
      <c r="B34831" s="2" t="str">
        <f>"66521"</f>
        <v>66521</v>
      </c>
      <c r="C34831" s="1">
        <v>3.1650066388742701E-6</v>
      </c>
      <c r="D34831" s="1">
        <v>1.51760267340886E-6</v>
      </c>
      <c r="E34831" s="1">
        <v>0</v>
      </c>
      <c r="F34831" s="1">
        <v>2.9845540374897699E-6</v>
      </c>
    </row>
    <row r="34832" spans="1:6" x14ac:dyDescent="0.25">
      <c r="A34832" s="2" t="str">
        <f t="shared" si="1205"/>
        <v>99999</v>
      </c>
      <c r="B34832" s="2" t="str">
        <f>"66538"</f>
        <v>66538</v>
      </c>
      <c r="C34832" s="1">
        <v>1.75821575697463E-4</v>
      </c>
      <c r="D34832" s="1">
        <v>3.64224641618128E-4</v>
      </c>
      <c r="E34832" s="1">
        <v>3.43297656450302E-4</v>
      </c>
      <c r="F34832" s="1">
        <v>1.92006309745175E-4</v>
      </c>
    </row>
    <row r="34833" spans="1:6" x14ac:dyDescent="0.25">
      <c r="A34833" s="2" t="str">
        <f t="shared" si="1205"/>
        <v>99999</v>
      </c>
      <c r="B34833" s="2" t="str">
        <f>"66033"</f>
        <v>66033</v>
      </c>
      <c r="C34833" s="1">
        <v>4.0817671825481903E-5</v>
      </c>
      <c r="D34833" s="1">
        <v>3.3387258814995101E-5</v>
      </c>
      <c r="E34833" s="1">
        <v>8.69107991013423E-6</v>
      </c>
      <c r="F34833" s="1">
        <v>3.9595083564031003E-5</v>
      </c>
    </row>
    <row r="34834" spans="1:6" x14ac:dyDescent="0.25">
      <c r="A34834" s="2" t="str">
        <f t="shared" ref="A34834:A34897" si="1206">"99999"</f>
        <v>99999</v>
      </c>
      <c r="B34834" s="2" t="str">
        <f>"66017"</f>
        <v>66017</v>
      </c>
      <c r="C34834" s="1">
        <v>3.2741447988354498E-7</v>
      </c>
      <c r="D34834" s="1">
        <v>0</v>
      </c>
      <c r="E34834" s="1">
        <v>0</v>
      </c>
      <c r="F34834" s="1">
        <v>2.9845540374897701E-7</v>
      </c>
    </row>
    <row r="34835" spans="1:6" x14ac:dyDescent="0.25">
      <c r="A34835" s="2" t="str">
        <f t="shared" si="1206"/>
        <v>99999</v>
      </c>
      <c r="B34835" s="2" t="str">
        <f>"66015"</f>
        <v>66015</v>
      </c>
      <c r="C34835" s="1">
        <v>4.27821587047832E-5</v>
      </c>
      <c r="D34835" s="1">
        <v>1.8211232080906399E-5</v>
      </c>
      <c r="E34835" s="1">
        <v>1.3036619865201299E-5</v>
      </c>
      <c r="F34835" s="1">
        <v>4.0490449775278003E-5</v>
      </c>
    </row>
    <row r="34836" spans="1:6" x14ac:dyDescent="0.25">
      <c r="A34836" s="2" t="str">
        <f t="shared" si="1206"/>
        <v>99999</v>
      </c>
      <c r="B34836" s="2" t="str">
        <f>"66056"</f>
        <v>66056</v>
      </c>
      <c r="C34836" s="1">
        <v>1.09138159961181E-7</v>
      </c>
      <c r="D34836" s="1">
        <v>0</v>
      </c>
      <c r="E34836" s="1">
        <v>0</v>
      </c>
      <c r="F34836" s="1">
        <v>9.9485134582992598E-8</v>
      </c>
    </row>
    <row r="34837" spans="1:6" x14ac:dyDescent="0.25">
      <c r="A34837" s="2" t="str">
        <f t="shared" si="1206"/>
        <v>99999</v>
      </c>
      <c r="B34837" s="2" t="str">
        <f>"65793"</f>
        <v>65793</v>
      </c>
      <c r="C34837" s="1">
        <v>4.0817671825481903E-5</v>
      </c>
      <c r="D34837" s="1">
        <v>9.1056160404532095E-6</v>
      </c>
      <c r="E34837" s="1">
        <v>4.3455399550671099E-6</v>
      </c>
      <c r="F34837" s="1">
        <v>3.7903836276120103E-5</v>
      </c>
    </row>
    <row r="34838" spans="1:6" x14ac:dyDescent="0.25">
      <c r="A34838" s="2" t="str">
        <f t="shared" si="1206"/>
        <v>99999</v>
      </c>
      <c r="B34838" s="2" t="str">
        <f>"65786"</f>
        <v>65786</v>
      </c>
      <c r="C34838" s="1">
        <v>1.2703681819481501E-4</v>
      </c>
      <c r="D34838" s="1">
        <v>5.7668901589537E-5</v>
      </c>
      <c r="E34838" s="1">
        <v>2.60732397304027E-5</v>
      </c>
      <c r="F34838" s="1">
        <v>1.2017804257625499E-4</v>
      </c>
    </row>
    <row r="34839" spans="1:6" x14ac:dyDescent="0.25">
      <c r="A34839" s="2" t="str">
        <f t="shared" si="1206"/>
        <v>99999</v>
      </c>
      <c r="B34839" s="2" t="str">
        <f>"65640"</f>
        <v>65640</v>
      </c>
      <c r="C34839" s="1">
        <v>4.6929408783308102E-6</v>
      </c>
      <c r="D34839" s="1">
        <v>0</v>
      </c>
      <c r="E34839" s="1">
        <v>0</v>
      </c>
      <c r="F34839" s="1">
        <v>4.2778607870686803E-6</v>
      </c>
    </row>
    <row r="34840" spans="1:6" x14ac:dyDescent="0.25">
      <c r="A34840" s="2" t="str">
        <f t="shared" si="1206"/>
        <v>99999</v>
      </c>
      <c r="B34840" s="2" t="str">
        <f>"65664"</f>
        <v>65664</v>
      </c>
      <c r="C34840" s="1">
        <v>1.3096579195341799E-6</v>
      </c>
      <c r="D34840" s="1">
        <v>0</v>
      </c>
      <c r="E34840" s="1">
        <v>4.3455399550671099E-6</v>
      </c>
      <c r="F34840" s="1">
        <v>1.2933067495789E-6</v>
      </c>
    </row>
    <row r="34841" spans="1:6" x14ac:dyDescent="0.25">
      <c r="A34841" s="2" t="str">
        <f t="shared" si="1206"/>
        <v>99999</v>
      </c>
      <c r="B34841" s="2" t="str">
        <f>"65658"</f>
        <v>65658</v>
      </c>
      <c r="C34841" s="1">
        <v>9.2767435967004401E-5</v>
      </c>
      <c r="D34841" s="1">
        <v>1.9728834754315301E-5</v>
      </c>
      <c r="E34841" s="1">
        <v>8.69107991013423E-6</v>
      </c>
      <c r="F34841" s="1">
        <v>8.6054641414288598E-5</v>
      </c>
    </row>
    <row r="34842" spans="1:6" x14ac:dyDescent="0.25">
      <c r="A34842" s="2" t="str">
        <f t="shared" si="1206"/>
        <v>99999</v>
      </c>
      <c r="B34842" s="2" t="str">
        <f>"65637"</f>
        <v>65637</v>
      </c>
      <c r="C34842" s="1">
        <v>7.7160679092555396E-5</v>
      </c>
      <c r="D34842" s="1">
        <v>3.0352053468177301E-5</v>
      </c>
      <c r="E34842" s="1">
        <v>8.69107991013423E-6</v>
      </c>
      <c r="F34842" s="1">
        <v>7.25246631110016E-5</v>
      </c>
    </row>
    <row r="34843" spans="1:6" x14ac:dyDescent="0.25">
      <c r="A34843" s="2" t="str">
        <f t="shared" si="1206"/>
        <v>99999</v>
      </c>
      <c r="B34843" s="2" t="str">
        <f>"65635"</f>
        <v>65635</v>
      </c>
      <c r="C34843" s="1">
        <v>3.3832829587966299E-5</v>
      </c>
      <c r="D34843" s="1">
        <v>1.3658424060679801E-5</v>
      </c>
      <c r="E34843" s="1">
        <v>4.3455399550671099E-6</v>
      </c>
      <c r="F34843" s="1">
        <v>3.18352430665576E-5</v>
      </c>
    </row>
    <row r="34844" spans="1:6" x14ac:dyDescent="0.25">
      <c r="A34844" s="2" t="str">
        <f t="shared" si="1206"/>
        <v>99999</v>
      </c>
      <c r="B34844" s="2" t="str">
        <f>"65631"</f>
        <v>65631</v>
      </c>
      <c r="C34844" s="1">
        <v>4.5292336383890401E-5</v>
      </c>
      <c r="D34844" s="1">
        <v>1.51760267340886E-6</v>
      </c>
      <c r="E34844" s="1">
        <v>0</v>
      </c>
      <c r="F34844" s="1">
        <v>4.1385815986524902E-5</v>
      </c>
    </row>
    <row r="34845" spans="1:6" x14ac:dyDescent="0.25">
      <c r="A34845" s="2" t="str">
        <f t="shared" si="1206"/>
        <v>99999</v>
      </c>
      <c r="B34845" s="2" t="str">
        <f>"65625"</f>
        <v>65625</v>
      </c>
      <c r="C34845" s="1">
        <v>5.9436641914859499E-4</v>
      </c>
      <c r="D34845" s="1">
        <v>7.4362530997034598E-4</v>
      </c>
      <c r="E34845" s="1">
        <v>2.2162253770842199E-4</v>
      </c>
      <c r="F34845" s="1">
        <v>5.9561750074837603E-4</v>
      </c>
    </row>
    <row r="34846" spans="1:6" x14ac:dyDescent="0.25">
      <c r="A34846" s="2" t="str">
        <f t="shared" si="1206"/>
        <v>99999</v>
      </c>
      <c r="B34846" s="2" t="str">
        <f>"65775"</f>
        <v>65775</v>
      </c>
      <c r="C34846" s="1">
        <v>1.09138159961181E-7</v>
      </c>
      <c r="D34846" s="1">
        <v>0</v>
      </c>
      <c r="E34846" s="1">
        <v>0</v>
      </c>
      <c r="F34846" s="1">
        <v>9.9485134582992598E-8</v>
      </c>
    </row>
    <row r="34847" spans="1:6" x14ac:dyDescent="0.25">
      <c r="A34847" s="2" t="str">
        <f t="shared" si="1206"/>
        <v>99999</v>
      </c>
      <c r="B34847" s="2" t="str">
        <f>"65768"</f>
        <v>65768</v>
      </c>
      <c r="C34847" s="1">
        <v>2.58657439108E-5</v>
      </c>
      <c r="D34847" s="1">
        <v>4.5528080202265997E-6</v>
      </c>
      <c r="E34847" s="1">
        <v>4.3455399550671099E-6</v>
      </c>
      <c r="F34847" s="1">
        <v>2.3975917434501198E-5</v>
      </c>
    </row>
    <row r="34848" spans="1:6" x14ac:dyDescent="0.25">
      <c r="A34848" s="2" t="str">
        <f t="shared" si="1206"/>
        <v>99999</v>
      </c>
      <c r="B34848" s="2" t="str">
        <f>"65756"</f>
        <v>65756</v>
      </c>
      <c r="C34848" s="1">
        <v>4.9330448302454102E-5</v>
      </c>
      <c r="D34848" s="1">
        <v>1.3658424060679801E-5</v>
      </c>
      <c r="E34848" s="1">
        <v>4.3455399550671099E-6</v>
      </c>
      <c r="F34848" s="1">
        <v>4.5962132177342501E-5</v>
      </c>
    </row>
    <row r="34849" spans="1:6" x14ac:dyDescent="0.25">
      <c r="A34849" s="2" t="str">
        <f t="shared" si="1206"/>
        <v>99999</v>
      </c>
      <c r="B34849" s="2" t="str">
        <f>"65717"</f>
        <v>65717</v>
      </c>
      <c r="C34849" s="1">
        <v>1.22234739156523E-4</v>
      </c>
      <c r="D34849" s="1">
        <v>5.0080888222492601E-5</v>
      </c>
      <c r="E34849" s="1">
        <v>6.0837559370939603E-5</v>
      </c>
      <c r="F34849" s="1">
        <v>1.1609915205835199E-4</v>
      </c>
    </row>
    <row r="34850" spans="1:6" x14ac:dyDescent="0.25">
      <c r="A34850" s="2" t="str">
        <f t="shared" si="1206"/>
        <v>99999</v>
      </c>
      <c r="B34850" s="2" t="str">
        <f>"65715"</f>
        <v>65715</v>
      </c>
      <c r="C34850" s="1">
        <v>1.4297098954914801E-5</v>
      </c>
      <c r="D34850" s="1">
        <v>0</v>
      </c>
      <c r="E34850" s="1">
        <v>4.3455399550671099E-6</v>
      </c>
      <c r="F34850" s="1">
        <v>1.3132037764955001E-5</v>
      </c>
    </row>
    <row r="34851" spans="1:6" x14ac:dyDescent="0.25">
      <c r="A34851" s="2" t="str">
        <f t="shared" si="1206"/>
        <v>99999</v>
      </c>
      <c r="B34851" s="2" t="str">
        <f>"65675"</f>
        <v>65675</v>
      </c>
      <c r="C34851" s="1">
        <v>0</v>
      </c>
      <c r="D34851" s="1">
        <v>0</v>
      </c>
      <c r="E34851" s="1">
        <v>4.3455399550671099E-6</v>
      </c>
      <c r="F34851" s="1">
        <v>9.9485134582992598E-8</v>
      </c>
    </row>
    <row r="34852" spans="1:6" x14ac:dyDescent="0.25">
      <c r="A34852" s="2" t="str">
        <f t="shared" si="1206"/>
        <v>99999</v>
      </c>
      <c r="B34852" s="2" t="str">
        <f>"65705"</f>
        <v>65705</v>
      </c>
      <c r="C34852" s="1">
        <v>2.0223301040806901E-4</v>
      </c>
      <c r="D34852" s="1">
        <v>1.01679379118394E-4</v>
      </c>
      <c r="E34852" s="1">
        <v>7.8219719191208097E-5</v>
      </c>
      <c r="F34852" s="1">
        <v>1.9280219082183899E-4</v>
      </c>
    </row>
    <row r="34853" spans="1:6" x14ac:dyDescent="0.25">
      <c r="A34853" s="2" t="str">
        <f t="shared" si="1206"/>
        <v>99999</v>
      </c>
      <c r="B34853" s="2" t="str">
        <f>"65674"</f>
        <v>65674</v>
      </c>
      <c r="C34853" s="1">
        <v>5.3041145741134299E-5</v>
      </c>
      <c r="D34853" s="1">
        <v>2.7316848121359601E-5</v>
      </c>
      <c r="E34853" s="1">
        <v>0</v>
      </c>
      <c r="F34853" s="1">
        <v>5.0140507829828202E-5</v>
      </c>
    </row>
    <row r="34854" spans="1:6" x14ac:dyDescent="0.25">
      <c r="A34854" s="2" t="str">
        <f t="shared" si="1206"/>
        <v>99999</v>
      </c>
      <c r="B34854" s="2" t="str">
        <f>"65580"</f>
        <v>65580</v>
      </c>
      <c r="C34854" s="1">
        <v>4.8566481182725801E-5</v>
      </c>
      <c r="D34854" s="1">
        <v>1.21408213872709E-5</v>
      </c>
      <c r="E34854" s="1">
        <v>4.3455399550671099E-6</v>
      </c>
      <c r="F34854" s="1">
        <v>4.5166251100678601E-5</v>
      </c>
    </row>
    <row r="34855" spans="1:6" x14ac:dyDescent="0.25">
      <c r="A34855" s="2" t="str">
        <f t="shared" si="1206"/>
        <v>99999</v>
      </c>
      <c r="B34855" s="2" t="str">
        <f>"65265"</f>
        <v>65265</v>
      </c>
      <c r="C34855" s="1">
        <v>6.1117369578261701E-6</v>
      </c>
      <c r="D34855" s="1">
        <v>1.51760267340886E-6</v>
      </c>
      <c r="E34855" s="1">
        <v>0</v>
      </c>
      <c r="F34855" s="1">
        <v>5.6706526712305799E-6</v>
      </c>
    </row>
    <row r="34856" spans="1:6" x14ac:dyDescent="0.25">
      <c r="A34856" s="2" t="str">
        <f t="shared" si="1206"/>
        <v>99999</v>
      </c>
      <c r="B34856" s="2" t="str">
        <f>"65243"</f>
        <v>65243</v>
      </c>
      <c r="C34856" s="1">
        <v>2.6193158390683598E-6</v>
      </c>
      <c r="D34856" s="1">
        <v>0</v>
      </c>
      <c r="E34856" s="1">
        <v>0</v>
      </c>
      <c r="F34856" s="1">
        <v>2.3876432299918199E-6</v>
      </c>
    </row>
    <row r="34857" spans="1:6" x14ac:dyDescent="0.25">
      <c r="A34857" s="2" t="str">
        <f t="shared" si="1206"/>
        <v>99999</v>
      </c>
      <c r="B34857" s="2" t="str">
        <f>"65470"</f>
        <v>65470</v>
      </c>
      <c r="C34857" s="1">
        <v>6.8757040775544402E-6</v>
      </c>
      <c r="D34857" s="1">
        <v>3.0352053468177301E-6</v>
      </c>
      <c r="E34857" s="1">
        <v>0</v>
      </c>
      <c r="F34857" s="1">
        <v>6.4665337478945197E-6</v>
      </c>
    </row>
    <row r="34858" spans="1:6" x14ac:dyDescent="0.25">
      <c r="A34858" s="2" t="str">
        <f t="shared" si="1206"/>
        <v>99999</v>
      </c>
      <c r="B34858" s="2" t="str">
        <f>"65459"</f>
        <v>65459</v>
      </c>
      <c r="C34858" s="1">
        <v>8.2071896290808601E-5</v>
      </c>
      <c r="D34858" s="1">
        <v>9.1056160404532095E-6</v>
      </c>
      <c r="E34858" s="1">
        <v>0</v>
      </c>
      <c r="F34858" s="1">
        <v>7.5409732013908401E-5</v>
      </c>
    </row>
    <row r="34859" spans="1:6" x14ac:dyDescent="0.25">
      <c r="A34859" s="2" t="str">
        <f t="shared" si="1206"/>
        <v>99999</v>
      </c>
      <c r="B34859" s="2" t="str">
        <f>"65329"</f>
        <v>65329</v>
      </c>
      <c r="C34859" s="1">
        <v>2.6847987350450699E-5</v>
      </c>
      <c r="D34859" s="1">
        <v>4.5528080202265997E-6</v>
      </c>
      <c r="E34859" s="1">
        <v>4.3455399550671099E-6</v>
      </c>
      <c r="F34859" s="1">
        <v>2.48712836457481E-5</v>
      </c>
    </row>
    <row r="34860" spans="1:6" x14ac:dyDescent="0.25">
      <c r="A34860" s="2" t="str">
        <f t="shared" si="1206"/>
        <v>99999</v>
      </c>
      <c r="B34860" s="2" t="str">
        <f>"65354"</f>
        <v>65354</v>
      </c>
      <c r="C34860" s="1">
        <v>2.9576441349480199E-5</v>
      </c>
      <c r="D34860" s="1">
        <v>2.1246437427724101E-5</v>
      </c>
      <c r="E34860" s="1">
        <v>1.3036619865201299E-5</v>
      </c>
      <c r="F34860" s="1">
        <v>2.86517187599018E-5</v>
      </c>
    </row>
    <row r="34861" spans="1:6" x14ac:dyDescent="0.25">
      <c r="A34861" s="2" t="str">
        <f t="shared" si="1206"/>
        <v>99999</v>
      </c>
      <c r="B34861" s="2" t="str">
        <f>"65281"</f>
        <v>65281</v>
      </c>
      <c r="C34861" s="1">
        <v>1.6403465442165599E-4</v>
      </c>
      <c r="D34861" s="1">
        <v>2.9593252131472901E-4</v>
      </c>
      <c r="E34861" s="1">
        <v>1.5209389842734899E-4</v>
      </c>
      <c r="F34861" s="1">
        <v>1.7240773823232601E-4</v>
      </c>
    </row>
    <row r="34862" spans="1:6" x14ac:dyDescent="0.25">
      <c r="A34862" s="2" t="str">
        <f t="shared" si="1206"/>
        <v>99999</v>
      </c>
      <c r="B34862" s="2" t="str">
        <f>"64765"</f>
        <v>64765</v>
      </c>
      <c r="C34862" s="1">
        <v>1.6370723994177199E-6</v>
      </c>
      <c r="D34862" s="1">
        <v>0</v>
      </c>
      <c r="E34862" s="1">
        <v>4.3455399550671099E-6</v>
      </c>
      <c r="F34862" s="1">
        <v>1.5917621533278801E-6</v>
      </c>
    </row>
    <row r="34863" spans="1:6" x14ac:dyDescent="0.25">
      <c r="A34863" s="2" t="str">
        <f t="shared" si="1206"/>
        <v>99999</v>
      </c>
      <c r="B34863" s="2" t="str">
        <f>"64784"</f>
        <v>64784</v>
      </c>
      <c r="C34863" s="1">
        <v>8.3599830530265204E-5</v>
      </c>
      <c r="D34863" s="1">
        <v>6.8292120303399095E-5</v>
      </c>
      <c r="E34863" s="1">
        <v>1.7382159820268399E-5</v>
      </c>
      <c r="F34863" s="1">
        <v>8.1080384685138998E-5</v>
      </c>
    </row>
    <row r="34864" spans="1:6" x14ac:dyDescent="0.25">
      <c r="A34864" s="2" t="str">
        <f t="shared" si="1206"/>
        <v>99999</v>
      </c>
      <c r="B34864" s="2" t="str">
        <f>"65062"</f>
        <v>65062</v>
      </c>
      <c r="C34864" s="1">
        <v>2.6193158390683598E-6</v>
      </c>
      <c r="D34864" s="1">
        <v>0</v>
      </c>
      <c r="E34864" s="1">
        <v>0</v>
      </c>
      <c r="F34864" s="1">
        <v>2.3876432299918199E-6</v>
      </c>
    </row>
    <row r="34865" spans="1:6" x14ac:dyDescent="0.25">
      <c r="A34865" s="2" t="str">
        <f t="shared" si="1206"/>
        <v>99999</v>
      </c>
      <c r="B34865" s="2" t="str">
        <f>"65064"</f>
        <v>65064</v>
      </c>
      <c r="C34865" s="1">
        <v>3.00129939893249E-5</v>
      </c>
      <c r="D34865" s="1">
        <v>7.5880133670443404E-6</v>
      </c>
      <c r="E34865" s="1">
        <v>1.7382159820268399E-5</v>
      </c>
      <c r="F34865" s="1">
        <v>2.8253778221569901E-5</v>
      </c>
    </row>
    <row r="34866" spans="1:6" x14ac:dyDescent="0.25">
      <c r="A34866" s="2" t="str">
        <f t="shared" si="1206"/>
        <v>99999</v>
      </c>
      <c r="B34866" s="2" t="str">
        <f>"64874"</f>
        <v>64874</v>
      </c>
      <c r="C34866" s="1">
        <v>5.0203553582143598E-6</v>
      </c>
      <c r="D34866" s="1">
        <v>1.51760267340886E-6</v>
      </c>
      <c r="E34866" s="1">
        <v>1.7382159820268399E-5</v>
      </c>
      <c r="F34866" s="1">
        <v>5.0737418637326201E-6</v>
      </c>
    </row>
    <row r="34867" spans="1:6" x14ac:dyDescent="0.25">
      <c r="A34867" s="2" t="str">
        <f t="shared" si="1206"/>
        <v>99999</v>
      </c>
      <c r="B34867" s="2" t="str">
        <f>"65026"</f>
        <v>65026</v>
      </c>
      <c r="C34867" s="1">
        <v>6.8582419719606603E-4</v>
      </c>
      <c r="D34867" s="1">
        <v>9.6823050563485803E-4</v>
      </c>
      <c r="E34867" s="1">
        <v>6.2141221357459703E-4</v>
      </c>
      <c r="F34867" s="1">
        <v>7.0286247582884199E-4</v>
      </c>
    </row>
    <row r="34868" spans="1:6" x14ac:dyDescent="0.25">
      <c r="A34868" s="2" t="str">
        <f t="shared" si="1206"/>
        <v>99999</v>
      </c>
      <c r="B34868" s="2" t="str">
        <f>"64738"</f>
        <v>64738</v>
      </c>
      <c r="C34868" s="1">
        <v>6.19904748579512E-5</v>
      </c>
      <c r="D34868" s="1">
        <v>2.88344507947685E-5</v>
      </c>
      <c r="E34868" s="1">
        <v>4.3455399550671099E-6</v>
      </c>
      <c r="F34868" s="1">
        <v>5.8497259134799602E-5</v>
      </c>
    </row>
    <row r="34869" spans="1:6" x14ac:dyDescent="0.25">
      <c r="A34869" s="2" t="str">
        <f t="shared" si="1206"/>
        <v>99999</v>
      </c>
      <c r="B34869" s="2" t="str">
        <f>"64862"</f>
        <v>64862</v>
      </c>
      <c r="C34869" s="1">
        <v>1.0258987036351001E-5</v>
      </c>
      <c r="D34869" s="1">
        <v>6.0704106936354696E-6</v>
      </c>
      <c r="E34869" s="1">
        <v>0</v>
      </c>
      <c r="F34869" s="1">
        <v>9.7495431891332699E-6</v>
      </c>
    </row>
    <row r="34870" spans="1:6" x14ac:dyDescent="0.25">
      <c r="A34870" s="2" t="str">
        <f t="shared" si="1206"/>
        <v>99999</v>
      </c>
      <c r="B34870" s="2" t="str">
        <f>"64683"</f>
        <v>64683</v>
      </c>
      <c r="C34870" s="1">
        <v>4.8773843686652102E-4</v>
      </c>
      <c r="D34870" s="1">
        <v>7.3603729660330099E-4</v>
      </c>
      <c r="E34870" s="1">
        <v>5.5188357429352298E-4</v>
      </c>
      <c r="F34870" s="1">
        <v>5.0548396881618498E-4</v>
      </c>
    </row>
    <row r="34871" spans="1:6" x14ac:dyDescent="0.25">
      <c r="A34871" s="2" t="str">
        <f t="shared" si="1206"/>
        <v>99999</v>
      </c>
      <c r="B34871" s="2" t="str">
        <f>"64681"</f>
        <v>64681</v>
      </c>
      <c r="C34871" s="1">
        <v>1.7243829273866699E-5</v>
      </c>
      <c r="D34871" s="1">
        <v>4.5528080202265997E-6</v>
      </c>
      <c r="E34871" s="1">
        <v>2.1727699775335501E-5</v>
      </c>
      <c r="F34871" s="1">
        <v>1.65145323407767E-5</v>
      </c>
    </row>
    <row r="34872" spans="1:6" x14ac:dyDescent="0.25">
      <c r="A34872" s="2" t="str">
        <f t="shared" si="1206"/>
        <v>99999</v>
      </c>
      <c r="B34872" s="2" t="str">
        <f>"64679"</f>
        <v>64679</v>
      </c>
      <c r="C34872" s="1">
        <v>4.5838027183696297E-5</v>
      </c>
      <c r="D34872" s="1">
        <v>4.5528080202265997E-6</v>
      </c>
      <c r="E34872" s="1">
        <v>1.3036619865201299E-5</v>
      </c>
      <c r="F34872" s="1">
        <v>4.2380667332354799E-5</v>
      </c>
    </row>
    <row r="34873" spans="1:6" x14ac:dyDescent="0.25">
      <c r="A34873" s="2" t="str">
        <f t="shared" si="1206"/>
        <v>99999</v>
      </c>
      <c r="B34873" s="2" t="str">
        <f>"64668"</f>
        <v>64668</v>
      </c>
      <c r="C34873" s="1">
        <v>6.9084455255428006E-5</v>
      </c>
      <c r="D34873" s="1">
        <v>8.65033523843055E-5</v>
      </c>
      <c r="E34873" s="1">
        <v>2.1727699775335501E-5</v>
      </c>
      <c r="F34873" s="1">
        <v>6.91421685351798E-5</v>
      </c>
    </row>
    <row r="34874" spans="1:6" x14ac:dyDescent="0.25">
      <c r="A34874" s="2" t="str">
        <f t="shared" si="1206"/>
        <v>99999</v>
      </c>
      <c r="B34874" s="2" t="str">
        <f>"64667"</f>
        <v>64667</v>
      </c>
      <c r="C34874" s="1">
        <v>2.02996977527798E-5</v>
      </c>
      <c r="D34874" s="1">
        <v>4.5528080202265997E-6</v>
      </c>
      <c r="E34874" s="1">
        <v>2.1727699775335501E-5</v>
      </c>
      <c r="F34874" s="1">
        <v>1.9300116109100499E-5</v>
      </c>
    </row>
    <row r="34875" spans="1:6" x14ac:dyDescent="0.25">
      <c r="A34875" s="2" t="str">
        <f t="shared" si="1206"/>
        <v>99999</v>
      </c>
      <c r="B34875" s="2" t="str">
        <f>"64659"</f>
        <v>64659</v>
      </c>
      <c r="C34875" s="1">
        <v>4.6929408783308097E-5</v>
      </c>
      <c r="D34875" s="1">
        <v>3.4904861488403899E-5</v>
      </c>
      <c r="E34875" s="1">
        <v>8.69107991013423E-6</v>
      </c>
      <c r="F34875" s="1">
        <v>4.52657362352616E-5</v>
      </c>
    </row>
    <row r="34876" spans="1:6" x14ac:dyDescent="0.25">
      <c r="A34876" s="2" t="str">
        <f t="shared" si="1206"/>
        <v>99999</v>
      </c>
      <c r="B34876" s="2" t="str">
        <f>"64728"</f>
        <v>64728</v>
      </c>
      <c r="C34876" s="1">
        <v>3.09952374289756E-5</v>
      </c>
      <c r="D34876" s="1">
        <v>1.21408213872709E-5</v>
      </c>
      <c r="E34876" s="1">
        <v>8.69107991013423E-6</v>
      </c>
      <c r="F34876" s="1">
        <v>2.9248629567399801E-5</v>
      </c>
    </row>
    <row r="34877" spans="1:6" x14ac:dyDescent="0.25">
      <c r="A34877" s="2" t="str">
        <f t="shared" si="1206"/>
        <v>99999</v>
      </c>
      <c r="B34877" s="2" t="str">
        <f>"64656"</f>
        <v>64656</v>
      </c>
      <c r="C34877" s="1">
        <v>1.5934171354332501E-5</v>
      </c>
      <c r="D34877" s="1">
        <v>4.5528080202265997E-6</v>
      </c>
      <c r="E34877" s="1">
        <v>2.1727699775335501E-5</v>
      </c>
      <c r="F34877" s="1">
        <v>1.5320710725780799E-5</v>
      </c>
    </row>
    <row r="34878" spans="1:6" x14ac:dyDescent="0.25">
      <c r="A34878" s="2" t="str">
        <f t="shared" si="1206"/>
        <v>99999</v>
      </c>
      <c r="B34878" s="2" t="str">
        <f>"64624"</f>
        <v>64624</v>
      </c>
      <c r="C34878" s="1">
        <v>1.10229541560793E-5</v>
      </c>
      <c r="D34878" s="1">
        <v>3.0352053468177301E-6</v>
      </c>
      <c r="E34878" s="1">
        <v>0</v>
      </c>
      <c r="F34878" s="1">
        <v>1.02469688620482E-5</v>
      </c>
    </row>
    <row r="34879" spans="1:6" x14ac:dyDescent="0.25">
      <c r="A34879" s="2" t="str">
        <f t="shared" si="1206"/>
        <v>99999</v>
      </c>
      <c r="B34879" s="2" t="str">
        <f>"64636"</f>
        <v>64636</v>
      </c>
      <c r="C34879" s="1">
        <v>1.71346911139055E-5</v>
      </c>
      <c r="D34879" s="1">
        <v>1.0623218713862E-5</v>
      </c>
      <c r="E34879" s="1">
        <v>4.3455399550671099E-6</v>
      </c>
      <c r="F34879" s="1">
        <v>1.6415047206193701E-5</v>
      </c>
    </row>
    <row r="34880" spans="1:6" x14ac:dyDescent="0.25">
      <c r="A34880" s="2" t="str">
        <f t="shared" si="1206"/>
        <v>99999</v>
      </c>
      <c r="B34880" s="2" t="str">
        <f>"64633"</f>
        <v>64633</v>
      </c>
      <c r="C34880" s="1">
        <v>3.6790473722914297E-4</v>
      </c>
      <c r="D34880" s="1">
        <v>6.1311148005718298E-4</v>
      </c>
      <c r="E34880" s="1">
        <v>3.86753056000973E-4</v>
      </c>
      <c r="F34880" s="1">
        <v>3.84410560028683E-4</v>
      </c>
    </row>
    <row r="34881" spans="1:6" x14ac:dyDescent="0.25">
      <c r="A34881" s="2" t="str">
        <f t="shared" si="1206"/>
        <v>99999</v>
      </c>
      <c r="B34881" s="2" t="str">
        <f>"64481"</f>
        <v>64481</v>
      </c>
      <c r="C34881" s="1">
        <v>6.4282376217135996E-5</v>
      </c>
      <c r="D34881" s="1">
        <v>1.0623218713862E-5</v>
      </c>
      <c r="E34881" s="1">
        <v>1.3036619865201299E-5</v>
      </c>
      <c r="F34881" s="1">
        <v>5.9591595615212498E-5</v>
      </c>
    </row>
    <row r="34882" spans="1:6" x14ac:dyDescent="0.25">
      <c r="A34882" s="2" t="str">
        <f t="shared" si="1206"/>
        <v>99999</v>
      </c>
      <c r="B34882" s="2" t="str">
        <f>"64487"</f>
        <v>64487</v>
      </c>
      <c r="C34882" s="1">
        <v>1.6370723994177199E-6</v>
      </c>
      <c r="D34882" s="1">
        <v>1.51760267340886E-6</v>
      </c>
      <c r="E34882" s="1">
        <v>0</v>
      </c>
      <c r="F34882" s="1">
        <v>1.5917621533278801E-6</v>
      </c>
    </row>
    <row r="34883" spans="1:6" x14ac:dyDescent="0.25">
      <c r="A34883" s="2" t="str">
        <f t="shared" si="1206"/>
        <v>99999</v>
      </c>
      <c r="B34883" s="2" t="str">
        <f>"64491"</f>
        <v>64491</v>
      </c>
      <c r="C34883" s="1">
        <v>1.3303941699267999E-4</v>
      </c>
      <c r="D34883" s="1">
        <v>2.15499579624059E-4</v>
      </c>
      <c r="E34883" s="1">
        <v>1.3471173860707999E-4</v>
      </c>
      <c r="F34883" s="1">
        <v>1.3848330733952499E-4</v>
      </c>
    </row>
    <row r="34884" spans="1:6" x14ac:dyDescent="0.25">
      <c r="A34884" s="2" t="str">
        <f t="shared" si="1206"/>
        <v>99999</v>
      </c>
      <c r="B34884" s="2" t="str">
        <f>"64489"</f>
        <v>64489</v>
      </c>
      <c r="C34884" s="1">
        <v>9.4841061006266901E-5</v>
      </c>
      <c r="D34884" s="1">
        <v>1.51760267340886E-4</v>
      </c>
      <c r="E34884" s="1">
        <v>4.7800939505738197E-5</v>
      </c>
      <c r="F34884" s="1">
        <v>9.7495431891332702E-5</v>
      </c>
    </row>
    <row r="34885" spans="1:6" x14ac:dyDescent="0.25">
      <c r="A34885" s="2" t="str">
        <f t="shared" si="1206"/>
        <v>99999</v>
      </c>
      <c r="B34885" s="2" t="str">
        <f>"64442"</f>
        <v>64442</v>
      </c>
      <c r="C34885" s="1">
        <v>3.9071461266102997E-5</v>
      </c>
      <c r="D34885" s="1">
        <v>3.0352053468177301E-5</v>
      </c>
      <c r="E34885" s="1">
        <v>1.7382159820268399E-5</v>
      </c>
      <c r="F34885" s="1">
        <v>3.8003321410703101E-5</v>
      </c>
    </row>
    <row r="34886" spans="1:6" x14ac:dyDescent="0.25">
      <c r="A34886" s="2" t="str">
        <f t="shared" si="1206"/>
        <v>99999</v>
      </c>
      <c r="B34886" s="2" t="str">
        <f>"64402"</f>
        <v>64402</v>
      </c>
      <c r="C34886" s="1">
        <v>1.37077528911244E-4</v>
      </c>
      <c r="D34886" s="1">
        <v>2.4129882507200999E-4</v>
      </c>
      <c r="E34886" s="1">
        <v>1.17329578786812E-4</v>
      </c>
      <c r="F34886" s="1">
        <v>1.4345756406867501E-4</v>
      </c>
    </row>
    <row r="34887" spans="1:6" x14ac:dyDescent="0.25">
      <c r="A34887" s="2" t="str">
        <f t="shared" si="1206"/>
        <v>99999</v>
      </c>
      <c r="B34887" s="2" t="str">
        <f>"63960"</f>
        <v>63960</v>
      </c>
      <c r="C34887" s="1">
        <v>1.7036466769940401E-4</v>
      </c>
      <c r="D34887" s="1">
        <v>8.1950544364078906E-5</v>
      </c>
      <c r="E34887" s="1">
        <v>3.9109859595604001E-5</v>
      </c>
      <c r="F34887" s="1">
        <v>1.6156385856277999E-4</v>
      </c>
    </row>
    <row r="34888" spans="1:6" x14ac:dyDescent="0.25">
      <c r="A34888" s="2" t="str">
        <f t="shared" si="1206"/>
        <v>99999</v>
      </c>
      <c r="B34888" s="2" t="str">
        <f>"63943"</f>
        <v>63943</v>
      </c>
      <c r="C34888" s="1">
        <v>4.6929408783308097E-5</v>
      </c>
      <c r="D34888" s="1">
        <v>3.0352053468177301E-5</v>
      </c>
      <c r="E34888" s="1">
        <v>4.3455399550671099E-6</v>
      </c>
      <c r="F34888" s="1">
        <v>4.4867795696929599E-5</v>
      </c>
    </row>
    <row r="34889" spans="1:6" x14ac:dyDescent="0.25">
      <c r="A34889" s="2" t="str">
        <f t="shared" si="1206"/>
        <v>99999</v>
      </c>
      <c r="B34889" s="2" t="str">
        <f>"63559"</f>
        <v>63559</v>
      </c>
      <c r="C34889" s="1">
        <v>3.7106974386801701E-6</v>
      </c>
      <c r="D34889" s="1">
        <v>0</v>
      </c>
      <c r="E34889" s="1">
        <v>0</v>
      </c>
      <c r="F34889" s="1">
        <v>3.3824945758217398E-6</v>
      </c>
    </row>
    <row r="34890" spans="1:6" x14ac:dyDescent="0.25">
      <c r="A34890" s="2" t="str">
        <f t="shared" si="1206"/>
        <v>99999</v>
      </c>
      <c r="B34890" s="2" t="str">
        <f>"63563"</f>
        <v>63563</v>
      </c>
      <c r="C34890" s="1">
        <v>4.0490257345598397E-5</v>
      </c>
      <c r="D34890" s="1">
        <v>2.1246437427724101E-5</v>
      </c>
      <c r="E34890" s="1">
        <v>1.7382159820268399E-5</v>
      </c>
      <c r="F34890" s="1">
        <v>3.8699717352784098E-5</v>
      </c>
    </row>
    <row r="34891" spans="1:6" x14ac:dyDescent="0.25">
      <c r="A34891" s="2" t="str">
        <f t="shared" si="1206"/>
        <v>99999</v>
      </c>
      <c r="B34891" s="2" t="str">
        <f>"63555"</f>
        <v>63555</v>
      </c>
      <c r="C34891" s="1">
        <v>1.92410576011563E-4</v>
      </c>
      <c r="D34891" s="1">
        <v>4.52245596675843E-4</v>
      </c>
      <c r="E34891" s="1">
        <v>1.47748358472281E-4</v>
      </c>
      <c r="F34891" s="1">
        <v>2.0842135695136899E-4</v>
      </c>
    </row>
    <row r="34892" spans="1:6" x14ac:dyDescent="0.25">
      <c r="A34892" s="2" t="str">
        <f t="shared" si="1206"/>
        <v>99999</v>
      </c>
      <c r="B34892" s="2" t="str">
        <f>"63543"</f>
        <v>63543</v>
      </c>
      <c r="C34892" s="1">
        <v>3.31780006281992E-5</v>
      </c>
      <c r="D34892" s="1">
        <v>1.5176026734088599E-5</v>
      </c>
      <c r="E34892" s="1">
        <v>4.3455399550671099E-6</v>
      </c>
      <c r="F34892" s="1">
        <v>3.1337817393642601E-5</v>
      </c>
    </row>
    <row r="34893" spans="1:6" x14ac:dyDescent="0.25">
      <c r="A34893" s="2" t="str">
        <f t="shared" si="1206"/>
        <v>99999</v>
      </c>
      <c r="B34893" s="2" t="str">
        <f>"63531"</f>
        <v>63531</v>
      </c>
      <c r="C34893" s="1">
        <v>3.3614553268043901E-5</v>
      </c>
      <c r="D34893" s="1">
        <v>3.0352053468177301E-5</v>
      </c>
      <c r="E34893" s="1">
        <v>3.47643196405369E-5</v>
      </c>
      <c r="F34893" s="1">
        <v>3.3427005219885502E-5</v>
      </c>
    </row>
    <row r="34894" spans="1:6" x14ac:dyDescent="0.25">
      <c r="A34894" s="2" t="str">
        <f t="shared" si="1206"/>
        <v>99999</v>
      </c>
      <c r="B34894" s="2" t="str">
        <f>"63456"</f>
        <v>63456</v>
      </c>
      <c r="C34894" s="1">
        <v>1.3773235787101101E-4</v>
      </c>
      <c r="D34894" s="1">
        <v>2.18534784970877E-4</v>
      </c>
      <c r="E34894" s="1">
        <v>1.47748358472281E-4</v>
      </c>
      <c r="F34894" s="1">
        <v>1.43258593799509E-4</v>
      </c>
    </row>
    <row r="34895" spans="1:6" x14ac:dyDescent="0.25">
      <c r="A34895" s="2" t="str">
        <f t="shared" si="1206"/>
        <v>99999</v>
      </c>
      <c r="B34895" s="2" t="str">
        <f>"63783"</f>
        <v>63783</v>
      </c>
      <c r="C34895" s="1">
        <v>8.0762238371274393E-6</v>
      </c>
      <c r="D34895" s="1">
        <v>6.0704106936354696E-6</v>
      </c>
      <c r="E34895" s="1">
        <v>4.3455399550671099E-6</v>
      </c>
      <c r="F34895" s="1">
        <v>7.85932563205641E-6</v>
      </c>
    </row>
    <row r="34896" spans="1:6" x14ac:dyDescent="0.25">
      <c r="A34896" s="2" t="str">
        <f t="shared" si="1206"/>
        <v>99999</v>
      </c>
      <c r="B34896" s="2" t="str">
        <f>"63840"</f>
        <v>63840</v>
      </c>
      <c r="C34896" s="1">
        <v>0</v>
      </c>
      <c r="D34896" s="1">
        <v>0</v>
      </c>
      <c r="E34896" s="1">
        <v>4.3455399550671099E-6</v>
      </c>
      <c r="F34896" s="1">
        <v>9.9485134582992598E-8</v>
      </c>
    </row>
    <row r="34897" spans="1:6" x14ac:dyDescent="0.25">
      <c r="A34897" s="2" t="str">
        <f t="shared" si="1206"/>
        <v>99999</v>
      </c>
      <c r="B34897" s="2" t="str">
        <f>"63781"</f>
        <v>63781</v>
      </c>
      <c r="C34897" s="1">
        <v>2.7284539990295402E-6</v>
      </c>
      <c r="D34897" s="1">
        <v>1.51760267340886E-6</v>
      </c>
      <c r="E34897" s="1">
        <v>0</v>
      </c>
      <c r="F34897" s="1">
        <v>2.5866134991578E-6</v>
      </c>
    </row>
    <row r="34898" spans="1:6" x14ac:dyDescent="0.25">
      <c r="A34898" s="2" t="str">
        <f t="shared" ref="A34898:A34961" si="1207">"99999"</f>
        <v>99999</v>
      </c>
      <c r="B34898" s="2" t="str">
        <f>"63666"</f>
        <v>63666</v>
      </c>
      <c r="C34898" s="1">
        <v>0</v>
      </c>
      <c r="D34898" s="1">
        <v>0</v>
      </c>
      <c r="E34898" s="1">
        <v>4.3455399550671099E-6</v>
      </c>
      <c r="F34898" s="1">
        <v>9.9485134582992598E-8</v>
      </c>
    </row>
    <row r="34899" spans="1:6" x14ac:dyDescent="0.25">
      <c r="A34899" s="2" t="str">
        <f t="shared" si="1207"/>
        <v>99999</v>
      </c>
      <c r="B34899" s="2" t="str">
        <f>"63664"</f>
        <v>63664</v>
      </c>
      <c r="C34899" s="1">
        <v>4.7180426551218801E-4</v>
      </c>
      <c r="D34899" s="1">
        <v>6.28287506791271E-4</v>
      </c>
      <c r="E34899" s="1">
        <v>3.7806197609083903E-4</v>
      </c>
      <c r="F34899" s="1">
        <v>4.7991628922835599E-4</v>
      </c>
    </row>
    <row r="34900" spans="1:6" x14ac:dyDescent="0.25">
      <c r="A34900" s="2" t="str">
        <f t="shared" si="1207"/>
        <v>99999</v>
      </c>
      <c r="B34900" s="2" t="str">
        <f>"63660"</f>
        <v>63660</v>
      </c>
      <c r="C34900" s="1">
        <v>1.7025552953944299E-4</v>
      </c>
      <c r="D34900" s="1">
        <v>7.2844928323625703E-5</v>
      </c>
      <c r="E34900" s="1">
        <v>2.1727699775335501E-5</v>
      </c>
      <c r="F34900" s="1">
        <v>1.60469522082367E-4</v>
      </c>
    </row>
    <row r="34901" spans="1:6" x14ac:dyDescent="0.25">
      <c r="A34901" s="2" t="str">
        <f t="shared" si="1207"/>
        <v>99999</v>
      </c>
      <c r="B34901" s="2" t="str">
        <f>"63656"</f>
        <v>63656</v>
      </c>
      <c r="C34901" s="1">
        <v>3.1977480868626198E-5</v>
      </c>
      <c r="D34901" s="1">
        <v>3.0352053468177301E-6</v>
      </c>
      <c r="E34901" s="1">
        <v>8.69107991013423E-6</v>
      </c>
      <c r="F34901" s="1">
        <v>2.95470849711488E-5</v>
      </c>
    </row>
    <row r="34902" spans="1:6" x14ac:dyDescent="0.25">
      <c r="A34902" s="2" t="str">
        <f t="shared" si="1207"/>
        <v>99999</v>
      </c>
      <c r="B34902" s="2" t="str">
        <f>"63431"</f>
        <v>63431</v>
      </c>
      <c r="C34902" s="1">
        <v>1.8553487193400799E-5</v>
      </c>
      <c r="D34902" s="1">
        <v>4.5528080202265997E-6</v>
      </c>
      <c r="E34902" s="1">
        <v>4.3455399550671099E-6</v>
      </c>
      <c r="F34902" s="1">
        <v>1.7310413417440701E-5</v>
      </c>
    </row>
    <row r="34903" spans="1:6" x14ac:dyDescent="0.25">
      <c r="A34903" s="2" t="str">
        <f t="shared" si="1207"/>
        <v>99999</v>
      </c>
      <c r="B34903" s="2" t="str">
        <f>"63636"</f>
        <v>63636</v>
      </c>
      <c r="C34903" s="1">
        <v>4.49649219040068E-5</v>
      </c>
      <c r="D34903" s="1">
        <v>9.1056160404532095E-6</v>
      </c>
      <c r="E34903" s="1">
        <v>3.47643196405369E-5</v>
      </c>
      <c r="F34903" s="1">
        <v>4.2380667332354799E-5</v>
      </c>
    </row>
    <row r="34904" spans="1:6" x14ac:dyDescent="0.25">
      <c r="A34904" s="2" t="str">
        <f t="shared" si="1207"/>
        <v>99999</v>
      </c>
      <c r="B34904" s="2" t="str">
        <f>"63626"</f>
        <v>63626</v>
      </c>
      <c r="C34904" s="1">
        <v>4.2018191585054898E-5</v>
      </c>
      <c r="D34904" s="1">
        <v>1.0623218713862E-5</v>
      </c>
      <c r="E34904" s="1">
        <v>4.3455399550671099E-6</v>
      </c>
      <c r="F34904" s="1">
        <v>3.9097657891116098E-5</v>
      </c>
    </row>
    <row r="34905" spans="1:6" x14ac:dyDescent="0.25">
      <c r="A34905" s="2" t="str">
        <f t="shared" si="1207"/>
        <v>99999</v>
      </c>
      <c r="B34905" s="2" t="str">
        <f>"63343"</f>
        <v>63343</v>
      </c>
      <c r="C34905" s="1">
        <v>1.6370723994177199E-6</v>
      </c>
      <c r="D34905" s="1">
        <v>0</v>
      </c>
      <c r="E34905" s="1">
        <v>0</v>
      </c>
      <c r="F34905" s="1">
        <v>1.4922770187448801E-6</v>
      </c>
    </row>
    <row r="34906" spans="1:6" x14ac:dyDescent="0.25">
      <c r="A34906" s="2" t="str">
        <f t="shared" si="1207"/>
        <v>99999</v>
      </c>
      <c r="B34906" s="2" t="str">
        <f>"63361"</f>
        <v>63361</v>
      </c>
      <c r="C34906" s="1">
        <v>2.3486532023646301E-4</v>
      </c>
      <c r="D34906" s="1">
        <v>4.46175185982207E-4</v>
      </c>
      <c r="E34906" s="1">
        <v>2.4769577743882499E-4</v>
      </c>
      <c r="F34906" s="1">
        <v>2.4901129186123E-4</v>
      </c>
    </row>
    <row r="34907" spans="1:6" x14ac:dyDescent="0.25">
      <c r="A34907" s="2" t="str">
        <f t="shared" si="1207"/>
        <v>99999</v>
      </c>
      <c r="B34907" s="2" t="str">
        <f>"63030"</f>
        <v>63030</v>
      </c>
      <c r="C34907" s="1">
        <v>8.7310527968945299E-6</v>
      </c>
      <c r="D34907" s="1">
        <v>1.51760267340886E-6</v>
      </c>
      <c r="E34907" s="1">
        <v>0</v>
      </c>
      <c r="F34907" s="1">
        <v>8.0582959012224002E-6</v>
      </c>
    </row>
    <row r="34908" spans="1:6" x14ac:dyDescent="0.25">
      <c r="A34908" s="2" t="str">
        <f t="shared" si="1207"/>
        <v>99999</v>
      </c>
      <c r="B34908" s="2" t="str">
        <f>"63068"</f>
        <v>63068</v>
      </c>
      <c r="C34908" s="1">
        <v>2.2919013591848099E-6</v>
      </c>
      <c r="D34908" s="1">
        <v>0</v>
      </c>
      <c r="E34908" s="1">
        <v>0</v>
      </c>
      <c r="F34908" s="1">
        <v>2.08918782624284E-6</v>
      </c>
    </row>
    <row r="34909" spans="1:6" x14ac:dyDescent="0.25">
      <c r="A34909" s="2" t="str">
        <f t="shared" si="1207"/>
        <v>99999</v>
      </c>
      <c r="B34909" s="2" t="str">
        <f>"63091"</f>
        <v>63091</v>
      </c>
      <c r="C34909" s="1">
        <v>6.7883935495855003E-5</v>
      </c>
      <c r="D34909" s="1">
        <v>4.7045682875674899E-5</v>
      </c>
      <c r="E34909" s="1">
        <v>3.0418779685469802E-5</v>
      </c>
      <c r="F34909" s="1">
        <v>6.5660188824775102E-5</v>
      </c>
    </row>
    <row r="34910" spans="1:6" x14ac:dyDescent="0.25">
      <c r="A34910" s="2" t="str">
        <f t="shared" si="1207"/>
        <v>99999</v>
      </c>
      <c r="B34910" s="2" t="str">
        <f>"62984"</f>
        <v>62984</v>
      </c>
      <c r="C34910" s="1">
        <v>7.4650501413448304E-5</v>
      </c>
      <c r="D34910" s="1">
        <v>3.1869656141586203E-5</v>
      </c>
      <c r="E34910" s="1">
        <v>1.7382159820268399E-5</v>
      </c>
      <c r="F34910" s="1">
        <v>7.0534960419341698E-5</v>
      </c>
    </row>
    <row r="34911" spans="1:6" x14ac:dyDescent="0.25">
      <c r="A34911" s="2" t="str">
        <f t="shared" si="1207"/>
        <v>99999</v>
      </c>
      <c r="B34911" s="2" t="str">
        <f>"62964"</f>
        <v>62964</v>
      </c>
      <c r="C34911" s="1">
        <v>9.23308833271597E-5</v>
      </c>
      <c r="D34911" s="1">
        <v>1.91217936849517E-4</v>
      </c>
      <c r="E34911" s="1">
        <v>8.69107991013423E-5</v>
      </c>
      <c r="F34911" s="1">
        <v>9.8689253506328603E-5</v>
      </c>
    </row>
    <row r="34912" spans="1:6" x14ac:dyDescent="0.25">
      <c r="A34912" s="2" t="str">
        <f t="shared" si="1207"/>
        <v>99999</v>
      </c>
      <c r="B34912" s="2" t="str">
        <f>"62861"</f>
        <v>62861</v>
      </c>
      <c r="C34912" s="1">
        <v>1.09138159961181E-7</v>
      </c>
      <c r="D34912" s="1">
        <v>0</v>
      </c>
      <c r="E34912" s="1">
        <v>4.3455399550671099E-6</v>
      </c>
      <c r="F34912" s="1">
        <v>1.9897026916598501E-7</v>
      </c>
    </row>
    <row r="34913" spans="1:6" x14ac:dyDescent="0.25">
      <c r="A34913" s="2" t="str">
        <f t="shared" si="1207"/>
        <v>99999</v>
      </c>
      <c r="B34913" s="2" t="str">
        <f>"62854"</f>
        <v>62854</v>
      </c>
      <c r="C34913" s="1">
        <v>7.63967119728272E-7</v>
      </c>
      <c r="D34913" s="1">
        <v>0</v>
      </c>
      <c r="E34913" s="1">
        <v>0</v>
      </c>
      <c r="F34913" s="1">
        <v>6.9639594208094799E-7</v>
      </c>
    </row>
    <row r="34914" spans="1:6" x14ac:dyDescent="0.25">
      <c r="A34914" s="2" t="str">
        <f t="shared" si="1207"/>
        <v>99999</v>
      </c>
      <c r="B34914" s="2" t="str">
        <f>"62851"</f>
        <v>62851</v>
      </c>
      <c r="C34914" s="1">
        <v>1.33148555152641E-5</v>
      </c>
      <c r="D34914" s="1">
        <v>7.5880133670443404E-6</v>
      </c>
      <c r="E34914" s="1">
        <v>4.3455399550671099E-6</v>
      </c>
      <c r="F34914" s="1">
        <v>1.2734097226623E-5</v>
      </c>
    </row>
    <row r="34915" spans="1:6" x14ac:dyDescent="0.25">
      <c r="A34915" s="2" t="str">
        <f t="shared" si="1207"/>
        <v>99999</v>
      </c>
      <c r="B34915" s="2" t="str">
        <f>"62862"</f>
        <v>62862</v>
      </c>
      <c r="C34915" s="1">
        <v>2.02996977527798E-5</v>
      </c>
      <c r="D34915" s="1">
        <v>7.5880133670443404E-6</v>
      </c>
      <c r="E34915" s="1">
        <v>4.3455399550671099E-6</v>
      </c>
      <c r="F34915" s="1">
        <v>1.9101145839934498E-5</v>
      </c>
    </row>
    <row r="34916" spans="1:6" x14ac:dyDescent="0.25">
      <c r="A34916" s="2" t="str">
        <f t="shared" si="1207"/>
        <v>99999</v>
      </c>
      <c r="B34916" s="2" t="str">
        <f>"62836"</f>
        <v>62836</v>
      </c>
      <c r="C34916" s="1">
        <v>3.3941967747927502E-5</v>
      </c>
      <c r="D34916" s="1">
        <v>2.7316848121359601E-5</v>
      </c>
      <c r="E34916" s="1">
        <v>4.3455399550671099E-6</v>
      </c>
      <c r="F34916" s="1">
        <v>3.2830094412387497E-5</v>
      </c>
    </row>
    <row r="34917" spans="1:6" x14ac:dyDescent="0.25">
      <c r="A34917" s="2" t="str">
        <f t="shared" si="1207"/>
        <v>99999</v>
      </c>
      <c r="B34917" s="2" t="str">
        <f>"62829"</f>
        <v>62829</v>
      </c>
      <c r="C34917" s="1">
        <v>0</v>
      </c>
      <c r="D34917" s="1">
        <v>0</v>
      </c>
      <c r="E34917" s="1">
        <v>4.3455399550671099E-6</v>
      </c>
      <c r="F34917" s="1">
        <v>9.9485134582992598E-8</v>
      </c>
    </row>
    <row r="34918" spans="1:6" x14ac:dyDescent="0.25">
      <c r="A34918" s="2" t="str">
        <f t="shared" si="1207"/>
        <v>99999</v>
      </c>
      <c r="B34918" s="2" t="str">
        <f>"62818"</f>
        <v>62818</v>
      </c>
      <c r="C34918" s="1">
        <v>1.8335210873478499E-5</v>
      </c>
      <c r="D34918" s="1">
        <v>1.5176026734088599E-5</v>
      </c>
      <c r="E34918" s="1">
        <v>4.3455399550671099E-6</v>
      </c>
      <c r="F34918" s="1">
        <v>1.7807839090355599E-5</v>
      </c>
    </row>
    <row r="34919" spans="1:6" x14ac:dyDescent="0.25">
      <c r="A34919" s="2" t="str">
        <f t="shared" si="1207"/>
        <v>99999</v>
      </c>
      <c r="B34919" s="2" t="str">
        <f>"62825"</f>
        <v>62825</v>
      </c>
      <c r="C34919" s="1">
        <v>2.1827631992236301E-7</v>
      </c>
      <c r="D34919" s="1">
        <v>0</v>
      </c>
      <c r="E34919" s="1">
        <v>4.3455399550671099E-6</v>
      </c>
      <c r="F34919" s="1">
        <v>2.9845540374897701E-7</v>
      </c>
    </row>
    <row r="34920" spans="1:6" x14ac:dyDescent="0.25">
      <c r="A34920" s="2" t="str">
        <f t="shared" si="1207"/>
        <v>99999</v>
      </c>
      <c r="B34920" s="2" t="str">
        <f>"62824"</f>
        <v>62824</v>
      </c>
      <c r="C34920" s="1">
        <v>9.3203988606849197E-5</v>
      </c>
      <c r="D34920" s="1">
        <v>4.8563285549083798E-5</v>
      </c>
      <c r="E34920" s="1">
        <v>1.3036619865201299E-5</v>
      </c>
      <c r="F34920" s="1">
        <v>8.84422846442804E-5</v>
      </c>
    </row>
    <row r="34921" spans="1:6" x14ac:dyDescent="0.25">
      <c r="A34921" s="2" t="str">
        <f t="shared" si="1207"/>
        <v>99999</v>
      </c>
      <c r="B34921" s="2" t="str">
        <f>"62941"</f>
        <v>62941</v>
      </c>
      <c r="C34921" s="1">
        <v>2.5756605750838801E-5</v>
      </c>
      <c r="D34921" s="1">
        <v>6.0704106936354696E-6</v>
      </c>
      <c r="E34921" s="1">
        <v>8.69107991013423E-6</v>
      </c>
      <c r="F34921" s="1">
        <v>2.40754025690842E-5</v>
      </c>
    </row>
    <row r="34922" spans="1:6" x14ac:dyDescent="0.25">
      <c r="A34922" s="2" t="str">
        <f t="shared" si="1207"/>
        <v>99999</v>
      </c>
      <c r="B34922" s="2" t="str">
        <f>"62886"</f>
        <v>62886</v>
      </c>
      <c r="C34922" s="1">
        <v>1.36422699951477E-5</v>
      </c>
      <c r="D34922" s="1">
        <v>4.5528080202265997E-6</v>
      </c>
      <c r="E34922" s="1">
        <v>4.3455399550671099E-6</v>
      </c>
      <c r="F34922" s="1">
        <v>1.2833582361206E-5</v>
      </c>
    </row>
    <row r="34923" spans="1:6" x14ac:dyDescent="0.25">
      <c r="A34923" s="2" t="str">
        <f t="shared" si="1207"/>
        <v>99999</v>
      </c>
      <c r="B34923" s="2" t="str">
        <f>"62897"</f>
        <v>62897</v>
      </c>
      <c r="C34923" s="1">
        <v>2.51017767910718E-5</v>
      </c>
      <c r="D34923" s="1">
        <v>3.9457669508630602E-5</v>
      </c>
      <c r="E34923" s="1">
        <v>1.3036619865201299E-5</v>
      </c>
      <c r="F34923" s="1">
        <v>2.5766649856994999E-5</v>
      </c>
    </row>
    <row r="34924" spans="1:6" x14ac:dyDescent="0.25">
      <c r="A34924" s="2" t="str">
        <f t="shared" si="1207"/>
        <v>99999</v>
      </c>
      <c r="B34924" s="2" t="str">
        <f>"62895"</f>
        <v>62895</v>
      </c>
      <c r="C34924" s="1">
        <v>8.5346041089644104E-5</v>
      </c>
      <c r="D34924" s="1">
        <v>3.3387258814995101E-5</v>
      </c>
      <c r="E34924" s="1">
        <v>3.0418779685469802E-5</v>
      </c>
      <c r="F34924" s="1">
        <v>8.0682444146807004E-5</v>
      </c>
    </row>
    <row r="34925" spans="1:6" x14ac:dyDescent="0.25">
      <c r="A34925" s="2" t="str">
        <f t="shared" si="1207"/>
        <v>99999</v>
      </c>
      <c r="B34925" s="2" t="str">
        <f>"62885"</f>
        <v>62885</v>
      </c>
      <c r="C34925" s="1">
        <v>4.05993955055596E-5</v>
      </c>
      <c r="D34925" s="1">
        <v>1.3658424060679801E-5</v>
      </c>
      <c r="E34925" s="1">
        <v>4.3455399550671099E-6</v>
      </c>
      <c r="F34925" s="1">
        <v>3.8003321410703101E-5</v>
      </c>
    </row>
    <row r="34926" spans="1:6" x14ac:dyDescent="0.25">
      <c r="A34926" s="2" t="str">
        <f t="shared" si="1207"/>
        <v>99999</v>
      </c>
      <c r="B34926" s="2" t="str">
        <f>"62907"</f>
        <v>62907</v>
      </c>
      <c r="C34926" s="1">
        <v>5.4569079980590801E-7</v>
      </c>
      <c r="D34926" s="1">
        <v>0</v>
      </c>
      <c r="E34926" s="1">
        <v>0</v>
      </c>
      <c r="F34926" s="1">
        <v>4.9742567291496303E-7</v>
      </c>
    </row>
    <row r="34927" spans="1:6" x14ac:dyDescent="0.25">
      <c r="A34927" s="2" t="str">
        <f t="shared" si="1207"/>
        <v>99999</v>
      </c>
      <c r="B34927" s="2" t="str">
        <f>"62920"</f>
        <v>62920</v>
      </c>
      <c r="C34927" s="1">
        <v>1.45262890908332E-4</v>
      </c>
      <c r="D34927" s="1">
        <v>6.8292120303399095E-5</v>
      </c>
      <c r="E34927" s="1">
        <v>3.9109859595604001E-5</v>
      </c>
      <c r="F34927" s="1">
        <v>1.3778691139744399E-4</v>
      </c>
    </row>
    <row r="34928" spans="1:6" x14ac:dyDescent="0.25">
      <c r="A34928" s="2" t="str">
        <f t="shared" si="1207"/>
        <v>99999</v>
      </c>
      <c r="B34928" s="2" t="str">
        <f>"62879"</f>
        <v>62879</v>
      </c>
      <c r="C34928" s="1">
        <v>0</v>
      </c>
      <c r="D34928" s="1">
        <v>0</v>
      </c>
      <c r="E34928" s="1">
        <v>4.3455399550671099E-6</v>
      </c>
      <c r="F34928" s="1">
        <v>9.9485134582992598E-8</v>
      </c>
    </row>
    <row r="34929" spans="1:6" x14ac:dyDescent="0.25">
      <c r="A34929" s="2" t="str">
        <f t="shared" si="1207"/>
        <v>99999</v>
      </c>
      <c r="B34929" s="2" t="str">
        <f>"62880"</f>
        <v>62880</v>
      </c>
      <c r="C34929" s="1">
        <v>2.8485059749868399E-5</v>
      </c>
      <c r="D34929" s="1">
        <v>7.5880133670443404E-6</v>
      </c>
      <c r="E34929" s="1">
        <v>1.3036619865201299E-5</v>
      </c>
      <c r="F34929" s="1">
        <v>2.6761501202825001E-5</v>
      </c>
    </row>
    <row r="34930" spans="1:6" x14ac:dyDescent="0.25">
      <c r="A34930" s="2" t="str">
        <f t="shared" si="1207"/>
        <v>99999</v>
      </c>
      <c r="B34930" s="2" t="str">
        <f>"62871"</f>
        <v>62871</v>
      </c>
      <c r="C34930" s="1">
        <v>4.27821587047832E-5</v>
      </c>
      <c r="D34930" s="1">
        <v>1.5176026734088599E-5</v>
      </c>
      <c r="E34930" s="1">
        <v>8.69107991013423E-6</v>
      </c>
      <c r="F34930" s="1">
        <v>4.0191994371529001E-5</v>
      </c>
    </row>
    <row r="34931" spans="1:6" x14ac:dyDescent="0.25">
      <c r="A34931" s="2" t="str">
        <f t="shared" si="1207"/>
        <v>99999</v>
      </c>
      <c r="B34931" s="2" t="str">
        <f>"62467"</f>
        <v>62467</v>
      </c>
      <c r="C34931" s="1">
        <v>2.7284539990295402E-6</v>
      </c>
      <c r="D34931" s="1">
        <v>4.5528080202265997E-6</v>
      </c>
      <c r="E34931" s="1">
        <v>0</v>
      </c>
      <c r="F34931" s="1">
        <v>2.7855837683237898E-6</v>
      </c>
    </row>
    <row r="34932" spans="1:6" x14ac:dyDescent="0.25">
      <c r="A34932" s="2" t="str">
        <f t="shared" si="1207"/>
        <v>99999</v>
      </c>
      <c r="B34932" s="2" t="str">
        <f>"62471"</f>
        <v>62471</v>
      </c>
      <c r="C34932" s="1">
        <v>4.67438739113741E-4</v>
      </c>
      <c r="D34932" s="1">
        <v>8.8476235859736999E-4</v>
      </c>
      <c r="E34932" s="1">
        <v>7.2570517249620796E-4</v>
      </c>
      <c r="F34932" s="1">
        <v>5.0070868235620105E-4</v>
      </c>
    </row>
    <row r="34933" spans="1:6" x14ac:dyDescent="0.25">
      <c r="A34933" s="2" t="str">
        <f t="shared" si="1207"/>
        <v>99999</v>
      </c>
      <c r="B34933" s="2" t="str">
        <f>"62466"</f>
        <v>62466</v>
      </c>
      <c r="C34933" s="1">
        <v>1.2823733795438801E-4</v>
      </c>
      <c r="D34933" s="1">
        <v>1.39619445953615E-4</v>
      </c>
      <c r="E34933" s="1">
        <v>9.1256339056409395E-5</v>
      </c>
      <c r="F34933" s="1">
        <v>1.2813685334289401E-4</v>
      </c>
    </row>
    <row r="34934" spans="1:6" x14ac:dyDescent="0.25">
      <c r="A34934" s="2" t="str">
        <f t="shared" si="1207"/>
        <v>99999</v>
      </c>
      <c r="B34934" s="2" t="str">
        <f>"62463"</f>
        <v>62463</v>
      </c>
      <c r="C34934" s="1">
        <v>5.5878737900124998E-5</v>
      </c>
      <c r="D34934" s="1">
        <v>1.8211232080906399E-5</v>
      </c>
      <c r="E34934" s="1">
        <v>3.9109859595604001E-5</v>
      </c>
      <c r="F34934" s="1">
        <v>5.3025576732735003E-5</v>
      </c>
    </row>
    <row r="34935" spans="1:6" x14ac:dyDescent="0.25">
      <c r="A34935" s="2" t="str">
        <f t="shared" si="1207"/>
        <v>99999</v>
      </c>
      <c r="B34935" s="2" t="str">
        <f>"62452"</f>
        <v>62452</v>
      </c>
      <c r="C34935" s="1">
        <v>2.30281517518093E-5</v>
      </c>
      <c r="D34935" s="1">
        <v>6.0704106936354696E-6</v>
      </c>
      <c r="E34935" s="1">
        <v>8.69107991013423E-6</v>
      </c>
      <c r="F34935" s="1">
        <v>2.15882742045094E-5</v>
      </c>
    </row>
    <row r="34936" spans="1:6" x14ac:dyDescent="0.25">
      <c r="A34936" s="2" t="str">
        <f t="shared" si="1207"/>
        <v>99999</v>
      </c>
      <c r="B34936" s="2" t="str">
        <f>"62438"</f>
        <v>62438</v>
      </c>
      <c r="C34936" s="1">
        <v>1.7898658233633802E-5</v>
      </c>
      <c r="D34936" s="1">
        <v>1.51760267340886E-6</v>
      </c>
      <c r="E34936" s="1">
        <v>4.3455399550671099E-6</v>
      </c>
      <c r="F34936" s="1">
        <v>1.65145323407767E-5</v>
      </c>
    </row>
    <row r="34937" spans="1:6" x14ac:dyDescent="0.25">
      <c r="A34937" s="2" t="str">
        <f t="shared" si="1207"/>
        <v>99999</v>
      </c>
      <c r="B34937" s="2" t="str">
        <f>"62446"</f>
        <v>62446</v>
      </c>
      <c r="C34937" s="1">
        <v>1.9426592473090299E-5</v>
      </c>
      <c r="D34937" s="1">
        <v>1.8211232080906399E-5</v>
      </c>
      <c r="E34937" s="1">
        <v>8.69107991013423E-6</v>
      </c>
      <c r="F34937" s="1">
        <v>1.9101145839934498E-5</v>
      </c>
    </row>
    <row r="34938" spans="1:6" x14ac:dyDescent="0.25">
      <c r="A34938" s="2" t="str">
        <f t="shared" si="1207"/>
        <v>99999</v>
      </c>
      <c r="B34938" s="2" t="str">
        <f>"62434"</f>
        <v>62434</v>
      </c>
      <c r="C34938" s="1">
        <v>1.8116934553556101E-5</v>
      </c>
      <c r="D34938" s="1">
        <v>0</v>
      </c>
      <c r="E34938" s="1">
        <v>4.3455399550671099E-6</v>
      </c>
      <c r="F34938" s="1">
        <v>1.6614017475359701E-5</v>
      </c>
    </row>
    <row r="34939" spans="1:6" x14ac:dyDescent="0.25">
      <c r="A34939" s="2" t="str">
        <f t="shared" si="1207"/>
        <v>99999</v>
      </c>
      <c r="B34939" s="2" t="str">
        <f>"62433"</f>
        <v>62433</v>
      </c>
      <c r="C34939" s="1">
        <v>3.7980079666491197E-5</v>
      </c>
      <c r="D34939" s="1">
        <v>9.1056160404532095E-6</v>
      </c>
      <c r="E34939" s="1">
        <v>2.60732397304027E-5</v>
      </c>
      <c r="F34939" s="1">
        <v>3.5814648449877303E-5</v>
      </c>
    </row>
    <row r="34940" spans="1:6" x14ac:dyDescent="0.25">
      <c r="A34940" s="2" t="str">
        <f t="shared" si="1207"/>
        <v>99999</v>
      </c>
      <c r="B34940" s="2" t="str">
        <f>"62427"</f>
        <v>62427</v>
      </c>
      <c r="C34940" s="1">
        <v>8.6000870049411196E-5</v>
      </c>
      <c r="D34940" s="1">
        <v>2.4281642774541899E-5</v>
      </c>
      <c r="E34940" s="1">
        <v>2.1727699775335501E-5</v>
      </c>
      <c r="F34940" s="1">
        <v>8.0483473877640993E-5</v>
      </c>
    </row>
    <row r="34941" spans="1:6" x14ac:dyDescent="0.25">
      <c r="A34941" s="2" t="str">
        <f t="shared" si="1207"/>
        <v>99999</v>
      </c>
      <c r="B34941" s="2" t="str">
        <f>"62671"</f>
        <v>62671</v>
      </c>
      <c r="C34941" s="1">
        <v>9.8224343965063504E-7</v>
      </c>
      <c r="D34941" s="1">
        <v>1.51760267340886E-6</v>
      </c>
      <c r="E34941" s="1">
        <v>0</v>
      </c>
      <c r="F34941" s="1">
        <v>9.9485134582992606E-7</v>
      </c>
    </row>
    <row r="34942" spans="1:6" x14ac:dyDescent="0.25">
      <c r="A34942" s="2" t="str">
        <f t="shared" si="1207"/>
        <v>99999</v>
      </c>
      <c r="B34942" s="2" t="str">
        <f>"62550"</f>
        <v>62550</v>
      </c>
      <c r="C34942" s="1">
        <v>1.19506285157494E-4</v>
      </c>
      <c r="D34942" s="1">
        <v>1.4417225397384201E-4</v>
      </c>
      <c r="E34942" s="1">
        <v>1.08638498876677E-4</v>
      </c>
      <c r="F34942" s="1">
        <v>1.20874438518336E-4</v>
      </c>
    </row>
    <row r="34943" spans="1:6" x14ac:dyDescent="0.25">
      <c r="A34943" s="2" t="str">
        <f t="shared" si="1207"/>
        <v>99999</v>
      </c>
      <c r="B34943" s="2" t="str">
        <f>"62633"</f>
        <v>62633</v>
      </c>
      <c r="C34943" s="1">
        <v>3.52516256674617E-5</v>
      </c>
      <c r="D34943" s="1">
        <v>7.5880133670443404E-6</v>
      </c>
      <c r="E34943" s="1">
        <v>0</v>
      </c>
      <c r="F34943" s="1">
        <v>3.26311241432215E-5</v>
      </c>
    </row>
    <row r="34944" spans="1:6" x14ac:dyDescent="0.25">
      <c r="A34944" s="2" t="str">
        <f t="shared" si="1207"/>
        <v>99999</v>
      </c>
      <c r="B34944" s="2" t="str">
        <f>"62366"</f>
        <v>62366</v>
      </c>
      <c r="C34944" s="1">
        <v>8.4036383170109905E-5</v>
      </c>
      <c r="D34944" s="1">
        <v>1.198906111993E-4</v>
      </c>
      <c r="E34944" s="1">
        <v>1.7382159820268399E-5</v>
      </c>
      <c r="F34944" s="1">
        <v>8.4860819799292698E-5</v>
      </c>
    </row>
    <row r="34945" spans="1:6" x14ac:dyDescent="0.25">
      <c r="A34945" s="2" t="str">
        <f t="shared" si="1207"/>
        <v>99999</v>
      </c>
      <c r="B34945" s="2" t="str">
        <f>"62311"</f>
        <v>62311</v>
      </c>
      <c r="C34945" s="1">
        <v>6.5482895976708995E-7</v>
      </c>
      <c r="D34945" s="1">
        <v>0</v>
      </c>
      <c r="E34945" s="1">
        <v>0</v>
      </c>
      <c r="F34945" s="1">
        <v>5.9691080749795498E-7</v>
      </c>
    </row>
    <row r="34946" spans="1:6" x14ac:dyDescent="0.25">
      <c r="A34946" s="2" t="str">
        <f t="shared" si="1207"/>
        <v>99999</v>
      </c>
      <c r="B34946" s="2" t="str">
        <f>"62312"</f>
        <v>62312</v>
      </c>
      <c r="C34946" s="1">
        <v>1.08155916521531E-4</v>
      </c>
      <c r="D34946" s="1">
        <v>1.9273553952292601E-4</v>
      </c>
      <c r="E34946" s="1">
        <v>9.9947418966543598E-5</v>
      </c>
      <c r="F34946" s="1">
        <v>1.1351253855919401E-4</v>
      </c>
    </row>
    <row r="34947" spans="1:6" x14ac:dyDescent="0.25">
      <c r="A34947" s="2" t="str">
        <f t="shared" si="1207"/>
        <v>99999</v>
      </c>
      <c r="B34947" s="2" t="str">
        <f>"62076"</f>
        <v>62076</v>
      </c>
      <c r="C34947" s="1">
        <v>3.7106974386801701E-6</v>
      </c>
      <c r="D34947" s="1">
        <v>0</v>
      </c>
      <c r="E34947" s="1">
        <v>4.3455399550671099E-6</v>
      </c>
      <c r="F34947" s="1">
        <v>3.48197971040474E-6</v>
      </c>
    </row>
    <row r="34948" spans="1:6" x14ac:dyDescent="0.25">
      <c r="A34948" s="2" t="str">
        <f t="shared" si="1207"/>
        <v>99999</v>
      </c>
      <c r="B34948" s="2" t="str">
        <f>"62069"</f>
        <v>62069</v>
      </c>
      <c r="C34948" s="1">
        <v>7.63967119728272E-7</v>
      </c>
      <c r="D34948" s="1">
        <v>0</v>
      </c>
      <c r="E34948" s="1">
        <v>0</v>
      </c>
      <c r="F34948" s="1">
        <v>6.9639594208094799E-7</v>
      </c>
    </row>
    <row r="34949" spans="1:6" x14ac:dyDescent="0.25">
      <c r="A34949" s="2" t="str">
        <f t="shared" si="1207"/>
        <v>99999</v>
      </c>
      <c r="B34949" s="2" t="str">
        <f>"62083"</f>
        <v>62083</v>
      </c>
      <c r="C34949" s="1">
        <v>2.6193158390683598E-6</v>
      </c>
      <c r="D34949" s="1">
        <v>0</v>
      </c>
      <c r="E34949" s="1">
        <v>0</v>
      </c>
      <c r="F34949" s="1">
        <v>2.3876432299918199E-6</v>
      </c>
    </row>
    <row r="34950" spans="1:6" x14ac:dyDescent="0.25">
      <c r="A34950" s="2" t="str">
        <f t="shared" si="1207"/>
        <v>99999</v>
      </c>
      <c r="B34950" s="2" t="str">
        <f>"62075"</f>
        <v>62075</v>
      </c>
      <c r="C34950" s="1">
        <v>1.7745864809688101E-4</v>
      </c>
      <c r="D34950" s="1">
        <v>2.4129882507200999E-4</v>
      </c>
      <c r="E34950" s="1">
        <v>1.08638498876677E-4</v>
      </c>
      <c r="F34950" s="1">
        <v>1.8006809359521599E-4</v>
      </c>
    </row>
    <row r="34951" spans="1:6" x14ac:dyDescent="0.25">
      <c r="A34951" s="2" t="str">
        <f t="shared" si="1207"/>
        <v>99999</v>
      </c>
      <c r="B34951" s="2" t="str">
        <f>"62277"</f>
        <v>62277</v>
      </c>
      <c r="C34951" s="1">
        <v>5.2932007581173103E-5</v>
      </c>
      <c r="D34951" s="1">
        <v>2.2764040101133E-5</v>
      </c>
      <c r="E34951" s="1">
        <v>4.3455399550671099E-6</v>
      </c>
      <c r="F34951" s="1">
        <v>4.9842052426079301E-5</v>
      </c>
    </row>
    <row r="34952" spans="1:6" x14ac:dyDescent="0.25">
      <c r="A34952" s="2" t="str">
        <f t="shared" si="1207"/>
        <v>99999</v>
      </c>
      <c r="B34952" s="2" t="str">
        <f>"62274"</f>
        <v>62274</v>
      </c>
      <c r="C34952" s="1">
        <v>3.3145259180210801E-4</v>
      </c>
      <c r="D34952" s="1">
        <v>4.2644635122789202E-4</v>
      </c>
      <c r="E34952" s="1">
        <v>3.0853333680976502E-4</v>
      </c>
      <c r="F34952" s="1">
        <v>3.3715512110176198E-4</v>
      </c>
    </row>
    <row r="34953" spans="1:6" x14ac:dyDescent="0.25">
      <c r="A34953" s="2" t="str">
        <f t="shared" si="1207"/>
        <v>99999</v>
      </c>
      <c r="B34953" s="2" t="str">
        <f>"62027"</f>
        <v>62027</v>
      </c>
      <c r="C34953" s="1">
        <v>3.4487658547733398E-5</v>
      </c>
      <c r="D34953" s="1">
        <v>1.0623218713862E-5</v>
      </c>
      <c r="E34953" s="1">
        <v>8.69107991013423E-6</v>
      </c>
      <c r="F34953" s="1">
        <v>3.2332668739472599E-5</v>
      </c>
    </row>
    <row r="34954" spans="1:6" x14ac:dyDescent="0.25">
      <c r="A34954" s="2" t="str">
        <f t="shared" si="1207"/>
        <v>99999</v>
      </c>
      <c r="B34954" s="2" t="str">
        <f>"61756"</f>
        <v>61756</v>
      </c>
      <c r="C34954" s="1">
        <v>1.1896059435768801E-5</v>
      </c>
      <c r="D34954" s="1">
        <v>3.0352053468177301E-6</v>
      </c>
      <c r="E34954" s="1">
        <v>0</v>
      </c>
      <c r="F34954" s="1">
        <v>1.10428499387121E-5</v>
      </c>
    </row>
    <row r="34955" spans="1:6" x14ac:dyDescent="0.25">
      <c r="A34955" s="2" t="str">
        <f t="shared" si="1207"/>
        <v>99999</v>
      </c>
      <c r="B34955" s="2" t="str">
        <f>"61754"</f>
        <v>61754</v>
      </c>
      <c r="C34955" s="1">
        <v>2.4010395191459898E-6</v>
      </c>
      <c r="D34955" s="1">
        <v>0</v>
      </c>
      <c r="E34955" s="1">
        <v>0</v>
      </c>
      <c r="F34955" s="1">
        <v>2.1886729608258301E-6</v>
      </c>
    </row>
    <row r="34956" spans="1:6" x14ac:dyDescent="0.25">
      <c r="A34956" s="2" t="str">
        <f t="shared" si="1207"/>
        <v>99999</v>
      </c>
      <c r="B34956" s="2" t="str">
        <f>"61949"</f>
        <v>61949</v>
      </c>
      <c r="C34956" s="1">
        <v>8.4036383170109905E-6</v>
      </c>
      <c r="D34956" s="1">
        <v>0</v>
      </c>
      <c r="E34956" s="1">
        <v>1.3036619865201299E-5</v>
      </c>
      <c r="F34956" s="1">
        <v>7.9588107666394102E-6</v>
      </c>
    </row>
    <row r="34957" spans="1:6" x14ac:dyDescent="0.25">
      <c r="A34957" s="2" t="str">
        <f t="shared" si="1207"/>
        <v>99999</v>
      </c>
      <c r="B34957" s="2" t="str">
        <f>"61955"</f>
        <v>61955</v>
      </c>
      <c r="C34957" s="1">
        <v>1.04772633562734E-5</v>
      </c>
      <c r="D34957" s="1">
        <v>0</v>
      </c>
      <c r="E34957" s="1">
        <v>4.3455399550671099E-6</v>
      </c>
      <c r="F34957" s="1">
        <v>9.6500580545502799E-6</v>
      </c>
    </row>
    <row r="34958" spans="1:6" x14ac:dyDescent="0.25">
      <c r="A34958" s="2" t="str">
        <f t="shared" si="1207"/>
        <v>99999</v>
      </c>
      <c r="B34958" s="2" t="str">
        <f>"61944"</f>
        <v>61944</v>
      </c>
      <c r="C34958" s="1">
        <v>6.8375057215680295E-4</v>
      </c>
      <c r="D34958" s="1">
        <v>8.6806872918987303E-4</v>
      </c>
      <c r="E34958" s="1">
        <v>7.3874179236140902E-4</v>
      </c>
      <c r="F34958" s="1">
        <v>6.9709233802302901E-4</v>
      </c>
    </row>
    <row r="34959" spans="1:6" x14ac:dyDescent="0.25">
      <c r="A34959" s="2" t="str">
        <f t="shared" si="1207"/>
        <v>99999</v>
      </c>
      <c r="B34959" s="2" t="str">
        <f>"61942"</f>
        <v>61942</v>
      </c>
      <c r="C34959" s="1">
        <v>6.3300132777485398E-5</v>
      </c>
      <c r="D34959" s="1">
        <v>3.9457669508630602E-5</v>
      </c>
      <c r="E34959" s="1">
        <v>2.60732397304027E-5</v>
      </c>
      <c r="F34959" s="1">
        <v>6.0884902364791397E-5</v>
      </c>
    </row>
    <row r="34960" spans="1:6" x14ac:dyDescent="0.25">
      <c r="A34960" s="2" t="str">
        <f t="shared" si="1207"/>
        <v>99999</v>
      </c>
      <c r="B34960" s="2" t="str">
        <f>"61842"</f>
        <v>61842</v>
      </c>
      <c r="C34960" s="1">
        <v>1.4024253555011801E-4</v>
      </c>
      <c r="D34960" s="1">
        <v>2.33710811704965E-4</v>
      </c>
      <c r="E34960" s="1">
        <v>2.2162253770842199E-4</v>
      </c>
      <c r="F34960" s="1">
        <v>1.4823285052865899E-4</v>
      </c>
    </row>
    <row r="34961" spans="1:6" x14ac:dyDescent="0.25">
      <c r="A34961" s="2" t="str">
        <f t="shared" si="1207"/>
        <v>99999</v>
      </c>
      <c r="B34961" s="2" t="str">
        <f>"61929"</f>
        <v>61929</v>
      </c>
      <c r="C34961" s="1">
        <v>1.3096579195341799E-6</v>
      </c>
      <c r="D34961" s="1">
        <v>0</v>
      </c>
      <c r="E34961" s="1">
        <v>0</v>
      </c>
      <c r="F34961" s="1">
        <v>1.19382161499591E-6</v>
      </c>
    </row>
    <row r="34962" spans="1:6" x14ac:dyDescent="0.25">
      <c r="A34962" s="2" t="str">
        <f t="shared" ref="A34962:A35025" si="1208">"99999"</f>
        <v>99999</v>
      </c>
      <c r="B34962" s="2" t="str">
        <f>"61731"</f>
        <v>61731</v>
      </c>
      <c r="C34962" s="1">
        <v>1.09138159961181E-7</v>
      </c>
      <c r="D34962" s="1">
        <v>0</v>
      </c>
      <c r="E34962" s="1">
        <v>0</v>
      </c>
      <c r="F34962" s="1">
        <v>9.9485134582992598E-8</v>
      </c>
    </row>
    <row r="34963" spans="1:6" x14ac:dyDescent="0.25">
      <c r="A34963" s="2" t="str">
        <f t="shared" si="1208"/>
        <v>99999</v>
      </c>
      <c r="B34963" s="2" t="str">
        <f>"61546"</f>
        <v>61546</v>
      </c>
      <c r="C34963" s="1">
        <v>1.2539974579539701E-4</v>
      </c>
      <c r="D34963" s="1">
        <v>8.65033523843055E-5</v>
      </c>
      <c r="E34963" s="1">
        <v>9.5601879011476503E-5</v>
      </c>
      <c r="F34963" s="1">
        <v>1.2216774526791399E-4</v>
      </c>
    </row>
    <row r="34964" spans="1:6" x14ac:dyDescent="0.25">
      <c r="A34964" s="2" t="str">
        <f t="shared" si="1208"/>
        <v>99999</v>
      </c>
      <c r="B34964" s="2" t="str">
        <f>"61064"</f>
        <v>61064</v>
      </c>
      <c r="C34964" s="1">
        <v>9.8224343965063504E-7</v>
      </c>
      <c r="D34964" s="1">
        <v>0</v>
      </c>
      <c r="E34964" s="1">
        <v>0</v>
      </c>
      <c r="F34964" s="1">
        <v>8.9536621124693305E-7</v>
      </c>
    </row>
    <row r="34965" spans="1:6" x14ac:dyDescent="0.25">
      <c r="A34965" s="2" t="str">
        <f t="shared" si="1208"/>
        <v>99999</v>
      </c>
      <c r="B34965" s="2" t="str">
        <f>"61074"</f>
        <v>61074</v>
      </c>
      <c r="C34965" s="1">
        <v>2.8375921589907202E-4</v>
      </c>
      <c r="D34965" s="1">
        <v>4.1582313251402997E-4</v>
      </c>
      <c r="E34965" s="1">
        <v>3.8240751604590601E-4</v>
      </c>
      <c r="F34965" s="1">
        <v>2.9467496863482402E-4</v>
      </c>
    </row>
    <row r="34966" spans="1:6" x14ac:dyDescent="0.25">
      <c r="A34966" s="2" t="str">
        <f t="shared" si="1208"/>
        <v>99999</v>
      </c>
      <c r="B34966" s="2" t="str">
        <f>"60968"</f>
        <v>60968</v>
      </c>
      <c r="C34966" s="1">
        <v>2.1281941192430401E-5</v>
      </c>
      <c r="D34966" s="1">
        <v>4.5528080202265997E-6</v>
      </c>
      <c r="E34966" s="1">
        <v>3.86753056000973E-4</v>
      </c>
      <c r="F34966" s="1">
        <v>2.8552233625318801E-5</v>
      </c>
    </row>
    <row r="34967" spans="1:6" x14ac:dyDescent="0.25">
      <c r="A34967" s="2" t="str">
        <f t="shared" si="1208"/>
        <v>99999</v>
      </c>
      <c r="B34967" s="2" t="str">
        <f>"60939"</f>
        <v>60939</v>
      </c>
      <c r="C34967" s="1">
        <v>1.52793423945654E-6</v>
      </c>
      <c r="D34967" s="1">
        <v>1.51760267340886E-6</v>
      </c>
      <c r="E34967" s="1">
        <v>0</v>
      </c>
      <c r="F34967" s="1">
        <v>1.4922770187448801E-6</v>
      </c>
    </row>
    <row r="34968" spans="1:6" x14ac:dyDescent="0.25">
      <c r="A34968" s="2" t="str">
        <f t="shared" si="1208"/>
        <v>99999</v>
      </c>
      <c r="B34968" s="2" t="str">
        <f>"60929"</f>
        <v>60929</v>
      </c>
      <c r="C34968" s="1">
        <v>1.0913815996118101E-6</v>
      </c>
      <c r="D34968" s="1">
        <v>0</v>
      </c>
      <c r="E34968" s="1">
        <v>0</v>
      </c>
      <c r="F34968" s="1">
        <v>9.9485134582992606E-7</v>
      </c>
    </row>
    <row r="34969" spans="1:6" x14ac:dyDescent="0.25">
      <c r="A34969" s="2" t="str">
        <f t="shared" si="1208"/>
        <v>99999</v>
      </c>
      <c r="B34969" s="2" t="str">
        <f>"60945"</f>
        <v>60945</v>
      </c>
      <c r="C34969" s="1">
        <v>9.4950199166228093E-6</v>
      </c>
      <c r="D34969" s="1">
        <v>2.1246437427724101E-5</v>
      </c>
      <c r="E34969" s="1">
        <v>0</v>
      </c>
      <c r="F34969" s="1">
        <v>1.0047998592882199E-5</v>
      </c>
    </row>
    <row r="34970" spans="1:6" x14ac:dyDescent="0.25">
      <c r="A34970" s="2" t="str">
        <f t="shared" si="1208"/>
        <v>99999</v>
      </c>
      <c r="B34970" s="2" t="str">
        <f>"60942"</f>
        <v>60942</v>
      </c>
      <c r="C34970" s="1">
        <v>8.0762238371274393E-6</v>
      </c>
      <c r="D34970" s="1">
        <v>7.5880133670443404E-6</v>
      </c>
      <c r="E34970" s="1">
        <v>0</v>
      </c>
      <c r="F34970" s="1">
        <v>7.85932563205641E-6</v>
      </c>
    </row>
    <row r="34971" spans="1:6" x14ac:dyDescent="0.25">
      <c r="A34971" s="2" t="str">
        <f t="shared" si="1208"/>
        <v>99999</v>
      </c>
      <c r="B34971" s="2" t="str">
        <f>"60919"</f>
        <v>60919</v>
      </c>
      <c r="C34971" s="1">
        <v>1.93174543131291E-5</v>
      </c>
      <c r="D34971" s="1">
        <v>1.21408213872709E-5</v>
      </c>
      <c r="E34971" s="1">
        <v>1.21675118741879E-4</v>
      </c>
      <c r="F34971" s="1">
        <v>2.1190333666177399E-5</v>
      </c>
    </row>
    <row r="34972" spans="1:6" x14ac:dyDescent="0.25">
      <c r="A34972" s="2" t="str">
        <f t="shared" si="1208"/>
        <v>99999</v>
      </c>
      <c r="B34972" s="2" t="str">
        <f>"60912"</f>
        <v>60912</v>
      </c>
      <c r="C34972" s="1">
        <v>3.3287138788160402E-5</v>
      </c>
      <c r="D34972" s="1">
        <v>7.5880133670443404E-6</v>
      </c>
      <c r="E34972" s="1">
        <v>4.6931831514724801E-4</v>
      </c>
      <c r="F34972" s="1">
        <v>4.1584786255690899E-5</v>
      </c>
    </row>
    <row r="34973" spans="1:6" x14ac:dyDescent="0.25">
      <c r="A34973" s="2" t="str">
        <f t="shared" si="1208"/>
        <v>99999</v>
      </c>
      <c r="B34973" s="2" t="str">
        <f>"18842"</f>
        <v>18842</v>
      </c>
      <c r="C34973" s="1">
        <v>1.15686449558852E-5</v>
      </c>
      <c r="D34973" s="1">
        <v>1.0623218713862E-5</v>
      </c>
      <c r="E34973" s="1">
        <v>8.69107991013423E-6</v>
      </c>
      <c r="F34973" s="1">
        <v>1.1440790477044101E-5</v>
      </c>
    </row>
    <row r="34974" spans="1:6" x14ac:dyDescent="0.25">
      <c r="A34974" s="2" t="str">
        <f t="shared" si="1208"/>
        <v>99999</v>
      </c>
      <c r="B34974" s="2" t="str">
        <f>"18830"</f>
        <v>18830</v>
      </c>
      <c r="C34974" s="1">
        <v>3.63430072670735E-5</v>
      </c>
      <c r="D34974" s="1">
        <v>2.2764040101133E-5</v>
      </c>
      <c r="E34974" s="1">
        <v>1.7382159820268399E-5</v>
      </c>
      <c r="F34974" s="1">
        <v>3.5018767373213403E-5</v>
      </c>
    </row>
    <row r="34975" spans="1:6" x14ac:dyDescent="0.25">
      <c r="A34975" s="2" t="str">
        <f t="shared" si="1208"/>
        <v>99999</v>
      </c>
      <c r="B34975" s="2" t="str">
        <f>"18822"</f>
        <v>18822</v>
      </c>
      <c r="C34975" s="1">
        <v>1.73420536178317E-4</v>
      </c>
      <c r="D34975" s="1">
        <v>1.42654651300433E-4</v>
      </c>
      <c r="E34975" s="1">
        <v>2.4335023748375801E-4</v>
      </c>
      <c r="F34975" s="1">
        <v>1.7300464903982399E-4</v>
      </c>
    </row>
    <row r="34976" spans="1:6" x14ac:dyDescent="0.25">
      <c r="A34976" s="2" t="str">
        <f t="shared" si="1208"/>
        <v>99999</v>
      </c>
      <c r="B34976" s="2" t="str">
        <f>"18436"</f>
        <v>18436</v>
      </c>
      <c r="C34976" s="1">
        <v>6.9597404607245502E-4</v>
      </c>
      <c r="D34976" s="1">
        <v>2.2612279833792101E-4</v>
      </c>
      <c r="E34976" s="1">
        <v>2.9549671694456298E-4</v>
      </c>
      <c r="F34976" s="1">
        <v>6.5600497744025305E-4</v>
      </c>
    </row>
    <row r="34977" spans="1:6" x14ac:dyDescent="0.25">
      <c r="A34977" s="2" t="str">
        <f t="shared" si="1208"/>
        <v>99999</v>
      </c>
      <c r="B34977" s="2" t="str">
        <f>"18415"</f>
        <v>18415</v>
      </c>
      <c r="C34977" s="1">
        <v>8.4036383170109905E-5</v>
      </c>
      <c r="D34977" s="1">
        <v>2.4281642774541899E-5</v>
      </c>
      <c r="E34977" s="1">
        <v>2.60732397304027E-5</v>
      </c>
      <c r="F34977" s="1">
        <v>7.8792226589730107E-5</v>
      </c>
    </row>
    <row r="34978" spans="1:6" x14ac:dyDescent="0.25">
      <c r="A34978" s="2" t="str">
        <f t="shared" si="1208"/>
        <v>99999</v>
      </c>
      <c r="B34978" s="2" t="str">
        <f>"18630"</f>
        <v>18630</v>
      </c>
      <c r="C34978" s="1">
        <v>8.0216547571468507E-5</v>
      </c>
      <c r="D34978" s="1">
        <v>1.0623218713862E-5</v>
      </c>
      <c r="E34978" s="1">
        <v>0</v>
      </c>
      <c r="F34978" s="1">
        <v>7.3817969860580506E-5</v>
      </c>
    </row>
    <row r="34979" spans="1:6" x14ac:dyDescent="0.25">
      <c r="A34979" s="2" t="str">
        <f t="shared" si="1208"/>
        <v>99999</v>
      </c>
      <c r="B34979" s="2" t="str">
        <f>"18455"</f>
        <v>18455</v>
      </c>
      <c r="C34979" s="1">
        <v>7.2031185574379897E-6</v>
      </c>
      <c r="D34979" s="1">
        <v>1.3658424060679801E-5</v>
      </c>
      <c r="E34979" s="1">
        <v>0</v>
      </c>
      <c r="F34979" s="1">
        <v>7.4613850937244396E-6</v>
      </c>
    </row>
    <row r="34980" spans="1:6" x14ac:dyDescent="0.25">
      <c r="A34980" s="2" t="str">
        <f t="shared" si="1208"/>
        <v>99999</v>
      </c>
      <c r="B34980" s="2" t="str">
        <f>"18446"</f>
        <v>18446</v>
      </c>
      <c r="C34980" s="1">
        <v>6.3190994617524202E-5</v>
      </c>
      <c r="D34980" s="1">
        <v>2.1246437427724101E-5</v>
      </c>
      <c r="E34980" s="1">
        <v>0</v>
      </c>
      <c r="F34980" s="1">
        <v>5.8994684807714602E-5</v>
      </c>
    </row>
    <row r="34981" spans="1:6" x14ac:dyDescent="0.25">
      <c r="A34981" s="2" t="str">
        <f t="shared" si="1208"/>
        <v>99999</v>
      </c>
      <c r="B34981" s="2" t="str">
        <f>"18453"</f>
        <v>18453</v>
      </c>
      <c r="C34981" s="1">
        <v>6.7993073655816199E-5</v>
      </c>
      <c r="D34981" s="1">
        <v>2.1246437427724101E-5</v>
      </c>
      <c r="E34981" s="1">
        <v>0</v>
      </c>
      <c r="F34981" s="1">
        <v>6.3372030729366306E-5</v>
      </c>
    </row>
    <row r="34982" spans="1:6" x14ac:dyDescent="0.25">
      <c r="A34982" s="2" t="str">
        <f t="shared" si="1208"/>
        <v>99999</v>
      </c>
      <c r="B34982" s="2" t="str">
        <f>"17814"</f>
        <v>17814</v>
      </c>
      <c r="C34982" s="1">
        <v>8.6219146369333496E-6</v>
      </c>
      <c r="D34982" s="1">
        <v>1.51760267340886E-6</v>
      </c>
      <c r="E34982" s="1">
        <v>0</v>
      </c>
      <c r="F34982" s="1">
        <v>7.9588107666394102E-6</v>
      </c>
    </row>
    <row r="34983" spans="1:6" x14ac:dyDescent="0.25">
      <c r="A34983" s="2" t="str">
        <f t="shared" si="1208"/>
        <v>99999</v>
      </c>
      <c r="B34983" s="2" t="str">
        <f>"17267"</f>
        <v>17267</v>
      </c>
      <c r="C34983" s="1">
        <v>1.45262890908332E-4</v>
      </c>
      <c r="D34983" s="1">
        <v>6.37393122831725E-5</v>
      </c>
      <c r="E34983" s="1">
        <v>1.3036619865201299E-5</v>
      </c>
      <c r="F34983" s="1">
        <v>1.3689154518619701E-4</v>
      </c>
    </row>
    <row r="34984" spans="1:6" x14ac:dyDescent="0.25">
      <c r="A34984" s="2" t="str">
        <f t="shared" si="1208"/>
        <v>99999</v>
      </c>
      <c r="B34984" s="2" t="str">
        <f>"17238"</f>
        <v>17238</v>
      </c>
      <c r="C34984" s="1">
        <v>8.9493291168168994E-5</v>
      </c>
      <c r="D34984" s="1">
        <v>2.88344507947685E-5</v>
      </c>
      <c r="E34984" s="1">
        <v>0</v>
      </c>
      <c r="F34984" s="1">
        <v>8.34680279151308E-5</v>
      </c>
    </row>
    <row r="34985" spans="1:6" x14ac:dyDescent="0.25">
      <c r="A34985" s="2" t="str">
        <f t="shared" si="1208"/>
        <v>99999</v>
      </c>
      <c r="B34985" s="2" t="str">
        <f>"17224"</f>
        <v>17224</v>
      </c>
      <c r="C34985" s="1">
        <v>1.09138159961181E-7</v>
      </c>
      <c r="D34985" s="1">
        <v>3.0352053468177301E-6</v>
      </c>
      <c r="E34985" s="1">
        <v>0</v>
      </c>
      <c r="F34985" s="1">
        <v>2.9845540374897701E-7</v>
      </c>
    </row>
    <row r="34986" spans="1:6" x14ac:dyDescent="0.25">
      <c r="A34986" s="2" t="str">
        <f t="shared" si="1208"/>
        <v>99999</v>
      </c>
      <c r="B34986" s="2" t="str">
        <f>"16720"</f>
        <v>16720</v>
      </c>
      <c r="C34986" s="1">
        <v>8.3054139730459294E-5</v>
      </c>
      <c r="D34986" s="1">
        <v>3.7940066835221703E-5</v>
      </c>
      <c r="E34986" s="1">
        <v>7.3874179236140894E-5</v>
      </c>
      <c r="F34986" s="1">
        <v>7.9886563070143002E-5</v>
      </c>
    </row>
    <row r="34987" spans="1:6" x14ac:dyDescent="0.25">
      <c r="A34987" s="2" t="str">
        <f t="shared" si="1208"/>
        <v>99999</v>
      </c>
      <c r="B34987" s="2" t="str">
        <f>"16920"</f>
        <v>16920</v>
      </c>
      <c r="C34987" s="1">
        <v>1.0477263356273401E-4</v>
      </c>
      <c r="D34987" s="1">
        <v>1.5024266466747799E-4</v>
      </c>
      <c r="E34987" s="1">
        <v>9.5601879011476503E-5</v>
      </c>
      <c r="F34987" s="1">
        <v>1.07543430484215E-4</v>
      </c>
    </row>
    <row r="34988" spans="1:6" x14ac:dyDescent="0.25">
      <c r="A34988" s="2" t="str">
        <f t="shared" si="1208"/>
        <v>99999</v>
      </c>
      <c r="B34988" s="2" t="str">
        <f>"16939"</f>
        <v>16939</v>
      </c>
      <c r="C34988" s="1">
        <v>0</v>
      </c>
      <c r="D34988" s="1">
        <v>1.51760267340886E-6</v>
      </c>
      <c r="E34988" s="1">
        <v>0</v>
      </c>
      <c r="F34988" s="1">
        <v>9.9485134582992598E-8</v>
      </c>
    </row>
    <row r="34989" spans="1:6" x14ac:dyDescent="0.25">
      <c r="A34989" s="2" t="str">
        <f t="shared" si="1208"/>
        <v>99999</v>
      </c>
      <c r="B34989" s="2" t="str">
        <f>"16946"</f>
        <v>16946</v>
      </c>
      <c r="C34989" s="1">
        <v>1.3020182483368899E-4</v>
      </c>
      <c r="D34989" s="1">
        <v>5.9186504262945899E-5</v>
      </c>
      <c r="E34989" s="1">
        <v>5.21464794608054E-5</v>
      </c>
      <c r="F34989" s="1">
        <v>1.2375950742124199E-4</v>
      </c>
    </row>
    <row r="34990" spans="1:6" x14ac:dyDescent="0.25">
      <c r="A34990" s="2" t="str">
        <f t="shared" si="1208"/>
        <v>99999</v>
      </c>
      <c r="B34990" s="2" t="str">
        <f>"16255"</f>
        <v>16255</v>
      </c>
      <c r="C34990" s="1">
        <v>6.7556521015971403E-5</v>
      </c>
      <c r="D34990" s="1">
        <v>2.88344507947685E-5</v>
      </c>
      <c r="E34990" s="1">
        <v>4.3455399550671099E-6</v>
      </c>
      <c r="F34990" s="1">
        <v>6.3571000998532195E-5</v>
      </c>
    </row>
    <row r="34991" spans="1:6" x14ac:dyDescent="0.25">
      <c r="A34991" s="2" t="str">
        <f t="shared" si="1208"/>
        <v>99999</v>
      </c>
      <c r="B34991" s="2" t="str">
        <f>"16254"</f>
        <v>16254</v>
      </c>
      <c r="C34991" s="1">
        <v>1.59341713543325E-4</v>
      </c>
      <c r="D34991" s="1">
        <v>2.3219320903155699E-4</v>
      </c>
      <c r="E34991" s="1">
        <v>1.08638498876677E-4</v>
      </c>
      <c r="F34991" s="1">
        <v>1.6295665044694101E-4</v>
      </c>
    </row>
    <row r="34992" spans="1:6" x14ac:dyDescent="0.25">
      <c r="A34992" s="2" t="str">
        <f t="shared" si="1208"/>
        <v>99999</v>
      </c>
      <c r="B34992" s="2" t="str">
        <f>"16225"</f>
        <v>16225</v>
      </c>
      <c r="C34992" s="1">
        <v>0</v>
      </c>
      <c r="D34992" s="1">
        <v>0</v>
      </c>
      <c r="E34992" s="1">
        <v>4.3455399550671099E-6</v>
      </c>
      <c r="F34992" s="1">
        <v>9.9485134582992598E-8</v>
      </c>
    </row>
    <row r="34993" spans="1:6" x14ac:dyDescent="0.25">
      <c r="A34993" s="2" t="str">
        <f t="shared" si="1208"/>
        <v>99999</v>
      </c>
      <c r="B34993" s="2" t="str">
        <f>"15847"</f>
        <v>15847</v>
      </c>
      <c r="C34993" s="1">
        <v>0</v>
      </c>
      <c r="D34993" s="1">
        <v>1.51760267340886E-6</v>
      </c>
      <c r="E34993" s="1">
        <v>0</v>
      </c>
      <c r="F34993" s="1">
        <v>9.9485134582992598E-8</v>
      </c>
    </row>
    <row r="34994" spans="1:6" x14ac:dyDescent="0.25">
      <c r="A34994" s="2" t="str">
        <f t="shared" si="1208"/>
        <v>99999</v>
      </c>
      <c r="B34994" s="2" t="str">
        <f>"15823"</f>
        <v>15823</v>
      </c>
      <c r="C34994" s="1">
        <v>1.44062371148759E-5</v>
      </c>
      <c r="D34994" s="1">
        <v>1.0623218713862E-5</v>
      </c>
      <c r="E34994" s="1">
        <v>0</v>
      </c>
      <c r="F34994" s="1">
        <v>1.3828433707035901E-5</v>
      </c>
    </row>
    <row r="34995" spans="1:6" x14ac:dyDescent="0.25">
      <c r="A34995" s="2" t="str">
        <f t="shared" si="1208"/>
        <v>99999</v>
      </c>
      <c r="B34995" s="2" t="str">
        <f>"15744"</f>
        <v>15744</v>
      </c>
      <c r="C34995" s="1">
        <v>7.63967119728272E-7</v>
      </c>
      <c r="D34995" s="1">
        <v>1.51760267340886E-6</v>
      </c>
      <c r="E34995" s="1">
        <v>0</v>
      </c>
      <c r="F34995" s="1">
        <v>7.9588107666394099E-7</v>
      </c>
    </row>
    <row r="34996" spans="1:6" x14ac:dyDescent="0.25">
      <c r="A34996" s="2" t="str">
        <f t="shared" si="1208"/>
        <v>99999</v>
      </c>
      <c r="B34996" s="2" t="str">
        <f>"15733"</f>
        <v>15733</v>
      </c>
      <c r="C34996" s="1">
        <v>0</v>
      </c>
      <c r="D34996" s="1">
        <v>1.51760267340886E-6</v>
      </c>
      <c r="E34996" s="1">
        <v>0</v>
      </c>
      <c r="F34996" s="1">
        <v>9.9485134582992598E-8</v>
      </c>
    </row>
    <row r="34997" spans="1:6" x14ac:dyDescent="0.25">
      <c r="A34997" s="2" t="str">
        <f t="shared" si="1208"/>
        <v>99999</v>
      </c>
      <c r="B34997" s="2" t="str">
        <f>"15778"</f>
        <v>15778</v>
      </c>
      <c r="C34997" s="1">
        <v>2.5101776791071799E-6</v>
      </c>
      <c r="D34997" s="1">
        <v>1.51760267340886E-6</v>
      </c>
      <c r="E34997" s="1">
        <v>0</v>
      </c>
      <c r="F34997" s="1">
        <v>2.3876432299918199E-6</v>
      </c>
    </row>
    <row r="34998" spans="1:6" x14ac:dyDescent="0.25">
      <c r="A34998" s="2" t="str">
        <f t="shared" si="1208"/>
        <v>99999</v>
      </c>
      <c r="B34998" s="2" t="str">
        <f>"16058"</f>
        <v>16058</v>
      </c>
      <c r="C34998" s="1">
        <v>0</v>
      </c>
      <c r="D34998" s="1">
        <v>0</v>
      </c>
      <c r="E34998" s="1">
        <v>4.3455399550671099E-6</v>
      </c>
      <c r="F34998" s="1">
        <v>9.9485134582992598E-8</v>
      </c>
    </row>
    <row r="34999" spans="1:6" x14ac:dyDescent="0.25">
      <c r="A34999" s="2" t="str">
        <f t="shared" si="1208"/>
        <v>99999</v>
      </c>
      <c r="B34999" s="2" t="str">
        <f>"16054"</f>
        <v>16054</v>
      </c>
      <c r="C34999" s="1">
        <v>0</v>
      </c>
      <c r="D34999" s="1">
        <v>0</v>
      </c>
      <c r="E34999" s="1">
        <v>4.3455399550671099E-6</v>
      </c>
      <c r="F34999" s="1">
        <v>9.9485134582992598E-8</v>
      </c>
    </row>
    <row r="35000" spans="1:6" x14ac:dyDescent="0.25">
      <c r="A35000" s="2" t="str">
        <f t="shared" si="1208"/>
        <v>99999</v>
      </c>
      <c r="B35000" s="2" t="str">
        <f>"15535"</f>
        <v>15535</v>
      </c>
      <c r="C35000" s="1">
        <v>1.21798186516678E-4</v>
      </c>
      <c r="D35000" s="1">
        <v>4.0975272182039399E-5</v>
      </c>
      <c r="E35000" s="1">
        <v>0</v>
      </c>
      <c r="F35000" s="1">
        <v>1.1371150882836E-4</v>
      </c>
    </row>
    <row r="35001" spans="1:6" x14ac:dyDescent="0.25">
      <c r="A35001" s="2" t="str">
        <f t="shared" si="1208"/>
        <v>99999</v>
      </c>
      <c r="B35001" s="2" t="str">
        <f>"15522"</f>
        <v>15522</v>
      </c>
      <c r="C35001" s="1">
        <v>6.9444611183299896E-4</v>
      </c>
      <c r="D35001" s="1">
        <v>1.3461135713136599E-3</v>
      </c>
      <c r="E35001" s="1">
        <v>9.4298217024956399E-4</v>
      </c>
      <c r="F35001" s="1">
        <v>7.4285549993120597E-4</v>
      </c>
    </row>
    <row r="35002" spans="1:6" x14ac:dyDescent="0.25">
      <c r="A35002" s="2" t="str">
        <f t="shared" si="1208"/>
        <v>99999</v>
      </c>
      <c r="B35002" s="2" t="str">
        <f>"15325"</f>
        <v>15325</v>
      </c>
      <c r="C35002" s="1">
        <v>0</v>
      </c>
      <c r="D35002" s="1">
        <v>0</v>
      </c>
      <c r="E35002" s="1">
        <v>1.7382159820268399E-5</v>
      </c>
      <c r="F35002" s="1">
        <v>3.9794053833197002E-7</v>
      </c>
    </row>
    <row r="35003" spans="1:6" x14ac:dyDescent="0.25">
      <c r="A35003" s="2" t="str">
        <f t="shared" si="1208"/>
        <v>99999</v>
      </c>
      <c r="B35003" s="2" t="str">
        <f>"15351"</f>
        <v>15351</v>
      </c>
      <c r="C35003" s="1">
        <v>0</v>
      </c>
      <c r="D35003" s="1">
        <v>0</v>
      </c>
      <c r="E35003" s="1">
        <v>8.69107991013423E-6</v>
      </c>
      <c r="F35003" s="1">
        <v>1.9897026916598501E-7</v>
      </c>
    </row>
    <row r="35004" spans="1:6" x14ac:dyDescent="0.25">
      <c r="A35004" s="2" t="str">
        <f t="shared" si="1208"/>
        <v>99999</v>
      </c>
      <c r="B35004" s="2" t="str">
        <f>"15357"</f>
        <v>15357</v>
      </c>
      <c r="C35004" s="1">
        <v>7.3886534293720002E-5</v>
      </c>
      <c r="D35004" s="1">
        <v>5.3116093569310399E-5</v>
      </c>
      <c r="E35004" s="1">
        <v>3.0418779685469802E-5</v>
      </c>
      <c r="F35004" s="1">
        <v>7.1529811765171696E-5</v>
      </c>
    </row>
    <row r="35005" spans="1:6" x14ac:dyDescent="0.25">
      <c r="A35005" s="2" t="str">
        <f t="shared" si="1208"/>
        <v>99999</v>
      </c>
      <c r="B35005" s="2" t="str">
        <f>"15320"</f>
        <v>15320</v>
      </c>
      <c r="C35005" s="1">
        <v>2.7808403158109099E-4</v>
      </c>
      <c r="D35005" s="1">
        <v>2.9896772666154699E-4</v>
      </c>
      <c r="E35005" s="1">
        <v>8.2565259146275205E-5</v>
      </c>
      <c r="F35005" s="1">
        <v>2.7497691198739101E-4</v>
      </c>
    </row>
    <row r="35006" spans="1:6" x14ac:dyDescent="0.25">
      <c r="A35006" s="2" t="str">
        <f t="shared" si="1208"/>
        <v>99999</v>
      </c>
      <c r="B35006" s="2" t="str">
        <f>"14887"</f>
        <v>14887</v>
      </c>
      <c r="C35006" s="1">
        <v>0</v>
      </c>
      <c r="D35006" s="1">
        <v>0</v>
      </c>
      <c r="E35006" s="1">
        <v>4.3455399550671099E-6</v>
      </c>
      <c r="F35006" s="1">
        <v>9.9485134582992598E-8</v>
      </c>
    </row>
    <row r="35007" spans="1:6" x14ac:dyDescent="0.25">
      <c r="A35007" s="2" t="str">
        <f t="shared" si="1208"/>
        <v>99999</v>
      </c>
      <c r="B35007" s="2" t="str">
        <f>"14876"</f>
        <v>14876</v>
      </c>
      <c r="C35007" s="1">
        <v>0</v>
      </c>
      <c r="D35007" s="1">
        <v>0</v>
      </c>
      <c r="E35007" s="1">
        <v>4.3455399550671099E-6</v>
      </c>
      <c r="F35007" s="1">
        <v>9.9485134582992598E-8</v>
      </c>
    </row>
    <row r="35008" spans="1:6" x14ac:dyDescent="0.25">
      <c r="A35008" s="2" t="str">
        <f t="shared" si="1208"/>
        <v>99999</v>
      </c>
      <c r="B35008" s="2" t="str">
        <f>"14737"</f>
        <v>14737</v>
      </c>
      <c r="C35008" s="1">
        <v>1.0913815996118101E-6</v>
      </c>
      <c r="D35008" s="1">
        <v>0</v>
      </c>
      <c r="E35008" s="1">
        <v>0</v>
      </c>
      <c r="F35008" s="1">
        <v>9.9485134582992606E-7</v>
      </c>
    </row>
    <row r="35009" spans="1:6" x14ac:dyDescent="0.25">
      <c r="A35009" s="2" t="str">
        <f t="shared" si="1208"/>
        <v>99999</v>
      </c>
      <c r="B35009" s="2" t="str">
        <f>"14721"</f>
        <v>14721</v>
      </c>
      <c r="C35009" s="1">
        <v>5.5660461580202599E-6</v>
      </c>
      <c r="D35009" s="1">
        <v>1.51760267340886E-6</v>
      </c>
      <c r="E35009" s="1">
        <v>1.17329578786812E-4</v>
      </c>
      <c r="F35009" s="1">
        <v>7.85932563205641E-6</v>
      </c>
    </row>
    <row r="35010" spans="1:6" x14ac:dyDescent="0.25">
      <c r="A35010" s="2" t="str">
        <f t="shared" si="1208"/>
        <v>99999</v>
      </c>
      <c r="B35010" s="2" t="str">
        <f>"14727"</f>
        <v>14727</v>
      </c>
      <c r="C35010" s="1">
        <v>2.44360340153085E-4</v>
      </c>
      <c r="D35010" s="1">
        <v>2.6558046784655199E-4</v>
      </c>
      <c r="E35010" s="1">
        <v>2.1293145779828799E-4</v>
      </c>
      <c r="F35010" s="1">
        <v>2.4503188647791E-4</v>
      </c>
    </row>
    <row r="35011" spans="1:6" x14ac:dyDescent="0.25">
      <c r="A35011" s="2" t="str">
        <f t="shared" si="1208"/>
        <v>99999</v>
      </c>
      <c r="B35011" s="2" t="str">
        <f>"14717"</f>
        <v>14717</v>
      </c>
      <c r="C35011" s="1">
        <v>6.1881336697990004E-5</v>
      </c>
      <c r="D35011" s="1">
        <v>2.1246437427724101E-5</v>
      </c>
      <c r="E35011" s="1">
        <v>3.9109859595604001E-5</v>
      </c>
      <c r="F35011" s="1">
        <v>5.86962294039656E-5</v>
      </c>
    </row>
    <row r="35012" spans="1:6" x14ac:dyDescent="0.25">
      <c r="A35012" s="2" t="str">
        <f t="shared" si="1208"/>
        <v>99999</v>
      </c>
      <c r="B35012" s="2" t="str">
        <f>"14533"</f>
        <v>14533</v>
      </c>
      <c r="C35012" s="1">
        <v>3.2741447988354498E-7</v>
      </c>
      <c r="D35012" s="1">
        <v>0</v>
      </c>
      <c r="E35012" s="1">
        <v>0</v>
      </c>
      <c r="F35012" s="1">
        <v>2.9845540374897701E-7</v>
      </c>
    </row>
    <row r="35013" spans="1:6" x14ac:dyDescent="0.25">
      <c r="A35013" s="2" t="str">
        <f t="shared" si="1208"/>
        <v>99999</v>
      </c>
      <c r="B35013" s="2" t="str">
        <f>"14569"</f>
        <v>14569</v>
      </c>
      <c r="C35013" s="1">
        <v>3.2446774956459301E-4</v>
      </c>
      <c r="D35013" s="1">
        <v>4.4465758330879801E-4</v>
      </c>
      <c r="E35013" s="1">
        <v>5.7795681402392598E-4</v>
      </c>
      <c r="F35013" s="1">
        <v>3.3814997244759098E-4</v>
      </c>
    </row>
    <row r="35014" spans="1:6" x14ac:dyDescent="0.25">
      <c r="A35014" s="2" t="str">
        <f t="shared" si="1208"/>
        <v>99999</v>
      </c>
      <c r="B35014" s="2" t="str">
        <f>"14130"</f>
        <v>14130</v>
      </c>
      <c r="C35014" s="1">
        <v>2.2919013591848099E-6</v>
      </c>
      <c r="D35014" s="1">
        <v>0</v>
      </c>
      <c r="E35014" s="1">
        <v>4.3455399550671099E-6</v>
      </c>
      <c r="F35014" s="1">
        <v>2.1886729608258301E-6</v>
      </c>
    </row>
    <row r="35015" spans="1:6" x14ac:dyDescent="0.25">
      <c r="A35015" s="2" t="str">
        <f t="shared" si="1208"/>
        <v>99999</v>
      </c>
      <c r="B35015" s="2" t="str">
        <f>"14037"</f>
        <v>14037</v>
      </c>
      <c r="C35015" s="1">
        <v>4.70385469432693E-5</v>
      </c>
      <c r="D35015" s="1">
        <v>2.2764040101133E-5</v>
      </c>
      <c r="E35015" s="1">
        <v>2.1727699775335501E-5</v>
      </c>
      <c r="F35015" s="1">
        <v>4.4867795696929599E-5</v>
      </c>
    </row>
    <row r="35016" spans="1:6" x14ac:dyDescent="0.25">
      <c r="A35016" s="2" t="str">
        <f t="shared" si="1208"/>
        <v>99999</v>
      </c>
      <c r="B35016" s="2" t="str">
        <f>"13626"</f>
        <v>13626</v>
      </c>
      <c r="C35016" s="1">
        <v>6.7010830216165506E-5</v>
      </c>
      <c r="D35016" s="1">
        <v>1.9728834754315301E-5</v>
      </c>
      <c r="E35016" s="1">
        <v>2.0424037788815399E-4</v>
      </c>
      <c r="F35016" s="1">
        <v>6.7052980708937E-5</v>
      </c>
    </row>
    <row r="35017" spans="1:6" x14ac:dyDescent="0.25">
      <c r="A35017" s="2" t="str">
        <f t="shared" si="1208"/>
        <v>99999</v>
      </c>
      <c r="B35017" s="2" t="str">
        <f>"13619"</f>
        <v>13619</v>
      </c>
      <c r="C35017" s="1">
        <v>5.5223908940357899E-5</v>
      </c>
      <c r="D35017" s="1">
        <v>1.8211232080906399E-5</v>
      </c>
      <c r="E35017" s="1">
        <v>4.3455399550671103E-5</v>
      </c>
      <c r="F35017" s="1">
        <v>5.2528151059820098E-5</v>
      </c>
    </row>
    <row r="35018" spans="1:6" x14ac:dyDescent="0.25">
      <c r="A35018" s="2" t="str">
        <f t="shared" si="1208"/>
        <v>99999</v>
      </c>
      <c r="B35018" s="2" t="str">
        <f>"13786"</f>
        <v>13786</v>
      </c>
      <c r="C35018" s="1">
        <v>1.8553487193400799E-5</v>
      </c>
      <c r="D35018" s="1">
        <v>1.66936294074975E-5</v>
      </c>
      <c r="E35018" s="1">
        <v>1.3036619865201299E-5</v>
      </c>
      <c r="F35018" s="1">
        <v>1.8305264763270602E-5</v>
      </c>
    </row>
    <row r="35019" spans="1:6" x14ac:dyDescent="0.25">
      <c r="A35019" s="2" t="str">
        <f t="shared" si="1208"/>
        <v>99999</v>
      </c>
      <c r="B35019" s="2" t="str">
        <f>"13757"</f>
        <v>13757</v>
      </c>
      <c r="C35019" s="1">
        <v>6.0571678778455799E-5</v>
      </c>
      <c r="D35019" s="1">
        <v>1.51760267340886E-6</v>
      </c>
      <c r="E35019" s="1">
        <v>2.60732397304027E-5</v>
      </c>
      <c r="F35019" s="1">
        <v>5.5910645635641797E-5</v>
      </c>
    </row>
    <row r="35020" spans="1:6" x14ac:dyDescent="0.25">
      <c r="A35020" s="2" t="str">
        <f t="shared" si="1208"/>
        <v>99999</v>
      </c>
      <c r="B35020" s="2" t="str">
        <f>"13839"</f>
        <v>13839</v>
      </c>
      <c r="C35020" s="1">
        <v>8.2945001570498098E-5</v>
      </c>
      <c r="D35020" s="1">
        <v>1.21408213872709E-5</v>
      </c>
      <c r="E35020" s="1">
        <v>4.3455399550671099E-6</v>
      </c>
      <c r="F35020" s="1">
        <v>7.6504068494321297E-5</v>
      </c>
    </row>
    <row r="35021" spans="1:6" x14ac:dyDescent="0.25">
      <c r="A35021" s="2" t="str">
        <f t="shared" si="1208"/>
        <v>99999</v>
      </c>
      <c r="B35021" s="2" t="str">
        <f>"13464"</f>
        <v>13464</v>
      </c>
      <c r="C35021" s="1">
        <v>4.8348204862803498E-5</v>
      </c>
      <c r="D35021" s="1">
        <v>9.1056160404532095E-6</v>
      </c>
      <c r="E35021" s="1">
        <v>4.3455399550671099E-6</v>
      </c>
      <c r="F35021" s="1">
        <v>4.47683105623466E-5</v>
      </c>
    </row>
    <row r="35022" spans="1:6" x14ac:dyDescent="0.25">
      <c r="A35022" s="2" t="str">
        <f t="shared" si="1208"/>
        <v>99999</v>
      </c>
      <c r="B35022" s="2" t="str">
        <f>"12987"</f>
        <v>12987</v>
      </c>
      <c r="C35022" s="1">
        <v>8.6219146369333496E-6</v>
      </c>
      <c r="D35022" s="1">
        <v>7.5880133670443404E-6</v>
      </c>
      <c r="E35022" s="1">
        <v>4.3455399550671099E-6</v>
      </c>
      <c r="F35022" s="1">
        <v>8.4562364395543705E-6</v>
      </c>
    </row>
    <row r="35023" spans="1:6" x14ac:dyDescent="0.25">
      <c r="A35023" s="2" t="str">
        <f t="shared" si="1208"/>
        <v>99999</v>
      </c>
      <c r="B35023" s="2" t="str">
        <f>"12941"</f>
        <v>12941</v>
      </c>
      <c r="C35023" s="1">
        <v>6.6465139416359596E-5</v>
      </c>
      <c r="D35023" s="1">
        <v>7.5880133670443404E-6</v>
      </c>
      <c r="E35023" s="1">
        <v>4.3455399550671099E-6</v>
      </c>
      <c r="F35023" s="1">
        <v>6.1183357768540407E-5</v>
      </c>
    </row>
    <row r="35024" spans="1:6" x14ac:dyDescent="0.25">
      <c r="A35024" s="2" t="str">
        <f t="shared" si="1208"/>
        <v>99999</v>
      </c>
      <c r="B35024" s="2" t="str">
        <f>"12770"</f>
        <v>12770</v>
      </c>
      <c r="C35024" s="1">
        <v>9.3858817566616205E-6</v>
      </c>
      <c r="D35024" s="1">
        <v>6.0704106936354696E-6</v>
      </c>
      <c r="E35024" s="1">
        <v>4.3455399550671099E-6</v>
      </c>
      <c r="F35024" s="1">
        <v>9.0531472470523294E-6</v>
      </c>
    </row>
    <row r="35025" spans="1:6" x14ac:dyDescent="0.25">
      <c r="A35025" s="2" t="str">
        <f t="shared" si="1208"/>
        <v>99999</v>
      </c>
      <c r="B35025" s="2" t="str">
        <f>"12751"</f>
        <v>12751</v>
      </c>
      <c r="C35025" s="1">
        <v>3.8962323106141801E-5</v>
      </c>
      <c r="D35025" s="1">
        <v>6.0704106936354696E-6</v>
      </c>
      <c r="E35025" s="1">
        <v>3.0418779685469802E-5</v>
      </c>
      <c r="F35025" s="1">
        <v>3.6610529526541203E-5</v>
      </c>
    </row>
    <row r="35026" spans="1:6" x14ac:dyDescent="0.25">
      <c r="A35026" s="2" t="str">
        <f t="shared" ref="A35026:A35089" si="1209">"99999"</f>
        <v>99999</v>
      </c>
      <c r="B35026" s="2" t="str">
        <f>"12754"</f>
        <v>12754</v>
      </c>
      <c r="C35026" s="1">
        <v>4.6973064047292601E-4</v>
      </c>
      <c r="D35026" s="1">
        <v>8.0129421155988303E-4</v>
      </c>
      <c r="E35026" s="1">
        <v>1.83816340099339E-3</v>
      </c>
      <c r="F35026" s="1">
        <v>5.2279438223362597E-4</v>
      </c>
    </row>
    <row r="35027" spans="1:6" x14ac:dyDescent="0.25">
      <c r="A35027" s="2" t="str">
        <f t="shared" si="1209"/>
        <v>99999</v>
      </c>
      <c r="B35027" s="2" t="str">
        <f>"12747"</f>
        <v>12747</v>
      </c>
      <c r="C35027" s="1">
        <v>1.09792988920948E-4</v>
      </c>
      <c r="D35027" s="1">
        <v>2.7316848121359601E-5</v>
      </c>
      <c r="E35027" s="1">
        <v>1.08638498876677E-4</v>
      </c>
      <c r="F35027" s="1">
        <v>1.04359906177559E-4</v>
      </c>
    </row>
    <row r="35028" spans="1:6" x14ac:dyDescent="0.25">
      <c r="A35028" s="2" t="str">
        <f t="shared" si="1209"/>
        <v>99999</v>
      </c>
      <c r="B35028" s="2" t="str">
        <f>"12743"</f>
        <v>12743</v>
      </c>
      <c r="C35028" s="1">
        <v>1.87717635133232E-5</v>
      </c>
      <c r="D35028" s="1">
        <v>3.0352053468177301E-6</v>
      </c>
      <c r="E35028" s="1">
        <v>4.3455399550671099E-6</v>
      </c>
      <c r="F35028" s="1">
        <v>1.74098985520237E-5</v>
      </c>
    </row>
    <row r="35029" spans="1:6" x14ac:dyDescent="0.25">
      <c r="A35029" s="2" t="str">
        <f t="shared" si="1209"/>
        <v>99999</v>
      </c>
      <c r="B35029" s="2" t="str">
        <f>"12737"</f>
        <v>12737</v>
      </c>
      <c r="C35029" s="1">
        <v>1.01935041403743E-4</v>
      </c>
      <c r="D35029" s="1">
        <v>2.1246437427724101E-5</v>
      </c>
      <c r="E35029" s="1">
        <v>2.60732397304027E-5</v>
      </c>
      <c r="F35029" s="1">
        <v>9.4908818392174904E-5</v>
      </c>
    </row>
    <row r="35030" spans="1:6" x14ac:dyDescent="0.25">
      <c r="A35030" s="2" t="str">
        <f t="shared" si="1209"/>
        <v>99999</v>
      </c>
      <c r="B35030" s="2" t="str">
        <f>"12465"</f>
        <v>12465</v>
      </c>
      <c r="C35030" s="1">
        <v>7.63967119728272E-7</v>
      </c>
      <c r="D35030" s="1">
        <v>0</v>
      </c>
      <c r="E35030" s="1">
        <v>0</v>
      </c>
      <c r="F35030" s="1">
        <v>6.9639594208094799E-7</v>
      </c>
    </row>
    <row r="35031" spans="1:6" x14ac:dyDescent="0.25">
      <c r="A35031" s="2" t="str">
        <f t="shared" si="1209"/>
        <v>99999</v>
      </c>
      <c r="B35031" s="2" t="str">
        <f>"12442"</f>
        <v>12442</v>
      </c>
      <c r="C35031" s="1">
        <v>2.35738425516152E-5</v>
      </c>
      <c r="D35031" s="1">
        <v>7.5880133670443404E-6</v>
      </c>
      <c r="E35031" s="1">
        <v>3.47643196405369E-5</v>
      </c>
      <c r="F35031" s="1">
        <v>2.2782095819505301E-5</v>
      </c>
    </row>
    <row r="35032" spans="1:6" x14ac:dyDescent="0.25">
      <c r="A35032" s="2" t="str">
        <f t="shared" si="1209"/>
        <v>99999</v>
      </c>
      <c r="B35032" s="2" t="str">
        <f>"12496"</f>
        <v>12496</v>
      </c>
      <c r="C35032" s="1">
        <v>7.8906889651934295E-5</v>
      </c>
      <c r="D35032" s="1">
        <v>8.1950544364078906E-5</v>
      </c>
      <c r="E35032" s="1">
        <v>3.0418779685469802E-5</v>
      </c>
      <c r="F35032" s="1">
        <v>7.79963455130662E-5</v>
      </c>
    </row>
    <row r="35033" spans="1:6" x14ac:dyDescent="0.25">
      <c r="A35033" s="2" t="str">
        <f t="shared" si="1209"/>
        <v>99999</v>
      </c>
      <c r="B35033" s="2" t="str">
        <f>"12468"</f>
        <v>12468</v>
      </c>
      <c r="C35033" s="1">
        <v>7.4759639573409404E-5</v>
      </c>
      <c r="D35033" s="1">
        <v>3.0352053468177301E-5</v>
      </c>
      <c r="E35033" s="1">
        <v>2.1727699775335501E-5</v>
      </c>
      <c r="F35033" s="1">
        <v>7.0634445553924703E-5</v>
      </c>
    </row>
    <row r="35034" spans="1:6" x14ac:dyDescent="0.25">
      <c r="A35034" s="2" t="str">
        <f t="shared" si="1209"/>
        <v>99999</v>
      </c>
      <c r="B35034" s="2" t="str">
        <f>"12455"</f>
        <v>12455</v>
      </c>
      <c r="C35034" s="1">
        <v>8.3818106850187501E-5</v>
      </c>
      <c r="D35034" s="1">
        <v>4.0975272182039399E-5</v>
      </c>
      <c r="E35034" s="1">
        <v>4.3455399550671099E-6</v>
      </c>
      <c r="F35034" s="1">
        <v>7.9190167128062101E-5</v>
      </c>
    </row>
    <row r="35035" spans="1:6" x14ac:dyDescent="0.25">
      <c r="A35035" s="2" t="str">
        <f t="shared" si="1209"/>
        <v>99999</v>
      </c>
      <c r="B35035" s="2" t="str">
        <f>"12414"</f>
        <v>12414</v>
      </c>
      <c r="C35035" s="1">
        <v>5.9316589938902202E-4</v>
      </c>
      <c r="D35035" s="1">
        <v>8.8779756394418796E-4</v>
      </c>
      <c r="E35035" s="1">
        <v>1.86423664072379E-3</v>
      </c>
      <c r="F35035" s="1">
        <v>6.4157963292571897E-4</v>
      </c>
    </row>
    <row r="35036" spans="1:6" x14ac:dyDescent="0.25">
      <c r="A35036" s="2" t="str">
        <f t="shared" si="1209"/>
        <v>99999</v>
      </c>
      <c r="B35036" s="2" t="str">
        <f>"12192"</f>
        <v>12192</v>
      </c>
      <c r="C35036" s="1">
        <v>8.33815542103428E-5</v>
      </c>
      <c r="D35036" s="1">
        <v>1.27478624566345E-4</v>
      </c>
      <c r="E35036" s="1">
        <v>3.0418779685469802E-5</v>
      </c>
      <c r="F35036" s="1">
        <v>8.5059790068458695E-5</v>
      </c>
    </row>
    <row r="35037" spans="1:6" x14ac:dyDescent="0.25">
      <c r="A35037" s="2" t="str">
        <f t="shared" si="1209"/>
        <v>99999</v>
      </c>
      <c r="B35037" s="2" t="str">
        <f>"12164"</f>
        <v>12164</v>
      </c>
      <c r="C35037" s="1">
        <v>1.06955396761958E-5</v>
      </c>
      <c r="D35037" s="1">
        <v>3.0352053468177301E-6</v>
      </c>
      <c r="E35037" s="1">
        <v>4.3455399550671099E-6</v>
      </c>
      <c r="F35037" s="1">
        <v>1.0047998592882199E-5</v>
      </c>
    </row>
    <row r="35038" spans="1:6" x14ac:dyDescent="0.25">
      <c r="A35038" s="2" t="str">
        <f t="shared" si="1209"/>
        <v>99999</v>
      </c>
      <c r="B35038" s="2" t="str">
        <f>"12155"</f>
        <v>12155</v>
      </c>
      <c r="C35038" s="1">
        <v>8.9493291168169008E-6</v>
      </c>
      <c r="D35038" s="1">
        <v>0</v>
      </c>
      <c r="E35038" s="1">
        <v>0</v>
      </c>
      <c r="F35038" s="1">
        <v>8.1577810358053902E-6</v>
      </c>
    </row>
    <row r="35039" spans="1:6" x14ac:dyDescent="0.25">
      <c r="A35039" s="2" t="str">
        <f t="shared" si="1209"/>
        <v>99999</v>
      </c>
      <c r="B35039" s="2" t="str">
        <f>"12176"</f>
        <v>12176</v>
      </c>
      <c r="C35039" s="1">
        <v>1.36422699951477E-5</v>
      </c>
      <c r="D35039" s="1">
        <v>1.51760267340886E-6</v>
      </c>
      <c r="E35039" s="1">
        <v>4.3455399550671099E-6</v>
      </c>
      <c r="F35039" s="1">
        <v>1.263461209204E-5</v>
      </c>
    </row>
    <row r="35040" spans="1:6" x14ac:dyDescent="0.25">
      <c r="A35040" s="2" t="str">
        <f t="shared" si="1209"/>
        <v>99999</v>
      </c>
      <c r="B35040" s="2" t="str">
        <f>"10940"</f>
        <v>10940</v>
      </c>
      <c r="C35040" s="1">
        <v>1.93174543131291E-5</v>
      </c>
      <c r="D35040" s="1">
        <v>1.51760267340886E-6</v>
      </c>
      <c r="E35040" s="1">
        <v>0</v>
      </c>
      <c r="F35040" s="1">
        <v>1.77083539557726E-5</v>
      </c>
    </row>
    <row r="35041" spans="1:6" x14ac:dyDescent="0.25">
      <c r="A35041" s="2" t="str">
        <f t="shared" si="1209"/>
        <v>99999</v>
      </c>
      <c r="B35041" s="2" t="str">
        <f>"89820"</f>
        <v>89820</v>
      </c>
      <c r="C35041" s="1">
        <v>3.1322651908859101E-4</v>
      </c>
      <c r="D35041" s="1">
        <v>3.0959094537540897E-4</v>
      </c>
      <c r="E35041" s="1">
        <v>7.73506112001946E-4</v>
      </c>
      <c r="F35041" s="1">
        <v>3.23525657663892E-4</v>
      </c>
    </row>
    <row r="35042" spans="1:6" x14ac:dyDescent="0.25">
      <c r="A35042" s="2" t="str">
        <f t="shared" si="1209"/>
        <v>99999</v>
      </c>
      <c r="B35042" s="2" t="str">
        <f>"89319"</f>
        <v>89319</v>
      </c>
      <c r="C35042" s="1">
        <v>1.0913815996118101E-6</v>
      </c>
      <c r="D35042" s="1">
        <v>1.51760267340886E-6</v>
      </c>
      <c r="E35042" s="1">
        <v>0</v>
      </c>
      <c r="F35042" s="1">
        <v>1.09433648041291E-6</v>
      </c>
    </row>
    <row r="35043" spans="1:6" x14ac:dyDescent="0.25">
      <c r="A35043" s="2" t="str">
        <f t="shared" si="1209"/>
        <v>99999</v>
      </c>
      <c r="B35043" s="2" t="str">
        <f>"89017"</f>
        <v>89017</v>
      </c>
      <c r="C35043" s="1">
        <v>1.9426592473090299E-5</v>
      </c>
      <c r="D35043" s="1">
        <v>1.3658424060679801E-5</v>
      </c>
      <c r="E35043" s="1">
        <v>3.47643196405369E-5</v>
      </c>
      <c r="F35043" s="1">
        <v>1.9399601243683501E-5</v>
      </c>
    </row>
    <row r="35044" spans="1:6" x14ac:dyDescent="0.25">
      <c r="A35044" s="2" t="str">
        <f t="shared" si="1209"/>
        <v>99999</v>
      </c>
      <c r="B35044" s="2" t="str">
        <f>"88418"</f>
        <v>88418</v>
      </c>
      <c r="C35044" s="1">
        <v>9.6041580765839897E-6</v>
      </c>
      <c r="D35044" s="1">
        <v>1.51760267340886E-6</v>
      </c>
      <c r="E35044" s="1">
        <v>4.3455399550671099E-6</v>
      </c>
      <c r="F35044" s="1">
        <v>8.9536621124693292E-6</v>
      </c>
    </row>
    <row r="35045" spans="1:6" x14ac:dyDescent="0.25">
      <c r="A35045" s="2" t="str">
        <f t="shared" si="1209"/>
        <v>99999</v>
      </c>
      <c r="B35045" s="2" t="str">
        <f>"88426"</f>
        <v>88426</v>
      </c>
      <c r="C35045" s="1">
        <v>5.4459941820629598E-5</v>
      </c>
      <c r="D35045" s="1">
        <v>2.2764040101133E-5</v>
      </c>
      <c r="E35045" s="1">
        <v>3.47643196405369E-5</v>
      </c>
      <c r="F35045" s="1">
        <v>5.19312402523221E-5</v>
      </c>
    </row>
    <row r="35046" spans="1:6" x14ac:dyDescent="0.25">
      <c r="A35046" s="2" t="str">
        <f t="shared" si="1209"/>
        <v>99999</v>
      </c>
      <c r="B35046" s="2" t="str">
        <f>"87830"</f>
        <v>87830</v>
      </c>
      <c r="C35046" s="1">
        <v>1.6916414793983099E-5</v>
      </c>
      <c r="D35046" s="1">
        <v>6.0704106936354696E-6</v>
      </c>
      <c r="E35046" s="1">
        <v>4.3455399550671099E-6</v>
      </c>
      <c r="F35046" s="1">
        <v>1.59176215332788E-5</v>
      </c>
    </row>
    <row r="35047" spans="1:6" x14ac:dyDescent="0.25">
      <c r="A35047" s="2" t="str">
        <f t="shared" si="1209"/>
        <v>99999</v>
      </c>
      <c r="B35047" s="2" t="str">
        <f>"87935"</f>
        <v>87935</v>
      </c>
      <c r="C35047" s="1">
        <v>0</v>
      </c>
      <c r="D35047" s="1">
        <v>1.51760267340886E-6</v>
      </c>
      <c r="E35047" s="1">
        <v>8.69107991013423E-6</v>
      </c>
      <c r="F35047" s="1">
        <v>2.9845540374897701E-7</v>
      </c>
    </row>
    <row r="35048" spans="1:6" x14ac:dyDescent="0.25">
      <c r="A35048" s="2" t="str">
        <f t="shared" si="1209"/>
        <v>99999</v>
      </c>
      <c r="B35048" s="2" t="str">
        <f>"87931"</f>
        <v>87931</v>
      </c>
      <c r="C35048" s="1">
        <v>4.1472500785249002E-5</v>
      </c>
      <c r="D35048" s="1">
        <v>2.7316848121359601E-5</v>
      </c>
      <c r="E35048" s="1">
        <v>8.69107991013423E-6</v>
      </c>
      <c r="F35048" s="1">
        <v>3.9794053833197E-5</v>
      </c>
    </row>
    <row r="35049" spans="1:6" x14ac:dyDescent="0.25">
      <c r="A35049" s="2" t="str">
        <f t="shared" si="1209"/>
        <v>99999</v>
      </c>
      <c r="B35049" s="2" t="str">
        <f>"87801"</f>
        <v>87801</v>
      </c>
      <c r="C35049" s="1">
        <v>5.0945693069879595E-4</v>
      </c>
      <c r="D35049" s="1">
        <v>5.4785456510060104E-4</v>
      </c>
      <c r="E35049" s="1">
        <v>9.6036433006983204E-4</v>
      </c>
      <c r="F35049" s="1">
        <v>5.2229695656071096E-4</v>
      </c>
    </row>
    <row r="35050" spans="1:6" x14ac:dyDescent="0.25">
      <c r="A35050" s="2" t="str">
        <f t="shared" si="1209"/>
        <v>99999</v>
      </c>
      <c r="B35050" s="2" t="str">
        <f>"88045"</f>
        <v>88045</v>
      </c>
      <c r="C35050" s="1">
        <v>1.8029624025587201E-4</v>
      </c>
      <c r="D35050" s="1">
        <v>3.8850628439267E-4</v>
      </c>
      <c r="E35050" s="1">
        <v>1.6947605824761699E-4</v>
      </c>
      <c r="F35050" s="1">
        <v>1.93697557033086E-4</v>
      </c>
    </row>
    <row r="35051" spans="1:6" x14ac:dyDescent="0.25">
      <c r="A35051" s="2" t="str">
        <f t="shared" si="1209"/>
        <v>99999</v>
      </c>
      <c r="B35051" s="2" t="str">
        <f>"88121"</f>
        <v>88121</v>
      </c>
      <c r="C35051" s="1">
        <v>2.07362503926245E-6</v>
      </c>
      <c r="D35051" s="1">
        <v>1.51760267340886E-6</v>
      </c>
      <c r="E35051" s="1">
        <v>0</v>
      </c>
      <c r="F35051" s="1">
        <v>1.98970269165985E-6</v>
      </c>
    </row>
    <row r="35052" spans="1:6" x14ac:dyDescent="0.25">
      <c r="A35052" s="2" t="str">
        <f t="shared" si="1209"/>
        <v>99999</v>
      </c>
      <c r="B35052" s="2" t="str">
        <f>"88020"</f>
        <v>88020</v>
      </c>
      <c r="C35052" s="1">
        <v>3.1868342708665002E-5</v>
      </c>
      <c r="D35052" s="1">
        <v>1.8211232080906399E-5</v>
      </c>
      <c r="E35052" s="1">
        <v>4.3455399550671099E-6</v>
      </c>
      <c r="F35052" s="1">
        <v>3.03429660478127E-5</v>
      </c>
    </row>
    <row r="35053" spans="1:6" x14ac:dyDescent="0.25">
      <c r="A35053" s="2" t="str">
        <f t="shared" si="1209"/>
        <v>99999</v>
      </c>
      <c r="B35053" s="2" t="str">
        <f>"86512"</f>
        <v>86512</v>
      </c>
      <c r="C35053" s="1">
        <v>0</v>
      </c>
      <c r="D35053" s="1">
        <v>0</v>
      </c>
      <c r="E35053" s="1">
        <v>8.69107991013423E-6</v>
      </c>
      <c r="F35053" s="1">
        <v>1.9897026916598501E-7</v>
      </c>
    </row>
    <row r="35054" spans="1:6" x14ac:dyDescent="0.25">
      <c r="A35054" s="2" t="str">
        <f t="shared" si="1209"/>
        <v>99999</v>
      </c>
      <c r="B35054" s="2" t="str">
        <f>"86547"</f>
        <v>86547</v>
      </c>
      <c r="C35054" s="1">
        <v>3.4924211187578099E-5</v>
      </c>
      <c r="D35054" s="1">
        <v>0</v>
      </c>
      <c r="E35054" s="1">
        <v>1.3036619865201299E-5</v>
      </c>
      <c r="F35054" s="1">
        <v>3.2133698470306602E-5</v>
      </c>
    </row>
    <row r="35055" spans="1:6" x14ac:dyDescent="0.25">
      <c r="A35055" s="2" t="str">
        <f t="shared" si="1209"/>
        <v>99999</v>
      </c>
      <c r="B35055" s="2" t="str">
        <f>"84740"</f>
        <v>84740</v>
      </c>
      <c r="C35055" s="1">
        <v>0</v>
      </c>
      <c r="D35055" s="1">
        <v>1.51760267340886E-6</v>
      </c>
      <c r="E35055" s="1">
        <v>4.3455399550671099E-6</v>
      </c>
      <c r="F35055" s="1">
        <v>1.9897026916598501E-7</v>
      </c>
    </row>
    <row r="35056" spans="1:6" x14ac:dyDescent="0.25">
      <c r="A35056" s="2" t="str">
        <f t="shared" si="1209"/>
        <v>99999</v>
      </c>
      <c r="B35056" s="2" t="str">
        <f>"84754"</f>
        <v>84754</v>
      </c>
      <c r="C35056" s="1">
        <v>1.6054223330289801E-4</v>
      </c>
      <c r="D35056" s="1">
        <v>6.2221709609763595E-5</v>
      </c>
      <c r="E35056" s="1">
        <v>9.5601879011476503E-5</v>
      </c>
      <c r="F35056" s="1">
        <v>1.5261019645031E-4</v>
      </c>
    </row>
    <row r="35057" spans="1:6" x14ac:dyDescent="0.25">
      <c r="A35057" s="2" t="str">
        <f t="shared" si="1209"/>
        <v>99999</v>
      </c>
      <c r="B35057" s="2" t="str">
        <f>"84741"</f>
        <v>84741</v>
      </c>
      <c r="C35057" s="1">
        <v>3.1017065060967802E-4</v>
      </c>
      <c r="D35057" s="1">
        <v>4.9170326618447303E-4</v>
      </c>
      <c r="E35057" s="1">
        <v>2.9549671694456298E-4</v>
      </c>
      <c r="F35057" s="1">
        <v>3.2173492524139799E-4</v>
      </c>
    </row>
    <row r="35058" spans="1:6" x14ac:dyDescent="0.25">
      <c r="A35058" s="2" t="str">
        <f t="shared" si="1209"/>
        <v>99999</v>
      </c>
      <c r="B35058" s="2" t="str">
        <f>"84667"</f>
        <v>84667</v>
      </c>
      <c r="C35058" s="1">
        <v>1.5606756874448901E-5</v>
      </c>
      <c r="D35058" s="1">
        <v>4.5528080202265997E-6</v>
      </c>
      <c r="E35058" s="1">
        <v>0</v>
      </c>
      <c r="F35058" s="1">
        <v>1.45248296491169E-5</v>
      </c>
    </row>
    <row r="35059" spans="1:6" x14ac:dyDescent="0.25">
      <c r="A35059" s="2" t="str">
        <f t="shared" si="1209"/>
        <v>99999</v>
      </c>
      <c r="B35059" s="2" t="str">
        <f>"84715"</f>
        <v>84715</v>
      </c>
      <c r="C35059" s="1">
        <v>1.9754006952973801E-5</v>
      </c>
      <c r="D35059" s="1">
        <v>9.1056160404532095E-6</v>
      </c>
      <c r="E35059" s="1">
        <v>8.69107991013423E-6</v>
      </c>
      <c r="F35059" s="1">
        <v>1.8802690436185601E-5</v>
      </c>
    </row>
    <row r="35060" spans="1:6" x14ac:dyDescent="0.25">
      <c r="A35060" s="2" t="str">
        <f t="shared" si="1209"/>
        <v>99999</v>
      </c>
      <c r="B35060" s="2" t="str">
        <f>"84649"</f>
        <v>84649</v>
      </c>
      <c r="C35060" s="1">
        <v>2.4010395191459898E-6</v>
      </c>
      <c r="D35060" s="1">
        <v>0</v>
      </c>
      <c r="E35060" s="1">
        <v>4.3455399550671099E-6</v>
      </c>
      <c r="F35060" s="1">
        <v>2.2881580954088299E-6</v>
      </c>
    </row>
    <row r="35061" spans="1:6" x14ac:dyDescent="0.25">
      <c r="A35061" s="2" t="str">
        <f t="shared" si="1209"/>
        <v>99999</v>
      </c>
      <c r="B35061" s="2" t="str">
        <f>"84634"</f>
        <v>84634</v>
      </c>
      <c r="C35061" s="1">
        <v>6.0025987978649897E-6</v>
      </c>
      <c r="D35061" s="1">
        <v>0</v>
      </c>
      <c r="E35061" s="1">
        <v>4.3455399550671099E-6</v>
      </c>
      <c r="F35061" s="1">
        <v>5.5711675366475797E-6</v>
      </c>
    </row>
    <row r="35062" spans="1:6" x14ac:dyDescent="0.25">
      <c r="A35062" s="2" t="str">
        <f t="shared" si="1209"/>
        <v>99999</v>
      </c>
      <c r="B35062" s="2" t="str">
        <f>"84657"</f>
        <v>84657</v>
      </c>
      <c r="C35062" s="1">
        <v>2.6629711030528301E-5</v>
      </c>
      <c r="D35062" s="1">
        <v>1.51760267340886E-6</v>
      </c>
      <c r="E35062" s="1">
        <v>4.3455399550671099E-6</v>
      </c>
      <c r="F35062" s="1">
        <v>2.44733431074161E-5</v>
      </c>
    </row>
    <row r="35063" spans="1:6" x14ac:dyDescent="0.25">
      <c r="A35063" s="2" t="str">
        <f t="shared" si="1209"/>
        <v>99999</v>
      </c>
      <c r="B35063" s="2" t="str">
        <f>"84623"</f>
        <v>84623</v>
      </c>
      <c r="C35063" s="1">
        <v>1.41879607949536E-5</v>
      </c>
      <c r="D35063" s="1">
        <v>0</v>
      </c>
      <c r="E35063" s="1">
        <v>0</v>
      </c>
      <c r="F35063" s="1">
        <v>1.2933067495789E-5</v>
      </c>
    </row>
    <row r="35064" spans="1:6" x14ac:dyDescent="0.25">
      <c r="A35064" s="2" t="str">
        <f t="shared" si="1209"/>
        <v>99999</v>
      </c>
      <c r="B35064" s="2" t="str">
        <f>"84642"</f>
        <v>84642</v>
      </c>
      <c r="C35064" s="1">
        <v>1.3074751563349501E-4</v>
      </c>
      <c r="D35064" s="1">
        <v>1.94253142196335E-4</v>
      </c>
      <c r="E35064" s="1">
        <v>1.82512678112818E-4</v>
      </c>
      <c r="F35064" s="1">
        <v>1.36095664109533E-4</v>
      </c>
    </row>
    <row r="35065" spans="1:6" x14ac:dyDescent="0.25">
      <c r="A35065" s="2" t="str">
        <f t="shared" si="1209"/>
        <v>99999</v>
      </c>
      <c r="B35065" s="2" t="str">
        <f>"84086"</f>
        <v>84086</v>
      </c>
      <c r="C35065" s="1">
        <v>3.8198355986413598E-6</v>
      </c>
      <c r="D35065" s="1">
        <v>1.51760267340886E-6</v>
      </c>
      <c r="E35065" s="1">
        <v>4.3455399550671099E-6</v>
      </c>
      <c r="F35065" s="1">
        <v>3.6809499795707201E-6</v>
      </c>
    </row>
    <row r="35066" spans="1:6" x14ac:dyDescent="0.25">
      <c r="A35066" s="2" t="str">
        <f t="shared" si="1209"/>
        <v>99999</v>
      </c>
      <c r="B35066" s="2" t="str">
        <f>"84021"</f>
        <v>84021</v>
      </c>
      <c r="C35066" s="1">
        <v>6.4282376217135996E-5</v>
      </c>
      <c r="D35066" s="1">
        <v>0</v>
      </c>
      <c r="E35066" s="1">
        <v>4.3455399550671099E-6</v>
      </c>
      <c r="F35066" s="1">
        <v>5.86962294039656E-5</v>
      </c>
    </row>
    <row r="35067" spans="1:6" x14ac:dyDescent="0.25">
      <c r="A35067" s="2" t="str">
        <f t="shared" si="1209"/>
        <v>99999</v>
      </c>
      <c r="B35067" s="2" t="str">
        <f>"83873"</f>
        <v>83873</v>
      </c>
      <c r="C35067" s="1">
        <v>1.4056995003000199E-4</v>
      </c>
      <c r="D35067" s="1">
        <v>3.0503813735518201E-4</v>
      </c>
      <c r="E35067" s="1">
        <v>3.7371643613577199E-4</v>
      </c>
      <c r="F35067" s="1">
        <v>1.5668908696821299E-4</v>
      </c>
    </row>
    <row r="35068" spans="1:6" x14ac:dyDescent="0.25">
      <c r="A35068" s="2" t="str">
        <f t="shared" si="1209"/>
        <v>99999</v>
      </c>
      <c r="B35068" s="2" t="str">
        <f>"83850"</f>
        <v>83850</v>
      </c>
      <c r="C35068" s="1">
        <v>1.57704641143907E-4</v>
      </c>
      <c r="D35068" s="1">
        <v>1.13820200505665E-4</v>
      </c>
      <c r="E35068" s="1">
        <v>4.7800939505738197E-5</v>
      </c>
      <c r="F35068" s="1">
        <v>1.52311741046561E-4</v>
      </c>
    </row>
    <row r="35069" spans="1:6" x14ac:dyDescent="0.25">
      <c r="A35069" s="2" t="str">
        <f t="shared" si="1209"/>
        <v>99999</v>
      </c>
      <c r="B35069" s="2" t="str">
        <f>"83846"</f>
        <v>83846</v>
      </c>
      <c r="C35069" s="1">
        <v>3.6015592787189902E-6</v>
      </c>
      <c r="D35069" s="1">
        <v>3.0352053468177301E-6</v>
      </c>
      <c r="E35069" s="1">
        <v>1.3036619865201299E-5</v>
      </c>
      <c r="F35069" s="1">
        <v>3.7804351141537199E-6</v>
      </c>
    </row>
    <row r="35070" spans="1:6" x14ac:dyDescent="0.25">
      <c r="A35070" s="2" t="str">
        <f t="shared" si="1209"/>
        <v>99999</v>
      </c>
      <c r="B35070" s="2" t="str">
        <f>"83833"</f>
        <v>83833</v>
      </c>
      <c r="C35070" s="1">
        <v>6.5482895976708995E-7</v>
      </c>
      <c r="D35070" s="1">
        <v>0</v>
      </c>
      <c r="E35070" s="1">
        <v>0</v>
      </c>
      <c r="F35070" s="1">
        <v>5.9691080749795498E-7</v>
      </c>
    </row>
    <row r="35071" spans="1:6" x14ac:dyDescent="0.25">
      <c r="A35071" s="2" t="str">
        <f t="shared" si="1209"/>
        <v>99999</v>
      </c>
      <c r="B35071" s="2" t="str">
        <f>"83467"</f>
        <v>83467</v>
      </c>
      <c r="C35071" s="1">
        <v>3.5579040147345201E-4</v>
      </c>
      <c r="D35071" s="1">
        <v>6.6319236827967504E-4</v>
      </c>
      <c r="E35071" s="1">
        <v>4.2586291559657701E-4</v>
      </c>
      <c r="F35071" s="1">
        <v>3.7754608574245701E-4</v>
      </c>
    </row>
    <row r="35072" spans="1:6" x14ac:dyDescent="0.25">
      <c r="A35072" s="2" t="str">
        <f t="shared" si="1209"/>
        <v>99999</v>
      </c>
      <c r="B35072" s="2" t="str">
        <f>"83671"</f>
        <v>83671</v>
      </c>
      <c r="C35072" s="1">
        <v>0</v>
      </c>
      <c r="D35072" s="1">
        <v>0</v>
      </c>
      <c r="E35072" s="1">
        <v>4.3455399550671099E-6</v>
      </c>
      <c r="F35072" s="1">
        <v>9.9485134582992598E-8</v>
      </c>
    </row>
    <row r="35073" spans="1:6" x14ac:dyDescent="0.25">
      <c r="A35073" s="2" t="str">
        <f t="shared" si="1209"/>
        <v>99999</v>
      </c>
      <c r="B35073" s="2" t="str">
        <f>"83615"</f>
        <v>83615</v>
      </c>
      <c r="C35073" s="1">
        <v>1.57268088504062E-4</v>
      </c>
      <c r="D35073" s="1">
        <v>1.4417225397384201E-4</v>
      </c>
      <c r="E35073" s="1">
        <v>1.2602065869694599E-4</v>
      </c>
      <c r="F35073" s="1">
        <v>1.5569423562238299E-4</v>
      </c>
    </row>
    <row r="35074" spans="1:6" x14ac:dyDescent="0.25">
      <c r="A35074" s="2" t="str">
        <f t="shared" si="1209"/>
        <v>99999</v>
      </c>
      <c r="B35074" s="2" t="str">
        <f>"83314"</f>
        <v>83314</v>
      </c>
      <c r="C35074" s="1">
        <v>2.5974882070761199E-5</v>
      </c>
      <c r="D35074" s="1">
        <v>1.9728834754315301E-5</v>
      </c>
      <c r="E35074" s="1">
        <v>8.69107991013423E-6</v>
      </c>
      <c r="F35074" s="1">
        <v>2.5169739049497099E-5</v>
      </c>
    </row>
    <row r="35075" spans="1:6" x14ac:dyDescent="0.25">
      <c r="A35075" s="2" t="str">
        <f t="shared" si="1209"/>
        <v>99999</v>
      </c>
      <c r="B35075" s="2" t="str">
        <f>"83324"</f>
        <v>83324</v>
      </c>
      <c r="C35075" s="1">
        <v>2.6847987350450699E-5</v>
      </c>
      <c r="D35075" s="1">
        <v>9.1056160404532095E-6</v>
      </c>
      <c r="E35075" s="1">
        <v>8.69107991013423E-6</v>
      </c>
      <c r="F35075" s="1">
        <v>2.5269224184080101E-5</v>
      </c>
    </row>
    <row r="35076" spans="1:6" x14ac:dyDescent="0.25">
      <c r="A35076" s="2" t="str">
        <f t="shared" si="1209"/>
        <v>99999</v>
      </c>
      <c r="B35076" s="2" t="str">
        <f>"83337"</f>
        <v>83337</v>
      </c>
      <c r="C35076" s="1">
        <v>0</v>
      </c>
      <c r="D35076" s="1">
        <v>1.51760267340886E-6</v>
      </c>
      <c r="E35076" s="1">
        <v>0</v>
      </c>
      <c r="F35076" s="1">
        <v>9.9485134582992598E-8</v>
      </c>
    </row>
    <row r="35077" spans="1:6" x14ac:dyDescent="0.25">
      <c r="A35077" s="2" t="str">
        <f t="shared" si="1209"/>
        <v>99999</v>
      </c>
      <c r="B35077" s="2" t="str">
        <f>"83541"</f>
        <v>83541</v>
      </c>
      <c r="C35077" s="1">
        <v>3.0558684789130797E-5</v>
      </c>
      <c r="D35077" s="1">
        <v>6.0704106936354696E-6</v>
      </c>
      <c r="E35077" s="1">
        <v>0</v>
      </c>
      <c r="F35077" s="1">
        <v>2.8253778221569901E-5</v>
      </c>
    </row>
    <row r="35078" spans="1:6" x14ac:dyDescent="0.25">
      <c r="A35078" s="2" t="str">
        <f t="shared" si="1209"/>
        <v>99999</v>
      </c>
      <c r="B35078" s="2" t="str">
        <f>"83223"</f>
        <v>83223</v>
      </c>
      <c r="C35078" s="1">
        <v>1.1132092316040499E-5</v>
      </c>
      <c r="D35078" s="1">
        <v>0</v>
      </c>
      <c r="E35078" s="1">
        <v>4.3455399550671099E-6</v>
      </c>
      <c r="F35078" s="1">
        <v>1.02469688620482E-5</v>
      </c>
    </row>
    <row r="35079" spans="1:6" x14ac:dyDescent="0.25">
      <c r="A35079" s="2" t="str">
        <f t="shared" si="1209"/>
        <v>99999</v>
      </c>
      <c r="B35079" s="2" t="str">
        <f>"83239"</f>
        <v>83239</v>
      </c>
      <c r="C35079" s="1">
        <v>2.4665224151227E-5</v>
      </c>
      <c r="D35079" s="1">
        <v>0</v>
      </c>
      <c r="E35079" s="1">
        <v>4.3455399550671099E-6</v>
      </c>
      <c r="F35079" s="1">
        <v>2.2583125550339301E-5</v>
      </c>
    </row>
    <row r="35080" spans="1:6" x14ac:dyDescent="0.25">
      <c r="A35080" s="2" t="str">
        <f t="shared" si="1209"/>
        <v>99999</v>
      </c>
      <c r="B35080" s="2" t="str">
        <f>"82332"</f>
        <v>82332</v>
      </c>
      <c r="C35080" s="1">
        <v>2.07362503926245E-6</v>
      </c>
      <c r="D35080" s="1">
        <v>0</v>
      </c>
      <c r="E35080" s="1">
        <v>4.3455399550671099E-6</v>
      </c>
      <c r="F35080" s="1">
        <v>1.98970269165985E-6</v>
      </c>
    </row>
    <row r="35081" spans="1:6" x14ac:dyDescent="0.25">
      <c r="A35081" s="2" t="str">
        <f t="shared" si="1209"/>
        <v>99999</v>
      </c>
      <c r="B35081" s="2" t="str">
        <f>"82324"</f>
        <v>82324</v>
      </c>
      <c r="C35081" s="1">
        <v>0</v>
      </c>
      <c r="D35081" s="1">
        <v>0</v>
      </c>
      <c r="E35081" s="1">
        <v>4.3455399550671099E-6</v>
      </c>
      <c r="F35081" s="1">
        <v>9.9485134582992598E-8</v>
      </c>
    </row>
    <row r="35082" spans="1:6" x14ac:dyDescent="0.25">
      <c r="A35082" s="2" t="str">
        <f t="shared" si="1209"/>
        <v>99999</v>
      </c>
      <c r="B35082" s="2" t="str">
        <f>"82223"</f>
        <v>82223</v>
      </c>
      <c r="C35082" s="1">
        <v>2.5538329430916501E-5</v>
      </c>
      <c r="D35082" s="1">
        <v>7.5880133670443404E-6</v>
      </c>
      <c r="E35082" s="1">
        <v>1.8685821806788599E-4</v>
      </c>
      <c r="F35082" s="1">
        <v>2.80548079524039E-5</v>
      </c>
    </row>
    <row r="35083" spans="1:6" x14ac:dyDescent="0.25">
      <c r="A35083" s="2" t="str">
        <f t="shared" si="1209"/>
        <v>99999</v>
      </c>
      <c r="B35083" s="2" t="str">
        <f>"82222"</f>
        <v>82222</v>
      </c>
      <c r="C35083" s="1">
        <v>9.2767435967004401E-6</v>
      </c>
      <c r="D35083" s="1">
        <v>4.5528080202265997E-6</v>
      </c>
      <c r="E35083" s="1">
        <v>2.1727699775335501E-5</v>
      </c>
      <c r="F35083" s="1">
        <v>9.2521175162183095E-6</v>
      </c>
    </row>
    <row r="35084" spans="1:6" x14ac:dyDescent="0.25">
      <c r="A35084" s="2" t="str">
        <f t="shared" si="1209"/>
        <v>99999</v>
      </c>
      <c r="B35084" s="2" t="str">
        <f>"83113"</f>
        <v>83113</v>
      </c>
      <c r="C35084" s="1">
        <v>4.6711132463385699E-5</v>
      </c>
      <c r="D35084" s="1">
        <v>2.2764040101133E-5</v>
      </c>
      <c r="E35084" s="1">
        <v>7.3874179236140894E-5</v>
      </c>
      <c r="F35084" s="1">
        <v>4.5763161908176599E-5</v>
      </c>
    </row>
    <row r="35085" spans="1:6" x14ac:dyDescent="0.25">
      <c r="A35085" s="2" t="str">
        <f t="shared" si="1209"/>
        <v>99999</v>
      </c>
      <c r="B35085" s="2" t="str">
        <f>"83217"</f>
        <v>83217</v>
      </c>
      <c r="C35085" s="1">
        <v>3.4378520387772203E-5</v>
      </c>
      <c r="D35085" s="1">
        <v>1.51760267340886E-6</v>
      </c>
      <c r="E35085" s="1">
        <v>4.3455399550671099E-6</v>
      </c>
      <c r="F35085" s="1">
        <v>3.1536787662808598E-5</v>
      </c>
    </row>
    <row r="35086" spans="1:6" x14ac:dyDescent="0.25">
      <c r="A35086" s="2" t="str">
        <f t="shared" si="1209"/>
        <v>99999</v>
      </c>
      <c r="B35086" s="2" t="str">
        <f>"83116"</f>
        <v>83116</v>
      </c>
      <c r="C35086" s="1">
        <v>0</v>
      </c>
      <c r="D35086" s="1">
        <v>0</v>
      </c>
      <c r="E35086" s="1">
        <v>4.3455399550671099E-6</v>
      </c>
      <c r="F35086" s="1">
        <v>9.9485134582992598E-8</v>
      </c>
    </row>
    <row r="35087" spans="1:6" x14ac:dyDescent="0.25">
      <c r="A35087" s="2" t="str">
        <f t="shared" si="1209"/>
        <v>99999</v>
      </c>
      <c r="B35087" s="2" t="str">
        <f>"83111"</f>
        <v>83111</v>
      </c>
      <c r="C35087" s="1">
        <v>6.4391514377097196E-6</v>
      </c>
      <c r="D35087" s="1">
        <v>0</v>
      </c>
      <c r="E35087" s="1">
        <v>4.3455399550671099E-6</v>
      </c>
      <c r="F35087" s="1">
        <v>5.96910807497955E-6</v>
      </c>
    </row>
    <row r="35088" spans="1:6" x14ac:dyDescent="0.25">
      <c r="A35088" s="2" t="str">
        <f t="shared" si="1209"/>
        <v>99999</v>
      </c>
      <c r="B35088" s="2" t="str">
        <f>"82615"</f>
        <v>82615</v>
      </c>
      <c r="C35088" s="1">
        <v>6.5482895976708995E-7</v>
      </c>
      <c r="D35088" s="1">
        <v>1.51760267340886E-6</v>
      </c>
      <c r="E35088" s="1">
        <v>4.3455399550671099E-6</v>
      </c>
      <c r="F35088" s="1">
        <v>7.9588107666394099E-7</v>
      </c>
    </row>
    <row r="35089" spans="1:6" x14ac:dyDescent="0.25">
      <c r="A35089" s="2" t="str">
        <f t="shared" si="1209"/>
        <v>99999</v>
      </c>
      <c r="B35089" s="2" t="str">
        <f>"82636"</f>
        <v>82636</v>
      </c>
      <c r="C35089" s="1">
        <v>3.27414479883545E-6</v>
      </c>
      <c r="D35089" s="1">
        <v>0</v>
      </c>
      <c r="E35089" s="1">
        <v>0</v>
      </c>
      <c r="F35089" s="1">
        <v>2.9845540374897699E-6</v>
      </c>
    </row>
    <row r="35090" spans="1:6" x14ac:dyDescent="0.25">
      <c r="A35090" s="2" t="str">
        <f t="shared" ref="A35090:A35153" si="1210">"99999"</f>
        <v>99999</v>
      </c>
      <c r="B35090" s="2" t="str">
        <f>"82633"</f>
        <v>82633</v>
      </c>
      <c r="C35090" s="1">
        <v>5.5267564204342404E-4</v>
      </c>
      <c r="D35090" s="1">
        <v>7.4666051531716298E-4</v>
      </c>
      <c r="E35090" s="1">
        <v>8.7779907092355703E-4</v>
      </c>
      <c r="F35090" s="1">
        <v>5.7283540492887098E-4</v>
      </c>
    </row>
    <row r="35091" spans="1:6" x14ac:dyDescent="0.25">
      <c r="A35091" s="2" t="str">
        <f t="shared" si="1210"/>
        <v>99999</v>
      </c>
      <c r="B35091" s="2" t="str">
        <f>"82430"</f>
        <v>82430</v>
      </c>
      <c r="C35091" s="1">
        <v>5.6751843179814504E-6</v>
      </c>
      <c r="D35091" s="1">
        <v>4.5528080202265997E-6</v>
      </c>
      <c r="E35091" s="1">
        <v>0</v>
      </c>
      <c r="F35091" s="1">
        <v>5.4716824020645896E-6</v>
      </c>
    </row>
    <row r="35092" spans="1:6" x14ac:dyDescent="0.25">
      <c r="A35092" s="2" t="str">
        <f t="shared" si="1210"/>
        <v>99999</v>
      </c>
      <c r="B35092" s="2" t="str">
        <f>"82433"</f>
        <v>82433</v>
      </c>
      <c r="C35092" s="1">
        <v>5.03126917421047E-5</v>
      </c>
      <c r="D35092" s="1">
        <v>1.3658424060679801E-5</v>
      </c>
      <c r="E35092" s="1">
        <v>0</v>
      </c>
      <c r="F35092" s="1">
        <v>4.6758013254006503E-5</v>
      </c>
    </row>
    <row r="35093" spans="1:6" x14ac:dyDescent="0.25">
      <c r="A35093" s="2" t="str">
        <f t="shared" si="1210"/>
        <v>99999</v>
      </c>
      <c r="B35093" s="2" t="str">
        <f>"81102"</f>
        <v>81102</v>
      </c>
      <c r="C35093" s="1">
        <v>0</v>
      </c>
      <c r="D35093" s="1">
        <v>1.51760267340886E-6</v>
      </c>
      <c r="E35093" s="1">
        <v>0</v>
      </c>
      <c r="F35093" s="1">
        <v>9.9485134582992598E-8</v>
      </c>
    </row>
    <row r="35094" spans="1:6" x14ac:dyDescent="0.25">
      <c r="A35094" s="2" t="str">
        <f t="shared" si="1210"/>
        <v>99999</v>
      </c>
      <c r="B35094" s="2" t="str">
        <f>"81136"</f>
        <v>81136</v>
      </c>
      <c r="C35094" s="1">
        <v>1.1132092316040499E-5</v>
      </c>
      <c r="D35094" s="1">
        <v>4.5528080202265997E-6</v>
      </c>
      <c r="E35094" s="1">
        <v>8.69107991013423E-6</v>
      </c>
      <c r="F35094" s="1">
        <v>1.0644909400380201E-5</v>
      </c>
    </row>
    <row r="35095" spans="1:6" x14ac:dyDescent="0.25">
      <c r="A35095" s="2" t="str">
        <f t="shared" si="1210"/>
        <v>99999</v>
      </c>
      <c r="B35095" s="2" t="str">
        <f>"81077"</f>
        <v>81077</v>
      </c>
      <c r="C35095" s="1">
        <v>3.2632309828393297E-5</v>
      </c>
      <c r="D35095" s="1">
        <v>0</v>
      </c>
      <c r="E35095" s="1">
        <v>3.0418779685469802E-5</v>
      </c>
      <c r="F35095" s="1">
        <v>3.0442451182395699E-5</v>
      </c>
    </row>
    <row r="35096" spans="1:6" x14ac:dyDescent="0.25">
      <c r="A35096" s="2" t="str">
        <f t="shared" si="1210"/>
        <v>99999</v>
      </c>
      <c r="B35096" s="2" t="str">
        <f>"81128"</f>
        <v>81128</v>
      </c>
      <c r="C35096" s="1">
        <v>0</v>
      </c>
      <c r="D35096" s="1">
        <v>0</v>
      </c>
      <c r="E35096" s="1">
        <v>8.69107991013423E-6</v>
      </c>
      <c r="F35096" s="1">
        <v>1.9897026916598501E-7</v>
      </c>
    </row>
    <row r="35097" spans="1:6" x14ac:dyDescent="0.25">
      <c r="A35097" s="2" t="str">
        <f t="shared" si="1210"/>
        <v>99999</v>
      </c>
      <c r="B35097" s="2" t="str">
        <f>"81101"</f>
        <v>81101</v>
      </c>
      <c r="C35097" s="1">
        <v>8.9689739856099098E-4</v>
      </c>
      <c r="D35097" s="1">
        <v>1.3825360354754799E-3</v>
      </c>
      <c r="E35097" s="1">
        <v>2.56386857348959E-3</v>
      </c>
      <c r="F35097" s="1">
        <v>9.6689602301210499E-4</v>
      </c>
    </row>
    <row r="35098" spans="1:6" x14ac:dyDescent="0.25">
      <c r="A35098" s="2" t="str">
        <f t="shared" si="1210"/>
        <v>99999</v>
      </c>
      <c r="B35098" s="2" t="str">
        <f>"81030"</f>
        <v>81030</v>
      </c>
      <c r="C35098" s="1">
        <v>7.6396711972827196E-6</v>
      </c>
      <c r="D35098" s="1">
        <v>0</v>
      </c>
      <c r="E35098" s="1">
        <v>1.3036619865201299E-5</v>
      </c>
      <c r="F35098" s="1">
        <v>7.2624148245584604E-6</v>
      </c>
    </row>
    <row r="35099" spans="1:6" x14ac:dyDescent="0.25">
      <c r="A35099" s="2" t="str">
        <f t="shared" si="1210"/>
        <v>99999</v>
      </c>
      <c r="B35099" s="2" t="str">
        <f>"81049"</f>
        <v>81049</v>
      </c>
      <c r="C35099" s="1">
        <v>1.57158950344101E-5</v>
      </c>
      <c r="D35099" s="1">
        <v>1.51760267340886E-6</v>
      </c>
      <c r="E35099" s="1">
        <v>1.7382159820268399E-5</v>
      </c>
      <c r="F35099" s="1">
        <v>1.4823285052865899E-5</v>
      </c>
    </row>
    <row r="35100" spans="1:6" x14ac:dyDescent="0.25">
      <c r="A35100" s="2" t="str">
        <f t="shared" si="1210"/>
        <v>99999</v>
      </c>
      <c r="B35100" s="2" t="str">
        <f>"81433"</f>
        <v>81433</v>
      </c>
      <c r="C35100" s="1">
        <v>0</v>
      </c>
      <c r="D35100" s="1">
        <v>0</v>
      </c>
      <c r="E35100" s="1">
        <v>4.3455399550671099E-6</v>
      </c>
      <c r="F35100" s="1">
        <v>9.9485134582992598E-8</v>
      </c>
    </row>
    <row r="35101" spans="1:6" x14ac:dyDescent="0.25">
      <c r="A35101" s="2" t="str">
        <f t="shared" si="1210"/>
        <v>99999</v>
      </c>
      <c r="B35101" s="2" t="str">
        <f>"81435"</f>
        <v>81435</v>
      </c>
      <c r="C35101" s="1">
        <v>5.1971591773514701E-4</v>
      </c>
      <c r="D35101" s="1">
        <v>9.22702425432592E-4</v>
      </c>
      <c r="E35101" s="1">
        <v>7.0832301267594001E-4</v>
      </c>
      <c r="F35101" s="1">
        <v>5.50451249647698E-4</v>
      </c>
    </row>
    <row r="35102" spans="1:6" x14ac:dyDescent="0.25">
      <c r="A35102" s="2" t="str">
        <f t="shared" si="1210"/>
        <v>99999</v>
      </c>
      <c r="B35102" s="2" t="str">
        <f>"81323"</f>
        <v>81323</v>
      </c>
      <c r="C35102" s="1">
        <v>2.1729407648271199E-4</v>
      </c>
      <c r="D35102" s="1">
        <v>1.09267392485438E-4</v>
      </c>
      <c r="E35102" s="1">
        <v>1.82512678112818E-4</v>
      </c>
      <c r="F35102" s="1">
        <v>2.0941620829719899E-4</v>
      </c>
    </row>
    <row r="35103" spans="1:6" x14ac:dyDescent="0.25">
      <c r="A35103" s="2" t="str">
        <f t="shared" si="1210"/>
        <v>99999</v>
      </c>
      <c r="B35103" s="2" t="str">
        <f>"81430"</f>
        <v>81430</v>
      </c>
      <c r="C35103" s="1">
        <v>1.09138159961181E-7</v>
      </c>
      <c r="D35103" s="1">
        <v>0</v>
      </c>
      <c r="E35103" s="1">
        <v>4.3455399550671099E-6</v>
      </c>
      <c r="F35103" s="1">
        <v>1.9897026916598501E-7</v>
      </c>
    </row>
    <row r="35104" spans="1:6" x14ac:dyDescent="0.25">
      <c r="A35104" s="2" t="str">
        <f t="shared" si="1210"/>
        <v>99999</v>
      </c>
      <c r="B35104" s="2" t="str">
        <f>"81423"</f>
        <v>81423</v>
      </c>
      <c r="C35104" s="1">
        <v>5.7188395819659203E-5</v>
      </c>
      <c r="D35104" s="1">
        <v>0</v>
      </c>
      <c r="E35104" s="1">
        <v>3.0418779685469802E-5</v>
      </c>
      <c r="F35104" s="1">
        <v>5.2826606463568999E-5</v>
      </c>
    </row>
    <row r="35105" spans="1:6" x14ac:dyDescent="0.25">
      <c r="A35105" s="2" t="str">
        <f t="shared" si="1210"/>
        <v>99999</v>
      </c>
      <c r="B35105" s="2" t="str">
        <f>"81328"</f>
        <v>81328</v>
      </c>
      <c r="C35105" s="1">
        <v>2.1980425416181999E-4</v>
      </c>
      <c r="D35105" s="1">
        <v>1.01679379118394E-4</v>
      </c>
      <c r="E35105" s="1">
        <v>2.4335023748375801E-4</v>
      </c>
      <c r="F35105" s="1">
        <v>2.12599732603855E-4</v>
      </c>
    </row>
    <row r="35106" spans="1:6" x14ac:dyDescent="0.25">
      <c r="A35106" s="2" t="str">
        <f t="shared" si="1210"/>
        <v>99999</v>
      </c>
      <c r="B35106" s="2" t="str">
        <f>"81224"</f>
        <v>81224</v>
      </c>
      <c r="C35106" s="1">
        <v>1.48646173867129E-4</v>
      </c>
      <c r="D35106" s="1">
        <v>2.4281642774541899E-5</v>
      </c>
      <c r="E35106" s="1">
        <v>4.9973709483271795E-4</v>
      </c>
      <c r="F35106" s="1">
        <v>1.4853130593240799E-4</v>
      </c>
    </row>
    <row r="35107" spans="1:6" x14ac:dyDescent="0.25">
      <c r="A35107" s="2" t="str">
        <f t="shared" si="1210"/>
        <v>99999</v>
      </c>
      <c r="B35107" s="2" t="str">
        <f>"81211"</f>
        <v>81211</v>
      </c>
      <c r="C35107" s="1">
        <v>3.7216112546762899E-4</v>
      </c>
      <c r="D35107" s="1">
        <v>1.88182731502699E-4</v>
      </c>
      <c r="E35107" s="1">
        <v>3.0853333680976502E-4</v>
      </c>
      <c r="F35107" s="1">
        <v>3.5864391017168798E-4</v>
      </c>
    </row>
    <row r="35108" spans="1:6" x14ac:dyDescent="0.25">
      <c r="A35108" s="2" t="str">
        <f t="shared" si="1210"/>
        <v>99999</v>
      </c>
      <c r="B35108" s="2" t="str">
        <f>"81149"</f>
        <v>81149</v>
      </c>
      <c r="C35108" s="1">
        <v>1.7243829273866699E-5</v>
      </c>
      <c r="D35108" s="1">
        <v>1.3658424060679801E-5</v>
      </c>
      <c r="E35108" s="1">
        <v>1.7382159820268399E-5</v>
      </c>
      <c r="F35108" s="1">
        <v>1.7011958013691699E-5</v>
      </c>
    </row>
    <row r="35109" spans="1:6" x14ac:dyDescent="0.25">
      <c r="A35109" s="2" t="str">
        <f t="shared" si="1210"/>
        <v>99999</v>
      </c>
      <c r="B35109" s="2" t="str">
        <f>"81144"</f>
        <v>81144</v>
      </c>
      <c r="C35109" s="1">
        <v>3.6976008594848299E-4</v>
      </c>
      <c r="D35109" s="1">
        <v>5.7972422124218798E-4</v>
      </c>
      <c r="E35109" s="1">
        <v>8.2999813141781899E-4</v>
      </c>
      <c r="F35109" s="1">
        <v>3.9406061808323298E-4</v>
      </c>
    </row>
    <row r="35110" spans="1:6" x14ac:dyDescent="0.25">
      <c r="A35110" s="2" t="str">
        <f t="shared" si="1210"/>
        <v>99999</v>
      </c>
      <c r="B35110" s="2" t="str">
        <f>"80743"</f>
        <v>80743</v>
      </c>
      <c r="C35110" s="1">
        <v>4.6820270623346902E-5</v>
      </c>
      <c r="D35110" s="1">
        <v>2.4281642774541899E-5</v>
      </c>
      <c r="E35110" s="1">
        <v>4.7800939505738197E-5</v>
      </c>
      <c r="F35110" s="1">
        <v>4.5365221369844598E-5</v>
      </c>
    </row>
    <row r="35111" spans="1:6" x14ac:dyDescent="0.25">
      <c r="A35111" s="2" t="str">
        <f t="shared" si="1210"/>
        <v>99999</v>
      </c>
      <c r="B35111" s="2" t="str">
        <f>"80832"</f>
        <v>80832</v>
      </c>
      <c r="C35111" s="1">
        <v>1.0913815996118101E-6</v>
      </c>
      <c r="D35111" s="1">
        <v>0</v>
      </c>
      <c r="E35111" s="1">
        <v>0</v>
      </c>
      <c r="F35111" s="1">
        <v>9.9485134582992606E-7</v>
      </c>
    </row>
    <row r="35112" spans="1:6" x14ac:dyDescent="0.25">
      <c r="A35112" s="2" t="str">
        <f t="shared" si="1210"/>
        <v>99999</v>
      </c>
      <c r="B35112" s="2" t="str">
        <f>"80833"</f>
        <v>80833</v>
      </c>
      <c r="C35112" s="1">
        <v>1.44062371148759E-5</v>
      </c>
      <c r="D35112" s="1">
        <v>3.0352053468177301E-6</v>
      </c>
      <c r="E35112" s="1">
        <v>2.60732397304027E-5</v>
      </c>
      <c r="F35112" s="1">
        <v>1.3927918841618899E-5</v>
      </c>
    </row>
    <row r="35113" spans="1:6" x14ac:dyDescent="0.25">
      <c r="A35113" s="2" t="str">
        <f t="shared" si="1210"/>
        <v>99999</v>
      </c>
      <c r="B35113" s="2" t="str">
        <f>"80821"</f>
        <v>80821</v>
      </c>
      <c r="C35113" s="1">
        <v>4.9985277262221202E-5</v>
      </c>
      <c r="D35113" s="1">
        <v>3.3387258814995101E-5</v>
      </c>
      <c r="E35113" s="1">
        <v>3.0418779685469802E-5</v>
      </c>
      <c r="F35113" s="1">
        <v>4.8449260541917403E-5</v>
      </c>
    </row>
    <row r="35114" spans="1:6" x14ac:dyDescent="0.25">
      <c r="A35114" s="2" t="str">
        <f t="shared" si="1210"/>
        <v>99999</v>
      </c>
      <c r="B35114" s="2" t="str">
        <f>"80810"</f>
        <v>80810</v>
      </c>
      <c r="C35114" s="1">
        <v>5.45690799805908E-5</v>
      </c>
      <c r="D35114" s="1">
        <v>4.5528080202265997E-6</v>
      </c>
      <c r="E35114" s="1">
        <v>3.0418779685469802E-5</v>
      </c>
      <c r="F35114" s="1">
        <v>5.07374186373262E-5</v>
      </c>
    </row>
    <row r="35115" spans="1:6" x14ac:dyDescent="0.25">
      <c r="A35115" s="2" t="str">
        <f t="shared" si="1210"/>
        <v>99999</v>
      </c>
      <c r="B35115" s="2" t="str">
        <f>"80759"</f>
        <v>80759</v>
      </c>
      <c r="C35115" s="1">
        <v>2.2187787920108199E-4</v>
      </c>
      <c r="D35115" s="1">
        <v>4.4010477528857198E-4</v>
      </c>
      <c r="E35115" s="1">
        <v>4.0848075577630798E-4</v>
      </c>
      <c r="F35115" s="1">
        <v>2.4045557028709301E-4</v>
      </c>
    </row>
    <row r="35116" spans="1:6" x14ac:dyDescent="0.25">
      <c r="A35116" s="2" t="str">
        <f t="shared" si="1210"/>
        <v>99999</v>
      </c>
      <c r="B35116" s="2" t="str">
        <f>"80478"</f>
        <v>80478</v>
      </c>
      <c r="C35116" s="1">
        <v>0</v>
      </c>
      <c r="D35116" s="1">
        <v>0</v>
      </c>
      <c r="E35116" s="1">
        <v>4.3455399550671099E-6</v>
      </c>
      <c r="F35116" s="1">
        <v>9.9485134582992598E-8</v>
      </c>
    </row>
    <row r="35117" spans="1:6" x14ac:dyDescent="0.25">
      <c r="A35117" s="2" t="str">
        <f t="shared" si="1210"/>
        <v>99999</v>
      </c>
      <c r="B35117" s="2" t="str">
        <f>"79743"</f>
        <v>79743</v>
      </c>
      <c r="C35117" s="1">
        <v>2.1827631992236301E-7</v>
      </c>
      <c r="D35117" s="1">
        <v>3.0352053468177301E-6</v>
      </c>
      <c r="E35117" s="1">
        <v>0</v>
      </c>
      <c r="F35117" s="1">
        <v>3.9794053833197002E-7</v>
      </c>
    </row>
    <row r="35118" spans="1:6" x14ac:dyDescent="0.25">
      <c r="A35118" s="2" t="str">
        <f t="shared" si="1210"/>
        <v>99999</v>
      </c>
      <c r="B35118" s="2" t="str">
        <f>"79731"</f>
        <v>79731</v>
      </c>
      <c r="C35118" s="1">
        <v>1.93174543131291E-4</v>
      </c>
      <c r="D35118" s="1">
        <v>2.8682690527427601E-4</v>
      </c>
      <c r="E35118" s="1">
        <v>2.8246009707936202E-4</v>
      </c>
      <c r="F35118" s="1">
        <v>2.0135791239597701E-4</v>
      </c>
    </row>
    <row r="35119" spans="1:6" x14ac:dyDescent="0.25">
      <c r="A35119" s="2" t="str">
        <f t="shared" si="1210"/>
        <v>99999</v>
      </c>
      <c r="B35119" s="2" t="str">
        <f>"79832"</f>
        <v>79832</v>
      </c>
      <c r="C35119" s="1">
        <v>0</v>
      </c>
      <c r="D35119" s="1">
        <v>1.51760267340886E-6</v>
      </c>
      <c r="E35119" s="1">
        <v>0</v>
      </c>
      <c r="F35119" s="1">
        <v>9.9485134582992598E-8</v>
      </c>
    </row>
    <row r="35120" spans="1:6" x14ac:dyDescent="0.25">
      <c r="A35120" s="2" t="str">
        <f t="shared" si="1210"/>
        <v>99999</v>
      </c>
      <c r="B35120" s="2" t="str">
        <f>"79777"</f>
        <v>79777</v>
      </c>
      <c r="C35120" s="1">
        <v>1.09138159961181E-7</v>
      </c>
      <c r="D35120" s="1">
        <v>1.51760267340886E-6</v>
      </c>
      <c r="E35120" s="1">
        <v>0</v>
      </c>
      <c r="F35120" s="1">
        <v>1.9897026916598501E-7</v>
      </c>
    </row>
    <row r="35121" spans="1:6" x14ac:dyDescent="0.25">
      <c r="A35121" s="2" t="str">
        <f t="shared" si="1210"/>
        <v>99999</v>
      </c>
      <c r="B35121" s="2" t="str">
        <f>"79376"</f>
        <v>79376</v>
      </c>
      <c r="C35121" s="1">
        <v>9.2767435967004401E-6</v>
      </c>
      <c r="D35121" s="1">
        <v>6.0704106936354696E-6</v>
      </c>
      <c r="E35121" s="1">
        <v>8.69107991013423E-6</v>
      </c>
      <c r="F35121" s="1">
        <v>9.0531472470523294E-6</v>
      </c>
    </row>
    <row r="35122" spans="1:6" x14ac:dyDescent="0.25">
      <c r="A35122" s="2" t="str">
        <f t="shared" si="1210"/>
        <v>99999</v>
      </c>
      <c r="B35122" s="2" t="str">
        <f>"79370"</f>
        <v>79370</v>
      </c>
      <c r="C35122" s="1">
        <v>1.18633179877804E-4</v>
      </c>
      <c r="D35122" s="1">
        <v>1.91217936849517E-4</v>
      </c>
      <c r="E35122" s="1">
        <v>1.9120375802295301E-4</v>
      </c>
      <c r="F35122" s="1">
        <v>1.2505281417082099E-4</v>
      </c>
    </row>
    <row r="35123" spans="1:6" x14ac:dyDescent="0.25">
      <c r="A35123" s="2" t="str">
        <f t="shared" si="1210"/>
        <v>99999</v>
      </c>
      <c r="B35123" s="2" t="str">
        <f>"79351"</f>
        <v>79351</v>
      </c>
      <c r="C35123" s="1">
        <v>4.3655263984472599E-6</v>
      </c>
      <c r="D35123" s="1">
        <v>1.0623218713862E-5</v>
      </c>
      <c r="E35123" s="1">
        <v>4.3455399550671099E-6</v>
      </c>
      <c r="F35123" s="1">
        <v>4.7752864599836398E-6</v>
      </c>
    </row>
    <row r="35124" spans="1:6" x14ac:dyDescent="0.25">
      <c r="A35124" s="2" t="str">
        <f t="shared" si="1210"/>
        <v>99999</v>
      </c>
      <c r="B35124" s="2" t="str">
        <f>"79347"</f>
        <v>79347</v>
      </c>
      <c r="C35124" s="1">
        <v>3.9835428385831301E-4</v>
      </c>
      <c r="D35124" s="1">
        <v>6.0248826134332099E-4</v>
      </c>
      <c r="E35124" s="1">
        <v>4.9539155487765096E-4</v>
      </c>
      <c r="F35124" s="1">
        <v>4.1395764499983198E-4</v>
      </c>
    </row>
    <row r="35125" spans="1:6" x14ac:dyDescent="0.25">
      <c r="A35125" s="2" t="str">
        <f t="shared" si="1210"/>
        <v>99999</v>
      </c>
      <c r="B35125" s="2" t="str">
        <f>"79560"</f>
        <v>79560</v>
      </c>
      <c r="C35125" s="1">
        <v>4.2563882384860804E-6</v>
      </c>
      <c r="D35125" s="1">
        <v>0</v>
      </c>
      <c r="E35125" s="1">
        <v>4.3455399550671099E-6</v>
      </c>
      <c r="F35125" s="1">
        <v>3.9794053833197E-6</v>
      </c>
    </row>
    <row r="35126" spans="1:6" x14ac:dyDescent="0.25">
      <c r="A35126" s="2" t="str">
        <f t="shared" si="1210"/>
        <v>99999</v>
      </c>
      <c r="B35126" s="2" t="str">
        <f>"79527"</f>
        <v>79527</v>
      </c>
      <c r="C35126" s="1">
        <v>4.1472500785249E-6</v>
      </c>
      <c r="D35126" s="1">
        <v>3.0352053468177301E-6</v>
      </c>
      <c r="E35126" s="1">
        <v>0</v>
      </c>
      <c r="F35126" s="1">
        <v>3.9794053833197E-6</v>
      </c>
    </row>
    <row r="35127" spans="1:6" x14ac:dyDescent="0.25">
      <c r="A35127" s="2" t="str">
        <f t="shared" si="1210"/>
        <v>99999</v>
      </c>
      <c r="B35127" s="2" t="str">
        <f>"79544"</f>
        <v>79544</v>
      </c>
      <c r="C35127" s="1">
        <v>2.56474675908777E-5</v>
      </c>
      <c r="D35127" s="1">
        <v>2.2764040101133E-5</v>
      </c>
      <c r="E35127" s="1">
        <v>8.69107991013423E-6</v>
      </c>
      <c r="F35127" s="1">
        <v>2.5070253914914101E-5</v>
      </c>
    </row>
    <row r="35128" spans="1:6" x14ac:dyDescent="0.25">
      <c r="A35128" s="2" t="str">
        <f t="shared" si="1210"/>
        <v>99999</v>
      </c>
      <c r="B35128" s="2" t="str">
        <f>"79540"</f>
        <v>79540</v>
      </c>
      <c r="C35128" s="1">
        <v>7.4213948773603504E-6</v>
      </c>
      <c r="D35128" s="1">
        <v>4.5528080202265997E-6</v>
      </c>
      <c r="E35128" s="1">
        <v>8.69107991013423E-6</v>
      </c>
      <c r="F35128" s="1">
        <v>7.2624148245584604E-6</v>
      </c>
    </row>
    <row r="35129" spans="1:6" x14ac:dyDescent="0.25">
      <c r="A35129" s="2" t="str">
        <f t="shared" si="1210"/>
        <v>99999</v>
      </c>
      <c r="B35129" s="2" t="str">
        <f>"79511"</f>
        <v>79511</v>
      </c>
      <c r="C35129" s="1">
        <v>6.5482895976709E-6</v>
      </c>
      <c r="D35129" s="1">
        <v>1.51760267340886E-6</v>
      </c>
      <c r="E35129" s="1">
        <v>4.3455399550671099E-6</v>
      </c>
      <c r="F35129" s="1">
        <v>6.1680783441455402E-6</v>
      </c>
    </row>
    <row r="35130" spans="1:6" x14ac:dyDescent="0.25">
      <c r="A35130" s="2" t="str">
        <f t="shared" si="1210"/>
        <v>99999</v>
      </c>
      <c r="B35130" s="2" t="str">
        <f>"79223"</f>
        <v>79223</v>
      </c>
      <c r="C35130" s="1">
        <v>1.52793423945654E-6</v>
      </c>
      <c r="D35130" s="1">
        <v>3.0352053468177301E-6</v>
      </c>
      <c r="E35130" s="1">
        <v>8.69107991013423E-6</v>
      </c>
      <c r="F35130" s="1">
        <v>1.79073242249386E-6</v>
      </c>
    </row>
    <row r="35131" spans="1:6" x14ac:dyDescent="0.25">
      <c r="A35131" s="2" t="str">
        <f t="shared" si="1210"/>
        <v>99999</v>
      </c>
      <c r="B35131" s="2" t="str">
        <f>"79088"</f>
        <v>79088</v>
      </c>
      <c r="C35131" s="1">
        <v>2.8113990006000398E-4</v>
      </c>
      <c r="D35131" s="1">
        <v>3.9609429775971401E-4</v>
      </c>
      <c r="E35131" s="1">
        <v>2.7376901716922799E-4</v>
      </c>
      <c r="F35131" s="1">
        <v>2.8850689029067799E-4</v>
      </c>
    </row>
    <row r="35132" spans="1:6" x14ac:dyDescent="0.25">
      <c r="A35132" s="2" t="str">
        <f t="shared" si="1210"/>
        <v>99999</v>
      </c>
      <c r="B35132" s="2" t="str">
        <f>"79081"</f>
        <v>79081</v>
      </c>
      <c r="C35132" s="1">
        <v>1.7734950993691999E-4</v>
      </c>
      <c r="D35132" s="1">
        <v>3.3387258814995097E-4</v>
      </c>
      <c r="E35132" s="1">
        <v>1.6078497833748299E-4</v>
      </c>
      <c r="F35132" s="1">
        <v>1.87231023285192E-4</v>
      </c>
    </row>
    <row r="35133" spans="1:6" x14ac:dyDescent="0.25">
      <c r="A35133" s="2" t="str">
        <f t="shared" si="1210"/>
        <v>99999</v>
      </c>
      <c r="B35133" s="2" t="str">
        <f>"79003"</f>
        <v>79003</v>
      </c>
      <c r="C35133" s="1">
        <v>1.09138159961181E-7</v>
      </c>
      <c r="D35133" s="1">
        <v>0</v>
      </c>
      <c r="E35133" s="1">
        <v>4.3455399550671099E-6</v>
      </c>
      <c r="F35133" s="1">
        <v>1.9897026916598501E-7</v>
      </c>
    </row>
    <row r="35134" spans="1:6" x14ac:dyDescent="0.25">
      <c r="A35134" s="2" t="str">
        <f t="shared" si="1210"/>
        <v>99999</v>
      </c>
      <c r="B35134" s="2" t="str">
        <f>"79011"</f>
        <v>79011</v>
      </c>
      <c r="C35134" s="1">
        <v>1.5279342394565399E-5</v>
      </c>
      <c r="D35134" s="1">
        <v>1.3658424060679801E-5</v>
      </c>
      <c r="E35134" s="1">
        <v>1.3036619865201299E-5</v>
      </c>
      <c r="F35134" s="1">
        <v>1.51217404566148E-5</v>
      </c>
    </row>
    <row r="35135" spans="1:6" x14ac:dyDescent="0.25">
      <c r="A35135" s="2" t="str">
        <f t="shared" si="1210"/>
        <v>99999</v>
      </c>
      <c r="B35135" s="2" t="str">
        <f>"79018"</f>
        <v>79018</v>
      </c>
      <c r="C35135" s="1">
        <v>4.5838027183696299E-6</v>
      </c>
      <c r="D35135" s="1">
        <v>1.51760267340886E-6</v>
      </c>
      <c r="E35135" s="1">
        <v>6.9528639281073799E-5</v>
      </c>
      <c r="F35135" s="1">
        <v>5.86962294039656E-6</v>
      </c>
    </row>
    <row r="35136" spans="1:6" x14ac:dyDescent="0.25">
      <c r="A35136" s="2" t="str">
        <f t="shared" si="1210"/>
        <v>99999</v>
      </c>
      <c r="B35136" s="2" t="str">
        <f>"79005"</f>
        <v>79005</v>
      </c>
      <c r="C35136" s="1">
        <v>4.3982678464356202E-5</v>
      </c>
      <c r="D35136" s="1">
        <v>5.4633696242719298E-5</v>
      </c>
      <c r="E35136" s="1">
        <v>9.1256339056409395E-5</v>
      </c>
      <c r="F35136" s="1">
        <v>4.5763161908176599E-5</v>
      </c>
    </row>
    <row r="35137" spans="1:6" x14ac:dyDescent="0.25">
      <c r="A35137" s="2" t="str">
        <f t="shared" si="1210"/>
        <v>99999</v>
      </c>
      <c r="B35137" s="2" t="str">
        <f>"79056"</f>
        <v>79056</v>
      </c>
      <c r="C35137" s="1">
        <v>3.4924211187578098E-6</v>
      </c>
      <c r="D35137" s="1">
        <v>1.51760267340886E-6</v>
      </c>
      <c r="E35137" s="1">
        <v>0</v>
      </c>
      <c r="F35137" s="1">
        <v>3.2830094412387502E-6</v>
      </c>
    </row>
    <row r="35138" spans="1:6" x14ac:dyDescent="0.25">
      <c r="A35138" s="2" t="str">
        <f t="shared" si="1210"/>
        <v>99999</v>
      </c>
      <c r="B35138" s="2" t="str">
        <f>"79035"</f>
        <v>79035</v>
      </c>
      <c r="C35138" s="1">
        <v>2.41631886154056E-4</v>
      </c>
      <c r="D35138" s="1">
        <v>2.6254526249973401E-4</v>
      </c>
      <c r="E35138" s="1">
        <v>2.4769577743882499E-4</v>
      </c>
      <c r="F35138" s="1">
        <v>2.43141668920834E-4</v>
      </c>
    </row>
    <row r="35139" spans="1:6" x14ac:dyDescent="0.25">
      <c r="A35139" s="2" t="str">
        <f t="shared" si="1210"/>
        <v>99999</v>
      </c>
      <c r="B35139" s="2" t="str">
        <f>"78945"</f>
        <v>78945</v>
      </c>
      <c r="C35139" s="1">
        <v>5.84325708432167E-4</v>
      </c>
      <c r="D35139" s="1">
        <v>1.0228642018775701E-3</v>
      </c>
      <c r="E35139" s="1">
        <v>6.2141221357459703E-4</v>
      </c>
      <c r="F35139" s="1">
        <v>6.1392276551164695E-4</v>
      </c>
    </row>
    <row r="35140" spans="1:6" x14ac:dyDescent="0.25">
      <c r="A35140" s="2" t="str">
        <f t="shared" si="1210"/>
        <v>99999</v>
      </c>
      <c r="B35140" s="2" t="str">
        <f>"78940"</f>
        <v>78940</v>
      </c>
      <c r="C35140" s="1">
        <v>1.38387186830778E-4</v>
      </c>
      <c r="D35140" s="1">
        <v>7.4362530997034595E-5</v>
      </c>
      <c r="E35140" s="1">
        <v>0</v>
      </c>
      <c r="F35140" s="1">
        <v>1.3102192224580101E-4</v>
      </c>
    </row>
    <row r="35141" spans="1:6" x14ac:dyDescent="0.25">
      <c r="A35141" s="2" t="str">
        <f t="shared" si="1210"/>
        <v>99999</v>
      </c>
      <c r="B35141" s="2" t="str">
        <f>"78873"</f>
        <v>78873</v>
      </c>
      <c r="C35141" s="1">
        <v>2.0736250392624501E-5</v>
      </c>
      <c r="D35141" s="1">
        <v>2.1246437427724101E-5</v>
      </c>
      <c r="E35141" s="1">
        <v>0</v>
      </c>
      <c r="F35141" s="1">
        <v>2.0294967454930399E-5</v>
      </c>
    </row>
    <row r="35142" spans="1:6" x14ac:dyDescent="0.25">
      <c r="A35142" s="2" t="str">
        <f t="shared" si="1210"/>
        <v>99999</v>
      </c>
      <c r="B35142" s="2" t="str">
        <f>"78676"</f>
        <v>78676</v>
      </c>
      <c r="C35142" s="1">
        <v>3.8198355986413598E-6</v>
      </c>
      <c r="D35142" s="1">
        <v>0</v>
      </c>
      <c r="E35142" s="1">
        <v>0</v>
      </c>
      <c r="F35142" s="1">
        <v>3.48197971040474E-6</v>
      </c>
    </row>
    <row r="35143" spans="1:6" x14ac:dyDescent="0.25">
      <c r="A35143" s="2" t="str">
        <f t="shared" si="1210"/>
        <v>99999</v>
      </c>
      <c r="B35143" s="2" t="str">
        <f>"78672"</f>
        <v>78672</v>
      </c>
      <c r="C35143" s="1">
        <v>7.48687777333706E-5</v>
      </c>
      <c r="D35143" s="1">
        <v>3.9457669508630602E-5</v>
      </c>
      <c r="E35143" s="1">
        <v>8.69107991013423E-6</v>
      </c>
      <c r="F35143" s="1">
        <v>7.1032386092256697E-5</v>
      </c>
    </row>
    <row r="35144" spans="1:6" x14ac:dyDescent="0.25">
      <c r="A35144" s="2" t="str">
        <f t="shared" si="1210"/>
        <v>99999</v>
      </c>
      <c r="B35144" s="2" t="str">
        <f>"78643"</f>
        <v>78643</v>
      </c>
      <c r="C35144" s="1">
        <v>4.4419231104200898E-4</v>
      </c>
      <c r="D35144" s="1">
        <v>6.3132271213808897E-4</v>
      </c>
      <c r="E35144" s="1">
        <v>2.3031361761855699E-4</v>
      </c>
      <c r="F35144" s="1">
        <v>4.5156302587220302E-4</v>
      </c>
    </row>
    <row r="35145" spans="1:6" x14ac:dyDescent="0.25">
      <c r="A35145" s="2" t="str">
        <f t="shared" si="1210"/>
        <v>99999</v>
      </c>
      <c r="B35145" s="2" t="str">
        <f>"78642"</f>
        <v>78642</v>
      </c>
      <c r="C35145" s="1">
        <v>2.7939368950062499E-5</v>
      </c>
      <c r="D35145" s="1">
        <v>4.5528080202265997E-6</v>
      </c>
      <c r="E35145" s="1">
        <v>8.69107991013423E-6</v>
      </c>
      <c r="F35145" s="1">
        <v>2.5965620126160999E-5</v>
      </c>
    </row>
    <row r="35146" spans="1:6" x14ac:dyDescent="0.25">
      <c r="A35146" s="2" t="str">
        <f t="shared" si="1210"/>
        <v>99999</v>
      </c>
      <c r="B35146" s="2" t="str">
        <f>"78631"</f>
        <v>78631</v>
      </c>
      <c r="C35146" s="1">
        <v>4.3655263984472602E-7</v>
      </c>
      <c r="D35146" s="1">
        <v>0</v>
      </c>
      <c r="E35146" s="1">
        <v>0</v>
      </c>
      <c r="F35146" s="1">
        <v>3.9794053833197002E-7</v>
      </c>
    </row>
    <row r="35147" spans="1:6" x14ac:dyDescent="0.25">
      <c r="A35147" s="2" t="str">
        <f t="shared" si="1210"/>
        <v>99999</v>
      </c>
      <c r="B35147" s="2" t="str">
        <f>"78340"</f>
        <v>78340</v>
      </c>
      <c r="C35147" s="1">
        <v>4.6929408783308102E-6</v>
      </c>
      <c r="D35147" s="1">
        <v>6.0704106936354696E-6</v>
      </c>
      <c r="E35147" s="1">
        <v>0</v>
      </c>
      <c r="F35147" s="1">
        <v>4.6758013254006498E-6</v>
      </c>
    </row>
    <row r="35148" spans="1:6" x14ac:dyDescent="0.25">
      <c r="A35148" s="2" t="str">
        <f t="shared" si="1210"/>
        <v>99999</v>
      </c>
      <c r="B35148" s="2" t="str">
        <f>"78389"</f>
        <v>78389</v>
      </c>
      <c r="C35148" s="1">
        <v>1.09138159961181E-7</v>
      </c>
      <c r="D35148" s="1">
        <v>0</v>
      </c>
      <c r="E35148" s="1">
        <v>0</v>
      </c>
      <c r="F35148" s="1">
        <v>9.9485134582992598E-8</v>
      </c>
    </row>
    <row r="35149" spans="1:6" x14ac:dyDescent="0.25">
      <c r="A35149" s="2" t="str">
        <f t="shared" si="1210"/>
        <v>99999</v>
      </c>
      <c r="B35149" s="2" t="str">
        <f>"78368"</f>
        <v>78368</v>
      </c>
      <c r="C35149" s="1">
        <v>6.8320488135699704E-5</v>
      </c>
      <c r="D35149" s="1">
        <v>1.8211232080906399E-5</v>
      </c>
      <c r="E35149" s="1">
        <v>2.60732397304027E-5</v>
      </c>
      <c r="F35149" s="1">
        <v>6.4068426671447194E-5</v>
      </c>
    </row>
    <row r="35150" spans="1:6" x14ac:dyDescent="0.25">
      <c r="A35150" s="2" t="str">
        <f t="shared" si="1210"/>
        <v>99999</v>
      </c>
      <c r="B35150" s="2" t="str">
        <f>"78361"</f>
        <v>78361</v>
      </c>
      <c r="C35150" s="1">
        <v>2.4850759023160998E-4</v>
      </c>
      <c r="D35150" s="1">
        <v>4.03682311126759E-4</v>
      </c>
      <c r="E35150" s="1">
        <v>2.4335023748375801E-4</v>
      </c>
      <c r="F35150" s="1">
        <v>2.5856186478119699E-4</v>
      </c>
    </row>
    <row r="35151" spans="1:6" x14ac:dyDescent="0.25">
      <c r="A35151" s="2" t="str">
        <f t="shared" si="1210"/>
        <v>99999</v>
      </c>
      <c r="B35151" s="2" t="str">
        <f>"78071"</f>
        <v>78071</v>
      </c>
      <c r="C35151" s="1">
        <v>8.3708968690226305E-5</v>
      </c>
      <c r="D35151" s="1">
        <v>1.5631307536111301E-4</v>
      </c>
      <c r="E35151" s="1">
        <v>6.5183099326006705E-5</v>
      </c>
      <c r="F35151" s="1">
        <v>8.8044344105948406E-5</v>
      </c>
    </row>
    <row r="35152" spans="1:6" x14ac:dyDescent="0.25">
      <c r="A35152" s="2" t="str">
        <f t="shared" si="1210"/>
        <v>99999</v>
      </c>
      <c r="B35152" s="2" t="str">
        <f>"77989"</f>
        <v>77989</v>
      </c>
      <c r="C35152" s="1">
        <v>0</v>
      </c>
      <c r="D35152" s="1">
        <v>1.51760267340886E-6</v>
      </c>
      <c r="E35152" s="1">
        <v>0</v>
      </c>
      <c r="F35152" s="1">
        <v>9.9485134582992598E-8</v>
      </c>
    </row>
    <row r="35153" spans="1:6" x14ac:dyDescent="0.25">
      <c r="A35153" s="2" t="str">
        <f t="shared" si="1210"/>
        <v>99999</v>
      </c>
      <c r="B35153" s="2" t="str">
        <f>"77971"</f>
        <v>77971</v>
      </c>
      <c r="C35153" s="1">
        <v>1.47336515947595E-5</v>
      </c>
      <c r="D35153" s="1">
        <v>1.51760267340886E-6</v>
      </c>
      <c r="E35153" s="1">
        <v>0</v>
      </c>
      <c r="F35153" s="1">
        <v>1.35299783032869E-5</v>
      </c>
    </row>
    <row r="35154" spans="1:6" x14ac:dyDescent="0.25">
      <c r="A35154" s="2" t="str">
        <f t="shared" ref="A35154:A35217" si="1211">"99999"</f>
        <v>99999</v>
      </c>
      <c r="B35154" s="2" t="str">
        <f>"77994"</f>
        <v>77994</v>
      </c>
      <c r="C35154" s="1">
        <v>1.73529674338278E-5</v>
      </c>
      <c r="D35154" s="1">
        <v>9.1056160404532095E-6</v>
      </c>
      <c r="E35154" s="1">
        <v>0</v>
      </c>
      <c r="F35154" s="1">
        <v>1.6415047206193701E-5</v>
      </c>
    </row>
    <row r="35155" spans="1:6" x14ac:dyDescent="0.25">
      <c r="A35155" s="2" t="str">
        <f t="shared" si="1211"/>
        <v>99999</v>
      </c>
      <c r="B35155" s="2" t="str">
        <f>"77873"</f>
        <v>77873</v>
      </c>
      <c r="C35155" s="1">
        <v>3.1977480868626198E-5</v>
      </c>
      <c r="D35155" s="1">
        <v>2.2764040101133E-5</v>
      </c>
      <c r="E35155" s="1">
        <v>4.3455399550671099E-6</v>
      </c>
      <c r="F35155" s="1">
        <v>3.0740906586144698E-5</v>
      </c>
    </row>
    <row r="35156" spans="1:6" x14ac:dyDescent="0.25">
      <c r="A35156" s="2" t="str">
        <f t="shared" si="1211"/>
        <v>99999</v>
      </c>
      <c r="B35156" s="2" t="str">
        <f>"77460"</f>
        <v>77460</v>
      </c>
      <c r="C35156" s="1">
        <v>0</v>
      </c>
      <c r="D35156" s="1">
        <v>1.51760267340886E-6</v>
      </c>
      <c r="E35156" s="1">
        <v>0</v>
      </c>
      <c r="F35156" s="1">
        <v>9.9485134582992598E-8</v>
      </c>
    </row>
    <row r="35157" spans="1:6" x14ac:dyDescent="0.25">
      <c r="A35157" s="2" t="str">
        <f t="shared" si="1211"/>
        <v>99999</v>
      </c>
      <c r="B35157" s="2" t="str">
        <f>"77434"</f>
        <v>77434</v>
      </c>
      <c r="C35157" s="1">
        <v>2.0507060256706001E-4</v>
      </c>
      <c r="D35157" s="1">
        <v>3.39942998843586E-4</v>
      </c>
      <c r="E35157" s="1">
        <v>1.6513051829255E-4</v>
      </c>
      <c r="F35157" s="1">
        <v>2.1299767314218699E-4</v>
      </c>
    </row>
    <row r="35158" spans="1:6" x14ac:dyDescent="0.25">
      <c r="A35158" s="2" t="str">
        <f t="shared" si="1211"/>
        <v>99999</v>
      </c>
      <c r="B35158" s="2" t="str">
        <f>"77363"</f>
        <v>77363</v>
      </c>
      <c r="C35158" s="1">
        <v>1.68836733459948E-4</v>
      </c>
      <c r="D35158" s="1">
        <v>1.16855405852482E-4</v>
      </c>
      <c r="E35158" s="1">
        <v>2.1727699775335501E-5</v>
      </c>
      <c r="F35158" s="1">
        <v>1.62061284235695E-4</v>
      </c>
    </row>
    <row r="35159" spans="1:6" x14ac:dyDescent="0.25">
      <c r="A35159" s="2" t="str">
        <f t="shared" si="1211"/>
        <v>99999</v>
      </c>
      <c r="B35159" s="2" t="str">
        <f>"77359"</f>
        <v>77359</v>
      </c>
      <c r="C35159" s="1">
        <v>2.3901257031498801E-5</v>
      </c>
      <c r="D35159" s="1">
        <v>4.5528080202265997E-6</v>
      </c>
      <c r="E35159" s="1">
        <v>0</v>
      </c>
      <c r="F35159" s="1">
        <v>2.2085699877424301E-5</v>
      </c>
    </row>
    <row r="35160" spans="1:6" x14ac:dyDescent="0.25">
      <c r="A35160" s="2" t="str">
        <f t="shared" si="1211"/>
        <v>99999</v>
      </c>
      <c r="B35160" s="2" t="str">
        <f>"77412"</f>
        <v>77412</v>
      </c>
      <c r="C35160" s="1">
        <v>1.09138159961181E-7</v>
      </c>
      <c r="D35160" s="1">
        <v>1.51760267340886E-6</v>
      </c>
      <c r="E35160" s="1">
        <v>0</v>
      </c>
      <c r="F35160" s="1">
        <v>1.9897026916598501E-7</v>
      </c>
    </row>
    <row r="35161" spans="1:6" x14ac:dyDescent="0.25">
      <c r="A35161" s="2" t="str">
        <f t="shared" si="1211"/>
        <v>99999</v>
      </c>
      <c r="B35161" s="2" t="str">
        <f>"77356"</f>
        <v>77356</v>
      </c>
      <c r="C35161" s="1">
        <v>5.5660461580202599E-6</v>
      </c>
      <c r="D35161" s="1">
        <v>0</v>
      </c>
      <c r="E35161" s="1">
        <v>0</v>
      </c>
      <c r="F35161" s="1">
        <v>5.0737418637326201E-6</v>
      </c>
    </row>
    <row r="35162" spans="1:6" x14ac:dyDescent="0.25">
      <c r="A35162" s="2" t="str">
        <f t="shared" si="1211"/>
        <v>99999</v>
      </c>
      <c r="B35162" s="2" t="str">
        <f>"77326"</f>
        <v>77326</v>
      </c>
      <c r="C35162" s="1">
        <v>0</v>
      </c>
      <c r="D35162" s="1">
        <v>1.51760267340886E-6</v>
      </c>
      <c r="E35162" s="1">
        <v>0</v>
      </c>
      <c r="F35162" s="1">
        <v>9.9485134582992598E-8</v>
      </c>
    </row>
    <row r="35163" spans="1:6" x14ac:dyDescent="0.25">
      <c r="A35163" s="2" t="str">
        <f t="shared" si="1211"/>
        <v>99999</v>
      </c>
      <c r="B35163" s="2" t="str">
        <f>"77327"</f>
        <v>77327</v>
      </c>
      <c r="C35163" s="1">
        <v>2.1827631992236301E-7</v>
      </c>
      <c r="D35163" s="1">
        <v>0</v>
      </c>
      <c r="E35163" s="1">
        <v>0</v>
      </c>
      <c r="F35163" s="1">
        <v>1.9897026916598501E-7</v>
      </c>
    </row>
    <row r="35164" spans="1:6" x14ac:dyDescent="0.25">
      <c r="A35164" s="2" t="str">
        <f t="shared" si="1211"/>
        <v>99999</v>
      </c>
      <c r="B35164" s="2" t="str">
        <f>"76949"</f>
        <v>76949</v>
      </c>
      <c r="C35164" s="1">
        <v>0</v>
      </c>
      <c r="D35164" s="1">
        <v>0</v>
      </c>
      <c r="E35164" s="1">
        <v>8.69107991013423E-6</v>
      </c>
      <c r="F35164" s="1">
        <v>1.9897026916598501E-7</v>
      </c>
    </row>
    <row r="35165" spans="1:6" x14ac:dyDescent="0.25">
      <c r="A35165" s="2" t="str">
        <f t="shared" si="1211"/>
        <v>99999</v>
      </c>
      <c r="B35165" s="2" t="str">
        <f>"76878"</f>
        <v>76878</v>
      </c>
      <c r="C35165" s="1">
        <v>9.2221745167198505E-5</v>
      </c>
      <c r="D35165" s="1">
        <v>7.5880133670443406E-5</v>
      </c>
      <c r="E35165" s="1">
        <v>2.0858591784322101E-4</v>
      </c>
      <c r="F35165" s="1">
        <v>9.3814481911761995E-5</v>
      </c>
    </row>
    <row r="35166" spans="1:6" x14ac:dyDescent="0.25">
      <c r="A35166" s="2" t="str">
        <f t="shared" si="1211"/>
        <v>99999</v>
      </c>
      <c r="B35166" s="2" t="str">
        <f>"76877"</f>
        <v>76877</v>
      </c>
      <c r="C35166" s="1">
        <v>2.2580685295968501E-4</v>
      </c>
      <c r="D35166" s="1">
        <v>4.7500963677697602E-4</v>
      </c>
      <c r="E35166" s="1">
        <v>2.2596807766349001E-4</v>
      </c>
      <c r="F35166" s="1">
        <v>2.42146817575004E-4</v>
      </c>
    </row>
    <row r="35167" spans="1:6" x14ac:dyDescent="0.25">
      <c r="A35167" s="2" t="str">
        <f t="shared" si="1211"/>
        <v>99999</v>
      </c>
      <c r="B35167" s="2" t="str">
        <f>"76869"</f>
        <v>76869</v>
      </c>
      <c r="C35167" s="1">
        <v>6.0025987978649897E-6</v>
      </c>
      <c r="D35167" s="1">
        <v>1.51760267340886E-6</v>
      </c>
      <c r="E35167" s="1">
        <v>1.3036619865201299E-5</v>
      </c>
      <c r="F35167" s="1">
        <v>5.86962294039656E-6</v>
      </c>
    </row>
    <row r="35168" spans="1:6" x14ac:dyDescent="0.25">
      <c r="A35168" s="2" t="str">
        <f t="shared" si="1211"/>
        <v>99999</v>
      </c>
      <c r="B35168" s="2" t="str">
        <f>"76842"</f>
        <v>76842</v>
      </c>
      <c r="C35168" s="1">
        <v>9.6041580765839897E-6</v>
      </c>
      <c r="D35168" s="1">
        <v>0</v>
      </c>
      <c r="E35168" s="1">
        <v>8.69107991013423E-5</v>
      </c>
      <c r="F35168" s="1">
        <v>1.0744394534963201E-5</v>
      </c>
    </row>
    <row r="35169" spans="1:6" x14ac:dyDescent="0.25">
      <c r="A35169" s="2" t="str">
        <f t="shared" si="1211"/>
        <v>99999</v>
      </c>
      <c r="B35169" s="2" t="str">
        <f>"76837"</f>
        <v>76837</v>
      </c>
      <c r="C35169" s="1">
        <v>2.8703336069790699E-5</v>
      </c>
      <c r="D35169" s="1">
        <v>2.4281642774541899E-5</v>
      </c>
      <c r="E35169" s="1">
        <v>2.1727699775335501E-5</v>
      </c>
      <c r="F35169" s="1">
        <v>2.8253778221569901E-5</v>
      </c>
    </row>
    <row r="35170" spans="1:6" x14ac:dyDescent="0.25">
      <c r="A35170" s="2" t="str">
        <f t="shared" si="1211"/>
        <v>99999</v>
      </c>
      <c r="B35170" s="2" t="str">
        <f>"76866"</f>
        <v>76866</v>
      </c>
      <c r="C35170" s="1">
        <v>2.5320053110994099E-5</v>
      </c>
      <c r="D35170" s="1">
        <v>9.1056160404532095E-6</v>
      </c>
      <c r="E35170" s="1">
        <v>2.60732397304027E-5</v>
      </c>
      <c r="F35170" s="1">
        <v>2.4274372838250201E-5</v>
      </c>
    </row>
    <row r="35171" spans="1:6" x14ac:dyDescent="0.25">
      <c r="A35171" s="2" t="str">
        <f t="shared" si="1211"/>
        <v>99999</v>
      </c>
      <c r="B35171" s="2" t="str">
        <f>"76849"</f>
        <v>76849</v>
      </c>
      <c r="C35171" s="1">
        <v>2.0779905656608999E-4</v>
      </c>
      <c r="D35171" s="1">
        <v>3.8850628439267E-4</v>
      </c>
      <c r="E35171" s="1">
        <v>2.7811455712429498E-4</v>
      </c>
      <c r="F35171" s="1">
        <v>2.2125493931257501E-4</v>
      </c>
    </row>
    <row r="35172" spans="1:6" x14ac:dyDescent="0.25">
      <c r="A35172" s="2" t="str">
        <f t="shared" si="1211"/>
        <v>99999</v>
      </c>
      <c r="B35172" s="2" t="str">
        <f>"76872"</f>
        <v>76872</v>
      </c>
      <c r="C35172" s="1">
        <v>4.1799915265132602E-5</v>
      </c>
      <c r="D35172" s="1">
        <v>6.0704106936354696E-6</v>
      </c>
      <c r="E35172" s="1">
        <v>4.3455399550671099E-6</v>
      </c>
      <c r="F35172" s="1">
        <v>3.8600232218201099E-5</v>
      </c>
    </row>
    <row r="35173" spans="1:6" x14ac:dyDescent="0.25">
      <c r="A35173" s="2" t="str">
        <f t="shared" si="1211"/>
        <v>99999</v>
      </c>
      <c r="B35173" s="2" t="str">
        <f>"76570"</f>
        <v>76570</v>
      </c>
      <c r="C35173" s="1">
        <v>3.3832829587966299E-6</v>
      </c>
      <c r="D35173" s="1">
        <v>0</v>
      </c>
      <c r="E35173" s="1">
        <v>0</v>
      </c>
      <c r="F35173" s="1">
        <v>3.0840391720727701E-6</v>
      </c>
    </row>
    <row r="35174" spans="1:6" x14ac:dyDescent="0.25">
      <c r="A35174" s="2" t="str">
        <f t="shared" si="1211"/>
        <v>99999</v>
      </c>
      <c r="B35174" s="2" t="str">
        <f>"76650"</f>
        <v>76650</v>
      </c>
      <c r="C35174" s="1">
        <v>0</v>
      </c>
      <c r="D35174" s="1">
        <v>1.51760267340886E-6</v>
      </c>
      <c r="E35174" s="1">
        <v>0</v>
      </c>
      <c r="F35174" s="1">
        <v>9.9485134582992598E-8</v>
      </c>
    </row>
    <row r="35175" spans="1:6" x14ac:dyDescent="0.25">
      <c r="A35175" s="2" t="str">
        <f t="shared" si="1211"/>
        <v>99999</v>
      </c>
      <c r="B35175" s="2" t="str">
        <f>"76686"</f>
        <v>76686</v>
      </c>
      <c r="C35175" s="1">
        <v>0</v>
      </c>
      <c r="D35175" s="1">
        <v>1.51760267340886E-6</v>
      </c>
      <c r="E35175" s="1">
        <v>0</v>
      </c>
      <c r="F35175" s="1">
        <v>9.9485134582992598E-8</v>
      </c>
    </row>
    <row r="35176" spans="1:6" x14ac:dyDescent="0.25">
      <c r="A35176" s="2" t="str">
        <f t="shared" si="1211"/>
        <v>99999</v>
      </c>
      <c r="B35176" s="2" t="str">
        <f>"76691"</f>
        <v>76691</v>
      </c>
      <c r="C35176" s="1">
        <v>4.8020790382919898E-6</v>
      </c>
      <c r="D35176" s="1">
        <v>0</v>
      </c>
      <c r="E35176" s="1">
        <v>0</v>
      </c>
      <c r="F35176" s="1">
        <v>4.3773459216516703E-6</v>
      </c>
    </row>
    <row r="35177" spans="1:6" x14ac:dyDescent="0.25">
      <c r="A35177" s="2" t="str">
        <f t="shared" si="1211"/>
        <v>99999</v>
      </c>
      <c r="B35177" s="2" t="str">
        <f>"76676"</f>
        <v>76676</v>
      </c>
      <c r="C35177" s="1">
        <v>1.47336515947595E-5</v>
      </c>
      <c r="D35177" s="1">
        <v>3.0352053468177301E-6</v>
      </c>
      <c r="E35177" s="1">
        <v>0</v>
      </c>
      <c r="F35177" s="1">
        <v>1.36294634378699E-5</v>
      </c>
    </row>
    <row r="35178" spans="1:6" x14ac:dyDescent="0.25">
      <c r="A35178" s="2" t="str">
        <f t="shared" si="1211"/>
        <v>99999</v>
      </c>
      <c r="B35178" s="2" t="str">
        <f>"76670"</f>
        <v>76670</v>
      </c>
      <c r="C35178" s="1">
        <v>2.7939368950062499E-5</v>
      </c>
      <c r="D35178" s="1">
        <v>6.0704106936354696E-6</v>
      </c>
      <c r="E35178" s="1">
        <v>4.3455399550671099E-6</v>
      </c>
      <c r="F35178" s="1">
        <v>2.5965620126160999E-5</v>
      </c>
    </row>
    <row r="35179" spans="1:6" x14ac:dyDescent="0.25">
      <c r="A35179" s="2" t="str">
        <f t="shared" si="1211"/>
        <v>99999</v>
      </c>
      <c r="B35179" s="2" t="str">
        <f>"76665"</f>
        <v>76665</v>
      </c>
      <c r="C35179" s="1">
        <v>1.1470420611920201E-4</v>
      </c>
      <c r="D35179" s="1">
        <v>8.9538557731123203E-5</v>
      </c>
      <c r="E35179" s="1">
        <v>6.0837559370939603E-5</v>
      </c>
      <c r="F35179" s="1">
        <v>1.11821291271283E-4</v>
      </c>
    </row>
    <row r="35180" spans="1:6" x14ac:dyDescent="0.25">
      <c r="A35180" s="2" t="str">
        <f t="shared" si="1211"/>
        <v>99999</v>
      </c>
      <c r="B35180" s="2" t="str">
        <f>"76578"</f>
        <v>76578</v>
      </c>
      <c r="C35180" s="1">
        <v>3.27414479883545E-6</v>
      </c>
      <c r="D35180" s="1">
        <v>0</v>
      </c>
      <c r="E35180" s="1">
        <v>0</v>
      </c>
      <c r="F35180" s="1">
        <v>2.9845540374897699E-6</v>
      </c>
    </row>
    <row r="35181" spans="1:6" x14ac:dyDescent="0.25">
      <c r="A35181" s="2" t="str">
        <f t="shared" si="1211"/>
        <v>99999</v>
      </c>
      <c r="B35181" s="2" t="str">
        <f>"76528"</f>
        <v>76528</v>
      </c>
      <c r="C35181" s="1">
        <v>1.09138159961181E-7</v>
      </c>
      <c r="D35181" s="1">
        <v>0</v>
      </c>
      <c r="E35181" s="1">
        <v>0</v>
      </c>
      <c r="F35181" s="1">
        <v>9.9485134582992598E-8</v>
      </c>
    </row>
    <row r="35182" spans="1:6" x14ac:dyDescent="0.25">
      <c r="A35182" s="2" t="str">
        <f t="shared" si="1211"/>
        <v>99999</v>
      </c>
      <c r="B35182" s="2" t="str">
        <f>"76519"</f>
        <v>76519</v>
      </c>
      <c r="C35182" s="1">
        <v>1.5825033194371299E-5</v>
      </c>
      <c r="D35182" s="1">
        <v>1.3658424060679801E-5</v>
      </c>
      <c r="E35182" s="1">
        <v>1.3036619865201299E-5</v>
      </c>
      <c r="F35182" s="1">
        <v>1.5619166129529801E-5</v>
      </c>
    </row>
    <row r="35183" spans="1:6" x14ac:dyDescent="0.25">
      <c r="A35183" s="2" t="str">
        <f t="shared" si="1211"/>
        <v>99999</v>
      </c>
      <c r="B35183" s="2" t="str">
        <f>"76363"</f>
        <v>76363</v>
      </c>
      <c r="C35183" s="1">
        <v>1.8553487193400799E-5</v>
      </c>
      <c r="D35183" s="1">
        <v>1.51760267340886E-6</v>
      </c>
      <c r="E35183" s="1">
        <v>8.69107991013423E-6</v>
      </c>
      <c r="F35183" s="1">
        <v>1.7210928282857699E-5</v>
      </c>
    </row>
    <row r="35184" spans="1:6" x14ac:dyDescent="0.25">
      <c r="A35184" s="2" t="str">
        <f t="shared" si="1211"/>
        <v>99999</v>
      </c>
      <c r="B35184" s="2" t="str">
        <f>"76445"</f>
        <v>76445</v>
      </c>
      <c r="C35184" s="1">
        <v>1.6479862154138401E-5</v>
      </c>
      <c r="D35184" s="1">
        <v>9.1056160404532095E-6</v>
      </c>
      <c r="E35184" s="1">
        <v>4.3455399550671099E-6</v>
      </c>
      <c r="F35184" s="1">
        <v>1.57186512641128E-5</v>
      </c>
    </row>
    <row r="35185" spans="1:6" x14ac:dyDescent="0.25">
      <c r="A35185" s="2" t="str">
        <f t="shared" si="1211"/>
        <v>99999</v>
      </c>
      <c r="B35185" s="2" t="str">
        <f>"76251"</f>
        <v>76251</v>
      </c>
      <c r="C35185" s="1">
        <v>3.7652665186607698E-5</v>
      </c>
      <c r="D35185" s="1">
        <v>2.4281642774541899E-5</v>
      </c>
      <c r="E35185" s="1">
        <v>8.69107991013423E-6</v>
      </c>
      <c r="F35185" s="1">
        <v>3.6113103853626299E-5</v>
      </c>
    </row>
    <row r="35186" spans="1:6" x14ac:dyDescent="0.25">
      <c r="A35186" s="2" t="str">
        <f t="shared" si="1211"/>
        <v>99999</v>
      </c>
      <c r="B35186" s="2" t="str">
        <f>"76384"</f>
        <v>76384</v>
      </c>
      <c r="C35186" s="1">
        <v>3.2741447988354498E-7</v>
      </c>
      <c r="D35186" s="1">
        <v>0</v>
      </c>
      <c r="E35186" s="1">
        <v>0</v>
      </c>
      <c r="F35186" s="1">
        <v>2.9845540374897701E-7</v>
      </c>
    </row>
    <row r="35187" spans="1:6" x14ac:dyDescent="0.25">
      <c r="A35187" s="2" t="str">
        <f t="shared" si="1211"/>
        <v>99999</v>
      </c>
      <c r="B35187" s="2" t="str">
        <f>"76077"</f>
        <v>76077</v>
      </c>
      <c r="C35187" s="1">
        <v>1.7789520073672599E-5</v>
      </c>
      <c r="D35187" s="1">
        <v>2.7316848121359601E-5</v>
      </c>
      <c r="E35187" s="1">
        <v>3.0418779685469802E-5</v>
      </c>
      <c r="F35187" s="1">
        <v>1.8703205301602599E-5</v>
      </c>
    </row>
    <row r="35188" spans="1:6" x14ac:dyDescent="0.25">
      <c r="A35188" s="2" t="str">
        <f t="shared" si="1211"/>
        <v>99999</v>
      </c>
      <c r="B35188" s="2" t="str">
        <f>"76070"</f>
        <v>76070</v>
      </c>
      <c r="C35188" s="1">
        <v>1.6370723994177199E-5</v>
      </c>
      <c r="D35188" s="1">
        <v>3.0352053468177301E-6</v>
      </c>
      <c r="E35188" s="1">
        <v>1.47748358472281E-4</v>
      </c>
      <c r="F35188" s="1">
        <v>1.8504235032436599E-5</v>
      </c>
    </row>
    <row r="35189" spans="1:6" x14ac:dyDescent="0.25">
      <c r="A35189" s="2" t="str">
        <f t="shared" si="1211"/>
        <v>99999</v>
      </c>
      <c r="B35189" s="2" t="str">
        <f>"76093"</f>
        <v>76093</v>
      </c>
      <c r="C35189" s="1">
        <v>2.9467303189519E-6</v>
      </c>
      <c r="D35189" s="1">
        <v>0</v>
      </c>
      <c r="E35189" s="1">
        <v>0</v>
      </c>
      <c r="F35189" s="1">
        <v>2.6860986337408002E-6</v>
      </c>
    </row>
    <row r="35190" spans="1:6" x14ac:dyDescent="0.25">
      <c r="A35190" s="2" t="str">
        <f t="shared" si="1211"/>
        <v>99999</v>
      </c>
      <c r="B35190" s="2" t="str">
        <f>"75990"</f>
        <v>75990</v>
      </c>
      <c r="C35190" s="1">
        <v>0</v>
      </c>
      <c r="D35190" s="1">
        <v>1.51760267340886E-6</v>
      </c>
      <c r="E35190" s="1">
        <v>0</v>
      </c>
      <c r="F35190" s="1">
        <v>9.9485134582992598E-8</v>
      </c>
    </row>
    <row r="35191" spans="1:6" x14ac:dyDescent="0.25">
      <c r="A35191" s="2" t="str">
        <f t="shared" si="1211"/>
        <v>99999</v>
      </c>
      <c r="B35191" s="2" t="str">
        <f>"75928"</f>
        <v>75928</v>
      </c>
      <c r="C35191" s="1">
        <v>1.03135561163316E-4</v>
      </c>
      <c r="D35191" s="1">
        <v>3.3387258814995101E-5</v>
      </c>
      <c r="E35191" s="1">
        <v>0</v>
      </c>
      <c r="F35191" s="1">
        <v>9.6202125141753796E-5</v>
      </c>
    </row>
    <row r="35192" spans="1:6" x14ac:dyDescent="0.25">
      <c r="A35192" s="2" t="str">
        <f t="shared" si="1211"/>
        <v>99999</v>
      </c>
      <c r="B35192" s="2" t="str">
        <f>"75939"</f>
        <v>75939</v>
      </c>
      <c r="C35192" s="1">
        <v>3.08860992690144E-4</v>
      </c>
      <c r="D35192" s="1">
        <v>2.06393963583606E-4</v>
      </c>
      <c r="E35192" s="1">
        <v>1.7816713815775099E-4</v>
      </c>
      <c r="F35192" s="1">
        <v>2.99151799691058E-4</v>
      </c>
    </row>
    <row r="35193" spans="1:6" x14ac:dyDescent="0.25">
      <c r="A35193" s="2" t="str">
        <f t="shared" si="1211"/>
        <v>99999</v>
      </c>
      <c r="B35193" s="2" t="str">
        <f>"75938"</f>
        <v>75938</v>
      </c>
      <c r="C35193" s="1">
        <v>2.5549243246912601E-4</v>
      </c>
      <c r="D35193" s="1">
        <v>8.9538557731123203E-5</v>
      </c>
      <c r="E35193" s="1">
        <v>3.0418779685469802E-5</v>
      </c>
      <c r="F35193" s="1">
        <v>2.3946071894126301E-4</v>
      </c>
    </row>
    <row r="35194" spans="1:6" x14ac:dyDescent="0.25">
      <c r="A35194" s="2" t="str">
        <f t="shared" si="1211"/>
        <v>99999</v>
      </c>
      <c r="B35194" s="2" t="str">
        <f>"75932"</f>
        <v>75932</v>
      </c>
      <c r="C35194" s="1">
        <v>1.5988740434313099E-4</v>
      </c>
      <c r="D35194" s="1">
        <v>9.2573763077941E-5</v>
      </c>
      <c r="E35194" s="1">
        <v>8.69107991013423E-6</v>
      </c>
      <c r="F35194" s="1">
        <v>1.52013285642812E-4</v>
      </c>
    </row>
    <row r="35195" spans="1:6" x14ac:dyDescent="0.25">
      <c r="A35195" s="2" t="str">
        <f t="shared" si="1211"/>
        <v>99999</v>
      </c>
      <c r="B35195" s="2" t="str">
        <f>"75930"</f>
        <v>75930</v>
      </c>
      <c r="C35195" s="1">
        <v>1.89136431212727E-4</v>
      </c>
      <c r="D35195" s="1">
        <v>4.2492874855448297E-5</v>
      </c>
      <c r="E35195" s="1">
        <v>2.8246009707936202E-4</v>
      </c>
      <c r="F35195" s="1">
        <v>1.81659855748544E-4</v>
      </c>
    </row>
    <row r="35196" spans="1:6" x14ac:dyDescent="0.25">
      <c r="A35196" s="2" t="str">
        <f t="shared" si="1211"/>
        <v>99999</v>
      </c>
      <c r="B35196" s="2" t="str">
        <f>"75858"</f>
        <v>75858</v>
      </c>
      <c r="C35196" s="1">
        <v>0</v>
      </c>
      <c r="D35196" s="1">
        <v>1.51760267340886E-6</v>
      </c>
      <c r="E35196" s="1">
        <v>0</v>
      </c>
      <c r="F35196" s="1">
        <v>9.9485134582992598E-8</v>
      </c>
    </row>
    <row r="35197" spans="1:6" x14ac:dyDescent="0.25">
      <c r="A35197" s="2" t="str">
        <f t="shared" si="1211"/>
        <v>99999</v>
      </c>
      <c r="B35197" s="2" t="str">
        <f>"75852"</f>
        <v>75852</v>
      </c>
      <c r="C35197" s="1">
        <v>8.2945001570498098E-5</v>
      </c>
      <c r="D35197" s="1">
        <v>1.3658424060679801E-5</v>
      </c>
      <c r="E35197" s="1">
        <v>2.60732397304027E-5</v>
      </c>
      <c r="F35197" s="1">
        <v>7.7100979301819206E-5</v>
      </c>
    </row>
    <row r="35198" spans="1:6" x14ac:dyDescent="0.25">
      <c r="A35198" s="2" t="str">
        <f t="shared" si="1211"/>
        <v>99999</v>
      </c>
      <c r="B35198" s="2" t="str">
        <f>"75847"</f>
        <v>75847</v>
      </c>
      <c r="C35198" s="1">
        <v>1.30529239313573E-4</v>
      </c>
      <c r="D35198" s="1">
        <v>1.3658424060679801E-5</v>
      </c>
      <c r="E35198" s="1">
        <v>8.69107991013423E-6</v>
      </c>
      <c r="F35198" s="1">
        <v>1.20078557441672E-4</v>
      </c>
    </row>
    <row r="35199" spans="1:6" x14ac:dyDescent="0.25">
      <c r="A35199" s="2" t="str">
        <f t="shared" si="1211"/>
        <v>99999</v>
      </c>
      <c r="B35199" s="2" t="str">
        <f>"75754"</f>
        <v>75754</v>
      </c>
      <c r="C35199" s="1">
        <v>2.8976181469693701E-4</v>
      </c>
      <c r="D35199" s="1">
        <v>2.1398197695065001E-4</v>
      </c>
      <c r="E35199" s="1">
        <v>7.3874179236140894E-5</v>
      </c>
      <c r="F35199" s="1">
        <v>2.7985168358195798E-4</v>
      </c>
    </row>
    <row r="35200" spans="1:6" x14ac:dyDescent="0.25">
      <c r="A35200" s="2" t="str">
        <f t="shared" si="1211"/>
        <v>99999</v>
      </c>
      <c r="B35200" s="2" t="str">
        <f>"75639"</f>
        <v>75639</v>
      </c>
      <c r="C35200" s="1">
        <v>1.92737990491446E-4</v>
      </c>
      <c r="D35200" s="1">
        <v>5.15984908959015E-5</v>
      </c>
      <c r="E35200" s="1">
        <v>2.1727699775335501E-5</v>
      </c>
      <c r="F35200" s="1">
        <v>1.7957066792230101E-4</v>
      </c>
    </row>
    <row r="35201" spans="1:6" x14ac:dyDescent="0.25">
      <c r="A35201" s="2" t="str">
        <f t="shared" si="1211"/>
        <v>99999</v>
      </c>
      <c r="B35201" s="2" t="str">
        <f>"75691"</f>
        <v>75691</v>
      </c>
      <c r="C35201" s="1">
        <v>9.8224343965063504E-6</v>
      </c>
      <c r="D35201" s="1">
        <v>3.0352053468177301E-6</v>
      </c>
      <c r="E35201" s="1">
        <v>8.69107991013423E-6</v>
      </c>
      <c r="F35201" s="1">
        <v>9.3516026508012996E-6</v>
      </c>
    </row>
    <row r="35202" spans="1:6" x14ac:dyDescent="0.25">
      <c r="A35202" s="2" t="str">
        <f t="shared" si="1211"/>
        <v>99999</v>
      </c>
      <c r="B35202" s="2" t="str">
        <f>"75683"</f>
        <v>75683</v>
      </c>
      <c r="C35202" s="1">
        <v>7.48687777333706E-5</v>
      </c>
      <c r="D35202" s="1">
        <v>4.5528080202265997E-6</v>
      </c>
      <c r="E35202" s="1">
        <v>8.69107991013423E-6</v>
      </c>
      <c r="F35202" s="1">
        <v>6.8744227996847901E-5</v>
      </c>
    </row>
    <row r="35203" spans="1:6" x14ac:dyDescent="0.25">
      <c r="A35203" s="2" t="str">
        <f t="shared" si="1211"/>
        <v>99999</v>
      </c>
      <c r="B35203" s="2" t="str">
        <f>"75564"</f>
        <v>75564</v>
      </c>
      <c r="C35203" s="1">
        <v>0</v>
      </c>
      <c r="D35203" s="1">
        <v>1.51760267340886E-6</v>
      </c>
      <c r="E35203" s="1">
        <v>0</v>
      </c>
      <c r="F35203" s="1">
        <v>9.9485134582992598E-8</v>
      </c>
    </row>
    <row r="35204" spans="1:6" x14ac:dyDescent="0.25">
      <c r="A35204" s="2" t="str">
        <f t="shared" si="1211"/>
        <v>99999</v>
      </c>
      <c r="B35204" s="2" t="str">
        <f>"75563"</f>
        <v>75563</v>
      </c>
      <c r="C35204" s="1">
        <v>2.3268255703723899E-4</v>
      </c>
      <c r="D35204" s="1">
        <v>1.36584240606798E-4</v>
      </c>
      <c r="E35204" s="1">
        <v>9.5601879011476503E-5</v>
      </c>
      <c r="F35204" s="1">
        <v>2.23244642004235E-4</v>
      </c>
    </row>
    <row r="35205" spans="1:6" x14ac:dyDescent="0.25">
      <c r="A35205" s="2" t="str">
        <f t="shared" si="1211"/>
        <v>99999</v>
      </c>
      <c r="B35205" s="2" t="str">
        <f>"75560"</f>
        <v>75560</v>
      </c>
      <c r="C35205" s="1">
        <v>9.2985712286926806E-5</v>
      </c>
      <c r="D35205" s="1">
        <v>1.3658424060679801E-5</v>
      </c>
      <c r="E35205" s="1">
        <v>3.0418779685469802E-5</v>
      </c>
      <c r="F35205" s="1">
        <v>8.6353096818037601E-5</v>
      </c>
    </row>
    <row r="35206" spans="1:6" x14ac:dyDescent="0.25">
      <c r="A35206" s="2" t="str">
        <f t="shared" si="1211"/>
        <v>99999</v>
      </c>
      <c r="B35206" s="2" t="str">
        <f>"75436"</f>
        <v>75436</v>
      </c>
      <c r="C35206" s="1">
        <v>1.8149676001544501E-4</v>
      </c>
      <c r="D35206" s="1">
        <v>5.4633696242719298E-5</v>
      </c>
      <c r="E35206" s="1">
        <v>7.3874179236140894E-5</v>
      </c>
      <c r="F35206" s="1">
        <v>1.7071649094441499E-4</v>
      </c>
    </row>
    <row r="35207" spans="1:6" x14ac:dyDescent="0.25">
      <c r="A35207" s="2" t="str">
        <f t="shared" si="1211"/>
        <v>99999</v>
      </c>
      <c r="B35207" s="2" t="str">
        <f>"75478"</f>
        <v>75478</v>
      </c>
      <c r="C35207" s="1">
        <v>4.2563882384860804E-6</v>
      </c>
      <c r="D35207" s="1">
        <v>0</v>
      </c>
      <c r="E35207" s="1">
        <v>0</v>
      </c>
      <c r="F35207" s="1">
        <v>3.87992024873671E-6</v>
      </c>
    </row>
    <row r="35208" spans="1:6" x14ac:dyDescent="0.25">
      <c r="A35208" s="2" t="str">
        <f t="shared" si="1211"/>
        <v>99999</v>
      </c>
      <c r="B35208" s="2" t="str">
        <f>"75124"</f>
        <v>75124</v>
      </c>
      <c r="C35208" s="1">
        <v>5.2058902301483599E-5</v>
      </c>
      <c r="D35208" s="1">
        <v>7.5880133670443404E-6</v>
      </c>
      <c r="E35208" s="1">
        <v>8.69107991013423E-6</v>
      </c>
      <c r="F35208" s="1">
        <v>4.8150805138168401E-5</v>
      </c>
    </row>
    <row r="35209" spans="1:6" x14ac:dyDescent="0.25">
      <c r="A35209" s="2" t="str">
        <f t="shared" si="1211"/>
        <v>99999</v>
      </c>
      <c r="B35209" s="2" t="str">
        <f>"74944"</f>
        <v>74944</v>
      </c>
      <c r="C35209" s="1">
        <v>3.4051105907888697E-5</v>
      </c>
      <c r="D35209" s="1">
        <v>4.5528080202265997E-6</v>
      </c>
      <c r="E35209" s="1">
        <v>1.3036619865201299E-5</v>
      </c>
      <c r="F35209" s="1">
        <v>3.1636272797391603E-5</v>
      </c>
    </row>
    <row r="35210" spans="1:6" x14ac:dyDescent="0.25">
      <c r="A35210" s="2" t="str">
        <f t="shared" si="1211"/>
        <v>99999</v>
      </c>
      <c r="B35210" s="2" t="str">
        <f>"74935"</f>
        <v>74935</v>
      </c>
      <c r="C35210" s="1">
        <v>0</v>
      </c>
      <c r="D35210" s="1">
        <v>0</v>
      </c>
      <c r="E35210" s="1">
        <v>4.3455399550671099E-6</v>
      </c>
      <c r="F35210" s="1">
        <v>9.9485134582992598E-8</v>
      </c>
    </row>
    <row r="35211" spans="1:6" x14ac:dyDescent="0.25">
      <c r="A35211" s="2" t="str">
        <f t="shared" si="1211"/>
        <v>99999</v>
      </c>
      <c r="B35211" s="2" t="str">
        <f>"74931"</f>
        <v>74931</v>
      </c>
      <c r="C35211" s="1">
        <v>3.3505415108082699E-5</v>
      </c>
      <c r="D35211" s="1">
        <v>7.5880133670443404E-6</v>
      </c>
      <c r="E35211" s="1">
        <v>0</v>
      </c>
      <c r="F35211" s="1">
        <v>3.10393619898937E-5</v>
      </c>
    </row>
    <row r="35212" spans="1:6" x14ac:dyDescent="0.25">
      <c r="A35212" s="2" t="str">
        <f t="shared" si="1211"/>
        <v>99999</v>
      </c>
      <c r="B35212" s="2" t="str">
        <f>"74561"</f>
        <v>74561</v>
      </c>
      <c r="C35212" s="1">
        <v>2.4556085991265801E-5</v>
      </c>
      <c r="D35212" s="1">
        <v>7.5880133670443404E-6</v>
      </c>
      <c r="E35212" s="1">
        <v>8.69107991013423E-6</v>
      </c>
      <c r="F35212" s="1">
        <v>2.3080551223254198E-5</v>
      </c>
    </row>
    <row r="35213" spans="1:6" x14ac:dyDescent="0.25">
      <c r="A35213" s="2" t="str">
        <f t="shared" si="1211"/>
        <v>99999</v>
      </c>
      <c r="B35213" s="2" t="str">
        <f>"74557"</f>
        <v>74557</v>
      </c>
      <c r="C35213" s="1">
        <v>3.8744046786219498E-5</v>
      </c>
      <c r="D35213" s="1">
        <v>6.0704106936354696E-6</v>
      </c>
      <c r="E35213" s="1">
        <v>1.3036619865201299E-5</v>
      </c>
      <c r="F35213" s="1">
        <v>3.60136187190433E-5</v>
      </c>
    </row>
    <row r="35214" spans="1:6" x14ac:dyDescent="0.25">
      <c r="A35214" s="2" t="str">
        <f t="shared" si="1211"/>
        <v>99999</v>
      </c>
      <c r="B35214" s="2" t="str">
        <f>"74540"</f>
        <v>74540</v>
      </c>
      <c r="C35214" s="1">
        <v>1.57158950344101E-5</v>
      </c>
      <c r="D35214" s="1">
        <v>3.0352053468177301E-6</v>
      </c>
      <c r="E35214" s="1">
        <v>4.3455399550671099E-6</v>
      </c>
      <c r="F35214" s="1">
        <v>1.4624314783699901E-5</v>
      </c>
    </row>
    <row r="35215" spans="1:6" x14ac:dyDescent="0.25">
      <c r="A35215" s="2" t="str">
        <f t="shared" si="1211"/>
        <v>99999</v>
      </c>
      <c r="B35215" s="2" t="str">
        <f>"74531"</f>
        <v>74531</v>
      </c>
      <c r="C35215" s="1">
        <v>4.0817671825481903E-5</v>
      </c>
      <c r="D35215" s="1">
        <v>1.9728834754315301E-5</v>
      </c>
      <c r="E35215" s="1">
        <v>4.3455399550671099E-6</v>
      </c>
      <c r="F35215" s="1">
        <v>3.8600232218201099E-5</v>
      </c>
    </row>
    <row r="35216" spans="1:6" x14ac:dyDescent="0.25">
      <c r="A35216" s="2" t="str">
        <f t="shared" si="1211"/>
        <v>99999</v>
      </c>
      <c r="B35216" s="2" t="str">
        <f>"74743"</f>
        <v>74743</v>
      </c>
      <c r="C35216" s="1">
        <v>4.71913403672149E-4</v>
      </c>
      <c r="D35216" s="1">
        <v>8.0584701958010896E-4</v>
      </c>
      <c r="E35216" s="1">
        <v>2.7376901716922799E-4</v>
      </c>
      <c r="F35216" s="1">
        <v>4.8926789187915705E-4</v>
      </c>
    </row>
    <row r="35217" spans="1:6" x14ac:dyDescent="0.25">
      <c r="A35217" s="2" t="str">
        <f t="shared" si="1211"/>
        <v>99999</v>
      </c>
      <c r="B35217" s="2" t="str">
        <f>"74831"</f>
        <v>74831</v>
      </c>
      <c r="C35217" s="1">
        <v>2.5101776791071799E-6</v>
      </c>
      <c r="D35217" s="1">
        <v>1.51760267340886E-6</v>
      </c>
      <c r="E35217" s="1">
        <v>0</v>
      </c>
      <c r="F35217" s="1">
        <v>2.3876432299918199E-6</v>
      </c>
    </row>
    <row r="35218" spans="1:6" x14ac:dyDescent="0.25">
      <c r="A35218" s="2" t="str">
        <f t="shared" ref="A35218:A35281" si="1212">"99999"</f>
        <v>99999</v>
      </c>
      <c r="B35218" s="2" t="str">
        <f>"74830"</f>
        <v>74830</v>
      </c>
      <c r="C35218" s="1">
        <v>1.3096579195341799E-6</v>
      </c>
      <c r="D35218" s="1">
        <v>0</v>
      </c>
      <c r="E35218" s="1">
        <v>4.3455399550671099E-6</v>
      </c>
      <c r="F35218" s="1">
        <v>1.2933067495789E-6</v>
      </c>
    </row>
    <row r="35219" spans="1:6" x14ac:dyDescent="0.25">
      <c r="A35219" s="2" t="str">
        <f t="shared" si="1212"/>
        <v>99999</v>
      </c>
      <c r="B35219" s="2" t="str">
        <f>"74827"</f>
        <v>74827</v>
      </c>
      <c r="C35219" s="1">
        <v>2.35738425516152E-5</v>
      </c>
      <c r="D35219" s="1">
        <v>1.51760267340886E-6</v>
      </c>
      <c r="E35219" s="1">
        <v>4.3455399550671099E-6</v>
      </c>
      <c r="F35219" s="1">
        <v>2.16877593390923E-5</v>
      </c>
    </row>
    <row r="35220" spans="1:6" x14ac:dyDescent="0.25">
      <c r="A35220" s="2" t="str">
        <f t="shared" si="1212"/>
        <v>99999</v>
      </c>
      <c r="B35220" s="2" t="str">
        <f>"74722"</f>
        <v>74722</v>
      </c>
      <c r="C35220" s="1">
        <v>0</v>
      </c>
      <c r="D35220" s="1">
        <v>1.51760267340886E-6</v>
      </c>
      <c r="E35220" s="1">
        <v>4.3455399550671099E-6</v>
      </c>
      <c r="F35220" s="1">
        <v>1.9897026916598501E-7</v>
      </c>
    </row>
    <row r="35221" spans="1:6" x14ac:dyDescent="0.25">
      <c r="A35221" s="2" t="str">
        <f t="shared" si="1212"/>
        <v>99999</v>
      </c>
      <c r="B35221" s="2" t="str">
        <f>"74728"</f>
        <v>74728</v>
      </c>
      <c r="C35221" s="1">
        <v>9.0497362239811796E-4</v>
      </c>
      <c r="D35221" s="1">
        <v>9.7581851900190302E-4</v>
      </c>
      <c r="E35221" s="1">
        <v>1.4340281851721399E-4</v>
      </c>
      <c r="F35221" s="1">
        <v>8.9218268694027695E-4</v>
      </c>
    </row>
    <row r="35222" spans="1:6" x14ac:dyDescent="0.25">
      <c r="A35222" s="2" t="str">
        <f t="shared" si="1212"/>
        <v>99999</v>
      </c>
      <c r="B35222" s="2" t="str">
        <f>"74644"</f>
        <v>74644</v>
      </c>
      <c r="C35222" s="1">
        <v>1.6370723994177199E-5</v>
      </c>
      <c r="D35222" s="1">
        <v>3.0352053468177301E-6</v>
      </c>
      <c r="E35222" s="1">
        <v>4.3455399550671099E-6</v>
      </c>
      <c r="F35222" s="1">
        <v>1.52212255911978E-5</v>
      </c>
    </row>
    <row r="35223" spans="1:6" x14ac:dyDescent="0.25">
      <c r="A35223" s="2" t="str">
        <f t="shared" si="1212"/>
        <v>99999</v>
      </c>
      <c r="B35223" s="2" t="str">
        <f>"74643"</f>
        <v>74643</v>
      </c>
      <c r="C35223" s="1">
        <v>1.93174543131291E-5</v>
      </c>
      <c r="D35223" s="1">
        <v>0</v>
      </c>
      <c r="E35223" s="1">
        <v>4.3455399550671099E-6</v>
      </c>
      <c r="F35223" s="1">
        <v>1.77083539557726E-5</v>
      </c>
    </row>
    <row r="35224" spans="1:6" x14ac:dyDescent="0.25">
      <c r="A35224" s="2" t="str">
        <f t="shared" si="1212"/>
        <v>99999</v>
      </c>
      <c r="B35224" s="2" t="str">
        <f>"74447"</f>
        <v>74447</v>
      </c>
      <c r="C35224" s="1">
        <v>2.1827631992236301E-7</v>
      </c>
      <c r="D35224" s="1">
        <v>0</v>
      </c>
      <c r="E35224" s="1">
        <v>0</v>
      </c>
      <c r="F35224" s="1">
        <v>1.9897026916598501E-7</v>
      </c>
    </row>
    <row r="35225" spans="1:6" x14ac:dyDescent="0.25">
      <c r="A35225" s="2" t="str">
        <f t="shared" si="1212"/>
        <v>99999</v>
      </c>
      <c r="B35225" s="2" t="str">
        <f>"74437"</f>
        <v>74437</v>
      </c>
      <c r="C35225" s="1">
        <v>4.6929408783308102E-6</v>
      </c>
      <c r="D35225" s="1">
        <v>3.0352053468177301E-6</v>
      </c>
      <c r="E35225" s="1">
        <v>0</v>
      </c>
      <c r="F35225" s="1">
        <v>4.4768310562346604E-6</v>
      </c>
    </row>
    <row r="35226" spans="1:6" x14ac:dyDescent="0.25">
      <c r="A35226" s="2" t="str">
        <f t="shared" si="1212"/>
        <v>99999</v>
      </c>
      <c r="B35226" s="2" t="str">
        <f>"74350"</f>
        <v>74350</v>
      </c>
      <c r="C35226" s="1">
        <v>1.0913815996118101E-6</v>
      </c>
      <c r="D35226" s="1">
        <v>1.51760267340886E-6</v>
      </c>
      <c r="E35226" s="1">
        <v>4.3455399550671099E-6</v>
      </c>
      <c r="F35226" s="1">
        <v>1.19382161499591E-6</v>
      </c>
    </row>
    <row r="35227" spans="1:6" x14ac:dyDescent="0.25">
      <c r="A35227" s="2" t="str">
        <f t="shared" si="1212"/>
        <v>99999</v>
      </c>
      <c r="B35227" s="2" t="str">
        <f>"74330"</f>
        <v>74330</v>
      </c>
      <c r="C35227" s="1">
        <v>1.74293641458007E-4</v>
      </c>
      <c r="D35227" s="1">
        <v>9.2573763077941E-5</v>
      </c>
      <c r="E35227" s="1">
        <v>6.0837559370939603E-5</v>
      </c>
      <c r="F35227" s="1">
        <v>1.66339145022763E-4</v>
      </c>
    </row>
    <row r="35228" spans="1:6" x14ac:dyDescent="0.25">
      <c r="A35228" s="2" t="str">
        <f t="shared" si="1212"/>
        <v>99999</v>
      </c>
      <c r="B35228" s="2" t="str">
        <f>"74032"</f>
        <v>74032</v>
      </c>
      <c r="C35228" s="1">
        <v>7.2031185574379897E-6</v>
      </c>
      <c r="D35228" s="1">
        <v>1.51760267340886E-6</v>
      </c>
      <c r="E35228" s="1">
        <v>0</v>
      </c>
      <c r="F35228" s="1">
        <v>6.6655040170604998E-6</v>
      </c>
    </row>
    <row r="35229" spans="1:6" x14ac:dyDescent="0.25">
      <c r="A35229" s="2" t="str">
        <f t="shared" si="1212"/>
        <v>99999</v>
      </c>
      <c r="B35229" s="2" t="str">
        <f>"73844"</f>
        <v>73844</v>
      </c>
      <c r="C35229" s="1">
        <v>1.60433095142937E-5</v>
      </c>
      <c r="D35229" s="1">
        <v>9.1056160404532095E-6</v>
      </c>
      <c r="E35229" s="1">
        <v>4.3455399550671099E-6</v>
      </c>
      <c r="F35229" s="1">
        <v>1.5320710725780799E-5</v>
      </c>
    </row>
    <row r="35230" spans="1:6" x14ac:dyDescent="0.25">
      <c r="A35230" s="2" t="str">
        <f t="shared" si="1212"/>
        <v>99999</v>
      </c>
      <c r="B35230" s="2" t="str">
        <f>"73960"</f>
        <v>73960</v>
      </c>
      <c r="C35230" s="1">
        <v>8.6219146369333496E-6</v>
      </c>
      <c r="D35230" s="1">
        <v>1.51760267340886E-6</v>
      </c>
      <c r="E35230" s="1">
        <v>0</v>
      </c>
      <c r="F35230" s="1">
        <v>7.9588107666394102E-6</v>
      </c>
    </row>
    <row r="35231" spans="1:6" x14ac:dyDescent="0.25">
      <c r="A35231" s="2" t="str">
        <f t="shared" si="1212"/>
        <v>99999</v>
      </c>
      <c r="B35231" s="2" t="str">
        <f>"73860"</f>
        <v>73860</v>
      </c>
      <c r="C35231" s="1">
        <v>9.7787791325218803E-5</v>
      </c>
      <c r="D35231" s="1">
        <v>1.9273553952292601E-4</v>
      </c>
      <c r="E35231" s="1">
        <v>3.9109859595604001E-5</v>
      </c>
      <c r="F35231" s="1">
        <v>1.02668658889648E-4</v>
      </c>
    </row>
    <row r="35232" spans="1:6" x14ac:dyDescent="0.25">
      <c r="A35232" s="2" t="str">
        <f t="shared" si="1212"/>
        <v>99999</v>
      </c>
      <c r="B35232" s="2" t="str">
        <f>"73848"</f>
        <v>73848</v>
      </c>
      <c r="C35232" s="1">
        <v>6.3518409097407694E-5</v>
      </c>
      <c r="D35232" s="1">
        <v>5.0080888222492601E-5</v>
      </c>
      <c r="E35232" s="1">
        <v>4.3455399550671099E-6</v>
      </c>
      <c r="F35232" s="1">
        <v>6.1282842903123398E-5</v>
      </c>
    </row>
    <row r="35233" spans="1:6" x14ac:dyDescent="0.25">
      <c r="A35233" s="2" t="str">
        <f t="shared" si="1212"/>
        <v>99999</v>
      </c>
      <c r="B35233" s="2" t="str">
        <f>"73520"</f>
        <v>73520</v>
      </c>
      <c r="C35233" s="1">
        <v>0</v>
      </c>
      <c r="D35233" s="1">
        <v>0</v>
      </c>
      <c r="E35233" s="1">
        <v>4.3455399550671099E-6</v>
      </c>
      <c r="F35233" s="1">
        <v>9.9485134582992598E-8</v>
      </c>
    </row>
    <row r="35234" spans="1:6" x14ac:dyDescent="0.25">
      <c r="A35234" s="2" t="str">
        <f t="shared" si="1212"/>
        <v>99999</v>
      </c>
      <c r="B35234" s="2" t="str">
        <f>"73770"</f>
        <v>73770</v>
      </c>
      <c r="C35234" s="1">
        <v>1.6370723994177199E-6</v>
      </c>
      <c r="D35234" s="1">
        <v>3.0352053468177301E-6</v>
      </c>
      <c r="E35234" s="1">
        <v>4.3455399550671099E-6</v>
      </c>
      <c r="F35234" s="1">
        <v>1.79073242249386E-6</v>
      </c>
    </row>
    <row r="35235" spans="1:6" x14ac:dyDescent="0.25">
      <c r="A35235" s="2" t="str">
        <f t="shared" si="1212"/>
        <v>99999</v>
      </c>
      <c r="B35235" s="2" t="str">
        <f>"73749"</f>
        <v>73749</v>
      </c>
      <c r="C35235" s="1">
        <v>3.6452145427034702E-5</v>
      </c>
      <c r="D35235" s="1">
        <v>4.5528080202266E-5</v>
      </c>
      <c r="E35235" s="1">
        <v>4.3455399550671099E-6</v>
      </c>
      <c r="F35235" s="1">
        <v>3.6312074122792303E-5</v>
      </c>
    </row>
    <row r="35236" spans="1:6" x14ac:dyDescent="0.25">
      <c r="A35236" s="2" t="str">
        <f t="shared" si="1212"/>
        <v>99999</v>
      </c>
      <c r="B35236" s="2" t="str">
        <f>"73759"</f>
        <v>73759</v>
      </c>
      <c r="C35236" s="1">
        <v>1.1732352195827E-4</v>
      </c>
      <c r="D35236" s="1">
        <v>2.7013327586677803E-4</v>
      </c>
      <c r="E35236" s="1">
        <v>5.6492019415872502E-5</v>
      </c>
      <c r="F35236" s="1">
        <v>1.25948180382068E-4</v>
      </c>
    </row>
    <row r="35237" spans="1:6" x14ac:dyDescent="0.25">
      <c r="A35237" s="2" t="str">
        <f t="shared" si="1212"/>
        <v>99999</v>
      </c>
      <c r="B35237" s="2" t="str">
        <f>"73755"</f>
        <v>73755</v>
      </c>
      <c r="C35237" s="1">
        <v>5.4678218140552002E-5</v>
      </c>
      <c r="D35237" s="1">
        <v>1.3658424060679801E-5</v>
      </c>
      <c r="E35237" s="1">
        <v>4.3455399550671099E-6</v>
      </c>
      <c r="F35237" s="1">
        <v>5.0836903771909198E-5</v>
      </c>
    </row>
    <row r="35238" spans="1:6" x14ac:dyDescent="0.25">
      <c r="A35238" s="2" t="str">
        <f t="shared" si="1212"/>
        <v>99999</v>
      </c>
      <c r="B35238" s="2" t="str">
        <f>"73741"</f>
        <v>73741</v>
      </c>
      <c r="C35238" s="1">
        <v>3.6561283586995803E-5</v>
      </c>
      <c r="D35238" s="1">
        <v>1.66936294074975E-5</v>
      </c>
      <c r="E35238" s="1">
        <v>2.1727699775335501E-5</v>
      </c>
      <c r="F35238" s="1">
        <v>3.4919282238630398E-5</v>
      </c>
    </row>
    <row r="35239" spans="1:6" x14ac:dyDescent="0.25">
      <c r="A35239" s="2" t="str">
        <f t="shared" si="1212"/>
        <v>99999</v>
      </c>
      <c r="B35239" s="2" t="str">
        <f>"73719"</f>
        <v>73719</v>
      </c>
      <c r="C35239" s="1">
        <v>9.1676054367392598E-6</v>
      </c>
      <c r="D35239" s="1">
        <v>0</v>
      </c>
      <c r="E35239" s="1">
        <v>4.3455399550671099E-6</v>
      </c>
      <c r="F35239" s="1">
        <v>8.4562364395543705E-6</v>
      </c>
    </row>
    <row r="35240" spans="1:6" x14ac:dyDescent="0.25">
      <c r="A35240" s="2" t="str">
        <f t="shared" si="1212"/>
        <v>99999</v>
      </c>
      <c r="B35240" s="2" t="str">
        <f>"73716"</f>
        <v>73716</v>
      </c>
      <c r="C35240" s="1">
        <v>3.6561283586995803E-5</v>
      </c>
      <c r="D35240" s="1">
        <v>6.0704106936354696E-6</v>
      </c>
      <c r="E35240" s="1">
        <v>4.3455399550671099E-6</v>
      </c>
      <c r="F35240" s="1">
        <v>3.3824945758217401E-5</v>
      </c>
    </row>
    <row r="35241" spans="1:6" x14ac:dyDescent="0.25">
      <c r="A35241" s="2" t="str">
        <f t="shared" si="1212"/>
        <v>99999</v>
      </c>
      <c r="B35241" s="2" t="str">
        <f>"73432"</f>
        <v>73432</v>
      </c>
      <c r="C35241" s="1">
        <v>5.45690799805908E-5</v>
      </c>
      <c r="D35241" s="1">
        <v>2.1246437427724101E-5</v>
      </c>
      <c r="E35241" s="1">
        <v>4.3455399550671099E-6</v>
      </c>
      <c r="F35241" s="1">
        <v>5.1234844310241199E-5</v>
      </c>
    </row>
    <row r="35242" spans="1:6" x14ac:dyDescent="0.25">
      <c r="A35242" s="2" t="str">
        <f t="shared" si="1212"/>
        <v>99999</v>
      </c>
      <c r="B35242" s="2" t="str">
        <f>"73537"</f>
        <v>73537</v>
      </c>
      <c r="C35242" s="1">
        <v>9.8224343965063504E-7</v>
      </c>
      <c r="D35242" s="1">
        <v>0</v>
      </c>
      <c r="E35242" s="1">
        <v>0</v>
      </c>
      <c r="F35242" s="1">
        <v>8.9536621124693305E-7</v>
      </c>
    </row>
    <row r="35243" spans="1:6" x14ac:dyDescent="0.25">
      <c r="A35243" s="2" t="str">
        <f t="shared" si="1212"/>
        <v>99999</v>
      </c>
      <c r="B35243" s="2" t="str">
        <f>"73542"</f>
        <v>73542</v>
      </c>
      <c r="C35243" s="1">
        <v>2.5472846534939798E-4</v>
      </c>
      <c r="D35243" s="1">
        <v>5.0384408757174395E-4</v>
      </c>
      <c r="E35243" s="1">
        <v>1.7816713815775099E-4</v>
      </c>
      <c r="F35243" s="1">
        <v>2.6930625931616102E-4</v>
      </c>
    </row>
    <row r="35244" spans="1:6" x14ac:dyDescent="0.25">
      <c r="A35244" s="2" t="str">
        <f t="shared" si="1212"/>
        <v>99999</v>
      </c>
      <c r="B35244" s="2" t="str">
        <f>"73047"</f>
        <v>73047</v>
      </c>
      <c r="C35244" s="1">
        <v>1.0902902180122E-4</v>
      </c>
      <c r="D35244" s="1">
        <v>8.9538557731123203E-5</v>
      </c>
      <c r="E35244" s="1">
        <v>6.0837559370939603E-5</v>
      </c>
      <c r="F35244" s="1">
        <v>1.06648064272968E-4</v>
      </c>
    </row>
    <row r="35245" spans="1:6" x14ac:dyDescent="0.25">
      <c r="A35245" s="2" t="str">
        <f t="shared" si="1212"/>
        <v>99999</v>
      </c>
      <c r="B35245" s="2" t="str">
        <f>"73024"</f>
        <v>73024</v>
      </c>
      <c r="C35245" s="1">
        <v>3.4378520387772203E-5</v>
      </c>
      <c r="D35245" s="1">
        <v>9.1056160404532095E-6</v>
      </c>
      <c r="E35245" s="1">
        <v>8.69107991013423E-6</v>
      </c>
      <c r="F35245" s="1">
        <v>3.2133698470306602E-5</v>
      </c>
    </row>
    <row r="35246" spans="1:6" x14ac:dyDescent="0.25">
      <c r="A35246" s="2" t="str">
        <f t="shared" si="1212"/>
        <v>99999</v>
      </c>
      <c r="B35246" s="2" t="str">
        <f>"73032"</f>
        <v>73032</v>
      </c>
      <c r="C35246" s="1">
        <v>0</v>
      </c>
      <c r="D35246" s="1">
        <v>0</v>
      </c>
      <c r="E35246" s="1">
        <v>4.3455399550671099E-6</v>
      </c>
      <c r="F35246" s="1">
        <v>9.9485134582992598E-8</v>
      </c>
    </row>
    <row r="35247" spans="1:6" x14ac:dyDescent="0.25">
      <c r="A35247" s="2" t="str">
        <f t="shared" si="1212"/>
        <v>99999</v>
      </c>
      <c r="B35247" s="2" t="str">
        <f>"73042"</f>
        <v>73042</v>
      </c>
      <c r="C35247" s="1">
        <v>3.7761803346568799E-5</v>
      </c>
      <c r="D35247" s="1">
        <v>4.5528080202265997E-6</v>
      </c>
      <c r="E35247" s="1">
        <v>4.3455399550671099E-6</v>
      </c>
      <c r="F35247" s="1">
        <v>3.48197971040474E-5</v>
      </c>
    </row>
    <row r="35248" spans="1:6" x14ac:dyDescent="0.25">
      <c r="A35248" s="2" t="str">
        <f t="shared" si="1212"/>
        <v>99999</v>
      </c>
      <c r="B35248" s="2" t="str">
        <f>"72833"</f>
        <v>72833</v>
      </c>
      <c r="C35248" s="1">
        <v>2.5101776791071799E-6</v>
      </c>
      <c r="D35248" s="1">
        <v>0</v>
      </c>
      <c r="E35248" s="1">
        <v>0</v>
      </c>
      <c r="F35248" s="1">
        <v>2.2881580954088299E-6</v>
      </c>
    </row>
    <row r="35249" spans="1:6" x14ac:dyDescent="0.25">
      <c r="A35249" s="2" t="str">
        <f t="shared" si="1212"/>
        <v>99999</v>
      </c>
      <c r="B35249" s="2" t="str">
        <f>"72842"</f>
        <v>72842</v>
      </c>
      <c r="C35249" s="1">
        <v>1.3096579195341799E-6</v>
      </c>
      <c r="D35249" s="1">
        <v>0</v>
      </c>
      <c r="E35249" s="1">
        <v>0</v>
      </c>
      <c r="F35249" s="1">
        <v>1.19382161499591E-6</v>
      </c>
    </row>
    <row r="35250" spans="1:6" x14ac:dyDescent="0.25">
      <c r="A35250" s="2" t="str">
        <f t="shared" si="1212"/>
        <v>99999</v>
      </c>
      <c r="B35250" s="2" t="str">
        <f>"72834"</f>
        <v>72834</v>
      </c>
      <c r="C35250" s="1">
        <v>3.8198355986413598E-6</v>
      </c>
      <c r="D35250" s="1">
        <v>0</v>
      </c>
      <c r="E35250" s="1">
        <v>0</v>
      </c>
      <c r="F35250" s="1">
        <v>3.48197971040474E-6</v>
      </c>
    </row>
    <row r="35251" spans="1:6" x14ac:dyDescent="0.25">
      <c r="A35251" s="2" t="str">
        <f t="shared" si="1212"/>
        <v>99999</v>
      </c>
      <c r="B35251" s="2" t="str">
        <f>"72821"</f>
        <v>72821</v>
      </c>
      <c r="C35251" s="1">
        <v>1.7789520073672599E-5</v>
      </c>
      <c r="D35251" s="1">
        <v>1.51760267340886E-6</v>
      </c>
      <c r="E35251" s="1">
        <v>0</v>
      </c>
      <c r="F35251" s="1">
        <v>1.6315562071610699E-5</v>
      </c>
    </row>
    <row r="35252" spans="1:6" x14ac:dyDescent="0.25">
      <c r="A35252" s="2" t="str">
        <f t="shared" si="1212"/>
        <v>99999</v>
      </c>
      <c r="B35252" s="2" t="str">
        <f>"72672"</f>
        <v>72672</v>
      </c>
      <c r="C35252" s="1">
        <v>1.6370723994177199E-6</v>
      </c>
      <c r="D35252" s="1">
        <v>1.51760267340886E-6</v>
      </c>
      <c r="E35252" s="1">
        <v>4.3455399550671099E-6</v>
      </c>
      <c r="F35252" s="1">
        <v>1.6912472879108699E-6</v>
      </c>
    </row>
    <row r="35253" spans="1:6" x14ac:dyDescent="0.25">
      <c r="A35253" s="2" t="str">
        <f t="shared" si="1212"/>
        <v>99999</v>
      </c>
      <c r="B35253" s="2" t="str">
        <f>"72634"</f>
        <v>72634</v>
      </c>
      <c r="C35253" s="1">
        <v>2.37484636075531E-4</v>
      </c>
      <c r="D35253" s="1">
        <v>1.4417225397384201E-4</v>
      </c>
      <c r="E35253" s="1">
        <v>8.69107991013423E-5</v>
      </c>
      <c r="F35253" s="1">
        <v>2.27920443329636E-4</v>
      </c>
    </row>
    <row r="35254" spans="1:6" x14ac:dyDescent="0.25">
      <c r="A35254" s="2" t="str">
        <f t="shared" si="1212"/>
        <v>99999</v>
      </c>
      <c r="B35254" s="2" t="str">
        <f>"72410"</f>
        <v>72410</v>
      </c>
      <c r="C35254" s="1">
        <v>2.8157645269984799E-5</v>
      </c>
      <c r="D35254" s="1">
        <v>1.0623218713862E-5</v>
      </c>
      <c r="E35254" s="1">
        <v>1.3036619865201299E-5</v>
      </c>
      <c r="F35254" s="1">
        <v>2.6662016068241999E-5</v>
      </c>
    </row>
    <row r="35255" spans="1:6" x14ac:dyDescent="0.25">
      <c r="A35255" s="2" t="str">
        <f t="shared" si="1212"/>
        <v>99999</v>
      </c>
      <c r="B35255" s="2" t="str">
        <f>"72392"</f>
        <v>72392</v>
      </c>
      <c r="C35255" s="1">
        <v>2.5101776791071799E-6</v>
      </c>
      <c r="D35255" s="1">
        <v>0</v>
      </c>
      <c r="E35255" s="1">
        <v>0</v>
      </c>
      <c r="F35255" s="1">
        <v>2.2881580954088299E-6</v>
      </c>
    </row>
    <row r="35256" spans="1:6" x14ac:dyDescent="0.25">
      <c r="A35256" s="2" t="str">
        <f t="shared" si="1212"/>
        <v>99999</v>
      </c>
      <c r="B35256" s="2" t="str">
        <f>"72601"</f>
        <v>72601</v>
      </c>
      <c r="C35256" s="1">
        <v>6.9848422375156299E-6</v>
      </c>
      <c r="D35256" s="1">
        <v>3.0352053468177301E-6</v>
      </c>
      <c r="E35256" s="1">
        <v>0</v>
      </c>
      <c r="F35256" s="1">
        <v>6.5660188824775097E-6</v>
      </c>
    </row>
    <row r="35257" spans="1:6" x14ac:dyDescent="0.25">
      <c r="A35257" s="2" t="str">
        <f t="shared" si="1212"/>
        <v>99999</v>
      </c>
      <c r="B35257" s="2" t="str">
        <f>"72587"</f>
        <v>72587</v>
      </c>
      <c r="C35257" s="1">
        <v>8.1853619970886298E-6</v>
      </c>
      <c r="D35257" s="1">
        <v>0</v>
      </c>
      <c r="E35257" s="1">
        <v>4.3455399550671099E-6</v>
      </c>
      <c r="F35257" s="1">
        <v>7.5608702283074398E-6</v>
      </c>
    </row>
    <row r="35258" spans="1:6" x14ac:dyDescent="0.25">
      <c r="A35258" s="2" t="str">
        <f t="shared" si="1212"/>
        <v>99999</v>
      </c>
      <c r="B35258" s="2" t="str">
        <f>"72567"</f>
        <v>72567</v>
      </c>
      <c r="C35258" s="1">
        <v>1.2660026555497001E-5</v>
      </c>
      <c r="D35258" s="1">
        <v>1.51760267340886E-6</v>
      </c>
      <c r="E35258" s="1">
        <v>4.3455399550671099E-6</v>
      </c>
      <c r="F35258" s="1">
        <v>1.17392458807931E-5</v>
      </c>
    </row>
    <row r="35259" spans="1:6" x14ac:dyDescent="0.25">
      <c r="A35259" s="2" t="str">
        <f t="shared" si="1212"/>
        <v>99999</v>
      </c>
      <c r="B35259" s="2" t="str">
        <f>"72515"</f>
        <v>72515</v>
      </c>
      <c r="C35259" s="1">
        <v>5.7843224779426299E-6</v>
      </c>
      <c r="D35259" s="1">
        <v>0</v>
      </c>
      <c r="E35259" s="1">
        <v>0</v>
      </c>
      <c r="F35259" s="1">
        <v>5.2727121328986002E-6</v>
      </c>
    </row>
    <row r="35260" spans="1:6" x14ac:dyDescent="0.25">
      <c r="A35260" s="2" t="str">
        <f t="shared" si="1212"/>
        <v>99999</v>
      </c>
      <c r="B35260" s="2" t="str">
        <f>"72470"</f>
        <v>72470</v>
      </c>
      <c r="C35260" s="1">
        <v>1.45153752748371E-5</v>
      </c>
      <c r="D35260" s="1">
        <v>4.5528080202265997E-6</v>
      </c>
      <c r="E35260" s="1">
        <v>1.3036619865201299E-5</v>
      </c>
      <c r="F35260" s="1">
        <v>1.3828433707035901E-5</v>
      </c>
    </row>
    <row r="35261" spans="1:6" x14ac:dyDescent="0.25">
      <c r="A35261" s="2" t="str">
        <f t="shared" si="1212"/>
        <v>99999</v>
      </c>
      <c r="B35261" s="2" t="str">
        <f>"72513"</f>
        <v>72513</v>
      </c>
      <c r="C35261" s="1">
        <v>5.6206152380008497E-5</v>
      </c>
      <c r="D35261" s="1">
        <v>1.5176026734088599E-5</v>
      </c>
      <c r="E35261" s="1">
        <v>0</v>
      </c>
      <c r="F35261" s="1">
        <v>5.2229695656071103E-5</v>
      </c>
    </row>
    <row r="35262" spans="1:6" x14ac:dyDescent="0.25">
      <c r="A35262" s="2" t="str">
        <f t="shared" si="1212"/>
        <v>99999</v>
      </c>
      <c r="B35262" s="2" t="str">
        <f>"72501"</f>
        <v>72501</v>
      </c>
      <c r="C35262" s="1">
        <v>1.6370723994177199E-6</v>
      </c>
      <c r="D35262" s="1">
        <v>0</v>
      </c>
      <c r="E35262" s="1">
        <v>0</v>
      </c>
      <c r="F35262" s="1">
        <v>1.4922770187448801E-6</v>
      </c>
    </row>
    <row r="35263" spans="1:6" x14ac:dyDescent="0.25">
      <c r="A35263" s="2" t="str">
        <f t="shared" si="1212"/>
        <v>99999</v>
      </c>
      <c r="B35263" s="2" t="str">
        <f>"72456"</f>
        <v>72456</v>
      </c>
      <c r="C35263" s="1">
        <v>3.4924211187578099E-5</v>
      </c>
      <c r="D35263" s="1">
        <v>1.9728834754315301E-5</v>
      </c>
      <c r="E35263" s="1">
        <v>4.3455399550671099E-6</v>
      </c>
      <c r="F35263" s="1">
        <v>3.3228034950719498E-5</v>
      </c>
    </row>
    <row r="35264" spans="1:6" x14ac:dyDescent="0.25">
      <c r="A35264" s="2" t="str">
        <f t="shared" si="1212"/>
        <v>99999</v>
      </c>
      <c r="B35264" s="2" t="str">
        <f>"72311"</f>
        <v>72311</v>
      </c>
      <c r="C35264" s="1">
        <v>0</v>
      </c>
      <c r="D35264" s="1">
        <v>0</v>
      </c>
      <c r="E35264" s="1">
        <v>4.3455399550671099E-6</v>
      </c>
      <c r="F35264" s="1">
        <v>9.9485134582992598E-8</v>
      </c>
    </row>
    <row r="35265" spans="1:6" x14ac:dyDescent="0.25">
      <c r="A35265" s="2" t="str">
        <f t="shared" si="1212"/>
        <v>99999</v>
      </c>
      <c r="B35265" s="2" t="str">
        <f>"72331"</f>
        <v>72331</v>
      </c>
      <c r="C35265" s="1">
        <v>8.0762238371274393E-6</v>
      </c>
      <c r="D35265" s="1">
        <v>3.0352053468177301E-6</v>
      </c>
      <c r="E35265" s="1">
        <v>0</v>
      </c>
      <c r="F35265" s="1">
        <v>7.5608702283074398E-6</v>
      </c>
    </row>
    <row r="35266" spans="1:6" x14ac:dyDescent="0.25">
      <c r="A35266" s="2" t="str">
        <f t="shared" si="1212"/>
        <v>99999</v>
      </c>
      <c r="B35266" s="2" t="str">
        <f>"72435"</f>
        <v>72435</v>
      </c>
      <c r="C35266" s="1">
        <v>2.6520572870567099E-5</v>
      </c>
      <c r="D35266" s="1">
        <v>2.88344507947685E-5</v>
      </c>
      <c r="E35266" s="1">
        <v>4.3455399550671099E-6</v>
      </c>
      <c r="F35266" s="1">
        <v>2.6164590395327E-5</v>
      </c>
    </row>
    <row r="35267" spans="1:6" x14ac:dyDescent="0.25">
      <c r="A35267" s="2" t="str">
        <f t="shared" si="1212"/>
        <v>99999</v>
      </c>
      <c r="B35267" s="2" t="str">
        <f>"72455"</f>
        <v>72455</v>
      </c>
      <c r="C35267" s="1">
        <v>7.1867478334438099E-4</v>
      </c>
      <c r="D35267" s="1">
        <v>9.1511441206554799E-4</v>
      </c>
      <c r="E35267" s="1">
        <v>5.5188357429352298E-4</v>
      </c>
      <c r="F35267" s="1">
        <v>7.2773375947459101E-4</v>
      </c>
    </row>
    <row r="35268" spans="1:6" x14ac:dyDescent="0.25">
      <c r="A35268" s="2" t="str">
        <f t="shared" si="1212"/>
        <v>99999</v>
      </c>
      <c r="B35268" s="2" t="str">
        <f>"72038"</f>
        <v>72038</v>
      </c>
      <c r="C35268" s="1">
        <v>5.8934606379038102E-6</v>
      </c>
      <c r="D35268" s="1">
        <v>0</v>
      </c>
      <c r="E35268" s="1">
        <v>4.3455399550671099E-6</v>
      </c>
      <c r="F35268" s="1">
        <v>5.4716824020645896E-6</v>
      </c>
    </row>
    <row r="35269" spans="1:6" x14ac:dyDescent="0.25">
      <c r="A35269" s="2" t="str">
        <f t="shared" si="1212"/>
        <v>99999</v>
      </c>
      <c r="B35269" s="2" t="str">
        <f>"72066"</f>
        <v>72066</v>
      </c>
      <c r="C35269" s="1">
        <v>0</v>
      </c>
      <c r="D35269" s="1">
        <v>0</v>
      </c>
      <c r="E35269" s="1">
        <v>4.3455399550671099E-6</v>
      </c>
      <c r="F35269" s="1">
        <v>9.9485134582992598E-8</v>
      </c>
    </row>
    <row r="35270" spans="1:6" x14ac:dyDescent="0.25">
      <c r="A35270" s="2" t="str">
        <f t="shared" si="1212"/>
        <v>99999</v>
      </c>
      <c r="B35270" s="2" t="str">
        <f>"72067"</f>
        <v>72067</v>
      </c>
      <c r="C35270" s="1">
        <v>2.40322228234522E-4</v>
      </c>
      <c r="D35270" s="1">
        <v>2.39781222398601E-4</v>
      </c>
      <c r="E35270" s="1">
        <v>2.60732397304027E-5</v>
      </c>
      <c r="F35270" s="1">
        <v>2.3538182842336E-4</v>
      </c>
    </row>
    <row r="35271" spans="1:6" x14ac:dyDescent="0.25">
      <c r="A35271" s="2" t="str">
        <f t="shared" si="1212"/>
        <v>99999</v>
      </c>
      <c r="B35271" s="2" t="str">
        <f>"72063"</f>
        <v>72063</v>
      </c>
      <c r="C35271" s="1">
        <v>8.9275014848246603E-5</v>
      </c>
      <c r="D35271" s="1">
        <v>2.5799245447950699E-5</v>
      </c>
      <c r="E35271" s="1">
        <v>4.3455399550671099E-6</v>
      </c>
      <c r="F35271" s="1">
        <v>8.3169572511381797E-5</v>
      </c>
    </row>
    <row r="35272" spans="1:6" x14ac:dyDescent="0.25">
      <c r="A35272" s="2" t="str">
        <f t="shared" si="1212"/>
        <v>99999</v>
      </c>
      <c r="B35272" s="2" t="str">
        <f>"72036"</f>
        <v>72036</v>
      </c>
      <c r="C35272" s="1">
        <v>4.2236467904977303E-5</v>
      </c>
      <c r="D35272" s="1">
        <v>3.3387258814995101E-5</v>
      </c>
      <c r="E35272" s="1">
        <v>3.9109859595604001E-5</v>
      </c>
      <c r="F35272" s="1">
        <v>4.1584786255690899E-5</v>
      </c>
    </row>
    <row r="35273" spans="1:6" x14ac:dyDescent="0.25">
      <c r="A35273" s="2" t="str">
        <f t="shared" si="1212"/>
        <v>99999</v>
      </c>
      <c r="B35273" s="2" t="str">
        <f>"72134"</f>
        <v>72134</v>
      </c>
      <c r="C35273" s="1">
        <v>1.49519279146818E-5</v>
      </c>
      <c r="D35273" s="1">
        <v>3.0352053468177301E-6</v>
      </c>
      <c r="E35273" s="1">
        <v>4.3455399550671099E-6</v>
      </c>
      <c r="F35273" s="1">
        <v>1.3927918841618899E-5</v>
      </c>
    </row>
    <row r="35274" spans="1:6" x14ac:dyDescent="0.25">
      <c r="A35274" s="2" t="str">
        <f t="shared" si="1212"/>
        <v>99999</v>
      </c>
      <c r="B35274" s="2" t="str">
        <f>"72157"</f>
        <v>72157</v>
      </c>
      <c r="C35274" s="1">
        <v>8.8729324048440706E-5</v>
      </c>
      <c r="D35274" s="1">
        <v>5.0080888222492601E-5</v>
      </c>
      <c r="E35274" s="1">
        <v>4.3455399550671099E-6</v>
      </c>
      <c r="F35274" s="1">
        <v>8.4263908991794706E-5</v>
      </c>
    </row>
    <row r="35275" spans="1:6" x14ac:dyDescent="0.25">
      <c r="A35275" s="2" t="str">
        <f t="shared" si="1212"/>
        <v>99999</v>
      </c>
      <c r="B35275" s="2" t="str">
        <f>"72014"</f>
        <v>72014</v>
      </c>
      <c r="C35275" s="1">
        <v>0</v>
      </c>
      <c r="D35275" s="1">
        <v>0</v>
      </c>
      <c r="E35275" s="1">
        <v>4.3455399550671099E-6</v>
      </c>
      <c r="F35275" s="1">
        <v>9.9485134582992598E-8</v>
      </c>
    </row>
    <row r="35276" spans="1:6" x14ac:dyDescent="0.25">
      <c r="A35276" s="2" t="str">
        <f t="shared" si="1212"/>
        <v>99999</v>
      </c>
      <c r="B35276" s="2" t="str">
        <f>"72005"</f>
        <v>72005</v>
      </c>
      <c r="C35276" s="1">
        <v>7.6396711972827196E-6</v>
      </c>
      <c r="D35276" s="1">
        <v>3.0352053468177301E-6</v>
      </c>
      <c r="E35276" s="1">
        <v>4.3455399550671099E-6</v>
      </c>
      <c r="F35276" s="1">
        <v>7.2624148245584604E-6</v>
      </c>
    </row>
    <row r="35277" spans="1:6" x14ac:dyDescent="0.25">
      <c r="A35277" s="2" t="str">
        <f t="shared" si="1212"/>
        <v>99999</v>
      </c>
      <c r="B35277" s="2" t="str">
        <f>"71973"</f>
        <v>71973</v>
      </c>
      <c r="C35277" s="1">
        <v>5.56604615802026E-5</v>
      </c>
      <c r="D35277" s="1">
        <v>2.1246437427724101E-5</v>
      </c>
      <c r="E35277" s="1">
        <v>4.3455399550671099E-6</v>
      </c>
      <c r="F35277" s="1">
        <v>5.2229695656071103E-5</v>
      </c>
    </row>
    <row r="35278" spans="1:6" x14ac:dyDescent="0.25">
      <c r="A35278" s="2" t="str">
        <f t="shared" si="1212"/>
        <v>99999</v>
      </c>
      <c r="B35278" s="2" t="str">
        <f>"71965"</f>
        <v>71965</v>
      </c>
      <c r="C35278" s="1">
        <v>1.4297098954914801E-5</v>
      </c>
      <c r="D35278" s="1">
        <v>4.5528080202265997E-6</v>
      </c>
      <c r="E35278" s="1">
        <v>4.3455399550671099E-6</v>
      </c>
      <c r="F35278" s="1">
        <v>1.3430493168704E-5</v>
      </c>
    </row>
    <row r="35279" spans="1:6" x14ac:dyDescent="0.25">
      <c r="A35279" s="2" t="str">
        <f t="shared" si="1212"/>
        <v>99999</v>
      </c>
      <c r="B35279" s="2" t="str">
        <f>"71972"</f>
        <v>71972</v>
      </c>
      <c r="C35279" s="1">
        <v>1.34239936752253E-5</v>
      </c>
      <c r="D35279" s="1">
        <v>1.51760267340886E-6</v>
      </c>
      <c r="E35279" s="1">
        <v>4.3455399550671099E-6</v>
      </c>
      <c r="F35279" s="1">
        <v>1.2435641822873999E-5</v>
      </c>
    </row>
    <row r="35280" spans="1:6" x14ac:dyDescent="0.25">
      <c r="A35280" s="2" t="str">
        <f t="shared" si="1212"/>
        <v>99999</v>
      </c>
      <c r="B35280" s="2" t="str">
        <f>"71958"</f>
        <v>71958</v>
      </c>
      <c r="C35280" s="1">
        <v>1.3325769331260201E-4</v>
      </c>
      <c r="D35280" s="1">
        <v>1.13820200505665E-4</v>
      </c>
      <c r="E35280" s="1">
        <v>3.47643196405369E-5</v>
      </c>
      <c r="F35280" s="1">
        <v>1.2972861549622201E-4</v>
      </c>
    </row>
    <row r="35281" spans="1:6" x14ac:dyDescent="0.25">
      <c r="A35281" s="2" t="str">
        <f t="shared" si="1212"/>
        <v>99999</v>
      </c>
      <c r="B35281" s="2" t="str">
        <f>"71845"</f>
        <v>71845</v>
      </c>
      <c r="C35281" s="1">
        <v>1.12957995559823E-4</v>
      </c>
      <c r="D35281" s="1">
        <v>7.7397736343852298E-5</v>
      </c>
      <c r="E35281" s="1">
        <v>3.47643196405369E-5</v>
      </c>
      <c r="F35281" s="1">
        <v>1.08836737233793E-4</v>
      </c>
    </row>
    <row r="35282" spans="1:6" x14ac:dyDescent="0.25">
      <c r="A35282" s="2" t="str">
        <f t="shared" ref="A35282:A35345" si="1213">"99999"</f>
        <v>99999</v>
      </c>
      <c r="B35282" s="2" t="str">
        <f>"71841"</f>
        <v>71841</v>
      </c>
      <c r="C35282" s="1">
        <v>4.95487246223765E-5</v>
      </c>
      <c r="D35282" s="1">
        <v>1.51760267340886E-6</v>
      </c>
      <c r="E35282" s="1">
        <v>8.69107991013423E-6</v>
      </c>
      <c r="F35282" s="1">
        <v>4.5464706504427597E-5</v>
      </c>
    </row>
    <row r="35283" spans="1:6" x14ac:dyDescent="0.25">
      <c r="A35283" s="2" t="str">
        <f t="shared" si="1213"/>
        <v>99999</v>
      </c>
      <c r="B35283" s="2" t="str">
        <f>"71827"</f>
        <v>71827</v>
      </c>
      <c r="C35283" s="1">
        <v>3.2850586148315701E-5</v>
      </c>
      <c r="D35283" s="1">
        <v>4.5528080202265997E-6</v>
      </c>
      <c r="E35283" s="1">
        <v>4.3455399550671099E-6</v>
      </c>
      <c r="F35283" s="1">
        <v>3.03429660478127E-5</v>
      </c>
    </row>
    <row r="35284" spans="1:6" x14ac:dyDescent="0.25">
      <c r="A35284" s="2" t="str">
        <f t="shared" si="1213"/>
        <v>99999</v>
      </c>
      <c r="B35284" s="2" t="str">
        <f>"71282"</f>
        <v>71282</v>
      </c>
      <c r="C35284" s="1">
        <v>4.8413687758780199E-4</v>
      </c>
      <c r="D35284" s="1">
        <v>7.4969572066398095E-4</v>
      </c>
      <c r="E35284" s="1">
        <v>4.3455399550671099E-4</v>
      </c>
      <c r="F35284" s="1">
        <v>5.0041022695245202E-4</v>
      </c>
    </row>
    <row r="35285" spans="1:6" x14ac:dyDescent="0.25">
      <c r="A35285" s="2" t="str">
        <f t="shared" si="1213"/>
        <v>99999</v>
      </c>
      <c r="B35285" s="2" t="str">
        <f>"71253"</f>
        <v>71253</v>
      </c>
      <c r="C35285" s="1">
        <v>0</v>
      </c>
      <c r="D35285" s="1">
        <v>0</v>
      </c>
      <c r="E35285" s="1">
        <v>4.3455399550671099E-6</v>
      </c>
      <c r="F35285" s="1">
        <v>9.9485134582992598E-8</v>
      </c>
    </row>
    <row r="35286" spans="1:6" x14ac:dyDescent="0.25">
      <c r="A35286" s="2" t="str">
        <f t="shared" si="1213"/>
        <v>99999</v>
      </c>
      <c r="B35286" s="2" t="str">
        <f>"71254"</f>
        <v>71254</v>
      </c>
      <c r="C35286" s="1">
        <v>2.9096233445650998E-4</v>
      </c>
      <c r="D35286" s="1">
        <v>4.76527239450385E-4</v>
      </c>
      <c r="E35286" s="1">
        <v>2.3465915757362401E-4</v>
      </c>
      <c r="F35286" s="1">
        <v>3.0183789832479899E-4</v>
      </c>
    </row>
    <row r="35287" spans="1:6" x14ac:dyDescent="0.25">
      <c r="A35287" s="2" t="str">
        <f t="shared" si="1213"/>
        <v>99999</v>
      </c>
      <c r="B35287" s="2" t="str">
        <f>"71235"</f>
        <v>71235</v>
      </c>
      <c r="C35287" s="1">
        <v>3.2741447988354498E-7</v>
      </c>
      <c r="D35287" s="1">
        <v>0</v>
      </c>
      <c r="E35287" s="1">
        <v>0</v>
      </c>
      <c r="F35287" s="1">
        <v>2.9845540374897701E-7</v>
      </c>
    </row>
    <row r="35288" spans="1:6" x14ac:dyDescent="0.25">
      <c r="A35288" s="2" t="str">
        <f t="shared" si="1213"/>
        <v>99999</v>
      </c>
      <c r="B35288" s="2" t="str">
        <f>"71329"</f>
        <v>71329</v>
      </c>
      <c r="C35288" s="1">
        <v>0</v>
      </c>
      <c r="D35288" s="1">
        <v>1.51760267340886E-6</v>
      </c>
      <c r="E35288" s="1">
        <v>4.3455399550671099E-6</v>
      </c>
      <c r="F35288" s="1">
        <v>1.9897026916598501E-7</v>
      </c>
    </row>
    <row r="35289" spans="1:6" x14ac:dyDescent="0.25">
      <c r="A35289" s="2" t="str">
        <f t="shared" si="1213"/>
        <v>99999</v>
      </c>
      <c r="B35289" s="2" t="str">
        <f>"71334"</f>
        <v>71334</v>
      </c>
      <c r="C35289" s="1">
        <v>6.5482895976708995E-7</v>
      </c>
      <c r="D35289" s="1">
        <v>0</v>
      </c>
      <c r="E35289" s="1">
        <v>0</v>
      </c>
      <c r="F35289" s="1">
        <v>5.9691080749795498E-7</v>
      </c>
    </row>
    <row r="35290" spans="1:6" x14ac:dyDescent="0.25">
      <c r="A35290" s="2" t="str">
        <f t="shared" si="1213"/>
        <v>99999</v>
      </c>
      <c r="B35290" s="2" t="str">
        <f>"71418"</f>
        <v>71418</v>
      </c>
      <c r="C35290" s="1">
        <v>2.9379992661550099E-4</v>
      </c>
      <c r="D35290" s="1">
        <v>1.5934828070793099E-4</v>
      </c>
      <c r="E35290" s="1">
        <v>9.1256339056409395E-5</v>
      </c>
      <c r="F35290" s="1">
        <v>2.8034910925487299E-4</v>
      </c>
    </row>
    <row r="35291" spans="1:6" x14ac:dyDescent="0.25">
      <c r="A35291" s="2" t="str">
        <f t="shared" si="1213"/>
        <v>99999</v>
      </c>
      <c r="B35291" s="2" t="str">
        <f>"71435"</f>
        <v>71435</v>
      </c>
      <c r="C35291" s="1">
        <v>1.44062371148759E-4</v>
      </c>
      <c r="D35291" s="1">
        <v>4.7045682875674899E-5</v>
      </c>
      <c r="E35291" s="1">
        <v>1.3036619865201299E-5</v>
      </c>
      <c r="F35291" s="1">
        <v>1.3470287222537201E-4</v>
      </c>
    </row>
    <row r="35292" spans="1:6" x14ac:dyDescent="0.25">
      <c r="A35292" s="2" t="str">
        <f t="shared" si="1213"/>
        <v>99999</v>
      </c>
      <c r="B35292" s="2" t="str">
        <f>"71218"</f>
        <v>71218</v>
      </c>
      <c r="C35292" s="1">
        <v>0</v>
      </c>
      <c r="D35292" s="1">
        <v>0</v>
      </c>
      <c r="E35292" s="1">
        <v>4.3455399550671099E-6</v>
      </c>
      <c r="F35292" s="1">
        <v>9.9485134582992598E-8</v>
      </c>
    </row>
    <row r="35293" spans="1:6" x14ac:dyDescent="0.25">
      <c r="A35293" s="2" t="str">
        <f t="shared" si="1213"/>
        <v>99999</v>
      </c>
      <c r="B35293" s="2" t="str">
        <f>"71295"</f>
        <v>71295</v>
      </c>
      <c r="C35293" s="1">
        <v>7.3308102045925702E-4</v>
      </c>
      <c r="D35293" s="1">
        <v>8.3012866235465102E-4</v>
      </c>
      <c r="E35293" s="1">
        <v>6.9094085285567098E-4</v>
      </c>
      <c r="F35293" s="1">
        <v>7.3847815400955401E-4</v>
      </c>
    </row>
    <row r="35294" spans="1:6" x14ac:dyDescent="0.25">
      <c r="A35294" s="2" t="str">
        <f t="shared" si="1213"/>
        <v>99999</v>
      </c>
      <c r="B35294" s="2" t="str">
        <f>"71024"</f>
        <v>71024</v>
      </c>
      <c r="C35294" s="1">
        <v>8.0762238371274393E-6</v>
      </c>
      <c r="D35294" s="1">
        <v>6.0704106936354696E-6</v>
      </c>
      <c r="E35294" s="1">
        <v>0</v>
      </c>
      <c r="F35294" s="1">
        <v>7.7598404974734199E-6</v>
      </c>
    </row>
    <row r="35295" spans="1:6" x14ac:dyDescent="0.25">
      <c r="A35295" s="2" t="str">
        <f t="shared" si="1213"/>
        <v>99999</v>
      </c>
      <c r="B35295" s="2" t="str">
        <f>"71028"</f>
        <v>71028</v>
      </c>
      <c r="C35295" s="1">
        <v>4.1472500785249002E-5</v>
      </c>
      <c r="D35295" s="1">
        <v>1.8211232080906399E-5</v>
      </c>
      <c r="E35295" s="1">
        <v>2.1727699775335501E-5</v>
      </c>
      <c r="F35295" s="1">
        <v>3.9495598429447998E-5</v>
      </c>
    </row>
    <row r="35296" spans="1:6" x14ac:dyDescent="0.25">
      <c r="A35296" s="2" t="str">
        <f t="shared" si="1213"/>
        <v>99999</v>
      </c>
      <c r="B35296" s="2" t="str">
        <f>"70638"</f>
        <v>70638</v>
      </c>
      <c r="C35296" s="1">
        <v>1.47336515947595E-5</v>
      </c>
      <c r="D35296" s="1">
        <v>1.51760267340886E-6</v>
      </c>
      <c r="E35296" s="1">
        <v>4.3455399550671099E-6</v>
      </c>
      <c r="F35296" s="1">
        <v>1.36294634378699E-5</v>
      </c>
    </row>
    <row r="35297" spans="1:6" x14ac:dyDescent="0.25">
      <c r="A35297" s="2" t="str">
        <f t="shared" si="1213"/>
        <v>99999</v>
      </c>
      <c r="B35297" s="2" t="str">
        <f>"70640"</f>
        <v>70640</v>
      </c>
      <c r="C35297" s="1">
        <v>2.1827631992236301E-7</v>
      </c>
      <c r="D35297" s="1">
        <v>0</v>
      </c>
      <c r="E35297" s="1">
        <v>0</v>
      </c>
      <c r="F35297" s="1">
        <v>1.9897026916598501E-7</v>
      </c>
    </row>
    <row r="35298" spans="1:6" x14ac:dyDescent="0.25">
      <c r="A35298" s="2" t="str">
        <f t="shared" si="1213"/>
        <v>99999</v>
      </c>
      <c r="B35298" s="2" t="str">
        <f>"70658"</f>
        <v>70658</v>
      </c>
      <c r="C35298" s="1">
        <v>3.6452145427034702E-5</v>
      </c>
      <c r="D35298" s="1">
        <v>9.1056160404532095E-6</v>
      </c>
      <c r="E35298" s="1">
        <v>0</v>
      </c>
      <c r="F35298" s="1">
        <v>3.3824945758217401E-5</v>
      </c>
    </row>
    <row r="35299" spans="1:6" x14ac:dyDescent="0.25">
      <c r="A35299" s="2" t="str">
        <f t="shared" si="1213"/>
        <v>99999</v>
      </c>
      <c r="B35299" s="2" t="str">
        <f>"70657"</f>
        <v>70657</v>
      </c>
      <c r="C35299" s="1">
        <v>3.74343888666853E-5</v>
      </c>
      <c r="D35299" s="1">
        <v>0</v>
      </c>
      <c r="E35299" s="1">
        <v>0</v>
      </c>
      <c r="F35299" s="1">
        <v>3.4123401161966403E-5</v>
      </c>
    </row>
    <row r="35300" spans="1:6" x14ac:dyDescent="0.25">
      <c r="A35300" s="2" t="str">
        <f t="shared" si="1213"/>
        <v>99999</v>
      </c>
      <c r="B35300" s="2" t="str">
        <f>"59922"</f>
        <v>59922</v>
      </c>
      <c r="C35300" s="1">
        <v>1.3096579195341799E-6</v>
      </c>
      <c r="D35300" s="1">
        <v>0</v>
      </c>
      <c r="E35300" s="1">
        <v>0</v>
      </c>
      <c r="F35300" s="1">
        <v>1.19382161499591E-6</v>
      </c>
    </row>
    <row r="35301" spans="1:6" x14ac:dyDescent="0.25">
      <c r="A35301" s="2" t="str">
        <f t="shared" si="1213"/>
        <v>99999</v>
      </c>
      <c r="B35301" s="2" t="str">
        <f>"59914"</f>
        <v>59914</v>
      </c>
      <c r="C35301" s="1">
        <v>4.5838027183696299E-6</v>
      </c>
      <c r="D35301" s="1">
        <v>0</v>
      </c>
      <c r="E35301" s="1">
        <v>4.3455399550671099E-6</v>
      </c>
      <c r="F35301" s="1">
        <v>4.2778607870686803E-6</v>
      </c>
    </row>
    <row r="35302" spans="1:6" x14ac:dyDescent="0.25">
      <c r="A35302" s="2" t="str">
        <f t="shared" si="1213"/>
        <v>99999</v>
      </c>
      <c r="B35302" s="2" t="str">
        <f>"59645"</f>
        <v>59645</v>
      </c>
      <c r="C35302" s="1">
        <v>1.06518844122113E-4</v>
      </c>
      <c r="D35302" s="1">
        <v>1.3658424060679801E-5</v>
      </c>
      <c r="E35302" s="1">
        <v>5.6492019415872502E-5</v>
      </c>
      <c r="F35302" s="1">
        <v>9.9286164313826594E-5</v>
      </c>
    </row>
    <row r="35303" spans="1:6" x14ac:dyDescent="0.25">
      <c r="A35303" s="2" t="str">
        <f t="shared" si="1213"/>
        <v>99999</v>
      </c>
      <c r="B35303" s="2" t="str">
        <f>"59529"</f>
        <v>59529</v>
      </c>
      <c r="C35303" s="1">
        <v>4.9112171982531701E-6</v>
      </c>
      <c r="D35303" s="1">
        <v>1.51760267340886E-6</v>
      </c>
      <c r="E35303" s="1">
        <v>4.3455399550671099E-6</v>
      </c>
      <c r="F35303" s="1">
        <v>4.6758013254006498E-6</v>
      </c>
    </row>
    <row r="35304" spans="1:6" x14ac:dyDescent="0.25">
      <c r="A35304" s="2" t="str">
        <f t="shared" si="1213"/>
        <v>99999</v>
      </c>
      <c r="B35304" s="2" t="str">
        <f>"59520"</f>
        <v>59520</v>
      </c>
      <c r="C35304" s="1">
        <v>2.3792118871537602E-5</v>
      </c>
      <c r="D35304" s="1">
        <v>7.5880133670443404E-6</v>
      </c>
      <c r="E35304" s="1">
        <v>4.3455399550671099E-6</v>
      </c>
      <c r="F35304" s="1">
        <v>2.2284670146590302E-5</v>
      </c>
    </row>
    <row r="35305" spans="1:6" x14ac:dyDescent="0.25">
      <c r="A35305" s="2" t="str">
        <f t="shared" si="1213"/>
        <v>99999</v>
      </c>
      <c r="B35305" s="2" t="str">
        <f>"59486"</f>
        <v>59486</v>
      </c>
      <c r="C35305" s="1">
        <v>4.5401474543851603E-5</v>
      </c>
      <c r="D35305" s="1">
        <v>0</v>
      </c>
      <c r="E35305" s="1">
        <v>2.1727699775335501E-5</v>
      </c>
      <c r="F35305" s="1">
        <v>4.1883241659439901E-5</v>
      </c>
    </row>
    <row r="35306" spans="1:6" x14ac:dyDescent="0.25">
      <c r="A35306" s="2" t="str">
        <f t="shared" si="1213"/>
        <v>99999</v>
      </c>
      <c r="B35306" s="2" t="str">
        <f>"59474"</f>
        <v>59474</v>
      </c>
      <c r="C35306" s="1">
        <v>1.8182417449532799E-4</v>
      </c>
      <c r="D35306" s="1">
        <v>3.7181265498517299E-4</v>
      </c>
      <c r="E35306" s="1">
        <v>3.86753056000973E-4</v>
      </c>
      <c r="F35306" s="1">
        <v>1.9897026916598499E-4</v>
      </c>
    </row>
    <row r="35307" spans="1:6" x14ac:dyDescent="0.25">
      <c r="A35307" s="2" t="str">
        <f t="shared" si="1213"/>
        <v>99999</v>
      </c>
      <c r="B35307" s="2" t="str">
        <f>"59874"</f>
        <v>59874</v>
      </c>
      <c r="C35307" s="1">
        <v>7.0175836855039799E-5</v>
      </c>
      <c r="D35307" s="1">
        <v>4.8563285549083798E-5</v>
      </c>
      <c r="E35307" s="1">
        <v>2.1727699775335501E-5</v>
      </c>
      <c r="F35307" s="1">
        <v>6.7649891516434897E-5</v>
      </c>
    </row>
    <row r="35308" spans="1:6" x14ac:dyDescent="0.25">
      <c r="A35308" s="2" t="str">
        <f t="shared" si="1213"/>
        <v>99999</v>
      </c>
      <c r="B35308" s="2" t="str">
        <f>"59870"</f>
        <v>59870</v>
      </c>
      <c r="C35308" s="1">
        <v>5.4841925380493797E-4</v>
      </c>
      <c r="D35308" s="1">
        <v>4.8715045816424699E-4</v>
      </c>
      <c r="E35308" s="1">
        <v>6.6921315308033497E-4</v>
      </c>
      <c r="F35308" s="1">
        <v>5.47168240206459E-4</v>
      </c>
    </row>
    <row r="35309" spans="1:6" x14ac:dyDescent="0.25">
      <c r="A35309" s="2" t="str">
        <f t="shared" si="1213"/>
        <v>99999</v>
      </c>
      <c r="B35309" s="2" t="str">
        <f>"59746"</f>
        <v>59746</v>
      </c>
      <c r="C35309" s="1">
        <v>7.63967119728272E-7</v>
      </c>
      <c r="D35309" s="1">
        <v>1.51760267340886E-6</v>
      </c>
      <c r="E35309" s="1">
        <v>4.3455399550671099E-6</v>
      </c>
      <c r="F35309" s="1">
        <v>8.9536621124693305E-7</v>
      </c>
    </row>
    <row r="35310" spans="1:6" x14ac:dyDescent="0.25">
      <c r="A35310" s="2" t="str">
        <f t="shared" si="1213"/>
        <v>99999</v>
      </c>
      <c r="B35310" s="2" t="str">
        <f>"59754"</f>
        <v>59754</v>
      </c>
      <c r="C35310" s="1">
        <v>5.3477698380979E-5</v>
      </c>
      <c r="D35310" s="1">
        <v>9.1056160404532095E-6</v>
      </c>
      <c r="E35310" s="1">
        <v>1.7382159820268399E-5</v>
      </c>
      <c r="F35310" s="1">
        <v>4.9742567291496302E-5</v>
      </c>
    </row>
    <row r="35311" spans="1:6" x14ac:dyDescent="0.25">
      <c r="A35311" s="2" t="str">
        <f t="shared" si="1213"/>
        <v>99999</v>
      </c>
      <c r="B35311" s="2" t="str">
        <f>"59733"</f>
        <v>59733</v>
      </c>
      <c r="C35311" s="1">
        <v>1.4078822634992399E-5</v>
      </c>
      <c r="D35311" s="1">
        <v>1.66936294074975E-5</v>
      </c>
      <c r="E35311" s="1">
        <v>4.3455399550671099E-6</v>
      </c>
      <c r="F35311" s="1">
        <v>1.4027403976201899E-5</v>
      </c>
    </row>
    <row r="35312" spans="1:6" x14ac:dyDescent="0.25">
      <c r="A35312" s="2" t="str">
        <f t="shared" si="1213"/>
        <v>99999</v>
      </c>
      <c r="B35312" s="2" t="str">
        <f>"59729"</f>
        <v>59729</v>
      </c>
      <c r="C35312" s="1">
        <v>1.51047213386275E-4</v>
      </c>
      <c r="D35312" s="1">
        <v>1.39619445953615E-4</v>
      </c>
      <c r="E35312" s="1">
        <v>2.2162253770842199E-4</v>
      </c>
      <c r="F35312" s="1">
        <v>1.5191380050822901E-4</v>
      </c>
    </row>
    <row r="35313" spans="1:6" x14ac:dyDescent="0.25">
      <c r="A35313" s="2" t="str">
        <f t="shared" si="1213"/>
        <v>99999</v>
      </c>
      <c r="B35313" s="2" t="str">
        <f>"59835"</f>
        <v>59835</v>
      </c>
      <c r="C35313" s="1">
        <v>0</v>
      </c>
      <c r="D35313" s="1">
        <v>0</v>
      </c>
      <c r="E35313" s="1">
        <v>4.3455399550671099E-6</v>
      </c>
      <c r="F35313" s="1">
        <v>9.9485134582992598E-8</v>
      </c>
    </row>
    <row r="35314" spans="1:6" x14ac:dyDescent="0.25">
      <c r="A35314" s="2" t="str">
        <f t="shared" si="1213"/>
        <v>99999</v>
      </c>
      <c r="B35314" s="2" t="str">
        <f>"59856"</f>
        <v>59856</v>
      </c>
      <c r="C35314" s="1">
        <v>0</v>
      </c>
      <c r="D35314" s="1">
        <v>0</v>
      </c>
      <c r="E35314" s="1">
        <v>4.3455399550671099E-6</v>
      </c>
      <c r="F35314" s="1">
        <v>9.9485134582992598E-8</v>
      </c>
    </row>
    <row r="35315" spans="1:6" x14ac:dyDescent="0.25">
      <c r="A35315" s="2" t="str">
        <f t="shared" si="1213"/>
        <v>99999</v>
      </c>
      <c r="B35315" s="2" t="str">
        <f>"59829"</f>
        <v>59829</v>
      </c>
      <c r="C35315" s="1">
        <v>1.1012040340083199E-4</v>
      </c>
      <c r="D35315" s="1">
        <v>3.6422464161812797E-5</v>
      </c>
      <c r="E35315" s="1">
        <v>1.6078497833748299E-4</v>
      </c>
      <c r="F35315" s="1">
        <v>1.06449094003802E-4</v>
      </c>
    </row>
    <row r="35316" spans="1:6" x14ac:dyDescent="0.25">
      <c r="A35316" s="2" t="str">
        <f t="shared" si="1213"/>
        <v>99999</v>
      </c>
      <c r="B35316" s="2" t="str">
        <f>"59454"</f>
        <v>59454</v>
      </c>
      <c r="C35316" s="1">
        <v>7.63967119728272E-7</v>
      </c>
      <c r="D35316" s="1">
        <v>1.51760267340886E-6</v>
      </c>
      <c r="E35316" s="1">
        <v>4.3455399550671099E-6</v>
      </c>
      <c r="F35316" s="1">
        <v>8.9536621124693305E-7</v>
      </c>
    </row>
    <row r="35317" spans="1:6" x14ac:dyDescent="0.25">
      <c r="A35317" s="2" t="str">
        <f t="shared" si="1213"/>
        <v>99999</v>
      </c>
      <c r="B35317" s="2" t="str">
        <f>"59444"</f>
        <v>59444</v>
      </c>
      <c r="C35317" s="1">
        <v>5.8934606379038102E-6</v>
      </c>
      <c r="D35317" s="1">
        <v>1.51760267340886E-6</v>
      </c>
      <c r="E35317" s="1">
        <v>4.3455399550671099E-6</v>
      </c>
      <c r="F35317" s="1">
        <v>5.5711675366475797E-6</v>
      </c>
    </row>
    <row r="35318" spans="1:6" x14ac:dyDescent="0.25">
      <c r="A35318" s="2" t="str">
        <f t="shared" si="1213"/>
        <v>99999</v>
      </c>
      <c r="B35318" s="2" t="str">
        <f>"59448"</f>
        <v>59448</v>
      </c>
      <c r="C35318" s="1">
        <v>8.4036383170109905E-6</v>
      </c>
      <c r="D35318" s="1">
        <v>1.51760267340886E-6</v>
      </c>
      <c r="E35318" s="1">
        <v>4.3455399550671099E-6</v>
      </c>
      <c r="F35318" s="1">
        <v>7.85932563205641E-6</v>
      </c>
    </row>
    <row r="35319" spans="1:6" x14ac:dyDescent="0.25">
      <c r="A35319" s="2" t="str">
        <f t="shared" si="1213"/>
        <v>99999</v>
      </c>
      <c r="B35319" s="2" t="str">
        <f>"59715"</f>
        <v>59715</v>
      </c>
      <c r="C35319" s="1">
        <v>6.1117369578261701E-6</v>
      </c>
      <c r="D35319" s="1">
        <v>1.51760267340886E-6</v>
      </c>
      <c r="E35319" s="1">
        <v>0</v>
      </c>
      <c r="F35319" s="1">
        <v>5.6706526712305799E-6</v>
      </c>
    </row>
    <row r="35320" spans="1:6" x14ac:dyDescent="0.25">
      <c r="A35320" s="2" t="str">
        <f t="shared" si="1213"/>
        <v>99999</v>
      </c>
      <c r="B35320" s="2" t="str">
        <f>"59240"</f>
        <v>59240</v>
      </c>
      <c r="C35320" s="1">
        <v>1.9644868793012701E-6</v>
      </c>
      <c r="D35320" s="1">
        <v>0</v>
      </c>
      <c r="E35320" s="1">
        <v>4.3455399550671099E-6</v>
      </c>
      <c r="F35320" s="1">
        <v>1.89021755707686E-6</v>
      </c>
    </row>
    <row r="35321" spans="1:6" x14ac:dyDescent="0.25">
      <c r="A35321" s="2" t="str">
        <f t="shared" si="1213"/>
        <v>99999</v>
      </c>
      <c r="B35321" s="2" t="str">
        <f>"59257"</f>
        <v>59257</v>
      </c>
      <c r="C35321" s="1">
        <v>5.3477698380979E-6</v>
      </c>
      <c r="D35321" s="1">
        <v>7.5880133670443404E-6</v>
      </c>
      <c r="E35321" s="1">
        <v>3.9109859595604001E-5</v>
      </c>
      <c r="F35321" s="1">
        <v>6.2675634787285303E-6</v>
      </c>
    </row>
    <row r="35322" spans="1:6" x14ac:dyDescent="0.25">
      <c r="A35322" s="2" t="str">
        <f t="shared" si="1213"/>
        <v>99999</v>
      </c>
      <c r="B35322" s="2" t="str">
        <f>"59322"</f>
        <v>59322</v>
      </c>
      <c r="C35322" s="1">
        <v>4.5838027183696299E-6</v>
      </c>
      <c r="D35322" s="1">
        <v>0</v>
      </c>
      <c r="E35322" s="1">
        <v>4.3455399550671099E-6</v>
      </c>
      <c r="F35322" s="1">
        <v>4.2778607870686803E-6</v>
      </c>
    </row>
    <row r="35323" spans="1:6" x14ac:dyDescent="0.25">
      <c r="A35323" s="2" t="str">
        <f t="shared" si="1213"/>
        <v>99999</v>
      </c>
      <c r="B35323" s="2" t="str">
        <f>"59324"</f>
        <v>59324</v>
      </c>
      <c r="C35323" s="1">
        <v>1.34239936752253E-5</v>
      </c>
      <c r="D35323" s="1">
        <v>1.51760267340886E-6</v>
      </c>
      <c r="E35323" s="1">
        <v>2.60732397304027E-5</v>
      </c>
      <c r="F35323" s="1">
        <v>1.2933067495789E-5</v>
      </c>
    </row>
    <row r="35324" spans="1:6" x14ac:dyDescent="0.25">
      <c r="A35324" s="2" t="str">
        <f t="shared" si="1213"/>
        <v>99999</v>
      </c>
      <c r="B35324" s="2" t="str">
        <f>"59274"</f>
        <v>59274</v>
      </c>
      <c r="C35324" s="1">
        <v>1.1132092316040499E-5</v>
      </c>
      <c r="D35324" s="1">
        <v>4.5528080202265997E-6</v>
      </c>
      <c r="E35324" s="1">
        <v>4.3455399550671099E-6</v>
      </c>
      <c r="F35324" s="1">
        <v>1.05454242657972E-5</v>
      </c>
    </row>
    <row r="35325" spans="1:6" x14ac:dyDescent="0.25">
      <c r="A35325" s="2" t="str">
        <f t="shared" si="1213"/>
        <v>99999</v>
      </c>
      <c r="B35325" s="2" t="str">
        <f>"59318"</f>
        <v>59318</v>
      </c>
      <c r="C35325" s="1">
        <v>7.2031185574379897E-6</v>
      </c>
      <c r="D35325" s="1">
        <v>0</v>
      </c>
      <c r="E35325" s="1">
        <v>4.3455399550671099E-6</v>
      </c>
      <c r="F35325" s="1">
        <v>6.6655040170604998E-6</v>
      </c>
    </row>
    <row r="35326" spans="1:6" x14ac:dyDescent="0.25">
      <c r="A35326" s="2" t="str">
        <f t="shared" si="1213"/>
        <v>99999</v>
      </c>
      <c r="B35326" s="2" t="str">
        <f>"59223"</f>
        <v>59223</v>
      </c>
      <c r="C35326" s="1">
        <v>6.8757040775544402E-6</v>
      </c>
      <c r="D35326" s="1">
        <v>3.0352053468177301E-6</v>
      </c>
      <c r="E35326" s="1">
        <v>2.1727699775335501E-5</v>
      </c>
      <c r="F35326" s="1">
        <v>6.9639594208094801E-6</v>
      </c>
    </row>
    <row r="35327" spans="1:6" x14ac:dyDescent="0.25">
      <c r="A35327" s="2" t="str">
        <f t="shared" si="1213"/>
        <v>99999</v>
      </c>
      <c r="B35327" s="2" t="str">
        <f>"59332"</f>
        <v>59332</v>
      </c>
      <c r="C35327" s="1">
        <v>4.0381119185637197E-6</v>
      </c>
      <c r="D35327" s="1">
        <v>0</v>
      </c>
      <c r="E35327" s="1">
        <v>4.3455399550671099E-6</v>
      </c>
      <c r="F35327" s="1">
        <v>3.7804351141537199E-6</v>
      </c>
    </row>
    <row r="35328" spans="1:6" x14ac:dyDescent="0.25">
      <c r="A35328" s="2" t="str">
        <f t="shared" si="1213"/>
        <v>99999</v>
      </c>
      <c r="B35328" s="2" t="str">
        <f>"59330"</f>
        <v>59330</v>
      </c>
      <c r="C35328" s="1">
        <v>4.7584237743075199E-4</v>
      </c>
      <c r="D35328" s="1">
        <v>6.92026819074444E-4</v>
      </c>
      <c r="E35328" s="1">
        <v>8.9518123074382595E-4</v>
      </c>
      <c r="F35328" s="1">
        <v>4.9961434587578895E-4</v>
      </c>
    </row>
    <row r="35329" spans="1:6" x14ac:dyDescent="0.25">
      <c r="A35329" s="2" t="str">
        <f t="shared" si="1213"/>
        <v>99999</v>
      </c>
      <c r="B35329" s="2" t="str">
        <f>"59252"</f>
        <v>59252</v>
      </c>
      <c r="C35329" s="1">
        <v>9.1676054367392598E-6</v>
      </c>
      <c r="D35329" s="1">
        <v>1.51760267340886E-6</v>
      </c>
      <c r="E35329" s="1">
        <v>4.3455399550671099E-6</v>
      </c>
      <c r="F35329" s="1">
        <v>8.5557215741373606E-6</v>
      </c>
    </row>
    <row r="35330" spans="1:6" x14ac:dyDescent="0.25">
      <c r="A35330" s="2" t="str">
        <f t="shared" si="1213"/>
        <v>99999</v>
      </c>
      <c r="B35330" s="2" t="str">
        <f>"59241"</f>
        <v>59241</v>
      </c>
      <c r="C35330" s="1">
        <v>1.5061066074643001E-5</v>
      </c>
      <c r="D35330" s="1">
        <v>3.0352053468177301E-6</v>
      </c>
      <c r="E35330" s="1">
        <v>4.3455399550671099E-6</v>
      </c>
      <c r="F35330" s="1">
        <v>1.4027403976201899E-5</v>
      </c>
    </row>
    <row r="35331" spans="1:6" x14ac:dyDescent="0.25">
      <c r="A35331" s="2" t="str">
        <f t="shared" si="1213"/>
        <v>99999</v>
      </c>
      <c r="B35331" s="2" t="str">
        <f>"58570"</f>
        <v>58570</v>
      </c>
      <c r="C35331" s="1">
        <v>3.27414479883545E-6</v>
      </c>
      <c r="D35331" s="1">
        <v>3.0352053468177301E-6</v>
      </c>
      <c r="E35331" s="1">
        <v>4.3455399550671099E-6</v>
      </c>
      <c r="F35331" s="1">
        <v>3.2830094412387502E-6</v>
      </c>
    </row>
    <row r="35332" spans="1:6" x14ac:dyDescent="0.25">
      <c r="A35332" s="2" t="str">
        <f t="shared" si="1213"/>
        <v>99999</v>
      </c>
      <c r="B35332" s="2" t="str">
        <f>"58496"</f>
        <v>58496</v>
      </c>
      <c r="C35332" s="1">
        <v>1.09138159961181E-7</v>
      </c>
      <c r="D35332" s="1">
        <v>0</v>
      </c>
      <c r="E35332" s="1">
        <v>0</v>
      </c>
      <c r="F35332" s="1">
        <v>9.9485134582992598E-8</v>
      </c>
    </row>
    <row r="35333" spans="1:6" x14ac:dyDescent="0.25">
      <c r="A35333" s="2" t="str">
        <f t="shared" si="1213"/>
        <v>99999</v>
      </c>
      <c r="B35333" s="2" t="str">
        <f>"58529"</f>
        <v>58529</v>
      </c>
      <c r="C35333" s="1">
        <v>3.5033349347539302E-5</v>
      </c>
      <c r="D35333" s="1">
        <v>1.3658424060679801E-5</v>
      </c>
      <c r="E35333" s="1">
        <v>4.7800939505738197E-5</v>
      </c>
      <c r="F35333" s="1">
        <v>3.3924430892800399E-5</v>
      </c>
    </row>
    <row r="35334" spans="1:6" x14ac:dyDescent="0.25">
      <c r="A35334" s="2" t="str">
        <f t="shared" si="1213"/>
        <v>99999</v>
      </c>
      <c r="B35334" s="2" t="str">
        <f>"59101"</f>
        <v>59101</v>
      </c>
      <c r="C35334" s="1">
        <v>2.1827631992236301E-7</v>
      </c>
      <c r="D35334" s="1">
        <v>0</v>
      </c>
      <c r="E35334" s="1">
        <v>0</v>
      </c>
      <c r="F35334" s="1">
        <v>1.9897026916598501E-7</v>
      </c>
    </row>
    <row r="35335" spans="1:6" x14ac:dyDescent="0.25">
      <c r="A35335" s="2" t="str">
        <f t="shared" si="1213"/>
        <v>99999</v>
      </c>
      <c r="B35335" s="2" t="str">
        <f>"58847"</f>
        <v>58847</v>
      </c>
      <c r="C35335" s="1">
        <v>1.39696844750312E-5</v>
      </c>
      <c r="D35335" s="1">
        <v>1.9728834754315301E-5</v>
      </c>
      <c r="E35335" s="1">
        <v>4.3455399550671099E-6</v>
      </c>
      <c r="F35335" s="1">
        <v>1.41268891107849E-5</v>
      </c>
    </row>
    <row r="35336" spans="1:6" x14ac:dyDescent="0.25">
      <c r="A35336" s="2" t="str">
        <f t="shared" si="1213"/>
        <v>99999</v>
      </c>
      <c r="B35336" s="2" t="str">
        <f>"58748"</f>
        <v>58748</v>
      </c>
      <c r="C35336" s="1">
        <v>8.4036383170109905E-6</v>
      </c>
      <c r="D35336" s="1">
        <v>1.51760267340886E-6</v>
      </c>
      <c r="E35336" s="1">
        <v>4.3455399550671099E-6</v>
      </c>
      <c r="F35336" s="1">
        <v>7.85932563205641E-6</v>
      </c>
    </row>
    <row r="35337" spans="1:6" x14ac:dyDescent="0.25">
      <c r="A35337" s="2" t="str">
        <f t="shared" si="1213"/>
        <v>99999</v>
      </c>
      <c r="B35337" s="2" t="str">
        <f>"58759"</f>
        <v>58759</v>
      </c>
      <c r="C35337" s="1">
        <v>1.60433095142937E-5</v>
      </c>
      <c r="D35337" s="1">
        <v>4.5528080202265997E-6</v>
      </c>
      <c r="E35337" s="1">
        <v>2.1727699775335501E-5</v>
      </c>
      <c r="F35337" s="1">
        <v>1.5420195860363801E-5</v>
      </c>
    </row>
    <row r="35338" spans="1:6" x14ac:dyDescent="0.25">
      <c r="A35338" s="2" t="str">
        <f t="shared" si="1213"/>
        <v>99999</v>
      </c>
      <c r="B35338" s="2" t="str">
        <f>"59012"</f>
        <v>59012</v>
      </c>
      <c r="C35338" s="1">
        <v>5.5660461580202599E-6</v>
      </c>
      <c r="D35338" s="1">
        <v>1.51760267340886E-6</v>
      </c>
      <c r="E35338" s="1">
        <v>4.3455399550671099E-6</v>
      </c>
      <c r="F35338" s="1">
        <v>5.2727121328986002E-6</v>
      </c>
    </row>
    <row r="35339" spans="1:6" x14ac:dyDescent="0.25">
      <c r="A35339" s="2" t="str">
        <f t="shared" si="1213"/>
        <v>99999</v>
      </c>
      <c r="B35339" s="2" t="str">
        <f>"59054"</f>
        <v>59054</v>
      </c>
      <c r="C35339" s="1">
        <v>2.1827631992236301E-7</v>
      </c>
      <c r="D35339" s="1">
        <v>0</v>
      </c>
      <c r="E35339" s="1">
        <v>4.3455399550671099E-6</v>
      </c>
      <c r="F35339" s="1">
        <v>2.9845540374897701E-7</v>
      </c>
    </row>
    <row r="35340" spans="1:6" x14ac:dyDescent="0.25">
      <c r="A35340" s="2" t="str">
        <f t="shared" si="1213"/>
        <v>99999</v>
      </c>
      <c r="B35340" s="2" t="str">
        <f>"59035"</f>
        <v>59035</v>
      </c>
      <c r="C35340" s="1">
        <v>0</v>
      </c>
      <c r="D35340" s="1">
        <v>0</v>
      </c>
      <c r="E35340" s="1">
        <v>4.3455399550671099E-6</v>
      </c>
      <c r="F35340" s="1">
        <v>9.9485134582992598E-8</v>
      </c>
    </row>
    <row r="35341" spans="1:6" x14ac:dyDescent="0.25">
      <c r="A35341" s="2" t="str">
        <f t="shared" si="1213"/>
        <v>99999</v>
      </c>
      <c r="B35341" s="2" t="str">
        <f>"59062"</f>
        <v>59062</v>
      </c>
      <c r="C35341" s="1">
        <v>5.5660461580202599E-6</v>
      </c>
      <c r="D35341" s="1">
        <v>0</v>
      </c>
      <c r="E35341" s="1">
        <v>4.3455399550671099E-6</v>
      </c>
      <c r="F35341" s="1">
        <v>5.1732269983156102E-6</v>
      </c>
    </row>
    <row r="35342" spans="1:6" x14ac:dyDescent="0.25">
      <c r="A35342" s="2" t="str">
        <f t="shared" si="1213"/>
        <v>99999</v>
      </c>
      <c r="B35342" s="2" t="str">
        <f>"59089"</f>
        <v>59089</v>
      </c>
      <c r="C35342" s="1">
        <v>6.3300132777485401E-6</v>
      </c>
      <c r="D35342" s="1">
        <v>0</v>
      </c>
      <c r="E35342" s="1">
        <v>4.3455399550671099E-6</v>
      </c>
      <c r="F35342" s="1">
        <v>5.86962294039656E-6</v>
      </c>
    </row>
    <row r="35343" spans="1:6" x14ac:dyDescent="0.25">
      <c r="A35343" s="2" t="str">
        <f t="shared" si="1213"/>
        <v>99999</v>
      </c>
      <c r="B35343" s="2" t="str">
        <f>"59034"</f>
        <v>59034</v>
      </c>
      <c r="C35343" s="1">
        <v>2.2558857663976199E-4</v>
      </c>
      <c r="D35343" s="1">
        <v>3.5056621755744799E-4</v>
      </c>
      <c r="E35343" s="1">
        <v>4.6931831514724801E-4</v>
      </c>
      <c r="F35343" s="1">
        <v>2.3936123380667999E-4</v>
      </c>
    </row>
    <row r="35344" spans="1:6" x14ac:dyDescent="0.25">
      <c r="A35344" s="2" t="str">
        <f t="shared" si="1213"/>
        <v>99999</v>
      </c>
      <c r="B35344" s="2" t="str">
        <f>"58488"</f>
        <v>58488</v>
      </c>
      <c r="C35344" s="1">
        <v>1.51702042346042E-5</v>
      </c>
      <c r="D35344" s="1">
        <v>1.51760267340886E-6</v>
      </c>
      <c r="E35344" s="1">
        <v>1.3036619865201299E-5</v>
      </c>
      <c r="F35344" s="1">
        <v>1.42263742453679E-5</v>
      </c>
    </row>
    <row r="35345" spans="1:6" x14ac:dyDescent="0.25">
      <c r="A35345" s="2" t="str">
        <f t="shared" si="1213"/>
        <v>99999</v>
      </c>
      <c r="B35345" s="2" t="str">
        <f>"58484"</f>
        <v>58484</v>
      </c>
      <c r="C35345" s="1">
        <v>5.3477698380979E-6</v>
      </c>
      <c r="D35345" s="1">
        <v>3.0352053468177301E-6</v>
      </c>
      <c r="E35345" s="1">
        <v>8.69107991013423E-6</v>
      </c>
      <c r="F35345" s="1">
        <v>5.2727121328986002E-6</v>
      </c>
    </row>
    <row r="35346" spans="1:6" x14ac:dyDescent="0.25">
      <c r="A35346" s="2" t="str">
        <f t="shared" ref="A35346:A35409" si="1214">"99999"</f>
        <v>99999</v>
      </c>
      <c r="B35346" s="2" t="str">
        <f>"58441"</f>
        <v>58441</v>
      </c>
      <c r="C35346" s="1">
        <v>1.45153752748371E-5</v>
      </c>
      <c r="D35346" s="1">
        <v>1.21408213872709E-5</v>
      </c>
      <c r="E35346" s="1">
        <v>2.1727699775335501E-5</v>
      </c>
      <c r="F35346" s="1">
        <v>1.45248296491169E-5</v>
      </c>
    </row>
    <row r="35347" spans="1:6" x14ac:dyDescent="0.25">
      <c r="A35347" s="2" t="str">
        <f t="shared" si="1214"/>
        <v>99999</v>
      </c>
      <c r="B35347" s="2" t="str">
        <f>"58355"</f>
        <v>58355</v>
      </c>
      <c r="C35347" s="1">
        <v>4.8020790382919898E-6</v>
      </c>
      <c r="D35347" s="1">
        <v>1.0623218713862E-5</v>
      </c>
      <c r="E35347" s="1">
        <v>4.3455399550671099E-6</v>
      </c>
      <c r="F35347" s="1">
        <v>5.1732269983156102E-6</v>
      </c>
    </row>
    <row r="35348" spans="1:6" x14ac:dyDescent="0.25">
      <c r="A35348" s="2" t="str">
        <f t="shared" si="1214"/>
        <v>99999</v>
      </c>
      <c r="B35348" s="2" t="str">
        <f>"58460"</f>
        <v>58460</v>
      </c>
      <c r="C35348" s="1">
        <v>1.6261585834216E-5</v>
      </c>
      <c r="D35348" s="1">
        <v>1.5176026734088599E-5</v>
      </c>
      <c r="E35348" s="1">
        <v>2.1727699775335501E-5</v>
      </c>
      <c r="F35348" s="1">
        <v>1.6315562071610699E-5</v>
      </c>
    </row>
    <row r="35349" spans="1:6" x14ac:dyDescent="0.25">
      <c r="A35349" s="2" t="str">
        <f t="shared" si="1214"/>
        <v>99999</v>
      </c>
      <c r="B35349" s="2" t="str">
        <f>"58486"</f>
        <v>58486</v>
      </c>
      <c r="C35349" s="1">
        <v>1.1350368635962901E-5</v>
      </c>
      <c r="D35349" s="1">
        <v>4.5528080202265997E-6</v>
      </c>
      <c r="E35349" s="1">
        <v>8.69107991013423E-6</v>
      </c>
      <c r="F35349" s="1">
        <v>1.0843879669546099E-5</v>
      </c>
    </row>
    <row r="35350" spans="1:6" x14ac:dyDescent="0.25">
      <c r="A35350" s="2" t="str">
        <f t="shared" si="1214"/>
        <v>99999</v>
      </c>
      <c r="B35350" s="2" t="str">
        <f>"58466"</f>
        <v>58466</v>
      </c>
      <c r="C35350" s="1">
        <v>2.6629711030528301E-5</v>
      </c>
      <c r="D35350" s="1">
        <v>9.1056160404532095E-6</v>
      </c>
      <c r="E35350" s="1">
        <v>7.3874179236140894E-5</v>
      </c>
      <c r="F35350" s="1">
        <v>2.6562530933659001E-5</v>
      </c>
    </row>
    <row r="35351" spans="1:6" x14ac:dyDescent="0.25">
      <c r="A35351" s="2" t="str">
        <f t="shared" si="1214"/>
        <v>99999</v>
      </c>
      <c r="B35351" s="2" t="str">
        <f>"58452"</f>
        <v>58452</v>
      </c>
      <c r="C35351" s="1">
        <v>1.4187960794953601E-6</v>
      </c>
      <c r="D35351" s="1">
        <v>0</v>
      </c>
      <c r="E35351" s="1">
        <v>4.3455399550671099E-6</v>
      </c>
      <c r="F35351" s="1">
        <v>1.39279188416189E-6</v>
      </c>
    </row>
    <row r="35352" spans="1:6" x14ac:dyDescent="0.25">
      <c r="A35352" s="2" t="str">
        <f t="shared" si="1214"/>
        <v>99999</v>
      </c>
      <c r="B35352" s="2" t="str">
        <f>"58413"</f>
        <v>58413</v>
      </c>
      <c r="C35352" s="1">
        <v>7.7051540932594295E-5</v>
      </c>
      <c r="D35352" s="1">
        <v>3.0352053468177301E-5</v>
      </c>
      <c r="E35352" s="1">
        <v>8.2565259146275205E-5</v>
      </c>
      <c r="F35352" s="1">
        <v>7.4116425264329495E-5</v>
      </c>
    </row>
    <row r="35353" spans="1:6" x14ac:dyDescent="0.25">
      <c r="A35353" s="2" t="str">
        <f t="shared" si="1214"/>
        <v>99999</v>
      </c>
      <c r="B35353" s="2" t="str">
        <f>"58377"</f>
        <v>58377</v>
      </c>
      <c r="C35353" s="1">
        <v>1.44062371148759E-5</v>
      </c>
      <c r="D35353" s="1">
        <v>0</v>
      </c>
      <c r="E35353" s="1">
        <v>8.69107991013423E-6</v>
      </c>
      <c r="F35353" s="1">
        <v>1.3331008034121E-5</v>
      </c>
    </row>
    <row r="35354" spans="1:6" x14ac:dyDescent="0.25">
      <c r="A35354" s="2" t="str">
        <f t="shared" si="1214"/>
        <v>99999</v>
      </c>
      <c r="B35354" s="2" t="str">
        <f>"58367"</f>
        <v>58367</v>
      </c>
      <c r="C35354" s="1">
        <v>6.5373757816747802E-5</v>
      </c>
      <c r="D35354" s="1">
        <v>4.8563285549083798E-5</v>
      </c>
      <c r="E35354" s="1">
        <v>1.6078497833748299E-4</v>
      </c>
      <c r="F35354" s="1">
        <v>6.6456069901438996E-5</v>
      </c>
    </row>
    <row r="35355" spans="1:6" x14ac:dyDescent="0.25">
      <c r="A35355" s="2" t="str">
        <f t="shared" si="1214"/>
        <v>99999</v>
      </c>
      <c r="B35355" s="2" t="str">
        <f>"58366"</f>
        <v>58366</v>
      </c>
      <c r="C35355" s="1">
        <v>6.1226507738222898E-5</v>
      </c>
      <c r="D35355" s="1">
        <v>1.21408213872709E-5</v>
      </c>
      <c r="E35355" s="1">
        <v>8.2565259146275205E-5</v>
      </c>
      <c r="F35355" s="1">
        <v>5.8497259134799602E-5</v>
      </c>
    </row>
    <row r="35356" spans="1:6" x14ac:dyDescent="0.25">
      <c r="A35356" s="2" t="str">
        <f t="shared" si="1214"/>
        <v>99999</v>
      </c>
      <c r="B35356" s="2" t="str">
        <f>"58356"</f>
        <v>58356</v>
      </c>
      <c r="C35356" s="1">
        <v>1.08155916521531E-4</v>
      </c>
      <c r="D35356" s="1">
        <v>2.1398197695065001E-4</v>
      </c>
      <c r="E35356" s="1">
        <v>2.1293145779828799E-4</v>
      </c>
      <c r="F35356" s="1">
        <v>1.17491943942514E-4</v>
      </c>
    </row>
    <row r="35357" spans="1:6" x14ac:dyDescent="0.25">
      <c r="A35357" s="2" t="str">
        <f t="shared" si="1214"/>
        <v>99999</v>
      </c>
      <c r="B35357" s="2" t="str">
        <f>"58644"</f>
        <v>58644</v>
      </c>
      <c r="C35357" s="1">
        <v>7.63967119728272E-7</v>
      </c>
      <c r="D35357" s="1">
        <v>1.51760267340886E-6</v>
      </c>
      <c r="E35357" s="1">
        <v>4.3455399550671099E-6</v>
      </c>
      <c r="F35357" s="1">
        <v>8.9536621124693305E-7</v>
      </c>
    </row>
    <row r="35358" spans="1:6" x14ac:dyDescent="0.25">
      <c r="A35358" s="2" t="str">
        <f t="shared" si="1214"/>
        <v>99999</v>
      </c>
      <c r="B35358" s="2" t="str">
        <f>"58623"</f>
        <v>58623</v>
      </c>
      <c r="C35358" s="1">
        <v>1.2125249571687199E-4</v>
      </c>
      <c r="D35358" s="1">
        <v>9.1056160404532095E-5</v>
      </c>
      <c r="E35358" s="1">
        <v>2.0424037788815399E-4</v>
      </c>
      <c r="F35358" s="1">
        <v>1.2117289392208499E-4</v>
      </c>
    </row>
    <row r="35359" spans="1:6" x14ac:dyDescent="0.25">
      <c r="A35359" s="2" t="str">
        <f t="shared" si="1214"/>
        <v>99999</v>
      </c>
      <c r="B35359" s="2" t="str">
        <f>"58638"</f>
        <v>58638</v>
      </c>
      <c r="C35359" s="1">
        <v>4.4746645584084504E-6</v>
      </c>
      <c r="D35359" s="1">
        <v>0</v>
      </c>
      <c r="E35359" s="1">
        <v>0</v>
      </c>
      <c r="F35359" s="1">
        <v>4.07889051790269E-6</v>
      </c>
    </row>
    <row r="35360" spans="1:6" x14ac:dyDescent="0.25">
      <c r="A35360" s="2" t="str">
        <f t="shared" si="1214"/>
        <v>99999</v>
      </c>
      <c r="B35360" s="2" t="str">
        <f>"58313"</f>
        <v>58313</v>
      </c>
      <c r="C35360" s="1">
        <v>3.4924211187578098E-6</v>
      </c>
      <c r="D35360" s="1">
        <v>0</v>
      </c>
      <c r="E35360" s="1">
        <v>4.3455399550671099E-6</v>
      </c>
      <c r="F35360" s="1">
        <v>3.2830094412387502E-6</v>
      </c>
    </row>
    <row r="35361" spans="1:6" x14ac:dyDescent="0.25">
      <c r="A35361" s="2" t="str">
        <f t="shared" si="1214"/>
        <v>99999</v>
      </c>
      <c r="B35361" s="2" t="str">
        <f>"58219"</f>
        <v>58219</v>
      </c>
      <c r="C35361" s="1">
        <v>4.0381119185637197E-6</v>
      </c>
      <c r="D35361" s="1">
        <v>0</v>
      </c>
      <c r="E35361" s="1">
        <v>4.3455399550671099E-6</v>
      </c>
      <c r="F35361" s="1">
        <v>3.7804351141537199E-6</v>
      </c>
    </row>
    <row r="35362" spans="1:6" x14ac:dyDescent="0.25">
      <c r="A35362" s="2" t="str">
        <f t="shared" si="1214"/>
        <v>99999</v>
      </c>
      <c r="B35362" s="2" t="str">
        <f>"58254"</f>
        <v>58254</v>
      </c>
      <c r="C35362" s="1">
        <v>4.1799915265132602E-5</v>
      </c>
      <c r="D35362" s="1">
        <v>2.1246437427724101E-5</v>
      </c>
      <c r="E35362" s="1">
        <v>3.9109859595604001E-5</v>
      </c>
      <c r="F35362" s="1">
        <v>4.0390964640694998E-5</v>
      </c>
    </row>
    <row r="35363" spans="1:6" x14ac:dyDescent="0.25">
      <c r="A35363" s="2" t="str">
        <f t="shared" si="1214"/>
        <v>99999</v>
      </c>
      <c r="B35363" s="2" t="str">
        <f>"58346"</f>
        <v>58346</v>
      </c>
      <c r="C35363" s="1">
        <v>2.0736250392624501E-5</v>
      </c>
      <c r="D35363" s="1">
        <v>9.1056160404532095E-6</v>
      </c>
      <c r="E35363" s="1">
        <v>1.3036619865201299E-5</v>
      </c>
      <c r="F35363" s="1">
        <v>1.9797541782015501E-5</v>
      </c>
    </row>
    <row r="35364" spans="1:6" x14ac:dyDescent="0.25">
      <c r="A35364" s="2" t="str">
        <f t="shared" si="1214"/>
        <v>99999</v>
      </c>
      <c r="B35364" s="2" t="str">
        <f>"58341"</f>
        <v>58341</v>
      </c>
      <c r="C35364" s="1">
        <v>1.6327068730192699E-4</v>
      </c>
      <c r="D35364" s="1">
        <v>2.5343964645928101E-4</v>
      </c>
      <c r="E35364" s="1">
        <v>3.0853333680976502E-4</v>
      </c>
      <c r="F35364" s="1">
        <v>1.72507223366909E-4</v>
      </c>
    </row>
    <row r="35365" spans="1:6" x14ac:dyDescent="0.25">
      <c r="A35365" s="2" t="str">
        <f t="shared" si="1214"/>
        <v>99999</v>
      </c>
      <c r="B35365" s="2" t="str">
        <f>"58325"</f>
        <v>58325</v>
      </c>
      <c r="C35365" s="1">
        <v>3.7106974386801701E-6</v>
      </c>
      <c r="D35365" s="1">
        <v>9.1056160404532095E-6</v>
      </c>
      <c r="E35365" s="1">
        <v>0</v>
      </c>
      <c r="F35365" s="1">
        <v>3.9794053833197E-6</v>
      </c>
    </row>
    <row r="35366" spans="1:6" x14ac:dyDescent="0.25">
      <c r="A35366" s="2" t="str">
        <f t="shared" si="1214"/>
        <v>99999</v>
      </c>
      <c r="B35366" s="2" t="str">
        <f>"58318"</f>
        <v>58318</v>
      </c>
      <c r="C35366" s="1">
        <v>2.8867043309732502E-4</v>
      </c>
      <c r="D35366" s="1">
        <v>4.5831600736947797E-4</v>
      </c>
      <c r="E35366" s="1">
        <v>5.2581033456312095E-4</v>
      </c>
      <c r="F35366" s="1">
        <v>3.0522039290062098E-4</v>
      </c>
    </row>
    <row r="35367" spans="1:6" x14ac:dyDescent="0.25">
      <c r="A35367" s="2" t="str">
        <f t="shared" si="1214"/>
        <v>99999</v>
      </c>
      <c r="B35367" s="2" t="str">
        <f>"58261"</f>
        <v>58261</v>
      </c>
      <c r="C35367" s="1">
        <v>4.4419231104200897E-5</v>
      </c>
      <c r="D35367" s="1">
        <v>1.66936294074975E-5</v>
      </c>
      <c r="E35367" s="1">
        <v>3.47643196405369E-5</v>
      </c>
      <c r="F35367" s="1">
        <v>4.2380667332354799E-5</v>
      </c>
    </row>
    <row r="35368" spans="1:6" x14ac:dyDescent="0.25">
      <c r="A35368" s="2" t="str">
        <f t="shared" si="1214"/>
        <v>99999</v>
      </c>
      <c r="B35368" s="2" t="str">
        <f>"58229"</f>
        <v>58229</v>
      </c>
      <c r="C35368" s="1">
        <v>6.5482895976709E-6</v>
      </c>
      <c r="D35368" s="1">
        <v>0</v>
      </c>
      <c r="E35368" s="1">
        <v>4.3455399550671099E-6</v>
      </c>
      <c r="F35368" s="1">
        <v>6.0685932095625502E-6</v>
      </c>
    </row>
    <row r="35369" spans="1:6" x14ac:dyDescent="0.25">
      <c r="A35369" s="2" t="str">
        <f t="shared" si="1214"/>
        <v>99999</v>
      </c>
      <c r="B35369" s="2" t="str">
        <f>"58223"</f>
        <v>58223</v>
      </c>
      <c r="C35369" s="1">
        <v>2.0736250392624501E-5</v>
      </c>
      <c r="D35369" s="1">
        <v>4.5528080202265997E-6</v>
      </c>
      <c r="E35369" s="1">
        <v>4.3455399550671099E-6</v>
      </c>
      <c r="F35369" s="1">
        <v>1.9300116109100499E-5</v>
      </c>
    </row>
    <row r="35370" spans="1:6" x14ac:dyDescent="0.25">
      <c r="A35370" s="2" t="str">
        <f t="shared" si="1214"/>
        <v>99999</v>
      </c>
      <c r="B35370" s="2" t="str">
        <f>"57641"</f>
        <v>57641</v>
      </c>
      <c r="C35370" s="1">
        <v>6.2208751177873496E-6</v>
      </c>
      <c r="D35370" s="1">
        <v>0</v>
      </c>
      <c r="E35370" s="1">
        <v>1.3036619865201299E-5</v>
      </c>
      <c r="F35370" s="1">
        <v>5.96910807497955E-6</v>
      </c>
    </row>
    <row r="35371" spans="1:6" x14ac:dyDescent="0.25">
      <c r="A35371" s="2" t="str">
        <f t="shared" si="1214"/>
        <v>99999</v>
      </c>
      <c r="B35371" s="2" t="str">
        <f>"57650"</f>
        <v>57650</v>
      </c>
      <c r="C35371" s="1">
        <v>3.7106974386801701E-6</v>
      </c>
      <c r="D35371" s="1">
        <v>0</v>
      </c>
      <c r="E35371" s="1">
        <v>4.3455399550671099E-6</v>
      </c>
      <c r="F35371" s="1">
        <v>3.48197971040474E-6</v>
      </c>
    </row>
    <row r="35372" spans="1:6" x14ac:dyDescent="0.25">
      <c r="A35372" s="2" t="str">
        <f t="shared" si="1214"/>
        <v>99999</v>
      </c>
      <c r="B35372" s="2" t="str">
        <f>"57621"</f>
        <v>57621</v>
      </c>
      <c r="C35372" s="1">
        <v>1.09138159961181E-7</v>
      </c>
      <c r="D35372" s="1">
        <v>0</v>
      </c>
      <c r="E35372" s="1">
        <v>8.69107991013423E-6</v>
      </c>
      <c r="F35372" s="1">
        <v>2.9845540374897701E-7</v>
      </c>
    </row>
    <row r="35373" spans="1:6" x14ac:dyDescent="0.25">
      <c r="A35373" s="2" t="str">
        <f t="shared" si="1214"/>
        <v>99999</v>
      </c>
      <c r="B35373" s="2" t="str">
        <f>"57633"</f>
        <v>57633</v>
      </c>
      <c r="C35373" s="1">
        <v>2.41195333514211E-5</v>
      </c>
      <c r="D35373" s="1">
        <v>3.0352053468177301E-6</v>
      </c>
      <c r="E35373" s="1">
        <v>1.3036619865201299E-5</v>
      </c>
      <c r="F35373" s="1">
        <v>2.2483640415756299E-5</v>
      </c>
    </row>
    <row r="35374" spans="1:6" x14ac:dyDescent="0.25">
      <c r="A35374" s="2" t="str">
        <f t="shared" si="1214"/>
        <v>99999</v>
      </c>
      <c r="B35374" s="2" t="str">
        <f>"57631"</f>
        <v>57631</v>
      </c>
      <c r="C35374" s="1">
        <v>1.82260727135173E-5</v>
      </c>
      <c r="D35374" s="1">
        <v>9.1056160404532095E-6</v>
      </c>
      <c r="E35374" s="1">
        <v>1.7382159820268399E-5</v>
      </c>
      <c r="F35374" s="1">
        <v>1.7608868821189599E-5</v>
      </c>
    </row>
    <row r="35375" spans="1:6" x14ac:dyDescent="0.25">
      <c r="A35375" s="2" t="str">
        <f t="shared" si="1214"/>
        <v>99999</v>
      </c>
      <c r="B35375" s="2" t="str">
        <f>"57601"</f>
        <v>57601</v>
      </c>
      <c r="C35375" s="1">
        <v>2.3104548463782101E-4</v>
      </c>
      <c r="D35375" s="1">
        <v>4.4010477528857198E-4</v>
      </c>
      <c r="E35375" s="1">
        <v>4.0848075577630798E-4</v>
      </c>
      <c r="F35375" s="1">
        <v>2.4881232159206402E-4</v>
      </c>
    </row>
    <row r="35376" spans="1:6" x14ac:dyDescent="0.25">
      <c r="A35376" s="2" t="str">
        <f t="shared" si="1214"/>
        <v>99999</v>
      </c>
      <c r="B35376" s="2" t="str">
        <f>"57435"</f>
        <v>57435</v>
      </c>
      <c r="C35376" s="1">
        <v>1.09138159961181E-5</v>
      </c>
      <c r="D35376" s="1">
        <v>1.51760267340886E-6</v>
      </c>
      <c r="E35376" s="1">
        <v>1.3036619865201299E-5</v>
      </c>
      <c r="F35376" s="1">
        <v>1.03464539966312E-5</v>
      </c>
    </row>
    <row r="35377" spans="1:6" x14ac:dyDescent="0.25">
      <c r="A35377" s="2" t="str">
        <f t="shared" si="1214"/>
        <v>99999</v>
      </c>
      <c r="B35377" s="2" t="str">
        <f>"57467"</f>
        <v>57467</v>
      </c>
      <c r="C35377" s="1">
        <v>1.4842789754720701E-5</v>
      </c>
      <c r="D35377" s="1">
        <v>6.0704106936354696E-6</v>
      </c>
      <c r="E35377" s="1">
        <v>1.3036619865201299E-5</v>
      </c>
      <c r="F35377" s="1">
        <v>1.42263742453679E-5</v>
      </c>
    </row>
    <row r="35378" spans="1:6" x14ac:dyDescent="0.25">
      <c r="A35378" s="2" t="str">
        <f t="shared" si="1214"/>
        <v>99999</v>
      </c>
      <c r="B35378" s="2" t="str">
        <f>"57461"</f>
        <v>57461</v>
      </c>
      <c r="C35378" s="1">
        <v>2.16093556723139E-5</v>
      </c>
      <c r="D35378" s="1">
        <v>6.0704106936354696E-6</v>
      </c>
      <c r="E35378" s="1">
        <v>4.3455399550671099E-6</v>
      </c>
      <c r="F35378" s="1">
        <v>2.0195482320347499E-5</v>
      </c>
    </row>
    <row r="35379" spans="1:6" x14ac:dyDescent="0.25">
      <c r="A35379" s="2" t="str">
        <f t="shared" si="1214"/>
        <v>99999</v>
      </c>
      <c r="B35379" s="2" t="str">
        <f>"57442"</f>
        <v>57442</v>
      </c>
      <c r="C35379" s="1">
        <v>1.22234739156523E-4</v>
      </c>
      <c r="D35379" s="1">
        <v>2.0032355288997E-4</v>
      </c>
      <c r="E35379" s="1">
        <v>1.82512678112818E-4</v>
      </c>
      <c r="F35379" s="1">
        <v>1.2873376415039201E-4</v>
      </c>
    </row>
    <row r="35380" spans="1:6" x14ac:dyDescent="0.25">
      <c r="A35380" s="2" t="str">
        <f t="shared" si="1214"/>
        <v>99999</v>
      </c>
      <c r="B35380" s="2" t="str">
        <f>"57438"</f>
        <v>57438</v>
      </c>
      <c r="C35380" s="1">
        <v>4.6820270623346902E-5</v>
      </c>
      <c r="D35380" s="1">
        <v>5.7668901589537E-5</v>
      </c>
      <c r="E35380" s="1">
        <v>7.8219719191208097E-5</v>
      </c>
      <c r="F35380" s="1">
        <v>4.8250290272751399E-5</v>
      </c>
    </row>
    <row r="35381" spans="1:6" x14ac:dyDescent="0.25">
      <c r="A35381" s="2" t="str">
        <f t="shared" si="1214"/>
        <v>99999</v>
      </c>
      <c r="B35381" s="2" t="str">
        <f>"57436"</f>
        <v>57436</v>
      </c>
      <c r="C35381" s="1">
        <v>2.19367701521975E-5</v>
      </c>
      <c r="D35381" s="1">
        <v>1.5176026734088599E-5</v>
      </c>
      <c r="E35381" s="1">
        <v>3.0418779685469802E-5</v>
      </c>
      <c r="F35381" s="1">
        <v>2.16877593390923E-5</v>
      </c>
    </row>
    <row r="35382" spans="1:6" x14ac:dyDescent="0.25">
      <c r="A35382" s="2" t="str">
        <f t="shared" si="1214"/>
        <v>99999</v>
      </c>
      <c r="B35382" s="2" t="str">
        <f>"57430"</f>
        <v>57430</v>
      </c>
      <c r="C35382" s="1">
        <v>9.0693810927741997E-5</v>
      </c>
      <c r="D35382" s="1">
        <v>4.5528080202266E-5</v>
      </c>
      <c r="E35382" s="1">
        <v>8.2565259146275205E-5</v>
      </c>
      <c r="F35382" s="1">
        <v>8.7546918433033502E-5</v>
      </c>
    </row>
    <row r="35383" spans="1:6" x14ac:dyDescent="0.25">
      <c r="A35383" s="2" t="str">
        <f t="shared" si="1214"/>
        <v>99999</v>
      </c>
      <c r="B35383" s="2" t="str">
        <f>"57580"</f>
        <v>57580</v>
      </c>
      <c r="C35383" s="1">
        <v>2.6804332086466202E-4</v>
      </c>
      <c r="D35383" s="1">
        <v>4.9777367687810898E-4</v>
      </c>
      <c r="E35383" s="1">
        <v>5.8230235397899296E-4</v>
      </c>
      <c r="F35383" s="1">
        <v>2.90297622713172E-4</v>
      </c>
    </row>
    <row r="35384" spans="1:6" x14ac:dyDescent="0.25">
      <c r="A35384" s="2" t="str">
        <f t="shared" si="1214"/>
        <v>99999</v>
      </c>
      <c r="B35384" s="2" t="str">
        <f>"57773"</f>
        <v>57773</v>
      </c>
      <c r="C35384" s="1">
        <v>0</v>
      </c>
      <c r="D35384" s="1">
        <v>0</v>
      </c>
      <c r="E35384" s="1">
        <v>4.3455399550671099E-6</v>
      </c>
      <c r="F35384" s="1">
        <v>9.9485134582992598E-8</v>
      </c>
    </row>
    <row r="35385" spans="1:6" x14ac:dyDescent="0.25">
      <c r="A35385" s="2" t="str">
        <f t="shared" si="1214"/>
        <v>99999</v>
      </c>
      <c r="B35385" s="2" t="str">
        <f>"58027"</f>
        <v>58027</v>
      </c>
      <c r="C35385" s="1">
        <v>6.8647902615583305E-5</v>
      </c>
      <c r="D35385" s="1">
        <v>1.2899622723975301E-4</v>
      </c>
      <c r="E35385" s="1">
        <v>1.56439438382416E-4</v>
      </c>
      <c r="F35385" s="1">
        <v>7.46138509372444E-5</v>
      </c>
    </row>
    <row r="35386" spans="1:6" x14ac:dyDescent="0.25">
      <c r="A35386" s="2" t="str">
        <f t="shared" si="1214"/>
        <v>99999</v>
      </c>
      <c r="B35386" s="2" t="str">
        <f>"58062"</f>
        <v>58062</v>
      </c>
      <c r="C35386" s="1">
        <v>1.06955396761958E-5</v>
      </c>
      <c r="D35386" s="1">
        <v>0</v>
      </c>
      <c r="E35386" s="1">
        <v>4.3455399550671099E-6</v>
      </c>
      <c r="F35386" s="1">
        <v>9.8490283237162701E-6</v>
      </c>
    </row>
    <row r="35387" spans="1:6" x14ac:dyDescent="0.25">
      <c r="A35387" s="2" t="str">
        <f t="shared" si="1214"/>
        <v>99999</v>
      </c>
      <c r="B35387" s="2" t="str">
        <f>"58072"</f>
        <v>58072</v>
      </c>
      <c r="C35387" s="1">
        <v>5.2342661517382704E-4</v>
      </c>
      <c r="D35387" s="1">
        <v>8.0129421155988303E-4</v>
      </c>
      <c r="E35387" s="1">
        <v>1.1689502479130501E-3</v>
      </c>
      <c r="F35387" s="1">
        <v>5.5642035772267696E-4</v>
      </c>
    </row>
    <row r="35388" spans="1:6" x14ac:dyDescent="0.25">
      <c r="A35388" s="2" t="str">
        <f t="shared" si="1214"/>
        <v>99999</v>
      </c>
      <c r="B35388" s="2" t="str">
        <f>"58065"</f>
        <v>58065</v>
      </c>
      <c r="C35388" s="1">
        <v>1.4187960794953601E-6</v>
      </c>
      <c r="D35388" s="1">
        <v>1.51760267340886E-6</v>
      </c>
      <c r="E35388" s="1">
        <v>0</v>
      </c>
      <c r="F35388" s="1">
        <v>1.39279188416189E-6</v>
      </c>
    </row>
    <row r="35389" spans="1:6" x14ac:dyDescent="0.25">
      <c r="A35389" s="2" t="str">
        <f t="shared" si="1214"/>
        <v>99999</v>
      </c>
      <c r="B35389" s="2" t="str">
        <f>"57358"</f>
        <v>57358</v>
      </c>
      <c r="C35389" s="1">
        <v>0</v>
      </c>
      <c r="D35389" s="1">
        <v>0</v>
      </c>
      <c r="E35389" s="1">
        <v>4.3455399550671099E-6</v>
      </c>
      <c r="F35389" s="1">
        <v>9.9485134582992598E-8</v>
      </c>
    </row>
    <row r="35390" spans="1:6" x14ac:dyDescent="0.25">
      <c r="A35390" s="2" t="str">
        <f t="shared" si="1214"/>
        <v>99999</v>
      </c>
      <c r="B35390" s="2" t="str">
        <f>"57364"</f>
        <v>57364</v>
      </c>
      <c r="C35390" s="1">
        <v>4.3655263984472599E-6</v>
      </c>
      <c r="D35390" s="1">
        <v>0</v>
      </c>
      <c r="E35390" s="1">
        <v>4.3455399550671099E-6</v>
      </c>
      <c r="F35390" s="1">
        <v>4.07889051790269E-6</v>
      </c>
    </row>
    <row r="35391" spans="1:6" x14ac:dyDescent="0.25">
      <c r="A35391" s="2" t="str">
        <f t="shared" si="1214"/>
        <v>99999</v>
      </c>
      <c r="B35391" s="2" t="str">
        <f>"57383"</f>
        <v>57383</v>
      </c>
      <c r="C35391" s="1">
        <v>3.5797316467267603E-5</v>
      </c>
      <c r="D35391" s="1">
        <v>1.9728834754315301E-5</v>
      </c>
      <c r="E35391" s="1">
        <v>2.1727699775335501E-5</v>
      </c>
      <c r="F35391" s="1">
        <v>3.4421856565715399E-5</v>
      </c>
    </row>
    <row r="35392" spans="1:6" x14ac:dyDescent="0.25">
      <c r="A35392" s="2" t="str">
        <f t="shared" si="1214"/>
        <v>99999</v>
      </c>
      <c r="B35392" s="2" t="str">
        <f>"57366"</f>
        <v>57366</v>
      </c>
      <c r="C35392" s="1">
        <v>1.03899528283045E-4</v>
      </c>
      <c r="D35392" s="1">
        <v>6.0704106936354703E-5</v>
      </c>
      <c r="E35392" s="1">
        <v>1.73821598202684E-4</v>
      </c>
      <c r="F35392" s="1">
        <v>1.02668658889648E-4</v>
      </c>
    </row>
    <row r="35393" spans="1:6" x14ac:dyDescent="0.25">
      <c r="A35393" s="2" t="str">
        <f t="shared" si="1214"/>
        <v>99999</v>
      </c>
      <c r="B35393" s="2" t="str">
        <f>"57359"</f>
        <v>57359</v>
      </c>
      <c r="C35393" s="1">
        <v>2.8703336069790699E-5</v>
      </c>
      <c r="D35393" s="1">
        <v>9.1056160404532095E-6</v>
      </c>
      <c r="E35393" s="1">
        <v>1.7382159820268399E-5</v>
      </c>
      <c r="F35393" s="1">
        <v>2.71594417411569E-5</v>
      </c>
    </row>
    <row r="35394" spans="1:6" x14ac:dyDescent="0.25">
      <c r="A35394" s="2" t="str">
        <f t="shared" si="1214"/>
        <v>99999</v>
      </c>
      <c r="B35394" s="2" t="str">
        <f>"57750"</f>
        <v>57750</v>
      </c>
      <c r="C35394" s="1">
        <v>1.1132092316040499E-5</v>
      </c>
      <c r="D35394" s="1">
        <v>1.51760267340886E-6</v>
      </c>
      <c r="E35394" s="1">
        <v>4.3455399550671099E-6</v>
      </c>
      <c r="F35394" s="1">
        <v>1.03464539966312E-5</v>
      </c>
    </row>
    <row r="35395" spans="1:6" x14ac:dyDescent="0.25">
      <c r="A35395" s="2" t="str">
        <f t="shared" si="1214"/>
        <v>99999</v>
      </c>
      <c r="B35395" s="2" t="str">
        <f>"57747"</f>
        <v>57747</v>
      </c>
      <c r="C35395" s="1">
        <v>3.8842271130184498E-4</v>
      </c>
      <c r="D35395" s="1">
        <v>5.5088977044741902E-4</v>
      </c>
      <c r="E35395" s="1">
        <v>6.5617653321513401E-4</v>
      </c>
      <c r="F35395" s="1">
        <v>4.0520295315652898E-4</v>
      </c>
    </row>
    <row r="35396" spans="1:6" x14ac:dyDescent="0.25">
      <c r="A35396" s="2" t="str">
        <f t="shared" si="1214"/>
        <v>99999</v>
      </c>
      <c r="B35396" s="2" t="str">
        <f>"57335"</f>
        <v>57335</v>
      </c>
      <c r="C35396" s="1">
        <v>1.22234739156523E-5</v>
      </c>
      <c r="D35396" s="1">
        <v>2.2764040101133E-5</v>
      </c>
      <c r="E35396" s="1">
        <v>4.3455399550671099E-6</v>
      </c>
      <c r="F35396" s="1">
        <v>1.2734097226623E-5</v>
      </c>
    </row>
    <row r="35397" spans="1:6" x14ac:dyDescent="0.25">
      <c r="A35397" s="2" t="str">
        <f t="shared" si="1214"/>
        <v>99999</v>
      </c>
      <c r="B35397" s="2" t="str">
        <f>"57278"</f>
        <v>57278</v>
      </c>
      <c r="C35397" s="1">
        <v>2.7721092630140101E-5</v>
      </c>
      <c r="D35397" s="1">
        <v>1.66936294074975E-5</v>
      </c>
      <c r="E35397" s="1">
        <v>3.0418779685469802E-5</v>
      </c>
      <c r="F35397" s="1">
        <v>2.7059956606573898E-5</v>
      </c>
    </row>
    <row r="35398" spans="1:6" x14ac:dyDescent="0.25">
      <c r="A35398" s="2" t="str">
        <f t="shared" si="1214"/>
        <v>99999</v>
      </c>
      <c r="B35398" s="2" t="str">
        <f>"57330"</f>
        <v>57330</v>
      </c>
      <c r="C35398" s="1">
        <v>1.5606756874448901E-5</v>
      </c>
      <c r="D35398" s="1">
        <v>7.5880133670443404E-6</v>
      </c>
      <c r="E35398" s="1">
        <v>4.3455399550671099E-6</v>
      </c>
      <c r="F35398" s="1">
        <v>1.4823285052865899E-5</v>
      </c>
    </row>
    <row r="35399" spans="1:6" x14ac:dyDescent="0.25">
      <c r="A35399" s="2" t="str">
        <f t="shared" si="1214"/>
        <v>99999</v>
      </c>
      <c r="B35399" s="2" t="str">
        <f>"57319"</f>
        <v>57319</v>
      </c>
      <c r="C35399" s="1">
        <v>6.4391514377097196E-6</v>
      </c>
      <c r="D35399" s="1">
        <v>1.51760267340886E-6</v>
      </c>
      <c r="E35399" s="1">
        <v>0</v>
      </c>
      <c r="F35399" s="1">
        <v>5.96910807497955E-6</v>
      </c>
    </row>
    <row r="35400" spans="1:6" x14ac:dyDescent="0.25">
      <c r="A35400" s="2" t="str">
        <f t="shared" si="1214"/>
        <v>99999</v>
      </c>
      <c r="B35400" s="2" t="str">
        <f>"57317"</f>
        <v>57317</v>
      </c>
      <c r="C35400" s="1">
        <v>2.4774362311188199E-5</v>
      </c>
      <c r="D35400" s="1">
        <v>4.0975272182039399E-5</v>
      </c>
      <c r="E35400" s="1">
        <v>2.1727699775335501E-5</v>
      </c>
      <c r="F35400" s="1">
        <v>2.5766649856994999E-5</v>
      </c>
    </row>
    <row r="35401" spans="1:6" x14ac:dyDescent="0.25">
      <c r="A35401" s="2" t="str">
        <f t="shared" si="1214"/>
        <v>99999</v>
      </c>
      <c r="B35401" s="2" t="str">
        <f>"56760"</f>
        <v>56760</v>
      </c>
      <c r="C35401" s="1">
        <v>1.9099177993206801E-5</v>
      </c>
      <c r="D35401" s="1">
        <v>3.0352053468177301E-6</v>
      </c>
      <c r="E35401" s="1">
        <v>1.3036619865201299E-5</v>
      </c>
      <c r="F35401" s="1">
        <v>1.7907324224938601E-5</v>
      </c>
    </row>
    <row r="35402" spans="1:6" x14ac:dyDescent="0.25">
      <c r="A35402" s="2" t="str">
        <f t="shared" si="1214"/>
        <v>99999</v>
      </c>
      <c r="B35402" s="2" t="str">
        <f>"56724"</f>
        <v>56724</v>
      </c>
      <c r="C35402" s="1">
        <v>1.1350368635962901E-5</v>
      </c>
      <c r="D35402" s="1">
        <v>3.0352053468177301E-6</v>
      </c>
      <c r="E35402" s="1">
        <v>4.3455399550671099E-6</v>
      </c>
      <c r="F35402" s="1">
        <v>1.0644909400380201E-5</v>
      </c>
    </row>
    <row r="35403" spans="1:6" x14ac:dyDescent="0.25">
      <c r="A35403" s="2" t="str">
        <f t="shared" si="1214"/>
        <v>99999</v>
      </c>
      <c r="B35403" s="2" t="str">
        <f>"56740"</f>
        <v>56740</v>
      </c>
      <c r="C35403" s="1">
        <v>6.5482895976708995E-7</v>
      </c>
      <c r="D35403" s="1">
        <v>1.0623218713862E-5</v>
      </c>
      <c r="E35403" s="1">
        <v>1.3036619865201299E-5</v>
      </c>
      <c r="F35403" s="1">
        <v>1.5917621533278801E-6</v>
      </c>
    </row>
    <row r="35404" spans="1:6" x14ac:dyDescent="0.25">
      <c r="A35404" s="2" t="str">
        <f t="shared" si="1214"/>
        <v>99999</v>
      </c>
      <c r="B35404" s="2" t="str">
        <f>"56744"</f>
        <v>56744</v>
      </c>
      <c r="C35404" s="1">
        <v>2.4010395191459901E-5</v>
      </c>
      <c r="D35404" s="1">
        <v>1.3658424060679801E-5</v>
      </c>
      <c r="E35404" s="1">
        <v>4.3455399550671099E-6</v>
      </c>
      <c r="F35404" s="1">
        <v>2.28815809540883E-5</v>
      </c>
    </row>
    <row r="35405" spans="1:6" x14ac:dyDescent="0.25">
      <c r="A35405" s="2" t="str">
        <f t="shared" si="1214"/>
        <v>99999</v>
      </c>
      <c r="B35405" s="2" t="str">
        <f>"56726"</f>
        <v>56726</v>
      </c>
      <c r="C35405" s="1">
        <v>7.6833264612671904E-5</v>
      </c>
      <c r="D35405" s="1">
        <v>2.88344507947685E-5</v>
      </c>
      <c r="E35405" s="1">
        <v>3.0418779685469802E-5</v>
      </c>
      <c r="F35405" s="1">
        <v>7.2624148245584605E-5</v>
      </c>
    </row>
    <row r="35406" spans="1:6" x14ac:dyDescent="0.25">
      <c r="A35406" s="2" t="str">
        <f t="shared" si="1214"/>
        <v>99999</v>
      </c>
      <c r="B35406" s="2" t="str">
        <f>"56725"</f>
        <v>56725</v>
      </c>
      <c r="C35406" s="1">
        <v>5.0858382541910597E-5</v>
      </c>
      <c r="D35406" s="1">
        <v>3.0352053468177301E-6</v>
      </c>
      <c r="E35406" s="1">
        <v>4.3455399550671099E-6</v>
      </c>
      <c r="F35406" s="1">
        <v>4.6658528119423498E-5</v>
      </c>
    </row>
    <row r="35407" spans="1:6" x14ac:dyDescent="0.25">
      <c r="A35407" s="2" t="str">
        <f t="shared" si="1214"/>
        <v>99999</v>
      </c>
      <c r="B35407" s="2" t="str">
        <f>"56660"</f>
        <v>56660</v>
      </c>
      <c r="C35407" s="1">
        <v>1.5279342394565399E-5</v>
      </c>
      <c r="D35407" s="1">
        <v>4.5528080202265997E-6</v>
      </c>
      <c r="E35407" s="1">
        <v>4.3455399550671099E-6</v>
      </c>
      <c r="F35407" s="1">
        <v>1.43258593799509E-5</v>
      </c>
    </row>
    <row r="35408" spans="1:6" x14ac:dyDescent="0.25">
      <c r="A35408" s="2" t="str">
        <f t="shared" si="1214"/>
        <v>99999</v>
      </c>
      <c r="B35408" s="2" t="str">
        <f>"56710"</f>
        <v>56710</v>
      </c>
      <c r="C35408" s="1">
        <v>1.7789520073672599E-5</v>
      </c>
      <c r="D35408" s="1">
        <v>0</v>
      </c>
      <c r="E35408" s="1">
        <v>2.60732397304027E-5</v>
      </c>
      <c r="F35408" s="1">
        <v>1.6812987744525699E-5</v>
      </c>
    </row>
    <row r="35409" spans="1:6" x14ac:dyDescent="0.25">
      <c r="A35409" s="2" t="str">
        <f t="shared" si="1214"/>
        <v>99999</v>
      </c>
      <c r="B35409" s="2" t="str">
        <f>"56652"</f>
        <v>56652</v>
      </c>
      <c r="C35409" s="1">
        <v>2.9576441349480199E-5</v>
      </c>
      <c r="D35409" s="1">
        <v>3.0352053468177301E-6</v>
      </c>
      <c r="E35409" s="1">
        <v>0</v>
      </c>
      <c r="F35409" s="1">
        <v>2.71594417411569E-5</v>
      </c>
    </row>
    <row r="35410" spans="1:6" x14ac:dyDescent="0.25">
      <c r="A35410" s="2" t="str">
        <f t="shared" ref="A35410:A35473" si="1215">"99999"</f>
        <v>99999</v>
      </c>
      <c r="B35410" s="2" t="str">
        <f>"56634"</f>
        <v>56634</v>
      </c>
      <c r="C35410" s="1">
        <v>7.3013429014030505E-5</v>
      </c>
      <c r="D35410" s="1">
        <v>3.7940066835221703E-5</v>
      </c>
      <c r="E35410" s="1">
        <v>3.47643196405369E-5</v>
      </c>
      <c r="F35410" s="1">
        <v>6.9838564477260796E-5</v>
      </c>
    </row>
    <row r="35411" spans="1:6" x14ac:dyDescent="0.25">
      <c r="A35411" s="2" t="str">
        <f t="shared" si="1215"/>
        <v>99999</v>
      </c>
      <c r="B35411" s="2" t="str">
        <f>"57234"</f>
        <v>57234</v>
      </c>
      <c r="C35411" s="1">
        <v>7.8579475172050803E-6</v>
      </c>
      <c r="D35411" s="1">
        <v>3.0352053468177301E-6</v>
      </c>
      <c r="E35411" s="1">
        <v>0</v>
      </c>
      <c r="F35411" s="1">
        <v>7.3618999591414504E-6</v>
      </c>
    </row>
    <row r="35412" spans="1:6" x14ac:dyDescent="0.25">
      <c r="A35412" s="2" t="str">
        <f t="shared" si="1215"/>
        <v>99999</v>
      </c>
      <c r="B35412" s="2" t="str">
        <f>"56578"</f>
        <v>56578</v>
      </c>
      <c r="C35412" s="1">
        <v>6.1335645898184094E-5</v>
      </c>
      <c r="D35412" s="1">
        <v>3.0352053468177301E-6</v>
      </c>
      <c r="E35412" s="1">
        <v>4.3455399550671099E-6</v>
      </c>
      <c r="F35412" s="1">
        <v>5.6209101039390799E-5</v>
      </c>
    </row>
    <row r="35413" spans="1:6" x14ac:dyDescent="0.25">
      <c r="A35413" s="2" t="str">
        <f t="shared" si="1215"/>
        <v>99999</v>
      </c>
      <c r="B35413" s="2" t="str">
        <f>"56621"</f>
        <v>56621</v>
      </c>
      <c r="C35413" s="1">
        <v>2.15547865923333E-4</v>
      </c>
      <c r="D35413" s="1">
        <v>1.88182731502699E-4</v>
      </c>
      <c r="E35413" s="1">
        <v>1.6513051829255E-4</v>
      </c>
      <c r="F35413" s="1">
        <v>2.12599732603855E-4</v>
      </c>
    </row>
    <row r="35414" spans="1:6" x14ac:dyDescent="0.25">
      <c r="A35414" s="2" t="str">
        <f t="shared" si="1215"/>
        <v>99999</v>
      </c>
      <c r="B35414" s="2" t="str">
        <f>"56601"</f>
        <v>56601</v>
      </c>
      <c r="C35414" s="1">
        <v>1.06300567802191E-4</v>
      </c>
      <c r="D35414" s="1">
        <v>4.5528080202266E-5</v>
      </c>
      <c r="E35414" s="1">
        <v>3.0418779685469802E-5</v>
      </c>
      <c r="F35414" s="1">
        <v>1.00579471063405E-4</v>
      </c>
    </row>
    <row r="35415" spans="1:6" x14ac:dyDescent="0.25">
      <c r="A35415" s="2" t="str">
        <f t="shared" si="1215"/>
        <v>99999</v>
      </c>
      <c r="B35415" s="2" t="str">
        <f>"56584"</f>
        <v>56584</v>
      </c>
      <c r="C35415" s="1">
        <v>7.7924646212283697E-5</v>
      </c>
      <c r="D35415" s="1">
        <v>1.0623218713862E-5</v>
      </c>
      <c r="E35415" s="1">
        <v>6.0837559370939603E-5</v>
      </c>
      <c r="F35415" s="1">
        <v>7.3121573918499496E-5</v>
      </c>
    </row>
    <row r="35416" spans="1:6" x14ac:dyDescent="0.25">
      <c r="A35416" s="2" t="str">
        <f t="shared" si="1215"/>
        <v>99999</v>
      </c>
      <c r="B35416" s="2" t="str">
        <f>"57043"</f>
        <v>57043</v>
      </c>
      <c r="C35416" s="1">
        <v>1.0913815996118101E-6</v>
      </c>
      <c r="D35416" s="1">
        <v>0</v>
      </c>
      <c r="E35416" s="1">
        <v>0</v>
      </c>
      <c r="F35416" s="1">
        <v>9.9485134582992606E-7</v>
      </c>
    </row>
    <row r="35417" spans="1:6" x14ac:dyDescent="0.25">
      <c r="A35417" s="2" t="str">
        <f t="shared" si="1215"/>
        <v>99999</v>
      </c>
      <c r="B35417" s="2" t="str">
        <f>"57057"</f>
        <v>57057</v>
      </c>
      <c r="C35417" s="1">
        <v>7.8579475172050803E-6</v>
      </c>
      <c r="D35417" s="1">
        <v>6.0704106936354696E-6</v>
      </c>
      <c r="E35417" s="1">
        <v>8.69107991013423E-6</v>
      </c>
      <c r="F35417" s="1">
        <v>7.7598404974734199E-6</v>
      </c>
    </row>
    <row r="35418" spans="1:6" x14ac:dyDescent="0.25">
      <c r="A35418" s="2" t="str">
        <f t="shared" si="1215"/>
        <v>99999</v>
      </c>
      <c r="B35418" s="2" t="str">
        <f>"57024"</f>
        <v>57024</v>
      </c>
      <c r="C35418" s="1">
        <v>2.2045908312158699E-5</v>
      </c>
      <c r="D35418" s="1">
        <v>2.4281642774541899E-5</v>
      </c>
      <c r="E35418" s="1">
        <v>4.7800939505738197E-5</v>
      </c>
      <c r="F35418" s="1">
        <v>2.2782095819505301E-5</v>
      </c>
    </row>
    <row r="35419" spans="1:6" x14ac:dyDescent="0.25">
      <c r="A35419" s="2" t="str">
        <f t="shared" si="1215"/>
        <v>99999</v>
      </c>
      <c r="B35419" s="2" t="str">
        <f>"56541"</f>
        <v>56541</v>
      </c>
      <c r="C35419" s="1">
        <v>1.09138159961181E-7</v>
      </c>
      <c r="D35419" s="1">
        <v>0</v>
      </c>
      <c r="E35419" s="1">
        <v>4.3455399550671099E-6</v>
      </c>
      <c r="F35419" s="1">
        <v>1.9897026916598501E-7</v>
      </c>
    </row>
    <row r="35420" spans="1:6" x14ac:dyDescent="0.25">
      <c r="A35420" s="2" t="str">
        <f t="shared" si="1215"/>
        <v>99999</v>
      </c>
      <c r="B35420" s="2" t="str">
        <f>"56549"</f>
        <v>56549</v>
      </c>
      <c r="C35420" s="1">
        <v>1.09138159961181E-7</v>
      </c>
      <c r="D35420" s="1">
        <v>0</v>
      </c>
      <c r="E35420" s="1">
        <v>0</v>
      </c>
      <c r="F35420" s="1">
        <v>9.9485134582992598E-8</v>
      </c>
    </row>
    <row r="35421" spans="1:6" x14ac:dyDescent="0.25">
      <c r="A35421" s="2" t="str">
        <f t="shared" si="1215"/>
        <v>99999</v>
      </c>
      <c r="B35421" s="2" t="str">
        <f>"56554"</f>
        <v>56554</v>
      </c>
      <c r="C35421" s="1">
        <v>1.5639498322437301E-4</v>
      </c>
      <c r="D35421" s="1">
        <v>5.4633696242719298E-5</v>
      </c>
      <c r="E35421" s="1">
        <v>1.0429295892161E-4</v>
      </c>
      <c r="F35421" s="1">
        <v>1.4853130593240799E-4</v>
      </c>
    </row>
    <row r="35422" spans="1:6" x14ac:dyDescent="0.25">
      <c r="A35422" s="2" t="str">
        <f t="shared" si="1215"/>
        <v>99999</v>
      </c>
      <c r="B35422" s="2" t="str">
        <f>"56350"</f>
        <v>56350</v>
      </c>
      <c r="C35422" s="1">
        <v>4.0162842865714797E-5</v>
      </c>
      <c r="D35422" s="1">
        <v>2.2764040101133E-5</v>
      </c>
      <c r="E35422" s="1">
        <v>4.3455399550671099E-6</v>
      </c>
      <c r="F35422" s="1">
        <v>3.8202291679869098E-5</v>
      </c>
    </row>
    <row r="35423" spans="1:6" x14ac:dyDescent="0.25">
      <c r="A35423" s="2" t="str">
        <f t="shared" si="1215"/>
        <v>99999</v>
      </c>
      <c r="B35423" s="2" t="str">
        <f>"56340"</f>
        <v>56340</v>
      </c>
      <c r="C35423" s="1">
        <v>1.9863145112935E-5</v>
      </c>
      <c r="D35423" s="1">
        <v>4.5528080202265997E-6</v>
      </c>
      <c r="E35423" s="1">
        <v>0</v>
      </c>
      <c r="F35423" s="1">
        <v>1.84047498978536E-5</v>
      </c>
    </row>
    <row r="35424" spans="1:6" x14ac:dyDescent="0.25">
      <c r="A35424" s="2" t="str">
        <f t="shared" si="1215"/>
        <v>99999</v>
      </c>
      <c r="B35424" s="2" t="str">
        <f>"56308"</f>
        <v>56308</v>
      </c>
      <c r="C35424" s="1">
        <v>3.6015592787189902E-6</v>
      </c>
      <c r="D35424" s="1">
        <v>0</v>
      </c>
      <c r="E35424" s="1">
        <v>0</v>
      </c>
      <c r="F35424" s="1">
        <v>3.2830094412387502E-6</v>
      </c>
    </row>
    <row r="35425" spans="1:6" x14ac:dyDescent="0.25">
      <c r="A35425" s="2" t="str">
        <f t="shared" si="1215"/>
        <v>99999</v>
      </c>
      <c r="B35425" s="2" t="str">
        <f>"56338"</f>
        <v>56338</v>
      </c>
      <c r="C35425" s="1">
        <v>8.8183633248634796E-5</v>
      </c>
      <c r="D35425" s="1">
        <v>2.1246437427724101E-5</v>
      </c>
      <c r="E35425" s="1">
        <v>0</v>
      </c>
      <c r="F35425" s="1">
        <v>8.1776780627219899E-5</v>
      </c>
    </row>
    <row r="35426" spans="1:6" x14ac:dyDescent="0.25">
      <c r="A35426" s="2" t="str">
        <f t="shared" si="1215"/>
        <v>99999</v>
      </c>
      <c r="B35426" s="2" t="str">
        <f>"56519"</f>
        <v>56519</v>
      </c>
      <c r="C35426" s="1">
        <v>7.9670856771662607E-6</v>
      </c>
      <c r="D35426" s="1">
        <v>4.5528080202265997E-6</v>
      </c>
      <c r="E35426" s="1">
        <v>4.3455399550671099E-6</v>
      </c>
      <c r="F35426" s="1">
        <v>7.6603553628904299E-6</v>
      </c>
    </row>
    <row r="35427" spans="1:6" x14ac:dyDescent="0.25">
      <c r="A35427" s="2" t="str">
        <f t="shared" si="1215"/>
        <v>99999</v>
      </c>
      <c r="B35427" s="2" t="str">
        <f>"56479"</f>
        <v>56479</v>
      </c>
      <c r="C35427" s="1">
        <v>2.8954353837701502E-4</v>
      </c>
      <c r="D35427" s="1">
        <v>2.8986211062109399E-4</v>
      </c>
      <c r="E35427" s="1">
        <v>4.4759061537191297E-4</v>
      </c>
      <c r="F35427" s="1">
        <v>2.9318269161607898E-4</v>
      </c>
    </row>
    <row r="35428" spans="1:6" x14ac:dyDescent="0.25">
      <c r="A35428" s="2" t="str">
        <f t="shared" si="1215"/>
        <v>99999</v>
      </c>
      <c r="B35428" s="2" t="str">
        <f>"56443"</f>
        <v>56443</v>
      </c>
      <c r="C35428" s="1">
        <v>1.12303166600056E-4</v>
      </c>
      <c r="D35428" s="1">
        <v>4.4010477528857203E-5</v>
      </c>
      <c r="E35428" s="1">
        <v>1.3036619865201299E-5</v>
      </c>
      <c r="F35428" s="1">
        <v>1.0555372779255501E-4</v>
      </c>
    </row>
    <row r="35429" spans="1:6" x14ac:dyDescent="0.25">
      <c r="A35429" s="2" t="str">
        <f t="shared" si="1215"/>
        <v>99999</v>
      </c>
      <c r="B35429" s="2" t="str">
        <f>"56440"</f>
        <v>56440</v>
      </c>
      <c r="C35429" s="1">
        <v>6.7993073655816199E-5</v>
      </c>
      <c r="D35429" s="1">
        <v>1.0623218713862E-5</v>
      </c>
      <c r="E35429" s="1">
        <v>8.69107991013423E-5</v>
      </c>
      <c r="F35429" s="1">
        <v>6.4665337478945199E-5</v>
      </c>
    </row>
    <row r="35430" spans="1:6" x14ac:dyDescent="0.25">
      <c r="A35430" s="2" t="str">
        <f t="shared" si="1215"/>
        <v>99999</v>
      </c>
      <c r="B35430" s="2" t="str">
        <f>"56437"</f>
        <v>56437</v>
      </c>
      <c r="C35430" s="1">
        <v>5.4241665500707301E-5</v>
      </c>
      <c r="D35430" s="1">
        <v>3.1869656141586203E-5</v>
      </c>
      <c r="E35430" s="1">
        <v>6.5183099326006705E-5</v>
      </c>
      <c r="F35430" s="1">
        <v>5.3025576732735003E-5</v>
      </c>
    </row>
    <row r="35431" spans="1:6" x14ac:dyDescent="0.25">
      <c r="A35431" s="2" t="str">
        <f t="shared" si="1215"/>
        <v>99999</v>
      </c>
      <c r="B35431" s="2" t="str">
        <f>"56431"</f>
        <v>56431</v>
      </c>
      <c r="C35431" s="1">
        <v>6.2416113681799804E-4</v>
      </c>
      <c r="D35431" s="1">
        <v>4.9018566351106399E-4</v>
      </c>
      <c r="E35431" s="1">
        <v>6.0837559370939597E-4</v>
      </c>
      <c r="F35431" s="1">
        <v>6.1501710199206002E-4</v>
      </c>
    </row>
    <row r="35432" spans="1:6" x14ac:dyDescent="0.25">
      <c r="A35432" s="2" t="str">
        <f t="shared" si="1215"/>
        <v>99999</v>
      </c>
      <c r="B35432" s="2" t="str">
        <f>"56453"</f>
        <v>56453</v>
      </c>
      <c r="C35432" s="1">
        <v>2.2700737271925801E-5</v>
      </c>
      <c r="D35432" s="1">
        <v>0</v>
      </c>
      <c r="E35432" s="1">
        <v>8.69107991013423E-6</v>
      </c>
      <c r="F35432" s="1">
        <v>2.08918782624284E-5</v>
      </c>
    </row>
    <row r="35433" spans="1:6" x14ac:dyDescent="0.25">
      <c r="A35433" s="2" t="str">
        <f t="shared" si="1215"/>
        <v>99999</v>
      </c>
      <c r="B35433" s="2" t="str">
        <f>"56477"</f>
        <v>56477</v>
      </c>
      <c r="C35433" s="1">
        <v>1.16996107478386E-4</v>
      </c>
      <c r="D35433" s="1">
        <v>6.37393122831725E-5</v>
      </c>
      <c r="E35433" s="1">
        <v>5.6492019415872502E-5</v>
      </c>
      <c r="F35433" s="1">
        <v>1.12119746675032E-4</v>
      </c>
    </row>
    <row r="35434" spans="1:6" x14ac:dyDescent="0.25">
      <c r="A35434" s="2" t="str">
        <f t="shared" si="1215"/>
        <v>99999</v>
      </c>
      <c r="B35434" s="2" t="str">
        <f>"56297"</f>
        <v>56297</v>
      </c>
      <c r="C35434" s="1">
        <v>3.1213513748897903E-5</v>
      </c>
      <c r="D35434" s="1">
        <v>3.0352053468177301E-5</v>
      </c>
      <c r="E35434" s="1">
        <v>8.69107991013423E-6</v>
      </c>
      <c r="F35434" s="1">
        <v>3.0641421451561699E-5</v>
      </c>
    </row>
    <row r="35435" spans="1:6" x14ac:dyDescent="0.25">
      <c r="A35435" s="2" t="str">
        <f t="shared" si="1215"/>
        <v>99999</v>
      </c>
      <c r="B35435" s="2" t="str">
        <f>"56293"</f>
        <v>56293</v>
      </c>
      <c r="C35435" s="1">
        <v>5.5005632620435501E-5</v>
      </c>
      <c r="D35435" s="1">
        <v>3.0352053468177301E-5</v>
      </c>
      <c r="E35435" s="1">
        <v>4.3455399550671103E-5</v>
      </c>
      <c r="F35435" s="1">
        <v>5.3125061867318001E-5</v>
      </c>
    </row>
    <row r="35436" spans="1:6" x14ac:dyDescent="0.25">
      <c r="A35436" s="2" t="str">
        <f t="shared" si="1215"/>
        <v>99999</v>
      </c>
      <c r="B35436" s="2" t="str">
        <f>"56384"</f>
        <v>56384</v>
      </c>
      <c r="C35436" s="1">
        <v>1.386054631507E-5</v>
      </c>
      <c r="D35436" s="1">
        <v>2.7316848121359601E-5</v>
      </c>
      <c r="E35436" s="1">
        <v>3.0418779685469802E-5</v>
      </c>
      <c r="F35436" s="1">
        <v>1.51217404566148E-5</v>
      </c>
    </row>
    <row r="35437" spans="1:6" x14ac:dyDescent="0.25">
      <c r="A35437" s="2" t="str">
        <f t="shared" si="1215"/>
        <v>99999</v>
      </c>
      <c r="B35437" s="2" t="str">
        <f>"56237"</f>
        <v>56237</v>
      </c>
      <c r="C35437" s="1">
        <v>3.00129939893249E-5</v>
      </c>
      <c r="D35437" s="1">
        <v>1.9728834754315301E-5</v>
      </c>
      <c r="E35437" s="1">
        <v>1.3036619865201299E-5</v>
      </c>
      <c r="F35437" s="1">
        <v>2.8950174163650799E-5</v>
      </c>
    </row>
    <row r="35438" spans="1:6" x14ac:dyDescent="0.25">
      <c r="A35438" s="2" t="str">
        <f t="shared" si="1215"/>
        <v>99999</v>
      </c>
      <c r="B35438" s="2" t="str">
        <f>"56270"</f>
        <v>56270</v>
      </c>
      <c r="C35438" s="1">
        <v>3.7761803346568799E-5</v>
      </c>
      <c r="D35438" s="1">
        <v>2.2764040101133E-5</v>
      </c>
      <c r="E35438" s="1">
        <v>1.7382159820268399E-5</v>
      </c>
      <c r="F35438" s="1">
        <v>3.6312074122792303E-5</v>
      </c>
    </row>
    <row r="35439" spans="1:6" x14ac:dyDescent="0.25">
      <c r="A35439" s="2" t="str">
        <f t="shared" si="1215"/>
        <v>99999</v>
      </c>
      <c r="B35439" s="2" t="str">
        <f>"56265"</f>
        <v>56265</v>
      </c>
      <c r="C35439" s="1">
        <v>4.3393332400565798E-4</v>
      </c>
      <c r="D35439" s="1">
        <v>7.6183654205125198E-4</v>
      </c>
      <c r="E35439" s="1">
        <v>9.3429109033943002E-4</v>
      </c>
      <c r="F35439" s="1">
        <v>4.6688373659798402E-4</v>
      </c>
    </row>
    <row r="35440" spans="1:6" x14ac:dyDescent="0.25">
      <c r="A35440" s="2" t="str">
        <f t="shared" si="1215"/>
        <v>99999</v>
      </c>
      <c r="B35440" s="2" t="str">
        <f>"56257"</f>
        <v>56257</v>
      </c>
      <c r="C35440" s="1">
        <v>3.00129939893249E-5</v>
      </c>
      <c r="D35440" s="1">
        <v>1.5176026734088599E-5</v>
      </c>
      <c r="E35440" s="1">
        <v>0</v>
      </c>
      <c r="F35440" s="1">
        <v>2.8353263356152899E-5</v>
      </c>
    </row>
    <row r="35441" spans="1:6" x14ac:dyDescent="0.25">
      <c r="A35441" s="2" t="str">
        <f t="shared" si="1215"/>
        <v>99999</v>
      </c>
      <c r="B35441" s="2" t="str">
        <f>"56256"</f>
        <v>56256</v>
      </c>
      <c r="C35441" s="1">
        <v>1.5093807522631401E-4</v>
      </c>
      <c r="D35441" s="1">
        <v>2.7620368656041397E-4</v>
      </c>
      <c r="E35441" s="1">
        <v>2.2596807766349001E-4</v>
      </c>
      <c r="F35441" s="1">
        <v>1.6086746262069899E-4</v>
      </c>
    </row>
    <row r="35442" spans="1:6" x14ac:dyDescent="0.25">
      <c r="A35442" s="2" t="str">
        <f t="shared" si="1215"/>
        <v>99999</v>
      </c>
      <c r="B35442" s="2" t="str">
        <f>"56243"</f>
        <v>56243</v>
      </c>
      <c r="C35442" s="1">
        <v>7.9343442291779104E-5</v>
      </c>
      <c r="D35442" s="1">
        <v>2.1246437427724101E-5</v>
      </c>
      <c r="E35442" s="1">
        <v>3.0418779685469802E-5</v>
      </c>
      <c r="F35442" s="1">
        <v>7.4414880668078402E-5</v>
      </c>
    </row>
    <row r="35443" spans="1:6" x14ac:dyDescent="0.25">
      <c r="A35443" s="2" t="str">
        <f t="shared" si="1215"/>
        <v>99999</v>
      </c>
      <c r="B35443" s="2" t="str">
        <f>"56009"</f>
        <v>56009</v>
      </c>
      <c r="C35443" s="1">
        <v>6.5482895976708995E-7</v>
      </c>
      <c r="D35443" s="1">
        <v>0</v>
      </c>
      <c r="E35443" s="1">
        <v>0</v>
      </c>
      <c r="F35443" s="1">
        <v>5.9691080749795498E-7</v>
      </c>
    </row>
    <row r="35444" spans="1:6" x14ac:dyDescent="0.25">
      <c r="A35444" s="2" t="str">
        <f t="shared" si="1215"/>
        <v>99999</v>
      </c>
      <c r="B35444" s="2" t="str">
        <f>"56186"</f>
        <v>56186</v>
      </c>
      <c r="C35444" s="1">
        <v>1.9863145112935E-5</v>
      </c>
      <c r="D35444" s="1">
        <v>6.0704106936354696E-6</v>
      </c>
      <c r="E35444" s="1">
        <v>8.69107991013423E-6</v>
      </c>
      <c r="F35444" s="1">
        <v>1.8703205301602599E-5</v>
      </c>
    </row>
    <row r="35445" spans="1:6" x14ac:dyDescent="0.25">
      <c r="A35445" s="2" t="str">
        <f t="shared" si="1215"/>
        <v>99999</v>
      </c>
      <c r="B35445" s="2" t="str">
        <f>"56230"</f>
        <v>56230</v>
      </c>
      <c r="C35445" s="1">
        <v>1.8444349033439702E-5</v>
      </c>
      <c r="D35445" s="1">
        <v>1.0623218713862E-5</v>
      </c>
      <c r="E35445" s="1">
        <v>4.3455399550671099E-6</v>
      </c>
      <c r="F35445" s="1">
        <v>1.7608868821189599E-5</v>
      </c>
    </row>
    <row r="35446" spans="1:6" x14ac:dyDescent="0.25">
      <c r="A35446" s="2" t="str">
        <f t="shared" si="1215"/>
        <v>99999</v>
      </c>
      <c r="B35446" s="2" t="str">
        <f>"56235"</f>
        <v>56235</v>
      </c>
      <c r="C35446" s="1">
        <v>2.13910793523916E-5</v>
      </c>
      <c r="D35446" s="1">
        <v>1.51760267340886E-6</v>
      </c>
      <c r="E35446" s="1">
        <v>0</v>
      </c>
      <c r="F35446" s="1">
        <v>1.9598571512849501E-5</v>
      </c>
    </row>
    <row r="35447" spans="1:6" x14ac:dyDescent="0.25">
      <c r="A35447" s="2" t="str">
        <f t="shared" si="1215"/>
        <v>99999</v>
      </c>
      <c r="B35447" s="2" t="str">
        <f>"56098"</f>
        <v>56098</v>
      </c>
      <c r="C35447" s="1">
        <v>1.25508883955359E-4</v>
      </c>
      <c r="D35447" s="1">
        <v>3.0352053468177301E-5</v>
      </c>
      <c r="E35447" s="1">
        <v>1.12984038831745E-4</v>
      </c>
      <c r="F35447" s="1">
        <v>1.18984220961259E-4</v>
      </c>
    </row>
    <row r="35448" spans="1:6" x14ac:dyDescent="0.25">
      <c r="A35448" s="2" t="str">
        <f t="shared" si="1215"/>
        <v>99999</v>
      </c>
      <c r="B35448" s="2" t="str">
        <f>"56088"</f>
        <v>56088</v>
      </c>
      <c r="C35448" s="1">
        <v>1.03681251963122E-5</v>
      </c>
      <c r="D35448" s="1">
        <v>0</v>
      </c>
      <c r="E35448" s="1">
        <v>0</v>
      </c>
      <c r="F35448" s="1">
        <v>9.4510877853842998E-6</v>
      </c>
    </row>
    <row r="35449" spans="1:6" x14ac:dyDescent="0.25">
      <c r="A35449" s="2" t="str">
        <f t="shared" si="1215"/>
        <v>99999</v>
      </c>
      <c r="B35449" s="2" t="str">
        <f>"56152"</f>
        <v>56152</v>
      </c>
      <c r="C35449" s="1">
        <v>8.0871376531235599E-5</v>
      </c>
      <c r="D35449" s="1">
        <v>6.5256914956581297E-5</v>
      </c>
      <c r="E35449" s="1">
        <v>4.7800939505738197E-5</v>
      </c>
      <c r="F35449" s="1">
        <v>7.9090681993479095E-5</v>
      </c>
    </row>
    <row r="35450" spans="1:6" x14ac:dyDescent="0.25">
      <c r="A35450" s="2" t="str">
        <f t="shared" si="1215"/>
        <v>99999</v>
      </c>
      <c r="B35450" s="2" t="str">
        <f>"56136"</f>
        <v>56136</v>
      </c>
      <c r="C35450" s="1">
        <v>8.6437422689255897E-5</v>
      </c>
      <c r="D35450" s="1">
        <v>2.2764040101133E-5</v>
      </c>
      <c r="E35450" s="1">
        <v>6.0837559370939603E-5</v>
      </c>
      <c r="F35450" s="1">
        <v>8.1677295492636894E-5</v>
      </c>
    </row>
    <row r="35451" spans="1:6" x14ac:dyDescent="0.25">
      <c r="A35451" s="2" t="str">
        <f t="shared" si="1215"/>
        <v>99999</v>
      </c>
      <c r="B35451" s="2" t="str">
        <f>"56125"</f>
        <v>56125</v>
      </c>
      <c r="C35451" s="1">
        <v>4.0381119185637197E-6</v>
      </c>
      <c r="D35451" s="1">
        <v>1.0623218713862E-5</v>
      </c>
      <c r="E35451" s="1">
        <v>4.3455399550671099E-6</v>
      </c>
      <c r="F35451" s="1">
        <v>4.4768310562346604E-6</v>
      </c>
    </row>
    <row r="35452" spans="1:6" x14ac:dyDescent="0.25">
      <c r="A35452" s="2" t="str">
        <f t="shared" si="1215"/>
        <v>99999</v>
      </c>
      <c r="B35452" s="2" t="str">
        <f>"56118"</f>
        <v>56118</v>
      </c>
      <c r="C35452" s="1">
        <v>2.3355566231692799E-5</v>
      </c>
      <c r="D35452" s="1">
        <v>1.9728834754315301E-5</v>
      </c>
      <c r="E35452" s="1">
        <v>4.3455399550671099E-6</v>
      </c>
      <c r="F35452" s="1">
        <v>2.2682610684922299E-5</v>
      </c>
    </row>
    <row r="35453" spans="1:6" x14ac:dyDescent="0.25">
      <c r="A35453" s="2" t="str">
        <f t="shared" si="1215"/>
        <v>99999</v>
      </c>
      <c r="B35453" s="2" t="str">
        <f>"56041"</f>
        <v>56041</v>
      </c>
      <c r="C35453" s="1">
        <v>2.1827631992236301E-7</v>
      </c>
      <c r="D35453" s="1">
        <v>0</v>
      </c>
      <c r="E35453" s="1">
        <v>0</v>
      </c>
      <c r="F35453" s="1">
        <v>1.9897026916598501E-7</v>
      </c>
    </row>
    <row r="35454" spans="1:6" x14ac:dyDescent="0.25">
      <c r="A35454" s="2" t="str">
        <f t="shared" si="1215"/>
        <v>99999</v>
      </c>
      <c r="B35454" s="2" t="str">
        <f>"56062"</f>
        <v>56062</v>
      </c>
      <c r="C35454" s="1">
        <v>1.5508532530483901E-4</v>
      </c>
      <c r="D35454" s="1">
        <v>1.8970033417610801E-4</v>
      </c>
      <c r="E35454" s="1">
        <v>2.6073239730402698E-4</v>
      </c>
      <c r="F35454" s="1">
        <v>1.59773126140286E-4</v>
      </c>
    </row>
    <row r="35455" spans="1:6" x14ac:dyDescent="0.25">
      <c r="A35455" s="2" t="str">
        <f t="shared" si="1215"/>
        <v>99999</v>
      </c>
      <c r="B35455" s="2" t="str">
        <f>"56058"</f>
        <v>56058</v>
      </c>
      <c r="C35455" s="1">
        <v>2.58657439108E-5</v>
      </c>
      <c r="D35455" s="1">
        <v>1.51760267340886E-6</v>
      </c>
      <c r="E35455" s="1">
        <v>1.7382159820268399E-5</v>
      </c>
      <c r="F35455" s="1">
        <v>2.40754025690842E-5</v>
      </c>
    </row>
    <row r="35456" spans="1:6" x14ac:dyDescent="0.25">
      <c r="A35456" s="2" t="str">
        <f t="shared" si="1215"/>
        <v>99999</v>
      </c>
      <c r="B35456" s="2" t="str">
        <f>"55787"</f>
        <v>55787</v>
      </c>
      <c r="C35456" s="1">
        <v>3.0122132149286099E-5</v>
      </c>
      <c r="D35456" s="1">
        <v>1.51760267340886E-6</v>
      </c>
      <c r="E35456" s="1">
        <v>0</v>
      </c>
      <c r="F35456" s="1">
        <v>2.7557382279488901E-5</v>
      </c>
    </row>
    <row r="35457" spans="1:6" x14ac:dyDescent="0.25">
      <c r="A35457" s="2" t="str">
        <f t="shared" si="1215"/>
        <v>99999</v>
      </c>
      <c r="B35457" s="2" t="str">
        <f>"55760"</f>
        <v>55760</v>
      </c>
      <c r="C35457" s="1">
        <v>2.3464704391653999E-4</v>
      </c>
      <c r="D35457" s="1">
        <v>1.18373008525891E-4</v>
      </c>
      <c r="E35457" s="1">
        <v>1.12984038831745E-4</v>
      </c>
      <c r="F35457" s="1">
        <v>2.24239493350065E-4</v>
      </c>
    </row>
    <row r="35458" spans="1:6" x14ac:dyDescent="0.25">
      <c r="A35458" s="2" t="str">
        <f t="shared" si="1215"/>
        <v>99999</v>
      </c>
      <c r="B35458" s="2" t="str">
        <f>"55366"</f>
        <v>55366</v>
      </c>
      <c r="C35458" s="1">
        <v>5.3477698380979E-6</v>
      </c>
      <c r="D35458" s="1">
        <v>0</v>
      </c>
      <c r="E35458" s="1">
        <v>4.3455399550671099E-6</v>
      </c>
      <c r="F35458" s="1">
        <v>4.9742567291496301E-6</v>
      </c>
    </row>
    <row r="35459" spans="1:6" x14ac:dyDescent="0.25">
      <c r="A35459" s="2" t="str">
        <f t="shared" si="1215"/>
        <v>99999</v>
      </c>
      <c r="B35459" s="2" t="str">
        <f>"55355"</f>
        <v>55355</v>
      </c>
      <c r="C35459" s="1">
        <v>4.9319534486458002E-4</v>
      </c>
      <c r="D35459" s="1">
        <v>6.2980510946468004E-4</v>
      </c>
      <c r="E35459" s="1">
        <v>7.3005071245127505E-4</v>
      </c>
      <c r="F35459" s="1">
        <v>5.0757315664242797E-4</v>
      </c>
    </row>
    <row r="35460" spans="1:6" x14ac:dyDescent="0.25">
      <c r="A35460" s="2" t="str">
        <f t="shared" si="1215"/>
        <v>99999</v>
      </c>
      <c r="B35460" s="2" t="str">
        <f>"55333"</f>
        <v>55333</v>
      </c>
      <c r="C35460" s="1">
        <v>3.4924211187578099E-5</v>
      </c>
      <c r="D35460" s="1">
        <v>3.1869656141586203E-5</v>
      </c>
      <c r="E35460" s="1">
        <v>2.1727699775335501E-5</v>
      </c>
      <c r="F35460" s="1">
        <v>3.4421856565715399E-5</v>
      </c>
    </row>
    <row r="35461" spans="1:6" x14ac:dyDescent="0.25">
      <c r="A35461" s="2" t="str">
        <f t="shared" si="1215"/>
        <v>99999</v>
      </c>
      <c r="B35461" s="2" t="str">
        <f>"54981"</f>
        <v>54981</v>
      </c>
      <c r="C35461" s="1">
        <v>8.6306456897302503E-4</v>
      </c>
      <c r="D35461" s="1">
        <v>9.8795934038917394E-4</v>
      </c>
      <c r="E35461" s="1">
        <v>1.35580846598094E-3</v>
      </c>
      <c r="F35461" s="1">
        <v>8.8253262888572702E-4</v>
      </c>
    </row>
    <row r="35462" spans="1:6" x14ac:dyDescent="0.25">
      <c r="A35462" s="2" t="str">
        <f t="shared" si="1215"/>
        <v>99999</v>
      </c>
      <c r="B35462" s="2" t="str">
        <f>"54970"</f>
        <v>54970</v>
      </c>
      <c r="C35462" s="1">
        <v>1.7462105593789E-4</v>
      </c>
      <c r="D35462" s="1">
        <v>8.4985749710896595E-5</v>
      </c>
      <c r="E35462" s="1">
        <v>9.5601879011476503E-5</v>
      </c>
      <c r="F35462" s="1">
        <v>1.66936055830261E-4</v>
      </c>
    </row>
    <row r="35463" spans="1:6" x14ac:dyDescent="0.25">
      <c r="A35463" s="2" t="str">
        <f t="shared" si="1215"/>
        <v>99999</v>
      </c>
      <c r="B35463" s="2" t="str">
        <f>"54844"</f>
        <v>54844</v>
      </c>
      <c r="C35463" s="1">
        <v>2.30281517518093E-5</v>
      </c>
      <c r="D35463" s="1">
        <v>6.0704106936354696E-6</v>
      </c>
      <c r="E35463" s="1">
        <v>4.3455399550671099E-6</v>
      </c>
      <c r="F35463" s="1">
        <v>2.1488789069926402E-5</v>
      </c>
    </row>
    <row r="35464" spans="1:6" x14ac:dyDescent="0.25">
      <c r="A35464" s="2" t="str">
        <f t="shared" si="1215"/>
        <v>99999</v>
      </c>
      <c r="B35464" s="2" t="str">
        <f>"54847"</f>
        <v>54847</v>
      </c>
      <c r="C35464" s="1">
        <v>1.73857088818162E-4</v>
      </c>
      <c r="D35464" s="1">
        <v>7.7397736343852298E-5</v>
      </c>
      <c r="E35464" s="1">
        <v>9.1256339056409395E-5</v>
      </c>
      <c r="F35464" s="1">
        <v>1.65642749080682E-4</v>
      </c>
    </row>
    <row r="35465" spans="1:6" x14ac:dyDescent="0.25">
      <c r="A35465" s="2" t="str">
        <f t="shared" si="1215"/>
        <v>99999</v>
      </c>
      <c r="B35465" s="2" t="str">
        <f>"54841"</f>
        <v>54841</v>
      </c>
      <c r="C35465" s="1">
        <v>5.8934606379038102E-6</v>
      </c>
      <c r="D35465" s="1">
        <v>3.0352053468177301E-6</v>
      </c>
      <c r="E35465" s="1">
        <v>4.3455399550671099E-6</v>
      </c>
      <c r="F35465" s="1">
        <v>5.6706526712305799E-6</v>
      </c>
    </row>
    <row r="35466" spans="1:6" x14ac:dyDescent="0.25">
      <c r="A35466" s="2" t="str">
        <f t="shared" si="1215"/>
        <v>99999</v>
      </c>
      <c r="B35466" s="2" t="str">
        <f>"54837"</f>
        <v>54837</v>
      </c>
      <c r="C35466" s="1">
        <v>2.31263760957744E-4</v>
      </c>
      <c r="D35466" s="1">
        <v>9.8644173771576501E-5</v>
      </c>
      <c r="E35466" s="1">
        <v>1.47748358472281E-4</v>
      </c>
      <c r="F35466" s="1">
        <v>2.20658028505077E-4</v>
      </c>
    </row>
    <row r="35467" spans="1:6" x14ac:dyDescent="0.25">
      <c r="A35467" s="2" t="str">
        <f t="shared" si="1215"/>
        <v>99999</v>
      </c>
      <c r="B35467" s="2" t="str">
        <f>"54817"</f>
        <v>54817</v>
      </c>
      <c r="C35467" s="1">
        <v>1.8378866137463E-4</v>
      </c>
      <c r="D35467" s="1">
        <v>4.5528080202266E-5</v>
      </c>
      <c r="E35467" s="1">
        <v>3.0418779685469798E-4</v>
      </c>
      <c r="F35467" s="1">
        <v>1.7748148009605799E-4</v>
      </c>
    </row>
    <row r="35468" spans="1:6" x14ac:dyDescent="0.25">
      <c r="A35468" s="2" t="str">
        <f t="shared" si="1215"/>
        <v>99999</v>
      </c>
      <c r="B35468" s="2" t="str">
        <f>"54843"</f>
        <v>54843</v>
      </c>
      <c r="C35468" s="1">
        <v>8.4167348962063302E-4</v>
      </c>
      <c r="D35468" s="1">
        <v>8.7717434523032598E-4</v>
      </c>
      <c r="E35468" s="1">
        <v>7.99579351732349E-4</v>
      </c>
      <c r="F35468" s="1">
        <v>8.4303703045627903E-4</v>
      </c>
    </row>
    <row r="35469" spans="1:6" x14ac:dyDescent="0.25">
      <c r="A35469" s="2" t="str">
        <f t="shared" si="1215"/>
        <v>99999</v>
      </c>
      <c r="B35469" s="2" t="str">
        <f>"54962"</f>
        <v>54962</v>
      </c>
      <c r="C35469" s="1">
        <v>6.5810310456592504E-5</v>
      </c>
      <c r="D35469" s="1">
        <v>1.9728834754315301E-5</v>
      </c>
      <c r="E35469" s="1">
        <v>1.7382159820268399E-5</v>
      </c>
      <c r="F35469" s="1">
        <v>6.1680783441455406E-5</v>
      </c>
    </row>
    <row r="35470" spans="1:6" x14ac:dyDescent="0.25">
      <c r="A35470" s="2" t="str">
        <f t="shared" si="1215"/>
        <v>99999</v>
      </c>
      <c r="B35470" s="2" t="str">
        <f>"54756"</f>
        <v>54756</v>
      </c>
      <c r="C35470" s="1">
        <v>6.6465139416359596E-5</v>
      </c>
      <c r="D35470" s="1">
        <v>1.21408213872709E-5</v>
      </c>
      <c r="E35470" s="1">
        <v>3.9109859595604001E-5</v>
      </c>
      <c r="F35470" s="1">
        <v>6.2277694248953302E-5</v>
      </c>
    </row>
    <row r="35471" spans="1:6" x14ac:dyDescent="0.25">
      <c r="A35471" s="2" t="str">
        <f t="shared" si="1215"/>
        <v>99999</v>
      </c>
      <c r="B35471" s="2" t="str">
        <f>"54759"</f>
        <v>54759</v>
      </c>
      <c r="C35471" s="1">
        <v>8.7419666128906495E-5</v>
      </c>
      <c r="D35471" s="1">
        <v>2.88344507947685E-5</v>
      </c>
      <c r="E35471" s="1">
        <v>4.30208455551644E-4</v>
      </c>
      <c r="F35471" s="1">
        <v>9.1426838681770206E-5</v>
      </c>
    </row>
    <row r="35472" spans="1:6" x14ac:dyDescent="0.25">
      <c r="A35472" s="2" t="str">
        <f t="shared" si="1215"/>
        <v>99999</v>
      </c>
      <c r="B35472" s="2" t="str">
        <f>"54547"</f>
        <v>54547</v>
      </c>
      <c r="C35472" s="1">
        <v>2.2722564903917999E-4</v>
      </c>
      <c r="D35472" s="1">
        <v>1.8970033417610801E-4</v>
      </c>
      <c r="E35472" s="1">
        <v>1.2602065869694599E-4</v>
      </c>
      <c r="F35472" s="1">
        <v>2.2244876092757099E-4</v>
      </c>
    </row>
    <row r="35473" spans="1:6" x14ac:dyDescent="0.25">
      <c r="A35473" s="2" t="str">
        <f t="shared" si="1215"/>
        <v>99999</v>
      </c>
      <c r="B35473" s="2" t="str">
        <f>"54537"</f>
        <v>54537</v>
      </c>
      <c r="C35473" s="1">
        <v>2.9794717669402601E-5</v>
      </c>
      <c r="D35473" s="1">
        <v>9.1056160404532095E-6</v>
      </c>
      <c r="E35473" s="1">
        <v>4.3455399550671099E-6</v>
      </c>
      <c r="F35473" s="1">
        <v>2.78558376832379E-5</v>
      </c>
    </row>
    <row r="35474" spans="1:6" x14ac:dyDescent="0.25">
      <c r="A35474" s="2" t="str">
        <f t="shared" ref="A35474:A35537" si="1216">"99999"</f>
        <v>99999</v>
      </c>
      <c r="B35474" s="2" t="str">
        <f>"54530"</f>
        <v>54530</v>
      </c>
      <c r="C35474" s="1">
        <v>4.92213101424929E-5</v>
      </c>
      <c r="D35474" s="1">
        <v>6.0704106936354696E-6</v>
      </c>
      <c r="E35474" s="1">
        <v>8.69107991013423E-6</v>
      </c>
      <c r="F35474" s="1">
        <v>4.5464706504427597E-5</v>
      </c>
    </row>
    <row r="35475" spans="1:6" x14ac:dyDescent="0.25">
      <c r="A35475" s="2" t="str">
        <f t="shared" si="1216"/>
        <v>99999</v>
      </c>
      <c r="B35475" s="2" t="str">
        <f>"54521"</f>
        <v>54521</v>
      </c>
      <c r="C35475" s="1">
        <v>6.4860808464930304E-4</v>
      </c>
      <c r="D35475" s="1">
        <v>3.7181265498517299E-4</v>
      </c>
      <c r="E35475" s="1">
        <v>2.8680563703442901E-4</v>
      </c>
      <c r="F35475" s="1">
        <v>6.2218003168203499E-4</v>
      </c>
    </row>
    <row r="35476" spans="1:6" x14ac:dyDescent="0.25">
      <c r="A35476" s="2" t="str">
        <f t="shared" si="1216"/>
        <v>99999</v>
      </c>
      <c r="B35476" s="2" t="str">
        <f>"54501"</f>
        <v>54501</v>
      </c>
      <c r="C35476" s="1">
        <v>1.27997234002473E-3</v>
      </c>
      <c r="D35476" s="1">
        <v>1.8408520428449501E-3</v>
      </c>
      <c r="E35476" s="1">
        <v>1.22544226732892E-3</v>
      </c>
      <c r="F35476" s="1">
        <v>1.3154919345909101E-3</v>
      </c>
    </row>
    <row r="35477" spans="1:6" x14ac:dyDescent="0.25">
      <c r="A35477" s="2" t="str">
        <f t="shared" si="1216"/>
        <v>99999</v>
      </c>
      <c r="B35477" s="2" t="str">
        <f>"54634"</f>
        <v>54634</v>
      </c>
      <c r="C35477" s="1">
        <v>2.11073201364925E-4</v>
      </c>
      <c r="D35477" s="1">
        <v>8.1950544364078906E-5</v>
      </c>
      <c r="E35477" s="1">
        <v>2.3031361761855699E-4</v>
      </c>
      <c r="F35477" s="1">
        <v>2.03049159683887E-4</v>
      </c>
    </row>
    <row r="35478" spans="1:6" x14ac:dyDescent="0.25">
      <c r="A35478" s="2" t="str">
        <f t="shared" si="1216"/>
        <v>99999</v>
      </c>
      <c r="B35478" s="2" t="str">
        <f>"54628"</f>
        <v>54628</v>
      </c>
      <c r="C35478" s="1">
        <v>7.2576876374185804E-5</v>
      </c>
      <c r="D35478" s="1">
        <v>7.5880133670443404E-6</v>
      </c>
      <c r="E35478" s="1">
        <v>1.3036619865201299E-5</v>
      </c>
      <c r="F35478" s="1">
        <v>6.6953495574353995E-5</v>
      </c>
    </row>
    <row r="35479" spans="1:6" x14ac:dyDescent="0.25">
      <c r="A35479" s="2" t="str">
        <f t="shared" si="1216"/>
        <v>99999</v>
      </c>
      <c r="B35479" s="2" t="str">
        <f>"54662"</f>
        <v>54662</v>
      </c>
      <c r="C35479" s="1">
        <v>0</v>
      </c>
      <c r="D35479" s="1">
        <v>0</v>
      </c>
      <c r="E35479" s="1">
        <v>4.3455399550671099E-6</v>
      </c>
      <c r="F35479" s="1">
        <v>9.9485134582992598E-8</v>
      </c>
    </row>
    <row r="35480" spans="1:6" x14ac:dyDescent="0.25">
      <c r="A35480" s="2" t="str">
        <f t="shared" si="1216"/>
        <v>99999</v>
      </c>
      <c r="B35480" s="2" t="str">
        <f>"54664"</f>
        <v>54664</v>
      </c>
      <c r="C35480" s="1">
        <v>9.9424863724636506E-5</v>
      </c>
      <c r="D35480" s="1">
        <v>3.9457669508630602E-5</v>
      </c>
      <c r="E35480" s="1">
        <v>2.60732397304027E-5</v>
      </c>
      <c r="F35480" s="1">
        <v>9.3814481911761995E-5</v>
      </c>
    </row>
    <row r="35481" spans="1:6" x14ac:dyDescent="0.25">
      <c r="A35481" s="2" t="str">
        <f t="shared" si="1216"/>
        <v>99999</v>
      </c>
      <c r="B35481" s="2" t="str">
        <f>"54661"</f>
        <v>54661</v>
      </c>
      <c r="C35481" s="1">
        <v>1.95357306330515E-4</v>
      </c>
      <c r="D35481" s="1">
        <v>8.3468147037487798E-5</v>
      </c>
      <c r="E35481" s="1">
        <v>1.5209389842734899E-4</v>
      </c>
      <c r="F35481" s="1">
        <v>1.8703205301602601E-4</v>
      </c>
    </row>
    <row r="35482" spans="1:6" x14ac:dyDescent="0.25">
      <c r="A35482" s="2" t="str">
        <f t="shared" si="1216"/>
        <v>99999</v>
      </c>
      <c r="B35482" s="2" t="str">
        <f>"54557"</f>
        <v>54557</v>
      </c>
      <c r="C35482" s="1">
        <v>8.2726725250575694E-5</v>
      </c>
      <c r="D35482" s="1">
        <v>3.4904861488403899E-5</v>
      </c>
      <c r="E35482" s="1">
        <v>4.3455399550671099E-6</v>
      </c>
      <c r="F35482" s="1">
        <v>7.7797375243900203E-5</v>
      </c>
    </row>
    <row r="35483" spans="1:6" x14ac:dyDescent="0.25">
      <c r="A35483" s="2" t="str">
        <f t="shared" si="1216"/>
        <v>99999</v>
      </c>
      <c r="B35483" s="2" t="str">
        <f>"54611"</f>
        <v>54611</v>
      </c>
      <c r="C35483" s="1">
        <v>5.7515810299542702E-5</v>
      </c>
      <c r="D35483" s="1">
        <v>2.4281642774541899E-5</v>
      </c>
      <c r="E35483" s="1">
        <v>3.9109859595604001E-5</v>
      </c>
      <c r="F35483" s="1">
        <v>5.49157942898119E-5</v>
      </c>
    </row>
    <row r="35484" spans="1:6" x14ac:dyDescent="0.25">
      <c r="A35484" s="2" t="str">
        <f t="shared" si="1216"/>
        <v>99999</v>
      </c>
      <c r="B35484" s="2" t="str">
        <f>"54560"</f>
        <v>54560</v>
      </c>
      <c r="C35484" s="1">
        <v>4.6711132463385699E-5</v>
      </c>
      <c r="D35484" s="1">
        <v>7.1327325650216798E-5</v>
      </c>
      <c r="E35484" s="1">
        <v>2.1727699775335501E-5</v>
      </c>
      <c r="F35484" s="1">
        <v>4.77528645998364E-5</v>
      </c>
    </row>
    <row r="35485" spans="1:6" x14ac:dyDescent="0.25">
      <c r="A35485" s="2" t="str">
        <f t="shared" si="1216"/>
        <v>99999</v>
      </c>
      <c r="B35485" s="2" t="str">
        <f>"54466"</f>
        <v>54466</v>
      </c>
      <c r="C35485" s="1">
        <v>2.0408835912740901E-5</v>
      </c>
      <c r="D35485" s="1">
        <v>4.5528080202265997E-6</v>
      </c>
      <c r="E35485" s="1">
        <v>0</v>
      </c>
      <c r="F35485" s="1">
        <v>1.89021755707686E-5</v>
      </c>
    </row>
    <row r="35486" spans="1:6" x14ac:dyDescent="0.25">
      <c r="A35486" s="2" t="str">
        <f t="shared" si="1216"/>
        <v>99999</v>
      </c>
      <c r="B35486" s="2" t="str">
        <f>"54209"</f>
        <v>54209</v>
      </c>
      <c r="C35486" s="1">
        <v>1.3685925259132101E-4</v>
      </c>
      <c r="D35486" s="1">
        <v>1.00161776444985E-4</v>
      </c>
      <c r="E35486" s="1">
        <v>3.43297656450302E-4</v>
      </c>
      <c r="F35486" s="1">
        <v>1.3917970328160601E-4</v>
      </c>
    </row>
    <row r="35487" spans="1:6" x14ac:dyDescent="0.25">
      <c r="A35487" s="2" t="str">
        <f t="shared" si="1216"/>
        <v>99999</v>
      </c>
      <c r="B35487" s="2" t="str">
        <f>"54204"</f>
        <v>54204</v>
      </c>
      <c r="C35487" s="1">
        <v>9.6696409725606996E-5</v>
      </c>
      <c r="D35487" s="1">
        <v>4.8563285549083798E-5</v>
      </c>
      <c r="E35487" s="1">
        <v>2.1727699775335501E-5</v>
      </c>
      <c r="F35487" s="1">
        <v>9.18247792201022E-5</v>
      </c>
    </row>
    <row r="35488" spans="1:6" x14ac:dyDescent="0.25">
      <c r="A35488" s="2" t="str">
        <f t="shared" si="1216"/>
        <v>99999</v>
      </c>
      <c r="B35488" s="2" t="str">
        <f>"54447"</f>
        <v>54447</v>
      </c>
      <c r="C35488" s="1">
        <v>3.1650066388742699E-5</v>
      </c>
      <c r="D35488" s="1">
        <v>1.51760267340886E-6</v>
      </c>
      <c r="E35488" s="1">
        <v>1.3036619865201299E-5</v>
      </c>
      <c r="F35488" s="1">
        <v>2.9248629567399801E-5</v>
      </c>
    </row>
    <row r="35489" spans="1:6" x14ac:dyDescent="0.25">
      <c r="A35489" s="2" t="str">
        <f t="shared" si="1216"/>
        <v>99999</v>
      </c>
      <c r="B35489" s="2" t="str">
        <f>"54433"</f>
        <v>54433</v>
      </c>
      <c r="C35489" s="1">
        <v>8.5018626609760503E-5</v>
      </c>
      <c r="D35489" s="1">
        <v>2.2764040101133E-5</v>
      </c>
      <c r="E35489" s="1">
        <v>3.9109859595604001E-5</v>
      </c>
      <c r="F35489" s="1">
        <v>7.9886563070143002E-5</v>
      </c>
    </row>
    <row r="35490" spans="1:6" x14ac:dyDescent="0.25">
      <c r="A35490" s="2" t="str">
        <f t="shared" si="1216"/>
        <v>99999</v>
      </c>
      <c r="B35490" s="2" t="str">
        <f>"54420"</f>
        <v>54420</v>
      </c>
      <c r="C35490" s="1">
        <v>5.3041145741134299E-5</v>
      </c>
      <c r="D35490" s="1">
        <v>2.1246437427724101E-5</v>
      </c>
      <c r="E35490" s="1">
        <v>0</v>
      </c>
      <c r="F35490" s="1">
        <v>4.9742567291496302E-5</v>
      </c>
    </row>
    <row r="35491" spans="1:6" x14ac:dyDescent="0.25">
      <c r="A35491" s="2" t="str">
        <f t="shared" si="1216"/>
        <v>99999</v>
      </c>
      <c r="B35491" s="2" t="str">
        <f>"54246"</f>
        <v>54246</v>
      </c>
      <c r="C35491" s="1">
        <v>7.4650501413448304E-5</v>
      </c>
      <c r="D35491" s="1">
        <v>4.5528080202266E-5</v>
      </c>
      <c r="E35491" s="1">
        <v>3.47643196405369E-5</v>
      </c>
      <c r="F35491" s="1">
        <v>7.1828267168920604E-5</v>
      </c>
    </row>
    <row r="35492" spans="1:6" x14ac:dyDescent="0.25">
      <c r="A35492" s="2" t="str">
        <f t="shared" si="1216"/>
        <v>99999</v>
      </c>
      <c r="B35492" s="2" t="str">
        <f>"54235"</f>
        <v>54235</v>
      </c>
      <c r="C35492" s="1">
        <v>1.1636310615061099E-3</v>
      </c>
      <c r="D35492" s="1">
        <v>1.2914798750709401E-3</v>
      </c>
      <c r="E35492" s="1">
        <v>1.75994368180218E-3</v>
      </c>
      <c r="F35492" s="1">
        <v>1.1856638339601E-3</v>
      </c>
    </row>
    <row r="35493" spans="1:6" x14ac:dyDescent="0.25">
      <c r="A35493" s="2" t="str">
        <f t="shared" si="1216"/>
        <v>99999</v>
      </c>
      <c r="B35493" s="2" t="str">
        <f>"53934"</f>
        <v>53934</v>
      </c>
      <c r="C35493" s="1">
        <v>3.6201127659123898E-4</v>
      </c>
      <c r="D35493" s="1">
        <v>1.10784995158847E-4</v>
      </c>
      <c r="E35493" s="1">
        <v>1.73821598202684E-4</v>
      </c>
      <c r="F35493" s="1">
        <v>3.4123401161966399E-4</v>
      </c>
    </row>
    <row r="35494" spans="1:6" x14ac:dyDescent="0.25">
      <c r="A35494" s="2" t="str">
        <f t="shared" si="1216"/>
        <v>99999</v>
      </c>
      <c r="B35494" s="2" t="str">
        <f>"53965"</f>
        <v>53965</v>
      </c>
      <c r="C35494" s="1">
        <v>2.8485059749868401E-4</v>
      </c>
      <c r="D35494" s="1">
        <v>1.24443419219527E-4</v>
      </c>
      <c r="E35494" s="1">
        <v>2.3900469752869099E-4</v>
      </c>
      <c r="F35494" s="1">
        <v>2.7328566469947998E-4</v>
      </c>
    </row>
    <row r="35495" spans="1:6" x14ac:dyDescent="0.25">
      <c r="A35495" s="2" t="str">
        <f t="shared" si="1216"/>
        <v>99999</v>
      </c>
      <c r="B35495" s="2" t="str">
        <f>"53954"</f>
        <v>53954</v>
      </c>
      <c r="C35495" s="1">
        <v>8.9493291168169008E-6</v>
      </c>
      <c r="D35495" s="1">
        <v>1.51760267340886E-6</v>
      </c>
      <c r="E35495" s="1">
        <v>0</v>
      </c>
      <c r="F35495" s="1">
        <v>8.2572661703883803E-6</v>
      </c>
    </row>
    <row r="35496" spans="1:6" x14ac:dyDescent="0.25">
      <c r="A35496" s="2" t="str">
        <f t="shared" si="1216"/>
        <v>99999</v>
      </c>
      <c r="B35496" s="2" t="str">
        <f>"53949"</f>
        <v>53949</v>
      </c>
      <c r="C35496" s="1">
        <v>3.9748117857862301E-4</v>
      </c>
      <c r="D35496" s="1">
        <v>1.51760267340886E-4</v>
      </c>
      <c r="E35496" s="1">
        <v>2.3900469752869099E-4</v>
      </c>
      <c r="F35496" s="1">
        <v>3.7774505601162299E-4</v>
      </c>
    </row>
    <row r="35497" spans="1:6" x14ac:dyDescent="0.25">
      <c r="A35497" s="2" t="str">
        <f t="shared" si="1216"/>
        <v>99999</v>
      </c>
      <c r="B35497" s="2" t="str">
        <f>"53901"</f>
        <v>53901</v>
      </c>
      <c r="C35497" s="1">
        <v>2.07362503926245E-6</v>
      </c>
      <c r="D35497" s="1">
        <v>0</v>
      </c>
      <c r="E35497" s="1">
        <v>0</v>
      </c>
      <c r="F35497" s="1">
        <v>1.89021755707686E-6</v>
      </c>
    </row>
    <row r="35498" spans="1:6" x14ac:dyDescent="0.25">
      <c r="A35498" s="2" t="str">
        <f t="shared" si="1216"/>
        <v>99999</v>
      </c>
      <c r="B35498" s="2" t="str">
        <f>"53821"</f>
        <v>53821</v>
      </c>
      <c r="C35498" s="1">
        <v>4.27385034407987E-4</v>
      </c>
      <c r="D35498" s="1">
        <v>6.9354442174785304E-4</v>
      </c>
      <c r="E35498" s="1">
        <v>6.4313991334993305E-4</v>
      </c>
      <c r="F35498" s="1">
        <v>4.4977229344970901E-4</v>
      </c>
    </row>
    <row r="35499" spans="1:6" x14ac:dyDescent="0.25">
      <c r="A35499" s="2" t="str">
        <f t="shared" si="1216"/>
        <v>99999</v>
      </c>
      <c r="B35499" s="2" t="str">
        <f>"53587"</f>
        <v>53587</v>
      </c>
      <c r="C35499" s="1">
        <v>5.9589435338805201E-5</v>
      </c>
      <c r="D35499" s="1">
        <v>2.7316848121359601E-5</v>
      </c>
      <c r="E35499" s="1">
        <v>5.6492019415872502E-5</v>
      </c>
      <c r="F35499" s="1">
        <v>5.74029226543867E-5</v>
      </c>
    </row>
    <row r="35500" spans="1:6" x14ac:dyDescent="0.25">
      <c r="A35500" s="2" t="str">
        <f t="shared" si="1216"/>
        <v>99999</v>
      </c>
      <c r="B35500" s="2" t="str">
        <f>"53573"</f>
        <v>53573</v>
      </c>
      <c r="C35500" s="1">
        <v>4.7911652222958702E-5</v>
      </c>
      <c r="D35500" s="1">
        <v>1.21408213872709E-5</v>
      </c>
      <c r="E35500" s="1">
        <v>1.7382159820268399E-5</v>
      </c>
      <c r="F35500" s="1">
        <v>4.4867795696929599E-5</v>
      </c>
    </row>
    <row r="35501" spans="1:6" x14ac:dyDescent="0.25">
      <c r="A35501" s="2" t="str">
        <f t="shared" si="1216"/>
        <v>99999</v>
      </c>
      <c r="B35501" s="2" t="str">
        <f>"53516"</f>
        <v>53516</v>
      </c>
      <c r="C35501" s="1">
        <v>5.8607191899154502E-5</v>
      </c>
      <c r="D35501" s="1">
        <v>2.1246437427724101E-5</v>
      </c>
      <c r="E35501" s="1">
        <v>1.7382159820268399E-5</v>
      </c>
      <c r="F35501" s="1">
        <v>5.5214249693560902E-5</v>
      </c>
    </row>
    <row r="35502" spans="1:6" x14ac:dyDescent="0.25">
      <c r="A35502" s="2" t="str">
        <f t="shared" si="1216"/>
        <v>99999</v>
      </c>
      <c r="B35502" s="2" t="str">
        <f>"53541"</f>
        <v>53541</v>
      </c>
      <c r="C35502" s="1">
        <v>4.6601994303424599E-5</v>
      </c>
      <c r="D35502" s="1">
        <v>2.5799245447950699E-5</v>
      </c>
      <c r="E35502" s="1">
        <v>8.69107991013423E-6</v>
      </c>
      <c r="F35502" s="1">
        <v>4.4370370024014701E-5</v>
      </c>
    </row>
    <row r="35503" spans="1:6" x14ac:dyDescent="0.25">
      <c r="A35503" s="2" t="str">
        <f t="shared" si="1216"/>
        <v>99999</v>
      </c>
      <c r="B35503" s="2" t="str">
        <f>"52778"</f>
        <v>52778</v>
      </c>
      <c r="C35503" s="1">
        <v>3.4815073027616897E-5</v>
      </c>
      <c r="D35503" s="1">
        <v>4.5528080202265997E-6</v>
      </c>
      <c r="E35503" s="1">
        <v>0</v>
      </c>
      <c r="F35503" s="1">
        <v>3.2034213335723597E-5</v>
      </c>
    </row>
    <row r="35504" spans="1:6" x14ac:dyDescent="0.25">
      <c r="A35504" s="2" t="str">
        <f t="shared" si="1216"/>
        <v>99999</v>
      </c>
      <c r="B35504" s="2" t="str">
        <f>"52776"</f>
        <v>52776</v>
      </c>
      <c r="C35504" s="1">
        <v>1.44062371148759E-5</v>
      </c>
      <c r="D35504" s="1">
        <v>1.0623218713862E-5</v>
      </c>
      <c r="E35504" s="1">
        <v>0</v>
      </c>
      <c r="F35504" s="1">
        <v>1.3828433707035901E-5</v>
      </c>
    </row>
    <row r="35505" spans="1:6" x14ac:dyDescent="0.25">
      <c r="A35505" s="2" t="str">
        <f t="shared" si="1216"/>
        <v>99999</v>
      </c>
      <c r="B35505" s="2" t="str">
        <f>"52772"</f>
        <v>52772</v>
      </c>
      <c r="C35505" s="1">
        <v>2.7699264998147901E-4</v>
      </c>
      <c r="D35505" s="1">
        <v>3.36907793496769E-4</v>
      </c>
      <c r="E35505" s="1">
        <v>3.0853333680976502E-4</v>
      </c>
      <c r="F35505" s="1">
        <v>2.8164241600445199E-4</v>
      </c>
    </row>
    <row r="35506" spans="1:6" x14ac:dyDescent="0.25">
      <c r="A35506" s="2" t="str">
        <f t="shared" si="1216"/>
        <v>99999</v>
      </c>
      <c r="B35506" s="2" t="str">
        <f>"52738"</f>
        <v>52738</v>
      </c>
      <c r="C35506" s="1">
        <v>1.5672239770425601E-4</v>
      </c>
      <c r="D35506" s="1">
        <v>1.7755951278883701E-4</v>
      </c>
      <c r="E35506" s="1">
        <v>1.3471173860707999E-4</v>
      </c>
      <c r="F35506" s="1">
        <v>1.5758445317946E-4</v>
      </c>
    </row>
    <row r="35507" spans="1:6" x14ac:dyDescent="0.25">
      <c r="A35507" s="2" t="str">
        <f t="shared" si="1216"/>
        <v>99999</v>
      </c>
      <c r="B35507" s="2" t="str">
        <f>"52621"</f>
        <v>52621</v>
      </c>
      <c r="C35507" s="1">
        <v>4.1472500785249E-6</v>
      </c>
      <c r="D35507" s="1">
        <v>3.0352053468177301E-6</v>
      </c>
      <c r="E35507" s="1">
        <v>0</v>
      </c>
      <c r="F35507" s="1">
        <v>3.9794053833197E-6</v>
      </c>
    </row>
    <row r="35508" spans="1:6" x14ac:dyDescent="0.25">
      <c r="A35508" s="2" t="str">
        <f t="shared" si="1216"/>
        <v>99999</v>
      </c>
      <c r="B35508" s="2" t="str">
        <f>"52651"</f>
        <v>52651</v>
      </c>
      <c r="C35508" s="1">
        <v>3.1322651908859099E-5</v>
      </c>
      <c r="D35508" s="1">
        <v>4.5528080202265997E-6</v>
      </c>
      <c r="E35508" s="1">
        <v>8.69107991013423E-6</v>
      </c>
      <c r="F35508" s="1">
        <v>2.9049659298233801E-5</v>
      </c>
    </row>
    <row r="35509" spans="1:6" x14ac:dyDescent="0.25">
      <c r="A35509" s="2" t="str">
        <f t="shared" si="1216"/>
        <v>99999</v>
      </c>
      <c r="B35509" s="2" t="str">
        <f>"52652"</f>
        <v>52652</v>
      </c>
      <c r="C35509" s="1">
        <v>1.20051975957299E-6</v>
      </c>
      <c r="D35509" s="1">
        <v>0</v>
      </c>
      <c r="E35509" s="1">
        <v>4.3455399550671099E-6</v>
      </c>
      <c r="F35509" s="1">
        <v>1.19382161499591E-6</v>
      </c>
    </row>
    <row r="35510" spans="1:6" x14ac:dyDescent="0.25">
      <c r="A35510" s="2" t="str">
        <f t="shared" si="1216"/>
        <v>99999</v>
      </c>
      <c r="B35510" s="2" t="str">
        <f>"52626"</f>
        <v>52626</v>
      </c>
      <c r="C35510" s="1">
        <v>5.03126917421047E-5</v>
      </c>
      <c r="D35510" s="1">
        <v>1.5176026734088599E-5</v>
      </c>
      <c r="E35510" s="1">
        <v>4.3455399550671103E-5</v>
      </c>
      <c r="F35510" s="1">
        <v>4.7852349734419398E-5</v>
      </c>
    </row>
    <row r="35511" spans="1:6" x14ac:dyDescent="0.25">
      <c r="A35511" s="2" t="str">
        <f t="shared" si="1216"/>
        <v>99999</v>
      </c>
      <c r="B35511" s="2" t="str">
        <f>"52620"</f>
        <v>52620</v>
      </c>
      <c r="C35511" s="1">
        <v>5.1076658861833002E-5</v>
      </c>
      <c r="D35511" s="1">
        <v>2.5799245447950699E-5</v>
      </c>
      <c r="E35511" s="1">
        <v>2.60732397304027E-5</v>
      </c>
      <c r="F35511" s="1">
        <v>4.8847201080249302E-5</v>
      </c>
    </row>
    <row r="35512" spans="1:6" x14ac:dyDescent="0.25">
      <c r="A35512" s="2" t="str">
        <f t="shared" si="1216"/>
        <v>99999</v>
      </c>
      <c r="B35512" s="2" t="str">
        <f>"52253"</f>
        <v>52253</v>
      </c>
      <c r="C35512" s="1">
        <v>2.30281517518093E-5</v>
      </c>
      <c r="D35512" s="1">
        <v>3.0352053468177301E-6</v>
      </c>
      <c r="E35512" s="1">
        <v>0</v>
      </c>
      <c r="F35512" s="1">
        <v>2.1190333666177399E-5</v>
      </c>
    </row>
    <row r="35513" spans="1:6" x14ac:dyDescent="0.25">
      <c r="A35513" s="2" t="str">
        <f t="shared" si="1216"/>
        <v>99999</v>
      </c>
      <c r="B35513" s="2" t="str">
        <f>"52175"</f>
        <v>52175</v>
      </c>
      <c r="C35513" s="1">
        <v>1.89027293052766E-4</v>
      </c>
      <c r="D35513" s="1">
        <v>3.1414375339563501E-4</v>
      </c>
      <c r="E35513" s="1">
        <v>3.6502535622563698E-4</v>
      </c>
      <c r="F35513" s="1">
        <v>2.0125842726139399E-4</v>
      </c>
    </row>
    <row r="35514" spans="1:6" x14ac:dyDescent="0.25">
      <c r="A35514" s="2" t="str">
        <f t="shared" si="1216"/>
        <v>99999</v>
      </c>
      <c r="B35514" s="2" t="str">
        <f>"52567"</f>
        <v>52567</v>
      </c>
      <c r="C35514" s="1">
        <v>1.9644868793012701E-6</v>
      </c>
      <c r="D35514" s="1">
        <v>0</v>
      </c>
      <c r="E35514" s="1">
        <v>0</v>
      </c>
      <c r="F35514" s="1">
        <v>1.79073242249386E-6</v>
      </c>
    </row>
    <row r="35515" spans="1:6" x14ac:dyDescent="0.25">
      <c r="A35515" s="2" t="str">
        <f t="shared" si="1216"/>
        <v>99999</v>
      </c>
      <c r="B35515" s="2" t="str">
        <f>"52560"</f>
        <v>52560</v>
      </c>
      <c r="C35515" s="1">
        <v>2.21550464721198E-5</v>
      </c>
      <c r="D35515" s="1">
        <v>9.1056160404532095E-6</v>
      </c>
      <c r="E35515" s="1">
        <v>4.3455399550671099E-6</v>
      </c>
      <c r="F35515" s="1">
        <v>2.08918782624284E-5</v>
      </c>
    </row>
    <row r="35516" spans="1:6" x14ac:dyDescent="0.25">
      <c r="A35516" s="2" t="str">
        <f t="shared" si="1216"/>
        <v>99999</v>
      </c>
      <c r="B35516" s="2" t="str">
        <f>"52570"</f>
        <v>52570</v>
      </c>
      <c r="C35516" s="1">
        <v>4.7365961423152798E-5</v>
      </c>
      <c r="D35516" s="1">
        <v>3.0352053468177301E-5</v>
      </c>
      <c r="E35516" s="1">
        <v>3.9109859595604001E-5</v>
      </c>
      <c r="F35516" s="1">
        <v>4.60616173119255E-5</v>
      </c>
    </row>
    <row r="35517" spans="1:6" x14ac:dyDescent="0.25">
      <c r="A35517" s="2" t="str">
        <f t="shared" si="1216"/>
        <v>99999</v>
      </c>
      <c r="B35517" s="2" t="str">
        <f>"52569"</f>
        <v>52569</v>
      </c>
      <c r="C35517" s="1">
        <v>5.3914251020823701E-5</v>
      </c>
      <c r="D35517" s="1">
        <v>2.2764040101133E-5</v>
      </c>
      <c r="E35517" s="1">
        <v>4.3455399550671099E-6</v>
      </c>
      <c r="F35517" s="1">
        <v>5.07374186373262E-5</v>
      </c>
    </row>
    <row r="35518" spans="1:6" x14ac:dyDescent="0.25">
      <c r="A35518" s="2" t="str">
        <f t="shared" si="1216"/>
        <v>99999</v>
      </c>
      <c r="B35518" s="2" t="str">
        <f>"52555"</f>
        <v>52555</v>
      </c>
      <c r="C35518" s="1">
        <v>2.0190559592818601E-5</v>
      </c>
      <c r="D35518" s="1">
        <v>1.51760267340886E-6</v>
      </c>
      <c r="E35518" s="1">
        <v>1.3036619865201299E-5</v>
      </c>
      <c r="F35518" s="1">
        <v>1.8802690436185601E-5</v>
      </c>
    </row>
    <row r="35519" spans="1:6" x14ac:dyDescent="0.25">
      <c r="A35519" s="2" t="str">
        <f t="shared" si="1216"/>
        <v>99999</v>
      </c>
      <c r="B35519" s="2" t="str">
        <f>"52549"</f>
        <v>52549</v>
      </c>
      <c r="C35519" s="1">
        <v>3.7761803346568799E-5</v>
      </c>
      <c r="D35519" s="1">
        <v>1.21408213872709E-5</v>
      </c>
      <c r="E35519" s="1">
        <v>4.3455399550671099E-6</v>
      </c>
      <c r="F35519" s="1">
        <v>3.5317222776962297E-5</v>
      </c>
    </row>
    <row r="35520" spans="1:6" x14ac:dyDescent="0.25">
      <c r="A35520" s="2" t="str">
        <f t="shared" si="1216"/>
        <v>99999</v>
      </c>
      <c r="B35520" s="2" t="str">
        <f>"52356"</f>
        <v>52356</v>
      </c>
      <c r="C35520" s="1">
        <v>1.01498488763899E-5</v>
      </c>
      <c r="D35520" s="1">
        <v>1.0623218713862E-5</v>
      </c>
      <c r="E35520" s="1">
        <v>0</v>
      </c>
      <c r="F35520" s="1">
        <v>9.9485134582992602E-6</v>
      </c>
    </row>
    <row r="35521" spans="1:6" x14ac:dyDescent="0.25">
      <c r="A35521" s="2" t="str">
        <f t="shared" si="1216"/>
        <v>99999</v>
      </c>
      <c r="B35521" s="2" t="str">
        <f>"52355"</f>
        <v>52355</v>
      </c>
      <c r="C35521" s="1">
        <v>1.5388480554526601E-5</v>
      </c>
      <c r="D35521" s="1">
        <v>1.51760267340886E-6</v>
      </c>
      <c r="E35521" s="1">
        <v>4.3455399550671099E-6</v>
      </c>
      <c r="F35521" s="1">
        <v>1.42263742453679E-5</v>
      </c>
    </row>
    <row r="35522" spans="1:6" x14ac:dyDescent="0.25">
      <c r="A35522" s="2" t="str">
        <f t="shared" si="1216"/>
        <v>99999</v>
      </c>
      <c r="B35522" s="2" t="str">
        <f>"52073"</f>
        <v>52073</v>
      </c>
      <c r="C35522" s="1">
        <v>1.4187960794953601E-6</v>
      </c>
      <c r="D35522" s="1">
        <v>0</v>
      </c>
      <c r="E35522" s="1">
        <v>0</v>
      </c>
      <c r="F35522" s="1">
        <v>1.2933067495789E-6</v>
      </c>
    </row>
    <row r="35523" spans="1:6" x14ac:dyDescent="0.25">
      <c r="A35523" s="2" t="str">
        <f t="shared" si="1216"/>
        <v>99999</v>
      </c>
      <c r="B35523" s="2" t="str">
        <f>"52074"</f>
        <v>52074</v>
      </c>
      <c r="C35523" s="1">
        <v>1.6479862154138401E-5</v>
      </c>
      <c r="D35523" s="1">
        <v>7.5880133670443404E-6</v>
      </c>
      <c r="E35523" s="1">
        <v>3.0418779685469802E-5</v>
      </c>
      <c r="F35523" s="1">
        <v>1.6216076937027799E-5</v>
      </c>
    </row>
    <row r="35524" spans="1:6" x14ac:dyDescent="0.25">
      <c r="A35524" s="2" t="str">
        <f t="shared" si="1216"/>
        <v>99999</v>
      </c>
      <c r="B35524" s="2" t="str">
        <f>"52158"</f>
        <v>52158</v>
      </c>
      <c r="C35524" s="1">
        <v>2.58657439108E-5</v>
      </c>
      <c r="D35524" s="1">
        <v>3.0352053468177301E-6</v>
      </c>
      <c r="E35524" s="1">
        <v>1.3036619865201299E-5</v>
      </c>
      <c r="F35524" s="1">
        <v>2.40754025690842E-5</v>
      </c>
    </row>
    <row r="35525" spans="1:6" x14ac:dyDescent="0.25">
      <c r="A35525" s="2" t="str">
        <f t="shared" si="1216"/>
        <v>99999</v>
      </c>
      <c r="B35525" s="2" t="str">
        <f>"52161"</f>
        <v>52161</v>
      </c>
      <c r="C35525" s="1">
        <v>7.0830665814806905E-5</v>
      </c>
      <c r="D35525" s="1">
        <v>2.88344507947685E-5</v>
      </c>
      <c r="E35525" s="1">
        <v>3.9109859595604001E-5</v>
      </c>
      <c r="F35525" s="1">
        <v>6.7351436112686003E-5</v>
      </c>
    </row>
    <row r="35526" spans="1:6" x14ac:dyDescent="0.25">
      <c r="A35526" s="2" t="str">
        <f t="shared" si="1216"/>
        <v>99999</v>
      </c>
      <c r="B35526" s="2" t="str">
        <f>"52142"</f>
        <v>52142</v>
      </c>
      <c r="C35526" s="1">
        <v>8.0762238371274403E-5</v>
      </c>
      <c r="D35526" s="1">
        <v>3.3387258814995101E-5</v>
      </c>
      <c r="E35526" s="1">
        <v>4.7800939505738197E-5</v>
      </c>
      <c r="F35526" s="1">
        <v>7.6902009032653304E-5</v>
      </c>
    </row>
    <row r="35527" spans="1:6" x14ac:dyDescent="0.25">
      <c r="A35527" s="2" t="str">
        <f t="shared" si="1216"/>
        <v>99999</v>
      </c>
      <c r="B35527" s="2" t="str">
        <f>"52064"</f>
        <v>52064</v>
      </c>
      <c r="C35527" s="1">
        <v>4.4855783744045598E-5</v>
      </c>
      <c r="D35527" s="1">
        <v>2.1246437427724101E-5</v>
      </c>
      <c r="E35527" s="1">
        <v>3.9109859595604001E-5</v>
      </c>
      <c r="F35527" s="1">
        <v>4.31765484090188E-5</v>
      </c>
    </row>
    <row r="35528" spans="1:6" x14ac:dyDescent="0.25">
      <c r="A35528" s="2" t="str">
        <f t="shared" si="1216"/>
        <v>99999</v>
      </c>
      <c r="B35528" s="2" t="str">
        <f>"52172"</f>
        <v>52172</v>
      </c>
      <c r="C35528" s="1">
        <v>3.2828758516323403E-4</v>
      </c>
      <c r="D35528" s="1">
        <v>4.8259765014401997E-4</v>
      </c>
      <c r="E35528" s="1">
        <v>4.9104601492258398E-4</v>
      </c>
      <c r="F35528" s="1">
        <v>3.4212937783091103E-4</v>
      </c>
    </row>
    <row r="35529" spans="1:6" x14ac:dyDescent="0.25">
      <c r="A35529" s="2" t="str">
        <f t="shared" si="1216"/>
        <v>99999</v>
      </c>
      <c r="B35529" s="2" t="str">
        <f>"52322"</f>
        <v>52322</v>
      </c>
      <c r="C35529" s="1">
        <v>1.20051975957299E-6</v>
      </c>
      <c r="D35529" s="1">
        <v>0</v>
      </c>
      <c r="E35529" s="1">
        <v>0</v>
      </c>
      <c r="F35529" s="1">
        <v>1.09433648041291E-6</v>
      </c>
    </row>
    <row r="35530" spans="1:6" x14ac:dyDescent="0.25">
      <c r="A35530" s="2" t="str">
        <f t="shared" si="1216"/>
        <v>99999</v>
      </c>
      <c r="B35530" s="2" t="str">
        <f>"52318"</f>
        <v>52318</v>
      </c>
      <c r="C35530" s="1">
        <v>3.8198355986413598E-6</v>
      </c>
      <c r="D35530" s="1">
        <v>0</v>
      </c>
      <c r="E35530" s="1">
        <v>0</v>
      </c>
      <c r="F35530" s="1">
        <v>3.48197971040474E-6</v>
      </c>
    </row>
    <row r="35531" spans="1:6" x14ac:dyDescent="0.25">
      <c r="A35531" s="2" t="str">
        <f t="shared" si="1216"/>
        <v>99999</v>
      </c>
      <c r="B35531" s="2" t="str">
        <f>"52329"</f>
        <v>52329</v>
      </c>
      <c r="C35531" s="1">
        <v>3.9180599426064199E-5</v>
      </c>
      <c r="D35531" s="1">
        <v>3.0352053468177301E-6</v>
      </c>
      <c r="E35531" s="1">
        <v>2.1727699775335501E-5</v>
      </c>
      <c r="F35531" s="1">
        <v>3.6411559257375301E-5</v>
      </c>
    </row>
    <row r="35532" spans="1:6" x14ac:dyDescent="0.25">
      <c r="A35532" s="2" t="str">
        <f t="shared" si="1216"/>
        <v>99999</v>
      </c>
      <c r="B35532" s="2" t="str">
        <f>"52043"</f>
        <v>52043</v>
      </c>
      <c r="C35532" s="1">
        <v>1.2103421939695E-4</v>
      </c>
      <c r="D35532" s="1">
        <v>1.4113704862702401E-4</v>
      </c>
      <c r="E35532" s="1">
        <v>8.69107991013423E-5</v>
      </c>
      <c r="F35532" s="1">
        <v>1.21570834460417E-4</v>
      </c>
    </row>
    <row r="35533" spans="1:6" x14ac:dyDescent="0.25">
      <c r="A35533" s="2" t="str">
        <f t="shared" si="1216"/>
        <v>99999</v>
      </c>
      <c r="B35533" s="2" t="str">
        <f>"52041"</f>
        <v>52041</v>
      </c>
      <c r="C35533" s="1">
        <v>7.0066698695078603E-5</v>
      </c>
      <c r="D35533" s="1">
        <v>4.8563285549083798E-5</v>
      </c>
      <c r="E35533" s="1">
        <v>4.3455399550671103E-5</v>
      </c>
      <c r="F35533" s="1">
        <v>6.8047832054766904E-5</v>
      </c>
    </row>
    <row r="35534" spans="1:6" x14ac:dyDescent="0.25">
      <c r="A35534" s="2" t="str">
        <f t="shared" si="1216"/>
        <v>99999</v>
      </c>
      <c r="B35534" s="2" t="str">
        <f>"51232"</f>
        <v>51232</v>
      </c>
      <c r="C35534" s="1">
        <v>4.1254224465326597E-5</v>
      </c>
      <c r="D35534" s="1">
        <v>1.8211232080906399E-5</v>
      </c>
      <c r="E35534" s="1">
        <v>1.7382159820268399E-5</v>
      </c>
      <c r="F35534" s="1">
        <v>3.9197143025699002E-5</v>
      </c>
    </row>
    <row r="35535" spans="1:6" x14ac:dyDescent="0.25">
      <c r="A35535" s="2" t="str">
        <f t="shared" si="1216"/>
        <v>99999</v>
      </c>
      <c r="B35535" s="2" t="str">
        <f>"51062"</f>
        <v>51062</v>
      </c>
      <c r="C35535" s="1">
        <v>2.8812474229751901E-5</v>
      </c>
      <c r="D35535" s="1">
        <v>7.5880133670443404E-6</v>
      </c>
      <c r="E35535" s="1">
        <v>8.69107991013423E-6</v>
      </c>
      <c r="F35535" s="1">
        <v>2.6960471471991001E-5</v>
      </c>
    </row>
    <row r="35536" spans="1:6" x14ac:dyDescent="0.25">
      <c r="A35536" s="2" t="str">
        <f t="shared" si="1216"/>
        <v>99999</v>
      </c>
      <c r="B35536" s="2" t="str">
        <f>"51053"</f>
        <v>51053</v>
      </c>
      <c r="C35536" s="1">
        <v>6.1444784058145303E-5</v>
      </c>
      <c r="D35536" s="1">
        <v>2.4281642774541899E-5</v>
      </c>
      <c r="E35536" s="1">
        <v>4.7800939505738197E-5</v>
      </c>
      <c r="F35536" s="1">
        <v>5.86962294039656E-5</v>
      </c>
    </row>
    <row r="35537" spans="1:6" x14ac:dyDescent="0.25">
      <c r="A35537" s="2" t="str">
        <f t="shared" si="1216"/>
        <v>99999</v>
      </c>
      <c r="B35537" s="2" t="str">
        <f>"51027"</f>
        <v>51027</v>
      </c>
      <c r="C35537" s="1">
        <v>5.6533566859892097E-5</v>
      </c>
      <c r="D35537" s="1">
        <v>8.043294169067E-5</v>
      </c>
      <c r="E35537" s="1">
        <v>3.47643196405369E-5</v>
      </c>
      <c r="F35537" s="1">
        <v>5.7601892923552697E-5</v>
      </c>
    </row>
    <row r="35538" spans="1:6" x14ac:dyDescent="0.25">
      <c r="A35538" s="2" t="str">
        <f t="shared" ref="A35538:A35601" si="1217">"99999"</f>
        <v>99999</v>
      </c>
      <c r="B35538" s="2" t="str">
        <f>"51020"</f>
        <v>51020</v>
      </c>
      <c r="C35538" s="1">
        <v>3.3614553268043901E-5</v>
      </c>
      <c r="D35538" s="1">
        <v>2.2764040101133E-5</v>
      </c>
      <c r="E35538" s="1">
        <v>2.1727699775335501E-5</v>
      </c>
      <c r="F35538" s="1">
        <v>3.26311241432215E-5</v>
      </c>
    </row>
    <row r="35539" spans="1:6" x14ac:dyDescent="0.25">
      <c r="A35539" s="2" t="str">
        <f t="shared" si="1217"/>
        <v>99999</v>
      </c>
      <c r="B35539" s="2" t="str">
        <f>"51009"</f>
        <v>51009</v>
      </c>
      <c r="C35539" s="1">
        <v>1.06955396761958E-5</v>
      </c>
      <c r="D35539" s="1">
        <v>4.5528080202265997E-6</v>
      </c>
      <c r="E35539" s="1">
        <v>1.3036619865201299E-5</v>
      </c>
      <c r="F35539" s="1">
        <v>1.03464539966312E-5</v>
      </c>
    </row>
    <row r="35540" spans="1:6" x14ac:dyDescent="0.25">
      <c r="A35540" s="2" t="str">
        <f t="shared" si="1217"/>
        <v>99999</v>
      </c>
      <c r="B35540" s="2" t="str">
        <f>"51651"</f>
        <v>51651</v>
      </c>
      <c r="C35540" s="1">
        <v>7.8579475172050803E-6</v>
      </c>
      <c r="D35540" s="1">
        <v>6.0704106936354696E-6</v>
      </c>
      <c r="E35540" s="1">
        <v>8.69107991013423E-6</v>
      </c>
      <c r="F35540" s="1">
        <v>7.7598404974734199E-6</v>
      </c>
    </row>
    <row r="35541" spans="1:6" x14ac:dyDescent="0.25">
      <c r="A35541" s="2" t="str">
        <f t="shared" si="1217"/>
        <v>99999</v>
      </c>
      <c r="B35541" s="2" t="str">
        <f>"51603"</f>
        <v>51603</v>
      </c>
      <c r="C35541" s="1">
        <v>0</v>
      </c>
      <c r="D35541" s="1">
        <v>3.0352053468177301E-6</v>
      </c>
      <c r="E35541" s="1">
        <v>0</v>
      </c>
      <c r="F35541" s="1">
        <v>1.9897026916598501E-7</v>
      </c>
    </row>
    <row r="35542" spans="1:6" x14ac:dyDescent="0.25">
      <c r="A35542" s="2" t="str">
        <f t="shared" si="1217"/>
        <v>99999</v>
      </c>
      <c r="B35542" s="2" t="str">
        <f>"51578"</f>
        <v>51578</v>
      </c>
      <c r="C35542" s="1">
        <v>6.6574277576320803E-6</v>
      </c>
      <c r="D35542" s="1">
        <v>3.0352053468177301E-6</v>
      </c>
      <c r="E35542" s="1">
        <v>0</v>
      </c>
      <c r="F35542" s="1">
        <v>6.2675634787285303E-6</v>
      </c>
    </row>
    <row r="35543" spans="1:6" x14ac:dyDescent="0.25">
      <c r="A35543" s="2" t="str">
        <f t="shared" si="1217"/>
        <v>99999</v>
      </c>
      <c r="B35543" s="2" t="str">
        <f>"51455"</f>
        <v>51455</v>
      </c>
      <c r="C35543" s="1">
        <v>1.5606756874448901E-5</v>
      </c>
      <c r="D35543" s="1">
        <v>3.0352053468177301E-6</v>
      </c>
      <c r="E35543" s="1">
        <v>0</v>
      </c>
      <c r="F35543" s="1">
        <v>1.44253445145339E-5</v>
      </c>
    </row>
    <row r="35544" spans="1:6" x14ac:dyDescent="0.25">
      <c r="A35544" s="2" t="str">
        <f t="shared" si="1217"/>
        <v>99999</v>
      </c>
      <c r="B35544" s="2" t="str">
        <f>"51448"</f>
        <v>51448</v>
      </c>
      <c r="C35544" s="1">
        <v>3.4815073027616897E-5</v>
      </c>
      <c r="D35544" s="1">
        <v>0</v>
      </c>
      <c r="E35544" s="1">
        <v>1.3036619865201299E-5</v>
      </c>
      <c r="F35544" s="1">
        <v>3.2034213335723597E-5</v>
      </c>
    </row>
    <row r="35545" spans="1:6" x14ac:dyDescent="0.25">
      <c r="A35545" s="2" t="str">
        <f t="shared" si="1217"/>
        <v>99999</v>
      </c>
      <c r="B35545" s="2" t="str">
        <f>"51551"</f>
        <v>51551</v>
      </c>
      <c r="C35545" s="1">
        <v>1.09138159961181E-7</v>
      </c>
      <c r="D35545" s="1">
        <v>0</v>
      </c>
      <c r="E35545" s="1">
        <v>0</v>
      </c>
      <c r="F35545" s="1">
        <v>9.9485134582992598E-8</v>
      </c>
    </row>
    <row r="35546" spans="1:6" x14ac:dyDescent="0.25">
      <c r="A35546" s="2" t="str">
        <f t="shared" si="1217"/>
        <v>99999</v>
      </c>
      <c r="B35546" s="2" t="str">
        <f>"51523"</f>
        <v>51523</v>
      </c>
      <c r="C35546" s="1">
        <v>1.8007796393594899E-5</v>
      </c>
      <c r="D35546" s="1">
        <v>1.3658424060679801E-5</v>
      </c>
      <c r="E35546" s="1">
        <v>2.1727699775335501E-5</v>
      </c>
      <c r="F35546" s="1">
        <v>1.7807839090355599E-5</v>
      </c>
    </row>
    <row r="35547" spans="1:6" x14ac:dyDescent="0.25">
      <c r="A35547" s="2" t="str">
        <f t="shared" si="1217"/>
        <v>99999</v>
      </c>
      <c r="B35547" s="2" t="str">
        <f>"51537"</f>
        <v>51537</v>
      </c>
      <c r="C35547" s="1">
        <v>3.4378520387772199E-4</v>
      </c>
      <c r="D35547" s="1">
        <v>5.7972422124218798E-4</v>
      </c>
      <c r="E35547" s="1">
        <v>6.4313991334993305E-4</v>
      </c>
      <c r="F35547" s="1">
        <v>3.6610529526541198E-4</v>
      </c>
    </row>
    <row r="35548" spans="1:6" x14ac:dyDescent="0.25">
      <c r="A35548" s="2" t="str">
        <f t="shared" si="1217"/>
        <v>99999</v>
      </c>
      <c r="B35548" s="2" t="str">
        <f>"51530"</f>
        <v>51530</v>
      </c>
      <c r="C35548" s="1">
        <v>4.16907771051714E-5</v>
      </c>
      <c r="D35548" s="1">
        <v>1.21408213872709E-5</v>
      </c>
      <c r="E35548" s="1">
        <v>3.0418779685469802E-5</v>
      </c>
      <c r="F35548" s="1">
        <v>3.9495598429447998E-5</v>
      </c>
    </row>
    <row r="35549" spans="1:6" x14ac:dyDescent="0.25">
      <c r="A35549" s="2" t="str">
        <f t="shared" si="1217"/>
        <v>99999</v>
      </c>
      <c r="B35549" s="2" t="str">
        <f>"50830"</f>
        <v>50830</v>
      </c>
      <c r="C35549" s="1">
        <v>8.8838462208401902E-5</v>
      </c>
      <c r="D35549" s="1">
        <v>8.4985749710896595E-5</v>
      </c>
      <c r="E35549" s="1">
        <v>6.9528639281073799E-5</v>
      </c>
      <c r="F35549" s="1">
        <v>8.8143829240531398E-5</v>
      </c>
    </row>
    <row r="35550" spans="1:6" x14ac:dyDescent="0.25">
      <c r="A35550" s="2" t="str">
        <f t="shared" si="1217"/>
        <v>99999</v>
      </c>
      <c r="B35550" s="2" t="str">
        <f>"51347"</f>
        <v>51347</v>
      </c>
      <c r="C35550" s="1">
        <v>1.09138159961181E-7</v>
      </c>
      <c r="D35550" s="1">
        <v>0</v>
      </c>
      <c r="E35550" s="1">
        <v>0</v>
      </c>
      <c r="F35550" s="1">
        <v>9.9485134582992598E-8</v>
      </c>
    </row>
    <row r="35551" spans="1:6" x14ac:dyDescent="0.25">
      <c r="A35551" s="2" t="str">
        <f t="shared" si="1217"/>
        <v>99999</v>
      </c>
      <c r="B35551" s="2" t="str">
        <f>"51242"</f>
        <v>51242</v>
      </c>
      <c r="C35551" s="1">
        <v>1.15686449558852E-5</v>
      </c>
      <c r="D35551" s="1">
        <v>0</v>
      </c>
      <c r="E35551" s="1">
        <v>1.3036619865201299E-5</v>
      </c>
      <c r="F35551" s="1">
        <v>1.0843879669546099E-5</v>
      </c>
    </row>
    <row r="35552" spans="1:6" x14ac:dyDescent="0.25">
      <c r="A35552" s="2" t="str">
        <f t="shared" si="1217"/>
        <v>99999</v>
      </c>
      <c r="B35552" s="2" t="str">
        <f>"51244"</f>
        <v>51244</v>
      </c>
      <c r="C35552" s="1">
        <v>4.1472500785249E-6</v>
      </c>
      <c r="D35552" s="1">
        <v>1.0623218713862E-5</v>
      </c>
      <c r="E35552" s="1">
        <v>8.69107991013423E-6</v>
      </c>
      <c r="F35552" s="1">
        <v>4.6758013254006498E-6</v>
      </c>
    </row>
    <row r="35553" spans="1:6" x14ac:dyDescent="0.25">
      <c r="A35553" s="2" t="str">
        <f t="shared" si="1217"/>
        <v>99999</v>
      </c>
      <c r="B35553" s="2" t="str">
        <f>"51234"</f>
        <v>51234</v>
      </c>
      <c r="C35553" s="1">
        <v>5.6860981339775603E-5</v>
      </c>
      <c r="D35553" s="1">
        <v>2.2764040101133E-5</v>
      </c>
      <c r="E35553" s="1">
        <v>3.0418779685469802E-5</v>
      </c>
      <c r="F35553" s="1">
        <v>5.4020428078565001E-5</v>
      </c>
    </row>
    <row r="35554" spans="1:6" x14ac:dyDescent="0.25">
      <c r="A35554" s="2" t="str">
        <f t="shared" si="1217"/>
        <v>99999</v>
      </c>
      <c r="B35554" s="2" t="str">
        <f>"51346"</f>
        <v>51346</v>
      </c>
      <c r="C35554" s="1">
        <v>1.2409008787586301E-4</v>
      </c>
      <c r="D35554" s="1">
        <v>1.6086588338134E-4</v>
      </c>
      <c r="E35554" s="1">
        <v>1.0429295892161E-4</v>
      </c>
      <c r="F35554" s="1">
        <v>1.2604766551665099E-4</v>
      </c>
    </row>
    <row r="35555" spans="1:6" x14ac:dyDescent="0.25">
      <c r="A35555" s="2" t="str">
        <f t="shared" si="1217"/>
        <v>99999</v>
      </c>
      <c r="B35555" s="2" t="str">
        <f>"51245"</f>
        <v>51245</v>
      </c>
      <c r="C35555" s="1">
        <v>7.2467738214224595E-5</v>
      </c>
      <c r="D35555" s="1">
        <v>8.3468147037487798E-5</v>
      </c>
      <c r="E35555" s="1">
        <v>6.9528639281073799E-5</v>
      </c>
      <c r="F35555" s="1">
        <v>7.3121573918499496E-5</v>
      </c>
    </row>
    <row r="35556" spans="1:6" x14ac:dyDescent="0.25">
      <c r="A35556" s="2" t="str">
        <f t="shared" si="1217"/>
        <v>99999</v>
      </c>
      <c r="B35556" s="2" t="str">
        <f>"50670"</f>
        <v>50670</v>
      </c>
      <c r="C35556" s="1">
        <v>9.87700347648694E-5</v>
      </c>
      <c r="D35556" s="1">
        <v>2.88344507947685E-5</v>
      </c>
      <c r="E35556" s="1">
        <v>3.47643196405369E-5</v>
      </c>
      <c r="F35556" s="1">
        <v>9.2720145431349099E-5</v>
      </c>
    </row>
    <row r="35557" spans="1:6" x14ac:dyDescent="0.25">
      <c r="A35557" s="2" t="str">
        <f t="shared" si="1217"/>
        <v>99999</v>
      </c>
      <c r="B35557" s="2" t="str">
        <f>"50660"</f>
        <v>50660</v>
      </c>
      <c r="C35557" s="1">
        <v>5.66427050198533E-5</v>
      </c>
      <c r="D35557" s="1">
        <v>4.5528080202265997E-6</v>
      </c>
      <c r="E35557" s="1">
        <v>3.0418779685469802E-5</v>
      </c>
      <c r="F35557" s="1">
        <v>5.2627636194403097E-5</v>
      </c>
    </row>
    <row r="35558" spans="1:6" x14ac:dyDescent="0.25">
      <c r="A35558" s="2" t="str">
        <f t="shared" si="1217"/>
        <v>99999</v>
      </c>
      <c r="B35558" s="2" t="str">
        <f>"50659"</f>
        <v>50659</v>
      </c>
      <c r="C35558" s="1">
        <v>2.7983024214046898E-4</v>
      </c>
      <c r="D35558" s="1">
        <v>5.0080888222492597E-4</v>
      </c>
      <c r="E35558" s="1">
        <v>3.34606576540167E-4</v>
      </c>
      <c r="F35558" s="1">
        <v>2.95570334846071E-4</v>
      </c>
    </row>
    <row r="35559" spans="1:6" x14ac:dyDescent="0.25">
      <c r="A35559" s="2" t="str">
        <f t="shared" si="1217"/>
        <v>99999</v>
      </c>
      <c r="B35559" s="2" t="str">
        <f>"50620"</f>
        <v>50620</v>
      </c>
      <c r="C35559" s="1">
        <v>3.1650066388742701E-6</v>
      </c>
      <c r="D35559" s="1">
        <v>9.1056160404532095E-6</v>
      </c>
      <c r="E35559" s="1">
        <v>0</v>
      </c>
      <c r="F35559" s="1">
        <v>3.48197971040474E-6</v>
      </c>
    </row>
    <row r="35560" spans="1:6" x14ac:dyDescent="0.25">
      <c r="A35560" s="2" t="str">
        <f t="shared" si="1217"/>
        <v>99999</v>
      </c>
      <c r="B35560" s="2" t="str">
        <f>"50479"</f>
        <v>50479</v>
      </c>
      <c r="C35560" s="1">
        <v>3.27414479883545E-6</v>
      </c>
      <c r="D35560" s="1">
        <v>0</v>
      </c>
      <c r="E35560" s="1">
        <v>0</v>
      </c>
      <c r="F35560" s="1">
        <v>2.9845540374897699E-6</v>
      </c>
    </row>
    <row r="35561" spans="1:6" x14ac:dyDescent="0.25">
      <c r="A35561" s="2" t="str">
        <f t="shared" si="1217"/>
        <v>99999</v>
      </c>
      <c r="B35561" s="2" t="str">
        <f>"50464"</f>
        <v>50464</v>
      </c>
      <c r="C35561" s="1">
        <v>6.5482895976708995E-7</v>
      </c>
      <c r="D35561" s="1">
        <v>0</v>
      </c>
      <c r="E35561" s="1">
        <v>0</v>
      </c>
      <c r="F35561" s="1">
        <v>5.9691080749795498E-7</v>
      </c>
    </row>
    <row r="35562" spans="1:6" x14ac:dyDescent="0.25">
      <c r="A35562" s="2" t="str">
        <f t="shared" si="1217"/>
        <v>99999</v>
      </c>
      <c r="B35562" s="2" t="str">
        <f>"50484"</f>
        <v>50484</v>
      </c>
      <c r="C35562" s="1">
        <v>2.4665224151227E-5</v>
      </c>
      <c r="D35562" s="1">
        <v>0</v>
      </c>
      <c r="E35562" s="1">
        <v>2.1727699775335501E-5</v>
      </c>
      <c r="F35562" s="1">
        <v>2.29810660886712E-5</v>
      </c>
    </row>
    <row r="35563" spans="1:6" x14ac:dyDescent="0.25">
      <c r="A35563" s="2" t="str">
        <f t="shared" si="1217"/>
        <v>99999</v>
      </c>
      <c r="B35563" s="2" t="str">
        <f>"50535"</f>
        <v>50535</v>
      </c>
      <c r="C35563" s="1">
        <v>5.5442185260280297E-5</v>
      </c>
      <c r="D35563" s="1">
        <v>5.15984908959015E-5</v>
      </c>
      <c r="E35563" s="1">
        <v>5.6492019415872502E-5</v>
      </c>
      <c r="F35563" s="1">
        <v>5.5214249693560902E-5</v>
      </c>
    </row>
    <row r="35564" spans="1:6" x14ac:dyDescent="0.25">
      <c r="A35564" s="2" t="str">
        <f t="shared" si="1217"/>
        <v>99999</v>
      </c>
      <c r="B35564" s="2" t="str">
        <f>"50532"</f>
        <v>50532</v>
      </c>
      <c r="C35564" s="1">
        <v>2.07362503926245E-6</v>
      </c>
      <c r="D35564" s="1">
        <v>0</v>
      </c>
      <c r="E35564" s="1">
        <v>0</v>
      </c>
      <c r="F35564" s="1">
        <v>1.89021755707686E-6</v>
      </c>
    </row>
    <row r="35565" spans="1:6" x14ac:dyDescent="0.25">
      <c r="A35565" s="2" t="str">
        <f t="shared" si="1217"/>
        <v>99999</v>
      </c>
      <c r="B35565" s="2" t="str">
        <f>"50480"</f>
        <v>50480</v>
      </c>
      <c r="C35565" s="1">
        <v>5.5551323420241499E-5</v>
      </c>
      <c r="D35565" s="1">
        <v>9.1056160404532095E-6</v>
      </c>
      <c r="E35565" s="1">
        <v>5.21464794608054E-5</v>
      </c>
      <c r="F35565" s="1">
        <v>5.24286659252371E-5</v>
      </c>
    </row>
    <row r="35566" spans="1:6" x14ac:dyDescent="0.25">
      <c r="A35566" s="2" t="str">
        <f t="shared" si="1217"/>
        <v>99999</v>
      </c>
      <c r="B35566" s="2" t="str">
        <f>"50598"</f>
        <v>50598</v>
      </c>
      <c r="C35566" s="1">
        <v>4.9657862782337601E-5</v>
      </c>
      <c r="D35566" s="1">
        <v>4.0975272182039399E-5</v>
      </c>
      <c r="E35566" s="1">
        <v>3.47643196405369E-5</v>
      </c>
      <c r="F35566" s="1">
        <v>4.8747715945666297E-5</v>
      </c>
    </row>
    <row r="35567" spans="1:6" x14ac:dyDescent="0.25">
      <c r="A35567" s="2" t="str">
        <f t="shared" si="1217"/>
        <v>99999</v>
      </c>
      <c r="B35567" s="2" t="str">
        <f>"50542"</f>
        <v>50542</v>
      </c>
      <c r="C35567" s="1">
        <v>5.1185797021794197E-5</v>
      </c>
      <c r="D35567" s="1">
        <v>3.7940066835221703E-5</v>
      </c>
      <c r="E35567" s="1">
        <v>4.3455399550671103E-5</v>
      </c>
      <c r="F35567" s="1">
        <v>5.0140507829828202E-5</v>
      </c>
    </row>
    <row r="35568" spans="1:6" x14ac:dyDescent="0.25">
      <c r="A35568" s="2" t="str">
        <f t="shared" si="1217"/>
        <v>99999</v>
      </c>
      <c r="B35568" s="2" t="str">
        <f>"50459"</f>
        <v>50459</v>
      </c>
      <c r="C35568" s="1">
        <v>1.0913815996118101E-6</v>
      </c>
      <c r="D35568" s="1">
        <v>0</v>
      </c>
      <c r="E35568" s="1">
        <v>0</v>
      </c>
      <c r="F35568" s="1">
        <v>9.9485134582992606E-7</v>
      </c>
    </row>
    <row r="35569" spans="1:6" x14ac:dyDescent="0.25">
      <c r="A35569" s="2" t="str">
        <f t="shared" si="1217"/>
        <v>99999</v>
      </c>
      <c r="B35569" s="2" t="str">
        <f>"50451"</f>
        <v>50451</v>
      </c>
      <c r="C35569" s="1">
        <v>2.9358165029557801E-5</v>
      </c>
      <c r="D35569" s="1">
        <v>4.5528080202266E-5</v>
      </c>
      <c r="E35569" s="1">
        <v>1.3036619865201299E-5</v>
      </c>
      <c r="F35569" s="1">
        <v>3.0044510644063701E-5</v>
      </c>
    </row>
    <row r="35570" spans="1:6" x14ac:dyDescent="0.25">
      <c r="A35570" s="2" t="str">
        <f t="shared" si="1217"/>
        <v>99999</v>
      </c>
      <c r="B35570" s="2" t="str">
        <f>"50438"</f>
        <v>50438</v>
      </c>
      <c r="C35570" s="1">
        <v>2.0419749728737099E-4</v>
      </c>
      <c r="D35570" s="1">
        <v>2.9896772666154699E-4</v>
      </c>
      <c r="E35570" s="1">
        <v>1.5209389842734899E-4</v>
      </c>
      <c r="F35570" s="1">
        <v>2.0921723802803301E-4</v>
      </c>
    </row>
    <row r="35571" spans="1:6" x14ac:dyDescent="0.25">
      <c r="A35571" s="2" t="str">
        <f t="shared" si="1217"/>
        <v>99999</v>
      </c>
      <c r="B35571" s="2" t="str">
        <f>"50436"</f>
        <v>50436</v>
      </c>
      <c r="C35571" s="1">
        <v>3.5513557251368503E-4</v>
      </c>
      <c r="D35571" s="1">
        <v>4.03682311126759E-4</v>
      </c>
      <c r="E35571" s="1">
        <v>4.6931831514724801E-4</v>
      </c>
      <c r="F35571" s="1">
        <v>3.6093206826709701E-4</v>
      </c>
    </row>
    <row r="35572" spans="1:6" x14ac:dyDescent="0.25">
      <c r="A35572" s="2" t="str">
        <f t="shared" si="1217"/>
        <v>99999</v>
      </c>
      <c r="B35572" s="2" t="str">
        <f>"50420"</f>
        <v>50420</v>
      </c>
      <c r="C35572" s="1">
        <v>2.21550464721198E-5</v>
      </c>
      <c r="D35572" s="1">
        <v>4.5528080202265997E-6</v>
      </c>
      <c r="E35572" s="1">
        <v>1.3036619865201299E-5</v>
      </c>
      <c r="F35572" s="1">
        <v>2.0792393127845399E-5</v>
      </c>
    </row>
    <row r="35573" spans="1:6" x14ac:dyDescent="0.25">
      <c r="A35573" s="2" t="str">
        <f t="shared" si="1217"/>
        <v>99999</v>
      </c>
      <c r="B35573" s="2" t="str">
        <f>"50027"</f>
        <v>50027</v>
      </c>
      <c r="C35573" s="1">
        <v>1.20051975957299E-6</v>
      </c>
      <c r="D35573" s="1">
        <v>0</v>
      </c>
      <c r="E35573" s="1">
        <v>0</v>
      </c>
      <c r="F35573" s="1">
        <v>1.09433648041291E-6</v>
      </c>
    </row>
    <row r="35574" spans="1:6" x14ac:dyDescent="0.25">
      <c r="A35574" s="2" t="str">
        <f t="shared" si="1217"/>
        <v>99999</v>
      </c>
      <c r="B35574" s="2" t="str">
        <f>"50042"</f>
        <v>50042</v>
      </c>
      <c r="C35574" s="1">
        <v>1.9099177993206801E-5</v>
      </c>
      <c r="D35574" s="1">
        <v>7.5880133670443404E-6</v>
      </c>
      <c r="E35574" s="1">
        <v>1.3036619865201299E-5</v>
      </c>
      <c r="F35574" s="1">
        <v>1.82057796286876E-5</v>
      </c>
    </row>
    <row r="35575" spans="1:6" x14ac:dyDescent="0.25">
      <c r="A35575" s="2" t="str">
        <f t="shared" si="1217"/>
        <v>99999</v>
      </c>
      <c r="B35575" s="2" t="str">
        <f>"50020"</f>
        <v>50020</v>
      </c>
      <c r="C35575" s="1">
        <v>7.7378955412477801E-5</v>
      </c>
      <c r="D35575" s="1">
        <v>2.5799245447950699E-5</v>
      </c>
      <c r="E35575" s="1">
        <v>5.6492019415872502E-5</v>
      </c>
      <c r="F35575" s="1">
        <v>7.3519514456831504E-5</v>
      </c>
    </row>
    <row r="35576" spans="1:6" x14ac:dyDescent="0.25">
      <c r="A35576" s="2" t="str">
        <f t="shared" si="1217"/>
        <v>99999</v>
      </c>
      <c r="B35576" s="2" t="str">
        <f>"50249"</f>
        <v>50249</v>
      </c>
      <c r="C35576" s="1">
        <v>6.1663060378067599E-5</v>
      </c>
      <c r="D35576" s="1">
        <v>1.51760267340886E-6</v>
      </c>
      <c r="E35576" s="1">
        <v>4.3455399550671103E-5</v>
      </c>
      <c r="F35576" s="1">
        <v>5.7303437519803702E-5</v>
      </c>
    </row>
    <row r="35577" spans="1:6" x14ac:dyDescent="0.25">
      <c r="A35577" s="2" t="str">
        <f t="shared" si="1217"/>
        <v>99999</v>
      </c>
      <c r="B35577" s="2" t="str">
        <f>"50171"</f>
        <v>50171</v>
      </c>
      <c r="C35577" s="1">
        <v>1.55631016104645E-4</v>
      </c>
      <c r="D35577" s="1">
        <v>1.18373008525891E-4</v>
      </c>
      <c r="E35577" s="1">
        <v>1.12984038831745E-4</v>
      </c>
      <c r="F35577" s="1">
        <v>1.5221225591197801E-4</v>
      </c>
    </row>
    <row r="35578" spans="1:6" x14ac:dyDescent="0.25">
      <c r="A35578" s="2" t="str">
        <f t="shared" si="1217"/>
        <v>99999</v>
      </c>
      <c r="B35578" s="2" t="str">
        <f>"50164"</f>
        <v>50164</v>
      </c>
      <c r="C35578" s="1">
        <v>7.8579475172050803E-6</v>
      </c>
      <c r="D35578" s="1">
        <v>6.0704106936354696E-6</v>
      </c>
      <c r="E35578" s="1">
        <v>0</v>
      </c>
      <c r="F35578" s="1">
        <v>7.5608702283074398E-6</v>
      </c>
    </row>
    <row r="35579" spans="1:6" x14ac:dyDescent="0.25">
      <c r="A35579" s="2" t="str">
        <f t="shared" si="1217"/>
        <v>99999</v>
      </c>
      <c r="B35579" s="2" t="str">
        <f>"50158"</f>
        <v>50158</v>
      </c>
      <c r="C35579" s="1">
        <v>2.5101776791071799E-6</v>
      </c>
      <c r="D35579" s="1">
        <v>1.51760267340886E-6</v>
      </c>
      <c r="E35579" s="1">
        <v>0</v>
      </c>
      <c r="F35579" s="1">
        <v>2.3876432299918199E-6</v>
      </c>
    </row>
    <row r="35580" spans="1:6" x14ac:dyDescent="0.25">
      <c r="A35580" s="2" t="str">
        <f t="shared" si="1217"/>
        <v>99999</v>
      </c>
      <c r="B35580" s="2" t="str">
        <f>"29934"</f>
        <v>29934</v>
      </c>
      <c r="C35580" s="1">
        <v>6.1117369578261701E-6</v>
      </c>
      <c r="D35580" s="1">
        <v>4.5528080202265997E-6</v>
      </c>
      <c r="E35580" s="1">
        <v>0</v>
      </c>
      <c r="F35580" s="1">
        <v>5.86962294039656E-6</v>
      </c>
    </row>
    <row r="35581" spans="1:6" x14ac:dyDescent="0.25">
      <c r="A35581" s="2" t="str">
        <f t="shared" si="1217"/>
        <v>99999</v>
      </c>
      <c r="B35581" s="2" t="str">
        <f>"29929"</f>
        <v>29929</v>
      </c>
      <c r="C35581" s="1">
        <v>7.0721527654845696E-5</v>
      </c>
      <c r="D35581" s="1">
        <v>3.4904861488403899E-5</v>
      </c>
      <c r="E35581" s="1">
        <v>4.3455399550671099E-6</v>
      </c>
      <c r="F35581" s="1">
        <v>6.6854010439771003E-5</v>
      </c>
    </row>
    <row r="35582" spans="1:6" x14ac:dyDescent="0.25">
      <c r="A35582" s="2" t="str">
        <f t="shared" si="1217"/>
        <v>99999</v>
      </c>
      <c r="B35582" s="2" t="str">
        <f>"29924"</f>
        <v>29924</v>
      </c>
      <c r="C35582" s="1">
        <v>2.39449122954832E-4</v>
      </c>
      <c r="D35582" s="1">
        <v>5.7668901589537E-4</v>
      </c>
      <c r="E35582" s="1">
        <v>1.17329578786812E-4</v>
      </c>
      <c r="F35582" s="1">
        <v>2.5876083505036297E-4</v>
      </c>
    </row>
    <row r="35583" spans="1:6" x14ac:dyDescent="0.25">
      <c r="A35583" s="2" t="str">
        <f t="shared" si="1217"/>
        <v>99999</v>
      </c>
      <c r="B35583" s="2" t="str">
        <f>"29916"</f>
        <v>29916</v>
      </c>
      <c r="C35583" s="1">
        <v>5.12949351817554E-5</v>
      </c>
      <c r="D35583" s="1">
        <v>2.7316848121359601E-5</v>
      </c>
      <c r="E35583" s="1">
        <v>0</v>
      </c>
      <c r="F35583" s="1">
        <v>4.8548745676500402E-5</v>
      </c>
    </row>
    <row r="35584" spans="1:6" x14ac:dyDescent="0.25">
      <c r="A35584" s="2" t="str">
        <f t="shared" si="1217"/>
        <v>99999</v>
      </c>
      <c r="B35584" s="2" t="str">
        <f>"29728"</f>
        <v>29728</v>
      </c>
      <c r="C35584" s="1">
        <v>4.9439586462415299E-4</v>
      </c>
      <c r="D35584" s="1">
        <v>5.2509052499946803E-4</v>
      </c>
      <c r="E35584" s="1">
        <v>1.5209389842734899E-4</v>
      </c>
      <c r="F35584" s="1">
        <v>4.8857149593707595E-4</v>
      </c>
    </row>
    <row r="35585" spans="1:6" x14ac:dyDescent="0.25">
      <c r="A35585" s="2" t="str">
        <f t="shared" si="1217"/>
        <v>99999</v>
      </c>
      <c r="B35585" s="2" t="str">
        <f>"29899"</f>
        <v>29899</v>
      </c>
      <c r="C35585" s="1">
        <v>0</v>
      </c>
      <c r="D35585" s="1">
        <v>1.51760267340886E-6</v>
      </c>
      <c r="E35585" s="1">
        <v>4.3455399550671099E-6</v>
      </c>
      <c r="F35585" s="1">
        <v>1.9897026916598501E-7</v>
      </c>
    </row>
    <row r="35586" spans="1:6" x14ac:dyDescent="0.25">
      <c r="A35586" s="2" t="str">
        <f t="shared" si="1217"/>
        <v>99999</v>
      </c>
      <c r="B35586" s="2" t="str">
        <f>"29827"</f>
        <v>29827</v>
      </c>
      <c r="C35586" s="1">
        <v>1.5453963450503299E-4</v>
      </c>
      <c r="D35586" s="1">
        <v>1.09267392485438E-4</v>
      </c>
      <c r="E35586" s="1">
        <v>2.2596807766349001E-4</v>
      </c>
      <c r="F35586" s="1">
        <v>1.5320710725780801E-4</v>
      </c>
    </row>
    <row r="35587" spans="1:6" x14ac:dyDescent="0.25">
      <c r="A35587" s="2" t="str">
        <f t="shared" si="1217"/>
        <v>99999</v>
      </c>
      <c r="B35587" s="2" t="str">
        <f>"29649"</f>
        <v>29649</v>
      </c>
      <c r="C35587" s="1">
        <v>1.2114335755691101E-5</v>
      </c>
      <c r="D35587" s="1">
        <v>0</v>
      </c>
      <c r="E35587" s="1">
        <v>0</v>
      </c>
      <c r="F35587" s="1">
        <v>1.10428499387121E-5</v>
      </c>
    </row>
    <row r="35588" spans="1:6" x14ac:dyDescent="0.25">
      <c r="A35588" s="2" t="str">
        <f t="shared" si="1217"/>
        <v>99999</v>
      </c>
      <c r="B35588" s="2" t="str">
        <f>"29550"</f>
        <v>29550</v>
      </c>
      <c r="C35588" s="1">
        <v>1.37077528911244E-4</v>
      </c>
      <c r="D35588" s="1">
        <v>3.6422464161812797E-5</v>
      </c>
      <c r="E35588" s="1">
        <v>0</v>
      </c>
      <c r="F35588" s="1">
        <v>1.2734097226622999E-4</v>
      </c>
    </row>
    <row r="35589" spans="1:6" x14ac:dyDescent="0.25">
      <c r="A35589" s="2" t="str">
        <f t="shared" si="1217"/>
        <v>99999</v>
      </c>
      <c r="B35589" s="2" t="str">
        <f>"29493"</f>
        <v>29493</v>
      </c>
      <c r="C35589" s="1">
        <v>2.6193158390683598E-6</v>
      </c>
      <c r="D35589" s="1">
        <v>4.5528080202265997E-6</v>
      </c>
      <c r="E35589" s="1">
        <v>0</v>
      </c>
      <c r="F35589" s="1">
        <v>2.6860986337408002E-6</v>
      </c>
    </row>
    <row r="35590" spans="1:6" x14ac:dyDescent="0.25">
      <c r="A35590" s="2" t="str">
        <f t="shared" si="1217"/>
        <v>99999</v>
      </c>
      <c r="B35590" s="2" t="str">
        <f>"29038"</f>
        <v>29038</v>
      </c>
      <c r="C35590" s="1">
        <v>5.4569079980590801E-7</v>
      </c>
      <c r="D35590" s="1">
        <v>0</v>
      </c>
      <c r="E35590" s="1">
        <v>0</v>
      </c>
      <c r="F35590" s="1">
        <v>4.9742567291496303E-7</v>
      </c>
    </row>
    <row r="35591" spans="1:6" x14ac:dyDescent="0.25">
      <c r="A35591" s="2" t="str">
        <f t="shared" si="1217"/>
        <v>99999</v>
      </c>
      <c r="B35591" s="2" t="str">
        <f>"28903"</f>
        <v>28903</v>
      </c>
      <c r="C35591" s="1">
        <v>0</v>
      </c>
      <c r="D35591" s="1">
        <v>1.51760267340886E-6</v>
      </c>
      <c r="E35591" s="1">
        <v>4.3455399550671099E-6</v>
      </c>
      <c r="F35591" s="1">
        <v>1.9897026916598501E-7</v>
      </c>
    </row>
    <row r="35592" spans="1:6" x14ac:dyDescent="0.25">
      <c r="A35592" s="2" t="str">
        <f t="shared" si="1217"/>
        <v>99999</v>
      </c>
      <c r="B35592" s="2" t="str">
        <f>"28792"</f>
        <v>28792</v>
      </c>
      <c r="C35592" s="1">
        <v>1.52793423945654E-6</v>
      </c>
      <c r="D35592" s="1">
        <v>0</v>
      </c>
      <c r="E35592" s="1">
        <v>0</v>
      </c>
      <c r="F35592" s="1">
        <v>1.39279188416189E-6</v>
      </c>
    </row>
    <row r="35593" spans="1:6" x14ac:dyDescent="0.25">
      <c r="A35593" s="2" t="str">
        <f t="shared" si="1217"/>
        <v>99999</v>
      </c>
      <c r="B35593" s="2" t="str">
        <f>"28765"</f>
        <v>28765</v>
      </c>
      <c r="C35593" s="1">
        <v>0</v>
      </c>
      <c r="D35593" s="1">
        <v>0</v>
      </c>
      <c r="E35593" s="1">
        <v>4.3455399550671099E-6</v>
      </c>
      <c r="F35593" s="1">
        <v>9.9485134582992598E-8</v>
      </c>
    </row>
    <row r="35594" spans="1:6" x14ac:dyDescent="0.25">
      <c r="A35594" s="2" t="str">
        <f t="shared" si="1217"/>
        <v>99999</v>
      </c>
      <c r="B35594" s="2" t="str">
        <f>"28771"</f>
        <v>28771</v>
      </c>
      <c r="C35594" s="1">
        <v>4.1963622505074299E-4</v>
      </c>
      <c r="D35594" s="1">
        <v>2.0791156625701499E-4</v>
      </c>
      <c r="E35594" s="1">
        <v>6.0837559370939603E-5</v>
      </c>
      <c r="F35594" s="1">
        <v>3.9754259779363802E-4</v>
      </c>
    </row>
    <row r="35595" spans="1:6" x14ac:dyDescent="0.25">
      <c r="A35595" s="2" t="str">
        <f t="shared" si="1217"/>
        <v>99999</v>
      </c>
      <c r="B35595" s="2" t="str">
        <f>"28782"</f>
        <v>28782</v>
      </c>
      <c r="C35595" s="1">
        <v>4.0010049441769198E-4</v>
      </c>
      <c r="D35595" s="1">
        <v>4.7500963677697602E-4</v>
      </c>
      <c r="E35595" s="1">
        <v>3.8240751604590601E-4</v>
      </c>
      <c r="F35595" s="1">
        <v>4.0460604234903097E-4</v>
      </c>
    </row>
    <row r="35596" spans="1:6" x14ac:dyDescent="0.25">
      <c r="A35596" s="2" t="str">
        <f t="shared" si="1217"/>
        <v>99999</v>
      </c>
      <c r="B35596" s="2" t="str">
        <f>"28755"</f>
        <v>28755</v>
      </c>
      <c r="C35596" s="1">
        <v>0</v>
      </c>
      <c r="D35596" s="1">
        <v>0</v>
      </c>
      <c r="E35596" s="1">
        <v>4.3455399550671099E-6</v>
      </c>
      <c r="F35596" s="1">
        <v>9.9485134582992598E-8</v>
      </c>
    </row>
    <row r="35597" spans="1:6" x14ac:dyDescent="0.25">
      <c r="A35597" s="2" t="str">
        <f t="shared" si="1217"/>
        <v>99999</v>
      </c>
      <c r="B35597" s="2" t="str">
        <f>"28574"</f>
        <v>28574</v>
      </c>
      <c r="C35597" s="1">
        <v>7.0939803974768102E-6</v>
      </c>
      <c r="D35597" s="1">
        <v>0</v>
      </c>
      <c r="E35597" s="1">
        <v>0</v>
      </c>
      <c r="F35597" s="1">
        <v>6.4665337478945197E-6</v>
      </c>
    </row>
    <row r="35598" spans="1:6" x14ac:dyDescent="0.25">
      <c r="A35598" s="2" t="str">
        <f t="shared" si="1217"/>
        <v>99999</v>
      </c>
      <c r="B35598" s="2" t="str">
        <f>"28430"</f>
        <v>28430</v>
      </c>
      <c r="C35598" s="1">
        <v>8.3490692370303995E-5</v>
      </c>
      <c r="D35598" s="1">
        <v>1.8211232080906399E-5</v>
      </c>
      <c r="E35598" s="1">
        <v>0</v>
      </c>
      <c r="F35598" s="1">
        <v>7.7299949570985204E-5</v>
      </c>
    </row>
    <row r="35599" spans="1:6" x14ac:dyDescent="0.25">
      <c r="A35599" s="2" t="str">
        <f t="shared" si="1217"/>
        <v>99999</v>
      </c>
      <c r="B35599" s="2" t="str">
        <f>"28538"</f>
        <v>28538</v>
      </c>
      <c r="C35599" s="1">
        <v>9.2112607007237296E-5</v>
      </c>
      <c r="D35599" s="1">
        <v>3.9457669508630602E-5</v>
      </c>
      <c r="E35599" s="1">
        <v>0</v>
      </c>
      <c r="F35599" s="1">
        <v>8.6552067087203503E-5</v>
      </c>
    </row>
    <row r="35600" spans="1:6" x14ac:dyDescent="0.25">
      <c r="A35600" s="2" t="str">
        <f t="shared" si="1217"/>
        <v>99999</v>
      </c>
      <c r="B35600" s="2" t="str">
        <f>"28382"</f>
        <v>28382</v>
      </c>
      <c r="C35600" s="1">
        <v>3.13444795408513E-4</v>
      </c>
      <c r="D35600" s="1">
        <v>1.8362992348247299E-4</v>
      </c>
      <c r="E35600" s="1">
        <v>1.7382159820268399E-5</v>
      </c>
      <c r="F35600" s="1">
        <v>2.9815694834522803E-4</v>
      </c>
    </row>
    <row r="35601" spans="1:6" x14ac:dyDescent="0.25">
      <c r="A35601" s="2" t="str">
        <f t="shared" si="1217"/>
        <v>99999</v>
      </c>
      <c r="B35601" s="2" t="str">
        <f>"28139"</f>
        <v>28139</v>
      </c>
      <c r="C35601" s="1">
        <v>6.4064099897213604E-5</v>
      </c>
      <c r="D35601" s="1">
        <v>2.2764040101133E-5</v>
      </c>
      <c r="E35601" s="1">
        <v>0</v>
      </c>
      <c r="F35601" s="1">
        <v>5.98900510189615E-5</v>
      </c>
    </row>
    <row r="35602" spans="1:6" x14ac:dyDescent="0.25">
      <c r="A35602" s="2" t="str">
        <f t="shared" ref="A35602:A35665" si="1218">"99999"</f>
        <v>99999</v>
      </c>
      <c r="B35602" s="2" t="str">
        <f>"27872"</f>
        <v>27872</v>
      </c>
      <c r="C35602" s="1">
        <v>4.9112171982531701E-6</v>
      </c>
      <c r="D35602" s="1">
        <v>4.5528080202265997E-6</v>
      </c>
      <c r="E35602" s="1">
        <v>0</v>
      </c>
      <c r="F35602" s="1">
        <v>4.7752864599836398E-6</v>
      </c>
    </row>
    <row r="35603" spans="1:6" x14ac:dyDescent="0.25">
      <c r="A35603" s="2" t="str">
        <f t="shared" si="1218"/>
        <v>99999</v>
      </c>
      <c r="B35603" s="2" t="str">
        <f>"27883"</f>
        <v>27883</v>
      </c>
      <c r="C35603" s="1">
        <v>5.0858382541910597E-5</v>
      </c>
      <c r="D35603" s="1">
        <v>1.5176026734088599E-5</v>
      </c>
      <c r="E35603" s="1">
        <v>0</v>
      </c>
      <c r="F35603" s="1">
        <v>4.7354924061504399E-5</v>
      </c>
    </row>
    <row r="35604" spans="1:6" x14ac:dyDescent="0.25">
      <c r="A35604" s="2" t="str">
        <f t="shared" si="1218"/>
        <v>99999</v>
      </c>
      <c r="B35604" s="2" t="str">
        <f>"27847"</f>
        <v>27847</v>
      </c>
      <c r="C35604" s="1">
        <v>2.5429191270955298E-5</v>
      </c>
      <c r="D35604" s="1">
        <v>1.3658424060679801E-5</v>
      </c>
      <c r="E35604" s="1">
        <v>0</v>
      </c>
      <c r="F35604" s="1">
        <v>2.40754025690842E-5</v>
      </c>
    </row>
    <row r="35605" spans="1:6" x14ac:dyDescent="0.25">
      <c r="A35605" s="2" t="str">
        <f t="shared" si="1218"/>
        <v>99999</v>
      </c>
      <c r="B35605" s="2" t="str">
        <f>"27928"</f>
        <v>27928</v>
      </c>
      <c r="C35605" s="1">
        <v>1.0531832436254E-4</v>
      </c>
      <c r="D35605" s="1">
        <v>9.8644173771576501E-5</v>
      </c>
      <c r="E35605" s="1">
        <v>0</v>
      </c>
      <c r="F35605" s="1">
        <v>1.02469688620482E-4</v>
      </c>
    </row>
    <row r="35606" spans="1:6" x14ac:dyDescent="0.25">
      <c r="A35606" s="2" t="str">
        <f t="shared" si="1218"/>
        <v>99999</v>
      </c>
      <c r="B35606" s="2" t="str">
        <f>"27805"</f>
        <v>27805</v>
      </c>
      <c r="C35606" s="1">
        <v>1.5672239770425601E-4</v>
      </c>
      <c r="D35606" s="1">
        <v>8.1950544364078906E-5</v>
      </c>
      <c r="E35606" s="1">
        <v>1.6513051829255E-4</v>
      </c>
      <c r="F35606" s="1">
        <v>1.52013285642812E-4</v>
      </c>
    </row>
    <row r="35607" spans="1:6" x14ac:dyDescent="0.25">
      <c r="A35607" s="2" t="str">
        <f t="shared" si="1218"/>
        <v>99999</v>
      </c>
      <c r="B35607" s="2" t="str">
        <f>"27281"</f>
        <v>27281</v>
      </c>
      <c r="C35607" s="1">
        <v>3.2959724308276802E-5</v>
      </c>
      <c r="D35607" s="1">
        <v>9.1056160404532095E-6</v>
      </c>
      <c r="E35607" s="1">
        <v>0</v>
      </c>
      <c r="F35607" s="1">
        <v>3.0641421451561699E-5</v>
      </c>
    </row>
    <row r="35608" spans="1:6" x14ac:dyDescent="0.25">
      <c r="A35608" s="2" t="str">
        <f t="shared" si="1218"/>
        <v>99999</v>
      </c>
      <c r="B35608" s="2" t="str">
        <f>"27249"</f>
        <v>27249</v>
      </c>
      <c r="C35608" s="1">
        <v>2.78302307901013E-5</v>
      </c>
      <c r="D35608" s="1">
        <v>2.5799245447950699E-5</v>
      </c>
      <c r="E35608" s="1">
        <v>8.69107991013423E-6</v>
      </c>
      <c r="F35608" s="1">
        <v>2.7258926875739899E-5</v>
      </c>
    </row>
    <row r="35609" spans="1:6" x14ac:dyDescent="0.25">
      <c r="A35609" s="2" t="str">
        <f t="shared" si="1218"/>
        <v>99999</v>
      </c>
      <c r="B35609" s="2" t="str">
        <f>"26855"</f>
        <v>26855</v>
      </c>
      <c r="C35609" s="1">
        <v>2.7393678150256599E-5</v>
      </c>
      <c r="D35609" s="1">
        <v>4.5528080202265997E-6</v>
      </c>
      <c r="E35609" s="1">
        <v>0</v>
      </c>
      <c r="F35609" s="1">
        <v>2.5269224184080101E-5</v>
      </c>
    </row>
    <row r="35610" spans="1:6" x14ac:dyDescent="0.25">
      <c r="A35610" s="2" t="str">
        <f t="shared" si="1218"/>
        <v>99999</v>
      </c>
      <c r="B35610" s="2" t="str">
        <f>"26838"</f>
        <v>26838</v>
      </c>
      <c r="C35610" s="1">
        <v>4.3655263984472599E-6</v>
      </c>
      <c r="D35610" s="1">
        <v>0</v>
      </c>
      <c r="E35610" s="1">
        <v>4.3455399550671099E-6</v>
      </c>
      <c r="F35610" s="1">
        <v>4.07889051790269E-6</v>
      </c>
    </row>
    <row r="35611" spans="1:6" x14ac:dyDescent="0.25">
      <c r="A35611" s="2" t="str">
        <f t="shared" si="1218"/>
        <v>99999</v>
      </c>
      <c r="B35611" s="2" t="str">
        <f>"26802"</f>
        <v>26802</v>
      </c>
      <c r="C35611" s="1">
        <v>5.2168040461444802E-5</v>
      </c>
      <c r="D35611" s="1">
        <v>1.9728834754315301E-5</v>
      </c>
      <c r="E35611" s="1">
        <v>8.69107991013423E-6</v>
      </c>
      <c r="F35611" s="1">
        <v>4.9046171349415299E-5</v>
      </c>
    </row>
    <row r="35612" spans="1:6" x14ac:dyDescent="0.25">
      <c r="A35612" s="2" t="str">
        <f t="shared" si="1218"/>
        <v>99999</v>
      </c>
      <c r="B35612" s="2" t="str">
        <f>"26434"</f>
        <v>26434</v>
      </c>
      <c r="C35612" s="1">
        <v>0</v>
      </c>
      <c r="D35612" s="1">
        <v>1.51760267340886E-6</v>
      </c>
      <c r="E35612" s="1">
        <v>0</v>
      </c>
      <c r="F35612" s="1">
        <v>9.9485134582992598E-8</v>
      </c>
    </row>
    <row r="35613" spans="1:6" x14ac:dyDescent="0.25">
      <c r="A35613" s="2" t="str">
        <f t="shared" si="1218"/>
        <v>99999</v>
      </c>
      <c r="B35613" s="2" t="str">
        <f>"26430"</f>
        <v>26430</v>
      </c>
      <c r="C35613" s="1">
        <v>1.7789520073672599E-5</v>
      </c>
      <c r="D35613" s="1">
        <v>9.1056160404532095E-6</v>
      </c>
      <c r="E35613" s="1">
        <v>4.3455399550671099E-6</v>
      </c>
      <c r="F35613" s="1">
        <v>1.69124728791087E-5</v>
      </c>
    </row>
    <row r="35614" spans="1:6" x14ac:dyDescent="0.25">
      <c r="A35614" s="2" t="str">
        <f t="shared" si="1218"/>
        <v>99999</v>
      </c>
      <c r="B35614" s="2" t="str">
        <f>"26421"</f>
        <v>26421</v>
      </c>
      <c r="C35614" s="1">
        <v>1.34239936752253E-5</v>
      </c>
      <c r="D35614" s="1">
        <v>4.5528080202265997E-6</v>
      </c>
      <c r="E35614" s="1">
        <v>0</v>
      </c>
      <c r="F35614" s="1">
        <v>1.2535126957457E-5</v>
      </c>
    </row>
    <row r="35615" spans="1:6" x14ac:dyDescent="0.25">
      <c r="A35615" s="2" t="str">
        <f t="shared" si="1218"/>
        <v>99999</v>
      </c>
      <c r="B35615" s="2" t="str">
        <f>"26419"</f>
        <v>26419</v>
      </c>
      <c r="C35615" s="1">
        <v>3.8853184946180599E-5</v>
      </c>
      <c r="D35615" s="1">
        <v>2.88344507947685E-5</v>
      </c>
      <c r="E35615" s="1">
        <v>0</v>
      </c>
      <c r="F35615" s="1">
        <v>3.73069254686222E-5</v>
      </c>
    </row>
    <row r="35616" spans="1:6" x14ac:dyDescent="0.25">
      <c r="A35616" s="2" t="str">
        <f t="shared" si="1218"/>
        <v>99999</v>
      </c>
      <c r="B35616" s="2" t="str">
        <f>"26377"</f>
        <v>26377</v>
      </c>
      <c r="C35616" s="1">
        <v>3.2741447988354499E-5</v>
      </c>
      <c r="D35616" s="1">
        <v>1.9728834754315301E-5</v>
      </c>
      <c r="E35616" s="1">
        <v>0</v>
      </c>
      <c r="F35616" s="1">
        <v>3.1138847124476597E-5</v>
      </c>
    </row>
    <row r="35617" spans="1:6" x14ac:dyDescent="0.25">
      <c r="A35617" s="2" t="str">
        <f t="shared" si="1218"/>
        <v>99999</v>
      </c>
      <c r="B35617" s="2" t="str">
        <f>"26376"</f>
        <v>26376</v>
      </c>
      <c r="C35617" s="1">
        <v>3.09952374289756E-5</v>
      </c>
      <c r="D35617" s="1">
        <v>4.5528080202265997E-6</v>
      </c>
      <c r="E35617" s="1">
        <v>4.3455399550671099E-6</v>
      </c>
      <c r="F35617" s="1">
        <v>2.86517187599018E-5</v>
      </c>
    </row>
    <row r="35618" spans="1:6" x14ac:dyDescent="0.25">
      <c r="A35618" s="2" t="str">
        <f t="shared" si="1218"/>
        <v>99999</v>
      </c>
      <c r="B35618" s="2" t="str">
        <f>"26349"</f>
        <v>26349</v>
      </c>
      <c r="C35618" s="1">
        <v>0</v>
      </c>
      <c r="D35618" s="1">
        <v>1.51760267340886E-6</v>
      </c>
      <c r="E35618" s="1">
        <v>0</v>
      </c>
      <c r="F35618" s="1">
        <v>9.9485134582992598E-8</v>
      </c>
    </row>
    <row r="35619" spans="1:6" x14ac:dyDescent="0.25">
      <c r="A35619" s="2" t="str">
        <f t="shared" si="1218"/>
        <v>99999</v>
      </c>
      <c r="B35619" s="2" t="str">
        <f>"26330"</f>
        <v>26330</v>
      </c>
      <c r="C35619" s="1">
        <v>3.05586847891308E-6</v>
      </c>
      <c r="D35619" s="1">
        <v>0</v>
      </c>
      <c r="E35619" s="1">
        <v>0</v>
      </c>
      <c r="F35619" s="1">
        <v>2.7855837683237898E-6</v>
      </c>
    </row>
    <row r="35620" spans="1:6" x14ac:dyDescent="0.25">
      <c r="A35620" s="2" t="str">
        <f t="shared" si="1218"/>
        <v>99999</v>
      </c>
      <c r="B35620" s="2" t="str">
        <f>"26343"</f>
        <v>26343</v>
      </c>
      <c r="C35620" s="1">
        <v>3.3068862468237998E-5</v>
      </c>
      <c r="D35620" s="1">
        <v>7.5880133670443404E-6</v>
      </c>
      <c r="E35620" s="1">
        <v>8.69107991013423E-6</v>
      </c>
      <c r="F35620" s="1">
        <v>3.0840391720727703E-5</v>
      </c>
    </row>
    <row r="35621" spans="1:6" x14ac:dyDescent="0.25">
      <c r="A35621" s="2" t="str">
        <f t="shared" si="1218"/>
        <v>99999</v>
      </c>
      <c r="B35621" s="2" t="str">
        <f>"26338"</f>
        <v>26338</v>
      </c>
      <c r="C35621" s="1">
        <v>4.0490257345598397E-5</v>
      </c>
      <c r="D35621" s="1">
        <v>1.3658424060679801E-5</v>
      </c>
      <c r="E35621" s="1">
        <v>4.3455399550671099E-6</v>
      </c>
      <c r="F35621" s="1">
        <v>3.7903836276120103E-5</v>
      </c>
    </row>
    <row r="35622" spans="1:6" x14ac:dyDescent="0.25">
      <c r="A35622" s="2" t="str">
        <f t="shared" si="1218"/>
        <v>99999</v>
      </c>
      <c r="B35622" s="2" t="str">
        <f>"26690"</f>
        <v>26690</v>
      </c>
      <c r="C35622" s="1">
        <v>7.5305330373215401E-6</v>
      </c>
      <c r="D35622" s="1">
        <v>0</v>
      </c>
      <c r="E35622" s="1">
        <v>4.3455399550671099E-6</v>
      </c>
      <c r="F35622" s="1">
        <v>6.9639594208094801E-6</v>
      </c>
    </row>
    <row r="35623" spans="1:6" x14ac:dyDescent="0.25">
      <c r="A35623" s="2" t="str">
        <f t="shared" si="1218"/>
        <v>99999</v>
      </c>
      <c r="B35623" s="2" t="str">
        <f>"26710"</f>
        <v>26710</v>
      </c>
      <c r="C35623" s="1">
        <v>9.8224343965063504E-6</v>
      </c>
      <c r="D35623" s="1">
        <v>6.0704106936354696E-6</v>
      </c>
      <c r="E35623" s="1">
        <v>0</v>
      </c>
      <c r="F35623" s="1">
        <v>9.3516026508012996E-6</v>
      </c>
    </row>
    <row r="35624" spans="1:6" x14ac:dyDescent="0.25">
      <c r="A35624" s="2" t="str">
        <f t="shared" si="1218"/>
        <v>99999</v>
      </c>
      <c r="B35624" s="2" t="str">
        <f>"26638"</f>
        <v>26638</v>
      </c>
      <c r="C35624" s="1">
        <v>8.9493291168169008E-6</v>
      </c>
      <c r="D35624" s="1">
        <v>4.5528080202265997E-6</v>
      </c>
      <c r="E35624" s="1">
        <v>4.3455399550671099E-6</v>
      </c>
      <c r="F35624" s="1">
        <v>8.5557215741373606E-6</v>
      </c>
    </row>
    <row r="35625" spans="1:6" x14ac:dyDescent="0.25">
      <c r="A35625" s="2" t="str">
        <f t="shared" si="1218"/>
        <v>99999</v>
      </c>
      <c r="B35625" s="2" t="str">
        <f>"26629"</f>
        <v>26629</v>
      </c>
      <c r="C35625" s="1">
        <v>2.4446947831304701E-5</v>
      </c>
      <c r="D35625" s="1">
        <v>4.5528080202265997E-6</v>
      </c>
      <c r="E35625" s="1">
        <v>4.3455399550671099E-6</v>
      </c>
      <c r="F35625" s="1">
        <v>2.2682610684922299E-5</v>
      </c>
    </row>
    <row r="35626" spans="1:6" x14ac:dyDescent="0.25">
      <c r="A35626" s="2" t="str">
        <f t="shared" si="1218"/>
        <v>99999</v>
      </c>
      <c r="B35626" s="2" t="str">
        <f>"26275"</f>
        <v>26275</v>
      </c>
      <c r="C35626" s="1">
        <v>0</v>
      </c>
      <c r="D35626" s="1">
        <v>0</v>
      </c>
      <c r="E35626" s="1">
        <v>4.3455399550671099E-6</v>
      </c>
      <c r="F35626" s="1">
        <v>9.9485134582992598E-8</v>
      </c>
    </row>
    <row r="35627" spans="1:6" x14ac:dyDescent="0.25">
      <c r="A35627" s="2" t="str">
        <f t="shared" si="1218"/>
        <v>99999</v>
      </c>
      <c r="B35627" s="2" t="str">
        <f>"26254"</f>
        <v>26254</v>
      </c>
      <c r="C35627" s="1">
        <v>3.6015592787189902E-6</v>
      </c>
      <c r="D35627" s="1">
        <v>0</v>
      </c>
      <c r="E35627" s="1">
        <v>0</v>
      </c>
      <c r="F35627" s="1">
        <v>3.2830094412387502E-6</v>
      </c>
    </row>
    <row r="35628" spans="1:6" x14ac:dyDescent="0.25">
      <c r="A35628" s="2" t="str">
        <f t="shared" si="1218"/>
        <v>99999</v>
      </c>
      <c r="B35628" s="2" t="str">
        <f>"26234"</f>
        <v>26234</v>
      </c>
      <c r="C35628" s="1">
        <v>5.3695974700901398E-5</v>
      </c>
      <c r="D35628" s="1">
        <v>1.9728834754315301E-5</v>
      </c>
      <c r="E35628" s="1">
        <v>0</v>
      </c>
      <c r="F35628" s="1">
        <v>5.02399929644112E-5</v>
      </c>
    </row>
    <row r="35629" spans="1:6" x14ac:dyDescent="0.25">
      <c r="A35629" s="2" t="str">
        <f t="shared" si="1218"/>
        <v>99999</v>
      </c>
      <c r="B35629" s="2" t="str">
        <f>"26215"</f>
        <v>26215</v>
      </c>
      <c r="C35629" s="1">
        <v>7.2031185574379897E-6</v>
      </c>
      <c r="D35629" s="1">
        <v>3.0352053468177301E-6</v>
      </c>
      <c r="E35629" s="1">
        <v>4.3455399550671099E-6</v>
      </c>
      <c r="F35629" s="1">
        <v>6.86447428622649E-6</v>
      </c>
    </row>
    <row r="35630" spans="1:6" x14ac:dyDescent="0.25">
      <c r="A35630" s="2" t="str">
        <f t="shared" si="1218"/>
        <v>99999</v>
      </c>
      <c r="B35630" s="2" t="str">
        <f>"26209"</f>
        <v>26209</v>
      </c>
      <c r="C35630" s="1">
        <v>0</v>
      </c>
      <c r="D35630" s="1">
        <v>1.51760267340886E-6</v>
      </c>
      <c r="E35630" s="1">
        <v>0</v>
      </c>
      <c r="F35630" s="1">
        <v>9.9485134582992598E-8</v>
      </c>
    </row>
    <row r="35631" spans="1:6" x14ac:dyDescent="0.25">
      <c r="A35631" s="2" t="str">
        <f t="shared" si="1218"/>
        <v>99999</v>
      </c>
      <c r="B35631" s="2" t="str">
        <f>"26217"</f>
        <v>26217</v>
      </c>
      <c r="C35631" s="1">
        <v>1.9863145112935E-5</v>
      </c>
      <c r="D35631" s="1">
        <v>7.5880133670443404E-6</v>
      </c>
      <c r="E35631" s="1">
        <v>4.3455399550671099E-6</v>
      </c>
      <c r="F35631" s="1">
        <v>1.8703205301602599E-5</v>
      </c>
    </row>
    <row r="35632" spans="1:6" x14ac:dyDescent="0.25">
      <c r="A35632" s="2" t="str">
        <f t="shared" si="1218"/>
        <v>99999</v>
      </c>
      <c r="B35632" s="2" t="str">
        <f>"26201"</f>
        <v>26201</v>
      </c>
      <c r="C35632" s="1">
        <v>1.0162945455585201E-3</v>
      </c>
      <c r="D35632" s="1">
        <v>1.0896387195075601E-3</v>
      </c>
      <c r="E35632" s="1">
        <v>8.0392489168741599E-4</v>
      </c>
      <c r="F35632" s="1">
        <v>1.0162406497652599E-3</v>
      </c>
    </row>
    <row r="35633" spans="1:6" x14ac:dyDescent="0.25">
      <c r="A35633" s="2" t="str">
        <f t="shared" si="1218"/>
        <v>99999</v>
      </c>
      <c r="B35633" s="2" t="str">
        <f>"25676"</f>
        <v>25676</v>
      </c>
      <c r="C35633" s="1">
        <v>3.4705934867655701E-5</v>
      </c>
      <c r="D35633" s="1">
        <v>3.0352053468177301E-6</v>
      </c>
      <c r="E35633" s="1">
        <v>4.3455399550671099E-6</v>
      </c>
      <c r="F35633" s="1">
        <v>3.1934728201140598E-5</v>
      </c>
    </row>
    <row r="35634" spans="1:6" x14ac:dyDescent="0.25">
      <c r="A35634" s="2" t="str">
        <f t="shared" si="1218"/>
        <v>99999</v>
      </c>
      <c r="B35634" s="2" t="str">
        <f>"26159"</f>
        <v>26159</v>
      </c>
      <c r="C35634" s="1">
        <v>1.3893287763058399E-4</v>
      </c>
      <c r="D35634" s="1">
        <v>1.00161776444985E-4</v>
      </c>
      <c r="E35634" s="1">
        <v>6.5183099326006705E-5</v>
      </c>
      <c r="F35634" s="1">
        <v>1.3470287222537201E-4</v>
      </c>
    </row>
    <row r="35635" spans="1:6" x14ac:dyDescent="0.25">
      <c r="A35635" s="2" t="str">
        <f t="shared" si="1218"/>
        <v>99999</v>
      </c>
      <c r="B35635" s="2" t="str">
        <f>"26137"</f>
        <v>26137</v>
      </c>
      <c r="C35635" s="1">
        <v>4.5838027183696297E-5</v>
      </c>
      <c r="D35635" s="1">
        <v>3.0352053468177301E-6</v>
      </c>
      <c r="E35635" s="1">
        <v>0</v>
      </c>
      <c r="F35635" s="1">
        <v>4.1982726794022798E-5</v>
      </c>
    </row>
    <row r="35636" spans="1:6" x14ac:dyDescent="0.25">
      <c r="A35636" s="2" t="str">
        <f t="shared" si="1218"/>
        <v>99999</v>
      </c>
      <c r="B35636" s="2" t="str">
        <f>"26167"</f>
        <v>26167</v>
      </c>
      <c r="C35636" s="1">
        <v>3.1977480868626198E-5</v>
      </c>
      <c r="D35636" s="1">
        <v>1.21408213872709E-5</v>
      </c>
      <c r="E35636" s="1">
        <v>8.69107991013423E-6</v>
      </c>
      <c r="F35636" s="1">
        <v>3.01439957786467E-5</v>
      </c>
    </row>
    <row r="35637" spans="1:6" x14ac:dyDescent="0.25">
      <c r="A35637" s="2" t="str">
        <f t="shared" si="1218"/>
        <v>99999</v>
      </c>
      <c r="B35637" s="2" t="str">
        <f>"25986"</f>
        <v>25986</v>
      </c>
      <c r="C35637" s="1">
        <v>0</v>
      </c>
      <c r="D35637" s="1">
        <v>1.51760267340886E-6</v>
      </c>
      <c r="E35637" s="1">
        <v>0</v>
      </c>
      <c r="F35637" s="1">
        <v>9.9485134582992598E-8</v>
      </c>
    </row>
    <row r="35638" spans="1:6" x14ac:dyDescent="0.25">
      <c r="A35638" s="2" t="str">
        <f t="shared" si="1218"/>
        <v>99999</v>
      </c>
      <c r="B35638" s="2" t="str">
        <f>"25981"</f>
        <v>25981</v>
      </c>
      <c r="C35638" s="1">
        <v>3.1977480868626198E-5</v>
      </c>
      <c r="D35638" s="1">
        <v>4.5528080202265997E-6</v>
      </c>
      <c r="E35638" s="1">
        <v>0</v>
      </c>
      <c r="F35638" s="1">
        <v>2.9447599836565802E-5</v>
      </c>
    </row>
    <row r="35639" spans="1:6" x14ac:dyDescent="0.25">
      <c r="A35639" s="2" t="str">
        <f t="shared" si="1218"/>
        <v>99999</v>
      </c>
      <c r="B35639" s="2" t="str">
        <f>"25962"</f>
        <v>25962</v>
      </c>
      <c r="C35639" s="1">
        <v>2.8277697245942098E-4</v>
      </c>
      <c r="D35639" s="1">
        <v>4.27963953901301E-4</v>
      </c>
      <c r="E35639" s="1">
        <v>1.8207812411731199E-3</v>
      </c>
      <c r="F35639" s="1">
        <v>3.2750506304721102E-4</v>
      </c>
    </row>
    <row r="35640" spans="1:6" x14ac:dyDescent="0.25">
      <c r="A35640" s="2" t="str">
        <f t="shared" si="1218"/>
        <v>99999</v>
      </c>
      <c r="B35640" s="2" t="str">
        <f>"25951"</f>
        <v>25951</v>
      </c>
      <c r="C35640" s="1">
        <v>4.1265138281322799E-4</v>
      </c>
      <c r="D35640" s="1">
        <v>4.7197443143015799E-4</v>
      </c>
      <c r="E35640" s="1">
        <v>1.9554929797801999E-4</v>
      </c>
      <c r="F35640" s="1">
        <v>4.1157000176984002E-4</v>
      </c>
    </row>
    <row r="35641" spans="1:6" x14ac:dyDescent="0.25">
      <c r="A35641" s="2" t="str">
        <f t="shared" si="1218"/>
        <v>99999</v>
      </c>
      <c r="B35641" s="2" t="str">
        <f>"24991"</f>
        <v>24991</v>
      </c>
      <c r="C35641" s="1">
        <v>2.3464704391654001E-5</v>
      </c>
      <c r="D35641" s="1">
        <v>1.51760267340886E-6</v>
      </c>
      <c r="E35641" s="1">
        <v>4.3455399550671099E-6</v>
      </c>
      <c r="F35641" s="1">
        <v>2.15882742045094E-5</v>
      </c>
    </row>
    <row r="35642" spans="1:6" x14ac:dyDescent="0.25">
      <c r="A35642" s="2" t="str">
        <f t="shared" si="1218"/>
        <v>99999</v>
      </c>
      <c r="B35642" s="2" t="str">
        <f>"24976"</f>
        <v>24976</v>
      </c>
      <c r="C35642" s="1">
        <v>9.6914686045529306E-5</v>
      </c>
      <c r="D35642" s="1">
        <v>2.7316848121359601E-5</v>
      </c>
      <c r="E35642" s="1">
        <v>1.7382159820268399E-5</v>
      </c>
      <c r="F35642" s="1">
        <v>9.0531472470523294E-5</v>
      </c>
    </row>
    <row r="35643" spans="1:6" x14ac:dyDescent="0.25">
      <c r="A35643" s="2" t="str">
        <f t="shared" si="1218"/>
        <v>99999</v>
      </c>
      <c r="B35643" s="2" t="str">
        <f>"24946"</f>
        <v>24946</v>
      </c>
      <c r="C35643" s="1">
        <v>9.4513646526383301E-5</v>
      </c>
      <c r="D35643" s="1">
        <v>5.4633696242719298E-5</v>
      </c>
      <c r="E35643" s="1">
        <v>0</v>
      </c>
      <c r="F35643" s="1">
        <v>8.9735591393859306E-5</v>
      </c>
    </row>
    <row r="35644" spans="1:6" x14ac:dyDescent="0.25">
      <c r="A35644" s="2" t="str">
        <f t="shared" si="1218"/>
        <v>99999</v>
      </c>
      <c r="B35644" s="2" t="str">
        <f>"24839"</f>
        <v>24839</v>
      </c>
      <c r="C35644" s="1">
        <v>1.9426592473090299E-5</v>
      </c>
      <c r="D35644" s="1">
        <v>1.51760267340886E-6</v>
      </c>
      <c r="E35644" s="1">
        <v>0</v>
      </c>
      <c r="F35644" s="1">
        <v>1.7807839090355599E-5</v>
      </c>
    </row>
    <row r="35645" spans="1:6" x14ac:dyDescent="0.25">
      <c r="A35645" s="2" t="str">
        <f t="shared" si="1218"/>
        <v>99999</v>
      </c>
      <c r="B35645" s="2" t="str">
        <f>"24830"</f>
        <v>24830</v>
      </c>
      <c r="C35645" s="1">
        <v>1.3096579195341799E-6</v>
      </c>
      <c r="D35645" s="1">
        <v>1.51760267340886E-6</v>
      </c>
      <c r="E35645" s="1">
        <v>0</v>
      </c>
      <c r="F35645" s="1">
        <v>1.2933067495789E-6</v>
      </c>
    </row>
    <row r="35646" spans="1:6" x14ac:dyDescent="0.25">
      <c r="A35646" s="2" t="str">
        <f t="shared" si="1218"/>
        <v>99999</v>
      </c>
      <c r="B35646" s="2" t="str">
        <f>"24882"</f>
        <v>24882</v>
      </c>
      <c r="C35646" s="1">
        <v>2.78302307901013E-5</v>
      </c>
      <c r="D35646" s="1">
        <v>0</v>
      </c>
      <c r="E35646" s="1">
        <v>4.3455399550671099E-6</v>
      </c>
      <c r="F35646" s="1">
        <v>2.5468194453246102E-5</v>
      </c>
    </row>
    <row r="35647" spans="1:6" x14ac:dyDescent="0.25">
      <c r="A35647" s="2" t="str">
        <f t="shared" si="1218"/>
        <v>99999</v>
      </c>
      <c r="B35647" s="2" t="str">
        <f>"24910"</f>
        <v>24910</v>
      </c>
      <c r="C35647" s="1">
        <v>2.8234041981957701E-4</v>
      </c>
      <c r="D35647" s="1">
        <v>6.37393122831725E-5</v>
      </c>
      <c r="E35647" s="1">
        <v>3.9109859595604001E-5</v>
      </c>
      <c r="F35647" s="1">
        <v>2.6244178502993399E-4</v>
      </c>
    </row>
    <row r="35648" spans="1:6" x14ac:dyDescent="0.25">
      <c r="A35648" s="2" t="str">
        <f t="shared" si="1218"/>
        <v>99999</v>
      </c>
      <c r="B35648" s="2" t="str">
        <f>"24881"</f>
        <v>24881</v>
      </c>
      <c r="C35648" s="1">
        <v>3.2741447988354498E-7</v>
      </c>
      <c r="D35648" s="1">
        <v>1.51760267340886E-6</v>
      </c>
      <c r="E35648" s="1">
        <v>0</v>
      </c>
      <c r="F35648" s="1">
        <v>3.9794053833197002E-7</v>
      </c>
    </row>
    <row r="35649" spans="1:6" x14ac:dyDescent="0.25">
      <c r="A35649" s="2" t="str">
        <f t="shared" si="1218"/>
        <v>99999</v>
      </c>
      <c r="B35649" s="2" t="str">
        <f>"24534"</f>
        <v>24534</v>
      </c>
      <c r="C35649" s="1">
        <v>8.0980514691196795E-5</v>
      </c>
      <c r="D35649" s="1">
        <v>1.0623218713862E-5</v>
      </c>
      <c r="E35649" s="1">
        <v>4.3455399550671099E-6</v>
      </c>
      <c r="F35649" s="1">
        <v>7.46138509372444E-5</v>
      </c>
    </row>
    <row r="35650" spans="1:6" x14ac:dyDescent="0.25">
      <c r="A35650" s="2" t="str">
        <f t="shared" si="1218"/>
        <v>99999</v>
      </c>
      <c r="B35650" s="2" t="str">
        <f>"24529"</f>
        <v>24529</v>
      </c>
      <c r="C35650" s="1">
        <v>1.04226942762928E-4</v>
      </c>
      <c r="D35650" s="1">
        <v>6.0704106936354703E-5</v>
      </c>
      <c r="E35650" s="1">
        <v>8.69107991013423E-6</v>
      </c>
      <c r="F35650" s="1">
        <v>9.9186679179243603E-5</v>
      </c>
    </row>
    <row r="35651" spans="1:6" x14ac:dyDescent="0.25">
      <c r="A35651" s="2" t="str">
        <f t="shared" si="1218"/>
        <v>99999</v>
      </c>
      <c r="B35651" s="2" t="str">
        <f>"24656"</f>
        <v>24656</v>
      </c>
      <c r="C35651" s="1">
        <v>1.25072331315514E-4</v>
      </c>
      <c r="D35651" s="1">
        <v>6.8292120303399095E-5</v>
      </c>
      <c r="E35651" s="1">
        <v>0</v>
      </c>
      <c r="F35651" s="1">
        <v>1.18486795288344E-4</v>
      </c>
    </row>
    <row r="35652" spans="1:6" x14ac:dyDescent="0.25">
      <c r="A35652" s="2" t="str">
        <f t="shared" si="1218"/>
        <v>99999</v>
      </c>
      <c r="B35652" s="2" t="str">
        <f>"24580"</f>
        <v>24580</v>
      </c>
      <c r="C35652" s="1">
        <v>3.3723691428005097E-5</v>
      </c>
      <c r="D35652" s="1">
        <v>9.1056160404532095E-6</v>
      </c>
      <c r="E35652" s="1">
        <v>8.69107991013423E-6</v>
      </c>
      <c r="F35652" s="1">
        <v>3.1536787662808598E-5</v>
      </c>
    </row>
    <row r="35653" spans="1:6" x14ac:dyDescent="0.25">
      <c r="A35653" s="2" t="str">
        <f t="shared" si="1218"/>
        <v>99999</v>
      </c>
      <c r="B35653" s="2" t="str">
        <f>"24607"</f>
        <v>24607</v>
      </c>
      <c r="C35653" s="1">
        <v>1.09138159961181E-7</v>
      </c>
      <c r="D35653" s="1">
        <v>1.51760267340886E-6</v>
      </c>
      <c r="E35653" s="1">
        <v>8.69107991013423E-6</v>
      </c>
      <c r="F35653" s="1">
        <v>3.9794053833197002E-7</v>
      </c>
    </row>
    <row r="35654" spans="1:6" x14ac:dyDescent="0.25">
      <c r="A35654" s="2" t="str">
        <f t="shared" si="1218"/>
        <v>99999</v>
      </c>
      <c r="B35654" s="2" t="str">
        <f>"24646"</f>
        <v>24646</v>
      </c>
      <c r="C35654" s="1">
        <v>3.2850586148315701E-5</v>
      </c>
      <c r="D35654" s="1">
        <v>0</v>
      </c>
      <c r="E35654" s="1">
        <v>4.3455399550671099E-6</v>
      </c>
      <c r="F35654" s="1">
        <v>3.0044510644063701E-5</v>
      </c>
    </row>
    <row r="35655" spans="1:6" x14ac:dyDescent="0.25">
      <c r="A35655" s="2" t="str">
        <f t="shared" si="1218"/>
        <v>99999</v>
      </c>
      <c r="B35655" s="2" t="str">
        <f>"24639"</f>
        <v>24639</v>
      </c>
      <c r="C35655" s="1">
        <v>5.0967520701871799E-5</v>
      </c>
      <c r="D35655" s="1">
        <v>1.21408213872709E-5</v>
      </c>
      <c r="E35655" s="1">
        <v>0</v>
      </c>
      <c r="F35655" s="1">
        <v>4.7255438926921502E-5</v>
      </c>
    </row>
    <row r="35656" spans="1:6" x14ac:dyDescent="0.25">
      <c r="A35656" s="2" t="str">
        <f t="shared" si="1218"/>
        <v>99999</v>
      </c>
      <c r="B35656" s="2" t="str">
        <f>"24620"</f>
        <v>24620</v>
      </c>
      <c r="C35656" s="1">
        <v>1.0706453492191901E-4</v>
      </c>
      <c r="D35656" s="1">
        <v>2.88344507947685E-5</v>
      </c>
      <c r="E35656" s="1">
        <v>0</v>
      </c>
      <c r="F35656" s="1">
        <v>9.9485134582992605E-5</v>
      </c>
    </row>
    <row r="35657" spans="1:6" x14ac:dyDescent="0.25">
      <c r="A35657" s="2" t="str">
        <f t="shared" si="1218"/>
        <v>99999</v>
      </c>
      <c r="B35657" s="2" t="str">
        <f>"24598"</f>
        <v>24598</v>
      </c>
      <c r="C35657" s="1">
        <v>1.00952797964093E-4</v>
      </c>
      <c r="D35657" s="1">
        <v>3.9457669508630602E-5</v>
      </c>
      <c r="E35657" s="1">
        <v>4.3455399550671099E-6</v>
      </c>
      <c r="F35657" s="1">
        <v>9.4709848123008907E-5</v>
      </c>
    </row>
    <row r="35658" spans="1:6" x14ac:dyDescent="0.25">
      <c r="A35658" s="2" t="str">
        <f t="shared" si="1218"/>
        <v>99999</v>
      </c>
      <c r="B35658" s="2" t="str">
        <f>"24597"</f>
        <v>24597</v>
      </c>
      <c r="C35658" s="1">
        <v>6.1117369578261703E-5</v>
      </c>
      <c r="D35658" s="1">
        <v>1.51760267340886E-6</v>
      </c>
      <c r="E35658" s="1">
        <v>4.3455399550671099E-6</v>
      </c>
      <c r="F35658" s="1">
        <v>5.5910645635641797E-5</v>
      </c>
    </row>
    <row r="35659" spans="1:6" x14ac:dyDescent="0.25">
      <c r="A35659" s="2" t="str">
        <f t="shared" si="1218"/>
        <v>99999</v>
      </c>
      <c r="B35659" s="2" t="str">
        <f>"24592"</f>
        <v>24592</v>
      </c>
      <c r="C35659" s="1">
        <v>7.7062454748590397E-4</v>
      </c>
      <c r="D35659" s="1">
        <v>1.2474693975420899E-3</v>
      </c>
      <c r="E35659" s="1">
        <v>8.86490150833691E-4</v>
      </c>
      <c r="F35659" s="1">
        <v>8.0453628337266096E-4</v>
      </c>
    </row>
    <row r="35660" spans="1:6" x14ac:dyDescent="0.25">
      <c r="A35660" s="2" t="str">
        <f t="shared" si="1218"/>
        <v>99999</v>
      </c>
      <c r="B35660" s="2" t="str">
        <f>"24649"</f>
        <v>24649</v>
      </c>
      <c r="C35660" s="1">
        <v>1.0149848876389901E-4</v>
      </c>
      <c r="D35660" s="1">
        <v>2.88344507947685E-5</v>
      </c>
      <c r="E35660" s="1">
        <v>8.69107991013423E-6</v>
      </c>
      <c r="F35660" s="1">
        <v>9.4610362988425901E-5</v>
      </c>
    </row>
    <row r="35661" spans="1:6" x14ac:dyDescent="0.25">
      <c r="A35661" s="2" t="str">
        <f t="shared" si="1218"/>
        <v>99999</v>
      </c>
      <c r="B35661" s="2" t="str">
        <f>"24558"</f>
        <v>24558</v>
      </c>
      <c r="C35661" s="1">
        <v>3.4978780267558703E-4</v>
      </c>
      <c r="D35661" s="1">
        <v>1.94253142196335E-4</v>
      </c>
      <c r="E35661" s="1">
        <v>1.12984038831745E-4</v>
      </c>
      <c r="F35661" s="1">
        <v>3.3417056706427201E-4</v>
      </c>
    </row>
    <row r="35662" spans="1:6" x14ac:dyDescent="0.25">
      <c r="A35662" s="2" t="str">
        <f t="shared" si="1218"/>
        <v>99999</v>
      </c>
      <c r="B35662" s="2" t="str">
        <f>"24432"</f>
        <v>24432</v>
      </c>
      <c r="C35662" s="1">
        <v>2.9467303189519E-6</v>
      </c>
      <c r="D35662" s="1">
        <v>0</v>
      </c>
      <c r="E35662" s="1">
        <v>0</v>
      </c>
      <c r="F35662" s="1">
        <v>2.6860986337408002E-6</v>
      </c>
    </row>
    <row r="35663" spans="1:6" x14ac:dyDescent="0.25">
      <c r="A35663" s="2" t="str">
        <f t="shared" si="1218"/>
        <v>99999</v>
      </c>
      <c r="B35663" s="2" t="str">
        <f>"24413"</f>
        <v>24413</v>
      </c>
      <c r="C35663" s="1">
        <v>2.0627112232663299E-5</v>
      </c>
      <c r="D35663" s="1">
        <v>7.5880133670443404E-6</v>
      </c>
      <c r="E35663" s="1">
        <v>0</v>
      </c>
      <c r="F35663" s="1">
        <v>1.9300116109100499E-5</v>
      </c>
    </row>
    <row r="35664" spans="1:6" x14ac:dyDescent="0.25">
      <c r="A35664" s="2" t="str">
        <f t="shared" si="1218"/>
        <v>99999</v>
      </c>
      <c r="B35664" s="2" t="str">
        <f>"24224"</f>
        <v>24224</v>
      </c>
      <c r="C35664" s="1">
        <v>2.51017767910718E-4</v>
      </c>
      <c r="D35664" s="1">
        <v>5.6151298916128101E-5</v>
      </c>
      <c r="E35664" s="1">
        <v>2.60732397304027E-5</v>
      </c>
      <c r="F35664" s="1">
        <v>2.33093670327951E-4</v>
      </c>
    </row>
    <row r="35665" spans="1:6" x14ac:dyDescent="0.25">
      <c r="A35665" s="2" t="str">
        <f t="shared" si="1218"/>
        <v>99999</v>
      </c>
      <c r="B35665" s="2" t="str">
        <f>"24381"</f>
        <v>24381</v>
      </c>
      <c r="C35665" s="1">
        <v>2.6476917606582602E-4</v>
      </c>
      <c r="D35665" s="1">
        <v>1.7755951278883701E-4</v>
      </c>
      <c r="E35665" s="1">
        <v>7.3874179236140894E-5</v>
      </c>
      <c r="F35665" s="1">
        <v>2.5468194453246102E-4</v>
      </c>
    </row>
    <row r="35666" spans="1:6" x14ac:dyDescent="0.25">
      <c r="A35666" s="2" t="str">
        <f t="shared" ref="A35666:A35729" si="1219">"99999"</f>
        <v>99999</v>
      </c>
      <c r="B35666" s="2" t="str">
        <f>"24380"</f>
        <v>24380</v>
      </c>
      <c r="C35666" s="1">
        <v>1.58577746423597E-4</v>
      </c>
      <c r="D35666" s="1">
        <v>6.2221709609763595E-5</v>
      </c>
      <c r="E35666" s="1">
        <v>1.3036619865201299E-5</v>
      </c>
      <c r="F35666" s="1">
        <v>1.4892924647073901E-4</v>
      </c>
    </row>
    <row r="35667" spans="1:6" x14ac:dyDescent="0.25">
      <c r="A35667" s="2" t="str">
        <f t="shared" si="1219"/>
        <v>99999</v>
      </c>
      <c r="B35667" s="2" t="str">
        <f>"24368"</f>
        <v>24368</v>
      </c>
      <c r="C35667" s="1">
        <v>2.30063241198171E-4</v>
      </c>
      <c r="D35667" s="1">
        <v>1.09267392485438E-4</v>
      </c>
      <c r="E35667" s="1">
        <v>1.12984038831745E-4</v>
      </c>
      <c r="F35667" s="1">
        <v>2.1946420689008099E-4</v>
      </c>
    </row>
    <row r="35668" spans="1:6" x14ac:dyDescent="0.25">
      <c r="A35668" s="2" t="str">
        <f t="shared" si="1219"/>
        <v>99999</v>
      </c>
      <c r="B35668" s="2" t="str">
        <f>"24363"</f>
        <v>24363</v>
      </c>
      <c r="C35668" s="1">
        <v>9.4186232046499795E-5</v>
      </c>
      <c r="D35668" s="1">
        <v>3.9457669508630602E-5</v>
      </c>
      <c r="E35668" s="1">
        <v>1.3036619865201299E-5</v>
      </c>
      <c r="F35668" s="1">
        <v>8.8740740048029402E-5</v>
      </c>
    </row>
    <row r="35669" spans="1:6" x14ac:dyDescent="0.25">
      <c r="A35669" s="2" t="str">
        <f t="shared" si="1219"/>
        <v>99999</v>
      </c>
      <c r="B35669" s="2" t="str">
        <f>"24354"</f>
        <v>24354</v>
      </c>
      <c r="C35669" s="1">
        <v>9.7329411053381797E-4</v>
      </c>
      <c r="D35669" s="1">
        <v>1.2975502857645799E-3</v>
      </c>
      <c r="E35669" s="1">
        <v>7.2135963254114097E-4</v>
      </c>
      <c r="F35669" s="1">
        <v>9.8878275262036307E-4</v>
      </c>
    </row>
    <row r="35670" spans="1:6" x14ac:dyDescent="0.25">
      <c r="A35670" s="2" t="str">
        <f t="shared" si="1219"/>
        <v>99999</v>
      </c>
      <c r="B35670" s="2" t="str">
        <f>"24350"</f>
        <v>24350</v>
      </c>
      <c r="C35670" s="1">
        <v>7.3013429014030505E-5</v>
      </c>
      <c r="D35670" s="1">
        <v>2.4281642774541899E-5</v>
      </c>
      <c r="E35670" s="1">
        <v>0</v>
      </c>
      <c r="F35670" s="1">
        <v>6.8147317189349896E-5</v>
      </c>
    </row>
    <row r="35671" spans="1:6" x14ac:dyDescent="0.25">
      <c r="A35671" s="2" t="str">
        <f t="shared" si="1219"/>
        <v>99999</v>
      </c>
      <c r="B35671" s="2" t="str">
        <f>"24326"</f>
        <v>24326</v>
      </c>
      <c r="C35671" s="1">
        <v>7.06123894948845E-5</v>
      </c>
      <c r="D35671" s="1">
        <v>1.3658424060679801E-5</v>
      </c>
      <c r="E35671" s="1">
        <v>4.3455399550671099E-6</v>
      </c>
      <c r="F35671" s="1">
        <v>6.53617334210261E-5</v>
      </c>
    </row>
    <row r="35672" spans="1:6" x14ac:dyDescent="0.25">
      <c r="A35672" s="2" t="str">
        <f t="shared" si="1219"/>
        <v>99999</v>
      </c>
      <c r="B35672" s="2" t="str">
        <f>"24244"</f>
        <v>24244</v>
      </c>
      <c r="C35672" s="1">
        <v>4.9112171982531698E-5</v>
      </c>
      <c r="D35672" s="1">
        <v>1.66936294074975E-5</v>
      </c>
      <c r="E35672" s="1">
        <v>8.69107991013423E-6</v>
      </c>
      <c r="F35672" s="1">
        <v>4.60616173119255E-5</v>
      </c>
    </row>
    <row r="35673" spans="1:6" x14ac:dyDescent="0.25">
      <c r="A35673" s="2" t="str">
        <f t="shared" si="1219"/>
        <v>99999</v>
      </c>
      <c r="B35673" s="2" t="str">
        <f>"23976"</f>
        <v>23976</v>
      </c>
      <c r="C35673" s="1">
        <v>1.04772633562734E-5</v>
      </c>
      <c r="D35673" s="1">
        <v>1.9728834754315301E-5</v>
      </c>
      <c r="E35673" s="1">
        <v>4.3455399550671099E-6</v>
      </c>
      <c r="F35673" s="1">
        <v>1.09433648041291E-5</v>
      </c>
    </row>
    <row r="35674" spans="1:6" x14ac:dyDescent="0.25">
      <c r="A35674" s="2" t="str">
        <f t="shared" si="1219"/>
        <v>99999</v>
      </c>
      <c r="B35674" s="2" t="str">
        <f>"23964"</f>
        <v>23964</v>
      </c>
      <c r="C35674" s="1">
        <v>6.3409270937446498E-5</v>
      </c>
      <c r="D35674" s="1">
        <v>1.9728834754315301E-5</v>
      </c>
      <c r="E35674" s="1">
        <v>8.69107991013423E-6</v>
      </c>
      <c r="F35674" s="1">
        <v>5.9293140211463597E-5</v>
      </c>
    </row>
    <row r="35675" spans="1:6" x14ac:dyDescent="0.25">
      <c r="A35675" s="2" t="str">
        <f t="shared" si="1219"/>
        <v>99999</v>
      </c>
      <c r="B35675" s="2" t="str">
        <f>"23960"</f>
        <v>23960</v>
      </c>
      <c r="C35675" s="1">
        <v>9.7678653165257594E-5</v>
      </c>
      <c r="D35675" s="1">
        <v>4.0975272182039399E-5</v>
      </c>
      <c r="E35675" s="1">
        <v>4.3455399550671099E-6</v>
      </c>
      <c r="F35675" s="1">
        <v>9.18247792201022E-5</v>
      </c>
    </row>
    <row r="35676" spans="1:6" x14ac:dyDescent="0.25">
      <c r="A35676" s="2" t="str">
        <f t="shared" si="1219"/>
        <v>99999</v>
      </c>
      <c r="B35676" s="2" t="str">
        <f>"23936"</f>
        <v>23936</v>
      </c>
      <c r="C35676" s="1">
        <v>3.1540928228781498E-4</v>
      </c>
      <c r="D35676" s="1">
        <v>2.2612279833792101E-4</v>
      </c>
      <c r="E35676" s="1">
        <v>1.21675118741879E-4</v>
      </c>
      <c r="F35676" s="1">
        <v>3.0512090776603799E-4</v>
      </c>
    </row>
    <row r="35677" spans="1:6" x14ac:dyDescent="0.25">
      <c r="A35677" s="2" t="str">
        <f t="shared" si="1219"/>
        <v>99999</v>
      </c>
      <c r="B35677" s="2" t="str">
        <f>"23934"</f>
        <v>23934</v>
      </c>
      <c r="C35677" s="1">
        <v>3.8853184946180599E-5</v>
      </c>
      <c r="D35677" s="1">
        <v>6.0704106936354696E-6</v>
      </c>
      <c r="E35677" s="1">
        <v>4.3455399550671099E-6</v>
      </c>
      <c r="F35677" s="1">
        <v>3.5914133584460302E-5</v>
      </c>
    </row>
    <row r="35678" spans="1:6" x14ac:dyDescent="0.25">
      <c r="A35678" s="2" t="str">
        <f t="shared" si="1219"/>
        <v>99999</v>
      </c>
      <c r="B35678" s="2" t="str">
        <f>"24066"</f>
        <v>24066</v>
      </c>
      <c r="C35678" s="1">
        <v>3.27414479883545E-6</v>
      </c>
      <c r="D35678" s="1">
        <v>0</v>
      </c>
      <c r="E35678" s="1">
        <v>0</v>
      </c>
      <c r="F35678" s="1">
        <v>2.9845540374897699E-6</v>
      </c>
    </row>
    <row r="35679" spans="1:6" x14ac:dyDescent="0.25">
      <c r="A35679" s="2" t="str">
        <f t="shared" si="1219"/>
        <v>99999</v>
      </c>
      <c r="B35679" s="2" t="str">
        <f>"24085"</f>
        <v>24085</v>
      </c>
      <c r="C35679" s="1">
        <v>1.52793423945654E-6</v>
      </c>
      <c r="D35679" s="1">
        <v>0</v>
      </c>
      <c r="E35679" s="1">
        <v>0</v>
      </c>
      <c r="F35679" s="1">
        <v>1.39279188416189E-6</v>
      </c>
    </row>
    <row r="35680" spans="1:6" x14ac:dyDescent="0.25">
      <c r="A35680" s="2" t="str">
        <f t="shared" si="1219"/>
        <v>99999</v>
      </c>
      <c r="B35680" s="2" t="str">
        <f>"23881"</f>
        <v>23881</v>
      </c>
      <c r="C35680" s="1">
        <v>8.2617587090614498E-5</v>
      </c>
      <c r="D35680" s="1">
        <v>2.1246437427724101E-5</v>
      </c>
      <c r="E35680" s="1">
        <v>1.7816713815775099E-4</v>
      </c>
      <c r="F35680" s="1">
        <v>8.0781929281389996E-5</v>
      </c>
    </row>
    <row r="35681" spans="1:6" x14ac:dyDescent="0.25">
      <c r="A35681" s="2" t="str">
        <f t="shared" si="1219"/>
        <v>99999</v>
      </c>
      <c r="B35681" s="2" t="str">
        <f>"23856"</f>
        <v>23856</v>
      </c>
      <c r="C35681" s="1">
        <v>5.9589435338805201E-5</v>
      </c>
      <c r="D35681" s="1">
        <v>3.4904861488403899E-5</v>
      </c>
      <c r="E35681" s="1">
        <v>4.3455399550671099E-6</v>
      </c>
      <c r="F35681" s="1">
        <v>5.6706526712305799E-5</v>
      </c>
    </row>
    <row r="35682" spans="1:6" x14ac:dyDescent="0.25">
      <c r="A35682" s="2" t="str">
        <f t="shared" si="1219"/>
        <v>99999</v>
      </c>
      <c r="B35682" s="2" t="str">
        <f>"23846"</f>
        <v>23846</v>
      </c>
      <c r="C35682" s="1">
        <v>4.5401474543851603E-5</v>
      </c>
      <c r="D35682" s="1">
        <v>2.7316848121359601E-5</v>
      </c>
      <c r="E35682" s="1">
        <v>8.69107991013423E-6</v>
      </c>
      <c r="F35682" s="1">
        <v>4.3375518678184703E-5</v>
      </c>
    </row>
    <row r="35683" spans="1:6" x14ac:dyDescent="0.25">
      <c r="A35683" s="2" t="str">
        <f t="shared" si="1219"/>
        <v>99999</v>
      </c>
      <c r="B35683" s="2" t="str">
        <f>"23480"</f>
        <v>23480</v>
      </c>
      <c r="C35683" s="1">
        <v>1.09138159961181E-7</v>
      </c>
      <c r="D35683" s="1">
        <v>1.51760267340886E-6</v>
      </c>
      <c r="E35683" s="1">
        <v>0</v>
      </c>
      <c r="F35683" s="1">
        <v>1.9897026916598501E-7</v>
      </c>
    </row>
    <row r="35684" spans="1:6" x14ac:dyDescent="0.25">
      <c r="A35684" s="2" t="str">
        <f t="shared" si="1219"/>
        <v>99999</v>
      </c>
      <c r="B35684" s="2" t="str">
        <f>"23824"</f>
        <v>23824</v>
      </c>
      <c r="C35684" s="1">
        <v>3.7772717162564898E-4</v>
      </c>
      <c r="D35684" s="1">
        <v>5.4937216777400997E-4</v>
      </c>
      <c r="E35684" s="1">
        <v>3.9109859595603998E-4</v>
      </c>
      <c r="F35684" s="1">
        <v>3.8928533162324998E-4</v>
      </c>
    </row>
    <row r="35685" spans="1:6" x14ac:dyDescent="0.25">
      <c r="A35685" s="2" t="str">
        <f t="shared" si="1219"/>
        <v>99999</v>
      </c>
      <c r="B35685" s="2" t="str">
        <f>"23429"</f>
        <v>23429</v>
      </c>
      <c r="C35685" s="1">
        <v>0</v>
      </c>
      <c r="D35685" s="1">
        <v>1.51760267340886E-6</v>
      </c>
      <c r="E35685" s="1">
        <v>0</v>
      </c>
      <c r="F35685" s="1">
        <v>9.9485134582992598E-8</v>
      </c>
    </row>
    <row r="35686" spans="1:6" x14ac:dyDescent="0.25">
      <c r="A35686" s="2" t="str">
        <f t="shared" si="1219"/>
        <v>99999</v>
      </c>
      <c r="B35686" s="2" t="str">
        <f>"23427"</f>
        <v>23427</v>
      </c>
      <c r="C35686" s="1">
        <v>0</v>
      </c>
      <c r="D35686" s="1">
        <v>1.51760267340886E-6</v>
      </c>
      <c r="E35686" s="1">
        <v>0</v>
      </c>
      <c r="F35686" s="1">
        <v>9.9485134582992598E-8</v>
      </c>
    </row>
    <row r="35687" spans="1:6" x14ac:dyDescent="0.25">
      <c r="A35687" s="2" t="str">
        <f t="shared" si="1219"/>
        <v>99999</v>
      </c>
      <c r="B35687" s="2" t="str">
        <f>"23423"</f>
        <v>23423</v>
      </c>
      <c r="C35687" s="1">
        <v>0</v>
      </c>
      <c r="D35687" s="1">
        <v>1.51760267340886E-6</v>
      </c>
      <c r="E35687" s="1">
        <v>0</v>
      </c>
      <c r="F35687" s="1">
        <v>9.9485134582992598E-8</v>
      </c>
    </row>
    <row r="35688" spans="1:6" x14ac:dyDescent="0.25">
      <c r="A35688" s="2" t="str">
        <f t="shared" si="1219"/>
        <v>99999</v>
      </c>
      <c r="B35688" s="2" t="str">
        <f>"23354"</f>
        <v>23354</v>
      </c>
      <c r="C35688" s="1">
        <v>1.27691647154582E-5</v>
      </c>
      <c r="D35688" s="1">
        <v>6.0704106936354696E-6</v>
      </c>
      <c r="E35688" s="1">
        <v>0</v>
      </c>
      <c r="F35688" s="1">
        <v>1.20377012845421E-5</v>
      </c>
    </row>
    <row r="35689" spans="1:6" x14ac:dyDescent="0.25">
      <c r="A35689" s="2" t="str">
        <f t="shared" si="1219"/>
        <v>99999</v>
      </c>
      <c r="B35689" s="2" t="str">
        <f>"23409"</f>
        <v>23409</v>
      </c>
      <c r="C35689" s="1">
        <v>8.7310527968945299E-6</v>
      </c>
      <c r="D35689" s="1">
        <v>6.0704106936354696E-6</v>
      </c>
      <c r="E35689" s="1">
        <v>0</v>
      </c>
      <c r="F35689" s="1">
        <v>8.3567513049713805E-6</v>
      </c>
    </row>
    <row r="35690" spans="1:6" x14ac:dyDescent="0.25">
      <c r="A35690" s="2" t="str">
        <f t="shared" si="1219"/>
        <v>99999</v>
      </c>
      <c r="B35690" s="2" t="str">
        <f>"23408"</f>
        <v>23408</v>
      </c>
      <c r="C35690" s="1">
        <v>0</v>
      </c>
      <c r="D35690" s="1">
        <v>1.51760267340886E-6</v>
      </c>
      <c r="E35690" s="1">
        <v>0</v>
      </c>
      <c r="F35690" s="1">
        <v>9.9485134582992598E-8</v>
      </c>
    </row>
    <row r="35691" spans="1:6" x14ac:dyDescent="0.25">
      <c r="A35691" s="2" t="str">
        <f t="shared" si="1219"/>
        <v>99999</v>
      </c>
      <c r="B35691" s="2" t="str">
        <f>"23430"</f>
        <v>23430</v>
      </c>
      <c r="C35691" s="1">
        <v>9.0584672767780794E-6</v>
      </c>
      <c r="D35691" s="1">
        <v>4.5528080202265997E-6</v>
      </c>
      <c r="E35691" s="1">
        <v>0</v>
      </c>
      <c r="F35691" s="1">
        <v>8.5557215741373606E-6</v>
      </c>
    </row>
    <row r="35692" spans="1:6" x14ac:dyDescent="0.25">
      <c r="A35692" s="2" t="str">
        <f t="shared" si="1219"/>
        <v>99999</v>
      </c>
      <c r="B35692" s="2" t="str">
        <f>"23417"</f>
        <v>23417</v>
      </c>
      <c r="C35692" s="1">
        <v>2.3060893199797699E-4</v>
      </c>
      <c r="D35692" s="1">
        <v>2.2764040101133E-4</v>
      </c>
      <c r="E35692" s="1">
        <v>1.56439438382416E-4</v>
      </c>
      <c r="F35692" s="1">
        <v>2.2871632440630001E-4</v>
      </c>
    </row>
    <row r="35693" spans="1:6" x14ac:dyDescent="0.25">
      <c r="A35693" s="2" t="str">
        <f t="shared" si="1219"/>
        <v>99999</v>
      </c>
      <c r="B35693" s="2" t="str">
        <f>"23413"</f>
        <v>23413</v>
      </c>
      <c r="C35693" s="1">
        <v>3.2741447988354498E-7</v>
      </c>
      <c r="D35693" s="1">
        <v>1.51760267340886E-6</v>
      </c>
      <c r="E35693" s="1">
        <v>0</v>
      </c>
      <c r="F35693" s="1">
        <v>3.9794053833197002E-7</v>
      </c>
    </row>
    <row r="35694" spans="1:6" x14ac:dyDescent="0.25">
      <c r="A35694" s="2" t="str">
        <f t="shared" si="1219"/>
        <v>99999</v>
      </c>
      <c r="B35694" s="2" t="str">
        <f>"23313"</f>
        <v>23313</v>
      </c>
      <c r="C35694" s="1">
        <v>0</v>
      </c>
      <c r="D35694" s="1">
        <v>1.51760267340886E-6</v>
      </c>
      <c r="E35694" s="1">
        <v>0</v>
      </c>
      <c r="F35694" s="1">
        <v>9.9485134582992598E-8</v>
      </c>
    </row>
    <row r="35695" spans="1:6" x14ac:dyDescent="0.25">
      <c r="A35695" s="2" t="str">
        <f t="shared" si="1219"/>
        <v>99999</v>
      </c>
      <c r="B35695" s="2" t="str">
        <f>"23123"</f>
        <v>23123</v>
      </c>
      <c r="C35695" s="1">
        <v>9.2876574126965597E-5</v>
      </c>
      <c r="D35695" s="1">
        <v>4.0975272182039399E-5</v>
      </c>
      <c r="E35695" s="1">
        <v>1.3036619865201299E-5</v>
      </c>
      <c r="F35695" s="1">
        <v>8.7646403567616493E-5</v>
      </c>
    </row>
    <row r="35696" spans="1:6" x14ac:dyDescent="0.25">
      <c r="A35696" s="2" t="str">
        <f t="shared" si="1219"/>
        <v>99999</v>
      </c>
      <c r="B35696" s="2" t="str">
        <f>"22853"</f>
        <v>22853</v>
      </c>
      <c r="C35696" s="1">
        <v>6.2208751177873496E-6</v>
      </c>
      <c r="D35696" s="1">
        <v>3.0352053468177301E-6</v>
      </c>
      <c r="E35696" s="1">
        <v>0</v>
      </c>
      <c r="F35696" s="1">
        <v>5.86962294039656E-6</v>
      </c>
    </row>
    <row r="35697" spans="1:6" x14ac:dyDescent="0.25">
      <c r="A35697" s="2" t="str">
        <f t="shared" si="1219"/>
        <v>99999</v>
      </c>
      <c r="B35697" s="2" t="str">
        <f>"23079"</f>
        <v>23079</v>
      </c>
      <c r="C35697" s="1">
        <v>2.2264184632080999E-5</v>
      </c>
      <c r="D35697" s="1">
        <v>1.21408213872709E-5</v>
      </c>
      <c r="E35697" s="1">
        <v>4.3455399550671099E-6</v>
      </c>
      <c r="F35697" s="1">
        <v>2.1190333666177399E-5</v>
      </c>
    </row>
    <row r="35698" spans="1:6" x14ac:dyDescent="0.25">
      <c r="A35698" s="2" t="str">
        <f t="shared" si="1219"/>
        <v>99999</v>
      </c>
      <c r="B35698" s="2" t="str">
        <f>"23070"</f>
        <v>23070</v>
      </c>
      <c r="C35698" s="1">
        <v>2.0190559592818601E-5</v>
      </c>
      <c r="D35698" s="1">
        <v>0</v>
      </c>
      <c r="E35698" s="1">
        <v>4.3455399550671099E-6</v>
      </c>
      <c r="F35698" s="1">
        <v>1.8504235032436599E-5</v>
      </c>
    </row>
    <row r="35699" spans="1:6" x14ac:dyDescent="0.25">
      <c r="A35699" s="2" t="str">
        <f t="shared" si="1219"/>
        <v>99999</v>
      </c>
      <c r="B35699" s="2" t="str">
        <f>"23069"</f>
        <v>23069</v>
      </c>
      <c r="C35699" s="1">
        <v>3.5906454627228697E-5</v>
      </c>
      <c r="D35699" s="1">
        <v>3.6422464161812797E-5</v>
      </c>
      <c r="E35699" s="1">
        <v>0</v>
      </c>
      <c r="F35699" s="1">
        <v>3.5118252507796402E-5</v>
      </c>
    </row>
    <row r="35700" spans="1:6" x14ac:dyDescent="0.25">
      <c r="A35700" s="2" t="str">
        <f t="shared" si="1219"/>
        <v>99999</v>
      </c>
      <c r="B35700" s="2" t="str">
        <f>"22974"</f>
        <v>22974</v>
      </c>
      <c r="C35700" s="1">
        <v>4.1799915265132602E-5</v>
      </c>
      <c r="D35700" s="1">
        <v>5.15984908959015E-5</v>
      </c>
      <c r="E35700" s="1">
        <v>0</v>
      </c>
      <c r="F35700" s="1">
        <v>4.14853011211079E-5</v>
      </c>
    </row>
    <row r="35701" spans="1:6" x14ac:dyDescent="0.25">
      <c r="A35701" s="2" t="str">
        <f t="shared" si="1219"/>
        <v>99999</v>
      </c>
      <c r="B35701" s="2" t="str">
        <f>"22972"</f>
        <v>22972</v>
      </c>
      <c r="C35701" s="1">
        <v>1.4842789754720701E-5</v>
      </c>
      <c r="D35701" s="1">
        <v>0</v>
      </c>
      <c r="E35701" s="1">
        <v>4.3455399550671099E-6</v>
      </c>
      <c r="F35701" s="1">
        <v>1.36294634378699E-5</v>
      </c>
    </row>
    <row r="35702" spans="1:6" x14ac:dyDescent="0.25">
      <c r="A35702" s="2" t="str">
        <f t="shared" si="1219"/>
        <v>99999</v>
      </c>
      <c r="B35702" s="2" t="str">
        <f>"23031"</f>
        <v>23031</v>
      </c>
      <c r="C35702" s="1">
        <v>0</v>
      </c>
      <c r="D35702" s="1">
        <v>1.51760267340886E-6</v>
      </c>
      <c r="E35702" s="1">
        <v>0</v>
      </c>
      <c r="F35702" s="1">
        <v>9.9485134582992598E-8</v>
      </c>
    </row>
    <row r="35703" spans="1:6" x14ac:dyDescent="0.25">
      <c r="A35703" s="2" t="str">
        <f t="shared" si="1219"/>
        <v>99999</v>
      </c>
      <c r="B35703" s="2" t="str">
        <f>"23027"</f>
        <v>23027</v>
      </c>
      <c r="C35703" s="1">
        <v>7.2031185574379894E-5</v>
      </c>
      <c r="D35703" s="1">
        <v>1.8211232080906399E-5</v>
      </c>
      <c r="E35703" s="1">
        <v>4.3455399550671099E-6</v>
      </c>
      <c r="F35703" s="1">
        <v>6.6953495574353995E-5</v>
      </c>
    </row>
    <row r="35704" spans="1:6" x14ac:dyDescent="0.25">
      <c r="A35704" s="2" t="str">
        <f t="shared" si="1219"/>
        <v>99999</v>
      </c>
      <c r="B35704" s="2" t="str">
        <f>"22552"</f>
        <v>22552</v>
      </c>
      <c r="C35704" s="1">
        <v>0</v>
      </c>
      <c r="D35704" s="1">
        <v>1.51760267340886E-6</v>
      </c>
      <c r="E35704" s="1">
        <v>0</v>
      </c>
      <c r="F35704" s="1">
        <v>9.9485134582992598E-8</v>
      </c>
    </row>
    <row r="35705" spans="1:6" x14ac:dyDescent="0.25">
      <c r="A35705" s="2" t="str">
        <f t="shared" si="1219"/>
        <v>99999</v>
      </c>
      <c r="B35705" s="2" t="str">
        <f>"22529"</f>
        <v>22529</v>
      </c>
      <c r="C35705" s="1">
        <v>0</v>
      </c>
      <c r="D35705" s="1">
        <v>0</v>
      </c>
      <c r="E35705" s="1">
        <v>4.3455399550671099E-6</v>
      </c>
      <c r="F35705" s="1">
        <v>9.9485134582992598E-8</v>
      </c>
    </row>
    <row r="35706" spans="1:6" x14ac:dyDescent="0.25">
      <c r="A35706" s="2" t="str">
        <f t="shared" si="1219"/>
        <v>99999</v>
      </c>
      <c r="B35706" s="2" t="str">
        <f>"22488"</f>
        <v>22488</v>
      </c>
      <c r="C35706" s="1">
        <v>8.0107409411507298E-5</v>
      </c>
      <c r="D35706" s="1">
        <v>4.8563285549083798E-5</v>
      </c>
      <c r="E35706" s="1">
        <v>4.3455399550671099E-6</v>
      </c>
      <c r="F35706" s="1">
        <v>7.63050982251553E-5</v>
      </c>
    </row>
    <row r="35707" spans="1:6" x14ac:dyDescent="0.25">
      <c r="A35707" s="2" t="str">
        <f t="shared" si="1219"/>
        <v>99999</v>
      </c>
      <c r="B35707" s="2" t="str">
        <f>"22576"</f>
        <v>22576</v>
      </c>
      <c r="C35707" s="1">
        <v>9.9097449244753001E-5</v>
      </c>
      <c r="D35707" s="1">
        <v>1.66936294074975E-5</v>
      </c>
      <c r="E35707" s="1">
        <v>1.3036619865201299E-5</v>
      </c>
      <c r="F35707" s="1">
        <v>9.1725294085519195E-5</v>
      </c>
    </row>
    <row r="35708" spans="1:6" x14ac:dyDescent="0.25">
      <c r="A35708" s="2" t="str">
        <f t="shared" si="1219"/>
        <v>99999</v>
      </c>
      <c r="B35708" s="2" t="str">
        <f>"22572"</f>
        <v>22572</v>
      </c>
      <c r="C35708" s="1">
        <v>3.1639152572746499E-4</v>
      </c>
      <c r="D35708" s="1">
        <v>2.2764040101133E-4</v>
      </c>
      <c r="E35708" s="1">
        <v>2.4335023748375801E-4</v>
      </c>
      <c r="F35708" s="1">
        <v>3.08901342880192E-4</v>
      </c>
    </row>
    <row r="35709" spans="1:6" x14ac:dyDescent="0.25">
      <c r="A35709" s="2" t="str">
        <f t="shared" si="1219"/>
        <v>99999</v>
      </c>
      <c r="B35709" s="2" t="str">
        <f>"22567"</f>
        <v>22567</v>
      </c>
      <c r="C35709" s="1">
        <v>1.38278048670817E-4</v>
      </c>
      <c r="D35709" s="1">
        <v>4.0975272182039399E-5</v>
      </c>
      <c r="E35709" s="1">
        <v>4.3455399550671099E-6</v>
      </c>
      <c r="F35709" s="1">
        <v>1.28833249284975E-4</v>
      </c>
    </row>
    <row r="35710" spans="1:6" x14ac:dyDescent="0.25">
      <c r="A35710" s="2" t="str">
        <f t="shared" si="1219"/>
        <v>99999</v>
      </c>
      <c r="B35710" s="2" t="str">
        <f>"22560"</f>
        <v>22560</v>
      </c>
      <c r="C35710" s="1">
        <v>2.5451018902947502E-4</v>
      </c>
      <c r="D35710" s="1">
        <v>2.3826361972519201E-4</v>
      </c>
      <c r="E35710" s="1">
        <v>1.9989483793308701E-4</v>
      </c>
      <c r="F35710" s="1">
        <v>2.5219481616788601E-4</v>
      </c>
    </row>
    <row r="35711" spans="1:6" x14ac:dyDescent="0.25">
      <c r="A35711" s="2" t="str">
        <f t="shared" si="1219"/>
        <v>99999</v>
      </c>
      <c r="B35711" s="2" t="str">
        <f>"22446"</f>
        <v>22446</v>
      </c>
      <c r="C35711" s="1">
        <v>0</v>
      </c>
      <c r="D35711" s="1">
        <v>0</v>
      </c>
      <c r="E35711" s="1">
        <v>4.3455399550671099E-6</v>
      </c>
      <c r="F35711" s="1">
        <v>9.9485134582992598E-8</v>
      </c>
    </row>
    <row r="35712" spans="1:6" x14ac:dyDescent="0.25">
      <c r="A35712" s="2" t="str">
        <f t="shared" si="1219"/>
        <v>99999</v>
      </c>
      <c r="B35712" s="2" t="str">
        <f>"22460"</f>
        <v>22460</v>
      </c>
      <c r="C35712" s="1">
        <v>1.11211785000444E-4</v>
      </c>
      <c r="D35712" s="1">
        <v>1.66936294074975E-5</v>
      </c>
      <c r="E35712" s="1">
        <v>6.5183099326006705E-5</v>
      </c>
      <c r="F35712" s="1">
        <v>1.03961965639227E-4</v>
      </c>
    </row>
    <row r="35713" spans="1:6" x14ac:dyDescent="0.25">
      <c r="A35713" s="2" t="str">
        <f t="shared" si="1219"/>
        <v>99999</v>
      </c>
      <c r="B35713" s="2" t="str">
        <f>"21649"</f>
        <v>21649</v>
      </c>
      <c r="C35713" s="1">
        <v>5.3477698380979E-5</v>
      </c>
      <c r="D35713" s="1">
        <v>1.8211232080906399E-5</v>
      </c>
      <c r="E35713" s="1">
        <v>3.47643196405369E-5</v>
      </c>
      <c r="F35713" s="1">
        <v>5.07374186373262E-5</v>
      </c>
    </row>
    <row r="35714" spans="1:6" x14ac:dyDescent="0.25">
      <c r="A35714" s="2" t="str">
        <f t="shared" si="1219"/>
        <v>99999</v>
      </c>
      <c r="B35714" s="2" t="str">
        <f>"21636"</f>
        <v>21636</v>
      </c>
      <c r="C35714" s="1">
        <v>5.1949764141522499E-5</v>
      </c>
      <c r="D35714" s="1">
        <v>1.66936294074975E-5</v>
      </c>
      <c r="E35714" s="1">
        <v>0</v>
      </c>
      <c r="F35714" s="1">
        <v>4.8449260541917403E-5</v>
      </c>
    </row>
    <row r="35715" spans="1:6" x14ac:dyDescent="0.25">
      <c r="A35715" s="2" t="str">
        <f t="shared" si="1219"/>
        <v>99999</v>
      </c>
      <c r="B35715" s="2" t="str">
        <f>"21632"</f>
        <v>21632</v>
      </c>
      <c r="C35715" s="1">
        <v>2.8059420926019799E-4</v>
      </c>
      <c r="D35715" s="1">
        <v>3.12626150722227E-4</v>
      </c>
      <c r="E35715" s="1">
        <v>3.4764319640536898E-4</v>
      </c>
      <c r="F35715" s="1">
        <v>2.8422902950360902E-4</v>
      </c>
    </row>
    <row r="35716" spans="1:6" x14ac:dyDescent="0.25">
      <c r="A35716" s="2" t="str">
        <f t="shared" si="1219"/>
        <v>99999</v>
      </c>
      <c r="B35716" s="2" t="str">
        <f>"21607"</f>
        <v>21607</v>
      </c>
      <c r="C35716" s="1">
        <v>4.3655263984472602E-7</v>
      </c>
      <c r="D35716" s="1">
        <v>0</v>
      </c>
      <c r="E35716" s="1">
        <v>0</v>
      </c>
      <c r="F35716" s="1">
        <v>3.9794053833197002E-7</v>
      </c>
    </row>
    <row r="35717" spans="1:6" x14ac:dyDescent="0.25">
      <c r="A35717" s="2" t="str">
        <f t="shared" si="1219"/>
        <v>99999</v>
      </c>
      <c r="B35717" s="2" t="str">
        <f>"21539"</f>
        <v>21539</v>
      </c>
      <c r="C35717" s="1">
        <v>2.78302307901013E-5</v>
      </c>
      <c r="D35717" s="1">
        <v>0</v>
      </c>
      <c r="E35717" s="1">
        <v>0</v>
      </c>
      <c r="F35717" s="1">
        <v>2.53687093186631E-5</v>
      </c>
    </row>
    <row r="35718" spans="1:6" x14ac:dyDescent="0.25">
      <c r="A35718" s="2" t="str">
        <f t="shared" si="1219"/>
        <v>99999</v>
      </c>
      <c r="B35718" s="2" t="str">
        <f>"21538"</f>
        <v>21538</v>
      </c>
      <c r="C35718" s="1">
        <v>2.8703336069790699E-5</v>
      </c>
      <c r="D35718" s="1">
        <v>3.0352053468177301E-6</v>
      </c>
      <c r="E35718" s="1">
        <v>0</v>
      </c>
      <c r="F35718" s="1">
        <v>2.6363560664493E-5</v>
      </c>
    </row>
    <row r="35719" spans="1:6" x14ac:dyDescent="0.25">
      <c r="A35719" s="2" t="str">
        <f t="shared" si="1219"/>
        <v>99999</v>
      </c>
      <c r="B35719" s="2" t="str">
        <f>"21550"</f>
        <v>21550</v>
      </c>
      <c r="C35719" s="1">
        <v>8.7452407576894895E-4</v>
      </c>
      <c r="D35719" s="1">
        <v>1.1442724157502799E-3</v>
      </c>
      <c r="E35719" s="1">
        <v>1.3340807662055999E-3</v>
      </c>
      <c r="F35719" s="1">
        <v>9.0272811120607505E-4</v>
      </c>
    </row>
    <row r="35720" spans="1:6" x14ac:dyDescent="0.25">
      <c r="A35720" s="2" t="str">
        <f t="shared" si="1219"/>
        <v>99999</v>
      </c>
      <c r="B35720" s="2" t="str">
        <f>"49861"</f>
        <v>49861</v>
      </c>
      <c r="C35720" s="1">
        <v>2.2264184632080999E-5</v>
      </c>
      <c r="D35720" s="1">
        <v>1.5176026734088599E-5</v>
      </c>
      <c r="E35720" s="1">
        <v>0</v>
      </c>
      <c r="F35720" s="1">
        <v>2.1289818800760401E-5</v>
      </c>
    </row>
    <row r="35721" spans="1:6" x14ac:dyDescent="0.25">
      <c r="A35721" s="2" t="str">
        <f t="shared" si="1219"/>
        <v>99999</v>
      </c>
      <c r="B35721" s="2" t="str">
        <f>"49820"</f>
        <v>49820</v>
      </c>
      <c r="C35721" s="1">
        <v>1.39696844750312E-5</v>
      </c>
      <c r="D35721" s="1">
        <v>9.1056160404532095E-6</v>
      </c>
      <c r="E35721" s="1">
        <v>4.3455399550671099E-6</v>
      </c>
      <c r="F35721" s="1">
        <v>1.3430493168704E-5</v>
      </c>
    </row>
    <row r="35722" spans="1:6" x14ac:dyDescent="0.25">
      <c r="A35722" s="2" t="str">
        <f t="shared" si="1219"/>
        <v>99999</v>
      </c>
      <c r="B35722" s="2" t="str">
        <f>"49792"</f>
        <v>49792</v>
      </c>
      <c r="C35722" s="1">
        <v>1.09138159961181E-7</v>
      </c>
      <c r="D35722" s="1">
        <v>0</v>
      </c>
      <c r="E35722" s="1">
        <v>0</v>
      </c>
      <c r="F35722" s="1">
        <v>9.9485134582992598E-8</v>
      </c>
    </row>
    <row r="35723" spans="1:6" x14ac:dyDescent="0.25">
      <c r="A35723" s="2" t="str">
        <f t="shared" si="1219"/>
        <v>99999</v>
      </c>
      <c r="B35723" s="2" t="str">
        <f>"49971"</f>
        <v>49971</v>
      </c>
      <c r="C35723" s="1">
        <v>2.3792118871537602E-5</v>
      </c>
      <c r="D35723" s="1">
        <v>1.51760267340886E-6</v>
      </c>
      <c r="E35723" s="1">
        <v>4.3455399550671099E-6</v>
      </c>
      <c r="F35723" s="1">
        <v>2.1886729608258301E-5</v>
      </c>
    </row>
    <row r="35724" spans="1:6" x14ac:dyDescent="0.25">
      <c r="A35724" s="2" t="str">
        <f t="shared" si="1219"/>
        <v>99999</v>
      </c>
      <c r="B35724" s="2" t="str">
        <f>"49967"</f>
        <v>49967</v>
      </c>
      <c r="C35724" s="1">
        <v>4.2673020544821998E-5</v>
      </c>
      <c r="D35724" s="1">
        <v>3.0352053468177301E-6</v>
      </c>
      <c r="E35724" s="1">
        <v>4.3455399550671099E-6</v>
      </c>
      <c r="F35724" s="1">
        <v>3.9197143025699002E-5</v>
      </c>
    </row>
    <row r="35725" spans="1:6" x14ac:dyDescent="0.25">
      <c r="A35725" s="2" t="str">
        <f t="shared" si="1219"/>
        <v>99999</v>
      </c>
      <c r="B35725" s="2" t="str">
        <f>"49782"</f>
        <v>49782</v>
      </c>
      <c r="C35725" s="1">
        <v>5.5987876060086201E-5</v>
      </c>
      <c r="D35725" s="1">
        <v>3.0352053468177301E-6</v>
      </c>
      <c r="E35725" s="1">
        <v>8.69107991013423E-6</v>
      </c>
      <c r="F35725" s="1">
        <v>5.1433814579407101E-5</v>
      </c>
    </row>
    <row r="35726" spans="1:6" x14ac:dyDescent="0.25">
      <c r="A35726" s="2" t="str">
        <f t="shared" si="1219"/>
        <v>99999</v>
      </c>
      <c r="B35726" s="2" t="str">
        <f>"49780"</f>
        <v>49780</v>
      </c>
      <c r="C35726" s="1">
        <v>1.03681251963122E-5</v>
      </c>
      <c r="D35726" s="1">
        <v>1.51760267340886E-6</v>
      </c>
      <c r="E35726" s="1">
        <v>0</v>
      </c>
      <c r="F35726" s="1">
        <v>9.5505729199672898E-6</v>
      </c>
    </row>
    <row r="35727" spans="1:6" x14ac:dyDescent="0.25">
      <c r="A35727" s="2" t="str">
        <f t="shared" si="1219"/>
        <v>99999</v>
      </c>
      <c r="B35727" s="2" t="str">
        <f>"49929"</f>
        <v>49929</v>
      </c>
      <c r="C35727" s="1">
        <v>7.7488093572439E-6</v>
      </c>
      <c r="D35727" s="1">
        <v>0</v>
      </c>
      <c r="E35727" s="1">
        <v>4.3455399550671099E-6</v>
      </c>
      <c r="F35727" s="1">
        <v>7.1629296899754602E-6</v>
      </c>
    </row>
    <row r="35728" spans="1:6" x14ac:dyDescent="0.25">
      <c r="A35728" s="2" t="str">
        <f t="shared" si="1219"/>
        <v>99999</v>
      </c>
      <c r="B35728" s="2" t="str">
        <f>"49927"</f>
        <v>49927</v>
      </c>
      <c r="C35728" s="1">
        <v>8.0762238371274393E-6</v>
      </c>
      <c r="D35728" s="1">
        <v>0</v>
      </c>
      <c r="E35728" s="1">
        <v>4.3455399550671099E-6</v>
      </c>
      <c r="F35728" s="1">
        <v>7.4613850937244396E-6</v>
      </c>
    </row>
    <row r="35729" spans="1:6" x14ac:dyDescent="0.25">
      <c r="A35729" s="2" t="str">
        <f t="shared" si="1219"/>
        <v>99999</v>
      </c>
      <c r="B35729" s="2" t="str">
        <f>"49903"</f>
        <v>49903</v>
      </c>
      <c r="C35729" s="1">
        <v>1.44062371148759E-5</v>
      </c>
      <c r="D35729" s="1">
        <v>0</v>
      </c>
      <c r="E35729" s="1">
        <v>1.3036619865201299E-5</v>
      </c>
      <c r="F35729" s="1">
        <v>1.3430493168704E-5</v>
      </c>
    </row>
    <row r="35730" spans="1:6" x14ac:dyDescent="0.25">
      <c r="A35730" s="2" t="str">
        <f t="shared" ref="A35730:A35793" si="1220">"99999"</f>
        <v>99999</v>
      </c>
      <c r="B35730" s="2" t="str">
        <f>"49912"</f>
        <v>49912</v>
      </c>
      <c r="C35730" s="1">
        <v>6.2099613017912395E-5</v>
      </c>
      <c r="D35730" s="1">
        <v>1.5176026734088599E-5</v>
      </c>
      <c r="E35730" s="1">
        <v>3.47643196405369E-5</v>
      </c>
      <c r="F35730" s="1">
        <v>5.8397774000216597E-5</v>
      </c>
    </row>
    <row r="35731" spans="1:6" x14ac:dyDescent="0.25">
      <c r="A35731" s="2" t="str">
        <f t="shared" si="1220"/>
        <v>99999</v>
      </c>
      <c r="B35731" s="2" t="str">
        <f>"49911"</f>
        <v>49911</v>
      </c>
      <c r="C35731" s="1">
        <v>1.9917714192915599E-4</v>
      </c>
      <c r="D35731" s="1">
        <v>1.85147526155882E-4</v>
      </c>
      <c r="E35731" s="1">
        <v>2.6507793725909402E-4</v>
      </c>
      <c r="F35731" s="1">
        <v>1.9976615024264901E-4</v>
      </c>
    </row>
    <row r="35732" spans="1:6" x14ac:dyDescent="0.25">
      <c r="A35732" s="2" t="str">
        <f t="shared" si="1220"/>
        <v>99999</v>
      </c>
      <c r="B35732" s="2" t="str">
        <f>"49717"</f>
        <v>49717</v>
      </c>
      <c r="C35732" s="1">
        <v>0</v>
      </c>
      <c r="D35732" s="1">
        <v>3.0352053468177301E-6</v>
      </c>
      <c r="E35732" s="1">
        <v>0</v>
      </c>
      <c r="F35732" s="1">
        <v>1.9897026916598501E-7</v>
      </c>
    </row>
    <row r="35733" spans="1:6" x14ac:dyDescent="0.25">
      <c r="A35733" s="2" t="str">
        <f t="shared" si="1220"/>
        <v>99999</v>
      </c>
      <c r="B35733" s="2" t="str">
        <f>"49746"</f>
        <v>49746</v>
      </c>
      <c r="C35733" s="1">
        <v>2.1401993168387699E-4</v>
      </c>
      <c r="D35733" s="1">
        <v>1.3506663793338901E-4</v>
      </c>
      <c r="E35733" s="1">
        <v>6.5183099326006705E-5</v>
      </c>
      <c r="F35733" s="1">
        <v>2.05436802913879E-4</v>
      </c>
    </row>
    <row r="35734" spans="1:6" x14ac:dyDescent="0.25">
      <c r="A35734" s="2" t="str">
        <f t="shared" si="1220"/>
        <v>99999</v>
      </c>
      <c r="B35734" s="2" t="str">
        <f>"49713"</f>
        <v>49713</v>
      </c>
      <c r="C35734" s="1">
        <v>1.18851456197726E-4</v>
      </c>
      <c r="D35734" s="1">
        <v>4.5528080202266E-5</v>
      </c>
      <c r="E35734" s="1">
        <v>4.7800939505738197E-5</v>
      </c>
      <c r="F35734" s="1">
        <v>1.12418202078781E-4</v>
      </c>
    </row>
    <row r="35735" spans="1:6" x14ac:dyDescent="0.25">
      <c r="A35735" s="2" t="str">
        <f t="shared" si="1220"/>
        <v>99999</v>
      </c>
      <c r="B35735" s="2" t="str">
        <f>"49712"</f>
        <v>49712</v>
      </c>
      <c r="C35735" s="1">
        <v>5.4459941820629598E-4</v>
      </c>
      <c r="D35735" s="1">
        <v>4.85632855490838E-4</v>
      </c>
      <c r="E35735" s="1">
        <v>7.4308733231647601E-4</v>
      </c>
      <c r="F35735" s="1">
        <v>5.45278022649382E-4</v>
      </c>
    </row>
    <row r="35736" spans="1:6" x14ac:dyDescent="0.25">
      <c r="A35736" s="2" t="str">
        <f t="shared" si="1220"/>
        <v>99999</v>
      </c>
      <c r="B35736" s="2" t="str">
        <f>"49707"</f>
        <v>49707</v>
      </c>
      <c r="C35736" s="1">
        <v>4.5510612703812697E-5</v>
      </c>
      <c r="D35736" s="1">
        <v>0</v>
      </c>
      <c r="E35736" s="1">
        <v>4.3455399550671099E-6</v>
      </c>
      <c r="F35736" s="1">
        <v>4.1584786255690899E-5</v>
      </c>
    </row>
    <row r="35737" spans="1:6" x14ac:dyDescent="0.25">
      <c r="A35737" s="2" t="str">
        <f t="shared" si="1220"/>
        <v>99999</v>
      </c>
      <c r="B35737" s="2" t="str">
        <f>"49644"</f>
        <v>49644</v>
      </c>
      <c r="C35737" s="1">
        <v>1.9841317480942801E-4</v>
      </c>
      <c r="D35737" s="1">
        <v>5.0080888222492601E-5</v>
      </c>
      <c r="E35737" s="1">
        <v>1.7382159820268399E-5</v>
      </c>
      <c r="F35737" s="1">
        <v>1.84544924651451E-4</v>
      </c>
    </row>
    <row r="35738" spans="1:6" x14ac:dyDescent="0.25">
      <c r="A35738" s="2" t="str">
        <f t="shared" si="1220"/>
        <v>99999</v>
      </c>
      <c r="B35738" s="2" t="str">
        <f>"49676"</f>
        <v>49676</v>
      </c>
      <c r="C35738" s="1">
        <v>9.6368995245723395E-5</v>
      </c>
      <c r="D35738" s="1">
        <v>3.0352053468177301E-5</v>
      </c>
      <c r="E35738" s="1">
        <v>0</v>
      </c>
      <c r="F35738" s="1">
        <v>8.9835076528442298E-5</v>
      </c>
    </row>
    <row r="35739" spans="1:6" x14ac:dyDescent="0.25">
      <c r="A35739" s="2" t="str">
        <f t="shared" si="1220"/>
        <v>99999</v>
      </c>
      <c r="B35739" s="2" t="str">
        <f>"49675"</f>
        <v>49675</v>
      </c>
      <c r="C35739" s="1">
        <v>8.13079291710803E-5</v>
      </c>
      <c r="D35739" s="1">
        <v>2.1246437427724101E-5</v>
      </c>
      <c r="E35739" s="1">
        <v>1.3036619865201299E-5</v>
      </c>
      <c r="F35739" s="1">
        <v>7.58076725522403E-5</v>
      </c>
    </row>
    <row r="35740" spans="1:6" x14ac:dyDescent="0.25">
      <c r="A35740" s="2" t="str">
        <f t="shared" si="1220"/>
        <v>99999</v>
      </c>
      <c r="B35740" s="2" t="str">
        <f>"49623"</f>
        <v>49623</v>
      </c>
      <c r="C35740" s="1">
        <v>6.9630146055233902E-5</v>
      </c>
      <c r="D35740" s="1">
        <v>1.5176026734088599E-5</v>
      </c>
      <c r="E35740" s="1">
        <v>1.3036619865201299E-5</v>
      </c>
      <c r="F35740" s="1">
        <v>6.4764822613528204E-5</v>
      </c>
    </row>
    <row r="35741" spans="1:6" x14ac:dyDescent="0.25">
      <c r="A35741" s="2" t="str">
        <f t="shared" si="1220"/>
        <v>99999</v>
      </c>
      <c r="B35741" s="2" t="str">
        <f>"49455"</f>
        <v>49455</v>
      </c>
      <c r="C35741" s="1">
        <v>3.13772209888397E-4</v>
      </c>
      <c r="D35741" s="1">
        <v>2.9593252131472901E-4</v>
      </c>
      <c r="E35741" s="1">
        <v>2.99842256899631E-4</v>
      </c>
      <c r="F35741" s="1">
        <v>3.1228383745601302E-4</v>
      </c>
    </row>
    <row r="35742" spans="1:6" x14ac:dyDescent="0.25">
      <c r="A35742" s="2" t="str">
        <f t="shared" si="1220"/>
        <v>99999</v>
      </c>
      <c r="B35742" s="2" t="str">
        <f>"49327"</f>
        <v>49327</v>
      </c>
      <c r="C35742" s="1">
        <v>3.7718148082584402E-4</v>
      </c>
      <c r="D35742" s="1">
        <v>1.85147526155882E-4</v>
      </c>
      <c r="E35742" s="1">
        <v>1.8685821806788599E-4</v>
      </c>
      <c r="F35742" s="1">
        <v>3.6023567232501601E-4</v>
      </c>
    </row>
    <row r="35743" spans="1:6" x14ac:dyDescent="0.25">
      <c r="A35743" s="2" t="str">
        <f t="shared" si="1220"/>
        <v>99999</v>
      </c>
      <c r="B35743" s="2" t="str">
        <f>"49325"</f>
        <v>49325</v>
      </c>
      <c r="C35743" s="1">
        <v>6.7665659175932598E-5</v>
      </c>
      <c r="D35743" s="1">
        <v>3.4904861488403899E-5</v>
      </c>
      <c r="E35743" s="1">
        <v>3.0418779685469802E-5</v>
      </c>
      <c r="F35743" s="1">
        <v>6.4665337478945199E-5</v>
      </c>
    </row>
    <row r="35744" spans="1:6" x14ac:dyDescent="0.25">
      <c r="A35744" s="2" t="str">
        <f t="shared" si="1220"/>
        <v>99999</v>
      </c>
      <c r="B35744" s="2" t="str">
        <f>"49312"</f>
        <v>49312</v>
      </c>
      <c r="C35744" s="1">
        <v>1.0804677836156901E-5</v>
      </c>
      <c r="D35744" s="1">
        <v>3.0352053468177301E-6</v>
      </c>
      <c r="E35744" s="1">
        <v>8.69107991013423E-6</v>
      </c>
      <c r="F35744" s="1">
        <v>1.02469688620482E-5</v>
      </c>
    </row>
    <row r="35745" spans="1:6" x14ac:dyDescent="0.25">
      <c r="A35745" s="2" t="str">
        <f t="shared" si="1220"/>
        <v>99999</v>
      </c>
      <c r="B35745" s="2" t="str">
        <f>"49017"</f>
        <v>49017</v>
      </c>
      <c r="C35745" s="1">
        <v>9.1457778047470203E-5</v>
      </c>
      <c r="D35745" s="1">
        <v>1.8211232080906399E-5</v>
      </c>
      <c r="E35745" s="1">
        <v>4.3455399550671103E-5</v>
      </c>
      <c r="F35745" s="1">
        <v>8.5557215741373599E-5</v>
      </c>
    </row>
    <row r="35746" spans="1:6" x14ac:dyDescent="0.25">
      <c r="A35746" s="2" t="str">
        <f t="shared" si="1220"/>
        <v>99999</v>
      </c>
      <c r="B35746" s="2" t="str">
        <f>"49090"</f>
        <v>49090</v>
      </c>
      <c r="C35746" s="1">
        <v>8.1657171282956099E-4</v>
      </c>
      <c r="D35746" s="1">
        <v>1.26568062962299E-3</v>
      </c>
      <c r="E35746" s="1">
        <v>1.3080075264751999E-3</v>
      </c>
      <c r="F35746" s="1">
        <v>8.5726340470164701E-4</v>
      </c>
    </row>
    <row r="35747" spans="1:6" x14ac:dyDescent="0.25">
      <c r="A35747" s="2" t="str">
        <f t="shared" si="1220"/>
        <v>99999</v>
      </c>
      <c r="B35747" s="2" t="str">
        <f>"49062"</f>
        <v>49062</v>
      </c>
      <c r="C35747" s="1">
        <v>1.09138159961181E-7</v>
      </c>
      <c r="D35747" s="1">
        <v>3.0352053468177301E-6</v>
      </c>
      <c r="E35747" s="1">
        <v>0</v>
      </c>
      <c r="F35747" s="1">
        <v>2.9845540374897701E-7</v>
      </c>
    </row>
    <row r="35748" spans="1:6" x14ac:dyDescent="0.25">
      <c r="A35748" s="2" t="str">
        <f t="shared" si="1220"/>
        <v>99999</v>
      </c>
      <c r="B35748" s="2" t="str">
        <f>"48762"</f>
        <v>48762</v>
      </c>
      <c r="C35748" s="1">
        <v>9.7023824205490501E-5</v>
      </c>
      <c r="D35748" s="1">
        <v>5.4633696242719298E-5</v>
      </c>
      <c r="E35748" s="1">
        <v>0</v>
      </c>
      <c r="F35748" s="1">
        <v>9.2023749489268103E-5</v>
      </c>
    </row>
    <row r="35749" spans="1:6" x14ac:dyDescent="0.25">
      <c r="A35749" s="2" t="str">
        <f t="shared" si="1220"/>
        <v>99999</v>
      </c>
      <c r="B35749" s="2" t="str">
        <f>"48745"</f>
        <v>48745</v>
      </c>
      <c r="C35749" s="1">
        <v>8.3054139730459294E-5</v>
      </c>
      <c r="D35749" s="1">
        <v>1.8211232080906399E-5</v>
      </c>
      <c r="E35749" s="1">
        <v>0</v>
      </c>
      <c r="F35749" s="1">
        <v>7.6902009032653304E-5</v>
      </c>
    </row>
    <row r="35750" spans="1:6" x14ac:dyDescent="0.25">
      <c r="A35750" s="2" t="str">
        <f t="shared" si="1220"/>
        <v>99999</v>
      </c>
      <c r="B35750" s="2" t="str">
        <f>"48744"</f>
        <v>48744</v>
      </c>
      <c r="C35750" s="1">
        <v>2.1161889216473099E-4</v>
      </c>
      <c r="D35750" s="1">
        <v>8.65033523843055E-5</v>
      </c>
      <c r="E35750" s="1">
        <v>7.8219719191208097E-5</v>
      </c>
      <c r="F35750" s="1">
        <v>2.0036306105014701E-4</v>
      </c>
    </row>
    <row r="35751" spans="1:6" x14ac:dyDescent="0.25">
      <c r="A35751" s="2" t="str">
        <f t="shared" si="1220"/>
        <v>99999</v>
      </c>
      <c r="B35751" s="2" t="str">
        <f>"48742"</f>
        <v>48742</v>
      </c>
      <c r="C35751" s="1">
        <v>1.24199226035824E-4</v>
      </c>
      <c r="D35751" s="1">
        <v>4.2492874855448297E-5</v>
      </c>
      <c r="E35751" s="1">
        <v>1.3036619865201299E-5</v>
      </c>
      <c r="F35751" s="1">
        <v>1.1629812232751801E-4</v>
      </c>
    </row>
    <row r="35752" spans="1:6" x14ac:dyDescent="0.25">
      <c r="A35752" s="2" t="str">
        <f t="shared" si="1220"/>
        <v>99999</v>
      </c>
      <c r="B35752" s="2" t="str">
        <f>"48721"</f>
        <v>48721</v>
      </c>
      <c r="C35752" s="1">
        <v>3.8634908626258302E-5</v>
      </c>
      <c r="D35752" s="1">
        <v>1.0623218713862E-5</v>
      </c>
      <c r="E35752" s="1">
        <v>0</v>
      </c>
      <c r="F35752" s="1">
        <v>3.5914133584460302E-5</v>
      </c>
    </row>
    <row r="35753" spans="1:6" x14ac:dyDescent="0.25">
      <c r="A35753" s="2" t="str">
        <f t="shared" si="1220"/>
        <v>99999</v>
      </c>
      <c r="B35753" s="2" t="str">
        <f>"48729"</f>
        <v>48729</v>
      </c>
      <c r="C35753" s="1">
        <v>7.6724126452710695E-5</v>
      </c>
      <c r="D35753" s="1">
        <v>9.1056160404532095E-6</v>
      </c>
      <c r="E35753" s="1">
        <v>8.69107991013423E-6</v>
      </c>
      <c r="F35753" s="1">
        <v>7.0733930688507695E-5</v>
      </c>
    </row>
    <row r="35754" spans="1:6" x14ac:dyDescent="0.25">
      <c r="A35754" s="2" t="str">
        <f t="shared" si="1220"/>
        <v>99999</v>
      </c>
      <c r="B35754" s="2" t="str">
        <f>"48725"</f>
        <v>48725</v>
      </c>
      <c r="C35754" s="1">
        <v>2.17184938322751E-4</v>
      </c>
      <c r="D35754" s="1">
        <v>1.27478624566345E-4</v>
      </c>
      <c r="E35754" s="1">
        <v>5.6492019415872502E-5</v>
      </c>
      <c r="F35754" s="1">
        <v>2.07625475874705E-4</v>
      </c>
    </row>
    <row r="35755" spans="1:6" x14ac:dyDescent="0.25">
      <c r="A35755" s="2" t="str">
        <f t="shared" si="1220"/>
        <v>99999</v>
      </c>
      <c r="B35755" s="2" t="str">
        <f>"48469"</f>
        <v>48469</v>
      </c>
      <c r="C35755" s="1">
        <v>1.08592469161375E-4</v>
      </c>
      <c r="D35755" s="1">
        <v>6.9809722976807906E-5</v>
      </c>
      <c r="E35755" s="1">
        <v>2.60732397304027E-5</v>
      </c>
      <c r="F35755" s="1">
        <v>1.04160935908393E-4</v>
      </c>
    </row>
    <row r="35756" spans="1:6" x14ac:dyDescent="0.25">
      <c r="A35756" s="2" t="str">
        <f t="shared" si="1220"/>
        <v>99999</v>
      </c>
      <c r="B35756" s="2" t="str">
        <f>"48468"</f>
        <v>48468</v>
      </c>
      <c r="C35756" s="1">
        <v>1.00407107164287E-4</v>
      </c>
      <c r="D35756" s="1">
        <v>3.1869656141586203E-5</v>
      </c>
      <c r="E35756" s="1">
        <v>4.3455399550671099E-6</v>
      </c>
      <c r="F35756" s="1">
        <v>9.3714996777179003E-5</v>
      </c>
    </row>
    <row r="35757" spans="1:6" x14ac:dyDescent="0.25">
      <c r="A35757" s="2" t="str">
        <f t="shared" si="1220"/>
        <v>99999</v>
      </c>
      <c r="B35757" s="2" t="str">
        <f>"48647"</f>
        <v>48647</v>
      </c>
      <c r="C35757" s="1">
        <v>3.0482288077158002E-4</v>
      </c>
      <c r="D35757" s="1">
        <v>2.0791156625701499E-4</v>
      </c>
      <c r="E35757" s="1">
        <v>1.12984038831745E-4</v>
      </c>
      <c r="F35757" s="1">
        <v>2.9407805782732602E-4</v>
      </c>
    </row>
    <row r="35758" spans="1:6" x14ac:dyDescent="0.25">
      <c r="A35758" s="2" t="str">
        <f t="shared" si="1220"/>
        <v>99999</v>
      </c>
      <c r="B35758" s="2" t="str">
        <f>"48618"</f>
        <v>48618</v>
      </c>
      <c r="C35758" s="1">
        <v>7.5305330373215401E-6</v>
      </c>
      <c r="D35758" s="1">
        <v>1.51760267340886E-6</v>
      </c>
      <c r="E35758" s="1">
        <v>0</v>
      </c>
      <c r="F35758" s="1">
        <v>6.9639594208094801E-6</v>
      </c>
    </row>
    <row r="35759" spans="1:6" x14ac:dyDescent="0.25">
      <c r="A35759" s="2" t="str">
        <f t="shared" si="1220"/>
        <v>99999</v>
      </c>
      <c r="B35759" s="2" t="str">
        <f>"47970"</f>
        <v>47970</v>
      </c>
      <c r="C35759" s="1">
        <v>5.4569079980590801E-7</v>
      </c>
      <c r="D35759" s="1">
        <v>0</v>
      </c>
      <c r="E35759" s="1">
        <v>0</v>
      </c>
      <c r="F35759" s="1">
        <v>4.9742567291496303E-7</v>
      </c>
    </row>
    <row r="35760" spans="1:6" x14ac:dyDescent="0.25">
      <c r="A35760" s="2" t="str">
        <f t="shared" si="1220"/>
        <v>99999</v>
      </c>
      <c r="B35760" s="2" t="str">
        <f>"47949"</f>
        <v>47949</v>
      </c>
      <c r="C35760" s="1">
        <v>5.0530968062027098E-5</v>
      </c>
      <c r="D35760" s="1">
        <v>2.88344507947685E-5</v>
      </c>
      <c r="E35760" s="1">
        <v>3.47643196405369E-5</v>
      </c>
      <c r="F35760" s="1">
        <v>4.8747715945666297E-5</v>
      </c>
    </row>
    <row r="35761" spans="1:6" x14ac:dyDescent="0.25">
      <c r="A35761" s="2" t="str">
        <f t="shared" si="1220"/>
        <v>99999</v>
      </c>
      <c r="B35761" s="2" t="str">
        <f>"47536"</f>
        <v>47536</v>
      </c>
      <c r="C35761" s="1">
        <v>0</v>
      </c>
      <c r="D35761" s="1">
        <v>1.51760267340886E-6</v>
      </c>
      <c r="E35761" s="1">
        <v>0</v>
      </c>
      <c r="F35761" s="1">
        <v>9.9485134582992598E-8</v>
      </c>
    </row>
    <row r="35762" spans="1:6" x14ac:dyDescent="0.25">
      <c r="A35762" s="2" t="str">
        <f t="shared" si="1220"/>
        <v>99999</v>
      </c>
      <c r="B35762" s="2" t="str">
        <f>"47541"</f>
        <v>47541</v>
      </c>
      <c r="C35762" s="1">
        <v>3.2741447988354498E-7</v>
      </c>
      <c r="D35762" s="1">
        <v>0</v>
      </c>
      <c r="E35762" s="1">
        <v>0</v>
      </c>
      <c r="F35762" s="1">
        <v>2.9845540374897701E-7</v>
      </c>
    </row>
    <row r="35763" spans="1:6" x14ac:dyDescent="0.25">
      <c r="A35763" s="2" t="str">
        <f t="shared" si="1220"/>
        <v>99999</v>
      </c>
      <c r="B35763" s="2" t="str">
        <f>"47532"</f>
        <v>47532</v>
      </c>
      <c r="C35763" s="1">
        <v>2.8485059749868399E-5</v>
      </c>
      <c r="D35763" s="1">
        <v>1.8211232080906399E-5</v>
      </c>
      <c r="E35763" s="1">
        <v>0</v>
      </c>
      <c r="F35763" s="1">
        <v>2.71594417411569E-5</v>
      </c>
    </row>
    <row r="35764" spans="1:6" x14ac:dyDescent="0.25">
      <c r="A35764" s="2" t="str">
        <f t="shared" si="1220"/>
        <v>99999</v>
      </c>
      <c r="B35764" s="2" t="str">
        <f>"47514"</f>
        <v>47514</v>
      </c>
      <c r="C35764" s="1">
        <v>2.0081421432857398E-5</v>
      </c>
      <c r="D35764" s="1">
        <v>4.5528080202265997E-6</v>
      </c>
      <c r="E35764" s="1">
        <v>1.30366198652013E-4</v>
      </c>
      <c r="F35764" s="1">
        <v>2.15882742045094E-5</v>
      </c>
    </row>
    <row r="35765" spans="1:6" x14ac:dyDescent="0.25">
      <c r="A35765" s="2" t="str">
        <f t="shared" si="1220"/>
        <v>99999</v>
      </c>
      <c r="B35765" s="2" t="str">
        <f>"47469"</f>
        <v>47469</v>
      </c>
      <c r="C35765" s="1">
        <v>1.0062538348420899E-4</v>
      </c>
      <c r="D35765" s="1">
        <v>5.7668901589537E-5</v>
      </c>
      <c r="E35765" s="1">
        <v>3.9109859595604001E-5</v>
      </c>
      <c r="F35765" s="1">
        <v>9.6401095410919793E-5</v>
      </c>
    </row>
    <row r="35766" spans="1:6" x14ac:dyDescent="0.25">
      <c r="A35766" s="2" t="str">
        <f t="shared" si="1220"/>
        <v>99999</v>
      </c>
      <c r="B35766" s="2" t="str">
        <f>"47633"</f>
        <v>47633</v>
      </c>
      <c r="C35766" s="1">
        <v>9.4950199166228093E-6</v>
      </c>
      <c r="D35766" s="1">
        <v>7.5880133670443404E-6</v>
      </c>
      <c r="E35766" s="1">
        <v>8.69107991013423E-6</v>
      </c>
      <c r="F35766" s="1">
        <v>9.3516026508012996E-6</v>
      </c>
    </row>
    <row r="35767" spans="1:6" x14ac:dyDescent="0.25">
      <c r="A35767" s="2" t="str">
        <f t="shared" si="1220"/>
        <v>99999</v>
      </c>
      <c r="B35767" s="2" t="str">
        <f>"47634"</f>
        <v>47634</v>
      </c>
      <c r="C35767" s="1">
        <v>1.12957995559823E-4</v>
      </c>
      <c r="D35767" s="1">
        <v>3.6422464161812797E-5</v>
      </c>
      <c r="E35767" s="1">
        <v>4.3455399550671099E-6</v>
      </c>
      <c r="F35767" s="1">
        <v>1.05454242657972E-4</v>
      </c>
    </row>
    <row r="35768" spans="1:6" x14ac:dyDescent="0.25">
      <c r="A35768" s="2" t="str">
        <f t="shared" si="1220"/>
        <v>99999</v>
      </c>
      <c r="B35768" s="2" t="str">
        <f>"47666"</f>
        <v>47666</v>
      </c>
      <c r="C35768" s="1">
        <v>6.5701172296631403E-5</v>
      </c>
      <c r="D35768" s="1">
        <v>1.9728834754315301E-5</v>
      </c>
      <c r="E35768" s="1">
        <v>4.3455399550671103E-5</v>
      </c>
      <c r="F35768" s="1">
        <v>6.2178209114370297E-5</v>
      </c>
    </row>
    <row r="35769" spans="1:6" x14ac:dyDescent="0.25">
      <c r="A35769" s="2" t="str">
        <f t="shared" si="1220"/>
        <v>99999</v>
      </c>
      <c r="B35769" s="2" t="str">
        <f>"47660"</f>
        <v>47660</v>
      </c>
      <c r="C35769" s="1">
        <v>2.43596373033357E-4</v>
      </c>
      <c r="D35769" s="1">
        <v>2.7620368656041397E-4</v>
      </c>
      <c r="E35769" s="1">
        <v>2.3465915757362401E-4</v>
      </c>
      <c r="F35769" s="1">
        <v>2.4552931215082502E-4</v>
      </c>
    </row>
    <row r="35770" spans="1:6" x14ac:dyDescent="0.25">
      <c r="A35770" s="2" t="str">
        <f t="shared" si="1220"/>
        <v>99999</v>
      </c>
      <c r="B35770" s="2" t="str">
        <f>"47432"</f>
        <v>47432</v>
      </c>
      <c r="C35770" s="1">
        <v>2.6236813654668002E-4</v>
      </c>
      <c r="D35770" s="1">
        <v>3.55119025577675E-4</v>
      </c>
      <c r="E35770" s="1">
        <v>3.3895211649523501E-4</v>
      </c>
      <c r="F35770" s="1">
        <v>2.70201625527408E-4</v>
      </c>
    </row>
    <row r="35771" spans="1:6" x14ac:dyDescent="0.25">
      <c r="A35771" s="2" t="str">
        <f t="shared" si="1220"/>
        <v>99999</v>
      </c>
      <c r="B35771" s="2" t="str">
        <f>"47581"</f>
        <v>47581</v>
      </c>
      <c r="C35771" s="1">
        <v>3.5371677643419001E-4</v>
      </c>
      <c r="D35771" s="1">
        <v>6.9809722976807906E-5</v>
      </c>
      <c r="E35771" s="1">
        <v>6.0837559370939603E-5</v>
      </c>
      <c r="F35771" s="1">
        <v>3.28400429258458E-4</v>
      </c>
    </row>
    <row r="35772" spans="1:6" x14ac:dyDescent="0.25">
      <c r="A35772" s="2" t="str">
        <f t="shared" si="1220"/>
        <v>99999</v>
      </c>
      <c r="B35772" s="2" t="str">
        <f>"47383"</f>
        <v>47383</v>
      </c>
      <c r="C35772" s="1">
        <v>4.3655263984472602E-7</v>
      </c>
      <c r="D35772" s="1">
        <v>0</v>
      </c>
      <c r="E35772" s="1">
        <v>0</v>
      </c>
      <c r="F35772" s="1">
        <v>3.9794053833197002E-7</v>
      </c>
    </row>
    <row r="35773" spans="1:6" x14ac:dyDescent="0.25">
      <c r="A35773" s="2" t="str">
        <f t="shared" si="1220"/>
        <v>99999</v>
      </c>
      <c r="B35773" s="2" t="str">
        <f>"47380"</f>
        <v>47380</v>
      </c>
      <c r="C35773" s="1">
        <v>1.0640970596215199E-4</v>
      </c>
      <c r="D35773" s="1">
        <v>8.9538557731123203E-5</v>
      </c>
      <c r="E35773" s="1">
        <v>2.60732397304027E-5</v>
      </c>
      <c r="F35773" s="1">
        <v>1.03464539966312E-4</v>
      </c>
    </row>
    <row r="35774" spans="1:6" x14ac:dyDescent="0.25">
      <c r="A35774" s="2" t="str">
        <f t="shared" si="1220"/>
        <v>99999</v>
      </c>
      <c r="B35774" s="2" t="str">
        <f>"46988"</f>
        <v>46988</v>
      </c>
      <c r="C35774" s="1">
        <v>2.1827631992236301E-7</v>
      </c>
      <c r="D35774" s="1">
        <v>0</v>
      </c>
      <c r="E35774" s="1">
        <v>0</v>
      </c>
      <c r="F35774" s="1">
        <v>1.9897026916598501E-7</v>
      </c>
    </row>
    <row r="35775" spans="1:6" x14ac:dyDescent="0.25">
      <c r="A35775" s="2" t="str">
        <f t="shared" si="1220"/>
        <v>99999</v>
      </c>
      <c r="B35775" s="2" t="str">
        <f>"46979"</f>
        <v>46979</v>
      </c>
      <c r="C35775" s="1">
        <v>2.7284539990295402E-6</v>
      </c>
      <c r="D35775" s="1">
        <v>0</v>
      </c>
      <c r="E35775" s="1">
        <v>0</v>
      </c>
      <c r="F35775" s="1">
        <v>2.48712836457481E-6</v>
      </c>
    </row>
    <row r="35776" spans="1:6" x14ac:dyDescent="0.25">
      <c r="A35776" s="2" t="str">
        <f t="shared" si="1220"/>
        <v>99999</v>
      </c>
      <c r="B35776" s="2" t="str">
        <f>"47175"</f>
        <v>47175</v>
      </c>
      <c r="C35776" s="1">
        <v>5.3368560221017798E-5</v>
      </c>
      <c r="D35776" s="1">
        <v>7.5880133670443404E-6</v>
      </c>
      <c r="E35776" s="1">
        <v>1.7382159820268399E-5</v>
      </c>
      <c r="F35776" s="1">
        <v>4.9543597022330299E-5</v>
      </c>
    </row>
    <row r="35777" spans="1:6" x14ac:dyDescent="0.25">
      <c r="A35777" s="2" t="str">
        <f t="shared" si="1220"/>
        <v>99999</v>
      </c>
      <c r="B35777" s="2" t="str">
        <f>"47174"</f>
        <v>47174</v>
      </c>
      <c r="C35777" s="1">
        <v>9.2767435967004401E-6</v>
      </c>
      <c r="D35777" s="1">
        <v>7.5880133670443404E-6</v>
      </c>
      <c r="E35777" s="1">
        <v>2.1727699775335501E-5</v>
      </c>
      <c r="F35777" s="1">
        <v>9.4510877853842998E-6</v>
      </c>
    </row>
    <row r="35778" spans="1:6" x14ac:dyDescent="0.25">
      <c r="A35778" s="2" t="str">
        <f t="shared" si="1220"/>
        <v>99999</v>
      </c>
      <c r="B35778" s="2" t="str">
        <f>"47125"</f>
        <v>47125</v>
      </c>
      <c r="C35778" s="1">
        <v>4.1363362625287799E-5</v>
      </c>
      <c r="D35778" s="1">
        <v>1.66936294074975E-5</v>
      </c>
      <c r="E35778" s="1">
        <v>1.08638498876677E-4</v>
      </c>
      <c r="F35778" s="1">
        <v>4.1286330851941903E-5</v>
      </c>
    </row>
    <row r="35779" spans="1:6" x14ac:dyDescent="0.25">
      <c r="A35779" s="2" t="str">
        <f t="shared" si="1220"/>
        <v>99999</v>
      </c>
      <c r="B35779" s="2" t="str">
        <f>"47118"</f>
        <v>47118</v>
      </c>
      <c r="C35779" s="1">
        <v>1.93611095771136E-4</v>
      </c>
      <c r="D35779" s="1">
        <v>7.4362530997034595E-5</v>
      </c>
      <c r="E35779" s="1">
        <v>5.3450141447325503E-4</v>
      </c>
      <c r="F35779" s="1">
        <v>1.9359807189850301E-4</v>
      </c>
    </row>
    <row r="35780" spans="1:6" x14ac:dyDescent="0.25">
      <c r="A35780" s="2" t="str">
        <f t="shared" si="1220"/>
        <v>99999</v>
      </c>
      <c r="B35780" s="2" t="str">
        <f>"47137"</f>
        <v>47137</v>
      </c>
      <c r="C35780" s="1">
        <v>8.6546560849217106E-5</v>
      </c>
      <c r="D35780" s="1">
        <v>6.9809722976807906E-5</v>
      </c>
      <c r="E35780" s="1">
        <v>1.39057278562147E-4</v>
      </c>
      <c r="F35780" s="1">
        <v>8.6651552221786495E-5</v>
      </c>
    </row>
    <row r="35781" spans="1:6" x14ac:dyDescent="0.25">
      <c r="A35781" s="2" t="str">
        <f t="shared" si="1220"/>
        <v>99999</v>
      </c>
      <c r="B35781" s="2" t="str">
        <f>"46951"</f>
        <v>46951</v>
      </c>
      <c r="C35781" s="1">
        <v>5.2713731261250698E-5</v>
      </c>
      <c r="D35781" s="1">
        <v>1.9728834754315301E-5</v>
      </c>
      <c r="E35781" s="1">
        <v>0</v>
      </c>
      <c r="F35781" s="1">
        <v>4.9344626753164302E-5</v>
      </c>
    </row>
    <row r="35782" spans="1:6" x14ac:dyDescent="0.25">
      <c r="A35782" s="2" t="str">
        <f t="shared" si="1220"/>
        <v>99999</v>
      </c>
      <c r="B35782" s="2" t="str">
        <f>"47038"</f>
        <v>47038</v>
      </c>
      <c r="C35782" s="1">
        <v>9.9752278204520107E-5</v>
      </c>
      <c r="D35782" s="1">
        <v>9.1056160404532095E-6</v>
      </c>
      <c r="E35782" s="1">
        <v>4.3455399550671099E-6</v>
      </c>
      <c r="F35782" s="1">
        <v>9.1625808950936203E-5</v>
      </c>
    </row>
    <row r="35783" spans="1:6" x14ac:dyDescent="0.25">
      <c r="A35783" s="2" t="str">
        <f t="shared" si="1220"/>
        <v>99999</v>
      </c>
      <c r="B35783" s="2" t="str">
        <f>"46714"</f>
        <v>46714</v>
      </c>
      <c r="C35783" s="1">
        <v>7.4148465877626796E-4</v>
      </c>
      <c r="D35783" s="1">
        <v>1.05321625534575E-3</v>
      </c>
      <c r="E35783" s="1">
        <v>1.2037145675535901E-3</v>
      </c>
      <c r="F35783" s="1">
        <v>7.7250207003693697E-4</v>
      </c>
    </row>
    <row r="35784" spans="1:6" x14ac:dyDescent="0.25">
      <c r="A35784" s="2" t="str">
        <f t="shared" si="1220"/>
        <v>99999</v>
      </c>
      <c r="B35784" s="2" t="str">
        <f>"46786"</f>
        <v>46786</v>
      </c>
      <c r="C35784" s="1">
        <v>0</v>
      </c>
      <c r="D35784" s="1">
        <v>0</v>
      </c>
      <c r="E35784" s="1">
        <v>4.3455399550671099E-6</v>
      </c>
      <c r="F35784" s="1">
        <v>9.9485134582992598E-8</v>
      </c>
    </row>
    <row r="35785" spans="1:6" x14ac:dyDescent="0.25">
      <c r="A35785" s="2" t="str">
        <f t="shared" si="1220"/>
        <v>99999</v>
      </c>
      <c r="B35785" s="2" t="str">
        <f>"46798"</f>
        <v>46798</v>
      </c>
      <c r="C35785" s="1">
        <v>3.6015592787189902E-6</v>
      </c>
      <c r="D35785" s="1">
        <v>0</v>
      </c>
      <c r="E35785" s="1">
        <v>0</v>
      </c>
      <c r="F35785" s="1">
        <v>3.2830094412387502E-6</v>
      </c>
    </row>
    <row r="35786" spans="1:6" x14ac:dyDescent="0.25">
      <c r="A35786" s="2" t="str">
        <f t="shared" si="1220"/>
        <v>99999</v>
      </c>
      <c r="B35786" s="2" t="str">
        <f>"46776"</f>
        <v>46776</v>
      </c>
      <c r="C35786" s="1">
        <v>1.8990039833245598E-5</v>
      </c>
      <c r="D35786" s="1">
        <v>0</v>
      </c>
      <c r="E35786" s="1">
        <v>0</v>
      </c>
      <c r="F35786" s="1">
        <v>1.7310413417440701E-5</v>
      </c>
    </row>
    <row r="35787" spans="1:6" x14ac:dyDescent="0.25">
      <c r="A35787" s="2" t="str">
        <f t="shared" si="1220"/>
        <v>99999</v>
      </c>
      <c r="B35787" s="2" t="str">
        <f>"46747"</f>
        <v>46747</v>
      </c>
      <c r="C35787" s="1">
        <v>2.7611954470178899E-5</v>
      </c>
      <c r="D35787" s="1">
        <v>1.9728834754315301E-5</v>
      </c>
      <c r="E35787" s="1">
        <v>1.7382159820268399E-5</v>
      </c>
      <c r="F35787" s="1">
        <v>2.6860986337408E-5</v>
      </c>
    </row>
    <row r="35788" spans="1:6" x14ac:dyDescent="0.25">
      <c r="A35788" s="2" t="str">
        <f t="shared" si="1220"/>
        <v>99999</v>
      </c>
      <c r="B35788" s="2" t="str">
        <f>"46746"</f>
        <v>46746</v>
      </c>
      <c r="C35788" s="1">
        <v>1.7898658233633799E-4</v>
      </c>
      <c r="D35788" s="1">
        <v>1.27478624566345E-4</v>
      </c>
      <c r="E35788" s="1">
        <v>5.6492019415872502E-5</v>
      </c>
      <c r="F35788" s="1">
        <v>1.72805678770658E-4</v>
      </c>
    </row>
    <row r="35789" spans="1:6" x14ac:dyDescent="0.25">
      <c r="A35789" s="2" t="str">
        <f t="shared" si="1220"/>
        <v>99999</v>
      </c>
      <c r="B35789" s="2" t="str">
        <f>"46511"</f>
        <v>46511</v>
      </c>
      <c r="C35789" s="1">
        <v>5.2277178621405997E-5</v>
      </c>
      <c r="D35789" s="1">
        <v>9.1056160404532095E-6</v>
      </c>
      <c r="E35789" s="1">
        <v>1.3036619865201299E-5</v>
      </c>
      <c r="F35789" s="1">
        <v>4.8548745676500402E-5</v>
      </c>
    </row>
    <row r="35790" spans="1:6" x14ac:dyDescent="0.25">
      <c r="A35790" s="2" t="str">
        <f t="shared" si="1220"/>
        <v>99999</v>
      </c>
      <c r="B35790" s="2" t="str">
        <f>"46182"</f>
        <v>46182</v>
      </c>
      <c r="C35790" s="1">
        <v>4.4746645584084504E-6</v>
      </c>
      <c r="D35790" s="1">
        <v>0</v>
      </c>
      <c r="E35790" s="1">
        <v>0</v>
      </c>
      <c r="F35790" s="1">
        <v>4.07889051790269E-6</v>
      </c>
    </row>
    <row r="35791" spans="1:6" x14ac:dyDescent="0.25">
      <c r="A35791" s="2" t="str">
        <f t="shared" si="1220"/>
        <v>99999</v>
      </c>
      <c r="B35791" s="2" t="str">
        <f>"46161"</f>
        <v>46161</v>
      </c>
      <c r="C35791" s="1">
        <v>1.9644868793012701E-6</v>
      </c>
      <c r="D35791" s="1">
        <v>1.51760267340886E-6</v>
      </c>
      <c r="E35791" s="1">
        <v>0</v>
      </c>
      <c r="F35791" s="1">
        <v>1.89021755707686E-6</v>
      </c>
    </row>
    <row r="35792" spans="1:6" x14ac:dyDescent="0.25">
      <c r="A35792" s="2" t="str">
        <f t="shared" si="1220"/>
        <v>99999</v>
      </c>
      <c r="B35792" s="2" t="str">
        <f>"46127"</f>
        <v>46127</v>
      </c>
      <c r="C35792" s="1">
        <v>1.3205717355302901E-5</v>
      </c>
      <c r="D35792" s="1">
        <v>4.5528080202265997E-6</v>
      </c>
      <c r="E35792" s="1">
        <v>0</v>
      </c>
      <c r="F35792" s="1">
        <v>1.2336156688290999E-5</v>
      </c>
    </row>
    <row r="35793" spans="1:6" x14ac:dyDescent="0.25">
      <c r="A35793" s="2" t="str">
        <f t="shared" si="1220"/>
        <v>99999</v>
      </c>
      <c r="B35793" s="2" t="str">
        <f>"46115"</f>
        <v>46115</v>
      </c>
      <c r="C35793" s="1">
        <v>8.9929843808013695E-5</v>
      </c>
      <c r="D35793" s="1">
        <v>1.9728834754315301E-5</v>
      </c>
      <c r="E35793" s="1">
        <v>6.5183099326006705E-5</v>
      </c>
      <c r="F35793" s="1">
        <v>8.4761334664709706E-5</v>
      </c>
    </row>
    <row r="35794" spans="1:6" x14ac:dyDescent="0.25">
      <c r="A35794" s="2" t="str">
        <f t="shared" ref="A35794:A35857" si="1221">"99999"</f>
        <v>99999</v>
      </c>
      <c r="B35794" s="2" t="str">
        <f>"46133"</f>
        <v>46133</v>
      </c>
      <c r="C35794" s="1">
        <v>1.5061066074643001E-5</v>
      </c>
      <c r="D35794" s="1">
        <v>4.5528080202265997E-6</v>
      </c>
      <c r="E35794" s="1">
        <v>4.3455399550671099E-6</v>
      </c>
      <c r="F35794" s="1">
        <v>1.41268891107849E-5</v>
      </c>
    </row>
    <row r="35795" spans="1:6" x14ac:dyDescent="0.25">
      <c r="A35795" s="2" t="str">
        <f t="shared" si="1221"/>
        <v>99999</v>
      </c>
      <c r="B35795" s="2" t="str">
        <f>"46140"</f>
        <v>46140</v>
      </c>
      <c r="C35795" s="1">
        <v>4.5838027183696299E-6</v>
      </c>
      <c r="D35795" s="1">
        <v>0</v>
      </c>
      <c r="E35795" s="1">
        <v>0</v>
      </c>
      <c r="F35795" s="1">
        <v>4.1783756524856902E-6</v>
      </c>
    </row>
    <row r="35796" spans="1:6" x14ac:dyDescent="0.25">
      <c r="A35796" s="2" t="str">
        <f t="shared" si="1221"/>
        <v>99999</v>
      </c>
      <c r="B35796" s="2" t="str">
        <f>"45647"</f>
        <v>45647</v>
      </c>
      <c r="C35796" s="1">
        <v>5.8934606379038102E-5</v>
      </c>
      <c r="D35796" s="1">
        <v>7.5880133670443404E-6</v>
      </c>
      <c r="E35796" s="1">
        <v>0</v>
      </c>
      <c r="F35796" s="1">
        <v>5.4219398347730897E-5</v>
      </c>
    </row>
    <row r="35797" spans="1:6" x14ac:dyDescent="0.25">
      <c r="A35797" s="2" t="str">
        <f t="shared" si="1221"/>
        <v>99999</v>
      </c>
      <c r="B35797" s="2" t="str">
        <f>"45859"</f>
        <v>45859</v>
      </c>
      <c r="C35797" s="1">
        <v>9.8224343965063504E-7</v>
      </c>
      <c r="D35797" s="1">
        <v>1.51760267340886E-6</v>
      </c>
      <c r="E35797" s="1">
        <v>0</v>
      </c>
      <c r="F35797" s="1">
        <v>9.9485134582992606E-7</v>
      </c>
    </row>
    <row r="35798" spans="1:6" x14ac:dyDescent="0.25">
      <c r="A35798" s="2" t="str">
        <f t="shared" si="1221"/>
        <v>99999</v>
      </c>
      <c r="B35798" s="2" t="str">
        <f>"45873"</f>
        <v>45873</v>
      </c>
      <c r="C35798" s="1">
        <v>1.10229541560793E-4</v>
      </c>
      <c r="D35798" s="1">
        <v>3.3387258814995101E-5</v>
      </c>
      <c r="E35798" s="1">
        <v>2.1727699775335501E-5</v>
      </c>
      <c r="F35798" s="1">
        <v>1.03166084562563E-4</v>
      </c>
    </row>
    <row r="35799" spans="1:6" x14ac:dyDescent="0.25">
      <c r="A35799" s="2" t="str">
        <f t="shared" si="1221"/>
        <v>99999</v>
      </c>
      <c r="B35799" s="2" t="str">
        <f>"45855"</f>
        <v>45855</v>
      </c>
      <c r="C35799" s="1">
        <v>0</v>
      </c>
      <c r="D35799" s="1">
        <v>1.51760267340886E-6</v>
      </c>
      <c r="E35799" s="1">
        <v>0</v>
      </c>
      <c r="F35799" s="1">
        <v>9.9485134582992598E-8</v>
      </c>
    </row>
    <row r="35800" spans="1:6" x14ac:dyDescent="0.25">
      <c r="A35800" s="2" t="str">
        <f t="shared" si="1221"/>
        <v>99999</v>
      </c>
      <c r="B35800" s="2" t="str">
        <f>"45844"</f>
        <v>45844</v>
      </c>
      <c r="C35800" s="1">
        <v>1.2845561427431E-4</v>
      </c>
      <c r="D35800" s="1">
        <v>5.3116093569310399E-5</v>
      </c>
      <c r="E35800" s="1">
        <v>2.1727699775335501E-5</v>
      </c>
      <c r="F35800" s="1">
        <v>1.21073408787502E-4</v>
      </c>
    </row>
    <row r="35801" spans="1:6" x14ac:dyDescent="0.25">
      <c r="A35801" s="2" t="str">
        <f t="shared" si="1221"/>
        <v>99999</v>
      </c>
      <c r="B35801" s="2" t="str">
        <f>"45789"</f>
        <v>45789</v>
      </c>
      <c r="C35801" s="1">
        <v>1.85534871934008E-6</v>
      </c>
      <c r="D35801" s="1">
        <v>0</v>
      </c>
      <c r="E35801" s="1">
        <v>0</v>
      </c>
      <c r="F35801" s="1">
        <v>1.6912472879108699E-6</v>
      </c>
    </row>
    <row r="35802" spans="1:6" x14ac:dyDescent="0.25">
      <c r="A35802" s="2" t="str">
        <f t="shared" si="1221"/>
        <v>99999</v>
      </c>
      <c r="B35802" s="2" t="str">
        <f>"45776"</f>
        <v>45776</v>
      </c>
      <c r="C35802" s="1">
        <v>2.9685579509441402E-5</v>
      </c>
      <c r="D35802" s="1">
        <v>3.0352053468177301E-6</v>
      </c>
      <c r="E35802" s="1">
        <v>1.7382159820268399E-5</v>
      </c>
      <c r="F35802" s="1">
        <v>2.76568674140719E-5</v>
      </c>
    </row>
    <row r="35803" spans="1:6" x14ac:dyDescent="0.25">
      <c r="A35803" s="2" t="str">
        <f t="shared" si="1221"/>
        <v>99999</v>
      </c>
      <c r="B35803" s="2" t="str">
        <f>"45833"</f>
        <v>45833</v>
      </c>
      <c r="C35803" s="1">
        <v>1.5279342394565399E-5</v>
      </c>
      <c r="D35803" s="1">
        <v>3.0352053468177301E-6</v>
      </c>
      <c r="E35803" s="1">
        <v>0</v>
      </c>
      <c r="F35803" s="1">
        <v>1.41268891107849E-5</v>
      </c>
    </row>
    <row r="35804" spans="1:6" x14ac:dyDescent="0.25">
      <c r="A35804" s="2" t="str">
        <f t="shared" si="1221"/>
        <v>99999</v>
      </c>
      <c r="B35804" s="2" t="str">
        <f>"45830"</f>
        <v>45830</v>
      </c>
      <c r="C35804" s="1">
        <v>2.07362503926245E-4</v>
      </c>
      <c r="D35804" s="1">
        <v>1.57830678034522E-4</v>
      </c>
      <c r="E35804" s="1">
        <v>2.3031361761855699E-4</v>
      </c>
      <c r="F35804" s="1">
        <v>2.0464092183721501E-4</v>
      </c>
    </row>
    <row r="35805" spans="1:6" x14ac:dyDescent="0.25">
      <c r="A35805" s="2" t="str">
        <f t="shared" si="1221"/>
        <v>99999</v>
      </c>
      <c r="B35805" s="2" t="str">
        <f>"45620"</f>
        <v>45620</v>
      </c>
      <c r="C35805" s="1">
        <v>5.4569079980590803E-6</v>
      </c>
      <c r="D35805" s="1">
        <v>7.5880133670443404E-6</v>
      </c>
      <c r="E35805" s="1">
        <v>0</v>
      </c>
      <c r="F35805" s="1">
        <v>5.4716824020645896E-6</v>
      </c>
    </row>
    <row r="35806" spans="1:6" x14ac:dyDescent="0.25">
      <c r="A35806" s="2" t="str">
        <f t="shared" si="1221"/>
        <v>99999</v>
      </c>
      <c r="B35806" s="2" t="str">
        <f>"45723"</f>
        <v>45723</v>
      </c>
      <c r="C35806" s="1">
        <v>2.19367701521975E-5</v>
      </c>
      <c r="D35806" s="1">
        <v>4.5528080202265997E-6</v>
      </c>
      <c r="E35806" s="1">
        <v>0</v>
      </c>
      <c r="F35806" s="1">
        <v>2.0294967454930399E-5</v>
      </c>
    </row>
    <row r="35807" spans="1:6" x14ac:dyDescent="0.25">
      <c r="A35807" s="2" t="str">
        <f t="shared" si="1221"/>
        <v>99999</v>
      </c>
      <c r="B35807" s="2" t="str">
        <f>"45715"</f>
        <v>45715</v>
      </c>
      <c r="C35807" s="1">
        <v>4.6492856143463403E-5</v>
      </c>
      <c r="D35807" s="1">
        <v>6.0704106936354696E-6</v>
      </c>
      <c r="E35807" s="1">
        <v>0</v>
      </c>
      <c r="F35807" s="1">
        <v>4.27786078706868E-5</v>
      </c>
    </row>
    <row r="35808" spans="1:6" x14ac:dyDescent="0.25">
      <c r="A35808" s="2" t="str">
        <f t="shared" si="1221"/>
        <v>99999</v>
      </c>
      <c r="B35808" s="2" t="str">
        <f>"45382"</f>
        <v>45382</v>
      </c>
      <c r="C35808" s="1">
        <v>4.2673020544821998E-5</v>
      </c>
      <c r="D35808" s="1">
        <v>1.21408213872709E-5</v>
      </c>
      <c r="E35808" s="1">
        <v>2.60732397304027E-5</v>
      </c>
      <c r="F35808" s="1">
        <v>4.0291479506111999E-5</v>
      </c>
    </row>
    <row r="35809" spans="1:6" x14ac:dyDescent="0.25">
      <c r="A35809" s="2" t="str">
        <f t="shared" si="1221"/>
        <v>99999</v>
      </c>
      <c r="B35809" s="2" t="str">
        <f>"45123"</f>
        <v>45123</v>
      </c>
      <c r="C35809" s="1">
        <v>3.48587282916014E-4</v>
      </c>
      <c r="D35809" s="1">
        <v>3.6574224429153699E-4</v>
      </c>
      <c r="E35809" s="1">
        <v>5.7795681402392598E-4</v>
      </c>
      <c r="F35809" s="1">
        <v>3.5496296019211701E-4</v>
      </c>
    </row>
    <row r="35810" spans="1:6" x14ac:dyDescent="0.25">
      <c r="A35810" s="2" t="str">
        <f t="shared" si="1221"/>
        <v>99999</v>
      </c>
      <c r="B35810" s="2" t="str">
        <f>"45056"</f>
        <v>45056</v>
      </c>
      <c r="C35810" s="1">
        <v>2.1827631992236301E-7</v>
      </c>
      <c r="D35810" s="1">
        <v>0</v>
      </c>
      <c r="E35810" s="1">
        <v>0</v>
      </c>
      <c r="F35810" s="1">
        <v>1.9897026916598501E-7</v>
      </c>
    </row>
    <row r="35811" spans="1:6" x14ac:dyDescent="0.25">
      <c r="A35811" s="2" t="str">
        <f t="shared" si="1221"/>
        <v>99999</v>
      </c>
      <c r="B35811" s="2" t="str">
        <f>"44676"</f>
        <v>44676</v>
      </c>
      <c r="C35811" s="1">
        <v>3.9508013905947698E-5</v>
      </c>
      <c r="D35811" s="1">
        <v>1.3658424060679801E-5</v>
      </c>
      <c r="E35811" s="1">
        <v>0</v>
      </c>
      <c r="F35811" s="1">
        <v>3.6908984930290199E-5</v>
      </c>
    </row>
    <row r="35812" spans="1:6" x14ac:dyDescent="0.25">
      <c r="A35812" s="2" t="str">
        <f t="shared" si="1221"/>
        <v>99999</v>
      </c>
      <c r="B35812" s="2" t="str">
        <f>"43981"</f>
        <v>43981</v>
      </c>
      <c r="C35812" s="1">
        <v>0</v>
      </c>
      <c r="D35812" s="1">
        <v>0</v>
      </c>
      <c r="E35812" s="1">
        <v>4.3455399550671099E-6</v>
      </c>
      <c r="F35812" s="1">
        <v>9.9485134582992598E-8</v>
      </c>
    </row>
    <row r="35813" spans="1:6" x14ac:dyDescent="0.25">
      <c r="A35813" s="2" t="str">
        <f t="shared" si="1221"/>
        <v>99999</v>
      </c>
      <c r="B35813" s="2" t="str">
        <f>"43977"</f>
        <v>43977</v>
      </c>
      <c r="C35813" s="1">
        <v>8.0762238371274393E-6</v>
      </c>
      <c r="D35813" s="1">
        <v>0</v>
      </c>
      <c r="E35813" s="1">
        <v>0</v>
      </c>
      <c r="F35813" s="1">
        <v>7.3618999591414504E-6</v>
      </c>
    </row>
    <row r="35814" spans="1:6" x14ac:dyDescent="0.25">
      <c r="A35814" s="2" t="str">
        <f t="shared" si="1221"/>
        <v>99999</v>
      </c>
      <c r="B35814" s="2" t="str">
        <f>"43777"</f>
        <v>43777</v>
      </c>
      <c r="C35814" s="1">
        <v>2.1827631992236301E-7</v>
      </c>
      <c r="D35814" s="1">
        <v>0</v>
      </c>
      <c r="E35814" s="1">
        <v>0</v>
      </c>
      <c r="F35814" s="1">
        <v>1.9897026916598501E-7</v>
      </c>
    </row>
    <row r="35815" spans="1:6" x14ac:dyDescent="0.25">
      <c r="A35815" s="2" t="str">
        <f t="shared" si="1221"/>
        <v>99999</v>
      </c>
      <c r="B35815" s="2" t="str">
        <f>"43747"</f>
        <v>43747</v>
      </c>
      <c r="C35815" s="1">
        <v>3.7216112546762902E-5</v>
      </c>
      <c r="D35815" s="1">
        <v>1.66936294074975E-5</v>
      </c>
      <c r="E35815" s="1">
        <v>0</v>
      </c>
      <c r="F35815" s="1">
        <v>3.5018767373213403E-5</v>
      </c>
    </row>
    <row r="35816" spans="1:6" x14ac:dyDescent="0.25">
      <c r="A35816" s="2" t="str">
        <f t="shared" si="1221"/>
        <v>99999</v>
      </c>
      <c r="B35816" s="2" t="str">
        <f>"43804"</f>
        <v>43804</v>
      </c>
      <c r="C35816" s="1">
        <v>6.2863580137640602E-5</v>
      </c>
      <c r="D35816" s="1">
        <v>5.0080888222492601E-5</v>
      </c>
      <c r="E35816" s="1">
        <v>0</v>
      </c>
      <c r="F35816" s="1">
        <v>6.0586446961042497E-5</v>
      </c>
    </row>
    <row r="35817" spans="1:6" x14ac:dyDescent="0.25">
      <c r="A35817" s="2" t="str">
        <f t="shared" si="1221"/>
        <v>99999</v>
      </c>
      <c r="B35817" s="2" t="str">
        <f>"43340"</f>
        <v>43340</v>
      </c>
      <c r="C35817" s="1">
        <v>7.0284975015000995E-5</v>
      </c>
      <c r="D35817" s="1">
        <v>2.1246437427724101E-5</v>
      </c>
      <c r="E35817" s="1">
        <v>0</v>
      </c>
      <c r="F35817" s="1">
        <v>6.5461218555609105E-5</v>
      </c>
    </row>
    <row r="35818" spans="1:6" x14ac:dyDescent="0.25">
      <c r="A35818" s="2" t="str">
        <f t="shared" si="1221"/>
        <v>99999</v>
      </c>
      <c r="B35818" s="2" t="str">
        <f>"43529"</f>
        <v>43529</v>
      </c>
      <c r="C35818" s="1">
        <v>3.1650066388742701E-6</v>
      </c>
      <c r="D35818" s="1">
        <v>1.51760267340886E-6</v>
      </c>
      <c r="E35818" s="1">
        <v>0</v>
      </c>
      <c r="F35818" s="1">
        <v>2.9845540374897699E-6</v>
      </c>
    </row>
    <row r="35819" spans="1:6" x14ac:dyDescent="0.25">
      <c r="A35819" s="2" t="str">
        <f t="shared" si="1221"/>
        <v>99999</v>
      </c>
      <c r="B35819" s="2" t="str">
        <f>"43522"</f>
        <v>43522</v>
      </c>
      <c r="C35819" s="1">
        <v>3.05586847891308E-6</v>
      </c>
      <c r="D35819" s="1">
        <v>0</v>
      </c>
      <c r="E35819" s="1">
        <v>0</v>
      </c>
      <c r="F35819" s="1">
        <v>2.7855837683237898E-6</v>
      </c>
    </row>
    <row r="35820" spans="1:6" x14ac:dyDescent="0.25">
      <c r="A35820" s="2" t="str">
        <f t="shared" si="1221"/>
        <v>99999</v>
      </c>
      <c r="B35820" s="2" t="str">
        <f>"43518"</f>
        <v>43518</v>
      </c>
      <c r="C35820" s="1">
        <v>1.17432660118231E-4</v>
      </c>
      <c r="D35820" s="1">
        <v>6.0704106936354703E-5</v>
      </c>
      <c r="E35820" s="1">
        <v>4.3455399550671103E-5</v>
      </c>
      <c r="F35820" s="1">
        <v>1.1202026154044899E-4</v>
      </c>
    </row>
    <row r="35821" spans="1:6" x14ac:dyDescent="0.25">
      <c r="A35821" s="2" t="str">
        <f t="shared" si="1221"/>
        <v>99999</v>
      </c>
      <c r="B35821" s="2" t="str">
        <f>"43517"</f>
        <v>43517</v>
      </c>
      <c r="C35821" s="1">
        <v>1.2747337083466001E-4</v>
      </c>
      <c r="D35821" s="1">
        <v>1.3354903525998E-4</v>
      </c>
      <c r="E35821" s="1">
        <v>6.9528639281073799E-5</v>
      </c>
      <c r="F35821" s="1">
        <v>1.2654509118956601E-4</v>
      </c>
    </row>
    <row r="35822" spans="1:6" x14ac:dyDescent="0.25">
      <c r="A35822" s="2" t="str">
        <f t="shared" si="1221"/>
        <v>99999</v>
      </c>
      <c r="B35822" s="2" t="str">
        <f>"43570"</f>
        <v>43570</v>
      </c>
      <c r="C35822" s="1">
        <v>1.51592904186081E-4</v>
      </c>
      <c r="D35822" s="1">
        <v>1.12302597832256E-4</v>
      </c>
      <c r="E35822" s="1">
        <v>3.2591549663003302E-4</v>
      </c>
      <c r="F35822" s="1">
        <v>1.53008136988642E-4</v>
      </c>
    </row>
    <row r="35823" spans="1:6" x14ac:dyDescent="0.25">
      <c r="A35823" s="2" t="str">
        <f t="shared" si="1221"/>
        <v>99999</v>
      </c>
      <c r="B35823" s="2" t="str">
        <f>"43567"</f>
        <v>43567</v>
      </c>
      <c r="C35823" s="1">
        <v>2.5101776791071799E-6</v>
      </c>
      <c r="D35823" s="1">
        <v>0</v>
      </c>
      <c r="E35823" s="1">
        <v>0</v>
      </c>
      <c r="F35823" s="1">
        <v>2.2881580954088299E-6</v>
      </c>
    </row>
    <row r="35824" spans="1:6" x14ac:dyDescent="0.25">
      <c r="A35824" s="2" t="str">
        <f t="shared" si="1221"/>
        <v>99999</v>
      </c>
      <c r="B35824" s="2" t="str">
        <f>"43506"</f>
        <v>43506</v>
      </c>
      <c r="C35824" s="1">
        <v>7.7444438308454499E-4</v>
      </c>
      <c r="D35824" s="1">
        <v>1.03652262593825E-3</v>
      </c>
      <c r="E35824" s="1">
        <v>1.69910612243124E-3</v>
      </c>
      <c r="F35824" s="1">
        <v>8.12793549543049E-4</v>
      </c>
    </row>
    <row r="35825" spans="1:6" x14ac:dyDescent="0.25">
      <c r="A35825" s="2" t="str">
        <f t="shared" si="1221"/>
        <v>99999</v>
      </c>
      <c r="B35825" s="2" t="str">
        <f>"43516"</f>
        <v>43516</v>
      </c>
      <c r="C35825" s="1">
        <v>1.2539974579539701E-4</v>
      </c>
      <c r="D35825" s="1">
        <v>1.5934828070793099E-4</v>
      </c>
      <c r="E35825" s="1">
        <v>1.4340281851721399E-4</v>
      </c>
      <c r="F35825" s="1">
        <v>1.2803736820831099E-4</v>
      </c>
    </row>
    <row r="35826" spans="1:6" x14ac:dyDescent="0.25">
      <c r="A35826" s="2" t="str">
        <f t="shared" si="1221"/>
        <v>99999</v>
      </c>
      <c r="B35826" s="2" t="str">
        <f>"42742"</f>
        <v>42742</v>
      </c>
      <c r="C35826" s="1">
        <v>3.4924211187578098E-6</v>
      </c>
      <c r="D35826" s="1">
        <v>0</v>
      </c>
      <c r="E35826" s="1">
        <v>1.3036619865201299E-5</v>
      </c>
      <c r="F35826" s="1">
        <v>3.48197971040474E-6</v>
      </c>
    </row>
    <row r="35827" spans="1:6" x14ac:dyDescent="0.25">
      <c r="A35827" s="2" t="str">
        <f t="shared" si="1221"/>
        <v>99999</v>
      </c>
      <c r="B35827" s="2" t="str">
        <f>"42721"</f>
        <v>42721</v>
      </c>
      <c r="C35827" s="1">
        <v>2.0081421432857399E-4</v>
      </c>
      <c r="D35827" s="1">
        <v>9.2573763077941E-5</v>
      </c>
      <c r="E35827" s="1">
        <v>3.8240751604590601E-4</v>
      </c>
      <c r="F35827" s="1">
        <v>1.97875932685572E-4</v>
      </c>
    </row>
    <row r="35828" spans="1:6" x14ac:dyDescent="0.25">
      <c r="A35828" s="2" t="str">
        <f t="shared" si="1221"/>
        <v>99999</v>
      </c>
      <c r="B35828" s="2" t="str">
        <f>"42718"</f>
        <v>42718</v>
      </c>
      <c r="C35828" s="1">
        <v>3.9071461266102997E-5</v>
      </c>
      <c r="D35828" s="1">
        <v>3.0352053468177301E-6</v>
      </c>
      <c r="E35828" s="1">
        <v>9.9947418966543598E-5</v>
      </c>
      <c r="F35828" s="1">
        <v>3.81028065452861E-5</v>
      </c>
    </row>
    <row r="35829" spans="1:6" x14ac:dyDescent="0.25">
      <c r="A35829" s="2" t="str">
        <f t="shared" si="1221"/>
        <v>99999</v>
      </c>
      <c r="B35829" s="2" t="str">
        <f>"42603"</f>
        <v>42603</v>
      </c>
      <c r="C35829" s="1">
        <v>3.9835428385831298E-5</v>
      </c>
      <c r="D35829" s="1">
        <v>4.5528080202265997E-6</v>
      </c>
      <c r="E35829" s="1">
        <v>1.3036619865201299E-5</v>
      </c>
      <c r="F35829" s="1">
        <v>3.6908984930290199E-5</v>
      </c>
    </row>
    <row r="35830" spans="1:6" x14ac:dyDescent="0.25">
      <c r="A35830" s="2" t="str">
        <f t="shared" si="1221"/>
        <v>99999</v>
      </c>
      <c r="B35830" s="2" t="str">
        <f>"43006"</f>
        <v>43006</v>
      </c>
      <c r="C35830" s="1">
        <v>1.4078822634992399E-5</v>
      </c>
      <c r="D35830" s="1">
        <v>0</v>
      </c>
      <c r="E35830" s="1">
        <v>8.69107991013423E-6</v>
      </c>
      <c r="F35830" s="1">
        <v>1.3032552630372001E-5</v>
      </c>
    </row>
    <row r="35831" spans="1:6" x14ac:dyDescent="0.25">
      <c r="A35831" s="2" t="str">
        <f t="shared" si="1221"/>
        <v>99999</v>
      </c>
      <c r="B35831" s="2" t="str">
        <f>"42784"</f>
        <v>42784</v>
      </c>
      <c r="C35831" s="1">
        <v>3.9944566545792501E-5</v>
      </c>
      <c r="D35831" s="1">
        <v>6.0704106936354696E-6</v>
      </c>
      <c r="E35831" s="1">
        <v>1.0429295892161E-4</v>
      </c>
      <c r="F35831" s="1">
        <v>3.9197143025699002E-5</v>
      </c>
    </row>
    <row r="35832" spans="1:6" x14ac:dyDescent="0.25">
      <c r="A35832" s="2" t="str">
        <f t="shared" si="1221"/>
        <v>99999</v>
      </c>
      <c r="B35832" s="2" t="str">
        <f>"42749"</f>
        <v>42749</v>
      </c>
      <c r="C35832" s="1">
        <v>2.7360936702268201E-4</v>
      </c>
      <c r="D35832" s="1">
        <v>2.97450123988138E-4</v>
      </c>
      <c r="E35832" s="1">
        <v>1.15591362804785E-3</v>
      </c>
      <c r="F35832" s="1">
        <v>2.9537136457690502E-4</v>
      </c>
    </row>
    <row r="35833" spans="1:6" x14ac:dyDescent="0.25">
      <c r="A35833" s="2" t="str">
        <f t="shared" si="1221"/>
        <v>99999</v>
      </c>
      <c r="B35833" s="2" t="str">
        <f>"42461"</f>
        <v>42461</v>
      </c>
      <c r="C35833" s="1">
        <v>4.1472500785249002E-5</v>
      </c>
      <c r="D35833" s="1">
        <v>2.2764040101133E-5</v>
      </c>
      <c r="E35833" s="1">
        <v>3.0418779685469802E-5</v>
      </c>
      <c r="F35833" s="1">
        <v>3.9993024102362997E-5</v>
      </c>
    </row>
    <row r="35834" spans="1:6" x14ac:dyDescent="0.25">
      <c r="A35834" s="2" t="str">
        <f t="shared" si="1221"/>
        <v>99999</v>
      </c>
      <c r="B35834" s="2" t="str">
        <f>"42459"</f>
        <v>42459</v>
      </c>
      <c r="C35834" s="1">
        <v>2.3300997151712299E-4</v>
      </c>
      <c r="D35834" s="1">
        <v>2.4433403041882699E-4</v>
      </c>
      <c r="E35834" s="1">
        <v>9.1256339056409395E-5</v>
      </c>
      <c r="F35834" s="1">
        <v>2.3050705682879299E-4</v>
      </c>
    </row>
    <row r="35835" spans="1:6" x14ac:dyDescent="0.25">
      <c r="A35835" s="2" t="str">
        <f t="shared" si="1221"/>
        <v>99999</v>
      </c>
      <c r="B35835" s="2" t="str">
        <f>"42078"</f>
        <v>42078</v>
      </c>
      <c r="C35835" s="1">
        <v>1.8444349033439702E-5</v>
      </c>
      <c r="D35835" s="1">
        <v>3.0352053468177301E-6</v>
      </c>
      <c r="E35835" s="1">
        <v>0</v>
      </c>
      <c r="F35835" s="1">
        <v>1.7011958013691699E-5</v>
      </c>
    </row>
    <row r="35836" spans="1:6" x14ac:dyDescent="0.25">
      <c r="A35836" s="2" t="str">
        <f t="shared" si="1221"/>
        <v>99999</v>
      </c>
      <c r="B35836" s="2" t="str">
        <f>"42411"</f>
        <v>42411</v>
      </c>
      <c r="C35836" s="1">
        <v>8.8401909568557201E-5</v>
      </c>
      <c r="D35836" s="1">
        <v>6.37393122831725E-5</v>
      </c>
      <c r="E35836" s="1">
        <v>2.60732397304027E-5</v>
      </c>
      <c r="F35836" s="1">
        <v>8.5358245472207602E-5</v>
      </c>
    </row>
    <row r="35837" spans="1:6" x14ac:dyDescent="0.25">
      <c r="A35837" s="2" t="str">
        <f t="shared" si="1221"/>
        <v>99999</v>
      </c>
      <c r="B35837" s="2" t="str">
        <f>"42378"</f>
        <v>42378</v>
      </c>
      <c r="C35837" s="1">
        <v>5.2604593101289503E-5</v>
      </c>
      <c r="D35837" s="1">
        <v>1.21408213872709E-5</v>
      </c>
      <c r="E35837" s="1">
        <v>1.3036619865201299E-5</v>
      </c>
      <c r="F35837" s="1">
        <v>4.9046171349415299E-5</v>
      </c>
    </row>
    <row r="35838" spans="1:6" x14ac:dyDescent="0.25">
      <c r="A35838" s="2" t="str">
        <f t="shared" si="1221"/>
        <v>99999</v>
      </c>
      <c r="B35838" s="2" t="str">
        <f>"42354"</f>
        <v>42354</v>
      </c>
      <c r="C35838" s="1">
        <v>1.41879607949536E-5</v>
      </c>
      <c r="D35838" s="1">
        <v>1.51760267340886E-6</v>
      </c>
      <c r="E35838" s="1">
        <v>4.3455399550671099E-6</v>
      </c>
      <c r="F35838" s="1">
        <v>1.3132037764955001E-5</v>
      </c>
    </row>
    <row r="35839" spans="1:6" x14ac:dyDescent="0.25">
      <c r="A35839" s="2" t="str">
        <f t="shared" si="1221"/>
        <v>99999</v>
      </c>
      <c r="B35839" s="2" t="str">
        <f>"42266"</f>
        <v>42266</v>
      </c>
      <c r="C35839" s="1">
        <v>7.6396711972827196E-6</v>
      </c>
      <c r="D35839" s="1">
        <v>0</v>
      </c>
      <c r="E35839" s="1">
        <v>0</v>
      </c>
      <c r="F35839" s="1">
        <v>6.9639594208094801E-6</v>
      </c>
    </row>
    <row r="35840" spans="1:6" x14ac:dyDescent="0.25">
      <c r="A35840" s="2" t="str">
        <f t="shared" si="1221"/>
        <v>99999</v>
      </c>
      <c r="B35840" s="2" t="str">
        <f>"42338"</f>
        <v>42338</v>
      </c>
      <c r="C35840" s="1">
        <v>4.3655263984472599E-6</v>
      </c>
      <c r="D35840" s="1">
        <v>3.0352053468177301E-6</v>
      </c>
      <c r="E35840" s="1">
        <v>8.69107991013423E-6</v>
      </c>
      <c r="F35840" s="1">
        <v>4.3773459216516703E-6</v>
      </c>
    </row>
    <row r="35841" spans="1:6" x14ac:dyDescent="0.25">
      <c r="A35841" s="2" t="str">
        <f t="shared" si="1221"/>
        <v>99999</v>
      </c>
      <c r="B35841" s="2" t="str">
        <f>"42343"</f>
        <v>42343</v>
      </c>
      <c r="C35841" s="1">
        <v>9.2549159647082105E-5</v>
      </c>
      <c r="D35841" s="1">
        <v>2.7316848121359601E-5</v>
      </c>
      <c r="E35841" s="1">
        <v>1.7382159820268399E-5</v>
      </c>
      <c r="F35841" s="1">
        <v>8.6552067087203503E-5</v>
      </c>
    </row>
    <row r="35842" spans="1:6" x14ac:dyDescent="0.25">
      <c r="A35842" s="2" t="str">
        <f t="shared" si="1221"/>
        <v>99999</v>
      </c>
      <c r="B35842" s="2" t="str">
        <f>"42210"</f>
        <v>42210</v>
      </c>
      <c r="C35842" s="1">
        <v>6.5482895976708995E-7</v>
      </c>
      <c r="D35842" s="1">
        <v>0</v>
      </c>
      <c r="E35842" s="1">
        <v>0</v>
      </c>
      <c r="F35842" s="1">
        <v>5.9691080749795498E-7</v>
      </c>
    </row>
    <row r="35843" spans="1:6" x14ac:dyDescent="0.25">
      <c r="A35843" s="2" t="str">
        <f t="shared" si="1221"/>
        <v>99999</v>
      </c>
      <c r="B35843" s="2" t="str">
        <f>"42166"</f>
        <v>42166</v>
      </c>
      <c r="C35843" s="1">
        <v>1.1350368635962901E-5</v>
      </c>
      <c r="D35843" s="1">
        <v>4.5528080202265997E-6</v>
      </c>
      <c r="E35843" s="1">
        <v>0</v>
      </c>
      <c r="F35843" s="1">
        <v>1.0644909400380201E-5</v>
      </c>
    </row>
    <row r="35844" spans="1:6" x14ac:dyDescent="0.25">
      <c r="A35844" s="2" t="str">
        <f t="shared" si="1221"/>
        <v>99999</v>
      </c>
      <c r="B35844" s="2" t="str">
        <f>"42202"</f>
        <v>42202</v>
      </c>
      <c r="C35844" s="1">
        <v>1.17105245638348E-4</v>
      </c>
      <c r="D35844" s="1">
        <v>6.6774517629990203E-5</v>
      </c>
      <c r="E35844" s="1">
        <v>4.3455399550671103E-5</v>
      </c>
      <c r="F35844" s="1">
        <v>1.12119746675032E-4</v>
      </c>
    </row>
    <row r="35845" spans="1:6" x14ac:dyDescent="0.25">
      <c r="A35845" s="2" t="str">
        <f t="shared" si="1221"/>
        <v>99999</v>
      </c>
      <c r="B35845" s="2" t="str">
        <f>"42167"</f>
        <v>42167</v>
      </c>
      <c r="C35845" s="1">
        <v>4.5237767303909799E-4</v>
      </c>
      <c r="D35845" s="1">
        <v>5.0839689559197096E-4</v>
      </c>
      <c r="E35845" s="1">
        <v>7.0832301267594001E-4</v>
      </c>
      <c r="F35845" s="1">
        <v>4.61909479868834E-4</v>
      </c>
    </row>
    <row r="35846" spans="1:6" x14ac:dyDescent="0.25">
      <c r="A35846" s="2" t="str">
        <f t="shared" si="1221"/>
        <v>99999</v>
      </c>
      <c r="B35846" s="2" t="str">
        <f>"41160"</f>
        <v>41160</v>
      </c>
      <c r="C35846" s="1">
        <v>2.7284539990295402E-6</v>
      </c>
      <c r="D35846" s="1">
        <v>0</v>
      </c>
      <c r="E35846" s="1">
        <v>4.3455399550671099E-6</v>
      </c>
      <c r="F35846" s="1">
        <v>2.5866134991578E-6</v>
      </c>
    </row>
    <row r="35847" spans="1:6" x14ac:dyDescent="0.25">
      <c r="A35847" s="2" t="str">
        <f t="shared" si="1221"/>
        <v>99999</v>
      </c>
      <c r="B35847" s="2" t="str">
        <f>"41124"</f>
        <v>41124</v>
      </c>
      <c r="C35847" s="1">
        <v>6.0025987978649902E-5</v>
      </c>
      <c r="D35847" s="1">
        <v>1.51760267340886E-6</v>
      </c>
      <c r="E35847" s="1">
        <v>3.9109859595604001E-5</v>
      </c>
      <c r="F35847" s="1">
        <v>5.57116753664758E-5</v>
      </c>
    </row>
    <row r="35848" spans="1:6" x14ac:dyDescent="0.25">
      <c r="A35848" s="2" t="str">
        <f t="shared" si="1221"/>
        <v>99999</v>
      </c>
      <c r="B35848" s="2" t="str">
        <f>"41729"</f>
        <v>41729</v>
      </c>
      <c r="C35848" s="1">
        <v>1.20051975957299E-6</v>
      </c>
      <c r="D35848" s="1">
        <v>0</v>
      </c>
      <c r="E35848" s="1">
        <v>4.3455399550671099E-6</v>
      </c>
      <c r="F35848" s="1">
        <v>1.19382161499591E-6</v>
      </c>
    </row>
    <row r="35849" spans="1:6" x14ac:dyDescent="0.25">
      <c r="A35849" s="2" t="str">
        <f t="shared" si="1221"/>
        <v>99999</v>
      </c>
      <c r="B35849" s="2" t="str">
        <f>"41848"</f>
        <v>41848</v>
      </c>
      <c r="C35849" s="1">
        <v>1.20051975957299E-6</v>
      </c>
      <c r="D35849" s="1">
        <v>0</v>
      </c>
      <c r="E35849" s="1">
        <v>4.3455399550671099E-6</v>
      </c>
      <c r="F35849" s="1">
        <v>1.19382161499591E-6</v>
      </c>
    </row>
    <row r="35850" spans="1:6" x14ac:dyDescent="0.25">
      <c r="A35850" s="2" t="str">
        <f t="shared" si="1221"/>
        <v>99999</v>
      </c>
      <c r="B35850" s="2" t="str">
        <f>"41822"</f>
        <v>41822</v>
      </c>
      <c r="C35850" s="1">
        <v>6.2427027497795901E-5</v>
      </c>
      <c r="D35850" s="1">
        <v>7.1327325650216798E-5</v>
      </c>
      <c r="E35850" s="1">
        <v>8.69107991013423E-5</v>
      </c>
      <c r="F35850" s="1">
        <v>6.3571000998532195E-5</v>
      </c>
    </row>
    <row r="35851" spans="1:6" x14ac:dyDescent="0.25">
      <c r="A35851" s="2" t="str">
        <f t="shared" si="1221"/>
        <v>99999</v>
      </c>
      <c r="B35851" s="2" t="str">
        <f>"41763"</f>
        <v>41763</v>
      </c>
      <c r="C35851" s="1">
        <v>2.6520572870567099E-5</v>
      </c>
      <c r="D35851" s="1">
        <v>1.51760267340886E-6</v>
      </c>
      <c r="E35851" s="1">
        <v>2.60732397304027E-5</v>
      </c>
      <c r="F35851" s="1">
        <v>2.48712836457481E-5</v>
      </c>
    </row>
    <row r="35852" spans="1:6" x14ac:dyDescent="0.25">
      <c r="A35852" s="2" t="str">
        <f t="shared" si="1221"/>
        <v>99999</v>
      </c>
      <c r="B35852" s="2" t="str">
        <f>"41317"</f>
        <v>41317</v>
      </c>
      <c r="C35852" s="1">
        <v>2.05179740727021E-5</v>
      </c>
      <c r="D35852" s="1">
        <v>4.5528080202265997E-6</v>
      </c>
      <c r="E35852" s="1">
        <v>2.1727699775335501E-5</v>
      </c>
      <c r="F35852" s="1">
        <v>1.9499086378266499E-5</v>
      </c>
    </row>
    <row r="35853" spans="1:6" x14ac:dyDescent="0.25">
      <c r="A35853" s="2" t="str">
        <f t="shared" si="1221"/>
        <v>99999</v>
      </c>
      <c r="B35853" s="2" t="str">
        <f>"41472"</f>
        <v>41472</v>
      </c>
      <c r="C35853" s="1">
        <v>4.8249980518838402E-4</v>
      </c>
      <c r="D35853" s="1">
        <v>4.03682311126759E-4</v>
      </c>
      <c r="E35853" s="1">
        <v>6.7355869303540304E-4</v>
      </c>
      <c r="F35853" s="1">
        <v>4.8170702165085E-4</v>
      </c>
    </row>
    <row r="35854" spans="1:6" x14ac:dyDescent="0.25">
      <c r="A35854" s="2" t="str">
        <f t="shared" si="1221"/>
        <v>99999</v>
      </c>
      <c r="B35854" s="2" t="str">
        <f>"41360"</f>
        <v>41360</v>
      </c>
      <c r="C35854" s="1">
        <v>3.8744046786219498E-5</v>
      </c>
      <c r="D35854" s="1">
        <v>0</v>
      </c>
      <c r="E35854" s="1">
        <v>5.21464794608054E-5</v>
      </c>
      <c r="F35854" s="1">
        <v>3.6511044391958198E-5</v>
      </c>
    </row>
    <row r="35855" spans="1:6" x14ac:dyDescent="0.25">
      <c r="A35855" s="2" t="str">
        <f t="shared" si="1221"/>
        <v>99999</v>
      </c>
      <c r="B35855" s="2" t="str">
        <f>"41332"</f>
        <v>41332</v>
      </c>
      <c r="C35855" s="1">
        <v>7.3013429014030505E-5</v>
      </c>
      <c r="D35855" s="1">
        <v>1.9728834754315301E-5</v>
      </c>
      <c r="E35855" s="1">
        <v>1.3471173860707999E-4</v>
      </c>
      <c r="F35855" s="1">
        <v>7.0932900957673705E-5</v>
      </c>
    </row>
    <row r="35856" spans="1:6" x14ac:dyDescent="0.25">
      <c r="A35856" s="2" t="str">
        <f t="shared" si="1221"/>
        <v>99999</v>
      </c>
      <c r="B35856" s="2" t="str">
        <f>"41314"</f>
        <v>41314</v>
      </c>
      <c r="C35856" s="1">
        <v>2.3650239263588001E-4</v>
      </c>
      <c r="D35856" s="1">
        <v>9.4091365751349906E-5</v>
      </c>
      <c r="E35856" s="1">
        <v>2.0424037788815399E-4</v>
      </c>
      <c r="F35856" s="1">
        <v>2.2642816631089101E-4</v>
      </c>
    </row>
    <row r="35857" spans="1:6" x14ac:dyDescent="0.25">
      <c r="A35857" s="2" t="str">
        <f t="shared" si="1221"/>
        <v>99999</v>
      </c>
      <c r="B35857" s="2" t="str">
        <f>"41267"</f>
        <v>41267</v>
      </c>
      <c r="C35857" s="1">
        <v>4.4091816624317398E-5</v>
      </c>
      <c r="D35857" s="1">
        <v>9.1056160404532095E-6</v>
      </c>
      <c r="E35857" s="1">
        <v>3.0853333680976502E-4</v>
      </c>
      <c r="F35857" s="1">
        <v>4.7852349734419398E-5</v>
      </c>
    </row>
    <row r="35858" spans="1:6" x14ac:dyDescent="0.25">
      <c r="A35858" s="2" t="str">
        <f t="shared" ref="A35858:A35921" si="1222">"99999"</f>
        <v>99999</v>
      </c>
      <c r="B35858" s="2" t="str">
        <f>"41264"</f>
        <v>41264</v>
      </c>
      <c r="C35858" s="1">
        <v>2.52109149510329E-5</v>
      </c>
      <c r="D35858" s="1">
        <v>0</v>
      </c>
      <c r="E35858" s="1">
        <v>8.69107991013423E-6</v>
      </c>
      <c r="F35858" s="1">
        <v>2.31800363578372E-5</v>
      </c>
    </row>
    <row r="35859" spans="1:6" x14ac:dyDescent="0.25">
      <c r="A35859" s="2" t="str">
        <f t="shared" si="1222"/>
        <v>99999</v>
      </c>
      <c r="B35859" s="2" t="str">
        <f>"41513"</f>
        <v>41513</v>
      </c>
      <c r="C35859" s="1">
        <v>1.9863145112935E-5</v>
      </c>
      <c r="D35859" s="1">
        <v>3.0352053468177301E-6</v>
      </c>
      <c r="E35859" s="1">
        <v>8.69107991013423E-6</v>
      </c>
      <c r="F35859" s="1">
        <v>1.8504235032436599E-5</v>
      </c>
    </row>
    <row r="35860" spans="1:6" x14ac:dyDescent="0.25">
      <c r="A35860" s="2" t="str">
        <f t="shared" si="1222"/>
        <v>99999</v>
      </c>
      <c r="B35860" s="2" t="str">
        <f>"41602"</f>
        <v>41602</v>
      </c>
      <c r="C35860" s="1">
        <v>2.9903855829363701E-5</v>
      </c>
      <c r="D35860" s="1">
        <v>1.21408213872709E-5</v>
      </c>
      <c r="E35860" s="1">
        <v>8.69107991013423E-6</v>
      </c>
      <c r="F35860" s="1">
        <v>2.8253778221569901E-5</v>
      </c>
    </row>
    <row r="35861" spans="1:6" x14ac:dyDescent="0.25">
      <c r="A35861" s="2" t="str">
        <f t="shared" si="1222"/>
        <v>99999</v>
      </c>
      <c r="B35861" s="2" t="str">
        <f>"41524"</f>
        <v>41524</v>
      </c>
      <c r="C35861" s="1">
        <v>1.5279342394565399E-5</v>
      </c>
      <c r="D35861" s="1">
        <v>4.5528080202265997E-6</v>
      </c>
      <c r="E35861" s="1">
        <v>8.69107991013423E-6</v>
      </c>
      <c r="F35861" s="1">
        <v>1.44253445145339E-5</v>
      </c>
    </row>
    <row r="35862" spans="1:6" x14ac:dyDescent="0.25">
      <c r="A35862" s="2" t="str">
        <f t="shared" si="1222"/>
        <v>99999</v>
      </c>
      <c r="B35862" s="2" t="str">
        <f>"41632"</f>
        <v>41632</v>
      </c>
      <c r="C35862" s="1">
        <v>4.2673020544821998E-5</v>
      </c>
      <c r="D35862" s="1">
        <v>0</v>
      </c>
      <c r="E35862" s="1">
        <v>4.3455399550671099E-6</v>
      </c>
      <c r="F35862" s="1">
        <v>3.89981727565331E-5</v>
      </c>
    </row>
    <row r="35863" spans="1:6" x14ac:dyDescent="0.25">
      <c r="A35863" s="2" t="str">
        <f t="shared" si="1222"/>
        <v>99999</v>
      </c>
      <c r="B35863" s="2" t="str">
        <f>"41650"</f>
        <v>41650</v>
      </c>
      <c r="C35863" s="1">
        <v>3.1540928228781503E-5</v>
      </c>
      <c r="D35863" s="1">
        <v>0</v>
      </c>
      <c r="E35863" s="1">
        <v>4.7800939505738197E-5</v>
      </c>
      <c r="F35863" s="1">
        <v>2.9845540374897701E-5</v>
      </c>
    </row>
    <row r="35864" spans="1:6" x14ac:dyDescent="0.25">
      <c r="A35864" s="2" t="str">
        <f t="shared" si="1222"/>
        <v>99999</v>
      </c>
      <c r="B35864" s="2" t="str">
        <f>"41548"</f>
        <v>41548</v>
      </c>
      <c r="C35864" s="1">
        <v>2.8048507110023701E-5</v>
      </c>
      <c r="D35864" s="1">
        <v>1.51760267340886E-6</v>
      </c>
      <c r="E35864" s="1">
        <v>4.3455399550671099E-6</v>
      </c>
      <c r="F35864" s="1">
        <v>2.5766649856994999E-5</v>
      </c>
    </row>
    <row r="35865" spans="1:6" x14ac:dyDescent="0.25">
      <c r="A35865" s="2" t="str">
        <f t="shared" si="1222"/>
        <v>99999</v>
      </c>
      <c r="B35865" s="2" t="str">
        <f>"41622"</f>
        <v>41622</v>
      </c>
      <c r="C35865" s="1">
        <v>1.4297098954914801E-5</v>
      </c>
      <c r="D35865" s="1">
        <v>9.1056160404532095E-6</v>
      </c>
      <c r="E35865" s="1">
        <v>1.3036619865201299E-5</v>
      </c>
      <c r="F35865" s="1">
        <v>1.3927918841618899E-5</v>
      </c>
    </row>
    <row r="35866" spans="1:6" x14ac:dyDescent="0.25">
      <c r="A35866" s="2" t="str">
        <f t="shared" si="1222"/>
        <v>99999</v>
      </c>
      <c r="B35866" s="2" t="str">
        <f>"41615"</f>
        <v>41615</v>
      </c>
      <c r="C35866" s="1">
        <v>3.0122132149286099E-5</v>
      </c>
      <c r="D35866" s="1">
        <v>0</v>
      </c>
      <c r="E35866" s="1">
        <v>1.3036619865201299E-5</v>
      </c>
      <c r="F35866" s="1">
        <v>2.7756352548654901E-5</v>
      </c>
    </row>
    <row r="35867" spans="1:6" x14ac:dyDescent="0.25">
      <c r="A35867" s="2" t="str">
        <f t="shared" si="1222"/>
        <v>99999</v>
      </c>
      <c r="B35867" s="2" t="str">
        <f>"41601"</f>
        <v>41601</v>
      </c>
      <c r="C35867" s="1">
        <v>2.9358165029557801E-5</v>
      </c>
      <c r="D35867" s="1">
        <v>5.4633696242719298E-5</v>
      </c>
      <c r="E35867" s="1">
        <v>3.47643196405369E-5</v>
      </c>
      <c r="F35867" s="1">
        <v>3.1138847124476597E-5</v>
      </c>
    </row>
    <row r="35868" spans="1:6" x14ac:dyDescent="0.25">
      <c r="A35868" s="2" t="str">
        <f t="shared" si="1222"/>
        <v>99999</v>
      </c>
      <c r="B35868" s="2" t="str">
        <f>"41568"</f>
        <v>41568</v>
      </c>
      <c r="C35868" s="1">
        <v>3.71069743868017E-5</v>
      </c>
      <c r="D35868" s="1">
        <v>3.0352053468177301E-6</v>
      </c>
      <c r="E35868" s="1">
        <v>8.2565259146275205E-5</v>
      </c>
      <c r="F35868" s="1">
        <v>3.5914133584460302E-5</v>
      </c>
    </row>
    <row r="35869" spans="1:6" x14ac:dyDescent="0.25">
      <c r="A35869" s="2" t="str">
        <f t="shared" si="1222"/>
        <v>99999</v>
      </c>
      <c r="B35869" s="2" t="str">
        <f>"41535"</f>
        <v>41535</v>
      </c>
      <c r="C35869" s="1">
        <v>2.3355566231692799E-5</v>
      </c>
      <c r="D35869" s="1">
        <v>1.51760267340886E-6</v>
      </c>
      <c r="E35869" s="1">
        <v>3.47643196405369E-5</v>
      </c>
      <c r="F35869" s="1">
        <v>2.21851850120073E-5</v>
      </c>
    </row>
    <row r="35870" spans="1:6" x14ac:dyDescent="0.25">
      <c r="A35870" s="2" t="str">
        <f t="shared" si="1222"/>
        <v>99999</v>
      </c>
      <c r="B35870" s="2" t="str">
        <f>"41722"</f>
        <v>41722</v>
      </c>
      <c r="C35870" s="1">
        <v>7.0394113174962204E-5</v>
      </c>
      <c r="D35870" s="1">
        <v>6.0704106936354696E-6</v>
      </c>
      <c r="E35870" s="1">
        <v>8.69107991013423E-6</v>
      </c>
      <c r="F35870" s="1">
        <v>6.4764822613528204E-5</v>
      </c>
    </row>
    <row r="35871" spans="1:6" x14ac:dyDescent="0.25">
      <c r="A35871" s="2" t="str">
        <f t="shared" si="1222"/>
        <v>99999</v>
      </c>
      <c r="B35871" s="2" t="str">
        <f>"41052"</f>
        <v>41052</v>
      </c>
      <c r="C35871" s="1">
        <v>6.2208751177873496E-6</v>
      </c>
      <c r="D35871" s="1">
        <v>0</v>
      </c>
      <c r="E35871" s="1">
        <v>4.3455399550671099E-6</v>
      </c>
      <c r="F35871" s="1">
        <v>5.7701378058135699E-6</v>
      </c>
    </row>
    <row r="35872" spans="1:6" x14ac:dyDescent="0.25">
      <c r="A35872" s="2" t="str">
        <f t="shared" si="1222"/>
        <v>99999</v>
      </c>
      <c r="B35872" s="2" t="str">
        <f>"41232"</f>
        <v>41232</v>
      </c>
      <c r="C35872" s="1">
        <v>2.41195333514211E-5</v>
      </c>
      <c r="D35872" s="1">
        <v>1.51760267340886E-6</v>
      </c>
      <c r="E35872" s="1">
        <v>3.9109859595604001E-5</v>
      </c>
      <c r="F35872" s="1">
        <v>2.29810660886712E-5</v>
      </c>
    </row>
    <row r="35873" spans="1:6" x14ac:dyDescent="0.25">
      <c r="A35873" s="2" t="str">
        <f t="shared" si="1222"/>
        <v>99999</v>
      </c>
      <c r="B35873" s="2" t="str">
        <f>"41166"</f>
        <v>41166</v>
      </c>
      <c r="C35873" s="1">
        <v>3.3505415108082699E-5</v>
      </c>
      <c r="D35873" s="1">
        <v>1.3658424060679801E-5</v>
      </c>
      <c r="E35873" s="1">
        <v>1.7382159820268399E-5</v>
      </c>
      <c r="F35873" s="1">
        <v>3.18352430665576E-5</v>
      </c>
    </row>
    <row r="35874" spans="1:6" x14ac:dyDescent="0.25">
      <c r="A35874" s="2" t="str">
        <f t="shared" si="1222"/>
        <v>99999</v>
      </c>
      <c r="B35874" s="2" t="str">
        <f>"41254"</f>
        <v>41254</v>
      </c>
      <c r="C35874" s="1">
        <v>2.8485059749868399E-5</v>
      </c>
      <c r="D35874" s="1">
        <v>0</v>
      </c>
      <c r="E35874" s="1">
        <v>0</v>
      </c>
      <c r="F35874" s="1">
        <v>2.5965620126160999E-5</v>
      </c>
    </row>
    <row r="35875" spans="1:6" x14ac:dyDescent="0.25">
      <c r="A35875" s="2" t="str">
        <f t="shared" si="1222"/>
        <v>99999</v>
      </c>
      <c r="B35875" s="2" t="str">
        <f>"41238"</f>
        <v>41238</v>
      </c>
      <c r="C35875" s="1">
        <v>5.7515810299542702E-5</v>
      </c>
      <c r="D35875" s="1">
        <v>3.0352053468177301E-6</v>
      </c>
      <c r="E35875" s="1">
        <v>1.3036619865201299E-5</v>
      </c>
      <c r="F35875" s="1">
        <v>5.2926091598151997E-5</v>
      </c>
    </row>
    <row r="35876" spans="1:6" x14ac:dyDescent="0.25">
      <c r="A35876" s="2" t="str">
        <f t="shared" si="1222"/>
        <v>99999</v>
      </c>
      <c r="B35876" s="2" t="str">
        <f>"41171"</f>
        <v>41171</v>
      </c>
      <c r="C35876" s="1">
        <v>1.87826773293193E-4</v>
      </c>
      <c r="D35876" s="1">
        <v>8.1950544364078906E-5</v>
      </c>
      <c r="E35876" s="1">
        <v>4.0848075577630798E-4</v>
      </c>
      <c r="F35876" s="1">
        <v>1.8593771653561299E-4</v>
      </c>
    </row>
    <row r="35877" spans="1:6" x14ac:dyDescent="0.25">
      <c r="A35877" s="2" t="str">
        <f t="shared" si="1222"/>
        <v>99999</v>
      </c>
      <c r="B35877" s="2" t="str">
        <f>"41037"</f>
        <v>41037</v>
      </c>
      <c r="C35877" s="1">
        <v>0</v>
      </c>
      <c r="D35877" s="1">
        <v>0</v>
      </c>
      <c r="E35877" s="1">
        <v>4.3455399550671099E-6</v>
      </c>
      <c r="F35877" s="1">
        <v>9.9485134582992598E-8</v>
      </c>
    </row>
    <row r="35878" spans="1:6" x14ac:dyDescent="0.25">
      <c r="A35878" s="2" t="str">
        <f t="shared" si="1222"/>
        <v>99999</v>
      </c>
      <c r="B35878" s="2" t="str">
        <f>"40927"</f>
        <v>40927</v>
      </c>
      <c r="C35878" s="1">
        <v>2.4228671511382299E-5</v>
      </c>
      <c r="D35878" s="1">
        <v>4.5528080202265997E-6</v>
      </c>
      <c r="E35878" s="1">
        <v>4.3455399550671099E-6</v>
      </c>
      <c r="F35878" s="1">
        <v>2.2483640415756299E-5</v>
      </c>
    </row>
    <row r="35879" spans="1:6" x14ac:dyDescent="0.25">
      <c r="A35879" s="2" t="str">
        <f t="shared" si="1222"/>
        <v>99999</v>
      </c>
      <c r="B35879" s="2" t="str">
        <f>"40870"</f>
        <v>40870</v>
      </c>
      <c r="C35879" s="1">
        <v>2.2591599111964599E-5</v>
      </c>
      <c r="D35879" s="1">
        <v>3.0352053468177301E-6</v>
      </c>
      <c r="E35879" s="1">
        <v>1.7382159820268399E-5</v>
      </c>
      <c r="F35879" s="1">
        <v>2.1190333666177399E-5</v>
      </c>
    </row>
    <row r="35880" spans="1:6" x14ac:dyDescent="0.25">
      <c r="A35880" s="2" t="str">
        <f t="shared" si="1222"/>
        <v>99999</v>
      </c>
      <c r="B35880" s="2" t="str">
        <f>"40865"</f>
        <v>40865</v>
      </c>
      <c r="C35880" s="1">
        <v>1.30965791953418E-5</v>
      </c>
      <c r="D35880" s="1">
        <v>3.0352053468177301E-6</v>
      </c>
      <c r="E35880" s="1">
        <v>1.3036619865201299E-5</v>
      </c>
      <c r="F35880" s="1">
        <v>1.2435641822873999E-5</v>
      </c>
    </row>
    <row r="35881" spans="1:6" x14ac:dyDescent="0.25">
      <c r="A35881" s="2" t="str">
        <f t="shared" si="1222"/>
        <v>99999</v>
      </c>
      <c r="B35881" s="2" t="str">
        <f>"40826"</f>
        <v>40826</v>
      </c>
      <c r="C35881" s="1">
        <v>3.5033349347539302E-5</v>
      </c>
      <c r="D35881" s="1">
        <v>3.0352053468177301E-6</v>
      </c>
      <c r="E35881" s="1">
        <v>1.3036619865201299E-5</v>
      </c>
      <c r="F35881" s="1">
        <v>3.2432153874055598E-5</v>
      </c>
    </row>
    <row r="35882" spans="1:6" x14ac:dyDescent="0.25">
      <c r="A35882" s="2" t="str">
        <f t="shared" si="1222"/>
        <v>99999</v>
      </c>
      <c r="B35882" s="2" t="str">
        <f>"40819"</f>
        <v>40819</v>
      </c>
      <c r="C35882" s="1">
        <v>2.8266783429946001E-5</v>
      </c>
      <c r="D35882" s="1">
        <v>9.1056160404532095E-6</v>
      </c>
      <c r="E35882" s="1">
        <v>8.69107991013423E-6</v>
      </c>
      <c r="F35882" s="1">
        <v>2.6562530933659001E-5</v>
      </c>
    </row>
    <row r="35883" spans="1:6" x14ac:dyDescent="0.25">
      <c r="A35883" s="2" t="str">
        <f t="shared" si="1222"/>
        <v>99999</v>
      </c>
      <c r="B35883" s="2" t="str">
        <f>"40964"</f>
        <v>40964</v>
      </c>
      <c r="C35883" s="1">
        <v>3.27414479883545E-6</v>
      </c>
      <c r="D35883" s="1">
        <v>0</v>
      </c>
      <c r="E35883" s="1">
        <v>4.3455399550671099E-6</v>
      </c>
      <c r="F35883" s="1">
        <v>3.0840391720727701E-6</v>
      </c>
    </row>
    <row r="35884" spans="1:6" x14ac:dyDescent="0.25">
      <c r="A35884" s="2" t="str">
        <f t="shared" si="1222"/>
        <v>99999</v>
      </c>
      <c r="B35884" s="2" t="str">
        <f>"40403"</f>
        <v>40403</v>
      </c>
      <c r="C35884" s="1">
        <v>1.06846258601996E-4</v>
      </c>
      <c r="D35884" s="1">
        <v>2.1246437427724101E-5</v>
      </c>
      <c r="E35884" s="1">
        <v>2.60732397304027E-5</v>
      </c>
      <c r="F35884" s="1">
        <v>9.93856494484096E-5</v>
      </c>
    </row>
    <row r="35885" spans="1:6" x14ac:dyDescent="0.25">
      <c r="A35885" s="2" t="str">
        <f t="shared" si="1222"/>
        <v>99999</v>
      </c>
      <c r="B35885" s="2" t="str">
        <f>"40402"</f>
        <v>40402</v>
      </c>
      <c r="C35885" s="1">
        <v>1.26709403714931E-4</v>
      </c>
      <c r="D35885" s="1">
        <v>4.5528080202266E-5</v>
      </c>
      <c r="E35885" s="1">
        <v>1.12984038831745E-4</v>
      </c>
      <c r="F35885" s="1">
        <v>1.21073408787502E-4</v>
      </c>
    </row>
    <row r="35886" spans="1:6" x14ac:dyDescent="0.25">
      <c r="A35886" s="2" t="str">
        <f t="shared" si="1222"/>
        <v>99999</v>
      </c>
      <c r="B35886" s="2" t="str">
        <f>"40161"</f>
        <v>40161</v>
      </c>
      <c r="C35886" s="1">
        <v>8.7310527968945299E-7</v>
      </c>
      <c r="D35886" s="1">
        <v>0</v>
      </c>
      <c r="E35886" s="1">
        <v>0</v>
      </c>
      <c r="F35886" s="1">
        <v>7.9588107666394099E-7</v>
      </c>
    </row>
    <row r="35887" spans="1:6" x14ac:dyDescent="0.25">
      <c r="A35887" s="2" t="str">
        <f t="shared" si="1222"/>
        <v>99999</v>
      </c>
      <c r="B35887" s="2" t="str">
        <f>"40157"</f>
        <v>40157</v>
      </c>
      <c r="C35887" s="1">
        <v>4.3655263984472602E-7</v>
      </c>
      <c r="D35887" s="1">
        <v>0</v>
      </c>
      <c r="E35887" s="1">
        <v>0</v>
      </c>
      <c r="F35887" s="1">
        <v>3.9794053833197002E-7</v>
      </c>
    </row>
    <row r="35888" spans="1:6" x14ac:dyDescent="0.25">
      <c r="A35888" s="2" t="str">
        <f t="shared" si="1222"/>
        <v>99999</v>
      </c>
      <c r="B35888" s="2" t="str">
        <f>"40075"</f>
        <v>40075</v>
      </c>
      <c r="C35888" s="1">
        <v>1.5279342394565399E-5</v>
      </c>
      <c r="D35888" s="1">
        <v>1.51760267340886E-6</v>
      </c>
      <c r="E35888" s="1">
        <v>0</v>
      </c>
      <c r="F35888" s="1">
        <v>1.4027403976201899E-5</v>
      </c>
    </row>
    <row r="35889" spans="1:6" x14ac:dyDescent="0.25">
      <c r="A35889" s="2" t="str">
        <f t="shared" si="1222"/>
        <v>99999</v>
      </c>
      <c r="B35889" s="2" t="str">
        <f>"40146"</f>
        <v>40146</v>
      </c>
      <c r="C35889" s="1">
        <v>1.7734950993691999E-4</v>
      </c>
      <c r="D35889" s="1">
        <v>6.8292120303399095E-5</v>
      </c>
      <c r="E35889" s="1">
        <v>1.1993690275985201E-3</v>
      </c>
      <c r="F35889" s="1">
        <v>1.9359807189850301E-4</v>
      </c>
    </row>
    <row r="35890" spans="1:6" x14ac:dyDescent="0.25">
      <c r="A35890" s="2" t="str">
        <f t="shared" si="1222"/>
        <v>99999</v>
      </c>
      <c r="B35890" s="2" t="str">
        <f>"40078"</f>
        <v>40078</v>
      </c>
      <c r="C35890" s="1">
        <v>1.2976527219384499E-4</v>
      </c>
      <c r="D35890" s="1">
        <v>2.5799245447950699E-5</v>
      </c>
      <c r="E35890" s="1">
        <v>1.9989483793308701E-4</v>
      </c>
      <c r="F35890" s="1">
        <v>1.2455538849790601E-4</v>
      </c>
    </row>
    <row r="35891" spans="1:6" x14ac:dyDescent="0.25">
      <c r="A35891" s="2" t="str">
        <f t="shared" si="1222"/>
        <v>99999</v>
      </c>
      <c r="B35891" s="2" t="str">
        <f>"39740"</f>
        <v>39740</v>
      </c>
      <c r="C35891" s="1">
        <v>2.4556085991265801E-5</v>
      </c>
      <c r="D35891" s="1">
        <v>7.5880133670443404E-6</v>
      </c>
      <c r="E35891" s="1">
        <v>0</v>
      </c>
      <c r="F35891" s="1">
        <v>2.28815809540883E-5</v>
      </c>
    </row>
    <row r="35892" spans="1:6" x14ac:dyDescent="0.25">
      <c r="A35892" s="2" t="str">
        <f t="shared" si="1222"/>
        <v>99999</v>
      </c>
      <c r="B35892" s="2" t="str">
        <f>"39663"</f>
        <v>39663</v>
      </c>
      <c r="C35892" s="1">
        <v>2.32900833357161E-4</v>
      </c>
      <c r="D35892" s="1">
        <v>4.4010477528857203E-5</v>
      </c>
      <c r="E35892" s="1">
        <v>1.3036619865201299E-5</v>
      </c>
      <c r="F35892" s="1">
        <v>2.15484801506762E-4</v>
      </c>
    </row>
    <row r="35893" spans="1:6" x14ac:dyDescent="0.25">
      <c r="A35893" s="2" t="str">
        <f t="shared" si="1222"/>
        <v>99999</v>
      </c>
      <c r="B35893" s="2" t="str">
        <f>"40011"</f>
        <v>40011</v>
      </c>
      <c r="C35893" s="1">
        <v>2.30281517518093E-5</v>
      </c>
      <c r="D35893" s="1">
        <v>9.1056160404532095E-6</v>
      </c>
      <c r="E35893" s="1">
        <v>8.69107991013423E-6</v>
      </c>
      <c r="F35893" s="1">
        <v>2.1787244473675299E-5</v>
      </c>
    </row>
    <row r="35894" spans="1:6" x14ac:dyDescent="0.25">
      <c r="A35894" s="2" t="str">
        <f t="shared" si="1222"/>
        <v>99999</v>
      </c>
      <c r="B35894" s="2" t="str">
        <f>"39877"</f>
        <v>39877</v>
      </c>
      <c r="C35894" s="1">
        <v>1.28783028754194E-5</v>
      </c>
      <c r="D35894" s="1">
        <v>9.1056160404532095E-6</v>
      </c>
      <c r="E35894" s="1">
        <v>0</v>
      </c>
      <c r="F35894" s="1">
        <v>1.2336156688290999E-5</v>
      </c>
    </row>
    <row r="35895" spans="1:6" x14ac:dyDescent="0.25">
      <c r="A35895" s="2" t="str">
        <f t="shared" si="1222"/>
        <v>99999</v>
      </c>
      <c r="B35895" s="2" t="str">
        <f>"39866"</f>
        <v>39866</v>
      </c>
      <c r="C35895" s="1">
        <v>2.6302296550644701E-5</v>
      </c>
      <c r="D35895" s="1">
        <v>1.66936294074975E-5</v>
      </c>
      <c r="E35895" s="1">
        <v>1.7382159820268399E-5</v>
      </c>
      <c r="F35895" s="1">
        <v>2.5468194453246102E-5</v>
      </c>
    </row>
    <row r="35896" spans="1:6" x14ac:dyDescent="0.25">
      <c r="A35896" s="2" t="str">
        <f t="shared" si="1222"/>
        <v>99999</v>
      </c>
      <c r="B35896" s="2" t="str">
        <f>"39813"</f>
        <v>39813</v>
      </c>
      <c r="C35896" s="1">
        <v>9.6696409725606996E-5</v>
      </c>
      <c r="D35896" s="1">
        <v>6.37393122831725E-5</v>
      </c>
      <c r="E35896" s="1">
        <v>3.0418779685469802E-5</v>
      </c>
      <c r="F35896" s="1">
        <v>9.3018600835098101E-5</v>
      </c>
    </row>
    <row r="35897" spans="1:6" x14ac:dyDescent="0.25">
      <c r="A35897" s="2" t="str">
        <f t="shared" si="1222"/>
        <v>99999</v>
      </c>
      <c r="B35897" s="2" t="str">
        <f>"39832"</f>
        <v>39832</v>
      </c>
      <c r="C35897" s="1">
        <v>1.09138159961181E-7</v>
      </c>
      <c r="D35897" s="1">
        <v>1.51760267340886E-6</v>
      </c>
      <c r="E35897" s="1">
        <v>0</v>
      </c>
      <c r="F35897" s="1">
        <v>1.9897026916598501E-7</v>
      </c>
    </row>
    <row r="35898" spans="1:6" x14ac:dyDescent="0.25">
      <c r="A35898" s="2" t="str">
        <f t="shared" si="1222"/>
        <v>99999</v>
      </c>
      <c r="B35898" s="2" t="str">
        <f>"39841"</f>
        <v>39841</v>
      </c>
      <c r="C35898" s="1">
        <v>5.0749244381949503E-5</v>
      </c>
      <c r="D35898" s="1">
        <v>2.5799245447950699E-5</v>
      </c>
      <c r="E35898" s="1">
        <v>0</v>
      </c>
      <c r="F35898" s="1">
        <v>4.7951834869002397E-5</v>
      </c>
    </row>
    <row r="35899" spans="1:6" x14ac:dyDescent="0.25">
      <c r="A35899" s="2" t="str">
        <f t="shared" si="1222"/>
        <v>99999</v>
      </c>
      <c r="B35899" s="2" t="str">
        <f>"39647"</f>
        <v>39647</v>
      </c>
      <c r="C35899" s="1">
        <v>6.7338244696049106E-5</v>
      </c>
      <c r="D35899" s="1">
        <v>9.1056160404532095E-6</v>
      </c>
      <c r="E35899" s="1">
        <v>0</v>
      </c>
      <c r="F35899" s="1">
        <v>6.1979238845204395E-5</v>
      </c>
    </row>
    <row r="35900" spans="1:6" x14ac:dyDescent="0.25">
      <c r="A35900" s="2" t="str">
        <f t="shared" si="1222"/>
        <v>99999</v>
      </c>
      <c r="B35900" s="2" t="str">
        <f>"39638"</f>
        <v>39638</v>
      </c>
      <c r="C35900" s="1">
        <v>1.7560329937754099E-4</v>
      </c>
      <c r="D35900" s="1">
        <v>6.2221709609763595E-5</v>
      </c>
      <c r="E35900" s="1">
        <v>1.7382159820268399E-5</v>
      </c>
      <c r="F35900" s="1">
        <v>1.6454841260026901E-4</v>
      </c>
    </row>
    <row r="35901" spans="1:6" x14ac:dyDescent="0.25">
      <c r="A35901" s="2" t="str">
        <f t="shared" si="1222"/>
        <v>99999</v>
      </c>
      <c r="B35901" s="2" t="str">
        <f>"39756"</f>
        <v>39756</v>
      </c>
      <c r="C35901" s="1">
        <v>6.2208751177873496E-5</v>
      </c>
      <c r="D35901" s="1">
        <v>8.65033523843055E-5</v>
      </c>
      <c r="E35901" s="1">
        <v>0</v>
      </c>
      <c r="F35901" s="1">
        <v>6.2377179383536294E-5</v>
      </c>
    </row>
    <row r="35902" spans="1:6" x14ac:dyDescent="0.25">
      <c r="A35902" s="2" t="str">
        <f t="shared" si="1222"/>
        <v>99999</v>
      </c>
      <c r="B35902" s="2" t="str">
        <f>"39747"</f>
        <v>39747</v>
      </c>
      <c r="C35902" s="1">
        <v>1.0520918620257901E-4</v>
      </c>
      <c r="D35902" s="1">
        <v>5.4633696242719298E-5</v>
      </c>
      <c r="E35902" s="1">
        <v>1.7382159820268399E-5</v>
      </c>
      <c r="F35902" s="1">
        <v>9.9883075121324599E-5</v>
      </c>
    </row>
    <row r="35903" spans="1:6" x14ac:dyDescent="0.25">
      <c r="A35903" s="2" t="str">
        <f t="shared" si="1222"/>
        <v>99999</v>
      </c>
      <c r="B35903" s="2" t="str">
        <f>"39427"</f>
        <v>39427</v>
      </c>
      <c r="C35903" s="1">
        <v>7.48687777333706E-5</v>
      </c>
      <c r="D35903" s="1">
        <v>2.4281642774541899E-5</v>
      </c>
      <c r="E35903" s="1">
        <v>8.69107991013423E-6</v>
      </c>
      <c r="F35903" s="1">
        <v>7.0037534746426807E-5</v>
      </c>
    </row>
    <row r="35904" spans="1:6" x14ac:dyDescent="0.25">
      <c r="A35904" s="2" t="str">
        <f t="shared" si="1222"/>
        <v>99999</v>
      </c>
      <c r="B35904" s="2" t="str">
        <f>"39461"</f>
        <v>39461</v>
      </c>
      <c r="C35904" s="1">
        <v>3.3941967747927502E-5</v>
      </c>
      <c r="D35904" s="1">
        <v>6.0704106936354696E-6</v>
      </c>
      <c r="E35904" s="1">
        <v>0</v>
      </c>
      <c r="F35904" s="1">
        <v>3.1337817393642601E-5</v>
      </c>
    </row>
    <row r="35905" spans="1:6" x14ac:dyDescent="0.25">
      <c r="A35905" s="2" t="str">
        <f t="shared" si="1222"/>
        <v>99999</v>
      </c>
      <c r="B35905" s="2" t="str">
        <f>"39456"</f>
        <v>39456</v>
      </c>
      <c r="C35905" s="1">
        <v>5.4459941820629598E-5</v>
      </c>
      <c r="D35905" s="1">
        <v>4.5528080202265997E-6</v>
      </c>
      <c r="E35905" s="1">
        <v>0</v>
      </c>
      <c r="F35905" s="1">
        <v>4.99415375606623E-5</v>
      </c>
    </row>
    <row r="35906" spans="1:6" x14ac:dyDescent="0.25">
      <c r="A35906" s="2" t="str">
        <f t="shared" si="1222"/>
        <v>99999</v>
      </c>
      <c r="B35906" s="2" t="str">
        <f>"39325"</f>
        <v>39325</v>
      </c>
      <c r="C35906" s="1">
        <v>2.8266783429946001E-5</v>
      </c>
      <c r="D35906" s="1">
        <v>3.0352053468177301E-6</v>
      </c>
      <c r="E35906" s="1">
        <v>8.69107991013423E-6</v>
      </c>
      <c r="F35906" s="1">
        <v>2.6164590395327E-5</v>
      </c>
    </row>
    <row r="35907" spans="1:6" x14ac:dyDescent="0.25">
      <c r="A35907" s="2" t="str">
        <f t="shared" si="1222"/>
        <v>99999</v>
      </c>
      <c r="B35907" s="2" t="str">
        <f>"39117"</f>
        <v>39117</v>
      </c>
      <c r="C35907" s="1">
        <v>4.8719274606671498E-4</v>
      </c>
      <c r="D35907" s="1">
        <v>3.8547107904585203E-4</v>
      </c>
      <c r="E35907" s="1">
        <v>1.21675118741879E-4</v>
      </c>
      <c r="F35907" s="1">
        <v>4.7215644873088301E-4</v>
      </c>
    </row>
    <row r="35908" spans="1:6" x14ac:dyDescent="0.25">
      <c r="A35908" s="2" t="str">
        <f t="shared" si="1222"/>
        <v>99999</v>
      </c>
      <c r="B35908" s="2" t="str">
        <f>"39080"</f>
        <v>39080</v>
      </c>
      <c r="C35908" s="1">
        <v>0</v>
      </c>
      <c r="D35908" s="1">
        <v>1.51760267340886E-6</v>
      </c>
      <c r="E35908" s="1">
        <v>0</v>
      </c>
      <c r="F35908" s="1">
        <v>9.9485134582992598E-8</v>
      </c>
    </row>
    <row r="35909" spans="1:6" x14ac:dyDescent="0.25">
      <c r="A35909" s="2" t="str">
        <f t="shared" si="1222"/>
        <v>99999</v>
      </c>
      <c r="B35909" s="2" t="str">
        <f>"39094"</f>
        <v>39094</v>
      </c>
      <c r="C35909" s="1">
        <v>1.89027293052766E-4</v>
      </c>
      <c r="D35909" s="1">
        <v>3.7940066835221703E-5</v>
      </c>
      <c r="E35909" s="1">
        <v>8.69107991013423E-6</v>
      </c>
      <c r="F35909" s="1">
        <v>1.7499435173148401E-4</v>
      </c>
    </row>
    <row r="35910" spans="1:6" x14ac:dyDescent="0.25">
      <c r="A35910" s="2" t="str">
        <f t="shared" si="1222"/>
        <v>99999</v>
      </c>
      <c r="B35910" s="2" t="str">
        <f>"39159"</f>
        <v>39159</v>
      </c>
      <c r="C35910" s="1">
        <v>1.6654483210076299E-4</v>
      </c>
      <c r="D35910" s="1">
        <v>2.73168481213596E-4</v>
      </c>
      <c r="E35910" s="1">
        <v>2.60732397304027E-5</v>
      </c>
      <c r="F35910" s="1">
        <v>1.7031855040608299E-4</v>
      </c>
    </row>
    <row r="35911" spans="1:6" x14ac:dyDescent="0.25">
      <c r="A35911" s="2" t="str">
        <f t="shared" si="1222"/>
        <v>99999</v>
      </c>
      <c r="B35911" s="2" t="str">
        <f>"39166"</f>
        <v>39166</v>
      </c>
      <c r="C35911" s="1">
        <v>1.5825033194371299E-5</v>
      </c>
      <c r="D35911" s="1">
        <v>7.5880133670443404E-6</v>
      </c>
      <c r="E35911" s="1">
        <v>2.60732397304027E-5</v>
      </c>
      <c r="F35911" s="1">
        <v>1.5519680994946799E-5</v>
      </c>
    </row>
    <row r="35912" spans="1:6" x14ac:dyDescent="0.25">
      <c r="A35912" s="2" t="str">
        <f t="shared" si="1222"/>
        <v>99999</v>
      </c>
      <c r="B35912" s="2" t="str">
        <f>"39054"</f>
        <v>39054</v>
      </c>
      <c r="C35912" s="1">
        <v>1.6698138474060799E-5</v>
      </c>
      <c r="D35912" s="1">
        <v>3.0352053468177301E-6</v>
      </c>
      <c r="E35912" s="1">
        <v>0</v>
      </c>
      <c r="F35912" s="1">
        <v>1.5420195860363801E-5</v>
      </c>
    </row>
    <row r="35913" spans="1:6" x14ac:dyDescent="0.25">
      <c r="A35913" s="2" t="str">
        <f t="shared" si="1222"/>
        <v>99999</v>
      </c>
      <c r="B35913" s="2" t="str">
        <f>"38744"</f>
        <v>38744</v>
      </c>
      <c r="C35913" s="1">
        <v>1.28783028754194E-5</v>
      </c>
      <c r="D35913" s="1">
        <v>3.0352053468177301E-6</v>
      </c>
      <c r="E35913" s="1">
        <v>0</v>
      </c>
      <c r="F35913" s="1">
        <v>1.19382161499591E-5</v>
      </c>
    </row>
    <row r="35914" spans="1:6" x14ac:dyDescent="0.25">
      <c r="A35914" s="2" t="str">
        <f t="shared" si="1222"/>
        <v>99999</v>
      </c>
      <c r="B35914" s="2" t="str">
        <f>"38957"</f>
        <v>38957</v>
      </c>
      <c r="C35914" s="1">
        <v>1.8880901673284399E-5</v>
      </c>
      <c r="D35914" s="1">
        <v>1.00161776444985E-4</v>
      </c>
      <c r="E35914" s="1">
        <v>0</v>
      </c>
      <c r="F35914" s="1">
        <v>2.3776947165335201E-5</v>
      </c>
    </row>
    <row r="35915" spans="1:6" x14ac:dyDescent="0.25">
      <c r="A35915" s="2" t="str">
        <f t="shared" si="1222"/>
        <v>99999</v>
      </c>
      <c r="B35915" s="2" t="str">
        <f>"38951"</f>
        <v>38951</v>
      </c>
      <c r="C35915" s="1">
        <v>6.1553922218106499E-5</v>
      </c>
      <c r="D35915" s="1">
        <v>3.4904861488403899E-5</v>
      </c>
      <c r="E35915" s="1">
        <v>0</v>
      </c>
      <c r="F35915" s="1">
        <v>5.8397774000216597E-5</v>
      </c>
    </row>
    <row r="35916" spans="1:6" x14ac:dyDescent="0.25">
      <c r="A35916" s="2" t="str">
        <f t="shared" si="1222"/>
        <v>99999</v>
      </c>
      <c r="B35916" s="2" t="str">
        <f>"38948"</f>
        <v>38948</v>
      </c>
      <c r="C35916" s="1">
        <v>1.65562588661112E-4</v>
      </c>
      <c r="D35916" s="1">
        <v>8.043294169067E-5</v>
      </c>
      <c r="E35916" s="1">
        <v>3.47643196405369E-5</v>
      </c>
      <c r="F35916" s="1">
        <v>1.5698754237196199E-4</v>
      </c>
    </row>
    <row r="35917" spans="1:6" x14ac:dyDescent="0.25">
      <c r="A35917" s="2" t="str">
        <f t="shared" si="1222"/>
        <v>99999</v>
      </c>
      <c r="B35917" s="2" t="str">
        <f>"38928"</f>
        <v>38928</v>
      </c>
      <c r="C35917" s="1">
        <v>2.2264184632080999E-5</v>
      </c>
      <c r="D35917" s="1">
        <v>4.5528080202265997E-6</v>
      </c>
      <c r="E35917" s="1">
        <v>0</v>
      </c>
      <c r="F35917" s="1">
        <v>2.0593422858679401E-5</v>
      </c>
    </row>
    <row r="35918" spans="1:6" x14ac:dyDescent="0.25">
      <c r="A35918" s="2" t="str">
        <f t="shared" si="1222"/>
        <v>99999</v>
      </c>
      <c r="B35918" s="2" t="str">
        <f>"38913"</f>
        <v>38913</v>
      </c>
      <c r="C35918" s="1">
        <v>2.8594197909829602E-5</v>
      </c>
      <c r="D35918" s="1">
        <v>7.5880133670443404E-6</v>
      </c>
      <c r="E35918" s="1">
        <v>0</v>
      </c>
      <c r="F35918" s="1">
        <v>2.6562530933659001E-5</v>
      </c>
    </row>
    <row r="35919" spans="1:6" x14ac:dyDescent="0.25">
      <c r="A35919" s="2" t="str">
        <f t="shared" si="1222"/>
        <v>99999</v>
      </c>
      <c r="B35919" s="2" t="str">
        <f>"38916"</f>
        <v>38916</v>
      </c>
      <c r="C35919" s="1">
        <v>2.0332439200768099E-4</v>
      </c>
      <c r="D35919" s="1">
        <v>1.3354903525998E-4</v>
      </c>
      <c r="E35919" s="1">
        <v>1.08638498876677E-4</v>
      </c>
      <c r="F35919" s="1">
        <v>1.96582625935993E-4</v>
      </c>
    </row>
    <row r="35920" spans="1:6" x14ac:dyDescent="0.25">
      <c r="A35920" s="2" t="str">
        <f t="shared" si="1222"/>
        <v>99999</v>
      </c>
      <c r="B35920" s="2" t="str">
        <f>"38873"</f>
        <v>38873</v>
      </c>
      <c r="C35920" s="1">
        <v>1.4067908818996301E-4</v>
      </c>
      <c r="D35920" s="1">
        <v>5.9186504262945899E-5</v>
      </c>
      <c r="E35920" s="1">
        <v>3.47643196405369E-5</v>
      </c>
      <c r="F35920" s="1">
        <v>1.3291213980287799E-4</v>
      </c>
    </row>
    <row r="35921" spans="1:6" x14ac:dyDescent="0.25">
      <c r="A35921" s="2" t="str">
        <f t="shared" si="1222"/>
        <v>99999</v>
      </c>
      <c r="B35921" s="2" t="str">
        <f>"38829"</f>
        <v>38829</v>
      </c>
      <c r="C35921" s="1">
        <v>3.3614553268043901E-5</v>
      </c>
      <c r="D35921" s="1">
        <v>4.5528080202265997E-6</v>
      </c>
      <c r="E35921" s="1">
        <v>0</v>
      </c>
      <c r="F35921" s="1">
        <v>3.0939876855310701E-5</v>
      </c>
    </row>
    <row r="35922" spans="1:6" x14ac:dyDescent="0.25">
      <c r="A35922" s="2" t="str">
        <f t="shared" ref="A35922:A35985" si="1223">"99999"</f>
        <v>99999</v>
      </c>
      <c r="B35922" s="2" t="str">
        <f>"38468"</f>
        <v>38468</v>
      </c>
      <c r="C35922" s="1">
        <v>1.03681251963122E-5</v>
      </c>
      <c r="D35922" s="1">
        <v>4.5528080202265997E-6</v>
      </c>
      <c r="E35922" s="1">
        <v>0</v>
      </c>
      <c r="F35922" s="1">
        <v>9.7495431891332699E-6</v>
      </c>
    </row>
    <row r="35923" spans="1:6" x14ac:dyDescent="0.25">
      <c r="A35923" s="2" t="str">
        <f t="shared" si="1223"/>
        <v>99999</v>
      </c>
      <c r="B35923" s="2" t="str">
        <f>"38476"</f>
        <v>38476</v>
      </c>
      <c r="C35923" s="1">
        <v>1.9972283272896199E-5</v>
      </c>
      <c r="D35923" s="1">
        <v>6.0704106936354696E-6</v>
      </c>
      <c r="E35923" s="1">
        <v>0</v>
      </c>
      <c r="F35923" s="1">
        <v>1.8603720167019601E-5</v>
      </c>
    </row>
    <row r="35924" spans="1:6" x14ac:dyDescent="0.25">
      <c r="A35924" s="2" t="str">
        <f t="shared" si="1223"/>
        <v>99999</v>
      </c>
      <c r="B35924" s="2" t="str">
        <f>"38471"</f>
        <v>38471</v>
      </c>
      <c r="C35924" s="1">
        <v>3.7980079666491197E-5</v>
      </c>
      <c r="D35924" s="1">
        <v>2.1246437427724101E-5</v>
      </c>
      <c r="E35924" s="1">
        <v>8.69107991013423E-6</v>
      </c>
      <c r="F35924" s="1">
        <v>3.6212588988209297E-5</v>
      </c>
    </row>
    <row r="35925" spans="1:6" x14ac:dyDescent="0.25">
      <c r="A35925" s="2" t="str">
        <f t="shared" si="1223"/>
        <v>99999</v>
      </c>
      <c r="B35925" s="2" t="str">
        <f>"38455"</f>
        <v>38455</v>
      </c>
      <c r="C35925" s="1">
        <v>0</v>
      </c>
      <c r="D35925" s="1">
        <v>1.51760267340886E-6</v>
      </c>
      <c r="E35925" s="1">
        <v>0</v>
      </c>
      <c r="F35925" s="1">
        <v>9.9485134582992598E-8</v>
      </c>
    </row>
    <row r="35926" spans="1:6" x14ac:dyDescent="0.25">
      <c r="A35926" s="2" t="str">
        <f t="shared" si="1223"/>
        <v>99999</v>
      </c>
      <c r="B35926" s="2" t="str">
        <f>"38450"</f>
        <v>38450</v>
      </c>
      <c r="C35926" s="1">
        <v>1.46135996188022E-4</v>
      </c>
      <c r="D35926" s="1">
        <v>8.1950544364078906E-5</v>
      </c>
      <c r="E35926" s="1">
        <v>3.47643196405369E-5</v>
      </c>
      <c r="F35926" s="1">
        <v>1.3937867355077199E-4</v>
      </c>
    </row>
    <row r="35927" spans="1:6" x14ac:dyDescent="0.25">
      <c r="A35927" s="2" t="str">
        <f t="shared" si="1223"/>
        <v>99999</v>
      </c>
      <c r="B35927" s="2" t="str">
        <f>"38622"</f>
        <v>38622</v>
      </c>
      <c r="C35927" s="1">
        <v>0</v>
      </c>
      <c r="D35927" s="1">
        <v>1.51760267340886E-6</v>
      </c>
      <c r="E35927" s="1">
        <v>0</v>
      </c>
      <c r="F35927" s="1">
        <v>9.9485134582992598E-8</v>
      </c>
    </row>
    <row r="35928" spans="1:6" x14ac:dyDescent="0.25">
      <c r="A35928" s="2" t="str">
        <f t="shared" si="1223"/>
        <v>99999</v>
      </c>
      <c r="B35928" s="2" t="str">
        <f>"38568"</f>
        <v>38568</v>
      </c>
      <c r="C35928" s="1">
        <v>4.9330448302454102E-5</v>
      </c>
      <c r="D35928" s="1">
        <v>7.5880133670443404E-6</v>
      </c>
      <c r="E35928" s="1">
        <v>4.3455399550671099E-6</v>
      </c>
      <c r="F35928" s="1">
        <v>4.5564191639010602E-5</v>
      </c>
    </row>
    <row r="35929" spans="1:6" x14ac:dyDescent="0.25">
      <c r="A35929" s="2" t="str">
        <f t="shared" si="1223"/>
        <v>99999</v>
      </c>
      <c r="B35929" s="2" t="str">
        <f>"38589"</f>
        <v>38589</v>
      </c>
      <c r="C35929" s="1">
        <v>1.4624513434798299E-5</v>
      </c>
      <c r="D35929" s="1">
        <v>7.5880133670443404E-6</v>
      </c>
      <c r="E35929" s="1">
        <v>0</v>
      </c>
      <c r="F35929" s="1">
        <v>1.3828433707035901E-5</v>
      </c>
    </row>
    <row r="35930" spans="1:6" x14ac:dyDescent="0.25">
      <c r="A35930" s="2" t="str">
        <f t="shared" si="1223"/>
        <v>99999</v>
      </c>
      <c r="B35930" s="2" t="str">
        <f>"38352"</f>
        <v>38352</v>
      </c>
      <c r="C35930" s="1">
        <v>7.8579475172050803E-6</v>
      </c>
      <c r="D35930" s="1">
        <v>3.0352053468177301E-6</v>
      </c>
      <c r="E35930" s="1">
        <v>0</v>
      </c>
      <c r="F35930" s="1">
        <v>7.3618999591414504E-6</v>
      </c>
    </row>
    <row r="35931" spans="1:6" x14ac:dyDescent="0.25">
      <c r="A35931" s="2" t="str">
        <f t="shared" si="1223"/>
        <v>99999</v>
      </c>
      <c r="B35931" s="2" t="str">
        <f>"38506"</f>
        <v>38506</v>
      </c>
      <c r="C35931" s="1">
        <v>4.0926809985443098E-5</v>
      </c>
      <c r="D35931" s="1">
        <v>2.5799245447950699E-5</v>
      </c>
      <c r="E35931" s="1">
        <v>0</v>
      </c>
      <c r="F35931" s="1">
        <v>3.89981727565331E-5</v>
      </c>
    </row>
    <row r="35932" spans="1:6" x14ac:dyDescent="0.25">
      <c r="A35932" s="2" t="str">
        <f t="shared" si="1223"/>
        <v>99999</v>
      </c>
      <c r="B35932" s="2" t="str">
        <f>"38327"</f>
        <v>38327</v>
      </c>
      <c r="C35932" s="1">
        <v>3.9944566545792501E-5</v>
      </c>
      <c r="D35932" s="1">
        <v>6.9809722976807906E-5</v>
      </c>
      <c r="E35932" s="1">
        <v>8.69107991013423E-6</v>
      </c>
      <c r="F35932" s="1">
        <v>4.1186845717358898E-5</v>
      </c>
    </row>
    <row r="35933" spans="1:6" x14ac:dyDescent="0.25">
      <c r="A35933" s="2" t="str">
        <f t="shared" si="1223"/>
        <v>99999</v>
      </c>
      <c r="B35933" s="2" t="str">
        <f>"38342"</f>
        <v>38342</v>
      </c>
      <c r="C35933" s="1">
        <v>9.4186232046499795E-5</v>
      </c>
      <c r="D35933" s="1">
        <v>4.0975272182039399E-5</v>
      </c>
      <c r="E35933" s="1">
        <v>0</v>
      </c>
      <c r="F35933" s="1">
        <v>8.8541769778863405E-5</v>
      </c>
    </row>
    <row r="35934" spans="1:6" x14ac:dyDescent="0.25">
      <c r="A35934" s="2" t="str">
        <f t="shared" si="1223"/>
        <v>99999</v>
      </c>
      <c r="B35934" s="2" t="str">
        <f>"38313"</f>
        <v>38313</v>
      </c>
      <c r="C35934" s="1">
        <v>3.2523171668432101E-5</v>
      </c>
      <c r="D35934" s="1">
        <v>4.5528080202265997E-6</v>
      </c>
      <c r="E35934" s="1">
        <v>8.69107991013423E-6</v>
      </c>
      <c r="F35934" s="1">
        <v>3.01439957786467E-5</v>
      </c>
    </row>
    <row r="35935" spans="1:6" x14ac:dyDescent="0.25">
      <c r="A35935" s="2" t="str">
        <f t="shared" si="1223"/>
        <v>99999</v>
      </c>
      <c r="B35935" s="2" t="str">
        <f>"38311"</f>
        <v>38311</v>
      </c>
      <c r="C35935" s="1">
        <v>6.7119968376126702E-5</v>
      </c>
      <c r="D35935" s="1">
        <v>1.8211232080906399E-5</v>
      </c>
      <c r="E35935" s="1">
        <v>0</v>
      </c>
      <c r="F35935" s="1">
        <v>6.2377179383536294E-5</v>
      </c>
    </row>
    <row r="35936" spans="1:6" x14ac:dyDescent="0.25">
      <c r="A35936" s="2" t="str">
        <f t="shared" si="1223"/>
        <v>99999</v>
      </c>
      <c r="B35936" s="2" t="str">
        <f>"38220"</f>
        <v>38220</v>
      </c>
      <c r="C35936" s="1">
        <v>9.9424863724636506E-5</v>
      </c>
      <c r="D35936" s="1">
        <v>4.7045682875674899E-5</v>
      </c>
      <c r="E35936" s="1">
        <v>4.3455399550671099E-6</v>
      </c>
      <c r="F35936" s="1">
        <v>9.3814481911761995E-5</v>
      </c>
    </row>
    <row r="35937" spans="1:6" x14ac:dyDescent="0.25">
      <c r="A35937" s="2" t="str">
        <f t="shared" si="1223"/>
        <v>99999</v>
      </c>
      <c r="B35937" s="2" t="str">
        <f>"38079"</f>
        <v>38079</v>
      </c>
      <c r="C35937" s="1">
        <v>1.91646608891835E-4</v>
      </c>
      <c r="D35937" s="1">
        <v>3.30837382803133E-4</v>
      </c>
      <c r="E35937" s="1">
        <v>8.69107991013423E-5</v>
      </c>
      <c r="F35937" s="1">
        <v>1.9837335835848699E-4</v>
      </c>
    </row>
    <row r="35938" spans="1:6" x14ac:dyDescent="0.25">
      <c r="A35938" s="2" t="str">
        <f t="shared" si="1223"/>
        <v>99999</v>
      </c>
      <c r="B35938" s="2" t="str">
        <f>"38040"</f>
        <v>38040</v>
      </c>
      <c r="C35938" s="1">
        <v>2.2809875431886899E-4</v>
      </c>
      <c r="D35938" s="1">
        <v>3.0200293200836502E-4</v>
      </c>
      <c r="E35938" s="1">
        <v>1.12984038831745E-4</v>
      </c>
      <c r="F35938" s="1">
        <v>2.3030808655962701E-4</v>
      </c>
    </row>
    <row r="35939" spans="1:6" x14ac:dyDescent="0.25">
      <c r="A35939" s="2" t="str">
        <f t="shared" si="1223"/>
        <v>99999</v>
      </c>
      <c r="B35939" s="2" t="str">
        <f>"37847"</f>
        <v>37847</v>
      </c>
      <c r="C35939" s="1">
        <v>7.1812909254457503E-5</v>
      </c>
      <c r="D35939" s="1">
        <v>2.5799245447950699E-5</v>
      </c>
      <c r="E35939" s="1">
        <v>8.69107991013423E-6</v>
      </c>
      <c r="F35939" s="1">
        <v>6.7351436112686003E-5</v>
      </c>
    </row>
    <row r="35940" spans="1:6" x14ac:dyDescent="0.25">
      <c r="A35940" s="2" t="str">
        <f t="shared" si="1223"/>
        <v>99999</v>
      </c>
      <c r="B35940" s="2" t="str">
        <f>"37726"</f>
        <v>37726</v>
      </c>
      <c r="C35940" s="1">
        <v>9.4950199166228093E-6</v>
      </c>
      <c r="D35940" s="1">
        <v>4.5528080202265997E-6</v>
      </c>
      <c r="E35940" s="1">
        <v>0</v>
      </c>
      <c r="F35940" s="1">
        <v>8.9536621124693292E-6</v>
      </c>
    </row>
    <row r="35941" spans="1:6" x14ac:dyDescent="0.25">
      <c r="A35941" s="2" t="str">
        <f t="shared" si="1223"/>
        <v>99999</v>
      </c>
      <c r="B35941" s="2" t="str">
        <f>"37715"</f>
        <v>37715</v>
      </c>
      <c r="C35941" s="1">
        <v>3.6124730947151102E-5</v>
      </c>
      <c r="D35941" s="1">
        <v>2.4281642774541899E-5</v>
      </c>
      <c r="E35941" s="1">
        <v>0</v>
      </c>
      <c r="F35941" s="1">
        <v>3.4521341700298397E-5</v>
      </c>
    </row>
    <row r="35942" spans="1:6" x14ac:dyDescent="0.25">
      <c r="A35942" s="2" t="str">
        <f t="shared" si="1223"/>
        <v>99999</v>
      </c>
      <c r="B35942" s="2" t="str">
        <f>"37688"</f>
        <v>37688</v>
      </c>
      <c r="C35942" s="1">
        <v>6.7883935495855003E-5</v>
      </c>
      <c r="D35942" s="1">
        <v>3.4904861488403899E-5</v>
      </c>
      <c r="E35942" s="1">
        <v>1.3036619865201299E-5</v>
      </c>
      <c r="F35942" s="1">
        <v>6.4466367209779202E-5</v>
      </c>
    </row>
    <row r="35943" spans="1:6" x14ac:dyDescent="0.25">
      <c r="A35943" s="2" t="str">
        <f t="shared" si="1223"/>
        <v>99999</v>
      </c>
      <c r="B35943" s="2" t="str">
        <f>"37683"</f>
        <v>37683</v>
      </c>
      <c r="C35943" s="1">
        <v>7.5851021173021301E-4</v>
      </c>
      <c r="D35943" s="1">
        <v>8.3771667572169503E-4</v>
      </c>
      <c r="E35943" s="1">
        <v>4.9539155487765096E-4</v>
      </c>
      <c r="F35943" s="1">
        <v>7.5767878498407104E-4</v>
      </c>
    </row>
    <row r="35944" spans="1:6" x14ac:dyDescent="0.25">
      <c r="A35944" s="2" t="str">
        <f t="shared" si="1223"/>
        <v>99999</v>
      </c>
      <c r="B35944" s="2" t="str">
        <f>"37369"</f>
        <v>37369</v>
      </c>
      <c r="C35944" s="1">
        <v>6.7665659175932598E-6</v>
      </c>
      <c r="D35944" s="1">
        <v>3.0352053468177301E-6</v>
      </c>
      <c r="E35944" s="1">
        <v>0</v>
      </c>
      <c r="F35944" s="1">
        <v>6.3670486133115203E-6</v>
      </c>
    </row>
    <row r="35945" spans="1:6" x14ac:dyDescent="0.25">
      <c r="A35945" s="2" t="str">
        <f t="shared" si="1223"/>
        <v>99999</v>
      </c>
      <c r="B35945" s="2" t="str">
        <f>"37367"</f>
        <v>37367</v>
      </c>
      <c r="C35945" s="1">
        <v>5.65772221238766E-4</v>
      </c>
      <c r="D35945" s="1">
        <v>3.6725984696494597E-4</v>
      </c>
      <c r="E35945" s="1">
        <v>9.9947418966543598E-5</v>
      </c>
      <c r="F35945" s="1">
        <v>5.4209449834272604E-4</v>
      </c>
    </row>
    <row r="35946" spans="1:6" x14ac:dyDescent="0.25">
      <c r="A35946" s="2" t="str">
        <f t="shared" si="1223"/>
        <v>99999</v>
      </c>
      <c r="B35946" s="2" t="str">
        <f>"37365"</f>
        <v>37365</v>
      </c>
      <c r="C35946" s="1">
        <v>9.01481201279361E-5</v>
      </c>
      <c r="D35946" s="1">
        <v>4.5528080202266E-5</v>
      </c>
      <c r="E35946" s="1">
        <v>0</v>
      </c>
      <c r="F35946" s="1">
        <v>8.5159275203041605E-5</v>
      </c>
    </row>
    <row r="35947" spans="1:6" x14ac:dyDescent="0.25">
      <c r="A35947" s="2" t="str">
        <f t="shared" si="1223"/>
        <v>99999</v>
      </c>
      <c r="B35947" s="2" t="str">
        <f>"37359"</f>
        <v>37359</v>
      </c>
      <c r="C35947" s="1">
        <v>3.1213513748897903E-5</v>
      </c>
      <c r="D35947" s="1">
        <v>1.66936294074975E-5</v>
      </c>
      <c r="E35947" s="1">
        <v>2.60732397304027E-5</v>
      </c>
      <c r="F35947" s="1">
        <v>3.01439957786467E-5</v>
      </c>
    </row>
    <row r="35948" spans="1:6" x14ac:dyDescent="0.25">
      <c r="A35948" s="2" t="str">
        <f t="shared" si="1223"/>
        <v>99999</v>
      </c>
      <c r="B35948" s="2" t="str">
        <f>"37334"</f>
        <v>37334</v>
      </c>
      <c r="C35948" s="1">
        <v>1.2282408522031299E-3</v>
      </c>
      <c r="D35948" s="1">
        <v>1.6299052712411199E-3</v>
      </c>
      <c r="E35948" s="1">
        <v>1.9946028393758E-3</v>
      </c>
      <c r="F35948" s="1">
        <v>1.2721164159127201E-3</v>
      </c>
    </row>
    <row r="35949" spans="1:6" x14ac:dyDescent="0.25">
      <c r="A35949" s="2" t="str">
        <f t="shared" si="1223"/>
        <v>99999</v>
      </c>
      <c r="B35949" s="2" t="str">
        <f>"37332"</f>
        <v>37332</v>
      </c>
      <c r="C35949" s="1">
        <v>3.7106974386801701E-6</v>
      </c>
      <c r="D35949" s="1">
        <v>0</v>
      </c>
      <c r="E35949" s="1">
        <v>0</v>
      </c>
      <c r="F35949" s="1">
        <v>3.3824945758217398E-6</v>
      </c>
    </row>
    <row r="35950" spans="1:6" x14ac:dyDescent="0.25">
      <c r="A35950" s="2" t="str">
        <f t="shared" si="1223"/>
        <v>99999</v>
      </c>
      <c r="B35950" s="2" t="str">
        <f>"37387"</f>
        <v>37387</v>
      </c>
      <c r="C35950" s="1">
        <v>1.60978785942743E-4</v>
      </c>
      <c r="D35950" s="1">
        <v>1.3506663793338901E-4</v>
      </c>
      <c r="E35950" s="1">
        <v>3.0418779685469802E-5</v>
      </c>
      <c r="F35950" s="1">
        <v>1.56291146429881E-4</v>
      </c>
    </row>
    <row r="35951" spans="1:6" x14ac:dyDescent="0.25">
      <c r="A35951" s="2" t="str">
        <f t="shared" si="1223"/>
        <v>99999</v>
      </c>
      <c r="B35951" s="2" t="str">
        <f>"37144"</f>
        <v>37144</v>
      </c>
      <c r="C35951" s="1">
        <v>1.17105245638348E-4</v>
      </c>
      <c r="D35951" s="1">
        <v>7.1327325650216798E-5</v>
      </c>
      <c r="E35951" s="1">
        <v>0</v>
      </c>
      <c r="F35951" s="1">
        <v>1.11423350732951E-4</v>
      </c>
    </row>
    <row r="35952" spans="1:6" x14ac:dyDescent="0.25">
      <c r="A35952" s="2" t="str">
        <f t="shared" si="1223"/>
        <v>99999</v>
      </c>
      <c r="B35952" s="2" t="str">
        <f>"37033"</f>
        <v>37033</v>
      </c>
      <c r="C35952" s="1">
        <v>4.3949937016367802E-4</v>
      </c>
      <c r="D35952" s="1">
        <v>7.2237887254262103E-4</v>
      </c>
      <c r="E35952" s="1">
        <v>2.4769577743882499E-4</v>
      </c>
      <c r="F35952" s="1">
        <v>4.5365221369844601E-4</v>
      </c>
    </row>
    <row r="35953" spans="1:6" x14ac:dyDescent="0.25">
      <c r="A35953" s="2" t="str">
        <f t="shared" si="1223"/>
        <v>99999</v>
      </c>
      <c r="B35953" s="2" t="str">
        <f>"37050"</f>
        <v>37050</v>
      </c>
      <c r="C35953" s="1">
        <v>3.3068862468237998E-5</v>
      </c>
      <c r="D35953" s="1">
        <v>7.5880133670443404E-6</v>
      </c>
      <c r="E35953" s="1">
        <v>1.7382159820268399E-5</v>
      </c>
      <c r="F35953" s="1">
        <v>3.10393619898937E-5</v>
      </c>
    </row>
    <row r="35954" spans="1:6" x14ac:dyDescent="0.25">
      <c r="A35954" s="2" t="str">
        <f t="shared" si="1223"/>
        <v>99999</v>
      </c>
      <c r="B35954" s="2" t="str">
        <f>"36832"</f>
        <v>36832</v>
      </c>
      <c r="C35954" s="1">
        <v>1.0913815996118101E-6</v>
      </c>
      <c r="D35954" s="1">
        <v>1.51760267340886E-6</v>
      </c>
      <c r="E35954" s="1">
        <v>0</v>
      </c>
      <c r="F35954" s="1">
        <v>1.09433648041291E-6</v>
      </c>
    </row>
    <row r="35955" spans="1:6" x14ac:dyDescent="0.25">
      <c r="A35955" s="2" t="str">
        <f t="shared" si="1223"/>
        <v>99999</v>
      </c>
      <c r="B35955" s="2" t="str">
        <f>"36727"</f>
        <v>36727</v>
      </c>
      <c r="C35955" s="1">
        <v>1.33148555152641E-5</v>
      </c>
      <c r="D35955" s="1">
        <v>0</v>
      </c>
      <c r="E35955" s="1">
        <v>8.69107991013423E-6</v>
      </c>
      <c r="F35955" s="1">
        <v>1.2336156688290999E-5</v>
      </c>
    </row>
    <row r="35956" spans="1:6" x14ac:dyDescent="0.25">
      <c r="A35956" s="2" t="str">
        <f t="shared" si="1223"/>
        <v>99999</v>
      </c>
      <c r="B35956" s="2" t="str">
        <f>"36769"</f>
        <v>36769</v>
      </c>
      <c r="C35956" s="1">
        <v>1.0891988364125901E-4</v>
      </c>
      <c r="D35956" s="1">
        <v>6.8292120303399095E-5</v>
      </c>
      <c r="E35956" s="1">
        <v>5.6492019415872502E-5</v>
      </c>
      <c r="F35956" s="1">
        <v>1.0505630211964001E-4</v>
      </c>
    </row>
    <row r="35957" spans="1:6" x14ac:dyDescent="0.25">
      <c r="A35957" s="2" t="str">
        <f t="shared" si="1223"/>
        <v>99999</v>
      </c>
      <c r="B35957" s="2" t="str">
        <f>"36545"</f>
        <v>36545</v>
      </c>
      <c r="C35957" s="1">
        <v>5.4547252348598598E-4</v>
      </c>
      <c r="D35957" s="1">
        <v>7.9977660888647399E-4</v>
      </c>
      <c r="E35957" s="1">
        <v>4.8670047496751699E-4</v>
      </c>
      <c r="F35957" s="1">
        <v>5.6079770364432903E-4</v>
      </c>
    </row>
    <row r="35958" spans="1:6" x14ac:dyDescent="0.25">
      <c r="A35958" s="2" t="str">
        <f t="shared" si="1223"/>
        <v>99999</v>
      </c>
      <c r="B35958" s="2" t="str">
        <f>"36432"</f>
        <v>36432</v>
      </c>
      <c r="C35958" s="1">
        <v>2.1205544480457601E-4</v>
      </c>
      <c r="D35958" s="1">
        <v>7.8915339017261203E-5</v>
      </c>
      <c r="E35958" s="1">
        <v>1.7382159820268399E-5</v>
      </c>
      <c r="F35958" s="1">
        <v>1.98870784031402E-4</v>
      </c>
    </row>
    <row r="35959" spans="1:6" x14ac:dyDescent="0.25">
      <c r="A35959" s="2" t="str">
        <f t="shared" si="1223"/>
        <v>99999</v>
      </c>
      <c r="B35959" s="2" t="str">
        <f>"36421"</f>
        <v>36421</v>
      </c>
      <c r="C35959" s="1">
        <v>5.8585364267162295E-4</v>
      </c>
      <c r="D35959" s="1">
        <v>3.9154148973948797E-4</v>
      </c>
      <c r="E35959" s="1">
        <v>1.9554929797801999E-4</v>
      </c>
      <c r="F35959" s="1">
        <v>5.6418019822015097E-4</v>
      </c>
    </row>
    <row r="35960" spans="1:6" x14ac:dyDescent="0.25">
      <c r="A35960" s="2" t="str">
        <f t="shared" si="1223"/>
        <v>99999</v>
      </c>
      <c r="B35960" s="2" t="str">
        <f>"36455"</f>
        <v>36455</v>
      </c>
      <c r="C35960" s="1">
        <v>0</v>
      </c>
      <c r="D35960" s="1">
        <v>1.51760267340886E-6</v>
      </c>
      <c r="E35960" s="1">
        <v>0</v>
      </c>
      <c r="F35960" s="1">
        <v>9.9485134582992598E-8</v>
      </c>
    </row>
    <row r="35961" spans="1:6" x14ac:dyDescent="0.25">
      <c r="A35961" s="2" t="str">
        <f t="shared" si="1223"/>
        <v>99999</v>
      </c>
      <c r="B35961" s="2" t="str">
        <f>"36446"</f>
        <v>36446</v>
      </c>
      <c r="C35961" s="1">
        <v>0</v>
      </c>
      <c r="D35961" s="1">
        <v>1.51760267340886E-6</v>
      </c>
      <c r="E35961" s="1">
        <v>0</v>
      </c>
      <c r="F35961" s="1">
        <v>9.9485134582992598E-8</v>
      </c>
    </row>
    <row r="35962" spans="1:6" x14ac:dyDescent="0.25">
      <c r="A35962" s="2" t="str">
        <f t="shared" si="1223"/>
        <v>99999</v>
      </c>
      <c r="B35962" s="2" t="str">
        <f>"36453"</f>
        <v>36453</v>
      </c>
      <c r="C35962" s="1">
        <v>2.5101776791071799E-6</v>
      </c>
      <c r="D35962" s="1">
        <v>1.51760267340886E-6</v>
      </c>
      <c r="E35962" s="1">
        <v>0</v>
      </c>
      <c r="F35962" s="1">
        <v>2.3876432299918199E-6</v>
      </c>
    </row>
    <row r="35963" spans="1:6" x14ac:dyDescent="0.25">
      <c r="A35963" s="2" t="str">
        <f t="shared" si="1223"/>
        <v>99999</v>
      </c>
      <c r="B35963" s="2" t="str">
        <f>"36456"</f>
        <v>36456</v>
      </c>
      <c r="C35963" s="1">
        <v>1.20597666757105E-4</v>
      </c>
      <c r="D35963" s="1">
        <v>4.7045682875674899E-5</v>
      </c>
      <c r="E35963" s="1">
        <v>1.39057278562147E-4</v>
      </c>
      <c r="F35963" s="1">
        <v>1.16198637192935E-4</v>
      </c>
    </row>
    <row r="35964" spans="1:6" x14ac:dyDescent="0.25">
      <c r="A35964" s="2" t="str">
        <f t="shared" si="1223"/>
        <v>99999</v>
      </c>
      <c r="B35964" s="2" t="str">
        <f>"36278"</f>
        <v>36278</v>
      </c>
      <c r="C35964" s="1">
        <v>3.6048334235178297E-4</v>
      </c>
      <c r="D35964" s="1">
        <v>3.0048532933495597E-4</v>
      </c>
      <c r="E35964" s="1">
        <v>1.6513051829255E-4</v>
      </c>
      <c r="F35964" s="1">
        <v>3.5207789128920998E-4</v>
      </c>
    </row>
    <row r="35965" spans="1:6" x14ac:dyDescent="0.25">
      <c r="A35965" s="2" t="str">
        <f t="shared" si="1223"/>
        <v>99999</v>
      </c>
      <c r="B35965" s="2" t="str">
        <f>"36262"</f>
        <v>36262</v>
      </c>
      <c r="C35965" s="1">
        <v>8.9384153008207799E-5</v>
      </c>
      <c r="D35965" s="1">
        <v>6.5256914956581297E-5</v>
      </c>
      <c r="E35965" s="1">
        <v>2.60732397304027E-5</v>
      </c>
      <c r="F35965" s="1">
        <v>8.6353096818037601E-5</v>
      </c>
    </row>
    <row r="35966" spans="1:6" x14ac:dyDescent="0.25">
      <c r="A35966" s="2" t="str">
        <f t="shared" si="1223"/>
        <v>99999</v>
      </c>
      <c r="B35966" s="2" t="str">
        <f>"36255"</f>
        <v>36255</v>
      </c>
      <c r="C35966" s="1">
        <v>7.4977915893331795E-5</v>
      </c>
      <c r="D35966" s="1">
        <v>1.8211232080906399E-5</v>
      </c>
      <c r="E35966" s="1">
        <v>0</v>
      </c>
      <c r="F35966" s="1">
        <v>6.9540109073511794E-5</v>
      </c>
    </row>
    <row r="35967" spans="1:6" x14ac:dyDescent="0.25">
      <c r="A35967" s="2" t="str">
        <f t="shared" si="1223"/>
        <v>99999</v>
      </c>
      <c r="B35967" s="2" t="str">
        <f>"36075"</f>
        <v>36075</v>
      </c>
      <c r="C35967" s="1">
        <v>1.0444521908285E-4</v>
      </c>
      <c r="D35967" s="1">
        <v>6.0704106936354703E-5</v>
      </c>
      <c r="E35967" s="1">
        <v>2.1727699775335501E-5</v>
      </c>
      <c r="F35967" s="1">
        <v>9.9684104852158602E-5</v>
      </c>
    </row>
    <row r="35968" spans="1:6" x14ac:dyDescent="0.25">
      <c r="A35968" s="2" t="str">
        <f t="shared" si="1223"/>
        <v>99999</v>
      </c>
      <c r="B35968" s="2" t="str">
        <f>"36032"</f>
        <v>36032</v>
      </c>
      <c r="C35968" s="1">
        <v>3.5797316467267603E-5</v>
      </c>
      <c r="D35968" s="1">
        <v>9.1056160404532095E-6</v>
      </c>
      <c r="E35968" s="1">
        <v>1.18198686777825E-3</v>
      </c>
      <c r="F35968" s="1">
        <v>6.0287991557293501E-5</v>
      </c>
    </row>
    <row r="35969" spans="1:6" x14ac:dyDescent="0.25">
      <c r="A35969" s="2" t="str">
        <f t="shared" si="1223"/>
        <v>99999</v>
      </c>
      <c r="B35969" s="2" t="str">
        <f>"36083"</f>
        <v>36083</v>
      </c>
      <c r="C35969" s="1">
        <v>5.8552622819173998E-4</v>
      </c>
      <c r="D35969" s="1">
        <v>8.3619907304828696E-4</v>
      </c>
      <c r="E35969" s="1">
        <v>1.18198686777825E-3</v>
      </c>
      <c r="F35969" s="1">
        <v>6.1561401279955797E-4</v>
      </c>
    </row>
    <row r="35970" spans="1:6" x14ac:dyDescent="0.25">
      <c r="A35970" s="2" t="str">
        <f t="shared" si="1223"/>
        <v>99999</v>
      </c>
      <c r="B35970" s="2" t="str">
        <f>"36081"</f>
        <v>36081</v>
      </c>
      <c r="C35970" s="1">
        <v>2.16093556723139E-5</v>
      </c>
      <c r="D35970" s="1">
        <v>7.5880133670443404E-6</v>
      </c>
      <c r="E35970" s="1">
        <v>0</v>
      </c>
      <c r="F35970" s="1">
        <v>2.0195482320347499E-5</v>
      </c>
    </row>
    <row r="35971" spans="1:6" x14ac:dyDescent="0.25">
      <c r="A35971" s="2" t="str">
        <f t="shared" si="1223"/>
        <v>99999</v>
      </c>
      <c r="B35971" s="2" t="str">
        <f>"35984"</f>
        <v>35984</v>
      </c>
      <c r="C35971" s="1">
        <v>1.8553487193400799E-5</v>
      </c>
      <c r="D35971" s="1">
        <v>0</v>
      </c>
      <c r="E35971" s="1">
        <v>8.69107991013423E-6</v>
      </c>
      <c r="F35971" s="1">
        <v>1.7111443148274701E-5</v>
      </c>
    </row>
    <row r="35972" spans="1:6" x14ac:dyDescent="0.25">
      <c r="A35972" s="2" t="str">
        <f t="shared" si="1223"/>
        <v>99999</v>
      </c>
      <c r="B35972" s="2" t="str">
        <f>"35585"</f>
        <v>35585</v>
      </c>
      <c r="C35972" s="1">
        <v>8.55643174095664E-5</v>
      </c>
      <c r="D35972" s="1">
        <v>5.9186504262945899E-5</v>
      </c>
      <c r="E35972" s="1">
        <v>4.3455399550671099E-6</v>
      </c>
      <c r="F35972" s="1">
        <v>8.1975750896385897E-5</v>
      </c>
    </row>
    <row r="35973" spans="1:6" x14ac:dyDescent="0.25">
      <c r="A35973" s="2" t="str">
        <f t="shared" si="1223"/>
        <v>99999</v>
      </c>
      <c r="B35973" s="2" t="str">
        <f>"35582"</f>
        <v>35582</v>
      </c>
      <c r="C35973" s="1">
        <v>2.27443925359102E-4</v>
      </c>
      <c r="D35973" s="1">
        <v>1.9880595021656101E-4</v>
      </c>
      <c r="E35973" s="1">
        <v>1.3471173860707999E-4</v>
      </c>
      <c r="F35973" s="1">
        <v>2.2344361227340099E-4</v>
      </c>
    </row>
    <row r="35974" spans="1:6" x14ac:dyDescent="0.25">
      <c r="A35974" s="2" t="str">
        <f t="shared" si="1223"/>
        <v>99999</v>
      </c>
      <c r="B35974" s="2" t="str">
        <f>"35559"</f>
        <v>35559</v>
      </c>
      <c r="C35974" s="1">
        <v>0</v>
      </c>
      <c r="D35974" s="1">
        <v>1.51760267340886E-6</v>
      </c>
      <c r="E35974" s="1">
        <v>0</v>
      </c>
      <c r="F35974" s="1">
        <v>9.9485134582992598E-8</v>
      </c>
    </row>
    <row r="35975" spans="1:6" x14ac:dyDescent="0.25">
      <c r="A35975" s="2" t="str">
        <f t="shared" si="1223"/>
        <v>99999</v>
      </c>
      <c r="B35975" s="2" t="str">
        <f>"35549"</f>
        <v>35549</v>
      </c>
      <c r="C35975" s="1">
        <v>2.02996977527798E-5</v>
      </c>
      <c r="D35975" s="1">
        <v>0</v>
      </c>
      <c r="E35975" s="1">
        <v>0</v>
      </c>
      <c r="F35975" s="1">
        <v>1.8504235032436599E-5</v>
      </c>
    </row>
    <row r="35976" spans="1:6" x14ac:dyDescent="0.25">
      <c r="A35976" s="2" t="str">
        <f t="shared" si="1223"/>
        <v>99999</v>
      </c>
      <c r="B35976" s="2" t="str">
        <f>"35548"</f>
        <v>35548</v>
      </c>
      <c r="C35976" s="1">
        <v>1.0520918620257901E-4</v>
      </c>
      <c r="D35976" s="1">
        <v>2.4281642774541899E-5</v>
      </c>
      <c r="E35976" s="1">
        <v>1.39057278562147E-4</v>
      </c>
      <c r="F35976" s="1">
        <v>1.00678956197988E-4</v>
      </c>
    </row>
    <row r="35977" spans="1:6" x14ac:dyDescent="0.25">
      <c r="A35977" s="2" t="str">
        <f t="shared" si="1223"/>
        <v>99999</v>
      </c>
      <c r="B35977" s="2" t="str">
        <f>"35546"</f>
        <v>35546</v>
      </c>
      <c r="C35977" s="1">
        <v>1.6829104266014201E-4</v>
      </c>
      <c r="D35977" s="1">
        <v>1.198906111993E-4</v>
      </c>
      <c r="E35977" s="1">
        <v>4.3455399550671103E-5</v>
      </c>
      <c r="F35977" s="1">
        <v>1.6226025450486001E-4</v>
      </c>
    </row>
    <row r="35978" spans="1:6" x14ac:dyDescent="0.25">
      <c r="A35978" s="2" t="str">
        <f t="shared" si="1223"/>
        <v>99999</v>
      </c>
      <c r="B35978" s="2" t="str">
        <f>"35459"</f>
        <v>35459</v>
      </c>
      <c r="C35978" s="1">
        <v>5.1076658861833002E-5</v>
      </c>
      <c r="D35978" s="1">
        <v>2.7316848121359601E-5</v>
      </c>
      <c r="E35978" s="1">
        <v>0</v>
      </c>
      <c r="F35978" s="1">
        <v>4.8349775407334398E-5</v>
      </c>
    </row>
    <row r="35979" spans="1:6" x14ac:dyDescent="0.25">
      <c r="A35979" s="2" t="str">
        <f t="shared" si="1223"/>
        <v>99999</v>
      </c>
      <c r="B35979" s="2" t="str">
        <f>"32628"</f>
        <v>32628</v>
      </c>
      <c r="C35979" s="1">
        <v>1.51592904186081E-4</v>
      </c>
      <c r="D35979" s="1">
        <v>2.24605195664512E-4</v>
      </c>
      <c r="E35979" s="1">
        <v>4.7800939505738197E-5</v>
      </c>
      <c r="F35979" s="1">
        <v>1.54002988334472E-4</v>
      </c>
    </row>
    <row r="35980" spans="1:6" x14ac:dyDescent="0.25">
      <c r="A35980" s="2" t="str">
        <f t="shared" si="1223"/>
        <v>99999</v>
      </c>
      <c r="B35980" s="2" t="str">
        <f>"32360"</f>
        <v>32360</v>
      </c>
      <c r="C35980" s="1">
        <v>1.09138159961181E-7</v>
      </c>
      <c r="D35980" s="1">
        <v>0</v>
      </c>
      <c r="E35980" s="1">
        <v>4.3455399550671099E-6</v>
      </c>
      <c r="F35980" s="1">
        <v>1.9897026916598501E-7</v>
      </c>
    </row>
    <row r="35981" spans="1:6" x14ac:dyDescent="0.25">
      <c r="A35981" s="2" t="str">
        <f t="shared" si="1223"/>
        <v>99999</v>
      </c>
      <c r="B35981" s="2" t="str">
        <f>"32320"</f>
        <v>32320</v>
      </c>
      <c r="C35981" s="1">
        <v>2.41195333514211E-4</v>
      </c>
      <c r="D35981" s="1">
        <v>5.7517141322196096E-4</v>
      </c>
      <c r="E35981" s="1">
        <v>2.5638685734895902E-4</v>
      </c>
      <c r="F35981" s="1">
        <v>2.6343663637576402E-4</v>
      </c>
    </row>
    <row r="35982" spans="1:6" x14ac:dyDescent="0.25">
      <c r="A35982" s="2" t="str">
        <f t="shared" si="1223"/>
        <v>99999</v>
      </c>
      <c r="B35982" s="2" t="str">
        <f>"32334"</f>
        <v>32334</v>
      </c>
      <c r="C35982" s="1">
        <v>9.4186232046499795E-5</v>
      </c>
      <c r="D35982" s="1">
        <v>5.9186504262945899E-5</v>
      </c>
      <c r="E35982" s="1">
        <v>3.47643196405369E-5</v>
      </c>
      <c r="F35982" s="1">
        <v>9.0531472470523294E-5</v>
      </c>
    </row>
    <row r="35983" spans="1:6" x14ac:dyDescent="0.25">
      <c r="A35983" s="2" t="str">
        <f t="shared" si="1223"/>
        <v>99999</v>
      </c>
      <c r="B35983" s="2" t="str">
        <f>"31790"</f>
        <v>31790</v>
      </c>
      <c r="C35983" s="1">
        <v>9.6478133405684605E-5</v>
      </c>
      <c r="D35983" s="1">
        <v>7.7397736343852298E-5</v>
      </c>
      <c r="E35983" s="1">
        <v>1.3036619865201299E-5</v>
      </c>
      <c r="F35983" s="1">
        <v>9.3317056238846995E-5</v>
      </c>
    </row>
    <row r="35984" spans="1:6" x14ac:dyDescent="0.25">
      <c r="A35984" s="2" t="str">
        <f t="shared" si="1223"/>
        <v>99999</v>
      </c>
      <c r="B35984" s="2" t="str">
        <f>"31789"</f>
        <v>31789</v>
      </c>
      <c r="C35984" s="1">
        <v>6.5482895976708995E-7</v>
      </c>
      <c r="D35984" s="1">
        <v>0</v>
      </c>
      <c r="E35984" s="1">
        <v>0</v>
      </c>
      <c r="F35984" s="1">
        <v>5.9691080749795498E-7</v>
      </c>
    </row>
    <row r="35985" spans="1:6" x14ac:dyDescent="0.25">
      <c r="A35985" s="2" t="str">
        <f t="shared" si="1223"/>
        <v>99999</v>
      </c>
      <c r="B35985" s="2" t="str">
        <f>"31765"</f>
        <v>31765</v>
      </c>
      <c r="C35985" s="1">
        <v>4.42009547842786E-5</v>
      </c>
      <c r="D35985" s="1">
        <v>3.9457669508630602E-5</v>
      </c>
      <c r="E35985" s="1">
        <v>1.7382159820268399E-5</v>
      </c>
      <c r="F35985" s="1">
        <v>4.3276033543601697E-5</v>
      </c>
    </row>
    <row r="35986" spans="1:6" x14ac:dyDescent="0.25">
      <c r="A35986" s="2" t="str">
        <f t="shared" ref="A35986:A36049" si="1224">"99999"</f>
        <v>99999</v>
      </c>
      <c r="B35986" s="2" t="str">
        <f>"31774"</f>
        <v>31774</v>
      </c>
      <c r="C35986" s="1">
        <v>3.45203999957217E-4</v>
      </c>
      <c r="D35986" s="1">
        <v>4.79562444797202E-4</v>
      </c>
      <c r="E35986" s="1">
        <v>1.6513051829255E-4</v>
      </c>
      <c r="F35986" s="1">
        <v>3.4988921832838498E-4</v>
      </c>
    </row>
    <row r="35987" spans="1:6" x14ac:dyDescent="0.25">
      <c r="A35987" s="2" t="str">
        <f t="shared" si="1224"/>
        <v>99999</v>
      </c>
      <c r="B35987" s="2" t="str">
        <f>"31824"</f>
        <v>31824</v>
      </c>
      <c r="C35987" s="1">
        <v>8.4691212129876998E-5</v>
      </c>
      <c r="D35987" s="1">
        <v>4.0975272182039399E-5</v>
      </c>
      <c r="E35987" s="1">
        <v>0</v>
      </c>
      <c r="F35987" s="1">
        <v>7.9886563070143002E-5</v>
      </c>
    </row>
    <row r="35988" spans="1:6" x14ac:dyDescent="0.25">
      <c r="A35988" s="2" t="str">
        <f t="shared" si="1224"/>
        <v>99999</v>
      </c>
      <c r="B35988" s="2" t="str">
        <f>"31806"</f>
        <v>31806</v>
      </c>
      <c r="C35988" s="1">
        <v>7.6396711972827196E-6</v>
      </c>
      <c r="D35988" s="1">
        <v>1.51760267340886E-6</v>
      </c>
      <c r="E35988" s="1">
        <v>4.3455399550671099E-6</v>
      </c>
      <c r="F35988" s="1">
        <v>7.1629296899754602E-6</v>
      </c>
    </row>
    <row r="35989" spans="1:6" x14ac:dyDescent="0.25">
      <c r="A35989" s="2" t="str">
        <f t="shared" si="1224"/>
        <v>99999</v>
      </c>
      <c r="B35989" s="2" t="str">
        <f>"31798"</f>
        <v>31798</v>
      </c>
      <c r="C35989" s="1">
        <v>3.5142487507500497E-5</v>
      </c>
      <c r="D35989" s="1">
        <v>1.0623218713862E-5</v>
      </c>
      <c r="E35989" s="1">
        <v>4.3455399550671099E-6</v>
      </c>
      <c r="F35989" s="1">
        <v>3.2830094412387497E-5</v>
      </c>
    </row>
    <row r="35990" spans="1:6" x14ac:dyDescent="0.25">
      <c r="A35990" s="2" t="str">
        <f t="shared" si="1224"/>
        <v>99999</v>
      </c>
      <c r="B35990" s="2" t="str">
        <f>"31627"</f>
        <v>31627</v>
      </c>
      <c r="C35990" s="1">
        <v>0</v>
      </c>
      <c r="D35990" s="1">
        <v>1.51760267340886E-6</v>
      </c>
      <c r="E35990" s="1">
        <v>0</v>
      </c>
      <c r="F35990" s="1">
        <v>9.9485134582992598E-8</v>
      </c>
    </row>
    <row r="35991" spans="1:6" x14ac:dyDescent="0.25">
      <c r="A35991" s="2" t="str">
        <f t="shared" si="1224"/>
        <v>99999</v>
      </c>
      <c r="B35991" s="2" t="str">
        <f>"31091"</f>
        <v>31091</v>
      </c>
      <c r="C35991" s="1">
        <v>8.3490692370303995E-5</v>
      </c>
      <c r="D35991" s="1">
        <v>7.5880133670443406E-5</v>
      </c>
      <c r="E35991" s="1">
        <v>2.60732397304027E-5</v>
      </c>
      <c r="F35991" s="1">
        <v>8.1677295492636894E-5</v>
      </c>
    </row>
    <row r="35992" spans="1:6" x14ac:dyDescent="0.25">
      <c r="A35992" s="2" t="str">
        <f t="shared" si="1224"/>
        <v>99999</v>
      </c>
      <c r="B35992" s="2" t="str">
        <f>"31089"</f>
        <v>31089</v>
      </c>
      <c r="C35992" s="1">
        <v>2.76665235501595E-4</v>
      </c>
      <c r="D35992" s="1">
        <v>1.79077115462246E-4</v>
      </c>
      <c r="E35992" s="1">
        <v>6.5183099326006705E-5</v>
      </c>
      <c r="F35992" s="1">
        <v>2.6542633906742402E-4</v>
      </c>
    </row>
    <row r="35993" spans="1:6" x14ac:dyDescent="0.25">
      <c r="A35993" s="2" t="str">
        <f t="shared" si="1224"/>
        <v>99999</v>
      </c>
      <c r="B35993" s="2" t="str">
        <f>"31082"</f>
        <v>31082</v>
      </c>
      <c r="C35993" s="1">
        <v>5.6860981339775603E-4</v>
      </c>
      <c r="D35993" s="1">
        <v>1.01679379118394E-3</v>
      </c>
      <c r="E35993" s="1">
        <v>5.0842817474285203E-4</v>
      </c>
      <c r="F35993" s="1">
        <v>5.9661235209420595E-4</v>
      </c>
    </row>
    <row r="35994" spans="1:6" x14ac:dyDescent="0.25">
      <c r="A35994" s="2" t="str">
        <f t="shared" si="1224"/>
        <v>99999</v>
      </c>
      <c r="B35994" s="2" t="str">
        <f>"31072"</f>
        <v>31072</v>
      </c>
      <c r="C35994" s="1">
        <v>7.09398039747681E-5</v>
      </c>
      <c r="D35994" s="1">
        <v>1.8211232080906399E-5</v>
      </c>
      <c r="E35994" s="1">
        <v>8.69107991013423E-6</v>
      </c>
      <c r="F35994" s="1">
        <v>6.6058129363107097E-5</v>
      </c>
    </row>
    <row r="35995" spans="1:6" x14ac:dyDescent="0.25">
      <c r="A35995" s="2" t="str">
        <f t="shared" si="1224"/>
        <v>99999</v>
      </c>
      <c r="B35995" s="2" t="str">
        <f>"31070"</f>
        <v>31070</v>
      </c>
      <c r="C35995" s="1">
        <v>2.75028163102177E-5</v>
      </c>
      <c r="D35995" s="1">
        <v>2.4281642774541899E-5</v>
      </c>
      <c r="E35995" s="1">
        <v>0</v>
      </c>
      <c r="F35995" s="1">
        <v>2.6662016068241999E-5</v>
      </c>
    </row>
    <row r="35996" spans="1:6" x14ac:dyDescent="0.25">
      <c r="A35996" s="2" t="str">
        <f t="shared" si="1224"/>
        <v>99999</v>
      </c>
      <c r="B35996" s="2" t="str">
        <f>"31051"</f>
        <v>31051</v>
      </c>
      <c r="C35996" s="1">
        <v>0</v>
      </c>
      <c r="D35996" s="1">
        <v>1.51760267340886E-6</v>
      </c>
      <c r="E35996" s="1">
        <v>4.3455399550671099E-6</v>
      </c>
      <c r="F35996" s="1">
        <v>1.9897026916598501E-7</v>
      </c>
    </row>
    <row r="35997" spans="1:6" x14ac:dyDescent="0.25">
      <c r="A35997" s="2" t="str">
        <f t="shared" si="1224"/>
        <v>99999</v>
      </c>
      <c r="B35997" s="2" t="str">
        <f>"31038"</f>
        <v>31038</v>
      </c>
      <c r="C35997" s="1">
        <v>1.52793423945654E-6</v>
      </c>
      <c r="D35997" s="1">
        <v>0</v>
      </c>
      <c r="E35997" s="1">
        <v>0</v>
      </c>
      <c r="F35997" s="1">
        <v>1.39279188416189E-6</v>
      </c>
    </row>
    <row r="35998" spans="1:6" x14ac:dyDescent="0.25">
      <c r="A35998" s="2" t="str">
        <f t="shared" si="1224"/>
        <v>99999</v>
      </c>
      <c r="B35998" s="2" t="str">
        <f>"31054"</f>
        <v>31054</v>
      </c>
      <c r="C35998" s="1">
        <v>7.9998271251546197E-5</v>
      </c>
      <c r="D35998" s="1">
        <v>1.03196981791803E-4</v>
      </c>
      <c r="E35998" s="1">
        <v>2.1727699775335501E-5</v>
      </c>
      <c r="F35998" s="1">
        <v>8.0185018473892005E-5</v>
      </c>
    </row>
    <row r="35999" spans="1:6" x14ac:dyDescent="0.25">
      <c r="A35999" s="2" t="str">
        <f t="shared" si="1224"/>
        <v>99999</v>
      </c>
      <c r="B35999" s="2" t="str">
        <f>"31023"</f>
        <v>31023</v>
      </c>
      <c r="C35999" s="1">
        <v>7.9212476499825697E-4</v>
      </c>
      <c r="D35999" s="1">
        <v>1.05018104999893E-3</v>
      </c>
      <c r="E35999" s="1">
        <v>4.6931831514724801E-4</v>
      </c>
      <c r="F35999" s="1">
        <v>8.0165121446975404E-4</v>
      </c>
    </row>
    <row r="36000" spans="1:6" x14ac:dyDescent="0.25">
      <c r="A36000" s="2" t="str">
        <f t="shared" si="1224"/>
        <v>99999</v>
      </c>
      <c r="B36000" s="2" t="str">
        <f>"31031"</f>
        <v>31031</v>
      </c>
      <c r="C36000" s="1">
        <v>2.4097705719428901E-4</v>
      </c>
      <c r="D36000" s="1">
        <v>2.12464374277241E-4</v>
      </c>
      <c r="E36000" s="1">
        <v>5.6492019415872502E-5</v>
      </c>
      <c r="F36000" s="1">
        <v>2.3488440275044501E-4</v>
      </c>
    </row>
    <row r="36001" spans="1:6" x14ac:dyDescent="0.25">
      <c r="A36001" s="2" t="str">
        <f t="shared" si="1224"/>
        <v>99999</v>
      </c>
      <c r="B36001" s="2" t="str">
        <f>"31001"</f>
        <v>31001</v>
      </c>
      <c r="C36001" s="1">
        <v>1.6589000314099601E-4</v>
      </c>
      <c r="D36001" s="1">
        <v>1.69971499421793E-4</v>
      </c>
      <c r="E36001" s="1">
        <v>9.1256339056409395E-5</v>
      </c>
      <c r="F36001" s="1">
        <v>1.6444892746568599E-4</v>
      </c>
    </row>
    <row r="36002" spans="1:6" x14ac:dyDescent="0.25">
      <c r="A36002" s="2" t="str">
        <f t="shared" si="1224"/>
        <v>99999</v>
      </c>
      <c r="B36002" s="2" t="str">
        <f>"30810"</f>
        <v>30810</v>
      </c>
      <c r="C36002" s="1">
        <v>1.13285410039706E-4</v>
      </c>
      <c r="D36002" s="1">
        <v>1.01679379118394E-4</v>
      </c>
      <c r="E36002" s="1">
        <v>1.3036619865201299E-5</v>
      </c>
      <c r="F36002" s="1">
        <v>1.1022952911795499E-4</v>
      </c>
    </row>
    <row r="36003" spans="1:6" x14ac:dyDescent="0.25">
      <c r="A36003" s="2" t="str">
        <f t="shared" si="1224"/>
        <v>99999</v>
      </c>
      <c r="B36003" s="2" t="str">
        <f>"30635"</f>
        <v>30635</v>
      </c>
      <c r="C36003" s="1">
        <v>8.5062281873745E-4</v>
      </c>
      <c r="D36003" s="1">
        <v>1.2626454242761699E-3</v>
      </c>
      <c r="E36003" s="1">
        <v>7.12668552631007E-4</v>
      </c>
      <c r="F36003" s="1">
        <v>8.7447433298450496E-4</v>
      </c>
    </row>
    <row r="36004" spans="1:6" x14ac:dyDescent="0.25">
      <c r="A36004" s="2" t="str">
        <f t="shared" si="1224"/>
        <v>99999</v>
      </c>
      <c r="B36004" s="2" t="str">
        <f>"30631"</f>
        <v>30631</v>
      </c>
      <c r="C36004" s="1">
        <v>1.2441750235574699E-4</v>
      </c>
      <c r="D36004" s="1">
        <v>5.0080888222492601E-5</v>
      </c>
      <c r="E36004" s="1">
        <v>1.3036619865201299E-5</v>
      </c>
      <c r="F36004" s="1">
        <v>1.16994518269599E-4</v>
      </c>
    </row>
    <row r="36005" spans="1:6" x14ac:dyDescent="0.25">
      <c r="A36005" s="2" t="str">
        <f t="shared" si="1224"/>
        <v>99999</v>
      </c>
      <c r="B36005" s="2" t="str">
        <f>"30665"</f>
        <v>30665</v>
      </c>
      <c r="C36005" s="1">
        <v>0</v>
      </c>
      <c r="D36005" s="1">
        <v>0</v>
      </c>
      <c r="E36005" s="1">
        <v>4.3455399550671099E-6</v>
      </c>
      <c r="F36005" s="1">
        <v>9.9485134582992598E-8</v>
      </c>
    </row>
    <row r="36006" spans="1:6" x14ac:dyDescent="0.25">
      <c r="A36006" s="2" t="str">
        <f t="shared" si="1224"/>
        <v>99999</v>
      </c>
      <c r="B36006" s="2" t="str">
        <f>"30662"</f>
        <v>30662</v>
      </c>
      <c r="C36006" s="1">
        <v>4.1963622505074299E-4</v>
      </c>
      <c r="D36006" s="1">
        <v>5.6303059183469004E-4</v>
      </c>
      <c r="E36006" s="1">
        <v>1.9120375802295301E-4</v>
      </c>
      <c r="F36006" s="1">
        <v>4.23806673323548E-4</v>
      </c>
    </row>
    <row r="36007" spans="1:6" x14ac:dyDescent="0.25">
      <c r="A36007" s="2" t="str">
        <f t="shared" si="1224"/>
        <v>99999</v>
      </c>
      <c r="B36007" s="2" t="str">
        <f>"30597"</f>
        <v>30597</v>
      </c>
      <c r="C36007" s="1">
        <v>0</v>
      </c>
      <c r="D36007" s="1">
        <v>1.21408213872709E-5</v>
      </c>
      <c r="E36007" s="1">
        <v>8.69107991013423E-6</v>
      </c>
      <c r="F36007" s="1">
        <v>9.9485134582992606E-7</v>
      </c>
    </row>
    <row r="36008" spans="1:6" x14ac:dyDescent="0.25">
      <c r="A36008" s="2" t="str">
        <f t="shared" si="1224"/>
        <v>99999</v>
      </c>
      <c r="B36008" s="2" t="str">
        <f>"30514"</f>
        <v>30514</v>
      </c>
      <c r="C36008" s="1">
        <v>1.8979126017249501E-4</v>
      </c>
      <c r="D36008" s="1">
        <v>7.0265003778830599E-4</v>
      </c>
      <c r="E36008" s="1">
        <v>4.3455399550671099E-6</v>
      </c>
      <c r="F36008" s="1">
        <v>2.1916575148633199E-4</v>
      </c>
    </row>
    <row r="36009" spans="1:6" x14ac:dyDescent="0.25">
      <c r="A36009" s="2" t="str">
        <f t="shared" si="1224"/>
        <v>99999</v>
      </c>
      <c r="B36009" s="2" t="str">
        <f>"30557"</f>
        <v>30557</v>
      </c>
      <c r="C36009" s="1">
        <v>1.3936943027042899E-4</v>
      </c>
      <c r="D36009" s="1">
        <v>3.3387258814995101E-5</v>
      </c>
      <c r="E36009" s="1">
        <v>1.3036619865201299E-5</v>
      </c>
      <c r="F36009" s="1">
        <v>1.29529645227056E-4</v>
      </c>
    </row>
    <row r="36010" spans="1:6" x14ac:dyDescent="0.25">
      <c r="A36010" s="2" t="str">
        <f t="shared" si="1224"/>
        <v>99999</v>
      </c>
      <c r="B36010" s="2" t="str">
        <f>"30534"</f>
        <v>30534</v>
      </c>
      <c r="C36010" s="1">
        <v>1.8891815489280501E-4</v>
      </c>
      <c r="D36010" s="1">
        <v>1.9728834754315301E-5</v>
      </c>
      <c r="E36010" s="1">
        <v>1.3036619865201299E-5</v>
      </c>
      <c r="F36010" s="1">
        <v>1.73800530116488E-4</v>
      </c>
    </row>
    <row r="36011" spans="1:6" x14ac:dyDescent="0.25">
      <c r="A36011" s="2" t="str">
        <f t="shared" si="1224"/>
        <v>99999</v>
      </c>
      <c r="B36011" s="2" t="str">
        <f>"30477"</f>
        <v>30477</v>
      </c>
      <c r="C36011" s="1">
        <v>1.03026423003355E-4</v>
      </c>
      <c r="D36011" s="1">
        <v>3.7940066835221703E-5</v>
      </c>
      <c r="E36011" s="1">
        <v>4.7800939505738197E-5</v>
      </c>
      <c r="F36011" s="1">
        <v>9.7495431891332702E-5</v>
      </c>
    </row>
    <row r="36012" spans="1:6" x14ac:dyDescent="0.25">
      <c r="A36012" s="2" t="str">
        <f t="shared" si="1224"/>
        <v>99999</v>
      </c>
      <c r="B36012" s="2" t="str">
        <f>"30457"</f>
        <v>30457</v>
      </c>
      <c r="C36012" s="1">
        <v>1.52793423945654E-6</v>
      </c>
      <c r="D36012" s="1">
        <v>4.5528080202265997E-6</v>
      </c>
      <c r="E36012" s="1">
        <v>0</v>
      </c>
      <c r="F36012" s="1">
        <v>1.6912472879108699E-6</v>
      </c>
    </row>
    <row r="36013" spans="1:6" x14ac:dyDescent="0.25">
      <c r="A36013" s="2" t="str">
        <f t="shared" si="1224"/>
        <v>99999</v>
      </c>
      <c r="B36013" s="2" t="str">
        <f>"30420"</f>
        <v>30420</v>
      </c>
      <c r="C36013" s="1">
        <v>1.0291728484339401E-4</v>
      </c>
      <c r="D36013" s="1">
        <v>3.0352053468177301E-5</v>
      </c>
      <c r="E36013" s="1">
        <v>8.69107991013423E-6</v>
      </c>
      <c r="F36013" s="1">
        <v>9.6003154872587799E-5</v>
      </c>
    </row>
    <row r="36014" spans="1:6" x14ac:dyDescent="0.25">
      <c r="A36014" s="2" t="str">
        <f t="shared" si="1224"/>
        <v>99999</v>
      </c>
      <c r="B36014" s="2" t="str">
        <f>"30413"</f>
        <v>30413</v>
      </c>
      <c r="C36014" s="1">
        <v>8.16353436509639E-5</v>
      </c>
      <c r="D36014" s="1">
        <v>3.3387258814995101E-5</v>
      </c>
      <c r="E36014" s="1">
        <v>0</v>
      </c>
      <c r="F36014" s="1">
        <v>7.6603553628904302E-5</v>
      </c>
    </row>
    <row r="36015" spans="1:6" x14ac:dyDescent="0.25">
      <c r="A36015" s="2" t="str">
        <f t="shared" si="1224"/>
        <v>99999</v>
      </c>
      <c r="B36015" s="2" t="str">
        <f>"30455"</f>
        <v>30455</v>
      </c>
      <c r="C36015" s="1">
        <v>4.0926809985443098E-5</v>
      </c>
      <c r="D36015" s="1">
        <v>1.66936294074975E-5</v>
      </c>
      <c r="E36015" s="1">
        <v>4.3455399550671099E-6</v>
      </c>
      <c r="F36015" s="1">
        <v>3.8500747083618101E-5</v>
      </c>
    </row>
    <row r="36016" spans="1:6" x14ac:dyDescent="0.25">
      <c r="A36016" s="2" t="str">
        <f t="shared" si="1224"/>
        <v>99999</v>
      </c>
      <c r="B36016" s="2" t="str">
        <f>"30450"</f>
        <v>30450</v>
      </c>
      <c r="C36016" s="1">
        <v>7.63967119728272E-7</v>
      </c>
      <c r="D36016" s="1">
        <v>0</v>
      </c>
      <c r="E36016" s="1">
        <v>0</v>
      </c>
      <c r="F36016" s="1">
        <v>6.9639594208094799E-7</v>
      </c>
    </row>
    <row r="36017" spans="1:6" x14ac:dyDescent="0.25">
      <c r="A36017" s="2" t="str">
        <f t="shared" si="1224"/>
        <v>99999</v>
      </c>
      <c r="B36017" s="2" t="str">
        <f>"30428"</f>
        <v>30428</v>
      </c>
      <c r="C36017" s="1">
        <v>9.2221745167198505E-5</v>
      </c>
      <c r="D36017" s="1">
        <v>3.0352053468177301E-5</v>
      </c>
      <c r="E36017" s="1">
        <v>5.21464794608054E-5</v>
      </c>
      <c r="F36017" s="1">
        <v>8.7248463029284499E-5</v>
      </c>
    </row>
    <row r="36018" spans="1:6" x14ac:dyDescent="0.25">
      <c r="A36018" s="2" t="str">
        <f t="shared" si="1224"/>
        <v>99999</v>
      </c>
      <c r="B36018" s="2" t="str">
        <f>"05866"</f>
        <v>05866</v>
      </c>
      <c r="C36018" s="1">
        <v>2.19367701521975E-5</v>
      </c>
      <c r="D36018" s="1">
        <v>6.0704106936354696E-6</v>
      </c>
      <c r="E36018" s="1">
        <v>0</v>
      </c>
      <c r="F36018" s="1">
        <v>2.0394452589513401E-5</v>
      </c>
    </row>
    <row r="36019" spans="1:6" x14ac:dyDescent="0.25">
      <c r="A36019" s="2" t="str">
        <f t="shared" si="1224"/>
        <v>99999</v>
      </c>
      <c r="B36019" s="2" t="str">
        <f>"05859"</f>
        <v>05859</v>
      </c>
      <c r="C36019" s="1">
        <v>1.3140234459326199E-4</v>
      </c>
      <c r="D36019" s="1">
        <v>5.9186504262945899E-5</v>
      </c>
      <c r="E36019" s="1">
        <v>2.3031361761855699E-4</v>
      </c>
      <c r="F36019" s="1">
        <v>1.28932734419558E-4</v>
      </c>
    </row>
    <row r="36020" spans="1:6" x14ac:dyDescent="0.25">
      <c r="A36020" s="2" t="str">
        <f t="shared" si="1224"/>
        <v>99999</v>
      </c>
      <c r="B36020" s="2" t="str">
        <f>"05850"</f>
        <v>05850</v>
      </c>
      <c r="C36020" s="1">
        <v>9.0584672767780794E-6</v>
      </c>
      <c r="D36020" s="1">
        <v>4.5528080202265997E-6</v>
      </c>
      <c r="E36020" s="1">
        <v>4.3455399550671103E-5</v>
      </c>
      <c r="F36020" s="1">
        <v>9.5505729199672898E-6</v>
      </c>
    </row>
    <row r="36021" spans="1:6" x14ac:dyDescent="0.25">
      <c r="A36021" s="2" t="str">
        <f t="shared" si="1224"/>
        <v>99999</v>
      </c>
      <c r="B36021" s="2" t="str">
        <f>"05851"</f>
        <v>05851</v>
      </c>
      <c r="C36021" s="1">
        <v>2.2307839896065499E-4</v>
      </c>
      <c r="D36021" s="1">
        <v>1.6086588338134E-4</v>
      </c>
      <c r="E36021" s="1">
        <v>2.4769577743882499E-4</v>
      </c>
      <c r="F36021" s="1">
        <v>2.1956369202466401E-4</v>
      </c>
    </row>
    <row r="36022" spans="1:6" x14ac:dyDescent="0.25">
      <c r="A36022" s="2" t="str">
        <f t="shared" si="1224"/>
        <v>99999</v>
      </c>
      <c r="B36022" s="2" t="str">
        <f>"05840"</f>
        <v>05840</v>
      </c>
      <c r="C36022" s="1">
        <v>0</v>
      </c>
      <c r="D36022" s="1">
        <v>1.51760267340886E-6</v>
      </c>
      <c r="E36022" s="1">
        <v>0</v>
      </c>
      <c r="F36022" s="1">
        <v>9.9485134582992598E-8</v>
      </c>
    </row>
    <row r="36023" spans="1:6" x14ac:dyDescent="0.25">
      <c r="A36023" s="2" t="str">
        <f t="shared" si="1224"/>
        <v>99999</v>
      </c>
      <c r="B36023" s="2" t="str">
        <f>"05842"</f>
        <v>05842</v>
      </c>
      <c r="C36023" s="1">
        <v>3.1868342708665002E-5</v>
      </c>
      <c r="D36023" s="1">
        <v>1.66936294074975E-5</v>
      </c>
      <c r="E36023" s="1">
        <v>0</v>
      </c>
      <c r="F36023" s="1">
        <v>3.01439957786467E-5</v>
      </c>
    </row>
    <row r="36024" spans="1:6" x14ac:dyDescent="0.25">
      <c r="A36024" s="2" t="str">
        <f t="shared" si="1224"/>
        <v>99999</v>
      </c>
      <c r="B36024" s="2" t="str">
        <f>"05841"</f>
        <v>05841</v>
      </c>
      <c r="C36024" s="1">
        <v>2.58657439108E-5</v>
      </c>
      <c r="D36024" s="1">
        <v>1.66936294074975E-5</v>
      </c>
      <c r="E36024" s="1">
        <v>8.69107991013423E-6</v>
      </c>
      <c r="F36024" s="1">
        <v>2.48712836457481E-5</v>
      </c>
    </row>
    <row r="36025" spans="1:6" x14ac:dyDescent="0.25">
      <c r="A36025" s="2" t="str">
        <f t="shared" si="1224"/>
        <v>99999</v>
      </c>
      <c r="B36025" s="2" t="str">
        <f>"05491"</f>
        <v>05491</v>
      </c>
      <c r="C36025" s="1">
        <v>3.0427718997177398E-4</v>
      </c>
      <c r="D36025" s="1">
        <v>3.0503813735518201E-4</v>
      </c>
      <c r="E36025" s="1">
        <v>5.4753803433845599E-4</v>
      </c>
      <c r="F36025" s="1">
        <v>3.0989619422602197E-4</v>
      </c>
    </row>
    <row r="36026" spans="1:6" x14ac:dyDescent="0.25">
      <c r="A36026" s="2" t="str">
        <f t="shared" si="1224"/>
        <v>99999</v>
      </c>
      <c r="B36026" s="2" t="str">
        <f>"05456"</f>
        <v>05456</v>
      </c>
      <c r="C36026" s="1">
        <v>5.7952362939387498E-5</v>
      </c>
      <c r="D36026" s="1">
        <v>2.7316848121359601E-5</v>
      </c>
      <c r="E36026" s="1">
        <v>2.60732397304027E-5</v>
      </c>
      <c r="F36026" s="1">
        <v>5.5214249693560902E-5</v>
      </c>
    </row>
    <row r="36027" spans="1:6" x14ac:dyDescent="0.25">
      <c r="A36027" s="2" t="str">
        <f t="shared" si="1224"/>
        <v>99999</v>
      </c>
      <c r="B36027" s="2" t="str">
        <f>"05442"</f>
        <v>05442</v>
      </c>
      <c r="C36027" s="1">
        <v>1.87717635133232E-5</v>
      </c>
      <c r="D36027" s="1">
        <v>4.5528080202265997E-6</v>
      </c>
      <c r="E36027" s="1">
        <v>4.3455399550671099E-6</v>
      </c>
      <c r="F36027" s="1">
        <v>1.7509383686606702E-5</v>
      </c>
    </row>
    <row r="36028" spans="1:6" x14ac:dyDescent="0.25">
      <c r="A36028" s="2" t="str">
        <f t="shared" si="1224"/>
        <v>99999</v>
      </c>
      <c r="B36028" s="2" t="str">
        <f>"05358"</f>
        <v>05358</v>
      </c>
      <c r="C36028" s="1">
        <v>1.33148555152641E-5</v>
      </c>
      <c r="D36028" s="1">
        <v>3.0352053468177301E-6</v>
      </c>
      <c r="E36028" s="1">
        <v>4.3455399550671099E-6</v>
      </c>
      <c r="F36028" s="1">
        <v>1.2435641822873999E-5</v>
      </c>
    </row>
    <row r="36029" spans="1:6" x14ac:dyDescent="0.25">
      <c r="A36029" s="2" t="str">
        <f t="shared" si="1224"/>
        <v>99999</v>
      </c>
      <c r="B36029" s="2" t="str">
        <f>"05360"</f>
        <v>05360</v>
      </c>
      <c r="C36029" s="1">
        <v>2.3792118871537602E-5</v>
      </c>
      <c r="D36029" s="1">
        <v>1.51760267340886E-6</v>
      </c>
      <c r="E36029" s="1">
        <v>4.3455399550671099E-6</v>
      </c>
      <c r="F36029" s="1">
        <v>2.1886729608258301E-5</v>
      </c>
    </row>
    <row r="36030" spans="1:6" x14ac:dyDescent="0.25">
      <c r="A36030" s="2" t="str">
        <f t="shared" si="1224"/>
        <v>99999</v>
      </c>
      <c r="B36030" s="2" t="str">
        <f>"05301"</f>
        <v>05301</v>
      </c>
      <c r="C36030" s="1">
        <v>9.0366396447858399E-4</v>
      </c>
      <c r="D36030" s="1">
        <v>1.74979588244042E-3</v>
      </c>
      <c r="E36030" s="1">
        <v>4.6627643717870098E-3</v>
      </c>
      <c r="F36030" s="1">
        <v>1.04519082392892E-3</v>
      </c>
    </row>
    <row r="36031" spans="1:6" x14ac:dyDescent="0.25">
      <c r="A36031" s="2" t="str">
        <f t="shared" si="1224"/>
        <v>99999</v>
      </c>
      <c r="B36031" s="2" t="str">
        <f>"05154"</f>
        <v>05154</v>
      </c>
      <c r="C36031" s="1">
        <v>6.5482895976709E-6</v>
      </c>
      <c r="D36031" s="1">
        <v>3.0352053468177301E-6</v>
      </c>
      <c r="E36031" s="1">
        <v>0</v>
      </c>
      <c r="F36031" s="1">
        <v>6.1680783441455402E-6</v>
      </c>
    </row>
    <row r="36032" spans="1:6" x14ac:dyDescent="0.25">
      <c r="A36032" s="2" t="str">
        <f t="shared" si="1224"/>
        <v>99999</v>
      </c>
      <c r="B36032" s="2" t="str">
        <f>"05141"</f>
        <v>05141</v>
      </c>
      <c r="C36032" s="1">
        <v>3.2741447988354498E-7</v>
      </c>
      <c r="D36032" s="1">
        <v>0</v>
      </c>
      <c r="E36032" s="1">
        <v>4.3455399550671099E-6</v>
      </c>
      <c r="F36032" s="1">
        <v>3.9794053833197002E-7</v>
      </c>
    </row>
    <row r="36033" spans="1:6" x14ac:dyDescent="0.25">
      <c r="A36033" s="2" t="str">
        <f t="shared" si="1224"/>
        <v>99999</v>
      </c>
      <c r="B36033" s="2" t="str">
        <f>"04987"</f>
        <v>04987</v>
      </c>
      <c r="C36033" s="1">
        <v>5.0530968062027098E-5</v>
      </c>
      <c r="D36033" s="1">
        <v>7.5880133670443404E-6</v>
      </c>
      <c r="E36033" s="1">
        <v>2.0424037788815399E-4</v>
      </c>
      <c r="F36033" s="1">
        <v>5.1234844310241199E-5</v>
      </c>
    </row>
    <row r="36034" spans="1:6" x14ac:dyDescent="0.25">
      <c r="A36034" s="2" t="str">
        <f t="shared" si="1224"/>
        <v>99999</v>
      </c>
      <c r="B36034" s="2" t="str">
        <f>"04986"</f>
        <v>04986</v>
      </c>
      <c r="C36034" s="1">
        <v>8.3163277890420395E-5</v>
      </c>
      <c r="D36034" s="1">
        <v>3.1869656141586203E-5</v>
      </c>
      <c r="E36034" s="1">
        <v>8.2565259146275205E-5</v>
      </c>
      <c r="F36034" s="1">
        <v>7.9787077935559997E-5</v>
      </c>
    </row>
    <row r="36035" spans="1:6" x14ac:dyDescent="0.25">
      <c r="A36035" s="2" t="str">
        <f t="shared" si="1224"/>
        <v>99999</v>
      </c>
      <c r="B36035" s="2" t="str">
        <f>"04973"</f>
        <v>04973</v>
      </c>
      <c r="C36035" s="1">
        <v>6.8211349975738495E-5</v>
      </c>
      <c r="D36035" s="1">
        <v>2.4281642774541899E-5</v>
      </c>
      <c r="E36035" s="1">
        <v>2.1727699775335501E-5</v>
      </c>
      <c r="F36035" s="1">
        <v>6.4267396940613205E-5</v>
      </c>
    </row>
    <row r="36036" spans="1:6" x14ac:dyDescent="0.25">
      <c r="A36036" s="2" t="str">
        <f t="shared" si="1224"/>
        <v>99999</v>
      </c>
      <c r="B36036" s="2" t="str">
        <f>"04958"</f>
        <v>04958</v>
      </c>
      <c r="C36036" s="1">
        <v>8.8729324048440706E-5</v>
      </c>
      <c r="D36036" s="1">
        <v>2.5799245447950699E-5</v>
      </c>
      <c r="E36036" s="1">
        <v>7.3874179236140894E-5</v>
      </c>
      <c r="F36036" s="1">
        <v>8.4263908991794706E-5</v>
      </c>
    </row>
    <row r="36037" spans="1:6" x14ac:dyDescent="0.25">
      <c r="A36037" s="2" t="str">
        <f t="shared" si="1224"/>
        <v>99999</v>
      </c>
      <c r="B36037" s="2" t="str">
        <f>"04936"</f>
        <v>04936</v>
      </c>
      <c r="C36037" s="1">
        <v>8.5127764769721692E-6</v>
      </c>
      <c r="D36037" s="1">
        <v>1.21408213872709E-5</v>
      </c>
      <c r="E36037" s="1">
        <v>4.3455399550671099E-6</v>
      </c>
      <c r="F36037" s="1">
        <v>8.6552067087203506E-6</v>
      </c>
    </row>
    <row r="36038" spans="1:6" x14ac:dyDescent="0.25">
      <c r="A36038" s="2" t="str">
        <f t="shared" si="1224"/>
        <v>99999</v>
      </c>
      <c r="B36038" s="2" t="str">
        <f>"04951"</f>
        <v>04951</v>
      </c>
      <c r="C36038" s="1">
        <v>5.1840625981561303E-5</v>
      </c>
      <c r="D36038" s="1">
        <v>9.1056160404532095E-6</v>
      </c>
      <c r="E36038" s="1">
        <v>4.3455399550671103E-5</v>
      </c>
      <c r="F36038" s="1">
        <v>4.8847201080249302E-5</v>
      </c>
    </row>
    <row r="36039" spans="1:6" x14ac:dyDescent="0.25">
      <c r="A36039" s="2" t="str">
        <f t="shared" si="1224"/>
        <v>99999</v>
      </c>
      <c r="B36039" s="2" t="str">
        <f>"04923"</f>
        <v>04923</v>
      </c>
      <c r="C36039" s="1">
        <v>2.6847987350450699E-5</v>
      </c>
      <c r="D36039" s="1">
        <v>9.1056160404532095E-6</v>
      </c>
      <c r="E36039" s="1">
        <v>1.7382159820268399E-5</v>
      </c>
      <c r="F36039" s="1">
        <v>2.5468194453246102E-5</v>
      </c>
    </row>
    <row r="36040" spans="1:6" x14ac:dyDescent="0.25">
      <c r="A36040" s="2" t="str">
        <f t="shared" si="1224"/>
        <v>99999</v>
      </c>
      <c r="B36040" s="2" t="str">
        <f>"04924"</f>
        <v>04924</v>
      </c>
      <c r="C36040" s="1">
        <v>1.03244699323277E-4</v>
      </c>
      <c r="D36040" s="1">
        <v>5.3116093569310399E-5</v>
      </c>
      <c r="E36040" s="1">
        <v>4.3455399550671103E-5</v>
      </c>
      <c r="F36040" s="1">
        <v>9.8589768371745706E-5</v>
      </c>
    </row>
    <row r="36041" spans="1:6" x14ac:dyDescent="0.25">
      <c r="A36041" s="2" t="str">
        <f t="shared" si="1224"/>
        <v>99999</v>
      </c>
      <c r="B36041" s="2" t="str">
        <f>"04911"</f>
        <v>04911</v>
      </c>
      <c r="C36041" s="1">
        <v>9.3749679406655094E-5</v>
      </c>
      <c r="D36041" s="1">
        <v>1.3658424060679801E-5</v>
      </c>
      <c r="E36041" s="1">
        <v>3.0418779685469802E-5</v>
      </c>
      <c r="F36041" s="1">
        <v>8.7049492760118502E-5</v>
      </c>
    </row>
    <row r="36042" spans="1:6" x14ac:dyDescent="0.25">
      <c r="A36042" s="2" t="str">
        <f t="shared" si="1224"/>
        <v>99999</v>
      </c>
      <c r="B36042" s="2" t="str">
        <f>"04851"</f>
        <v>04851</v>
      </c>
      <c r="C36042" s="1">
        <v>0</v>
      </c>
      <c r="D36042" s="1">
        <v>0</v>
      </c>
      <c r="E36042" s="1">
        <v>4.3455399550671099E-6</v>
      </c>
      <c r="F36042" s="1">
        <v>9.9485134582992598E-8</v>
      </c>
    </row>
    <row r="36043" spans="1:6" x14ac:dyDescent="0.25">
      <c r="A36043" s="2" t="str">
        <f t="shared" si="1224"/>
        <v>99999</v>
      </c>
      <c r="B36043" s="2" t="str">
        <f>"04855"</f>
        <v>04855</v>
      </c>
      <c r="C36043" s="1">
        <v>0</v>
      </c>
      <c r="D36043" s="1">
        <v>0</v>
      </c>
      <c r="E36043" s="1">
        <v>4.3455399550671099E-6</v>
      </c>
      <c r="F36043" s="1">
        <v>9.9485134582992598E-8</v>
      </c>
    </row>
    <row r="36044" spans="1:6" x14ac:dyDescent="0.25">
      <c r="A36044" s="2" t="str">
        <f t="shared" si="1224"/>
        <v>99999</v>
      </c>
      <c r="B36044" s="2" t="str">
        <f>"04856"</f>
        <v>04856</v>
      </c>
      <c r="C36044" s="1">
        <v>2.8234041981957701E-4</v>
      </c>
      <c r="D36044" s="1">
        <v>5.0687929291856203E-4</v>
      </c>
      <c r="E36044" s="1">
        <v>2.6507793725909402E-4</v>
      </c>
      <c r="F36044" s="1">
        <v>2.9666467132648402E-4</v>
      </c>
    </row>
    <row r="36045" spans="1:6" x14ac:dyDescent="0.25">
      <c r="A36045" s="2" t="str">
        <f t="shared" si="1224"/>
        <v>99999</v>
      </c>
      <c r="B36045" s="2" t="str">
        <f>"04853"</f>
        <v>04853</v>
      </c>
      <c r="C36045" s="1">
        <v>2.9358165029557801E-5</v>
      </c>
      <c r="D36045" s="1">
        <v>9.1056160404532095E-6</v>
      </c>
      <c r="E36045" s="1">
        <v>4.3455399550671099E-6</v>
      </c>
      <c r="F36045" s="1">
        <v>2.7457897144905899E-5</v>
      </c>
    </row>
    <row r="36046" spans="1:6" x14ac:dyDescent="0.25">
      <c r="A36046" s="2" t="str">
        <f t="shared" si="1224"/>
        <v>99999</v>
      </c>
      <c r="B36046" s="2" t="str">
        <f>"04862"</f>
        <v>04862</v>
      </c>
      <c r="C36046" s="1">
        <v>1.7189260193886099E-4</v>
      </c>
      <c r="D36046" s="1">
        <v>6.6774517629990203E-5</v>
      </c>
      <c r="E36046" s="1">
        <v>5.6492019415872502E-5</v>
      </c>
      <c r="F36046" s="1">
        <v>1.62359739639443E-4</v>
      </c>
    </row>
    <row r="36047" spans="1:6" x14ac:dyDescent="0.25">
      <c r="A36047" s="2" t="str">
        <f t="shared" si="1224"/>
        <v>99999</v>
      </c>
      <c r="B36047" s="2" t="str">
        <f>"04775"</f>
        <v>04775</v>
      </c>
      <c r="C36047" s="1">
        <v>0</v>
      </c>
      <c r="D36047" s="1">
        <v>0</v>
      </c>
      <c r="E36047" s="1">
        <v>4.3455399550671099E-6</v>
      </c>
      <c r="F36047" s="1">
        <v>9.9485134582992598E-8</v>
      </c>
    </row>
    <row r="36048" spans="1:6" x14ac:dyDescent="0.25">
      <c r="A36048" s="2" t="str">
        <f t="shared" si="1224"/>
        <v>99999</v>
      </c>
      <c r="B36048" s="2" t="str">
        <f>"04693"</f>
        <v>04693</v>
      </c>
      <c r="C36048" s="1">
        <v>2.1718493832275099E-5</v>
      </c>
      <c r="D36048" s="1">
        <v>4.5528080202265997E-6</v>
      </c>
      <c r="E36048" s="1">
        <v>3.47643196405369E-5</v>
      </c>
      <c r="F36048" s="1">
        <v>2.08918782624284E-5</v>
      </c>
    </row>
    <row r="36049" spans="1:6" x14ac:dyDescent="0.25">
      <c r="A36049" s="2" t="str">
        <f t="shared" si="1224"/>
        <v>99999</v>
      </c>
      <c r="B36049" s="2" t="str">
        <f>"04738"</f>
        <v>04738</v>
      </c>
      <c r="C36049" s="1">
        <v>0</v>
      </c>
      <c r="D36049" s="1">
        <v>0</v>
      </c>
      <c r="E36049" s="1">
        <v>4.3455399550671099E-6</v>
      </c>
      <c r="F36049" s="1">
        <v>9.9485134582992598E-8</v>
      </c>
    </row>
    <row r="36050" spans="1:6" x14ac:dyDescent="0.25">
      <c r="A36050" s="2" t="str">
        <f t="shared" ref="A36050:A36113" si="1225">"99999"</f>
        <v>99999</v>
      </c>
      <c r="B36050" s="2" t="str">
        <f>"04737"</f>
        <v>04737</v>
      </c>
      <c r="C36050" s="1">
        <v>0</v>
      </c>
      <c r="D36050" s="1">
        <v>0</v>
      </c>
      <c r="E36050" s="1">
        <v>4.3455399550671099E-6</v>
      </c>
      <c r="F36050" s="1">
        <v>9.9485134582992598E-8</v>
      </c>
    </row>
    <row r="36051" spans="1:6" x14ac:dyDescent="0.25">
      <c r="A36051" s="2" t="str">
        <f t="shared" si="1225"/>
        <v>99999</v>
      </c>
      <c r="B36051" s="2" t="str">
        <f>"04657"</f>
        <v>04657</v>
      </c>
      <c r="C36051" s="1">
        <v>2.9030750549674299E-5</v>
      </c>
      <c r="D36051" s="1">
        <v>4.5528080202265997E-6</v>
      </c>
      <c r="E36051" s="1">
        <v>8.69107991013423E-6</v>
      </c>
      <c r="F36051" s="1">
        <v>2.6960471471991001E-5</v>
      </c>
    </row>
    <row r="36052" spans="1:6" x14ac:dyDescent="0.25">
      <c r="A36052" s="2" t="str">
        <f t="shared" si="1225"/>
        <v>99999</v>
      </c>
      <c r="B36052" s="2" t="str">
        <f>"04654"</f>
        <v>04654</v>
      </c>
      <c r="C36052" s="1">
        <v>1.93611095771136E-4</v>
      </c>
      <c r="D36052" s="1">
        <v>2.88344507947685E-4</v>
      </c>
      <c r="E36052" s="1">
        <v>5.9099343388912704E-4</v>
      </c>
      <c r="F36052" s="1">
        <v>2.08918782624284E-4</v>
      </c>
    </row>
    <row r="36053" spans="1:6" x14ac:dyDescent="0.25">
      <c r="A36053" s="2" t="str">
        <f t="shared" si="1225"/>
        <v>99999</v>
      </c>
      <c r="B36053" s="2" t="str">
        <f>"04640"</f>
        <v>04640</v>
      </c>
      <c r="C36053" s="1">
        <v>1.30529239313573E-4</v>
      </c>
      <c r="D36053" s="1">
        <v>8.1950544364078906E-5</v>
      </c>
      <c r="E36053" s="1">
        <v>2.99842256899631E-4</v>
      </c>
      <c r="F36053" s="1">
        <v>1.31220892514967E-4</v>
      </c>
    </row>
    <row r="36054" spans="1:6" x14ac:dyDescent="0.25">
      <c r="A36054" s="2" t="str">
        <f t="shared" si="1225"/>
        <v>99999</v>
      </c>
      <c r="B36054" s="2" t="str">
        <f>"04612"</f>
        <v>04612</v>
      </c>
      <c r="C36054" s="1">
        <v>2.1063664872508E-5</v>
      </c>
      <c r="D36054" s="1">
        <v>3.0352053468177301E-6</v>
      </c>
      <c r="E36054" s="1">
        <v>4.3455399550671099E-6</v>
      </c>
      <c r="F36054" s="1">
        <v>1.9499086378266499E-5</v>
      </c>
    </row>
    <row r="36055" spans="1:6" x14ac:dyDescent="0.25">
      <c r="A36055" s="2" t="str">
        <f t="shared" si="1225"/>
        <v>99999</v>
      </c>
      <c r="B36055" s="2" t="str">
        <f>"04614"</f>
        <v>04614</v>
      </c>
      <c r="C36055" s="1">
        <v>2.6618797214532201E-4</v>
      </c>
      <c r="D36055" s="1">
        <v>2.4736923576564501E-4</v>
      </c>
      <c r="E36055" s="1">
        <v>3.2156995667496598E-4</v>
      </c>
      <c r="F36055" s="1">
        <v>2.66222220144088E-4</v>
      </c>
    </row>
    <row r="36056" spans="1:6" x14ac:dyDescent="0.25">
      <c r="A36056" s="2" t="str">
        <f t="shared" si="1225"/>
        <v>99999</v>
      </c>
      <c r="B36056" s="2" t="str">
        <f>"04558"</f>
        <v>04558</v>
      </c>
      <c r="C36056" s="1">
        <v>2.9685579509441402E-5</v>
      </c>
      <c r="D36056" s="1">
        <v>3.0352053468177301E-6</v>
      </c>
      <c r="E36056" s="1">
        <v>1.3036619865201299E-5</v>
      </c>
      <c r="F36056" s="1">
        <v>2.7557382279488901E-5</v>
      </c>
    </row>
    <row r="36057" spans="1:6" x14ac:dyDescent="0.25">
      <c r="A36057" s="2" t="str">
        <f t="shared" si="1225"/>
        <v>99999</v>
      </c>
      <c r="B36057" s="2" t="str">
        <f>"04554"</f>
        <v>04554</v>
      </c>
      <c r="C36057" s="1">
        <v>5.91528826989605E-5</v>
      </c>
      <c r="D36057" s="1">
        <v>1.8211232080906399E-5</v>
      </c>
      <c r="E36057" s="1">
        <v>4.7800939505738197E-5</v>
      </c>
      <c r="F36057" s="1">
        <v>5.6209101039390799E-5</v>
      </c>
    </row>
    <row r="36058" spans="1:6" x14ac:dyDescent="0.25">
      <c r="A36058" s="2" t="str">
        <f t="shared" si="1225"/>
        <v>99999</v>
      </c>
      <c r="B36058" s="2" t="str">
        <f>"04485"</f>
        <v>04485</v>
      </c>
      <c r="C36058" s="1">
        <v>1.20051975957299E-5</v>
      </c>
      <c r="D36058" s="1">
        <v>0</v>
      </c>
      <c r="E36058" s="1">
        <v>8.69107991013423E-6</v>
      </c>
      <c r="F36058" s="1">
        <v>1.11423350732951E-5</v>
      </c>
    </row>
    <row r="36059" spans="1:6" x14ac:dyDescent="0.25">
      <c r="A36059" s="2" t="str">
        <f t="shared" si="1225"/>
        <v>99999</v>
      </c>
      <c r="B36059" s="2" t="str">
        <f>"04459"</f>
        <v>04459</v>
      </c>
      <c r="C36059" s="1">
        <v>5.2386316781367196E-6</v>
      </c>
      <c r="D36059" s="1">
        <v>0</v>
      </c>
      <c r="E36059" s="1">
        <v>1.7382159820268399E-5</v>
      </c>
      <c r="F36059" s="1">
        <v>5.1732269983156102E-6</v>
      </c>
    </row>
    <row r="36060" spans="1:6" x14ac:dyDescent="0.25">
      <c r="A36060" s="2" t="str">
        <f t="shared" si="1225"/>
        <v>99999</v>
      </c>
      <c r="B36060" s="2" t="str">
        <f>"04478"</f>
        <v>04478</v>
      </c>
      <c r="C36060" s="1">
        <v>3.20866190285874E-5</v>
      </c>
      <c r="D36060" s="1">
        <v>3.0352053468177301E-6</v>
      </c>
      <c r="E36060" s="1">
        <v>4.3455399550671099E-6</v>
      </c>
      <c r="F36060" s="1">
        <v>2.95470849711488E-5</v>
      </c>
    </row>
    <row r="36061" spans="1:6" x14ac:dyDescent="0.25">
      <c r="A36061" s="2" t="str">
        <f t="shared" si="1225"/>
        <v>99999</v>
      </c>
      <c r="B36061" s="2" t="str">
        <f>"04476"</f>
        <v>04476</v>
      </c>
      <c r="C36061" s="1">
        <v>6.6683415736282001E-5</v>
      </c>
      <c r="D36061" s="1">
        <v>1.21408213872709E-5</v>
      </c>
      <c r="E36061" s="1">
        <v>2.60732397304027E-5</v>
      </c>
      <c r="F36061" s="1">
        <v>6.2178209114370297E-5</v>
      </c>
    </row>
    <row r="36062" spans="1:6" x14ac:dyDescent="0.25">
      <c r="A36062" s="2" t="str">
        <f t="shared" si="1225"/>
        <v>99999</v>
      </c>
      <c r="B36062" s="2" t="str">
        <f>"04471"</f>
        <v>04471</v>
      </c>
      <c r="C36062" s="1">
        <v>4.81299285428811E-5</v>
      </c>
      <c r="D36062" s="1">
        <v>1.0623218713862E-5</v>
      </c>
      <c r="E36062" s="1">
        <v>8.69107991013423E-6</v>
      </c>
      <c r="F36062" s="1">
        <v>4.47683105623466E-5</v>
      </c>
    </row>
    <row r="36063" spans="1:6" x14ac:dyDescent="0.25">
      <c r="A36063" s="2" t="str">
        <f t="shared" si="1225"/>
        <v>99999</v>
      </c>
      <c r="B36063" s="2" t="str">
        <f>"04292"</f>
        <v>04292</v>
      </c>
      <c r="C36063" s="1">
        <v>5.2713731261250698E-5</v>
      </c>
      <c r="D36063" s="1">
        <v>1.0623218713862E-5</v>
      </c>
      <c r="E36063" s="1">
        <v>2.60732397304027E-5</v>
      </c>
      <c r="F36063" s="1">
        <v>4.9344626753164302E-5</v>
      </c>
    </row>
    <row r="36064" spans="1:6" x14ac:dyDescent="0.25">
      <c r="A36064" s="2" t="str">
        <f t="shared" si="1225"/>
        <v>99999</v>
      </c>
      <c r="B36064" s="2" t="str">
        <f>"04267"</f>
        <v>04267</v>
      </c>
      <c r="C36064" s="1">
        <v>0</v>
      </c>
      <c r="D36064" s="1">
        <v>0</v>
      </c>
      <c r="E36064" s="1">
        <v>4.3455399550671099E-6</v>
      </c>
      <c r="F36064" s="1">
        <v>9.9485134582992598E-8</v>
      </c>
    </row>
    <row r="36065" spans="1:6" x14ac:dyDescent="0.25">
      <c r="A36065" s="2" t="str">
        <f t="shared" si="1225"/>
        <v>99999</v>
      </c>
      <c r="B36065" s="2" t="str">
        <f>"04268"</f>
        <v>04268</v>
      </c>
      <c r="C36065" s="1">
        <v>3.45203999957217E-4</v>
      </c>
      <c r="D36065" s="1">
        <v>5.6454819450809897E-4</v>
      </c>
      <c r="E36065" s="1">
        <v>8.25652591462752E-4</v>
      </c>
      <c r="F36065" s="1">
        <v>3.7058212632164699E-4</v>
      </c>
    </row>
    <row r="36066" spans="1:6" x14ac:dyDescent="0.25">
      <c r="A36066" s="2" t="str">
        <f t="shared" si="1225"/>
        <v>99999</v>
      </c>
      <c r="B36066" s="2" t="str">
        <f>"04221"</f>
        <v>04221</v>
      </c>
      <c r="C36066" s="1">
        <v>4.3109573184666699E-5</v>
      </c>
      <c r="D36066" s="1">
        <v>9.1056160404532095E-6</v>
      </c>
      <c r="E36066" s="1">
        <v>5.6492019415872502E-5</v>
      </c>
      <c r="F36066" s="1">
        <v>4.1186845717358898E-5</v>
      </c>
    </row>
    <row r="36067" spans="1:6" x14ac:dyDescent="0.25">
      <c r="A36067" s="2" t="str">
        <f t="shared" si="1225"/>
        <v>99999</v>
      </c>
      <c r="B36067" s="2" t="str">
        <f>"04224"</f>
        <v>04224</v>
      </c>
      <c r="C36067" s="1">
        <v>1.30420101153612E-4</v>
      </c>
      <c r="D36067" s="1">
        <v>2.88344507947685E-5</v>
      </c>
      <c r="E36067" s="1">
        <v>9.9947418966543598E-5</v>
      </c>
      <c r="F36067" s="1">
        <v>1.23063111479161E-4</v>
      </c>
    </row>
    <row r="36068" spans="1:6" x14ac:dyDescent="0.25">
      <c r="A36068" s="2" t="str">
        <f t="shared" si="1225"/>
        <v>99999</v>
      </c>
      <c r="B36068" s="2" t="str">
        <f>"04217"</f>
        <v>04217</v>
      </c>
      <c r="C36068" s="1">
        <v>1.6905500977986999E-4</v>
      </c>
      <c r="D36068" s="1">
        <v>6.8292120303399095E-5</v>
      </c>
      <c r="E36068" s="1">
        <v>6.5183099326006705E-5</v>
      </c>
      <c r="F36068" s="1">
        <v>1.6007158154403501E-4</v>
      </c>
    </row>
    <row r="36069" spans="1:6" x14ac:dyDescent="0.25">
      <c r="A36069" s="2" t="str">
        <f t="shared" si="1225"/>
        <v>99999</v>
      </c>
      <c r="B36069" s="2" t="str">
        <f>"04016"</f>
        <v>04016</v>
      </c>
      <c r="C36069" s="1">
        <v>0</v>
      </c>
      <c r="D36069" s="1">
        <v>0</v>
      </c>
      <c r="E36069" s="1">
        <v>4.3455399550671099E-6</v>
      </c>
      <c r="F36069" s="1">
        <v>9.9485134582992598E-8</v>
      </c>
    </row>
    <row r="36070" spans="1:6" x14ac:dyDescent="0.25">
      <c r="A36070" s="2" t="str">
        <f t="shared" si="1225"/>
        <v>99999</v>
      </c>
      <c r="B36070" s="2" t="str">
        <f>"03883"</f>
        <v>03883</v>
      </c>
      <c r="C36070" s="1">
        <v>7.5305330373215401E-6</v>
      </c>
      <c r="D36070" s="1">
        <v>9.1056160404532095E-6</v>
      </c>
      <c r="E36070" s="1">
        <v>4.3455399550671099E-6</v>
      </c>
      <c r="F36070" s="1">
        <v>7.5608702283074398E-6</v>
      </c>
    </row>
    <row r="36071" spans="1:6" x14ac:dyDescent="0.25">
      <c r="A36071" s="2" t="str">
        <f t="shared" si="1225"/>
        <v>99999</v>
      </c>
      <c r="B36071" s="2" t="str">
        <f>"03897"</f>
        <v>03897</v>
      </c>
      <c r="C36071" s="1">
        <v>7.7488093572439E-6</v>
      </c>
      <c r="D36071" s="1">
        <v>0</v>
      </c>
      <c r="E36071" s="1">
        <v>0</v>
      </c>
      <c r="F36071" s="1">
        <v>7.0634445553924701E-6</v>
      </c>
    </row>
    <row r="36072" spans="1:6" x14ac:dyDescent="0.25">
      <c r="A36072" s="2" t="str">
        <f t="shared" si="1225"/>
        <v>99999</v>
      </c>
      <c r="B36072" s="2" t="str">
        <f>"03860"</f>
        <v>03860</v>
      </c>
      <c r="C36072" s="1">
        <v>3.6310265819085102E-4</v>
      </c>
      <c r="D36072" s="1">
        <v>8.3771667572169503E-4</v>
      </c>
      <c r="E36072" s="1">
        <v>1.47748358472281E-4</v>
      </c>
      <c r="F36072" s="1">
        <v>3.8928533162324998E-4</v>
      </c>
    </row>
    <row r="36073" spans="1:6" x14ac:dyDescent="0.25">
      <c r="A36073" s="2" t="str">
        <f t="shared" si="1225"/>
        <v>99999</v>
      </c>
      <c r="B36073" s="2" t="str">
        <f>"03818"</f>
        <v>03818</v>
      </c>
      <c r="C36073" s="1">
        <v>3.8012821114479498E-4</v>
      </c>
      <c r="D36073" s="1">
        <v>1.16703645585142E-3</v>
      </c>
      <c r="E36073" s="1">
        <v>1.9989483793308701E-4</v>
      </c>
      <c r="F36073" s="1">
        <v>4.2758710843770201E-4</v>
      </c>
    </row>
    <row r="36074" spans="1:6" x14ac:dyDescent="0.25">
      <c r="A36074" s="2" t="str">
        <f t="shared" si="1225"/>
        <v>99999</v>
      </c>
      <c r="B36074" s="2" t="str">
        <f>"99666"</f>
        <v>99666</v>
      </c>
      <c r="C36074" s="1">
        <v>0</v>
      </c>
      <c r="D36074" s="1">
        <v>0</v>
      </c>
      <c r="E36074" s="1">
        <v>4.3455399550671099E-6</v>
      </c>
      <c r="F36074" s="1">
        <v>9.9485134582992598E-8</v>
      </c>
    </row>
    <row r="36075" spans="1:6" x14ac:dyDescent="0.25">
      <c r="A36075" s="2" t="str">
        <f t="shared" si="1225"/>
        <v>99999</v>
      </c>
      <c r="B36075" s="2" t="str">
        <f>"99684"</f>
        <v>99684</v>
      </c>
      <c r="C36075" s="1">
        <v>0</v>
      </c>
      <c r="D36075" s="1">
        <v>0</v>
      </c>
      <c r="E36075" s="1">
        <v>4.3455399550671099E-6</v>
      </c>
      <c r="F36075" s="1">
        <v>9.9485134582992598E-8</v>
      </c>
    </row>
    <row r="36076" spans="1:6" x14ac:dyDescent="0.25">
      <c r="A36076" s="2" t="str">
        <f t="shared" si="1225"/>
        <v>99999</v>
      </c>
      <c r="B36076" s="2" t="str">
        <f>"99659"</f>
        <v>99659</v>
      </c>
      <c r="C36076" s="1">
        <v>0</v>
      </c>
      <c r="D36076" s="1">
        <v>1.51760267340886E-6</v>
      </c>
      <c r="E36076" s="1">
        <v>4.3455399550671099E-6</v>
      </c>
      <c r="F36076" s="1">
        <v>1.9897026916598501E-7</v>
      </c>
    </row>
    <row r="36077" spans="1:6" x14ac:dyDescent="0.25">
      <c r="A36077" s="2" t="str">
        <f t="shared" si="1225"/>
        <v>99999</v>
      </c>
      <c r="B36077" s="2" t="str">
        <f>"99571"</f>
        <v>99571</v>
      </c>
      <c r="C36077" s="1">
        <v>0</v>
      </c>
      <c r="D36077" s="1">
        <v>0</v>
      </c>
      <c r="E36077" s="1">
        <v>8.69107991013423E-6</v>
      </c>
      <c r="F36077" s="1">
        <v>1.9897026916598501E-7</v>
      </c>
    </row>
    <row r="36078" spans="1:6" x14ac:dyDescent="0.25">
      <c r="A36078" s="2" t="str">
        <f t="shared" si="1225"/>
        <v>99999</v>
      </c>
      <c r="B36078" s="2" t="str">
        <f>"99636"</f>
        <v>99636</v>
      </c>
      <c r="C36078" s="1">
        <v>0</v>
      </c>
      <c r="D36078" s="1">
        <v>0</v>
      </c>
      <c r="E36078" s="1">
        <v>4.3455399550671099E-6</v>
      </c>
      <c r="F36078" s="1">
        <v>9.9485134582992598E-8</v>
      </c>
    </row>
    <row r="36079" spans="1:6" x14ac:dyDescent="0.25">
      <c r="A36079" s="2" t="str">
        <f t="shared" si="1225"/>
        <v>99999</v>
      </c>
      <c r="B36079" s="2" t="str">
        <f>"99631"</f>
        <v>99631</v>
      </c>
      <c r="C36079" s="1">
        <v>1.6370723994177199E-6</v>
      </c>
      <c r="D36079" s="1">
        <v>1.51760267340886E-6</v>
      </c>
      <c r="E36079" s="1">
        <v>4.3455399550671099E-6</v>
      </c>
      <c r="F36079" s="1">
        <v>1.6912472879108699E-6</v>
      </c>
    </row>
    <row r="36080" spans="1:6" x14ac:dyDescent="0.25">
      <c r="A36080" s="2" t="str">
        <f t="shared" si="1225"/>
        <v>99999</v>
      </c>
      <c r="B36080" s="2" t="str">
        <f>"99648"</f>
        <v>99648</v>
      </c>
      <c r="C36080" s="1">
        <v>0</v>
      </c>
      <c r="D36080" s="1">
        <v>0</v>
      </c>
      <c r="E36080" s="1">
        <v>4.3455399550671099E-6</v>
      </c>
      <c r="F36080" s="1">
        <v>9.9485134582992598E-8</v>
      </c>
    </row>
    <row r="36081" spans="1:6" x14ac:dyDescent="0.25">
      <c r="A36081" s="2" t="str">
        <f t="shared" si="1225"/>
        <v>99999</v>
      </c>
      <c r="B36081" s="2" t="str">
        <f>"99609"</f>
        <v>99609</v>
      </c>
      <c r="C36081" s="1">
        <v>0</v>
      </c>
      <c r="D36081" s="1">
        <v>0</v>
      </c>
      <c r="E36081" s="1">
        <v>4.3455399550671099E-6</v>
      </c>
      <c r="F36081" s="1">
        <v>9.9485134582992598E-8</v>
      </c>
    </row>
    <row r="36082" spans="1:6" x14ac:dyDescent="0.25">
      <c r="A36082" s="2" t="str">
        <f t="shared" si="1225"/>
        <v>99999</v>
      </c>
      <c r="B36082" s="2" t="str">
        <f>"99607"</f>
        <v>99607</v>
      </c>
      <c r="C36082" s="1">
        <v>0</v>
      </c>
      <c r="D36082" s="1">
        <v>0</v>
      </c>
      <c r="E36082" s="1">
        <v>4.3455399550671099E-6</v>
      </c>
      <c r="F36082" s="1">
        <v>9.9485134582992598E-8</v>
      </c>
    </row>
    <row r="36083" spans="1:6" x14ac:dyDescent="0.25">
      <c r="A36083" s="2" t="str">
        <f t="shared" si="1225"/>
        <v>99999</v>
      </c>
      <c r="B36083" s="2" t="str">
        <f>"99586"</f>
        <v>99586</v>
      </c>
      <c r="C36083" s="1">
        <v>2.4774362311188199E-5</v>
      </c>
      <c r="D36083" s="1">
        <v>9.1056160404532095E-6</v>
      </c>
      <c r="E36083" s="1">
        <v>8.69107991013423E-6</v>
      </c>
      <c r="F36083" s="1">
        <v>2.3379006627003201E-5</v>
      </c>
    </row>
    <row r="36084" spans="1:6" x14ac:dyDescent="0.25">
      <c r="A36084" s="2" t="str">
        <f t="shared" si="1225"/>
        <v>99999</v>
      </c>
      <c r="B36084" s="2" t="str">
        <f>"99581"</f>
        <v>99581</v>
      </c>
      <c r="C36084" s="1">
        <v>0</v>
      </c>
      <c r="D36084" s="1">
        <v>3.0352053468177301E-6</v>
      </c>
      <c r="E36084" s="1">
        <v>4.3455399550671099E-6</v>
      </c>
      <c r="F36084" s="1">
        <v>2.9845540374897701E-7</v>
      </c>
    </row>
    <row r="36085" spans="1:6" x14ac:dyDescent="0.25">
      <c r="A36085" s="2" t="str">
        <f t="shared" si="1225"/>
        <v>99999</v>
      </c>
      <c r="B36085" s="2" t="str">
        <f>"99555"</f>
        <v>99555</v>
      </c>
      <c r="C36085" s="1">
        <v>0</v>
      </c>
      <c r="D36085" s="1">
        <v>0</v>
      </c>
      <c r="E36085" s="1">
        <v>4.3455399550671099E-6</v>
      </c>
      <c r="F36085" s="1">
        <v>9.9485134582992598E-8</v>
      </c>
    </row>
    <row r="36086" spans="1:6" x14ac:dyDescent="0.25">
      <c r="A36086" s="2" t="str">
        <f t="shared" si="1225"/>
        <v>99999</v>
      </c>
      <c r="B36086" s="2" t="str">
        <f>"99558"</f>
        <v>99558</v>
      </c>
      <c r="C36086" s="1">
        <v>0</v>
      </c>
      <c r="D36086" s="1">
        <v>0</v>
      </c>
      <c r="E36086" s="1">
        <v>4.3455399550671099E-6</v>
      </c>
      <c r="F36086" s="1">
        <v>9.9485134582992598E-8</v>
      </c>
    </row>
    <row r="36087" spans="1:6" x14ac:dyDescent="0.25">
      <c r="A36087" s="2" t="str">
        <f t="shared" si="1225"/>
        <v>99999</v>
      </c>
      <c r="B36087" s="2" t="str">
        <f>"99788"</f>
        <v>99788</v>
      </c>
      <c r="C36087" s="1">
        <v>0</v>
      </c>
      <c r="D36087" s="1">
        <v>0</v>
      </c>
      <c r="E36087" s="1">
        <v>4.3455399550671099E-6</v>
      </c>
      <c r="F36087" s="1">
        <v>9.9485134582992598E-8</v>
      </c>
    </row>
    <row r="36088" spans="1:6" x14ac:dyDescent="0.25">
      <c r="A36088" s="2" t="str">
        <f t="shared" si="1225"/>
        <v>99999</v>
      </c>
      <c r="B36088" s="2" t="str">
        <f>"99841"</f>
        <v>99841</v>
      </c>
      <c r="C36088" s="1">
        <v>0</v>
      </c>
      <c r="D36088" s="1">
        <v>0</v>
      </c>
      <c r="E36088" s="1">
        <v>4.3455399550671099E-6</v>
      </c>
      <c r="F36088" s="1">
        <v>9.9485134582992598E-8</v>
      </c>
    </row>
    <row r="36089" spans="1:6" x14ac:dyDescent="0.25">
      <c r="A36089" s="2" t="str">
        <f t="shared" si="1225"/>
        <v>99999</v>
      </c>
      <c r="B36089" s="2" t="str">
        <f>"99778"</f>
        <v>99778</v>
      </c>
      <c r="C36089" s="1">
        <v>0</v>
      </c>
      <c r="D36089" s="1">
        <v>0</v>
      </c>
      <c r="E36089" s="1">
        <v>4.3455399550671099E-6</v>
      </c>
      <c r="F36089" s="1">
        <v>9.9485134582992598E-8</v>
      </c>
    </row>
    <row r="36090" spans="1:6" x14ac:dyDescent="0.25">
      <c r="A36090" s="2" t="str">
        <f t="shared" si="1225"/>
        <v>99999</v>
      </c>
      <c r="B36090" s="2" t="str">
        <f>"99773"</f>
        <v>99773</v>
      </c>
      <c r="C36090" s="1">
        <v>0</v>
      </c>
      <c r="D36090" s="1">
        <v>0</v>
      </c>
      <c r="E36090" s="1">
        <v>4.3455399550671099E-6</v>
      </c>
      <c r="F36090" s="1">
        <v>9.9485134582992598E-8</v>
      </c>
    </row>
    <row r="36091" spans="1:6" x14ac:dyDescent="0.25">
      <c r="A36091" s="2" t="str">
        <f t="shared" si="1225"/>
        <v>99999</v>
      </c>
      <c r="B36091" s="2" t="str">
        <f>"99760"</f>
        <v>99760</v>
      </c>
      <c r="C36091" s="1">
        <v>1.25508883955359E-5</v>
      </c>
      <c r="D36091" s="1">
        <v>1.51760267340886E-6</v>
      </c>
      <c r="E36091" s="1">
        <v>4.3455399550671099E-6</v>
      </c>
      <c r="F36091" s="1">
        <v>1.1639760746210099E-5</v>
      </c>
    </row>
    <row r="36092" spans="1:6" x14ac:dyDescent="0.25">
      <c r="A36092" s="2" t="str">
        <f t="shared" si="1225"/>
        <v>99999</v>
      </c>
      <c r="B36092" s="2" t="str">
        <f>"99751"</f>
        <v>99751</v>
      </c>
      <c r="C36092" s="1">
        <v>0</v>
      </c>
      <c r="D36092" s="1">
        <v>0</v>
      </c>
      <c r="E36092" s="1">
        <v>4.3455399550671099E-6</v>
      </c>
      <c r="F36092" s="1">
        <v>9.9485134582992598E-8</v>
      </c>
    </row>
    <row r="36093" spans="1:6" x14ac:dyDescent="0.25">
      <c r="A36093" s="2" t="str">
        <f t="shared" si="1225"/>
        <v>99999</v>
      </c>
      <c r="B36093" s="2" t="str">
        <f>"99929"</f>
        <v>99929</v>
      </c>
      <c r="C36093" s="1">
        <v>0</v>
      </c>
      <c r="D36093" s="1">
        <v>0</v>
      </c>
      <c r="E36093" s="1">
        <v>4.3455399550671099E-6</v>
      </c>
      <c r="F36093" s="1">
        <v>9.9485134582992598E-8</v>
      </c>
    </row>
    <row r="36094" spans="1:6" x14ac:dyDescent="0.25">
      <c r="A36094" s="2" t="str">
        <f t="shared" si="1225"/>
        <v>99999</v>
      </c>
      <c r="B36094" s="2" t="str">
        <f>"99745"</f>
        <v>99745</v>
      </c>
      <c r="C36094" s="1">
        <v>0</v>
      </c>
      <c r="D36094" s="1">
        <v>0</v>
      </c>
      <c r="E36094" s="1">
        <v>4.3455399550671099E-6</v>
      </c>
      <c r="F36094" s="1">
        <v>9.9485134582992598E-8</v>
      </c>
    </row>
    <row r="36095" spans="1:6" x14ac:dyDescent="0.25">
      <c r="A36095" s="2" t="str">
        <f t="shared" si="1225"/>
        <v>99999</v>
      </c>
      <c r="B36095" s="2" t="str">
        <f>"99925"</f>
        <v>99925</v>
      </c>
      <c r="C36095" s="1">
        <v>0</v>
      </c>
      <c r="D36095" s="1">
        <v>0</v>
      </c>
      <c r="E36095" s="1">
        <v>4.3455399550671099E-6</v>
      </c>
      <c r="F36095" s="1">
        <v>9.9485134582992598E-8</v>
      </c>
    </row>
    <row r="36096" spans="1:6" x14ac:dyDescent="0.25">
      <c r="A36096" s="2" t="str">
        <f t="shared" si="1225"/>
        <v>99999</v>
      </c>
      <c r="B36096" s="2" t="str">
        <f>"99738"</f>
        <v>99738</v>
      </c>
      <c r="C36096" s="1">
        <v>0</v>
      </c>
      <c r="D36096" s="1">
        <v>0</v>
      </c>
      <c r="E36096" s="1">
        <v>4.3455399550671099E-6</v>
      </c>
      <c r="F36096" s="1">
        <v>9.9485134582992598E-8</v>
      </c>
    </row>
    <row r="36097" spans="1:6" x14ac:dyDescent="0.25">
      <c r="A36097" s="2" t="str">
        <f t="shared" si="1225"/>
        <v>99999</v>
      </c>
      <c r="B36097" s="2" t="str">
        <f>"99154"</f>
        <v>99154</v>
      </c>
      <c r="C36097" s="1">
        <v>1.52793423945654E-6</v>
      </c>
      <c r="D36097" s="1">
        <v>1.51760267340886E-6</v>
      </c>
      <c r="E36097" s="1">
        <v>3.47643196405369E-5</v>
      </c>
      <c r="F36097" s="1">
        <v>2.2881580954088299E-6</v>
      </c>
    </row>
    <row r="36098" spans="1:6" x14ac:dyDescent="0.25">
      <c r="A36098" s="2" t="str">
        <f t="shared" si="1225"/>
        <v>99999</v>
      </c>
      <c r="B36098" s="2" t="str">
        <f>"99153"</f>
        <v>99153</v>
      </c>
      <c r="C36098" s="1">
        <v>1.4078822634992399E-5</v>
      </c>
      <c r="D36098" s="1">
        <v>1.0623218713862E-5</v>
      </c>
      <c r="E36098" s="1">
        <v>9.1690893051916099E-4</v>
      </c>
      <c r="F36098" s="1">
        <v>3.4521341700298397E-5</v>
      </c>
    </row>
    <row r="36099" spans="1:6" x14ac:dyDescent="0.25">
      <c r="A36099" s="2" t="str">
        <f t="shared" si="1225"/>
        <v>99999</v>
      </c>
      <c r="B36099" s="2" t="str">
        <f>"99152"</f>
        <v>99152</v>
      </c>
      <c r="C36099" s="1">
        <v>0</v>
      </c>
      <c r="D36099" s="1">
        <v>0</v>
      </c>
      <c r="E36099" s="1">
        <v>3.0418779685469798E-4</v>
      </c>
      <c r="F36099" s="1">
        <v>6.9639594208094801E-6</v>
      </c>
    </row>
    <row r="36100" spans="1:6" x14ac:dyDescent="0.25">
      <c r="A36100" s="2" t="str">
        <f t="shared" si="1225"/>
        <v>99999</v>
      </c>
      <c r="B36100" s="2" t="str">
        <f>"99156"</f>
        <v>99156</v>
      </c>
      <c r="C36100" s="1">
        <v>4.09268099854431E-4</v>
      </c>
      <c r="D36100" s="1">
        <v>2.7772128923382301E-4</v>
      </c>
      <c r="E36100" s="1">
        <v>4.30208455551644E-4</v>
      </c>
      <c r="F36100" s="1">
        <v>4.0112406263862599E-4</v>
      </c>
    </row>
    <row r="36101" spans="1:6" x14ac:dyDescent="0.25">
      <c r="A36101" s="2" t="str">
        <f t="shared" si="1225"/>
        <v>99999</v>
      </c>
      <c r="B36101" s="2" t="str">
        <f>"99155"</f>
        <v>99155</v>
      </c>
      <c r="C36101" s="1">
        <v>0</v>
      </c>
      <c r="D36101" s="1">
        <v>0</v>
      </c>
      <c r="E36101" s="1">
        <v>5.5622911424858996E-4</v>
      </c>
      <c r="F36101" s="1">
        <v>1.2734097226623E-5</v>
      </c>
    </row>
    <row r="36102" spans="1:6" x14ac:dyDescent="0.25">
      <c r="A36102" s="2" t="str">
        <f t="shared" si="1225"/>
        <v>99999</v>
      </c>
      <c r="B36102" s="2" t="str">
        <f>"99146"</f>
        <v>99146</v>
      </c>
      <c r="C36102" s="1">
        <v>2.1827631992236301E-7</v>
      </c>
      <c r="D36102" s="1">
        <v>0</v>
      </c>
      <c r="E36102" s="1">
        <v>4.3455399550671099E-6</v>
      </c>
      <c r="F36102" s="1">
        <v>2.9845540374897701E-7</v>
      </c>
    </row>
    <row r="36103" spans="1:6" x14ac:dyDescent="0.25">
      <c r="A36103" s="2" t="str">
        <f t="shared" si="1225"/>
        <v>99999</v>
      </c>
      <c r="B36103" s="2" t="str">
        <f>"99121"</f>
        <v>99121</v>
      </c>
      <c r="C36103" s="1">
        <v>3.3832829587966299E-6</v>
      </c>
      <c r="D36103" s="1">
        <v>4.5528080202265997E-6</v>
      </c>
      <c r="E36103" s="1">
        <v>1.8685821806788599E-4</v>
      </c>
      <c r="F36103" s="1">
        <v>7.6603553628904299E-6</v>
      </c>
    </row>
    <row r="36104" spans="1:6" x14ac:dyDescent="0.25">
      <c r="A36104" s="2" t="str">
        <f t="shared" si="1225"/>
        <v>99999</v>
      </c>
      <c r="B36104" s="2" t="str">
        <f>"99141"</f>
        <v>99141</v>
      </c>
      <c r="C36104" s="1">
        <v>5.9807711658727498E-5</v>
      </c>
      <c r="D36104" s="1">
        <v>2.4281642774541899E-5</v>
      </c>
      <c r="E36104" s="1">
        <v>8.2565259146275205E-5</v>
      </c>
      <c r="F36104" s="1">
        <v>5.7999833461884698E-5</v>
      </c>
    </row>
    <row r="36105" spans="1:6" x14ac:dyDescent="0.25">
      <c r="A36105" s="2" t="str">
        <f t="shared" si="1225"/>
        <v>99999</v>
      </c>
      <c r="B36105" s="2" t="str">
        <f>"99139"</f>
        <v>99139</v>
      </c>
      <c r="C36105" s="1">
        <v>9.7460376845335202E-5</v>
      </c>
      <c r="D36105" s="1">
        <v>6.5256914956581297E-5</v>
      </c>
      <c r="E36105" s="1">
        <v>5.43192494383389E-4</v>
      </c>
      <c r="F36105" s="1">
        <v>1.0555372779255501E-4</v>
      </c>
    </row>
    <row r="36106" spans="1:6" x14ac:dyDescent="0.25">
      <c r="A36106" s="2" t="str">
        <f t="shared" si="1225"/>
        <v>99999</v>
      </c>
      <c r="B36106" s="2" t="str">
        <f>"99138"</f>
        <v>99138</v>
      </c>
      <c r="C36106" s="1">
        <v>3.5906454627228697E-5</v>
      </c>
      <c r="D36106" s="1">
        <v>0</v>
      </c>
      <c r="E36106" s="1">
        <v>2.1293145779828799E-4</v>
      </c>
      <c r="F36106" s="1">
        <v>3.7605380872371202E-5</v>
      </c>
    </row>
    <row r="36107" spans="1:6" x14ac:dyDescent="0.25">
      <c r="A36107" s="2" t="str">
        <f t="shared" si="1225"/>
        <v>99999</v>
      </c>
      <c r="B36107" s="2" t="str">
        <f>"99116"</f>
        <v>99116</v>
      </c>
      <c r="C36107" s="1">
        <v>6.2863580137640602E-5</v>
      </c>
      <c r="D36107" s="1">
        <v>4.7045682875674899E-5</v>
      </c>
      <c r="E36107" s="1">
        <v>5.6492019415872502E-5</v>
      </c>
      <c r="F36107" s="1">
        <v>6.1680783441455406E-5</v>
      </c>
    </row>
    <row r="36108" spans="1:6" x14ac:dyDescent="0.25">
      <c r="A36108" s="2" t="str">
        <f t="shared" si="1225"/>
        <v>99999</v>
      </c>
      <c r="B36108" s="2" t="str">
        <f>"99029"</f>
        <v>99029</v>
      </c>
      <c r="C36108" s="1">
        <v>1.6698138474060799E-5</v>
      </c>
      <c r="D36108" s="1">
        <v>4.5528080202265997E-6</v>
      </c>
      <c r="E36108" s="1">
        <v>4.5193615532698002E-4</v>
      </c>
      <c r="F36108" s="1">
        <v>2.5866134991578001E-5</v>
      </c>
    </row>
    <row r="36109" spans="1:6" x14ac:dyDescent="0.25">
      <c r="A36109" s="2" t="str">
        <f t="shared" si="1225"/>
        <v>99999</v>
      </c>
      <c r="B36109" s="2" t="str">
        <f>"98834"</f>
        <v>98834</v>
      </c>
      <c r="C36109" s="1">
        <v>1.9644868793012701E-6</v>
      </c>
      <c r="D36109" s="1">
        <v>3.0352053468177301E-6</v>
      </c>
      <c r="E36109" s="1">
        <v>8.69107991013423E-6</v>
      </c>
      <c r="F36109" s="1">
        <v>2.1886729608258301E-6</v>
      </c>
    </row>
    <row r="36110" spans="1:6" x14ac:dyDescent="0.25">
      <c r="A36110" s="2" t="str">
        <f t="shared" si="1225"/>
        <v>99999</v>
      </c>
      <c r="B36110" s="2" t="str">
        <f>"98935"</f>
        <v>98935</v>
      </c>
      <c r="C36110" s="1">
        <v>3.05586847891308E-6</v>
      </c>
      <c r="D36110" s="1">
        <v>4.5528080202265997E-6</v>
      </c>
      <c r="E36110" s="1">
        <v>0</v>
      </c>
      <c r="F36110" s="1">
        <v>3.0840391720727701E-6</v>
      </c>
    </row>
    <row r="36111" spans="1:6" x14ac:dyDescent="0.25">
      <c r="A36111" s="2" t="str">
        <f t="shared" si="1225"/>
        <v>99999</v>
      </c>
      <c r="B36111" s="2" t="str">
        <f>"98617"</f>
        <v>98617</v>
      </c>
      <c r="C36111" s="1">
        <v>5.8170639259309801E-5</v>
      </c>
      <c r="D36111" s="1">
        <v>3.0352053468177301E-6</v>
      </c>
      <c r="E36111" s="1">
        <v>2.1727699775335501E-5</v>
      </c>
      <c r="F36111" s="1">
        <v>5.3721972674815999E-5</v>
      </c>
    </row>
    <row r="36112" spans="1:6" x14ac:dyDescent="0.25">
      <c r="A36112" s="2" t="str">
        <f t="shared" si="1225"/>
        <v>99999</v>
      </c>
      <c r="B36112" s="2" t="str">
        <f>"98221"</f>
        <v>98221</v>
      </c>
      <c r="C36112" s="1">
        <v>4.8348204862803498E-5</v>
      </c>
      <c r="D36112" s="1">
        <v>1.51760267340886E-6</v>
      </c>
      <c r="E36112" s="1">
        <v>8.69107991013423E-6</v>
      </c>
      <c r="F36112" s="1">
        <v>4.4370370024014701E-5</v>
      </c>
    </row>
    <row r="36113" spans="1:6" x14ac:dyDescent="0.25">
      <c r="A36113" s="2" t="str">
        <f t="shared" si="1225"/>
        <v>99999</v>
      </c>
      <c r="B36113" s="2" t="str">
        <f>"97641"</f>
        <v>97641</v>
      </c>
      <c r="C36113" s="1">
        <v>9.9097449244753001E-5</v>
      </c>
      <c r="D36113" s="1">
        <v>1.51760267340886E-6</v>
      </c>
      <c r="E36113" s="1">
        <v>8.69107991013423E-6</v>
      </c>
      <c r="F36113" s="1">
        <v>9.0630957605106205E-5</v>
      </c>
    </row>
    <row r="36114" spans="1:6" x14ac:dyDescent="0.25">
      <c r="A36114" s="2" t="str">
        <f t="shared" ref="A36114:A36177" si="1226">"99999"</f>
        <v>99999</v>
      </c>
      <c r="B36114" s="2" t="str">
        <f>"97905"</f>
        <v>97905</v>
      </c>
      <c r="C36114" s="1">
        <v>1.3096579195341799E-6</v>
      </c>
      <c r="D36114" s="1">
        <v>0</v>
      </c>
      <c r="E36114" s="1">
        <v>4.3455399550671099E-6</v>
      </c>
      <c r="F36114" s="1">
        <v>1.2933067495789E-6</v>
      </c>
    </row>
    <row r="36115" spans="1:6" x14ac:dyDescent="0.25">
      <c r="A36115" s="2" t="str">
        <f t="shared" si="1226"/>
        <v>99999</v>
      </c>
      <c r="B36115" s="2" t="str">
        <f>"97869"</f>
        <v>97869</v>
      </c>
      <c r="C36115" s="1">
        <v>1.05864015162346E-4</v>
      </c>
      <c r="D36115" s="1">
        <v>0</v>
      </c>
      <c r="E36115" s="1">
        <v>8.69107991013423E-6</v>
      </c>
      <c r="F36115" s="1">
        <v>9.6699550814668796E-5</v>
      </c>
    </row>
    <row r="36116" spans="1:6" x14ac:dyDescent="0.25">
      <c r="A36116" s="2" t="str">
        <f t="shared" si="1226"/>
        <v>99999</v>
      </c>
      <c r="B36116" s="2" t="str">
        <f>"97865"</f>
        <v>97865</v>
      </c>
      <c r="C36116" s="1">
        <v>7.3995672453681198E-5</v>
      </c>
      <c r="D36116" s="1">
        <v>4.5528080202265997E-6</v>
      </c>
      <c r="E36116" s="1">
        <v>4.3455399550671099E-6</v>
      </c>
      <c r="F36116" s="1">
        <v>6.7848861785600894E-5</v>
      </c>
    </row>
    <row r="36117" spans="1:6" x14ac:dyDescent="0.25">
      <c r="A36117" s="2" t="str">
        <f t="shared" si="1226"/>
        <v>99999</v>
      </c>
      <c r="B36117" s="2" t="str">
        <f>"97817"</f>
        <v>97817</v>
      </c>
      <c r="C36117" s="1">
        <v>7.3122567173991701E-6</v>
      </c>
      <c r="D36117" s="1">
        <v>3.0352053468177301E-6</v>
      </c>
      <c r="E36117" s="1">
        <v>1.3036619865201299E-5</v>
      </c>
      <c r="F36117" s="1">
        <v>7.1629296899754602E-6</v>
      </c>
    </row>
    <row r="36118" spans="1:6" x14ac:dyDescent="0.25">
      <c r="A36118" s="2" t="str">
        <f t="shared" si="1226"/>
        <v>99999</v>
      </c>
      <c r="B36118" s="2" t="str">
        <f>"97711"</f>
        <v>97711</v>
      </c>
      <c r="C36118" s="1">
        <v>4.1472500785249E-6</v>
      </c>
      <c r="D36118" s="1">
        <v>4.5528080202265997E-6</v>
      </c>
      <c r="E36118" s="1">
        <v>0</v>
      </c>
      <c r="F36118" s="1">
        <v>4.07889051790269E-6</v>
      </c>
    </row>
    <row r="36119" spans="1:6" x14ac:dyDescent="0.25">
      <c r="A36119" s="2" t="str">
        <f t="shared" si="1226"/>
        <v>99999</v>
      </c>
      <c r="B36119" s="2" t="str">
        <f>"97738"</f>
        <v>97738</v>
      </c>
      <c r="C36119" s="1">
        <v>1.1012040340083199E-4</v>
      </c>
      <c r="D36119" s="1">
        <v>5.15984908959015E-5</v>
      </c>
      <c r="E36119" s="1">
        <v>3.0418779685469802E-5</v>
      </c>
      <c r="F36119" s="1">
        <v>1.04459391312142E-4</v>
      </c>
    </row>
    <row r="36120" spans="1:6" x14ac:dyDescent="0.25">
      <c r="A36120" s="2" t="str">
        <f t="shared" si="1226"/>
        <v>99999</v>
      </c>
      <c r="B36120" s="2" t="str">
        <f>"97149"</f>
        <v>97149</v>
      </c>
      <c r="C36120" s="1">
        <v>5.7843224779426302E-5</v>
      </c>
      <c r="D36120" s="1">
        <v>6.0704106936354696E-6</v>
      </c>
      <c r="E36120" s="1">
        <v>2.60732397304027E-5</v>
      </c>
      <c r="F36120" s="1">
        <v>5.3721972674815999E-5</v>
      </c>
    </row>
    <row r="36121" spans="1:6" x14ac:dyDescent="0.25">
      <c r="A36121" s="2" t="str">
        <f t="shared" si="1226"/>
        <v>99999</v>
      </c>
      <c r="B36121" s="2" t="str">
        <f>"96086"</f>
        <v>96086</v>
      </c>
      <c r="C36121" s="1">
        <v>2.8375921589907201E-6</v>
      </c>
      <c r="D36121" s="1">
        <v>0</v>
      </c>
      <c r="E36121" s="1">
        <v>4.3455399550671099E-6</v>
      </c>
      <c r="F36121" s="1">
        <v>2.6860986337408002E-6</v>
      </c>
    </row>
    <row r="36122" spans="1:6" x14ac:dyDescent="0.25">
      <c r="A36122" s="2" t="str">
        <f t="shared" si="1226"/>
        <v>99999</v>
      </c>
      <c r="B36122" s="2" t="str">
        <f>"96107"</f>
        <v>96107</v>
      </c>
      <c r="C36122" s="1">
        <v>6.63560012563984E-5</v>
      </c>
      <c r="D36122" s="1">
        <v>7.4362530997034595E-5</v>
      </c>
      <c r="E36122" s="1">
        <v>3.9978967586617401E-4</v>
      </c>
      <c r="F36122" s="1">
        <v>7.4514365802661394E-5</v>
      </c>
    </row>
    <row r="36123" spans="1:6" x14ac:dyDescent="0.25">
      <c r="A36123" s="2" t="str">
        <f t="shared" si="1226"/>
        <v>99999</v>
      </c>
      <c r="B36123" s="2" t="str">
        <f>"96067"</f>
        <v>96067</v>
      </c>
      <c r="C36123" s="1">
        <v>5.6424428699930896E-4</v>
      </c>
      <c r="D36123" s="1">
        <v>1.13364919703642E-3</v>
      </c>
      <c r="E36123" s="1">
        <v>1.06031174903637E-3</v>
      </c>
      <c r="F36123" s="1">
        <v>6.1292791416581703E-4</v>
      </c>
    </row>
    <row r="36124" spans="1:6" x14ac:dyDescent="0.25">
      <c r="A36124" s="2" t="str">
        <f t="shared" si="1226"/>
        <v>99999</v>
      </c>
      <c r="B36124" s="2" t="str">
        <f>"95527"</f>
        <v>95527</v>
      </c>
      <c r="C36124" s="1">
        <v>1.6479862154138401E-5</v>
      </c>
      <c r="D36124" s="1">
        <v>1.51760267340886E-6</v>
      </c>
      <c r="E36124" s="1">
        <v>8.69107991013423E-6</v>
      </c>
      <c r="F36124" s="1">
        <v>1.5320710725780799E-5</v>
      </c>
    </row>
    <row r="36125" spans="1:6" x14ac:dyDescent="0.25">
      <c r="A36125" s="2" t="str">
        <f t="shared" si="1226"/>
        <v>99999</v>
      </c>
      <c r="B36125" s="2" t="str">
        <f>"93546"</f>
        <v>93546</v>
      </c>
      <c r="C36125" s="1">
        <v>1.6578086498103499E-4</v>
      </c>
      <c r="D36125" s="1">
        <v>9.8644173771576501E-5</v>
      </c>
      <c r="E36125" s="1">
        <v>1.1341859282725101E-3</v>
      </c>
      <c r="F36125" s="1">
        <v>1.83550073305621E-4</v>
      </c>
    </row>
    <row r="36126" spans="1:6" x14ac:dyDescent="0.25">
      <c r="A36126" s="2" t="str">
        <f t="shared" si="1226"/>
        <v>99999</v>
      </c>
      <c r="B36126" s="2" t="str">
        <f>"93541"</f>
        <v>93541</v>
      </c>
      <c r="C36126" s="1">
        <v>1.04772633562734E-5</v>
      </c>
      <c r="D36126" s="1">
        <v>1.51760267340886E-6</v>
      </c>
      <c r="E36126" s="1">
        <v>8.69107991013423E-6</v>
      </c>
      <c r="F36126" s="1">
        <v>9.8490283237162701E-6</v>
      </c>
    </row>
    <row r="36127" spans="1:6" x14ac:dyDescent="0.25">
      <c r="A36127" s="2" t="str">
        <f t="shared" si="1226"/>
        <v>99999</v>
      </c>
      <c r="B36127" s="2" t="str">
        <f>"68844"</f>
        <v>68844</v>
      </c>
      <c r="C36127" s="1">
        <v>9.0584672767780794E-6</v>
      </c>
      <c r="D36127" s="1">
        <v>6.0704106936354696E-6</v>
      </c>
      <c r="E36127" s="1">
        <v>4.3455399550671099E-6</v>
      </c>
      <c r="F36127" s="1">
        <v>8.7546918433033508E-6</v>
      </c>
    </row>
    <row r="36128" spans="1:6" x14ac:dyDescent="0.25">
      <c r="A36128" s="2" t="str">
        <f t="shared" si="1226"/>
        <v>99999</v>
      </c>
      <c r="B36128" s="2" t="str">
        <f>"68846"</f>
        <v>68846</v>
      </c>
      <c r="C36128" s="1">
        <v>1.57158950344101E-5</v>
      </c>
      <c r="D36128" s="1">
        <v>1.51760267340886E-6</v>
      </c>
      <c r="E36128" s="1">
        <v>8.69107991013423E-6</v>
      </c>
      <c r="F36128" s="1">
        <v>1.4624314783699901E-5</v>
      </c>
    </row>
    <row r="36129" spans="1:6" x14ac:dyDescent="0.25">
      <c r="A36129" s="2" t="str">
        <f t="shared" si="1226"/>
        <v>99999</v>
      </c>
      <c r="B36129" s="2" t="str">
        <f>"68862"</f>
        <v>68862</v>
      </c>
      <c r="C36129" s="1">
        <v>1.8433435217443499E-4</v>
      </c>
      <c r="D36129" s="1">
        <v>3.79400668352217E-4</v>
      </c>
      <c r="E36129" s="1">
        <v>2.8246009707936202E-4</v>
      </c>
      <c r="F36129" s="1">
        <v>1.9936820970431699E-4</v>
      </c>
    </row>
    <row r="36130" spans="1:6" x14ac:dyDescent="0.25">
      <c r="A36130" s="2" t="str">
        <f t="shared" si="1226"/>
        <v>99999</v>
      </c>
      <c r="B36130" s="2" t="str">
        <f>"68856"</f>
        <v>68856</v>
      </c>
      <c r="C36130" s="1">
        <v>3.2741447988354499E-5</v>
      </c>
      <c r="D36130" s="1">
        <v>3.3387258814995101E-5</v>
      </c>
      <c r="E36130" s="1">
        <v>1.3036619865201299E-5</v>
      </c>
      <c r="F36130" s="1">
        <v>3.2332668739472599E-5</v>
      </c>
    </row>
    <row r="36131" spans="1:6" x14ac:dyDescent="0.25">
      <c r="A36131" s="2" t="str">
        <f t="shared" si="1226"/>
        <v>99999</v>
      </c>
      <c r="B36131" s="2" t="str">
        <f>"68855"</f>
        <v>68855</v>
      </c>
      <c r="C36131" s="1">
        <v>2.16093556723139E-5</v>
      </c>
      <c r="D36131" s="1">
        <v>6.0704106936354696E-6</v>
      </c>
      <c r="E36131" s="1">
        <v>4.3455399550671099E-6</v>
      </c>
      <c r="F36131" s="1">
        <v>2.0195482320347499E-5</v>
      </c>
    </row>
    <row r="36132" spans="1:6" x14ac:dyDescent="0.25">
      <c r="A36132" s="2" t="str">
        <f t="shared" si="1226"/>
        <v>99999</v>
      </c>
      <c r="B36132" s="2" t="str">
        <f>"68833"</f>
        <v>68833</v>
      </c>
      <c r="C36132" s="1">
        <v>1.65890003140996E-5</v>
      </c>
      <c r="D36132" s="1">
        <v>4.5528080202265997E-6</v>
      </c>
      <c r="E36132" s="1">
        <v>0</v>
      </c>
      <c r="F36132" s="1">
        <v>1.5420195860363801E-5</v>
      </c>
    </row>
    <row r="36133" spans="1:6" x14ac:dyDescent="0.25">
      <c r="A36133" s="2" t="str">
        <f t="shared" si="1226"/>
        <v>99999</v>
      </c>
      <c r="B36133" s="2" t="str">
        <f>"68822"</f>
        <v>68822</v>
      </c>
      <c r="C36133" s="1">
        <v>2.7055349854376902E-4</v>
      </c>
      <c r="D36133" s="1">
        <v>5.1143210093878904E-4</v>
      </c>
      <c r="E36133" s="1">
        <v>3.2591549663003302E-4</v>
      </c>
      <c r="F36133" s="1">
        <v>2.8761152407943101E-4</v>
      </c>
    </row>
    <row r="36134" spans="1:6" x14ac:dyDescent="0.25">
      <c r="A36134" s="2" t="str">
        <f t="shared" si="1226"/>
        <v>99999</v>
      </c>
      <c r="B36134" s="2" t="str">
        <f>"69334"</f>
        <v>69334</v>
      </c>
      <c r="C36134" s="1">
        <v>1.09465574441065E-4</v>
      </c>
      <c r="D36134" s="1">
        <v>3.0352053468177301E-6</v>
      </c>
      <c r="E36134" s="1">
        <v>3.47643196405369E-5</v>
      </c>
      <c r="F36134" s="1">
        <v>1.00778441332571E-4</v>
      </c>
    </row>
    <row r="36135" spans="1:6" x14ac:dyDescent="0.25">
      <c r="A36135" s="2" t="str">
        <f t="shared" si="1226"/>
        <v>99999</v>
      </c>
      <c r="B36135" s="2" t="str">
        <f>"69218"</f>
        <v>69218</v>
      </c>
      <c r="C36135" s="1">
        <v>1.22234739156523E-5</v>
      </c>
      <c r="D36135" s="1">
        <v>1.51760267340886E-6</v>
      </c>
      <c r="E36135" s="1">
        <v>4.3455399550671099E-6</v>
      </c>
      <c r="F36135" s="1">
        <v>1.13413053424611E-5</v>
      </c>
    </row>
    <row r="36136" spans="1:6" x14ac:dyDescent="0.25">
      <c r="A36136" s="2" t="str">
        <f t="shared" si="1226"/>
        <v>99999</v>
      </c>
      <c r="B36136" s="2" t="str">
        <f>"69214"</f>
        <v>69214</v>
      </c>
      <c r="C36136" s="1">
        <v>1.33148555152641E-5</v>
      </c>
      <c r="D36136" s="1">
        <v>4.5528080202265997E-6</v>
      </c>
      <c r="E36136" s="1">
        <v>4.3455399550671099E-6</v>
      </c>
      <c r="F36136" s="1">
        <v>1.2535126957457E-5</v>
      </c>
    </row>
    <row r="36137" spans="1:6" x14ac:dyDescent="0.25">
      <c r="A36137" s="2" t="str">
        <f t="shared" si="1226"/>
        <v>99999</v>
      </c>
      <c r="B36137" s="2" t="str">
        <f>"68972"</f>
        <v>68972</v>
      </c>
      <c r="C36137" s="1">
        <v>1.23326120756135E-5</v>
      </c>
      <c r="D36137" s="1">
        <v>1.51760267340886E-6</v>
      </c>
      <c r="E36137" s="1">
        <v>4.3455399550671099E-6</v>
      </c>
      <c r="F36137" s="1">
        <v>1.1440790477044101E-5</v>
      </c>
    </row>
    <row r="36138" spans="1:6" x14ac:dyDescent="0.25">
      <c r="A36138" s="2" t="str">
        <f t="shared" si="1226"/>
        <v>99999</v>
      </c>
      <c r="B36138" s="2" t="str">
        <f>"69041"</f>
        <v>69041</v>
      </c>
      <c r="C36138" s="1">
        <v>9.71329623654517E-6</v>
      </c>
      <c r="D36138" s="1">
        <v>6.0704106936354696E-6</v>
      </c>
      <c r="E36138" s="1">
        <v>4.3455399550671099E-6</v>
      </c>
      <c r="F36138" s="1">
        <v>9.3516026508012996E-6</v>
      </c>
    </row>
    <row r="36139" spans="1:6" x14ac:dyDescent="0.25">
      <c r="A36139" s="2" t="str">
        <f t="shared" si="1226"/>
        <v>99999</v>
      </c>
      <c r="B36139" s="2" t="str">
        <f>"69044"</f>
        <v>69044</v>
      </c>
      <c r="C36139" s="1">
        <v>5.6970119499736798E-5</v>
      </c>
      <c r="D36139" s="1">
        <v>8.9538557731123203E-5</v>
      </c>
      <c r="E36139" s="1">
        <v>2.1727699775335501E-5</v>
      </c>
      <c r="F36139" s="1">
        <v>5.8298288865633599E-5</v>
      </c>
    </row>
    <row r="36140" spans="1:6" x14ac:dyDescent="0.25">
      <c r="A36140" s="2" t="str">
        <f t="shared" si="1226"/>
        <v>99999</v>
      </c>
      <c r="B36140" s="2" t="str">
        <f>"69043"</f>
        <v>69043</v>
      </c>
      <c r="C36140" s="1">
        <v>3.4160244067849798E-5</v>
      </c>
      <c r="D36140" s="1">
        <v>4.4010477528857203E-5</v>
      </c>
      <c r="E36140" s="1">
        <v>3.0418779685469802E-5</v>
      </c>
      <c r="F36140" s="1">
        <v>3.4720311969464401E-5</v>
      </c>
    </row>
    <row r="36141" spans="1:6" x14ac:dyDescent="0.25">
      <c r="A36141" s="2" t="str">
        <f t="shared" si="1226"/>
        <v>99999</v>
      </c>
      <c r="B36141" s="2" t="str">
        <f>"69034"</f>
        <v>69034</v>
      </c>
      <c r="C36141" s="1">
        <v>5.2058902301483599E-5</v>
      </c>
      <c r="D36141" s="1">
        <v>2.2764040101133E-5</v>
      </c>
      <c r="E36141" s="1">
        <v>3.47643196405369E-5</v>
      </c>
      <c r="F36141" s="1">
        <v>4.9742567291496302E-5</v>
      </c>
    </row>
    <row r="36142" spans="1:6" x14ac:dyDescent="0.25">
      <c r="A36142" s="2" t="str">
        <f t="shared" si="1226"/>
        <v>99999</v>
      </c>
      <c r="B36142" s="2" t="str">
        <f>"68961"</f>
        <v>68961</v>
      </c>
      <c r="C36142" s="1">
        <v>4.2345606064938499E-5</v>
      </c>
      <c r="D36142" s="1">
        <v>1.66936294074975E-5</v>
      </c>
      <c r="E36142" s="1">
        <v>3.0418779685469802E-5</v>
      </c>
      <c r="F36142" s="1">
        <v>4.0390964640694998E-5</v>
      </c>
    </row>
    <row r="36143" spans="1:6" x14ac:dyDescent="0.25">
      <c r="A36143" s="2" t="str">
        <f t="shared" si="1226"/>
        <v>99999</v>
      </c>
      <c r="B36143" s="2" t="str">
        <f>"69148"</f>
        <v>69148</v>
      </c>
      <c r="C36143" s="1">
        <v>1.386054631507E-5</v>
      </c>
      <c r="D36143" s="1">
        <v>3.0352053468177301E-6</v>
      </c>
      <c r="E36143" s="1">
        <v>0</v>
      </c>
      <c r="F36143" s="1">
        <v>1.2833582361206E-5</v>
      </c>
    </row>
    <row r="36144" spans="1:6" x14ac:dyDescent="0.25">
      <c r="A36144" s="2" t="str">
        <f t="shared" si="1226"/>
        <v>99999</v>
      </c>
      <c r="B36144" s="2" t="str">
        <f>"69128"</f>
        <v>69128</v>
      </c>
      <c r="C36144" s="1">
        <v>1.9099177993206801E-5</v>
      </c>
      <c r="D36144" s="1">
        <v>1.51760267340886E-6</v>
      </c>
      <c r="E36144" s="1">
        <v>8.69107991013423E-6</v>
      </c>
      <c r="F36144" s="1">
        <v>1.77083539557726E-5</v>
      </c>
    </row>
    <row r="36145" spans="1:6" x14ac:dyDescent="0.25">
      <c r="A36145" s="2" t="str">
        <f t="shared" si="1226"/>
        <v>99999</v>
      </c>
      <c r="B36145" s="2" t="str">
        <f>"69161"</f>
        <v>69161</v>
      </c>
      <c r="C36145" s="1">
        <v>6.2208751177873496E-6</v>
      </c>
      <c r="D36145" s="1">
        <v>0</v>
      </c>
      <c r="E36145" s="1">
        <v>4.3455399550671099E-6</v>
      </c>
      <c r="F36145" s="1">
        <v>5.7701378058135699E-6</v>
      </c>
    </row>
    <row r="36146" spans="1:6" x14ac:dyDescent="0.25">
      <c r="A36146" s="2" t="str">
        <f t="shared" si="1226"/>
        <v>99999</v>
      </c>
      <c r="B36146" s="2" t="str">
        <f>"69127"</f>
        <v>69127</v>
      </c>
      <c r="C36146" s="1">
        <v>5.9043744538999298E-5</v>
      </c>
      <c r="D36146" s="1">
        <v>4.8563285549083798E-5</v>
      </c>
      <c r="E36146" s="1">
        <v>4.7800939505738197E-5</v>
      </c>
      <c r="F36146" s="1">
        <v>5.8099318596467703E-5</v>
      </c>
    </row>
    <row r="36147" spans="1:6" x14ac:dyDescent="0.25">
      <c r="A36147" s="2" t="str">
        <f t="shared" si="1226"/>
        <v>99999</v>
      </c>
      <c r="B36147" s="2" t="str">
        <f>"69121"</f>
        <v>69121</v>
      </c>
      <c r="C36147" s="1">
        <v>1.8553487193400799E-5</v>
      </c>
      <c r="D36147" s="1">
        <v>3.0352053468177301E-6</v>
      </c>
      <c r="E36147" s="1">
        <v>4.3455399550671099E-6</v>
      </c>
      <c r="F36147" s="1">
        <v>1.7210928282857699E-5</v>
      </c>
    </row>
    <row r="36148" spans="1:6" x14ac:dyDescent="0.25">
      <c r="A36148" s="2" t="str">
        <f t="shared" si="1226"/>
        <v>99999</v>
      </c>
      <c r="B36148" s="2" t="str">
        <f>"68786"</f>
        <v>68786</v>
      </c>
      <c r="C36148" s="1">
        <v>5.9698573498766397E-5</v>
      </c>
      <c r="D36148" s="1">
        <v>7.5880133670443404E-6</v>
      </c>
      <c r="E36148" s="1">
        <v>2.1727699775335501E-5</v>
      </c>
      <c r="F36148" s="1">
        <v>5.5413219962726798E-5</v>
      </c>
    </row>
    <row r="36149" spans="1:6" x14ac:dyDescent="0.25">
      <c r="A36149" s="2" t="str">
        <f t="shared" si="1226"/>
        <v>99999</v>
      </c>
      <c r="B36149" s="2" t="str">
        <f>"68783"</f>
        <v>68783</v>
      </c>
      <c r="C36149" s="1">
        <v>6.8757040775544405E-5</v>
      </c>
      <c r="D36149" s="1">
        <v>4.7045682875674899E-5</v>
      </c>
      <c r="E36149" s="1">
        <v>4.3455399550671103E-5</v>
      </c>
      <c r="F36149" s="1">
        <v>6.6754525305187998E-5</v>
      </c>
    </row>
    <row r="36150" spans="1:6" x14ac:dyDescent="0.25">
      <c r="A36150" s="2" t="str">
        <f t="shared" si="1226"/>
        <v>99999</v>
      </c>
      <c r="B36150" s="2" t="str">
        <f>"68768"</f>
        <v>68768</v>
      </c>
      <c r="C36150" s="1">
        <v>1.52793423945654E-6</v>
      </c>
      <c r="D36150" s="1">
        <v>1.51760267340886E-6</v>
      </c>
      <c r="E36150" s="1">
        <v>0</v>
      </c>
      <c r="F36150" s="1">
        <v>1.4922770187448801E-6</v>
      </c>
    </row>
    <row r="36151" spans="1:6" x14ac:dyDescent="0.25">
      <c r="A36151" s="2" t="str">
        <f t="shared" si="1226"/>
        <v>99999</v>
      </c>
      <c r="B36151" s="2" t="str">
        <f>"68756"</f>
        <v>68756</v>
      </c>
      <c r="C36151" s="1">
        <v>1.17869212758076E-4</v>
      </c>
      <c r="D36151" s="1">
        <v>3.15661356069044E-4</v>
      </c>
      <c r="E36151" s="1">
        <v>1.47748358472281E-4</v>
      </c>
      <c r="F36151" s="1">
        <v>1.31519347918716E-4</v>
      </c>
    </row>
    <row r="36152" spans="1:6" x14ac:dyDescent="0.25">
      <c r="A36152" s="2" t="str">
        <f t="shared" si="1226"/>
        <v>99999</v>
      </c>
      <c r="B36152" s="2" t="str">
        <f>"68946"</f>
        <v>68946</v>
      </c>
      <c r="C36152" s="1">
        <v>2.7284539990295402E-6</v>
      </c>
      <c r="D36152" s="1">
        <v>3.0352053468177301E-6</v>
      </c>
      <c r="E36152" s="1">
        <v>4.3455399550671099E-6</v>
      </c>
      <c r="F36152" s="1">
        <v>2.7855837683237898E-6</v>
      </c>
    </row>
    <row r="36153" spans="1:6" x14ac:dyDescent="0.25">
      <c r="A36153" s="2" t="str">
        <f t="shared" si="1226"/>
        <v>99999</v>
      </c>
      <c r="B36153" s="2" t="str">
        <f>"68941"</f>
        <v>68941</v>
      </c>
      <c r="C36153" s="1">
        <v>2.13910793523916E-5</v>
      </c>
      <c r="D36153" s="1">
        <v>4.5528080202265997E-6</v>
      </c>
      <c r="E36153" s="1">
        <v>4.3455399550671099E-6</v>
      </c>
      <c r="F36153" s="1">
        <v>1.98970269165985E-5</v>
      </c>
    </row>
    <row r="36154" spans="1:6" x14ac:dyDescent="0.25">
      <c r="A36154" s="2" t="str">
        <f t="shared" si="1226"/>
        <v>99999</v>
      </c>
      <c r="B36154" s="2" t="str">
        <f>"68940"</f>
        <v>68940</v>
      </c>
      <c r="C36154" s="1">
        <v>2.2373322792042201E-5</v>
      </c>
      <c r="D36154" s="1">
        <v>3.0352053468177301E-6</v>
      </c>
      <c r="E36154" s="1">
        <v>1.3036619865201299E-5</v>
      </c>
      <c r="F36154" s="1">
        <v>2.08918782624284E-5</v>
      </c>
    </row>
    <row r="36155" spans="1:6" x14ac:dyDescent="0.25">
      <c r="A36155" s="2" t="str">
        <f t="shared" si="1226"/>
        <v>99999</v>
      </c>
      <c r="B36155" s="2" t="str">
        <f>"68924"</f>
        <v>68924</v>
      </c>
      <c r="C36155" s="1">
        <v>2.07362503926245E-6</v>
      </c>
      <c r="D36155" s="1">
        <v>0</v>
      </c>
      <c r="E36155" s="1">
        <v>0</v>
      </c>
      <c r="F36155" s="1">
        <v>1.89021755707686E-6</v>
      </c>
    </row>
    <row r="36156" spans="1:6" x14ac:dyDescent="0.25">
      <c r="A36156" s="2" t="str">
        <f t="shared" si="1226"/>
        <v>99999</v>
      </c>
      <c r="B36156" s="2" t="str">
        <f>"68869"</f>
        <v>68869</v>
      </c>
      <c r="C36156" s="1">
        <v>8.9493291168169008E-6</v>
      </c>
      <c r="D36156" s="1">
        <v>0</v>
      </c>
      <c r="E36156" s="1">
        <v>4.3455399550671099E-6</v>
      </c>
      <c r="F36156" s="1">
        <v>8.2572661703883803E-6</v>
      </c>
    </row>
    <row r="36157" spans="1:6" x14ac:dyDescent="0.25">
      <c r="A36157" s="2" t="str">
        <f t="shared" si="1226"/>
        <v>99999</v>
      </c>
      <c r="B36157" s="2" t="str">
        <f>"68942"</f>
        <v>68942</v>
      </c>
      <c r="C36157" s="1">
        <v>2.35738425516152E-5</v>
      </c>
      <c r="D36157" s="1">
        <v>3.0352053468177301E-6</v>
      </c>
      <c r="E36157" s="1">
        <v>4.3455399550671099E-6</v>
      </c>
      <c r="F36157" s="1">
        <v>2.1787244473675299E-5</v>
      </c>
    </row>
    <row r="36158" spans="1:6" x14ac:dyDescent="0.25">
      <c r="A36158" s="2" t="str">
        <f t="shared" si="1226"/>
        <v>99999</v>
      </c>
      <c r="B36158" s="2" t="str">
        <f>"68933"</f>
        <v>68933</v>
      </c>
      <c r="C36158" s="1">
        <v>4.8784757502648199E-5</v>
      </c>
      <c r="D36158" s="1">
        <v>1.36584240606798E-4</v>
      </c>
      <c r="E36158" s="1">
        <v>6.0837559370939603E-5</v>
      </c>
      <c r="F36158" s="1">
        <v>5.4816309155228901E-5</v>
      </c>
    </row>
    <row r="36159" spans="1:6" x14ac:dyDescent="0.25">
      <c r="A36159" s="2" t="str">
        <f t="shared" si="1226"/>
        <v>99999</v>
      </c>
      <c r="B36159" s="2" t="str">
        <f>"68875"</f>
        <v>68875</v>
      </c>
      <c r="C36159" s="1">
        <v>2.75028163102177E-5</v>
      </c>
      <c r="D36159" s="1">
        <v>1.3658424060679801E-5</v>
      </c>
      <c r="E36159" s="1">
        <v>1.3036619865201299E-5</v>
      </c>
      <c r="F36159" s="1">
        <v>2.6264075529910002E-5</v>
      </c>
    </row>
    <row r="36160" spans="1:6" x14ac:dyDescent="0.25">
      <c r="A36160" s="2" t="str">
        <f t="shared" si="1226"/>
        <v>99999</v>
      </c>
      <c r="B36160" s="2" t="str">
        <f>"68871"</f>
        <v>68871</v>
      </c>
      <c r="C36160" s="1">
        <v>1.23326120756135E-5</v>
      </c>
      <c r="D36160" s="1">
        <v>1.51760267340886E-6</v>
      </c>
      <c r="E36160" s="1">
        <v>0</v>
      </c>
      <c r="F36160" s="1">
        <v>1.13413053424611E-5</v>
      </c>
    </row>
    <row r="36161" spans="1:6" x14ac:dyDescent="0.25">
      <c r="A36161" s="2" t="str">
        <f t="shared" si="1226"/>
        <v>99999</v>
      </c>
      <c r="B36161" s="2" t="str">
        <f>"68957"</f>
        <v>68957</v>
      </c>
      <c r="C36161" s="1">
        <v>2.1172803032469199E-5</v>
      </c>
      <c r="D36161" s="1">
        <v>1.66936294074975E-5</v>
      </c>
      <c r="E36161" s="1">
        <v>4.3455399550671099E-6</v>
      </c>
      <c r="F36161" s="1">
        <v>2.04939377240964E-5</v>
      </c>
    </row>
    <row r="36162" spans="1:6" x14ac:dyDescent="0.25">
      <c r="A36162" s="2" t="str">
        <f t="shared" si="1226"/>
        <v>99999</v>
      </c>
      <c r="B36162" s="2" t="str">
        <f>"68667"</f>
        <v>68667</v>
      </c>
      <c r="C36162" s="1">
        <v>4.9112171982531701E-6</v>
      </c>
      <c r="D36162" s="1">
        <v>6.0704106936354696E-6</v>
      </c>
      <c r="E36162" s="1">
        <v>1.3036619865201299E-5</v>
      </c>
      <c r="F36162" s="1">
        <v>5.1732269983156102E-6</v>
      </c>
    </row>
    <row r="36163" spans="1:6" x14ac:dyDescent="0.25">
      <c r="A36163" s="2" t="str">
        <f t="shared" si="1226"/>
        <v>99999</v>
      </c>
      <c r="B36163" s="2" t="str">
        <f>"68720"</f>
        <v>68720</v>
      </c>
      <c r="C36163" s="1">
        <v>1.9754006952973801E-5</v>
      </c>
      <c r="D36163" s="1">
        <v>6.0704106936354696E-6</v>
      </c>
      <c r="E36163" s="1">
        <v>4.3455399550671099E-6</v>
      </c>
      <c r="F36163" s="1">
        <v>1.8504235032436599E-5</v>
      </c>
    </row>
    <row r="36164" spans="1:6" x14ac:dyDescent="0.25">
      <c r="A36164" s="2" t="str">
        <f t="shared" si="1226"/>
        <v>99999</v>
      </c>
      <c r="B36164" s="2" t="str">
        <f>"68736"</f>
        <v>68736</v>
      </c>
      <c r="C36164" s="1">
        <v>2.72845399902954E-5</v>
      </c>
      <c r="D36164" s="1">
        <v>9.1056160404532095E-6</v>
      </c>
      <c r="E36164" s="1">
        <v>1.7382159820268399E-5</v>
      </c>
      <c r="F36164" s="1">
        <v>2.5866134991578001E-5</v>
      </c>
    </row>
    <row r="36165" spans="1:6" x14ac:dyDescent="0.25">
      <c r="A36165" s="2" t="str">
        <f t="shared" si="1226"/>
        <v>99999</v>
      </c>
      <c r="B36165" s="2" t="str">
        <f>"68735"</f>
        <v>68735</v>
      </c>
      <c r="C36165" s="1">
        <v>5.9807711658727498E-5</v>
      </c>
      <c r="D36165" s="1">
        <v>1.21408213872709E-5</v>
      </c>
      <c r="E36165" s="1">
        <v>1.3036619865201299E-5</v>
      </c>
      <c r="F36165" s="1">
        <v>5.5612190231892801E-5</v>
      </c>
    </row>
    <row r="36166" spans="1:6" x14ac:dyDescent="0.25">
      <c r="A36166" s="2" t="str">
        <f t="shared" si="1226"/>
        <v>99999</v>
      </c>
      <c r="B36166" s="2" t="str">
        <f>"68711"</f>
        <v>68711</v>
      </c>
      <c r="C36166" s="1">
        <v>1.4297098954914801E-5</v>
      </c>
      <c r="D36166" s="1">
        <v>1.51760267340886E-6</v>
      </c>
      <c r="E36166" s="1">
        <v>0</v>
      </c>
      <c r="F36166" s="1">
        <v>1.3132037764955001E-5</v>
      </c>
    </row>
    <row r="36167" spans="1:6" x14ac:dyDescent="0.25">
      <c r="A36167" s="2" t="str">
        <f t="shared" si="1226"/>
        <v>99999</v>
      </c>
      <c r="B36167" s="2" t="str">
        <f>"68436"</f>
        <v>68436</v>
      </c>
      <c r="C36167" s="1">
        <v>3.1431790068820301E-5</v>
      </c>
      <c r="D36167" s="1">
        <v>3.3387258814995101E-5</v>
      </c>
      <c r="E36167" s="1">
        <v>1.3036619865201299E-5</v>
      </c>
      <c r="F36167" s="1">
        <v>3.1138847124476597E-5</v>
      </c>
    </row>
    <row r="36168" spans="1:6" x14ac:dyDescent="0.25">
      <c r="A36168" s="2" t="str">
        <f t="shared" si="1226"/>
        <v>99999</v>
      </c>
      <c r="B36168" s="2" t="str">
        <f>"68420"</f>
        <v>68420</v>
      </c>
      <c r="C36168" s="1">
        <v>7.6942402772633099E-5</v>
      </c>
      <c r="D36168" s="1">
        <v>2.1246437427724101E-5</v>
      </c>
      <c r="E36168" s="1">
        <v>3.0418779685469802E-5</v>
      </c>
      <c r="F36168" s="1">
        <v>7.2226207707252598E-5</v>
      </c>
    </row>
    <row r="36169" spans="1:6" x14ac:dyDescent="0.25">
      <c r="A36169" s="2" t="str">
        <f t="shared" si="1226"/>
        <v>99999</v>
      </c>
      <c r="B36169" s="2" t="str">
        <f>"68379"</f>
        <v>68379</v>
      </c>
      <c r="C36169" s="1">
        <v>4.8020790382919898E-6</v>
      </c>
      <c r="D36169" s="1">
        <v>4.5528080202265997E-6</v>
      </c>
      <c r="E36169" s="1">
        <v>4.3455399550671099E-6</v>
      </c>
      <c r="F36169" s="1">
        <v>4.7752864599836398E-6</v>
      </c>
    </row>
    <row r="36170" spans="1:6" x14ac:dyDescent="0.25">
      <c r="A36170" s="2" t="str">
        <f t="shared" si="1226"/>
        <v>99999</v>
      </c>
      <c r="B36170" s="2" t="str">
        <f>"68347"</f>
        <v>68347</v>
      </c>
      <c r="C36170" s="1">
        <v>2.0408835912740901E-5</v>
      </c>
      <c r="D36170" s="1">
        <v>1.51760267340886E-6</v>
      </c>
      <c r="E36170" s="1">
        <v>0</v>
      </c>
      <c r="F36170" s="1">
        <v>1.8703205301602599E-5</v>
      </c>
    </row>
    <row r="36171" spans="1:6" x14ac:dyDescent="0.25">
      <c r="A36171" s="2" t="str">
        <f t="shared" si="1226"/>
        <v>99999</v>
      </c>
      <c r="B36171" s="2" t="str">
        <f>"68377"</f>
        <v>68377</v>
      </c>
      <c r="C36171" s="1">
        <v>1.7025552953944301E-5</v>
      </c>
      <c r="D36171" s="1">
        <v>7.5880133670443404E-6</v>
      </c>
      <c r="E36171" s="1">
        <v>8.69107991013423E-6</v>
      </c>
      <c r="F36171" s="1">
        <v>1.6216076937027799E-5</v>
      </c>
    </row>
    <row r="36172" spans="1:6" x14ac:dyDescent="0.25">
      <c r="A36172" s="2" t="str">
        <f t="shared" si="1226"/>
        <v>99999</v>
      </c>
      <c r="B36172" s="2" t="str">
        <f>"68370"</f>
        <v>68370</v>
      </c>
      <c r="C36172" s="1">
        <v>1.1263058107993901E-4</v>
      </c>
      <c r="D36172" s="1">
        <v>2.8682690527427601E-4</v>
      </c>
      <c r="E36172" s="1">
        <v>7.3874179236140894E-5</v>
      </c>
      <c r="F36172" s="1">
        <v>1.2316259661374399E-4</v>
      </c>
    </row>
    <row r="36173" spans="1:6" x14ac:dyDescent="0.25">
      <c r="A36173" s="2" t="str">
        <f t="shared" si="1226"/>
        <v>99999</v>
      </c>
      <c r="B36173" s="2" t="str">
        <f>"68345"</f>
        <v>68345</v>
      </c>
      <c r="C36173" s="1">
        <v>1.2660026555497001E-5</v>
      </c>
      <c r="D36173" s="1">
        <v>6.0704106936354696E-6</v>
      </c>
      <c r="E36173" s="1">
        <v>0</v>
      </c>
      <c r="F36173" s="1">
        <v>1.19382161499591E-5</v>
      </c>
    </row>
    <row r="36174" spans="1:6" x14ac:dyDescent="0.25">
      <c r="A36174" s="2" t="str">
        <f t="shared" si="1226"/>
        <v>99999</v>
      </c>
      <c r="B36174" s="2" t="str">
        <f>"68344"</f>
        <v>68344</v>
      </c>
      <c r="C36174" s="1">
        <v>2.4337809671343498E-5</v>
      </c>
      <c r="D36174" s="1">
        <v>3.0352053468177301E-6</v>
      </c>
      <c r="E36174" s="1">
        <v>8.69107991013423E-6</v>
      </c>
      <c r="F36174" s="1">
        <v>2.2583125550339301E-5</v>
      </c>
    </row>
    <row r="36175" spans="1:6" x14ac:dyDescent="0.25">
      <c r="A36175" s="2" t="str">
        <f t="shared" si="1226"/>
        <v>99999</v>
      </c>
      <c r="B36175" s="2" t="str">
        <f>"68340"</f>
        <v>68340</v>
      </c>
      <c r="C36175" s="1">
        <v>3.1650066388742699E-5</v>
      </c>
      <c r="D36175" s="1">
        <v>2.4281642774541899E-5</v>
      </c>
      <c r="E36175" s="1">
        <v>4.3455399550671099E-6</v>
      </c>
      <c r="F36175" s="1">
        <v>3.0541936316978701E-5</v>
      </c>
    </row>
    <row r="36176" spans="1:6" x14ac:dyDescent="0.25">
      <c r="A36176" s="2" t="str">
        <f t="shared" si="1226"/>
        <v>99999</v>
      </c>
      <c r="B36176" s="2" t="str">
        <f>"68626"</f>
        <v>68626</v>
      </c>
      <c r="C36176" s="1">
        <v>3.8307494146374702E-5</v>
      </c>
      <c r="D36176" s="1">
        <v>1.3658424060679801E-5</v>
      </c>
      <c r="E36176" s="1">
        <v>2.1727699775335501E-5</v>
      </c>
      <c r="F36176" s="1">
        <v>3.6312074122792303E-5</v>
      </c>
    </row>
    <row r="36177" spans="1:6" x14ac:dyDescent="0.25">
      <c r="A36177" s="2" t="str">
        <f t="shared" si="1226"/>
        <v>99999</v>
      </c>
      <c r="B36177" s="2" t="str">
        <f>"68627"</f>
        <v>68627</v>
      </c>
      <c r="C36177" s="1">
        <v>3.3941967747927502E-5</v>
      </c>
      <c r="D36177" s="1">
        <v>2.4281642774541899E-5</v>
      </c>
      <c r="E36177" s="1">
        <v>8.69107991013423E-6</v>
      </c>
      <c r="F36177" s="1">
        <v>3.2730609277804499E-5</v>
      </c>
    </row>
    <row r="36178" spans="1:6" x14ac:dyDescent="0.25">
      <c r="A36178" s="2" t="str">
        <f t="shared" ref="A36178:A36241" si="1227">"99999"</f>
        <v>99999</v>
      </c>
      <c r="B36178" s="2" t="str">
        <f>"68636"</f>
        <v>68636</v>
      </c>
      <c r="C36178" s="1">
        <v>7.4104810613642393E-5</v>
      </c>
      <c r="D36178" s="1">
        <v>7.2844928323625703E-5</v>
      </c>
      <c r="E36178" s="1">
        <v>3.47643196405369E-5</v>
      </c>
      <c r="F36178" s="1">
        <v>7.3121573918499496E-5</v>
      </c>
    </row>
    <row r="36179" spans="1:6" x14ac:dyDescent="0.25">
      <c r="A36179" s="2" t="str">
        <f t="shared" si="1227"/>
        <v>99999</v>
      </c>
      <c r="B36179" s="2" t="str">
        <f>"68629"</f>
        <v>68629</v>
      </c>
      <c r="C36179" s="1">
        <v>7.3668257973797597E-5</v>
      </c>
      <c r="D36179" s="1">
        <v>1.8211232080906399E-5</v>
      </c>
      <c r="E36179" s="1">
        <v>2.60732397304027E-5</v>
      </c>
      <c r="F36179" s="1">
        <v>6.8943198266013803E-5</v>
      </c>
    </row>
    <row r="36180" spans="1:6" x14ac:dyDescent="0.25">
      <c r="A36180" s="2" t="str">
        <f t="shared" si="1227"/>
        <v>99999</v>
      </c>
      <c r="B36180" s="2" t="str">
        <f>"68665"</f>
        <v>68665</v>
      </c>
      <c r="C36180" s="1">
        <v>4.8893895662609401E-5</v>
      </c>
      <c r="D36180" s="1">
        <v>6.0704106936354696E-6</v>
      </c>
      <c r="E36180" s="1">
        <v>8.69107991013423E-6</v>
      </c>
      <c r="F36180" s="1">
        <v>4.5166251100678601E-5</v>
      </c>
    </row>
    <row r="36181" spans="1:6" x14ac:dyDescent="0.25">
      <c r="A36181" s="2" t="str">
        <f t="shared" si="1227"/>
        <v>99999</v>
      </c>
      <c r="B36181" s="2" t="str">
        <f>"68317"</f>
        <v>68317</v>
      </c>
      <c r="C36181" s="1">
        <v>2.7284539990295402E-6</v>
      </c>
      <c r="D36181" s="1">
        <v>0</v>
      </c>
      <c r="E36181" s="1">
        <v>0</v>
      </c>
      <c r="F36181" s="1">
        <v>2.48712836457481E-6</v>
      </c>
    </row>
    <row r="36182" spans="1:6" x14ac:dyDescent="0.25">
      <c r="A36182" s="2" t="str">
        <f t="shared" si="1227"/>
        <v>99999</v>
      </c>
      <c r="B36182" s="2" t="str">
        <f>"68322"</f>
        <v>68322</v>
      </c>
      <c r="C36182" s="1">
        <v>2.4556085991265801E-5</v>
      </c>
      <c r="D36182" s="1">
        <v>9.1056160404532095E-6</v>
      </c>
      <c r="E36182" s="1">
        <v>0</v>
      </c>
      <c r="F36182" s="1">
        <v>2.29810660886712E-5</v>
      </c>
    </row>
    <row r="36183" spans="1:6" x14ac:dyDescent="0.25">
      <c r="A36183" s="2" t="str">
        <f t="shared" si="1227"/>
        <v>99999</v>
      </c>
      <c r="B36183" s="2" t="str">
        <f>"68321"</f>
        <v>68321</v>
      </c>
      <c r="C36183" s="1">
        <v>2.19367701521975E-5</v>
      </c>
      <c r="D36183" s="1">
        <v>4.5528080202265997E-6</v>
      </c>
      <c r="E36183" s="1">
        <v>0</v>
      </c>
      <c r="F36183" s="1">
        <v>2.0294967454930399E-5</v>
      </c>
    </row>
    <row r="36184" spans="1:6" x14ac:dyDescent="0.25">
      <c r="A36184" s="2" t="str">
        <f t="shared" si="1227"/>
        <v>99999</v>
      </c>
      <c r="B36184" s="2" t="str">
        <f>"68464"</f>
        <v>68464</v>
      </c>
      <c r="C36184" s="1">
        <v>3.09952374289756E-5</v>
      </c>
      <c r="D36184" s="1">
        <v>3.0352053468177301E-6</v>
      </c>
      <c r="E36184" s="1">
        <v>8.69107991013423E-6</v>
      </c>
      <c r="F36184" s="1">
        <v>2.86517187599018E-5</v>
      </c>
    </row>
    <row r="36185" spans="1:6" x14ac:dyDescent="0.25">
      <c r="A36185" s="2" t="str">
        <f t="shared" si="1227"/>
        <v>99999</v>
      </c>
      <c r="B36185" s="2" t="str">
        <f>"68019"</f>
        <v>68019</v>
      </c>
      <c r="C36185" s="1">
        <v>2.9358165029557801E-5</v>
      </c>
      <c r="D36185" s="1">
        <v>7.5880133670443404E-6</v>
      </c>
      <c r="E36185" s="1">
        <v>0</v>
      </c>
      <c r="F36185" s="1">
        <v>2.7258926875739899E-5</v>
      </c>
    </row>
    <row r="36186" spans="1:6" x14ac:dyDescent="0.25">
      <c r="A36186" s="2" t="str">
        <f t="shared" si="1227"/>
        <v>99999</v>
      </c>
      <c r="B36186" s="2" t="str">
        <f>"67954"</f>
        <v>67954</v>
      </c>
      <c r="C36186" s="1">
        <v>2.8703336069790699E-5</v>
      </c>
      <c r="D36186" s="1">
        <v>3.0352053468177301E-6</v>
      </c>
      <c r="E36186" s="1">
        <v>1.3036619865201299E-5</v>
      </c>
      <c r="F36186" s="1">
        <v>2.6662016068241999E-5</v>
      </c>
    </row>
    <row r="36187" spans="1:6" x14ac:dyDescent="0.25">
      <c r="A36187" s="2" t="str">
        <f t="shared" si="1227"/>
        <v>99999</v>
      </c>
      <c r="B36187" s="2" t="str">
        <f>"67851"</f>
        <v>67851</v>
      </c>
      <c r="C36187" s="1">
        <v>4.3655263984472602E-7</v>
      </c>
      <c r="D36187" s="1">
        <v>0</v>
      </c>
      <c r="E36187" s="1">
        <v>0</v>
      </c>
      <c r="F36187" s="1">
        <v>3.9794053833197002E-7</v>
      </c>
    </row>
    <row r="36188" spans="1:6" x14ac:dyDescent="0.25">
      <c r="A36188" s="2" t="str">
        <f t="shared" si="1227"/>
        <v>99999</v>
      </c>
      <c r="B36188" s="2" t="str">
        <f>"67880"</f>
        <v>67880</v>
      </c>
      <c r="C36188" s="1">
        <v>3.5207970403477198E-4</v>
      </c>
      <c r="D36188" s="1">
        <v>5.0384408757174395E-4</v>
      </c>
      <c r="E36188" s="1">
        <v>1.9989483793308701E-4</v>
      </c>
      <c r="F36188" s="1">
        <v>3.5854442503710499E-4</v>
      </c>
    </row>
    <row r="36189" spans="1:6" x14ac:dyDescent="0.25">
      <c r="A36189" s="2" t="str">
        <f t="shared" si="1227"/>
        <v>99999</v>
      </c>
      <c r="B36189" s="2" t="str">
        <f>"67879"</f>
        <v>67879</v>
      </c>
      <c r="C36189" s="1">
        <v>7.1703771094496402E-5</v>
      </c>
      <c r="D36189" s="1">
        <v>1.36584240606798E-4</v>
      </c>
      <c r="E36189" s="1">
        <v>1.7382159820268399E-5</v>
      </c>
      <c r="F36189" s="1">
        <v>7.4713336071827405E-5</v>
      </c>
    </row>
    <row r="36190" spans="1:6" x14ac:dyDescent="0.25">
      <c r="A36190" s="2" t="str">
        <f t="shared" si="1227"/>
        <v>99999</v>
      </c>
      <c r="B36190" s="2" t="str">
        <f>"68067"</f>
        <v>68067</v>
      </c>
      <c r="C36190" s="1">
        <v>3.04495466291697E-5</v>
      </c>
      <c r="D36190" s="1">
        <v>1.3658424060679801E-5</v>
      </c>
      <c r="E36190" s="1">
        <v>4.3455399550671099E-6</v>
      </c>
      <c r="F36190" s="1">
        <v>2.8751203894484799E-5</v>
      </c>
    </row>
    <row r="36191" spans="1:6" x14ac:dyDescent="0.25">
      <c r="A36191" s="2" t="str">
        <f t="shared" si="1227"/>
        <v>99999</v>
      </c>
      <c r="B36191" s="2" t="str">
        <f>"67836"</f>
        <v>67836</v>
      </c>
      <c r="C36191" s="1">
        <v>6.0025987978649897E-6</v>
      </c>
      <c r="D36191" s="1">
        <v>0</v>
      </c>
      <c r="E36191" s="1">
        <v>4.3455399550671099E-6</v>
      </c>
      <c r="F36191" s="1">
        <v>5.5711675366475797E-6</v>
      </c>
    </row>
    <row r="36192" spans="1:6" x14ac:dyDescent="0.25">
      <c r="A36192" s="2" t="str">
        <f t="shared" si="1227"/>
        <v>99999</v>
      </c>
      <c r="B36192" s="2" t="str">
        <f>"67737"</f>
        <v>67737</v>
      </c>
      <c r="C36192" s="1">
        <v>2.8266783429946001E-5</v>
      </c>
      <c r="D36192" s="1">
        <v>6.5256914956581297E-5</v>
      </c>
      <c r="E36192" s="1">
        <v>1.7382159820268399E-5</v>
      </c>
      <c r="F36192" s="1">
        <v>3.0442451182395699E-5</v>
      </c>
    </row>
    <row r="36193" spans="1:6" x14ac:dyDescent="0.25">
      <c r="A36193" s="2" t="str">
        <f t="shared" si="1227"/>
        <v>99999</v>
      </c>
      <c r="B36193" s="2" t="str">
        <f>"67356"</f>
        <v>67356</v>
      </c>
      <c r="C36193" s="1">
        <v>3.3832829587966299E-6</v>
      </c>
      <c r="D36193" s="1">
        <v>0</v>
      </c>
      <c r="E36193" s="1">
        <v>0</v>
      </c>
      <c r="F36193" s="1">
        <v>3.0840391720727701E-6</v>
      </c>
    </row>
    <row r="36194" spans="1:6" x14ac:dyDescent="0.25">
      <c r="A36194" s="2" t="str">
        <f t="shared" si="1227"/>
        <v>99999</v>
      </c>
      <c r="B36194" s="2" t="str">
        <f>"67360"</f>
        <v>67360</v>
      </c>
      <c r="C36194" s="1">
        <v>2.2591599111964599E-5</v>
      </c>
      <c r="D36194" s="1">
        <v>3.0352053468177301E-6</v>
      </c>
      <c r="E36194" s="1">
        <v>2.60732397304027E-5</v>
      </c>
      <c r="F36194" s="1">
        <v>2.13893039353434E-5</v>
      </c>
    </row>
    <row r="36195" spans="1:6" x14ac:dyDescent="0.25">
      <c r="A36195" s="2" t="str">
        <f t="shared" si="1227"/>
        <v>99999</v>
      </c>
      <c r="B36195" s="2" t="str">
        <f>"67345"</f>
        <v>67345</v>
      </c>
      <c r="C36195" s="1">
        <v>6.6574277576320803E-6</v>
      </c>
      <c r="D36195" s="1">
        <v>0</v>
      </c>
      <c r="E36195" s="1">
        <v>4.3455399550671099E-6</v>
      </c>
      <c r="F36195" s="1">
        <v>6.1680783441455402E-6</v>
      </c>
    </row>
    <row r="36196" spans="1:6" x14ac:dyDescent="0.25">
      <c r="A36196" s="2" t="str">
        <f t="shared" si="1227"/>
        <v>99999</v>
      </c>
      <c r="B36196" s="2" t="str">
        <f>"67629"</f>
        <v>67629</v>
      </c>
      <c r="C36196" s="1">
        <v>9.4950199166228093E-6</v>
      </c>
      <c r="D36196" s="1">
        <v>7.5880133670443404E-6</v>
      </c>
      <c r="E36196" s="1">
        <v>4.3455399550671099E-6</v>
      </c>
      <c r="F36196" s="1">
        <v>9.2521175162183095E-6</v>
      </c>
    </row>
    <row r="36197" spans="1:6" x14ac:dyDescent="0.25">
      <c r="A36197" s="2" t="str">
        <f t="shared" si="1227"/>
        <v>99999</v>
      </c>
      <c r="B36197" s="2" t="str">
        <f>"67628"</f>
        <v>67628</v>
      </c>
      <c r="C36197" s="1">
        <v>7.6396711972827196E-6</v>
      </c>
      <c r="D36197" s="1">
        <v>0</v>
      </c>
      <c r="E36197" s="1">
        <v>8.69107991013423E-6</v>
      </c>
      <c r="F36197" s="1">
        <v>7.1629296899754602E-6</v>
      </c>
    </row>
    <row r="36198" spans="1:6" x14ac:dyDescent="0.25">
      <c r="A36198" s="2" t="str">
        <f t="shared" si="1227"/>
        <v>99999</v>
      </c>
      <c r="B36198" s="2" t="str">
        <f>"67735"</f>
        <v>67735</v>
      </c>
      <c r="C36198" s="1">
        <v>3.3974709195915801E-4</v>
      </c>
      <c r="D36198" s="1">
        <v>6.76850792340355E-4</v>
      </c>
      <c r="E36198" s="1">
        <v>5.6492019415872502E-4</v>
      </c>
      <c r="F36198" s="1">
        <v>3.6700066147665901E-4</v>
      </c>
    </row>
    <row r="36199" spans="1:6" x14ac:dyDescent="0.25">
      <c r="A36199" s="2" t="str">
        <f t="shared" si="1227"/>
        <v>99999</v>
      </c>
      <c r="B36199" s="2" t="str">
        <f>"67701"</f>
        <v>67701</v>
      </c>
      <c r="C36199" s="1">
        <v>3.4302123675799401E-4</v>
      </c>
      <c r="D36199" s="1">
        <v>8.8020955057714395E-4</v>
      </c>
      <c r="E36199" s="1">
        <v>7.3005071245127505E-4</v>
      </c>
      <c r="F36199" s="1">
        <v>3.87096658662424E-4</v>
      </c>
    </row>
    <row r="36200" spans="1:6" x14ac:dyDescent="0.25">
      <c r="A36200" s="2" t="str">
        <f t="shared" si="1227"/>
        <v>99999</v>
      </c>
      <c r="B36200" s="2" t="str">
        <f>"67659"</f>
        <v>67659</v>
      </c>
      <c r="C36200" s="1">
        <v>1.34239936752253E-5</v>
      </c>
      <c r="D36200" s="1">
        <v>1.51760267340886E-6</v>
      </c>
      <c r="E36200" s="1">
        <v>0</v>
      </c>
      <c r="F36200" s="1">
        <v>1.2336156688290999E-5</v>
      </c>
    </row>
    <row r="36201" spans="1:6" x14ac:dyDescent="0.25">
      <c r="A36201" s="2" t="str">
        <f t="shared" si="1227"/>
        <v>99999</v>
      </c>
      <c r="B36201" s="2" t="str">
        <f>"67646"</f>
        <v>67646</v>
      </c>
      <c r="C36201" s="1">
        <v>3.7216112546762902E-5</v>
      </c>
      <c r="D36201" s="1">
        <v>9.1056160404532095E-6</v>
      </c>
      <c r="E36201" s="1">
        <v>4.3455399550671099E-6</v>
      </c>
      <c r="F36201" s="1">
        <v>3.4620826834881403E-5</v>
      </c>
    </row>
    <row r="36202" spans="1:6" x14ac:dyDescent="0.25">
      <c r="A36202" s="2" t="str">
        <f t="shared" si="1227"/>
        <v>99999</v>
      </c>
      <c r="B36202" s="2" t="str">
        <f>"67639"</f>
        <v>67639</v>
      </c>
      <c r="C36202" s="1">
        <v>1.2441750235574699E-5</v>
      </c>
      <c r="D36202" s="1">
        <v>1.0623218713862E-5</v>
      </c>
      <c r="E36202" s="1">
        <v>8.69107991013423E-6</v>
      </c>
      <c r="F36202" s="1">
        <v>1.2236671553708001E-5</v>
      </c>
    </row>
    <row r="36203" spans="1:6" x14ac:dyDescent="0.25">
      <c r="A36203" s="2" t="str">
        <f t="shared" si="1227"/>
        <v>99999</v>
      </c>
      <c r="B36203" s="2" t="str">
        <f>"67512"</f>
        <v>67512</v>
      </c>
      <c r="C36203" s="1">
        <v>5.7843224779426299E-6</v>
      </c>
      <c r="D36203" s="1">
        <v>3.0352053468177301E-6</v>
      </c>
      <c r="E36203" s="1">
        <v>4.3455399550671099E-6</v>
      </c>
      <c r="F36203" s="1">
        <v>5.5711675366475797E-6</v>
      </c>
    </row>
    <row r="36204" spans="1:6" x14ac:dyDescent="0.25">
      <c r="A36204" s="2" t="str">
        <f t="shared" si="1227"/>
        <v>99999</v>
      </c>
      <c r="B36204" s="2" t="str">
        <f>"67518"</f>
        <v>67518</v>
      </c>
      <c r="C36204" s="1">
        <v>5.2386316781367196E-6</v>
      </c>
      <c r="D36204" s="1">
        <v>1.51760267340886E-6</v>
      </c>
      <c r="E36204" s="1">
        <v>4.3455399550671099E-6</v>
      </c>
      <c r="F36204" s="1">
        <v>4.9742567291496301E-6</v>
      </c>
    </row>
    <row r="36205" spans="1:6" x14ac:dyDescent="0.25">
      <c r="A36205" s="2" t="str">
        <f t="shared" si="1227"/>
        <v>99999</v>
      </c>
      <c r="B36205" s="2" t="str">
        <f>"67521"</f>
        <v>67521</v>
      </c>
      <c r="C36205" s="1">
        <v>9.9315725564675307E-6</v>
      </c>
      <c r="D36205" s="1">
        <v>1.51760267340886E-6</v>
      </c>
      <c r="E36205" s="1">
        <v>4.3455399550671099E-6</v>
      </c>
      <c r="F36205" s="1">
        <v>9.2521175162183095E-6</v>
      </c>
    </row>
    <row r="36206" spans="1:6" x14ac:dyDescent="0.25">
      <c r="A36206" s="2" t="str">
        <f t="shared" si="1227"/>
        <v>99999</v>
      </c>
      <c r="B36206" s="2" t="str">
        <f>"67553"</f>
        <v>67553</v>
      </c>
      <c r="C36206" s="1">
        <v>6.7665659175932598E-6</v>
      </c>
      <c r="D36206" s="1">
        <v>1.21408213872709E-5</v>
      </c>
      <c r="E36206" s="1">
        <v>4.3455399550671099E-6</v>
      </c>
      <c r="F36206" s="1">
        <v>7.0634445553924701E-6</v>
      </c>
    </row>
    <row r="36207" spans="1:6" x14ac:dyDescent="0.25">
      <c r="A36207" s="2" t="str">
        <f t="shared" si="1227"/>
        <v>99999</v>
      </c>
      <c r="B36207" s="2" t="str">
        <f>"67565"</f>
        <v>67565</v>
      </c>
      <c r="C36207" s="1">
        <v>1.2114335755691101E-5</v>
      </c>
      <c r="D36207" s="1">
        <v>1.5176026734088599E-5</v>
      </c>
      <c r="E36207" s="1">
        <v>4.3455399550671099E-6</v>
      </c>
      <c r="F36207" s="1">
        <v>1.21371864191251E-5</v>
      </c>
    </row>
    <row r="36208" spans="1:6" x14ac:dyDescent="0.25">
      <c r="A36208" s="2" t="str">
        <f t="shared" si="1227"/>
        <v>99999</v>
      </c>
      <c r="B36208" s="2" t="str">
        <f>"67573"</f>
        <v>67573</v>
      </c>
      <c r="C36208" s="1">
        <v>7.7488093572439E-6</v>
      </c>
      <c r="D36208" s="1">
        <v>1.3658424060679801E-5</v>
      </c>
      <c r="E36208" s="1">
        <v>4.3455399550671099E-6</v>
      </c>
      <c r="F36208" s="1">
        <v>8.0582959012224002E-6</v>
      </c>
    </row>
    <row r="36209" spans="1:6" x14ac:dyDescent="0.25">
      <c r="A36209" s="2" t="str">
        <f t="shared" si="1227"/>
        <v>99999</v>
      </c>
      <c r="B36209" s="2" t="str">
        <f>"67478"</f>
        <v>67478</v>
      </c>
      <c r="C36209" s="1">
        <v>3.6015592787189902E-6</v>
      </c>
      <c r="D36209" s="1">
        <v>0</v>
      </c>
      <c r="E36209" s="1">
        <v>4.3455399550671099E-6</v>
      </c>
      <c r="F36209" s="1">
        <v>3.3824945758217398E-6</v>
      </c>
    </row>
    <row r="36210" spans="1:6" x14ac:dyDescent="0.25">
      <c r="A36210" s="2" t="str">
        <f t="shared" si="1227"/>
        <v>99999</v>
      </c>
      <c r="B36210" s="2" t="str">
        <f>"67425"</f>
        <v>67425</v>
      </c>
      <c r="C36210" s="1">
        <v>9.8224343965063504E-6</v>
      </c>
      <c r="D36210" s="1">
        <v>1.51760267340886E-6</v>
      </c>
      <c r="E36210" s="1">
        <v>0</v>
      </c>
      <c r="F36210" s="1">
        <v>9.0531472470523294E-6</v>
      </c>
    </row>
    <row r="36211" spans="1:6" x14ac:dyDescent="0.25">
      <c r="A36211" s="2" t="str">
        <f t="shared" si="1227"/>
        <v>99999</v>
      </c>
      <c r="B36211" s="2" t="str">
        <f>"67428"</f>
        <v>67428</v>
      </c>
      <c r="C36211" s="1">
        <v>3.4924211187578098E-6</v>
      </c>
      <c r="D36211" s="1">
        <v>0</v>
      </c>
      <c r="E36211" s="1">
        <v>0</v>
      </c>
      <c r="F36211" s="1">
        <v>3.1835243066557602E-6</v>
      </c>
    </row>
    <row r="36212" spans="1:6" x14ac:dyDescent="0.25">
      <c r="A36212" s="2" t="str">
        <f t="shared" si="1227"/>
        <v>99999</v>
      </c>
      <c r="B36212" s="2" t="str">
        <f>"67455"</f>
        <v>67455</v>
      </c>
      <c r="C36212" s="1">
        <v>1.15359035078969E-4</v>
      </c>
      <c r="D36212" s="1">
        <v>2.36746017051783E-4</v>
      </c>
      <c r="E36212" s="1">
        <v>5.6492019415872502E-5</v>
      </c>
      <c r="F36212" s="1">
        <v>1.2196877499874801E-4</v>
      </c>
    </row>
    <row r="36213" spans="1:6" x14ac:dyDescent="0.25">
      <c r="A36213" s="2" t="str">
        <f t="shared" si="1227"/>
        <v>99999</v>
      </c>
      <c r="B36213" s="2" t="str">
        <f>"67437"</f>
        <v>67437</v>
      </c>
      <c r="C36213" s="1">
        <v>7.4759639573409404E-5</v>
      </c>
      <c r="D36213" s="1">
        <v>1.24443419219527E-4</v>
      </c>
      <c r="E36213" s="1">
        <v>3.9109859595604001E-5</v>
      </c>
      <c r="F36213" s="1">
        <v>7.7200464436402198E-5</v>
      </c>
    </row>
    <row r="36214" spans="1:6" x14ac:dyDescent="0.25">
      <c r="A36214" s="2" t="str">
        <f t="shared" si="1227"/>
        <v>99999</v>
      </c>
      <c r="B36214" s="2" t="str">
        <f>"67430"</f>
        <v>67430</v>
      </c>
      <c r="C36214" s="1">
        <v>3.8089217826452399E-5</v>
      </c>
      <c r="D36214" s="1">
        <v>1.66936294074975E-5</v>
      </c>
      <c r="E36214" s="1">
        <v>4.3455399550671099E-6</v>
      </c>
      <c r="F36214" s="1">
        <v>3.5914133584460302E-5</v>
      </c>
    </row>
    <row r="36215" spans="1:6" x14ac:dyDescent="0.25">
      <c r="A36215" s="2" t="str">
        <f t="shared" si="1227"/>
        <v>99999</v>
      </c>
      <c r="B36215" s="2" t="str">
        <f>"67018"</f>
        <v>67018</v>
      </c>
      <c r="C36215" s="1">
        <v>9.2767435967004401E-6</v>
      </c>
      <c r="D36215" s="1">
        <v>1.51760267340886E-6</v>
      </c>
      <c r="E36215" s="1">
        <v>4.3455399550671099E-6</v>
      </c>
      <c r="F36215" s="1">
        <v>8.6552067087203506E-6</v>
      </c>
    </row>
    <row r="36216" spans="1:6" x14ac:dyDescent="0.25">
      <c r="A36216" s="2" t="str">
        <f t="shared" si="1227"/>
        <v>99999</v>
      </c>
      <c r="B36216" s="2" t="str">
        <f>"67004"</f>
        <v>67004</v>
      </c>
      <c r="C36216" s="1">
        <v>2.9467303189519E-6</v>
      </c>
      <c r="D36216" s="1">
        <v>0</v>
      </c>
      <c r="E36216" s="1">
        <v>0</v>
      </c>
      <c r="F36216" s="1">
        <v>2.6860986337408002E-6</v>
      </c>
    </row>
    <row r="36217" spans="1:6" x14ac:dyDescent="0.25">
      <c r="A36217" s="2" t="str">
        <f t="shared" si="1227"/>
        <v>99999</v>
      </c>
      <c r="B36217" s="2" t="str">
        <f>"66964"</f>
        <v>66964</v>
      </c>
      <c r="C36217" s="1">
        <v>1.386054631507E-5</v>
      </c>
      <c r="D36217" s="1">
        <v>0</v>
      </c>
      <c r="E36217" s="1">
        <v>4.3455399550671099E-6</v>
      </c>
      <c r="F36217" s="1">
        <v>1.2734097226623E-5</v>
      </c>
    </row>
    <row r="36218" spans="1:6" x14ac:dyDescent="0.25">
      <c r="A36218" s="2" t="str">
        <f t="shared" si="1227"/>
        <v>99999</v>
      </c>
      <c r="B36218" s="2" t="str">
        <f>"66869"</f>
        <v>66869</v>
      </c>
      <c r="C36218" s="1">
        <v>2.1827631992236301E-7</v>
      </c>
      <c r="D36218" s="1">
        <v>0</v>
      </c>
      <c r="E36218" s="1">
        <v>0</v>
      </c>
      <c r="F36218" s="1">
        <v>1.9897026916598501E-7</v>
      </c>
    </row>
    <row r="36219" spans="1:6" x14ac:dyDescent="0.25">
      <c r="A36219" s="2" t="str">
        <f t="shared" si="1227"/>
        <v>99999</v>
      </c>
      <c r="B36219" s="2" t="str">
        <f>"66855"</f>
        <v>66855</v>
      </c>
      <c r="C36219" s="1">
        <v>1.20051975957299E-6</v>
      </c>
      <c r="D36219" s="1">
        <v>0</v>
      </c>
      <c r="E36219" s="1">
        <v>4.3455399550671099E-6</v>
      </c>
      <c r="F36219" s="1">
        <v>1.19382161499591E-6</v>
      </c>
    </row>
    <row r="36220" spans="1:6" x14ac:dyDescent="0.25">
      <c r="A36220" s="2" t="str">
        <f t="shared" si="1227"/>
        <v>99999</v>
      </c>
      <c r="B36220" s="2" t="str">
        <f>"66854"</f>
        <v>66854</v>
      </c>
      <c r="C36220" s="1">
        <v>1.10229541560793E-5</v>
      </c>
      <c r="D36220" s="1">
        <v>4.5528080202265997E-6</v>
      </c>
      <c r="E36220" s="1">
        <v>0</v>
      </c>
      <c r="F36220" s="1">
        <v>1.03464539966312E-5</v>
      </c>
    </row>
    <row r="36221" spans="1:6" x14ac:dyDescent="0.25">
      <c r="A36221" s="2" t="str">
        <f t="shared" si="1227"/>
        <v>99999</v>
      </c>
      <c r="B36221" s="2" t="str">
        <f>"66951"</f>
        <v>66951</v>
      </c>
      <c r="C36221" s="1">
        <v>4.2563882384860802E-5</v>
      </c>
      <c r="D36221" s="1">
        <v>5.15984908959015E-5</v>
      </c>
      <c r="E36221" s="1">
        <v>1.3036619865201299E-5</v>
      </c>
      <c r="F36221" s="1">
        <v>4.2480152466937797E-5</v>
      </c>
    </row>
    <row r="36222" spans="1:6" x14ac:dyDescent="0.25">
      <c r="A36222" s="2" t="str">
        <f t="shared" si="1227"/>
        <v>99999</v>
      </c>
      <c r="B36222" s="2" t="str">
        <f>"66948"</f>
        <v>66948</v>
      </c>
      <c r="C36222" s="1">
        <v>3.0122132149286099E-5</v>
      </c>
      <c r="D36222" s="1">
        <v>1.8211232080906399E-5</v>
      </c>
      <c r="E36222" s="1">
        <v>1.3036619865201299E-5</v>
      </c>
      <c r="F36222" s="1">
        <v>2.8950174163650799E-5</v>
      </c>
    </row>
    <row r="36223" spans="1:6" x14ac:dyDescent="0.25">
      <c r="A36223" s="2" t="str">
        <f t="shared" si="1227"/>
        <v>99999</v>
      </c>
      <c r="B36223" s="2" t="str">
        <f>"66941"</f>
        <v>66941</v>
      </c>
      <c r="C36223" s="1">
        <v>1.6916414793983099E-5</v>
      </c>
      <c r="D36223" s="1">
        <v>3.0352053468177301E-6</v>
      </c>
      <c r="E36223" s="1">
        <v>4.3455399550671099E-6</v>
      </c>
      <c r="F36223" s="1">
        <v>1.57186512641128E-5</v>
      </c>
    </row>
    <row r="36224" spans="1:6" x14ac:dyDescent="0.25">
      <c r="A36224" s="2" t="str">
        <f t="shared" si="1227"/>
        <v>99999</v>
      </c>
      <c r="B36224" s="2" t="str">
        <f>"66936"</f>
        <v>66936</v>
      </c>
      <c r="C36224" s="1">
        <v>2.35738425516152E-5</v>
      </c>
      <c r="D36224" s="1">
        <v>1.8211232080906399E-5</v>
      </c>
      <c r="E36224" s="1">
        <v>1.7382159820268399E-5</v>
      </c>
      <c r="F36224" s="1">
        <v>2.3080551223254198E-5</v>
      </c>
    </row>
    <row r="36225" spans="1:6" x14ac:dyDescent="0.25">
      <c r="A36225" s="2" t="str">
        <f t="shared" si="1227"/>
        <v>99999</v>
      </c>
      <c r="B36225" s="2" t="str">
        <f>"66873"</f>
        <v>66873</v>
      </c>
      <c r="C36225" s="1">
        <v>1.9208316153167901E-5</v>
      </c>
      <c r="D36225" s="1">
        <v>9.1056160404532095E-6</v>
      </c>
      <c r="E36225" s="1">
        <v>4.3455399550671099E-6</v>
      </c>
      <c r="F36225" s="1">
        <v>1.82057796286876E-5</v>
      </c>
    </row>
    <row r="36226" spans="1:6" x14ac:dyDescent="0.25">
      <c r="A36226" s="2" t="str">
        <f t="shared" si="1227"/>
        <v>99999</v>
      </c>
      <c r="B36226" s="2" t="str">
        <f>"66840"</f>
        <v>66840</v>
      </c>
      <c r="C36226" s="1">
        <v>1.9426592473090299E-5</v>
      </c>
      <c r="D36226" s="1">
        <v>4.5528080202265997E-6</v>
      </c>
      <c r="E36226" s="1">
        <v>8.69107991013423E-6</v>
      </c>
      <c r="F36226" s="1">
        <v>1.82057796286876E-5</v>
      </c>
    </row>
    <row r="36227" spans="1:6" x14ac:dyDescent="0.25">
      <c r="A36227" s="2" t="str">
        <f t="shared" si="1227"/>
        <v>99999</v>
      </c>
      <c r="B36227" s="2" t="str">
        <f>"66838"</f>
        <v>66838</v>
      </c>
      <c r="C36227" s="1">
        <v>1.22234739156523E-5</v>
      </c>
      <c r="D36227" s="1">
        <v>3.0352053468177301E-6</v>
      </c>
      <c r="E36227" s="1">
        <v>8.69107991013423E-6</v>
      </c>
      <c r="F36227" s="1">
        <v>1.1540275611627099E-5</v>
      </c>
    </row>
    <row r="36228" spans="1:6" x14ac:dyDescent="0.25">
      <c r="A36228" s="2" t="str">
        <f t="shared" si="1227"/>
        <v>99999</v>
      </c>
      <c r="B36228" s="2" t="str">
        <f>"67059"</f>
        <v>67059</v>
      </c>
      <c r="C36228" s="1">
        <v>4.1799915265132602E-5</v>
      </c>
      <c r="D36228" s="1">
        <v>2.1246437427724101E-5</v>
      </c>
      <c r="E36228" s="1">
        <v>4.7800939505738197E-5</v>
      </c>
      <c r="F36228" s="1">
        <v>4.05899349098609E-5</v>
      </c>
    </row>
    <row r="36229" spans="1:6" x14ac:dyDescent="0.25">
      <c r="A36229" s="2" t="str">
        <f t="shared" si="1227"/>
        <v>99999</v>
      </c>
      <c r="B36229" s="2" t="str">
        <f>"66769"</f>
        <v>66769</v>
      </c>
      <c r="C36229" s="1">
        <v>2.4992638631110601E-5</v>
      </c>
      <c r="D36229" s="1">
        <v>1.0623218713862E-5</v>
      </c>
      <c r="E36229" s="1">
        <v>8.69107991013423E-6</v>
      </c>
      <c r="F36229" s="1">
        <v>2.36774620307522E-5</v>
      </c>
    </row>
    <row r="36230" spans="1:6" x14ac:dyDescent="0.25">
      <c r="A36230" s="2" t="str">
        <f t="shared" si="1227"/>
        <v>99999</v>
      </c>
      <c r="B36230" s="2" t="str">
        <f>"66779"</f>
        <v>66779</v>
      </c>
      <c r="C36230" s="1">
        <v>3.71069743868017E-5</v>
      </c>
      <c r="D36230" s="1">
        <v>5.4633696242719298E-5</v>
      </c>
      <c r="E36230" s="1">
        <v>1.3036619865201299E-5</v>
      </c>
      <c r="F36230" s="1">
        <v>3.7704866006954201E-5</v>
      </c>
    </row>
    <row r="36231" spans="1:6" x14ac:dyDescent="0.25">
      <c r="A36231" s="2" t="str">
        <f t="shared" si="1227"/>
        <v>99999</v>
      </c>
      <c r="B36231" s="2" t="str">
        <f>"67049"</f>
        <v>67049</v>
      </c>
      <c r="C36231" s="1">
        <v>3.6015592787189902E-6</v>
      </c>
      <c r="D36231" s="1">
        <v>0</v>
      </c>
      <c r="E36231" s="1">
        <v>4.3455399550671099E-6</v>
      </c>
      <c r="F36231" s="1">
        <v>3.3824945758217398E-6</v>
      </c>
    </row>
    <row r="36232" spans="1:6" x14ac:dyDescent="0.25">
      <c r="A36232" s="2" t="str">
        <f t="shared" si="1227"/>
        <v>99999</v>
      </c>
      <c r="B36232" s="2" t="str">
        <f>"66751"</f>
        <v>66751</v>
      </c>
      <c r="C36232" s="1">
        <v>4.60563035036186E-5</v>
      </c>
      <c r="D36232" s="1">
        <v>2.2764040101133E-5</v>
      </c>
      <c r="E36232" s="1">
        <v>8.69107991013423E-6</v>
      </c>
      <c r="F36232" s="1">
        <v>4.3673974081933698E-5</v>
      </c>
    </row>
    <row r="36233" spans="1:6" x14ac:dyDescent="0.25">
      <c r="A36233" s="2" t="str">
        <f t="shared" si="1227"/>
        <v>99999</v>
      </c>
      <c r="B36233" s="2" t="str">
        <f>"66749"</f>
        <v>66749</v>
      </c>
      <c r="C36233" s="1">
        <v>4.0064618521749802E-4</v>
      </c>
      <c r="D36233" s="1">
        <v>7.0416764046171503E-4</v>
      </c>
      <c r="E36233" s="1">
        <v>2.2596807766349001E-4</v>
      </c>
      <c r="F36233" s="1">
        <v>4.1654425849898998E-4</v>
      </c>
    </row>
    <row r="36234" spans="1:6" x14ac:dyDescent="0.25">
      <c r="A36234" s="2" t="str">
        <f t="shared" si="1227"/>
        <v>99999</v>
      </c>
      <c r="B36234" s="2" t="str">
        <f>"66736"</f>
        <v>66736</v>
      </c>
      <c r="C36234" s="1">
        <v>3.13335657248552E-4</v>
      </c>
      <c r="D36234" s="1">
        <v>4.70456828756749E-4</v>
      </c>
      <c r="E36234" s="1">
        <v>1.6513051829255E-4</v>
      </c>
      <c r="F36234" s="1">
        <v>3.2024264822265301E-4</v>
      </c>
    </row>
    <row r="36235" spans="1:6" x14ac:dyDescent="0.25">
      <c r="A36235" s="2" t="str">
        <f t="shared" si="1227"/>
        <v>99999</v>
      </c>
      <c r="B36235" s="2" t="str">
        <f>"66428"</f>
        <v>66428</v>
      </c>
      <c r="C36235" s="1">
        <v>2.0408835912740901E-5</v>
      </c>
      <c r="D36235" s="1">
        <v>6.0704106936354696E-6</v>
      </c>
      <c r="E36235" s="1">
        <v>4.3455399550671099E-6</v>
      </c>
      <c r="F36235" s="1">
        <v>1.9101145839934498E-5</v>
      </c>
    </row>
    <row r="36236" spans="1:6" x14ac:dyDescent="0.25">
      <c r="A36236" s="2" t="str">
        <f t="shared" si="1227"/>
        <v>99999</v>
      </c>
      <c r="B36236" s="2" t="str">
        <f>"66427"</f>
        <v>66427</v>
      </c>
      <c r="C36236" s="1">
        <v>7.1158080294690397E-5</v>
      </c>
      <c r="D36236" s="1">
        <v>1.6845389674838401E-4</v>
      </c>
      <c r="E36236" s="1">
        <v>7.3874179236140894E-5</v>
      </c>
      <c r="F36236" s="1">
        <v>7.7598404974734206E-5</v>
      </c>
    </row>
    <row r="36237" spans="1:6" x14ac:dyDescent="0.25">
      <c r="A36237" s="2" t="str">
        <f t="shared" si="1227"/>
        <v>99999</v>
      </c>
      <c r="B36237" s="2" t="str">
        <f>"66408"</f>
        <v>66408</v>
      </c>
      <c r="C36237" s="1">
        <v>2.4556085991265801E-5</v>
      </c>
      <c r="D36237" s="1">
        <v>1.0623218713862E-5</v>
      </c>
      <c r="E36237" s="1">
        <v>1.3036619865201299E-5</v>
      </c>
      <c r="F36237" s="1">
        <v>2.3379006627003201E-5</v>
      </c>
    </row>
    <row r="36238" spans="1:6" x14ac:dyDescent="0.25">
      <c r="A36238" s="2" t="str">
        <f t="shared" si="1227"/>
        <v>99999</v>
      </c>
      <c r="B36238" s="2" t="str">
        <f>"66532"</f>
        <v>66532</v>
      </c>
      <c r="C36238" s="1">
        <v>1.9535730633051498E-5</v>
      </c>
      <c r="D36238" s="1">
        <v>1.51760267340886E-6</v>
      </c>
      <c r="E36238" s="1">
        <v>3.6502535622563698E-4</v>
      </c>
      <c r="F36238" s="1">
        <v>2.6264075529910002E-5</v>
      </c>
    </row>
    <row r="36239" spans="1:6" x14ac:dyDescent="0.25">
      <c r="A36239" s="2" t="str">
        <f t="shared" si="1227"/>
        <v>99999</v>
      </c>
      <c r="B36239" s="2" t="str">
        <f>"66010"</f>
        <v>66010</v>
      </c>
      <c r="C36239" s="1">
        <v>2.1827631992236299E-6</v>
      </c>
      <c r="D36239" s="1">
        <v>0</v>
      </c>
      <c r="E36239" s="1">
        <v>0</v>
      </c>
      <c r="F36239" s="1">
        <v>1.98970269165985E-6</v>
      </c>
    </row>
    <row r="36240" spans="1:6" x14ac:dyDescent="0.25">
      <c r="A36240" s="2" t="str">
        <f t="shared" si="1227"/>
        <v>99999</v>
      </c>
      <c r="B36240" s="2" t="str">
        <f>"66014"</f>
        <v>66014</v>
      </c>
      <c r="C36240" s="1">
        <v>1.6370723994177199E-6</v>
      </c>
      <c r="D36240" s="1">
        <v>0</v>
      </c>
      <c r="E36240" s="1">
        <v>0</v>
      </c>
      <c r="F36240" s="1">
        <v>1.4922770187448801E-6</v>
      </c>
    </row>
    <row r="36241" spans="1:6" x14ac:dyDescent="0.25">
      <c r="A36241" s="2" t="str">
        <f t="shared" si="1227"/>
        <v>99999</v>
      </c>
      <c r="B36241" s="2" t="str">
        <f>"66093"</f>
        <v>66093</v>
      </c>
      <c r="C36241" s="1">
        <v>3.2304895348509703E-5</v>
      </c>
      <c r="D36241" s="1">
        <v>1.3658424060679801E-5</v>
      </c>
      <c r="E36241" s="1">
        <v>4.3455399550671099E-6</v>
      </c>
      <c r="F36241" s="1">
        <v>3.0442451182395699E-5</v>
      </c>
    </row>
    <row r="36242" spans="1:6" x14ac:dyDescent="0.25">
      <c r="A36242" s="2" t="str">
        <f t="shared" ref="A36242:A36305" si="1228">"99999"</f>
        <v>99999</v>
      </c>
      <c r="B36242" s="2" t="str">
        <f>"65790"</f>
        <v>65790</v>
      </c>
      <c r="C36242" s="1">
        <v>6.7665659175932598E-6</v>
      </c>
      <c r="D36242" s="1">
        <v>1.51760267340886E-6</v>
      </c>
      <c r="E36242" s="1">
        <v>0</v>
      </c>
      <c r="F36242" s="1">
        <v>6.2675634787285303E-6</v>
      </c>
    </row>
    <row r="36243" spans="1:6" x14ac:dyDescent="0.25">
      <c r="A36243" s="2" t="str">
        <f t="shared" si="1228"/>
        <v>99999</v>
      </c>
      <c r="B36243" s="2" t="str">
        <f>"65791"</f>
        <v>65791</v>
      </c>
      <c r="C36243" s="1">
        <v>3.5764575019279202E-4</v>
      </c>
      <c r="D36243" s="1">
        <v>3.94576695086306E-4</v>
      </c>
      <c r="E36243" s="1">
        <v>6.5183099326006705E-5</v>
      </c>
      <c r="F36243" s="1">
        <v>3.5337119803878898E-4</v>
      </c>
    </row>
    <row r="36244" spans="1:6" x14ac:dyDescent="0.25">
      <c r="A36244" s="2" t="str">
        <f t="shared" si="1228"/>
        <v>99999</v>
      </c>
      <c r="B36244" s="2" t="str">
        <f>"65784"</f>
        <v>65784</v>
      </c>
      <c r="C36244" s="1">
        <v>1.15686449558852E-5</v>
      </c>
      <c r="D36244" s="1">
        <v>0</v>
      </c>
      <c r="E36244" s="1">
        <v>4.3455399550671099E-6</v>
      </c>
      <c r="F36244" s="1">
        <v>1.0644909400380201E-5</v>
      </c>
    </row>
    <row r="36245" spans="1:6" x14ac:dyDescent="0.25">
      <c r="A36245" s="2" t="str">
        <f t="shared" si="1228"/>
        <v>99999</v>
      </c>
      <c r="B36245" s="2" t="str">
        <f>"65762"</f>
        <v>65762</v>
      </c>
      <c r="C36245" s="1">
        <v>2.52109149510329E-5</v>
      </c>
      <c r="D36245" s="1">
        <v>6.0704106936354696E-6</v>
      </c>
      <c r="E36245" s="1">
        <v>4.3455399550671099E-6</v>
      </c>
      <c r="F36245" s="1">
        <v>2.3478491761586199E-5</v>
      </c>
    </row>
    <row r="36246" spans="1:6" x14ac:dyDescent="0.25">
      <c r="A36246" s="2" t="str">
        <f t="shared" si="1228"/>
        <v>99999</v>
      </c>
      <c r="B36246" s="2" t="str">
        <f>"65729"</f>
        <v>65729</v>
      </c>
      <c r="C36246" s="1">
        <v>4.5292336383890401E-5</v>
      </c>
      <c r="D36246" s="1">
        <v>9.1056160404532095E-6</v>
      </c>
      <c r="E36246" s="1">
        <v>1.3036619865201299E-5</v>
      </c>
      <c r="F36246" s="1">
        <v>4.2181697063188802E-5</v>
      </c>
    </row>
    <row r="36247" spans="1:6" x14ac:dyDescent="0.25">
      <c r="A36247" s="2" t="str">
        <f t="shared" si="1228"/>
        <v>99999</v>
      </c>
      <c r="B36247" s="2" t="str">
        <f>"65724"</f>
        <v>65724</v>
      </c>
      <c r="C36247" s="1">
        <v>1.84552628494358E-4</v>
      </c>
      <c r="D36247" s="1">
        <v>5.4633696242719298E-5</v>
      </c>
      <c r="E36247" s="1">
        <v>4.3455399550671099E-6</v>
      </c>
      <c r="F36247" s="1">
        <v>1.71910312559411E-4</v>
      </c>
    </row>
    <row r="36248" spans="1:6" x14ac:dyDescent="0.25">
      <c r="A36248" s="2" t="str">
        <f t="shared" si="1228"/>
        <v>99999</v>
      </c>
      <c r="B36248" s="2" t="str">
        <f>"65712"</f>
        <v>65712</v>
      </c>
      <c r="C36248" s="1">
        <v>3.9922738913800198E-4</v>
      </c>
      <c r="D36248" s="1">
        <v>5.4481935975378404E-4</v>
      </c>
      <c r="E36248" s="1">
        <v>3.3026103658510001E-4</v>
      </c>
      <c r="F36248" s="1">
        <v>4.07192655848188E-4</v>
      </c>
    </row>
    <row r="36249" spans="1:6" x14ac:dyDescent="0.25">
      <c r="A36249" s="2" t="str">
        <f t="shared" si="1228"/>
        <v>99999</v>
      </c>
      <c r="B36249" s="2" t="str">
        <f>"65735"</f>
        <v>65735</v>
      </c>
      <c r="C36249" s="1">
        <v>1.9099177993206801E-5</v>
      </c>
      <c r="D36249" s="1">
        <v>1.51760267340886E-6</v>
      </c>
      <c r="E36249" s="1">
        <v>4.3455399550671099E-6</v>
      </c>
      <c r="F36249" s="1">
        <v>1.7608868821189599E-5</v>
      </c>
    </row>
    <row r="36250" spans="1:6" x14ac:dyDescent="0.25">
      <c r="A36250" s="2" t="str">
        <f t="shared" si="1228"/>
        <v>99999</v>
      </c>
      <c r="B36250" s="2" t="str">
        <f>"65747"</f>
        <v>65747</v>
      </c>
      <c r="C36250" s="1">
        <v>4.8872068030617099E-4</v>
      </c>
      <c r="D36250" s="1">
        <v>2.9441491864132003E-4</v>
      </c>
      <c r="E36250" s="1">
        <v>8.69107991013423E-5</v>
      </c>
      <c r="F36250" s="1">
        <v>4.6678425146340097E-4</v>
      </c>
    </row>
    <row r="36251" spans="1:6" x14ac:dyDescent="0.25">
      <c r="A36251" s="2" t="str">
        <f t="shared" si="1228"/>
        <v>99999</v>
      </c>
      <c r="B36251" s="2" t="str">
        <f>"65586"</f>
        <v>65586</v>
      </c>
      <c r="C36251" s="1">
        <v>0</v>
      </c>
      <c r="D36251" s="1">
        <v>0</v>
      </c>
      <c r="E36251" s="1">
        <v>4.3455399550671099E-6</v>
      </c>
      <c r="F36251" s="1">
        <v>9.9485134582992598E-8</v>
      </c>
    </row>
    <row r="36252" spans="1:6" x14ac:dyDescent="0.25">
      <c r="A36252" s="2" t="str">
        <f t="shared" si="1228"/>
        <v>99999</v>
      </c>
      <c r="B36252" s="2" t="str">
        <f>"65605"</f>
        <v>65605</v>
      </c>
      <c r="C36252" s="1">
        <v>7.1048942134729301E-4</v>
      </c>
      <c r="D36252" s="1">
        <v>7.2844928323625698E-4</v>
      </c>
      <c r="E36252" s="1">
        <v>4.4759061537191297E-4</v>
      </c>
      <c r="F36252" s="1">
        <v>7.0564805959716598E-4</v>
      </c>
    </row>
    <row r="36253" spans="1:6" x14ac:dyDescent="0.25">
      <c r="A36253" s="2" t="str">
        <f t="shared" si="1228"/>
        <v>99999</v>
      </c>
      <c r="B36253" s="2" t="str">
        <f>"65708"</f>
        <v>65708</v>
      </c>
      <c r="C36253" s="1">
        <v>7.0383199358966099E-4</v>
      </c>
      <c r="D36253" s="1">
        <v>1.1124027596086999E-3</v>
      </c>
      <c r="E36253" s="1">
        <v>1.09507606867691E-3</v>
      </c>
      <c r="F36253" s="1">
        <v>7.3957249048996697E-4</v>
      </c>
    </row>
    <row r="36254" spans="1:6" x14ac:dyDescent="0.25">
      <c r="A36254" s="2" t="str">
        <f t="shared" si="1228"/>
        <v>99999</v>
      </c>
      <c r="B36254" s="2" t="str">
        <f>"65702"</f>
        <v>65702</v>
      </c>
      <c r="C36254" s="1">
        <v>2.9249026869596701E-5</v>
      </c>
      <c r="D36254" s="1">
        <v>1.5176026734088599E-5</v>
      </c>
      <c r="E36254" s="1">
        <v>4.3455399550671099E-6</v>
      </c>
      <c r="F36254" s="1">
        <v>2.7756352548654901E-5</v>
      </c>
    </row>
    <row r="36255" spans="1:6" x14ac:dyDescent="0.25">
      <c r="A36255" s="2" t="str">
        <f t="shared" si="1228"/>
        <v>99999</v>
      </c>
      <c r="B36255" s="2" t="str">
        <f>"65571"</f>
        <v>65571</v>
      </c>
      <c r="C36255" s="1">
        <v>1.4624513434798299E-4</v>
      </c>
      <c r="D36255" s="1">
        <v>6.9809722976807906E-5</v>
      </c>
      <c r="E36255" s="1">
        <v>4.7800939505738197E-5</v>
      </c>
      <c r="F36255" s="1">
        <v>1.3898073301244E-4</v>
      </c>
    </row>
    <row r="36256" spans="1:6" x14ac:dyDescent="0.25">
      <c r="A36256" s="2" t="str">
        <f t="shared" si="1228"/>
        <v>99999</v>
      </c>
      <c r="B36256" s="2" t="str">
        <f>"65260"</f>
        <v>65260</v>
      </c>
      <c r="C36256" s="1">
        <v>6.4391514377097196E-6</v>
      </c>
      <c r="D36256" s="1">
        <v>0</v>
      </c>
      <c r="E36256" s="1">
        <v>0</v>
      </c>
      <c r="F36256" s="1">
        <v>5.86962294039656E-6</v>
      </c>
    </row>
    <row r="36257" spans="1:6" x14ac:dyDescent="0.25">
      <c r="A36257" s="2" t="str">
        <f t="shared" si="1228"/>
        <v>99999</v>
      </c>
      <c r="B36257" s="2" t="str">
        <f>"65254"</f>
        <v>65254</v>
      </c>
      <c r="C36257" s="1">
        <v>1.15686449558852E-5</v>
      </c>
      <c r="D36257" s="1">
        <v>1.3658424060679801E-5</v>
      </c>
      <c r="E36257" s="1">
        <v>0</v>
      </c>
      <c r="F36257" s="1">
        <v>1.1440790477044101E-5</v>
      </c>
    </row>
    <row r="36258" spans="1:6" x14ac:dyDescent="0.25">
      <c r="A36258" s="2" t="str">
        <f t="shared" si="1228"/>
        <v>99999</v>
      </c>
      <c r="B36258" s="2" t="str">
        <f>"65532"</f>
        <v>65532</v>
      </c>
      <c r="C36258" s="1">
        <v>2.1827631992236301E-7</v>
      </c>
      <c r="D36258" s="1">
        <v>0</v>
      </c>
      <c r="E36258" s="1">
        <v>4.3455399550671099E-6</v>
      </c>
      <c r="F36258" s="1">
        <v>2.9845540374897701E-7</v>
      </c>
    </row>
    <row r="36259" spans="1:6" x14ac:dyDescent="0.25">
      <c r="A36259" s="2" t="str">
        <f t="shared" si="1228"/>
        <v>99999</v>
      </c>
      <c r="B36259" s="2" t="str">
        <f>"65464"</f>
        <v>65464</v>
      </c>
      <c r="C36259" s="1">
        <v>3.2959724308276802E-5</v>
      </c>
      <c r="D36259" s="1">
        <v>4.5528080202265997E-6</v>
      </c>
      <c r="E36259" s="1">
        <v>4.3455399550671099E-6</v>
      </c>
      <c r="F36259" s="1">
        <v>3.0442451182395699E-5</v>
      </c>
    </row>
    <row r="36260" spans="1:6" x14ac:dyDescent="0.25">
      <c r="A36260" s="2" t="str">
        <f t="shared" si="1228"/>
        <v>99999</v>
      </c>
      <c r="B36260" s="2" t="str">
        <f>"65486"</f>
        <v>65486</v>
      </c>
      <c r="C36260" s="1">
        <v>1.7440277961796799E-4</v>
      </c>
      <c r="D36260" s="1">
        <v>1.07749789812029E-4</v>
      </c>
      <c r="E36260" s="1">
        <v>2.60732397304027E-5</v>
      </c>
      <c r="F36260" s="1">
        <v>1.66637600426512E-4</v>
      </c>
    </row>
    <row r="36261" spans="1:6" x14ac:dyDescent="0.25">
      <c r="A36261" s="2" t="str">
        <f t="shared" si="1228"/>
        <v>99999</v>
      </c>
      <c r="B36261" s="2" t="str">
        <f>"65335"</f>
        <v>65335</v>
      </c>
      <c r="C36261" s="1">
        <v>1.10229541560793E-5</v>
      </c>
      <c r="D36261" s="1">
        <v>6.0704106936354696E-6</v>
      </c>
      <c r="E36261" s="1">
        <v>4.3455399550671099E-6</v>
      </c>
      <c r="F36261" s="1">
        <v>1.05454242657972E-5</v>
      </c>
    </row>
    <row r="36262" spans="1:6" x14ac:dyDescent="0.25">
      <c r="A36262" s="2" t="str">
        <f t="shared" si="1228"/>
        <v>99999</v>
      </c>
      <c r="B36262" s="2" t="str">
        <f>"65348"</f>
        <v>65348</v>
      </c>
      <c r="C36262" s="1">
        <v>1.2660026555497001E-5</v>
      </c>
      <c r="D36262" s="1">
        <v>0</v>
      </c>
      <c r="E36262" s="1">
        <v>0</v>
      </c>
      <c r="F36262" s="1">
        <v>1.1540275611627099E-5</v>
      </c>
    </row>
    <row r="36263" spans="1:6" x14ac:dyDescent="0.25">
      <c r="A36263" s="2" t="str">
        <f t="shared" si="1228"/>
        <v>99999</v>
      </c>
      <c r="B36263" s="2" t="str">
        <f>"65436"</f>
        <v>65436</v>
      </c>
      <c r="C36263" s="1">
        <v>1.20051975957299E-6</v>
      </c>
      <c r="D36263" s="1">
        <v>0</v>
      </c>
      <c r="E36263" s="1">
        <v>0</v>
      </c>
      <c r="F36263" s="1">
        <v>1.09433648041291E-6</v>
      </c>
    </row>
    <row r="36264" spans="1:6" x14ac:dyDescent="0.25">
      <c r="A36264" s="2" t="str">
        <f t="shared" si="1228"/>
        <v>99999</v>
      </c>
      <c r="B36264" s="2" t="str">
        <f>"65440"</f>
        <v>65440</v>
      </c>
      <c r="C36264" s="1">
        <v>4.7584237743075203E-5</v>
      </c>
      <c r="D36264" s="1">
        <v>4.4010477528857203E-5</v>
      </c>
      <c r="E36264" s="1">
        <v>4.3455399550671099E-6</v>
      </c>
      <c r="F36264" s="1">
        <v>4.6360072715674502E-5</v>
      </c>
    </row>
    <row r="36265" spans="1:6" x14ac:dyDescent="0.25">
      <c r="A36265" s="2" t="str">
        <f t="shared" si="1228"/>
        <v>99999</v>
      </c>
      <c r="B36265" s="2" t="str">
        <f>"65282"</f>
        <v>65282</v>
      </c>
      <c r="C36265" s="1">
        <v>1.09138159961181E-5</v>
      </c>
      <c r="D36265" s="1">
        <v>1.51760267340886E-6</v>
      </c>
      <c r="E36265" s="1">
        <v>1.56439438382416E-4</v>
      </c>
      <c r="F36265" s="1">
        <v>1.36294634378699E-5</v>
      </c>
    </row>
    <row r="36266" spans="1:6" x14ac:dyDescent="0.25">
      <c r="A36266" s="2" t="str">
        <f t="shared" si="1228"/>
        <v>99999</v>
      </c>
      <c r="B36266" s="2" t="str">
        <f>"65283"</f>
        <v>65283</v>
      </c>
      <c r="C36266" s="1">
        <v>3.7325250706724098E-5</v>
      </c>
      <c r="D36266" s="1">
        <v>2.1246437427724101E-5</v>
      </c>
      <c r="E36266" s="1">
        <v>4.3455399550671099E-6</v>
      </c>
      <c r="F36266" s="1">
        <v>3.5516193046128301E-5</v>
      </c>
    </row>
    <row r="36267" spans="1:6" x14ac:dyDescent="0.25">
      <c r="A36267" s="2" t="str">
        <f t="shared" si="1228"/>
        <v>99999</v>
      </c>
      <c r="B36267" s="2" t="str">
        <f>"64767"</f>
        <v>64767</v>
      </c>
      <c r="C36267" s="1">
        <v>6.8320488135699704E-5</v>
      </c>
      <c r="D36267" s="1">
        <v>6.0704106936354696E-6</v>
      </c>
      <c r="E36267" s="1">
        <v>4.3455399550671099E-6</v>
      </c>
      <c r="F36267" s="1">
        <v>6.2775119921868301E-5</v>
      </c>
    </row>
    <row r="36268" spans="1:6" x14ac:dyDescent="0.25">
      <c r="A36268" s="2" t="str">
        <f t="shared" si="1228"/>
        <v>99999</v>
      </c>
      <c r="B36268" s="2" t="str">
        <f>"64762"</f>
        <v>64762</v>
      </c>
      <c r="C36268" s="1">
        <v>9.1239501727547893E-5</v>
      </c>
      <c r="D36268" s="1">
        <v>3.7940066835221703E-5</v>
      </c>
      <c r="E36268" s="1">
        <v>3.47643196405369E-5</v>
      </c>
      <c r="F36268" s="1">
        <v>8.6452581952620606E-5</v>
      </c>
    </row>
    <row r="36269" spans="1:6" x14ac:dyDescent="0.25">
      <c r="A36269" s="2" t="str">
        <f t="shared" si="1228"/>
        <v>99999</v>
      </c>
      <c r="B36269" s="2" t="str">
        <f>"65074"</f>
        <v>65074</v>
      </c>
      <c r="C36269" s="1">
        <v>2.4010395191459898E-6</v>
      </c>
      <c r="D36269" s="1">
        <v>0</v>
      </c>
      <c r="E36269" s="1">
        <v>0</v>
      </c>
      <c r="F36269" s="1">
        <v>2.1886729608258301E-6</v>
      </c>
    </row>
    <row r="36270" spans="1:6" x14ac:dyDescent="0.25">
      <c r="A36270" s="2" t="str">
        <f t="shared" si="1228"/>
        <v>99999</v>
      </c>
      <c r="B36270" s="2" t="str">
        <f>"65083"</f>
        <v>65083</v>
      </c>
      <c r="C36270" s="1">
        <v>2.3137289911770499E-5</v>
      </c>
      <c r="D36270" s="1">
        <v>6.0704106936354696E-6</v>
      </c>
      <c r="E36270" s="1">
        <v>4.3455399550671099E-6</v>
      </c>
      <c r="F36270" s="1">
        <v>2.15882742045094E-5</v>
      </c>
    </row>
    <row r="36271" spans="1:6" x14ac:dyDescent="0.25">
      <c r="A36271" s="2" t="str">
        <f t="shared" si="1228"/>
        <v>99999</v>
      </c>
      <c r="B36271" s="2" t="str">
        <f>"65014"</f>
        <v>65014</v>
      </c>
      <c r="C36271" s="1">
        <v>9.5605028125995202E-5</v>
      </c>
      <c r="D36271" s="1">
        <v>2.88344507947685E-5</v>
      </c>
      <c r="E36271" s="1">
        <v>3.0418779685469802E-5</v>
      </c>
      <c r="F36271" s="1">
        <v>8.9735591393859306E-5</v>
      </c>
    </row>
    <row r="36272" spans="1:6" x14ac:dyDescent="0.25">
      <c r="A36272" s="2" t="str">
        <f t="shared" si="1228"/>
        <v>99999</v>
      </c>
      <c r="B36272" s="2" t="str">
        <f>"64847"</f>
        <v>64847</v>
      </c>
      <c r="C36272" s="1">
        <v>2.0627112232663299E-5</v>
      </c>
      <c r="D36272" s="1">
        <v>1.3658424060679801E-5</v>
      </c>
      <c r="E36272" s="1">
        <v>4.3455399550671099E-6</v>
      </c>
      <c r="F36272" s="1">
        <v>1.9797541782015501E-5</v>
      </c>
    </row>
    <row r="36273" spans="1:6" x14ac:dyDescent="0.25">
      <c r="A36273" s="2" t="str">
        <f t="shared" si="1228"/>
        <v>99999</v>
      </c>
      <c r="B36273" s="2" t="str">
        <f>"64863"</f>
        <v>64863</v>
      </c>
      <c r="C36273" s="1">
        <v>7.7269817252516605E-5</v>
      </c>
      <c r="D36273" s="1">
        <v>5.6151298916128101E-5</v>
      </c>
      <c r="E36273" s="1">
        <v>3.0418779685469802E-5</v>
      </c>
      <c r="F36273" s="1">
        <v>7.4812821206410397E-5</v>
      </c>
    </row>
    <row r="36274" spans="1:6" x14ac:dyDescent="0.25">
      <c r="A36274" s="2" t="str">
        <f t="shared" si="1228"/>
        <v>99999</v>
      </c>
      <c r="B36274" s="2" t="str">
        <f>"64854"</f>
        <v>64854</v>
      </c>
      <c r="C36274" s="1">
        <v>2.6607883398536102E-4</v>
      </c>
      <c r="D36274" s="1">
        <v>1.09267392485438E-4</v>
      </c>
      <c r="E36274" s="1">
        <v>8.69107991013423E-5</v>
      </c>
      <c r="F36274" s="1">
        <v>2.5169739049497099E-4</v>
      </c>
    </row>
    <row r="36275" spans="1:6" x14ac:dyDescent="0.25">
      <c r="A36275" s="2" t="str">
        <f t="shared" si="1228"/>
        <v>99999</v>
      </c>
      <c r="B36275" s="2" t="str">
        <f>"64689"</f>
        <v>64689</v>
      </c>
      <c r="C36275" s="1">
        <v>3.2414033508470899E-5</v>
      </c>
      <c r="D36275" s="1">
        <v>2.5799245447950699E-5</v>
      </c>
      <c r="E36275" s="1">
        <v>8.69107991013423E-6</v>
      </c>
      <c r="F36275" s="1">
        <v>3.1437302528225599E-5</v>
      </c>
    </row>
    <row r="36276" spans="1:6" x14ac:dyDescent="0.25">
      <c r="A36276" s="2" t="str">
        <f t="shared" si="1228"/>
        <v>99999</v>
      </c>
      <c r="B36276" s="2" t="str">
        <f>"64686"</f>
        <v>64686</v>
      </c>
      <c r="C36276" s="1">
        <v>1.1132092316040499E-5</v>
      </c>
      <c r="D36276" s="1">
        <v>0</v>
      </c>
      <c r="E36276" s="1">
        <v>4.3455399550671099E-6</v>
      </c>
      <c r="F36276" s="1">
        <v>1.02469688620482E-5</v>
      </c>
    </row>
    <row r="36277" spans="1:6" x14ac:dyDescent="0.25">
      <c r="A36277" s="2" t="str">
        <f t="shared" si="1228"/>
        <v>99999</v>
      </c>
      <c r="B36277" s="2" t="str">
        <f>"64682"</f>
        <v>64682</v>
      </c>
      <c r="C36277" s="1">
        <v>2.3355566231692799E-5</v>
      </c>
      <c r="D36277" s="1">
        <v>1.5176026734088599E-5</v>
      </c>
      <c r="E36277" s="1">
        <v>1.3036619865201299E-5</v>
      </c>
      <c r="F36277" s="1">
        <v>2.2583125550339301E-5</v>
      </c>
    </row>
    <row r="36278" spans="1:6" x14ac:dyDescent="0.25">
      <c r="A36278" s="2" t="str">
        <f t="shared" si="1228"/>
        <v>99999</v>
      </c>
      <c r="B36278" s="2" t="str">
        <f>"64674"</f>
        <v>64674</v>
      </c>
      <c r="C36278" s="1">
        <v>2.6520572870567099E-5</v>
      </c>
      <c r="D36278" s="1">
        <v>1.21408213872709E-5</v>
      </c>
      <c r="E36278" s="1">
        <v>3.0418779685469802E-5</v>
      </c>
      <c r="F36278" s="1">
        <v>2.5667164722412099E-5</v>
      </c>
    </row>
    <row r="36279" spans="1:6" x14ac:dyDescent="0.25">
      <c r="A36279" s="2" t="str">
        <f t="shared" si="1228"/>
        <v>99999</v>
      </c>
      <c r="B36279" s="2" t="str">
        <f>"64639"</f>
        <v>64639</v>
      </c>
      <c r="C36279" s="1">
        <v>9.71329623654517E-6</v>
      </c>
      <c r="D36279" s="1">
        <v>1.51760267340886E-6</v>
      </c>
      <c r="E36279" s="1">
        <v>4.3455399550671099E-6</v>
      </c>
      <c r="F36279" s="1">
        <v>9.0531472470523294E-6</v>
      </c>
    </row>
    <row r="36280" spans="1:6" x14ac:dyDescent="0.25">
      <c r="A36280" s="2" t="str">
        <f t="shared" si="1228"/>
        <v>99999</v>
      </c>
      <c r="B36280" s="2" t="str">
        <f>"64653"</f>
        <v>64653</v>
      </c>
      <c r="C36280" s="1">
        <v>3.4705934867655701E-5</v>
      </c>
      <c r="D36280" s="1">
        <v>1.3658424060679801E-5</v>
      </c>
      <c r="E36280" s="1">
        <v>2.60732397304027E-5</v>
      </c>
      <c r="F36280" s="1">
        <v>3.3128549816136499E-5</v>
      </c>
    </row>
    <row r="36281" spans="1:6" x14ac:dyDescent="0.25">
      <c r="A36281" s="2" t="str">
        <f t="shared" si="1228"/>
        <v>99999</v>
      </c>
      <c r="B36281" s="2" t="str">
        <f>"64647"</f>
        <v>64647</v>
      </c>
      <c r="C36281" s="1">
        <v>2.02996977527798E-5</v>
      </c>
      <c r="D36281" s="1">
        <v>3.0352053468177301E-6</v>
      </c>
      <c r="E36281" s="1">
        <v>1.7382159820268399E-5</v>
      </c>
      <c r="F36281" s="1">
        <v>1.9101145839934498E-5</v>
      </c>
    </row>
    <row r="36282" spans="1:6" x14ac:dyDescent="0.25">
      <c r="A36282" s="2" t="str">
        <f t="shared" si="1228"/>
        <v>99999</v>
      </c>
      <c r="B36282" s="2" t="str">
        <f>"64640"</f>
        <v>64640</v>
      </c>
      <c r="C36282" s="1">
        <v>1.98194898489506E-4</v>
      </c>
      <c r="D36282" s="1">
        <v>2.7165087854018701E-4</v>
      </c>
      <c r="E36282" s="1">
        <v>1.3471173860707999E-4</v>
      </c>
      <c r="F36282" s="1">
        <v>2.01556882665143E-4</v>
      </c>
    </row>
    <row r="36283" spans="1:6" x14ac:dyDescent="0.25">
      <c r="A36283" s="2" t="str">
        <f t="shared" si="1228"/>
        <v>99999</v>
      </c>
      <c r="B36283" s="2" t="str">
        <f>"64467"</f>
        <v>64467</v>
      </c>
      <c r="C36283" s="1">
        <v>9.71329623654517E-6</v>
      </c>
      <c r="D36283" s="1">
        <v>1.51760267340886E-6</v>
      </c>
      <c r="E36283" s="1">
        <v>4.3455399550671099E-6</v>
      </c>
      <c r="F36283" s="1">
        <v>9.0531472470523294E-6</v>
      </c>
    </row>
    <row r="36284" spans="1:6" x14ac:dyDescent="0.25">
      <c r="A36284" s="2" t="str">
        <f t="shared" si="1228"/>
        <v>99999</v>
      </c>
      <c r="B36284" s="2" t="str">
        <f>"64451"</f>
        <v>64451</v>
      </c>
      <c r="C36284" s="1">
        <v>2.41195333514211E-5</v>
      </c>
      <c r="D36284" s="1">
        <v>6.0704106936354696E-6</v>
      </c>
      <c r="E36284" s="1">
        <v>8.69107991013423E-6</v>
      </c>
      <c r="F36284" s="1">
        <v>2.2583125550339301E-5</v>
      </c>
    </row>
    <row r="36285" spans="1:6" x14ac:dyDescent="0.25">
      <c r="A36285" s="2" t="str">
        <f t="shared" si="1228"/>
        <v>99999</v>
      </c>
      <c r="B36285" s="2" t="str">
        <f>"64463"</f>
        <v>64463</v>
      </c>
      <c r="C36285" s="1">
        <v>6.5046343336864297E-5</v>
      </c>
      <c r="D36285" s="1">
        <v>6.0704106936354703E-5</v>
      </c>
      <c r="E36285" s="1">
        <v>2.7811455712429498E-4</v>
      </c>
      <c r="F36285" s="1">
        <v>6.9639594208094799E-5</v>
      </c>
    </row>
    <row r="36286" spans="1:6" x14ac:dyDescent="0.25">
      <c r="A36286" s="2" t="str">
        <f t="shared" si="1228"/>
        <v>99999</v>
      </c>
      <c r="B36286" s="2" t="str">
        <f>"64456"</f>
        <v>64456</v>
      </c>
      <c r="C36286" s="1">
        <v>1.2867389059423301E-4</v>
      </c>
      <c r="D36286" s="1">
        <v>5.4633696242719298E-5</v>
      </c>
      <c r="E36286" s="1">
        <v>2.1727699775335501E-5</v>
      </c>
      <c r="F36286" s="1">
        <v>1.21371864191251E-4</v>
      </c>
    </row>
    <row r="36287" spans="1:6" x14ac:dyDescent="0.25">
      <c r="A36287" s="2" t="str">
        <f t="shared" si="1228"/>
        <v>99999</v>
      </c>
      <c r="B36287" s="2" t="str">
        <f>"64498"</f>
        <v>64498</v>
      </c>
      <c r="C36287" s="1">
        <v>2.8048507110023701E-5</v>
      </c>
      <c r="D36287" s="1">
        <v>1.66936294074975E-5</v>
      </c>
      <c r="E36287" s="1">
        <v>1.47748358472281E-4</v>
      </c>
      <c r="F36287" s="1">
        <v>3.0044510644063701E-5</v>
      </c>
    </row>
    <row r="36288" spans="1:6" x14ac:dyDescent="0.25">
      <c r="A36288" s="2" t="str">
        <f t="shared" si="1228"/>
        <v>99999</v>
      </c>
      <c r="B36288" s="2" t="str">
        <f>"64438"</f>
        <v>64438</v>
      </c>
      <c r="C36288" s="1">
        <v>1.44062371148759E-5</v>
      </c>
      <c r="D36288" s="1">
        <v>0</v>
      </c>
      <c r="E36288" s="1">
        <v>4.3455399550671099E-6</v>
      </c>
      <c r="F36288" s="1">
        <v>1.3231522899537999E-5</v>
      </c>
    </row>
    <row r="36289" spans="1:6" x14ac:dyDescent="0.25">
      <c r="A36289" s="2" t="str">
        <f t="shared" si="1228"/>
        <v>99999</v>
      </c>
      <c r="B36289" s="2" t="str">
        <f>"63950"</f>
        <v>63950</v>
      </c>
      <c r="C36289" s="1">
        <v>4.2563882384860804E-6</v>
      </c>
      <c r="D36289" s="1">
        <v>3.0352053468177301E-6</v>
      </c>
      <c r="E36289" s="1">
        <v>4.3455399550671099E-6</v>
      </c>
      <c r="F36289" s="1">
        <v>4.1783756524856902E-6</v>
      </c>
    </row>
    <row r="36290" spans="1:6" x14ac:dyDescent="0.25">
      <c r="A36290" s="2" t="str">
        <f t="shared" si="1228"/>
        <v>99999</v>
      </c>
      <c r="B36290" s="2" t="str">
        <f>"63870"</f>
        <v>63870</v>
      </c>
      <c r="C36290" s="1">
        <v>1.8444349033439702E-5</v>
      </c>
      <c r="D36290" s="1">
        <v>1.66936294074975E-5</v>
      </c>
      <c r="E36290" s="1">
        <v>1.3036619865201299E-5</v>
      </c>
      <c r="F36290" s="1">
        <v>1.82057796286876E-5</v>
      </c>
    </row>
    <row r="36291" spans="1:6" x14ac:dyDescent="0.25">
      <c r="A36291" s="2" t="str">
        <f t="shared" si="1228"/>
        <v>99999</v>
      </c>
      <c r="B36291" s="2" t="str">
        <f>"63533"</f>
        <v>63533</v>
      </c>
      <c r="C36291" s="1">
        <v>8.7310527968945299E-7</v>
      </c>
      <c r="D36291" s="1">
        <v>0</v>
      </c>
      <c r="E36291" s="1">
        <v>0</v>
      </c>
      <c r="F36291" s="1">
        <v>7.9588107666394099E-7</v>
      </c>
    </row>
    <row r="36292" spans="1:6" x14ac:dyDescent="0.25">
      <c r="A36292" s="2" t="str">
        <f t="shared" si="1228"/>
        <v>99999</v>
      </c>
      <c r="B36292" s="2" t="str">
        <f>"63549"</f>
        <v>63549</v>
      </c>
      <c r="C36292" s="1">
        <v>1.32493726192874E-4</v>
      </c>
      <c r="D36292" s="1">
        <v>2.0032355288997E-4</v>
      </c>
      <c r="E36292" s="1">
        <v>8.69107991013423E-5</v>
      </c>
      <c r="F36292" s="1">
        <v>1.3589669384036701E-4</v>
      </c>
    </row>
    <row r="36293" spans="1:6" x14ac:dyDescent="0.25">
      <c r="A36293" s="2" t="str">
        <f t="shared" si="1228"/>
        <v>99999</v>
      </c>
      <c r="B36293" s="2" t="str">
        <f>"63547"</f>
        <v>63547</v>
      </c>
      <c r="C36293" s="1">
        <v>2.3901257031498801E-5</v>
      </c>
      <c r="D36293" s="1">
        <v>2.1246437427724101E-5</v>
      </c>
      <c r="E36293" s="1">
        <v>4.3455399550671099E-6</v>
      </c>
      <c r="F36293" s="1">
        <v>2.3279521492420199E-5</v>
      </c>
    </row>
    <row r="36294" spans="1:6" x14ac:dyDescent="0.25">
      <c r="A36294" s="2" t="str">
        <f t="shared" si="1228"/>
        <v>99999</v>
      </c>
      <c r="B36294" s="2" t="str">
        <f>"63537"</f>
        <v>63537</v>
      </c>
      <c r="C36294" s="1">
        <v>1.10666094200638E-4</v>
      </c>
      <c r="D36294" s="1">
        <v>2.9896772666154699E-4</v>
      </c>
      <c r="E36294" s="1">
        <v>2.2162253770842199E-4</v>
      </c>
      <c r="F36294" s="1">
        <v>1.2555023984373601E-4</v>
      </c>
    </row>
    <row r="36295" spans="1:6" x14ac:dyDescent="0.25">
      <c r="A36295" s="2" t="str">
        <f t="shared" si="1228"/>
        <v>99999</v>
      </c>
      <c r="B36295" s="2" t="str">
        <f>"63469"</f>
        <v>63469</v>
      </c>
      <c r="C36295" s="1">
        <v>6.8647902615583305E-5</v>
      </c>
      <c r="D36295" s="1">
        <v>7.2844928323625703E-5</v>
      </c>
      <c r="E36295" s="1">
        <v>3.0418779685469802E-5</v>
      </c>
      <c r="F36295" s="1">
        <v>6.8047832054766904E-5</v>
      </c>
    </row>
    <row r="36296" spans="1:6" x14ac:dyDescent="0.25">
      <c r="A36296" s="2" t="str">
        <f t="shared" si="1228"/>
        <v>99999</v>
      </c>
      <c r="B36296" s="2" t="str">
        <f>"63460"</f>
        <v>63460</v>
      </c>
      <c r="C36296" s="1">
        <v>1.9208316153167901E-5</v>
      </c>
      <c r="D36296" s="1">
        <v>2.4281642774541899E-5</v>
      </c>
      <c r="E36296" s="1">
        <v>4.3455399550671099E-6</v>
      </c>
      <c r="F36296" s="1">
        <v>1.92006309745175E-5</v>
      </c>
    </row>
    <row r="36297" spans="1:6" x14ac:dyDescent="0.25">
      <c r="A36297" s="2" t="str">
        <f t="shared" si="1228"/>
        <v>99999</v>
      </c>
      <c r="B36297" s="2" t="str">
        <f>"63828"</f>
        <v>63828</v>
      </c>
      <c r="C36297" s="1">
        <v>0</v>
      </c>
      <c r="D36297" s="1">
        <v>1.51760267340886E-6</v>
      </c>
      <c r="E36297" s="1">
        <v>4.3455399550671099E-6</v>
      </c>
      <c r="F36297" s="1">
        <v>1.9897026916598501E-7</v>
      </c>
    </row>
    <row r="36298" spans="1:6" x14ac:dyDescent="0.25">
      <c r="A36298" s="2" t="str">
        <f t="shared" si="1228"/>
        <v>99999</v>
      </c>
      <c r="B36298" s="2" t="str">
        <f>"63851"</f>
        <v>63851</v>
      </c>
      <c r="C36298" s="1">
        <v>2.2438805688018899E-4</v>
      </c>
      <c r="D36298" s="1">
        <v>3.4449580686381301E-4</v>
      </c>
      <c r="E36298" s="1">
        <v>8.2565259146275205E-5</v>
      </c>
      <c r="F36298" s="1">
        <v>2.2901477981004901E-4</v>
      </c>
    </row>
    <row r="36299" spans="1:6" x14ac:dyDescent="0.25">
      <c r="A36299" s="2" t="str">
        <f t="shared" si="1228"/>
        <v>99999</v>
      </c>
      <c r="B36299" s="2" t="str">
        <f>"63822"</f>
        <v>63822</v>
      </c>
      <c r="C36299" s="1">
        <v>1.3631356179151499E-4</v>
      </c>
      <c r="D36299" s="1">
        <v>6.9809722976807906E-5</v>
      </c>
      <c r="E36299" s="1">
        <v>4.3455399550671099E-6</v>
      </c>
      <c r="F36299" s="1">
        <v>1.28932734419558E-4</v>
      </c>
    </row>
    <row r="36300" spans="1:6" x14ac:dyDescent="0.25">
      <c r="A36300" s="2" t="str">
        <f t="shared" si="1228"/>
        <v>99999</v>
      </c>
      <c r="B36300" s="2" t="str">
        <f>"63675"</f>
        <v>63675</v>
      </c>
      <c r="C36300" s="1">
        <v>1.6479862154138401E-5</v>
      </c>
      <c r="D36300" s="1">
        <v>1.51760267340886E-6</v>
      </c>
      <c r="E36300" s="1">
        <v>4.3455399550671099E-6</v>
      </c>
      <c r="F36300" s="1">
        <v>1.52212255911978E-5</v>
      </c>
    </row>
    <row r="36301" spans="1:6" x14ac:dyDescent="0.25">
      <c r="A36301" s="2" t="str">
        <f t="shared" si="1228"/>
        <v>99999</v>
      </c>
      <c r="B36301" s="2" t="str">
        <f>"63746"</f>
        <v>63746</v>
      </c>
      <c r="C36301" s="1">
        <v>1.6370723994177199E-6</v>
      </c>
      <c r="D36301" s="1">
        <v>7.5880133670443404E-6</v>
      </c>
      <c r="E36301" s="1">
        <v>4.3455399550671099E-6</v>
      </c>
      <c r="F36301" s="1">
        <v>2.08918782624284E-6</v>
      </c>
    </row>
    <row r="36302" spans="1:6" x14ac:dyDescent="0.25">
      <c r="A36302" s="2" t="str">
        <f t="shared" si="1228"/>
        <v>99999</v>
      </c>
      <c r="B36302" s="2" t="str">
        <f>"63737"</f>
        <v>63737</v>
      </c>
      <c r="C36302" s="1">
        <v>1.3096579195341799E-6</v>
      </c>
      <c r="D36302" s="1">
        <v>4.5528080202265997E-6</v>
      </c>
      <c r="E36302" s="1">
        <v>0</v>
      </c>
      <c r="F36302" s="1">
        <v>1.4922770187448801E-6</v>
      </c>
    </row>
    <row r="36303" spans="1:6" x14ac:dyDescent="0.25">
      <c r="A36303" s="2" t="str">
        <f t="shared" si="1228"/>
        <v>99999</v>
      </c>
      <c r="B36303" s="2" t="str">
        <f>"63763"</f>
        <v>63763</v>
      </c>
      <c r="C36303" s="1">
        <v>1.1459506795924E-5</v>
      </c>
      <c r="D36303" s="1">
        <v>0</v>
      </c>
      <c r="E36303" s="1">
        <v>4.3455399550671099E-6</v>
      </c>
      <c r="F36303" s="1">
        <v>1.05454242657972E-5</v>
      </c>
    </row>
    <row r="36304" spans="1:6" x14ac:dyDescent="0.25">
      <c r="A36304" s="2" t="str">
        <f t="shared" si="1228"/>
        <v>99999</v>
      </c>
      <c r="B36304" s="2" t="str">
        <f>"63437"</f>
        <v>63437</v>
      </c>
      <c r="C36304" s="1">
        <v>8.8947600368363098E-5</v>
      </c>
      <c r="D36304" s="1">
        <v>5.9186504262945899E-5</v>
      </c>
      <c r="E36304" s="1">
        <v>1.3036619865201299E-5</v>
      </c>
      <c r="F36304" s="1">
        <v>8.5258760337624597E-5</v>
      </c>
    </row>
    <row r="36305" spans="1:6" x14ac:dyDescent="0.25">
      <c r="A36305" s="2" t="str">
        <f t="shared" si="1228"/>
        <v>99999</v>
      </c>
      <c r="B36305" s="2" t="str">
        <f>"63567"</f>
        <v>63567</v>
      </c>
      <c r="C36305" s="1">
        <v>1.10229541560793E-5</v>
      </c>
      <c r="D36305" s="1">
        <v>4.5528080202265997E-6</v>
      </c>
      <c r="E36305" s="1">
        <v>1.3036619865201299E-5</v>
      </c>
      <c r="F36305" s="1">
        <v>1.0644909400380201E-5</v>
      </c>
    </row>
    <row r="36306" spans="1:6" x14ac:dyDescent="0.25">
      <c r="A36306" s="2" t="str">
        <f t="shared" ref="A36306:A36369" si="1229">"99999"</f>
        <v>99999</v>
      </c>
      <c r="B36306" s="2" t="str">
        <f>"63638"</f>
        <v>63638</v>
      </c>
      <c r="C36306" s="1">
        <v>1.5617670690445099E-4</v>
      </c>
      <c r="D36306" s="1">
        <v>9.8644173771576501E-5</v>
      </c>
      <c r="E36306" s="1">
        <v>3.9109859595604001E-5</v>
      </c>
      <c r="F36306" s="1">
        <v>1.49725127547403E-4</v>
      </c>
    </row>
    <row r="36307" spans="1:6" x14ac:dyDescent="0.25">
      <c r="A36307" s="2" t="str">
        <f t="shared" si="1229"/>
        <v>99999</v>
      </c>
      <c r="B36307" s="2" t="str">
        <f>"63631"</f>
        <v>63631</v>
      </c>
      <c r="C36307" s="1">
        <v>4.3546125824511501E-5</v>
      </c>
      <c r="D36307" s="1">
        <v>5.0080888222492601E-5</v>
      </c>
      <c r="E36307" s="1">
        <v>1.7382159820268399E-5</v>
      </c>
      <c r="F36307" s="1">
        <v>4.3375518678184703E-5</v>
      </c>
    </row>
    <row r="36308" spans="1:6" x14ac:dyDescent="0.25">
      <c r="A36308" s="2" t="str">
        <f t="shared" si="1229"/>
        <v>99999</v>
      </c>
      <c r="B36308" s="2" t="str">
        <f>"63630"</f>
        <v>63630</v>
      </c>
      <c r="C36308" s="1">
        <v>2.4905328103141602E-4</v>
      </c>
      <c r="D36308" s="1">
        <v>9.5608968424758703E-5</v>
      </c>
      <c r="E36308" s="1">
        <v>8.69107991013423E-6</v>
      </c>
      <c r="F36308" s="1">
        <v>2.3349161086628299E-4</v>
      </c>
    </row>
    <row r="36309" spans="1:6" x14ac:dyDescent="0.25">
      <c r="A36309" s="2" t="str">
        <f t="shared" si="1229"/>
        <v>99999</v>
      </c>
      <c r="B36309" s="2" t="str">
        <f>"63382"</f>
        <v>63382</v>
      </c>
      <c r="C36309" s="1">
        <v>5.2386316781367196E-6</v>
      </c>
      <c r="D36309" s="1">
        <v>0</v>
      </c>
      <c r="E36309" s="1">
        <v>0</v>
      </c>
      <c r="F36309" s="1">
        <v>4.7752864599836398E-6</v>
      </c>
    </row>
    <row r="36310" spans="1:6" x14ac:dyDescent="0.25">
      <c r="A36310" s="2" t="str">
        <f t="shared" si="1229"/>
        <v>99999</v>
      </c>
      <c r="B36310" s="2" t="str">
        <f>"63363"</f>
        <v>63363</v>
      </c>
      <c r="C36310" s="1">
        <v>8.3054139730459294E-5</v>
      </c>
      <c r="D36310" s="1">
        <v>6.37393122831725E-5</v>
      </c>
      <c r="E36310" s="1">
        <v>3.9109859595604001E-5</v>
      </c>
      <c r="F36310" s="1">
        <v>8.0781929281389996E-5</v>
      </c>
    </row>
    <row r="36311" spans="1:6" x14ac:dyDescent="0.25">
      <c r="A36311" s="2" t="str">
        <f t="shared" si="1229"/>
        <v>99999</v>
      </c>
      <c r="B36311" s="2" t="str">
        <f>"63359"</f>
        <v>63359</v>
      </c>
      <c r="C36311" s="1">
        <v>7.5851021173021306E-5</v>
      </c>
      <c r="D36311" s="1">
        <v>3.9457669508630602E-5</v>
      </c>
      <c r="E36311" s="1">
        <v>8.69107991013423E-6</v>
      </c>
      <c r="F36311" s="1">
        <v>7.1927752303503595E-5</v>
      </c>
    </row>
    <row r="36312" spans="1:6" x14ac:dyDescent="0.25">
      <c r="A36312" s="2" t="str">
        <f t="shared" si="1229"/>
        <v>99999</v>
      </c>
      <c r="B36312" s="2" t="str">
        <f>"62996"</f>
        <v>62996</v>
      </c>
      <c r="C36312" s="1">
        <v>3.8634908626258302E-5</v>
      </c>
      <c r="D36312" s="1">
        <v>1.0623218713862E-5</v>
      </c>
      <c r="E36312" s="1">
        <v>4.3455399550671099E-6</v>
      </c>
      <c r="F36312" s="1">
        <v>3.60136187190433E-5</v>
      </c>
    </row>
    <row r="36313" spans="1:6" x14ac:dyDescent="0.25">
      <c r="A36313" s="2" t="str">
        <f t="shared" si="1229"/>
        <v>99999</v>
      </c>
      <c r="B36313" s="2" t="str">
        <f>"62987"</f>
        <v>62987</v>
      </c>
      <c r="C36313" s="1">
        <v>4.1363362625287799E-5</v>
      </c>
      <c r="D36313" s="1">
        <v>3.0352053468177301E-6</v>
      </c>
      <c r="E36313" s="1">
        <v>1.3036619865201299E-5</v>
      </c>
      <c r="F36313" s="1">
        <v>3.8202291679869098E-5</v>
      </c>
    </row>
    <row r="36314" spans="1:6" x14ac:dyDescent="0.25">
      <c r="A36314" s="2" t="str">
        <f t="shared" si="1229"/>
        <v>99999</v>
      </c>
      <c r="B36314" s="2" t="str">
        <f>"62833"</f>
        <v>62833</v>
      </c>
      <c r="C36314" s="1">
        <v>2.0408835912740901E-5</v>
      </c>
      <c r="D36314" s="1">
        <v>0</v>
      </c>
      <c r="E36314" s="1">
        <v>4.3455399550671099E-6</v>
      </c>
      <c r="F36314" s="1">
        <v>1.8703205301602599E-5</v>
      </c>
    </row>
    <row r="36315" spans="1:6" x14ac:dyDescent="0.25">
      <c r="A36315" s="2" t="str">
        <f t="shared" si="1229"/>
        <v>99999</v>
      </c>
      <c r="B36315" s="2" t="str">
        <f>"62820"</f>
        <v>62820</v>
      </c>
      <c r="C36315" s="1">
        <v>1.1459506795924E-5</v>
      </c>
      <c r="D36315" s="1">
        <v>1.3658424060679801E-5</v>
      </c>
      <c r="E36315" s="1">
        <v>4.3455399550671099E-6</v>
      </c>
      <c r="F36315" s="1">
        <v>1.1440790477044101E-5</v>
      </c>
    </row>
    <row r="36316" spans="1:6" x14ac:dyDescent="0.25">
      <c r="A36316" s="2" t="str">
        <f t="shared" si="1229"/>
        <v>99999</v>
      </c>
      <c r="B36316" s="2" t="str">
        <f>"62817"</f>
        <v>62817</v>
      </c>
      <c r="C36316" s="1">
        <v>3.0667822949091999E-5</v>
      </c>
      <c r="D36316" s="1">
        <v>9.1056160404532095E-6</v>
      </c>
      <c r="E36316" s="1">
        <v>8.69107991013423E-6</v>
      </c>
      <c r="F36316" s="1">
        <v>2.8751203894484799E-5</v>
      </c>
    </row>
    <row r="36317" spans="1:6" x14ac:dyDescent="0.25">
      <c r="A36317" s="2" t="str">
        <f t="shared" si="1229"/>
        <v>99999</v>
      </c>
      <c r="B36317" s="2" t="str">
        <f>"62812"</f>
        <v>62812</v>
      </c>
      <c r="C36317" s="1">
        <v>6.2819924873656202E-4</v>
      </c>
      <c r="D36317" s="1">
        <v>8.3164626502805995E-4</v>
      </c>
      <c r="E36317" s="1">
        <v>5.6926573411379201E-4</v>
      </c>
      <c r="F36317" s="1">
        <v>6.4018684104155698E-4</v>
      </c>
    </row>
    <row r="36318" spans="1:6" x14ac:dyDescent="0.25">
      <c r="A36318" s="2" t="str">
        <f t="shared" si="1229"/>
        <v>99999</v>
      </c>
      <c r="B36318" s="2" t="str">
        <f>"62806"</f>
        <v>62806</v>
      </c>
      <c r="C36318" s="1">
        <v>1.8935470753265001E-4</v>
      </c>
      <c r="D36318" s="1">
        <v>3.0807334270199999E-4</v>
      </c>
      <c r="E36318" s="1">
        <v>1.3471173860707999E-4</v>
      </c>
      <c r="F36318" s="1">
        <v>1.9588622999391201E-4</v>
      </c>
    </row>
    <row r="36319" spans="1:6" x14ac:dyDescent="0.25">
      <c r="A36319" s="2" t="str">
        <f t="shared" si="1229"/>
        <v>99999</v>
      </c>
      <c r="B36319" s="2" t="str">
        <f>"62957"</f>
        <v>62957</v>
      </c>
      <c r="C36319" s="1">
        <v>2.2919013591848099E-6</v>
      </c>
      <c r="D36319" s="1">
        <v>3.0352053468177301E-6</v>
      </c>
      <c r="E36319" s="1">
        <v>0</v>
      </c>
      <c r="F36319" s="1">
        <v>2.2881580954088299E-6</v>
      </c>
    </row>
    <row r="36320" spans="1:6" x14ac:dyDescent="0.25">
      <c r="A36320" s="2" t="str">
        <f t="shared" si="1229"/>
        <v>99999</v>
      </c>
      <c r="B36320" s="2" t="str">
        <f>"62935"</f>
        <v>62935</v>
      </c>
      <c r="C36320" s="1">
        <v>1.22234739156523E-4</v>
      </c>
      <c r="D36320" s="1">
        <v>5.3116093569310399E-5</v>
      </c>
      <c r="E36320" s="1">
        <v>6.9528639281073799E-5</v>
      </c>
      <c r="F36320" s="1">
        <v>1.16497092596684E-4</v>
      </c>
    </row>
    <row r="36321" spans="1:6" x14ac:dyDescent="0.25">
      <c r="A36321" s="2" t="str">
        <f t="shared" si="1229"/>
        <v>99999</v>
      </c>
      <c r="B36321" s="2" t="str">
        <f>"62931"</f>
        <v>62931</v>
      </c>
      <c r="C36321" s="1">
        <v>1.32930278832719E-4</v>
      </c>
      <c r="D36321" s="1">
        <v>3.6422464161812797E-5</v>
      </c>
      <c r="E36321" s="1">
        <v>4.7800939505738197E-5</v>
      </c>
      <c r="F36321" s="1">
        <v>1.24654873632489E-4</v>
      </c>
    </row>
    <row r="36322" spans="1:6" x14ac:dyDescent="0.25">
      <c r="A36322" s="2" t="str">
        <f t="shared" si="1229"/>
        <v>99999</v>
      </c>
      <c r="B36322" s="2" t="str">
        <f>"62883"</f>
        <v>62883</v>
      </c>
      <c r="C36322" s="1">
        <v>9.8224343965063504E-6</v>
      </c>
      <c r="D36322" s="1">
        <v>3.0352053468177301E-6</v>
      </c>
      <c r="E36322" s="1">
        <v>0</v>
      </c>
      <c r="F36322" s="1">
        <v>9.1526323816353195E-6</v>
      </c>
    </row>
    <row r="36323" spans="1:6" x14ac:dyDescent="0.25">
      <c r="A36323" s="2" t="str">
        <f t="shared" si="1229"/>
        <v>99999</v>
      </c>
      <c r="B36323" s="2" t="str">
        <f>"62923"</f>
        <v>62923</v>
      </c>
      <c r="C36323" s="1">
        <v>3.8198355986413598E-6</v>
      </c>
      <c r="D36323" s="1">
        <v>1.51760267340886E-6</v>
      </c>
      <c r="E36323" s="1">
        <v>0</v>
      </c>
      <c r="F36323" s="1">
        <v>3.5814648449877301E-6</v>
      </c>
    </row>
    <row r="36324" spans="1:6" x14ac:dyDescent="0.25">
      <c r="A36324" s="2" t="str">
        <f t="shared" si="1229"/>
        <v>99999</v>
      </c>
      <c r="B36324" s="2" t="str">
        <f>"62930"</f>
        <v>62930</v>
      </c>
      <c r="C36324" s="1">
        <v>3.77836309785611E-4</v>
      </c>
      <c r="D36324" s="1">
        <v>4.2492874855448297E-4</v>
      </c>
      <c r="E36324" s="1">
        <v>1.9989483793308701E-4</v>
      </c>
      <c r="F36324" s="1">
        <v>3.7684968980037601E-4</v>
      </c>
    </row>
    <row r="36325" spans="1:6" x14ac:dyDescent="0.25">
      <c r="A36325" s="2" t="str">
        <f t="shared" si="1229"/>
        <v>99999</v>
      </c>
      <c r="B36325" s="2" t="str">
        <f>"62682"</f>
        <v>62682</v>
      </c>
      <c r="C36325" s="1">
        <v>2.3792118871537602E-5</v>
      </c>
      <c r="D36325" s="1">
        <v>6.0704106936354696E-6</v>
      </c>
      <c r="E36325" s="1">
        <v>8.69107991013423E-6</v>
      </c>
      <c r="F36325" s="1">
        <v>2.2284670146590302E-5</v>
      </c>
    </row>
    <row r="36326" spans="1:6" x14ac:dyDescent="0.25">
      <c r="A36326" s="2" t="str">
        <f t="shared" si="1229"/>
        <v>99999</v>
      </c>
      <c r="B36326" s="2" t="str">
        <f>"62464"</f>
        <v>62464</v>
      </c>
      <c r="C36326" s="1">
        <v>4.6929408783308102E-6</v>
      </c>
      <c r="D36326" s="1">
        <v>0</v>
      </c>
      <c r="E36326" s="1">
        <v>4.3455399550671099E-6</v>
      </c>
      <c r="F36326" s="1">
        <v>4.3773459216516703E-6</v>
      </c>
    </row>
    <row r="36327" spans="1:6" x14ac:dyDescent="0.25">
      <c r="A36327" s="2" t="str">
        <f t="shared" si="1229"/>
        <v>99999</v>
      </c>
      <c r="B36327" s="2" t="str">
        <f>"62480"</f>
        <v>62480</v>
      </c>
      <c r="C36327" s="1">
        <v>4.1145086305365503E-5</v>
      </c>
      <c r="D36327" s="1">
        <v>1.5176026734088599E-5</v>
      </c>
      <c r="E36327" s="1">
        <v>1.3036619865201299E-5</v>
      </c>
      <c r="F36327" s="1">
        <v>3.8799202487367103E-5</v>
      </c>
    </row>
    <row r="36328" spans="1:6" x14ac:dyDescent="0.25">
      <c r="A36328" s="2" t="str">
        <f t="shared" si="1229"/>
        <v>99999</v>
      </c>
      <c r="B36328" s="2" t="str">
        <f>"62431"</f>
        <v>62431</v>
      </c>
      <c r="C36328" s="1">
        <v>5.5223908940357899E-5</v>
      </c>
      <c r="D36328" s="1">
        <v>1.0623218713862E-5</v>
      </c>
      <c r="E36328" s="1">
        <v>4.3455399550671099E-6</v>
      </c>
      <c r="F36328" s="1">
        <v>5.11353591756582E-5</v>
      </c>
    </row>
    <row r="36329" spans="1:6" x14ac:dyDescent="0.25">
      <c r="A36329" s="2" t="str">
        <f t="shared" si="1229"/>
        <v>99999</v>
      </c>
      <c r="B36329" s="2" t="str">
        <f>"62644"</f>
        <v>62644</v>
      </c>
      <c r="C36329" s="1">
        <v>2.7895713686078001E-4</v>
      </c>
      <c r="D36329" s="1">
        <v>4.1734073518743902E-4</v>
      </c>
      <c r="E36329" s="1">
        <v>3.6067981627057E-4</v>
      </c>
      <c r="F36329" s="1">
        <v>2.8989968217483998E-4</v>
      </c>
    </row>
    <row r="36330" spans="1:6" x14ac:dyDescent="0.25">
      <c r="A36330" s="2" t="str">
        <f t="shared" si="1229"/>
        <v>99999</v>
      </c>
      <c r="B36330" s="2" t="str">
        <f>"62544"</f>
        <v>62544</v>
      </c>
      <c r="C36330" s="1">
        <v>1.09138159961181E-7</v>
      </c>
      <c r="D36330" s="1">
        <v>0</v>
      </c>
      <c r="E36330" s="1">
        <v>0</v>
      </c>
      <c r="F36330" s="1">
        <v>9.9485134582992598E-8</v>
      </c>
    </row>
    <row r="36331" spans="1:6" x14ac:dyDescent="0.25">
      <c r="A36331" s="2" t="str">
        <f t="shared" si="1229"/>
        <v>99999</v>
      </c>
      <c r="B36331" s="2" t="str">
        <f>"62558"</f>
        <v>62558</v>
      </c>
      <c r="C36331" s="1">
        <v>1.52793423945654E-6</v>
      </c>
      <c r="D36331" s="1">
        <v>0</v>
      </c>
      <c r="E36331" s="1">
        <v>0</v>
      </c>
      <c r="F36331" s="1">
        <v>1.39279188416189E-6</v>
      </c>
    </row>
    <row r="36332" spans="1:6" x14ac:dyDescent="0.25">
      <c r="A36332" s="2" t="str">
        <f t="shared" si="1229"/>
        <v>99999</v>
      </c>
      <c r="B36332" s="2" t="str">
        <f>"62627"</f>
        <v>62627</v>
      </c>
      <c r="C36332" s="1">
        <v>5.5987876060086201E-5</v>
      </c>
      <c r="D36332" s="1">
        <v>1.21408213872709E-5</v>
      </c>
      <c r="E36332" s="1">
        <v>0</v>
      </c>
      <c r="F36332" s="1">
        <v>5.1831755117739102E-5</v>
      </c>
    </row>
    <row r="36333" spans="1:6" x14ac:dyDescent="0.25">
      <c r="A36333" s="2" t="str">
        <f t="shared" si="1229"/>
        <v>99999</v>
      </c>
      <c r="B36333" s="2" t="str">
        <f>"62571"</f>
        <v>62571</v>
      </c>
      <c r="C36333" s="1">
        <v>6.3409270937446498E-5</v>
      </c>
      <c r="D36333" s="1">
        <v>1.3658424060679801E-5</v>
      </c>
      <c r="E36333" s="1">
        <v>0</v>
      </c>
      <c r="F36333" s="1">
        <v>5.86962294039656E-5</v>
      </c>
    </row>
    <row r="36334" spans="1:6" x14ac:dyDescent="0.25">
      <c r="A36334" s="2" t="str">
        <f t="shared" si="1229"/>
        <v>99999</v>
      </c>
      <c r="B36334" s="2" t="str">
        <f>"62414"</f>
        <v>62414</v>
      </c>
      <c r="C36334" s="1">
        <v>3.4924211187578098E-6</v>
      </c>
      <c r="D36334" s="1">
        <v>3.0352053468177301E-6</v>
      </c>
      <c r="E36334" s="1">
        <v>0</v>
      </c>
      <c r="F36334" s="1">
        <v>3.3824945758217398E-6</v>
      </c>
    </row>
    <row r="36335" spans="1:6" x14ac:dyDescent="0.25">
      <c r="A36335" s="2" t="str">
        <f t="shared" si="1229"/>
        <v>99999</v>
      </c>
      <c r="B36335" s="2" t="str">
        <f>"62421"</f>
        <v>62421</v>
      </c>
      <c r="C36335" s="1">
        <v>4.2891296864744402E-5</v>
      </c>
      <c r="D36335" s="1">
        <v>1.9728834754315301E-5</v>
      </c>
      <c r="E36335" s="1">
        <v>4.3455399550671099E-6</v>
      </c>
      <c r="F36335" s="1">
        <v>4.0490449775278003E-5</v>
      </c>
    </row>
    <row r="36336" spans="1:6" x14ac:dyDescent="0.25">
      <c r="A36336" s="2" t="str">
        <f t="shared" si="1229"/>
        <v>99999</v>
      </c>
      <c r="B36336" s="2" t="str">
        <f>"62418"</f>
        <v>62418</v>
      </c>
      <c r="C36336" s="1">
        <v>1.05645738842423E-4</v>
      </c>
      <c r="D36336" s="1">
        <v>5.7668901589537E-5</v>
      </c>
      <c r="E36336" s="1">
        <v>1.3036619865201299E-5</v>
      </c>
      <c r="F36336" s="1">
        <v>1.00380500794239E-4</v>
      </c>
    </row>
    <row r="36337" spans="1:6" x14ac:dyDescent="0.25">
      <c r="A36337" s="2" t="str">
        <f t="shared" si="1229"/>
        <v>99999</v>
      </c>
      <c r="B36337" s="2" t="str">
        <f>"62363"</f>
        <v>62363</v>
      </c>
      <c r="C36337" s="1">
        <v>3.18792565246611E-4</v>
      </c>
      <c r="D36337" s="1">
        <v>5.9945305599650302E-4</v>
      </c>
      <c r="E36337" s="1">
        <v>2.99842256899631E-4</v>
      </c>
      <c r="F36337" s="1">
        <v>3.3675718056343001E-4</v>
      </c>
    </row>
    <row r="36338" spans="1:6" x14ac:dyDescent="0.25">
      <c r="A36338" s="2" t="str">
        <f t="shared" si="1229"/>
        <v>99999</v>
      </c>
      <c r="B36338" s="2" t="str">
        <f>"62346"</f>
        <v>62346</v>
      </c>
      <c r="C36338" s="1">
        <v>3.2741447988354498E-7</v>
      </c>
      <c r="D36338" s="1">
        <v>0</v>
      </c>
      <c r="E36338" s="1">
        <v>0</v>
      </c>
      <c r="F36338" s="1">
        <v>2.9845540374897701E-7</v>
      </c>
    </row>
    <row r="36339" spans="1:6" x14ac:dyDescent="0.25">
      <c r="A36339" s="2" t="str">
        <f t="shared" si="1229"/>
        <v>99999</v>
      </c>
      <c r="B36339" s="2" t="str">
        <f>"62344"</f>
        <v>62344</v>
      </c>
      <c r="C36339" s="1">
        <v>1.0040710716428699E-5</v>
      </c>
      <c r="D36339" s="1">
        <v>4.5528080202265997E-6</v>
      </c>
      <c r="E36339" s="1">
        <v>4.3455399550671099E-6</v>
      </c>
      <c r="F36339" s="1">
        <v>9.5505729199672898E-6</v>
      </c>
    </row>
    <row r="36340" spans="1:6" x14ac:dyDescent="0.25">
      <c r="A36340" s="2" t="str">
        <f t="shared" si="1229"/>
        <v>99999</v>
      </c>
      <c r="B36340" s="2" t="str">
        <f>"62355"</f>
        <v>62355</v>
      </c>
      <c r="C36340" s="1">
        <v>4.9439586462415298E-5</v>
      </c>
      <c r="D36340" s="1">
        <v>2.7316848121359601E-5</v>
      </c>
      <c r="E36340" s="1">
        <v>4.3455399550671099E-6</v>
      </c>
      <c r="F36340" s="1">
        <v>4.69569835231725E-5</v>
      </c>
    </row>
    <row r="36341" spans="1:6" x14ac:dyDescent="0.25">
      <c r="A36341" s="2" t="str">
        <f t="shared" si="1229"/>
        <v>99999</v>
      </c>
      <c r="B36341" s="2" t="str">
        <f>"62353"</f>
        <v>62353</v>
      </c>
      <c r="C36341" s="1">
        <v>2.48180175751727E-4</v>
      </c>
      <c r="D36341" s="1">
        <v>3.64224641618128E-4</v>
      </c>
      <c r="E36341" s="1">
        <v>2.5204131739389198E-4</v>
      </c>
      <c r="F36341" s="1">
        <v>2.5587576614745703E-4</v>
      </c>
    </row>
    <row r="36342" spans="1:6" x14ac:dyDescent="0.25">
      <c r="A36342" s="2" t="str">
        <f t="shared" si="1229"/>
        <v>99999</v>
      </c>
      <c r="B36342" s="2" t="str">
        <f>"62361"</f>
        <v>62361</v>
      </c>
      <c r="C36342" s="1">
        <v>2.7611954470178899E-5</v>
      </c>
      <c r="D36342" s="1">
        <v>1.3658424060679801E-5</v>
      </c>
      <c r="E36342" s="1">
        <v>4.3455399550671099E-6</v>
      </c>
      <c r="F36342" s="1">
        <v>2.6164590395327E-5</v>
      </c>
    </row>
    <row r="36343" spans="1:6" x14ac:dyDescent="0.25">
      <c r="A36343" s="2" t="str">
        <f t="shared" si="1229"/>
        <v>99999</v>
      </c>
      <c r="B36343" s="2" t="str">
        <f>"62077"</f>
        <v>62077</v>
      </c>
      <c r="C36343" s="1">
        <v>1.7243829273866699E-5</v>
      </c>
      <c r="D36343" s="1">
        <v>0</v>
      </c>
      <c r="E36343" s="1">
        <v>4.3455399550671099E-6</v>
      </c>
      <c r="F36343" s="1">
        <v>1.5818136398695801E-5</v>
      </c>
    </row>
    <row r="36344" spans="1:6" x14ac:dyDescent="0.25">
      <c r="A36344" s="2" t="str">
        <f t="shared" si="1229"/>
        <v>99999</v>
      </c>
      <c r="B36344" s="2" t="str">
        <f>"62091"</f>
        <v>62091</v>
      </c>
      <c r="C36344" s="1">
        <v>1.9863145112935E-5</v>
      </c>
      <c r="D36344" s="1">
        <v>7.5880133670443404E-6</v>
      </c>
      <c r="E36344" s="1">
        <v>0</v>
      </c>
      <c r="F36344" s="1">
        <v>1.8603720167019601E-5</v>
      </c>
    </row>
    <row r="36345" spans="1:6" x14ac:dyDescent="0.25">
      <c r="A36345" s="2" t="str">
        <f t="shared" si="1229"/>
        <v>99999</v>
      </c>
      <c r="B36345" s="2" t="str">
        <f>"62080"</f>
        <v>62080</v>
      </c>
      <c r="C36345" s="1">
        <v>1.3227544987295199E-4</v>
      </c>
      <c r="D36345" s="1">
        <v>5.6151298916128101E-5</v>
      </c>
      <c r="E36345" s="1">
        <v>5.21464794608054E-5</v>
      </c>
      <c r="F36345" s="1">
        <v>1.2545075470915299E-4</v>
      </c>
    </row>
    <row r="36346" spans="1:6" x14ac:dyDescent="0.25">
      <c r="A36346" s="2" t="str">
        <f t="shared" si="1229"/>
        <v>99999</v>
      </c>
      <c r="B36346" s="2" t="str">
        <f>"62054"</f>
        <v>62054</v>
      </c>
      <c r="C36346" s="1">
        <v>1.8444349033439702E-5</v>
      </c>
      <c r="D36346" s="1">
        <v>0</v>
      </c>
      <c r="E36346" s="1">
        <v>2.1727699775335501E-5</v>
      </c>
      <c r="F36346" s="1">
        <v>1.7310413417440701E-5</v>
      </c>
    </row>
    <row r="36347" spans="1:6" x14ac:dyDescent="0.25">
      <c r="A36347" s="2" t="str">
        <f t="shared" si="1229"/>
        <v>99999</v>
      </c>
      <c r="B36347" s="2" t="str">
        <f>"62241"</f>
        <v>62241</v>
      </c>
      <c r="C36347" s="1">
        <v>4.9767000942298797E-5</v>
      </c>
      <c r="D36347" s="1">
        <v>1.66936294074975E-5</v>
      </c>
      <c r="E36347" s="1">
        <v>3.9109859595604001E-5</v>
      </c>
      <c r="F36347" s="1">
        <v>4.7354924061504399E-5</v>
      </c>
    </row>
    <row r="36348" spans="1:6" x14ac:dyDescent="0.25">
      <c r="A36348" s="2" t="str">
        <f t="shared" si="1229"/>
        <v>99999</v>
      </c>
      <c r="B36348" s="2" t="str">
        <f>"62238"</f>
        <v>62238</v>
      </c>
      <c r="C36348" s="1">
        <v>2.6847987350450699E-5</v>
      </c>
      <c r="D36348" s="1">
        <v>6.0704106936354696E-6</v>
      </c>
      <c r="E36348" s="1">
        <v>1.7382159820268399E-5</v>
      </c>
      <c r="F36348" s="1">
        <v>2.5269224184080101E-5</v>
      </c>
    </row>
    <row r="36349" spans="1:6" x14ac:dyDescent="0.25">
      <c r="A36349" s="2" t="str">
        <f t="shared" si="1229"/>
        <v>99999</v>
      </c>
      <c r="B36349" s="2" t="str">
        <f>"62272"</f>
        <v>62272</v>
      </c>
      <c r="C36349" s="1">
        <v>7.6942402772633099E-5</v>
      </c>
      <c r="D36349" s="1">
        <v>7.5880133670443404E-6</v>
      </c>
      <c r="E36349" s="1">
        <v>5.6492019415872502E-5</v>
      </c>
      <c r="F36349" s="1">
        <v>7.1927752303503595E-5</v>
      </c>
    </row>
    <row r="36350" spans="1:6" x14ac:dyDescent="0.25">
      <c r="A36350" s="2" t="str">
        <f t="shared" si="1229"/>
        <v>99999</v>
      </c>
      <c r="B36350" s="2" t="str">
        <f>"62271"</f>
        <v>62271</v>
      </c>
      <c r="C36350" s="1">
        <v>1.1175747580025E-4</v>
      </c>
      <c r="D36350" s="1">
        <v>8.043294169067E-5</v>
      </c>
      <c r="E36350" s="1">
        <v>7.3874179236140894E-5</v>
      </c>
      <c r="F36350" s="1">
        <v>1.08836737233793E-4</v>
      </c>
    </row>
    <row r="36351" spans="1:6" x14ac:dyDescent="0.25">
      <c r="A36351" s="2" t="str">
        <f t="shared" si="1229"/>
        <v>99999</v>
      </c>
      <c r="B36351" s="2" t="str">
        <f>"62268"</f>
        <v>62268</v>
      </c>
      <c r="C36351" s="1">
        <v>3.8744046786219498E-5</v>
      </c>
      <c r="D36351" s="1">
        <v>2.1246437427724101E-5</v>
      </c>
      <c r="E36351" s="1">
        <v>4.3455399550671099E-6</v>
      </c>
      <c r="F36351" s="1">
        <v>3.68094997957072E-5</v>
      </c>
    </row>
    <row r="36352" spans="1:6" x14ac:dyDescent="0.25">
      <c r="A36352" s="2" t="str">
        <f t="shared" si="1229"/>
        <v>99999</v>
      </c>
      <c r="B36352" s="2" t="str">
        <f>"62233"</f>
        <v>62233</v>
      </c>
      <c r="C36352" s="1">
        <v>3.2566826932416598E-4</v>
      </c>
      <c r="D36352" s="1">
        <v>4.0975272182039397E-4</v>
      </c>
      <c r="E36352" s="1">
        <v>5.9968451379926199E-4</v>
      </c>
      <c r="F36352" s="1">
        <v>3.3745357650551101E-4</v>
      </c>
    </row>
    <row r="36353" spans="1:6" x14ac:dyDescent="0.25">
      <c r="A36353" s="2" t="str">
        <f t="shared" si="1229"/>
        <v>99999</v>
      </c>
      <c r="B36353" s="2" t="str">
        <f>"61810"</f>
        <v>61810</v>
      </c>
      <c r="C36353" s="1">
        <v>4.3655263984472602E-7</v>
      </c>
      <c r="D36353" s="1">
        <v>0</v>
      </c>
      <c r="E36353" s="1">
        <v>0</v>
      </c>
      <c r="F36353" s="1">
        <v>3.9794053833197002E-7</v>
      </c>
    </row>
    <row r="36354" spans="1:6" x14ac:dyDescent="0.25">
      <c r="A36354" s="2" t="str">
        <f t="shared" si="1229"/>
        <v>99999</v>
      </c>
      <c r="B36354" s="2" t="str">
        <f>"61852"</f>
        <v>61852</v>
      </c>
      <c r="C36354" s="1">
        <v>7.63967119728272E-7</v>
      </c>
      <c r="D36354" s="1">
        <v>0</v>
      </c>
      <c r="E36354" s="1">
        <v>0</v>
      </c>
      <c r="F36354" s="1">
        <v>6.9639594208094799E-7</v>
      </c>
    </row>
    <row r="36355" spans="1:6" x14ac:dyDescent="0.25">
      <c r="A36355" s="2" t="str">
        <f t="shared" si="1229"/>
        <v>99999</v>
      </c>
      <c r="B36355" s="2" t="str">
        <f>"61876"</f>
        <v>61876</v>
      </c>
      <c r="C36355" s="1">
        <v>2.4010395191459898E-6</v>
      </c>
      <c r="D36355" s="1">
        <v>3.0352053468177301E-6</v>
      </c>
      <c r="E36355" s="1">
        <v>0</v>
      </c>
      <c r="F36355" s="1">
        <v>2.3876432299918199E-6</v>
      </c>
    </row>
    <row r="36356" spans="1:6" x14ac:dyDescent="0.25">
      <c r="A36356" s="2" t="str">
        <f t="shared" si="1229"/>
        <v>99999</v>
      </c>
      <c r="B36356" s="2" t="str">
        <f>"61872"</f>
        <v>61872</v>
      </c>
      <c r="C36356" s="1">
        <v>1.20051975957299E-6</v>
      </c>
      <c r="D36356" s="1">
        <v>0</v>
      </c>
      <c r="E36356" s="1">
        <v>0</v>
      </c>
      <c r="F36356" s="1">
        <v>1.09433648041291E-6</v>
      </c>
    </row>
    <row r="36357" spans="1:6" x14ac:dyDescent="0.25">
      <c r="A36357" s="2" t="str">
        <f t="shared" si="1229"/>
        <v>99999</v>
      </c>
      <c r="B36357" s="2" t="str">
        <f>"61870"</f>
        <v>61870</v>
      </c>
      <c r="C36357" s="1">
        <v>1.6370723994177199E-6</v>
      </c>
      <c r="D36357" s="1">
        <v>0</v>
      </c>
      <c r="E36357" s="1">
        <v>0</v>
      </c>
      <c r="F36357" s="1">
        <v>1.4922770187448801E-6</v>
      </c>
    </row>
    <row r="36358" spans="1:6" x14ac:dyDescent="0.25">
      <c r="A36358" s="2" t="str">
        <f t="shared" si="1229"/>
        <v>99999</v>
      </c>
      <c r="B36358" s="2" t="str">
        <f>"61913"</f>
        <v>61913</v>
      </c>
      <c r="C36358" s="1">
        <v>4.8893895662609401E-5</v>
      </c>
      <c r="D36358" s="1">
        <v>4.5528080202265997E-6</v>
      </c>
      <c r="E36358" s="1">
        <v>6.0837559370939603E-5</v>
      </c>
      <c r="F36358" s="1">
        <v>4.6260587581091497E-5</v>
      </c>
    </row>
    <row r="36359" spans="1:6" x14ac:dyDescent="0.25">
      <c r="A36359" s="2" t="str">
        <f t="shared" si="1229"/>
        <v>99999</v>
      </c>
      <c r="B36359" s="2" t="str">
        <f>"61476"</f>
        <v>61476</v>
      </c>
      <c r="C36359" s="1">
        <v>4.3655263984472602E-7</v>
      </c>
      <c r="D36359" s="1">
        <v>0</v>
      </c>
      <c r="E36359" s="1">
        <v>0</v>
      </c>
      <c r="F36359" s="1">
        <v>3.9794053833197002E-7</v>
      </c>
    </row>
    <row r="36360" spans="1:6" x14ac:dyDescent="0.25">
      <c r="A36360" s="2" t="str">
        <f t="shared" si="1229"/>
        <v>99999</v>
      </c>
      <c r="B36360" s="2" t="str">
        <f>"61453"</f>
        <v>61453</v>
      </c>
      <c r="C36360" s="1">
        <v>3.31780006281992E-5</v>
      </c>
      <c r="D36360" s="1">
        <v>7.5880133670443404E-6</v>
      </c>
      <c r="E36360" s="1">
        <v>3.0418779685469802E-5</v>
      </c>
      <c r="F36360" s="1">
        <v>3.1437302528225599E-5</v>
      </c>
    </row>
    <row r="36361" spans="1:6" x14ac:dyDescent="0.25">
      <c r="A36361" s="2" t="str">
        <f t="shared" si="1229"/>
        <v>99999</v>
      </c>
      <c r="B36361" s="2" t="str">
        <f>"61532"</f>
        <v>61532</v>
      </c>
      <c r="C36361" s="1">
        <v>3.3396276948121598E-5</v>
      </c>
      <c r="D36361" s="1">
        <v>1.21408213872709E-5</v>
      </c>
      <c r="E36361" s="1">
        <v>4.3455399550671099E-6</v>
      </c>
      <c r="F36361" s="1">
        <v>3.1337817393642601E-5</v>
      </c>
    </row>
    <row r="36362" spans="1:6" x14ac:dyDescent="0.25">
      <c r="A36362" s="2" t="str">
        <f t="shared" si="1229"/>
        <v>99999</v>
      </c>
      <c r="B36362" s="2" t="str">
        <f>"61085"</f>
        <v>61085</v>
      </c>
      <c r="C36362" s="1">
        <v>2.0135990512838001E-4</v>
      </c>
      <c r="D36362" s="1">
        <v>3.0048532933495597E-4</v>
      </c>
      <c r="E36362" s="1">
        <v>2.0858591784322101E-4</v>
      </c>
      <c r="F36362" s="1">
        <v>2.08023416413037E-4</v>
      </c>
    </row>
    <row r="36363" spans="1:6" x14ac:dyDescent="0.25">
      <c r="A36363" s="2" t="str">
        <f t="shared" si="1229"/>
        <v>99999</v>
      </c>
      <c r="B36363" s="2" t="str">
        <f>"61051"</f>
        <v>61051</v>
      </c>
      <c r="C36363" s="1">
        <v>8.98207056480525E-5</v>
      </c>
      <c r="D36363" s="1">
        <v>4.2492874855448297E-5</v>
      </c>
      <c r="E36363" s="1">
        <v>9.1256339056409395E-5</v>
      </c>
      <c r="F36363" s="1">
        <v>8.67510373563695E-5</v>
      </c>
    </row>
    <row r="36364" spans="1:6" x14ac:dyDescent="0.25">
      <c r="A36364" s="2" t="str">
        <f t="shared" si="1229"/>
        <v>99999</v>
      </c>
      <c r="B36364" s="2" t="str">
        <f>"60973"</f>
        <v>60973</v>
      </c>
      <c r="C36364" s="1">
        <v>8.8401909568557204E-6</v>
      </c>
      <c r="D36364" s="1">
        <v>7.5880133670443404E-6</v>
      </c>
      <c r="E36364" s="1">
        <v>3.2156995667496598E-4</v>
      </c>
      <c r="F36364" s="1">
        <v>1.59176215332788E-5</v>
      </c>
    </row>
    <row r="36365" spans="1:6" x14ac:dyDescent="0.25">
      <c r="A36365" s="2" t="str">
        <f t="shared" si="1229"/>
        <v>99999</v>
      </c>
      <c r="B36365" s="2" t="str">
        <f>"60966"</f>
        <v>60966</v>
      </c>
      <c r="C36365" s="1">
        <v>7.7597231732400205E-5</v>
      </c>
      <c r="D36365" s="1">
        <v>3.0352053468177301E-5</v>
      </c>
      <c r="E36365" s="1">
        <v>8.5607137114822199E-4</v>
      </c>
      <c r="F36365" s="1">
        <v>9.2322204893017105E-5</v>
      </c>
    </row>
    <row r="36366" spans="1:6" x14ac:dyDescent="0.25">
      <c r="A36366" s="2" t="str">
        <f t="shared" si="1229"/>
        <v>99999</v>
      </c>
      <c r="B36366" s="2" t="str">
        <f>"60941"</f>
        <v>60941</v>
      </c>
      <c r="C36366" s="1">
        <v>2.1827631992236299E-6</v>
      </c>
      <c r="D36366" s="1">
        <v>0</v>
      </c>
      <c r="E36366" s="1">
        <v>6.0837559370939603E-5</v>
      </c>
      <c r="F36366" s="1">
        <v>3.3824945758217398E-6</v>
      </c>
    </row>
    <row r="36367" spans="1:6" x14ac:dyDescent="0.25">
      <c r="A36367" s="2" t="str">
        <f t="shared" si="1229"/>
        <v>99999</v>
      </c>
      <c r="B36367" s="2" t="str">
        <f>"60949"</f>
        <v>60949</v>
      </c>
      <c r="C36367" s="1">
        <v>1.20051975957299E-6</v>
      </c>
      <c r="D36367" s="1">
        <v>0</v>
      </c>
      <c r="E36367" s="1">
        <v>4.3455399550671099E-6</v>
      </c>
      <c r="F36367" s="1">
        <v>1.19382161499591E-6</v>
      </c>
    </row>
    <row r="36368" spans="1:6" x14ac:dyDescent="0.25">
      <c r="A36368" s="2" t="str">
        <f t="shared" si="1229"/>
        <v>99999</v>
      </c>
      <c r="B36368" s="2" t="str">
        <f>"60952"</f>
        <v>60952</v>
      </c>
      <c r="C36368" s="1">
        <v>3.4051105907888697E-5</v>
      </c>
      <c r="D36368" s="1">
        <v>1.8211232080906399E-5</v>
      </c>
      <c r="E36368" s="1">
        <v>2.1727699775335501E-5</v>
      </c>
      <c r="F36368" s="1">
        <v>3.2730609277804499E-5</v>
      </c>
    </row>
    <row r="36369" spans="1:6" x14ac:dyDescent="0.25">
      <c r="A36369" s="2" t="str">
        <f t="shared" si="1229"/>
        <v>99999</v>
      </c>
      <c r="B36369" s="2" t="str">
        <f>"60936"</f>
        <v>60936</v>
      </c>
      <c r="C36369" s="1">
        <v>2.37484636075531E-4</v>
      </c>
      <c r="D36369" s="1">
        <v>4.4921039132902497E-4</v>
      </c>
      <c r="E36369" s="1">
        <v>5.2146479460805396E-4</v>
      </c>
      <c r="F36369" s="1">
        <v>2.5786546883911599E-4</v>
      </c>
    </row>
    <row r="36370" spans="1:6" x14ac:dyDescent="0.25">
      <c r="A36370" s="2" t="str">
        <f t="shared" ref="A36370:A36433" si="1230">"99999"</f>
        <v>99999</v>
      </c>
      <c r="B36370" s="2" t="str">
        <f>"60911"</f>
        <v>60911</v>
      </c>
      <c r="C36370" s="1">
        <v>6.7993073655816199E-5</v>
      </c>
      <c r="D36370" s="1">
        <v>3.0352053468177301E-5</v>
      </c>
      <c r="E36370" s="1">
        <v>1.2341333472390601E-3</v>
      </c>
      <c r="F36370" s="1">
        <v>9.22227197584341E-5</v>
      </c>
    </row>
    <row r="36371" spans="1:6" x14ac:dyDescent="0.25">
      <c r="A36371" s="2" t="str">
        <f t="shared" si="1230"/>
        <v>99999</v>
      </c>
      <c r="B36371" s="2" t="str">
        <f>"18820"</f>
        <v>18820</v>
      </c>
      <c r="C36371" s="1">
        <v>0</v>
      </c>
      <c r="D36371" s="1">
        <v>1.51760267340886E-6</v>
      </c>
      <c r="E36371" s="1">
        <v>0</v>
      </c>
      <c r="F36371" s="1">
        <v>9.9485134582992598E-8</v>
      </c>
    </row>
    <row r="36372" spans="1:6" x14ac:dyDescent="0.25">
      <c r="A36372" s="2" t="str">
        <f t="shared" si="1230"/>
        <v>99999</v>
      </c>
      <c r="B36372" s="2" t="str">
        <f>"18826"</f>
        <v>18826</v>
      </c>
      <c r="C36372" s="1">
        <v>1.03681251963122E-4</v>
      </c>
      <c r="D36372" s="1">
        <v>6.0704106936354703E-5</v>
      </c>
      <c r="E36372" s="1">
        <v>2.60732397304027E-5</v>
      </c>
      <c r="F36372" s="1">
        <v>9.9087194044660597E-5</v>
      </c>
    </row>
    <row r="36373" spans="1:6" x14ac:dyDescent="0.25">
      <c r="A36373" s="2" t="str">
        <f t="shared" si="1230"/>
        <v>99999</v>
      </c>
      <c r="B36373" s="2" t="str">
        <f>"18801"</f>
        <v>18801</v>
      </c>
      <c r="C36373" s="1">
        <v>4.6056303503618602E-4</v>
      </c>
      <c r="D36373" s="1">
        <v>5.0687929291856203E-4</v>
      </c>
      <c r="E36373" s="1">
        <v>5.9968451379926199E-4</v>
      </c>
      <c r="F36373" s="1">
        <v>4.6678425146340097E-4</v>
      </c>
    </row>
    <row r="36374" spans="1:6" x14ac:dyDescent="0.25">
      <c r="A36374" s="2" t="str">
        <f t="shared" si="1230"/>
        <v>99999</v>
      </c>
      <c r="B36374" s="2" t="str">
        <f>"18834"</f>
        <v>18834</v>
      </c>
      <c r="C36374" s="1">
        <v>1.76803819137114E-4</v>
      </c>
      <c r="D36374" s="1">
        <v>1.4113704862702401E-4</v>
      </c>
      <c r="E36374" s="1">
        <v>1.3471173860707999E-4</v>
      </c>
      <c r="F36374" s="1">
        <v>1.73502074712739E-4</v>
      </c>
    </row>
    <row r="36375" spans="1:6" x14ac:dyDescent="0.25">
      <c r="A36375" s="2" t="str">
        <f t="shared" si="1230"/>
        <v>99999</v>
      </c>
      <c r="B36375" s="2" t="str">
        <f>"18431"</f>
        <v>18431</v>
      </c>
      <c r="C36375" s="1">
        <v>7.9070596891876103E-4</v>
      </c>
      <c r="D36375" s="1">
        <v>1.50394424934818E-3</v>
      </c>
      <c r="E36375" s="1">
        <v>1.7512526018920399E-3</v>
      </c>
      <c r="F36375" s="1">
        <v>8.5945207766247305E-4</v>
      </c>
    </row>
    <row r="36376" spans="1:6" x14ac:dyDescent="0.25">
      <c r="A36376" s="2" t="str">
        <f t="shared" si="1230"/>
        <v>99999</v>
      </c>
      <c r="B36376" s="2" t="str">
        <f>"18417"</f>
        <v>18417</v>
      </c>
      <c r="C36376" s="1">
        <v>8.1089652851158004E-5</v>
      </c>
      <c r="D36376" s="1">
        <v>4.4010477528857203E-5</v>
      </c>
      <c r="E36376" s="1">
        <v>6.9528639281073799E-5</v>
      </c>
      <c r="F36376" s="1">
        <v>7.8394286051398099E-5</v>
      </c>
    </row>
    <row r="36377" spans="1:6" x14ac:dyDescent="0.25">
      <c r="A36377" s="2" t="str">
        <f t="shared" si="1230"/>
        <v>99999</v>
      </c>
      <c r="B36377" s="2" t="str">
        <f>"18460"</f>
        <v>18460</v>
      </c>
      <c r="C36377" s="1">
        <v>8.8401909568557204E-6</v>
      </c>
      <c r="D36377" s="1">
        <v>1.0623218713862E-5</v>
      </c>
      <c r="E36377" s="1">
        <v>8.69107991013423E-6</v>
      </c>
      <c r="F36377" s="1">
        <v>8.9536621124693292E-6</v>
      </c>
    </row>
    <row r="36378" spans="1:6" x14ac:dyDescent="0.25">
      <c r="A36378" s="2" t="str">
        <f t="shared" si="1230"/>
        <v>99999</v>
      </c>
      <c r="B36378" s="2" t="str">
        <f>"18449"</f>
        <v>18449</v>
      </c>
      <c r="C36378" s="1">
        <v>0</v>
      </c>
      <c r="D36378" s="1">
        <v>1.51760267340886E-6</v>
      </c>
      <c r="E36378" s="1">
        <v>0</v>
      </c>
      <c r="F36378" s="1">
        <v>9.9485134582992598E-8</v>
      </c>
    </row>
    <row r="36379" spans="1:6" x14ac:dyDescent="0.25">
      <c r="A36379" s="2" t="str">
        <f t="shared" si="1230"/>
        <v>99999</v>
      </c>
      <c r="B36379" s="2" t="str">
        <f>"17765"</f>
        <v>17765</v>
      </c>
      <c r="C36379" s="1">
        <v>4.4746645584084497E-5</v>
      </c>
      <c r="D36379" s="1">
        <v>9.1056160404532095E-6</v>
      </c>
      <c r="E36379" s="1">
        <v>0</v>
      </c>
      <c r="F36379" s="1">
        <v>4.1385815986524902E-5</v>
      </c>
    </row>
    <row r="36380" spans="1:6" x14ac:dyDescent="0.25">
      <c r="A36380" s="2" t="str">
        <f t="shared" si="1230"/>
        <v>99999</v>
      </c>
      <c r="B36380" s="2" t="str">
        <f>"17058"</f>
        <v>17058</v>
      </c>
      <c r="C36380" s="1">
        <v>8.4472935809954607E-5</v>
      </c>
      <c r="D36380" s="1">
        <v>2.5799245447950699E-5</v>
      </c>
      <c r="E36380" s="1">
        <v>1.2602065869694599E-4</v>
      </c>
      <c r="F36380" s="1">
        <v>8.1577810358053902E-5</v>
      </c>
    </row>
    <row r="36381" spans="1:6" x14ac:dyDescent="0.25">
      <c r="A36381" s="2" t="str">
        <f t="shared" si="1230"/>
        <v>99999</v>
      </c>
      <c r="B36381" s="2" t="str">
        <f>"17229"</f>
        <v>17229</v>
      </c>
      <c r="C36381" s="1">
        <v>5.7188395819659203E-5</v>
      </c>
      <c r="D36381" s="1">
        <v>3.3387258814995101E-5</v>
      </c>
      <c r="E36381" s="1">
        <v>8.69107991013423E-6</v>
      </c>
      <c r="F36381" s="1">
        <v>5.4517853751479899E-5</v>
      </c>
    </row>
    <row r="36382" spans="1:6" x14ac:dyDescent="0.25">
      <c r="A36382" s="2" t="str">
        <f t="shared" si="1230"/>
        <v>99999</v>
      </c>
      <c r="B36382" s="2" t="str">
        <f>"16691"</f>
        <v>16691</v>
      </c>
      <c r="C36382" s="1">
        <v>1.87717635133232E-5</v>
      </c>
      <c r="D36382" s="1">
        <v>3.0352053468177301E-6</v>
      </c>
      <c r="E36382" s="1">
        <v>0</v>
      </c>
      <c r="F36382" s="1">
        <v>1.7310413417440701E-5</v>
      </c>
    </row>
    <row r="36383" spans="1:6" x14ac:dyDescent="0.25">
      <c r="A36383" s="2" t="str">
        <f t="shared" si="1230"/>
        <v>99999</v>
      </c>
      <c r="B36383" s="2" t="str">
        <f>"16674"</f>
        <v>16674</v>
      </c>
      <c r="C36383" s="1">
        <v>1.20051975957299E-6</v>
      </c>
      <c r="D36383" s="1">
        <v>0</v>
      </c>
      <c r="E36383" s="1">
        <v>0</v>
      </c>
      <c r="F36383" s="1">
        <v>1.09433648041291E-6</v>
      </c>
    </row>
    <row r="36384" spans="1:6" x14ac:dyDescent="0.25">
      <c r="A36384" s="2" t="str">
        <f t="shared" si="1230"/>
        <v>99999</v>
      </c>
      <c r="B36384" s="2" t="str">
        <f>"16914"</f>
        <v>16914</v>
      </c>
      <c r="C36384" s="1">
        <v>6.2208751177873496E-6</v>
      </c>
      <c r="D36384" s="1">
        <v>0</v>
      </c>
      <c r="E36384" s="1">
        <v>0</v>
      </c>
      <c r="F36384" s="1">
        <v>5.6706526712305799E-6</v>
      </c>
    </row>
    <row r="36385" spans="1:6" x14ac:dyDescent="0.25">
      <c r="A36385" s="2" t="str">
        <f t="shared" si="1230"/>
        <v>99999</v>
      </c>
      <c r="B36385" s="2" t="str">
        <f>"16911"</f>
        <v>16911</v>
      </c>
      <c r="C36385" s="1">
        <v>0</v>
      </c>
      <c r="D36385" s="1">
        <v>1.51760267340886E-6</v>
      </c>
      <c r="E36385" s="1">
        <v>0</v>
      </c>
      <c r="F36385" s="1">
        <v>9.9485134582992598E-8</v>
      </c>
    </row>
    <row r="36386" spans="1:6" x14ac:dyDescent="0.25">
      <c r="A36386" s="2" t="str">
        <f t="shared" si="1230"/>
        <v>99999</v>
      </c>
      <c r="B36386" s="2" t="str">
        <f>"16930"</f>
        <v>16930</v>
      </c>
      <c r="C36386" s="1">
        <v>5.1622349661638898E-5</v>
      </c>
      <c r="D36386" s="1">
        <v>3.1869656141586203E-5</v>
      </c>
      <c r="E36386" s="1">
        <v>2.60732397304027E-5</v>
      </c>
      <c r="F36386" s="1">
        <v>4.9742567291496302E-5</v>
      </c>
    </row>
    <row r="36387" spans="1:6" x14ac:dyDescent="0.25">
      <c r="A36387" s="2" t="str">
        <f t="shared" si="1230"/>
        <v>99999</v>
      </c>
      <c r="B36387" s="2" t="str">
        <f>"16929"</f>
        <v>16929</v>
      </c>
      <c r="C36387" s="1">
        <v>1.24199226035824E-4</v>
      </c>
      <c r="D36387" s="1">
        <v>4.5528080202266E-5</v>
      </c>
      <c r="E36387" s="1">
        <v>1.6513051829255E-4</v>
      </c>
      <c r="F36387" s="1">
        <v>1.19979072307089E-4</v>
      </c>
    </row>
    <row r="36388" spans="1:6" x14ac:dyDescent="0.25">
      <c r="A36388" s="2" t="str">
        <f t="shared" si="1230"/>
        <v>99999</v>
      </c>
      <c r="B36388" s="2" t="str">
        <f>"16928"</f>
        <v>16928</v>
      </c>
      <c r="C36388" s="1">
        <v>6.6028586776514895E-5</v>
      </c>
      <c r="D36388" s="1">
        <v>4.4010477528857203E-5</v>
      </c>
      <c r="E36388" s="1">
        <v>5.6492019415872502E-5</v>
      </c>
      <c r="F36388" s="1">
        <v>6.4366882075196196E-5</v>
      </c>
    </row>
    <row r="36389" spans="1:6" x14ac:dyDescent="0.25">
      <c r="A36389" s="2" t="str">
        <f t="shared" si="1230"/>
        <v>99999</v>
      </c>
      <c r="B36389" s="2" t="str">
        <f>"16950"</f>
        <v>16950</v>
      </c>
      <c r="C36389" s="1">
        <v>1.9677610241001001E-4</v>
      </c>
      <c r="D36389" s="1">
        <v>2.0791156625701499E-4</v>
      </c>
      <c r="E36389" s="1">
        <v>1.30366198652013E-4</v>
      </c>
      <c r="F36389" s="1">
        <v>1.95985715128495E-4</v>
      </c>
    </row>
    <row r="36390" spans="1:6" x14ac:dyDescent="0.25">
      <c r="A36390" s="2" t="str">
        <f t="shared" si="1230"/>
        <v>99999</v>
      </c>
      <c r="B36390" s="2" t="str">
        <f>"16943"</f>
        <v>16943</v>
      </c>
      <c r="C36390" s="1">
        <v>2.8703336069790699E-5</v>
      </c>
      <c r="D36390" s="1">
        <v>4.5528080202265997E-6</v>
      </c>
      <c r="E36390" s="1">
        <v>0</v>
      </c>
      <c r="F36390" s="1">
        <v>2.6463045799075999E-5</v>
      </c>
    </row>
    <row r="36391" spans="1:6" x14ac:dyDescent="0.25">
      <c r="A36391" s="2" t="str">
        <f t="shared" si="1230"/>
        <v>99999</v>
      </c>
      <c r="B36391" s="2" t="str">
        <f>"16942"</f>
        <v>16942</v>
      </c>
      <c r="C36391" s="1">
        <v>3.2632309828393297E-5</v>
      </c>
      <c r="D36391" s="1">
        <v>1.66936294074975E-5</v>
      </c>
      <c r="E36391" s="1">
        <v>8.69107991013423E-6</v>
      </c>
      <c r="F36391" s="1">
        <v>3.10393619898937E-5</v>
      </c>
    </row>
    <row r="36392" spans="1:6" x14ac:dyDescent="0.25">
      <c r="A36392" s="2" t="str">
        <f t="shared" si="1230"/>
        <v>99999</v>
      </c>
      <c r="B36392" s="2" t="str">
        <f>"16936"</f>
        <v>16936</v>
      </c>
      <c r="C36392" s="1">
        <v>9.3967955726577404E-5</v>
      </c>
      <c r="D36392" s="1">
        <v>3.6422464161812797E-5</v>
      </c>
      <c r="E36392" s="1">
        <v>3.47643196405369E-5</v>
      </c>
      <c r="F36392" s="1">
        <v>8.8840225182612394E-5</v>
      </c>
    </row>
    <row r="36393" spans="1:6" x14ac:dyDescent="0.25">
      <c r="A36393" s="2" t="str">
        <f t="shared" si="1230"/>
        <v>99999</v>
      </c>
      <c r="B36393" s="2" t="str">
        <f>"16625"</f>
        <v>16625</v>
      </c>
      <c r="C36393" s="1">
        <v>3.4378520387772203E-5</v>
      </c>
      <c r="D36393" s="1">
        <v>4.5528080202265997E-6</v>
      </c>
      <c r="E36393" s="1">
        <v>4.3455399550671099E-6</v>
      </c>
      <c r="F36393" s="1">
        <v>3.1735757931974601E-5</v>
      </c>
    </row>
    <row r="36394" spans="1:6" x14ac:dyDescent="0.25">
      <c r="A36394" s="2" t="str">
        <f t="shared" si="1230"/>
        <v>99999</v>
      </c>
      <c r="B36394" s="2" t="str">
        <f>"16213"</f>
        <v>16213</v>
      </c>
      <c r="C36394" s="1">
        <v>0</v>
      </c>
      <c r="D36394" s="1">
        <v>0</v>
      </c>
      <c r="E36394" s="1">
        <v>8.69107991013423E-6</v>
      </c>
      <c r="F36394" s="1">
        <v>1.9897026916598501E-7</v>
      </c>
    </row>
    <row r="36395" spans="1:6" x14ac:dyDescent="0.25">
      <c r="A36395" s="2" t="str">
        <f t="shared" si="1230"/>
        <v>99999</v>
      </c>
      <c r="B36395" s="2" t="str">
        <f>"16248"</f>
        <v>16248</v>
      </c>
      <c r="C36395" s="1">
        <v>1.50719798906391E-4</v>
      </c>
      <c r="D36395" s="1">
        <v>5.9186504262945899E-5</v>
      </c>
      <c r="E36395" s="1">
        <v>4.7800939505738197E-5</v>
      </c>
      <c r="F36395" s="1">
        <v>1.4236322758826199E-4</v>
      </c>
    </row>
    <row r="36396" spans="1:6" x14ac:dyDescent="0.25">
      <c r="A36396" s="2" t="str">
        <f t="shared" si="1230"/>
        <v>99999</v>
      </c>
      <c r="B36396" s="2" t="str">
        <f>"16326"</f>
        <v>16326</v>
      </c>
      <c r="C36396" s="1">
        <v>8.7310527968945299E-6</v>
      </c>
      <c r="D36396" s="1">
        <v>3.0352053468177301E-6</v>
      </c>
      <c r="E36396" s="1">
        <v>8.69107991013423E-6</v>
      </c>
      <c r="F36396" s="1">
        <v>8.3567513049713805E-6</v>
      </c>
    </row>
    <row r="36397" spans="1:6" x14ac:dyDescent="0.25">
      <c r="A36397" s="2" t="str">
        <f t="shared" si="1230"/>
        <v>99999</v>
      </c>
      <c r="B36397" s="2" t="str">
        <f>"16353"</f>
        <v>16353</v>
      </c>
      <c r="C36397" s="1">
        <v>1.68836733459948E-4</v>
      </c>
      <c r="D36397" s="1">
        <v>8.043294169067E-5</v>
      </c>
      <c r="E36397" s="1">
        <v>9.1256339056409395E-5</v>
      </c>
      <c r="F36397" s="1">
        <v>1.6126540315903099E-4</v>
      </c>
    </row>
    <row r="36398" spans="1:6" x14ac:dyDescent="0.25">
      <c r="A36398" s="2" t="str">
        <f t="shared" si="1230"/>
        <v>99999</v>
      </c>
      <c r="B36398" s="2" t="str">
        <f>"15801"</f>
        <v>15801</v>
      </c>
      <c r="C36398" s="1">
        <v>1.09138159961181E-7</v>
      </c>
      <c r="D36398" s="1">
        <v>0</v>
      </c>
      <c r="E36398" s="1">
        <v>0</v>
      </c>
      <c r="F36398" s="1">
        <v>9.9485134582992598E-8</v>
      </c>
    </row>
    <row r="36399" spans="1:6" x14ac:dyDescent="0.25">
      <c r="A36399" s="2" t="str">
        <f t="shared" si="1230"/>
        <v>99999</v>
      </c>
      <c r="B36399" s="2" t="str">
        <f>"15829"</f>
        <v>15829</v>
      </c>
      <c r="C36399" s="1">
        <v>6.1226507738222898E-5</v>
      </c>
      <c r="D36399" s="1">
        <v>2.88344507947685E-5</v>
      </c>
      <c r="E36399" s="1">
        <v>2.60732397304027E-5</v>
      </c>
      <c r="F36399" s="1">
        <v>5.8298288865633599E-5</v>
      </c>
    </row>
    <row r="36400" spans="1:6" x14ac:dyDescent="0.25">
      <c r="A36400" s="2" t="str">
        <f t="shared" si="1230"/>
        <v>99999</v>
      </c>
      <c r="B36400" s="2" t="str">
        <f>"15715"</f>
        <v>15715</v>
      </c>
      <c r="C36400" s="1">
        <v>0</v>
      </c>
      <c r="D36400" s="1">
        <v>1.51760267340886E-6</v>
      </c>
      <c r="E36400" s="1">
        <v>8.69107991013423E-6</v>
      </c>
      <c r="F36400" s="1">
        <v>2.9845540374897701E-7</v>
      </c>
    </row>
    <row r="36401" spans="1:6" x14ac:dyDescent="0.25">
      <c r="A36401" s="2" t="str">
        <f t="shared" si="1230"/>
        <v>99999</v>
      </c>
      <c r="B36401" s="2" t="str">
        <f>"15780"</f>
        <v>15780</v>
      </c>
      <c r="C36401" s="1">
        <v>9.2767435967004401E-6</v>
      </c>
      <c r="D36401" s="1">
        <v>7.5880133670443404E-6</v>
      </c>
      <c r="E36401" s="1">
        <v>0</v>
      </c>
      <c r="F36401" s="1">
        <v>8.9536621124693292E-6</v>
      </c>
    </row>
    <row r="36402" spans="1:6" x14ac:dyDescent="0.25">
      <c r="A36402" s="2" t="str">
        <f t="shared" si="1230"/>
        <v>99999</v>
      </c>
      <c r="B36402" s="2" t="str">
        <f>"15770"</f>
        <v>15770</v>
      </c>
      <c r="C36402" s="1">
        <v>1.0804677836156901E-5</v>
      </c>
      <c r="D36402" s="1">
        <v>6.0704106936354696E-6</v>
      </c>
      <c r="E36402" s="1">
        <v>4.3455399550671099E-6</v>
      </c>
      <c r="F36402" s="1">
        <v>1.03464539966312E-5</v>
      </c>
    </row>
    <row r="36403" spans="1:6" x14ac:dyDescent="0.25">
      <c r="A36403" s="2" t="str">
        <f t="shared" si="1230"/>
        <v>99999</v>
      </c>
      <c r="B36403" s="2" t="str">
        <f>"15946"</f>
        <v>15946</v>
      </c>
      <c r="C36403" s="1">
        <v>4.5838027183696299E-6</v>
      </c>
      <c r="D36403" s="1">
        <v>1.51760267340886E-6</v>
      </c>
      <c r="E36403" s="1">
        <v>0</v>
      </c>
      <c r="F36403" s="1">
        <v>4.2778607870686803E-6</v>
      </c>
    </row>
    <row r="36404" spans="1:6" x14ac:dyDescent="0.25">
      <c r="A36404" s="2" t="str">
        <f t="shared" si="1230"/>
        <v>99999</v>
      </c>
      <c r="B36404" s="2" t="str">
        <f>"16036"</f>
        <v>16036</v>
      </c>
      <c r="C36404" s="1">
        <v>1.09138159961181E-7</v>
      </c>
      <c r="D36404" s="1">
        <v>0</v>
      </c>
      <c r="E36404" s="1">
        <v>4.3455399550671099E-6</v>
      </c>
      <c r="F36404" s="1">
        <v>1.9897026916598501E-7</v>
      </c>
    </row>
    <row r="36405" spans="1:6" x14ac:dyDescent="0.25">
      <c r="A36405" s="2" t="str">
        <f t="shared" si="1230"/>
        <v>99999</v>
      </c>
      <c r="B36405" s="2" t="str">
        <f>"16049"</f>
        <v>16049</v>
      </c>
      <c r="C36405" s="1">
        <v>7.2140323734341103E-5</v>
      </c>
      <c r="D36405" s="1">
        <v>2.4281642774541899E-5</v>
      </c>
      <c r="E36405" s="1">
        <v>1.3036619865201299E-5</v>
      </c>
      <c r="F36405" s="1">
        <v>6.7649891516434897E-5</v>
      </c>
    </row>
    <row r="36406" spans="1:6" x14ac:dyDescent="0.25">
      <c r="A36406" s="2" t="str">
        <f t="shared" si="1230"/>
        <v>99999</v>
      </c>
      <c r="B36406" s="2" t="str">
        <f>"15711"</f>
        <v>15711</v>
      </c>
      <c r="C36406" s="1">
        <v>8.9493291168169008E-6</v>
      </c>
      <c r="D36406" s="1">
        <v>6.0704106936354696E-6</v>
      </c>
      <c r="E36406" s="1">
        <v>4.3455399550671099E-6</v>
      </c>
      <c r="F36406" s="1">
        <v>8.6552067087203506E-6</v>
      </c>
    </row>
    <row r="36407" spans="1:6" x14ac:dyDescent="0.25">
      <c r="A36407" s="2" t="str">
        <f t="shared" si="1230"/>
        <v>99999</v>
      </c>
      <c r="B36407" s="2" t="str">
        <f>"15550"</f>
        <v>15550</v>
      </c>
      <c r="C36407" s="1">
        <v>8.9275014848246603E-5</v>
      </c>
      <c r="D36407" s="1">
        <v>2.2764040101133E-5</v>
      </c>
      <c r="E36407" s="1">
        <v>1.3036619865201299E-5</v>
      </c>
      <c r="F36407" s="1">
        <v>8.3169572511381797E-5</v>
      </c>
    </row>
    <row r="36408" spans="1:6" x14ac:dyDescent="0.25">
      <c r="A36408" s="2" t="str">
        <f t="shared" si="1230"/>
        <v>99999</v>
      </c>
      <c r="B36408" s="2" t="str">
        <f>"15346"</f>
        <v>15346</v>
      </c>
      <c r="C36408" s="1">
        <v>0</v>
      </c>
      <c r="D36408" s="1">
        <v>0</v>
      </c>
      <c r="E36408" s="1">
        <v>8.69107991013423E-6</v>
      </c>
      <c r="F36408" s="1">
        <v>1.9897026916598501E-7</v>
      </c>
    </row>
    <row r="36409" spans="1:6" x14ac:dyDescent="0.25">
      <c r="A36409" s="2" t="str">
        <f t="shared" si="1230"/>
        <v>99999</v>
      </c>
      <c r="B36409" s="2" t="str">
        <f>"15322"</f>
        <v>15322</v>
      </c>
      <c r="C36409" s="1">
        <v>4.5838027183696297E-5</v>
      </c>
      <c r="D36409" s="1">
        <v>1.3658424060679801E-5</v>
      </c>
      <c r="E36409" s="1">
        <v>1.7382159820268399E-5</v>
      </c>
      <c r="F36409" s="1">
        <v>4.3077063274435802E-5</v>
      </c>
    </row>
    <row r="36410" spans="1:6" x14ac:dyDescent="0.25">
      <c r="A36410" s="2" t="str">
        <f t="shared" si="1230"/>
        <v>99999</v>
      </c>
      <c r="B36410" s="2" t="str">
        <f>"15380"</f>
        <v>15380</v>
      </c>
      <c r="C36410" s="1">
        <v>4.4855783744045598E-5</v>
      </c>
      <c r="D36410" s="1">
        <v>5.4633696242719298E-5</v>
      </c>
      <c r="E36410" s="1">
        <v>8.69107991013423E-6</v>
      </c>
      <c r="F36410" s="1">
        <v>4.4668825427763602E-5</v>
      </c>
    </row>
    <row r="36411" spans="1:6" x14ac:dyDescent="0.25">
      <c r="A36411" s="2" t="str">
        <f t="shared" si="1230"/>
        <v>99999</v>
      </c>
      <c r="B36411" s="2" t="str">
        <f>"15377"</f>
        <v>15377</v>
      </c>
      <c r="C36411" s="1">
        <v>9.1676054367392598E-6</v>
      </c>
      <c r="D36411" s="1">
        <v>3.0352053468177301E-6</v>
      </c>
      <c r="E36411" s="1">
        <v>0</v>
      </c>
      <c r="F36411" s="1">
        <v>8.5557215741373606E-6</v>
      </c>
    </row>
    <row r="36412" spans="1:6" x14ac:dyDescent="0.25">
      <c r="A36412" s="2" t="str">
        <f t="shared" si="1230"/>
        <v>99999</v>
      </c>
      <c r="B36412" s="2" t="str">
        <f>"15337"</f>
        <v>15337</v>
      </c>
      <c r="C36412" s="1">
        <v>3.9726290225870103E-5</v>
      </c>
      <c r="D36412" s="1">
        <v>1.66936294074975E-5</v>
      </c>
      <c r="E36412" s="1">
        <v>8.69107991013423E-6</v>
      </c>
      <c r="F36412" s="1">
        <v>3.7505895737788197E-5</v>
      </c>
    </row>
    <row r="36413" spans="1:6" x14ac:dyDescent="0.25">
      <c r="A36413" s="2" t="str">
        <f t="shared" si="1230"/>
        <v>99999</v>
      </c>
      <c r="B36413" s="2" t="str">
        <f>"14891"</f>
        <v>14891</v>
      </c>
      <c r="C36413" s="1">
        <v>2.4294154407358999E-4</v>
      </c>
      <c r="D36413" s="1">
        <v>4.3251676192152699E-4</v>
      </c>
      <c r="E36413" s="1">
        <v>5.4753803433845599E-4</v>
      </c>
      <c r="F36413" s="1">
        <v>2.62342299895351E-4</v>
      </c>
    </row>
    <row r="36414" spans="1:6" x14ac:dyDescent="0.25">
      <c r="A36414" s="2" t="str">
        <f t="shared" si="1230"/>
        <v>99999</v>
      </c>
      <c r="B36414" s="2" t="str">
        <f>"14880"</f>
        <v>14880</v>
      </c>
      <c r="C36414" s="1">
        <v>7.7815508052322502E-5</v>
      </c>
      <c r="D36414" s="1">
        <v>1.8211232080906399E-5</v>
      </c>
      <c r="E36414" s="1">
        <v>2.60732397304027E-5</v>
      </c>
      <c r="F36414" s="1">
        <v>7.2723633380167597E-5</v>
      </c>
    </row>
    <row r="36415" spans="1:6" x14ac:dyDescent="0.25">
      <c r="A36415" s="2" t="str">
        <f t="shared" si="1230"/>
        <v>99999</v>
      </c>
      <c r="B36415" s="2" t="str">
        <f>"14754"</f>
        <v>14754</v>
      </c>
      <c r="C36415" s="1">
        <v>3.7216112546762902E-5</v>
      </c>
      <c r="D36415" s="1">
        <v>3.0352053468177301E-6</v>
      </c>
      <c r="E36415" s="1">
        <v>2.1727699775335501E-5</v>
      </c>
      <c r="F36415" s="1">
        <v>3.4620826834881403E-5</v>
      </c>
    </row>
    <row r="36416" spans="1:6" x14ac:dyDescent="0.25">
      <c r="A36416" s="2" t="str">
        <f t="shared" si="1230"/>
        <v>99999</v>
      </c>
      <c r="B36416" s="2" t="str">
        <f>"14744"</f>
        <v>14744</v>
      </c>
      <c r="C36416" s="1">
        <v>4.8784757502648199E-5</v>
      </c>
      <c r="D36416" s="1">
        <v>3.6422464161812797E-5</v>
      </c>
      <c r="E36416" s="1">
        <v>6.5183099326006705E-5</v>
      </c>
      <c r="F36416" s="1">
        <v>4.8349775407334398E-5</v>
      </c>
    </row>
    <row r="36417" spans="1:6" x14ac:dyDescent="0.25">
      <c r="A36417" s="2" t="str">
        <f t="shared" si="1230"/>
        <v>99999</v>
      </c>
      <c r="B36417" s="2" t="str">
        <f>"14807"</f>
        <v>14807</v>
      </c>
      <c r="C36417" s="1">
        <v>2.64114347106059E-5</v>
      </c>
      <c r="D36417" s="1">
        <v>4.5528080202265997E-6</v>
      </c>
      <c r="E36417" s="1">
        <v>8.69107991013423E-6</v>
      </c>
      <c r="F36417" s="1">
        <v>2.4572828241999101E-5</v>
      </c>
    </row>
    <row r="36418" spans="1:6" x14ac:dyDescent="0.25">
      <c r="A36418" s="2" t="str">
        <f t="shared" si="1230"/>
        <v>99999</v>
      </c>
      <c r="B36418" s="2" t="str">
        <f>"14536"</f>
        <v>14536</v>
      </c>
      <c r="C36418" s="1">
        <v>3.4051105907888697E-5</v>
      </c>
      <c r="D36418" s="1">
        <v>3.1869656141586203E-5</v>
      </c>
      <c r="E36418" s="1">
        <v>2.1727699775335501E-5</v>
      </c>
      <c r="F36418" s="1">
        <v>3.3625975489051499E-5</v>
      </c>
    </row>
    <row r="36419" spans="1:6" x14ac:dyDescent="0.25">
      <c r="A36419" s="2" t="str">
        <f t="shared" si="1230"/>
        <v>99999</v>
      </c>
      <c r="B36419" s="2" t="str">
        <f>"14113"</f>
        <v>14113</v>
      </c>
      <c r="C36419" s="1">
        <v>3.4269382227811E-5</v>
      </c>
      <c r="D36419" s="1">
        <v>1.0623218713862E-5</v>
      </c>
      <c r="E36419" s="1">
        <v>4.3455399550671099E-6</v>
      </c>
      <c r="F36419" s="1">
        <v>3.2034213335723597E-5</v>
      </c>
    </row>
    <row r="36420" spans="1:6" x14ac:dyDescent="0.25">
      <c r="A36420" s="2" t="str">
        <f t="shared" si="1230"/>
        <v>99999</v>
      </c>
      <c r="B36420" s="2" t="str">
        <f>"14083"</f>
        <v>14083</v>
      </c>
      <c r="C36420" s="1">
        <v>3.27414479883545E-6</v>
      </c>
      <c r="D36420" s="1">
        <v>0</v>
      </c>
      <c r="E36420" s="1">
        <v>4.3455399550671099E-6</v>
      </c>
      <c r="F36420" s="1">
        <v>3.0840391720727701E-6</v>
      </c>
    </row>
    <row r="36421" spans="1:6" x14ac:dyDescent="0.25">
      <c r="A36421" s="2" t="str">
        <f t="shared" si="1230"/>
        <v>99999</v>
      </c>
      <c r="B36421" s="2" t="str">
        <f>"14039"</f>
        <v>14039</v>
      </c>
      <c r="C36421" s="1">
        <v>5.8934606379038102E-6</v>
      </c>
      <c r="D36421" s="1">
        <v>4.5528080202265997E-6</v>
      </c>
      <c r="E36421" s="1">
        <v>4.3455399550671099E-6</v>
      </c>
      <c r="F36421" s="1">
        <v>5.7701378058135699E-6</v>
      </c>
    </row>
    <row r="36422" spans="1:6" x14ac:dyDescent="0.25">
      <c r="A36422" s="2" t="str">
        <f t="shared" si="1230"/>
        <v>99999</v>
      </c>
      <c r="B36422" s="2" t="str">
        <f>"14009"</f>
        <v>14009</v>
      </c>
      <c r="C36422" s="1">
        <v>2.5549243246912601E-4</v>
      </c>
      <c r="D36422" s="1">
        <v>2.6102765982632503E-4</v>
      </c>
      <c r="E36422" s="1">
        <v>4.8670047496751699E-4</v>
      </c>
      <c r="F36422" s="1">
        <v>2.6114847828035499E-4</v>
      </c>
    </row>
    <row r="36423" spans="1:6" x14ac:dyDescent="0.25">
      <c r="A36423" s="2" t="str">
        <f t="shared" si="1230"/>
        <v>99999</v>
      </c>
      <c r="B36423" s="2" t="str">
        <f>"13775"</f>
        <v>13775</v>
      </c>
      <c r="C36423" s="1">
        <v>8.8947600368363098E-5</v>
      </c>
      <c r="D36423" s="1">
        <v>1.5176026734088599E-5</v>
      </c>
      <c r="E36423" s="1">
        <v>4.3455399550671099E-6</v>
      </c>
      <c r="F36423" s="1">
        <v>8.2174721165551894E-5</v>
      </c>
    </row>
    <row r="36424" spans="1:6" x14ac:dyDescent="0.25">
      <c r="A36424" s="2" t="str">
        <f t="shared" si="1230"/>
        <v>99999</v>
      </c>
      <c r="B36424" s="2" t="str">
        <f>"13820"</f>
        <v>13820</v>
      </c>
      <c r="C36424" s="1">
        <v>1.1263058107993901E-4</v>
      </c>
      <c r="D36424" s="1">
        <v>1.76041910115428E-4</v>
      </c>
      <c r="E36424" s="1">
        <v>1.0429295892161E-4</v>
      </c>
      <c r="F36424" s="1">
        <v>1.1659657773126699E-4</v>
      </c>
    </row>
    <row r="36425" spans="1:6" x14ac:dyDescent="0.25">
      <c r="A36425" s="2" t="str">
        <f t="shared" si="1230"/>
        <v>99999</v>
      </c>
      <c r="B36425" s="2" t="str">
        <f>"13849"</f>
        <v>13849</v>
      </c>
      <c r="C36425" s="1">
        <v>5.3586836540940202E-5</v>
      </c>
      <c r="D36425" s="1">
        <v>6.0704106936354696E-6</v>
      </c>
      <c r="E36425" s="1">
        <v>4.3455399550671099E-6</v>
      </c>
      <c r="F36425" s="1">
        <v>4.9344626753164302E-5</v>
      </c>
    </row>
    <row r="36426" spans="1:6" x14ac:dyDescent="0.25">
      <c r="A36426" s="2" t="str">
        <f t="shared" si="1230"/>
        <v>99999</v>
      </c>
      <c r="B36426" s="2" t="str">
        <f>"13052"</f>
        <v>13052</v>
      </c>
      <c r="C36426" s="1">
        <v>1.5934171354332501E-5</v>
      </c>
      <c r="D36426" s="1">
        <v>1.51760267340886E-6</v>
      </c>
      <c r="E36426" s="1">
        <v>3.9109859595604001E-5</v>
      </c>
      <c r="F36426" s="1">
        <v>1.5519680994946799E-5</v>
      </c>
    </row>
    <row r="36427" spans="1:6" x14ac:dyDescent="0.25">
      <c r="A36427" s="2" t="str">
        <f t="shared" si="1230"/>
        <v>99999</v>
      </c>
      <c r="B36427" s="2" t="str">
        <f>"13331"</f>
        <v>13331</v>
      </c>
      <c r="C36427" s="1">
        <v>1.09138159961181E-7</v>
      </c>
      <c r="D36427" s="1">
        <v>0</v>
      </c>
      <c r="E36427" s="1">
        <v>0</v>
      </c>
      <c r="F36427" s="1">
        <v>9.9485134582992598E-8</v>
      </c>
    </row>
    <row r="36428" spans="1:6" x14ac:dyDescent="0.25">
      <c r="A36428" s="2" t="str">
        <f t="shared" si="1230"/>
        <v>99999</v>
      </c>
      <c r="B36428" s="2" t="str">
        <f>"13316"</f>
        <v>13316</v>
      </c>
      <c r="C36428" s="1">
        <v>2.1172803032469199E-5</v>
      </c>
      <c r="D36428" s="1">
        <v>3.0352053468177301E-6</v>
      </c>
      <c r="E36428" s="1">
        <v>0</v>
      </c>
      <c r="F36428" s="1">
        <v>1.9499086378266499E-5</v>
      </c>
    </row>
    <row r="36429" spans="1:6" x14ac:dyDescent="0.25">
      <c r="A36429" s="2" t="str">
        <f t="shared" si="1230"/>
        <v>99999</v>
      </c>
      <c r="B36429" s="2" t="str">
        <f>"12998"</f>
        <v>12998</v>
      </c>
      <c r="C36429" s="1">
        <v>2.05179740727021E-5</v>
      </c>
      <c r="D36429" s="1">
        <v>1.51760267340886E-6</v>
      </c>
      <c r="E36429" s="1">
        <v>3.0418779685469802E-5</v>
      </c>
      <c r="F36429" s="1">
        <v>1.9499086378266499E-5</v>
      </c>
    </row>
    <row r="36430" spans="1:6" x14ac:dyDescent="0.25">
      <c r="A36430" s="2" t="str">
        <f t="shared" si="1230"/>
        <v>99999</v>
      </c>
      <c r="B36430" s="2" t="str">
        <f>"12997"</f>
        <v>12997</v>
      </c>
      <c r="C36430" s="1">
        <v>5.91528826989605E-5</v>
      </c>
      <c r="D36430" s="1">
        <v>2.4281642774541899E-5</v>
      </c>
      <c r="E36430" s="1">
        <v>7.8219719191208097E-5</v>
      </c>
      <c r="F36430" s="1">
        <v>5.7303437519803702E-5</v>
      </c>
    </row>
    <row r="36431" spans="1:6" x14ac:dyDescent="0.25">
      <c r="A36431" s="2" t="str">
        <f t="shared" si="1230"/>
        <v>99999</v>
      </c>
      <c r="B36431" s="2" t="str">
        <f>"12993"</f>
        <v>12993</v>
      </c>
      <c r="C36431" s="1">
        <v>7.5632744853098901E-5</v>
      </c>
      <c r="D36431" s="1">
        <v>3.9457669508630602E-5</v>
      </c>
      <c r="E36431" s="1">
        <v>4.7800939505738197E-5</v>
      </c>
      <c r="F36431" s="1">
        <v>7.2624148245584605E-5</v>
      </c>
    </row>
    <row r="36432" spans="1:6" x14ac:dyDescent="0.25">
      <c r="A36432" s="2" t="str">
        <f t="shared" si="1230"/>
        <v>99999</v>
      </c>
      <c r="B36432" s="2" t="str">
        <f>"12983"</f>
        <v>12983</v>
      </c>
      <c r="C36432" s="1">
        <v>1.22998706276251E-4</v>
      </c>
      <c r="D36432" s="1">
        <v>2.6102765982632503E-4</v>
      </c>
      <c r="E36432" s="1">
        <v>5.7361127406885899E-4</v>
      </c>
      <c r="F36432" s="1">
        <v>1.4236322758826199E-4</v>
      </c>
    </row>
    <row r="36433" spans="1:6" x14ac:dyDescent="0.25">
      <c r="A36433" s="2" t="str">
        <f t="shared" si="1230"/>
        <v>99999</v>
      </c>
      <c r="B36433" s="2" t="str">
        <f>"12936"</f>
        <v>12936</v>
      </c>
      <c r="C36433" s="1">
        <v>3.0558684789130797E-5</v>
      </c>
      <c r="D36433" s="1">
        <v>1.21408213872709E-5</v>
      </c>
      <c r="E36433" s="1">
        <v>4.3455399550671099E-6</v>
      </c>
      <c r="F36433" s="1">
        <v>2.8751203894484799E-5</v>
      </c>
    </row>
    <row r="36434" spans="1:6" x14ac:dyDescent="0.25">
      <c r="A36434" s="2" t="str">
        <f t="shared" ref="A36434:A36497" si="1231">"99999"</f>
        <v>99999</v>
      </c>
      <c r="B36434" s="2" t="str">
        <f>"12852"</f>
        <v>12852</v>
      </c>
      <c r="C36434" s="1">
        <v>1.93174543131291E-5</v>
      </c>
      <c r="D36434" s="1">
        <v>7.5880133670443404E-6</v>
      </c>
      <c r="E36434" s="1">
        <v>4.3455399550671099E-6</v>
      </c>
      <c r="F36434" s="1">
        <v>1.82057796286876E-5</v>
      </c>
    </row>
    <row r="36435" spans="1:6" x14ac:dyDescent="0.25">
      <c r="A36435" s="2" t="str">
        <f t="shared" si="1231"/>
        <v>99999</v>
      </c>
      <c r="B36435" s="2" t="str">
        <f>"12858"</f>
        <v>12858</v>
      </c>
      <c r="C36435" s="1">
        <v>3.7106974386801701E-6</v>
      </c>
      <c r="D36435" s="1">
        <v>4.5528080202265997E-6</v>
      </c>
      <c r="E36435" s="1">
        <v>4.3455399550671099E-6</v>
      </c>
      <c r="F36435" s="1">
        <v>3.7804351141537199E-6</v>
      </c>
    </row>
    <row r="36436" spans="1:6" x14ac:dyDescent="0.25">
      <c r="A36436" s="2" t="str">
        <f t="shared" si="1231"/>
        <v>99999</v>
      </c>
      <c r="B36436" s="2" t="str">
        <f>"12742"</f>
        <v>12742</v>
      </c>
      <c r="C36436" s="1">
        <v>1.2114335755691101E-5</v>
      </c>
      <c r="D36436" s="1">
        <v>9.1056160404532095E-6</v>
      </c>
      <c r="E36436" s="1">
        <v>4.3455399550671099E-6</v>
      </c>
      <c r="F36436" s="1">
        <v>1.17392458807931E-5</v>
      </c>
    </row>
    <row r="36437" spans="1:6" x14ac:dyDescent="0.25">
      <c r="A36437" s="2" t="str">
        <f t="shared" si="1231"/>
        <v>99999</v>
      </c>
      <c r="B36437" s="2" t="str">
        <f>"12741"</f>
        <v>12741</v>
      </c>
      <c r="C36437" s="1">
        <v>1.7898658233633802E-5</v>
      </c>
      <c r="D36437" s="1">
        <v>4.5528080202265997E-6</v>
      </c>
      <c r="E36437" s="1">
        <v>2.60732397304027E-5</v>
      </c>
      <c r="F36437" s="1">
        <v>1.7210928282857699E-5</v>
      </c>
    </row>
    <row r="36438" spans="1:6" x14ac:dyDescent="0.25">
      <c r="A36438" s="2" t="str">
        <f t="shared" si="1231"/>
        <v>99999</v>
      </c>
      <c r="B36438" s="2" t="str">
        <f>"12789"</f>
        <v>12789</v>
      </c>
      <c r="C36438" s="1">
        <v>1.32493726192874E-4</v>
      </c>
      <c r="D36438" s="1">
        <v>4.2492874855448297E-5</v>
      </c>
      <c r="E36438" s="1">
        <v>1.56439438382416E-4</v>
      </c>
      <c r="F36438" s="1">
        <v>1.2714200199706401E-4</v>
      </c>
    </row>
    <row r="36439" spans="1:6" x14ac:dyDescent="0.25">
      <c r="A36439" s="2" t="str">
        <f t="shared" si="1231"/>
        <v>99999</v>
      </c>
      <c r="B36439" s="2" t="str">
        <f>"12740"</f>
        <v>12740</v>
      </c>
      <c r="C36439" s="1">
        <v>7.3122567173991701E-5</v>
      </c>
      <c r="D36439" s="1">
        <v>1.0623218713862E-5</v>
      </c>
      <c r="E36439" s="1">
        <v>2.60732397304027E-5</v>
      </c>
      <c r="F36439" s="1">
        <v>6.7948346920183899E-5</v>
      </c>
    </row>
    <row r="36440" spans="1:6" x14ac:dyDescent="0.25">
      <c r="A36440" s="2" t="str">
        <f t="shared" si="1231"/>
        <v>99999</v>
      </c>
      <c r="B36440" s="2" t="str">
        <f>"12812"</f>
        <v>12812</v>
      </c>
      <c r="C36440" s="1">
        <v>1.5934171354332501E-5</v>
      </c>
      <c r="D36440" s="1">
        <v>9.1056160404532095E-6</v>
      </c>
      <c r="E36440" s="1">
        <v>4.3455399550671099E-6</v>
      </c>
      <c r="F36440" s="1">
        <v>1.52212255911978E-5</v>
      </c>
    </row>
    <row r="36441" spans="1:6" x14ac:dyDescent="0.25">
      <c r="A36441" s="2" t="str">
        <f t="shared" si="1231"/>
        <v>99999</v>
      </c>
      <c r="B36441" s="2" t="str">
        <f>"12724"</f>
        <v>12724</v>
      </c>
      <c r="C36441" s="1">
        <v>3.2741447988354498E-7</v>
      </c>
      <c r="D36441" s="1">
        <v>0</v>
      </c>
      <c r="E36441" s="1">
        <v>4.3455399550671099E-6</v>
      </c>
      <c r="F36441" s="1">
        <v>3.9794053833197002E-7</v>
      </c>
    </row>
    <row r="36442" spans="1:6" x14ac:dyDescent="0.25">
      <c r="A36442" s="2" t="str">
        <f t="shared" si="1231"/>
        <v>99999</v>
      </c>
      <c r="B36442" s="2" t="str">
        <f>"12726"</f>
        <v>12726</v>
      </c>
      <c r="C36442" s="1">
        <v>7.2031185574379894E-5</v>
      </c>
      <c r="D36442" s="1">
        <v>3.9457669508630602E-5</v>
      </c>
      <c r="E36442" s="1">
        <v>2.60732397304027E-5</v>
      </c>
      <c r="F36442" s="1">
        <v>6.8843713131430906E-5</v>
      </c>
    </row>
    <row r="36443" spans="1:6" x14ac:dyDescent="0.25">
      <c r="A36443" s="2" t="str">
        <f t="shared" si="1231"/>
        <v>99999</v>
      </c>
      <c r="B36443" s="2" t="str">
        <f>"12452"</f>
        <v>12452</v>
      </c>
      <c r="C36443" s="1">
        <v>0</v>
      </c>
      <c r="D36443" s="1">
        <v>0</v>
      </c>
      <c r="E36443" s="1">
        <v>4.3455399550671099E-6</v>
      </c>
      <c r="F36443" s="1">
        <v>9.9485134582992598E-8</v>
      </c>
    </row>
    <row r="36444" spans="1:6" x14ac:dyDescent="0.25">
      <c r="A36444" s="2" t="str">
        <f t="shared" si="1231"/>
        <v>99999</v>
      </c>
      <c r="B36444" s="2" t="str">
        <f>"12431"</f>
        <v>12431</v>
      </c>
      <c r="C36444" s="1">
        <v>7.3449981653875301E-5</v>
      </c>
      <c r="D36444" s="1">
        <v>3.4904861488403899E-5</v>
      </c>
      <c r="E36444" s="1">
        <v>3.0418779685469802E-5</v>
      </c>
      <c r="F36444" s="1">
        <v>6.9938049611843801E-5</v>
      </c>
    </row>
    <row r="36445" spans="1:6" x14ac:dyDescent="0.25">
      <c r="A36445" s="2" t="str">
        <f t="shared" si="1231"/>
        <v>99999</v>
      </c>
      <c r="B36445" s="2" t="str">
        <f>"12407"</f>
        <v>12407</v>
      </c>
      <c r="C36445" s="1">
        <v>6.3300132777485401E-6</v>
      </c>
      <c r="D36445" s="1">
        <v>1.3658424060679801E-5</v>
      </c>
      <c r="E36445" s="1">
        <v>2.1727699775335501E-5</v>
      </c>
      <c r="F36445" s="1">
        <v>7.1629296899754602E-6</v>
      </c>
    </row>
    <row r="36446" spans="1:6" x14ac:dyDescent="0.25">
      <c r="A36446" s="2" t="str">
        <f t="shared" si="1231"/>
        <v>99999</v>
      </c>
      <c r="B36446" s="2" t="str">
        <f>"10963"</f>
        <v>10963</v>
      </c>
      <c r="C36446" s="1">
        <v>1.4187960794953601E-6</v>
      </c>
      <c r="D36446" s="1">
        <v>0</v>
      </c>
      <c r="E36446" s="1">
        <v>0</v>
      </c>
      <c r="F36446" s="1">
        <v>1.2933067495789E-6</v>
      </c>
    </row>
    <row r="36447" spans="1:6" x14ac:dyDescent="0.25">
      <c r="A36447" s="2" t="str">
        <f t="shared" si="1231"/>
        <v>99999</v>
      </c>
      <c r="B36447" s="2" t="str">
        <f>"89314"</f>
        <v>89314</v>
      </c>
      <c r="C36447" s="1">
        <v>3.2741447988354498E-7</v>
      </c>
      <c r="D36447" s="1">
        <v>1.51760267340886E-6</v>
      </c>
      <c r="E36447" s="1">
        <v>0</v>
      </c>
      <c r="F36447" s="1">
        <v>3.9794053833197002E-7</v>
      </c>
    </row>
    <row r="36448" spans="1:6" x14ac:dyDescent="0.25">
      <c r="A36448" s="2" t="str">
        <f t="shared" si="1231"/>
        <v>99999</v>
      </c>
      <c r="B36448" s="2" t="str">
        <f>"89420"</f>
        <v>89420</v>
      </c>
      <c r="C36448" s="1">
        <v>2.1827631992236301E-7</v>
      </c>
      <c r="D36448" s="1">
        <v>3.0352053468177301E-6</v>
      </c>
      <c r="E36448" s="1">
        <v>4.3455399550671099E-6</v>
      </c>
      <c r="F36448" s="1">
        <v>4.9742567291496303E-7</v>
      </c>
    </row>
    <row r="36449" spans="1:6" x14ac:dyDescent="0.25">
      <c r="A36449" s="2" t="str">
        <f t="shared" si="1231"/>
        <v>99999</v>
      </c>
      <c r="B36449" s="2" t="str">
        <f>"89042"</f>
        <v>89042</v>
      </c>
      <c r="C36449" s="1">
        <v>0</v>
      </c>
      <c r="D36449" s="1">
        <v>1.51760267340886E-6</v>
      </c>
      <c r="E36449" s="1">
        <v>9.7774648989010097E-4</v>
      </c>
      <c r="F36449" s="1">
        <v>2.2483640415756299E-5</v>
      </c>
    </row>
    <row r="36450" spans="1:6" x14ac:dyDescent="0.25">
      <c r="A36450" s="2" t="str">
        <f t="shared" si="1231"/>
        <v>99999</v>
      </c>
      <c r="B36450" s="2" t="str">
        <f>"88433"</f>
        <v>88433</v>
      </c>
      <c r="C36450" s="1">
        <v>0</v>
      </c>
      <c r="D36450" s="1">
        <v>0</v>
      </c>
      <c r="E36450" s="1">
        <v>4.3455399550671099E-6</v>
      </c>
      <c r="F36450" s="1">
        <v>9.9485134582992598E-8</v>
      </c>
    </row>
    <row r="36451" spans="1:6" x14ac:dyDescent="0.25">
      <c r="A36451" s="2" t="str">
        <f t="shared" si="1231"/>
        <v>99999</v>
      </c>
      <c r="B36451" s="2" t="str">
        <f>"88419"</f>
        <v>88419</v>
      </c>
      <c r="C36451" s="1">
        <v>5.3477698380979E-6</v>
      </c>
      <c r="D36451" s="1">
        <v>0</v>
      </c>
      <c r="E36451" s="1">
        <v>4.3455399550671099E-6</v>
      </c>
      <c r="F36451" s="1">
        <v>4.9742567291496301E-6</v>
      </c>
    </row>
    <row r="36452" spans="1:6" x14ac:dyDescent="0.25">
      <c r="A36452" s="2" t="str">
        <f t="shared" si="1231"/>
        <v>99999</v>
      </c>
      <c r="B36452" s="2" t="str">
        <f>"88401"</f>
        <v>88401</v>
      </c>
      <c r="C36452" s="1">
        <v>5.4885580644478205E-4</v>
      </c>
      <c r="D36452" s="1">
        <v>6.4953394421899595E-4</v>
      </c>
      <c r="E36452" s="1">
        <v>2.7376901716922799E-4</v>
      </c>
      <c r="F36452" s="1">
        <v>5.4915794289811905E-4</v>
      </c>
    </row>
    <row r="36453" spans="1:6" x14ac:dyDescent="0.25">
      <c r="A36453" s="2" t="str">
        <f t="shared" si="1231"/>
        <v>99999</v>
      </c>
      <c r="B36453" s="2" t="str">
        <f>"87939"</f>
        <v>87939</v>
      </c>
      <c r="C36453" s="1">
        <v>2.7284539990295402E-6</v>
      </c>
      <c r="D36453" s="1">
        <v>1.51760267340886E-6</v>
      </c>
      <c r="E36453" s="1">
        <v>0</v>
      </c>
      <c r="F36453" s="1">
        <v>2.5866134991578E-6</v>
      </c>
    </row>
    <row r="36454" spans="1:6" x14ac:dyDescent="0.25">
      <c r="A36454" s="2" t="str">
        <f t="shared" si="1231"/>
        <v>99999</v>
      </c>
      <c r="B36454" s="2" t="str">
        <f>"87747"</f>
        <v>87747</v>
      </c>
      <c r="C36454" s="1">
        <v>1.49519279146818E-5</v>
      </c>
      <c r="D36454" s="1">
        <v>4.5528080202265997E-6</v>
      </c>
      <c r="E36454" s="1">
        <v>8.69107991013423E-6</v>
      </c>
      <c r="F36454" s="1">
        <v>1.41268891107849E-5</v>
      </c>
    </row>
    <row r="36455" spans="1:6" x14ac:dyDescent="0.25">
      <c r="A36455" s="2" t="str">
        <f t="shared" si="1231"/>
        <v>99999</v>
      </c>
      <c r="B36455" s="2" t="str">
        <f>"88124"</f>
        <v>88124</v>
      </c>
      <c r="C36455" s="1">
        <v>3.4924211187578098E-6</v>
      </c>
      <c r="D36455" s="1">
        <v>0</v>
      </c>
      <c r="E36455" s="1">
        <v>0</v>
      </c>
      <c r="F36455" s="1">
        <v>3.1835243066557602E-6</v>
      </c>
    </row>
    <row r="36456" spans="1:6" x14ac:dyDescent="0.25">
      <c r="A36456" s="2" t="str">
        <f t="shared" si="1231"/>
        <v>99999</v>
      </c>
      <c r="B36456" s="2" t="str">
        <f>"87062"</f>
        <v>87062</v>
      </c>
      <c r="C36456" s="1">
        <v>4.9985277262221202E-5</v>
      </c>
      <c r="D36456" s="1">
        <v>1.51760267340886E-6</v>
      </c>
      <c r="E36456" s="1">
        <v>8.69107991013423E-6</v>
      </c>
      <c r="F36456" s="1">
        <v>4.5862647042759598E-5</v>
      </c>
    </row>
    <row r="36457" spans="1:6" x14ac:dyDescent="0.25">
      <c r="A36457" s="2" t="str">
        <f t="shared" si="1231"/>
        <v>99999</v>
      </c>
      <c r="B36457" s="2" t="str">
        <f>"86514"</f>
        <v>86514</v>
      </c>
      <c r="C36457" s="1">
        <v>1.2660026555497001E-5</v>
      </c>
      <c r="D36457" s="1">
        <v>6.0704106936354696E-6</v>
      </c>
      <c r="E36457" s="1">
        <v>4.3455399550671099E-6</v>
      </c>
      <c r="F36457" s="1">
        <v>1.20377012845421E-5</v>
      </c>
    </row>
    <row r="36458" spans="1:6" x14ac:dyDescent="0.25">
      <c r="A36458" s="2" t="str">
        <f t="shared" si="1231"/>
        <v>99999</v>
      </c>
      <c r="B36458" s="2" t="str">
        <f>"86511"</f>
        <v>86511</v>
      </c>
      <c r="C36458" s="1">
        <v>0</v>
      </c>
      <c r="D36458" s="1">
        <v>1.51760267340886E-6</v>
      </c>
      <c r="E36458" s="1">
        <v>4.3455399550671099E-6</v>
      </c>
      <c r="F36458" s="1">
        <v>1.9897026916598501E-7</v>
      </c>
    </row>
    <row r="36459" spans="1:6" x14ac:dyDescent="0.25">
      <c r="A36459" s="2" t="str">
        <f t="shared" si="1231"/>
        <v>99999</v>
      </c>
      <c r="B36459" s="2" t="str">
        <f>"86504"</f>
        <v>86504</v>
      </c>
      <c r="C36459" s="1">
        <v>0</v>
      </c>
      <c r="D36459" s="1">
        <v>0</v>
      </c>
      <c r="E36459" s="1">
        <v>4.3455399550671099E-6</v>
      </c>
      <c r="F36459" s="1">
        <v>9.9485134582992598E-8</v>
      </c>
    </row>
    <row r="36460" spans="1:6" x14ac:dyDescent="0.25">
      <c r="A36460" s="2" t="str">
        <f t="shared" si="1231"/>
        <v>99999</v>
      </c>
      <c r="B36460" s="2" t="str">
        <f>"85927"</f>
        <v>85927</v>
      </c>
      <c r="C36460" s="1">
        <v>6.9848422375156299E-6</v>
      </c>
      <c r="D36460" s="1">
        <v>7.5880133670443404E-6</v>
      </c>
      <c r="E36460" s="1">
        <v>8.69107991013423E-6</v>
      </c>
      <c r="F36460" s="1">
        <v>7.0634445553924701E-6</v>
      </c>
    </row>
    <row r="36461" spans="1:6" x14ac:dyDescent="0.25">
      <c r="A36461" s="2" t="str">
        <f t="shared" si="1231"/>
        <v>99999</v>
      </c>
      <c r="B36461" s="2" t="str">
        <f>"85930"</f>
        <v>85930</v>
      </c>
      <c r="C36461" s="1">
        <v>0</v>
      </c>
      <c r="D36461" s="1">
        <v>0</v>
      </c>
      <c r="E36461" s="1">
        <v>4.3455399550671099E-6</v>
      </c>
      <c r="F36461" s="1">
        <v>9.9485134582992598E-8</v>
      </c>
    </row>
    <row r="36462" spans="1:6" x14ac:dyDescent="0.25">
      <c r="A36462" s="2" t="str">
        <f t="shared" si="1231"/>
        <v>99999</v>
      </c>
      <c r="B36462" s="2" t="str">
        <f>"85936"</f>
        <v>85936</v>
      </c>
      <c r="C36462" s="1">
        <v>4.2563882384860804E-6</v>
      </c>
      <c r="D36462" s="1">
        <v>1.51760267340886E-6</v>
      </c>
      <c r="E36462" s="1">
        <v>4.3455399550671099E-6</v>
      </c>
      <c r="F36462" s="1">
        <v>4.07889051790269E-6</v>
      </c>
    </row>
    <row r="36463" spans="1:6" x14ac:dyDescent="0.25">
      <c r="A36463" s="2" t="str">
        <f t="shared" si="1231"/>
        <v>99999</v>
      </c>
      <c r="B36463" s="2" t="str">
        <f>"85937"</f>
        <v>85937</v>
      </c>
      <c r="C36463" s="1">
        <v>6.5482895976708995E-7</v>
      </c>
      <c r="D36463" s="1">
        <v>0</v>
      </c>
      <c r="E36463" s="1">
        <v>4.3455399550671099E-6</v>
      </c>
      <c r="F36463" s="1">
        <v>6.9639594208094799E-7</v>
      </c>
    </row>
    <row r="36464" spans="1:6" x14ac:dyDescent="0.25">
      <c r="A36464" s="2" t="str">
        <f t="shared" si="1231"/>
        <v>99999</v>
      </c>
      <c r="B36464" s="2" t="str">
        <f>"85924"</f>
        <v>85924</v>
      </c>
      <c r="C36464" s="1">
        <v>9.7351238685374102E-5</v>
      </c>
      <c r="D36464" s="1">
        <v>4.5528080202265997E-6</v>
      </c>
      <c r="E36464" s="1">
        <v>1.17329578786812E-4</v>
      </c>
      <c r="F36464" s="1">
        <v>9.1725294085519195E-5</v>
      </c>
    </row>
    <row r="36465" spans="1:6" x14ac:dyDescent="0.25">
      <c r="A36465" s="2" t="str">
        <f t="shared" si="1231"/>
        <v>99999</v>
      </c>
      <c r="B36465" s="2" t="str">
        <f>"85359"</f>
        <v>85359</v>
      </c>
      <c r="C36465" s="1">
        <v>1.8979126017249501E-4</v>
      </c>
      <c r="D36465" s="1">
        <v>6.2221709609763595E-5</v>
      </c>
      <c r="E36465" s="1">
        <v>8.69107991013423E-6</v>
      </c>
      <c r="F36465" s="1">
        <v>1.7728250982689201E-4</v>
      </c>
    </row>
    <row r="36466" spans="1:6" x14ac:dyDescent="0.25">
      <c r="A36466" s="2" t="str">
        <f t="shared" si="1231"/>
        <v>99999</v>
      </c>
      <c r="B36466" s="2" t="str">
        <f>"84732"</f>
        <v>84732</v>
      </c>
      <c r="C36466" s="1">
        <v>3.4924211187578098E-6</v>
      </c>
      <c r="D36466" s="1">
        <v>0</v>
      </c>
      <c r="E36466" s="1">
        <v>4.3455399550671099E-6</v>
      </c>
      <c r="F36466" s="1">
        <v>3.2830094412387502E-6</v>
      </c>
    </row>
    <row r="36467" spans="1:6" x14ac:dyDescent="0.25">
      <c r="A36467" s="2" t="str">
        <f t="shared" si="1231"/>
        <v>99999</v>
      </c>
      <c r="B36467" s="2" t="str">
        <f>"84723"</f>
        <v>84723</v>
      </c>
      <c r="C36467" s="1">
        <v>1.09138159961181E-7</v>
      </c>
      <c r="D36467" s="1">
        <v>0</v>
      </c>
      <c r="E36467" s="1">
        <v>4.3455399550671099E-6</v>
      </c>
      <c r="F36467" s="1">
        <v>1.9897026916598501E-7</v>
      </c>
    </row>
    <row r="36468" spans="1:6" x14ac:dyDescent="0.25">
      <c r="A36468" s="2" t="str">
        <f t="shared" si="1231"/>
        <v>99999</v>
      </c>
      <c r="B36468" s="2" t="str">
        <f>"84712"</f>
        <v>84712</v>
      </c>
      <c r="C36468" s="1">
        <v>1.85534871934008E-6</v>
      </c>
      <c r="D36468" s="1">
        <v>0</v>
      </c>
      <c r="E36468" s="1">
        <v>4.3455399550671099E-6</v>
      </c>
      <c r="F36468" s="1">
        <v>1.79073242249386E-6</v>
      </c>
    </row>
    <row r="36469" spans="1:6" x14ac:dyDescent="0.25">
      <c r="A36469" s="2" t="str">
        <f t="shared" si="1231"/>
        <v>99999</v>
      </c>
      <c r="B36469" s="2" t="str">
        <f>"84637"</f>
        <v>84637</v>
      </c>
      <c r="C36469" s="1">
        <v>1.15686449558852E-5</v>
      </c>
      <c r="D36469" s="1">
        <v>0</v>
      </c>
      <c r="E36469" s="1">
        <v>4.3455399550671099E-6</v>
      </c>
      <c r="F36469" s="1">
        <v>1.0644909400380201E-5</v>
      </c>
    </row>
    <row r="36470" spans="1:6" x14ac:dyDescent="0.25">
      <c r="A36470" s="2" t="str">
        <f t="shared" si="1231"/>
        <v>99999</v>
      </c>
      <c r="B36470" s="2" t="str">
        <f>"84512"</f>
        <v>84512</v>
      </c>
      <c r="C36470" s="1">
        <v>1.65890003140996E-5</v>
      </c>
      <c r="D36470" s="1">
        <v>2.4281642774541899E-5</v>
      </c>
      <c r="E36470" s="1">
        <v>2.1727699775335501E-5</v>
      </c>
      <c r="F36470" s="1">
        <v>1.7210928282857699E-5</v>
      </c>
    </row>
    <row r="36471" spans="1:6" x14ac:dyDescent="0.25">
      <c r="A36471" s="2" t="str">
        <f t="shared" si="1231"/>
        <v>99999</v>
      </c>
      <c r="B36471" s="2" t="str">
        <f>"84532"</f>
        <v>84532</v>
      </c>
      <c r="C36471" s="1">
        <v>7.26423592701625E-4</v>
      </c>
      <c r="D36471" s="1">
        <v>1.4417225397384201E-3</v>
      </c>
      <c r="E36471" s="1">
        <v>7.8654273186714804E-4</v>
      </c>
      <c r="F36471" s="1">
        <v>7.74690742997763E-4</v>
      </c>
    </row>
    <row r="36472" spans="1:6" x14ac:dyDescent="0.25">
      <c r="A36472" s="2" t="str">
        <f t="shared" si="1231"/>
        <v>99999</v>
      </c>
      <c r="B36472" s="2" t="str">
        <f>"84028"</f>
        <v>84028</v>
      </c>
      <c r="C36472" s="1">
        <v>7.2031185574379897E-6</v>
      </c>
      <c r="D36472" s="1">
        <v>2.2764040101133E-5</v>
      </c>
      <c r="E36472" s="1">
        <v>4.3455399550671099E-6</v>
      </c>
      <c r="F36472" s="1">
        <v>8.1577810358053902E-6</v>
      </c>
    </row>
    <row r="36473" spans="1:6" x14ac:dyDescent="0.25">
      <c r="A36473" s="2" t="str">
        <f t="shared" si="1231"/>
        <v>99999</v>
      </c>
      <c r="B36473" s="2" t="str">
        <f>"84027"</f>
        <v>84027</v>
      </c>
      <c r="C36473" s="1">
        <v>2.61931583906836E-5</v>
      </c>
      <c r="D36473" s="1">
        <v>0</v>
      </c>
      <c r="E36473" s="1">
        <v>1.7382159820268399E-5</v>
      </c>
      <c r="F36473" s="1">
        <v>2.4274372838250201E-5</v>
      </c>
    </row>
    <row r="36474" spans="1:6" x14ac:dyDescent="0.25">
      <c r="A36474" s="2" t="str">
        <f t="shared" si="1231"/>
        <v>99999</v>
      </c>
      <c r="B36474" s="2" t="str">
        <f>"83861"</f>
        <v>83861</v>
      </c>
      <c r="C36474" s="1">
        <v>3.11807723009096E-4</v>
      </c>
      <c r="D36474" s="1">
        <v>3.8243587369903497E-4</v>
      </c>
      <c r="E36474" s="1">
        <v>2.8246009707936202E-4</v>
      </c>
      <c r="F36474" s="1">
        <v>3.15765817166418E-4</v>
      </c>
    </row>
    <row r="36475" spans="1:6" x14ac:dyDescent="0.25">
      <c r="A36475" s="2" t="str">
        <f t="shared" si="1231"/>
        <v>99999</v>
      </c>
      <c r="B36475" s="2" t="str">
        <f>"83654"</f>
        <v>83654</v>
      </c>
      <c r="C36475" s="1">
        <v>3.7980079666491197E-5</v>
      </c>
      <c r="D36475" s="1">
        <v>3.0352053468177301E-6</v>
      </c>
      <c r="E36475" s="1">
        <v>2.1727699775335501E-5</v>
      </c>
      <c r="F36475" s="1">
        <v>3.5317222776962297E-5</v>
      </c>
    </row>
    <row r="36476" spans="1:6" x14ac:dyDescent="0.25">
      <c r="A36476" s="2" t="str">
        <f t="shared" si="1231"/>
        <v>99999</v>
      </c>
      <c r="B36476" s="2" t="str">
        <f>"83632"</f>
        <v>83632</v>
      </c>
      <c r="C36476" s="1">
        <v>1.4297098954914801E-5</v>
      </c>
      <c r="D36476" s="1">
        <v>0</v>
      </c>
      <c r="E36476" s="1">
        <v>4.3455399550671099E-6</v>
      </c>
      <c r="F36476" s="1">
        <v>1.3132037764955001E-5</v>
      </c>
    </row>
    <row r="36477" spans="1:6" x14ac:dyDescent="0.25">
      <c r="A36477" s="2" t="str">
        <f t="shared" si="1231"/>
        <v>99999</v>
      </c>
      <c r="B36477" s="2" t="str">
        <f>"83342"</f>
        <v>83342</v>
      </c>
      <c r="C36477" s="1">
        <v>8.7310527968945299E-7</v>
      </c>
      <c r="D36477" s="1">
        <v>0</v>
      </c>
      <c r="E36477" s="1">
        <v>0</v>
      </c>
      <c r="F36477" s="1">
        <v>7.9588107666394099E-7</v>
      </c>
    </row>
    <row r="36478" spans="1:6" x14ac:dyDescent="0.25">
      <c r="A36478" s="2" t="str">
        <f t="shared" si="1231"/>
        <v>99999</v>
      </c>
      <c r="B36478" s="2" t="str">
        <f>"83347"</f>
        <v>83347</v>
      </c>
      <c r="C36478" s="1">
        <v>3.3832829587966299E-6</v>
      </c>
      <c r="D36478" s="1">
        <v>3.0352053468177301E-6</v>
      </c>
      <c r="E36478" s="1">
        <v>0</v>
      </c>
      <c r="F36478" s="1">
        <v>3.2830094412387502E-6</v>
      </c>
    </row>
    <row r="36479" spans="1:6" x14ac:dyDescent="0.25">
      <c r="A36479" s="2" t="str">
        <f t="shared" si="1231"/>
        <v>99999</v>
      </c>
      <c r="B36479" s="2" t="str">
        <f>"83544"</f>
        <v>83544</v>
      </c>
      <c r="C36479" s="1">
        <v>2.5298225479001901E-4</v>
      </c>
      <c r="D36479" s="1">
        <v>1.6845389674838401E-4</v>
      </c>
      <c r="E36479" s="1">
        <v>4.04135215821241E-4</v>
      </c>
      <c r="F36479" s="1">
        <v>2.5090150941830701E-4</v>
      </c>
    </row>
    <row r="36480" spans="1:6" x14ac:dyDescent="0.25">
      <c r="A36480" s="2" t="str">
        <f t="shared" si="1231"/>
        <v>99999</v>
      </c>
      <c r="B36480" s="2" t="str">
        <f>"83243"</f>
        <v>83243</v>
      </c>
      <c r="C36480" s="1">
        <v>6.3300132777485401E-6</v>
      </c>
      <c r="D36480" s="1">
        <v>3.0352053468177301E-6</v>
      </c>
      <c r="E36480" s="1">
        <v>4.3455399550671099E-6</v>
      </c>
      <c r="F36480" s="1">
        <v>6.0685932095625502E-6</v>
      </c>
    </row>
    <row r="36481" spans="1:6" x14ac:dyDescent="0.25">
      <c r="A36481" s="2" t="str">
        <f t="shared" si="1231"/>
        <v>99999</v>
      </c>
      <c r="B36481" s="2" t="str">
        <f>"83287"</f>
        <v>83287</v>
      </c>
      <c r="C36481" s="1">
        <v>3.6779559906918201E-5</v>
      </c>
      <c r="D36481" s="1">
        <v>1.3658424060679801E-5</v>
      </c>
      <c r="E36481" s="1">
        <v>1.3036619865201299E-5</v>
      </c>
      <c r="F36481" s="1">
        <v>3.4720311969464401E-5</v>
      </c>
    </row>
    <row r="36482" spans="1:6" x14ac:dyDescent="0.25">
      <c r="A36482" s="2" t="str">
        <f t="shared" si="1231"/>
        <v>99999</v>
      </c>
      <c r="B36482" s="2" t="str">
        <f>"82412"</f>
        <v>82412</v>
      </c>
      <c r="C36482" s="1">
        <v>0</v>
      </c>
      <c r="D36482" s="1">
        <v>0</v>
      </c>
      <c r="E36482" s="1">
        <v>4.3455399550671099E-6</v>
      </c>
      <c r="F36482" s="1">
        <v>9.9485134582992598E-8</v>
      </c>
    </row>
    <row r="36483" spans="1:6" x14ac:dyDescent="0.25">
      <c r="A36483" s="2" t="str">
        <f t="shared" si="1231"/>
        <v>99999</v>
      </c>
      <c r="B36483" s="2" t="str">
        <f>"82329"</f>
        <v>82329</v>
      </c>
      <c r="C36483" s="1">
        <v>1.49519279146818E-5</v>
      </c>
      <c r="D36483" s="1">
        <v>0</v>
      </c>
      <c r="E36483" s="1">
        <v>2.1727699775335501E-5</v>
      </c>
      <c r="F36483" s="1">
        <v>1.41268891107849E-5</v>
      </c>
    </row>
    <row r="36484" spans="1:6" x14ac:dyDescent="0.25">
      <c r="A36484" s="2" t="str">
        <f t="shared" si="1231"/>
        <v>99999</v>
      </c>
      <c r="B36484" s="2" t="str">
        <f>"82217"</f>
        <v>82217</v>
      </c>
      <c r="C36484" s="1">
        <v>9.3858817566616205E-6</v>
      </c>
      <c r="D36484" s="1">
        <v>1.51760267340886E-6</v>
      </c>
      <c r="E36484" s="1">
        <v>1.9120375802295301E-4</v>
      </c>
      <c r="F36484" s="1">
        <v>1.3032552630372001E-5</v>
      </c>
    </row>
    <row r="36485" spans="1:6" x14ac:dyDescent="0.25">
      <c r="A36485" s="2" t="str">
        <f t="shared" si="1231"/>
        <v>99999</v>
      </c>
      <c r="B36485" s="2" t="str">
        <f>"82243"</f>
        <v>82243</v>
      </c>
      <c r="C36485" s="1">
        <v>1.01498488763899E-5</v>
      </c>
      <c r="D36485" s="1">
        <v>3.0352053468177301E-6</v>
      </c>
      <c r="E36485" s="1">
        <v>7.3874179236140894E-5</v>
      </c>
      <c r="F36485" s="1">
        <v>1.11423350732951E-5</v>
      </c>
    </row>
    <row r="36486" spans="1:6" x14ac:dyDescent="0.25">
      <c r="A36486" s="2" t="str">
        <f t="shared" si="1231"/>
        <v>99999</v>
      </c>
      <c r="B36486" s="2" t="str">
        <f>"82242"</f>
        <v>82242</v>
      </c>
      <c r="C36486" s="1">
        <v>2.1827631992236299E-6</v>
      </c>
      <c r="D36486" s="1">
        <v>0</v>
      </c>
      <c r="E36486" s="1">
        <v>3.0418779685469802E-5</v>
      </c>
      <c r="F36486" s="1">
        <v>2.6860986337408002E-6</v>
      </c>
    </row>
    <row r="36487" spans="1:6" x14ac:dyDescent="0.25">
      <c r="A36487" s="2" t="str">
        <f t="shared" si="1231"/>
        <v>99999</v>
      </c>
      <c r="B36487" s="2" t="str">
        <f>"82835"</f>
        <v>82835</v>
      </c>
      <c r="C36487" s="1">
        <v>1.09138159961181E-7</v>
      </c>
      <c r="D36487" s="1">
        <v>0</v>
      </c>
      <c r="E36487" s="1">
        <v>0</v>
      </c>
      <c r="F36487" s="1">
        <v>9.9485134582992598E-8</v>
      </c>
    </row>
    <row r="36488" spans="1:6" x14ac:dyDescent="0.25">
      <c r="A36488" s="2" t="str">
        <f t="shared" si="1231"/>
        <v>99999</v>
      </c>
      <c r="B36488" s="2" t="str">
        <f>"81135"</f>
        <v>81135</v>
      </c>
      <c r="C36488" s="1">
        <v>0</v>
      </c>
      <c r="D36488" s="1">
        <v>0</v>
      </c>
      <c r="E36488" s="1">
        <v>4.3455399550671099E-6</v>
      </c>
      <c r="F36488" s="1">
        <v>9.9485134582992598E-8</v>
      </c>
    </row>
    <row r="36489" spans="1:6" x14ac:dyDescent="0.25">
      <c r="A36489" s="2" t="str">
        <f t="shared" si="1231"/>
        <v>99999</v>
      </c>
      <c r="B36489" s="2" t="str">
        <f>"81058"</f>
        <v>81058</v>
      </c>
      <c r="C36489" s="1">
        <v>5.2604593101289503E-5</v>
      </c>
      <c r="D36489" s="1">
        <v>9.1056160404532095E-6</v>
      </c>
      <c r="E36489" s="1">
        <v>1.7382159820268399E-5</v>
      </c>
      <c r="F36489" s="1">
        <v>4.8946686214832301E-5</v>
      </c>
    </row>
    <row r="36490" spans="1:6" x14ac:dyDescent="0.25">
      <c r="A36490" s="2" t="str">
        <f t="shared" si="1231"/>
        <v>99999</v>
      </c>
      <c r="B36490" s="2" t="str">
        <f>"81123"</f>
        <v>81123</v>
      </c>
      <c r="C36490" s="1">
        <v>3.6124730947151102E-5</v>
      </c>
      <c r="D36490" s="1">
        <v>7.5880133670443404E-6</v>
      </c>
      <c r="E36490" s="1">
        <v>3.0418779685469802E-5</v>
      </c>
      <c r="F36490" s="1">
        <v>3.4123401161966403E-5</v>
      </c>
    </row>
    <row r="36491" spans="1:6" x14ac:dyDescent="0.25">
      <c r="A36491" s="2" t="str">
        <f t="shared" si="1231"/>
        <v>99999</v>
      </c>
      <c r="B36491" s="2" t="str">
        <f>"81054"</f>
        <v>81054</v>
      </c>
      <c r="C36491" s="1">
        <v>2.0867216184577899E-4</v>
      </c>
      <c r="D36491" s="1">
        <v>2.6102765982632503E-4</v>
      </c>
      <c r="E36491" s="1">
        <v>3.6937089618070402E-4</v>
      </c>
      <c r="F36491" s="1">
        <v>2.15783256910511E-4</v>
      </c>
    </row>
    <row r="36492" spans="1:6" x14ac:dyDescent="0.25">
      <c r="A36492" s="2" t="str">
        <f t="shared" si="1231"/>
        <v>99999</v>
      </c>
      <c r="B36492" s="2" t="str">
        <f>"81020"</f>
        <v>81020</v>
      </c>
      <c r="C36492" s="1">
        <v>4.8348204862803498E-5</v>
      </c>
      <c r="D36492" s="1">
        <v>7.5880133670443404E-6</v>
      </c>
      <c r="E36492" s="1">
        <v>1.3036619865201299E-5</v>
      </c>
      <c r="F36492" s="1">
        <v>4.4867795696929599E-5</v>
      </c>
    </row>
    <row r="36493" spans="1:6" x14ac:dyDescent="0.25">
      <c r="A36493" s="2" t="str">
        <f t="shared" si="1231"/>
        <v>99999</v>
      </c>
      <c r="B36493" s="2" t="str">
        <f>"81248"</f>
        <v>81248</v>
      </c>
      <c r="C36493" s="1">
        <v>0</v>
      </c>
      <c r="D36493" s="1">
        <v>0</v>
      </c>
      <c r="E36493" s="1">
        <v>4.3455399550671099E-6</v>
      </c>
      <c r="F36493" s="1">
        <v>9.9485134582992598E-8</v>
      </c>
    </row>
    <row r="36494" spans="1:6" x14ac:dyDescent="0.25">
      <c r="A36494" s="2" t="str">
        <f t="shared" si="1231"/>
        <v>99999</v>
      </c>
      <c r="B36494" s="2" t="str">
        <f>"81237"</f>
        <v>81237</v>
      </c>
      <c r="C36494" s="1">
        <v>1.0040710716428699E-5</v>
      </c>
      <c r="D36494" s="1">
        <v>0</v>
      </c>
      <c r="E36494" s="1">
        <v>0</v>
      </c>
      <c r="F36494" s="1">
        <v>9.1526323816353195E-6</v>
      </c>
    </row>
    <row r="36495" spans="1:6" x14ac:dyDescent="0.25">
      <c r="A36495" s="2" t="str">
        <f t="shared" si="1231"/>
        <v>99999</v>
      </c>
      <c r="B36495" s="2" t="str">
        <f>"81242"</f>
        <v>81242</v>
      </c>
      <c r="C36495" s="1">
        <v>4.5728889023735102E-5</v>
      </c>
      <c r="D36495" s="1">
        <v>0</v>
      </c>
      <c r="E36495" s="1">
        <v>1.47748358472281E-4</v>
      </c>
      <c r="F36495" s="1">
        <v>4.5066765966095603E-5</v>
      </c>
    </row>
    <row r="36496" spans="1:6" x14ac:dyDescent="0.25">
      <c r="A36496" s="2" t="str">
        <f t="shared" si="1231"/>
        <v>99999</v>
      </c>
      <c r="B36496" s="2" t="str">
        <f>"81420"</f>
        <v>81420</v>
      </c>
      <c r="C36496" s="1">
        <v>0</v>
      </c>
      <c r="D36496" s="1">
        <v>0</v>
      </c>
      <c r="E36496" s="1">
        <v>4.3455399550671099E-6</v>
      </c>
      <c r="F36496" s="1">
        <v>9.9485134582992598E-8</v>
      </c>
    </row>
    <row r="36497" spans="1:6" x14ac:dyDescent="0.25">
      <c r="A36497" s="2" t="str">
        <f t="shared" si="1231"/>
        <v>99999</v>
      </c>
      <c r="B36497" s="2" t="str">
        <f>"81426"</f>
        <v>81426</v>
      </c>
      <c r="C36497" s="1">
        <v>0</v>
      </c>
      <c r="D36497" s="1">
        <v>0</v>
      </c>
      <c r="E36497" s="1">
        <v>4.3455399550671099E-6</v>
      </c>
      <c r="F36497" s="1">
        <v>9.9485134582992598E-8</v>
      </c>
    </row>
    <row r="36498" spans="1:6" x14ac:dyDescent="0.25">
      <c r="A36498" s="2" t="str">
        <f t="shared" ref="A36498:A36561" si="1232">"99999"</f>
        <v>99999</v>
      </c>
      <c r="B36498" s="2" t="str">
        <f>"81330"</f>
        <v>81330</v>
      </c>
      <c r="C36498" s="1">
        <v>0</v>
      </c>
      <c r="D36498" s="1">
        <v>1.51760267340886E-6</v>
      </c>
      <c r="E36498" s="1">
        <v>0</v>
      </c>
      <c r="F36498" s="1">
        <v>9.9485134582992598E-8</v>
      </c>
    </row>
    <row r="36499" spans="1:6" x14ac:dyDescent="0.25">
      <c r="A36499" s="2" t="str">
        <f t="shared" si="1232"/>
        <v>99999</v>
      </c>
      <c r="B36499" s="2" t="str">
        <f>"81141"</f>
        <v>81141</v>
      </c>
      <c r="C36499" s="1">
        <v>8.0762238371274393E-6</v>
      </c>
      <c r="D36499" s="1">
        <v>0</v>
      </c>
      <c r="E36499" s="1">
        <v>4.3455399550671099E-6</v>
      </c>
      <c r="F36499" s="1">
        <v>7.4613850937244396E-6</v>
      </c>
    </row>
    <row r="36500" spans="1:6" x14ac:dyDescent="0.25">
      <c r="A36500" s="2" t="str">
        <f t="shared" si="1232"/>
        <v>99999</v>
      </c>
      <c r="B36500" s="2" t="str">
        <f>"81155"</f>
        <v>81155</v>
      </c>
      <c r="C36500" s="1">
        <v>1.30965791953418E-5</v>
      </c>
      <c r="D36500" s="1">
        <v>1.51760267340886E-6</v>
      </c>
      <c r="E36500" s="1">
        <v>4.3455399550671099E-6</v>
      </c>
      <c r="F36500" s="1">
        <v>1.21371864191251E-5</v>
      </c>
    </row>
    <row r="36501" spans="1:6" x14ac:dyDescent="0.25">
      <c r="A36501" s="2" t="str">
        <f t="shared" si="1232"/>
        <v>99999</v>
      </c>
      <c r="B36501" s="2" t="str">
        <f>"81223"</f>
        <v>81223</v>
      </c>
      <c r="C36501" s="1">
        <v>8.7310527968945299E-7</v>
      </c>
      <c r="D36501" s="1">
        <v>0</v>
      </c>
      <c r="E36501" s="1">
        <v>0</v>
      </c>
      <c r="F36501" s="1">
        <v>7.9588107666394099E-7</v>
      </c>
    </row>
    <row r="36502" spans="1:6" x14ac:dyDescent="0.25">
      <c r="A36502" s="2" t="str">
        <f t="shared" si="1232"/>
        <v>99999</v>
      </c>
      <c r="B36502" s="2" t="str">
        <f>"81226"</f>
        <v>81226</v>
      </c>
      <c r="C36502" s="1">
        <v>2.5101776791071799E-6</v>
      </c>
      <c r="D36502" s="1">
        <v>0</v>
      </c>
      <c r="E36502" s="1">
        <v>0</v>
      </c>
      <c r="F36502" s="1">
        <v>2.2881580954088299E-6</v>
      </c>
    </row>
    <row r="36503" spans="1:6" x14ac:dyDescent="0.25">
      <c r="A36503" s="2" t="str">
        <f t="shared" si="1232"/>
        <v>99999</v>
      </c>
      <c r="B36503" s="2" t="str">
        <f>"80757"</f>
        <v>80757</v>
      </c>
      <c r="C36503" s="1">
        <v>1.1132092316040499E-5</v>
      </c>
      <c r="D36503" s="1">
        <v>6.0704106936354696E-6</v>
      </c>
      <c r="E36503" s="1">
        <v>5.6492019415872502E-5</v>
      </c>
      <c r="F36503" s="1">
        <v>1.18387310153761E-5</v>
      </c>
    </row>
    <row r="36504" spans="1:6" x14ac:dyDescent="0.25">
      <c r="A36504" s="2" t="str">
        <f t="shared" si="1232"/>
        <v>99999</v>
      </c>
      <c r="B36504" s="2" t="str">
        <f>"80744"</f>
        <v>80744</v>
      </c>
      <c r="C36504" s="1">
        <v>3.00129939893249E-5</v>
      </c>
      <c r="D36504" s="1">
        <v>3.0352053468177301E-6</v>
      </c>
      <c r="E36504" s="1">
        <v>2.1727699775335501E-5</v>
      </c>
      <c r="F36504" s="1">
        <v>2.80548079524039E-5</v>
      </c>
    </row>
    <row r="36505" spans="1:6" x14ac:dyDescent="0.25">
      <c r="A36505" s="2" t="str">
        <f t="shared" si="1232"/>
        <v>99999</v>
      </c>
      <c r="B36505" s="2" t="str">
        <f>"80836"</f>
        <v>80836</v>
      </c>
      <c r="C36505" s="1">
        <v>5.0421829902065903E-5</v>
      </c>
      <c r="D36505" s="1">
        <v>8.4985749710896595E-5</v>
      </c>
      <c r="E36505" s="1">
        <v>2.60732397304027E-5</v>
      </c>
      <c r="F36505" s="1">
        <v>5.2130210521488097E-5</v>
      </c>
    </row>
    <row r="36506" spans="1:6" x14ac:dyDescent="0.25">
      <c r="A36506" s="2" t="str">
        <f t="shared" si="1232"/>
        <v>99999</v>
      </c>
      <c r="B36506" s="2" t="str">
        <f>"80801"</f>
        <v>80801</v>
      </c>
      <c r="C36506" s="1">
        <v>8.6219146369333496E-6</v>
      </c>
      <c r="D36506" s="1">
        <v>1.9728834754315301E-5</v>
      </c>
      <c r="E36506" s="1">
        <v>2.1727699775335501E-5</v>
      </c>
      <c r="F36506" s="1">
        <v>9.6500580545502799E-6</v>
      </c>
    </row>
    <row r="36507" spans="1:6" x14ac:dyDescent="0.25">
      <c r="A36507" s="2" t="str">
        <f t="shared" si="1232"/>
        <v>99999</v>
      </c>
      <c r="B36507" s="2" t="str">
        <f>"80430"</f>
        <v>80430</v>
      </c>
      <c r="C36507" s="1">
        <v>1.386054631507E-5</v>
      </c>
      <c r="D36507" s="1">
        <v>1.51760267340886E-6</v>
      </c>
      <c r="E36507" s="1">
        <v>1.0429295892161E-4</v>
      </c>
      <c r="F36507" s="1">
        <v>1.51217404566148E-5</v>
      </c>
    </row>
    <row r="36508" spans="1:6" x14ac:dyDescent="0.25">
      <c r="A36508" s="2" t="str">
        <f t="shared" si="1232"/>
        <v>99999</v>
      </c>
      <c r="B36508" s="2" t="str">
        <f>"80429"</f>
        <v>80429</v>
      </c>
      <c r="C36508" s="1">
        <v>0</v>
      </c>
      <c r="D36508" s="1">
        <v>1.51760267340886E-6</v>
      </c>
      <c r="E36508" s="1">
        <v>0</v>
      </c>
      <c r="F36508" s="1">
        <v>9.9485134582992598E-8</v>
      </c>
    </row>
    <row r="36509" spans="1:6" x14ac:dyDescent="0.25">
      <c r="A36509" s="2" t="str">
        <f t="shared" si="1232"/>
        <v>99999</v>
      </c>
      <c r="B36509" s="2" t="str">
        <f>"79730"</f>
        <v>79730</v>
      </c>
      <c r="C36509" s="1">
        <v>0</v>
      </c>
      <c r="D36509" s="1">
        <v>1.51760267340886E-6</v>
      </c>
      <c r="E36509" s="1">
        <v>0</v>
      </c>
      <c r="F36509" s="1">
        <v>9.9485134582992598E-8</v>
      </c>
    </row>
    <row r="36510" spans="1:6" x14ac:dyDescent="0.25">
      <c r="A36510" s="2" t="str">
        <f t="shared" si="1232"/>
        <v>99999</v>
      </c>
      <c r="B36510" s="2" t="str">
        <f>"79738"</f>
        <v>79738</v>
      </c>
      <c r="C36510" s="1">
        <v>5.4569079980590801E-7</v>
      </c>
      <c r="D36510" s="1">
        <v>1.0623218713862E-5</v>
      </c>
      <c r="E36510" s="1">
        <v>0</v>
      </c>
      <c r="F36510" s="1">
        <v>1.19382161499591E-6</v>
      </c>
    </row>
    <row r="36511" spans="1:6" x14ac:dyDescent="0.25">
      <c r="A36511" s="2" t="str">
        <f t="shared" si="1232"/>
        <v>99999</v>
      </c>
      <c r="B36511" s="2" t="str">
        <f>"79788"</f>
        <v>79788</v>
      </c>
      <c r="C36511" s="1">
        <v>0</v>
      </c>
      <c r="D36511" s="1">
        <v>1.51760267340886E-6</v>
      </c>
      <c r="E36511" s="1">
        <v>0</v>
      </c>
      <c r="F36511" s="1">
        <v>9.9485134582992598E-8</v>
      </c>
    </row>
    <row r="36512" spans="1:6" x14ac:dyDescent="0.25">
      <c r="A36512" s="2" t="str">
        <f t="shared" si="1232"/>
        <v>99999</v>
      </c>
      <c r="B36512" s="2" t="str">
        <f>"79854"</f>
        <v>79854</v>
      </c>
      <c r="C36512" s="1">
        <v>0</v>
      </c>
      <c r="D36512" s="1">
        <v>1.51760267340886E-6</v>
      </c>
      <c r="E36512" s="1">
        <v>0</v>
      </c>
      <c r="F36512" s="1">
        <v>9.9485134582992598E-8</v>
      </c>
    </row>
    <row r="36513" spans="1:6" x14ac:dyDescent="0.25">
      <c r="A36513" s="2" t="str">
        <f t="shared" si="1232"/>
        <v>99999</v>
      </c>
      <c r="B36513" s="2" t="str">
        <f>"79360"</f>
        <v>79360</v>
      </c>
      <c r="C36513" s="1">
        <v>6.1914078145978405E-4</v>
      </c>
      <c r="D36513" s="1">
        <v>6.9050921640103496E-4</v>
      </c>
      <c r="E36513" s="1">
        <v>9.9078310975530192E-4</v>
      </c>
      <c r="F36513" s="1">
        <v>6.3232751540950101E-4</v>
      </c>
    </row>
    <row r="36514" spans="1:6" x14ac:dyDescent="0.25">
      <c r="A36514" s="2" t="str">
        <f t="shared" si="1232"/>
        <v>99999</v>
      </c>
      <c r="B36514" s="2" t="str">
        <f>"79359"</f>
        <v>79359</v>
      </c>
      <c r="C36514" s="1">
        <v>3.2632309828393297E-5</v>
      </c>
      <c r="D36514" s="1">
        <v>1.8211232080906399E-5</v>
      </c>
      <c r="E36514" s="1">
        <v>3.0418779685469802E-5</v>
      </c>
      <c r="F36514" s="1">
        <v>3.1636272797391603E-5</v>
      </c>
    </row>
    <row r="36515" spans="1:6" x14ac:dyDescent="0.25">
      <c r="A36515" s="2" t="str">
        <f t="shared" si="1232"/>
        <v>99999</v>
      </c>
      <c r="B36515" s="2" t="str">
        <f>"79345"</f>
        <v>79345</v>
      </c>
      <c r="C36515" s="1">
        <v>4.6711132463385699E-5</v>
      </c>
      <c r="D36515" s="1">
        <v>3.0352053468177301E-5</v>
      </c>
      <c r="E36515" s="1">
        <v>1.17329578786812E-4</v>
      </c>
      <c r="F36515" s="1">
        <v>4.7255438926921502E-5</v>
      </c>
    </row>
    <row r="36516" spans="1:6" x14ac:dyDescent="0.25">
      <c r="A36516" s="2" t="str">
        <f t="shared" si="1232"/>
        <v>99999</v>
      </c>
      <c r="B36516" s="2" t="str">
        <f>"79316"</f>
        <v>79316</v>
      </c>
      <c r="C36516" s="1">
        <v>5.5103856964400602E-4</v>
      </c>
      <c r="D36516" s="1">
        <v>8.4833989443555799E-4</v>
      </c>
      <c r="E36516" s="1">
        <v>1.09073052872184E-3</v>
      </c>
      <c r="F36516" s="1">
        <v>5.8288340352175298E-4</v>
      </c>
    </row>
    <row r="36517" spans="1:6" x14ac:dyDescent="0.25">
      <c r="A36517" s="2" t="str">
        <f t="shared" si="1232"/>
        <v>99999</v>
      </c>
      <c r="B36517" s="2" t="str">
        <f>"79567"</f>
        <v>79567</v>
      </c>
      <c r="C36517" s="1">
        <v>1.9644868793012701E-4</v>
      </c>
      <c r="D36517" s="1">
        <v>3.06555740028591E-4</v>
      </c>
      <c r="E36517" s="1">
        <v>1.17329578786812E-4</v>
      </c>
      <c r="F36517" s="1">
        <v>2.01855338068892E-4</v>
      </c>
    </row>
    <row r="36518" spans="1:6" x14ac:dyDescent="0.25">
      <c r="A36518" s="2" t="str">
        <f t="shared" si="1232"/>
        <v>99999</v>
      </c>
      <c r="B36518" s="2" t="str">
        <f>"79553"</f>
        <v>79553</v>
      </c>
      <c r="C36518" s="1">
        <v>5.7843224779426299E-6</v>
      </c>
      <c r="D36518" s="1">
        <v>3.4904861488403899E-5</v>
      </c>
      <c r="E36518" s="1">
        <v>0</v>
      </c>
      <c r="F36518" s="1">
        <v>7.5608702283074398E-6</v>
      </c>
    </row>
    <row r="36519" spans="1:6" x14ac:dyDescent="0.25">
      <c r="A36519" s="2" t="str">
        <f t="shared" si="1232"/>
        <v>99999</v>
      </c>
      <c r="B36519" s="2" t="str">
        <f>"79543"</f>
        <v>79543</v>
      </c>
      <c r="C36519" s="1">
        <v>4.9003033822570597E-5</v>
      </c>
      <c r="D36519" s="1">
        <v>1.66936294074975E-5</v>
      </c>
      <c r="E36519" s="1">
        <v>5.6492019415872502E-5</v>
      </c>
      <c r="F36519" s="1">
        <v>4.7056468657755498E-5</v>
      </c>
    </row>
    <row r="36520" spans="1:6" x14ac:dyDescent="0.25">
      <c r="A36520" s="2" t="str">
        <f t="shared" si="1232"/>
        <v>99999</v>
      </c>
      <c r="B36520" s="2" t="str">
        <f>"79528"</f>
        <v>79528</v>
      </c>
      <c r="C36520" s="1">
        <v>1.27691647154582E-5</v>
      </c>
      <c r="D36520" s="1">
        <v>3.0352053468177301E-6</v>
      </c>
      <c r="E36520" s="1">
        <v>3.9109859595604001E-5</v>
      </c>
      <c r="F36520" s="1">
        <v>1.2734097226623E-5</v>
      </c>
    </row>
    <row r="36521" spans="1:6" x14ac:dyDescent="0.25">
      <c r="A36521" s="2" t="str">
        <f t="shared" si="1232"/>
        <v>99999</v>
      </c>
      <c r="B36521" s="2" t="str">
        <f>"79520"</f>
        <v>79520</v>
      </c>
      <c r="C36521" s="1">
        <v>4.2563882384860804E-6</v>
      </c>
      <c r="D36521" s="1">
        <v>7.5880133670443404E-6</v>
      </c>
      <c r="E36521" s="1">
        <v>0</v>
      </c>
      <c r="F36521" s="1">
        <v>4.3773459216516703E-6</v>
      </c>
    </row>
    <row r="36522" spans="1:6" x14ac:dyDescent="0.25">
      <c r="A36522" s="2" t="str">
        <f t="shared" si="1232"/>
        <v>99999</v>
      </c>
      <c r="B36522" s="2" t="str">
        <f>"79506"</f>
        <v>79506</v>
      </c>
      <c r="C36522" s="1">
        <v>2.5320053110994099E-5</v>
      </c>
      <c r="D36522" s="1">
        <v>3.0352053468177301E-6</v>
      </c>
      <c r="E36522" s="1">
        <v>2.60732397304027E-5</v>
      </c>
      <c r="F36522" s="1">
        <v>2.38764322999182E-5</v>
      </c>
    </row>
    <row r="36523" spans="1:6" x14ac:dyDescent="0.25">
      <c r="A36523" s="2" t="str">
        <f t="shared" si="1232"/>
        <v>99999</v>
      </c>
      <c r="B36523" s="2" t="str">
        <f>"79252"</f>
        <v>79252</v>
      </c>
      <c r="C36523" s="1">
        <v>2.27116510879219E-4</v>
      </c>
      <c r="D36523" s="1">
        <v>3.64224641618128E-4</v>
      </c>
      <c r="E36523" s="1">
        <v>2.5204131739389198E-4</v>
      </c>
      <c r="F36523" s="1">
        <v>2.36675135172939E-4</v>
      </c>
    </row>
    <row r="36524" spans="1:6" x14ac:dyDescent="0.25">
      <c r="A36524" s="2" t="str">
        <f t="shared" si="1232"/>
        <v>99999</v>
      </c>
      <c r="B36524" s="2" t="str">
        <f>"79234"</f>
        <v>79234</v>
      </c>
      <c r="C36524" s="1">
        <v>1.30965791953418E-5</v>
      </c>
      <c r="D36524" s="1">
        <v>1.0623218713862E-5</v>
      </c>
      <c r="E36524" s="1">
        <v>0</v>
      </c>
      <c r="F36524" s="1">
        <v>1.263461209204E-5</v>
      </c>
    </row>
    <row r="36525" spans="1:6" x14ac:dyDescent="0.25">
      <c r="A36525" s="2" t="str">
        <f t="shared" si="1232"/>
        <v>99999</v>
      </c>
      <c r="B36525" s="2" t="str">
        <f>"79227"</f>
        <v>79227</v>
      </c>
      <c r="C36525" s="1">
        <v>5.48964944604744E-5</v>
      </c>
      <c r="D36525" s="1">
        <v>1.66936294074975E-5</v>
      </c>
      <c r="E36525" s="1">
        <v>5.6492019415872502E-5</v>
      </c>
      <c r="F36525" s="1">
        <v>5.24286659252371E-5</v>
      </c>
    </row>
    <row r="36526" spans="1:6" x14ac:dyDescent="0.25">
      <c r="A36526" s="2" t="str">
        <f t="shared" si="1232"/>
        <v>99999</v>
      </c>
      <c r="B36526" s="2" t="str">
        <f>"79201"</f>
        <v>79201</v>
      </c>
      <c r="C36526" s="1">
        <v>3.7357992154712498E-4</v>
      </c>
      <c r="D36526" s="1">
        <v>7.1630846184898595E-4</v>
      </c>
      <c r="E36526" s="1">
        <v>4.12826295731376E-4</v>
      </c>
      <c r="F36526" s="1">
        <v>3.9694568698614001E-4</v>
      </c>
    </row>
    <row r="36527" spans="1:6" x14ac:dyDescent="0.25">
      <c r="A36527" s="2" t="str">
        <f t="shared" si="1232"/>
        <v>99999</v>
      </c>
      <c r="B36527" s="2" t="str">
        <f>"79261"</f>
        <v>79261</v>
      </c>
      <c r="C36527" s="1">
        <v>2.0736250392624501E-5</v>
      </c>
      <c r="D36527" s="1">
        <v>1.0623218713862E-5</v>
      </c>
      <c r="E36527" s="1">
        <v>1.3036619865201299E-5</v>
      </c>
      <c r="F36527" s="1">
        <v>1.98970269165985E-5</v>
      </c>
    </row>
    <row r="36528" spans="1:6" x14ac:dyDescent="0.25">
      <c r="A36528" s="2" t="str">
        <f t="shared" si="1232"/>
        <v>99999</v>
      </c>
      <c r="B36528" s="2" t="str">
        <f>"78836"</f>
        <v>78836</v>
      </c>
      <c r="C36528" s="1">
        <v>7.5305330373215401E-6</v>
      </c>
      <c r="D36528" s="1">
        <v>1.3658424060679801E-5</v>
      </c>
      <c r="E36528" s="1">
        <v>1.3036619865201299E-5</v>
      </c>
      <c r="F36528" s="1">
        <v>8.0582959012224002E-6</v>
      </c>
    </row>
    <row r="36529" spans="1:6" x14ac:dyDescent="0.25">
      <c r="A36529" s="2" t="str">
        <f t="shared" si="1232"/>
        <v>99999</v>
      </c>
      <c r="B36529" s="2" t="str">
        <f>"78833"</f>
        <v>78833</v>
      </c>
      <c r="C36529" s="1">
        <v>1.20051975957299E-5</v>
      </c>
      <c r="D36529" s="1">
        <v>1.66936294074975E-5</v>
      </c>
      <c r="E36529" s="1">
        <v>4.3455399550671099E-6</v>
      </c>
      <c r="F36529" s="1">
        <v>1.21371864191251E-5</v>
      </c>
    </row>
    <row r="36530" spans="1:6" x14ac:dyDescent="0.25">
      <c r="A36530" s="2" t="str">
        <f t="shared" si="1232"/>
        <v>99999</v>
      </c>
      <c r="B36530" s="2" t="str">
        <f>"79094"</f>
        <v>79094</v>
      </c>
      <c r="C36530" s="1">
        <v>1.09138159961181E-7</v>
      </c>
      <c r="D36530" s="1">
        <v>0</v>
      </c>
      <c r="E36530" s="1">
        <v>0</v>
      </c>
      <c r="F36530" s="1">
        <v>9.9485134582992598E-8</v>
      </c>
    </row>
    <row r="36531" spans="1:6" x14ac:dyDescent="0.25">
      <c r="A36531" s="2" t="str">
        <f t="shared" si="1232"/>
        <v>99999</v>
      </c>
      <c r="B36531" s="2" t="str">
        <f>"79085"</f>
        <v>79085</v>
      </c>
      <c r="C36531" s="1">
        <v>6.1117369578261701E-6</v>
      </c>
      <c r="D36531" s="1">
        <v>3.0352053468177301E-6</v>
      </c>
      <c r="E36531" s="1">
        <v>0</v>
      </c>
      <c r="F36531" s="1">
        <v>5.7701378058135699E-6</v>
      </c>
    </row>
    <row r="36532" spans="1:6" x14ac:dyDescent="0.25">
      <c r="A36532" s="2" t="str">
        <f t="shared" si="1232"/>
        <v>99999</v>
      </c>
      <c r="B36532" s="2" t="str">
        <f>"79095"</f>
        <v>79095</v>
      </c>
      <c r="C36532" s="1">
        <v>1.7516674673769599E-4</v>
      </c>
      <c r="D36532" s="1">
        <v>3.6725984696494597E-4</v>
      </c>
      <c r="E36532" s="1">
        <v>2.5638685734895902E-4</v>
      </c>
      <c r="F36532" s="1">
        <v>1.8961866651518301E-4</v>
      </c>
    </row>
    <row r="36533" spans="1:6" x14ac:dyDescent="0.25">
      <c r="A36533" s="2" t="str">
        <f t="shared" si="1232"/>
        <v>99999</v>
      </c>
      <c r="B36533" s="2" t="str">
        <f>"78951"</f>
        <v>78951</v>
      </c>
      <c r="C36533" s="1">
        <v>3.05586847891308E-6</v>
      </c>
      <c r="D36533" s="1">
        <v>4.5528080202265997E-6</v>
      </c>
      <c r="E36533" s="1">
        <v>0</v>
      </c>
      <c r="F36533" s="1">
        <v>3.0840391720727701E-6</v>
      </c>
    </row>
    <row r="36534" spans="1:6" x14ac:dyDescent="0.25">
      <c r="A36534" s="2" t="str">
        <f t="shared" si="1232"/>
        <v>99999</v>
      </c>
      <c r="B36534" s="2" t="str">
        <f>"79009"</f>
        <v>79009</v>
      </c>
      <c r="C36534" s="1">
        <v>2.0190559592818601E-5</v>
      </c>
      <c r="D36534" s="1">
        <v>1.8211232080906399E-5</v>
      </c>
      <c r="E36534" s="1">
        <v>0</v>
      </c>
      <c r="F36534" s="1">
        <v>1.9598571512849501E-5</v>
      </c>
    </row>
    <row r="36535" spans="1:6" x14ac:dyDescent="0.25">
      <c r="A36535" s="2" t="str">
        <f t="shared" si="1232"/>
        <v>99999</v>
      </c>
      <c r="B36535" s="2" t="str">
        <f>"78962"</f>
        <v>78962</v>
      </c>
      <c r="C36535" s="1">
        <v>2.6214986022675798E-4</v>
      </c>
      <c r="D36535" s="1">
        <v>3.0959094537540897E-4</v>
      </c>
      <c r="E36535" s="1">
        <v>1.0429295892161E-4</v>
      </c>
      <c r="F36535" s="1">
        <v>2.6164590395327E-4</v>
      </c>
    </row>
    <row r="36536" spans="1:6" x14ac:dyDescent="0.25">
      <c r="A36536" s="2" t="str">
        <f t="shared" si="1232"/>
        <v>99999</v>
      </c>
      <c r="B36536" s="2" t="str">
        <f>"79051"</f>
        <v>79051</v>
      </c>
      <c r="C36536" s="1">
        <v>2.1827631992236301E-7</v>
      </c>
      <c r="D36536" s="1">
        <v>0</v>
      </c>
      <c r="E36536" s="1">
        <v>0</v>
      </c>
      <c r="F36536" s="1">
        <v>1.9897026916598501E-7</v>
      </c>
    </row>
    <row r="36537" spans="1:6" x14ac:dyDescent="0.25">
      <c r="A36537" s="2" t="str">
        <f t="shared" si="1232"/>
        <v>99999</v>
      </c>
      <c r="B36537" s="2" t="str">
        <f>"79029"</f>
        <v>79029</v>
      </c>
      <c r="C36537" s="1">
        <v>1.09138159961181E-7</v>
      </c>
      <c r="D36537" s="1">
        <v>0</v>
      </c>
      <c r="E36537" s="1">
        <v>0</v>
      </c>
      <c r="F36537" s="1">
        <v>9.9485134582992598E-8</v>
      </c>
    </row>
    <row r="36538" spans="1:6" x14ac:dyDescent="0.25">
      <c r="A36538" s="2" t="str">
        <f t="shared" si="1232"/>
        <v>99999</v>
      </c>
      <c r="B36538" s="2" t="str">
        <f>"79031"</f>
        <v>79031</v>
      </c>
      <c r="C36538" s="1">
        <v>2.3682980711576399E-5</v>
      </c>
      <c r="D36538" s="1">
        <v>1.0623218713862E-5</v>
      </c>
      <c r="E36538" s="1">
        <v>0</v>
      </c>
      <c r="F36538" s="1">
        <v>2.2284670146590302E-5</v>
      </c>
    </row>
    <row r="36539" spans="1:6" x14ac:dyDescent="0.25">
      <c r="A36539" s="2" t="str">
        <f t="shared" si="1232"/>
        <v>99999</v>
      </c>
      <c r="B36539" s="2" t="str">
        <f>"79057"</f>
        <v>79057</v>
      </c>
      <c r="C36539" s="1">
        <v>7.5305330373215401E-6</v>
      </c>
      <c r="D36539" s="1">
        <v>1.51760267340886E-6</v>
      </c>
      <c r="E36539" s="1">
        <v>0</v>
      </c>
      <c r="F36539" s="1">
        <v>6.9639594208094801E-6</v>
      </c>
    </row>
    <row r="36540" spans="1:6" x14ac:dyDescent="0.25">
      <c r="A36540" s="2" t="str">
        <f t="shared" si="1232"/>
        <v>99999</v>
      </c>
      <c r="B36540" s="2" t="str">
        <f>"79063"</f>
        <v>79063</v>
      </c>
      <c r="C36540" s="1">
        <v>1.8444349033439702E-5</v>
      </c>
      <c r="D36540" s="1">
        <v>1.51760267340886E-6</v>
      </c>
      <c r="E36540" s="1">
        <v>4.3455399550671099E-6</v>
      </c>
      <c r="F36540" s="1">
        <v>1.7011958013691699E-5</v>
      </c>
    </row>
    <row r="36541" spans="1:6" x14ac:dyDescent="0.25">
      <c r="A36541" s="2" t="str">
        <f t="shared" si="1232"/>
        <v>99999</v>
      </c>
      <c r="B36541" s="2" t="str">
        <f>"79022"</f>
        <v>79022</v>
      </c>
      <c r="C36541" s="1">
        <v>5.2724645077246795E-4</v>
      </c>
      <c r="D36541" s="1">
        <v>8.4682229176214895E-4</v>
      </c>
      <c r="E36541" s="1">
        <v>6.3010329348473101E-4</v>
      </c>
      <c r="F36541" s="1">
        <v>5.5055073478228105E-4</v>
      </c>
    </row>
    <row r="36542" spans="1:6" x14ac:dyDescent="0.25">
      <c r="A36542" s="2" t="str">
        <f t="shared" si="1232"/>
        <v>99999</v>
      </c>
      <c r="B36542" s="2" t="str">
        <f>"78663"</f>
        <v>78663</v>
      </c>
      <c r="C36542" s="1">
        <v>4.3764402144433798E-5</v>
      </c>
      <c r="D36542" s="1">
        <v>2.4281642774541899E-5</v>
      </c>
      <c r="E36542" s="1">
        <v>5.6492019415872502E-5</v>
      </c>
      <c r="F36542" s="1">
        <v>4.27786078706868E-5</v>
      </c>
    </row>
    <row r="36543" spans="1:6" x14ac:dyDescent="0.25">
      <c r="A36543" s="2" t="str">
        <f t="shared" si="1232"/>
        <v>99999</v>
      </c>
      <c r="B36543" s="2" t="str">
        <f>"78614"</f>
        <v>78614</v>
      </c>
      <c r="C36543" s="1">
        <v>2.6847987350450699E-5</v>
      </c>
      <c r="D36543" s="1">
        <v>1.0623218713862E-5</v>
      </c>
      <c r="E36543" s="1">
        <v>4.3455399550671099E-6</v>
      </c>
      <c r="F36543" s="1">
        <v>2.5269224184080101E-5</v>
      </c>
    </row>
    <row r="36544" spans="1:6" x14ac:dyDescent="0.25">
      <c r="A36544" s="2" t="str">
        <f t="shared" si="1232"/>
        <v>99999</v>
      </c>
      <c r="B36544" s="2" t="str">
        <f>"78650"</f>
        <v>78650</v>
      </c>
      <c r="C36544" s="1">
        <v>1.01498488763899E-5</v>
      </c>
      <c r="D36544" s="1">
        <v>1.51760267340886E-6</v>
      </c>
      <c r="E36544" s="1">
        <v>0</v>
      </c>
      <c r="F36544" s="1">
        <v>9.3516026508012996E-6</v>
      </c>
    </row>
    <row r="36545" spans="1:6" x14ac:dyDescent="0.25">
      <c r="A36545" s="2" t="str">
        <f t="shared" si="1232"/>
        <v>99999</v>
      </c>
      <c r="B36545" s="2" t="str">
        <f>"78648"</f>
        <v>78648</v>
      </c>
      <c r="C36545" s="1">
        <v>3.8198355986413598E-6</v>
      </c>
      <c r="D36545" s="1">
        <v>0</v>
      </c>
      <c r="E36545" s="1">
        <v>0</v>
      </c>
      <c r="F36545" s="1">
        <v>3.48197971040474E-6</v>
      </c>
    </row>
    <row r="36546" spans="1:6" x14ac:dyDescent="0.25">
      <c r="A36546" s="2" t="str">
        <f t="shared" si="1232"/>
        <v>99999</v>
      </c>
      <c r="B36546" s="2" t="str">
        <f>"78632"</f>
        <v>78632</v>
      </c>
      <c r="C36546" s="1">
        <v>2.4774362311188199E-5</v>
      </c>
      <c r="D36546" s="1">
        <v>2.1246437427724101E-5</v>
      </c>
      <c r="E36546" s="1">
        <v>0</v>
      </c>
      <c r="F36546" s="1">
        <v>2.3975917434501198E-5</v>
      </c>
    </row>
    <row r="36547" spans="1:6" x14ac:dyDescent="0.25">
      <c r="A36547" s="2" t="str">
        <f t="shared" si="1232"/>
        <v>99999</v>
      </c>
      <c r="B36547" s="2" t="str">
        <f>"78582"</f>
        <v>78582</v>
      </c>
      <c r="C36547" s="1">
        <v>5.4569079980590801E-7</v>
      </c>
      <c r="D36547" s="1">
        <v>0</v>
      </c>
      <c r="E36547" s="1">
        <v>0</v>
      </c>
      <c r="F36547" s="1">
        <v>4.9742567291496303E-7</v>
      </c>
    </row>
    <row r="36548" spans="1:6" x14ac:dyDescent="0.25">
      <c r="A36548" s="2" t="str">
        <f t="shared" si="1232"/>
        <v>99999</v>
      </c>
      <c r="B36548" s="2" t="str">
        <f>"78393"</f>
        <v>78393</v>
      </c>
      <c r="C36548" s="1">
        <v>2.5756605750838801E-5</v>
      </c>
      <c r="D36548" s="1">
        <v>2.7316848121359601E-5</v>
      </c>
      <c r="E36548" s="1">
        <v>1.3036619865201299E-5</v>
      </c>
      <c r="F36548" s="1">
        <v>2.55676795878291E-5</v>
      </c>
    </row>
    <row r="36549" spans="1:6" x14ac:dyDescent="0.25">
      <c r="A36549" s="2" t="str">
        <f t="shared" si="1232"/>
        <v>99999</v>
      </c>
      <c r="B36549" s="2" t="str">
        <f>"78119"</f>
        <v>78119</v>
      </c>
      <c r="C36549" s="1">
        <v>2.8954353837701502E-4</v>
      </c>
      <c r="D36549" s="1">
        <v>5.9034743995604996E-4</v>
      </c>
      <c r="E36549" s="1">
        <v>3.6067981627057E-4</v>
      </c>
      <c r="F36549" s="1">
        <v>3.1089104557185102E-4</v>
      </c>
    </row>
    <row r="36550" spans="1:6" x14ac:dyDescent="0.25">
      <c r="A36550" s="2" t="str">
        <f t="shared" si="1232"/>
        <v>99999</v>
      </c>
      <c r="B36550" s="2" t="str">
        <f>"77987"</f>
        <v>77987</v>
      </c>
      <c r="C36550" s="1">
        <v>0</v>
      </c>
      <c r="D36550" s="1">
        <v>1.51760267340886E-6</v>
      </c>
      <c r="E36550" s="1">
        <v>0</v>
      </c>
      <c r="F36550" s="1">
        <v>9.9485134582992598E-8</v>
      </c>
    </row>
    <row r="36551" spans="1:6" x14ac:dyDescent="0.25">
      <c r="A36551" s="2" t="str">
        <f t="shared" si="1232"/>
        <v>99999</v>
      </c>
      <c r="B36551" s="2" t="str">
        <f>"77979"</f>
        <v>77979</v>
      </c>
      <c r="C36551" s="1">
        <v>1.4187960794953601E-6</v>
      </c>
      <c r="D36551" s="1">
        <v>0</v>
      </c>
      <c r="E36551" s="1">
        <v>0</v>
      </c>
      <c r="F36551" s="1">
        <v>1.2933067495789E-6</v>
      </c>
    </row>
    <row r="36552" spans="1:6" x14ac:dyDescent="0.25">
      <c r="A36552" s="2" t="str">
        <f t="shared" si="1232"/>
        <v>99999</v>
      </c>
      <c r="B36552" s="2" t="str">
        <f>"77967"</f>
        <v>77967</v>
      </c>
      <c r="C36552" s="1">
        <v>2.1827631992236299E-6</v>
      </c>
      <c r="D36552" s="1">
        <v>1.51760267340886E-6</v>
      </c>
      <c r="E36552" s="1">
        <v>0</v>
      </c>
      <c r="F36552" s="1">
        <v>2.08918782624284E-6</v>
      </c>
    </row>
    <row r="36553" spans="1:6" x14ac:dyDescent="0.25">
      <c r="A36553" s="2" t="str">
        <f t="shared" si="1232"/>
        <v>99999</v>
      </c>
      <c r="B36553" s="2" t="str">
        <f>"77990"</f>
        <v>77990</v>
      </c>
      <c r="C36553" s="1">
        <v>2.3682980711576399E-5</v>
      </c>
      <c r="D36553" s="1">
        <v>3.9457669508630602E-5</v>
      </c>
      <c r="E36553" s="1">
        <v>1.3036619865201299E-5</v>
      </c>
      <c r="F36553" s="1">
        <v>2.44733431074161E-5</v>
      </c>
    </row>
    <row r="36554" spans="1:6" x14ac:dyDescent="0.25">
      <c r="A36554" s="2" t="str">
        <f t="shared" si="1232"/>
        <v>99999</v>
      </c>
      <c r="B36554" s="2" t="str">
        <f>"77957"</f>
        <v>77957</v>
      </c>
      <c r="C36554" s="1">
        <v>4.3185969896639598E-4</v>
      </c>
      <c r="D36554" s="1">
        <v>5.3723134638673895E-4</v>
      </c>
      <c r="E36554" s="1">
        <v>2.6507793725909402E-4</v>
      </c>
      <c r="F36554" s="1">
        <v>4.3494900839684302E-4</v>
      </c>
    </row>
    <row r="36555" spans="1:6" x14ac:dyDescent="0.25">
      <c r="A36555" s="2" t="str">
        <f t="shared" si="1232"/>
        <v>99999</v>
      </c>
      <c r="B36555" s="2" t="str">
        <f>"77875"</f>
        <v>77875</v>
      </c>
      <c r="C36555" s="1">
        <v>0</v>
      </c>
      <c r="D36555" s="1">
        <v>1.51760267340886E-6</v>
      </c>
      <c r="E36555" s="1">
        <v>0</v>
      </c>
      <c r="F36555" s="1">
        <v>9.9485134582992598E-8</v>
      </c>
    </row>
    <row r="36556" spans="1:6" x14ac:dyDescent="0.25">
      <c r="A36556" s="2" t="str">
        <f t="shared" si="1232"/>
        <v>99999</v>
      </c>
      <c r="B36556" s="2" t="str">
        <f>"77850"</f>
        <v>77850</v>
      </c>
      <c r="C36556" s="1">
        <v>0</v>
      </c>
      <c r="D36556" s="1">
        <v>1.51760267340886E-6</v>
      </c>
      <c r="E36556" s="1">
        <v>0</v>
      </c>
      <c r="F36556" s="1">
        <v>9.9485134582992598E-8</v>
      </c>
    </row>
    <row r="36557" spans="1:6" x14ac:dyDescent="0.25">
      <c r="A36557" s="2" t="str">
        <f t="shared" si="1232"/>
        <v>99999</v>
      </c>
      <c r="B36557" s="2" t="str">
        <f>"77831"</f>
        <v>77831</v>
      </c>
      <c r="C36557" s="1">
        <v>1.66763108420685E-4</v>
      </c>
      <c r="D36557" s="1">
        <v>6.0704106936354703E-5</v>
      </c>
      <c r="E36557" s="1">
        <v>0</v>
      </c>
      <c r="F36557" s="1">
        <v>1.5599269102613199E-4</v>
      </c>
    </row>
    <row r="36558" spans="1:6" x14ac:dyDescent="0.25">
      <c r="A36558" s="2" t="str">
        <f t="shared" si="1232"/>
        <v>99999</v>
      </c>
      <c r="B36558" s="2" t="str">
        <f>"77614"</f>
        <v>77614</v>
      </c>
      <c r="C36558" s="1">
        <v>0</v>
      </c>
      <c r="D36558" s="1">
        <v>1.51760267340886E-6</v>
      </c>
      <c r="E36558" s="1">
        <v>0</v>
      </c>
      <c r="F36558" s="1">
        <v>9.9485134582992598E-8</v>
      </c>
    </row>
    <row r="36559" spans="1:6" x14ac:dyDescent="0.25">
      <c r="A36559" s="2" t="str">
        <f t="shared" si="1232"/>
        <v>99999</v>
      </c>
      <c r="B36559" s="2" t="str">
        <f>"76932"</f>
        <v>76932</v>
      </c>
      <c r="C36559" s="1">
        <v>1.6217930570231601E-4</v>
      </c>
      <c r="D36559" s="1">
        <v>2.91379713294502E-4</v>
      </c>
      <c r="E36559" s="1">
        <v>1.30366198652013E-4</v>
      </c>
      <c r="F36559" s="1">
        <v>1.69920609867751E-4</v>
      </c>
    </row>
    <row r="36560" spans="1:6" x14ac:dyDescent="0.25">
      <c r="A36560" s="2" t="str">
        <f t="shared" si="1232"/>
        <v>99999</v>
      </c>
      <c r="B36560" s="2" t="str">
        <f>"76880"</f>
        <v>76880</v>
      </c>
      <c r="C36560" s="1">
        <v>0</v>
      </c>
      <c r="D36560" s="1">
        <v>0</v>
      </c>
      <c r="E36560" s="1">
        <v>1.3036619865201299E-5</v>
      </c>
      <c r="F36560" s="1">
        <v>2.9845540374897701E-7</v>
      </c>
    </row>
    <row r="36561" spans="1:6" x14ac:dyDescent="0.25">
      <c r="A36561" s="2" t="str">
        <f t="shared" si="1232"/>
        <v>99999</v>
      </c>
      <c r="B36561" s="2" t="str">
        <f>"76865"</f>
        <v>76865</v>
      </c>
      <c r="C36561" s="1">
        <v>1.0258987036351001E-5</v>
      </c>
      <c r="D36561" s="1">
        <v>3.0352053468177301E-6</v>
      </c>
      <c r="E36561" s="1">
        <v>4.3455399550671099E-6</v>
      </c>
      <c r="F36561" s="1">
        <v>9.6500580545502799E-6</v>
      </c>
    </row>
    <row r="36562" spans="1:6" x14ac:dyDescent="0.25">
      <c r="A36562" s="2" t="str">
        <f t="shared" ref="A36562:A36625" si="1233">"99999"</f>
        <v>99999</v>
      </c>
      <c r="B36562" s="2" t="str">
        <f>"76852"</f>
        <v>76852</v>
      </c>
      <c r="C36562" s="1">
        <v>1.7571243753750201E-5</v>
      </c>
      <c r="D36562" s="1">
        <v>0</v>
      </c>
      <c r="E36562" s="1">
        <v>4.3455399550671099E-6</v>
      </c>
      <c r="F36562" s="1">
        <v>1.61165918024448E-5</v>
      </c>
    </row>
    <row r="36563" spans="1:6" x14ac:dyDescent="0.25">
      <c r="A36563" s="2" t="str">
        <f t="shared" si="1233"/>
        <v>99999</v>
      </c>
      <c r="B36563" s="2" t="str">
        <f>"76831"</f>
        <v>76831</v>
      </c>
      <c r="C36563" s="1">
        <v>1.3096579195341799E-6</v>
      </c>
      <c r="D36563" s="1">
        <v>0</v>
      </c>
      <c r="E36563" s="1">
        <v>0</v>
      </c>
      <c r="F36563" s="1">
        <v>1.19382161499591E-6</v>
      </c>
    </row>
    <row r="36564" spans="1:6" x14ac:dyDescent="0.25">
      <c r="A36564" s="2" t="str">
        <f t="shared" si="1233"/>
        <v>99999</v>
      </c>
      <c r="B36564" s="2" t="str">
        <f>"76823"</f>
        <v>76823</v>
      </c>
      <c r="C36564" s="1">
        <v>1.7462105593789001E-6</v>
      </c>
      <c r="D36564" s="1">
        <v>0</v>
      </c>
      <c r="E36564" s="1">
        <v>0</v>
      </c>
      <c r="F36564" s="1">
        <v>1.5917621533278801E-6</v>
      </c>
    </row>
    <row r="36565" spans="1:6" x14ac:dyDescent="0.25">
      <c r="A36565" s="2" t="str">
        <f t="shared" si="1233"/>
        <v>99999</v>
      </c>
      <c r="B36565" s="2" t="str">
        <f>"76861"</f>
        <v>76861</v>
      </c>
      <c r="C36565" s="1">
        <v>3.04495466291697E-5</v>
      </c>
      <c r="D36565" s="1">
        <v>6.0704106936354696E-6</v>
      </c>
      <c r="E36565" s="1">
        <v>5.6492019415872502E-5</v>
      </c>
      <c r="F36565" s="1">
        <v>2.9447599836565802E-5</v>
      </c>
    </row>
    <row r="36566" spans="1:6" x14ac:dyDescent="0.25">
      <c r="A36566" s="2" t="str">
        <f t="shared" si="1233"/>
        <v>99999</v>
      </c>
      <c r="B36566" s="2" t="str">
        <f>"76828"</f>
        <v>76828</v>
      </c>
      <c r="C36566" s="1">
        <v>1.0804677836156901E-5</v>
      </c>
      <c r="D36566" s="1">
        <v>0</v>
      </c>
      <c r="E36566" s="1">
        <v>1.3036619865201299E-5</v>
      </c>
      <c r="F36566" s="1">
        <v>1.01474837274652E-5</v>
      </c>
    </row>
    <row r="36567" spans="1:6" x14ac:dyDescent="0.25">
      <c r="A36567" s="2" t="str">
        <f t="shared" si="1233"/>
        <v>99999</v>
      </c>
      <c r="B36567" s="2" t="str">
        <f>"76825"</f>
        <v>76825</v>
      </c>
      <c r="C36567" s="1">
        <v>4.3426073848554198E-4</v>
      </c>
      <c r="D36567" s="1">
        <v>7.2844928323625698E-4</v>
      </c>
      <c r="E36567" s="1">
        <v>8.5607137114822199E-4</v>
      </c>
      <c r="F36567" s="1">
        <v>4.63202786618413E-4</v>
      </c>
    </row>
    <row r="36568" spans="1:6" x14ac:dyDescent="0.25">
      <c r="A36568" s="2" t="str">
        <f t="shared" si="1233"/>
        <v>99999</v>
      </c>
      <c r="B36568" s="2" t="str">
        <f>"76565"</f>
        <v>76565</v>
      </c>
      <c r="C36568" s="1">
        <v>9.1676054367392598E-6</v>
      </c>
      <c r="D36568" s="1">
        <v>4.5528080202265997E-6</v>
      </c>
      <c r="E36568" s="1">
        <v>1.7382159820268399E-5</v>
      </c>
      <c r="F36568" s="1">
        <v>9.0531472470523294E-6</v>
      </c>
    </row>
    <row r="36569" spans="1:6" x14ac:dyDescent="0.25">
      <c r="A36569" s="2" t="str">
        <f t="shared" si="1233"/>
        <v>99999</v>
      </c>
      <c r="B36569" s="2" t="str">
        <f>"76693"</f>
        <v>76693</v>
      </c>
      <c r="C36569" s="1">
        <v>6.7229106536087897E-5</v>
      </c>
      <c r="D36569" s="1">
        <v>2.1246437427724101E-5</v>
      </c>
      <c r="E36569" s="1">
        <v>1.0429295892161E-4</v>
      </c>
      <c r="F36569" s="1">
        <v>6.5063278017277098E-5</v>
      </c>
    </row>
    <row r="36570" spans="1:6" x14ac:dyDescent="0.25">
      <c r="A36570" s="2" t="str">
        <f t="shared" si="1233"/>
        <v>99999</v>
      </c>
      <c r="B36570" s="2" t="str">
        <f>"76667"</f>
        <v>76667</v>
      </c>
      <c r="C36570" s="1">
        <v>5.7723172803469003E-4</v>
      </c>
      <c r="D36570" s="1">
        <v>9.5153687622736096E-4</v>
      </c>
      <c r="E36570" s="1">
        <v>3.9978967586617401E-4</v>
      </c>
      <c r="F36570" s="1">
        <v>5.9770668857461902E-4</v>
      </c>
    </row>
    <row r="36571" spans="1:6" x14ac:dyDescent="0.25">
      <c r="A36571" s="2" t="str">
        <f t="shared" si="1233"/>
        <v>99999</v>
      </c>
      <c r="B36571" s="2" t="str">
        <f>"76437"</f>
        <v>76437</v>
      </c>
      <c r="C36571" s="1">
        <v>3.7936424402506701E-4</v>
      </c>
      <c r="D36571" s="1">
        <v>5.6303059183469004E-4</v>
      </c>
      <c r="E36571" s="1">
        <v>3.6937089618070402E-4</v>
      </c>
      <c r="F36571" s="1">
        <v>3.9117554918032698E-4</v>
      </c>
    </row>
    <row r="36572" spans="1:6" x14ac:dyDescent="0.25">
      <c r="A36572" s="2" t="str">
        <f t="shared" si="1233"/>
        <v>99999</v>
      </c>
      <c r="B36572" s="2" t="str">
        <f>"76430"</f>
        <v>76430</v>
      </c>
      <c r="C36572" s="1">
        <v>7.7269817252516605E-5</v>
      </c>
      <c r="D36572" s="1">
        <v>7.4362530997034595E-5</v>
      </c>
      <c r="E36572" s="1">
        <v>1.08638498876677E-4</v>
      </c>
      <c r="F36572" s="1">
        <v>7.7797375243900203E-5</v>
      </c>
    </row>
    <row r="36573" spans="1:6" x14ac:dyDescent="0.25">
      <c r="A36573" s="2" t="str">
        <f t="shared" si="1233"/>
        <v>99999</v>
      </c>
      <c r="B36573" s="2" t="str">
        <f>"76427"</f>
        <v>76427</v>
      </c>
      <c r="C36573" s="1">
        <v>1.51702042346042E-5</v>
      </c>
      <c r="D36573" s="1">
        <v>1.5176026734088599E-5</v>
      </c>
      <c r="E36573" s="1">
        <v>2.60732397304027E-5</v>
      </c>
      <c r="F36573" s="1">
        <v>1.5420195860363801E-5</v>
      </c>
    </row>
    <row r="36574" spans="1:6" x14ac:dyDescent="0.25">
      <c r="A36574" s="2" t="str">
        <f t="shared" si="1233"/>
        <v>99999</v>
      </c>
      <c r="B36574" s="2" t="str">
        <f>"76468"</f>
        <v>76468</v>
      </c>
      <c r="C36574" s="1">
        <v>1.09138159961181E-7</v>
      </c>
      <c r="D36574" s="1">
        <v>0</v>
      </c>
      <c r="E36574" s="1">
        <v>0</v>
      </c>
      <c r="F36574" s="1">
        <v>9.9485134582992598E-8</v>
      </c>
    </row>
    <row r="36575" spans="1:6" x14ac:dyDescent="0.25">
      <c r="A36575" s="2" t="str">
        <f t="shared" si="1233"/>
        <v>99999</v>
      </c>
      <c r="B36575" s="2" t="str">
        <f>"76486"</f>
        <v>76486</v>
      </c>
      <c r="C36575" s="1">
        <v>2.7066263670372999E-5</v>
      </c>
      <c r="D36575" s="1">
        <v>1.21408213872709E-5</v>
      </c>
      <c r="E36575" s="1">
        <v>4.3455399550671099E-6</v>
      </c>
      <c r="F36575" s="1">
        <v>2.55676795878291E-5</v>
      </c>
    </row>
    <row r="36576" spans="1:6" x14ac:dyDescent="0.25">
      <c r="A36576" s="2" t="str">
        <f t="shared" si="1233"/>
        <v>99999</v>
      </c>
      <c r="B36576" s="2" t="str">
        <f>"76471"</f>
        <v>76471</v>
      </c>
      <c r="C36576" s="1">
        <v>1.0891988364125901E-4</v>
      </c>
      <c r="D36576" s="1">
        <v>7.5880133670443406E-5</v>
      </c>
      <c r="E36576" s="1">
        <v>2.2596807766349001E-4</v>
      </c>
      <c r="F36576" s="1">
        <v>1.0943364804129101E-4</v>
      </c>
    </row>
    <row r="36577" spans="1:6" x14ac:dyDescent="0.25">
      <c r="A36577" s="2" t="str">
        <f t="shared" si="1233"/>
        <v>99999</v>
      </c>
      <c r="B36577" s="2" t="str">
        <f>"76464"</f>
        <v>76464</v>
      </c>
      <c r="C36577" s="1">
        <v>2.7939368950062499E-5</v>
      </c>
      <c r="D36577" s="1">
        <v>9.1056160404532095E-6</v>
      </c>
      <c r="E36577" s="1">
        <v>5.6492019415872502E-5</v>
      </c>
      <c r="F36577" s="1">
        <v>2.7358412010322901E-5</v>
      </c>
    </row>
    <row r="36578" spans="1:6" x14ac:dyDescent="0.25">
      <c r="A36578" s="2" t="str">
        <f t="shared" si="1233"/>
        <v>99999</v>
      </c>
      <c r="B36578" s="2" t="str">
        <f>"76055"</f>
        <v>76055</v>
      </c>
      <c r="C36578" s="1">
        <v>1.3685925259132101E-4</v>
      </c>
      <c r="D36578" s="1">
        <v>1.45689856647251E-4</v>
      </c>
      <c r="E36578" s="1">
        <v>1.7816713815775099E-4</v>
      </c>
      <c r="F36578" s="1">
        <v>1.3838382220494199E-4</v>
      </c>
    </row>
    <row r="36579" spans="1:6" x14ac:dyDescent="0.25">
      <c r="A36579" s="2" t="str">
        <f t="shared" si="1233"/>
        <v>99999</v>
      </c>
      <c r="B36579" s="2" t="str">
        <f>"76043"</f>
        <v>76043</v>
      </c>
      <c r="C36579" s="1">
        <v>2.5341880742986298E-4</v>
      </c>
      <c r="D36579" s="1">
        <v>2.7013327586677803E-4</v>
      </c>
      <c r="E36579" s="1">
        <v>1.15591362804785E-3</v>
      </c>
      <c r="F36579" s="1">
        <v>2.7517588225655699E-4</v>
      </c>
    </row>
    <row r="36580" spans="1:6" x14ac:dyDescent="0.25">
      <c r="A36580" s="2" t="str">
        <f t="shared" si="1233"/>
        <v>99999</v>
      </c>
      <c r="B36580" s="2" t="str">
        <f>"75977"</f>
        <v>75977</v>
      </c>
      <c r="C36580" s="1">
        <v>5.3368560221017798E-5</v>
      </c>
      <c r="D36580" s="1">
        <v>3.4904861488403899E-5</v>
      </c>
      <c r="E36580" s="1">
        <v>4.3455399550671099E-6</v>
      </c>
      <c r="F36580" s="1">
        <v>5.1035874041075202E-5</v>
      </c>
    </row>
    <row r="36581" spans="1:6" x14ac:dyDescent="0.25">
      <c r="A36581" s="2" t="str">
        <f t="shared" si="1233"/>
        <v>99999</v>
      </c>
      <c r="B36581" s="2" t="str">
        <f>"75966"</f>
        <v>75966</v>
      </c>
      <c r="C36581" s="1">
        <v>2.98602005653793E-4</v>
      </c>
      <c r="D36581" s="1">
        <v>2.0487636091019699E-4</v>
      </c>
      <c r="E36581" s="1">
        <v>7.8219719191208097E-5</v>
      </c>
      <c r="F36581" s="1">
        <v>2.8741255381026497E-4</v>
      </c>
    </row>
    <row r="36582" spans="1:6" x14ac:dyDescent="0.25">
      <c r="A36582" s="2" t="str">
        <f t="shared" si="1233"/>
        <v>99999</v>
      </c>
      <c r="B36582" s="2" t="str">
        <f>"75790"</f>
        <v>75790</v>
      </c>
      <c r="C36582" s="1">
        <v>1.76694680977153E-4</v>
      </c>
      <c r="D36582" s="1">
        <v>1.82112320809064E-4</v>
      </c>
      <c r="E36582" s="1">
        <v>1.56439438382416E-4</v>
      </c>
      <c r="F36582" s="1">
        <v>1.7658611388481101E-4</v>
      </c>
    </row>
    <row r="36583" spans="1:6" x14ac:dyDescent="0.25">
      <c r="A36583" s="2" t="str">
        <f t="shared" si="1233"/>
        <v>99999</v>
      </c>
      <c r="B36583" s="2" t="str">
        <f>"75960"</f>
        <v>75960</v>
      </c>
      <c r="C36583" s="1">
        <v>3.8962323106141801E-5</v>
      </c>
      <c r="D36583" s="1">
        <v>1.51760267340886E-6</v>
      </c>
      <c r="E36583" s="1">
        <v>8.69107991013423E-6</v>
      </c>
      <c r="F36583" s="1">
        <v>3.5814648449877303E-5</v>
      </c>
    </row>
    <row r="36584" spans="1:6" x14ac:dyDescent="0.25">
      <c r="A36584" s="2" t="str">
        <f t="shared" si="1233"/>
        <v>99999</v>
      </c>
      <c r="B36584" s="2" t="str">
        <f>"75942"</f>
        <v>75942</v>
      </c>
      <c r="C36584" s="1">
        <v>1.09138159961181E-7</v>
      </c>
      <c r="D36584" s="1">
        <v>0</v>
      </c>
      <c r="E36584" s="1">
        <v>4.3455399550671099E-6</v>
      </c>
      <c r="F36584" s="1">
        <v>1.9897026916598501E-7</v>
      </c>
    </row>
    <row r="36585" spans="1:6" x14ac:dyDescent="0.25">
      <c r="A36585" s="2" t="str">
        <f t="shared" si="1233"/>
        <v>99999</v>
      </c>
      <c r="B36585" s="2" t="str">
        <f>"75849"</f>
        <v>75849</v>
      </c>
      <c r="C36585" s="1">
        <v>0</v>
      </c>
      <c r="D36585" s="1">
        <v>1.51760267340886E-6</v>
      </c>
      <c r="E36585" s="1">
        <v>0</v>
      </c>
      <c r="F36585" s="1">
        <v>9.9485134582992598E-8</v>
      </c>
    </row>
    <row r="36586" spans="1:6" x14ac:dyDescent="0.25">
      <c r="A36586" s="2" t="str">
        <f t="shared" si="1233"/>
        <v>99999</v>
      </c>
      <c r="B36586" s="2" t="str">
        <f>"75845"</f>
        <v>75845</v>
      </c>
      <c r="C36586" s="1">
        <v>1.2496319315555301E-4</v>
      </c>
      <c r="D36586" s="1">
        <v>2.2764040101133E-5</v>
      </c>
      <c r="E36586" s="1">
        <v>3.47643196405369E-5</v>
      </c>
      <c r="F36586" s="1">
        <v>1.16198637192935E-4</v>
      </c>
    </row>
    <row r="36587" spans="1:6" x14ac:dyDescent="0.25">
      <c r="A36587" s="2" t="str">
        <f t="shared" si="1233"/>
        <v>99999</v>
      </c>
      <c r="B36587" s="2" t="str">
        <f>"75640"</f>
        <v>75640</v>
      </c>
      <c r="C36587" s="1">
        <v>3.7106974386801701E-6</v>
      </c>
      <c r="D36587" s="1">
        <v>0</v>
      </c>
      <c r="E36587" s="1">
        <v>0</v>
      </c>
      <c r="F36587" s="1">
        <v>3.3824945758217398E-6</v>
      </c>
    </row>
    <row r="36588" spans="1:6" x14ac:dyDescent="0.25">
      <c r="A36588" s="2" t="str">
        <f t="shared" si="1233"/>
        <v>99999</v>
      </c>
      <c r="B36588" s="2" t="str">
        <f>"75668"</f>
        <v>75668</v>
      </c>
      <c r="C36588" s="1">
        <v>1.20815943077028E-4</v>
      </c>
      <c r="D36588" s="1">
        <v>5.0080888222492601E-5</v>
      </c>
      <c r="E36588" s="1">
        <v>3.9109859595604001E-5</v>
      </c>
      <c r="F36588" s="1">
        <v>1.1430841963585799E-4</v>
      </c>
    </row>
    <row r="36589" spans="1:6" x14ac:dyDescent="0.25">
      <c r="A36589" s="2" t="str">
        <f t="shared" si="1233"/>
        <v>99999</v>
      </c>
      <c r="B36589" s="2" t="str">
        <f>"75453"</f>
        <v>75453</v>
      </c>
      <c r="C36589" s="1">
        <v>2.3901257031498801E-5</v>
      </c>
      <c r="D36589" s="1">
        <v>3.0352053468177301E-6</v>
      </c>
      <c r="E36589" s="1">
        <v>0</v>
      </c>
      <c r="F36589" s="1">
        <v>2.1986214742841299E-5</v>
      </c>
    </row>
    <row r="36590" spans="1:6" x14ac:dyDescent="0.25">
      <c r="A36590" s="2" t="str">
        <f t="shared" si="1233"/>
        <v>99999</v>
      </c>
      <c r="B36590" s="2" t="str">
        <f>"75448"</f>
        <v>75448</v>
      </c>
      <c r="C36590" s="1">
        <v>3.74343888666853E-5</v>
      </c>
      <c r="D36590" s="1">
        <v>1.66936294074975E-5</v>
      </c>
      <c r="E36590" s="1">
        <v>4.3455399550671099E-6</v>
      </c>
      <c r="F36590" s="1">
        <v>3.5317222776962297E-5</v>
      </c>
    </row>
    <row r="36591" spans="1:6" x14ac:dyDescent="0.25">
      <c r="A36591" s="2" t="str">
        <f t="shared" si="1233"/>
        <v>99999</v>
      </c>
      <c r="B36591" s="2" t="str">
        <f>"75435"</f>
        <v>75435</v>
      </c>
      <c r="C36591" s="1">
        <v>8.2945001570498102E-6</v>
      </c>
      <c r="D36591" s="1">
        <v>1.51760267340886E-6</v>
      </c>
      <c r="E36591" s="1">
        <v>0</v>
      </c>
      <c r="F36591" s="1">
        <v>7.6603553628904299E-6</v>
      </c>
    </row>
    <row r="36592" spans="1:6" x14ac:dyDescent="0.25">
      <c r="A36592" s="2" t="str">
        <f t="shared" si="1233"/>
        <v>99999</v>
      </c>
      <c r="B36592" s="2" t="str">
        <f>"75556"</f>
        <v>75556</v>
      </c>
      <c r="C36592" s="1">
        <v>7.4977915893331795E-5</v>
      </c>
      <c r="D36592" s="1">
        <v>5.6151298916128101E-5</v>
      </c>
      <c r="E36592" s="1">
        <v>1.3036619865201299E-5</v>
      </c>
      <c r="F36592" s="1">
        <v>7.2325692841835603E-5</v>
      </c>
    </row>
    <row r="36593" spans="1:6" x14ac:dyDescent="0.25">
      <c r="A36593" s="2" t="str">
        <f t="shared" si="1233"/>
        <v>99999</v>
      </c>
      <c r="B36593" s="2" t="str">
        <f>"75457"</f>
        <v>75457</v>
      </c>
      <c r="C36593" s="1">
        <v>4.17126047371636E-4</v>
      </c>
      <c r="D36593" s="1">
        <v>2.0184115556337901E-4</v>
      </c>
      <c r="E36593" s="1">
        <v>2.3031361761855699E-4</v>
      </c>
      <c r="F36593" s="1">
        <v>3.9873641940863397E-4</v>
      </c>
    </row>
    <row r="36594" spans="1:6" x14ac:dyDescent="0.25">
      <c r="A36594" s="2" t="str">
        <f t="shared" si="1233"/>
        <v>99999</v>
      </c>
      <c r="B36594" s="2" t="str">
        <f>"75147"</f>
        <v>75147</v>
      </c>
      <c r="C36594" s="1">
        <v>1.16886969318425E-4</v>
      </c>
      <c r="D36594" s="1">
        <v>7.5880133670443404E-6</v>
      </c>
      <c r="E36594" s="1">
        <v>6.5183099326006705E-5</v>
      </c>
      <c r="F36594" s="1">
        <v>1.08538281830044E-4</v>
      </c>
    </row>
    <row r="36595" spans="1:6" x14ac:dyDescent="0.25">
      <c r="A36595" s="2" t="str">
        <f t="shared" si="1233"/>
        <v>99999</v>
      </c>
      <c r="B36595" s="2" t="str">
        <f>"74966"</f>
        <v>74966</v>
      </c>
      <c r="C36595" s="1">
        <v>1.5835947010367401E-4</v>
      </c>
      <c r="D36595" s="1">
        <v>8.3468147037487798E-5</v>
      </c>
      <c r="E36595" s="1">
        <v>2.60732397304027E-5</v>
      </c>
      <c r="F36595" s="1">
        <v>1.50421523489484E-4</v>
      </c>
    </row>
    <row r="36596" spans="1:6" x14ac:dyDescent="0.25">
      <c r="A36596" s="2" t="str">
        <f t="shared" si="1233"/>
        <v>99999</v>
      </c>
      <c r="B36596" s="2" t="str">
        <f>"74963"</f>
        <v>74963</v>
      </c>
      <c r="C36596" s="1">
        <v>2.5538329430916501E-5</v>
      </c>
      <c r="D36596" s="1">
        <v>6.0704106936354696E-6</v>
      </c>
      <c r="E36596" s="1">
        <v>4.3455399550671099E-6</v>
      </c>
      <c r="F36596" s="1">
        <v>2.3776947165335201E-5</v>
      </c>
    </row>
    <row r="36597" spans="1:6" x14ac:dyDescent="0.25">
      <c r="A36597" s="2" t="str">
        <f t="shared" si="1233"/>
        <v>99999</v>
      </c>
      <c r="B36597" s="2" t="str">
        <f>"74942"</f>
        <v>74942</v>
      </c>
      <c r="C36597" s="1">
        <v>0</v>
      </c>
      <c r="D36597" s="1">
        <v>0</v>
      </c>
      <c r="E36597" s="1">
        <v>4.3455399550671099E-6</v>
      </c>
      <c r="F36597" s="1">
        <v>9.9485134582992598E-8</v>
      </c>
    </row>
    <row r="36598" spans="1:6" x14ac:dyDescent="0.25">
      <c r="A36598" s="2" t="str">
        <f t="shared" si="1233"/>
        <v>99999</v>
      </c>
      <c r="B36598" s="2" t="str">
        <f>"74880"</f>
        <v>74880</v>
      </c>
      <c r="C36598" s="1">
        <v>5.7079257659698001E-5</v>
      </c>
      <c r="D36598" s="1">
        <v>3.1869656141586203E-5</v>
      </c>
      <c r="E36598" s="1">
        <v>1.17329578786812E-4</v>
      </c>
      <c r="F36598" s="1">
        <v>5.6806011846888702E-5</v>
      </c>
    </row>
    <row r="36599" spans="1:6" x14ac:dyDescent="0.25">
      <c r="A36599" s="2" t="str">
        <f t="shared" si="1233"/>
        <v>99999</v>
      </c>
      <c r="B36599" s="2" t="str">
        <f>"74872"</f>
        <v>74872</v>
      </c>
      <c r="C36599" s="1">
        <v>1.12084890280133E-4</v>
      </c>
      <c r="D36599" s="1">
        <v>4.0975272182039399E-5</v>
      </c>
      <c r="E36599" s="1">
        <v>3.9109859595604001E-5</v>
      </c>
      <c r="F36599" s="1">
        <v>1.05752698061721E-4</v>
      </c>
    </row>
    <row r="36600" spans="1:6" x14ac:dyDescent="0.25">
      <c r="A36600" s="2" t="str">
        <f t="shared" si="1233"/>
        <v>99999</v>
      </c>
      <c r="B36600" s="2" t="str">
        <f>"74871"</f>
        <v>74871</v>
      </c>
      <c r="C36600" s="1">
        <v>4.5838027183696299E-6</v>
      </c>
      <c r="D36600" s="1">
        <v>0</v>
      </c>
      <c r="E36600" s="1">
        <v>0</v>
      </c>
      <c r="F36600" s="1">
        <v>4.1783756524856902E-6</v>
      </c>
    </row>
    <row r="36601" spans="1:6" x14ac:dyDescent="0.25">
      <c r="A36601" s="2" t="str">
        <f t="shared" si="1233"/>
        <v>99999</v>
      </c>
      <c r="B36601" s="2" t="str">
        <f>"74538"</f>
        <v>74538</v>
      </c>
      <c r="C36601" s="1">
        <v>3.0318580837216199E-4</v>
      </c>
      <c r="D36601" s="1">
        <v>3.8243587369903497E-4</v>
      </c>
      <c r="E36601" s="1">
        <v>1.9120375802295301E-4</v>
      </c>
      <c r="F36601" s="1">
        <v>3.0581730370811899E-4</v>
      </c>
    </row>
    <row r="36602" spans="1:6" x14ac:dyDescent="0.25">
      <c r="A36602" s="2" t="str">
        <f t="shared" si="1233"/>
        <v>99999</v>
      </c>
      <c r="B36602" s="2" t="str">
        <f>"74533"</f>
        <v>74533</v>
      </c>
      <c r="C36602" s="1">
        <v>6.6465139416359596E-5</v>
      </c>
      <c r="D36602" s="1">
        <v>2.5799245447950699E-5</v>
      </c>
      <c r="E36602" s="1">
        <v>4.3455399550671099E-6</v>
      </c>
      <c r="F36602" s="1">
        <v>6.2377179383536294E-5</v>
      </c>
    </row>
    <row r="36603" spans="1:6" x14ac:dyDescent="0.25">
      <c r="A36603" s="2" t="str">
        <f t="shared" si="1233"/>
        <v>99999</v>
      </c>
      <c r="B36603" s="2" t="str">
        <f>"74750"</f>
        <v>74750</v>
      </c>
      <c r="C36603" s="1">
        <v>3.2741447988354498E-7</v>
      </c>
      <c r="D36603" s="1">
        <v>0</v>
      </c>
      <c r="E36603" s="1">
        <v>4.3455399550671099E-6</v>
      </c>
      <c r="F36603" s="1">
        <v>3.9794053833197002E-7</v>
      </c>
    </row>
    <row r="36604" spans="1:6" x14ac:dyDescent="0.25">
      <c r="A36604" s="2" t="str">
        <f t="shared" si="1233"/>
        <v>99999</v>
      </c>
      <c r="B36604" s="2" t="str">
        <f>"74469"</f>
        <v>74469</v>
      </c>
      <c r="C36604" s="1">
        <v>6.5482895976708995E-7</v>
      </c>
      <c r="D36604" s="1">
        <v>1.51760267340886E-6</v>
      </c>
      <c r="E36604" s="1">
        <v>0</v>
      </c>
      <c r="F36604" s="1">
        <v>6.9639594208094799E-7</v>
      </c>
    </row>
    <row r="36605" spans="1:6" x14ac:dyDescent="0.25">
      <c r="A36605" s="2" t="str">
        <f t="shared" si="1233"/>
        <v>99999</v>
      </c>
      <c r="B36605" s="2" t="str">
        <f>"74724"</f>
        <v>74724</v>
      </c>
      <c r="C36605" s="1">
        <v>7.63967119728272E-7</v>
      </c>
      <c r="D36605" s="1">
        <v>1.51760267340886E-6</v>
      </c>
      <c r="E36605" s="1">
        <v>4.3455399550671099E-6</v>
      </c>
      <c r="F36605" s="1">
        <v>8.9536621124693305E-7</v>
      </c>
    </row>
    <row r="36606" spans="1:6" x14ac:dyDescent="0.25">
      <c r="A36606" s="2" t="str">
        <f t="shared" si="1233"/>
        <v>99999</v>
      </c>
      <c r="B36606" s="2" t="str">
        <f>"74636"</f>
        <v>74636</v>
      </c>
      <c r="C36606" s="1">
        <v>1.8007796393594899E-5</v>
      </c>
      <c r="D36606" s="1">
        <v>1.0623218713862E-5</v>
      </c>
      <c r="E36606" s="1">
        <v>4.3455399550671099E-6</v>
      </c>
      <c r="F36606" s="1">
        <v>1.7210928282857699E-5</v>
      </c>
    </row>
    <row r="36607" spans="1:6" x14ac:dyDescent="0.25">
      <c r="A36607" s="2" t="str">
        <f t="shared" si="1233"/>
        <v>99999</v>
      </c>
      <c r="B36607" s="2" t="str">
        <f>"74450"</f>
        <v>74450</v>
      </c>
      <c r="C36607" s="1">
        <v>1.09138159961181E-7</v>
      </c>
      <c r="D36607" s="1">
        <v>0</v>
      </c>
      <c r="E36607" s="1">
        <v>0</v>
      </c>
      <c r="F36607" s="1">
        <v>9.9485134582992598E-8</v>
      </c>
    </row>
    <row r="36608" spans="1:6" x14ac:dyDescent="0.25">
      <c r="A36608" s="2" t="str">
        <f t="shared" si="1233"/>
        <v>99999</v>
      </c>
      <c r="B36608" s="2" t="str">
        <f>"74441"</f>
        <v>74441</v>
      </c>
      <c r="C36608" s="1">
        <v>3.2741447988354498E-7</v>
      </c>
      <c r="D36608" s="1">
        <v>0</v>
      </c>
      <c r="E36608" s="1">
        <v>0</v>
      </c>
      <c r="F36608" s="1">
        <v>2.9845540374897701E-7</v>
      </c>
    </row>
    <row r="36609" spans="1:6" x14ac:dyDescent="0.25">
      <c r="A36609" s="2" t="str">
        <f t="shared" si="1233"/>
        <v>99999</v>
      </c>
      <c r="B36609" s="2" t="str">
        <f>"74426"</f>
        <v>74426</v>
      </c>
      <c r="C36609" s="1">
        <v>7.9659942955666503E-4</v>
      </c>
      <c r="D36609" s="1">
        <v>6.58639560259449E-4</v>
      </c>
      <c r="E36609" s="1">
        <v>1.47748358472281E-4</v>
      </c>
      <c r="F36609" s="1">
        <v>7.7270104030610295E-4</v>
      </c>
    </row>
    <row r="36610" spans="1:6" x14ac:dyDescent="0.25">
      <c r="A36610" s="2" t="str">
        <f t="shared" si="1233"/>
        <v>99999</v>
      </c>
      <c r="B36610" s="2" t="str">
        <f>"74354"</f>
        <v>74354</v>
      </c>
      <c r="C36610" s="1">
        <v>5.0203553582143598E-6</v>
      </c>
      <c r="D36610" s="1">
        <v>0</v>
      </c>
      <c r="E36610" s="1">
        <v>0</v>
      </c>
      <c r="F36610" s="1">
        <v>4.5763161908176597E-6</v>
      </c>
    </row>
    <row r="36611" spans="1:6" x14ac:dyDescent="0.25">
      <c r="A36611" s="2" t="str">
        <f t="shared" si="1233"/>
        <v>99999</v>
      </c>
      <c r="B36611" s="2" t="str">
        <f>"74346"</f>
        <v>74346</v>
      </c>
      <c r="C36611" s="1">
        <v>3.7609009922623198E-4</v>
      </c>
      <c r="D36611" s="1">
        <v>1.2899622723975301E-4</v>
      </c>
      <c r="E36611" s="1">
        <v>1.4340281851721399E-4</v>
      </c>
      <c r="F36611" s="1">
        <v>3.5456501965378499E-4</v>
      </c>
    </row>
    <row r="36612" spans="1:6" x14ac:dyDescent="0.25">
      <c r="A36612" s="2" t="str">
        <f t="shared" si="1233"/>
        <v>99999</v>
      </c>
      <c r="B36612" s="2" t="str">
        <f>"74345"</f>
        <v>74345</v>
      </c>
      <c r="C36612" s="1">
        <v>1.93283681291252E-4</v>
      </c>
      <c r="D36612" s="1">
        <v>4.37069569941754E-4</v>
      </c>
      <c r="E36612" s="1">
        <v>0</v>
      </c>
      <c r="F36612" s="1">
        <v>2.0483989210638099E-4</v>
      </c>
    </row>
    <row r="36613" spans="1:6" x14ac:dyDescent="0.25">
      <c r="A36613" s="2" t="str">
        <f t="shared" si="1233"/>
        <v>99999</v>
      </c>
      <c r="B36613" s="2" t="str">
        <f>"74365"</f>
        <v>74365</v>
      </c>
      <c r="C36613" s="1">
        <v>2.34210491276696E-4</v>
      </c>
      <c r="D36613" s="1">
        <v>6.0704106936354703E-5</v>
      </c>
      <c r="E36613" s="1">
        <v>4.7800939505738197E-5</v>
      </c>
      <c r="F36613" s="1">
        <v>2.1856884067883401E-4</v>
      </c>
    </row>
    <row r="36614" spans="1:6" x14ac:dyDescent="0.25">
      <c r="A36614" s="2" t="str">
        <f t="shared" si="1233"/>
        <v>99999</v>
      </c>
      <c r="B36614" s="2" t="str">
        <f>"74364"</f>
        <v>74364</v>
      </c>
      <c r="C36614" s="1">
        <v>1.1568644955885199E-4</v>
      </c>
      <c r="D36614" s="1">
        <v>2.7316848121359601E-5</v>
      </c>
      <c r="E36614" s="1">
        <v>4.3455399550671099E-6</v>
      </c>
      <c r="F36614" s="1">
        <v>1.0734446021504901E-4</v>
      </c>
    </row>
    <row r="36615" spans="1:6" x14ac:dyDescent="0.25">
      <c r="A36615" s="2" t="str">
        <f t="shared" si="1233"/>
        <v>99999</v>
      </c>
      <c r="B36615" s="2" t="str">
        <f>"74342"</f>
        <v>74342</v>
      </c>
      <c r="C36615" s="1">
        <v>1.8193331265528901E-4</v>
      </c>
      <c r="D36615" s="1">
        <v>7.7397736343852298E-5</v>
      </c>
      <c r="E36615" s="1">
        <v>4.3455399550671103E-5</v>
      </c>
      <c r="F36615" s="1">
        <v>1.71910312559411E-4</v>
      </c>
    </row>
    <row r="36616" spans="1:6" x14ac:dyDescent="0.25">
      <c r="A36616" s="2" t="str">
        <f t="shared" si="1233"/>
        <v>99999</v>
      </c>
      <c r="B36616" s="2" t="str">
        <f>"74337"</f>
        <v>74337</v>
      </c>
      <c r="C36616" s="1">
        <v>1.8891815489280501E-4</v>
      </c>
      <c r="D36616" s="1">
        <v>1.36584240606798E-4</v>
      </c>
      <c r="E36616" s="1">
        <v>6.9528639281073799E-5</v>
      </c>
      <c r="F36616" s="1">
        <v>1.8275419222895699E-4</v>
      </c>
    </row>
    <row r="36617" spans="1:6" x14ac:dyDescent="0.25">
      <c r="A36617" s="2" t="str">
        <f t="shared" si="1233"/>
        <v>99999</v>
      </c>
      <c r="B36617" s="2" t="str">
        <f>"73947"</f>
        <v>73947</v>
      </c>
      <c r="C36617" s="1">
        <v>1.6916414793983099E-5</v>
      </c>
      <c r="D36617" s="1">
        <v>0</v>
      </c>
      <c r="E36617" s="1">
        <v>0</v>
      </c>
      <c r="F36617" s="1">
        <v>1.5420195860363801E-5</v>
      </c>
    </row>
    <row r="36618" spans="1:6" x14ac:dyDescent="0.25">
      <c r="A36618" s="2" t="str">
        <f t="shared" si="1233"/>
        <v>99999</v>
      </c>
      <c r="B36618" s="2" t="str">
        <f>"73855"</f>
        <v>73855</v>
      </c>
      <c r="C36618" s="1">
        <v>1.8116934553556101E-5</v>
      </c>
      <c r="D36618" s="1">
        <v>1.51760267340886E-6</v>
      </c>
      <c r="E36618" s="1">
        <v>4.3455399550671099E-6</v>
      </c>
      <c r="F36618" s="1">
        <v>1.67135026099427E-5</v>
      </c>
    </row>
    <row r="36619" spans="1:6" x14ac:dyDescent="0.25">
      <c r="A36619" s="2" t="str">
        <f t="shared" si="1233"/>
        <v>99999</v>
      </c>
      <c r="B36619" s="2" t="str">
        <f>"73859"</f>
        <v>73859</v>
      </c>
      <c r="C36619" s="1">
        <v>1.1012040340083199E-4</v>
      </c>
      <c r="D36619" s="1">
        <v>3.3387258814995101E-5</v>
      </c>
      <c r="E36619" s="1">
        <v>1.3036619865201299E-5</v>
      </c>
      <c r="F36619" s="1">
        <v>1.02867629158814E-4</v>
      </c>
    </row>
    <row r="36620" spans="1:6" x14ac:dyDescent="0.25">
      <c r="A36620" s="2" t="str">
        <f t="shared" si="1233"/>
        <v>99999</v>
      </c>
      <c r="B36620" s="2" t="str">
        <f>"73455"</f>
        <v>73455</v>
      </c>
      <c r="C36620" s="1">
        <v>2.1827631992236301E-7</v>
      </c>
      <c r="D36620" s="1">
        <v>0</v>
      </c>
      <c r="E36620" s="1">
        <v>4.3455399550671099E-6</v>
      </c>
      <c r="F36620" s="1">
        <v>2.9845540374897701E-7</v>
      </c>
    </row>
    <row r="36621" spans="1:6" x14ac:dyDescent="0.25">
      <c r="A36621" s="2" t="str">
        <f t="shared" si="1233"/>
        <v>99999</v>
      </c>
      <c r="B36621" s="2" t="str">
        <f>"73746"</f>
        <v>73746</v>
      </c>
      <c r="C36621" s="1">
        <v>0</v>
      </c>
      <c r="D36621" s="1">
        <v>0</v>
      </c>
      <c r="E36621" s="1">
        <v>4.3455399550671099E-6</v>
      </c>
      <c r="F36621" s="1">
        <v>9.9485134582992598E-8</v>
      </c>
    </row>
    <row r="36622" spans="1:6" x14ac:dyDescent="0.25">
      <c r="A36622" s="2" t="str">
        <f t="shared" si="1233"/>
        <v>99999</v>
      </c>
      <c r="B36622" s="2" t="str">
        <f>"73762"</f>
        <v>73762</v>
      </c>
      <c r="C36622" s="1">
        <v>4.3873540304395E-5</v>
      </c>
      <c r="D36622" s="1">
        <v>1.3658424060679801E-5</v>
      </c>
      <c r="E36622" s="1">
        <v>0</v>
      </c>
      <c r="F36622" s="1">
        <v>4.0888390313609902E-5</v>
      </c>
    </row>
    <row r="36623" spans="1:6" x14ac:dyDescent="0.25">
      <c r="A36623" s="2" t="str">
        <f t="shared" si="1233"/>
        <v>99999</v>
      </c>
      <c r="B36623" s="2" t="str">
        <f>"73771"</f>
        <v>73771</v>
      </c>
      <c r="C36623" s="1">
        <v>3.7980079666491197E-5</v>
      </c>
      <c r="D36623" s="1">
        <v>1.5176026734088599E-5</v>
      </c>
      <c r="E36623" s="1">
        <v>3.9109859595604001E-5</v>
      </c>
      <c r="F36623" s="1">
        <v>3.6511044391958198E-5</v>
      </c>
    </row>
    <row r="36624" spans="1:6" x14ac:dyDescent="0.25">
      <c r="A36624" s="2" t="str">
        <f t="shared" si="1233"/>
        <v>99999</v>
      </c>
      <c r="B36624" s="2" t="str">
        <f>"73655"</f>
        <v>73655</v>
      </c>
      <c r="C36624" s="1">
        <v>8.0216547571468507E-5</v>
      </c>
      <c r="D36624" s="1">
        <v>5.9186504262945899E-5</v>
      </c>
      <c r="E36624" s="1">
        <v>1.7382159820268399E-5</v>
      </c>
      <c r="F36624" s="1">
        <v>7.7399434705568195E-5</v>
      </c>
    </row>
    <row r="36625" spans="1:6" x14ac:dyDescent="0.25">
      <c r="A36625" s="2" t="str">
        <f t="shared" si="1233"/>
        <v>99999</v>
      </c>
      <c r="B36625" s="2" t="str">
        <f>"73622"</f>
        <v>73622</v>
      </c>
      <c r="C36625" s="1">
        <v>9.6041580765839897E-6</v>
      </c>
      <c r="D36625" s="1">
        <v>1.51760267340886E-6</v>
      </c>
      <c r="E36625" s="1">
        <v>1.3036619865201299E-5</v>
      </c>
      <c r="F36625" s="1">
        <v>9.1526323816353195E-6</v>
      </c>
    </row>
    <row r="36626" spans="1:6" x14ac:dyDescent="0.25">
      <c r="A36626" s="2" t="str">
        <f t="shared" ref="A36626:A36689" si="1234">"99999"</f>
        <v>99999</v>
      </c>
      <c r="B36626" s="2" t="str">
        <f>"73559"</f>
        <v>73559</v>
      </c>
      <c r="C36626" s="1">
        <v>3.3396276948121598E-5</v>
      </c>
      <c r="D36626" s="1">
        <v>1.0623218713862E-5</v>
      </c>
      <c r="E36626" s="1">
        <v>1.3036619865201299E-5</v>
      </c>
      <c r="F36626" s="1">
        <v>3.1437302528225599E-5</v>
      </c>
    </row>
    <row r="36627" spans="1:6" x14ac:dyDescent="0.25">
      <c r="A36627" s="2" t="str">
        <f t="shared" si="1234"/>
        <v>99999</v>
      </c>
      <c r="B36627" s="2" t="str">
        <f>"73717"</f>
        <v>73717</v>
      </c>
      <c r="C36627" s="1">
        <v>4.2574796200856903E-4</v>
      </c>
      <c r="D36627" s="1">
        <v>9.6216009494122295E-4</v>
      </c>
      <c r="E36627" s="1">
        <v>3.9109859595603998E-4</v>
      </c>
      <c r="F36627" s="1">
        <v>4.6011874744633998E-4</v>
      </c>
    </row>
    <row r="36628" spans="1:6" x14ac:dyDescent="0.25">
      <c r="A36628" s="2" t="str">
        <f t="shared" si="1234"/>
        <v>99999</v>
      </c>
      <c r="B36628" s="2" t="str">
        <f>"73098"</f>
        <v>73098</v>
      </c>
      <c r="C36628" s="1">
        <v>2.1893114888212999E-4</v>
      </c>
      <c r="D36628" s="1">
        <v>2.7923889190723103E-4</v>
      </c>
      <c r="E36628" s="1">
        <v>8.2565259146275205E-5</v>
      </c>
      <c r="F36628" s="1">
        <v>2.1976266229383E-4</v>
      </c>
    </row>
    <row r="36629" spans="1:6" x14ac:dyDescent="0.25">
      <c r="A36629" s="2" t="str">
        <f t="shared" si="1234"/>
        <v>99999</v>
      </c>
      <c r="B36629" s="2" t="str">
        <f>"73009"</f>
        <v>73009</v>
      </c>
      <c r="C36629" s="1">
        <v>4.3327849504589097E-5</v>
      </c>
      <c r="D36629" s="1">
        <v>1.9728834754315301E-5</v>
      </c>
      <c r="E36629" s="1">
        <v>4.3455399550671099E-6</v>
      </c>
      <c r="F36629" s="1">
        <v>4.0888390313609902E-5</v>
      </c>
    </row>
    <row r="36630" spans="1:6" x14ac:dyDescent="0.25">
      <c r="A36630" s="2" t="str">
        <f t="shared" si="1234"/>
        <v>99999</v>
      </c>
      <c r="B36630" s="2" t="str">
        <f>"72950"</f>
        <v>72950</v>
      </c>
      <c r="C36630" s="1">
        <v>4.0053704705753601E-5</v>
      </c>
      <c r="D36630" s="1">
        <v>0</v>
      </c>
      <c r="E36630" s="1">
        <v>4.3455399550671099E-6</v>
      </c>
      <c r="F36630" s="1">
        <v>3.6610529526541203E-5</v>
      </c>
    </row>
    <row r="36631" spans="1:6" x14ac:dyDescent="0.25">
      <c r="A36631" s="2" t="str">
        <f t="shared" si="1234"/>
        <v>99999</v>
      </c>
      <c r="B36631" s="2" t="str">
        <f>"73029"</f>
        <v>73029</v>
      </c>
      <c r="C36631" s="1">
        <v>4.8566481182725801E-5</v>
      </c>
      <c r="D36631" s="1">
        <v>1.5176026734088599E-5</v>
      </c>
      <c r="E36631" s="1">
        <v>1.3036619865201299E-5</v>
      </c>
      <c r="F36631" s="1">
        <v>4.5564191639010602E-5</v>
      </c>
    </row>
    <row r="36632" spans="1:6" x14ac:dyDescent="0.25">
      <c r="A36632" s="2" t="str">
        <f t="shared" si="1234"/>
        <v>99999</v>
      </c>
      <c r="B36632" s="2" t="str">
        <f>"73043"</f>
        <v>73043</v>
      </c>
      <c r="C36632" s="1">
        <v>7.7488093572439E-6</v>
      </c>
      <c r="D36632" s="1">
        <v>1.51760267340886E-6</v>
      </c>
      <c r="E36632" s="1">
        <v>4.3455399550671099E-6</v>
      </c>
      <c r="F36632" s="1">
        <v>7.2624148245584604E-6</v>
      </c>
    </row>
    <row r="36633" spans="1:6" x14ac:dyDescent="0.25">
      <c r="A36633" s="2" t="str">
        <f t="shared" si="1234"/>
        <v>99999</v>
      </c>
      <c r="B36633" s="2" t="str">
        <f>"72926"</f>
        <v>72926</v>
      </c>
      <c r="C36633" s="1">
        <v>5.6860981339775603E-5</v>
      </c>
      <c r="D36633" s="1">
        <v>1.21408213872709E-5</v>
      </c>
      <c r="E36633" s="1">
        <v>8.69107991013423E-6</v>
      </c>
      <c r="F36633" s="1">
        <v>5.2826606463568999E-5</v>
      </c>
    </row>
    <row r="36634" spans="1:6" x14ac:dyDescent="0.25">
      <c r="A36634" s="2" t="str">
        <f t="shared" si="1234"/>
        <v>99999</v>
      </c>
      <c r="B36634" s="2" t="str">
        <f>"72855"</f>
        <v>72855</v>
      </c>
      <c r="C36634" s="1">
        <v>3.5415332907403398E-4</v>
      </c>
      <c r="D36634" s="1">
        <v>5.1750251163242402E-4</v>
      </c>
      <c r="E36634" s="1">
        <v>1.08638498876677E-4</v>
      </c>
      <c r="F36634" s="1">
        <v>3.5924082097918598E-4</v>
      </c>
    </row>
    <row r="36635" spans="1:6" x14ac:dyDescent="0.25">
      <c r="A36635" s="2" t="str">
        <f t="shared" si="1234"/>
        <v>99999</v>
      </c>
      <c r="B36635" s="2" t="str">
        <f>"72823"</f>
        <v>72823</v>
      </c>
      <c r="C36635" s="1">
        <v>1.51702042346042E-5</v>
      </c>
      <c r="D36635" s="1">
        <v>2.1246437427724101E-5</v>
      </c>
      <c r="E36635" s="1">
        <v>0</v>
      </c>
      <c r="F36635" s="1">
        <v>1.52212255911978E-5</v>
      </c>
    </row>
    <row r="36636" spans="1:6" x14ac:dyDescent="0.25">
      <c r="A36636" s="2" t="str">
        <f t="shared" si="1234"/>
        <v>99999</v>
      </c>
      <c r="B36636" s="2" t="str">
        <f>"72685"</f>
        <v>72685</v>
      </c>
      <c r="C36636" s="1">
        <v>6.4391514377097196E-6</v>
      </c>
      <c r="D36636" s="1">
        <v>4.5528080202265997E-6</v>
      </c>
      <c r="E36636" s="1">
        <v>0</v>
      </c>
      <c r="F36636" s="1">
        <v>6.1680783441455402E-6</v>
      </c>
    </row>
    <row r="36637" spans="1:6" x14ac:dyDescent="0.25">
      <c r="A36637" s="2" t="str">
        <f t="shared" si="1234"/>
        <v>99999</v>
      </c>
      <c r="B36637" s="2" t="str">
        <f>"72668"</f>
        <v>72668</v>
      </c>
      <c r="C36637" s="1">
        <v>3.1431790068820301E-5</v>
      </c>
      <c r="D36637" s="1">
        <v>6.0704106936354696E-6</v>
      </c>
      <c r="E36637" s="1">
        <v>4.3455399550671099E-6</v>
      </c>
      <c r="F36637" s="1">
        <v>2.9149144432816799E-5</v>
      </c>
    </row>
    <row r="36638" spans="1:6" x14ac:dyDescent="0.25">
      <c r="A36638" s="2" t="str">
        <f t="shared" si="1234"/>
        <v>99999</v>
      </c>
      <c r="B36638" s="2" t="str">
        <f>"72661"</f>
        <v>72661</v>
      </c>
      <c r="C36638" s="1">
        <v>4.5510612703812697E-5</v>
      </c>
      <c r="D36638" s="1">
        <v>6.0704106936354696E-6</v>
      </c>
      <c r="E36638" s="1">
        <v>1.3036619865201299E-5</v>
      </c>
      <c r="F36638" s="1">
        <v>4.2181697063188802E-5</v>
      </c>
    </row>
    <row r="36639" spans="1:6" x14ac:dyDescent="0.25">
      <c r="A36639" s="2" t="str">
        <f t="shared" si="1234"/>
        <v>99999</v>
      </c>
      <c r="B36639" s="2" t="str">
        <f>"72752"</f>
        <v>72752</v>
      </c>
      <c r="C36639" s="1">
        <v>3.8198355986413598E-6</v>
      </c>
      <c r="D36639" s="1">
        <v>0</v>
      </c>
      <c r="E36639" s="1">
        <v>0</v>
      </c>
      <c r="F36639" s="1">
        <v>3.48197971040474E-6</v>
      </c>
    </row>
    <row r="36640" spans="1:6" x14ac:dyDescent="0.25">
      <c r="A36640" s="2" t="str">
        <f t="shared" si="1234"/>
        <v>99999</v>
      </c>
      <c r="B36640" s="2" t="str">
        <f>"72740"</f>
        <v>72740</v>
      </c>
      <c r="C36640" s="1">
        <v>1.60433095142937E-5</v>
      </c>
      <c r="D36640" s="1">
        <v>1.51760267340886E-6</v>
      </c>
      <c r="E36640" s="1">
        <v>0</v>
      </c>
      <c r="F36640" s="1">
        <v>1.4723799918282901E-5</v>
      </c>
    </row>
    <row r="36641" spans="1:6" x14ac:dyDescent="0.25">
      <c r="A36641" s="2" t="str">
        <f t="shared" si="1234"/>
        <v>99999</v>
      </c>
      <c r="B36641" s="2" t="str">
        <f>"72632"</f>
        <v>72632</v>
      </c>
      <c r="C36641" s="1">
        <v>3.5939196075217099E-4</v>
      </c>
      <c r="D36641" s="1">
        <v>1.13364919703642E-3</v>
      </c>
      <c r="E36641" s="1">
        <v>2.8246009707936202E-4</v>
      </c>
      <c r="F36641" s="1">
        <v>4.0838647746318401E-4</v>
      </c>
    </row>
    <row r="36642" spans="1:6" x14ac:dyDescent="0.25">
      <c r="A36642" s="2" t="str">
        <f t="shared" si="1234"/>
        <v>99999</v>
      </c>
      <c r="B36642" s="2" t="str">
        <f>"72413"</f>
        <v>72413</v>
      </c>
      <c r="C36642" s="1">
        <v>3.1650066388742699E-5</v>
      </c>
      <c r="D36642" s="1">
        <v>6.0704106936354696E-6</v>
      </c>
      <c r="E36642" s="1">
        <v>8.69107991013423E-6</v>
      </c>
      <c r="F36642" s="1">
        <v>2.9447599836565802E-5</v>
      </c>
    </row>
    <row r="36643" spans="1:6" x14ac:dyDescent="0.25">
      <c r="A36643" s="2" t="str">
        <f t="shared" si="1234"/>
        <v>99999</v>
      </c>
      <c r="B36643" s="2" t="str">
        <f>"72352"</f>
        <v>72352</v>
      </c>
      <c r="C36643" s="1">
        <v>0</v>
      </c>
      <c r="D36643" s="1">
        <v>0</v>
      </c>
      <c r="E36643" s="1">
        <v>4.3455399550671099E-6</v>
      </c>
      <c r="F36643" s="1">
        <v>9.9485134582992598E-8</v>
      </c>
    </row>
    <row r="36644" spans="1:6" x14ac:dyDescent="0.25">
      <c r="A36644" s="2" t="str">
        <f t="shared" si="1234"/>
        <v>99999</v>
      </c>
      <c r="B36644" s="2" t="str">
        <f>"72379"</f>
        <v>72379</v>
      </c>
      <c r="C36644" s="1">
        <v>5.4569079980590801E-7</v>
      </c>
      <c r="D36644" s="1">
        <v>1.51760267340886E-6</v>
      </c>
      <c r="E36644" s="1">
        <v>8.69107991013423E-6</v>
      </c>
      <c r="F36644" s="1">
        <v>7.9588107666394099E-7</v>
      </c>
    </row>
    <row r="36645" spans="1:6" x14ac:dyDescent="0.25">
      <c r="A36645" s="2" t="str">
        <f t="shared" si="1234"/>
        <v>99999</v>
      </c>
      <c r="B36645" s="2" t="str">
        <f>"72360"</f>
        <v>72360</v>
      </c>
      <c r="C36645" s="1">
        <v>3.7412561234693097E-4</v>
      </c>
      <c r="D36645" s="1">
        <v>5.9338264530286696E-4</v>
      </c>
      <c r="E36645" s="1">
        <v>1.8685821806788599E-4</v>
      </c>
      <c r="F36645" s="1">
        <v>3.8421158975951702E-4</v>
      </c>
    </row>
    <row r="36646" spans="1:6" x14ac:dyDescent="0.25">
      <c r="A36646" s="2" t="str">
        <f t="shared" si="1234"/>
        <v>99999</v>
      </c>
      <c r="B36646" s="2" t="str">
        <f>"72578"</f>
        <v>72578</v>
      </c>
      <c r="C36646" s="1">
        <v>8.1853619970886298E-6</v>
      </c>
      <c r="D36646" s="1">
        <v>0</v>
      </c>
      <c r="E36646" s="1">
        <v>4.3455399550671099E-6</v>
      </c>
      <c r="F36646" s="1">
        <v>7.5608702283074398E-6</v>
      </c>
    </row>
    <row r="36647" spans="1:6" x14ac:dyDescent="0.25">
      <c r="A36647" s="2" t="str">
        <f t="shared" si="1234"/>
        <v>99999</v>
      </c>
      <c r="B36647" s="2" t="str">
        <f>"72619"</f>
        <v>72619</v>
      </c>
      <c r="C36647" s="1">
        <v>1.21798186516678E-4</v>
      </c>
      <c r="D36647" s="1">
        <v>8.9538557731123203E-5</v>
      </c>
      <c r="E36647" s="1">
        <v>8.2565259146275205E-5</v>
      </c>
      <c r="F36647" s="1">
        <v>1.18785250692093E-4</v>
      </c>
    </row>
    <row r="36648" spans="1:6" x14ac:dyDescent="0.25">
      <c r="A36648" s="2" t="str">
        <f t="shared" si="1234"/>
        <v>99999</v>
      </c>
      <c r="B36648" s="2" t="str">
        <f>"72611"</f>
        <v>72611</v>
      </c>
      <c r="C36648" s="1">
        <v>5.2495454941328402E-5</v>
      </c>
      <c r="D36648" s="1">
        <v>1.21408213872709E-5</v>
      </c>
      <c r="E36648" s="1">
        <v>8.7345353096849004E-4</v>
      </c>
      <c r="F36648" s="1">
        <v>6.8644742862264895E-5</v>
      </c>
    </row>
    <row r="36649" spans="1:6" x14ac:dyDescent="0.25">
      <c r="A36649" s="2" t="str">
        <f t="shared" si="1234"/>
        <v>99999</v>
      </c>
      <c r="B36649" s="2" t="str">
        <f>"72576"</f>
        <v>72576</v>
      </c>
      <c r="C36649" s="1">
        <v>1.92410576011563E-4</v>
      </c>
      <c r="D36649" s="1">
        <v>1.15337803179074E-4</v>
      </c>
      <c r="E36649" s="1">
        <v>5.21464794608054E-5</v>
      </c>
      <c r="F36649" s="1">
        <v>1.8414698411311901E-4</v>
      </c>
    </row>
    <row r="36650" spans="1:6" x14ac:dyDescent="0.25">
      <c r="A36650" s="2" t="str">
        <f t="shared" si="1234"/>
        <v>99999</v>
      </c>
      <c r="B36650" s="2" t="str">
        <f>"72512"</f>
        <v>72512</v>
      </c>
      <c r="C36650" s="1">
        <v>1.60214818823014E-4</v>
      </c>
      <c r="D36650" s="1">
        <v>1.198906111993E-4</v>
      </c>
      <c r="E36650" s="1">
        <v>4.7800939505738197E-5</v>
      </c>
      <c r="F36650" s="1">
        <v>1.5499783968030199E-4</v>
      </c>
    </row>
    <row r="36651" spans="1:6" x14ac:dyDescent="0.25">
      <c r="A36651" s="2" t="str">
        <f t="shared" si="1234"/>
        <v>99999</v>
      </c>
      <c r="B36651" s="2" t="str">
        <f>"72479"</f>
        <v>72479</v>
      </c>
      <c r="C36651" s="1">
        <v>8.7310527968945299E-7</v>
      </c>
      <c r="D36651" s="1">
        <v>0</v>
      </c>
      <c r="E36651" s="1">
        <v>0</v>
      </c>
      <c r="F36651" s="1">
        <v>7.9588107666394099E-7</v>
      </c>
    </row>
    <row r="36652" spans="1:6" x14ac:dyDescent="0.25">
      <c r="A36652" s="2" t="str">
        <f t="shared" si="1234"/>
        <v>99999</v>
      </c>
      <c r="B36652" s="2" t="str">
        <f>"72461"</f>
        <v>72461</v>
      </c>
      <c r="C36652" s="1">
        <v>1.99831970888923E-4</v>
      </c>
      <c r="D36652" s="1">
        <v>2.9441491864132003E-4</v>
      </c>
      <c r="E36652" s="1">
        <v>4.3455399550671103E-5</v>
      </c>
      <c r="F36652" s="1">
        <v>2.0245224887639E-4</v>
      </c>
    </row>
    <row r="36653" spans="1:6" x14ac:dyDescent="0.25">
      <c r="A36653" s="2" t="str">
        <f t="shared" si="1234"/>
        <v>99999</v>
      </c>
      <c r="B36653" s="2" t="str">
        <f>"72457"</f>
        <v>72457</v>
      </c>
      <c r="C36653" s="1">
        <v>0</v>
      </c>
      <c r="D36653" s="1">
        <v>0</v>
      </c>
      <c r="E36653" s="1">
        <v>4.3455399550671099E-6</v>
      </c>
      <c r="F36653" s="1">
        <v>9.9485134582992598E-8</v>
      </c>
    </row>
    <row r="36654" spans="1:6" x14ac:dyDescent="0.25">
      <c r="A36654" s="2" t="str">
        <f t="shared" si="1234"/>
        <v>99999</v>
      </c>
      <c r="B36654" s="2" t="str">
        <f>"72536"</f>
        <v>72536</v>
      </c>
      <c r="C36654" s="1">
        <v>4.3218711344627901E-5</v>
      </c>
      <c r="D36654" s="1">
        <v>1.9728834754315301E-5</v>
      </c>
      <c r="E36654" s="1">
        <v>4.3455399550671099E-6</v>
      </c>
      <c r="F36654" s="1">
        <v>4.0788905179026897E-5</v>
      </c>
    </row>
    <row r="36655" spans="1:6" x14ac:dyDescent="0.25">
      <c r="A36655" s="2" t="str">
        <f t="shared" si="1234"/>
        <v>99999</v>
      </c>
      <c r="B36655" s="2" t="str">
        <f>"72520"</f>
        <v>72520</v>
      </c>
      <c r="C36655" s="1">
        <v>1.8007796393594899E-5</v>
      </c>
      <c r="D36655" s="1">
        <v>7.5880133670443404E-6</v>
      </c>
      <c r="E36655" s="1">
        <v>4.3455399550671099E-6</v>
      </c>
      <c r="F36655" s="1">
        <v>1.7011958013691699E-5</v>
      </c>
    </row>
    <row r="36656" spans="1:6" x14ac:dyDescent="0.25">
      <c r="A36656" s="2" t="str">
        <f t="shared" si="1234"/>
        <v>99999</v>
      </c>
      <c r="B36656" s="2" t="str">
        <f>"72324"</f>
        <v>72324</v>
      </c>
      <c r="C36656" s="1">
        <v>1.17214383798309E-4</v>
      </c>
      <c r="D36656" s="1">
        <v>7.4362530997034595E-5</v>
      </c>
      <c r="E36656" s="1">
        <v>1.7382159820268399E-5</v>
      </c>
      <c r="F36656" s="1">
        <v>1.12119746675032E-4</v>
      </c>
    </row>
    <row r="36657" spans="1:6" x14ac:dyDescent="0.25">
      <c r="A36657" s="2" t="str">
        <f t="shared" si="1234"/>
        <v>99999</v>
      </c>
      <c r="B36657" s="2" t="str">
        <f>"72453"</f>
        <v>72453</v>
      </c>
      <c r="C36657" s="1">
        <v>7.7488093572439E-6</v>
      </c>
      <c r="D36657" s="1">
        <v>7.5880133670443404E-6</v>
      </c>
      <c r="E36657" s="1">
        <v>8.69107991013423E-6</v>
      </c>
      <c r="F36657" s="1">
        <v>7.7598404974734199E-6</v>
      </c>
    </row>
    <row r="36658" spans="1:6" x14ac:dyDescent="0.25">
      <c r="A36658" s="2" t="str">
        <f t="shared" si="1234"/>
        <v>99999</v>
      </c>
      <c r="B36658" s="2" t="str">
        <f>"72449"</f>
        <v>72449</v>
      </c>
      <c r="C36658" s="1">
        <v>0</v>
      </c>
      <c r="D36658" s="1">
        <v>0</v>
      </c>
      <c r="E36658" s="1">
        <v>4.3455399550671099E-6</v>
      </c>
      <c r="F36658" s="1">
        <v>9.9485134582992598E-8</v>
      </c>
    </row>
    <row r="36659" spans="1:6" x14ac:dyDescent="0.25">
      <c r="A36659" s="2" t="str">
        <f t="shared" si="1234"/>
        <v>99999</v>
      </c>
      <c r="B36659" s="2" t="str">
        <f>"72425"</f>
        <v>72425</v>
      </c>
      <c r="C36659" s="1">
        <v>4.5838027183696299E-6</v>
      </c>
      <c r="D36659" s="1">
        <v>0</v>
      </c>
      <c r="E36659" s="1">
        <v>0</v>
      </c>
      <c r="F36659" s="1">
        <v>4.1783756524856902E-6</v>
      </c>
    </row>
    <row r="36660" spans="1:6" x14ac:dyDescent="0.25">
      <c r="A36660" s="2" t="str">
        <f t="shared" si="1234"/>
        <v>99999</v>
      </c>
      <c r="B36660" s="2" t="str">
        <f>"72424"</f>
        <v>72424</v>
      </c>
      <c r="C36660" s="1">
        <v>0</v>
      </c>
      <c r="D36660" s="1">
        <v>0</v>
      </c>
      <c r="E36660" s="1">
        <v>4.3455399550671099E-6</v>
      </c>
      <c r="F36660" s="1">
        <v>9.9485134582992598E-8</v>
      </c>
    </row>
    <row r="36661" spans="1:6" x14ac:dyDescent="0.25">
      <c r="A36661" s="2" t="str">
        <f t="shared" si="1234"/>
        <v>99999</v>
      </c>
      <c r="B36661" s="2" t="str">
        <f>"72086"</f>
        <v>72086</v>
      </c>
      <c r="C36661" s="1">
        <v>2.8375921589907201E-6</v>
      </c>
      <c r="D36661" s="1">
        <v>0</v>
      </c>
      <c r="E36661" s="1">
        <v>0</v>
      </c>
      <c r="F36661" s="1">
        <v>2.5866134991578E-6</v>
      </c>
    </row>
    <row r="36662" spans="1:6" x14ac:dyDescent="0.25">
      <c r="A36662" s="2" t="str">
        <f t="shared" si="1234"/>
        <v>99999</v>
      </c>
      <c r="B36662" s="2" t="str">
        <f>"72064"</f>
        <v>72064</v>
      </c>
      <c r="C36662" s="1">
        <v>1.7156518745897701E-4</v>
      </c>
      <c r="D36662" s="1">
        <v>1.04714584465211E-4</v>
      </c>
      <c r="E36662" s="1">
        <v>5.6492019415872502E-5</v>
      </c>
      <c r="F36662" s="1">
        <v>1.6454841260026901E-4</v>
      </c>
    </row>
    <row r="36663" spans="1:6" x14ac:dyDescent="0.25">
      <c r="A36663" s="2" t="str">
        <f t="shared" si="1234"/>
        <v>99999</v>
      </c>
      <c r="B36663" s="2" t="str">
        <f>"72127"</f>
        <v>72127</v>
      </c>
      <c r="C36663" s="1">
        <v>1.12521442919978E-4</v>
      </c>
      <c r="D36663" s="1">
        <v>6.37393122831725E-5</v>
      </c>
      <c r="E36663" s="1">
        <v>3.47643196405369E-5</v>
      </c>
      <c r="F36663" s="1">
        <v>1.07543430484215E-4</v>
      </c>
    </row>
    <row r="36664" spans="1:6" x14ac:dyDescent="0.25">
      <c r="A36664" s="2" t="str">
        <f t="shared" si="1234"/>
        <v>99999</v>
      </c>
      <c r="B36664" s="2" t="str">
        <f>"72121"</f>
        <v>72121</v>
      </c>
      <c r="C36664" s="1">
        <v>3.7652665186607698E-5</v>
      </c>
      <c r="D36664" s="1">
        <v>3.0352053468177301E-6</v>
      </c>
      <c r="E36664" s="1">
        <v>0</v>
      </c>
      <c r="F36664" s="1">
        <v>3.4521341700298397E-5</v>
      </c>
    </row>
    <row r="36665" spans="1:6" x14ac:dyDescent="0.25">
      <c r="A36665" s="2" t="str">
        <f t="shared" si="1234"/>
        <v>99999</v>
      </c>
      <c r="B36665" s="2" t="str">
        <f>"72153"</f>
        <v>72153</v>
      </c>
      <c r="C36665" s="1">
        <v>1.75930713857424E-4</v>
      </c>
      <c r="D36665" s="1">
        <v>1.15337803179074E-4</v>
      </c>
      <c r="E36665" s="1">
        <v>1.7382159820268399E-5</v>
      </c>
      <c r="F36665" s="1">
        <v>1.68328847714423E-4</v>
      </c>
    </row>
    <row r="36666" spans="1:6" x14ac:dyDescent="0.25">
      <c r="A36666" s="2" t="str">
        <f t="shared" si="1234"/>
        <v>99999</v>
      </c>
      <c r="B36666" s="2" t="str">
        <f>"72108"</f>
        <v>72108</v>
      </c>
      <c r="C36666" s="1">
        <v>0</v>
      </c>
      <c r="D36666" s="1">
        <v>0</v>
      </c>
      <c r="E36666" s="1">
        <v>4.3455399550671099E-6</v>
      </c>
      <c r="F36666" s="1">
        <v>9.9485134582992598E-8</v>
      </c>
    </row>
    <row r="36667" spans="1:6" x14ac:dyDescent="0.25">
      <c r="A36667" s="2" t="str">
        <f t="shared" si="1234"/>
        <v>99999</v>
      </c>
      <c r="B36667" s="2" t="str">
        <f>"72020"</f>
        <v>72020</v>
      </c>
      <c r="C36667" s="1">
        <v>9.2112607007237296E-5</v>
      </c>
      <c r="D36667" s="1">
        <v>2.4281642774541899E-5</v>
      </c>
      <c r="E36667" s="1">
        <v>0</v>
      </c>
      <c r="F36667" s="1">
        <v>8.5557215741373599E-5</v>
      </c>
    </row>
    <row r="36668" spans="1:6" x14ac:dyDescent="0.25">
      <c r="A36668" s="2" t="str">
        <f t="shared" si="1234"/>
        <v>99999</v>
      </c>
      <c r="B36668" s="2" t="str">
        <f>"71660"</f>
        <v>71660</v>
      </c>
      <c r="C36668" s="1">
        <v>2.07362503926245E-6</v>
      </c>
      <c r="D36668" s="1">
        <v>0</v>
      </c>
      <c r="E36668" s="1">
        <v>0</v>
      </c>
      <c r="F36668" s="1">
        <v>1.89021755707686E-6</v>
      </c>
    </row>
    <row r="36669" spans="1:6" x14ac:dyDescent="0.25">
      <c r="A36669" s="2" t="str">
        <f t="shared" si="1234"/>
        <v>99999</v>
      </c>
      <c r="B36669" s="2" t="str">
        <f>"71969"</f>
        <v>71969</v>
      </c>
      <c r="C36669" s="1">
        <v>1.8335210873478499E-5</v>
      </c>
      <c r="D36669" s="1">
        <v>0</v>
      </c>
      <c r="E36669" s="1">
        <v>4.3455399550671099E-6</v>
      </c>
      <c r="F36669" s="1">
        <v>1.6812987744525699E-5</v>
      </c>
    </row>
    <row r="36670" spans="1:6" x14ac:dyDescent="0.25">
      <c r="A36670" s="2" t="str">
        <f t="shared" si="1234"/>
        <v>99999</v>
      </c>
      <c r="B36670" s="2" t="str">
        <f>"72001"</f>
        <v>72001</v>
      </c>
      <c r="C36670" s="1">
        <v>8.5127764769721692E-6</v>
      </c>
      <c r="D36670" s="1">
        <v>1.51760267340886E-6</v>
      </c>
      <c r="E36670" s="1">
        <v>0</v>
      </c>
      <c r="F36670" s="1">
        <v>7.85932563205641E-6</v>
      </c>
    </row>
    <row r="36671" spans="1:6" x14ac:dyDescent="0.25">
      <c r="A36671" s="2" t="str">
        <f t="shared" si="1234"/>
        <v>99999</v>
      </c>
      <c r="B36671" s="2" t="str">
        <f>"71971"</f>
        <v>71971</v>
      </c>
      <c r="C36671" s="1">
        <v>2.6629711030528301E-5</v>
      </c>
      <c r="D36671" s="1">
        <v>9.1056160404532095E-6</v>
      </c>
      <c r="E36671" s="1">
        <v>0</v>
      </c>
      <c r="F36671" s="1">
        <v>2.48712836457481E-5</v>
      </c>
    </row>
    <row r="36672" spans="1:6" x14ac:dyDescent="0.25">
      <c r="A36672" s="2" t="str">
        <f t="shared" si="1234"/>
        <v>99999</v>
      </c>
      <c r="B36672" s="2" t="str">
        <f>"71961"</f>
        <v>71961</v>
      </c>
      <c r="C36672" s="1">
        <v>4.8239066702842302E-5</v>
      </c>
      <c r="D36672" s="1">
        <v>4.5528080202265997E-6</v>
      </c>
      <c r="E36672" s="1">
        <v>4.3455399550671099E-6</v>
      </c>
      <c r="F36672" s="1">
        <v>4.4370370024014701E-5</v>
      </c>
    </row>
    <row r="36673" spans="1:6" x14ac:dyDescent="0.25">
      <c r="A36673" s="2" t="str">
        <f t="shared" si="1234"/>
        <v>99999</v>
      </c>
      <c r="B36673" s="2" t="str">
        <f>"71957"</f>
        <v>71957</v>
      </c>
      <c r="C36673" s="1">
        <v>1.7560329937754099E-4</v>
      </c>
      <c r="D36673" s="1">
        <v>1.39619445953615E-4</v>
      </c>
      <c r="E36673" s="1">
        <v>4.7800939505738197E-5</v>
      </c>
      <c r="F36673" s="1">
        <v>1.7031855040608299E-4</v>
      </c>
    </row>
    <row r="36674" spans="1:6" x14ac:dyDescent="0.25">
      <c r="A36674" s="2" t="str">
        <f t="shared" si="1234"/>
        <v>99999</v>
      </c>
      <c r="B36674" s="2" t="str">
        <f>"71950"</f>
        <v>71950</v>
      </c>
      <c r="C36674" s="1">
        <v>4.6711132463385699E-5</v>
      </c>
      <c r="D36674" s="1">
        <v>2.4281642774541899E-5</v>
      </c>
      <c r="E36674" s="1">
        <v>1.7382159820268399E-5</v>
      </c>
      <c r="F36674" s="1">
        <v>4.4569340293180698E-5</v>
      </c>
    </row>
    <row r="36675" spans="1:6" x14ac:dyDescent="0.25">
      <c r="A36675" s="2" t="str">
        <f t="shared" si="1234"/>
        <v>99999</v>
      </c>
      <c r="B36675" s="2" t="str">
        <f>"71940"</f>
        <v>71940</v>
      </c>
      <c r="C36675" s="1">
        <v>9.9643140044558898E-5</v>
      </c>
      <c r="D36675" s="1">
        <v>3.9457669508630602E-5</v>
      </c>
      <c r="E36675" s="1">
        <v>1.7382159820268399E-5</v>
      </c>
      <c r="F36675" s="1">
        <v>9.3814481911761995E-5</v>
      </c>
    </row>
    <row r="36676" spans="1:6" x14ac:dyDescent="0.25">
      <c r="A36676" s="2" t="str">
        <f t="shared" si="1234"/>
        <v>99999</v>
      </c>
      <c r="B36676" s="2" t="str">
        <f>"71646"</f>
        <v>71646</v>
      </c>
      <c r="C36676" s="1">
        <v>3.7761803346568799E-4</v>
      </c>
      <c r="D36676" s="1">
        <v>4.61351212716296E-4</v>
      </c>
      <c r="E36676" s="1">
        <v>1.2602065869694599E-4</v>
      </c>
      <c r="F36676" s="1">
        <v>3.7734711547329102E-4</v>
      </c>
    </row>
    <row r="36677" spans="1:6" x14ac:dyDescent="0.25">
      <c r="A36677" s="2" t="str">
        <f t="shared" si="1234"/>
        <v>99999</v>
      </c>
      <c r="B36677" s="2" t="str">
        <f>"71640"</f>
        <v>71640</v>
      </c>
      <c r="C36677" s="1">
        <v>1.93611095771136E-4</v>
      </c>
      <c r="D36677" s="1">
        <v>3.5815423092449297E-4</v>
      </c>
      <c r="E36677" s="1">
        <v>9.1256339056409395E-5</v>
      </c>
      <c r="F36677" s="1">
        <v>2.0205430833805801E-4</v>
      </c>
    </row>
    <row r="36678" spans="1:6" x14ac:dyDescent="0.25">
      <c r="A36678" s="2" t="str">
        <f t="shared" si="1234"/>
        <v>99999</v>
      </c>
      <c r="B36678" s="2" t="str">
        <f>"71831"</f>
        <v>71831</v>
      </c>
      <c r="C36678" s="1">
        <v>1.6370723994177199E-6</v>
      </c>
      <c r="D36678" s="1">
        <v>0</v>
      </c>
      <c r="E36678" s="1">
        <v>0</v>
      </c>
      <c r="F36678" s="1">
        <v>1.4922770187448801E-6</v>
      </c>
    </row>
    <row r="36679" spans="1:6" x14ac:dyDescent="0.25">
      <c r="A36679" s="2" t="str">
        <f t="shared" si="1234"/>
        <v>99999</v>
      </c>
      <c r="B36679" s="2" t="str">
        <f>"71826"</f>
        <v>71826</v>
      </c>
      <c r="C36679" s="1">
        <v>5.99168498186887E-5</v>
      </c>
      <c r="D36679" s="1">
        <v>3.1869656141586203E-5</v>
      </c>
      <c r="E36679" s="1">
        <v>2.60732397304027E-5</v>
      </c>
      <c r="F36679" s="1">
        <v>5.7303437519803702E-5</v>
      </c>
    </row>
    <row r="36680" spans="1:6" x14ac:dyDescent="0.25">
      <c r="A36680" s="2" t="str">
        <f t="shared" si="1234"/>
        <v>99999</v>
      </c>
      <c r="B36680" s="2" t="str">
        <f>"71851"</f>
        <v>71851</v>
      </c>
      <c r="C36680" s="1">
        <v>8.8729324048440706E-5</v>
      </c>
      <c r="D36680" s="1">
        <v>1.5176026734088599E-5</v>
      </c>
      <c r="E36680" s="1">
        <v>8.69107991013423E-6</v>
      </c>
      <c r="F36680" s="1">
        <v>8.2075236030968902E-5</v>
      </c>
    </row>
    <row r="36681" spans="1:6" x14ac:dyDescent="0.25">
      <c r="A36681" s="2" t="str">
        <f t="shared" si="1234"/>
        <v>99999</v>
      </c>
      <c r="B36681" s="2" t="str">
        <f>"71846"</f>
        <v>71846</v>
      </c>
      <c r="C36681" s="1">
        <v>1.4591771986809899E-4</v>
      </c>
      <c r="D36681" s="1">
        <v>4.7045682875674899E-5</v>
      </c>
      <c r="E36681" s="1">
        <v>2.1727699775335501E-5</v>
      </c>
      <c r="F36681" s="1">
        <v>1.3659308978244801E-4</v>
      </c>
    </row>
    <row r="36682" spans="1:6" x14ac:dyDescent="0.25">
      <c r="A36682" s="2" t="str">
        <f t="shared" si="1234"/>
        <v>99999</v>
      </c>
      <c r="B36682" s="2" t="str">
        <f>"71483"</f>
        <v>71483</v>
      </c>
      <c r="C36682" s="1">
        <v>5.2026160853495295E-4</v>
      </c>
      <c r="D36682" s="1">
        <v>6.6774517629990195E-4</v>
      </c>
      <c r="E36682" s="1">
        <v>3.6937089618070402E-4</v>
      </c>
      <c r="F36682" s="1">
        <v>5.2647533221319705E-4</v>
      </c>
    </row>
    <row r="36683" spans="1:6" x14ac:dyDescent="0.25">
      <c r="A36683" s="2" t="str">
        <f t="shared" si="1234"/>
        <v>99999</v>
      </c>
      <c r="B36683" s="2" t="str">
        <f>"71469"</f>
        <v>71469</v>
      </c>
      <c r="C36683" s="1">
        <v>3.0231270309247298E-5</v>
      </c>
      <c r="D36683" s="1">
        <v>7.5880133670443404E-6</v>
      </c>
      <c r="E36683" s="1">
        <v>8.69107991013423E-6</v>
      </c>
      <c r="F36683" s="1">
        <v>2.8253778221569901E-5</v>
      </c>
    </row>
    <row r="36684" spans="1:6" x14ac:dyDescent="0.25">
      <c r="A36684" s="2" t="str">
        <f t="shared" si="1234"/>
        <v>99999</v>
      </c>
      <c r="B36684" s="2" t="str">
        <f>"71276"</f>
        <v>71276</v>
      </c>
      <c r="C36684" s="1">
        <v>1.1459506795924E-5</v>
      </c>
      <c r="D36684" s="1">
        <v>1.21408213872709E-5</v>
      </c>
      <c r="E36684" s="1">
        <v>4.3455399550671099E-6</v>
      </c>
      <c r="F36684" s="1">
        <v>1.13413053424611E-5</v>
      </c>
    </row>
    <row r="36685" spans="1:6" x14ac:dyDescent="0.25">
      <c r="A36685" s="2" t="str">
        <f t="shared" si="1234"/>
        <v>99999</v>
      </c>
      <c r="B36685" s="2" t="str">
        <f>"71268"</f>
        <v>71268</v>
      </c>
      <c r="C36685" s="1">
        <v>1.28783028754194E-4</v>
      </c>
      <c r="D36685" s="1">
        <v>4.2492874855448297E-5</v>
      </c>
      <c r="E36685" s="1">
        <v>2.1727699775335501E-5</v>
      </c>
      <c r="F36685" s="1">
        <v>1.2067546824916999E-4</v>
      </c>
    </row>
    <row r="36686" spans="1:6" x14ac:dyDescent="0.25">
      <c r="A36686" s="2" t="str">
        <f t="shared" si="1234"/>
        <v>99999</v>
      </c>
      <c r="B36686" s="2" t="str">
        <f>"71233"</f>
        <v>71233</v>
      </c>
      <c r="C36686" s="1">
        <v>1.09138159961181E-7</v>
      </c>
      <c r="D36686" s="1">
        <v>0</v>
      </c>
      <c r="E36686" s="1">
        <v>4.3455399550671099E-6</v>
      </c>
      <c r="F36686" s="1">
        <v>1.9897026916598501E-7</v>
      </c>
    </row>
    <row r="36687" spans="1:6" x14ac:dyDescent="0.25">
      <c r="A36687" s="2" t="str">
        <f t="shared" si="1234"/>
        <v>99999</v>
      </c>
      <c r="B36687" s="2" t="str">
        <f>"71269"</f>
        <v>71269</v>
      </c>
      <c r="C36687" s="1">
        <v>6.10737143142773E-4</v>
      </c>
      <c r="D36687" s="1">
        <v>8.1343503294715395E-4</v>
      </c>
      <c r="E36687" s="1">
        <v>4.8670047496751699E-4</v>
      </c>
      <c r="F36687" s="1">
        <v>6.2118518033620605E-4</v>
      </c>
    </row>
    <row r="36688" spans="1:6" x14ac:dyDescent="0.25">
      <c r="A36688" s="2" t="str">
        <f t="shared" si="1234"/>
        <v>99999</v>
      </c>
      <c r="B36688" s="2" t="str">
        <f>"71339"</f>
        <v>71339</v>
      </c>
      <c r="C36688" s="1">
        <v>0</v>
      </c>
      <c r="D36688" s="1">
        <v>0</v>
      </c>
      <c r="E36688" s="1">
        <v>4.3455399550671099E-6</v>
      </c>
      <c r="F36688" s="1">
        <v>9.9485134582992598E-8</v>
      </c>
    </row>
    <row r="36689" spans="1:6" x14ac:dyDescent="0.25">
      <c r="A36689" s="2" t="str">
        <f t="shared" si="1234"/>
        <v>99999</v>
      </c>
      <c r="B36689" s="2" t="str">
        <f>"71328"</f>
        <v>71328</v>
      </c>
      <c r="C36689" s="1">
        <v>2.1172803032469199E-5</v>
      </c>
      <c r="D36689" s="1">
        <v>1.51760267340886E-6</v>
      </c>
      <c r="E36689" s="1">
        <v>4.3455399550671099E-6</v>
      </c>
      <c r="F36689" s="1">
        <v>1.9499086378266499E-5</v>
      </c>
    </row>
    <row r="36690" spans="1:6" x14ac:dyDescent="0.25">
      <c r="A36690" s="2" t="str">
        <f t="shared" ref="A36690:A36753" si="1235">"99999"</f>
        <v>99999</v>
      </c>
      <c r="B36690" s="2" t="str">
        <f>"71354"</f>
        <v>71354</v>
      </c>
      <c r="C36690" s="1">
        <v>3.2741447988354498E-7</v>
      </c>
      <c r="D36690" s="1">
        <v>0</v>
      </c>
      <c r="E36690" s="1">
        <v>0</v>
      </c>
      <c r="F36690" s="1">
        <v>2.9845540374897701E-7</v>
      </c>
    </row>
    <row r="36691" spans="1:6" x14ac:dyDescent="0.25">
      <c r="A36691" s="2" t="str">
        <f t="shared" si="1235"/>
        <v>99999</v>
      </c>
      <c r="B36691" s="2" t="str">
        <f>"71324"</f>
        <v>71324</v>
      </c>
      <c r="C36691" s="1">
        <v>0</v>
      </c>
      <c r="D36691" s="1">
        <v>0</v>
      </c>
      <c r="E36691" s="1">
        <v>4.3455399550671099E-6</v>
      </c>
      <c r="F36691" s="1">
        <v>9.9485134582992598E-8</v>
      </c>
    </row>
    <row r="36692" spans="1:6" x14ac:dyDescent="0.25">
      <c r="A36692" s="2" t="str">
        <f t="shared" si="1235"/>
        <v>99999</v>
      </c>
      <c r="B36692" s="2" t="str">
        <f>"71355"</f>
        <v>71355</v>
      </c>
      <c r="C36692" s="1">
        <v>1.20488528597144E-4</v>
      </c>
      <c r="D36692" s="1">
        <v>6.0704106936354703E-5</v>
      </c>
      <c r="E36692" s="1">
        <v>1.08638498876677E-4</v>
      </c>
      <c r="F36692" s="1">
        <v>1.1629812232751801E-4</v>
      </c>
    </row>
    <row r="36693" spans="1:6" x14ac:dyDescent="0.25">
      <c r="A36693" s="2" t="str">
        <f t="shared" si="1235"/>
        <v>99999</v>
      </c>
      <c r="B36693" s="2" t="str">
        <f>"71340"</f>
        <v>71340</v>
      </c>
      <c r="C36693" s="1">
        <v>3.2850586148315701E-5</v>
      </c>
      <c r="D36693" s="1">
        <v>2.5799245447950699E-5</v>
      </c>
      <c r="E36693" s="1">
        <v>2.1727699775335501E-5</v>
      </c>
      <c r="F36693" s="1">
        <v>3.2133698470306602E-5</v>
      </c>
    </row>
    <row r="36694" spans="1:6" x14ac:dyDescent="0.25">
      <c r="A36694" s="2" t="str">
        <f t="shared" si="1235"/>
        <v>99999</v>
      </c>
      <c r="B36694" s="2" t="str">
        <f>"71429"</f>
        <v>71429</v>
      </c>
      <c r="C36694" s="1">
        <v>1.96994378729933E-4</v>
      </c>
      <c r="D36694" s="1">
        <v>6.9809722976807906E-5</v>
      </c>
      <c r="E36694" s="1">
        <v>9.5601879011476503E-5</v>
      </c>
      <c r="F36694" s="1">
        <v>1.8633565707394499E-4</v>
      </c>
    </row>
    <row r="36695" spans="1:6" x14ac:dyDescent="0.25">
      <c r="A36695" s="2" t="str">
        <f t="shared" si="1235"/>
        <v>99999</v>
      </c>
      <c r="B36695" s="2" t="str">
        <f>"71419"</f>
        <v>71419</v>
      </c>
      <c r="C36695" s="1">
        <v>1.09465574441065E-4</v>
      </c>
      <c r="D36695" s="1">
        <v>2.7316848121359601E-5</v>
      </c>
      <c r="E36695" s="1">
        <v>2.1727699775335501E-5</v>
      </c>
      <c r="F36695" s="1">
        <v>1.0207174808215E-4</v>
      </c>
    </row>
    <row r="36696" spans="1:6" x14ac:dyDescent="0.25">
      <c r="A36696" s="2" t="str">
        <f t="shared" si="1235"/>
        <v>99999</v>
      </c>
      <c r="B36696" s="2" t="str">
        <f>"71404"</f>
        <v>71404</v>
      </c>
      <c r="C36696" s="1">
        <v>3.0231270309247298E-5</v>
      </c>
      <c r="D36696" s="1">
        <v>6.0704106936354696E-6</v>
      </c>
      <c r="E36696" s="1">
        <v>1.3036619865201299E-5</v>
      </c>
      <c r="F36696" s="1">
        <v>2.8253778221569901E-5</v>
      </c>
    </row>
    <row r="36697" spans="1:6" x14ac:dyDescent="0.25">
      <c r="A36697" s="2" t="str">
        <f t="shared" si="1235"/>
        <v>99999</v>
      </c>
      <c r="B36697" s="2" t="str">
        <f>"71403"</f>
        <v>71403</v>
      </c>
      <c r="C36697" s="1">
        <v>4.5838027183696299E-6</v>
      </c>
      <c r="D36697" s="1">
        <v>7.5880133670443404E-6</v>
      </c>
      <c r="E36697" s="1">
        <v>8.69107991013423E-6</v>
      </c>
      <c r="F36697" s="1">
        <v>4.8747715945666299E-6</v>
      </c>
    </row>
    <row r="36698" spans="1:6" x14ac:dyDescent="0.25">
      <c r="A36698" s="2" t="str">
        <f t="shared" si="1235"/>
        <v>99999</v>
      </c>
      <c r="B36698" s="2" t="str">
        <f>"71320"</f>
        <v>71320</v>
      </c>
      <c r="C36698" s="1">
        <v>0</v>
      </c>
      <c r="D36698" s="1">
        <v>0</v>
      </c>
      <c r="E36698" s="1">
        <v>4.3455399550671099E-6</v>
      </c>
      <c r="F36698" s="1">
        <v>9.9485134582992598E-8</v>
      </c>
    </row>
    <row r="36699" spans="1:6" x14ac:dyDescent="0.25">
      <c r="A36699" s="2" t="str">
        <f t="shared" si="1235"/>
        <v>99999</v>
      </c>
      <c r="B36699" s="2" t="str">
        <f>"71079"</f>
        <v>71079</v>
      </c>
      <c r="C36699" s="1">
        <v>1.30965791953418E-5</v>
      </c>
      <c r="D36699" s="1">
        <v>3.0352053468177301E-6</v>
      </c>
      <c r="E36699" s="1">
        <v>4.3455399550671099E-6</v>
      </c>
      <c r="F36699" s="1">
        <v>1.2236671553708001E-5</v>
      </c>
    </row>
    <row r="36700" spans="1:6" x14ac:dyDescent="0.25">
      <c r="A36700" s="2" t="str">
        <f t="shared" si="1235"/>
        <v>99999</v>
      </c>
      <c r="B36700" s="2" t="str">
        <f>"70576"</f>
        <v>70576</v>
      </c>
      <c r="C36700" s="1">
        <v>0</v>
      </c>
      <c r="D36700" s="1">
        <v>1.51760267340886E-6</v>
      </c>
      <c r="E36700" s="1">
        <v>4.3455399550671099E-6</v>
      </c>
      <c r="F36700" s="1">
        <v>1.9897026916598501E-7</v>
      </c>
    </row>
    <row r="36701" spans="1:6" x14ac:dyDescent="0.25">
      <c r="A36701" s="2" t="str">
        <f t="shared" si="1235"/>
        <v>99999</v>
      </c>
      <c r="B36701" s="2" t="str">
        <f>"70589"</f>
        <v>70589</v>
      </c>
      <c r="C36701" s="1">
        <v>7.8579475172050803E-6</v>
      </c>
      <c r="D36701" s="1">
        <v>1.5176026734088599E-5</v>
      </c>
      <c r="E36701" s="1">
        <v>0</v>
      </c>
      <c r="F36701" s="1">
        <v>8.1577810358053902E-6</v>
      </c>
    </row>
    <row r="36702" spans="1:6" x14ac:dyDescent="0.25">
      <c r="A36702" s="2" t="str">
        <f t="shared" si="1235"/>
        <v>99999</v>
      </c>
      <c r="B36702" s="2" t="str">
        <f>"70554"</f>
        <v>70554</v>
      </c>
      <c r="C36702" s="1">
        <v>2.97728900374103E-4</v>
      </c>
      <c r="D36702" s="1">
        <v>3.9154148973948797E-4</v>
      </c>
      <c r="E36702" s="1">
        <v>1.4340281851721399E-4</v>
      </c>
      <c r="F36702" s="1">
        <v>3.0034562130605401E-4</v>
      </c>
    </row>
    <row r="36703" spans="1:6" x14ac:dyDescent="0.25">
      <c r="A36703" s="2" t="str">
        <f t="shared" si="1235"/>
        <v>99999</v>
      </c>
      <c r="B36703" s="2" t="str">
        <f>"70662"</f>
        <v>70662</v>
      </c>
      <c r="C36703" s="1">
        <v>2.1827631992236301E-7</v>
      </c>
      <c r="D36703" s="1">
        <v>1.51760267340886E-6</v>
      </c>
      <c r="E36703" s="1">
        <v>0</v>
      </c>
      <c r="F36703" s="1">
        <v>2.9845540374897701E-7</v>
      </c>
    </row>
    <row r="36704" spans="1:6" x14ac:dyDescent="0.25">
      <c r="A36704" s="2" t="str">
        <f t="shared" si="1235"/>
        <v>99999</v>
      </c>
      <c r="B36704" s="2" t="str">
        <f>"70655"</f>
        <v>70655</v>
      </c>
      <c r="C36704" s="1">
        <v>4.6383717983502201E-5</v>
      </c>
      <c r="D36704" s="1">
        <v>1.9728834754315301E-5</v>
      </c>
      <c r="E36704" s="1">
        <v>2.1727699775335501E-5</v>
      </c>
      <c r="F36704" s="1">
        <v>4.4071914620265699E-5</v>
      </c>
    </row>
    <row r="36705" spans="1:6" x14ac:dyDescent="0.25">
      <c r="A36705" s="2" t="str">
        <f t="shared" si="1235"/>
        <v>99999</v>
      </c>
      <c r="B36705" s="2" t="str">
        <f>"70535"</f>
        <v>70535</v>
      </c>
      <c r="C36705" s="1">
        <v>5.3914251020823701E-5</v>
      </c>
      <c r="D36705" s="1">
        <v>9.1056160404532095E-6</v>
      </c>
      <c r="E36705" s="1">
        <v>1.7382159820268399E-5</v>
      </c>
      <c r="F36705" s="1">
        <v>5.0140507829828202E-5</v>
      </c>
    </row>
    <row r="36706" spans="1:6" x14ac:dyDescent="0.25">
      <c r="A36706" s="2" t="str">
        <f t="shared" si="1235"/>
        <v>99999</v>
      </c>
      <c r="B36706" s="2" t="str">
        <f>"59931"</f>
        <v>59931</v>
      </c>
      <c r="C36706" s="1">
        <v>1.65890003140996E-5</v>
      </c>
      <c r="D36706" s="1">
        <v>9.1056160404532095E-6</v>
      </c>
      <c r="E36706" s="1">
        <v>4.3455399550671099E-6</v>
      </c>
      <c r="F36706" s="1">
        <v>1.5818136398695801E-5</v>
      </c>
    </row>
    <row r="36707" spans="1:6" x14ac:dyDescent="0.25">
      <c r="A36707" s="2" t="str">
        <f t="shared" si="1235"/>
        <v>99999</v>
      </c>
      <c r="B36707" s="2" t="str">
        <f>"59911"</f>
        <v>59911</v>
      </c>
      <c r="C36707" s="1">
        <v>2.06380260486594E-4</v>
      </c>
      <c r="D36707" s="1">
        <v>8.65033523843055E-5</v>
      </c>
      <c r="E36707" s="1">
        <v>1.12984038831745E-4</v>
      </c>
      <c r="F36707" s="1">
        <v>1.9638365566682699E-4</v>
      </c>
    </row>
    <row r="36708" spans="1:6" x14ac:dyDescent="0.25">
      <c r="A36708" s="2" t="str">
        <f t="shared" si="1235"/>
        <v>99999</v>
      </c>
      <c r="B36708" s="2" t="str">
        <f>"59482"</f>
        <v>59482</v>
      </c>
      <c r="C36708" s="1">
        <v>3.27414479883545E-6</v>
      </c>
      <c r="D36708" s="1">
        <v>3.0352053468177301E-6</v>
      </c>
      <c r="E36708" s="1">
        <v>4.3455399550671099E-6</v>
      </c>
      <c r="F36708" s="1">
        <v>3.2830094412387502E-6</v>
      </c>
    </row>
    <row r="36709" spans="1:6" x14ac:dyDescent="0.25">
      <c r="A36709" s="2" t="str">
        <f t="shared" si="1235"/>
        <v>99999</v>
      </c>
      <c r="B36709" s="2" t="str">
        <f>"59545"</f>
        <v>59545</v>
      </c>
      <c r="C36709" s="1">
        <v>1.52793423945654E-6</v>
      </c>
      <c r="D36709" s="1">
        <v>0</v>
      </c>
      <c r="E36709" s="1">
        <v>4.3455399550671099E-6</v>
      </c>
      <c r="F36709" s="1">
        <v>1.4922770187448801E-6</v>
      </c>
    </row>
    <row r="36710" spans="1:6" x14ac:dyDescent="0.25">
      <c r="A36710" s="2" t="str">
        <f t="shared" si="1235"/>
        <v>99999</v>
      </c>
      <c r="B36710" s="2" t="str">
        <f>"59544"</f>
        <v>59544</v>
      </c>
      <c r="C36710" s="1">
        <v>7.6396711972827196E-6</v>
      </c>
      <c r="D36710" s="1">
        <v>3.0352053468177301E-6</v>
      </c>
      <c r="E36710" s="1">
        <v>4.3455399550671099E-6</v>
      </c>
      <c r="F36710" s="1">
        <v>7.2624148245584604E-6</v>
      </c>
    </row>
    <row r="36711" spans="1:6" x14ac:dyDescent="0.25">
      <c r="A36711" s="2" t="str">
        <f t="shared" si="1235"/>
        <v>99999</v>
      </c>
      <c r="B36711" s="2" t="str">
        <f>"59467"</f>
        <v>59467</v>
      </c>
      <c r="C36711" s="1">
        <v>1.09138159961181E-7</v>
      </c>
      <c r="D36711" s="1">
        <v>0</v>
      </c>
      <c r="E36711" s="1">
        <v>4.3455399550671099E-6</v>
      </c>
      <c r="F36711" s="1">
        <v>1.9897026916598501E-7</v>
      </c>
    </row>
    <row r="36712" spans="1:6" x14ac:dyDescent="0.25">
      <c r="A36712" s="2" t="str">
        <f t="shared" si="1235"/>
        <v>99999</v>
      </c>
      <c r="B36712" s="2" t="str">
        <f>"59487"</f>
        <v>59487</v>
      </c>
      <c r="C36712" s="1">
        <v>1.3096579195341799E-6</v>
      </c>
      <c r="D36712" s="1">
        <v>0</v>
      </c>
      <c r="E36712" s="1">
        <v>0</v>
      </c>
      <c r="F36712" s="1">
        <v>1.19382161499591E-6</v>
      </c>
    </row>
    <row r="36713" spans="1:6" x14ac:dyDescent="0.25">
      <c r="A36713" s="2" t="str">
        <f t="shared" si="1235"/>
        <v>99999</v>
      </c>
      <c r="B36713" s="2" t="str">
        <f>"59466"</f>
        <v>59466</v>
      </c>
      <c r="C36713" s="1">
        <v>5.7843224779426299E-6</v>
      </c>
      <c r="D36713" s="1">
        <v>4.5528080202265997E-6</v>
      </c>
      <c r="E36713" s="1">
        <v>4.3455399550671099E-6</v>
      </c>
      <c r="F36713" s="1">
        <v>5.6706526712305799E-6</v>
      </c>
    </row>
    <row r="36714" spans="1:6" x14ac:dyDescent="0.25">
      <c r="A36714" s="2" t="str">
        <f t="shared" si="1235"/>
        <v>99999</v>
      </c>
      <c r="B36714" s="2" t="str">
        <f>"59521"</f>
        <v>59521</v>
      </c>
      <c r="C36714" s="1">
        <v>1.1219402844009401E-4</v>
      </c>
      <c r="D36714" s="1">
        <v>8.4985749710896595E-5</v>
      </c>
      <c r="E36714" s="1">
        <v>4.7800939505738197E-5</v>
      </c>
      <c r="F36714" s="1">
        <v>1.0893622236837599E-4</v>
      </c>
    </row>
    <row r="36715" spans="1:6" x14ac:dyDescent="0.25">
      <c r="A36715" s="2" t="str">
        <f t="shared" si="1235"/>
        <v>99999</v>
      </c>
      <c r="B36715" s="2" t="str">
        <f>"59501"</f>
        <v>59501</v>
      </c>
      <c r="C36715" s="1">
        <v>6.7141796008119E-4</v>
      </c>
      <c r="D36715" s="1">
        <v>9.9554735375621795E-4</v>
      </c>
      <c r="E36715" s="1">
        <v>1.4861746646329501E-3</v>
      </c>
      <c r="F36715" s="1">
        <v>7.11318712268397E-4</v>
      </c>
    </row>
    <row r="36716" spans="1:6" x14ac:dyDescent="0.25">
      <c r="A36716" s="2" t="str">
        <f t="shared" si="1235"/>
        <v>99999</v>
      </c>
      <c r="B36716" s="2" t="str">
        <f>"59469"</f>
        <v>59469</v>
      </c>
      <c r="C36716" s="1">
        <v>7.6396711972827196E-6</v>
      </c>
      <c r="D36716" s="1">
        <v>6.0704106936354696E-6</v>
      </c>
      <c r="E36716" s="1">
        <v>4.3455399550671099E-6</v>
      </c>
      <c r="F36716" s="1">
        <v>7.4613850937244396E-6</v>
      </c>
    </row>
    <row r="36717" spans="1:6" x14ac:dyDescent="0.25">
      <c r="A36717" s="2" t="str">
        <f t="shared" si="1235"/>
        <v>99999</v>
      </c>
      <c r="B36717" s="2" t="str">
        <f>"59875"</f>
        <v>59875</v>
      </c>
      <c r="C36717" s="1">
        <v>1.8062365473575499E-4</v>
      </c>
      <c r="D36717" s="1">
        <v>2.2308759299110301E-4</v>
      </c>
      <c r="E36717" s="1">
        <v>2.6073239730402698E-4</v>
      </c>
      <c r="F36717" s="1">
        <v>1.85241320593532E-4</v>
      </c>
    </row>
    <row r="36718" spans="1:6" x14ac:dyDescent="0.25">
      <c r="A36718" s="2" t="str">
        <f t="shared" si="1235"/>
        <v>99999</v>
      </c>
      <c r="B36718" s="2" t="str">
        <f>"59864"</f>
        <v>59864</v>
      </c>
      <c r="C36718" s="1">
        <v>3.2970638124273002E-4</v>
      </c>
      <c r="D36718" s="1">
        <v>3.9002388706607899E-4</v>
      </c>
      <c r="E36718" s="1">
        <v>4.6931831514724801E-4</v>
      </c>
      <c r="F36718" s="1">
        <v>3.3685666569801301E-4</v>
      </c>
    </row>
    <row r="36719" spans="1:6" x14ac:dyDescent="0.25">
      <c r="A36719" s="2" t="str">
        <f t="shared" si="1235"/>
        <v>99999</v>
      </c>
      <c r="B36719" s="2" t="str">
        <f>"59745"</f>
        <v>59745</v>
      </c>
      <c r="C36719" s="1">
        <v>1.09138159961181E-7</v>
      </c>
      <c r="D36719" s="1">
        <v>0</v>
      </c>
      <c r="E36719" s="1">
        <v>4.3455399550671099E-6</v>
      </c>
      <c r="F36719" s="1">
        <v>1.9897026916598501E-7</v>
      </c>
    </row>
    <row r="36720" spans="1:6" x14ac:dyDescent="0.25">
      <c r="A36720" s="2" t="str">
        <f t="shared" si="1235"/>
        <v>99999</v>
      </c>
      <c r="B36720" s="2" t="str">
        <f>"59761"</f>
        <v>59761</v>
      </c>
      <c r="C36720" s="1">
        <v>2.5101776791071799E-6</v>
      </c>
      <c r="D36720" s="1">
        <v>0</v>
      </c>
      <c r="E36720" s="1">
        <v>8.69107991013423E-6</v>
      </c>
      <c r="F36720" s="1">
        <v>2.48712836457481E-6</v>
      </c>
    </row>
    <row r="36721" spans="1:6" x14ac:dyDescent="0.25">
      <c r="A36721" s="2" t="str">
        <f t="shared" si="1235"/>
        <v>99999</v>
      </c>
      <c r="B36721" s="2" t="str">
        <f>"59855"</f>
        <v>59855</v>
      </c>
      <c r="C36721" s="1">
        <v>2.1827631992236301E-7</v>
      </c>
      <c r="D36721" s="1">
        <v>0</v>
      </c>
      <c r="E36721" s="1">
        <v>4.3455399550671099E-6</v>
      </c>
      <c r="F36721" s="1">
        <v>2.9845540374897701E-7</v>
      </c>
    </row>
    <row r="36722" spans="1:6" x14ac:dyDescent="0.25">
      <c r="A36722" s="2" t="str">
        <f t="shared" si="1235"/>
        <v>99999</v>
      </c>
      <c r="B36722" s="2" t="str">
        <f>"59845"</f>
        <v>59845</v>
      </c>
      <c r="C36722" s="1">
        <v>2.5320053110994099E-5</v>
      </c>
      <c r="D36722" s="1">
        <v>2.1246437427724101E-5</v>
      </c>
      <c r="E36722" s="1">
        <v>4.7800939505738197E-5</v>
      </c>
      <c r="F36722" s="1">
        <v>2.55676795878291E-5</v>
      </c>
    </row>
    <row r="36723" spans="1:6" x14ac:dyDescent="0.25">
      <c r="A36723" s="2" t="str">
        <f t="shared" si="1235"/>
        <v>99999</v>
      </c>
      <c r="B36723" s="2" t="str">
        <f>"59821"</f>
        <v>59821</v>
      </c>
      <c r="C36723" s="1">
        <v>7.0394113174962204E-5</v>
      </c>
      <c r="D36723" s="1">
        <v>2.2764040101133E-5</v>
      </c>
      <c r="E36723" s="1">
        <v>6.5183099326006705E-5</v>
      </c>
      <c r="F36723" s="1">
        <v>6.7152465843520006E-5</v>
      </c>
    </row>
    <row r="36724" spans="1:6" x14ac:dyDescent="0.25">
      <c r="A36724" s="2" t="str">
        <f t="shared" si="1235"/>
        <v>99999</v>
      </c>
      <c r="B36724" s="2" t="str">
        <f>"59442"</f>
        <v>59442</v>
      </c>
      <c r="C36724" s="1">
        <v>5.4459941820629598E-5</v>
      </c>
      <c r="D36724" s="1">
        <v>7.5880133670443404E-6</v>
      </c>
      <c r="E36724" s="1">
        <v>1.3036619865201299E-5</v>
      </c>
      <c r="F36724" s="1">
        <v>5.0438963233577197E-5</v>
      </c>
    </row>
    <row r="36725" spans="1:6" x14ac:dyDescent="0.25">
      <c r="A36725" s="2" t="str">
        <f t="shared" si="1235"/>
        <v>99999</v>
      </c>
      <c r="B36725" s="2" t="str">
        <f>"59441"</f>
        <v>59441</v>
      </c>
      <c r="C36725" s="1">
        <v>6.8757040775544402E-6</v>
      </c>
      <c r="D36725" s="1">
        <v>7.5880133670443404E-6</v>
      </c>
      <c r="E36725" s="1">
        <v>0</v>
      </c>
      <c r="F36725" s="1">
        <v>6.7649891516434898E-6</v>
      </c>
    </row>
    <row r="36726" spans="1:6" x14ac:dyDescent="0.25">
      <c r="A36726" s="2" t="str">
        <f t="shared" si="1235"/>
        <v>99999</v>
      </c>
      <c r="B36726" s="2" t="str">
        <f>"59716"</f>
        <v>59716</v>
      </c>
      <c r="C36726" s="1">
        <v>1.09138159961181E-7</v>
      </c>
      <c r="D36726" s="1">
        <v>0</v>
      </c>
      <c r="E36726" s="1">
        <v>0</v>
      </c>
      <c r="F36726" s="1">
        <v>9.9485134582992598E-8</v>
      </c>
    </row>
    <row r="36727" spans="1:6" x14ac:dyDescent="0.25">
      <c r="A36727" s="2" t="str">
        <f t="shared" si="1235"/>
        <v>99999</v>
      </c>
      <c r="B36727" s="2" t="str">
        <f>"59724"</f>
        <v>59724</v>
      </c>
      <c r="C36727" s="1">
        <v>0</v>
      </c>
      <c r="D36727" s="1">
        <v>0</v>
      </c>
      <c r="E36727" s="1">
        <v>4.3455399550671099E-6</v>
      </c>
      <c r="F36727" s="1">
        <v>9.9485134582992598E-8</v>
      </c>
    </row>
    <row r="36728" spans="1:6" x14ac:dyDescent="0.25">
      <c r="A36728" s="2" t="str">
        <f t="shared" si="1235"/>
        <v>99999</v>
      </c>
      <c r="B36728" s="2" t="str">
        <f>"59720"</f>
        <v>59720</v>
      </c>
      <c r="C36728" s="1">
        <v>4.2236467904977303E-5</v>
      </c>
      <c r="D36728" s="1">
        <v>1.5176026734088599E-5</v>
      </c>
      <c r="E36728" s="1">
        <v>3.47643196405369E-5</v>
      </c>
      <c r="F36728" s="1">
        <v>4.0291479506111999E-5</v>
      </c>
    </row>
    <row r="36729" spans="1:6" x14ac:dyDescent="0.25">
      <c r="A36729" s="2" t="str">
        <f t="shared" si="1235"/>
        <v>99999</v>
      </c>
      <c r="B36729" s="2" t="str">
        <f>"59263"</f>
        <v>59263</v>
      </c>
      <c r="C36729" s="1">
        <v>1.0040710716428699E-5</v>
      </c>
      <c r="D36729" s="1">
        <v>3.0352053468177301E-6</v>
      </c>
      <c r="E36729" s="1">
        <v>2.1727699775335501E-5</v>
      </c>
      <c r="F36729" s="1">
        <v>9.8490283237162701E-6</v>
      </c>
    </row>
    <row r="36730" spans="1:6" x14ac:dyDescent="0.25">
      <c r="A36730" s="2" t="str">
        <f t="shared" si="1235"/>
        <v>99999</v>
      </c>
      <c r="B36730" s="2" t="str">
        <f>"59316"</f>
        <v>59316</v>
      </c>
      <c r="C36730" s="1">
        <v>1.3096579195341799E-6</v>
      </c>
      <c r="D36730" s="1">
        <v>0</v>
      </c>
      <c r="E36730" s="1">
        <v>4.3455399550671099E-6</v>
      </c>
      <c r="F36730" s="1">
        <v>1.2933067495789E-6</v>
      </c>
    </row>
    <row r="36731" spans="1:6" x14ac:dyDescent="0.25">
      <c r="A36731" s="2" t="str">
        <f t="shared" si="1235"/>
        <v>99999</v>
      </c>
      <c r="B36731" s="2" t="str">
        <f>"59243"</f>
        <v>59243</v>
      </c>
      <c r="C36731" s="1">
        <v>8.9493291168169008E-6</v>
      </c>
      <c r="D36731" s="1">
        <v>3.0352053468177301E-6</v>
      </c>
      <c r="E36731" s="1">
        <v>4.3455399550671099E-6</v>
      </c>
      <c r="F36731" s="1">
        <v>8.4562364395543705E-6</v>
      </c>
    </row>
    <row r="36732" spans="1:6" x14ac:dyDescent="0.25">
      <c r="A36732" s="2" t="str">
        <f t="shared" si="1235"/>
        <v>99999</v>
      </c>
      <c r="B36732" s="2" t="str">
        <f>"59311"</f>
        <v>59311</v>
      </c>
      <c r="C36732" s="1">
        <v>7.0939803974768102E-6</v>
      </c>
      <c r="D36732" s="1">
        <v>7.5880133670443404E-6</v>
      </c>
      <c r="E36732" s="1">
        <v>6.0837559370939603E-5</v>
      </c>
      <c r="F36732" s="1">
        <v>8.3567513049713805E-6</v>
      </c>
    </row>
    <row r="36733" spans="1:6" x14ac:dyDescent="0.25">
      <c r="A36733" s="2" t="str">
        <f t="shared" si="1235"/>
        <v>99999</v>
      </c>
      <c r="B36733" s="2" t="str">
        <f>"59226"</f>
        <v>59226</v>
      </c>
      <c r="C36733" s="1">
        <v>1.60433095142937E-5</v>
      </c>
      <c r="D36733" s="1">
        <v>1.51760267340886E-6</v>
      </c>
      <c r="E36733" s="1">
        <v>4.3455399550671099E-6</v>
      </c>
      <c r="F36733" s="1">
        <v>1.4823285052865899E-5</v>
      </c>
    </row>
    <row r="36734" spans="1:6" x14ac:dyDescent="0.25">
      <c r="A36734" s="2" t="str">
        <f t="shared" si="1235"/>
        <v>99999</v>
      </c>
      <c r="B36734" s="2" t="str">
        <f>"59222"</f>
        <v>59222</v>
      </c>
      <c r="C36734" s="1">
        <v>1.12412304760017E-5</v>
      </c>
      <c r="D36734" s="1">
        <v>1.0623218713862E-5</v>
      </c>
      <c r="E36734" s="1">
        <v>4.3455399550671099E-6</v>
      </c>
      <c r="F36734" s="1">
        <v>1.10428499387121E-5</v>
      </c>
    </row>
    <row r="36735" spans="1:6" x14ac:dyDescent="0.25">
      <c r="A36735" s="2" t="str">
        <f t="shared" si="1235"/>
        <v>99999</v>
      </c>
      <c r="B36735" s="2" t="str">
        <f>"59221"</f>
        <v>59221</v>
      </c>
      <c r="C36735" s="1">
        <v>6.7010830216165506E-5</v>
      </c>
      <c r="D36735" s="1">
        <v>7.2844928323625703E-5</v>
      </c>
      <c r="E36735" s="1">
        <v>3.47643196405369E-5</v>
      </c>
      <c r="F36735" s="1">
        <v>6.6655040170605006E-5</v>
      </c>
    </row>
    <row r="36736" spans="1:6" x14ac:dyDescent="0.25">
      <c r="A36736" s="2" t="str">
        <f t="shared" si="1235"/>
        <v>99999</v>
      </c>
      <c r="B36736" s="2" t="str">
        <f>"58564"</f>
        <v>58564</v>
      </c>
      <c r="C36736" s="1">
        <v>6.3300132777485401E-6</v>
      </c>
      <c r="D36736" s="1">
        <v>4.5528080202265997E-6</v>
      </c>
      <c r="E36736" s="1">
        <v>4.3455399550671099E-6</v>
      </c>
      <c r="F36736" s="1">
        <v>6.1680783441455402E-6</v>
      </c>
    </row>
    <row r="36737" spans="1:6" x14ac:dyDescent="0.25">
      <c r="A36737" s="2" t="str">
        <f t="shared" si="1235"/>
        <v>99999</v>
      </c>
      <c r="B36737" s="2" t="str">
        <f>"58580"</f>
        <v>58580</v>
      </c>
      <c r="C36737" s="1">
        <v>1.9754006952973801E-5</v>
      </c>
      <c r="D36737" s="1">
        <v>7.5880133670443404E-6</v>
      </c>
      <c r="E36737" s="1">
        <v>2.60732397304027E-5</v>
      </c>
      <c r="F36737" s="1">
        <v>1.9101145839934498E-5</v>
      </c>
    </row>
    <row r="36738" spans="1:6" x14ac:dyDescent="0.25">
      <c r="A36738" s="2" t="str">
        <f t="shared" si="1235"/>
        <v>99999</v>
      </c>
      <c r="B36738" s="2" t="str">
        <f>"58549"</f>
        <v>58549</v>
      </c>
      <c r="C36738" s="1">
        <v>1.22234739156523E-5</v>
      </c>
      <c r="D36738" s="1">
        <v>4.5528080202265997E-6</v>
      </c>
      <c r="E36738" s="1">
        <v>4.3455399550671099E-6</v>
      </c>
      <c r="F36738" s="1">
        <v>1.1540275611627099E-5</v>
      </c>
    </row>
    <row r="36739" spans="1:6" x14ac:dyDescent="0.25">
      <c r="A36739" s="2" t="str">
        <f t="shared" si="1235"/>
        <v>99999</v>
      </c>
      <c r="B36739" s="2" t="str">
        <f>"58562"</f>
        <v>58562</v>
      </c>
      <c r="C36739" s="1">
        <v>2.58657439108E-5</v>
      </c>
      <c r="D36739" s="1">
        <v>4.5528080202265997E-6</v>
      </c>
      <c r="E36739" s="1">
        <v>3.9109859595604001E-5</v>
      </c>
      <c r="F36739" s="1">
        <v>2.4771798511165099E-5</v>
      </c>
    </row>
    <row r="36740" spans="1:6" x14ac:dyDescent="0.25">
      <c r="A36740" s="2" t="str">
        <f t="shared" si="1235"/>
        <v>99999</v>
      </c>
      <c r="B36740" s="2" t="str">
        <f>"58561"</f>
        <v>58561</v>
      </c>
      <c r="C36740" s="1">
        <v>5.5223908940357899E-5</v>
      </c>
      <c r="D36740" s="1">
        <v>6.6774517629990203E-5</v>
      </c>
      <c r="E36740" s="1">
        <v>7.3874179236140894E-5</v>
      </c>
      <c r="F36740" s="1">
        <v>5.6408071308556803E-5</v>
      </c>
    </row>
    <row r="36741" spans="1:6" x14ac:dyDescent="0.25">
      <c r="A36741" s="2" t="str">
        <f t="shared" si="1235"/>
        <v>99999</v>
      </c>
      <c r="B36741" s="2" t="str">
        <f>"58552"</f>
        <v>58552</v>
      </c>
      <c r="C36741" s="1">
        <v>1.1426765347935699E-4</v>
      </c>
      <c r="D36741" s="1">
        <v>5.4633696242719298E-5</v>
      </c>
      <c r="E36741" s="1">
        <v>1.8685821806788599E-4</v>
      </c>
      <c r="F36741" s="1">
        <v>1.1202026154044899E-4</v>
      </c>
    </row>
    <row r="36742" spans="1:6" x14ac:dyDescent="0.25">
      <c r="A36742" s="2" t="str">
        <f t="shared" si="1235"/>
        <v>99999</v>
      </c>
      <c r="B36742" s="2" t="str">
        <f>"58833"</f>
        <v>58833</v>
      </c>
      <c r="C36742" s="1">
        <v>3.8198355986413598E-6</v>
      </c>
      <c r="D36742" s="1">
        <v>7.5880133670443404E-6</v>
      </c>
      <c r="E36742" s="1">
        <v>4.3455399550671099E-6</v>
      </c>
      <c r="F36742" s="1">
        <v>4.07889051790269E-6</v>
      </c>
    </row>
    <row r="36743" spans="1:6" x14ac:dyDescent="0.25">
      <c r="A36743" s="2" t="str">
        <f t="shared" si="1235"/>
        <v>99999</v>
      </c>
      <c r="B36743" s="2" t="str">
        <f>"58765"</f>
        <v>58765</v>
      </c>
      <c r="C36743" s="1">
        <v>1.28783028754194E-5</v>
      </c>
      <c r="D36743" s="1">
        <v>7.5880133670443404E-6</v>
      </c>
      <c r="E36743" s="1">
        <v>1.3036619865201299E-5</v>
      </c>
      <c r="F36743" s="1">
        <v>1.2535126957457E-5</v>
      </c>
    </row>
    <row r="36744" spans="1:6" x14ac:dyDescent="0.25">
      <c r="A36744" s="2" t="str">
        <f t="shared" si="1235"/>
        <v>99999</v>
      </c>
      <c r="B36744" s="2" t="str">
        <f>"58795"</f>
        <v>58795</v>
      </c>
      <c r="C36744" s="1">
        <v>3.9289737586025402E-6</v>
      </c>
      <c r="D36744" s="1">
        <v>0</v>
      </c>
      <c r="E36744" s="1">
        <v>0</v>
      </c>
      <c r="F36744" s="1">
        <v>3.5814648449877301E-6</v>
      </c>
    </row>
    <row r="36745" spans="1:6" x14ac:dyDescent="0.25">
      <c r="A36745" s="2" t="str">
        <f t="shared" si="1235"/>
        <v>99999</v>
      </c>
      <c r="B36745" s="2" t="str">
        <f>"58770"</f>
        <v>58770</v>
      </c>
      <c r="C36745" s="1">
        <v>4.6929408783308097E-5</v>
      </c>
      <c r="D36745" s="1">
        <v>2.1246437427724101E-5</v>
      </c>
      <c r="E36745" s="1">
        <v>8.69107991013423E-5</v>
      </c>
      <c r="F36745" s="1">
        <v>4.6161102446508498E-5</v>
      </c>
    </row>
    <row r="36746" spans="1:6" x14ac:dyDescent="0.25">
      <c r="A36746" s="2" t="str">
        <f t="shared" si="1235"/>
        <v>99999</v>
      </c>
      <c r="B36746" s="2" t="str">
        <f>"58762"</f>
        <v>58762</v>
      </c>
      <c r="C36746" s="1">
        <v>1.01498488763899E-5</v>
      </c>
      <c r="D36746" s="1">
        <v>1.21408213872709E-5</v>
      </c>
      <c r="E36746" s="1">
        <v>4.3455399550671099E-6</v>
      </c>
      <c r="F36746" s="1">
        <v>1.01474837274652E-5</v>
      </c>
    </row>
    <row r="36747" spans="1:6" x14ac:dyDescent="0.25">
      <c r="A36747" s="2" t="str">
        <f t="shared" si="1235"/>
        <v>99999</v>
      </c>
      <c r="B36747" s="2" t="str">
        <f>"59065"</f>
        <v>59065</v>
      </c>
      <c r="C36747" s="1">
        <v>1.01498488763899E-5</v>
      </c>
      <c r="D36747" s="1">
        <v>3.0352053468177301E-6</v>
      </c>
      <c r="E36747" s="1">
        <v>4.3455399550671099E-6</v>
      </c>
      <c r="F36747" s="1">
        <v>9.5505729199672898E-6</v>
      </c>
    </row>
    <row r="36748" spans="1:6" x14ac:dyDescent="0.25">
      <c r="A36748" s="2" t="str">
        <f t="shared" si="1235"/>
        <v>99999</v>
      </c>
      <c r="B36748" s="2" t="str">
        <f>"59022"</f>
        <v>59022</v>
      </c>
      <c r="C36748" s="1">
        <v>4.4746645584084504E-6</v>
      </c>
      <c r="D36748" s="1">
        <v>1.9728834754315301E-5</v>
      </c>
      <c r="E36748" s="1">
        <v>4.3455399550671099E-6</v>
      </c>
      <c r="F36748" s="1">
        <v>5.4716824020645896E-6</v>
      </c>
    </row>
    <row r="36749" spans="1:6" x14ac:dyDescent="0.25">
      <c r="A36749" s="2" t="str">
        <f t="shared" si="1235"/>
        <v>99999</v>
      </c>
      <c r="B36749" s="2" t="str">
        <f>"59031"</f>
        <v>59031</v>
      </c>
      <c r="C36749" s="1">
        <v>6.5482895976708995E-7</v>
      </c>
      <c r="D36749" s="1">
        <v>0</v>
      </c>
      <c r="E36749" s="1">
        <v>4.3455399550671099E-6</v>
      </c>
      <c r="F36749" s="1">
        <v>6.9639594208094799E-7</v>
      </c>
    </row>
    <row r="36750" spans="1:6" x14ac:dyDescent="0.25">
      <c r="A36750" s="2" t="str">
        <f t="shared" si="1235"/>
        <v>99999</v>
      </c>
      <c r="B36750" s="2" t="str">
        <f>"59027"</f>
        <v>59027</v>
      </c>
      <c r="C36750" s="1">
        <v>3.5688178307306401E-5</v>
      </c>
      <c r="D36750" s="1">
        <v>6.0704106936354696E-6</v>
      </c>
      <c r="E36750" s="1">
        <v>3.0418779685469802E-5</v>
      </c>
      <c r="F36750" s="1">
        <v>3.3625975489051499E-5</v>
      </c>
    </row>
    <row r="36751" spans="1:6" x14ac:dyDescent="0.25">
      <c r="A36751" s="2" t="str">
        <f t="shared" si="1235"/>
        <v>99999</v>
      </c>
      <c r="B36751" s="2" t="str">
        <f>"59074"</f>
        <v>59074</v>
      </c>
      <c r="C36751" s="1">
        <v>2.3682980711576399E-5</v>
      </c>
      <c r="D36751" s="1">
        <v>6.0704106936354696E-6</v>
      </c>
      <c r="E36751" s="1">
        <v>4.3455399550671099E-6</v>
      </c>
      <c r="F36751" s="1">
        <v>2.2085699877424301E-5</v>
      </c>
    </row>
    <row r="36752" spans="1:6" x14ac:dyDescent="0.25">
      <c r="A36752" s="2" t="str">
        <f t="shared" si="1235"/>
        <v>99999</v>
      </c>
      <c r="B36752" s="2" t="str">
        <f>"59025"</f>
        <v>59025</v>
      </c>
      <c r="C36752" s="1">
        <v>5.8934606379038102E-6</v>
      </c>
      <c r="D36752" s="1">
        <v>6.0704106936354696E-6</v>
      </c>
      <c r="E36752" s="1">
        <v>4.3455399550671099E-6</v>
      </c>
      <c r="F36752" s="1">
        <v>5.86962294039656E-6</v>
      </c>
    </row>
    <row r="36753" spans="1:6" x14ac:dyDescent="0.25">
      <c r="A36753" s="2" t="str">
        <f t="shared" si="1235"/>
        <v>99999</v>
      </c>
      <c r="B36753" s="2" t="str">
        <f>"59033"</f>
        <v>59033</v>
      </c>
      <c r="C36753" s="1">
        <v>1.4187960794953601E-6</v>
      </c>
      <c r="D36753" s="1">
        <v>0</v>
      </c>
      <c r="E36753" s="1">
        <v>4.3455399550671099E-6</v>
      </c>
      <c r="F36753" s="1">
        <v>1.39279188416189E-6</v>
      </c>
    </row>
    <row r="36754" spans="1:6" x14ac:dyDescent="0.25">
      <c r="A36754" s="2" t="str">
        <f t="shared" ref="A36754:A36817" si="1236">"99999"</f>
        <v>99999</v>
      </c>
      <c r="B36754" s="2" t="str">
        <f>"59087"</f>
        <v>59087</v>
      </c>
      <c r="C36754" s="1">
        <v>1.0804677836156901E-5</v>
      </c>
      <c r="D36754" s="1">
        <v>0</v>
      </c>
      <c r="E36754" s="1">
        <v>4.3455399550671099E-6</v>
      </c>
      <c r="F36754" s="1">
        <v>9.9485134582992602E-6</v>
      </c>
    </row>
    <row r="36755" spans="1:6" x14ac:dyDescent="0.25">
      <c r="A36755" s="2" t="str">
        <f t="shared" si="1236"/>
        <v>99999</v>
      </c>
      <c r="B36755" s="2" t="str">
        <f>"59052"</f>
        <v>59052</v>
      </c>
      <c r="C36755" s="1">
        <v>1.7789520073672599E-5</v>
      </c>
      <c r="D36755" s="1">
        <v>0</v>
      </c>
      <c r="E36755" s="1">
        <v>8.69107991013423E-6</v>
      </c>
      <c r="F36755" s="1">
        <v>1.6415047206193701E-5</v>
      </c>
    </row>
    <row r="36756" spans="1:6" x14ac:dyDescent="0.25">
      <c r="A36756" s="2" t="str">
        <f t="shared" si="1236"/>
        <v>99999</v>
      </c>
      <c r="B36756" s="2" t="str">
        <f>"59036"</f>
        <v>59036</v>
      </c>
      <c r="C36756" s="1">
        <v>8.7092251649023003E-5</v>
      </c>
      <c r="D36756" s="1">
        <v>7.5880133670443404E-6</v>
      </c>
      <c r="E36756" s="1">
        <v>1.30366198652013E-4</v>
      </c>
      <c r="F36756" s="1">
        <v>8.2871117107632795E-5</v>
      </c>
    </row>
    <row r="36757" spans="1:6" x14ac:dyDescent="0.25">
      <c r="A36757" s="2" t="str">
        <f t="shared" si="1236"/>
        <v>99999</v>
      </c>
      <c r="B36757" s="2" t="str">
        <f>"58365"</f>
        <v>58365</v>
      </c>
      <c r="C36757" s="1">
        <v>9.71329623654517E-6</v>
      </c>
      <c r="D36757" s="1">
        <v>4.5528080202265997E-6</v>
      </c>
      <c r="E36757" s="1">
        <v>1.3036619865201299E-5</v>
      </c>
      <c r="F36757" s="1">
        <v>9.4510877853842998E-6</v>
      </c>
    </row>
    <row r="36758" spans="1:6" x14ac:dyDescent="0.25">
      <c r="A36758" s="2" t="str">
        <f t="shared" si="1236"/>
        <v>99999</v>
      </c>
      <c r="B36758" s="2" t="str">
        <f>"58357"</f>
        <v>58357</v>
      </c>
      <c r="C36758" s="1">
        <v>1.2441750235574699E-5</v>
      </c>
      <c r="D36758" s="1">
        <v>1.51760267340886E-6</v>
      </c>
      <c r="E36758" s="1">
        <v>2.1727699775335501E-5</v>
      </c>
      <c r="F36758" s="1">
        <v>1.19382161499591E-5</v>
      </c>
    </row>
    <row r="36759" spans="1:6" x14ac:dyDescent="0.25">
      <c r="A36759" s="2" t="str">
        <f t="shared" si="1236"/>
        <v>99999</v>
      </c>
      <c r="B36759" s="2" t="str">
        <f>"58351"</f>
        <v>58351</v>
      </c>
      <c r="C36759" s="1">
        <v>2.3246428071731702E-5</v>
      </c>
      <c r="D36759" s="1">
        <v>1.21408213872709E-5</v>
      </c>
      <c r="E36759" s="1">
        <v>1.3036619865201299E-5</v>
      </c>
      <c r="F36759" s="1">
        <v>2.2284670146590302E-5</v>
      </c>
    </row>
    <row r="36760" spans="1:6" x14ac:dyDescent="0.25">
      <c r="A36760" s="2" t="str">
        <f t="shared" si="1236"/>
        <v>99999</v>
      </c>
      <c r="B36760" s="2" t="str">
        <f>"58479"</f>
        <v>58479</v>
      </c>
      <c r="C36760" s="1">
        <v>1.65890003140996E-5</v>
      </c>
      <c r="D36760" s="1">
        <v>9.1056160404532095E-6</v>
      </c>
      <c r="E36760" s="1">
        <v>4.3455399550671099E-6</v>
      </c>
      <c r="F36760" s="1">
        <v>1.5818136398695801E-5</v>
      </c>
    </row>
    <row r="36761" spans="1:6" x14ac:dyDescent="0.25">
      <c r="A36761" s="2" t="str">
        <f t="shared" si="1236"/>
        <v>99999</v>
      </c>
      <c r="B36761" s="2" t="str">
        <f>"58463"</f>
        <v>58463</v>
      </c>
      <c r="C36761" s="1">
        <v>3.2414033508470899E-5</v>
      </c>
      <c r="D36761" s="1">
        <v>1.9728834754315301E-5</v>
      </c>
      <c r="E36761" s="1">
        <v>4.3455399550671103E-5</v>
      </c>
      <c r="F36761" s="1">
        <v>3.18352430665576E-5</v>
      </c>
    </row>
    <row r="36762" spans="1:6" x14ac:dyDescent="0.25">
      <c r="A36762" s="2" t="str">
        <f t="shared" si="1236"/>
        <v>99999</v>
      </c>
      <c r="B36762" s="2" t="str">
        <f>"58455"</f>
        <v>58455</v>
      </c>
      <c r="C36762" s="1">
        <v>3.7106974386801701E-6</v>
      </c>
      <c r="D36762" s="1">
        <v>1.51760267340886E-6</v>
      </c>
      <c r="E36762" s="1">
        <v>0</v>
      </c>
      <c r="F36762" s="1">
        <v>3.48197971040474E-6</v>
      </c>
    </row>
    <row r="36763" spans="1:6" x14ac:dyDescent="0.25">
      <c r="A36763" s="2" t="str">
        <f t="shared" si="1236"/>
        <v>99999</v>
      </c>
      <c r="B36763" s="2" t="str">
        <f>"58439"</f>
        <v>58439</v>
      </c>
      <c r="C36763" s="1">
        <v>1.1132092316040499E-5</v>
      </c>
      <c r="D36763" s="1">
        <v>6.0704106936354696E-6</v>
      </c>
      <c r="E36763" s="1">
        <v>4.3455399550671099E-6</v>
      </c>
      <c r="F36763" s="1">
        <v>1.0644909400380201E-5</v>
      </c>
    </row>
    <row r="36764" spans="1:6" x14ac:dyDescent="0.25">
      <c r="A36764" s="2" t="str">
        <f t="shared" si="1236"/>
        <v>99999</v>
      </c>
      <c r="B36764" s="2" t="str">
        <f>"58431"</f>
        <v>58431</v>
      </c>
      <c r="C36764" s="1">
        <v>8.2945001570498102E-6</v>
      </c>
      <c r="D36764" s="1">
        <v>4.5528080202265997E-6</v>
      </c>
      <c r="E36764" s="1">
        <v>4.3455399550671099E-6</v>
      </c>
      <c r="F36764" s="1">
        <v>7.9588107666394102E-6</v>
      </c>
    </row>
    <row r="36765" spans="1:6" x14ac:dyDescent="0.25">
      <c r="A36765" s="2" t="str">
        <f t="shared" si="1236"/>
        <v>99999</v>
      </c>
      <c r="B36765" s="2" t="str">
        <f>"58425"</f>
        <v>58425</v>
      </c>
      <c r="C36765" s="1">
        <v>7.0394113174962204E-5</v>
      </c>
      <c r="D36765" s="1">
        <v>4.7045682875674899E-5</v>
      </c>
      <c r="E36765" s="1">
        <v>2.5204131739389198E-4</v>
      </c>
      <c r="F36765" s="1">
        <v>7.3022088783916505E-5</v>
      </c>
    </row>
    <row r="36766" spans="1:6" x14ac:dyDescent="0.25">
      <c r="A36766" s="2" t="str">
        <f t="shared" si="1236"/>
        <v>99999</v>
      </c>
      <c r="B36766" s="2" t="str">
        <f>"58418"</f>
        <v>58418</v>
      </c>
      <c r="C36766" s="1">
        <v>1.7898658233633802E-5</v>
      </c>
      <c r="D36766" s="1">
        <v>4.5528080202265997E-6</v>
      </c>
      <c r="E36766" s="1">
        <v>4.3455399550671099E-6</v>
      </c>
      <c r="F36766" s="1">
        <v>1.67135026099427E-5</v>
      </c>
    </row>
    <row r="36767" spans="1:6" x14ac:dyDescent="0.25">
      <c r="A36767" s="2" t="str">
        <f t="shared" si="1236"/>
        <v>99999</v>
      </c>
      <c r="B36767" s="2" t="str">
        <f>"58381"</f>
        <v>58381</v>
      </c>
      <c r="C36767" s="1">
        <v>1.9644868793012701E-5</v>
      </c>
      <c r="D36767" s="1">
        <v>1.3658424060679801E-5</v>
      </c>
      <c r="E36767" s="1">
        <v>4.3455399550671099E-6</v>
      </c>
      <c r="F36767" s="1">
        <v>1.89021755707686E-5</v>
      </c>
    </row>
    <row r="36768" spans="1:6" x14ac:dyDescent="0.25">
      <c r="A36768" s="2" t="str">
        <f t="shared" si="1236"/>
        <v>99999</v>
      </c>
      <c r="B36768" s="2" t="str">
        <f>"58372"</f>
        <v>58372</v>
      </c>
      <c r="C36768" s="1">
        <v>4.9112171982531701E-6</v>
      </c>
      <c r="D36768" s="1">
        <v>1.51760267340886E-6</v>
      </c>
      <c r="E36768" s="1">
        <v>4.3455399550671099E-6</v>
      </c>
      <c r="F36768" s="1">
        <v>4.6758013254006498E-6</v>
      </c>
    </row>
    <row r="36769" spans="1:6" x14ac:dyDescent="0.25">
      <c r="A36769" s="2" t="str">
        <f t="shared" si="1236"/>
        <v>99999</v>
      </c>
      <c r="B36769" s="2" t="str">
        <f>"58634"</f>
        <v>58634</v>
      </c>
      <c r="C36769" s="1">
        <v>1.30965791953418E-5</v>
      </c>
      <c r="D36769" s="1">
        <v>1.51760267340886E-6</v>
      </c>
      <c r="E36769" s="1">
        <v>1.3036619865201299E-5</v>
      </c>
      <c r="F36769" s="1">
        <v>1.2336156688290999E-5</v>
      </c>
    </row>
    <row r="36770" spans="1:6" x14ac:dyDescent="0.25">
      <c r="A36770" s="2" t="str">
        <f t="shared" si="1236"/>
        <v>99999</v>
      </c>
      <c r="B36770" s="2" t="str">
        <f>"58653"</f>
        <v>58653</v>
      </c>
      <c r="C36770" s="1">
        <v>4.24547442248996E-5</v>
      </c>
      <c r="D36770" s="1">
        <v>1.21408213872709E-5</v>
      </c>
      <c r="E36770" s="1">
        <v>2.60732397304027E-5</v>
      </c>
      <c r="F36770" s="1">
        <v>4.0092509236946002E-5</v>
      </c>
    </row>
    <row r="36771" spans="1:6" x14ac:dyDescent="0.25">
      <c r="A36771" s="2" t="str">
        <f t="shared" si="1236"/>
        <v>99999</v>
      </c>
      <c r="B36771" s="2" t="str">
        <f>"58636"</f>
        <v>58636</v>
      </c>
      <c r="C36771" s="1">
        <v>3.4160244067849798E-5</v>
      </c>
      <c r="D36771" s="1">
        <v>3.1869656141586203E-5</v>
      </c>
      <c r="E36771" s="1">
        <v>8.2565259146275205E-5</v>
      </c>
      <c r="F36771" s="1">
        <v>3.5118252507796402E-5</v>
      </c>
    </row>
    <row r="36772" spans="1:6" x14ac:dyDescent="0.25">
      <c r="A36772" s="2" t="str">
        <f t="shared" si="1236"/>
        <v>99999</v>
      </c>
      <c r="B36772" s="2" t="str">
        <f>"58323"</f>
        <v>58323</v>
      </c>
      <c r="C36772" s="1">
        <v>3.3832829587966299E-6</v>
      </c>
      <c r="D36772" s="1">
        <v>4.5528080202265997E-6</v>
      </c>
      <c r="E36772" s="1">
        <v>4.3455399550671099E-6</v>
      </c>
      <c r="F36772" s="1">
        <v>3.48197971040474E-6</v>
      </c>
    </row>
    <row r="36773" spans="1:6" x14ac:dyDescent="0.25">
      <c r="A36773" s="2" t="str">
        <f t="shared" si="1236"/>
        <v>99999</v>
      </c>
      <c r="B36773" s="2" t="str">
        <f>"58255"</f>
        <v>58255</v>
      </c>
      <c r="C36773" s="1">
        <v>4.3655263984472602E-7</v>
      </c>
      <c r="D36773" s="1">
        <v>1.51760267340886E-6</v>
      </c>
      <c r="E36773" s="1">
        <v>4.3455399550671099E-6</v>
      </c>
      <c r="F36773" s="1">
        <v>5.9691080749795498E-7</v>
      </c>
    </row>
    <row r="36774" spans="1:6" x14ac:dyDescent="0.25">
      <c r="A36774" s="2" t="str">
        <f t="shared" si="1236"/>
        <v>99999</v>
      </c>
      <c r="B36774" s="2" t="str">
        <f>"58317"</f>
        <v>58317</v>
      </c>
      <c r="C36774" s="1">
        <v>1.04772633562734E-5</v>
      </c>
      <c r="D36774" s="1">
        <v>1.51760267340886E-6</v>
      </c>
      <c r="E36774" s="1">
        <v>3.0418779685469802E-5</v>
      </c>
      <c r="F36774" s="1">
        <v>1.03464539966312E-5</v>
      </c>
    </row>
    <row r="36775" spans="1:6" x14ac:dyDescent="0.25">
      <c r="A36775" s="2" t="str">
        <f t="shared" si="1236"/>
        <v>99999</v>
      </c>
      <c r="B36775" s="2" t="str">
        <f>"58311"</f>
        <v>58311</v>
      </c>
      <c r="C36775" s="1">
        <v>5.0203553582143598E-6</v>
      </c>
      <c r="D36775" s="1">
        <v>1.51760267340886E-6</v>
      </c>
      <c r="E36775" s="1">
        <v>4.3455399550671099E-6</v>
      </c>
      <c r="F36775" s="1">
        <v>4.7752864599836398E-6</v>
      </c>
    </row>
    <row r="36776" spans="1:6" x14ac:dyDescent="0.25">
      <c r="A36776" s="2" t="str">
        <f t="shared" si="1236"/>
        <v>99999</v>
      </c>
      <c r="B36776" s="2" t="str">
        <f>"58276"</f>
        <v>58276</v>
      </c>
      <c r="C36776" s="1">
        <v>1.9863145112935E-5</v>
      </c>
      <c r="D36776" s="1">
        <v>6.0704106936354696E-6</v>
      </c>
      <c r="E36776" s="1">
        <v>1.3036619865201299E-5</v>
      </c>
      <c r="F36776" s="1">
        <v>1.8802690436185601E-5</v>
      </c>
    </row>
    <row r="36777" spans="1:6" x14ac:dyDescent="0.25">
      <c r="A36777" s="2" t="str">
        <f t="shared" si="1236"/>
        <v>99999</v>
      </c>
      <c r="B36777" s="2" t="str">
        <f>"58250"</f>
        <v>58250</v>
      </c>
      <c r="C36777" s="1">
        <v>1.3751408155108801E-5</v>
      </c>
      <c r="D36777" s="1">
        <v>1.51760267340886E-6</v>
      </c>
      <c r="E36777" s="1">
        <v>4.3455399550671099E-6</v>
      </c>
      <c r="F36777" s="1">
        <v>1.2734097226623E-5</v>
      </c>
    </row>
    <row r="36778" spans="1:6" x14ac:dyDescent="0.25">
      <c r="A36778" s="2" t="str">
        <f t="shared" si="1236"/>
        <v>99999</v>
      </c>
      <c r="B36778" s="2" t="str">
        <f>"58222"</f>
        <v>58222</v>
      </c>
      <c r="C36778" s="1">
        <v>1.2441750235574699E-5</v>
      </c>
      <c r="D36778" s="1">
        <v>7.5880133670443404E-6</v>
      </c>
      <c r="E36778" s="1">
        <v>4.3455399550671099E-6</v>
      </c>
      <c r="F36778" s="1">
        <v>1.19382161499591E-5</v>
      </c>
    </row>
    <row r="36779" spans="1:6" x14ac:dyDescent="0.25">
      <c r="A36779" s="2" t="str">
        <f t="shared" si="1236"/>
        <v>99999</v>
      </c>
      <c r="B36779" s="2" t="str">
        <f>"58345"</f>
        <v>58345</v>
      </c>
      <c r="C36779" s="1">
        <v>8.5127764769721692E-6</v>
      </c>
      <c r="D36779" s="1">
        <v>3.0352053468177301E-6</v>
      </c>
      <c r="E36779" s="1">
        <v>4.3455399550671099E-6</v>
      </c>
      <c r="F36779" s="1">
        <v>8.0582959012224002E-6</v>
      </c>
    </row>
    <row r="36780" spans="1:6" x14ac:dyDescent="0.25">
      <c r="A36780" s="2" t="str">
        <f t="shared" si="1236"/>
        <v>99999</v>
      </c>
      <c r="B36780" s="2" t="str">
        <f>"58269"</f>
        <v>58269</v>
      </c>
      <c r="C36780" s="1">
        <v>5.7843224779426299E-6</v>
      </c>
      <c r="D36780" s="1">
        <v>7.5880133670443404E-6</v>
      </c>
      <c r="E36780" s="1">
        <v>4.3455399550671099E-6</v>
      </c>
      <c r="F36780" s="1">
        <v>5.86962294039656E-6</v>
      </c>
    </row>
    <row r="36781" spans="1:6" x14ac:dyDescent="0.25">
      <c r="A36781" s="2" t="str">
        <f t="shared" si="1236"/>
        <v>99999</v>
      </c>
      <c r="B36781" s="2" t="str">
        <f>"58331"</f>
        <v>58331</v>
      </c>
      <c r="C36781" s="1">
        <v>5.5660461580202599E-6</v>
      </c>
      <c r="D36781" s="1">
        <v>1.51760267340886E-6</v>
      </c>
      <c r="E36781" s="1">
        <v>4.3455399550671099E-6</v>
      </c>
      <c r="F36781" s="1">
        <v>5.2727121328986002E-6</v>
      </c>
    </row>
    <row r="36782" spans="1:6" x14ac:dyDescent="0.25">
      <c r="A36782" s="2" t="str">
        <f t="shared" si="1236"/>
        <v>99999</v>
      </c>
      <c r="B36782" s="2" t="str">
        <f>"58275"</f>
        <v>58275</v>
      </c>
      <c r="C36782" s="1">
        <v>1.54976187144878E-5</v>
      </c>
      <c r="D36782" s="1">
        <v>0</v>
      </c>
      <c r="E36782" s="1">
        <v>8.69107991013423E-6</v>
      </c>
      <c r="F36782" s="1">
        <v>1.43258593799509E-5</v>
      </c>
    </row>
    <row r="36783" spans="1:6" x14ac:dyDescent="0.25">
      <c r="A36783" s="2" t="str">
        <f t="shared" si="1236"/>
        <v>99999</v>
      </c>
      <c r="B36783" s="2" t="str">
        <f>"58231"</f>
        <v>58231</v>
      </c>
      <c r="C36783" s="1">
        <v>1.8990039833245598E-5</v>
      </c>
      <c r="D36783" s="1">
        <v>3.0352053468177301E-6</v>
      </c>
      <c r="E36783" s="1">
        <v>4.3455399550671099E-6</v>
      </c>
      <c r="F36783" s="1">
        <v>1.7608868821189599E-5</v>
      </c>
    </row>
    <row r="36784" spans="1:6" x14ac:dyDescent="0.25">
      <c r="A36784" s="2" t="str">
        <f t="shared" si="1236"/>
        <v>99999</v>
      </c>
      <c r="B36784" s="2" t="str">
        <f>"58316"</f>
        <v>58316</v>
      </c>
      <c r="C36784" s="1">
        <v>6.5373757816747802E-5</v>
      </c>
      <c r="D36784" s="1">
        <v>1.3658424060679801E-5</v>
      </c>
      <c r="E36784" s="1">
        <v>2.60732397304027E-5</v>
      </c>
      <c r="F36784" s="1">
        <v>6.1083872633957401E-5</v>
      </c>
    </row>
    <row r="36785" spans="1:6" x14ac:dyDescent="0.25">
      <c r="A36785" s="2" t="str">
        <f t="shared" si="1236"/>
        <v>99999</v>
      </c>
      <c r="B36785" s="2" t="str">
        <f>"58270"</f>
        <v>58270</v>
      </c>
      <c r="C36785" s="1">
        <v>1.11102646840483E-4</v>
      </c>
      <c r="D36785" s="1">
        <v>4.8563285549083798E-5</v>
      </c>
      <c r="E36785" s="1">
        <v>1.9120375802295301E-4</v>
      </c>
      <c r="F36785" s="1">
        <v>1.08836737233793E-4</v>
      </c>
    </row>
    <row r="36786" spans="1:6" x14ac:dyDescent="0.25">
      <c r="A36786" s="2" t="str">
        <f t="shared" si="1236"/>
        <v>99999</v>
      </c>
      <c r="B36786" s="2" t="str">
        <f>"58237"</f>
        <v>58237</v>
      </c>
      <c r="C36786" s="1">
        <v>2.8408663037895597E-4</v>
      </c>
      <c r="D36786" s="1">
        <v>4.21893543207665E-4</v>
      </c>
      <c r="E36786" s="1">
        <v>5.9968451379926199E-4</v>
      </c>
      <c r="F36786" s="1">
        <v>3.0034562130605401E-4</v>
      </c>
    </row>
    <row r="36787" spans="1:6" x14ac:dyDescent="0.25">
      <c r="A36787" s="2" t="str">
        <f t="shared" si="1236"/>
        <v>99999</v>
      </c>
      <c r="B36787" s="2" t="str">
        <f>"58230"</f>
        <v>58230</v>
      </c>
      <c r="C36787" s="1">
        <v>4.6165441663579803E-5</v>
      </c>
      <c r="D36787" s="1">
        <v>4.5528080202266E-5</v>
      </c>
      <c r="E36787" s="1">
        <v>2.60732397304027E-5</v>
      </c>
      <c r="F36787" s="1">
        <v>4.5663676773593601E-5</v>
      </c>
    </row>
    <row r="36788" spans="1:6" x14ac:dyDescent="0.25">
      <c r="A36788" s="2" t="str">
        <f t="shared" si="1236"/>
        <v>99999</v>
      </c>
      <c r="B36788" s="2" t="str">
        <f>"58220"</f>
        <v>58220</v>
      </c>
      <c r="C36788" s="1">
        <v>1.1797835091803699E-4</v>
      </c>
      <c r="D36788" s="1">
        <v>9.2573763077941E-5</v>
      </c>
      <c r="E36788" s="1">
        <v>2.1727699775335501E-4</v>
      </c>
      <c r="F36788" s="1">
        <v>1.1858628042292701E-4</v>
      </c>
    </row>
    <row r="36789" spans="1:6" x14ac:dyDescent="0.25">
      <c r="A36789" s="2" t="str">
        <f t="shared" si="1236"/>
        <v>99999</v>
      </c>
      <c r="B36789" s="2" t="str">
        <f>"58218"</f>
        <v>58218</v>
      </c>
      <c r="C36789" s="1">
        <v>4.7693375903036399E-5</v>
      </c>
      <c r="D36789" s="1">
        <v>1.21408213872709E-5</v>
      </c>
      <c r="E36789" s="1">
        <v>5.21464794608054E-5</v>
      </c>
      <c r="F36789" s="1">
        <v>4.5464706504427597E-5</v>
      </c>
    </row>
    <row r="36790" spans="1:6" x14ac:dyDescent="0.25">
      <c r="A36790" s="2" t="str">
        <f t="shared" si="1236"/>
        <v>99999</v>
      </c>
      <c r="B36790" s="2" t="str">
        <f>"57625"</f>
        <v>57625</v>
      </c>
      <c r="C36790" s="1">
        <v>6.6574277576320803E-6</v>
      </c>
      <c r="D36790" s="1">
        <v>0</v>
      </c>
      <c r="E36790" s="1">
        <v>1.3036619865201299E-5</v>
      </c>
      <c r="F36790" s="1">
        <v>6.3670486133115203E-6</v>
      </c>
    </row>
    <row r="36791" spans="1:6" x14ac:dyDescent="0.25">
      <c r="A36791" s="2" t="str">
        <f t="shared" si="1236"/>
        <v>99999</v>
      </c>
      <c r="B36791" s="2" t="str">
        <f>"57652"</f>
        <v>57652</v>
      </c>
      <c r="C36791" s="1">
        <v>2.07362503926245E-6</v>
      </c>
      <c r="D36791" s="1">
        <v>0</v>
      </c>
      <c r="E36791" s="1">
        <v>4.3455399550671099E-6</v>
      </c>
      <c r="F36791" s="1">
        <v>1.98970269165985E-6</v>
      </c>
    </row>
    <row r="36792" spans="1:6" x14ac:dyDescent="0.25">
      <c r="A36792" s="2" t="str">
        <f t="shared" si="1236"/>
        <v>99999</v>
      </c>
      <c r="B36792" s="2" t="str">
        <f>"57651"</f>
        <v>57651</v>
      </c>
      <c r="C36792" s="1">
        <v>6.7665659175932598E-6</v>
      </c>
      <c r="D36792" s="1">
        <v>0</v>
      </c>
      <c r="E36792" s="1">
        <v>4.3455399550671099E-6</v>
      </c>
      <c r="F36792" s="1">
        <v>6.2675634787285303E-6</v>
      </c>
    </row>
    <row r="36793" spans="1:6" x14ac:dyDescent="0.25">
      <c r="A36793" s="2" t="str">
        <f t="shared" si="1236"/>
        <v>99999</v>
      </c>
      <c r="B36793" s="2" t="str">
        <f>"57548"</f>
        <v>57548</v>
      </c>
      <c r="C36793" s="1">
        <v>4.8020790382919898E-6</v>
      </c>
      <c r="D36793" s="1">
        <v>6.0704106936354696E-6</v>
      </c>
      <c r="E36793" s="1">
        <v>8.69107991013423E-6</v>
      </c>
      <c r="F36793" s="1">
        <v>4.9742567291496301E-6</v>
      </c>
    </row>
    <row r="36794" spans="1:6" x14ac:dyDescent="0.25">
      <c r="A36794" s="2" t="str">
        <f t="shared" si="1236"/>
        <v>99999</v>
      </c>
      <c r="B36794" s="2" t="str">
        <f>"57445"</f>
        <v>57445</v>
      </c>
      <c r="C36794" s="1">
        <v>1.09138159961181E-7</v>
      </c>
      <c r="D36794" s="1">
        <v>0</v>
      </c>
      <c r="E36794" s="1">
        <v>0</v>
      </c>
      <c r="F36794" s="1">
        <v>9.9485134582992598E-8</v>
      </c>
    </row>
    <row r="36795" spans="1:6" x14ac:dyDescent="0.25">
      <c r="A36795" s="2" t="str">
        <f t="shared" si="1236"/>
        <v>99999</v>
      </c>
      <c r="B36795" s="2" t="str">
        <f>"57474"</f>
        <v>57474</v>
      </c>
      <c r="C36795" s="1">
        <v>4.3655263984472602E-7</v>
      </c>
      <c r="D36795" s="1">
        <v>0</v>
      </c>
      <c r="E36795" s="1">
        <v>0</v>
      </c>
      <c r="F36795" s="1">
        <v>3.9794053833197002E-7</v>
      </c>
    </row>
    <row r="36796" spans="1:6" x14ac:dyDescent="0.25">
      <c r="A36796" s="2" t="str">
        <f t="shared" si="1236"/>
        <v>99999</v>
      </c>
      <c r="B36796" s="2" t="str">
        <f>"57555"</f>
        <v>57555</v>
      </c>
      <c r="C36796" s="1">
        <v>1.9535730633051498E-5</v>
      </c>
      <c r="D36796" s="1">
        <v>9.1056160404532095E-6</v>
      </c>
      <c r="E36796" s="1">
        <v>4.3455399550671099E-6</v>
      </c>
      <c r="F36796" s="1">
        <v>1.8504235032436599E-5</v>
      </c>
    </row>
    <row r="36797" spans="1:6" x14ac:dyDescent="0.25">
      <c r="A36797" s="2" t="str">
        <f t="shared" si="1236"/>
        <v>99999</v>
      </c>
      <c r="B36797" s="2" t="str">
        <f>"57532"</f>
        <v>57532</v>
      </c>
      <c r="C36797" s="1">
        <v>5.4569079980590801E-7</v>
      </c>
      <c r="D36797" s="1">
        <v>0</v>
      </c>
      <c r="E36797" s="1">
        <v>0</v>
      </c>
      <c r="F36797" s="1">
        <v>4.9742567291496303E-7</v>
      </c>
    </row>
    <row r="36798" spans="1:6" x14ac:dyDescent="0.25">
      <c r="A36798" s="2" t="str">
        <f t="shared" si="1236"/>
        <v>99999</v>
      </c>
      <c r="B36798" s="2" t="str">
        <f>"57523"</f>
        <v>57523</v>
      </c>
      <c r="C36798" s="1">
        <v>7.1703771094496402E-5</v>
      </c>
      <c r="D36798" s="1">
        <v>4.4010477528857203E-5</v>
      </c>
      <c r="E36798" s="1">
        <v>3.9109859595604001E-5</v>
      </c>
      <c r="F36798" s="1">
        <v>6.91421685351798E-5</v>
      </c>
    </row>
    <row r="36799" spans="1:6" x14ac:dyDescent="0.25">
      <c r="A36799" s="2" t="str">
        <f t="shared" si="1236"/>
        <v>99999</v>
      </c>
      <c r="B36799" s="2" t="str">
        <f>"57476"</f>
        <v>57476</v>
      </c>
      <c r="C36799" s="1">
        <v>2.2700737271925801E-5</v>
      </c>
      <c r="D36799" s="1">
        <v>1.66936294074975E-5</v>
      </c>
      <c r="E36799" s="1">
        <v>2.1727699775335501E-5</v>
      </c>
      <c r="F36799" s="1">
        <v>2.2284670146590302E-5</v>
      </c>
    </row>
    <row r="36800" spans="1:6" x14ac:dyDescent="0.25">
      <c r="A36800" s="2" t="str">
        <f t="shared" si="1236"/>
        <v>99999</v>
      </c>
      <c r="B36800" s="2" t="str">
        <f>"57469"</f>
        <v>57469</v>
      </c>
      <c r="C36800" s="1">
        <v>1.8018710209591099E-4</v>
      </c>
      <c r="D36800" s="1">
        <v>3.1717895874245299E-4</v>
      </c>
      <c r="E36800" s="1">
        <v>4.56281695282047E-4</v>
      </c>
      <c r="F36800" s="1">
        <v>1.9548828945558001E-4</v>
      </c>
    </row>
    <row r="36801" spans="1:6" x14ac:dyDescent="0.25">
      <c r="A36801" s="2" t="str">
        <f t="shared" si="1236"/>
        <v>99999</v>
      </c>
      <c r="B36801" s="2" t="str">
        <f>"57454"</f>
        <v>57454</v>
      </c>
      <c r="C36801" s="1">
        <v>2.9685579509441402E-5</v>
      </c>
      <c r="D36801" s="1">
        <v>3.0352053468177301E-6</v>
      </c>
      <c r="E36801" s="1">
        <v>1.3036619865201299E-5</v>
      </c>
      <c r="F36801" s="1">
        <v>2.7557382279488901E-5</v>
      </c>
    </row>
    <row r="36802" spans="1:6" x14ac:dyDescent="0.25">
      <c r="A36802" s="2" t="str">
        <f t="shared" si="1236"/>
        <v>99999</v>
      </c>
      <c r="B36802" s="2" t="str">
        <f>"57782"</f>
        <v>57782</v>
      </c>
      <c r="C36802" s="1">
        <v>1.09138159961181E-7</v>
      </c>
      <c r="D36802" s="1">
        <v>0</v>
      </c>
      <c r="E36802" s="1">
        <v>4.3455399550671099E-6</v>
      </c>
      <c r="F36802" s="1">
        <v>1.9897026916598501E-7</v>
      </c>
    </row>
    <row r="36803" spans="1:6" x14ac:dyDescent="0.25">
      <c r="A36803" s="2" t="str">
        <f t="shared" si="1236"/>
        <v>99999</v>
      </c>
      <c r="B36803" s="2" t="str">
        <f>"58043"</f>
        <v>58043</v>
      </c>
      <c r="C36803" s="1">
        <v>1.1350368635962901E-5</v>
      </c>
      <c r="D36803" s="1">
        <v>6.0704106936354696E-6</v>
      </c>
      <c r="E36803" s="1">
        <v>1.3036619865201299E-5</v>
      </c>
      <c r="F36803" s="1">
        <v>1.10428499387121E-5</v>
      </c>
    </row>
    <row r="36804" spans="1:6" x14ac:dyDescent="0.25">
      <c r="A36804" s="2" t="str">
        <f t="shared" si="1236"/>
        <v>99999</v>
      </c>
      <c r="B36804" s="2" t="str">
        <f>"58032"</f>
        <v>58032</v>
      </c>
      <c r="C36804" s="1">
        <v>3.53607638274228E-5</v>
      </c>
      <c r="D36804" s="1">
        <v>5.0080888222492601E-5</v>
      </c>
      <c r="E36804" s="1">
        <v>1.56439438382416E-4</v>
      </c>
      <c r="F36804" s="1">
        <v>3.9097657891116098E-5</v>
      </c>
    </row>
    <row r="36805" spans="1:6" x14ac:dyDescent="0.25">
      <c r="A36805" s="2" t="str">
        <f t="shared" si="1236"/>
        <v>99999</v>
      </c>
      <c r="B36805" s="2" t="str">
        <f>"58033"</f>
        <v>58033</v>
      </c>
      <c r="C36805" s="1">
        <v>2.21550464721198E-5</v>
      </c>
      <c r="D36805" s="1">
        <v>1.21408213872709E-5</v>
      </c>
      <c r="E36805" s="1">
        <v>1.3036619865201299E-5</v>
      </c>
      <c r="F36805" s="1">
        <v>2.1289818800760401E-5</v>
      </c>
    </row>
    <row r="36806" spans="1:6" x14ac:dyDescent="0.25">
      <c r="A36806" s="2" t="str">
        <f t="shared" si="1236"/>
        <v>99999</v>
      </c>
      <c r="B36806" s="2" t="str">
        <f>"58031"</f>
        <v>58031</v>
      </c>
      <c r="C36806" s="1">
        <v>1.51702042346042E-5</v>
      </c>
      <c r="D36806" s="1">
        <v>1.51760267340886E-6</v>
      </c>
      <c r="E36806" s="1">
        <v>3.0418779685469802E-5</v>
      </c>
      <c r="F36806" s="1">
        <v>1.4624314783699901E-5</v>
      </c>
    </row>
    <row r="36807" spans="1:6" x14ac:dyDescent="0.25">
      <c r="A36807" s="2" t="str">
        <f t="shared" si="1236"/>
        <v>99999</v>
      </c>
      <c r="B36807" s="2" t="str">
        <f>"58013"</f>
        <v>58013</v>
      </c>
      <c r="C36807" s="1">
        <v>7.7488093572439E-6</v>
      </c>
      <c r="D36807" s="1">
        <v>6.0704106936354696E-6</v>
      </c>
      <c r="E36807" s="1">
        <v>4.3455399550671099E-6</v>
      </c>
      <c r="F36807" s="1">
        <v>7.5608702283074398E-6</v>
      </c>
    </row>
    <row r="36808" spans="1:6" x14ac:dyDescent="0.25">
      <c r="A36808" s="2" t="str">
        <f t="shared" si="1236"/>
        <v>99999</v>
      </c>
      <c r="B36808" s="2" t="str">
        <f>"57350"</f>
        <v>57350</v>
      </c>
      <c r="C36808" s="1">
        <v>6.5482895976708995E-7</v>
      </c>
      <c r="D36808" s="1">
        <v>0</v>
      </c>
      <c r="E36808" s="1">
        <v>0</v>
      </c>
      <c r="F36808" s="1">
        <v>5.9691080749795498E-7</v>
      </c>
    </row>
    <row r="36809" spans="1:6" x14ac:dyDescent="0.25">
      <c r="A36809" s="2" t="str">
        <f t="shared" si="1236"/>
        <v>99999</v>
      </c>
      <c r="B36809" s="2" t="str">
        <f>"57370"</f>
        <v>57370</v>
      </c>
      <c r="C36809" s="1">
        <v>4.05993955055596E-5</v>
      </c>
      <c r="D36809" s="1">
        <v>7.5880133670443404E-6</v>
      </c>
      <c r="E36809" s="1">
        <v>4.3455399550671099E-6</v>
      </c>
      <c r="F36809" s="1">
        <v>3.7605380872371202E-5</v>
      </c>
    </row>
    <row r="36810" spans="1:6" x14ac:dyDescent="0.25">
      <c r="A36810" s="2" t="str">
        <f t="shared" si="1236"/>
        <v>99999</v>
      </c>
      <c r="B36810" s="2" t="str">
        <f>"57766"</f>
        <v>57766</v>
      </c>
      <c r="C36810" s="1">
        <v>2.0954526712546801E-5</v>
      </c>
      <c r="D36810" s="1">
        <v>4.5528080202265997E-6</v>
      </c>
      <c r="E36810" s="1">
        <v>4.3455399550671099E-6</v>
      </c>
      <c r="F36810" s="1">
        <v>1.9499086378266499E-5</v>
      </c>
    </row>
    <row r="36811" spans="1:6" x14ac:dyDescent="0.25">
      <c r="A36811" s="2" t="str">
        <f t="shared" si="1236"/>
        <v>99999</v>
      </c>
      <c r="B36811" s="2" t="str">
        <f>"57755"</f>
        <v>57755</v>
      </c>
      <c r="C36811" s="1">
        <v>1.1896059435768801E-5</v>
      </c>
      <c r="D36811" s="1">
        <v>3.0352053468177301E-6</v>
      </c>
      <c r="E36811" s="1">
        <v>4.3455399550671099E-6</v>
      </c>
      <c r="F36811" s="1">
        <v>1.11423350732951E-5</v>
      </c>
    </row>
    <row r="36812" spans="1:6" x14ac:dyDescent="0.25">
      <c r="A36812" s="2" t="str">
        <f t="shared" si="1236"/>
        <v>99999</v>
      </c>
      <c r="B36812" s="2" t="str">
        <f>"57730"</f>
        <v>57730</v>
      </c>
      <c r="C36812" s="1">
        <v>3.21193604765757E-4</v>
      </c>
      <c r="D36812" s="1">
        <v>5.43301757080375E-4</v>
      </c>
      <c r="E36812" s="1">
        <v>6.5183099326006702E-4</v>
      </c>
      <c r="F36812" s="1">
        <v>3.4332319944590698E-4</v>
      </c>
    </row>
    <row r="36813" spans="1:6" x14ac:dyDescent="0.25">
      <c r="A36813" s="2" t="str">
        <f t="shared" si="1236"/>
        <v>99999</v>
      </c>
      <c r="B36813" s="2" t="str">
        <f>"57329"</f>
        <v>57329</v>
      </c>
      <c r="C36813" s="1">
        <v>1.2987441035380599E-5</v>
      </c>
      <c r="D36813" s="1">
        <v>4.5528080202265997E-6</v>
      </c>
      <c r="E36813" s="1">
        <v>8.69107991013423E-6</v>
      </c>
      <c r="F36813" s="1">
        <v>1.2336156688290999E-5</v>
      </c>
    </row>
    <row r="36814" spans="1:6" x14ac:dyDescent="0.25">
      <c r="A36814" s="2" t="str">
        <f t="shared" si="1236"/>
        <v>99999</v>
      </c>
      <c r="B36814" s="2" t="str">
        <f>"57247"</f>
        <v>57247</v>
      </c>
      <c r="C36814" s="1">
        <v>2.4337809671343498E-5</v>
      </c>
      <c r="D36814" s="1">
        <v>6.0704106936354696E-6</v>
      </c>
      <c r="E36814" s="1">
        <v>1.7382159820268399E-5</v>
      </c>
      <c r="F36814" s="1">
        <v>2.29810660886712E-5</v>
      </c>
    </row>
    <row r="36815" spans="1:6" x14ac:dyDescent="0.25">
      <c r="A36815" s="2" t="str">
        <f t="shared" si="1236"/>
        <v>99999</v>
      </c>
      <c r="B36815" s="2" t="str">
        <f>"57348"</f>
        <v>57348</v>
      </c>
      <c r="C36815" s="1">
        <v>8.9493291168169008E-6</v>
      </c>
      <c r="D36815" s="1">
        <v>1.51760267340886E-6</v>
      </c>
      <c r="E36815" s="1">
        <v>0</v>
      </c>
      <c r="F36815" s="1">
        <v>8.2572661703883803E-6</v>
      </c>
    </row>
    <row r="36816" spans="1:6" x14ac:dyDescent="0.25">
      <c r="A36816" s="2" t="str">
        <f t="shared" si="1236"/>
        <v>99999</v>
      </c>
      <c r="B36816" s="2" t="str">
        <f>"57312"</f>
        <v>57312</v>
      </c>
      <c r="C36816" s="1">
        <v>4.3655263984472602E-7</v>
      </c>
      <c r="D36816" s="1">
        <v>0</v>
      </c>
      <c r="E36816" s="1">
        <v>0</v>
      </c>
      <c r="F36816" s="1">
        <v>3.9794053833197002E-7</v>
      </c>
    </row>
    <row r="36817" spans="1:6" x14ac:dyDescent="0.25">
      <c r="A36817" s="2" t="str">
        <f t="shared" si="1236"/>
        <v>99999</v>
      </c>
      <c r="B36817" s="2" t="str">
        <f>"57346"</f>
        <v>57346</v>
      </c>
      <c r="C36817" s="1">
        <v>3.3832829587966299E-6</v>
      </c>
      <c r="D36817" s="1">
        <v>3.0352053468177301E-6</v>
      </c>
      <c r="E36817" s="1">
        <v>4.3455399550671099E-6</v>
      </c>
      <c r="F36817" s="1">
        <v>3.3824945758217398E-6</v>
      </c>
    </row>
    <row r="36818" spans="1:6" x14ac:dyDescent="0.25">
      <c r="A36818" s="2" t="str">
        <f t="shared" ref="A36818:A36881" si="1237">"99999"</f>
        <v>99999</v>
      </c>
      <c r="B36818" s="2" t="str">
        <f>"57342"</f>
        <v>57342</v>
      </c>
      <c r="C36818" s="1">
        <v>3.0340408469208501E-5</v>
      </c>
      <c r="D36818" s="1">
        <v>4.5528080202265997E-6</v>
      </c>
      <c r="E36818" s="1">
        <v>1.7382159820268399E-5</v>
      </c>
      <c r="F36818" s="1">
        <v>2.8353263356152899E-5</v>
      </c>
    </row>
    <row r="36819" spans="1:6" x14ac:dyDescent="0.25">
      <c r="A36819" s="2" t="str">
        <f t="shared" si="1237"/>
        <v>99999</v>
      </c>
      <c r="B36819" s="2" t="str">
        <f>"57332"</f>
        <v>57332</v>
      </c>
      <c r="C36819" s="1">
        <v>4.1472500785249E-6</v>
      </c>
      <c r="D36819" s="1">
        <v>1.51760267340886E-6</v>
      </c>
      <c r="E36819" s="1">
        <v>4.3455399550671099E-6</v>
      </c>
      <c r="F36819" s="1">
        <v>3.9794053833197E-6</v>
      </c>
    </row>
    <row r="36820" spans="1:6" x14ac:dyDescent="0.25">
      <c r="A36820" s="2" t="str">
        <f t="shared" si="1237"/>
        <v>99999</v>
      </c>
      <c r="B36820" s="2" t="str">
        <f>"57328"</f>
        <v>57328</v>
      </c>
      <c r="C36820" s="1">
        <v>5.48964944604744E-5</v>
      </c>
      <c r="D36820" s="1">
        <v>4.7045682875674899E-5</v>
      </c>
      <c r="E36820" s="1">
        <v>3.9109859595604001E-5</v>
      </c>
      <c r="F36820" s="1">
        <v>5.4020428078565001E-5</v>
      </c>
    </row>
    <row r="36821" spans="1:6" x14ac:dyDescent="0.25">
      <c r="A36821" s="2" t="str">
        <f t="shared" si="1237"/>
        <v>99999</v>
      </c>
      <c r="B36821" s="2" t="str">
        <f>"57314"</f>
        <v>57314</v>
      </c>
      <c r="C36821" s="1">
        <v>3.7325250706724098E-5</v>
      </c>
      <c r="D36821" s="1">
        <v>1.21408213872709E-5</v>
      </c>
      <c r="E36821" s="1">
        <v>3.47643196405369E-5</v>
      </c>
      <c r="F36821" s="1">
        <v>3.56156781807113E-5</v>
      </c>
    </row>
    <row r="36822" spans="1:6" x14ac:dyDescent="0.25">
      <c r="A36822" s="2" t="str">
        <f t="shared" si="1237"/>
        <v>99999</v>
      </c>
      <c r="B36822" s="2" t="str">
        <f>"57268"</f>
        <v>57268</v>
      </c>
      <c r="C36822" s="1">
        <v>1.0804677836156901E-5</v>
      </c>
      <c r="D36822" s="1">
        <v>6.0704106936354696E-6</v>
      </c>
      <c r="E36822" s="1">
        <v>4.3455399550671099E-6</v>
      </c>
      <c r="F36822" s="1">
        <v>1.03464539966312E-5</v>
      </c>
    </row>
    <row r="36823" spans="1:6" x14ac:dyDescent="0.25">
      <c r="A36823" s="2" t="str">
        <f t="shared" si="1237"/>
        <v>99999</v>
      </c>
      <c r="B36823" s="2" t="str">
        <f>"57262"</f>
        <v>57262</v>
      </c>
      <c r="C36823" s="1">
        <v>2.27116510879219E-4</v>
      </c>
      <c r="D36823" s="1">
        <v>3.4146060151699499E-4</v>
      </c>
      <c r="E36823" s="1">
        <v>3.6502535622563698E-4</v>
      </c>
      <c r="F36823" s="1">
        <v>2.3776947165335199E-4</v>
      </c>
    </row>
    <row r="36824" spans="1:6" x14ac:dyDescent="0.25">
      <c r="A36824" s="2" t="str">
        <f t="shared" si="1237"/>
        <v>99999</v>
      </c>
      <c r="B36824" s="2" t="str">
        <f>"57260"</f>
        <v>57260</v>
      </c>
      <c r="C36824" s="1">
        <v>5.4023389180784903E-5</v>
      </c>
      <c r="D36824" s="1">
        <v>6.0704106936354696E-6</v>
      </c>
      <c r="E36824" s="1">
        <v>6.9528639281073799E-5</v>
      </c>
      <c r="F36824" s="1">
        <v>5.1234844310241199E-5</v>
      </c>
    </row>
    <row r="36825" spans="1:6" x14ac:dyDescent="0.25">
      <c r="A36825" s="2" t="str">
        <f t="shared" si="1237"/>
        <v>99999</v>
      </c>
      <c r="B36825" s="2" t="str">
        <f>"56763"</f>
        <v>56763</v>
      </c>
      <c r="C36825" s="1">
        <v>2.6051278782734E-4</v>
      </c>
      <c r="D36825" s="1">
        <v>6.5256914956581297E-5</v>
      </c>
      <c r="E36825" s="1">
        <v>2.7376901716922799E-4</v>
      </c>
      <c r="F36825" s="1">
        <v>2.4801644051539997E-4</v>
      </c>
    </row>
    <row r="36826" spans="1:6" x14ac:dyDescent="0.25">
      <c r="A36826" s="2" t="str">
        <f t="shared" si="1237"/>
        <v>99999</v>
      </c>
      <c r="B36826" s="2" t="str">
        <f>"56661"</f>
        <v>56661</v>
      </c>
      <c r="C36826" s="1">
        <v>2.3901257031498801E-5</v>
      </c>
      <c r="D36826" s="1">
        <v>9.1056160404532095E-6</v>
      </c>
      <c r="E36826" s="1">
        <v>8.69107991013423E-6</v>
      </c>
      <c r="F36826" s="1">
        <v>2.2583125550339301E-5</v>
      </c>
    </row>
    <row r="36827" spans="1:6" x14ac:dyDescent="0.25">
      <c r="A36827" s="2" t="str">
        <f t="shared" si="1237"/>
        <v>99999</v>
      </c>
      <c r="B36827" s="2" t="str">
        <f>"56653"</f>
        <v>56653</v>
      </c>
      <c r="C36827" s="1">
        <v>5.9698573498766397E-5</v>
      </c>
      <c r="D36827" s="1">
        <v>2.2764040101133E-5</v>
      </c>
      <c r="E36827" s="1">
        <v>3.0418779685469802E-5</v>
      </c>
      <c r="F36827" s="1">
        <v>5.66070415777228E-5</v>
      </c>
    </row>
    <row r="36828" spans="1:6" x14ac:dyDescent="0.25">
      <c r="A36828" s="2" t="str">
        <f t="shared" si="1237"/>
        <v>99999</v>
      </c>
      <c r="B36828" s="2" t="str">
        <f>"57225"</f>
        <v>57225</v>
      </c>
      <c r="C36828" s="1">
        <v>9.8988311084791805E-5</v>
      </c>
      <c r="D36828" s="1">
        <v>1.6845389674838401E-4</v>
      </c>
      <c r="E36828" s="1">
        <v>1.4340281851721399E-4</v>
      </c>
      <c r="F36828" s="1">
        <v>1.0455887644672499E-4</v>
      </c>
    </row>
    <row r="36829" spans="1:6" x14ac:dyDescent="0.25">
      <c r="A36829" s="2" t="str">
        <f t="shared" si="1237"/>
        <v>99999</v>
      </c>
      <c r="B36829" s="2" t="str">
        <f>"57216"</f>
        <v>57216</v>
      </c>
      <c r="C36829" s="1">
        <v>7.3013429014030505E-5</v>
      </c>
      <c r="D36829" s="1">
        <v>1.5176026734088599E-5</v>
      </c>
      <c r="E36829" s="1">
        <v>4.7800939505738197E-5</v>
      </c>
      <c r="F36829" s="1">
        <v>6.8644742862264895E-5</v>
      </c>
    </row>
    <row r="36830" spans="1:6" x14ac:dyDescent="0.25">
      <c r="A36830" s="2" t="str">
        <f t="shared" si="1237"/>
        <v>99999</v>
      </c>
      <c r="B36830" s="2" t="str">
        <f>"56592"</f>
        <v>56592</v>
      </c>
      <c r="C36830" s="1">
        <v>8.7310527968945299E-7</v>
      </c>
      <c r="D36830" s="1">
        <v>0</v>
      </c>
      <c r="E36830" s="1">
        <v>0</v>
      </c>
      <c r="F36830" s="1">
        <v>7.9588107666394099E-7</v>
      </c>
    </row>
    <row r="36831" spans="1:6" x14ac:dyDescent="0.25">
      <c r="A36831" s="2" t="str">
        <f t="shared" si="1237"/>
        <v>99999</v>
      </c>
      <c r="B36831" s="2" t="str">
        <f>"56591"</f>
        <v>56591</v>
      </c>
      <c r="C36831" s="1">
        <v>0</v>
      </c>
      <c r="D36831" s="1">
        <v>0</v>
      </c>
      <c r="E36831" s="1">
        <v>4.3455399550671099E-6</v>
      </c>
      <c r="F36831" s="1">
        <v>9.9485134582992598E-8</v>
      </c>
    </row>
    <row r="36832" spans="1:6" x14ac:dyDescent="0.25">
      <c r="A36832" s="2" t="str">
        <f t="shared" si="1237"/>
        <v>99999</v>
      </c>
      <c r="B36832" s="2" t="str">
        <f>"56585"</f>
        <v>56585</v>
      </c>
      <c r="C36832" s="1">
        <v>5.8934606379038102E-6</v>
      </c>
      <c r="D36832" s="1">
        <v>1.51760267340886E-6</v>
      </c>
      <c r="E36832" s="1">
        <v>0</v>
      </c>
      <c r="F36832" s="1">
        <v>5.4716824020645896E-6</v>
      </c>
    </row>
    <row r="36833" spans="1:6" x14ac:dyDescent="0.25">
      <c r="A36833" s="2" t="str">
        <f t="shared" si="1237"/>
        <v>99999</v>
      </c>
      <c r="B36833" s="2" t="str">
        <f>"56581"</f>
        <v>56581</v>
      </c>
      <c r="C36833" s="1">
        <v>1.30965791953418E-5</v>
      </c>
      <c r="D36833" s="1">
        <v>0</v>
      </c>
      <c r="E36833" s="1">
        <v>1.7382159820268399E-5</v>
      </c>
      <c r="F36833" s="1">
        <v>1.2336156688290999E-5</v>
      </c>
    </row>
    <row r="36834" spans="1:6" x14ac:dyDescent="0.25">
      <c r="A36834" s="2" t="str">
        <f t="shared" si="1237"/>
        <v>99999</v>
      </c>
      <c r="B36834" s="2" t="str">
        <f>"57051"</f>
        <v>57051</v>
      </c>
      <c r="C36834" s="1">
        <v>1.5279342394565399E-5</v>
      </c>
      <c r="D36834" s="1">
        <v>9.1056160404532095E-6</v>
      </c>
      <c r="E36834" s="1">
        <v>4.3455399550671099E-6</v>
      </c>
      <c r="F36834" s="1">
        <v>1.4624314783699901E-5</v>
      </c>
    </row>
    <row r="36835" spans="1:6" x14ac:dyDescent="0.25">
      <c r="A36835" s="2" t="str">
        <f t="shared" si="1237"/>
        <v>99999</v>
      </c>
      <c r="B36835" s="2" t="str">
        <f>"57028"</f>
        <v>57028</v>
      </c>
      <c r="C36835" s="1">
        <v>1.6872759529998601E-4</v>
      </c>
      <c r="D36835" s="1">
        <v>2.7468608388700499E-4</v>
      </c>
      <c r="E36835" s="1">
        <v>4.4759061537191297E-4</v>
      </c>
      <c r="F36835" s="1">
        <v>1.8205779628687599E-4</v>
      </c>
    </row>
    <row r="36836" spans="1:6" x14ac:dyDescent="0.25">
      <c r="A36836" s="2" t="str">
        <f t="shared" si="1237"/>
        <v>99999</v>
      </c>
      <c r="B36836" s="2" t="str">
        <f>"57016"</f>
        <v>57016</v>
      </c>
      <c r="C36836" s="1">
        <v>2.9358165029557801E-5</v>
      </c>
      <c r="D36836" s="1">
        <v>6.0704106936354696E-6</v>
      </c>
      <c r="E36836" s="1">
        <v>4.3455399550671099E-6</v>
      </c>
      <c r="F36836" s="1">
        <v>2.7258926875739899E-5</v>
      </c>
    </row>
    <row r="36837" spans="1:6" x14ac:dyDescent="0.25">
      <c r="A36837" s="2" t="str">
        <f t="shared" si="1237"/>
        <v>99999</v>
      </c>
      <c r="B36837" s="2" t="str">
        <f>"56568"</f>
        <v>56568</v>
      </c>
      <c r="C36837" s="1">
        <v>6.5482895976708995E-7</v>
      </c>
      <c r="D36837" s="1">
        <v>0</v>
      </c>
      <c r="E36837" s="1">
        <v>0</v>
      </c>
      <c r="F36837" s="1">
        <v>5.9691080749795498E-7</v>
      </c>
    </row>
    <row r="36838" spans="1:6" x14ac:dyDescent="0.25">
      <c r="A36838" s="2" t="str">
        <f t="shared" si="1237"/>
        <v>99999</v>
      </c>
      <c r="B36838" s="2" t="str">
        <f>"56569"</f>
        <v>56569</v>
      </c>
      <c r="C36838" s="1">
        <v>6.9084455255428006E-5</v>
      </c>
      <c r="D36838" s="1">
        <v>1.3658424060679801E-5</v>
      </c>
      <c r="E36838" s="1">
        <v>4.7800939505738197E-5</v>
      </c>
      <c r="F36838" s="1">
        <v>6.4963792882694106E-5</v>
      </c>
    </row>
    <row r="36839" spans="1:6" x14ac:dyDescent="0.25">
      <c r="A36839" s="2" t="str">
        <f t="shared" si="1237"/>
        <v>99999</v>
      </c>
      <c r="B36839" s="2" t="str">
        <f>"56557"</f>
        <v>56557</v>
      </c>
      <c r="C36839" s="1">
        <v>1.3740494339112701E-4</v>
      </c>
      <c r="D36839" s="1">
        <v>5.15984908959015E-5</v>
      </c>
      <c r="E36839" s="1">
        <v>1.5209389842734899E-4</v>
      </c>
      <c r="F36839" s="1">
        <v>1.32116258726214E-4</v>
      </c>
    </row>
    <row r="36840" spans="1:6" x14ac:dyDescent="0.25">
      <c r="A36840" s="2" t="str">
        <f t="shared" si="1237"/>
        <v>99999</v>
      </c>
      <c r="B36840" s="2" t="str">
        <f>"56544"</f>
        <v>56544</v>
      </c>
      <c r="C36840" s="1">
        <v>2.1292855008426501E-4</v>
      </c>
      <c r="D36840" s="1">
        <v>3.6422464161812797E-5</v>
      </c>
      <c r="E36840" s="1">
        <v>2.0858591784322101E-4</v>
      </c>
      <c r="F36840" s="1">
        <v>2.0125842726139399E-4</v>
      </c>
    </row>
    <row r="36841" spans="1:6" x14ac:dyDescent="0.25">
      <c r="A36841" s="2" t="str">
        <f t="shared" si="1237"/>
        <v>99999</v>
      </c>
      <c r="B36841" s="2" t="str">
        <f>"56326"</f>
        <v>56326</v>
      </c>
      <c r="C36841" s="1">
        <v>4.3655263984472602E-7</v>
      </c>
      <c r="D36841" s="1">
        <v>0</v>
      </c>
      <c r="E36841" s="1">
        <v>0</v>
      </c>
      <c r="F36841" s="1">
        <v>3.9794053833197002E-7</v>
      </c>
    </row>
    <row r="36842" spans="1:6" x14ac:dyDescent="0.25">
      <c r="A36842" s="2" t="str">
        <f t="shared" si="1237"/>
        <v>99999</v>
      </c>
      <c r="B36842" s="2" t="str">
        <f>"56481"</f>
        <v>56481</v>
      </c>
      <c r="C36842" s="1">
        <v>1.0640970596215199E-4</v>
      </c>
      <c r="D36842" s="1">
        <v>3.7940066835221703E-5</v>
      </c>
      <c r="E36842" s="1">
        <v>5.6492019415872502E-5</v>
      </c>
      <c r="F36842" s="1">
        <v>1.00778441332571E-4</v>
      </c>
    </row>
    <row r="36843" spans="1:6" x14ac:dyDescent="0.25">
      <c r="A36843" s="2" t="str">
        <f t="shared" si="1237"/>
        <v>99999</v>
      </c>
      <c r="B36843" s="2" t="str">
        <f>"56435"</f>
        <v>56435</v>
      </c>
      <c r="C36843" s="1">
        <v>4.3655263984472602E-7</v>
      </c>
      <c r="D36843" s="1">
        <v>0</v>
      </c>
      <c r="E36843" s="1">
        <v>0</v>
      </c>
      <c r="F36843" s="1">
        <v>3.9794053833197002E-7</v>
      </c>
    </row>
    <row r="36844" spans="1:6" x14ac:dyDescent="0.25">
      <c r="A36844" s="2" t="str">
        <f t="shared" si="1237"/>
        <v>99999</v>
      </c>
      <c r="B36844" s="2" t="str">
        <f>"56438"</f>
        <v>56438</v>
      </c>
      <c r="C36844" s="1">
        <v>1.51156351546236E-4</v>
      </c>
      <c r="D36844" s="1">
        <v>6.2221709609763595E-5</v>
      </c>
      <c r="E36844" s="1">
        <v>7.3874179236140894E-5</v>
      </c>
      <c r="F36844" s="1">
        <v>1.43557049203258E-4</v>
      </c>
    </row>
    <row r="36845" spans="1:6" x14ac:dyDescent="0.25">
      <c r="A36845" s="2" t="str">
        <f t="shared" si="1237"/>
        <v>99999</v>
      </c>
      <c r="B36845" s="2" t="str">
        <f>"56292"</f>
        <v>56292</v>
      </c>
      <c r="C36845" s="1">
        <v>2.2373322792042201E-5</v>
      </c>
      <c r="D36845" s="1">
        <v>2.7316848121359601E-5</v>
      </c>
      <c r="E36845" s="1">
        <v>0</v>
      </c>
      <c r="F36845" s="1">
        <v>2.21851850120073E-5</v>
      </c>
    </row>
    <row r="36846" spans="1:6" x14ac:dyDescent="0.25">
      <c r="A36846" s="2" t="str">
        <f t="shared" si="1237"/>
        <v>99999</v>
      </c>
      <c r="B36846" s="2" t="str">
        <f>"56385"</f>
        <v>56385</v>
      </c>
      <c r="C36846" s="1">
        <v>4.0162842865714797E-5</v>
      </c>
      <c r="D36846" s="1">
        <v>9.1056160404532095E-6</v>
      </c>
      <c r="E36846" s="1">
        <v>4.3455399550671099E-6</v>
      </c>
      <c r="F36846" s="1">
        <v>3.73069254686222E-5</v>
      </c>
    </row>
    <row r="36847" spans="1:6" x14ac:dyDescent="0.25">
      <c r="A36847" s="2" t="str">
        <f t="shared" si="1237"/>
        <v>99999</v>
      </c>
      <c r="B36847" s="2" t="str">
        <f>"56378"</f>
        <v>56378</v>
      </c>
      <c r="C36847" s="1">
        <v>8.16353436509639E-5</v>
      </c>
      <c r="D36847" s="1">
        <v>3.0352053468177301E-5</v>
      </c>
      <c r="E36847" s="1">
        <v>4.3455399550671099E-6</v>
      </c>
      <c r="F36847" s="1">
        <v>7.6504068494321297E-5</v>
      </c>
    </row>
    <row r="36848" spans="1:6" x14ac:dyDescent="0.25">
      <c r="A36848" s="2" t="str">
        <f t="shared" si="1237"/>
        <v>99999</v>
      </c>
      <c r="B36848" s="2" t="str">
        <f>"56364"</f>
        <v>56364</v>
      </c>
      <c r="C36848" s="1">
        <v>2.4501516911285302E-4</v>
      </c>
      <c r="D36848" s="1">
        <v>1.00161776444985E-4</v>
      </c>
      <c r="E36848" s="1">
        <v>1.73821598202684E-4</v>
      </c>
      <c r="F36848" s="1">
        <v>2.3388955140461501E-4</v>
      </c>
    </row>
    <row r="36849" spans="1:6" x14ac:dyDescent="0.25">
      <c r="A36849" s="2" t="str">
        <f t="shared" si="1237"/>
        <v>99999</v>
      </c>
      <c r="B36849" s="2" t="str">
        <f>"56264"</f>
        <v>56264</v>
      </c>
      <c r="C36849" s="1">
        <v>1.3751408155108801E-5</v>
      </c>
      <c r="D36849" s="1">
        <v>6.0704106936354696E-6</v>
      </c>
      <c r="E36849" s="1">
        <v>8.69107991013423E-6</v>
      </c>
      <c r="F36849" s="1">
        <v>1.3132037764955001E-5</v>
      </c>
    </row>
    <row r="36850" spans="1:6" x14ac:dyDescent="0.25">
      <c r="A36850" s="2" t="str">
        <f t="shared" si="1237"/>
        <v>99999</v>
      </c>
      <c r="B36850" s="2" t="str">
        <f>"56262"</f>
        <v>56262</v>
      </c>
      <c r="C36850" s="1">
        <v>2.30281517518093E-5</v>
      </c>
      <c r="D36850" s="1">
        <v>3.0352053468177301E-6</v>
      </c>
      <c r="E36850" s="1">
        <v>4.3455399550671099E-6</v>
      </c>
      <c r="F36850" s="1">
        <v>2.1289818800760401E-5</v>
      </c>
    </row>
    <row r="36851" spans="1:6" x14ac:dyDescent="0.25">
      <c r="A36851" s="2" t="str">
        <f t="shared" si="1237"/>
        <v>99999</v>
      </c>
      <c r="B36851" s="2" t="str">
        <f>"56249"</f>
        <v>56249</v>
      </c>
      <c r="C36851" s="1">
        <v>1.68072766340219E-5</v>
      </c>
      <c r="D36851" s="1">
        <v>6.0704106936354696E-6</v>
      </c>
      <c r="E36851" s="1">
        <v>8.69107991013423E-6</v>
      </c>
      <c r="F36851" s="1">
        <v>1.59176215332788E-5</v>
      </c>
    </row>
    <row r="36852" spans="1:6" x14ac:dyDescent="0.25">
      <c r="A36852" s="2" t="str">
        <f t="shared" si="1237"/>
        <v>99999</v>
      </c>
      <c r="B36852" s="2" t="str">
        <f>"56010"</f>
        <v>56010</v>
      </c>
      <c r="C36852" s="1">
        <v>1.09138159961181E-7</v>
      </c>
      <c r="D36852" s="1">
        <v>0</v>
      </c>
      <c r="E36852" s="1">
        <v>0</v>
      </c>
      <c r="F36852" s="1">
        <v>9.9485134582992598E-8</v>
      </c>
    </row>
    <row r="36853" spans="1:6" x14ac:dyDescent="0.25">
      <c r="A36853" s="2" t="str">
        <f t="shared" si="1237"/>
        <v>99999</v>
      </c>
      <c r="B36853" s="2" t="str">
        <f>"56019"</f>
        <v>56019</v>
      </c>
      <c r="C36853" s="1">
        <v>1.12412304760017E-5</v>
      </c>
      <c r="D36853" s="1">
        <v>1.66936294074975E-5</v>
      </c>
      <c r="E36853" s="1">
        <v>0</v>
      </c>
      <c r="F36853" s="1">
        <v>1.13413053424611E-5</v>
      </c>
    </row>
    <row r="36854" spans="1:6" x14ac:dyDescent="0.25">
      <c r="A36854" s="2" t="str">
        <f t="shared" si="1237"/>
        <v>99999</v>
      </c>
      <c r="B36854" s="2" t="str">
        <f>"56014"</f>
        <v>56014</v>
      </c>
      <c r="C36854" s="1">
        <v>3.8416632306335898E-5</v>
      </c>
      <c r="D36854" s="1">
        <v>1.8211232080906399E-5</v>
      </c>
      <c r="E36854" s="1">
        <v>2.1727699775335501E-5</v>
      </c>
      <c r="F36854" s="1">
        <v>3.6710014661124202E-5</v>
      </c>
    </row>
    <row r="36855" spans="1:6" x14ac:dyDescent="0.25">
      <c r="A36855" s="2" t="str">
        <f t="shared" si="1237"/>
        <v>99999</v>
      </c>
      <c r="B36855" s="2" t="str">
        <f>"56221"</f>
        <v>56221</v>
      </c>
      <c r="C36855" s="1">
        <v>2.2591599111964599E-5</v>
      </c>
      <c r="D36855" s="1">
        <v>9.1056160404532095E-6</v>
      </c>
      <c r="E36855" s="1">
        <v>1.7382159820268399E-5</v>
      </c>
      <c r="F36855" s="1">
        <v>2.15882742045094E-5</v>
      </c>
    </row>
    <row r="36856" spans="1:6" x14ac:dyDescent="0.25">
      <c r="A36856" s="2" t="str">
        <f t="shared" si="1237"/>
        <v>99999</v>
      </c>
      <c r="B36856" s="2" t="str">
        <f>"56219"</f>
        <v>56219</v>
      </c>
      <c r="C36856" s="1">
        <v>3.9398875745986597E-5</v>
      </c>
      <c r="D36856" s="1">
        <v>7.5880133670443404E-6</v>
      </c>
      <c r="E36856" s="1">
        <v>8.69107991013423E-6</v>
      </c>
      <c r="F36856" s="1">
        <v>3.6610529526541203E-5</v>
      </c>
    </row>
    <row r="36857" spans="1:6" x14ac:dyDescent="0.25">
      <c r="A36857" s="2" t="str">
        <f t="shared" si="1237"/>
        <v>99999</v>
      </c>
      <c r="B36857" s="2" t="str">
        <f>"56146"</f>
        <v>56146</v>
      </c>
      <c r="C36857" s="1">
        <v>2.2919013591848099E-6</v>
      </c>
      <c r="D36857" s="1">
        <v>1.51760267340886E-6</v>
      </c>
      <c r="E36857" s="1">
        <v>4.3455399550671099E-6</v>
      </c>
      <c r="F36857" s="1">
        <v>2.2881580954088299E-6</v>
      </c>
    </row>
    <row r="36858" spans="1:6" x14ac:dyDescent="0.25">
      <c r="A36858" s="2" t="str">
        <f t="shared" si="1237"/>
        <v>99999</v>
      </c>
      <c r="B36858" s="2" t="str">
        <f>"56167"</f>
        <v>56167</v>
      </c>
      <c r="C36858" s="1">
        <v>1.10229541560793E-5</v>
      </c>
      <c r="D36858" s="1">
        <v>1.51760267340886E-6</v>
      </c>
      <c r="E36858" s="1">
        <v>0</v>
      </c>
      <c r="F36858" s="1">
        <v>1.01474837274652E-5</v>
      </c>
    </row>
    <row r="36859" spans="1:6" x14ac:dyDescent="0.25">
      <c r="A36859" s="2" t="str">
        <f t="shared" si="1237"/>
        <v>99999</v>
      </c>
      <c r="B36859" s="2" t="str">
        <f>"56180"</f>
        <v>56180</v>
      </c>
      <c r="C36859" s="1">
        <v>6.9739284215195098E-5</v>
      </c>
      <c r="D36859" s="1">
        <v>3.4904861488403899E-5</v>
      </c>
      <c r="E36859" s="1">
        <v>3.0418779685469802E-5</v>
      </c>
      <c r="F36859" s="1">
        <v>6.6555555036022001E-5</v>
      </c>
    </row>
    <row r="36860" spans="1:6" x14ac:dyDescent="0.25">
      <c r="A36860" s="2" t="str">
        <f t="shared" si="1237"/>
        <v>99999</v>
      </c>
      <c r="B36860" s="2" t="str">
        <f>"56072"</f>
        <v>56072</v>
      </c>
      <c r="C36860" s="1">
        <v>9.9970554524442403E-5</v>
      </c>
      <c r="D36860" s="1">
        <v>2.88344507947685E-5</v>
      </c>
      <c r="E36860" s="1">
        <v>3.9109859595604001E-5</v>
      </c>
      <c r="F36860" s="1">
        <v>9.3913967046345E-5</v>
      </c>
    </row>
    <row r="36861" spans="1:6" x14ac:dyDescent="0.25">
      <c r="A36861" s="2" t="str">
        <f t="shared" si="1237"/>
        <v>99999</v>
      </c>
      <c r="B36861" s="2" t="str">
        <f>"56051"</f>
        <v>56051</v>
      </c>
      <c r="C36861" s="1">
        <v>4.3982678464356202E-5</v>
      </c>
      <c r="D36861" s="1">
        <v>2.4281642774541899E-5</v>
      </c>
      <c r="E36861" s="1">
        <v>3.47643196405369E-5</v>
      </c>
      <c r="F36861" s="1">
        <v>4.2480152466937797E-5</v>
      </c>
    </row>
    <row r="36862" spans="1:6" x14ac:dyDescent="0.25">
      <c r="A36862" s="2" t="str">
        <f t="shared" si="1237"/>
        <v>99999</v>
      </c>
      <c r="B36862" s="2" t="str">
        <f>"55613"</f>
        <v>55613</v>
      </c>
      <c r="C36862" s="1">
        <v>9.1676054367392598E-6</v>
      </c>
      <c r="D36862" s="1">
        <v>3.0352053468177301E-6</v>
      </c>
      <c r="E36862" s="1">
        <v>4.3455399550671099E-6</v>
      </c>
      <c r="F36862" s="1">
        <v>8.6552067087203506E-6</v>
      </c>
    </row>
    <row r="36863" spans="1:6" x14ac:dyDescent="0.25">
      <c r="A36863" s="2" t="str">
        <f t="shared" si="1237"/>
        <v>99999</v>
      </c>
      <c r="B36863" s="2" t="str">
        <f>"55795"</f>
        <v>55795</v>
      </c>
      <c r="C36863" s="1">
        <v>8.4363797649993397E-5</v>
      </c>
      <c r="D36863" s="1">
        <v>2.88344507947685E-5</v>
      </c>
      <c r="E36863" s="1">
        <v>3.9109859595604001E-5</v>
      </c>
      <c r="F36863" s="1">
        <v>7.96875928009771E-5</v>
      </c>
    </row>
    <row r="36864" spans="1:6" x14ac:dyDescent="0.25">
      <c r="A36864" s="2" t="str">
        <f t="shared" si="1237"/>
        <v>99999</v>
      </c>
      <c r="B36864" s="2" t="str">
        <f>"55735"</f>
        <v>55735</v>
      </c>
      <c r="C36864" s="1">
        <v>1.17760074598115E-4</v>
      </c>
      <c r="D36864" s="1">
        <v>2.7316848121359601E-5</v>
      </c>
      <c r="E36864" s="1">
        <v>3.9109859595604001E-5</v>
      </c>
      <c r="F36864" s="1">
        <v>1.10030558848789E-4</v>
      </c>
    </row>
    <row r="36865" spans="1:6" x14ac:dyDescent="0.25">
      <c r="A36865" s="2" t="str">
        <f t="shared" si="1237"/>
        <v>99999</v>
      </c>
      <c r="B36865" s="2" t="str">
        <f>"55385"</f>
        <v>55385</v>
      </c>
      <c r="C36865" s="1">
        <v>1.51702042346042E-5</v>
      </c>
      <c r="D36865" s="1">
        <v>0</v>
      </c>
      <c r="E36865" s="1">
        <v>8.69107991013423E-6</v>
      </c>
      <c r="F36865" s="1">
        <v>1.4027403976201899E-5</v>
      </c>
    </row>
    <row r="36866" spans="1:6" x14ac:dyDescent="0.25">
      <c r="A36866" s="2" t="str">
        <f t="shared" si="1237"/>
        <v>99999</v>
      </c>
      <c r="B36866" s="2" t="str">
        <f>"55324"</f>
        <v>55324</v>
      </c>
      <c r="C36866" s="1">
        <v>6.8320488135699704E-5</v>
      </c>
      <c r="D36866" s="1">
        <v>1.51760267340886E-6</v>
      </c>
      <c r="E36866" s="1">
        <v>3.47643196405369E-5</v>
      </c>
      <c r="F36866" s="1">
        <v>6.3173060460200295E-5</v>
      </c>
    </row>
    <row r="36867" spans="1:6" x14ac:dyDescent="0.25">
      <c r="A36867" s="2" t="str">
        <f t="shared" si="1237"/>
        <v>99999</v>
      </c>
      <c r="B36867" s="2" t="str">
        <f>"55052"</f>
        <v>55052</v>
      </c>
      <c r="C36867" s="1">
        <v>1.85534871934008E-6</v>
      </c>
      <c r="D36867" s="1">
        <v>0</v>
      </c>
      <c r="E36867" s="1">
        <v>0</v>
      </c>
      <c r="F36867" s="1">
        <v>1.6912472879108699E-6</v>
      </c>
    </row>
    <row r="36868" spans="1:6" x14ac:dyDescent="0.25">
      <c r="A36868" s="2" t="str">
        <f t="shared" si="1237"/>
        <v>99999</v>
      </c>
      <c r="B36868" s="2" t="str">
        <f>"54976"</f>
        <v>54976</v>
      </c>
      <c r="C36868" s="1">
        <v>0</v>
      </c>
      <c r="D36868" s="1">
        <v>0</v>
      </c>
      <c r="E36868" s="1">
        <v>4.3455399550671099E-6</v>
      </c>
      <c r="F36868" s="1">
        <v>9.9485134582992598E-8</v>
      </c>
    </row>
    <row r="36869" spans="1:6" x14ac:dyDescent="0.25">
      <c r="A36869" s="2" t="str">
        <f t="shared" si="1237"/>
        <v>99999</v>
      </c>
      <c r="B36869" s="2" t="str">
        <f>"54971"</f>
        <v>54971</v>
      </c>
      <c r="C36869" s="1">
        <v>4.7584237743075203E-5</v>
      </c>
      <c r="D36869" s="1">
        <v>1.21408213872709E-5</v>
      </c>
      <c r="E36869" s="1">
        <v>1.7382159820268399E-5</v>
      </c>
      <c r="F36869" s="1">
        <v>4.4569340293180698E-5</v>
      </c>
    </row>
    <row r="36870" spans="1:6" x14ac:dyDescent="0.25">
      <c r="A36870" s="2" t="str">
        <f t="shared" si="1237"/>
        <v>99999</v>
      </c>
      <c r="B36870" s="2" t="str">
        <f>"54966"</f>
        <v>54966</v>
      </c>
      <c r="C36870" s="1">
        <v>9.2985712286926806E-5</v>
      </c>
      <c r="D36870" s="1">
        <v>1.07749789812029E-4</v>
      </c>
      <c r="E36870" s="1">
        <v>3.0418779685469802E-5</v>
      </c>
      <c r="F36870" s="1">
        <v>9.2521175162183102E-5</v>
      </c>
    </row>
    <row r="36871" spans="1:6" x14ac:dyDescent="0.25">
      <c r="A36871" s="2" t="str">
        <f t="shared" si="1237"/>
        <v>99999</v>
      </c>
      <c r="B36871" s="2" t="str">
        <f>"54845"</f>
        <v>54845</v>
      </c>
      <c r="C36871" s="1">
        <v>6.3300132777485401E-6</v>
      </c>
      <c r="D36871" s="1">
        <v>7.5880133670443404E-6</v>
      </c>
      <c r="E36871" s="1">
        <v>1.3036619865201299E-5</v>
      </c>
      <c r="F36871" s="1">
        <v>6.5660188824775097E-6</v>
      </c>
    </row>
    <row r="36872" spans="1:6" x14ac:dyDescent="0.25">
      <c r="A36872" s="2" t="str">
        <f t="shared" si="1237"/>
        <v>99999</v>
      </c>
      <c r="B36872" s="2" t="str">
        <f>"54873"</f>
        <v>54873</v>
      </c>
      <c r="C36872" s="1">
        <v>9.4841061006266901E-5</v>
      </c>
      <c r="D36872" s="1">
        <v>1.66936294074975E-5</v>
      </c>
      <c r="E36872" s="1">
        <v>3.47643196405369E-5</v>
      </c>
      <c r="F36872" s="1">
        <v>8.8342799509697395E-5</v>
      </c>
    </row>
    <row r="36873" spans="1:6" x14ac:dyDescent="0.25">
      <c r="A36873" s="2" t="str">
        <f t="shared" si="1237"/>
        <v>99999</v>
      </c>
      <c r="B36873" s="2" t="str">
        <f>"54867"</f>
        <v>54867</v>
      </c>
      <c r="C36873" s="1">
        <v>2.6084020230722401E-5</v>
      </c>
      <c r="D36873" s="1">
        <v>4.5528080202265997E-6</v>
      </c>
      <c r="E36873" s="1">
        <v>4.7800939505738197E-5</v>
      </c>
      <c r="F36873" s="1">
        <v>2.5169739049497099E-5</v>
      </c>
    </row>
    <row r="36874" spans="1:6" x14ac:dyDescent="0.25">
      <c r="A36874" s="2" t="str">
        <f t="shared" si="1237"/>
        <v>99999</v>
      </c>
      <c r="B36874" s="2" t="str">
        <f>"54853"</f>
        <v>54853</v>
      </c>
      <c r="C36874" s="1">
        <v>2.4566999807262E-4</v>
      </c>
      <c r="D36874" s="1">
        <v>8.9538557731123203E-5</v>
      </c>
      <c r="E36874" s="1">
        <v>1.56439438382416E-4</v>
      </c>
      <c r="F36874" s="1">
        <v>2.333921257317E-4</v>
      </c>
    </row>
    <row r="36875" spans="1:6" x14ac:dyDescent="0.25">
      <c r="A36875" s="2" t="str">
        <f t="shared" si="1237"/>
        <v>99999</v>
      </c>
      <c r="B36875" s="2" t="str">
        <f>"54830"</f>
        <v>54830</v>
      </c>
      <c r="C36875" s="1">
        <v>3.46077105236907E-4</v>
      </c>
      <c r="D36875" s="1">
        <v>3.4904861488403899E-5</v>
      </c>
      <c r="E36875" s="1">
        <v>5.6492019415872502E-5</v>
      </c>
      <c r="F36875" s="1">
        <v>3.19048826607657E-4</v>
      </c>
    </row>
    <row r="36876" spans="1:6" x14ac:dyDescent="0.25">
      <c r="A36876" s="2" t="str">
        <f t="shared" si="1237"/>
        <v>99999</v>
      </c>
      <c r="B36876" s="2" t="str">
        <f>"54829"</f>
        <v>54829</v>
      </c>
      <c r="C36876" s="1">
        <v>3.5098832243516E-4</v>
      </c>
      <c r="D36876" s="1">
        <v>1.79077115462246E-4</v>
      </c>
      <c r="E36876" s="1">
        <v>3.86753056000973E-4</v>
      </c>
      <c r="F36876" s="1">
        <v>3.4053761567758299E-4</v>
      </c>
    </row>
    <row r="36877" spans="1:6" x14ac:dyDescent="0.25">
      <c r="A36877" s="2" t="str">
        <f t="shared" si="1237"/>
        <v>99999</v>
      </c>
      <c r="B36877" s="2" t="str">
        <f>"54820"</f>
        <v>54820</v>
      </c>
      <c r="C36877" s="1">
        <v>1.2114335755691101E-5</v>
      </c>
      <c r="D36877" s="1">
        <v>1.51760267340886E-6</v>
      </c>
      <c r="E36877" s="1">
        <v>0</v>
      </c>
      <c r="F36877" s="1">
        <v>1.11423350732951E-5</v>
      </c>
    </row>
    <row r="36878" spans="1:6" x14ac:dyDescent="0.25">
      <c r="A36878" s="2" t="str">
        <f t="shared" si="1237"/>
        <v>99999</v>
      </c>
      <c r="B36878" s="2" t="str">
        <f>"54813"</f>
        <v>54813</v>
      </c>
      <c r="C36878" s="1">
        <v>4.0817671825481903E-5</v>
      </c>
      <c r="D36878" s="1">
        <v>7.5880133670443404E-6</v>
      </c>
      <c r="E36878" s="1">
        <v>8.69107991013423E-6</v>
      </c>
      <c r="F36878" s="1">
        <v>3.7903836276120103E-5</v>
      </c>
    </row>
    <row r="36879" spans="1:6" x14ac:dyDescent="0.25">
      <c r="A36879" s="2" t="str">
        <f t="shared" si="1237"/>
        <v>99999</v>
      </c>
      <c r="B36879" s="2" t="str">
        <f>"54909"</f>
        <v>54909</v>
      </c>
      <c r="C36879" s="1">
        <v>1.15686449558852E-5</v>
      </c>
      <c r="D36879" s="1">
        <v>6.0704106936354696E-6</v>
      </c>
      <c r="E36879" s="1">
        <v>0</v>
      </c>
      <c r="F36879" s="1">
        <v>1.09433648041291E-5</v>
      </c>
    </row>
    <row r="36880" spans="1:6" x14ac:dyDescent="0.25">
      <c r="A36880" s="2" t="str">
        <f t="shared" si="1237"/>
        <v>99999</v>
      </c>
      <c r="B36880" s="2" t="str">
        <f>"54940"</f>
        <v>54940</v>
      </c>
      <c r="C36880" s="1">
        <v>1.4973755546674101E-4</v>
      </c>
      <c r="D36880" s="1">
        <v>5.6151298916128101E-5</v>
      </c>
      <c r="E36880" s="1">
        <v>9.5601879011476503E-5</v>
      </c>
      <c r="F36880" s="1">
        <v>1.4236322758826199E-4</v>
      </c>
    </row>
    <row r="36881" spans="1:6" x14ac:dyDescent="0.25">
      <c r="A36881" s="2" t="str">
        <f t="shared" si="1237"/>
        <v>99999</v>
      </c>
      <c r="B36881" s="2" t="str">
        <f>"54922"</f>
        <v>54922</v>
      </c>
      <c r="C36881" s="1">
        <v>2.7066263670372999E-5</v>
      </c>
      <c r="D36881" s="1">
        <v>1.3658424060679801E-5</v>
      </c>
      <c r="E36881" s="1">
        <v>3.0418779685469802E-5</v>
      </c>
      <c r="F36881" s="1">
        <v>2.6264075529910002E-5</v>
      </c>
    </row>
    <row r="36882" spans="1:6" x14ac:dyDescent="0.25">
      <c r="A36882" s="2" t="str">
        <f t="shared" ref="A36882:A36945" si="1238">"99999"</f>
        <v>99999</v>
      </c>
      <c r="B36882" s="2" t="str">
        <f>"54769"</f>
        <v>54769</v>
      </c>
      <c r="C36882" s="1">
        <v>3.3614553268043901E-5</v>
      </c>
      <c r="D36882" s="1">
        <v>2.5799245447950699E-5</v>
      </c>
      <c r="E36882" s="1">
        <v>3.0418779685469802E-5</v>
      </c>
      <c r="F36882" s="1">
        <v>3.3029064681553501E-5</v>
      </c>
    </row>
    <row r="36883" spans="1:6" x14ac:dyDescent="0.25">
      <c r="A36883" s="2" t="str">
        <f t="shared" si="1238"/>
        <v>99999</v>
      </c>
      <c r="B36883" s="2" t="str">
        <f>"54761"</f>
        <v>54761</v>
      </c>
      <c r="C36883" s="1">
        <v>3.2741447988354498E-7</v>
      </c>
      <c r="D36883" s="1">
        <v>0</v>
      </c>
      <c r="E36883" s="1">
        <v>0</v>
      </c>
      <c r="F36883" s="1">
        <v>2.9845540374897701E-7</v>
      </c>
    </row>
    <row r="36884" spans="1:6" x14ac:dyDescent="0.25">
      <c r="A36884" s="2" t="str">
        <f t="shared" si="1238"/>
        <v>99999</v>
      </c>
      <c r="B36884" s="2" t="str">
        <f>"54773"</f>
        <v>54773</v>
      </c>
      <c r="C36884" s="1">
        <v>1.7036466769940401E-4</v>
      </c>
      <c r="D36884" s="1">
        <v>1.7148910209520199E-4</v>
      </c>
      <c r="E36884" s="1">
        <v>2.3465915757362401E-4</v>
      </c>
      <c r="F36884" s="1">
        <v>1.71910312559411E-4</v>
      </c>
    </row>
    <row r="36885" spans="1:6" x14ac:dyDescent="0.25">
      <c r="A36885" s="2" t="str">
        <f t="shared" si="1238"/>
        <v>99999</v>
      </c>
      <c r="B36885" s="2" t="str">
        <f>"54766"</f>
        <v>54766</v>
      </c>
      <c r="C36885" s="1">
        <v>7.6396711972827203E-5</v>
      </c>
      <c r="D36885" s="1">
        <v>3.6422464161812797E-5</v>
      </c>
      <c r="E36885" s="1">
        <v>2.60732397304027E-5</v>
      </c>
      <c r="F36885" s="1">
        <v>7.2624148245584605E-5</v>
      </c>
    </row>
    <row r="36886" spans="1:6" x14ac:dyDescent="0.25">
      <c r="A36886" s="2" t="str">
        <f t="shared" si="1238"/>
        <v>99999</v>
      </c>
      <c r="B36886" s="2" t="str">
        <f>"54758"</f>
        <v>54758</v>
      </c>
      <c r="C36886" s="1">
        <v>2.0910871448562399E-4</v>
      </c>
      <c r="D36886" s="1">
        <v>1.6541869140156601E-4</v>
      </c>
      <c r="E36886" s="1">
        <v>2.5204131739389198E-4</v>
      </c>
      <c r="F36886" s="1">
        <v>2.0722753533637301E-4</v>
      </c>
    </row>
    <row r="36887" spans="1:6" x14ac:dyDescent="0.25">
      <c r="A36887" s="2" t="str">
        <f t="shared" si="1238"/>
        <v>99999</v>
      </c>
      <c r="B36887" s="2" t="str">
        <f>"54745"</f>
        <v>54745</v>
      </c>
      <c r="C36887" s="1">
        <v>3.2741447988354499E-5</v>
      </c>
      <c r="D36887" s="1">
        <v>1.21408213872709E-5</v>
      </c>
      <c r="E36887" s="1">
        <v>8.69107991013423E-6</v>
      </c>
      <c r="F36887" s="1">
        <v>3.0840391720727703E-5</v>
      </c>
    </row>
    <row r="36888" spans="1:6" x14ac:dyDescent="0.25">
      <c r="A36888" s="2" t="str">
        <f t="shared" si="1238"/>
        <v>99999</v>
      </c>
      <c r="B36888" s="2" t="str">
        <f>"54741"</f>
        <v>54741</v>
      </c>
      <c r="C36888" s="1">
        <v>3.3505415108082699E-5</v>
      </c>
      <c r="D36888" s="1">
        <v>6.0704106936354696E-6</v>
      </c>
      <c r="E36888" s="1">
        <v>4.3455399550671099E-6</v>
      </c>
      <c r="F36888" s="1">
        <v>3.10393619898937E-5</v>
      </c>
    </row>
    <row r="36889" spans="1:6" x14ac:dyDescent="0.25">
      <c r="A36889" s="2" t="str">
        <f t="shared" si="1238"/>
        <v>99999</v>
      </c>
      <c r="B36889" s="2" t="str">
        <f>"54736"</f>
        <v>54736</v>
      </c>
      <c r="C36889" s="1">
        <v>2.1150975400476999E-4</v>
      </c>
      <c r="D36889" s="1">
        <v>2.9441491864132003E-4</v>
      </c>
      <c r="E36889" s="1">
        <v>2.7376901716922799E-4</v>
      </c>
      <c r="F36889" s="1">
        <v>2.18369870409668E-4</v>
      </c>
    </row>
    <row r="36890" spans="1:6" x14ac:dyDescent="0.25">
      <c r="A36890" s="2" t="str">
        <f t="shared" si="1238"/>
        <v>99999</v>
      </c>
      <c r="B36890" s="2" t="str">
        <f>"54536"</f>
        <v>54536</v>
      </c>
      <c r="C36890" s="1">
        <v>8.7310527968945299E-6</v>
      </c>
      <c r="D36890" s="1">
        <v>0</v>
      </c>
      <c r="E36890" s="1">
        <v>4.3455399550671099E-6</v>
      </c>
      <c r="F36890" s="1">
        <v>8.0582959012224002E-6</v>
      </c>
    </row>
    <row r="36891" spans="1:6" x14ac:dyDescent="0.25">
      <c r="A36891" s="2" t="str">
        <f t="shared" si="1238"/>
        <v>99999</v>
      </c>
      <c r="B36891" s="2" t="str">
        <f>"54546"</f>
        <v>54546</v>
      </c>
      <c r="C36891" s="1">
        <v>7.1922047414418698E-5</v>
      </c>
      <c r="D36891" s="1">
        <v>4.7045682875674899E-5</v>
      </c>
      <c r="E36891" s="1">
        <v>8.2565259146275205E-5</v>
      </c>
      <c r="F36891" s="1">
        <v>7.0534960419341698E-5</v>
      </c>
    </row>
    <row r="36892" spans="1:6" x14ac:dyDescent="0.25">
      <c r="A36892" s="2" t="str">
        <f t="shared" si="1238"/>
        <v>99999</v>
      </c>
      <c r="B36892" s="2" t="str">
        <f>"54534"</f>
        <v>54534</v>
      </c>
      <c r="C36892" s="1">
        <v>2.28753583278636E-4</v>
      </c>
      <c r="D36892" s="1">
        <v>3.4449580686381301E-4</v>
      </c>
      <c r="E36892" s="1">
        <v>3.9544413591110703E-4</v>
      </c>
      <c r="F36892" s="1">
        <v>2.4015711488334401E-4</v>
      </c>
    </row>
    <row r="36893" spans="1:6" x14ac:dyDescent="0.25">
      <c r="A36893" s="2" t="str">
        <f t="shared" si="1238"/>
        <v>99999</v>
      </c>
      <c r="B36893" s="2" t="str">
        <f>"54527"</f>
        <v>54527</v>
      </c>
      <c r="C36893" s="1">
        <v>7.4213948773603494E-5</v>
      </c>
      <c r="D36893" s="1">
        <v>1.21408213872709E-5</v>
      </c>
      <c r="E36893" s="1">
        <v>4.7800939505738197E-5</v>
      </c>
      <c r="F36893" s="1">
        <v>6.9540109073511794E-5</v>
      </c>
    </row>
    <row r="36894" spans="1:6" x14ac:dyDescent="0.25">
      <c r="A36894" s="2" t="str">
        <f t="shared" si="1238"/>
        <v>99999</v>
      </c>
      <c r="B36894" s="2" t="str">
        <f>"54514"</f>
        <v>54514</v>
      </c>
      <c r="C36894" s="1">
        <v>1.2485405499559099E-4</v>
      </c>
      <c r="D36894" s="1">
        <v>3.3387258814995101E-5</v>
      </c>
      <c r="E36894" s="1">
        <v>5.21464794608054E-5</v>
      </c>
      <c r="F36894" s="1">
        <v>1.17193488538765E-4</v>
      </c>
    </row>
    <row r="36895" spans="1:6" x14ac:dyDescent="0.25">
      <c r="A36895" s="2" t="str">
        <f t="shared" si="1238"/>
        <v>99999</v>
      </c>
      <c r="B36895" s="2" t="str">
        <f>"54513"</f>
        <v>54513</v>
      </c>
      <c r="C36895" s="1">
        <v>3.17592045487038E-5</v>
      </c>
      <c r="D36895" s="1">
        <v>3.0352053468177301E-6</v>
      </c>
      <c r="E36895" s="1">
        <v>4.3455399550671099E-6</v>
      </c>
      <c r="F36895" s="1">
        <v>2.9248629567399801E-5</v>
      </c>
    </row>
    <row r="36896" spans="1:6" x14ac:dyDescent="0.25">
      <c r="A36896" s="2" t="str">
        <f t="shared" si="1238"/>
        <v>99999</v>
      </c>
      <c r="B36896" s="2" t="str">
        <f>"54499"</f>
        <v>54499</v>
      </c>
      <c r="C36896" s="1">
        <v>3.2741447988354498E-7</v>
      </c>
      <c r="D36896" s="1">
        <v>0</v>
      </c>
      <c r="E36896" s="1">
        <v>0</v>
      </c>
      <c r="F36896" s="1">
        <v>2.9845540374897701E-7</v>
      </c>
    </row>
    <row r="36897" spans="1:6" x14ac:dyDescent="0.25">
      <c r="A36897" s="2" t="str">
        <f t="shared" si="1238"/>
        <v>99999</v>
      </c>
      <c r="B36897" s="2" t="str">
        <f>"54641"</f>
        <v>54641</v>
      </c>
      <c r="C36897" s="1">
        <v>0</v>
      </c>
      <c r="D36897" s="1">
        <v>0</v>
      </c>
      <c r="E36897" s="1">
        <v>4.3455399550671099E-6</v>
      </c>
      <c r="F36897" s="1">
        <v>9.9485134582992598E-8</v>
      </c>
    </row>
    <row r="36898" spans="1:6" x14ac:dyDescent="0.25">
      <c r="A36898" s="2" t="str">
        <f t="shared" si="1238"/>
        <v>99999</v>
      </c>
      <c r="B36898" s="2" t="str">
        <f>"54631"</f>
        <v>54631</v>
      </c>
      <c r="C36898" s="1">
        <v>1.07391949401802E-4</v>
      </c>
      <c r="D36898" s="1">
        <v>5.9186504262945899E-5</v>
      </c>
      <c r="E36898" s="1">
        <v>6.0837559370939603E-5</v>
      </c>
      <c r="F36898" s="1">
        <v>1.03166084562563E-4</v>
      </c>
    </row>
    <row r="36899" spans="1:6" x14ac:dyDescent="0.25">
      <c r="A36899" s="2" t="str">
        <f t="shared" si="1238"/>
        <v>99999</v>
      </c>
      <c r="B36899" s="2" t="str">
        <f>"54621"</f>
        <v>54621</v>
      </c>
      <c r="C36899" s="1">
        <v>4.8675619342686997E-5</v>
      </c>
      <c r="D36899" s="1">
        <v>1.66936294074975E-5</v>
      </c>
      <c r="E36899" s="1">
        <v>5.21464794608054E-5</v>
      </c>
      <c r="F36899" s="1">
        <v>4.6658528119423498E-5</v>
      </c>
    </row>
    <row r="36900" spans="1:6" x14ac:dyDescent="0.25">
      <c r="A36900" s="2" t="str">
        <f t="shared" si="1238"/>
        <v>99999</v>
      </c>
      <c r="B36900" s="2" t="str">
        <f>"54619"</f>
        <v>54619</v>
      </c>
      <c r="C36900" s="1">
        <v>1.7538502305761901E-4</v>
      </c>
      <c r="D36900" s="1">
        <v>5.15984908959015E-5</v>
      </c>
      <c r="E36900" s="1">
        <v>8.2565259146275205E-5</v>
      </c>
      <c r="F36900" s="1">
        <v>1.6514532340776699E-4</v>
      </c>
    </row>
    <row r="36901" spans="1:6" x14ac:dyDescent="0.25">
      <c r="A36901" s="2" t="str">
        <f t="shared" si="1238"/>
        <v>99999</v>
      </c>
      <c r="B36901" s="2" t="str">
        <f>"54667"</f>
        <v>54667</v>
      </c>
      <c r="C36901" s="1">
        <v>2.30390655678054E-4</v>
      </c>
      <c r="D36901" s="1">
        <v>2.06393963583606E-4</v>
      </c>
      <c r="E36901" s="1">
        <v>2.1727699775335501E-4</v>
      </c>
      <c r="F36901" s="1">
        <v>2.28517354137134E-4</v>
      </c>
    </row>
    <row r="36902" spans="1:6" x14ac:dyDescent="0.25">
      <c r="A36902" s="2" t="str">
        <f t="shared" si="1238"/>
        <v>99999</v>
      </c>
      <c r="B36902" s="2" t="str">
        <f>"54666"</f>
        <v>54666</v>
      </c>
      <c r="C36902" s="1">
        <v>1.5825033194371299E-4</v>
      </c>
      <c r="D36902" s="1">
        <v>4.8563285549083798E-5</v>
      </c>
      <c r="E36902" s="1">
        <v>9.5601879011476503E-5</v>
      </c>
      <c r="F36902" s="1">
        <v>1.4962564241282001E-4</v>
      </c>
    </row>
    <row r="36903" spans="1:6" x14ac:dyDescent="0.25">
      <c r="A36903" s="2" t="str">
        <f t="shared" si="1238"/>
        <v>99999</v>
      </c>
      <c r="B36903" s="2" t="str">
        <f>"54665"</f>
        <v>54665</v>
      </c>
      <c r="C36903" s="1">
        <v>4.7464185767117902E-4</v>
      </c>
      <c r="D36903" s="1">
        <v>6.8595640838080903E-4</v>
      </c>
      <c r="E36903" s="1">
        <v>8.0827043164248297E-4</v>
      </c>
      <c r="F36903" s="1">
        <v>4.9613236616538397E-4</v>
      </c>
    </row>
    <row r="36904" spans="1:6" x14ac:dyDescent="0.25">
      <c r="A36904" s="2" t="str">
        <f t="shared" si="1238"/>
        <v>99999</v>
      </c>
      <c r="B36904" s="2" t="str">
        <f>"54658"</f>
        <v>54658</v>
      </c>
      <c r="C36904" s="1">
        <v>1.09683850760987E-4</v>
      </c>
      <c r="D36904" s="1">
        <v>2.7316848121359601E-5</v>
      </c>
      <c r="E36904" s="1">
        <v>8.2565259146275205E-5</v>
      </c>
      <c r="F36904" s="1">
        <v>1.03663510235478E-4</v>
      </c>
    </row>
    <row r="36905" spans="1:6" x14ac:dyDescent="0.25">
      <c r="A36905" s="2" t="str">
        <f t="shared" si="1238"/>
        <v>99999</v>
      </c>
      <c r="B36905" s="2" t="str">
        <f>"54486"</f>
        <v>54486</v>
      </c>
      <c r="C36905" s="1">
        <v>1.1132092316040499E-5</v>
      </c>
      <c r="D36905" s="1">
        <v>0</v>
      </c>
      <c r="E36905" s="1">
        <v>0</v>
      </c>
      <c r="F36905" s="1">
        <v>1.01474837274652E-5</v>
      </c>
    </row>
    <row r="36906" spans="1:6" x14ac:dyDescent="0.25">
      <c r="A36906" s="2" t="str">
        <f t="shared" si="1238"/>
        <v>99999</v>
      </c>
      <c r="B36906" s="2" t="str">
        <f>"54614"</f>
        <v>54614</v>
      </c>
      <c r="C36906" s="1">
        <v>6.5482895976708995E-7</v>
      </c>
      <c r="D36906" s="1">
        <v>0</v>
      </c>
      <c r="E36906" s="1">
        <v>0</v>
      </c>
      <c r="F36906" s="1">
        <v>5.9691080749795498E-7</v>
      </c>
    </row>
    <row r="36907" spans="1:6" x14ac:dyDescent="0.25">
      <c r="A36907" s="2" t="str">
        <f t="shared" si="1238"/>
        <v>99999</v>
      </c>
      <c r="B36907" s="2" t="str">
        <f>"54613"</f>
        <v>54613</v>
      </c>
      <c r="C36907" s="1">
        <v>2.0125076696841899E-4</v>
      </c>
      <c r="D36907" s="1">
        <v>3.3387258814995101E-5</v>
      </c>
      <c r="E36907" s="1">
        <v>3.9544413591110703E-4</v>
      </c>
      <c r="F36907" s="1">
        <v>1.94692408378916E-4</v>
      </c>
    </row>
    <row r="36908" spans="1:6" x14ac:dyDescent="0.25">
      <c r="A36908" s="2" t="str">
        <f t="shared" si="1238"/>
        <v>99999</v>
      </c>
      <c r="B36908" s="2" t="str">
        <f>"54452"</f>
        <v>54452</v>
      </c>
      <c r="C36908" s="1">
        <v>1.09138159961181E-7</v>
      </c>
      <c r="D36908" s="1">
        <v>0</v>
      </c>
      <c r="E36908" s="1">
        <v>0</v>
      </c>
      <c r="F36908" s="1">
        <v>9.9485134582992598E-8</v>
      </c>
    </row>
    <row r="36909" spans="1:6" x14ac:dyDescent="0.25">
      <c r="A36909" s="2" t="str">
        <f t="shared" si="1238"/>
        <v>99999</v>
      </c>
      <c r="B36909" s="2" t="str">
        <f>"54201"</f>
        <v>54201</v>
      </c>
      <c r="C36909" s="1">
        <v>1.20051975957299E-5</v>
      </c>
      <c r="D36909" s="1">
        <v>3.0352053468177301E-6</v>
      </c>
      <c r="E36909" s="1">
        <v>0</v>
      </c>
      <c r="F36909" s="1">
        <v>1.11423350732951E-5</v>
      </c>
    </row>
    <row r="36910" spans="1:6" x14ac:dyDescent="0.25">
      <c r="A36910" s="2" t="str">
        <f t="shared" si="1238"/>
        <v>99999</v>
      </c>
      <c r="B36910" s="2" t="str">
        <f>"54405"</f>
        <v>54405</v>
      </c>
      <c r="C36910" s="1">
        <v>9.1239501727547893E-5</v>
      </c>
      <c r="D36910" s="1">
        <v>3.6422464161812797E-5</v>
      </c>
      <c r="E36910" s="1">
        <v>1.4340281851721399E-4</v>
      </c>
      <c r="F36910" s="1">
        <v>8.8840225182612394E-5</v>
      </c>
    </row>
    <row r="36911" spans="1:6" x14ac:dyDescent="0.25">
      <c r="A36911" s="2" t="str">
        <f t="shared" si="1238"/>
        <v>99999</v>
      </c>
      <c r="B36911" s="2" t="str">
        <f>"54103"</f>
        <v>54103</v>
      </c>
      <c r="C36911" s="1">
        <v>3.2195757188548602E-5</v>
      </c>
      <c r="D36911" s="1">
        <v>1.0623218713862E-5</v>
      </c>
      <c r="E36911" s="1">
        <v>4.3455399550671099E-6</v>
      </c>
      <c r="F36911" s="1">
        <v>3.01439957786467E-5</v>
      </c>
    </row>
    <row r="36912" spans="1:6" x14ac:dyDescent="0.25">
      <c r="A36912" s="2" t="str">
        <f t="shared" si="1238"/>
        <v>99999</v>
      </c>
      <c r="B36912" s="2" t="str">
        <f>"54026"</f>
        <v>54026</v>
      </c>
      <c r="C36912" s="1">
        <v>5.9262020858921601E-5</v>
      </c>
      <c r="D36912" s="1">
        <v>3.0352053468177301E-6</v>
      </c>
      <c r="E36912" s="1">
        <v>4.3455399550671099E-6</v>
      </c>
      <c r="F36912" s="1">
        <v>5.4318883482313902E-5</v>
      </c>
    </row>
    <row r="36913" spans="1:6" x14ac:dyDescent="0.25">
      <c r="A36913" s="2" t="str">
        <f t="shared" si="1238"/>
        <v>99999</v>
      </c>
      <c r="B36913" s="2" t="str">
        <f>"54007"</f>
        <v>54007</v>
      </c>
      <c r="C36913" s="1">
        <v>1.8990039833245598E-5</v>
      </c>
      <c r="D36913" s="1">
        <v>1.51760267340886E-6</v>
      </c>
      <c r="E36913" s="1">
        <v>0</v>
      </c>
      <c r="F36913" s="1">
        <v>1.74098985520237E-5</v>
      </c>
    </row>
    <row r="36914" spans="1:6" x14ac:dyDescent="0.25">
      <c r="A36914" s="2" t="str">
        <f t="shared" si="1238"/>
        <v>99999</v>
      </c>
      <c r="B36914" s="2" t="str">
        <f>"54006"</f>
        <v>54006</v>
      </c>
      <c r="C36914" s="1">
        <v>4.6383717983502201E-5</v>
      </c>
      <c r="D36914" s="1">
        <v>9.1056160404532095E-6</v>
      </c>
      <c r="E36914" s="1">
        <v>8.69107991013423E-6</v>
      </c>
      <c r="F36914" s="1">
        <v>4.3077063274435802E-5</v>
      </c>
    </row>
    <row r="36915" spans="1:6" x14ac:dyDescent="0.25">
      <c r="A36915" s="2" t="str">
        <f t="shared" si="1238"/>
        <v>99999</v>
      </c>
      <c r="B36915" s="2" t="str">
        <f>"54005"</f>
        <v>54005</v>
      </c>
      <c r="C36915" s="1">
        <v>1.35877009151671E-4</v>
      </c>
      <c r="D36915" s="1">
        <v>6.37393122831725E-5</v>
      </c>
      <c r="E36915" s="1">
        <v>8.69107991013423E-5</v>
      </c>
      <c r="F36915" s="1">
        <v>1.3002707089997099E-4</v>
      </c>
    </row>
    <row r="36916" spans="1:6" x14ac:dyDescent="0.25">
      <c r="A36916" s="2" t="str">
        <f t="shared" si="1238"/>
        <v>99999</v>
      </c>
      <c r="B36916" s="2" t="str">
        <f>"53929"</f>
        <v>53929</v>
      </c>
      <c r="C36916" s="1">
        <v>1.5039238442650799E-4</v>
      </c>
      <c r="D36916" s="1">
        <v>1.8059471813565501E-4</v>
      </c>
      <c r="E36916" s="1">
        <v>1.73821598202684E-4</v>
      </c>
      <c r="F36916" s="1">
        <v>1.5290865185405901E-4</v>
      </c>
    </row>
    <row r="36917" spans="1:6" x14ac:dyDescent="0.25">
      <c r="A36917" s="2" t="str">
        <f t="shared" si="1238"/>
        <v>99999</v>
      </c>
      <c r="B36917" s="2" t="str">
        <f>"53962"</f>
        <v>53962</v>
      </c>
      <c r="C36917" s="1">
        <v>2.5101776791071799E-6</v>
      </c>
      <c r="D36917" s="1">
        <v>0</v>
      </c>
      <c r="E36917" s="1">
        <v>1.3036619865201299E-5</v>
      </c>
      <c r="F36917" s="1">
        <v>2.5866134991578E-6</v>
      </c>
    </row>
    <row r="36918" spans="1:6" x14ac:dyDescent="0.25">
      <c r="A36918" s="2" t="str">
        <f t="shared" si="1238"/>
        <v>99999</v>
      </c>
      <c r="B36918" s="2" t="str">
        <f>"53910"</f>
        <v>53910</v>
      </c>
      <c r="C36918" s="1">
        <v>2.11073201364925E-4</v>
      </c>
      <c r="D36918" s="1">
        <v>1.9880595021656101E-4</v>
      </c>
      <c r="E36918" s="1">
        <v>2.8246009707936202E-4</v>
      </c>
      <c r="F36918" s="1">
        <v>2.11903336661774E-4</v>
      </c>
    </row>
    <row r="36919" spans="1:6" x14ac:dyDescent="0.25">
      <c r="A36919" s="2" t="str">
        <f t="shared" si="1238"/>
        <v>99999</v>
      </c>
      <c r="B36919" s="2" t="str">
        <f>"53588"</f>
        <v>53588</v>
      </c>
      <c r="C36919" s="1">
        <v>8.7310527968945299E-7</v>
      </c>
      <c r="D36919" s="1">
        <v>0</v>
      </c>
      <c r="E36919" s="1">
        <v>0</v>
      </c>
      <c r="F36919" s="1">
        <v>7.9588107666394099E-7</v>
      </c>
    </row>
    <row r="36920" spans="1:6" x14ac:dyDescent="0.25">
      <c r="A36920" s="2" t="str">
        <f t="shared" si="1238"/>
        <v>99999</v>
      </c>
      <c r="B36920" s="2" t="str">
        <f>"52721"</f>
        <v>52721</v>
      </c>
      <c r="C36920" s="1">
        <v>3.7980079666491197E-5</v>
      </c>
      <c r="D36920" s="1">
        <v>9.1056160404532095E-6</v>
      </c>
      <c r="E36920" s="1">
        <v>2.1727699775335501E-5</v>
      </c>
      <c r="F36920" s="1">
        <v>3.5715163315294298E-5</v>
      </c>
    </row>
    <row r="36921" spans="1:6" x14ac:dyDescent="0.25">
      <c r="A36921" s="2" t="str">
        <f t="shared" si="1238"/>
        <v>99999</v>
      </c>
      <c r="B36921" s="2" t="str">
        <f>"52215"</f>
        <v>52215</v>
      </c>
      <c r="C36921" s="1">
        <v>4.2891296864744402E-5</v>
      </c>
      <c r="D36921" s="1">
        <v>9.1056160404532095E-6</v>
      </c>
      <c r="E36921" s="1">
        <v>0</v>
      </c>
      <c r="F36921" s="1">
        <v>3.9694568698614001E-5</v>
      </c>
    </row>
    <row r="36922" spans="1:6" x14ac:dyDescent="0.25">
      <c r="A36922" s="2" t="str">
        <f t="shared" si="1238"/>
        <v>99999</v>
      </c>
      <c r="B36922" s="2" t="str">
        <f>"52231"</f>
        <v>52231</v>
      </c>
      <c r="C36922" s="1">
        <v>1.7898658233633802E-5</v>
      </c>
      <c r="D36922" s="1">
        <v>2.2764040101133E-5</v>
      </c>
      <c r="E36922" s="1">
        <v>0</v>
      </c>
      <c r="F36922" s="1">
        <v>1.7807839090355599E-5</v>
      </c>
    </row>
    <row r="36923" spans="1:6" x14ac:dyDescent="0.25">
      <c r="A36923" s="2" t="str">
        <f t="shared" si="1238"/>
        <v>99999</v>
      </c>
      <c r="B36923" s="2" t="str">
        <f>"52207"</f>
        <v>52207</v>
      </c>
      <c r="C36923" s="1">
        <v>2.2591599111964599E-5</v>
      </c>
      <c r="D36923" s="1">
        <v>1.9728834754315301E-5</v>
      </c>
      <c r="E36923" s="1">
        <v>4.3455399550671099E-6</v>
      </c>
      <c r="F36923" s="1">
        <v>2.1986214742841299E-5</v>
      </c>
    </row>
    <row r="36924" spans="1:6" x14ac:dyDescent="0.25">
      <c r="A36924" s="2" t="str">
        <f t="shared" si="1238"/>
        <v>99999</v>
      </c>
      <c r="B36924" s="2" t="str">
        <f>"52584"</f>
        <v>52584</v>
      </c>
      <c r="C36924" s="1">
        <v>1.8444349033439702E-5</v>
      </c>
      <c r="D36924" s="1">
        <v>1.3658424060679801E-5</v>
      </c>
      <c r="E36924" s="1">
        <v>2.1727699775335501E-5</v>
      </c>
      <c r="F36924" s="1">
        <v>1.82057796286876E-5</v>
      </c>
    </row>
    <row r="36925" spans="1:6" x14ac:dyDescent="0.25">
      <c r="A36925" s="2" t="str">
        <f t="shared" si="1238"/>
        <v>99999</v>
      </c>
      <c r="B36925" s="2" t="str">
        <f>"52552"</f>
        <v>52552</v>
      </c>
      <c r="C36925" s="1">
        <v>3.9071461266102997E-5</v>
      </c>
      <c r="D36925" s="1">
        <v>3.0352053468177301E-5</v>
      </c>
      <c r="E36925" s="1">
        <v>1.3036619865201299E-5</v>
      </c>
      <c r="F36925" s="1">
        <v>3.7903836276120103E-5</v>
      </c>
    </row>
    <row r="36926" spans="1:6" x14ac:dyDescent="0.25">
      <c r="A36926" s="2" t="str">
        <f t="shared" si="1238"/>
        <v>99999</v>
      </c>
      <c r="B36926" s="2" t="str">
        <f>"52361"</f>
        <v>52361</v>
      </c>
      <c r="C36926" s="1">
        <v>2.23405813440539E-4</v>
      </c>
      <c r="D36926" s="1">
        <v>2.3219320903155699E-4</v>
      </c>
      <c r="E36926" s="1">
        <v>2.5638685734895902E-4</v>
      </c>
      <c r="F36926" s="1">
        <v>2.2473691902297999E-4</v>
      </c>
    </row>
    <row r="36927" spans="1:6" x14ac:dyDescent="0.25">
      <c r="A36927" s="2" t="str">
        <f t="shared" si="1238"/>
        <v>99999</v>
      </c>
      <c r="B36927" s="2" t="str">
        <f>"52078"</f>
        <v>52078</v>
      </c>
      <c r="C36927" s="1">
        <v>8.6219146369333496E-6</v>
      </c>
      <c r="D36927" s="1">
        <v>0</v>
      </c>
      <c r="E36927" s="1">
        <v>0</v>
      </c>
      <c r="F36927" s="1">
        <v>7.85932563205641E-6</v>
      </c>
    </row>
    <row r="36928" spans="1:6" x14ac:dyDescent="0.25">
      <c r="A36928" s="2" t="str">
        <f t="shared" si="1238"/>
        <v>99999</v>
      </c>
      <c r="B36928" s="2" t="str">
        <f>"52170"</f>
        <v>52170</v>
      </c>
      <c r="C36928" s="1">
        <v>3.17592045487038E-5</v>
      </c>
      <c r="D36928" s="1">
        <v>3.3387258814995101E-5</v>
      </c>
      <c r="E36928" s="1">
        <v>8.69107991013423E-6</v>
      </c>
      <c r="F36928" s="1">
        <v>3.1337817393642601E-5</v>
      </c>
    </row>
    <row r="36929" spans="1:6" x14ac:dyDescent="0.25">
      <c r="A36929" s="2" t="str">
        <f t="shared" si="1238"/>
        <v>99999</v>
      </c>
      <c r="B36929" s="2" t="str">
        <f>"52151"</f>
        <v>52151</v>
      </c>
      <c r="C36929" s="1">
        <v>1.3740494339112701E-4</v>
      </c>
      <c r="D36929" s="1">
        <v>8.4985749710896595E-5</v>
      </c>
      <c r="E36929" s="1">
        <v>1.21675118741879E-4</v>
      </c>
      <c r="F36929" s="1">
        <v>1.3360853574495899E-4</v>
      </c>
    </row>
    <row r="36930" spans="1:6" x14ac:dyDescent="0.25">
      <c r="A36930" s="2" t="str">
        <f t="shared" si="1238"/>
        <v>99999</v>
      </c>
      <c r="B36930" s="2" t="str">
        <f>"52147"</f>
        <v>52147</v>
      </c>
      <c r="C36930" s="1">
        <v>4.6274579823540998E-5</v>
      </c>
      <c r="D36930" s="1">
        <v>1.0623218713862E-5</v>
      </c>
      <c r="E36930" s="1">
        <v>3.9109859595604001E-5</v>
      </c>
      <c r="F36930" s="1">
        <v>4.3773459216516703E-5</v>
      </c>
    </row>
    <row r="36931" spans="1:6" x14ac:dyDescent="0.25">
      <c r="A36931" s="2" t="str">
        <f t="shared" si="1238"/>
        <v>99999</v>
      </c>
      <c r="B36931" s="2" t="str">
        <f>"52135"</f>
        <v>52135</v>
      </c>
      <c r="C36931" s="1">
        <v>4.9657862782337601E-5</v>
      </c>
      <c r="D36931" s="1">
        <v>1.21408213872709E-5</v>
      </c>
      <c r="E36931" s="1">
        <v>3.0418779685469802E-5</v>
      </c>
      <c r="F36931" s="1">
        <v>4.6758013254006503E-5</v>
      </c>
    </row>
    <row r="36932" spans="1:6" x14ac:dyDescent="0.25">
      <c r="A36932" s="2" t="str">
        <f t="shared" si="1238"/>
        <v>99999</v>
      </c>
      <c r="B36932" s="2" t="str">
        <f>"52101"</f>
        <v>52101</v>
      </c>
      <c r="C36932" s="1">
        <v>9.6270770901758405E-4</v>
      </c>
      <c r="D36932" s="1">
        <v>9.0600879602509505E-4</v>
      </c>
      <c r="E36932" s="1">
        <v>1.2037145675535901E-3</v>
      </c>
      <c r="F36932" s="1">
        <v>9.6450837978211297E-4</v>
      </c>
    </row>
    <row r="36933" spans="1:6" x14ac:dyDescent="0.25">
      <c r="A36933" s="2" t="str">
        <f t="shared" si="1238"/>
        <v>99999</v>
      </c>
      <c r="B36933" s="2" t="str">
        <f>"52070"</f>
        <v>52070</v>
      </c>
      <c r="C36933" s="1">
        <v>6.4609790697019501E-5</v>
      </c>
      <c r="D36933" s="1">
        <v>4.5528080202265997E-6</v>
      </c>
      <c r="E36933" s="1">
        <v>1.3036619865201299E-5</v>
      </c>
      <c r="F36933" s="1">
        <v>5.94921104806295E-5</v>
      </c>
    </row>
    <row r="36934" spans="1:6" x14ac:dyDescent="0.25">
      <c r="A36934" s="2" t="str">
        <f t="shared" si="1238"/>
        <v>99999</v>
      </c>
      <c r="B36934" s="2" t="str">
        <f>"52327"</f>
        <v>52327</v>
      </c>
      <c r="C36934" s="1">
        <v>6.5482895976708995E-7</v>
      </c>
      <c r="D36934" s="1">
        <v>0</v>
      </c>
      <c r="E36934" s="1">
        <v>0</v>
      </c>
      <c r="F36934" s="1">
        <v>5.9691080749795498E-7</v>
      </c>
    </row>
    <row r="36935" spans="1:6" x14ac:dyDescent="0.25">
      <c r="A36935" s="2" t="str">
        <f t="shared" si="1238"/>
        <v>99999</v>
      </c>
      <c r="B36935" s="2" t="str">
        <f>"52347"</f>
        <v>52347</v>
      </c>
      <c r="C36935" s="1">
        <v>7.6614988292749499E-5</v>
      </c>
      <c r="D36935" s="1">
        <v>1.9728834754315301E-5</v>
      </c>
      <c r="E36935" s="1">
        <v>1.17329578786812E-4</v>
      </c>
      <c r="F36935" s="1">
        <v>7.3817969860580506E-5</v>
      </c>
    </row>
    <row r="36936" spans="1:6" x14ac:dyDescent="0.25">
      <c r="A36936" s="2" t="str">
        <f t="shared" si="1238"/>
        <v>99999</v>
      </c>
      <c r="B36936" s="2" t="str">
        <f>"52309"</f>
        <v>52309</v>
      </c>
      <c r="C36936" s="1">
        <v>2.0081421432857398E-5</v>
      </c>
      <c r="D36936" s="1">
        <v>1.0623218713862E-5</v>
      </c>
      <c r="E36936" s="1">
        <v>8.69107991013423E-6</v>
      </c>
      <c r="F36936" s="1">
        <v>1.92006309745175E-5</v>
      </c>
    </row>
    <row r="36937" spans="1:6" x14ac:dyDescent="0.25">
      <c r="A36937" s="2" t="str">
        <f t="shared" si="1238"/>
        <v>99999</v>
      </c>
      <c r="B36937" s="2" t="str">
        <f>"52031"</f>
        <v>52031</v>
      </c>
      <c r="C36937" s="1">
        <v>2.4141360983413401E-4</v>
      </c>
      <c r="D36937" s="1">
        <v>2.6102765982632503E-4</v>
      </c>
      <c r="E36937" s="1">
        <v>1.6078497833748299E-4</v>
      </c>
      <c r="F36937" s="1">
        <v>2.40853510825425E-4</v>
      </c>
    </row>
    <row r="36938" spans="1:6" x14ac:dyDescent="0.25">
      <c r="A36938" s="2" t="str">
        <f t="shared" si="1238"/>
        <v>99999</v>
      </c>
      <c r="B36938" s="2" t="str">
        <f>"51061"</f>
        <v>51061</v>
      </c>
      <c r="C36938" s="1">
        <v>2.7393678150256599E-5</v>
      </c>
      <c r="D36938" s="1">
        <v>1.9728834754315301E-5</v>
      </c>
      <c r="E36938" s="1">
        <v>1.3036619865201299E-5</v>
      </c>
      <c r="F36938" s="1">
        <v>2.6562530933659001E-5</v>
      </c>
    </row>
    <row r="36939" spans="1:6" x14ac:dyDescent="0.25">
      <c r="A36939" s="2" t="str">
        <f t="shared" si="1238"/>
        <v>99999</v>
      </c>
      <c r="B36939" s="2" t="str">
        <f>"51008"</f>
        <v>51008</v>
      </c>
      <c r="C36939" s="1">
        <v>0</v>
      </c>
      <c r="D36939" s="1">
        <v>0</v>
      </c>
      <c r="E36939" s="1">
        <v>4.3455399550671099E-6</v>
      </c>
      <c r="F36939" s="1">
        <v>9.9485134582992598E-8</v>
      </c>
    </row>
    <row r="36940" spans="1:6" x14ac:dyDescent="0.25">
      <c r="A36940" s="2" t="str">
        <f t="shared" si="1238"/>
        <v>99999</v>
      </c>
      <c r="B36940" s="2" t="str">
        <f>"51002"</f>
        <v>51002</v>
      </c>
      <c r="C36940" s="1">
        <v>4.3655263984472602E-7</v>
      </c>
      <c r="D36940" s="1">
        <v>0</v>
      </c>
      <c r="E36940" s="1">
        <v>0</v>
      </c>
      <c r="F36940" s="1">
        <v>3.9794053833197002E-7</v>
      </c>
    </row>
    <row r="36941" spans="1:6" x14ac:dyDescent="0.25">
      <c r="A36941" s="2" t="str">
        <f t="shared" si="1238"/>
        <v>99999</v>
      </c>
      <c r="B36941" s="2" t="str">
        <f>"51040"</f>
        <v>51040</v>
      </c>
      <c r="C36941" s="1">
        <v>2.1783976728251801E-4</v>
      </c>
      <c r="D36941" s="1">
        <v>3.5967183359790202E-4</v>
      </c>
      <c r="E36941" s="1">
        <v>3.17224416719899E-4</v>
      </c>
      <c r="F36941" s="1">
        <v>2.2941272034838101E-4</v>
      </c>
    </row>
    <row r="36942" spans="1:6" x14ac:dyDescent="0.25">
      <c r="A36942" s="2" t="str">
        <f t="shared" si="1238"/>
        <v>99999</v>
      </c>
      <c r="B36942" s="2" t="str">
        <f>"51035"</f>
        <v>51035</v>
      </c>
      <c r="C36942" s="1">
        <v>8.3490692370303995E-5</v>
      </c>
      <c r="D36942" s="1">
        <v>3.1869656141586203E-5</v>
      </c>
      <c r="E36942" s="1">
        <v>2.1727699775335501E-5</v>
      </c>
      <c r="F36942" s="1">
        <v>7.8692741455147101E-5</v>
      </c>
    </row>
    <row r="36943" spans="1:6" x14ac:dyDescent="0.25">
      <c r="A36943" s="2" t="str">
        <f t="shared" si="1238"/>
        <v>99999</v>
      </c>
      <c r="B36943" s="2" t="str">
        <f>"51003"</f>
        <v>51003</v>
      </c>
      <c r="C36943" s="1">
        <v>8.55643174095664E-5</v>
      </c>
      <c r="D36943" s="1">
        <v>7.5880133670443406E-5</v>
      </c>
      <c r="E36943" s="1">
        <v>9.5601879011476503E-5</v>
      </c>
      <c r="F36943" s="1">
        <v>8.5159275203041605E-5</v>
      </c>
    </row>
    <row r="36944" spans="1:6" x14ac:dyDescent="0.25">
      <c r="A36944" s="2" t="str">
        <f t="shared" si="1238"/>
        <v>99999</v>
      </c>
      <c r="B36944" s="2" t="str">
        <f>"51656"</f>
        <v>51656</v>
      </c>
      <c r="C36944" s="1">
        <v>3.4924211187578098E-6</v>
      </c>
      <c r="D36944" s="1">
        <v>0</v>
      </c>
      <c r="E36944" s="1">
        <v>4.3455399550671099E-6</v>
      </c>
      <c r="F36944" s="1">
        <v>3.2830094412387502E-6</v>
      </c>
    </row>
    <row r="36945" spans="1:6" x14ac:dyDescent="0.25">
      <c r="A36945" s="2" t="str">
        <f t="shared" si="1238"/>
        <v>99999</v>
      </c>
      <c r="B36945" s="2" t="str">
        <f>"51637"</f>
        <v>51637</v>
      </c>
      <c r="C36945" s="1">
        <v>1.0040710716428699E-5</v>
      </c>
      <c r="D36945" s="1">
        <v>6.0704106936354696E-6</v>
      </c>
      <c r="E36945" s="1">
        <v>4.3455399550671099E-6</v>
      </c>
      <c r="F36945" s="1">
        <v>9.6500580545502799E-6</v>
      </c>
    </row>
    <row r="36946" spans="1:6" x14ac:dyDescent="0.25">
      <c r="A36946" s="2" t="str">
        <f t="shared" ref="A36946:A37009" si="1239">"99999"</f>
        <v>99999</v>
      </c>
      <c r="B36946" s="2" t="str">
        <f>"51573"</f>
        <v>51573</v>
      </c>
      <c r="C36946" s="1">
        <v>5.8388915579232199E-5</v>
      </c>
      <c r="D36946" s="1">
        <v>1.3658424060679801E-5</v>
      </c>
      <c r="E36946" s="1">
        <v>3.47643196405369E-5</v>
      </c>
      <c r="F36946" s="1">
        <v>5.49157942898119E-5</v>
      </c>
    </row>
    <row r="36947" spans="1:6" x14ac:dyDescent="0.25">
      <c r="A36947" s="2" t="str">
        <f t="shared" si="1239"/>
        <v>99999</v>
      </c>
      <c r="B36947" s="2" t="str">
        <f>"51454"</f>
        <v>51454</v>
      </c>
      <c r="C36947" s="1">
        <v>7.2249461894302299E-5</v>
      </c>
      <c r="D36947" s="1">
        <v>6.37393122831725E-5</v>
      </c>
      <c r="E36947" s="1">
        <v>4.3455399550671103E-5</v>
      </c>
      <c r="F36947" s="1">
        <v>7.1032386092256697E-5</v>
      </c>
    </row>
    <row r="36948" spans="1:6" x14ac:dyDescent="0.25">
      <c r="A36948" s="2" t="str">
        <f t="shared" si="1239"/>
        <v>99999</v>
      </c>
      <c r="B36948" s="2" t="str">
        <f>"51449"</f>
        <v>51449</v>
      </c>
      <c r="C36948" s="1">
        <v>1.14376791639318E-4</v>
      </c>
      <c r="D36948" s="1">
        <v>1.6541869140156601E-4</v>
      </c>
      <c r="E36948" s="1">
        <v>1.47748358472281E-4</v>
      </c>
      <c r="F36948" s="1">
        <v>1.18486795288344E-4</v>
      </c>
    </row>
    <row r="36949" spans="1:6" x14ac:dyDescent="0.25">
      <c r="A36949" s="2" t="str">
        <f t="shared" si="1239"/>
        <v>99999</v>
      </c>
      <c r="B36949" s="2" t="str">
        <f>"51433"</f>
        <v>51433</v>
      </c>
      <c r="C36949" s="1">
        <v>3.8744046786219498E-5</v>
      </c>
      <c r="D36949" s="1">
        <v>4.5528080202265997E-6</v>
      </c>
      <c r="E36949" s="1">
        <v>7.3874179236140894E-5</v>
      </c>
      <c r="F36949" s="1">
        <v>3.73069254686222E-5</v>
      </c>
    </row>
    <row r="36950" spans="1:6" x14ac:dyDescent="0.25">
      <c r="A36950" s="2" t="str">
        <f t="shared" si="1239"/>
        <v>99999</v>
      </c>
      <c r="B36950" s="2" t="str">
        <f>"51431"</f>
        <v>51431</v>
      </c>
      <c r="C36950" s="1">
        <v>2.2919013591848101E-5</v>
      </c>
      <c r="D36950" s="1">
        <v>6.0704106936354696E-6</v>
      </c>
      <c r="E36950" s="1">
        <v>1.3036619865201299E-5</v>
      </c>
      <c r="F36950" s="1">
        <v>2.15882742045094E-5</v>
      </c>
    </row>
    <row r="36951" spans="1:6" x14ac:dyDescent="0.25">
      <c r="A36951" s="2" t="str">
        <f t="shared" si="1239"/>
        <v>99999</v>
      </c>
      <c r="B36951" s="2" t="str">
        <f>"51552"</f>
        <v>51552</v>
      </c>
      <c r="C36951" s="1">
        <v>1.44062371148759E-5</v>
      </c>
      <c r="D36951" s="1">
        <v>1.5176026734088599E-5</v>
      </c>
      <c r="E36951" s="1">
        <v>2.60732397304027E-5</v>
      </c>
      <c r="F36951" s="1">
        <v>1.4723799918282901E-5</v>
      </c>
    </row>
    <row r="36952" spans="1:6" x14ac:dyDescent="0.25">
      <c r="A36952" s="2" t="str">
        <f t="shared" si="1239"/>
        <v>99999</v>
      </c>
      <c r="B36952" s="2" t="str">
        <f>"51520"</f>
        <v>51520</v>
      </c>
      <c r="C36952" s="1">
        <v>1.20051975957299E-5</v>
      </c>
      <c r="D36952" s="1">
        <v>9.1056160404532095E-6</v>
      </c>
      <c r="E36952" s="1">
        <v>2.1727699775335501E-5</v>
      </c>
      <c r="F36952" s="1">
        <v>1.20377012845421E-5</v>
      </c>
    </row>
    <row r="36953" spans="1:6" x14ac:dyDescent="0.25">
      <c r="A36953" s="2" t="str">
        <f t="shared" si="1239"/>
        <v>99999</v>
      </c>
      <c r="B36953" s="2" t="str">
        <f>"51527"</f>
        <v>51527</v>
      </c>
      <c r="C36953" s="1">
        <v>2.4446947831304701E-5</v>
      </c>
      <c r="D36953" s="1">
        <v>3.3387258814995101E-5</v>
      </c>
      <c r="E36953" s="1">
        <v>4.3455399550671099E-6</v>
      </c>
      <c r="F36953" s="1">
        <v>2.4572828241999101E-5</v>
      </c>
    </row>
    <row r="36954" spans="1:6" x14ac:dyDescent="0.25">
      <c r="A36954" s="2" t="str">
        <f t="shared" si="1239"/>
        <v>99999</v>
      </c>
      <c r="B36954" s="2" t="str">
        <f>"51543"</f>
        <v>51543</v>
      </c>
      <c r="C36954" s="1">
        <v>2.6847987350450699E-5</v>
      </c>
      <c r="D36954" s="1">
        <v>1.8211232080906399E-5</v>
      </c>
      <c r="E36954" s="1">
        <v>4.3455399550671103E-5</v>
      </c>
      <c r="F36954" s="1">
        <v>2.6662016068241999E-5</v>
      </c>
    </row>
    <row r="36955" spans="1:6" x14ac:dyDescent="0.25">
      <c r="A36955" s="2" t="str">
        <f t="shared" si="1239"/>
        <v>99999</v>
      </c>
      <c r="B36955" s="2" t="str">
        <f>"51532"</f>
        <v>51532</v>
      </c>
      <c r="C36955" s="1">
        <v>3.2195757188548602E-5</v>
      </c>
      <c r="D36955" s="1">
        <v>3.0352053468177301E-6</v>
      </c>
      <c r="E36955" s="1">
        <v>1.3036619865201299E-5</v>
      </c>
      <c r="F36955" s="1">
        <v>2.9845540374897701E-5</v>
      </c>
    </row>
    <row r="36956" spans="1:6" x14ac:dyDescent="0.25">
      <c r="A36956" s="2" t="str">
        <f t="shared" si="1239"/>
        <v>99999</v>
      </c>
      <c r="B36956" s="2" t="str">
        <f>"50853"</f>
        <v>50853</v>
      </c>
      <c r="C36956" s="1">
        <v>4.0926809985443098E-5</v>
      </c>
      <c r="D36956" s="1">
        <v>4.5528080202266E-5</v>
      </c>
      <c r="E36956" s="1">
        <v>2.60732397304027E-5</v>
      </c>
      <c r="F36956" s="1">
        <v>4.0888390313609902E-5</v>
      </c>
    </row>
    <row r="36957" spans="1:6" x14ac:dyDescent="0.25">
      <c r="A36957" s="2" t="str">
        <f t="shared" si="1239"/>
        <v>99999</v>
      </c>
      <c r="B36957" s="2" t="str">
        <f>"50842"</f>
        <v>50842</v>
      </c>
      <c r="C36957" s="1">
        <v>5.1294935181755401E-6</v>
      </c>
      <c r="D36957" s="1">
        <v>7.5880133670443404E-6</v>
      </c>
      <c r="E36957" s="1">
        <v>4.3455399550671099E-6</v>
      </c>
      <c r="F36957" s="1">
        <v>5.2727121328986002E-6</v>
      </c>
    </row>
    <row r="36958" spans="1:6" x14ac:dyDescent="0.25">
      <c r="A36958" s="2" t="str">
        <f t="shared" si="1239"/>
        <v>99999</v>
      </c>
      <c r="B36958" s="2" t="str">
        <f>"50836"</f>
        <v>50836</v>
      </c>
      <c r="C36958" s="1">
        <v>2.5756605750838801E-5</v>
      </c>
      <c r="D36958" s="1">
        <v>6.0704106936354696E-6</v>
      </c>
      <c r="E36958" s="1">
        <v>4.3455399550671099E-6</v>
      </c>
      <c r="F36958" s="1">
        <v>2.3975917434501198E-5</v>
      </c>
    </row>
    <row r="36959" spans="1:6" x14ac:dyDescent="0.25">
      <c r="A36959" s="2" t="str">
        <f t="shared" si="1239"/>
        <v>99999</v>
      </c>
      <c r="B36959" s="2" t="str">
        <f>"50833"</f>
        <v>50833</v>
      </c>
      <c r="C36959" s="1">
        <v>1.2954699587392201E-4</v>
      </c>
      <c r="D36959" s="1">
        <v>2.7165087854018701E-4</v>
      </c>
      <c r="E36959" s="1">
        <v>1.73821598202684E-4</v>
      </c>
      <c r="F36959" s="1">
        <v>1.3987609922368701E-4</v>
      </c>
    </row>
    <row r="36960" spans="1:6" x14ac:dyDescent="0.25">
      <c r="A36960" s="2" t="str">
        <f t="shared" si="1239"/>
        <v>99999</v>
      </c>
      <c r="B36960" s="2" t="str">
        <f>"51345"</f>
        <v>51345</v>
      </c>
      <c r="C36960" s="1">
        <v>2.56474675908777E-5</v>
      </c>
      <c r="D36960" s="1">
        <v>1.21408213872709E-5</v>
      </c>
      <c r="E36960" s="1">
        <v>1.3036619865201299E-5</v>
      </c>
      <c r="F36960" s="1">
        <v>2.44733431074161E-5</v>
      </c>
    </row>
    <row r="36961" spans="1:6" x14ac:dyDescent="0.25">
      <c r="A36961" s="2" t="str">
        <f t="shared" si="1239"/>
        <v>99999</v>
      </c>
      <c r="B36961" s="2" t="str">
        <f>"51249"</f>
        <v>51249</v>
      </c>
      <c r="C36961" s="1">
        <v>1.7822261521660901E-4</v>
      </c>
      <c r="D36961" s="1">
        <v>2.8682690527427601E-4</v>
      </c>
      <c r="E36961" s="1">
        <v>1.5209389842734899E-4</v>
      </c>
      <c r="F36961" s="1">
        <v>1.8474389492061701E-4</v>
      </c>
    </row>
    <row r="36962" spans="1:6" x14ac:dyDescent="0.25">
      <c r="A36962" s="2" t="str">
        <f t="shared" si="1239"/>
        <v>99999</v>
      </c>
      <c r="B36962" s="2" t="str">
        <f>"51238"</f>
        <v>51238</v>
      </c>
      <c r="C36962" s="1">
        <v>6.0680816938417001E-5</v>
      </c>
      <c r="D36962" s="1">
        <v>2.7316848121359601E-5</v>
      </c>
      <c r="E36962" s="1">
        <v>3.0418779685469802E-5</v>
      </c>
      <c r="F36962" s="1">
        <v>5.7800863192718701E-5</v>
      </c>
    </row>
    <row r="36963" spans="1:6" x14ac:dyDescent="0.25">
      <c r="A36963" s="2" t="str">
        <f t="shared" si="1239"/>
        <v>99999</v>
      </c>
      <c r="B36963" s="2" t="str">
        <f>"51237"</f>
        <v>51237</v>
      </c>
      <c r="C36963" s="1">
        <v>8.7637942448828899E-5</v>
      </c>
      <c r="D36963" s="1">
        <v>2.2764040101133E-5</v>
      </c>
      <c r="E36963" s="1">
        <v>3.9109859595604001E-5</v>
      </c>
      <c r="F36963" s="1">
        <v>8.2274206300134899E-5</v>
      </c>
    </row>
    <row r="36964" spans="1:6" x14ac:dyDescent="0.25">
      <c r="A36964" s="2" t="str">
        <f t="shared" si="1239"/>
        <v>99999</v>
      </c>
      <c r="B36964" s="2" t="str">
        <f>"50613"</f>
        <v>50613</v>
      </c>
      <c r="C36964" s="1">
        <v>2.8375921589907201E-6</v>
      </c>
      <c r="D36964" s="1">
        <v>0</v>
      </c>
      <c r="E36964" s="1">
        <v>0</v>
      </c>
      <c r="F36964" s="1">
        <v>2.5866134991578E-6</v>
      </c>
    </row>
    <row r="36965" spans="1:6" x14ac:dyDescent="0.25">
      <c r="A36965" s="2" t="str">
        <f t="shared" si="1239"/>
        <v>99999</v>
      </c>
      <c r="B36965" s="2" t="str">
        <f>"50636"</f>
        <v>50636</v>
      </c>
      <c r="C36965" s="1">
        <v>1.16013864038736E-4</v>
      </c>
      <c r="D36965" s="1">
        <v>3.9457669508630602E-5</v>
      </c>
      <c r="E36965" s="1">
        <v>2.60732397304027E-5</v>
      </c>
      <c r="F36965" s="1">
        <v>1.0893622236837599E-4</v>
      </c>
    </row>
    <row r="36966" spans="1:6" x14ac:dyDescent="0.25">
      <c r="A36966" s="2" t="str">
        <f t="shared" si="1239"/>
        <v>99999</v>
      </c>
      <c r="B36966" s="2" t="str">
        <f>"50633"</f>
        <v>50633</v>
      </c>
      <c r="C36966" s="1">
        <v>1.9972283272896199E-5</v>
      </c>
      <c r="D36966" s="1">
        <v>6.0704106936354696E-6</v>
      </c>
      <c r="E36966" s="1">
        <v>4.3455399550671099E-6</v>
      </c>
      <c r="F36966" s="1">
        <v>1.8703205301602599E-5</v>
      </c>
    </row>
    <row r="36967" spans="1:6" x14ac:dyDescent="0.25">
      <c r="A36967" s="2" t="str">
        <f t="shared" si="1239"/>
        <v>99999</v>
      </c>
      <c r="B36967" s="2" t="str">
        <f>"50515"</f>
        <v>50515</v>
      </c>
      <c r="C36967" s="1">
        <v>1.4842789754720701E-5</v>
      </c>
      <c r="D36967" s="1">
        <v>9.1056160404532095E-6</v>
      </c>
      <c r="E36967" s="1">
        <v>2.1727699775335501E-5</v>
      </c>
      <c r="F36967" s="1">
        <v>1.4624314783699901E-5</v>
      </c>
    </row>
    <row r="36968" spans="1:6" x14ac:dyDescent="0.25">
      <c r="A36968" s="2" t="str">
        <f t="shared" si="1239"/>
        <v>99999</v>
      </c>
      <c r="B36968" s="2" t="str">
        <f>"50522"</f>
        <v>50522</v>
      </c>
      <c r="C36968" s="1">
        <v>4.4746645584084497E-5</v>
      </c>
      <c r="D36968" s="1">
        <v>1.21408213872709E-5</v>
      </c>
      <c r="E36968" s="1">
        <v>8.69107991013423E-6</v>
      </c>
      <c r="F36968" s="1">
        <v>4.1783756524856902E-5</v>
      </c>
    </row>
    <row r="36969" spans="1:6" x14ac:dyDescent="0.25">
      <c r="A36969" s="2" t="str">
        <f t="shared" si="1239"/>
        <v>99999</v>
      </c>
      <c r="B36969" s="2" t="str">
        <f>"50536"</f>
        <v>50536</v>
      </c>
      <c r="C36969" s="1">
        <v>2.4621568887242599E-4</v>
      </c>
      <c r="D36969" s="1">
        <v>3.9002388706607899E-4</v>
      </c>
      <c r="E36969" s="1">
        <v>5.17119254652986E-4</v>
      </c>
      <c r="F36969" s="1">
        <v>2.6184487422243599E-4</v>
      </c>
    </row>
    <row r="36970" spans="1:6" x14ac:dyDescent="0.25">
      <c r="A36970" s="2" t="str">
        <f t="shared" si="1239"/>
        <v>99999</v>
      </c>
      <c r="B36970" s="2" t="str">
        <f>"50544"</f>
        <v>50544</v>
      </c>
      <c r="C36970" s="1">
        <v>2.1827631992236301E-7</v>
      </c>
      <c r="D36970" s="1">
        <v>0</v>
      </c>
      <c r="E36970" s="1">
        <v>0</v>
      </c>
      <c r="F36970" s="1">
        <v>1.9897026916598501E-7</v>
      </c>
    </row>
    <row r="36971" spans="1:6" x14ac:dyDescent="0.25">
      <c r="A36971" s="2" t="str">
        <f t="shared" si="1239"/>
        <v>99999</v>
      </c>
      <c r="B36971" s="2" t="str">
        <f>"50588"</f>
        <v>50588</v>
      </c>
      <c r="C36971" s="1">
        <v>1.52793423945654E-6</v>
      </c>
      <c r="D36971" s="1">
        <v>1.51760267340886E-6</v>
      </c>
      <c r="E36971" s="1">
        <v>0</v>
      </c>
      <c r="F36971" s="1">
        <v>1.4922770187448801E-6</v>
      </c>
    </row>
    <row r="36972" spans="1:6" x14ac:dyDescent="0.25">
      <c r="A36972" s="2" t="str">
        <f t="shared" si="1239"/>
        <v>99999</v>
      </c>
      <c r="B36972" s="2" t="str">
        <f>"50608"</f>
        <v>50608</v>
      </c>
      <c r="C36972" s="1">
        <v>2.2919013591848099E-6</v>
      </c>
      <c r="D36972" s="1">
        <v>9.1056160404532095E-6</v>
      </c>
      <c r="E36972" s="1">
        <v>0</v>
      </c>
      <c r="F36972" s="1">
        <v>2.6860986337408002E-6</v>
      </c>
    </row>
    <row r="36973" spans="1:6" x14ac:dyDescent="0.25">
      <c r="A36973" s="2" t="str">
        <f t="shared" si="1239"/>
        <v>99999</v>
      </c>
      <c r="B36973" s="2" t="str">
        <f>"50604"</f>
        <v>50604</v>
      </c>
      <c r="C36973" s="1">
        <v>8.3163277890420395E-5</v>
      </c>
      <c r="D36973" s="1">
        <v>8.9538557731123203E-5</v>
      </c>
      <c r="E36973" s="1">
        <v>5.6492019415872502E-5</v>
      </c>
      <c r="F36973" s="1">
        <v>8.29706022422158E-5</v>
      </c>
    </row>
    <row r="36974" spans="1:6" x14ac:dyDescent="0.25">
      <c r="A36974" s="2" t="str">
        <f t="shared" si="1239"/>
        <v>99999</v>
      </c>
      <c r="B36974" s="2" t="str">
        <f>"50603"</f>
        <v>50603</v>
      </c>
      <c r="C36974" s="1">
        <v>2.9903855829363701E-5</v>
      </c>
      <c r="D36974" s="1">
        <v>7.5880133670443404E-6</v>
      </c>
      <c r="E36974" s="1">
        <v>3.9109859595604001E-5</v>
      </c>
      <c r="F36974" s="1">
        <v>2.86517187599018E-5</v>
      </c>
    </row>
    <row r="36975" spans="1:6" x14ac:dyDescent="0.25">
      <c r="A36975" s="2" t="str">
        <f t="shared" si="1239"/>
        <v>99999</v>
      </c>
      <c r="B36975" s="2" t="str">
        <f>"50554"</f>
        <v>50554</v>
      </c>
      <c r="C36975" s="1">
        <v>9.8333482125024699E-5</v>
      </c>
      <c r="D36975" s="1">
        <v>1.7452430744201901E-4</v>
      </c>
      <c r="E36975" s="1">
        <v>1.6513051829255E-4</v>
      </c>
      <c r="F36975" s="1">
        <v>1.04857331850474E-4</v>
      </c>
    </row>
    <row r="36976" spans="1:6" x14ac:dyDescent="0.25">
      <c r="A36976" s="2" t="str">
        <f t="shared" si="1239"/>
        <v>99999</v>
      </c>
      <c r="B36976" s="2" t="str">
        <f>"50541"</f>
        <v>50541</v>
      </c>
      <c r="C36976" s="1">
        <v>5.2604593101289503E-5</v>
      </c>
      <c r="D36976" s="1">
        <v>3.9457669508630602E-5</v>
      </c>
      <c r="E36976" s="1">
        <v>3.47643196405369E-5</v>
      </c>
      <c r="F36976" s="1">
        <v>5.1334329444824197E-5</v>
      </c>
    </row>
    <row r="36977" spans="1:6" x14ac:dyDescent="0.25">
      <c r="A36977" s="2" t="str">
        <f t="shared" si="1239"/>
        <v>99999</v>
      </c>
      <c r="B36977" s="2" t="str">
        <f>"50460"</f>
        <v>50460</v>
      </c>
      <c r="C36977" s="1">
        <v>1.6916414793983099E-5</v>
      </c>
      <c r="D36977" s="1">
        <v>1.0623218713862E-5</v>
      </c>
      <c r="E36977" s="1">
        <v>4.3455399550671099E-6</v>
      </c>
      <c r="F36977" s="1">
        <v>1.6216076937027799E-5</v>
      </c>
    </row>
    <row r="36978" spans="1:6" x14ac:dyDescent="0.25">
      <c r="A36978" s="2" t="str">
        <f t="shared" si="1239"/>
        <v>99999</v>
      </c>
      <c r="B36978" s="2" t="str">
        <f>"50421"</f>
        <v>50421</v>
      </c>
      <c r="C36978" s="1">
        <v>1.6752707554041301E-4</v>
      </c>
      <c r="D36978" s="1">
        <v>2.7468608388700499E-4</v>
      </c>
      <c r="E36978" s="1">
        <v>1.82512678112818E-4</v>
      </c>
      <c r="F36978" s="1">
        <v>1.7489486659690099E-4</v>
      </c>
    </row>
    <row r="36979" spans="1:6" x14ac:dyDescent="0.25">
      <c r="A36979" s="2" t="str">
        <f t="shared" si="1239"/>
        <v>99999</v>
      </c>
      <c r="B36979" s="2" t="str">
        <f>"50273"</f>
        <v>50273</v>
      </c>
      <c r="C36979" s="1">
        <v>6.5482895976708995E-7</v>
      </c>
      <c r="D36979" s="1">
        <v>0</v>
      </c>
      <c r="E36979" s="1">
        <v>0</v>
      </c>
      <c r="F36979" s="1">
        <v>5.9691080749795498E-7</v>
      </c>
    </row>
    <row r="36980" spans="1:6" x14ac:dyDescent="0.25">
      <c r="A36980" s="2" t="str">
        <f t="shared" si="1239"/>
        <v>99999</v>
      </c>
      <c r="B36980" s="2" t="str">
        <f>"50026"</f>
        <v>50026</v>
      </c>
      <c r="C36980" s="1">
        <v>4.8020790382919898E-6</v>
      </c>
      <c r="D36980" s="1">
        <v>1.51760267340886E-6</v>
      </c>
      <c r="E36980" s="1">
        <v>0</v>
      </c>
      <c r="F36980" s="1">
        <v>4.4768310562346604E-6</v>
      </c>
    </row>
    <row r="36981" spans="1:6" x14ac:dyDescent="0.25">
      <c r="A36981" s="2" t="str">
        <f t="shared" si="1239"/>
        <v>99999</v>
      </c>
      <c r="B36981" s="2" t="str">
        <f>"50259"</f>
        <v>50259</v>
      </c>
      <c r="C36981" s="1">
        <v>2.4010395191459898E-6</v>
      </c>
      <c r="D36981" s="1">
        <v>1.51760267340886E-6</v>
      </c>
      <c r="E36981" s="1">
        <v>8.69107991013423E-6</v>
      </c>
      <c r="F36981" s="1">
        <v>2.48712836457481E-6</v>
      </c>
    </row>
    <row r="36982" spans="1:6" x14ac:dyDescent="0.25">
      <c r="A36982" s="2" t="str">
        <f t="shared" si="1239"/>
        <v>99999</v>
      </c>
      <c r="B36982" s="2" t="str">
        <f>"50255"</f>
        <v>50255</v>
      </c>
      <c r="C36982" s="1">
        <v>0</v>
      </c>
      <c r="D36982" s="1">
        <v>0</v>
      </c>
      <c r="E36982" s="1">
        <v>4.3455399550671099E-6</v>
      </c>
      <c r="F36982" s="1">
        <v>9.9485134582992598E-8</v>
      </c>
    </row>
    <row r="36983" spans="1:6" x14ac:dyDescent="0.25">
      <c r="A36983" s="2" t="str">
        <f t="shared" si="1239"/>
        <v>99999</v>
      </c>
      <c r="B36983" s="2" t="str">
        <f>"50262"</f>
        <v>50262</v>
      </c>
      <c r="C36983" s="1">
        <v>2.52109149510329E-5</v>
      </c>
      <c r="D36983" s="1">
        <v>6.0704106936354696E-6</v>
      </c>
      <c r="E36983" s="1">
        <v>8.69107991013423E-6</v>
      </c>
      <c r="F36983" s="1">
        <v>2.3577976896169201E-5</v>
      </c>
    </row>
    <row r="36984" spans="1:6" x14ac:dyDescent="0.25">
      <c r="A36984" s="2" t="str">
        <f t="shared" si="1239"/>
        <v>99999</v>
      </c>
      <c r="B36984" s="2" t="str">
        <f>"50235"</f>
        <v>50235</v>
      </c>
      <c r="C36984" s="1">
        <v>2.41195333514211E-5</v>
      </c>
      <c r="D36984" s="1">
        <v>4.5528080202265997E-6</v>
      </c>
      <c r="E36984" s="1">
        <v>2.1727699775335501E-5</v>
      </c>
      <c r="F36984" s="1">
        <v>2.2782095819505301E-5</v>
      </c>
    </row>
    <row r="36985" spans="1:6" x14ac:dyDescent="0.25">
      <c r="A36985" s="2" t="str">
        <f t="shared" si="1239"/>
        <v>99999</v>
      </c>
      <c r="B36985" s="2" t="str">
        <f>"50153"</f>
        <v>50153</v>
      </c>
      <c r="C36985" s="1">
        <v>8.7310527968945299E-7</v>
      </c>
      <c r="D36985" s="1">
        <v>0</v>
      </c>
      <c r="E36985" s="1">
        <v>0</v>
      </c>
      <c r="F36985" s="1">
        <v>7.9588107666394099E-7</v>
      </c>
    </row>
    <row r="36986" spans="1:6" x14ac:dyDescent="0.25">
      <c r="A36986" s="2" t="str">
        <f t="shared" si="1239"/>
        <v>99999</v>
      </c>
      <c r="B36986" s="2" t="str">
        <f>"50157"</f>
        <v>50157</v>
      </c>
      <c r="C36986" s="1">
        <v>4.1363362625287799E-5</v>
      </c>
      <c r="D36986" s="1">
        <v>3.3387258814995101E-5</v>
      </c>
      <c r="E36986" s="1">
        <v>1.3036619865201299E-5</v>
      </c>
      <c r="F36986" s="1">
        <v>4.0191994371529001E-5</v>
      </c>
    </row>
    <row r="36987" spans="1:6" x14ac:dyDescent="0.25">
      <c r="A36987" s="2" t="str">
        <f t="shared" si="1239"/>
        <v>99999</v>
      </c>
      <c r="B36987" s="2" t="str">
        <f>"50149"</f>
        <v>50149</v>
      </c>
      <c r="C36987" s="1">
        <v>4.0817671825481903E-5</v>
      </c>
      <c r="D36987" s="1">
        <v>9.1056160404532095E-6</v>
      </c>
      <c r="E36987" s="1">
        <v>1.7382159820268399E-5</v>
      </c>
      <c r="F36987" s="1">
        <v>3.8202291679869098E-5</v>
      </c>
    </row>
    <row r="36988" spans="1:6" x14ac:dyDescent="0.25">
      <c r="A36988" s="2" t="str">
        <f t="shared" si="1239"/>
        <v>99999</v>
      </c>
      <c r="B36988" s="2" t="str">
        <f>"50150"</f>
        <v>50150</v>
      </c>
      <c r="C36988" s="1">
        <v>4.6929408783308097E-5</v>
      </c>
      <c r="D36988" s="1">
        <v>1.3658424060679801E-5</v>
      </c>
      <c r="E36988" s="1">
        <v>4.3455399550671099E-6</v>
      </c>
      <c r="F36988" s="1">
        <v>4.3773459216516703E-5</v>
      </c>
    </row>
    <row r="36989" spans="1:6" x14ac:dyDescent="0.25">
      <c r="A36989" s="2" t="str">
        <f t="shared" si="1239"/>
        <v>99999</v>
      </c>
      <c r="B36989" s="2" t="str">
        <f>"50129"</f>
        <v>50129</v>
      </c>
      <c r="C36989" s="1">
        <v>2.8757905149771299E-4</v>
      </c>
      <c r="D36989" s="1">
        <v>4.70456828756749E-4</v>
      </c>
      <c r="E36989" s="1">
        <v>4.56281695282047E-4</v>
      </c>
      <c r="F36989" s="1">
        <v>3.0342966047812702E-4</v>
      </c>
    </row>
    <row r="36990" spans="1:6" x14ac:dyDescent="0.25">
      <c r="A36990" s="2" t="str">
        <f t="shared" si="1239"/>
        <v>99999</v>
      </c>
      <c r="B36990" s="2" t="str">
        <f>"50173"</f>
        <v>50173</v>
      </c>
      <c r="C36990" s="1">
        <v>3.3505415108082699E-5</v>
      </c>
      <c r="D36990" s="1">
        <v>4.5528080202265997E-6</v>
      </c>
      <c r="E36990" s="1">
        <v>4.3455399550671099E-6</v>
      </c>
      <c r="F36990" s="1">
        <v>3.0939876855310701E-5</v>
      </c>
    </row>
    <row r="36991" spans="1:6" x14ac:dyDescent="0.25">
      <c r="A36991" s="2" t="str">
        <f t="shared" si="1239"/>
        <v>99999</v>
      </c>
      <c r="B36991" s="2" t="str">
        <f>"50165"</f>
        <v>50165</v>
      </c>
      <c r="C36991" s="1">
        <v>2.4010395191459898E-6</v>
      </c>
      <c r="D36991" s="1">
        <v>6.0704106936354696E-6</v>
      </c>
      <c r="E36991" s="1">
        <v>8.69107991013423E-6</v>
      </c>
      <c r="F36991" s="1">
        <v>2.7855837683237898E-6</v>
      </c>
    </row>
    <row r="36992" spans="1:6" x14ac:dyDescent="0.25">
      <c r="A36992" s="2" t="str">
        <f t="shared" si="1239"/>
        <v>99999</v>
      </c>
      <c r="B36992" s="2" t="str">
        <f>"29944"</f>
        <v>29944</v>
      </c>
      <c r="C36992" s="1">
        <v>1.7025552953944299E-4</v>
      </c>
      <c r="D36992" s="1">
        <v>9.4091365751349906E-5</v>
      </c>
      <c r="E36992" s="1">
        <v>1.3036619865201299E-5</v>
      </c>
      <c r="F36992" s="1">
        <v>1.6166334369736301E-4</v>
      </c>
    </row>
    <row r="36993" spans="1:6" x14ac:dyDescent="0.25">
      <c r="A36993" s="2" t="str">
        <f t="shared" si="1239"/>
        <v>99999</v>
      </c>
      <c r="B36993" s="2" t="str">
        <f>"50110"</f>
        <v>50110</v>
      </c>
      <c r="C36993" s="1">
        <v>3.1650066388742701E-6</v>
      </c>
      <c r="D36993" s="1">
        <v>0</v>
      </c>
      <c r="E36993" s="1">
        <v>4.3455399550671099E-6</v>
      </c>
      <c r="F36993" s="1">
        <v>2.9845540374897699E-6</v>
      </c>
    </row>
    <row r="36994" spans="1:6" x14ac:dyDescent="0.25">
      <c r="A36994" s="2" t="str">
        <f t="shared" si="1239"/>
        <v>99999</v>
      </c>
      <c r="B36994" s="2" t="str">
        <f>"50064"</f>
        <v>50064</v>
      </c>
      <c r="C36994" s="1">
        <v>6.0025987978649897E-6</v>
      </c>
      <c r="D36994" s="1">
        <v>4.5528080202265997E-6</v>
      </c>
      <c r="E36994" s="1">
        <v>4.3455399550671099E-6</v>
      </c>
      <c r="F36994" s="1">
        <v>5.86962294039656E-6</v>
      </c>
    </row>
    <row r="36995" spans="1:6" x14ac:dyDescent="0.25">
      <c r="A36995" s="2" t="str">
        <f t="shared" si="1239"/>
        <v>99999</v>
      </c>
      <c r="B36995" s="2" t="str">
        <f>"50104"</f>
        <v>50104</v>
      </c>
      <c r="C36995" s="1">
        <v>8.1853619970886298E-6</v>
      </c>
      <c r="D36995" s="1">
        <v>6.0704106936354696E-6</v>
      </c>
      <c r="E36995" s="1">
        <v>0</v>
      </c>
      <c r="F36995" s="1">
        <v>7.85932563205641E-6</v>
      </c>
    </row>
    <row r="36996" spans="1:6" x14ac:dyDescent="0.25">
      <c r="A36996" s="2" t="str">
        <f t="shared" si="1239"/>
        <v>99999</v>
      </c>
      <c r="B36996" s="2" t="str">
        <f>"50123"</f>
        <v>50123</v>
      </c>
      <c r="C36996" s="1">
        <v>5.4787356300513198E-5</v>
      </c>
      <c r="D36996" s="1">
        <v>6.0704106936354703E-5</v>
      </c>
      <c r="E36996" s="1">
        <v>6.0837559370939603E-5</v>
      </c>
      <c r="F36996" s="1">
        <v>5.5313734828143901E-5</v>
      </c>
    </row>
    <row r="36997" spans="1:6" x14ac:dyDescent="0.25">
      <c r="A36997" s="2" t="str">
        <f t="shared" si="1239"/>
        <v>99999</v>
      </c>
      <c r="B36997" s="2" t="str">
        <f>"50102"</f>
        <v>50102</v>
      </c>
      <c r="C36997" s="1">
        <v>0</v>
      </c>
      <c r="D36997" s="1">
        <v>1.51760267340886E-6</v>
      </c>
      <c r="E36997" s="1">
        <v>0</v>
      </c>
      <c r="F36997" s="1">
        <v>9.9485134582992598E-8</v>
      </c>
    </row>
    <row r="36998" spans="1:6" x14ac:dyDescent="0.25">
      <c r="A36998" s="2" t="str">
        <f t="shared" si="1239"/>
        <v>99999</v>
      </c>
      <c r="B36998" s="2" t="str">
        <f>"29812"</f>
        <v>29812</v>
      </c>
      <c r="C36998" s="1">
        <v>6.6083155856495499E-4</v>
      </c>
      <c r="D36998" s="1">
        <v>8.6199831849623698E-4</v>
      </c>
      <c r="E36998" s="1">
        <v>5.0408263478778504E-4</v>
      </c>
      <c r="F36998" s="1">
        <v>6.7043032195478701E-4</v>
      </c>
    </row>
    <row r="36999" spans="1:6" x14ac:dyDescent="0.25">
      <c r="A36999" s="2" t="str">
        <f t="shared" si="1239"/>
        <v>99999</v>
      </c>
      <c r="B36999" s="2" t="str">
        <f>"29838"</f>
        <v>29838</v>
      </c>
      <c r="C36999" s="1">
        <v>2.9467303189519E-5</v>
      </c>
      <c r="D36999" s="1">
        <v>1.21408213872709E-5</v>
      </c>
      <c r="E36999" s="1">
        <v>0</v>
      </c>
      <c r="F36999" s="1">
        <v>2.76568674140719E-5</v>
      </c>
    </row>
    <row r="37000" spans="1:6" x14ac:dyDescent="0.25">
      <c r="A37000" s="2" t="str">
        <f t="shared" si="1239"/>
        <v>99999</v>
      </c>
      <c r="B37000" s="2" t="str">
        <f>"29819"</f>
        <v>29819</v>
      </c>
      <c r="C37000" s="1">
        <v>8.6219146369333496E-6</v>
      </c>
      <c r="D37000" s="1">
        <v>1.51760267340886E-6</v>
      </c>
      <c r="E37000" s="1">
        <v>8.69107991013423E-6</v>
      </c>
      <c r="F37000" s="1">
        <v>8.1577810358053902E-6</v>
      </c>
    </row>
    <row r="37001" spans="1:6" x14ac:dyDescent="0.25">
      <c r="A37001" s="2" t="str">
        <f t="shared" si="1239"/>
        <v>99999</v>
      </c>
      <c r="B37001" s="2" t="str">
        <f>"29741"</f>
        <v>29741</v>
      </c>
      <c r="C37001" s="1">
        <v>9.8551758444947104E-5</v>
      </c>
      <c r="D37001" s="1">
        <v>2.5799245447950699E-5</v>
      </c>
      <c r="E37001" s="1">
        <v>4.3455399550671099E-6</v>
      </c>
      <c r="F37001" s="1">
        <v>9.1625808950936203E-5</v>
      </c>
    </row>
    <row r="37002" spans="1:6" x14ac:dyDescent="0.25">
      <c r="A37002" s="2" t="str">
        <f t="shared" si="1239"/>
        <v>99999</v>
      </c>
      <c r="B37002" s="2" t="str">
        <f>"29639"</f>
        <v>29639</v>
      </c>
      <c r="C37002" s="1">
        <v>4.70385469432693E-5</v>
      </c>
      <c r="D37002" s="1">
        <v>2.2764040101133E-5</v>
      </c>
      <c r="E37002" s="1">
        <v>3.9109859595604001E-5</v>
      </c>
      <c r="F37002" s="1">
        <v>4.52657362352616E-5</v>
      </c>
    </row>
    <row r="37003" spans="1:6" x14ac:dyDescent="0.25">
      <c r="A37003" s="2" t="str">
        <f t="shared" si="1239"/>
        <v>99999</v>
      </c>
      <c r="B37003" s="2" t="str">
        <f>"29620"</f>
        <v>29620</v>
      </c>
      <c r="C37003" s="1">
        <v>7.0677872390861201E-4</v>
      </c>
      <c r="D37003" s="1">
        <v>8.6806872918987303E-4</v>
      </c>
      <c r="E37003" s="1">
        <v>6.3879437339486595E-4</v>
      </c>
      <c r="F37003" s="1">
        <v>7.15795543324632E-4</v>
      </c>
    </row>
    <row r="37004" spans="1:6" x14ac:dyDescent="0.25">
      <c r="A37004" s="2" t="str">
        <f t="shared" si="1239"/>
        <v>99999</v>
      </c>
      <c r="B37004" s="2" t="str">
        <f>"29510"</f>
        <v>29510</v>
      </c>
      <c r="C37004" s="1">
        <v>2.3737549791557E-4</v>
      </c>
      <c r="D37004" s="1">
        <v>1.04714584465211E-4</v>
      </c>
      <c r="E37004" s="1">
        <v>1.3036619865201299E-5</v>
      </c>
      <c r="F37004" s="1">
        <v>2.2354309740798401E-4</v>
      </c>
    </row>
    <row r="37005" spans="1:6" x14ac:dyDescent="0.25">
      <c r="A37005" s="2" t="str">
        <f t="shared" si="1239"/>
        <v>99999</v>
      </c>
      <c r="B37005" s="2" t="str">
        <f>"29435"</f>
        <v>29435</v>
      </c>
      <c r="C37005" s="1">
        <v>2.4566999807262E-4</v>
      </c>
      <c r="D37005" s="1">
        <v>1.12302597832256E-4</v>
      </c>
      <c r="E37005" s="1">
        <v>0</v>
      </c>
      <c r="F37005" s="1">
        <v>2.3130293790545701E-4</v>
      </c>
    </row>
    <row r="37006" spans="1:6" x14ac:dyDescent="0.25">
      <c r="A37006" s="2" t="str">
        <f t="shared" si="1239"/>
        <v>99999</v>
      </c>
      <c r="B37006" s="2" t="str">
        <f>"29046"</f>
        <v>29046</v>
      </c>
      <c r="C37006" s="1">
        <v>0</v>
      </c>
      <c r="D37006" s="1">
        <v>0</v>
      </c>
      <c r="E37006" s="1">
        <v>8.69107991013423E-6</v>
      </c>
      <c r="F37006" s="1">
        <v>1.9897026916598501E-7</v>
      </c>
    </row>
    <row r="37007" spans="1:6" x14ac:dyDescent="0.25">
      <c r="A37007" s="2" t="str">
        <f t="shared" si="1239"/>
        <v>99999</v>
      </c>
      <c r="B37007" s="2" t="str">
        <f>"29042"</f>
        <v>29042</v>
      </c>
      <c r="C37007" s="1">
        <v>2.6204072206679698E-4</v>
      </c>
      <c r="D37007" s="1">
        <v>3.4297820419040397E-4</v>
      </c>
      <c r="E37007" s="1">
        <v>2.60732397304027E-5</v>
      </c>
      <c r="F37007" s="1">
        <v>2.6194435935701898E-4</v>
      </c>
    </row>
    <row r="37008" spans="1:6" x14ac:dyDescent="0.25">
      <c r="A37008" s="2" t="str">
        <f t="shared" si="1239"/>
        <v>99999</v>
      </c>
      <c r="B37008" s="2" t="str">
        <f>"29020"</f>
        <v>29020</v>
      </c>
      <c r="C37008" s="1">
        <v>4.3982678464356202E-5</v>
      </c>
      <c r="D37008" s="1">
        <v>1.9728834754315301E-5</v>
      </c>
      <c r="E37008" s="1">
        <v>0</v>
      </c>
      <c r="F37008" s="1">
        <v>4.1385815986524902E-5</v>
      </c>
    </row>
    <row r="37009" spans="1:6" x14ac:dyDescent="0.25">
      <c r="A37009" s="2" t="str">
        <f t="shared" si="1239"/>
        <v>99999</v>
      </c>
      <c r="B37009" s="2" t="str">
        <f>"29128"</f>
        <v>29128</v>
      </c>
      <c r="C37009" s="1">
        <v>3.4487658547733398E-5</v>
      </c>
      <c r="D37009" s="1">
        <v>9.1056160404532095E-6</v>
      </c>
      <c r="E37009" s="1">
        <v>0</v>
      </c>
      <c r="F37009" s="1">
        <v>3.2034213335723597E-5</v>
      </c>
    </row>
    <row r="37010" spans="1:6" x14ac:dyDescent="0.25">
      <c r="A37010" s="2" t="str">
        <f t="shared" ref="A37010:A37073" si="1240">"99999"</f>
        <v>99999</v>
      </c>
      <c r="B37010" s="2" t="str">
        <f>"28756"</f>
        <v>28756</v>
      </c>
      <c r="C37010" s="1">
        <v>2.22532708160849E-4</v>
      </c>
      <c r="D37010" s="1">
        <v>9.1056160404532095E-5</v>
      </c>
      <c r="E37010" s="1">
        <v>5.21464794608054E-5</v>
      </c>
      <c r="F37010" s="1">
        <v>2.1001311910469699E-4</v>
      </c>
    </row>
    <row r="37011" spans="1:6" x14ac:dyDescent="0.25">
      <c r="A37011" s="2" t="str">
        <f t="shared" si="1240"/>
        <v>99999</v>
      </c>
      <c r="B37011" s="2" t="str">
        <f>"28713"</f>
        <v>28713</v>
      </c>
      <c r="C37011" s="1">
        <v>3.27414479883545E-6</v>
      </c>
      <c r="D37011" s="1">
        <v>0</v>
      </c>
      <c r="E37011" s="1">
        <v>0</v>
      </c>
      <c r="F37011" s="1">
        <v>2.9845540374897699E-6</v>
      </c>
    </row>
    <row r="37012" spans="1:6" x14ac:dyDescent="0.25">
      <c r="A37012" s="2" t="str">
        <f t="shared" si="1240"/>
        <v>99999</v>
      </c>
      <c r="B37012" s="2" t="str">
        <f>"28653"</f>
        <v>28653</v>
      </c>
      <c r="C37012" s="1">
        <v>0</v>
      </c>
      <c r="D37012" s="1">
        <v>0</v>
      </c>
      <c r="E37012" s="1">
        <v>4.3455399550671099E-6</v>
      </c>
      <c r="F37012" s="1">
        <v>9.9485134582992598E-8</v>
      </c>
    </row>
    <row r="37013" spans="1:6" x14ac:dyDescent="0.25">
      <c r="A37013" s="2" t="str">
        <f t="shared" si="1240"/>
        <v>99999</v>
      </c>
      <c r="B37013" s="2" t="str">
        <f>"28652"</f>
        <v>28652</v>
      </c>
      <c r="C37013" s="1">
        <v>0</v>
      </c>
      <c r="D37013" s="1">
        <v>0</v>
      </c>
      <c r="E37013" s="1">
        <v>8.69107991013423E-6</v>
      </c>
      <c r="F37013" s="1">
        <v>1.9897026916598501E-7</v>
      </c>
    </row>
    <row r="37014" spans="1:6" x14ac:dyDescent="0.25">
      <c r="A37014" s="2" t="str">
        <f t="shared" si="1240"/>
        <v>99999</v>
      </c>
      <c r="B37014" s="2" t="str">
        <f>"28646"</f>
        <v>28646</v>
      </c>
      <c r="C37014" s="1">
        <v>0</v>
      </c>
      <c r="D37014" s="1">
        <v>0</v>
      </c>
      <c r="E37014" s="1">
        <v>4.2195192963701703E-3</v>
      </c>
      <c r="F37014" s="1">
        <v>9.6600065680085804E-5</v>
      </c>
    </row>
    <row r="37015" spans="1:6" x14ac:dyDescent="0.25">
      <c r="A37015" s="2" t="str">
        <f t="shared" si="1240"/>
        <v>99999</v>
      </c>
      <c r="B37015" s="2" t="str">
        <f>"28629"</f>
        <v>28629</v>
      </c>
      <c r="C37015" s="1">
        <v>2.5101776791071799E-6</v>
      </c>
      <c r="D37015" s="1">
        <v>1.51760267340886E-6</v>
      </c>
      <c r="E37015" s="1">
        <v>4.3455399550671099E-6</v>
      </c>
      <c r="F37015" s="1">
        <v>2.48712836457481E-6</v>
      </c>
    </row>
    <row r="37016" spans="1:6" x14ac:dyDescent="0.25">
      <c r="A37016" s="2" t="str">
        <f t="shared" si="1240"/>
        <v>99999</v>
      </c>
      <c r="B37016" s="2" t="str">
        <f>"28626"</f>
        <v>28626</v>
      </c>
      <c r="C37016" s="1">
        <v>1.65562588661112E-4</v>
      </c>
      <c r="D37016" s="1">
        <v>9.2573763077941E-5</v>
      </c>
      <c r="E37016" s="1">
        <v>0</v>
      </c>
      <c r="F37016" s="1">
        <v>1.5698754237196199E-4</v>
      </c>
    </row>
    <row r="37017" spans="1:6" x14ac:dyDescent="0.25">
      <c r="A37017" s="2" t="str">
        <f t="shared" si="1240"/>
        <v>99999</v>
      </c>
      <c r="B37017" s="2" t="str">
        <f>"28421"</f>
        <v>28421</v>
      </c>
      <c r="C37017" s="1">
        <v>1.09138159961181E-7</v>
      </c>
      <c r="D37017" s="1">
        <v>0</v>
      </c>
      <c r="E37017" s="1">
        <v>0</v>
      </c>
      <c r="F37017" s="1">
        <v>9.9485134582992598E-8</v>
      </c>
    </row>
    <row r="37018" spans="1:6" x14ac:dyDescent="0.25">
      <c r="A37018" s="2" t="str">
        <f t="shared" si="1240"/>
        <v>99999</v>
      </c>
      <c r="B37018" s="2" t="str">
        <f>"28424"</f>
        <v>28424</v>
      </c>
      <c r="C37018" s="1">
        <v>0</v>
      </c>
      <c r="D37018" s="1">
        <v>1.51760267340886E-6</v>
      </c>
      <c r="E37018" s="1">
        <v>0</v>
      </c>
      <c r="F37018" s="1">
        <v>9.9485134582992598E-8</v>
      </c>
    </row>
    <row r="37019" spans="1:6" x14ac:dyDescent="0.25">
      <c r="A37019" s="2" t="str">
        <f t="shared" si="1240"/>
        <v>99999</v>
      </c>
      <c r="B37019" s="2" t="str">
        <f>"28501"</f>
        <v>28501</v>
      </c>
      <c r="C37019" s="1">
        <v>2.7284539990295402E-6</v>
      </c>
      <c r="D37019" s="1">
        <v>1.51760267340886E-6</v>
      </c>
      <c r="E37019" s="1">
        <v>0</v>
      </c>
      <c r="F37019" s="1">
        <v>2.5866134991578E-6</v>
      </c>
    </row>
    <row r="37020" spans="1:6" x14ac:dyDescent="0.25">
      <c r="A37020" s="2" t="str">
        <f t="shared" si="1240"/>
        <v>99999</v>
      </c>
      <c r="B37020" s="2" t="str">
        <f>"28521"</f>
        <v>28521</v>
      </c>
      <c r="C37020" s="1">
        <v>1.09356436281104E-4</v>
      </c>
      <c r="D37020" s="1">
        <v>4.5528080202266E-5</v>
      </c>
      <c r="E37020" s="1">
        <v>0</v>
      </c>
      <c r="F37020" s="1">
        <v>1.02668658889648E-4</v>
      </c>
    </row>
    <row r="37021" spans="1:6" x14ac:dyDescent="0.25">
      <c r="A37021" s="2" t="str">
        <f t="shared" si="1240"/>
        <v>99999</v>
      </c>
      <c r="B37021" s="2" t="str">
        <f>"28513"</f>
        <v>28513</v>
      </c>
      <c r="C37021" s="1">
        <v>3.1540928228781503E-5</v>
      </c>
      <c r="D37021" s="1">
        <v>2.5799245447950699E-5</v>
      </c>
      <c r="E37021" s="1">
        <v>0</v>
      </c>
      <c r="F37021" s="1">
        <v>3.0442451182395699E-5</v>
      </c>
    </row>
    <row r="37022" spans="1:6" x14ac:dyDescent="0.25">
      <c r="A37022" s="2" t="str">
        <f t="shared" si="1240"/>
        <v>99999</v>
      </c>
      <c r="B37022" s="2" t="str">
        <f>"28455"</f>
        <v>28455</v>
      </c>
      <c r="C37022" s="1">
        <v>1.05100048042618E-4</v>
      </c>
      <c r="D37022" s="1">
        <v>5.3116093569310399E-5</v>
      </c>
      <c r="E37022" s="1">
        <v>8.69107991013423E-6</v>
      </c>
      <c r="F37022" s="1">
        <v>9.9485134582992605E-5</v>
      </c>
    </row>
    <row r="37023" spans="1:6" x14ac:dyDescent="0.25">
      <c r="A37023" s="2" t="str">
        <f t="shared" si="1240"/>
        <v>99999</v>
      </c>
      <c r="B37023" s="2" t="str">
        <f>"28463"</f>
        <v>28463</v>
      </c>
      <c r="C37023" s="1">
        <v>4.2400175144919098E-4</v>
      </c>
      <c r="D37023" s="1">
        <v>4.4769278865561599E-4</v>
      </c>
      <c r="E37023" s="1">
        <v>4.6931831514724801E-4</v>
      </c>
      <c r="F37023" s="1">
        <v>4.2659225709187199E-4</v>
      </c>
    </row>
    <row r="37024" spans="1:6" x14ac:dyDescent="0.25">
      <c r="A37024" s="2" t="str">
        <f t="shared" si="1240"/>
        <v>99999</v>
      </c>
      <c r="B37024" s="2" t="str">
        <f>"28398"</f>
        <v>28398</v>
      </c>
      <c r="C37024" s="1">
        <v>4.48448699280495E-4</v>
      </c>
      <c r="D37024" s="1">
        <v>7.2389647521602996E-4</v>
      </c>
      <c r="E37024" s="1">
        <v>1.2602065869694599E-4</v>
      </c>
      <c r="F37024" s="1">
        <v>4.5912389610051099E-4</v>
      </c>
    </row>
    <row r="37025" spans="1:6" x14ac:dyDescent="0.25">
      <c r="A37025" s="2" t="str">
        <f t="shared" si="1240"/>
        <v>99999</v>
      </c>
      <c r="B37025" s="2" t="str">
        <f>"28393"</f>
        <v>28393</v>
      </c>
      <c r="C37025" s="1">
        <v>9.0693810927741997E-5</v>
      </c>
      <c r="D37025" s="1">
        <v>6.2221709609763595E-5</v>
      </c>
      <c r="E37025" s="1">
        <v>0</v>
      </c>
      <c r="F37025" s="1">
        <v>8.67510373563695E-5</v>
      </c>
    </row>
    <row r="37026" spans="1:6" x14ac:dyDescent="0.25">
      <c r="A37026" s="2" t="str">
        <f t="shared" si="1240"/>
        <v>99999</v>
      </c>
      <c r="B37026" s="2" t="str">
        <f>"28365"</f>
        <v>28365</v>
      </c>
      <c r="C37026" s="1">
        <v>2.72190570943187E-4</v>
      </c>
      <c r="D37026" s="1">
        <v>1.04714584465211E-4</v>
      </c>
      <c r="E37026" s="1">
        <v>0</v>
      </c>
      <c r="F37026" s="1">
        <v>2.5498039993620999E-4</v>
      </c>
    </row>
    <row r="37027" spans="1:6" x14ac:dyDescent="0.25">
      <c r="A37027" s="2" t="str">
        <f t="shared" si="1240"/>
        <v>99999</v>
      </c>
      <c r="B37027" s="2" t="str">
        <f>"27865"</f>
        <v>27865</v>
      </c>
      <c r="C37027" s="1">
        <v>1.09138159961181E-7</v>
      </c>
      <c r="D37027" s="1">
        <v>0</v>
      </c>
      <c r="E37027" s="1">
        <v>0</v>
      </c>
      <c r="F37027" s="1">
        <v>9.9485134582992598E-8</v>
      </c>
    </row>
    <row r="37028" spans="1:6" x14ac:dyDescent="0.25">
      <c r="A37028" s="2" t="str">
        <f t="shared" si="1240"/>
        <v>99999</v>
      </c>
      <c r="B37028" s="2" t="str">
        <f>"27850"</f>
        <v>27850</v>
      </c>
      <c r="C37028" s="1">
        <v>2.28426168798753E-4</v>
      </c>
      <c r="D37028" s="1">
        <v>1.27478624566345E-4</v>
      </c>
      <c r="E37028" s="1">
        <v>7.8219719191208097E-5</v>
      </c>
      <c r="F37028" s="1">
        <v>2.18369870409668E-4</v>
      </c>
    </row>
    <row r="37029" spans="1:6" x14ac:dyDescent="0.25">
      <c r="A37029" s="2" t="str">
        <f t="shared" si="1240"/>
        <v>99999</v>
      </c>
      <c r="B37029" s="2" t="str">
        <f>"27960"</f>
        <v>27960</v>
      </c>
      <c r="C37029" s="1">
        <v>0</v>
      </c>
      <c r="D37029" s="1">
        <v>1.51760267340886E-6</v>
      </c>
      <c r="E37029" s="1">
        <v>2.05109485879167E-3</v>
      </c>
      <c r="F37029" s="1">
        <v>4.7056468657755498E-5</v>
      </c>
    </row>
    <row r="37030" spans="1:6" x14ac:dyDescent="0.25">
      <c r="A37030" s="2" t="str">
        <f t="shared" si="1240"/>
        <v>99999</v>
      </c>
      <c r="B37030" s="2" t="str">
        <f>"27980"</f>
        <v>27980</v>
      </c>
      <c r="C37030" s="1">
        <v>1.00407107164287E-4</v>
      </c>
      <c r="D37030" s="1">
        <v>3.3387258814995101E-5</v>
      </c>
      <c r="E37030" s="1">
        <v>0</v>
      </c>
      <c r="F37030" s="1">
        <v>9.3714996777179003E-5</v>
      </c>
    </row>
    <row r="37031" spans="1:6" x14ac:dyDescent="0.25">
      <c r="A37031" s="2" t="str">
        <f t="shared" si="1240"/>
        <v>99999</v>
      </c>
      <c r="B37031" s="2" t="str">
        <f>"27970"</f>
        <v>27970</v>
      </c>
      <c r="C37031" s="1">
        <v>1.8979126017249501E-4</v>
      </c>
      <c r="D37031" s="1">
        <v>4.0975272182039399E-5</v>
      </c>
      <c r="E37031" s="1">
        <v>4.3455399550671103E-5</v>
      </c>
      <c r="F37031" s="1">
        <v>1.76685599019394E-4</v>
      </c>
    </row>
    <row r="37032" spans="1:6" x14ac:dyDescent="0.25">
      <c r="A37032" s="2" t="str">
        <f t="shared" si="1240"/>
        <v>99999</v>
      </c>
      <c r="B37032" s="2" t="str">
        <f>"27962"</f>
        <v>27962</v>
      </c>
      <c r="C37032" s="1">
        <v>3.8667650074246602E-4</v>
      </c>
      <c r="D37032" s="1">
        <v>6.7988599768717298E-4</v>
      </c>
      <c r="E37032" s="1">
        <v>4.56281695282047E-4</v>
      </c>
      <c r="F37032" s="1">
        <v>4.0749111125193698E-4</v>
      </c>
    </row>
    <row r="37033" spans="1:6" x14ac:dyDescent="0.25">
      <c r="A37033" s="2" t="str">
        <f t="shared" si="1240"/>
        <v>99999</v>
      </c>
      <c r="B37033" s="2" t="str">
        <f>"27892"</f>
        <v>27892</v>
      </c>
      <c r="C37033" s="1">
        <v>8.0434823891390903E-4</v>
      </c>
      <c r="D37033" s="1">
        <v>1.32183192853912E-3</v>
      </c>
      <c r="E37033" s="1">
        <v>7.2135963254114097E-4</v>
      </c>
      <c r="F37033" s="1">
        <v>8.3637152643921896E-4</v>
      </c>
    </row>
    <row r="37034" spans="1:6" x14ac:dyDescent="0.25">
      <c r="A37034" s="2" t="str">
        <f t="shared" si="1240"/>
        <v>99999</v>
      </c>
      <c r="B37034" s="2" t="str">
        <f>"27589"</f>
        <v>27589</v>
      </c>
      <c r="C37034" s="1">
        <v>5.6424428699930896E-4</v>
      </c>
      <c r="D37034" s="1">
        <v>5.7517141322196096E-4</v>
      </c>
      <c r="E37034" s="1">
        <v>1.7816713815775099E-4</v>
      </c>
      <c r="F37034" s="1">
        <v>5.5612190231892804E-4</v>
      </c>
    </row>
    <row r="37035" spans="1:6" x14ac:dyDescent="0.25">
      <c r="A37035" s="2" t="str">
        <f t="shared" si="1240"/>
        <v>99999</v>
      </c>
      <c r="B37035" s="2" t="str">
        <f>"27563"</f>
        <v>27563</v>
      </c>
      <c r="C37035" s="1">
        <v>3.0875185453018301E-4</v>
      </c>
      <c r="D37035" s="1">
        <v>1.42654651300433E-4</v>
      </c>
      <c r="E37035" s="1">
        <v>2.05978593870181E-3</v>
      </c>
      <c r="F37035" s="1">
        <v>3.3795100217842499E-4</v>
      </c>
    </row>
    <row r="37036" spans="1:6" x14ac:dyDescent="0.25">
      <c r="A37036" s="2" t="str">
        <f t="shared" si="1240"/>
        <v>99999</v>
      </c>
      <c r="B37036" s="2" t="str">
        <f>"27551"</f>
        <v>27551</v>
      </c>
      <c r="C37036" s="1">
        <v>1.5825033194371299E-4</v>
      </c>
      <c r="D37036" s="1">
        <v>4.8563285549083798E-5</v>
      </c>
      <c r="E37036" s="1">
        <v>0</v>
      </c>
      <c r="F37036" s="1">
        <v>1.47436969451995E-4</v>
      </c>
    </row>
    <row r="37037" spans="1:6" x14ac:dyDescent="0.25">
      <c r="A37037" s="2" t="str">
        <f t="shared" si="1240"/>
        <v>99999</v>
      </c>
      <c r="B37037" s="2" t="str">
        <f>"27379"</f>
        <v>27379</v>
      </c>
      <c r="C37037" s="1">
        <v>2.34974458396424E-4</v>
      </c>
      <c r="D37037" s="1">
        <v>7.2844928323625703E-5</v>
      </c>
      <c r="E37037" s="1">
        <v>7.8219719191208097E-5</v>
      </c>
      <c r="F37037" s="1">
        <v>2.2075751363965999E-4</v>
      </c>
    </row>
    <row r="37038" spans="1:6" x14ac:dyDescent="0.25">
      <c r="A37038" s="2" t="str">
        <f t="shared" si="1240"/>
        <v>99999</v>
      </c>
      <c r="B37038" s="2" t="str">
        <f>"26807"</f>
        <v>26807</v>
      </c>
      <c r="C37038" s="1">
        <v>9.7242100525412906E-5</v>
      </c>
      <c r="D37038" s="1">
        <v>3.7940066835221703E-5</v>
      </c>
      <c r="E37038" s="1">
        <v>1.7382159820268399E-5</v>
      </c>
      <c r="F37038" s="1">
        <v>9.1526323816353198E-5</v>
      </c>
    </row>
    <row r="37039" spans="1:6" x14ac:dyDescent="0.25">
      <c r="A37039" s="2" t="str">
        <f t="shared" si="1240"/>
        <v>99999</v>
      </c>
      <c r="B37039" s="2" t="str">
        <f>"26372"</f>
        <v>26372</v>
      </c>
      <c r="C37039" s="1">
        <v>3.74343888666853E-5</v>
      </c>
      <c r="D37039" s="1">
        <v>6.0704106936354696E-6</v>
      </c>
      <c r="E37039" s="1">
        <v>4.3455399550671099E-6</v>
      </c>
      <c r="F37039" s="1">
        <v>3.4620826834881403E-5</v>
      </c>
    </row>
    <row r="37040" spans="1:6" x14ac:dyDescent="0.25">
      <c r="A37040" s="2" t="str">
        <f t="shared" si="1240"/>
        <v>99999</v>
      </c>
      <c r="B37040" s="2" t="str">
        <f>"26348"</f>
        <v>26348</v>
      </c>
      <c r="C37040" s="1">
        <v>1.2441750235574699E-5</v>
      </c>
      <c r="D37040" s="1">
        <v>3.0352053468177301E-6</v>
      </c>
      <c r="E37040" s="1">
        <v>0</v>
      </c>
      <c r="F37040" s="1">
        <v>1.1540275611627099E-5</v>
      </c>
    </row>
    <row r="37041" spans="1:6" x14ac:dyDescent="0.25">
      <c r="A37041" s="2" t="str">
        <f t="shared" si="1240"/>
        <v>99999</v>
      </c>
      <c r="B37041" s="2" t="str">
        <f>"26325"</f>
        <v>26325</v>
      </c>
      <c r="C37041" s="1">
        <v>1.45153752748371E-5</v>
      </c>
      <c r="D37041" s="1">
        <v>1.3658424060679801E-5</v>
      </c>
      <c r="E37041" s="1">
        <v>0</v>
      </c>
      <c r="F37041" s="1">
        <v>1.41268891107849E-5</v>
      </c>
    </row>
    <row r="37042" spans="1:6" x14ac:dyDescent="0.25">
      <c r="A37042" s="2" t="str">
        <f t="shared" si="1240"/>
        <v>99999</v>
      </c>
      <c r="B37042" s="2" t="str">
        <f>"26691"</f>
        <v>26691</v>
      </c>
      <c r="C37042" s="1">
        <v>2.0081421432857398E-5</v>
      </c>
      <c r="D37042" s="1">
        <v>1.51760267340886E-6</v>
      </c>
      <c r="E37042" s="1">
        <v>8.69107991013423E-6</v>
      </c>
      <c r="F37042" s="1">
        <v>1.8603720167019601E-5</v>
      </c>
    </row>
    <row r="37043" spans="1:6" x14ac:dyDescent="0.25">
      <c r="A37043" s="2" t="str">
        <f t="shared" si="1240"/>
        <v>99999</v>
      </c>
      <c r="B37043" s="2" t="str">
        <f>"26615"</f>
        <v>26615</v>
      </c>
      <c r="C37043" s="1">
        <v>8.6219146369333496E-6</v>
      </c>
      <c r="D37043" s="1">
        <v>1.51760267340886E-6</v>
      </c>
      <c r="E37043" s="1">
        <v>4.3455399550671099E-6</v>
      </c>
      <c r="F37043" s="1">
        <v>8.0582959012224002E-6</v>
      </c>
    </row>
    <row r="37044" spans="1:6" x14ac:dyDescent="0.25">
      <c r="A37044" s="2" t="str">
        <f t="shared" si="1240"/>
        <v>99999</v>
      </c>
      <c r="B37044" s="2" t="str">
        <f>"26601"</f>
        <v>26601</v>
      </c>
      <c r="C37044" s="1">
        <v>2.7153574198342001E-4</v>
      </c>
      <c r="D37044" s="1">
        <v>4.1430552984062099E-4</v>
      </c>
      <c r="E37044" s="1">
        <v>1.3471173860707999E-4</v>
      </c>
      <c r="F37044" s="1">
        <v>2.7776249575571499E-4</v>
      </c>
    </row>
    <row r="37045" spans="1:6" x14ac:dyDescent="0.25">
      <c r="A37045" s="2" t="str">
        <f t="shared" si="1240"/>
        <v>99999</v>
      </c>
      <c r="B37045" s="2" t="str">
        <f>"26575"</f>
        <v>26575</v>
      </c>
      <c r="C37045" s="1">
        <v>3.1540928228781503E-5</v>
      </c>
      <c r="D37045" s="1">
        <v>1.3658424060679801E-5</v>
      </c>
      <c r="E37045" s="1">
        <v>8.69107991013423E-6</v>
      </c>
      <c r="F37045" s="1">
        <v>2.9845540374897701E-5</v>
      </c>
    </row>
    <row r="37046" spans="1:6" x14ac:dyDescent="0.25">
      <c r="A37046" s="2" t="str">
        <f t="shared" si="1240"/>
        <v>99999</v>
      </c>
      <c r="B37046" s="2" t="str">
        <f>"26289"</f>
        <v>26289</v>
      </c>
      <c r="C37046" s="1">
        <v>1.4187960794953601E-6</v>
      </c>
      <c r="D37046" s="1">
        <v>1.51760267340886E-6</v>
      </c>
      <c r="E37046" s="1">
        <v>0</v>
      </c>
      <c r="F37046" s="1">
        <v>1.39279188416189E-6</v>
      </c>
    </row>
    <row r="37047" spans="1:6" x14ac:dyDescent="0.25">
      <c r="A37047" s="2" t="str">
        <f t="shared" si="1240"/>
        <v>99999</v>
      </c>
      <c r="B37047" s="2" t="str">
        <f>"26266"</f>
        <v>26266</v>
      </c>
      <c r="C37047" s="1">
        <v>5.5660461580202599E-6</v>
      </c>
      <c r="D37047" s="1">
        <v>3.0352053468177301E-6</v>
      </c>
      <c r="E37047" s="1">
        <v>4.3455399550671099E-6</v>
      </c>
      <c r="F37047" s="1">
        <v>5.3721972674816004E-6</v>
      </c>
    </row>
    <row r="37048" spans="1:6" x14ac:dyDescent="0.25">
      <c r="A37048" s="2" t="str">
        <f t="shared" si="1240"/>
        <v>99999</v>
      </c>
      <c r="B37048" s="2" t="str">
        <f>"26264"</f>
        <v>26264</v>
      </c>
      <c r="C37048" s="1">
        <v>2.30281517518093E-5</v>
      </c>
      <c r="D37048" s="1">
        <v>3.0352053468177301E-6</v>
      </c>
      <c r="E37048" s="1">
        <v>0</v>
      </c>
      <c r="F37048" s="1">
        <v>2.1190333666177399E-5</v>
      </c>
    </row>
    <row r="37049" spans="1:6" x14ac:dyDescent="0.25">
      <c r="A37049" s="2" t="str">
        <f t="shared" si="1240"/>
        <v>99999</v>
      </c>
      <c r="B37049" s="2" t="str">
        <f>"26261"</f>
        <v>26261</v>
      </c>
      <c r="C37049" s="1">
        <v>1.6785449002029701E-4</v>
      </c>
      <c r="D37049" s="1">
        <v>1.8970033417610801E-4</v>
      </c>
      <c r="E37049" s="1">
        <v>1.56439438382416E-4</v>
      </c>
      <c r="F37049" s="1">
        <v>1.6902524365650399E-4</v>
      </c>
    </row>
    <row r="37050" spans="1:6" x14ac:dyDescent="0.25">
      <c r="A37050" s="2" t="str">
        <f t="shared" si="1240"/>
        <v>99999</v>
      </c>
      <c r="B37050" s="2" t="str">
        <f>"26250"</f>
        <v>26250</v>
      </c>
      <c r="C37050" s="1">
        <v>2.6771590638477802E-4</v>
      </c>
      <c r="D37050" s="1">
        <v>1.6086588338134E-4</v>
      </c>
      <c r="E37050" s="1">
        <v>7.3874179236140894E-5</v>
      </c>
      <c r="F37050" s="1">
        <v>2.5627370668578899E-4</v>
      </c>
    </row>
    <row r="37051" spans="1:6" x14ac:dyDescent="0.25">
      <c r="A37051" s="2" t="str">
        <f t="shared" si="1240"/>
        <v>99999</v>
      </c>
      <c r="B37051" s="2" t="str">
        <f>"26224"</f>
        <v>26224</v>
      </c>
      <c r="C37051" s="1">
        <v>1.85534871934008E-6</v>
      </c>
      <c r="D37051" s="1">
        <v>0</v>
      </c>
      <c r="E37051" s="1">
        <v>0</v>
      </c>
      <c r="F37051" s="1">
        <v>1.6912472879108699E-6</v>
      </c>
    </row>
    <row r="37052" spans="1:6" x14ac:dyDescent="0.25">
      <c r="A37052" s="2" t="str">
        <f t="shared" si="1240"/>
        <v>99999</v>
      </c>
      <c r="B37052" s="2" t="str">
        <f>"26202"</f>
        <v>26202</v>
      </c>
      <c r="C37052" s="1">
        <v>2.1827631992236301E-5</v>
      </c>
      <c r="D37052" s="1">
        <v>4.5528080202265997E-6</v>
      </c>
      <c r="E37052" s="1">
        <v>0</v>
      </c>
      <c r="F37052" s="1">
        <v>2.0195482320347499E-5</v>
      </c>
    </row>
    <row r="37053" spans="1:6" x14ac:dyDescent="0.25">
      <c r="A37053" s="2" t="str">
        <f t="shared" si="1240"/>
        <v>99999</v>
      </c>
      <c r="B37053" s="2" t="str">
        <f>"26205"</f>
        <v>26205</v>
      </c>
      <c r="C37053" s="1">
        <v>1.3074751563349501E-4</v>
      </c>
      <c r="D37053" s="1">
        <v>3.9457669508630602E-5</v>
      </c>
      <c r="E37053" s="1">
        <v>1.12984038831745E-4</v>
      </c>
      <c r="F37053" s="1">
        <v>1.2435641822874E-4</v>
      </c>
    </row>
    <row r="37054" spans="1:6" x14ac:dyDescent="0.25">
      <c r="A37054" s="2" t="str">
        <f t="shared" si="1240"/>
        <v>99999</v>
      </c>
      <c r="B37054" s="2" t="str">
        <f>"26170"</f>
        <v>26170</v>
      </c>
      <c r="C37054" s="1">
        <v>3.2817844700327298E-4</v>
      </c>
      <c r="D37054" s="1">
        <v>3.3235498547654199E-4</v>
      </c>
      <c r="E37054" s="1">
        <v>2.5204131739389198E-4</v>
      </c>
      <c r="F37054" s="1">
        <v>3.2670918197054698E-4</v>
      </c>
    </row>
    <row r="37055" spans="1:6" x14ac:dyDescent="0.25">
      <c r="A37055" s="2" t="str">
        <f t="shared" si="1240"/>
        <v>99999</v>
      </c>
      <c r="B37055" s="2" t="str">
        <f>"26228"</f>
        <v>26228</v>
      </c>
      <c r="C37055" s="1">
        <v>4.0381119185637197E-6</v>
      </c>
      <c r="D37055" s="1">
        <v>6.0704106936354696E-6</v>
      </c>
      <c r="E37055" s="1">
        <v>0</v>
      </c>
      <c r="F37055" s="1">
        <v>4.07889051790269E-6</v>
      </c>
    </row>
    <row r="37056" spans="1:6" x14ac:dyDescent="0.25">
      <c r="A37056" s="2" t="str">
        <f t="shared" si="1240"/>
        <v>99999</v>
      </c>
      <c r="B37056" s="2" t="str">
        <f>"25811"</f>
        <v>25811</v>
      </c>
      <c r="C37056" s="1">
        <v>4.5838027183696299E-6</v>
      </c>
      <c r="D37056" s="1">
        <v>0</v>
      </c>
      <c r="E37056" s="1">
        <v>0</v>
      </c>
      <c r="F37056" s="1">
        <v>4.1783756524856902E-6</v>
      </c>
    </row>
    <row r="37057" spans="1:6" x14ac:dyDescent="0.25">
      <c r="A37057" s="2" t="str">
        <f t="shared" si="1240"/>
        <v>99999</v>
      </c>
      <c r="B37057" s="2" t="str">
        <f>"26152"</f>
        <v>26152</v>
      </c>
      <c r="C37057" s="1">
        <v>3.9289737586025402E-6</v>
      </c>
      <c r="D37057" s="1">
        <v>0</v>
      </c>
      <c r="E37057" s="1">
        <v>0</v>
      </c>
      <c r="F37057" s="1">
        <v>3.5814648449877301E-6</v>
      </c>
    </row>
    <row r="37058" spans="1:6" x14ac:dyDescent="0.25">
      <c r="A37058" s="2" t="str">
        <f t="shared" si="1240"/>
        <v>99999</v>
      </c>
      <c r="B37058" s="2" t="str">
        <f>"26149"</f>
        <v>26149</v>
      </c>
      <c r="C37058" s="1">
        <v>1.28892166914155E-4</v>
      </c>
      <c r="D37058" s="1">
        <v>5.3116093569310399E-5</v>
      </c>
      <c r="E37058" s="1">
        <v>3.9109859595604001E-5</v>
      </c>
      <c r="F37058" s="1">
        <v>1.21869289864165E-4</v>
      </c>
    </row>
    <row r="37059" spans="1:6" x14ac:dyDescent="0.25">
      <c r="A37059" s="2" t="str">
        <f t="shared" si="1240"/>
        <v>99999</v>
      </c>
      <c r="B37059" s="2" t="str">
        <f>"26138"</f>
        <v>26138</v>
      </c>
      <c r="C37059" s="1">
        <v>4.2563882384860804E-6</v>
      </c>
      <c r="D37059" s="1">
        <v>0</v>
      </c>
      <c r="E37059" s="1">
        <v>0</v>
      </c>
      <c r="F37059" s="1">
        <v>3.87992024873671E-6</v>
      </c>
    </row>
    <row r="37060" spans="1:6" x14ac:dyDescent="0.25">
      <c r="A37060" s="2" t="str">
        <f t="shared" si="1240"/>
        <v>99999</v>
      </c>
      <c r="B37060" s="2" t="str">
        <f>"25875"</f>
        <v>25875</v>
      </c>
      <c r="C37060" s="1">
        <v>0</v>
      </c>
      <c r="D37060" s="1">
        <v>1.51760267340886E-6</v>
      </c>
      <c r="E37060" s="1">
        <v>0</v>
      </c>
      <c r="F37060" s="1">
        <v>9.9485134582992598E-8</v>
      </c>
    </row>
    <row r="37061" spans="1:6" x14ac:dyDescent="0.25">
      <c r="A37061" s="2" t="str">
        <f t="shared" si="1240"/>
        <v>99999</v>
      </c>
      <c r="B37061" s="2" t="str">
        <f>"25943"</f>
        <v>25943</v>
      </c>
      <c r="C37061" s="1">
        <v>0</v>
      </c>
      <c r="D37061" s="1">
        <v>1.51760267340886E-6</v>
      </c>
      <c r="E37061" s="1">
        <v>0</v>
      </c>
      <c r="F37061" s="1">
        <v>9.9485134582992598E-8</v>
      </c>
    </row>
    <row r="37062" spans="1:6" x14ac:dyDescent="0.25">
      <c r="A37062" s="2" t="str">
        <f t="shared" si="1240"/>
        <v>99999</v>
      </c>
      <c r="B37062" s="2" t="str">
        <f>"25984"</f>
        <v>25984</v>
      </c>
      <c r="C37062" s="1">
        <v>4.2236467904977303E-5</v>
      </c>
      <c r="D37062" s="1">
        <v>1.0623218713862E-5</v>
      </c>
      <c r="E37062" s="1">
        <v>2.1727699775335501E-5</v>
      </c>
      <c r="F37062" s="1">
        <v>3.9694568698614001E-5</v>
      </c>
    </row>
    <row r="37063" spans="1:6" x14ac:dyDescent="0.25">
      <c r="A37063" s="2" t="str">
        <f t="shared" si="1240"/>
        <v>99999</v>
      </c>
      <c r="B37063" s="2" t="str">
        <f>"25969"</f>
        <v>25969</v>
      </c>
      <c r="C37063" s="1">
        <v>7.7051540932594295E-5</v>
      </c>
      <c r="D37063" s="1">
        <v>4.5528080202265997E-6</v>
      </c>
      <c r="E37063" s="1">
        <v>8.69107991013423E-6</v>
      </c>
      <c r="F37063" s="1">
        <v>7.0733930688507695E-5</v>
      </c>
    </row>
    <row r="37064" spans="1:6" x14ac:dyDescent="0.25">
      <c r="A37064" s="2" t="str">
        <f t="shared" si="1240"/>
        <v>99999</v>
      </c>
      <c r="B37064" s="2" t="str">
        <f>"25928"</f>
        <v>25928</v>
      </c>
      <c r="C37064" s="1">
        <v>1.82260727135173E-5</v>
      </c>
      <c r="D37064" s="1">
        <v>1.51760267340886E-6</v>
      </c>
      <c r="E37064" s="1">
        <v>0</v>
      </c>
      <c r="F37064" s="1">
        <v>1.67135026099427E-5</v>
      </c>
    </row>
    <row r="37065" spans="1:6" x14ac:dyDescent="0.25">
      <c r="A37065" s="2" t="str">
        <f t="shared" si="1240"/>
        <v>99999</v>
      </c>
      <c r="B37065" s="2" t="str">
        <f>"25261"</f>
        <v>25261</v>
      </c>
      <c r="C37065" s="1">
        <v>1.9426592473090299E-5</v>
      </c>
      <c r="D37065" s="1">
        <v>4.5528080202265997E-6</v>
      </c>
      <c r="E37065" s="1">
        <v>0</v>
      </c>
      <c r="F37065" s="1">
        <v>1.8006809359521599E-5</v>
      </c>
    </row>
    <row r="37066" spans="1:6" x14ac:dyDescent="0.25">
      <c r="A37066" s="2" t="str">
        <f t="shared" si="1240"/>
        <v>99999</v>
      </c>
      <c r="B37066" s="2" t="str">
        <f>"25071"</f>
        <v>25071</v>
      </c>
      <c r="C37066" s="1">
        <v>1.0586401516234599E-5</v>
      </c>
      <c r="D37066" s="1">
        <v>0</v>
      </c>
      <c r="E37066" s="1">
        <v>0</v>
      </c>
      <c r="F37066" s="1">
        <v>9.6500580545502799E-6</v>
      </c>
    </row>
    <row r="37067" spans="1:6" x14ac:dyDescent="0.25">
      <c r="A37067" s="2" t="str">
        <f t="shared" si="1240"/>
        <v>99999</v>
      </c>
      <c r="B37067" s="2" t="str">
        <f>"25125"</f>
        <v>25125</v>
      </c>
      <c r="C37067" s="1">
        <v>5.3477698380979E-6</v>
      </c>
      <c r="D37067" s="1">
        <v>0</v>
      </c>
      <c r="E37067" s="1">
        <v>0</v>
      </c>
      <c r="F37067" s="1">
        <v>4.8747715945666299E-6</v>
      </c>
    </row>
    <row r="37068" spans="1:6" x14ac:dyDescent="0.25">
      <c r="A37068" s="2" t="str">
        <f t="shared" si="1240"/>
        <v>99999</v>
      </c>
      <c r="B37068" s="2" t="str">
        <f>"24957"</f>
        <v>24957</v>
      </c>
      <c r="C37068" s="1">
        <v>1.68072766340219E-5</v>
      </c>
      <c r="D37068" s="1">
        <v>1.9728834754315301E-5</v>
      </c>
      <c r="E37068" s="1">
        <v>8.69107991013423E-6</v>
      </c>
      <c r="F37068" s="1">
        <v>1.6812987744525699E-5</v>
      </c>
    </row>
    <row r="37069" spans="1:6" x14ac:dyDescent="0.25">
      <c r="A37069" s="2" t="str">
        <f t="shared" si="1240"/>
        <v>99999</v>
      </c>
      <c r="B37069" s="2" t="str">
        <f>"25045"</f>
        <v>25045</v>
      </c>
      <c r="C37069" s="1">
        <v>3.0122132149286099E-5</v>
      </c>
      <c r="D37069" s="1">
        <v>1.9728834754315301E-5</v>
      </c>
      <c r="E37069" s="1">
        <v>0</v>
      </c>
      <c r="F37069" s="1">
        <v>2.8751203894484799E-5</v>
      </c>
    </row>
    <row r="37070" spans="1:6" x14ac:dyDescent="0.25">
      <c r="A37070" s="2" t="str">
        <f t="shared" si="1240"/>
        <v>99999</v>
      </c>
      <c r="B37070" s="2" t="str">
        <f>"24954"</f>
        <v>24954</v>
      </c>
      <c r="C37070" s="1">
        <v>2.8015765662035299E-4</v>
      </c>
      <c r="D37070" s="1">
        <v>3.2780217745631503E-4</v>
      </c>
      <c r="E37070" s="1">
        <v>2.6507793725909402E-4</v>
      </c>
      <c r="F37070" s="1">
        <v>2.82935722754031E-4</v>
      </c>
    </row>
    <row r="37071" spans="1:6" x14ac:dyDescent="0.25">
      <c r="A37071" s="2" t="str">
        <f t="shared" si="1240"/>
        <v>99999</v>
      </c>
      <c r="B37071" s="2" t="str">
        <f>"25268"</f>
        <v>25268</v>
      </c>
      <c r="C37071" s="1">
        <v>3.6452145427034702E-5</v>
      </c>
      <c r="D37071" s="1">
        <v>4.5528080202265997E-6</v>
      </c>
      <c r="E37071" s="1">
        <v>0</v>
      </c>
      <c r="F37071" s="1">
        <v>3.35264903544685E-5</v>
      </c>
    </row>
    <row r="37072" spans="1:6" x14ac:dyDescent="0.25">
      <c r="A37072" s="2" t="str">
        <f t="shared" si="1240"/>
        <v>99999</v>
      </c>
      <c r="B37072" s="2" t="str">
        <f>"24843"</f>
        <v>24843</v>
      </c>
      <c r="C37072" s="1">
        <v>2.1827631992236301E-7</v>
      </c>
      <c r="D37072" s="1">
        <v>1.51760267340886E-6</v>
      </c>
      <c r="E37072" s="1">
        <v>0</v>
      </c>
      <c r="F37072" s="1">
        <v>2.9845540374897701E-7</v>
      </c>
    </row>
    <row r="37073" spans="1:6" x14ac:dyDescent="0.25">
      <c r="A37073" s="2" t="str">
        <f t="shared" si="1240"/>
        <v>99999</v>
      </c>
      <c r="B37073" s="2" t="str">
        <f>"24866"</f>
        <v>24866</v>
      </c>
      <c r="C37073" s="1">
        <v>2.1827631992236301E-7</v>
      </c>
      <c r="D37073" s="1">
        <v>0</v>
      </c>
      <c r="E37073" s="1">
        <v>4.3455399550671099E-6</v>
      </c>
      <c r="F37073" s="1">
        <v>2.9845540374897701E-7</v>
      </c>
    </row>
    <row r="37074" spans="1:6" x14ac:dyDescent="0.25">
      <c r="A37074" s="2" t="str">
        <f t="shared" ref="A37074:A37137" si="1241">"99999"</f>
        <v>99999</v>
      </c>
      <c r="B37074" s="2" t="str">
        <f>"24808"</f>
        <v>24808</v>
      </c>
      <c r="C37074" s="1">
        <v>7.5305330373215401E-6</v>
      </c>
      <c r="D37074" s="1">
        <v>0</v>
      </c>
      <c r="E37074" s="1">
        <v>4.3455399550671099E-6</v>
      </c>
      <c r="F37074" s="1">
        <v>6.9639594208094801E-6</v>
      </c>
    </row>
    <row r="37075" spans="1:6" x14ac:dyDescent="0.25">
      <c r="A37075" s="2" t="str">
        <f t="shared" si="1241"/>
        <v>99999</v>
      </c>
      <c r="B37075" s="2" t="str">
        <f>"24894"</f>
        <v>24894</v>
      </c>
      <c r="C37075" s="1">
        <v>1.09138159961181E-7</v>
      </c>
      <c r="D37075" s="1">
        <v>0</v>
      </c>
      <c r="E37075" s="1">
        <v>4.3455399550671099E-6</v>
      </c>
      <c r="F37075" s="1">
        <v>1.9897026916598501E-7</v>
      </c>
    </row>
    <row r="37076" spans="1:6" x14ac:dyDescent="0.25">
      <c r="A37076" s="2" t="str">
        <f t="shared" si="1241"/>
        <v>99999</v>
      </c>
      <c r="B37076" s="2" t="str">
        <f>"24855"</f>
        <v>24855</v>
      </c>
      <c r="C37076" s="1">
        <v>2.8375921589907201E-6</v>
      </c>
      <c r="D37076" s="1">
        <v>1.51760267340886E-6</v>
      </c>
      <c r="E37076" s="1">
        <v>0</v>
      </c>
      <c r="F37076" s="1">
        <v>2.6860986337408002E-6</v>
      </c>
    </row>
    <row r="37077" spans="1:6" x14ac:dyDescent="0.25">
      <c r="A37077" s="2" t="str">
        <f t="shared" si="1241"/>
        <v>99999</v>
      </c>
      <c r="B37077" s="2" t="str">
        <f>"24918"</f>
        <v>24918</v>
      </c>
      <c r="C37077" s="1">
        <v>1.16668692998503E-4</v>
      </c>
      <c r="D37077" s="1">
        <v>7.5880133670443404E-6</v>
      </c>
      <c r="E37077" s="1">
        <v>0</v>
      </c>
      <c r="F37077" s="1">
        <v>1.0684703454213399E-4</v>
      </c>
    </row>
    <row r="37078" spans="1:6" x14ac:dyDescent="0.25">
      <c r="A37078" s="2" t="str">
        <f t="shared" si="1241"/>
        <v>99999</v>
      </c>
      <c r="B37078" s="2" t="str">
        <f>"24880"</f>
        <v>24880</v>
      </c>
      <c r="C37078" s="1">
        <v>1.4187960794953601E-6</v>
      </c>
      <c r="D37078" s="1">
        <v>1.51760267340886E-6</v>
      </c>
      <c r="E37078" s="1">
        <v>0</v>
      </c>
      <c r="F37078" s="1">
        <v>1.39279188416189E-6</v>
      </c>
    </row>
    <row r="37079" spans="1:6" x14ac:dyDescent="0.25">
      <c r="A37079" s="2" t="str">
        <f t="shared" si="1241"/>
        <v>99999</v>
      </c>
      <c r="B37079" s="2" t="str">
        <f>"24873"</f>
        <v>24873</v>
      </c>
      <c r="C37079" s="1">
        <v>3.1868342708665002E-5</v>
      </c>
      <c r="D37079" s="1">
        <v>4.5528080202265997E-6</v>
      </c>
      <c r="E37079" s="1">
        <v>0</v>
      </c>
      <c r="F37079" s="1">
        <v>2.93481147019828E-5</v>
      </c>
    </row>
    <row r="37080" spans="1:6" x14ac:dyDescent="0.25">
      <c r="A37080" s="2" t="str">
        <f t="shared" si="1241"/>
        <v>99999</v>
      </c>
      <c r="B37080" s="2" t="str">
        <f>"24869"</f>
        <v>24869</v>
      </c>
      <c r="C37080" s="1">
        <v>1.45153752748371E-5</v>
      </c>
      <c r="D37080" s="1">
        <v>1.51760267340886E-6</v>
      </c>
      <c r="E37080" s="1">
        <v>0</v>
      </c>
      <c r="F37080" s="1">
        <v>1.3331008034121E-5</v>
      </c>
    </row>
    <row r="37081" spans="1:6" x14ac:dyDescent="0.25">
      <c r="A37081" s="2" t="str">
        <f t="shared" si="1241"/>
        <v>99999</v>
      </c>
      <c r="B37081" s="2" t="str">
        <f>"24844"</f>
        <v>24844</v>
      </c>
      <c r="C37081" s="1">
        <v>6.7665659175932598E-5</v>
      </c>
      <c r="D37081" s="1">
        <v>2.7316848121359601E-5</v>
      </c>
      <c r="E37081" s="1">
        <v>0</v>
      </c>
      <c r="F37081" s="1">
        <v>6.3471515863949298E-5</v>
      </c>
    </row>
    <row r="37082" spans="1:6" x14ac:dyDescent="0.25">
      <c r="A37082" s="2" t="str">
        <f t="shared" si="1241"/>
        <v>99999</v>
      </c>
      <c r="B37082" s="2" t="str">
        <f>"24657"</f>
        <v>24657</v>
      </c>
      <c r="C37082" s="1">
        <v>9.9315725564675307E-6</v>
      </c>
      <c r="D37082" s="1">
        <v>1.5176026734088599E-5</v>
      </c>
      <c r="E37082" s="1">
        <v>0</v>
      </c>
      <c r="F37082" s="1">
        <v>1.0047998592882199E-5</v>
      </c>
    </row>
    <row r="37083" spans="1:6" x14ac:dyDescent="0.25">
      <c r="A37083" s="2" t="str">
        <f t="shared" si="1241"/>
        <v>99999</v>
      </c>
      <c r="B37083" s="2" t="str">
        <f>"24726"</f>
        <v>24726</v>
      </c>
      <c r="C37083" s="1">
        <v>4.0490257345598397E-5</v>
      </c>
      <c r="D37083" s="1">
        <v>6.0704106936354696E-6</v>
      </c>
      <c r="E37083" s="1">
        <v>4.3455399550671099E-6</v>
      </c>
      <c r="F37083" s="1">
        <v>3.7406410603205198E-5</v>
      </c>
    </row>
    <row r="37084" spans="1:6" x14ac:dyDescent="0.25">
      <c r="A37084" s="2" t="str">
        <f t="shared" si="1241"/>
        <v>99999</v>
      </c>
      <c r="B37084" s="2" t="str">
        <f>"24579"</f>
        <v>24579</v>
      </c>
      <c r="C37084" s="1">
        <v>6.8647902615583305E-5</v>
      </c>
      <c r="D37084" s="1">
        <v>3.3387258814995101E-5</v>
      </c>
      <c r="E37084" s="1">
        <v>1.3036619865201299E-5</v>
      </c>
      <c r="F37084" s="1">
        <v>6.5063278017277098E-5</v>
      </c>
    </row>
    <row r="37085" spans="1:6" x14ac:dyDescent="0.25">
      <c r="A37085" s="2" t="str">
        <f t="shared" si="1241"/>
        <v>99999</v>
      </c>
      <c r="B37085" s="2" t="str">
        <f>"24634"</f>
        <v>24634</v>
      </c>
      <c r="C37085" s="1">
        <v>1.7025552953944301E-5</v>
      </c>
      <c r="D37085" s="1">
        <v>3.0352053468177301E-6</v>
      </c>
      <c r="E37085" s="1">
        <v>0</v>
      </c>
      <c r="F37085" s="1">
        <v>1.57186512641128E-5</v>
      </c>
    </row>
    <row r="37086" spans="1:6" x14ac:dyDescent="0.25">
      <c r="A37086" s="2" t="str">
        <f t="shared" si="1241"/>
        <v>99999</v>
      </c>
      <c r="B37086" s="2" t="str">
        <f>"24474"</f>
        <v>24474</v>
      </c>
      <c r="C37086" s="1">
        <v>1.09138159961181E-7</v>
      </c>
      <c r="D37086" s="1">
        <v>0</v>
      </c>
      <c r="E37086" s="1">
        <v>4.3455399550671099E-6</v>
      </c>
      <c r="F37086" s="1">
        <v>1.9897026916598501E-7</v>
      </c>
    </row>
    <row r="37087" spans="1:6" x14ac:dyDescent="0.25">
      <c r="A37087" s="2" t="str">
        <f t="shared" si="1241"/>
        <v>99999</v>
      </c>
      <c r="B37087" s="2" t="str">
        <f>"24484"</f>
        <v>24484</v>
      </c>
      <c r="C37087" s="1">
        <v>4.24547442248996E-5</v>
      </c>
      <c r="D37087" s="1">
        <v>3.9457669508630602E-5</v>
      </c>
      <c r="E37087" s="1">
        <v>1.7382159820268399E-5</v>
      </c>
      <c r="F37087" s="1">
        <v>4.1684271390273897E-5</v>
      </c>
    </row>
    <row r="37088" spans="1:6" x14ac:dyDescent="0.25">
      <c r="A37088" s="2" t="str">
        <f t="shared" si="1241"/>
        <v>99999</v>
      </c>
      <c r="B37088" s="2" t="str">
        <f>"24460"</f>
        <v>24460</v>
      </c>
      <c r="C37088" s="1">
        <v>1.3347596963252499E-4</v>
      </c>
      <c r="D37088" s="1">
        <v>7.7397736343852298E-5</v>
      </c>
      <c r="E37088" s="1">
        <v>0</v>
      </c>
      <c r="F37088" s="1">
        <v>1.2674406145873199E-4</v>
      </c>
    </row>
    <row r="37089" spans="1:6" x14ac:dyDescent="0.25">
      <c r="A37089" s="2" t="str">
        <f t="shared" si="1241"/>
        <v>99999</v>
      </c>
      <c r="B37089" s="2" t="str">
        <f>"24228"</f>
        <v>24228</v>
      </c>
      <c r="C37089" s="1">
        <v>3.35708980040595E-4</v>
      </c>
      <c r="D37089" s="1">
        <v>1.3810184328020699E-4</v>
      </c>
      <c r="E37089" s="1">
        <v>6.0837559370939603E-5</v>
      </c>
      <c r="F37089" s="1">
        <v>3.1646221310849899E-4</v>
      </c>
    </row>
    <row r="37090" spans="1:6" x14ac:dyDescent="0.25">
      <c r="A37090" s="2" t="str">
        <f t="shared" si="1241"/>
        <v>99999</v>
      </c>
      <c r="B37090" s="2" t="str">
        <f>"24220"</f>
        <v>24220</v>
      </c>
      <c r="C37090" s="1">
        <v>2.9139888709635502E-5</v>
      </c>
      <c r="D37090" s="1">
        <v>4.5528080202265997E-6</v>
      </c>
      <c r="E37090" s="1">
        <v>0</v>
      </c>
      <c r="F37090" s="1">
        <v>2.6860986337408E-5</v>
      </c>
    </row>
    <row r="37091" spans="1:6" x14ac:dyDescent="0.25">
      <c r="A37091" s="2" t="str">
        <f t="shared" si="1241"/>
        <v>99999</v>
      </c>
      <c r="B37091" s="2" t="str">
        <f>"24374"</f>
        <v>24374</v>
      </c>
      <c r="C37091" s="1">
        <v>3.5797316467267603E-5</v>
      </c>
      <c r="D37091" s="1">
        <v>3.0352053468177301E-6</v>
      </c>
      <c r="E37091" s="1">
        <v>1.3036619865201299E-5</v>
      </c>
      <c r="F37091" s="1">
        <v>3.3128549816136499E-5</v>
      </c>
    </row>
    <row r="37092" spans="1:6" x14ac:dyDescent="0.25">
      <c r="A37092" s="2" t="str">
        <f t="shared" si="1241"/>
        <v>99999</v>
      </c>
      <c r="B37092" s="2" t="str">
        <f>"24370"</f>
        <v>24370</v>
      </c>
      <c r="C37092" s="1">
        <v>3.72925092587358E-4</v>
      </c>
      <c r="D37092" s="1">
        <v>2.39781222398601E-4</v>
      </c>
      <c r="E37092" s="1">
        <v>3.9109859595604001E-5</v>
      </c>
      <c r="F37092" s="1">
        <v>3.5655472234544499E-4</v>
      </c>
    </row>
    <row r="37093" spans="1:6" x14ac:dyDescent="0.25">
      <c r="A37093" s="2" t="str">
        <f t="shared" si="1241"/>
        <v>99999</v>
      </c>
      <c r="B37093" s="2" t="str">
        <f>"24272"</f>
        <v>24272</v>
      </c>
      <c r="C37093" s="1">
        <v>2.58657439108E-5</v>
      </c>
      <c r="D37093" s="1">
        <v>9.1056160404532095E-6</v>
      </c>
      <c r="E37093" s="1">
        <v>0</v>
      </c>
      <c r="F37093" s="1">
        <v>2.4174887703667199E-5</v>
      </c>
    </row>
    <row r="37094" spans="1:6" x14ac:dyDescent="0.25">
      <c r="A37094" s="2" t="str">
        <f t="shared" si="1241"/>
        <v>99999</v>
      </c>
      <c r="B37094" s="2" t="str">
        <f>"24260"</f>
        <v>24260</v>
      </c>
      <c r="C37094" s="1">
        <v>2.1980425416181999E-4</v>
      </c>
      <c r="D37094" s="1">
        <v>3.9457669508630602E-5</v>
      </c>
      <c r="E37094" s="1">
        <v>1.3036619865201299E-5</v>
      </c>
      <c r="F37094" s="1">
        <v>2.0324812995305299E-4</v>
      </c>
    </row>
    <row r="37095" spans="1:6" x14ac:dyDescent="0.25">
      <c r="A37095" s="2" t="str">
        <f t="shared" si="1241"/>
        <v>99999</v>
      </c>
      <c r="B37095" s="2" t="str">
        <f>"24133"</f>
        <v>24133</v>
      </c>
      <c r="C37095" s="1">
        <v>1.1983369963737699E-4</v>
      </c>
      <c r="D37095" s="1">
        <v>5.0080888222492601E-5</v>
      </c>
      <c r="E37095" s="1">
        <v>4.3455399550671099E-6</v>
      </c>
      <c r="F37095" s="1">
        <v>1.12617172347947E-4</v>
      </c>
    </row>
    <row r="37096" spans="1:6" x14ac:dyDescent="0.25">
      <c r="A37096" s="2" t="str">
        <f t="shared" si="1241"/>
        <v>99999</v>
      </c>
      <c r="B37096" s="2" t="str">
        <f>"23967"</f>
        <v>23967</v>
      </c>
      <c r="C37096" s="1">
        <v>5.7079257659698001E-5</v>
      </c>
      <c r="D37096" s="1">
        <v>1.3658424060679801E-5</v>
      </c>
      <c r="E37096" s="1">
        <v>8.69107991013423E-6</v>
      </c>
      <c r="F37096" s="1">
        <v>5.3125061867318001E-5</v>
      </c>
    </row>
    <row r="37097" spans="1:6" x14ac:dyDescent="0.25">
      <c r="A37097" s="2" t="str">
        <f t="shared" si="1241"/>
        <v>99999</v>
      </c>
      <c r="B37097" s="2" t="str">
        <f>"23963"</f>
        <v>23963</v>
      </c>
      <c r="C37097" s="1">
        <v>2.0081421432857398E-5</v>
      </c>
      <c r="D37097" s="1">
        <v>4.5528080202265997E-6</v>
      </c>
      <c r="E37097" s="1">
        <v>4.3455399550671099E-6</v>
      </c>
      <c r="F37097" s="1">
        <v>1.8703205301602599E-5</v>
      </c>
    </row>
    <row r="37098" spans="1:6" x14ac:dyDescent="0.25">
      <c r="A37098" s="2" t="str">
        <f t="shared" si="1241"/>
        <v>99999</v>
      </c>
      <c r="B37098" s="2" t="str">
        <f>"23958"</f>
        <v>23958</v>
      </c>
      <c r="C37098" s="1">
        <v>9.2440021487120896E-5</v>
      </c>
      <c r="D37098" s="1">
        <v>4.5528080202265997E-6</v>
      </c>
      <c r="E37098" s="1">
        <v>0</v>
      </c>
      <c r="F37098" s="1">
        <v>8.4562364395543695E-5</v>
      </c>
    </row>
    <row r="37099" spans="1:6" x14ac:dyDescent="0.25">
      <c r="A37099" s="2" t="str">
        <f t="shared" si="1241"/>
        <v>99999</v>
      </c>
      <c r="B37099" s="2" t="str">
        <f>"23941"</f>
        <v>23941</v>
      </c>
      <c r="C37099" s="1">
        <v>0</v>
      </c>
      <c r="D37099" s="1">
        <v>0</v>
      </c>
      <c r="E37099" s="1">
        <v>4.3455399550671099E-6</v>
      </c>
      <c r="F37099" s="1">
        <v>9.9485134582992598E-8</v>
      </c>
    </row>
    <row r="37100" spans="1:6" x14ac:dyDescent="0.25">
      <c r="A37100" s="2" t="str">
        <f t="shared" si="1241"/>
        <v>99999</v>
      </c>
      <c r="B37100" s="2" t="str">
        <f>"23938"</f>
        <v>23938</v>
      </c>
      <c r="C37100" s="1">
        <v>2.3792118871537602E-5</v>
      </c>
      <c r="D37100" s="1">
        <v>4.5528080202265997E-6</v>
      </c>
      <c r="E37100" s="1">
        <v>0</v>
      </c>
      <c r="F37100" s="1">
        <v>2.1986214742841299E-5</v>
      </c>
    </row>
    <row r="37101" spans="1:6" x14ac:dyDescent="0.25">
      <c r="A37101" s="2" t="str">
        <f t="shared" si="1241"/>
        <v>99999</v>
      </c>
      <c r="B37101" s="2" t="str">
        <f>"23942"</f>
        <v>23942</v>
      </c>
      <c r="C37101" s="1">
        <v>5.88254682190769E-5</v>
      </c>
      <c r="D37101" s="1">
        <v>1.21408213872709E-5</v>
      </c>
      <c r="E37101" s="1">
        <v>4.3455399550671099E-6</v>
      </c>
      <c r="F37101" s="1">
        <v>5.4517853751479899E-5</v>
      </c>
    </row>
    <row r="37102" spans="1:6" x14ac:dyDescent="0.25">
      <c r="A37102" s="2" t="str">
        <f t="shared" si="1241"/>
        <v>99999</v>
      </c>
      <c r="B37102" s="2" t="str">
        <f>"23917"</f>
        <v>23917</v>
      </c>
      <c r="C37102" s="1">
        <v>1.7527588489765701E-4</v>
      </c>
      <c r="D37102" s="1">
        <v>7.2844928323625703E-5</v>
      </c>
      <c r="E37102" s="1">
        <v>3.47643196405369E-5</v>
      </c>
      <c r="F37102" s="1">
        <v>1.65344293676933E-4</v>
      </c>
    </row>
    <row r="37103" spans="1:6" x14ac:dyDescent="0.25">
      <c r="A37103" s="2" t="str">
        <f t="shared" si="1241"/>
        <v>99999</v>
      </c>
      <c r="B37103" s="2" t="str">
        <f>"23867"</f>
        <v>23867</v>
      </c>
      <c r="C37103" s="1">
        <v>6.2427027497795901E-5</v>
      </c>
      <c r="D37103" s="1">
        <v>1.8211232080906399E-5</v>
      </c>
      <c r="E37103" s="1">
        <v>1.7382159820268399E-5</v>
      </c>
      <c r="F37103" s="1">
        <v>5.8497259134799602E-5</v>
      </c>
    </row>
    <row r="37104" spans="1:6" x14ac:dyDescent="0.25">
      <c r="A37104" s="2" t="str">
        <f t="shared" si="1241"/>
        <v>99999</v>
      </c>
      <c r="B37104" s="2" t="str">
        <f>"23488"</f>
        <v>23488</v>
      </c>
      <c r="C37104" s="1">
        <v>8.7310527968945299E-6</v>
      </c>
      <c r="D37104" s="1">
        <v>1.51760267340886E-6</v>
      </c>
      <c r="E37104" s="1">
        <v>0</v>
      </c>
      <c r="F37104" s="1">
        <v>8.0582959012224002E-6</v>
      </c>
    </row>
    <row r="37105" spans="1:6" x14ac:dyDescent="0.25">
      <c r="A37105" s="2" t="str">
        <f t="shared" si="1241"/>
        <v>99999</v>
      </c>
      <c r="B37105" s="2" t="str">
        <f>"23486"</f>
        <v>23486</v>
      </c>
      <c r="C37105" s="1">
        <v>0</v>
      </c>
      <c r="D37105" s="1">
        <v>1.51760267340886E-6</v>
      </c>
      <c r="E37105" s="1">
        <v>0</v>
      </c>
      <c r="F37105" s="1">
        <v>9.9485134582992598E-8</v>
      </c>
    </row>
    <row r="37106" spans="1:6" x14ac:dyDescent="0.25">
      <c r="A37106" s="2" t="str">
        <f t="shared" si="1241"/>
        <v>99999</v>
      </c>
      <c r="B37106" s="2" t="str">
        <f>"23414"</f>
        <v>23414</v>
      </c>
      <c r="C37106" s="1">
        <v>0</v>
      </c>
      <c r="D37106" s="1">
        <v>1.51760267340886E-6</v>
      </c>
      <c r="E37106" s="1">
        <v>0</v>
      </c>
      <c r="F37106" s="1">
        <v>9.9485134582992598E-8</v>
      </c>
    </row>
    <row r="37107" spans="1:6" x14ac:dyDescent="0.25">
      <c r="A37107" s="2" t="str">
        <f t="shared" si="1241"/>
        <v>99999</v>
      </c>
      <c r="B37107" s="2" t="str">
        <f>"23180"</f>
        <v>23180</v>
      </c>
      <c r="C37107" s="1">
        <v>2.4665224151227E-5</v>
      </c>
      <c r="D37107" s="1">
        <v>6.0704106936354696E-6</v>
      </c>
      <c r="E37107" s="1">
        <v>0</v>
      </c>
      <c r="F37107" s="1">
        <v>2.28815809540883E-5</v>
      </c>
    </row>
    <row r="37108" spans="1:6" x14ac:dyDescent="0.25">
      <c r="A37108" s="2" t="str">
        <f t="shared" si="1241"/>
        <v>99999</v>
      </c>
      <c r="B37108" s="2" t="str">
        <f>"22851"</f>
        <v>22851</v>
      </c>
      <c r="C37108" s="1">
        <v>3.2588654564408802E-4</v>
      </c>
      <c r="D37108" s="1">
        <v>1.3810184328020699E-4</v>
      </c>
      <c r="E37108" s="1">
        <v>2.0858591784322101E-4</v>
      </c>
      <c r="F37108" s="1">
        <v>3.1089104557185102E-4</v>
      </c>
    </row>
    <row r="37109" spans="1:6" x14ac:dyDescent="0.25">
      <c r="A37109" s="2" t="str">
        <f t="shared" si="1241"/>
        <v>99999</v>
      </c>
      <c r="B37109" s="2" t="str">
        <f>"22827"</f>
        <v>22827</v>
      </c>
      <c r="C37109" s="1">
        <v>3.7543527026646502E-5</v>
      </c>
      <c r="D37109" s="1">
        <v>3.0352053468177301E-6</v>
      </c>
      <c r="E37109" s="1">
        <v>0</v>
      </c>
      <c r="F37109" s="1">
        <v>3.4421856565715399E-5</v>
      </c>
    </row>
    <row r="37110" spans="1:6" x14ac:dyDescent="0.25">
      <c r="A37110" s="2" t="str">
        <f t="shared" si="1241"/>
        <v>99999</v>
      </c>
      <c r="B37110" s="2" t="str">
        <f>"22842"</f>
        <v>22842</v>
      </c>
      <c r="C37110" s="1">
        <v>2.4763448495192101E-4</v>
      </c>
      <c r="D37110" s="1">
        <v>1.27478624566345E-4</v>
      </c>
      <c r="E37110" s="1">
        <v>9.5601879011476503E-5</v>
      </c>
      <c r="F37110" s="1">
        <v>2.36277194634607E-4</v>
      </c>
    </row>
    <row r="37111" spans="1:6" x14ac:dyDescent="0.25">
      <c r="A37111" s="2" t="str">
        <f t="shared" si="1241"/>
        <v>99999</v>
      </c>
      <c r="B37111" s="2" t="str">
        <f>"22957"</f>
        <v>22957</v>
      </c>
      <c r="C37111" s="1">
        <v>0</v>
      </c>
      <c r="D37111" s="1">
        <v>0</v>
      </c>
      <c r="E37111" s="1">
        <v>4.3455399550671099E-6</v>
      </c>
      <c r="F37111" s="1">
        <v>9.9485134582992598E-8</v>
      </c>
    </row>
    <row r="37112" spans="1:6" x14ac:dyDescent="0.25">
      <c r="A37112" s="2" t="str">
        <f t="shared" si="1241"/>
        <v>99999</v>
      </c>
      <c r="B37112" s="2" t="str">
        <f>"22650"</f>
        <v>22650</v>
      </c>
      <c r="C37112" s="1">
        <v>5.9480297178843999E-5</v>
      </c>
      <c r="D37112" s="1">
        <v>4.5528080202265997E-6</v>
      </c>
      <c r="E37112" s="1">
        <v>8.69107991013423E-6</v>
      </c>
      <c r="F37112" s="1">
        <v>5.4716824020645903E-5</v>
      </c>
    </row>
    <row r="37113" spans="1:6" x14ac:dyDescent="0.25">
      <c r="A37113" s="2" t="str">
        <f t="shared" si="1241"/>
        <v>99999</v>
      </c>
      <c r="B37113" s="2" t="str">
        <f>"22547"</f>
        <v>22547</v>
      </c>
      <c r="C37113" s="1">
        <v>0</v>
      </c>
      <c r="D37113" s="1">
        <v>0</v>
      </c>
      <c r="E37113" s="1">
        <v>4.3455399550671099E-6</v>
      </c>
      <c r="F37113" s="1">
        <v>9.9485134582992598E-8</v>
      </c>
    </row>
    <row r="37114" spans="1:6" x14ac:dyDescent="0.25">
      <c r="A37114" s="2" t="str">
        <f t="shared" si="1241"/>
        <v>99999</v>
      </c>
      <c r="B37114" s="2" t="str">
        <f>"22517"</f>
        <v>22517</v>
      </c>
      <c r="C37114" s="1">
        <v>0</v>
      </c>
      <c r="D37114" s="1">
        <v>0</v>
      </c>
      <c r="E37114" s="1">
        <v>4.3455399550671099E-6</v>
      </c>
      <c r="F37114" s="1">
        <v>9.9485134582992598E-8</v>
      </c>
    </row>
    <row r="37115" spans="1:6" x14ac:dyDescent="0.25">
      <c r="A37115" s="2" t="str">
        <f t="shared" si="1241"/>
        <v>99999</v>
      </c>
      <c r="B37115" s="2" t="str">
        <f>"22546"</f>
        <v>22546</v>
      </c>
      <c r="C37115" s="1">
        <v>7.4126638245634597E-4</v>
      </c>
      <c r="D37115" s="1">
        <v>3.64224641618128E-4</v>
      </c>
      <c r="E37115" s="1">
        <v>2.1293145779828799E-4</v>
      </c>
      <c r="F37115" s="1">
        <v>7.0445423798216997E-4</v>
      </c>
    </row>
    <row r="37116" spans="1:6" x14ac:dyDescent="0.25">
      <c r="A37116" s="2" t="str">
        <f t="shared" si="1241"/>
        <v>99999</v>
      </c>
      <c r="B37116" s="2" t="str">
        <f>"22535"</f>
        <v>22535</v>
      </c>
      <c r="C37116" s="1">
        <v>2.3901257031498801E-5</v>
      </c>
      <c r="D37116" s="1">
        <v>4.5528080202265997E-6</v>
      </c>
      <c r="E37116" s="1">
        <v>1.3036619865201299E-5</v>
      </c>
      <c r="F37116" s="1">
        <v>2.23841552811733E-5</v>
      </c>
    </row>
    <row r="37117" spans="1:6" x14ac:dyDescent="0.25">
      <c r="A37117" s="2" t="str">
        <f t="shared" si="1241"/>
        <v>99999</v>
      </c>
      <c r="B37117" s="2" t="str">
        <f>"22511"</f>
        <v>22511</v>
      </c>
      <c r="C37117" s="1">
        <v>8.2726725250575694E-5</v>
      </c>
      <c r="D37117" s="1">
        <v>2.88344507947685E-5</v>
      </c>
      <c r="E37117" s="1">
        <v>4.3455399550671099E-6</v>
      </c>
      <c r="F37117" s="1">
        <v>7.7399434705568195E-5</v>
      </c>
    </row>
    <row r="37118" spans="1:6" x14ac:dyDescent="0.25">
      <c r="A37118" s="2" t="str">
        <f t="shared" si="1241"/>
        <v>99999</v>
      </c>
      <c r="B37118" s="2" t="str">
        <f>"22472"</f>
        <v>22472</v>
      </c>
      <c r="C37118" s="1">
        <v>0</v>
      </c>
      <c r="D37118" s="1">
        <v>0</v>
      </c>
      <c r="E37118" s="1">
        <v>4.3455399550671099E-6</v>
      </c>
      <c r="F37118" s="1">
        <v>9.9485134582992598E-8</v>
      </c>
    </row>
    <row r="37119" spans="1:6" x14ac:dyDescent="0.25">
      <c r="A37119" s="2" t="str">
        <f t="shared" si="1241"/>
        <v>99999</v>
      </c>
      <c r="B37119" s="2" t="str">
        <f>"22408"</f>
        <v>22408</v>
      </c>
      <c r="C37119" s="1">
        <v>1.8444349033439702E-5</v>
      </c>
      <c r="D37119" s="1">
        <v>9.1056160404532095E-6</v>
      </c>
      <c r="E37119" s="1">
        <v>0</v>
      </c>
      <c r="F37119" s="1">
        <v>1.74098985520237E-5</v>
      </c>
    </row>
    <row r="37120" spans="1:6" x14ac:dyDescent="0.25">
      <c r="A37120" s="2" t="str">
        <f t="shared" si="1241"/>
        <v>99999</v>
      </c>
      <c r="B37120" s="2" t="str">
        <f>"22469"</f>
        <v>22469</v>
      </c>
      <c r="C37120" s="1">
        <v>1.13285410039706E-4</v>
      </c>
      <c r="D37120" s="1">
        <v>3.6422464161812797E-5</v>
      </c>
      <c r="E37120" s="1">
        <v>4.7800939505738197E-5</v>
      </c>
      <c r="F37120" s="1">
        <v>1.06747549407551E-4</v>
      </c>
    </row>
    <row r="37121" spans="1:6" x14ac:dyDescent="0.25">
      <c r="A37121" s="2" t="str">
        <f t="shared" si="1241"/>
        <v>99999</v>
      </c>
      <c r="B37121" s="2" t="str">
        <f>"21561"</f>
        <v>21561</v>
      </c>
      <c r="C37121" s="1">
        <v>1.99068003769195E-4</v>
      </c>
      <c r="D37121" s="1">
        <v>3.6422464161812797E-5</v>
      </c>
      <c r="E37121" s="1">
        <v>4.3455399550671099E-6</v>
      </c>
      <c r="F37121" s="1">
        <v>1.83948013843953E-4</v>
      </c>
    </row>
    <row r="37122" spans="1:6" x14ac:dyDescent="0.25">
      <c r="A37122" s="2" t="str">
        <f t="shared" si="1241"/>
        <v>99999</v>
      </c>
      <c r="B37122" s="2" t="str">
        <f>"49883"</f>
        <v>49883</v>
      </c>
      <c r="C37122" s="1">
        <v>6.3300132777485401E-6</v>
      </c>
      <c r="D37122" s="1">
        <v>1.51760267340886E-6</v>
      </c>
      <c r="E37122" s="1">
        <v>4.3455399550671099E-6</v>
      </c>
      <c r="F37122" s="1">
        <v>5.96910807497955E-6</v>
      </c>
    </row>
    <row r="37123" spans="1:6" x14ac:dyDescent="0.25">
      <c r="A37123" s="2" t="str">
        <f t="shared" si="1241"/>
        <v>99999</v>
      </c>
      <c r="B37123" s="2" t="str">
        <f>"49884"</f>
        <v>49884</v>
      </c>
      <c r="C37123" s="1">
        <v>2.67388491904895E-5</v>
      </c>
      <c r="D37123" s="1">
        <v>1.51760267340886E-6</v>
      </c>
      <c r="E37123" s="1">
        <v>4.3455399550671099E-6</v>
      </c>
      <c r="F37123" s="1">
        <v>2.4572828241999101E-5</v>
      </c>
    </row>
    <row r="37124" spans="1:6" x14ac:dyDescent="0.25">
      <c r="A37124" s="2" t="str">
        <f t="shared" si="1241"/>
        <v>99999</v>
      </c>
      <c r="B37124" s="2" t="str">
        <f>"49838"</f>
        <v>49838</v>
      </c>
      <c r="C37124" s="1">
        <v>3.4378520387772203E-5</v>
      </c>
      <c r="D37124" s="1">
        <v>1.9728834754315301E-5</v>
      </c>
      <c r="E37124" s="1">
        <v>4.3455399550671099E-6</v>
      </c>
      <c r="F37124" s="1">
        <v>3.2730609277804499E-5</v>
      </c>
    </row>
    <row r="37125" spans="1:6" x14ac:dyDescent="0.25">
      <c r="A37125" s="2" t="str">
        <f t="shared" si="1241"/>
        <v>99999</v>
      </c>
      <c r="B37125" s="2" t="str">
        <f>"49817"</f>
        <v>49817</v>
      </c>
      <c r="C37125" s="1">
        <v>2.6847987350450699E-5</v>
      </c>
      <c r="D37125" s="1">
        <v>6.0704106936354696E-6</v>
      </c>
      <c r="E37125" s="1">
        <v>4.3455399550671099E-6</v>
      </c>
      <c r="F37125" s="1">
        <v>2.4970768780331099E-5</v>
      </c>
    </row>
    <row r="37126" spans="1:6" x14ac:dyDescent="0.25">
      <c r="A37126" s="2" t="str">
        <f t="shared" si="1241"/>
        <v>99999</v>
      </c>
      <c r="B37126" s="2" t="str">
        <f>"49806"</f>
        <v>49806</v>
      </c>
      <c r="C37126" s="1">
        <v>3.6233869107112297E-5</v>
      </c>
      <c r="D37126" s="1">
        <v>4.5528080202265997E-6</v>
      </c>
      <c r="E37126" s="1">
        <v>4.3455399550671099E-6</v>
      </c>
      <c r="F37126" s="1">
        <v>3.3427005219885502E-5</v>
      </c>
    </row>
    <row r="37127" spans="1:6" x14ac:dyDescent="0.25">
      <c r="A37127" s="2" t="str">
        <f t="shared" si="1241"/>
        <v>99999</v>
      </c>
      <c r="B37127" s="2" t="str">
        <f>"49962"</f>
        <v>49962</v>
      </c>
      <c r="C37127" s="1">
        <v>4.0817671825481903E-5</v>
      </c>
      <c r="D37127" s="1">
        <v>1.21408213872709E-5</v>
      </c>
      <c r="E37127" s="1">
        <v>4.3455399550671099E-6</v>
      </c>
      <c r="F37127" s="1">
        <v>3.81028065452861E-5</v>
      </c>
    </row>
    <row r="37128" spans="1:6" x14ac:dyDescent="0.25">
      <c r="A37128" s="2" t="str">
        <f t="shared" si="1241"/>
        <v>99999</v>
      </c>
      <c r="B37128" s="2" t="str">
        <f>"49969"</f>
        <v>49969</v>
      </c>
      <c r="C37128" s="1">
        <v>5.66427050198533E-5</v>
      </c>
      <c r="D37128" s="1">
        <v>3.4904861488403899E-5</v>
      </c>
      <c r="E37128" s="1">
        <v>4.3455399550671099E-6</v>
      </c>
      <c r="F37128" s="1">
        <v>5.4020428078565001E-5</v>
      </c>
    </row>
    <row r="37129" spans="1:6" x14ac:dyDescent="0.25">
      <c r="A37129" s="2" t="str">
        <f t="shared" si="1241"/>
        <v>99999</v>
      </c>
      <c r="B37129" s="2" t="str">
        <f>"49764"</f>
        <v>49764</v>
      </c>
      <c r="C37129" s="1">
        <v>1.09138159961181E-7</v>
      </c>
      <c r="D37129" s="1">
        <v>1.51760267340886E-6</v>
      </c>
      <c r="E37129" s="1">
        <v>0</v>
      </c>
      <c r="F37129" s="1">
        <v>1.9897026916598501E-7</v>
      </c>
    </row>
    <row r="37130" spans="1:6" x14ac:dyDescent="0.25">
      <c r="A37130" s="2" t="str">
        <f t="shared" si="1241"/>
        <v>99999</v>
      </c>
      <c r="B37130" s="2" t="str">
        <f>"49774"</f>
        <v>49774</v>
      </c>
      <c r="C37130" s="1">
        <v>1.9099177993206801E-5</v>
      </c>
      <c r="D37130" s="1">
        <v>1.21408213872709E-5</v>
      </c>
      <c r="E37130" s="1">
        <v>0</v>
      </c>
      <c r="F37130" s="1">
        <v>1.82057796286876E-5</v>
      </c>
    </row>
    <row r="37131" spans="1:6" x14ac:dyDescent="0.25">
      <c r="A37131" s="2" t="str">
        <f t="shared" si="1241"/>
        <v>99999</v>
      </c>
      <c r="B37131" s="2" t="str">
        <f>"49777"</f>
        <v>49777</v>
      </c>
      <c r="C37131" s="1">
        <v>1.5246600946576999E-4</v>
      </c>
      <c r="D37131" s="1">
        <v>3.7940066835221703E-5</v>
      </c>
      <c r="E37131" s="1">
        <v>1.3036619865201299E-5</v>
      </c>
      <c r="F37131" s="1">
        <v>1.4176631678076401E-4</v>
      </c>
    </row>
    <row r="37132" spans="1:6" x14ac:dyDescent="0.25">
      <c r="A37132" s="2" t="str">
        <f t="shared" si="1241"/>
        <v>99999</v>
      </c>
      <c r="B37132" s="2" t="str">
        <f>"49919"</f>
        <v>49919</v>
      </c>
      <c r="C37132" s="1">
        <v>1.93174543131291E-5</v>
      </c>
      <c r="D37132" s="1">
        <v>0</v>
      </c>
      <c r="E37132" s="1">
        <v>8.69107991013423E-6</v>
      </c>
      <c r="F37132" s="1">
        <v>1.7807839090355599E-5</v>
      </c>
    </row>
    <row r="37133" spans="1:6" x14ac:dyDescent="0.25">
      <c r="A37133" s="2" t="str">
        <f t="shared" si="1241"/>
        <v>99999</v>
      </c>
      <c r="B37133" s="2" t="str">
        <f>"49946"</f>
        <v>49946</v>
      </c>
      <c r="C37133" s="1">
        <v>2.41195333514211E-4</v>
      </c>
      <c r="D37133" s="1">
        <v>3.2173176676268E-4</v>
      </c>
      <c r="E37133" s="1">
        <v>3.3026103658510001E-4</v>
      </c>
      <c r="F37133" s="1">
        <v>2.4851386618831499E-4</v>
      </c>
    </row>
    <row r="37134" spans="1:6" x14ac:dyDescent="0.25">
      <c r="A37134" s="2" t="str">
        <f t="shared" si="1241"/>
        <v>99999</v>
      </c>
      <c r="B37134" s="2" t="str">
        <f>"49709"</f>
        <v>49709</v>
      </c>
      <c r="C37134" s="1">
        <v>3.21193604765757E-4</v>
      </c>
      <c r="D37134" s="1">
        <v>1.27478624566345E-4</v>
      </c>
      <c r="E37134" s="1">
        <v>9.5601879011476503E-5</v>
      </c>
      <c r="F37134" s="1">
        <v>3.0333017534354398E-4</v>
      </c>
    </row>
    <row r="37135" spans="1:6" x14ac:dyDescent="0.25">
      <c r="A37135" s="2" t="str">
        <f t="shared" si="1241"/>
        <v>99999</v>
      </c>
      <c r="B37135" s="2" t="str">
        <f>"49689"</f>
        <v>49689</v>
      </c>
      <c r="C37135" s="1">
        <v>1.09574712601026E-4</v>
      </c>
      <c r="D37135" s="1">
        <v>9.7126571098167595E-5</v>
      </c>
      <c r="E37135" s="1">
        <v>0</v>
      </c>
      <c r="F37135" s="1">
        <v>1.06250123734636E-4</v>
      </c>
    </row>
    <row r="37136" spans="1:6" x14ac:dyDescent="0.25">
      <c r="A37136" s="2" t="str">
        <f t="shared" si="1241"/>
        <v>99999</v>
      </c>
      <c r="B37136" s="2" t="str">
        <f>"49688"</f>
        <v>49688</v>
      </c>
      <c r="C37136" s="1">
        <v>1.4144305530969101E-4</v>
      </c>
      <c r="D37136" s="1">
        <v>6.5256914956581297E-5</v>
      </c>
      <c r="E37136" s="1">
        <v>8.69107991013423E-6</v>
      </c>
      <c r="F37136" s="1">
        <v>1.33409565475793E-4</v>
      </c>
    </row>
    <row r="37137" spans="1:6" x14ac:dyDescent="0.25">
      <c r="A37137" s="2" t="str">
        <f t="shared" si="1241"/>
        <v>99999</v>
      </c>
      <c r="B37137" s="2" t="str">
        <f>"49648"</f>
        <v>49648</v>
      </c>
      <c r="C37137" s="1">
        <v>1.7167432561893801E-4</v>
      </c>
      <c r="D37137" s="1">
        <v>2.88344507947685E-5</v>
      </c>
      <c r="E37137" s="1">
        <v>5.6492019415872502E-5</v>
      </c>
      <c r="F37137" s="1">
        <v>1.5967364100570301E-4</v>
      </c>
    </row>
    <row r="37138" spans="1:6" x14ac:dyDescent="0.25">
      <c r="A37138" s="2" t="str">
        <f t="shared" ref="A37138:A37201" si="1242">"99999"</f>
        <v>99999</v>
      </c>
      <c r="B37138" s="2" t="str">
        <f>"49668"</f>
        <v>49668</v>
      </c>
      <c r="C37138" s="1">
        <v>3.4924211187578098E-6</v>
      </c>
      <c r="D37138" s="1">
        <v>3.0352053468177301E-6</v>
      </c>
      <c r="E37138" s="1">
        <v>0</v>
      </c>
      <c r="F37138" s="1">
        <v>3.3824945758217398E-6</v>
      </c>
    </row>
    <row r="37139" spans="1:6" x14ac:dyDescent="0.25">
      <c r="A37139" s="2" t="str">
        <f t="shared" si="1242"/>
        <v>99999</v>
      </c>
      <c r="B37139" s="2" t="str">
        <f>"49683"</f>
        <v>49683</v>
      </c>
      <c r="C37139" s="1">
        <v>5.2058902301483599E-5</v>
      </c>
      <c r="D37139" s="1">
        <v>1.5176026734088599E-5</v>
      </c>
      <c r="E37139" s="1">
        <v>0</v>
      </c>
      <c r="F37139" s="1">
        <v>4.8449260541917403E-5</v>
      </c>
    </row>
    <row r="37140" spans="1:6" x14ac:dyDescent="0.25">
      <c r="A37140" s="2" t="str">
        <f t="shared" si="1242"/>
        <v>99999</v>
      </c>
      <c r="B37140" s="2" t="str">
        <f>"49677"</f>
        <v>49677</v>
      </c>
      <c r="C37140" s="1">
        <v>3.6473973059026899E-4</v>
      </c>
      <c r="D37140" s="1">
        <v>4.5831600736947797E-4</v>
      </c>
      <c r="E37140" s="1">
        <v>3.17224416719899E-4</v>
      </c>
      <c r="F37140" s="1">
        <v>3.69786245244983E-4</v>
      </c>
    </row>
    <row r="37141" spans="1:6" x14ac:dyDescent="0.25">
      <c r="A37141" s="2" t="str">
        <f t="shared" si="1242"/>
        <v>99999</v>
      </c>
      <c r="B37141" s="2" t="str">
        <f>"49612"</f>
        <v>49612</v>
      </c>
      <c r="C37141" s="1">
        <v>5.1731487821600101E-5</v>
      </c>
      <c r="D37141" s="1">
        <v>1.0623218713862E-5</v>
      </c>
      <c r="E37141" s="1">
        <v>0</v>
      </c>
      <c r="F37141" s="1">
        <v>4.7852349734419398E-5</v>
      </c>
    </row>
    <row r="37142" spans="1:6" x14ac:dyDescent="0.25">
      <c r="A37142" s="2" t="str">
        <f t="shared" si="1242"/>
        <v>99999</v>
      </c>
      <c r="B37142" s="2" t="str">
        <f>"49446"</f>
        <v>49446</v>
      </c>
      <c r="C37142" s="1">
        <v>1.2256215363640701E-4</v>
      </c>
      <c r="D37142" s="1">
        <v>7.4362530997034595E-5</v>
      </c>
      <c r="E37142" s="1">
        <v>3.47643196405369E-5</v>
      </c>
      <c r="F37142" s="1">
        <v>1.17392458807931E-4</v>
      </c>
    </row>
    <row r="37143" spans="1:6" x14ac:dyDescent="0.25">
      <c r="A37143" s="2" t="str">
        <f t="shared" si="1242"/>
        <v>99999</v>
      </c>
      <c r="B37143" s="2" t="str">
        <f>"49437"</f>
        <v>49437</v>
      </c>
      <c r="C37143" s="1">
        <v>7.0284975015000995E-5</v>
      </c>
      <c r="D37143" s="1">
        <v>1.0623218713862E-5</v>
      </c>
      <c r="E37143" s="1">
        <v>1.7382159820268399E-5</v>
      </c>
      <c r="F37143" s="1">
        <v>6.5162763151860103E-5</v>
      </c>
    </row>
    <row r="37144" spans="1:6" x14ac:dyDescent="0.25">
      <c r="A37144" s="2" t="str">
        <f t="shared" si="1242"/>
        <v>99999</v>
      </c>
      <c r="B37144" s="2" t="str">
        <f>"49065"</f>
        <v>49065</v>
      </c>
      <c r="C37144" s="1">
        <v>4.1843570529117002E-4</v>
      </c>
      <c r="D37144" s="1">
        <v>2.7772128923382301E-4</v>
      </c>
      <c r="E37144" s="1">
        <v>2.4769577743882499E-4</v>
      </c>
      <c r="F37144" s="1">
        <v>4.0530243829111203E-4</v>
      </c>
    </row>
    <row r="37145" spans="1:6" x14ac:dyDescent="0.25">
      <c r="A37145" s="2" t="str">
        <f t="shared" si="1242"/>
        <v>99999</v>
      </c>
      <c r="B37145" s="2" t="str">
        <f>"49050"</f>
        <v>49050</v>
      </c>
      <c r="C37145" s="1">
        <v>7.91251659718567E-5</v>
      </c>
      <c r="D37145" s="1">
        <v>2.1246437427724101E-5</v>
      </c>
      <c r="E37145" s="1">
        <v>0</v>
      </c>
      <c r="F37145" s="1">
        <v>7.3519514456831504E-5</v>
      </c>
    </row>
    <row r="37146" spans="1:6" x14ac:dyDescent="0.25">
      <c r="A37146" s="2" t="str">
        <f t="shared" si="1242"/>
        <v>99999</v>
      </c>
      <c r="B37146" s="2" t="str">
        <f>"49047"</f>
        <v>49047</v>
      </c>
      <c r="C37146" s="1">
        <v>8.3599830530265204E-5</v>
      </c>
      <c r="D37146" s="1">
        <v>4.7045682875674899E-5</v>
      </c>
      <c r="E37146" s="1">
        <v>3.47643196405369E-5</v>
      </c>
      <c r="F37146" s="1">
        <v>8.0085533339308999E-5</v>
      </c>
    </row>
    <row r="37147" spans="1:6" x14ac:dyDescent="0.25">
      <c r="A37147" s="2" t="str">
        <f t="shared" si="1242"/>
        <v>99999</v>
      </c>
      <c r="B37147" s="2" t="str">
        <f>"48770"</f>
        <v>48770</v>
      </c>
      <c r="C37147" s="1">
        <v>1.17214383798309E-4</v>
      </c>
      <c r="D37147" s="1">
        <v>7.1327325650216798E-5</v>
      </c>
      <c r="E37147" s="1">
        <v>1.7382159820268399E-5</v>
      </c>
      <c r="F37147" s="1">
        <v>1.11920776405866E-4</v>
      </c>
    </row>
    <row r="37148" spans="1:6" x14ac:dyDescent="0.25">
      <c r="A37148" s="2" t="str">
        <f t="shared" si="1242"/>
        <v>99999</v>
      </c>
      <c r="B37148" s="2" t="str">
        <f>"48755"</f>
        <v>48755</v>
      </c>
      <c r="C37148" s="1">
        <v>2.3137289911770499E-4</v>
      </c>
      <c r="D37148" s="1">
        <v>1.6541869140156601E-4</v>
      </c>
      <c r="E37148" s="1">
        <v>8.2565259146275205E-5</v>
      </c>
      <c r="F37148" s="1">
        <v>2.23642582542567E-4</v>
      </c>
    </row>
    <row r="37149" spans="1:6" x14ac:dyDescent="0.25">
      <c r="A37149" s="2" t="str">
        <f t="shared" si="1242"/>
        <v>99999</v>
      </c>
      <c r="B37149" s="2" t="str">
        <f>"48733"</f>
        <v>48733</v>
      </c>
      <c r="C37149" s="1">
        <v>9.2767435967004401E-5</v>
      </c>
      <c r="D37149" s="1">
        <v>5.0080888222492601E-5</v>
      </c>
      <c r="E37149" s="1">
        <v>0</v>
      </c>
      <c r="F37149" s="1">
        <v>8.7845373836782395E-5</v>
      </c>
    </row>
    <row r="37150" spans="1:6" x14ac:dyDescent="0.25">
      <c r="A37150" s="2" t="str">
        <f t="shared" si="1242"/>
        <v>99999</v>
      </c>
      <c r="B37150" s="2" t="str">
        <f>"48731"</f>
        <v>48731</v>
      </c>
      <c r="C37150" s="1">
        <v>9.3749679406655094E-5</v>
      </c>
      <c r="D37150" s="1">
        <v>4.4010477528857203E-5</v>
      </c>
      <c r="E37150" s="1">
        <v>7.3874179236140894E-5</v>
      </c>
      <c r="F37150" s="1">
        <v>9.0034046797608295E-5</v>
      </c>
    </row>
    <row r="37151" spans="1:6" x14ac:dyDescent="0.25">
      <c r="A37151" s="2" t="str">
        <f t="shared" si="1242"/>
        <v>99999</v>
      </c>
      <c r="B37151" s="2" t="str">
        <f>"48726"</f>
        <v>48726</v>
      </c>
      <c r="C37151" s="1">
        <v>3.1246255196886298E-4</v>
      </c>
      <c r="D37151" s="1">
        <v>3.5815423092449297E-4</v>
      </c>
      <c r="E37151" s="1">
        <v>3.43297656450302E-4</v>
      </c>
      <c r="F37151" s="1">
        <v>3.1616375770475002E-4</v>
      </c>
    </row>
    <row r="37152" spans="1:6" x14ac:dyDescent="0.25">
      <c r="A37152" s="2" t="str">
        <f t="shared" si="1242"/>
        <v>99999</v>
      </c>
      <c r="B37152" s="2" t="str">
        <f>"48456"</f>
        <v>48456</v>
      </c>
      <c r="C37152" s="1">
        <v>5.1731487821600101E-5</v>
      </c>
      <c r="D37152" s="1">
        <v>7.5880133670443404E-6</v>
      </c>
      <c r="E37152" s="1">
        <v>4.3455399550671099E-6</v>
      </c>
      <c r="F37152" s="1">
        <v>4.77528645998364E-5</v>
      </c>
    </row>
    <row r="37153" spans="1:6" x14ac:dyDescent="0.25">
      <c r="A37153" s="2" t="str">
        <f t="shared" si="1242"/>
        <v>99999</v>
      </c>
      <c r="B37153" s="2" t="str">
        <f>"48656"</f>
        <v>48656</v>
      </c>
      <c r="C37153" s="1">
        <v>3.6059248051174402E-4</v>
      </c>
      <c r="D37153" s="1">
        <v>1.30513829913162E-4</v>
      </c>
      <c r="E37153" s="1">
        <v>8.69107991013423E-5</v>
      </c>
      <c r="F37153" s="1">
        <v>3.3924430892800399E-4</v>
      </c>
    </row>
    <row r="37154" spans="1:6" x14ac:dyDescent="0.25">
      <c r="A37154" s="2" t="str">
        <f t="shared" si="1242"/>
        <v>99999</v>
      </c>
      <c r="B37154" s="2" t="str">
        <f>"48619"</f>
        <v>48619</v>
      </c>
      <c r="C37154" s="1">
        <v>3.6779559906918201E-5</v>
      </c>
      <c r="D37154" s="1">
        <v>2.1246437427724101E-5</v>
      </c>
      <c r="E37154" s="1">
        <v>0</v>
      </c>
      <c r="F37154" s="1">
        <v>3.4919282238630398E-5</v>
      </c>
    </row>
    <row r="37155" spans="1:6" x14ac:dyDescent="0.25">
      <c r="A37155" s="2" t="str">
        <f t="shared" si="1242"/>
        <v>99999</v>
      </c>
      <c r="B37155" s="2" t="str">
        <f>"48625"</f>
        <v>48625</v>
      </c>
      <c r="C37155" s="1">
        <v>1.00941884148096E-3</v>
      </c>
      <c r="D37155" s="1">
        <v>3.4449580686381301E-4</v>
      </c>
      <c r="E37155" s="1">
        <v>4.04135215821241E-4</v>
      </c>
      <c r="F37155" s="1">
        <v>9.5197325282465601E-4</v>
      </c>
    </row>
    <row r="37156" spans="1:6" x14ac:dyDescent="0.25">
      <c r="A37156" s="2" t="str">
        <f t="shared" si="1242"/>
        <v>99999</v>
      </c>
      <c r="B37156" s="2" t="str">
        <f>"48621"</f>
        <v>48621</v>
      </c>
      <c r="C37156" s="1">
        <v>8.589173188945E-5</v>
      </c>
      <c r="D37156" s="1">
        <v>4.8563285549083798E-5</v>
      </c>
      <c r="E37156" s="1">
        <v>2.60732397304027E-5</v>
      </c>
      <c r="F37156" s="1">
        <v>8.2075236030968902E-5</v>
      </c>
    </row>
    <row r="37157" spans="1:6" x14ac:dyDescent="0.25">
      <c r="A37157" s="2" t="str">
        <f t="shared" si="1242"/>
        <v>99999</v>
      </c>
      <c r="B37157" s="2" t="str">
        <f>"48445"</f>
        <v>48445</v>
      </c>
      <c r="C37157" s="1">
        <v>8.0325685731429702E-5</v>
      </c>
      <c r="D37157" s="1">
        <v>5.15984908959015E-5</v>
      </c>
      <c r="E37157" s="1">
        <v>2.1727699775335501E-5</v>
      </c>
      <c r="F37157" s="1">
        <v>7.7100979301819206E-5</v>
      </c>
    </row>
    <row r="37158" spans="1:6" x14ac:dyDescent="0.25">
      <c r="A37158" s="2" t="str">
        <f t="shared" si="1242"/>
        <v>99999</v>
      </c>
      <c r="B37158" s="2" t="str">
        <f>"48426"</f>
        <v>48426</v>
      </c>
      <c r="C37158" s="1">
        <v>4.7802514062997601E-5</v>
      </c>
      <c r="D37158" s="1">
        <v>9.1056160404532095E-6</v>
      </c>
      <c r="E37158" s="1">
        <v>1.3036619865201299E-5</v>
      </c>
      <c r="F37158" s="1">
        <v>4.44698551585977E-5</v>
      </c>
    </row>
    <row r="37159" spans="1:6" x14ac:dyDescent="0.25">
      <c r="A37159" s="2" t="str">
        <f t="shared" si="1242"/>
        <v>99999</v>
      </c>
      <c r="B37159" s="2" t="str">
        <f>"48420"</f>
        <v>48420</v>
      </c>
      <c r="C37159" s="1">
        <v>2.51017767910718E-5</v>
      </c>
      <c r="D37159" s="1">
        <v>4.5528080202265997E-6</v>
      </c>
      <c r="E37159" s="1">
        <v>0</v>
      </c>
      <c r="F37159" s="1">
        <v>2.31800363578372E-5</v>
      </c>
    </row>
    <row r="37160" spans="1:6" x14ac:dyDescent="0.25">
      <c r="A37160" s="2" t="str">
        <f t="shared" si="1242"/>
        <v>99999</v>
      </c>
      <c r="B37160" s="2" t="str">
        <f>"48401"</f>
        <v>48401</v>
      </c>
      <c r="C37160" s="1">
        <v>8.3599830530265204E-5</v>
      </c>
      <c r="D37160" s="1">
        <v>1.5176026734088599E-5</v>
      </c>
      <c r="E37160" s="1">
        <v>4.7800939505738197E-5</v>
      </c>
      <c r="F37160" s="1">
        <v>7.8294800916815202E-5</v>
      </c>
    </row>
    <row r="37161" spans="1:6" x14ac:dyDescent="0.25">
      <c r="A37161" s="2" t="str">
        <f t="shared" si="1242"/>
        <v>99999</v>
      </c>
      <c r="B37161" s="2" t="str">
        <f>"47838"</f>
        <v>47838</v>
      </c>
      <c r="C37161" s="1">
        <v>1.09138159961181E-7</v>
      </c>
      <c r="D37161" s="1">
        <v>0</v>
      </c>
      <c r="E37161" s="1">
        <v>0</v>
      </c>
      <c r="F37161" s="1">
        <v>9.9485134582992598E-8</v>
      </c>
    </row>
    <row r="37162" spans="1:6" x14ac:dyDescent="0.25">
      <c r="A37162" s="2" t="str">
        <f t="shared" si="1242"/>
        <v>99999</v>
      </c>
      <c r="B37162" s="2" t="str">
        <f>"47994"</f>
        <v>47994</v>
      </c>
      <c r="C37162" s="1">
        <v>7.0939803974768102E-6</v>
      </c>
      <c r="D37162" s="1">
        <v>1.51760267340886E-6</v>
      </c>
      <c r="E37162" s="1">
        <v>4.3455399550671099E-6</v>
      </c>
      <c r="F37162" s="1">
        <v>6.6655040170604998E-6</v>
      </c>
    </row>
    <row r="37163" spans="1:6" x14ac:dyDescent="0.25">
      <c r="A37163" s="2" t="str">
        <f t="shared" si="1242"/>
        <v>99999</v>
      </c>
      <c r="B37163" s="2" t="str">
        <f>"47925"</f>
        <v>47925</v>
      </c>
      <c r="C37163" s="1">
        <v>0</v>
      </c>
      <c r="D37163" s="1">
        <v>0</v>
      </c>
      <c r="E37163" s="1">
        <v>4.3455399550671099E-6</v>
      </c>
      <c r="F37163" s="1">
        <v>9.9485134582992598E-8</v>
      </c>
    </row>
    <row r="37164" spans="1:6" x14ac:dyDescent="0.25">
      <c r="A37164" s="2" t="str">
        <f t="shared" si="1242"/>
        <v>99999</v>
      </c>
      <c r="B37164" s="2" t="str">
        <f>"47457"</f>
        <v>47457</v>
      </c>
      <c r="C37164" s="1">
        <v>3.3832829587966299E-6</v>
      </c>
      <c r="D37164" s="1">
        <v>1.0623218713862E-5</v>
      </c>
      <c r="E37164" s="1">
        <v>0</v>
      </c>
      <c r="F37164" s="1">
        <v>3.7804351141537199E-6</v>
      </c>
    </row>
    <row r="37165" spans="1:6" x14ac:dyDescent="0.25">
      <c r="A37165" s="2" t="str">
        <f t="shared" si="1242"/>
        <v>99999</v>
      </c>
      <c r="B37165" s="2" t="str">
        <f>"47459"</f>
        <v>47459</v>
      </c>
      <c r="C37165" s="1">
        <v>1.8673539169358099E-4</v>
      </c>
      <c r="D37165" s="1">
        <v>3.4904861488403899E-5</v>
      </c>
      <c r="E37165" s="1">
        <v>1.7382159820268399E-5</v>
      </c>
      <c r="F37165" s="1">
        <v>1.72905163905241E-4</v>
      </c>
    </row>
    <row r="37166" spans="1:6" x14ac:dyDescent="0.25">
      <c r="A37166" s="2" t="str">
        <f t="shared" si="1242"/>
        <v>99999</v>
      </c>
      <c r="B37166" s="2" t="str">
        <f>"47617"</f>
        <v>47617</v>
      </c>
      <c r="C37166" s="1">
        <v>0</v>
      </c>
      <c r="D37166" s="1">
        <v>0</v>
      </c>
      <c r="E37166" s="1">
        <v>8.69107991013423E-6</v>
      </c>
      <c r="F37166" s="1">
        <v>1.9897026916598501E-7</v>
      </c>
    </row>
    <row r="37167" spans="1:6" x14ac:dyDescent="0.25">
      <c r="A37167" s="2" t="str">
        <f t="shared" si="1242"/>
        <v>99999</v>
      </c>
      <c r="B37167" s="2" t="str">
        <f>"47613"</f>
        <v>47613</v>
      </c>
      <c r="C37167" s="1">
        <v>1.5061066074643001E-5</v>
      </c>
      <c r="D37167" s="1">
        <v>9.1056160404532095E-6</v>
      </c>
      <c r="E37167" s="1">
        <v>0</v>
      </c>
      <c r="F37167" s="1">
        <v>1.43258593799509E-5</v>
      </c>
    </row>
    <row r="37168" spans="1:6" x14ac:dyDescent="0.25">
      <c r="A37168" s="2" t="str">
        <f t="shared" si="1242"/>
        <v>99999</v>
      </c>
      <c r="B37168" s="2" t="str">
        <f>"47615"</f>
        <v>47615</v>
      </c>
      <c r="C37168" s="1">
        <v>7.2576876374185804E-5</v>
      </c>
      <c r="D37168" s="1">
        <v>9.1056160404532095E-6</v>
      </c>
      <c r="E37168" s="1">
        <v>2.1727699775335501E-5</v>
      </c>
      <c r="F37168" s="1">
        <v>6.7251950978102997E-5</v>
      </c>
    </row>
    <row r="37169" spans="1:6" x14ac:dyDescent="0.25">
      <c r="A37169" s="2" t="str">
        <f t="shared" si="1242"/>
        <v>99999</v>
      </c>
      <c r="B37169" s="2" t="str">
        <f>"47649"</f>
        <v>47649</v>
      </c>
      <c r="C37169" s="1">
        <v>6.5810310456592504E-5</v>
      </c>
      <c r="D37169" s="1">
        <v>2.4281642774541899E-5</v>
      </c>
      <c r="E37169" s="1">
        <v>1.3036619865201299E-5</v>
      </c>
      <c r="F37169" s="1">
        <v>6.1879753710621403E-5</v>
      </c>
    </row>
    <row r="37170" spans="1:6" x14ac:dyDescent="0.25">
      <c r="A37170" s="2" t="str">
        <f t="shared" si="1242"/>
        <v>99999</v>
      </c>
      <c r="B37170" s="2" t="str">
        <f>"47438"</f>
        <v>47438</v>
      </c>
      <c r="C37170" s="1">
        <v>2.7830230790101297E-4</v>
      </c>
      <c r="D37170" s="1">
        <v>2.18534784970877E-4</v>
      </c>
      <c r="E37170" s="1">
        <v>1.6078497833748299E-4</v>
      </c>
      <c r="F37170" s="1">
        <v>2.7169390254615201E-4</v>
      </c>
    </row>
    <row r="37171" spans="1:6" x14ac:dyDescent="0.25">
      <c r="A37171" s="2" t="str">
        <f t="shared" si="1242"/>
        <v>99999</v>
      </c>
      <c r="B37171" s="2" t="str">
        <f>"47578"</f>
        <v>47578</v>
      </c>
      <c r="C37171" s="1">
        <v>1.0258987036351001E-5</v>
      </c>
      <c r="D37171" s="1">
        <v>1.51760267340886E-6</v>
      </c>
      <c r="E37171" s="1">
        <v>0</v>
      </c>
      <c r="F37171" s="1">
        <v>9.4510877853842998E-6</v>
      </c>
    </row>
    <row r="37172" spans="1:6" x14ac:dyDescent="0.25">
      <c r="A37172" s="2" t="str">
        <f t="shared" si="1242"/>
        <v>99999</v>
      </c>
      <c r="B37172" s="2" t="str">
        <f>"47424"</f>
        <v>47424</v>
      </c>
      <c r="C37172" s="1">
        <v>5.3095714821114895E-4</v>
      </c>
      <c r="D37172" s="1">
        <v>5.3723134638673895E-4</v>
      </c>
      <c r="E37172" s="1">
        <v>2.8246009707936202E-4</v>
      </c>
      <c r="F37172" s="1">
        <v>5.25679451136533E-4</v>
      </c>
    </row>
    <row r="37173" spans="1:6" x14ac:dyDescent="0.25">
      <c r="A37173" s="2" t="str">
        <f t="shared" si="1242"/>
        <v>99999</v>
      </c>
      <c r="B37173" s="2" t="str">
        <f>"47371"</f>
        <v>47371</v>
      </c>
      <c r="C37173" s="1">
        <v>6.1313818266191895E-4</v>
      </c>
      <c r="D37173" s="1">
        <v>9.2118482275918296E-4</v>
      </c>
      <c r="E37173" s="1">
        <v>5.1277371469791902E-4</v>
      </c>
      <c r="F37173" s="1">
        <v>6.3103420865992196E-4</v>
      </c>
    </row>
    <row r="37174" spans="1:6" x14ac:dyDescent="0.25">
      <c r="A37174" s="2" t="str">
        <f t="shared" si="1242"/>
        <v>99999</v>
      </c>
      <c r="B37174" s="2" t="str">
        <f>"47369"</f>
        <v>47369</v>
      </c>
      <c r="C37174" s="1">
        <v>4.3546125824511501E-5</v>
      </c>
      <c r="D37174" s="1">
        <v>1.3658424060679801E-5</v>
      </c>
      <c r="E37174" s="1">
        <v>4.7800939505738197E-5</v>
      </c>
      <c r="F37174" s="1">
        <v>4.1684271390273897E-5</v>
      </c>
    </row>
    <row r="37175" spans="1:6" x14ac:dyDescent="0.25">
      <c r="A37175" s="2" t="str">
        <f t="shared" si="1242"/>
        <v>99999</v>
      </c>
      <c r="B37175" s="2" t="str">
        <f>"47240"</f>
        <v>47240</v>
      </c>
      <c r="C37175" s="1">
        <v>4.5838027183696299E-6</v>
      </c>
      <c r="D37175" s="1">
        <v>0</v>
      </c>
      <c r="E37175" s="1">
        <v>0</v>
      </c>
      <c r="F37175" s="1">
        <v>4.1783756524856902E-6</v>
      </c>
    </row>
    <row r="37176" spans="1:6" x14ac:dyDescent="0.25">
      <c r="A37176" s="2" t="str">
        <f t="shared" si="1242"/>
        <v>99999</v>
      </c>
      <c r="B37176" s="2" t="str">
        <f>"47340"</f>
        <v>47340</v>
      </c>
      <c r="C37176" s="1">
        <v>1.4024253555011801E-4</v>
      </c>
      <c r="D37176" s="1">
        <v>5.6151298916128101E-5</v>
      </c>
      <c r="E37176" s="1">
        <v>7.8219719191208097E-5</v>
      </c>
      <c r="F37176" s="1">
        <v>1.3331008034121001E-4</v>
      </c>
    </row>
    <row r="37177" spans="1:6" x14ac:dyDescent="0.25">
      <c r="A37177" s="2" t="str">
        <f t="shared" si="1242"/>
        <v>99999</v>
      </c>
      <c r="B37177" s="2" t="str">
        <f>"46991"</f>
        <v>46991</v>
      </c>
      <c r="C37177" s="1">
        <v>4.3655263984472602E-7</v>
      </c>
      <c r="D37177" s="1">
        <v>0</v>
      </c>
      <c r="E37177" s="1">
        <v>0</v>
      </c>
      <c r="F37177" s="1">
        <v>3.9794053833197002E-7</v>
      </c>
    </row>
    <row r="37178" spans="1:6" x14ac:dyDescent="0.25">
      <c r="A37178" s="2" t="str">
        <f t="shared" si="1242"/>
        <v>99999</v>
      </c>
      <c r="B37178" s="2" t="str">
        <f>"46996"</f>
        <v>46996</v>
      </c>
      <c r="C37178" s="1">
        <v>3.7117888202797898E-4</v>
      </c>
      <c r="D37178" s="1">
        <v>5.3571374371333001E-4</v>
      </c>
      <c r="E37178" s="1">
        <v>3.3895211649523501E-4</v>
      </c>
      <c r="F37178" s="1">
        <v>3.8122703572202699E-4</v>
      </c>
    </row>
    <row r="37179" spans="1:6" x14ac:dyDescent="0.25">
      <c r="A37179" s="2" t="str">
        <f t="shared" si="1242"/>
        <v>99999</v>
      </c>
      <c r="B37179" s="2" t="str">
        <f>"46989"</f>
        <v>46989</v>
      </c>
      <c r="C37179" s="1">
        <v>1.4187960794953601E-6</v>
      </c>
      <c r="D37179" s="1">
        <v>0</v>
      </c>
      <c r="E37179" s="1">
        <v>0</v>
      </c>
      <c r="F37179" s="1">
        <v>1.2933067495789E-6</v>
      </c>
    </row>
    <row r="37180" spans="1:6" x14ac:dyDescent="0.25">
      <c r="A37180" s="2" t="str">
        <f t="shared" si="1242"/>
        <v>99999</v>
      </c>
      <c r="B37180" s="2" t="str">
        <f>"46975"</f>
        <v>46975</v>
      </c>
      <c r="C37180" s="1">
        <v>7.6778695532691297E-4</v>
      </c>
      <c r="D37180" s="1">
        <v>8.9386797463782402E-4</v>
      </c>
      <c r="E37180" s="1">
        <v>4.8235493501244897E-4</v>
      </c>
      <c r="F37180" s="1">
        <v>7.6951751599944797E-4</v>
      </c>
    </row>
    <row r="37181" spans="1:6" x14ac:dyDescent="0.25">
      <c r="A37181" s="2" t="str">
        <f t="shared" si="1242"/>
        <v>99999</v>
      </c>
      <c r="B37181" s="2" t="str">
        <f>"46968"</f>
        <v>46968</v>
      </c>
      <c r="C37181" s="1">
        <v>8.2945001570498102E-6</v>
      </c>
      <c r="D37181" s="1">
        <v>3.0352053468177301E-6</v>
      </c>
      <c r="E37181" s="1">
        <v>1.3036619865201299E-5</v>
      </c>
      <c r="F37181" s="1">
        <v>8.0582959012224002E-6</v>
      </c>
    </row>
    <row r="37182" spans="1:6" x14ac:dyDescent="0.25">
      <c r="A37182" s="2" t="str">
        <f t="shared" si="1242"/>
        <v>99999</v>
      </c>
      <c r="B37182" s="2" t="str">
        <f>"46985"</f>
        <v>46985</v>
      </c>
      <c r="C37182" s="1">
        <v>7.4432225093525899E-5</v>
      </c>
      <c r="D37182" s="1">
        <v>3.3387258814995101E-5</v>
      </c>
      <c r="E37182" s="1">
        <v>8.69107991013423E-6</v>
      </c>
      <c r="F37182" s="1">
        <v>7.0236505015592804E-5</v>
      </c>
    </row>
    <row r="37183" spans="1:6" x14ac:dyDescent="0.25">
      <c r="A37183" s="2" t="str">
        <f t="shared" si="1242"/>
        <v>99999</v>
      </c>
      <c r="B37183" s="2" t="str">
        <f>"47140"</f>
        <v>47140</v>
      </c>
      <c r="C37183" s="1">
        <v>1.5181118050600301E-4</v>
      </c>
      <c r="D37183" s="1">
        <v>5.3116093569310399E-5</v>
      </c>
      <c r="E37183" s="1">
        <v>2.9115117698949599E-4</v>
      </c>
      <c r="F37183" s="1">
        <v>1.4853130593240799E-4</v>
      </c>
    </row>
    <row r="37184" spans="1:6" x14ac:dyDescent="0.25">
      <c r="A37184" s="2" t="str">
        <f t="shared" si="1242"/>
        <v>99999</v>
      </c>
      <c r="B37184" s="2" t="str">
        <f>"47041"</f>
        <v>47041</v>
      </c>
      <c r="C37184" s="1">
        <v>1.5464877266499401E-4</v>
      </c>
      <c r="D37184" s="1">
        <v>1.03196981791803E-4</v>
      </c>
      <c r="E37184" s="1">
        <v>1.4340281851721399E-4</v>
      </c>
      <c r="F37184" s="1">
        <v>1.51018434296982E-4</v>
      </c>
    </row>
    <row r="37185" spans="1:6" x14ac:dyDescent="0.25">
      <c r="A37185" s="2" t="str">
        <f t="shared" si="1242"/>
        <v>99999</v>
      </c>
      <c r="B37185" s="2" t="str">
        <f>"46819"</f>
        <v>46819</v>
      </c>
      <c r="C37185" s="1">
        <v>3.2741447988354498E-7</v>
      </c>
      <c r="D37185" s="1">
        <v>0</v>
      </c>
      <c r="E37185" s="1">
        <v>0</v>
      </c>
      <c r="F37185" s="1">
        <v>2.9845540374897701E-7</v>
      </c>
    </row>
    <row r="37186" spans="1:6" x14ac:dyDescent="0.25">
      <c r="A37186" s="2" t="str">
        <f t="shared" si="1242"/>
        <v>99999</v>
      </c>
      <c r="B37186" s="2" t="str">
        <f>"46791"</f>
        <v>46791</v>
      </c>
      <c r="C37186" s="1">
        <v>3.0776961109053202E-5</v>
      </c>
      <c r="D37186" s="1">
        <v>1.3658424060679801E-5</v>
      </c>
      <c r="E37186" s="1">
        <v>4.3455399550671099E-6</v>
      </c>
      <c r="F37186" s="1">
        <v>2.9049659298233801E-5</v>
      </c>
    </row>
    <row r="37187" spans="1:6" x14ac:dyDescent="0.25">
      <c r="A37187" s="2" t="str">
        <f t="shared" si="1242"/>
        <v>99999</v>
      </c>
      <c r="B37187" s="2" t="str">
        <f>"46783"</f>
        <v>46783</v>
      </c>
      <c r="C37187" s="1">
        <v>4.2563882384860804E-6</v>
      </c>
      <c r="D37187" s="1">
        <v>0</v>
      </c>
      <c r="E37187" s="1">
        <v>8.69107991013423E-6</v>
      </c>
      <c r="F37187" s="1">
        <v>4.07889051790269E-6</v>
      </c>
    </row>
    <row r="37188" spans="1:6" x14ac:dyDescent="0.25">
      <c r="A37188" s="2" t="str">
        <f t="shared" si="1242"/>
        <v>99999</v>
      </c>
      <c r="B37188" s="2" t="str">
        <f>"46571"</f>
        <v>46571</v>
      </c>
      <c r="C37188" s="1">
        <v>1.5825033194371299E-4</v>
      </c>
      <c r="D37188" s="1">
        <v>1.45689856647251E-4</v>
      </c>
      <c r="E37188" s="1">
        <v>9.5601879011476503E-5</v>
      </c>
      <c r="F37188" s="1">
        <v>1.5599269102613199E-4</v>
      </c>
    </row>
    <row r="37189" spans="1:6" x14ac:dyDescent="0.25">
      <c r="A37189" s="2" t="str">
        <f t="shared" si="1242"/>
        <v>99999</v>
      </c>
      <c r="B37189" s="2" t="str">
        <f>"46528"</f>
        <v>46528</v>
      </c>
      <c r="C37189" s="1">
        <v>1.4187960794953601E-6</v>
      </c>
      <c r="D37189" s="1">
        <v>0</v>
      </c>
      <c r="E37189" s="1">
        <v>0</v>
      </c>
      <c r="F37189" s="1">
        <v>1.2933067495789E-6</v>
      </c>
    </row>
    <row r="37190" spans="1:6" x14ac:dyDescent="0.25">
      <c r="A37190" s="2" t="str">
        <f t="shared" si="1242"/>
        <v>99999</v>
      </c>
      <c r="B37190" s="2" t="str">
        <f>"45880"</f>
        <v>45880</v>
      </c>
      <c r="C37190" s="1">
        <v>1.0433608092288899E-4</v>
      </c>
      <c r="D37190" s="1">
        <v>2.5799245447950699E-5</v>
      </c>
      <c r="E37190" s="1">
        <v>5.6492019415872502E-5</v>
      </c>
      <c r="F37190" s="1">
        <v>9.8092342698830694E-5</v>
      </c>
    </row>
    <row r="37191" spans="1:6" x14ac:dyDescent="0.25">
      <c r="A37191" s="2" t="str">
        <f t="shared" si="1242"/>
        <v>99999</v>
      </c>
      <c r="B37191" s="2" t="str">
        <f>"45879"</f>
        <v>45879</v>
      </c>
      <c r="C37191" s="1">
        <v>3.0536857157138601E-4</v>
      </c>
      <c r="D37191" s="1">
        <v>4.0216470845335001E-4</v>
      </c>
      <c r="E37191" s="1">
        <v>6.2575775352966402E-4</v>
      </c>
      <c r="F37191" s="1">
        <v>3.19048826607657E-4</v>
      </c>
    </row>
    <row r="37192" spans="1:6" x14ac:dyDescent="0.25">
      <c r="A37192" s="2" t="str">
        <f t="shared" si="1242"/>
        <v>99999</v>
      </c>
      <c r="B37192" s="2" t="str">
        <f>"45698"</f>
        <v>45698</v>
      </c>
      <c r="C37192" s="1">
        <v>0</v>
      </c>
      <c r="D37192" s="1">
        <v>1.51760267340886E-6</v>
      </c>
      <c r="E37192" s="1">
        <v>0</v>
      </c>
      <c r="F37192" s="1">
        <v>9.9485134582992598E-8</v>
      </c>
    </row>
    <row r="37193" spans="1:6" x14ac:dyDescent="0.25">
      <c r="A37193" s="2" t="str">
        <f t="shared" si="1242"/>
        <v>99999</v>
      </c>
      <c r="B37193" s="2" t="str">
        <f>"45692"</f>
        <v>45692</v>
      </c>
      <c r="C37193" s="1">
        <v>2.5101776791071799E-6</v>
      </c>
      <c r="D37193" s="1">
        <v>0</v>
      </c>
      <c r="E37193" s="1">
        <v>0</v>
      </c>
      <c r="F37193" s="1">
        <v>2.2881580954088299E-6</v>
      </c>
    </row>
    <row r="37194" spans="1:6" x14ac:dyDescent="0.25">
      <c r="A37194" s="2" t="str">
        <f t="shared" si="1242"/>
        <v>99999</v>
      </c>
      <c r="B37194" s="2" t="str">
        <f>"45841"</f>
        <v>45841</v>
      </c>
      <c r="C37194" s="1">
        <v>4.3655263984472602E-7</v>
      </c>
      <c r="D37194" s="1">
        <v>0</v>
      </c>
      <c r="E37194" s="1">
        <v>0</v>
      </c>
      <c r="F37194" s="1">
        <v>3.9794053833197002E-7</v>
      </c>
    </row>
    <row r="37195" spans="1:6" x14ac:dyDescent="0.25">
      <c r="A37195" s="2" t="str">
        <f t="shared" si="1242"/>
        <v>99999</v>
      </c>
      <c r="B37195" s="2" t="str">
        <f>"45864"</f>
        <v>45864</v>
      </c>
      <c r="C37195" s="1">
        <v>3.05586847891308E-6</v>
      </c>
      <c r="D37195" s="1">
        <v>1.51760267340886E-6</v>
      </c>
      <c r="E37195" s="1">
        <v>0</v>
      </c>
      <c r="F37195" s="1">
        <v>2.8850689029067799E-6</v>
      </c>
    </row>
    <row r="37196" spans="1:6" x14ac:dyDescent="0.25">
      <c r="A37196" s="2" t="str">
        <f t="shared" si="1242"/>
        <v>99999</v>
      </c>
      <c r="B37196" s="2" t="str">
        <f>"45771"</f>
        <v>45771</v>
      </c>
      <c r="C37196" s="1">
        <v>1.6916414793983101E-4</v>
      </c>
      <c r="D37196" s="1">
        <v>9.1056160404532095E-5</v>
      </c>
      <c r="E37196" s="1">
        <v>5.6492019415872502E-5</v>
      </c>
      <c r="F37196" s="1">
        <v>1.61464373428197E-4</v>
      </c>
    </row>
    <row r="37197" spans="1:6" x14ac:dyDescent="0.25">
      <c r="A37197" s="2" t="str">
        <f t="shared" si="1242"/>
        <v>99999</v>
      </c>
      <c r="B37197" s="2" t="str">
        <f>"45835"</f>
        <v>45835</v>
      </c>
      <c r="C37197" s="1">
        <v>1.9644868793012701E-5</v>
      </c>
      <c r="D37197" s="1">
        <v>7.5880133670443404E-6</v>
      </c>
      <c r="E37197" s="1">
        <v>4.3455399550671099E-6</v>
      </c>
      <c r="F37197" s="1">
        <v>1.8504235032436599E-5</v>
      </c>
    </row>
    <row r="37198" spans="1:6" x14ac:dyDescent="0.25">
      <c r="A37198" s="2" t="str">
        <f t="shared" si="1242"/>
        <v>99999</v>
      </c>
      <c r="B37198" s="2" t="str">
        <f>"45831"</f>
        <v>45831</v>
      </c>
      <c r="C37198" s="1">
        <v>1.2747337083466001E-4</v>
      </c>
      <c r="D37198" s="1">
        <v>5.15984908959015E-5</v>
      </c>
      <c r="E37198" s="1">
        <v>3.47643196405369E-5</v>
      </c>
      <c r="F37198" s="1">
        <v>1.2037701284542101E-4</v>
      </c>
    </row>
    <row r="37199" spans="1:6" x14ac:dyDescent="0.25">
      <c r="A37199" s="2" t="str">
        <f t="shared" si="1242"/>
        <v>99999</v>
      </c>
      <c r="B37199" s="2" t="str">
        <f>"45614"</f>
        <v>45614</v>
      </c>
      <c r="C37199" s="1">
        <v>2.1827631992236301E-7</v>
      </c>
      <c r="D37199" s="1">
        <v>0</v>
      </c>
      <c r="E37199" s="1">
        <v>0</v>
      </c>
      <c r="F37199" s="1">
        <v>1.9897026916598501E-7</v>
      </c>
    </row>
    <row r="37200" spans="1:6" x14ac:dyDescent="0.25">
      <c r="A37200" s="2" t="str">
        <f t="shared" si="1242"/>
        <v>99999</v>
      </c>
      <c r="B37200" s="2" t="str">
        <f>"45612"</f>
        <v>45612</v>
      </c>
      <c r="C37200" s="1">
        <v>7.7488093572438996E-5</v>
      </c>
      <c r="D37200" s="1">
        <v>3.3387258814995101E-5</v>
      </c>
      <c r="E37200" s="1">
        <v>8.69107991013423E-6</v>
      </c>
      <c r="F37200" s="1">
        <v>7.3022088783916505E-5</v>
      </c>
    </row>
    <row r="37201" spans="1:6" x14ac:dyDescent="0.25">
      <c r="A37201" s="2" t="str">
        <f t="shared" si="1242"/>
        <v>99999</v>
      </c>
      <c r="B37201" s="2" t="str">
        <f>"45601"</f>
        <v>45601</v>
      </c>
      <c r="C37201" s="1">
        <v>1.68072766340219E-5</v>
      </c>
      <c r="D37201" s="1">
        <v>1.51760267340886E-6</v>
      </c>
      <c r="E37201" s="1">
        <v>0</v>
      </c>
      <c r="F37201" s="1">
        <v>1.5420195860363801E-5</v>
      </c>
    </row>
    <row r="37202" spans="1:6" x14ac:dyDescent="0.25">
      <c r="A37202" s="2" t="str">
        <f t="shared" ref="A37202:A37265" si="1243">"99999"</f>
        <v>99999</v>
      </c>
      <c r="B37202" s="2" t="str">
        <f>"45720"</f>
        <v>45720</v>
      </c>
      <c r="C37202" s="1">
        <v>0</v>
      </c>
      <c r="D37202" s="1">
        <v>1.51760267340886E-6</v>
      </c>
      <c r="E37202" s="1">
        <v>0</v>
      </c>
      <c r="F37202" s="1">
        <v>9.9485134582992598E-8</v>
      </c>
    </row>
    <row r="37203" spans="1:6" x14ac:dyDescent="0.25">
      <c r="A37203" s="2" t="str">
        <f t="shared" si="1243"/>
        <v>99999</v>
      </c>
      <c r="B37203" s="2" t="str">
        <f>"45711"</f>
        <v>45711</v>
      </c>
      <c r="C37203" s="1">
        <v>2.4010395191459898E-6</v>
      </c>
      <c r="D37203" s="1">
        <v>0</v>
      </c>
      <c r="E37203" s="1">
        <v>0</v>
      </c>
      <c r="F37203" s="1">
        <v>2.1886729608258301E-6</v>
      </c>
    </row>
    <row r="37204" spans="1:6" x14ac:dyDescent="0.25">
      <c r="A37204" s="2" t="str">
        <f t="shared" si="1243"/>
        <v>99999</v>
      </c>
      <c r="B37204" s="2" t="str">
        <f>"45760"</f>
        <v>45760</v>
      </c>
      <c r="C37204" s="1">
        <v>2.0201473408814699E-4</v>
      </c>
      <c r="D37204" s="1">
        <v>2.12464374277241E-4</v>
      </c>
      <c r="E37204" s="1">
        <v>2.4335023748375801E-4</v>
      </c>
      <c r="F37204" s="1">
        <v>2.0364607049138501E-4</v>
      </c>
    </row>
    <row r="37205" spans="1:6" x14ac:dyDescent="0.25">
      <c r="A37205" s="2" t="str">
        <f t="shared" si="1243"/>
        <v>99999</v>
      </c>
      <c r="B37205" s="2" t="str">
        <f>"45338"</f>
        <v>45338</v>
      </c>
      <c r="C37205" s="1">
        <v>2.3857601767514301E-4</v>
      </c>
      <c r="D37205" s="1">
        <v>1.3810184328020699E-4</v>
      </c>
      <c r="E37205" s="1">
        <v>1.21675118741879E-4</v>
      </c>
      <c r="F37205" s="1">
        <v>2.2931323521379799E-4</v>
      </c>
    </row>
    <row r="37206" spans="1:6" x14ac:dyDescent="0.25">
      <c r="A37206" s="2" t="str">
        <f t="shared" si="1243"/>
        <v>99999</v>
      </c>
      <c r="B37206" s="2" t="str">
        <f>"45320"</f>
        <v>45320</v>
      </c>
      <c r="C37206" s="1">
        <v>7.7193420540543805E-4</v>
      </c>
      <c r="D37206" s="1">
        <v>8.8324475592396203E-4</v>
      </c>
      <c r="E37206" s="1">
        <v>8.1696151155261705E-4</v>
      </c>
      <c r="F37206" s="1">
        <v>7.8026191053441097E-4</v>
      </c>
    </row>
    <row r="37207" spans="1:6" x14ac:dyDescent="0.25">
      <c r="A37207" s="2" t="str">
        <f t="shared" si="1243"/>
        <v>99999</v>
      </c>
      <c r="B37207" s="2" t="str">
        <f>"45132"</f>
        <v>45132</v>
      </c>
      <c r="C37207" s="1">
        <v>0</v>
      </c>
      <c r="D37207" s="1">
        <v>0</v>
      </c>
      <c r="E37207" s="1">
        <v>8.69107991013423E-6</v>
      </c>
      <c r="F37207" s="1">
        <v>1.9897026916598501E-7</v>
      </c>
    </row>
    <row r="37208" spans="1:6" x14ac:dyDescent="0.25">
      <c r="A37208" s="2" t="str">
        <f t="shared" si="1243"/>
        <v>99999</v>
      </c>
      <c r="B37208" s="2" t="str">
        <f>"45133"</f>
        <v>45133</v>
      </c>
      <c r="C37208" s="1">
        <v>1.24406588539751E-3</v>
      </c>
      <c r="D37208" s="1">
        <v>1.31727912051889E-3</v>
      </c>
      <c r="E37208" s="1">
        <v>1.85554556081365E-3</v>
      </c>
      <c r="F37208" s="1">
        <v>1.2628642983965E-3</v>
      </c>
    </row>
    <row r="37209" spans="1:6" x14ac:dyDescent="0.25">
      <c r="A37209" s="2" t="str">
        <f t="shared" si="1243"/>
        <v>99999</v>
      </c>
      <c r="B37209" s="2" t="str">
        <f>"45118"</f>
        <v>45118</v>
      </c>
      <c r="C37209" s="1">
        <v>2.9467303189519E-6</v>
      </c>
      <c r="D37209" s="1">
        <v>0</v>
      </c>
      <c r="E37209" s="1">
        <v>0</v>
      </c>
      <c r="F37209" s="1">
        <v>2.6860986337408002E-6</v>
      </c>
    </row>
    <row r="37210" spans="1:6" x14ac:dyDescent="0.25">
      <c r="A37210" s="2" t="str">
        <f t="shared" si="1243"/>
        <v>99999</v>
      </c>
      <c r="B37210" s="2" t="str">
        <f>"45101"</f>
        <v>45101</v>
      </c>
      <c r="C37210" s="1">
        <v>2.1827631992236301E-7</v>
      </c>
      <c r="D37210" s="1">
        <v>0</v>
      </c>
      <c r="E37210" s="1">
        <v>0</v>
      </c>
      <c r="F37210" s="1">
        <v>1.9897026916598501E-7</v>
      </c>
    </row>
    <row r="37211" spans="1:6" x14ac:dyDescent="0.25">
      <c r="A37211" s="2" t="str">
        <f t="shared" si="1243"/>
        <v>99999</v>
      </c>
      <c r="B37211" s="2" t="str">
        <f>"44849"</f>
        <v>44849</v>
      </c>
      <c r="C37211" s="1">
        <v>8.5018626609760503E-5</v>
      </c>
      <c r="D37211" s="1">
        <v>9.1056160404532095E-6</v>
      </c>
      <c r="E37211" s="1">
        <v>2.1727699775335501E-5</v>
      </c>
      <c r="F37211" s="1">
        <v>7.8593256320564096E-5</v>
      </c>
    </row>
    <row r="37212" spans="1:6" x14ac:dyDescent="0.25">
      <c r="A37212" s="2" t="str">
        <f t="shared" si="1243"/>
        <v>99999</v>
      </c>
      <c r="B37212" s="2" t="str">
        <f>"44693"</f>
        <v>44693</v>
      </c>
      <c r="C37212" s="1">
        <v>0</v>
      </c>
      <c r="D37212" s="1">
        <v>0</v>
      </c>
      <c r="E37212" s="1">
        <v>4.3455399550671099E-6</v>
      </c>
      <c r="F37212" s="1">
        <v>9.9485134582992598E-8</v>
      </c>
    </row>
    <row r="37213" spans="1:6" x14ac:dyDescent="0.25">
      <c r="A37213" s="2" t="str">
        <f t="shared" si="1243"/>
        <v>99999</v>
      </c>
      <c r="B37213" s="2" t="str">
        <f>"44637"</f>
        <v>44637</v>
      </c>
      <c r="C37213" s="1">
        <v>1.04663495402773E-4</v>
      </c>
      <c r="D37213" s="1">
        <v>5.0080888222492601E-5</v>
      </c>
      <c r="E37213" s="1">
        <v>6.5183099326006705E-5</v>
      </c>
      <c r="F37213" s="1">
        <v>1.0018153052507301E-4</v>
      </c>
    </row>
    <row r="37214" spans="1:6" x14ac:dyDescent="0.25">
      <c r="A37214" s="2" t="str">
        <f t="shared" si="1243"/>
        <v>99999</v>
      </c>
      <c r="B37214" s="2" t="str">
        <f>"44628"</f>
        <v>44628</v>
      </c>
      <c r="C37214" s="1">
        <v>3.9944566545792501E-5</v>
      </c>
      <c r="D37214" s="1">
        <v>4.5528080202265997E-6</v>
      </c>
      <c r="E37214" s="1">
        <v>4.3455399550671099E-6</v>
      </c>
      <c r="F37214" s="1">
        <v>3.68094997957072E-5</v>
      </c>
    </row>
    <row r="37215" spans="1:6" x14ac:dyDescent="0.25">
      <c r="A37215" s="2" t="str">
        <f t="shared" si="1243"/>
        <v>99999</v>
      </c>
      <c r="B37215" s="2" t="str">
        <f>"44660"</f>
        <v>44660</v>
      </c>
      <c r="C37215" s="1">
        <v>0</v>
      </c>
      <c r="D37215" s="1">
        <v>0</v>
      </c>
      <c r="E37215" s="1">
        <v>4.3455399550671099E-6</v>
      </c>
      <c r="F37215" s="1">
        <v>9.9485134582992598E-8</v>
      </c>
    </row>
    <row r="37216" spans="1:6" x14ac:dyDescent="0.25">
      <c r="A37216" s="2" t="str">
        <f t="shared" si="1243"/>
        <v>99999</v>
      </c>
      <c r="B37216" s="2" t="str">
        <f>"43984"</f>
        <v>43984</v>
      </c>
      <c r="C37216" s="1">
        <v>0</v>
      </c>
      <c r="D37216" s="1">
        <v>0</v>
      </c>
      <c r="E37216" s="1">
        <v>4.3455399550671099E-6</v>
      </c>
      <c r="F37216" s="1">
        <v>9.9485134582992598E-8</v>
      </c>
    </row>
    <row r="37217" spans="1:6" x14ac:dyDescent="0.25">
      <c r="A37217" s="2" t="str">
        <f t="shared" si="1243"/>
        <v>99999</v>
      </c>
      <c r="B37217" s="2" t="str">
        <f>"43986"</f>
        <v>43986</v>
      </c>
      <c r="C37217" s="1">
        <v>1.01389350603937E-4</v>
      </c>
      <c r="D37217" s="1">
        <v>1.0623218713862E-5</v>
      </c>
      <c r="E37217" s="1">
        <v>1.3036619865201299E-5</v>
      </c>
      <c r="F37217" s="1">
        <v>9.3416541373430001E-5</v>
      </c>
    </row>
    <row r="37218" spans="1:6" x14ac:dyDescent="0.25">
      <c r="A37218" s="2" t="str">
        <f t="shared" si="1243"/>
        <v>99999</v>
      </c>
      <c r="B37218" s="2" t="str">
        <f>"43732"</f>
        <v>43732</v>
      </c>
      <c r="C37218" s="1">
        <v>2.0627112232663299E-5</v>
      </c>
      <c r="D37218" s="1">
        <v>3.0352053468177301E-6</v>
      </c>
      <c r="E37218" s="1">
        <v>0</v>
      </c>
      <c r="F37218" s="1">
        <v>1.90016607053515E-5</v>
      </c>
    </row>
    <row r="37219" spans="1:6" x14ac:dyDescent="0.25">
      <c r="A37219" s="2" t="str">
        <f t="shared" si="1243"/>
        <v>99999</v>
      </c>
      <c r="B37219" s="2" t="str">
        <f>"43773"</f>
        <v>43773</v>
      </c>
      <c r="C37219" s="1">
        <v>6.3627547257368903E-5</v>
      </c>
      <c r="D37219" s="1">
        <v>1.0623218713862E-5</v>
      </c>
      <c r="E37219" s="1">
        <v>4.3455399550671099E-6</v>
      </c>
      <c r="F37219" s="1">
        <v>5.8795714538548598E-5</v>
      </c>
    </row>
    <row r="37220" spans="1:6" x14ac:dyDescent="0.25">
      <c r="A37220" s="2" t="str">
        <f t="shared" si="1243"/>
        <v>99999</v>
      </c>
      <c r="B37220" s="2" t="str">
        <f>"43731"</f>
        <v>43731</v>
      </c>
      <c r="C37220" s="1">
        <v>4.2563882384860802E-5</v>
      </c>
      <c r="D37220" s="1">
        <v>1.3658424060679801E-5</v>
      </c>
      <c r="E37220" s="1">
        <v>4.3455399550671099E-6</v>
      </c>
      <c r="F37220" s="1">
        <v>3.9794053833197E-5</v>
      </c>
    </row>
    <row r="37221" spans="1:6" x14ac:dyDescent="0.25">
      <c r="A37221" s="2" t="str">
        <f t="shared" si="1243"/>
        <v>99999</v>
      </c>
      <c r="B37221" s="2" t="str">
        <f>"43788"</f>
        <v>43788</v>
      </c>
      <c r="C37221" s="1">
        <v>5.0858382541910597E-5</v>
      </c>
      <c r="D37221" s="1">
        <v>1.3658424060679801E-5</v>
      </c>
      <c r="E37221" s="1">
        <v>8.69107991013423E-6</v>
      </c>
      <c r="F37221" s="1">
        <v>4.7454409196087398E-5</v>
      </c>
    </row>
    <row r="37222" spans="1:6" x14ac:dyDescent="0.25">
      <c r="A37222" s="2" t="str">
        <f t="shared" si="1243"/>
        <v>99999</v>
      </c>
      <c r="B37222" s="2" t="str">
        <f>"43901"</f>
        <v>43901</v>
      </c>
      <c r="C37222" s="1">
        <v>1.8444349033439702E-5</v>
      </c>
      <c r="D37222" s="1">
        <v>1.51760267340886E-6</v>
      </c>
      <c r="E37222" s="1">
        <v>0</v>
      </c>
      <c r="F37222" s="1">
        <v>1.69124728791087E-5</v>
      </c>
    </row>
    <row r="37223" spans="1:6" x14ac:dyDescent="0.25">
      <c r="A37223" s="2" t="str">
        <f t="shared" si="1243"/>
        <v>99999</v>
      </c>
      <c r="B37223" s="2" t="str">
        <f>"43915"</f>
        <v>43915</v>
      </c>
      <c r="C37223" s="1">
        <v>7.6942402772633099E-5</v>
      </c>
      <c r="D37223" s="1">
        <v>4.8563285549083798E-5</v>
      </c>
      <c r="E37223" s="1">
        <v>1.3036619865201299E-5</v>
      </c>
      <c r="F37223" s="1">
        <v>7.3618999591414496E-5</v>
      </c>
    </row>
    <row r="37224" spans="1:6" x14ac:dyDescent="0.25">
      <c r="A37224" s="2" t="str">
        <f t="shared" si="1243"/>
        <v>99999</v>
      </c>
      <c r="B37224" s="2" t="str">
        <f>"43910"</f>
        <v>43910</v>
      </c>
      <c r="C37224" s="1">
        <v>8.6219146369333496E-6</v>
      </c>
      <c r="D37224" s="1">
        <v>1.51760267340886E-6</v>
      </c>
      <c r="E37224" s="1">
        <v>0</v>
      </c>
      <c r="F37224" s="1">
        <v>7.9588107666394102E-6</v>
      </c>
    </row>
    <row r="37225" spans="1:6" x14ac:dyDescent="0.25">
      <c r="A37225" s="2" t="str">
        <f t="shared" si="1243"/>
        <v>99999</v>
      </c>
      <c r="B37225" s="2" t="str">
        <f>"43534"</f>
        <v>43534</v>
      </c>
      <c r="C37225" s="1">
        <v>8.5346041089644104E-5</v>
      </c>
      <c r="D37225" s="1">
        <v>2.5799245447950699E-5</v>
      </c>
      <c r="E37225" s="1">
        <v>4.7800939505738197E-5</v>
      </c>
      <c r="F37225" s="1">
        <v>8.0582959012223999E-5</v>
      </c>
    </row>
    <row r="37226" spans="1:6" x14ac:dyDescent="0.25">
      <c r="A37226" s="2" t="str">
        <f t="shared" si="1243"/>
        <v>99999</v>
      </c>
      <c r="B37226" s="2" t="str">
        <f>"43310"</f>
        <v>43310</v>
      </c>
      <c r="C37226" s="1">
        <v>4.0926809985443098E-5</v>
      </c>
      <c r="D37226" s="1">
        <v>4.5528080202265997E-6</v>
      </c>
      <c r="E37226" s="1">
        <v>2.1727699775335501E-5</v>
      </c>
      <c r="F37226" s="1">
        <v>3.81028065452861E-5</v>
      </c>
    </row>
    <row r="37227" spans="1:6" x14ac:dyDescent="0.25">
      <c r="A37227" s="2" t="str">
        <f t="shared" si="1243"/>
        <v>99999</v>
      </c>
      <c r="B37227" s="2" t="str">
        <f>"43510"</f>
        <v>43510</v>
      </c>
      <c r="C37227" s="1">
        <v>1.6370723994177199E-6</v>
      </c>
      <c r="D37227" s="1">
        <v>0</v>
      </c>
      <c r="E37227" s="1">
        <v>4.3455399550671099E-6</v>
      </c>
      <c r="F37227" s="1">
        <v>1.5917621533278801E-6</v>
      </c>
    </row>
    <row r="37228" spans="1:6" x14ac:dyDescent="0.25">
      <c r="A37228" s="2" t="str">
        <f t="shared" si="1243"/>
        <v>99999</v>
      </c>
      <c r="B37228" s="2" t="str">
        <f>"43501"</f>
        <v>43501</v>
      </c>
      <c r="C37228" s="1">
        <v>3.63430072670735E-5</v>
      </c>
      <c r="D37228" s="1">
        <v>1.0623218713862E-5</v>
      </c>
      <c r="E37228" s="1">
        <v>8.69107991013423E-6</v>
      </c>
      <c r="F37228" s="1">
        <v>3.4023916027383398E-5</v>
      </c>
    </row>
    <row r="37229" spans="1:6" x14ac:dyDescent="0.25">
      <c r="A37229" s="2" t="str">
        <f t="shared" si="1243"/>
        <v>99999</v>
      </c>
      <c r="B37229" s="2" t="str">
        <f>"42733"</f>
        <v>42733</v>
      </c>
      <c r="C37229" s="1">
        <v>1.2987441035380599E-5</v>
      </c>
      <c r="D37229" s="1">
        <v>3.0352053468177301E-6</v>
      </c>
      <c r="E37229" s="1">
        <v>5.21464794608054E-5</v>
      </c>
      <c r="F37229" s="1">
        <v>1.3231522899537999E-5</v>
      </c>
    </row>
    <row r="37230" spans="1:6" x14ac:dyDescent="0.25">
      <c r="A37230" s="2" t="str">
        <f t="shared" si="1243"/>
        <v>99999</v>
      </c>
      <c r="B37230" s="2" t="str">
        <f>"42741"</f>
        <v>42741</v>
      </c>
      <c r="C37230" s="1">
        <v>1.9535730633051498E-5</v>
      </c>
      <c r="D37230" s="1">
        <v>1.51760267340886E-6</v>
      </c>
      <c r="E37230" s="1">
        <v>5.6492019415872502E-5</v>
      </c>
      <c r="F37230" s="1">
        <v>1.92006309745175E-5</v>
      </c>
    </row>
    <row r="37231" spans="1:6" x14ac:dyDescent="0.25">
      <c r="A37231" s="2" t="str">
        <f t="shared" si="1243"/>
        <v>99999</v>
      </c>
      <c r="B37231" s="2" t="str">
        <f>"42631"</f>
        <v>42631</v>
      </c>
      <c r="C37231" s="1">
        <v>0</v>
      </c>
      <c r="D37231" s="1">
        <v>0</v>
      </c>
      <c r="E37231" s="1">
        <v>4.3455399550671099E-6</v>
      </c>
      <c r="F37231" s="1">
        <v>9.9485134582992598E-8</v>
      </c>
    </row>
    <row r="37232" spans="1:6" x14ac:dyDescent="0.25">
      <c r="A37232" s="2" t="str">
        <f t="shared" si="1243"/>
        <v>99999</v>
      </c>
      <c r="B37232" s="2" t="str">
        <f>"42462"</f>
        <v>42462</v>
      </c>
      <c r="C37232" s="1">
        <v>4.5619750863773899E-5</v>
      </c>
      <c r="D37232" s="1">
        <v>2.4281642774541899E-5</v>
      </c>
      <c r="E37232" s="1">
        <v>3.0418779685469802E-5</v>
      </c>
      <c r="F37232" s="1">
        <v>4.3872944351099702E-5</v>
      </c>
    </row>
    <row r="37233" spans="1:6" x14ac:dyDescent="0.25">
      <c r="A37233" s="2" t="str">
        <f t="shared" si="1243"/>
        <v>99999</v>
      </c>
      <c r="B37233" s="2" t="str">
        <f>"42456"</f>
        <v>42456</v>
      </c>
      <c r="C37233" s="1">
        <v>5.2495454941328402E-5</v>
      </c>
      <c r="D37233" s="1">
        <v>6.0704106936354696E-6</v>
      </c>
      <c r="E37233" s="1">
        <v>8.69107991013423E-6</v>
      </c>
      <c r="F37233" s="1">
        <v>4.8449260541917403E-5</v>
      </c>
    </row>
    <row r="37234" spans="1:6" x14ac:dyDescent="0.25">
      <c r="A37234" s="2" t="str">
        <f t="shared" si="1243"/>
        <v>99999</v>
      </c>
      <c r="B37234" s="2" t="str">
        <f>"42455"</f>
        <v>42455</v>
      </c>
      <c r="C37234" s="1">
        <v>1.2168904835671699E-4</v>
      </c>
      <c r="D37234" s="1">
        <v>9.2573763077941E-5</v>
      </c>
      <c r="E37234" s="1">
        <v>2.1727699775335501E-5</v>
      </c>
      <c r="F37234" s="1">
        <v>1.17491943942514E-4</v>
      </c>
    </row>
    <row r="37235" spans="1:6" x14ac:dyDescent="0.25">
      <c r="A37235" s="2" t="str">
        <f t="shared" si="1243"/>
        <v>99999</v>
      </c>
      <c r="B37235" s="2" t="str">
        <f>"42151"</f>
        <v>42151</v>
      </c>
      <c r="C37235" s="1">
        <v>1.8335210873478499E-5</v>
      </c>
      <c r="D37235" s="1">
        <v>3.0352053468177301E-6</v>
      </c>
      <c r="E37235" s="1">
        <v>4.3455399550671099E-6</v>
      </c>
      <c r="F37235" s="1">
        <v>1.7011958013691699E-5</v>
      </c>
    </row>
    <row r="37236" spans="1:6" x14ac:dyDescent="0.25">
      <c r="A37236" s="2" t="str">
        <f t="shared" si="1243"/>
        <v>99999</v>
      </c>
      <c r="B37236" s="2" t="str">
        <f>"42104"</f>
        <v>42104</v>
      </c>
      <c r="C37236" s="1">
        <v>1.09138159961181E-5</v>
      </c>
      <c r="D37236" s="1">
        <v>0</v>
      </c>
      <c r="E37236" s="1">
        <v>0</v>
      </c>
      <c r="F37236" s="1">
        <v>9.9485134582992602E-6</v>
      </c>
    </row>
    <row r="37237" spans="1:6" x14ac:dyDescent="0.25">
      <c r="A37237" s="2" t="str">
        <f t="shared" si="1243"/>
        <v>99999</v>
      </c>
      <c r="B37237" s="2" t="str">
        <f>"42274"</f>
        <v>42274</v>
      </c>
      <c r="C37237" s="1">
        <v>1.1132092316040499E-5</v>
      </c>
      <c r="D37237" s="1">
        <v>1.51760267340886E-6</v>
      </c>
      <c r="E37237" s="1">
        <v>0</v>
      </c>
      <c r="F37237" s="1">
        <v>1.02469688620482E-5</v>
      </c>
    </row>
    <row r="37238" spans="1:6" x14ac:dyDescent="0.25">
      <c r="A37238" s="2" t="str">
        <f t="shared" si="1243"/>
        <v>99999</v>
      </c>
      <c r="B37238" s="2" t="str">
        <f>"42333"</f>
        <v>42333</v>
      </c>
      <c r="C37238" s="1">
        <v>5.3586836540940202E-5</v>
      </c>
      <c r="D37238" s="1">
        <v>1.3658424060679801E-5</v>
      </c>
      <c r="E37238" s="1">
        <v>1.7382159820268399E-5</v>
      </c>
      <c r="F37238" s="1">
        <v>5.0140507829828202E-5</v>
      </c>
    </row>
    <row r="37239" spans="1:6" x14ac:dyDescent="0.25">
      <c r="A37239" s="2" t="str">
        <f t="shared" si="1243"/>
        <v>99999</v>
      </c>
      <c r="B37239" s="2" t="str">
        <f>"42069"</f>
        <v>42069</v>
      </c>
      <c r="C37239" s="1">
        <v>1.4187960794953601E-6</v>
      </c>
      <c r="D37239" s="1">
        <v>1.51760267340886E-6</v>
      </c>
      <c r="E37239" s="1">
        <v>0</v>
      </c>
      <c r="F37239" s="1">
        <v>1.39279188416189E-6</v>
      </c>
    </row>
    <row r="37240" spans="1:6" x14ac:dyDescent="0.25">
      <c r="A37240" s="2" t="str">
        <f t="shared" si="1243"/>
        <v>99999</v>
      </c>
      <c r="B37240" s="2" t="str">
        <f>"42064"</f>
        <v>42064</v>
      </c>
      <c r="C37240" s="1">
        <v>4.50958876959602E-4</v>
      </c>
      <c r="D37240" s="1">
        <v>4.9170326618447303E-4</v>
      </c>
      <c r="E37240" s="1">
        <v>3.9544413591110703E-4</v>
      </c>
      <c r="F37240" s="1">
        <v>4.5235890694886701E-4</v>
      </c>
    </row>
    <row r="37241" spans="1:6" x14ac:dyDescent="0.25">
      <c r="A37241" s="2" t="str">
        <f t="shared" si="1243"/>
        <v>99999</v>
      </c>
      <c r="B37241" s="2" t="str">
        <f>"42204"</f>
        <v>42204</v>
      </c>
      <c r="C37241" s="1">
        <v>2.9030750549674299E-5</v>
      </c>
      <c r="D37241" s="1">
        <v>1.51760267340886E-6</v>
      </c>
      <c r="E37241" s="1">
        <v>1.7382159820268399E-5</v>
      </c>
      <c r="F37241" s="1">
        <v>2.6960471471991001E-5</v>
      </c>
    </row>
    <row r="37242" spans="1:6" x14ac:dyDescent="0.25">
      <c r="A37242" s="2" t="str">
        <f t="shared" si="1243"/>
        <v>99999</v>
      </c>
      <c r="B37242" s="2" t="str">
        <f>"42221"</f>
        <v>42221</v>
      </c>
      <c r="C37242" s="1">
        <v>0</v>
      </c>
      <c r="D37242" s="1">
        <v>0</v>
      </c>
      <c r="E37242" s="1">
        <v>4.3455399550671099E-6</v>
      </c>
      <c r="F37242" s="1">
        <v>9.9485134582992598E-8</v>
      </c>
    </row>
    <row r="37243" spans="1:6" x14ac:dyDescent="0.25">
      <c r="A37243" s="2" t="str">
        <f t="shared" si="1243"/>
        <v>99999</v>
      </c>
      <c r="B37243" s="2" t="str">
        <f>"42037"</f>
        <v>42037</v>
      </c>
      <c r="C37243" s="1">
        <v>0</v>
      </c>
      <c r="D37243" s="1">
        <v>0</v>
      </c>
      <c r="E37243" s="1">
        <v>4.3455399550671099E-6</v>
      </c>
      <c r="F37243" s="1">
        <v>9.9485134582992598E-8</v>
      </c>
    </row>
    <row r="37244" spans="1:6" x14ac:dyDescent="0.25">
      <c r="A37244" s="2" t="str">
        <f t="shared" si="1243"/>
        <v>99999</v>
      </c>
      <c r="B37244" s="2" t="str">
        <f>"42041"</f>
        <v>42041</v>
      </c>
      <c r="C37244" s="1">
        <v>2.3311910967708401E-4</v>
      </c>
      <c r="D37244" s="1">
        <v>3.8091827102562599E-4</v>
      </c>
      <c r="E37244" s="1">
        <v>3.7371643613577199E-4</v>
      </c>
      <c r="F37244" s="1">
        <v>2.4602673782373998E-4</v>
      </c>
    </row>
    <row r="37245" spans="1:6" x14ac:dyDescent="0.25">
      <c r="A37245" s="2" t="str">
        <f t="shared" si="1243"/>
        <v>99999</v>
      </c>
      <c r="B37245" s="2" t="str">
        <f>"41129"</f>
        <v>41129</v>
      </c>
      <c r="C37245" s="1">
        <v>2.6629711030528301E-5</v>
      </c>
      <c r="D37245" s="1">
        <v>9.1056160404532095E-6</v>
      </c>
      <c r="E37245" s="1">
        <v>0</v>
      </c>
      <c r="F37245" s="1">
        <v>2.48712836457481E-5</v>
      </c>
    </row>
    <row r="37246" spans="1:6" x14ac:dyDescent="0.25">
      <c r="A37246" s="2" t="str">
        <f t="shared" si="1243"/>
        <v>99999</v>
      </c>
      <c r="B37246" s="2" t="str">
        <f>"41098"</f>
        <v>41098</v>
      </c>
      <c r="C37246" s="1">
        <v>6.6028586776514895E-5</v>
      </c>
      <c r="D37246" s="1">
        <v>1.51760267340886E-6</v>
      </c>
      <c r="E37246" s="1">
        <v>2.1727699775335501E-5</v>
      </c>
      <c r="F37246" s="1">
        <v>6.0785417230208501E-5</v>
      </c>
    </row>
    <row r="37247" spans="1:6" x14ac:dyDescent="0.25">
      <c r="A37247" s="2" t="str">
        <f t="shared" si="1243"/>
        <v>99999</v>
      </c>
      <c r="B37247" s="2" t="str">
        <f>"41845"</f>
        <v>41845</v>
      </c>
      <c r="C37247" s="1">
        <v>1.54976187144878E-5</v>
      </c>
      <c r="D37247" s="1">
        <v>1.51760267340886E-6</v>
      </c>
      <c r="E37247" s="1">
        <v>1.3036619865201299E-5</v>
      </c>
      <c r="F37247" s="1">
        <v>1.45248296491169E-5</v>
      </c>
    </row>
    <row r="37248" spans="1:6" x14ac:dyDescent="0.25">
      <c r="A37248" s="2" t="str">
        <f t="shared" si="1243"/>
        <v>99999</v>
      </c>
      <c r="B37248" s="2" t="str">
        <f>"41743"</f>
        <v>41743</v>
      </c>
      <c r="C37248" s="1">
        <v>8.2945001570498102E-6</v>
      </c>
      <c r="D37248" s="1">
        <v>0</v>
      </c>
      <c r="E37248" s="1">
        <v>4.3455399550671099E-6</v>
      </c>
      <c r="F37248" s="1">
        <v>7.6603553628904299E-6</v>
      </c>
    </row>
    <row r="37249" spans="1:6" x14ac:dyDescent="0.25">
      <c r="A37249" s="2" t="str">
        <f t="shared" si="1243"/>
        <v>99999</v>
      </c>
      <c r="B37249" s="2" t="str">
        <f>"41837"</f>
        <v>41837</v>
      </c>
      <c r="C37249" s="1">
        <v>2.9903855829363701E-5</v>
      </c>
      <c r="D37249" s="1">
        <v>4.5528080202265997E-6</v>
      </c>
      <c r="E37249" s="1">
        <v>8.2565259146275205E-5</v>
      </c>
      <c r="F37249" s="1">
        <v>2.9447599836565802E-5</v>
      </c>
    </row>
    <row r="37250" spans="1:6" x14ac:dyDescent="0.25">
      <c r="A37250" s="2" t="str">
        <f t="shared" si="1243"/>
        <v>99999</v>
      </c>
      <c r="B37250" s="2" t="str">
        <f>"41844"</f>
        <v>41844</v>
      </c>
      <c r="C37250" s="1">
        <v>2.8594197909829602E-5</v>
      </c>
      <c r="D37250" s="1">
        <v>1.66936294074975E-5</v>
      </c>
      <c r="E37250" s="1">
        <v>4.3455399550671103E-5</v>
      </c>
      <c r="F37250" s="1">
        <v>2.8154293086986899E-5</v>
      </c>
    </row>
    <row r="37251" spans="1:6" x14ac:dyDescent="0.25">
      <c r="A37251" s="2" t="str">
        <f t="shared" si="1243"/>
        <v>99999</v>
      </c>
      <c r="B37251" s="2" t="str">
        <f>"41840"</f>
        <v>41840</v>
      </c>
      <c r="C37251" s="1">
        <v>4.3764402144433798E-5</v>
      </c>
      <c r="D37251" s="1">
        <v>1.5176026734088599E-5</v>
      </c>
      <c r="E37251" s="1">
        <v>3.47643196405369E-5</v>
      </c>
      <c r="F37251" s="1">
        <v>4.1684271390273897E-5</v>
      </c>
    </row>
    <row r="37252" spans="1:6" x14ac:dyDescent="0.25">
      <c r="A37252" s="2" t="str">
        <f t="shared" si="1243"/>
        <v>99999</v>
      </c>
      <c r="B37252" s="2" t="str">
        <f>"41815"</f>
        <v>41815</v>
      </c>
      <c r="C37252" s="1">
        <v>2.8594197909829602E-5</v>
      </c>
      <c r="D37252" s="1">
        <v>1.51760267340886E-6</v>
      </c>
      <c r="E37252" s="1">
        <v>1.7382159820268399E-5</v>
      </c>
      <c r="F37252" s="1">
        <v>2.6562530933659001E-5</v>
      </c>
    </row>
    <row r="37253" spans="1:6" x14ac:dyDescent="0.25">
      <c r="A37253" s="2" t="str">
        <f t="shared" si="1243"/>
        <v>99999</v>
      </c>
      <c r="B37253" s="2" t="str">
        <f>"41751"</f>
        <v>41751</v>
      </c>
      <c r="C37253" s="1">
        <v>5.5660461580202599E-6</v>
      </c>
      <c r="D37253" s="1">
        <v>0</v>
      </c>
      <c r="E37253" s="1">
        <v>4.3455399550671099E-6</v>
      </c>
      <c r="F37253" s="1">
        <v>5.1732269983156102E-6</v>
      </c>
    </row>
    <row r="37254" spans="1:6" x14ac:dyDescent="0.25">
      <c r="A37254" s="2" t="str">
        <f t="shared" si="1243"/>
        <v>99999</v>
      </c>
      <c r="B37254" s="2" t="str">
        <f>"41766"</f>
        <v>41766</v>
      </c>
      <c r="C37254" s="1">
        <v>1.6479862154138401E-5</v>
      </c>
      <c r="D37254" s="1">
        <v>1.51760267340886E-6</v>
      </c>
      <c r="E37254" s="1">
        <v>8.69107991013423E-6</v>
      </c>
      <c r="F37254" s="1">
        <v>1.5320710725780799E-5</v>
      </c>
    </row>
    <row r="37255" spans="1:6" x14ac:dyDescent="0.25">
      <c r="A37255" s="2" t="str">
        <f t="shared" si="1243"/>
        <v>99999</v>
      </c>
      <c r="B37255" s="2" t="str">
        <f>"41723"</f>
        <v>41723</v>
      </c>
      <c r="C37255" s="1">
        <v>6.4828067016941906E-5</v>
      </c>
      <c r="D37255" s="1">
        <v>1.0623218713862E-5</v>
      </c>
      <c r="E37255" s="1">
        <v>1.7382159820268399E-5</v>
      </c>
      <c r="F37255" s="1">
        <v>6.0188506422710503E-5</v>
      </c>
    </row>
    <row r="37256" spans="1:6" x14ac:dyDescent="0.25">
      <c r="A37256" s="2" t="str">
        <f t="shared" si="1243"/>
        <v>99999</v>
      </c>
      <c r="B37256" s="2" t="str">
        <f>"41390"</f>
        <v>41390</v>
      </c>
      <c r="C37256" s="1">
        <v>7.9670856771662607E-6</v>
      </c>
      <c r="D37256" s="1">
        <v>0</v>
      </c>
      <c r="E37256" s="1">
        <v>8.69107991013423E-6</v>
      </c>
      <c r="F37256" s="1">
        <v>7.4613850937244396E-6</v>
      </c>
    </row>
    <row r="37257" spans="1:6" x14ac:dyDescent="0.25">
      <c r="A37257" s="2" t="str">
        <f t="shared" si="1243"/>
        <v>99999</v>
      </c>
      <c r="B37257" s="2" t="str">
        <f>"41364"</f>
        <v>41364</v>
      </c>
      <c r="C37257" s="1">
        <v>1.4078822634992399E-5</v>
      </c>
      <c r="D37257" s="1">
        <v>1.51760267340886E-6</v>
      </c>
      <c r="E37257" s="1">
        <v>4.3455399550671099E-6</v>
      </c>
      <c r="F37257" s="1">
        <v>1.3032552630372001E-5</v>
      </c>
    </row>
    <row r="37258" spans="1:6" x14ac:dyDescent="0.25">
      <c r="A37258" s="2" t="str">
        <f t="shared" si="1243"/>
        <v>99999</v>
      </c>
      <c r="B37258" s="2" t="str">
        <f>"41386"</f>
        <v>41386</v>
      </c>
      <c r="C37258" s="1">
        <v>6.0025987978649897E-6</v>
      </c>
      <c r="D37258" s="1">
        <v>1.51760267340886E-6</v>
      </c>
      <c r="E37258" s="1">
        <v>0</v>
      </c>
      <c r="F37258" s="1">
        <v>5.5711675366475797E-6</v>
      </c>
    </row>
    <row r="37259" spans="1:6" x14ac:dyDescent="0.25">
      <c r="A37259" s="2" t="str">
        <f t="shared" si="1243"/>
        <v>99999</v>
      </c>
      <c r="B37259" s="2" t="str">
        <f>"41464"</f>
        <v>41464</v>
      </c>
      <c r="C37259" s="1">
        <v>4.3873540304395E-5</v>
      </c>
      <c r="D37259" s="1">
        <v>4.5528080202265997E-6</v>
      </c>
      <c r="E37259" s="1">
        <v>8.69107991013423E-6</v>
      </c>
      <c r="F37259" s="1">
        <v>4.0490449775278003E-5</v>
      </c>
    </row>
    <row r="37260" spans="1:6" x14ac:dyDescent="0.25">
      <c r="A37260" s="2" t="str">
        <f t="shared" si="1243"/>
        <v>99999</v>
      </c>
      <c r="B37260" s="2" t="str">
        <f>"41612"</f>
        <v>41612</v>
      </c>
      <c r="C37260" s="1">
        <v>7.7488093572439E-6</v>
      </c>
      <c r="D37260" s="1">
        <v>3.0352053468177301E-6</v>
      </c>
      <c r="E37260" s="1">
        <v>3.0418779685469802E-5</v>
      </c>
      <c r="F37260" s="1">
        <v>7.9588107666394102E-6</v>
      </c>
    </row>
    <row r="37261" spans="1:6" x14ac:dyDescent="0.25">
      <c r="A37261" s="2" t="str">
        <f t="shared" si="1243"/>
        <v>99999</v>
      </c>
      <c r="B37261" s="2" t="str">
        <f>"41571"</f>
        <v>41571</v>
      </c>
      <c r="C37261" s="1">
        <v>3.2414033508470899E-5</v>
      </c>
      <c r="D37261" s="1">
        <v>6.0704106936354696E-6</v>
      </c>
      <c r="E37261" s="1">
        <v>2.1727699775335501E-5</v>
      </c>
      <c r="F37261" s="1">
        <v>3.0442451182395699E-5</v>
      </c>
    </row>
    <row r="37262" spans="1:6" x14ac:dyDescent="0.25">
      <c r="A37262" s="2" t="str">
        <f t="shared" si="1243"/>
        <v>99999</v>
      </c>
      <c r="B37262" s="2" t="str">
        <f>"41659"</f>
        <v>41659</v>
      </c>
      <c r="C37262" s="1">
        <v>2.4992638631110601E-5</v>
      </c>
      <c r="D37262" s="1">
        <v>1.8211232080906399E-5</v>
      </c>
      <c r="E37262" s="1">
        <v>8.69107991013423E-6</v>
      </c>
      <c r="F37262" s="1">
        <v>2.4174887703667199E-5</v>
      </c>
    </row>
    <row r="37263" spans="1:6" x14ac:dyDescent="0.25">
      <c r="A37263" s="2" t="str">
        <f t="shared" si="1243"/>
        <v>99999</v>
      </c>
      <c r="B37263" s="2" t="str">
        <f>"41560"</f>
        <v>41560</v>
      </c>
      <c r="C37263" s="1">
        <v>1.7462105593788999E-5</v>
      </c>
      <c r="D37263" s="1">
        <v>0</v>
      </c>
      <c r="E37263" s="1">
        <v>1.3036619865201299E-5</v>
      </c>
      <c r="F37263" s="1">
        <v>1.6216076937027799E-5</v>
      </c>
    </row>
    <row r="37264" spans="1:6" x14ac:dyDescent="0.25">
      <c r="A37264" s="2" t="str">
        <f t="shared" si="1243"/>
        <v>99999</v>
      </c>
      <c r="B37264" s="2" t="str">
        <f>"41553"</f>
        <v>41553</v>
      </c>
      <c r="C37264" s="1">
        <v>1.04990909882656E-4</v>
      </c>
      <c r="D37264" s="1">
        <v>1.66936294074975E-5</v>
      </c>
      <c r="E37264" s="1">
        <v>1.17329578786812E-4</v>
      </c>
      <c r="F37264" s="1">
        <v>9.9485134582992605E-5</v>
      </c>
    </row>
    <row r="37265" spans="1:6" x14ac:dyDescent="0.25">
      <c r="A37265" s="2" t="str">
        <f t="shared" si="1243"/>
        <v>99999</v>
      </c>
      <c r="B37265" s="2" t="str">
        <f>"41542"</f>
        <v>41542</v>
      </c>
      <c r="C37265" s="1">
        <v>0</v>
      </c>
      <c r="D37265" s="1">
        <v>0</v>
      </c>
      <c r="E37265" s="1">
        <v>4.3455399550671099E-6</v>
      </c>
      <c r="F37265" s="1">
        <v>9.9485134582992598E-8</v>
      </c>
    </row>
    <row r="37266" spans="1:6" x14ac:dyDescent="0.25">
      <c r="A37266" s="2" t="str">
        <f t="shared" ref="A37266:A37329" si="1244">"99999"</f>
        <v>99999</v>
      </c>
      <c r="B37266" s="2" t="str">
        <f>"41539"</f>
        <v>41539</v>
      </c>
      <c r="C37266" s="1">
        <v>8.1962758130847406E-5</v>
      </c>
      <c r="D37266" s="1">
        <v>6.0704106936354696E-6</v>
      </c>
      <c r="E37266" s="1">
        <v>2.7376901716922799E-4</v>
      </c>
      <c r="F37266" s="1">
        <v>8.1378840088887905E-5</v>
      </c>
    </row>
    <row r="37267" spans="1:6" x14ac:dyDescent="0.25">
      <c r="A37267" s="2" t="str">
        <f t="shared" si="1244"/>
        <v>99999</v>
      </c>
      <c r="B37267" s="2" t="str">
        <f>"41064"</f>
        <v>41064</v>
      </c>
      <c r="C37267" s="1">
        <v>8.3708968690226305E-5</v>
      </c>
      <c r="D37267" s="1">
        <v>4.7045682875674899E-5</v>
      </c>
      <c r="E37267" s="1">
        <v>0</v>
      </c>
      <c r="F37267" s="1">
        <v>7.9389137397228098E-5</v>
      </c>
    </row>
    <row r="37268" spans="1:6" x14ac:dyDescent="0.25">
      <c r="A37268" s="2" t="str">
        <f t="shared" si="1244"/>
        <v>99999</v>
      </c>
      <c r="B37268" s="2" t="str">
        <f>"41055"</f>
        <v>41055</v>
      </c>
      <c r="C37268" s="1">
        <v>1.39696844750312E-5</v>
      </c>
      <c r="D37268" s="1">
        <v>0</v>
      </c>
      <c r="E37268" s="1">
        <v>0</v>
      </c>
      <c r="F37268" s="1">
        <v>1.2734097226623E-5</v>
      </c>
    </row>
    <row r="37269" spans="1:6" x14ac:dyDescent="0.25">
      <c r="A37269" s="2" t="str">
        <f t="shared" si="1244"/>
        <v>99999</v>
      </c>
      <c r="B37269" s="2" t="str">
        <f>"41044"</f>
        <v>41044</v>
      </c>
      <c r="C37269" s="1">
        <v>9.71329623654517E-6</v>
      </c>
      <c r="D37269" s="1">
        <v>0</v>
      </c>
      <c r="E37269" s="1">
        <v>0</v>
      </c>
      <c r="F37269" s="1">
        <v>8.8541769778863392E-6</v>
      </c>
    </row>
    <row r="37270" spans="1:6" x14ac:dyDescent="0.25">
      <c r="A37270" s="2" t="str">
        <f t="shared" si="1244"/>
        <v>99999</v>
      </c>
      <c r="B37270" s="2" t="str">
        <f>"41216"</f>
        <v>41216</v>
      </c>
      <c r="C37270" s="1">
        <v>6.6901692056204405E-5</v>
      </c>
      <c r="D37270" s="1">
        <v>4.5528080202265997E-6</v>
      </c>
      <c r="E37270" s="1">
        <v>2.60732397304027E-5</v>
      </c>
      <c r="F37270" s="1">
        <v>6.1879753710621403E-5</v>
      </c>
    </row>
    <row r="37271" spans="1:6" x14ac:dyDescent="0.25">
      <c r="A37271" s="2" t="str">
        <f t="shared" si="1244"/>
        <v>99999</v>
      </c>
      <c r="B37271" s="2" t="str">
        <f>"40489"</f>
        <v>40489</v>
      </c>
      <c r="C37271" s="1">
        <v>1.7462105593788999E-5</v>
      </c>
      <c r="D37271" s="1">
        <v>0</v>
      </c>
      <c r="E37271" s="1">
        <v>2.1727699775335501E-5</v>
      </c>
      <c r="F37271" s="1">
        <v>1.6415047206193701E-5</v>
      </c>
    </row>
    <row r="37272" spans="1:6" x14ac:dyDescent="0.25">
      <c r="A37272" s="2" t="str">
        <f t="shared" si="1244"/>
        <v>99999</v>
      </c>
      <c r="B37272" s="2" t="str">
        <f>"40858"</f>
        <v>40858</v>
      </c>
      <c r="C37272" s="1">
        <v>1.2987441035380599E-5</v>
      </c>
      <c r="D37272" s="1">
        <v>4.5528080202265997E-6</v>
      </c>
      <c r="E37272" s="1">
        <v>4.3455399550671099E-6</v>
      </c>
      <c r="F37272" s="1">
        <v>1.2236671553708001E-5</v>
      </c>
    </row>
    <row r="37273" spans="1:6" x14ac:dyDescent="0.25">
      <c r="A37273" s="2" t="str">
        <f t="shared" si="1244"/>
        <v>99999</v>
      </c>
      <c r="B37273" s="2" t="str">
        <f>"40808"</f>
        <v>40808</v>
      </c>
      <c r="C37273" s="1">
        <v>6.6574277576320803E-6</v>
      </c>
      <c r="D37273" s="1">
        <v>9.1056160404532095E-6</v>
      </c>
      <c r="E37273" s="1">
        <v>1.3036619865201299E-5</v>
      </c>
      <c r="F37273" s="1">
        <v>6.9639594208094801E-6</v>
      </c>
    </row>
    <row r="37274" spans="1:6" x14ac:dyDescent="0.25">
      <c r="A37274" s="2" t="str">
        <f t="shared" si="1244"/>
        <v>99999</v>
      </c>
      <c r="B37274" s="2" t="str">
        <f>"40807"</f>
        <v>40807</v>
      </c>
      <c r="C37274" s="1">
        <v>3.2741447988354498E-7</v>
      </c>
      <c r="D37274" s="1">
        <v>0</v>
      </c>
      <c r="E37274" s="1">
        <v>4.3455399550671099E-6</v>
      </c>
      <c r="F37274" s="1">
        <v>3.9794053833197002E-7</v>
      </c>
    </row>
    <row r="37275" spans="1:6" x14ac:dyDescent="0.25">
      <c r="A37275" s="2" t="str">
        <f t="shared" si="1244"/>
        <v>99999</v>
      </c>
      <c r="B37275" s="2" t="str">
        <f>"40828"</f>
        <v>40828</v>
      </c>
      <c r="C37275" s="1">
        <v>1.50283246266547E-4</v>
      </c>
      <c r="D37275" s="1">
        <v>3.7940066835221703E-5</v>
      </c>
      <c r="E37275" s="1">
        <v>3.9109859595604001E-5</v>
      </c>
      <c r="F37275" s="1">
        <v>1.4037352489660199E-4</v>
      </c>
    </row>
    <row r="37276" spans="1:6" x14ac:dyDescent="0.25">
      <c r="A37276" s="2" t="str">
        <f t="shared" si="1244"/>
        <v>99999</v>
      </c>
      <c r="B37276" s="2" t="str">
        <f>"40823"</f>
        <v>40823</v>
      </c>
      <c r="C37276" s="1">
        <v>2.0387008280748701E-4</v>
      </c>
      <c r="D37276" s="1">
        <v>3.12626150722227E-4</v>
      </c>
      <c r="E37276" s="1">
        <v>3.5198873636043602E-4</v>
      </c>
      <c r="F37276" s="1">
        <v>2.1439046502634901E-4</v>
      </c>
    </row>
    <row r="37277" spans="1:6" x14ac:dyDescent="0.25">
      <c r="A37277" s="2" t="str">
        <f t="shared" si="1244"/>
        <v>99999</v>
      </c>
      <c r="B37277" s="2" t="str">
        <f>"40472"</f>
        <v>40472</v>
      </c>
      <c r="C37277" s="1">
        <v>2.8375921589907201E-6</v>
      </c>
      <c r="D37277" s="1">
        <v>0</v>
      </c>
      <c r="E37277" s="1">
        <v>0</v>
      </c>
      <c r="F37277" s="1">
        <v>2.5866134991578E-6</v>
      </c>
    </row>
    <row r="37278" spans="1:6" x14ac:dyDescent="0.25">
      <c r="A37278" s="2" t="str">
        <f t="shared" si="1244"/>
        <v>99999</v>
      </c>
      <c r="B37278" s="2" t="str">
        <f>"40468"</f>
        <v>40468</v>
      </c>
      <c r="C37278" s="1">
        <v>6.6574277576320803E-6</v>
      </c>
      <c r="D37278" s="1">
        <v>1.51760267340886E-6</v>
      </c>
      <c r="E37278" s="1">
        <v>0</v>
      </c>
      <c r="F37278" s="1">
        <v>6.1680783441455402E-6</v>
      </c>
    </row>
    <row r="37279" spans="1:6" x14ac:dyDescent="0.25">
      <c r="A37279" s="2" t="str">
        <f t="shared" si="1244"/>
        <v>99999</v>
      </c>
      <c r="B37279" s="2" t="str">
        <f>"40481"</f>
        <v>40481</v>
      </c>
      <c r="C37279" s="1">
        <v>1.12412304760017E-5</v>
      </c>
      <c r="D37279" s="1">
        <v>0</v>
      </c>
      <c r="E37279" s="1">
        <v>4.3455399550671099E-6</v>
      </c>
      <c r="F37279" s="1">
        <v>1.03464539966312E-5</v>
      </c>
    </row>
    <row r="37280" spans="1:6" x14ac:dyDescent="0.25">
      <c r="A37280" s="2" t="str">
        <f t="shared" si="1244"/>
        <v>99999</v>
      </c>
      <c r="B37280" s="2" t="str">
        <f>"40442"</f>
        <v>40442</v>
      </c>
      <c r="C37280" s="1">
        <v>2.9576441349480199E-5</v>
      </c>
      <c r="D37280" s="1">
        <v>4.5528080202265997E-6</v>
      </c>
      <c r="E37280" s="1">
        <v>0</v>
      </c>
      <c r="F37280" s="1">
        <v>2.7258926875739899E-5</v>
      </c>
    </row>
    <row r="37281" spans="1:6" x14ac:dyDescent="0.25">
      <c r="A37281" s="2" t="str">
        <f t="shared" si="1244"/>
        <v>99999</v>
      </c>
      <c r="B37281" s="2" t="str">
        <f>"40374"</f>
        <v>40374</v>
      </c>
      <c r="C37281" s="1">
        <v>9.3858817566616205E-6</v>
      </c>
      <c r="D37281" s="1">
        <v>0</v>
      </c>
      <c r="E37281" s="1">
        <v>0</v>
      </c>
      <c r="F37281" s="1">
        <v>8.5557215741373606E-6</v>
      </c>
    </row>
    <row r="37282" spans="1:6" x14ac:dyDescent="0.25">
      <c r="A37282" s="2" t="str">
        <f t="shared" si="1244"/>
        <v>99999</v>
      </c>
      <c r="B37282" s="2" t="str">
        <f>"40317"</f>
        <v>40317</v>
      </c>
      <c r="C37282" s="1">
        <v>0</v>
      </c>
      <c r="D37282" s="1">
        <v>0</v>
      </c>
      <c r="E37282" s="1">
        <v>4.3455399550671099E-6</v>
      </c>
      <c r="F37282" s="1">
        <v>9.9485134582992598E-8</v>
      </c>
    </row>
    <row r="37283" spans="1:6" x14ac:dyDescent="0.25">
      <c r="A37283" s="2" t="str">
        <f t="shared" si="1244"/>
        <v>99999</v>
      </c>
      <c r="B37283" s="2" t="str">
        <f>"40313"</f>
        <v>40313</v>
      </c>
      <c r="C37283" s="1">
        <v>1.64362068901539E-4</v>
      </c>
      <c r="D37283" s="1">
        <v>1.8211232080906399E-5</v>
      </c>
      <c r="E37283" s="1">
        <v>3.2591549663003302E-4</v>
      </c>
      <c r="F37283" s="1">
        <v>1.58479819390707E-4</v>
      </c>
    </row>
    <row r="37284" spans="1:6" x14ac:dyDescent="0.25">
      <c r="A37284" s="2" t="str">
        <f t="shared" si="1244"/>
        <v>99999</v>
      </c>
      <c r="B37284" s="2" t="str">
        <f>"40351"</f>
        <v>40351</v>
      </c>
      <c r="C37284" s="1">
        <v>1.08919883641259E-3</v>
      </c>
      <c r="D37284" s="1">
        <v>1.13668440238324E-3</v>
      </c>
      <c r="E37284" s="1">
        <v>2.2727173965001002E-3</v>
      </c>
      <c r="F37284" s="1">
        <v>1.11940673432783E-3</v>
      </c>
    </row>
    <row r="37285" spans="1:6" x14ac:dyDescent="0.25">
      <c r="A37285" s="2" t="str">
        <f t="shared" si="1244"/>
        <v>99999</v>
      </c>
      <c r="B37285" s="2" t="str">
        <f>"40175"</f>
        <v>40175</v>
      </c>
      <c r="C37285" s="1">
        <v>2.7611954470178899E-5</v>
      </c>
      <c r="D37285" s="1">
        <v>1.51760267340886E-6</v>
      </c>
      <c r="E37285" s="1">
        <v>8.69107991013423E-6</v>
      </c>
      <c r="F37285" s="1">
        <v>2.5468194453246102E-5</v>
      </c>
    </row>
    <row r="37286" spans="1:6" x14ac:dyDescent="0.25">
      <c r="A37286" s="2" t="str">
        <f t="shared" si="1244"/>
        <v>99999</v>
      </c>
      <c r="B37286" s="2" t="str">
        <f>"40142"</f>
        <v>40142</v>
      </c>
      <c r="C37286" s="1">
        <v>3.6015592787189902E-6</v>
      </c>
      <c r="D37286" s="1">
        <v>0</v>
      </c>
      <c r="E37286" s="1">
        <v>0</v>
      </c>
      <c r="F37286" s="1">
        <v>3.2830094412387502E-6</v>
      </c>
    </row>
    <row r="37287" spans="1:6" x14ac:dyDescent="0.25">
      <c r="A37287" s="2" t="str">
        <f t="shared" si="1244"/>
        <v>99999</v>
      </c>
      <c r="B37287" s="2" t="str">
        <f>"40153"</f>
        <v>40153</v>
      </c>
      <c r="C37287" s="1">
        <v>0</v>
      </c>
      <c r="D37287" s="1">
        <v>0</v>
      </c>
      <c r="E37287" s="1">
        <v>4.3455399550671099E-6</v>
      </c>
      <c r="F37287" s="1">
        <v>9.9485134582992598E-8</v>
      </c>
    </row>
    <row r="37288" spans="1:6" x14ac:dyDescent="0.25">
      <c r="A37288" s="2" t="str">
        <f t="shared" si="1244"/>
        <v>99999</v>
      </c>
      <c r="B37288" s="2" t="str">
        <f>"40045"</f>
        <v>40045</v>
      </c>
      <c r="C37288" s="1">
        <v>1.8346124689474599E-4</v>
      </c>
      <c r="D37288" s="1">
        <v>6.6774517629990203E-5</v>
      </c>
      <c r="E37288" s="1">
        <v>1.9120375802295301E-4</v>
      </c>
      <c r="F37288" s="1">
        <v>1.7598920307731301E-4</v>
      </c>
    </row>
    <row r="37289" spans="1:6" x14ac:dyDescent="0.25">
      <c r="A37289" s="2" t="str">
        <f t="shared" si="1244"/>
        <v>99999</v>
      </c>
      <c r="B37289" s="2" t="str">
        <f>"39665"</f>
        <v>39665</v>
      </c>
      <c r="C37289" s="1">
        <v>7.7378955412477801E-5</v>
      </c>
      <c r="D37289" s="1">
        <v>1.0623218713862E-5</v>
      </c>
      <c r="E37289" s="1">
        <v>4.3455399550671099E-6</v>
      </c>
      <c r="F37289" s="1">
        <v>7.1330841496005699E-5</v>
      </c>
    </row>
    <row r="37290" spans="1:6" x14ac:dyDescent="0.25">
      <c r="A37290" s="2" t="str">
        <f t="shared" si="1244"/>
        <v>99999</v>
      </c>
      <c r="B37290" s="2" t="str">
        <f>"39657"</f>
        <v>39657</v>
      </c>
      <c r="C37290" s="1">
        <v>4.9657862782337601E-5</v>
      </c>
      <c r="D37290" s="1">
        <v>1.3658424060679801E-5</v>
      </c>
      <c r="E37290" s="1">
        <v>0</v>
      </c>
      <c r="F37290" s="1">
        <v>4.6161102446508498E-5</v>
      </c>
    </row>
    <row r="37291" spans="1:6" x14ac:dyDescent="0.25">
      <c r="A37291" s="2" t="str">
        <f t="shared" si="1244"/>
        <v>99999</v>
      </c>
      <c r="B37291" s="2" t="str">
        <f>"40008"</f>
        <v>40008</v>
      </c>
      <c r="C37291" s="1">
        <v>3.2741447988354498E-7</v>
      </c>
      <c r="D37291" s="1">
        <v>0</v>
      </c>
      <c r="E37291" s="1">
        <v>0</v>
      </c>
      <c r="F37291" s="1">
        <v>2.9845540374897701E-7</v>
      </c>
    </row>
    <row r="37292" spans="1:6" x14ac:dyDescent="0.25">
      <c r="A37292" s="2" t="str">
        <f t="shared" si="1244"/>
        <v>99999</v>
      </c>
      <c r="B37292" s="2" t="str">
        <f>"39897"</f>
        <v>39897</v>
      </c>
      <c r="C37292" s="1">
        <v>2.51126906070679E-4</v>
      </c>
      <c r="D37292" s="1">
        <v>1.6845389674838401E-4</v>
      </c>
      <c r="E37292" s="1">
        <v>2.1293145779828799E-4</v>
      </c>
      <c r="F37292" s="1">
        <v>2.4483291620874402E-4</v>
      </c>
    </row>
    <row r="37293" spans="1:6" x14ac:dyDescent="0.25">
      <c r="A37293" s="2" t="str">
        <f t="shared" si="1244"/>
        <v>99999</v>
      </c>
      <c r="B37293" s="2" t="str">
        <f>"39870"</f>
        <v>39870</v>
      </c>
      <c r="C37293" s="1">
        <v>1.19069732517649E-4</v>
      </c>
      <c r="D37293" s="1">
        <v>6.6774517629990203E-5</v>
      </c>
      <c r="E37293" s="1">
        <v>2.60732397304027E-5</v>
      </c>
      <c r="F37293" s="1">
        <v>1.1351253855919401E-4</v>
      </c>
    </row>
    <row r="37294" spans="1:6" x14ac:dyDescent="0.25">
      <c r="A37294" s="2" t="str">
        <f t="shared" si="1244"/>
        <v>99999</v>
      </c>
      <c r="B37294" s="2" t="str">
        <f>"39846"</f>
        <v>39846</v>
      </c>
      <c r="C37294" s="1">
        <v>9.1457778047470203E-5</v>
      </c>
      <c r="D37294" s="1">
        <v>4.2492874855448297E-5</v>
      </c>
      <c r="E37294" s="1">
        <v>4.3455399550671103E-5</v>
      </c>
      <c r="F37294" s="1">
        <v>8.7148977894701494E-5</v>
      </c>
    </row>
    <row r="37295" spans="1:6" x14ac:dyDescent="0.25">
      <c r="A37295" s="2" t="str">
        <f t="shared" si="1244"/>
        <v>99999</v>
      </c>
      <c r="B37295" s="2" t="str">
        <f>"39443"</f>
        <v>39443</v>
      </c>
      <c r="C37295" s="1">
        <v>5.2495454941328402E-5</v>
      </c>
      <c r="D37295" s="1">
        <v>2.1246437427724101E-5</v>
      </c>
      <c r="E37295" s="1">
        <v>0</v>
      </c>
      <c r="F37295" s="1">
        <v>4.9245141618581303E-5</v>
      </c>
    </row>
    <row r="37296" spans="1:6" x14ac:dyDescent="0.25">
      <c r="A37296" s="2" t="str">
        <f t="shared" si="1244"/>
        <v>99999</v>
      </c>
      <c r="B37296" s="2" t="str">
        <f>"39478"</f>
        <v>39478</v>
      </c>
      <c r="C37296" s="1">
        <v>1.2583629843524201E-4</v>
      </c>
      <c r="D37296" s="1">
        <v>6.6774517629990203E-5</v>
      </c>
      <c r="E37296" s="1">
        <v>8.69107991013423E-6</v>
      </c>
      <c r="F37296" s="1">
        <v>1.19282676365008E-4</v>
      </c>
    </row>
    <row r="37297" spans="1:6" x14ac:dyDescent="0.25">
      <c r="A37297" s="2" t="str">
        <f t="shared" si="1244"/>
        <v>99999</v>
      </c>
      <c r="B37297" s="2" t="str">
        <f>"39476"</f>
        <v>39476</v>
      </c>
      <c r="C37297" s="1">
        <v>1.4668168698782799E-4</v>
      </c>
      <c r="D37297" s="1">
        <v>6.0704106936354703E-5</v>
      </c>
      <c r="E37297" s="1">
        <v>0</v>
      </c>
      <c r="F37297" s="1">
        <v>1.37687426262861E-4</v>
      </c>
    </row>
    <row r="37298" spans="1:6" x14ac:dyDescent="0.25">
      <c r="A37298" s="2" t="str">
        <f t="shared" si="1244"/>
        <v>99999</v>
      </c>
      <c r="B37298" s="2" t="str">
        <f>"39354"</f>
        <v>39354</v>
      </c>
      <c r="C37298" s="1">
        <v>3.8634908626258302E-5</v>
      </c>
      <c r="D37298" s="1">
        <v>1.3658424060679801E-5</v>
      </c>
      <c r="E37298" s="1">
        <v>0</v>
      </c>
      <c r="F37298" s="1">
        <v>3.6113103853626299E-5</v>
      </c>
    </row>
    <row r="37299" spans="1:6" x14ac:dyDescent="0.25">
      <c r="A37299" s="2" t="str">
        <f t="shared" si="1244"/>
        <v>99999</v>
      </c>
      <c r="B37299" s="2" t="str">
        <f>"39339"</f>
        <v>39339</v>
      </c>
      <c r="C37299" s="1">
        <v>8.0773152187270597E-4</v>
      </c>
      <c r="D37299" s="1">
        <v>1.0926739248543801E-3</v>
      </c>
      <c r="E37299" s="1">
        <v>4.7800939505738199E-4</v>
      </c>
      <c r="F37299" s="1">
        <v>8.1886214275261199E-4</v>
      </c>
    </row>
    <row r="37300" spans="1:6" x14ac:dyDescent="0.25">
      <c r="A37300" s="2" t="str">
        <f t="shared" si="1244"/>
        <v>99999</v>
      </c>
      <c r="B37300" s="2" t="str">
        <f>"39338"</f>
        <v>39338</v>
      </c>
      <c r="C37300" s="1">
        <v>4.1363362625287799E-5</v>
      </c>
      <c r="D37300" s="1">
        <v>1.5176026734088599E-5</v>
      </c>
      <c r="E37300" s="1">
        <v>0</v>
      </c>
      <c r="F37300" s="1">
        <v>3.8699717352784098E-5</v>
      </c>
    </row>
    <row r="37301" spans="1:6" x14ac:dyDescent="0.25">
      <c r="A37301" s="2" t="str">
        <f t="shared" si="1244"/>
        <v>99999</v>
      </c>
      <c r="B37301" s="2" t="str">
        <f>"39323"</f>
        <v>39323</v>
      </c>
      <c r="C37301" s="1">
        <v>5.9480297178843999E-5</v>
      </c>
      <c r="D37301" s="1">
        <v>9.1056160404532095E-6</v>
      </c>
      <c r="E37301" s="1">
        <v>8.69107991013423E-6</v>
      </c>
      <c r="F37301" s="1">
        <v>5.5015279424394898E-5</v>
      </c>
    </row>
    <row r="37302" spans="1:6" x14ac:dyDescent="0.25">
      <c r="A37302" s="2" t="str">
        <f t="shared" si="1244"/>
        <v>99999</v>
      </c>
      <c r="B37302" s="2" t="str">
        <f>"39144"</f>
        <v>39144</v>
      </c>
      <c r="C37302" s="1">
        <v>6.3954961737252395E-5</v>
      </c>
      <c r="D37302" s="1">
        <v>1.66936294074975E-5</v>
      </c>
      <c r="E37302" s="1">
        <v>0</v>
      </c>
      <c r="F37302" s="1">
        <v>5.9392625346046603E-5</v>
      </c>
    </row>
    <row r="37303" spans="1:6" x14ac:dyDescent="0.25">
      <c r="A37303" s="2" t="str">
        <f t="shared" si="1244"/>
        <v>99999</v>
      </c>
      <c r="B37303" s="2" t="str">
        <f>"39114"</f>
        <v>39114</v>
      </c>
      <c r="C37303" s="1">
        <v>1.7462105593789001E-6</v>
      </c>
      <c r="D37303" s="1">
        <v>0</v>
      </c>
      <c r="E37303" s="1">
        <v>0</v>
      </c>
      <c r="F37303" s="1">
        <v>1.5917621533278801E-6</v>
      </c>
    </row>
    <row r="37304" spans="1:6" x14ac:dyDescent="0.25">
      <c r="A37304" s="2" t="str">
        <f t="shared" si="1244"/>
        <v>99999</v>
      </c>
      <c r="B37304" s="2" t="str">
        <f>"39111"</f>
        <v>39111</v>
      </c>
      <c r="C37304" s="1">
        <v>3.2304895348509703E-5</v>
      </c>
      <c r="D37304" s="1">
        <v>7.5880133670443404E-6</v>
      </c>
      <c r="E37304" s="1">
        <v>1.3036619865201299E-5</v>
      </c>
      <c r="F37304" s="1">
        <v>3.0243480913229702E-5</v>
      </c>
    </row>
    <row r="37305" spans="1:6" x14ac:dyDescent="0.25">
      <c r="A37305" s="2" t="str">
        <f t="shared" si="1244"/>
        <v>99999</v>
      </c>
      <c r="B37305" s="2" t="str">
        <f>"39108"</f>
        <v>39108</v>
      </c>
      <c r="C37305" s="1">
        <v>1.39915121070234E-4</v>
      </c>
      <c r="D37305" s="1">
        <v>2.2764040101133E-5</v>
      </c>
      <c r="E37305" s="1">
        <v>0</v>
      </c>
      <c r="F37305" s="1">
        <v>1.2903221955414099E-4</v>
      </c>
    </row>
    <row r="37306" spans="1:6" x14ac:dyDescent="0.25">
      <c r="A37306" s="2" t="str">
        <f t="shared" si="1244"/>
        <v>99999</v>
      </c>
      <c r="B37306" s="2" t="str">
        <f>"39096"</f>
        <v>39096</v>
      </c>
      <c r="C37306" s="1">
        <v>9.1676054367392595E-5</v>
      </c>
      <c r="D37306" s="1">
        <v>3.4904861488403899E-5</v>
      </c>
      <c r="E37306" s="1">
        <v>2.1727699775335501E-5</v>
      </c>
      <c r="F37306" s="1">
        <v>8.6353096818037601E-5</v>
      </c>
    </row>
    <row r="37307" spans="1:6" x14ac:dyDescent="0.25">
      <c r="A37307" s="2" t="str">
        <f t="shared" si="1244"/>
        <v>99999</v>
      </c>
      <c r="B37307" s="2" t="str">
        <f>"39176"</f>
        <v>39176</v>
      </c>
      <c r="C37307" s="1">
        <v>2.0408835912740901E-5</v>
      </c>
      <c r="D37307" s="1">
        <v>3.0352053468177301E-6</v>
      </c>
      <c r="E37307" s="1">
        <v>0</v>
      </c>
      <c r="F37307" s="1">
        <v>1.8802690436185601E-5</v>
      </c>
    </row>
    <row r="37308" spans="1:6" x14ac:dyDescent="0.25">
      <c r="A37308" s="2" t="str">
        <f t="shared" si="1244"/>
        <v>99999</v>
      </c>
      <c r="B37308" s="2" t="str">
        <f>"39069"</f>
        <v>39069</v>
      </c>
      <c r="C37308" s="1">
        <v>1.90773503612145E-4</v>
      </c>
      <c r="D37308" s="1">
        <v>6.8292120303399095E-5</v>
      </c>
      <c r="E37308" s="1">
        <v>3.0853333680976502E-4</v>
      </c>
      <c r="F37308" s="1">
        <v>1.8544029086269801E-4</v>
      </c>
    </row>
    <row r="37309" spans="1:6" x14ac:dyDescent="0.25">
      <c r="A37309" s="2" t="str">
        <f t="shared" si="1244"/>
        <v>99999</v>
      </c>
      <c r="B37309" s="2" t="str">
        <f>"38753"</f>
        <v>38753</v>
      </c>
      <c r="C37309" s="1">
        <v>4.4746645584084504E-6</v>
      </c>
      <c r="D37309" s="1">
        <v>1.51760267340886E-6</v>
      </c>
      <c r="E37309" s="1">
        <v>0</v>
      </c>
      <c r="F37309" s="1">
        <v>4.1783756524856902E-6</v>
      </c>
    </row>
    <row r="37310" spans="1:6" x14ac:dyDescent="0.25">
      <c r="A37310" s="2" t="str">
        <f t="shared" si="1244"/>
        <v>99999</v>
      </c>
      <c r="B37310" s="2" t="str">
        <f>"38964"</f>
        <v>38964</v>
      </c>
      <c r="C37310" s="1">
        <v>1.73529674338278E-5</v>
      </c>
      <c r="D37310" s="1">
        <v>1.8211232080906399E-5</v>
      </c>
      <c r="E37310" s="1">
        <v>0</v>
      </c>
      <c r="F37310" s="1">
        <v>1.7011958013691699E-5</v>
      </c>
    </row>
    <row r="37311" spans="1:6" x14ac:dyDescent="0.25">
      <c r="A37311" s="2" t="str">
        <f t="shared" si="1244"/>
        <v>99999</v>
      </c>
      <c r="B37311" s="2" t="str">
        <f>"38929"</f>
        <v>38929</v>
      </c>
      <c r="C37311" s="1">
        <v>3.2741447988354498E-7</v>
      </c>
      <c r="D37311" s="1">
        <v>0</v>
      </c>
      <c r="E37311" s="1">
        <v>0</v>
      </c>
      <c r="F37311" s="1">
        <v>2.9845540374897701E-7</v>
      </c>
    </row>
    <row r="37312" spans="1:6" x14ac:dyDescent="0.25">
      <c r="A37312" s="2" t="str">
        <f t="shared" si="1244"/>
        <v>99999</v>
      </c>
      <c r="B37312" s="2" t="str">
        <f>"38927"</f>
        <v>38927</v>
      </c>
      <c r="C37312" s="1">
        <v>1.1645041667858E-4</v>
      </c>
      <c r="D37312" s="1">
        <v>3.4904861488403899E-5</v>
      </c>
      <c r="E37312" s="1">
        <v>0</v>
      </c>
      <c r="F37312" s="1">
        <v>1.0843879669546099E-4</v>
      </c>
    </row>
    <row r="37313" spans="1:6" x14ac:dyDescent="0.25">
      <c r="A37313" s="2" t="str">
        <f t="shared" si="1244"/>
        <v>99999</v>
      </c>
      <c r="B37313" s="2" t="str">
        <f>"38846"</f>
        <v>38846</v>
      </c>
      <c r="C37313" s="1">
        <v>1.5606756874448901E-5</v>
      </c>
      <c r="D37313" s="1">
        <v>3.4904861488403899E-5</v>
      </c>
      <c r="E37313" s="1">
        <v>0</v>
      </c>
      <c r="F37313" s="1">
        <v>1.65145323407767E-5</v>
      </c>
    </row>
    <row r="37314" spans="1:6" x14ac:dyDescent="0.25">
      <c r="A37314" s="2" t="str">
        <f t="shared" si="1244"/>
        <v>99999</v>
      </c>
      <c r="B37314" s="2" t="str">
        <f>"38847"</f>
        <v>38847</v>
      </c>
      <c r="C37314" s="1">
        <v>4.1909053425093703E-5</v>
      </c>
      <c r="D37314" s="1">
        <v>6.2221709609763595E-5</v>
      </c>
      <c r="E37314" s="1">
        <v>4.3455399550671099E-6</v>
      </c>
      <c r="F37314" s="1">
        <v>4.2380667332354799E-5</v>
      </c>
    </row>
    <row r="37315" spans="1:6" x14ac:dyDescent="0.25">
      <c r="A37315" s="2" t="str">
        <f t="shared" si="1244"/>
        <v>99999</v>
      </c>
      <c r="B37315" s="2" t="str">
        <f>"38875"</f>
        <v>38875</v>
      </c>
      <c r="C37315" s="1">
        <v>0</v>
      </c>
      <c r="D37315" s="1">
        <v>1.51760267340886E-6</v>
      </c>
      <c r="E37315" s="1">
        <v>0</v>
      </c>
      <c r="F37315" s="1">
        <v>9.9485134582992598E-8</v>
      </c>
    </row>
    <row r="37316" spans="1:6" x14ac:dyDescent="0.25">
      <c r="A37316" s="2" t="str">
        <f t="shared" si="1244"/>
        <v>99999</v>
      </c>
      <c r="B37316" s="2" t="str">
        <f>"38920"</f>
        <v>38920</v>
      </c>
      <c r="C37316" s="1">
        <v>8.0107409411507298E-5</v>
      </c>
      <c r="D37316" s="1">
        <v>1.9728834754315301E-5</v>
      </c>
      <c r="E37316" s="1">
        <v>4.3455399550671099E-6</v>
      </c>
      <c r="F37316" s="1">
        <v>7.4414880668078402E-5</v>
      </c>
    </row>
    <row r="37317" spans="1:6" x14ac:dyDescent="0.25">
      <c r="A37317" s="2" t="str">
        <f t="shared" si="1244"/>
        <v>99999</v>
      </c>
      <c r="B37317" s="2" t="str">
        <f>"38643"</f>
        <v>38643</v>
      </c>
      <c r="C37317" s="1">
        <v>9.1239501727547893E-5</v>
      </c>
      <c r="D37317" s="1">
        <v>3.1869656141586203E-5</v>
      </c>
      <c r="E37317" s="1">
        <v>6.0837559370939603E-5</v>
      </c>
      <c r="F37317" s="1">
        <v>8.6651552221786495E-5</v>
      </c>
    </row>
    <row r="37318" spans="1:6" x14ac:dyDescent="0.25">
      <c r="A37318" s="2" t="str">
        <f t="shared" si="1244"/>
        <v>99999</v>
      </c>
      <c r="B37318" s="2" t="str">
        <f>"38635"</f>
        <v>38635</v>
      </c>
      <c r="C37318" s="1">
        <v>2.61931583906836E-5</v>
      </c>
      <c r="D37318" s="1">
        <v>3.0352053468177301E-6</v>
      </c>
      <c r="E37318" s="1">
        <v>0</v>
      </c>
      <c r="F37318" s="1">
        <v>2.40754025690842E-5</v>
      </c>
    </row>
    <row r="37319" spans="1:6" x14ac:dyDescent="0.25">
      <c r="A37319" s="2" t="str">
        <f t="shared" si="1244"/>
        <v>99999</v>
      </c>
      <c r="B37319" s="2" t="str">
        <f>"38475"</f>
        <v>38475</v>
      </c>
      <c r="C37319" s="1">
        <v>4.4855783744045598E-5</v>
      </c>
      <c r="D37319" s="1">
        <v>6.0704106936354696E-6</v>
      </c>
      <c r="E37319" s="1">
        <v>4.3455399550671099E-6</v>
      </c>
      <c r="F37319" s="1">
        <v>4.1385815986524902E-5</v>
      </c>
    </row>
    <row r="37320" spans="1:6" x14ac:dyDescent="0.25">
      <c r="A37320" s="2" t="str">
        <f t="shared" si="1244"/>
        <v>99999</v>
      </c>
      <c r="B37320" s="2" t="str">
        <f>"38453"</f>
        <v>38453</v>
      </c>
      <c r="C37320" s="1">
        <v>2.52109149510329E-5</v>
      </c>
      <c r="D37320" s="1">
        <v>1.21408213872709E-5</v>
      </c>
      <c r="E37320" s="1">
        <v>1.3036619865201299E-5</v>
      </c>
      <c r="F37320" s="1">
        <v>2.40754025690842E-5</v>
      </c>
    </row>
    <row r="37321" spans="1:6" x14ac:dyDescent="0.25">
      <c r="A37321" s="2" t="str">
        <f t="shared" si="1244"/>
        <v>99999</v>
      </c>
      <c r="B37321" s="2" t="str">
        <f>"38376"</f>
        <v>38376</v>
      </c>
      <c r="C37321" s="1">
        <v>2.08453885525857E-5</v>
      </c>
      <c r="D37321" s="1">
        <v>1.66936294074975E-5</v>
      </c>
      <c r="E37321" s="1">
        <v>0</v>
      </c>
      <c r="F37321" s="1">
        <v>2.00959971857645E-5</v>
      </c>
    </row>
    <row r="37322" spans="1:6" x14ac:dyDescent="0.25">
      <c r="A37322" s="2" t="str">
        <f t="shared" si="1244"/>
        <v>99999</v>
      </c>
      <c r="B37322" s="2" t="str">
        <f>"38617"</f>
        <v>38617</v>
      </c>
      <c r="C37322" s="1">
        <v>5.4569079980590801E-7</v>
      </c>
      <c r="D37322" s="1">
        <v>0</v>
      </c>
      <c r="E37322" s="1">
        <v>0</v>
      </c>
      <c r="F37322" s="1">
        <v>4.9742567291496303E-7</v>
      </c>
    </row>
    <row r="37323" spans="1:6" x14ac:dyDescent="0.25">
      <c r="A37323" s="2" t="str">
        <f t="shared" si="1244"/>
        <v>99999</v>
      </c>
      <c r="B37323" s="2" t="str">
        <f>"38625"</f>
        <v>38625</v>
      </c>
      <c r="C37323" s="1">
        <v>6.02442642985723E-5</v>
      </c>
      <c r="D37323" s="1">
        <v>2.5799245447950699E-5</v>
      </c>
      <c r="E37323" s="1">
        <v>2.1727699775335501E-5</v>
      </c>
      <c r="F37323" s="1">
        <v>5.7104467250637698E-5</v>
      </c>
    </row>
    <row r="37324" spans="1:6" x14ac:dyDescent="0.25">
      <c r="A37324" s="2" t="str">
        <f t="shared" si="1244"/>
        <v>99999</v>
      </c>
      <c r="B37324" s="2" t="str">
        <f>"38621"</f>
        <v>38621</v>
      </c>
      <c r="C37324" s="1">
        <v>6.6028586776514895E-5</v>
      </c>
      <c r="D37324" s="1">
        <v>6.2221709609763595E-5</v>
      </c>
      <c r="E37324" s="1">
        <v>3.0418779685469802E-5</v>
      </c>
      <c r="F37324" s="1">
        <v>6.4963792882694106E-5</v>
      </c>
    </row>
    <row r="37325" spans="1:6" x14ac:dyDescent="0.25">
      <c r="A37325" s="2" t="str">
        <f t="shared" si="1244"/>
        <v>99999</v>
      </c>
      <c r="B37325" s="2" t="str">
        <f>"38572"</f>
        <v>38572</v>
      </c>
      <c r="C37325" s="1">
        <v>3.2195757188548602E-5</v>
      </c>
      <c r="D37325" s="1">
        <v>4.5528080202265997E-6</v>
      </c>
      <c r="E37325" s="1">
        <v>0</v>
      </c>
      <c r="F37325" s="1">
        <v>2.9646570105731799E-5</v>
      </c>
    </row>
    <row r="37326" spans="1:6" x14ac:dyDescent="0.25">
      <c r="A37326" s="2" t="str">
        <f t="shared" si="1244"/>
        <v>99999</v>
      </c>
      <c r="B37326" s="2" t="str">
        <f>"38371"</f>
        <v>38371</v>
      </c>
      <c r="C37326" s="1">
        <v>8.3272416050381604E-5</v>
      </c>
      <c r="D37326" s="1">
        <v>1.21408213872709E-5</v>
      </c>
      <c r="E37326" s="1">
        <v>0</v>
      </c>
      <c r="F37326" s="1">
        <v>7.6703038763487294E-5</v>
      </c>
    </row>
    <row r="37327" spans="1:6" x14ac:dyDescent="0.25">
      <c r="A37327" s="2" t="str">
        <f t="shared" si="1244"/>
        <v>99999</v>
      </c>
      <c r="B37327" s="2" t="str">
        <f>"38357"</f>
        <v>38357</v>
      </c>
      <c r="C37327" s="1">
        <v>1.66872246580646E-4</v>
      </c>
      <c r="D37327" s="1">
        <v>5.15984908959015E-5</v>
      </c>
      <c r="E37327" s="1">
        <v>8.69107991013423E-6</v>
      </c>
      <c r="F37327" s="1">
        <v>1.5569423562238299E-4</v>
      </c>
    </row>
    <row r="37328" spans="1:6" x14ac:dyDescent="0.25">
      <c r="A37328" s="2" t="str">
        <f t="shared" si="1244"/>
        <v>99999</v>
      </c>
      <c r="B37328" s="2" t="str">
        <f>"38356"</f>
        <v>38356</v>
      </c>
      <c r="C37328" s="1">
        <v>3.3396276948121598E-5</v>
      </c>
      <c r="D37328" s="1">
        <v>7.5880133670443404E-6</v>
      </c>
      <c r="E37328" s="1">
        <v>0</v>
      </c>
      <c r="F37328" s="1">
        <v>3.0939876855310701E-5</v>
      </c>
    </row>
    <row r="37329" spans="1:6" x14ac:dyDescent="0.25">
      <c r="A37329" s="2" t="str">
        <f t="shared" si="1244"/>
        <v>99999</v>
      </c>
      <c r="B37329" s="2" t="str">
        <f>"38551"</f>
        <v>38551</v>
      </c>
      <c r="C37329" s="1">
        <v>3.6943267146860001E-4</v>
      </c>
      <c r="D37329" s="1">
        <v>2.4736923576564501E-4</v>
      </c>
      <c r="E37329" s="1">
        <v>1.3036619865201299E-5</v>
      </c>
      <c r="F37329" s="1">
        <v>3.5327171290420599E-4</v>
      </c>
    </row>
    <row r="37330" spans="1:6" x14ac:dyDescent="0.25">
      <c r="A37330" s="2" t="str">
        <f t="shared" ref="A37330:A37393" si="1245">"99999"</f>
        <v>99999</v>
      </c>
      <c r="B37330" s="2" t="str">
        <f>"38544"</f>
        <v>38544</v>
      </c>
      <c r="C37330" s="1">
        <v>2.4228671511382299E-5</v>
      </c>
      <c r="D37330" s="1">
        <v>4.5528080202265997E-6</v>
      </c>
      <c r="E37330" s="1">
        <v>8.69107991013423E-6</v>
      </c>
      <c r="F37330" s="1">
        <v>2.2583125550339301E-5</v>
      </c>
    </row>
    <row r="37331" spans="1:6" x14ac:dyDescent="0.25">
      <c r="A37331" s="2" t="str">
        <f t="shared" si="1245"/>
        <v>99999</v>
      </c>
      <c r="B37331" s="2" t="str">
        <f>"38329"</f>
        <v>38329</v>
      </c>
      <c r="C37331" s="1">
        <v>2.5036293895094999E-4</v>
      </c>
      <c r="D37331" s="1">
        <v>2.5040444111246299E-4</v>
      </c>
      <c r="E37331" s="1">
        <v>5.6492019415872502E-5</v>
      </c>
      <c r="F37331" s="1">
        <v>2.4592725268915698E-4</v>
      </c>
    </row>
    <row r="37332" spans="1:6" x14ac:dyDescent="0.25">
      <c r="A37332" s="2" t="str">
        <f t="shared" si="1245"/>
        <v>99999</v>
      </c>
      <c r="B37332" s="2" t="str">
        <f>"38318"</f>
        <v>38318</v>
      </c>
      <c r="C37332" s="1">
        <v>3.5469901987384003E-5</v>
      </c>
      <c r="D37332" s="1">
        <v>7.5880133670443404E-6</v>
      </c>
      <c r="E37332" s="1">
        <v>0</v>
      </c>
      <c r="F37332" s="1">
        <v>3.2830094412387497E-5</v>
      </c>
    </row>
    <row r="37333" spans="1:6" x14ac:dyDescent="0.25">
      <c r="A37333" s="2" t="str">
        <f t="shared" si="1245"/>
        <v>99999</v>
      </c>
      <c r="B37333" s="2" t="str">
        <f>"38077"</f>
        <v>38077</v>
      </c>
      <c r="C37333" s="1">
        <v>0</v>
      </c>
      <c r="D37333" s="1">
        <v>1.51760267340886E-6</v>
      </c>
      <c r="E37333" s="1">
        <v>0</v>
      </c>
      <c r="F37333" s="1">
        <v>9.9485134582992598E-8</v>
      </c>
    </row>
    <row r="37334" spans="1:6" x14ac:dyDescent="0.25">
      <c r="A37334" s="2" t="str">
        <f t="shared" si="1245"/>
        <v>99999</v>
      </c>
      <c r="B37334" s="2" t="str">
        <f>"38044"</f>
        <v>38044</v>
      </c>
      <c r="C37334" s="1">
        <v>4.9330448302454102E-5</v>
      </c>
      <c r="D37334" s="1">
        <v>3.4904861488403899E-5</v>
      </c>
      <c r="E37334" s="1">
        <v>1.7382159820268399E-5</v>
      </c>
      <c r="F37334" s="1">
        <v>4.7653379465253401E-5</v>
      </c>
    </row>
    <row r="37335" spans="1:6" x14ac:dyDescent="0.25">
      <c r="A37335" s="2" t="str">
        <f t="shared" si="1245"/>
        <v>99999</v>
      </c>
      <c r="B37335" s="2" t="str">
        <f>"38039"</f>
        <v>38039</v>
      </c>
      <c r="C37335" s="1">
        <v>8.1526205491002705E-5</v>
      </c>
      <c r="D37335" s="1">
        <v>1.01679379118394E-4</v>
      </c>
      <c r="E37335" s="1">
        <v>0</v>
      </c>
      <c r="F37335" s="1">
        <v>8.0980899550556006E-5</v>
      </c>
    </row>
    <row r="37336" spans="1:6" x14ac:dyDescent="0.25">
      <c r="A37336" s="2" t="str">
        <f t="shared" si="1245"/>
        <v>99999</v>
      </c>
      <c r="B37336" s="2" t="str">
        <f>"37885"</f>
        <v>37885</v>
      </c>
      <c r="C37336" s="1">
        <v>3.7761803346568799E-4</v>
      </c>
      <c r="D37336" s="1">
        <v>4.1582313251402997E-4</v>
      </c>
      <c r="E37336" s="1">
        <v>1.6513051829255E-4</v>
      </c>
      <c r="F37336" s="1">
        <v>3.7525792764704798E-4</v>
      </c>
    </row>
    <row r="37337" spans="1:6" x14ac:dyDescent="0.25">
      <c r="A37337" s="2" t="str">
        <f t="shared" si="1245"/>
        <v>99999</v>
      </c>
      <c r="B37337" s="2" t="str">
        <f>"37870"</f>
        <v>37870</v>
      </c>
      <c r="C37337" s="1">
        <v>1.9524816817055401E-4</v>
      </c>
      <c r="D37337" s="1">
        <v>6.9809722976807906E-5</v>
      </c>
      <c r="E37337" s="1">
        <v>0</v>
      </c>
      <c r="F37337" s="1">
        <v>1.82555221959791E-4</v>
      </c>
    </row>
    <row r="37338" spans="1:6" x14ac:dyDescent="0.25">
      <c r="A37338" s="2" t="str">
        <f t="shared" si="1245"/>
        <v>99999</v>
      </c>
      <c r="B37338" s="2" t="str">
        <f>"37765"</f>
        <v>37765</v>
      </c>
      <c r="C37338" s="1">
        <v>3.6124730947151102E-5</v>
      </c>
      <c r="D37338" s="1">
        <v>1.8211232080906399E-5</v>
      </c>
      <c r="E37338" s="1">
        <v>4.3455399550671099E-6</v>
      </c>
      <c r="F37338" s="1">
        <v>3.4222886296549402E-5</v>
      </c>
    </row>
    <row r="37339" spans="1:6" x14ac:dyDescent="0.25">
      <c r="A37339" s="2" t="str">
        <f t="shared" si="1245"/>
        <v>99999</v>
      </c>
      <c r="B37339" s="2" t="str">
        <f>"37366"</f>
        <v>37366</v>
      </c>
      <c r="C37339" s="1">
        <v>5.3477698380979E-5</v>
      </c>
      <c r="D37339" s="1">
        <v>4.0975272182039399E-5</v>
      </c>
      <c r="E37339" s="1">
        <v>0</v>
      </c>
      <c r="F37339" s="1">
        <v>5.1433814579407101E-5</v>
      </c>
    </row>
    <row r="37340" spans="1:6" x14ac:dyDescent="0.25">
      <c r="A37340" s="2" t="str">
        <f t="shared" si="1245"/>
        <v>99999</v>
      </c>
      <c r="B37340" s="2" t="str">
        <f>"37354"</f>
        <v>37354</v>
      </c>
      <c r="C37340" s="1">
        <v>9.7929670933168296E-4</v>
      </c>
      <c r="D37340" s="1">
        <v>1.0395578312850701E-3</v>
      </c>
      <c r="E37340" s="1">
        <v>1.1124582284971799E-3</v>
      </c>
      <c r="F37340" s="1">
        <v>9.8629562425578909E-4</v>
      </c>
    </row>
    <row r="37341" spans="1:6" x14ac:dyDescent="0.25">
      <c r="A37341" s="2" t="str">
        <f t="shared" si="1245"/>
        <v>99999</v>
      </c>
      <c r="B37341" s="2" t="str">
        <f>"37337"</f>
        <v>37337</v>
      </c>
      <c r="C37341" s="1">
        <v>1.85534871934008E-6</v>
      </c>
      <c r="D37341" s="1">
        <v>0</v>
      </c>
      <c r="E37341" s="1">
        <v>0</v>
      </c>
      <c r="F37341" s="1">
        <v>1.6912472879108699E-6</v>
      </c>
    </row>
    <row r="37342" spans="1:6" x14ac:dyDescent="0.25">
      <c r="A37342" s="2" t="str">
        <f t="shared" si="1245"/>
        <v>99999</v>
      </c>
      <c r="B37342" s="2" t="str">
        <f>"37381"</f>
        <v>37381</v>
      </c>
      <c r="C37342" s="1">
        <v>6.8647902615583305E-5</v>
      </c>
      <c r="D37342" s="1">
        <v>1.66936294074975E-5</v>
      </c>
      <c r="E37342" s="1">
        <v>0</v>
      </c>
      <c r="F37342" s="1">
        <v>6.36704861331152E-5</v>
      </c>
    </row>
    <row r="37343" spans="1:6" x14ac:dyDescent="0.25">
      <c r="A37343" s="2" t="str">
        <f t="shared" si="1245"/>
        <v>99999</v>
      </c>
      <c r="B37343" s="2" t="str">
        <f>"37321"</f>
        <v>37321</v>
      </c>
      <c r="C37343" s="1">
        <v>1.3205717355302901E-5</v>
      </c>
      <c r="D37343" s="1">
        <v>1.51760267340886E-6</v>
      </c>
      <c r="E37343" s="1">
        <v>3.0418779685469802E-5</v>
      </c>
      <c r="F37343" s="1">
        <v>1.2833582361206E-5</v>
      </c>
    </row>
    <row r="37344" spans="1:6" x14ac:dyDescent="0.25">
      <c r="A37344" s="2" t="str">
        <f t="shared" si="1245"/>
        <v>99999</v>
      </c>
      <c r="B37344" s="2" t="str">
        <f>"37181"</f>
        <v>37181</v>
      </c>
      <c r="C37344" s="1">
        <v>2.24824609520034E-5</v>
      </c>
      <c r="D37344" s="1">
        <v>6.0704106936354696E-6</v>
      </c>
      <c r="E37344" s="1">
        <v>8.69107991013423E-6</v>
      </c>
      <c r="F37344" s="1">
        <v>2.1090848531594401E-5</v>
      </c>
    </row>
    <row r="37345" spans="1:6" x14ac:dyDescent="0.25">
      <c r="A37345" s="2" t="str">
        <f t="shared" si="1245"/>
        <v>99999</v>
      </c>
      <c r="B37345" s="2" t="str">
        <f>"37025"</f>
        <v>37025</v>
      </c>
      <c r="C37345" s="1">
        <v>2.5440105086951402E-4</v>
      </c>
      <c r="D37345" s="1">
        <v>1.21408213872709E-4</v>
      </c>
      <c r="E37345" s="1">
        <v>0</v>
      </c>
      <c r="F37345" s="1">
        <v>2.39858659479595E-4</v>
      </c>
    </row>
    <row r="37346" spans="1:6" x14ac:dyDescent="0.25">
      <c r="A37346" s="2" t="str">
        <f t="shared" si="1245"/>
        <v>99999</v>
      </c>
      <c r="B37346" s="2" t="str">
        <f>"37012"</f>
        <v>37012</v>
      </c>
      <c r="C37346" s="1">
        <v>1.1175747580025E-4</v>
      </c>
      <c r="D37346" s="1">
        <v>5.9186504262945899E-5</v>
      </c>
      <c r="E37346" s="1">
        <v>2.60732397304027E-5</v>
      </c>
      <c r="F37346" s="1">
        <v>1.0634960886921899E-4</v>
      </c>
    </row>
    <row r="37347" spans="1:6" x14ac:dyDescent="0.25">
      <c r="A37347" s="2" t="str">
        <f t="shared" si="1245"/>
        <v>99999</v>
      </c>
      <c r="B37347" s="2" t="str">
        <f>"36919"</f>
        <v>36919</v>
      </c>
      <c r="C37347" s="1">
        <v>1.1612300219869699E-4</v>
      </c>
      <c r="D37347" s="1">
        <v>5.9186504262945899E-5</v>
      </c>
      <c r="E37347" s="1">
        <v>0</v>
      </c>
      <c r="F37347" s="1">
        <v>1.0973210344503999E-4</v>
      </c>
    </row>
    <row r="37348" spans="1:6" x14ac:dyDescent="0.25">
      <c r="A37348" s="2" t="str">
        <f t="shared" si="1245"/>
        <v>99999</v>
      </c>
      <c r="B37348" s="2" t="str">
        <f>"37047"</f>
        <v>37047</v>
      </c>
      <c r="C37348" s="1">
        <v>1.73529674338278E-5</v>
      </c>
      <c r="D37348" s="1">
        <v>1.5176026734088599E-5</v>
      </c>
      <c r="E37348" s="1">
        <v>0</v>
      </c>
      <c r="F37348" s="1">
        <v>1.6812987744525699E-5</v>
      </c>
    </row>
    <row r="37349" spans="1:6" x14ac:dyDescent="0.25">
      <c r="A37349" s="2" t="str">
        <f t="shared" si="1245"/>
        <v>99999</v>
      </c>
      <c r="B37349" s="2" t="str">
        <f>"36786"</f>
        <v>36786</v>
      </c>
      <c r="C37349" s="1">
        <v>1.4428064746868199E-4</v>
      </c>
      <c r="D37349" s="1">
        <v>4.5528080202266E-5</v>
      </c>
      <c r="E37349" s="1">
        <v>2.3465915757362401E-4</v>
      </c>
      <c r="F37349" s="1">
        <v>1.3987609922368701E-4</v>
      </c>
    </row>
    <row r="37350" spans="1:6" x14ac:dyDescent="0.25">
      <c r="A37350" s="2" t="str">
        <f t="shared" si="1245"/>
        <v>99999</v>
      </c>
      <c r="B37350" s="2" t="str">
        <f>"36745"</f>
        <v>36745</v>
      </c>
      <c r="C37350" s="1">
        <v>0</v>
      </c>
      <c r="D37350" s="1">
        <v>1.51760267340886E-6</v>
      </c>
      <c r="E37350" s="1">
        <v>0</v>
      </c>
      <c r="F37350" s="1">
        <v>9.9485134582992598E-8</v>
      </c>
    </row>
    <row r="37351" spans="1:6" x14ac:dyDescent="0.25">
      <c r="A37351" s="2" t="str">
        <f t="shared" si="1245"/>
        <v>99999</v>
      </c>
      <c r="B37351" s="2" t="str">
        <f>"36764"</f>
        <v>36764</v>
      </c>
      <c r="C37351" s="1">
        <v>0</v>
      </c>
      <c r="D37351" s="1">
        <v>0</v>
      </c>
      <c r="E37351" s="1">
        <v>4.3455399550671099E-6</v>
      </c>
      <c r="F37351" s="1">
        <v>9.9485134582992598E-8</v>
      </c>
    </row>
    <row r="37352" spans="1:6" x14ac:dyDescent="0.25">
      <c r="A37352" s="2" t="str">
        <f t="shared" si="1245"/>
        <v>99999</v>
      </c>
      <c r="B37352" s="2" t="str">
        <f>"36782"</f>
        <v>36782</v>
      </c>
      <c r="C37352" s="1">
        <v>1.3904201579054501E-4</v>
      </c>
      <c r="D37352" s="1">
        <v>2.7316848121359601E-5</v>
      </c>
      <c r="E37352" s="1">
        <v>8.2565259146275205E-5</v>
      </c>
      <c r="F37352" s="1">
        <v>1.3042501143830301E-4</v>
      </c>
    </row>
    <row r="37353" spans="1:6" x14ac:dyDescent="0.25">
      <c r="A37353" s="2" t="str">
        <f t="shared" si="1245"/>
        <v>99999</v>
      </c>
      <c r="B37353" s="2" t="str">
        <f>"36483"</f>
        <v>36483</v>
      </c>
      <c r="C37353" s="1">
        <v>2.2045908312158699E-5</v>
      </c>
      <c r="D37353" s="1">
        <v>1.0623218713862E-5</v>
      </c>
      <c r="E37353" s="1">
        <v>0</v>
      </c>
      <c r="F37353" s="1">
        <v>2.0792393127845399E-5</v>
      </c>
    </row>
    <row r="37354" spans="1:6" x14ac:dyDescent="0.25">
      <c r="A37354" s="2" t="str">
        <f t="shared" si="1245"/>
        <v>99999</v>
      </c>
      <c r="B37354" s="2" t="str">
        <f>"36480"</f>
        <v>36480</v>
      </c>
      <c r="C37354" s="1">
        <v>1.0335383748323901E-4</v>
      </c>
      <c r="D37354" s="1">
        <v>3.0352053468177301E-5</v>
      </c>
      <c r="E37354" s="1">
        <v>1.7382159820268399E-5</v>
      </c>
      <c r="F37354" s="1">
        <v>9.6600065680085804E-5</v>
      </c>
    </row>
    <row r="37355" spans="1:6" x14ac:dyDescent="0.25">
      <c r="A37355" s="2" t="str">
        <f t="shared" si="1245"/>
        <v>99999</v>
      </c>
      <c r="B37355" s="2" t="str">
        <f>"36442"</f>
        <v>36442</v>
      </c>
      <c r="C37355" s="1">
        <v>3.1759204548703802E-4</v>
      </c>
      <c r="D37355" s="1">
        <v>5.2053771697924199E-4</v>
      </c>
      <c r="E37355" s="1">
        <v>3.4764319640536898E-4</v>
      </c>
      <c r="F37355" s="1">
        <v>3.3158395356511401E-4</v>
      </c>
    </row>
    <row r="37356" spans="1:6" x14ac:dyDescent="0.25">
      <c r="A37356" s="2" t="str">
        <f t="shared" si="1245"/>
        <v>99999</v>
      </c>
      <c r="B37356" s="2" t="str">
        <f>"36268"</f>
        <v>36268</v>
      </c>
      <c r="C37356" s="1">
        <v>3.1650066388742701E-6</v>
      </c>
      <c r="D37356" s="1">
        <v>0</v>
      </c>
      <c r="E37356" s="1">
        <v>0</v>
      </c>
      <c r="F37356" s="1">
        <v>2.8850689029067799E-6</v>
      </c>
    </row>
    <row r="37357" spans="1:6" x14ac:dyDescent="0.25">
      <c r="A37357" s="2" t="str">
        <f t="shared" si="1245"/>
        <v>99999</v>
      </c>
      <c r="B37357" s="2" t="str">
        <f>"36037"</f>
        <v>36037</v>
      </c>
      <c r="C37357" s="1">
        <v>8.39927279061254E-4</v>
      </c>
      <c r="D37357" s="1">
        <v>1.4781450039002299E-3</v>
      </c>
      <c r="E37357" s="1">
        <v>6.6921315308033497E-4</v>
      </c>
      <c r="F37357" s="1">
        <v>8.7785682756032701E-4</v>
      </c>
    </row>
    <row r="37358" spans="1:6" x14ac:dyDescent="0.25">
      <c r="A37358" s="2" t="str">
        <f t="shared" si="1245"/>
        <v>99999</v>
      </c>
      <c r="B37358" s="2" t="str">
        <f>"36036"</f>
        <v>36036</v>
      </c>
      <c r="C37358" s="1">
        <v>4.9112171982531698E-5</v>
      </c>
      <c r="D37358" s="1">
        <v>2.5799245447950699E-5</v>
      </c>
      <c r="E37358" s="1">
        <v>0</v>
      </c>
      <c r="F37358" s="1">
        <v>4.6459557850257501E-5</v>
      </c>
    </row>
    <row r="37359" spans="1:6" x14ac:dyDescent="0.25">
      <c r="A37359" s="2" t="str">
        <f t="shared" si="1245"/>
        <v>99999</v>
      </c>
      <c r="B37359" s="2" t="str">
        <f>"36089"</f>
        <v>36089</v>
      </c>
      <c r="C37359" s="1">
        <v>4.5554267967797202E-4</v>
      </c>
      <c r="D37359" s="1">
        <v>6.3132271213808897E-4</v>
      </c>
      <c r="E37359" s="1">
        <v>1.9120375802295301E-4</v>
      </c>
      <c r="F37359" s="1">
        <v>4.6101411365758702E-4</v>
      </c>
    </row>
    <row r="37360" spans="1:6" x14ac:dyDescent="0.25">
      <c r="A37360" s="2" t="str">
        <f t="shared" si="1245"/>
        <v>99999</v>
      </c>
      <c r="B37360" s="2" t="str">
        <f>"35586"</f>
        <v>35586</v>
      </c>
      <c r="C37360" s="1">
        <v>2.5953054438768999E-4</v>
      </c>
      <c r="D37360" s="1">
        <v>6.9809722976807906E-5</v>
      </c>
      <c r="E37360" s="1">
        <v>3.2156995667496598E-4</v>
      </c>
      <c r="F37360" s="1">
        <v>2.4851386618831499E-4</v>
      </c>
    </row>
    <row r="37361" spans="1:6" x14ac:dyDescent="0.25">
      <c r="A37361" s="2" t="str">
        <f t="shared" si="1245"/>
        <v>99999</v>
      </c>
      <c r="B37361" s="2" t="str">
        <f>"35578"</f>
        <v>35578</v>
      </c>
      <c r="C37361" s="1">
        <v>4.7256823263191603E-5</v>
      </c>
      <c r="D37361" s="1">
        <v>1.66936294074975E-5</v>
      </c>
      <c r="E37361" s="1">
        <v>2.60732397304027E-5</v>
      </c>
      <c r="F37361" s="1">
        <v>4.47683105623466E-5</v>
      </c>
    </row>
    <row r="37362" spans="1:6" x14ac:dyDescent="0.25">
      <c r="A37362" s="2" t="str">
        <f t="shared" si="1245"/>
        <v>99999</v>
      </c>
      <c r="B37362" s="2" t="str">
        <f>"35571"</f>
        <v>35571</v>
      </c>
      <c r="C37362" s="1">
        <v>6.7338244696049106E-5</v>
      </c>
      <c r="D37362" s="1">
        <v>3.3387258814995101E-5</v>
      </c>
      <c r="E37362" s="1">
        <v>8.69107991013423E-6</v>
      </c>
      <c r="F37362" s="1">
        <v>6.3769971267698205E-5</v>
      </c>
    </row>
    <row r="37363" spans="1:6" x14ac:dyDescent="0.25">
      <c r="A37363" s="2" t="str">
        <f t="shared" si="1245"/>
        <v>99999</v>
      </c>
      <c r="B37363" s="2" t="str">
        <f>"35565"</f>
        <v>35565</v>
      </c>
      <c r="C37363" s="1">
        <v>7.9725425851643196E-4</v>
      </c>
      <c r="D37363" s="1">
        <v>9.3636084949327196E-4</v>
      </c>
      <c r="E37363" s="1">
        <v>1.4557558849474801E-3</v>
      </c>
      <c r="F37363" s="1">
        <v>8.2144875625176999E-4</v>
      </c>
    </row>
    <row r="37364" spans="1:6" x14ac:dyDescent="0.25">
      <c r="A37364" s="2" t="str">
        <f t="shared" si="1245"/>
        <v>99999</v>
      </c>
      <c r="B37364" s="2" t="str">
        <f>"35581"</f>
        <v>35581</v>
      </c>
      <c r="C37364" s="1">
        <v>3.25013440364399E-4</v>
      </c>
      <c r="D37364" s="1">
        <v>1.6845389674838401E-4</v>
      </c>
      <c r="E37364" s="1">
        <v>3.2591549663003302E-4</v>
      </c>
      <c r="F37364" s="1">
        <v>3.1477096582058803E-4</v>
      </c>
    </row>
    <row r="37365" spans="1:6" x14ac:dyDescent="0.25">
      <c r="A37365" s="2" t="str">
        <f t="shared" si="1245"/>
        <v>99999</v>
      </c>
      <c r="B37365" s="2" t="str">
        <f>"35544"</f>
        <v>35544</v>
      </c>
      <c r="C37365" s="1">
        <v>5.1076658861833002E-5</v>
      </c>
      <c r="D37365" s="1">
        <v>2.4281642774541899E-5</v>
      </c>
      <c r="E37365" s="1">
        <v>4.3455399550671099E-6</v>
      </c>
      <c r="F37365" s="1">
        <v>4.8250290272751399E-5</v>
      </c>
    </row>
    <row r="37366" spans="1:6" x14ac:dyDescent="0.25">
      <c r="A37366" s="2" t="str">
        <f t="shared" si="1245"/>
        <v>99999</v>
      </c>
      <c r="B37366" s="2" t="str">
        <f>"35542"</f>
        <v>35542</v>
      </c>
      <c r="C37366" s="1">
        <v>8.13079291710803E-5</v>
      </c>
      <c r="D37366" s="1">
        <v>1.9728834754315301E-5</v>
      </c>
      <c r="E37366" s="1">
        <v>0</v>
      </c>
      <c r="F37366" s="1">
        <v>7.5409732013908401E-5</v>
      </c>
    </row>
    <row r="37367" spans="1:6" x14ac:dyDescent="0.25">
      <c r="A37367" s="2" t="str">
        <f t="shared" si="1245"/>
        <v>99999</v>
      </c>
      <c r="B37367" s="2" t="str">
        <f>"35179"</f>
        <v>35179</v>
      </c>
      <c r="C37367" s="1">
        <v>2.2919013591848099E-6</v>
      </c>
      <c r="D37367" s="1">
        <v>0</v>
      </c>
      <c r="E37367" s="1">
        <v>0</v>
      </c>
      <c r="F37367" s="1">
        <v>2.08918782624284E-6</v>
      </c>
    </row>
    <row r="37368" spans="1:6" x14ac:dyDescent="0.25">
      <c r="A37368" s="2" t="str">
        <f t="shared" si="1245"/>
        <v>99999</v>
      </c>
      <c r="B37368" s="2" t="str">
        <f>"35098"</f>
        <v>35098</v>
      </c>
      <c r="C37368" s="1">
        <v>1.34239936752253E-5</v>
      </c>
      <c r="D37368" s="1">
        <v>0</v>
      </c>
      <c r="E37368" s="1">
        <v>0</v>
      </c>
      <c r="F37368" s="1">
        <v>1.2236671553708001E-5</v>
      </c>
    </row>
    <row r="37369" spans="1:6" x14ac:dyDescent="0.25">
      <c r="A37369" s="2" t="str">
        <f t="shared" si="1245"/>
        <v>99999</v>
      </c>
      <c r="B37369" s="2" t="str">
        <f>"34974"</f>
        <v>34974</v>
      </c>
      <c r="C37369" s="1">
        <v>3.4476744731737298E-4</v>
      </c>
      <c r="D37369" s="1">
        <v>1.3506663793338901E-4</v>
      </c>
      <c r="E37369" s="1">
        <v>1.9989483793308701E-4</v>
      </c>
      <c r="F37369" s="1">
        <v>3.2770403331637701E-4</v>
      </c>
    </row>
    <row r="37370" spans="1:6" x14ac:dyDescent="0.25">
      <c r="A37370" s="2" t="str">
        <f t="shared" si="1245"/>
        <v>99999</v>
      </c>
      <c r="B37370" s="2" t="str">
        <f>"32648"</f>
        <v>32648</v>
      </c>
      <c r="C37370" s="1">
        <v>1.73529674338278E-5</v>
      </c>
      <c r="D37370" s="1">
        <v>3.0352053468177301E-6</v>
      </c>
      <c r="E37370" s="1">
        <v>4.3455399550671099E-6</v>
      </c>
      <c r="F37370" s="1">
        <v>1.61165918024448E-5</v>
      </c>
    </row>
    <row r="37371" spans="1:6" x14ac:dyDescent="0.25">
      <c r="A37371" s="2" t="str">
        <f t="shared" si="1245"/>
        <v>99999</v>
      </c>
      <c r="B37371" s="2" t="str">
        <f>"32442"</f>
        <v>32442</v>
      </c>
      <c r="C37371" s="1">
        <v>2.17621490962596E-4</v>
      </c>
      <c r="D37371" s="1">
        <v>7.2844928323625703E-5</v>
      </c>
      <c r="E37371" s="1">
        <v>1.3036619865201299E-5</v>
      </c>
      <c r="F37371" s="1">
        <v>2.03447100222219E-4</v>
      </c>
    </row>
    <row r="37372" spans="1:6" x14ac:dyDescent="0.25">
      <c r="A37372" s="2" t="str">
        <f t="shared" si="1245"/>
        <v>99999</v>
      </c>
      <c r="B37372" s="2" t="str">
        <f>"32437"</f>
        <v>32437</v>
      </c>
      <c r="C37372" s="1">
        <v>3.4051105907888697E-5</v>
      </c>
      <c r="D37372" s="1">
        <v>1.3658424060679801E-5</v>
      </c>
      <c r="E37372" s="1">
        <v>4.3455399550671099E-6</v>
      </c>
      <c r="F37372" s="1">
        <v>3.2034213335723597E-5</v>
      </c>
    </row>
    <row r="37373" spans="1:6" x14ac:dyDescent="0.25">
      <c r="A37373" s="2" t="str">
        <f t="shared" si="1245"/>
        <v>99999</v>
      </c>
      <c r="B37373" s="2" t="str">
        <f>"32424"</f>
        <v>32424</v>
      </c>
      <c r="C37373" s="1">
        <v>3.2370378244486498E-4</v>
      </c>
      <c r="D37373" s="1">
        <v>6.5256914956581295E-4</v>
      </c>
      <c r="E37373" s="1">
        <v>3.6937089618070402E-4</v>
      </c>
      <c r="F37373" s="1">
        <v>3.46307753483397E-4</v>
      </c>
    </row>
    <row r="37374" spans="1:6" x14ac:dyDescent="0.25">
      <c r="A37374" s="2" t="str">
        <f t="shared" si="1245"/>
        <v>99999</v>
      </c>
      <c r="B37374" s="2" t="str">
        <f>"32420"</f>
        <v>32420</v>
      </c>
      <c r="C37374" s="1">
        <v>1.5093807522631401E-4</v>
      </c>
      <c r="D37374" s="1">
        <v>3.4904861488403899E-5</v>
      </c>
      <c r="E37374" s="1">
        <v>8.69107991013423E-6</v>
      </c>
      <c r="F37374" s="1">
        <v>1.4007506949285299E-4</v>
      </c>
    </row>
    <row r="37375" spans="1:6" x14ac:dyDescent="0.25">
      <c r="A37375" s="2" t="str">
        <f t="shared" si="1245"/>
        <v>99999</v>
      </c>
      <c r="B37375" s="2" t="str">
        <f>"32356"</f>
        <v>32356</v>
      </c>
      <c r="C37375" s="1">
        <v>0</v>
      </c>
      <c r="D37375" s="1">
        <v>0</v>
      </c>
      <c r="E37375" s="1">
        <v>4.3455399550671099E-6</v>
      </c>
      <c r="F37375" s="1">
        <v>9.9485134582992598E-8</v>
      </c>
    </row>
    <row r="37376" spans="1:6" x14ac:dyDescent="0.25">
      <c r="A37376" s="2" t="str">
        <f t="shared" si="1245"/>
        <v>99999</v>
      </c>
      <c r="B37376" s="2" t="str">
        <f>"32331"</f>
        <v>32331</v>
      </c>
      <c r="C37376" s="1">
        <v>1.9066436545218401E-4</v>
      </c>
      <c r="D37376" s="1">
        <v>1.09267392485438E-4</v>
      </c>
      <c r="E37376" s="1">
        <v>8.69107991013423E-5</v>
      </c>
      <c r="F37376" s="1">
        <v>1.82953162498123E-4</v>
      </c>
    </row>
    <row r="37377" spans="1:6" x14ac:dyDescent="0.25">
      <c r="A37377" s="2" t="str">
        <f t="shared" si="1245"/>
        <v>99999</v>
      </c>
      <c r="B37377" s="2" t="str">
        <f>"32346"</f>
        <v>32346</v>
      </c>
      <c r="C37377" s="1">
        <v>6.1772198538028795E-5</v>
      </c>
      <c r="D37377" s="1">
        <v>1.21408213872709E-5</v>
      </c>
      <c r="E37377" s="1">
        <v>2.1727699775335501E-5</v>
      </c>
      <c r="F37377" s="1">
        <v>5.7601892923552697E-5</v>
      </c>
    </row>
    <row r="37378" spans="1:6" x14ac:dyDescent="0.25">
      <c r="A37378" s="2" t="str">
        <f t="shared" si="1245"/>
        <v>99999</v>
      </c>
      <c r="B37378" s="2" t="str">
        <f>"32064"</f>
        <v>32064</v>
      </c>
      <c r="C37378" s="1">
        <v>5.1022089781852398E-4</v>
      </c>
      <c r="D37378" s="1">
        <v>1.3112087098252601E-3</v>
      </c>
      <c r="E37378" s="1">
        <v>2.6073239730402698E-4</v>
      </c>
      <c r="F37378" s="1">
        <v>5.5701726853017502E-4</v>
      </c>
    </row>
    <row r="37379" spans="1:6" x14ac:dyDescent="0.25">
      <c r="A37379" s="2" t="str">
        <f t="shared" si="1245"/>
        <v>99999</v>
      </c>
      <c r="B37379" s="2" t="str">
        <f>"32053"</f>
        <v>32053</v>
      </c>
      <c r="C37379" s="1">
        <v>2.0867216184577899E-4</v>
      </c>
      <c r="D37379" s="1">
        <v>9.1056160404532095E-5</v>
      </c>
      <c r="E37379" s="1">
        <v>6.0837559370939603E-5</v>
      </c>
      <c r="F37379" s="1">
        <v>1.97577477281823E-4</v>
      </c>
    </row>
    <row r="37380" spans="1:6" x14ac:dyDescent="0.25">
      <c r="A37380" s="2" t="str">
        <f t="shared" si="1245"/>
        <v>99999</v>
      </c>
      <c r="B37380" s="2" t="str">
        <f>"32026"</f>
        <v>32026</v>
      </c>
      <c r="C37380" s="1">
        <v>7.7488093572439E-6</v>
      </c>
      <c r="D37380" s="1">
        <v>6.0704106936354696E-6</v>
      </c>
      <c r="E37380" s="1">
        <v>8.69107991013423E-6</v>
      </c>
      <c r="F37380" s="1">
        <v>7.6603553628904299E-6</v>
      </c>
    </row>
    <row r="37381" spans="1:6" x14ac:dyDescent="0.25">
      <c r="A37381" s="2" t="str">
        <f t="shared" si="1245"/>
        <v>99999</v>
      </c>
      <c r="B37381" s="2" t="str">
        <f>"32008"</f>
        <v>32008</v>
      </c>
      <c r="C37381" s="1">
        <v>2.58875715427923E-4</v>
      </c>
      <c r="D37381" s="1">
        <v>2.4736923576564501E-4</v>
      </c>
      <c r="E37381" s="1">
        <v>5.21464794608054E-5</v>
      </c>
      <c r="F37381" s="1">
        <v>2.5338863778288202E-4</v>
      </c>
    </row>
    <row r="37382" spans="1:6" x14ac:dyDescent="0.25">
      <c r="A37382" s="2" t="str">
        <f t="shared" si="1245"/>
        <v>99999</v>
      </c>
      <c r="B37382" s="2" t="str">
        <f>"31780"</f>
        <v>31780</v>
      </c>
      <c r="C37382" s="1">
        <v>1.09138159961181E-7</v>
      </c>
      <c r="D37382" s="1">
        <v>0</v>
      </c>
      <c r="E37382" s="1">
        <v>0</v>
      </c>
      <c r="F37382" s="1">
        <v>9.9485134582992598E-8</v>
      </c>
    </row>
    <row r="37383" spans="1:6" x14ac:dyDescent="0.25">
      <c r="A37383" s="2" t="str">
        <f t="shared" si="1245"/>
        <v>99999</v>
      </c>
      <c r="B37383" s="2" t="str">
        <f>"31784"</f>
        <v>31784</v>
      </c>
      <c r="C37383" s="1">
        <v>4.2673020544821998E-5</v>
      </c>
      <c r="D37383" s="1">
        <v>1.8211232080906399E-5</v>
      </c>
      <c r="E37383" s="1">
        <v>4.3455399550671099E-6</v>
      </c>
      <c r="F37383" s="1">
        <v>4.0191994371529001E-5</v>
      </c>
    </row>
    <row r="37384" spans="1:6" x14ac:dyDescent="0.25">
      <c r="A37384" s="2" t="str">
        <f t="shared" si="1245"/>
        <v>99999</v>
      </c>
      <c r="B37384" s="2" t="str">
        <f>"31712"</f>
        <v>31712</v>
      </c>
      <c r="C37384" s="1">
        <v>5.7843224779426299E-6</v>
      </c>
      <c r="D37384" s="1">
        <v>0</v>
      </c>
      <c r="E37384" s="1">
        <v>0</v>
      </c>
      <c r="F37384" s="1">
        <v>5.2727121328986002E-6</v>
      </c>
    </row>
    <row r="37385" spans="1:6" x14ac:dyDescent="0.25">
      <c r="A37385" s="2" t="str">
        <f t="shared" si="1245"/>
        <v>99999</v>
      </c>
      <c r="B37385" s="2" t="str">
        <f>"31721"</f>
        <v>31721</v>
      </c>
      <c r="C37385" s="1">
        <v>5.4569079980590803E-6</v>
      </c>
      <c r="D37385" s="1">
        <v>0</v>
      </c>
      <c r="E37385" s="1">
        <v>0</v>
      </c>
      <c r="F37385" s="1">
        <v>4.9742567291496301E-6</v>
      </c>
    </row>
    <row r="37386" spans="1:6" x14ac:dyDescent="0.25">
      <c r="A37386" s="2" t="str">
        <f t="shared" si="1245"/>
        <v>99999</v>
      </c>
      <c r="B37386" s="2" t="str">
        <f>"31714"</f>
        <v>31714</v>
      </c>
      <c r="C37386" s="1">
        <v>3.6692249378949301E-4</v>
      </c>
      <c r="D37386" s="1">
        <v>5.9793545332309397E-4</v>
      </c>
      <c r="E37386" s="1">
        <v>4.5193615532698002E-4</v>
      </c>
      <c r="F37386" s="1">
        <v>3.8401261949035098E-4</v>
      </c>
    </row>
    <row r="37387" spans="1:6" x14ac:dyDescent="0.25">
      <c r="A37387" s="2" t="str">
        <f t="shared" si="1245"/>
        <v>99999</v>
      </c>
      <c r="B37387" s="2" t="str">
        <f>"31537"</f>
        <v>31537</v>
      </c>
      <c r="C37387" s="1">
        <v>4.0981379065423699E-4</v>
      </c>
      <c r="D37387" s="1">
        <v>5.7972422124218798E-4</v>
      </c>
      <c r="E37387" s="1">
        <v>2.3031361761855699E-4</v>
      </c>
      <c r="F37387" s="1">
        <v>4.1684271390273901E-4</v>
      </c>
    </row>
    <row r="37388" spans="1:6" x14ac:dyDescent="0.25">
      <c r="A37388" s="2" t="str">
        <f t="shared" si="1245"/>
        <v>99999</v>
      </c>
      <c r="B37388" s="2" t="str">
        <f>"31649"</f>
        <v>31649</v>
      </c>
      <c r="C37388" s="1">
        <v>1.5061066074643001E-5</v>
      </c>
      <c r="D37388" s="1">
        <v>3.0352053468177301E-6</v>
      </c>
      <c r="E37388" s="1">
        <v>0</v>
      </c>
      <c r="F37388" s="1">
        <v>1.3927918841618899E-5</v>
      </c>
    </row>
    <row r="37389" spans="1:6" x14ac:dyDescent="0.25">
      <c r="A37389" s="2" t="str">
        <f t="shared" si="1245"/>
        <v>99999</v>
      </c>
      <c r="B37389" s="2" t="str">
        <f>"31637"</f>
        <v>31637</v>
      </c>
      <c r="C37389" s="1">
        <v>1.17105245638348E-4</v>
      </c>
      <c r="D37389" s="1">
        <v>6.5256914956581297E-5</v>
      </c>
      <c r="E37389" s="1">
        <v>2.60732397304027E-5</v>
      </c>
      <c r="F37389" s="1">
        <v>1.11622321002117E-4</v>
      </c>
    </row>
    <row r="37390" spans="1:6" x14ac:dyDescent="0.25">
      <c r="A37390" s="2" t="str">
        <f t="shared" si="1245"/>
        <v>99999</v>
      </c>
      <c r="B37390" s="2" t="str">
        <f>"31635"</f>
        <v>31635</v>
      </c>
      <c r="C37390" s="1">
        <v>2.6193158390683598E-6</v>
      </c>
      <c r="D37390" s="1">
        <v>1.51760267340886E-6</v>
      </c>
      <c r="E37390" s="1">
        <v>0</v>
      </c>
      <c r="F37390" s="1">
        <v>2.48712836457481E-6</v>
      </c>
    </row>
    <row r="37391" spans="1:6" x14ac:dyDescent="0.25">
      <c r="A37391" s="2" t="str">
        <f t="shared" si="1245"/>
        <v>99999</v>
      </c>
      <c r="B37391" s="2" t="str">
        <f>"31077"</f>
        <v>31077</v>
      </c>
      <c r="C37391" s="1">
        <v>7.09398039747681E-5</v>
      </c>
      <c r="D37391" s="1">
        <v>5.6151298916128101E-5</v>
      </c>
      <c r="E37391" s="1">
        <v>8.69107991013423E-6</v>
      </c>
      <c r="F37391" s="1">
        <v>6.8545257727681904E-5</v>
      </c>
    </row>
    <row r="37392" spans="1:6" x14ac:dyDescent="0.25">
      <c r="A37392" s="2" t="str">
        <f t="shared" si="1245"/>
        <v>99999</v>
      </c>
      <c r="B37392" s="2" t="str">
        <f>"31076"</f>
        <v>31076</v>
      </c>
      <c r="C37392" s="1">
        <v>1.7549416121758E-4</v>
      </c>
      <c r="D37392" s="1">
        <v>1.5934828070793099E-4</v>
      </c>
      <c r="E37392" s="1">
        <v>8.69107991013423E-5</v>
      </c>
      <c r="F37392" s="1">
        <v>1.7240773823232601E-4</v>
      </c>
    </row>
    <row r="37393" spans="1:6" x14ac:dyDescent="0.25">
      <c r="A37393" s="2" t="str">
        <f t="shared" si="1245"/>
        <v>99999</v>
      </c>
      <c r="B37393" s="2" t="str">
        <f>"31061"</f>
        <v>31061</v>
      </c>
      <c r="C37393" s="1">
        <v>7.5305330373215396E-5</v>
      </c>
      <c r="D37393" s="1">
        <v>5.9186504262945899E-5</v>
      </c>
      <c r="E37393" s="1">
        <v>9.5601879011476503E-5</v>
      </c>
      <c r="F37393" s="1">
        <v>7.4713336071827405E-5</v>
      </c>
    </row>
    <row r="37394" spans="1:6" x14ac:dyDescent="0.25">
      <c r="A37394" s="2" t="str">
        <f t="shared" ref="A37394:A37457" si="1246">"99999"</f>
        <v>99999</v>
      </c>
      <c r="B37394" s="2" t="str">
        <f>"30833"</f>
        <v>30833</v>
      </c>
      <c r="C37394" s="1">
        <v>2.3049979383801499E-4</v>
      </c>
      <c r="D37394" s="1">
        <v>3.36907793496769E-4</v>
      </c>
      <c r="E37394" s="1">
        <v>1.2602065869694599E-4</v>
      </c>
      <c r="F37394" s="1">
        <v>2.3508337301961099E-4</v>
      </c>
    </row>
    <row r="37395" spans="1:6" x14ac:dyDescent="0.25">
      <c r="A37395" s="2" t="str">
        <f t="shared" si="1246"/>
        <v>99999</v>
      </c>
      <c r="B37395" s="2" t="str">
        <f>"31058"</f>
        <v>31058</v>
      </c>
      <c r="C37395" s="1">
        <v>3.71069743868017E-5</v>
      </c>
      <c r="D37395" s="1">
        <v>2.1246437427724101E-5</v>
      </c>
      <c r="E37395" s="1">
        <v>0</v>
      </c>
      <c r="F37395" s="1">
        <v>3.5217737642379299E-5</v>
      </c>
    </row>
    <row r="37396" spans="1:6" x14ac:dyDescent="0.25">
      <c r="A37396" s="2" t="str">
        <f t="shared" si="1246"/>
        <v>99999</v>
      </c>
      <c r="B37396" s="2" t="str">
        <f>"31030"</f>
        <v>31030</v>
      </c>
      <c r="C37396" s="1">
        <v>8.4036383170109905E-6</v>
      </c>
      <c r="D37396" s="1">
        <v>6.0704106936354696E-6</v>
      </c>
      <c r="E37396" s="1">
        <v>0</v>
      </c>
      <c r="F37396" s="1">
        <v>8.0582959012224002E-6</v>
      </c>
    </row>
    <row r="37397" spans="1:6" x14ac:dyDescent="0.25">
      <c r="A37397" s="2" t="str">
        <f t="shared" si="1246"/>
        <v>99999</v>
      </c>
      <c r="B37397" s="2" t="str">
        <f>"31024"</f>
        <v>31024</v>
      </c>
      <c r="C37397" s="1">
        <v>1.3821256577483999E-3</v>
      </c>
      <c r="D37397" s="1">
        <v>1.4584161691459201E-3</v>
      </c>
      <c r="E37397" s="1">
        <v>1.6121953233299E-3</v>
      </c>
      <c r="F37397" s="1">
        <v>1.3923939436235599E-3</v>
      </c>
    </row>
    <row r="37398" spans="1:6" x14ac:dyDescent="0.25">
      <c r="A37398" s="2" t="str">
        <f t="shared" si="1246"/>
        <v>99999</v>
      </c>
      <c r="B37398" s="2" t="str">
        <f>"30823"</f>
        <v>30823</v>
      </c>
      <c r="C37398" s="1">
        <v>8.5673455569527595E-5</v>
      </c>
      <c r="D37398" s="1">
        <v>4.0975272182039399E-5</v>
      </c>
      <c r="E37398" s="1">
        <v>0</v>
      </c>
      <c r="F37398" s="1">
        <v>8.0781929281389996E-5</v>
      </c>
    </row>
    <row r="37399" spans="1:6" x14ac:dyDescent="0.25">
      <c r="A37399" s="2" t="str">
        <f t="shared" si="1246"/>
        <v>99999</v>
      </c>
      <c r="B37399" s="2" t="str">
        <f>"30820"</f>
        <v>30820</v>
      </c>
      <c r="C37399" s="1">
        <v>7.06123894948845E-5</v>
      </c>
      <c r="D37399" s="1">
        <v>4.8563285549083798E-5</v>
      </c>
      <c r="E37399" s="1">
        <v>0</v>
      </c>
      <c r="F37399" s="1">
        <v>6.7550406381852E-5</v>
      </c>
    </row>
    <row r="37400" spans="1:6" x14ac:dyDescent="0.25">
      <c r="A37400" s="2" t="str">
        <f t="shared" si="1246"/>
        <v>99999</v>
      </c>
      <c r="B37400" s="2" t="str">
        <f>"30568"</f>
        <v>30568</v>
      </c>
      <c r="C37400" s="1">
        <v>1.7440277961796799E-4</v>
      </c>
      <c r="D37400" s="1">
        <v>1.9273553952292601E-4</v>
      </c>
      <c r="E37400" s="1">
        <v>1.08638498876677E-4</v>
      </c>
      <c r="F37400" s="1">
        <v>1.74098985520237E-4</v>
      </c>
    </row>
    <row r="37401" spans="1:6" x14ac:dyDescent="0.25">
      <c r="A37401" s="2" t="str">
        <f t="shared" si="1246"/>
        <v>99999</v>
      </c>
      <c r="B37401" s="2" t="str">
        <f>"30528"</f>
        <v>30528</v>
      </c>
      <c r="C37401" s="1">
        <v>1.47183722523649E-3</v>
      </c>
      <c r="D37401" s="1">
        <v>1.83478163215132E-3</v>
      </c>
      <c r="E37401" s="1">
        <v>9.2994555038436303E-4</v>
      </c>
      <c r="F37401" s="1">
        <v>1.4832238714978299E-3</v>
      </c>
    </row>
    <row r="37402" spans="1:6" x14ac:dyDescent="0.25">
      <c r="A37402" s="2" t="str">
        <f t="shared" si="1246"/>
        <v>99999</v>
      </c>
      <c r="B37402" s="2" t="str">
        <f>"30516"</f>
        <v>30516</v>
      </c>
      <c r="C37402" s="1">
        <v>1.01280212443976E-4</v>
      </c>
      <c r="D37402" s="1">
        <v>7.5880133670443406E-5</v>
      </c>
      <c r="E37402" s="1">
        <v>0</v>
      </c>
      <c r="F37402" s="1">
        <v>9.72964616221668E-5</v>
      </c>
    </row>
    <row r="37403" spans="1:6" x14ac:dyDescent="0.25">
      <c r="A37403" s="2" t="str">
        <f t="shared" si="1246"/>
        <v>99999</v>
      </c>
      <c r="B37403" s="2" t="str">
        <f>"30510"</f>
        <v>30510</v>
      </c>
      <c r="C37403" s="1">
        <v>1.04008666443006E-4</v>
      </c>
      <c r="D37403" s="1">
        <v>2.88344507947685E-5</v>
      </c>
      <c r="E37403" s="1">
        <v>1.7382159820268399E-5</v>
      </c>
      <c r="F37403" s="1">
        <v>9.7097491353000803E-5</v>
      </c>
    </row>
    <row r="37404" spans="1:6" x14ac:dyDescent="0.25">
      <c r="A37404" s="2" t="str">
        <f t="shared" si="1246"/>
        <v>99999</v>
      </c>
      <c r="B37404" s="2" t="str">
        <f>"30464"</f>
        <v>30464</v>
      </c>
      <c r="C37404" s="1">
        <v>0</v>
      </c>
      <c r="D37404" s="1">
        <v>1.51760267340886E-6</v>
      </c>
      <c r="E37404" s="1">
        <v>0</v>
      </c>
      <c r="F37404" s="1">
        <v>9.9485134582992598E-8</v>
      </c>
    </row>
    <row r="37405" spans="1:6" x14ac:dyDescent="0.25">
      <c r="A37405" s="2" t="str">
        <f t="shared" si="1246"/>
        <v>99999</v>
      </c>
      <c r="B37405" s="2" t="str">
        <f>"30426"</f>
        <v>30426</v>
      </c>
      <c r="C37405" s="1">
        <v>5.0203553582143598E-6</v>
      </c>
      <c r="D37405" s="1">
        <v>4.5528080202265997E-6</v>
      </c>
      <c r="E37405" s="1">
        <v>0</v>
      </c>
      <c r="F37405" s="1">
        <v>4.8747715945666299E-6</v>
      </c>
    </row>
    <row r="37406" spans="1:6" x14ac:dyDescent="0.25">
      <c r="A37406" s="2" t="str">
        <f t="shared" si="1246"/>
        <v>99999</v>
      </c>
      <c r="B37406" s="2" t="str">
        <f>"30401"</f>
        <v>30401</v>
      </c>
      <c r="C37406" s="1">
        <v>6.8396884847672504E-4</v>
      </c>
      <c r="D37406" s="1">
        <v>1.1412372104034601E-3</v>
      </c>
      <c r="E37406" s="1">
        <v>5.5188357429352298E-4</v>
      </c>
      <c r="F37406" s="1">
        <v>7.1092077173006503E-4</v>
      </c>
    </row>
    <row r="37407" spans="1:6" x14ac:dyDescent="0.25">
      <c r="A37407" s="2" t="str">
        <f t="shared" si="1246"/>
        <v>99999</v>
      </c>
      <c r="B37407" s="2" t="str">
        <f>"30438"</f>
        <v>30438</v>
      </c>
      <c r="C37407" s="1">
        <v>0</v>
      </c>
      <c r="D37407" s="1">
        <v>1.51760267340886E-6</v>
      </c>
      <c r="E37407" s="1">
        <v>0</v>
      </c>
      <c r="F37407" s="1">
        <v>9.9485134582992598E-8</v>
      </c>
    </row>
    <row r="37408" spans="1:6" x14ac:dyDescent="0.25">
      <c r="A37408" s="2" t="str">
        <f t="shared" si="1246"/>
        <v>99999</v>
      </c>
      <c r="B37408" s="2" t="str">
        <f>"30434"</f>
        <v>30434</v>
      </c>
      <c r="C37408" s="1">
        <v>2.8234041981957701E-4</v>
      </c>
      <c r="D37408" s="1">
        <v>3.4146060151699499E-4</v>
      </c>
      <c r="E37408" s="1">
        <v>1.0429295892161E-4</v>
      </c>
      <c r="F37408" s="1">
        <v>2.8213984167736701E-4</v>
      </c>
    </row>
    <row r="37409" spans="1:6" x14ac:dyDescent="0.25">
      <c r="A37409" s="2" t="str">
        <f t="shared" si="1246"/>
        <v>99999</v>
      </c>
      <c r="B37409" s="2" t="str">
        <f>"05903"</f>
        <v>05903</v>
      </c>
      <c r="C37409" s="1">
        <v>3.6015592787189899E-5</v>
      </c>
      <c r="D37409" s="1">
        <v>1.66936294074975E-5</v>
      </c>
      <c r="E37409" s="1">
        <v>3.47643196405369E-5</v>
      </c>
      <c r="F37409" s="1">
        <v>3.4720311969464401E-5</v>
      </c>
    </row>
    <row r="37410" spans="1:6" x14ac:dyDescent="0.25">
      <c r="A37410" s="2" t="str">
        <f t="shared" si="1246"/>
        <v>99999</v>
      </c>
      <c r="B37410" s="2" t="str">
        <f>"05833"</f>
        <v>05833</v>
      </c>
      <c r="C37410" s="1">
        <v>2.2919013591848099E-6</v>
      </c>
      <c r="D37410" s="1">
        <v>1.51760267340886E-6</v>
      </c>
      <c r="E37410" s="1">
        <v>0</v>
      </c>
      <c r="F37410" s="1">
        <v>2.1886729608258301E-6</v>
      </c>
    </row>
    <row r="37411" spans="1:6" x14ac:dyDescent="0.25">
      <c r="A37411" s="2" t="str">
        <f t="shared" si="1246"/>
        <v>99999</v>
      </c>
      <c r="B37411" s="2" t="str">
        <f>"05839"</f>
        <v>05839</v>
      </c>
      <c r="C37411" s="1">
        <v>4.3327849504589097E-5</v>
      </c>
      <c r="D37411" s="1">
        <v>1.21408213872709E-5</v>
      </c>
      <c r="E37411" s="1">
        <v>1.7382159820268399E-5</v>
      </c>
      <c r="F37411" s="1">
        <v>4.0689420044443899E-5</v>
      </c>
    </row>
    <row r="37412" spans="1:6" x14ac:dyDescent="0.25">
      <c r="A37412" s="2" t="str">
        <f t="shared" si="1246"/>
        <v>99999</v>
      </c>
      <c r="B37412" s="2" t="str">
        <f>"05778"</f>
        <v>05778</v>
      </c>
      <c r="C37412" s="1">
        <v>3.6997836226840599E-5</v>
      </c>
      <c r="D37412" s="1">
        <v>1.5176026734088599E-5</v>
      </c>
      <c r="E37412" s="1">
        <v>1.3036619865201299E-5</v>
      </c>
      <c r="F37412" s="1">
        <v>3.5018767373213403E-5</v>
      </c>
    </row>
    <row r="37413" spans="1:6" x14ac:dyDescent="0.25">
      <c r="A37413" s="2" t="str">
        <f t="shared" si="1246"/>
        <v>99999</v>
      </c>
      <c r="B37413" s="2" t="str">
        <f>"05770"</f>
        <v>05770</v>
      </c>
      <c r="C37413" s="1">
        <v>6.3736685417330099E-5</v>
      </c>
      <c r="D37413" s="1">
        <v>1.0623218713862E-5</v>
      </c>
      <c r="E37413" s="1">
        <v>4.7800939505738197E-5</v>
      </c>
      <c r="F37413" s="1">
        <v>5.98900510189615E-5</v>
      </c>
    </row>
    <row r="37414" spans="1:6" x14ac:dyDescent="0.25">
      <c r="A37414" s="2" t="str">
        <f t="shared" si="1246"/>
        <v>99999</v>
      </c>
      <c r="B37414" s="2" t="str">
        <f>"05822"</f>
        <v>05822</v>
      </c>
      <c r="C37414" s="1">
        <v>1.0891988364125901E-4</v>
      </c>
      <c r="D37414" s="1">
        <v>4.5528080202266E-5</v>
      </c>
      <c r="E37414" s="1">
        <v>1.47748358472281E-4</v>
      </c>
      <c r="F37414" s="1">
        <v>1.05653212927138E-4</v>
      </c>
    </row>
    <row r="37415" spans="1:6" x14ac:dyDescent="0.25">
      <c r="A37415" s="2" t="str">
        <f t="shared" si="1246"/>
        <v>99999</v>
      </c>
      <c r="B37415" s="2" t="str">
        <f>"05827"</f>
        <v>05827</v>
      </c>
      <c r="C37415" s="1">
        <v>2.41195333514211E-5</v>
      </c>
      <c r="D37415" s="1">
        <v>9.1056160404532095E-6</v>
      </c>
      <c r="E37415" s="1">
        <v>0</v>
      </c>
      <c r="F37415" s="1">
        <v>2.2583125550339301E-5</v>
      </c>
    </row>
    <row r="37416" spans="1:6" x14ac:dyDescent="0.25">
      <c r="A37416" s="2" t="str">
        <f t="shared" si="1246"/>
        <v>99999</v>
      </c>
      <c r="B37416" s="2" t="str">
        <f>"05767"</f>
        <v>05767</v>
      </c>
      <c r="C37416" s="1">
        <v>3.2741447988354498E-7</v>
      </c>
      <c r="D37416" s="1">
        <v>1.51760267340886E-6</v>
      </c>
      <c r="E37416" s="1">
        <v>0</v>
      </c>
      <c r="F37416" s="1">
        <v>3.9794053833197002E-7</v>
      </c>
    </row>
    <row r="37417" spans="1:6" x14ac:dyDescent="0.25">
      <c r="A37417" s="2" t="str">
        <f t="shared" si="1246"/>
        <v>99999</v>
      </c>
      <c r="B37417" s="2" t="str">
        <f>"05766"</f>
        <v>05766</v>
      </c>
      <c r="C37417" s="1">
        <v>1.8880901673284399E-5</v>
      </c>
      <c r="D37417" s="1">
        <v>3.0352053468177301E-6</v>
      </c>
      <c r="E37417" s="1">
        <v>4.3455399550671099E-6</v>
      </c>
      <c r="F37417" s="1">
        <v>1.7509383686606702E-5</v>
      </c>
    </row>
    <row r="37418" spans="1:6" x14ac:dyDescent="0.25">
      <c r="A37418" s="2" t="str">
        <f t="shared" si="1246"/>
        <v>99999</v>
      </c>
      <c r="B37418" s="2" t="str">
        <f>"05760"</f>
        <v>05760</v>
      </c>
      <c r="C37418" s="1">
        <v>5.5878737900124998E-5</v>
      </c>
      <c r="D37418" s="1">
        <v>1.66936294074975E-5</v>
      </c>
      <c r="E37418" s="1">
        <v>1.3036619865201299E-5</v>
      </c>
      <c r="F37418" s="1">
        <v>5.2329180790654101E-5</v>
      </c>
    </row>
    <row r="37419" spans="1:6" x14ac:dyDescent="0.25">
      <c r="A37419" s="2" t="str">
        <f t="shared" si="1246"/>
        <v>99999</v>
      </c>
      <c r="B37419" s="2" t="str">
        <f>"05769"</f>
        <v>05769</v>
      </c>
      <c r="C37419" s="1">
        <v>6.0571678778455799E-5</v>
      </c>
      <c r="D37419" s="1">
        <v>1.66936294074975E-5</v>
      </c>
      <c r="E37419" s="1">
        <v>4.3455399550671099E-6</v>
      </c>
      <c r="F37419" s="1">
        <v>5.6408071308556803E-5</v>
      </c>
    </row>
    <row r="37420" spans="1:6" x14ac:dyDescent="0.25">
      <c r="A37420" s="2" t="str">
        <f t="shared" si="1246"/>
        <v>99999</v>
      </c>
      <c r="B37420" s="2" t="str">
        <f>"05748"</f>
        <v>05748</v>
      </c>
      <c r="C37420" s="1">
        <v>2.4992638631110601E-5</v>
      </c>
      <c r="D37420" s="1">
        <v>1.66936294074975E-5</v>
      </c>
      <c r="E37420" s="1">
        <v>1.3036619865201299E-5</v>
      </c>
      <c r="F37420" s="1">
        <v>2.4174887703667199E-5</v>
      </c>
    </row>
    <row r="37421" spans="1:6" x14ac:dyDescent="0.25">
      <c r="A37421" s="2" t="str">
        <f t="shared" si="1246"/>
        <v>99999</v>
      </c>
      <c r="B37421" s="2" t="str">
        <f>"05652"</f>
        <v>05652</v>
      </c>
      <c r="C37421" s="1">
        <v>3.3941967747927502E-5</v>
      </c>
      <c r="D37421" s="1">
        <v>1.51760267340886E-6</v>
      </c>
      <c r="E37421" s="1">
        <v>4.3455399550671099E-6</v>
      </c>
      <c r="F37421" s="1">
        <v>3.1138847124476597E-5</v>
      </c>
    </row>
    <row r="37422" spans="1:6" x14ac:dyDescent="0.25">
      <c r="A37422" s="2" t="str">
        <f t="shared" si="1246"/>
        <v>99999</v>
      </c>
      <c r="B37422" s="2" t="str">
        <f>"05647"</f>
        <v>05647</v>
      </c>
      <c r="C37422" s="1">
        <v>3.2741447988354498E-7</v>
      </c>
      <c r="D37422" s="1">
        <v>0</v>
      </c>
      <c r="E37422" s="1">
        <v>0</v>
      </c>
      <c r="F37422" s="1">
        <v>2.9845540374897701E-7</v>
      </c>
    </row>
    <row r="37423" spans="1:6" x14ac:dyDescent="0.25">
      <c r="A37423" s="2" t="str">
        <f t="shared" si="1246"/>
        <v>99999</v>
      </c>
      <c r="B37423" s="2" t="str">
        <f>"05476"</f>
        <v>05476</v>
      </c>
      <c r="C37423" s="1">
        <v>9.8224343965063504E-7</v>
      </c>
      <c r="D37423" s="1">
        <v>0</v>
      </c>
      <c r="E37423" s="1">
        <v>0</v>
      </c>
      <c r="F37423" s="1">
        <v>8.9536621124693305E-7</v>
      </c>
    </row>
    <row r="37424" spans="1:6" x14ac:dyDescent="0.25">
      <c r="A37424" s="2" t="str">
        <f t="shared" si="1246"/>
        <v>99999</v>
      </c>
      <c r="B37424" s="2" t="str">
        <f>"05362"</f>
        <v>05362</v>
      </c>
      <c r="C37424" s="1">
        <v>1.25508883955359E-5</v>
      </c>
      <c r="D37424" s="1">
        <v>1.51760267340886E-6</v>
      </c>
      <c r="E37424" s="1">
        <v>4.3455399550671099E-6</v>
      </c>
      <c r="F37424" s="1">
        <v>1.1639760746210099E-5</v>
      </c>
    </row>
    <row r="37425" spans="1:6" x14ac:dyDescent="0.25">
      <c r="A37425" s="2" t="str">
        <f t="shared" si="1246"/>
        <v>99999</v>
      </c>
      <c r="B37425" s="2" t="str">
        <f>"05341"</f>
        <v>05341</v>
      </c>
      <c r="C37425" s="1">
        <v>1.6261585834216E-5</v>
      </c>
      <c r="D37425" s="1">
        <v>7.5880133670443404E-6</v>
      </c>
      <c r="E37425" s="1">
        <v>1.3036619865201299E-5</v>
      </c>
      <c r="F37425" s="1">
        <v>1.5619166129529801E-5</v>
      </c>
    </row>
    <row r="37426" spans="1:6" x14ac:dyDescent="0.25">
      <c r="A37426" s="2" t="str">
        <f t="shared" si="1246"/>
        <v>99999</v>
      </c>
      <c r="B37426" s="2" t="str">
        <f>"05346"</f>
        <v>05346</v>
      </c>
      <c r="C37426" s="1">
        <v>2.6258641286660298E-4</v>
      </c>
      <c r="D37426" s="1">
        <v>1.01679379118394E-4</v>
      </c>
      <c r="E37426" s="1">
        <v>2.4769577743882499E-4</v>
      </c>
      <c r="F37426" s="1">
        <v>2.5169739049497099E-4</v>
      </c>
    </row>
    <row r="37427" spans="1:6" x14ac:dyDescent="0.25">
      <c r="A37427" s="2" t="str">
        <f t="shared" si="1246"/>
        <v>99999</v>
      </c>
      <c r="B37427" s="2" t="str">
        <f>"05159"</f>
        <v>05159</v>
      </c>
      <c r="C37427" s="1">
        <v>0</v>
      </c>
      <c r="D37427" s="1">
        <v>1.51760267340886E-6</v>
      </c>
      <c r="E37427" s="1">
        <v>0</v>
      </c>
      <c r="F37427" s="1">
        <v>9.9485134582992598E-8</v>
      </c>
    </row>
    <row r="37428" spans="1:6" x14ac:dyDescent="0.25">
      <c r="A37428" s="2" t="str">
        <f t="shared" si="1246"/>
        <v>99999</v>
      </c>
      <c r="B37428" s="2" t="str">
        <f>"05158"</f>
        <v>05158</v>
      </c>
      <c r="C37428" s="1">
        <v>4.1363362625287799E-5</v>
      </c>
      <c r="D37428" s="1">
        <v>8.043294169067E-5</v>
      </c>
      <c r="E37428" s="1">
        <v>4.3455399550671103E-5</v>
      </c>
      <c r="F37428" s="1">
        <v>4.39724294856827E-5</v>
      </c>
    </row>
    <row r="37429" spans="1:6" x14ac:dyDescent="0.25">
      <c r="A37429" s="2" t="str">
        <f t="shared" si="1246"/>
        <v>99999</v>
      </c>
      <c r="B37429" s="2" t="str">
        <f>"04985"</f>
        <v>04985</v>
      </c>
      <c r="C37429" s="1">
        <v>9.6041580765839897E-6</v>
      </c>
      <c r="D37429" s="1">
        <v>1.8211232080906399E-5</v>
      </c>
      <c r="E37429" s="1">
        <v>1.7382159820268399E-5</v>
      </c>
      <c r="F37429" s="1">
        <v>1.03464539966312E-5</v>
      </c>
    </row>
    <row r="37430" spans="1:6" x14ac:dyDescent="0.25">
      <c r="A37430" s="2" t="str">
        <f t="shared" si="1246"/>
        <v>99999</v>
      </c>
      <c r="B37430" s="2" t="str">
        <f>"04974"</f>
        <v>04974</v>
      </c>
      <c r="C37430" s="1">
        <v>2.23733227920422E-4</v>
      </c>
      <c r="D37430" s="1">
        <v>1.5024266466747799E-4</v>
      </c>
      <c r="E37430" s="1">
        <v>2.9549671694456298E-4</v>
      </c>
      <c r="F37430" s="1">
        <v>2.2055854337049401E-4</v>
      </c>
    </row>
    <row r="37431" spans="1:6" x14ac:dyDescent="0.25">
      <c r="A37431" s="2" t="str">
        <f t="shared" si="1246"/>
        <v>99999</v>
      </c>
      <c r="B37431" s="2" t="str">
        <f>"04967"</f>
        <v>04967</v>
      </c>
      <c r="C37431" s="1">
        <v>2.02778701207875E-4</v>
      </c>
      <c r="D37431" s="1">
        <v>2.5192204378587197E-4</v>
      </c>
      <c r="E37431" s="1">
        <v>4.0848075577630798E-4</v>
      </c>
      <c r="F37431" s="1">
        <v>2.1070951504677799E-4</v>
      </c>
    </row>
    <row r="37432" spans="1:6" x14ac:dyDescent="0.25">
      <c r="A37432" s="2" t="str">
        <f t="shared" si="1246"/>
        <v>99999</v>
      </c>
      <c r="B37432" s="2" t="str">
        <f>"04956"</f>
        <v>04956</v>
      </c>
      <c r="C37432" s="1">
        <v>3.4705934867655701E-5</v>
      </c>
      <c r="D37432" s="1">
        <v>3.0352053468177301E-6</v>
      </c>
      <c r="E37432" s="1">
        <v>2.1727699775335501E-5</v>
      </c>
      <c r="F37432" s="1">
        <v>3.2332668739472599E-5</v>
      </c>
    </row>
    <row r="37433" spans="1:6" x14ac:dyDescent="0.25">
      <c r="A37433" s="2" t="str">
        <f t="shared" si="1246"/>
        <v>99999</v>
      </c>
      <c r="B37433" s="2" t="str">
        <f>"04943"</f>
        <v>04943</v>
      </c>
      <c r="C37433" s="1">
        <v>9.0475534607819606E-5</v>
      </c>
      <c r="D37433" s="1">
        <v>2.1246437427724101E-5</v>
      </c>
      <c r="E37433" s="1">
        <v>3.9109859595604001E-5</v>
      </c>
      <c r="F37433" s="1">
        <v>8.4761334664709706E-5</v>
      </c>
    </row>
    <row r="37434" spans="1:6" x14ac:dyDescent="0.25">
      <c r="A37434" s="2" t="str">
        <f t="shared" si="1246"/>
        <v>99999</v>
      </c>
      <c r="B37434" s="2" t="str">
        <f>"04921"</f>
        <v>04921</v>
      </c>
      <c r="C37434" s="1">
        <v>8.5346041089644104E-5</v>
      </c>
      <c r="D37434" s="1">
        <v>1.9728834754315301E-5</v>
      </c>
      <c r="E37434" s="1">
        <v>5.6492019415872502E-5</v>
      </c>
      <c r="F37434" s="1">
        <v>8.0383988743058002E-5</v>
      </c>
    </row>
    <row r="37435" spans="1:6" x14ac:dyDescent="0.25">
      <c r="A37435" s="2" t="str">
        <f t="shared" si="1246"/>
        <v>99999</v>
      </c>
      <c r="B37435" s="2" t="str">
        <f>"04864"</f>
        <v>04864</v>
      </c>
      <c r="C37435" s="1">
        <v>1.9262885233148501E-4</v>
      </c>
      <c r="D37435" s="1">
        <v>1.13820200505665E-4</v>
      </c>
      <c r="E37435" s="1">
        <v>1.2602065869694599E-4</v>
      </c>
      <c r="F37435" s="1">
        <v>1.8593771653561299E-4</v>
      </c>
    </row>
    <row r="37436" spans="1:6" x14ac:dyDescent="0.25">
      <c r="A37436" s="2" t="str">
        <f t="shared" si="1246"/>
        <v>99999</v>
      </c>
      <c r="B37436" s="2" t="str">
        <f>"04785"</f>
        <v>04785</v>
      </c>
      <c r="C37436" s="1">
        <v>1.42097884269458E-4</v>
      </c>
      <c r="D37436" s="1">
        <v>1.82112320809064E-4</v>
      </c>
      <c r="E37436" s="1">
        <v>3.4764319640536898E-4</v>
      </c>
      <c r="F37436" s="1">
        <v>1.49426672143654E-4</v>
      </c>
    </row>
    <row r="37437" spans="1:6" x14ac:dyDescent="0.25">
      <c r="A37437" s="2" t="str">
        <f t="shared" si="1246"/>
        <v>99999</v>
      </c>
      <c r="B37437" s="2" t="str">
        <f>"04780"</f>
        <v>04780</v>
      </c>
      <c r="C37437" s="1">
        <v>3.4269382227811E-5</v>
      </c>
      <c r="D37437" s="1">
        <v>1.3658424060679801E-5</v>
      </c>
      <c r="E37437" s="1">
        <v>4.3455399550671099E-6</v>
      </c>
      <c r="F37437" s="1">
        <v>3.2233183604889601E-5</v>
      </c>
    </row>
    <row r="37438" spans="1:6" x14ac:dyDescent="0.25">
      <c r="A37438" s="2" t="str">
        <f t="shared" si="1246"/>
        <v>99999</v>
      </c>
      <c r="B37438" s="2" t="str">
        <f>"04776"</f>
        <v>04776</v>
      </c>
      <c r="C37438" s="1">
        <v>4.9985277262221202E-5</v>
      </c>
      <c r="D37438" s="1">
        <v>2.2764040101133E-5</v>
      </c>
      <c r="E37438" s="1">
        <v>2.60732397304027E-5</v>
      </c>
      <c r="F37438" s="1">
        <v>4.7653379465253401E-5</v>
      </c>
    </row>
    <row r="37439" spans="1:6" x14ac:dyDescent="0.25">
      <c r="A37439" s="2" t="str">
        <f t="shared" si="1246"/>
        <v>99999</v>
      </c>
      <c r="B37439" s="2" t="str">
        <f>"04744"</f>
        <v>04744</v>
      </c>
      <c r="C37439" s="1">
        <v>0</v>
      </c>
      <c r="D37439" s="1">
        <v>0</v>
      </c>
      <c r="E37439" s="1">
        <v>4.3455399550671099E-6</v>
      </c>
      <c r="F37439" s="1">
        <v>9.9485134582992598E-8</v>
      </c>
    </row>
    <row r="37440" spans="1:6" x14ac:dyDescent="0.25">
      <c r="A37440" s="2" t="str">
        <f t="shared" si="1246"/>
        <v>99999</v>
      </c>
      <c r="B37440" s="2" t="str">
        <f>"04764"</f>
        <v>04764</v>
      </c>
      <c r="C37440" s="1">
        <v>4.9112171982531701E-6</v>
      </c>
      <c r="D37440" s="1">
        <v>6.0704106936354696E-6</v>
      </c>
      <c r="E37440" s="1">
        <v>0</v>
      </c>
      <c r="F37440" s="1">
        <v>4.8747715945666299E-6</v>
      </c>
    </row>
    <row r="37441" spans="1:6" x14ac:dyDescent="0.25">
      <c r="A37441" s="2" t="str">
        <f t="shared" si="1246"/>
        <v>99999</v>
      </c>
      <c r="B37441" s="2" t="str">
        <f>"04751"</f>
        <v>04751</v>
      </c>
      <c r="C37441" s="1">
        <v>0</v>
      </c>
      <c r="D37441" s="1">
        <v>1.51760267340886E-6</v>
      </c>
      <c r="E37441" s="1">
        <v>0</v>
      </c>
      <c r="F37441" s="1">
        <v>9.9485134582992598E-8</v>
      </c>
    </row>
    <row r="37442" spans="1:6" x14ac:dyDescent="0.25">
      <c r="A37442" s="2" t="str">
        <f t="shared" si="1246"/>
        <v>99999</v>
      </c>
      <c r="B37442" s="2" t="str">
        <f>"04750"</f>
        <v>04750</v>
      </c>
      <c r="C37442" s="1">
        <v>1.14813344279163E-4</v>
      </c>
      <c r="D37442" s="1">
        <v>1.3354903525998E-4</v>
      </c>
      <c r="E37442" s="1">
        <v>4.30208455551644E-4</v>
      </c>
      <c r="F37442" s="1">
        <v>1.2326208174832701E-4</v>
      </c>
    </row>
    <row r="37443" spans="1:6" x14ac:dyDescent="0.25">
      <c r="A37443" s="2" t="str">
        <f t="shared" si="1246"/>
        <v>99999</v>
      </c>
      <c r="B37443" s="2" t="str">
        <f>"04747"</f>
        <v>04747</v>
      </c>
      <c r="C37443" s="1">
        <v>5.7515810299542702E-5</v>
      </c>
      <c r="D37443" s="1">
        <v>2.7316848121359601E-5</v>
      </c>
      <c r="E37443" s="1">
        <v>5.6492019415872502E-5</v>
      </c>
      <c r="F37443" s="1">
        <v>5.5512705097309803E-5</v>
      </c>
    </row>
    <row r="37444" spans="1:6" x14ac:dyDescent="0.25">
      <c r="A37444" s="2" t="str">
        <f t="shared" si="1246"/>
        <v>99999</v>
      </c>
      <c r="B37444" s="2" t="str">
        <f>"04768"</f>
        <v>04768</v>
      </c>
      <c r="C37444" s="1">
        <v>6.7665659175932598E-6</v>
      </c>
      <c r="D37444" s="1">
        <v>1.51760267340886E-6</v>
      </c>
      <c r="E37444" s="1">
        <v>4.3455399550671099E-6</v>
      </c>
      <c r="F37444" s="1">
        <v>6.3670486133115203E-6</v>
      </c>
    </row>
    <row r="37445" spans="1:6" x14ac:dyDescent="0.25">
      <c r="A37445" s="2" t="str">
        <f t="shared" si="1246"/>
        <v>99999</v>
      </c>
      <c r="B37445" s="2" t="str">
        <f>"04686"</f>
        <v>04686</v>
      </c>
      <c r="C37445" s="1">
        <v>1.09138159961181E-5</v>
      </c>
      <c r="D37445" s="1">
        <v>3.0352053468177301E-6</v>
      </c>
      <c r="E37445" s="1">
        <v>8.69107991013423E-6</v>
      </c>
      <c r="F37445" s="1">
        <v>1.03464539966312E-5</v>
      </c>
    </row>
    <row r="37446" spans="1:6" x14ac:dyDescent="0.25">
      <c r="A37446" s="2" t="str">
        <f t="shared" si="1246"/>
        <v>99999</v>
      </c>
      <c r="B37446" s="2" t="str">
        <f>"04677"</f>
        <v>04677</v>
      </c>
      <c r="C37446" s="1">
        <v>2.1172803032469199E-5</v>
      </c>
      <c r="D37446" s="1">
        <v>9.1056160404532095E-6</v>
      </c>
      <c r="E37446" s="1">
        <v>3.47643196405369E-5</v>
      </c>
      <c r="F37446" s="1">
        <v>2.06929079932624E-5</v>
      </c>
    </row>
    <row r="37447" spans="1:6" x14ac:dyDescent="0.25">
      <c r="A37447" s="2" t="str">
        <f t="shared" si="1246"/>
        <v>99999</v>
      </c>
      <c r="B37447" s="2" t="str">
        <f>"04664"</f>
        <v>04664</v>
      </c>
      <c r="C37447" s="1">
        <v>6.7447382856010302E-5</v>
      </c>
      <c r="D37447" s="1">
        <v>3.0352053468177301E-5</v>
      </c>
      <c r="E37447" s="1">
        <v>4.7800939505738197E-5</v>
      </c>
      <c r="F37447" s="1">
        <v>6.4565852344362193E-5</v>
      </c>
    </row>
    <row r="37448" spans="1:6" x14ac:dyDescent="0.25">
      <c r="A37448" s="2" t="str">
        <f t="shared" si="1246"/>
        <v>99999</v>
      </c>
      <c r="B37448" s="2" t="str">
        <f>"04733"</f>
        <v>04733</v>
      </c>
      <c r="C37448" s="1">
        <v>7.2031185574379897E-6</v>
      </c>
      <c r="D37448" s="1">
        <v>1.51760267340886E-6</v>
      </c>
      <c r="E37448" s="1">
        <v>4.3455399550671099E-6</v>
      </c>
      <c r="F37448" s="1">
        <v>6.7649891516434898E-6</v>
      </c>
    </row>
    <row r="37449" spans="1:6" x14ac:dyDescent="0.25">
      <c r="A37449" s="2" t="str">
        <f t="shared" si="1246"/>
        <v>99999</v>
      </c>
      <c r="B37449" s="2" t="str">
        <f>"04637"</f>
        <v>04637</v>
      </c>
      <c r="C37449" s="1">
        <v>0</v>
      </c>
      <c r="D37449" s="1">
        <v>0</v>
      </c>
      <c r="E37449" s="1">
        <v>4.3455399550671099E-6</v>
      </c>
      <c r="F37449" s="1">
        <v>9.9485134582992598E-8</v>
      </c>
    </row>
    <row r="37450" spans="1:6" x14ac:dyDescent="0.25">
      <c r="A37450" s="2" t="str">
        <f t="shared" si="1246"/>
        <v>99999</v>
      </c>
      <c r="B37450" s="2" t="str">
        <f>"04630"</f>
        <v>04630</v>
      </c>
      <c r="C37450" s="1">
        <v>6.2317889337834705E-5</v>
      </c>
      <c r="D37450" s="1">
        <v>4.0975272182039399E-5</v>
      </c>
      <c r="E37450" s="1">
        <v>2.60732397304027E-5</v>
      </c>
      <c r="F37450" s="1">
        <v>6.0089021288127497E-5</v>
      </c>
    </row>
    <row r="37451" spans="1:6" x14ac:dyDescent="0.25">
      <c r="A37451" s="2" t="str">
        <f t="shared" si="1246"/>
        <v>99999</v>
      </c>
      <c r="B37451" s="2" t="str">
        <f>"04611"</f>
        <v>04611</v>
      </c>
      <c r="C37451" s="1">
        <v>8.7310527968945299E-7</v>
      </c>
      <c r="D37451" s="1">
        <v>0</v>
      </c>
      <c r="E37451" s="1">
        <v>4.3455399550671099E-6</v>
      </c>
      <c r="F37451" s="1">
        <v>8.9536621124693305E-7</v>
      </c>
    </row>
    <row r="37452" spans="1:6" x14ac:dyDescent="0.25">
      <c r="A37452" s="2" t="str">
        <f t="shared" si="1246"/>
        <v>99999</v>
      </c>
      <c r="B37452" s="2" t="str">
        <f>"04578"</f>
        <v>04578</v>
      </c>
      <c r="C37452" s="1">
        <v>2.4763448495192101E-4</v>
      </c>
      <c r="D37452" s="1">
        <v>1.66936294074975E-4</v>
      </c>
      <c r="E37452" s="1">
        <v>3.43297656450302E-4</v>
      </c>
      <c r="F37452" s="1">
        <v>2.4453446080499499E-4</v>
      </c>
    </row>
    <row r="37453" spans="1:6" x14ac:dyDescent="0.25">
      <c r="A37453" s="2" t="str">
        <f t="shared" si="1246"/>
        <v>99999</v>
      </c>
      <c r="B37453" s="2" t="str">
        <f>"04543"</f>
        <v>04543</v>
      </c>
      <c r="C37453" s="1">
        <v>1.10993508680521E-4</v>
      </c>
      <c r="D37453" s="1">
        <v>1.8362992348247299E-4</v>
      </c>
      <c r="E37453" s="1">
        <v>2.4335023748375801E-4</v>
      </c>
      <c r="F37453" s="1">
        <v>1.18785250692093E-4</v>
      </c>
    </row>
    <row r="37454" spans="1:6" x14ac:dyDescent="0.25">
      <c r="A37454" s="2" t="str">
        <f t="shared" si="1246"/>
        <v>99999</v>
      </c>
      <c r="B37454" s="2" t="str">
        <f>"04491"</f>
        <v>04491</v>
      </c>
      <c r="C37454" s="1">
        <v>0</v>
      </c>
      <c r="D37454" s="1">
        <v>0</v>
      </c>
      <c r="E37454" s="1">
        <v>8.69107991013423E-6</v>
      </c>
      <c r="F37454" s="1">
        <v>1.9897026916598501E-7</v>
      </c>
    </row>
    <row r="37455" spans="1:6" x14ac:dyDescent="0.25">
      <c r="A37455" s="2" t="str">
        <f t="shared" si="1246"/>
        <v>99999</v>
      </c>
      <c r="B37455" s="2" t="str">
        <f>"04481"</f>
        <v>04481</v>
      </c>
      <c r="C37455" s="1">
        <v>4.0490257345598397E-5</v>
      </c>
      <c r="D37455" s="1">
        <v>1.3658424060679801E-5</v>
      </c>
      <c r="E37455" s="1">
        <v>4.3455399550671099E-6</v>
      </c>
      <c r="F37455" s="1">
        <v>3.7903836276120103E-5</v>
      </c>
    </row>
    <row r="37456" spans="1:6" x14ac:dyDescent="0.25">
      <c r="A37456" s="2" t="str">
        <f t="shared" si="1246"/>
        <v>99999</v>
      </c>
      <c r="B37456" s="2" t="str">
        <f>"04416"</f>
        <v>04416</v>
      </c>
      <c r="C37456" s="1">
        <v>2.3846687951518199E-4</v>
      </c>
      <c r="D37456" s="1">
        <v>1.07749789812029E-4</v>
      </c>
      <c r="E37456" s="1">
        <v>3.0418779685469798E-4</v>
      </c>
      <c r="F37456" s="1">
        <v>2.3140242304004E-4</v>
      </c>
    </row>
    <row r="37457" spans="1:6" x14ac:dyDescent="0.25">
      <c r="A37457" s="2" t="str">
        <f t="shared" si="1246"/>
        <v>99999</v>
      </c>
      <c r="B37457" s="2" t="str">
        <f>"04348"</f>
        <v>04348</v>
      </c>
      <c r="C37457" s="1">
        <v>1.7200174009882201E-4</v>
      </c>
      <c r="D37457" s="1">
        <v>2.5799245447950699E-5</v>
      </c>
      <c r="E37457" s="1">
        <v>2.60732397304027E-5</v>
      </c>
      <c r="F37457" s="1">
        <v>1.5907673019820501E-4</v>
      </c>
    </row>
    <row r="37458" spans="1:6" x14ac:dyDescent="0.25">
      <c r="A37458" s="2" t="str">
        <f t="shared" ref="A37458:A37521" si="1247">"99999"</f>
        <v>99999</v>
      </c>
      <c r="B37458" s="2" t="str">
        <f>"04294"</f>
        <v>04294</v>
      </c>
      <c r="C37458" s="1">
        <v>1.6425293074157801E-4</v>
      </c>
      <c r="D37458" s="1">
        <v>1.2899622723975301E-4</v>
      </c>
      <c r="E37458" s="1">
        <v>1.3471173860707999E-4</v>
      </c>
      <c r="F37458" s="1">
        <v>1.6126540315903099E-4</v>
      </c>
    </row>
    <row r="37459" spans="1:6" x14ac:dyDescent="0.25">
      <c r="A37459" s="2" t="str">
        <f t="shared" si="1247"/>
        <v>99999</v>
      </c>
      <c r="B37459" s="2" t="str">
        <f>"04275"</f>
        <v>04275</v>
      </c>
      <c r="C37459" s="1">
        <v>3.04495466291697E-5</v>
      </c>
      <c r="D37459" s="1">
        <v>1.0623218713862E-5</v>
      </c>
      <c r="E37459" s="1">
        <v>4.3455399550671099E-6</v>
      </c>
      <c r="F37459" s="1">
        <v>2.8552233625318801E-5</v>
      </c>
    </row>
    <row r="37460" spans="1:6" x14ac:dyDescent="0.25">
      <c r="A37460" s="2" t="str">
        <f t="shared" si="1247"/>
        <v>99999</v>
      </c>
      <c r="B37460" s="2" t="str">
        <f>"04257"</f>
        <v>04257</v>
      </c>
      <c r="C37460" s="1">
        <v>1.6217930570231601E-4</v>
      </c>
      <c r="D37460" s="1">
        <v>1.9273553952292601E-4</v>
      </c>
      <c r="E37460" s="1">
        <v>6.2575775352966402E-4</v>
      </c>
      <c r="F37460" s="1">
        <v>1.74795381462318E-4</v>
      </c>
    </row>
    <row r="37461" spans="1:6" x14ac:dyDescent="0.25">
      <c r="A37461" s="2" t="str">
        <f t="shared" si="1247"/>
        <v>99999</v>
      </c>
      <c r="B37461" s="2" t="str">
        <f>"04226"</f>
        <v>04226</v>
      </c>
      <c r="C37461" s="1">
        <v>3.7106974386801701E-6</v>
      </c>
      <c r="D37461" s="1">
        <v>0</v>
      </c>
      <c r="E37461" s="1">
        <v>4.3455399550671099E-6</v>
      </c>
      <c r="F37461" s="1">
        <v>3.48197971040474E-6</v>
      </c>
    </row>
    <row r="37462" spans="1:6" x14ac:dyDescent="0.25">
      <c r="A37462" s="2" t="str">
        <f t="shared" si="1247"/>
        <v>99999</v>
      </c>
      <c r="B37462" s="2" t="str">
        <f>"04051"</f>
        <v>04051</v>
      </c>
      <c r="C37462" s="1">
        <v>6.6137724936476104E-5</v>
      </c>
      <c r="D37462" s="1">
        <v>2.7316848121359601E-5</v>
      </c>
      <c r="E37462" s="1">
        <v>8.69107991013423E-6</v>
      </c>
      <c r="F37462" s="1">
        <v>6.2277694248953302E-5</v>
      </c>
    </row>
    <row r="37463" spans="1:6" x14ac:dyDescent="0.25">
      <c r="A37463" s="2" t="str">
        <f t="shared" si="1247"/>
        <v>99999</v>
      </c>
      <c r="B37463" s="2" t="str">
        <f>"03847"</f>
        <v>03847</v>
      </c>
      <c r="C37463" s="1">
        <v>1.28783028754194E-5</v>
      </c>
      <c r="D37463" s="1">
        <v>9.1056160404532095E-6</v>
      </c>
      <c r="E37463" s="1">
        <v>8.69107991013423E-6</v>
      </c>
      <c r="F37463" s="1">
        <v>1.2535126957457E-5</v>
      </c>
    </row>
    <row r="37464" spans="1:6" x14ac:dyDescent="0.25">
      <c r="A37464" s="2" t="str">
        <f t="shared" si="1247"/>
        <v>99999</v>
      </c>
      <c r="B37464" s="2" t="str">
        <f>"03832"</f>
        <v>03832</v>
      </c>
      <c r="C37464" s="1">
        <v>3.2741447988354498E-7</v>
      </c>
      <c r="D37464" s="1">
        <v>0</v>
      </c>
      <c r="E37464" s="1">
        <v>4.3455399550671099E-6</v>
      </c>
      <c r="F37464" s="1">
        <v>3.9794053833197002E-7</v>
      </c>
    </row>
    <row r="37465" spans="1:6" x14ac:dyDescent="0.25">
      <c r="A37465" s="2" t="str">
        <f t="shared" si="1247"/>
        <v>99999</v>
      </c>
      <c r="B37465" s="2" t="str">
        <f>"03816"</f>
        <v>03816</v>
      </c>
      <c r="C37465" s="1">
        <v>5.7079257659698001E-5</v>
      </c>
      <c r="D37465" s="1">
        <v>7.5880133670443404E-6</v>
      </c>
      <c r="E37465" s="1">
        <v>8.69107991013423E-6</v>
      </c>
      <c r="F37465" s="1">
        <v>5.2727121328986E-5</v>
      </c>
    </row>
    <row r="37466" spans="1:6" x14ac:dyDescent="0.25">
      <c r="A37466" s="2" t="str">
        <f t="shared" si="1247"/>
        <v>99999</v>
      </c>
      <c r="B37466" s="2" t="str">
        <f>"00830"</f>
        <v>00830</v>
      </c>
      <c r="C37466" s="1">
        <v>9.9970554524442403E-5</v>
      </c>
      <c r="D37466" s="1">
        <v>1.12302597832256E-4</v>
      </c>
      <c r="E37466" s="1">
        <v>4.3455399550671099E-6</v>
      </c>
      <c r="F37466" s="1">
        <v>9.8589768371745706E-5</v>
      </c>
    </row>
    <row r="37467" spans="1:6" x14ac:dyDescent="0.25">
      <c r="A37467" s="2" t="str">
        <f t="shared" si="1247"/>
        <v>99999</v>
      </c>
      <c r="B37467" s="2" t="str">
        <f>"00820"</f>
        <v>00820</v>
      </c>
      <c r="C37467" s="1">
        <v>5.7755914251457301E-4</v>
      </c>
      <c r="D37467" s="1">
        <v>2.5890301608355302E-3</v>
      </c>
      <c r="E37467" s="1">
        <v>2.7898366511530802E-3</v>
      </c>
      <c r="F37467" s="1">
        <v>7.6006642821406295E-4</v>
      </c>
    </row>
    <row r="37468" spans="1:6" x14ac:dyDescent="0.25">
      <c r="A37468" s="2" t="str">
        <f t="shared" si="1247"/>
        <v>99999</v>
      </c>
      <c r="B37468" s="2" t="str">
        <f>"99686"</f>
        <v>99686</v>
      </c>
      <c r="C37468" s="1">
        <v>3.05586847891308E-6</v>
      </c>
      <c r="D37468" s="1">
        <v>7.5880133670443404E-6</v>
      </c>
      <c r="E37468" s="1">
        <v>4.3455399550671099E-6</v>
      </c>
      <c r="F37468" s="1">
        <v>3.3824945758217398E-6</v>
      </c>
    </row>
    <row r="37469" spans="1:6" x14ac:dyDescent="0.25">
      <c r="A37469" s="2" t="str">
        <f t="shared" si="1247"/>
        <v>99999</v>
      </c>
      <c r="B37469" s="2" t="str">
        <f>"99671"</f>
        <v>99671</v>
      </c>
      <c r="C37469" s="1">
        <v>0</v>
      </c>
      <c r="D37469" s="1">
        <v>0</v>
      </c>
      <c r="E37469" s="1">
        <v>4.3455399550671099E-6</v>
      </c>
      <c r="F37469" s="1">
        <v>9.9485134582992598E-8</v>
      </c>
    </row>
    <row r="37470" spans="1:6" x14ac:dyDescent="0.25">
      <c r="A37470" s="2" t="str">
        <f t="shared" si="1247"/>
        <v>99999</v>
      </c>
      <c r="B37470" s="2" t="str">
        <f>"99670"</f>
        <v>99670</v>
      </c>
      <c r="C37470" s="1">
        <v>0</v>
      </c>
      <c r="D37470" s="1">
        <v>0</v>
      </c>
      <c r="E37470" s="1">
        <v>4.3455399550671099E-6</v>
      </c>
      <c r="F37470" s="1">
        <v>9.9485134582992598E-8</v>
      </c>
    </row>
    <row r="37471" spans="1:6" x14ac:dyDescent="0.25">
      <c r="A37471" s="2" t="str">
        <f t="shared" si="1247"/>
        <v>99999</v>
      </c>
      <c r="B37471" s="2" t="str">
        <f>"99689"</f>
        <v>99689</v>
      </c>
      <c r="C37471" s="1">
        <v>0</v>
      </c>
      <c r="D37471" s="1">
        <v>0</v>
      </c>
      <c r="E37471" s="1">
        <v>4.3455399550671099E-6</v>
      </c>
      <c r="F37471" s="1">
        <v>9.9485134582992598E-8</v>
      </c>
    </row>
    <row r="37472" spans="1:6" x14ac:dyDescent="0.25">
      <c r="A37472" s="2" t="str">
        <f t="shared" si="1247"/>
        <v>99999</v>
      </c>
      <c r="B37472" s="2" t="str">
        <f>"99704"</f>
        <v>99704</v>
      </c>
      <c r="C37472" s="1">
        <v>0</v>
      </c>
      <c r="D37472" s="1">
        <v>1.51760267340886E-6</v>
      </c>
      <c r="E37472" s="1">
        <v>4.3455399550671099E-6</v>
      </c>
      <c r="F37472" s="1">
        <v>1.9897026916598501E-7</v>
      </c>
    </row>
    <row r="37473" spans="1:6" x14ac:dyDescent="0.25">
      <c r="A37473" s="2" t="str">
        <f t="shared" si="1247"/>
        <v>99999</v>
      </c>
      <c r="B37473" s="2" t="str">
        <f>"99641"</f>
        <v>99641</v>
      </c>
      <c r="C37473" s="1">
        <v>0</v>
      </c>
      <c r="D37473" s="1">
        <v>0</v>
      </c>
      <c r="E37473" s="1">
        <v>4.3455399550671099E-6</v>
      </c>
      <c r="F37473" s="1">
        <v>9.9485134582992598E-8</v>
      </c>
    </row>
    <row r="37474" spans="1:6" x14ac:dyDescent="0.25">
      <c r="A37474" s="2" t="str">
        <f t="shared" si="1247"/>
        <v>99999</v>
      </c>
      <c r="B37474" s="2" t="str">
        <f>"99637"</f>
        <v>99637</v>
      </c>
      <c r="C37474" s="1">
        <v>0</v>
      </c>
      <c r="D37474" s="1">
        <v>0</v>
      </c>
      <c r="E37474" s="1">
        <v>4.3455399550671099E-6</v>
      </c>
      <c r="F37474" s="1">
        <v>9.9485134582992598E-8</v>
      </c>
    </row>
    <row r="37475" spans="1:6" x14ac:dyDescent="0.25">
      <c r="A37475" s="2" t="str">
        <f t="shared" si="1247"/>
        <v>99999</v>
      </c>
      <c r="B37475" s="2" t="str">
        <f>"99610"</f>
        <v>99610</v>
      </c>
      <c r="C37475" s="1">
        <v>2.1500217512352799E-5</v>
      </c>
      <c r="D37475" s="1">
        <v>1.51760267340886E-6</v>
      </c>
      <c r="E37475" s="1">
        <v>4.3455399550671099E-6</v>
      </c>
      <c r="F37475" s="1">
        <v>1.9797541782015501E-5</v>
      </c>
    </row>
    <row r="37476" spans="1:6" x14ac:dyDescent="0.25">
      <c r="A37476" s="2" t="str">
        <f t="shared" si="1247"/>
        <v>99999</v>
      </c>
      <c r="B37476" s="2" t="str">
        <f>"99604"</f>
        <v>99604</v>
      </c>
      <c r="C37476" s="1">
        <v>0</v>
      </c>
      <c r="D37476" s="1">
        <v>0</v>
      </c>
      <c r="E37476" s="1">
        <v>4.3455399550671099E-6</v>
      </c>
      <c r="F37476" s="1">
        <v>9.9485134582992598E-8</v>
      </c>
    </row>
    <row r="37477" spans="1:6" x14ac:dyDescent="0.25">
      <c r="A37477" s="2" t="str">
        <f t="shared" si="1247"/>
        <v>99999</v>
      </c>
      <c r="B37477" s="2" t="str">
        <f>"99614"</f>
        <v>99614</v>
      </c>
      <c r="C37477" s="1">
        <v>0</v>
      </c>
      <c r="D37477" s="1">
        <v>0</v>
      </c>
      <c r="E37477" s="1">
        <v>4.3455399550671099E-6</v>
      </c>
      <c r="F37477" s="1">
        <v>9.9485134582992598E-8</v>
      </c>
    </row>
    <row r="37478" spans="1:6" x14ac:dyDescent="0.25">
      <c r="A37478" s="2" t="str">
        <f t="shared" si="1247"/>
        <v>99999</v>
      </c>
      <c r="B37478" s="2" t="str">
        <f>"99580"</f>
        <v>99580</v>
      </c>
      <c r="C37478" s="1">
        <v>0</v>
      </c>
      <c r="D37478" s="1">
        <v>0</v>
      </c>
      <c r="E37478" s="1">
        <v>4.3455399550671099E-6</v>
      </c>
      <c r="F37478" s="1">
        <v>9.9485134582992598E-8</v>
      </c>
    </row>
    <row r="37479" spans="1:6" x14ac:dyDescent="0.25">
      <c r="A37479" s="2" t="str">
        <f t="shared" si="1247"/>
        <v>99999</v>
      </c>
      <c r="B37479" s="2" t="str">
        <f>"99579"</f>
        <v>99579</v>
      </c>
      <c r="C37479" s="1">
        <v>0</v>
      </c>
      <c r="D37479" s="1">
        <v>0</v>
      </c>
      <c r="E37479" s="1">
        <v>4.3455399550671099E-6</v>
      </c>
      <c r="F37479" s="1">
        <v>9.9485134582992598E-8</v>
      </c>
    </row>
    <row r="37480" spans="1:6" x14ac:dyDescent="0.25">
      <c r="A37480" s="2" t="str">
        <f t="shared" si="1247"/>
        <v>99999</v>
      </c>
      <c r="B37480" s="2" t="str">
        <f>"99576"</f>
        <v>99576</v>
      </c>
      <c r="C37480" s="1">
        <v>2.1827631992236301E-7</v>
      </c>
      <c r="D37480" s="1">
        <v>0</v>
      </c>
      <c r="E37480" s="1">
        <v>1.3036619865201299E-5</v>
      </c>
      <c r="F37480" s="1">
        <v>4.9742567291496303E-7</v>
      </c>
    </row>
    <row r="37481" spans="1:6" x14ac:dyDescent="0.25">
      <c r="A37481" s="2" t="str">
        <f t="shared" si="1247"/>
        <v>99999</v>
      </c>
      <c r="B37481" s="2" t="str">
        <f>"99553"</f>
        <v>99553</v>
      </c>
      <c r="C37481" s="1">
        <v>0</v>
      </c>
      <c r="D37481" s="1">
        <v>3.0352053468177301E-6</v>
      </c>
      <c r="E37481" s="1">
        <v>4.3455399550671099E-6</v>
      </c>
      <c r="F37481" s="1">
        <v>2.9845540374897701E-7</v>
      </c>
    </row>
    <row r="37482" spans="1:6" x14ac:dyDescent="0.25">
      <c r="A37482" s="2" t="str">
        <f t="shared" si="1247"/>
        <v>99999</v>
      </c>
      <c r="B37482" s="2" t="str">
        <f>"99552"</f>
        <v>99552</v>
      </c>
      <c r="C37482" s="1">
        <v>0</v>
      </c>
      <c r="D37482" s="1">
        <v>0</v>
      </c>
      <c r="E37482" s="1">
        <v>4.3455399550671099E-6</v>
      </c>
      <c r="F37482" s="1">
        <v>9.9485134582992598E-8</v>
      </c>
    </row>
    <row r="37483" spans="1:6" x14ac:dyDescent="0.25">
      <c r="A37483" s="2" t="str">
        <f t="shared" si="1247"/>
        <v>99999</v>
      </c>
      <c r="B37483" s="2" t="str">
        <f>"99545"</f>
        <v>99545</v>
      </c>
      <c r="C37483" s="1">
        <v>0</v>
      </c>
      <c r="D37483" s="1">
        <v>0</v>
      </c>
      <c r="E37483" s="1">
        <v>4.3455399550671099E-6</v>
      </c>
      <c r="F37483" s="1">
        <v>9.9485134582992598E-8</v>
      </c>
    </row>
    <row r="37484" spans="1:6" x14ac:dyDescent="0.25">
      <c r="A37484" s="2" t="str">
        <f t="shared" si="1247"/>
        <v>99999</v>
      </c>
      <c r="B37484" s="2" t="str">
        <f>"99559"</f>
        <v>99559</v>
      </c>
      <c r="C37484" s="1">
        <v>2.1827631992236301E-7</v>
      </c>
      <c r="D37484" s="1">
        <v>0</v>
      </c>
      <c r="E37484" s="1">
        <v>1.7382159820268399E-5</v>
      </c>
      <c r="F37484" s="1">
        <v>5.9691080749795498E-7</v>
      </c>
    </row>
    <row r="37485" spans="1:6" x14ac:dyDescent="0.25">
      <c r="A37485" s="2" t="str">
        <f t="shared" si="1247"/>
        <v>99999</v>
      </c>
      <c r="B37485" s="2" t="str">
        <f>"99730"</f>
        <v>99730</v>
      </c>
      <c r="C37485" s="1">
        <v>0</v>
      </c>
      <c r="D37485" s="1">
        <v>0</v>
      </c>
      <c r="E37485" s="1">
        <v>4.3455399550671099E-6</v>
      </c>
      <c r="F37485" s="1">
        <v>9.9485134582992598E-8</v>
      </c>
    </row>
    <row r="37486" spans="1:6" x14ac:dyDescent="0.25">
      <c r="A37486" s="2" t="str">
        <f t="shared" si="1247"/>
        <v>99999</v>
      </c>
      <c r="B37486" s="2" t="str">
        <f>"99789"</f>
        <v>99789</v>
      </c>
      <c r="C37486" s="1">
        <v>0</v>
      </c>
      <c r="D37486" s="1">
        <v>0</v>
      </c>
      <c r="E37486" s="1">
        <v>4.3455399550671099E-6</v>
      </c>
      <c r="F37486" s="1">
        <v>9.9485134582992598E-8</v>
      </c>
    </row>
    <row r="37487" spans="1:6" x14ac:dyDescent="0.25">
      <c r="A37487" s="2" t="str">
        <f t="shared" si="1247"/>
        <v>99999</v>
      </c>
      <c r="B37487" s="2" t="str">
        <f>"99782"</f>
        <v>99782</v>
      </c>
      <c r="C37487" s="1">
        <v>0</v>
      </c>
      <c r="D37487" s="1">
        <v>0</v>
      </c>
      <c r="E37487" s="1">
        <v>4.3455399550671099E-6</v>
      </c>
      <c r="F37487" s="1">
        <v>9.9485134582992598E-8</v>
      </c>
    </row>
    <row r="37488" spans="1:6" x14ac:dyDescent="0.25">
      <c r="A37488" s="2" t="str">
        <f t="shared" si="1247"/>
        <v>99999</v>
      </c>
      <c r="B37488" s="2" t="str">
        <f>"99836"</f>
        <v>99836</v>
      </c>
      <c r="C37488" s="1">
        <v>0</v>
      </c>
      <c r="D37488" s="1">
        <v>0</v>
      </c>
      <c r="E37488" s="1">
        <v>4.3455399550671099E-6</v>
      </c>
      <c r="F37488" s="1">
        <v>9.9485134582992598E-8</v>
      </c>
    </row>
    <row r="37489" spans="1:6" x14ac:dyDescent="0.25">
      <c r="A37489" s="2" t="str">
        <f t="shared" si="1247"/>
        <v>99999</v>
      </c>
      <c r="B37489" s="2" t="str">
        <f>"99829"</f>
        <v>99829</v>
      </c>
      <c r="C37489" s="1">
        <v>0</v>
      </c>
      <c r="D37489" s="1">
        <v>0</v>
      </c>
      <c r="E37489" s="1">
        <v>4.3455399550671099E-6</v>
      </c>
      <c r="F37489" s="1">
        <v>9.9485134582992598E-8</v>
      </c>
    </row>
    <row r="37490" spans="1:6" x14ac:dyDescent="0.25">
      <c r="A37490" s="2" t="str">
        <f t="shared" si="1247"/>
        <v>99999</v>
      </c>
      <c r="B37490" s="2" t="str">
        <f>"99769"</f>
        <v>99769</v>
      </c>
      <c r="C37490" s="1">
        <v>0</v>
      </c>
      <c r="D37490" s="1">
        <v>0</v>
      </c>
      <c r="E37490" s="1">
        <v>4.3455399550671099E-6</v>
      </c>
      <c r="F37490" s="1">
        <v>9.9485134582992598E-8</v>
      </c>
    </row>
    <row r="37491" spans="1:6" x14ac:dyDescent="0.25">
      <c r="A37491" s="2" t="str">
        <f t="shared" si="1247"/>
        <v>99999</v>
      </c>
      <c r="B37491" s="2" t="str">
        <f>"99767"</f>
        <v>99767</v>
      </c>
      <c r="C37491" s="1">
        <v>0</v>
      </c>
      <c r="D37491" s="1">
        <v>0</v>
      </c>
      <c r="E37491" s="1">
        <v>4.3455399550671099E-6</v>
      </c>
      <c r="F37491" s="1">
        <v>9.9485134582992598E-8</v>
      </c>
    </row>
    <row r="37492" spans="1:6" x14ac:dyDescent="0.25">
      <c r="A37492" s="2" t="str">
        <f t="shared" si="1247"/>
        <v>99999</v>
      </c>
      <c r="B37492" s="2" t="str">
        <f>"99750"</f>
        <v>99750</v>
      </c>
      <c r="C37492" s="1">
        <v>0</v>
      </c>
      <c r="D37492" s="1">
        <v>0</v>
      </c>
      <c r="E37492" s="1">
        <v>4.3455399550671099E-6</v>
      </c>
      <c r="F37492" s="1">
        <v>9.9485134582992598E-8</v>
      </c>
    </row>
    <row r="37493" spans="1:6" x14ac:dyDescent="0.25">
      <c r="A37493" s="2" t="str">
        <f t="shared" si="1247"/>
        <v>99999</v>
      </c>
      <c r="B37493" s="2" t="str">
        <f>"99820"</f>
        <v>99820</v>
      </c>
      <c r="C37493" s="1">
        <v>0</v>
      </c>
      <c r="D37493" s="1">
        <v>0</v>
      </c>
      <c r="E37493" s="1">
        <v>4.3455399550671099E-6</v>
      </c>
      <c r="F37493" s="1">
        <v>9.9485134582992598E-8</v>
      </c>
    </row>
    <row r="37494" spans="1:6" x14ac:dyDescent="0.25">
      <c r="A37494" s="2" t="str">
        <f t="shared" si="1247"/>
        <v>99999</v>
      </c>
      <c r="B37494" s="2" t="str">
        <f>"99743"</f>
        <v>99743</v>
      </c>
      <c r="C37494" s="1">
        <v>9.1676054367392598E-6</v>
      </c>
      <c r="D37494" s="1">
        <v>0</v>
      </c>
      <c r="E37494" s="1">
        <v>4.3455399550671099E-6</v>
      </c>
      <c r="F37494" s="1">
        <v>8.4562364395543705E-6</v>
      </c>
    </row>
    <row r="37495" spans="1:6" x14ac:dyDescent="0.25">
      <c r="A37495" s="2" t="str">
        <f t="shared" si="1247"/>
        <v>99999</v>
      </c>
      <c r="B37495" s="2" t="str">
        <f>"99921"</f>
        <v>99921</v>
      </c>
      <c r="C37495" s="1">
        <v>0</v>
      </c>
      <c r="D37495" s="1">
        <v>0</v>
      </c>
      <c r="E37495" s="1">
        <v>4.3455399550671099E-6</v>
      </c>
      <c r="F37495" s="1">
        <v>9.9485134582992598E-8</v>
      </c>
    </row>
    <row r="37496" spans="1:6" x14ac:dyDescent="0.25">
      <c r="A37496" s="2" t="str">
        <f t="shared" si="1247"/>
        <v>99999</v>
      </c>
      <c r="B37496" s="2" t="str">
        <f>"99903"</f>
        <v>99903</v>
      </c>
      <c r="C37496" s="1">
        <v>0</v>
      </c>
      <c r="D37496" s="1">
        <v>0</v>
      </c>
      <c r="E37496" s="1">
        <v>4.3455399550671099E-6</v>
      </c>
      <c r="F37496" s="1">
        <v>9.9485134582992598E-8</v>
      </c>
    </row>
    <row r="37497" spans="1:6" x14ac:dyDescent="0.25">
      <c r="A37497" s="2" t="str">
        <f t="shared" si="1247"/>
        <v>99999</v>
      </c>
      <c r="B37497" s="2" t="str">
        <f>"99740"</f>
        <v>99740</v>
      </c>
      <c r="C37497" s="1">
        <v>0</v>
      </c>
      <c r="D37497" s="1">
        <v>0</v>
      </c>
      <c r="E37497" s="1">
        <v>4.3455399550671099E-6</v>
      </c>
      <c r="F37497" s="1">
        <v>9.9485134582992598E-8</v>
      </c>
    </row>
    <row r="37498" spans="1:6" x14ac:dyDescent="0.25">
      <c r="A37498" s="2" t="str">
        <f t="shared" si="1247"/>
        <v>99999</v>
      </c>
      <c r="B37498" s="2" t="str">
        <f>"99356"</f>
        <v>99356</v>
      </c>
      <c r="C37498" s="1">
        <v>1.0586401516234599E-5</v>
      </c>
      <c r="D37498" s="1">
        <v>6.0704106936354696E-6</v>
      </c>
      <c r="E37498" s="1">
        <v>2.99842256899631E-4</v>
      </c>
      <c r="F37498" s="1">
        <v>1.69124728791087E-5</v>
      </c>
    </row>
    <row r="37499" spans="1:6" x14ac:dyDescent="0.25">
      <c r="A37499" s="2" t="str">
        <f t="shared" si="1247"/>
        <v>99999</v>
      </c>
      <c r="B37499" s="2" t="str">
        <f>"99347"</f>
        <v>99347</v>
      </c>
      <c r="C37499" s="1">
        <v>7.0721527654845696E-5</v>
      </c>
      <c r="D37499" s="1">
        <v>5.0080888222492601E-5</v>
      </c>
      <c r="E37499" s="1">
        <v>2.4335023748375801E-4</v>
      </c>
      <c r="F37499" s="1">
        <v>7.3320544187665493E-5</v>
      </c>
    </row>
    <row r="37500" spans="1:6" x14ac:dyDescent="0.25">
      <c r="A37500" s="2" t="str">
        <f t="shared" si="1247"/>
        <v>99999</v>
      </c>
      <c r="B37500" s="2" t="str">
        <f>"99185"</f>
        <v>99185</v>
      </c>
      <c r="C37500" s="1">
        <v>6.1663060378067599E-5</v>
      </c>
      <c r="D37500" s="1">
        <v>3.1869656141586203E-5</v>
      </c>
      <c r="E37500" s="1">
        <v>1.21675118741879E-4</v>
      </c>
      <c r="F37500" s="1">
        <v>6.1083872633957401E-5</v>
      </c>
    </row>
    <row r="37501" spans="1:6" x14ac:dyDescent="0.25">
      <c r="A37501" s="2" t="str">
        <f t="shared" si="1247"/>
        <v>99999</v>
      </c>
      <c r="B37501" s="2" t="str">
        <f>"99180"</f>
        <v>99180</v>
      </c>
      <c r="C37501" s="1">
        <v>7.06123894948845E-5</v>
      </c>
      <c r="D37501" s="1">
        <v>1.21408213872709E-5</v>
      </c>
      <c r="E37501" s="1">
        <v>8.69107991013423E-6</v>
      </c>
      <c r="F37501" s="1">
        <v>6.53617334210261E-5</v>
      </c>
    </row>
    <row r="37502" spans="1:6" x14ac:dyDescent="0.25">
      <c r="A37502" s="2" t="str">
        <f t="shared" si="1247"/>
        <v>99999</v>
      </c>
      <c r="B37502" s="2" t="str">
        <f>"99140"</f>
        <v>99140</v>
      </c>
      <c r="C37502" s="1">
        <v>1.04772633562734E-5</v>
      </c>
      <c r="D37502" s="1">
        <v>0</v>
      </c>
      <c r="E37502" s="1">
        <v>1.9120375802295301E-4</v>
      </c>
      <c r="F37502" s="1">
        <v>1.3927918841618899E-5</v>
      </c>
    </row>
    <row r="37503" spans="1:6" x14ac:dyDescent="0.25">
      <c r="A37503" s="2" t="str">
        <f t="shared" si="1247"/>
        <v>99999</v>
      </c>
      <c r="B37503" s="2" t="str">
        <f>"99147"</f>
        <v>99147</v>
      </c>
      <c r="C37503" s="1">
        <v>1.5606756874448901E-5</v>
      </c>
      <c r="D37503" s="1">
        <v>1.51760267340886E-6</v>
      </c>
      <c r="E37503" s="1">
        <v>8.69107991013423E-6</v>
      </c>
      <c r="F37503" s="1">
        <v>1.45248296491169E-5</v>
      </c>
    </row>
    <row r="37504" spans="1:6" x14ac:dyDescent="0.25">
      <c r="A37504" s="2" t="str">
        <f t="shared" si="1247"/>
        <v>99999</v>
      </c>
      <c r="B37504" s="2" t="str">
        <f>"99117"</f>
        <v>99117</v>
      </c>
      <c r="C37504" s="1">
        <v>2.2700737271925801E-5</v>
      </c>
      <c r="D37504" s="1">
        <v>1.21408213872709E-5</v>
      </c>
      <c r="E37504" s="1">
        <v>1.39057278562147E-4</v>
      </c>
      <c r="F37504" s="1">
        <v>2.46723133765821E-5</v>
      </c>
    </row>
    <row r="37505" spans="1:6" x14ac:dyDescent="0.25">
      <c r="A37505" s="2" t="str">
        <f t="shared" si="1247"/>
        <v>99999</v>
      </c>
      <c r="B37505" s="2" t="str">
        <f>"98832"</f>
        <v>98832</v>
      </c>
      <c r="C37505" s="1">
        <v>1.7462105593789001E-6</v>
      </c>
      <c r="D37505" s="1">
        <v>0</v>
      </c>
      <c r="E37505" s="1">
        <v>0</v>
      </c>
      <c r="F37505" s="1">
        <v>1.5917621533278801E-6</v>
      </c>
    </row>
    <row r="37506" spans="1:6" x14ac:dyDescent="0.25">
      <c r="A37506" s="2" t="str">
        <f t="shared" si="1247"/>
        <v>99999</v>
      </c>
      <c r="B37506" s="2" t="str">
        <f>"98816"</f>
        <v>98816</v>
      </c>
      <c r="C37506" s="1">
        <v>2.7284539990295402E-6</v>
      </c>
      <c r="D37506" s="1">
        <v>0</v>
      </c>
      <c r="E37506" s="1">
        <v>0</v>
      </c>
      <c r="F37506" s="1">
        <v>2.48712836457481E-6</v>
      </c>
    </row>
    <row r="37507" spans="1:6" x14ac:dyDescent="0.25">
      <c r="A37507" s="2" t="str">
        <f t="shared" si="1247"/>
        <v>99999</v>
      </c>
      <c r="B37507" s="2" t="str">
        <f>"98814"</f>
        <v>98814</v>
      </c>
      <c r="C37507" s="1">
        <v>1.27691647154582E-5</v>
      </c>
      <c r="D37507" s="1">
        <v>3.0352053468177301E-6</v>
      </c>
      <c r="E37507" s="1">
        <v>5.21464794608054E-5</v>
      </c>
      <c r="F37507" s="1">
        <v>1.3032552630372001E-5</v>
      </c>
    </row>
    <row r="37508" spans="1:6" x14ac:dyDescent="0.25">
      <c r="A37508" s="2" t="str">
        <f t="shared" si="1247"/>
        <v>99999</v>
      </c>
      <c r="B37508" s="2" t="str">
        <f>"98812"</f>
        <v>98812</v>
      </c>
      <c r="C37508" s="1">
        <v>4.6929408783308097E-5</v>
      </c>
      <c r="D37508" s="1">
        <v>3.3387258814995101E-5</v>
      </c>
      <c r="E37508" s="1">
        <v>2.6073239730402698E-4</v>
      </c>
      <c r="F37508" s="1">
        <v>5.0936388906492203E-5</v>
      </c>
    </row>
    <row r="37509" spans="1:6" x14ac:dyDescent="0.25">
      <c r="A37509" s="2" t="str">
        <f t="shared" si="1247"/>
        <v>99999</v>
      </c>
      <c r="B37509" s="2" t="str">
        <f>"99013"</f>
        <v>99013</v>
      </c>
      <c r="C37509" s="1">
        <v>7.9670856771662607E-6</v>
      </c>
      <c r="D37509" s="1">
        <v>3.0352053468177301E-6</v>
      </c>
      <c r="E37509" s="1">
        <v>1.3036619865201299E-5</v>
      </c>
      <c r="F37509" s="1">
        <v>7.7598404974734199E-6</v>
      </c>
    </row>
    <row r="37510" spans="1:6" x14ac:dyDescent="0.25">
      <c r="A37510" s="2" t="str">
        <f t="shared" si="1247"/>
        <v>99999</v>
      </c>
      <c r="B37510" s="2" t="str">
        <f>"99008"</f>
        <v>99008</v>
      </c>
      <c r="C37510" s="1">
        <v>1.8116934553556101E-5</v>
      </c>
      <c r="D37510" s="1">
        <v>7.5880133670443404E-6</v>
      </c>
      <c r="E37510" s="1">
        <v>1.3036619865201299E-5</v>
      </c>
      <c r="F37510" s="1">
        <v>1.7310413417440701E-5</v>
      </c>
    </row>
    <row r="37511" spans="1:6" x14ac:dyDescent="0.25">
      <c r="A37511" s="2" t="str">
        <f t="shared" si="1247"/>
        <v>99999</v>
      </c>
      <c r="B37511" s="2" t="str">
        <f>"98846"</f>
        <v>98846</v>
      </c>
      <c r="C37511" s="1">
        <v>1.6916414793983099E-5</v>
      </c>
      <c r="D37511" s="1">
        <v>1.9728834754315301E-5</v>
      </c>
      <c r="E37511" s="1">
        <v>1.6513051829255E-4</v>
      </c>
      <c r="F37511" s="1">
        <v>2.04939377240964E-5</v>
      </c>
    </row>
    <row r="37512" spans="1:6" x14ac:dyDescent="0.25">
      <c r="A37512" s="2" t="str">
        <f t="shared" si="1247"/>
        <v>99999</v>
      </c>
      <c r="B37512" s="2" t="str">
        <f>"98547"</f>
        <v>98547</v>
      </c>
      <c r="C37512" s="1">
        <v>2.5756605750838801E-5</v>
      </c>
      <c r="D37512" s="1">
        <v>9.1056160404532095E-6</v>
      </c>
      <c r="E37512" s="1">
        <v>1.21675118741879E-4</v>
      </c>
      <c r="F37512" s="1">
        <v>2.6860986337408E-5</v>
      </c>
    </row>
    <row r="37513" spans="1:6" x14ac:dyDescent="0.25">
      <c r="A37513" s="2" t="str">
        <f t="shared" si="1247"/>
        <v>99999</v>
      </c>
      <c r="B37513" s="2" t="str">
        <f>"98644"</f>
        <v>98644</v>
      </c>
      <c r="C37513" s="1">
        <v>6.5155481496825398E-5</v>
      </c>
      <c r="D37513" s="1">
        <v>1.51760267340886E-6</v>
      </c>
      <c r="E37513" s="1">
        <v>0</v>
      </c>
      <c r="F37513" s="1">
        <v>5.94921104806295E-5</v>
      </c>
    </row>
    <row r="37514" spans="1:6" x14ac:dyDescent="0.25">
      <c r="A37514" s="2" t="str">
        <f t="shared" si="1247"/>
        <v>99999</v>
      </c>
      <c r="B37514" s="2" t="str">
        <f>"98638"</f>
        <v>98638</v>
      </c>
      <c r="C37514" s="1">
        <v>6.7338244696049106E-5</v>
      </c>
      <c r="D37514" s="1">
        <v>3.6422464161812797E-5</v>
      </c>
      <c r="E37514" s="1">
        <v>4.3455399550671103E-5</v>
      </c>
      <c r="F37514" s="1">
        <v>6.4764822613528204E-5</v>
      </c>
    </row>
    <row r="37515" spans="1:6" x14ac:dyDescent="0.25">
      <c r="A37515" s="2" t="str">
        <f t="shared" si="1247"/>
        <v>99999</v>
      </c>
      <c r="B37515" s="2" t="str">
        <f>"98261"</f>
        <v>98261</v>
      </c>
      <c r="C37515" s="1">
        <v>2.39449122954832E-4</v>
      </c>
      <c r="D37515" s="1">
        <v>1.09267392485438E-4</v>
      </c>
      <c r="E37515" s="1">
        <v>3.3721390051320802E-3</v>
      </c>
      <c r="F37515" s="1">
        <v>3.0263377940146298E-4</v>
      </c>
    </row>
    <row r="37516" spans="1:6" x14ac:dyDescent="0.25">
      <c r="A37516" s="2" t="str">
        <f t="shared" si="1247"/>
        <v>99999</v>
      </c>
      <c r="B37516" s="2" t="str">
        <f>"98325"</f>
        <v>98325</v>
      </c>
      <c r="C37516" s="1">
        <v>1.4842789754720699E-4</v>
      </c>
      <c r="D37516" s="1">
        <v>1.2596102189293599E-4</v>
      </c>
      <c r="E37516" s="1">
        <v>1.7382159820268399E-5</v>
      </c>
      <c r="F37516" s="1">
        <v>1.4395498974158999E-4</v>
      </c>
    </row>
    <row r="37517" spans="1:6" x14ac:dyDescent="0.25">
      <c r="A37517" s="2" t="str">
        <f t="shared" si="1247"/>
        <v>99999</v>
      </c>
      <c r="B37517" s="2" t="str">
        <f>"97620"</f>
        <v>97620</v>
      </c>
      <c r="C37517" s="1">
        <v>8.9493291168169008E-6</v>
      </c>
      <c r="D37517" s="1">
        <v>0</v>
      </c>
      <c r="E37517" s="1">
        <v>4.3455399550671099E-6</v>
      </c>
      <c r="F37517" s="1">
        <v>8.2572661703883803E-6</v>
      </c>
    </row>
    <row r="37518" spans="1:6" x14ac:dyDescent="0.25">
      <c r="A37518" s="2" t="str">
        <f t="shared" si="1247"/>
        <v>99999</v>
      </c>
      <c r="B37518" s="2" t="str">
        <f>"97640"</f>
        <v>97640</v>
      </c>
      <c r="C37518" s="1">
        <v>1.23326120756135E-5</v>
      </c>
      <c r="D37518" s="1">
        <v>3.6422464161812797E-5</v>
      </c>
      <c r="E37518" s="1">
        <v>4.3455399550671099E-6</v>
      </c>
      <c r="F37518" s="1">
        <v>1.37289485724529E-5</v>
      </c>
    </row>
    <row r="37519" spans="1:6" x14ac:dyDescent="0.25">
      <c r="A37519" s="2" t="str">
        <f t="shared" si="1247"/>
        <v>99999</v>
      </c>
      <c r="B37519" s="2" t="str">
        <f>"97635"</f>
        <v>97635</v>
      </c>
      <c r="C37519" s="1">
        <v>1.49519279146818E-5</v>
      </c>
      <c r="D37519" s="1">
        <v>0</v>
      </c>
      <c r="E37519" s="1">
        <v>4.3455399550671103E-5</v>
      </c>
      <c r="F37519" s="1">
        <v>1.4624314783699901E-5</v>
      </c>
    </row>
    <row r="37520" spans="1:6" x14ac:dyDescent="0.25">
      <c r="A37520" s="2" t="str">
        <f t="shared" si="1247"/>
        <v>99999</v>
      </c>
      <c r="B37520" s="2" t="str">
        <f>"97630"</f>
        <v>97630</v>
      </c>
      <c r="C37520" s="1">
        <v>3.0940668348994999E-4</v>
      </c>
      <c r="D37520" s="1">
        <v>4.9625607420470004E-4</v>
      </c>
      <c r="E37520" s="1">
        <v>2.7376901716922799E-4</v>
      </c>
      <c r="F37520" s="1">
        <v>3.2083955903015101E-4</v>
      </c>
    </row>
    <row r="37521" spans="1:6" x14ac:dyDescent="0.25">
      <c r="A37521" s="2" t="str">
        <f t="shared" si="1247"/>
        <v>99999</v>
      </c>
      <c r="B37521" s="2" t="str">
        <f>"97856"</f>
        <v>97856</v>
      </c>
      <c r="C37521" s="1">
        <v>4.1363362625287799E-5</v>
      </c>
      <c r="D37521" s="1">
        <v>3.0352053468177301E-6</v>
      </c>
      <c r="E37521" s="1">
        <v>4.3455399550671099E-6</v>
      </c>
      <c r="F37521" s="1">
        <v>3.8003321410703101E-5</v>
      </c>
    </row>
    <row r="37522" spans="1:6" x14ac:dyDescent="0.25">
      <c r="A37522" s="2" t="str">
        <f t="shared" ref="A37522:A37585" si="1248">"99999"</f>
        <v>99999</v>
      </c>
      <c r="B37522" s="2" t="str">
        <f>"97819"</f>
        <v>97819</v>
      </c>
      <c r="C37522" s="1">
        <v>2.2919013591848099E-6</v>
      </c>
      <c r="D37522" s="1">
        <v>0</v>
      </c>
      <c r="E37522" s="1">
        <v>4.3455399550671099E-6</v>
      </c>
      <c r="F37522" s="1">
        <v>2.1886729608258301E-6</v>
      </c>
    </row>
    <row r="37523" spans="1:6" x14ac:dyDescent="0.25">
      <c r="A37523" s="2" t="str">
        <f t="shared" si="1248"/>
        <v>99999</v>
      </c>
      <c r="B37523" s="2" t="str">
        <f>"97828"</f>
        <v>97828</v>
      </c>
      <c r="C37523" s="1">
        <v>1.9088264177210599E-4</v>
      </c>
      <c r="D37523" s="1">
        <v>3.97611900433123E-4</v>
      </c>
      <c r="E37523" s="1">
        <v>2.8246009707936202E-4</v>
      </c>
      <c r="F37523" s="1">
        <v>2.0653113939429201E-4</v>
      </c>
    </row>
    <row r="37524" spans="1:6" x14ac:dyDescent="0.25">
      <c r="A37524" s="2" t="str">
        <f t="shared" si="1248"/>
        <v>99999</v>
      </c>
      <c r="B37524" s="2" t="str">
        <f>"97720"</f>
        <v>97720</v>
      </c>
      <c r="C37524" s="1">
        <v>2.8823388045748003E-4</v>
      </c>
      <c r="D37524" s="1">
        <v>4.85632855490838E-4</v>
      </c>
      <c r="E37524" s="1">
        <v>2.4335023748375801E-4</v>
      </c>
      <c r="F37524" s="1">
        <v>3.0014665103688802E-4</v>
      </c>
    </row>
    <row r="37525" spans="1:6" x14ac:dyDescent="0.25">
      <c r="A37525" s="2" t="str">
        <f t="shared" si="1248"/>
        <v>99999</v>
      </c>
      <c r="B37525" s="2" t="str">
        <f>"97118"</f>
        <v>97118</v>
      </c>
      <c r="C37525" s="1">
        <v>6.2972718297601797E-5</v>
      </c>
      <c r="D37525" s="1">
        <v>7.5880133670443406E-5</v>
      </c>
      <c r="E37525" s="1">
        <v>3.9109859595604001E-5</v>
      </c>
      <c r="F37525" s="1">
        <v>6.3272545594783301E-5</v>
      </c>
    </row>
    <row r="37526" spans="1:6" x14ac:dyDescent="0.25">
      <c r="A37526" s="2" t="str">
        <f t="shared" si="1248"/>
        <v>99999</v>
      </c>
      <c r="B37526" s="2" t="str">
        <f>"97102"</f>
        <v>97102</v>
      </c>
      <c r="C37526" s="1">
        <v>2.2919013591848099E-6</v>
      </c>
      <c r="D37526" s="1">
        <v>1.51760267340886E-6</v>
      </c>
      <c r="E37526" s="1">
        <v>0</v>
      </c>
      <c r="F37526" s="1">
        <v>2.1886729608258301E-6</v>
      </c>
    </row>
    <row r="37527" spans="1:6" x14ac:dyDescent="0.25">
      <c r="A37527" s="2" t="str">
        <f t="shared" si="1248"/>
        <v>99999</v>
      </c>
      <c r="B37527" s="2" t="str">
        <f>"97134"</f>
        <v>97134</v>
      </c>
      <c r="C37527" s="1">
        <v>2.35738425516152E-5</v>
      </c>
      <c r="D37527" s="1">
        <v>0</v>
      </c>
      <c r="E37527" s="1">
        <v>4.3455399550671099E-6</v>
      </c>
      <c r="F37527" s="1">
        <v>2.15882742045094E-5</v>
      </c>
    </row>
    <row r="37528" spans="1:6" x14ac:dyDescent="0.25">
      <c r="A37528" s="2" t="str">
        <f t="shared" si="1248"/>
        <v>99999</v>
      </c>
      <c r="B37528" s="2" t="str">
        <f>"96108"</f>
        <v>96108</v>
      </c>
      <c r="C37528" s="1">
        <v>3.27414479883545E-6</v>
      </c>
      <c r="D37528" s="1">
        <v>1.51760267340886E-6</v>
      </c>
      <c r="E37528" s="1">
        <v>0</v>
      </c>
      <c r="F37528" s="1">
        <v>3.0840391720727701E-6</v>
      </c>
    </row>
    <row r="37529" spans="1:6" x14ac:dyDescent="0.25">
      <c r="A37529" s="2" t="str">
        <f t="shared" si="1248"/>
        <v>99999</v>
      </c>
      <c r="B37529" s="2" t="str">
        <f>"96126"</f>
        <v>96126</v>
      </c>
      <c r="C37529" s="1">
        <v>0</v>
      </c>
      <c r="D37529" s="1">
        <v>0</v>
      </c>
      <c r="E37529" s="1">
        <v>8.69107991013423E-6</v>
      </c>
      <c r="F37529" s="1">
        <v>1.9897026916598501E-7</v>
      </c>
    </row>
    <row r="37530" spans="1:6" x14ac:dyDescent="0.25">
      <c r="A37530" s="2" t="str">
        <f t="shared" si="1248"/>
        <v>99999</v>
      </c>
      <c r="B37530" s="2" t="str">
        <f>"96118"</f>
        <v>96118</v>
      </c>
      <c r="C37530" s="1">
        <v>1.6370723994177199E-6</v>
      </c>
      <c r="D37530" s="1">
        <v>1.51760267340886E-6</v>
      </c>
      <c r="E37530" s="1">
        <v>0</v>
      </c>
      <c r="F37530" s="1">
        <v>1.5917621533278801E-6</v>
      </c>
    </row>
    <row r="37531" spans="1:6" x14ac:dyDescent="0.25">
      <c r="A37531" s="2" t="str">
        <f t="shared" si="1248"/>
        <v>99999</v>
      </c>
      <c r="B37531" s="2" t="str">
        <f>"96093"</f>
        <v>96093</v>
      </c>
      <c r="C37531" s="1">
        <v>0</v>
      </c>
      <c r="D37531" s="1">
        <v>0</v>
      </c>
      <c r="E37531" s="1">
        <v>8.69107991013423E-6</v>
      </c>
      <c r="F37531" s="1">
        <v>1.9897026916598501E-7</v>
      </c>
    </row>
    <row r="37532" spans="1:6" x14ac:dyDescent="0.25">
      <c r="A37532" s="2" t="str">
        <f t="shared" si="1248"/>
        <v>99999</v>
      </c>
      <c r="B37532" s="2" t="str">
        <f>"96116"</f>
        <v>96116</v>
      </c>
      <c r="C37532" s="1">
        <v>0</v>
      </c>
      <c r="D37532" s="1">
        <v>0</v>
      </c>
      <c r="E37532" s="1">
        <v>8.69107991013423E-6</v>
      </c>
      <c r="F37532" s="1">
        <v>1.9897026916598501E-7</v>
      </c>
    </row>
    <row r="37533" spans="1:6" x14ac:dyDescent="0.25">
      <c r="A37533" s="2" t="str">
        <f t="shared" si="1248"/>
        <v>99999</v>
      </c>
      <c r="B37533" s="2" t="str">
        <f>"96137"</f>
        <v>96137</v>
      </c>
      <c r="C37533" s="1">
        <v>2.1936770152197499E-4</v>
      </c>
      <c r="D37533" s="1">
        <v>1.4113704862702401E-4</v>
      </c>
      <c r="E37533" s="1">
        <v>1.7816713815775099E-4</v>
      </c>
      <c r="F37533" s="1">
        <v>2.1329612854593599E-4</v>
      </c>
    </row>
    <row r="37534" spans="1:6" x14ac:dyDescent="0.25">
      <c r="A37534" s="2" t="str">
        <f t="shared" si="1248"/>
        <v>99999</v>
      </c>
      <c r="B37534" s="2" t="str">
        <f>"96101"</f>
        <v>96101</v>
      </c>
      <c r="C37534" s="1">
        <v>3.3014293388257399E-4</v>
      </c>
      <c r="D37534" s="1">
        <v>4.9018566351106399E-4</v>
      </c>
      <c r="E37534" s="1">
        <v>3.17224416719899E-4</v>
      </c>
      <c r="F37534" s="1">
        <v>3.4033864540841701E-4</v>
      </c>
    </row>
    <row r="37535" spans="1:6" x14ac:dyDescent="0.25">
      <c r="A37535" s="2" t="str">
        <f t="shared" si="1248"/>
        <v>99999</v>
      </c>
      <c r="B37535" s="2" t="str">
        <f>"96041"</f>
        <v>96041</v>
      </c>
      <c r="C37535" s="1">
        <v>8.7310527968945299E-7</v>
      </c>
      <c r="D37535" s="1">
        <v>1.51760267340886E-6</v>
      </c>
      <c r="E37535" s="1">
        <v>0</v>
      </c>
      <c r="F37535" s="1">
        <v>8.9536621124693305E-7</v>
      </c>
    </row>
    <row r="37536" spans="1:6" x14ac:dyDescent="0.25">
      <c r="A37536" s="2" t="str">
        <f t="shared" si="1248"/>
        <v>99999</v>
      </c>
      <c r="B37536" s="2" t="str">
        <f>"96032"</f>
        <v>96032</v>
      </c>
      <c r="C37536" s="1">
        <v>8.1526205491002705E-5</v>
      </c>
      <c r="D37536" s="1">
        <v>4.8563285549083798E-5</v>
      </c>
      <c r="E37536" s="1">
        <v>3.9109859595604001E-5</v>
      </c>
      <c r="F37536" s="1">
        <v>7.8394286051398099E-5</v>
      </c>
    </row>
    <row r="37537" spans="1:6" x14ac:dyDescent="0.25">
      <c r="A37537" s="2" t="str">
        <f t="shared" si="1248"/>
        <v>99999</v>
      </c>
      <c r="B37537" s="2" t="str">
        <f>"95913"</f>
        <v>95913</v>
      </c>
      <c r="C37537" s="1">
        <v>0</v>
      </c>
      <c r="D37537" s="1">
        <v>0</v>
      </c>
      <c r="E37537" s="1">
        <v>4.3455399550671099E-6</v>
      </c>
      <c r="F37537" s="1">
        <v>9.9485134582992598E-8</v>
      </c>
    </row>
    <row r="37538" spans="1:6" x14ac:dyDescent="0.25">
      <c r="A37538" s="2" t="str">
        <f t="shared" si="1248"/>
        <v>99999</v>
      </c>
      <c r="B37538" s="2" t="str">
        <f>"95984"</f>
        <v>95984</v>
      </c>
      <c r="C37538" s="1">
        <v>0</v>
      </c>
      <c r="D37538" s="1">
        <v>0</v>
      </c>
      <c r="E37538" s="1">
        <v>4.3455399550671099E-6</v>
      </c>
      <c r="F37538" s="1">
        <v>9.9485134582992598E-8</v>
      </c>
    </row>
    <row r="37539" spans="1:6" x14ac:dyDescent="0.25">
      <c r="A37539" s="2" t="str">
        <f t="shared" si="1248"/>
        <v>99999</v>
      </c>
      <c r="B37539" s="2" t="str">
        <f>"95930"</f>
        <v>95930</v>
      </c>
      <c r="C37539" s="1">
        <v>1.09138159961181E-7</v>
      </c>
      <c r="D37539" s="1">
        <v>0</v>
      </c>
      <c r="E37539" s="1">
        <v>4.3455399550671099E-6</v>
      </c>
      <c r="F37539" s="1">
        <v>1.9897026916598501E-7</v>
      </c>
    </row>
    <row r="37540" spans="1:6" x14ac:dyDescent="0.25">
      <c r="A37540" s="2" t="str">
        <f t="shared" si="1248"/>
        <v>99999</v>
      </c>
      <c r="B37540" s="2" t="str">
        <f>"95943"</f>
        <v>95943</v>
      </c>
      <c r="C37540" s="1">
        <v>4.0381119185637202E-5</v>
      </c>
      <c r="D37540" s="1">
        <v>3.1869656141586203E-5</v>
      </c>
      <c r="E37540" s="1">
        <v>1.3036619865201299E-5</v>
      </c>
      <c r="F37540" s="1">
        <v>3.9197143025699002E-5</v>
      </c>
    </row>
    <row r="37541" spans="1:6" x14ac:dyDescent="0.25">
      <c r="A37541" s="2" t="str">
        <f t="shared" si="1248"/>
        <v>99999</v>
      </c>
      <c r="B37541" s="2" t="str">
        <f>"95669"</f>
        <v>95669</v>
      </c>
      <c r="C37541" s="1">
        <v>8.2181034450769797E-5</v>
      </c>
      <c r="D37541" s="1">
        <v>8.1950544364078906E-5</v>
      </c>
      <c r="E37541" s="1">
        <v>4.7800939505738197E-5</v>
      </c>
      <c r="F37541" s="1">
        <v>8.1378840088887905E-5</v>
      </c>
    </row>
    <row r="37542" spans="1:6" x14ac:dyDescent="0.25">
      <c r="A37542" s="2" t="str">
        <f t="shared" si="1248"/>
        <v>99999</v>
      </c>
      <c r="B37542" s="2" t="str">
        <f>"95642"</f>
        <v>95642</v>
      </c>
      <c r="C37542" s="1">
        <v>5.2102557565468098E-4</v>
      </c>
      <c r="D37542" s="1">
        <v>1.45082815577887E-3</v>
      </c>
      <c r="E37542" s="1">
        <v>8.6910799101342295E-4</v>
      </c>
      <c r="F37542" s="1">
        <v>5.8994684807714599E-4</v>
      </c>
    </row>
    <row r="37543" spans="1:6" x14ac:dyDescent="0.25">
      <c r="A37543" s="2" t="str">
        <f t="shared" si="1248"/>
        <v>99999</v>
      </c>
      <c r="B37543" s="2" t="str">
        <f>"95629"</f>
        <v>95629</v>
      </c>
      <c r="C37543" s="1">
        <v>3.3941967747927502E-5</v>
      </c>
      <c r="D37543" s="1">
        <v>0</v>
      </c>
      <c r="E37543" s="1">
        <v>1.3036619865201299E-5</v>
      </c>
      <c r="F37543" s="1">
        <v>3.1238332259059602E-5</v>
      </c>
    </row>
    <row r="37544" spans="1:6" x14ac:dyDescent="0.25">
      <c r="A37544" s="2" t="str">
        <f t="shared" si="1248"/>
        <v>99999</v>
      </c>
      <c r="B37544" s="2" t="str">
        <f>"95685"</f>
        <v>95685</v>
      </c>
      <c r="C37544" s="1">
        <v>3.4902383555585899E-4</v>
      </c>
      <c r="D37544" s="1">
        <v>5.7061860520173395E-4</v>
      </c>
      <c r="E37544" s="1">
        <v>2.8680563703442901E-4</v>
      </c>
      <c r="F37544" s="1">
        <v>3.6212588988209301E-4</v>
      </c>
    </row>
    <row r="37545" spans="1:6" x14ac:dyDescent="0.25">
      <c r="A37545" s="2" t="str">
        <f t="shared" si="1248"/>
        <v>99999</v>
      </c>
      <c r="B37545" s="2" t="str">
        <f>"95601"</f>
        <v>95601</v>
      </c>
      <c r="C37545" s="1">
        <v>1.09138159961181E-7</v>
      </c>
      <c r="D37545" s="1">
        <v>0</v>
      </c>
      <c r="E37545" s="1">
        <v>4.3455399550671099E-6</v>
      </c>
      <c r="F37545" s="1">
        <v>1.9897026916598501E-7</v>
      </c>
    </row>
    <row r="37546" spans="1:6" x14ac:dyDescent="0.25">
      <c r="A37546" s="2" t="str">
        <f t="shared" si="1248"/>
        <v>99999</v>
      </c>
      <c r="B37546" s="2" t="str">
        <f>"95306"</f>
        <v>95306</v>
      </c>
      <c r="C37546" s="1">
        <v>4.4310092944239701E-5</v>
      </c>
      <c r="D37546" s="1">
        <v>7.5880133670443404E-6</v>
      </c>
      <c r="E37546" s="1">
        <v>4.3455399550671099E-6</v>
      </c>
      <c r="F37546" s="1">
        <v>4.0987875448192901E-5</v>
      </c>
    </row>
    <row r="37547" spans="1:6" x14ac:dyDescent="0.25">
      <c r="A37547" s="2" t="str">
        <f t="shared" si="1248"/>
        <v>99999</v>
      </c>
      <c r="B37547" s="2" t="str">
        <f>"95248"</f>
        <v>95248</v>
      </c>
      <c r="C37547" s="1">
        <v>0</v>
      </c>
      <c r="D37547" s="1">
        <v>0</v>
      </c>
      <c r="E37547" s="1">
        <v>4.3455399550671099E-6</v>
      </c>
      <c r="F37547" s="1">
        <v>9.9485134582992598E-8</v>
      </c>
    </row>
    <row r="37548" spans="1:6" x14ac:dyDescent="0.25">
      <c r="A37548" s="2" t="str">
        <f t="shared" si="1248"/>
        <v>99999</v>
      </c>
      <c r="B37548" s="2" t="str">
        <f>"95222"</f>
        <v>95222</v>
      </c>
      <c r="C37548" s="1">
        <v>1.8771763513323201E-4</v>
      </c>
      <c r="D37548" s="1">
        <v>1.3810184328020699E-4</v>
      </c>
      <c r="E37548" s="1">
        <v>1.6078497833748299E-4</v>
      </c>
      <c r="F37548" s="1">
        <v>1.8384852870937001E-4</v>
      </c>
    </row>
    <row r="37549" spans="1:6" x14ac:dyDescent="0.25">
      <c r="A37549" s="2" t="str">
        <f t="shared" si="1248"/>
        <v>99999</v>
      </c>
      <c r="B37549" s="2" t="str">
        <f>"69366"</f>
        <v>69366</v>
      </c>
      <c r="C37549" s="1">
        <v>1.34239936752253E-5</v>
      </c>
      <c r="D37549" s="1">
        <v>0</v>
      </c>
      <c r="E37549" s="1">
        <v>4.3455399550671099E-6</v>
      </c>
      <c r="F37549" s="1">
        <v>1.2336156688290999E-5</v>
      </c>
    </row>
    <row r="37550" spans="1:6" x14ac:dyDescent="0.25">
      <c r="A37550" s="2" t="str">
        <f t="shared" si="1248"/>
        <v>99999</v>
      </c>
      <c r="B37550" s="2" t="str">
        <f>"68835"</f>
        <v>68835</v>
      </c>
      <c r="C37550" s="1">
        <v>1.09138159961181E-7</v>
      </c>
      <c r="D37550" s="1">
        <v>0</v>
      </c>
      <c r="E37550" s="1">
        <v>0</v>
      </c>
      <c r="F37550" s="1">
        <v>9.9485134582992598E-8</v>
      </c>
    </row>
    <row r="37551" spans="1:6" x14ac:dyDescent="0.25">
      <c r="A37551" s="2" t="str">
        <f t="shared" si="1248"/>
        <v>99999</v>
      </c>
      <c r="B37551" s="2" t="str">
        <f>"68866"</f>
        <v>68866</v>
      </c>
      <c r="C37551" s="1">
        <v>8.7310527968945299E-7</v>
      </c>
      <c r="D37551" s="1">
        <v>0</v>
      </c>
      <c r="E37551" s="1">
        <v>0</v>
      </c>
      <c r="F37551" s="1">
        <v>7.9588107666394099E-7</v>
      </c>
    </row>
    <row r="37552" spans="1:6" x14ac:dyDescent="0.25">
      <c r="A37552" s="2" t="str">
        <f t="shared" si="1248"/>
        <v>99999</v>
      </c>
      <c r="B37552" s="2" t="str">
        <f>"68859"</f>
        <v>68859</v>
      </c>
      <c r="C37552" s="1">
        <v>2.9358165029557801E-5</v>
      </c>
      <c r="D37552" s="1">
        <v>4.5528080202265997E-6</v>
      </c>
      <c r="E37552" s="1">
        <v>1.3036619865201299E-5</v>
      </c>
      <c r="F37552" s="1">
        <v>2.7358412010322901E-5</v>
      </c>
    </row>
    <row r="37553" spans="1:6" x14ac:dyDescent="0.25">
      <c r="A37553" s="2" t="str">
        <f t="shared" si="1248"/>
        <v>99999</v>
      </c>
      <c r="B37553" s="2" t="str">
        <f>"68841"</f>
        <v>68841</v>
      </c>
      <c r="C37553" s="1">
        <v>2.9903855829363701E-5</v>
      </c>
      <c r="D37553" s="1">
        <v>6.0704106936354696E-6</v>
      </c>
      <c r="E37553" s="1">
        <v>4.3455399550671099E-6</v>
      </c>
      <c r="F37553" s="1">
        <v>2.7756352548654901E-5</v>
      </c>
    </row>
    <row r="37554" spans="1:6" x14ac:dyDescent="0.25">
      <c r="A37554" s="2" t="str">
        <f t="shared" si="1248"/>
        <v>99999</v>
      </c>
      <c r="B37554" s="2" t="str">
        <f>"68836"</f>
        <v>68836</v>
      </c>
      <c r="C37554" s="1">
        <v>1.06955396761958E-5</v>
      </c>
      <c r="D37554" s="1">
        <v>6.0704106936354696E-6</v>
      </c>
      <c r="E37554" s="1">
        <v>0</v>
      </c>
      <c r="F37554" s="1">
        <v>1.01474837274652E-5</v>
      </c>
    </row>
    <row r="37555" spans="1:6" x14ac:dyDescent="0.25">
      <c r="A37555" s="2" t="str">
        <f t="shared" si="1248"/>
        <v>99999</v>
      </c>
      <c r="B37555" s="2" t="str">
        <f>"69350"</f>
        <v>69350</v>
      </c>
      <c r="C37555" s="1">
        <v>1.23326120756135E-5</v>
      </c>
      <c r="D37555" s="1">
        <v>1.0623218713862E-5</v>
      </c>
      <c r="E37555" s="1">
        <v>4.3455399550671099E-6</v>
      </c>
      <c r="F37555" s="1">
        <v>1.20377012845421E-5</v>
      </c>
    </row>
    <row r="37556" spans="1:6" x14ac:dyDescent="0.25">
      <c r="A37556" s="2" t="str">
        <f t="shared" si="1248"/>
        <v>99999</v>
      </c>
      <c r="B37556" s="2" t="str">
        <f>"69168"</f>
        <v>69168</v>
      </c>
      <c r="C37556" s="1">
        <v>1.386054631507E-5</v>
      </c>
      <c r="D37556" s="1">
        <v>1.5176026734088599E-5</v>
      </c>
      <c r="E37556" s="1">
        <v>4.3455399550671099E-6</v>
      </c>
      <c r="F37556" s="1">
        <v>1.37289485724529E-5</v>
      </c>
    </row>
    <row r="37557" spans="1:6" x14ac:dyDescent="0.25">
      <c r="A37557" s="2" t="str">
        <f t="shared" si="1248"/>
        <v>99999</v>
      </c>
      <c r="B37557" s="2" t="str">
        <f>"69340"</f>
        <v>69340</v>
      </c>
      <c r="C37557" s="1">
        <v>9.3858817566616205E-6</v>
      </c>
      <c r="D37557" s="1">
        <v>6.0704106936354696E-6</v>
      </c>
      <c r="E37557" s="1">
        <v>4.3455399550671099E-6</v>
      </c>
      <c r="F37557" s="1">
        <v>9.0531472470523294E-6</v>
      </c>
    </row>
    <row r="37558" spans="1:6" x14ac:dyDescent="0.25">
      <c r="A37558" s="2" t="str">
        <f t="shared" si="1248"/>
        <v>99999</v>
      </c>
      <c r="B37558" s="2" t="str">
        <f>"69212"</f>
        <v>69212</v>
      </c>
      <c r="C37558" s="1">
        <v>1.0040710716428699E-5</v>
      </c>
      <c r="D37558" s="1">
        <v>1.51760267340886E-6</v>
      </c>
      <c r="E37558" s="1">
        <v>4.3455399550671099E-6</v>
      </c>
      <c r="F37558" s="1">
        <v>9.3516026508012996E-6</v>
      </c>
    </row>
    <row r="37559" spans="1:6" x14ac:dyDescent="0.25">
      <c r="A37559" s="2" t="str">
        <f t="shared" si="1248"/>
        <v>99999</v>
      </c>
      <c r="B37559" s="2" t="str">
        <f>"69348"</f>
        <v>69348</v>
      </c>
      <c r="C37559" s="1">
        <v>7.1485494774573997E-5</v>
      </c>
      <c r="D37559" s="1">
        <v>7.8915339017261203E-5</v>
      </c>
      <c r="E37559" s="1">
        <v>6.9528639281073799E-5</v>
      </c>
      <c r="F37559" s="1">
        <v>7.1927752303503595E-5</v>
      </c>
    </row>
    <row r="37560" spans="1:6" x14ac:dyDescent="0.25">
      <c r="A37560" s="2" t="str">
        <f t="shared" si="1248"/>
        <v>99999</v>
      </c>
      <c r="B37560" s="2" t="str">
        <f>"69343"</f>
        <v>69343</v>
      </c>
      <c r="C37560" s="1">
        <v>1.44498923788604E-4</v>
      </c>
      <c r="D37560" s="1">
        <v>2.3522841437837401E-4</v>
      </c>
      <c r="E37560" s="1">
        <v>1.12984038831745E-4</v>
      </c>
      <c r="F37560" s="1">
        <v>1.49725127547403E-4</v>
      </c>
    </row>
    <row r="37561" spans="1:6" x14ac:dyDescent="0.25">
      <c r="A37561" s="2" t="str">
        <f t="shared" si="1248"/>
        <v>99999</v>
      </c>
      <c r="B37561" s="2" t="str">
        <f>"69301"</f>
        <v>69301</v>
      </c>
      <c r="C37561" s="1">
        <v>5.4459941820629598E-4</v>
      </c>
      <c r="D37561" s="1">
        <v>7.2086126986921296E-4</v>
      </c>
      <c r="E37561" s="1">
        <v>1.15156808809278E-3</v>
      </c>
      <c r="F37561" s="1">
        <v>5.7004982116054699E-4</v>
      </c>
    </row>
    <row r="37562" spans="1:6" x14ac:dyDescent="0.25">
      <c r="A37562" s="2" t="str">
        <f t="shared" si="1248"/>
        <v>99999</v>
      </c>
      <c r="B37562" s="2" t="str">
        <f>"69217"</f>
        <v>69217</v>
      </c>
      <c r="C37562" s="1">
        <v>1.7571243753750201E-5</v>
      </c>
      <c r="D37562" s="1">
        <v>3.0352053468177301E-6</v>
      </c>
      <c r="E37562" s="1">
        <v>8.69107991013423E-6</v>
      </c>
      <c r="F37562" s="1">
        <v>1.6415047206193701E-5</v>
      </c>
    </row>
    <row r="37563" spans="1:6" x14ac:dyDescent="0.25">
      <c r="A37563" s="2" t="str">
        <f t="shared" si="1248"/>
        <v>99999</v>
      </c>
      <c r="B37563" s="2" t="str">
        <f>"68974"</f>
        <v>68974</v>
      </c>
      <c r="C37563" s="1">
        <v>1.0258987036351001E-5</v>
      </c>
      <c r="D37563" s="1">
        <v>6.0704106936354696E-6</v>
      </c>
      <c r="E37563" s="1">
        <v>4.3455399550671099E-6</v>
      </c>
      <c r="F37563" s="1">
        <v>9.8490283237162701E-6</v>
      </c>
    </row>
    <row r="37564" spans="1:6" x14ac:dyDescent="0.25">
      <c r="A37564" s="2" t="str">
        <f t="shared" si="1248"/>
        <v>99999</v>
      </c>
      <c r="B37564" s="2" t="str">
        <f>"69042"</f>
        <v>69042</v>
      </c>
      <c r="C37564" s="1">
        <v>3.6015592787189902E-6</v>
      </c>
      <c r="D37564" s="1">
        <v>7.5880133670443404E-6</v>
      </c>
      <c r="E37564" s="1">
        <v>8.69107991013423E-6</v>
      </c>
      <c r="F37564" s="1">
        <v>3.9794053833197E-6</v>
      </c>
    </row>
    <row r="37565" spans="1:6" x14ac:dyDescent="0.25">
      <c r="A37565" s="2" t="str">
        <f t="shared" si="1248"/>
        <v>99999</v>
      </c>
      <c r="B37565" s="2" t="str">
        <f>"69028"</f>
        <v>69028</v>
      </c>
      <c r="C37565" s="1">
        <v>3.8416632306335898E-5</v>
      </c>
      <c r="D37565" s="1">
        <v>1.21408213872709E-5</v>
      </c>
      <c r="E37565" s="1">
        <v>3.0418779685469802E-5</v>
      </c>
      <c r="F37565" s="1">
        <v>3.6511044391958198E-5</v>
      </c>
    </row>
    <row r="37566" spans="1:6" x14ac:dyDescent="0.25">
      <c r="A37566" s="2" t="str">
        <f t="shared" si="1248"/>
        <v>99999</v>
      </c>
      <c r="B37566" s="2" t="str">
        <f>"69026"</f>
        <v>69026</v>
      </c>
      <c r="C37566" s="1">
        <v>1.22234739156523E-5</v>
      </c>
      <c r="D37566" s="1">
        <v>6.0704106936354696E-6</v>
      </c>
      <c r="E37566" s="1">
        <v>4.3455399550671099E-6</v>
      </c>
      <c r="F37566" s="1">
        <v>1.1639760746210099E-5</v>
      </c>
    </row>
    <row r="37567" spans="1:6" x14ac:dyDescent="0.25">
      <c r="A37567" s="2" t="str">
        <f t="shared" si="1248"/>
        <v>99999</v>
      </c>
      <c r="B37567" s="2" t="str">
        <f>"69023"</f>
        <v>69023</v>
      </c>
      <c r="C37567" s="1">
        <v>2.4883500471149398E-5</v>
      </c>
      <c r="D37567" s="1">
        <v>1.3658424060679801E-5</v>
      </c>
      <c r="E37567" s="1">
        <v>4.3455399550671099E-6</v>
      </c>
      <c r="F37567" s="1">
        <v>2.36774620307522E-5</v>
      </c>
    </row>
    <row r="37568" spans="1:6" x14ac:dyDescent="0.25">
      <c r="A37568" s="2" t="str">
        <f t="shared" si="1248"/>
        <v>99999</v>
      </c>
      <c r="B37568" s="2" t="str">
        <f>"69020"</f>
        <v>69020</v>
      </c>
      <c r="C37568" s="1">
        <v>1.8007796393594899E-5</v>
      </c>
      <c r="D37568" s="1">
        <v>9.1056160404532095E-6</v>
      </c>
      <c r="E37568" s="1">
        <v>4.3455399550671099E-6</v>
      </c>
      <c r="F37568" s="1">
        <v>1.7111443148274701E-5</v>
      </c>
    </row>
    <row r="37569" spans="1:6" x14ac:dyDescent="0.25">
      <c r="A37569" s="2" t="str">
        <f t="shared" si="1248"/>
        <v>99999</v>
      </c>
      <c r="B37569" s="2" t="str">
        <f>"68958"</f>
        <v>68958</v>
      </c>
      <c r="C37569" s="1">
        <v>3.63430072670735E-5</v>
      </c>
      <c r="D37569" s="1">
        <v>1.51760267340886E-6</v>
      </c>
      <c r="E37569" s="1">
        <v>3.0418779685469802E-5</v>
      </c>
      <c r="F37569" s="1">
        <v>3.3924430892800399E-5</v>
      </c>
    </row>
    <row r="37570" spans="1:6" x14ac:dyDescent="0.25">
      <c r="A37570" s="2" t="str">
        <f t="shared" si="1248"/>
        <v>99999</v>
      </c>
      <c r="B37570" s="2" t="str">
        <f>"69141"</f>
        <v>69141</v>
      </c>
      <c r="C37570" s="1">
        <v>8.7310527968945299E-6</v>
      </c>
      <c r="D37570" s="1">
        <v>1.51760267340886E-6</v>
      </c>
      <c r="E37570" s="1">
        <v>4.3455399550671099E-6</v>
      </c>
      <c r="F37570" s="1">
        <v>8.1577810358053902E-6</v>
      </c>
    </row>
    <row r="37571" spans="1:6" x14ac:dyDescent="0.25">
      <c r="A37571" s="2" t="str">
        <f t="shared" si="1248"/>
        <v>99999</v>
      </c>
      <c r="B37571" s="2" t="str">
        <f>"69135"</f>
        <v>69135</v>
      </c>
      <c r="C37571" s="1">
        <v>2.1827631992236299E-6</v>
      </c>
      <c r="D37571" s="1">
        <v>1.51760267340886E-6</v>
      </c>
      <c r="E37571" s="1">
        <v>4.3455399550671099E-6</v>
      </c>
      <c r="F37571" s="1">
        <v>2.1886729608258301E-6</v>
      </c>
    </row>
    <row r="37572" spans="1:6" x14ac:dyDescent="0.25">
      <c r="A37572" s="2" t="str">
        <f t="shared" si="1248"/>
        <v>99999</v>
      </c>
      <c r="B37572" s="2" t="str">
        <f>"69122"</f>
        <v>69122</v>
      </c>
      <c r="C37572" s="1">
        <v>4.07085336655207E-5</v>
      </c>
      <c r="D37572" s="1">
        <v>4.7045682875674899E-5</v>
      </c>
      <c r="E37572" s="1">
        <v>1.3036619865201299E-5</v>
      </c>
      <c r="F37572" s="1">
        <v>4.0490449775278003E-5</v>
      </c>
    </row>
    <row r="37573" spans="1:6" x14ac:dyDescent="0.25">
      <c r="A37573" s="2" t="str">
        <f t="shared" si="1248"/>
        <v>99999</v>
      </c>
      <c r="B37573" s="2" t="str">
        <f>"69165"</f>
        <v>69165</v>
      </c>
      <c r="C37573" s="1">
        <v>1.6370723994177199E-6</v>
      </c>
      <c r="D37573" s="1">
        <v>0</v>
      </c>
      <c r="E37573" s="1">
        <v>0</v>
      </c>
      <c r="F37573" s="1">
        <v>1.4922770187448801E-6</v>
      </c>
    </row>
    <row r="37574" spans="1:6" x14ac:dyDescent="0.25">
      <c r="A37574" s="2" t="str">
        <f t="shared" si="1248"/>
        <v>99999</v>
      </c>
      <c r="B37574" s="2" t="str">
        <f>"69152"</f>
        <v>69152</v>
      </c>
      <c r="C37574" s="1">
        <v>4.70385469432693E-5</v>
      </c>
      <c r="D37574" s="1">
        <v>9.1056160404532095E-6</v>
      </c>
      <c r="E37574" s="1">
        <v>2.1727699775335501E-5</v>
      </c>
      <c r="F37574" s="1">
        <v>4.39724294856827E-5</v>
      </c>
    </row>
    <row r="37575" spans="1:6" x14ac:dyDescent="0.25">
      <c r="A37575" s="2" t="str">
        <f t="shared" si="1248"/>
        <v>99999</v>
      </c>
      <c r="B37575" s="2" t="str">
        <f>"69147"</f>
        <v>69147</v>
      </c>
      <c r="C37575" s="1">
        <v>5.9807711658727498E-5</v>
      </c>
      <c r="D37575" s="1">
        <v>1.21408213872709E-5</v>
      </c>
      <c r="E37575" s="1">
        <v>4.3455399550671099E-6</v>
      </c>
      <c r="F37575" s="1">
        <v>5.5413219962726798E-5</v>
      </c>
    </row>
    <row r="37576" spans="1:6" x14ac:dyDescent="0.25">
      <c r="A37576" s="2" t="str">
        <f t="shared" si="1248"/>
        <v>99999</v>
      </c>
      <c r="B37576" s="2" t="str">
        <f>"69133"</f>
        <v>69133</v>
      </c>
      <c r="C37576" s="1">
        <v>2.24824609520034E-5</v>
      </c>
      <c r="D37576" s="1">
        <v>4.5528080202265997E-6</v>
      </c>
      <c r="E37576" s="1">
        <v>1.3036619865201299E-5</v>
      </c>
      <c r="F37576" s="1">
        <v>2.1090848531594401E-5</v>
      </c>
    </row>
    <row r="37577" spans="1:6" x14ac:dyDescent="0.25">
      <c r="A37577" s="2" t="str">
        <f t="shared" si="1248"/>
        <v>99999</v>
      </c>
      <c r="B37577" s="2" t="str">
        <f>"68773"</f>
        <v>68773</v>
      </c>
      <c r="C37577" s="1">
        <v>1.23326120756135E-5</v>
      </c>
      <c r="D37577" s="1">
        <v>7.5880133670443404E-6</v>
      </c>
      <c r="E37577" s="1">
        <v>0</v>
      </c>
      <c r="F37577" s="1">
        <v>1.17392458807931E-5</v>
      </c>
    </row>
    <row r="37578" spans="1:6" x14ac:dyDescent="0.25">
      <c r="A37578" s="2" t="str">
        <f t="shared" si="1248"/>
        <v>99999</v>
      </c>
      <c r="B37578" s="2" t="str">
        <f>"68761"</f>
        <v>68761</v>
      </c>
      <c r="C37578" s="1">
        <v>2.5429191270955298E-5</v>
      </c>
      <c r="D37578" s="1">
        <v>1.21408213872709E-5</v>
      </c>
      <c r="E37578" s="1">
        <v>0</v>
      </c>
      <c r="F37578" s="1">
        <v>2.3975917434501198E-5</v>
      </c>
    </row>
    <row r="37579" spans="1:6" x14ac:dyDescent="0.25">
      <c r="A37579" s="2" t="str">
        <f t="shared" si="1248"/>
        <v>99999</v>
      </c>
      <c r="B37579" s="2" t="str">
        <f>"68784"</f>
        <v>68784</v>
      </c>
      <c r="C37579" s="1">
        <v>2.7611954470178899E-5</v>
      </c>
      <c r="D37579" s="1">
        <v>1.8211232080906399E-5</v>
      </c>
      <c r="E37579" s="1">
        <v>4.3455399550671099E-6</v>
      </c>
      <c r="F37579" s="1">
        <v>2.6463045799075999E-5</v>
      </c>
    </row>
    <row r="37580" spans="1:6" x14ac:dyDescent="0.25">
      <c r="A37580" s="2" t="str">
        <f t="shared" si="1248"/>
        <v>99999</v>
      </c>
      <c r="B37580" s="2" t="str">
        <f>"68780"</f>
        <v>68780</v>
      </c>
      <c r="C37580" s="1">
        <v>5.1185797021794197E-5</v>
      </c>
      <c r="D37580" s="1">
        <v>3.1869656141586203E-5</v>
      </c>
      <c r="E37580" s="1">
        <v>6.5183099326006705E-5</v>
      </c>
      <c r="F37580" s="1">
        <v>5.02399929644112E-5</v>
      </c>
    </row>
    <row r="37581" spans="1:6" x14ac:dyDescent="0.25">
      <c r="A37581" s="2" t="str">
        <f t="shared" si="1248"/>
        <v>99999</v>
      </c>
      <c r="B37581" s="2" t="str">
        <f>"68778"</f>
        <v>68778</v>
      </c>
      <c r="C37581" s="1">
        <v>3.6561283586995803E-5</v>
      </c>
      <c r="D37581" s="1">
        <v>3.7940066835221703E-5</v>
      </c>
      <c r="E37581" s="1">
        <v>4.3455399550671099E-6</v>
      </c>
      <c r="F37581" s="1">
        <v>3.5914133584460302E-5</v>
      </c>
    </row>
    <row r="37582" spans="1:6" x14ac:dyDescent="0.25">
      <c r="A37582" s="2" t="str">
        <f t="shared" si="1248"/>
        <v>99999</v>
      </c>
      <c r="B37582" s="2" t="str">
        <f>"68764"</f>
        <v>68764</v>
      </c>
      <c r="C37582" s="1">
        <v>4.7365961423152798E-5</v>
      </c>
      <c r="D37582" s="1">
        <v>0</v>
      </c>
      <c r="E37582" s="1">
        <v>1.7382159820268399E-5</v>
      </c>
      <c r="F37582" s="1">
        <v>4.35744889473507E-5</v>
      </c>
    </row>
    <row r="37583" spans="1:6" x14ac:dyDescent="0.25">
      <c r="A37583" s="2" t="str">
        <f t="shared" si="1248"/>
        <v>99999</v>
      </c>
      <c r="B37583" s="2" t="str">
        <f>"68948"</f>
        <v>68948</v>
      </c>
      <c r="C37583" s="1">
        <v>7.0939803974768102E-6</v>
      </c>
      <c r="D37583" s="1">
        <v>1.51760267340886E-6</v>
      </c>
      <c r="E37583" s="1">
        <v>4.3455399550671099E-6</v>
      </c>
      <c r="F37583" s="1">
        <v>6.6655040170604998E-6</v>
      </c>
    </row>
    <row r="37584" spans="1:6" x14ac:dyDescent="0.25">
      <c r="A37584" s="2" t="str">
        <f t="shared" si="1248"/>
        <v>99999</v>
      </c>
      <c r="B37584" s="2" t="str">
        <f>"68935"</f>
        <v>68935</v>
      </c>
      <c r="C37584" s="1">
        <v>3.2195757188548602E-5</v>
      </c>
      <c r="D37584" s="1">
        <v>1.3658424060679801E-5</v>
      </c>
      <c r="E37584" s="1">
        <v>1.7382159820268399E-5</v>
      </c>
      <c r="F37584" s="1">
        <v>3.0641421451561699E-5</v>
      </c>
    </row>
    <row r="37585" spans="1:6" x14ac:dyDescent="0.25">
      <c r="A37585" s="2" t="str">
        <f t="shared" si="1248"/>
        <v>99999</v>
      </c>
      <c r="B37585" s="2" t="str">
        <f>"68879"</f>
        <v>68879</v>
      </c>
      <c r="C37585" s="1">
        <v>2.1281941192430401E-5</v>
      </c>
      <c r="D37585" s="1">
        <v>1.66936294074975E-5</v>
      </c>
      <c r="E37585" s="1">
        <v>4.3455399550671099E-6</v>
      </c>
      <c r="F37585" s="1">
        <v>2.0593422858679401E-5</v>
      </c>
    </row>
    <row r="37586" spans="1:6" x14ac:dyDescent="0.25">
      <c r="A37586" s="2" t="str">
        <f t="shared" ref="A37586:A37649" si="1249">"99999"</f>
        <v>99999</v>
      </c>
      <c r="B37586" s="2" t="str">
        <f>"68458"</f>
        <v>68458</v>
      </c>
      <c r="C37586" s="1">
        <v>1.09138159961181E-7</v>
      </c>
      <c r="D37586" s="1">
        <v>0</v>
      </c>
      <c r="E37586" s="1">
        <v>0</v>
      </c>
      <c r="F37586" s="1">
        <v>9.9485134582992598E-8</v>
      </c>
    </row>
    <row r="37587" spans="1:6" x14ac:dyDescent="0.25">
      <c r="A37587" s="2" t="str">
        <f t="shared" si="1249"/>
        <v>99999</v>
      </c>
      <c r="B37587" s="2" t="str">
        <f>"68457"</f>
        <v>68457</v>
      </c>
      <c r="C37587" s="1">
        <v>1.8990039833245598E-5</v>
      </c>
      <c r="D37587" s="1">
        <v>6.0704106936354696E-6</v>
      </c>
      <c r="E37587" s="1">
        <v>4.3455399550671099E-6</v>
      </c>
      <c r="F37587" s="1">
        <v>1.7807839090355599E-5</v>
      </c>
    </row>
    <row r="37588" spans="1:6" x14ac:dyDescent="0.25">
      <c r="A37588" s="2" t="str">
        <f t="shared" si="1249"/>
        <v>99999</v>
      </c>
      <c r="B37588" s="2" t="str">
        <f>"68448"</f>
        <v>68448</v>
      </c>
      <c r="C37588" s="1">
        <v>2.3137289911770499E-5</v>
      </c>
      <c r="D37588" s="1">
        <v>0</v>
      </c>
      <c r="E37588" s="1">
        <v>4.3455399550671099E-6</v>
      </c>
      <c r="F37588" s="1">
        <v>2.1190333666177399E-5</v>
      </c>
    </row>
    <row r="37589" spans="1:6" x14ac:dyDescent="0.25">
      <c r="A37589" s="2" t="str">
        <f t="shared" si="1249"/>
        <v>99999</v>
      </c>
      <c r="B37589" s="2" t="str">
        <f>"68406"</f>
        <v>68406</v>
      </c>
      <c r="C37589" s="1">
        <v>2.9139888709635502E-5</v>
      </c>
      <c r="D37589" s="1">
        <v>3.3387258814995101E-5</v>
      </c>
      <c r="E37589" s="1">
        <v>1.7382159820268399E-5</v>
      </c>
      <c r="F37589" s="1">
        <v>2.9149144432816799E-5</v>
      </c>
    </row>
    <row r="37590" spans="1:6" x14ac:dyDescent="0.25">
      <c r="A37590" s="2" t="str">
        <f t="shared" si="1249"/>
        <v>99999</v>
      </c>
      <c r="B37590" s="2" t="str">
        <f>"68381"</f>
        <v>68381</v>
      </c>
      <c r="C37590" s="1">
        <v>2.8375921589907201E-6</v>
      </c>
      <c r="D37590" s="1">
        <v>1.51760267340886E-6</v>
      </c>
      <c r="E37590" s="1">
        <v>0</v>
      </c>
      <c r="F37590" s="1">
        <v>2.6860986337408002E-6</v>
      </c>
    </row>
    <row r="37591" spans="1:6" x14ac:dyDescent="0.25">
      <c r="A37591" s="2" t="str">
        <f t="shared" si="1249"/>
        <v>99999</v>
      </c>
      <c r="B37591" s="2" t="str">
        <f>"68348"</f>
        <v>68348</v>
      </c>
      <c r="C37591" s="1">
        <v>1.8116934553556101E-5</v>
      </c>
      <c r="D37591" s="1">
        <v>3.0352053468177301E-6</v>
      </c>
      <c r="E37591" s="1">
        <v>4.3455399550671099E-6</v>
      </c>
      <c r="F37591" s="1">
        <v>1.6812987744525699E-5</v>
      </c>
    </row>
    <row r="37592" spans="1:6" x14ac:dyDescent="0.25">
      <c r="A37592" s="2" t="str">
        <f t="shared" si="1249"/>
        <v>99999</v>
      </c>
      <c r="B37592" s="2" t="str">
        <f>"68335"</f>
        <v>68335</v>
      </c>
      <c r="C37592" s="1">
        <v>2.4446947831304701E-5</v>
      </c>
      <c r="D37592" s="1">
        <v>1.5176026734088599E-5</v>
      </c>
      <c r="E37592" s="1">
        <v>4.3455399550671099E-6</v>
      </c>
      <c r="F37592" s="1">
        <v>2.3379006627003201E-5</v>
      </c>
    </row>
    <row r="37593" spans="1:6" x14ac:dyDescent="0.25">
      <c r="A37593" s="2" t="str">
        <f t="shared" si="1249"/>
        <v>99999</v>
      </c>
      <c r="B37593" s="2" t="str">
        <f>"68326"</f>
        <v>68326</v>
      </c>
      <c r="C37593" s="1">
        <v>1.41879607949536E-5</v>
      </c>
      <c r="D37593" s="1">
        <v>2.2764040101133E-5</v>
      </c>
      <c r="E37593" s="1">
        <v>4.3455399550671099E-6</v>
      </c>
      <c r="F37593" s="1">
        <v>1.45248296491169E-5</v>
      </c>
    </row>
    <row r="37594" spans="1:6" x14ac:dyDescent="0.25">
      <c r="A37594" s="2" t="str">
        <f t="shared" si="1249"/>
        <v>99999</v>
      </c>
      <c r="B37594" s="2" t="str">
        <f>"68635"</f>
        <v>68635</v>
      </c>
      <c r="C37594" s="1">
        <v>3.1650066388742699E-5</v>
      </c>
      <c r="D37594" s="1">
        <v>1.51760267340886E-6</v>
      </c>
      <c r="E37594" s="1">
        <v>2.60732397304027E-5</v>
      </c>
      <c r="F37594" s="1">
        <v>2.95470849711488E-5</v>
      </c>
    </row>
    <row r="37595" spans="1:6" x14ac:dyDescent="0.25">
      <c r="A37595" s="2" t="str">
        <f t="shared" si="1249"/>
        <v>99999</v>
      </c>
      <c r="B37595" s="2" t="str">
        <f>"68655"</f>
        <v>68655</v>
      </c>
      <c r="C37595" s="1">
        <v>9.2767435967004401E-6</v>
      </c>
      <c r="D37595" s="1">
        <v>6.0704106936354696E-6</v>
      </c>
      <c r="E37595" s="1">
        <v>0</v>
      </c>
      <c r="F37595" s="1">
        <v>8.8541769778863392E-6</v>
      </c>
    </row>
    <row r="37596" spans="1:6" x14ac:dyDescent="0.25">
      <c r="A37596" s="2" t="str">
        <f t="shared" si="1249"/>
        <v>99999</v>
      </c>
      <c r="B37596" s="2" t="str">
        <f>"68638"</f>
        <v>68638</v>
      </c>
      <c r="C37596" s="1">
        <v>1.0455435724281199E-4</v>
      </c>
      <c r="D37596" s="1">
        <v>4.2492874855448297E-5</v>
      </c>
      <c r="E37596" s="1">
        <v>3.47643196405369E-5</v>
      </c>
      <c r="F37596" s="1">
        <v>9.88882237754946E-5</v>
      </c>
    </row>
    <row r="37597" spans="1:6" x14ac:dyDescent="0.25">
      <c r="A37597" s="2" t="str">
        <f t="shared" si="1249"/>
        <v>99999</v>
      </c>
      <c r="B37597" s="2" t="str">
        <f>"68633"</f>
        <v>68633</v>
      </c>
      <c r="C37597" s="1">
        <v>1.25508883955359E-5</v>
      </c>
      <c r="D37597" s="1">
        <v>6.0704106936354696E-6</v>
      </c>
      <c r="E37597" s="1">
        <v>4.3455399550671099E-6</v>
      </c>
      <c r="F37597" s="1">
        <v>1.19382161499591E-5</v>
      </c>
    </row>
    <row r="37598" spans="1:6" x14ac:dyDescent="0.25">
      <c r="A37598" s="2" t="str">
        <f t="shared" si="1249"/>
        <v>99999</v>
      </c>
      <c r="B37598" s="2" t="str">
        <f>"68303"</f>
        <v>68303</v>
      </c>
      <c r="C37598" s="1">
        <v>2.08453885525857E-5</v>
      </c>
      <c r="D37598" s="1">
        <v>0</v>
      </c>
      <c r="E37598" s="1">
        <v>4.3455399550671099E-6</v>
      </c>
      <c r="F37598" s="1">
        <v>1.9101145839934498E-5</v>
      </c>
    </row>
    <row r="37599" spans="1:6" x14ac:dyDescent="0.25">
      <c r="A37599" s="2" t="str">
        <f t="shared" si="1249"/>
        <v>99999</v>
      </c>
      <c r="B37599" s="2" t="str">
        <f>"68301"</f>
        <v>68301</v>
      </c>
      <c r="C37599" s="1">
        <v>9.1676054367392598E-6</v>
      </c>
      <c r="D37599" s="1">
        <v>0</v>
      </c>
      <c r="E37599" s="1">
        <v>0</v>
      </c>
      <c r="F37599" s="1">
        <v>8.3567513049713805E-6</v>
      </c>
    </row>
    <row r="37600" spans="1:6" x14ac:dyDescent="0.25">
      <c r="A37600" s="2" t="str">
        <f t="shared" si="1249"/>
        <v>99999</v>
      </c>
      <c r="B37600" s="2" t="str">
        <f>"68031"</f>
        <v>68031</v>
      </c>
      <c r="C37600" s="1">
        <v>2.1827631992236301E-7</v>
      </c>
      <c r="D37600" s="1">
        <v>0</v>
      </c>
      <c r="E37600" s="1">
        <v>0</v>
      </c>
      <c r="F37600" s="1">
        <v>1.9897026916598501E-7</v>
      </c>
    </row>
    <row r="37601" spans="1:6" x14ac:dyDescent="0.25">
      <c r="A37601" s="2" t="str">
        <f t="shared" si="1249"/>
        <v>99999</v>
      </c>
      <c r="B37601" s="2" t="str">
        <f>"68001"</f>
        <v>68001</v>
      </c>
      <c r="C37601" s="1">
        <v>3.9289737586025402E-6</v>
      </c>
      <c r="D37601" s="1">
        <v>0</v>
      </c>
      <c r="E37601" s="1">
        <v>8.69107991013423E-6</v>
      </c>
      <c r="F37601" s="1">
        <v>3.7804351141537199E-6</v>
      </c>
    </row>
    <row r="37602" spans="1:6" x14ac:dyDescent="0.25">
      <c r="A37602" s="2" t="str">
        <f t="shared" si="1249"/>
        <v>99999</v>
      </c>
      <c r="B37602" s="2" t="str">
        <f>"68020"</f>
        <v>68020</v>
      </c>
      <c r="C37602" s="1">
        <v>5.2168040461444802E-5</v>
      </c>
      <c r="D37602" s="1">
        <v>4.5528080202265997E-6</v>
      </c>
      <c r="E37602" s="1">
        <v>2.60732397304027E-5</v>
      </c>
      <c r="F37602" s="1">
        <v>4.8449260541917403E-5</v>
      </c>
    </row>
    <row r="37603" spans="1:6" x14ac:dyDescent="0.25">
      <c r="A37603" s="2" t="str">
        <f t="shared" si="1249"/>
        <v>99999</v>
      </c>
      <c r="B37603" s="2" t="str">
        <f>"68004"</f>
        <v>68004</v>
      </c>
      <c r="C37603" s="1">
        <v>4.7693375903036399E-5</v>
      </c>
      <c r="D37603" s="1">
        <v>6.2221709609763595E-5</v>
      </c>
      <c r="E37603" s="1">
        <v>2.1727699775335501E-5</v>
      </c>
      <c r="F37603" s="1">
        <v>4.8051320003585402E-5</v>
      </c>
    </row>
    <row r="37604" spans="1:6" x14ac:dyDescent="0.25">
      <c r="A37604" s="2" t="str">
        <f t="shared" si="1249"/>
        <v>99999</v>
      </c>
      <c r="B37604" s="2" t="str">
        <f>"67951"</f>
        <v>67951</v>
      </c>
      <c r="C37604" s="1">
        <v>2.2580685295968501E-4</v>
      </c>
      <c r="D37604" s="1">
        <v>3.4297820419040397E-4</v>
      </c>
      <c r="E37604" s="1">
        <v>2.5204131739389198E-4</v>
      </c>
      <c r="F37604" s="1">
        <v>2.34088521673781E-4</v>
      </c>
    </row>
    <row r="37605" spans="1:6" x14ac:dyDescent="0.25">
      <c r="A37605" s="2" t="str">
        <f t="shared" si="1249"/>
        <v>99999</v>
      </c>
      <c r="B37605" s="2" t="str">
        <f>"67877"</f>
        <v>67877</v>
      </c>
      <c r="C37605" s="1">
        <v>8.2181034450769797E-5</v>
      </c>
      <c r="D37605" s="1">
        <v>3.7940066835221703E-5</v>
      </c>
      <c r="E37605" s="1">
        <v>3.9109859595604001E-5</v>
      </c>
      <c r="F37605" s="1">
        <v>7.8294800916815202E-5</v>
      </c>
    </row>
    <row r="37606" spans="1:6" x14ac:dyDescent="0.25">
      <c r="A37606" s="2" t="str">
        <f t="shared" si="1249"/>
        <v>99999</v>
      </c>
      <c r="B37606" s="2" t="str">
        <f>"67870"</f>
        <v>67870</v>
      </c>
      <c r="C37606" s="1">
        <v>6.4064099897213604E-5</v>
      </c>
      <c r="D37606" s="1">
        <v>3.1869656141586203E-5</v>
      </c>
      <c r="E37606" s="1">
        <v>4.3455399550671103E-5</v>
      </c>
      <c r="F37606" s="1">
        <v>6.1481813172289395E-5</v>
      </c>
    </row>
    <row r="37607" spans="1:6" x14ac:dyDescent="0.25">
      <c r="A37607" s="2" t="str">
        <f t="shared" si="1249"/>
        <v>99999</v>
      </c>
      <c r="B37607" s="2" t="str">
        <f>"67867"</f>
        <v>67867</v>
      </c>
      <c r="C37607" s="1">
        <v>5.9480297178843999E-5</v>
      </c>
      <c r="D37607" s="1">
        <v>3.6422464161812797E-5</v>
      </c>
      <c r="E37607" s="1">
        <v>1.9989483793308701E-4</v>
      </c>
      <c r="F37607" s="1">
        <v>6.1183357768540407E-5</v>
      </c>
    </row>
    <row r="37608" spans="1:6" x14ac:dyDescent="0.25">
      <c r="A37608" s="2" t="str">
        <f t="shared" si="1249"/>
        <v>99999</v>
      </c>
      <c r="B37608" s="2" t="str">
        <f>"67864"</f>
        <v>67864</v>
      </c>
      <c r="C37608" s="1">
        <v>1.1797835091803699E-4</v>
      </c>
      <c r="D37608" s="1">
        <v>5.9186504262945899E-5</v>
      </c>
      <c r="E37608" s="1">
        <v>1.7382159820268399E-5</v>
      </c>
      <c r="F37608" s="1">
        <v>1.11821291271283E-4</v>
      </c>
    </row>
    <row r="37609" spans="1:6" x14ac:dyDescent="0.25">
      <c r="A37609" s="2" t="str">
        <f t="shared" si="1249"/>
        <v>99999</v>
      </c>
      <c r="B37609" s="2" t="str">
        <f>"67844"</f>
        <v>67844</v>
      </c>
      <c r="C37609" s="1">
        <v>4.2018191585054898E-5</v>
      </c>
      <c r="D37609" s="1">
        <v>9.1056160404532095E-6</v>
      </c>
      <c r="E37609" s="1">
        <v>4.3455399550671099E-6</v>
      </c>
      <c r="F37609" s="1">
        <v>3.89981727565331E-5</v>
      </c>
    </row>
    <row r="37610" spans="1:6" x14ac:dyDescent="0.25">
      <c r="A37610" s="2" t="str">
        <f t="shared" si="1249"/>
        <v>99999</v>
      </c>
      <c r="B37610" s="2" t="str">
        <f>"67842"</f>
        <v>67842</v>
      </c>
      <c r="C37610" s="1">
        <v>6.5482895976708995E-7</v>
      </c>
      <c r="D37610" s="1">
        <v>0</v>
      </c>
      <c r="E37610" s="1">
        <v>0</v>
      </c>
      <c r="F37610" s="1">
        <v>5.9691080749795498E-7</v>
      </c>
    </row>
    <row r="37611" spans="1:6" x14ac:dyDescent="0.25">
      <c r="A37611" s="2" t="str">
        <f t="shared" si="1249"/>
        <v>99999</v>
      </c>
      <c r="B37611" s="2" t="str">
        <f>"67757"</f>
        <v>67757</v>
      </c>
      <c r="C37611" s="1">
        <v>3.2632309828393297E-5</v>
      </c>
      <c r="D37611" s="1">
        <v>2.5799245447950699E-5</v>
      </c>
      <c r="E37611" s="1">
        <v>4.3455399550671099E-6</v>
      </c>
      <c r="F37611" s="1">
        <v>3.1536787662808598E-5</v>
      </c>
    </row>
    <row r="37612" spans="1:6" x14ac:dyDescent="0.25">
      <c r="A37612" s="2" t="str">
        <f t="shared" si="1249"/>
        <v>99999</v>
      </c>
      <c r="B37612" s="2" t="str">
        <f>"67738"</f>
        <v>67738</v>
      </c>
      <c r="C37612" s="1">
        <v>3.8744046786219498E-5</v>
      </c>
      <c r="D37612" s="1">
        <v>4.8563285549083798E-5</v>
      </c>
      <c r="E37612" s="1">
        <v>4.3455399550671099E-6</v>
      </c>
      <c r="F37612" s="1">
        <v>3.8600232218201099E-5</v>
      </c>
    </row>
    <row r="37613" spans="1:6" x14ac:dyDescent="0.25">
      <c r="A37613" s="2" t="str">
        <f t="shared" si="1249"/>
        <v>99999</v>
      </c>
      <c r="B37613" s="2" t="str">
        <f>"67420"</f>
        <v>67420</v>
      </c>
      <c r="C37613" s="1">
        <v>2.6444176158594299E-4</v>
      </c>
      <c r="D37613" s="1">
        <v>4.46175185982207E-4</v>
      </c>
      <c r="E37613" s="1">
        <v>2.7811455712429498E-4</v>
      </c>
      <c r="F37613" s="1">
        <v>2.7666815927530197E-4</v>
      </c>
    </row>
    <row r="37614" spans="1:6" x14ac:dyDescent="0.25">
      <c r="A37614" s="2" t="str">
        <f t="shared" si="1249"/>
        <v>99999</v>
      </c>
      <c r="B37614" s="2" t="str">
        <f>"67353"</f>
        <v>67353</v>
      </c>
      <c r="C37614" s="1">
        <v>3.2414033508470899E-5</v>
      </c>
      <c r="D37614" s="1">
        <v>2.1246437427724101E-5</v>
      </c>
      <c r="E37614" s="1">
        <v>3.9109859595604001E-5</v>
      </c>
      <c r="F37614" s="1">
        <v>3.18352430665576E-5</v>
      </c>
    </row>
    <row r="37615" spans="1:6" x14ac:dyDescent="0.25">
      <c r="A37615" s="2" t="str">
        <f t="shared" si="1249"/>
        <v>99999</v>
      </c>
      <c r="B37615" s="2" t="str">
        <f>"67335"</f>
        <v>67335</v>
      </c>
      <c r="C37615" s="1">
        <v>2.9467303189519E-6</v>
      </c>
      <c r="D37615" s="1">
        <v>4.5528080202265997E-6</v>
      </c>
      <c r="E37615" s="1">
        <v>0</v>
      </c>
      <c r="F37615" s="1">
        <v>2.9845540374897699E-6</v>
      </c>
    </row>
    <row r="37616" spans="1:6" x14ac:dyDescent="0.25">
      <c r="A37616" s="2" t="str">
        <f t="shared" si="1249"/>
        <v>99999</v>
      </c>
      <c r="B37616" s="2" t="str">
        <f>"67632"</f>
        <v>67632</v>
      </c>
      <c r="C37616" s="1">
        <v>7.6396711972827196E-6</v>
      </c>
      <c r="D37616" s="1">
        <v>0</v>
      </c>
      <c r="E37616" s="1">
        <v>4.3455399550671099E-6</v>
      </c>
      <c r="F37616" s="1">
        <v>7.0634445553924701E-6</v>
      </c>
    </row>
    <row r="37617" spans="1:6" x14ac:dyDescent="0.25">
      <c r="A37617" s="2" t="str">
        <f t="shared" si="1249"/>
        <v>99999</v>
      </c>
      <c r="B37617" s="2" t="str">
        <f>"67638"</f>
        <v>67638</v>
      </c>
      <c r="C37617" s="1">
        <v>1.51702042346042E-5</v>
      </c>
      <c r="D37617" s="1">
        <v>4.5528080202265997E-6</v>
      </c>
      <c r="E37617" s="1">
        <v>4.3455399550671099E-6</v>
      </c>
      <c r="F37617" s="1">
        <v>1.42263742453679E-5</v>
      </c>
    </row>
    <row r="37618" spans="1:6" x14ac:dyDescent="0.25">
      <c r="A37618" s="2" t="str">
        <f t="shared" si="1249"/>
        <v>99999</v>
      </c>
      <c r="B37618" s="2" t="str">
        <f>"67663"</f>
        <v>67663</v>
      </c>
      <c r="C37618" s="1">
        <v>1.4056995003000199E-4</v>
      </c>
      <c r="D37618" s="1">
        <v>2.5040444111246299E-4</v>
      </c>
      <c r="E37618" s="1">
        <v>8.2565259146275205E-5</v>
      </c>
      <c r="F37618" s="1">
        <v>1.46442118106165E-4</v>
      </c>
    </row>
    <row r="37619" spans="1:6" x14ac:dyDescent="0.25">
      <c r="A37619" s="2" t="str">
        <f t="shared" si="1249"/>
        <v>99999</v>
      </c>
      <c r="B37619" s="2" t="str">
        <f>"67654"</f>
        <v>67654</v>
      </c>
      <c r="C37619" s="1">
        <v>2.1281941192430399E-4</v>
      </c>
      <c r="D37619" s="1">
        <v>4.7500963677697602E-4</v>
      </c>
      <c r="E37619" s="1">
        <v>5.5188357429352298E-4</v>
      </c>
      <c r="F37619" s="1">
        <v>2.3776947165335199E-4</v>
      </c>
    </row>
    <row r="37620" spans="1:6" x14ac:dyDescent="0.25">
      <c r="A37620" s="2" t="str">
        <f t="shared" si="1249"/>
        <v>99999</v>
      </c>
      <c r="B37620" s="2" t="str">
        <f>"67648"</f>
        <v>67648</v>
      </c>
      <c r="C37620" s="1">
        <v>3.6561283586995803E-5</v>
      </c>
      <c r="D37620" s="1">
        <v>2.5799245447950699E-5</v>
      </c>
      <c r="E37620" s="1">
        <v>8.69107991013423E-6</v>
      </c>
      <c r="F37620" s="1">
        <v>3.5217737642379299E-5</v>
      </c>
    </row>
    <row r="37621" spans="1:6" x14ac:dyDescent="0.25">
      <c r="A37621" s="2" t="str">
        <f t="shared" si="1249"/>
        <v>99999</v>
      </c>
      <c r="B37621" s="2" t="str">
        <f>"67644"</f>
        <v>67644</v>
      </c>
      <c r="C37621" s="1">
        <v>1.4842789754720701E-5</v>
      </c>
      <c r="D37621" s="1">
        <v>1.0623218713862E-5</v>
      </c>
      <c r="E37621" s="1">
        <v>1.3036619865201299E-5</v>
      </c>
      <c r="F37621" s="1">
        <v>1.45248296491169E-5</v>
      </c>
    </row>
    <row r="37622" spans="1:6" x14ac:dyDescent="0.25">
      <c r="A37622" s="2" t="str">
        <f t="shared" si="1249"/>
        <v>99999</v>
      </c>
      <c r="B37622" s="2" t="str">
        <f>"67631"</f>
        <v>67631</v>
      </c>
      <c r="C37622" s="1">
        <v>8.1853619970886298E-6</v>
      </c>
      <c r="D37622" s="1">
        <v>1.51760267340886E-6</v>
      </c>
      <c r="E37622" s="1">
        <v>4.3455399550671099E-6</v>
      </c>
      <c r="F37622" s="1">
        <v>7.6603553628904299E-6</v>
      </c>
    </row>
    <row r="37623" spans="1:6" x14ac:dyDescent="0.25">
      <c r="A37623" s="2" t="str">
        <f t="shared" si="1249"/>
        <v>99999</v>
      </c>
      <c r="B37623" s="2" t="str">
        <f>"67622"</f>
        <v>67622</v>
      </c>
      <c r="C37623" s="1">
        <v>3.4269382227811E-5</v>
      </c>
      <c r="D37623" s="1">
        <v>7.5880133670443404E-6</v>
      </c>
      <c r="E37623" s="1">
        <v>1.7382159820268399E-5</v>
      </c>
      <c r="F37623" s="1">
        <v>3.2133698470306602E-5</v>
      </c>
    </row>
    <row r="37624" spans="1:6" x14ac:dyDescent="0.25">
      <c r="A37624" s="2" t="str">
        <f t="shared" si="1249"/>
        <v>99999</v>
      </c>
      <c r="B37624" s="2" t="str">
        <f>"67520"</f>
        <v>67520</v>
      </c>
      <c r="C37624" s="1">
        <v>2.21550464721198E-5</v>
      </c>
      <c r="D37624" s="1">
        <v>2.7316848121359601E-5</v>
      </c>
      <c r="E37624" s="1">
        <v>1.3036619865201299E-5</v>
      </c>
      <c r="F37624" s="1">
        <v>2.2284670146590302E-5</v>
      </c>
    </row>
    <row r="37625" spans="1:6" x14ac:dyDescent="0.25">
      <c r="A37625" s="2" t="str">
        <f t="shared" si="1249"/>
        <v>99999</v>
      </c>
      <c r="B37625" s="2" t="str">
        <f>"67516"</f>
        <v>67516</v>
      </c>
      <c r="C37625" s="1">
        <v>2.02996977527798E-5</v>
      </c>
      <c r="D37625" s="1">
        <v>4.5528080202265997E-6</v>
      </c>
      <c r="E37625" s="1">
        <v>1.3036619865201299E-5</v>
      </c>
      <c r="F37625" s="1">
        <v>1.9101145839934498E-5</v>
      </c>
    </row>
    <row r="37626" spans="1:6" x14ac:dyDescent="0.25">
      <c r="A37626" s="2" t="str">
        <f t="shared" si="1249"/>
        <v>99999</v>
      </c>
      <c r="B37626" s="2" t="str">
        <f>"67572"</f>
        <v>67572</v>
      </c>
      <c r="C37626" s="1">
        <v>2.2264184632080999E-5</v>
      </c>
      <c r="D37626" s="1">
        <v>1.5176026734088599E-5</v>
      </c>
      <c r="E37626" s="1">
        <v>8.69107991013423E-6</v>
      </c>
      <c r="F37626" s="1">
        <v>2.1488789069926402E-5</v>
      </c>
    </row>
    <row r="37627" spans="1:6" x14ac:dyDescent="0.25">
      <c r="A37627" s="2" t="str">
        <f t="shared" si="1249"/>
        <v>99999</v>
      </c>
      <c r="B37627" s="2" t="str">
        <f>"67556"</f>
        <v>67556</v>
      </c>
      <c r="C37627" s="1">
        <v>2.05179740727021E-5</v>
      </c>
      <c r="D37627" s="1">
        <v>9.1056160404532095E-6</v>
      </c>
      <c r="E37627" s="1">
        <v>4.3455399550671099E-6</v>
      </c>
      <c r="F37627" s="1">
        <v>1.9399601243683501E-5</v>
      </c>
    </row>
    <row r="37628" spans="1:6" x14ac:dyDescent="0.25">
      <c r="A37628" s="2" t="str">
        <f t="shared" si="1249"/>
        <v>99999</v>
      </c>
      <c r="B37628" s="2" t="str">
        <f>"67490"</f>
        <v>67490</v>
      </c>
      <c r="C37628" s="1">
        <v>5.4787356300513198E-5</v>
      </c>
      <c r="D37628" s="1">
        <v>3.4904861488403899E-5</v>
      </c>
      <c r="E37628" s="1">
        <v>2.60732397304027E-5</v>
      </c>
      <c r="F37628" s="1">
        <v>5.2826606463568999E-5</v>
      </c>
    </row>
    <row r="37629" spans="1:6" x14ac:dyDescent="0.25">
      <c r="A37629" s="2" t="str">
        <f t="shared" si="1249"/>
        <v>99999</v>
      </c>
      <c r="B37629" s="2" t="str">
        <f>"67481"</f>
        <v>67481</v>
      </c>
      <c r="C37629" s="1">
        <v>4.3655263984472602E-5</v>
      </c>
      <c r="D37629" s="1">
        <v>6.8292120303399095E-5</v>
      </c>
      <c r="E37629" s="1">
        <v>8.69107991013423E-6</v>
      </c>
      <c r="F37629" s="1">
        <v>4.44698551585977E-5</v>
      </c>
    </row>
    <row r="37630" spans="1:6" x14ac:dyDescent="0.25">
      <c r="A37630" s="2" t="str">
        <f t="shared" si="1249"/>
        <v>99999</v>
      </c>
      <c r="B37630" s="2" t="str">
        <f>"67480"</f>
        <v>67480</v>
      </c>
      <c r="C37630" s="1">
        <v>6.5046343336864297E-5</v>
      </c>
      <c r="D37630" s="1">
        <v>2.1246437427724101E-5</v>
      </c>
      <c r="E37630" s="1">
        <v>5.6492019415872502E-5</v>
      </c>
      <c r="F37630" s="1">
        <v>6.1979238845204395E-5</v>
      </c>
    </row>
    <row r="37631" spans="1:6" x14ac:dyDescent="0.25">
      <c r="A37631" s="2" t="str">
        <f t="shared" si="1249"/>
        <v>99999</v>
      </c>
      <c r="B37631" s="2" t="str">
        <f>"67457"</f>
        <v>67457</v>
      </c>
      <c r="C37631" s="1">
        <v>4.5292336383890401E-5</v>
      </c>
      <c r="D37631" s="1">
        <v>5.7668901589537E-5</v>
      </c>
      <c r="E37631" s="1">
        <v>2.60732397304027E-5</v>
      </c>
      <c r="F37631" s="1">
        <v>4.5663676773593601E-5</v>
      </c>
    </row>
    <row r="37632" spans="1:6" x14ac:dyDescent="0.25">
      <c r="A37632" s="2" t="str">
        <f t="shared" si="1249"/>
        <v>99999</v>
      </c>
      <c r="B37632" s="2" t="str">
        <f>"67445"</f>
        <v>67445</v>
      </c>
      <c r="C37632" s="1">
        <v>3.6561283586995803E-5</v>
      </c>
      <c r="D37632" s="1">
        <v>1.21408213872709E-5</v>
      </c>
      <c r="E37632" s="1">
        <v>1.7382159820268399E-5</v>
      </c>
      <c r="F37632" s="1">
        <v>3.4521341700298397E-5</v>
      </c>
    </row>
    <row r="37633" spans="1:6" x14ac:dyDescent="0.25">
      <c r="A37633" s="2" t="str">
        <f t="shared" si="1249"/>
        <v>99999</v>
      </c>
      <c r="B37633" s="2" t="str">
        <f>"67441"</f>
        <v>67441</v>
      </c>
      <c r="C37633" s="1">
        <v>4.9985277262221202E-5</v>
      </c>
      <c r="D37633" s="1">
        <v>3.9457669508630602E-5</v>
      </c>
      <c r="E37633" s="1">
        <v>1.7382159820268399E-5</v>
      </c>
      <c r="F37633" s="1">
        <v>4.8548745676500402E-5</v>
      </c>
    </row>
    <row r="37634" spans="1:6" x14ac:dyDescent="0.25">
      <c r="A37634" s="2" t="str">
        <f t="shared" si="1249"/>
        <v>99999</v>
      </c>
      <c r="B37634" s="2" t="str">
        <f>"67439"</f>
        <v>67439</v>
      </c>
      <c r="C37634" s="1">
        <v>1.6348896362185E-4</v>
      </c>
      <c r="D37634" s="1">
        <v>3.15661356069044E-4</v>
      </c>
      <c r="E37634" s="1">
        <v>2.3465915757362401E-4</v>
      </c>
      <c r="F37634" s="1">
        <v>1.75093836866067E-4</v>
      </c>
    </row>
    <row r="37635" spans="1:6" x14ac:dyDescent="0.25">
      <c r="A37635" s="2" t="str">
        <f t="shared" si="1249"/>
        <v>99999</v>
      </c>
      <c r="B37635" s="2" t="str">
        <f>"66966"</f>
        <v>66966</v>
      </c>
      <c r="C37635" s="1">
        <v>3.2741447988354499E-5</v>
      </c>
      <c r="D37635" s="1">
        <v>2.88344507947685E-5</v>
      </c>
      <c r="E37635" s="1">
        <v>1.7382159820268399E-5</v>
      </c>
      <c r="F37635" s="1">
        <v>3.2133698470306602E-5</v>
      </c>
    </row>
    <row r="37636" spans="1:6" x14ac:dyDescent="0.25">
      <c r="A37636" s="2" t="str">
        <f t="shared" si="1249"/>
        <v>99999</v>
      </c>
      <c r="B37636" s="2" t="str">
        <f>"66863"</f>
        <v>66863</v>
      </c>
      <c r="C37636" s="1">
        <v>3.1650066388742701E-6</v>
      </c>
      <c r="D37636" s="1">
        <v>0</v>
      </c>
      <c r="E37636" s="1">
        <v>4.3455399550671099E-6</v>
      </c>
      <c r="F37636" s="1">
        <v>2.9845540374897699E-6</v>
      </c>
    </row>
    <row r="37637" spans="1:6" x14ac:dyDescent="0.25">
      <c r="A37637" s="2" t="str">
        <f t="shared" si="1249"/>
        <v>99999</v>
      </c>
      <c r="B37637" s="2" t="str">
        <f>"66956"</f>
        <v>66956</v>
      </c>
      <c r="C37637" s="1">
        <v>7.3340843493914105E-5</v>
      </c>
      <c r="D37637" s="1">
        <v>1.63901088728157E-4</v>
      </c>
      <c r="E37637" s="1">
        <v>1.08638498876677E-4</v>
      </c>
      <c r="F37637" s="1">
        <v>8.0085533339308999E-5</v>
      </c>
    </row>
    <row r="37638" spans="1:6" x14ac:dyDescent="0.25">
      <c r="A37638" s="2" t="str">
        <f t="shared" si="1249"/>
        <v>99999</v>
      </c>
      <c r="B37638" s="2" t="str">
        <f>"66945"</f>
        <v>66945</v>
      </c>
      <c r="C37638" s="1">
        <v>6.3300132777485398E-5</v>
      </c>
      <c r="D37638" s="1">
        <v>2.2764040101133E-5</v>
      </c>
      <c r="E37638" s="1">
        <v>1.7382159820268399E-5</v>
      </c>
      <c r="F37638" s="1">
        <v>5.9591595615212498E-5</v>
      </c>
    </row>
    <row r="37639" spans="1:6" x14ac:dyDescent="0.25">
      <c r="A37639" s="2" t="str">
        <f t="shared" si="1249"/>
        <v>99999</v>
      </c>
      <c r="B37639" s="2" t="str">
        <f>"66901"</f>
        <v>66901</v>
      </c>
      <c r="C37639" s="1">
        <v>3.43130374917955E-4</v>
      </c>
      <c r="D37639" s="1">
        <v>6.25252301444454E-4</v>
      </c>
      <c r="E37639" s="1">
        <v>5.8664789393405995E-4</v>
      </c>
      <c r="F37639" s="1">
        <v>3.67199631745825E-4</v>
      </c>
    </row>
    <row r="37640" spans="1:6" x14ac:dyDescent="0.25">
      <c r="A37640" s="2" t="str">
        <f t="shared" si="1249"/>
        <v>99999</v>
      </c>
      <c r="B37640" s="2" t="str">
        <f>"66853"</f>
        <v>66853</v>
      </c>
      <c r="C37640" s="1">
        <v>2.8594197909829602E-5</v>
      </c>
      <c r="D37640" s="1">
        <v>9.1056160404532095E-6</v>
      </c>
      <c r="E37640" s="1">
        <v>4.3455399550671099E-6</v>
      </c>
      <c r="F37640" s="1">
        <v>2.6761501202825001E-5</v>
      </c>
    </row>
    <row r="37641" spans="1:6" x14ac:dyDescent="0.25">
      <c r="A37641" s="2" t="str">
        <f t="shared" si="1249"/>
        <v>99999</v>
      </c>
      <c r="B37641" s="2" t="str">
        <f>"66846"</f>
        <v>66846</v>
      </c>
      <c r="C37641" s="1">
        <v>2.1380165536395501E-4</v>
      </c>
      <c r="D37641" s="1">
        <v>3.6270703894471901E-4</v>
      </c>
      <c r="E37641" s="1">
        <v>2.1727699775335501E-4</v>
      </c>
      <c r="F37641" s="1">
        <v>2.23642582542567E-4</v>
      </c>
    </row>
    <row r="37642" spans="1:6" x14ac:dyDescent="0.25">
      <c r="A37642" s="2" t="str">
        <f t="shared" si="1249"/>
        <v>99999</v>
      </c>
      <c r="B37642" s="2" t="str">
        <f>"67104"</f>
        <v>67104</v>
      </c>
      <c r="C37642" s="1">
        <v>1.5464877266499401E-4</v>
      </c>
      <c r="D37642" s="1">
        <v>3.30837382803133E-4</v>
      </c>
      <c r="E37642" s="1">
        <v>1.2602065869694599E-4</v>
      </c>
      <c r="F37642" s="1">
        <v>1.6554326394609901E-4</v>
      </c>
    </row>
    <row r="37643" spans="1:6" x14ac:dyDescent="0.25">
      <c r="A37643" s="2" t="str">
        <f t="shared" si="1249"/>
        <v>99999</v>
      </c>
      <c r="B37643" s="2" t="str">
        <f>"67063"</f>
        <v>67063</v>
      </c>
      <c r="C37643" s="1">
        <v>1.8695366801350401E-4</v>
      </c>
      <c r="D37643" s="1">
        <v>2.9593252131472901E-4</v>
      </c>
      <c r="E37643" s="1">
        <v>2.5638685734895902E-4</v>
      </c>
      <c r="F37643" s="1">
        <v>1.9568725972474599E-4</v>
      </c>
    </row>
    <row r="37644" spans="1:6" x14ac:dyDescent="0.25">
      <c r="A37644" s="2" t="str">
        <f t="shared" si="1249"/>
        <v>99999</v>
      </c>
      <c r="B37644" s="2" t="str">
        <f>"67143"</f>
        <v>67143</v>
      </c>
      <c r="C37644" s="1">
        <v>6.2208751177873496E-6</v>
      </c>
      <c r="D37644" s="1">
        <v>1.5176026734088599E-5</v>
      </c>
      <c r="E37644" s="1">
        <v>4.3455399550671099E-6</v>
      </c>
      <c r="F37644" s="1">
        <v>6.7649891516434898E-6</v>
      </c>
    </row>
    <row r="37645" spans="1:6" x14ac:dyDescent="0.25">
      <c r="A37645" s="2" t="str">
        <f t="shared" si="1249"/>
        <v>99999</v>
      </c>
      <c r="B37645" s="2" t="str">
        <f>"67118"</f>
        <v>67118</v>
      </c>
      <c r="C37645" s="1">
        <v>3.9180599426064199E-5</v>
      </c>
      <c r="D37645" s="1">
        <v>3.4904861488403899E-5</v>
      </c>
      <c r="E37645" s="1">
        <v>1.7382159820268399E-5</v>
      </c>
      <c r="F37645" s="1">
        <v>3.8401261949035102E-5</v>
      </c>
    </row>
    <row r="37646" spans="1:6" x14ac:dyDescent="0.25">
      <c r="A37646" s="2" t="str">
        <f t="shared" si="1249"/>
        <v>99999</v>
      </c>
      <c r="B37646" s="2" t="str">
        <f>"66782"</f>
        <v>66782</v>
      </c>
      <c r="C37646" s="1">
        <v>1.20051975957299E-6</v>
      </c>
      <c r="D37646" s="1">
        <v>0</v>
      </c>
      <c r="E37646" s="1">
        <v>4.3455399550671099E-6</v>
      </c>
      <c r="F37646" s="1">
        <v>1.19382161499591E-6</v>
      </c>
    </row>
    <row r="37647" spans="1:6" x14ac:dyDescent="0.25">
      <c r="A37647" s="2" t="str">
        <f t="shared" si="1249"/>
        <v>99999</v>
      </c>
      <c r="B37647" s="2" t="str">
        <f>"66742"</f>
        <v>66742</v>
      </c>
      <c r="C37647" s="1">
        <v>0</v>
      </c>
      <c r="D37647" s="1">
        <v>0</v>
      </c>
      <c r="E37647" s="1">
        <v>4.3455399550671099E-6</v>
      </c>
      <c r="F37647" s="1">
        <v>9.9485134582992598E-8</v>
      </c>
    </row>
    <row r="37648" spans="1:6" x14ac:dyDescent="0.25">
      <c r="A37648" s="2" t="str">
        <f t="shared" si="1249"/>
        <v>99999</v>
      </c>
      <c r="B37648" s="2" t="str">
        <f>"66716"</f>
        <v>66716</v>
      </c>
      <c r="C37648" s="1">
        <v>2.9576441349480199E-5</v>
      </c>
      <c r="D37648" s="1">
        <v>6.0704106936354696E-6</v>
      </c>
      <c r="E37648" s="1">
        <v>4.3455399550671099E-6</v>
      </c>
      <c r="F37648" s="1">
        <v>2.7457897144905899E-5</v>
      </c>
    </row>
    <row r="37649" spans="1:6" x14ac:dyDescent="0.25">
      <c r="A37649" s="2" t="str">
        <f t="shared" si="1249"/>
        <v>99999</v>
      </c>
      <c r="B37649" s="2" t="str">
        <f>"66739"</f>
        <v>66739</v>
      </c>
      <c r="C37649" s="1">
        <v>2.9794717669402601E-4</v>
      </c>
      <c r="D37649" s="1">
        <v>2.8530930260086697E-4</v>
      </c>
      <c r="E37649" s="1">
        <v>7.8219719191208097E-5</v>
      </c>
      <c r="F37649" s="1">
        <v>2.9208835513566602E-4</v>
      </c>
    </row>
    <row r="37650" spans="1:6" x14ac:dyDescent="0.25">
      <c r="A37650" s="2" t="str">
        <f t="shared" ref="A37650:A37713" si="1250">"99999"</f>
        <v>99999</v>
      </c>
      <c r="B37650" s="2" t="str">
        <f>"66439"</f>
        <v>66439</v>
      </c>
      <c r="C37650" s="1">
        <v>1.2856475243427199E-4</v>
      </c>
      <c r="D37650" s="1">
        <v>2.2764040101133E-4</v>
      </c>
      <c r="E37650" s="1">
        <v>1.17329578786812E-4</v>
      </c>
      <c r="F37650" s="1">
        <v>1.34802357359955E-4</v>
      </c>
    </row>
    <row r="37651" spans="1:6" x14ac:dyDescent="0.25">
      <c r="A37651" s="2" t="str">
        <f t="shared" si="1250"/>
        <v>99999</v>
      </c>
      <c r="B37651" s="2" t="str">
        <f>"66534"</f>
        <v>66534</v>
      </c>
      <c r="C37651" s="1">
        <v>1.77131233616997E-4</v>
      </c>
      <c r="D37651" s="1">
        <v>2.82274097254049E-4</v>
      </c>
      <c r="E37651" s="1">
        <v>2.9549671694456298E-4</v>
      </c>
      <c r="F37651" s="1">
        <v>1.8673359761227701E-4</v>
      </c>
    </row>
    <row r="37652" spans="1:6" x14ac:dyDescent="0.25">
      <c r="A37652" s="2" t="str">
        <f t="shared" si="1250"/>
        <v>99999</v>
      </c>
      <c r="B37652" s="2" t="str">
        <f>"66515"</f>
        <v>66515</v>
      </c>
      <c r="C37652" s="1">
        <v>2.0190559592818601E-5</v>
      </c>
      <c r="D37652" s="1">
        <v>6.0704106936354696E-6</v>
      </c>
      <c r="E37652" s="1">
        <v>4.3455399550671099E-6</v>
      </c>
      <c r="F37652" s="1">
        <v>1.89021755707686E-5</v>
      </c>
    </row>
    <row r="37653" spans="1:6" x14ac:dyDescent="0.25">
      <c r="A37653" s="2" t="str">
        <f t="shared" si="1250"/>
        <v>99999</v>
      </c>
      <c r="B37653" s="2" t="str">
        <f>"66041"</f>
        <v>66041</v>
      </c>
      <c r="C37653" s="1">
        <v>1.09138159961181E-7</v>
      </c>
      <c r="D37653" s="1">
        <v>0</v>
      </c>
      <c r="E37653" s="1">
        <v>0</v>
      </c>
      <c r="F37653" s="1">
        <v>9.9485134582992598E-8</v>
      </c>
    </row>
    <row r="37654" spans="1:6" x14ac:dyDescent="0.25">
      <c r="A37654" s="2" t="str">
        <f t="shared" si="1250"/>
        <v>99999</v>
      </c>
      <c r="B37654" s="2" t="str">
        <f>"66032"</f>
        <v>66032</v>
      </c>
      <c r="C37654" s="1">
        <v>2.6105847862714599E-4</v>
      </c>
      <c r="D37654" s="1">
        <v>4.2341114588107399E-4</v>
      </c>
      <c r="E37654" s="1">
        <v>1.82512678112818E-4</v>
      </c>
      <c r="F37654" s="1">
        <v>2.6990317012365902E-4</v>
      </c>
    </row>
    <row r="37655" spans="1:6" x14ac:dyDescent="0.25">
      <c r="A37655" s="2" t="str">
        <f t="shared" si="1250"/>
        <v>99999</v>
      </c>
      <c r="B37655" s="2" t="str">
        <f>"66094"</f>
        <v>66094</v>
      </c>
      <c r="C37655" s="1">
        <v>1.0258987036351001E-5</v>
      </c>
      <c r="D37655" s="1">
        <v>2.1246437427724101E-5</v>
      </c>
      <c r="E37655" s="1">
        <v>3.47643196405369E-5</v>
      </c>
      <c r="F37655" s="1">
        <v>1.1540275611627099E-5</v>
      </c>
    </row>
    <row r="37656" spans="1:6" x14ac:dyDescent="0.25">
      <c r="A37656" s="2" t="str">
        <f t="shared" si="1250"/>
        <v>99999</v>
      </c>
      <c r="B37656" s="2" t="str">
        <f>"65654"</f>
        <v>65654</v>
      </c>
      <c r="C37656" s="1">
        <v>9.4950199166228093E-6</v>
      </c>
      <c r="D37656" s="1">
        <v>1.0623218713862E-5</v>
      </c>
      <c r="E37656" s="1">
        <v>8.69107991013423E-6</v>
      </c>
      <c r="F37656" s="1">
        <v>9.5505729199672898E-6</v>
      </c>
    </row>
    <row r="37657" spans="1:6" x14ac:dyDescent="0.25">
      <c r="A37657" s="2" t="str">
        <f t="shared" si="1250"/>
        <v>99999</v>
      </c>
      <c r="B37657" s="2" t="str">
        <f>"65666"</f>
        <v>65666</v>
      </c>
      <c r="C37657" s="1">
        <v>6.9848422375156299E-6</v>
      </c>
      <c r="D37657" s="1">
        <v>0</v>
      </c>
      <c r="E37657" s="1">
        <v>4.3455399550671099E-6</v>
      </c>
      <c r="F37657" s="1">
        <v>6.4665337478945197E-6</v>
      </c>
    </row>
    <row r="37658" spans="1:6" x14ac:dyDescent="0.25">
      <c r="A37658" s="2" t="str">
        <f t="shared" si="1250"/>
        <v>99999</v>
      </c>
      <c r="B37658" s="2" t="str">
        <f>"65667"</f>
        <v>65667</v>
      </c>
      <c r="C37658" s="1">
        <v>1.6741793738045199E-4</v>
      </c>
      <c r="D37658" s="1">
        <v>5.15984908959015E-5</v>
      </c>
      <c r="E37658" s="1">
        <v>4.7800939505738197E-5</v>
      </c>
      <c r="F37658" s="1">
        <v>1.5708702750654501E-4</v>
      </c>
    </row>
    <row r="37659" spans="1:6" x14ac:dyDescent="0.25">
      <c r="A37659" s="2" t="str">
        <f t="shared" si="1250"/>
        <v>99999</v>
      </c>
      <c r="B37659" s="2" t="str">
        <f>"65623"</f>
        <v>65623</v>
      </c>
      <c r="C37659" s="1">
        <v>0</v>
      </c>
      <c r="D37659" s="1">
        <v>0</v>
      </c>
      <c r="E37659" s="1">
        <v>8.69107991013423E-6</v>
      </c>
      <c r="F37659" s="1">
        <v>1.9897026916598501E-7</v>
      </c>
    </row>
    <row r="37660" spans="1:6" x14ac:dyDescent="0.25">
      <c r="A37660" s="2" t="str">
        <f t="shared" si="1250"/>
        <v>99999</v>
      </c>
      <c r="B37660" s="2" t="str">
        <f>"65767"</f>
        <v>65767</v>
      </c>
      <c r="C37660" s="1">
        <v>1.09138159961181E-7</v>
      </c>
      <c r="D37660" s="1">
        <v>0</v>
      </c>
      <c r="E37660" s="1">
        <v>0</v>
      </c>
      <c r="F37660" s="1">
        <v>9.9485134582992598E-8</v>
      </c>
    </row>
    <row r="37661" spans="1:6" x14ac:dyDescent="0.25">
      <c r="A37661" s="2" t="str">
        <f t="shared" si="1250"/>
        <v>99999</v>
      </c>
      <c r="B37661" s="2" t="str">
        <f>"65785"</f>
        <v>65785</v>
      </c>
      <c r="C37661" s="1">
        <v>3.0242184125243402E-4</v>
      </c>
      <c r="D37661" s="1">
        <v>2.7772128923382301E-4</v>
      </c>
      <c r="E37661" s="1">
        <v>2.7376901716922799E-4</v>
      </c>
      <c r="F37661" s="1">
        <v>3.0014665103688802E-4</v>
      </c>
    </row>
    <row r="37662" spans="1:6" x14ac:dyDescent="0.25">
      <c r="A37662" s="2" t="str">
        <f t="shared" si="1250"/>
        <v>99999</v>
      </c>
      <c r="B37662" s="2" t="str">
        <f>"65728"</f>
        <v>65728</v>
      </c>
      <c r="C37662" s="1">
        <v>1.0913815996118101E-6</v>
      </c>
      <c r="D37662" s="1">
        <v>0</v>
      </c>
      <c r="E37662" s="1">
        <v>4.3455399550671099E-6</v>
      </c>
      <c r="F37662" s="1">
        <v>1.09433648041291E-6</v>
      </c>
    </row>
    <row r="37663" spans="1:6" x14ac:dyDescent="0.25">
      <c r="A37663" s="2" t="str">
        <f t="shared" si="1250"/>
        <v>99999</v>
      </c>
      <c r="B37663" s="2" t="str">
        <f>"65730"</f>
        <v>65730</v>
      </c>
      <c r="C37663" s="1">
        <v>1.39696844750312E-5</v>
      </c>
      <c r="D37663" s="1">
        <v>3.0352053468177301E-6</v>
      </c>
      <c r="E37663" s="1">
        <v>4.3455399550671099E-6</v>
      </c>
      <c r="F37663" s="1">
        <v>1.3032552630372001E-5</v>
      </c>
    </row>
    <row r="37664" spans="1:6" x14ac:dyDescent="0.25">
      <c r="A37664" s="2" t="str">
        <f t="shared" si="1250"/>
        <v>99999</v>
      </c>
      <c r="B37664" s="2" t="str">
        <f>"65720"</f>
        <v>65720</v>
      </c>
      <c r="C37664" s="1">
        <v>3.2741447988354498E-7</v>
      </c>
      <c r="D37664" s="1">
        <v>0</v>
      </c>
      <c r="E37664" s="1">
        <v>0</v>
      </c>
      <c r="F37664" s="1">
        <v>2.9845540374897701E-7</v>
      </c>
    </row>
    <row r="37665" spans="1:6" x14ac:dyDescent="0.25">
      <c r="A37665" s="2" t="str">
        <f t="shared" si="1250"/>
        <v>99999</v>
      </c>
      <c r="B37665" s="2" t="str">
        <f>"65714"</f>
        <v>65714</v>
      </c>
      <c r="C37665" s="1">
        <v>2.72845399902954E-5</v>
      </c>
      <c r="D37665" s="1">
        <v>0</v>
      </c>
      <c r="E37665" s="1">
        <v>0</v>
      </c>
      <c r="F37665" s="1">
        <v>2.48712836457481E-5</v>
      </c>
    </row>
    <row r="37666" spans="1:6" x14ac:dyDescent="0.25">
      <c r="A37666" s="2" t="str">
        <f t="shared" si="1250"/>
        <v>99999</v>
      </c>
      <c r="B37666" s="2" t="str">
        <f>"65752"</f>
        <v>65752</v>
      </c>
      <c r="C37666" s="1">
        <v>2.4556085991265801E-5</v>
      </c>
      <c r="D37666" s="1">
        <v>1.51760267340886E-6</v>
      </c>
      <c r="E37666" s="1">
        <v>4.3455399550671099E-6</v>
      </c>
      <c r="F37666" s="1">
        <v>2.2583125550339301E-5</v>
      </c>
    </row>
    <row r="37667" spans="1:6" x14ac:dyDescent="0.25">
      <c r="A37667" s="2" t="str">
        <f t="shared" si="1250"/>
        <v>99999</v>
      </c>
      <c r="B37667" s="2" t="str">
        <f>"65601"</f>
        <v>65601</v>
      </c>
      <c r="C37667" s="1">
        <v>1.5388480554526601E-5</v>
      </c>
      <c r="D37667" s="1">
        <v>1.51760267340886E-6</v>
      </c>
      <c r="E37667" s="1">
        <v>0</v>
      </c>
      <c r="F37667" s="1">
        <v>1.41268891107849E-5</v>
      </c>
    </row>
    <row r="37668" spans="1:6" x14ac:dyDescent="0.25">
      <c r="A37668" s="2" t="str">
        <f t="shared" si="1250"/>
        <v>99999</v>
      </c>
      <c r="B37668" s="2" t="str">
        <f>"65604"</f>
        <v>65604</v>
      </c>
      <c r="C37668" s="1">
        <v>6.3081856457563007E-5</v>
      </c>
      <c r="D37668" s="1">
        <v>1.3658424060679801E-5</v>
      </c>
      <c r="E37668" s="1">
        <v>4.3455399550671099E-6</v>
      </c>
      <c r="F37668" s="1">
        <v>5.8497259134799602E-5</v>
      </c>
    </row>
    <row r="37669" spans="1:6" x14ac:dyDescent="0.25">
      <c r="A37669" s="2" t="str">
        <f t="shared" si="1250"/>
        <v>99999</v>
      </c>
      <c r="B37669" s="2" t="str">
        <f>"65689"</f>
        <v>65689</v>
      </c>
      <c r="C37669" s="1">
        <v>2.4763448495192101E-4</v>
      </c>
      <c r="D37669" s="1">
        <v>2.0487636091019699E-4</v>
      </c>
      <c r="E37669" s="1">
        <v>5.6492019415872502E-5</v>
      </c>
      <c r="F37669" s="1">
        <v>2.4045557028709301E-4</v>
      </c>
    </row>
    <row r="37670" spans="1:6" x14ac:dyDescent="0.25">
      <c r="A37670" s="2" t="str">
        <f t="shared" si="1250"/>
        <v>99999</v>
      </c>
      <c r="B37670" s="2" t="str">
        <f>"65711"</f>
        <v>65711</v>
      </c>
      <c r="C37670" s="1">
        <v>5.2168040461444802E-4</v>
      </c>
      <c r="D37670" s="1">
        <v>7.1934366719580403E-4</v>
      </c>
      <c r="E37670" s="1">
        <v>3.17224416719899E-4</v>
      </c>
      <c r="F37670" s="1">
        <v>5.2995731192360105E-4</v>
      </c>
    </row>
    <row r="37671" spans="1:6" x14ac:dyDescent="0.25">
      <c r="A37671" s="2" t="str">
        <f t="shared" si="1250"/>
        <v>99999</v>
      </c>
      <c r="B37671" s="2" t="str">
        <f>"65556"</f>
        <v>65556</v>
      </c>
      <c r="C37671" s="1">
        <v>6.0571678778455799E-5</v>
      </c>
      <c r="D37671" s="1">
        <v>2.7316848121359601E-5</v>
      </c>
      <c r="E37671" s="1">
        <v>4.3455399550671099E-6</v>
      </c>
      <c r="F37671" s="1">
        <v>5.7104467250637698E-5</v>
      </c>
    </row>
    <row r="37672" spans="1:6" x14ac:dyDescent="0.25">
      <c r="A37672" s="2" t="str">
        <f t="shared" si="1250"/>
        <v>99999</v>
      </c>
      <c r="B37672" s="2" t="str">
        <f>"65552"</f>
        <v>65552</v>
      </c>
      <c r="C37672" s="1">
        <v>9.5495889966033993E-5</v>
      </c>
      <c r="D37672" s="1">
        <v>1.5176026734088599E-5</v>
      </c>
      <c r="E37672" s="1">
        <v>8.69107991013423E-5</v>
      </c>
      <c r="F37672" s="1">
        <v>9.0034046797608295E-5</v>
      </c>
    </row>
    <row r="37673" spans="1:6" x14ac:dyDescent="0.25">
      <c r="A37673" s="2" t="str">
        <f t="shared" si="1250"/>
        <v>99999</v>
      </c>
      <c r="B37673" s="2" t="str">
        <f>"65258"</f>
        <v>65258</v>
      </c>
      <c r="C37673" s="1">
        <v>2.8703336069790699E-5</v>
      </c>
      <c r="D37673" s="1">
        <v>6.0704106936354696E-6</v>
      </c>
      <c r="E37673" s="1">
        <v>4.3455399550671099E-6</v>
      </c>
      <c r="F37673" s="1">
        <v>2.6662016068241999E-5</v>
      </c>
    </row>
    <row r="37674" spans="1:6" x14ac:dyDescent="0.25">
      <c r="A37674" s="2" t="str">
        <f t="shared" si="1250"/>
        <v>99999</v>
      </c>
      <c r="B37674" s="2" t="str">
        <f>"65483"</f>
        <v>65483</v>
      </c>
      <c r="C37674" s="1">
        <v>2.7732006446136198E-4</v>
      </c>
      <c r="D37674" s="1">
        <v>4.9929127955151802E-4</v>
      </c>
      <c r="E37674" s="1">
        <v>1.8685821806788599E-4</v>
      </c>
      <c r="F37674" s="1">
        <v>2.8980019704025699E-4</v>
      </c>
    </row>
    <row r="37675" spans="1:6" x14ac:dyDescent="0.25">
      <c r="A37675" s="2" t="str">
        <f t="shared" si="1250"/>
        <v>99999</v>
      </c>
      <c r="B37675" s="2" t="str">
        <f>"65350"</f>
        <v>65350</v>
      </c>
      <c r="C37675" s="1">
        <v>5.3477698380979E-6</v>
      </c>
      <c r="D37675" s="1">
        <v>0</v>
      </c>
      <c r="E37675" s="1">
        <v>4.3455399550671099E-6</v>
      </c>
      <c r="F37675" s="1">
        <v>4.9742567291496301E-6</v>
      </c>
    </row>
    <row r="37676" spans="1:6" x14ac:dyDescent="0.25">
      <c r="A37676" s="2" t="str">
        <f t="shared" si="1250"/>
        <v>99999</v>
      </c>
      <c r="B37676" s="2" t="str">
        <f>"65441"</f>
        <v>65441</v>
      </c>
      <c r="C37676" s="1">
        <v>2.5047207711091201E-4</v>
      </c>
      <c r="D37676" s="1">
        <v>1.3203143258657101E-4</v>
      </c>
      <c r="E37676" s="1">
        <v>3.86753056000973E-4</v>
      </c>
      <c r="F37676" s="1">
        <v>2.4582776755457399E-4</v>
      </c>
    </row>
    <row r="37677" spans="1:6" x14ac:dyDescent="0.25">
      <c r="A37677" s="2" t="str">
        <f t="shared" si="1250"/>
        <v>99999</v>
      </c>
      <c r="B37677" s="2" t="str">
        <f>"65438"</f>
        <v>65438</v>
      </c>
      <c r="C37677" s="1">
        <v>2.7142660382345799E-4</v>
      </c>
      <c r="D37677" s="1">
        <v>1.01679379118394E-4</v>
      </c>
      <c r="E37677" s="1">
        <v>3.0418779685469802E-5</v>
      </c>
      <c r="F37677" s="1">
        <v>2.5478142966704401E-4</v>
      </c>
    </row>
    <row r="37678" spans="1:6" x14ac:dyDescent="0.25">
      <c r="A37678" s="2" t="str">
        <f t="shared" si="1250"/>
        <v>99999</v>
      </c>
      <c r="B37678" s="2" t="str">
        <f>"65360"</f>
        <v>65360</v>
      </c>
      <c r="C37678" s="1">
        <v>2.06052846006711E-4</v>
      </c>
      <c r="D37678" s="1">
        <v>2.5951005715291599E-4</v>
      </c>
      <c r="E37678" s="1">
        <v>1.47748358472281E-4</v>
      </c>
      <c r="F37678" s="1">
        <v>2.0822238668220301E-4</v>
      </c>
    </row>
    <row r="37679" spans="1:6" x14ac:dyDescent="0.25">
      <c r="A37679" s="2" t="str">
        <f t="shared" si="1250"/>
        <v>99999</v>
      </c>
      <c r="B37679" s="2" t="str">
        <f>"64832"</f>
        <v>64832</v>
      </c>
      <c r="C37679" s="1">
        <v>5.3477698380979E-6</v>
      </c>
      <c r="D37679" s="1">
        <v>0</v>
      </c>
      <c r="E37679" s="1">
        <v>0</v>
      </c>
      <c r="F37679" s="1">
        <v>4.8747715945666299E-6</v>
      </c>
    </row>
    <row r="37680" spans="1:6" x14ac:dyDescent="0.25">
      <c r="A37680" s="2" t="str">
        <f t="shared" si="1250"/>
        <v>99999</v>
      </c>
      <c r="B37680" s="2" t="str">
        <f>"64831"</f>
        <v>64831</v>
      </c>
      <c r="C37680" s="1">
        <v>4.0119187601730401E-4</v>
      </c>
      <c r="D37680" s="1">
        <v>1.79077115462246E-4</v>
      </c>
      <c r="E37680" s="1">
        <v>8.69107991013423E-5</v>
      </c>
      <c r="F37680" s="1">
        <v>3.7943630329953298E-4</v>
      </c>
    </row>
    <row r="37681" spans="1:6" x14ac:dyDescent="0.25">
      <c r="A37681" s="2" t="str">
        <f t="shared" si="1250"/>
        <v>99999</v>
      </c>
      <c r="B37681" s="2" t="str">
        <f>"64769"</f>
        <v>64769</v>
      </c>
      <c r="C37681" s="1">
        <v>2.7175401830334201E-5</v>
      </c>
      <c r="D37681" s="1">
        <v>9.1056160404532095E-6</v>
      </c>
      <c r="E37681" s="1">
        <v>2.60732397304027E-5</v>
      </c>
      <c r="F37681" s="1">
        <v>2.5965620126160999E-5</v>
      </c>
    </row>
    <row r="37682" spans="1:6" x14ac:dyDescent="0.25">
      <c r="A37682" s="2" t="str">
        <f t="shared" si="1250"/>
        <v>99999</v>
      </c>
      <c r="B37682" s="2" t="str">
        <f>"64780"</f>
        <v>64780</v>
      </c>
      <c r="C37682" s="1">
        <v>1.49519279146818E-5</v>
      </c>
      <c r="D37682" s="1">
        <v>4.5528080202265997E-6</v>
      </c>
      <c r="E37682" s="1">
        <v>0</v>
      </c>
      <c r="F37682" s="1">
        <v>1.3927918841618899E-5</v>
      </c>
    </row>
    <row r="37683" spans="1:6" x14ac:dyDescent="0.25">
      <c r="A37683" s="2" t="str">
        <f t="shared" si="1250"/>
        <v>99999</v>
      </c>
      <c r="B37683" s="2" t="str">
        <f>"64771"</f>
        <v>64771</v>
      </c>
      <c r="C37683" s="1">
        <v>2.83759215899072E-5</v>
      </c>
      <c r="D37683" s="1">
        <v>3.0352053468177301E-6</v>
      </c>
      <c r="E37683" s="1">
        <v>8.69107991013423E-6</v>
      </c>
      <c r="F37683" s="1">
        <v>2.6264075529910002E-5</v>
      </c>
    </row>
    <row r="37684" spans="1:6" x14ac:dyDescent="0.25">
      <c r="A37684" s="2" t="str">
        <f t="shared" si="1250"/>
        <v>99999</v>
      </c>
      <c r="B37684" s="2" t="str">
        <f>"65069"</f>
        <v>65069</v>
      </c>
      <c r="C37684" s="1">
        <v>3.4596796707694601E-5</v>
      </c>
      <c r="D37684" s="1">
        <v>1.21408213872709E-5</v>
      </c>
      <c r="E37684" s="1">
        <v>4.3455399550671099E-6</v>
      </c>
      <c r="F37684" s="1">
        <v>3.2432153874055598E-5</v>
      </c>
    </row>
    <row r="37685" spans="1:6" x14ac:dyDescent="0.25">
      <c r="A37685" s="2" t="str">
        <f t="shared" si="1250"/>
        <v>99999</v>
      </c>
      <c r="B37685" s="2" t="str">
        <f>"65082"</f>
        <v>65082</v>
      </c>
      <c r="C37685" s="1">
        <v>5.91528826989605E-5</v>
      </c>
      <c r="D37685" s="1">
        <v>4.4010477528857203E-5</v>
      </c>
      <c r="E37685" s="1">
        <v>4.3455399550671099E-6</v>
      </c>
      <c r="F37685" s="1">
        <v>5.6905496981471701E-5</v>
      </c>
    </row>
    <row r="37686" spans="1:6" x14ac:dyDescent="0.25">
      <c r="A37686" s="2" t="str">
        <f t="shared" si="1250"/>
        <v>99999</v>
      </c>
      <c r="B37686" s="2" t="str">
        <f>"65040"</f>
        <v>65040</v>
      </c>
      <c r="C37686" s="1">
        <v>1.01498488763899E-5</v>
      </c>
      <c r="D37686" s="1">
        <v>4.5528080202265997E-6</v>
      </c>
      <c r="E37686" s="1">
        <v>0</v>
      </c>
      <c r="F37686" s="1">
        <v>9.5505729199672898E-6</v>
      </c>
    </row>
    <row r="37687" spans="1:6" x14ac:dyDescent="0.25">
      <c r="A37687" s="2" t="str">
        <f t="shared" si="1250"/>
        <v>99999</v>
      </c>
      <c r="B37687" s="2" t="str">
        <f>"65034"</f>
        <v>65034</v>
      </c>
      <c r="C37687" s="1">
        <v>1.5934171354332501E-5</v>
      </c>
      <c r="D37687" s="1">
        <v>9.1056160404532095E-6</v>
      </c>
      <c r="E37687" s="1">
        <v>4.3455399550671099E-6</v>
      </c>
      <c r="F37687" s="1">
        <v>1.52212255911978E-5</v>
      </c>
    </row>
    <row r="37688" spans="1:6" x14ac:dyDescent="0.25">
      <c r="A37688" s="2" t="str">
        <f t="shared" si="1250"/>
        <v>99999</v>
      </c>
      <c r="B37688" s="2" t="str">
        <f>"65052"</f>
        <v>65052</v>
      </c>
      <c r="C37688" s="1">
        <v>3.0493201893154101E-4</v>
      </c>
      <c r="D37688" s="1">
        <v>2.9593252131472901E-4</v>
      </c>
      <c r="E37688" s="1">
        <v>3.9109859595604001E-5</v>
      </c>
      <c r="F37688" s="1">
        <v>2.9825643347981102E-4</v>
      </c>
    </row>
    <row r="37689" spans="1:6" x14ac:dyDescent="0.25">
      <c r="A37689" s="2" t="str">
        <f t="shared" si="1250"/>
        <v>99999</v>
      </c>
      <c r="B37689" s="2" t="str">
        <f>"64868"</f>
        <v>64868</v>
      </c>
      <c r="C37689" s="1">
        <v>0</v>
      </c>
      <c r="D37689" s="1">
        <v>0</v>
      </c>
      <c r="E37689" s="1">
        <v>4.3455399550671099E-6</v>
      </c>
      <c r="F37689" s="1">
        <v>9.9485134582992598E-8</v>
      </c>
    </row>
    <row r="37690" spans="1:6" x14ac:dyDescent="0.25">
      <c r="A37690" s="2" t="str">
        <f t="shared" si="1250"/>
        <v>99999</v>
      </c>
      <c r="B37690" s="2" t="str">
        <f>"64861"</f>
        <v>64861</v>
      </c>
      <c r="C37690" s="1">
        <v>6.5155481496825398E-5</v>
      </c>
      <c r="D37690" s="1">
        <v>2.5799245447950699E-5</v>
      </c>
      <c r="E37690" s="1">
        <v>4.3455399550671099E-6</v>
      </c>
      <c r="F37690" s="1">
        <v>6.1183357768540407E-5</v>
      </c>
    </row>
    <row r="37691" spans="1:6" x14ac:dyDescent="0.25">
      <c r="A37691" s="2" t="str">
        <f t="shared" si="1250"/>
        <v>99999</v>
      </c>
      <c r="B37691" s="2" t="str">
        <f>"64856"</f>
        <v>64856</v>
      </c>
      <c r="C37691" s="1">
        <v>2.1216458296453701E-4</v>
      </c>
      <c r="D37691" s="1">
        <v>1.7755951278883701E-4</v>
      </c>
      <c r="E37691" s="1">
        <v>3.47643196405369E-5</v>
      </c>
      <c r="F37691" s="1">
        <v>2.0583474345221099E-4</v>
      </c>
    </row>
    <row r="37692" spans="1:6" x14ac:dyDescent="0.25">
      <c r="A37692" s="2" t="str">
        <f t="shared" si="1250"/>
        <v>99999</v>
      </c>
      <c r="B37692" s="2" t="str">
        <f>"64850"</f>
        <v>64850</v>
      </c>
      <c r="C37692" s="1">
        <v>2.5101776791071799E-6</v>
      </c>
      <c r="D37692" s="1">
        <v>0</v>
      </c>
      <c r="E37692" s="1">
        <v>0</v>
      </c>
      <c r="F37692" s="1">
        <v>2.2881580954088299E-6</v>
      </c>
    </row>
    <row r="37693" spans="1:6" x14ac:dyDescent="0.25">
      <c r="A37693" s="2" t="str">
        <f t="shared" si="1250"/>
        <v>99999</v>
      </c>
      <c r="B37693" s="2" t="str">
        <f>"64842"</f>
        <v>64842</v>
      </c>
      <c r="C37693" s="1">
        <v>1.6370723994177199E-6</v>
      </c>
      <c r="D37693" s="1">
        <v>0</v>
      </c>
      <c r="E37693" s="1">
        <v>0</v>
      </c>
      <c r="F37693" s="1">
        <v>1.4922770187448801E-6</v>
      </c>
    </row>
    <row r="37694" spans="1:6" x14ac:dyDescent="0.25">
      <c r="A37694" s="2" t="str">
        <f t="shared" si="1250"/>
        <v>99999</v>
      </c>
      <c r="B37694" s="2" t="str">
        <f>"64673"</f>
        <v>64673</v>
      </c>
      <c r="C37694" s="1">
        <v>1.52356871305809E-4</v>
      </c>
      <c r="D37694" s="1">
        <v>2.39781222398601E-4</v>
      </c>
      <c r="E37694" s="1">
        <v>1.30366198652013E-4</v>
      </c>
      <c r="F37694" s="1">
        <v>1.5758445317946E-4</v>
      </c>
    </row>
    <row r="37695" spans="1:6" x14ac:dyDescent="0.25">
      <c r="A37695" s="2" t="str">
        <f t="shared" si="1250"/>
        <v>99999</v>
      </c>
      <c r="B37695" s="2" t="str">
        <f>"64670"</f>
        <v>64670</v>
      </c>
      <c r="C37695" s="1">
        <v>5.8279777419271003E-5</v>
      </c>
      <c r="D37695" s="1">
        <v>4.2492874855448297E-5</v>
      </c>
      <c r="E37695" s="1">
        <v>1.7382159820268399E-5</v>
      </c>
      <c r="F37695" s="1">
        <v>5.6308586173973798E-5</v>
      </c>
    </row>
    <row r="37696" spans="1:6" x14ac:dyDescent="0.25">
      <c r="A37696" s="2" t="str">
        <f t="shared" si="1250"/>
        <v>99999</v>
      </c>
      <c r="B37696" s="2" t="str">
        <f>"64642"</f>
        <v>64642</v>
      </c>
      <c r="C37696" s="1">
        <v>5.3695974700901398E-5</v>
      </c>
      <c r="D37696" s="1">
        <v>6.37393122831725E-5</v>
      </c>
      <c r="E37696" s="1">
        <v>1.3036619865201299E-5</v>
      </c>
      <c r="F37696" s="1">
        <v>5.3423517271066997E-5</v>
      </c>
    </row>
    <row r="37697" spans="1:6" x14ac:dyDescent="0.25">
      <c r="A37697" s="2" t="str">
        <f t="shared" si="1250"/>
        <v>99999</v>
      </c>
      <c r="B37697" s="2" t="str">
        <f>"64641"</f>
        <v>64641</v>
      </c>
      <c r="C37697" s="1">
        <v>3.5797316467267603E-5</v>
      </c>
      <c r="D37697" s="1">
        <v>9.1056160404532095E-6</v>
      </c>
      <c r="E37697" s="1">
        <v>1.3036619865201299E-5</v>
      </c>
      <c r="F37697" s="1">
        <v>3.35264903544685E-5</v>
      </c>
    </row>
    <row r="37698" spans="1:6" x14ac:dyDescent="0.25">
      <c r="A37698" s="2" t="str">
        <f t="shared" si="1250"/>
        <v>99999</v>
      </c>
      <c r="B37698" s="2" t="str">
        <f>"64473"</f>
        <v>64473</v>
      </c>
      <c r="C37698" s="1">
        <v>7.0830665814806905E-5</v>
      </c>
      <c r="D37698" s="1">
        <v>1.8211232080906399E-5</v>
      </c>
      <c r="E37698" s="1">
        <v>2.60732397304027E-5</v>
      </c>
      <c r="F37698" s="1">
        <v>6.6356584766856004E-5</v>
      </c>
    </row>
    <row r="37699" spans="1:6" x14ac:dyDescent="0.25">
      <c r="A37699" s="2" t="str">
        <f t="shared" si="1250"/>
        <v>99999</v>
      </c>
      <c r="B37699" s="2" t="str">
        <f>"64470"</f>
        <v>64470</v>
      </c>
      <c r="C37699" s="1">
        <v>9.2876574126965597E-5</v>
      </c>
      <c r="D37699" s="1">
        <v>1.9577074486974399E-4</v>
      </c>
      <c r="E37699" s="1">
        <v>5.21464794608054E-5</v>
      </c>
      <c r="F37699" s="1">
        <v>9.8689253506328603E-5</v>
      </c>
    </row>
    <row r="37700" spans="1:6" x14ac:dyDescent="0.25">
      <c r="A37700" s="2" t="str">
        <f t="shared" si="1250"/>
        <v>99999</v>
      </c>
      <c r="B37700" s="2" t="str">
        <f>"64466"</f>
        <v>64466</v>
      </c>
      <c r="C37700" s="1">
        <v>2.6302296550644701E-5</v>
      </c>
      <c r="D37700" s="1">
        <v>1.21408213872709E-5</v>
      </c>
      <c r="E37700" s="1">
        <v>2.1727699775335501E-5</v>
      </c>
      <c r="F37700" s="1">
        <v>2.5269224184080101E-5</v>
      </c>
    </row>
    <row r="37701" spans="1:6" x14ac:dyDescent="0.25">
      <c r="A37701" s="2" t="str">
        <f t="shared" si="1250"/>
        <v>99999</v>
      </c>
      <c r="B37701" s="2" t="str">
        <f>"64499"</f>
        <v>64499</v>
      </c>
      <c r="C37701" s="1">
        <v>1.39696844750312E-5</v>
      </c>
      <c r="D37701" s="1">
        <v>3.0352053468177301E-6</v>
      </c>
      <c r="E37701" s="1">
        <v>4.3455399550671103E-5</v>
      </c>
      <c r="F37701" s="1">
        <v>1.3927918841618899E-5</v>
      </c>
    </row>
    <row r="37702" spans="1:6" x14ac:dyDescent="0.25">
      <c r="A37702" s="2" t="str">
        <f t="shared" si="1250"/>
        <v>99999</v>
      </c>
      <c r="B37702" s="2" t="str">
        <f>"64424"</f>
        <v>64424</v>
      </c>
      <c r="C37702" s="1">
        <v>2.37921188715376E-4</v>
      </c>
      <c r="D37702" s="1">
        <v>4.70456828756749E-4</v>
      </c>
      <c r="E37702" s="1">
        <v>1.21675118741879E-4</v>
      </c>
      <c r="F37702" s="1">
        <v>2.5050356887997498E-4</v>
      </c>
    </row>
    <row r="37703" spans="1:6" x14ac:dyDescent="0.25">
      <c r="A37703" s="2" t="str">
        <f t="shared" si="1250"/>
        <v>99999</v>
      </c>
      <c r="B37703" s="2" t="str">
        <f>"63967"</f>
        <v>63967</v>
      </c>
      <c r="C37703" s="1">
        <v>8.7310527968945299E-7</v>
      </c>
      <c r="D37703" s="1">
        <v>0</v>
      </c>
      <c r="E37703" s="1">
        <v>0</v>
      </c>
      <c r="F37703" s="1">
        <v>7.9588107666394099E-7</v>
      </c>
    </row>
    <row r="37704" spans="1:6" x14ac:dyDescent="0.25">
      <c r="A37704" s="2" t="str">
        <f t="shared" si="1250"/>
        <v>99999</v>
      </c>
      <c r="B37704" s="2" t="str">
        <f>"63937"</f>
        <v>63937</v>
      </c>
      <c r="C37704" s="1">
        <v>1.65890003140996E-5</v>
      </c>
      <c r="D37704" s="1">
        <v>1.8211232080906399E-5</v>
      </c>
      <c r="E37704" s="1">
        <v>4.3455399550671099E-6</v>
      </c>
      <c r="F37704" s="1">
        <v>1.6415047206193701E-5</v>
      </c>
    </row>
    <row r="37705" spans="1:6" x14ac:dyDescent="0.25">
      <c r="A37705" s="2" t="str">
        <f t="shared" si="1250"/>
        <v>99999</v>
      </c>
      <c r="B37705" s="2" t="str">
        <f>"63964"</f>
        <v>63964</v>
      </c>
      <c r="C37705" s="1">
        <v>5.5878737900124998E-5</v>
      </c>
      <c r="D37705" s="1">
        <v>2.1246437427724101E-5</v>
      </c>
      <c r="E37705" s="1">
        <v>4.3455399550671099E-6</v>
      </c>
      <c r="F37705" s="1">
        <v>5.24286659252371E-5</v>
      </c>
    </row>
    <row r="37706" spans="1:6" x14ac:dyDescent="0.25">
      <c r="A37706" s="2" t="str">
        <f t="shared" si="1250"/>
        <v>99999</v>
      </c>
      <c r="B37706" s="2" t="str">
        <f>"63951"</f>
        <v>63951</v>
      </c>
      <c r="C37706" s="1">
        <v>1.8662625353362001E-5</v>
      </c>
      <c r="D37706" s="1">
        <v>3.0352053468177301E-6</v>
      </c>
      <c r="E37706" s="1">
        <v>4.3455399550671099E-6</v>
      </c>
      <c r="F37706" s="1">
        <v>1.7310413417440701E-5</v>
      </c>
    </row>
    <row r="37707" spans="1:6" x14ac:dyDescent="0.25">
      <c r="A37707" s="2" t="str">
        <f t="shared" si="1250"/>
        <v>99999</v>
      </c>
      <c r="B37707" s="2" t="str">
        <f>"63877"</f>
        <v>63877</v>
      </c>
      <c r="C37707" s="1">
        <v>1.8979126017249501E-4</v>
      </c>
      <c r="D37707" s="1">
        <v>2.2764040101133E-4</v>
      </c>
      <c r="E37707" s="1">
        <v>1.9554929797801999E-4</v>
      </c>
      <c r="F37707" s="1">
        <v>1.92404250283507E-4</v>
      </c>
    </row>
    <row r="37708" spans="1:6" x14ac:dyDescent="0.25">
      <c r="A37708" s="2" t="str">
        <f t="shared" si="1250"/>
        <v>99999</v>
      </c>
      <c r="B37708" s="2" t="str">
        <f>"63862"</f>
        <v>63862</v>
      </c>
      <c r="C37708" s="1">
        <v>4.3655263984472602E-5</v>
      </c>
      <c r="D37708" s="1">
        <v>2.4281642774541899E-5</v>
      </c>
      <c r="E37708" s="1">
        <v>1.3036619865201299E-5</v>
      </c>
      <c r="F37708" s="1">
        <v>4.1684271390273897E-5</v>
      </c>
    </row>
    <row r="37709" spans="1:6" x14ac:dyDescent="0.25">
      <c r="A37709" s="2" t="str">
        <f t="shared" si="1250"/>
        <v>99999</v>
      </c>
      <c r="B37709" s="2" t="str">
        <f>"63545"</f>
        <v>63545</v>
      </c>
      <c r="C37709" s="1">
        <v>6.8211349975738495E-5</v>
      </c>
      <c r="D37709" s="1">
        <v>6.5256914956581297E-5</v>
      </c>
      <c r="E37709" s="1">
        <v>4.7800939505738197E-5</v>
      </c>
      <c r="F37709" s="1">
        <v>6.7550406381852E-5</v>
      </c>
    </row>
    <row r="37710" spans="1:6" x14ac:dyDescent="0.25">
      <c r="A37710" s="2" t="str">
        <f t="shared" si="1250"/>
        <v>99999</v>
      </c>
      <c r="B37710" s="2" t="str">
        <f>"63544"</f>
        <v>63544</v>
      </c>
      <c r="C37710" s="1">
        <v>3.1977480868626198E-5</v>
      </c>
      <c r="D37710" s="1">
        <v>1.21408213872709E-5</v>
      </c>
      <c r="E37710" s="1">
        <v>4.3455399550671103E-5</v>
      </c>
      <c r="F37710" s="1">
        <v>3.0939876855310701E-5</v>
      </c>
    </row>
    <row r="37711" spans="1:6" x14ac:dyDescent="0.25">
      <c r="A37711" s="2" t="str">
        <f t="shared" si="1250"/>
        <v>99999</v>
      </c>
      <c r="B37711" s="2" t="str">
        <f>"63530"</f>
        <v>63530</v>
      </c>
      <c r="C37711" s="1">
        <v>5.2932007581173103E-5</v>
      </c>
      <c r="D37711" s="1">
        <v>2.4281642774541899E-5</v>
      </c>
      <c r="E37711" s="1">
        <v>3.0418779685469802E-5</v>
      </c>
      <c r="F37711" s="1">
        <v>5.0538448368160202E-5</v>
      </c>
    </row>
    <row r="37712" spans="1:6" x14ac:dyDescent="0.25">
      <c r="A37712" s="2" t="str">
        <f t="shared" si="1250"/>
        <v>99999</v>
      </c>
      <c r="B37712" s="2" t="str">
        <f>"63852"</f>
        <v>63852</v>
      </c>
      <c r="C37712" s="1">
        <v>1.20051975957299E-6</v>
      </c>
      <c r="D37712" s="1">
        <v>0</v>
      </c>
      <c r="E37712" s="1">
        <v>0</v>
      </c>
      <c r="F37712" s="1">
        <v>1.09433648041291E-6</v>
      </c>
    </row>
    <row r="37713" spans="1:6" x14ac:dyDescent="0.25">
      <c r="A37713" s="2" t="str">
        <f t="shared" si="1250"/>
        <v>99999</v>
      </c>
      <c r="B37713" s="2" t="str">
        <f>"63848"</f>
        <v>63848</v>
      </c>
      <c r="C37713" s="1">
        <v>7.3886534293720002E-5</v>
      </c>
      <c r="D37713" s="1">
        <v>3.6422464161812797E-5</v>
      </c>
      <c r="E37713" s="1">
        <v>8.69107991013423E-6</v>
      </c>
      <c r="F37713" s="1">
        <v>6.9938049611843801E-5</v>
      </c>
    </row>
    <row r="37714" spans="1:6" x14ac:dyDescent="0.25">
      <c r="A37714" s="2" t="str">
        <f t="shared" ref="A37714:A37777" si="1251">"99999"</f>
        <v>99999</v>
      </c>
      <c r="B37714" s="2" t="str">
        <f>"63845"</f>
        <v>63845</v>
      </c>
      <c r="C37714" s="1">
        <v>3.0045735437313301E-4</v>
      </c>
      <c r="D37714" s="1">
        <v>3.0503813735518201E-4</v>
      </c>
      <c r="E37714" s="1">
        <v>6.9528639281073799E-5</v>
      </c>
      <c r="F37714" s="1">
        <v>2.9547084971148801E-4</v>
      </c>
    </row>
    <row r="37715" spans="1:6" x14ac:dyDescent="0.25">
      <c r="A37715" s="2" t="str">
        <f t="shared" si="1251"/>
        <v>99999</v>
      </c>
      <c r="B37715" s="2" t="str">
        <f>"63823"</f>
        <v>63823</v>
      </c>
      <c r="C37715" s="1">
        <v>5.7297533979620399E-5</v>
      </c>
      <c r="D37715" s="1">
        <v>2.88344507947685E-5</v>
      </c>
      <c r="E37715" s="1">
        <v>1.3036619865201299E-5</v>
      </c>
      <c r="F37715" s="1">
        <v>5.4418368616896901E-5</v>
      </c>
    </row>
    <row r="37716" spans="1:6" x14ac:dyDescent="0.25">
      <c r="A37716" s="2" t="str">
        <f t="shared" si="1251"/>
        <v>99999</v>
      </c>
      <c r="B37716" s="2" t="str">
        <f>"63663"</f>
        <v>63663</v>
      </c>
      <c r="C37716" s="1">
        <v>3.2741447988354498E-7</v>
      </c>
      <c r="D37716" s="1">
        <v>0</v>
      </c>
      <c r="E37716" s="1">
        <v>4.3455399550671099E-6</v>
      </c>
      <c r="F37716" s="1">
        <v>3.9794053833197002E-7</v>
      </c>
    </row>
    <row r="37717" spans="1:6" x14ac:dyDescent="0.25">
      <c r="A37717" s="2" t="str">
        <f t="shared" si="1251"/>
        <v>99999</v>
      </c>
      <c r="B37717" s="2" t="str">
        <f>"63776"</f>
        <v>63776</v>
      </c>
      <c r="C37717" s="1">
        <v>0</v>
      </c>
      <c r="D37717" s="1">
        <v>0</v>
      </c>
      <c r="E37717" s="1">
        <v>4.3455399550671099E-6</v>
      </c>
      <c r="F37717" s="1">
        <v>9.9485134582992598E-8</v>
      </c>
    </row>
    <row r="37718" spans="1:6" x14ac:dyDescent="0.25">
      <c r="A37718" s="2" t="str">
        <f t="shared" si="1251"/>
        <v>99999</v>
      </c>
      <c r="B37718" s="2" t="str">
        <f>"63775"</f>
        <v>63775</v>
      </c>
      <c r="C37718" s="1">
        <v>8.2563018010633896E-4</v>
      </c>
      <c r="D37718" s="1">
        <v>1.05018104999893E-3</v>
      </c>
      <c r="E37718" s="1">
        <v>6.9528639281073797E-4</v>
      </c>
      <c r="F37718" s="1">
        <v>8.3736637778504899E-4</v>
      </c>
    </row>
    <row r="37719" spans="1:6" x14ac:dyDescent="0.25">
      <c r="A37719" s="2" t="str">
        <f t="shared" si="1251"/>
        <v>99999</v>
      </c>
      <c r="B37719" s="2" t="str">
        <f>"63732"</f>
        <v>63732</v>
      </c>
      <c r="C37719" s="1">
        <v>2.1718493832275099E-5</v>
      </c>
      <c r="D37719" s="1">
        <v>1.21408213872709E-5</v>
      </c>
      <c r="E37719" s="1">
        <v>8.69107991013423E-6</v>
      </c>
      <c r="F37719" s="1">
        <v>2.0792393127845399E-5</v>
      </c>
    </row>
    <row r="37720" spans="1:6" x14ac:dyDescent="0.25">
      <c r="A37720" s="2" t="str">
        <f t="shared" si="1251"/>
        <v>99999</v>
      </c>
      <c r="B37720" s="2" t="str">
        <f>"63730"</f>
        <v>63730</v>
      </c>
      <c r="C37720" s="1">
        <v>1.5825033194371299E-4</v>
      </c>
      <c r="D37720" s="1">
        <v>1.09267392485438E-4</v>
      </c>
      <c r="E37720" s="1">
        <v>2.1727699775335501E-4</v>
      </c>
      <c r="F37720" s="1">
        <v>1.5639063156446399E-4</v>
      </c>
    </row>
    <row r="37721" spans="1:6" x14ac:dyDescent="0.25">
      <c r="A37721" s="2" t="str">
        <f t="shared" si="1251"/>
        <v>99999</v>
      </c>
      <c r="B37721" s="2" t="str">
        <f>"63433"</f>
        <v>63433</v>
      </c>
      <c r="C37721" s="1">
        <v>4.4746645584084504E-6</v>
      </c>
      <c r="D37721" s="1">
        <v>6.0704106936354696E-6</v>
      </c>
      <c r="E37721" s="1">
        <v>4.3455399550671099E-6</v>
      </c>
      <c r="F37721" s="1">
        <v>4.5763161908176597E-6</v>
      </c>
    </row>
    <row r="37722" spans="1:6" x14ac:dyDescent="0.25">
      <c r="A37722" s="2" t="str">
        <f t="shared" si="1251"/>
        <v>99999</v>
      </c>
      <c r="B37722" s="2" t="str">
        <f>"63450"</f>
        <v>63450</v>
      </c>
      <c r="C37722" s="1">
        <v>8.0762238371274393E-6</v>
      </c>
      <c r="D37722" s="1">
        <v>6.0704106936354696E-6</v>
      </c>
      <c r="E37722" s="1">
        <v>4.3455399550671099E-6</v>
      </c>
      <c r="F37722" s="1">
        <v>7.85932563205641E-6</v>
      </c>
    </row>
    <row r="37723" spans="1:6" x14ac:dyDescent="0.25">
      <c r="A37723" s="2" t="str">
        <f t="shared" si="1251"/>
        <v>99999</v>
      </c>
      <c r="B37723" s="2" t="str">
        <f>"63633"</f>
        <v>63633</v>
      </c>
      <c r="C37723" s="1">
        <v>3.9180599426064199E-5</v>
      </c>
      <c r="D37723" s="1">
        <v>2.1246437427724101E-5</v>
      </c>
      <c r="E37723" s="1">
        <v>1.7382159820268399E-5</v>
      </c>
      <c r="F37723" s="1">
        <v>3.7505895737788197E-5</v>
      </c>
    </row>
    <row r="37724" spans="1:6" x14ac:dyDescent="0.25">
      <c r="A37724" s="2" t="str">
        <f t="shared" si="1251"/>
        <v>99999</v>
      </c>
      <c r="B37724" s="2" t="str">
        <f>"63629"</f>
        <v>63629</v>
      </c>
      <c r="C37724" s="1">
        <v>9.40770938865386E-5</v>
      </c>
      <c r="D37724" s="1">
        <v>6.0704106936354696E-6</v>
      </c>
      <c r="E37724" s="1">
        <v>8.69107991013423E-6</v>
      </c>
      <c r="F37724" s="1">
        <v>8.6353096818037601E-5</v>
      </c>
    </row>
    <row r="37725" spans="1:6" x14ac:dyDescent="0.25">
      <c r="A37725" s="2" t="str">
        <f t="shared" si="1251"/>
        <v>99999</v>
      </c>
      <c r="B37725" s="2" t="str">
        <f>"63624"</f>
        <v>63624</v>
      </c>
      <c r="C37725" s="1">
        <v>4.4419231104200897E-5</v>
      </c>
      <c r="D37725" s="1">
        <v>3.0352053468177301E-6</v>
      </c>
      <c r="E37725" s="1">
        <v>1.3036619865201299E-5</v>
      </c>
      <c r="F37725" s="1">
        <v>4.0987875448192901E-5</v>
      </c>
    </row>
    <row r="37726" spans="1:6" x14ac:dyDescent="0.25">
      <c r="A37726" s="2" t="str">
        <f t="shared" si="1251"/>
        <v>99999</v>
      </c>
      <c r="B37726" s="2" t="str">
        <f>"63623"</f>
        <v>63623</v>
      </c>
      <c r="C37726" s="1">
        <v>4.6820270623346902E-5</v>
      </c>
      <c r="D37726" s="1">
        <v>2.88344507947685E-5</v>
      </c>
      <c r="E37726" s="1">
        <v>4.3455399550671099E-6</v>
      </c>
      <c r="F37726" s="1">
        <v>4.4668825427763602E-5</v>
      </c>
    </row>
    <row r="37727" spans="1:6" x14ac:dyDescent="0.25">
      <c r="A37727" s="2" t="str">
        <f t="shared" si="1251"/>
        <v>99999</v>
      </c>
      <c r="B37727" s="2" t="str">
        <f>"63621"</f>
        <v>63621</v>
      </c>
      <c r="C37727" s="1">
        <v>7.06123894948845E-5</v>
      </c>
      <c r="D37727" s="1">
        <v>1.8211232080906399E-5</v>
      </c>
      <c r="E37727" s="1">
        <v>2.60732397304027E-5</v>
      </c>
      <c r="F37727" s="1">
        <v>6.6157614497690102E-5</v>
      </c>
    </row>
    <row r="37728" spans="1:6" x14ac:dyDescent="0.25">
      <c r="A37728" s="2" t="str">
        <f t="shared" si="1251"/>
        <v>99999</v>
      </c>
      <c r="B37728" s="2" t="str">
        <f>"63565"</f>
        <v>63565</v>
      </c>
      <c r="C37728" s="1">
        <v>2.6073106414726302E-4</v>
      </c>
      <c r="D37728" s="1">
        <v>3.6877744963835501E-4</v>
      </c>
      <c r="E37728" s="1">
        <v>1.9120375802295301E-4</v>
      </c>
      <c r="F37728" s="1">
        <v>2.66222220144088E-4</v>
      </c>
    </row>
    <row r="37729" spans="1:6" x14ac:dyDescent="0.25">
      <c r="A37729" s="2" t="str">
        <f t="shared" si="1251"/>
        <v>99999</v>
      </c>
      <c r="B37729" s="2" t="str">
        <f>"62961"</f>
        <v>62961</v>
      </c>
      <c r="C37729" s="1">
        <v>0</v>
      </c>
      <c r="D37729" s="1">
        <v>0</v>
      </c>
      <c r="E37729" s="1">
        <v>4.3455399550671099E-6</v>
      </c>
      <c r="F37729" s="1">
        <v>9.9485134582992598E-8</v>
      </c>
    </row>
    <row r="37730" spans="1:6" x14ac:dyDescent="0.25">
      <c r="A37730" s="2" t="str">
        <f t="shared" si="1251"/>
        <v>99999</v>
      </c>
      <c r="B37730" s="2" t="str">
        <f>"62965"</f>
        <v>62965</v>
      </c>
      <c r="C37730" s="1">
        <v>1.4187960794953601E-6</v>
      </c>
      <c r="D37730" s="1">
        <v>0</v>
      </c>
      <c r="E37730" s="1">
        <v>4.3455399550671099E-6</v>
      </c>
      <c r="F37730" s="1">
        <v>1.39279188416189E-6</v>
      </c>
    </row>
    <row r="37731" spans="1:6" x14ac:dyDescent="0.25">
      <c r="A37731" s="2" t="str">
        <f t="shared" si="1251"/>
        <v>99999</v>
      </c>
      <c r="B37731" s="2" t="str">
        <f>"62858"</f>
        <v>62858</v>
      </c>
      <c r="C37731" s="1">
        <v>1.58468608263635E-4</v>
      </c>
      <c r="D37731" s="1">
        <v>1.2596102189293599E-4</v>
      </c>
      <c r="E37731" s="1">
        <v>3.47643196405369E-5</v>
      </c>
      <c r="F37731" s="1">
        <v>1.5350556266155701E-4</v>
      </c>
    </row>
    <row r="37732" spans="1:6" x14ac:dyDescent="0.25">
      <c r="A37732" s="2" t="str">
        <f t="shared" si="1251"/>
        <v>99999</v>
      </c>
      <c r="B37732" s="2" t="str">
        <f>"62844"</f>
        <v>62844</v>
      </c>
      <c r="C37732" s="1">
        <v>1.2441750235574699E-4</v>
      </c>
      <c r="D37732" s="1">
        <v>2.15499579624059E-4</v>
      </c>
      <c r="E37732" s="1">
        <v>4.7800939505738197E-5</v>
      </c>
      <c r="F37732" s="1">
        <v>1.2863427901580899E-4</v>
      </c>
    </row>
    <row r="37733" spans="1:6" x14ac:dyDescent="0.25">
      <c r="A37733" s="2" t="str">
        <f t="shared" si="1251"/>
        <v>99999</v>
      </c>
      <c r="B37733" s="2" t="str">
        <f>"62839"</f>
        <v>62839</v>
      </c>
      <c r="C37733" s="1">
        <v>3.56772644913103E-4</v>
      </c>
      <c r="D37733" s="1">
        <v>6.2676990411786304E-4</v>
      </c>
      <c r="E37733" s="1">
        <v>3.7371643613577199E-4</v>
      </c>
      <c r="F37733" s="1">
        <v>3.7485998710871601E-4</v>
      </c>
    </row>
    <row r="37734" spans="1:6" x14ac:dyDescent="0.25">
      <c r="A37734" s="2" t="str">
        <f t="shared" si="1251"/>
        <v>99999</v>
      </c>
      <c r="B37734" s="2" t="str">
        <f>"62809"</f>
        <v>62809</v>
      </c>
      <c r="C37734" s="1">
        <v>1.41879607949536E-5</v>
      </c>
      <c r="D37734" s="1">
        <v>4.5528080202265997E-6</v>
      </c>
      <c r="E37734" s="1">
        <v>4.3455399550671099E-6</v>
      </c>
      <c r="F37734" s="1">
        <v>1.3331008034121E-5</v>
      </c>
    </row>
    <row r="37735" spans="1:6" x14ac:dyDescent="0.25">
      <c r="A37735" s="2" t="str">
        <f t="shared" si="1251"/>
        <v>99999</v>
      </c>
      <c r="B37735" s="2" t="str">
        <f>"62815"</f>
        <v>62815</v>
      </c>
      <c r="C37735" s="1">
        <v>1.54976187144878E-5</v>
      </c>
      <c r="D37735" s="1">
        <v>3.0352053468177301E-6</v>
      </c>
      <c r="E37735" s="1">
        <v>8.69107991013423E-6</v>
      </c>
      <c r="F37735" s="1">
        <v>1.45248296491169E-5</v>
      </c>
    </row>
    <row r="37736" spans="1:6" x14ac:dyDescent="0.25">
      <c r="A37736" s="2" t="str">
        <f t="shared" si="1251"/>
        <v>99999</v>
      </c>
      <c r="B37736" s="2" t="str">
        <f>"62827"</f>
        <v>62827</v>
      </c>
      <c r="C37736" s="1">
        <v>6.9084455255428006E-5</v>
      </c>
      <c r="D37736" s="1">
        <v>4.8563285549083798E-5</v>
      </c>
      <c r="E37736" s="1">
        <v>4.7800939505738197E-5</v>
      </c>
      <c r="F37736" s="1">
        <v>6.7251950978102997E-5</v>
      </c>
    </row>
    <row r="37737" spans="1:6" x14ac:dyDescent="0.25">
      <c r="A37737" s="2" t="str">
        <f t="shared" si="1251"/>
        <v>99999</v>
      </c>
      <c r="B37737" s="2" t="str">
        <f>"62819"</f>
        <v>62819</v>
      </c>
      <c r="C37737" s="1">
        <v>2.8266783429946001E-5</v>
      </c>
      <c r="D37737" s="1">
        <v>0</v>
      </c>
      <c r="E37737" s="1">
        <v>4.3455399550671099E-6</v>
      </c>
      <c r="F37737" s="1">
        <v>2.5866134991578001E-5</v>
      </c>
    </row>
    <row r="37738" spans="1:6" x14ac:dyDescent="0.25">
      <c r="A37738" s="2" t="str">
        <f t="shared" si="1251"/>
        <v>99999</v>
      </c>
      <c r="B37738" s="2" t="str">
        <f>"62810"</f>
        <v>62810</v>
      </c>
      <c r="C37738" s="1">
        <v>3.1650066388742701E-6</v>
      </c>
      <c r="D37738" s="1">
        <v>0</v>
      </c>
      <c r="E37738" s="1">
        <v>0</v>
      </c>
      <c r="F37738" s="1">
        <v>2.8850689029067799E-6</v>
      </c>
    </row>
    <row r="37739" spans="1:6" x14ac:dyDescent="0.25">
      <c r="A37739" s="2" t="str">
        <f t="shared" si="1251"/>
        <v>99999</v>
      </c>
      <c r="B37739" s="2" t="str">
        <f>"62954"</f>
        <v>62954</v>
      </c>
      <c r="C37739" s="1">
        <v>2.9249026869596701E-5</v>
      </c>
      <c r="D37739" s="1">
        <v>2.5799245447950699E-5</v>
      </c>
      <c r="E37739" s="1">
        <v>8.69107991013423E-6</v>
      </c>
      <c r="F37739" s="1">
        <v>2.8552233625318801E-5</v>
      </c>
    </row>
    <row r="37740" spans="1:6" x14ac:dyDescent="0.25">
      <c r="A37740" s="2" t="str">
        <f t="shared" si="1251"/>
        <v>99999</v>
      </c>
      <c r="B37740" s="2" t="str">
        <f>"62891"</f>
        <v>62891</v>
      </c>
      <c r="C37740" s="1">
        <v>3.2741447988354498E-7</v>
      </c>
      <c r="D37740" s="1">
        <v>0</v>
      </c>
      <c r="E37740" s="1">
        <v>4.3455399550671099E-6</v>
      </c>
      <c r="F37740" s="1">
        <v>3.9794053833197002E-7</v>
      </c>
    </row>
    <row r="37741" spans="1:6" x14ac:dyDescent="0.25">
      <c r="A37741" s="2" t="str">
        <f t="shared" si="1251"/>
        <v>99999</v>
      </c>
      <c r="B37741" s="2" t="str">
        <f>"62888"</f>
        <v>62888</v>
      </c>
      <c r="C37741" s="1">
        <v>1.11648337640288E-4</v>
      </c>
      <c r="D37741" s="1">
        <v>5.15984908959015E-5</v>
      </c>
      <c r="E37741" s="1">
        <v>2.1727699775335501E-5</v>
      </c>
      <c r="F37741" s="1">
        <v>1.05653212927138E-4</v>
      </c>
    </row>
    <row r="37742" spans="1:6" x14ac:dyDescent="0.25">
      <c r="A37742" s="2" t="str">
        <f t="shared" si="1251"/>
        <v>99999</v>
      </c>
      <c r="B37742" s="2" t="str">
        <f>"62902"</f>
        <v>62902</v>
      </c>
      <c r="C37742" s="1">
        <v>9.8224343965063504E-7</v>
      </c>
      <c r="D37742" s="1">
        <v>1.51760267340886E-6</v>
      </c>
      <c r="E37742" s="1">
        <v>0</v>
      </c>
      <c r="F37742" s="1">
        <v>9.9485134582992606E-7</v>
      </c>
    </row>
    <row r="37743" spans="1:6" x14ac:dyDescent="0.25">
      <c r="A37743" s="2" t="str">
        <f t="shared" si="1251"/>
        <v>99999</v>
      </c>
      <c r="B37743" s="2" t="str">
        <f>"62928"</f>
        <v>62928</v>
      </c>
      <c r="C37743" s="1">
        <v>7.3122567173991701E-6</v>
      </c>
      <c r="D37743" s="1">
        <v>1.51760267340886E-6</v>
      </c>
      <c r="E37743" s="1">
        <v>4.3455399550671099E-6</v>
      </c>
      <c r="F37743" s="1">
        <v>6.86447428622649E-6</v>
      </c>
    </row>
    <row r="37744" spans="1:6" x14ac:dyDescent="0.25">
      <c r="A37744" s="2" t="str">
        <f t="shared" si="1251"/>
        <v>99999</v>
      </c>
      <c r="B37744" s="2" t="str">
        <f>"62926"</f>
        <v>62926</v>
      </c>
      <c r="C37744" s="1">
        <v>1.10447817880715E-4</v>
      </c>
      <c r="D37744" s="1">
        <v>2.4281642774541899E-5</v>
      </c>
      <c r="E37744" s="1">
        <v>1.3036619865201299E-5</v>
      </c>
      <c r="F37744" s="1">
        <v>1.02569173755065E-4</v>
      </c>
    </row>
    <row r="37745" spans="1:6" x14ac:dyDescent="0.25">
      <c r="A37745" s="2" t="str">
        <f t="shared" si="1251"/>
        <v>99999</v>
      </c>
      <c r="B37745" s="2" t="str">
        <f>"62910"</f>
        <v>62910</v>
      </c>
      <c r="C37745" s="1">
        <v>6.3300132777485401E-6</v>
      </c>
      <c r="D37745" s="1">
        <v>1.51760267340886E-6</v>
      </c>
      <c r="E37745" s="1">
        <v>4.3455399550671099E-6</v>
      </c>
      <c r="F37745" s="1">
        <v>5.96910807497955E-6</v>
      </c>
    </row>
    <row r="37746" spans="1:6" x14ac:dyDescent="0.25">
      <c r="A37746" s="2" t="str">
        <f t="shared" si="1251"/>
        <v>99999</v>
      </c>
      <c r="B37746" s="2" t="str">
        <f>"62877"</f>
        <v>62877</v>
      </c>
      <c r="C37746" s="1">
        <v>2.8485059749868399E-5</v>
      </c>
      <c r="D37746" s="1">
        <v>1.0623218713862E-5</v>
      </c>
      <c r="E37746" s="1">
        <v>4.3455399550671099E-6</v>
      </c>
      <c r="F37746" s="1">
        <v>2.6761501202825001E-5</v>
      </c>
    </row>
    <row r="37747" spans="1:6" x14ac:dyDescent="0.25">
      <c r="A37747" s="2" t="str">
        <f t="shared" si="1251"/>
        <v>99999</v>
      </c>
      <c r="B37747" s="2" t="str">
        <f>"62458"</f>
        <v>62458</v>
      </c>
      <c r="C37747" s="1">
        <v>1.14376791639318E-4</v>
      </c>
      <c r="D37747" s="1">
        <v>1.57830678034522E-4</v>
      </c>
      <c r="E37747" s="1">
        <v>7.3874179236140894E-5</v>
      </c>
      <c r="F37747" s="1">
        <v>1.1629812232751801E-4</v>
      </c>
    </row>
    <row r="37748" spans="1:6" x14ac:dyDescent="0.25">
      <c r="A37748" s="2" t="str">
        <f t="shared" si="1251"/>
        <v>99999</v>
      </c>
      <c r="B37748" s="2" t="str">
        <f>"62443"</f>
        <v>62443</v>
      </c>
      <c r="C37748" s="1">
        <v>7.0939803974768102E-6</v>
      </c>
      <c r="D37748" s="1">
        <v>1.51760267340886E-6</v>
      </c>
      <c r="E37748" s="1">
        <v>0</v>
      </c>
      <c r="F37748" s="1">
        <v>6.5660188824775097E-6</v>
      </c>
    </row>
    <row r="37749" spans="1:6" x14ac:dyDescent="0.25">
      <c r="A37749" s="2" t="str">
        <f t="shared" si="1251"/>
        <v>99999</v>
      </c>
      <c r="B37749" s="2" t="str">
        <f>"62439"</f>
        <v>62439</v>
      </c>
      <c r="C37749" s="1">
        <v>4.2803986336775398E-4</v>
      </c>
      <c r="D37749" s="1">
        <v>5.4026655173355703E-4</v>
      </c>
      <c r="E37749" s="1">
        <v>3.8240751604590601E-4</v>
      </c>
      <c r="F37749" s="1">
        <v>4.3435209758934502E-4</v>
      </c>
    </row>
    <row r="37750" spans="1:6" x14ac:dyDescent="0.25">
      <c r="A37750" s="2" t="str">
        <f t="shared" si="1251"/>
        <v>99999</v>
      </c>
      <c r="B37750" s="2" t="str">
        <f>"62436"</f>
        <v>62436</v>
      </c>
      <c r="C37750" s="1">
        <v>1.10229541560793E-5</v>
      </c>
      <c r="D37750" s="1">
        <v>1.51760267340886E-6</v>
      </c>
      <c r="E37750" s="1">
        <v>0</v>
      </c>
      <c r="F37750" s="1">
        <v>1.01474837274652E-5</v>
      </c>
    </row>
    <row r="37751" spans="1:6" x14ac:dyDescent="0.25">
      <c r="A37751" s="2" t="str">
        <f t="shared" si="1251"/>
        <v>99999</v>
      </c>
      <c r="B37751" s="2" t="str">
        <f>"62640"</f>
        <v>62640</v>
      </c>
      <c r="C37751" s="1">
        <v>9.8224343965063504E-7</v>
      </c>
      <c r="D37751" s="1">
        <v>0</v>
      </c>
      <c r="E37751" s="1">
        <v>0</v>
      </c>
      <c r="F37751" s="1">
        <v>8.9536621124693305E-7</v>
      </c>
    </row>
    <row r="37752" spans="1:6" x14ac:dyDescent="0.25">
      <c r="A37752" s="2" t="str">
        <f t="shared" si="1251"/>
        <v>99999</v>
      </c>
      <c r="B37752" s="2" t="str">
        <f>"62665"</f>
        <v>62665</v>
      </c>
      <c r="C37752" s="1">
        <v>1.09138159961181E-7</v>
      </c>
      <c r="D37752" s="1">
        <v>0</v>
      </c>
      <c r="E37752" s="1">
        <v>0</v>
      </c>
      <c r="F37752" s="1">
        <v>9.9485134582992598E-8</v>
      </c>
    </row>
    <row r="37753" spans="1:6" x14ac:dyDescent="0.25">
      <c r="A37753" s="2" t="str">
        <f t="shared" si="1251"/>
        <v>99999</v>
      </c>
      <c r="B37753" s="2" t="str">
        <f>"62664"</f>
        <v>62664</v>
      </c>
      <c r="C37753" s="1">
        <v>1.53557391065382E-4</v>
      </c>
      <c r="D37753" s="1">
        <v>1.7148910209520199E-4</v>
      </c>
      <c r="E37753" s="1">
        <v>1.3471173860707999E-4</v>
      </c>
      <c r="F37753" s="1">
        <v>1.54301443738221E-4</v>
      </c>
    </row>
    <row r="37754" spans="1:6" x14ac:dyDescent="0.25">
      <c r="A37754" s="2" t="str">
        <f t="shared" si="1251"/>
        <v>99999</v>
      </c>
      <c r="B37754" s="2" t="str">
        <f>"62546"</f>
        <v>62546</v>
      </c>
      <c r="C37754" s="1">
        <v>2.9467303189519E-6</v>
      </c>
      <c r="D37754" s="1">
        <v>0</v>
      </c>
      <c r="E37754" s="1">
        <v>0</v>
      </c>
      <c r="F37754" s="1">
        <v>2.6860986337408002E-6</v>
      </c>
    </row>
    <row r="37755" spans="1:6" x14ac:dyDescent="0.25">
      <c r="A37755" s="2" t="str">
        <f t="shared" si="1251"/>
        <v>99999</v>
      </c>
      <c r="B37755" s="2" t="str">
        <f>"62622"</f>
        <v>62622</v>
      </c>
      <c r="C37755" s="1">
        <v>0</v>
      </c>
      <c r="D37755" s="1">
        <v>1.51760267340886E-6</v>
      </c>
      <c r="E37755" s="1">
        <v>0</v>
      </c>
      <c r="F37755" s="1">
        <v>9.9485134582992598E-8</v>
      </c>
    </row>
    <row r="37756" spans="1:6" x14ac:dyDescent="0.25">
      <c r="A37756" s="2" t="str">
        <f t="shared" si="1251"/>
        <v>99999</v>
      </c>
      <c r="B37756" s="2" t="str">
        <f>"62612"</f>
        <v>62612</v>
      </c>
      <c r="C37756" s="1">
        <v>8.2290172610731006E-5</v>
      </c>
      <c r="D37756" s="1">
        <v>2.1246437427724101E-5</v>
      </c>
      <c r="E37756" s="1">
        <v>3.9109859595604001E-5</v>
      </c>
      <c r="F37756" s="1">
        <v>7.7299949570985204E-5</v>
      </c>
    </row>
    <row r="37757" spans="1:6" x14ac:dyDescent="0.25">
      <c r="A37757" s="2" t="str">
        <f t="shared" si="1251"/>
        <v>99999</v>
      </c>
      <c r="B37757" s="2" t="str">
        <f>"62345"</f>
        <v>62345</v>
      </c>
      <c r="C37757" s="1">
        <v>1.87717635133232E-5</v>
      </c>
      <c r="D37757" s="1">
        <v>1.3658424060679801E-5</v>
      </c>
      <c r="E37757" s="1">
        <v>4.3455399550671099E-6</v>
      </c>
      <c r="F37757" s="1">
        <v>1.8106294494104601E-5</v>
      </c>
    </row>
    <row r="37758" spans="1:6" x14ac:dyDescent="0.25">
      <c r="A37758" s="2" t="str">
        <f t="shared" si="1251"/>
        <v>99999</v>
      </c>
      <c r="B37758" s="2" t="str">
        <f>"62343"</f>
        <v>62343</v>
      </c>
      <c r="C37758" s="1">
        <v>2.8812474229751901E-5</v>
      </c>
      <c r="D37758" s="1">
        <v>1.66936294074975E-5</v>
      </c>
      <c r="E37758" s="1">
        <v>1.3036619865201299E-5</v>
      </c>
      <c r="F37758" s="1">
        <v>2.76568674140719E-5</v>
      </c>
    </row>
    <row r="37759" spans="1:6" x14ac:dyDescent="0.25">
      <c r="A37759" s="2" t="str">
        <f t="shared" si="1251"/>
        <v>99999</v>
      </c>
      <c r="B37759" s="2" t="str">
        <f>"62314"</f>
        <v>62314</v>
      </c>
      <c r="C37759" s="1">
        <v>2.6520572870567099E-5</v>
      </c>
      <c r="D37759" s="1">
        <v>1.5176026734088599E-5</v>
      </c>
      <c r="E37759" s="1">
        <v>4.3455399550671099E-6</v>
      </c>
      <c r="F37759" s="1">
        <v>2.5269224184080101E-5</v>
      </c>
    </row>
    <row r="37760" spans="1:6" x14ac:dyDescent="0.25">
      <c r="A37760" s="2" t="str">
        <f t="shared" si="1251"/>
        <v>99999</v>
      </c>
      <c r="B37760" s="2" t="str">
        <f>"62081"</f>
        <v>62081</v>
      </c>
      <c r="C37760" s="1">
        <v>1.25508883955359E-5</v>
      </c>
      <c r="D37760" s="1">
        <v>0</v>
      </c>
      <c r="E37760" s="1">
        <v>4.3455399550671099E-6</v>
      </c>
      <c r="F37760" s="1">
        <v>1.1540275611627099E-5</v>
      </c>
    </row>
    <row r="37761" spans="1:6" x14ac:dyDescent="0.25">
      <c r="A37761" s="2" t="str">
        <f t="shared" si="1251"/>
        <v>99999</v>
      </c>
      <c r="B37761" s="2" t="str">
        <f>"62292"</f>
        <v>62292</v>
      </c>
      <c r="C37761" s="1">
        <v>1.52793423945654E-6</v>
      </c>
      <c r="D37761" s="1">
        <v>0</v>
      </c>
      <c r="E37761" s="1">
        <v>4.3455399550671099E-6</v>
      </c>
      <c r="F37761" s="1">
        <v>1.4922770187448801E-6</v>
      </c>
    </row>
    <row r="37762" spans="1:6" x14ac:dyDescent="0.25">
      <c r="A37762" s="2" t="str">
        <f t="shared" si="1251"/>
        <v>99999</v>
      </c>
      <c r="B37762" s="2" t="str">
        <f>"62280"</f>
        <v>62280</v>
      </c>
      <c r="C37762" s="1">
        <v>1.1896059435768801E-5</v>
      </c>
      <c r="D37762" s="1">
        <v>4.5528080202265997E-6</v>
      </c>
      <c r="E37762" s="1">
        <v>4.3455399550671099E-6</v>
      </c>
      <c r="F37762" s="1">
        <v>1.12418202078781E-5</v>
      </c>
    </row>
    <row r="37763" spans="1:6" x14ac:dyDescent="0.25">
      <c r="A37763" s="2" t="str">
        <f t="shared" si="1251"/>
        <v>99999</v>
      </c>
      <c r="B37763" s="2" t="str">
        <f>"62242"</f>
        <v>62242</v>
      </c>
      <c r="C37763" s="1">
        <v>7.6178435652904798E-5</v>
      </c>
      <c r="D37763" s="1">
        <v>4.8563285549083798E-5</v>
      </c>
      <c r="E37763" s="1">
        <v>3.9109859595604001E-5</v>
      </c>
      <c r="F37763" s="1">
        <v>7.3519514456831504E-5</v>
      </c>
    </row>
    <row r="37764" spans="1:6" x14ac:dyDescent="0.25">
      <c r="A37764" s="2" t="str">
        <f t="shared" si="1251"/>
        <v>99999</v>
      </c>
      <c r="B37764" s="2" t="str">
        <f>"62263"</f>
        <v>62263</v>
      </c>
      <c r="C37764" s="1">
        <v>2.7699264998147901E-4</v>
      </c>
      <c r="D37764" s="1">
        <v>6.0400586401673003E-4</v>
      </c>
      <c r="E37764" s="1">
        <v>1.30366198652013E-4</v>
      </c>
      <c r="F37764" s="1">
        <v>2.9507290917315599E-4</v>
      </c>
    </row>
    <row r="37765" spans="1:6" x14ac:dyDescent="0.25">
      <c r="A37765" s="2" t="str">
        <f t="shared" si="1251"/>
        <v>99999</v>
      </c>
      <c r="B37765" s="2" t="str">
        <f>"62257"</f>
        <v>62257</v>
      </c>
      <c r="C37765" s="1">
        <v>2.3682980711576399E-5</v>
      </c>
      <c r="D37765" s="1">
        <v>4.2492874855448297E-5</v>
      </c>
      <c r="E37765" s="1">
        <v>0</v>
      </c>
      <c r="F37765" s="1">
        <v>2.4373857972833101E-5</v>
      </c>
    </row>
    <row r="37766" spans="1:6" x14ac:dyDescent="0.25">
      <c r="A37766" s="2" t="str">
        <f t="shared" si="1251"/>
        <v>99999</v>
      </c>
      <c r="B37766" s="2" t="str">
        <f>"62017"</f>
        <v>62017</v>
      </c>
      <c r="C37766" s="1">
        <v>5.2713731261250698E-5</v>
      </c>
      <c r="D37766" s="1">
        <v>2.4281642774541899E-5</v>
      </c>
      <c r="E37766" s="1">
        <v>1.3036619865201299E-5</v>
      </c>
      <c r="F37766" s="1">
        <v>4.99415375606623E-5</v>
      </c>
    </row>
    <row r="37767" spans="1:6" x14ac:dyDescent="0.25">
      <c r="A37767" s="2" t="str">
        <f t="shared" si="1251"/>
        <v>99999</v>
      </c>
      <c r="B37767" s="2" t="str">
        <f>"61777"</f>
        <v>61777</v>
      </c>
      <c r="C37767" s="1">
        <v>5.2822869421211901E-5</v>
      </c>
      <c r="D37767" s="1">
        <v>1.5176026734088599E-5</v>
      </c>
      <c r="E37767" s="1">
        <v>4.3455399550671099E-6</v>
      </c>
      <c r="F37767" s="1">
        <v>4.9245141618581303E-5</v>
      </c>
    </row>
    <row r="37768" spans="1:6" x14ac:dyDescent="0.25">
      <c r="A37768" s="2" t="str">
        <f t="shared" si="1251"/>
        <v>99999</v>
      </c>
      <c r="B37768" s="2" t="str">
        <f>"61940"</f>
        <v>61940</v>
      </c>
      <c r="C37768" s="1">
        <v>1.23326120756135E-5</v>
      </c>
      <c r="D37768" s="1">
        <v>3.0352053468177301E-6</v>
      </c>
      <c r="E37768" s="1">
        <v>0</v>
      </c>
      <c r="F37768" s="1">
        <v>1.1440790477044101E-5</v>
      </c>
    </row>
    <row r="37769" spans="1:6" x14ac:dyDescent="0.25">
      <c r="A37769" s="2" t="str">
        <f t="shared" si="1251"/>
        <v>99999</v>
      </c>
      <c r="B37769" s="2" t="str">
        <f>"61845"</f>
        <v>61845</v>
      </c>
      <c r="C37769" s="1">
        <v>1.85534871934008E-6</v>
      </c>
      <c r="D37769" s="1">
        <v>0</v>
      </c>
      <c r="E37769" s="1">
        <v>0</v>
      </c>
      <c r="F37769" s="1">
        <v>1.6912472879108699E-6</v>
      </c>
    </row>
    <row r="37770" spans="1:6" x14ac:dyDescent="0.25">
      <c r="A37770" s="2" t="str">
        <f t="shared" si="1251"/>
        <v>99999</v>
      </c>
      <c r="B37770" s="2" t="str">
        <f>"61840"</f>
        <v>61840</v>
      </c>
      <c r="C37770" s="1">
        <v>1.09138159961181E-7</v>
      </c>
      <c r="D37770" s="1">
        <v>0</v>
      </c>
      <c r="E37770" s="1">
        <v>0</v>
      </c>
      <c r="F37770" s="1">
        <v>9.9485134582992598E-8</v>
      </c>
    </row>
    <row r="37771" spans="1:6" x14ac:dyDescent="0.25">
      <c r="A37771" s="2" t="str">
        <f t="shared" si="1251"/>
        <v>99999</v>
      </c>
      <c r="B37771" s="2" t="str">
        <f>"61475"</f>
        <v>61475</v>
      </c>
      <c r="C37771" s="1">
        <v>1.0913815996118101E-6</v>
      </c>
      <c r="D37771" s="1">
        <v>0</v>
      </c>
      <c r="E37771" s="1">
        <v>0</v>
      </c>
      <c r="F37771" s="1">
        <v>9.9485134582992606E-7</v>
      </c>
    </row>
    <row r="37772" spans="1:6" x14ac:dyDescent="0.25">
      <c r="A37772" s="2" t="str">
        <f t="shared" si="1251"/>
        <v>99999</v>
      </c>
      <c r="B37772" s="2" t="str">
        <f>"61452"</f>
        <v>61452</v>
      </c>
      <c r="C37772" s="1">
        <v>2.3137289911770499E-5</v>
      </c>
      <c r="D37772" s="1">
        <v>3.0352053468177301E-6</v>
      </c>
      <c r="E37772" s="1">
        <v>0</v>
      </c>
      <c r="F37772" s="1">
        <v>2.1289818800760401E-5</v>
      </c>
    </row>
    <row r="37773" spans="1:6" x14ac:dyDescent="0.25">
      <c r="A37773" s="2" t="str">
        <f t="shared" si="1251"/>
        <v>99999</v>
      </c>
      <c r="B37773" s="2" t="str">
        <f>"61415"</f>
        <v>61415</v>
      </c>
      <c r="C37773" s="1">
        <v>3.4160244067849798E-5</v>
      </c>
      <c r="D37773" s="1">
        <v>7.5880133670443404E-6</v>
      </c>
      <c r="E37773" s="1">
        <v>0</v>
      </c>
      <c r="F37773" s="1">
        <v>3.1636272797391603E-5</v>
      </c>
    </row>
    <row r="37774" spans="1:6" x14ac:dyDescent="0.25">
      <c r="A37774" s="2" t="str">
        <f t="shared" si="1251"/>
        <v>99999</v>
      </c>
      <c r="B37774" s="2" t="str">
        <f>"61412"</f>
        <v>61412</v>
      </c>
      <c r="C37774" s="1">
        <v>4.8457343022764599E-5</v>
      </c>
      <c r="D37774" s="1">
        <v>3.3387258814995101E-5</v>
      </c>
      <c r="E37774" s="1">
        <v>2.1727699775335501E-5</v>
      </c>
      <c r="F37774" s="1">
        <v>4.6857498388589501E-5</v>
      </c>
    </row>
    <row r="37775" spans="1:6" x14ac:dyDescent="0.25">
      <c r="A37775" s="2" t="str">
        <f t="shared" si="1251"/>
        <v>99999</v>
      </c>
      <c r="B37775" s="2" t="str">
        <f>"61410"</f>
        <v>61410</v>
      </c>
      <c r="C37775" s="1">
        <v>7.3122567173991701E-6</v>
      </c>
      <c r="D37775" s="1">
        <v>0</v>
      </c>
      <c r="E37775" s="1">
        <v>0</v>
      </c>
      <c r="F37775" s="1">
        <v>6.6655040170604998E-6</v>
      </c>
    </row>
    <row r="37776" spans="1:6" x14ac:dyDescent="0.25">
      <c r="A37776" s="2" t="str">
        <f t="shared" si="1251"/>
        <v>99999</v>
      </c>
      <c r="B37776" s="2" t="str">
        <f>"60967"</f>
        <v>60967</v>
      </c>
      <c r="C37776" s="1">
        <v>2.5101776791071799E-6</v>
      </c>
      <c r="D37776" s="1">
        <v>1.21408213872709E-5</v>
      </c>
      <c r="E37776" s="1">
        <v>0</v>
      </c>
      <c r="F37776" s="1">
        <v>3.0840391720727701E-6</v>
      </c>
    </row>
    <row r="37777" spans="1:6" x14ac:dyDescent="0.25">
      <c r="A37777" s="2" t="str">
        <f t="shared" si="1251"/>
        <v>99999</v>
      </c>
      <c r="B37777" s="2" t="str">
        <f>"60970"</f>
        <v>60970</v>
      </c>
      <c r="C37777" s="1">
        <v>3.8853184946180597E-4</v>
      </c>
      <c r="D37777" s="1">
        <v>6.7229798432012896E-4</v>
      </c>
      <c r="E37777" s="1">
        <v>2.43784791479265E-3</v>
      </c>
      <c r="F37777" s="1">
        <v>4.5405015423677798E-4</v>
      </c>
    </row>
    <row r="37778" spans="1:6" x14ac:dyDescent="0.25">
      <c r="A37778" s="2" t="str">
        <f t="shared" ref="A37778:A37841" si="1252">"99999"</f>
        <v>99999</v>
      </c>
      <c r="B37778" s="2" t="str">
        <f>"60946"</f>
        <v>60946</v>
      </c>
      <c r="C37778" s="1">
        <v>1.93174543131291E-5</v>
      </c>
      <c r="D37778" s="1">
        <v>2.4281642774541899E-5</v>
      </c>
      <c r="E37778" s="1">
        <v>0</v>
      </c>
      <c r="F37778" s="1">
        <v>1.92006309745175E-5</v>
      </c>
    </row>
    <row r="37779" spans="1:6" x14ac:dyDescent="0.25">
      <c r="A37779" s="2" t="str">
        <f t="shared" si="1252"/>
        <v>99999</v>
      </c>
      <c r="B37779" s="2" t="str">
        <f>"60938"</f>
        <v>60938</v>
      </c>
      <c r="C37779" s="1">
        <v>1.1383110083951199E-4</v>
      </c>
      <c r="D37779" s="1">
        <v>2.4585163309223603E-4</v>
      </c>
      <c r="E37779" s="1">
        <v>2.0424037788815399E-4</v>
      </c>
      <c r="F37779" s="1">
        <v>1.2455538849790601E-4</v>
      </c>
    </row>
    <row r="37780" spans="1:6" x14ac:dyDescent="0.25">
      <c r="A37780" s="2" t="str">
        <f t="shared" si="1252"/>
        <v>99999</v>
      </c>
      <c r="B37780" s="2" t="str">
        <f>"60927"</f>
        <v>60927</v>
      </c>
      <c r="C37780" s="1">
        <v>1.10229541560793E-4</v>
      </c>
      <c r="D37780" s="1">
        <v>9.2573763077941E-5</v>
      </c>
      <c r="E37780" s="1">
        <v>1.35580846598094E-3</v>
      </c>
      <c r="F37780" s="1">
        <v>1.3758794112827801E-4</v>
      </c>
    </row>
    <row r="37781" spans="1:6" x14ac:dyDescent="0.25">
      <c r="A37781" s="2" t="str">
        <f t="shared" si="1252"/>
        <v>99999</v>
      </c>
      <c r="B37781" s="2" t="str">
        <f>"60918"</f>
        <v>60918</v>
      </c>
      <c r="C37781" s="1">
        <v>3.9071461266102997E-5</v>
      </c>
      <c r="D37781" s="1">
        <v>2.88344507947685E-5</v>
      </c>
      <c r="E37781" s="1">
        <v>3.9109859595604001E-5</v>
      </c>
      <c r="F37781" s="1">
        <v>3.8401261949035102E-5</v>
      </c>
    </row>
    <row r="37782" spans="1:6" x14ac:dyDescent="0.25">
      <c r="A37782" s="2" t="str">
        <f t="shared" si="1252"/>
        <v>99999</v>
      </c>
      <c r="B37782" s="2" t="str">
        <f>"18847"</f>
        <v>18847</v>
      </c>
      <c r="C37782" s="1">
        <v>2.98602005653793E-4</v>
      </c>
      <c r="D37782" s="1">
        <v>2.1701718229746799E-4</v>
      </c>
      <c r="E37782" s="1">
        <v>3.6937089618070402E-4</v>
      </c>
      <c r="F37782" s="1">
        <v>2.9487393890399E-4</v>
      </c>
    </row>
    <row r="37783" spans="1:6" x14ac:dyDescent="0.25">
      <c r="A37783" s="2" t="str">
        <f t="shared" si="1252"/>
        <v>99999</v>
      </c>
      <c r="B37783" s="2" t="str">
        <f>"18833"</f>
        <v>18833</v>
      </c>
      <c r="C37783" s="1">
        <v>7.4213948773603504E-6</v>
      </c>
      <c r="D37783" s="1">
        <v>0</v>
      </c>
      <c r="E37783" s="1">
        <v>0</v>
      </c>
      <c r="F37783" s="1">
        <v>6.7649891516434898E-6</v>
      </c>
    </row>
    <row r="37784" spans="1:6" x14ac:dyDescent="0.25">
      <c r="A37784" s="2" t="str">
        <f t="shared" si="1252"/>
        <v>99999</v>
      </c>
      <c r="B37784" s="2" t="str">
        <f>"18427"</f>
        <v>18427</v>
      </c>
      <c r="C37784" s="1">
        <v>1.09138159961181E-7</v>
      </c>
      <c r="D37784" s="1">
        <v>1.51760267340886E-6</v>
      </c>
      <c r="E37784" s="1">
        <v>0</v>
      </c>
      <c r="F37784" s="1">
        <v>1.9897026916598501E-7</v>
      </c>
    </row>
    <row r="37785" spans="1:6" x14ac:dyDescent="0.25">
      <c r="A37785" s="2" t="str">
        <f t="shared" si="1252"/>
        <v>99999</v>
      </c>
      <c r="B37785" s="2" t="str">
        <f>"18445"</f>
        <v>18445</v>
      </c>
      <c r="C37785" s="1">
        <v>9.7678653165257594E-5</v>
      </c>
      <c r="D37785" s="1">
        <v>6.9809722976807906E-5</v>
      </c>
      <c r="E37785" s="1">
        <v>9.1256339056409395E-5</v>
      </c>
      <c r="F37785" s="1">
        <v>9.5704699468838905E-5</v>
      </c>
    </row>
    <row r="37786" spans="1:6" x14ac:dyDescent="0.25">
      <c r="A37786" s="2" t="str">
        <f t="shared" si="1252"/>
        <v>99999</v>
      </c>
      <c r="B37786" s="2" t="str">
        <f>"18438"</f>
        <v>18438</v>
      </c>
      <c r="C37786" s="1">
        <v>1.0848333100141401E-4</v>
      </c>
      <c r="D37786" s="1">
        <v>6.2221709609763595E-5</v>
      </c>
      <c r="E37786" s="1">
        <v>5.21464794608054E-5</v>
      </c>
      <c r="F37786" s="1">
        <v>1.04160935908393E-4</v>
      </c>
    </row>
    <row r="37787" spans="1:6" x14ac:dyDescent="0.25">
      <c r="A37787" s="2" t="str">
        <f t="shared" si="1252"/>
        <v>99999</v>
      </c>
      <c r="B37787" s="2" t="str">
        <f>"18626"</f>
        <v>18626</v>
      </c>
      <c r="C37787" s="1">
        <v>2.8375921589907201E-6</v>
      </c>
      <c r="D37787" s="1">
        <v>1.51760267340886E-6</v>
      </c>
      <c r="E37787" s="1">
        <v>0</v>
      </c>
      <c r="F37787" s="1">
        <v>2.6860986337408002E-6</v>
      </c>
    </row>
    <row r="37788" spans="1:6" x14ac:dyDescent="0.25">
      <c r="A37788" s="2" t="str">
        <f t="shared" si="1252"/>
        <v>99999</v>
      </c>
      <c r="B37788" s="2" t="str">
        <f>"18461"</f>
        <v>18461</v>
      </c>
      <c r="C37788" s="1">
        <v>2.3464704391654001E-5</v>
      </c>
      <c r="D37788" s="1">
        <v>1.3658424060679801E-5</v>
      </c>
      <c r="E37788" s="1">
        <v>8.69107991013423E-6</v>
      </c>
      <c r="F37788" s="1">
        <v>2.2483640415756299E-5</v>
      </c>
    </row>
    <row r="37789" spans="1:6" x14ac:dyDescent="0.25">
      <c r="A37789" s="2" t="str">
        <f t="shared" si="1252"/>
        <v>99999</v>
      </c>
      <c r="B37789" s="2" t="str">
        <f>"17853"</f>
        <v>17853</v>
      </c>
      <c r="C37789" s="1">
        <v>1.9099177993206801E-5</v>
      </c>
      <c r="D37789" s="1">
        <v>3.0352053468177301E-6</v>
      </c>
      <c r="E37789" s="1">
        <v>0</v>
      </c>
      <c r="F37789" s="1">
        <v>1.7608868821189599E-5</v>
      </c>
    </row>
    <row r="37790" spans="1:6" x14ac:dyDescent="0.25">
      <c r="A37790" s="2" t="str">
        <f t="shared" si="1252"/>
        <v>99999</v>
      </c>
      <c r="B37790" s="2" t="str">
        <f>"17768"</f>
        <v>17768</v>
      </c>
      <c r="C37790" s="1">
        <v>2.08453885525857E-5</v>
      </c>
      <c r="D37790" s="1">
        <v>6.0704106936354696E-6</v>
      </c>
      <c r="E37790" s="1">
        <v>0</v>
      </c>
      <c r="F37790" s="1">
        <v>1.9399601243683501E-5</v>
      </c>
    </row>
    <row r="37791" spans="1:6" x14ac:dyDescent="0.25">
      <c r="A37791" s="2" t="str">
        <f t="shared" si="1252"/>
        <v>99999</v>
      </c>
      <c r="B37791" s="2" t="str">
        <f>"17215"</f>
        <v>17215</v>
      </c>
      <c r="C37791" s="1">
        <v>6.9848422375156299E-6</v>
      </c>
      <c r="D37791" s="1">
        <v>0</v>
      </c>
      <c r="E37791" s="1">
        <v>4.3455399550671099E-6</v>
      </c>
      <c r="F37791" s="1">
        <v>6.4665337478945197E-6</v>
      </c>
    </row>
    <row r="37792" spans="1:6" x14ac:dyDescent="0.25">
      <c r="A37792" s="2" t="str">
        <f t="shared" si="1252"/>
        <v>99999</v>
      </c>
      <c r="B37792" s="2" t="str">
        <f>"16689"</f>
        <v>16689</v>
      </c>
      <c r="C37792" s="1">
        <v>1.76803819137114E-5</v>
      </c>
      <c r="D37792" s="1">
        <v>1.9728834754315301E-5</v>
      </c>
      <c r="E37792" s="1">
        <v>0</v>
      </c>
      <c r="F37792" s="1">
        <v>1.74098985520237E-5</v>
      </c>
    </row>
    <row r="37793" spans="1:6" x14ac:dyDescent="0.25">
      <c r="A37793" s="2" t="str">
        <f t="shared" si="1252"/>
        <v>99999</v>
      </c>
      <c r="B37793" s="2" t="str">
        <f>"16662"</f>
        <v>16662</v>
      </c>
      <c r="C37793" s="1">
        <v>1.5061066074643001E-5</v>
      </c>
      <c r="D37793" s="1">
        <v>3.0352053468177301E-6</v>
      </c>
      <c r="E37793" s="1">
        <v>0</v>
      </c>
      <c r="F37793" s="1">
        <v>1.3927918841618899E-5</v>
      </c>
    </row>
    <row r="37794" spans="1:6" x14ac:dyDescent="0.25">
      <c r="A37794" s="2" t="str">
        <f t="shared" si="1252"/>
        <v>99999</v>
      </c>
      <c r="B37794" s="2" t="str">
        <f>"16673"</f>
        <v>16673</v>
      </c>
      <c r="C37794" s="1">
        <v>3.8416632306335898E-5</v>
      </c>
      <c r="D37794" s="1">
        <v>9.1056160404532095E-6</v>
      </c>
      <c r="E37794" s="1">
        <v>0</v>
      </c>
      <c r="F37794" s="1">
        <v>3.56156781807113E-5</v>
      </c>
    </row>
    <row r="37795" spans="1:6" x14ac:dyDescent="0.25">
      <c r="A37795" s="2" t="str">
        <f t="shared" si="1252"/>
        <v>99999</v>
      </c>
      <c r="B37795" s="2" t="str">
        <f>"16657"</f>
        <v>16657</v>
      </c>
      <c r="C37795" s="1">
        <v>2.5101776791071799E-6</v>
      </c>
      <c r="D37795" s="1">
        <v>1.51760267340886E-6</v>
      </c>
      <c r="E37795" s="1">
        <v>0</v>
      </c>
      <c r="F37795" s="1">
        <v>2.3876432299918199E-6</v>
      </c>
    </row>
    <row r="37796" spans="1:6" x14ac:dyDescent="0.25">
      <c r="A37796" s="2" t="str">
        <f t="shared" si="1252"/>
        <v>99999</v>
      </c>
      <c r="B37796" s="2" t="str">
        <f>"16921"</f>
        <v>16921</v>
      </c>
      <c r="C37796" s="1">
        <v>3.6124730947151102E-5</v>
      </c>
      <c r="D37796" s="1">
        <v>1.8211232080906399E-5</v>
      </c>
      <c r="E37796" s="1">
        <v>0</v>
      </c>
      <c r="F37796" s="1">
        <v>3.4123401161966403E-5</v>
      </c>
    </row>
    <row r="37797" spans="1:6" x14ac:dyDescent="0.25">
      <c r="A37797" s="2" t="str">
        <f t="shared" si="1252"/>
        <v>99999</v>
      </c>
      <c r="B37797" s="2" t="str">
        <f>"16935"</f>
        <v>16935</v>
      </c>
      <c r="C37797" s="1">
        <v>6.63560012563984E-5</v>
      </c>
      <c r="D37797" s="1">
        <v>3.3387258814995101E-5</v>
      </c>
      <c r="E37797" s="1">
        <v>0</v>
      </c>
      <c r="F37797" s="1">
        <v>6.2675634787285296E-5</v>
      </c>
    </row>
    <row r="37798" spans="1:6" x14ac:dyDescent="0.25">
      <c r="A37798" s="2" t="str">
        <f t="shared" si="1252"/>
        <v>99999</v>
      </c>
      <c r="B37798" s="2" t="str">
        <f>"16922"</f>
        <v>16922</v>
      </c>
      <c r="C37798" s="1">
        <v>1.4144305530969101E-4</v>
      </c>
      <c r="D37798" s="1">
        <v>1.76041910115428E-4</v>
      </c>
      <c r="E37798" s="1">
        <v>2.0858591784322101E-4</v>
      </c>
      <c r="F37798" s="1">
        <v>1.4524829649116899E-4</v>
      </c>
    </row>
    <row r="37799" spans="1:6" x14ac:dyDescent="0.25">
      <c r="A37799" s="2" t="str">
        <f t="shared" si="1252"/>
        <v>99999</v>
      </c>
      <c r="B37799" s="2" t="str">
        <f>"16940"</f>
        <v>16940</v>
      </c>
      <c r="C37799" s="1">
        <v>0</v>
      </c>
      <c r="D37799" s="1">
        <v>1.51760267340886E-6</v>
      </c>
      <c r="E37799" s="1">
        <v>0</v>
      </c>
      <c r="F37799" s="1">
        <v>9.9485134582992598E-8</v>
      </c>
    </row>
    <row r="37800" spans="1:6" x14ac:dyDescent="0.25">
      <c r="A37800" s="2" t="str">
        <f t="shared" si="1252"/>
        <v>99999</v>
      </c>
      <c r="B37800" s="2" t="str">
        <f>"16319"</f>
        <v>16319</v>
      </c>
      <c r="C37800" s="1">
        <v>1.73529674338278E-5</v>
      </c>
      <c r="D37800" s="1">
        <v>1.0623218713862E-5</v>
      </c>
      <c r="E37800" s="1">
        <v>4.3455399550671099E-6</v>
      </c>
      <c r="F37800" s="1">
        <v>1.6614017475359701E-5</v>
      </c>
    </row>
    <row r="37801" spans="1:6" x14ac:dyDescent="0.25">
      <c r="A37801" s="2" t="str">
        <f t="shared" si="1252"/>
        <v>99999</v>
      </c>
      <c r="B37801" s="2" t="str">
        <f>"16230"</f>
        <v>16230</v>
      </c>
      <c r="C37801" s="1">
        <v>0</v>
      </c>
      <c r="D37801" s="1">
        <v>0</v>
      </c>
      <c r="E37801" s="1">
        <v>4.3455399550671099E-6</v>
      </c>
      <c r="F37801" s="1">
        <v>9.9485134582992598E-8</v>
      </c>
    </row>
    <row r="37802" spans="1:6" x14ac:dyDescent="0.25">
      <c r="A37802" s="2" t="str">
        <f t="shared" si="1252"/>
        <v>99999</v>
      </c>
      <c r="B37802" s="2" t="str">
        <f>"16221"</f>
        <v>16221</v>
      </c>
      <c r="C37802" s="1">
        <v>0</v>
      </c>
      <c r="D37802" s="1">
        <v>0</v>
      </c>
      <c r="E37802" s="1">
        <v>4.3455399550671099E-6</v>
      </c>
      <c r="F37802" s="1">
        <v>9.9485134582992598E-8</v>
      </c>
    </row>
    <row r="37803" spans="1:6" x14ac:dyDescent="0.25">
      <c r="A37803" s="2" t="str">
        <f t="shared" si="1252"/>
        <v>99999</v>
      </c>
      <c r="B37803" s="2" t="str">
        <f>"16220"</f>
        <v>16220</v>
      </c>
      <c r="C37803" s="1">
        <v>0</v>
      </c>
      <c r="D37803" s="1">
        <v>0</v>
      </c>
      <c r="E37803" s="1">
        <v>4.3455399550671099E-6</v>
      </c>
      <c r="F37803" s="1">
        <v>9.9485134582992598E-8</v>
      </c>
    </row>
    <row r="37804" spans="1:6" x14ac:dyDescent="0.25">
      <c r="A37804" s="2" t="str">
        <f t="shared" si="1252"/>
        <v>99999</v>
      </c>
      <c r="B37804" s="2" t="str">
        <f>"16240"</f>
        <v>16240</v>
      </c>
      <c r="C37804" s="1">
        <v>5.2932007581173103E-5</v>
      </c>
      <c r="D37804" s="1">
        <v>2.1246437427724101E-5</v>
      </c>
      <c r="E37804" s="1">
        <v>4.3455399550671099E-6</v>
      </c>
      <c r="F37804" s="1">
        <v>4.9742567291496302E-5</v>
      </c>
    </row>
    <row r="37805" spans="1:6" x14ac:dyDescent="0.25">
      <c r="A37805" s="2" t="str">
        <f t="shared" si="1252"/>
        <v>99999</v>
      </c>
      <c r="B37805" s="2" t="str">
        <f>"16331"</f>
        <v>16331</v>
      </c>
      <c r="C37805" s="1">
        <v>2.5101776791071799E-6</v>
      </c>
      <c r="D37805" s="1">
        <v>1.51760267340886E-6</v>
      </c>
      <c r="E37805" s="1">
        <v>1.3036619865201299E-5</v>
      </c>
      <c r="F37805" s="1">
        <v>2.6860986337408002E-6</v>
      </c>
    </row>
    <row r="37806" spans="1:6" x14ac:dyDescent="0.25">
      <c r="A37806" s="2" t="str">
        <f t="shared" si="1252"/>
        <v>99999</v>
      </c>
      <c r="B37806" s="2" t="str">
        <f>"16341"</f>
        <v>16341</v>
      </c>
      <c r="C37806" s="1">
        <v>1.57158950344101E-5</v>
      </c>
      <c r="D37806" s="1">
        <v>4.5528080202265997E-6</v>
      </c>
      <c r="E37806" s="1">
        <v>4.3455399550671099E-6</v>
      </c>
      <c r="F37806" s="1">
        <v>1.4723799918282901E-5</v>
      </c>
    </row>
    <row r="37807" spans="1:6" x14ac:dyDescent="0.25">
      <c r="A37807" s="2" t="str">
        <f t="shared" si="1252"/>
        <v>99999</v>
      </c>
      <c r="B37807" s="2" t="str">
        <f>"16347"</f>
        <v>16347</v>
      </c>
      <c r="C37807" s="1">
        <v>8.8401909568557204E-6</v>
      </c>
      <c r="D37807" s="1">
        <v>7.5880133670443404E-6</v>
      </c>
      <c r="E37807" s="1">
        <v>0</v>
      </c>
      <c r="F37807" s="1">
        <v>8.5557215741373606E-6</v>
      </c>
    </row>
    <row r="37808" spans="1:6" x14ac:dyDescent="0.25">
      <c r="A37808" s="2" t="str">
        <f t="shared" si="1252"/>
        <v>99999</v>
      </c>
      <c r="B37808" s="2" t="str">
        <f>"15851"</f>
        <v>15851</v>
      </c>
      <c r="C37808" s="1">
        <v>3.4269382227811E-4</v>
      </c>
      <c r="D37808" s="1">
        <v>3.2476697210949797E-4</v>
      </c>
      <c r="E37808" s="1">
        <v>5.5622911424858996E-4</v>
      </c>
      <c r="F37808" s="1">
        <v>3.4640723861798E-4</v>
      </c>
    </row>
    <row r="37809" spans="1:6" x14ac:dyDescent="0.25">
      <c r="A37809" s="2" t="str">
        <f t="shared" si="1252"/>
        <v>99999</v>
      </c>
      <c r="B37809" s="2" t="str">
        <f>"15767"</f>
        <v>15767</v>
      </c>
      <c r="C37809" s="1">
        <v>7.2555048742193597E-4</v>
      </c>
      <c r="D37809" s="1">
        <v>1.0562514606925701E-3</v>
      </c>
      <c r="E37809" s="1">
        <v>7.8654273186714804E-4</v>
      </c>
      <c r="F37809" s="1">
        <v>7.4862563773701895E-4</v>
      </c>
    </row>
    <row r="37810" spans="1:6" x14ac:dyDescent="0.25">
      <c r="A37810" s="2" t="str">
        <f t="shared" si="1252"/>
        <v>99999</v>
      </c>
      <c r="B37810" s="2" t="str">
        <f>"15864"</f>
        <v>15864</v>
      </c>
      <c r="C37810" s="1">
        <v>9.1457778047470203E-5</v>
      </c>
      <c r="D37810" s="1">
        <v>3.3387258814995101E-5</v>
      </c>
      <c r="E37810" s="1">
        <v>8.69107991013423E-6</v>
      </c>
      <c r="F37810" s="1">
        <v>8.5756186010539596E-5</v>
      </c>
    </row>
    <row r="37811" spans="1:6" x14ac:dyDescent="0.25">
      <c r="A37811" s="2" t="str">
        <f t="shared" si="1252"/>
        <v>99999</v>
      </c>
      <c r="B37811" s="2" t="str">
        <f>"15536"</f>
        <v>15536</v>
      </c>
      <c r="C37811" s="1">
        <v>2.64114347106059E-5</v>
      </c>
      <c r="D37811" s="1">
        <v>1.21408213872709E-5</v>
      </c>
      <c r="E37811" s="1">
        <v>8.69107991013423E-6</v>
      </c>
      <c r="F37811" s="1">
        <v>2.5070253914914101E-5</v>
      </c>
    </row>
    <row r="37812" spans="1:6" x14ac:dyDescent="0.25">
      <c r="A37812" s="2" t="str">
        <f t="shared" si="1252"/>
        <v>99999</v>
      </c>
      <c r="B37812" s="2" t="str">
        <f>"15359"</f>
        <v>15359</v>
      </c>
      <c r="C37812" s="1">
        <v>1.52793423945654E-6</v>
      </c>
      <c r="D37812" s="1">
        <v>3.0352053468177301E-6</v>
      </c>
      <c r="E37812" s="1">
        <v>4.3455399550671099E-6</v>
      </c>
      <c r="F37812" s="1">
        <v>1.6912472879108699E-6</v>
      </c>
    </row>
    <row r="37813" spans="1:6" x14ac:dyDescent="0.25">
      <c r="A37813" s="2" t="str">
        <f t="shared" si="1252"/>
        <v>99999</v>
      </c>
      <c r="B37813" s="2" t="str">
        <f>"15329"</f>
        <v>15329</v>
      </c>
      <c r="C37813" s="1">
        <v>1.4624513434798299E-5</v>
      </c>
      <c r="D37813" s="1">
        <v>7.5880133670443404E-6</v>
      </c>
      <c r="E37813" s="1">
        <v>0</v>
      </c>
      <c r="F37813" s="1">
        <v>1.3828433707035901E-5</v>
      </c>
    </row>
    <row r="37814" spans="1:6" x14ac:dyDescent="0.25">
      <c r="A37814" s="2" t="str">
        <f t="shared" si="1252"/>
        <v>99999</v>
      </c>
      <c r="B37814" s="2" t="str">
        <f>"15370"</f>
        <v>15370</v>
      </c>
      <c r="C37814" s="1">
        <v>6.6159552568468302E-4</v>
      </c>
      <c r="D37814" s="1">
        <v>1.08508591148734E-3</v>
      </c>
      <c r="E37814" s="1">
        <v>8.1261597159754996E-4</v>
      </c>
      <c r="F37814" s="1">
        <v>6.9281447723595999E-4</v>
      </c>
    </row>
    <row r="37815" spans="1:6" x14ac:dyDescent="0.25">
      <c r="A37815" s="2" t="str">
        <f t="shared" si="1252"/>
        <v>99999</v>
      </c>
      <c r="B37815" s="2" t="str">
        <f>"14886"</f>
        <v>14886</v>
      </c>
      <c r="C37815" s="1">
        <v>7.0830665814806905E-5</v>
      </c>
      <c r="D37815" s="1">
        <v>1.21408213872709E-5</v>
      </c>
      <c r="E37815" s="1">
        <v>3.47643196405369E-5</v>
      </c>
      <c r="F37815" s="1">
        <v>6.6157614497690102E-5</v>
      </c>
    </row>
    <row r="37816" spans="1:6" x14ac:dyDescent="0.25">
      <c r="A37816" s="2" t="str">
        <f t="shared" si="1252"/>
        <v>99999</v>
      </c>
      <c r="B37816" s="2" t="str">
        <f>"14707"</f>
        <v>14707</v>
      </c>
      <c r="C37816" s="1">
        <v>1.09138159961181E-7</v>
      </c>
      <c r="D37816" s="1">
        <v>0</v>
      </c>
      <c r="E37816" s="1">
        <v>2.4769577743882499E-4</v>
      </c>
      <c r="F37816" s="1">
        <v>5.7701378058135699E-6</v>
      </c>
    </row>
    <row r="37817" spans="1:6" x14ac:dyDescent="0.25">
      <c r="A37817" s="2" t="str">
        <f t="shared" si="1252"/>
        <v>99999</v>
      </c>
      <c r="B37817" s="2" t="str">
        <f>"14786"</f>
        <v>14786</v>
      </c>
      <c r="C37817" s="1">
        <v>0</v>
      </c>
      <c r="D37817" s="1">
        <v>0</v>
      </c>
      <c r="E37817" s="1">
        <v>4.3455399550671099E-6</v>
      </c>
      <c r="F37817" s="1">
        <v>9.9485134582992598E-8</v>
      </c>
    </row>
    <row r="37818" spans="1:6" x14ac:dyDescent="0.25">
      <c r="A37818" s="2" t="str">
        <f t="shared" si="1252"/>
        <v>99999</v>
      </c>
      <c r="B37818" s="2" t="str">
        <f>"14815"</f>
        <v>14815</v>
      </c>
      <c r="C37818" s="1">
        <v>4.70385469432693E-5</v>
      </c>
      <c r="D37818" s="1">
        <v>4.5528080202265997E-6</v>
      </c>
      <c r="E37818" s="1">
        <v>8.69107991013423E-6</v>
      </c>
      <c r="F37818" s="1">
        <v>4.3375518678184703E-5</v>
      </c>
    </row>
    <row r="37819" spans="1:6" x14ac:dyDescent="0.25">
      <c r="A37819" s="2" t="str">
        <f t="shared" si="1252"/>
        <v>99999</v>
      </c>
      <c r="B37819" s="2" t="str">
        <f>"14029"</f>
        <v>14029</v>
      </c>
      <c r="C37819" s="1">
        <v>0</v>
      </c>
      <c r="D37819" s="1">
        <v>0</v>
      </c>
      <c r="E37819" s="1">
        <v>4.3455399550671099E-6</v>
      </c>
      <c r="F37819" s="1">
        <v>9.9485134582992598E-8</v>
      </c>
    </row>
    <row r="37820" spans="1:6" x14ac:dyDescent="0.25">
      <c r="A37820" s="2" t="str">
        <f t="shared" si="1252"/>
        <v>99999</v>
      </c>
      <c r="B37820" s="2" t="str">
        <f>"14004"</f>
        <v>14004</v>
      </c>
      <c r="C37820" s="1">
        <v>2.8157645269984799E-5</v>
      </c>
      <c r="D37820" s="1">
        <v>0</v>
      </c>
      <c r="E37820" s="1">
        <v>0</v>
      </c>
      <c r="F37820" s="1">
        <v>2.5667164722412099E-5</v>
      </c>
    </row>
    <row r="37821" spans="1:6" x14ac:dyDescent="0.25">
      <c r="A37821" s="2" t="str">
        <f t="shared" si="1252"/>
        <v>99999</v>
      </c>
      <c r="B37821" s="2" t="str">
        <f>"14011"</f>
        <v>14011</v>
      </c>
      <c r="C37821" s="1">
        <v>2.5363708374978599E-4</v>
      </c>
      <c r="D37821" s="1">
        <v>1.8059471813565501E-4</v>
      </c>
      <c r="E37821" s="1">
        <v>4.8670047496751699E-4</v>
      </c>
      <c r="F37821" s="1">
        <v>2.54184518859546E-4</v>
      </c>
    </row>
    <row r="37822" spans="1:6" x14ac:dyDescent="0.25">
      <c r="A37822" s="2" t="str">
        <f t="shared" si="1252"/>
        <v>99999</v>
      </c>
      <c r="B37822" s="2" t="str">
        <f>"13751"</f>
        <v>13751</v>
      </c>
      <c r="C37822" s="1">
        <v>7.2031185574379897E-6</v>
      </c>
      <c r="D37822" s="1">
        <v>1.51760267340886E-6</v>
      </c>
      <c r="E37822" s="1">
        <v>4.3455399550671099E-6</v>
      </c>
      <c r="F37822" s="1">
        <v>6.7649891516434898E-6</v>
      </c>
    </row>
    <row r="37823" spans="1:6" x14ac:dyDescent="0.25">
      <c r="A37823" s="2" t="str">
        <f t="shared" si="1252"/>
        <v>99999</v>
      </c>
      <c r="B37823" s="2" t="str">
        <f>"13774"</f>
        <v>13774</v>
      </c>
      <c r="C37823" s="1">
        <v>1.2114335755691101E-5</v>
      </c>
      <c r="D37823" s="1">
        <v>0</v>
      </c>
      <c r="E37823" s="1">
        <v>8.69107991013423E-6</v>
      </c>
      <c r="F37823" s="1">
        <v>1.12418202078781E-5</v>
      </c>
    </row>
    <row r="37824" spans="1:6" x14ac:dyDescent="0.25">
      <c r="A37824" s="2" t="str">
        <f t="shared" si="1252"/>
        <v>99999</v>
      </c>
      <c r="B37824" s="2" t="str">
        <f>"13756"</f>
        <v>13756</v>
      </c>
      <c r="C37824" s="1">
        <v>3.7325250706724098E-5</v>
      </c>
      <c r="D37824" s="1">
        <v>1.21408213872709E-5</v>
      </c>
      <c r="E37824" s="1">
        <v>8.69107991013423E-6</v>
      </c>
      <c r="F37824" s="1">
        <v>3.5018767373213403E-5</v>
      </c>
    </row>
    <row r="37825" spans="1:6" x14ac:dyDescent="0.25">
      <c r="A37825" s="2" t="str">
        <f t="shared" si="1252"/>
        <v>99999</v>
      </c>
      <c r="B37825" s="2" t="str">
        <f>"13752"</f>
        <v>13752</v>
      </c>
      <c r="C37825" s="1">
        <v>5.6533566859892097E-5</v>
      </c>
      <c r="D37825" s="1">
        <v>1.0623218713862E-5</v>
      </c>
      <c r="E37825" s="1">
        <v>1.3036619865201299E-5</v>
      </c>
      <c r="F37825" s="1">
        <v>5.2528151059820098E-5</v>
      </c>
    </row>
    <row r="37826" spans="1:6" x14ac:dyDescent="0.25">
      <c r="A37826" s="2" t="str">
        <f t="shared" si="1252"/>
        <v>99999</v>
      </c>
      <c r="B37826" s="2" t="str">
        <f>"13844"</f>
        <v>13844</v>
      </c>
      <c r="C37826" s="1">
        <v>2.9030750549674299E-5</v>
      </c>
      <c r="D37826" s="1">
        <v>6.0704106936354696E-6</v>
      </c>
      <c r="E37826" s="1">
        <v>4.3455399550671099E-6</v>
      </c>
      <c r="F37826" s="1">
        <v>2.6960471471991001E-5</v>
      </c>
    </row>
    <row r="37827" spans="1:6" x14ac:dyDescent="0.25">
      <c r="A37827" s="2" t="str">
        <f t="shared" si="1252"/>
        <v>99999</v>
      </c>
      <c r="B37827" s="2" t="str">
        <f>"13809"</f>
        <v>13809</v>
      </c>
      <c r="C37827" s="1">
        <v>4.8566481182725801E-5</v>
      </c>
      <c r="D37827" s="1">
        <v>1.0623218713862E-5</v>
      </c>
      <c r="E37827" s="1">
        <v>2.1727699775335501E-5</v>
      </c>
      <c r="F37827" s="1">
        <v>4.5464706504427597E-5</v>
      </c>
    </row>
    <row r="37828" spans="1:6" x14ac:dyDescent="0.25">
      <c r="A37828" s="2" t="str">
        <f t="shared" si="1252"/>
        <v>99999</v>
      </c>
      <c r="B37828" s="2" t="str">
        <f>"13731"</f>
        <v>13731</v>
      </c>
      <c r="C37828" s="1">
        <v>7.7269817252516605E-5</v>
      </c>
      <c r="D37828" s="1">
        <v>1.66936294074975E-5</v>
      </c>
      <c r="E37828" s="1">
        <v>1.3036619865201299E-5</v>
      </c>
      <c r="F37828" s="1">
        <v>7.1828267168920604E-5</v>
      </c>
    </row>
    <row r="37829" spans="1:6" x14ac:dyDescent="0.25">
      <c r="A37829" s="2" t="str">
        <f t="shared" si="1252"/>
        <v>99999</v>
      </c>
      <c r="B37829" s="2" t="str">
        <f>"13368"</f>
        <v>13368</v>
      </c>
      <c r="C37829" s="1">
        <v>4.6820270623346902E-5</v>
      </c>
      <c r="D37829" s="1">
        <v>3.0352053468177301E-5</v>
      </c>
      <c r="E37829" s="1">
        <v>1.3036619865201299E-5</v>
      </c>
      <c r="F37829" s="1">
        <v>4.4967280831512597E-5</v>
      </c>
    </row>
    <row r="37830" spans="1:6" x14ac:dyDescent="0.25">
      <c r="A37830" s="2" t="str">
        <f t="shared" si="1252"/>
        <v>99999</v>
      </c>
      <c r="B37830" s="2" t="str">
        <f>"13332"</f>
        <v>13332</v>
      </c>
      <c r="C37830" s="1">
        <v>2.4556085991265801E-5</v>
      </c>
      <c r="D37830" s="1">
        <v>1.0623218713862E-5</v>
      </c>
      <c r="E37830" s="1">
        <v>4.3455399550671099E-6</v>
      </c>
      <c r="F37830" s="1">
        <v>2.31800363578372E-5</v>
      </c>
    </row>
    <row r="37831" spans="1:6" x14ac:dyDescent="0.25">
      <c r="A37831" s="2" t="str">
        <f t="shared" si="1252"/>
        <v>99999</v>
      </c>
      <c r="B37831" s="2" t="str">
        <f>"13155"</f>
        <v>13155</v>
      </c>
      <c r="C37831" s="1">
        <v>2.4010395191459901E-5</v>
      </c>
      <c r="D37831" s="1">
        <v>7.5880133670443404E-6</v>
      </c>
      <c r="E37831" s="1">
        <v>3.47643196405369E-5</v>
      </c>
      <c r="F37831" s="1">
        <v>2.31800363578372E-5</v>
      </c>
    </row>
    <row r="37832" spans="1:6" x14ac:dyDescent="0.25">
      <c r="A37832" s="2" t="str">
        <f t="shared" si="1252"/>
        <v>99999</v>
      </c>
      <c r="B37832" s="2" t="str">
        <f>"12975"</f>
        <v>12975</v>
      </c>
      <c r="C37832" s="1">
        <v>1.09138159961181E-7</v>
      </c>
      <c r="D37832" s="1">
        <v>0</v>
      </c>
      <c r="E37832" s="1">
        <v>4.3455399550671099E-6</v>
      </c>
      <c r="F37832" s="1">
        <v>1.9897026916598501E-7</v>
      </c>
    </row>
    <row r="37833" spans="1:6" x14ac:dyDescent="0.25">
      <c r="A37833" s="2" t="str">
        <f t="shared" si="1252"/>
        <v>99999</v>
      </c>
      <c r="B37833" s="2" t="str">
        <f>"12911"</f>
        <v>12911</v>
      </c>
      <c r="C37833" s="1">
        <v>1.09138159961181E-7</v>
      </c>
      <c r="D37833" s="1">
        <v>3.0352053468177301E-6</v>
      </c>
      <c r="E37833" s="1">
        <v>0</v>
      </c>
      <c r="F37833" s="1">
        <v>2.9845540374897701E-7</v>
      </c>
    </row>
    <row r="37834" spans="1:6" x14ac:dyDescent="0.25">
      <c r="A37834" s="2" t="str">
        <f t="shared" si="1252"/>
        <v>99999</v>
      </c>
      <c r="B37834" s="2" t="str">
        <f>"12932"</f>
        <v>12932</v>
      </c>
      <c r="C37834" s="1">
        <v>3.8962323106141801E-5</v>
      </c>
      <c r="D37834" s="1">
        <v>1.3658424060679801E-5</v>
      </c>
      <c r="E37834" s="1">
        <v>2.1727699775335501E-5</v>
      </c>
      <c r="F37834" s="1">
        <v>3.6908984930290199E-5</v>
      </c>
    </row>
    <row r="37835" spans="1:6" x14ac:dyDescent="0.25">
      <c r="A37835" s="2" t="str">
        <f t="shared" si="1252"/>
        <v>99999</v>
      </c>
      <c r="B37835" s="2" t="str">
        <f>"12566"</f>
        <v>12566</v>
      </c>
      <c r="C37835" s="1">
        <v>3.2959724308276802E-5</v>
      </c>
      <c r="D37835" s="1">
        <v>3.0352053468177301E-6</v>
      </c>
      <c r="E37835" s="1">
        <v>1.3036619865201299E-5</v>
      </c>
      <c r="F37835" s="1">
        <v>3.0541936316978701E-5</v>
      </c>
    </row>
    <row r="37836" spans="1:6" x14ac:dyDescent="0.25">
      <c r="A37836" s="2" t="str">
        <f t="shared" si="1252"/>
        <v>99999</v>
      </c>
      <c r="B37836" s="2" t="str">
        <f>"12879"</f>
        <v>12879</v>
      </c>
      <c r="C37836" s="1">
        <v>0</v>
      </c>
      <c r="D37836" s="1">
        <v>0</v>
      </c>
      <c r="E37836" s="1">
        <v>4.3455399550671099E-6</v>
      </c>
      <c r="F37836" s="1">
        <v>9.9485134582992598E-8</v>
      </c>
    </row>
    <row r="37837" spans="1:6" x14ac:dyDescent="0.25">
      <c r="A37837" s="2" t="str">
        <f t="shared" si="1252"/>
        <v>99999</v>
      </c>
      <c r="B37837" s="2" t="str">
        <f>"12872"</f>
        <v>12872</v>
      </c>
      <c r="C37837" s="1">
        <v>1.85534871934008E-6</v>
      </c>
      <c r="D37837" s="1">
        <v>0</v>
      </c>
      <c r="E37837" s="1">
        <v>4.3455399550671099E-6</v>
      </c>
      <c r="F37837" s="1">
        <v>1.79073242249386E-6</v>
      </c>
    </row>
    <row r="37838" spans="1:6" x14ac:dyDescent="0.25">
      <c r="A37838" s="2" t="str">
        <f t="shared" si="1252"/>
        <v>99999</v>
      </c>
      <c r="B37838" s="2" t="str">
        <f>"12842"</f>
        <v>12842</v>
      </c>
      <c r="C37838" s="1">
        <v>7.9234304131817895E-5</v>
      </c>
      <c r="D37838" s="1">
        <v>3.0352053468177301E-5</v>
      </c>
      <c r="E37838" s="1">
        <v>4.7800939505738197E-5</v>
      </c>
      <c r="F37838" s="1">
        <v>7.5310246879325396E-5</v>
      </c>
    </row>
    <row r="37839" spans="1:6" x14ac:dyDescent="0.25">
      <c r="A37839" s="2" t="str">
        <f t="shared" si="1252"/>
        <v>99999</v>
      </c>
      <c r="B37839" s="2" t="str">
        <f>"12787"</f>
        <v>12787</v>
      </c>
      <c r="C37839" s="1">
        <v>5.0203553582143598E-6</v>
      </c>
      <c r="D37839" s="1">
        <v>7.5880133670443404E-6</v>
      </c>
      <c r="E37839" s="1">
        <v>1.3036619865201299E-5</v>
      </c>
      <c r="F37839" s="1">
        <v>5.3721972674816004E-6</v>
      </c>
    </row>
    <row r="37840" spans="1:6" x14ac:dyDescent="0.25">
      <c r="A37840" s="2" t="str">
        <f t="shared" si="1252"/>
        <v>99999</v>
      </c>
      <c r="B37840" s="2" t="str">
        <f>"12781"</f>
        <v>12781</v>
      </c>
      <c r="C37840" s="1">
        <v>0</v>
      </c>
      <c r="D37840" s="1">
        <v>0</v>
      </c>
      <c r="E37840" s="1">
        <v>4.3455399550671099E-6</v>
      </c>
      <c r="F37840" s="1">
        <v>9.9485134582992598E-8</v>
      </c>
    </row>
    <row r="37841" spans="1:6" x14ac:dyDescent="0.25">
      <c r="A37841" s="2" t="str">
        <f t="shared" si="1252"/>
        <v>99999</v>
      </c>
      <c r="B37841" s="2" t="str">
        <f>"12784"</f>
        <v>12784</v>
      </c>
      <c r="C37841" s="1">
        <v>0</v>
      </c>
      <c r="D37841" s="1">
        <v>0</v>
      </c>
      <c r="E37841" s="1">
        <v>4.3455399550671099E-6</v>
      </c>
      <c r="F37841" s="1">
        <v>9.9485134582992598E-8</v>
      </c>
    </row>
    <row r="37842" spans="1:6" x14ac:dyDescent="0.25">
      <c r="A37842" s="2" t="str">
        <f t="shared" ref="A37842:A37905" si="1253">"99999"</f>
        <v>99999</v>
      </c>
      <c r="B37842" s="2" t="str">
        <f>"12438"</f>
        <v>12438</v>
      </c>
      <c r="C37842" s="1">
        <v>9.8224343965063504E-7</v>
      </c>
      <c r="D37842" s="1">
        <v>0</v>
      </c>
      <c r="E37842" s="1">
        <v>4.3455399550671099E-6</v>
      </c>
      <c r="F37842" s="1">
        <v>9.9485134582992606E-7</v>
      </c>
    </row>
    <row r="37843" spans="1:6" x14ac:dyDescent="0.25">
      <c r="A37843" s="2" t="str">
        <f t="shared" si="1253"/>
        <v>99999</v>
      </c>
      <c r="B37843" s="2" t="str">
        <f>"12485"</f>
        <v>12485</v>
      </c>
      <c r="C37843" s="1">
        <v>1.23326120756135E-5</v>
      </c>
      <c r="D37843" s="1">
        <v>6.0704106936354703E-5</v>
      </c>
      <c r="E37843" s="1">
        <v>1.7382159820268399E-5</v>
      </c>
      <c r="F37843" s="1">
        <v>1.5619166129529801E-5</v>
      </c>
    </row>
    <row r="37844" spans="1:6" x14ac:dyDescent="0.25">
      <c r="A37844" s="2" t="str">
        <f t="shared" si="1253"/>
        <v>99999</v>
      </c>
      <c r="B37844" s="2" t="str">
        <f>"12454"</f>
        <v>12454</v>
      </c>
      <c r="C37844" s="1">
        <v>1.23326120756135E-5</v>
      </c>
      <c r="D37844" s="1">
        <v>0</v>
      </c>
      <c r="E37844" s="1">
        <v>4.3455399550671099E-6</v>
      </c>
      <c r="F37844" s="1">
        <v>1.13413053424611E-5</v>
      </c>
    </row>
    <row r="37845" spans="1:6" x14ac:dyDescent="0.25">
      <c r="A37845" s="2" t="str">
        <f t="shared" si="1253"/>
        <v>99999</v>
      </c>
      <c r="B37845" s="2" t="str">
        <f>"12463"</f>
        <v>12463</v>
      </c>
      <c r="C37845" s="1">
        <v>7.3995672453681198E-5</v>
      </c>
      <c r="D37845" s="1">
        <v>1.3658424060679801E-5</v>
      </c>
      <c r="E37845" s="1">
        <v>9.5601879011476503E-5</v>
      </c>
      <c r="F37845" s="1">
        <v>7.0534960419341698E-5</v>
      </c>
    </row>
    <row r="37846" spans="1:6" x14ac:dyDescent="0.25">
      <c r="A37846" s="2" t="str">
        <f t="shared" si="1253"/>
        <v>99999</v>
      </c>
      <c r="B37846" s="2" t="str">
        <f>"12430"</f>
        <v>12430</v>
      </c>
      <c r="C37846" s="1">
        <v>5.6424428699930902E-5</v>
      </c>
      <c r="D37846" s="1">
        <v>1.8211232080906399E-5</v>
      </c>
      <c r="E37846" s="1">
        <v>1.7382159820268399E-5</v>
      </c>
      <c r="F37846" s="1">
        <v>5.3025576732735003E-5</v>
      </c>
    </row>
    <row r="37847" spans="1:6" x14ac:dyDescent="0.25">
      <c r="A37847" s="2" t="str">
        <f t="shared" si="1253"/>
        <v>99999</v>
      </c>
      <c r="B37847" s="2" t="str">
        <f>"12134"</f>
        <v>12134</v>
      </c>
      <c r="C37847" s="1">
        <v>3.4924211187578099E-5</v>
      </c>
      <c r="D37847" s="1">
        <v>1.3658424060679801E-5</v>
      </c>
      <c r="E37847" s="1">
        <v>0</v>
      </c>
      <c r="F37847" s="1">
        <v>3.2730609277804499E-5</v>
      </c>
    </row>
    <row r="37848" spans="1:6" x14ac:dyDescent="0.25">
      <c r="A37848" s="2" t="str">
        <f t="shared" si="1253"/>
        <v>99999</v>
      </c>
      <c r="B37848" s="2" t="str">
        <f>"12124"</f>
        <v>12124</v>
      </c>
      <c r="C37848" s="1">
        <v>1.44062371148759E-5</v>
      </c>
      <c r="D37848" s="1">
        <v>0</v>
      </c>
      <c r="E37848" s="1">
        <v>4.3455399550671099E-6</v>
      </c>
      <c r="F37848" s="1">
        <v>1.3231522899537999E-5</v>
      </c>
    </row>
    <row r="37849" spans="1:6" x14ac:dyDescent="0.25">
      <c r="A37849" s="2" t="str">
        <f t="shared" si="1253"/>
        <v>99999</v>
      </c>
      <c r="B37849" s="2" t="str">
        <f>"12087"</f>
        <v>12087</v>
      </c>
      <c r="C37849" s="1">
        <v>4.7147685103230502E-5</v>
      </c>
      <c r="D37849" s="1">
        <v>9.1056160404532095E-6</v>
      </c>
      <c r="E37849" s="1">
        <v>3.0418779685469802E-5</v>
      </c>
      <c r="F37849" s="1">
        <v>4.4270884889431703E-5</v>
      </c>
    </row>
    <row r="37850" spans="1:6" x14ac:dyDescent="0.25">
      <c r="A37850" s="2" t="str">
        <f t="shared" si="1253"/>
        <v>99999</v>
      </c>
      <c r="B37850" s="2" t="str">
        <f>"12423"</f>
        <v>12423</v>
      </c>
      <c r="C37850" s="1">
        <v>5.8607191899154502E-5</v>
      </c>
      <c r="D37850" s="1">
        <v>5.3116093569310399E-5</v>
      </c>
      <c r="E37850" s="1">
        <v>6.5183099326006705E-5</v>
      </c>
      <c r="F37850" s="1">
        <v>5.8397774000216597E-5</v>
      </c>
    </row>
    <row r="37851" spans="1:6" x14ac:dyDescent="0.25">
      <c r="A37851" s="2" t="str">
        <f t="shared" si="1253"/>
        <v>99999</v>
      </c>
      <c r="B37851" s="2" t="str">
        <f>"89445"</f>
        <v>89445</v>
      </c>
      <c r="C37851" s="1">
        <v>6.5482895976708998E-5</v>
      </c>
      <c r="D37851" s="1">
        <v>6.0704106936354696E-6</v>
      </c>
      <c r="E37851" s="1">
        <v>2.60732397304027E-5</v>
      </c>
      <c r="F37851" s="1">
        <v>6.0685932095625502E-5</v>
      </c>
    </row>
    <row r="37852" spans="1:6" x14ac:dyDescent="0.25">
      <c r="A37852" s="2" t="str">
        <f t="shared" si="1253"/>
        <v>99999</v>
      </c>
      <c r="B37852" s="2" t="str">
        <f>"89301"</f>
        <v>89301</v>
      </c>
      <c r="C37852" s="1">
        <v>3.6703163194945401E-4</v>
      </c>
      <c r="D37852" s="1">
        <v>7.6638935007147899E-4</v>
      </c>
      <c r="E37852" s="1">
        <v>5.6926573411379201E-4</v>
      </c>
      <c r="F37852" s="1">
        <v>3.9784105319738699E-4</v>
      </c>
    </row>
    <row r="37853" spans="1:6" x14ac:dyDescent="0.25">
      <c r="A37853" s="2" t="str">
        <f t="shared" si="1253"/>
        <v>99999</v>
      </c>
      <c r="B37853" s="2" t="str">
        <f>"88417"</f>
        <v>88417</v>
      </c>
      <c r="C37853" s="1">
        <v>4.2563882384860804E-6</v>
      </c>
      <c r="D37853" s="1">
        <v>0</v>
      </c>
      <c r="E37853" s="1">
        <v>1.7382159820268399E-5</v>
      </c>
      <c r="F37853" s="1">
        <v>4.2778607870686803E-6</v>
      </c>
    </row>
    <row r="37854" spans="1:6" x14ac:dyDescent="0.25">
      <c r="A37854" s="2" t="str">
        <f t="shared" si="1253"/>
        <v>99999</v>
      </c>
      <c r="B37854" s="2" t="str">
        <f>"88422"</f>
        <v>88422</v>
      </c>
      <c r="C37854" s="1">
        <v>4.5838027183696299E-6</v>
      </c>
      <c r="D37854" s="1">
        <v>1.51760267340886E-6</v>
      </c>
      <c r="E37854" s="1">
        <v>0</v>
      </c>
      <c r="F37854" s="1">
        <v>4.2778607870686803E-6</v>
      </c>
    </row>
    <row r="37855" spans="1:6" x14ac:dyDescent="0.25">
      <c r="A37855" s="2" t="str">
        <f t="shared" si="1253"/>
        <v>99999</v>
      </c>
      <c r="B37855" s="2" t="str">
        <f>"89001"</f>
        <v>89001</v>
      </c>
      <c r="C37855" s="1">
        <v>1.1677783115846399E-5</v>
      </c>
      <c r="D37855" s="1">
        <v>1.51760267340886E-6</v>
      </c>
      <c r="E37855" s="1">
        <v>1.09073052872184E-3</v>
      </c>
      <c r="F37855" s="1">
        <v>3.5715163315294298E-5</v>
      </c>
    </row>
    <row r="37856" spans="1:6" x14ac:dyDescent="0.25">
      <c r="A37856" s="2" t="str">
        <f t="shared" si="1253"/>
        <v>99999</v>
      </c>
      <c r="B37856" s="2" t="str">
        <f>"87730"</f>
        <v>87730</v>
      </c>
      <c r="C37856" s="1">
        <v>5.3477698380979E-6</v>
      </c>
      <c r="D37856" s="1">
        <v>1.51760267340886E-6</v>
      </c>
      <c r="E37856" s="1">
        <v>4.3455399550671099E-6</v>
      </c>
      <c r="F37856" s="1">
        <v>5.0737418637326201E-6</v>
      </c>
    </row>
    <row r="37857" spans="1:6" x14ac:dyDescent="0.25">
      <c r="A37857" s="2" t="str">
        <f t="shared" si="1253"/>
        <v>99999</v>
      </c>
      <c r="B37857" s="2" t="str">
        <f>"87943"</f>
        <v>87943</v>
      </c>
      <c r="C37857" s="1">
        <v>9.71329623654517E-6</v>
      </c>
      <c r="D37857" s="1">
        <v>1.51760267340886E-6</v>
      </c>
      <c r="E37857" s="1">
        <v>0</v>
      </c>
      <c r="F37857" s="1">
        <v>8.9536621124693292E-6</v>
      </c>
    </row>
    <row r="37858" spans="1:6" x14ac:dyDescent="0.25">
      <c r="A37858" s="2" t="str">
        <f t="shared" si="1253"/>
        <v>99999</v>
      </c>
      <c r="B37858" s="2" t="str">
        <f>"87749"</f>
        <v>87749</v>
      </c>
      <c r="C37858" s="1">
        <v>0</v>
      </c>
      <c r="D37858" s="1">
        <v>0</v>
      </c>
      <c r="E37858" s="1">
        <v>4.3455399550671099E-6</v>
      </c>
      <c r="F37858" s="1">
        <v>9.9485134582992598E-8</v>
      </c>
    </row>
    <row r="37859" spans="1:6" x14ac:dyDescent="0.25">
      <c r="A37859" s="2" t="str">
        <f t="shared" si="1253"/>
        <v>99999</v>
      </c>
      <c r="B37859" s="2" t="str">
        <f>"87933"</f>
        <v>87933</v>
      </c>
      <c r="C37859" s="1">
        <v>4.3655263984472599E-6</v>
      </c>
      <c r="D37859" s="1">
        <v>1.51760267340886E-6</v>
      </c>
      <c r="E37859" s="1">
        <v>0</v>
      </c>
      <c r="F37859" s="1">
        <v>4.07889051790269E-6</v>
      </c>
    </row>
    <row r="37860" spans="1:6" x14ac:dyDescent="0.25">
      <c r="A37860" s="2" t="str">
        <f t="shared" si="1253"/>
        <v>99999</v>
      </c>
      <c r="B37860" s="2" t="str">
        <f>"88056"</f>
        <v>88056</v>
      </c>
      <c r="C37860" s="1">
        <v>0</v>
      </c>
      <c r="D37860" s="1">
        <v>1.51760267340886E-6</v>
      </c>
      <c r="E37860" s="1">
        <v>4.7800939505738197E-5</v>
      </c>
      <c r="F37860" s="1">
        <v>1.19382161499591E-6</v>
      </c>
    </row>
    <row r="37861" spans="1:6" x14ac:dyDescent="0.25">
      <c r="A37861" s="2" t="str">
        <f t="shared" si="1253"/>
        <v>99999</v>
      </c>
      <c r="B37861" s="2" t="str">
        <f>"86538"</f>
        <v>86538</v>
      </c>
      <c r="C37861" s="1">
        <v>0</v>
      </c>
      <c r="D37861" s="1">
        <v>0</v>
      </c>
      <c r="E37861" s="1">
        <v>4.3455399550671099E-6</v>
      </c>
      <c r="F37861" s="1">
        <v>9.9485134582992598E-8</v>
      </c>
    </row>
    <row r="37862" spans="1:6" x14ac:dyDescent="0.25">
      <c r="A37862" s="2" t="str">
        <f t="shared" si="1253"/>
        <v>99999</v>
      </c>
      <c r="B37862" s="2" t="str">
        <f>"86506"</f>
        <v>86506</v>
      </c>
      <c r="C37862" s="1">
        <v>0</v>
      </c>
      <c r="D37862" s="1">
        <v>1.51760267340886E-6</v>
      </c>
      <c r="E37862" s="1">
        <v>0</v>
      </c>
      <c r="F37862" s="1">
        <v>9.9485134582992598E-8</v>
      </c>
    </row>
    <row r="37863" spans="1:6" x14ac:dyDescent="0.25">
      <c r="A37863" s="2" t="str">
        <f t="shared" si="1253"/>
        <v>99999</v>
      </c>
      <c r="B37863" s="2" t="str">
        <f>"87006"</f>
        <v>87006</v>
      </c>
      <c r="C37863" s="1">
        <v>1.9754006952973801E-5</v>
      </c>
      <c r="D37863" s="1">
        <v>0</v>
      </c>
      <c r="E37863" s="1">
        <v>0</v>
      </c>
      <c r="F37863" s="1">
        <v>1.8006809359521599E-5</v>
      </c>
    </row>
    <row r="37864" spans="1:6" x14ac:dyDescent="0.25">
      <c r="A37864" s="2" t="str">
        <f t="shared" si="1253"/>
        <v>99999</v>
      </c>
      <c r="B37864" s="2" t="str">
        <f>"86502"</f>
        <v>86502</v>
      </c>
      <c r="C37864" s="1">
        <v>1.09138159961181E-7</v>
      </c>
      <c r="D37864" s="1">
        <v>0</v>
      </c>
      <c r="E37864" s="1">
        <v>4.3455399550671099E-6</v>
      </c>
      <c r="F37864" s="1">
        <v>1.9897026916598501E-7</v>
      </c>
    </row>
    <row r="37865" spans="1:6" x14ac:dyDescent="0.25">
      <c r="A37865" s="2" t="str">
        <f t="shared" si="1253"/>
        <v>99999</v>
      </c>
      <c r="B37865" s="2" t="str">
        <f>"85925"</f>
        <v>85925</v>
      </c>
      <c r="C37865" s="1">
        <v>9.3094850446888002E-5</v>
      </c>
      <c r="D37865" s="1">
        <v>5.7668901589537E-5</v>
      </c>
      <c r="E37865" s="1">
        <v>1.2602065869694599E-4</v>
      </c>
      <c r="F37865" s="1">
        <v>9.1526323816353198E-5</v>
      </c>
    </row>
    <row r="37866" spans="1:6" x14ac:dyDescent="0.25">
      <c r="A37866" s="2" t="str">
        <f t="shared" si="1253"/>
        <v>99999</v>
      </c>
      <c r="B37866" s="2" t="str">
        <f>"85348"</f>
        <v>85348</v>
      </c>
      <c r="C37866" s="1">
        <v>1.7407536513808401E-4</v>
      </c>
      <c r="D37866" s="1">
        <v>3.9457669508630602E-5</v>
      </c>
      <c r="E37866" s="1">
        <v>6.0837559370939603E-5</v>
      </c>
      <c r="F37866" s="1">
        <v>1.6265819504319201E-4</v>
      </c>
    </row>
    <row r="37867" spans="1:6" x14ac:dyDescent="0.25">
      <c r="A37867" s="2" t="str">
        <f t="shared" si="1253"/>
        <v>99999</v>
      </c>
      <c r="B37867" s="2" t="str">
        <f>"85328"</f>
        <v>85328</v>
      </c>
      <c r="C37867" s="1">
        <v>2.08453885525857E-5</v>
      </c>
      <c r="D37867" s="1">
        <v>0</v>
      </c>
      <c r="E37867" s="1">
        <v>1.3036619865201299E-5</v>
      </c>
      <c r="F37867" s="1">
        <v>1.9300116109100499E-5</v>
      </c>
    </row>
    <row r="37868" spans="1:6" x14ac:dyDescent="0.25">
      <c r="A37868" s="2" t="str">
        <f t="shared" si="1253"/>
        <v>99999</v>
      </c>
      <c r="B37868" s="2" t="str">
        <f>"84734"</f>
        <v>84734</v>
      </c>
      <c r="C37868" s="1">
        <v>8.7310527968945299E-7</v>
      </c>
      <c r="D37868" s="1">
        <v>1.51760267340886E-6</v>
      </c>
      <c r="E37868" s="1">
        <v>2.60732397304027E-5</v>
      </c>
      <c r="F37868" s="1">
        <v>1.4922770187448801E-6</v>
      </c>
    </row>
    <row r="37869" spans="1:6" x14ac:dyDescent="0.25">
      <c r="A37869" s="2" t="str">
        <f t="shared" si="1253"/>
        <v>99999</v>
      </c>
      <c r="B37869" s="2" t="str">
        <f>"84766"</f>
        <v>84766</v>
      </c>
      <c r="C37869" s="1">
        <v>6.2208751177873496E-6</v>
      </c>
      <c r="D37869" s="1">
        <v>3.0352053468177301E-6</v>
      </c>
      <c r="E37869" s="1">
        <v>1.3036619865201299E-5</v>
      </c>
      <c r="F37869" s="1">
        <v>6.1680783441455402E-6</v>
      </c>
    </row>
    <row r="37870" spans="1:6" x14ac:dyDescent="0.25">
      <c r="A37870" s="2" t="str">
        <f t="shared" si="1253"/>
        <v>99999</v>
      </c>
      <c r="B37870" s="2" t="str">
        <f>"84743"</f>
        <v>84743</v>
      </c>
      <c r="C37870" s="1">
        <v>1.76803819137114E-5</v>
      </c>
      <c r="D37870" s="1">
        <v>1.51760267340886E-6</v>
      </c>
      <c r="E37870" s="1">
        <v>0</v>
      </c>
      <c r="F37870" s="1">
        <v>1.6216076937027799E-5</v>
      </c>
    </row>
    <row r="37871" spans="1:6" x14ac:dyDescent="0.25">
      <c r="A37871" s="2" t="str">
        <f t="shared" si="1253"/>
        <v>99999</v>
      </c>
      <c r="B37871" s="2" t="str">
        <f>"84747"</f>
        <v>84747</v>
      </c>
      <c r="C37871" s="1">
        <v>4.7802514062997601E-5</v>
      </c>
      <c r="D37871" s="1">
        <v>1.3658424060679801E-5</v>
      </c>
      <c r="E37871" s="1">
        <v>4.3455399550671103E-5</v>
      </c>
      <c r="F37871" s="1">
        <v>4.5464706504427597E-5</v>
      </c>
    </row>
    <row r="37872" spans="1:6" x14ac:dyDescent="0.25">
      <c r="A37872" s="2" t="str">
        <f t="shared" si="1253"/>
        <v>99999</v>
      </c>
      <c r="B37872" s="2" t="str">
        <f>"84718"</f>
        <v>84718</v>
      </c>
      <c r="C37872" s="1">
        <v>9.2767435967004401E-6</v>
      </c>
      <c r="D37872" s="1">
        <v>0</v>
      </c>
      <c r="E37872" s="1">
        <v>4.3455399550671099E-6</v>
      </c>
      <c r="F37872" s="1">
        <v>8.5557215741373606E-6</v>
      </c>
    </row>
    <row r="37873" spans="1:6" x14ac:dyDescent="0.25">
      <c r="A37873" s="2" t="str">
        <f t="shared" si="1253"/>
        <v>99999</v>
      </c>
      <c r="B37873" s="2" t="str">
        <f>"84630"</f>
        <v>84630</v>
      </c>
      <c r="C37873" s="1">
        <v>1.2987441035380599E-5</v>
      </c>
      <c r="D37873" s="1">
        <v>0</v>
      </c>
      <c r="E37873" s="1">
        <v>4.3455399550671099E-6</v>
      </c>
      <c r="F37873" s="1">
        <v>1.19382161499591E-5</v>
      </c>
    </row>
    <row r="37874" spans="1:6" x14ac:dyDescent="0.25">
      <c r="A37874" s="2" t="str">
        <f t="shared" si="1253"/>
        <v>99999</v>
      </c>
      <c r="B37874" s="2" t="str">
        <f>"84622"</f>
        <v>84622</v>
      </c>
      <c r="C37874" s="1">
        <v>4.2563882384860804E-6</v>
      </c>
      <c r="D37874" s="1">
        <v>1.51760267340886E-6</v>
      </c>
      <c r="E37874" s="1">
        <v>4.3455399550671099E-6</v>
      </c>
      <c r="F37874" s="1">
        <v>4.07889051790269E-6</v>
      </c>
    </row>
    <row r="37875" spans="1:6" x14ac:dyDescent="0.25">
      <c r="A37875" s="2" t="str">
        <f t="shared" si="1253"/>
        <v>99999</v>
      </c>
      <c r="B37875" s="2" t="str">
        <f>"84654"</f>
        <v>84654</v>
      </c>
      <c r="C37875" s="1">
        <v>1.17869212758076E-4</v>
      </c>
      <c r="D37875" s="1">
        <v>2.42816427745419E-4</v>
      </c>
      <c r="E37875" s="1">
        <v>2.5638685734895902E-4</v>
      </c>
      <c r="F37875" s="1">
        <v>1.29231189823307E-4</v>
      </c>
    </row>
    <row r="37876" spans="1:6" x14ac:dyDescent="0.25">
      <c r="A37876" s="2" t="str">
        <f t="shared" si="1253"/>
        <v>99999</v>
      </c>
      <c r="B37876" s="2" t="str">
        <f>"84773"</f>
        <v>84773</v>
      </c>
      <c r="C37876" s="1">
        <v>2.7284539990295402E-6</v>
      </c>
      <c r="D37876" s="1">
        <v>0</v>
      </c>
      <c r="E37876" s="1">
        <v>4.3455399550671099E-6</v>
      </c>
      <c r="F37876" s="1">
        <v>2.5866134991578E-6</v>
      </c>
    </row>
    <row r="37877" spans="1:6" x14ac:dyDescent="0.25">
      <c r="A37877" s="2" t="str">
        <f t="shared" si="1253"/>
        <v>99999</v>
      </c>
      <c r="B37877" s="2" t="str">
        <f>"84775"</f>
        <v>84775</v>
      </c>
      <c r="C37877" s="1">
        <v>3.4924211187578099E-5</v>
      </c>
      <c r="D37877" s="1">
        <v>2.1246437427724101E-5</v>
      </c>
      <c r="E37877" s="1">
        <v>1.3036619865201299E-5</v>
      </c>
      <c r="F37877" s="1">
        <v>3.35264903544685E-5</v>
      </c>
    </row>
    <row r="37878" spans="1:6" x14ac:dyDescent="0.25">
      <c r="A37878" s="2" t="str">
        <f t="shared" si="1253"/>
        <v>99999</v>
      </c>
      <c r="B37878" s="2" t="str">
        <f>"84530"</f>
        <v>84530</v>
      </c>
      <c r="C37878" s="1">
        <v>5.3477698380979E-6</v>
      </c>
      <c r="D37878" s="1">
        <v>0</v>
      </c>
      <c r="E37878" s="1">
        <v>1.3036619865201299E-5</v>
      </c>
      <c r="F37878" s="1">
        <v>5.1732269983156102E-6</v>
      </c>
    </row>
    <row r="37879" spans="1:6" x14ac:dyDescent="0.25">
      <c r="A37879" s="2" t="str">
        <f t="shared" si="1253"/>
        <v>99999</v>
      </c>
      <c r="B37879" s="2" t="str">
        <f>"84528"</f>
        <v>84528</v>
      </c>
      <c r="C37879" s="1">
        <v>9.5714166285956303E-5</v>
      </c>
      <c r="D37879" s="1">
        <v>2.0032355288997E-4</v>
      </c>
      <c r="E37879" s="1">
        <v>1.5209389842734899E-4</v>
      </c>
      <c r="F37879" s="1">
        <v>1.03862480504644E-4</v>
      </c>
    </row>
    <row r="37880" spans="1:6" x14ac:dyDescent="0.25">
      <c r="A37880" s="2" t="str">
        <f t="shared" si="1253"/>
        <v>99999</v>
      </c>
      <c r="B37880" s="2" t="str">
        <f>"84066"</f>
        <v>84066</v>
      </c>
      <c r="C37880" s="1">
        <v>6.3354701857465899E-4</v>
      </c>
      <c r="D37880" s="1">
        <v>9.6216009494122295E-4</v>
      </c>
      <c r="E37880" s="1">
        <v>1.3731906258012E-3</v>
      </c>
      <c r="F37880" s="1">
        <v>6.7202208410811499E-4</v>
      </c>
    </row>
    <row r="37881" spans="1:6" x14ac:dyDescent="0.25">
      <c r="A37881" s="2" t="str">
        <f t="shared" si="1253"/>
        <v>99999</v>
      </c>
      <c r="B37881" s="2" t="str">
        <f>"84023"</f>
        <v>84023</v>
      </c>
      <c r="C37881" s="1">
        <v>2.35738425516152E-5</v>
      </c>
      <c r="D37881" s="1">
        <v>1.21408213872709E-5</v>
      </c>
      <c r="E37881" s="1">
        <v>8.69107991013423E-6</v>
      </c>
      <c r="F37881" s="1">
        <v>2.2483640415756299E-5</v>
      </c>
    </row>
    <row r="37882" spans="1:6" x14ac:dyDescent="0.25">
      <c r="A37882" s="2" t="str">
        <f t="shared" si="1253"/>
        <v>99999</v>
      </c>
      <c r="B37882" s="2" t="str">
        <f>"83810"</f>
        <v>83810</v>
      </c>
      <c r="C37882" s="1">
        <v>3.1650066388742701E-6</v>
      </c>
      <c r="D37882" s="1">
        <v>3.0352053468177301E-6</v>
      </c>
      <c r="E37882" s="1">
        <v>8.69107991013423E-6</v>
      </c>
      <c r="F37882" s="1">
        <v>3.2830094412387502E-6</v>
      </c>
    </row>
    <row r="37883" spans="1:6" x14ac:dyDescent="0.25">
      <c r="A37883" s="2" t="str">
        <f t="shared" si="1253"/>
        <v>99999</v>
      </c>
      <c r="B37883" s="2" t="str">
        <f>"83849"</f>
        <v>83849</v>
      </c>
      <c r="C37883" s="1">
        <v>0</v>
      </c>
      <c r="D37883" s="1">
        <v>0</v>
      </c>
      <c r="E37883" s="1">
        <v>1.3036619865201299E-5</v>
      </c>
      <c r="F37883" s="1">
        <v>2.9845540374897701E-7</v>
      </c>
    </row>
    <row r="37884" spans="1:6" x14ac:dyDescent="0.25">
      <c r="A37884" s="2" t="str">
        <f t="shared" si="1253"/>
        <v>99999</v>
      </c>
      <c r="B37884" s="2" t="str">
        <f>"83435"</f>
        <v>83435</v>
      </c>
      <c r="C37884" s="1">
        <v>1.09138159961181E-7</v>
      </c>
      <c r="D37884" s="1">
        <v>0</v>
      </c>
      <c r="E37884" s="1">
        <v>0</v>
      </c>
      <c r="F37884" s="1">
        <v>9.9485134582992598E-8</v>
      </c>
    </row>
    <row r="37885" spans="1:6" x14ac:dyDescent="0.25">
      <c r="A37885" s="2" t="str">
        <f t="shared" si="1253"/>
        <v>99999</v>
      </c>
      <c r="B37885" s="2" t="str">
        <f>"83468"</f>
        <v>83468</v>
      </c>
      <c r="C37885" s="1">
        <v>0</v>
      </c>
      <c r="D37885" s="1">
        <v>0</v>
      </c>
      <c r="E37885" s="1">
        <v>4.3455399550671099E-6</v>
      </c>
      <c r="F37885" s="1">
        <v>9.9485134582992598E-8</v>
      </c>
    </row>
    <row r="37886" spans="1:6" x14ac:dyDescent="0.25">
      <c r="A37886" s="2" t="str">
        <f t="shared" si="1253"/>
        <v>99999</v>
      </c>
      <c r="B37886" s="2" t="str">
        <f>"83672"</f>
        <v>83672</v>
      </c>
      <c r="C37886" s="1">
        <v>4.15052422332374E-4</v>
      </c>
      <c r="D37886" s="1">
        <v>5.5392497579423699E-4</v>
      </c>
      <c r="E37886" s="1">
        <v>4.1717183568644299E-4</v>
      </c>
      <c r="F37886" s="1">
        <v>4.2420461386188002E-4</v>
      </c>
    </row>
    <row r="37887" spans="1:6" x14ac:dyDescent="0.25">
      <c r="A37887" s="2" t="str">
        <f t="shared" si="1253"/>
        <v>99999</v>
      </c>
      <c r="B37887" s="2" t="str">
        <f>"83635"</f>
        <v>83635</v>
      </c>
      <c r="C37887" s="1">
        <v>0</v>
      </c>
      <c r="D37887" s="1">
        <v>0</v>
      </c>
      <c r="E37887" s="1">
        <v>4.3455399550671099E-6</v>
      </c>
      <c r="F37887" s="1">
        <v>9.9485134582992598E-8</v>
      </c>
    </row>
    <row r="37888" spans="1:6" x14ac:dyDescent="0.25">
      <c r="A37888" s="2" t="str">
        <f t="shared" si="1253"/>
        <v>99999</v>
      </c>
      <c r="B37888" s="2" t="str">
        <f>"83645"</f>
        <v>83645</v>
      </c>
      <c r="C37888" s="1">
        <v>2.6520572870567099E-5</v>
      </c>
      <c r="D37888" s="1">
        <v>7.5880133670443404E-6</v>
      </c>
      <c r="E37888" s="1">
        <v>4.3455399550671099E-6</v>
      </c>
      <c r="F37888" s="1">
        <v>2.4771798511165099E-5</v>
      </c>
    </row>
    <row r="37889" spans="1:6" x14ac:dyDescent="0.25">
      <c r="A37889" s="2" t="str">
        <f t="shared" si="1253"/>
        <v>99999</v>
      </c>
      <c r="B37889" s="2" t="str">
        <f>"83327"</f>
        <v>83327</v>
      </c>
      <c r="C37889" s="1">
        <v>1.09138159961181E-7</v>
      </c>
      <c r="D37889" s="1">
        <v>0</v>
      </c>
      <c r="E37889" s="1">
        <v>0</v>
      </c>
      <c r="F37889" s="1">
        <v>9.9485134582992598E-8</v>
      </c>
    </row>
    <row r="37890" spans="1:6" x14ac:dyDescent="0.25">
      <c r="A37890" s="2" t="str">
        <f t="shared" si="1253"/>
        <v>99999</v>
      </c>
      <c r="B37890" s="2" t="str">
        <f>"83548"</f>
        <v>83548</v>
      </c>
      <c r="C37890" s="1">
        <v>4.1472500785249E-6</v>
      </c>
      <c r="D37890" s="1">
        <v>3.0352053468177301E-6</v>
      </c>
      <c r="E37890" s="1">
        <v>0</v>
      </c>
      <c r="F37890" s="1">
        <v>3.9794053833197E-6</v>
      </c>
    </row>
    <row r="37891" spans="1:6" x14ac:dyDescent="0.25">
      <c r="A37891" s="2" t="str">
        <f t="shared" si="1253"/>
        <v>99999</v>
      </c>
      <c r="B37891" s="2" t="str">
        <f>"83545"</f>
        <v>83545</v>
      </c>
      <c r="C37891" s="1">
        <v>3.4924211187578098E-6</v>
      </c>
      <c r="D37891" s="1">
        <v>4.5528080202265997E-6</v>
      </c>
      <c r="E37891" s="1">
        <v>0</v>
      </c>
      <c r="F37891" s="1">
        <v>3.48197971040474E-6</v>
      </c>
    </row>
    <row r="37892" spans="1:6" x14ac:dyDescent="0.25">
      <c r="A37892" s="2" t="str">
        <f t="shared" si="1253"/>
        <v>99999</v>
      </c>
      <c r="B37892" s="2" t="str">
        <f>"83533"</f>
        <v>83533</v>
      </c>
      <c r="C37892" s="1">
        <v>7.8579475172050803E-6</v>
      </c>
      <c r="D37892" s="1">
        <v>6.0704106936354696E-6</v>
      </c>
      <c r="E37892" s="1">
        <v>0</v>
      </c>
      <c r="F37892" s="1">
        <v>7.5608702283074398E-6</v>
      </c>
    </row>
    <row r="37893" spans="1:6" x14ac:dyDescent="0.25">
      <c r="A37893" s="2" t="str">
        <f t="shared" si="1253"/>
        <v>99999</v>
      </c>
      <c r="B37893" s="2" t="str">
        <f>"83235"</f>
        <v>83235</v>
      </c>
      <c r="C37893" s="1">
        <v>3.6015592787189902E-6</v>
      </c>
      <c r="D37893" s="1">
        <v>1.51760267340886E-6</v>
      </c>
      <c r="E37893" s="1">
        <v>4.3455399550671099E-6</v>
      </c>
      <c r="F37893" s="1">
        <v>3.48197971040474E-6</v>
      </c>
    </row>
    <row r="37894" spans="1:6" x14ac:dyDescent="0.25">
      <c r="A37894" s="2" t="str">
        <f t="shared" si="1253"/>
        <v>99999</v>
      </c>
      <c r="B37894" s="2" t="str">
        <f>"82224"</f>
        <v>82224</v>
      </c>
      <c r="C37894" s="1">
        <v>1.3096579195341799E-6</v>
      </c>
      <c r="D37894" s="1">
        <v>0</v>
      </c>
      <c r="E37894" s="1">
        <v>4.3455399550671099E-6</v>
      </c>
      <c r="F37894" s="1">
        <v>1.2933067495789E-6</v>
      </c>
    </row>
    <row r="37895" spans="1:6" x14ac:dyDescent="0.25">
      <c r="A37895" s="2" t="str">
        <f t="shared" si="1253"/>
        <v>99999</v>
      </c>
      <c r="B37895" s="2" t="str">
        <f>"82331"</f>
        <v>82331</v>
      </c>
      <c r="C37895" s="1">
        <v>8.8401909568557204E-6</v>
      </c>
      <c r="D37895" s="1">
        <v>1.21408213872709E-5</v>
      </c>
      <c r="E37895" s="1">
        <v>4.3455399550671099E-6</v>
      </c>
      <c r="F37895" s="1">
        <v>8.9536621124693292E-6</v>
      </c>
    </row>
    <row r="37896" spans="1:6" x14ac:dyDescent="0.25">
      <c r="A37896" s="2" t="str">
        <f t="shared" si="1253"/>
        <v>99999</v>
      </c>
      <c r="B37896" s="2" t="str">
        <f>"82218"</f>
        <v>82218</v>
      </c>
      <c r="C37896" s="1">
        <v>0</v>
      </c>
      <c r="D37896" s="1">
        <v>0</v>
      </c>
      <c r="E37896" s="1">
        <v>8.69107991013423E-6</v>
      </c>
      <c r="F37896" s="1">
        <v>1.9897026916598501E-7</v>
      </c>
    </row>
    <row r="37897" spans="1:6" x14ac:dyDescent="0.25">
      <c r="A37897" s="2" t="str">
        <f t="shared" si="1253"/>
        <v>99999</v>
      </c>
      <c r="B37897" s="2" t="str">
        <f>"82410"</f>
        <v>82410</v>
      </c>
      <c r="C37897" s="1">
        <v>2.8048507110023701E-5</v>
      </c>
      <c r="D37897" s="1">
        <v>7.5880133670443404E-6</v>
      </c>
      <c r="E37897" s="1">
        <v>2.60732397304027E-5</v>
      </c>
      <c r="F37897" s="1">
        <v>2.6662016068241999E-5</v>
      </c>
    </row>
    <row r="37898" spans="1:6" x14ac:dyDescent="0.25">
      <c r="A37898" s="2" t="str">
        <f t="shared" si="1253"/>
        <v>99999</v>
      </c>
      <c r="B37898" s="2" t="str">
        <f>"82215"</f>
        <v>82215</v>
      </c>
      <c r="C37898" s="1">
        <v>7.5305330373215401E-6</v>
      </c>
      <c r="D37898" s="1">
        <v>1.51760267340886E-6</v>
      </c>
      <c r="E37898" s="1">
        <v>4.3455399550671099E-6</v>
      </c>
      <c r="F37898" s="1">
        <v>7.0634445553924701E-6</v>
      </c>
    </row>
    <row r="37899" spans="1:6" x14ac:dyDescent="0.25">
      <c r="A37899" s="2" t="str">
        <f t="shared" si="1253"/>
        <v>99999</v>
      </c>
      <c r="B37899" s="2" t="str">
        <f>"82214"</f>
        <v>82214</v>
      </c>
      <c r="C37899" s="1">
        <v>8.7310527968945299E-7</v>
      </c>
      <c r="D37899" s="1">
        <v>0</v>
      </c>
      <c r="E37899" s="1">
        <v>4.3455399550671099E-6</v>
      </c>
      <c r="F37899" s="1">
        <v>8.9536621124693305E-7</v>
      </c>
    </row>
    <row r="37900" spans="1:6" x14ac:dyDescent="0.25">
      <c r="A37900" s="2" t="str">
        <f t="shared" si="1253"/>
        <v>99999</v>
      </c>
      <c r="B37900" s="2" t="str">
        <f>"82401"</f>
        <v>82401</v>
      </c>
      <c r="C37900" s="1">
        <v>3.9115116530087499E-4</v>
      </c>
      <c r="D37900" s="1">
        <v>7.2693168056284804E-4</v>
      </c>
      <c r="E37900" s="1">
        <v>5.1277371469791902E-4</v>
      </c>
      <c r="F37900" s="1">
        <v>4.1594734769149198E-4</v>
      </c>
    </row>
    <row r="37901" spans="1:6" x14ac:dyDescent="0.25">
      <c r="A37901" s="2" t="str">
        <f t="shared" si="1253"/>
        <v>99999</v>
      </c>
      <c r="B37901" s="2" t="str">
        <f>"82210"</f>
        <v>82210</v>
      </c>
      <c r="C37901" s="1">
        <v>1.0258987036351001E-5</v>
      </c>
      <c r="D37901" s="1">
        <v>6.0704106936354696E-6</v>
      </c>
      <c r="E37901" s="1">
        <v>6.0837559370939603E-5</v>
      </c>
      <c r="F37901" s="1">
        <v>1.11423350732951E-5</v>
      </c>
    </row>
    <row r="37902" spans="1:6" x14ac:dyDescent="0.25">
      <c r="A37902" s="2" t="str">
        <f t="shared" si="1253"/>
        <v>99999</v>
      </c>
      <c r="B37902" s="2" t="str">
        <f>"83126"</f>
        <v>83126</v>
      </c>
      <c r="C37902" s="1">
        <v>6.6574277576320803E-6</v>
      </c>
      <c r="D37902" s="1">
        <v>1.51760267340886E-6</v>
      </c>
      <c r="E37902" s="1">
        <v>1.7382159820268399E-5</v>
      </c>
      <c r="F37902" s="1">
        <v>6.5660188824775097E-6</v>
      </c>
    </row>
    <row r="37903" spans="1:6" x14ac:dyDescent="0.25">
      <c r="A37903" s="2" t="str">
        <f t="shared" si="1253"/>
        <v>99999</v>
      </c>
      <c r="B37903" s="2" t="str">
        <f>"83112"</f>
        <v>83112</v>
      </c>
      <c r="C37903" s="1">
        <v>1.09138159961181E-5</v>
      </c>
      <c r="D37903" s="1">
        <v>0</v>
      </c>
      <c r="E37903" s="1">
        <v>8.69107991013423E-6</v>
      </c>
      <c r="F37903" s="1">
        <v>1.01474837274652E-5</v>
      </c>
    </row>
    <row r="37904" spans="1:6" x14ac:dyDescent="0.25">
      <c r="A37904" s="2" t="str">
        <f t="shared" si="1253"/>
        <v>99999</v>
      </c>
      <c r="B37904" s="2" t="str">
        <f>"83118"</f>
        <v>83118</v>
      </c>
      <c r="C37904" s="1">
        <v>5.1294935181755401E-6</v>
      </c>
      <c r="D37904" s="1">
        <v>1.51760267340886E-6</v>
      </c>
      <c r="E37904" s="1">
        <v>8.69107991013423E-6</v>
      </c>
      <c r="F37904" s="1">
        <v>4.9742567291496301E-6</v>
      </c>
    </row>
    <row r="37905" spans="1:6" x14ac:dyDescent="0.25">
      <c r="A37905" s="2" t="str">
        <f t="shared" si="1253"/>
        <v>99999</v>
      </c>
      <c r="B37905" s="2" t="str">
        <f>"82637"</f>
        <v>82637</v>
      </c>
      <c r="C37905" s="1">
        <v>5.2713731261250698E-5</v>
      </c>
      <c r="D37905" s="1">
        <v>2.4281642774541899E-5</v>
      </c>
      <c r="E37905" s="1">
        <v>1.3036619865201299E-5</v>
      </c>
      <c r="F37905" s="1">
        <v>4.99415375606623E-5</v>
      </c>
    </row>
    <row r="37906" spans="1:6" x14ac:dyDescent="0.25">
      <c r="A37906" s="2" t="str">
        <f t="shared" ref="A37906:A37969" si="1254">"99999"</f>
        <v>99999</v>
      </c>
      <c r="B37906" s="2" t="str">
        <f>"82832"</f>
        <v>82832</v>
      </c>
      <c r="C37906" s="1">
        <v>6.1117369578261701E-6</v>
      </c>
      <c r="D37906" s="1">
        <v>4.5528080202265997E-6</v>
      </c>
      <c r="E37906" s="1">
        <v>0</v>
      </c>
      <c r="F37906" s="1">
        <v>5.86962294039656E-6</v>
      </c>
    </row>
    <row r="37907" spans="1:6" x14ac:dyDescent="0.25">
      <c r="A37907" s="2" t="str">
        <f t="shared" si="1254"/>
        <v>99999</v>
      </c>
      <c r="B37907" s="2" t="str">
        <f>"82925"</f>
        <v>82925</v>
      </c>
      <c r="C37907" s="1">
        <v>1.0804677836156901E-5</v>
      </c>
      <c r="D37907" s="1">
        <v>1.51760267340886E-6</v>
      </c>
      <c r="E37907" s="1">
        <v>0</v>
      </c>
      <c r="F37907" s="1">
        <v>9.9485134582992602E-6</v>
      </c>
    </row>
    <row r="37908" spans="1:6" x14ac:dyDescent="0.25">
      <c r="A37908" s="2" t="str">
        <f t="shared" si="1254"/>
        <v>99999</v>
      </c>
      <c r="B37908" s="2" t="str">
        <f>"82834"</f>
        <v>82834</v>
      </c>
      <c r="C37908" s="1">
        <v>4.0555740241575102E-4</v>
      </c>
      <c r="D37908" s="1">
        <v>6.3132271213808897E-4</v>
      </c>
      <c r="E37908" s="1">
        <v>8.6476245105835596E-4</v>
      </c>
      <c r="F37908" s="1">
        <v>4.3087011787894101E-4</v>
      </c>
    </row>
    <row r="37909" spans="1:6" x14ac:dyDescent="0.25">
      <c r="A37909" s="2" t="str">
        <f t="shared" si="1254"/>
        <v>99999</v>
      </c>
      <c r="B37909" s="2" t="str">
        <f>"81650"</f>
        <v>81650</v>
      </c>
      <c r="C37909" s="1">
        <v>8.0762238371274393E-6</v>
      </c>
      <c r="D37909" s="1">
        <v>3.1869656141586203E-5</v>
      </c>
      <c r="E37909" s="1">
        <v>4.7800939505738197E-5</v>
      </c>
      <c r="F37909" s="1">
        <v>1.05454242657972E-5</v>
      </c>
    </row>
    <row r="37910" spans="1:6" x14ac:dyDescent="0.25">
      <c r="A37910" s="2" t="str">
        <f t="shared" si="1254"/>
        <v>99999</v>
      </c>
      <c r="B37910" s="2" t="str">
        <f>"82450"</f>
        <v>82450</v>
      </c>
      <c r="C37910" s="1">
        <v>0</v>
      </c>
      <c r="D37910" s="1">
        <v>0</v>
      </c>
      <c r="E37910" s="1">
        <v>8.69107991013423E-6</v>
      </c>
      <c r="F37910" s="1">
        <v>1.9897026916598501E-7</v>
      </c>
    </row>
    <row r="37911" spans="1:6" x14ac:dyDescent="0.25">
      <c r="A37911" s="2" t="str">
        <f t="shared" si="1254"/>
        <v>99999</v>
      </c>
      <c r="B37911" s="2" t="str">
        <f>"82435"</f>
        <v>82435</v>
      </c>
      <c r="C37911" s="1">
        <v>7.5458123797161002E-4</v>
      </c>
      <c r="D37911" s="1">
        <v>1.1442724157502799E-3</v>
      </c>
      <c r="E37911" s="1">
        <v>9.38636630294497E-4</v>
      </c>
      <c r="F37911" s="1">
        <v>7.8434080105231304E-4</v>
      </c>
    </row>
    <row r="37912" spans="1:6" x14ac:dyDescent="0.25">
      <c r="A37912" s="2" t="str">
        <f t="shared" si="1254"/>
        <v>99999</v>
      </c>
      <c r="B37912" s="2" t="str">
        <f>"81126"</f>
        <v>81126</v>
      </c>
      <c r="C37912" s="1">
        <v>8.1853619970886298E-6</v>
      </c>
      <c r="D37912" s="1">
        <v>0</v>
      </c>
      <c r="E37912" s="1">
        <v>4.3455399550671099E-6</v>
      </c>
      <c r="F37912" s="1">
        <v>7.5608702283074398E-6</v>
      </c>
    </row>
    <row r="37913" spans="1:6" x14ac:dyDescent="0.25">
      <c r="A37913" s="2" t="str">
        <f t="shared" si="1254"/>
        <v>99999</v>
      </c>
      <c r="B37913" s="2" t="str">
        <f>"81124"</f>
        <v>81124</v>
      </c>
      <c r="C37913" s="1">
        <v>1.06955396761958E-5</v>
      </c>
      <c r="D37913" s="1">
        <v>0</v>
      </c>
      <c r="E37913" s="1">
        <v>4.3455399550671099E-6</v>
      </c>
      <c r="F37913" s="1">
        <v>9.8490283237162701E-6</v>
      </c>
    </row>
    <row r="37914" spans="1:6" x14ac:dyDescent="0.25">
      <c r="A37914" s="2" t="str">
        <f t="shared" si="1254"/>
        <v>99999</v>
      </c>
      <c r="B37914" s="2" t="str">
        <f>"81084"</f>
        <v>81084</v>
      </c>
      <c r="C37914" s="1">
        <v>8.4036383170109905E-6</v>
      </c>
      <c r="D37914" s="1">
        <v>0</v>
      </c>
      <c r="E37914" s="1">
        <v>4.3455399550671099E-6</v>
      </c>
      <c r="F37914" s="1">
        <v>7.7598404974734199E-6</v>
      </c>
    </row>
    <row r="37915" spans="1:6" x14ac:dyDescent="0.25">
      <c r="A37915" s="2" t="str">
        <f t="shared" si="1254"/>
        <v>99999</v>
      </c>
      <c r="B37915" s="2" t="str">
        <f>"81120"</f>
        <v>81120</v>
      </c>
      <c r="C37915" s="1">
        <v>9.3203988606849197E-5</v>
      </c>
      <c r="D37915" s="1">
        <v>2.2764040101133E-5</v>
      </c>
      <c r="E37915" s="1">
        <v>1.39057278562147E-4</v>
      </c>
      <c r="F37915" s="1">
        <v>8.9636106259276301E-5</v>
      </c>
    </row>
    <row r="37916" spans="1:6" x14ac:dyDescent="0.25">
      <c r="A37916" s="2" t="str">
        <f t="shared" si="1254"/>
        <v>99999</v>
      </c>
      <c r="B37916" s="2" t="str">
        <f>"81071"</f>
        <v>81071</v>
      </c>
      <c r="C37916" s="1">
        <v>2.08453885525857E-5</v>
      </c>
      <c r="D37916" s="1">
        <v>1.9728834754315301E-5</v>
      </c>
      <c r="E37916" s="1">
        <v>4.3455399550671099E-6</v>
      </c>
      <c r="F37916" s="1">
        <v>2.0394452589513401E-5</v>
      </c>
    </row>
    <row r="37917" spans="1:6" x14ac:dyDescent="0.25">
      <c r="A37917" s="2" t="str">
        <f t="shared" si="1254"/>
        <v>99999</v>
      </c>
      <c r="B37917" s="2" t="str">
        <f>"81059"</f>
        <v>81059</v>
      </c>
      <c r="C37917" s="1">
        <v>1.15686449558852E-5</v>
      </c>
      <c r="D37917" s="1">
        <v>4.5528080202265997E-6</v>
      </c>
      <c r="E37917" s="1">
        <v>0</v>
      </c>
      <c r="F37917" s="1">
        <v>1.0843879669546099E-5</v>
      </c>
    </row>
    <row r="37918" spans="1:6" x14ac:dyDescent="0.25">
      <c r="A37918" s="2" t="str">
        <f t="shared" si="1254"/>
        <v>99999</v>
      </c>
      <c r="B37918" s="2" t="str">
        <f>"81055"</f>
        <v>81055</v>
      </c>
      <c r="C37918" s="1">
        <v>1.1983369963737699E-4</v>
      </c>
      <c r="D37918" s="1">
        <v>2.1246437427724101E-5</v>
      </c>
      <c r="E37918" s="1">
        <v>1.17329578786812E-4</v>
      </c>
      <c r="F37918" s="1">
        <v>1.13313568290028E-4</v>
      </c>
    </row>
    <row r="37919" spans="1:6" x14ac:dyDescent="0.25">
      <c r="A37919" s="2" t="str">
        <f t="shared" si="1254"/>
        <v>99999</v>
      </c>
      <c r="B37919" s="2" t="str">
        <f>"81033"</f>
        <v>81033</v>
      </c>
      <c r="C37919" s="1">
        <v>8.9493291168169008E-6</v>
      </c>
      <c r="D37919" s="1">
        <v>1.51760267340886E-6</v>
      </c>
      <c r="E37919" s="1">
        <v>1.3036619865201299E-5</v>
      </c>
      <c r="F37919" s="1">
        <v>8.5557215741373606E-6</v>
      </c>
    </row>
    <row r="37920" spans="1:6" x14ac:dyDescent="0.25">
      <c r="A37920" s="2" t="str">
        <f t="shared" si="1254"/>
        <v>99999</v>
      </c>
      <c r="B37920" s="2" t="str">
        <f>"81044"</f>
        <v>81044</v>
      </c>
      <c r="C37920" s="1">
        <v>1.47336515947595E-5</v>
      </c>
      <c r="D37920" s="1">
        <v>1.51760267340886E-6</v>
      </c>
      <c r="E37920" s="1">
        <v>8.69107991013423E-6</v>
      </c>
      <c r="F37920" s="1">
        <v>1.37289485724529E-5</v>
      </c>
    </row>
    <row r="37921" spans="1:6" x14ac:dyDescent="0.25">
      <c r="A37921" s="2" t="str">
        <f t="shared" si="1254"/>
        <v>99999</v>
      </c>
      <c r="B37921" s="2" t="str">
        <f>"81239"</f>
        <v>81239</v>
      </c>
      <c r="C37921" s="1">
        <v>5.8934606379038102E-6</v>
      </c>
      <c r="D37921" s="1">
        <v>0</v>
      </c>
      <c r="E37921" s="1">
        <v>8.69107991013423E-6</v>
      </c>
      <c r="F37921" s="1">
        <v>5.5711675366475797E-6</v>
      </c>
    </row>
    <row r="37922" spans="1:6" x14ac:dyDescent="0.25">
      <c r="A37922" s="2" t="str">
        <f t="shared" si="1254"/>
        <v>99999</v>
      </c>
      <c r="B37922" s="2" t="str">
        <f>"81321"</f>
        <v>81321</v>
      </c>
      <c r="C37922" s="1">
        <v>8.9340497744223304E-4</v>
      </c>
      <c r="D37922" s="1">
        <v>1.61624684718044E-3</v>
      </c>
      <c r="E37922" s="1">
        <v>1.28193428674479E-3</v>
      </c>
      <c r="F37922" s="1">
        <v>9.4968509472924704E-4</v>
      </c>
    </row>
    <row r="37923" spans="1:6" x14ac:dyDescent="0.25">
      <c r="A37923" s="2" t="str">
        <f t="shared" si="1254"/>
        <v>99999</v>
      </c>
      <c r="B37923" s="2" t="str">
        <f>"81410"</f>
        <v>81410</v>
      </c>
      <c r="C37923" s="1">
        <v>9.1348639887509103E-5</v>
      </c>
      <c r="D37923" s="1">
        <v>3.7940066835221703E-5</v>
      </c>
      <c r="E37923" s="1">
        <v>1.7382159820268399E-5</v>
      </c>
      <c r="F37923" s="1">
        <v>8.6154126548871604E-5</v>
      </c>
    </row>
    <row r="37924" spans="1:6" x14ac:dyDescent="0.25">
      <c r="A37924" s="2" t="str">
        <f t="shared" si="1254"/>
        <v>99999</v>
      </c>
      <c r="B37924" s="2" t="str">
        <f>"81335"</f>
        <v>81335</v>
      </c>
      <c r="C37924" s="1">
        <v>2.1827631992236299E-6</v>
      </c>
      <c r="D37924" s="1">
        <v>0</v>
      </c>
      <c r="E37924" s="1">
        <v>4.3455399550671099E-6</v>
      </c>
      <c r="F37924" s="1">
        <v>2.08918782624284E-6</v>
      </c>
    </row>
    <row r="37925" spans="1:6" x14ac:dyDescent="0.25">
      <c r="A37925" s="2" t="str">
        <f t="shared" si="1254"/>
        <v>99999</v>
      </c>
      <c r="B37925" s="2" t="str">
        <f>"81151"</f>
        <v>81151</v>
      </c>
      <c r="C37925" s="1">
        <v>6.10082314183005E-5</v>
      </c>
      <c r="D37925" s="1">
        <v>7.5880133670443404E-6</v>
      </c>
      <c r="E37925" s="1">
        <v>2.1727699775335501E-5</v>
      </c>
      <c r="F37925" s="1">
        <v>5.66070415777228E-5</v>
      </c>
    </row>
    <row r="37926" spans="1:6" x14ac:dyDescent="0.25">
      <c r="A37926" s="2" t="str">
        <f t="shared" si="1254"/>
        <v>99999</v>
      </c>
      <c r="B37926" s="2" t="str">
        <f>"81147"</f>
        <v>81147</v>
      </c>
      <c r="C37926" s="1">
        <v>1.1385292847150401E-3</v>
      </c>
      <c r="D37926" s="1">
        <v>1.33852555794662E-3</v>
      </c>
      <c r="E37926" s="1">
        <v>1.44271926508228E-3</v>
      </c>
      <c r="F37926" s="1">
        <v>1.1586038773535299E-3</v>
      </c>
    </row>
    <row r="37927" spans="1:6" x14ac:dyDescent="0.25">
      <c r="A37927" s="2" t="str">
        <f t="shared" si="1254"/>
        <v>99999</v>
      </c>
      <c r="B37927" s="2" t="str">
        <f>"80721"</f>
        <v>80721</v>
      </c>
      <c r="C37927" s="1">
        <v>9.0584672767780794E-6</v>
      </c>
      <c r="D37927" s="1">
        <v>3.0352053468177301E-6</v>
      </c>
      <c r="E37927" s="1">
        <v>8.69107991013423E-6</v>
      </c>
      <c r="F37927" s="1">
        <v>8.6552067087203506E-6</v>
      </c>
    </row>
    <row r="37928" spans="1:6" x14ac:dyDescent="0.25">
      <c r="A37928" s="2" t="str">
        <f t="shared" si="1254"/>
        <v>99999</v>
      </c>
      <c r="B37928" s="2" t="str">
        <f>"80824"</f>
        <v>80824</v>
      </c>
      <c r="C37928" s="1">
        <v>1.4842789754720701E-5</v>
      </c>
      <c r="D37928" s="1">
        <v>2.5799245447950699E-5</v>
      </c>
      <c r="E37928" s="1">
        <v>7.3874179236140894E-5</v>
      </c>
      <c r="F37928" s="1">
        <v>1.69124728791087E-5</v>
      </c>
    </row>
    <row r="37929" spans="1:6" x14ac:dyDescent="0.25">
      <c r="A37929" s="2" t="str">
        <f t="shared" si="1254"/>
        <v>99999</v>
      </c>
      <c r="B37929" s="2" t="str">
        <f>"80804"</f>
        <v>80804</v>
      </c>
      <c r="C37929" s="1">
        <v>2.02996977527798E-5</v>
      </c>
      <c r="D37929" s="1">
        <v>1.5176026734088599E-5</v>
      </c>
      <c r="E37929" s="1">
        <v>3.0418779685469802E-5</v>
      </c>
      <c r="F37929" s="1">
        <v>2.0195482320347499E-5</v>
      </c>
    </row>
    <row r="37930" spans="1:6" x14ac:dyDescent="0.25">
      <c r="A37930" s="2" t="str">
        <f t="shared" si="1254"/>
        <v>99999</v>
      </c>
      <c r="B37930" s="2" t="str">
        <f>"80758"</f>
        <v>80758</v>
      </c>
      <c r="C37930" s="1">
        <v>1.9415678657094199E-4</v>
      </c>
      <c r="D37930" s="1">
        <v>3.94576695086306E-4</v>
      </c>
      <c r="E37930" s="1">
        <v>3.7806197609083903E-4</v>
      </c>
      <c r="F37930" s="1">
        <v>2.1150539612344201E-4</v>
      </c>
    </row>
    <row r="37931" spans="1:6" x14ac:dyDescent="0.25">
      <c r="A37931" s="2" t="str">
        <f t="shared" si="1254"/>
        <v>99999</v>
      </c>
      <c r="B37931" s="2" t="str">
        <f>"80423"</f>
        <v>80423</v>
      </c>
      <c r="C37931" s="1">
        <v>5.4569079980590801E-7</v>
      </c>
      <c r="D37931" s="1">
        <v>3.0352053468177301E-6</v>
      </c>
      <c r="E37931" s="1">
        <v>0</v>
      </c>
      <c r="F37931" s="1">
        <v>6.9639594208094799E-7</v>
      </c>
    </row>
    <row r="37932" spans="1:6" x14ac:dyDescent="0.25">
      <c r="A37932" s="2" t="str">
        <f t="shared" si="1254"/>
        <v>99999</v>
      </c>
      <c r="B37932" s="2" t="str">
        <f>"79847"</f>
        <v>79847</v>
      </c>
      <c r="C37932" s="1">
        <v>2.2591599111964599E-5</v>
      </c>
      <c r="D37932" s="1">
        <v>9.1056160404532095E-6</v>
      </c>
      <c r="E37932" s="1">
        <v>5.6492019415872502E-5</v>
      </c>
      <c r="F37932" s="1">
        <v>2.2483640415756299E-5</v>
      </c>
    </row>
    <row r="37933" spans="1:6" x14ac:dyDescent="0.25">
      <c r="A37933" s="2" t="str">
        <f t="shared" si="1254"/>
        <v>99999</v>
      </c>
      <c r="B37933" s="2" t="str">
        <f>"79369"</f>
        <v>79369</v>
      </c>
      <c r="C37933" s="1">
        <v>0</v>
      </c>
      <c r="D37933" s="1">
        <v>0</v>
      </c>
      <c r="E37933" s="1">
        <v>4.3455399550671099E-6</v>
      </c>
      <c r="F37933" s="1">
        <v>9.9485134582992598E-8</v>
      </c>
    </row>
    <row r="37934" spans="1:6" x14ac:dyDescent="0.25">
      <c r="A37934" s="2" t="str">
        <f t="shared" si="1254"/>
        <v>99999</v>
      </c>
      <c r="B37934" s="2" t="str">
        <f>"79324"</f>
        <v>79324</v>
      </c>
      <c r="C37934" s="1">
        <v>3.9289737586025402E-6</v>
      </c>
      <c r="D37934" s="1">
        <v>0</v>
      </c>
      <c r="E37934" s="1">
        <v>0</v>
      </c>
      <c r="F37934" s="1">
        <v>3.5814648449877301E-6</v>
      </c>
    </row>
    <row r="37935" spans="1:6" x14ac:dyDescent="0.25">
      <c r="A37935" s="2" t="str">
        <f t="shared" si="1254"/>
        <v>99999</v>
      </c>
      <c r="B37935" s="2" t="str">
        <f>"79344"</f>
        <v>79344</v>
      </c>
      <c r="C37935" s="1">
        <v>2.1827631992236301E-7</v>
      </c>
      <c r="D37935" s="1">
        <v>0</v>
      </c>
      <c r="E37935" s="1">
        <v>8.69107991013423E-6</v>
      </c>
      <c r="F37935" s="1">
        <v>3.9794053833197002E-7</v>
      </c>
    </row>
    <row r="37936" spans="1:6" x14ac:dyDescent="0.25">
      <c r="A37936" s="2" t="str">
        <f t="shared" si="1254"/>
        <v>99999</v>
      </c>
      <c r="B37936" s="2" t="str">
        <f>"79339"</f>
        <v>79339</v>
      </c>
      <c r="C37936" s="1">
        <v>3.7434388866685301E-4</v>
      </c>
      <c r="D37936" s="1">
        <v>5.9338264530286696E-4</v>
      </c>
      <c r="E37936" s="1">
        <v>6.8224977294553701E-4</v>
      </c>
      <c r="F37936" s="1">
        <v>3.9575186537114401E-4</v>
      </c>
    </row>
    <row r="37937" spans="1:6" x14ac:dyDescent="0.25">
      <c r="A37937" s="2" t="str">
        <f t="shared" si="1254"/>
        <v>99999</v>
      </c>
      <c r="B37937" s="2" t="str">
        <f>"79356"</f>
        <v>79356</v>
      </c>
      <c r="C37937" s="1">
        <v>2.41631886154056E-4</v>
      </c>
      <c r="D37937" s="1">
        <v>3.8547107904585203E-4</v>
      </c>
      <c r="E37937" s="1">
        <v>3.43297656450302E-4</v>
      </c>
      <c r="F37937" s="1">
        <v>2.5338863778288202E-4</v>
      </c>
    </row>
    <row r="37938" spans="1:6" x14ac:dyDescent="0.25">
      <c r="A37938" s="2" t="str">
        <f t="shared" si="1254"/>
        <v>99999</v>
      </c>
      <c r="B37938" s="2" t="str">
        <f>"79538"</f>
        <v>79538</v>
      </c>
      <c r="C37938" s="1">
        <v>6.4391514377097196E-6</v>
      </c>
      <c r="D37938" s="1">
        <v>0</v>
      </c>
      <c r="E37938" s="1">
        <v>1.3036619865201299E-5</v>
      </c>
      <c r="F37938" s="1">
        <v>6.1680783441455402E-6</v>
      </c>
    </row>
    <row r="37939" spans="1:6" x14ac:dyDescent="0.25">
      <c r="A37939" s="2" t="str">
        <f t="shared" si="1254"/>
        <v>99999</v>
      </c>
      <c r="B37939" s="2" t="str">
        <f>"79534"</f>
        <v>79534</v>
      </c>
      <c r="C37939" s="1">
        <v>9.9315725564675307E-6</v>
      </c>
      <c r="D37939" s="1">
        <v>1.51760267340886E-6</v>
      </c>
      <c r="E37939" s="1">
        <v>4.3455399550671099E-6</v>
      </c>
      <c r="F37939" s="1">
        <v>9.2521175162183095E-6</v>
      </c>
    </row>
    <row r="37940" spans="1:6" x14ac:dyDescent="0.25">
      <c r="A37940" s="2" t="str">
        <f t="shared" si="1254"/>
        <v>99999</v>
      </c>
      <c r="B37940" s="2" t="str">
        <f>"79526"</f>
        <v>79526</v>
      </c>
      <c r="C37940" s="1">
        <v>1.20051975957299E-6</v>
      </c>
      <c r="D37940" s="1">
        <v>0</v>
      </c>
      <c r="E37940" s="1">
        <v>0</v>
      </c>
      <c r="F37940" s="1">
        <v>1.09433648041291E-6</v>
      </c>
    </row>
    <row r="37941" spans="1:6" x14ac:dyDescent="0.25">
      <c r="A37941" s="2" t="str">
        <f t="shared" si="1254"/>
        <v>99999</v>
      </c>
      <c r="B37941" s="2" t="str">
        <f>"79255"</f>
        <v>79255</v>
      </c>
      <c r="C37941" s="1">
        <v>1.27691647154582E-5</v>
      </c>
      <c r="D37941" s="1">
        <v>4.5528080202265997E-6</v>
      </c>
      <c r="E37941" s="1">
        <v>0</v>
      </c>
      <c r="F37941" s="1">
        <v>1.19382161499591E-5</v>
      </c>
    </row>
    <row r="37942" spans="1:6" x14ac:dyDescent="0.25">
      <c r="A37942" s="2" t="str">
        <f t="shared" si="1254"/>
        <v>99999</v>
      </c>
      <c r="B37942" s="2" t="str">
        <f>"79237"</f>
        <v>79237</v>
      </c>
      <c r="C37942" s="1">
        <v>2.5429191270955298E-5</v>
      </c>
      <c r="D37942" s="1">
        <v>1.21408213872709E-5</v>
      </c>
      <c r="E37942" s="1">
        <v>1.3036619865201299E-5</v>
      </c>
      <c r="F37942" s="1">
        <v>2.4274372838250201E-5</v>
      </c>
    </row>
    <row r="37943" spans="1:6" x14ac:dyDescent="0.25">
      <c r="A37943" s="2" t="str">
        <f t="shared" si="1254"/>
        <v>99999</v>
      </c>
      <c r="B37943" s="2" t="str">
        <f>"79233"</f>
        <v>79233</v>
      </c>
      <c r="C37943" s="1">
        <v>0</v>
      </c>
      <c r="D37943" s="1">
        <v>1.51760267340886E-6</v>
      </c>
      <c r="E37943" s="1">
        <v>4.3455399550671099E-6</v>
      </c>
      <c r="F37943" s="1">
        <v>1.9897026916598501E-7</v>
      </c>
    </row>
    <row r="37944" spans="1:6" x14ac:dyDescent="0.25">
      <c r="A37944" s="2" t="str">
        <f t="shared" si="1254"/>
        <v>99999</v>
      </c>
      <c r="B37944" s="2" t="str">
        <f>"78830"</f>
        <v>78830</v>
      </c>
      <c r="C37944" s="1">
        <v>8.7310527968945299E-6</v>
      </c>
      <c r="D37944" s="1">
        <v>7.5880133670443404E-6</v>
      </c>
      <c r="E37944" s="1">
        <v>4.3455399550671099E-6</v>
      </c>
      <c r="F37944" s="1">
        <v>8.5557215741373606E-6</v>
      </c>
    </row>
    <row r="37945" spans="1:6" x14ac:dyDescent="0.25">
      <c r="A37945" s="2" t="str">
        <f t="shared" si="1254"/>
        <v>99999</v>
      </c>
      <c r="B37945" s="2" t="str">
        <f>"78956"</f>
        <v>78956</v>
      </c>
      <c r="C37945" s="1">
        <v>3.11807723009096E-4</v>
      </c>
      <c r="D37945" s="1">
        <v>5.5847778381446303E-4</v>
      </c>
      <c r="E37945" s="1">
        <v>1.30366198652013E-4</v>
      </c>
      <c r="F37945" s="1">
        <v>3.2382411306764098E-4</v>
      </c>
    </row>
    <row r="37946" spans="1:6" x14ac:dyDescent="0.25">
      <c r="A37946" s="2" t="str">
        <f t="shared" si="1254"/>
        <v>99999</v>
      </c>
      <c r="B37946" s="2" t="str">
        <f>"79024"</f>
        <v>79024</v>
      </c>
      <c r="C37946" s="1">
        <v>1.09138159961181E-7</v>
      </c>
      <c r="D37946" s="1">
        <v>0</v>
      </c>
      <c r="E37946" s="1">
        <v>0</v>
      </c>
      <c r="F37946" s="1">
        <v>9.9485134582992598E-8</v>
      </c>
    </row>
    <row r="37947" spans="1:6" x14ac:dyDescent="0.25">
      <c r="A37947" s="2" t="str">
        <f t="shared" si="1254"/>
        <v>99999</v>
      </c>
      <c r="B37947" s="2" t="str">
        <f>"79053"</f>
        <v>79053</v>
      </c>
      <c r="C37947" s="1">
        <v>0</v>
      </c>
      <c r="D37947" s="1">
        <v>1.51760267340886E-6</v>
      </c>
      <c r="E37947" s="1">
        <v>4.3455399550671099E-6</v>
      </c>
      <c r="F37947" s="1">
        <v>1.9897026916598501E-7</v>
      </c>
    </row>
    <row r="37948" spans="1:6" x14ac:dyDescent="0.25">
      <c r="A37948" s="2" t="str">
        <f t="shared" si="1254"/>
        <v>99999</v>
      </c>
      <c r="B37948" s="2" t="str">
        <f>"79040"</f>
        <v>79040</v>
      </c>
      <c r="C37948" s="1">
        <v>2.41195333514211E-5</v>
      </c>
      <c r="D37948" s="1">
        <v>4.8563285549083798E-5</v>
      </c>
      <c r="E37948" s="1">
        <v>8.69107991013423E-6</v>
      </c>
      <c r="F37948" s="1">
        <v>2.53687093186631E-5</v>
      </c>
    </row>
    <row r="37949" spans="1:6" x14ac:dyDescent="0.25">
      <c r="A37949" s="2" t="str">
        <f t="shared" si="1254"/>
        <v>99999</v>
      </c>
      <c r="B37949" s="2" t="str">
        <f>"79064"</f>
        <v>79064</v>
      </c>
      <c r="C37949" s="1">
        <v>1.65890003140996E-5</v>
      </c>
      <c r="D37949" s="1">
        <v>1.51760267340886E-6</v>
      </c>
      <c r="E37949" s="1">
        <v>1.7382159820268399E-5</v>
      </c>
      <c r="F37949" s="1">
        <v>1.5619166129529801E-5</v>
      </c>
    </row>
    <row r="37950" spans="1:6" x14ac:dyDescent="0.25">
      <c r="A37950" s="2" t="str">
        <f t="shared" si="1254"/>
        <v>99999</v>
      </c>
      <c r="B37950" s="2" t="str">
        <f>"79070"</f>
        <v>79070</v>
      </c>
      <c r="C37950" s="1">
        <v>4.8893895662609395E-4</v>
      </c>
      <c r="D37950" s="1">
        <v>7.8156537680556702E-4</v>
      </c>
      <c r="E37950" s="1">
        <v>4.7800939505738199E-4</v>
      </c>
      <c r="F37950" s="1">
        <v>5.0787161204617699E-4</v>
      </c>
    </row>
    <row r="37951" spans="1:6" x14ac:dyDescent="0.25">
      <c r="A37951" s="2" t="str">
        <f t="shared" si="1254"/>
        <v>99999</v>
      </c>
      <c r="B37951" s="2" t="str">
        <f>"78943"</f>
        <v>78943</v>
      </c>
      <c r="C37951" s="1">
        <v>2.0736250392624501E-5</v>
      </c>
      <c r="D37951" s="1">
        <v>1.51760267340886E-6</v>
      </c>
      <c r="E37951" s="1">
        <v>3.0418779685469802E-5</v>
      </c>
      <c r="F37951" s="1">
        <v>1.96980566474325E-5</v>
      </c>
    </row>
    <row r="37952" spans="1:6" x14ac:dyDescent="0.25">
      <c r="A37952" s="2" t="str">
        <f t="shared" si="1254"/>
        <v>99999</v>
      </c>
      <c r="B37952" s="2" t="str">
        <f>"78938"</f>
        <v>78938</v>
      </c>
      <c r="C37952" s="1">
        <v>1.8662625353362001E-5</v>
      </c>
      <c r="D37952" s="1">
        <v>6.0704106936354696E-6</v>
      </c>
      <c r="E37952" s="1">
        <v>8.69107991013423E-6</v>
      </c>
      <c r="F37952" s="1">
        <v>1.7608868821189599E-5</v>
      </c>
    </row>
    <row r="37953" spans="1:6" x14ac:dyDescent="0.25">
      <c r="A37953" s="2" t="str">
        <f t="shared" si="1254"/>
        <v>99999</v>
      </c>
      <c r="B37953" s="2" t="str">
        <f>"78677"</f>
        <v>78677</v>
      </c>
      <c r="C37953" s="1">
        <v>3.4924211187578098E-6</v>
      </c>
      <c r="D37953" s="1">
        <v>3.0352053468177301E-6</v>
      </c>
      <c r="E37953" s="1">
        <v>4.3455399550671099E-6</v>
      </c>
      <c r="F37953" s="1">
        <v>3.48197971040474E-6</v>
      </c>
    </row>
    <row r="37954" spans="1:6" x14ac:dyDescent="0.25">
      <c r="A37954" s="2" t="str">
        <f t="shared" si="1254"/>
        <v>99999</v>
      </c>
      <c r="B37954" s="2" t="str">
        <f>"78654"</f>
        <v>78654</v>
      </c>
      <c r="C37954" s="1">
        <v>1.16024777854732E-3</v>
      </c>
      <c r="D37954" s="1">
        <v>2.5465372859800801E-3</v>
      </c>
      <c r="E37954" s="1">
        <v>1.5165934443184201E-3</v>
      </c>
      <c r="F37954" s="1">
        <v>1.2592828335515199E-3</v>
      </c>
    </row>
    <row r="37955" spans="1:6" x14ac:dyDescent="0.25">
      <c r="A37955" s="2" t="str">
        <f t="shared" si="1254"/>
        <v>99999</v>
      </c>
      <c r="B37955" s="2" t="str">
        <f>"78611"</f>
        <v>78611</v>
      </c>
      <c r="C37955" s="1">
        <v>9.4699181398317297E-4</v>
      </c>
      <c r="D37955" s="1">
        <v>1.33245514725298E-3</v>
      </c>
      <c r="E37955" s="1">
        <v>7.9088827182221503E-4</v>
      </c>
      <c r="F37955" s="1">
        <v>9.6868675543459895E-4</v>
      </c>
    </row>
    <row r="37956" spans="1:6" x14ac:dyDescent="0.25">
      <c r="A37956" s="2" t="str">
        <f t="shared" si="1254"/>
        <v>99999</v>
      </c>
      <c r="B37956" s="2" t="str">
        <f>"78607"</f>
        <v>78607</v>
      </c>
      <c r="C37956" s="1">
        <v>1.51702042346042E-5</v>
      </c>
      <c r="D37956" s="1">
        <v>7.5880133670443404E-6</v>
      </c>
      <c r="E37956" s="1">
        <v>0</v>
      </c>
      <c r="F37956" s="1">
        <v>1.43258593799509E-5</v>
      </c>
    </row>
    <row r="37957" spans="1:6" x14ac:dyDescent="0.25">
      <c r="A37957" s="2" t="str">
        <f t="shared" si="1254"/>
        <v>99999</v>
      </c>
      <c r="B37957" s="2" t="str">
        <f>"78639"</f>
        <v>78639</v>
      </c>
      <c r="C37957" s="1">
        <v>4.8893895662609395E-4</v>
      </c>
      <c r="D37957" s="1">
        <v>3.8395347637244299E-4</v>
      </c>
      <c r="E37957" s="1">
        <v>1.6947605824761699E-4</v>
      </c>
      <c r="F37957" s="1">
        <v>4.7474306223003999E-4</v>
      </c>
    </row>
    <row r="37958" spans="1:6" x14ac:dyDescent="0.25">
      <c r="A37958" s="2" t="str">
        <f t="shared" si="1254"/>
        <v>99999</v>
      </c>
      <c r="B37958" s="2" t="str">
        <f>"78621"</f>
        <v>78621</v>
      </c>
      <c r="C37958" s="1">
        <v>2.64114347106059E-5</v>
      </c>
      <c r="D37958" s="1">
        <v>1.51760267340886E-6</v>
      </c>
      <c r="E37958" s="1">
        <v>3.0418779685469802E-5</v>
      </c>
      <c r="F37958" s="1">
        <v>2.48712836457481E-5</v>
      </c>
    </row>
    <row r="37959" spans="1:6" x14ac:dyDescent="0.25">
      <c r="A37959" s="2" t="str">
        <f t="shared" si="1254"/>
        <v>99999</v>
      </c>
      <c r="B37959" s="2" t="str">
        <f>"78350"</f>
        <v>78350</v>
      </c>
      <c r="C37959" s="1">
        <v>1.09138159961181E-7</v>
      </c>
      <c r="D37959" s="1">
        <v>1.51760267340886E-6</v>
      </c>
      <c r="E37959" s="1">
        <v>0</v>
      </c>
      <c r="F37959" s="1">
        <v>1.9897026916598501E-7</v>
      </c>
    </row>
    <row r="37960" spans="1:6" x14ac:dyDescent="0.25">
      <c r="A37960" s="2" t="str">
        <f t="shared" si="1254"/>
        <v>99999</v>
      </c>
      <c r="B37960" s="2" t="str">
        <f>"78353"</f>
        <v>78353</v>
      </c>
      <c r="C37960" s="1">
        <v>2.2591599111964599E-5</v>
      </c>
      <c r="D37960" s="1">
        <v>6.0704106936354696E-6</v>
      </c>
      <c r="E37960" s="1">
        <v>0</v>
      </c>
      <c r="F37960" s="1">
        <v>2.0991363397011399E-5</v>
      </c>
    </row>
    <row r="37961" spans="1:6" x14ac:dyDescent="0.25">
      <c r="A37961" s="2" t="str">
        <f t="shared" si="1254"/>
        <v>99999</v>
      </c>
      <c r="B37961" s="2" t="str">
        <f>"78355"</f>
        <v>78355</v>
      </c>
      <c r="C37961" s="1">
        <v>3.1257169012882397E-4</v>
      </c>
      <c r="D37961" s="1">
        <v>4.4010477528857198E-4</v>
      </c>
      <c r="E37961" s="1">
        <v>1.8685821806788599E-4</v>
      </c>
      <c r="F37961" s="1">
        <v>3.1805397526182702E-4</v>
      </c>
    </row>
    <row r="37962" spans="1:6" x14ac:dyDescent="0.25">
      <c r="A37962" s="2" t="str">
        <f t="shared" si="1254"/>
        <v>99999</v>
      </c>
      <c r="B37962" s="2" t="str">
        <f>"78377"</f>
        <v>78377</v>
      </c>
      <c r="C37962" s="1">
        <v>1.9623041161020399E-4</v>
      </c>
      <c r="D37962" s="1">
        <v>3.79400668352217E-4</v>
      </c>
      <c r="E37962" s="1">
        <v>1.9120375802295301E-4</v>
      </c>
      <c r="F37962" s="1">
        <v>2.0812290154761999E-4</v>
      </c>
    </row>
    <row r="37963" spans="1:6" x14ac:dyDescent="0.25">
      <c r="A37963" s="2" t="str">
        <f t="shared" si="1254"/>
        <v>99999</v>
      </c>
      <c r="B37963" s="2" t="str">
        <f>"77984"</f>
        <v>77984</v>
      </c>
      <c r="C37963" s="1">
        <v>2.0539801704694399E-4</v>
      </c>
      <c r="D37963" s="1">
        <v>1.18373008525891E-4</v>
      </c>
      <c r="E37963" s="1">
        <v>4.3455399550671103E-5</v>
      </c>
      <c r="F37963" s="1">
        <v>1.95985715128495E-4</v>
      </c>
    </row>
    <row r="37964" spans="1:6" x14ac:dyDescent="0.25">
      <c r="A37964" s="2" t="str">
        <f t="shared" si="1254"/>
        <v>99999</v>
      </c>
      <c r="B37964" s="2" t="str">
        <f>"77950"</f>
        <v>77950</v>
      </c>
      <c r="C37964" s="1">
        <v>0</v>
      </c>
      <c r="D37964" s="1">
        <v>1.51760267340886E-6</v>
      </c>
      <c r="E37964" s="1">
        <v>0</v>
      </c>
      <c r="F37964" s="1">
        <v>9.9485134582992598E-8</v>
      </c>
    </row>
    <row r="37965" spans="1:6" x14ac:dyDescent="0.25">
      <c r="A37965" s="2" t="str">
        <f t="shared" si="1254"/>
        <v>99999</v>
      </c>
      <c r="B37965" s="2" t="str">
        <f>"77962"</f>
        <v>77962</v>
      </c>
      <c r="C37965" s="1">
        <v>7.2904290854069404E-5</v>
      </c>
      <c r="D37965" s="1">
        <v>6.6774517629990203E-5</v>
      </c>
      <c r="E37965" s="1">
        <v>8.69107991013423E-6</v>
      </c>
      <c r="F37965" s="1">
        <v>7.1032386092256697E-5</v>
      </c>
    </row>
    <row r="37966" spans="1:6" x14ac:dyDescent="0.25">
      <c r="A37966" s="2" t="str">
        <f t="shared" si="1254"/>
        <v>99999</v>
      </c>
      <c r="B37966" s="2" t="str">
        <f>"77662"</f>
        <v>77662</v>
      </c>
      <c r="C37966" s="1">
        <v>2.3901257031498801E-5</v>
      </c>
      <c r="D37966" s="1">
        <v>6.0704106936354696E-6</v>
      </c>
      <c r="E37966" s="1">
        <v>8.69107991013423E-6</v>
      </c>
      <c r="F37966" s="1">
        <v>2.23841552811733E-5</v>
      </c>
    </row>
    <row r="37967" spans="1:6" x14ac:dyDescent="0.25">
      <c r="A37967" s="2" t="str">
        <f t="shared" si="1254"/>
        <v>99999</v>
      </c>
      <c r="B37967" s="2" t="str">
        <f>"77871"</f>
        <v>77871</v>
      </c>
      <c r="C37967" s="1">
        <v>1.20161114117261E-4</v>
      </c>
      <c r="D37967" s="1">
        <v>3.1869656141586203E-5</v>
      </c>
      <c r="E37967" s="1">
        <v>4.3455399550671099E-6</v>
      </c>
      <c r="F37967" s="1">
        <v>1.1172180613670001E-4</v>
      </c>
    </row>
    <row r="37968" spans="1:6" x14ac:dyDescent="0.25">
      <c r="A37968" s="2" t="str">
        <f t="shared" si="1254"/>
        <v>99999</v>
      </c>
      <c r="B37968" s="2" t="str">
        <f>"77855"</f>
        <v>77855</v>
      </c>
      <c r="C37968" s="1">
        <v>0</v>
      </c>
      <c r="D37968" s="1">
        <v>1.51760267340886E-6</v>
      </c>
      <c r="E37968" s="1">
        <v>0</v>
      </c>
      <c r="F37968" s="1">
        <v>9.9485134582992598E-8</v>
      </c>
    </row>
    <row r="37969" spans="1:6" x14ac:dyDescent="0.25">
      <c r="A37969" s="2" t="str">
        <f t="shared" si="1254"/>
        <v>99999</v>
      </c>
      <c r="B37969" s="2" t="str">
        <f>"77853"</f>
        <v>77853</v>
      </c>
      <c r="C37969" s="1">
        <v>7.4213948773603494E-5</v>
      </c>
      <c r="D37969" s="1">
        <v>1.8211232080906399E-5</v>
      </c>
      <c r="E37969" s="1">
        <v>8.69107991013423E-6</v>
      </c>
      <c r="F37969" s="1">
        <v>6.9042683400596794E-5</v>
      </c>
    </row>
    <row r="37970" spans="1:6" x14ac:dyDescent="0.25">
      <c r="A37970" s="2" t="str">
        <f t="shared" ref="A37970:A38033" si="1255">"99999"</f>
        <v>99999</v>
      </c>
      <c r="B37970" s="2" t="str">
        <f>"77616"</f>
        <v>77616</v>
      </c>
      <c r="C37970" s="1">
        <v>2.4992638631110601E-5</v>
      </c>
      <c r="D37970" s="1">
        <v>1.21408213872709E-5</v>
      </c>
      <c r="E37970" s="1">
        <v>0</v>
      </c>
      <c r="F37970" s="1">
        <v>2.3577976896169201E-5</v>
      </c>
    </row>
    <row r="37971" spans="1:6" x14ac:dyDescent="0.25">
      <c r="A37971" s="2" t="str">
        <f t="shared" si="1255"/>
        <v>99999</v>
      </c>
      <c r="B37971" s="2" t="str">
        <f>"77442"</f>
        <v>77442</v>
      </c>
      <c r="C37971" s="1">
        <v>4.8893895662609401E-5</v>
      </c>
      <c r="D37971" s="1">
        <v>2.4281642774541899E-5</v>
      </c>
      <c r="E37971" s="1">
        <v>0</v>
      </c>
      <c r="F37971" s="1">
        <v>4.6161102446508498E-5</v>
      </c>
    </row>
    <row r="37972" spans="1:6" x14ac:dyDescent="0.25">
      <c r="A37972" s="2" t="str">
        <f t="shared" si="1255"/>
        <v>99999</v>
      </c>
      <c r="B37972" s="2" t="str">
        <f>"77435"</f>
        <v>77435</v>
      </c>
      <c r="C37972" s="1">
        <v>6.5482895976708995E-7</v>
      </c>
      <c r="D37972" s="1">
        <v>0</v>
      </c>
      <c r="E37972" s="1">
        <v>0</v>
      </c>
      <c r="F37972" s="1">
        <v>5.9691080749795498E-7</v>
      </c>
    </row>
    <row r="37973" spans="1:6" x14ac:dyDescent="0.25">
      <c r="A37973" s="2" t="str">
        <f t="shared" si="1255"/>
        <v>99999</v>
      </c>
      <c r="B37973" s="2" t="str">
        <f>"77328"</f>
        <v>77328</v>
      </c>
      <c r="C37973" s="1">
        <v>3.13881348048358E-4</v>
      </c>
      <c r="D37973" s="1">
        <v>7.1327325650216798E-5</v>
      </c>
      <c r="E37973" s="1">
        <v>8.69107991013423E-6</v>
      </c>
      <c r="F37973" s="1">
        <v>2.90994018655253E-4</v>
      </c>
    </row>
    <row r="37974" spans="1:6" x14ac:dyDescent="0.25">
      <c r="A37974" s="2" t="str">
        <f t="shared" si="1255"/>
        <v>99999</v>
      </c>
      <c r="B37974" s="2" t="str">
        <f>"77316"</f>
        <v>77316</v>
      </c>
      <c r="C37974" s="1">
        <v>4.6929408783308102E-6</v>
      </c>
      <c r="D37974" s="1">
        <v>0</v>
      </c>
      <c r="E37974" s="1">
        <v>0</v>
      </c>
      <c r="F37974" s="1">
        <v>4.2778607870686803E-6</v>
      </c>
    </row>
    <row r="37975" spans="1:6" x14ac:dyDescent="0.25">
      <c r="A37975" s="2" t="str">
        <f t="shared" si="1255"/>
        <v>99999</v>
      </c>
      <c r="B37975" s="2" t="str">
        <f>"76884"</f>
        <v>76884</v>
      </c>
      <c r="C37975" s="1">
        <v>3.1650066388742701E-6</v>
      </c>
      <c r="D37975" s="1">
        <v>1.51760267340886E-6</v>
      </c>
      <c r="E37975" s="1">
        <v>4.3455399550671099E-6</v>
      </c>
      <c r="F37975" s="1">
        <v>3.0840391720727701E-6</v>
      </c>
    </row>
    <row r="37976" spans="1:6" x14ac:dyDescent="0.25">
      <c r="A37976" s="2" t="str">
        <f t="shared" si="1255"/>
        <v>99999</v>
      </c>
      <c r="B37976" s="2" t="str">
        <f>"76883"</f>
        <v>76883</v>
      </c>
      <c r="C37976" s="1">
        <v>8.7310527968945299E-7</v>
      </c>
      <c r="D37976" s="1">
        <v>0</v>
      </c>
      <c r="E37976" s="1">
        <v>4.3455399550671099E-6</v>
      </c>
      <c r="F37976" s="1">
        <v>8.9536621124693305E-7</v>
      </c>
    </row>
    <row r="37977" spans="1:6" x14ac:dyDescent="0.25">
      <c r="A37977" s="2" t="str">
        <f t="shared" si="1255"/>
        <v>99999</v>
      </c>
      <c r="B37977" s="2" t="str">
        <f>"76870"</f>
        <v>76870</v>
      </c>
      <c r="C37977" s="1">
        <v>4.3655263984472599E-6</v>
      </c>
      <c r="D37977" s="1">
        <v>1.51760267340886E-6</v>
      </c>
      <c r="E37977" s="1">
        <v>0</v>
      </c>
      <c r="F37977" s="1">
        <v>4.07889051790269E-6</v>
      </c>
    </row>
    <row r="37978" spans="1:6" x14ac:dyDescent="0.25">
      <c r="A37978" s="2" t="str">
        <f t="shared" si="1255"/>
        <v>99999</v>
      </c>
      <c r="B37978" s="2" t="str">
        <f>"76854"</f>
        <v>76854</v>
      </c>
      <c r="C37978" s="1">
        <v>1.6370723994177199E-5</v>
      </c>
      <c r="D37978" s="1">
        <v>0</v>
      </c>
      <c r="E37978" s="1">
        <v>4.3455399550671099E-6</v>
      </c>
      <c r="F37978" s="1">
        <v>1.50222553220318E-5</v>
      </c>
    </row>
    <row r="37979" spans="1:6" x14ac:dyDescent="0.25">
      <c r="A37979" s="2" t="str">
        <f t="shared" si="1255"/>
        <v>99999</v>
      </c>
      <c r="B37979" s="2" t="str">
        <f>"76832"</f>
        <v>76832</v>
      </c>
      <c r="C37979" s="1">
        <v>1.6479862154138401E-5</v>
      </c>
      <c r="D37979" s="1">
        <v>4.5528080202265997E-6</v>
      </c>
      <c r="E37979" s="1">
        <v>4.3455399550671099E-6</v>
      </c>
      <c r="F37979" s="1">
        <v>1.5420195860363801E-5</v>
      </c>
    </row>
    <row r="37980" spans="1:6" x14ac:dyDescent="0.25">
      <c r="A37980" s="2" t="str">
        <f t="shared" si="1255"/>
        <v>99999</v>
      </c>
      <c r="B37980" s="2" t="str">
        <f>"76801"</f>
        <v>76801</v>
      </c>
      <c r="C37980" s="1">
        <v>3.4924211187578098E-6</v>
      </c>
      <c r="D37980" s="1">
        <v>0</v>
      </c>
      <c r="E37980" s="1">
        <v>3.47643196405369E-5</v>
      </c>
      <c r="F37980" s="1">
        <v>3.9794053833197E-6</v>
      </c>
    </row>
    <row r="37981" spans="1:6" x14ac:dyDescent="0.25">
      <c r="A37981" s="2" t="str">
        <f t="shared" si="1255"/>
        <v>99999</v>
      </c>
      <c r="B37981" s="2" t="str">
        <f>"76856"</f>
        <v>76856</v>
      </c>
      <c r="C37981" s="1">
        <v>7.7160679092555396E-5</v>
      </c>
      <c r="D37981" s="1">
        <v>4.2492874855448297E-5</v>
      </c>
      <c r="E37981" s="1">
        <v>7.3874179236140894E-5</v>
      </c>
      <c r="F37981" s="1">
        <v>7.4812821206410397E-5</v>
      </c>
    </row>
    <row r="37982" spans="1:6" x14ac:dyDescent="0.25">
      <c r="A37982" s="2" t="str">
        <f t="shared" si="1255"/>
        <v>99999</v>
      </c>
      <c r="B37982" s="2" t="str">
        <f>"76690"</f>
        <v>76690</v>
      </c>
      <c r="C37982" s="1">
        <v>6.8975317095466796E-5</v>
      </c>
      <c r="D37982" s="1">
        <v>1.3658424060679801E-5</v>
      </c>
      <c r="E37982" s="1">
        <v>8.2565259146275205E-5</v>
      </c>
      <c r="F37982" s="1">
        <v>6.5660188824775102E-5</v>
      </c>
    </row>
    <row r="37983" spans="1:6" x14ac:dyDescent="0.25">
      <c r="A37983" s="2" t="str">
        <f t="shared" si="1255"/>
        <v>99999</v>
      </c>
      <c r="B37983" s="2" t="str">
        <f>"76666"</f>
        <v>76666</v>
      </c>
      <c r="C37983" s="1">
        <v>1.17869212758076E-5</v>
      </c>
      <c r="D37983" s="1">
        <v>1.51760267340886E-6</v>
      </c>
      <c r="E37983" s="1">
        <v>8.69107991013423E-6</v>
      </c>
      <c r="F37983" s="1">
        <v>1.10428499387121E-5</v>
      </c>
    </row>
    <row r="37984" spans="1:6" x14ac:dyDescent="0.25">
      <c r="A37984" s="2" t="str">
        <f t="shared" si="1255"/>
        <v>99999</v>
      </c>
      <c r="B37984" s="2" t="str">
        <f>"76624"</f>
        <v>76624</v>
      </c>
      <c r="C37984" s="1">
        <v>4.0381119185637197E-6</v>
      </c>
      <c r="D37984" s="1">
        <v>0</v>
      </c>
      <c r="E37984" s="1">
        <v>0</v>
      </c>
      <c r="F37984" s="1">
        <v>3.6809499795707201E-6</v>
      </c>
    </row>
    <row r="37985" spans="1:6" x14ac:dyDescent="0.25">
      <c r="A37985" s="2" t="str">
        <f t="shared" si="1255"/>
        <v>99999</v>
      </c>
      <c r="B37985" s="2" t="str">
        <f>"76637"</f>
        <v>76637</v>
      </c>
      <c r="C37985" s="1">
        <v>2.7393678150256599E-5</v>
      </c>
      <c r="D37985" s="1">
        <v>6.0704106936354696E-6</v>
      </c>
      <c r="E37985" s="1">
        <v>8.69107991013423E-6</v>
      </c>
      <c r="F37985" s="1">
        <v>2.55676795878291E-5</v>
      </c>
    </row>
    <row r="37986" spans="1:6" x14ac:dyDescent="0.25">
      <c r="A37986" s="2" t="str">
        <f t="shared" si="1255"/>
        <v>99999</v>
      </c>
      <c r="B37986" s="2" t="str">
        <f>"76634"</f>
        <v>76634</v>
      </c>
      <c r="C37986" s="1">
        <v>3.9420703377978798E-4</v>
      </c>
      <c r="D37986" s="1">
        <v>4.0216470845335001E-4</v>
      </c>
      <c r="E37986" s="1">
        <v>2.9549671694456298E-4</v>
      </c>
      <c r="F37986" s="1">
        <v>3.9246885592990501E-4</v>
      </c>
    </row>
    <row r="37987" spans="1:6" x14ac:dyDescent="0.25">
      <c r="A37987" s="2" t="str">
        <f t="shared" si="1255"/>
        <v>99999</v>
      </c>
      <c r="B37987" s="2" t="str">
        <f>"76627"</f>
        <v>76627</v>
      </c>
      <c r="C37987" s="1">
        <v>8.0762238371274403E-5</v>
      </c>
      <c r="D37987" s="1">
        <v>4.5528080202266E-5</v>
      </c>
      <c r="E37987" s="1">
        <v>4.3455399550671099E-6</v>
      </c>
      <c r="F37987" s="1">
        <v>7.6703038763487294E-5</v>
      </c>
    </row>
    <row r="37988" spans="1:6" x14ac:dyDescent="0.25">
      <c r="A37988" s="2" t="str">
        <f t="shared" si="1255"/>
        <v>99999</v>
      </c>
      <c r="B37988" s="2" t="str">
        <f>"76622"</f>
        <v>76622</v>
      </c>
      <c r="C37988" s="1">
        <v>5.6097014220047403E-5</v>
      </c>
      <c r="D37988" s="1">
        <v>1.9728834754315301E-5</v>
      </c>
      <c r="E37988" s="1">
        <v>3.0418779685469802E-5</v>
      </c>
      <c r="F37988" s="1">
        <v>5.3125061867318001E-5</v>
      </c>
    </row>
    <row r="37989" spans="1:6" x14ac:dyDescent="0.25">
      <c r="A37989" s="2" t="str">
        <f t="shared" si="1255"/>
        <v>99999</v>
      </c>
      <c r="B37989" s="2" t="str">
        <f>"76577"</f>
        <v>76577</v>
      </c>
      <c r="C37989" s="1">
        <v>1.35003903871981E-4</v>
      </c>
      <c r="D37989" s="1">
        <v>6.5256914956581297E-5</v>
      </c>
      <c r="E37989" s="1">
        <v>9.1256339056409395E-5</v>
      </c>
      <c r="F37989" s="1">
        <v>1.2943016009247301E-4</v>
      </c>
    </row>
    <row r="37990" spans="1:6" x14ac:dyDescent="0.25">
      <c r="A37990" s="2" t="str">
        <f t="shared" si="1255"/>
        <v>99999</v>
      </c>
      <c r="B37990" s="2" t="str">
        <f>"76433"</f>
        <v>76433</v>
      </c>
      <c r="C37990" s="1">
        <v>6.4391514377097196E-6</v>
      </c>
      <c r="D37990" s="1">
        <v>0</v>
      </c>
      <c r="E37990" s="1">
        <v>3.9109859595604001E-5</v>
      </c>
      <c r="F37990" s="1">
        <v>6.7649891516434898E-6</v>
      </c>
    </row>
    <row r="37991" spans="1:6" x14ac:dyDescent="0.25">
      <c r="A37991" s="2" t="str">
        <f t="shared" si="1255"/>
        <v>99999</v>
      </c>
      <c r="B37991" s="2" t="str">
        <f>"76429"</f>
        <v>76429</v>
      </c>
      <c r="C37991" s="1">
        <v>1.22234739156523E-5</v>
      </c>
      <c r="D37991" s="1">
        <v>1.51760267340886E-6</v>
      </c>
      <c r="E37991" s="1">
        <v>8.69107991013423E-6</v>
      </c>
      <c r="F37991" s="1">
        <v>1.1440790477044101E-5</v>
      </c>
    </row>
    <row r="37992" spans="1:6" x14ac:dyDescent="0.25">
      <c r="A37992" s="2" t="str">
        <f t="shared" si="1255"/>
        <v>99999</v>
      </c>
      <c r="B37992" s="2" t="str">
        <f>"76448"</f>
        <v>76448</v>
      </c>
      <c r="C37992" s="1">
        <v>3.2643223644389401E-4</v>
      </c>
      <c r="D37992" s="1">
        <v>7.5121332333738999E-4</v>
      </c>
      <c r="E37992" s="1">
        <v>3.4764319640536898E-4</v>
      </c>
      <c r="F37992" s="1">
        <v>3.5476398992295098E-4</v>
      </c>
    </row>
    <row r="37993" spans="1:6" x14ac:dyDescent="0.25">
      <c r="A37993" s="2" t="str">
        <f t="shared" si="1255"/>
        <v>99999</v>
      </c>
      <c r="B37993" s="2" t="str">
        <f>"76435"</f>
        <v>76435</v>
      </c>
      <c r="C37993" s="1">
        <v>3.8198355986413601E-5</v>
      </c>
      <c r="D37993" s="1">
        <v>1.21408213872709E-5</v>
      </c>
      <c r="E37993" s="1">
        <v>2.60732397304027E-5</v>
      </c>
      <c r="F37993" s="1">
        <v>3.6212588988209297E-5</v>
      </c>
    </row>
    <row r="37994" spans="1:6" x14ac:dyDescent="0.25">
      <c r="A37994" s="2" t="str">
        <f t="shared" si="1255"/>
        <v>99999</v>
      </c>
      <c r="B37994" s="2" t="str">
        <f>"76449"</f>
        <v>76449</v>
      </c>
      <c r="C37994" s="1">
        <v>5.4569079980590801E-7</v>
      </c>
      <c r="D37994" s="1">
        <v>0</v>
      </c>
      <c r="E37994" s="1">
        <v>0</v>
      </c>
      <c r="F37994" s="1">
        <v>4.9742567291496303E-7</v>
      </c>
    </row>
    <row r="37995" spans="1:6" x14ac:dyDescent="0.25">
      <c r="A37995" s="2" t="str">
        <f t="shared" si="1255"/>
        <v>99999</v>
      </c>
      <c r="B37995" s="2" t="str">
        <f>"76474"</f>
        <v>76474</v>
      </c>
      <c r="C37995" s="1">
        <v>1.6479862154138401E-5</v>
      </c>
      <c r="D37995" s="1">
        <v>4.5528080202265997E-6</v>
      </c>
      <c r="E37995" s="1">
        <v>1.7382159820268399E-5</v>
      </c>
      <c r="F37995" s="1">
        <v>1.57186512641128E-5</v>
      </c>
    </row>
    <row r="37996" spans="1:6" x14ac:dyDescent="0.25">
      <c r="A37996" s="2" t="str">
        <f t="shared" si="1255"/>
        <v>99999</v>
      </c>
      <c r="B37996" s="2" t="str">
        <f>"76458"</f>
        <v>76458</v>
      </c>
      <c r="C37996" s="1">
        <v>2.9794717669402601E-4</v>
      </c>
      <c r="D37996" s="1">
        <v>5.0536169024515299E-4</v>
      </c>
      <c r="E37996" s="1">
        <v>2.3031361761855699E-4</v>
      </c>
      <c r="F37996" s="1">
        <v>3.0999567936060502E-4</v>
      </c>
    </row>
    <row r="37997" spans="1:6" x14ac:dyDescent="0.25">
      <c r="A37997" s="2" t="str">
        <f t="shared" si="1255"/>
        <v>99999</v>
      </c>
      <c r="B37997" s="2" t="str">
        <f>"76255"</f>
        <v>76255</v>
      </c>
      <c r="C37997" s="1">
        <v>4.0271981025676002E-4</v>
      </c>
      <c r="D37997" s="1">
        <v>4.8108004747061099E-4</v>
      </c>
      <c r="E37997" s="1">
        <v>2.4769577743882499E-4</v>
      </c>
      <c r="F37997" s="1">
        <v>4.04307586945282E-4</v>
      </c>
    </row>
    <row r="37998" spans="1:6" x14ac:dyDescent="0.25">
      <c r="A37998" s="2" t="str">
        <f t="shared" si="1255"/>
        <v>99999</v>
      </c>
      <c r="B37998" s="2" t="str">
        <f>"76389"</f>
        <v>76389</v>
      </c>
      <c r="C37998" s="1">
        <v>3.8198355986413598E-6</v>
      </c>
      <c r="D37998" s="1">
        <v>1.8211232080906399E-5</v>
      </c>
      <c r="E37998" s="1">
        <v>0</v>
      </c>
      <c r="F37998" s="1">
        <v>4.6758013254006498E-6</v>
      </c>
    </row>
    <row r="37999" spans="1:6" x14ac:dyDescent="0.25">
      <c r="A37999" s="2" t="str">
        <f t="shared" si="1255"/>
        <v>99999</v>
      </c>
      <c r="B37999" s="2" t="str">
        <f>"75838"</f>
        <v>75838</v>
      </c>
      <c r="C37999" s="1">
        <v>5.12949351817554E-5</v>
      </c>
      <c r="D37999" s="1">
        <v>3.0352053468177301E-5</v>
      </c>
      <c r="E37999" s="1">
        <v>8.69107991013423E-6</v>
      </c>
      <c r="F37999" s="1">
        <v>4.8946686214832301E-5</v>
      </c>
    </row>
    <row r="38000" spans="1:6" x14ac:dyDescent="0.25">
      <c r="A38000" s="2" t="str">
        <f t="shared" si="1255"/>
        <v>99999</v>
      </c>
      <c r="B38000" s="2" t="str">
        <f>"75951"</f>
        <v>75951</v>
      </c>
      <c r="C38000" s="1">
        <v>8.8129064168654197E-4</v>
      </c>
      <c r="D38000" s="1">
        <v>1.33397274992639E-3</v>
      </c>
      <c r="E38000" s="1">
        <v>1.06813372095549E-2</v>
      </c>
      <c r="F38000" s="1">
        <v>1.1353243558611099E-3</v>
      </c>
    </row>
    <row r="38001" spans="1:6" x14ac:dyDescent="0.25">
      <c r="A38001" s="2" t="str">
        <f t="shared" si="1255"/>
        <v>99999</v>
      </c>
      <c r="B38001" s="2" t="str">
        <f>"75926"</f>
        <v>75926</v>
      </c>
      <c r="C38001" s="1">
        <v>9.1566916207431399E-5</v>
      </c>
      <c r="D38001" s="1">
        <v>1.5176026734088599E-5</v>
      </c>
      <c r="E38001" s="1">
        <v>1.7382159820268399E-5</v>
      </c>
      <c r="F38001" s="1">
        <v>8.4860819799292698E-5</v>
      </c>
    </row>
    <row r="38002" spans="1:6" x14ac:dyDescent="0.25">
      <c r="A38002" s="2" t="str">
        <f t="shared" si="1255"/>
        <v>99999</v>
      </c>
      <c r="B38002" s="2" t="str">
        <f>"75936"</f>
        <v>75936</v>
      </c>
      <c r="C38002" s="1">
        <v>6.0899093258339399E-5</v>
      </c>
      <c r="D38002" s="1">
        <v>1.21408213872709E-5</v>
      </c>
      <c r="E38002" s="1">
        <v>8.69107991013423E-6</v>
      </c>
      <c r="F38002" s="1">
        <v>5.6507556443139802E-5</v>
      </c>
    </row>
    <row r="38003" spans="1:6" x14ac:dyDescent="0.25">
      <c r="A38003" s="2" t="str">
        <f t="shared" si="1255"/>
        <v>99999</v>
      </c>
      <c r="B38003" s="2" t="str">
        <f>"75935"</f>
        <v>75935</v>
      </c>
      <c r="C38003" s="1">
        <v>8.7987184560704701E-4</v>
      </c>
      <c r="D38003" s="1">
        <v>1.2474693975420899E-3</v>
      </c>
      <c r="E38003" s="1">
        <v>3.9544413591110703E-4</v>
      </c>
      <c r="F38003" s="1">
        <v>8.9287908288235795E-4</v>
      </c>
    </row>
    <row r="38004" spans="1:6" x14ac:dyDescent="0.25">
      <c r="A38004" s="2" t="str">
        <f t="shared" si="1255"/>
        <v>99999</v>
      </c>
      <c r="B38004" s="2" t="str">
        <f>"75931"</f>
        <v>75931</v>
      </c>
      <c r="C38004" s="1">
        <v>2.22096155521004E-4</v>
      </c>
      <c r="D38004" s="1">
        <v>1.3506663793338901E-4</v>
      </c>
      <c r="E38004" s="1">
        <v>1.5209389842734899E-4</v>
      </c>
      <c r="F38004" s="1">
        <v>2.14788405564681E-4</v>
      </c>
    </row>
    <row r="38005" spans="1:6" x14ac:dyDescent="0.25">
      <c r="A38005" s="2" t="str">
        <f t="shared" si="1255"/>
        <v>99999</v>
      </c>
      <c r="B38005" s="2" t="str">
        <f>"75862"</f>
        <v>75862</v>
      </c>
      <c r="C38005" s="1">
        <v>7.0055784879082504E-4</v>
      </c>
      <c r="D38005" s="1">
        <v>1.3506663793338901E-4</v>
      </c>
      <c r="E38005" s="1">
        <v>1.4340281851721399E-4</v>
      </c>
      <c r="F38005" s="1">
        <v>6.50732265307354E-4</v>
      </c>
    </row>
    <row r="38006" spans="1:6" x14ac:dyDescent="0.25">
      <c r="A38006" s="2" t="str">
        <f t="shared" si="1255"/>
        <v>99999</v>
      </c>
      <c r="B38006" s="2" t="str">
        <f>"75859"</f>
        <v>75859</v>
      </c>
      <c r="C38006" s="1">
        <v>1.1459506795924E-4</v>
      </c>
      <c r="D38006" s="1">
        <v>8.4985749710896595E-5</v>
      </c>
      <c r="E38006" s="1">
        <v>4.7800939505738197E-5</v>
      </c>
      <c r="F38006" s="1">
        <v>1.11124895329202E-4</v>
      </c>
    </row>
    <row r="38007" spans="1:6" x14ac:dyDescent="0.25">
      <c r="A38007" s="2" t="str">
        <f t="shared" si="1255"/>
        <v>99999</v>
      </c>
      <c r="B38007" s="2" t="str">
        <f>"75855"</f>
        <v>75855</v>
      </c>
      <c r="C38007" s="1">
        <v>1.9557558265043701E-4</v>
      </c>
      <c r="D38007" s="1">
        <v>6.37393122831725E-5</v>
      </c>
      <c r="E38007" s="1">
        <v>2.5638685734895902E-4</v>
      </c>
      <c r="F38007" s="1">
        <v>1.8832535976560501E-4</v>
      </c>
    </row>
    <row r="38008" spans="1:6" x14ac:dyDescent="0.25">
      <c r="A38008" s="2" t="str">
        <f t="shared" si="1255"/>
        <v>99999</v>
      </c>
      <c r="B38008" s="2" t="str">
        <f>"75840"</f>
        <v>75840</v>
      </c>
      <c r="C38008" s="1">
        <v>3.82310974344019E-4</v>
      </c>
      <c r="D38008" s="1">
        <v>6.28287506791271E-4</v>
      </c>
      <c r="E38008" s="1">
        <v>1.8685821806788599E-4</v>
      </c>
      <c r="F38008" s="1">
        <v>3.9396113294864999E-4</v>
      </c>
    </row>
    <row r="38009" spans="1:6" x14ac:dyDescent="0.25">
      <c r="A38009" s="2" t="str">
        <f t="shared" si="1255"/>
        <v>99999</v>
      </c>
      <c r="B38009" s="2" t="str">
        <f>"75652"</f>
        <v>75652</v>
      </c>
      <c r="C38009" s="1">
        <v>1.52793423945654E-6</v>
      </c>
      <c r="D38009" s="1">
        <v>0</v>
      </c>
      <c r="E38009" s="1">
        <v>0</v>
      </c>
      <c r="F38009" s="1">
        <v>1.39279188416189E-6</v>
      </c>
    </row>
    <row r="38010" spans="1:6" x14ac:dyDescent="0.25">
      <c r="A38010" s="2" t="str">
        <f t="shared" si="1255"/>
        <v>99999</v>
      </c>
      <c r="B38010" s="2" t="str">
        <f>"75633"</f>
        <v>75633</v>
      </c>
      <c r="C38010" s="1">
        <v>8.7528804288867698E-4</v>
      </c>
      <c r="D38010" s="1">
        <v>1.1624836478311899E-3</v>
      </c>
      <c r="E38010" s="1">
        <v>4.1891005166846997E-3</v>
      </c>
      <c r="F38010" s="1">
        <v>9.6998006218417801E-4</v>
      </c>
    </row>
    <row r="38011" spans="1:6" x14ac:dyDescent="0.25">
      <c r="A38011" s="2" t="str">
        <f t="shared" si="1255"/>
        <v>99999</v>
      </c>
      <c r="B38011" s="2" t="str">
        <f>"75631"</f>
        <v>75631</v>
      </c>
      <c r="C38011" s="1">
        <v>1.04990909882656E-4</v>
      </c>
      <c r="D38011" s="1">
        <v>3.0352053468177301E-5</v>
      </c>
      <c r="E38011" s="1">
        <v>4.7800939505738197E-5</v>
      </c>
      <c r="F38011" s="1">
        <v>9.8788738640911595E-5</v>
      </c>
    </row>
    <row r="38012" spans="1:6" x14ac:dyDescent="0.25">
      <c r="A38012" s="2" t="str">
        <f t="shared" si="1255"/>
        <v>99999</v>
      </c>
      <c r="B38012" s="2" t="str">
        <f>"75630"</f>
        <v>75630</v>
      </c>
      <c r="C38012" s="1">
        <v>1.75821575697463E-4</v>
      </c>
      <c r="D38012" s="1">
        <v>5.9186504262945899E-5</v>
      </c>
      <c r="E38012" s="1">
        <v>3.33302914553647E-3</v>
      </c>
      <c r="F38012" s="1">
        <v>2.4045557028709301E-4</v>
      </c>
    </row>
    <row r="38013" spans="1:6" x14ac:dyDescent="0.25">
      <c r="A38013" s="2" t="str">
        <f t="shared" si="1255"/>
        <v>99999</v>
      </c>
      <c r="B38013" s="2" t="str">
        <f>"75657"</f>
        <v>75657</v>
      </c>
      <c r="C38013" s="1">
        <v>7.1463667142581799E-4</v>
      </c>
      <c r="D38013" s="1">
        <v>7.4666051531716298E-4</v>
      </c>
      <c r="E38013" s="1">
        <v>2.6507793725909402E-4</v>
      </c>
      <c r="F38013" s="1">
        <v>7.0644394067383002E-4</v>
      </c>
    </row>
    <row r="38014" spans="1:6" x14ac:dyDescent="0.25">
      <c r="A38014" s="2" t="str">
        <f t="shared" si="1255"/>
        <v>99999</v>
      </c>
      <c r="B38014" s="2" t="str">
        <f>"75565"</f>
        <v>75565</v>
      </c>
      <c r="C38014" s="1">
        <v>0</v>
      </c>
      <c r="D38014" s="1">
        <v>0</v>
      </c>
      <c r="E38014" s="1">
        <v>4.3455399550671099E-6</v>
      </c>
      <c r="F38014" s="1">
        <v>9.9485134582992598E-8</v>
      </c>
    </row>
    <row r="38015" spans="1:6" x14ac:dyDescent="0.25">
      <c r="A38015" s="2" t="str">
        <f t="shared" si="1255"/>
        <v>99999</v>
      </c>
      <c r="B38015" s="2" t="str">
        <f>"75471"</f>
        <v>75471</v>
      </c>
      <c r="C38015" s="1">
        <v>3.4924211187578098E-6</v>
      </c>
      <c r="D38015" s="1">
        <v>0</v>
      </c>
      <c r="E38015" s="1">
        <v>0</v>
      </c>
      <c r="F38015" s="1">
        <v>3.1835243066557602E-6</v>
      </c>
    </row>
    <row r="38016" spans="1:6" x14ac:dyDescent="0.25">
      <c r="A38016" s="2" t="str">
        <f t="shared" si="1255"/>
        <v>99999</v>
      </c>
      <c r="B38016" s="2" t="str">
        <f>"75472"</f>
        <v>75472</v>
      </c>
      <c r="C38016" s="1">
        <v>2.8419576853891702E-4</v>
      </c>
      <c r="D38016" s="1">
        <v>1.2292581654611801E-4</v>
      </c>
      <c r="E38016" s="1">
        <v>8.69107991013423E-5</v>
      </c>
      <c r="F38016" s="1">
        <v>2.6910728904699498E-4</v>
      </c>
    </row>
    <row r="38017" spans="1:6" x14ac:dyDescent="0.25">
      <c r="A38017" s="2" t="str">
        <f t="shared" si="1255"/>
        <v>99999</v>
      </c>
      <c r="B38017" s="2" t="str">
        <f>"75103"</f>
        <v>75103</v>
      </c>
      <c r="C38017" s="1">
        <v>7.3198963885964504E-4</v>
      </c>
      <c r="D38017" s="1">
        <v>1.1275787863427901E-3</v>
      </c>
      <c r="E38017" s="1">
        <v>5.2146479460805396E-4</v>
      </c>
      <c r="F38017" s="1">
        <v>7.5310246879325396E-4</v>
      </c>
    </row>
    <row r="38018" spans="1:6" x14ac:dyDescent="0.25">
      <c r="A38018" s="2" t="str">
        <f t="shared" si="1255"/>
        <v>99999</v>
      </c>
      <c r="B38018" s="2" t="str">
        <f>"75117"</f>
        <v>75117</v>
      </c>
      <c r="C38018" s="1">
        <v>1.91537470731873E-4</v>
      </c>
      <c r="D38018" s="1">
        <v>7.5880133670443406E-5</v>
      </c>
      <c r="E38018" s="1">
        <v>4.3455399550671103E-5</v>
      </c>
      <c r="F38018" s="1">
        <v>1.8056551926813101E-4</v>
      </c>
    </row>
    <row r="38019" spans="1:6" x14ac:dyDescent="0.25">
      <c r="A38019" s="2" t="str">
        <f t="shared" si="1255"/>
        <v>99999</v>
      </c>
      <c r="B38019" s="2" t="str">
        <f>"74943"</f>
        <v>74943</v>
      </c>
      <c r="C38019" s="1">
        <v>0</v>
      </c>
      <c r="D38019" s="1">
        <v>0</v>
      </c>
      <c r="E38019" s="1">
        <v>4.3455399550671099E-6</v>
      </c>
      <c r="F38019" s="1">
        <v>9.9485134582992598E-8</v>
      </c>
    </row>
    <row r="38020" spans="1:6" x14ac:dyDescent="0.25">
      <c r="A38020" s="2" t="str">
        <f t="shared" si="1255"/>
        <v>99999</v>
      </c>
      <c r="B38020" s="2" t="str">
        <f>"74939"</f>
        <v>74939</v>
      </c>
      <c r="C38020" s="1">
        <v>3.2523171668432101E-5</v>
      </c>
      <c r="D38020" s="1">
        <v>1.0623218713862E-5</v>
      </c>
      <c r="E38020" s="1">
        <v>4.3455399550671099E-6</v>
      </c>
      <c r="F38020" s="1">
        <v>3.0442451182395699E-5</v>
      </c>
    </row>
    <row r="38021" spans="1:6" x14ac:dyDescent="0.25">
      <c r="A38021" s="2" t="str">
        <f t="shared" si="1255"/>
        <v>99999</v>
      </c>
      <c r="B38021" s="2" t="str">
        <f>"74902"</f>
        <v>74902</v>
      </c>
      <c r="C38021" s="1">
        <v>2.1150975400476999E-4</v>
      </c>
      <c r="D38021" s="1">
        <v>2.06393963583606E-4</v>
      </c>
      <c r="E38021" s="1">
        <v>2.2596807766349001E-4</v>
      </c>
      <c r="F38021" s="1">
        <v>2.1150539612344201E-4</v>
      </c>
    </row>
    <row r="38022" spans="1:6" x14ac:dyDescent="0.25">
      <c r="A38022" s="2" t="str">
        <f t="shared" si="1255"/>
        <v>99999</v>
      </c>
      <c r="B38022" s="2" t="str">
        <f>"74884"</f>
        <v>74884</v>
      </c>
      <c r="C38022" s="1">
        <v>3.2184843372552399E-4</v>
      </c>
      <c r="D38022" s="1">
        <v>6.1311148005718298E-4</v>
      </c>
      <c r="E38022" s="1">
        <v>2.8246009707936202E-4</v>
      </c>
      <c r="F38022" s="1">
        <v>3.4004019000466798E-4</v>
      </c>
    </row>
    <row r="38023" spans="1:6" x14ac:dyDescent="0.25">
      <c r="A38023" s="2" t="str">
        <f t="shared" si="1255"/>
        <v>99999</v>
      </c>
      <c r="B38023" s="2" t="str">
        <f>"74560"</f>
        <v>74560</v>
      </c>
      <c r="C38023" s="1">
        <v>2.2919013591848099E-6</v>
      </c>
      <c r="D38023" s="1">
        <v>1.51760267340886E-6</v>
      </c>
      <c r="E38023" s="1">
        <v>0</v>
      </c>
      <c r="F38023" s="1">
        <v>2.1886729608258301E-6</v>
      </c>
    </row>
    <row r="38024" spans="1:6" x14ac:dyDescent="0.25">
      <c r="A38024" s="2" t="str">
        <f t="shared" si="1255"/>
        <v>99999</v>
      </c>
      <c r="B38024" s="2" t="str">
        <f>"74577"</f>
        <v>74577</v>
      </c>
      <c r="C38024" s="1">
        <v>6.6574277576320803E-6</v>
      </c>
      <c r="D38024" s="1">
        <v>0</v>
      </c>
      <c r="E38024" s="1">
        <v>4.3455399550671099E-6</v>
      </c>
      <c r="F38024" s="1">
        <v>6.1680783441455402E-6</v>
      </c>
    </row>
    <row r="38025" spans="1:6" x14ac:dyDescent="0.25">
      <c r="A38025" s="2" t="str">
        <f t="shared" si="1255"/>
        <v>99999</v>
      </c>
      <c r="B38025" s="2" t="str">
        <f>"74578"</f>
        <v>74578</v>
      </c>
      <c r="C38025" s="1">
        <v>3.2490430220443801E-4</v>
      </c>
      <c r="D38025" s="1">
        <v>4.79562444797202E-4</v>
      </c>
      <c r="E38025" s="1">
        <v>2.4335023748375801E-4</v>
      </c>
      <c r="F38025" s="1">
        <v>3.3317571571844199E-4</v>
      </c>
    </row>
    <row r="38026" spans="1:6" x14ac:dyDescent="0.25">
      <c r="A38026" s="2" t="str">
        <f t="shared" si="1255"/>
        <v>99999</v>
      </c>
      <c r="B38026" s="2" t="str">
        <f>"74567"</f>
        <v>74567</v>
      </c>
      <c r="C38026" s="1">
        <v>1.2441750235574699E-5</v>
      </c>
      <c r="D38026" s="1">
        <v>1.0623218713862E-5</v>
      </c>
      <c r="E38026" s="1">
        <v>4.3455399550671099E-6</v>
      </c>
      <c r="F38026" s="1">
        <v>1.21371864191251E-5</v>
      </c>
    </row>
    <row r="38027" spans="1:6" x14ac:dyDescent="0.25">
      <c r="A38027" s="2" t="str">
        <f t="shared" si="1255"/>
        <v>99999</v>
      </c>
      <c r="B38027" s="2" t="str">
        <f>"74555"</f>
        <v>74555</v>
      </c>
      <c r="C38027" s="1">
        <v>6.9193593415389201E-5</v>
      </c>
      <c r="D38027" s="1">
        <v>1.8211232080906399E-5</v>
      </c>
      <c r="E38027" s="1">
        <v>4.3455399550671099E-6</v>
      </c>
      <c r="F38027" s="1">
        <v>6.4366882075196196E-5</v>
      </c>
    </row>
    <row r="38028" spans="1:6" x14ac:dyDescent="0.25">
      <c r="A38028" s="2" t="str">
        <f t="shared" si="1255"/>
        <v>99999</v>
      </c>
      <c r="B38028" s="2" t="str">
        <f>"74547"</f>
        <v>74547</v>
      </c>
      <c r="C38028" s="1">
        <v>5.8934606379038102E-6</v>
      </c>
      <c r="D38028" s="1">
        <v>0</v>
      </c>
      <c r="E38028" s="1">
        <v>0</v>
      </c>
      <c r="F38028" s="1">
        <v>5.3721972674816004E-6</v>
      </c>
    </row>
    <row r="38029" spans="1:6" x14ac:dyDescent="0.25">
      <c r="A38029" s="2" t="str">
        <f t="shared" si="1255"/>
        <v>99999</v>
      </c>
      <c r="B38029" s="2" t="str">
        <f>"74553"</f>
        <v>74553</v>
      </c>
      <c r="C38029" s="1">
        <v>1.17869212758076E-5</v>
      </c>
      <c r="D38029" s="1">
        <v>0</v>
      </c>
      <c r="E38029" s="1">
        <v>0</v>
      </c>
      <c r="F38029" s="1">
        <v>1.0744394534963201E-5</v>
      </c>
    </row>
    <row r="38030" spans="1:6" x14ac:dyDescent="0.25">
      <c r="A38030" s="2" t="str">
        <f t="shared" si="1255"/>
        <v>99999</v>
      </c>
      <c r="B38030" s="2" t="str">
        <f>"74867"</f>
        <v>74867</v>
      </c>
      <c r="C38030" s="1">
        <v>4.24547442248996E-5</v>
      </c>
      <c r="D38030" s="1">
        <v>6.0704106936354696E-6</v>
      </c>
      <c r="E38030" s="1">
        <v>4.3455399550671099E-6</v>
      </c>
      <c r="F38030" s="1">
        <v>3.9197143025699002E-5</v>
      </c>
    </row>
    <row r="38031" spans="1:6" x14ac:dyDescent="0.25">
      <c r="A38031" s="2" t="str">
        <f t="shared" si="1255"/>
        <v>99999</v>
      </c>
      <c r="B38031" s="2" t="str">
        <f>"74856"</f>
        <v>74856</v>
      </c>
      <c r="C38031" s="1">
        <v>2.83759215899072E-5</v>
      </c>
      <c r="D38031" s="1">
        <v>4.5528080202265997E-6</v>
      </c>
      <c r="E38031" s="1">
        <v>4.3455399550671099E-6</v>
      </c>
      <c r="F38031" s="1">
        <v>2.6264075529910002E-5</v>
      </c>
    </row>
    <row r="38032" spans="1:6" x14ac:dyDescent="0.25">
      <c r="A38032" s="2" t="str">
        <f t="shared" si="1255"/>
        <v>99999</v>
      </c>
      <c r="B38032" s="2" t="str">
        <f>"74754"</f>
        <v>74754</v>
      </c>
      <c r="C38032" s="1">
        <v>3.96171520659089E-5</v>
      </c>
      <c r="D38032" s="1">
        <v>3.0352053468177301E-5</v>
      </c>
      <c r="E38032" s="1">
        <v>4.3455399550671099E-6</v>
      </c>
      <c r="F38032" s="1">
        <v>3.8202291679869098E-5</v>
      </c>
    </row>
    <row r="38033" spans="1:6" x14ac:dyDescent="0.25">
      <c r="A38033" s="2" t="str">
        <f t="shared" si="1255"/>
        <v>99999</v>
      </c>
      <c r="B38033" s="2" t="str">
        <f>"74735"</f>
        <v>74735</v>
      </c>
      <c r="C38033" s="1">
        <v>9.9534001884597702E-5</v>
      </c>
      <c r="D38033" s="1">
        <v>3.0352053468177301E-5</v>
      </c>
      <c r="E38033" s="1">
        <v>2.1727699775335501E-5</v>
      </c>
      <c r="F38033" s="1">
        <v>9.3217571104264098E-5</v>
      </c>
    </row>
    <row r="38034" spans="1:6" x14ac:dyDescent="0.25">
      <c r="A38034" s="2" t="str">
        <f t="shared" ref="A38034:A38097" si="1256">"99999"</f>
        <v>99999</v>
      </c>
      <c r="B38034" s="2" t="str">
        <f>"74804"</f>
        <v>74804</v>
      </c>
      <c r="C38034" s="1">
        <v>1.09138159961181E-7</v>
      </c>
      <c r="D38034" s="1">
        <v>0</v>
      </c>
      <c r="E38034" s="1">
        <v>0</v>
      </c>
      <c r="F38034" s="1">
        <v>9.9485134582992598E-8</v>
      </c>
    </row>
    <row r="38035" spans="1:6" x14ac:dyDescent="0.25">
      <c r="A38035" s="2" t="str">
        <f t="shared" si="1256"/>
        <v>99999</v>
      </c>
      <c r="B38035" s="2" t="str">
        <f>"74833"</f>
        <v>74833</v>
      </c>
      <c r="C38035" s="1">
        <v>5.0640106221988301E-5</v>
      </c>
      <c r="D38035" s="1">
        <v>4.8563285549083798E-5</v>
      </c>
      <c r="E38035" s="1">
        <v>4.3455399550671099E-6</v>
      </c>
      <c r="F38035" s="1">
        <v>4.94441118877473E-5</v>
      </c>
    </row>
    <row r="38036" spans="1:6" x14ac:dyDescent="0.25">
      <c r="A38036" s="2" t="str">
        <f t="shared" si="1256"/>
        <v>99999</v>
      </c>
      <c r="B38036" s="2" t="str">
        <f>"74829"</f>
        <v>74829</v>
      </c>
      <c r="C38036" s="1">
        <v>3.96171520659089E-5</v>
      </c>
      <c r="D38036" s="1">
        <v>1.9728834754315301E-5</v>
      </c>
      <c r="E38036" s="1">
        <v>4.3455399550671099E-6</v>
      </c>
      <c r="F38036" s="1">
        <v>3.7505895737788197E-5</v>
      </c>
    </row>
    <row r="38037" spans="1:6" x14ac:dyDescent="0.25">
      <c r="A38037" s="2" t="str">
        <f t="shared" si="1256"/>
        <v>99999</v>
      </c>
      <c r="B38037" s="2" t="str">
        <f>"74368"</f>
        <v>74368</v>
      </c>
      <c r="C38037" s="1">
        <v>3.05586847891308E-6</v>
      </c>
      <c r="D38037" s="1">
        <v>4.5528080202265997E-6</v>
      </c>
      <c r="E38037" s="1">
        <v>4.3455399550671099E-6</v>
      </c>
      <c r="F38037" s="1">
        <v>3.1835243066557602E-6</v>
      </c>
    </row>
    <row r="38038" spans="1:6" x14ac:dyDescent="0.25">
      <c r="A38038" s="2" t="str">
        <f t="shared" si="1256"/>
        <v>99999</v>
      </c>
      <c r="B38038" s="2" t="str">
        <f>"74332"</f>
        <v>74332</v>
      </c>
      <c r="C38038" s="1">
        <v>9.4950199166228097E-5</v>
      </c>
      <c r="D38038" s="1">
        <v>3.0352053468177301E-5</v>
      </c>
      <c r="E38038" s="1">
        <v>8.69107991013423E-6</v>
      </c>
      <c r="F38038" s="1">
        <v>8.8740740048029402E-5</v>
      </c>
    </row>
    <row r="38039" spans="1:6" x14ac:dyDescent="0.25">
      <c r="A38039" s="2" t="str">
        <f t="shared" si="1256"/>
        <v>99999</v>
      </c>
      <c r="B38039" s="2" t="str">
        <f>"74331"</f>
        <v>74331</v>
      </c>
      <c r="C38039" s="1">
        <v>4.9788828574291104E-4</v>
      </c>
      <c r="D38039" s="1">
        <v>3.0352053468177303E-4</v>
      </c>
      <c r="E38039" s="1">
        <v>3.8240751604590601E-4</v>
      </c>
      <c r="F38039" s="1">
        <v>4.8250290272751399E-4</v>
      </c>
    </row>
    <row r="38040" spans="1:6" x14ac:dyDescent="0.25">
      <c r="A38040" s="2" t="str">
        <f t="shared" si="1256"/>
        <v>99999</v>
      </c>
      <c r="B38040" s="2" t="str">
        <f>"74072"</f>
        <v>74072</v>
      </c>
      <c r="C38040" s="1">
        <v>5.7952362939387498E-5</v>
      </c>
      <c r="D38040" s="1">
        <v>9.1056160404532095E-6</v>
      </c>
      <c r="E38040" s="1">
        <v>1.3036619865201299E-5</v>
      </c>
      <c r="F38040" s="1">
        <v>5.3721972674815999E-5</v>
      </c>
    </row>
    <row r="38041" spans="1:6" x14ac:dyDescent="0.25">
      <c r="A38041" s="2" t="str">
        <f t="shared" si="1256"/>
        <v>99999</v>
      </c>
      <c r="B38041" s="2" t="str">
        <f>"74036"</f>
        <v>74036</v>
      </c>
      <c r="C38041" s="1">
        <v>1.71346911139055E-5</v>
      </c>
      <c r="D38041" s="1">
        <v>3.0352053468177301E-6</v>
      </c>
      <c r="E38041" s="1">
        <v>0</v>
      </c>
      <c r="F38041" s="1">
        <v>1.5818136398695801E-5</v>
      </c>
    </row>
    <row r="38042" spans="1:6" x14ac:dyDescent="0.25">
      <c r="A38042" s="2" t="str">
        <f t="shared" si="1256"/>
        <v>99999</v>
      </c>
      <c r="B38042" s="2" t="str">
        <f>"73835"</f>
        <v>73835</v>
      </c>
      <c r="C38042" s="1">
        <v>1.9099177993206801E-5</v>
      </c>
      <c r="D38042" s="1">
        <v>4.5528080202265997E-6</v>
      </c>
      <c r="E38042" s="1">
        <v>4.3455399550671099E-6</v>
      </c>
      <c r="F38042" s="1">
        <v>1.7807839090355599E-5</v>
      </c>
    </row>
    <row r="38043" spans="1:6" x14ac:dyDescent="0.25">
      <c r="A38043" s="2" t="str">
        <f t="shared" si="1256"/>
        <v>99999</v>
      </c>
      <c r="B38043" s="2" t="str">
        <f>"73456"</f>
        <v>73456</v>
      </c>
      <c r="C38043" s="1">
        <v>3.00129939893249E-5</v>
      </c>
      <c r="D38043" s="1">
        <v>1.3658424060679801E-5</v>
      </c>
      <c r="E38043" s="1">
        <v>4.3455399550671099E-6</v>
      </c>
      <c r="F38043" s="1">
        <v>2.8353263356152899E-5</v>
      </c>
    </row>
    <row r="38044" spans="1:6" x14ac:dyDescent="0.25">
      <c r="A38044" s="2" t="str">
        <f t="shared" si="1256"/>
        <v>99999</v>
      </c>
      <c r="B38044" s="2" t="str">
        <f>"73763"</f>
        <v>73763</v>
      </c>
      <c r="C38044" s="1">
        <v>7.6724126452710695E-5</v>
      </c>
      <c r="D38044" s="1">
        <v>3.1869656141586203E-5</v>
      </c>
      <c r="E38044" s="1">
        <v>3.0418779685469802E-5</v>
      </c>
      <c r="F38044" s="1">
        <v>7.2723633380167597E-5</v>
      </c>
    </row>
    <row r="38045" spans="1:6" x14ac:dyDescent="0.25">
      <c r="A38045" s="2" t="str">
        <f t="shared" si="1256"/>
        <v>99999</v>
      </c>
      <c r="B38045" s="2" t="str">
        <f>"73654"</f>
        <v>73654</v>
      </c>
      <c r="C38045" s="1">
        <v>5.5333047100319102E-5</v>
      </c>
      <c r="D38045" s="1">
        <v>1.5176026734088599E-5</v>
      </c>
      <c r="E38045" s="1">
        <v>4.3455399550671099E-6</v>
      </c>
      <c r="F38045" s="1">
        <v>5.15332997139901E-5</v>
      </c>
    </row>
    <row r="38046" spans="1:6" x14ac:dyDescent="0.25">
      <c r="A38046" s="2" t="str">
        <f t="shared" si="1256"/>
        <v>99999</v>
      </c>
      <c r="B38046" s="2" t="str">
        <f>"73626"</f>
        <v>73626</v>
      </c>
      <c r="C38046" s="1">
        <v>4.1035948145404301E-5</v>
      </c>
      <c r="D38046" s="1">
        <v>2.4281642774541899E-5</v>
      </c>
      <c r="E38046" s="1">
        <v>4.3455399550671099E-6</v>
      </c>
      <c r="F38046" s="1">
        <v>3.9097657891116098E-5</v>
      </c>
    </row>
    <row r="38047" spans="1:6" x14ac:dyDescent="0.25">
      <c r="A38047" s="2" t="str">
        <f t="shared" si="1256"/>
        <v>99999</v>
      </c>
      <c r="B38047" s="2" t="str">
        <f>"73566"</f>
        <v>73566</v>
      </c>
      <c r="C38047" s="1">
        <v>1.18087489077998E-4</v>
      </c>
      <c r="D38047" s="1">
        <v>1.9273553952292601E-4</v>
      </c>
      <c r="E38047" s="1">
        <v>4.7800939505738197E-5</v>
      </c>
      <c r="F38047" s="1">
        <v>1.21371864191251E-4</v>
      </c>
    </row>
    <row r="38048" spans="1:6" x14ac:dyDescent="0.25">
      <c r="A38048" s="2" t="str">
        <f t="shared" si="1256"/>
        <v>99999</v>
      </c>
      <c r="B38048" s="2" t="str">
        <f>"73565"</f>
        <v>73565</v>
      </c>
      <c r="C38048" s="1">
        <v>5.6860981339775603E-5</v>
      </c>
      <c r="D38048" s="1">
        <v>3.9457669508630602E-5</v>
      </c>
      <c r="E38048" s="1">
        <v>2.1727699775335501E-5</v>
      </c>
      <c r="F38048" s="1">
        <v>5.49157942898119E-5</v>
      </c>
    </row>
    <row r="38049" spans="1:6" x14ac:dyDescent="0.25">
      <c r="A38049" s="2" t="str">
        <f t="shared" si="1256"/>
        <v>99999</v>
      </c>
      <c r="B38049" s="2" t="str">
        <f>"73724"</f>
        <v>73724</v>
      </c>
      <c r="C38049" s="1">
        <v>4.4746645584084497E-5</v>
      </c>
      <c r="D38049" s="1">
        <v>2.4281642774541899E-5</v>
      </c>
      <c r="E38049" s="1">
        <v>4.3455399550671099E-6</v>
      </c>
      <c r="F38049" s="1">
        <v>4.2480152466937797E-5</v>
      </c>
    </row>
    <row r="38050" spans="1:6" x14ac:dyDescent="0.25">
      <c r="A38050" s="2" t="str">
        <f t="shared" si="1256"/>
        <v>99999</v>
      </c>
      <c r="B38050" s="2" t="str">
        <f>"73663"</f>
        <v>73663</v>
      </c>
      <c r="C38050" s="1">
        <v>5.0094415422182397E-5</v>
      </c>
      <c r="D38050" s="1">
        <v>3.4904861488403899E-5</v>
      </c>
      <c r="E38050" s="1">
        <v>4.3455399550671099E-6</v>
      </c>
      <c r="F38050" s="1">
        <v>4.8051320003585402E-5</v>
      </c>
    </row>
    <row r="38051" spans="1:6" x14ac:dyDescent="0.25">
      <c r="A38051" s="2" t="str">
        <f t="shared" si="1256"/>
        <v>99999</v>
      </c>
      <c r="B38051" s="2" t="str">
        <f>"73728"</f>
        <v>73728</v>
      </c>
      <c r="C38051" s="1">
        <v>1.4460806194856499E-4</v>
      </c>
      <c r="D38051" s="1">
        <v>2.9593252131472901E-4</v>
      </c>
      <c r="E38051" s="1">
        <v>9.1256339056409395E-5</v>
      </c>
      <c r="F38051" s="1">
        <v>1.53306592392391E-4</v>
      </c>
    </row>
    <row r="38052" spans="1:6" x14ac:dyDescent="0.25">
      <c r="A38052" s="2" t="str">
        <f t="shared" si="1256"/>
        <v>99999</v>
      </c>
      <c r="B38052" s="2" t="str">
        <f>"73544"</f>
        <v>73544</v>
      </c>
      <c r="C38052" s="1">
        <v>1.6152447674254801E-5</v>
      </c>
      <c r="D38052" s="1">
        <v>1.21408213872709E-5</v>
      </c>
      <c r="E38052" s="1">
        <v>4.3455399550671099E-6</v>
      </c>
      <c r="F38052" s="1">
        <v>1.5619166129529801E-5</v>
      </c>
    </row>
    <row r="38053" spans="1:6" x14ac:dyDescent="0.25">
      <c r="A38053" s="2" t="str">
        <f t="shared" si="1256"/>
        <v>99999</v>
      </c>
      <c r="B38053" s="2" t="str">
        <f>"73548"</f>
        <v>73548</v>
      </c>
      <c r="C38053" s="1">
        <v>4.6929408783308097E-5</v>
      </c>
      <c r="D38053" s="1">
        <v>6.0704106936354696E-6</v>
      </c>
      <c r="E38053" s="1">
        <v>4.3455399550671099E-6</v>
      </c>
      <c r="F38053" s="1">
        <v>4.3276033543601697E-5</v>
      </c>
    </row>
    <row r="38054" spans="1:6" x14ac:dyDescent="0.25">
      <c r="A38054" s="2" t="str">
        <f t="shared" si="1256"/>
        <v>99999</v>
      </c>
      <c r="B38054" s="2" t="str">
        <f>"73096"</f>
        <v>73096</v>
      </c>
      <c r="C38054" s="1">
        <v>6.5482895976708995E-7</v>
      </c>
      <c r="D38054" s="1">
        <v>0</v>
      </c>
      <c r="E38054" s="1">
        <v>0</v>
      </c>
      <c r="F38054" s="1">
        <v>5.9691080749795498E-7</v>
      </c>
    </row>
    <row r="38055" spans="1:6" x14ac:dyDescent="0.25">
      <c r="A38055" s="2" t="str">
        <f t="shared" si="1256"/>
        <v>99999</v>
      </c>
      <c r="B38055" s="2" t="str">
        <f>"73075"</f>
        <v>73075</v>
      </c>
      <c r="C38055" s="1">
        <v>4.9046689086555001E-4</v>
      </c>
      <c r="D38055" s="1">
        <v>9.37878452166681E-4</v>
      </c>
      <c r="E38055" s="1">
        <v>2.4335023748375801E-4</v>
      </c>
      <c r="F38055" s="1">
        <v>5.1413917552490499E-4</v>
      </c>
    </row>
    <row r="38056" spans="1:6" x14ac:dyDescent="0.25">
      <c r="A38056" s="2" t="str">
        <f t="shared" si="1256"/>
        <v>99999</v>
      </c>
      <c r="B38056" s="2" t="str">
        <f>"73006"</f>
        <v>73006</v>
      </c>
      <c r="C38056" s="1">
        <v>8.2945001570498098E-5</v>
      </c>
      <c r="D38056" s="1">
        <v>1.66936294074975E-5</v>
      </c>
      <c r="E38056" s="1">
        <v>4.3455399550671099E-6</v>
      </c>
      <c r="F38056" s="1">
        <v>7.6802523898070299E-5</v>
      </c>
    </row>
    <row r="38057" spans="1:6" x14ac:dyDescent="0.25">
      <c r="A38057" s="2" t="str">
        <f t="shared" si="1256"/>
        <v>99999</v>
      </c>
      <c r="B38057" s="2" t="str">
        <f>"72958"</f>
        <v>72958</v>
      </c>
      <c r="C38057" s="1">
        <v>5.1382245709724302E-4</v>
      </c>
      <c r="D38057" s="1">
        <v>3.06555740028591E-4</v>
      </c>
      <c r="E38057" s="1">
        <v>1.56439438382416E-4</v>
      </c>
      <c r="F38057" s="1">
        <v>4.9205347564748104E-4</v>
      </c>
    </row>
    <row r="38058" spans="1:6" x14ac:dyDescent="0.25">
      <c r="A38058" s="2" t="str">
        <f t="shared" si="1256"/>
        <v>99999</v>
      </c>
      <c r="B38058" s="2" t="str">
        <f>"72944"</f>
        <v>72944</v>
      </c>
      <c r="C38058" s="1">
        <v>5.45690799805908E-5</v>
      </c>
      <c r="D38058" s="1">
        <v>2.88344507947685E-5</v>
      </c>
      <c r="E38058" s="1">
        <v>2.60732397304027E-5</v>
      </c>
      <c r="F38058" s="1">
        <v>5.2229695656071103E-5</v>
      </c>
    </row>
    <row r="38059" spans="1:6" x14ac:dyDescent="0.25">
      <c r="A38059" s="2" t="str">
        <f t="shared" si="1256"/>
        <v>99999</v>
      </c>
      <c r="B38059" s="2" t="str">
        <f>"73040"</f>
        <v>73040</v>
      </c>
      <c r="C38059" s="1">
        <v>6.9957560535117394E-5</v>
      </c>
      <c r="D38059" s="1">
        <v>1.54795472687704E-4</v>
      </c>
      <c r="E38059" s="1">
        <v>4.3455399550671099E-6</v>
      </c>
      <c r="F38059" s="1">
        <v>7.4016940129746503E-5</v>
      </c>
    </row>
    <row r="38060" spans="1:6" x14ac:dyDescent="0.25">
      <c r="A38060" s="2" t="str">
        <f t="shared" si="1256"/>
        <v>99999</v>
      </c>
      <c r="B38060" s="2" t="str">
        <f>"73030"</f>
        <v>73030</v>
      </c>
      <c r="C38060" s="1">
        <v>2.3835774135521999E-4</v>
      </c>
      <c r="D38060" s="1">
        <v>3.8243587369903497E-4</v>
      </c>
      <c r="E38060" s="1">
        <v>2.3900469752869099E-4</v>
      </c>
      <c r="F38060" s="1">
        <v>2.4781747024623399E-4</v>
      </c>
    </row>
    <row r="38061" spans="1:6" x14ac:dyDescent="0.25">
      <c r="A38061" s="2" t="str">
        <f t="shared" si="1256"/>
        <v>99999</v>
      </c>
      <c r="B38061" s="2" t="str">
        <f>"72928"</f>
        <v>72928</v>
      </c>
      <c r="C38061" s="1">
        <v>5.4569079980590801E-7</v>
      </c>
      <c r="D38061" s="1">
        <v>1.51760267340886E-6</v>
      </c>
      <c r="E38061" s="1">
        <v>0</v>
      </c>
      <c r="F38061" s="1">
        <v>5.9691080749795498E-7</v>
      </c>
    </row>
    <row r="38062" spans="1:6" x14ac:dyDescent="0.25">
      <c r="A38062" s="2" t="str">
        <f t="shared" si="1256"/>
        <v>99999</v>
      </c>
      <c r="B38062" s="2" t="str">
        <f>"73011"</f>
        <v>73011</v>
      </c>
      <c r="C38062" s="1">
        <v>1.09138159961181E-7</v>
      </c>
      <c r="D38062" s="1">
        <v>0</v>
      </c>
      <c r="E38062" s="1">
        <v>0</v>
      </c>
      <c r="F38062" s="1">
        <v>9.9485134582992598E-8</v>
      </c>
    </row>
    <row r="38063" spans="1:6" x14ac:dyDescent="0.25">
      <c r="A38063" s="2" t="str">
        <f t="shared" si="1256"/>
        <v>99999</v>
      </c>
      <c r="B38063" s="2" t="str">
        <f>"72841"</f>
        <v>72841</v>
      </c>
      <c r="C38063" s="1">
        <v>1.20051975957299E-5</v>
      </c>
      <c r="D38063" s="1">
        <v>4.5528080202265997E-6</v>
      </c>
      <c r="E38063" s="1">
        <v>4.3455399550671099E-6</v>
      </c>
      <c r="F38063" s="1">
        <v>1.13413053424611E-5</v>
      </c>
    </row>
    <row r="38064" spans="1:6" x14ac:dyDescent="0.25">
      <c r="A38064" s="2" t="str">
        <f t="shared" si="1256"/>
        <v>99999</v>
      </c>
      <c r="B38064" s="2" t="str">
        <f>"72835"</f>
        <v>72835</v>
      </c>
      <c r="C38064" s="1">
        <v>4.4528369264162099E-5</v>
      </c>
      <c r="D38064" s="1">
        <v>1.21408213872709E-5</v>
      </c>
      <c r="E38064" s="1">
        <v>4.3455399550671099E-6</v>
      </c>
      <c r="F38064" s="1">
        <v>4.14853011211079E-5</v>
      </c>
    </row>
    <row r="38065" spans="1:6" x14ac:dyDescent="0.25">
      <c r="A38065" s="2" t="str">
        <f t="shared" si="1256"/>
        <v>99999</v>
      </c>
      <c r="B38065" s="2" t="str">
        <f>"72657"</f>
        <v>72657</v>
      </c>
      <c r="C38065" s="1">
        <v>0</v>
      </c>
      <c r="D38065" s="1">
        <v>0</v>
      </c>
      <c r="E38065" s="1">
        <v>4.3455399550671099E-6</v>
      </c>
      <c r="F38065" s="1">
        <v>9.9485134582992598E-8</v>
      </c>
    </row>
    <row r="38066" spans="1:6" x14ac:dyDescent="0.25">
      <c r="A38066" s="2" t="str">
        <f t="shared" si="1256"/>
        <v>99999</v>
      </c>
      <c r="B38066" s="2" t="str">
        <f>"72645"</f>
        <v>72645</v>
      </c>
      <c r="C38066" s="1">
        <v>1.6032395698297499E-4</v>
      </c>
      <c r="D38066" s="1">
        <v>2.88344507947685E-5</v>
      </c>
      <c r="E38066" s="1">
        <v>1.7382159820268399E-5</v>
      </c>
      <c r="F38066" s="1">
        <v>1.48431820797825E-4</v>
      </c>
    </row>
    <row r="38067" spans="1:6" x14ac:dyDescent="0.25">
      <c r="A38067" s="2" t="str">
        <f t="shared" si="1256"/>
        <v>99999</v>
      </c>
      <c r="B38067" s="2" t="str">
        <f>"72633"</f>
        <v>72633</v>
      </c>
      <c r="C38067" s="1">
        <v>4.1035948145404301E-5</v>
      </c>
      <c r="D38067" s="1">
        <v>3.0352053468177301E-6</v>
      </c>
      <c r="E38067" s="1">
        <v>0</v>
      </c>
      <c r="F38067" s="1">
        <v>3.7605380872371202E-5</v>
      </c>
    </row>
    <row r="38068" spans="1:6" x14ac:dyDescent="0.25">
      <c r="A38068" s="2" t="str">
        <f t="shared" si="1256"/>
        <v>99999</v>
      </c>
      <c r="B38068" s="2" t="str">
        <f>"72629"</f>
        <v>72629</v>
      </c>
      <c r="C38068" s="1">
        <v>5.12949351817554E-5</v>
      </c>
      <c r="D38068" s="1">
        <v>7.5880133670443404E-6</v>
      </c>
      <c r="E38068" s="1">
        <v>4.3455399550671099E-6</v>
      </c>
      <c r="F38068" s="1">
        <v>4.7354924061504399E-5</v>
      </c>
    </row>
    <row r="38069" spans="1:6" x14ac:dyDescent="0.25">
      <c r="A38069" s="2" t="str">
        <f t="shared" si="1256"/>
        <v>99999</v>
      </c>
      <c r="B38069" s="2" t="str">
        <f>"72366"</f>
        <v>72366</v>
      </c>
      <c r="C38069" s="1">
        <v>2.7284539990295402E-6</v>
      </c>
      <c r="D38069" s="1">
        <v>6.0704106936354696E-6</v>
      </c>
      <c r="E38069" s="1">
        <v>0</v>
      </c>
      <c r="F38069" s="1">
        <v>2.8850689029067799E-6</v>
      </c>
    </row>
    <row r="38070" spans="1:6" x14ac:dyDescent="0.25">
      <c r="A38070" s="2" t="str">
        <f t="shared" si="1256"/>
        <v>99999</v>
      </c>
      <c r="B38070" s="2" t="str">
        <f>"72368"</f>
        <v>72368</v>
      </c>
      <c r="C38070" s="1">
        <v>7.1048942134729296E-5</v>
      </c>
      <c r="D38070" s="1">
        <v>1.66936294074975E-5</v>
      </c>
      <c r="E38070" s="1">
        <v>4.3455399550671099E-6</v>
      </c>
      <c r="F38070" s="1">
        <v>6.5958644228524105E-5</v>
      </c>
    </row>
    <row r="38071" spans="1:6" x14ac:dyDescent="0.25">
      <c r="A38071" s="2" t="str">
        <f t="shared" si="1256"/>
        <v>99999</v>
      </c>
      <c r="B38071" s="2" t="str">
        <f>"72577"</f>
        <v>72577</v>
      </c>
      <c r="C38071" s="1">
        <v>2.0627112232663299E-5</v>
      </c>
      <c r="D38071" s="1">
        <v>1.51760267340886E-6</v>
      </c>
      <c r="E38071" s="1">
        <v>0</v>
      </c>
      <c r="F38071" s="1">
        <v>1.89021755707686E-5</v>
      </c>
    </row>
    <row r="38072" spans="1:6" x14ac:dyDescent="0.25">
      <c r="A38072" s="2" t="str">
        <f t="shared" si="1256"/>
        <v>99999</v>
      </c>
      <c r="B38072" s="2" t="str">
        <f>"72617"</f>
        <v>72617</v>
      </c>
      <c r="C38072" s="1">
        <v>4.0381119185637197E-6</v>
      </c>
      <c r="D38072" s="1">
        <v>1.51760267340886E-6</v>
      </c>
      <c r="E38072" s="1">
        <v>0</v>
      </c>
      <c r="F38072" s="1">
        <v>3.7804351141537199E-6</v>
      </c>
    </row>
    <row r="38073" spans="1:6" x14ac:dyDescent="0.25">
      <c r="A38073" s="2" t="str">
        <f t="shared" si="1256"/>
        <v>99999</v>
      </c>
      <c r="B38073" s="2" t="str">
        <f>"72584"</f>
        <v>72584</v>
      </c>
      <c r="C38073" s="1">
        <v>5.1076658861833002E-5</v>
      </c>
      <c r="D38073" s="1">
        <v>0</v>
      </c>
      <c r="E38073" s="1">
        <v>4.3455399550671099E-6</v>
      </c>
      <c r="F38073" s="1">
        <v>4.6658528119423498E-5</v>
      </c>
    </row>
    <row r="38074" spans="1:6" x14ac:dyDescent="0.25">
      <c r="A38074" s="2" t="str">
        <f t="shared" si="1256"/>
        <v>99999</v>
      </c>
      <c r="B38074" s="2" t="str">
        <f>"72573"</f>
        <v>72573</v>
      </c>
      <c r="C38074" s="1">
        <v>2.9685579509441402E-5</v>
      </c>
      <c r="D38074" s="1">
        <v>7.5880133670443404E-6</v>
      </c>
      <c r="E38074" s="1">
        <v>8.69107991013423E-6</v>
      </c>
      <c r="F38074" s="1">
        <v>2.7756352548654901E-5</v>
      </c>
    </row>
    <row r="38075" spans="1:6" x14ac:dyDescent="0.25">
      <c r="A38075" s="2" t="str">
        <f t="shared" si="1256"/>
        <v>99999</v>
      </c>
      <c r="B38075" s="2" t="str">
        <f>"72465"</f>
        <v>72465</v>
      </c>
      <c r="C38075" s="1">
        <v>1.09138159961181E-7</v>
      </c>
      <c r="D38075" s="1">
        <v>0</v>
      </c>
      <c r="E38075" s="1">
        <v>4.3455399550671099E-6</v>
      </c>
      <c r="F38075" s="1">
        <v>1.9897026916598501E-7</v>
      </c>
    </row>
    <row r="38076" spans="1:6" x14ac:dyDescent="0.25">
      <c r="A38076" s="2" t="str">
        <f t="shared" si="1256"/>
        <v>99999</v>
      </c>
      <c r="B38076" s="2" t="str">
        <f>"72466"</f>
        <v>72466</v>
      </c>
      <c r="C38076" s="1">
        <v>5.3368560221017798E-5</v>
      </c>
      <c r="D38076" s="1">
        <v>4.5528080202265997E-6</v>
      </c>
      <c r="E38076" s="1">
        <v>4.3455399550671099E-6</v>
      </c>
      <c r="F38076" s="1">
        <v>4.9046171349415299E-5</v>
      </c>
    </row>
    <row r="38077" spans="1:6" x14ac:dyDescent="0.25">
      <c r="A38077" s="2" t="str">
        <f t="shared" si="1256"/>
        <v>99999</v>
      </c>
      <c r="B38077" s="2" t="str">
        <f>"72471"</f>
        <v>72471</v>
      </c>
      <c r="C38077" s="1">
        <v>3.8416632306335898E-5</v>
      </c>
      <c r="D38077" s="1">
        <v>1.3658424060679801E-5</v>
      </c>
      <c r="E38077" s="1">
        <v>4.3455399550671099E-6</v>
      </c>
      <c r="F38077" s="1">
        <v>3.60136187190433E-5</v>
      </c>
    </row>
    <row r="38078" spans="1:6" x14ac:dyDescent="0.25">
      <c r="A38078" s="2" t="str">
        <f t="shared" si="1256"/>
        <v>99999</v>
      </c>
      <c r="B38078" s="2" t="str">
        <f>"72545"</f>
        <v>72545</v>
      </c>
      <c r="C38078" s="1">
        <v>0</v>
      </c>
      <c r="D38078" s="1">
        <v>1.51760267340886E-6</v>
      </c>
      <c r="E38078" s="1">
        <v>0</v>
      </c>
      <c r="F38078" s="1">
        <v>9.9485134582992598E-8</v>
      </c>
    </row>
    <row r="38079" spans="1:6" x14ac:dyDescent="0.25">
      <c r="A38079" s="2" t="str">
        <f t="shared" si="1256"/>
        <v>99999</v>
      </c>
      <c r="B38079" s="2" t="str">
        <f>"72550"</f>
        <v>72550</v>
      </c>
      <c r="C38079" s="1">
        <v>1.30965791953418E-5</v>
      </c>
      <c r="D38079" s="1">
        <v>0</v>
      </c>
      <c r="E38079" s="1">
        <v>0</v>
      </c>
      <c r="F38079" s="1">
        <v>1.19382161499591E-5</v>
      </c>
    </row>
    <row r="38080" spans="1:6" x14ac:dyDescent="0.25">
      <c r="A38080" s="2" t="str">
        <f t="shared" si="1256"/>
        <v>99999</v>
      </c>
      <c r="B38080" s="2" t="str">
        <f>"72543"</f>
        <v>72543</v>
      </c>
      <c r="C38080" s="1">
        <v>8.0183806123480198E-4</v>
      </c>
      <c r="D38080" s="1">
        <v>1.1078499515884701E-3</v>
      </c>
      <c r="E38080" s="1">
        <v>3.43297656450302E-4</v>
      </c>
      <c r="F38080" s="1">
        <v>8.1140075765888701E-4</v>
      </c>
    </row>
    <row r="38081" spans="1:6" x14ac:dyDescent="0.25">
      <c r="A38081" s="2" t="str">
        <f t="shared" si="1256"/>
        <v>99999</v>
      </c>
      <c r="B38081" s="2" t="str">
        <f>"72540"</f>
        <v>72540</v>
      </c>
      <c r="C38081" s="1">
        <v>6.7665659175932598E-6</v>
      </c>
      <c r="D38081" s="1">
        <v>3.0352053468177301E-6</v>
      </c>
      <c r="E38081" s="1">
        <v>8.69107991013423E-6</v>
      </c>
      <c r="F38081" s="1">
        <v>6.5660188824775097E-6</v>
      </c>
    </row>
    <row r="38082" spans="1:6" x14ac:dyDescent="0.25">
      <c r="A38082" s="2" t="str">
        <f t="shared" si="1256"/>
        <v>99999</v>
      </c>
      <c r="B38082" s="2" t="str">
        <f>"72326"</f>
        <v>72326</v>
      </c>
      <c r="C38082" s="1">
        <v>2.30281517518093E-5</v>
      </c>
      <c r="D38082" s="1">
        <v>6.0704106936354696E-6</v>
      </c>
      <c r="E38082" s="1">
        <v>0</v>
      </c>
      <c r="F38082" s="1">
        <v>2.13893039353434E-5</v>
      </c>
    </row>
    <row r="38083" spans="1:6" x14ac:dyDescent="0.25">
      <c r="A38083" s="2" t="str">
        <f t="shared" si="1256"/>
        <v>99999</v>
      </c>
      <c r="B38083" s="2" t="str">
        <f>"72440"</f>
        <v>72440</v>
      </c>
      <c r="C38083" s="1">
        <v>3.9289737586025402E-6</v>
      </c>
      <c r="D38083" s="1">
        <v>1.51760267340886E-6</v>
      </c>
      <c r="E38083" s="1">
        <v>4.3455399550671099E-6</v>
      </c>
      <c r="F38083" s="1">
        <v>3.7804351141537199E-6</v>
      </c>
    </row>
    <row r="38084" spans="1:6" x14ac:dyDescent="0.25">
      <c r="A38084" s="2" t="str">
        <f t="shared" si="1256"/>
        <v>99999</v>
      </c>
      <c r="B38084" s="2" t="str">
        <f>"72084"</f>
        <v>72084</v>
      </c>
      <c r="C38084" s="1">
        <v>1.54976187144878E-5</v>
      </c>
      <c r="D38084" s="1">
        <v>6.0704106936354696E-6</v>
      </c>
      <c r="E38084" s="1">
        <v>0</v>
      </c>
      <c r="F38084" s="1">
        <v>1.45248296491169E-5</v>
      </c>
    </row>
    <row r="38085" spans="1:6" x14ac:dyDescent="0.25">
      <c r="A38085" s="2" t="str">
        <f t="shared" si="1256"/>
        <v>99999</v>
      </c>
      <c r="B38085" s="2" t="str">
        <f>"72130"</f>
        <v>72130</v>
      </c>
      <c r="C38085" s="1">
        <v>2.21550464721198E-5</v>
      </c>
      <c r="D38085" s="1">
        <v>4.5528080202265997E-6</v>
      </c>
      <c r="E38085" s="1">
        <v>4.3455399550671099E-6</v>
      </c>
      <c r="F38085" s="1">
        <v>2.0593422858679401E-5</v>
      </c>
    </row>
    <row r="38086" spans="1:6" x14ac:dyDescent="0.25">
      <c r="A38086" s="2" t="str">
        <f t="shared" si="1256"/>
        <v>99999</v>
      </c>
      <c r="B38086" s="2" t="str">
        <f>"72143"</f>
        <v>72143</v>
      </c>
      <c r="C38086" s="1">
        <v>7.63967119728272E-7</v>
      </c>
      <c r="D38086" s="1">
        <v>0</v>
      </c>
      <c r="E38086" s="1">
        <v>0</v>
      </c>
      <c r="F38086" s="1">
        <v>6.9639594208094799E-7</v>
      </c>
    </row>
    <row r="38087" spans="1:6" x14ac:dyDescent="0.25">
      <c r="A38087" s="2" t="str">
        <f t="shared" si="1256"/>
        <v>99999</v>
      </c>
      <c r="B38087" s="2" t="str">
        <f>"72160"</f>
        <v>72160</v>
      </c>
      <c r="C38087" s="1">
        <v>7.1005286870744796E-4</v>
      </c>
      <c r="D38087" s="1">
        <v>1.3810184328020699E-3</v>
      </c>
      <c r="E38087" s="1">
        <v>5.5188357429352298E-4</v>
      </c>
      <c r="F38087" s="1">
        <v>7.5041637015951302E-4</v>
      </c>
    </row>
    <row r="38088" spans="1:6" x14ac:dyDescent="0.25">
      <c r="A38088" s="2" t="str">
        <f t="shared" si="1256"/>
        <v>99999</v>
      </c>
      <c r="B38088" s="2" t="str">
        <f>"72156"</f>
        <v>72156</v>
      </c>
      <c r="C38088" s="1">
        <v>3.2632309828393297E-5</v>
      </c>
      <c r="D38088" s="1">
        <v>7.5880133670443404E-6</v>
      </c>
      <c r="E38088" s="1">
        <v>4.3455399550671099E-6</v>
      </c>
      <c r="F38088" s="1">
        <v>3.03429660478127E-5</v>
      </c>
    </row>
    <row r="38089" spans="1:6" x14ac:dyDescent="0.25">
      <c r="A38089" s="2" t="str">
        <f t="shared" si="1256"/>
        <v>99999</v>
      </c>
      <c r="B38089" s="2" t="str">
        <f>"72028"</f>
        <v>72028</v>
      </c>
      <c r="C38089" s="1">
        <v>0</v>
      </c>
      <c r="D38089" s="1">
        <v>0</v>
      </c>
      <c r="E38089" s="1">
        <v>4.3455399550671099E-6</v>
      </c>
      <c r="F38089" s="1">
        <v>9.9485134582992598E-8</v>
      </c>
    </row>
    <row r="38090" spans="1:6" x14ac:dyDescent="0.25">
      <c r="A38090" s="2" t="str">
        <f t="shared" si="1256"/>
        <v>99999</v>
      </c>
      <c r="B38090" s="2" t="str">
        <f>"72026"</f>
        <v>72026</v>
      </c>
      <c r="C38090" s="1">
        <v>1.73529674338278E-5</v>
      </c>
      <c r="D38090" s="1">
        <v>1.51760267340886E-6</v>
      </c>
      <c r="E38090" s="1">
        <v>4.3455399550671099E-6</v>
      </c>
      <c r="F38090" s="1">
        <v>1.6017106667861799E-5</v>
      </c>
    </row>
    <row r="38091" spans="1:6" x14ac:dyDescent="0.25">
      <c r="A38091" s="2" t="str">
        <f t="shared" si="1256"/>
        <v>99999</v>
      </c>
      <c r="B38091" s="2" t="str">
        <f>"72031"</f>
        <v>72031</v>
      </c>
      <c r="C38091" s="1">
        <v>4.8959378558586098E-4</v>
      </c>
      <c r="D38091" s="1">
        <v>6.25252301444454E-4</v>
      </c>
      <c r="E38091" s="1">
        <v>2.3031361761855699E-4</v>
      </c>
      <c r="F38091" s="1">
        <v>4.9255090132039605E-4</v>
      </c>
    </row>
    <row r="38092" spans="1:6" x14ac:dyDescent="0.25">
      <c r="A38092" s="2" t="str">
        <f t="shared" si="1256"/>
        <v>99999</v>
      </c>
      <c r="B38092" s="2" t="str">
        <f>"72021"</f>
        <v>72021</v>
      </c>
      <c r="C38092" s="1">
        <v>2.5341880742986298E-4</v>
      </c>
      <c r="D38092" s="1">
        <v>4.9322086885788196E-4</v>
      </c>
      <c r="E38092" s="1">
        <v>4.7800939505738199E-4</v>
      </c>
      <c r="F38092" s="1">
        <v>2.7428051604531001E-4</v>
      </c>
    </row>
    <row r="38093" spans="1:6" x14ac:dyDescent="0.25">
      <c r="A38093" s="2" t="str">
        <f t="shared" si="1256"/>
        <v>99999</v>
      </c>
      <c r="B38093" s="2" t="str">
        <f>"71675"</f>
        <v>71675</v>
      </c>
      <c r="C38093" s="1">
        <v>9.4731922846305705E-5</v>
      </c>
      <c r="D38093" s="1">
        <v>2.4281642774541899E-5</v>
      </c>
      <c r="E38093" s="1">
        <v>4.3455399550671099E-6</v>
      </c>
      <c r="F38093" s="1">
        <v>8.8044344105948406E-5</v>
      </c>
    </row>
    <row r="38094" spans="1:6" x14ac:dyDescent="0.25">
      <c r="A38094" s="2" t="str">
        <f t="shared" si="1256"/>
        <v>99999</v>
      </c>
      <c r="B38094" s="2" t="str">
        <f>"71670"</f>
        <v>71670</v>
      </c>
      <c r="C38094" s="1">
        <v>6.8211349975738495E-5</v>
      </c>
      <c r="D38094" s="1">
        <v>3.0352053468177301E-5</v>
      </c>
      <c r="E38094" s="1">
        <v>1.3036619865201299E-5</v>
      </c>
      <c r="F38094" s="1">
        <v>6.4466367209779202E-5</v>
      </c>
    </row>
    <row r="38095" spans="1:6" x14ac:dyDescent="0.25">
      <c r="A38095" s="2" t="str">
        <f t="shared" si="1256"/>
        <v>99999</v>
      </c>
      <c r="B38095" s="2" t="str">
        <f>"72004"</f>
        <v>72004</v>
      </c>
      <c r="C38095" s="1">
        <v>4.3655263984472602E-7</v>
      </c>
      <c r="D38095" s="1">
        <v>0</v>
      </c>
      <c r="E38095" s="1">
        <v>0</v>
      </c>
      <c r="F38095" s="1">
        <v>3.9794053833197002E-7</v>
      </c>
    </row>
    <row r="38096" spans="1:6" x14ac:dyDescent="0.25">
      <c r="A38096" s="2" t="str">
        <f t="shared" si="1256"/>
        <v>99999</v>
      </c>
      <c r="B38096" s="2" t="str">
        <f>"71859"</f>
        <v>71859</v>
      </c>
      <c r="C38096" s="1">
        <v>6.6574277576320803E-6</v>
      </c>
      <c r="D38096" s="1">
        <v>0</v>
      </c>
      <c r="E38096" s="1">
        <v>4.3455399550671099E-6</v>
      </c>
      <c r="F38096" s="1">
        <v>6.1680783441455402E-6</v>
      </c>
    </row>
    <row r="38097" spans="1:6" x14ac:dyDescent="0.25">
      <c r="A38097" s="2" t="str">
        <f t="shared" si="1256"/>
        <v>99999</v>
      </c>
      <c r="B38097" s="2" t="str">
        <f>"71943"</f>
        <v>71943</v>
      </c>
      <c r="C38097" s="1">
        <v>2.22969260800694E-4</v>
      </c>
      <c r="D38097" s="1">
        <v>3.1717895874245299E-4</v>
      </c>
      <c r="E38097" s="1">
        <v>1.30366198652013E-4</v>
      </c>
      <c r="F38097" s="1">
        <v>2.2702507711838899E-4</v>
      </c>
    </row>
    <row r="38098" spans="1:6" x14ac:dyDescent="0.25">
      <c r="A38098" s="2" t="str">
        <f t="shared" ref="A38098:A38161" si="1257">"99999"</f>
        <v>99999</v>
      </c>
      <c r="B38098" s="2" t="str">
        <f>"71944"</f>
        <v>71944</v>
      </c>
      <c r="C38098" s="1">
        <v>3.4269382227811E-5</v>
      </c>
      <c r="D38098" s="1">
        <v>1.21408213872709E-5</v>
      </c>
      <c r="E38098" s="1">
        <v>1.7382159820268399E-5</v>
      </c>
      <c r="F38098" s="1">
        <v>3.2432153874055598E-5</v>
      </c>
    </row>
    <row r="38099" spans="1:6" x14ac:dyDescent="0.25">
      <c r="A38099" s="2" t="str">
        <f t="shared" si="1257"/>
        <v>99999</v>
      </c>
      <c r="B38099" s="2" t="str">
        <f>"71631"</f>
        <v>71631</v>
      </c>
      <c r="C38099" s="1">
        <v>3.4815073027616897E-5</v>
      </c>
      <c r="D38099" s="1">
        <v>4.5528080202265997E-6</v>
      </c>
      <c r="E38099" s="1">
        <v>4.3455399550671099E-6</v>
      </c>
      <c r="F38099" s="1">
        <v>3.2133698470306602E-5</v>
      </c>
    </row>
    <row r="38100" spans="1:6" x14ac:dyDescent="0.25">
      <c r="A38100" s="2" t="str">
        <f t="shared" si="1257"/>
        <v>99999</v>
      </c>
      <c r="B38100" s="2" t="str">
        <f>"71651"</f>
        <v>71651</v>
      </c>
      <c r="C38100" s="1">
        <v>1.23326120756135E-5</v>
      </c>
      <c r="D38100" s="1">
        <v>3.0352053468177301E-6</v>
      </c>
      <c r="E38100" s="1">
        <v>4.3455399550671099E-6</v>
      </c>
      <c r="F38100" s="1">
        <v>1.1540275611627099E-5</v>
      </c>
    </row>
    <row r="38101" spans="1:6" x14ac:dyDescent="0.25">
      <c r="A38101" s="2" t="str">
        <f t="shared" si="1257"/>
        <v>99999</v>
      </c>
      <c r="B38101" s="2" t="str">
        <f>"71638"</f>
        <v>71638</v>
      </c>
      <c r="C38101" s="1">
        <v>2.1587528040321701E-4</v>
      </c>
      <c r="D38101" s="1">
        <v>2.7772128923382301E-4</v>
      </c>
      <c r="E38101" s="1">
        <v>7.3874179236140894E-5</v>
      </c>
      <c r="F38101" s="1">
        <v>2.1667862312175701E-4</v>
      </c>
    </row>
    <row r="38102" spans="1:6" x14ac:dyDescent="0.25">
      <c r="A38102" s="2" t="str">
        <f t="shared" si="1257"/>
        <v>99999</v>
      </c>
      <c r="B38102" s="2" t="str">
        <f>"71842"</f>
        <v>71842</v>
      </c>
      <c r="C38102" s="1">
        <v>8.6219146369333506E-5</v>
      </c>
      <c r="D38102" s="1">
        <v>1.21408213872709E-5</v>
      </c>
      <c r="E38102" s="1">
        <v>1.3036619865201299E-5</v>
      </c>
      <c r="F38102" s="1">
        <v>7.96875928009771E-5</v>
      </c>
    </row>
    <row r="38103" spans="1:6" x14ac:dyDescent="0.25">
      <c r="A38103" s="2" t="str">
        <f t="shared" si="1257"/>
        <v>99999</v>
      </c>
      <c r="B38103" s="2" t="str">
        <f>"71460"</f>
        <v>71460</v>
      </c>
      <c r="C38103" s="1">
        <v>0</v>
      </c>
      <c r="D38103" s="1">
        <v>0</v>
      </c>
      <c r="E38103" s="1">
        <v>4.3455399550671099E-6</v>
      </c>
      <c r="F38103" s="1">
        <v>9.9485134582992598E-8</v>
      </c>
    </row>
    <row r="38104" spans="1:6" x14ac:dyDescent="0.25">
      <c r="A38104" s="2" t="str">
        <f t="shared" si="1257"/>
        <v>99999</v>
      </c>
      <c r="B38104" s="2" t="str">
        <f>"71473"</f>
        <v>71473</v>
      </c>
      <c r="C38104" s="1">
        <v>2.6847987350450699E-5</v>
      </c>
      <c r="D38104" s="1">
        <v>7.5880133670443404E-6</v>
      </c>
      <c r="E38104" s="1">
        <v>4.3455399550671099E-6</v>
      </c>
      <c r="F38104" s="1">
        <v>2.5070253914914101E-5</v>
      </c>
    </row>
    <row r="38105" spans="1:6" x14ac:dyDescent="0.25">
      <c r="A38105" s="2" t="str">
        <f t="shared" si="1257"/>
        <v>99999</v>
      </c>
      <c r="B38105" s="2" t="str">
        <f>"71279"</f>
        <v>71279</v>
      </c>
      <c r="C38105" s="1">
        <v>0</v>
      </c>
      <c r="D38105" s="1">
        <v>0</v>
      </c>
      <c r="E38105" s="1">
        <v>4.3455399550671099E-6</v>
      </c>
      <c r="F38105" s="1">
        <v>9.9485134582992598E-8</v>
      </c>
    </row>
    <row r="38106" spans="1:6" x14ac:dyDescent="0.25">
      <c r="A38106" s="2" t="str">
        <f t="shared" si="1257"/>
        <v>99999</v>
      </c>
      <c r="B38106" s="2" t="str">
        <f>"71275"</f>
        <v>71275</v>
      </c>
      <c r="C38106" s="1">
        <v>9.0584672767780794E-6</v>
      </c>
      <c r="D38106" s="1">
        <v>1.51760267340886E-6</v>
      </c>
      <c r="E38106" s="1">
        <v>0</v>
      </c>
      <c r="F38106" s="1">
        <v>8.3567513049713805E-6</v>
      </c>
    </row>
    <row r="38107" spans="1:6" x14ac:dyDescent="0.25">
      <c r="A38107" s="2" t="str">
        <f t="shared" si="1257"/>
        <v>99999</v>
      </c>
      <c r="B38107" s="2" t="str">
        <f>"71286"</f>
        <v>71286</v>
      </c>
      <c r="C38107" s="1">
        <v>3.1868342708665002E-5</v>
      </c>
      <c r="D38107" s="1">
        <v>2.1246437427724101E-5</v>
      </c>
      <c r="E38107" s="1">
        <v>4.3455399550671099E-6</v>
      </c>
      <c r="F38107" s="1">
        <v>3.0541936316978701E-5</v>
      </c>
    </row>
    <row r="38108" spans="1:6" x14ac:dyDescent="0.25">
      <c r="A38108" s="2" t="str">
        <f t="shared" si="1257"/>
        <v>99999</v>
      </c>
      <c r="B38108" s="2" t="str">
        <f>"71270"</f>
        <v>71270</v>
      </c>
      <c r="C38108" s="1">
        <v>5.2822869421211901E-5</v>
      </c>
      <c r="D38108" s="1">
        <v>2.1246437427724101E-5</v>
      </c>
      <c r="E38108" s="1">
        <v>0</v>
      </c>
      <c r="F38108" s="1">
        <v>4.9543597022330299E-5</v>
      </c>
    </row>
    <row r="38109" spans="1:6" x14ac:dyDescent="0.25">
      <c r="A38109" s="2" t="str">
        <f t="shared" si="1257"/>
        <v>99999</v>
      </c>
      <c r="B38109" s="2" t="str">
        <f>"71256"</f>
        <v>71256</v>
      </c>
      <c r="C38109" s="1">
        <v>1.2441750235574699E-5</v>
      </c>
      <c r="D38109" s="1">
        <v>1.51760267340886E-6</v>
      </c>
      <c r="E38109" s="1">
        <v>0</v>
      </c>
      <c r="F38109" s="1">
        <v>1.1440790477044101E-5</v>
      </c>
    </row>
    <row r="38110" spans="1:6" x14ac:dyDescent="0.25">
      <c r="A38110" s="2" t="str">
        <f t="shared" si="1257"/>
        <v>99999</v>
      </c>
      <c r="B38110" s="2" t="str">
        <f>"71450"</f>
        <v>71450</v>
      </c>
      <c r="C38110" s="1">
        <v>1.87717635133232E-5</v>
      </c>
      <c r="D38110" s="1">
        <v>7.5880133670443404E-6</v>
      </c>
      <c r="E38110" s="1">
        <v>4.3455399550671099E-6</v>
      </c>
      <c r="F38110" s="1">
        <v>1.77083539557726E-5</v>
      </c>
    </row>
    <row r="38111" spans="1:6" x14ac:dyDescent="0.25">
      <c r="A38111" s="2" t="str">
        <f t="shared" si="1257"/>
        <v>99999</v>
      </c>
      <c r="B38111" s="2" t="str">
        <f>"71440"</f>
        <v>71440</v>
      </c>
      <c r="C38111" s="1">
        <v>0</v>
      </c>
      <c r="D38111" s="1">
        <v>0</v>
      </c>
      <c r="E38111" s="1">
        <v>4.3455399550671099E-6</v>
      </c>
      <c r="F38111" s="1">
        <v>9.9485134582992598E-8</v>
      </c>
    </row>
    <row r="38112" spans="1:6" x14ac:dyDescent="0.25">
      <c r="A38112" s="2" t="str">
        <f t="shared" si="1257"/>
        <v>99999</v>
      </c>
      <c r="B38112" s="2" t="str">
        <f>"71353"</f>
        <v>71353</v>
      </c>
      <c r="C38112" s="1">
        <v>3.2741447988354498E-7</v>
      </c>
      <c r="D38112" s="1">
        <v>0</v>
      </c>
      <c r="E38112" s="1">
        <v>0</v>
      </c>
      <c r="F38112" s="1">
        <v>2.9845540374897701E-7</v>
      </c>
    </row>
    <row r="38113" spans="1:6" x14ac:dyDescent="0.25">
      <c r="A38113" s="2" t="str">
        <f t="shared" si="1257"/>
        <v>99999</v>
      </c>
      <c r="B38113" s="2" t="str">
        <f>"71325"</f>
        <v>71325</v>
      </c>
      <c r="C38113" s="1">
        <v>7.8579475172050803E-6</v>
      </c>
      <c r="D38113" s="1">
        <v>3.0352053468177301E-6</v>
      </c>
      <c r="E38113" s="1">
        <v>0</v>
      </c>
      <c r="F38113" s="1">
        <v>7.3618999591414504E-6</v>
      </c>
    </row>
    <row r="38114" spans="1:6" x14ac:dyDescent="0.25">
      <c r="A38114" s="2" t="str">
        <f t="shared" si="1257"/>
        <v>99999</v>
      </c>
      <c r="B38114" s="2" t="str">
        <f>"71341"</f>
        <v>71341</v>
      </c>
      <c r="C38114" s="1">
        <v>1.2736423267469899E-4</v>
      </c>
      <c r="D38114" s="1">
        <v>1.3658424060679801E-5</v>
      </c>
      <c r="E38114" s="1">
        <v>8.2565259146275205E-5</v>
      </c>
      <c r="F38114" s="1">
        <v>1.1888473582667599E-4</v>
      </c>
    </row>
    <row r="38115" spans="1:6" x14ac:dyDescent="0.25">
      <c r="A38115" s="2" t="str">
        <f t="shared" si="1257"/>
        <v>99999</v>
      </c>
      <c r="B38115" s="2" t="str">
        <f>"71336"</f>
        <v>71336</v>
      </c>
      <c r="C38115" s="1">
        <v>7.2686014534147E-5</v>
      </c>
      <c r="D38115" s="1">
        <v>2.1246437427724101E-5</v>
      </c>
      <c r="E38115" s="1">
        <v>1.3036619865201299E-5</v>
      </c>
      <c r="F38115" s="1">
        <v>6.7948346920183899E-5</v>
      </c>
    </row>
    <row r="38116" spans="1:6" x14ac:dyDescent="0.25">
      <c r="A38116" s="2" t="str">
        <f t="shared" si="1257"/>
        <v>99999</v>
      </c>
      <c r="B38116" s="2" t="str">
        <f>"71326"</f>
        <v>71326</v>
      </c>
      <c r="C38116" s="1">
        <v>1.73529674338278E-5</v>
      </c>
      <c r="D38116" s="1">
        <v>1.3658424060679801E-5</v>
      </c>
      <c r="E38116" s="1">
        <v>0</v>
      </c>
      <c r="F38116" s="1">
        <v>1.67135026099427E-5</v>
      </c>
    </row>
    <row r="38117" spans="1:6" x14ac:dyDescent="0.25">
      <c r="A38117" s="2" t="str">
        <f t="shared" si="1257"/>
        <v>99999</v>
      </c>
      <c r="B38117" s="2" t="str">
        <f>"71323"</f>
        <v>71323</v>
      </c>
      <c r="C38117" s="1">
        <v>5.3914251020823701E-5</v>
      </c>
      <c r="D38117" s="1">
        <v>9.1056160404532095E-6</v>
      </c>
      <c r="E38117" s="1">
        <v>4.3455399550671099E-6</v>
      </c>
      <c r="F38117" s="1">
        <v>4.9842052426079301E-5</v>
      </c>
    </row>
    <row r="38118" spans="1:6" x14ac:dyDescent="0.25">
      <c r="A38118" s="2" t="str">
        <f t="shared" si="1257"/>
        <v>99999</v>
      </c>
      <c r="B38118" s="2" t="str">
        <f>"71433"</f>
        <v>71433</v>
      </c>
      <c r="C38118" s="1">
        <v>6.5482895976708995E-7</v>
      </c>
      <c r="D38118" s="1">
        <v>0</v>
      </c>
      <c r="E38118" s="1">
        <v>0</v>
      </c>
      <c r="F38118" s="1">
        <v>5.9691080749795498E-7</v>
      </c>
    </row>
    <row r="38119" spans="1:6" x14ac:dyDescent="0.25">
      <c r="A38119" s="2" t="str">
        <f t="shared" si="1257"/>
        <v>99999</v>
      </c>
      <c r="B38119" s="2" t="str">
        <f>"71401"</f>
        <v>71401</v>
      </c>
      <c r="C38119" s="1">
        <v>6.8757040775544402E-6</v>
      </c>
      <c r="D38119" s="1">
        <v>3.0352053468177301E-6</v>
      </c>
      <c r="E38119" s="1">
        <v>4.3455399550671099E-6</v>
      </c>
      <c r="F38119" s="1">
        <v>6.5660188824775097E-6</v>
      </c>
    </row>
    <row r="38120" spans="1:6" x14ac:dyDescent="0.25">
      <c r="A38120" s="2" t="str">
        <f t="shared" si="1257"/>
        <v>99999</v>
      </c>
      <c r="B38120" s="2" t="str">
        <f>"71362"</f>
        <v>71362</v>
      </c>
      <c r="C38120" s="1">
        <v>8.8183633248634796E-5</v>
      </c>
      <c r="D38120" s="1">
        <v>1.21408213872709E-5</v>
      </c>
      <c r="E38120" s="1">
        <v>1.3036619865201299E-5</v>
      </c>
      <c r="F38120" s="1">
        <v>8.1478325223470897E-5</v>
      </c>
    </row>
    <row r="38121" spans="1:6" x14ac:dyDescent="0.25">
      <c r="A38121" s="2" t="str">
        <f t="shared" si="1257"/>
        <v>99999</v>
      </c>
      <c r="B38121" s="2" t="str">
        <f>"71360"</f>
        <v>71360</v>
      </c>
      <c r="C38121" s="1">
        <v>1.71346911139055E-5</v>
      </c>
      <c r="D38121" s="1">
        <v>1.51760267340886E-6</v>
      </c>
      <c r="E38121" s="1">
        <v>0</v>
      </c>
      <c r="F38121" s="1">
        <v>1.57186512641128E-5</v>
      </c>
    </row>
    <row r="38122" spans="1:6" x14ac:dyDescent="0.25">
      <c r="A38122" s="2" t="str">
        <f t="shared" si="1257"/>
        <v>99999</v>
      </c>
      <c r="B38122" s="2" t="str">
        <f>"71226"</f>
        <v>71226</v>
      </c>
      <c r="C38122" s="1">
        <v>1.0520918620257901E-4</v>
      </c>
      <c r="D38122" s="1">
        <v>6.37393122831725E-5</v>
      </c>
      <c r="E38122" s="1">
        <v>2.1727699775335501E-5</v>
      </c>
      <c r="F38122" s="1">
        <v>1.00579471063405E-4</v>
      </c>
    </row>
    <row r="38123" spans="1:6" x14ac:dyDescent="0.25">
      <c r="A38123" s="2" t="str">
        <f t="shared" si="1257"/>
        <v>99999</v>
      </c>
      <c r="B38123" s="2" t="str">
        <f>"71219"</f>
        <v>71219</v>
      </c>
      <c r="C38123" s="1">
        <v>6.4828067016941906E-5</v>
      </c>
      <c r="D38123" s="1">
        <v>2.1246437427724101E-5</v>
      </c>
      <c r="E38123" s="1">
        <v>1.3036619865201299E-5</v>
      </c>
      <c r="F38123" s="1">
        <v>6.0785417230208501E-5</v>
      </c>
    </row>
    <row r="38124" spans="1:6" x14ac:dyDescent="0.25">
      <c r="A38124" s="2" t="str">
        <f t="shared" si="1257"/>
        <v>99999</v>
      </c>
      <c r="B38124" s="2" t="str">
        <f>"71322"</f>
        <v>71322</v>
      </c>
      <c r="C38124" s="1">
        <v>2.8768818965767501E-4</v>
      </c>
      <c r="D38124" s="1">
        <v>4.27963953901301E-4</v>
      </c>
      <c r="E38124" s="1">
        <v>3.1287887676483201E-4</v>
      </c>
      <c r="F38124" s="1">
        <v>2.9746055240314698E-4</v>
      </c>
    </row>
    <row r="38125" spans="1:6" x14ac:dyDescent="0.25">
      <c r="A38125" s="2" t="str">
        <f t="shared" si="1257"/>
        <v>99999</v>
      </c>
      <c r="B38125" s="2" t="str">
        <f>"71048"</f>
        <v>71048</v>
      </c>
      <c r="C38125" s="1">
        <v>6.1117369578261701E-6</v>
      </c>
      <c r="D38125" s="1">
        <v>3.0352053468177301E-6</v>
      </c>
      <c r="E38125" s="1">
        <v>4.3455399550671099E-6</v>
      </c>
      <c r="F38125" s="1">
        <v>5.86962294039656E-6</v>
      </c>
    </row>
    <row r="38126" spans="1:6" x14ac:dyDescent="0.25">
      <c r="A38126" s="2" t="str">
        <f t="shared" si="1257"/>
        <v>99999</v>
      </c>
      <c r="B38126" s="2" t="str">
        <f>"71001"</f>
        <v>71001</v>
      </c>
      <c r="C38126" s="1">
        <v>2.23842366080383E-4</v>
      </c>
      <c r="D38126" s="1">
        <v>4.4769278865561599E-4</v>
      </c>
      <c r="E38126" s="1">
        <v>2.9549671694456298E-4</v>
      </c>
      <c r="F38126" s="1">
        <v>2.4015711488334401E-4</v>
      </c>
    </row>
    <row r="38127" spans="1:6" x14ac:dyDescent="0.25">
      <c r="A38127" s="2" t="str">
        <f t="shared" si="1257"/>
        <v>99999</v>
      </c>
      <c r="B38127" s="2" t="str">
        <f>"70586"</f>
        <v>70586</v>
      </c>
      <c r="C38127" s="1">
        <v>9.9512174252605503E-4</v>
      </c>
      <c r="D38127" s="1">
        <v>1.1230259783225601E-3</v>
      </c>
      <c r="E38127" s="1">
        <v>5.17119254652986E-4</v>
      </c>
      <c r="F38127" s="1">
        <v>9.9256318773451708E-4</v>
      </c>
    </row>
    <row r="38128" spans="1:6" x14ac:dyDescent="0.25">
      <c r="A38128" s="2" t="str">
        <f t="shared" si="1257"/>
        <v>99999</v>
      </c>
      <c r="B38128" s="2" t="str">
        <f>"70651"</f>
        <v>70651</v>
      </c>
      <c r="C38128" s="1">
        <v>1.09138159961181E-7</v>
      </c>
      <c r="D38128" s="1">
        <v>0</v>
      </c>
      <c r="E38128" s="1">
        <v>4.3455399550671099E-6</v>
      </c>
      <c r="F38128" s="1">
        <v>1.9897026916598501E-7</v>
      </c>
    </row>
    <row r="38129" spans="1:6" x14ac:dyDescent="0.25">
      <c r="A38129" s="2" t="str">
        <f t="shared" si="1257"/>
        <v>99999</v>
      </c>
      <c r="B38129" s="2" t="str">
        <f>"70515"</f>
        <v>70515</v>
      </c>
      <c r="C38129" s="1">
        <v>7.2249461894302299E-5</v>
      </c>
      <c r="D38129" s="1">
        <v>2.4281642774541899E-5</v>
      </c>
      <c r="E38129" s="1">
        <v>3.0418779685469802E-5</v>
      </c>
      <c r="F38129" s="1">
        <v>6.8147317189349896E-5</v>
      </c>
    </row>
    <row r="38130" spans="1:6" x14ac:dyDescent="0.25">
      <c r="A38130" s="2" t="str">
        <f t="shared" si="1257"/>
        <v>99999</v>
      </c>
      <c r="B38130" s="2" t="str">
        <f>"59934"</f>
        <v>59934</v>
      </c>
      <c r="C38130" s="1">
        <v>2.1827631992236301E-7</v>
      </c>
      <c r="D38130" s="1">
        <v>0</v>
      </c>
      <c r="E38130" s="1">
        <v>4.3455399550671099E-6</v>
      </c>
      <c r="F38130" s="1">
        <v>2.9845540374897701E-7</v>
      </c>
    </row>
    <row r="38131" spans="1:6" x14ac:dyDescent="0.25">
      <c r="A38131" s="2" t="str">
        <f t="shared" si="1257"/>
        <v>99999</v>
      </c>
      <c r="B38131" s="2" t="str">
        <f>"59933"</f>
        <v>59933</v>
      </c>
      <c r="C38131" s="1">
        <v>1.09138159961181E-7</v>
      </c>
      <c r="D38131" s="1">
        <v>0</v>
      </c>
      <c r="E38131" s="1">
        <v>4.3455399550671099E-6</v>
      </c>
      <c r="F38131" s="1">
        <v>1.9897026916598501E-7</v>
      </c>
    </row>
    <row r="38132" spans="1:6" x14ac:dyDescent="0.25">
      <c r="A38132" s="2" t="str">
        <f t="shared" si="1257"/>
        <v>99999</v>
      </c>
      <c r="B38132" s="2" t="str">
        <f>"59910"</f>
        <v>59910</v>
      </c>
      <c r="C38132" s="1">
        <v>1.9208316153167901E-5</v>
      </c>
      <c r="D38132" s="1">
        <v>4.5528080202265997E-6</v>
      </c>
      <c r="E38132" s="1">
        <v>4.3455399550671099E-6</v>
      </c>
      <c r="F38132" s="1">
        <v>1.7907324224938601E-5</v>
      </c>
    </row>
    <row r="38133" spans="1:6" x14ac:dyDescent="0.25">
      <c r="A38133" s="2" t="str">
        <f t="shared" si="1257"/>
        <v>99999</v>
      </c>
      <c r="B38133" s="2" t="str">
        <f>"59935"</f>
        <v>59935</v>
      </c>
      <c r="C38133" s="1">
        <v>1.8182417449532799E-4</v>
      </c>
      <c r="D38133" s="1">
        <v>5.4633696242719298E-5</v>
      </c>
      <c r="E38133" s="1">
        <v>7.8219719191208097E-5</v>
      </c>
      <c r="F38133" s="1">
        <v>1.7111443148274701E-4</v>
      </c>
    </row>
    <row r="38134" spans="1:6" x14ac:dyDescent="0.25">
      <c r="A38134" s="2" t="str">
        <f t="shared" si="1257"/>
        <v>99999</v>
      </c>
      <c r="B38134" s="2" t="str">
        <f>"59930"</f>
        <v>59930</v>
      </c>
      <c r="C38134" s="1">
        <v>5.1076658861833002E-5</v>
      </c>
      <c r="D38134" s="1">
        <v>1.66936294074975E-5</v>
      </c>
      <c r="E38134" s="1">
        <v>4.3455399550671099E-6</v>
      </c>
      <c r="F38134" s="1">
        <v>4.77528645998364E-5</v>
      </c>
    </row>
    <row r="38135" spans="1:6" x14ac:dyDescent="0.25">
      <c r="A38135" s="2" t="str">
        <f t="shared" si="1257"/>
        <v>99999</v>
      </c>
      <c r="B38135" s="2" t="str">
        <f>"59471"</f>
        <v>59471</v>
      </c>
      <c r="C38135" s="1">
        <v>1.20051975957299E-5</v>
      </c>
      <c r="D38135" s="1">
        <v>7.5880133670443404E-6</v>
      </c>
      <c r="E38135" s="1">
        <v>4.3455399550671099E-6</v>
      </c>
      <c r="F38135" s="1">
        <v>1.1540275611627099E-5</v>
      </c>
    </row>
    <row r="38136" spans="1:6" x14ac:dyDescent="0.25">
      <c r="A38136" s="2" t="str">
        <f t="shared" si="1257"/>
        <v>99999</v>
      </c>
      <c r="B38136" s="2" t="str">
        <f>"59860"</f>
        <v>59860</v>
      </c>
      <c r="C38136" s="1">
        <v>7.92888732117985E-4</v>
      </c>
      <c r="D38136" s="1">
        <v>1.2155997414005E-3</v>
      </c>
      <c r="E38136" s="1">
        <v>1.2645521269245301E-3</v>
      </c>
      <c r="F38136" s="1">
        <v>8.3139726971006905E-4</v>
      </c>
    </row>
    <row r="38137" spans="1:6" x14ac:dyDescent="0.25">
      <c r="A38137" s="2" t="str">
        <f t="shared" si="1257"/>
        <v>99999</v>
      </c>
      <c r="B38137" s="2" t="str">
        <f>"59728"</f>
        <v>59728</v>
      </c>
      <c r="C38137" s="1">
        <v>0</v>
      </c>
      <c r="D38137" s="1">
        <v>0</v>
      </c>
      <c r="E38137" s="1">
        <v>4.3455399550671099E-6</v>
      </c>
      <c r="F38137" s="1">
        <v>9.9485134582992598E-8</v>
      </c>
    </row>
    <row r="38138" spans="1:6" x14ac:dyDescent="0.25">
      <c r="A38138" s="2" t="str">
        <f t="shared" si="1257"/>
        <v>99999</v>
      </c>
      <c r="B38138" s="2" t="str">
        <f>"59759"</f>
        <v>59759</v>
      </c>
      <c r="C38138" s="1">
        <v>1.7025552953944301E-5</v>
      </c>
      <c r="D38138" s="1">
        <v>4.5528080202265997E-6</v>
      </c>
      <c r="E38138" s="1">
        <v>0</v>
      </c>
      <c r="F38138" s="1">
        <v>1.5818136398695801E-5</v>
      </c>
    </row>
    <row r="38139" spans="1:6" x14ac:dyDescent="0.25">
      <c r="A38139" s="2" t="str">
        <f t="shared" si="1257"/>
        <v>99999</v>
      </c>
      <c r="B38139" s="2" t="str">
        <f>"59762"</f>
        <v>59762</v>
      </c>
      <c r="C38139" s="1">
        <v>1.87717635133232E-5</v>
      </c>
      <c r="D38139" s="1">
        <v>1.51760267340886E-6</v>
      </c>
      <c r="E38139" s="1">
        <v>1.3036619865201299E-5</v>
      </c>
      <c r="F38139" s="1">
        <v>1.7509383686606702E-5</v>
      </c>
    </row>
    <row r="38140" spans="1:6" x14ac:dyDescent="0.25">
      <c r="A38140" s="2" t="str">
        <f t="shared" si="1257"/>
        <v>99999</v>
      </c>
      <c r="B38140" s="2" t="str">
        <f>"59749"</f>
        <v>59749</v>
      </c>
      <c r="C38140" s="1">
        <v>1.00516245324248E-4</v>
      </c>
      <c r="D38140" s="1">
        <v>3.1869656141586203E-5</v>
      </c>
      <c r="E38140" s="1">
        <v>9.1256339056409395E-5</v>
      </c>
      <c r="F38140" s="1">
        <v>9.5804184603421897E-5</v>
      </c>
    </row>
    <row r="38141" spans="1:6" x14ac:dyDescent="0.25">
      <c r="A38141" s="2" t="str">
        <f t="shared" si="1257"/>
        <v>99999</v>
      </c>
      <c r="B38141" s="2" t="str">
        <f>"59844"</f>
        <v>59844</v>
      </c>
      <c r="C38141" s="1">
        <v>3.0886099269014397E-5</v>
      </c>
      <c r="D38141" s="1">
        <v>2.2764040101133E-5</v>
      </c>
      <c r="E38141" s="1">
        <v>2.1727699775335501E-5</v>
      </c>
      <c r="F38141" s="1">
        <v>3.01439957786467E-5</v>
      </c>
    </row>
    <row r="38142" spans="1:6" x14ac:dyDescent="0.25">
      <c r="A38142" s="2" t="str">
        <f t="shared" si="1257"/>
        <v>99999</v>
      </c>
      <c r="B38142" s="2" t="str">
        <f>"59416"</f>
        <v>59416</v>
      </c>
      <c r="C38142" s="1">
        <v>1.06955396761958E-5</v>
      </c>
      <c r="D38142" s="1">
        <v>4.5528080202265997E-6</v>
      </c>
      <c r="E38142" s="1">
        <v>1.3036619865201299E-5</v>
      </c>
      <c r="F38142" s="1">
        <v>1.03464539966312E-5</v>
      </c>
    </row>
    <row r="38143" spans="1:6" x14ac:dyDescent="0.25">
      <c r="A38143" s="2" t="str">
        <f t="shared" si="1257"/>
        <v>99999</v>
      </c>
      <c r="B38143" s="2" t="str">
        <f>"59427"</f>
        <v>59427</v>
      </c>
      <c r="C38143" s="1">
        <v>2.2613426743956801E-4</v>
      </c>
      <c r="D38143" s="1">
        <v>3.9912950310653199E-4</v>
      </c>
      <c r="E38143" s="1">
        <v>4.2151737564151003E-4</v>
      </c>
      <c r="F38143" s="1">
        <v>2.4194784730583799E-4</v>
      </c>
    </row>
    <row r="38144" spans="1:6" x14ac:dyDescent="0.25">
      <c r="A38144" s="2" t="str">
        <f t="shared" si="1257"/>
        <v>99999</v>
      </c>
      <c r="B38144" s="2" t="str">
        <f>"59354"</f>
        <v>59354</v>
      </c>
      <c r="C38144" s="1">
        <v>0</v>
      </c>
      <c r="D38144" s="1">
        <v>0</v>
      </c>
      <c r="E38144" s="1">
        <v>4.3455399550671099E-6</v>
      </c>
      <c r="F38144" s="1">
        <v>9.9485134582992598E-8</v>
      </c>
    </row>
    <row r="38145" spans="1:6" x14ac:dyDescent="0.25">
      <c r="A38145" s="2" t="str">
        <f t="shared" si="1257"/>
        <v>99999</v>
      </c>
      <c r="B38145" s="2" t="str">
        <f>"59213"</f>
        <v>59213</v>
      </c>
      <c r="C38145" s="1">
        <v>8.6219146369333496E-6</v>
      </c>
      <c r="D38145" s="1">
        <v>1.51760267340886E-6</v>
      </c>
      <c r="E38145" s="1">
        <v>4.3455399550671099E-6</v>
      </c>
      <c r="F38145" s="1">
        <v>8.0582959012224002E-6</v>
      </c>
    </row>
    <row r="38146" spans="1:6" x14ac:dyDescent="0.25">
      <c r="A38146" s="2" t="str">
        <f t="shared" si="1257"/>
        <v>99999</v>
      </c>
      <c r="B38146" s="2" t="str">
        <f>"59327"</f>
        <v>59327</v>
      </c>
      <c r="C38146" s="1">
        <v>1.41552193469652E-4</v>
      </c>
      <c r="D38146" s="1">
        <v>1.66936294074975E-5</v>
      </c>
      <c r="E38146" s="1">
        <v>1.17329578786812E-4</v>
      </c>
      <c r="F38146" s="1">
        <v>1.32812654668295E-4</v>
      </c>
    </row>
    <row r="38147" spans="1:6" x14ac:dyDescent="0.25">
      <c r="A38147" s="2" t="str">
        <f t="shared" si="1257"/>
        <v>99999</v>
      </c>
      <c r="B38147" s="2" t="str">
        <f>"59254"</f>
        <v>59254</v>
      </c>
      <c r="C38147" s="1">
        <v>1.30529239313573E-4</v>
      </c>
      <c r="D38147" s="1">
        <v>2.1398197695065001E-4</v>
      </c>
      <c r="E38147" s="1">
        <v>3.1287887676483201E-4</v>
      </c>
      <c r="F38147" s="1">
        <v>1.4017455462743601E-4</v>
      </c>
    </row>
    <row r="38148" spans="1:6" x14ac:dyDescent="0.25">
      <c r="A38148" s="2" t="str">
        <f t="shared" si="1257"/>
        <v>99999</v>
      </c>
      <c r="B38148" s="2" t="str">
        <f>"59218"</f>
        <v>59218</v>
      </c>
      <c r="C38148" s="1">
        <v>1.54976187144878E-5</v>
      </c>
      <c r="D38148" s="1">
        <v>2.2764040101133E-5</v>
      </c>
      <c r="E38148" s="1">
        <v>2.1727699775335501E-5</v>
      </c>
      <c r="F38148" s="1">
        <v>1.61165918024448E-5</v>
      </c>
    </row>
    <row r="38149" spans="1:6" x14ac:dyDescent="0.25">
      <c r="A38149" s="2" t="str">
        <f t="shared" si="1257"/>
        <v>99999</v>
      </c>
      <c r="B38149" s="2" t="str">
        <f>"59215"</f>
        <v>59215</v>
      </c>
      <c r="C38149" s="1">
        <v>4.6274579823540998E-5</v>
      </c>
      <c r="D38149" s="1">
        <v>1.5176026734088599E-5</v>
      </c>
      <c r="E38149" s="1">
        <v>3.9109859595604001E-5</v>
      </c>
      <c r="F38149" s="1">
        <v>4.4071914620265699E-5</v>
      </c>
    </row>
    <row r="38150" spans="1:6" x14ac:dyDescent="0.25">
      <c r="A38150" s="2" t="str">
        <f t="shared" si="1257"/>
        <v>99999</v>
      </c>
      <c r="B38150" s="2" t="str">
        <f>"58601"</f>
        <v>58601</v>
      </c>
      <c r="C38150" s="1">
        <v>1.9863145112935E-5</v>
      </c>
      <c r="D38150" s="1">
        <v>3.4904861488403899E-5</v>
      </c>
      <c r="E38150" s="1">
        <v>2.1727699775335501E-5</v>
      </c>
      <c r="F38150" s="1">
        <v>2.08918782624284E-5</v>
      </c>
    </row>
    <row r="38151" spans="1:6" x14ac:dyDescent="0.25">
      <c r="A38151" s="2" t="str">
        <f t="shared" si="1257"/>
        <v>99999</v>
      </c>
      <c r="B38151" s="2" t="str">
        <f>"58545"</f>
        <v>58545</v>
      </c>
      <c r="C38151" s="1">
        <v>1.9306540497133001E-4</v>
      </c>
      <c r="D38151" s="1">
        <v>9.1056160404532095E-5</v>
      </c>
      <c r="E38151" s="1">
        <v>2.3900469752869099E-4</v>
      </c>
      <c r="F38151" s="1">
        <v>1.8742999355435801E-4</v>
      </c>
    </row>
    <row r="38152" spans="1:6" x14ac:dyDescent="0.25">
      <c r="A38152" s="2" t="str">
        <f t="shared" si="1257"/>
        <v>99999</v>
      </c>
      <c r="B38152" s="2" t="str">
        <f>"58530"</f>
        <v>58530</v>
      </c>
      <c r="C38152" s="1">
        <v>5.4569079980590801E-7</v>
      </c>
      <c r="D38152" s="1">
        <v>0</v>
      </c>
      <c r="E38152" s="1">
        <v>0</v>
      </c>
      <c r="F38152" s="1">
        <v>4.9742567291496303E-7</v>
      </c>
    </row>
    <row r="38153" spans="1:6" x14ac:dyDescent="0.25">
      <c r="A38153" s="2" t="str">
        <f t="shared" si="1257"/>
        <v>99999</v>
      </c>
      <c r="B38153" s="2" t="str">
        <f>"58775"</f>
        <v>58775</v>
      </c>
      <c r="C38153" s="1">
        <v>1.04772633562734E-5</v>
      </c>
      <c r="D38153" s="1">
        <v>1.8211232080906399E-5</v>
      </c>
      <c r="E38153" s="1">
        <v>4.3455399550671099E-6</v>
      </c>
      <c r="F38153" s="1">
        <v>1.0843879669546099E-5</v>
      </c>
    </row>
    <row r="38154" spans="1:6" x14ac:dyDescent="0.25">
      <c r="A38154" s="2" t="str">
        <f t="shared" si="1257"/>
        <v>99999</v>
      </c>
      <c r="B38154" s="2" t="str">
        <f>"58788"</f>
        <v>58788</v>
      </c>
      <c r="C38154" s="1">
        <v>1.7462105593789001E-6</v>
      </c>
      <c r="D38154" s="1">
        <v>0</v>
      </c>
      <c r="E38154" s="1">
        <v>0</v>
      </c>
      <c r="F38154" s="1">
        <v>1.5917621533278801E-6</v>
      </c>
    </row>
    <row r="38155" spans="1:6" x14ac:dyDescent="0.25">
      <c r="A38155" s="2" t="str">
        <f t="shared" si="1257"/>
        <v>99999</v>
      </c>
      <c r="B38155" s="2" t="str">
        <f>"58778"</f>
        <v>58778</v>
      </c>
      <c r="C38155" s="1">
        <v>1.09138159961181E-5</v>
      </c>
      <c r="D38155" s="1">
        <v>0</v>
      </c>
      <c r="E38155" s="1">
        <v>1.3036619865201299E-5</v>
      </c>
      <c r="F38155" s="1">
        <v>1.02469688620482E-5</v>
      </c>
    </row>
    <row r="38156" spans="1:6" x14ac:dyDescent="0.25">
      <c r="A38156" s="2" t="str">
        <f t="shared" si="1257"/>
        <v>99999</v>
      </c>
      <c r="B38156" s="2" t="str">
        <f>"58736"</f>
        <v>58736</v>
      </c>
      <c r="C38156" s="1">
        <v>2.5101776791071799E-6</v>
      </c>
      <c r="D38156" s="1">
        <v>1.51760267340886E-6</v>
      </c>
      <c r="E38156" s="1">
        <v>0</v>
      </c>
      <c r="F38156" s="1">
        <v>2.3876432299918199E-6</v>
      </c>
    </row>
    <row r="38157" spans="1:6" x14ac:dyDescent="0.25">
      <c r="A38157" s="2" t="str">
        <f t="shared" si="1257"/>
        <v>99999</v>
      </c>
      <c r="B38157" s="2" t="str">
        <f>"58835"</f>
        <v>58835</v>
      </c>
      <c r="C38157" s="1">
        <v>2.0408835912740901E-5</v>
      </c>
      <c r="D38157" s="1">
        <v>2.4281642774541899E-5</v>
      </c>
      <c r="E38157" s="1">
        <v>1.3036619865201299E-5</v>
      </c>
      <c r="F38157" s="1">
        <v>2.04939377240964E-5</v>
      </c>
    </row>
    <row r="38158" spans="1:6" x14ac:dyDescent="0.25">
      <c r="A38158" s="2" t="str">
        <f t="shared" si="1257"/>
        <v>99999</v>
      </c>
      <c r="B38158" s="2" t="str">
        <f>"58794"</f>
        <v>58794</v>
      </c>
      <c r="C38158" s="1">
        <v>1.20051975957299E-5</v>
      </c>
      <c r="D38158" s="1">
        <v>4.5528080202265997E-6</v>
      </c>
      <c r="E38158" s="1">
        <v>4.3455399550671099E-6</v>
      </c>
      <c r="F38158" s="1">
        <v>1.13413053424611E-5</v>
      </c>
    </row>
    <row r="38159" spans="1:6" x14ac:dyDescent="0.25">
      <c r="A38159" s="2" t="str">
        <f t="shared" si="1257"/>
        <v>99999</v>
      </c>
      <c r="B38159" s="2" t="str">
        <f>"58746"</f>
        <v>58746</v>
      </c>
      <c r="C38159" s="1">
        <v>4.9112171982531701E-6</v>
      </c>
      <c r="D38159" s="1">
        <v>1.51760267340886E-6</v>
      </c>
      <c r="E38159" s="1">
        <v>0</v>
      </c>
      <c r="F38159" s="1">
        <v>4.5763161908176597E-6</v>
      </c>
    </row>
    <row r="38160" spans="1:6" x14ac:dyDescent="0.25">
      <c r="A38160" s="2" t="str">
        <f t="shared" si="1257"/>
        <v>99999</v>
      </c>
      <c r="B38160" s="2" t="str">
        <f>"58730"</f>
        <v>58730</v>
      </c>
      <c r="C38160" s="1">
        <v>4.42009547842786E-5</v>
      </c>
      <c r="D38160" s="1">
        <v>4.5528080202265997E-6</v>
      </c>
      <c r="E38160" s="1">
        <v>1.6078497833748299E-4</v>
      </c>
      <c r="F38160" s="1">
        <v>4.4270884889431703E-5</v>
      </c>
    </row>
    <row r="38161" spans="1:6" x14ac:dyDescent="0.25">
      <c r="A38161" s="2" t="str">
        <f t="shared" si="1257"/>
        <v>99999</v>
      </c>
      <c r="B38161" s="2" t="str">
        <f>"59083"</f>
        <v>59083</v>
      </c>
      <c r="C38161" s="1">
        <v>0</v>
      </c>
      <c r="D38161" s="1">
        <v>0</v>
      </c>
      <c r="E38161" s="1">
        <v>4.3455399550671099E-6</v>
      </c>
      <c r="F38161" s="1">
        <v>9.9485134582992598E-8</v>
      </c>
    </row>
    <row r="38162" spans="1:6" x14ac:dyDescent="0.25">
      <c r="A38162" s="2" t="str">
        <f t="shared" ref="A38162:A38225" si="1258">"99999"</f>
        <v>99999</v>
      </c>
      <c r="B38162" s="2" t="str">
        <f>"59066"</f>
        <v>59066</v>
      </c>
      <c r="C38162" s="1">
        <v>1.09138159961181E-7</v>
      </c>
      <c r="D38162" s="1">
        <v>0</v>
      </c>
      <c r="E38162" s="1">
        <v>4.3455399550671099E-6</v>
      </c>
      <c r="F38162" s="1">
        <v>1.9897026916598501E-7</v>
      </c>
    </row>
    <row r="38163" spans="1:6" x14ac:dyDescent="0.25">
      <c r="A38163" s="2" t="str">
        <f t="shared" si="1258"/>
        <v>99999</v>
      </c>
      <c r="B38163" s="2" t="str">
        <f>"59064"</f>
        <v>59064</v>
      </c>
      <c r="C38163" s="1">
        <v>1.09138159961181E-7</v>
      </c>
      <c r="D38163" s="1">
        <v>0</v>
      </c>
      <c r="E38163" s="1">
        <v>0</v>
      </c>
      <c r="F38163" s="1">
        <v>9.9485134582992598E-8</v>
      </c>
    </row>
    <row r="38164" spans="1:6" x14ac:dyDescent="0.25">
      <c r="A38164" s="2" t="str">
        <f t="shared" si="1258"/>
        <v>99999</v>
      </c>
      <c r="B38164" s="2" t="str">
        <f>"59055"</f>
        <v>59055</v>
      </c>
      <c r="C38164" s="1">
        <v>1.20051975957299E-6</v>
      </c>
      <c r="D38164" s="1">
        <v>1.51760267340886E-6</v>
      </c>
      <c r="E38164" s="1">
        <v>4.3455399550671099E-6</v>
      </c>
      <c r="F38164" s="1">
        <v>1.2933067495789E-6</v>
      </c>
    </row>
    <row r="38165" spans="1:6" x14ac:dyDescent="0.25">
      <c r="A38165" s="2" t="str">
        <f t="shared" si="1258"/>
        <v>99999</v>
      </c>
      <c r="B38165" s="2" t="str">
        <f>"59070"</f>
        <v>59070</v>
      </c>
      <c r="C38165" s="1">
        <v>5.4569079980590801E-7</v>
      </c>
      <c r="D38165" s="1">
        <v>0</v>
      </c>
      <c r="E38165" s="1">
        <v>0</v>
      </c>
      <c r="F38165" s="1">
        <v>4.9742567291496303E-7</v>
      </c>
    </row>
    <row r="38166" spans="1:6" x14ac:dyDescent="0.25">
      <c r="A38166" s="2" t="str">
        <f t="shared" si="1258"/>
        <v>99999</v>
      </c>
      <c r="B38166" s="2" t="str">
        <f>"59072"</f>
        <v>59072</v>
      </c>
      <c r="C38166" s="1">
        <v>2.6018537334745703E-4</v>
      </c>
      <c r="D38166" s="1">
        <v>2.9441491864132003E-4</v>
      </c>
      <c r="E38166" s="1">
        <v>2.5638685734895902E-4</v>
      </c>
      <c r="F38166" s="1">
        <v>2.62342299895351E-4</v>
      </c>
    </row>
    <row r="38167" spans="1:6" x14ac:dyDescent="0.25">
      <c r="A38167" s="2" t="str">
        <f t="shared" si="1258"/>
        <v>99999</v>
      </c>
      <c r="B38167" s="2" t="str">
        <f>"59047"</f>
        <v>59047</v>
      </c>
      <c r="C38167" s="1">
        <v>8.8412823384553297E-4</v>
      </c>
      <c r="D38167" s="1">
        <v>1.7103382129317901E-3</v>
      </c>
      <c r="E38167" s="1">
        <v>1.3644995458910699E-3</v>
      </c>
      <c r="F38167" s="1">
        <v>9.4928715419091497E-4</v>
      </c>
    </row>
    <row r="38168" spans="1:6" x14ac:dyDescent="0.25">
      <c r="A38168" s="2" t="str">
        <f t="shared" si="1258"/>
        <v>99999</v>
      </c>
      <c r="B38168" s="2" t="str">
        <f>"59018"</f>
        <v>59018</v>
      </c>
      <c r="C38168" s="1">
        <v>1.5825033194371299E-5</v>
      </c>
      <c r="D38168" s="1">
        <v>9.1056160404532095E-6</v>
      </c>
      <c r="E38168" s="1">
        <v>1.3036619865201299E-5</v>
      </c>
      <c r="F38168" s="1">
        <v>1.5320710725780799E-5</v>
      </c>
    </row>
    <row r="38169" spans="1:6" x14ac:dyDescent="0.25">
      <c r="A38169" s="2" t="str">
        <f t="shared" si="1258"/>
        <v>99999</v>
      </c>
      <c r="B38169" s="2" t="str">
        <f>"58854"</f>
        <v>58854</v>
      </c>
      <c r="C38169" s="1">
        <v>7.3973844821688904E-4</v>
      </c>
      <c r="D38169" s="1">
        <v>8.2861105968124198E-4</v>
      </c>
      <c r="E38169" s="1">
        <v>1.0298929693509E-3</v>
      </c>
      <c r="F38169" s="1">
        <v>7.5220710258200698E-4</v>
      </c>
    </row>
    <row r="38170" spans="1:6" x14ac:dyDescent="0.25">
      <c r="A38170" s="2" t="str">
        <f t="shared" si="1258"/>
        <v>99999</v>
      </c>
      <c r="B38170" s="2" t="str">
        <f>"58475"</f>
        <v>58475</v>
      </c>
      <c r="C38170" s="1">
        <v>6.3300132777485401E-6</v>
      </c>
      <c r="D38170" s="1">
        <v>1.51760267340886E-6</v>
      </c>
      <c r="E38170" s="1">
        <v>0</v>
      </c>
      <c r="F38170" s="1">
        <v>5.86962294039656E-6</v>
      </c>
    </row>
    <row r="38171" spans="1:6" x14ac:dyDescent="0.25">
      <c r="A38171" s="2" t="str">
        <f t="shared" si="1258"/>
        <v>99999</v>
      </c>
      <c r="B38171" s="2" t="str">
        <f>"58443"</f>
        <v>58443</v>
      </c>
      <c r="C38171" s="1">
        <v>9.4950199166228093E-6</v>
      </c>
      <c r="D38171" s="1">
        <v>0</v>
      </c>
      <c r="E38171" s="1">
        <v>2.1727699775335501E-5</v>
      </c>
      <c r="F38171" s="1">
        <v>9.1526323816353195E-6</v>
      </c>
    </row>
    <row r="38172" spans="1:6" x14ac:dyDescent="0.25">
      <c r="A38172" s="2" t="str">
        <f t="shared" si="1258"/>
        <v>99999</v>
      </c>
      <c r="B38172" s="2" t="str">
        <f>"58456"</f>
        <v>58456</v>
      </c>
      <c r="C38172" s="1">
        <v>3.3941967747927502E-5</v>
      </c>
      <c r="D38172" s="1">
        <v>2.4281642774541899E-5</v>
      </c>
      <c r="E38172" s="1">
        <v>3.47643196405369E-5</v>
      </c>
      <c r="F38172" s="1">
        <v>3.3327520085302503E-5</v>
      </c>
    </row>
    <row r="38173" spans="1:6" x14ac:dyDescent="0.25">
      <c r="A38173" s="2" t="str">
        <f t="shared" si="1258"/>
        <v>99999</v>
      </c>
      <c r="B38173" s="2" t="str">
        <f>"58382"</f>
        <v>58382</v>
      </c>
      <c r="C38173" s="1">
        <v>9.4950199166228093E-6</v>
      </c>
      <c r="D38173" s="1">
        <v>7.5880133670443404E-6</v>
      </c>
      <c r="E38173" s="1">
        <v>4.3455399550671099E-6</v>
      </c>
      <c r="F38173" s="1">
        <v>9.2521175162183095E-6</v>
      </c>
    </row>
    <row r="38174" spans="1:6" x14ac:dyDescent="0.25">
      <c r="A38174" s="2" t="str">
        <f t="shared" si="1258"/>
        <v>99999</v>
      </c>
      <c r="B38174" s="2" t="str">
        <f>"58490"</f>
        <v>58490</v>
      </c>
      <c r="C38174" s="1">
        <v>1.4842789754720701E-5</v>
      </c>
      <c r="D38174" s="1">
        <v>3.0352053468177301E-6</v>
      </c>
      <c r="E38174" s="1">
        <v>4.3455399550671099E-6</v>
      </c>
      <c r="F38174" s="1">
        <v>1.3828433707035901E-5</v>
      </c>
    </row>
    <row r="38175" spans="1:6" x14ac:dyDescent="0.25">
      <c r="A38175" s="2" t="str">
        <f t="shared" si="1258"/>
        <v>99999</v>
      </c>
      <c r="B38175" s="2" t="str">
        <f>"58436"</f>
        <v>58436</v>
      </c>
      <c r="C38175" s="1">
        <v>9.2658297807043206E-5</v>
      </c>
      <c r="D38175" s="1">
        <v>3.3387258814995101E-5</v>
      </c>
      <c r="E38175" s="1">
        <v>1.73821598202684E-4</v>
      </c>
      <c r="F38175" s="1">
        <v>9.0630957605106205E-5</v>
      </c>
    </row>
    <row r="38176" spans="1:6" x14ac:dyDescent="0.25">
      <c r="A38176" s="2" t="str">
        <f t="shared" si="1258"/>
        <v>99999</v>
      </c>
      <c r="B38176" s="2" t="str">
        <f>"58374"</f>
        <v>58374</v>
      </c>
      <c r="C38176" s="1">
        <v>2.8594197909829602E-5</v>
      </c>
      <c r="D38176" s="1">
        <v>1.5176026734088599E-5</v>
      </c>
      <c r="E38176" s="1">
        <v>2.1727699775335501E-5</v>
      </c>
      <c r="F38176" s="1">
        <v>2.7557382279488901E-5</v>
      </c>
    </row>
    <row r="38177" spans="1:6" x14ac:dyDescent="0.25">
      <c r="A38177" s="2" t="str">
        <f t="shared" si="1258"/>
        <v>99999</v>
      </c>
      <c r="B38177" s="2" t="str">
        <f>"58645"</f>
        <v>58645</v>
      </c>
      <c r="C38177" s="1">
        <v>3.2741447988354498E-7</v>
      </c>
      <c r="D38177" s="1">
        <v>0</v>
      </c>
      <c r="E38177" s="1">
        <v>0</v>
      </c>
      <c r="F38177" s="1">
        <v>2.9845540374897701E-7</v>
      </c>
    </row>
    <row r="38178" spans="1:6" x14ac:dyDescent="0.25">
      <c r="A38178" s="2" t="str">
        <f t="shared" si="1258"/>
        <v>99999</v>
      </c>
      <c r="B38178" s="2" t="str">
        <f>"58651"</f>
        <v>58651</v>
      </c>
      <c r="C38178" s="1">
        <v>2.05179740727021E-5</v>
      </c>
      <c r="D38178" s="1">
        <v>4.5528080202265997E-6</v>
      </c>
      <c r="E38178" s="1">
        <v>4.3455399550671099E-6</v>
      </c>
      <c r="F38178" s="1">
        <v>1.9101145839934498E-5</v>
      </c>
    </row>
    <row r="38179" spans="1:6" x14ac:dyDescent="0.25">
      <c r="A38179" s="2" t="str">
        <f t="shared" si="1258"/>
        <v>99999</v>
      </c>
      <c r="B38179" s="2" t="str">
        <f>"58646"</f>
        <v>58646</v>
      </c>
      <c r="C38179" s="1">
        <v>9.1785192527353804E-5</v>
      </c>
      <c r="D38179" s="1">
        <v>5.0080888222492601E-5</v>
      </c>
      <c r="E38179" s="1">
        <v>9.9947418966543598E-5</v>
      </c>
      <c r="F38179" s="1">
        <v>8.9238165720944293E-5</v>
      </c>
    </row>
    <row r="38180" spans="1:6" x14ac:dyDescent="0.25">
      <c r="A38180" s="2" t="str">
        <f t="shared" si="1258"/>
        <v>99999</v>
      </c>
      <c r="B38180" s="2" t="str">
        <f>"58640"</f>
        <v>58640</v>
      </c>
      <c r="C38180" s="1">
        <v>7.3559119813836402E-5</v>
      </c>
      <c r="D38180" s="1">
        <v>4.4010477528857203E-5</v>
      </c>
      <c r="E38180" s="1">
        <v>2.5204131739389198E-4</v>
      </c>
      <c r="F38180" s="1">
        <v>7.5708187417657295E-5</v>
      </c>
    </row>
    <row r="38181" spans="1:6" x14ac:dyDescent="0.25">
      <c r="A38181" s="2" t="str">
        <f t="shared" si="1258"/>
        <v>99999</v>
      </c>
      <c r="B38181" s="2" t="str">
        <f>"58639"</f>
        <v>58639</v>
      </c>
      <c r="C38181" s="1">
        <v>1.1263058107993901E-4</v>
      </c>
      <c r="D38181" s="1">
        <v>1.54795472687704E-4</v>
      </c>
      <c r="E38181" s="1">
        <v>1.8685821806788599E-4</v>
      </c>
      <c r="F38181" s="1">
        <v>1.1709400340418199E-4</v>
      </c>
    </row>
    <row r="38182" spans="1:6" x14ac:dyDescent="0.25">
      <c r="A38182" s="2" t="str">
        <f t="shared" si="1258"/>
        <v>99999</v>
      </c>
      <c r="B38182" s="2" t="str">
        <f>"58632"</f>
        <v>58632</v>
      </c>
      <c r="C38182" s="1">
        <v>8.2945001570498102E-6</v>
      </c>
      <c r="D38182" s="1">
        <v>0</v>
      </c>
      <c r="E38182" s="1">
        <v>4.3455399550671099E-6</v>
      </c>
      <c r="F38182" s="1">
        <v>7.6603553628904299E-6</v>
      </c>
    </row>
    <row r="38183" spans="1:6" x14ac:dyDescent="0.25">
      <c r="A38183" s="2" t="str">
        <f t="shared" si="1258"/>
        <v>99999</v>
      </c>
      <c r="B38183" s="2" t="str">
        <f>"58259"</f>
        <v>58259</v>
      </c>
      <c r="C38183" s="1">
        <v>2.0081421432857398E-5</v>
      </c>
      <c r="D38183" s="1">
        <v>9.1056160404532095E-6</v>
      </c>
      <c r="E38183" s="1">
        <v>3.47643196405369E-5</v>
      </c>
      <c r="F38183" s="1">
        <v>1.96980566474325E-5</v>
      </c>
    </row>
    <row r="38184" spans="1:6" x14ac:dyDescent="0.25">
      <c r="A38184" s="2" t="str">
        <f t="shared" si="1258"/>
        <v>99999</v>
      </c>
      <c r="B38184" s="2" t="str">
        <f>"58225"</f>
        <v>58225</v>
      </c>
      <c r="C38184" s="1">
        <v>6.0789955098378197E-5</v>
      </c>
      <c r="D38184" s="1">
        <v>3.9457669508630602E-5</v>
      </c>
      <c r="E38184" s="1">
        <v>6.0837559370939603E-5</v>
      </c>
      <c r="F38184" s="1">
        <v>5.9392625346046603E-5</v>
      </c>
    </row>
    <row r="38185" spans="1:6" x14ac:dyDescent="0.25">
      <c r="A38185" s="2" t="str">
        <f t="shared" si="1258"/>
        <v>99999</v>
      </c>
      <c r="B38185" s="2" t="str">
        <f>"58210"</f>
        <v>58210</v>
      </c>
      <c r="C38185" s="1">
        <v>2.0081421432857398E-5</v>
      </c>
      <c r="D38185" s="1">
        <v>1.51760267340886E-6</v>
      </c>
      <c r="E38185" s="1">
        <v>4.3455399550671099E-6</v>
      </c>
      <c r="F38185" s="1">
        <v>1.8504235032436599E-5</v>
      </c>
    </row>
    <row r="38186" spans="1:6" x14ac:dyDescent="0.25">
      <c r="A38186" s="2" t="str">
        <f t="shared" si="1258"/>
        <v>99999</v>
      </c>
      <c r="B38186" s="2" t="str">
        <f>"57648"</f>
        <v>57648</v>
      </c>
      <c r="C38186" s="1">
        <v>1.9863145112935E-5</v>
      </c>
      <c r="D38186" s="1">
        <v>3.0352053468177301E-6</v>
      </c>
      <c r="E38186" s="1">
        <v>2.1727699775335501E-5</v>
      </c>
      <c r="F38186" s="1">
        <v>1.8802690436185601E-5</v>
      </c>
    </row>
    <row r="38187" spans="1:6" x14ac:dyDescent="0.25">
      <c r="A38187" s="2" t="str">
        <f t="shared" si="1258"/>
        <v>99999</v>
      </c>
      <c r="B38187" s="2" t="str">
        <f>"57649"</f>
        <v>57649</v>
      </c>
      <c r="C38187" s="1">
        <v>1.54976187144878E-5</v>
      </c>
      <c r="D38187" s="1">
        <v>0</v>
      </c>
      <c r="E38187" s="1">
        <v>1.7382159820268399E-5</v>
      </c>
      <c r="F38187" s="1">
        <v>1.45248296491169E-5</v>
      </c>
    </row>
    <row r="38188" spans="1:6" x14ac:dyDescent="0.25">
      <c r="A38188" s="2" t="str">
        <f t="shared" si="1258"/>
        <v>99999</v>
      </c>
      <c r="B38188" s="2" t="str">
        <f>"57645"</f>
        <v>57645</v>
      </c>
      <c r="C38188" s="1">
        <v>1.2441750235574699E-5</v>
      </c>
      <c r="D38188" s="1">
        <v>3.0352053468177301E-6</v>
      </c>
      <c r="E38188" s="1">
        <v>8.69107991013423E-6</v>
      </c>
      <c r="F38188" s="1">
        <v>1.17392458807931E-5</v>
      </c>
    </row>
    <row r="38189" spans="1:6" x14ac:dyDescent="0.25">
      <c r="A38189" s="2" t="str">
        <f t="shared" si="1258"/>
        <v>99999</v>
      </c>
      <c r="B38189" s="2" t="str">
        <f>"57572"</f>
        <v>57572</v>
      </c>
      <c r="C38189" s="1">
        <v>6.1117369578261701E-6</v>
      </c>
      <c r="D38189" s="1">
        <v>0</v>
      </c>
      <c r="E38189" s="1">
        <v>8.69107991013423E-6</v>
      </c>
      <c r="F38189" s="1">
        <v>5.7701378058135699E-6</v>
      </c>
    </row>
    <row r="38190" spans="1:6" x14ac:dyDescent="0.25">
      <c r="A38190" s="2" t="str">
        <f t="shared" si="1258"/>
        <v>99999</v>
      </c>
      <c r="B38190" s="2" t="str">
        <f>"57540"</f>
        <v>57540</v>
      </c>
      <c r="C38190" s="1">
        <v>6.0025987978649897E-6</v>
      </c>
      <c r="D38190" s="1">
        <v>0</v>
      </c>
      <c r="E38190" s="1">
        <v>4.3455399550671099E-6</v>
      </c>
      <c r="F38190" s="1">
        <v>5.5711675366475797E-6</v>
      </c>
    </row>
    <row r="38191" spans="1:6" x14ac:dyDescent="0.25">
      <c r="A38191" s="2" t="str">
        <f t="shared" si="1258"/>
        <v>99999</v>
      </c>
      <c r="B38191" s="2" t="str">
        <f>"57577"</f>
        <v>57577</v>
      </c>
      <c r="C38191" s="1">
        <v>6.0025987978649897E-6</v>
      </c>
      <c r="D38191" s="1">
        <v>0</v>
      </c>
      <c r="E38191" s="1">
        <v>4.3455399550671099E-6</v>
      </c>
      <c r="F38191" s="1">
        <v>5.5711675366475797E-6</v>
      </c>
    </row>
    <row r="38192" spans="1:6" x14ac:dyDescent="0.25">
      <c r="A38192" s="2" t="str">
        <f t="shared" si="1258"/>
        <v>99999</v>
      </c>
      <c r="B38192" s="2" t="str">
        <f>"57440"</f>
        <v>57440</v>
      </c>
      <c r="C38192" s="1">
        <v>1.9099177993206801E-5</v>
      </c>
      <c r="D38192" s="1">
        <v>9.1056160404532095E-6</v>
      </c>
      <c r="E38192" s="1">
        <v>1.7382159820268399E-5</v>
      </c>
      <c r="F38192" s="1">
        <v>1.84047498978536E-5</v>
      </c>
    </row>
    <row r="38193" spans="1:6" x14ac:dyDescent="0.25">
      <c r="A38193" s="2" t="str">
        <f t="shared" si="1258"/>
        <v>99999</v>
      </c>
      <c r="B38193" s="2" t="str">
        <f>"57569"</f>
        <v>57569</v>
      </c>
      <c r="C38193" s="1">
        <v>2.24824609520034E-5</v>
      </c>
      <c r="D38193" s="1">
        <v>3.0352053468177301E-6</v>
      </c>
      <c r="E38193" s="1">
        <v>1.7382159820268399E-5</v>
      </c>
      <c r="F38193" s="1">
        <v>2.1090848531594401E-5</v>
      </c>
    </row>
    <row r="38194" spans="1:6" x14ac:dyDescent="0.25">
      <c r="A38194" s="2" t="str">
        <f t="shared" si="1258"/>
        <v>99999</v>
      </c>
      <c r="B38194" s="2" t="str">
        <f>"57544"</f>
        <v>57544</v>
      </c>
      <c r="C38194" s="1">
        <v>9.0584672767780794E-6</v>
      </c>
      <c r="D38194" s="1">
        <v>6.0704106936354696E-6</v>
      </c>
      <c r="E38194" s="1">
        <v>4.3455399550671099E-6</v>
      </c>
      <c r="F38194" s="1">
        <v>8.7546918433033508E-6</v>
      </c>
    </row>
    <row r="38195" spans="1:6" x14ac:dyDescent="0.25">
      <c r="A38195" s="2" t="str">
        <f t="shared" si="1258"/>
        <v>99999</v>
      </c>
      <c r="B38195" s="2" t="str">
        <f>"57538"</f>
        <v>57538</v>
      </c>
      <c r="C38195" s="1">
        <v>1.8662625353362001E-5</v>
      </c>
      <c r="D38195" s="1">
        <v>1.66936294074975E-5</v>
      </c>
      <c r="E38195" s="1">
        <v>8.69107991013423E-6</v>
      </c>
      <c r="F38195" s="1">
        <v>1.8305264763270602E-5</v>
      </c>
    </row>
    <row r="38196" spans="1:6" x14ac:dyDescent="0.25">
      <c r="A38196" s="2" t="str">
        <f t="shared" si="1258"/>
        <v>99999</v>
      </c>
      <c r="B38196" s="2" t="str">
        <f>"57563"</f>
        <v>57563</v>
      </c>
      <c r="C38196" s="1">
        <v>0</v>
      </c>
      <c r="D38196" s="1">
        <v>0</v>
      </c>
      <c r="E38196" s="1">
        <v>4.3455399550671099E-6</v>
      </c>
      <c r="F38196" s="1">
        <v>9.9485134582992598E-8</v>
      </c>
    </row>
    <row r="38197" spans="1:6" x14ac:dyDescent="0.25">
      <c r="A38197" s="2" t="str">
        <f t="shared" si="1258"/>
        <v>99999</v>
      </c>
      <c r="B38197" s="2" t="str">
        <f>"57531"</f>
        <v>57531</v>
      </c>
      <c r="C38197" s="1">
        <v>1.41879607949536E-5</v>
      </c>
      <c r="D38197" s="1">
        <v>3.0352053468177301E-6</v>
      </c>
      <c r="E38197" s="1">
        <v>4.3455399550671099E-6</v>
      </c>
      <c r="F38197" s="1">
        <v>1.3231522899537999E-5</v>
      </c>
    </row>
    <row r="38198" spans="1:6" x14ac:dyDescent="0.25">
      <c r="A38198" s="2" t="str">
        <f t="shared" si="1258"/>
        <v>99999</v>
      </c>
      <c r="B38198" s="2" t="str">
        <f>"57432"</f>
        <v>57432</v>
      </c>
      <c r="C38198" s="1">
        <v>3.3832829587966299E-6</v>
      </c>
      <c r="D38198" s="1">
        <v>0</v>
      </c>
      <c r="E38198" s="1">
        <v>0</v>
      </c>
      <c r="F38198" s="1">
        <v>3.0840391720727701E-6</v>
      </c>
    </row>
    <row r="38199" spans="1:6" x14ac:dyDescent="0.25">
      <c r="A38199" s="2" t="str">
        <f t="shared" si="1258"/>
        <v>99999</v>
      </c>
      <c r="B38199" s="2" t="str">
        <f>"58052"</f>
        <v>58052</v>
      </c>
      <c r="C38199" s="1">
        <v>1.0913815996118101E-6</v>
      </c>
      <c r="D38199" s="1">
        <v>0</v>
      </c>
      <c r="E38199" s="1">
        <v>0</v>
      </c>
      <c r="F38199" s="1">
        <v>9.9485134582992606E-7</v>
      </c>
    </row>
    <row r="38200" spans="1:6" x14ac:dyDescent="0.25">
      <c r="A38200" s="2" t="str">
        <f t="shared" si="1258"/>
        <v>99999</v>
      </c>
      <c r="B38200" s="2" t="str">
        <f>"58049"</f>
        <v>58049</v>
      </c>
      <c r="C38200" s="1">
        <v>2.4774362311188199E-5</v>
      </c>
      <c r="D38200" s="1">
        <v>1.5176026734088599E-5</v>
      </c>
      <c r="E38200" s="1">
        <v>1.3036619865201299E-5</v>
      </c>
      <c r="F38200" s="1">
        <v>2.38764322999182E-5</v>
      </c>
    </row>
    <row r="38201" spans="1:6" x14ac:dyDescent="0.25">
      <c r="A38201" s="2" t="str">
        <f t="shared" si="1258"/>
        <v>99999</v>
      </c>
      <c r="B38201" s="2" t="str">
        <f>"58046"</f>
        <v>58046</v>
      </c>
      <c r="C38201" s="1">
        <v>2.89216123897131E-5</v>
      </c>
      <c r="D38201" s="1">
        <v>1.21408213872709E-5</v>
      </c>
      <c r="E38201" s="1">
        <v>8.2565259146275205E-5</v>
      </c>
      <c r="F38201" s="1">
        <v>2.9049659298233801E-5</v>
      </c>
    </row>
    <row r="38202" spans="1:6" x14ac:dyDescent="0.25">
      <c r="A38202" s="2" t="str">
        <f t="shared" si="1258"/>
        <v>99999</v>
      </c>
      <c r="B38202" s="2" t="str">
        <f>"58017"</f>
        <v>58017</v>
      </c>
      <c r="C38202" s="1">
        <v>1.9754006952973801E-5</v>
      </c>
      <c r="D38202" s="1">
        <v>9.1056160404532095E-6</v>
      </c>
      <c r="E38202" s="1">
        <v>8.69107991013423E-6</v>
      </c>
      <c r="F38202" s="1">
        <v>1.8802690436185601E-5</v>
      </c>
    </row>
    <row r="38203" spans="1:6" x14ac:dyDescent="0.25">
      <c r="A38203" s="2" t="str">
        <f t="shared" si="1258"/>
        <v>99999</v>
      </c>
      <c r="B38203" s="2" t="str">
        <f>"58067"</f>
        <v>58067</v>
      </c>
      <c r="C38203" s="1">
        <v>1.0804677836156901E-5</v>
      </c>
      <c r="D38203" s="1">
        <v>1.3658424060679801E-5</v>
      </c>
      <c r="E38203" s="1">
        <v>3.0418779685469802E-5</v>
      </c>
      <c r="F38203" s="1">
        <v>1.1440790477044101E-5</v>
      </c>
    </row>
    <row r="38204" spans="1:6" x14ac:dyDescent="0.25">
      <c r="A38204" s="2" t="str">
        <f t="shared" si="1258"/>
        <v>99999</v>
      </c>
      <c r="B38204" s="2" t="str">
        <f>"58063"</f>
        <v>58063</v>
      </c>
      <c r="C38204" s="1">
        <v>2.2809875431886899E-5</v>
      </c>
      <c r="D38204" s="1">
        <v>7.5880133670443404E-6</v>
      </c>
      <c r="E38204" s="1">
        <v>1.3036619865201299E-5</v>
      </c>
      <c r="F38204" s="1">
        <v>2.15882742045094E-5</v>
      </c>
    </row>
    <row r="38205" spans="1:6" x14ac:dyDescent="0.25">
      <c r="A38205" s="2" t="str">
        <f t="shared" si="1258"/>
        <v>99999</v>
      </c>
      <c r="B38205" s="2" t="str">
        <f>"57381"</f>
        <v>57381</v>
      </c>
      <c r="C38205" s="1">
        <v>1.6152447674254801E-5</v>
      </c>
      <c r="D38205" s="1">
        <v>1.51760267340886E-6</v>
      </c>
      <c r="E38205" s="1">
        <v>0</v>
      </c>
      <c r="F38205" s="1">
        <v>1.4823285052865899E-5</v>
      </c>
    </row>
    <row r="38206" spans="1:6" x14ac:dyDescent="0.25">
      <c r="A38206" s="2" t="str">
        <f t="shared" si="1258"/>
        <v>99999</v>
      </c>
      <c r="B38206" s="2" t="str">
        <f>"57422"</f>
        <v>57422</v>
      </c>
      <c r="C38206" s="1">
        <v>1.4297098954914801E-5</v>
      </c>
      <c r="D38206" s="1">
        <v>7.5880133670443404E-6</v>
      </c>
      <c r="E38206" s="1">
        <v>1.3036619865201299E-5</v>
      </c>
      <c r="F38206" s="1">
        <v>1.3828433707035901E-5</v>
      </c>
    </row>
    <row r="38207" spans="1:6" x14ac:dyDescent="0.25">
      <c r="A38207" s="2" t="str">
        <f t="shared" si="1258"/>
        <v>99999</v>
      </c>
      <c r="B38207" s="2" t="str">
        <f>"57376"</f>
        <v>57376</v>
      </c>
      <c r="C38207" s="1">
        <v>3.52516256674617E-5</v>
      </c>
      <c r="D38207" s="1">
        <v>9.1056160404532095E-6</v>
      </c>
      <c r="E38207" s="1">
        <v>3.9109859595604001E-5</v>
      </c>
      <c r="F38207" s="1">
        <v>3.3625975489051499E-5</v>
      </c>
    </row>
    <row r="38208" spans="1:6" x14ac:dyDescent="0.25">
      <c r="A38208" s="2" t="str">
        <f t="shared" si="1258"/>
        <v>99999</v>
      </c>
      <c r="B38208" s="2" t="str">
        <f>"57371"</f>
        <v>57371</v>
      </c>
      <c r="C38208" s="1">
        <v>1.41879607949536E-5</v>
      </c>
      <c r="D38208" s="1">
        <v>1.51760267340886E-6</v>
      </c>
      <c r="E38208" s="1">
        <v>4.3455399550671099E-6</v>
      </c>
      <c r="F38208" s="1">
        <v>1.3132037764955001E-5</v>
      </c>
    </row>
    <row r="38209" spans="1:6" x14ac:dyDescent="0.25">
      <c r="A38209" s="2" t="str">
        <f t="shared" si="1258"/>
        <v>99999</v>
      </c>
      <c r="B38209" s="2" t="str">
        <f>"57368"</f>
        <v>57368</v>
      </c>
      <c r="C38209" s="1">
        <v>5.0858382541910597E-5</v>
      </c>
      <c r="D38209" s="1">
        <v>2.4281642774541899E-5</v>
      </c>
      <c r="E38209" s="1">
        <v>3.47643196405369E-5</v>
      </c>
      <c r="F38209" s="1">
        <v>4.8747715945666297E-5</v>
      </c>
    </row>
    <row r="38210" spans="1:6" x14ac:dyDescent="0.25">
      <c r="A38210" s="2" t="str">
        <f t="shared" si="1258"/>
        <v>99999</v>
      </c>
      <c r="B38210" s="2" t="str">
        <f>"57355"</f>
        <v>57355</v>
      </c>
      <c r="C38210" s="1">
        <v>5.0967520701871799E-5</v>
      </c>
      <c r="D38210" s="1">
        <v>4.7045682875674899E-5</v>
      </c>
      <c r="E38210" s="1">
        <v>6.0837559370939603E-5</v>
      </c>
      <c r="F38210" s="1">
        <v>5.0936388906492203E-5</v>
      </c>
    </row>
    <row r="38211" spans="1:6" x14ac:dyDescent="0.25">
      <c r="A38211" s="2" t="str">
        <f t="shared" si="1258"/>
        <v>99999</v>
      </c>
      <c r="B38211" s="2" t="str">
        <f>"57763"</f>
        <v>57763</v>
      </c>
      <c r="C38211" s="1">
        <v>1.3205717355302901E-5</v>
      </c>
      <c r="D38211" s="1">
        <v>6.0704106936354696E-6</v>
      </c>
      <c r="E38211" s="1">
        <v>4.3455399550671099E-6</v>
      </c>
      <c r="F38211" s="1">
        <v>1.2535126957457E-5</v>
      </c>
    </row>
    <row r="38212" spans="1:6" x14ac:dyDescent="0.25">
      <c r="A38212" s="2" t="str">
        <f t="shared" si="1258"/>
        <v>99999</v>
      </c>
      <c r="B38212" s="2" t="str">
        <f>"57762"</f>
        <v>57762</v>
      </c>
      <c r="C38212" s="1">
        <v>2.1063664872508E-5</v>
      </c>
      <c r="D38212" s="1">
        <v>6.0704106936354696E-6</v>
      </c>
      <c r="E38212" s="1">
        <v>1.3036619865201299E-5</v>
      </c>
      <c r="F38212" s="1">
        <v>1.98970269165985E-5</v>
      </c>
    </row>
    <row r="38213" spans="1:6" x14ac:dyDescent="0.25">
      <c r="A38213" s="2" t="str">
        <f t="shared" si="1258"/>
        <v>99999</v>
      </c>
      <c r="B38213" s="2" t="str">
        <f>"57751"</f>
        <v>57751</v>
      </c>
      <c r="C38213" s="1">
        <v>3.3832829587966299E-6</v>
      </c>
      <c r="D38213" s="1">
        <v>6.0704106936354696E-6</v>
      </c>
      <c r="E38213" s="1">
        <v>0</v>
      </c>
      <c r="F38213" s="1">
        <v>3.48197971040474E-6</v>
      </c>
    </row>
    <row r="38214" spans="1:6" x14ac:dyDescent="0.25">
      <c r="A38214" s="2" t="str">
        <f t="shared" si="1258"/>
        <v>99999</v>
      </c>
      <c r="B38214" s="2" t="str">
        <f>"57764"</f>
        <v>57764</v>
      </c>
      <c r="C38214" s="1">
        <v>6.2208751177873496E-5</v>
      </c>
      <c r="D38214" s="1">
        <v>1.51760267340886E-6</v>
      </c>
      <c r="E38214" s="1">
        <v>4.3455399550671099E-6</v>
      </c>
      <c r="F38214" s="1">
        <v>5.6905496981471701E-5</v>
      </c>
    </row>
    <row r="38215" spans="1:6" x14ac:dyDescent="0.25">
      <c r="A38215" s="2" t="str">
        <f t="shared" si="1258"/>
        <v>99999</v>
      </c>
      <c r="B38215" s="2" t="str">
        <f>"57738"</f>
        <v>57738</v>
      </c>
      <c r="C38215" s="1">
        <v>1.4078822634992399E-5</v>
      </c>
      <c r="D38215" s="1">
        <v>0</v>
      </c>
      <c r="E38215" s="1">
        <v>4.3455399550671099E-6</v>
      </c>
      <c r="F38215" s="1">
        <v>1.2933067495789E-5</v>
      </c>
    </row>
    <row r="38216" spans="1:6" x14ac:dyDescent="0.25">
      <c r="A38216" s="2" t="str">
        <f t="shared" si="1258"/>
        <v>99999</v>
      </c>
      <c r="B38216" s="2" t="str">
        <f>"57717"</f>
        <v>57717</v>
      </c>
      <c r="C38216" s="1">
        <v>4.4331920576232001E-4</v>
      </c>
      <c r="D38216" s="1">
        <v>6.2069949342422699E-4</v>
      </c>
      <c r="E38216" s="1">
        <v>8.86490150833691E-4</v>
      </c>
      <c r="F38216" s="1">
        <v>4.6509300417549001E-4</v>
      </c>
    </row>
    <row r="38217" spans="1:6" x14ac:dyDescent="0.25">
      <c r="A38217" s="2" t="str">
        <f t="shared" si="1258"/>
        <v>99999</v>
      </c>
      <c r="B38217" s="2" t="str">
        <f>"57272"</f>
        <v>57272</v>
      </c>
      <c r="C38217" s="1">
        <v>9.8224343965063504E-7</v>
      </c>
      <c r="D38217" s="1">
        <v>0</v>
      </c>
      <c r="E38217" s="1">
        <v>0</v>
      </c>
      <c r="F38217" s="1">
        <v>8.9536621124693305E-7</v>
      </c>
    </row>
    <row r="38218" spans="1:6" x14ac:dyDescent="0.25">
      <c r="A38218" s="2" t="str">
        <f t="shared" si="1258"/>
        <v>99999</v>
      </c>
      <c r="B38218" s="2" t="str">
        <f>"57256"</f>
        <v>57256</v>
      </c>
      <c r="C38218" s="1">
        <v>7.9670856771662607E-6</v>
      </c>
      <c r="D38218" s="1">
        <v>9.1056160404532095E-6</v>
      </c>
      <c r="E38218" s="1">
        <v>4.3455399550671099E-6</v>
      </c>
      <c r="F38218" s="1">
        <v>7.9588107666394102E-6</v>
      </c>
    </row>
    <row r="38219" spans="1:6" x14ac:dyDescent="0.25">
      <c r="A38219" s="2" t="str">
        <f t="shared" si="1258"/>
        <v>99999</v>
      </c>
      <c r="B38219" s="2" t="str">
        <f>"57331"</f>
        <v>57331</v>
      </c>
      <c r="C38219" s="1">
        <v>1.6261585834216E-5</v>
      </c>
      <c r="D38219" s="1">
        <v>7.5880133670443404E-6</v>
      </c>
      <c r="E38219" s="1">
        <v>1.3036619865201299E-5</v>
      </c>
      <c r="F38219" s="1">
        <v>1.5619166129529801E-5</v>
      </c>
    </row>
    <row r="38220" spans="1:6" x14ac:dyDescent="0.25">
      <c r="A38220" s="2" t="str">
        <f t="shared" si="1258"/>
        <v>99999</v>
      </c>
      <c r="B38220" s="2" t="str">
        <f>"57322"</f>
        <v>57322</v>
      </c>
      <c r="C38220" s="1">
        <v>6.4391514377097196E-6</v>
      </c>
      <c r="D38220" s="1">
        <v>3.0352053468177301E-6</v>
      </c>
      <c r="E38220" s="1">
        <v>0</v>
      </c>
      <c r="F38220" s="1">
        <v>6.0685932095625502E-6</v>
      </c>
    </row>
    <row r="38221" spans="1:6" x14ac:dyDescent="0.25">
      <c r="A38221" s="2" t="str">
        <f t="shared" si="1258"/>
        <v>99999</v>
      </c>
      <c r="B38221" s="2" t="str">
        <f>"57274"</f>
        <v>57274</v>
      </c>
      <c r="C38221" s="1">
        <v>1.6610827946091799E-4</v>
      </c>
      <c r="D38221" s="1">
        <v>3.1869656141586197E-4</v>
      </c>
      <c r="E38221" s="1">
        <v>3.1287887676483201E-4</v>
      </c>
      <c r="F38221" s="1">
        <v>1.7947118278771799E-4</v>
      </c>
    </row>
    <row r="38222" spans="1:6" x14ac:dyDescent="0.25">
      <c r="A38222" s="2" t="str">
        <f t="shared" si="1258"/>
        <v>99999</v>
      </c>
      <c r="B38222" s="2" t="str">
        <f>"57265"</f>
        <v>57265</v>
      </c>
      <c r="C38222" s="1">
        <v>8.7310527968945299E-6</v>
      </c>
      <c r="D38222" s="1">
        <v>0</v>
      </c>
      <c r="E38222" s="1">
        <v>4.3455399550671099E-6</v>
      </c>
      <c r="F38222" s="1">
        <v>8.0582959012224002E-6</v>
      </c>
    </row>
    <row r="38223" spans="1:6" x14ac:dyDescent="0.25">
      <c r="A38223" s="2" t="str">
        <f t="shared" si="1258"/>
        <v>99999</v>
      </c>
      <c r="B38223" s="2" t="str">
        <f>"57264"</f>
        <v>57264</v>
      </c>
      <c r="C38223" s="1">
        <v>1.1350368635962901E-5</v>
      </c>
      <c r="D38223" s="1">
        <v>1.51760267340886E-6</v>
      </c>
      <c r="E38223" s="1">
        <v>2.1727699775335501E-5</v>
      </c>
      <c r="F38223" s="1">
        <v>1.09433648041291E-5</v>
      </c>
    </row>
    <row r="38224" spans="1:6" x14ac:dyDescent="0.25">
      <c r="A38224" s="2" t="str">
        <f t="shared" si="1258"/>
        <v>99999</v>
      </c>
      <c r="B38224" s="2" t="str">
        <f>"57002"</f>
        <v>57002</v>
      </c>
      <c r="C38224" s="1">
        <v>8.7310527968945299E-7</v>
      </c>
      <c r="D38224" s="1">
        <v>0</v>
      </c>
      <c r="E38224" s="1">
        <v>0</v>
      </c>
      <c r="F38224" s="1">
        <v>7.9588107666394099E-7</v>
      </c>
    </row>
    <row r="38225" spans="1:6" x14ac:dyDescent="0.25">
      <c r="A38225" s="2" t="str">
        <f t="shared" si="1258"/>
        <v>99999</v>
      </c>
      <c r="B38225" s="2" t="str">
        <f>"56741"</f>
        <v>56741</v>
      </c>
      <c r="C38225" s="1">
        <v>0</v>
      </c>
      <c r="D38225" s="1">
        <v>0</v>
      </c>
      <c r="E38225" s="1">
        <v>4.3455399550671099E-6</v>
      </c>
      <c r="F38225" s="1">
        <v>9.9485134582992598E-8</v>
      </c>
    </row>
    <row r="38226" spans="1:6" x14ac:dyDescent="0.25">
      <c r="A38226" s="2" t="str">
        <f t="shared" ref="A38226:A38289" si="1259">"99999"</f>
        <v>99999</v>
      </c>
      <c r="B38226" s="2" t="str">
        <f>"56751"</f>
        <v>56751</v>
      </c>
      <c r="C38226" s="1">
        <v>3.0864271637022099E-4</v>
      </c>
      <c r="D38226" s="1">
        <v>4.1430552984062099E-4</v>
      </c>
      <c r="E38226" s="1">
        <v>4.3889953546177803E-4</v>
      </c>
      <c r="F38226" s="1">
        <v>3.1855140093474198E-4</v>
      </c>
    </row>
    <row r="38227" spans="1:6" x14ac:dyDescent="0.25">
      <c r="A38227" s="2" t="str">
        <f t="shared" si="1259"/>
        <v>99999</v>
      </c>
      <c r="B38227" s="2" t="str">
        <f>"56715"</f>
        <v>56715</v>
      </c>
      <c r="C38227" s="1">
        <v>1.65890003140996E-5</v>
      </c>
      <c r="D38227" s="1">
        <v>4.5528080202265997E-6</v>
      </c>
      <c r="E38227" s="1">
        <v>4.3455399550671099E-6</v>
      </c>
      <c r="F38227" s="1">
        <v>1.5519680994946799E-5</v>
      </c>
    </row>
    <row r="38228" spans="1:6" x14ac:dyDescent="0.25">
      <c r="A38228" s="2" t="str">
        <f t="shared" si="1259"/>
        <v>99999</v>
      </c>
      <c r="B38228" s="2" t="str">
        <f>"56651"</f>
        <v>56651</v>
      </c>
      <c r="C38228" s="1">
        <v>3.2304895348509703E-5</v>
      </c>
      <c r="D38228" s="1">
        <v>1.51760267340886E-6</v>
      </c>
      <c r="E38228" s="1">
        <v>0</v>
      </c>
      <c r="F38228" s="1">
        <v>2.95470849711488E-5</v>
      </c>
    </row>
    <row r="38229" spans="1:6" x14ac:dyDescent="0.25">
      <c r="A38229" s="2" t="str">
        <f t="shared" si="1259"/>
        <v>99999</v>
      </c>
      <c r="B38229" s="2" t="str">
        <f>"56713"</f>
        <v>56713</v>
      </c>
      <c r="C38229" s="1">
        <v>3.5579040147345198E-5</v>
      </c>
      <c r="D38229" s="1">
        <v>1.3658424060679801E-5</v>
      </c>
      <c r="E38229" s="1">
        <v>1.7382159820268399E-5</v>
      </c>
      <c r="F38229" s="1">
        <v>3.3725460623634497E-5</v>
      </c>
    </row>
    <row r="38230" spans="1:6" x14ac:dyDescent="0.25">
      <c r="A38230" s="2" t="str">
        <f t="shared" si="1259"/>
        <v>99999</v>
      </c>
      <c r="B38230" s="2" t="str">
        <f>"56676"</f>
        <v>56676</v>
      </c>
      <c r="C38230" s="1">
        <v>5.2058902301483599E-5</v>
      </c>
      <c r="D38230" s="1">
        <v>7.5880133670443404E-6</v>
      </c>
      <c r="E38230" s="1">
        <v>1.7382159820268399E-5</v>
      </c>
      <c r="F38230" s="1">
        <v>4.8349775407334398E-5</v>
      </c>
    </row>
    <row r="38231" spans="1:6" x14ac:dyDescent="0.25">
      <c r="A38231" s="2" t="str">
        <f t="shared" si="1259"/>
        <v>99999</v>
      </c>
      <c r="B38231" s="2" t="str">
        <f>"57236"</f>
        <v>57236</v>
      </c>
      <c r="C38231" s="1">
        <v>5.5660461580202599E-6</v>
      </c>
      <c r="D38231" s="1">
        <v>3.0352053468177301E-6</v>
      </c>
      <c r="E38231" s="1">
        <v>4.3455399550671099E-6</v>
      </c>
      <c r="F38231" s="1">
        <v>5.3721972674816004E-6</v>
      </c>
    </row>
    <row r="38232" spans="1:6" x14ac:dyDescent="0.25">
      <c r="A38232" s="2" t="str">
        <f t="shared" si="1259"/>
        <v>99999</v>
      </c>
      <c r="B38232" s="2" t="str">
        <f>"57233"</f>
        <v>57233</v>
      </c>
      <c r="C38232" s="1">
        <v>8.5127764769721692E-6</v>
      </c>
      <c r="D38232" s="1">
        <v>4.5528080202265997E-6</v>
      </c>
      <c r="E38232" s="1">
        <v>0</v>
      </c>
      <c r="F38232" s="1">
        <v>8.0582959012224002E-6</v>
      </c>
    </row>
    <row r="38233" spans="1:6" x14ac:dyDescent="0.25">
      <c r="A38233" s="2" t="str">
        <f t="shared" si="1259"/>
        <v>99999</v>
      </c>
      <c r="B38233" s="2" t="str">
        <f>"56627"</f>
        <v>56627</v>
      </c>
      <c r="C38233" s="1">
        <v>1.0586401516234599E-5</v>
      </c>
      <c r="D38233" s="1">
        <v>3.0352053468177301E-6</v>
      </c>
      <c r="E38233" s="1">
        <v>1.3036619865201299E-5</v>
      </c>
      <c r="F38233" s="1">
        <v>1.01474837274652E-5</v>
      </c>
    </row>
    <row r="38234" spans="1:6" x14ac:dyDescent="0.25">
      <c r="A38234" s="2" t="str">
        <f t="shared" si="1259"/>
        <v>99999</v>
      </c>
      <c r="B38234" s="2" t="str">
        <f>"57040"</f>
        <v>57040</v>
      </c>
      <c r="C38234" s="1">
        <v>4.3655263984472602E-7</v>
      </c>
      <c r="D38234" s="1">
        <v>0</v>
      </c>
      <c r="E38234" s="1">
        <v>0</v>
      </c>
      <c r="F38234" s="1">
        <v>3.9794053833197002E-7</v>
      </c>
    </row>
    <row r="38235" spans="1:6" x14ac:dyDescent="0.25">
      <c r="A38235" s="2" t="str">
        <f t="shared" si="1259"/>
        <v>99999</v>
      </c>
      <c r="B38235" s="2" t="str">
        <f>"57022"</f>
        <v>57022</v>
      </c>
      <c r="C38235" s="1">
        <v>2.3682980711576399E-5</v>
      </c>
      <c r="D38235" s="1">
        <v>1.51760267340886E-6</v>
      </c>
      <c r="E38235" s="1">
        <v>1.3036619865201299E-5</v>
      </c>
      <c r="F38235" s="1">
        <v>2.1986214742841299E-5</v>
      </c>
    </row>
    <row r="38236" spans="1:6" x14ac:dyDescent="0.25">
      <c r="A38236" s="2" t="str">
        <f t="shared" si="1259"/>
        <v>99999</v>
      </c>
      <c r="B38236" s="2" t="str">
        <f>"56552"</f>
        <v>56552</v>
      </c>
      <c r="C38236" s="1">
        <v>2.5101776791071799E-6</v>
      </c>
      <c r="D38236" s="1">
        <v>1.51760267340886E-6</v>
      </c>
      <c r="E38236" s="1">
        <v>0</v>
      </c>
      <c r="F38236" s="1">
        <v>2.3876432299918199E-6</v>
      </c>
    </row>
    <row r="38237" spans="1:6" x14ac:dyDescent="0.25">
      <c r="A38237" s="2" t="str">
        <f t="shared" si="1259"/>
        <v>99999</v>
      </c>
      <c r="B38237" s="2" t="str">
        <f>"56343"</f>
        <v>56343</v>
      </c>
      <c r="C38237" s="1">
        <v>7.5305330373215401E-6</v>
      </c>
      <c r="D38237" s="1">
        <v>0</v>
      </c>
      <c r="E38237" s="1">
        <v>0</v>
      </c>
      <c r="F38237" s="1">
        <v>6.86447428622649E-6</v>
      </c>
    </row>
    <row r="38238" spans="1:6" x14ac:dyDescent="0.25">
      <c r="A38238" s="2" t="str">
        <f t="shared" si="1259"/>
        <v>99999</v>
      </c>
      <c r="B38238" s="2" t="str">
        <f>"56353"</f>
        <v>56353</v>
      </c>
      <c r="C38238" s="1">
        <v>3.4924211187578098E-6</v>
      </c>
      <c r="D38238" s="1">
        <v>0</v>
      </c>
      <c r="E38238" s="1">
        <v>0</v>
      </c>
      <c r="F38238" s="1">
        <v>3.1835243066557602E-6</v>
      </c>
    </row>
    <row r="38239" spans="1:6" x14ac:dyDescent="0.25">
      <c r="A38239" s="2" t="str">
        <f t="shared" si="1259"/>
        <v>99999</v>
      </c>
      <c r="B38239" s="2" t="str">
        <f>"56329"</f>
        <v>56329</v>
      </c>
      <c r="C38239" s="1">
        <v>1.60433095142937E-5</v>
      </c>
      <c r="D38239" s="1">
        <v>4.5528080202265997E-6</v>
      </c>
      <c r="E38239" s="1">
        <v>0</v>
      </c>
      <c r="F38239" s="1">
        <v>1.49227701874488E-5</v>
      </c>
    </row>
    <row r="38240" spans="1:6" x14ac:dyDescent="0.25">
      <c r="A38240" s="2" t="str">
        <f t="shared" si="1259"/>
        <v>99999</v>
      </c>
      <c r="B38240" s="2" t="str">
        <f>"56535"</f>
        <v>56535</v>
      </c>
      <c r="C38240" s="1">
        <v>5.4569079980590801E-7</v>
      </c>
      <c r="D38240" s="1">
        <v>0</v>
      </c>
      <c r="E38240" s="1">
        <v>0</v>
      </c>
      <c r="F38240" s="1">
        <v>4.9742567291496303E-7</v>
      </c>
    </row>
    <row r="38241" spans="1:6" x14ac:dyDescent="0.25">
      <c r="A38241" s="2" t="str">
        <f t="shared" si="1259"/>
        <v>99999</v>
      </c>
      <c r="B38241" s="2" t="str">
        <f>"56502"</f>
        <v>56502</v>
      </c>
      <c r="C38241" s="1">
        <v>9.7787791325218803E-5</v>
      </c>
      <c r="D38241" s="1">
        <v>4.0823511914698499E-4</v>
      </c>
      <c r="E38241" s="1">
        <v>8.69107991013423E-6</v>
      </c>
      <c r="F38241" s="1">
        <v>1.1609915205835199E-4</v>
      </c>
    </row>
    <row r="38242" spans="1:6" x14ac:dyDescent="0.25">
      <c r="A38242" s="2" t="str">
        <f t="shared" si="1259"/>
        <v>99999</v>
      </c>
      <c r="B38242" s="2" t="str">
        <f>"56522"</f>
        <v>56522</v>
      </c>
      <c r="C38242" s="1">
        <v>1.4187960794953601E-6</v>
      </c>
      <c r="D38242" s="1">
        <v>0</v>
      </c>
      <c r="E38242" s="1">
        <v>0</v>
      </c>
      <c r="F38242" s="1">
        <v>1.2933067495789E-6</v>
      </c>
    </row>
    <row r="38243" spans="1:6" x14ac:dyDescent="0.25">
      <c r="A38243" s="2" t="str">
        <f t="shared" si="1259"/>
        <v>99999</v>
      </c>
      <c r="B38243" s="2" t="str">
        <f>"56501"</f>
        <v>56501</v>
      </c>
      <c r="C38243" s="1">
        <v>1.0355028617116901E-3</v>
      </c>
      <c r="D38243" s="1">
        <v>1.2262229601143601E-3</v>
      </c>
      <c r="E38243" s="1">
        <v>1.4253371052620101E-3</v>
      </c>
      <c r="F38243" s="1">
        <v>1.0569300698097101E-3</v>
      </c>
    </row>
    <row r="38244" spans="1:6" x14ac:dyDescent="0.25">
      <c r="A38244" s="2" t="str">
        <f t="shared" si="1259"/>
        <v>99999</v>
      </c>
      <c r="B38244" s="2" t="str">
        <f>"56433"</f>
        <v>56433</v>
      </c>
      <c r="C38244" s="1">
        <v>9.3640541246693898E-5</v>
      </c>
      <c r="D38244" s="1">
        <v>2.7316848121359601E-5</v>
      </c>
      <c r="E38244" s="1">
        <v>3.9109859595604001E-5</v>
      </c>
      <c r="F38244" s="1">
        <v>8.8044344105948406E-5</v>
      </c>
    </row>
    <row r="38245" spans="1:6" x14ac:dyDescent="0.25">
      <c r="A38245" s="2" t="str">
        <f t="shared" si="1259"/>
        <v>99999</v>
      </c>
      <c r="B38245" s="2" t="str">
        <f>"56473"</f>
        <v>56473</v>
      </c>
      <c r="C38245" s="1">
        <v>1.17869212758076E-5</v>
      </c>
      <c r="D38245" s="1">
        <v>1.51760267340886E-6</v>
      </c>
      <c r="E38245" s="1">
        <v>0</v>
      </c>
      <c r="F38245" s="1">
        <v>1.0843879669546099E-5</v>
      </c>
    </row>
    <row r="38246" spans="1:6" x14ac:dyDescent="0.25">
      <c r="A38246" s="2" t="str">
        <f t="shared" si="1259"/>
        <v>99999</v>
      </c>
      <c r="B38246" s="2" t="str">
        <f>"56296"</f>
        <v>56296</v>
      </c>
      <c r="C38246" s="1">
        <v>1.30965791953418E-4</v>
      </c>
      <c r="D38246" s="1">
        <v>2.48886838439054E-4</v>
      </c>
      <c r="E38246" s="1">
        <v>1.9120375802295301E-4</v>
      </c>
      <c r="F38246" s="1">
        <v>1.4007506949285299E-4</v>
      </c>
    </row>
    <row r="38247" spans="1:6" x14ac:dyDescent="0.25">
      <c r="A38247" s="2" t="str">
        <f t="shared" si="1259"/>
        <v>99999</v>
      </c>
      <c r="B38247" s="2" t="str">
        <f>"56285"</f>
        <v>56285</v>
      </c>
      <c r="C38247" s="1">
        <v>3.6779559906918201E-5</v>
      </c>
      <c r="D38247" s="1">
        <v>7.5880133670443404E-6</v>
      </c>
      <c r="E38247" s="1">
        <v>5.6492019415872502E-5</v>
      </c>
      <c r="F38247" s="1">
        <v>3.5317222776962297E-5</v>
      </c>
    </row>
    <row r="38248" spans="1:6" x14ac:dyDescent="0.25">
      <c r="A38248" s="2" t="str">
        <f t="shared" si="1259"/>
        <v>99999</v>
      </c>
      <c r="B38248" s="2" t="str">
        <f>"56367"</f>
        <v>56367</v>
      </c>
      <c r="C38248" s="1">
        <v>5.4569079980590801E-7</v>
      </c>
      <c r="D38248" s="1">
        <v>0</v>
      </c>
      <c r="E38248" s="1">
        <v>0</v>
      </c>
      <c r="F38248" s="1">
        <v>4.9742567291496303E-7</v>
      </c>
    </row>
    <row r="38249" spans="1:6" x14ac:dyDescent="0.25">
      <c r="A38249" s="2" t="str">
        <f t="shared" si="1259"/>
        <v>99999</v>
      </c>
      <c r="B38249" s="2" t="str">
        <f>"56389"</f>
        <v>56389</v>
      </c>
      <c r="C38249" s="1">
        <v>4.3655263984472599E-6</v>
      </c>
      <c r="D38249" s="1">
        <v>6.0704106936354696E-6</v>
      </c>
      <c r="E38249" s="1">
        <v>4.3455399550671099E-6</v>
      </c>
      <c r="F38249" s="1">
        <v>4.4768310562346604E-6</v>
      </c>
    </row>
    <row r="38250" spans="1:6" x14ac:dyDescent="0.25">
      <c r="A38250" s="2" t="str">
        <f t="shared" si="1259"/>
        <v>99999</v>
      </c>
      <c r="B38250" s="2" t="str">
        <f>"56263"</f>
        <v>56263</v>
      </c>
      <c r="C38250" s="1">
        <v>1.1132092316040499E-5</v>
      </c>
      <c r="D38250" s="1">
        <v>1.51760267340886E-6</v>
      </c>
      <c r="E38250" s="1">
        <v>4.3455399550671099E-6</v>
      </c>
      <c r="F38250" s="1">
        <v>1.03464539966312E-5</v>
      </c>
    </row>
    <row r="38251" spans="1:6" x14ac:dyDescent="0.25">
      <c r="A38251" s="2" t="str">
        <f t="shared" si="1259"/>
        <v>99999</v>
      </c>
      <c r="B38251" s="2" t="str">
        <f>"56267"</f>
        <v>56267</v>
      </c>
      <c r="C38251" s="1">
        <v>3.4705934867655701E-4</v>
      </c>
      <c r="D38251" s="1">
        <v>6.3132271213808897E-4</v>
      </c>
      <c r="E38251" s="1">
        <v>7.2570517249620796E-4</v>
      </c>
      <c r="F38251" s="1">
        <v>3.74362561435801E-4</v>
      </c>
    </row>
    <row r="38252" spans="1:6" x14ac:dyDescent="0.25">
      <c r="A38252" s="2" t="str">
        <f t="shared" si="1259"/>
        <v>99999</v>
      </c>
      <c r="B38252" s="2" t="str">
        <f>"56266"</f>
        <v>56266</v>
      </c>
      <c r="C38252" s="1">
        <v>6.9084455255428006E-5</v>
      </c>
      <c r="D38252" s="1">
        <v>3.6422464161812797E-5</v>
      </c>
      <c r="E38252" s="1">
        <v>4.3455399550671103E-5</v>
      </c>
      <c r="F38252" s="1">
        <v>6.6356584766856004E-5</v>
      </c>
    </row>
    <row r="38253" spans="1:6" x14ac:dyDescent="0.25">
      <c r="A38253" s="2" t="str">
        <f t="shared" si="1259"/>
        <v>99999</v>
      </c>
      <c r="B38253" s="2" t="str">
        <f>"56026"</f>
        <v>56026</v>
      </c>
      <c r="C38253" s="1">
        <v>6.5482895976708995E-7</v>
      </c>
      <c r="D38253" s="1">
        <v>0</v>
      </c>
      <c r="E38253" s="1">
        <v>0</v>
      </c>
      <c r="F38253" s="1">
        <v>5.9691080749795498E-7</v>
      </c>
    </row>
    <row r="38254" spans="1:6" x14ac:dyDescent="0.25">
      <c r="A38254" s="2" t="str">
        <f t="shared" si="1259"/>
        <v>99999</v>
      </c>
      <c r="B38254" s="2" t="str">
        <f>"56025"</f>
        <v>56025</v>
      </c>
      <c r="C38254" s="1">
        <v>2.72845399902954E-5</v>
      </c>
      <c r="D38254" s="1">
        <v>1.9728834754315301E-5</v>
      </c>
      <c r="E38254" s="1">
        <v>4.3455399550671099E-6</v>
      </c>
      <c r="F38254" s="1">
        <v>2.6264075529910002E-5</v>
      </c>
    </row>
    <row r="38255" spans="1:6" x14ac:dyDescent="0.25">
      <c r="A38255" s="2" t="str">
        <f t="shared" si="1259"/>
        <v>99999</v>
      </c>
      <c r="B38255" s="2" t="str">
        <f>"56013"</f>
        <v>56013</v>
      </c>
      <c r="C38255" s="1">
        <v>2.3955826111479299E-4</v>
      </c>
      <c r="D38255" s="1">
        <v>4.4465758330879801E-4</v>
      </c>
      <c r="E38255" s="1">
        <v>2.7811455712429498E-4</v>
      </c>
      <c r="F38255" s="1">
        <v>2.5388606345579697E-4</v>
      </c>
    </row>
    <row r="38256" spans="1:6" x14ac:dyDescent="0.25">
      <c r="A38256" s="2" t="str">
        <f t="shared" si="1259"/>
        <v>99999</v>
      </c>
      <c r="B38256" s="2" t="str">
        <f>"56210"</f>
        <v>56210</v>
      </c>
      <c r="C38256" s="1">
        <v>1.9644868793012701E-6</v>
      </c>
      <c r="D38256" s="1">
        <v>0</v>
      </c>
      <c r="E38256" s="1">
        <v>0</v>
      </c>
      <c r="F38256" s="1">
        <v>1.79073242249386E-6</v>
      </c>
    </row>
    <row r="38257" spans="1:6" x14ac:dyDescent="0.25">
      <c r="A38257" s="2" t="str">
        <f t="shared" si="1259"/>
        <v>99999</v>
      </c>
      <c r="B38257" s="2" t="str">
        <f>"56218"</f>
        <v>56218</v>
      </c>
      <c r="C38257" s="1">
        <v>2.6847987350450699E-5</v>
      </c>
      <c r="D38257" s="1">
        <v>1.0623218713862E-5</v>
      </c>
      <c r="E38257" s="1">
        <v>1.3036619865201299E-5</v>
      </c>
      <c r="F38257" s="1">
        <v>2.5468194453246102E-5</v>
      </c>
    </row>
    <row r="38258" spans="1:6" x14ac:dyDescent="0.25">
      <c r="A38258" s="2" t="str">
        <f t="shared" si="1259"/>
        <v>99999</v>
      </c>
      <c r="B38258" s="2" t="str">
        <f>"56231"</f>
        <v>56231</v>
      </c>
      <c r="C38258" s="1">
        <v>1.87717635133232E-5</v>
      </c>
      <c r="D38258" s="1">
        <v>1.21408213872709E-5</v>
      </c>
      <c r="E38258" s="1">
        <v>0</v>
      </c>
      <c r="F38258" s="1">
        <v>1.7907324224938601E-5</v>
      </c>
    </row>
    <row r="38259" spans="1:6" x14ac:dyDescent="0.25">
      <c r="A38259" s="2" t="str">
        <f t="shared" si="1259"/>
        <v>99999</v>
      </c>
      <c r="B38259" s="2" t="str">
        <f>"56215"</f>
        <v>56215</v>
      </c>
      <c r="C38259" s="1">
        <v>2.6182244574687402E-4</v>
      </c>
      <c r="D38259" s="1">
        <v>3.5056621755744799E-4</v>
      </c>
      <c r="E38259" s="1">
        <v>3.4764319640536898E-4</v>
      </c>
      <c r="F38259" s="1">
        <v>2.6960471471990999E-4</v>
      </c>
    </row>
    <row r="38260" spans="1:6" x14ac:dyDescent="0.25">
      <c r="A38260" s="2" t="str">
        <f t="shared" si="1259"/>
        <v>99999</v>
      </c>
      <c r="B38260" s="2" t="str">
        <f>"56083"</f>
        <v>56083</v>
      </c>
      <c r="C38260" s="1">
        <v>2.58657439108E-5</v>
      </c>
      <c r="D38260" s="1">
        <v>1.3658424060679801E-5</v>
      </c>
      <c r="E38260" s="1">
        <v>4.3455399550671099E-6</v>
      </c>
      <c r="F38260" s="1">
        <v>2.4572828241999101E-5</v>
      </c>
    </row>
    <row r="38261" spans="1:6" x14ac:dyDescent="0.25">
      <c r="A38261" s="2" t="str">
        <f t="shared" si="1259"/>
        <v>99999</v>
      </c>
      <c r="B38261" s="2" t="str">
        <f>"56113"</f>
        <v>56113</v>
      </c>
      <c r="C38261" s="1">
        <v>1.23326120756135E-5</v>
      </c>
      <c r="D38261" s="1">
        <v>3.0352053468177301E-6</v>
      </c>
      <c r="E38261" s="1">
        <v>0</v>
      </c>
      <c r="F38261" s="1">
        <v>1.1440790477044101E-5</v>
      </c>
    </row>
    <row r="38262" spans="1:6" x14ac:dyDescent="0.25">
      <c r="A38262" s="2" t="str">
        <f t="shared" si="1259"/>
        <v>99999</v>
      </c>
      <c r="B38262" s="2" t="str">
        <f>"56160"</f>
        <v>56160</v>
      </c>
      <c r="C38262" s="1">
        <v>9.6041580765839897E-6</v>
      </c>
      <c r="D38262" s="1">
        <v>6.0704106936354696E-6</v>
      </c>
      <c r="E38262" s="1">
        <v>4.3455399550671099E-6</v>
      </c>
      <c r="F38262" s="1">
        <v>9.2521175162183095E-6</v>
      </c>
    </row>
    <row r="38263" spans="1:6" x14ac:dyDescent="0.25">
      <c r="A38263" s="2" t="str">
        <f t="shared" si="1259"/>
        <v>99999</v>
      </c>
      <c r="B38263" s="2" t="str">
        <f>"56162"</f>
        <v>56162</v>
      </c>
      <c r="C38263" s="1">
        <v>6.7665659175932598E-6</v>
      </c>
      <c r="D38263" s="1">
        <v>1.21408213872709E-5</v>
      </c>
      <c r="E38263" s="1">
        <v>4.3455399550671099E-6</v>
      </c>
      <c r="F38263" s="1">
        <v>7.0634445553924701E-6</v>
      </c>
    </row>
    <row r="38264" spans="1:6" x14ac:dyDescent="0.25">
      <c r="A38264" s="2" t="str">
        <f t="shared" si="1259"/>
        <v>99999</v>
      </c>
      <c r="B38264" s="2" t="str">
        <f>"56123"</f>
        <v>56123</v>
      </c>
      <c r="C38264" s="1">
        <v>3.1650066388742699E-5</v>
      </c>
      <c r="D38264" s="1">
        <v>3.0352053468177301E-5</v>
      </c>
      <c r="E38264" s="1">
        <v>8.69107991013423E-6</v>
      </c>
      <c r="F38264" s="1">
        <v>3.10393619898937E-5</v>
      </c>
    </row>
    <row r="38265" spans="1:6" x14ac:dyDescent="0.25">
      <c r="A38265" s="2" t="str">
        <f t="shared" si="1259"/>
        <v>99999</v>
      </c>
      <c r="B38265" s="2" t="str">
        <f>"56138"</f>
        <v>56138</v>
      </c>
      <c r="C38265" s="1">
        <v>4.3546125824511501E-5</v>
      </c>
      <c r="D38265" s="1">
        <v>2.1246437427724101E-5</v>
      </c>
      <c r="E38265" s="1">
        <v>5.21464794608054E-5</v>
      </c>
      <c r="F38265" s="1">
        <v>4.22811821977718E-5</v>
      </c>
    </row>
    <row r="38266" spans="1:6" x14ac:dyDescent="0.25">
      <c r="A38266" s="2" t="str">
        <f t="shared" si="1259"/>
        <v>99999</v>
      </c>
      <c r="B38266" s="2" t="str">
        <f>"56134"</f>
        <v>56134</v>
      </c>
      <c r="C38266" s="1">
        <v>2.1718493832275099E-5</v>
      </c>
      <c r="D38266" s="1">
        <v>1.51760267340886E-6</v>
      </c>
      <c r="E38266" s="1">
        <v>1.3036619865201299E-5</v>
      </c>
      <c r="F38266" s="1">
        <v>2.0195482320347499E-5</v>
      </c>
    </row>
    <row r="38267" spans="1:6" x14ac:dyDescent="0.25">
      <c r="A38267" s="2" t="str">
        <f t="shared" si="1259"/>
        <v>99999</v>
      </c>
      <c r="B38267" s="2" t="str">
        <f>"56175"</f>
        <v>56175</v>
      </c>
      <c r="C38267" s="1">
        <v>2.4992638631110601E-5</v>
      </c>
      <c r="D38267" s="1">
        <v>0</v>
      </c>
      <c r="E38267" s="1">
        <v>0</v>
      </c>
      <c r="F38267" s="1">
        <v>2.2782095819505301E-5</v>
      </c>
    </row>
    <row r="38268" spans="1:6" x14ac:dyDescent="0.25">
      <c r="A38268" s="2" t="str">
        <f t="shared" si="1259"/>
        <v>99999</v>
      </c>
      <c r="B38268" s="2" t="str">
        <f>"56178"</f>
        <v>56178</v>
      </c>
      <c r="C38268" s="1">
        <v>9.2221745167198505E-5</v>
      </c>
      <c r="D38268" s="1">
        <v>4.2492874855448297E-5</v>
      </c>
      <c r="E38268" s="1">
        <v>1.39057278562147E-4</v>
      </c>
      <c r="F38268" s="1">
        <v>9.0034046797608295E-5</v>
      </c>
    </row>
    <row r="38269" spans="1:6" x14ac:dyDescent="0.25">
      <c r="A38269" s="2" t="str">
        <f t="shared" si="1259"/>
        <v>99999</v>
      </c>
      <c r="B38269" s="2" t="str">
        <f>"56150"</f>
        <v>56150</v>
      </c>
      <c r="C38269" s="1">
        <v>1.58577746423597E-4</v>
      </c>
      <c r="D38269" s="1">
        <v>9.7126571098167595E-5</v>
      </c>
      <c r="E38269" s="1">
        <v>9.5601879011476503E-5</v>
      </c>
      <c r="F38269" s="1">
        <v>1.5310762212322499E-4</v>
      </c>
    </row>
    <row r="38270" spans="1:6" x14ac:dyDescent="0.25">
      <c r="A38270" s="2" t="str">
        <f t="shared" si="1259"/>
        <v>99999</v>
      </c>
      <c r="B38270" s="2" t="str">
        <f>"56149"</f>
        <v>56149</v>
      </c>
      <c r="C38270" s="1">
        <v>7.5741883013060097E-5</v>
      </c>
      <c r="D38270" s="1">
        <v>6.0704106936354703E-5</v>
      </c>
      <c r="E38270" s="1">
        <v>9.9947418966543598E-5</v>
      </c>
      <c r="F38270" s="1">
        <v>7.5310246879325396E-5</v>
      </c>
    </row>
    <row r="38271" spans="1:6" x14ac:dyDescent="0.25">
      <c r="A38271" s="2" t="str">
        <f t="shared" si="1259"/>
        <v>99999</v>
      </c>
      <c r="B38271" s="2" t="str">
        <f>"56116"</f>
        <v>56116</v>
      </c>
      <c r="C38271" s="1">
        <v>3.1868342708665002E-5</v>
      </c>
      <c r="D38271" s="1">
        <v>6.0704106936354696E-6</v>
      </c>
      <c r="E38271" s="1">
        <v>4.3455399550671099E-6</v>
      </c>
      <c r="F38271" s="1">
        <v>2.95470849711488E-5</v>
      </c>
    </row>
    <row r="38272" spans="1:6" x14ac:dyDescent="0.25">
      <c r="A38272" s="2" t="str">
        <f t="shared" si="1259"/>
        <v>99999</v>
      </c>
      <c r="B38272" s="2" t="str">
        <f>"56065"</f>
        <v>56065</v>
      </c>
      <c r="C38272" s="1">
        <v>6.5482895976708995E-7</v>
      </c>
      <c r="D38272" s="1">
        <v>0</v>
      </c>
      <c r="E38272" s="1">
        <v>0</v>
      </c>
      <c r="F38272" s="1">
        <v>5.9691080749795498E-7</v>
      </c>
    </row>
    <row r="38273" spans="1:6" x14ac:dyDescent="0.25">
      <c r="A38273" s="2" t="str">
        <f t="shared" si="1259"/>
        <v>99999</v>
      </c>
      <c r="B38273" s="2" t="str">
        <f>"55606"</f>
        <v>55606</v>
      </c>
      <c r="C38273" s="1">
        <v>8.5127764769721692E-6</v>
      </c>
      <c r="D38273" s="1">
        <v>1.51760267340886E-6</v>
      </c>
      <c r="E38273" s="1">
        <v>8.69107991013423E-6</v>
      </c>
      <c r="F38273" s="1">
        <v>8.0582959012224002E-6</v>
      </c>
    </row>
    <row r="38274" spans="1:6" x14ac:dyDescent="0.25">
      <c r="A38274" s="2" t="str">
        <f t="shared" si="1259"/>
        <v>99999</v>
      </c>
      <c r="B38274" s="2" t="str">
        <f>"55772"</f>
        <v>55772</v>
      </c>
      <c r="C38274" s="1">
        <v>0</v>
      </c>
      <c r="D38274" s="1">
        <v>1.51760267340886E-6</v>
      </c>
      <c r="E38274" s="1">
        <v>0</v>
      </c>
      <c r="F38274" s="1">
        <v>9.9485134582992598E-8</v>
      </c>
    </row>
    <row r="38275" spans="1:6" x14ac:dyDescent="0.25">
      <c r="A38275" s="2" t="str">
        <f t="shared" si="1259"/>
        <v>99999</v>
      </c>
      <c r="B38275" s="2" t="str">
        <f>"55748"</f>
        <v>55748</v>
      </c>
      <c r="C38275" s="1">
        <v>6.2536165657757096E-5</v>
      </c>
      <c r="D38275" s="1">
        <v>1.66936294074975E-5</v>
      </c>
      <c r="E38275" s="1">
        <v>2.60732397304027E-5</v>
      </c>
      <c r="F38275" s="1">
        <v>5.86962294039656E-5</v>
      </c>
    </row>
    <row r="38276" spans="1:6" x14ac:dyDescent="0.25">
      <c r="A38276" s="2" t="str">
        <f t="shared" si="1259"/>
        <v>99999</v>
      </c>
      <c r="B38276" s="2" t="str">
        <f>"55350"</f>
        <v>55350</v>
      </c>
      <c r="C38276" s="1">
        <v>2.1063664872508E-5</v>
      </c>
      <c r="D38276" s="1">
        <v>7.5880133670443404E-6</v>
      </c>
      <c r="E38276" s="1">
        <v>0</v>
      </c>
      <c r="F38276" s="1">
        <v>1.96980566474325E-5</v>
      </c>
    </row>
    <row r="38277" spans="1:6" x14ac:dyDescent="0.25">
      <c r="A38277" s="2" t="str">
        <f t="shared" si="1259"/>
        <v>99999</v>
      </c>
      <c r="B38277" s="2" t="str">
        <f>"55342"</f>
        <v>55342</v>
      </c>
      <c r="C38277" s="1">
        <v>9.5932442605878694E-5</v>
      </c>
      <c r="D38277" s="1">
        <v>2.88344507947685E-5</v>
      </c>
      <c r="E38277" s="1">
        <v>6.5183099326006705E-5</v>
      </c>
      <c r="F38277" s="1">
        <v>9.0829927874272202E-5</v>
      </c>
    </row>
    <row r="38278" spans="1:6" x14ac:dyDescent="0.25">
      <c r="A38278" s="2" t="str">
        <f t="shared" si="1259"/>
        <v>99999</v>
      </c>
      <c r="B38278" s="2" t="str">
        <f>"55321"</f>
        <v>55321</v>
      </c>
      <c r="C38278" s="1">
        <v>6.5482895976708995E-7</v>
      </c>
      <c r="D38278" s="1">
        <v>0</v>
      </c>
      <c r="E38278" s="1">
        <v>0</v>
      </c>
      <c r="F38278" s="1">
        <v>5.9691080749795498E-7</v>
      </c>
    </row>
    <row r="38279" spans="1:6" x14ac:dyDescent="0.25">
      <c r="A38279" s="2" t="str">
        <f t="shared" si="1259"/>
        <v>99999</v>
      </c>
      <c r="B38279" s="2" t="str">
        <f>"55332"</f>
        <v>55332</v>
      </c>
      <c r="C38279" s="1">
        <v>8.1198791011119199E-5</v>
      </c>
      <c r="D38279" s="1">
        <v>6.9809722976807906E-5</v>
      </c>
      <c r="E38279" s="1">
        <v>4.7800939505738197E-5</v>
      </c>
      <c r="F38279" s="1">
        <v>7.96875928009771E-5</v>
      </c>
    </row>
    <row r="38280" spans="1:6" x14ac:dyDescent="0.25">
      <c r="A38280" s="2" t="str">
        <f t="shared" si="1259"/>
        <v>99999</v>
      </c>
      <c r="B38280" s="2" t="str">
        <f>"55329"</f>
        <v>55329</v>
      </c>
      <c r="C38280" s="1">
        <v>5.8716330059115698E-5</v>
      </c>
      <c r="D38280" s="1">
        <v>2.1246437427724101E-5</v>
      </c>
      <c r="E38280" s="1">
        <v>6.9528639281073799E-5</v>
      </c>
      <c r="F38280" s="1">
        <v>5.6507556443139802E-5</v>
      </c>
    </row>
    <row r="38281" spans="1:6" x14ac:dyDescent="0.25">
      <c r="A38281" s="2" t="str">
        <f t="shared" si="1259"/>
        <v>99999</v>
      </c>
      <c r="B38281" s="2" t="str">
        <f>"55310"</f>
        <v>55310</v>
      </c>
      <c r="C38281" s="1">
        <v>6.7774797335893794E-5</v>
      </c>
      <c r="D38281" s="1">
        <v>1.5176026734088599E-5</v>
      </c>
      <c r="E38281" s="1">
        <v>3.9109859595604001E-5</v>
      </c>
      <c r="F38281" s="1">
        <v>6.36704861331152E-5</v>
      </c>
    </row>
    <row r="38282" spans="1:6" x14ac:dyDescent="0.25">
      <c r="A38282" s="2" t="str">
        <f t="shared" si="1259"/>
        <v>99999</v>
      </c>
      <c r="B38282" s="2" t="str">
        <f>"55072"</f>
        <v>55072</v>
      </c>
      <c r="C38282" s="1">
        <v>1.93720233931097E-4</v>
      </c>
      <c r="D38282" s="1">
        <v>1.0623218713862E-4</v>
      </c>
      <c r="E38282" s="1">
        <v>1.3471173860707999E-4</v>
      </c>
      <c r="F38282" s="1">
        <v>1.8663411247769399E-4</v>
      </c>
    </row>
    <row r="38283" spans="1:6" x14ac:dyDescent="0.25">
      <c r="A38283" s="2" t="str">
        <f t="shared" si="1259"/>
        <v>99999</v>
      </c>
      <c r="B38283" s="2" t="str">
        <f>"54977"</f>
        <v>54977</v>
      </c>
      <c r="C38283" s="1">
        <v>6.7010830216165506E-5</v>
      </c>
      <c r="D38283" s="1">
        <v>2.1246437427724101E-5</v>
      </c>
      <c r="E38283" s="1">
        <v>3.0418779685469802E-5</v>
      </c>
      <c r="F38283" s="1">
        <v>6.3173060460200295E-5</v>
      </c>
    </row>
    <row r="38284" spans="1:6" x14ac:dyDescent="0.25">
      <c r="A38284" s="2" t="str">
        <f t="shared" si="1259"/>
        <v>99999</v>
      </c>
      <c r="B38284" s="2" t="str">
        <f>"54865"</f>
        <v>54865</v>
      </c>
      <c r="C38284" s="1">
        <v>3.71069743868017E-5</v>
      </c>
      <c r="D38284" s="1">
        <v>1.51760267340886E-6</v>
      </c>
      <c r="E38284" s="1">
        <v>1.3036619865201299E-5</v>
      </c>
      <c r="F38284" s="1">
        <v>3.4222886296549402E-5</v>
      </c>
    </row>
    <row r="38285" spans="1:6" x14ac:dyDescent="0.25">
      <c r="A38285" s="2" t="str">
        <f t="shared" si="1259"/>
        <v>99999</v>
      </c>
      <c r="B38285" s="2" t="str">
        <f>"54862"</f>
        <v>54862</v>
      </c>
      <c r="C38285" s="1">
        <v>2.05179740727021E-5</v>
      </c>
      <c r="D38285" s="1">
        <v>1.51760267340886E-6</v>
      </c>
      <c r="E38285" s="1">
        <v>1.7816713815775099E-4</v>
      </c>
      <c r="F38285" s="1">
        <v>2.28815809540883E-5</v>
      </c>
    </row>
    <row r="38286" spans="1:6" x14ac:dyDescent="0.25">
      <c r="A38286" s="2" t="str">
        <f t="shared" si="1259"/>
        <v>99999</v>
      </c>
      <c r="B38286" s="2" t="str">
        <f>"54859"</f>
        <v>54859</v>
      </c>
      <c r="C38286" s="1">
        <v>1.6403465442165599E-4</v>
      </c>
      <c r="D38286" s="1">
        <v>4.5528080202266E-5</v>
      </c>
      <c r="E38286" s="1">
        <v>8.69107991013423E-5</v>
      </c>
      <c r="F38286" s="1">
        <v>1.5450041400738701E-4</v>
      </c>
    </row>
    <row r="38287" spans="1:6" x14ac:dyDescent="0.25">
      <c r="A38287" s="2" t="str">
        <f t="shared" si="1259"/>
        <v>99999</v>
      </c>
      <c r="B38287" s="2" t="str">
        <f>"54816"</f>
        <v>54816</v>
      </c>
      <c r="C38287" s="1">
        <v>0</v>
      </c>
      <c r="D38287" s="1">
        <v>0</v>
      </c>
      <c r="E38287" s="1">
        <v>4.3455399550671099E-6</v>
      </c>
      <c r="F38287" s="1">
        <v>9.9485134582992598E-8</v>
      </c>
    </row>
    <row r="38288" spans="1:6" x14ac:dyDescent="0.25">
      <c r="A38288" s="2" t="str">
        <f t="shared" si="1259"/>
        <v>99999</v>
      </c>
      <c r="B38288" s="2" t="str">
        <f>"54835"</f>
        <v>54835</v>
      </c>
      <c r="C38288" s="1">
        <v>6.7665659175932598E-5</v>
      </c>
      <c r="D38288" s="1">
        <v>1.8211232080906399E-5</v>
      </c>
      <c r="E38288" s="1">
        <v>3.0418779685469802E-5</v>
      </c>
      <c r="F38288" s="1">
        <v>6.3571000998532195E-5</v>
      </c>
    </row>
    <row r="38289" spans="1:6" x14ac:dyDescent="0.25">
      <c r="A38289" s="2" t="str">
        <f t="shared" si="1259"/>
        <v>99999</v>
      </c>
      <c r="B38289" s="2" t="str">
        <f>"54960"</f>
        <v>54960</v>
      </c>
      <c r="C38289" s="1">
        <v>2.22096155521004E-4</v>
      </c>
      <c r="D38289" s="1">
        <v>7.1327325650216798E-5</v>
      </c>
      <c r="E38289" s="1">
        <v>4.7800939505738197E-5</v>
      </c>
      <c r="F38289" s="1">
        <v>2.0822238668220301E-4</v>
      </c>
    </row>
    <row r="38290" spans="1:6" x14ac:dyDescent="0.25">
      <c r="A38290" s="2" t="str">
        <f t="shared" ref="A38290:A38353" si="1260">"99999"</f>
        <v>99999</v>
      </c>
      <c r="B38290" s="2" t="str">
        <f>"54949"</f>
        <v>54949</v>
      </c>
      <c r="C38290" s="1">
        <v>1.7767692441680299E-4</v>
      </c>
      <c r="D38290" s="1">
        <v>8.8020955057714406E-5</v>
      </c>
      <c r="E38290" s="1">
        <v>1.17329578786812E-4</v>
      </c>
      <c r="F38290" s="1">
        <v>1.7041803554066601E-4</v>
      </c>
    </row>
    <row r="38291" spans="1:6" x14ac:dyDescent="0.25">
      <c r="A38291" s="2" t="str">
        <f t="shared" si="1260"/>
        <v>99999</v>
      </c>
      <c r="B38291" s="2" t="str">
        <f>"54921"</f>
        <v>54921</v>
      </c>
      <c r="C38291" s="1">
        <v>5.8934606379038102E-6</v>
      </c>
      <c r="D38291" s="1">
        <v>6.0704106936354696E-6</v>
      </c>
      <c r="E38291" s="1">
        <v>0</v>
      </c>
      <c r="F38291" s="1">
        <v>5.7701378058135699E-6</v>
      </c>
    </row>
    <row r="38292" spans="1:6" x14ac:dyDescent="0.25">
      <c r="A38292" s="2" t="str">
        <f t="shared" si="1260"/>
        <v>99999</v>
      </c>
      <c r="B38292" s="2" t="str">
        <f>"54801"</f>
        <v>54801</v>
      </c>
      <c r="C38292" s="1">
        <v>4.5892596263676902E-4</v>
      </c>
      <c r="D38292" s="1">
        <v>5.3419614103992195E-4</v>
      </c>
      <c r="E38292" s="1">
        <v>4.6931831514724801E-4</v>
      </c>
      <c r="F38292" s="1">
        <v>4.6409815282965998E-4</v>
      </c>
    </row>
    <row r="38293" spans="1:6" x14ac:dyDescent="0.25">
      <c r="A38293" s="2" t="str">
        <f t="shared" si="1260"/>
        <v>99999</v>
      </c>
      <c r="B38293" s="2" t="str">
        <f>"54771"</f>
        <v>54771</v>
      </c>
      <c r="C38293" s="1">
        <v>1.9830403664946699E-4</v>
      </c>
      <c r="D38293" s="1">
        <v>1.10784995158847E-4</v>
      </c>
      <c r="E38293" s="1">
        <v>6.9528639281073799E-5</v>
      </c>
      <c r="F38293" s="1">
        <v>1.8961866651518301E-4</v>
      </c>
    </row>
    <row r="38294" spans="1:6" x14ac:dyDescent="0.25">
      <c r="A38294" s="2" t="str">
        <f t="shared" si="1260"/>
        <v>99999</v>
      </c>
      <c r="B38294" s="2" t="str">
        <f>"54770"</f>
        <v>54770</v>
      </c>
      <c r="C38294" s="1">
        <v>9.4295370206461004E-5</v>
      </c>
      <c r="D38294" s="1">
        <v>7.5880133670443406E-5</v>
      </c>
      <c r="E38294" s="1">
        <v>9.9947418966543598E-5</v>
      </c>
      <c r="F38294" s="1">
        <v>9.3217571104264098E-5</v>
      </c>
    </row>
    <row r="38295" spans="1:6" x14ac:dyDescent="0.25">
      <c r="A38295" s="2" t="str">
        <f t="shared" si="1260"/>
        <v>99999</v>
      </c>
      <c r="B38295" s="2" t="str">
        <f>"54754"</f>
        <v>54754</v>
      </c>
      <c r="C38295" s="1">
        <v>1.1819662723795901E-4</v>
      </c>
      <c r="D38295" s="1">
        <v>4.2492874855448297E-5</v>
      </c>
      <c r="E38295" s="1">
        <v>7.3874179236140894E-5</v>
      </c>
      <c r="F38295" s="1">
        <v>1.1221923180961501E-4</v>
      </c>
    </row>
    <row r="38296" spans="1:6" x14ac:dyDescent="0.25">
      <c r="A38296" s="2" t="str">
        <f t="shared" si="1260"/>
        <v>99999</v>
      </c>
      <c r="B38296" s="2" t="str">
        <f>"54888"</f>
        <v>54888</v>
      </c>
      <c r="C38296" s="1">
        <v>1.16886969318425E-4</v>
      </c>
      <c r="D38296" s="1">
        <v>4.4010477528857203E-5</v>
      </c>
      <c r="E38296" s="1">
        <v>4.3455399550671099E-6</v>
      </c>
      <c r="F38296" s="1">
        <v>1.09533133175874E-4</v>
      </c>
    </row>
    <row r="38297" spans="1:6" x14ac:dyDescent="0.25">
      <c r="A38297" s="2" t="str">
        <f t="shared" si="1260"/>
        <v>99999</v>
      </c>
      <c r="B38297" s="2" t="str">
        <f>"54543"</f>
        <v>54543</v>
      </c>
      <c r="C38297" s="1">
        <v>5.4569079980590801E-7</v>
      </c>
      <c r="D38297" s="1">
        <v>0</v>
      </c>
      <c r="E38297" s="1">
        <v>8.69107991013423E-6</v>
      </c>
      <c r="F38297" s="1">
        <v>6.9639594208094799E-7</v>
      </c>
    </row>
    <row r="38298" spans="1:6" x14ac:dyDescent="0.25">
      <c r="A38298" s="2" t="str">
        <f t="shared" si="1260"/>
        <v>99999</v>
      </c>
      <c r="B38298" s="2" t="str">
        <f>"54552"</f>
        <v>54552</v>
      </c>
      <c r="C38298" s="1">
        <v>3.05914262371192E-4</v>
      </c>
      <c r="D38298" s="1">
        <v>3.1414375339563501E-4</v>
      </c>
      <c r="E38298" s="1">
        <v>3.3026103658510001E-4</v>
      </c>
      <c r="F38298" s="1">
        <v>3.07011125323115E-4</v>
      </c>
    </row>
    <row r="38299" spans="1:6" x14ac:dyDescent="0.25">
      <c r="A38299" s="2" t="str">
        <f t="shared" si="1260"/>
        <v>99999</v>
      </c>
      <c r="B38299" s="2" t="str">
        <f>"54540"</f>
        <v>54540</v>
      </c>
      <c r="C38299" s="1">
        <v>9.7896929485179998E-5</v>
      </c>
      <c r="D38299" s="1">
        <v>7.4362530997034595E-5</v>
      </c>
      <c r="E38299" s="1">
        <v>2.1727699775335501E-5</v>
      </c>
      <c r="F38299" s="1">
        <v>9.4610362988425901E-5</v>
      </c>
    </row>
    <row r="38300" spans="1:6" x14ac:dyDescent="0.25">
      <c r="A38300" s="2" t="str">
        <f t="shared" si="1260"/>
        <v>99999</v>
      </c>
      <c r="B38300" s="2" t="str">
        <f>"54526"</f>
        <v>54526</v>
      </c>
      <c r="C38300" s="1">
        <v>4.8239066702842302E-5</v>
      </c>
      <c r="D38300" s="1">
        <v>2.1246437427724101E-5</v>
      </c>
      <c r="E38300" s="1">
        <v>2.1727699775335501E-5</v>
      </c>
      <c r="F38300" s="1">
        <v>4.5862647042759598E-5</v>
      </c>
    </row>
    <row r="38301" spans="1:6" x14ac:dyDescent="0.25">
      <c r="A38301" s="2" t="str">
        <f t="shared" si="1260"/>
        <v>99999</v>
      </c>
      <c r="B38301" s="2" t="str">
        <f>"54520"</f>
        <v>54520</v>
      </c>
      <c r="C38301" s="1">
        <v>2.4086791903432799E-4</v>
      </c>
      <c r="D38301" s="1">
        <v>2.88344507947685E-4</v>
      </c>
      <c r="E38301" s="1">
        <v>2.8246009707936202E-4</v>
      </c>
      <c r="F38301" s="1">
        <v>2.4493240134332701E-4</v>
      </c>
    </row>
    <row r="38302" spans="1:6" x14ac:dyDescent="0.25">
      <c r="A38302" s="2" t="str">
        <f t="shared" si="1260"/>
        <v>99999</v>
      </c>
      <c r="B38302" s="2" t="str">
        <f>"54515"</f>
        <v>54515</v>
      </c>
      <c r="C38302" s="1">
        <v>3.3832829587966299E-5</v>
      </c>
      <c r="D38302" s="1">
        <v>6.0704106936354696E-6</v>
      </c>
      <c r="E38302" s="1">
        <v>4.3455399550671099E-6</v>
      </c>
      <c r="F38302" s="1">
        <v>3.1337817393642601E-5</v>
      </c>
    </row>
    <row r="38303" spans="1:6" x14ac:dyDescent="0.25">
      <c r="A38303" s="2" t="str">
        <f t="shared" si="1260"/>
        <v>99999</v>
      </c>
      <c r="B38303" s="2" t="str">
        <f>"54494"</f>
        <v>54494</v>
      </c>
      <c r="C38303" s="1">
        <v>2.1827631992236301E-7</v>
      </c>
      <c r="D38303" s="1">
        <v>0</v>
      </c>
      <c r="E38303" s="1">
        <v>0</v>
      </c>
      <c r="F38303" s="1">
        <v>1.9897026916598501E-7</v>
      </c>
    </row>
    <row r="38304" spans="1:6" x14ac:dyDescent="0.25">
      <c r="A38304" s="2" t="str">
        <f t="shared" si="1260"/>
        <v>99999</v>
      </c>
      <c r="B38304" s="2" t="str">
        <f>"54498"</f>
        <v>54498</v>
      </c>
      <c r="C38304" s="1">
        <v>1.0520918620257901E-4</v>
      </c>
      <c r="D38304" s="1">
        <v>4.2492874855448297E-5</v>
      </c>
      <c r="E38304" s="1">
        <v>3.9109859595604001E-5</v>
      </c>
      <c r="F38304" s="1">
        <v>9.9584619717575597E-5</v>
      </c>
    </row>
    <row r="38305" spans="1:6" x14ac:dyDescent="0.25">
      <c r="A38305" s="2" t="str">
        <f t="shared" si="1260"/>
        <v>99999</v>
      </c>
      <c r="B38305" s="2" t="str">
        <f>"54625"</f>
        <v>54625</v>
      </c>
      <c r="C38305" s="1">
        <v>1.0804677836156901E-5</v>
      </c>
      <c r="D38305" s="1">
        <v>7.5880133670443404E-6</v>
      </c>
      <c r="E38305" s="1">
        <v>1.7382159820268399E-5</v>
      </c>
      <c r="F38305" s="1">
        <v>1.0744394534963201E-5</v>
      </c>
    </row>
    <row r="38306" spans="1:6" x14ac:dyDescent="0.25">
      <c r="A38306" s="2" t="str">
        <f t="shared" si="1260"/>
        <v>99999</v>
      </c>
      <c r="B38306" s="2" t="str">
        <f>"54652"</f>
        <v>54652</v>
      </c>
      <c r="C38306" s="1">
        <v>5.3477698380979E-5</v>
      </c>
      <c r="D38306" s="1">
        <v>2.1246437427724101E-5</v>
      </c>
      <c r="E38306" s="1">
        <v>2.60732397304027E-5</v>
      </c>
      <c r="F38306" s="1">
        <v>5.07374186373262E-5</v>
      </c>
    </row>
    <row r="38307" spans="1:6" x14ac:dyDescent="0.25">
      <c r="A38307" s="2" t="str">
        <f t="shared" si="1260"/>
        <v>99999</v>
      </c>
      <c r="B38307" s="2" t="str">
        <f>"54629"</f>
        <v>54629</v>
      </c>
      <c r="C38307" s="1">
        <v>1.4471720010852601E-4</v>
      </c>
      <c r="D38307" s="1">
        <v>4.2492874855448297E-5</v>
      </c>
      <c r="E38307" s="1">
        <v>9.9947418966543598E-5</v>
      </c>
      <c r="F38307" s="1">
        <v>1.3699103032078E-4</v>
      </c>
    </row>
    <row r="38308" spans="1:6" x14ac:dyDescent="0.25">
      <c r="A38308" s="2" t="str">
        <f t="shared" si="1260"/>
        <v>99999</v>
      </c>
      <c r="B38308" s="2" t="str">
        <f>"54627"</f>
        <v>54627</v>
      </c>
      <c r="C38308" s="1">
        <v>1.06955396761958E-4</v>
      </c>
      <c r="D38308" s="1">
        <v>3.7940066835221703E-5</v>
      </c>
      <c r="E38308" s="1">
        <v>1.2602065869694599E-4</v>
      </c>
      <c r="F38308" s="1">
        <v>1.02867629158814E-4</v>
      </c>
    </row>
    <row r="38309" spans="1:6" x14ac:dyDescent="0.25">
      <c r="A38309" s="2" t="str">
        <f t="shared" si="1260"/>
        <v>99999</v>
      </c>
      <c r="B38309" s="2" t="str">
        <f>"54626"</f>
        <v>54626</v>
      </c>
      <c r="C38309" s="1">
        <v>7.7160679092555396E-5</v>
      </c>
      <c r="D38309" s="1">
        <v>2.2764040101133E-5</v>
      </c>
      <c r="E38309" s="1">
        <v>6.9528639281073799E-5</v>
      </c>
      <c r="F38309" s="1">
        <v>7.3420029322248499E-5</v>
      </c>
    </row>
    <row r="38310" spans="1:6" x14ac:dyDescent="0.25">
      <c r="A38310" s="2" t="str">
        <f t="shared" si="1260"/>
        <v>99999</v>
      </c>
      <c r="B38310" s="2" t="str">
        <f>"54470"</f>
        <v>54470</v>
      </c>
      <c r="C38310" s="1">
        <v>1.05754877002385E-4</v>
      </c>
      <c r="D38310" s="1">
        <v>6.0704106936354703E-5</v>
      </c>
      <c r="E38310" s="1">
        <v>1.2602065869694599E-4</v>
      </c>
      <c r="F38310" s="1">
        <v>1.0326556969714601E-4</v>
      </c>
    </row>
    <row r="38311" spans="1:6" x14ac:dyDescent="0.25">
      <c r="A38311" s="2" t="str">
        <f t="shared" si="1260"/>
        <v>99999</v>
      </c>
      <c r="B38311" s="2" t="str">
        <f>"54565"</f>
        <v>54565</v>
      </c>
      <c r="C38311" s="1">
        <v>7.9670856771662607E-6</v>
      </c>
      <c r="D38311" s="1">
        <v>3.0352053468177301E-6</v>
      </c>
      <c r="E38311" s="1">
        <v>4.3455399550671099E-6</v>
      </c>
      <c r="F38311" s="1">
        <v>7.5608702283074398E-6</v>
      </c>
    </row>
    <row r="38312" spans="1:6" x14ac:dyDescent="0.25">
      <c r="A38312" s="2" t="str">
        <f t="shared" si="1260"/>
        <v>99999</v>
      </c>
      <c r="B38312" s="2" t="str">
        <f>"54566"</f>
        <v>54566</v>
      </c>
      <c r="C38312" s="1">
        <v>9.6041580765839904E-5</v>
      </c>
      <c r="D38312" s="1">
        <v>3.7940066835221703E-5</v>
      </c>
      <c r="E38312" s="1">
        <v>5.6492019415872502E-5</v>
      </c>
      <c r="F38312" s="1">
        <v>9.1327353547187201E-5</v>
      </c>
    </row>
    <row r="38313" spans="1:6" x14ac:dyDescent="0.25">
      <c r="A38313" s="2" t="str">
        <f t="shared" si="1260"/>
        <v>99999</v>
      </c>
      <c r="B38313" s="2" t="str">
        <f>"54563"</f>
        <v>54563</v>
      </c>
      <c r="C38313" s="1">
        <v>3.8634908626258302E-5</v>
      </c>
      <c r="D38313" s="1">
        <v>9.1056160404532095E-6</v>
      </c>
      <c r="E38313" s="1">
        <v>4.3455399550671099E-6</v>
      </c>
      <c r="F38313" s="1">
        <v>3.5914133584460302E-5</v>
      </c>
    </row>
    <row r="38314" spans="1:6" x14ac:dyDescent="0.25">
      <c r="A38314" s="2" t="str">
        <f t="shared" si="1260"/>
        <v>99999</v>
      </c>
      <c r="B38314" s="2" t="str">
        <f>"54205"</f>
        <v>54205</v>
      </c>
      <c r="C38314" s="1">
        <v>2.1827631992236299E-6</v>
      </c>
      <c r="D38314" s="1">
        <v>1.51760267340886E-6</v>
      </c>
      <c r="E38314" s="1">
        <v>0</v>
      </c>
      <c r="F38314" s="1">
        <v>2.08918782624284E-6</v>
      </c>
    </row>
    <row r="38315" spans="1:6" x14ac:dyDescent="0.25">
      <c r="A38315" s="2" t="str">
        <f t="shared" si="1260"/>
        <v>99999</v>
      </c>
      <c r="B38315" s="2" t="str">
        <f>"54217"</f>
        <v>54217</v>
      </c>
      <c r="C38315" s="1">
        <v>2.3464704391654001E-5</v>
      </c>
      <c r="D38315" s="1">
        <v>4.5528080202265997E-6</v>
      </c>
      <c r="E38315" s="1">
        <v>8.69107991013423E-6</v>
      </c>
      <c r="F38315" s="1">
        <v>2.1886729608258301E-5</v>
      </c>
    </row>
    <row r="38316" spans="1:6" x14ac:dyDescent="0.25">
      <c r="A38316" s="2" t="str">
        <f t="shared" si="1260"/>
        <v>99999</v>
      </c>
      <c r="B38316" s="2" t="str">
        <f>"54422"</f>
        <v>54422</v>
      </c>
      <c r="C38316" s="1">
        <v>4.3982678464356202E-5</v>
      </c>
      <c r="D38316" s="1">
        <v>1.3658424060679801E-5</v>
      </c>
      <c r="E38316" s="1">
        <v>8.69107991013423E-6</v>
      </c>
      <c r="F38316" s="1">
        <v>4.1186845717358898E-5</v>
      </c>
    </row>
    <row r="38317" spans="1:6" x14ac:dyDescent="0.25">
      <c r="A38317" s="2" t="str">
        <f t="shared" si="1260"/>
        <v>99999</v>
      </c>
      <c r="B38317" s="2" t="str">
        <f>"54017"</f>
        <v>54017</v>
      </c>
      <c r="C38317" s="1">
        <v>1.15686449558852E-5</v>
      </c>
      <c r="D38317" s="1">
        <v>0</v>
      </c>
      <c r="E38317" s="1">
        <v>0</v>
      </c>
      <c r="F38317" s="1">
        <v>1.05454242657972E-5</v>
      </c>
    </row>
    <row r="38318" spans="1:6" x14ac:dyDescent="0.25">
      <c r="A38318" s="2" t="str">
        <f t="shared" si="1260"/>
        <v>99999</v>
      </c>
      <c r="B38318" s="2" t="str">
        <f>"53920"</f>
        <v>53920</v>
      </c>
      <c r="C38318" s="1">
        <v>3.6997836226840599E-5</v>
      </c>
      <c r="D38318" s="1">
        <v>1.21408213872709E-5</v>
      </c>
      <c r="E38318" s="1">
        <v>2.60732397304027E-5</v>
      </c>
      <c r="F38318" s="1">
        <v>3.5118252507796402E-5</v>
      </c>
    </row>
    <row r="38319" spans="1:6" x14ac:dyDescent="0.25">
      <c r="A38319" s="2" t="str">
        <f t="shared" si="1260"/>
        <v>99999</v>
      </c>
      <c r="B38319" s="2" t="str">
        <f>"53923"</f>
        <v>53923</v>
      </c>
      <c r="C38319" s="1">
        <v>8.1853619970886298E-6</v>
      </c>
      <c r="D38319" s="1">
        <v>7.5880133670443404E-6</v>
      </c>
      <c r="E38319" s="1">
        <v>0</v>
      </c>
      <c r="F38319" s="1">
        <v>7.9588107666394102E-6</v>
      </c>
    </row>
    <row r="38320" spans="1:6" x14ac:dyDescent="0.25">
      <c r="A38320" s="2" t="str">
        <f t="shared" si="1260"/>
        <v>99999</v>
      </c>
      <c r="B38320" s="2" t="str">
        <f>"53947"</f>
        <v>53947</v>
      </c>
      <c r="C38320" s="1">
        <v>7.6396711972827196E-6</v>
      </c>
      <c r="D38320" s="1">
        <v>0</v>
      </c>
      <c r="E38320" s="1">
        <v>2.1727699775335501E-5</v>
      </c>
      <c r="F38320" s="1">
        <v>7.4613850937244396E-6</v>
      </c>
    </row>
    <row r="38321" spans="1:6" x14ac:dyDescent="0.25">
      <c r="A38321" s="2" t="str">
        <f t="shared" si="1260"/>
        <v>99999</v>
      </c>
      <c r="B38321" s="2" t="str">
        <f>"53968"</f>
        <v>53968</v>
      </c>
      <c r="C38321" s="1">
        <v>9.0366396447858396E-5</v>
      </c>
      <c r="D38321" s="1">
        <v>4.4010477528857203E-5</v>
      </c>
      <c r="E38321" s="1">
        <v>7.3874179236140894E-5</v>
      </c>
      <c r="F38321" s="1">
        <v>8.6950007625535497E-5</v>
      </c>
    </row>
    <row r="38322" spans="1:6" x14ac:dyDescent="0.25">
      <c r="A38322" s="2" t="str">
        <f t="shared" si="1260"/>
        <v>99999</v>
      </c>
      <c r="B38322" s="2" t="str">
        <f>"53964"</f>
        <v>53964</v>
      </c>
      <c r="C38322" s="1">
        <v>2.1216458296453701E-4</v>
      </c>
      <c r="D38322" s="1">
        <v>1.7148910209520199E-4</v>
      </c>
      <c r="E38322" s="1">
        <v>2.9549671694456298E-4</v>
      </c>
      <c r="F38322" s="1">
        <v>2.1140591098885899E-4</v>
      </c>
    </row>
    <row r="38323" spans="1:6" x14ac:dyDescent="0.25">
      <c r="A38323" s="2" t="str">
        <f t="shared" si="1260"/>
        <v>99999</v>
      </c>
      <c r="B38323" s="2" t="str">
        <f>"53953"</f>
        <v>53953</v>
      </c>
      <c r="C38323" s="1">
        <v>3.27414479883545E-6</v>
      </c>
      <c r="D38323" s="1">
        <v>0</v>
      </c>
      <c r="E38323" s="1">
        <v>4.3455399550671099E-6</v>
      </c>
      <c r="F38323" s="1">
        <v>3.0840391720727701E-6</v>
      </c>
    </row>
    <row r="38324" spans="1:6" x14ac:dyDescent="0.25">
      <c r="A38324" s="2" t="str">
        <f t="shared" si="1260"/>
        <v>99999</v>
      </c>
      <c r="B38324" s="2" t="str">
        <f>"53950"</f>
        <v>53950</v>
      </c>
      <c r="C38324" s="1">
        <v>3.4280296043807099E-4</v>
      </c>
      <c r="D38324" s="1">
        <v>2.2764040101133E-4</v>
      </c>
      <c r="E38324" s="1">
        <v>3.0853333680976502E-4</v>
      </c>
      <c r="F38324" s="1">
        <v>3.3446902246802099E-4</v>
      </c>
    </row>
    <row r="38325" spans="1:6" x14ac:dyDescent="0.25">
      <c r="A38325" s="2" t="str">
        <f t="shared" si="1260"/>
        <v>99999</v>
      </c>
      <c r="B38325" s="2" t="str">
        <f>"53826"</f>
        <v>53826</v>
      </c>
      <c r="C38325" s="1">
        <v>6.7665659175932598E-5</v>
      </c>
      <c r="D38325" s="1">
        <v>1.0623218713862E-5</v>
      </c>
      <c r="E38325" s="1">
        <v>5.6492019415872502E-5</v>
      </c>
      <c r="F38325" s="1">
        <v>6.36704861331152E-5</v>
      </c>
    </row>
    <row r="38326" spans="1:6" x14ac:dyDescent="0.25">
      <c r="A38326" s="2" t="str">
        <f t="shared" si="1260"/>
        <v>99999</v>
      </c>
      <c r="B38326" s="2" t="str">
        <f>"53805"</f>
        <v>53805</v>
      </c>
      <c r="C38326" s="1">
        <v>3.2195757188548602E-5</v>
      </c>
      <c r="D38326" s="1">
        <v>9.1056160404532095E-6</v>
      </c>
      <c r="E38326" s="1">
        <v>0</v>
      </c>
      <c r="F38326" s="1">
        <v>2.9945025509480699E-5</v>
      </c>
    </row>
    <row r="38327" spans="1:6" x14ac:dyDescent="0.25">
      <c r="A38327" s="2" t="str">
        <f t="shared" si="1260"/>
        <v>99999</v>
      </c>
      <c r="B38327" s="2" t="str">
        <f>"53584"</f>
        <v>53584</v>
      </c>
      <c r="C38327" s="1">
        <v>1.4187960794953601E-6</v>
      </c>
      <c r="D38327" s="1">
        <v>0</v>
      </c>
      <c r="E38327" s="1">
        <v>4.3455399550671099E-6</v>
      </c>
      <c r="F38327" s="1">
        <v>1.39279188416189E-6</v>
      </c>
    </row>
    <row r="38328" spans="1:6" x14ac:dyDescent="0.25">
      <c r="A38328" s="2" t="str">
        <f t="shared" si="1260"/>
        <v>99999</v>
      </c>
      <c r="B38328" s="2" t="str">
        <f>"53565"</f>
        <v>53565</v>
      </c>
      <c r="C38328" s="1">
        <v>2.6847987350450699E-5</v>
      </c>
      <c r="D38328" s="1">
        <v>1.51760267340886E-6</v>
      </c>
      <c r="E38328" s="1">
        <v>4.3455399550671099E-6</v>
      </c>
      <c r="F38328" s="1">
        <v>2.46723133765821E-5</v>
      </c>
    </row>
    <row r="38329" spans="1:6" x14ac:dyDescent="0.25">
      <c r="A38329" s="2" t="str">
        <f t="shared" si="1260"/>
        <v>99999</v>
      </c>
      <c r="B38329" s="2" t="str">
        <f>"53504"</f>
        <v>53504</v>
      </c>
      <c r="C38329" s="1">
        <v>7.2467738214224595E-5</v>
      </c>
      <c r="D38329" s="1">
        <v>2.4281642774541899E-5</v>
      </c>
      <c r="E38329" s="1">
        <v>8.2565259146275205E-5</v>
      </c>
      <c r="F38329" s="1">
        <v>6.9540109073511794E-5</v>
      </c>
    </row>
    <row r="38330" spans="1:6" x14ac:dyDescent="0.25">
      <c r="A38330" s="2" t="str">
        <f t="shared" si="1260"/>
        <v>99999</v>
      </c>
      <c r="B38330" s="2" t="str">
        <f>"52755"</f>
        <v>52755</v>
      </c>
      <c r="C38330" s="1">
        <v>6.1117369578261701E-6</v>
      </c>
      <c r="D38330" s="1">
        <v>0</v>
      </c>
      <c r="E38330" s="1">
        <v>0</v>
      </c>
      <c r="F38330" s="1">
        <v>5.5711675366475797E-6</v>
      </c>
    </row>
    <row r="38331" spans="1:6" x14ac:dyDescent="0.25">
      <c r="A38331" s="2" t="str">
        <f t="shared" si="1260"/>
        <v>99999</v>
      </c>
      <c r="B38331" s="2" t="str">
        <f>"52739"</f>
        <v>52739</v>
      </c>
      <c r="C38331" s="1">
        <v>1.27691647154582E-5</v>
      </c>
      <c r="D38331" s="1">
        <v>1.51760267340886E-6</v>
      </c>
      <c r="E38331" s="1">
        <v>0</v>
      </c>
      <c r="F38331" s="1">
        <v>1.17392458807931E-5</v>
      </c>
    </row>
    <row r="38332" spans="1:6" x14ac:dyDescent="0.25">
      <c r="A38332" s="2" t="str">
        <f t="shared" si="1260"/>
        <v>99999</v>
      </c>
      <c r="B38332" s="2" t="str">
        <f>"52659"</f>
        <v>52659</v>
      </c>
      <c r="C38332" s="1">
        <v>7.6505850132788303E-5</v>
      </c>
      <c r="D38332" s="1">
        <v>6.37393122831725E-5</v>
      </c>
      <c r="E38332" s="1">
        <v>6.0837559370939603E-5</v>
      </c>
      <c r="F38332" s="1">
        <v>7.5310246879325396E-5</v>
      </c>
    </row>
    <row r="38333" spans="1:6" x14ac:dyDescent="0.25">
      <c r="A38333" s="2" t="str">
        <f t="shared" si="1260"/>
        <v>99999</v>
      </c>
      <c r="B38333" s="2" t="str">
        <f>"52630"</f>
        <v>52630</v>
      </c>
      <c r="C38333" s="1">
        <v>1.9535730633051498E-5</v>
      </c>
      <c r="D38333" s="1">
        <v>1.51760267340886E-6</v>
      </c>
      <c r="E38333" s="1">
        <v>0</v>
      </c>
      <c r="F38333" s="1">
        <v>1.7907324224938601E-5</v>
      </c>
    </row>
    <row r="38334" spans="1:6" x14ac:dyDescent="0.25">
      <c r="A38334" s="2" t="str">
        <f t="shared" si="1260"/>
        <v>99999</v>
      </c>
      <c r="B38334" s="2" t="str">
        <f>"52654"</f>
        <v>52654</v>
      </c>
      <c r="C38334" s="1">
        <v>7.4104810613642393E-5</v>
      </c>
      <c r="D38334" s="1">
        <v>3.6422464161812797E-5</v>
      </c>
      <c r="E38334" s="1">
        <v>5.6492019415872502E-5</v>
      </c>
      <c r="F38334" s="1">
        <v>7.1231356361422694E-5</v>
      </c>
    </row>
    <row r="38335" spans="1:6" x14ac:dyDescent="0.25">
      <c r="A38335" s="2" t="str">
        <f t="shared" si="1260"/>
        <v>99999</v>
      </c>
      <c r="B38335" s="2" t="str">
        <f>"52640"</f>
        <v>52640</v>
      </c>
      <c r="C38335" s="1">
        <v>6.6028586776514895E-5</v>
      </c>
      <c r="D38335" s="1">
        <v>1.21408213872709E-5</v>
      </c>
      <c r="E38335" s="1">
        <v>2.60732397304027E-5</v>
      </c>
      <c r="F38335" s="1">
        <v>6.1581298306872401E-5</v>
      </c>
    </row>
    <row r="38336" spans="1:6" x14ac:dyDescent="0.25">
      <c r="A38336" s="2" t="str">
        <f t="shared" si="1260"/>
        <v>99999</v>
      </c>
      <c r="B38336" s="2" t="str">
        <f>"52248"</f>
        <v>52248</v>
      </c>
      <c r="C38336" s="1">
        <v>6.3954961737252395E-5</v>
      </c>
      <c r="D38336" s="1">
        <v>5.6151298916128101E-5</v>
      </c>
      <c r="E38336" s="1">
        <v>5.6492019415872502E-5</v>
      </c>
      <c r="F38336" s="1">
        <v>6.3272545594783301E-5</v>
      </c>
    </row>
    <row r="38337" spans="1:6" x14ac:dyDescent="0.25">
      <c r="A38337" s="2" t="str">
        <f t="shared" si="1260"/>
        <v>99999</v>
      </c>
      <c r="B38337" s="2" t="str">
        <f>"52222"</f>
        <v>52222</v>
      </c>
      <c r="C38337" s="1">
        <v>3.7325250706724098E-5</v>
      </c>
      <c r="D38337" s="1">
        <v>7.5880133670443404E-6</v>
      </c>
      <c r="E38337" s="1">
        <v>3.0418779685469802E-5</v>
      </c>
      <c r="F38337" s="1">
        <v>3.5217737642379299E-5</v>
      </c>
    </row>
    <row r="38338" spans="1:6" x14ac:dyDescent="0.25">
      <c r="A38338" s="2" t="str">
        <f t="shared" si="1260"/>
        <v>99999</v>
      </c>
      <c r="B38338" s="2" t="str">
        <f>"52211"</f>
        <v>52211</v>
      </c>
      <c r="C38338" s="1">
        <v>1.59341713543325E-4</v>
      </c>
      <c r="D38338" s="1">
        <v>4.8563285549083798E-5</v>
      </c>
      <c r="E38338" s="1">
        <v>1.6947605824761699E-4</v>
      </c>
      <c r="F38338" s="1">
        <v>1.52311741046561E-4</v>
      </c>
    </row>
    <row r="38339" spans="1:6" x14ac:dyDescent="0.25">
      <c r="A38339" s="2" t="str">
        <f t="shared" si="1260"/>
        <v>99999</v>
      </c>
      <c r="B38339" s="2" t="str">
        <f>"52593"</f>
        <v>52593</v>
      </c>
      <c r="C38339" s="1">
        <v>7.3122567173991701E-6</v>
      </c>
      <c r="D38339" s="1">
        <v>0</v>
      </c>
      <c r="E38339" s="1">
        <v>4.3455399550671099E-6</v>
      </c>
      <c r="F38339" s="1">
        <v>6.7649891516434898E-6</v>
      </c>
    </row>
    <row r="38340" spans="1:6" x14ac:dyDescent="0.25">
      <c r="A38340" s="2" t="str">
        <f t="shared" si="1260"/>
        <v>99999</v>
      </c>
      <c r="B38340" s="2" t="str">
        <f>"52594"</f>
        <v>52594</v>
      </c>
      <c r="C38340" s="1">
        <v>2.4337809671343498E-5</v>
      </c>
      <c r="D38340" s="1">
        <v>3.0352053468177301E-6</v>
      </c>
      <c r="E38340" s="1">
        <v>4.3455399550671099E-6</v>
      </c>
      <c r="F38340" s="1">
        <v>2.2483640415756299E-5</v>
      </c>
    </row>
    <row r="38341" spans="1:6" x14ac:dyDescent="0.25">
      <c r="A38341" s="2" t="str">
        <f t="shared" si="1260"/>
        <v>99999</v>
      </c>
      <c r="B38341" s="2" t="str">
        <f>"52590"</f>
        <v>52590</v>
      </c>
      <c r="C38341" s="1">
        <v>6.4391514377097205E-5</v>
      </c>
      <c r="D38341" s="1">
        <v>8.9538557731123203E-5</v>
      </c>
      <c r="E38341" s="1">
        <v>5.6492019415872502E-5</v>
      </c>
      <c r="F38341" s="1">
        <v>6.5859159093941099E-5</v>
      </c>
    </row>
    <row r="38342" spans="1:6" x14ac:dyDescent="0.25">
      <c r="A38342" s="2" t="str">
        <f t="shared" si="1260"/>
        <v>99999</v>
      </c>
      <c r="B38342" s="2" t="str">
        <f>"52580"</f>
        <v>52580</v>
      </c>
      <c r="C38342" s="1">
        <v>6.5482895976708995E-7</v>
      </c>
      <c r="D38342" s="1">
        <v>0</v>
      </c>
      <c r="E38342" s="1">
        <v>0</v>
      </c>
      <c r="F38342" s="1">
        <v>5.9691080749795498E-7</v>
      </c>
    </row>
    <row r="38343" spans="1:6" x14ac:dyDescent="0.25">
      <c r="A38343" s="2" t="str">
        <f t="shared" si="1260"/>
        <v>99999</v>
      </c>
      <c r="B38343" s="2" t="str">
        <f>"52571"</f>
        <v>52571</v>
      </c>
      <c r="C38343" s="1">
        <v>1.01171074284015E-4</v>
      </c>
      <c r="D38343" s="1">
        <v>6.2221709609763595E-5</v>
      </c>
      <c r="E38343" s="1">
        <v>1.3036619865201299E-5</v>
      </c>
      <c r="F38343" s="1">
        <v>9.6600065680085804E-5</v>
      </c>
    </row>
    <row r="38344" spans="1:6" x14ac:dyDescent="0.25">
      <c r="A38344" s="2" t="str">
        <f t="shared" si="1260"/>
        <v>99999</v>
      </c>
      <c r="B38344" s="2" t="str">
        <f>"52156"</f>
        <v>52156</v>
      </c>
      <c r="C38344" s="1">
        <v>3.7216112546762902E-5</v>
      </c>
      <c r="D38344" s="1">
        <v>1.3658424060679801E-5</v>
      </c>
      <c r="E38344" s="1">
        <v>3.9109859595604001E-5</v>
      </c>
      <c r="F38344" s="1">
        <v>3.5715163315294298E-5</v>
      </c>
    </row>
    <row r="38345" spans="1:6" x14ac:dyDescent="0.25">
      <c r="A38345" s="2" t="str">
        <f t="shared" si="1260"/>
        <v>99999</v>
      </c>
      <c r="B38345" s="2" t="str">
        <f>"52160"</f>
        <v>52160</v>
      </c>
      <c r="C38345" s="1">
        <v>4.5183198223929198E-5</v>
      </c>
      <c r="D38345" s="1">
        <v>1.8211232080906399E-5</v>
      </c>
      <c r="E38345" s="1">
        <v>3.0418779685469802E-5</v>
      </c>
      <c r="F38345" s="1">
        <v>4.3077063274435802E-5</v>
      </c>
    </row>
    <row r="38346" spans="1:6" x14ac:dyDescent="0.25">
      <c r="A38346" s="2" t="str">
        <f t="shared" si="1260"/>
        <v>99999</v>
      </c>
      <c r="B38346" s="2" t="str">
        <f>"52132"</f>
        <v>52132</v>
      </c>
      <c r="C38346" s="1">
        <v>1.03790390123083E-4</v>
      </c>
      <c r="D38346" s="1">
        <v>3.3387258814995101E-5</v>
      </c>
      <c r="E38346" s="1">
        <v>1.3471173860707999E-4</v>
      </c>
      <c r="F38346" s="1">
        <v>9.9883075121324599E-5</v>
      </c>
    </row>
    <row r="38347" spans="1:6" x14ac:dyDescent="0.25">
      <c r="A38347" s="2" t="str">
        <f t="shared" si="1260"/>
        <v>99999</v>
      </c>
      <c r="B38347" s="2" t="str">
        <f>"52077"</f>
        <v>52077</v>
      </c>
      <c r="C38347" s="1">
        <v>2.30281517518093E-5</v>
      </c>
      <c r="D38347" s="1">
        <v>1.9728834754315301E-5</v>
      </c>
      <c r="E38347" s="1">
        <v>0</v>
      </c>
      <c r="F38347" s="1">
        <v>2.2284670146590302E-5</v>
      </c>
    </row>
    <row r="38348" spans="1:6" x14ac:dyDescent="0.25">
      <c r="A38348" s="2" t="str">
        <f t="shared" si="1260"/>
        <v>99999</v>
      </c>
      <c r="B38348" s="2" t="str">
        <f>"52069"</f>
        <v>52069</v>
      </c>
      <c r="C38348" s="1">
        <v>8.7419666128906495E-5</v>
      </c>
      <c r="D38348" s="1">
        <v>5.15984908959015E-5</v>
      </c>
      <c r="E38348" s="1">
        <v>5.6492019415872502E-5</v>
      </c>
      <c r="F38348" s="1">
        <v>8.4363394126377698E-5</v>
      </c>
    </row>
    <row r="38349" spans="1:6" x14ac:dyDescent="0.25">
      <c r="A38349" s="2" t="str">
        <f t="shared" si="1260"/>
        <v>99999</v>
      </c>
      <c r="B38349" s="2" t="str">
        <f>"52352"</f>
        <v>52352</v>
      </c>
      <c r="C38349" s="1">
        <v>1.44062371148759E-5</v>
      </c>
      <c r="D38349" s="1">
        <v>4.5528080202265997E-6</v>
      </c>
      <c r="E38349" s="1">
        <v>4.3455399550671099E-6</v>
      </c>
      <c r="F38349" s="1">
        <v>1.35299783032869E-5</v>
      </c>
    </row>
    <row r="38350" spans="1:6" x14ac:dyDescent="0.25">
      <c r="A38350" s="2" t="str">
        <f t="shared" si="1260"/>
        <v>99999</v>
      </c>
      <c r="B38350" s="2" t="str">
        <f>"52316"</f>
        <v>52316</v>
      </c>
      <c r="C38350" s="1">
        <v>8.5127764769721699E-5</v>
      </c>
      <c r="D38350" s="1">
        <v>4.4010477528857203E-5</v>
      </c>
      <c r="E38350" s="1">
        <v>7.8219719191208097E-5</v>
      </c>
      <c r="F38350" s="1">
        <v>8.2274206300134899E-5</v>
      </c>
    </row>
    <row r="38351" spans="1:6" x14ac:dyDescent="0.25">
      <c r="A38351" s="2" t="str">
        <f t="shared" si="1260"/>
        <v>99999</v>
      </c>
      <c r="B38351" s="2" t="str">
        <f>"52306"</f>
        <v>52306</v>
      </c>
      <c r="C38351" s="1">
        <v>8.1526205491002705E-5</v>
      </c>
      <c r="D38351" s="1">
        <v>1.0623218713862E-5</v>
      </c>
      <c r="E38351" s="1">
        <v>8.69107991013423E-5</v>
      </c>
      <c r="F38351" s="1">
        <v>7.7001494167236296E-5</v>
      </c>
    </row>
    <row r="38352" spans="1:6" x14ac:dyDescent="0.25">
      <c r="A38352" s="2" t="str">
        <f t="shared" si="1260"/>
        <v>99999</v>
      </c>
      <c r="B38352" s="2" t="str">
        <f>"52052"</f>
        <v>52052</v>
      </c>
      <c r="C38352" s="1">
        <v>1.9121005625199E-4</v>
      </c>
      <c r="D38352" s="1">
        <v>1.5327787001429501E-4</v>
      </c>
      <c r="E38352" s="1">
        <v>2.6507793725909402E-4</v>
      </c>
      <c r="F38352" s="1">
        <v>1.90414547591847E-4</v>
      </c>
    </row>
    <row r="38353" spans="1:6" x14ac:dyDescent="0.25">
      <c r="A38353" s="2" t="str">
        <f t="shared" si="1260"/>
        <v>99999</v>
      </c>
      <c r="B38353" s="2" t="str">
        <f>"52037"</f>
        <v>52037</v>
      </c>
      <c r="C38353" s="1">
        <v>1.52793423945654E-6</v>
      </c>
      <c r="D38353" s="1">
        <v>0</v>
      </c>
      <c r="E38353" s="1">
        <v>0</v>
      </c>
      <c r="F38353" s="1">
        <v>1.39279188416189E-6</v>
      </c>
    </row>
    <row r="38354" spans="1:6" x14ac:dyDescent="0.25">
      <c r="A38354" s="2" t="str">
        <f t="shared" ref="A38354:A38417" si="1261">"99999"</f>
        <v>99999</v>
      </c>
      <c r="B38354" s="2" t="str">
        <f>"51230"</f>
        <v>51230</v>
      </c>
      <c r="C38354" s="1">
        <v>2.0954526712546801E-5</v>
      </c>
      <c r="D38354" s="1">
        <v>1.51760267340886E-6</v>
      </c>
      <c r="E38354" s="1">
        <v>4.3455399550671099E-6</v>
      </c>
      <c r="F38354" s="1">
        <v>1.9300116109100499E-5</v>
      </c>
    </row>
    <row r="38355" spans="1:6" x14ac:dyDescent="0.25">
      <c r="A38355" s="2" t="str">
        <f t="shared" si="1261"/>
        <v>99999</v>
      </c>
      <c r="B38355" s="2" t="str">
        <f>"51055"</f>
        <v>51055</v>
      </c>
      <c r="C38355" s="1">
        <v>1.03681251963122E-5</v>
      </c>
      <c r="D38355" s="1">
        <v>1.51760267340886E-6</v>
      </c>
      <c r="E38355" s="1">
        <v>1.7382159820268399E-5</v>
      </c>
      <c r="F38355" s="1">
        <v>9.9485134582992602E-6</v>
      </c>
    </row>
    <row r="38356" spans="1:6" x14ac:dyDescent="0.25">
      <c r="A38356" s="2" t="str">
        <f t="shared" si="1261"/>
        <v>99999</v>
      </c>
      <c r="B38356" s="2" t="str">
        <f>"51051"</f>
        <v>51051</v>
      </c>
      <c r="C38356" s="1">
        <v>5.6751843179814504E-6</v>
      </c>
      <c r="D38356" s="1">
        <v>3.0352053468177301E-6</v>
      </c>
      <c r="E38356" s="1">
        <v>4.3455399550671099E-6</v>
      </c>
      <c r="F38356" s="1">
        <v>5.4716824020645896E-6</v>
      </c>
    </row>
    <row r="38357" spans="1:6" x14ac:dyDescent="0.25">
      <c r="A38357" s="2" t="str">
        <f t="shared" si="1261"/>
        <v>99999</v>
      </c>
      <c r="B38357" s="2" t="str">
        <f>"51048"</f>
        <v>51048</v>
      </c>
      <c r="C38357" s="1">
        <v>5.7843224779426299E-6</v>
      </c>
      <c r="D38357" s="1">
        <v>0</v>
      </c>
      <c r="E38357" s="1">
        <v>0</v>
      </c>
      <c r="F38357" s="1">
        <v>5.2727121328986002E-6</v>
      </c>
    </row>
    <row r="38358" spans="1:6" x14ac:dyDescent="0.25">
      <c r="A38358" s="2" t="str">
        <f t="shared" si="1261"/>
        <v>99999</v>
      </c>
      <c r="B38358" s="2" t="str">
        <f>"51046"</f>
        <v>51046</v>
      </c>
      <c r="C38358" s="1">
        <v>1.0826505468149199E-4</v>
      </c>
      <c r="D38358" s="1">
        <v>3.7940066835221703E-5</v>
      </c>
      <c r="E38358" s="1">
        <v>9.9947418966543598E-5</v>
      </c>
      <c r="F38358" s="1">
        <v>1.03464539966312E-4</v>
      </c>
    </row>
    <row r="38359" spans="1:6" x14ac:dyDescent="0.25">
      <c r="A38359" s="2" t="str">
        <f t="shared" si="1261"/>
        <v>99999</v>
      </c>
      <c r="B38359" s="2" t="str">
        <f>"51045"</f>
        <v>51045</v>
      </c>
      <c r="C38359" s="1">
        <v>4.4746645584084504E-6</v>
      </c>
      <c r="D38359" s="1">
        <v>7.5880133670443404E-6</v>
      </c>
      <c r="E38359" s="1">
        <v>4.3455399550671099E-6</v>
      </c>
      <c r="F38359" s="1">
        <v>4.6758013254006498E-6</v>
      </c>
    </row>
    <row r="38360" spans="1:6" x14ac:dyDescent="0.25">
      <c r="A38360" s="2" t="str">
        <f t="shared" si="1261"/>
        <v>99999</v>
      </c>
      <c r="B38360" s="2" t="str">
        <f>"51012"</f>
        <v>51012</v>
      </c>
      <c r="C38360" s="1">
        <v>3.6386662531057899E-4</v>
      </c>
      <c r="D38360" s="1">
        <v>6.5105154689240499E-4</v>
      </c>
      <c r="E38360" s="1">
        <v>5.8230235397899296E-4</v>
      </c>
      <c r="F38360" s="1">
        <v>3.87693569469922E-4</v>
      </c>
    </row>
    <row r="38361" spans="1:6" x14ac:dyDescent="0.25">
      <c r="A38361" s="2" t="str">
        <f t="shared" si="1261"/>
        <v>99999</v>
      </c>
      <c r="B38361" s="2" t="str">
        <f>"51006"</f>
        <v>51006</v>
      </c>
      <c r="C38361" s="1">
        <v>5.8061501099348598E-5</v>
      </c>
      <c r="D38361" s="1">
        <v>2.5799245447950699E-5</v>
      </c>
      <c r="E38361" s="1">
        <v>4.3455399550671103E-5</v>
      </c>
      <c r="F38361" s="1">
        <v>5.5612190231892801E-5</v>
      </c>
    </row>
    <row r="38362" spans="1:6" x14ac:dyDescent="0.25">
      <c r="A38362" s="2" t="str">
        <f t="shared" si="1261"/>
        <v>99999</v>
      </c>
      <c r="B38362" s="2" t="str">
        <f>"51050"</f>
        <v>51050</v>
      </c>
      <c r="C38362" s="1">
        <v>1.3107493011337899E-4</v>
      </c>
      <c r="D38362" s="1">
        <v>6.9809722976807906E-5</v>
      </c>
      <c r="E38362" s="1">
        <v>1.4340281851721399E-4</v>
      </c>
      <c r="F38362" s="1">
        <v>1.2734097226622999E-4</v>
      </c>
    </row>
    <row r="38363" spans="1:6" x14ac:dyDescent="0.25">
      <c r="A38363" s="2" t="str">
        <f t="shared" si="1261"/>
        <v>99999</v>
      </c>
      <c r="B38363" s="2" t="str">
        <f>"51645"</f>
        <v>51645</v>
      </c>
      <c r="C38363" s="1">
        <v>1.0586401516234599E-5</v>
      </c>
      <c r="D38363" s="1">
        <v>6.0704106936354696E-6</v>
      </c>
      <c r="E38363" s="1">
        <v>8.69107991013423E-6</v>
      </c>
      <c r="F38363" s="1">
        <v>1.02469688620482E-5</v>
      </c>
    </row>
    <row r="38364" spans="1:6" x14ac:dyDescent="0.25">
      <c r="A38364" s="2" t="str">
        <f t="shared" si="1261"/>
        <v>99999</v>
      </c>
      <c r="B38364" s="2" t="str">
        <f>"51652"</f>
        <v>51652</v>
      </c>
      <c r="C38364" s="1">
        <v>9.7896929485179998E-5</v>
      </c>
      <c r="D38364" s="1">
        <v>3.6422464161812797E-5</v>
      </c>
      <c r="E38364" s="1">
        <v>6.9528639281073799E-5</v>
      </c>
      <c r="F38364" s="1">
        <v>9.3217571104264098E-5</v>
      </c>
    </row>
    <row r="38365" spans="1:6" x14ac:dyDescent="0.25">
      <c r="A38365" s="2" t="str">
        <f t="shared" si="1261"/>
        <v>99999</v>
      </c>
      <c r="B38365" s="2" t="str">
        <f>"51649"</f>
        <v>51649</v>
      </c>
      <c r="C38365" s="1">
        <v>1.8444349033439702E-5</v>
      </c>
      <c r="D38365" s="1">
        <v>0</v>
      </c>
      <c r="E38365" s="1">
        <v>1.7382159820268399E-5</v>
      </c>
      <c r="F38365" s="1">
        <v>1.7210928282857699E-5</v>
      </c>
    </row>
    <row r="38366" spans="1:6" x14ac:dyDescent="0.25">
      <c r="A38366" s="2" t="str">
        <f t="shared" si="1261"/>
        <v>99999</v>
      </c>
      <c r="B38366" s="2" t="str">
        <f>"51646"</f>
        <v>51646</v>
      </c>
      <c r="C38366" s="1">
        <v>4.42009547842786E-5</v>
      </c>
      <c r="D38366" s="1">
        <v>1.21408213872709E-5</v>
      </c>
      <c r="E38366" s="1">
        <v>1.7382159820268399E-5</v>
      </c>
      <c r="F38366" s="1">
        <v>4.14853011211079E-5</v>
      </c>
    </row>
    <row r="38367" spans="1:6" x14ac:dyDescent="0.25">
      <c r="A38367" s="2" t="str">
        <f t="shared" si="1261"/>
        <v>99999</v>
      </c>
      <c r="B38367" s="2" t="str">
        <f>"51640"</f>
        <v>51640</v>
      </c>
      <c r="C38367" s="1">
        <v>1.0018883084436399E-4</v>
      </c>
      <c r="D38367" s="1">
        <v>1.4720745932066001E-4</v>
      </c>
      <c r="E38367" s="1">
        <v>1.7816713815775099E-4</v>
      </c>
      <c r="F38367" s="1">
        <v>1.0505630211964001E-4</v>
      </c>
    </row>
    <row r="38368" spans="1:6" x14ac:dyDescent="0.25">
      <c r="A38368" s="2" t="str">
        <f t="shared" si="1261"/>
        <v>99999</v>
      </c>
      <c r="B38368" s="2" t="str">
        <f>"51440"</f>
        <v>51440</v>
      </c>
      <c r="C38368" s="1">
        <v>2.1827631992236301E-7</v>
      </c>
      <c r="D38368" s="1">
        <v>0</v>
      </c>
      <c r="E38368" s="1">
        <v>0</v>
      </c>
      <c r="F38368" s="1">
        <v>1.9897026916598501E-7</v>
      </c>
    </row>
    <row r="38369" spans="1:6" x14ac:dyDescent="0.25">
      <c r="A38369" s="2" t="str">
        <f t="shared" si="1261"/>
        <v>99999</v>
      </c>
      <c r="B38369" s="2" t="str">
        <f>"51453"</f>
        <v>51453</v>
      </c>
      <c r="C38369" s="1">
        <v>3.4596796707694601E-5</v>
      </c>
      <c r="D38369" s="1">
        <v>1.3658424060679801E-5</v>
      </c>
      <c r="E38369" s="1">
        <v>2.1727699775335501E-5</v>
      </c>
      <c r="F38369" s="1">
        <v>3.2929579546970502E-5</v>
      </c>
    </row>
    <row r="38370" spans="1:6" x14ac:dyDescent="0.25">
      <c r="A38370" s="2" t="str">
        <f t="shared" si="1261"/>
        <v>99999</v>
      </c>
      <c r="B38370" s="2" t="str">
        <f>"51447"</f>
        <v>51447</v>
      </c>
      <c r="C38370" s="1">
        <v>1.1459506795924E-5</v>
      </c>
      <c r="D38370" s="1">
        <v>1.51760267340886E-6</v>
      </c>
      <c r="E38370" s="1">
        <v>8.69107991013423E-6</v>
      </c>
      <c r="F38370" s="1">
        <v>1.0744394534963201E-5</v>
      </c>
    </row>
    <row r="38371" spans="1:6" x14ac:dyDescent="0.25">
      <c r="A38371" s="2" t="str">
        <f t="shared" si="1261"/>
        <v>99999</v>
      </c>
      <c r="B38371" s="2" t="str">
        <f>"51445"</f>
        <v>51445</v>
      </c>
      <c r="C38371" s="1">
        <v>1.6621741762087901E-4</v>
      </c>
      <c r="D38371" s="1">
        <v>3.2173176676268E-4</v>
      </c>
      <c r="E38371" s="1">
        <v>3.3895211649523501E-4</v>
      </c>
      <c r="F38371" s="1">
        <v>1.80366548998965E-4</v>
      </c>
    </row>
    <row r="38372" spans="1:6" x14ac:dyDescent="0.25">
      <c r="A38372" s="2" t="str">
        <f t="shared" si="1261"/>
        <v>99999</v>
      </c>
      <c r="B38372" s="2" t="str">
        <f>"51533"</f>
        <v>51533</v>
      </c>
      <c r="C38372" s="1">
        <v>1.22234739156523E-5</v>
      </c>
      <c r="D38372" s="1">
        <v>0</v>
      </c>
      <c r="E38372" s="1">
        <v>0</v>
      </c>
      <c r="F38372" s="1">
        <v>1.11423350732951E-5</v>
      </c>
    </row>
    <row r="38373" spans="1:6" x14ac:dyDescent="0.25">
      <c r="A38373" s="2" t="str">
        <f t="shared" si="1261"/>
        <v>99999</v>
      </c>
      <c r="B38373" s="2" t="str">
        <f>"51535"</f>
        <v>51535</v>
      </c>
      <c r="C38373" s="1">
        <v>8.7528804288867704E-5</v>
      </c>
      <c r="D38373" s="1">
        <v>3.4904861488403899E-5</v>
      </c>
      <c r="E38373" s="1">
        <v>6.5183099326006705E-5</v>
      </c>
      <c r="F38373" s="1">
        <v>8.3567513049713805E-5</v>
      </c>
    </row>
    <row r="38374" spans="1:6" x14ac:dyDescent="0.25">
      <c r="A38374" s="2" t="str">
        <f t="shared" si="1261"/>
        <v>99999</v>
      </c>
      <c r="B38374" s="2" t="str">
        <f>"51528"</f>
        <v>51528</v>
      </c>
      <c r="C38374" s="1">
        <v>5.4023389180784903E-5</v>
      </c>
      <c r="D38374" s="1">
        <v>1.0623218713862E-5</v>
      </c>
      <c r="E38374" s="1">
        <v>4.7800939505738197E-5</v>
      </c>
      <c r="F38374" s="1">
        <v>5.1035874041075202E-5</v>
      </c>
    </row>
    <row r="38375" spans="1:6" x14ac:dyDescent="0.25">
      <c r="A38375" s="2" t="str">
        <f t="shared" si="1261"/>
        <v>99999</v>
      </c>
      <c r="B38375" s="2" t="str">
        <f>"50858"</f>
        <v>50858</v>
      </c>
      <c r="C38375" s="1">
        <v>4.2018191585054898E-5</v>
      </c>
      <c r="D38375" s="1">
        <v>7.5880133670443404E-6</v>
      </c>
      <c r="E38375" s="1">
        <v>3.0418779685469802E-5</v>
      </c>
      <c r="F38375" s="1">
        <v>3.9495598429447998E-5</v>
      </c>
    </row>
    <row r="38376" spans="1:6" x14ac:dyDescent="0.25">
      <c r="A38376" s="2" t="str">
        <f t="shared" si="1261"/>
        <v>99999</v>
      </c>
      <c r="B38376" s="2" t="str">
        <f>"50849"</f>
        <v>50849</v>
      </c>
      <c r="C38376" s="1">
        <v>1.50283246266547E-4</v>
      </c>
      <c r="D38376" s="1">
        <v>2.7772128923382301E-4</v>
      </c>
      <c r="E38376" s="1">
        <v>1.30366198652013E-4</v>
      </c>
      <c r="F38376" s="1">
        <v>1.58181363986958E-4</v>
      </c>
    </row>
    <row r="38377" spans="1:6" x14ac:dyDescent="0.25">
      <c r="A38377" s="2" t="str">
        <f t="shared" si="1261"/>
        <v>99999</v>
      </c>
      <c r="B38377" s="2" t="str">
        <f>"50848"</f>
        <v>50848</v>
      </c>
      <c r="C38377" s="1">
        <v>2.0736250392624501E-5</v>
      </c>
      <c r="D38377" s="1">
        <v>4.5528080202265997E-6</v>
      </c>
      <c r="E38377" s="1">
        <v>4.3455399550671099E-6</v>
      </c>
      <c r="F38377" s="1">
        <v>1.9300116109100499E-5</v>
      </c>
    </row>
    <row r="38378" spans="1:6" x14ac:dyDescent="0.25">
      <c r="A38378" s="2" t="str">
        <f t="shared" si="1261"/>
        <v>99999</v>
      </c>
      <c r="B38378" s="2" t="str">
        <f>"50846"</f>
        <v>50846</v>
      </c>
      <c r="C38378" s="1">
        <v>5.3150283901095501E-5</v>
      </c>
      <c r="D38378" s="1">
        <v>1.21408213872709E-5</v>
      </c>
      <c r="E38378" s="1">
        <v>5.6492019415872502E-5</v>
      </c>
      <c r="F38378" s="1">
        <v>5.0538448368160202E-5</v>
      </c>
    </row>
    <row r="38379" spans="1:6" x14ac:dyDescent="0.25">
      <c r="A38379" s="2" t="str">
        <f t="shared" si="1261"/>
        <v>99999</v>
      </c>
      <c r="B38379" s="2" t="str">
        <f>"50861"</f>
        <v>50861</v>
      </c>
      <c r="C38379" s="1">
        <v>1.4078822634992399E-5</v>
      </c>
      <c r="D38379" s="1">
        <v>0</v>
      </c>
      <c r="E38379" s="1">
        <v>4.3455399550671099E-6</v>
      </c>
      <c r="F38379" s="1">
        <v>1.2933067495789E-5</v>
      </c>
    </row>
    <row r="38380" spans="1:6" x14ac:dyDescent="0.25">
      <c r="A38380" s="2" t="str">
        <f t="shared" si="1261"/>
        <v>99999</v>
      </c>
      <c r="B38380" s="2" t="str">
        <f>"51354"</f>
        <v>51354</v>
      </c>
      <c r="C38380" s="1">
        <v>5.9589435338805201E-5</v>
      </c>
      <c r="D38380" s="1">
        <v>2.5799245447950699E-5</v>
      </c>
      <c r="E38380" s="1">
        <v>3.0418779685469802E-5</v>
      </c>
      <c r="F38380" s="1">
        <v>5.6706526712305799E-5</v>
      </c>
    </row>
    <row r="38381" spans="1:6" x14ac:dyDescent="0.25">
      <c r="A38381" s="2" t="str">
        <f t="shared" si="1261"/>
        <v>99999</v>
      </c>
      <c r="B38381" s="2" t="str">
        <f>"51247"</f>
        <v>51247</v>
      </c>
      <c r="C38381" s="1">
        <v>2.3682980711576401E-4</v>
      </c>
      <c r="D38381" s="1">
        <v>3.5967183359790202E-4</v>
      </c>
      <c r="E38381" s="1">
        <v>4.4324507541684501E-4</v>
      </c>
      <c r="F38381" s="1">
        <v>2.49608202668728E-4</v>
      </c>
    </row>
    <row r="38382" spans="1:6" x14ac:dyDescent="0.25">
      <c r="A38382" s="2" t="str">
        <f t="shared" si="1261"/>
        <v>99999</v>
      </c>
      <c r="B38382" s="2" t="str">
        <f>"51235"</f>
        <v>51235</v>
      </c>
      <c r="C38382" s="1">
        <v>4.8675619342686997E-5</v>
      </c>
      <c r="D38382" s="1">
        <v>1.5176026734088599E-5</v>
      </c>
      <c r="E38382" s="1">
        <v>3.0418779685469802E-5</v>
      </c>
      <c r="F38382" s="1">
        <v>4.60616173119255E-5</v>
      </c>
    </row>
    <row r="38383" spans="1:6" x14ac:dyDescent="0.25">
      <c r="A38383" s="2" t="str">
        <f t="shared" si="1261"/>
        <v>99999</v>
      </c>
      <c r="B38383" s="2" t="str">
        <f>"51239"</f>
        <v>51239</v>
      </c>
      <c r="C38383" s="1">
        <v>1.34130798592292E-4</v>
      </c>
      <c r="D38383" s="1">
        <v>1.03196981791803E-4</v>
      </c>
      <c r="E38383" s="1">
        <v>5.6492019415872502E-5</v>
      </c>
      <c r="F38383" s="1">
        <v>1.3032552630371999E-4</v>
      </c>
    </row>
    <row r="38384" spans="1:6" x14ac:dyDescent="0.25">
      <c r="A38384" s="2" t="str">
        <f t="shared" si="1261"/>
        <v>99999</v>
      </c>
      <c r="B38384" s="2" t="str">
        <f>"50677"</f>
        <v>50677</v>
      </c>
      <c r="C38384" s="1">
        <v>1.20051975957299E-6</v>
      </c>
      <c r="D38384" s="1">
        <v>0</v>
      </c>
      <c r="E38384" s="1">
        <v>0</v>
      </c>
      <c r="F38384" s="1">
        <v>1.09433648041291E-6</v>
      </c>
    </row>
    <row r="38385" spans="1:6" x14ac:dyDescent="0.25">
      <c r="A38385" s="2" t="str">
        <f t="shared" si="1261"/>
        <v>99999</v>
      </c>
      <c r="B38385" s="2" t="str">
        <f>"50672"</f>
        <v>50672</v>
      </c>
      <c r="C38385" s="1">
        <v>3.4160244067849798E-5</v>
      </c>
      <c r="D38385" s="1">
        <v>1.0623218713862E-5</v>
      </c>
      <c r="E38385" s="1">
        <v>2.60732397304027E-5</v>
      </c>
      <c r="F38385" s="1">
        <v>3.2432153874055598E-5</v>
      </c>
    </row>
    <row r="38386" spans="1:6" x14ac:dyDescent="0.25">
      <c r="A38386" s="2" t="str">
        <f t="shared" si="1261"/>
        <v>99999</v>
      </c>
      <c r="B38386" s="2" t="str">
        <f>"50630"</f>
        <v>50630</v>
      </c>
      <c r="C38386" s="1">
        <v>8.7856218768751304E-5</v>
      </c>
      <c r="D38386" s="1">
        <v>9.5608968424758703E-5</v>
      </c>
      <c r="E38386" s="1">
        <v>8.69107991013423E-5</v>
      </c>
      <c r="F38386" s="1">
        <v>8.8342799509697395E-5</v>
      </c>
    </row>
    <row r="38387" spans="1:6" x14ac:dyDescent="0.25">
      <c r="A38387" s="2" t="str">
        <f t="shared" si="1261"/>
        <v>99999</v>
      </c>
      <c r="B38387" s="2" t="str">
        <f>"50616"</f>
        <v>50616</v>
      </c>
      <c r="C38387" s="1">
        <v>5.2648248365274003E-4</v>
      </c>
      <c r="D38387" s="1">
        <v>7.1479085917557702E-4</v>
      </c>
      <c r="E38387" s="1">
        <v>7.0832301267594001E-4</v>
      </c>
      <c r="F38387" s="1">
        <v>5.4298986455397302E-4</v>
      </c>
    </row>
    <row r="38388" spans="1:6" x14ac:dyDescent="0.25">
      <c r="A38388" s="2" t="str">
        <f t="shared" si="1261"/>
        <v>99999</v>
      </c>
      <c r="B38388" s="2" t="str">
        <f>"50465"</f>
        <v>50465</v>
      </c>
      <c r="C38388" s="1">
        <v>0</v>
      </c>
      <c r="D38388" s="1">
        <v>0</v>
      </c>
      <c r="E38388" s="1">
        <v>4.3455399550671099E-6</v>
      </c>
      <c r="F38388" s="1">
        <v>9.9485134582992598E-8</v>
      </c>
    </row>
    <row r="38389" spans="1:6" x14ac:dyDescent="0.25">
      <c r="A38389" s="2" t="str">
        <f t="shared" si="1261"/>
        <v>99999</v>
      </c>
      <c r="B38389" s="2" t="str">
        <f>"50527"</f>
        <v>50527</v>
      </c>
      <c r="C38389" s="1">
        <v>1.1132092316040499E-5</v>
      </c>
      <c r="D38389" s="1">
        <v>0</v>
      </c>
      <c r="E38389" s="1">
        <v>4.3455399550671099E-6</v>
      </c>
      <c r="F38389" s="1">
        <v>1.02469688620482E-5</v>
      </c>
    </row>
    <row r="38390" spans="1:6" x14ac:dyDescent="0.25">
      <c r="A38390" s="2" t="str">
        <f t="shared" si="1261"/>
        <v>99999</v>
      </c>
      <c r="B38390" s="2" t="str">
        <f>"50514"</f>
        <v>50514</v>
      </c>
      <c r="C38390" s="1">
        <v>8.5127764769721699E-5</v>
      </c>
      <c r="D38390" s="1">
        <v>2.4281642774541899E-5</v>
      </c>
      <c r="E38390" s="1">
        <v>6.5183099326006705E-5</v>
      </c>
      <c r="F38390" s="1">
        <v>8.0682444146807004E-5</v>
      </c>
    </row>
    <row r="38391" spans="1:6" x14ac:dyDescent="0.25">
      <c r="A38391" s="2" t="str">
        <f t="shared" si="1261"/>
        <v>99999</v>
      </c>
      <c r="B38391" s="2" t="str">
        <f>"50476"</f>
        <v>50476</v>
      </c>
      <c r="C38391" s="1">
        <v>4.2345606064938499E-5</v>
      </c>
      <c r="D38391" s="1">
        <v>4.8563285549083798E-5</v>
      </c>
      <c r="E38391" s="1">
        <v>8.69107991013423E-6</v>
      </c>
      <c r="F38391" s="1">
        <v>4.1982726794022798E-5</v>
      </c>
    </row>
    <row r="38392" spans="1:6" x14ac:dyDescent="0.25">
      <c r="A38392" s="2" t="str">
        <f t="shared" si="1261"/>
        <v>99999</v>
      </c>
      <c r="B38392" s="2" t="str">
        <f>"50560"</f>
        <v>50560</v>
      </c>
      <c r="C38392" s="1">
        <v>3.3832829587966299E-5</v>
      </c>
      <c r="D38392" s="1">
        <v>2.2764040101133E-5</v>
      </c>
      <c r="E38392" s="1">
        <v>1.7382159820268399E-5</v>
      </c>
      <c r="F38392" s="1">
        <v>3.2730609277804499E-5</v>
      </c>
    </row>
    <row r="38393" spans="1:6" x14ac:dyDescent="0.25">
      <c r="A38393" s="2" t="str">
        <f t="shared" si="1261"/>
        <v>99999</v>
      </c>
      <c r="B38393" s="2" t="str">
        <f>"50601"</f>
        <v>50601</v>
      </c>
      <c r="C38393" s="1">
        <v>1.29656134033883E-4</v>
      </c>
      <c r="D38393" s="1">
        <v>2.21569990317694E-4</v>
      </c>
      <c r="E38393" s="1">
        <v>1.21675118741879E-4</v>
      </c>
      <c r="F38393" s="1">
        <v>1.3549875330203499E-4</v>
      </c>
    </row>
    <row r="38394" spans="1:6" x14ac:dyDescent="0.25">
      <c r="A38394" s="2" t="str">
        <f t="shared" si="1261"/>
        <v>99999</v>
      </c>
      <c r="B38394" s="2" t="str">
        <f>"50590"</f>
        <v>50590</v>
      </c>
      <c r="C38394" s="1">
        <v>5.91528826989605E-5</v>
      </c>
      <c r="D38394" s="1">
        <v>1.5176026734088599E-5</v>
      </c>
      <c r="E38394" s="1">
        <v>2.1727699775335501E-5</v>
      </c>
      <c r="F38394" s="1">
        <v>5.5413219962726798E-5</v>
      </c>
    </row>
    <row r="38395" spans="1:6" x14ac:dyDescent="0.25">
      <c r="A38395" s="2" t="str">
        <f t="shared" si="1261"/>
        <v>99999</v>
      </c>
      <c r="B38395" s="2" t="str">
        <f>"50578"</f>
        <v>50578</v>
      </c>
      <c r="C38395" s="1">
        <v>3.9071461266102997E-5</v>
      </c>
      <c r="D38395" s="1">
        <v>9.1056160404532095E-6</v>
      </c>
      <c r="E38395" s="1">
        <v>3.9109859595604001E-5</v>
      </c>
      <c r="F38395" s="1">
        <v>3.7107955199456203E-5</v>
      </c>
    </row>
    <row r="38396" spans="1:6" x14ac:dyDescent="0.25">
      <c r="A38396" s="2" t="str">
        <f t="shared" si="1261"/>
        <v>99999</v>
      </c>
      <c r="B38396" s="2" t="str">
        <f>"50577"</f>
        <v>50577</v>
      </c>
      <c r="C38396" s="1">
        <v>2.4228671511382299E-5</v>
      </c>
      <c r="D38396" s="1">
        <v>3.0352053468177301E-6</v>
      </c>
      <c r="E38396" s="1">
        <v>4.3455399550671099E-6</v>
      </c>
      <c r="F38396" s="1">
        <v>2.23841552811733E-5</v>
      </c>
    </row>
    <row r="38397" spans="1:6" x14ac:dyDescent="0.25">
      <c r="A38397" s="2" t="str">
        <f t="shared" si="1261"/>
        <v>99999</v>
      </c>
      <c r="B38397" s="2" t="str">
        <f>"50563"</f>
        <v>50563</v>
      </c>
      <c r="C38397" s="1">
        <v>1.48209621227284E-4</v>
      </c>
      <c r="D38397" s="1">
        <v>5.3116093569310399E-5</v>
      </c>
      <c r="E38397" s="1">
        <v>6.9528639281073799E-5</v>
      </c>
      <c r="F38397" s="1">
        <v>1.4017455462743601E-4</v>
      </c>
    </row>
    <row r="38398" spans="1:6" x14ac:dyDescent="0.25">
      <c r="A38398" s="2" t="str">
        <f t="shared" si="1261"/>
        <v>99999</v>
      </c>
      <c r="B38398" s="2" t="str">
        <f>"50455"</f>
        <v>50455</v>
      </c>
      <c r="C38398" s="1">
        <v>2.2809875431886899E-5</v>
      </c>
      <c r="D38398" s="1">
        <v>1.9728834754315301E-5</v>
      </c>
      <c r="E38398" s="1">
        <v>1.3036619865201299E-5</v>
      </c>
      <c r="F38398" s="1">
        <v>2.23841552811733E-5</v>
      </c>
    </row>
    <row r="38399" spans="1:6" x14ac:dyDescent="0.25">
      <c r="A38399" s="2" t="str">
        <f t="shared" si="1261"/>
        <v>99999</v>
      </c>
      <c r="B38399" s="2" t="str">
        <f>"50449"</f>
        <v>50449</v>
      </c>
      <c r="C38399" s="1">
        <v>4.0490257345598397E-5</v>
      </c>
      <c r="D38399" s="1">
        <v>7.5880133670443404E-6</v>
      </c>
      <c r="E38399" s="1">
        <v>2.1727699775335501E-5</v>
      </c>
      <c r="F38399" s="1">
        <v>3.7903836276120103E-5</v>
      </c>
    </row>
    <row r="38400" spans="1:6" x14ac:dyDescent="0.25">
      <c r="A38400" s="2" t="str">
        <f t="shared" si="1261"/>
        <v>99999</v>
      </c>
      <c r="B38400" s="2" t="str">
        <f>"50434"</f>
        <v>50434</v>
      </c>
      <c r="C38400" s="1">
        <v>1.09138159961181E-7</v>
      </c>
      <c r="D38400" s="1">
        <v>0</v>
      </c>
      <c r="E38400" s="1">
        <v>0</v>
      </c>
      <c r="F38400" s="1">
        <v>9.9485134582992598E-8</v>
      </c>
    </row>
    <row r="38401" spans="1:6" x14ac:dyDescent="0.25">
      <c r="A38401" s="2" t="str">
        <f t="shared" si="1261"/>
        <v>99999</v>
      </c>
      <c r="B38401" s="2" t="str">
        <f>"50423"</f>
        <v>50423</v>
      </c>
      <c r="C38401" s="1">
        <v>1.4766393042747801E-4</v>
      </c>
      <c r="D38401" s="1">
        <v>2.3826361972519201E-4</v>
      </c>
      <c r="E38401" s="1">
        <v>1.17329578786812E-4</v>
      </c>
      <c r="F38401" s="1">
        <v>1.5290865185405901E-4</v>
      </c>
    </row>
    <row r="38402" spans="1:6" x14ac:dyDescent="0.25">
      <c r="A38402" s="2" t="str">
        <f t="shared" si="1261"/>
        <v>99999</v>
      </c>
      <c r="B38402" s="2" t="str">
        <f>"50272"</f>
        <v>50272</v>
      </c>
      <c r="C38402" s="1">
        <v>1.06955396761958E-5</v>
      </c>
      <c r="D38402" s="1">
        <v>0</v>
      </c>
      <c r="E38402" s="1">
        <v>4.3455399550671099E-6</v>
      </c>
      <c r="F38402" s="1">
        <v>9.8490283237162701E-6</v>
      </c>
    </row>
    <row r="38403" spans="1:6" x14ac:dyDescent="0.25">
      <c r="A38403" s="2" t="str">
        <f t="shared" si="1261"/>
        <v>99999</v>
      </c>
      <c r="B38403" s="2" t="str">
        <f>"50268"</f>
        <v>50268</v>
      </c>
      <c r="C38403" s="1">
        <v>5.1840625981561303E-5</v>
      </c>
      <c r="D38403" s="1">
        <v>7.5880133670443404E-6</v>
      </c>
      <c r="E38403" s="1">
        <v>3.0418779685469802E-5</v>
      </c>
      <c r="F38403" s="1">
        <v>4.8449260541917403E-5</v>
      </c>
    </row>
    <row r="38404" spans="1:6" x14ac:dyDescent="0.25">
      <c r="A38404" s="2" t="str">
        <f t="shared" si="1261"/>
        <v>99999</v>
      </c>
      <c r="B38404" s="2" t="str">
        <f>"50264"</f>
        <v>50264</v>
      </c>
      <c r="C38404" s="1">
        <v>2.6302296550644701E-5</v>
      </c>
      <c r="D38404" s="1">
        <v>1.5176026734088599E-5</v>
      </c>
      <c r="E38404" s="1">
        <v>1.3036619865201299E-5</v>
      </c>
      <c r="F38404" s="1">
        <v>2.5269224184080101E-5</v>
      </c>
    </row>
    <row r="38405" spans="1:6" x14ac:dyDescent="0.25">
      <c r="A38405" s="2" t="str">
        <f t="shared" si="1261"/>
        <v>99999</v>
      </c>
      <c r="B38405" s="2" t="str">
        <f>"50052"</f>
        <v>50052</v>
      </c>
      <c r="C38405" s="1">
        <v>8.0762238371274393E-6</v>
      </c>
      <c r="D38405" s="1">
        <v>1.21408213872709E-5</v>
      </c>
      <c r="E38405" s="1">
        <v>4.3455399550671099E-6</v>
      </c>
      <c r="F38405" s="1">
        <v>8.2572661703883803E-6</v>
      </c>
    </row>
    <row r="38406" spans="1:6" x14ac:dyDescent="0.25">
      <c r="A38406" s="2" t="str">
        <f t="shared" si="1261"/>
        <v>99999</v>
      </c>
      <c r="B38406" s="2" t="str">
        <f>"50258"</f>
        <v>50258</v>
      </c>
      <c r="C38406" s="1">
        <v>3.9726290225870103E-5</v>
      </c>
      <c r="D38406" s="1">
        <v>3.0352053468177301E-6</v>
      </c>
      <c r="E38406" s="1">
        <v>1.7382159820268399E-5</v>
      </c>
      <c r="F38406" s="1">
        <v>3.68094997957072E-5</v>
      </c>
    </row>
    <row r="38407" spans="1:6" x14ac:dyDescent="0.25">
      <c r="A38407" s="2" t="str">
        <f t="shared" si="1261"/>
        <v>99999</v>
      </c>
      <c r="B38407" s="2" t="str">
        <f>"50257"</f>
        <v>50257</v>
      </c>
      <c r="C38407" s="1">
        <v>3.6015592787189902E-6</v>
      </c>
      <c r="D38407" s="1">
        <v>0</v>
      </c>
      <c r="E38407" s="1">
        <v>0</v>
      </c>
      <c r="F38407" s="1">
        <v>3.2830094412387502E-6</v>
      </c>
    </row>
    <row r="38408" spans="1:6" x14ac:dyDescent="0.25">
      <c r="A38408" s="2" t="str">
        <f t="shared" si="1261"/>
        <v>99999</v>
      </c>
      <c r="B38408" s="2" t="str">
        <f>"50246"</f>
        <v>50246</v>
      </c>
      <c r="C38408" s="1">
        <v>3.85257704662971E-5</v>
      </c>
      <c r="D38408" s="1">
        <v>1.0623218713862E-5</v>
      </c>
      <c r="E38408" s="1">
        <v>2.1727699775335501E-5</v>
      </c>
      <c r="F38408" s="1">
        <v>3.6312074122792303E-5</v>
      </c>
    </row>
    <row r="38409" spans="1:6" x14ac:dyDescent="0.25">
      <c r="A38409" s="2" t="str">
        <f t="shared" si="1261"/>
        <v>99999</v>
      </c>
      <c r="B38409" s="2" t="str">
        <f>"50155"</f>
        <v>50155</v>
      </c>
      <c r="C38409" s="1">
        <v>4.3655263984472602E-7</v>
      </c>
      <c r="D38409" s="1">
        <v>0</v>
      </c>
      <c r="E38409" s="1">
        <v>0</v>
      </c>
      <c r="F38409" s="1">
        <v>3.9794053833197002E-7</v>
      </c>
    </row>
    <row r="38410" spans="1:6" x14ac:dyDescent="0.25">
      <c r="A38410" s="2" t="str">
        <f t="shared" si="1261"/>
        <v>99999</v>
      </c>
      <c r="B38410" s="2" t="str">
        <f>"50206"</f>
        <v>50206</v>
      </c>
      <c r="C38410" s="1">
        <v>3.3723691428005097E-5</v>
      </c>
      <c r="D38410" s="1">
        <v>4.5528080202265997E-6</v>
      </c>
      <c r="E38410" s="1">
        <v>2.60732397304027E-5</v>
      </c>
      <c r="F38410" s="1">
        <v>3.1636272797391603E-5</v>
      </c>
    </row>
    <row r="38411" spans="1:6" x14ac:dyDescent="0.25">
      <c r="A38411" s="2" t="str">
        <f t="shared" si="1261"/>
        <v>99999</v>
      </c>
      <c r="B38411" s="2" t="str">
        <f>"29939"</f>
        <v>29939</v>
      </c>
      <c r="C38411" s="1">
        <v>0</v>
      </c>
      <c r="D38411" s="1">
        <v>1.51760267340886E-6</v>
      </c>
      <c r="E38411" s="1">
        <v>0</v>
      </c>
      <c r="F38411" s="1">
        <v>9.9485134582992598E-8</v>
      </c>
    </row>
    <row r="38412" spans="1:6" x14ac:dyDescent="0.25">
      <c r="A38412" s="2" t="str">
        <f t="shared" si="1261"/>
        <v>99999</v>
      </c>
      <c r="B38412" s="2" t="str">
        <f>"29933"</f>
        <v>29933</v>
      </c>
      <c r="C38412" s="1">
        <v>0</v>
      </c>
      <c r="D38412" s="1">
        <v>1.51760267340886E-6</v>
      </c>
      <c r="E38412" s="1">
        <v>0</v>
      </c>
      <c r="F38412" s="1">
        <v>9.9485134582992598E-8</v>
      </c>
    </row>
    <row r="38413" spans="1:6" x14ac:dyDescent="0.25">
      <c r="A38413" s="2" t="str">
        <f t="shared" si="1261"/>
        <v>99999</v>
      </c>
      <c r="B38413" s="2" t="str">
        <f>"50008"</f>
        <v>50008</v>
      </c>
      <c r="C38413" s="1">
        <v>5.3259422061056602E-5</v>
      </c>
      <c r="D38413" s="1">
        <v>3.0352053468177301E-6</v>
      </c>
      <c r="E38413" s="1">
        <v>2.60732397304027E-5</v>
      </c>
      <c r="F38413" s="1">
        <v>4.9344626753164302E-5</v>
      </c>
    </row>
    <row r="38414" spans="1:6" x14ac:dyDescent="0.25">
      <c r="A38414" s="2" t="str">
        <f t="shared" si="1261"/>
        <v>99999</v>
      </c>
      <c r="B38414" s="2" t="str">
        <f>"50067"</f>
        <v>50067</v>
      </c>
      <c r="C38414" s="1">
        <v>2.1500217512352799E-5</v>
      </c>
      <c r="D38414" s="1">
        <v>1.3658424060679801E-5</v>
      </c>
      <c r="E38414" s="1">
        <v>8.69107991013423E-6</v>
      </c>
      <c r="F38414" s="1">
        <v>2.06929079932624E-5</v>
      </c>
    </row>
    <row r="38415" spans="1:6" x14ac:dyDescent="0.25">
      <c r="A38415" s="2" t="str">
        <f t="shared" si="1261"/>
        <v>99999</v>
      </c>
      <c r="B38415" s="2" t="str">
        <f>"50076"</f>
        <v>50076</v>
      </c>
      <c r="C38415" s="1">
        <v>8.8838462208401902E-5</v>
      </c>
      <c r="D38415" s="1">
        <v>3.0352053468177301E-5</v>
      </c>
      <c r="E38415" s="1">
        <v>4.7800939505738197E-5</v>
      </c>
      <c r="F38415" s="1">
        <v>8.4064938722628696E-5</v>
      </c>
    </row>
    <row r="38416" spans="1:6" x14ac:dyDescent="0.25">
      <c r="A38416" s="2" t="str">
        <f t="shared" si="1261"/>
        <v>99999</v>
      </c>
      <c r="B38416" s="2" t="str">
        <f>"29922"</f>
        <v>29922</v>
      </c>
      <c r="C38416" s="1">
        <v>2.9249026869596701E-5</v>
      </c>
      <c r="D38416" s="1">
        <v>1.3658424060679801E-5</v>
      </c>
      <c r="E38416" s="1">
        <v>4.3455399550671103E-5</v>
      </c>
      <c r="F38416" s="1">
        <v>2.8552233625318801E-5</v>
      </c>
    </row>
    <row r="38417" spans="1:6" x14ac:dyDescent="0.25">
      <c r="A38417" s="2" t="str">
        <f t="shared" si="1261"/>
        <v>99999</v>
      </c>
      <c r="B38417" s="2" t="str">
        <f>"29853"</f>
        <v>29853</v>
      </c>
      <c r="C38417" s="1">
        <v>2.93145097655734E-4</v>
      </c>
      <c r="D38417" s="1">
        <v>3.2021416408927101E-4</v>
      </c>
      <c r="E38417" s="1">
        <v>4.3455399550671103E-5</v>
      </c>
      <c r="F38417" s="1">
        <v>2.8920328623275899E-4</v>
      </c>
    </row>
    <row r="38418" spans="1:6" x14ac:dyDescent="0.25">
      <c r="A38418" s="2" t="str">
        <f t="shared" ref="A38418:A38481" si="1262">"99999"</f>
        <v>99999</v>
      </c>
      <c r="B38418" s="2" t="str">
        <f>"29840"</f>
        <v>29840</v>
      </c>
      <c r="C38418" s="1">
        <v>1.2441750235574699E-5</v>
      </c>
      <c r="D38418" s="1">
        <v>1.21408213872709E-5</v>
      </c>
      <c r="E38418" s="1">
        <v>4.3455399550671099E-6</v>
      </c>
      <c r="F38418" s="1">
        <v>1.2236671553708001E-5</v>
      </c>
    </row>
    <row r="38419" spans="1:6" x14ac:dyDescent="0.25">
      <c r="A38419" s="2" t="str">
        <f t="shared" si="1262"/>
        <v>99999</v>
      </c>
      <c r="B38419" s="2" t="str">
        <f>"29589"</f>
        <v>29589</v>
      </c>
      <c r="C38419" s="1">
        <v>0</v>
      </c>
      <c r="D38419" s="1">
        <v>1.51760267340886E-6</v>
      </c>
      <c r="E38419" s="1">
        <v>0</v>
      </c>
      <c r="F38419" s="1">
        <v>9.9485134582992598E-8</v>
      </c>
    </row>
    <row r="38420" spans="1:6" x14ac:dyDescent="0.25">
      <c r="A38420" s="2" t="str">
        <f t="shared" si="1262"/>
        <v>99999</v>
      </c>
      <c r="B38420" s="2" t="str">
        <f>"29659"</f>
        <v>29659</v>
      </c>
      <c r="C38420" s="1">
        <v>1.09138159961181E-7</v>
      </c>
      <c r="D38420" s="1">
        <v>1.51760267340886E-6</v>
      </c>
      <c r="E38420" s="1">
        <v>8.69107991013423E-6</v>
      </c>
      <c r="F38420" s="1">
        <v>3.9794053833197002E-7</v>
      </c>
    </row>
    <row r="38421" spans="1:6" x14ac:dyDescent="0.25">
      <c r="A38421" s="2" t="str">
        <f t="shared" si="1262"/>
        <v>99999</v>
      </c>
      <c r="B38421" s="2" t="str">
        <f>"29627"</f>
        <v>29627</v>
      </c>
      <c r="C38421" s="1">
        <v>1.4187960794953601E-6</v>
      </c>
      <c r="D38421" s="1">
        <v>0</v>
      </c>
      <c r="E38421" s="1">
        <v>0</v>
      </c>
      <c r="F38421" s="1">
        <v>1.2933067495789E-6</v>
      </c>
    </row>
    <row r="38422" spans="1:6" x14ac:dyDescent="0.25">
      <c r="A38422" s="2" t="str">
        <f t="shared" si="1262"/>
        <v>99999</v>
      </c>
      <c r="B38422" s="2" t="str">
        <f>"29638"</f>
        <v>29638</v>
      </c>
      <c r="C38422" s="1">
        <v>1.23871811555941E-4</v>
      </c>
      <c r="D38422" s="1">
        <v>3.6422464161812797E-5</v>
      </c>
      <c r="E38422" s="1">
        <v>1.7382159820268399E-5</v>
      </c>
      <c r="F38422" s="1">
        <v>1.1570121152002E-4</v>
      </c>
    </row>
    <row r="38423" spans="1:6" x14ac:dyDescent="0.25">
      <c r="A38423" s="2" t="str">
        <f t="shared" si="1262"/>
        <v>99999</v>
      </c>
      <c r="B38423" s="2" t="str">
        <f>"29580"</f>
        <v>29580</v>
      </c>
      <c r="C38423" s="1">
        <v>8.0325685731429702E-5</v>
      </c>
      <c r="D38423" s="1">
        <v>3.3387258814995101E-5</v>
      </c>
      <c r="E38423" s="1">
        <v>0</v>
      </c>
      <c r="F38423" s="1">
        <v>7.5409732013908401E-5</v>
      </c>
    </row>
    <row r="38424" spans="1:6" x14ac:dyDescent="0.25">
      <c r="A38424" s="2" t="str">
        <f t="shared" si="1262"/>
        <v>99999</v>
      </c>
      <c r="B38424" s="2" t="str">
        <f>"29567"</f>
        <v>29567</v>
      </c>
      <c r="C38424" s="1">
        <v>1.87717635133232E-5</v>
      </c>
      <c r="D38424" s="1">
        <v>3.0352053468177301E-6</v>
      </c>
      <c r="E38424" s="1">
        <v>0</v>
      </c>
      <c r="F38424" s="1">
        <v>1.7310413417440701E-5</v>
      </c>
    </row>
    <row r="38425" spans="1:6" x14ac:dyDescent="0.25">
      <c r="A38425" s="2" t="str">
        <f t="shared" si="1262"/>
        <v>99999</v>
      </c>
      <c r="B38425" s="2" t="str">
        <f>"29474"</f>
        <v>29474</v>
      </c>
      <c r="C38425" s="1">
        <v>1.47445654107556E-4</v>
      </c>
      <c r="D38425" s="1">
        <v>4.2492874855448297E-5</v>
      </c>
      <c r="E38425" s="1">
        <v>8.69107991013423E-6</v>
      </c>
      <c r="F38425" s="1">
        <v>1.37388970859112E-4</v>
      </c>
    </row>
    <row r="38426" spans="1:6" x14ac:dyDescent="0.25">
      <c r="A38426" s="2" t="str">
        <f t="shared" si="1262"/>
        <v>99999</v>
      </c>
      <c r="B38426" s="2" t="str">
        <f>"29560"</f>
        <v>29560</v>
      </c>
      <c r="C38426" s="1">
        <v>9.2112607007237296E-5</v>
      </c>
      <c r="D38426" s="1">
        <v>5.15984908959015E-5</v>
      </c>
      <c r="E38426" s="1">
        <v>1.7382159820268399E-5</v>
      </c>
      <c r="F38426" s="1">
        <v>8.7745888702199499E-5</v>
      </c>
    </row>
    <row r="38427" spans="1:6" x14ac:dyDescent="0.25">
      <c r="A38427" s="2" t="str">
        <f t="shared" si="1262"/>
        <v>99999</v>
      </c>
      <c r="B38427" s="2" t="str">
        <f>"29519"</f>
        <v>29519</v>
      </c>
      <c r="C38427" s="1">
        <v>0</v>
      </c>
      <c r="D38427" s="1">
        <v>1.51760267340886E-6</v>
      </c>
      <c r="E38427" s="1">
        <v>0</v>
      </c>
      <c r="F38427" s="1">
        <v>9.9485134582992598E-8</v>
      </c>
    </row>
    <row r="38428" spans="1:6" x14ac:dyDescent="0.25">
      <c r="A38428" s="2" t="str">
        <f t="shared" si="1262"/>
        <v>99999</v>
      </c>
      <c r="B38428" s="2" t="str">
        <f>"29452"</f>
        <v>29452</v>
      </c>
      <c r="C38428" s="1">
        <v>1.5934171354332501E-5</v>
      </c>
      <c r="D38428" s="1">
        <v>3.0352053468177301E-6</v>
      </c>
      <c r="E38428" s="1">
        <v>0</v>
      </c>
      <c r="F38428" s="1">
        <v>1.4723799918282901E-5</v>
      </c>
    </row>
    <row r="38429" spans="1:6" x14ac:dyDescent="0.25">
      <c r="A38429" s="2" t="str">
        <f t="shared" si="1262"/>
        <v>99999</v>
      </c>
      <c r="B38429" s="2" t="str">
        <f>"29440"</f>
        <v>29440</v>
      </c>
      <c r="C38429" s="1">
        <v>9.8224343965063504E-7</v>
      </c>
      <c r="D38429" s="1">
        <v>1.0623218713862E-5</v>
      </c>
      <c r="E38429" s="1">
        <v>0</v>
      </c>
      <c r="F38429" s="1">
        <v>1.5917621533278801E-6</v>
      </c>
    </row>
    <row r="38430" spans="1:6" x14ac:dyDescent="0.25">
      <c r="A38430" s="2" t="str">
        <f t="shared" si="1262"/>
        <v>99999</v>
      </c>
      <c r="B38430" s="2" t="str">
        <f>"29111"</f>
        <v>29111</v>
      </c>
      <c r="C38430" s="1">
        <v>4.1472500785249E-6</v>
      </c>
      <c r="D38430" s="1">
        <v>1.51760267340886E-6</v>
      </c>
      <c r="E38430" s="1">
        <v>0</v>
      </c>
      <c r="F38430" s="1">
        <v>3.87992024873671E-6</v>
      </c>
    </row>
    <row r="38431" spans="1:6" x14ac:dyDescent="0.25">
      <c r="A38431" s="2" t="str">
        <f t="shared" si="1262"/>
        <v>99999</v>
      </c>
      <c r="B38431" s="2" t="str">
        <f>"28607"</f>
        <v>28607</v>
      </c>
      <c r="C38431" s="1">
        <v>5.4569079980590801E-7</v>
      </c>
      <c r="D38431" s="1">
        <v>0</v>
      </c>
      <c r="E38431" s="1">
        <v>0</v>
      </c>
      <c r="F38431" s="1">
        <v>4.9742567291496303E-7</v>
      </c>
    </row>
    <row r="38432" spans="1:6" x14ac:dyDescent="0.25">
      <c r="A38432" s="2" t="str">
        <f t="shared" si="1262"/>
        <v>99999</v>
      </c>
      <c r="B38432" s="2" t="str">
        <f>"28698"</f>
        <v>28698</v>
      </c>
      <c r="C38432" s="1">
        <v>1.23326120756135E-5</v>
      </c>
      <c r="D38432" s="1">
        <v>1.51760267340886E-6</v>
      </c>
      <c r="E38432" s="1">
        <v>0</v>
      </c>
      <c r="F38432" s="1">
        <v>1.13413053424611E-5</v>
      </c>
    </row>
    <row r="38433" spans="1:6" x14ac:dyDescent="0.25">
      <c r="A38433" s="2" t="str">
        <f t="shared" si="1262"/>
        <v>99999</v>
      </c>
      <c r="B38433" s="2" t="str">
        <f>"28662"</f>
        <v>28662</v>
      </c>
      <c r="C38433" s="1">
        <v>0</v>
      </c>
      <c r="D38433" s="1">
        <v>0</v>
      </c>
      <c r="E38433" s="1">
        <v>4.3455399550671099E-6</v>
      </c>
      <c r="F38433" s="1">
        <v>9.9485134582992598E-8</v>
      </c>
    </row>
    <row r="38434" spans="1:6" x14ac:dyDescent="0.25">
      <c r="A38434" s="2" t="str">
        <f t="shared" si="1262"/>
        <v>99999</v>
      </c>
      <c r="B38434" s="2" t="str">
        <f>"28675"</f>
        <v>28675</v>
      </c>
      <c r="C38434" s="1">
        <v>3.5644523043321899E-4</v>
      </c>
      <c r="D38434" s="1">
        <v>4.4769278865561599E-4</v>
      </c>
      <c r="E38434" s="1">
        <v>2.6507793725909402E-4</v>
      </c>
      <c r="F38434" s="1">
        <v>3.60335157459599E-4</v>
      </c>
    </row>
    <row r="38435" spans="1:6" x14ac:dyDescent="0.25">
      <c r="A38435" s="2" t="str">
        <f t="shared" si="1262"/>
        <v>99999</v>
      </c>
      <c r="B38435" s="2" t="str">
        <f>"28580"</f>
        <v>28580</v>
      </c>
      <c r="C38435" s="1">
        <v>5.2058902301483603E-4</v>
      </c>
      <c r="D38435" s="1">
        <v>5.7668901589537E-4</v>
      </c>
      <c r="E38435" s="1">
        <v>1.30366198652013E-4</v>
      </c>
      <c r="F38435" s="1">
        <v>5.15332997139901E-4</v>
      </c>
    </row>
    <row r="38436" spans="1:6" x14ac:dyDescent="0.25">
      <c r="A38436" s="2" t="str">
        <f t="shared" si="1262"/>
        <v>99999</v>
      </c>
      <c r="B38436" s="2" t="str">
        <f>"28448"</f>
        <v>28448</v>
      </c>
      <c r="C38436" s="1">
        <v>6.0353402458533503E-5</v>
      </c>
      <c r="D38436" s="1">
        <v>2.2764040101133E-5</v>
      </c>
      <c r="E38436" s="1">
        <v>0</v>
      </c>
      <c r="F38436" s="1">
        <v>5.6507556443139802E-5</v>
      </c>
    </row>
    <row r="38437" spans="1:6" x14ac:dyDescent="0.25">
      <c r="A38437" s="2" t="str">
        <f t="shared" si="1262"/>
        <v>99999</v>
      </c>
      <c r="B38437" s="2" t="str">
        <f>"28478"</f>
        <v>28478</v>
      </c>
      <c r="C38437" s="1">
        <v>1.65890003140996E-5</v>
      </c>
      <c r="D38437" s="1">
        <v>6.0704106936354696E-6</v>
      </c>
      <c r="E38437" s="1">
        <v>0</v>
      </c>
      <c r="F38437" s="1">
        <v>1.5519680994946799E-5</v>
      </c>
    </row>
    <row r="38438" spans="1:6" x14ac:dyDescent="0.25">
      <c r="A38438" s="2" t="str">
        <f t="shared" si="1262"/>
        <v>99999</v>
      </c>
      <c r="B38438" s="2" t="str">
        <f>"28525"</f>
        <v>28525</v>
      </c>
      <c r="C38438" s="1">
        <v>1.33148555152641E-5</v>
      </c>
      <c r="D38438" s="1">
        <v>1.51760267340886E-6</v>
      </c>
      <c r="E38438" s="1">
        <v>0</v>
      </c>
      <c r="F38438" s="1">
        <v>1.2236671553708001E-5</v>
      </c>
    </row>
    <row r="38439" spans="1:6" x14ac:dyDescent="0.25">
      <c r="A38439" s="2" t="str">
        <f t="shared" si="1262"/>
        <v>99999</v>
      </c>
      <c r="B38439" s="2" t="str">
        <f>"28458"</f>
        <v>28458</v>
      </c>
      <c r="C38439" s="1">
        <v>3.8471201386316501E-4</v>
      </c>
      <c r="D38439" s="1">
        <v>2.4585163309223603E-4</v>
      </c>
      <c r="E38439" s="1">
        <v>1.08638498876677E-4</v>
      </c>
      <c r="F38439" s="1">
        <v>3.6928881957206799E-4</v>
      </c>
    </row>
    <row r="38440" spans="1:6" x14ac:dyDescent="0.25">
      <c r="A38440" s="2" t="str">
        <f t="shared" si="1262"/>
        <v>99999</v>
      </c>
      <c r="B38440" s="2" t="str">
        <f>"28332"</f>
        <v>28332</v>
      </c>
      <c r="C38440" s="1">
        <v>0</v>
      </c>
      <c r="D38440" s="1">
        <v>0</v>
      </c>
      <c r="E38440" s="1">
        <v>4.3455399550671099E-6</v>
      </c>
      <c r="F38440" s="1">
        <v>9.9485134582992598E-8</v>
      </c>
    </row>
    <row r="38441" spans="1:6" x14ac:dyDescent="0.25">
      <c r="A38441" s="2" t="str">
        <f t="shared" si="1262"/>
        <v>99999</v>
      </c>
      <c r="B38441" s="2" t="str">
        <f>"28320"</f>
        <v>28320</v>
      </c>
      <c r="C38441" s="1">
        <v>4.43974034722087E-4</v>
      </c>
      <c r="D38441" s="1">
        <v>1.8362992348247299E-4</v>
      </c>
      <c r="E38441" s="1">
        <v>1.39057278562147E-4</v>
      </c>
      <c r="F38441" s="1">
        <v>4.19926753074811E-4</v>
      </c>
    </row>
    <row r="38442" spans="1:6" x14ac:dyDescent="0.25">
      <c r="A38442" s="2" t="str">
        <f t="shared" si="1262"/>
        <v>99999</v>
      </c>
      <c r="B38442" s="2" t="str">
        <f>"28312"</f>
        <v>28312</v>
      </c>
      <c r="C38442" s="1">
        <v>1.1350368635962901E-5</v>
      </c>
      <c r="D38442" s="1">
        <v>3.0352053468177301E-6</v>
      </c>
      <c r="E38442" s="1">
        <v>0</v>
      </c>
      <c r="F38442" s="1">
        <v>1.05454242657972E-5</v>
      </c>
    </row>
    <row r="38443" spans="1:6" x14ac:dyDescent="0.25">
      <c r="A38443" s="2" t="str">
        <f t="shared" si="1262"/>
        <v>99999</v>
      </c>
      <c r="B38443" s="2" t="str">
        <f>"27875"</f>
        <v>27875</v>
      </c>
      <c r="C38443" s="1">
        <v>3.2741447988354499E-5</v>
      </c>
      <c r="D38443" s="1">
        <v>6.0704106936354696E-6</v>
      </c>
      <c r="E38443" s="1">
        <v>0</v>
      </c>
      <c r="F38443" s="1">
        <v>3.0243480913229702E-5</v>
      </c>
    </row>
    <row r="38444" spans="1:6" x14ac:dyDescent="0.25">
      <c r="A38444" s="2" t="str">
        <f t="shared" si="1262"/>
        <v>99999</v>
      </c>
      <c r="B38444" s="2" t="str">
        <f>"27849"</f>
        <v>27849</v>
      </c>
      <c r="C38444" s="1">
        <v>4.16907771051714E-5</v>
      </c>
      <c r="D38444" s="1">
        <v>2.88344507947685E-5</v>
      </c>
      <c r="E38444" s="1">
        <v>0</v>
      </c>
      <c r="F38444" s="1">
        <v>3.9893538967779998E-5</v>
      </c>
    </row>
    <row r="38445" spans="1:6" x14ac:dyDescent="0.25">
      <c r="A38445" s="2" t="str">
        <f t="shared" si="1262"/>
        <v>99999</v>
      </c>
      <c r="B38445" s="2" t="str">
        <f>"27925"</f>
        <v>27925</v>
      </c>
      <c r="C38445" s="1">
        <v>1.7538502305761901E-4</v>
      </c>
      <c r="D38445" s="1">
        <v>7.7397736343852298E-5</v>
      </c>
      <c r="E38445" s="1">
        <v>5.6492019415872502E-5</v>
      </c>
      <c r="F38445" s="1">
        <v>1.6623965988818001E-4</v>
      </c>
    </row>
    <row r="38446" spans="1:6" x14ac:dyDescent="0.25">
      <c r="A38446" s="2" t="str">
        <f t="shared" si="1262"/>
        <v>99999</v>
      </c>
      <c r="B38446" s="2" t="str">
        <f>"27842"</f>
        <v>27842</v>
      </c>
      <c r="C38446" s="1">
        <v>1.5388480554526601E-5</v>
      </c>
      <c r="D38446" s="1">
        <v>4.5528080202265997E-6</v>
      </c>
      <c r="E38446" s="1">
        <v>0</v>
      </c>
      <c r="F38446" s="1">
        <v>1.43258593799509E-5</v>
      </c>
    </row>
    <row r="38447" spans="1:6" x14ac:dyDescent="0.25">
      <c r="A38447" s="2" t="str">
        <f t="shared" si="1262"/>
        <v>99999</v>
      </c>
      <c r="B38447" s="2" t="str">
        <f>"27840"</f>
        <v>27840</v>
      </c>
      <c r="C38447" s="1">
        <v>4.3655263984472599E-6</v>
      </c>
      <c r="D38447" s="1">
        <v>1.51760267340886E-6</v>
      </c>
      <c r="E38447" s="1">
        <v>4.3455399550671099E-6</v>
      </c>
      <c r="F38447" s="1">
        <v>4.1783756524856902E-6</v>
      </c>
    </row>
    <row r="38448" spans="1:6" x14ac:dyDescent="0.25">
      <c r="A38448" s="2" t="str">
        <f t="shared" si="1262"/>
        <v>99999</v>
      </c>
      <c r="B38448" s="2" t="str">
        <f>"27824"</f>
        <v>27824</v>
      </c>
      <c r="C38448" s="1">
        <v>7.0721527654845696E-5</v>
      </c>
      <c r="D38448" s="1">
        <v>2.7316848121359601E-5</v>
      </c>
      <c r="E38448" s="1">
        <v>4.04135215821241E-4</v>
      </c>
      <c r="F38448" s="1">
        <v>7.5509217148491406E-5</v>
      </c>
    </row>
    <row r="38449" spans="1:6" x14ac:dyDescent="0.25">
      <c r="A38449" s="2" t="str">
        <f t="shared" si="1262"/>
        <v>99999</v>
      </c>
      <c r="B38449" s="2" t="str">
        <f>"27888"</f>
        <v>27888</v>
      </c>
      <c r="C38449" s="1">
        <v>1.08155916521531E-4</v>
      </c>
      <c r="D38449" s="1">
        <v>5.15984908959015E-5</v>
      </c>
      <c r="E38449" s="1">
        <v>3.9109859595604001E-5</v>
      </c>
      <c r="F38449" s="1">
        <v>1.02867629158814E-4</v>
      </c>
    </row>
    <row r="38450" spans="1:6" x14ac:dyDescent="0.25">
      <c r="A38450" s="2" t="str">
        <f t="shared" si="1262"/>
        <v>99999</v>
      </c>
      <c r="B38450" s="2" t="str">
        <f>"27586"</f>
        <v>27586</v>
      </c>
      <c r="C38450" s="1">
        <v>0</v>
      </c>
      <c r="D38450" s="1">
        <v>1.51760267340886E-6</v>
      </c>
      <c r="E38450" s="1">
        <v>0</v>
      </c>
      <c r="F38450" s="1">
        <v>9.9485134582992598E-8</v>
      </c>
    </row>
    <row r="38451" spans="1:6" x14ac:dyDescent="0.25">
      <c r="A38451" s="2" t="str">
        <f t="shared" si="1262"/>
        <v>99999</v>
      </c>
      <c r="B38451" s="2" t="str">
        <f>"27320"</f>
        <v>27320</v>
      </c>
      <c r="C38451" s="1">
        <v>9.7023824205490501E-5</v>
      </c>
      <c r="D38451" s="1">
        <v>3.6422464161812797E-5</v>
      </c>
      <c r="E38451" s="1">
        <v>1.3036619865201299E-5</v>
      </c>
      <c r="F38451" s="1">
        <v>9.1128383278021204E-5</v>
      </c>
    </row>
    <row r="38452" spans="1:6" x14ac:dyDescent="0.25">
      <c r="A38452" s="2" t="str">
        <f t="shared" si="1262"/>
        <v>99999</v>
      </c>
      <c r="B38452" s="2" t="str">
        <f>"27302"</f>
        <v>27302</v>
      </c>
      <c r="C38452" s="1">
        <v>4.6601994303424599E-5</v>
      </c>
      <c r="D38452" s="1">
        <v>2.2764040101133E-5</v>
      </c>
      <c r="E38452" s="1">
        <v>8.69107991013423E-6</v>
      </c>
      <c r="F38452" s="1">
        <v>4.4171399754848697E-5</v>
      </c>
    </row>
    <row r="38453" spans="1:6" x14ac:dyDescent="0.25">
      <c r="A38453" s="2" t="str">
        <f t="shared" si="1262"/>
        <v>99999</v>
      </c>
      <c r="B38453" s="2" t="str">
        <f>"27291"</f>
        <v>27291</v>
      </c>
      <c r="C38453" s="1">
        <v>5.7297533979620399E-5</v>
      </c>
      <c r="D38453" s="1">
        <v>1.0623218713862E-5</v>
      </c>
      <c r="E38453" s="1">
        <v>1.3036619865201299E-5</v>
      </c>
      <c r="F38453" s="1">
        <v>5.3224547001901E-5</v>
      </c>
    </row>
    <row r="38454" spans="1:6" x14ac:dyDescent="0.25">
      <c r="A38454" s="2" t="str">
        <f t="shared" si="1262"/>
        <v>99999</v>
      </c>
      <c r="B38454" s="2" t="str">
        <f>"27242"</f>
        <v>27242</v>
      </c>
      <c r="C38454" s="1">
        <v>0</v>
      </c>
      <c r="D38454" s="1">
        <v>1.51760267340886E-6</v>
      </c>
      <c r="E38454" s="1">
        <v>0</v>
      </c>
      <c r="F38454" s="1">
        <v>9.9485134582992598E-8</v>
      </c>
    </row>
    <row r="38455" spans="1:6" x14ac:dyDescent="0.25">
      <c r="A38455" s="2" t="str">
        <f t="shared" si="1262"/>
        <v>99999</v>
      </c>
      <c r="B38455" s="2" t="str">
        <f>"26845"</f>
        <v>26845</v>
      </c>
      <c r="C38455" s="1">
        <v>2.6629711030528301E-5</v>
      </c>
      <c r="D38455" s="1">
        <v>1.51760267340886E-6</v>
      </c>
      <c r="E38455" s="1">
        <v>4.3455399550671099E-6</v>
      </c>
      <c r="F38455" s="1">
        <v>2.44733431074161E-5</v>
      </c>
    </row>
    <row r="38456" spans="1:6" x14ac:dyDescent="0.25">
      <c r="A38456" s="2" t="str">
        <f t="shared" si="1262"/>
        <v>99999</v>
      </c>
      <c r="B38456" s="2" t="str">
        <f>"26866"</f>
        <v>26866</v>
      </c>
      <c r="C38456" s="1">
        <v>4.59471653436575E-5</v>
      </c>
      <c r="D38456" s="1">
        <v>7.5880133670443404E-6</v>
      </c>
      <c r="E38456" s="1">
        <v>0</v>
      </c>
      <c r="F38456" s="1">
        <v>4.2380667332354799E-5</v>
      </c>
    </row>
    <row r="38457" spans="1:6" x14ac:dyDescent="0.25">
      <c r="A38457" s="2" t="str">
        <f t="shared" si="1262"/>
        <v>99999</v>
      </c>
      <c r="B38457" s="2" t="str">
        <f>"26810"</f>
        <v>26810</v>
      </c>
      <c r="C38457" s="1">
        <v>2.9467303189519E-5</v>
      </c>
      <c r="D38457" s="1">
        <v>1.8211232080906399E-5</v>
      </c>
      <c r="E38457" s="1">
        <v>0</v>
      </c>
      <c r="F38457" s="1">
        <v>2.80548079524039E-5</v>
      </c>
    </row>
    <row r="38458" spans="1:6" x14ac:dyDescent="0.25">
      <c r="A38458" s="2" t="str">
        <f t="shared" si="1262"/>
        <v>99999</v>
      </c>
      <c r="B38458" s="2" t="str">
        <f>"26412"</f>
        <v>26412</v>
      </c>
      <c r="C38458" s="1">
        <v>3.31780006281992E-5</v>
      </c>
      <c r="D38458" s="1">
        <v>1.51760267340886E-6</v>
      </c>
      <c r="E38458" s="1">
        <v>1.3036619865201299E-5</v>
      </c>
      <c r="F38458" s="1">
        <v>3.0641421451561699E-5</v>
      </c>
    </row>
    <row r="38459" spans="1:6" x14ac:dyDescent="0.25">
      <c r="A38459" s="2" t="str">
        <f t="shared" si="1262"/>
        <v>99999</v>
      </c>
      <c r="B38459" s="2" t="str">
        <f>"26726"</f>
        <v>26726</v>
      </c>
      <c r="C38459" s="1">
        <v>1.17869212758076E-5</v>
      </c>
      <c r="D38459" s="1">
        <v>3.0352053468177301E-6</v>
      </c>
      <c r="E38459" s="1">
        <v>0</v>
      </c>
      <c r="F38459" s="1">
        <v>1.09433648041291E-5</v>
      </c>
    </row>
    <row r="38460" spans="1:6" x14ac:dyDescent="0.25">
      <c r="A38460" s="2" t="str">
        <f t="shared" si="1262"/>
        <v>99999</v>
      </c>
      <c r="B38460" s="2" t="str">
        <f>"26675"</f>
        <v>26675</v>
      </c>
      <c r="C38460" s="1">
        <v>0</v>
      </c>
      <c r="D38460" s="1">
        <v>1.51760267340886E-6</v>
      </c>
      <c r="E38460" s="1">
        <v>0</v>
      </c>
      <c r="F38460" s="1">
        <v>9.9485134582992598E-8</v>
      </c>
    </row>
    <row r="38461" spans="1:6" x14ac:dyDescent="0.25">
      <c r="A38461" s="2" t="str">
        <f t="shared" si="1262"/>
        <v>99999</v>
      </c>
      <c r="B38461" s="2" t="str">
        <f>"26651"</f>
        <v>26651</v>
      </c>
      <c r="C38461" s="1">
        <v>5.2975662845157598E-4</v>
      </c>
      <c r="D38461" s="1">
        <v>9.4091365751349898E-4</v>
      </c>
      <c r="E38461" s="1">
        <v>5.4753803433845599E-4</v>
      </c>
      <c r="F38461" s="1">
        <v>5.5711675366475796E-4</v>
      </c>
    </row>
    <row r="38462" spans="1:6" x14ac:dyDescent="0.25">
      <c r="A38462" s="2" t="str">
        <f t="shared" si="1262"/>
        <v>99999</v>
      </c>
      <c r="B38462" s="2" t="str">
        <f>"26562"</f>
        <v>26562</v>
      </c>
      <c r="C38462" s="1">
        <v>2.6520572870567099E-5</v>
      </c>
      <c r="D38462" s="1">
        <v>6.0704106936354696E-6</v>
      </c>
      <c r="E38462" s="1">
        <v>0</v>
      </c>
      <c r="F38462" s="1">
        <v>2.4572828241999101E-5</v>
      </c>
    </row>
    <row r="38463" spans="1:6" x14ac:dyDescent="0.25">
      <c r="A38463" s="2" t="str">
        <f t="shared" si="1262"/>
        <v>99999</v>
      </c>
      <c r="B38463" s="2" t="str">
        <f>"26291"</f>
        <v>26291</v>
      </c>
      <c r="C38463" s="1">
        <v>2.2919013591848101E-5</v>
      </c>
      <c r="D38463" s="1">
        <v>7.1327325650216798E-5</v>
      </c>
      <c r="E38463" s="1">
        <v>1.7382159820268399E-5</v>
      </c>
      <c r="F38463" s="1">
        <v>2.5965620126160999E-5</v>
      </c>
    </row>
    <row r="38464" spans="1:6" x14ac:dyDescent="0.25">
      <c r="A38464" s="2" t="str">
        <f t="shared" si="1262"/>
        <v>99999</v>
      </c>
      <c r="B38464" s="2" t="str">
        <f>"26273"</f>
        <v>26273</v>
      </c>
      <c r="C38464" s="1">
        <v>4.6929408783308102E-6</v>
      </c>
      <c r="D38464" s="1">
        <v>0</v>
      </c>
      <c r="E38464" s="1">
        <v>0</v>
      </c>
      <c r="F38464" s="1">
        <v>4.2778607870686803E-6</v>
      </c>
    </row>
    <row r="38465" spans="1:6" x14ac:dyDescent="0.25">
      <c r="A38465" s="2" t="str">
        <f t="shared" si="1262"/>
        <v>99999</v>
      </c>
      <c r="B38465" s="2" t="str">
        <f>"26283"</f>
        <v>26283</v>
      </c>
      <c r="C38465" s="1">
        <v>2.83759215899072E-5</v>
      </c>
      <c r="D38465" s="1">
        <v>6.0704106936354696E-6</v>
      </c>
      <c r="E38465" s="1">
        <v>0</v>
      </c>
      <c r="F38465" s="1">
        <v>2.6264075529910002E-5</v>
      </c>
    </row>
    <row r="38466" spans="1:6" x14ac:dyDescent="0.25">
      <c r="A38466" s="2" t="str">
        <f t="shared" si="1262"/>
        <v>99999</v>
      </c>
      <c r="B38466" s="2" t="str">
        <f>"26269"</f>
        <v>26269</v>
      </c>
      <c r="C38466" s="1">
        <v>3.8089217826452399E-5</v>
      </c>
      <c r="D38466" s="1">
        <v>1.0623218713862E-5</v>
      </c>
      <c r="E38466" s="1">
        <v>0</v>
      </c>
      <c r="F38466" s="1">
        <v>3.5416707911545303E-5</v>
      </c>
    </row>
    <row r="38467" spans="1:6" x14ac:dyDescent="0.25">
      <c r="A38467" s="2" t="str">
        <f t="shared" si="1262"/>
        <v>99999</v>
      </c>
      <c r="B38467" s="2" t="str">
        <f>"26238"</f>
        <v>26238</v>
      </c>
      <c r="C38467" s="1">
        <v>4.24547442248996E-5</v>
      </c>
      <c r="D38467" s="1">
        <v>1.21408213872709E-5</v>
      </c>
      <c r="E38467" s="1">
        <v>0</v>
      </c>
      <c r="F38467" s="1">
        <v>3.9495598429447998E-5</v>
      </c>
    </row>
    <row r="38468" spans="1:6" x14ac:dyDescent="0.25">
      <c r="A38468" s="2" t="str">
        <f t="shared" si="1262"/>
        <v>99999</v>
      </c>
      <c r="B38468" s="2" t="str">
        <f>"26447"</f>
        <v>26447</v>
      </c>
      <c r="C38468" s="1">
        <v>6.8975317095466796E-5</v>
      </c>
      <c r="D38468" s="1">
        <v>2.5799245447950699E-5</v>
      </c>
      <c r="E38468" s="1">
        <v>1.3036619865201299E-5</v>
      </c>
      <c r="F38468" s="1">
        <v>6.4864307748111196E-5</v>
      </c>
    </row>
    <row r="38469" spans="1:6" x14ac:dyDescent="0.25">
      <c r="A38469" s="2" t="str">
        <f t="shared" si="1262"/>
        <v>99999</v>
      </c>
      <c r="B38469" s="2" t="str">
        <f>"26180"</f>
        <v>26180</v>
      </c>
      <c r="C38469" s="1">
        <v>2.1827631992236301E-7</v>
      </c>
      <c r="D38469" s="1">
        <v>0</v>
      </c>
      <c r="E38469" s="1">
        <v>0</v>
      </c>
      <c r="F38469" s="1">
        <v>1.9897026916598501E-7</v>
      </c>
    </row>
    <row r="38470" spans="1:6" x14ac:dyDescent="0.25">
      <c r="A38470" s="2" t="str">
        <f t="shared" si="1262"/>
        <v>99999</v>
      </c>
      <c r="B38470" s="2" t="str">
        <f>"26184"</f>
        <v>26184</v>
      </c>
      <c r="C38470" s="1">
        <v>1.5388480554526601E-5</v>
      </c>
      <c r="D38470" s="1">
        <v>0</v>
      </c>
      <c r="E38470" s="1">
        <v>0</v>
      </c>
      <c r="F38470" s="1">
        <v>1.4027403976201899E-5</v>
      </c>
    </row>
    <row r="38471" spans="1:6" x14ac:dyDescent="0.25">
      <c r="A38471" s="2" t="str">
        <f t="shared" si="1262"/>
        <v>99999</v>
      </c>
      <c r="B38471" s="2" t="str">
        <f>"26178"</f>
        <v>26178</v>
      </c>
      <c r="C38471" s="1">
        <v>5.0203553582143599E-5</v>
      </c>
      <c r="D38471" s="1">
        <v>1.21408213872709E-5</v>
      </c>
      <c r="E38471" s="1">
        <v>0</v>
      </c>
      <c r="F38471" s="1">
        <v>4.6559042984840499E-5</v>
      </c>
    </row>
    <row r="38472" spans="1:6" x14ac:dyDescent="0.25">
      <c r="A38472" s="2" t="str">
        <f t="shared" si="1262"/>
        <v>99999</v>
      </c>
      <c r="B38472" s="2" t="str">
        <f>"25667"</f>
        <v>25667</v>
      </c>
      <c r="C38472" s="1">
        <v>0</v>
      </c>
      <c r="D38472" s="1">
        <v>1.51760267340886E-6</v>
      </c>
      <c r="E38472" s="1">
        <v>0</v>
      </c>
      <c r="F38472" s="1">
        <v>9.9485134582992598E-8</v>
      </c>
    </row>
    <row r="38473" spans="1:6" x14ac:dyDescent="0.25">
      <c r="A38473" s="2" t="str">
        <f t="shared" si="1262"/>
        <v>99999</v>
      </c>
      <c r="B38473" s="2" t="str">
        <f>"25670"</f>
        <v>25670</v>
      </c>
      <c r="C38473" s="1">
        <v>2.9510958453503501E-4</v>
      </c>
      <c r="D38473" s="1">
        <v>6.2221709609763595E-5</v>
      </c>
      <c r="E38473" s="1">
        <v>2.60732397304027E-5</v>
      </c>
      <c r="F38473" s="1">
        <v>2.73683605237812E-4</v>
      </c>
    </row>
    <row r="38474" spans="1:6" x14ac:dyDescent="0.25">
      <c r="A38474" s="2" t="str">
        <f t="shared" si="1262"/>
        <v>99999</v>
      </c>
      <c r="B38474" s="2" t="str">
        <f>"25661"</f>
        <v>25661</v>
      </c>
      <c r="C38474" s="1">
        <v>4.0621223137551801E-4</v>
      </c>
      <c r="D38474" s="1">
        <v>6.0248826134332099E-4</v>
      </c>
      <c r="E38474" s="1">
        <v>4.9973709483271795E-4</v>
      </c>
      <c r="F38474" s="1">
        <v>4.2122005982439E-4</v>
      </c>
    </row>
    <row r="38475" spans="1:6" x14ac:dyDescent="0.25">
      <c r="A38475" s="2" t="str">
        <f t="shared" si="1262"/>
        <v>99999</v>
      </c>
      <c r="B38475" s="2" t="str">
        <f>"26151"</f>
        <v>26151</v>
      </c>
      <c r="C38475" s="1">
        <v>3.1431790068820301E-5</v>
      </c>
      <c r="D38475" s="1">
        <v>1.66936294074975E-5</v>
      </c>
      <c r="E38475" s="1">
        <v>0</v>
      </c>
      <c r="F38475" s="1">
        <v>2.9746055240314699E-5</v>
      </c>
    </row>
    <row r="38476" spans="1:6" x14ac:dyDescent="0.25">
      <c r="A38476" s="2" t="str">
        <f t="shared" si="1262"/>
        <v>99999</v>
      </c>
      <c r="B38476" s="2" t="str">
        <f>"25848"</f>
        <v>25848</v>
      </c>
      <c r="C38476" s="1">
        <v>2.4010395191459898E-6</v>
      </c>
      <c r="D38476" s="1">
        <v>1.51760267340886E-6</v>
      </c>
      <c r="E38476" s="1">
        <v>0</v>
      </c>
      <c r="F38476" s="1">
        <v>2.2881580954088299E-6</v>
      </c>
    </row>
    <row r="38477" spans="1:6" x14ac:dyDescent="0.25">
      <c r="A38477" s="2" t="str">
        <f t="shared" si="1262"/>
        <v>99999</v>
      </c>
      <c r="B38477" s="2" t="str">
        <f>"25913"</f>
        <v>25913</v>
      </c>
      <c r="C38477" s="1">
        <v>1.85534871934008E-6</v>
      </c>
      <c r="D38477" s="1">
        <v>1.51760267340886E-6</v>
      </c>
      <c r="E38477" s="1">
        <v>0</v>
      </c>
      <c r="F38477" s="1">
        <v>1.79073242249386E-6</v>
      </c>
    </row>
    <row r="38478" spans="1:6" x14ac:dyDescent="0.25">
      <c r="A38478" s="2" t="str">
        <f t="shared" si="1262"/>
        <v>99999</v>
      </c>
      <c r="B38478" s="2" t="str">
        <f>"25252"</f>
        <v>25252</v>
      </c>
      <c r="C38478" s="1">
        <v>1.3533131835186499E-5</v>
      </c>
      <c r="D38478" s="1">
        <v>0</v>
      </c>
      <c r="E38478" s="1">
        <v>0</v>
      </c>
      <c r="F38478" s="1">
        <v>1.2336156688290999E-5</v>
      </c>
    </row>
    <row r="38479" spans="1:6" x14ac:dyDescent="0.25">
      <c r="A38479" s="2" t="str">
        <f t="shared" si="1262"/>
        <v>99999</v>
      </c>
      <c r="B38479" s="2" t="str">
        <f>"25235"</f>
        <v>25235</v>
      </c>
      <c r="C38479" s="1">
        <v>4.1581638945210197E-5</v>
      </c>
      <c r="D38479" s="1">
        <v>9.1056160404532095E-6</v>
      </c>
      <c r="E38479" s="1">
        <v>0</v>
      </c>
      <c r="F38479" s="1">
        <v>3.8500747083618101E-5</v>
      </c>
    </row>
    <row r="38480" spans="1:6" x14ac:dyDescent="0.25">
      <c r="A38480" s="2" t="str">
        <f t="shared" si="1262"/>
        <v>99999</v>
      </c>
      <c r="B38480" s="2" t="str">
        <f>"25234"</f>
        <v>25234</v>
      </c>
      <c r="C38480" s="1">
        <v>4.4528369264162099E-5</v>
      </c>
      <c r="D38480" s="1">
        <v>9.1056160404532095E-6</v>
      </c>
      <c r="E38480" s="1">
        <v>4.3455399550671099E-6</v>
      </c>
      <c r="F38480" s="1">
        <v>4.1286330851941903E-5</v>
      </c>
    </row>
    <row r="38481" spans="1:6" x14ac:dyDescent="0.25">
      <c r="A38481" s="2" t="str">
        <f t="shared" si="1262"/>
        <v>99999</v>
      </c>
      <c r="B38481" s="2" t="str">
        <f>"25266"</f>
        <v>25266</v>
      </c>
      <c r="C38481" s="1">
        <v>4.5619750863773899E-5</v>
      </c>
      <c r="D38481" s="1">
        <v>2.5799245447950699E-5</v>
      </c>
      <c r="E38481" s="1">
        <v>0</v>
      </c>
      <c r="F38481" s="1">
        <v>4.3276033543601697E-5</v>
      </c>
    </row>
    <row r="38482" spans="1:6" x14ac:dyDescent="0.25">
      <c r="A38482" s="2" t="str">
        <f t="shared" ref="A38482:A38545" si="1263">"99999"</f>
        <v>99999</v>
      </c>
      <c r="B38482" s="2" t="str">
        <f>"24962"</f>
        <v>24962</v>
      </c>
      <c r="C38482" s="1">
        <v>1.0804677836156901E-5</v>
      </c>
      <c r="D38482" s="1">
        <v>3.0352053468177301E-6</v>
      </c>
      <c r="E38482" s="1">
        <v>0</v>
      </c>
      <c r="F38482" s="1">
        <v>1.0047998592882199E-5</v>
      </c>
    </row>
    <row r="38483" spans="1:6" x14ac:dyDescent="0.25">
      <c r="A38483" s="2" t="str">
        <f t="shared" si="1263"/>
        <v>99999</v>
      </c>
      <c r="B38483" s="2" t="str">
        <f>"24984"</f>
        <v>24984</v>
      </c>
      <c r="C38483" s="1">
        <v>2.2919013591848101E-5</v>
      </c>
      <c r="D38483" s="1">
        <v>1.51760267340886E-6</v>
      </c>
      <c r="E38483" s="1">
        <v>4.3455399550671099E-6</v>
      </c>
      <c r="F38483" s="1">
        <v>2.1090848531594401E-5</v>
      </c>
    </row>
    <row r="38484" spans="1:6" x14ac:dyDescent="0.25">
      <c r="A38484" s="2" t="str">
        <f t="shared" si="1263"/>
        <v>99999</v>
      </c>
      <c r="B38484" s="2" t="str">
        <f>"25286"</f>
        <v>25286</v>
      </c>
      <c r="C38484" s="1">
        <v>8.6219146369333506E-5</v>
      </c>
      <c r="D38484" s="1">
        <v>1.8211232080906399E-5</v>
      </c>
      <c r="E38484" s="1">
        <v>4.3455399550671099E-6</v>
      </c>
      <c r="F38484" s="1">
        <v>7.9886563070143002E-5</v>
      </c>
    </row>
    <row r="38485" spans="1:6" x14ac:dyDescent="0.25">
      <c r="A38485" s="2" t="str">
        <f t="shared" si="1263"/>
        <v>99999</v>
      </c>
      <c r="B38485" s="2" t="str">
        <f>"25270"</f>
        <v>25270</v>
      </c>
      <c r="C38485" s="1">
        <v>5.4241665500707301E-5</v>
      </c>
      <c r="D38485" s="1">
        <v>1.3658424060679801E-5</v>
      </c>
      <c r="E38485" s="1">
        <v>4.3455399550671099E-6</v>
      </c>
      <c r="F38485" s="1">
        <v>5.0438963233577197E-5</v>
      </c>
    </row>
    <row r="38486" spans="1:6" x14ac:dyDescent="0.25">
      <c r="A38486" s="2" t="str">
        <f t="shared" si="1263"/>
        <v>99999</v>
      </c>
      <c r="B38486" s="2" t="str">
        <f>"25267"</f>
        <v>25267</v>
      </c>
      <c r="C38486" s="1">
        <v>4.6929408783308097E-5</v>
      </c>
      <c r="D38486" s="1">
        <v>2.2764040101133E-5</v>
      </c>
      <c r="E38486" s="1">
        <v>0</v>
      </c>
      <c r="F38486" s="1">
        <v>4.4270884889431703E-5</v>
      </c>
    </row>
    <row r="38487" spans="1:6" x14ac:dyDescent="0.25">
      <c r="A38487" s="2" t="str">
        <f t="shared" si="1263"/>
        <v>99999</v>
      </c>
      <c r="B38487" s="2" t="str">
        <f>"24851"</f>
        <v>24851</v>
      </c>
      <c r="C38487" s="1">
        <v>1.09138159961181E-7</v>
      </c>
      <c r="D38487" s="1">
        <v>1.51760267340886E-6</v>
      </c>
      <c r="E38487" s="1">
        <v>0</v>
      </c>
      <c r="F38487" s="1">
        <v>1.9897026916598501E-7</v>
      </c>
    </row>
    <row r="38488" spans="1:6" x14ac:dyDescent="0.25">
      <c r="A38488" s="2" t="str">
        <f t="shared" si="1263"/>
        <v>99999</v>
      </c>
      <c r="B38488" s="2" t="str">
        <f>"24887"</f>
        <v>24887</v>
      </c>
      <c r="C38488" s="1">
        <v>2.1827631992236301E-7</v>
      </c>
      <c r="D38488" s="1">
        <v>1.51760267340886E-6</v>
      </c>
      <c r="E38488" s="1">
        <v>0</v>
      </c>
      <c r="F38488" s="1">
        <v>2.9845540374897701E-7</v>
      </c>
    </row>
    <row r="38489" spans="1:6" x14ac:dyDescent="0.25">
      <c r="A38489" s="2" t="str">
        <f t="shared" si="1263"/>
        <v>99999</v>
      </c>
      <c r="B38489" s="2" t="str">
        <f>"24884"</f>
        <v>24884</v>
      </c>
      <c r="C38489" s="1">
        <v>8.7310527968945299E-6</v>
      </c>
      <c r="D38489" s="1">
        <v>1.51760267340886E-6</v>
      </c>
      <c r="E38489" s="1">
        <v>4.3455399550671099E-6</v>
      </c>
      <c r="F38489" s="1">
        <v>8.1577810358053902E-6</v>
      </c>
    </row>
    <row r="38490" spans="1:6" x14ac:dyDescent="0.25">
      <c r="A38490" s="2" t="str">
        <f t="shared" si="1263"/>
        <v>99999</v>
      </c>
      <c r="B38490" s="2" t="str">
        <f>"24826"</f>
        <v>24826</v>
      </c>
      <c r="C38490" s="1">
        <v>0</v>
      </c>
      <c r="D38490" s="1">
        <v>1.51760267340886E-6</v>
      </c>
      <c r="E38490" s="1">
        <v>0</v>
      </c>
      <c r="F38490" s="1">
        <v>9.9485134582992598E-8</v>
      </c>
    </row>
    <row r="38491" spans="1:6" x14ac:dyDescent="0.25">
      <c r="A38491" s="2" t="str">
        <f t="shared" si="1263"/>
        <v>99999</v>
      </c>
      <c r="B38491" s="2" t="str">
        <f>"24943"</f>
        <v>24943</v>
      </c>
      <c r="C38491" s="1">
        <v>6.0025987978649897E-6</v>
      </c>
      <c r="D38491" s="1">
        <v>0</v>
      </c>
      <c r="E38491" s="1">
        <v>0</v>
      </c>
      <c r="F38491" s="1">
        <v>5.4716824020645896E-6</v>
      </c>
    </row>
    <row r="38492" spans="1:6" x14ac:dyDescent="0.25">
      <c r="A38492" s="2" t="str">
        <f t="shared" si="1263"/>
        <v>99999</v>
      </c>
      <c r="B38492" s="2" t="str">
        <f>"24927"</f>
        <v>24927</v>
      </c>
      <c r="C38492" s="1">
        <v>4.1254224465326597E-5</v>
      </c>
      <c r="D38492" s="1">
        <v>4.5528080202265997E-6</v>
      </c>
      <c r="E38492" s="1">
        <v>0</v>
      </c>
      <c r="F38492" s="1">
        <v>3.7903836276120103E-5</v>
      </c>
    </row>
    <row r="38493" spans="1:6" x14ac:dyDescent="0.25">
      <c r="A38493" s="2" t="str">
        <f t="shared" si="1263"/>
        <v>99999</v>
      </c>
      <c r="B38493" s="2" t="str">
        <f>"24916"</f>
        <v>24916</v>
      </c>
      <c r="C38493" s="1">
        <v>3.71069743868017E-5</v>
      </c>
      <c r="D38493" s="1">
        <v>2.4281642774541899E-5</v>
      </c>
      <c r="E38493" s="1">
        <v>1.7382159820268399E-5</v>
      </c>
      <c r="F38493" s="1">
        <v>3.5814648449877303E-5</v>
      </c>
    </row>
    <row r="38494" spans="1:6" x14ac:dyDescent="0.25">
      <c r="A38494" s="2" t="str">
        <f t="shared" si="1263"/>
        <v>99999</v>
      </c>
      <c r="B38494" s="2" t="str">
        <f>"24609"</f>
        <v>24609</v>
      </c>
      <c r="C38494" s="1">
        <v>7.8579475172050803E-5</v>
      </c>
      <c r="D38494" s="1">
        <v>2.1246437427724101E-5</v>
      </c>
      <c r="E38494" s="1">
        <v>8.69107991013423E-6</v>
      </c>
      <c r="F38494" s="1">
        <v>7.3221059053082502E-5</v>
      </c>
    </row>
    <row r="38495" spans="1:6" x14ac:dyDescent="0.25">
      <c r="A38495" s="2" t="str">
        <f t="shared" si="1263"/>
        <v>99999</v>
      </c>
      <c r="B38495" s="2" t="str">
        <f>"24476"</f>
        <v>24476</v>
      </c>
      <c r="C38495" s="1">
        <v>2.1827631992236301E-7</v>
      </c>
      <c r="D38495" s="1">
        <v>1.51760267340886E-6</v>
      </c>
      <c r="E38495" s="1">
        <v>0</v>
      </c>
      <c r="F38495" s="1">
        <v>2.9845540374897701E-7</v>
      </c>
    </row>
    <row r="38496" spans="1:6" x14ac:dyDescent="0.25">
      <c r="A38496" s="2" t="str">
        <f t="shared" si="1263"/>
        <v>99999</v>
      </c>
      <c r="B38496" s="2" t="str">
        <f>"24422"</f>
        <v>24422</v>
      </c>
      <c r="C38496" s="1">
        <v>3.6004678971193798E-4</v>
      </c>
      <c r="D38496" s="1">
        <v>2.6558046784655199E-4</v>
      </c>
      <c r="E38496" s="1">
        <v>2.4335023748375801E-4</v>
      </c>
      <c r="F38496" s="1">
        <v>3.5118252507796398E-4</v>
      </c>
    </row>
    <row r="38497" spans="1:6" x14ac:dyDescent="0.25">
      <c r="A38497" s="2" t="str">
        <f t="shared" si="1263"/>
        <v>99999</v>
      </c>
      <c r="B38497" s="2" t="str">
        <f>"24416"</f>
        <v>24416</v>
      </c>
      <c r="C38497" s="1">
        <v>4.8708360790675399E-4</v>
      </c>
      <c r="D38497" s="1">
        <v>6.5408675223922199E-4</v>
      </c>
      <c r="E38497" s="1">
        <v>3.2156995667496598E-4</v>
      </c>
      <c r="F38497" s="1">
        <v>4.9424214860830696E-4</v>
      </c>
    </row>
    <row r="38498" spans="1:6" x14ac:dyDescent="0.25">
      <c r="A38498" s="2" t="str">
        <f t="shared" si="1263"/>
        <v>99999</v>
      </c>
      <c r="B38498" s="2" t="str">
        <f>"24221"</f>
        <v>24221</v>
      </c>
      <c r="C38498" s="1">
        <v>2.6847987350450699E-5</v>
      </c>
      <c r="D38498" s="1">
        <v>4.5528080202265997E-6</v>
      </c>
      <c r="E38498" s="1">
        <v>8.69107991013423E-6</v>
      </c>
      <c r="F38498" s="1">
        <v>2.4970768780331099E-5</v>
      </c>
    </row>
    <row r="38499" spans="1:6" x14ac:dyDescent="0.25">
      <c r="A38499" s="2" t="str">
        <f t="shared" si="1263"/>
        <v>99999</v>
      </c>
      <c r="B38499" s="2" t="str">
        <f>"24165"</f>
        <v>24165</v>
      </c>
      <c r="C38499" s="1">
        <v>3.6015592787189899E-5</v>
      </c>
      <c r="D38499" s="1">
        <v>1.8211232080906399E-5</v>
      </c>
      <c r="E38499" s="1">
        <v>8.69107991013423E-6</v>
      </c>
      <c r="F38499" s="1">
        <v>3.4222886296549402E-5</v>
      </c>
    </row>
    <row r="38500" spans="1:6" x14ac:dyDescent="0.25">
      <c r="A38500" s="2" t="str">
        <f t="shared" si="1263"/>
        <v>99999</v>
      </c>
      <c r="B38500" s="2" t="str">
        <f>"24375"</f>
        <v>24375</v>
      </c>
      <c r="C38500" s="1">
        <v>9.4950199166228097E-5</v>
      </c>
      <c r="D38500" s="1">
        <v>1.0623218713862E-5</v>
      </c>
      <c r="E38500" s="1">
        <v>4.3455399550671099E-6</v>
      </c>
      <c r="F38500" s="1">
        <v>8.7347948163867505E-5</v>
      </c>
    </row>
    <row r="38501" spans="1:6" x14ac:dyDescent="0.25">
      <c r="A38501" s="2" t="str">
        <f t="shared" si="1263"/>
        <v>99999</v>
      </c>
      <c r="B38501" s="2" t="str">
        <f>"24351"</f>
        <v>24351</v>
      </c>
      <c r="C38501" s="1">
        <v>2.9685579509441402E-5</v>
      </c>
      <c r="D38501" s="1">
        <v>6.0704106936354696E-6</v>
      </c>
      <c r="E38501" s="1">
        <v>4.3455399550671099E-6</v>
      </c>
      <c r="F38501" s="1">
        <v>2.7557382279488901E-5</v>
      </c>
    </row>
    <row r="38502" spans="1:6" x14ac:dyDescent="0.25">
      <c r="A38502" s="2" t="str">
        <f t="shared" si="1263"/>
        <v>99999</v>
      </c>
      <c r="B38502" s="2" t="str">
        <f>"24312"</f>
        <v>24312</v>
      </c>
      <c r="C38502" s="1">
        <v>1.19069732517649E-4</v>
      </c>
      <c r="D38502" s="1">
        <v>5.15984908959015E-5</v>
      </c>
      <c r="E38502" s="1">
        <v>4.3455399550671099E-6</v>
      </c>
      <c r="F38502" s="1">
        <v>1.1202026154044899E-4</v>
      </c>
    </row>
    <row r="38503" spans="1:6" x14ac:dyDescent="0.25">
      <c r="A38503" s="2" t="str">
        <f t="shared" si="1263"/>
        <v>99999</v>
      </c>
      <c r="B38503" s="2" t="str">
        <f>"24340"</f>
        <v>24340</v>
      </c>
      <c r="C38503" s="1">
        <v>5.4569079980590801E-7</v>
      </c>
      <c r="D38503" s="1">
        <v>0</v>
      </c>
      <c r="E38503" s="1">
        <v>0</v>
      </c>
      <c r="F38503" s="1">
        <v>4.9742567291496303E-7</v>
      </c>
    </row>
    <row r="38504" spans="1:6" x14ac:dyDescent="0.25">
      <c r="A38504" s="2" t="str">
        <f t="shared" si="1263"/>
        <v>99999</v>
      </c>
      <c r="B38504" s="2" t="str">
        <f>"24333"</f>
        <v>24333</v>
      </c>
      <c r="C38504" s="1">
        <v>1.0972750602497199E-3</v>
      </c>
      <c r="D38504" s="1">
        <v>1.4781450039002299E-3</v>
      </c>
      <c r="E38504" s="1">
        <v>8.2130705150768501E-4</v>
      </c>
      <c r="F38504" s="1">
        <v>1.1159247546174199E-3</v>
      </c>
    </row>
    <row r="38505" spans="1:6" x14ac:dyDescent="0.25">
      <c r="A38505" s="2" t="str">
        <f t="shared" si="1263"/>
        <v>99999</v>
      </c>
      <c r="B38505" s="2" t="str">
        <f>"24325"</f>
        <v>24325</v>
      </c>
      <c r="C38505" s="1">
        <v>6.9302731575350397E-5</v>
      </c>
      <c r="D38505" s="1">
        <v>7.5880133670443404E-6</v>
      </c>
      <c r="E38505" s="1">
        <v>1.3036619865201299E-5</v>
      </c>
      <c r="F38505" s="1">
        <v>6.3968941536864202E-5</v>
      </c>
    </row>
    <row r="38506" spans="1:6" x14ac:dyDescent="0.25">
      <c r="A38506" s="2" t="str">
        <f t="shared" si="1263"/>
        <v>99999</v>
      </c>
      <c r="B38506" s="2" t="str">
        <f>"24323"</f>
        <v>24323</v>
      </c>
      <c r="C38506" s="1">
        <v>3.6124730947151102E-5</v>
      </c>
      <c r="D38506" s="1">
        <v>1.0623218713862E-5</v>
      </c>
      <c r="E38506" s="1">
        <v>4.3455399550671099E-6</v>
      </c>
      <c r="F38506" s="1">
        <v>3.3725460623634497E-5</v>
      </c>
    </row>
    <row r="38507" spans="1:6" x14ac:dyDescent="0.25">
      <c r="A38507" s="2" t="str">
        <f t="shared" si="1263"/>
        <v>99999</v>
      </c>
      <c r="B38507" s="2" t="str">
        <f>"24265"</f>
        <v>24265</v>
      </c>
      <c r="C38507" s="1">
        <v>3.5906454627228697E-5</v>
      </c>
      <c r="D38507" s="1">
        <v>6.0704106936354696E-6</v>
      </c>
      <c r="E38507" s="1">
        <v>0</v>
      </c>
      <c r="F38507" s="1">
        <v>3.3128549816136499E-5</v>
      </c>
    </row>
    <row r="38508" spans="1:6" x14ac:dyDescent="0.25">
      <c r="A38508" s="2" t="str">
        <f t="shared" si="1263"/>
        <v>99999</v>
      </c>
      <c r="B38508" s="2" t="str">
        <f>"24243"</f>
        <v>24243</v>
      </c>
      <c r="C38508" s="1">
        <v>8.6000870049411196E-5</v>
      </c>
      <c r="D38508" s="1">
        <v>1.5176026734088599E-5</v>
      </c>
      <c r="E38508" s="1">
        <v>3.47643196405369E-5</v>
      </c>
      <c r="F38508" s="1">
        <v>8.0185018473892005E-5</v>
      </c>
    </row>
    <row r="38509" spans="1:6" x14ac:dyDescent="0.25">
      <c r="A38509" s="2" t="str">
        <f t="shared" si="1263"/>
        <v>99999</v>
      </c>
      <c r="B38509" s="2" t="str">
        <f>"24237"</f>
        <v>24237</v>
      </c>
      <c r="C38509" s="1">
        <v>4.9876139102259999E-5</v>
      </c>
      <c r="D38509" s="1">
        <v>1.0623218713862E-5</v>
      </c>
      <c r="E38509" s="1">
        <v>0</v>
      </c>
      <c r="F38509" s="1">
        <v>4.6161102446508498E-5</v>
      </c>
    </row>
    <row r="38510" spans="1:6" x14ac:dyDescent="0.25">
      <c r="A38510" s="2" t="str">
        <f t="shared" si="1263"/>
        <v>99999</v>
      </c>
      <c r="B38510" s="2" t="str">
        <f>"23966"</f>
        <v>23966</v>
      </c>
      <c r="C38510" s="1">
        <v>1.15140758759046E-4</v>
      </c>
      <c r="D38510" s="1">
        <v>3.6422464161812797E-5</v>
      </c>
      <c r="E38510" s="1">
        <v>1.3036619865201299E-5</v>
      </c>
      <c r="F38510" s="1">
        <v>1.07642915618798E-4</v>
      </c>
    </row>
    <row r="38511" spans="1:6" x14ac:dyDescent="0.25">
      <c r="A38511" s="2" t="str">
        <f t="shared" si="1263"/>
        <v>99999</v>
      </c>
      <c r="B38511" s="2" t="str">
        <f>"23937"</f>
        <v>23937</v>
      </c>
      <c r="C38511" s="1">
        <v>9.5932442605878694E-5</v>
      </c>
      <c r="D38511" s="1">
        <v>6.0704106936354703E-5</v>
      </c>
      <c r="E38511" s="1">
        <v>1.7382159820268399E-5</v>
      </c>
      <c r="F38511" s="1">
        <v>9.18247792201022E-5</v>
      </c>
    </row>
    <row r="38512" spans="1:6" x14ac:dyDescent="0.25">
      <c r="A38512" s="2" t="str">
        <f t="shared" si="1263"/>
        <v>99999</v>
      </c>
      <c r="B38512" s="2" t="str">
        <f>"23927"</f>
        <v>23927</v>
      </c>
      <c r="C38512" s="1">
        <v>2.9554613717488001E-4</v>
      </c>
      <c r="D38512" s="1">
        <v>2.7620368656041397E-4</v>
      </c>
      <c r="E38512" s="1">
        <v>5.6492019415872502E-5</v>
      </c>
      <c r="F38512" s="1">
        <v>2.8880534569442702E-4</v>
      </c>
    </row>
    <row r="38513" spans="1:6" x14ac:dyDescent="0.25">
      <c r="A38513" s="2" t="str">
        <f t="shared" si="1263"/>
        <v>99999</v>
      </c>
      <c r="B38513" s="2" t="str">
        <f>"23922"</f>
        <v>23922</v>
      </c>
      <c r="C38513" s="1">
        <v>1.09138159961181E-4</v>
      </c>
      <c r="D38513" s="1">
        <v>5.0080888222492601E-5</v>
      </c>
      <c r="E38513" s="1">
        <v>2.1727699775335501E-5</v>
      </c>
      <c r="F38513" s="1">
        <v>1.0326556969714601E-4</v>
      </c>
    </row>
    <row r="38514" spans="1:6" x14ac:dyDescent="0.25">
      <c r="A38514" s="2" t="str">
        <f t="shared" si="1263"/>
        <v>99999</v>
      </c>
      <c r="B38514" s="2" t="str">
        <f>"23899"</f>
        <v>23899</v>
      </c>
      <c r="C38514" s="1">
        <v>0</v>
      </c>
      <c r="D38514" s="1">
        <v>0</v>
      </c>
      <c r="E38514" s="1">
        <v>4.3455399550671099E-6</v>
      </c>
      <c r="F38514" s="1">
        <v>9.9485134582992598E-8</v>
      </c>
    </row>
    <row r="38515" spans="1:6" x14ac:dyDescent="0.25">
      <c r="A38515" s="2" t="str">
        <f t="shared" si="1263"/>
        <v>99999</v>
      </c>
      <c r="B38515" s="2" t="str">
        <f>"23887"</f>
        <v>23887</v>
      </c>
      <c r="C38515" s="1">
        <v>3.7216112546762902E-5</v>
      </c>
      <c r="D38515" s="1">
        <v>7.5880133670443404E-6</v>
      </c>
      <c r="E38515" s="1">
        <v>4.3455399550671099E-6</v>
      </c>
      <c r="F38515" s="1">
        <v>3.4521341700298397E-5</v>
      </c>
    </row>
    <row r="38516" spans="1:6" x14ac:dyDescent="0.25">
      <c r="A38516" s="2" t="str">
        <f t="shared" si="1263"/>
        <v>99999</v>
      </c>
      <c r="B38516" s="2" t="str">
        <f>"23876"</f>
        <v>23876</v>
      </c>
      <c r="C38516" s="1">
        <v>2.64114347106059E-5</v>
      </c>
      <c r="D38516" s="1">
        <v>7.5880133670443404E-6</v>
      </c>
      <c r="E38516" s="1">
        <v>4.3455399550671099E-6</v>
      </c>
      <c r="F38516" s="1">
        <v>2.46723133765821E-5</v>
      </c>
    </row>
    <row r="38517" spans="1:6" x14ac:dyDescent="0.25">
      <c r="A38517" s="2" t="str">
        <f t="shared" si="1263"/>
        <v>99999</v>
      </c>
      <c r="B38517" s="2" t="str">
        <f>"23341"</f>
        <v>23341</v>
      </c>
      <c r="C38517" s="1">
        <v>0</v>
      </c>
      <c r="D38517" s="1">
        <v>1.51760267340886E-6</v>
      </c>
      <c r="E38517" s="1">
        <v>0</v>
      </c>
      <c r="F38517" s="1">
        <v>9.9485134582992598E-8</v>
      </c>
    </row>
    <row r="38518" spans="1:6" x14ac:dyDescent="0.25">
      <c r="A38518" s="2" t="str">
        <f t="shared" si="1263"/>
        <v>99999</v>
      </c>
      <c r="B38518" s="2" t="str">
        <f>"23358"</f>
        <v>23358</v>
      </c>
      <c r="C38518" s="1">
        <v>5.4569079980590803E-6</v>
      </c>
      <c r="D38518" s="1">
        <v>1.51760267340886E-6</v>
      </c>
      <c r="E38518" s="1">
        <v>0</v>
      </c>
      <c r="F38518" s="1">
        <v>5.0737418637326201E-6</v>
      </c>
    </row>
    <row r="38519" spans="1:6" x14ac:dyDescent="0.25">
      <c r="A38519" s="2" t="str">
        <f t="shared" si="1263"/>
        <v>99999</v>
      </c>
      <c r="B38519" s="2" t="str">
        <f>"23416"</f>
        <v>23416</v>
      </c>
      <c r="C38519" s="1">
        <v>1.7789520073672599E-5</v>
      </c>
      <c r="D38519" s="1">
        <v>5.7668901589537E-5</v>
      </c>
      <c r="E38519" s="1">
        <v>0</v>
      </c>
      <c r="F38519" s="1">
        <v>1.9996512051181498E-5</v>
      </c>
    </row>
    <row r="38520" spans="1:6" x14ac:dyDescent="0.25">
      <c r="A38520" s="2" t="str">
        <f t="shared" si="1263"/>
        <v>99999</v>
      </c>
      <c r="B38520" s="2" t="str">
        <f>"23337"</f>
        <v>23337</v>
      </c>
      <c r="C38520" s="1">
        <v>3.3287138788160402E-5</v>
      </c>
      <c r="D38520" s="1">
        <v>4.2492874855448297E-5</v>
      </c>
      <c r="E38520" s="1">
        <v>2.60732397304027E-5</v>
      </c>
      <c r="F38520" s="1">
        <v>3.3725460623634497E-5</v>
      </c>
    </row>
    <row r="38521" spans="1:6" x14ac:dyDescent="0.25">
      <c r="A38521" s="2" t="str">
        <f t="shared" si="1263"/>
        <v>99999</v>
      </c>
      <c r="B38521" s="2" t="str">
        <f>"23170"</f>
        <v>23170</v>
      </c>
      <c r="C38521" s="1">
        <v>3.1650066388742701E-6</v>
      </c>
      <c r="D38521" s="1">
        <v>7.5880133670443404E-6</v>
      </c>
      <c r="E38521" s="1">
        <v>4.3455399550671099E-6</v>
      </c>
      <c r="F38521" s="1">
        <v>3.48197971040474E-6</v>
      </c>
    </row>
    <row r="38522" spans="1:6" x14ac:dyDescent="0.25">
      <c r="A38522" s="2" t="str">
        <f t="shared" si="1263"/>
        <v>99999</v>
      </c>
      <c r="B38522" s="2" t="str">
        <f>"23175"</f>
        <v>23175</v>
      </c>
      <c r="C38522" s="1">
        <v>1.0062538348420899E-4</v>
      </c>
      <c r="D38522" s="1">
        <v>1.9728834754315301E-5</v>
      </c>
      <c r="E38522" s="1">
        <v>9.5601879011476503E-5</v>
      </c>
      <c r="F38522" s="1">
        <v>9.5207273795923906E-5</v>
      </c>
    </row>
    <row r="38523" spans="1:6" x14ac:dyDescent="0.25">
      <c r="A38523" s="2" t="str">
        <f t="shared" si="1263"/>
        <v>99999</v>
      </c>
      <c r="B38523" s="2" t="str">
        <f>"22810"</f>
        <v>22810</v>
      </c>
      <c r="C38523" s="1">
        <v>1.28783028754194E-5</v>
      </c>
      <c r="D38523" s="1">
        <v>2.1246437427724101E-5</v>
      </c>
      <c r="E38523" s="1">
        <v>1.3036619865201299E-5</v>
      </c>
      <c r="F38523" s="1">
        <v>1.3430493168704E-5</v>
      </c>
    </row>
    <row r="38524" spans="1:6" x14ac:dyDescent="0.25">
      <c r="A38524" s="2" t="str">
        <f t="shared" si="1263"/>
        <v>99999</v>
      </c>
      <c r="B38524" s="2" t="str">
        <f>"23004"</f>
        <v>23004</v>
      </c>
      <c r="C38524" s="1">
        <v>4.8893895662609401E-5</v>
      </c>
      <c r="D38524" s="1">
        <v>1.5176026734088599E-5</v>
      </c>
      <c r="E38524" s="1">
        <v>4.3455399550671099E-6</v>
      </c>
      <c r="F38524" s="1">
        <v>4.5663676773593601E-5</v>
      </c>
    </row>
    <row r="38525" spans="1:6" x14ac:dyDescent="0.25">
      <c r="A38525" s="2" t="str">
        <f t="shared" si="1263"/>
        <v>99999</v>
      </c>
      <c r="B38525" s="2" t="str">
        <f>"23023"</f>
        <v>23023</v>
      </c>
      <c r="C38525" s="1">
        <v>6.5482895976708995E-7</v>
      </c>
      <c r="D38525" s="1">
        <v>0</v>
      </c>
      <c r="E38525" s="1">
        <v>0</v>
      </c>
      <c r="F38525" s="1">
        <v>5.9691080749795498E-7</v>
      </c>
    </row>
    <row r="38526" spans="1:6" x14ac:dyDescent="0.25">
      <c r="A38526" s="2" t="str">
        <f t="shared" si="1263"/>
        <v>99999</v>
      </c>
      <c r="B38526" s="2" t="str">
        <f>"23040"</f>
        <v>23040</v>
      </c>
      <c r="C38526" s="1">
        <v>2.3519273471634601E-4</v>
      </c>
      <c r="D38526" s="1">
        <v>1.30513829913162E-4</v>
      </c>
      <c r="E38526" s="1">
        <v>1.3036619865201299E-5</v>
      </c>
      <c r="F38526" s="1">
        <v>2.23244642004235E-4</v>
      </c>
    </row>
    <row r="38527" spans="1:6" x14ac:dyDescent="0.25">
      <c r="A38527" s="2" t="str">
        <f t="shared" si="1263"/>
        <v>99999</v>
      </c>
      <c r="B38527" s="2" t="str">
        <f>"23065"</f>
        <v>23065</v>
      </c>
      <c r="C38527" s="1">
        <v>3.53607638274228E-5</v>
      </c>
      <c r="D38527" s="1">
        <v>1.21408213872709E-5</v>
      </c>
      <c r="E38527" s="1">
        <v>4.3455399550671099E-6</v>
      </c>
      <c r="F38527" s="1">
        <v>3.3128549816136499E-5</v>
      </c>
    </row>
    <row r="38528" spans="1:6" x14ac:dyDescent="0.25">
      <c r="A38528" s="2" t="str">
        <f t="shared" si="1263"/>
        <v>99999</v>
      </c>
      <c r="B38528" s="2" t="str">
        <f>"22743"</f>
        <v>22743</v>
      </c>
      <c r="C38528" s="1">
        <v>1.09138159961181E-7</v>
      </c>
      <c r="D38528" s="1">
        <v>0</v>
      </c>
      <c r="E38528" s="1">
        <v>0</v>
      </c>
      <c r="F38528" s="1">
        <v>9.9485134582992598E-8</v>
      </c>
    </row>
    <row r="38529" spans="1:6" x14ac:dyDescent="0.25">
      <c r="A38529" s="2" t="str">
        <f t="shared" si="1263"/>
        <v>99999</v>
      </c>
      <c r="B38529" s="2" t="str">
        <f>"22947"</f>
        <v>22947</v>
      </c>
      <c r="C38529" s="1">
        <v>1.27691647154582E-5</v>
      </c>
      <c r="D38529" s="1">
        <v>0</v>
      </c>
      <c r="E38529" s="1">
        <v>0</v>
      </c>
      <c r="F38529" s="1">
        <v>1.1639760746210099E-5</v>
      </c>
    </row>
    <row r="38530" spans="1:6" x14ac:dyDescent="0.25">
      <c r="A38530" s="2" t="str">
        <f t="shared" si="1263"/>
        <v>99999</v>
      </c>
      <c r="B38530" s="2" t="str">
        <f>"22654"</f>
        <v>22654</v>
      </c>
      <c r="C38530" s="1">
        <v>1.44062371148759E-5</v>
      </c>
      <c r="D38530" s="1">
        <v>3.0352053468177301E-6</v>
      </c>
      <c r="E38530" s="1">
        <v>0</v>
      </c>
      <c r="F38530" s="1">
        <v>1.3331008034121E-5</v>
      </c>
    </row>
    <row r="38531" spans="1:6" x14ac:dyDescent="0.25">
      <c r="A38531" s="2" t="str">
        <f t="shared" si="1263"/>
        <v>99999</v>
      </c>
      <c r="B38531" s="2" t="str">
        <f>"22664"</f>
        <v>22664</v>
      </c>
      <c r="C38531" s="1">
        <v>4.5412388359847701E-4</v>
      </c>
      <c r="D38531" s="1">
        <v>7.6790695274488695E-4</v>
      </c>
      <c r="E38531" s="1">
        <v>8.2130705150768501E-4</v>
      </c>
      <c r="F38531" s="1">
        <v>4.83099813535012E-4</v>
      </c>
    </row>
    <row r="38532" spans="1:6" x14ac:dyDescent="0.25">
      <c r="A38532" s="2" t="str">
        <f t="shared" si="1263"/>
        <v>99999</v>
      </c>
      <c r="B38532" s="2" t="str">
        <f>"22641"</f>
        <v>22641</v>
      </c>
      <c r="C38532" s="1">
        <v>1.4078822634992399E-5</v>
      </c>
      <c r="D38532" s="1">
        <v>4.5528080202265997E-6</v>
      </c>
      <c r="E38532" s="1">
        <v>4.3455399550671099E-6</v>
      </c>
      <c r="F38532" s="1">
        <v>1.3231522899537999E-5</v>
      </c>
    </row>
    <row r="38533" spans="1:6" x14ac:dyDescent="0.25">
      <c r="A38533" s="2" t="str">
        <f t="shared" si="1263"/>
        <v>99999</v>
      </c>
      <c r="B38533" s="2" t="str">
        <f>"22501"</f>
        <v>22501</v>
      </c>
      <c r="C38533" s="1">
        <v>0</v>
      </c>
      <c r="D38533" s="1">
        <v>0</v>
      </c>
      <c r="E38533" s="1">
        <v>4.3455399550671099E-6</v>
      </c>
      <c r="F38533" s="1">
        <v>9.9485134582992598E-8</v>
      </c>
    </row>
    <row r="38534" spans="1:6" x14ac:dyDescent="0.25">
      <c r="A38534" s="2" t="str">
        <f t="shared" si="1263"/>
        <v>99999</v>
      </c>
      <c r="B38534" s="2" t="str">
        <f>"22509"</f>
        <v>22509</v>
      </c>
      <c r="C38534" s="1">
        <v>4.1472500785249E-6</v>
      </c>
      <c r="D38534" s="1">
        <v>3.0352053468177301E-6</v>
      </c>
      <c r="E38534" s="1">
        <v>0</v>
      </c>
      <c r="F38534" s="1">
        <v>3.9794053833197E-6</v>
      </c>
    </row>
    <row r="38535" spans="1:6" x14ac:dyDescent="0.25">
      <c r="A38535" s="2" t="str">
        <f t="shared" si="1263"/>
        <v>99999</v>
      </c>
      <c r="B38535" s="2" t="str">
        <f>"22524"</f>
        <v>22524</v>
      </c>
      <c r="C38535" s="1">
        <v>0</v>
      </c>
      <c r="D38535" s="1">
        <v>0</v>
      </c>
      <c r="E38535" s="1">
        <v>8.69107991013423E-6</v>
      </c>
      <c r="F38535" s="1">
        <v>1.9897026916598501E-7</v>
      </c>
    </row>
    <row r="38536" spans="1:6" x14ac:dyDescent="0.25">
      <c r="A38536" s="2" t="str">
        <f t="shared" si="1263"/>
        <v>99999</v>
      </c>
      <c r="B38536" s="2" t="str">
        <f>"22523"</f>
        <v>22523</v>
      </c>
      <c r="C38536" s="1">
        <v>0</v>
      </c>
      <c r="D38536" s="1">
        <v>0</v>
      </c>
      <c r="E38536" s="1">
        <v>4.3455399550671099E-6</v>
      </c>
      <c r="F38536" s="1">
        <v>9.9485134582992598E-8</v>
      </c>
    </row>
    <row r="38537" spans="1:6" x14ac:dyDescent="0.25">
      <c r="A38537" s="2" t="str">
        <f t="shared" si="1263"/>
        <v>99999</v>
      </c>
      <c r="B38537" s="2" t="str">
        <f>"22551"</f>
        <v>22551</v>
      </c>
      <c r="C38537" s="1">
        <v>2.7284539990295402E-6</v>
      </c>
      <c r="D38537" s="1">
        <v>0</v>
      </c>
      <c r="E38537" s="1">
        <v>0</v>
      </c>
      <c r="F38537" s="1">
        <v>2.48712836457481E-6</v>
      </c>
    </row>
    <row r="38538" spans="1:6" x14ac:dyDescent="0.25">
      <c r="A38538" s="2" t="str">
        <f t="shared" si="1263"/>
        <v>99999</v>
      </c>
      <c r="B38538" s="2" t="str">
        <f>"22558"</f>
        <v>22558</v>
      </c>
      <c r="C38538" s="1">
        <v>0</v>
      </c>
      <c r="D38538" s="1">
        <v>1.51760267340886E-6</v>
      </c>
      <c r="E38538" s="1">
        <v>4.3455399550671099E-6</v>
      </c>
      <c r="F38538" s="1">
        <v>1.9897026916598501E-7</v>
      </c>
    </row>
    <row r="38539" spans="1:6" x14ac:dyDescent="0.25">
      <c r="A38539" s="2" t="str">
        <f t="shared" si="1263"/>
        <v>99999</v>
      </c>
      <c r="B38539" s="2" t="str">
        <f>"22443"</f>
        <v>22443</v>
      </c>
      <c r="C38539" s="1">
        <v>5.6719101731826096E-4</v>
      </c>
      <c r="D38539" s="1">
        <v>3.8547107904585203E-4</v>
      </c>
      <c r="E38539" s="1">
        <v>1.9554929797801999E-4</v>
      </c>
      <c r="F38539" s="1">
        <v>5.4677029966812704E-4</v>
      </c>
    </row>
    <row r="38540" spans="1:6" x14ac:dyDescent="0.25">
      <c r="A38540" s="2" t="str">
        <f t="shared" si="1263"/>
        <v>99999</v>
      </c>
      <c r="B38540" s="2" t="str">
        <f>"22485"</f>
        <v>22485</v>
      </c>
      <c r="C38540" s="1">
        <v>1.1070974946462201E-3</v>
      </c>
      <c r="D38540" s="1">
        <v>9.4091365751349898E-4</v>
      </c>
      <c r="E38540" s="1">
        <v>8.6910799101342295E-4</v>
      </c>
      <c r="F38540" s="1">
        <v>1.0907550155679301E-3</v>
      </c>
    </row>
    <row r="38541" spans="1:6" x14ac:dyDescent="0.25">
      <c r="A38541" s="2" t="str">
        <f t="shared" si="1263"/>
        <v>99999</v>
      </c>
      <c r="B38541" s="2" t="str">
        <f>"21610"</f>
        <v>21610</v>
      </c>
      <c r="C38541" s="1">
        <v>1.9426592473090299E-5</v>
      </c>
      <c r="D38541" s="1">
        <v>4.5528080202265997E-6</v>
      </c>
      <c r="E38541" s="1">
        <v>3.47643196405369E-5</v>
      </c>
      <c r="F38541" s="1">
        <v>1.8802690436185601E-5</v>
      </c>
    </row>
    <row r="38542" spans="1:6" x14ac:dyDescent="0.25">
      <c r="A38542" s="2" t="str">
        <f t="shared" si="1263"/>
        <v>99999</v>
      </c>
      <c r="B38542" s="2" t="str">
        <f>"21609"</f>
        <v>21609</v>
      </c>
      <c r="C38542" s="1">
        <v>0</v>
      </c>
      <c r="D38542" s="1">
        <v>1.51760267340886E-6</v>
      </c>
      <c r="E38542" s="1">
        <v>0</v>
      </c>
      <c r="F38542" s="1">
        <v>9.9485134582992598E-8</v>
      </c>
    </row>
    <row r="38543" spans="1:6" x14ac:dyDescent="0.25">
      <c r="A38543" s="2" t="str">
        <f t="shared" si="1263"/>
        <v>99999</v>
      </c>
      <c r="B38543" s="2" t="str">
        <f>"49879"</f>
        <v>49879</v>
      </c>
      <c r="C38543" s="1">
        <v>2.1827631992236301E-7</v>
      </c>
      <c r="D38543" s="1">
        <v>1.51760267340886E-6</v>
      </c>
      <c r="E38543" s="1">
        <v>0</v>
      </c>
      <c r="F38543" s="1">
        <v>2.9845540374897701E-7</v>
      </c>
    </row>
    <row r="38544" spans="1:6" x14ac:dyDescent="0.25">
      <c r="A38544" s="2" t="str">
        <f t="shared" si="1263"/>
        <v>99999</v>
      </c>
      <c r="B38544" s="2" t="str">
        <f>"49840"</f>
        <v>49840</v>
      </c>
      <c r="C38544" s="1">
        <v>5.6533566859892097E-5</v>
      </c>
      <c r="D38544" s="1">
        <v>1.3658424060679801E-5</v>
      </c>
      <c r="E38544" s="1">
        <v>4.3455399550671099E-6</v>
      </c>
      <c r="F38544" s="1">
        <v>5.2528151059820098E-5</v>
      </c>
    </row>
    <row r="38545" spans="1:6" x14ac:dyDescent="0.25">
      <c r="A38545" s="2" t="str">
        <f t="shared" si="1263"/>
        <v>99999</v>
      </c>
      <c r="B38545" s="2" t="str">
        <f>"49799"</f>
        <v>49799</v>
      </c>
      <c r="C38545" s="1">
        <v>1.73093121698434E-4</v>
      </c>
      <c r="D38545" s="1">
        <v>5.4633696242719298E-5</v>
      </c>
      <c r="E38545" s="1">
        <v>6.0837559370939603E-5</v>
      </c>
      <c r="F38545" s="1">
        <v>1.62757680177775E-4</v>
      </c>
    </row>
    <row r="38546" spans="1:6" x14ac:dyDescent="0.25">
      <c r="A38546" s="2" t="str">
        <f t="shared" ref="A38546:A38609" si="1264">"99999"</f>
        <v>99999</v>
      </c>
      <c r="B38546" s="2" t="str">
        <f>"49964"</f>
        <v>49964</v>
      </c>
      <c r="C38546" s="1">
        <v>0</v>
      </c>
      <c r="D38546" s="1">
        <v>0</v>
      </c>
      <c r="E38546" s="1">
        <v>4.3455399550671099E-6</v>
      </c>
      <c r="F38546" s="1">
        <v>9.9485134582992598E-8</v>
      </c>
    </row>
    <row r="38547" spans="1:6" x14ac:dyDescent="0.25">
      <c r="A38547" s="2" t="str">
        <f t="shared" si="1264"/>
        <v>99999</v>
      </c>
      <c r="B38547" s="2" t="str">
        <f>"49965"</f>
        <v>49965</v>
      </c>
      <c r="C38547" s="1">
        <v>4.9112171982531701E-6</v>
      </c>
      <c r="D38547" s="1">
        <v>0</v>
      </c>
      <c r="E38547" s="1">
        <v>0</v>
      </c>
      <c r="F38547" s="1">
        <v>4.4768310562346604E-6</v>
      </c>
    </row>
    <row r="38548" spans="1:6" x14ac:dyDescent="0.25">
      <c r="A38548" s="2" t="str">
        <f t="shared" si="1264"/>
        <v>99999</v>
      </c>
      <c r="B38548" s="2" t="str">
        <f>"49968"</f>
        <v>49968</v>
      </c>
      <c r="C38548" s="1">
        <v>1.4177046978957499E-4</v>
      </c>
      <c r="D38548" s="1">
        <v>1.198906111993E-4</v>
      </c>
      <c r="E38548" s="1">
        <v>1.30366198652013E-4</v>
      </c>
      <c r="F38548" s="1">
        <v>1.4007506949285299E-4</v>
      </c>
    </row>
    <row r="38549" spans="1:6" x14ac:dyDescent="0.25">
      <c r="A38549" s="2" t="str">
        <f t="shared" si="1264"/>
        <v>99999</v>
      </c>
      <c r="B38549" s="2" t="str">
        <f>"49953"</f>
        <v>49953</v>
      </c>
      <c r="C38549" s="1">
        <v>2.00268523528768E-4</v>
      </c>
      <c r="D38549" s="1">
        <v>3.1110854804881801E-4</v>
      </c>
      <c r="E38549" s="1">
        <v>1.5209389842734899E-4</v>
      </c>
      <c r="F38549" s="1">
        <v>2.0643165425970899E-4</v>
      </c>
    </row>
    <row r="38550" spans="1:6" x14ac:dyDescent="0.25">
      <c r="A38550" s="2" t="str">
        <f t="shared" si="1264"/>
        <v>99999</v>
      </c>
      <c r="B38550" s="2" t="str">
        <f>"49761"</f>
        <v>49761</v>
      </c>
      <c r="C38550" s="1">
        <v>1.09138159961181E-7</v>
      </c>
      <c r="D38550" s="1">
        <v>3.0352053468177301E-6</v>
      </c>
      <c r="E38550" s="1">
        <v>0</v>
      </c>
      <c r="F38550" s="1">
        <v>2.9845540374897701E-7</v>
      </c>
    </row>
    <row r="38551" spans="1:6" x14ac:dyDescent="0.25">
      <c r="A38551" s="2" t="str">
        <f t="shared" si="1264"/>
        <v>99999</v>
      </c>
      <c r="B38551" s="2" t="str">
        <f>"49775"</f>
        <v>49775</v>
      </c>
      <c r="C38551" s="1">
        <v>6.9630146055233902E-5</v>
      </c>
      <c r="D38551" s="1">
        <v>1.51760267340886E-6</v>
      </c>
      <c r="E38551" s="1">
        <v>0</v>
      </c>
      <c r="F38551" s="1">
        <v>6.3571000998532195E-5</v>
      </c>
    </row>
    <row r="38552" spans="1:6" x14ac:dyDescent="0.25">
      <c r="A38552" s="2" t="str">
        <f t="shared" si="1264"/>
        <v>99999</v>
      </c>
      <c r="B38552" s="2" t="str">
        <f>"49947"</f>
        <v>49947</v>
      </c>
      <c r="C38552" s="1">
        <v>4.5619750863773899E-5</v>
      </c>
      <c r="D38552" s="1">
        <v>1.0623218713862E-5</v>
      </c>
      <c r="E38552" s="1">
        <v>1.3036619865201299E-5</v>
      </c>
      <c r="F38552" s="1">
        <v>4.2579637601520803E-5</v>
      </c>
    </row>
    <row r="38553" spans="1:6" x14ac:dyDescent="0.25">
      <c r="A38553" s="2" t="str">
        <f t="shared" si="1264"/>
        <v>99999</v>
      </c>
      <c r="B38553" s="2" t="str">
        <f>"49938"</f>
        <v>49938</v>
      </c>
      <c r="C38553" s="1">
        <v>5.3041145741134302E-4</v>
      </c>
      <c r="D38553" s="1">
        <v>7.2693168056284804E-4</v>
      </c>
      <c r="E38553" s="1">
        <v>6.6052207317020099E-4</v>
      </c>
      <c r="F38553" s="1">
        <v>5.4627287399521202E-4</v>
      </c>
    </row>
    <row r="38554" spans="1:6" x14ac:dyDescent="0.25">
      <c r="A38554" s="2" t="str">
        <f t="shared" si="1264"/>
        <v>99999</v>
      </c>
      <c r="B38554" s="2" t="str">
        <f>"49920"</f>
        <v>49920</v>
      </c>
      <c r="C38554" s="1">
        <v>2.9903855829363702E-4</v>
      </c>
      <c r="D38554" s="1">
        <v>3.0503813735518201E-4</v>
      </c>
      <c r="E38554" s="1">
        <v>1.6947605824761699E-4</v>
      </c>
      <c r="F38554" s="1">
        <v>2.9646570105731798E-4</v>
      </c>
    </row>
    <row r="38555" spans="1:6" x14ac:dyDescent="0.25">
      <c r="A38555" s="2" t="str">
        <f t="shared" si="1264"/>
        <v>99999</v>
      </c>
      <c r="B38555" s="2" t="str">
        <f>"49722"</f>
        <v>49722</v>
      </c>
      <c r="C38555" s="1">
        <v>4.3655263984472602E-7</v>
      </c>
      <c r="D38555" s="1">
        <v>3.0352053468177301E-6</v>
      </c>
      <c r="E38555" s="1">
        <v>0</v>
      </c>
      <c r="F38555" s="1">
        <v>5.9691080749795498E-7</v>
      </c>
    </row>
    <row r="38556" spans="1:6" x14ac:dyDescent="0.25">
      <c r="A38556" s="2" t="str">
        <f t="shared" si="1264"/>
        <v>99999</v>
      </c>
      <c r="B38556" s="2" t="str">
        <f>"49307"</f>
        <v>49307</v>
      </c>
      <c r="C38556" s="1">
        <v>2.5538329430916501E-5</v>
      </c>
      <c r="D38556" s="1">
        <v>3.0352053468177301E-6</v>
      </c>
      <c r="E38556" s="1">
        <v>0</v>
      </c>
      <c r="F38556" s="1">
        <v>2.3478491761586199E-5</v>
      </c>
    </row>
    <row r="38557" spans="1:6" x14ac:dyDescent="0.25">
      <c r="A38557" s="2" t="str">
        <f t="shared" si="1264"/>
        <v>99999</v>
      </c>
      <c r="B38557" s="2" t="str">
        <f>"49425"</f>
        <v>49425</v>
      </c>
      <c r="C38557" s="1">
        <v>4.1254224465326597E-5</v>
      </c>
      <c r="D38557" s="1">
        <v>7.5880133670443404E-6</v>
      </c>
      <c r="E38557" s="1">
        <v>0</v>
      </c>
      <c r="F38557" s="1">
        <v>3.81028065452861E-5</v>
      </c>
    </row>
    <row r="38558" spans="1:6" x14ac:dyDescent="0.25">
      <c r="A38558" s="2" t="str">
        <f t="shared" si="1264"/>
        <v>99999</v>
      </c>
      <c r="B38558" s="2" t="str">
        <f>"49421"</f>
        <v>49421</v>
      </c>
      <c r="C38558" s="1">
        <v>3.18792565246611E-4</v>
      </c>
      <c r="D38558" s="1">
        <v>1.09267392485438E-4</v>
      </c>
      <c r="E38558" s="1">
        <v>7.8219719191208097E-5</v>
      </c>
      <c r="F38558" s="1">
        <v>2.9954974022939002E-4</v>
      </c>
    </row>
    <row r="38559" spans="1:6" x14ac:dyDescent="0.25">
      <c r="A38559" s="2" t="str">
        <f t="shared" si="1264"/>
        <v>99999</v>
      </c>
      <c r="B38559" s="2" t="str">
        <f>"49339"</f>
        <v>49339</v>
      </c>
      <c r="C38559" s="1">
        <v>1.0913815996118101E-6</v>
      </c>
      <c r="D38559" s="1">
        <v>1.51760267340886E-6</v>
      </c>
      <c r="E38559" s="1">
        <v>0</v>
      </c>
      <c r="F38559" s="1">
        <v>1.09433648041291E-6</v>
      </c>
    </row>
    <row r="38560" spans="1:6" x14ac:dyDescent="0.25">
      <c r="A38560" s="2" t="str">
        <f t="shared" si="1264"/>
        <v>99999</v>
      </c>
      <c r="B38560" s="2" t="str">
        <f>"49333"</f>
        <v>49333</v>
      </c>
      <c r="C38560" s="1">
        <v>5.5671375396198802E-4</v>
      </c>
      <c r="D38560" s="1">
        <v>3.0503813735518201E-4</v>
      </c>
      <c r="E38560" s="1">
        <v>2.8246009707936202E-4</v>
      </c>
      <c r="F38560" s="1">
        <v>5.3393671730692105E-4</v>
      </c>
    </row>
    <row r="38561" spans="1:6" x14ac:dyDescent="0.25">
      <c r="A38561" s="2" t="str">
        <f t="shared" si="1264"/>
        <v>99999</v>
      </c>
      <c r="B38561" s="2" t="str">
        <f>"49035"</f>
        <v>49035</v>
      </c>
      <c r="C38561" s="1">
        <v>2.5101776791071799E-6</v>
      </c>
      <c r="D38561" s="1">
        <v>4.5528080202265997E-6</v>
      </c>
      <c r="E38561" s="1">
        <v>0</v>
      </c>
      <c r="F38561" s="1">
        <v>2.5866134991578E-6</v>
      </c>
    </row>
    <row r="38562" spans="1:6" x14ac:dyDescent="0.25">
      <c r="A38562" s="2" t="str">
        <f t="shared" si="1264"/>
        <v>99999</v>
      </c>
      <c r="B38562" s="2" t="str">
        <f>"49026"</f>
        <v>49026</v>
      </c>
      <c r="C38562" s="1">
        <v>1.2256215363640701E-4</v>
      </c>
      <c r="D38562" s="1">
        <v>8.9538557731123203E-5</v>
      </c>
      <c r="E38562" s="1">
        <v>8.2565259146275205E-5</v>
      </c>
      <c r="F38562" s="1">
        <v>1.19481646634174E-4</v>
      </c>
    </row>
    <row r="38563" spans="1:6" x14ac:dyDescent="0.25">
      <c r="A38563" s="2" t="str">
        <f t="shared" si="1264"/>
        <v>99999</v>
      </c>
      <c r="B38563" s="2" t="str">
        <f>"49073"</f>
        <v>49073</v>
      </c>
      <c r="C38563" s="1">
        <v>2.23405813440539E-4</v>
      </c>
      <c r="D38563" s="1">
        <v>3.0352053468177301E-5</v>
      </c>
      <c r="E38563" s="1">
        <v>1.0429295892161E-4</v>
      </c>
      <c r="F38563" s="1">
        <v>2.08023416413037E-4</v>
      </c>
    </row>
    <row r="38564" spans="1:6" x14ac:dyDescent="0.25">
      <c r="A38564" s="2" t="str">
        <f t="shared" si="1264"/>
        <v>99999</v>
      </c>
      <c r="B38564" s="2" t="str">
        <f>"49063"</f>
        <v>49063</v>
      </c>
      <c r="C38564" s="1">
        <v>0</v>
      </c>
      <c r="D38564" s="1">
        <v>1.51760267340886E-6</v>
      </c>
      <c r="E38564" s="1">
        <v>0</v>
      </c>
      <c r="F38564" s="1">
        <v>9.9485134582992598E-8</v>
      </c>
    </row>
    <row r="38565" spans="1:6" x14ac:dyDescent="0.25">
      <c r="A38565" s="2" t="str">
        <f t="shared" si="1264"/>
        <v>99999</v>
      </c>
      <c r="B38565" s="2" t="str">
        <f>"49067"</f>
        <v>49067</v>
      </c>
      <c r="C38565" s="1">
        <v>2.4228671511382299E-5</v>
      </c>
      <c r="D38565" s="1">
        <v>3.0352053468177301E-6</v>
      </c>
      <c r="E38565" s="1">
        <v>8.69107991013423E-6</v>
      </c>
      <c r="F38565" s="1">
        <v>2.2483640415756299E-5</v>
      </c>
    </row>
    <row r="38566" spans="1:6" x14ac:dyDescent="0.25">
      <c r="A38566" s="2" t="str">
        <f t="shared" si="1264"/>
        <v>99999</v>
      </c>
      <c r="B38566" s="2" t="str">
        <f>"49056"</f>
        <v>49056</v>
      </c>
      <c r="C38566" s="1">
        <v>1.6130620042262601E-4</v>
      </c>
      <c r="D38566" s="1">
        <v>3.6422464161812797E-5</v>
      </c>
      <c r="E38566" s="1">
        <v>1.7382159820268399E-5</v>
      </c>
      <c r="F38566" s="1">
        <v>1.4982461268198599E-4</v>
      </c>
    </row>
    <row r="38567" spans="1:6" x14ac:dyDescent="0.25">
      <c r="A38567" s="2" t="str">
        <f t="shared" si="1264"/>
        <v>99999</v>
      </c>
      <c r="B38567" s="2" t="str">
        <f>"49064"</f>
        <v>49064</v>
      </c>
      <c r="C38567" s="1">
        <v>2.0659853680651699E-4</v>
      </c>
      <c r="D38567" s="1">
        <v>8.043294169067E-5</v>
      </c>
      <c r="E38567" s="1">
        <v>1.30366198652013E-4</v>
      </c>
      <c r="F38567" s="1">
        <v>1.96582625935993E-4</v>
      </c>
    </row>
    <row r="38568" spans="1:6" x14ac:dyDescent="0.25">
      <c r="A38568" s="2" t="str">
        <f t="shared" si="1264"/>
        <v>99999</v>
      </c>
      <c r="B38568" s="2" t="str">
        <f>"48760"</f>
        <v>48760</v>
      </c>
      <c r="C38568" s="1">
        <v>4.3000435024705598E-5</v>
      </c>
      <c r="D38568" s="1">
        <v>3.0352053468177301E-6</v>
      </c>
      <c r="E38568" s="1">
        <v>2.1727699775335501E-5</v>
      </c>
      <c r="F38568" s="1">
        <v>3.9893538967779998E-5</v>
      </c>
    </row>
    <row r="38569" spans="1:6" x14ac:dyDescent="0.25">
      <c r="A38569" s="2" t="str">
        <f t="shared" si="1264"/>
        <v>99999</v>
      </c>
      <c r="B38569" s="2" t="str">
        <f>"48750"</f>
        <v>48750</v>
      </c>
      <c r="C38569" s="1">
        <v>6.9826594743163997E-4</v>
      </c>
      <c r="D38569" s="1">
        <v>7.5576613135761603E-4</v>
      </c>
      <c r="E38569" s="1">
        <v>1.51224790436335E-3</v>
      </c>
      <c r="F38569" s="1">
        <v>7.20670314919198E-4</v>
      </c>
    </row>
    <row r="38570" spans="1:6" x14ac:dyDescent="0.25">
      <c r="A38570" s="2" t="str">
        <f t="shared" si="1264"/>
        <v>99999</v>
      </c>
      <c r="B38570" s="2" t="str">
        <f>"48749"</f>
        <v>48749</v>
      </c>
      <c r="C38570" s="1">
        <v>6.7447382856010302E-5</v>
      </c>
      <c r="D38570" s="1">
        <v>3.9457669508630602E-5</v>
      </c>
      <c r="E38570" s="1">
        <v>0</v>
      </c>
      <c r="F38570" s="1">
        <v>6.4068426671447194E-5</v>
      </c>
    </row>
    <row r="38571" spans="1:6" x14ac:dyDescent="0.25">
      <c r="A38571" s="2" t="str">
        <f t="shared" si="1264"/>
        <v>99999</v>
      </c>
      <c r="B38571" s="2" t="str">
        <f>"48738"</f>
        <v>48738</v>
      </c>
      <c r="C38571" s="1">
        <v>1.5683153586421801E-4</v>
      </c>
      <c r="D38571" s="1">
        <v>3.6422464161812797E-5</v>
      </c>
      <c r="E38571" s="1">
        <v>5.6492019415872502E-5</v>
      </c>
      <c r="F38571" s="1">
        <v>1.4664108837533099E-4</v>
      </c>
    </row>
    <row r="38572" spans="1:6" x14ac:dyDescent="0.25">
      <c r="A38572" s="2" t="str">
        <f t="shared" si="1264"/>
        <v>99999</v>
      </c>
      <c r="B38572" s="2" t="str">
        <f>"48727"</f>
        <v>48727</v>
      </c>
      <c r="C38572" s="1">
        <v>1.8880901673284399E-5</v>
      </c>
      <c r="D38572" s="1">
        <v>1.51760267340886E-6</v>
      </c>
      <c r="E38572" s="1">
        <v>0</v>
      </c>
      <c r="F38572" s="1">
        <v>1.7310413417440701E-5</v>
      </c>
    </row>
    <row r="38573" spans="1:6" x14ac:dyDescent="0.25">
      <c r="A38573" s="2" t="str">
        <f t="shared" si="1264"/>
        <v>99999</v>
      </c>
      <c r="B38573" s="2" t="str">
        <f>"48650"</f>
        <v>48650</v>
      </c>
      <c r="C38573" s="1">
        <v>2.2045908312158699E-5</v>
      </c>
      <c r="D38573" s="1">
        <v>9.1056160404532095E-6</v>
      </c>
      <c r="E38573" s="1">
        <v>4.3455399550671099E-6</v>
      </c>
      <c r="F38573" s="1">
        <v>2.0792393127845399E-5</v>
      </c>
    </row>
    <row r="38574" spans="1:6" x14ac:dyDescent="0.25">
      <c r="A38574" s="2" t="str">
        <f t="shared" si="1264"/>
        <v>99999</v>
      </c>
      <c r="B38574" s="2" t="str">
        <f>"48628"</f>
        <v>48628</v>
      </c>
      <c r="C38574" s="1">
        <v>2.41195333514211E-5</v>
      </c>
      <c r="D38574" s="1">
        <v>3.0352053468177301E-6</v>
      </c>
      <c r="E38574" s="1">
        <v>0</v>
      </c>
      <c r="F38574" s="1">
        <v>2.21851850120073E-5</v>
      </c>
    </row>
    <row r="38575" spans="1:6" x14ac:dyDescent="0.25">
      <c r="A38575" s="2" t="str">
        <f t="shared" si="1264"/>
        <v>99999</v>
      </c>
      <c r="B38575" s="2" t="str">
        <f>"48415"</f>
        <v>48415</v>
      </c>
      <c r="C38575" s="1">
        <v>6.1117369578261701E-6</v>
      </c>
      <c r="D38575" s="1">
        <v>0</v>
      </c>
      <c r="E38575" s="1">
        <v>0</v>
      </c>
      <c r="F38575" s="1">
        <v>5.5711675366475797E-6</v>
      </c>
    </row>
    <row r="38576" spans="1:6" x14ac:dyDescent="0.25">
      <c r="A38576" s="2" t="str">
        <f t="shared" si="1264"/>
        <v>99999</v>
      </c>
      <c r="B38576" s="2" t="str">
        <f>"47990"</f>
        <v>47990</v>
      </c>
      <c r="C38576" s="1">
        <v>2.07362503926245E-6</v>
      </c>
      <c r="D38576" s="1">
        <v>0</v>
      </c>
      <c r="E38576" s="1">
        <v>0</v>
      </c>
      <c r="F38576" s="1">
        <v>1.89021755707686E-6</v>
      </c>
    </row>
    <row r="38577" spans="1:6" x14ac:dyDescent="0.25">
      <c r="A38577" s="2" t="str">
        <f t="shared" si="1264"/>
        <v>99999</v>
      </c>
      <c r="B38577" s="2" t="str">
        <f>"47995"</f>
        <v>47995</v>
      </c>
      <c r="C38577" s="1">
        <v>7.7597231732400205E-5</v>
      </c>
      <c r="D38577" s="1">
        <v>8.1950544364078906E-5</v>
      </c>
      <c r="E38577" s="1">
        <v>1.08638498876677E-4</v>
      </c>
      <c r="F38577" s="1">
        <v>7.8593256320564096E-5</v>
      </c>
    </row>
    <row r="38578" spans="1:6" x14ac:dyDescent="0.25">
      <c r="A38578" s="2" t="str">
        <f t="shared" si="1264"/>
        <v>99999</v>
      </c>
      <c r="B38578" s="2" t="str">
        <f>"47978"</f>
        <v>47978</v>
      </c>
      <c r="C38578" s="1">
        <v>2.4010395191459898E-6</v>
      </c>
      <c r="D38578" s="1">
        <v>0</v>
      </c>
      <c r="E38578" s="1">
        <v>0</v>
      </c>
      <c r="F38578" s="1">
        <v>2.1886729608258301E-6</v>
      </c>
    </row>
    <row r="38579" spans="1:6" x14ac:dyDescent="0.25">
      <c r="A38579" s="2" t="str">
        <f t="shared" si="1264"/>
        <v>99999</v>
      </c>
      <c r="B38579" s="2" t="str">
        <f>"47933"</f>
        <v>47933</v>
      </c>
      <c r="C38579" s="1">
        <v>1.20051975957299E-6</v>
      </c>
      <c r="D38579" s="1">
        <v>0</v>
      </c>
      <c r="E38579" s="1">
        <v>0</v>
      </c>
      <c r="F38579" s="1">
        <v>1.09433648041291E-6</v>
      </c>
    </row>
    <row r="38580" spans="1:6" x14ac:dyDescent="0.25">
      <c r="A38580" s="2" t="str">
        <f t="shared" si="1264"/>
        <v>99999</v>
      </c>
      <c r="B38580" s="2" t="str">
        <f>"47959"</f>
        <v>47959</v>
      </c>
      <c r="C38580" s="1">
        <v>1.11866613960211E-4</v>
      </c>
      <c r="D38580" s="1">
        <v>5.0080888222492601E-5</v>
      </c>
      <c r="E38580" s="1">
        <v>1.6078497833748299E-4</v>
      </c>
      <c r="F38580" s="1">
        <v>1.0893622236837599E-4</v>
      </c>
    </row>
    <row r="38581" spans="1:6" x14ac:dyDescent="0.25">
      <c r="A38581" s="2" t="str">
        <f t="shared" si="1264"/>
        <v>99999</v>
      </c>
      <c r="B38581" s="2" t="str">
        <f>"47551"</f>
        <v>47551</v>
      </c>
      <c r="C38581" s="1">
        <v>3.7216112546762902E-5</v>
      </c>
      <c r="D38581" s="1">
        <v>1.0623218713862E-5</v>
      </c>
      <c r="E38581" s="1">
        <v>8.69107991013423E-6</v>
      </c>
      <c r="F38581" s="1">
        <v>3.48197971040474E-5</v>
      </c>
    </row>
    <row r="38582" spans="1:6" x14ac:dyDescent="0.25">
      <c r="A38582" s="2" t="str">
        <f t="shared" si="1264"/>
        <v>99999</v>
      </c>
      <c r="B38582" s="2" t="str">
        <f>"47525"</f>
        <v>47525</v>
      </c>
      <c r="C38582" s="1">
        <v>3.2741447988354499E-5</v>
      </c>
      <c r="D38582" s="1">
        <v>7.5880133670443404E-6</v>
      </c>
      <c r="E38582" s="1">
        <v>8.69107991013423E-6</v>
      </c>
      <c r="F38582" s="1">
        <v>3.0541936316978701E-5</v>
      </c>
    </row>
    <row r="38583" spans="1:6" x14ac:dyDescent="0.25">
      <c r="A38583" s="2" t="str">
        <f t="shared" si="1264"/>
        <v>99999</v>
      </c>
      <c r="B38583" s="2" t="str">
        <f>"47520"</f>
        <v>47520</v>
      </c>
      <c r="C38583" s="1">
        <v>2.7928455134066402E-4</v>
      </c>
      <c r="D38583" s="1">
        <v>2.24605195664512E-4</v>
      </c>
      <c r="E38583" s="1">
        <v>1.12984038831745E-4</v>
      </c>
      <c r="F38583" s="1">
        <v>2.7189287281531799E-4</v>
      </c>
    </row>
    <row r="38584" spans="1:6" x14ac:dyDescent="0.25">
      <c r="A38584" s="2" t="str">
        <f t="shared" si="1264"/>
        <v>99999</v>
      </c>
      <c r="B38584" s="2" t="str">
        <f>"47513"</f>
        <v>47513</v>
      </c>
      <c r="C38584" s="1">
        <v>3.7652665186607698E-5</v>
      </c>
      <c r="D38584" s="1">
        <v>2.4281642774541899E-5</v>
      </c>
      <c r="E38584" s="1">
        <v>4.3455399550671099E-6</v>
      </c>
      <c r="F38584" s="1">
        <v>3.60136187190433E-5</v>
      </c>
    </row>
    <row r="38585" spans="1:6" x14ac:dyDescent="0.25">
      <c r="A38585" s="2" t="str">
        <f t="shared" si="1264"/>
        <v>99999</v>
      </c>
      <c r="B38585" s="2" t="str">
        <f>"47471"</f>
        <v>47471</v>
      </c>
      <c r="C38585" s="1">
        <v>1.3533131835186501E-4</v>
      </c>
      <c r="D38585" s="1">
        <v>1.79077115462246E-4</v>
      </c>
      <c r="E38585" s="1">
        <v>6.5183099326006705E-5</v>
      </c>
      <c r="F38585" s="1">
        <v>1.3659308978244801E-4</v>
      </c>
    </row>
    <row r="38586" spans="1:6" x14ac:dyDescent="0.25">
      <c r="A38586" s="2" t="str">
        <f t="shared" si="1264"/>
        <v>99999</v>
      </c>
      <c r="B38586" s="2" t="str">
        <f>"47683"</f>
        <v>47683</v>
      </c>
      <c r="C38586" s="1">
        <v>0</v>
      </c>
      <c r="D38586" s="1">
        <v>0</v>
      </c>
      <c r="E38586" s="1">
        <v>4.3455399550671099E-6</v>
      </c>
      <c r="F38586" s="1">
        <v>9.9485134582992598E-8</v>
      </c>
    </row>
    <row r="38587" spans="1:6" x14ac:dyDescent="0.25">
      <c r="A38587" s="2" t="str">
        <f t="shared" si="1264"/>
        <v>99999</v>
      </c>
      <c r="B38587" s="2" t="str">
        <f>"47670"</f>
        <v>47670</v>
      </c>
      <c r="C38587" s="1">
        <v>6.4075013713209695E-4</v>
      </c>
      <c r="D38587" s="1">
        <v>9.37878452166681E-4</v>
      </c>
      <c r="E38587" s="1">
        <v>9.1690893051916099E-4</v>
      </c>
      <c r="F38587" s="1">
        <v>6.6655040170604995E-4</v>
      </c>
    </row>
    <row r="38588" spans="1:6" x14ac:dyDescent="0.25">
      <c r="A38588" s="2" t="str">
        <f t="shared" si="1264"/>
        <v>99999</v>
      </c>
      <c r="B38588" s="2" t="str">
        <f>"47443"</f>
        <v>47443</v>
      </c>
      <c r="C38588" s="1">
        <v>4.8457343022764599E-5</v>
      </c>
      <c r="D38588" s="1">
        <v>3.3387258814995101E-5</v>
      </c>
      <c r="E38588" s="1">
        <v>3.0418779685469802E-5</v>
      </c>
      <c r="F38588" s="1">
        <v>4.7056468657755498E-5</v>
      </c>
    </row>
    <row r="38589" spans="1:6" x14ac:dyDescent="0.25">
      <c r="A38589" s="2" t="str">
        <f t="shared" si="1264"/>
        <v>99999</v>
      </c>
      <c r="B38589" s="2" t="str">
        <f>"47588"</f>
        <v>47588</v>
      </c>
      <c r="C38589" s="1">
        <v>4.1472500785249002E-5</v>
      </c>
      <c r="D38589" s="1">
        <v>3.1869656141586203E-5</v>
      </c>
      <c r="E38589" s="1">
        <v>1.6947605824761699E-4</v>
      </c>
      <c r="F38589" s="1">
        <v>4.3773459216516703E-5</v>
      </c>
    </row>
    <row r="38590" spans="1:6" x14ac:dyDescent="0.25">
      <c r="A38590" s="2" t="str">
        <f t="shared" si="1264"/>
        <v>99999</v>
      </c>
      <c r="B38590" s="2" t="str">
        <f>"47272"</f>
        <v>47272</v>
      </c>
      <c r="C38590" s="1">
        <v>1.0913815996118101E-6</v>
      </c>
      <c r="D38590" s="1">
        <v>0</v>
      </c>
      <c r="E38590" s="1">
        <v>0</v>
      </c>
      <c r="F38590" s="1">
        <v>9.9485134582992606E-7</v>
      </c>
    </row>
    <row r="38591" spans="1:6" x14ac:dyDescent="0.25">
      <c r="A38591" s="2" t="str">
        <f t="shared" si="1264"/>
        <v>99999</v>
      </c>
      <c r="B38591" s="2" t="str">
        <f>"47368"</f>
        <v>47368</v>
      </c>
      <c r="C38591" s="1">
        <v>8.9929843808013695E-5</v>
      </c>
      <c r="D38591" s="1">
        <v>3.1869656141586203E-5</v>
      </c>
      <c r="E38591" s="1">
        <v>1.9989483793308701E-4</v>
      </c>
      <c r="F38591" s="1">
        <v>8.8641254913446397E-5</v>
      </c>
    </row>
    <row r="38592" spans="1:6" x14ac:dyDescent="0.25">
      <c r="A38592" s="2" t="str">
        <f t="shared" si="1264"/>
        <v>99999</v>
      </c>
      <c r="B38592" s="2" t="str">
        <f>"47394"</f>
        <v>47394</v>
      </c>
      <c r="C38592" s="1">
        <v>4.3840798856406701E-4</v>
      </c>
      <c r="D38592" s="1">
        <v>7.25414077889439E-4</v>
      </c>
      <c r="E38592" s="1">
        <v>5.9968451379926199E-4</v>
      </c>
      <c r="F38592" s="1">
        <v>4.6091462852300403E-4</v>
      </c>
    </row>
    <row r="38593" spans="1:6" x14ac:dyDescent="0.25">
      <c r="A38593" s="2" t="str">
        <f t="shared" si="1264"/>
        <v>99999</v>
      </c>
      <c r="B38593" s="2" t="str">
        <f>"47326"</f>
        <v>47326</v>
      </c>
      <c r="C38593" s="1">
        <v>7.2358600054263399E-5</v>
      </c>
      <c r="D38593" s="1">
        <v>7.1327325650216798E-5</v>
      </c>
      <c r="E38593" s="1">
        <v>2.1727699775335501E-5</v>
      </c>
      <c r="F38593" s="1">
        <v>7.1131871226839702E-5</v>
      </c>
    </row>
    <row r="38594" spans="1:6" x14ac:dyDescent="0.25">
      <c r="A38594" s="2" t="str">
        <f t="shared" si="1264"/>
        <v>99999</v>
      </c>
      <c r="B38594" s="2" t="str">
        <f>"47116"</f>
        <v>47116</v>
      </c>
      <c r="C38594" s="1">
        <v>5.6751843179814502E-5</v>
      </c>
      <c r="D38594" s="1">
        <v>3.7940066835221703E-5</v>
      </c>
      <c r="E38594" s="1">
        <v>1.9989483793308701E-4</v>
      </c>
      <c r="F38594" s="1">
        <v>5.8795714538548598E-5</v>
      </c>
    </row>
    <row r="38595" spans="1:6" x14ac:dyDescent="0.25">
      <c r="A38595" s="2" t="str">
        <f t="shared" si="1264"/>
        <v>99999</v>
      </c>
      <c r="B38595" s="2" t="str">
        <f>"46931"</f>
        <v>46931</v>
      </c>
      <c r="C38595" s="1">
        <v>1.09138159961181E-7</v>
      </c>
      <c r="D38595" s="1">
        <v>0</v>
      </c>
      <c r="E38595" s="1">
        <v>1.3036619865201299E-5</v>
      </c>
      <c r="F38595" s="1">
        <v>3.9794053833197002E-7</v>
      </c>
    </row>
    <row r="38596" spans="1:6" x14ac:dyDescent="0.25">
      <c r="A38596" s="2" t="str">
        <f t="shared" si="1264"/>
        <v>99999</v>
      </c>
      <c r="B38596" s="2" t="str">
        <f>"46936"</f>
        <v>46936</v>
      </c>
      <c r="C38596" s="1">
        <v>3.2741447988354498E-7</v>
      </c>
      <c r="D38596" s="1">
        <v>0</v>
      </c>
      <c r="E38596" s="1">
        <v>0</v>
      </c>
      <c r="F38596" s="1">
        <v>2.9845540374897701E-7</v>
      </c>
    </row>
    <row r="38597" spans="1:6" x14ac:dyDescent="0.25">
      <c r="A38597" s="2" t="str">
        <f t="shared" si="1264"/>
        <v>99999</v>
      </c>
      <c r="B38597" s="2" t="str">
        <f>"46950"</f>
        <v>46950</v>
      </c>
      <c r="C38597" s="1">
        <v>1.0913815996118101E-6</v>
      </c>
      <c r="D38597" s="1">
        <v>1.51760267340886E-6</v>
      </c>
      <c r="E38597" s="1">
        <v>0</v>
      </c>
      <c r="F38597" s="1">
        <v>1.09433648041291E-6</v>
      </c>
    </row>
    <row r="38598" spans="1:6" x14ac:dyDescent="0.25">
      <c r="A38598" s="2" t="str">
        <f t="shared" si="1264"/>
        <v>99999</v>
      </c>
      <c r="B38598" s="2" t="str">
        <f>"47034"</f>
        <v>47034</v>
      </c>
      <c r="C38598" s="1">
        <v>0</v>
      </c>
      <c r="D38598" s="1">
        <v>1.51760267340886E-6</v>
      </c>
      <c r="E38598" s="1">
        <v>0</v>
      </c>
      <c r="F38598" s="1">
        <v>9.9485134582992598E-8</v>
      </c>
    </row>
    <row r="38599" spans="1:6" x14ac:dyDescent="0.25">
      <c r="A38599" s="2" t="str">
        <f t="shared" si="1264"/>
        <v>99999</v>
      </c>
      <c r="B38599" s="2" t="str">
        <f>"47019"</f>
        <v>47019</v>
      </c>
      <c r="C38599" s="1">
        <v>0</v>
      </c>
      <c r="D38599" s="1">
        <v>0</v>
      </c>
      <c r="E38599" s="1">
        <v>4.3455399550671099E-6</v>
      </c>
      <c r="F38599" s="1">
        <v>9.9485134582992598E-8</v>
      </c>
    </row>
    <row r="38600" spans="1:6" x14ac:dyDescent="0.25">
      <c r="A38600" s="2" t="str">
        <f t="shared" si="1264"/>
        <v>99999</v>
      </c>
      <c r="B38600" s="2" t="str">
        <f>"47031"</f>
        <v>47031</v>
      </c>
      <c r="C38600" s="1">
        <v>1.97321793209816E-4</v>
      </c>
      <c r="D38600" s="1">
        <v>8.3468147037487798E-5</v>
      </c>
      <c r="E38600" s="1">
        <v>1.9120375802295301E-4</v>
      </c>
      <c r="F38600" s="1">
        <v>1.89718151649766E-4</v>
      </c>
    </row>
    <row r="38601" spans="1:6" x14ac:dyDescent="0.25">
      <c r="A38601" s="2" t="str">
        <f t="shared" si="1264"/>
        <v>99999</v>
      </c>
      <c r="B38601" s="2" t="str">
        <f>"46789"</f>
        <v>46789</v>
      </c>
      <c r="C38601" s="1">
        <v>0</v>
      </c>
      <c r="D38601" s="1">
        <v>0</v>
      </c>
      <c r="E38601" s="1">
        <v>4.3455399550671099E-6</v>
      </c>
      <c r="F38601" s="1">
        <v>9.9485134582992598E-8</v>
      </c>
    </row>
    <row r="38602" spans="1:6" x14ac:dyDescent="0.25">
      <c r="A38602" s="2" t="str">
        <f t="shared" si="1264"/>
        <v>99999</v>
      </c>
      <c r="B38602" s="2" t="str">
        <f>"46781"</f>
        <v>46781</v>
      </c>
      <c r="C38602" s="1">
        <v>4.3218711344627901E-5</v>
      </c>
      <c r="D38602" s="1">
        <v>1.0623218713862E-5</v>
      </c>
      <c r="E38602" s="1">
        <v>4.3455399550671099E-6</v>
      </c>
      <c r="F38602" s="1">
        <v>4.0191994371529001E-5</v>
      </c>
    </row>
    <row r="38603" spans="1:6" x14ac:dyDescent="0.25">
      <c r="A38603" s="2" t="str">
        <f t="shared" si="1264"/>
        <v>99999</v>
      </c>
      <c r="B38603" s="2" t="str">
        <f>"46777"</f>
        <v>46777</v>
      </c>
      <c r="C38603" s="1">
        <v>2.9794717669402601E-4</v>
      </c>
      <c r="D38603" s="1">
        <v>1.4417225397384201E-4</v>
      </c>
      <c r="E38603" s="1">
        <v>1.3471173860707999E-4</v>
      </c>
      <c r="F38603" s="1">
        <v>2.8412954436902597E-4</v>
      </c>
    </row>
    <row r="38604" spans="1:6" x14ac:dyDescent="0.25">
      <c r="A38604" s="2" t="str">
        <f t="shared" si="1264"/>
        <v>99999</v>
      </c>
      <c r="B38604" s="2" t="str">
        <f>"46770"</f>
        <v>46770</v>
      </c>
      <c r="C38604" s="1">
        <v>8.3163277890420395E-5</v>
      </c>
      <c r="D38604" s="1">
        <v>3.3387258814995101E-5</v>
      </c>
      <c r="E38604" s="1">
        <v>3.0418779685469802E-5</v>
      </c>
      <c r="F38604" s="1">
        <v>7.8692741455147101E-5</v>
      </c>
    </row>
    <row r="38605" spans="1:6" x14ac:dyDescent="0.25">
      <c r="A38605" s="2" t="str">
        <f t="shared" si="1264"/>
        <v>99999</v>
      </c>
      <c r="B38605" s="2" t="str">
        <f>"46574"</f>
        <v>46574</v>
      </c>
      <c r="C38605" s="1">
        <v>1.2398094971590199E-4</v>
      </c>
      <c r="D38605" s="1">
        <v>4.4010477528857203E-5</v>
      </c>
      <c r="E38605" s="1">
        <v>2.60732397304027E-5</v>
      </c>
      <c r="F38605" s="1">
        <v>1.16497092596684E-4</v>
      </c>
    </row>
    <row r="38606" spans="1:6" x14ac:dyDescent="0.25">
      <c r="A38606" s="2" t="str">
        <f t="shared" si="1264"/>
        <v>99999</v>
      </c>
      <c r="B38606" s="2" t="str">
        <f>"46570"</f>
        <v>46570</v>
      </c>
      <c r="C38606" s="1">
        <v>3.6015592787189902E-6</v>
      </c>
      <c r="D38606" s="1">
        <v>3.0352053468177301E-6</v>
      </c>
      <c r="E38606" s="1">
        <v>0</v>
      </c>
      <c r="F38606" s="1">
        <v>3.48197971040474E-6</v>
      </c>
    </row>
    <row r="38607" spans="1:6" x14ac:dyDescent="0.25">
      <c r="A38607" s="2" t="str">
        <f t="shared" si="1264"/>
        <v>99999</v>
      </c>
      <c r="B38607" s="2" t="str">
        <f>"46176"</f>
        <v>46176</v>
      </c>
      <c r="C38607" s="1">
        <v>2.1827631992236301E-7</v>
      </c>
      <c r="D38607" s="1">
        <v>0</v>
      </c>
      <c r="E38607" s="1">
        <v>0</v>
      </c>
      <c r="F38607" s="1">
        <v>1.9897026916598501E-7</v>
      </c>
    </row>
    <row r="38608" spans="1:6" x14ac:dyDescent="0.25">
      <c r="A38608" s="2" t="str">
        <f t="shared" si="1264"/>
        <v>99999</v>
      </c>
      <c r="B38608" s="2" t="str">
        <f>"46069"</f>
        <v>46069</v>
      </c>
      <c r="C38608" s="1">
        <v>3.2741447988354498E-7</v>
      </c>
      <c r="D38608" s="1">
        <v>0</v>
      </c>
      <c r="E38608" s="1">
        <v>0</v>
      </c>
      <c r="F38608" s="1">
        <v>2.9845540374897701E-7</v>
      </c>
    </row>
    <row r="38609" spans="1:6" x14ac:dyDescent="0.25">
      <c r="A38609" s="2" t="str">
        <f t="shared" si="1264"/>
        <v>99999</v>
      </c>
      <c r="B38609" s="2" t="str">
        <f>"46155"</f>
        <v>46155</v>
      </c>
      <c r="C38609" s="1">
        <v>6.6574277576320803E-6</v>
      </c>
      <c r="D38609" s="1">
        <v>6.0704106936354696E-6</v>
      </c>
      <c r="E38609" s="1">
        <v>4.3455399550671099E-6</v>
      </c>
      <c r="F38609" s="1">
        <v>6.5660188824775097E-6</v>
      </c>
    </row>
    <row r="38610" spans="1:6" x14ac:dyDescent="0.25">
      <c r="A38610" s="2" t="str">
        <f t="shared" ref="A38610:A38673" si="1265">"99999"</f>
        <v>99999</v>
      </c>
      <c r="B38610" s="2" t="str">
        <f>"46150"</f>
        <v>46150</v>
      </c>
      <c r="C38610" s="1">
        <v>2.41195333514211E-5</v>
      </c>
      <c r="D38610" s="1">
        <v>4.5528080202265997E-6</v>
      </c>
      <c r="E38610" s="1">
        <v>4.3455399550671099E-6</v>
      </c>
      <c r="F38610" s="1">
        <v>2.23841552811733E-5</v>
      </c>
    </row>
    <row r="38611" spans="1:6" x14ac:dyDescent="0.25">
      <c r="A38611" s="2" t="str">
        <f t="shared" si="1265"/>
        <v>99999</v>
      </c>
      <c r="B38611" s="2" t="str">
        <f>"45684"</f>
        <v>45684</v>
      </c>
      <c r="C38611" s="1">
        <v>4.4746645584084497E-5</v>
      </c>
      <c r="D38611" s="1">
        <v>1.0623218713862E-5</v>
      </c>
      <c r="E38611" s="1">
        <v>0</v>
      </c>
      <c r="F38611" s="1">
        <v>4.14853011211079E-5</v>
      </c>
    </row>
    <row r="38612" spans="1:6" x14ac:dyDescent="0.25">
      <c r="A38612" s="2" t="str">
        <f t="shared" si="1265"/>
        <v>99999</v>
      </c>
      <c r="B38612" s="2" t="str">
        <f>"45686"</f>
        <v>45686</v>
      </c>
      <c r="C38612" s="1">
        <v>4.7693375903036399E-5</v>
      </c>
      <c r="D38612" s="1">
        <v>1.66936294074975E-5</v>
      </c>
      <c r="E38612" s="1">
        <v>0</v>
      </c>
      <c r="F38612" s="1">
        <v>4.4569340293180698E-5</v>
      </c>
    </row>
    <row r="38613" spans="1:6" x14ac:dyDescent="0.25">
      <c r="A38613" s="2" t="str">
        <f t="shared" si="1265"/>
        <v>99999</v>
      </c>
      <c r="B38613" s="2" t="str">
        <f>"45646"</f>
        <v>45646</v>
      </c>
      <c r="C38613" s="1">
        <v>2.1827631992236301E-5</v>
      </c>
      <c r="D38613" s="1">
        <v>1.3658424060679801E-5</v>
      </c>
      <c r="E38613" s="1">
        <v>0</v>
      </c>
      <c r="F38613" s="1">
        <v>2.0792393127845399E-5</v>
      </c>
    </row>
    <row r="38614" spans="1:6" x14ac:dyDescent="0.25">
      <c r="A38614" s="2" t="str">
        <f t="shared" si="1265"/>
        <v>99999</v>
      </c>
      <c r="B38614" s="2" t="str">
        <f>"45657"</f>
        <v>45657</v>
      </c>
      <c r="C38614" s="1">
        <v>2.5538329430916501E-5</v>
      </c>
      <c r="D38614" s="1">
        <v>0</v>
      </c>
      <c r="E38614" s="1">
        <v>0</v>
      </c>
      <c r="F38614" s="1">
        <v>2.3279521492420199E-5</v>
      </c>
    </row>
    <row r="38615" spans="1:6" x14ac:dyDescent="0.25">
      <c r="A38615" s="2" t="str">
        <f t="shared" si="1265"/>
        <v>99999</v>
      </c>
      <c r="B38615" s="2" t="str">
        <f>"45661"</f>
        <v>45661</v>
      </c>
      <c r="C38615" s="1">
        <v>3.67140770109415E-4</v>
      </c>
      <c r="D38615" s="1">
        <v>2.3826361972519201E-4</v>
      </c>
      <c r="E38615" s="1">
        <v>2.5204131739389198E-4</v>
      </c>
      <c r="F38615" s="1">
        <v>3.5605729667252998E-4</v>
      </c>
    </row>
    <row r="38616" spans="1:6" x14ac:dyDescent="0.25">
      <c r="A38616" s="2" t="str">
        <f t="shared" si="1265"/>
        <v>99999</v>
      </c>
      <c r="B38616" s="2" t="str">
        <f>"45648"</f>
        <v>45648</v>
      </c>
      <c r="C38616" s="1">
        <v>9.0802949087703206E-5</v>
      </c>
      <c r="D38616" s="1">
        <v>1.3658424060679801E-5</v>
      </c>
      <c r="E38616" s="1">
        <v>2.60732397304027E-5</v>
      </c>
      <c r="F38616" s="1">
        <v>8.4263908991794706E-5</v>
      </c>
    </row>
    <row r="38617" spans="1:6" x14ac:dyDescent="0.25">
      <c r="A38617" s="2" t="str">
        <f t="shared" si="1265"/>
        <v>99999</v>
      </c>
      <c r="B38617" s="2" t="str">
        <f>"45861"</f>
        <v>45861</v>
      </c>
      <c r="C38617" s="1">
        <v>2.7284539990295402E-6</v>
      </c>
      <c r="D38617" s="1">
        <v>0</v>
      </c>
      <c r="E38617" s="1">
        <v>4.3455399550671099E-6</v>
      </c>
      <c r="F38617" s="1">
        <v>2.5866134991578E-6</v>
      </c>
    </row>
    <row r="38618" spans="1:6" x14ac:dyDescent="0.25">
      <c r="A38618" s="2" t="str">
        <f t="shared" si="1265"/>
        <v>99999</v>
      </c>
      <c r="B38618" s="2" t="str">
        <f>"45858"</f>
        <v>45858</v>
      </c>
      <c r="C38618" s="1">
        <v>1.4187960794953601E-6</v>
      </c>
      <c r="D38618" s="1">
        <v>0</v>
      </c>
      <c r="E38618" s="1">
        <v>0</v>
      </c>
      <c r="F38618" s="1">
        <v>1.2933067495789E-6</v>
      </c>
    </row>
    <row r="38619" spans="1:6" x14ac:dyDescent="0.25">
      <c r="A38619" s="2" t="str">
        <f t="shared" si="1265"/>
        <v>99999</v>
      </c>
      <c r="B38619" s="2" t="str">
        <f>"45772"</f>
        <v>45772</v>
      </c>
      <c r="C38619" s="1">
        <v>1.04226942762928E-4</v>
      </c>
      <c r="D38619" s="1">
        <v>3.3387258814995101E-5</v>
      </c>
      <c r="E38619" s="1">
        <v>8.69107991013423E-6</v>
      </c>
      <c r="F38619" s="1">
        <v>9.7395946756749697E-5</v>
      </c>
    </row>
    <row r="38620" spans="1:6" x14ac:dyDescent="0.25">
      <c r="A38620" s="2" t="str">
        <f t="shared" si="1265"/>
        <v>99999</v>
      </c>
      <c r="B38620" s="2" t="str">
        <f>"45821"</f>
        <v>45821</v>
      </c>
      <c r="C38620" s="1">
        <v>6.1881336697990004E-5</v>
      </c>
      <c r="D38620" s="1">
        <v>2.2764040101133E-5</v>
      </c>
      <c r="E38620" s="1">
        <v>1.3036619865201299E-5</v>
      </c>
      <c r="F38620" s="1">
        <v>5.81988037310506E-5</v>
      </c>
    </row>
    <row r="38621" spans="1:6" x14ac:dyDescent="0.25">
      <c r="A38621" s="2" t="str">
        <f t="shared" si="1265"/>
        <v>99999</v>
      </c>
      <c r="B38621" s="2" t="str">
        <f>"45624"</f>
        <v>45624</v>
      </c>
      <c r="C38621" s="1">
        <v>0</v>
      </c>
      <c r="D38621" s="1">
        <v>1.51760267340886E-6</v>
      </c>
      <c r="E38621" s="1">
        <v>0</v>
      </c>
      <c r="F38621" s="1">
        <v>9.9485134582992598E-8</v>
      </c>
    </row>
    <row r="38622" spans="1:6" x14ac:dyDescent="0.25">
      <c r="A38622" s="2" t="str">
        <f t="shared" si="1265"/>
        <v>99999</v>
      </c>
      <c r="B38622" s="2" t="str">
        <f>"45622"</f>
        <v>45622</v>
      </c>
      <c r="C38622" s="1">
        <v>2.67388491904895E-5</v>
      </c>
      <c r="D38622" s="1">
        <v>7.5880133670443404E-6</v>
      </c>
      <c r="E38622" s="1">
        <v>4.3455399550671099E-6</v>
      </c>
      <c r="F38622" s="1">
        <v>2.4970768780331099E-5</v>
      </c>
    </row>
    <row r="38623" spans="1:6" x14ac:dyDescent="0.25">
      <c r="A38623" s="2" t="str">
        <f t="shared" si="1265"/>
        <v>99999</v>
      </c>
      <c r="B38623" s="2" t="str">
        <f>"45616"</f>
        <v>45616</v>
      </c>
      <c r="C38623" s="1">
        <v>6.5482895976708998E-5</v>
      </c>
      <c r="D38623" s="1">
        <v>1.21408213872709E-5</v>
      </c>
      <c r="E38623" s="1">
        <v>0</v>
      </c>
      <c r="F38623" s="1">
        <v>6.0486961826459498E-5</v>
      </c>
    </row>
    <row r="38624" spans="1:6" x14ac:dyDescent="0.25">
      <c r="A38624" s="2" t="str">
        <f t="shared" si="1265"/>
        <v>99999</v>
      </c>
      <c r="B38624" s="2" t="str">
        <f>"45734"</f>
        <v>45734</v>
      </c>
      <c r="C38624" s="1">
        <v>3.2523171668432101E-5</v>
      </c>
      <c r="D38624" s="1">
        <v>1.5176026734088599E-5</v>
      </c>
      <c r="E38624" s="1">
        <v>8.69107991013423E-6</v>
      </c>
      <c r="F38624" s="1">
        <v>3.0840391720727703E-5</v>
      </c>
    </row>
    <row r="38625" spans="1:6" x14ac:dyDescent="0.25">
      <c r="A38625" s="2" t="str">
        <f t="shared" si="1265"/>
        <v>99999</v>
      </c>
      <c r="B38625" s="2" t="str">
        <f>"45330"</f>
        <v>45330</v>
      </c>
      <c r="C38625" s="1">
        <v>0</v>
      </c>
      <c r="D38625" s="1">
        <v>1.51760267340886E-6</v>
      </c>
      <c r="E38625" s="1">
        <v>4.3455399550671099E-6</v>
      </c>
      <c r="F38625" s="1">
        <v>1.9897026916598501E-7</v>
      </c>
    </row>
    <row r="38626" spans="1:6" x14ac:dyDescent="0.25">
      <c r="A38626" s="2" t="str">
        <f t="shared" si="1265"/>
        <v>99999</v>
      </c>
      <c r="B38626" s="2" t="str">
        <f>"45378"</f>
        <v>45378</v>
      </c>
      <c r="C38626" s="1">
        <v>1.68072766340219E-5</v>
      </c>
      <c r="D38626" s="1">
        <v>1.51760267340886E-6</v>
      </c>
      <c r="E38626" s="1">
        <v>0</v>
      </c>
      <c r="F38626" s="1">
        <v>1.5420195860363801E-5</v>
      </c>
    </row>
    <row r="38627" spans="1:6" x14ac:dyDescent="0.25">
      <c r="A38627" s="2" t="str">
        <f t="shared" si="1265"/>
        <v>99999</v>
      </c>
      <c r="B38627" s="2" t="str">
        <f>"45304"</f>
        <v>45304</v>
      </c>
      <c r="C38627" s="1">
        <v>2.5101776791071799E-6</v>
      </c>
      <c r="D38627" s="1">
        <v>0</v>
      </c>
      <c r="E38627" s="1">
        <v>0</v>
      </c>
      <c r="F38627" s="1">
        <v>2.2881580954088299E-6</v>
      </c>
    </row>
    <row r="38628" spans="1:6" x14ac:dyDescent="0.25">
      <c r="A38628" s="2" t="str">
        <f t="shared" si="1265"/>
        <v>99999</v>
      </c>
      <c r="B38628" s="2" t="str">
        <f>"45172"</f>
        <v>45172</v>
      </c>
      <c r="C38628" s="1">
        <v>1.09138159961181E-7</v>
      </c>
      <c r="D38628" s="1">
        <v>1.51760267340886E-6</v>
      </c>
      <c r="E38628" s="1">
        <v>0</v>
      </c>
      <c r="F38628" s="1">
        <v>1.9897026916598501E-7</v>
      </c>
    </row>
    <row r="38629" spans="1:6" x14ac:dyDescent="0.25">
      <c r="A38629" s="2" t="str">
        <f t="shared" si="1265"/>
        <v>99999</v>
      </c>
      <c r="B38629" s="2" t="str">
        <f>"45171"</f>
        <v>45171</v>
      </c>
      <c r="C38629" s="1">
        <v>6.3954961737252395E-5</v>
      </c>
      <c r="D38629" s="1">
        <v>9.1056160404532095E-6</v>
      </c>
      <c r="E38629" s="1">
        <v>1.7382159820268399E-5</v>
      </c>
      <c r="F38629" s="1">
        <v>5.9293140211463597E-5</v>
      </c>
    </row>
    <row r="38630" spans="1:6" x14ac:dyDescent="0.25">
      <c r="A38630" s="2" t="str">
        <f t="shared" si="1265"/>
        <v>99999</v>
      </c>
      <c r="B38630" s="2" t="str">
        <f>"44683"</f>
        <v>44683</v>
      </c>
      <c r="C38630" s="1">
        <v>2.4774362311188199E-5</v>
      </c>
      <c r="D38630" s="1">
        <v>7.5880133670443404E-6</v>
      </c>
      <c r="E38630" s="1">
        <v>0</v>
      </c>
      <c r="F38630" s="1">
        <v>2.3080551223254198E-5</v>
      </c>
    </row>
    <row r="38631" spans="1:6" x14ac:dyDescent="0.25">
      <c r="A38631" s="2" t="str">
        <f t="shared" si="1265"/>
        <v>99999</v>
      </c>
      <c r="B38631" s="2" t="str">
        <f>"44624"</f>
        <v>44624</v>
      </c>
      <c r="C38631" s="1">
        <v>9.0584672767780801E-5</v>
      </c>
      <c r="D38631" s="1">
        <v>5.6151298916128101E-5</v>
      </c>
      <c r="E38631" s="1">
        <v>0</v>
      </c>
      <c r="F38631" s="1">
        <v>8.6253611683454595E-5</v>
      </c>
    </row>
    <row r="38632" spans="1:6" x14ac:dyDescent="0.25">
      <c r="A38632" s="2" t="str">
        <f t="shared" si="1265"/>
        <v>99999</v>
      </c>
      <c r="B38632" s="2" t="str">
        <f>"44661"</f>
        <v>44661</v>
      </c>
      <c r="C38632" s="1">
        <v>2.1827631992236301E-7</v>
      </c>
      <c r="D38632" s="1">
        <v>1.51760267340886E-6</v>
      </c>
      <c r="E38632" s="1">
        <v>4.3455399550671099E-6</v>
      </c>
      <c r="F38632" s="1">
        <v>3.9794053833197002E-7</v>
      </c>
    </row>
    <row r="38633" spans="1:6" x14ac:dyDescent="0.25">
      <c r="A38633" s="2" t="str">
        <f t="shared" si="1265"/>
        <v>99999</v>
      </c>
      <c r="B38633" s="2" t="str">
        <f>"43976"</f>
        <v>43976</v>
      </c>
      <c r="C38633" s="1">
        <v>7.9234304131817895E-5</v>
      </c>
      <c r="D38633" s="1">
        <v>1.9728834754315301E-5</v>
      </c>
      <c r="E38633" s="1">
        <v>1.3036619865201299E-5</v>
      </c>
      <c r="F38633" s="1">
        <v>7.3817969860580506E-5</v>
      </c>
    </row>
    <row r="38634" spans="1:6" x14ac:dyDescent="0.25">
      <c r="A38634" s="2" t="str">
        <f t="shared" si="1265"/>
        <v>99999</v>
      </c>
      <c r="B38634" s="2" t="str">
        <f>"43973"</f>
        <v>43973</v>
      </c>
      <c r="C38634" s="1">
        <v>7.3886534293720002E-5</v>
      </c>
      <c r="D38634" s="1">
        <v>3.7940066835221703E-5</v>
      </c>
      <c r="E38634" s="1">
        <v>1.3036619865201299E-5</v>
      </c>
      <c r="F38634" s="1">
        <v>7.0137019881009798E-5</v>
      </c>
    </row>
    <row r="38635" spans="1:6" x14ac:dyDescent="0.25">
      <c r="A38635" s="2" t="str">
        <f t="shared" si="1265"/>
        <v>99999</v>
      </c>
      <c r="B38635" s="2" t="str">
        <f>"43942"</f>
        <v>43942</v>
      </c>
      <c r="C38635" s="1">
        <v>6.8757040775544402E-6</v>
      </c>
      <c r="D38635" s="1">
        <v>1.66936294074975E-5</v>
      </c>
      <c r="E38635" s="1">
        <v>0</v>
      </c>
      <c r="F38635" s="1">
        <v>7.3618999591414504E-6</v>
      </c>
    </row>
    <row r="38636" spans="1:6" x14ac:dyDescent="0.25">
      <c r="A38636" s="2" t="str">
        <f t="shared" si="1265"/>
        <v>99999</v>
      </c>
      <c r="B38636" s="2" t="str">
        <f>"43711"</f>
        <v>43711</v>
      </c>
      <c r="C38636" s="1">
        <v>1.09138159961181E-7</v>
      </c>
      <c r="D38636" s="1">
        <v>1.51760267340886E-6</v>
      </c>
      <c r="E38636" s="1">
        <v>0</v>
      </c>
      <c r="F38636" s="1">
        <v>1.9897026916598501E-7</v>
      </c>
    </row>
    <row r="38637" spans="1:6" x14ac:dyDescent="0.25">
      <c r="A38637" s="2" t="str">
        <f t="shared" si="1265"/>
        <v>99999</v>
      </c>
      <c r="B38637" s="2" t="str">
        <f>"43752"</f>
        <v>43752</v>
      </c>
      <c r="C38637" s="1">
        <v>0</v>
      </c>
      <c r="D38637" s="1">
        <v>1.51760267340886E-6</v>
      </c>
      <c r="E38637" s="1">
        <v>0</v>
      </c>
      <c r="F38637" s="1">
        <v>9.9485134582992598E-8</v>
      </c>
    </row>
    <row r="38638" spans="1:6" x14ac:dyDescent="0.25">
      <c r="A38638" s="2" t="str">
        <f t="shared" si="1265"/>
        <v>99999</v>
      </c>
      <c r="B38638" s="2" t="str">
        <f>"43724"</f>
        <v>43724</v>
      </c>
      <c r="C38638" s="1">
        <v>3.5524471067364602E-4</v>
      </c>
      <c r="D38638" s="1">
        <v>3.7788306567880801E-4</v>
      </c>
      <c r="E38638" s="1">
        <v>4.3889953546177803E-4</v>
      </c>
      <c r="F38638" s="1">
        <v>3.5864391017168798E-4</v>
      </c>
    </row>
    <row r="38639" spans="1:6" x14ac:dyDescent="0.25">
      <c r="A38639" s="2" t="str">
        <f t="shared" si="1265"/>
        <v>99999</v>
      </c>
      <c r="B38639" s="2" t="str">
        <f>"43914"</f>
        <v>43914</v>
      </c>
      <c r="C38639" s="1">
        <v>0</v>
      </c>
      <c r="D38639" s="1">
        <v>0</v>
      </c>
      <c r="E38639" s="1">
        <v>4.3455399550671099E-6</v>
      </c>
      <c r="F38639" s="1">
        <v>9.9485134582992598E-8</v>
      </c>
    </row>
    <row r="38640" spans="1:6" x14ac:dyDescent="0.25">
      <c r="A38640" s="2" t="str">
        <f t="shared" si="1265"/>
        <v>99999</v>
      </c>
      <c r="B38640" s="2" t="str">
        <f>"43907"</f>
        <v>43907</v>
      </c>
      <c r="C38640" s="1">
        <v>3.2468602588451499E-4</v>
      </c>
      <c r="D38640" s="1">
        <v>4.5072799400243402E-4</v>
      </c>
      <c r="E38640" s="1">
        <v>3.3026103658510001E-4</v>
      </c>
      <c r="F38640" s="1">
        <v>3.3307623058385899E-4</v>
      </c>
    </row>
    <row r="38641" spans="1:6" x14ac:dyDescent="0.25">
      <c r="A38641" s="2" t="str">
        <f t="shared" si="1265"/>
        <v>99999</v>
      </c>
      <c r="B38641" s="2" t="str">
        <f>"43793"</f>
        <v>43793</v>
      </c>
      <c r="C38641" s="1">
        <v>2.9281768317585E-4</v>
      </c>
      <c r="D38641" s="1">
        <v>3.97611900433123E-4</v>
      </c>
      <c r="E38641" s="1">
        <v>1.6947605824761699E-4</v>
      </c>
      <c r="F38641" s="1">
        <v>2.9686364159565E-4</v>
      </c>
    </row>
    <row r="38642" spans="1:6" x14ac:dyDescent="0.25">
      <c r="A38642" s="2" t="str">
        <f t="shared" si="1265"/>
        <v>99999</v>
      </c>
      <c r="B38642" s="2" t="str">
        <f>"43347"</f>
        <v>43347</v>
      </c>
      <c r="C38642" s="1">
        <v>3.3832829587966299E-6</v>
      </c>
      <c r="D38642" s="1">
        <v>0</v>
      </c>
      <c r="E38642" s="1">
        <v>0</v>
      </c>
      <c r="F38642" s="1">
        <v>3.0840391720727701E-6</v>
      </c>
    </row>
    <row r="38643" spans="1:6" x14ac:dyDescent="0.25">
      <c r="A38643" s="2" t="str">
        <f t="shared" si="1265"/>
        <v>99999</v>
      </c>
      <c r="B38643" s="2" t="str">
        <f>"43346"</f>
        <v>43346</v>
      </c>
      <c r="C38643" s="1">
        <v>0</v>
      </c>
      <c r="D38643" s="1">
        <v>1.51760267340886E-6</v>
      </c>
      <c r="E38643" s="1">
        <v>0</v>
      </c>
      <c r="F38643" s="1">
        <v>9.9485134582992598E-8</v>
      </c>
    </row>
    <row r="38644" spans="1:6" x14ac:dyDescent="0.25">
      <c r="A38644" s="2" t="str">
        <f t="shared" si="1265"/>
        <v>99999</v>
      </c>
      <c r="B38644" s="2" t="str">
        <f>"43337"</f>
        <v>43337</v>
      </c>
      <c r="C38644" s="1">
        <v>4.9112171982531701E-6</v>
      </c>
      <c r="D38644" s="1">
        <v>1.51760267340886E-6</v>
      </c>
      <c r="E38644" s="1">
        <v>0</v>
      </c>
      <c r="F38644" s="1">
        <v>4.5763161908176597E-6</v>
      </c>
    </row>
    <row r="38645" spans="1:6" x14ac:dyDescent="0.25">
      <c r="A38645" s="2" t="str">
        <f t="shared" si="1265"/>
        <v>99999</v>
      </c>
      <c r="B38645" s="2" t="str">
        <f>"43330"</f>
        <v>43330</v>
      </c>
      <c r="C38645" s="1">
        <v>0</v>
      </c>
      <c r="D38645" s="1">
        <v>1.51760267340886E-6</v>
      </c>
      <c r="E38645" s="1">
        <v>0</v>
      </c>
      <c r="F38645" s="1">
        <v>9.9485134582992598E-8</v>
      </c>
    </row>
    <row r="38646" spans="1:6" x14ac:dyDescent="0.25">
      <c r="A38646" s="2" t="str">
        <f t="shared" si="1265"/>
        <v>99999</v>
      </c>
      <c r="B38646" s="2" t="str">
        <f>"43323"</f>
        <v>43323</v>
      </c>
      <c r="C38646" s="1">
        <v>2.83759215899072E-5</v>
      </c>
      <c r="D38646" s="1">
        <v>1.66936294074975E-5</v>
      </c>
      <c r="E38646" s="1">
        <v>0</v>
      </c>
      <c r="F38646" s="1">
        <v>2.6960471471991001E-5</v>
      </c>
    </row>
    <row r="38647" spans="1:6" x14ac:dyDescent="0.25">
      <c r="A38647" s="2" t="str">
        <f t="shared" si="1265"/>
        <v>99999</v>
      </c>
      <c r="B38647" s="2" t="str">
        <f>"43531"</f>
        <v>43531</v>
      </c>
      <c r="C38647" s="1">
        <v>0</v>
      </c>
      <c r="D38647" s="1">
        <v>1.51760267340886E-6</v>
      </c>
      <c r="E38647" s="1">
        <v>0</v>
      </c>
      <c r="F38647" s="1">
        <v>9.9485134582992598E-8</v>
      </c>
    </row>
    <row r="38648" spans="1:6" x14ac:dyDescent="0.25">
      <c r="A38648" s="2" t="str">
        <f t="shared" si="1265"/>
        <v>99999</v>
      </c>
      <c r="B38648" s="2" t="str">
        <f>"43152"</f>
        <v>43152</v>
      </c>
      <c r="C38648" s="1">
        <v>9.2767435967004401E-6</v>
      </c>
      <c r="D38648" s="1">
        <v>1.51760267340886E-6</v>
      </c>
      <c r="E38648" s="1">
        <v>0</v>
      </c>
      <c r="F38648" s="1">
        <v>8.5557215741373606E-6</v>
      </c>
    </row>
    <row r="38649" spans="1:6" x14ac:dyDescent="0.25">
      <c r="A38649" s="2" t="str">
        <f t="shared" si="1265"/>
        <v>99999</v>
      </c>
      <c r="B38649" s="2" t="str">
        <f>"42642"</f>
        <v>42642</v>
      </c>
      <c r="C38649" s="1">
        <v>7.1474580958577898E-4</v>
      </c>
      <c r="D38649" s="1">
        <v>7.2237887254262103E-4</v>
      </c>
      <c r="E38649" s="1">
        <v>6.1706667361953005E-4</v>
      </c>
      <c r="F38649" s="1">
        <v>7.1300995955630802E-4</v>
      </c>
    </row>
    <row r="38650" spans="1:6" x14ac:dyDescent="0.25">
      <c r="A38650" s="2" t="str">
        <f t="shared" si="1265"/>
        <v>99999</v>
      </c>
      <c r="B38650" s="2" t="str">
        <f>"42633"</f>
        <v>42633</v>
      </c>
      <c r="C38650" s="1">
        <v>1.0679168952201601E-3</v>
      </c>
      <c r="D38650" s="1">
        <v>8.9690317998464102E-4</v>
      </c>
      <c r="E38650" s="1">
        <v>1.08638498876677E-3</v>
      </c>
      <c r="F38650" s="1">
        <v>1.0571290400788701E-3</v>
      </c>
    </row>
    <row r="38651" spans="1:6" x14ac:dyDescent="0.25">
      <c r="A38651" s="2" t="str">
        <f t="shared" si="1265"/>
        <v>99999</v>
      </c>
      <c r="B38651" s="2" t="str">
        <f>"42539"</f>
        <v>42539</v>
      </c>
      <c r="C38651" s="1">
        <v>5.1927936509530196E-4</v>
      </c>
      <c r="D38651" s="1">
        <v>3.5967183359790202E-4</v>
      </c>
      <c r="E38651" s="1">
        <v>5.8230235397899296E-4</v>
      </c>
      <c r="F38651" s="1">
        <v>5.1025925527616901E-4</v>
      </c>
    </row>
    <row r="38652" spans="1:6" x14ac:dyDescent="0.25">
      <c r="A38652" s="2" t="str">
        <f t="shared" si="1265"/>
        <v>99999</v>
      </c>
      <c r="B38652" s="2" t="str">
        <f>"42602"</f>
        <v>42602</v>
      </c>
      <c r="C38652" s="1">
        <v>5.4023389180784902E-4</v>
      </c>
      <c r="D38652" s="1">
        <v>7.4817811799057202E-4</v>
      </c>
      <c r="E38652" s="1">
        <v>7.9523381177728201E-4</v>
      </c>
      <c r="F38652" s="1">
        <v>5.5970336716391596E-4</v>
      </c>
    </row>
    <row r="38653" spans="1:6" x14ac:dyDescent="0.25">
      <c r="A38653" s="2" t="str">
        <f t="shared" si="1265"/>
        <v>99999</v>
      </c>
      <c r="B38653" s="2" t="str">
        <f>"42743"</f>
        <v>42743</v>
      </c>
      <c r="C38653" s="1">
        <v>8.7310527968945299E-6</v>
      </c>
      <c r="D38653" s="1">
        <v>6.0704106936354696E-6</v>
      </c>
      <c r="E38653" s="1">
        <v>3.47643196405369E-5</v>
      </c>
      <c r="F38653" s="1">
        <v>9.1526323816353195E-6</v>
      </c>
    </row>
    <row r="38654" spans="1:6" x14ac:dyDescent="0.25">
      <c r="A38654" s="2" t="str">
        <f t="shared" si="1265"/>
        <v>99999</v>
      </c>
      <c r="B38654" s="2" t="str">
        <f>"42450"</f>
        <v>42450</v>
      </c>
      <c r="C38654" s="1">
        <v>2.1783976728251801E-4</v>
      </c>
      <c r="D38654" s="1">
        <v>2.6709807051996097E-4</v>
      </c>
      <c r="E38654" s="1">
        <v>3.7371643613577199E-4</v>
      </c>
      <c r="F38654" s="1">
        <v>2.24637433888397E-4</v>
      </c>
    </row>
    <row r="38655" spans="1:6" x14ac:dyDescent="0.25">
      <c r="A38655" s="2" t="str">
        <f t="shared" si="1265"/>
        <v>99999</v>
      </c>
      <c r="B38655" s="2" t="str">
        <f>"42157"</f>
        <v>42157</v>
      </c>
      <c r="C38655" s="1">
        <v>2.56474675908777E-5</v>
      </c>
      <c r="D38655" s="1">
        <v>7.5880133670443404E-6</v>
      </c>
      <c r="E38655" s="1">
        <v>0</v>
      </c>
      <c r="F38655" s="1">
        <v>2.38764322999182E-5</v>
      </c>
    </row>
    <row r="38656" spans="1:6" x14ac:dyDescent="0.25">
      <c r="A38656" s="2" t="str">
        <f t="shared" si="1265"/>
        <v>99999</v>
      </c>
      <c r="B38656" s="2" t="str">
        <f>"42127"</f>
        <v>42127</v>
      </c>
      <c r="C38656" s="1">
        <v>2.2373322792042201E-5</v>
      </c>
      <c r="D38656" s="1">
        <v>3.0352053468177301E-6</v>
      </c>
      <c r="E38656" s="1">
        <v>8.69107991013423E-6</v>
      </c>
      <c r="F38656" s="1">
        <v>2.0792393127845399E-5</v>
      </c>
    </row>
    <row r="38657" spans="1:6" x14ac:dyDescent="0.25">
      <c r="A38657" s="2" t="str">
        <f t="shared" si="1265"/>
        <v>99999</v>
      </c>
      <c r="B38657" s="2" t="str">
        <f>"42406"</f>
        <v>42406</v>
      </c>
      <c r="C38657" s="1">
        <v>1.6370723994177199E-6</v>
      </c>
      <c r="D38657" s="1">
        <v>0</v>
      </c>
      <c r="E38657" s="1">
        <v>0</v>
      </c>
      <c r="F38657" s="1">
        <v>1.4922770187448801E-6</v>
      </c>
    </row>
    <row r="38658" spans="1:6" x14ac:dyDescent="0.25">
      <c r="A38658" s="2" t="str">
        <f t="shared" si="1265"/>
        <v>99999</v>
      </c>
      <c r="B38658" s="2" t="str">
        <f>"42366"</f>
        <v>42366</v>
      </c>
      <c r="C38658" s="1">
        <v>2.6193158390683598E-6</v>
      </c>
      <c r="D38658" s="1">
        <v>0</v>
      </c>
      <c r="E38658" s="1">
        <v>8.69107991013423E-6</v>
      </c>
      <c r="F38658" s="1">
        <v>2.5866134991578E-6</v>
      </c>
    </row>
    <row r="38659" spans="1:6" x14ac:dyDescent="0.25">
      <c r="A38659" s="2" t="str">
        <f t="shared" si="1265"/>
        <v>99999</v>
      </c>
      <c r="B38659" s="2" t="str">
        <f>"42286"</f>
        <v>42286</v>
      </c>
      <c r="C38659" s="1">
        <v>5.9371159018882803E-5</v>
      </c>
      <c r="D38659" s="1">
        <v>3.1869656141586203E-5</v>
      </c>
      <c r="E38659" s="1">
        <v>3.47643196405369E-5</v>
      </c>
      <c r="F38659" s="1">
        <v>5.7004982116054699E-5</v>
      </c>
    </row>
    <row r="38660" spans="1:6" x14ac:dyDescent="0.25">
      <c r="A38660" s="2" t="str">
        <f t="shared" si="1265"/>
        <v>99999</v>
      </c>
      <c r="B38660" s="2" t="str">
        <f>"42265"</f>
        <v>42265</v>
      </c>
      <c r="C38660" s="1">
        <v>4.8784757502648199E-5</v>
      </c>
      <c r="D38660" s="1">
        <v>2.5799245447950699E-5</v>
      </c>
      <c r="E38660" s="1">
        <v>8.69107991013423E-6</v>
      </c>
      <c r="F38660" s="1">
        <v>4.6360072715674502E-5</v>
      </c>
    </row>
    <row r="38661" spans="1:6" x14ac:dyDescent="0.25">
      <c r="A38661" s="2" t="str">
        <f t="shared" si="1265"/>
        <v>99999</v>
      </c>
      <c r="B38661" s="2" t="str">
        <f>"42234"</f>
        <v>42234</v>
      </c>
      <c r="C38661" s="1">
        <v>1.60978785942743E-4</v>
      </c>
      <c r="D38661" s="1">
        <v>1.6238348605474899E-4</v>
      </c>
      <c r="E38661" s="1">
        <v>4.7800939505738197E-5</v>
      </c>
      <c r="F38661" s="1">
        <v>1.58479819390707E-4</v>
      </c>
    </row>
    <row r="38662" spans="1:6" x14ac:dyDescent="0.25">
      <c r="A38662" s="2" t="str">
        <f t="shared" si="1265"/>
        <v>99999</v>
      </c>
      <c r="B38662" s="2" t="str">
        <f>"42339"</f>
        <v>42339</v>
      </c>
      <c r="C38662" s="1">
        <v>2.1827631992236301E-7</v>
      </c>
      <c r="D38662" s="1">
        <v>0</v>
      </c>
      <c r="E38662" s="1">
        <v>0</v>
      </c>
      <c r="F38662" s="1">
        <v>1.9897026916598501E-7</v>
      </c>
    </row>
    <row r="38663" spans="1:6" x14ac:dyDescent="0.25">
      <c r="A38663" s="2" t="str">
        <f t="shared" si="1265"/>
        <v>99999</v>
      </c>
      <c r="B38663" s="2" t="str">
        <f>"42066"</f>
        <v>42066</v>
      </c>
      <c r="C38663" s="1">
        <v>4.3655263984472599E-6</v>
      </c>
      <c r="D38663" s="1">
        <v>0</v>
      </c>
      <c r="E38663" s="1">
        <v>0</v>
      </c>
      <c r="F38663" s="1">
        <v>3.9794053833197E-6</v>
      </c>
    </row>
    <row r="38664" spans="1:6" x14ac:dyDescent="0.25">
      <c r="A38664" s="2" t="str">
        <f t="shared" si="1265"/>
        <v>99999</v>
      </c>
      <c r="B38664" s="2" t="str">
        <f>"42220"</f>
        <v>42220</v>
      </c>
      <c r="C38664" s="1">
        <v>2.93254235815695E-4</v>
      </c>
      <c r="D38664" s="1">
        <v>1.76041910115428E-4</v>
      </c>
      <c r="E38664" s="1">
        <v>2.0858591784322101E-4</v>
      </c>
      <c r="F38664" s="1">
        <v>2.8363211869611199E-4</v>
      </c>
    </row>
    <row r="38665" spans="1:6" x14ac:dyDescent="0.25">
      <c r="A38665" s="2" t="str">
        <f t="shared" si="1265"/>
        <v>99999</v>
      </c>
      <c r="B38665" s="2" t="str">
        <f>"42036"</f>
        <v>42036</v>
      </c>
      <c r="C38665" s="1">
        <v>5.4569079980590801E-7</v>
      </c>
      <c r="D38665" s="1">
        <v>0</v>
      </c>
      <c r="E38665" s="1">
        <v>4.3455399550671099E-6</v>
      </c>
      <c r="F38665" s="1">
        <v>5.9691080749795498E-7</v>
      </c>
    </row>
    <row r="38666" spans="1:6" x14ac:dyDescent="0.25">
      <c r="A38666" s="2" t="str">
        <f t="shared" si="1265"/>
        <v>99999</v>
      </c>
      <c r="B38666" s="2" t="str">
        <f>"42048"</f>
        <v>42048</v>
      </c>
      <c r="C38666" s="1">
        <v>1.28892166914155E-4</v>
      </c>
      <c r="D38666" s="1">
        <v>8.1950544364078906E-5</v>
      </c>
      <c r="E38666" s="1">
        <v>1.17329578786812E-4</v>
      </c>
      <c r="F38666" s="1">
        <v>1.2555023984373601E-4</v>
      </c>
    </row>
    <row r="38667" spans="1:6" x14ac:dyDescent="0.25">
      <c r="A38667" s="2" t="str">
        <f t="shared" si="1265"/>
        <v>99999</v>
      </c>
      <c r="B38667" s="2" t="str">
        <f>"41149"</f>
        <v>41149</v>
      </c>
      <c r="C38667" s="1">
        <v>4.5510612703812697E-5</v>
      </c>
      <c r="D38667" s="1">
        <v>1.0623218713862E-5</v>
      </c>
      <c r="E38667" s="1">
        <v>2.1727699775335501E-5</v>
      </c>
      <c r="F38667" s="1">
        <v>4.2679122736103801E-5</v>
      </c>
    </row>
    <row r="38668" spans="1:6" x14ac:dyDescent="0.25">
      <c r="A38668" s="2" t="str">
        <f t="shared" si="1265"/>
        <v>99999</v>
      </c>
      <c r="B38668" s="2" t="str">
        <f>"41135"</f>
        <v>41135</v>
      </c>
      <c r="C38668" s="1">
        <v>1.1132092316040499E-5</v>
      </c>
      <c r="D38668" s="1">
        <v>1.51760267340886E-6</v>
      </c>
      <c r="E38668" s="1">
        <v>0</v>
      </c>
      <c r="F38668" s="1">
        <v>1.02469688620482E-5</v>
      </c>
    </row>
    <row r="38669" spans="1:6" x14ac:dyDescent="0.25">
      <c r="A38669" s="2" t="str">
        <f t="shared" si="1265"/>
        <v>99999</v>
      </c>
      <c r="B38669" s="2" t="str">
        <f>"41760"</f>
        <v>41760</v>
      </c>
      <c r="C38669" s="1">
        <v>1.9644868793012701E-6</v>
      </c>
      <c r="D38669" s="1">
        <v>0</v>
      </c>
      <c r="E38669" s="1">
        <v>4.3455399550671099E-6</v>
      </c>
      <c r="F38669" s="1">
        <v>1.89021755707686E-6</v>
      </c>
    </row>
    <row r="38670" spans="1:6" x14ac:dyDescent="0.25">
      <c r="A38670" s="2" t="str">
        <f t="shared" si="1265"/>
        <v>99999</v>
      </c>
      <c r="B38670" s="2" t="str">
        <f>"41735"</f>
        <v>41735</v>
      </c>
      <c r="C38670" s="1">
        <v>1.17869212758076E-5</v>
      </c>
      <c r="D38670" s="1">
        <v>1.51760267340886E-6</v>
      </c>
      <c r="E38670" s="1">
        <v>4.3455399550671099E-6</v>
      </c>
      <c r="F38670" s="1">
        <v>1.09433648041291E-5</v>
      </c>
    </row>
    <row r="38671" spans="1:6" x14ac:dyDescent="0.25">
      <c r="A38671" s="2" t="str">
        <f t="shared" si="1265"/>
        <v>99999</v>
      </c>
      <c r="B38671" s="2" t="str">
        <f>"41812"</f>
        <v>41812</v>
      </c>
      <c r="C38671" s="1">
        <v>1.27691647154582E-5</v>
      </c>
      <c r="D38671" s="1">
        <v>4.5528080202265997E-6</v>
      </c>
      <c r="E38671" s="1">
        <v>2.60732397304027E-5</v>
      </c>
      <c r="F38671" s="1">
        <v>1.2535126957457E-5</v>
      </c>
    </row>
    <row r="38672" spans="1:6" x14ac:dyDescent="0.25">
      <c r="A38672" s="2" t="str">
        <f t="shared" si="1265"/>
        <v>99999</v>
      </c>
      <c r="B38672" s="2" t="str">
        <f>"41828"</f>
        <v>41828</v>
      </c>
      <c r="C38672" s="1">
        <v>3.0122132149286099E-5</v>
      </c>
      <c r="D38672" s="1">
        <v>9.1056160404532095E-6</v>
      </c>
      <c r="E38672" s="1">
        <v>1.21675118741879E-4</v>
      </c>
      <c r="F38672" s="1">
        <v>3.0840391720727703E-5</v>
      </c>
    </row>
    <row r="38673" spans="1:6" x14ac:dyDescent="0.25">
      <c r="A38673" s="2" t="str">
        <f t="shared" si="1265"/>
        <v>99999</v>
      </c>
      <c r="B38673" s="2" t="str">
        <f>"41804"</f>
        <v>41804</v>
      </c>
      <c r="C38673" s="1">
        <v>3.53607638274228E-5</v>
      </c>
      <c r="D38673" s="1">
        <v>6.0704106936354696E-6</v>
      </c>
      <c r="E38673" s="1">
        <v>2.60732397304027E-5</v>
      </c>
      <c r="F38673" s="1">
        <v>3.3228034950719498E-5</v>
      </c>
    </row>
    <row r="38674" spans="1:6" x14ac:dyDescent="0.25">
      <c r="A38674" s="2" t="str">
        <f t="shared" ref="A38674:A38737" si="1266">"99999"</f>
        <v>99999</v>
      </c>
      <c r="B38674" s="2" t="str">
        <f>"41762"</f>
        <v>41762</v>
      </c>
      <c r="C38674" s="1">
        <v>6.8757040775544402E-6</v>
      </c>
      <c r="D38674" s="1">
        <v>1.51760267340886E-6</v>
      </c>
      <c r="E38674" s="1">
        <v>4.3455399550671099E-6</v>
      </c>
      <c r="F38674" s="1">
        <v>6.4665337478945197E-6</v>
      </c>
    </row>
    <row r="38675" spans="1:6" x14ac:dyDescent="0.25">
      <c r="A38675" s="2" t="str">
        <f t="shared" si="1266"/>
        <v>99999</v>
      </c>
      <c r="B38675" s="2" t="str">
        <f>"41368"</f>
        <v>41368</v>
      </c>
      <c r="C38675" s="1">
        <v>0</v>
      </c>
      <c r="D38675" s="1">
        <v>0</v>
      </c>
      <c r="E38675" s="1">
        <v>4.3455399550671099E-6</v>
      </c>
      <c r="F38675" s="1">
        <v>9.9485134582992598E-8</v>
      </c>
    </row>
    <row r="38676" spans="1:6" x14ac:dyDescent="0.25">
      <c r="A38676" s="2" t="str">
        <f t="shared" si="1266"/>
        <v>99999</v>
      </c>
      <c r="B38676" s="2" t="str">
        <f>"41397"</f>
        <v>41397</v>
      </c>
      <c r="C38676" s="1">
        <v>1.39696844750312E-5</v>
      </c>
      <c r="D38676" s="1">
        <v>0</v>
      </c>
      <c r="E38676" s="1">
        <v>4.3455399550671099E-6</v>
      </c>
      <c r="F38676" s="1">
        <v>1.2833582361206E-5</v>
      </c>
    </row>
    <row r="38677" spans="1:6" x14ac:dyDescent="0.25">
      <c r="A38677" s="2" t="str">
        <f t="shared" si="1266"/>
        <v>99999</v>
      </c>
      <c r="B38677" s="2" t="str">
        <f>"41263"</f>
        <v>41263</v>
      </c>
      <c r="C38677" s="1">
        <v>2.35738425516152E-5</v>
      </c>
      <c r="D38677" s="1">
        <v>0</v>
      </c>
      <c r="E38677" s="1">
        <v>1.7382159820268399E-5</v>
      </c>
      <c r="F38677" s="1">
        <v>2.1886729608258301E-5</v>
      </c>
    </row>
    <row r="38678" spans="1:6" x14ac:dyDescent="0.25">
      <c r="A38678" s="2" t="str">
        <f t="shared" si="1266"/>
        <v>99999</v>
      </c>
      <c r="B38678" s="2" t="str">
        <f>"41425"</f>
        <v>41425</v>
      </c>
      <c r="C38678" s="1">
        <v>6.0899093258339399E-5</v>
      </c>
      <c r="D38678" s="1">
        <v>1.0623218713862E-5</v>
      </c>
      <c r="E38678" s="1">
        <v>1.7382159820268399E-5</v>
      </c>
      <c r="F38678" s="1">
        <v>5.66070415777228E-5</v>
      </c>
    </row>
    <row r="38679" spans="1:6" x14ac:dyDescent="0.25">
      <c r="A38679" s="2" t="str">
        <f t="shared" si="1266"/>
        <v>99999</v>
      </c>
      <c r="B38679" s="2" t="str">
        <f>"41421"</f>
        <v>41421</v>
      </c>
      <c r="C38679" s="1">
        <v>1.5279342394565399E-5</v>
      </c>
      <c r="D38679" s="1">
        <v>0</v>
      </c>
      <c r="E38679" s="1">
        <v>4.7800939505738197E-5</v>
      </c>
      <c r="F38679" s="1">
        <v>1.50222553220318E-5</v>
      </c>
    </row>
    <row r="38680" spans="1:6" x14ac:dyDescent="0.25">
      <c r="A38680" s="2" t="str">
        <f t="shared" si="1266"/>
        <v>99999</v>
      </c>
      <c r="B38680" s="2" t="str">
        <f>"41413"</f>
        <v>41413</v>
      </c>
      <c r="C38680" s="1">
        <v>0</v>
      </c>
      <c r="D38680" s="1">
        <v>0</v>
      </c>
      <c r="E38680" s="1">
        <v>4.3455399550671099E-6</v>
      </c>
      <c r="F38680" s="1">
        <v>9.9485134582992598E-8</v>
      </c>
    </row>
    <row r="38681" spans="1:6" x14ac:dyDescent="0.25">
      <c r="A38681" s="2" t="str">
        <f t="shared" si="1266"/>
        <v>99999</v>
      </c>
      <c r="B38681" s="2" t="str">
        <f>"41408"</f>
        <v>41408</v>
      </c>
      <c r="C38681" s="1">
        <v>1.9535730633051498E-5</v>
      </c>
      <c r="D38681" s="1">
        <v>1.51760267340886E-6</v>
      </c>
      <c r="E38681" s="1">
        <v>8.69107991013423E-6</v>
      </c>
      <c r="F38681" s="1">
        <v>1.8106294494104601E-5</v>
      </c>
    </row>
    <row r="38682" spans="1:6" x14ac:dyDescent="0.25">
      <c r="A38682" s="2" t="str">
        <f t="shared" si="1266"/>
        <v>99999</v>
      </c>
      <c r="B38682" s="2" t="str">
        <f>"41385"</f>
        <v>41385</v>
      </c>
      <c r="C38682" s="1">
        <v>2.6520572870567099E-5</v>
      </c>
      <c r="D38682" s="1">
        <v>0</v>
      </c>
      <c r="E38682" s="1">
        <v>3.47643196405369E-5</v>
      </c>
      <c r="F38682" s="1">
        <v>2.4970768780331099E-5</v>
      </c>
    </row>
    <row r="38683" spans="1:6" x14ac:dyDescent="0.25">
      <c r="A38683" s="2" t="str">
        <f t="shared" si="1266"/>
        <v>99999</v>
      </c>
      <c r="B38683" s="2" t="str">
        <f>"41621"</f>
        <v>41621</v>
      </c>
      <c r="C38683" s="1">
        <v>1.6152447674254801E-5</v>
      </c>
      <c r="D38683" s="1">
        <v>0</v>
      </c>
      <c r="E38683" s="1">
        <v>4.3455399550671099E-6</v>
      </c>
      <c r="F38683" s="1">
        <v>1.4823285052865899E-5</v>
      </c>
    </row>
    <row r="38684" spans="1:6" x14ac:dyDescent="0.25">
      <c r="A38684" s="2" t="str">
        <f t="shared" si="1266"/>
        <v>99999</v>
      </c>
      <c r="B38684" s="2" t="str">
        <f>"41538"</f>
        <v>41538</v>
      </c>
      <c r="C38684" s="1">
        <v>1.4187960794953601E-6</v>
      </c>
      <c r="D38684" s="1">
        <v>1.51760267340886E-6</v>
      </c>
      <c r="E38684" s="1">
        <v>4.3455399550671099E-6</v>
      </c>
      <c r="F38684" s="1">
        <v>1.4922770187448801E-6</v>
      </c>
    </row>
    <row r="38685" spans="1:6" x14ac:dyDescent="0.25">
      <c r="A38685" s="2" t="str">
        <f t="shared" si="1266"/>
        <v>99999</v>
      </c>
      <c r="B38685" s="2" t="str">
        <f>"41606"</f>
        <v>41606</v>
      </c>
      <c r="C38685" s="1">
        <v>2.8266783429946001E-5</v>
      </c>
      <c r="D38685" s="1">
        <v>6.0704106936354696E-6</v>
      </c>
      <c r="E38685" s="1">
        <v>3.9109859595604001E-5</v>
      </c>
      <c r="F38685" s="1">
        <v>2.7059956606573898E-5</v>
      </c>
    </row>
    <row r="38686" spans="1:6" x14ac:dyDescent="0.25">
      <c r="A38686" s="2" t="str">
        <f t="shared" si="1266"/>
        <v>99999</v>
      </c>
      <c r="B38686" s="2" t="str">
        <f>"41667"</f>
        <v>41667</v>
      </c>
      <c r="C38686" s="1">
        <v>1.8990039833245598E-5</v>
      </c>
      <c r="D38686" s="1">
        <v>0</v>
      </c>
      <c r="E38686" s="1">
        <v>3.47643196405369E-5</v>
      </c>
      <c r="F38686" s="1">
        <v>1.8106294494104601E-5</v>
      </c>
    </row>
    <row r="38687" spans="1:6" x14ac:dyDescent="0.25">
      <c r="A38687" s="2" t="str">
        <f t="shared" si="1266"/>
        <v>99999</v>
      </c>
      <c r="B38687" s="2" t="str">
        <f>"41642"</f>
        <v>41642</v>
      </c>
      <c r="C38687" s="1">
        <v>3.2850586148315701E-5</v>
      </c>
      <c r="D38687" s="1">
        <v>3.3387258814995101E-5</v>
      </c>
      <c r="E38687" s="1">
        <v>9.1256339056409395E-5</v>
      </c>
      <c r="F38687" s="1">
        <v>3.4222886296549402E-5</v>
      </c>
    </row>
    <row r="38688" spans="1:6" x14ac:dyDescent="0.25">
      <c r="A38688" s="2" t="str">
        <f t="shared" si="1266"/>
        <v>99999</v>
      </c>
      <c r="B38688" s="2" t="str">
        <f>"41561"</f>
        <v>41561</v>
      </c>
      <c r="C38688" s="1">
        <v>0</v>
      </c>
      <c r="D38688" s="1">
        <v>0</v>
      </c>
      <c r="E38688" s="1">
        <v>4.3455399550671099E-6</v>
      </c>
      <c r="F38688" s="1">
        <v>9.9485134582992598E-8</v>
      </c>
    </row>
    <row r="38689" spans="1:6" x14ac:dyDescent="0.25">
      <c r="A38689" s="2" t="str">
        <f t="shared" si="1266"/>
        <v>99999</v>
      </c>
      <c r="B38689" s="2" t="str">
        <f>"41701"</f>
        <v>41701</v>
      </c>
      <c r="C38689" s="1">
        <v>7.4759639573409404E-4</v>
      </c>
      <c r="D38689" s="1">
        <v>1.45386336112569E-3</v>
      </c>
      <c r="E38689" s="1">
        <v>1.82947232108325E-3</v>
      </c>
      <c r="F38689" s="1">
        <v>8.18663172483446E-4</v>
      </c>
    </row>
    <row r="38690" spans="1:6" x14ac:dyDescent="0.25">
      <c r="A38690" s="2" t="str">
        <f t="shared" si="1266"/>
        <v>99999</v>
      </c>
      <c r="B38690" s="2" t="str">
        <f>"41604"</f>
        <v>41604</v>
      </c>
      <c r="C38690" s="1">
        <v>3.2414033508470899E-5</v>
      </c>
      <c r="D38690" s="1">
        <v>9.1056160404532095E-6</v>
      </c>
      <c r="E38690" s="1">
        <v>4.3455399550671099E-6</v>
      </c>
      <c r="F38690" s="1">
        <v>3.0243480913229702E-5</v>
      </c>
    </row>
    <row r="38691" spans="1:6" x14ac:dyDescent="0.25">
      <c r="A38691" s="2" t="str">
        <f t="shared" si="1266"/>
        <v>99999</v>
      </c>
      <c r="B38691" s="2" t="str">
        <f>"41555"</f>
        <v>41555</v>
      </c>
      <c r="C38691" s="1">
        <v>4.5292336383890401E-5</v>
      </c>
      <c r="D38691" s="1">
        <v>9.1056160404532095E-6</v>
      </c>
      <c r="E38691" s="1">
        <v>4.3455399550671099E-6</v>
      </c>
      <c r="F38691" s="1">
        <v>4.1982726794022798E-5</v>
      </c>
    </row>
    <row r="38692" spans="1:6" x14ac:dyDescent="0.25">
      <c r="A38692" s="2" t="str">
        <f t="shared" si="1266"/>
        <v>99999</v>
      </c>
      <c r="B38692" s="2" t="str">
        <f>"41528"</f>
        <v>41528</v>
      </c>
      <c r="C38692" s="1">
        <v>2.4446947831304701E-5</v>
      </c>
      <c r="D38692" s="1">
        <v>1.0623218713862E-5</v>
      </c>
      <c r="E38692" s="1">
        <v>1.3036619865201299E-5</v>
      </c>
      <c r="F38692" s="1">
        <v>2.3279521492420199E-5</v>
      </c>
    </row>
    <row r="38693" spans="1:6" x14ac:dyDescent="0.25">
      <c r="A38693" s="2" t="str">
        <f t="shared" si="1266"/>
        <v>99999</v>
      </c>
      <c r="B38693" s="2" t="str">
        <f>"41046"</f>
        <v>41046</v>
      </c>
      <c r="C38693" s="1">
        <v>2.1500217512352799E-5</v>
      </c>
      <c r="D38693" s="1">
        <v>3.0352053468177301E-6</v>
      </c>
      <c r="E38693" s="1">
        <v>0</v>
      </c>
      <c r="F38693" s="1">
        <v>1.9797541782015501E-5</v>
      </c>
    </row>
    <row r="38694" spans="1:6" x14ac:dyDescent="0.25">
      <c r="A38694" s="2" t="str">
        <f t="shared" si="1266"/>
        <v>99999</v>
      </c>
      <c r="B38694" s="2" t="str">
        <f>"41240"</f>
        <v>41240</v>
      </c>
      <c r="C38694" s="1">
        <v>3.7641751370611501E-4</v>
      </c>
      <c r="D38694" s="1">
        <v>8.8627996127077903E-4</v>
      </c>
      <c r="E38694" s="1">
        <v>9.5167325015969796E-4</v>
      </c>
      <c r="F38694" s="1">
        <v>4.2301079224688401E-4</v>
      </c>
    </row>
    <row r="38695" spans="1:6" x14ac:dyDescent="0.25">
      <c r="A38695" s="2" t="str">
        <f t="shared" si="1266"/>
        <v>99999</v>
      </c>
      <c r="B38695" s="2" t="str">
        <f>"41231"</f>
        <v>41231</v>
      </c>
      <c r="C38695" s="1">
        <v>3.71069743868017E-5</v>
      </c>
      <c r="D38695" s="1">
        <v>1.0623218713862E-5</v>
      </c>
      <c r="E38695" s="1">
        <v>1.3036619865201299E-5</v>
      </c>
      <c r="F38695" s="1">
        <v>3.48197971040474E-5</v>
      </c>
    </row>
    <row r="38696" spans="1:6" x14ac:dyDescent="0.25">
      <c r="A38696" s="2" t="str">
        <f t="shared" si="1266"/>
        <v>99999</v>
      </c>
      <c r="B38696" s="2" t="str">
        <f>"41224"</f>
        <v>41224</v>
      </c>
      <c r="C38696" s="1">
        <v>1.6130620042262601E-4</v>
      </c>
      <c r="D38696" s="1">
        <v>9.1056160404532095E-5</v>
      </c>
      <c r="E38696" s="1">
        <v>3.6067981627057E-4</v>
      </c>
      <c r="F38696" s="1">
        <v>1.6126540315903099E-4</v>
      </c>
    </row>
    <row r="38697" spans="1:6" x14ac:dyDescent="0.25">
      <c r="A38697" s="2" t="str">
        <f t="shared" si="1266"/>
        <v>99999</v>
      </c>
      <c r="B38697" s="2" t="str">
        <f>"41189"</f>
        <v>41189</v>
      </c>
      <c r="C38697" s="1">
        <v>1.27145956354776E-4</v>
      </c>
      <c r="D38697" s="1">
        <v>4.8563285549083798E-5</v>
      </c>
      <c r="E38697" s="1">
        <v>1.3036619865201299E-5</v>
      </c>
      <c r="F38697" s="1">
        <v>1.1938216149959101E-4</v>
      </c>
    </row>
    <row r="38698" spans="1:6" x14ac:dyDescent="0.25">
      <c r="A38698" s="2" t="str">
        <f t="shared" si="1266"/>
        <v>99999</v>
      </c>
      <c r="B38698" s="2" t="str">
        <f>"41040"</f>
        <v>41040</v>
      </c>
      <c r="C38698" s="1">
        <v>1.09138159961181E-7</v>
      </c>
      <c r="D38698" s="1">
        <v>0</v>
      </c>
      <c r="E38698" s="1">
        <v>0</v>
      </c>
      <c r="F38698" s="1">
        <v>9.9485134582992598E-8</v>
      </c>
    </row>
    <row r="38699" spans="1:6" x14ac:dyDescent="0.25">
      <c r="A38699" s="2" t="str">
        <f t="shared" si="1266"/>
        <v>99999</v>
      </c>
      <c r="B38699" s="2" t="str">
        <f>"40847"</f>
        <v>40847</v>
      </c>
      <c r="C38699" s="1">
        <v>0</v>
      </c>
      <c r="D38699" s="1">
        <v>0</v>
      </c>
      <c r="E38699" s="1">
        <v>4.3455399550671099E-6</v>
      </c>
      <c r="F38699" s="1">
        <v>9.9485134582992598E-8</v>
      </c>
    </row>
    <row r="38700" spans="1:6" x14ac:dyDescent="0.25">
      <c r="A38700" s="2" t="str">
        <f t="shared" si="1266"/>
        <v>99999</v>
      </c>
      <c r="B38700" s="2" t="str">
        <f>"40769"</f>
        <v>40769</v>
      </c>
      <c r="C38700" s="1">
        <v>1.0804677836156901E-5</v>
      </c>
      <c r="D38700" s="1">
        <v>1.51760267340886E-6</v>
      </c>
      <c r="E38700" s="1">
        <v>0</v>
      </c>
      <c r="F38700" s="1">
        <v>9.9485134582992602E-6</v>
      </c>
    </row>
    <row r="38701" spans="1:6" x14ac:dyDescent="0.25">
      <c r="A38701" s="2" t="str">
        <f t="shared" si="1266"/>
        <v>99999</v>
      </c>
      <c r="B38701" s="2" t="str">
        <f>"40914"</f>
        <v>40914</v>
      </c>
      <c r="C38701" s="1">
        <v>2.4010395191459898E-6</v>
      </c>
      <c r="D38701" s="1">
        <v>0</v>
      </c>
      <c r="E38701" s="1">
        <v>0</v>
      </c>
      <c r="F38701" s="1">
        <v>2.1886729608258301E-6</v>
      </c>
    </row>
    <row r="38702" spans="1:6" x14ac:dyDescent="0.25">
      <c r="A38702" s="2" t="str">
        <f t="shared" si="1266"/>
        <v>99999</v>
      </c>
      <c r="B38702" s="2" t="str">
        <f>"40818"</f>
        <v>40818</v>
      </c>
      <c r="C38702" s="1">
        <v>6.6574277576320803E-6</v>
      </c>
      <c r="D38702" s="1">
        <v>3.0352053468177301E-6</v>
      </c>
      <c r="E38702" s="1">
        <v>1.3036619865201299E-5</v>
      </c>
      <c r="F38702" s="1">
        <v>6.5660188824775097E-6</v>
      </c>
    </row>
    <row r="38703" spans="1:6" x14ac:dyDescent="0.25">
      <c r="A38703" s="2" t="str">
        <f t="shared" si="1266"/>
        <v>99999</v>
      </c>
      <c r="B38703" s="2" t="str">
        <f>"40962"</f>
        <v>40962</v>
      </c>
      <c r="C38703" s="1">
        <v>3.2741447988354498E-7</v>
      </c>
      <c r="D38703" s="1">
        <v>0</v>
      </c>
      <c r="E38703" s="1">
        <v>0</v>
      </c>
      <c r="F38703" s="1">
        <v>2.9845540374897701E-7</v>
      </c>
    </row>
    <row r="38704" spans="1:6" x14ac:dyDescent="0.25">
      <c r="A38704" s="2" t="str">
        <f t="shared" si="1266"/>
        <v>99999</v>
      </c>
      <c r="B38704" s="2" t="str">
        <f>"40473"</f>
        <v>40473</v>
      </c>
      <c r="C38704" s="1">
        <v>0</v>
      </c>
      <c r="D38704" s="1">
        <v>1.51760267340886E-6</v>
      </c>
      <c r="E38704" s="1">
        <v>4.3455399550671099E-6</v>
      </c>
      <c r="F38704" s="1">
        <v>1.9897026916598501E-7</v>
      </c>
    </row>
    <row r="38705" spans="1:6" x14ac:dyDescent="0.25">
      <c r="A38705" s="2" t="str">
        <f t="shared" si="1266"/>
        <v>99999</v>
      </c>
      <c r="B38705" s="2" t="str">
        <f>"40370"</f>
        <v>40370</v>
      </c>
      <c r="C38705" s="1">
        <v>3.8198355986413601E-5</v>
      </c>
      <c r="D38705" s="1">
        <v>0</v>
      </c>
      <c r="E38705" s="1">
        <v>0</v>
      </c>
      <c r="F38705" s="1">
        <v>3.48197971040474E-5</v>
      </c>
    </row>
    <row r="38706" spans="1:6" x14ac:dyDescent="0.25">
      <c r="A38706" s="2" t="str">
        <f t="shared" si="1266"/>
        <v>99999</v>
      </c>
      <c r="B38706" s="2" t="str">
        <f>"40337"</f>
        <v>40337</v>
      </c>
      <c r="C38706" s="1">
        <v>6.5482895976708995E-7</v>
      </c>
      <c r="D38706" s="1">
        <v>0</v>
      </c>
      <c r="E38706" s="1">
        <v>0</v>
      </c>
      <c r="F38706" s="1">
        <v>5.9691080749795498E-7</v>
      </c>
    </row>
    <row r="38707" spans="1:6" x14ac:dyDescent="0.25">
      <c r="A38707" s="2" t="str">
        <f t="shared" si="1266"/>
        <v>99999</v>
      </c>
      <c r="B38707" s="2" t="str">
        <f>"40336"</f>
        <v>40336</v>
      </c>
      <c r="C38707" s="1">
        <v>4.9112171982531701E-6</v>
      </c>
      <c r="D38707" s="1">
        <v>0</v>
      </c>
      <c r="E38707" s="1">
        <v>0</v>
      </c>
      <c r="F38707" s="1">
        <v>4.4768310562346604E-6</v>
      </c>
    </row>
    <row r="38708" spans="1:6" x14ac:dyDescent="0.25">
      <c r="A38708" s="2" t="str">
        <f t="shared" si="1266"/>
        <v>99999</v>
      </c>
      <c r="B38708" s="2" t="str">
        <f>"40328"</f>
        <v>40328</v>
      </c>
      <c r="C38708" s="1">
        <v>5.4350803660668497E-5</v>
      </c>
      <c r="D38708" s="1">
        <v>2.1246437427724101E-5</v>
      </c>
      <c r="E38708" s="1">
        <v>5.6492019415872502E-5</v>
      </c>
      <c r="F38708" s="1">
        <v>5.2229695656071103E-5</v>
      </c>
    </row>
    <row r="38709" spans="1:6" x14ac:dyDescent="0.25">
      <c r="A38709" s="2" t="str">
        <f t="shared" si="1266"/>
        <v>99999</v>
      </c>
      <c r="B38709" s="2" t="str">
        <f>"40145"</f>
        <v>40145</v>
      </c>
      <c r="C38709" s="1">
        <v>5.8498053739193401E-5</v>
      </c>
      <c r="D38709" s="1">
        <v>1.21408213872709E-5</v>
      </c>
      <c r="E38709" s="1">
        <v>4.3455399550671103E-5</v>
      </c>
      <c r="F38709" s="1">
        <v>5.5114764558977897E-5</v>
      </c>
    </row>
    <row r="38710" spans="1:6" x14ac:dyDescent="0.25">
      <c r="A38710" s="2" t="str">
        <f t="shared" si="1266"/>
        <v>99999</v>
      </c>
      <c r="B38710" s="2" t="str">
        <f>"40119"</f>
        <v>40119</v>
      </c>
      <c r="C38710" s="1">
        <v>1.6730879922049099E-4</v>
      </c>
      <c r="D38710" s="1">
        <v>5.4633696242719298E-5</v>
      </c>
      <c r="E38710" s="1">
        <v>3.2591549663003302E-4</v>
      </c>
      <c r="F38710" s="1">
        <v>1.6355356125443901E-4</v>
      </c>
    </row>
    <row r="38711" spans="1:6" x14ac:dyDescent="0.25">
      <c r="A38711" s="2" t="str">
        <f t="shared" si="1266"/>
        <v>99999</v>
      </c>
      <c r="B38711" s="2" t="str">
        <f>"40060"</f>
        <v>40060</v>
      </c>
      <c r="C38711" s="1">
        <v>6.4391514377097205E-5</v>
      </c>
      <c r="D38711" s="1">
        <v>3.3387258814995101E-5</v>
      </c>
      <c r="E38711" s="1">
        <v>1.12984038831745E-4</v>
      </c>
      <c r="F38711" s="1">
        <v>6.3471515863949298E-5</v>
      </c>
    </row>
    <row r="38712" spans="1:6" x14ac:dyDescent="0.25">
      <c r="A38712" s="2" t="str">
        <f t="shared" si="1266"/>
        <v>99999</v>
      </c>
      <c r="B38712" s="2" t="str">
        <f>"40037"</f>
        <v>40037</v>
      </c>
      <c r="C38712" s="1">
        <v>1.3936943027042899E-4</v>
      </c>
      <c r="D38712" s="1">
        <v>3.9457669508630602E-5</v>
      </c>
      <c r="E38712" s="1">
        <v>1.82512678112818E-4</v>
      </c>
      <c r="F38712" s="1">
        <v>1.33807506014125E-4</v>
      </c>
    </row>
    <row r="38713" spans="1:6" x14ac:dyDescent="0.25">
      <c r="A38713" s="2" t="str">
        <f t="shared" si="1266"/>
        <v>99999</v>
      </c>
      <c r="B38713" s="2" t="str">
        <f>"40069"</f>
        <v>40069</v>
      </c>
      <c r="C38713" s="1">
        <v>4.2771244888787101E-4</v>
      </c>
      <c r="D38713" s="1">
        <v>4.9929127955151802E-4</v>
      </c>
      <c r="E38713" s="1">
        <v>1.54701222400389E-3</v>
      </c>
      <c r="F38713" s="1">
        <v>4.5802955962009803E-4</v>
      </c>
    </row>
    <row r="38714" spans="1:6" x14ac:dyDescent="0.25">
      <c r="A38714" s="2" t="str">
        <f t="shared" si="1266"/>
        <v>99999</v>
      </c>
      <c r="B38714" s="2" t="str">
        <f>"39666"</f>
        <v>39666</v>
      </c>
      <c r="C38714" s="1">
        <v>6.7774797335893794E-5</v>
      </c>
      <c r="D38714" s="1">
        <v>1.0623218713862E-5</v>
      </c>
      <c r="E38714" s="1">
        <v>0</v>
      </c>
      <c r="F38714" s="1">
        <v>6.2476664518119299E-5</v>
      </c>
    </row>
    <row r="38715" spans="1:6" x14ac:dyDescent="0.25">
      <c r="A38715" s="2" t="str">
        <f t="shared" si="1266"/>
        <v>99999</v>
      </c>
      <c r="B38715" s="2" t="str">
        <f>"39776"</f>
        <v>39776</v>
      </c>
      <c r="C38715" s="1">
        <v>7.7160679092555396E-5</v>
      </c>
      <c r="D38715" s="1">
        <v>7.1327325650216798E-5</v>
      </c>
      <c r="E38715" s="1">
        <v>4.3455399550671099E-6</v>
      </c>
      <c r="F38715" s="1">
        <v>7.5111276610159399E-5</v>
      </c>
    </row>
    <row r="38716" spans="1:6" x14ac:dyDescent="0.25">
      <c r="A38716" s="2" t="str">
        <f t="shared" si="1266"/>
        <v>99999</v>
      </c>
      <c r="B38716" s="2" t="str">
        <f>"39842"</f>
        <v>39842</v>
      </c>
      <c r="C38716" s="1">
        <v>8.7310527968945299E-7</v>
      </c>
      <c r="D38716" s="1">
        <v>0</v>
      </c>
      <c r="E38716" s="1">
        <v>0</v>
      </c>
      <c r="F38716" s="1">
        <v>7.9588107666394099E-7</v>
      </c>
    </row>
    <row r="38717" spans="1:6" x14ac:dyDescent="0.25">
      <c r="A38717" s="2" t="str">
        <f t="shared" si="1266"/>
        <v>99999</v>
      </c>
      <c r="B38717" s="2" t="str">
        <f>"39824"</f>
        <v>39824</v>
      </c>
      <c r="C38717" s="1">
        <v>2.1172803032469199E-5</v>
      </c>
      <c r="D38717" s="1">
        <v>9.1056160404532095E-6</v>
      </c>
      <c r="E38717" s="1">
        <v>0</v>
      </c>
      <c r="F38717" s="1">
        <v>1.98970269165985E-5</v>
      </c>
    </row>
    <row r="38718" spans="1:6" x14ac:dyDescent="0.25">
      <c r="A38718" s="2" t="str">
        <f t="shared" si="1266"/>
        <v>99999</v>
      </c>
      <c r="B38718" s="2" t="str">
        <f>"39744"</f>
        <v>39744</v>
      </c>
      <c r="C38718" s="1">
        <v>2.3792118871537602E-5</v>
      </c>
      <c r="D38718" s="1">
        <v>4.5528080202265997E-6</v>
      </c>
      <c r="E38718" s="1">
        <v>0</v>
      </c>
      <c r="F38718" s="1">
        <v>2.1986214742841299E-5</v>
      </c>
    </row>
    <row r="38719" spans="1:6" x14ac:dyDescent="0.25">
      <c r="A38719" s="2" t="str">
        <f t="shared" si="1266"/>
        <v>99999</v>
      </c>
      <c r="B38719" s="2" t="str">
        <f>"39451"</f>
        <v>39451</v>
      </c>
      <c r="C38719" s="1">
        <v>2.5385536006970798E-4</v>
      </c>
      <c r="D38719" s="1">
        <v>2.09429168930423E-4</v>
      </c>
      <c r="E38719" s="1">
        <v>4.3455399550671103E-5</v>
      </c>
      <c r="F38719" s="1">
        <v>2.4612622295832302E-4</v>
      </c>
    </row>
    <row r="38720" spans="1:6" x14ac:dyDescent="0.25">
      <c r="A38720" s="2" t="str">
        <f t="shared" si="1266"/>
        <v>99999</v>
      </c>
      <c r="B38720" s="2" t="str">
        <f>"39422"</f>
        <v>39422</v>
      </c>
      <c r="C38720" s="1">
        <v>3.9508013905947698E-5</v>
      </c>
      <c r="D38720" s="1">
        <v>6.0704106936354696E-6</v>
      </c>
      <c r="E38720" s="1">
        <v>0</v>
      </c>
      <c r="F38720" s="1">
        <v>3.6411559257375301E-5</v>
      </c>
    </row>
    <row r="38721" spans="1:6" x14ac:dyDescent="0.25">
      <c r="A38721" s="2" t="str">
        <f t="shared" si="1266"/>
        <v>99999</v>
      </c>
      <c r="B38721" s="2" t="str">
        <f>"39421"</f>
        <v>39421</v>
      </c>
      <c r="C38721" s="1">
        <v>1.4897358834701301E-4</v>
      </c>
      <c r="D38721" s="1">
        <v>7.1327325650216798E-5</v>
      </c>
      <c r="E38721" s="1">
        <v>2.60732397304027E-5</v>
      </c>
      <c r="F38721" s="1">
        <v>1.4106992083868299E-4</v>
      </c>
    </row>
    <row r="38722" spans="1:6" x14ac:dyDescent="0.25">
      <c r="A38722" s="2" t="str">
        <f t="shared" si="1266"/>
        <v>99999</v>
      </c>
      <c r="B38722" s="2" t="str">
        <f>"39482"</f>
        <v>39482</v>
      </c>
      <c r="C38722" s="1">
        <v>5.5005632620435501E-5</v>
      </c>
      <c r="D38722" s="1">
        <v>1.0623218713862E-5</v>
      </c>
      <c r="E38722" s="1">
        <v>0</v>
      </c>
      <c r="F38722" s="1">
        <v>5.0836903771909198E-5</v>
      </c>
    </row>
    <row r="38723" spans="1:6" x14ac:dyDescent="0.25">
      <c r="A38723" s="2" t="str">
        <f t="shared" si="1266"/>
        <v>99999</v>
      </c>
      <c r="B38723" s="2" t="str">
        <f>"39361"</f>
        <v>39361</v>
      </c>
      <c r="C38723" s="1">
        <v>8.3927245010148696E-5</v>
      </c>
      <c r="D38723" s="1">
        <v>5.4633696242719298E-5</v>
      </c>
      <c r="E38723" s="1">
        <v>1.7382159820268399E-5</v>
      </c>
      <c r="F38723" s="1">
        <v>8.0483473877640993E-5</v>
      </c>
    </row>
    <row r="38724" spans="1:6" x14ac:dyDescent="0.25">
      <c r="A38724" s="2" t="str">
        <f t="shared" si="1266"/>
        <v>99999</v>
      </c>
      <c r="B38724" s="2" t="str">
        <f>"39350"</f>
        <v>39350</v>
      </c>
      <c r="C38724" s="1">
        <v>1.25705332643289E-3</v>
      </c>
      <c r="D38724" s="1">
        <v>1.68757417283066E-3</v>
      </c>
      <c r="E38724" s="1">
        <v>6.3879437339486595E-4</v>
      </c>
      <c r="F38724" s="1">
        <v>1.27112156456689E-3</v>
      </c>
    </row>
    <row r="38725" spans="1:6" x14ac:dyDescent="0.25">
      <c r="A38725" s="2" t="str">
        <f t="shared" si="1266"/>
        <v>99999</v>
      </c>
      <c r="B38725" s="2" t="str">
        <f>"39336"</f>
        <v>39336</v>
      </c>
      <c r="C38725" s="1">
        <v>7.6287573812865994E-5</v>
      </c>
      <c r="D38725" s="1">
        <v>1.5176026734088599E-5</v>
      </c>
      <c r="E38725" s="1">
        <v>0</v>
      </c>
      <c r="F38725" s="1">
        <v>7.0534960419341698E-5</v>
      </c>
    </row>
    <row r="38726" spans="1:6" x14ac:dyDescent="0.25">
      <c r="A38726" s="2" t="str">
        <f t="shared" si="1266"/>
        <v>99999</v>
      </c>
      <c r="B38726" s="2" t="str">
        <f>"39152"</f>
        <v>39152</v>
      </c>
      <c r="C38726" s="1">
        <v>7.4650501413448304E-5</v>
      </c>
      <c r="D38726" s="1">
        <v>9.1056160404532095E-6</v>
      </c>
      <c r="E38726" s="1">
        <v>0</v>
      </c>
      <c r="F38726" s="1">
        <v>6.8644742862264895E-5</v>
      </c>
    </row>
    <row r="38727" spans="1:6" x14ac:dyDescent="0.25">
      <c r="A38727" s="2" t="str">
        <f t="shared" si="1266"/>
        <v>99999</v>
      </c>
      <c r="B38727" s="2" t="str">
        <f>"39098"</f>
        <v>39098</v>
      </c>
      <c r="C38727" s="1">
        <v>0</v>
      </c>
      <c r="D38727" s="1">
        <v>1.51760267340886E-6</v>
      </c>
      <c r="E38727" s="1">
        <v>0</v>
      </c>
      <c r="F38727" s="1">
        <v>9.9485134582992598E-8</v>
      </c>
    </row>
    <row r="38728" spans="1:6" x14ac:dyDescent="0.25">
      <c r="A38728" s="2" t="str">
        <f t="shared" si="1266"/>
        <v>99999</v>
      </c>
      <c r="B38728" s="2" t="str">
        <f>"39194"</f>
        <v>39194</v>
      </c>
      <c r="C38728" s="1">
        <v>9.1676054367392598E-6</v>
      </c>
      <c r="D38728" s="1">
        <v>4.5528080202265997E-6</v>
      </c>
      <c r="E38728" s="1">
        <v>0</v>
      </c>
      <c r="F38728" s="1">
        <v>8.6552067087203506E-6</v>
      </c>
    </row>
    <row r="38729" spans="1:6" x14ac:dyDescent="0.25">
      <c r="A38729" s="2" t="str">
        <f t="shared" si="1266"/>
        <v>99999</v>
      </c>
      <c r="B38729" s="2" t="str">
        <f>"39092"</f>
        <v>39092</v>
      </c>
      <c r="C38729" s="1">
        <v>1.58577746423597E-4</v>
      </c>
      <c r="D38729" s="1">
        <v>5.6151298916128101E-5</v>
      </c>
      <c r="E38729" s="1">
        <v>8.69107991013423E-6</v>
      </c>
      <c r="F38729" s="1">
        <v>1.48431820797825E-4</v>
      </c>
    </row>
    <row r="38730" spans="1:6" x14ac:dyDescent="0.25">
      <c r="A38730" s="2" t="str">
        <f t="shared" si="1266"/>
        <v>99999</v>
      </c>
      <c r="B38730" s="2" t="str">
        <f>"39079"</f>
        <v>39079</v>
      </c>
      <c r="C38730" s="1">
        <v>7.6396711972827196E-6</v>
      </c>
      <c r="D38730" s="1">
        <v>1.51760267340886E-6</v>
      </c>
      <c r="E38730" s="1">
        <v>8.69107991013423E-6</v>
      </c>
      <c r="F38730" s="1">
        <v>7.2624148245584604E-6</v>
      </c>
    </row>
    <row r="38731" spans="1:6" x14ac:dyDescent="0.25">
      <c r="A38731" s="2" t="str">
        <f t="shared" si="1266"/>
        <v>99999</v>
      </c>
      <c r="B38731" s="2" t="str">
        <f>"39074"</f>
        <v>39074</v>
      </c>
      <c r="C38731" s="1">
        <v>7.9845477827600504E-4</v>
      </c>
      <c r="D38731" s="1">
        <v>9.9858255910303603E-4</v>
      </c>
      <c r="E38731" s="1">
        <v>3.7371643613577199E-4</v>
      </c>
      <c r="F38731" s="1">
        <v>8.0185018473892002E-4</v>
      </c>
    </row>
    <row r="38732" spans="1:6" x14ac:dyDescent="0.25">
      <c r="A38732" s="2" t="str">
        <f t="shared" si="1266"/>
        <v>99999</v>
      </c>
      <c r="B38732" s="2" t="str">
        <f>"39177"</f>
        <v>39177</v>
      </c>
      <c r="C38732" s="1">
        <v>0</v>
      </c>
      <c r="D38732" s="1">
        <v>1.51760267340886E-6</v>
      </c>
      <c r="E38732" s="1">
        <v>0</v>
      </c>
      <c r="F38732" s="1">
        <v>9.9485134582992598E-8</v>
      </c>
    </row>
    <row r="38733" spans="1:6" x14ac:dyDescent="0.25">
      <c r="A38733" s="2" t="str">
        <f t="shared" si="1266"/>
        <v>99999</v>
      </c>
      <c r="B38733" s="2" t="str">
        <f>"39183"</f>
        <v>39183</v>
      </c>
      <c r="C38733" s="1">
        <v>1.09138159961181E-7</v>
      </c>
      <c r="D38733" s="1">
        <v>1.51760267340886E-6</v>
      </c>
      <c r="E38733" s="1">
        <v>0</v>
      </c>
      <c r="F38733" s="1">
        <v>1.9897026916598501E-7</v>
      </c>
    </row>
    <row r="38734" spans="1:6" x14ac:dyDescent="0.25">
      <c r="A38734" s="2" t="str">
        <f t="shared" si="1266"/>
        <v>99999</v>
      </c>
      <c r="B38734" s="2" t="str">
        <f>"39175"</f>
        <v>39175</v>
      </c>
      <c r="C38734" s="1">
        <v>9.4950199166228093E-6</v>
      </c>
      <c r="D38734" s="1">
        <v>3.0352053468177301E-6</v>
      </c>
      <c r="E38734" s="1">
        <v>0</v>
      </c>
      <c r="F38734" s="1">
        <v>8.8541769778863392E-6</v>
      </c>
    </row>
    <row r="38735" spans="1:6" x14ac:dyDescent="0.25">
      <c r="A38735" s="2" t="str">
        <f t="shared" si="1266"/>
        <v>99999</v>
      </c>
      <c r="B38735" s="2" t="str">
        <f>"39067"</f>
        <v>39067</v>
      </c>
      <c r="C38735" s="1">
        <v>7.1812909254457503E-5</v>
      </c>
      <c r="D38735" s="1">
        <v>3.0352053468177301E-6</v>
      </c>
      <c r="E38735" s="1">
        <v>0</v>
      </c>
      <c r="F38735" s="1">
        <v>6.5660188824775102E-5</v>
      </c>
    </row>
    <row r="38736" spans="1:6" x14ac:dyDescent="0.25">
      <c r="A38736" s="2" t="str">
        <f t="shared" si="1266"/>
        <v>99999</v>
      </c>
      <c r="B38736" s="2" t="str">
        <f>"39038"</f>
        <v>39038</v>
      </c>
      <c r="C38736" s="1">
        <v>3.2032049948606798E-4</v>
      </c>
      <c r="D38736" s="1">
        <v>5.4026655173355703E-4</v>
      </c>
      <c r="E38736" s="1">
        <v>2.5638685734895902E-4</v>
      </c>
      <c r="F38736" s="1">
        <v>3.3327520085302498E-4</v>
      </c>
    </row>
    <row r="38737" spans="1:6" x14ac:dyDescent="0.25">
      <c r="A38737" s="2" t="str">
        <f t="shared" si="1266"/>
        <v>99999</v>
      </c>
      <c r="B38737" s="2" t="str">
        <f>"38967"</f>
        <v>38967</v>
      </c>
      <c r="C38737" s="1">
        <v>3.5240711851465501E-4</v>
      </c>
      <c r="D38737" s="1">
        <v>6.0400586401673003E-4</v>
      </c>
      <c r="E38737" s="1">
        <v>1.56439438382416E-4</v>
      </c>
      <c r="F38737" s="1">
        <v>3.6441404797750199E-4</v>
      </c>
    </row>
    <row r="38738" spans="1:6" x14ac:dyDescent="0.25">
      <c r="A38738" s="2" t="str">
        <f t="shared" ref="A38738:A38801" si="1267">"99999"</f>
        <v>99999</v>
      </c>
      <c r="B38738" s="2" t="str">
        <f>"38745"</f>
        <v>38745</v>
      </c>
      <c r="C38738" s="1">
        <v>0</v>
      </c>
      <c r="D38738" s="1">
        <v>1.51760267340886E-6</v>
      </c>
      <c r="E38738" s="1">
        <v>0</v>
      </c>
      <c r="F38738" s="1">
        <v>9.9485134582992598E-8</v>
      </c>
    </row>
    <row r="38739" spans="1:6" x14ac:dyDescent="0.25">
      <c r="A38739" s="2" t="str">
        <f t="shared" si="1267"/>
        <v>99999</v>
      </c>
      <c r="B38739" s="2" t="str">
        <f>"38962"</f>
        <v>38962</v>
      </c>
      <c r="C38739" s="1">
        <v>0</v>
      </c>
      <c r="D38739" s="1">
        <v>1.51760267340886E-6</v>
      </c>
      <c r="E38739" s="1">
        <v>0</v>
      </c>
      <c r="F38739" s="1">
        <v>9.9485134582992598E-8</v>
      </c>
    </row>
    <row r="38740" spans="1:6" x14ac:dyDescent="0.25">
      <c r="A38740" s="2" t="str">
        <f t="shared" si="1267"/>
        <v>99999</v>
      </c>
      <c r="B38740" s="2" t="str">
        <f>"38961"</f>
        <v>38961</v>
      </c>
      <c r="C38740" s="1">
        <v>8.9929843808013695E-5</v>
      </c>
      <c r="D38740" s="1">
        <v>2.4281642774541899E-5</v>
      </c>
      <c r="E38740" s="1">
        <v>0</v>
      </c>
      <c r="F38740" s="1">
        <v>8.3567513049713805E-5</v>
      </c>
    </row>
    <row r="38741" spans="1:6" x14ac:dyDescent="0.25">
      <c r="A38741" s="2" t="str">
        <f t="shared" si="1267"/>
        <v>99999</v>
      </c>
      <c r="B38741" s="2" t="str">
        <f>"38844"</f>
        <v>38844</v>
      </c>
      <c r="C38741" s="1">
        <v>7.7488093572439E-6</v>
      </c>
      <c r="D38741" s="1">
        <v>1.51760267340886E-6</v>
      </c>
      <c r="E38741" s="1">
        <v>0</v>
      </c>
      <c r="F38741" s="1">
        <v>7.1629296899754602E-6</v>
      </c>
    </row>
    <row r="38742" spans="1:6" x14ac:dyDescent="0.25">
      <c r="A38742" s="2" t="str">
        <f t="shared" si="1267"/>
        <v>99999</v>
      </c>
      <c r="B38742" s="2" t="str">
        <f>"38850"</f>
        <v>38850</v>
      </c>
      <c r="C38742" s="1">
        <v>1.3740494339112701E-4</v>
      </c>
      <c r="D38742" s="1">
        <v>7.8915339017261203E-5</v>
      </c>
      <c r="E38742" s="1">
        <v>3.9109859595604001E-5</v>
      </c>
      <c r="F38742" s="1">
        <v>1.3132037764954999E-4</v>
      </c>
    </row>
    <row r="38743" spans="1:6" x14ac:dyDescent="0.25">
      <c r="A38743" s="2" t="str">
        <f t="shared" si="1267"/>
        <v>99999</v>
      </c>
      <c r="B38743" s="2" t="str">
        <f>"38864"</f>
        <v>38864</v>
      </c>
      <c r="C38743" s="1">
        <v>9.8224343965063504E-6</v>
      </c>
      <c r="D38743" s="1">
        <v>1.51760267340886E-6</v>
      </c>
      <c r="E38743" s="1">
        <v>8.69107991013423E-6</v>
      </c>
      <c r="F38743" s="1">
        <v>9.2521175162183095E-6</v>
      </c>
    </row>
    <row r="38744" spans="1:6" x14ac:dyDescent="0.25">
      <c r="A38744" s="2" t="str">
        <f t="shared" si="1267"/>
        <v>99999</v>
      </c>
      <c r="B38744" s="2" t="str">
        <f>"38915"</f>
        <v>38915</v>
      </c>
      <c r="C38744" s="1">
        <v>1.7516674673769599E-4</v>
      </c>
      <c r="D38744" s="1">
        <v>1.09267392485438E-4</v>
      </c>
      <c r="E38744" s="1">
        <v>8.69107991013423E-5</v>
      </c>
      <c r="F38744" s="1">
        <v>1.6882627338733801E-4</v>
      </c>
    </row>
    <row r="38745" spans="1:6" x14ac:dyDescent="0.25">
      <c r="A38745" s="2" t="str">
        <f t="shared" si="1267"/>
        <v>99999</v>
      </c>
      <c r="B38745" s="2" t="str">
        <f>"38878"</f>
        <v>38878</v>
      </c>
      <c r="C38745" s="1">
        <v>1.44062371148759E-4</v>
      </c>
      <c r="D38745" s="1">
        <v>6.5256914956581297E-5</v>
      </c>
      <c r="E38745" s="1">
        <v>2.60732397304027E-5</v>
      </c>
      <c r="F38745" s="1">
        <v>1.3619514924411599E-4</v>
      </c>
    </row>
    <row r="38746" spans="1:6" x14ac:dyDescent="0.25">
      <c r="A38746" s="2" t="str">
        <f t="shared" si="1267"/>
        <v>99999</v>
      </c>
      <c r="B38746" s="2" t="str">
        <f>"38868"</f>
        <v>38868</v>
      </c>
      <c r="C38746" s="1">
        <v>1.47336515947595E-5</v>
      </c>
      <c r="D38746" s="1">
        <v>1.51760267340886E-6</v>
      </c>
      <c r="E38746" s="1">
        <v>0</v>
      </c>
      <c r="F38746" s="1">
        <v>1.35299783032869E-5</v>
      </c>
    </row>
    <row r="38747" spans="1:6" x14ac:dyDescent="0.25">
      <c r="A38747" s="2" t="str">
        <f t="shared" si="1267"/>
        <v>99999</v>
      </c>
      <c r="B38747" s="2" t="str">
        <f>"38663"</f>
        <v>38663</v>
      </c>
      <c r="C38747" s="1">
        <v>6.5362844000751703E-4</v>
      </c>
      <c r="D38747" s="1">
        <v>8.4378708641533098E-4</v>
      </c>
      <c r="E38747" s="1">
        <v>2.8680563703442901E-4</v>
      </c>
      <c r="F38747" s="1">
        <v>6.5769622472816396E-4</v>
      </c>
    </row>
    <row r="38748" spans="1:6" x14ac:dyDescent="0.25">
      <c r="A38748" s="2" t="str">
        <f t="shared" si="1267"/>
        <v>99999</v>
      </c>
      <c r="B38748" s="2" t="str">
        <f>"38824"</f>
        <v>38824</v>
      </c>
      <c r="C38748" s="1">
        <v>3.7980079666491197E-5</v>
      </c>
      <c r="D38748" s="1">
        <v>7.5880133670443404E-6</v>
      </c>
      <c r="E38748" s="1">
        <v>0</v>
      </c>
      <c r="F38748" s="1">
        <v>3.5118252507796402E-5</v>
      </c>
    </row>
    <row r="38749" spans="1:6" x14ac:dyDescent="0.25">
      <c r="A38749" s="2" t="str">
        <f t="shared" si="1267"/>
        <v>99999</v>
      </c>
      <c r="B38749" s="2" t="str">
        <f>"38838"</f>
        <v>38838</v>
      </c>
      <c r="C38749" s="1">
        <v>8.7747080608790095E-5</v>
      </c>
      <c r="D38749" s="1">
        <v>4.0975272182039399E-5</v>
      </c>
      <c r="E38749" s="1">
        <v>0</v>
      </c>
      <c r="F38749" s="1">
        <v>8.2672146838466798E-5</v>
      </c>
    </row>
    <row r="38750" spans="1:6" x14ac:dyDescent="0.25">
      <c r="A38750" s="2" t="str">
        <f t="shared" si="1267"/>
        <v>99999</v>
      </c>
      <c r="B38750" s="2" t="str">
        <f>"38828"</f>
        <v>38828</v>
      </c>
      <c r="C38750" s="1">
        <v>2.11400615844809E-4</v>
      </c>
      <c r="D38750" s="1">
        <v>9.5608968424758703E-5</v>
      </c>
      <c r="E38750" s="1">
        <v>1.12984038831745E-4</v>
      </c>
      <c r="F38750" s="1">
        <v>2.01556882665143E-4</v>
      </c>
    </row>
    <row r="38751" spans="1:6" x14ac:dyDescent="0.25">
      <c r="A38751" s="2" t="str">
        <f t="shared" si="1267"/>
        <v>99999</v>
      </c>
      <c r="B38751" s="2" t="str">
        <f>"38652"</f>
        <v>38652</v>
      </c>
      <c r="C38751" s="1">
        <v>9.22108313512024E-4</v>
      </c>
      <c r="D38751" s="1">
        <v>1.38557124082229E-3</v>
      </c>
      <c r="E38751" s="1">
        <v>6.0403005375432898E-4</v>
      </c>
      <c r="F38751" s="1">
        <v>9.4520826367301301E-4</v>
      </c>
    </row>
    <row r="38752" spans="1:6" x14ac:dyDescent="0.25">
      <c r="A38752" s="2" t="str">
        <f t="shared" si="1267"/>
        <v>99999</v>
      </c>
      <c r="B38752" s="2" t="str">
        <f>"38646"</f>
        <v>38646</v>
      </c>
      <c r="C38752" s="1">
        <v>1.83352108734785E-4</v>
      </c>
      <c r="D38752" s="1">
        <v>4.7500963677697602E-4</v>
      </c>
      <c r="E38752" s="1">
        <v>4.3455399550671103E-5</v>
      </c>
      <c r="F38752" s="1">
        <v>1.99268724569734E-4</v>
      </c>
    </row>
    <row r="38753" spans="1:6" x14ac:dyDescent="0.25">
      <c r="A38753" s="2" t="str">
        <f t="shared" si="1267"/>
        <v>99999</v>
      </c>
      <c r="B38753" s="2" t="str">
        <f>"38477"</f>
        <v>38477</v>
      </c>
      <c r="C38753" s="1">
        <v>1.59014299063441E-4</v>
      </c>
      <c r="D38753" s="1">
        <v>5.6151298916128101E-5</v>
      </c>
      <c r="E38753" s="1">
        <v>0</v>
      </c>
      <c r="F38753" s="1">
        <v>1.4863079106699101E-4</v>
      </c>
    </row>
    <row r="38754" spans="1:6" x14ac:dyDescent="0.25">
      <c r="A38754" s="2" t="str">
        <f t="shared" si="1267"/>
        <v>99999</v>
      </c>
      <c r="B38754" s="2" t="str">
        <f>"38392"</f>
        <v>38392</v>
      </c>
      <c r="C38754" s="1">
        <v>5.2386316781367196E-6</v>
      </c>
      <c r="D38754" s="1">
        <v>1.51760267340886E-6</v>
      </c>
      <c r="E38754" s="1">
        <v>0</v>
      </c>
      <c r="F38754" s="1">
        <v>4.8747715945666299E-6</v>
      </c>
    </row>
    <row r="38755" spans="1:6" x14ac:dyDescent="0.25">
      <c r="A38755" s="2" t="str">
        <f t="shared" si="1267"/>
        <v>99999</v>
      </c>
      <c r="B38755" s="2" t="str">
        <f>"38629"</f>
        <v>38629</v>
      </c>
      <c r="C38755" s="1">
        <v>9.5823304445917499E-5</v>
      </c>
      <c r="D38755" s="1">
        <v>2.88344507947685E-5</v>
      </c>
      <c r="E38755" s="1">
        <v>0</v>
      </c>
      <c r="F38755" s="1">
        <v>8.9238165720944293E-5</v>
      </c>
    </row>
    <row r="38756" spans="1:6" x14ac:dyDescent="0.25">
      <c r="A38756" s="2" t="str">
        <f t="shared" si="1267"/>
        <v>99999</v>
      </c>
      <c r="B38756" s="2" t="str">
        <f>"38627"</f>
        <v>38627</v>
      </c>
      <c r="C38756" s="1">
        <v>5.1840625981561303E-5</v>
      </c>
      <c r="D38756" s="1">
        <v>1.3658424060679801E-5</v>
      </c>
      <c r="E38756" s="1">
        <v>2.60732397304027E-5</v>
      </c>
      <c r="F38756" s="1">
        <v>4.8747715945666297E-5</v>
      </c>
    </row>
    <row r="38757" spans="1:6" x14ac:dyDescent="0.25">
      <c r="A38757" s="2" t="str">
        <f t="shared" si="1267"/>
        <v>99999</v>
      </c>
      <c r="B38757" s="2" t="str">
        <f>"38565"</f>
        <v>38565</v>
      </c>
      <c r="C38757" s="1">
        <v>5.5878737900124998E-5</v>
      </c>
      <c r="D38757" s="1">
        <v>2.1246437427724101E-5</v>
      </c>
      <c r="E38757" s="1">
        <v>1.7382159820268399E-5</v>
      </c>
      <c r="F38757" s="1">
        <v>5.2727121328986E-5</v>
      </c>
    </row>
    <row r="38758" spans="1:6" x14ac:dyDescent="0.25">
      <c r="A38758" s="2" t="str">
        <f t="shared" si="1267"/>
        <v>99999</v>
      </c>
      <c r="B38758" s="2" t="str">
        <f>"38603"</f>
        <v>38603</v>
      </c>
      <c r="C38758" s="1">
        <v>1.85753148253931E-4</v>
      </c>
      <c r="D38758" s="1">
        <v>1.12302597832256E-4</v>
      </c>
      <c r="E38758" s="1">
        <v>0</v>
      </c>
      <c r="F38758" s="1">
        <v>1.76685599019394E-4</v>
      </c>
    </row>
    <row r="38759" spans="1:6" x14ac:dyDescent="0.25">
      <c r="A38759" s="2" t="str">
        <f t="shared" si="1267"/>
        <v>99999</v>
      </c>
      <c r="B38759" s="2" t="str">
        <f>"38587"</f>
        <v>38587</v>
      </c>
      <c r="C38759" s="1">
        <v>7.9343442291779104E-5</v>
      </c>
      <c r="D38759" s="1">
        <v>3.4904861488403899E-5</v>
      </c>
      <c r="E38759" s="1">
        <v>0</v>
      </c>
      <c r="F38759" s="1">
        <v>7.46138509372444E-5</v>
      </c>
    </row>
    <row r="38760" spans="1:6" x14ac:dyDescent="0.25">
      <c r="A38760" s="2" t="str">
        <f t="shared" si="1267"/>
        <v>99999</v>
      </c>
      <c r="B38760" s="2" t="str">
        <f>"38574"</f>
        <v>38574</v>
      </c>
      <c r="C38760" s="1">
        <v>2.3792118871537602E-5</v>
      </c>
      <c r="D38760" s="1">
        <v>7.5880133670443404E-6</v>
      </c>
      <c r="E38760" s="1">
        <v>1.3036619865201299E-5</v>
      </c>
      <c r="F38760" s="1">
        <v>2.2483640415756299E-5</v>
      </c>
    </row>
    <row r="38761" spans="1:6" x14ac:dyDescent="0.25">
      <c r="A38761" s="2" t="str">
        <f t="shared" si="1267"/>
        <v>99999</v>
      </c>
      <c r="B38761" s="2" t="str">
        <f>"38606"</f>
        <v>38606</v>
      </c>
      <c r="C38761" s="1">
        <v>9.6401736693711802E-4</v>
      </c>
      <c r="D38761" s="1">
        <v>1.9986827208794801E-3</v>
      </c>
      <c r="E38761" s="1">
        <v>4.30208455551644E-4</v>
      </c>
      <c r="F38761" s="1">
        <v>1.01962314434109E-3</v>
      </c>
    </row>
    <row r="38762" spans="1:6" x14ac:dyDescent="0.25">
      <c r="A38762" s="2" t="str">
        <f t="shared" si="1267"/>
        <v>99999</v>
      </c>
      <c r="B38762" s="2" t="str">
        <f>"38370"</f>
        <v>38370</v>
      </c>
      <c r="C38762" s="1">
        <v>7.2358600054263399E-5</v>
      </c>
      <c r="D38762" s="1">
        <v>5.7668901589537E-5</v>
      </c>
      <c r="E38762" s="1">
        <v>8.69107991013423E-6</v>
      </c>
      <c r="F38762" s="1">
        <v>6.9938049611843801E-5</v>
      </c>
    </row>
    <row r="38763" spans="1:6" x14ac:dyDescent="0.25">
      <c r="A38763" s="2" t="str">
        <f t="shared" si="1267"/>
        <v>99999</v>
      </c>
      <c r="B38763" s="2" t="str">
        <f>"38361"</f>
        <v>38361</v>
      </c>
      <c r="C38763" s="1">
        <v>7.7815508052322502E-5</v>
      </c>
      <c r="D38763" s="1">
        <v>2.88344507947685E-5</v>
      </c>
      <c r="E38763" s="1">
        <v>0</v>
      </c>
      <c r="F38763" s="1">
        <v>7.2823118514750602E-5</v>
      </c>
    </row>
    <row r="38764" spans="1:6" x14ac:dyDescent="0.25">
      <c r="A38764" s="2" t="str">
        <f t="shared" si="1267"/>
        <v>99999</v>
      </c>
      <c r="B38764" s="2" t="str">
        <f>"38554"</f>
        <v>38554</v>
      </c>
      <c r="C38764" s="1">
        <v>1.0913815996118101E-6</v>
      </c>
      <c r="D38764" s="1">
        <v>0</v>
      </c>
      <c r="E38764" s="1">
        <v>0</v>
      </c>
      <c r="F38764" s="1">
        <v>9.9485134582992606E-7</v>
      </c>
    </row>
    <row r="38765" spans="1:6" x14ac:dyDescent="0.25">
      <c r="A38765" s="2" t="str">
        <f t="shared" si="1267"/>
        <v>99999</v>
      </c>
      <c r="B38765" s="2" t="str">
        <f>"38541"</f>
        <v>38541</v>
      </c>
      <c r="C38765" s="1">
        <v>6.0899093258339399E-5</v>
      </c>
      <c r="D38765" s="1">
        <v>2.2764040101133E-5</v>
      </c>
      <c r="E38765" s="1">
        <v>0</v>
      </c>
      <c r="F38765" s="1">
        <v>5.7004982116054699E-5</v>
      </c>
    </row>
    <row r="38766" spans="1:6" x14ac:dyDescent="0.25">
      <c r="A38766" s="2" t="str">
        <f t="shared" si="1267"/>
        <v>99999</v>
      </c>
      <c r="B38766" s="2" t="str">
        <f>"38324"</f>
        <v>38324</v>
      </c>
      <c r="C38766" s="1">
        <v>0</v>
      </c>
      <c r="D38766" s="1">
        <v>1.51760267340886E-6</v>
      </c>
      <c r="E38766" s="1">
        <v>0</v>
      </c>
      <c r="F38766" s="1">
        <v>9.9485134582992598E-8</v>
      </c>
    </row>
    <row r="38767" spans="1:6" x14ac:dyDescent="0.25">
      <c r="A38767" s="2" t="str">
        <f t="shared" si="1267"/>
        <v>99999</v>
      </c>
      <c r="B38767" s="2" t="str">
        <f>"38321"</f>
        <v>38321</v>
      </c>
      <c r="C38767" s="1">
        <v>1.5868688458355799E-4</v>
      </c>
      <c r="D38767" s="1">
        <v>7.1327325650216798E-5</v>
      </c>
      <c r="E38767" s="1">
        <v>8.69107991013423E-6</v>
      </c>
      <c r="F38767" s="1">
        <v>1.4952615727823699E-4</v>
      </c>
    </row>
    <row r="38768" spans="1:6" x14ac:dyDescent="0.25">
      <c r="A38768" s="2" t="str">
        <f t="shared" si="1267"/>
        <v>99999</v>
      </c>
      <c r="B38768" s="2" t="str">
        <f>"38041"</f>
        <v>38041</v>
      </c>
      <c r="C38768" s="1">
        <v>1.6217930570231601E-4</v>
      </c>
      <c r="D38768" s="1">
        <v>1.27478624566345E-4</v>
      </c>
      <c r="E38768" s="1">
        <v>5.6492019415872502E-5</v>
      </c>
      <c r="F38768" s="1">
        <v>1.57484968044877E-4</v>
      </c>
    </row>
    <row r="38769" spans="1:6" x14ac:dyDescent="0.25">
      <c r="A38769" s="2" t="str">
        <f t="shared" si="1267"/>
        <v>99999</v>
      </c>
      <c r="B38769" s="2" t="str">
        <f>"38037"</f>
        <v>38037</v>
      </c>
      <c r="C38769" s="1">
        <v>6.2427027497795901E-5</v>
      </c>
      <c r="D38769" s="1">
        <v>5.6151298916128101E-5</v>
      </c>
      <c r="E38769" s="1">
        <v>8.69107991013423E-6</v>
      </c>
      <c r="F38769" s="1">
        <v>6.0785417230208501E-5</v>
      </c>
    </row>
    <row r="38770" spans="1:6" x14ac:dyDescent="0.25">
      <c r="A38770" s="2" t="str">
        <f t="shared" si="1267"/>
        <v>99999</v>
      </c>
      <c r="B38770" s="2" t="str">
        <f>"37880"</f>
        <v>37880</v>
      </c>
      <c r="C38770" s="1">
        <v>1.3816891051085601E-4</v>
      </c>
      <c r="D38770" s="1">
        <v>4.4010477528857203E-5</v>
      </c>
      <c r="E38770" s="1">
        <v>3.0418779685469802E-5</v>
      </c>
      <c r="F38770" s="1">
        <v>1.29529645227056E-4</v>
      </c>
    </row>
    <row r="38771" spans="1:6" x14ac:dyDescent="0.25">
      <c r="A38771" s="2" t="str">
        <f t="shared" si="1267"/>
        <v>99999</v>
      </c>
      <c r="B38771" s="2" t="str">
        <f>"37872"</f>
        <v>37872</v>
      </c>
      <c r="C38771" s="1">
        <v>1.23326120756135E-5</v>
      </c>
      <c r="D38771" s="1">
        <v>3.0352053468177301E-6</v>
      </c>
      <c r="E38771" s="1">
        <v>0</v>
      </c>
      <c r="F38771" s="1">
        <v>1.1440790477044101E-5</v>
      </c>
    </row>
    <row r="38772" spans="1:6" x14ac:dyDescent="0.25">
      <c r="A38772" s="2" t="str">
        <f t="shared" si="1267"/>
        <v>99999</v>
      </c>
      <c r="B38772" s="2" t="str">
        <f>"37874"</f>
        <v>37874</v>
      </c>
      <c r="C38772" s="1">
        <v>7.3144394805983997E-4</v>
      </c>
      <c r="D38772" s="1">
        <v>9.2118482275918296E-4</v>
      </c>
      <c r="E38772" s="1">
        <v>5.6057465420365803E-4</v>
      </c>
      <c r="F38772" s="1">
        <v>7.3997043102829905E-4</v>
      </c>
    </row>
    <row r="38773" spans="1:6" x14ac:dyDescent="0.25">
      <c r="A38773" s="2" t="str">
        <f t="shared" si="1267"/>
        <v>99999</v>
      </c>
      <c r="B38773" s="2" t="str">
        <f>"37879"</f>
        <v>37879</v>
      </c>
      <c r="C38773" s="1">
        <v>6.1881336697989999E-4</v>
      </c>
      <c r="D38773" s="1">
        <v>6.8595640838080903E-4</v>
      </c>
      <c r="E38773" s="1">
        <v>6.5617653321513401E-4</v>
      </c>
      <c r="F38773" s="1">
        <v>6.2407024923911199E-4</v>
      </c>
    </row>
    <row r="38774" spans="1:6" x14ac:dyDescent="0.25">
      <c r="A38774" s="2" t="str">
        <f t="shared" si="1267"/>
        <v>99999</v>
      </c>
      <c r="B38774" s="2" t="str">
        <f>"37731"</f>
        <v>37731</v>
      </c>
      <c r="C38774" s="1">
        <v>2.0736250392624501E-5</v>
      </c>
      <c r="D38774" s="1">
        <v>1.21408213872709E-5</v>
      </c>
      <c r="E38774" s="1">
        <v>0</v>
      </c>
      <c r="F38774" s="1">
        <v>1.96980566474325E-5</v>
      </c>
    </row>
    <row r="38775" spans="1:6" x14ac:dyDescent="0.25">
      <c r="A38775" s="2" t="str">
        <f t="shared" si="1267"/>
        <v>99999</v>
      </c>
      <c r="B38775" s="2" t="str">
        <f>"37178"</f>
        <v>37178</v>
      </c>
      <c r="C38775" s="1">
        <v>1.26709403714931E-4</v>
      </c>
      <c r="D38775" s="1">
        <v>6.8292120303399095E-5</v>
      </c>
      <c r="E38775" s="1">
        <v>0</v>
      </c>
      <c r="F38775" s="1">
        <v>1.19979072307089E-4</v>
      </c>
    </row>
    <row r="38776" spans="1:6" x14ac:dyDescent="0.25">
      <c r="A38776" s="2" t="str">
        <f t="shared" si="1267"/>
        <v>99999</v>
      </c>
      <c r="B38776" s="2" t="str">
        <f>"37110"</f>
        <v>37110</v>
      </c>
      <c r="C38776" s="1">
        <v>2.4228671511382299E-5</v>
      </c>
      <c r="D38776" s="1">
        <v>3.4904861488403899E-5</v>
      </c>
      <c r="E38776" s="1">
        <v>8.69107991013423E-6</v>
      </c>
      <c r="F38776" s="1">
        <v>2.4572828241999101E-5</v>
      </c>
    </row>
    <row r="38777" spans="1:6" x14ac:dyDescent="0.25">
      <c r="A38777" s="2" t="str">
        <f t="shared" si="1267"/>
        <v>99999</v>
      </c>
      <c r="B38777" s="2" t="str">
        <f>"37098"</f>
        <v>37098</v>
      </c>
      <c r="C38777" s="1">
        <v>2.7873886054085797E-4</v>
      </c>
      <c r="D38777" s="1">
        <v>1.69971499421793E-4</v>
      </c>
      <c r="E38777" s="1">
        <v>3.0418779685469802E-5</v>
      </c>
      <c r="F38777" s="1">
        <v>2.6592376474033897E-4</v>
      </c>
    </row>
    <row r="38778" spans="1:6" x14ac:dyDescent="0.25">
      <c r="A38778" s="2" t="str">
        <f t="shared" si="1267"/>
        <v>99999</v>
      </c>
      <c r="B38778" s="2" t="str">
        <f>"36921"</f>
        <v>36921</v>
      </c>
      <c r="C38778" s="1">
        <v>7.0394113174962204E-5</v>
      </c>
      <c r="D38778" s="1">
        <v>2.2764040101133E-5</v>
      </c>
      <c r="E38778" s="1">
        <v>0</v>
      </c>
      <c r="F38778" s="1">
        <v>6.5660188824775102E-5</v>
      </c>
    </row>
    <row r="38779" spans="1:6" x14ac:dyDescent="0.25">
      <c r="A38779" s="2" t="str">
        <f t="shared" si="1267"/>
        <v>99999</v>
      </c>
      <c r="B38779" s="2" t="str">
        <f>"36908"</f>
        <v>36908</v>
      </c>
      <c r="C38779" s="1">
        <v>1.2321698259617399E-4</v>
      </c>
      <c r="D38779" s="1">
        <v>8.9538557731123203E-5</v>
      </c>
      <c r="E38779" s="1">
        <v>8.69107991013423E-6</v>
      </c>
      <c r="F38779" s="1">
        <v>1.1838731015376099E-4</v>
      </c>
    </row>
    <row r="38780" spans="1:6" x14ac:dyDescent="0.25">
      <c r="A38780" s="2" t="str">
        <f t="shared" si="1267"/>
        <v>99999</v>
      </c>
      <c r="B38780" s="2" t="str">
        <f>"37051"</f>
        <v>37051</v>
      </c>
      <c r="C38780" s="1">
        <v>2.7284539990295402E-6</v>
      </c>
      <c r="D38780" s="1">
        <v>0</v>
      </c>
      <c r="E38780" s="1">
        <v>0</v>
      </c>
      <c r="F38780" s="1">
        <v>2.48712836457481E-6</v>
      </c>
    </row>
    <row r="38781" spans="1:6" x14ac:dyDescent="0.25">
      <c r="A38781" s="2" t="str">
        <f t="shared" si="1267"/>
        <v>99999</v>
      </c>
      <c r="B38781" s="2" t="str">
        <f>"36784"</f>
        <v>36784</v>
      </c>
      <c r="C38781" s="1">
        <v>4.8468256838760798E-4</v>
      </c>
      <c r="D38781" s="1">
        <v>7.7701256878534098E-4</v>
      </c>
      <c r="E38781" s="1">
        <v>4.3889953546177803E-4</v>
      </c>
      <c r="F38781" s="1">
        <v>5.0279787018244404E-4</v>
      </c>
    </row>
    <row r="38782" spans="1:6" x14ac:dyDescent="0.25">
      <c r="A38782" s="2" t="str">
        <f t="shared" si="1267"/>
        <v>99999</v>
      </c>
      <c r="B38782" s="2" t="str">
        <f>"36723"</f>
        <v>36723</v>
      </c>
      <c r="C38782" s="1">
        <v>0</v>
      </c>
      <c r="D38782" s="1">
        <v>0</v>
      </c>
      <c r="E38782" s="1">
        <v>4.3455399550671099E-6</v>
      </c>
      <c r="F38782" s="1">
        <v>9.9485134582992598E-8</v>
      </c>
    </row>
    <row r="38783" spans="1:6" x14ac:dyDescent="0.25">
      <c r="A38783" s="2" t="str">
        <f t="shared" si="1267"/>
        <v>99999</v>
      </c>
      <c r="B38783" s="2" t="str">
        <f>"36726"</f>
        <v>36726</v>
      </c>
      <c r="C38783" s="1">
        <v>3.3396276948121598E-4</v>
      </c>
      <c r="D38783" s="1">
        <v>3.97611900433123E-4</v>
      </c>
      <c r="E38783" s="1">
        <v>3.5198873636043602E-4</v>
      </c>
      <c r="F38783" s="1">
        <v>3.38547912985923E-4</v>
      </c>
    </row>
    <row r="38784" spans="1:6" x14ac:dyDescent="0.25">
      <c r="A38784" s="2" t="str">
        <f t="shared" si="1267"/>
        <v>99999</v>
      </c>
      <c r="B38784" s="2" t="str">
        <f>"36701"</f>
        <v>36701</v>
      </c>
      <c r="C38784" s="1">
        <v>2.9139888709635502E-5</v>
      </c>
      <c r="D38784" s="1">
        <v>7.5880133670443404E-6</v>
      </c>
      <c r="E38784" s="1">
        <v>8.69107991013423E-6</v>
      </c>
      <c r="F38784" s="1">
        <v>2.7258926875739899E-5</v>
      </c>
    </row>
    <row r="38785" spans="1:6" x14ac:dyDescent="0.25">
      <c r="A38785" s="2" t="str">
        <f t="shared" si="1267"/>
        <v>99999</v>
      </c>
      <c r="B38785" s="2" t="str">
        <f>"36763"</f>
        <v>36763</v>
      </c>
      <c r="C38785" s="1">
        <v>0</v>
      </c>
      <c r="D38785" s="1">
        <v>0</v>
      </c>
      <c r="E38785" s="1">
        <v>4.3455399550671099E-6</v>
      </c>
      <c r="F38785" s="1">
        <v>9.9485134582992598E-8</v>
      </c>
    </row>
    <row r="38786" spans="1:6" x14ac:dyDescent="0.25">
      <c r="A38786" s="2" t="str">
        <f t="shared" si="1267"/>
        <v>99999</v>
      </c>
      <c r="B38786" s="2" t="str">
        <f>"36765"</f>
        <v>36765</v>
      </c>
      <c r="C38786" s="1">
        <v>1.73529674338278E-5</v>
      </c>
      <c r="D38786" s="1">
        <v>4.5528080202265997E-6</v>
      </c>
      <c r="E38786" s="1">
        <v>0</v>
      </c>
      <c r="F38786" s="1">
        <v>1.61165918024448E-5</v>
      </c>
    </row>
    <row r="38787" spans="1:6" x14ac:dyDescent="0.25">
      <c r="A38787" s="2" t="str">
        <f t="shared" si="1267"/>
        <v>99999</v>
      </c>
      <c r="B38787" s="2" t="str">
        <f>"36540"</f>
        <v>36540</v>
      </c>
      <c r="C38787" s="1">
        <v>5.4678218140552002E-5</v>
      </c>
      <c r="D38787" s="1">
        <v>9.1056160404532095E-6</v>
      </c>
      <c r="E38787" s="1">
        <v>0</v>
      </c>
      <c r="F38787" s="1">
        <v>5.0438963233577197E-5</v>
      </c>
    </row>
    <row r="38788" spans="1:6" x14ac:dyDescent="0.25">
      <c r="A38788" s="2" t="str">
        <f t="shared" si="1267"/>
        <v>99999</v>
      </c>
      <c r="B38788" s="2" t="str">
        <f>"36330"</f>
        <v>36330</v>
      </c>
      <c r="C38788" s="1">
        <v>6.5482895976708995E-7</v>
      </c>
      <c r="D38788" s="1">
        <v>0</v>
      </c>
      <c r="E38788" s="1">
        <v>0</v>
      </c>
      <c r="F38788" s="1">
        <v>5.9691080749795498E-7</v>
      </c>
    </row>
    <row r="38789" spans="1:6" x14ac:dyDescent="0.25">
      <c r="A38789" s="2" t="str">
        <f t="shared" si="1267"/>
        <v>99999</v>
      </c>
      <c r="B38789" s="2" t="str">
        <f>"36323"</f>
        <v>36323</v>
      </c>
      <c r="C38789" s="1">
        <v>1.6370723994177199E-6</v>
      </c>
      <c r="D38789" s="1">
        <v>4.5528080202265997E-6</v>
      </c>
      <c r="E38789" s="1">
        <v>4.3455399550671099E-6</v>
      </c>
      <c r="F38789" s="1">
        <v>1.89021755707686E-6</v>
      </c>
    </row>
    <row r="38790" spans="1:6" x14ac:dyDescent="0.25">
      <c r="A38790" s="2" t="str">
        <f t="shared" si="1267"/>
        <v>99999</v>
      </c>
      <c r="B38790" s="2" t="str">
        <f>"36439"</f>
        <v>36439</v>
      </c>
      <c r="C38790" s="1">
        <v>0</v>
      </c>
      <c r="D38790" s="1">
        <v>1.51760267340886E-6</v>
      </c>
      <c r="E38790" s="1">
        <v>0</v>
      </c>
      <c r="F38790" s="1">
        <v>9.9485134582992598E-8</v>
      </c>
    </row>
    <row r="38791" spans="1:6" x14ac:dyDescent="0.25">
      <c r="A38791" s="2" t="str">
        <f t="shared" si="1267"/>
        <v>99999</v>
      </c>
      <c r="B38791" s="2" t="str">
        <f>"36458"</f>
        <v>36458</v>
      </c>
      <c r="C38791" s="1">
        <v>0</v>
      </c>
      <c r="D38791" s="1">
        <v>1.51760267340886E-6</v>
      </c>
      <c r="E38791" s="1">
        <v>0</v>
      </c>
      <c r="F38791" s="1">
        <v>9.9485134582992598E-8</v>
      </c>
    </row>
    <row r="38792" spans="1:6" x14ac:dyDescent="0.25">
      <c r="A38792" s="2" t="str">
        <f t="shared" si="1267"/>
        <v>99999</v>
      </c>
      <c r="B38792" s="2" t="str">
        <f>"36046"</f>
        <v>36046</v>
      </c>
      <c r="C38792" s="1">
        <v>6.1881336697990004E-5</v>
      </c>
      <c r="D38792" s="1">
        <v>2.1246437427724101E-5</v>
      </c>
      <c r="E38792" s="1">
        <v>0</v>
      </c>
      <c r="F38792" s="1">
        <v>5.7800863192718701E-5</v>
      </c>
    </row>
    <row r="38793" spans="1:6" x14ac:dyDescent="0.25">
      <c r="A38793" s="2" t="str">
        <f t="shared" si="1267"/>
        <v>99999</v>
      </c>
      <c r="B38793" s="2" t="str">
        <f>"36015"</f>
        <v>36015</v>
      </c>
      <c r="C38793" s="1">
        <v>0</v>
      </c>
      <c r="D38793" s="1">
        <v>1.51760267340886E-6</v>
      </c>
      <c r="E38793" s="1">
        <v>0</v>
      </c>
      <c r="F38793" s="1">
        <v>9.9485134582992598E-8</v>
      </c>
    </row>
    <row r="38794" spans="1:6" x14ac:dyDescent="0.25">
      <c r="A38794" s="2" t="str">
        <f t="shared" si="1267"/>
        <v>99999</v>
      </c>
      <c r="B38794" s="2" t="str">
        <f>"36009"</f>
        <v>36009</v>
      </c>
      <c r="C38794" s="1">
        <v>1.4679082514778901E-4</v>
      </c>
      <c r="D38794" s="1">
        <v>5.9186504262945899E-5</v>
      </c>
      <c r="E38794" s="1">
        <v>1.08638498876677E-4</v>
      </c>
      <c r="F38794" s="1">
        <v>1.4017455462743601E-4</v>
      </c>
    </row>
    <row r="38795" spans="1:6" x14ac:dyDescent="0.25">
      <c r="A38795" s="2" t="str">
        <f t="shared" si="1267"/>
        <v>99999</v>
      </c>
      <c r="B38795" s="2" t="str">
        <f>"36078"</f>
        <v>36078</v>
      </c>
      <c r="C38795" s="1">
        <v>2.9467303189519E-6</v>
      </c>
      <c r="D38795" s="1">
        <v>0</v>
      </c>
      <c r="E38795" s="1">
        <v>0</v>
      </c>
      <c r="F38795" s="1">
        <v>2.6860986337408002E-6</v>
      </c>
    </row>
    <row r="38796" spans="1:6" x14ac:dyDescent="0.25">
      <c r="A38796" s="2" t="str">
        <f t="shared" si="1267"/>
        <v>99999</v>
      </c>
      <c r="B38796" s="2" t="str">
        <f>"35959"</f>
        <v>35959</v>
      </c>
      <c r="C38796" s="1">
        <v>3.1857428892668901E-4</v>
      </c>
      <c r="D38796" s="1">
        <v>1.0623218713862E-4</v>
      </c>
      <c r="E38796" s="1">
        <v>1.6947605824761699E-4</v>
      </c>
      <c r="F38796" s="1">
        <v>3.0124098751730099E-4</v>
      </c>
    </row>
    <row r="38797" spans="1:6" x14ac:dyDescent="0.25">
      <c r="A38797" s="2" t="str">
        <f t="shared" si="1267"/>
        <v>99999</v>
      </c>
      <c r="B38797" s="2" t="str">
        <f>"35545"</f>
        <v>35545</v>
      </c>
      <c r="C38797" s="1">
        <v>0</v>
      </c>
      <c r="D38797" s="1">
        <v>1.51760267340886E-6</v>
      </c>
      <c r="E38797" s="1">
        <v>0</v>
      </c>
      <c r="F38797" s="1">
        <v>9.9485134582992598E-8</v>
      </c>
    </row>
    <row r="38798" spans="1:6" x14ac:dyDescent="0.25">
      <c r="A38798" s="2" t="str">
        <f t="shared" si="1267"/>
        <v>99999</v>
      </c>
      <c r="B38798" s="2" t="str">
        <f>"35470"</f>
        <v>35470</v>
      </c>
      <c r="C38798" s="1">
        <v>1.99395418249079E-4</v>
      </c>
      <c r="D38798" s="1">
        <v>6.2221709609763595E-5</v>
      </c>
      <c r="E38798" s="1">
        <v>3.0418779685469802E-5</v>
      </c>
      <c r="F38798" s="1">
        <v>1.86534627343111E-4</v>
      </c>
    </row>
    <row r="38799" spans="1:6" x14ac:dyDescent="0.25">
      <c r="A38799" s="2" t="str">
        <f t="shared" si="1267"/>
        <v>99999</v>
      </c>
      <c r="B38799" s="2" t="str">
        <f>"35034"</f>
        <v>35034</v>
      </c>
      <c r="C38799" s="1">
        <v>4.5838027183696299E-6</v>
      </c>
      <c r="D38799" s="1">
        <v>3.0352053468177301E-6</v>
      </c>
      <c r="E38799" s="1">
        <v>0</v>
      </c>
      <c r="F38799" s="1">
        <v>4.3773459216516703E-6</v>
      </c>
    </row>
    <row r="38800" spans="1:6" x14ac:dyDescent="0.25">
      <c r="A38800" s="2" t="str">
        <f t="shared" si="1267"/>
        <v>99999</v>
      </c>
      <c r="B38800" s="2" t="str">
        <f>"35072"</f>
        <v>35072</v>
      </c>
      <c r="C38800" s="1">
        <v>1.02371594043588E-4</v>
      </c>
      <c r="D38800" s="1">
        <v>1.8211232080906399E-5</v>
      </c>
      <c r="E38800" s="1">
        <v>0</v>
      </c>
      <c r="F38800" s="1">
        <v>9.4510877853843005E-5</v>
      </c>
    </row>
    <row r="38801" spans="1:6" x14ac:dyDescent="0.25">
      <c r="A38801" s="2" t="str">
        <f t="shared" si="1267"/>
        <v>99999</v>
      </c>
      <c r="B38801" s="2" t="str">
        <f>"32666"</f>
        <v>32666</v>
      </c>
      <c r="C38801" s="1">
        <v>7.2358600054263399E-5</v>
      </c>
      <c r="D38801" s="1">
        <v>2.5799245447950699E-5</v>
      </c>
      <c r="E38801" s="1">
        <v>6.0837559370939603E-5</v>
      </c>
      <c r="F38801" s="1">
        <v>6.9042683400596794E-5</v>
      </c>
    </row>
    <row r="38802" spans="1:6" x14ac:dyDescent="0.25">
      <c r="A38802" s="2" t="str">
        <f t="shared" ref="A38802:A38865" si="1268">"99999"</f>
        <v>99999</v>
      </c>
      <c r="B38802" s="2" t="str">
        <f>"32692"</f>
        <v>32692</v>
      </c>
      <c r="C38802" s="1">
        <v>0</v>
      </c>
      <c r="D38802" s="1">
        <v>1.51760267340886E-6</v>
      </c>
      <c r="E38802" s="1">
        <v>0</v>
      </c>
      <c r="F38802" s="1">
        <v>9.9485134582992598E-8</v>
      </c>
    </row>
    <row r="38803" spans="1:6" x14ac:dyDescent="0.25">
      <c r="A38803" s="2" t="str">
        <f t="shared" si="1268"/>
        <v>99999</v>
      </c>
      <c r="B38803" s="2" t="str">
        <f>"32680"</f>
        <v>32680</v>
      </c>
      <c r="C38803" s="1">
        <v>5.6107928036043498E-4</v>
      </c>
      <c r="D38803" s="1">
        <v>1.8970033417610801E-4</v>
      </c>
      <c r="E38803" s="1">
        <v>4.3455399550671099E-6</v>
      </c>
      <c r="F38803" s="1">
        <v>5.2398820384862198E-4</v>
      </c>
    </row>
    <row r="38804" spans="1:6" x14ac:dyDescent="0.25">
      <c r="A38804" s="2" t="str">
        <f t="shared" si="1268"/>
        <v>99999</v>
      </c>
      <c r="B38804" s="2" t="str">
        <f>"32622"</f>
        <v>32622</v>
      </c>
      <c r="C38804" s="1">
        <v>5.3914251020823701E-5</v>
      </c>
      <c r="D38804" s="1">
        <v>1.3658424060679801E-5</v>
      </c>
      <c r="E38804" s="1">
        <v>4.3455399550671099E-6</v>
      </c>
      <c r="F38804" s="1">
        <v>5.0140507829828202E-5</v>
      </c>
    </row>
    <row r="38805" spans="1:6" x14ac:dyDescent="0.25">
      <c r="A38805" s="2" t="str">
        <f t="shared" si="1268"/>
        <v>99999</v>
      </c>
      <c r="B38805" s="2" t="str">
        <f>"32466"</f>
        <v>32466</v>
      </c>
      <c r="C38805" s="1">
        <v>1.9426592473090299E-5</v>
      </c>
      <c r="D38805" s="1">
        <v>3.0352053468177301E-6</v>
      </c>
      <c r="E38805" s="1">
        <v>0</v>
      </c>
      <c r="F38805" s="1">
        <v>1.7907324224938601E-5</v>
      </c>
    </row>
    <row r="38806" spans="1:6" x14ac:dyDescent="0.25">
      <c r="A38806" s="2" t="str">
        <f t="shared" si="1268"/>
        <v>99999</v>
      </c>
      <c r="B38806" s="2" t="str">
        <f>"32322"</f>
        <v>32322</v>
      </c>
      <c r="C38806" s="1">
        <v>2.6793418270470098E-4</v>
      </c>
      <c r="D38806" s="1">
        <v>1.45689856647251E-4</v>
      </c>
      <c r="E38806" s="1">
        <v>5.21464794608054E-5</v>
      </c>
      <c r="F38806" s="1">
        <v>2.5498039993620999E-4</v>
      </c>
    </row>
    <row r="38807" spans="1:6" x14ac:dyDescent="0.25">
      <c r="A38807" s="2" t="str">
        <f t="shared" si="1268"/>
        <v>99999</v>
      </c>
      <c r="B38807" s="2" t="str">
        <f>"32351"</f>
        <v>32351</v>
      </c>
      <c r="C38807" s="1">
        <v>4.3655263984472602E-7</v>
      </c>
      <c r="D38807" s="1">
        <v>0</v>
      </c>
      <c r="E38807" s="1">
        <v>0</v>
      </c>
      <c r="F38807" s="1">
        <v>3.9794053833197002E-7</v>
      </c>
    </row>
    <row r="38808" spans="1:6" x14ac:dyDescent="0.25">
      <c r="A38808" s="2" t="str">
        <f t="shared" si="1268"/>
        <v>99999</v>
      </c>
      <c r="B38808" s="2" t="str">
        <f>"32336"</f>
        <v>32336</v>
      </c>
      <c r="C38808" s="1">
        <v>2.9249026869596701E-5</v>
      </c>
      <c r="D38808" s="1">
        <v>1.9728834754315301E-5</v>
      </c>
      <c r="E38808" s="1">
        <v>4.3455399550671099E-6</v>
      </c>
      <c r="F38808" s="1">
        <v>2.80548079524039E-5</v>
      </c>
    </row>
    <row r="38809" spans="1:6" x14ac:dyDescent="0.25">
      <c r="A38809" s="2" t="str">
        <f t="shared" si="1268"/>
        <v>99999</v>
      </c>
      <c r="B38809" s="2" t="str">
        <f>"32066"</f>
        <v>32066</v>
      </c>
      <c r="C38809" s="1">
        <v>2.5232742583025203E-4</v>
      </c>
      <c r="D38809" s="1">
        <v>1.9577074486974399E-4</v>
      </c>
      <c r="E38809" s="1">
        <v>1.17329578786812E-4</v>
      </c>
      <c r="F38809" s="1">
        <v>2.4552931215082502E-4</v>
      </c>
    </row>
    <row r="38810" spans="1:6" x14ac:dyDescent="0.25">
      <c r="A38810" s="2" t="str">
        <f t="shared" si="1268"/>
        <v>99999</v>
      </c>
      <c r="B38810" s="2" t="str">
        <f>"32024"</f>
        <v>32024</v>
      </c>
      <c r="C38810" s="1">
        <v>1.1197575212017199E-4</v>
      </c>
      <c r="D38810" s="1">
        <v>2.88344507947685E-5</v>
      </c>
      <c r="E38810" s="1">
        <v>4.3455399550671099E-6</v>
      </c>
      <c r="F38810" s="1">
        <v>1.0406145077380999E-4</v>
      </c>
    </row>
    <row r="38811" spans="1:6" x14ac:dyDescent="0.25">
      <c r="A38811" s="2" t="str">
        <f t="shared" si="1268"/>
        <v>99999</v>
      </c>
      <c r="B38811" s="2" t="str">
        <f>"31792"</f>
        <v>31792</v>
      </c>
      <c r="C38811" s="1">
        <v>3.6997836226840599E-5</v>
      </c>
      <c r="D38811" s="1">
        <v>4.7045682875674899E-5</v>
      </c>
      <c r="E38811" s="1">
        <v>6.5183099326006705E-5</v>
      </c>
      <c r="F38811" s="1">
        <v>3.8301776814452097E-5</v>
      </c>
    </row>
    <row r="38812" spans="1:6" x14ac:dyDescent="0.25">
      <c r="A38812" s="2" t="str">
        <f t="shared" si="1268"/>
        <v>99999</v>
      </c>
      <c r="B38812" s="2" t="str">
        <f>"31769"</f>
        <v>31769</v>
      </c>
      <c r="C38812" s="1">
        <v>0</v>
      </c>
      <c r="D38812" s="1">
        <v>0</v>
      </c>
      <c r="E38812" s="1">
        <v>4.3455399550671099E-6</v>
      </c>
      <c r="F38812" s="1">
        <v>9.9485134582992598E-8</v>
      </c>
    </row>
    <row r="38813" spans="1:6" x14ac:dyDescent="0.25">
      <c r="A38813" s="2" t="str">
        <f t="shared" si="1268"/>
        <v>99999</v>
      </c>
      <c r="B38813" s="2" t="str">
        <f>"31733"</f>
        <v>31733</v>
      </c>
      <c r="C38813" s="1">
        <v>3.17592045487038E-5</v>
      </c>
      <c r="D38813" s="1">
        <v>2.7316848121359601E-5</v>
      </c>
      <c r="E38813" s="1">
        <v>0</v>
      </c>
      <c r="F38813" s="1">
        <v>3.0740906586144698E-5</v>
      </c>
    </row>
    <row r="38814" spans="1:6" x14ac:dyDescent="0.25">
      <c r="A38814" s="2" t="str">
        <f t="shared" si="1268"/>
        <v>99999</v>
      </c>
      <c r="B38814" s="2" t="str">
        <f>"31705"</f>
        <v>31705</v>
      </c>
      <c r="C38814" s="1">
        <v>4.9003033822570597E-5</v>
      </c>
      <c r="D38814" s="1">
        <v>1.66936294074975E-5</v>
      </c>
      <c r="E38814" s="1">
        <v>0</v>
      </c>
      <c r="F38814" s="1">
        <v>4.5763161908176599E-5</v>
      </c>
    </row>
    <row r="38815" spans="1:6" x14ac:dyDescent="0.25">
      <c r="A38815" s="2" t="str">
        <f t="shared" si="1268"/>
        <v>99999</v>
      </c>
      <c r="B38815" s="2" t="str">
        <f>"31622"</f>
        <v>31622</v>
      </c>
      <c r="C38815" s="1">
        <v>9.5386751806072798E-5</v>
      </c>
      <c r="D38815" s="1">
        <v>3.9457669508630602E-5</v>
      </c>
      <c r="E38815" s="1">
        <v>4.3455399550671099E-6</v>
      </c>
      <c r="F38815" s="1">
        <v>8.9636106259276301E-5</v>
      </c>
    </row>
    <row r="38816" spans="1:6" x14ac:dyDescent="0.25">
      <c r="A38816" s="2" t="str">
        <f t="shared" si="1268"/>
        <v>99999</v>
      </c>
      <c r="B38816" s="2" t="str">
        <f>"31518"</f>
        <v>31518</v>
      </c>
      <c r="C38816" s="1">
        <v>2.51017767910718E-5</v>
      </c>
      <c r="D38816" s="1">
        <v>1.21408213872709E-5</v>
      </c>
      <c r="E38816" s="1">
        <v>0</v>
      </c>
      <c r="F38816" s="1">
        <v>2.36774620307522E-5</v>
      </c>
    </row>
    <row r="38817" spans="1:6" x14ac:dyDescent="0.25">
      <c r="A38817" s="2" t="str">
        <f t="shared" si="1268"/>
        <v>99999</v>
      </c>
      <c r="B38817" s="2" t="str">
        <f>"31560"</f>
        <v>31560</v>
      </c>
      <c r="C38817" s="1">
        <v>2.1827631992236301E-7</v>
      </c>
      <c r="D38817" s="1">
        <v>0</v>
      </c>
      <c r="E38817" s="1">
        <v>0</v>
      </c>
      <c r="F38817" s="1">
        <v>1.9897026916598501E-7</v>
      </c>
    </row>
    <row r="38818" spans="1:6" x14ac:dyDescent="0.25">
      <c r="A38818" s="2" t="str">
        <f t="shared" si="1268"/>
        <v>99999</v>
      </c>
      <c r="B38818" s="2" t="str">
        <f>"31549"</f>
        <v>31549</v>
      </c>
      <c r="C38818" s="1">
        <v>5.6315290539969699E-5</v>
      </c>
      <c r="D38818" s="1">
        <v>1.9728834754315301E-5</v>
      </c>
      <c r="E38818" s="1">
        <v>2.60732397304027E-5</v>
      </c>
      <c r="F38818" s="1">
        <v>5.3224547001901E-5</v>
      </c>
    </row>
    <row r="38819" spans="1:6" x14ac:dyDescent="0.25">
      <c r="A38819" s="2" t="str">
        <f t="shared" si="1268"/>
        <v>99999</v>
      </c>
      <c r="B38819" s="2" t="str">
        <f>"31067"</f>
        <v>31067</v>
      </c>
      <c r="C38819" s="1">
        <v>0</v>
      </c>
      <c r="D38819" s="1">
        <v>1.51760267340886E-6</v>
      </c>
      <c r="E38819" s="1">
        <v>0</v>
      </c>
      <c r="F38819" s="1">
        <v>9.9485134582992598E-8</v>
      </c>
    </row>
    <row r="38820" spans="1:6" x14ac:dyDescent="0.25">
      <c r="A38820" s="2" t="str">
        <f t="shared" si="1268"/>
        <v>99999</v>
      </c>
      <c r="B38820" s="2" t="str">
        <f>"31063"</f>
        <v>31063</v>
      </c>
      <c r="C38820" s="1">
        <v>2.7502816310217702E-4</v>
      </c>
      <c r="D38820" s="1">
        <v>4.3555196726834501E-4</v>
      </c>
      <c r="E38820" s="1">
        <v>3.34606576540167E-4</v>
      </c>
      <c r="F38820" s="1">
        <v>2.8691512813735001E-4</v>
      </c>
    </row>
    <row r="38821" spans="1:6" x14ac:dyDescent="0.25">
      <c r="A38821" s="2" t="str">
        <f t="shared" si="1268"/>
        <v>99999</v>
      </c>
      <c r="B38821" s="2" t="str">
        <f>"31039"</f>
        <v>31039</v>
      </c>
      <c r="C38821" s="1">
        <v>0</v>
      </c>
      <c r="D38821" s="1">
        <v>0</v>
      </c>
      <c r="E38821" s="1">
        <v>4.3455399550671099E-6</v>
      </c>
      <c r="F38821" s="1">
        <v>9.9485134582992598E-8</v>
      </c>
    </row>
    <row r="38822" spans="1:6" x14ac:dyDescent="0.25">
      <c r="A38822" s="2" t="str">
        <f t="shared" si="1268"/>
        <v>99999</v>
      </c>
      <c r="B38822" s="2" t="str">
        <f>"31055"</f>
        <v>31055</v>
      </c>
      <c r="C38822" s="1">
        <v>2.6367779446621501E-4</v>
      </c>
      <c r="D38822" s="1">
        <v>4.12787927167212E-4</v>
      </c>
      <c r="E38822" s="1">
        <v>1.7816713815775099E-4</v>
      </c>
      <c r="F38822" s="1">
        <v>2.7149493227698602E-4</v>
      </c>
    </row>
    <row r="38823" spans="1:6" x14ac:dyDescent="0.25">
      <c r="A38823" s="2" t="str">
        <f t="shared" si="1268"/>
        <v>99999</v>
      </c>
      <c r="B38823" s="2" t="str">
        <f>"31045"</f>
        <v>31045</v>
      </c>
      <c r="C38823" s="1">
        <v>9.4950199166228093E-6</v>
      </c>
      <c r="D38823" s="1">
        <v>0</v>
      </c>
      <c r="E38823" s="1">
        <v>4.3455399550671099E-6</v>
      </c>
      <c r="F38823" s="1">
        <v>8.7546918433033508E-6</v>
      </c>
    </row>
    <row r="38824" spans="1:6" x14ac:dyDescent="0.25">
      <c r="A38824" s="2" t="str">
        <f t="shared" si="1268"/>
        <v>99999</v>
      </c>
      <c r="B38824" s="2" t="str">
        <f>"31017"</f>
        <v>31017</v>
      </c>
      <c r="C38824" s="1">
        <v>5.48964944604744E-5</v>
      </c>
      <c r="D38824" s="1">
        <v>3.0352053468177301E-5</v>
      </c>
      <c r="E38824" s="1">
        <v>0</v>
      </c>
      <c r="F38824" s="1">
        <v>5.2030725386905099E-5</v>
      </c>
    </row>
    <row r="38825" spans="1:6" x14ac:dyDescent="0.25">
      <c r="A38825" s="2" t="str">
        <f t="shared" si="1268"/>
        <v>99999</v>
      </c>
      <c r="B38825" s="2" t="str">
        <f>"31007"</f>
        <v>31007</v>
      </c>
      <c r="C38825" s="1">
        <v>2.61931583906836E-5</v>
      </c>
      <c r="D38825" s="1">
        <v>7.5880133670443404E-6</v>
      </c>
      <c r="E38825" s="1">
        <v>1.7382159820268399E-5</v>
      </c>
      <c r="F38825" s="1">
        <v>2.4771798511165099E-5</v>
      </c>
    </row>
    <row r="38826" spans="1:6" x14ac:dyDescent="0.25">
      <c r="A38826" s="2" t="str">
        <f t="shared" si="1268"/>
        <v>99999</v>
      </c>
      <c r="B38826" s="2" t="str">
        <f>"30643"</f>
        <v>30643</v>
      </c>
      <c r="C38826" s="1">
        <v>1.0186955850776699E-3</v>
      </c>
      <c r="D38826" s="1">
        <v>1.11695556762892E-3</v>
      </c>
      <c r="E38826" s="1">
        <v>4.9104601492258398E-4</v>
      </c>
      <c r="F38826" s="1">
        <v>1.01305712545861E-3</v>
      </c>
    </row>
    <row r="38827" spans="1:6" x14ac:dyDescent="0.25">
      <c r="A38827" s="2" t="str">
        <f t="shared" si="1268"/>
        <v>99999</v>
      </c>
      <c r="B38827" s="2" t="str">
        <f>"30625"</f>
        <v>30625</v>
      </c>
      <c r="C38827" s="1">
        <v>3.2195757188548602E-5</v>
      </c>
      <c r="D38827" s="1">
        <v>6.0704106936354696E-6</v>
      </c>
      <c r="E38827" s="1">
        <v>0</v>
      </c>
      <c r="F38827" s="1">
        <v>2.9746055240314699E-5</v>
      </c>
    </row>
    <row r="38828" spans="1:6" x14ac:dyDescent="0.25">
      <c r="A38828" s="2" t="str">
        <f t="shared" si="1268"/>
        <v>99999</v>
      </c>
      <c r="B38828" s="2" t="str">
        <f>"30705"</f>
        <v>30705</v>
      </c>
      <c r="C38828" s="1">
        <v>7.63967119728272E-7</v>
      </c>
      <c r="D38828" s="1">
        <v>1.51760267340886E-6</v>
      </c>
      <c r="E38828" s="1">
        <v>0</v>
      </c>
      <c r="F38828" s="1">
        <v>7.9588107666394099E-7</v>
      </c>
    </row>
    <row r="38829" spans="1:6" x14ac:dyDescent="0.25">
      <c r="A38829" s="2" t="str">
        <f t="shared" si="1268"/>
        <v>99999</v>
      </c>
      <c r="B38829" s="2" t="str">
        <f>"30677"</f>
        <v>30677</v>
      </c>
      <c r="C38829" s="1">
        <v>9.2767435967004401E-6</v>
      </c>
      <c r="D38829" s="1">
        <v>4.5528080202265997E-6</v>
      </c>
      <c r="E38829" s="1">
        <v>0</v>
      </c>
      <c r="F38829" s="1">
        <v>8.7546918433033508E-6</v>
      </c>
    </row>
    <row r="38830" spans="1:6" x14ac:dyDescent="0.25">
      <c r="A38830" s="2" t="str">
        <f t="shared" si="1268"/>
        <v>99999</v>
      </c>
      <c r="B38830" s="2" t="str">
        <f>"30673"</f>
        <v>30673</v>
      </c>
      <c r="C38830" s="1">
        <v>4.5314164015882602E-4</v>
      </c>
      <c r="D38830" s="1">
        <v>6.9354442174785304E-4</v>
      </c>
      <c r="E38830" s="1">
        <v>1.9989483793308701E-4</v>
      </c>
      <c r="F38830" s="1">
        <v>4.6310330148383001E-4</v>
      </c>
    </row>
    <row r="38831" spans="1:6" x14ac:dyDescent="0.25">
      <c r="A38831" s="2" t="str">
        <f t="shared" si="1268"/>
        <v>99999</v>
      </c>
      <c r="B38831" s="2" t="str">
        <f>"30668"</f>
        <v>30668</v>
      </c>
      <c r="C38831" s="1">
        <v>1.1732352195827E-4</v>
      </c>
      <c r="D38831" s="1">
        <v>2.7316848121359601E-5</v>
      </c>
      <c r="E38831" s="1">
        <v>2.1727699775335501E-5</v>
      </c>
      <c r="F38831" s="1">
        <v>1.09234677772125E-4</v>
      </c>
    </row>
    <row r="38832" spans="1:6" x14ac:dyDescent="0.25">
      <c r="A38832" s="2" t="str">
        <f t="shared" si="1268"/>
        <v>99999</v>
      </c>
      <c r="B38832" s="2" t="str">
        <f>"30573"</f>
        <v>30573</v>
      </c>
      <c r="C38832" s="1">
        <v>1.09138159961181E-7</v>
      </c>
      <c r="D38832" s="1">
        <v>0</v>
      </c>
      <c r="E38832" s="1">
        <v>4.3455399550671099E-6</v>
      </c>
      <c r="F38832" s="1">
        <v>1.9897026916598501E-7</v>
      </c>
    </row>
    <row r="38833" spans="1:6" x14ac:dyDescent="0.25">
      <c r="A38833" s="2" t="str">
        <f t="shared" si="1268"/>
        <v>99999</v>
      </c>
      <c r="B38833" s="2" t="str">
        <f>"30572"</f>
        <v>30572</v>
      </c>
      <c r="C38833" s="1">
        <v>1.6458034522146201E-4</v>
      </c>
      <c r="D38833" s="1">
        <v>8.1950544364078906E-5</v>
      </c>
      <c r="E38833" s="1">
        <v>3.0418779685469802E-5</v>
      </c>
      <c r="F38833" s="1">
        <v>1.5609217616071501E-4</v>
      </c>
    </row>
    <row r="38834" spans="1:6" x14ac:dyDescent="0.25">
      <c r="A38834" s="2" t="str">
        <f t="shared" si="1268"/>
        <v>99999</v>
      </c>
      <c r="B38834" s="2" t="str">
        <f>"30527"</f>
        <v>30527</v>
      </c>
      <c r="C38834" s="1">
        <v>2.5101776791071799E-6</v>
      </c>
      <c r="D38834" s="1">
        <v>0</v>
      </c>
      <c r="E38834" s="1">
        <v>0</v>
      </c>
      <c r="F38834" s="1">
        <v>2.2881580954088299E-6</v>
      </c>
    </row>
    <row r="38835" spans="1:6" x14ac:dyDescent="0.25">
      <c r="A38835" s="2" t="str">
        <f t="shared" si="1268"/>
        <v>99999</v>
      </c>
      <c r="B38835" s="2" t="str">
        <f>"30525"</f>
        <v>30525</v>
      </c>
      <c r="C38835" s="1">
        <v>7.0645130942872903E-4</v>
      </c>
      <c r="D38835" s="1">
        <v>1.13213159436301E-3</v>
      </c>
      <c r="E38835" s="1">
        <v>9.0821785060902702E-4</v>
      </c>
      <c r="F38835" s="1">
        <v>7.3897557968246902E-4</v>
      </c>
    </row>
    <row r="38836" spans="1:6" x14ac:dyDescent="0.25">
      <c r="A38836" s="2" t="str">
        <f t="shared" si="1268"/>
        <v>99999</v>
      </c>
      <c r="B38836" s="2" t="str">
        <f>"30536"</f>
        <v>30536</v>
      </c>
      <c r="C38836" s="1">
        <v>5.1895195061541898E-4</v>
      </c>
      <c r="D38836" s="1">
        <v>1.97288347543153E-4</v>
      </c>
      <c r="E38836" s="1">
        <v>2.7376901716922799E-4</v>
      </c>
      <c r="F38836" s="1">
        <v>4.9225244591664702E-4</v>
      </c>
    </row>
    <row r="38837" spans="1:6" x14ac:dyDescent="0.25">
      <c r="A38837" s="2" t="str">
        <f t="shared" si="1268"/>
        <v>99999</v>
      </c>
      <c r="B38837" s="2" t="str">
        <f>"30552"</f>
        <v>30552</v>
      </c>
      <c r="C38837" s="1">
        <v>1.8280641793497901E-4</v>
      </c>
      <c r="D38837" s="1">
        <v>1.2292581654611801E-4</v>
      </c>
      <c r="E38837" s="1">
        <v>2.60732397304027E-5</v>
      </c>
      <c r="F38837" s="1">
        <v>1.7529280713523299E-4</v>
      </c>
    </row>
    <row r="38838" spans="1:6" x14ac:dyDescent="0.25">
      <c r="A38838" s="2" t="str">
        <f t="shared" si="1268"/>
        <v>99999</v>
      </c>
      <c r="B38838" s="2" t="str">
        <f>"30512"</f>
        <v>30512</v>
      </c>
      <c r="C38838" s="1">
        <v>1.4347302508496899E-3</v>
      </c>
      <c r="D38838" s="1">
        <v>1.59955321777294E-3</v>
      </c>
      <c r="E38838" s="1">
        <v>1.1341859282725101E-3</v>
      </c>
      <c r="F38838" s="1">
        <v>1.4386545312046501E-3</v>
      </c>
    </row>
    <row r="38839" spans="1:6" x14ac:dyDescent="0.25">
      <c r="A38839" s="2" t="str">
        <f t="shared" si="1268"/>
        <v>99999</v>
      </c>
      <c r="B38839" s="2" t="str">
        <f>"30529"</f>
        <v>30529</v>
      </c>
      <c r="C38839" s="1">
        <v>5.5769599740163803E-5</v>
      </c>
      <c r="D38839" s="1">
        <v>3.8850628439267E-4</v>
      </c>
      <c r="E38839" s="1">
        <v>9.5601879011476503E-5</v>
      </c>
      <c r="F38839" s="1">
        <v>7.8493771185981104E-5</v>
      </c>
    </row>
    <row r="38840" spans="1:6" x14ac:dyDescent="0.25">
      <c r="A38840" s="2" t="str">
        <f t="shared" si="1268"/>
        <v>99999</v>
      </c>
      <c r="B38840" s="2" t="str">
        <f>"30449"</f>
        <v>30449</v>
      </c>
      <c r="C38840" s="1">
        <v>0</v>
      </c>
      <c r="D38840" s="1">
        <v>1.51760267340886E-6</v>
      </c>
      <c r="E38840" s="1">
        <v>0</v>
      </c>
      <c r="F38840" s="1">
        <v>9.9485134582992598E-8</v>
      </c>
    </row>
    <row r="38841" spans="1:6" x14ac:dyDescent="0.25">
      <c r="A38841" s="2" t="str">
        <f t="shared" si="1268"/>
        <v>99999</v>
      </c>
      <c r="B38841" s="2" t="str">
        <f>"30441"</f>
        <v>30441</v>
      </c>
      <c r="C38841" s="1">
        <v>6.6792553896243196E-5</v>
      </c>
      <c r="D38841" s="1">
        <v>1.0623218713862E-5</v>
      </c>
      <c r="E38841" s="1">
        <v>0</v>
      </c>
      <c r="F38841" s="1">
        <v>6.1581298306872401E-5</v>
      </c>
    </row>
    <row r="38842" spans="1:6" x14ac:dyDescent="0.25">
      <c r="A38842" s="2" t="str">
        <f t="shared" si="1268"/>
        <v>99999</v>
      </c>
      <c r="B38842" s="2" t="str">
        <f>"05861"</f>
        <v>05861</v>
      </c>
      <c r="C38842" s="1">
        <v>6.5482895976708995E-7</v>
      </c>
      <c r="D38842" s="1">
        <v>0</v>
      </c>
      <c r="E38842" s="1">
        <v>0</v>
      </c>
      <c r="F38842" s="1">
        <v>5.9691080749795498E-7</v>
      </c>
    </row>
    <row r="38843" spans="1:6" x14ac:dyDescent="0.25">
      <c r="A38843" s="2" t="str">
        <f t="shared" si="1268"/>
        <v>99999</v>
      </c>
      <c r="B38843" s="2" t="str">
        <f>"05862"</f>
        <v>05862</v>
      </c>
      <c r="C38843" s="1">
        <v>4.4746645584084504E-6</v>
      </c>
      <c r="D38843" s="1">
        <v>3.0352053468177301E-6</v>
      </c>
      <c r="E38843" s="1">
        <v>0</v>
      </c>
      <c r="F38843" s="1">
        <v>4.2778607870686803E-6</v>
      </c>
    </row>
    <row r="38844" spans="1:6" x14ac:dyDescent="0.25">
      <c r="A38844" s="2" t="str">
        <f t="shared" si="1268"/>
        <v>99999</v>
      </c>
      <c r="B38844" s="2" t="str">
        <f>"05901"</f>
        <v>05901</v>
      </c>
      <c r="C38844" s="1">
        <v>8.7310527968945299E-7</v>
      </c>
      <c r="D38844" s="1">
        <v>0</v>
      </c>
      <c r="E38844" s="1">
        <v>0</v>
      </c>
      <c r="F38844" s="1">
        <v>7.9588107666394099E-7</v>
      </c>
    </row>
    <row r="38845" spans="1:6" x14ac:dyDescent="0.25">
      <c r="A38845" s="2" t="str">
        <f t="shared" si="1268"/>
        <v>99999</v>
      </c>
      <c r="B38845" s="2" t="str">
        <f>"05853"</f>
        <v>05853</v>
      </c>
      <c r="C38845" s="1">
        <v>2.0627112232663299E-5</v>
      </c>
      <c r="D38845" s="1">
        <v>4.5528080202265997E-6</v>
      </c>
      <c r="E38845" s="1">
        <v>4.3455399550671099E-6</v>
      </c>
      <c r="F38845" s="1">
        <v>1.92006309745175E-5</v>
      </c>
    </row>
    <row r="38846" spans="1:6" x14ac:dyDescent="0.25">
      <c r="A38846" s="2" t="str">
        <f t="shared" si="1268"/>
        <v>99999</v>
      </c>
      <c r="B38846" s="2" t="str">
        <f>"05832"</f>
        <v>05832</v>
      </c>
      <c r="C38846" s="1">
        <v>3.2304895348509703E-5</v>
      </c>
      <c r="D38846" s="1">
        <v>1.21408213872709E-5</v>
      </c>
      <c r="E38846" s="1">
        <v>1.3036619865201299E-5</v>
      </c>
      <c r="F38846" s="1">
        <v>3.0541936316978701E-5</v>
      </c>
    </row>
    <row r="38847" spans="1:6" x14ac:dyDescent="0.25">
      <c r="A38847" s="2" t="str">
        <f t="shared" si="1268"/>
        <v>99999</v>
      </c>
      <c r="B38847" s="2" t="str">
        <f>"05828"</f>
        <v>05828</v>
      </c>
      <c r="C38847" s="1">
        <v>9.3749679406655094E-5</v>
      </c>
      <c r="D38847" s="1">
        <v>2.2764040101133E-5</v>
      </c>
      <c r="E38847" s="1">
        <v>6.9528639281073799E-5</v>
      </c>
      <c r="F38847" s="1">
        <v>8.8541769778863405E-5</v>
      </c>
    </row>
    <row r="38848" spans="1:6" x14ac:dyDescent="0.25">
      <c r="A38848" s="2" t="str">
        <f t="shared" si="1268"/>
        <v>99999</v>
      </c>
      <c r="B38848" s="2" t="str">
        <f>"05845"</f>
        <v>05845</v>
      </c>
      <c r="C38848" s="1">
        <v>6.2317889337834705E-5</v>
      </c>
      <c r="D38848" s="1">
        <v>1.66936294074975E-5</v>
      </c>
      <c r="E38848" s="1">
        <v>3.0418779685469802E-5</v>
      </c>
      <c r="F38848" s="1">
        <v>5.8596744269382601E-5</v>
      </c>
    </row>
    <row r="38849" spans="1:6" x14ac:dyDescent="0.25">
      <c r="A38849" s="2" t="str">
        <f t="shared" si="1268"/>
        <v>99999</v>
      </c>
      <c r="B38849" s="2" t="str">
        <f>"05821"</f>
        <v>05821</v>
      </c>
      <c r="C38849" s="1">
        <v>5.56604615802026E-5</v>
      </c>
      <c r="D38849" s="1">
        <v>1.8211232080906399E-5</v>
      </c>
      <c r="E38849" s="1">
        <v>8.69107991013423E-6</v>
      </c>
      <c r="F38849" s="1">
        <v>5.2130210521488097E-5</v>
      </c>
    </row>
    <row r="38850" spans="1:6" x14ac:dyDescent="0.25">
      <c r="A38850" s="2" t="str">
        <f t="shared" si="1268"/>
        <v>99999</v>
      </c>
      <c r="B38850" s="2" t="str">
        <f>"05665"</f>
        <v>05665</v>
      </c>
      <c r="C38850" s="1">
        <v>0</v>
      </c>
      <c r="D38850" s="1">
        <v>1.51760267340886E-6</v>
      </c>
      <c r="E38850" s="1">
        <v>0</v>
      </c>
      <c r="F38850" s="1">
        <v>9.9485134582992598E-8</v>
      </c>
    </row>
    <row r="38851" spans="1:6" x14ac:dyDescent="0.25">
      <c r="A38851" s="2" t="str">
        <f t="shared" si="1268"/>
        <v>99999</v>
      </c>
      <c r="B38851" s="2" t="str">
        <f>"05658"</f>
        <v>05658</v>
      </c>
      <c r="C38851" s="1">
        <v>6.5482895976708995E-7</v>
      </c>
      <c r="D38851" s="1">
        <v>0</v>
      </c>
      <c r="E38851" s="1">
        <v>0</v>
      </c>
      <c r="F38851" s="1">
        <v>5.9691080749795498E-7</v>
      </c>
    </row>
    <row r="38852" spans="1:6" x14ac:dyDescent="0.25">
      <c r="A38852" s="2" t="str">
        <f t="shared" si="1268"/>
        <v>99999</v>
      </c>
      <c r="B38852" s="2" t="str">
        <f>"05655"</f>
        <v>05655</v>
      </c>
      <c r="C38852" s="1">
        <v>1.40788226349924E-4</v>
      </c>
      <c r="D38852" s="1">
        <v>4.4010477528857203E-5</v>
      </c>
      <c r="E38852" s="1">
        <v>3.9109859595604001E-5</v>
      </c>
      <c r="F38852" s="1">
        <v>1.32116258726214E-4</v>
      </c>
    </row>
    <row r="38853" spans="1:6" x14ac:dyDescent="0.25">
      <c r="A38853" s="2" t="str">
        <f t="shared" si="1268"/>
        <v>99999</v>
      </c>
      <c r="B38853" s="2" t="str">
        <f>"05471"</f>
        <v>05471</v>
      </c>
      <c r="C38853" s="1">
        <v>1.9644868793012701E-6</v>
      </c>
      <c r="D38853" s="1">
        <v>1.51760267340886E-6</v>
      </c>
      <c r="E38853" s="1">
        <v>0</v>
      </c>
      <c r="F38853" s="1">
        <v>1.89021755707686E-6</v>
      </c>
    </row>
    <row r="38854" spans="1:6" x14ac:dyDescent="0.25">
      <c r="A38854" s="2" t="str">
        <f t="shared" si="1268"/>
        <v>99999</v>
      </c>
      <c r="B38854" s="2" t="str">
        <f>"05472"</f>
        <v>05472</v>
      </c>
      <c r="C38854" s="1">
        <v>8.4800350289838193E-5</v>
      </c>
      <c r="D38854" s="1">
        <v>4.5528080202266E-5</v>
      </c>
      <c r="E38854" s="1">
        <v>4.7800939505738197E-5</v>
      </c>
      <c r="F38854" s="1">
        <v>8.1378840088887905E-5</v>
      </c>
    </row>
    <row r="38855" spans="1:6" x14ac:dyDescent="0.25">
      <c r="A38855" s="2" t="str">
        <f t="shared" si="1268"/>
        <v>99999</v>
      </c>
      <c r="B38855" s="2" t="str">
        <f>"05464"</f>
        <v>05464</v>
      </c>
      <c r="C38855" s="1">
        <v>1.21470772036795E-4</v>
      </c>
      <c r="D38855" s="1">
        <v>5.4633696242719298E-5</v>
      </c>
      <c r="E38855" s="1">
        <v>3.3026103658510001E-4</v>
      </c>
      <c r="F38855" s="1">
        <v>1.21869289864165E-4</v>
      </c>
    </row>
    <row r="38856" spans="1:6" x14ac:dyDescent="0.25">
      <c r="A38856" s="2" t="str">
        <f t="shared" si="1268"/>
        <v>99999</v>
      </c>
      <c r="B38856" s="2" t="str">
        <f>"05462"</f>
        <v>05462</v>
      </c>
      <c r="C38856" s="1">
        <v>2.1827631992236299E-6</v>
      </c>
      <c r="D38856" s="1">
        <v>0</v>
      </c>
      <c r="E38856" s="1">
        <v>0</v>
      </c>
      <c r="F38856" s="1">
        <v>1.98970269165985E-6</v>
      </c>
    </row>
    <row r="38857" spans="1:6" x14ac:dyDescent="0.25">
      <c r="A38857" s="2" t="str">
        <f t="shared" si="1268"/>
        <v>99999</v>
      </c>
      <c r="B38857" s="2" t="str">
        <f>"05445"</f>
        <v>05445</v>
      </c>
      <c r="C38857" s="1">
        <v>5.4569079980590801E-7</v>
      </c>
      <c r="D38857" s="1">
        <v>1.51760267340886E-6</v>
      </c>
      <c r="E38857" s="1">
        <v>0</v>
      </c>
      <c r="F38857" s="1">
        <v>5.9691080749795498E-7</v>
      </c>
    </row>
    <row r="38858" spans="1:6" x14ac:dyDescent="0.25">
      <c r="A38858" s="2" t="str">
        <f t="shared" si="1268"/>
        <v>99999</v>
      </c>
      <c r="B38858" s="2" t="str">
        <f>"05357"</f>
        <v>05357</v>
      </c>
      <c r="C38858" s="1">
        <v>0</v>
      </c>
      <c r="D38858" s="1">
        <v>0</v>
      </c>
      <c r="E38858" s="1">
        <v>4.3455399550671099E-6</v>
      </c>
      <c r="F38858" s="1">
        <v>9.9485134582992598E-8</v>
      </c>
    </row>
    <row r="38859" spans="1:6" x14ac:dyDescent="0.25">
      <c r="A38859" s="2" t="str">
        <f t="shared" si="1268"/>
        <v>99999</v>
      </c>
      <c r="B38859" s="2" t="str">
        <f>"05350"</f>
        <v>05350</v>
      </c>
      <c r="C38859" s="1">
        <v>1.09138159961181E-7</v>
      </c>
      <c r="D38859" s="1">
        <v>0</v>
      </c>
      <c r="E38859" s="1">
        <v>0</v>
      </c>
      <c r="F38859" s="1">
        <v>9.9485134582992598E-8</v>
      </c>
    </row>
    <row r="38860" spans="1:6" x14ac:dyDescent="0.25">
      <c r="A38860" s="2" t="str">
        <f t="shared" si="1268"/>
        <v>99999</v>
      </c>
      <c r="B38860" s="2" t="str">
        <f>"05342"</f>
        <v>05342</v>
      </c>
      <c r="C38860" s="1">
        <v>3.4924211187578099E-5</v>
      </c>
      <c r="D38860" s="1">
        <v>1.5176026734088599E-5</v>
      </c>
      <c r="E38860" s="1">
        <v>4.3455399550671099E-6</v>
      </c>
      <c r="F38860" s="1">
        <v>3.2929579546970502E-5</v>
      </c>
    </row>
    <row r="38861" spans="1:6" x14ac:dyDescent="0.25">
      <c r="A38861" s="2" t="str">
        <f t="shared" si="1268"/>
        <v>99999</v>
      </c>
      <c r="B38861" s="2" t="str">
        <f>"05201"</f>
        <v>05201</v>
      </c>
      <c r="C38861" s="1">
        <v>1.09138159961181E-7</v>
      </c>
      <c r="D38861" s="1">
        <v>0</v>
      </c>
      <c r="E38861" s="1">
        <v>0</v>
      </c>
      <c r="F38861" s="1">
        <v>9.9485134582992598E-8</v>
      </c>
    </row>
    <row r="38862" spans="1:6" x14ac:dyDescent="0.25">
      <c r="A38862" s="2" t="str">
        <f t="shared" si="1268"/>
        <v>99999</v>
      </c>
      <c r="B38862" s="2" t="str">
        <f>"05155"</f>
        <v>05155</v>
      </c>
      <c r="C38862" s="1">
        <v>3.8198355986413601E-5</v>
      </c>
      <c r="D38862" s="1">
        <v>5.6151298916128101E-5</v>
      </c>
      <c r="E38862" s="1">
        <v>4.3455399550671103E-5</v>
      </c>
      <c r="F38862" s="1">
        <v>3.9495598429447998E-5</v>
      </c>
    </row>
    <row r="38863" spans="1:6" x14ac:dyDescent="0.25">
      <c r="A38863" s="2" t="str">
        <f t="shared" si="1268"/>
        <v>99999</v>
      </c>
      <c r="B38863" s="2" t="str">
        <f>"05143"</f>
        <v>05143</v>
      </c>
      <c r="C38863" s="1">
        <v>4.9657862782337601E-5</v>
      </c>
      <c r="D38863" s="1">
        <v>1.66936294074975E-5</v>
      </c>
      <c r="E38863" s="1">
        <v>8.69107991013423E-6</v>
      </c>
      <c r="F38863" s="1">
        <v>4.6559042984840499E-5</v>
      </c>
    </row>
    <row r="38864" spans="1:6" x14ac:dyDescent="0.25">
      <c r="A38864" s="2" t="str">
        <f t="shared" si="1268"/>
        <v>99999</v>
      </c>
      <c r="B38864" s="2" t="str">
        <f>"04988"</f>
        <v>04988</v>
      </c>
      <c r="C38864" s="1">
        <v>8.5455179249605299E-5</v>
      </c>
      <c r="D38864" s="1">
        <v>6.0704106936354703E-5</v>
      </c>
      <c r="E38864" s="1">
        <v>1.73821598202684E-4</v>
      </c>
      <c r="F38864" s="1">
        <v>8.5855671145122601E-5</v>
      </c>
    </row>
    <row r="38865" spans="1:6" x14ac:dyDescent="0.25">
      <c r="A38865" s="2" t="str">
        <f t="shared" si="1268"/>
        <v>99999</v>
      </c>
      <c r="B38865" s="2" t="str">
        <f>"04954"</f>
        <v>04954</v>
      </c>
      <c r="C38865" s="1">
        <v>0</v>
      </c>
      <c r="D38865" s="1">
        <v>0</v>
      </c>
      <c r="E38865" s="1">
        <v>4.3455399550671099E-6</v>
      </c>
      <c r="F38865" s="1">
        <v>9.9485134582992598E-8</v>
      </c>
    </row>
    <row r="38866" spans="1:6" x14ac:dyDescent="0.25">
      <c r="A38866" s="2" t="str">
        <f t="shared" ref="A38866:A38929" si="1269">"99999"</f>
        <v>99999</v>
      </c>
      <c r="B38866" s="2" t="str">
        <f>"04961"</f>
        <v>04961</v>
      </c>
      <c r="C38866" s="1">
        <v>5.6097014220047403E-5</v>
      </c>
      <c r="D38866" s="1">
        <v>1.3658424060679801E-5</v>
      </c>
      <c r="E38866" s="1">
        <v>2.60732397304027E-5</v>
      </c>
      <c r="F38866" s="1">
        <v>5.2627636194403097E-5</v>
      </c>
    </row>
    <row r="38867" spans="1:6" x14ac:dyDescent="0.25">
      <c r="A38867" s="2" t="str">
        <f t="shared" si="1269"/>
        <v>99999</v>
      </c>
      <c r="B38867" s="2" t="str">
        <f>"04955"</f>
        <v>04955</v>
      </c>
      <c r="C38867" s="1">
        <v>7.2686014534147E-5</v>
      </c>
      <c r="D38867" s="1">
        <v>4.4010477528857203E-5</v>
      </c>
      <c r="E38867" s="1">
        <v>2.60732397304027E-5</v>
      </c>
      <c r="F38867" s="1">
        <v>6.9739079342677804E-5</v>
      </c>
    </row>
    <row r="38868" spans="1:6" x14ac:dyDescent="0.25">
      <c r="A38868" s="2" t="str">
        <f t="shared" si="1269"/>
        <v>99999</v>
      </c>
      <c r="B38868" s="2" t="str">
        <f>"04966"</f>
        <v>04966</v>
      </c>
      <c r="C38868" s="1">
        <v>8.6983113489061794E-5</v>
      </c>
      <c r="D38868" s="1">
        <v>2.88344507947685E-5</v>
      </c>
      <c r="E38868" s="1">
        <v>3.9109859595604001E-5</v>
      </c>
      <c r="F38868" s="1">
        <v>8.2075236030968902E-5</v>
      </c>
    </row>
    <row r="38869" spans="1:6" x14ac:dyDescent="0.25">
      <c r="A38869" s="2" t="str">
        <f t="shared" si="1269"/>
        <v>99999</v>
      </c>
      <c r="B38869" s="2" t="str">
        <f>"04952"</f>
        <v>04952</v>
      </c>
      <c r="C38869" s="1">
        <v>9.5714166285956303E-5</v>
      </c>
      <c r="D38869" s="1">
        <v>3.0352053468177301E-5</v>
      </c>
      <c r="E38869" s="1">
        <v>1.3036619865201299E-5</v>
      </c>
      <c r="F38869" s="1">
        <v>8.9536621124693296E-5</v>
      </c>
    </row>
    <row r="38870" spans="1:6" x14ac:dyDescent="0.25">
      <c r="A38870" s="2" t="str">
        <f t="shared" si="1269"/>
        <v>99999</v>
      </c>
      <c r="B38870" s="2" t="str">
        <f>"04945"</f>
        <v>04945</v>
      </c>
      <c r="C38870" s="1">
        <v>4.8675619342686997E-5</v>
      </c>
      <c r="D38870" s="1">
        <v>5.3116093569310399E-5</v>
      </c>
      <c r="E38870" s="1">
        <v>5.21464794608054E-5</v>
      </c>
      <c r="F38870" s="1">
        <v>4.9046171349415299E-5</v>
      </c>
    </row>
    <row r="38871" spans="1:6" x14ac:dyDescent="0.25">
      <c r="A38871" s="2" t="str">
        <f t="shared" si="1269"/>
        <v>99999</v>
      </c>
      <c r="B38871" s="2" t="str">
        <f>"04944"</f>
        <v>04944</v>
      </c>
      <c r="C38871" s="1">
        <v>6.5482895976708995E-7</v>
      </c>
      <c r="D38871" s="1">
        <v>1.51760267340886E-6</v>
      </c>
      <c r="E38871" s="1">
        <v>4.3455399550671099E-6</v>
      </c>
      <c r="F38871" s="1">
        <v>7.9588107666394099E-7</v>
      </c>
    </row>
    <row r="38872" spans="1:6" x14ac:dyDescent="0.25">
      <c r="A38872" s="2" t="str">
        <f t="shared" si="1269"/>
        <v>99999</v>
      </c>
      <c r="B38872" s="2" t="str">
        <f>"04925"</f>
        <v>04925</v>
      </c>
      <c r="C38872" s="1">
        <v>4.4746645584084504E-6</v>
      </c>
      <c r="D38872" s="1">
        <v>4.5528080202265997E-6</v>
      </c>
      <c r="E38872" s="1">
        <v>4.3455399550671099E-6</v>
      </c>
      <c r="F38872" s="1">
        <v>4.4768310562346604E-6</v>
      </c>
    </row>
    <row r="38873" spans="1:6" x14ac:dyDescent="0.25">
      <c r="A38873" s="2" t="str">
        <f t="shared" si="1269"/>
        <v>99999</v>
      </c>
      <c r="B38873" s="2" t="str">
        <f>"04912"</f>
        <v>04912</v>
      </c>
      <c r="C38873" s="1">
        <v>4.5510612703812697E-5</v>
      </c>
      <c r="D38873" s="1">
        <v>7.5880133670443404E-6</v>
      </c>
      <c r="E38873" s="1">
        <v>1.21675118741879E-4</v>
      </c>
      <c r="F38873" s="1">
        <v>4.47683105623466E-5</v>
      </c>
    </row>
    <row r="38874" spans="1:6" x14ac:dyDescent="0.25">
      <c r="A38874" s="2" t="str">
        <f t="shared" si="1269"/>
        <v>99999</v>
      </c>
      <c r="B38874" s="2" t="str">
        <f>"04769"</f>
        <v>04769</v>
      </c>
      <c r="C38874" s="1">
        <v>6.6814381528235395E-4</v>
      </c>
      <c r="D38874" s="1">
        <v>1.31727912051889E-3</v>
      </c>
      <c r="E38874" s="1">
        <v>1.8120901612629801E-3</v>
      </c>
      <c r="F38874" s="1">
        <v>7.3688639185622603E-4</v>
      </c>
    </row>
    <row r="38875" spans="1:6" x14ac:dyDescent="0.25">
      <c r="A38875" s="2" t="str">
        <f t="shared" si="1269"/>
        <v>99999</v>
      </c>
      <c r="B38875" s="2" t="str">
        <f>"04662"</f>
        <v>04662</v>
      </c>
      <c r="C38875" s="1">
        <v>4.3655263984472602E-7</v>
      </c>
      <c r="D38875" s="1">
        <v>1.51760267340886E-6</v>
      </c>
      <c r="E38875" s="1">
        <v>4.3455399550671099E-6</v>
      </c>
      <c r="F38875" s="1">
        <v>5.9691080749795498E-7</v>
      </c>
    </row>
    <row r="38876" spans="1:6" x14ac:dyDescent="0.25">
      <c r="A38876" s="2" t="str">
        <f t="shared" si="1269"/>
        <v>99999</v>
      </c>
      <c r="B38876" s="2" t="str">
        <f>"04675"</f>
        <v>04675</v>
      </c>
      <c r="C38876" s="1">
        <v>9.8224343965063504E-7</v>
      </c>
      <c r="D38876" s="1">
        <v>0</v>
      </c>
      <c r="E38876" s="1">
        <v>4.3455399550671099E-6</v>
      </c>
      <c r="F38876" s="1">
        <v>9.9485134582992606E-7</v>
      </c>
    </row>
    <row r="38877" spans="1:6" x14ac:dyDescent="0.25">
      <c r="A38877" s="2" t="str">
        <f t="shared" si="1269"/>
        <v>99999</v>
      </c>
      <c r="B38877" s="2" t="str">
        <f>"04732"</f>
        <v>04732</v>
      </c>
      <c r="C38877" s="1">
        <v>5.5114770780396697E-5</v>
      </c>
      <c r="D38877" s="1">
        <v>2.7316848121359601E-5</v>
      </c>
      <c r="E38877" s="1">
        <v>6.5183099326006705E-5</v>
      </c>
      <c r="F38877" s="1">
        <v>5.3523002405650002E-5</v>
      </c>
    </row>
    <row r="38878" spans="1:6" x14ac:dyDescent="0.25">
      <c r="A38878" s="2" t="str">
        <f t="shared" si="1269"/>
        <v>99999</v>
      </c>
      <c r="B38878" s="2" t="str">
        <f>"04730"</f>
        <v>04730</v>
      </c>
      <c r="C38878" s="1">
        <v>6.45006525370584E-4</v>
      </c>
      <c r="D38878" s="1">
        <v>9.9402975108280902E-4</v>
      </c>
      <c r="E38878" s="1">
        <v>1.44271926508228E-3</v>
      </c>
      <c r="F38878" s="1">
        <v>6.8614897321890003E-4</v>
      </c>
    </row>
    <row r="38879" spans="1:6" x14ac:dyDescent="0.25">
      <c r="A38879" s="2" t="str">
        <f t="shared" si="1269"/>
        <v>99999</v>
      </c>
      <c r="B38879" s="2" t="str">
        <f>"04660"</f>
        <v>04660</v>
      </c>
      <c r="C38879" s="1">
        <v>8.2617587090614498E-5</v>
      </c>
      <c r="D38879" s="1">
        <v>1.0623218713862E-5</v>
      </c>
      <c r="E38879" s="1">
        <v>2.1727699775335501E-5</v>
      </c>
      <c r="F38879" s="1">
        <v>7.6504068494321297E-5</v>
      </c>
    </row>
    <row r="38880" spans="1:6" x14ac:dyDescent="0.25">
      <c r="A38880" s="2" t="str">
        <f t="shared" si="1269"/>
        <v>99999</v>
      </c>
      <c r="B38880" s="2" t="str">
        <f>"04624"</f>
        <v>04624</v>
      </c>
      <c r="C38880" s="1">
        <v>1.0586401516234599E-5</v>
      </c>
      <c r="D38880" s="1">
        <v>1.51760267340886E-6</v>
      </c>
      <c r="E38880" s="1">
        <v>8.69107991013423E-6</v>
      </c>
      <c r="F38880" s="1">
        <v>9.9485134582992602E-6</v>
      </c>
    </row>
    <row r="38881" spans="1:6" x14ac:dyDescent="0.25">
      <c r="A38881" s="2" t="str">
        <f t="shared" si="1269"/>
        <v>99999</v>
      </c>
      <c r="B38881" s="2" t="str">
        <f>"04619"</f>
        <v>04619</v>
      </c>
      <c r="C38881" s="1">
        <v>1.9601213529028201E-4</v>
      </c>
      <c r="D38881" s="1">
        <v>4.0671751647357698E-4</v>
      </c>
      <c r="E38881" s="1">
        <v>7.7785165195701298E-4</v>
      </c>
      <c r="F38881" s="1">
        <v>2.2314515686965201E-4</v>
      </c>
    </row>
    <row r="38882" spans="1:6" x14ac:dyDescent="0.25">
      <c r="A38882" s="2" t="str">
        <f t="shared" si="1269"/>
        <v>99999</v>
      </c>
      <c r="B38882" s="2" t="str">
        <f>"04575"</f>
        <v>04575</v>
      </c>
      <c r="C38882" s="1">
        <v>1.5825033194371299E-5</v>
      </c>
      <c r="D38882" s="1">
        <v>0</v>
      </c>
      <c r="E38882" s="1">
        <v>4.3455399550671099E-6</v>
      </c>
      <c r="F38882" s="1">
        <v>1.45248296491169E-5</v>
      </c>
    </row>
    <row r="38883" spans="1:6" x14ac:dyDescent="0.25">
      <c r="A38883" s="2" t="str">
        <f t="shared" si="1269"/>
        <v>99999</v>
      </c>
      <c r="B38883" s="2" t="str">
        <f>"04572"</f>
        <v>04572</v>
      </c>
      <c r="C38883" s="1">
        <v>2.7317281438283701E-4</v>
      </c>
      <c r="D38883" s="1">
        <v>1.18373008525891E-4</v>
      </c>
      <c r="E38883" s="1">
        <v>1.7816713815775099E-4</v>
      </c>
      <c r="F38883" s="1">
        <v>2.6085002287660602E-4</v>
      </c>
    </row>
    <row r="38884" spans="1:6" x14ac:dyDescent="0.25">
      <c r="A38884" s="2" t="str">
        <f t="shared" si="1269"/>
        <v>99999</v>
      </c>
      <c r="B38884" s="2" t="str">
        <f>"04568"</f>
        <v>04568</v>
      </c>
      <c r="C38884" s="1">
        <v>4.16907771051714E-5</v>
      </c>
      <c r="D38884" s="1">
        <v>1.0623218713862E-5</v>
      </c>
      <c r="E38884" s="1">
        <v>8.69107991013423E-6</v>
      </c>
      <c r="F38884" s="1">
        <v>3.8898687621950101E-5</v>
      </c>
    </row>
    <row r="38885" spans="1:6" x14ac:dyDescent="0.25">
      <c r="A38885" s="2" t="str">
        <f t="shared" si="1269"/>
        <v>99999</v>
      </c>
      <c r="B38885" s="2" t="str">
        <f>"04441"</f>
        <v>04441</v>
      </c>
      <c r="C38885" s="1">
        <v>1.0804677836156899E-4</v>
      </c>
      <c r="D38885" s="1">
        <v>4.5528080202265997E-6</v>
      </c>
      <c r="E38885" s="1">
        <v>6.9528639281073799E-5</v>
      </c>
      <c r="F38885" s="1">
        <v>1.00380500794239E-4</v>
      </c>
    </row>
    <row r="38886" spans="1:6" x14ac:dyDescent="0.25">
      <c r="A38886" s="2" t="str">
        <f t="shared" si="1269"/>
        <v>99999</v>
      </c>
      <c r="B38886" s="2" t="str">
        <f>"04426"</f>
        <v>04426</v>
      </c>
      <c r="C38886" s="1">
        <v>2.8092162374008102E-4</v>
      </c>
      <c r="D38886" s="1">
        <v>4.2341114588107399E-4</v>
      </c>
      <c r="E38886" s="1">
        <v>7.99579351732349E-4</v>
      </c>
      <c r="F38886" s="1">
        <v>3.0213635372854802E-4</v>
      </c>
    </row>
    <row r="38887" spans="1:6" x14ac:dyDescent="0.25">
      <c r="A38887" s="2" t="str">
        <f t="shared" si="1269"/>
        <v>99999</v>
      </c>
      <c r="B38887" s="2" t="str">
        <f>"04220"</f>
        <v>04220</v>
      </c>
      <c r="C38887" s="1">
        <v>1.5126548970619699E-4</v>
      </c>
      <c r="D38887" s="1">
        <v>3.4904861488403899E-5</v>
      </c>
      <c r="E38887" s="1">
        <v>4.7800939505738197E-5</v>
      </c>
      <c r="F38887" s="1">
        <v>1.41268891107849E-4</v>
      </c>
    </row>
    <row r="38888" spans="1:6" x14ac:dyDescent="0.25">
      <c r="A38888" s="2" t="str">
        <f t="shared" si="1269"/>
        <v>99999</v>
      </c>
      <c r="B38888" s="2" t="str">
        <f>"04088"</f>
        <v>04088</v>
      </c>
      <c r="C38888" s="1">
        <v>8.1089652851158004E-5</v>
      </c>
      <c r="D38888" s="1">
        <v>2.7316848121359601E-5</v>
      </c>
      <c r="E38888" s="1">
        <v>7.8219719191208097E-5</v>
      </c>
      <c r="F38888" s="1">
        <v>7.7498919840151201E-5</v>
      </c>
    </row>
    <row r="38889" spans="1:6" x14ac:dyDescent="0.25">
      <c r="A38889" s="2" t="str">
        <f t="shared" si="1269"/>
        <v>99999</v>
      </c>
      <c r="B38889" s="2" t="str">
        <f>"04068"</f>
        <v>04068</v>
      </c>
      <c r="C38889" s="1">
        <v>6.8538764455622095E-5</v>
      </c>
      <c r="D38889" s="1">
        <v>1.5176026734088599E-5</v>
      </c>
      <c r="E38889" s="1">
        <v>3.47643196405369E-5</v>
      </c>
      <c r="F38889" s="1">
        <v>6.4267396940613205E-5</v>
      </c>
    </row>
    <row r="38890" spans="1:6" x14ac:dyDescent="0.25">
      <c r="A38890" s="2" t="str">
        <f t="shared" si="1269"/>
        <v>99999</v>
      </c>
      <c r="B38890" s="2" t="str">
        <f>"03872"</f>
        <v>03872</v>
      </c>
      <c r="C38890" s="1">
        <v>2.7699264998147901E-4</v>
      </c>
      <c r="D38890" s="1">
        <v>1.69971499421793E-4</v>
      </c>
      <c r="E38890" s="1">
        <v>1.56439438382416E-4</v>
      </c>
      <c r="F38890" s="1">
        <v>2.6721707148991798E-4</v>
      </c>
    </row>
    <row r="38891" spans="1:6" x14ac:dyDescent="0.25">
      <c r="A38891" s="2" t="str">
        <f t="shared" si="1269"/>
        <v>99999</v>
      </c>
      <c r="B38891" s="2" t="str">
        <f>"03849"</f>
        <v>03849</v>
      </c>
      <c r="C38891" s="1">
        <v>6.0353402458533503E-5</v>
      </c>
      <c r="D38891" s="1">
        <v>1.0623218713862E-5</v>
      </c>
      <c r="E38891" s="1">
        <v>4.3455399550671099E-6</v>
      </c>
      <c r="F38891" s="1">
        <v>5.5811160501058798E-5</v>
      </c>
    </row>
    <row r="38892" spans="1:6" x14ac:dyDescent="0.25">
      <c r="A38892" s="2" t="str">
        <f t="shared" si="1269"/>
        <v>99999</v>
      </c>
      <c r="B38892" s="2" t="str">
        <f>"03846"</f>
        <v>03846</v>
      </c>
      <c r="C38892" s="1">
        <v>1.8553487193400799E-5</v>
      </c>
      <c r="D38892" s="1">
        <v>3.0352053468177301E-6</v>
      </c>
      <c r="E38892" s="1">
        <v>1.3036619865201299E-5</v>
      </c>
      <c r="F38892" s="1">
        <v>1.74098985520237E-5</v>
      </c>
    </row>
    <row r="38893" spans="1:6" x14ac:dyDescent="0.25">
      <c r="A38893" s="2" t="str">
        <f t="shared" si="1269"/>
        <v>99999</v>
      </c>
      <c r="B38893" s="2" t="str">
        <f>"03838"</f>
        <v>03838</v>
      </c>
      <c r="C38893" s="1">
        <v>1.19615423317455E-4</v>
      </c>
      <c r="D38893" s="1">
        <v>2.12464374277241E-4</v>
      </c>
      <c r="E38893" s="1">
        <v>1.3036619865201299E-5</v>
      </c>
      <c r="F38893" s="1">
        <v>1.2326208174832701E-4</v>
      </c>
    </row>
    <row r="38894" spans="1:6" x14ac:dyDescent="0.25">
      <c r="A38894" s="2" t="str">
        <f t="shared" si="1269"/>
        <v>99999</v>
      </c>
      <c r="B38894" s="2" t="str">
        <f>"03227"</f>
        <v>03227</v>
      </c>
      <c r="C38894" s="1">
        <v>5.2277178621405997E-5</v>
      </c>
      <c r="D38894" s="1">
        <v>7.5880133670443404E-6</v>
      </c>
      <c r="E38894" s="1">
        <v>2.1727699775335501E-5</v>
      </c>
      <c r="F38894" s="1">
        <v>4.86482308110834E-5</v>
      </c>
    </row>
    <row r="38895" spans="1:6" x14ac:dyDescent="0.25">
      <c r="A38895" s="2" t="str">
        <f t="shared" si="1269"/>
        <v>99999</v>
      </c>
      <c r="B38895" s="2" t="str">
        <f>"99680"</f>
        <v>99680</v>
      </c>
      <c r="C38895" s="1">
        <v>0</v>
      </c>
      <c r="D38895" s="1">
        <v>0</v>
      </c>
      <c r="E38895" s="1">
        <v>4.3455399550671099E-6</v>
      </c>
      <c r="F38895" s="1">
        <v>9.9485134582992598E-8</v>
      </c>
    </row>
    <row r="38896" spans="1:6" x14ac:dyDescent="0.25">
      <c r="A38896" s="2" t="str">
        <f t="shared" si="1269"/>
        <v>99999</v>
      </c>
      <c r="B38896" s="2" t="str">
        <f>"99675"</f>
        <v>99675</v>
      </c>
      <c r="C38896" s="1">
        <v>0</v>
      </c>
      <c r="D38896" s="1">
        <v>0</v>
      </c>
      <c r="E38896" s="1">
        <v>4.3455399550671099E-6</v>
      </c>
      <c r="F38896" s="1">
        <v>9.9485134582992598E-8</v>
      </c>
    </row>
    <row r="38897" spans="1:6" x14ac:dyDescent="0.25">
      <c r="A38897" s="2" t="str">
        <f t="shared" si="1269"/>
        <v>99999</v>
      </c>
      <c r="B38897" s="2" t="str">
        <f>"99655"</f>
        <v>99655</v>
      </c>
      <c r="C38897" s="1">
        <v>0</v>
      </c>
      <c r="D38897" s="1">
        <v>0</v>
      </c>
      <c r="E38897" s="1">
        <v>4.3455399550671099E-6</v>
      </c>
      <c r="F38897" s="1">
        <v>9.9485134582992598E-8</v>
      </c>
    </row>
    <row r="38898" spans="1:6" x14ac:dyDescent="0.25">
      <c r="A38898" s="2" t="str">
        <f t="shared" si="1269"/>
        <v>99999</v>
      </c>
      <c r="B38898" s="2" t="str">
        <f>"99693"</f>
        <v>99693</v>
      </c>
      <c r="C38898" s="1">
        <v>0</v>
      </c>
      <c r="D38898" s="1">
        <v>0</v>
      </c>
      <c r="E38898" s="1">
        <v>4.3455399550671099E-6</v>
      </c>
      <c r="F38898" s="1">
        <v>9.9485134582992598E-8</v>
      </c>
    </row>
    <row r="38899" spans="1:6" x14ac:dyDescent="0.25">
      <c r="A38899" s="2" t="str">
        <f t="shared" si="1269"/>
        <v>99999</v>
      </c>
      <c r="B38899" s="2" t="str">
        <f>"99634"</f>
        <v>99634</v>
      </c>
      <c r="C38899" s="1">
        <v>0</v>
      </c>
      <c r="D38899" s="1">
        <v>0</v>
      </c>
      <c r="E38899" s="1">
        <v>4.3455399550671099E-6</v>
      </c>
      <c r="F38899" s="1">
        <v>9.9485134582992598E-8</v>
      </c>
    </row>
    <row r="38900" spans="1:6" x14ac:dyDescent="0.25">
      <c r="A38900" s="2" t="str">
        <f t="shared" si="1269"/>
        <v>99999</v>
      </c>
      <c r="B38900" s="2" t="str">
        <f>"99632"</f>
        <v>99632</v>
      </c>
      <c r="C38900" s="1">
        <v>0</v>
      </c>
      <c r="D38900" s="1">
        <v>0</v>
      </c>
      <c r="E38900" s="1">
        <v>4.3455399550671099E-6</v>
      </c>
      <c r="F38900" s="1">
        <v>9.9485134582992598E-8</v>
      </c>
    </row>
    <row r="38901" spans="1:6" x14ac:dyDescent="0.25">
      <c r="A38901" s="2" t="str">
        <f t="shared" si="1269"/>
        <v>99999</v>
      </c>
      <c r="B38901" s="2" t="str">
        <f>"99626"</f>
        <v>99626</v>
      </c>
      <c r="C38901" s="1">
        <v>0</v>
      </c>
      <c r="D38901" s="1">
        <v>0</v>
      </c>
      <c r="E38901" s="1">
        <v>4.3455399550671099E-6</v>
      </c>
      <c r="F38901" s="1">
        <v>9.9485134582992598E-8</v>
      </c>
    </row>
    <row r="38902" spans="1:6" x14ac:dyDescent="0.25">
      <c r="A38902" s="2" t="str">
        <f t="shared" si="1269"/>
        <v>99999</v>
      </c>
      <c r="B38902" s="2" t="str">
        <f>"99624"</f>
        <v>99624</v>
      </c>
      <c r="C38902" s="1">
        <v>0</v>
      </c>
      <c r="D38902" s="1">
        <v>0</v>
      </c>
      <c r="E38902" s="1">
        <v>4.3455399550671099E-6</v>
      </c>
      <c r="F38902" s="1">
        <v>9.9485134582992598E-8</v>
      </c>
    </row>
    <row r="38903" spans="1:6" x14ac:dyDescent="0.25">
      <c r="A38903" s="2" t="str">
        <f t="shared" si="1269"/>
        <v>99999</v>
      </c>
      <c r="B38903" s="2" t="str">
        <f>"99585"</f>
        <v>99585</v>
      </c>
      <c r="C38903" s="1">
        <v>0</v>
      </c>
      <c r="D38903" s="1">
        <v>0</v>
      </c>
      <c r="E38903" s="1">
        <v>4.3455399550671099E-6</v>
      </c>
      <c r="F38903" s="1">
        <v>9.9485134582992598E-8</v>
      </c>
    </row>
    <row r="38904" spans="1:6" x14ac:dyDescent="0.25">
      <c r="A38904" s="2" t="str">
        <f t="shared" si="1269"/>
        <v>99999</v>
      </c>
      <c r="B38904" s="2" t="str">
        <f>"99563"</f>
        <v>99563</v>
      </c>
      <c r="C38904" s="1">
        <v>0</v>
      </c>
      <c r="D38904" s="1">
        <v>1.51760267340886E-6</v>
      </c>
      <c r="E38904" s="1">
        <v>4.3455399550671099E-6</v>
      </c>
      <c r="F38904" s="1">
        <v>1.9897026916598501E-7</v>
      </c>
    </row>
    <row r="38905" spans="1:6" x14ac:dyDescent="0.25">
      <c r="A38905" s="2" t="str">
        <f t="shared" si="1269"/>
        <v>99999</v>
      </c>
      <c r="B38905" s="2" t="str">
        <f>"99736"</f>
        <v>99736</v>
      </c>
      <c r="C38905" s="1">
        <v>0</v>
      </c>
      <c r="D38905" s="1">
        <v>0</v>
      </c>
      <c r="E38905" s="1">
        <v>4.3455399550671099E-6</v>
      </c>
      <c r="F38905" s="1">
        <v>9.9485134582992598E-8</v>
      </c>
    </row>
    <row r="38906" spans="1:6" x14ac:dyDescent="0.25">
      <c r="A38906" s="2" t="str">
        <f t="shared" si="1269"/>
        <v>99999</v>
      </c>
      <c r="B38906" s="2" t="str">
        <f>"99733"</f>
        <v>99733</v>
      </c>
      <c r="C38906" s="1">
        <v>0</v>
      </c>
      <c r="D38906" s="1">
        <v>0</v>
      </c>
      <c r="E38906" s="1">
        <v>4.3455399550671099E-6</v>
      </c>
      <c r="F38906" s="1">
        <v>9.9485134582992598E-8</v>
      </c>
    </row>
    <row r="38907" spans="1:6" x14ac:dyDescent="0.25">
      <c r="A38907" s="2" t="str">
        <f t="shared" si="1269"/>
        <v>99999</v>
      </c>
      <c r="B38907" s="2" t="str">
        <f>"99720"</f>
        <v>99720</v>
      </c>
      <c r="C38907" s="1">
        <v>0</v>
      </c>
      <c r="D38907" s="1">
        <v>0</v>
      </c>
      <c r="E38907" s="1">
        <v>4.3455399550671099E-6</v>
      </c>
      <c r="F38907" s="1">
        <v>9.9485134582992598E-8</v>
      </c>
    </row>
    <row r="38908" spans="1:6" x14ac:dyDescent="0.25">
      <c r="A38908" s="2" t="str">
        <f t="shared" si="1269"/>
        <v>99999</v>
      </c>
      <c r="B38908" s="2" t="str">
        <f>"99840"</f>
        <v>99840</v>
      </c>
      <c r="C38908" s="1">
        <v>0</v>
      </c>
      <c r="D38908" s="1">
        <v>0</v>
      </c>
      <c r="E38908" s="1">
        <v>4.3455399550671099E-6</v>
      </c>
      <c r="F38908" s="1">
        <v>9.9485134582992598E-8</v>
      </c>
    </row>
    <row r="38909" spans="1:6" x14ac:dyDescent="0.25">
      <c r="A38909" s="2" t="str">
        <f t="shared" si="1269"/>
        <v>99999</v>
      </c>
      <c r="B38909" s="2" t="str">
        <f>"99832"</f>
        <v>99832</v>
      </c>
      <c r="C38909" s="1">
        <v>0</v>
      </c>
      <c r="D38909" s="1">
        <v>0</v>
      </c>
      <c r="E38909" s="1">
        <v>4.3455399550671099E-6</v>
      </c>
      <c r="F38909" s="1">
        <v>9.9485134582992598E-8</v>
      </c>
    </row>
    <row r="38910" spans="1:6" x14ac:dyDescent="0.25">
      <c r="A38910" s="2" t="str">
        <f t="shared" si="1269"/>
        <v>99999</v>
      </c>
      <c r="B38910" s="2" t="str">
        <f>"99772"</f>
        <v>99772</v>
      </c>
      <c r="C38910" s="1">
        <v>0</v>
      </c>
      <c r="D38910" s="1">
        <v>0</v>
      </c>
      <c r="E38910" s="1">
        <v>4.3455399550671099E-6</v>
      </c>
      <c r="F38910" s="1">
        <v>9.9485134582992598E-8</v>
      </c>
    </row>
    <row r="38911" spans="1:6" x14ac:dyDescent="0.25">
      <c r="A38911" s="2" t="str">
        <f t="shared" si="1269"/>
        <v>99999</v>
      </c>
      <c r="B38911" s="2" t="str">
        <f>"99759"</f>
        <v>99759</v>
      </c>
      <c r="C38911" s="1">
        <v>0</v>
      </c>
      <c r="D38911" s="1">
        <v>0</v>
      </c>
      <c r="E38911" s="1">
        <v>4.3455399550671099E-6</v>
      </c>
      <c r="F38911" s="1">
        <v>9.9485134582992598E-8</v>
      </c>
    </row>
    <row r="38912" spans="1:6" x14ac:dyDescent="0.25">
      <c r="A38912" s="2" t="str">
        <f t="shared" si="1269"/>
        <v>99999</v>
      </c>
      <c r="B38912" s="2" t="str">
        <f>"99755"</f>
        <v>99755</v>
      </c>
      <c r="C38912" s="1">
        <v>0</v>
      </c>
      <c r="D38912" s="1">
        <v>0</v>
      </c>
      <c r="E38912" s="1">
        <v>4.3455399550671099E-6</v>
      </c>
      <c r="F38912" s="1">
        <v>9.9485134582992598E-8</v>
      </c>
    </row>
    <row r="38913" spans="1:6" x14ac:dyDescent="0.25">
      <c r="A38913" s="2" t="str">
        <f t="shared" si="1269"/>
        <v>99999</v>
      </c>
      <c r="B38913" s="2" t="str">
        <f>"99754"</f>
        <v>99754</v>
      </c>
      <c r="C38913" s="1">
        <v>0</v>
      </c>
      <c r="D38913" s="1">
        <v>0</v>
      </c>
      <c r="E38913" s="1">
        <v>4.3455399550671099E-6</v>
      </c>
      <c r="F38913" s="1">
        <v>9.9485134582992598E-8</v>
      </c>
    </row>
    <row r="38914" spans="1:6" x14ac:dyDescent="0.25">
      <c r="A38914" s="2" t="str">
        <f t="shared" si="1269"/>
        <v>99999</v>
      </c>
      <c r="B38914" s="2" t="str">
        <f>"99744"</f>
        <v>99744</v>
      </c>
      <c r="C38914" s="1">
        <v>0</v>
      </c>
      <c r="D38914" s="1">
        <v>0</v>
      </c>
      <c r="E38914" s="1">
        <v>4.3455399550671099E-6</v>
      </c>
      <c r="F38914" s="1">
        <v>9.9485134582992598E-8</v>
      </c>
    </row>
    <row r="38915" spans="1:6" x14ac:dyDescent="0.25">
      <c r="A38915" s="2" t="str">
        <f t="shared" si="1269"/>
        <v>99999</v>
      </c>
      <c r="B38915" s="2" t="str">
        <f>"99923"</f>
        <v>99923</v>
      </c>
      <c r="C38915" s="1">
        <v>0</v>
      </c>
      <c r="D38915" s="1">
        <v>0</v>
      </c>
      <c r="E38915" s="1">
        <v>4.3455399550671099E-6</v>
      </c>
      <c r="F38915" s="1">
        <v>9.9485134582992598E-8</v>
      </c>
    </row>
    <row r="38916" spans="1:6" x14ac:dyDescent="0.25">
      <c r="A38916" s="2" t="str">
        <f t="shared" si="1269"/>
        <v>99999</v>
      </c>
      <c r="B38916" s="2" t="str">
        <f>"99835"</f>
        <v>99835</v>
      </c>
      <c r="C38916" s="1">
        <v>4.3557039640507601E-4</v>
      </c>
      <c r="D38916" s="1">
        <v>8.7717434523032598E-4</v>
      </c>
      <c r="E38916" s="1">
        <v>1.6513051829255001E-3</v>
      </c>
      <c r="F38916" s="1">
        <v>4.9235193105122996E-4</v>
      </c>
    </row>
    <row r="38917" spans="1:6" x14ac:dyDescent="0.25">
      <c r="A38917" s="2" t="str">
        <f t="shared" si="1269"/>
        <v>99999</v>
      </c>
      <c r="B38917" s="2" t="str">
        <f>"99169"</f>
        <v>99169</v>
      </c>
      <c r="C38917" s="1">
        <v>2.07362503926245E-6</v>
      </c>
      <c r="D38917" s="1">
        <v>0</v>
      </c>
      <c r="E38917" s="1">
        <v>0</v>
      </c>
      <c r="F38917" s="1">
        <v>1.89021755707686E-6</v>
      </c>
    </row>
    <row r="38918" spans="1:6" x14ac:dyDescent="0.25">
      <c r="A38918" s="2" t="str">
        <f t="shared" si="1269"/>
        <v>99999</v>
      </c>
      <c r="B38918" s="2" t="str">
        <f>"99118"</f>
        <v>99118</v>
      </c>
      <c r="C38918" s="1">
        <v>3.96171520659089E-5</v>
      </c>
      <c r="D38918" s="1">
        <v>2.5799245447950699E-5</v>
      </c>
      <c r="E38918" s="1">
        <v>2.0858591784322101E-4</v>
      </c>
      <c r="F38918" s="1">
        <v>4.2579637601520803E-5</v>
      </c>
    </row>
    <row r="38919" spans="1:6" x14ac:dyDescent="0.25">
      <c r="A38919" s="2" t="str">
        <f t="shared" si="1269"/>
        <v>99999</v>
      </c>
      <c r="B38919" s="2" t="str">
        <f>"99119"</f>
        <v>99119</v>
      </c>
      <c r="C38919" s="1">
        <v>7.7269817252516605E-5</v>
      </c>
      <c r="D38919" s="1">
        <v>3.0352053468177301E-5</v>
      </c>
      <c r="E38919" s="1">
        <v>3.47643196405369E-5</v>
      </c>
      <c r="F38919" s="1">
        <v>7.3221059053082502E-5</v>
      </c>
    </row>
    <row r="38920" spans="1:6" x14ac:dyDescent="0.25">
      <c r="A38920" s="2" t="str">
        <f t="shared" si="1269"/>
        <v>99999</v>
      </c>
      <c r="B38920" s="2" t="str">
        <f>"99009"</f>
        <v>99009</v>
      </c>
      <c r="C38920" s="1">
        <v>3.96171520659089E-5</v>
      </c>
      <c r="D38920" s="1">
        <v>2.1246437427724101E-5</v>
      </c>
      <c r="E38920" s="1">
        <v>8.69107991013423E-6</v>
      </c>
      <c r="F38920" s="1">
        <v>3.7704866006954201E-5</v>
      </c>
    </row>
    <row r="38921" spans="1:6" x14ac:dyDescent="0.25">
      <c r="A38921" s="2" t="str">
        <f t="shared" si="1269"/>
        <v>99999</v>
      </c>
      <c r="B38921" s="2" t="str">
        <f>"98862"</f>
        <v>98862</v>
      </c>
      <c r="C38921" s="1">
        <v>1.11430061320366E-4</v>
      </c>
      <c r="D38921" s="1">
        <v>4.2492874855448297E-5</v>
      </c>
      <c r="E38921" s="1">
        <v>9.5601879011476503E-5</v>
      </c>
      <c r="F38921" s="1">
        <v>1.06548579138385E-4</v>
      </c>
    </row>
    <row r="38922" spans="1:6" x14ac:dyDescent="0.25">
      <c r="A38922" s="2" t="str">
        <f t="shared" si="1269"/>
        <v>99999</v>
      </c>
      <c r="B38922" s="2" t="str">
        <f>"98840"</f>
        <v>98840</v>
      </c>
      <c r="C38922" s="1">
        <v>1.7516674673769599E-4</v>
      </c>
      <c r="D38922" s="1">
        <v>1.16855405852482E-4</v>
      </c>
      <c r="E38922" s="1">
        <v>1.9120375802295301E-4</v>
      </c>
      <c r="F38922" s="1">
        <v>1.7171134229024501E-4</v>
      </c>
    </row>
    <row r="38923" spans="1:6" x14ac:dyDescent="0.25">
      <c r="A38923" s="2" t="str">
        <f t="shared" si="1269"/>
        <v>99999</v>
      </c>
      <c r="B38923" s="2" t="str">
        <f>"98537"</f>
        <v>98537</v>
      </c>
      <c r="C38923" s="1">
        <v>5.3477698380979E-6</v>
      </c>
      <c r="D38923" s="1">
        <v>1.51760267340886E-6</v>
      </c>
      <c r="E38923" s="1">
        <v>0</v>
      </c>
      <c r="F38923" s="1">
        <v>4.9742567291496301E-6</v>
      </c>
    </row>
    <row r="38924" spans="1:6" x14ac:dyDescent="0.25">
      <c r="A38924" s="2" t="str">
        <f t="shared" si="1269"/>
        <v>99999</v>
      </c>
      <c r="B38924" s="2" t="str">
        <f>"98650"</f>
        <v>98650</v>
      </c>
      <c r="C38924" s="1">
        <v>6.4609790697019501E-5</v>
      </c>
      <c r="D38924" s="1">
        <v>3.0352053468177301E-5</v>
      </c>
      <c r="E38924" s="1">
        <v>1.3036619865201299E-5</v>
      </c>
      <c r="F38924" s="1">
        <v>6.1183357768540407E-5</v>
      </c>
    </row>
    <row r="38925" spans="1:6" x14ac:dyDescent="0.25">
      <c r="A38925" s="2" t="str">
        <f t="shared" si="1269"/>
        <v>99999</v>
      </c>
      <c r="B38925" s="2" t="str">
        <f>"98602"</f>
        <v>98602</v>
      </c>
      <c r="C38925" s="1">
        <v>1.7025552953944301E-5</v>
      </c>
      <c r="D38925" s="1">
        <v>0</v>
      </c>
      <c r="E38925" s="1">
        <v>4.3455399550671099E-6</v>
      </c>
      <c r="F38925" s="1">
        <v>1.5619166129529801E-5</v>
      </c>
    </row>
    <row r="38926" spans="1:6" x14ac:dyDescent="0.25">
      <c r="A38926" s="2" t="str">
        <f t="shared" si="1269"/>
        <v>99999</v>
      </c>
      <c r="B38926" s="2" t="str">
        <f>"98613"</f>
        <v>98613</v>
      </c>
      <c r="C38926" s="1">
        <v>2.6302296550644701E-5</v>
      </c>
      <c r="D38926" s="1">
        <v>6.0704106936354696E-6</v>
      </c>
      <c r="E38926" s="1">
        <v>8.69107991013423E-6</v>
      </c>
      <c r="F38926" s="1">
        <v>2.4572828241999101E-5</v>
      </c>
    </row>
    <row r="38927" spans="1:6" x14ac:dyDescent="0.25">
      <c r="A38927" s="2" t="str">
        <f t="shared" si="1269"/>
        <v>99999</v>
      </c>
      <c r="B38927" s="2" t="str">
        <f>"98640"</f>
        <v>98640</v>
      </c>
      <c r="C38927" s="1">
        <v>3.6190213843127799E-4</v>
      </c>
      <c r="D38927" s="1">
        <v>7.4362530997034595E-5</v>
      </c>
      <c r="E38927" s="1">
        <v>9.1256339056409395E-5</v>
      </c>
      <c r="F38927" s="1">
        <v>3.3685666569801301E-4</v>
      </c>
    </row>
    <row r="38928" spans="1:6" x14ac:dyDescent="0.25">
      <c r="A38928" s="2" t="str">
        <f t="shared" si="1269"/>
        <v>99999</v>
      </c>
      <c r="B38928" s="2" t="str">
        <f>"98586"</f>
        <v>98586</v>
      </c>
      <c r="C38928" s="1">
        <v>2.3246428071731702E-5</v>
      </c>
      <c r="D38928" s="1">
        <v>1.0623218713862E-5</v>
      </c>
      <c r="E38928" s="1">
        <v>8.69107991013423E-6</v>
      </c>
      <c r="F38928" s="1">
        <v>2.2085699877424301E-5</v>
      </c>
    </row>
    <row r="38929" spans="1:6" x14ac:dyDescent="0.25">
      <c r="A38929" s="2" t="str">
        <f t="shared" si="1269"/>
        <v>99999</v>
      </c>
      <c r="B38929" s="2" t="str">
        <f>"98368"</f>
        <v>98368</v>
      </c>
      <c r="C38929" s="1">
        <v>1.14234912031368E-3</v>
      </c>
      <c r="D38929" s="1">
        <v>2.0684924438562802E-3</v>
      </c>
      <c r="E38929" s="1">
        <v>1.76428922175724E-3</v>
      </c>
      <c r="F38929" s="1">
        <v>1.2173001067574899E-3</v>
      </c>
    </row>
    <row r="38930" spans="1:6" x14ac:dyDescent="0.25">
      <c r="A38930" s="2" t="str">
        <f t="shared" ref="A38930:A38993" si="1270">"99999"</f>
        <v>99999</v>
      </c>
      <c r="B38930" s="2" t="str">
        <f>"98365"</f>
        <v>98365</v>
      </c>
      <c r="C38930" s="1">
        <v>3.71615434667823E-4</v>
      </c>
      <c r="D38930" s="1">
        <v>2.5040444111246299E-4</v>
      </c>
      <c r="E38930" s="1">
        <v>2.8680563703442901E-4</v>
      </c>
      <c r="F38930" s="1">
        <v>3.6172794934376099E-4</v>
      </c>
    </row>
    <row r="38931" spans="1:6" x14ac:dyDescent="0.25">
      <c r="A38931" s="2" t="str">
        <f t="shared" si="1270"/>
        <v>99999</v>
      </c>
      <c r="B38931" s="2" t="str">
        <f>"98358"</f>
        <v>98358</v>
      </c>
      <c r="C38931" s="1">
        <v>5.6860981339775603E-5</v>
      </c>
      <c r="D38931" s="1">
        <v>1.21408213872709E-5</v>
      </c>
      <c r="E38931" s="1">
        <v>0</v>
      </c>
      <c r="F38931" s="1">
        <v>5.2627636194403097E-5</v>
      </c>
    </row>
    <row r="38932" spans="1:6" x14ac:dyDescent="0.25">
      <c r="A38932" s="2" t="str">
        <f t="shared" si="1270"/>
        <v>99999</v>
      </c>
      <c r="B38932" s="2" t="str">
        <f>"98297"</f>
        <v>98297</v>
      </c>
      <c r="C38932" s="1">
        <v>1.09138159961181E-7</v>
      </c>
      <c r="D38932" s="1">
        <v>0</v>
      </c>
      <c r="E38932" s="1">
        <v>0</v>
      </c>
      <c r="F38932" s="1">
        <v>9.9485134582992598E-8</v>
      </c>
    </row>
    <row r="38933" spans="1:6" x14ac:dyDescent="0.25">
      <c r="A38933" s="2" t="str">
        <f t="shared" si="1270"/>
        <v>99999</v>
      </c>
      <c r="B38933" s="2" t="str">
        <f>"97883"</f>
        <v>97883</v>
      </c>
      <c r="C38933" s="1">
        <v>1.52793423945654E-6</v>
      </c>
      <c r="D38933" s="1">
        <v>0</v>
      </c>
      <c r="E38933" s="1">
        <v>0</v>
      </c>
      <c r="F38933" s="1">
        <v>1.39279188416189E-6</v>
      </c>
    </row>
    <row r="38934" spans="1:6" x14ac:dyDescent="0.25">
      <c r="A38934" s="2" t="str">
        <f t="shared" si="1270"/>
        <v>99999</v>
      </c>
      <c r="B38934" s="2" t="str">
        <f>"97864"</f>
        <v>97864</v>
      </c>
      <c r="C38934" s="1">
        <v>2.9685579509441402E-5</v>
      </c>
      <c r="D38934" s="1">
        <v>1.51760267340886E-6</v>
      </c>
      <c r="E38934" s="1">
        <v>0</v>
      </c>
      <c r="F38934" s="1">
        <v>2.71594417411569E-5</v>
      </c>
    </row>
    <row r="38935" spans="1:6" x14ac:dyDescent="0.25">
      <c r="A38935" s="2" t="str">
        <f t="shared" si="1270"/>
        <v>99999</v>
      </c>
      <c r="B38935" s="2" t="str">
        <f>"97870"</f>
        <v>97870</v>
      </c>
      <c r="C38935" s="1">
        <v>4.3982678464356202E-5</v>
      </c>
      <c r="D38935" s="1">
        <v>4.5528080202265997E-6</v>
      </c>
      <c r="E38935" s="1">
        <v>2.60732397304027E-5</v>
      </c>
      <c r="F38935" s="1">
        <v>4.0987875448192901E-5</v>
      </c>
    </row>
    <row r="38936" spans="1:6" x14ac:dyDescent="0.25">
      <c r="A38936" s="2" t="str">
        <f t="shared" si="1270"/>
        <v>99999</v>
      </c>
      <c r="B38936" s="2" t="str">
        <f>"97759"</f>
        <v>97759</v>
      </c>
      <c r="C38936" s="1">
        <v>5.4569079980590801E-7</v>
      </c>
      <c r="D38936" s="1">
        <v>3.0352053468177301E-6</v>
      </c>
      <c r="E38936" s="1">
        <v>0</v>
      </c>
      <c r="F38936" s="1">
        <v>6.9639594208094799E-7</v>
      </c>
    </row>
    <row r="38937" spans="1:6" x14ac:dyDescent="0.25">
      <c r="A38937" s="2" t="str">
        <f t="shared" si="1270"/>
        <v>99999</v>
      </c>
      <c r="B38937" s="2" t="str">
        <f>"97848"</f>
        <v>97848</v>
      </c>
      <c r="C38937" s="1">
        <v>2.24824609520034E-5</v>
      </c>
      <c r="D38937" s="1">
        <v>1.21408213872709E-5</v>
      </c>
      <c r="E38937" s="1">
        <v>2.1727699775335501E-5</v>
      </c>
      <c r="F38937" s="1">
        <v>2.1787244473675299E-5</v>
      </c>
    </row>
    <row r="38938" spans="1:6" x14ac:dyDescent="0.25">
      <c r="A38938" s="2" t="str">
        <f t="shared" si="1270"/>
        <v>99999</v>
      </c>
      <c r="B38938" s="2" t="str">
        <f>"97846"</f>
        <v>97846</v>
      </c>
      <c r="C38938" s="1">
        <v>1.6425293074157801E-4</v>
      </c>
      <c r="D38938" s="1">
        <v>3.9457669508630602E-5</v>
      </c>
      <c r="E38938" s="1">
        <v>3.47643196405369E-5</v>
      </c>
      <c r="F38938" s="1">
        <v>1.5310762212322499E-4</v>
      </c>
    </row>
    <row r="38939" spans="1:6" x14ac:dyDescent="0.25">
      <c r="A38939" s="2" t="str">
        <f t="shared" si="1270"/>
        <v>99999</v>
      </c>
      <c r="B38939" s="2" t="str">
        <f>"97721"</f>
        <v>97721</v>
      </c>
      <c r="C38939" s="1">
        <v>1.82260727135173E-5</v>
      </c>
      <c r="D38939" s="1">
        <v>6.0704106936354696E-6</v>
      </c>
      <c r="E38939" s="1">
        <v>1.17329578786812E-4</v>
      </c>
      <c r="F38939" s="1">
        <v>1.96980566474325E-5</v>
      </c>
    </row>
    <row r="38940" spans="1:6" x14ac:dyDescent="0.25">
      <c r="A38940" s="2" t="str">
        <f t="shared" si="1270"/>
        <v>99999</v>
      </c>
      <c r="B38940" s="2" t="str">
        <f>"97107"</f>
        <v>97107</v>
      </c>
      <c r="C38940" s="1">
        <v>1.2627285107508701E-4</v>
      </c>
      <c r="D38940" s="1">
        <v>1.0623218713862E-5</v>
      </c>
      <c r="E38940" s="1">
        <v>3.47643196405369E-5</v>
      </c>
      <c r="F38940" s="1">
        <v>1.1659657773126699E-4</v>
      </c>
    </row>
    <row r="38941" spans="1:6" x14ac:dyDescent="0.25">
      <c r="A38941" s="2" t="str">
        <f t="shared" si="1270"/>
        <v>99999</v>
      </c>
      <c r="B38941" s="2" t="str">
        <f>"97135"</f>
        <v>97135</v>
      </c>
      <c r="C38941" s="1">
        <v>7.6287573812865994E-5</v>
      </c>
      <c r="D38941" s="1">
        <v>1.51760267340886E-6</v>
      </c>
      <c r="E38941" s="1">
        <v>8.69107991013423E-6</v>
      </c>
      <c r="F38941" s="1">
        <v>6.9838564477260796E-5</v>
      </c>
    </row>
    <row r="38942" spans="1:6" x14ac:dyDescent="0.25">
      <c r="A38942" s="2" t="str">
        <f t="shared" si="1270"/>
        <v>99999</v>
      </c>
      <c r="B38942" s="2" t="str">
        <f>"97136"</f>
        <v>97136</v>
      </c>
      <c r="C38942" s="1">
        <v>3.2621396012397197E-4</v>
      </c>
      <c r="D38942" s="1">
        <v>3.6422464161812797E-5</v>
      </c>
      <c r="E38942" s="1">
        <v>8.69107991013423E-5</v>
      </c>
      <c r="F38942" s="1">
        <v>3.01738413190216E-4</v>
      </c>
    </row>
    <row r="38943" spans="1:6" x14ac:dyDescent="0.25">
      <c r="A38943" s="2" t="str">
        <f t="shared" si="1270"/>
        <v>99999</v>
      </c>
      <c r="B38943" s="2" t="str">
        <f>"96929"</f>
        <v>96929</v>
      </c>
      <c r="C38943" s="1">
        <v>7.7335300148493301E-4</v>
      </c>
      <c r="D38943" s="1">
        <v>1.23836378150163E-3</v>
      </c>
      <c r="E38943" s="1">
        <v>1.8120901612629801E-3</v>
      </c>
      <c r="F38943" s="1">
        <v>8.2761683459591504E-4</v>
      </c>
    </row>
    <row r="38944" spans="1:6" x14ac:dyDescent="0.25">
      <c r="A38944" s="2" t="str">
        <f t="shared" si="1270"/>
        <v>99999</v>
      </c>
      <c r="B38944" s="2" t="str">
        <f>"96910"</f>
        <v>96910</v>
      </c>
      <c r="C38944" s="1">
        <v>2.1238285928445899E-4</v>
      </c>
      <c r="D38944" s="1">
        <v>1.57071876697817E-3</v>
      </c>
      <c r="E38944" s="1">
        <v>1.12114930840731E-3</v>
      </c>
      <c r="F38944" s="1">
        <v>3.22232350914313E-4</v>
      </c>
    </row>
    <row r="38945" spans="1:6" x14ac:dyDescent="0.25">
      <c r="A38945" s="2" t="str">
        <f t="shared" si="1270"/>
        <v>99999</v>
      </c>
      <c r="B38945" s="2" t="str">
        <f>"96106"</f>
        <v>96106</v>
      </c>
      <c r="C38945" s="1">
        <v>0</v>
      </c>
      <c r="D38945" s="1">
        <v>0</v>
      </c>
      <c r="E38945" s="1">
        <v>3.0418779685469802E-5</v>
      </c>
      <c r="F38945" s="1">
        <v>6.9639594208094799E-7</v>
      </c>
    </row>
    <row r="38946" spans="1:6" x14ac:dyDescent="0.25">
      <c r="A38946" s="2" t="str">
        <f t="shared" si="1270"/>
        <v>99999</v>
      </c>
      <c r="B38946" s="2" t="str">
        <f>"96104"</f>
        <v>96104</v>
      </c>
      <c r="C38946" s="1">
        <v>1.03681251963122E-5</v>
      </c>
      <c r="D38946" s="1">
        <v>3.0352053468177301E-6</v>
      </c>
      <c r="E38946" s="1">
        <v>0</v>
      </c>
      <c r="F38946" s="1">
        <v>9.6500580545502799E-6</v>
      </c>
    </row>
    <row r="38947" spans="1:6" x14ac:dyDescent="0.25">
      <c r="A38947" s="2" t="str">
        <f t="shared" si="1270"/>
        <v>99999</v>
      </c>
      <c r="B38947" s="2" t="str">
        <f>"96057"</f>
        <v>96057</v>
      </c>
      <c r="C38947" s="1">
        <v>7.63967119728272E-7</v>
      </c>
      <c r="D38947" s="1">
        <v>1.51760267340886E-6</v>
      </c>
      <c r="E38947" s="1">
        <v>4.3455399550671099E-6</v>
      </c>
      <c r="F38947" s="1">
        <v>8.9536621124693305E-7</v>
      </c>
    </row>
    <row r="38948" spans="1:6" x14ac:dyDescent="0.25">
      <c r="A38948" s="2" t="str">
        <f t="shared" si="1270"/>
        <v>99999</v>
      </c>
      <c r="B38948" s="2" t="str">
        <f>"96015"</f>
        <v>96015</v>
      </c>
      <c r="C38948" s="1">
        <v>7.5305330373215401E-6</v>
      </c>
      <c r="D38948" s="1">
        <v>4.5528080202265997E-6</v>
      </c>
      <c r="E38948" s="1">
        <v>1.7382159820268399E-5</v>
      </c>
      <c r="F38948" s="1">
        <v>7.5608702283074398E-6</v>
      </c>
    </row>
    <row r="38949" spans="1:6" x14ac:dyDescent="0.25">
      <c r="A38949" s="2" t="str">
        <f t="shared" si="1270"/>
        <v>99999</v>
      </c>
      <c r="B38949" s="2" t="str">
        <f>"95923"</f>
        <v>95923</v>
      </c>
      <c r="C38949" s="1">
        <v>9.1676054367392598E-6</v>
      </c>
      <c r="D38949" s="1">
        <v>3.0352053468177301E-6</v>
      </c>
      <c r="E38949" s="1">
        <v>4.3455399550671099E-6</v>
      </c>
      <c r="F38949" s="1">
        <v>8.6552067087203506E-6</v>
      </c>
    </row>
    <row r="38950" spans="1:6" x14ac:dyDescent="0.25">
      <c r="A38950" s="2" t="str">
        <f t="shared" si="1270"/>
        <v>99999</v>
      </c>
      <c r="B38950" s="2" t="str">
        <f>"95950"</f>
        <v>95950</v>
      </c>
      <c r="C38950" s="1">
        <v>0</v>
      </c>
      <c r="D38950" s="1">
        <v>0</v>
      </c>
      <c r="E38950" s="1">
        <v>4.3455399550671099E-6</v>
      </c>
      <c r="F38950" s="1">
        <v>9.9485134582992598E-8</v>
      </c>
    </row>
    <row r="38951" spans="1:6" x14ac:dyDescent="0.25">
      <c r="A38951" s="2" t="str">
        <f t="shared" si="1270"/>
        <v>99999</v>
      </c>
      <c r="B38951" s="2" t="str">
        <f>"95960"</f>
        <v>95960</v>
      </c>
      <c r="C38951" s="1">
        <v>9.71329623654517E-6</v>
      </c>
      <c r="D38951" s="1">
        <v>3.0352053468177301E-6</v>
      </c>
      <c r="E38951" s="1">
        <v>0</v>
      </c>
      <c r="F38951" s="1">
        <v>9.0531472470523294E-6</v>
      </c>
    </row>
    <row r="38952" spans="1:6" x14ac:dyDescent="0.25">
      <c r="A38952" s="2" t="str">
        <f t="shared" si="1270"/>
        <v>99999</v>
      </c>
      <c r="B38952" s="2" t="str">
        <f>"95956"</f>
        <v>95956</v>
      </c>
      <c r="C38952" s="1">
        <v>0</v>
      </c>
      <c r="D38952" s="1">
        <v>0</v>
      </c>
      <c r="E38952" s="1">
        <v>4.3455399550671099E-6</v>
      </c>
      <c r="F38952" s="1">
        <v>9.9485134582992598E-8</v>
      </c>
    </row>
    <row r="38953" spans="1:6" x14ac:dyDescent="0.25">
      <c r="A38953" s="2" t="str">
        <f t="shared" si="1270"/>
        <v>99999</v>
      </c>
      <c r="B38953" s="2" t="str">
        <f>"95983"</f>
        <v>95983</v>
      </c>
      <c r="C38953" s="1">
        <v>1.73529674338278E-5</v>
      </c>
      <c r="D38953" s="1">
        <v>0</v>
      </c>
      <c r="E38953" s="1">
        <v>2.1727699775335501E-5</v>
      </c>
      <c r="F38953" s="1">
        <v>1.6315562071610699E-5</v>
      </c>
    </row>
    <row r="38954" spans="1:6" x14ac:dyDescent="0.25">
      <c r="A38954" s="2" t="str">
        <f t="shared" si="1270"/>
        <v>99999</v>
      </c>
      <c r="B38954" s="2" t="str">
        <f>"95971"</f>
        <v>95971</v>
      </c>
      <c r="C38954" s="1">
        <v>2.2111391208135399E-4</v>
      </c>
      <c r="D38954" s="1">
        <v>4.7500963677697602E-4</v>
      </c>
      <c r="E38954" s="1">
        <v>2.5204131739389198E-4</v>
      </c>
      <c r="F38954" s="1">
        <v>2.3846586759543301E-4</v>
      </c>
    </row>
    <row r="38955" spans="1:6" x14ac:dyDescent="0.25">
      <c r="A38955" s="2" t="str">
        <f t="shared" si="1270"/>
        <v>99999</v>
      </c>
      <c r="B38955" s="2" t="str">
        <f>"95934"</f>
        <v>95934</v>
      </c>
      <c r="C38955" s="1">
        <v>4.2563882384860804E-6</v>
      </c>
      <c r="D38955" s="1">
        <v>0</v>
      </c>
      <c r="E38955" s="1">
        <v>4.3455399550671099E-6</v>
      </c>
      <c r="F38955" s="1">
        <v>3.9794053833197E-6</v>
      </c>
    </row>
    <row r="38956" spans="1:6" x14ac:dyDescent="0.25">
      <c r="A38956" s="2" t="str">
        <f t="shared" si="1270"/>
        <v>99999</v>
      </c>
      <c r="B38956" s="2" t="str">
        <f>"95675"</f>
        <v>95675</v>
      </c>
      <c r="C38956" s="1">
        <v>0</v>
      </c>
      <c r="D38956" s="1">
        <v>0</v>
      </c>
      <c r="E38956" s="1">
        <v>4.3455399550671099E-6</v>
      </c>
      <c r="F38956" s="1">
        <v>9.9485134582992598E-8</v>
      </c>
    </row>
    <row r="38957" spans="1:6" x14ac:dyDescent="0.25">
      <c r="A38957" s="2" t="str">
        <f t="shared" si="1270"/>
        <v>99999</v>
      </c>
      <c r="B38957" s="2" t="str">
        <f>"95699"</f>
        <v>95699</v>
      </c>
      <c r="C38957" s="1">
        <v>9.2767435967004401E-6</v>
      </c>
      <c r="D38957" s="1">
        <v>1.0623218713862E-5</v>
      </c>
      <c r="E38957" s="1">
        <v>1.3036619865201299E-5</v>
      </c>
      <c r="F38957" s="1">
        <v>9.4510877853842998E-6</v>
      </c>
    </row>
    <row r="38958" spans="1:6" x14ac:dyDescent="0.25">
      <c r="A38958" s="2" t="str">
        <f t="shared" si="1270"/>
        <v>99999</v>
      </c>
      <c r="B38958" s="2" t="str">
        <f>"95563"</f>
        <v>95563</v>
      </c>
      <c r="C38958" s="1">
        <v>0</v>
      </c>
      <c r="D38958" s="1">
        <v>1.51760267340886E-6</v>
      </c>
      <c r="E38958" s="1">
        <v>4.3455399550671099E-6</v>
      </c>
      <c r="F38958" s="1">
        <v>1.9897026916598501E-7</v>
      </c>
    </row>
    <row r="38959" spans="1:6" x14ac:dyDescent="0.25">
      <c r="A38959" s="2" t="str">
        <f t="shared" si="1270"/>
        <v>99999</v>
      </c>
      <c r="B38959" s="2" t="str">
        <f>"95595"</f>
        <v>95595</v>
      </c>
      <c r="C38959" s="1">
        <v>1.5388480554526601E-5</v>
      </c>
      <c r="D38959" s="1">
        <v>1.21408213872709E-5</v>
      </c>
      <c r="E38959" s="1">
        <v>4.3455399550671099E-6</v>
      </c>
      <c r="F38959" s="1">
        <v>1.49227701874488E-5</v>
      </c>
    </row>
    <row r="38960" spans="1:6" x14ac:dyDescent="0.25">
      <c r="A38960" s="2" t="str">
        <f t="shared" si="1270"/>
        <v>99999</v>
      </c>
      <c r="B38960" s="2" t="str">
        <f>"95321"</f>
        <v>95321</v>
      </c>
      <c r="C38960" s="1">
        <v>4.2563882384860804E-6</v>
      </c>
      <c r="D38960" s="1">
        <v>7.5880133670443404E-6</v>
      </c>
      <c r="E38960" s="1">
        <v>8.69107991013423E-6</v>
      </c>
      <c r="F38960" s="1">
        <v>4.5763161908176597E-6</v>
      </c>
    </row>
    <row r="38961" spans="1:6" x14ac:dyDescent="0.25">
      <c r="A38961" s="2" t="str">
        <f t="shared" si="1270"/>
        <v>99999</v>
      </c>
      <c r="B38961" s="2" t="str">
        <f>"95325"</f>
        <v>95325</v>
      </c>
      <c r="C38961" s="1">
        <v>2.1827631992236301E-7</v>
      </c>
      <c r="D38961" s="1">
        <v>0</v>
      </c>
      <c r="E38961" s="1">
        <v>4.3455399550671099E-6</v>
      </c>
      <c r="F38961" s="1">
        <v>2.9845540374897701E-7</v>
      </c>
    </row>
    <row r="38962" spans="1:6" x14ac:dyDescent="0.25">
      <c r="A38962" s="2" t="str">
        <f t="shared" si="1270"/>
        <v>99999</v>
      </c>
      <c r="B38962" s="2" t="str">
        <f>"95311"</f>
        <v>95311</v>
      </c>
      <c r="C38962" s="1">
        <v>1.12848857399861E-4</v>
      </c>
      <c r="D38962" s="1">
        <v>4.4010477528857203E-5</v>
      </c>
      <c r="E38962" s="1">
        <v>3.47643196405369E-5</v>
      </c>
      <c r="F38962" s="1">
        <v>1.06548579138385E-4</v>
      </c>
    </row>
    <row r="38963" spans="1:6" x14ac:dyDescent="0.25">
      <c r="A38963" s="2" t="str">
        <f t="shared" si="1270"/>
        <v>99999</v>
      </c>
      <c r="B38963" s="2" t="str">
        <f>"95255"</f>
        <v>95255</v>
      </c>
      <c r="C38963" s="1">
        <v>4.7584237743075203E-5</v>
      </c>
      <c r="D38963" s="1">
        <v>1.0623218713862E-5</v>
      </c>
      <c r="E38963" s="1">
        <v>1.7382159820268399E-5</v>
      </c>
      <c r="F38963" s="1">
        <v>4.44698551585977E-5</v>
      </c>
    </row>
    <row r="38964" spans="1:6" x14ac:dyDescent="0.25">
      <c r="A38964" s="2" t="str">
        <f t="shared" si="1270"/>
        <v>99999</v>
      </c>
      <c r="B38964" s="2" t="str">
        <f>"95338"</f>
        <v>95338</v>
      </c>
      <c r="C38964" s="1">
        <v>7.1671029646507998E-4</v>
      </c>
      <c r="D38964" s="1">
        <v>6.4801634154558702E-4</v>
      </c>
      <c r="E38964" s="1">
        <v>1.4340281851721399E-4</v>
      </c>
      <c r="F38964" s="1">
        <v>6.9908204071468896E-4</v>
      </c>
    </row>
    <row r="38965" spans="1:6" x14ac:dyDescent="0.25">
      <c r="A38965" s="2" t="str">
        <f t="shared" si="1270"/>
        <v>99999</v>
      </c>
      <c r="B38965" s="2" t="str">
        <f>"93517"</f>
        <v>93517</v>
      </c>
      <c r="C38965" s="1">
        <v>2.9467303189519E-6</v>
      </c>
      <c r="D38965" s="1">
        <v>1.8211232080906399E-5</v>
      </c>
      <c r="E38965" s="1">
        <v>4.3455399550671099E-6</v>
      </c>
      <c r="F38965" s="1">
        <v>3.9794053833197E-6</v>
      </c>
    </row>
    <row r="38966" spans="1:6" x14ac:dyDescent="0.25">
      <c r="A38966" s="2" t="str">
        <f t="shared" si="1270"/>
        <v>99999</v>
      </c>
      <c r="B38966" s="2" t="str">
        <f>"68863"</f>
        <v>68863</v>
      </c>
      <c r="C38966" s="1">
        <v>3.4924211187578098E-6</v>
      </c>
      <c r="D38966" s="1">
        <v>1.51760267340886E-6</v>
      </c>
      <c r="E38966" s="1">
        <v>0</v>
      </c>
      <c r="F38966" s="1">
        <v>3.2830094412387502E-6</v>
      </c>
    </row>
    <row r="38967" spans="1:6" x14ac:dyDescent="0.25">
      <c r="A38967" s="2" t="str">
        <f t="shared" si="1270"/>
        <v>99999</v>
      </c>
      <c r="B38967" s="2" t="str">
        <f>"68865"</f>
        <v>68865</v>
      </c>
      <c r="C38967" s="1">
        <v>3.8198355986413601E-5</v>
      </c>
      <c r="D38967" s="1">
        <v>1.21408213872709E-5</v>
      </c>
      <c r="E38967" s="1">
        <v>8.69107991013423E-6</v>
      </c>
      <c r="F38967" s="1">
        <v>3.5814648449877303E-5</v>
      </c>
    </row>
    <row r="38968" spans="1:6" x14ac:dyDescent="0.25">
      <c r="A38968" s="2" t="str">
        <f t="shared" si="1270"/>
        <v>99999</v>
      </c>
      <c r="B38968" s="2" t="str">
        <f>"68853"</f>
        <v>68853</v>
      </c>
      <c r="C38968" s="1">
        <v>9.3858817566616195E-5</v>
      </c>
      <c r="D38968" s="1">
        <v>4.2492874855448297E-5</v>
      </c>
      <c r="E38968" s="1">
        <v>3.47643196405369E-5</v>
      </c>
      <c r="F38968" s="1">
        <v>8.9138680586361396E-5</v>
      </c>
    </row>
    <row r="38969" spans="1:6" x14ac:dyDescent="0.25">
      <c r="A38969" s="2" t="str">
        <f t="shared" si="1270"/>
        <v>99999</v>
      </c>
      <c r="B38969" s="2" t="str">
        <f>"69331"</f>
        <v>69331</v>
      </c>
      <c r="C38969" s="1">
        <v>4.0381119185637197E-6</v>
      </c>
      <c r="D38969" s="1">
        <v>0</v>
      </c>
      <c r="E38969" s="1">
        <v>4.3455399550671099E-6</v>
      </c>
      <c r="F38969" s="1">
        <v>3.7804351141537199E-6</v>
      </c>
    </row>
    <row r="38970" spans="1:6" x14ac:dyDescent="0.25">
      <c r="A38970" s="2" t="str">
        <f t="shared" si="1270"/>
        <v>99999</v>
      </c>
      <c r="B38970" s="2" t="str">
        <f>"69027"</f>
        <v>69027</v>
      </c>
      <c r="C38970" s="1">
        <v>8.7310527968945299E-6</v>
      </c>
      <c r="D38970" s="1">
        <v>6.0704106936354696E-6</v>
      </c>
      <c r="E38970" s="1">
        <v>4.3455399550671099E-6</v>
      </c>
      <c r="F38970" s="1">
        <v>8.4562364395543705E-6</v>
      </c>
    </row>
    <row r="38971" spans="1:6" x14ac:dyDescent="0.25">
      <c r="A38971" s="2" t="str">
        <f t="shared" si="1270"/>
        <v>99999</v>
      </c>
      <c r="B38971" s="2" t="str">
        <f>"68964"</f>
        <v>68964</v>
      </c>
      <c r="C38971" s="1">
        <v>7.8579475172050803E-6</v>
      </c>
      <c r="D38971" s="1">
        <v>6.0704106936354696E-6</v>
      </c>
      <c r="E38971" s="1">
        <v>4.3455399550671099E-6</v>
      </c>
      <c r="F38971" s="1">
        <v>7.6603553628904299E-6</v>
      </c>
    </row>
    <row r="38972" spans="1:6" x14ac:dyDescent="0.25">
      <c r="A38972" s="2" t="str">
        <f t="shared" si="1270"/>
        <v>99999</v>
      </c>
      <c r="B38972" s="2" t="str">
        <f>"69036"</f>
        <v>69036</v>
      </c>
      <c r="C38972" s="1">
        <v>6.1117369578261701E-6</v>
      </c>
      <c r="D38972" s="1">
        <v>9.1056160404532095E-6</v>
      </c>
      <c r="E38972" s="1">
        <v>4.3455399550671099E-6</v>
      </c>
      <c r="F38972" s="1">
        <v>6.2675634787285303E-6</v>
      </c>
    </row>
    <row r="38973" spans="1:6" x14ac:dyDescent="0.25">
      <c r="A38973" s="2" t="str">
        <f t="shared" si="1270"/>
        <v>99999</v>
      </c>
      <c r="B38973" s="2" t="str">
        <f>"69029"</f>
        <v>69029</v>
      </c>
      <c r="C38973" s="1">
        <v>5.0203553582143598E-6</v>
      </c>
      <c r="D38973" s="1">
        <v>0</v>
      </c>
      <c r="E38973" s="1">
        <v>0</v>
      </c>
      <c r="F38973" s="1">
        <v>4.5763161908176597E-6</v>
      </c>
    </row>
    <row r="38974" spans="1:6" x14ac:dyDescent="0.25">
      <c r="A38974" s="2" t="str">
        <f t="shared" si="1270"/>
        <v>99999</v>
      </c>
      <c r="B38974" s="2" t="str">
        <f>"68960"</f>
        <v>68960</v>
      </c>
      <c r="C38974" s="1">
        <v>1.28783028754194E-5</v>
      </c>
      <c r="D38974" s="1">
        <v>3.0352053468177301E-6</v>
      </c>
      <c r="E38974" s="1">
        <v>0</v>
      </c>
      <c r="F38974" s="1">
        <v>1.19382161499591E-5</v>
      </c>
    </row>
    <row r="38975" spans="1:6" x14ac:dyDescent="0.25">
      <c r="A38975" s="2" t="str">
        <f t="shared" si="1270"/>
        <v>99999</v>
      </c>
      <c r="B38975" s="2" t="str">
        <f>"69025"</f>
        <v>69025</v>
      </c>
      <c r="C38975" s="1">
        <v>5.5223908940357899E-5</v>
      </c>
      <c r="D38975" s="1">
        <v>9.5608968424758703E-5</v>
      </c>
      <c r="E38975" s="1">
        <v>6.9528639281073799E-5</v>
      </c>
      <c r="F38975" s="1">
        <v>5.81988037310506E-5</v>
      </c>
    </row>
    <row r="38976" spans="1:6" x14ac:dyDescent="0.25">
      <c r="A38976" s="2" t="str">
        <f t="shared" si="1270"/>
        <v>99999</v>
      </c>
      <c r="B38976" s="2" t="str">
        <f>"69024"</f>
        <v>69024</v>
      </c>
      <c r="C38976" s="1">
        <v>6.3190994617524202E-5</v>
      </c>
      <c r="D38976" s="1">
        <v>2.4281642774541899E-5</v>
      </c>
      <c r="E38976" s="1">
        <v>2.1727699775335501E-5</v>
      </c>
      <c r="F38976" s="1">
        <v>5.9691080749795503E-5</v>
      </c>
    </row>
    <row r="38977" spans="1:6" x14ac:dyDescent="0.25">
      <c r="A38977" s="2" t="str">
        <f t="shared" si="1270"/>
        <v>99999</v>
      </c>
      <c r="B38977" s="2" t="str">
        <f>"68970"</f>
        <v>68970</v>
      </c>
      <c r="C38977" s="1">
        <v>8.8620185888479497E-5</v>
      </c>
      <c r="D38977" s="1">
        <v>2.4433403041882699E-4</v>
      </c>
      <c r="E38977" s="1">
        <v>1.12984038831745E-4</v>
      </c>
      <c r="F38977" s="1">
        <v>9.93856494484096E-5</v>
      </c>
    </row>
    <row r="38978" spans="1:6" x14ac:dyDescent="0.25">
      <c r="A38978" s="2" t="str">
        <f t="shared" si="1270"/>
        <v>99999</v>
      </c>
      <c r="B38978" s="2" t="str">
        <f>"69163"</f>
        <v>69163</v>
      </c>
      <c r="C38978" s="1">
        <v>1.85534871934008E-6</v>
      </c>
      <c r="D38978" s="1">
        <v>0</v>
      </c>
      <c r="E38978" s="1">
        <v>0</v>
      </c>
      <c r="F38978" s="1">
        <v>1.6912472879108699E-6</v>
      </c>
    </row>
    <row r="38979" spans="1:6" x14ac:dyDescent="0.25">
      <c r="A38979" s="2" t="str">
        <f t="shared" si="1270"/>
        <v>99999</v>
      </c>
      <c r="B38979" s="2" t="str">
        <f>"69157"</f>
        <v>69157</v>
      </c>
      <c r="C38979" s="1">
        <v>6.1117369578261701E-6</v>
      </c>
      <c r="D38979" s="1">
        <v>4.5528080202265997E-6</v>
      </c>
      <c r="E38979" s="1">
        <v>0</v>
      </c>
      <c r="F38979" s="1">
        <v>5.86962294039656E-6</v>
      </c>
    </row>
    <row r="38980" spans="1:6" x14ac:dyDescent="0.25">
      <c r="A38980" s="2" t="str">
        <f t="shared" si="1270"/>
        <v>99999</v>
      </c>
      <c r="B38980" s="2" t="str">
        <f>"69162"</f>
        <v>69162</v>
      </c>
      <c r="C38980" s="1">
        <v>4.4517455448166003E-4</v>
      </c>
      <c r="D38980" s="1">
        <v>6.7533318966694596E-4</v>
      </c>
      <c r="E38980" s="1">
        <v>7.5612395218167805E-4</v>
      </c>
      <c r="F38980" s="1">
        <v>4.6738116227089898E-4</v>
      </c>
    </row>
    <row r="38981" spans="1:6" x14ac:dyDescent="0.25">
      <c r="A38981" s="2" t="str">
        <f t="shared" si="1270"/>
        <v>99999</v>
      </c>
      <c r="B38981" s="2" t="str">
        <f>"69155"</f>
        <v>69155</v>
      </c>
      <c r="C38981" s="1">
        <v>4.8893895662609401E-5</v>
      </c>
      <c r="D38981" s="1">
        <v>1.8211232080906399E-5</v>
      </c>
      <c r="E38981" s="1">
        <v>1.7382159820268399E-5</v>
      </c>
      <c r="F38981" s="1">
        <v>4.6161102446508498E-5</v>
      </c>
    </row>
    <row r="38982" spans="1:6" x14ac:dyDescent="0.25">
      <c r="A38982" s="2" t="str">
        <f t="shared" si="1270"/>
        <v>99999</v>
      </c>
      <c r="B38982" s="2" t="str">
        <f>"69153"</f>
        <v>69153</v>
      </c>
      <c r="C38982" s="1">
        <v>3.4673193419667398E-4</v>
      </c>
      <c r="D38982" s="1">
        <v>6.8140360036058202E-4</v>
      </c>
      <c r="E38982" s="1">
        <v>4.56281695282047E-4</v>
      </c>
      <c r="F38982" s="1">
        <v>3.7117903712914499E-4</v>
      </c>
    </row>
    <row r="38983" spans="1:6" x14ac:dyDescent="0.25">
      <c r="A38983" s="2" t="str">
        <f t="shared" si="1270"/>
        <v>99999</v>
      </c>
      <c r="B38983" s="2" t="str">
        <f>"69149"</f>
        <v>69149</v>
      </c>
      <c r="C38983" s="1">
        <v>2.83759215899072E-5</v>
      </c>
      <c r="D38983" s="1">
        <v>0</v>
      </c>
      <c r="E38983" s="1">
        <v>4.3455399550671099E-6</v>
      </c>
      <c r="F38983" s="1">
        <v>2.5965620126160999E-5</v>
      </c>
    </row>
    <row r="38984" spans="1:6" x14ac:dyDescent="0.25">
      <c r="A38984" s="2" t="str">
        <f t="shared" si="1270"/>
        <v>99999</v>
      </c>
      <c r="B38984" s="2" t="str">
        <f>"68758"</f>
        <v>68758</v>
      </c>
      <c r="C38984" s="1">
        <v>3.05586847891308E-6</v>
      </c>
      <c r="D38984" s="1">
        <v>0</v>
      </c>
      <c r="E38984" s="1">
        <v>0</v>
      </c>
      <c r="F38984" s="1">
        <v>2.7855837683237898E-6</v>
      </c>
    </row>
    <row r="38985" spans="1:6" x14ac:dyDescent="0.25">
      <c r="A38985" s="2" t="str">
        <f t="shared" si="1270"/>
        <v>99999</v>
      </c>
      <c r="B38985" s="2" t="str">
        <f>"68792"</f>
        <v>68792</v>
      </c>
      <c r="C38985" s="1">
        <v>3.0231270309247298E-5</v>
      </c>
      <c r="D38985" s="1">
        <v>6.0704106936354696E-6</v>
      </c>
      <c r="E38985" s="1">
        <v>3.0418779685469802E-5</v>
      </c>
      <c r="F38985" s="1">
        <v>2.86517187599018E-5</v>
      </c>
    </row>
    <row r="38986" spans="1:6" x14ac:dyDescent="0.25">
      <c r="A38986" s="2" t="str">
        <f t="shared" si="1270"/>
        <v>99999</v>
      </c>
      <c r="B38986" s="2" t="str">
        <f>"68952"</f>
        <v>68952</v>
      </c>
      <c r="C38986" s="1">
        <v>9.1676054367392598E-6</v>
      </c>
      <c r="D38986" s="1">
        <v>3.0352053468177301E-6</v>
      </c>
      <c r="E38986" s="1">
        <v>0</v>
      </c>
      <c r="F38986" s="1">
        <v>8.5557215741373606E-6</v>
      </c>
    </row>
    <row r="38987" spans="1:6" x14ac:dyDescent="0.25">
      <c r="A38987" s="2" t="str">
        <f t="shared" si="1270"/>
        <v>99999</v>
      </c>
      <c r="B38987" s="2" t="str">
        <f>"68949"</f>
        <v>68949</v>
      </c>
      <c r="C38987" s="1">
        <v>3.7325250706724098E-4</v>
      </c>
      <c r="D38987" s="1">
        <v>6.0248826134332099E-4</v>
      </c>
      <c r="E38987" s="1">
        <v>5.8230235397899296E-4</v>
      </c>
      <c r="F38987" s="1">
        <v>3.9306576673740301E-4</v>
      </c>
    </row>
    <row r="38988" spans="1:6" x14ac:dyDescent="0.25">
      <c r="A38988" s="2" t="str">
        <f t="shared" si="1270"/>
        <v>99999</v>
      </c>
      <c r="B38988" s="2" t="str">
        <f>"68920"</f>
        <v>68920</v>
      </c>
      <c r="C38988" s="1">
        <v>9.0257258287897201E-5</v>
      </c>
      <c r="D38988" s="1">
        <v>5.9186504262945899E-5</v>
      </c>
      <c r="E38988" s="1">
        <v>6.0837559370939603E-5</v>
      </c>
      <c r="F38988" s="1">
        <v>8.7546918433033502E-5</v>
      </c>
    </row>
    <row r="38989" spans="1:6" x14ac:dyDescent="0.25">
      <c r="A38989" s="2" t="str">
        <f t="shared" si="1270"/>
        <v>99999</v>
      </c>
      <c r="B38989" s="2" t="str">
        <f>"68717"</f>
        <v>68717</v>
      </c>
      <c r="C38989" s="1">
        <v>1.1896059435768801E-5</v>
      </c>
      <c r="D38989" s="1">
        <v>4.5528080202265997E-6</v>
      </c>
      <c r="E38989" s="1">
        <v>4.3455399550671099E-6</v>
      </c>
      <c r="F38989" s="1">
        <v>1.12418202078781E-5</v>
      </c>
    </row>
    <row r="38990" spans="1:6" x14ac:dyDescent="0.25">
      <c r="A38990" s="2" t="str">
        <f t="shared" si="1270"/>
        <v>99999</v>
      </c>
      <c r="B38990" s="2" t="str">
        <f>"68729"</f>
        <v>68729</v>
      </c>
      <c r="C38990" s="1">
        <v>1.00952797964093E-4</v>
      </c>
      <c r="D38990" s="1">
        <v>1.69971499421793E-4</v>
      </c>
      <c r="E38990" s="1">
        <v>3.47643196405369E-5</v>
      </c>
      <c r="F38990" s="1">
        <v>1.03961965639227E-4</v>
      </c>
    </row>
    <row r="38991" spans="1:6" x14ac:dyDescent="0.25">
      <c r="A38991" s="2" t="str">
        <f t="shared" si="1270"/>
        <v>99999</v>
      </c>
      <c r="B38991" s="2" t="str">
        <f>"68450"</f>
        <v>68450</v>
      </c>
      <c r="C38991" s="1">
        <v>1.32166311712991E-4</v>
      </c>
      <c r="D38991" s="1">
        <v>8.65033523843055E-5</v>
      </c>
      <c r="E38991" s="1">
        <v>1.6513051829255E-4</v>
      </c>
      <c r="F38991" s="1">
        <v>1.29927585765388E-4</v>
      </c>
    </row>
    <row r="38992" spans="1:6" x14ac:dyDescent="0.25">
      <c r="A38992" s="2" t="str">
        <f t="shared" si="1270"/>
        <v>99999</v>
      </c>
      <c r="B38992" s="2" t="str">
        <f>"68410"</f>
        <v>68410</v>
      </c>
      <c r="C38992" s="1">
        <v>4.3153228448651203E-4</v>
      </c>
      <c r="D38992" s="1">
        <v>7.7853017145875002E-4</v>
      </c>
      <c r="E38992" s="1">
        <v>7.6481503209181202E-4</v>
      </c>
      <c r="F38992" s="1">
        <v>4.61909479868834E-4</v>
      </c>
    </row>
    <row r="38993" spans="1:6" x14ac:dyDescent="0.25">
      <c r="A38993" s="2" t="str">
        <f t="shared" si="1270"/>
        <v>99999</v>
      </c>
      <c r="B38993" s="2" t="str">
        <f>"68339"</f>
        <v>68339</v>
      </c>
      <c r="C38993" s="1">
        <v>2.1827631992236301E-7</v>
      </c>
      <c r="D38993" s="1">
        <v>0</v>
      </c>
      <c r="E38993" s="1">
        <v>0</v>
      </c>
      <c r="F38993" s="1">
        <v>1.9897026916598501E-7</v>
      </c>
    </row>
    <row r="38994" spans="1:6" x14ac:dyDescent="0.25">
      <c r="A38994" s="2" t="str">
        <f t="shared" ref="A38994:A39057" si="1271">"99999"</f>
        <v>99999</v>
      </c>
      <c r="B38994" s="2" t="str">
        <f>"68380"</f>
        <v>68380</v>
      </c>
      <c r="C38994" s="1">
        <v>4.5838027183696299E-6</v>
      </c>
      <c r="D38994" s="1">
        <v>3.0352053468177301E-6</v>
      </c>
      <c r="E38994" s="1">
        <v>0</v>
      </c>
      <c r="F38994" s="1">
        <v>4.3773459216516703E-6</v>
      </c>
    </row>
    <row r="38995" spans="1:6" x14ac:dyDescent="0.25">
      <c r="A38995" s="2" t="str">
        <f t="shared" si="1271"/>
        <v>99999</v>
      </c>
      <c r="B38995" s="2" t="str">
        <f>"68327"</f>
        <v>68327</v>
      </c>
      <c r="C38995" s="1">
        <v>1.2114335755691101E-5</v>
      </c>
      <c r="D38995" s="1">
        <v>2.1246437427724101E-5</v>
      </c>
      <c r="E38995" s="1">
        <v>4.3455399550671099E-6</v>
      </c>
      <c r="F38995" s="1">
        <v>1.2535126957457E-5</v>
      </c>
    </row>
    <row r="38996" spans="1:6" x14ac:dyDescent="0.25">
      <c r="A38996" s="2" t="str">
        <f t="shared" si="1271"/>
        <v>99999</v>
      </c>
      <c r="B38996" s="2" t="str">
        <f>"68376"</f>
        <v>68376</v>
      </c>
      <c r="C38996" s="1">
        <v>7.9343442291779104E-5</v>
      </c>
      <c r="D38996" s="1">
        <v>7.2844928323625703E-5</v>
      </c>
      <c r="E38996" s="1">
        <v>6.5183099326006705E-5</v>
      </c>
      <c r="F38996" s="1">
        <v>7.8593256320564096E-5</v>
      </c>
    </row>
    <row r="38997" spans="1:6" x14ac:dyDescent="0.25">
      <c r="A38997" s="2" t="str">
        <f t="shared" si="1271"/>
        <v>99999</v>
      </c>
      <c r="B38997" s="2" t="str">
        <f>"68367"</f>
        <v>68367</v>
      </c>
      <c r="C38997" s="1">
        <v>2.21550464721198E-5</v>
      </c>
      <c r="D38997" s="1">
        <v>4.5528080202265997E-6</v>
      </c>
      <c r="E38997" s="1">
        <v>8.69107991013423E-6</v>
      </c>
      <c r="F38997" s="1">
        <v>2.06929079932624E-5</v>
      </c>
    </row>
    <row r="38998" spans="1:6" x14ac:dyDescent="0.25">
      <c r="A38998" s="2" t="str">
        <f t="shared" si="1271"/>
        <v>99999</v>
      </c>
      <c r="B38998" s="2" t="str">
        <f>"68365"</f>
        <v>68365</v>
      </c>
      <c r="C38998" s="1">
        <v>1.44062371148759E-5</v>
      </c>
      <c r="D38998" s="1">
        <v>1.5176026734088599E-5</v>
      </c>
      <c r="E38998" s="1">
        <v>8.69107991013423E-6</v>
      </c>
      <c r="F38998" s="1">
        <v>1.43258593799509E-5</v>
      </c>
    </row>
    <row r="38999" spans="1:6" x14ac:dyDescent="0.25">
      <c r="A38999" s="2" t="str">
        <f t="shared" si="1271"/>
        <v>99999</v>
      </c>
      <c r="B38999" s="2" t="str">
        <f>"68361"</f>
        <v>68361</v>
      </c>
      <c r="C38999" s="1">
        <v>1.40788226349924E-4</v>
      </c>
      <c r="D38999" s="1">
        <v>2.8075649458064001E-4</v>
      </c>
      <c r="E38999" s="1">
        <v>1.0429295892161E-4</v>
      </c>
      <c r="F38999" s="1">
        <v>1.4912821673990499E-4</v>
      </c>
    </row>
    <row r="39000" spans="1:6" x14ac:dyDescent="0.25">
      <c r="A39000" s="2" t="str">
        <f t="shared" si="1271"/>
        <v>99999</v>
      </c>
      <c r="B39000" s="2" t="str">
        <f>"68662"</f>
        <v>68662</v>
      </c>
      <c r="C39000" s="1">
        <v>6.1444784058145303E-5</v>
      </c>
      <c r="D39000" s="1">
        <v>2.5799245447950699E-5</v>
      </c>
      <c r="E39000" s="1">
        <v>5.21464794608054E-5</v>
      </c>
      <c r="F39000" s="1">
        <v>5.8895199673131603E-5</v>
      </c>
    </row>
    <row r="39001" spans="1:6" x14ac:dyDescent="0.25">
      <c r="A39001" s="2" t="str">
        <f t="shared" si="1271"/>
        <v>99999</v>
      </c>
      <c r="B39001" s="2" t="str">
        <f>"68652"</f>
        <v>68652</v>
      </c>
      <c r="C39001" s="1">
        <v>3.9835428385831298E-5</v>
      </c>
      <c r="D39001" s="1">
        <v>1.9728834754315301E-5</v>
      </c>
      <c r="E39001" s="1">
        <v>2.60732397304027E-5</v>
      </c>
      <c r="F39001" s="1">
        <v>3.8202291679869098E-5</v>
      </c>
    </row>
    <row r="39002" spans="1:6" x14ac:dyDescent="0.25">
      <c r="A39002" s="2" t="str">
        <f t="shared" si="1271"/>
        <v>99999</v>
      </c>
      <c r="B39002" s="2" t="str">
        <f>"68643"</f>
        <v>68643</v>
      </c>
      <c r="C39002" s="1">
        <v>4.2563882384860802E-5</v>
      </c>
      <c r="D39002" s="1">
        <v>1.51760267340886E-6</v>
      </c>
      <c r="E39002" s="1">
        <v>1.7382159820268399E-5</v>
      </c>
      <c r="F39002" s="1">
        <v>3.9296628160282001E-5</v>
      </c>
    </row>
    <row r="39003" spans="1:6" x14ac:dyDescent="0.25">
      <c r="A39003" s="2" t="str">
        <f t="shared" si="1271"/>
        <v>99999</v>
      </c>
      <c r="B39003" s="2" t="str">
        <f>"68314"</f>
        <v>68314</v>
      </c>
      <c r="C39003" s="1">
        <v>7.63967119728272E-7</v>
      </c>
      <c r="D39003" s="1">
        <v>0</v>
      </c>
      <c r="E39003" s="1">
        <v>0</v>
      </c>
      <c r="F39003" s="1">
        <v>6.9639594208094799E-7</v>
      </c>
    </row>
    <row r="39004" spans="1:6" x14ac:dyDescent="0.25">
      <c r="A39004" s="2" t="str">
        <f t="shared" si="1271"/>
        <v>99999</v>
      </c>
      <c r="B39004" s="2" t="str">
        <f>"68315"</f>
        <v>68315</v>
      </c>
      <c r="C39004" s="1">
        <v>7.4213948773603504E-6</v>
      </c>
      <c r="D39004" s="1">
        <v>1.21408213872709E-5</v>
      </c>
      <c r="E39004" s="1">
        <v>0</v>
      </c>
      <c r="F39004" s="1">
        <v>7.5608702283074398E-6</v>
      </c>
    </row>
    <row r="39005" spans="1:6" x14ac:dyDescent="0.25">
      <c r="A39005" s="2" t="str">
        <f t="shared" si="1271"/>
        <v>99999</v>
      </c>
      <c r="B39005" s="2" t="str">
        <f>"68305"</f>
        <v>68305</v>
      </c>
      <c r="C39005" s="1">
        <v>2.3966739927475499E-4</v>
      </c>
      <c r="D39005" s="1">
        <v>4.4010477528857198E-4</v>
      </c>
      <c r="E39005" s="1">
        <v>3.6502535622563698E-4</v>
      </c>
      <c r="F39005" s="1">
        <v>2.5567679587829099E-4</v>
      </c>
    </row>
    <row r="39006" spans="1:6" x14ac:dyDescent="0.25">
      <c r="A39006" s="2" t="str">
        <f t="shared" si="1271"/>
        <v>99999</v>
      </c>
      <c r="B39006" s="2" t="str">
        <f>"68324"</f>
        <v>68324</v>
      </c>
      <c r="C39006" s="1">
        <v>9.1676054367392598E-6</v>
      </c>
      <c r="D39006" s="1">
        <v>1.3658424060679801E-5</v>
      </c>
      <c r="E39006" s="1">
        <v>4.3455399550671099E-6</v>
      </c>
      <c r="F39006" s="1">
        <v>9.3516026508012996E-6</v>
      </c>
    </row>
    <row r="39007" spans="1:6" x14ac:dyDescent="0.25">
      <c r="A39007" s="2" t="str">
        <f t="shared" si="1271"/>
        <v>99999</v>
      </c>
      <c r="B39007" s="2" t="str">
        <f>"68029"</f>
        <v>68029</v>
      </c>
      <c r="C39007" s="1">
        <v>2.7284539990295402E-6</v>
      </c>
      <c r="D39007" s="1">
        <v>1.51760267340886E-6</v>
      </c>
      <c r="E39007" s="1">
        <v>0</v>
      </c>
      <c r="F39007" s="1">
        <v>2.5866134991578E-6</v>
      </c>
    </row>
    <row r="39008" spans="1:6" x14ac:dyDescent="0.25">
      <c r="A39008" s="2" t="str">
        <f t="shared" si="1271"/>
        <v>99999</v>
      </c>
      <c r="B39008" s="2" t="str">
        <f>"68039"</f>
        <v>68039</v>
      </c>
      <c r="C39008" s="1">
        <v>2.08453885525857E-5</v>
      </c>
      <c r="D39008" s="1">
        <v>7.5880133670443404E-6</v>
      </c>
      <c r="E39008" s="1">
        <v>1.3036619865201299E-5</v>
      </c>
      <c r="F39008" s="1">
        <v>1.9797541782015501E-5</v>
      </c>
    </row>
    <row r="39009" spans="1:6" x14ac:dyDescent="0.25">
      <c r="A39009" s="2" t="str">
        <f t="shared" si="1271"/>
        <v>99999</v>
      </c>
      <c r="B39009" s="2" t="str">
        <f>"68036"</f>
        <v>68036</v>
      </c>
      <c r="C39009" s="1">
        <v>2.2591599111964599E-5</v>
      </c>
      <c r="D39009" s="1">
        <v>1.5176026734088599E-5</v>
      </c>
      <c r="E39009" s="1">
        <v>6.9528639281073799E-5</v>
      </c>
      <c r="F39009" s="1">
        <v>2.31800363578372E-5</v>
      </c>
    </row>
    <row r="39010" spans="1:6" x14ac:dyDescent="0.25">
      <c r="A39010" s="2" t="str">
        <f t="shared" si="1271"/>
        <v>99999</v>
      </c>
      <c r="B39010" s="2" t="str">
        <f>"67854"</f>
        <v>67854</v>
      </c>
      <c r="C39010" s="1">
        <v>6.45006525370584E-5</v>
      </c>
      <c r="D39010" s="1">
        <v>5.7668901589537E-5</v>
      </c>
      <c r="E39010" s="1">
        <v>3.47643196405369E-5</v>
      </c>
      <c r="F39010" s="1">
        <v>6.3372030729366306E-5</v>
      </c>
    </row>
    <row r="39011" spans="1:6" x14ac:dyDescent="0.25">
      <c r="A39011" s="2" t="str">
        <f t="shared" si="1271"/>
        <v>99999</v>
      </c>
      <c r="B39011" s="2" t="str">
        <f>"68061"</f>
        <v>68061</v>
      </c>
      <c r="C39011" s="1">
        <v>1.48209621227284E-4</v>
      </c>
      <c r="D39011" s="1">
        <v>1.97288347543153E-4</v>
      </c>
      <c r="E39011" s="1">
        <v>1.4340281851721399E-4</v>
      </c>
      <c r="F39011" s="1">
        <v>1.51316889700731E-4</v>
      </c>
    </row>
    <row r="39012" spans="1:6" x14ac:dyDescent="0.25">
      <c r="A39012" s="2" t="str">
        <f t="shared" si="1271"/>
        <v>99999</v>
      </c>
      <c r="B39012" s="2" t="str">
        <f>"67762"</f>
        <v>67762</v>
      </c>
      <c r="C39012" s="1">
        <v>1.4078822634992399E-5</v>
      </c>
      <c r="D39012" s="1">
        <v>4.5528080202265997E-6</v>
      </c>
      <c r="E39012" s="1">
        <v>4.3455399550671099E-6</v>
      </c>
      <c r="F39012" s="1">
        <v>1.3231522899537999E-5</v>
      </c>
    </row>
    <row r="39013" spans="1:6" x14ac:dyDescent="0.25">
      <c r="A39013" s="2" t="str">
        <f t="shared" si="1271"/>
        <v>99999</v>
      </c>
      <c r="B39013" s="2" t="str">
        <f>"67761"</f>
        <v>67761</v>
      </c>
      <c r="C39013" s="1">
        <v>1.41879607949536E-5</v>
      </c>
      <c r="D39013" s="1">
        <v>4.5528080202265997E-6</v>
      </c>
      <c r="E39013" s="1">
        <v>4.3455399550671099E-6</v>
      </c>
      <c r="F39013" s="1">
        <v>1.3331008034121E-5</v>
      </c>
    </row>
    <row r="39014" spans="1:6" x14ac:dyDescent="0.25">
      <c r="A39014" s="2" t="str">
        <f t="shared" si="1271"/>
        <v>99999</v>
      </c>
      <c r="B39014" s="2" t="str">
        <f>"67739"</f>
        <v>67739</v>
      </c>
      <c r="C39014" s="1">
        <v>1.27691647154582E-5</v>
      </c>
      <c r="D39014" s="1">
        <v>7.5880133670443404E-6</v>
      </c>
      <c r="E39014" s="1">
        <v>1.3036619865201299E-5</v>
      </c>
      <c r="F39014" s="1">
        <v>1.2435641822873999E-5</v>
      </c>
    </row>
    <row r="39015" spans="1:6" x14ac:dyDescent="0.25">
      <c r="A39015" s="2" t="str">
        <f t="shared" si="1271"/>
        <v>99999</v>
      </c>
      <c r="B39015" s="2" t="str">
        <f>"67349"</f>
        <v>67349</v>
      </c>
      <c r="C39015" s="1">
        <v>5.8061501099348598E-5</v>
      </c>
      <c r="D39015" s="1">
        <v>2.1246437427724101E-5</v>
      </c>
      <c r="E39015" s="1">
        <v>1.5209389842734899E-4</v>
      </c>
      <c r="F39015" s="1">
        <v>5.7800863192718701E-5</v>
      </c>
    </row>
    <row r="39016" spans="1:6" x14ac:dyDescent="0.25">
      <c r="A39016" s="2" t="str">
        <f t="shared" si="1271"/>
        <v>99999</v>
      </c>
      <c r="B39016" s="2" t="str">
        <f>"67334"</f>
        <v>67334</v>
      </c>
      <c r="C39016" s="1">
        <v>3.9289737586025402E-6</v>
      </c>
      <c r="D39016" s="1">
        <v>0</v>
      </c>
      <c r="E39016" s="1">
        <v>4.3455399550671099E-6</v>
      </c>
      <c r="F39016" s="1">
        <v>3.6809499795707201E-6</v>
      </c>
    </row>
    <row r="39017" spans="1:6" x14ac:dyDescent="0.25">
      <c r="A39017" s="2" t="str">
        <f t="shared" si="1271"/>
        <v>99999</v>
      </c>
      <c r="B39017" s="2" t="str">
        <f>"67346"</f>
        <v>67346</v>
      </c>
      <c r="C39017" s="1">
        <v>2.41195333514211E-5</v>
      </c>
      <c r="D39017" s="1">
        <v>6.0704106936354696E-6</v>
      </c>
      <c r="E39017" s="1">
        <v>4.3455399550671099E-6</v>
      </c>
      <c r="F39017" s="1">
        <v>2.2483640415756299E-5</v>
      </c>
    </row>
    <row r="39018" spans="1:6" x14ac:dyDescent="0.25">
      <c r="A39018" s="2" t="str">
        <f t="shared" si="1271"/>
        <v>99999</v>
      </c>
      <c r="B39018" s="2" t="str">
        <f>"67634"</f>
        <v>67634</v>
      </c>
      <c r="C39018" s="1">
        <v>8.8401909568557204E-6</v>
      </c>
      <c r="D39018" s="1">
        <v>0</v>
      </c>
      <c r="E39018" s="1">
        <v>4.3455399550671099E-6</v>
      </c>
      <c r="F39018" s="1">
        <v>8.1577810358053902E-6</v>
      </c>
    </row>
    <row r="39019" spans="1:6" x14ac:dyDescent="0.25">
      <c r="A39019" s="2" t="str">
        <f t="shared" si="1271"/>
        <v>99999</v>
      </c>
      <c r="B39019" s="2" t="str">
        <f>"67653"</f>
        <v>67653</v>
      </c>
      <c r="C39019" s="1">
        <v>1.7789520073672599E-5</v>
      </c>
      <c r="D39019" s="1">
        <v>3.0352053468177301E-6</v>
      </c>
      <c r="E39019" s="1">
        <v>4.3455399550671099E-6</v>
      </c>
      <c r="F39019" s="1">
        <v>1.65145323407767E-5</v>
      </c>
    </row>
    <row r="39020" spans="1:6" x14ac:dyDescent="0.25">
      <c r="A39020" s="2" t="str">
        <f t="shared" si="1271"/>
        <v>99999</v>
      </c>
      <c r="B39020" s="2" t="str">
        <f>"67733"</f>
        <v>67733</v>
      </c>
      <c r="C39020" s="1">
        <v>7.5305330373215401E-6</v>
      </c>
      <c r="D39020" s="1">
        <v>3.0352053468177301E-6</v>
      </c>
      <c r="E39020" s="1">
        <v>0</v>
      </c>
      <c r="F39020" s="1">
        <v>7.0634445553924701E-6</v>
      </c>
    </row>
    <row r="39021" spans="1:6" x14ac:dyDescent="0.25">
      <c r="A39021" s="2" t="str">
        <f t="shared" si="1271"/>
        <v>99999</v>
      </c>
      <c r="B39021" s="2" t="str">
        <f>"67661"</f>
        <v>67661</v>
      </c>
      <c r="C39021" s="1">
        <v>1.91537470731873E-4</v>
      </c>
      <c r="D39021" s="1">
        <v>3.5208382023085697E-4</v>
      </c>
      <c r="E39021" s="1">
        <v>1.7816713815775099E-4</v>
      </c>
      <c r="F39021" s="1">
        <v>2.0175585293430901E-4</v>
      </c>
    </row>
    <row r="39022" spans="1:6" x14ac:dyDescent="0.25">
      <c r="A39022" s="2" t="str">
        <f t="shared" si="1271"/>
        <v>99999</v>
      </c>
      <c r="B39022" s="2" t="str">
        <f>"67650"</f>
        <v>67650</v>
      </c>
      <c r="C39022" s="1">
        <v>1.2660026555497001E-5</v>
      </c>
      <c r="D39022" s="1">
        <v>9.1056160404532095E-6</v>
      </c>
      <c r="E39022" s="1">
        <v>4.3455399550671099E-6</v>
      </c>
      <c r="F39022" s="1">
        <v>1.2236671553708001E-5</v>
      </c>
    </row>
    <row r="39023" spans="1:6" x14ac:dyDescent="0.25">
      <c r="A39023" s="2" t="str">
        <f t="shared" si="1271"/>
        <v>99999</v>
      </c>
      <c r="B39023" s="2" t="str">
        <f>"67529"</f>
        <v>67529</v>
      </c>
      <c r="C39023" s="1">
        <v>1.3205717355302901E-5</v>
      </c>
      <c r="D39023" s="1">
        <v>4.5528080202265997E-6</v>
      </c>
      <c r="E39023" s="1">
        <v>1.3036619865201299E-5</v>
      </c>
      <c r="F39023" s="1">
        <v>1.263461209204E-5</v>
      </c>
    </row>
    <row r="39024" spans="1:6" x14ac:dyDescent="0.25">
      <c r="A39024" s="2" t="str">
        <f t="shared" si="1271"/>
        <v>99999</v>
      </c>
      <c r="B39024" s="2" t="str">
        <f>"67545"</f>
        <v>67545</v>
      </c>
      <c r="C39024" s="1">
        <v>1.4078822634992399E-5</v>
      </c>
      <c r="D39024" s="1">
        <v>1.5176026734088599E-5</v>
      </c>
      <c r="E39024" s="1">
        <v>1.4340281851721399E-4</v>
      </c>
      <c r="F39024" s="1">
        <v>1.7111443148274701E-5</v>
      </c>
    </row>
    <row r="39025" spans="1:6" x14ac:dyDescent="0.25">
      <c r="A39025" s="2" t="str">
        <f t="shared" si="1271"/>
        <v>99999</v>
      </c>
      <c r="B39025" s="2" t="str">
        <f>"67574"</f>
        <v>67574</v>
      </c>
      <c r="C39025" s="1">
        <v>6.1117369578261701E-6</v>
      </c>
      <c r="D39025" s="1">
        <v>3.0352053468177301E-6</v>
      </c>
      <c r="E39025" s="1">
        <v>4.3455399550671099E-6</v>
      </c>
      <c r="F39025" s="1">
        <v>5.86962294039656E-6</v>
      </c>
    </row>
    <row r="39026" spans="1:6" x14ac:dyDescent="0.25">
      <c r="A39026" s="2" t="str">
        <f t="shared" si="1271"/>
        <v>99999</v>
      </c>
      <c r="B39026" s="2" t="str">
        <f>"67584"</f>
        <v>67584</v>
      </c>
      <c r="C39026" s="1">
        <v>1.7243829273866699E-5</v>
      </c>
      <c r="D39026" s="1">
        <v>4.5528080202265997E-6</v>
      </c>
      <c r="E39026" s="1">
        <v>4.3455399550671099E-6</v>
      </c>
      <c r="F39026" s="1">
        <v>1.61165918024448E-5</v>
      </c>
    </row>
    <row r="39027" spans="1:6" x14ac:dyDescent="0.25">
      <c r="A39027" s="2" t="str">
        <f t="shared" si="1271"/>
        <v>99999</v>
      </c>
      <c r="B39027" s="2" t="str">
        <f>"67557"</f>
        <v>67557</v>
      </c>
      <c r="C39027" s="1">
        <v>3.5579040147345198E-5</v>
      </c>
      <c r="D39027" s="1">
        <v>5.15984908959015E-5</v>
      </c>
      <c r="E39027" s="1">
        <v>3.0418779685469802E-5</v>
      </c>
      <c r="F39027" s="1">
        <v>3.6511044391958198E-5</v>
      </c>
    </row>
    <row r="39028" spans="1:6" x14ac:dyDescent="0.25">
      <c r="A39028" s="2" t="str">
        <f t="shared" si="1271"/>
        <v>99999</v>
      </c>
      <c r="B39028" s="2" t="str">
        <f>"67548"</f>
        <v>67548</v>
      </c>
      <c r="C39028" s="1">
        <v>7.5523606693137706E-5</v>
      </c>
      <c r="D39028" s="1">
        <v>8.4985749710896595E-5</v>
      </c>
      <c r="E39028" s="1">
        <v>5.21464794608054E-5</v>
      </c>
      <c r="F39028" s="1">
        <v>7.5608702283074398E-5</v>
      </c>
    </row>
    <row r="39029" spans="1:6" x14ac:dyDescent="0.25">
      <c r="A39029" s="2" t="str">
        <f t="shared" si="1271"/>
        <v>99999</v>
      </c>
      <c r="B39029" s="2" t="str">
        <f>"67482"</f>
        <v>67482</v>
      </c>
      <c r="C39029" s="1">
        <v>4.8020790382919898E-6</v>
      </c>
      <c r="D39029" s="1">
        <v>0</v>
      </c>
      <c r="E39029" s="1">
        <v>4.3455399550671099E-6</v>
      </c>
      <c r="F39029" s="1">
        <v>4.4768310562346604E-6</v>
      </c>
    </row>
    <row r="39030" spans="1:6" x14ac:dyDescent="0.25">
      <c r="A39030" s="2" t="str">
        <f t="shared" si="1271"/>
        <v>99999</v>
      </c>
      <c r="B39030" s="2" t="str">
        <f>"67475"</f>
        <v>67475</v>
      </c>
      <c r="C39030" s="1">
        <v>1.1132092316040499E-5</v>
      </c>
      <c r="D39030" s="1">
        <v>7.5880133670443404E-6</v>
      </c>
      <c r="E39030" s="1">
        <v>4.3455399550671099E-6</v>
      </c>
      <c r="F39030" s="1">
        <v>1.0744394534963201E-5</v>
      </c>
    </row>
    <row r="39031" spans="1:6" x14ac:dyDescent="0.25">
      <c r="A39031" s="2" t="str">
        <f t="shared" si="1271"/>
        <v>99999</v>
      </c>
      <c r="B39031" s="2" t="str">
        <f>"67483"</f>
        <v>67483</v>
      </c>
      <c r="C39031" s="1">
        <v>1.65890003140996E-5</v>
      </c>
      <c r="D39031" s="1">
        <v>1.21408213872709E-5</v>
      </c>
      <c r="E39031" s="1">
        <v>4.3455399550671099E-6</v>
      </c>
      <c r="F39031" s="1">
        <v>1.6017106667861799E-5</v>
      </c>
    </row>
    <row r="39032" spans="1:6" x14ac:dyDescent="0.25">
      <c r="A39032" s="2" t="str">
        <f t="shared" si="1271"/>
        <v>99999</v>
      </c>
      <c r="B39032" s="2" t="str">
        <f>"67473"</f>
        <v>67473</v>
      </c>
      <c r="C39032" s="1">
        <v>9.9861416364481194E-5</v>
      </c>
      <c r="D39032" s="1">
        <v>2.2308759299110301E-4</v>
      </c>
      <c r="E39032" s="1">
        <v>6.5183099326006705E-5</v>
      </c>
      <c r="F39032" s="1">
        <v>1.07145489945883E-4</v>
      </c>
    </row>
    <row r="39033" spans="1:6" x14ac:dyDescent="0.25">
      <c r="A39033" s="2" t="str">
        <f t="shared" si="1271"/>
        <v>99999</v>
      </c>
      <c r="B39033" s="2" t="str">
        <f>"67464"</f>
        <v>67464</v>
      </c>
      <c r="C39033" s="1">
        <v>1.17869212758076E-5</v>
      </c>
      <c r="D39033" s="1">
        <v>9.1056160404532095E-6</v>
      </c>
      <c r="E39033" s="1">
        <v>0</v>
      </c>
      <c r="F39033" s="1">
        <v>1.13413053424611E-5</v>
      </c>
    </row>
    <row r="39034" spans="1:6" x14ac:dyDescent="0.25">
      <c r="A39034" s="2" t="str">
        <f t="shared" si="1271"/>
        <v>99999</v>
      </c>
      <c r="B39034" s="2" t="str">
        <f>"67446"</f>
        <v>67446</v>
      </c>
      <c r="C39034" s="1">
        <v>3.5469901987384003E-5</v>
      </c>
      <c r="D39034" s="1">
        <v>2.4281642774541899E-5</v>
      </c>
      <c r="E39034" s="1">
        <v>2.60732397304027E-5</v>
      </c>
      <c r="F39034" s="1">
        <v>3.4521341700298397E-5</v>
      </c>
    </row>
    <row r="39035" spans="1:6" x14ac:dyDescent="0.25">
      <c r="A39035" s="2" t="str">
        <f t="shared" si="1271"/>
        <v>99999</v>
      </c>
      <c r="B39035" s="2" t="str">
        <f>"67021"</f>
        <v>67021</v>
      </c>
      <c r="C39035" s="1">
        <v>4.6929408783308102E-6</v>
      </c>
      <c r="D39035" s="1">
        <v>1.3658424060679801E-5</v>
      </c>
      <c r="E39035" s="1">
        <v>4.3455399550671099E-6</v>
      </c>
      <c r="F39035" s="1">
        <v>5.2727121328986002E-6</v>
      </c>
    </row>
    <row r="39036" spans="1:6" x14ac:dyDescent="0.25">
      <c r="A39036" s="2" t="str">
        <f t="shared" si="1271"/>
        <v>99999</v>
      </c>
      <c r="B39036" s="2" t="str">
        <f>"67003"</f>
        <v>67003</v>
      </c>
      <c r="C39036" s="1">
        <v>1.7025552953944299E-4</v>
      </c>
      <c r="D39036" s="1">
        <v>3.2780217745631503E-4</v>
      </c>
      <c r="E39036" s="1">
        <v>2.1293145779828799E-4</v>
      </c>
      <c r="F39036" s="1">
        <v>1.8156037061396101E-4</v>
      </c>
    </row>
    <row r="39037" spans="1:6" x14ac:dyDescent="0.25">
      <c r="A39037" s="2" t="str">
        <f t="shared" si="1271"/>
        <v>99999</v>
      </c>
      <c r="B39037" s="2" t="str">
        <f>"66967"</f>
        <v>66967</v>
      </c>
      <c r="C39037" s="1">
        <v>1.26381989235048E-4</v>
      </c>
      <c r="D39037" s="1">
        <v>3.1717895874245299E-4</v>
      </c>
      <c r="E39037" s="1">
        <v>1.5209389842734899E-4</v>
      </c>
      <c r="F39037" s="1">
        <v>1.3947815868535501E-4</v>
      </c>
    </row>
    <row r="39038" spans="1:6" x14ac:dyDescent="0.25">
      <c r="A39038" s="2" t="str">
        <f t="shared" si="1271"/>
        <v>99999</v>
      </c>
      <c r="B39038" s="2" t="str">
        <f>"66868"</f>
        <v>66868</v>
      </c>
      <c r="C39038" s="1">
        <v>2.1827631992236301E-7</v>
      </c>
      <c r="D39038" s="1">
        <v>0</v>
      </c>
      <c r="E39038" s="1">
        <v>0</v>
      </c>
      <c r="F39038" s="1">
        <v>1.9897026916598501E-7</v>
      </c>
    </row>
    <row r="39039" spans="1:6" x14ac:dyDescent="0.25">
      <c r="A39039" s="2" t="str">
        <f t="shared" si="1271"/>
        <v>99999</v>
      </c>
      <c r="B39039" s="2" t="str">
        <f>"66938"</f>
        <v>66938</v>
      </c>
      <c r="C39039" s="1">
        <v>6.0462540618494597E-5</v>
      </c>
      <c r="D39039" s="1">
        <v>5.4633696242719298E-5</v>
      </c>
      <c r="E39039" s="1">
        <v>3.9109859595604001E-5</v>
      </c>
      <c r="F39039" s="1">
        <v>5.9591595615212498E-5</v>
      </c>
    </row>
    <row r="39040" spans="1:6" x14ac:dyDescent="0.25">
      <c r="A39040" s="2" t="str">
        <f t="shared" si="1271"/>
        <v>99999</v>
      </c>
      <c r="B39040" s="2" t="str">
        <f>"66935"</f>
        <v>66935</v>
      </c>
      <c r="C39040" s="1">
        <v>1.6086964778278101E-4</v>
      </c>
      <c r="D39040" s="1">
        <v>3.5056621755744799E-4</v>
      </c>
      <c r="E39040" s="1">
        <v>2.2596807766349001E-4</v>
      </c>
      <c r="F39040" s="1">
        <v>1.74795381462318E-4</v>
      </c>
    </row>
    <row r="39041" spans="1:6" x14ac:dyDescent="0.25">
      <c r="A39041" s="2" t="str">
        <f t="shared" si="1271"/>
        <v>99999</v>
      </c>
      <c r="B39041" s="2" t="str">
        <f>"66933"</f>
        <v>66933</v>
      </c>
      <c r="C39041" s="1">
        <v>2.0627112232663299E-5</v>
      </c>
      <c r="D39041" s="1">
        <v>2.5799245447950699E-5</v>
      </c>
      <c r="E39041" s="1">
        <v>4.3455399550671099E-6</v>
      </c>
      <c r="F39041" s="1">
        <v>2.0593422858679401E-5</v>
      </c>
    </row>
    <row r="39042" spans="1:6" x14ac:dyDescent="0.25">
      <c r="A39042" s="2" t="str">
        <f t="shared" si="1271"/>
        <v>99999</v>
      </c>
      <c r="B39042" s="2" t="str">
        <f>"66866"</f>
        <v>66866</v>
      </c>
      <c r="C39042" s="1">
        <v>8.9493291168168994E-5</v>
      </c>
      <c r="D39042" s="1">
        <v>1.13820200505665E-4</v>
      </c>
      <c r="E39042" s="1">
        <v>4.3455399550671103E-5</v>
      </c>
      <c r="F39042" s="1">
        <v>9.0034046797608295E-5</v>
      </c>
    </row>
    <row r="39043" spans="1:6" x14ac:dyDescent="0.25">
      <c r="A39043" s="2" t="str">
        <f t="shared" si="1271"/>
        <v>99999</v>
      </c>
      <c r="B39043" s="2" t="str">
        <f>"66860"</f>
        <v>66860</v>
      </c>
      <c r="C39043" s="1">
        <v>6.8866178935505601E-5</v>
      </c>
      <c r="D39043" s="1">
        <v>4.2492874855448297E-5</v>
      </c>
      <c r="E39043" s="1">
        <v>4.3455399550671103E-5</v>
      </c>
      <c r="F39043" s="1">
        <v>6.6555555036022001E-5</v>
      </c>
    </row>
    <row r="39044" spans="1:6" x14ac:dyDescent="0.25">
      <c r="A39044" s="2" t="str">
        <f t="shared" si="1271"/>
        <v>99999</v>
      </c>
      <c r="B39044" s="2" t="str">
        <f>"66857"</f>
        <v>66857</v>
      </c>
      <c r="C39044" s="1">
        <v>5.4023389180784903E-5</v>
      </c>
      <c r="D39044" s="1">
        <v>1.51760267340886E-6</v>
      </c>
      <c r="E39044" s="1">
        <v>3.47643196405369E-5</v>
      </c>
      <c r="F39044" s="1">
        <v>5.0140507829828202E-5</v>
      </c>
    </row>
    <row r="39045" spans="1:6" x14ac:dyDescent="0.25">
      <c r="A39045" s="2" t="str">
        <f t="shared" si="1271"/>
        <v>99999</v>
      </c>
      <c r="B39045" s="2" t="str">
        <f>"67061"</f>
        <v>67061</v>
      </c>
      <c r="C39045" s="1">
        <v>1.1459506795924E-5</v>
      </c>
      <c r="D39045" s="1">
        <v>9.1056160404532095E-6</v>
      </c>
      <c r="E39045" s="1">
        <v>1.3036619865201299E-5</v>
      </c>
      <c r="F39045" s="1">
        <v>1.13413053424611E-5</v>
      </c>
    </row>
    <row r="39046" spans="1:6" x14ac:dyDescent="0.25">
      <c r="A39046" s="2" t="str">
        <f t="shared" si="1271"/>
        <v>99999</v>
      </c>
      <c r="B39046" s="2" t="str">
        <f>"67071"</f>
        <v>67071</v>
      </c>
      <c r="C39046" s="1">
        <v>6.9848422375156299E-6</v>
      </c>
      <c r="D39046" s="1">
        <v>4.5528080202265997E-6</v>
      </c>
      <c r="E39046" s="1">
        <v>4.3455399550671099E-6</v>
      </c>
      <c r="F39046" s="1">
        <v>6.7649891516434898E-6</v>
      </c>
    </row>
    <row r="39047" spans="1:6" x14ac:dyDescent="0.25">
      <c r="A39047" s="2" t="str">
        <f t="shared" si="1271"/>
        <v>99999</v>
      </c>
      <c r="B39047" s="2" t="str">
        <f>"67111"</f>
        <v>67111</v>
      </c>
      <c r="C39047" s="1">
        <v>2.0190559592818601E-5</v>
      </c>
      <c r="D39047" s="1">
        <v>4.5528080202265997E-6</v>
      </c>
      <c r="E39047" s="1">
        <v>4.3455399550671099E-6</v>
      </c>
      <c r="F39047" s="1">
        <v>1.8802690436185601E-5</v>
      </c>
    </row>
    <row r="39048" spans="1:6" x14ac:dyDescent="0.25">
      <c r="A39048" s="2" t="str">
        <f t="shared" si="1271"/>
        <v>99999</v>
      </c>
      <c r="B39048" s="2" t="str">
        <f>"67137"</f>
        <v>67137</v>
      </c>
      <c r="C39048" s="1">
        <v>3.53607638274228E-5</v>
      </c>
      <c r="D39048" s="1">
        <v>4.0975272182039399E-5</v>
      </c>
      <c r="E39048" s="1">
        <v>4.3455399550671099E-6</v>
      </c>
      <c r="F39048" s="1">
        <v>3.5018767373213403E-5</v>
      </c>
    </row>
    <row r="39049" spans="1:6" x14ac:dyDescent="0.25">
      <c r="A39049" s="2" t="str">
        <f t="shared" si="1271"/>
        <v>99999</v>
      </c>
      <c r="B39049" s="2" t="str">
        <f>"67047"</f>
        <v>67047</v>
      </c>
      <c r="C39049" s="1">
        <v>8.5455179249605299E-5</v>
      </c>
      <c r="D39049" s="1">
        <v>1.8211232080906399E-5</v>
      </c>
      <c r="E39049" s="1">
        <v>8.69107991013423E-6</v>
      </c>
      <c r="F39049" s="1">
        <v>7.9289652262645106E-5</v>
      </c>
    </row>
    <row r="39050" spans="1:6" x14ac:dyDescent="0.25">
      <c r="A39050" s="2" t="str">
        <f t="shared" si="1271"/>
        <v>99999</v>
      </c>
      <c r="B39050" s="2" t="str">
        <f>"66748"</f>
        <v>66748</v>
      </c>
      <c r="C39050" s="1">
        <v>1.4089736450988499E-4</v>
      </c>
      <c r="D39050" s="1">
        <v>2.15499579624059E-4</v>
      </c>
      <c r="E39050" s="1">
        <v>3.47643196405369E-5</v>
      </c>
      <c r="F39050" s="1">
        <v>1.4335807893409199E-4</v>
      </c>
    </row>
    <row r="39051" spans="1:6" x14ac:dyDescent="0.25">
      <c r="A39051" s="2" t="str">
        <f t="shared" si="1271"/>
        <v>99999</v>
      </c>
      <c r="B39051" s="2" t="str">
        <f>"66733"</f>
        <v>66733</v>
      </c>
      <c r="C39051" s="1">
        <v>1.09138159961181E-4</v>
      </c>
      <c r="D39051" s="1">
        <v>2.18534784970877E-4</v>
      </c>
      <c r="E39051" s="1">
        <v>3.0418779685469802E-5</v>
      </c>
      <c r="F39051" s="1">
        <v>1.14507389905024E-4</v>
      </c>
    </row>
    <row r="39052" spans="1:6" x14ac:dyDescent="0.25">
      <c r="A39052" s="2" t="str">
        <f t="shared" si="1271"/>
        <v>99999</v>
      </c>
      <c r="B39052" s="2" t="str">
        <f>"66717"</f>
        <v>66717</v>
      </c>
      <c r="C39052" s="1">
        <v>4.1035948145404301E-5</v>
      </c>
      <c r="D39052" s="1">
        <v>3.6422464161812797E-5</v>
      </c>
      <c r="E39052" s="1">
        <v>3.0418779685469802E-5</v>
      </c>
      <c r="F39052" s="1">
        <v>4.0490449775278003E-5</v>
      </c>
    </row>
    <row r="39053" spans="1:6" x14ac:dyDescent="0.25">
      <c r="A39053" s="2" t="str">
        <f t="shared" si="1271"/>
        <v>99999</v>
      </c>
      <c r="B39053" s="2" t="str">
        <f>"66710"</f>
        <v>66710</v>
      </c>
      <c r="C39053" s="1">
        <v>2.83759215899072E-5</v>
      </c>
      <c r="D39053" s="1">
        <v>1.21408213872709E-5</v>
      </c>
      <c r="E39053" s="1">
        <v>4.3455399550671099E-6</v>
      </c>
      <c r="F39053" s="1">
        <v>2.6761501202825001E-5</v>
      </c>
    </row>
    <row r="39054" spans="1:6" x14ac:dyDescent="0.25">
      <c r="A39054" s="2" t="str">
        <f t="shared" si="1271"/>
        <v>99999</v>
      </c>
      <c r="B39054" s="2" t="str">
        <f>"66416"</f>
        <v>66416</v>
      </c>
      <c r="C39054" s="1">
        <v>2.1827631992236301E-7</v>
      </c>
      <c r="D39054" s="1">
        <v>0</v>
      </c>
      <c r="E39054" s="1">
        <v>0</v>
      </c>
      <c r="F39054" s="1">
        <v>1.9897026916598501E-7</v>
      </c>
    </row>
    <row r="39055" spans="1:6" x14ac:dyDescent="0.25">
      <c r="A39055" s="2" t="str">
        <f t="shared" si="1271"/>
        <v>99999</v>
      </c>
      <c r="B39055" s="2" t="str">
        <f>"66527"</f>
        <v>66527</v>
      </c>
      <c r="C39055" s="1">
        <v>1.4297098954914801E-5</v>
      </c>
      <c r="D39055" s="1">
        <v>1.0623218713862E-5</v>
      </c>
      <c r="E39055" s="1">
        <v>4.3455399550671099E-6</v>
      </c>
      <c r="F39055" s="1">
        <v>1.3828433707035901E-5</v>
      </c>
    </row>
    <row r="39056" spans="1:6" x14ac:dyDescent="0.25">
      <c r="A39056" s="2" t="str">
        <f t="shared" si="1271"/>
        <v>99999</v>
      </c>
      <c r="B39056" s="2" t="str">
        <f>"66541"</f>
        <v>66541</v>
      </c>
      <c r="C39056" s="1">
        <v>1.76803819137114E-5</v>
      </c>
      <c r="D39056" s="1">
        <v>4.5528080202265997E-6</v>
      </c>
      <c r="E39056" s="1">
        <v>4.3455399550671099E-6</v>
      </c>
      <c r="F39056" s="1">
        <v>1.65145323407767E-5</v>
      </c>
    </row>
    <row r="39057" spans="1:6" x14ac:dyDescent="0.25">
      <c r="A39057" s="2" t="str">
        <f t="shared" si="1271"/>
        <v>99999</v>
      </c>
      <c r="B39057" s="2" t="str">
        <f>"65660"</f>
        <v>65660</v>
      </c>
      <c r="C39057" s="1">
        <v>1.36422699951477E-5</v>
      </c>
      <c r="D39057" s="1">
        <v>0</v>
      </c>
      <c r="E39057" s="1">
        <v>8.69107991013423E-6</v>
      </c>
      <c r="F39057" s="1">
        <v>1.263461209204E-5</v>
      </c>
    </row>
    <row r="39058" spans="1:6" x14ac:dyDescent="0.25">
      <c r="A39058" s="2" t="str">
        <f t="shared" ref="A39058:A39121" si="1272">"99999"</f>
        <v>99999</v>
      </c>
      <c r="B39058" s="2" t="str">
        <f>"65662"</f>
        <v>65662</v>
      </c>
      <c r="C39058" s="1">
        <v>5.23863167813672E-5</v>
      </c>
      <c r="D39058" s="1">
        <v>1.66936294074975E-5</v>
      </c>
      <c r="E39058" s="1">
        <v>2.1727699775335501E-5</v>
      </c>
      <c r="F39058" s="1">
        <v>4.9344626753164302E-5</v>
      </c>
    </row>
    <row r="39059" spans="1:6" x14ac:dyDescent="0.25">
      <c r="A39059" s="2" t="str">
        <f t="shared" si="1272"/>
        <v>99999</v>
      </c>
      <c r="B39059" s="2" t="str">
        <f>"65649"</f>
        <v>65649</v>
      </c>
      <c r="C39059" s="1">
        <v>3.1104375588936701E-5</v>
      </c>
      <c r="D39059" s="1">
        <v>3.0352053468177301E-6</v>
      </c>
      <c r="E39059" s="1">
        <v>4.3455399550671099E-6</v>
      </c>
      <c r="F39059" s="1">
        <v>2.86517187599018E-5</v>
      </c>
    </row>
    <row r="39060" spans="1:6" x14ac:dyDescent="0.25">
      <c r="A39060" s="2" t="str">
        <f t="shared" si="1272"/>
        <v>99999</v>
      </c>
      <c r="B39060" s="2" t="str">
        <f>"65779"</f>
        <v>65779</v>
      </c>
      <c r="C39060" s="1">
        <v>2.6367779446621501E-4</v>
      </c>
      <c r="D39060" s="1">
        <v>8.3468147037487798E-5</v>
      </c>
      <c r="E39060" s="1">
        <v>4.3455399550671103E-5</v>
      </c>
      <c r="F39060" s="1">
        <v>2.4682261890040402E-4</v>
      </c>
    </row>
    <row r="39061" spans="1:6" x14ac:dyDescent="0.25">
      <c r="A39061" s="2" t="str">
        <f t="shared" si="1272"/>
        <v>99999</v>
      </c>
      <c r="B39061" s="2" t="str">
        <f>"65713"</f>
        <v>65713</v>
      </c>
      <c r="C39061" s="1">
        <v>1.23326120756135E-5</v>
      </c>
      <c r="D39061" s="1">
        <v>0</v>
      </c>
      <c r="E39061" s="1">
        <v>0</v>
      </c>
      <c r="F39061" s="1">
        <v>1.12418202078781E-5</v>
      </c>
    </row>
    <row r="39062" spans="1:6" x14ac:dyDescent="0.25">
      <c r="A39062" s="2" t="str">
        <f t="shared" si="1272"/>
        <v>99999</v>
      </c>
      <c r="B39062" s="2" t="str">
        <f>"65746"</f>
        <v>65746</v>
      </c>
      <c r="C39062" s="1">
        <v>1.12412304760017E-5</v>
      </c>
      <c r="D39062" s="1">
        <v>6.0704106936354696E-6</v>
      </c>
      <c r="E39062" s="1">
        <v>8.69107991013423E-6</v>
      </c>
      <c r="F39062" s="1">
        <v>1.0843879669546099E-5</v>
      </c>
    </row>
    <row r="39063" spans="1:6" x14ac:dyDescent="0.25">
      <c r="A39063" s="2" t="str">
        <f t="shared" si="1272"/>
        <v>99999</v>
      </c>
      <c r="B39063" s="2" t="str">
        <f>"65546"</f>
        <v>65546</v>
      </c>
      <c r="C39063" s="1">
        <v>0</v>
      </c>
      <c r="D39063" s="1">
        <v>0</v>
      </c>
      <c r="E39063" s="1">
        <v>4.3455399550671099E-6</v>
      </c>
      <c r="F39063" s="1">
        <v>9.9485134582992598E-8</v>
      </c>
    </row>
    <row r="39064" spans="1:6" x14ac:dyDescent="0.25">
      <c r="A39064" s="2" t="str">
        <f t="shared" si="1272"/>
        <v>99999</v>
      </c>
      <c r="B39064" s="2" t="str">
        <f>"65543"</f>
        <v>65543</v>
      </c>
      <c r="C39064" s="1">
        <v>1.4187960794953601E-6</v>
      </c>
      <c r="D39064" s="1">
        <v>0</v>
      </c>
      <c r="E39064" s="1">
        <v>0</v>
      </c>
      <c r="F39064" s="1">
        <v>1.2933067495789E-6</v>
      </c>
    </row>
    <row r="39065" spans="1:6" x14ac:dyDescent="0.25">
      <c r="A39065" s="2" t="str">
        <f t="shared" si="1272"/>
        <v>99999</v>
      </c>
      <c r="B39065" s="2" t="str">
        <f>"65582"</f>
        <v>65582</v>
      </c>
      <c r="C39065" s="1">
        <v>1.03681251963122E-4</v>
      </c>
      <c r="D39065" s="1">
        <v>4.0975272182039399E-5</v>
      </c>
      <c r="E39065" s="1">
        <v>2.0119849991960701E-3</v>
      </c>
      <c r="F39065" s="1">
        <v>1.43258593799509E-4</v>
      </c>
    </row>
    <row r="39066" spans="1:6" x14ac:dyDescent="0.25">
      <c r="A39066" s="2" t="str">
        <f t="shared" si="1272"/>
        <v>99999</v>
      </c>
      <c r="B39066" s="2" t="str">
        <f>"65564"</f>
        <v>65564</v>
      </c>
      <c r="C39066" s="1">
        <v>1.04772633562734E-5</v>
      </c>
      <c r="D39066" s="1">
        <v>1.51760267340886E-6</v>
      </c>
      <c r="E39066" s="1">
        <v>4.3455399550671099E-6</v>
      </c>
      <c r="F39066" s="1">
        <v>9.7495431891332699E-6</v>
      </c>
    </row>
    <row r="39067" spans="1:6" x14ac:dyDescent="0.25">
      <c r="A39067" s="2" t="str">
        <f t="shared" si="1272"/>
        <v>99999</v>
      </c>
      <c r="B39067" s="2" t="str">
        <f>"65560"</f>
        <v>65560</v>
      </c>
      <c r="C39067" s="1">
        <v>7.8961458731914905E-4</v>
      </c>
      <c r="D39067" s="1">
        <v>8.4378708641533098E-4</v>
      </c>
      <c r="E39067" s="1">
        <v>7.12668552631007E-4</v>
      </c>
      <c r="F39067" s="1">
        <v>7.9140424560770605E-4</v>
      </c>
    </row>
    <row r="39068" spans="1:6" x14ac:dyDescent="0.25">
      <c r="A39068" s="2" t="str">
        <f t="shared" si="1272"/>
        <v>99999</v>
      </c>
      <c r="B39068" s="2" t="str">
        <f>"65236"</f>
        <v>65236</v>
      </c>
      <c r="C39068" s="1">
        <v>8.8292771408596005E-5</v>
      </c>
      <c r="D39068" s="1">
        <v>1.69971499421793E-4</v>
      </c>
      <c r="E39068" s="1">
        <v>9.1256339056409395E-5</v>
      </c>
      <c r="F39068" s="1">
        <v>9.3714996777179003E-5</v>
      </c>
    </row>
    <row r="39069" spans="1:6" x14ac:dyDescent="0.25">
      <c r="A39069" s="2" t="str">
        <f t="shared" si="1272"/>
        <v>99999</v>
      </c>
      <c r="B39069" s="2" t="str">
        <f>"65484"</f>
        <v>65484</v>
      </c>
      <c r="C39069" s="1">
        <v>1.12412304760017E-5</v>
      </c>
      <c r="D39069" s="1">
        <v>4.5528080202265997E-6</v>
      </c>
      <c r="E39069" s="1">
        <v>4.3455399550671099E-6</v>
      </c>
      <c r="F39069" s="1">
        <v>1.0644909400380201E-5</v>
      </c>
    </row>
    <row r="39070" spans="1:6" x14ac:dyDescent="0.25">
      <c r="A39070" s="2" t="str">
        <f t="shared" si="1272"/>
        <v>99999</v>
      </c>
      <c r="B39070" s="2" t="str">
        <f>"65443"</f>
        <v>65443</v>
      </c>
      <c r="C39070" s="1">
        <v>8.9493291168169008E-6</v>
      </c>
      <c r="D39070" s="1">
        <v>4.5528080202265997E-6</v>
      </c>
      <c r="E39070" s="1">
        <v>8.69107991013423E-6</v>
      </c>
      <c r="F39070" s="1">
        <v>8.6552067087203506E-6</v>
      </c>
    </row>
    <row r="39071" spans="1:6" x14ac:dyDescent="0.25">
      <c r="A39071" s="2" t="str">
        <f t="shared" si="1272"/>
        <v>99999</v>
      </c>
      <c r="B39071" s="2" t="str">
        <f>"65439"</f>
        <v>65439</v>
      </c>
      <c r="C39071" s="1">
        <v>2.0627112232663299E-5</v>
      </c>
      <c r="D39071" s="1">
        <v>3.0352053468177301E-6</v>
      </c>
      <c r="E39071" s="1">
        <v>4.3455399550671099E-6</v>
      </c>
      <c r="F39071" s="1">
        <v>1.9101145839934498E-5</v>
      </c>
    </row>
    <row r="39072" spans="1:6" x14ac:dyDescent="0.25">
      <c r="A39072" s="2" t="str">
        <f t="shared" si="1272"/>
        <v>99999</v>
      </c>
      <c r="B39072" s="2" t="str">
        <f>"65324"</f>
        <v>65324</v>
      </c>
      <c r="C39072" s="1">
        <v>1.4264357506926399E-4</v>
      </c>
      <c r="D39072" s="1">
        <v>4.2492874855448297E-5</v>
      </c>
      <c r="E39072" s="1">
        <v>4.3455399550671099E-6</v>
      </c>
      <c r="F39072" s="1">
        <v>1.3291213980287799E-4</v>
      </c>
    </row>
    <row r="39073" spans="1:6" x14ac:dyDescent="0.25">
      <c r="A39073" s="2" t="str">
        <f t="shared" si="1272"/>
        <v>99999</v>
      </c>
      <c r="B39073" s="2" t="str">
        <f>"65270"</f>
        <v>65270</v>
      </c>
      <c r="C39073" s="1">
        <v>3.27414479883545E-6</v>
      </c>
      <c r="D39073" s="1">
        <v>0</v>
      </c>
      <c r="E39073" s="1">
        <v>0</v>
      </c>
      <c r="F39073" s="1">
        <v>2.9845540374897699E-6</v>
      </c>
    </row>
    <row r="39074" spans="1:6" x14ac:dyDescent="0.25">
      <c r="A39074" s="2" t="str">
        <f t="shared" si="1272"/>
        <v>99999</v>
      </c>
      <c r="B39074" s="2" t="str">
        <f>"64776"</f>
        <v>64776</v>
      </c>
      <c r="C39074" s="1">
        <v>2.45233445432775E-4</v>
      </c>
      <c r="D39074" s="1">
        <v>1.6541869140156601E-4</v>
      </c>
      <c r="E39074" s="1">
        <v>9.1256339056409395E-5</v>
      </c>
      <c r="F39074" s="1">
        <v>2.3647616490377299E-4</v>
      </c>
    </row>
    <row r="39075" spans="1:6" x14ac:dyDescent="0.25">
      <c r="A39075" s="2" t="str">
        <f t="shared" si="1272"/>
        <v>99999</v>
      </c>
      <c r="B39075" s="2" t="str">
        <f>"65061"</f>
        <v>65061</v>
      </c>
      <c r="C39075" s="1">
        <v>3.74343888666853E-5</v>
      </c>
      <c r="D39075" s="1">
        <v>1.8211232080906399E-5</v>
      </c>
      <c r="E39075" s="1">
        <v>1.3036619865201299E-5</v>
      </c>
      <c r="F39075" s="1">
        <v>3.56156781807113E-5</v>
      </c>
    </row>
    <row r="39076" spans="1:6" x14ac:dyDescent="0.25">
      <c r="A39076" s="2" t="str">
        <f t="shared" si="1272"/>
        <v>99999</v>
      </c>
      <c r="B39076" s="2" t="str">
        <f>"65058"</f>
        <v>65058</v>
      </c>
      <c r="C39076" s="1">
        <v>3.7543527026646502E-5</v>
      </c>
      <c r="D39076" s="1">
        <v>9.1056160404532095E-6</v>
      </c>
      <c r="E39076" s="1">
        <v>0</v>
      </c>
      <c r="F39076" s="1">
        <v>3.48197971040474E-5</v>
      </c>
    </row>
    <row r="39077" spans="1:6" x14ac:dyDescent="0.25">
      <c r="A39077" s="2" t="str">
        <f t="shared" si="1272"/>
        <v>99999</v>
      </c>
      <c r="B39077" s="2" t="str">
        <f>"65084"</f>
        <v>65084</v>
      </c>
      <c r="C39077" s="1">
        <v>3.87331329702233E-4</v>
      </c>
      <c r="D39077" s="1">
        <v>4.4162237796198102E-4</v>
      </c>
      <c r="E39077" s="1">
        <v>2.9115117698949599E-4</v>
      </c>
      <c r="F39077" s="1">
        <v>3.8868842081575203E-4</v>
      </c>
    </row>
    <row r="39078" spans="1:6" x14ac:dyDescent="0.25">
      <c r="A39078" s="2" t="str">
        <f t="shared" si="1272"/>
        <v>99999</v>
      </c>
      <c r="B39078" s="2" t="str">
        <f>"65020"</f>
        <v>65020</v>
      </c>
      <c r="C39078" s="1">
        <v>9.6991082757502201E-4</v>
      </c>
      <c r="D39078" s="1">
        <v>9.8188892969553799E-4</v>
      </c>
      <c r="E39078" s="1">
        <v>1.9076920402744601E-3</v>
      </c>
      <c r="F39078" s="1">
        <v>9.9216524719618489E-4</v>
      </c>
    </row>
    <row r="39079" spans="1:6" x14ac:dyDescent="0.25">
      <c r="A39079" s="2" t="str">
        <f t="shared" si="1272"/>
        <v>99999</v>
      </c>
      <c r="B39079" s="2" t="str">
        <f>"65011"</f>
        <v>65011</v>
      </c>
      <c r="C39079" s="1">
        <v>1.3140234459326199E-4</v>
      </c>
      <c r="D39079" s="1">
        <v>4.8563285549083798E-5</v>
      </c>
      <c r="E39079" s="1">
        <v>1.3036619865201299E-5</v>
      </c>
      <c r="F39079" s="1">
        <v>1.2326208174832701E-4</v>
      </c>
    </row>
    <row r="39080" spans="1:6" x14ac:dyDescent="0.25">
      <c r="A39080" s="2" t="str">
        <f t="shared" si="1272"/>
        <v>99999</v>
      </c>
      <c r="B39080" s="2" t="str">
        <f>"65037"</f>
        <v>65037</v>
      </c>
      <c r="C39080" s="1">
        <v>4.9112171982531704E-4</v>
      </c>
      <c r="D39080" s="1">
        <v>3.55119025577675E-4</v>
      </c>
      <c r="E39080" s="1">
        <v>3.5198873636043602E-4</v>
      </c>
      <c r="F39080" s="1">
        <v>4.7902092301710901E-4</v>
      </c>
    </row>
    <row r="39081" spans="1:6" x14ac:dyDescent="0.25">
      <c r="A39081" s="2" t="str">
        <f t="shared" si="1272"/>
        <v>99999</v>
      </c>
      <c r="B39081" s="2" t="str">
        <f>"64752"</f>
        <v>64752</v>
      </c>
      <c r="C39081" s="1">
        <v>1.2987441035380599E-5</v>
      </c>
      <c r="D39081" s="1">
        <v>3.0352053468177301E-6</v>
      </c>
      <c r="E39081" s="1">
        <v>4.3455399550671099E-6</v>
      </c>
      <c r="F39081" s="1">
        <v>1.21371864191251E-5</v>
      </c>
    </row>
    <row r="39082" spans="1:6" x14ac:dyDescent="0.25">
      <c r="A39082" s="2" t="str">
        <f t="shared" si="1272"/>
        <v>99999</v>
      </c>
      <c r="B39082" s="2" t="str">
        <f>"64735"</f>
        <v>64735</v>
      </c>
      <c r="C39082" s="1">
        <v>7.4857863917374503E-4</v>
      </c>
      <c r="D39082" s="1">
        <v>1.0592866660393901E-3</v>
      </c>
      <c r="E39082" s="1">
        <v>1.41230048539681E-3</v>
      </c>
      <c r="F39082" s="1">
        <v>7.8414183078314695E-4</v>
      </c>
    </row>
    <row r="39083" spans="1:6" x14ac:dyDescent="0.25">
      <c r="A39083" s="2" t="str">
        <f t="shared" si="1272"/>
        <v>99999</v>
      </c>
      <c r="B39083" s="2" t="str">
        <f>"64867"</f>
        <v>64867</v>
      </c>
      <c r="C39083" s="1">
        <v>4.3546125824511501E-5</v>
      </c>
      <c r="D39083" s="1">
        <v>3.0352053468177301E-6</v>
      </c>
      <c r="E39083" s="1">
        <v>0</v>
      </c>
      <c r="F39083" s="1">
        <v>3.9893538967779998E-5</v>
      </c>
    </row>
    <row r="39084" spans="1:6" x14ac:dyDescent="0.25">
      <c r="A39084" s="2" t="str">
        <f t="shared" si="1272"/>
        <v>99999</v>
      </c>
      <c r="B39084" s="2" t="str">
        <f>"64672"</f>
        <v>64672</v>
      </c>
      <c r="C39084" s="1">
        <v>1.7571243753750201E-5</v>
      </c>
      <c r="D39084" s="1">
        <v>1.51760267340886E-6</v>
      </c>
      <c r="E39084" s="1">
        <v>4.3455399550671099E-6</v>
      </c>
      <c r="F39084" s="1">
        <v>1.6216076937027799E-5</v>
      </c>
    </row>
    <row r="39085" spans="1:6" x14ac:dyDescent="0.25">
      <c r="A39085" s="2" t="str">
        <f t="shared" si="1272"/>
        <v>99999</v>
      </c>
      <c r="B39085" s="2" t="str">
        <f>"64688"</f>
        <v>64688</v>
      </c>
      <c r="C39085" s="1">
        <v>2.9794717669402601E-5</v>
      </c>
      <c r="D39085" s="1">
        <v>9.1056160404532095E-6</v>
      </c>
      <c r="E39085" s="1">
        <v>2.1727699775335501E-5</v>
      </c>
      <c r="F39085" s="1">
        <v>2.8253778221569901E-5</v>
      </c>
    </row>
    <row r="39086" spans="1:6" x14ac:dyDescent="0.25">
      <c r="A39086" s="2" t="str">
        <f t="shared" si="1272"/>
        <v>99999</v>
      </c>
      <c r="B39086" s="2" t="str">
        <f>"64648"</f>
        <v>64648</v>
      </c>
      <c r="C39086" s="1">
        <v>9.8224343965063504E-5</v>
      </c>
      <c r="D39086" s="1">
        <v>7.8915339017261203E-5</v>
      </c>
      <c r="E39086" s="1">
        <v>3.0418779685469802E-5</v>
      </c>
      <c r="F39086" s="1">
        <v>9.5406244065089903E-5</v>
      </c>
    </row>
    <row r="39087" spans="1:6" x14ac:dyDescent="0.25">
      <c r="A39087" s="2" t="str">
        <f t="shared" si="1272"/>
        <v>99999</v>
      </c>
      <c r="B39087" s="2" t="str">
        <f>"64646"</f>
        <v>64646</v>
      </c>
      <c r="C39087" s="1">
        <v>1.71346911139055E-5</v>
      </c>
      <c r="D39087" s="1">
        <v>7.5880133670443404E-6</v>
      </c>
      <c r="E39087" s="1">
        <v>8.69107991013423E-6</v>
      </c>
      <c r="F39087" s="1">
        <v>1.6315562071610699E-5</v>
      </c>
    </row>
    <row r="39088" spans="1:6" x14ac:dyDescent="0.25">
      <c r="A39088" s="2" t="str">
        <f t="shared" si="1272"/>
        <v>99999</v>
      </c>
      <c r="B39088" s="2" t="str">
        <f>"64643"</f>
        <v>64643</v>
      </c>
      <c r="C39088" s="1">
        <v>5.3914251020823701E-5</v>
      </c>
      <c r="D39088" s="1">
        <v>1.9728834754315301E-5</v>
      </c>
      <c r="E39088" s="1">
        <v>1.3036619865201299E-5</v>
      </c>
      <c r="F39088" s="1">
        <v>5.07374186373262E-5</v>
      </c>
    </row>
    <row r="39089" spans="1:6" x14ac:dyDescent="0.25">
      <c r="A39089" s="2" t="str">
        <f t="shared" si="1272"/>
        <v>99999</v>
      </c>
      <c r="B39089" s="2" t="str">
        <f>"64601"</f>
        <v>64601</v>
      </c>
      <c r="C39089" s="1">
        <v>6.0648075490428595E-4</v>
      </c>
      <c r="D39089" s="1">
        <v>1.08660351416075E-3</v>
      </c>
      <c r="E39089" s="1">
        <v>4.1717183568644299E-4</v>
      </c>
      <c r="F39089" s="1">
        <v>6.3362082215907996E-4</v>
      </c>
    </row>
    <row r="39090" spans="1:6" x14ac:dyDescent="0.25">
      <c r="A39090" s="2" t="str">
        <f t="shared" si="1272"/>
        <v>99999</v>
      </c>
      <c r="B39090" s="2" t="str">
        <f>"64479"</f>
        <v>64479</v>
      </c>
      <c r="C39090" s="1">
        <v>1.3096579195341799E-6</v>
      </c>
      <c r="D39090" s="1">
        <v>0</v>
      </c>
      <c r="E39090" s="1">
        <v>0</v>
      </c>
      <c r="F39090" s="1">
        <v>1.19382161499591E-6</v>
      </c>
    </row>
    <row r="39091" spans="1:6" x14ac:dyDescent="0.25">
      <c r="A39091" s="2" t="str">
        <f t="shared" si="1272"/>
        <v>99999</v>
      </c>
      <c r="B39091" s="2" t="str">
        <f>"64446"</f>
        <v>64446</v>
      </c>
      <c r="C39091" s="1">
        <v>5.4023389180784903E-5</v>
      </c>
      <c r="D39091" s="1">
        <v>1.3658424060679801E-5</v>
      </c>
      <c r="E39091" s="1">
        <v>2.60732397304027E-5</v>
      </c>
      <c r="F39091" s="1">
        <v>5.07374186373262E-5</v>
      </c>
    </row>
    <row r="39092" spans="1:6" x14ac:dyDescent="0.25">
      <c r="A39092" s="2" t="str">
        <f t="shared" si="1272"/>
        <v>99999</v>
      </c>
      <c r="B39092" s="2" t="str">
        <f>"64426"</f>
        <v>64426</v>
      </c>
      <c r="C39092" s="1">
        <v>2.1172803032469199E-5</v>
      </c>
      <c r="D39092" s="1">
        <v>1.51760267340886E-6</v>
      </c>
      <c r="E39092" s="1">
        <v>1.3036619865201299E-5</v>
      </c>
      <c r="F39092" s="1">
        <v>1.96980566474325E-5</v>
      </c>
    </row>
    <row r="39093" spans="1:6" x14ac:dyDescent="0.25">
      <c r="A39093" s="2" t="str">
        <f t="shared" si="1272"/>
        <v>99999</v>
      </c>
      <c r="B39093" s="2" t="str">
        <f>"63965"</f>
        <v>63965</v>
      </c>
      <c r="C39093" s="1">
        <v>1.5584929242456699E-4</v>
      </c>
      <c r="D39093" s="1">
        <v>1.13820200505665E-4</v>
      </c>
      <c r="E39093" s="1">
        <v>2.1727699775335501E-5</v>
      </c>
      <c r="F39093" s="1">
        <v>1.50023582951152E-4</v>
      </c>
    </row>
    <row r="39094" spans="1:6" x14ac:dyDescent="0.25">
      <c r="A39094" s="2" t="str">
        <f t="shared" si="1272"/>
        <v>99999</v>
      </c>
      <c r="B39094" s="2" t="str">
        <f>"63941"</f>
        <v>63941</v>
      </c>
      <c r="C39094" s="1">
        <v>3.1104375588936701E-5</v>
      </c>
      <c r="D39094" s="1">
        <v>1.51760267340886E-6</v>
      </c>
      <c r="E39094" s="1">
        <v>4.3455399550671099E-6</v>
      </c>
      <c r="F39094" s="1">
        <v>2.8552233625318801E-5</v>
      </c>
    </row>
    <row r="39095" spans="1:6" x14ac:dyDescent="0.25">
      <c r="A39095" s="2" t="str">
        <f t="shared" si="1272"/>
        <v>99999</v>
      </c>
      <c r="B39095" s="2" t="str">
        <f>"63878"</f>
        <v>63878</v>
      </c>
      <c r="C39095" s="1">
        <v>1.09138159961181E-7</v>
      </c>
      <c r="D39095" s="1">
        <v>0</v>
      </c>
      <c r="E39095" s="1">
        <v>4.3455399550671099E-6</v>
      </c>
      <c r="F39095" s="1">
        <v>1.9897026916598501E-7</v>
      </c>
    </row>
    <row r="39096" spans="1:6" x14ac:dyDescent="0.25">
      <c r="A39096" s="2" t="str">
        <f t="shared" si="1272"/>
        <v>99999</v>
      </c>
      <c r="B39096" s="2" t="str">
        <f>"63874"</f>
        <v>63874</v>
      </c>
      <c r="C39096" s="1">
        <v>2.1827631992236301E-7</v>
      </c>
      <c r="D39096" s="1">
        <v>0</v>
      </c>
      <c r="E39096" s="1">
        <v>4.3455399550671099E-6</v>
      </c>
      <c r="F39096" s="1">
        <v>2.9845540374897701E-7</v>
      </c>
    </row>
    <row r="39097" spans="1:6" x14ac:dyDescent="0.25">
      <c r="A39097" s="2" t="str">
        <f t="shared" si="1272"/>
        <v>99999</v>
      </c>
      <c r="B39097" s="2" t="str">
        <f>"63557"</f>
        <v>63557</v>
      </c>
      <c r="C39097" s="1">
        <v>1.9754006952973801E-5</v>
      </c>
      <c r="D39097" s="1">
        <v>1.3658424060679801E-5</v>
      </c>
      <c r="E39097" s="1">
        <v>1.3036619865201299E-5</v>
      </c>
      <c r="F39097" s="1">
        <v>1.92006309745175E-5</v>
      </c>
    </row>
    <row r="39098" spans="1:6" x14ac:dyDescent="0.25">
      <c r="A39098" s="2" t="str">
        <f t="shared" si="1272"/>
        <v>99999</v>
      </c>
      <c r="B39098" s="2" t="str">
        <f>"63458"</f>
        <v>63458</v>
      </c>
      <c r="C39098" s="1">
        <v>1.03681251963122E-5</v>
      </c>
      <c r="D39098" s="1">
        <v>1.3658424060679801E-5</v>
      </c>
      <c r="E39098" s="1">
        <v>1.7382159820268399E-5</v>
      </c>
      <c r="F39098" s="1">
        <v>1.0744394534963201E-5</v>
      </c>
    </row>
    <row r="39099" spans="1:6" x14ac:dyDescent="0.25">
      <c r="A39099" s="2" t="str">
        <f t="shared" si="1272"/>
        <v>99999</v>
      </c>
      <c r="B39099" s="2" t="str">
        <f>"63820"</f>
        <v>63820</v>
      </c>
      <c r="C39099" s="1">
        <v>4.8020790382919898E-6</v>
      </c>
      <c r="D39099" s="1">
        <v>0</v>
      </c>
      <c r="E39099" s="1">
        <v>4.3455399550671099E-6</v>
      </c>
      <c r="F39099" s="1">
        <v>4.4768310562346604E-6</v>
      </c>
    </row>
    <row r="39100" spans="1:6" x14ac:dyDescent="0.25">
      <c r="A39100" s="2" t="str">
        <f t="shared" si="1272"/>
        <v>99999</v>
      </c>
      <c r="B39100" s="2" t="str">
        <f>"63670"</f>
        <v>63670</v>
      </c>
      <c r="C39100" s="1">
        <v>5.9884108370700402E-4</v>
      </c>
      <c r="D39100" s="1">
        <v>7.6638935007147899E-4</v>
      </c>
      <c r="E39100" s="1">
        <v>3.43297656450302E-4</v>
      </c>
      <c r="F39100" s="1">
        <v>6.0397425205334799E-4</v>
      </c>
    </row>
    <row r="39101" spans="1:6" x14ac:dyDescent="0.25">
      <c r="A39101" s="2" t="str">
        <f t="shared" si="1272"/>
        <v>99999</v>
      </c>
      <c r="B39101" s="2" t="str">
        <f>"63665"</f>
        <v>63665</v>
      </c>
      <c r="C39101" s="1">
        <v>2.69571255104118E-5</v>
      </c>
      <c r="D39101" s="1">
        <v>2.1246437427724101E-5</v>
      </c>
      <c r="E39101" s="1">
        <v>4.3455399550671099E-6</v>
      </c>
      <c r="F39101" s="1">
        <v>2.6065105260744001E-5</v>
      </c>
    </row>
    <row r="39102" spans="1:6" x14ac:dyDescent="0.25">
      <c r="A39102" s="2" t="str">
        <f t="shared" si="1272"/>
        <v>99999</v>
      </c>
      <c r="B39102" s="2" t="str">
        <f>"63770"</f>
        <v>63770</v>
      </c>
      <c r="C39102" s="1">
        <v>3.8198355986413598E-6</v>
      </c>
      <c r="D39102" s="1">
        <v>0</v>
      </c>
      <c r="E39102" s="1">
        <v>0</v>
      </c>
      <c r="F39102" s="1">
        <v>3.48197971040474E-6</v>
      </c>
    </row>
    <row r="39103" spans="1:6" x14ac:dyDescent="0.25">
      <c r="A39103" s="2" t="str">
        <f t="shared" si="1272"/>
        <v>99999</v>
      </c>
      <c r="B39103" s="2" t="str">
        <f>"63628"</f>
        <v>63628</v>
      </c>
      <c r="C39103" s="1">
        <v>2.6084020230722401E-5</v>
      </c>
      <c r="D39103" s="1">
        <v>1.51760267340886E-6</v>
      </c>
      <c r="E39103" s="1">
        <v>4.3455399550671099E-6</v>
      </c>
      <c r="F39103" s="1">
        <v>2.3975917434501198E-5</v>
      </c>
    </row>
    <row r="39104" spans="1:6" x14ac:dyDescent="0.25">
      <c r="A39104" s="2" t="str">
        <f t="shared" si="1272"/>
        <v>99999</v>
      </c>
      <c r="B39104" s="2" t="str">
        <f>"63622"</f>
        <v>63622</v>
      </c>
      <c r="C39104" s="1">
        <v>5.3477698380979E-5</v>
      </c>
      <c r="D39104" s="1">
        <v>1.9728834754315301E-5</v>
      </c>
      <c r="E39104" s="1">
        <v>8.69107991013423E-6</v>
      </c>
      <c r="F39104" s="1">
        <v>5.02399929644112E-5</v>
      </c>
    </row>
    <row r="39105" spans="1:6" x14ac:dyDescent="0.25">
      <c r="A39105" s="2" t="str">
        <f t="shared" si="1272"/>
        <v>99999</v>
      </c>
      <c r="B39105" s="2" t="str">
        <f>"63645"</f>
        <v>63645</v>
      </c>
      <c r="C39105" s="1">
        <v>5.9272934674917805E-4</v>
      </c>
      <c r="D39105" s="1">
        <v>6.0097065866991195E-4</v>
      </c>
      <c r="E39105" s="1">
        <v>3.6067981627057E-4</v>
      </c>
      <c r="F39105" s="1">
        <v>5.8795714538548605E-4</v>
      </c>
    </row>
    <row r="39106" spans="1:6" x14ac:dyDescent="0.25">
      <c r="A39106" s="2" t="str">
        <f t="shared" si="1272"/>
        <v>99999</v>
      </c>
      <c r="B39106" s="2" t="str">
        <f>"63351"</f>
        <v>63351</v>
      </c>
      <c r="C39106" s="1">
        <v>6.4391514377097205E-5</v>
      </c>
      <c r="D39106" s="1">
        <v>6.9809722976807906E-5</v>
      </c>
      <c r="E39106" s="1">
        <v>1.0429295892161E-4</v>
      </c>
      <c r="F39106" s="1">
        <v>6.5660188824775102E-5</v>
      </c>
    </row>
    <row r="39107" spans="1:6" x14ac:dyDescent="0.25">
      <c r="A39107" s="2" t="str">
        <f t="shared" si="1272"/>
        <v>99999</v>
      </c>
      <c r="B39107" s="2" t="str">
        <f>"63339"</f>
        <v>63339</v>
      </c>
      <c r="C39107" s="1">
        <v>5.1076658861833002E-5</v>
      </c>
      <c r="D39107" s="1">
        <v>2.5799245447950699E-5</v>
      </c>
      <c r="E39107" s="1">
        <v>1.3036619865201299E-5</v>
      </c>
      <c r="F39107" s="1">
        <v>4.8548745676500402E-5</v>
      </c>
    </row>
    <row r="39108" spans="1:6" x14ac:dyDescent="0.25">
      <c r="A39108" s="2" t="str">
        <f t="shared" si="1272"/>
        <v>99999</v>
      </c>
      <c r="B39108" s="2" t="str">
        <f>"62988"</f>
        <v>62988</v>
      </c>
      <c r="C39108" s="1">
        <v>1.09138159961181E-7</v>
      </c>
      <c r="D39108" s="1">
        <v>0</v>
      </c>
      <c r="E39108" s="1">
        <v>0</v>
      </c>
      <c r="F39108" s="1">
        <v>9.9485134582992598E-8</v>
      </c>
    </row>
    <row r="39109" spans="1:6" x14ac:dyDescent="0.25">
      <c r="A39109" s="2" t="str">
        <f t="shared" si="1272"/>
        <v>99999</v>
      </c>
      <c r="B39109" s="2" t="str">
        <f>"62963"</f>
        <v>62963</v>
      </c>
      <c r="C39109" s="1">
        <v>3.4160244067849798E-5</v>
      </c>
      <c r="D39109" s="1">
        <v>7.7397736343852298E-5</v>
      </c>
      <c r="E39109" s="1">
        <v>3.0418779685469802E-5</v>
      </c>
      <c r="F39109" s="1">
        <v>3.6908984930290199E-5</v>
      </c>
    </row>
    <row r="39110" spans="1:6" x14ac:dyDescent="0.25">
      <c r="A39110" s="2" t="str">
        <f t="shared" si="1272"/>
        <v>99999</v>
      </c>
      <c r="B39110" s="2" t="str">
        <f>"62848"</f>
        <v>62848</v>
      </c>
      <c r="C39110" s="1">
        <v>6.5482895976708995E-7</v>
      </c>
      <c r="D39110" s="1">
        <v>0</v>
      </c>
      <c r="E39110" s="1">
        <v>4.3455399550671099E-6</v>
      </c>
      <c r="F39110" s="1">
        <v>6.9639594208094799E-7</v>
      </c>
    </row>
    <row r="39111" spans="1:6" x14ac:dyDescent="0.25">
      <c r="A39111" s="2" t="str">
        <f t="shared" si="1272"/>
        <v>99999</v>
      </c>
      <c r="B39111" s="2" t="str">
        <f>"62850"</f>
        <v>62850</v>
      </c>
      <c r="C39111" s="1">
        <v>1.68072766340219E-5</v>
      </c>
      <c r="D39111" s="1">
        <v>7.5880133670443404E-6</v>
      </c>
      <c r="E39111" s="1">
        <v>4.3455399550671099E-6</v>
      </c>
      <c r="F39111" s="1">
        <v>1.59176215332788E-5</v>
      </c>
    </row>
    <row r="39112" spans="1:6" x14ac:dyDescent="0.25">
      <c r="A39112" s="2" t="str">
        <f t="shared" si="1272"/>
        <v>99999</v>
      </c>
      <c r="B39112" s="2" t="str">
        <f>"62814"</f>
        <v>62814</v>
      </c>
      <c r="C39112" s="1">
        <v>2.8375921589907201E-6</v>
      </c>
      <c r="D39112" s="1">
        <v>1.51760267340886E-6</v>
      </c>
      <c r="E39112" s="1">
        <v>0</v>
      </c>
      <c r="F39112" s="1">
        <v>2.6860986337408002E-6</v>
      </c>
    </row>
    <row r="39113" spans="1:6" x14ac:dyDescent="0.25">
      <c r="A39113" s="2" t="str">
        <f t="shared" si="1272"/>
        <v>99999</v>
      </c>
      <c r="B39113" s="2" t="str">
        <f>"62828"</f>
        <v>62828</v>
      </c>
      <c r="C39113" s="1">
        <v>6.6465139416359596E-5</v>
      </c>
      <c r="D39113" s="1">
        <v>2.2764040101133E-5</v>
      </c>
      <c r="E39113" s="1">
        <v>3.0418779685469802E-5</v>
      </c>
      <c r="F39113" s="1">
        <v>6.2775119921868301E-5</v>
      </c>
    </row>
    <row r="39114" spans="1:6" x14ac:dyDescent="0.25">
      <c r="A39114" s="2" t="str">
        <f t="shared" si="1272"/>
        <v>99999</v>
      </c>
      <c r="B39114" s="2" t="str">
        <f>"62958"</f>
        <v>62958</v>
      </c>
      <c r="C39114" s="1">
        <v>1.2441750235574699E-5</v>
      </c>
      <c r="D39114" s="1">
        <v>4.5528080202265997E-6</v>
      </c>
      <c r="E39114" s="1">
        <v>0</v>
      </c>
      <c r="F39114" s="1">
        <v>1.1639760746210099E-5</v>
      </c>
    </row>
    <row r="39115" spans="1:6" x14ac:dyDescent="0.25">
      <c r="A39115" s="2" t="str">
        <f t="shared" si="1272"/>
        <v>99999</v>
      </c>
      <c r="B39115" s="2" t="str">
        <f>"62956"</f>
        <v>62956</v>
      </c>
      <c r="C39115" s="1">
        <v>2.64114347106059E-5</v>
      </c>
      <c r="D39115" s="1">
        <v>1.3658424060679801E-5</v>
      </c>
      <c r="E39115" s="1">
        <v>1.7382159820268399E-5</v>
      </c>
      <c r="F39115" s="1">
        <v>2.53687093186631E-5</v>
      </c>
    </row>
    <row r="39116" spans="1:6" x14ac:dyDescent="0.25">
      <c r="A39116" s="2" t="str">
        <f t="shared" si="1272"/>
        <v>99999</v>
      </c>
      <c r="B39116" s="2" t="str">
        <f>"62952"</f>
        <v>62952</v>
      </c>
      <c r="C39116" s="1">
        <v>1.5923257538336401E-4</v>
      </c>
      <c r="D39116" s="1">
        <v>1.04714584465211E-4</v>
      </c>
      <c r="E39116" s="1">
        <v>7.8219719191208097E-5</v>
      </c>
      <c r="F39116" s="1">
        <v>1.5380401806530601E-4</v>
      </c>
    </row>
    <row r="39117" spans="1:6" x14ac:dyDescent="0.25">
      <c r="A39117" s="2" t="str">
        <f t="shared" si="1272"/>
        <v>99999</v>
      </c>
      <c r="B39117" s="2" t="str">
        <f>"62939"</f>
        <v>62939</v>
      </c>
      <c r="C39117" s="1">
        <v>2.6193158390683598E-6</v>
      </c>
      <c r="D39117" s="1">
        <v>0</v>
      </c>
      <c r="E39117" s="1">
        <v>0</v>
      </c>
      <c r="F39117" s="1">
        <v>2.3876432299918199E-6</v>
      </c>
    </row>
    <row r="39118" spans="1:6" x14ac:dyDescent="0.25">
      <c r="A39118" s="2" t="str">
        <f t="shared" si="1272"/>
        <v>99999</v>
      </c>
      <c r="B39118" s="2" t="str">
        <f>"62938"</f>
        <v>62938</v>
      </c>
      <c r="C39118" s="1">
        <v>1.5181118050600301E-4</v>
      </c>
      <c r="D39118" s="1">
        <v>7.2844928323625703E-5</v>
      </c>
      <c r="E39118" s="1">
        <v>2.7811455712429498E-4</v>
      </c>
      <c r="F39118" s="1">
        <v>1.4952615727823699E-4</v>
      </c>
    </row>
    <row r="39119" spans="1:6" x14ac:dyDescent="0.25">
      <c r="A39119" s="2" t="str">
        <f t="shared" si="1272"/>
        <v>99999</v>
      </c>
      <c r="B39119" s="2" t="str">
        <f>"62919"</f>
        <v>62919</v>
      </c>
      <c r="C39119" s="1">
        <v>5.4678218140552002E-5</v>
      </c>
      <c r="D39119" s="1">
        <v>2.2764040101133E-5</v>
      </c>
      <c r="E39119" s="1">
        <v>2.1727699775335501E-5</v>
      </c>
      <c r="F39119" s="1">
        <v>5.1831755117739102E-5</v>
      </c>
    </row>
    <row r="39120" spans="1:6" x14ac:dyDescent="0.25">
      <c r="A39120" s="2" t="str">
        <f t="shared" si="1272"/>
        <v>99999</v>
      </c>
      <c r="B39120" s="2" t="str">
        <f>"62867"</f>
        <v>62867</v>
      </c>
      <c r="C39120" s="1">
        <v>3.3614553268043901E-5</v>
      </c>
      <c r="D39120" s="1">
        <v>6.0704106936354696E-6</v>
      </c>
      <c r="E39120" s="1">
        <v>8.69107991013423E-6</v>
      </c>
      <c r="F39120" s="1">
        <v>3.1238332259059602E-5</v>
      </c>
    </row>
    <row r="39121" spans="1:6" x14ac:dyDescent="0.25">
      <c r="A39121" s="2" t="str">
        <f t="shared" si="1272"/>
        <v>99999</v>
      </c>
      <c r="B39121" s="2" t="str">
        <f>"62477"</f>
        <v>62477</v>
      </c>
      <c r="C39121" s="1">
        <v>5.4787356300513198E-5</v>
      </c>
      <c r="D39121" s="1">
        <v>3.0352053468177301E-5</v>
      </c>
      <c r="E39121" s="1">
        <v>4.3455399550671099E-6</v>
      </c>
      <c r="F39121" s="1">
        <v>5.2030725386905099E-5</v>
      </c>
    </row>
    <row r="39122" spans="1:6" x14ac:dyDescent="0.25">
      <c r="A39122" s="2" t="str">
        <f t="shared" ref="A39122:A39185" si="1273">"99999"</f>
        <v>99999</v>
      </c>
      <c r="B39122" s="2" t="str">
        <f>"62476"</f>
        <v>62476</v>
      </c>
      <c r="C39122" s="1">
        <v>9.5605028125995202E-5</v>
      </c>
      <c r="D39122" s="1">
        <v>1.2596102189293599E-4</v>
      </c>
      <c r="E39122" s="1">
        <v>3.0418779685469802E-5</v>
      </c>
      <c r="F39122" s="1">
        <v>9.6102640007170805E-5</v>
      </c>
    </row>
    <row r="39123" spans="1:6" x14ac:dyDescent="0.25">
      <c r="A39123" s="2" t="str">
        <f t="shared" si="1273"/>
        <v>99999</v>
      </c>
      <c r="B39123" s="2" t="str">
        <f>"62454"</f>
        <v>62454</v>
      </c>
      <c r="C39123" s="1">
        <v>5.7865052411418499E-4</v>
      </c>
      <c r="D39123" s="1">
        <v>8.5289270245578403E-4</v>
      </c>
      <c r="E39123" s="1">
        <v>6.6921315308033497E-4</v>
      </c>
      <c r="F39123" s="1">
        <v>5.9870153992044905E-4</v>
      </c>
    </row>
    <row r="39124" spans="1:6" x14ac:dyDescent="0.25">
      <c r="A39124" s="2" t="str">
        <f t="shared" si="1273"/>
        <v>99999</v>
      </c>
      <c r="B39124" s="2" t="str">
        <f>"62441"</f>
        <v>62441</v>
      </c>
      <c r="C39124" s="1">
        <v>4.00973599697381E-4</v>
      </c>
      <c r="D39124" s="1">
        <v>4.7804484212379301E-4</v>
      </c>
      <c r="E39124" s="1">
        <v>3.9544413591110703E-4</v>
      </c>
      <c r="F39124" s="1">
        <v>4.05899349098609E-4</v>
      </c>
    </row>
    <row r="39125" spans="1:6" x14ac:dyDescent="0.25">
      <c r="A39125" s="2" t="str">
        <f t="shared" si="1273"/>
        <v>99999</v>
      </c>
      <c r="B39125" s="2" t="str">
        <f>"62425"</f>
        <v>62425</v>
      </c>
      <c r="C39125" s="1">
        <v>3.1104375588936701E-5</v>
      </c>
      <c r="D39125" s="1">
        <v>1.5176026734088599E-5</v>
      </c>
      <c r="E39125" s="1">
        <v>4.3455399550671099E-6</v>
      </c>
      <c r="F39125" s="1">
        <v>2.9447599836565802E-5</v>
      </c>
    </row>
    <row r="39126" spans="1:6" x14ac:dyDescent="0.25">
      <c r="A39126" s="2" t="str">
        <f t="shared" si="1273"/>
        <v>99999</v>
      </c>
      <c r="B39126" s="2" t="str">
        <f>"62450"</f>
        <v>62450</v>
      </c>
      <c r="C39126" s="1">
        <v>6.8255005239722998E-4</v>
      </c>
      <c r="D39126" s="1">
        <v>1.01831139385735E-3</v>
      </c>
      <c r="E39126" s="1">
        <v>9.2994555038436303E-4</v>
      </c>
      <c r="F39126" s="1">
        <v>7.1022437578798403E-4</v>
      </c>
    </row>
    <row r="39127" spans="1:6" x14ac:dyDescent="0.25">
      <c r="A39127" s="2" t="str">
        <f t="shared" si="1273"/>
        <v>99999</v>
      </c>
      <c r="B39127" s="2" t="str">
        <f>"62649"</f>
        <v>62649</v>
      </c>
      <c r="C39127" s="1">
        <v>1.09138159961181E-7</v>
      </c>
      <c r="D39127" s="1">
        <v>0</v>
      </c>
      <c r="E39127" s="1">
        <v>0</v>
      </c>
      <c r="F39127" s="1">
        <v>9.9485134582992598E-8</v>
      </c>
    </row>
    <row r="39128" spans="1:6" x14ac:dyDescent="0.25">
      <c r="A39128" s="2" t="str">
        <f t="shared" si="1273"/>
        <v>99999</v>
      </c>
      <c r="B39128" s="2" t="str">
        <f>"62611"</f>
        <v>62611</v>
      </c>
      <c r="C39128" s="1">
        <v>4.5838027183696297E-5</v>
      </c>
      <c r="D39128" s="1">
        <v>6.2221709609763595E-5</v>
      </c>
      <c r="E39128" s="1">
        <v>8.69107991013423E-6</v>
      </c>
      <c r="F39128" s="1">
        <v>4.60616173119255E-5</v>
      </c>
    </row>
    <row r="39129" spans="1:6" x14ac:dyDescent="0.25">
      <c r="A39129" s="2" t="str">
        <f t="shared" si="1273"/>
        <v>99999</v>
      </c>
      <c r="B39129" s="2" t="str">
        <f>"62419"</f>
        <v>62419</v>
      </c>
      <c r="C39129" s="1">
        <v>2.21550464721198E-5</v>
      </c>
      <c r="D39129" s="1">
        <v>6.0704106936354696E-6</v>
      </c>
      <c r="E39129" s="1">
        <v>4.3455399550671099E-6</v>
      </c>
      <c r="F39129" s="1">
        <v>2.06929079932624E-5</v>
      </c>
    </row>
    <row r="39130" spans="1:6" x14ac:dyDescent="0.25">
      <c r="A39130" s="2" t="str">
        <f t="shared" si="1273"/>
        <v>99999</v>
      </c>
      <c r="B39130" s="2" t="str">
        <f>"62423"</f>
        <v>62423</v>
      </c>
      <c r="C39130" s="1">
        <v>4.1799915265132602E-5</v>
      </c>
      <c r="D39130" s="1">
        <v>7.5880133670443404E-6</v>
      </c>
      <c r="E39130" s="1">
        <v>4.3455399550671099E-6</v>
      </c>
      <c r="F39130" s="1">
        <v>3.8699717352784098E-5</v>
      </c>
    </row>
    <row r="39131" spans="1:6" x14ac:dyDescent="0.25">
      <c r="A39131" s="2" t="str">
        <f t="shared" si="1273"/>
        <v>99999</v>
      </c>
      <c r="B39131" s="2" t="str">
        <f>"62352"</f>
        <v>62352</v>
      </c>
      <c r="C39131" s="1">
        <v>6.2208751177873496E-6</v>
      </c>
      <c r="D39131" s="1">
        <v>0</v>
      </c>
      <c r="E39131" s="1">
        <v>4.3455399550671099E-6</v>
      </c>
      <c r="F39131" s="1">
        <v>5.7701378058135699E-6</v>
      </c>
    </row>
    <row r="39132" spans="1:6" x14ac:dyDescent="0.25">
      <c r="A39132" s="2" t="str">
        <f t="shared" si="1273"/>
        <v>99999</v>
      </c>
      <c r="B39132" s="2" t="str">
        <f>"62286"</f>
        <v>62286</v>
      </c>
      <c r="C39132" s="1">
        <v>3.3931053931931398E-4</v>
      </c>
      <c r="D39132" s="1">
        <v>6.2373469877104496E-4</v>
      </c>
      <c r="E39132" s="1">
        <v>4.56281695282047E-4</v>
      </c>
      <c r="F39132" s="1">
        <v>3.6063361286334798E-4</v>
      </c>
    </row>
    <row r="39133" spans="1:6" x14ac:dyDescent="0.25">
      <c r="A39133" s="2" t="str">
        <f t="shared" si="1273"/>
        <v>99999</v>
      </c>
      <c r="B39133" s="2" t="str">
        <f>"62255"</f>
        <v>62255</v>
      </c>
      <c r="C39133" s="1">
        <v>1.3096579195341799E-6</v>
      </c>
      <c r="D39133" s="1">
        <v>0</v>
      </c>
      <c r="E39133" s="1">
        <v>0</v>
      </c>
      <c r="F39133" s="1">
        <v>1.19382161499591E-6</v>
      </c>
    </row>
    <row r="39134" spans="1:6" x14ac:dyDescent="0.25">
      <c r="A39134" s="2" t="str">
        <f t="shared" si="1273"/>
        <v>99999</v>
      </c>
      <c r="B39134" s="2" t="str">
        <f>"62259"</f>
        <v>62259</v>
      </c>
      <c r="C39134" s="1">
        <v>0</v>
      </c>
      <c r="D39134" s="1">
        <v>0</v>
      </c>
      <c r="E39134" s="1">
        <v>4.3455399550671099E-6</v>
      </c>
      <c r="F39134" s="1">
        <v>9.9485134582992598E-8</v>
      </c>
    </row>
    <row r="39135" spans="1:6" x14ac:dyDescent="0.25">
      <c r="A39135" s="2" t="str">
        <f t="shared" si="1273"/>
        <v>99999</v>
      </c>
      <c r="B39135" s="2" t="str">
        <f>"62262"</f>
        <v>62262</v>
      </c>
      <c r="C39135" s="1">
        <v>1.1677783115846399E-5</v>
      </c>
      <c r="D39135" s="1">
        <v>4.5528080202265997E-6</v>
      </c>
      <c r="E39135" s="1">
        <v>0</v>
      </c>
      <c r="F39135" s="1">
        <v>1.09433648041291E-5</v>
      </c>
    </row>
    <row r="39136" spans="1:6" x14ac:dyDescent="0.25">
      <c r="A39136" s="2" t="str">
        <f t="shared" si="1273"/>
        <v>99999</v>
      </c>
      <c r="B39136" s="2" t="str">
        <f>"62051"</f>
        <v>62051</v>
      </c>
      <c r="C39136" s="1">
        <v>4.5728889023735102E-5</v>
      </c>
      <c r="D39136" s="1">
        <v>1.3658424060679801E-5</v>
      </c>
      <c r="E39136" s="1">
        <v>4.3455399550671099E-6</v>
      </c>
      <c r="F39136" s="1">
        <v>4.2679122736103801E-5</v>
      </c>
    </row>
    <row r="39137" spans="1:6" x14ac:dyDescent="0.25">
      <c r="A39137" s="2" t="str">
        <f t="shared" si="1273"/>
        <v>99999</v>
      </c>
      <c r="B39137" s="2" t="str">
        <f>"62044"</f>
        <v>62044</v>
      </c>
      <c r="C39137" s="1">
        <v>1.19724561477416E-4</v>
      </c>
      <c r="D39137" s="1">
        <v>1.10784995158847E-4</v>
      </c>
      <c r="E39137" s="1">
        <v>5.21464794608054E-5</v>
      </c>
      <c r="F39137" s="1">
        <v>1.1759142907709701E-4</v>
      </c>
    </row>
    <row r="39138" spans="1:6" x14ac:dyDescent="0.25">
      <c r="A39138" s="2" t="str">
        <f t="shared" si="1273"/>
        <v>99999</v>
      </c>
      <c r="B39138" s="2" t="str">
        <f>"62019"</f>
        <v>62019</v>
      </c>
      <c r="C39138" s="1">
        <v>1.4842789754720701E-5</v>
      </c>
      <c r="D39138" s="1">
        <v>3.0352053468177301E-6</v>
      </c>
      <c r="E39138" s="1">
        <v>4.3455399550671099E-6</v>
      </c>
      <c r="F39138" s="1">
        <v>1.3828433707035901E-5</v>
      </c>
    </row>
    <row r="39139" spans="1:6" x14ac:dyDescent="0.25">
      <c r="A39139" s="2" t="str">
        <f t="shared" si="1273"/>
        <v>99999</v>
      </c>
      <c r="B39139" s="2" t="str">
        <f>"61778"</f>
        <v>61778</v>
      </c>
      <c r="C39139" s="1">
        <v>5.0967520701871799E-5</v>
      </c>
      <c r="D39139" s="1">
        <v>2.4281642774541899E-5</v>
      </c>
      <c r="E39139" s="1">
        <v>4.3455399550671099E-6</v>
      </c>
      <c r="F39139" s="1">
        <v>4.8150805138168401E-5</v>
      </c>
    </row>
    <row r="39140" spans="1:6" x14ac:dyDescent="0.25">
      <c r="A39140" s="2" t="str">
        <f t="shared" si="1273"/>
        <v>99999</v>
      </c>
      <c r="B39140" s="2" t="str">
        <f>"61750"</f>
        <v>61750</v>
      </c>
      <c r="C39140" s="1">
        <v>5.4569079980590803E-6</v>
      </c>
      <c r="D39140" s="1">
        <v>1.51760267340886E-6</v>
      </c>
      <c r="E39140" s="1">
        <v>0</v>
      </c>
      <c r="F39140" s="1">
        <v>5.0737418637326201E-6</v>
      </c>
    </row>
    <row r="39141" spans="1:6" x14ac:dyDescent="0.25">
      <c r="A39141" s="2" t="str">
        <f t="shared" si="1273"/>
        <v>99999</v>
      </c>
      <c r="B39141" s="2" t="str">
        <f>"61749"</f>
        <v>61749</v>
      </c>
      <c r="C39141" s="1">
        <v>2.9903855829363701E-5</v>
      </c>
      <c r="D39141" s="1">
        <v>2.1246437427724101E-5</v>
      </c>
      <c r="E39141" s="1">
        <v>1.3036619865201299E-5</v>
      </c>
      <c r="F39141" s="1">
        <v>2.8950174163650799E-5</v>
      </c>
    </row>
    <row r="39142" spans="1:6" x14ac:dyDescent="0.25">
      <c r="A39142" s="2" t="str">
        <f t="shared" si="1273"/>
        <v>99999</v>
      </c>
      <c r="B39142" s="2" t="str">
        <f>"61941"</f>
        <v>61941</v>
      </c>
      <c r="C39142" s="1">
        <v>4.4746645584084504E-6</v>
      </c>
      <c r="D39142" s="1">
        <v>1.51760267340886E-6</v>
      </c>
      <c r="E39142" s="1">
        <v>0</v>
      </c>
      <c r="F39142" s="1">
        <v>4.1783756524856902E-6</v>
      </c>
    </row>
    <row r="39143" spans="1:6" x14ac:dyDescent="0.25">
      <c r="A39143" s="2" t="str">
        <f t="shared" si="1273"/>
        <v>99999</v>
      </c>
      <c r="B39143" s="2" t="str">
        <f>"61863"</f>
        <v>61863</v>
      </c>
      <c r="C39143" s="1">
        <v>4.3655263984472602E-7</v>
      </c>
      <c r="D39143" s="1">
        <v>0</v>
      </c>
      <c r="E39143" s="1">
        <v>0</v>
      </c>
      <c r="F39143" s="1">
        <v>3.9794053833197002E-7</v>
      </c>
    </row>
    <row r="39144" spans="1:6" x14ac:dyDescent="0.25">
      <c r="A39144" s="2" t="str">
        <f t="shared" si="1273"/>
        <v>99999</v>
      </c>
      <c r="B39144" s="2" t="str">
        <f>"61914"</f>
        <v>61914</v>
      </c>
      <c r="C39144" s="1">
        <v>9.0912087247664307E-5</v>
      </c>
      <c r="D39144" s="1">
        <v>5.0080888222492601E-5</v>
      </c>
      <c r="E39144" s="1">
        <v>4.3455399550671103E-5</v>
      </c>
      <c r="F39144" s="1">
        <v>8.7148977894701494E-5</v>
      </c>
    </row>
    <row r="39145" spans="1:6" x14ac:dyDescent="0.25">
      <c r="A39145" s="2" t="str">
        <f t="shared" si="1273"/>
        <v>99999</v>
      </c>
      <c r="B39145" s="2" t="str">
        <f>"61911"</f>
        <v>61911</v>
      </c>
      <c r="C39145" s="1">
        <v>1.9721265504985501E-4</v>
      </c>
      <c r="D39145" s="1">
        <v>4.0823511914698499E-4</v>
      </c>
      <c r="E39145" s="1">
        <v>2.2162253770842199E-4</v>
      </c>
      <c r="F39145" s="1">
        <v>2.11604881258025E-4</v>
      </c>
    </row>
    <row r="39146" spans="1:6" x14ac:dyDescent="0.25">
      <c r="A39146" s="2" t="str">
        <f t="shared" si="1273"/>
        <v>99999</v>
      </c>
      <c r="B39146" s="2" t="str">
        <f>"61484"</f>
        <v>61484</v>
      </c>
      <c r="C39146" s="1">
        <v>7.63967119728272E-7</v>
      </c>
      <c r="D39146" s="1">
        <v>0</v>
      </c>
      <c r="E39146" s="1">
        <v>0</v>
      </c>
      <c r="F39146" s="1">
        <v>6.9639594208094799E-7</v>
      </c>
    </row>
    <row r="39147" spans="1:6" x14ac:dyDescent="0.25">
      <c r="A39147" s="2" t="str">
        <f t="shared" si="1273"/>
        <v>99999</v>
      </c>
      <c r="B39147" s="2" t="str">
        <f>"61473"</f>
        <v>61473</v>
      </c>
      <c r="C39147" s="1">
        <v>8.4800350289838193E-5</v>
      </c>
      <c r="D39147" s="1">
        <v>9.4091365751349906E-5</v>
      </c>
      <c r="E39147" s="1">
        <v>6.5183099326006705E-5</v>
      </c>
      <c r="F39147" s="1">
        <v>8.4960304933875703E-5</v>
      </c>
    </row>
    <row r="39148" spans="1:6" x14ac:dyDescent="0.25">
      <c r="A39148" s="2" t="str">
        <f t="shared" si="1273"/>
        <v>99999</v>
      </c>
      <c r="B39148" s="2" t="str">
        <f>"61438"</f>
        <v>61438</v>
      </c>
      <c r="C39148" s="1">
        <v>2.1827631992236301E-7</v>
      </c>
      <c r="D39148" s="1">
        <v>0</v>
      </c>
      <c r="E39148" s="1">
        <v>0</v>
      </c>
      <c r="F39148" s="1">
        <v>1.9897026916598501E-7</v>
      </c>
    </row>
    <row r="39149" spans="1:6" x14ac:dyDescent="0.25">
      <c r="A39149" s="2" t="str">
        <f t="shared" si="1273"/>
        <v>99999</v>
      </c>
      <c r="B39149" s="2" t="str">
        <f>"61447"</f>
        <v>61447</v>
      </c>
      <c r="C39149" s="1">
        <v>5.2932007581173103E-5</v>
      </c>
      <c r="D39149" s="1">
        <v>1.66936294074975E-5</v>
      </c>
      <c r="E39149" s="1">
        <v>8.69107991013423E-6</v>
      </c>
      <c r="F39149" s="1">
        <v>4.9543597022330299E-5</v>
      </c>
    </row>
    <row r="39150" spans="1:6" x14ac:dyDescent="0.25">
      <c r="A39150" s="2" t="str">
        <f t="shared" si="1273"/>
        <v>99999</v>
      </c>
      <c r="B39150" s="2" t="str">
        <f>"61501"</f>
        <v>61501</v>
      </c>
      <c r="C39150" s="1">
        <v>2.1827631992236301E-7</v>
      </c>
      <c r="D39150" s="1">
        <v>0</v>
      </c>
      <c r="E39150" s="1">
        <v>0</v>
      </c>
      <c r="F39150" s="1">
        <v>1.9897026916598501E-7</v>
      </c>
    </row>
    <row r="39151" spans="1:6" x14ac:dyDescent="0.25">
      <c r="A39151" s="2" t="str">
        <f t="shared" si="1273"/>
        <v>99999</v>
      </c>
      <c r="B39151" s="2" t="str">
        <f>"61089"</f>
        <v>61089</v>
      </c>
      <c r="C39151" s="1">
        <v>3.2741447988354498E-7</v>
      </c>
      <c r="D39151" s="1">
        <v>0</v>
      </c>
      <c r="E39151" s="1">
        <v>0</v>
      </c>
      <c r="F39151" s="1">
        <v>2.9845540374897701E-7</v>
      </c>
    </row>
    <row r="39152" spans="1:6" x14ac:dyDescent="0.25">
      <c r="A39152" s="2" t="str">
        <f t="shared" si="1273"/>
        <v>99999</v>
      </c>
      <c r="B39152" s="2" t="str">
        <f>"61078"</f>
        <v>61078</v>
      </c>
      <c r="C39152" s="1">
        <v>6.3845823577291294E-5</v>
      </c>
      <c r="D39152" s="1">
        <v>5.0080888222492601E-5</v>
      </c>
      <c r="E39152" s="1">
        <v>5.21464794608054E-5</v>
      </c>
      <c r="F39152" s="1">
        <v>6.2675634787285296E-5</v>
      </c>
    </row>
    <row r="39153" spans="1:6" x14ac:dyDescent="0.25">
      <c r="A39153" s="2" t="str">
        <f t="shared" si="1273"/>
        <v>99999</v>
      </c>
      <c r="B39153" s="2" t="str">
        <f>"61075"</f>
        <v>61075</v>
      </c>
      <c r="C39153" s="1">
        <v>6.2972718297601797E-5</v>
      </c>
      <c r="D39153" s="1">
        <v>4.8563285549083798E-5</v>
      </c>
      <c r="E39153" s="1">
        <v>8.2565259146275205E-5</v>
      </c>
      <c r="F39153" s="1">
        <v>6.2476664518119299E-5</v>
      </c>
    </row>
    <row r="39154" spans="1:6" x14ac:dyDescent="0.25">
      <c r="A39154" s="2" t="str">
        <f t="shared" si="1273"/>
        <v>99999</v>
      </c>
      <c r="B39154" s="2" t="str">
        <f>"61270"</f>
        <v>61270</v>
      </c>
      <c r="C39154" s="1">
        <v>2.1827631992236301E-7</v>
      </c>
      <c r="D39154" s="1">
        <v>0</v>
      </c>
      <c r="E39154" s="1">
        <v>0</v>
      </c>
      <c r="F39154" s="1">
        <v>1.9897026916598501E-7</v>
      </c>
    </row>
    <row r="39155" spans="1:6" x14ac:dyDescent="0.25">
      <c r="A39155" s="2" t="str">
        <f t="shared" si="1273"/>
        <v>99999</v>
      </c>
      <c r="B39155" s="2" t="str">
        <f>"61285"</f>
        <v>61285</v>
      </c>
      <c r="C39155" s="1">
        <v>1.03244699323277E-4</v>
      </c>
      <c r="D39155" s="1">
        <v>4.4010477528857203E-5</v>
      </c>
      <c r="E39155" s="1">
        <v>8.69107991013423E-5</v>
      </c>
      <c r="F39155" s="1">
        <v>9.8987708910077606E-5</v>
      </c>
    </row>
    <row r="39156" spans="1:6" x14ac:dyDescent="0.25">
      <c r="A39156" s="2" t="str">
        <f t="shared" si="1273"/>
        <v>99999</v>
      </c>
      <c r="B39156" s="2" t="str">
        <f>"61252"</f>
        <v>61252</v>
      </c>
      <c r="C39156" s="1">
        <v>3.2741447988354498E-7</v>
      </c>
      <c r="D39156" s="1">
        <v>0</v>
      </c>
      <c r="E39156" s="1">
        <v>0</v>
      </c>
      <c r="F39156" s="1">
        <v>2.9845540374897701E-7</v>
      </c>
    </row>
    <row r="39157" spans="1:6" x14ac:dyDescent="0.25">
      <c r="A39157" s="2" t="str">
        <f t="shared" si="1273"/>
        <v>99999</v>
      </c>
      <c r="B39157" s="2" t="str">
        <f>"61028"</f>
        <v>61028</v>
      </c>
      <c r="C39157" s="1">
        <v>1.3183889723310699E-4</v>
      </c>
      <c r="D39157" s="1">
        <v>6.6774517629990203E-5</v>
      </c>
      <c r="E39157" s="1">
        <v>6.0837559370939603E-5</v>
      </c>
      <c r="F39157" s="1">
        <v>1.25948180382068E-4</v>
      </c>
    </row>
    <row r="39158" spans="1:6" x14ac:dyDescent="0.25">
      <c r="A39158" s="2" t="str">
        <f t="shared" si="1273"/>
        <v>99999</v>
      </c>
      <c r="B39158" s="2" t="str">
        <f>"60964"</f>
        <v>60964</v>
      </c>
      <c r="C39158" s="1">
        <v>1.6370723994177199E-5</v>
      </c>
      <c r="D39158" s="1">
        <v>3.0352053468177301E-6</v>
      </c>
      <c r="E39158" s="1">
        <v>0</v>
      </c>
      <c r="F39158" s="1">
        <v>1.51217404566148E-5</v>
      </c>
    </row>
    <row r="39159" spans="1:6" x14ac:dyDescent="0.25">
      <c r="A39159" s="2" t="str">
        <f t="shared" si="1273"/>
        <v>99999</v>
      </c>
      <c r="B39159" s="2" t="str">
        <f>"60959"</f>
        <v>60959</v>
      </c>
      <c r="C39159" s="1">
        <v>5.3914251020823701E-5</v>
      </c>
      <c r="D39159" s="1">
        <v>6.0704106936354696E-6</v>
      </c>
      <c r="E39159" s="1">
        <v>3.47643196405369E-5</v>
      </c>
      <c r="F39159" s="1">
        <v>5.0339478098994199E-5</v>
      </c>
    </row>
    <row r="39160" spans="1:6" x14ac:dyDescent="0.25">
      <c r="A39160" s="2" t="str">
        <f t="shared" si="1273"/>
        <v>99999</v>
      </c>
      <c r="B39160" s="2" t="str">
        <f>"60957"</f>
        <v>60957</v>
      </c>
      <c r="C39160" s="1">
        <v>2.7153574198342001E-4</v>
      </c>
      <c r="D39160" s="1">
        <v>4.3403436459493597E-4</v>
      </c>
      <c r="E39160" s="1">
        <v>5.8664789393405995E-4</v>
      </c>
      <c r="F39160" s="1">
        <v>2.8940225650192502E-4</v>
      </c>
    </row>
    <row r="39161" spans="1:6" x14ac:dyDescent="0.25">
      <c r="A39161" s="2" t="str">
        <f t="shared" si="1273"/>
        <v>99999</v>
      </c>
      <c r="B39161" s="2" t="str">
        <f>"18813"</f>
        <v>18813</v>
      </c>
      <c r="C39161" s="1">
        <v>0</v>
      </c>
      <c r="D39161" s="1">
        <v>1.51760267340886E-6</v>
      </c>
      <c r="E39161" s="1">
        <v>0</v>
      </c>
      <c r="F39161" s="1">
        <v>9.9485134582992598E-8</v>
      </c>
    </row>
    <row r="39162" spans="1:6" x14ac:dyDescent="0.25">
      <c r="A39162" s="2" t="str">
        <f t="shared" si="1273"/>
        <v>99999</v>
      </c>
      <c r="B39162" s="2" t="str">
        <f>"18430"</f>
        <v>18430</v>
      </c>
      <c r="C39162" s="1">
        <v>3.8198355986413598E-6</v>
      </c>
      <c r="D39162" s="1">
        <v>3.0352053468177301E-6</v>
      </c>
      <c r="E39162" s="1">
        <v>0</v>
      </c>
      <c r="F39162" s="1">
        <v>3.6809499795707201E-6</v>
      </c>
    </row>
    <row r="39163" spans="1:6" x14ac:dyDescent="0.25">
      <c r="A39163" s="2" t="str">
        <f t="shared" si="1273"/>
        <v>99999</v>
      </c>
      <c r="B39163" s="2" t="str">
        <f>"18443"</f>
        <v>18443</v>
      </c>
      <c r="C39163" s="1">
        <v>2.9249026869596701E-5</v>
      </c>
      <c r="D39163" s="1">
        <v>4.5528080202265997E-6</v>
      </c>
      <c r="E39163" s="1">
        <v>0</v>
      </c>
      <c r="F39163" s="1">
        <v>2.6960471471991001E-5</v>
      </c>
    </row>
    <row r="39164" spans="1:6" x14ac:dyDescent="0.25">
      <c r="A39164" s="2" t="str">
        <f t="shared" si="1273"/>
        <v>99999</v>
      </c>
      <c r="B39164" s="2" t="str">
        <f>"18407"</f>
        <v>18407</v>
      </c>
      <c r="C39164" s="1">
        <v>2.08453885525857E-5</v>
      </c>
      <c r="D39164" s="1">
        <v>4.5528080202265997E-6</v>
      </c>
      <c r="E39164" s="1">
        <v>2.60732397304027E-5</v>
      </c>
      <c r="F39164" s="1">
        <v>1.98970269165985E-5</v>
      </c>
    </row>
    <row r="39165" spans="1:6" x14ac:dyDescent="0.25">
      <c r="A39165" s="2" t="str">
        <f t="shared" si="1273"/>
        <v>99999</v>
      </c>
      <c r="B39165" s="2" t="str">
        <f>"18614"</f>
        <v>18614</v>
      </c>
      <c r="C39165" s="1">
        <v>1.3696839075128301E-4</v>
      </c>
      <c r="D39165" s="1">
        <v>6.2221709609763595E-5</v>
      </c>
      <c r="E39165" s="1">
        <v>8.69107991013423E-5</v>
      </c>
      <c r="F39165" s="1">
        <v>1.3092243711121799E-4</v>
      </c>
    </row>
    <row r="39166" spans="1:6" x14ac:dyDescent="0.25">
      <c r="A39166" s="2" t="str">
        <f t="shared" si="1273"/>
        <v>99999</v>
      </c>
      <c r="B39166" s="2" t="str">
        <f>"18454"</f>
        <v>18454</v>
      </c>
      <c r="C39166" s="1">
        <v>1.09138159961181E-7</v>
      </c>
      <c r="D39166" s="1">
        <v>1.51760267340886E-6</v>
      </c>
      <c r="E39166" s="1">
        <v>0</v>
      </c>
      <c r="F39166" s="1">
        <v>1.9897026916598501E-7</v>
      </c>
    </row>
    <row r="39167" spans="1:6" x14ac:dyDescent="0.25">
      <c r="A39167" s="2" t="str">
        <f t="shared" si="1273"/>
        <v>99999</v>
      </c>
      <c r="B39167" s="2" t="str">
        <f>"18459"</f>
        <v>18459</v>
      </c>
      <c r="C39167" s="1">
        <v>0</v>
      </c>
      <c r="D39167" s="1">
        <v>1.51760267340886E-6</v>
      </c>
      <c r="E39167" s="1">
        <v>0</v>
      </c>
      <c r="F39167" s="1">
        <v>9.9485134582992598E-8</v>
      </c>
    </row>
    <row r="39168" spans="1:6" x14ac:dyDescent="0.25">
      <c r="A39168" s="2" t="str">
        <f t="shared" si="1273"/>
        <v>99999</v>
      </c>
      <c r="B39168" s="2" t="str">
        <f>"17758"</f>
        <v>17758</v>
      </c>
      <c r="C39168" s="1">
        <v>6.3300132777485398E-5</v>
      </c>
      <c r="D39168" s="1">
        <v>6.6774517629990203E-5</v>
      </c>
      <c r="E39168" s="1">
        <v>1.7382159820268399E-5</v>
      </c>
      <c r="F39168" s="1">
        <v>6.2476664518119299E-5</v>
      </c>
    </row>
    <row r="39169" spans="1:6" x14ac:dyDescent="0.25">
      <c r="A39169" s="2" t="str">
        <f t="shared" si="1273"/>
        <v>99999</v>
      </c>
      <c r="B39169" s="2" t="str">
        <f>"17724"</f>
        <v>17724</v>
      </c>
      <c r="C39169" s="1">
        <v>1.7243829273866699E-5</v>
      </c>
      <c r="D39169" s="1">
        <v>7.5880133670443404E-6</v>
      </c>
      <c r="E39169" s="1">
        <v>0</v>
      </c>
      <c r="F39169" s="1">
        <v>1.6216076937027799E-5</v>
      </c>
    </row>
    <row r="39170" spans="1:6" x14ac:dyDescent="0.25">
      <c r="A39170" s="2" t="str">
        <f t="shared" si="1273"/>
        <v>99999</v>
      </c>
      <c r="B39170" s="2" t="str">
        <f>"17076"</f>
        <v>17076</v>
      </c>
      <c r="C39170" s="1">
        <v>3.4924211187578098E-6</v>
      </c>
      <c r="D39170" s="1">
        <v>1.21408213872709E-5</v>
      </c>
      <c r="E39170" s="1">
        <v>1.7382159820268399E-5</v>
      </c>
      <c r="F39170" s="1">
        <v>4.3773459216516703E-6</v>
      </c>
    </row>
    <row r="39171" spans="1:6" x14ac:dyDescent="0.25">
      <c r="A39171" s="2" t="str">
        <f t="shared" si="1273"/>
        <v>99999</v>
      </c>
      <c r="B39171" s="2" t="str">
        <f>"17086"</f>
        <v>17086</v>
      </c>
      <c r="C39171" s="1">
        <v>6.02442642985723E-5</v>
      </c>
      <c r="D39171" s="1">
        <v>3.0352053468177301E-5</v>
      </c>
      <c r="E39171" s="1">
        <v>8.69107991013423E-6</v>
      </c>
      <c r="F39171" s="1">
        <v>5.7104467250637698E-5</v>
      </c>
    </row>
    <row r="39172" spans="1:6" x14ac:dyDescent="0.25">
      <c r="A39172" s="2" t="str">
        <f t="shared" si="1273"/>
        <v>99999</v>
      </c>
      <c r="B39172" s="2" t="str">
        <f>"17255"</f>
        <v>17255</v>
      </c>
      <c r="C39172" s="1">
        <v>3.2741447988354498E-7</v>
      </c>
      <c r="D39172" s="1">
        <v>0</v>
      </c>
      <c r="E39172" s="1">
        <v>0</v>
      </c>
      <c r="F39172" s="1">
        <v>2.9845540374897701E-7</v>
      </c>
    </row>
    <row r="39173" spans="1:6" x14ac:dyDescent="0.25">
      <c r="A39173" s="2" t="str">
        <f t="shared" si="1273"/>
        <v>99999</v>
      </c>
      <c r="B39173" s="2" t="str">
        <f>"17264"</f>
        <v>17264</v>
      </c>
      <c r="C39173" s="1">
        <v>5.6751843179814504E-6</v>
      </c>
      <c r="D39173" s="1">
        <v>0</v>
      </c>
      <c r="E39173" s="1">
        <v>0</v>
      </c>
      <c r="F39173" s="1">
        <v>5.1732269983156102E-6</v>
      </c>
    </row>
    <row r="39174" spans="1:6" x14ac:dyDescent="0.25">
      <c r="A39174" s="2" t="str">
        <f t="shared" si="1273"/>
        <v>99999</v>
      </c>
      <c r="B39174" s="2" t="str">
        <f>"17211"</f>
        <v>17211</v>
      </c>
      <c r="C39174" s="1">
        <v>3.2304895348509703E-5</v>
      </c>
      <c r="D39174" s="1">
        <v>7.5880133670443404E-6</v>
      </c>
      <c r="E39174" s="1">
        <v>4.3455399550671099E-6</v>
      </c>
      <c r="F39174" s="1">
        <v>3.0044510644063701E-5</v>
      </c>
    </row>
    <row r="39175" spans="1:6" x14ac:dyDescent="0.25">
      <c r="A39175" s="2" t="str">
        <f t="shared" si="1273"/>
        <v>99999</v>
      </c>
      <c r="B39175" s="2" t="str">
        <f>"16748"</f>
        <v>16748</v>
      </c>
      <c r="C39175" s="1">
        <v>7.8579475172050803E-5</v>
      </c>
      <c r="D39175" s="1">
        <v>2.5799245447950699E-5</v>
      </c>
      <c r="E39175" s="1">
        <v>3.6502535622563698E-4</v>
      </c>
      <c r="F39175" s="1">
        <v>8.1677295492636894E-5</v>
      </c>
    </row>
    <row r="39176" spans="1:6" x14ac:dyDescent="0.25">
      <c r="A39176" s="2" t="str">
        <f t="shared" si="1273"/>
        <v>99999</v>
      </c>
      <c r="B39176" s="2" t="str">
        <f>"16659"</f>
        <v>16659</v>
      </c>
      <c r="C39176" s="1">
        <v>1.6152447674254801E-5</v>
      </c>
      <c r="D39176" s="1">
        <v>3.4904861488403899E-5</v>
      </c>
      <c r="E39176" s="1">
        <v>0</v>
      </c>
      <c r="F39176" s="1">
        <v>1.7011958013691699E-5</v>
      </c>
    </row>
    <row r="39177" spans="1:6" x14ac:dyDescent="0.25">
      <c r="A39177" s="2" t="str">
        <f t="shared" si="1273"/>
        <v>99999</v>
      </c>
      <c r="B39177" s="2" t="str">
        <f>"16679"</f>
        <v>16679</v>
      </c>
      <c r="C39177" s="1">
        <v>3.2414033508470899E-5</v>
      </c>
      <c r="D39177" s="1">
        <v>4.5528080202265997E-6</v>
      </c>
      <c r="E39177" s="1">
        <v>0</v>
      </c>
      <c r="F39177" s="1">
        <v>2.9845540374897701E-5</v>
      </c>
    </row>
    <row r="39178" spans="1:6" x14ac:dyDescent="0.25">
      <c r="A39178" s="2" t="str">
        <f t="shared" si="1273"/>
        <v>99999</v>
      </c>
      <c r="B39178" s="2" t="str">
        <f>"17035"</f>
        <v>17035</v>
      </c>
      <c r="C39178" s="1">
        <v>4.1472500785249002E-5</v>
      </c>
      <c r="D39178" s="1">
        <v>1.3658424060679801E-5</v>
      </c>
      <c r="E39178" s="1">
        <v>0</v>
      </c>
      <c r="F39178" s="1">
        <v>3.8699717352784098E-5</v>
      </c>
    </row>
    <row r="39179" spans="1:6" x14ac:dyDescent="0.25">
      <c r="A39179" s="2" t="str">
        <f t="shared" si="1273"/>
        <v>99999</v>
      </c>
      <c r="B39179" s="2" t="str">
        <f>"16923"</f>
        <v>16923</v>
      </c>
      <c r="C39179" s="1">
        <v>8.2181034450769797E-5</v>
      </c>
      <c r="D39179" s="1">
        <v>5.9186504262945899E-5</v>
      </c>
      <c r="E39179" s="1">
        <v>2.60732397304027E-5</v>
      </c>
      <c r="F39179" s="1">
        <v>7.9389137397228098E-5</v>
      </c>
    </row>
    <row r="39180" spans="1:6" x14ac:dyDescent="0.25">
      <c r="A39180" s="2" t="str">
        <f t="shared" si="1273"/>
        <v>99999</v>
      </c>
      <c r="B39180" s="2" t="str">
        <f>"16941"</f>
        <v>16941</v>
      </c>
      <c r="C39180" s="1">
        <v>3.6015592787189902E-6</v>
      </c>
      <c r="D39180" s="1">
        <v>4.5528080202265997E-6</v>
      </c>
      <c r="E39180" s="1">
        <v>4.3455399550671099E-6</v>
      </c>
      <c r="F39180" s="1">
        <v>3.6809499795707201E-6</v>
      </c>
    </row>
    <row r="39181" spans="1:6" x14ac:dyDescent="0.25">
      <c r="A39181" s="2" t="str">
        <f t="shared" si="1273"/>
        <v>99999</v>
      </c>
      <c r="B39181" s="2" t="str">
        <f>"16258"</f>
        <v>16258</v>
      </c>
      <c r="C39181" s="1">
        <v>8.0762238371274403E-5</v>
      </c>
      <c r="D39181" s="1">
        <v>4.2492874855448297E-5</v>
      </c>
      <c r="E39181" s="1">
        <v>8.2565259146275205E-5</v>
      </c>
      <c r="F39181" s="1">
        <v>7.8294800916815202E-5</v>
      </c>
    </row>
    <row r="39182" spans="1:6" x14ac:dyDescent="0.25">
      <c r="A39182" s="2" t="str">
        <f t="shared" si="1273"/>
        <v>99999</v>
      </c>
      <c r="B39182" s="2" t="str">
        <f>"16242"</f>
        <v>16242</v>
      </c>
      <c r="C39182" s="1">
        <v>1.38278048670817E-4</v>
      </c>
      <c r="D39182" s="1">
        <v>3.0200293200836502E-4</v>
      </c>
      <c r="E39182" s="1">
        <v>1.73821598202684E-4</v>
      </c>
      <c r="F39182" s="1">
        <v>1.4982461268198599E-4</v>
      </c>
    </row>
    <row r="39183" spans="1:6" x14ac:dyDescent="0.25">
      <c r="A39183" s="2" t="str">
        <f t="shared" si="1273"/>
        <v>99999</v>
      </c>
      <c r="B39183" s="2" t="str">
        <f>"16239"</f>
        <v>16239</v>
      </c>
      <c r="C39183" s="1">
        <v>4.7256823263191603E-5</v>
      </c>
      <c r="D39183" s="1">
        <v>2.2764040101133E-5</v>
      </c>
      <c r="E39183" s="1">
        <v>4.3455399550671099E-6</v>
      </c>
      <c r="F39183" s="1">
        <v>4.4668825427763602E-5</v>
      </c>
    </row>
    <row r="39184" spans="1:6" x14ac:dyDescent="0.25">
      <c r="A39184" s="2" t="str">
        <f t="shared" si="1273"/>
        <v>99999</v>
      </c>
      <c r="B39184" s="2" t="str">
        <f>"16224"</f>
        <v>16224</v>
      </c>
      <c r="C39184" s="1">
        <v>4.4528369264162099E-5</v>
      </c>
      <c r="D39184" s="1">
        <v>5.3116093569310399E-5</v>
      </c>
      <c r="E39184" s="1">
        <v>1.3036619865201299E-5</v>
      </c>
      <c r="F39184" s="1">
        <v>4.4370370024014701E-5</v>
      </c>
    </row>
    <row r="39185" spans="1:6" x14ac:dyDescent="0.25">
      <c r="A39185" s="2" t="str">
        <f t="shared" si="1273"/>
        <v>99999</v>
      </c>
      <c r="B39185" s="2" t="str">
        <f>"16214"</f>
        <v>16214</v>
      </c>
      <c r="C39185" s="1">
        <v>4.4899439008030099E-4</v>
      </c>
      <c r="D39185" s="1">
        <v>1.01679379118394E-3</v>
      </c>
      <c r="E39185" s="1">
        <v>1.92507420009473E-3</v>
      </c>
      <c r="F39185" s="1">
        <v>5.2000879846530199E-4</v>
      </c>
    </row>
    <row r="39186" spans="1:6" x14ac:dyDescent="0.25">
      <c r="A39186" s="2" t="str">
        <f t="shared" ref="A39186:A39249" si="1274">"99999"</f>
        <v>99999</v>
      </c>
      <c r="B39186" s="2" t="str">
        <f>"16351"</f>
        <v>16351</v>
      </c>
      <c r="C39186" s="1">
        <v>9.6041580765839897E-6</v>
      </c>
      <c r="D39186" s="1">
        <v>1.51760267340886E-6</v>
      </c>
      <c r="E39186" s="1">
        <v>0</v>
      </c>
      <c r="F39186" s="1">
        <v>8.8541769778863392E-6</v>
      </c>
    </row>
    <row r="39187" spans="1:6" x14ac:dyDescent="0.25">
      <c r="A39187" s="2" t="str">
        <f t="shared" si="1274"/>
        <v>99999</v>
      </c>
      <c r="B39187" s="2" t="str">
        <f>"16334"</f>
        <v>16334</v>
      </c>
      <c r="C39187" s="1">
        <v>1.3205717355302901E-5</v>
      </c>
      <c r="D39187" s="1">
        <v>4.5528080202265997E-6</v>
      </c>
      <c r="E39187" s="1">
        <v>4.3455399550671099E-6</v>
      </c>
      <c r="F39187" s="1">
        <v>1.2435641822873999E-5</v>
      </c>
    </row>
    <row r="39188" spans="1:6" x14ac:dyDescent="0.25">
      <c r="A39188" s="2" t="str">
        <f t="shared" si="1274"/>
        <v>99999</v>
      </c>
      <c r="B39188" s="2" t="str">
        <f>"16332"</f>
        <v>16332</v>
      </c>
      <c r="C39188" s="1">
        <v>8.2945001570498102E-6</v>
      </c>
      <c r="D39188" s="1">
        <v>0</v>
      </c>
      <c r="E39188" s="1">
        <v>2.1727699775335501E-5</v>
      </c>
      <c r="F39188" s="1">
        <v>8.0582959012224002E-6</v>
      </c>
    </row>
    <row r="39189" spans="1:6" x14ac:dyDescent="0.25">
      <c r="A39189" s="2" t="str">
        <f t="shared" si="1274"/>
        <v>99999</v>
      </c>
      <c r="B39189" s="2" t="str">
        <f>"15832"</f>
        <v>15832</v>
      </c>
      <c r="C39189" s="1">
        <v>2.3792118871537602E-5</v>
      </c>
      <c r="D39189" s="1">
        <v>9.1056160404532095E-6</v>
      </c>
      <c r="E39189" s="1">
        <v>0</v>
      </c>
      <c r="F39189" s="1">
        <v>2.2284670146590302E-5</v>
      </c>
    </row>
    <row r="39190" spans="1:6" x14ac:dyDescent="0.25">
      <c r="A39190" s="2" t="str">
        <f t="shared" si="1274"/>
        <v>99999</v>
      </c>
      <c r="B39190" s="2" t="str">
        <f>"15772"</f>
        <v>15772</v>
      </c>
      <c r="C39190" s="1">
        <v>5.4569079980590801E-7</v>
      </c>
      <c r="D39190" s="1">
        <v>0</v>
      </c>
      <c r="E39190" s="1">
        <v>0</v>
      </c>
      <c r="F39190" s="1">
        <v>4.9742567291496303E-7</v>
      </c>
    </row>
    <row r="39191" spans="1:6" x14ac:dyDescent="0.25">
      <c r="A39191" s="2" t="str">
        <f t="shared" si="1274"/>
        <v>99999</v>
      </c>
      <c r="B39191" s="2" t="str">
        <f>"15776"</f>
        <v>15776</v>
      </c>
      <c r="C39191" s="1">
        <v>3.8198355986413598E-6</v>
      </c>
      <c r="D39191" s="1">
        <v>0</v>
      </c>
      <c r="E39191" s="1">
        <v>4.3455399550671099E-6</v>
      </c>
      <c r="F39191" s="1">
        <v>3.5814648449877301E-6</v>
      </c>
    </row>
    <row r="39192" spans="1:6" x14ac:dyDescent="0.25">
      <c r="A39192" s="2" t="str">
        <f t="shared" si="1274"/>
        <v>99999</v>
      </c>
      <c r="B39192" s="2" t="str">
        <f>"15963"</f>
        <v>15963</v>
      </c>
      <c r="C39192" s="1">
        <v>2.1827631992236301E-7</v>
      </c>
      <c r="D39192" s="1">
        <v>0</v>
      </c>
      <c r="E39192" s="1">
        <v>0</v>
      </c>
      <c r="F39192" s="1">
        <v>1.9897026916598501E-7</v>
      </c>
    </row>
    <row r="39193" spans="1:6" x14ac:dyDescent="0.25">
      <c r="A39193" s="2" t="str">
        <f t="shared" si="1274"/>
        <v>99999</v>
      </c>
      <c r="B39193" s="2" t="str">
        <f>"16028"</f>
        <v>16028</v>
      </c>
      <c r="C39193" s="1">
        <v>3.85257704662971E-5</v>
      </c>
      <c r="D39193" s="1">
        <v>3.1869656141586203E-5</v>
      </c>
      <c r="E39193" s="1">
        <v>1.3036619865201299E-5</v>
      </c>
      <c r="F39193" s="1">
        <v>3.7505895737788197E-5</v>
      </c>
    </row>
    <row r="39194" spans="1:6" x14ac:dyDescent="0.25">
      <c r="A39194" s="2" t="str">
        <f t="shared" si="1274"/>
        <v>99999</v>
      </c>
      <c r="B39194" s="2" t="str">
        <f>"15310"</f>
        <v>15310</v>
      </c>
      <c r="C39194" s="1">
        <v>1.7243829273866699E-5</v>
      </c>
      <c r="D39194" s="1">
        <v>9.1056160404532095E-6</v>
      </c>
      <c r="E39194" s="1">
        <v>0</v>
      </c>
      <c r="F39194" s="1">
        <v>1.6315562071610699E-5</v>
      </c>
    </row>
    <row r="39195" spans="1:6" x14ac:dyDescent="0.25">
      <c r="A39195" s="2" t="str">
        <f t="shared" si="1274"/>
        <v>99999</v>
      </c>
      <c r="B39195" s="2" t="str">
        <f>"15461"</f>
        <v>15461</v>
      </c>
      <c r="C39195" s="1">
        <v>0</v>
      </c>
      <c r="D39195" s="1">
        <v>1.51760267340886E-6</v>
      </c>
      <c r="E39195" s="1">
        <v>0</v>
      </c>
      <c r="F39195" s="1">
        <v>9.9485134582992598E-8</v>
      </c>
    </row>
    <row r="39196" spans="1:6" x14ac:dyDescent="0.25">
      <c r="A39196" s="2" t="str">
        <f t="shared" si="1274"/>
        <v>99999</v>
      </c>
      <c r="B39196" s="2" t="str">
        <f>"15537"</f>
        <v>15537</v>
      </c>
      <c r="C39196" s="1">
        <v>4.2793072520779299E-4</v>
      </c>
      <c r="D39196" s="1">
        <v>5.2205531965265103E-4</v>
      </c>
      <c r="E39196" s="1">
        <v>3.8240751604590601E-4</v>
      </c>
      <c r="F39196" s="1">
        <v>4.3305879083976602E-4</v>
      </c>
    </row>
    <row r="39197" spans="1:6" x14ac:dyDescent="0.25">
      <c r="A39197" s="2" t="str">
        <f t="shared" si="1274"/>
        <v>99999</v>
      </c>
      <c r="B39197" s="2" t="str">
        <f>"15533"</f>
        <v>15533</v>
      </c>
      <c r="C39197" s="1">
        <v>7.4104810613642393E-5</v>
      </c>
      <c r="D39197" s="1">
        <v>5.0080888222492601E-5</v>
      </c>
      <c r="E39197" s="1">
        <v>8.69107991013423E-6</v>
      </c>
      <c r="F39197" s="1">
        <v>7.1032386092256697E-5</v>
      </c>
    </row>
    <row r="39198" spans="1:6" x14ac:dyDescent="0.25">
      <c r="A39198" s="2" t="str">
        <f t="shared" si="1274"/>
        <v>99999</v>
      </c>
      <c r="B39198" s="2" t="str">
        <f>"15559"</f>
        <v>15559</v>
      </c>
      <c r="C39198" s="1">
        <v>9.5277613646111602E-5</v>
      </c>
      <c r="D39198" s="1">
        <v>2.7316848121359601E-5</v>
      </c>
      <c r="E39198" s="1">
        <v>1.73821598202684E-4</v>
      </c>
      <c r="F39198" s="1">
        <v>9.2620660296766094E-5</v>
      </c>
    </row>
    <row r="39199" spans="1:6" x14ac:dyDescent="0.25">
      <c r="A39199" s="2" t="str">
        <f t="shared" si="1274"/>
        <v>99999</v>
      </c>
      <c r="B39199" s="2" t="str">
        <f>"15362"</f>
        <v>15362</v>
      </c>
      <c r="C39199" s="1">
        <v>3.9944566545792501E-5</v>
      </c>
      <c r="D39199" s="1">
        <v>7.5880133670443404E-6</v>
      </c>
      <c r="E39199" s="1">
        <v>4.3455399550671099E-6</v>
      </c>
      <c r="F39199" s="1">
        <v>3.7008470064873197E-5</v>
      </c>
    </row>
    <row r="39200" spans="1:6" x14ac:dyDescent="0.25">
      <c r="A39200" s="2" t="str">
        <f t="shared" si="1274"/>
        <v>99999</v>
      </c>
      <c r="B39200" s="2" t="str">
        <f>"15344"</f>
        <v>15344</v>
      </c>
      <c r="C39200" s="1">
        <v>7.2467738214224595E-5</v>
      </c>
      <c r="D39200" s="1">
        <v>3.3387258814995101E-5</v>
      </c>
      <c r="E39200" s="1">
        <v>1.3036619865201299E-5</v>
      </c>
      <c r="F39200" s="1">
        <v>6.8545257727681904E-5</v>
      </c>
    </row>
    <row r="39201" spans="1:6" x14ac:dyDescent="0.25">
      <c r="A39201" s="2" t="str">
        <f t="shared" si="1274"/>
        <v>99999</v>
      </c>
      <c r="B39201" s="2" t="str">
        <f>"15334"</f>
        <v>15334</v>
      </c>
      <c r="C39201" s="1">
        <v>7.2031185574379897E-6</v>
      </c>
      <c r="D39201" s="1">
        <v>0</v>
      </c>
      <c r="E39201" s="1">
        <v>8.69107991013423E-6</v>
      </c>
      <c r="F39201" s="1">
        <v>6.7649891516434898E-6</v>
      </c>
    </row>
    <row r="39202" spans="1:6" x14ac:dyDescent="0.25">
      <c r="A39202" s="2" t="str">
        <f t="shared" si="1274"/>
        <v>99999</v>
      </c>
      <c r="B39202" s="2" t="str">
        <f>"14893"</f>
        <v>14893</v>
      </c>
      <c r="C39202" s="1">
        <v>1.4187960794953601E-6</v>
      </c>
      <c r="D39202" s="1">
        <v>0</v>
      </c>
      <c r="E39202" s="1">
        <v>4.3455399550671099E-6</v>
      </c>
      <c r="F39202" s="1">
        <v>1.39279188416189E-6</v>
      </c>
    </row>
    <row r="39203" spans="1:6" x14ac:dyDescent="0.25">
      <c r="A39203" s="2" t="str">
        <f t="shared" si="1274"/>
        <v>99999</v>
      </c>
      <c r="B39203" s="2" t="str">
        <f>"14864"</f>
        <v>14864</v>
      </c>
      <c r="C39203" s="1">
        <v>8.0762238371274393E-6</v>
      </c>
      <c r="D39203" s="1">
        <v>9.1056160404532095E-6</v>
      </c>
      <c r="E39203" s="1">
        <v>4.3455399550671099E-6</v>
      </c>
      <c r="F39203" s="1">
        <v>8.0582959012224002E-6</v>
      </c>
    </row>
    <row r="39204" spans="1:6" x14ac:dyDescent="0.25">
      <c r="A39204" s="2" t="str">
        <f t="shared" si="1274"/>
        <v>99999</v>
      </c>
      <c r="B39204" s="2" t="str">
        <f>"14715"</f>
        <v>14715</v>
      </c>
      <c r="C39204" s="1">
        <v>1.4428064746868199E-4</v>
      </c>
      <c r="D39204" s="1">
        <v>1.09267392485438E-4</v>
      </c>
      <c r="E39204" s="1">
        <v>9.9947418966543598E-5</v>
      </c>
      <c r="F39204" s="1">
        <v>1.409704357041E-4</v>
      </c>
    </row>
    <row r="39205" spans="1:6" x14ac:dyDescent="0.25">
      <c r="A39205" s="2" t="str">
        <f t="shared" si="1274"/>
        <v>99999</v>
      </c>
      <c r="B39205" s="2" t="str">
        <f>"14711"</f>
        <v>14711</v>
      </c>
      <c r="C39205" s="1">
        <v>9.2985712286926806E-5</v>
      </c>
      <c r="D39205" s="1">
        <v>4.7045682875674899E-5</v>
      </c>
      <c r="E39205" s="1">
        <v>1.3471173860707999E-4</v>
      </c>
      <c r="F39205" s="1">
        <v>9.0929413008855194E-5</v>
      </c>
    </row>
    <row r="39206" spans="1:6" x14ac:dyDescent="0.25">
      <c r="A39206" s="2" t="str">
        <f t="shared" si="1274"/>
        <v>99999</v>
      </c>
      <c r="B39206" s="2" t="str">
        <f>"14818"</f>
        <v>14818</v>
      </c>
      <c r="C39206" s="1">
        <v>9.7242100525412906E-5</v>
      </c>
      <c r="D39206" s="1">
        <v>6.8292120303399095E-5</v>
      </c>
      <c r="E39206" s="1">
        <v>7.3874179236140894E-5</v>
      </c>
      <c r="F39206" s="1">
        <v>9.4809333257591898E-5</v>
      </c>
    </row>
    <row r="39207" spans="1:6" x14ac:dyDescent="0.25">
      <c r="A39207" s="2" t="str">
        <f t="shared" si="1274"/>
        <v>99999</v>
      </c>
      <c r="B39207" s="2" t="str">
        <f>"14806"</f>
        <v>14806</v>
      </c>
      <c r="C39207" s="1">
        <v>8.4363797649993397E-5</v>
      </c>
      <c r="D39207" s="1">
        <v>7.5880133670443404E-6</v>
      </c>
      <c r="E39207" s="1">
        <v>6.0837559370939603E-5</v>
      </c>
      <c r="F39207" s="1">
        <v>7.8792226589730107E-5</v>
      </c>
    </row>
    <row r="39208" spans="1:6" x14ac:dyDescent="0.25">
      <c r="A39208" s="2" t="str">
        <f t="shared" si="1274"/>
        <v>99999</v>
      </c>
      <c r="B39208" s="2" t="str">
        <f>"14082"</f>
        <v>14082</v>
      </c>
      <c r="C39208" s="1">
        <v>1.8335210873478499E-5</v>
      </c>
      <c r="D39208" s="1">
        <v>9.1056160404532095E-6</v>
      </c>
      <c r="E39208" s="1">
        <v>1.3036619865201299E-5</v>
      </c>
      <c r="F39208" s="1">
        <v>1.7608868821189599E-5</v>
      </c>
    </row>
    <row r="39209" spans="1:6" x14ac:dyDescent="0.25">
      <c r="A39209" s="2" t="str">
        <f t="shared" si="1274"/>
        <v>99999</v>
      </c>
      <c r="B39209" s="2" t="str">
        <f>"14065"</f>
        <v>14065</v>
      </c>
      <c r="C39209" s="1">
        <v>1.8007796393594899E-5</v>
      </c>
      <c r="D39209" s="1">
        <v>3.0352053468177301E-6</v>
      </c>
      <c r="E39209" s="1">
        <v>0</v>
      </c>
      <c r="F39209" s="1">
        <v>1.6614017475359701E-5</v>
      </c>
    </row>
    <row r="39210" spans="1:6" x14ac:dyDescent="0.25">
      <c r="A39210" s="2" t="str">
        <f t="shared" si="1274"/>
        <v>99999</v>
      </c>
      <c r="B39210" s="2" t="str">
        <f>"14040"</f>
        <v>14040</v>
      </c>
      <c r="C39210" s="1">
        <v>1.5388480554526601E-5</v>
      </c>
      <c r="D39210" s="1">
        <v>3.0352053468177301E-6</v>
      </c>
      <c r="E39210" s="1">
        <v>0</v>
      </c>
      <c r="F39210" s="1">
        <v>1.42263742453679E-5</v>
      </c>
    </row>
    <row r="39211" spans="1:6" x14ac:dyDescent="0.25">
      <c r="A39211" s="2" t="str">
        <f t="shared" si="1274"/>
        <v>99999</v>
      </c>
      <c r="B39211" s="2" t="str">
        <f>"14024"</f>
        <v>14024</v>
      </c>
      <c r="C39211" s="1">
        <v>9.2549159647082105E-5</v>
      </c>
      <c r="D39211" s="1">
        <v>4.0975272182039399E-5</v>
      </c>
      <c r="E39211" s="1">
        <v>3.47643196405369E-5</v>
      </c>
      <c r="F39211" s="1">
        <v>8.7845373836782395E-5</v>
      </c>
    </row>
    <row r="39212" spans="1:6" x14ac:dyDescent="0.25">
      <c r="A39212" s="2" t="str">
        <f t="shared" si="1274"/>
        <v>99999</v>
      </c>
      <c r="B39212" s="2" t="str">
        <f>"13860"</f>
        <v>13860</v>
      </c>
      <c r="C39212" s="1">
        <v>3.6015592787189902E-6</v>
      </c>
      <c r="D39212" s="1">
        <v>0</v>
      </c>
      <c r="E39212" s="1">
        <v>4.3455399550671099E-6</v>
      </c>
      <c r="F39212" s="1">
        <v>3.3824945758217398E-6</v>
      </c>
    </row>
    <row r="39213" spans="1:6" x14ac:dyDescent="0.25">
      <c r="A39213" s="2" t="str">
        <f t="shared" si="1274"/>
        <v>99999</v>
      </c>
      <c r="B39213" s="2" t="str">
        <f>"13856"</f>
        <v>13856</v>
      </c>
      <c r="C39213" s="1">
        <v>3.7980079666491201E-4</v>
      </c>
      <c r="D39213" s="1">
        <v>3.64224641618128E-4</v>
      </c>
      <c r="E39213" s="1">
        <v>6.3444883343979897E-4</v>
      </c>
      <c r="F39213" s="1">
        <v>3.8460953029784898E-4</v>
      </c>
    </row>
    <row r="39214" spans="1:6" x14ac:dyDescent="0.25">
      <c r="A39214" s="2" t="str">
        <f t="shared" si="1274"/>
        <v>99999</v>
      </c>
      <c r="B39214" s="2" t="str">
        <f>"13758"</f>
        <v>13758</v>
      </c>
      <c r="C39214" s="1">
        <v>0</v>
      </c>
      <c r="D39214" s="1">
        <v>0</v>
      </c>
      <c r="E39214" s="1">
        <v>4.3455399550671099E-6</v>
      </c>
      <c r="F39214" s="1">
        <v>9.9485134582992598E-8</v>
      </c>
    </row>
    <row r="39215" spans="1:6" x14ac:dyDescent="0.25">
      <c r="A39215" s="2" t="str">
        <f t="shared" si="1274"/>
        <v>99999</v>
      </c>
      <c r="B39215" s="2" t="str">
        <f>"13788"</f>
        <v>13788</v>
      </c>
      <c r="C39215" s="1">
        <v>4.0817671825481903E-5</v>
      </c>
      <c r="D39215" s="1">
        <v>7.5880133670443404E-6</v>
      </c>
      <c r="E39215" s="1">
        <v>2.1727699775335501E-5</v>
      </c>
      <c r="F39215" s="1">
        <v>3.8202291679869098E-5</v>
      </c>
    </row>
    <row r="39216" spans="1:6" x14ac:dyDescent="0.25">
      <c r="A39216" s="2" t="str">
        <f t="shared" si="1274"/>
        <v>99999</v>
      </c>
      <c r="B39216" s="2" t="str">
        <f>"13783"</f>
        <v>13783</v>
      </c>
      <c r="C39216" s="1">
        <v>1.7647640465722999E-4</v>
      </c>
      <c r="D39216" s="1">
        <v>2.1701718229746799E-4</v>
      </c>
      <c r="E39216" s="1">
        <v>3.0418779685469798E-4</v>
      </c>
      <c r="F39216" s="1">
        <v>1.8205779628687599E-4</v>
      </c>
    </row>
    <row r="39217" spans="1:6" x14ac:dyDescent="0.25">
      <c r="A39217" s="2" t="str">
        <f t="shared" si="1274"/>
        <v>99999</v>
      </c>
      <c r="B39217" s="2" t="str">
        <f>"13847"</f>
        <v>13847</v>
      </c>
      <c r="C39217" s="1">
        <v>0</v>
      </c>
      <c r="D39217" s="1">
        <v>0</v>
      </c>
      <c r="E39217" s="1">
        <v>4.3455399550671099E-6</v>
      </c>
      <c r="F39217" s="1">
        <v>9.9485134582992598E-8</v>
      </c>
    </row>
    <row r="39218" spans="1:6" x14ac:dyDescent="0.25">
      <c r="A39218" s="2" t="str">
        <f t="shared" si="1274"/>
        <v>99999</v>
      </c>
      <c r="B39218" s="2" t="str">
        <f>"13841"</f>
        <v>13841</v>
      </c>
      <c r="C39218" s="1">
        <v>1.7025552953944301E-5</v>
      </c>
      <c r="D39218" s="1">
        <v>0</v>
      </c>
      <c r="E39218" s="1">
        <v>2.60732397304027E-5</v>
      </c>
      <c r="F39218" s="1">
        <v>1.61165918024448E-5</v>
      </c>
    </row>
    <row r="39219" spans="1:6" x14ac:dyDescent="0.25">
      <c r="A39219" s="2" t="str">
        <f t="shared" si="1274"/>
        <v>99999</v>
      </c>
      <c r="B39219" s="2" t="str">
        <f>"13814"</f>
        <v>13814</v>
      </c>
      <c r="C39219" s="1">
        <v>2.1827631992236299E-6</v>
      </c>
      <c r="D39219" s="1">
        <v>0</v>
      </c>
      <c r="E39219" s="1">
        <v>4.3455399550671099E-6</v>
      </c>
      <c r="F39219" s="1">
        <v>2.08918782624284E-6</v>
      </c>
    </row>
    <row r="39220" spans="1:6" x14ac:dyDescent="0.25">
      <c r="A39220" s="2" t="str">
        <f t="shared" si="1274"/>
        <v>99999</v>
      </c>
      <c r="B39220" s="2" t="str">
        <f>"13682"</f>
        <v>13682</v>
      </c>
      <c r="C39220" s="1">
        <v>6.5482895976708995E-7</v>
      </c>
      <c r="D39220" s="1">
        <v>0</v>
      </c>
      <c r="E39220" s="1">
        <v>0</v>
      </c>
      <c r="F39220" s="1">
        <v>5.9691080749795498E-7</v>
      </c>
    </row>
    <row r="39221" spans="1:6" x14ac:dyDescent="0.25">
      <c r="A39221" s="2" t="str">
        <f t="shared" si="1274"/>
        <v>99999</v>
      </c>
      <c r="B39221" s="2" t="str">
        <f>"13136"</f>
        <v>13136</v>
      </c>
      <c r="C39221" s="1">
        <v>2.16093556723139E-5</v>
      </c>
      <c r="D39221" s="1">
        <v>4.5528080202265997E-6</v>
      </c>
      <c r="E39221" s="1">
        <v>4.3455399550671099E-6</v>
      </c>
      <c r="F39221" s="1">
        <v>2.00959971857645E-5</v>
      </c>
    </row>
    <row r="39222" spans="1:6" x14ac:dyDescent="0.25">
      <c r="A39222" s="2" t="str">
        <f t="shared" si="1274"/>
        <v>99999</v>
      </c>
      <c r="B39222" s="2" t="str">
        <f>"12961"</f>
        <v>12961</v>
      </c>
      <c r="C39222" s="1">
        <v>4.4746645584084504E-6</v>
      </c>
      <c r="D39222" s="1">
        <v>0</v>
      </c>
      <c r="E39222" s="1">
        <v>4.3455399550671099E-6</v>
      </c>
      <c r="F39222" s="1">
        <v>4.1783756524856902E-6</v>
      </c>
    </row>
    <row r="39223" spans="1:6" x14ac:dyDescent="0.25">
      <c r="A39223" s="2" t="str">
        <f t="shared" si="1274"/>
        <v>99999</v>
      </c>
      <c r="B39223" s="2" t="str">
        <f>"12956"</f>
        <v>12956</v>
      </c>
      <c r="C39223" s="1">
        <v>4.70385469432693E-5</v>
      </c>
      <c r="D39223" s="1">
        <v>3.0352053468177301E-6</v>
      </c>
      <c r="E39223" s="1">
        <v>2.1727699775335501E-5</v>
      </c>
      <c r="F39223" s="1">
        <v>4.35744889473507E-5</v>
      </c>
    </row>
    <row r="39224" spans="1:6" x14ac:dyDescent="0.25">
      <c r="A39224" s="2" t="str">
        <f t="shared" si="1274"/>
        <v>99999</v>
      </c>
      <c r="B39224" s="2" t="str">
        <f>"12943"</f>
        <v>12943</v>
      </c>
      <c r="C39224" s="1">
        <v>2.13910793523916E-5</v>
      </c>
      <c r="D39224" s="1">
        <v>9.1056160404532095E-6</v>
      </c>
      <c r="E39224" s="1">
        <v>8.69107991013423E-6</v>
      </c>
      <c r="F39224" s="1">
        <v>2.0294967454930399E-5</v>
      </c>
    </row>
    <row r="39225" spans="1:6" x14ac:dyDescent="0.25">
      <c r="A39225" s="2" t="str">
        <f t="shared" si="1274"/>
        <v>99999</v>
      </c>
      <c r="B39225" s="2" t="str">
        <f>"12942"</f>
        <v>12942</v>
      </c>
      <c r="C39225" s="1">
        <v>3.1650066388742699E-5</v>
      </c>
      <c r="D39225" s="1">
        <v>1.66936294074975E-5</v>
      </c>
      <c r="E39225" s="1">
        <v>2.1727699775335501E-5</v>
      </c>
      <c r="F39225" s="1">
        <v>3.0442451182395699E-5</v>
      </c>
    </row>
    <row r="39226" spans="1:6" x14ac:dyDescent="0.25">
      <c r="A39226" s="2" t="str">
        <f t="shared" si="1274"/>
        <v>99999</v>
      </c>
      <c r="B39226" s="2" t="str">
        <f>"12855"</f>
        <v>12855</v>
      </c>
      <c r="C39226" s="1">
        <v>1.4078822634992399E-5</v>
      </c>
      <c r="D39226" s="1">
        <v>1.51760267340886E-6</v>
      </c>
      <c r="E39226" s="1">
        <v>4.3455399550671099E-6</v>
      </c>
      <c r="F39226" s="1">
        <v>1.3032552630372001E-5</v>
      </c>
    </row>
    <row r="39227" spans="1:6" x14ac:dyDescent="0.25">
      <c r="A39227" s="2" t="str">
        <f t="shared" si="1274"/>
        <v>99999</v>
      </c>
      <c r="B39227" s="2" t="str">
        <f>"12736"</f>
        <v>12736</v>
      </c>
      <c r="C39227" s="1">
        <v>2.6193158390683598E-6</v>
      </c>
      <c r="D39227" s="1">
        <v>6.0704106936354696E-6</v>
      </c>
      <c r="E39227" s="1">
        <v>4.3455399550671099E-6</v>
      </c>
      <c r="F39227" s="1">
        <v>2.8850689029067799E-6</v>
      </c>
    </row>
    <row r="39228" spans="1:6" x14ac:dyDescent="0.25">
      <c r="A39228" s="2" t="str">
        <f t="shared" si="1274"/>
        <v>99999</v>
      </c>
      <c r="B39228" s="2" t="str">
        <f>"12750"</f>
        <v>12750</v>
      </c>
      <c r="C39228" s="1">
        <v>3.05586847891308E-6</v>
      </c>
      <c r="D39228" s="1">
        <v>3.0352053468177301E-6</v>
      </c>
      <c r="E39228" s="1">
        <v>4.3455399550671099E-6</v>
      </c>
      <c r="F39228" s="1">
        <v>3.0840391720727701E-6</v>
      </c>
    </row>
    <row r="39229" spans="1:6" x14ac:dyDescent="0.25">
      <c r="A39229" s="2" t="str">
        <f t="shared" si="1274"/>
        <v>99999</v>
      </c>
      <c r="B39229" s="2" t="str">
        <f>"12763"</f>
        <v>12763</v>
      </c>
      <c r="C39229" s="1">
        <v>3.4705934867655701E-5</v>
      </c>
      <c r="D39229" s="1">
        <v>1.3658424060679801E-5</v>
      </c>
      <c r="E39229" s="1">
        <v>3.47643196405369E-5</v>
      </c>
      <c r="F39229" s="1">
        <v>3.3327520085302503E-5</v>
      </c>
    </row>
    <row r="39230" spans="1:6" x14ac:dyDescent="0.25">
      <c r="A39230" s="2" t="str">
        <f t="shared" si="1274"/>
        <v>99999</v>
      </c>
      <c r="B39230" s="2" t="str">
        <f>"12760"</f>
        <v>12760</v>
      </c>
      <c r="C39230" s="1">
        <v>5.1622349661638898E-5</v>
      </c>
      <c r="D39230" s="1">
        <v>7.5880133670443404E-6</v>
      </c>
      <c r="E39230" s="1">
        <v>5.21464794608054E-5</v>
      </c>
      <c r="F39230" s="1">
        <v>4.8747715945666297E-5</v>
      </c>
    </row>
    <row r="39231" spans="1:6" x14ac:dyDescent="0.25">
      <c r="A39231" s="2" t="str">
        <f t="shared" si="1274"/>
        <v>99999</v>
      </c>
      <c r="B39231" s="2" t="str">
        <f>"12734"</f>
        <v>12734</v>
      </c>
      <c r="C39231" s="1">
        <v>5.4023389180784903E-5</v>
      </c>
      <c r="D39231" s="1">
        <v>1.4720745932066001E-4</v>
      </c>
      <c r="E39231" s="1">
        <v>1.17329578786812E-4</v>
      </c>
      <c r="F39231" s="1">
        <v>6.1581298306872401E-5</v>
      </c>
    </row>
    <row r="39232" spans="1:6" x14ac:dyDescent="0.25">
      <c r="A39232" s="2" t="str">
        <f t="shared" si="1274"/>
        <v>99999</v>
      </c>
      <c r="B39232" s="2" t="str">
        <f>"12720"</f>
        <v>12720</v>
      </c>
      <c r="C39232" s="1">
        <v>9.3858817566616205E-6</v>
      </c>
      <c r="D39232" s="1">
        <v>1.51760267340886E-6</v>
      </c>
      <c r="E39232" s="1">
        <v>2.1727699775335501E-5</v>
      </c>
      <c r="F39232" s="1">
        <v>9.1526323816353195E-6</v>
      </c>
    </row>
    <row r="39233" spans="1:6" x14ac:dyDescent="0.25">
      <c r="A39233" s="2" t="str">
        <f t="shared" si="1274"/>
        <v>99999</v>
      </c>
      <c r="B39233" s="2" t="str">
        <f>"12719"</f>
        <v>12719</v>
      </c>
      <c r="C39233" s="1">
        <v>6.1335645898184094E-5</v>
      </c>
      <c r="D39233" s="1">
        <v>4.7045682875674899E-5</v>
      </c>
      <c r="E39233" s="1">
        <v>4.3455399550671099E-6</v>
      </c>
      <c r="F39233" s="1">
        <v>5.90941699422976E-5</v>
      </c>
    </row>
    <row r="39234" spans="1:6" x14ac:dyDescent="0.25">
      <c r="A39234" s="2" t="str">
        <f t="shared" si="1274"/>
        <v>99999</v>
      </c>
      <c r="B39234" s="2" t="str">
        <f>"12701"</f>
        <v>12701</v>
      </c>
      <c r="C39234" s="1">
        <v>8.3032312098466998E-4</v>
      </c>
      <c r="D39234" s="1">
        <v>1.3521839820073E-3</v>
      </c>
      <c r="E39234" s="1">
        <v>2.9593127094007E-3</v>
      </c>
      <c r="F39234" s="1">
        <v>9.1327353547187196E-4</v>
      </c>
    </row>
    <row r="39235" spans="1:6" x14ac:dyDescent="0.25">
      <c r="A39235" s="2" t="str">
        <f t="shared" si="1274"/>
        <v>99999</v>
      </c>
      <c r="B39235" s="2" t="str">
        <f>"12732"</f>
        <v>12732</v>
      </c>
      <c r="C39235" s="1">
        <v>4.6711132463385699E-5</v>
      </c>
      <c r="D39235" s="1">
        <v>2.1246437427724101E-5</v>
      </c>
      <c r="E39235" s="1">
        <v>3.9109859595604001E-5</v>
      </c>
      <c r="F39235" s="1">
        <v>4.4867795696929599E-5</v>
      </c>
    </row>
    <row r="39236" spans="1:6" x14ac:dyDescent="0.25">
      <c r="A39236" s="2" t="str">
        <f t="shared" si="1274"/>
        <v>99999</v>
      </c>
      <c r="B39236" s="2" t="str">
        <f>"12459"</f>
        <v>12459</v>
      </c>
      <c r="C39236" s="1">
        <v>8.0762238371274393E-6</v>
      </c>
      <c r="D39236" s="1">
        <v>0</v>
      </c>
      <c r="E39236" s="1">
        <v>4.3455399550671099E-6</v>
      </c>
      <c r="F39236" s="1">
        <v>7.4613850937244396E-6</v>
      </c>
    </row>
    <row r="39237" spans="1:6" x14ac:dyDescent="0.25">
      <c r="A39237" s="2" t="str">
        <f t="shared" si="1274"/>
        <v>99999</v>
      </c>
      <c r="B39237" s="2" t="str">
        <f>"12451"</f>
        <v>12451</v>
      </c>
      <c r="C39237" s="1">
        <v>7.6614988292749499E-5</v>
      </c>
      <c r="D39237" s="1">
        <v>3.1869656141586203E-5</v>
      </c>
      <c r="E39237" s="1">
        <v>5.21464794608054E-5</v>
      </c>
      <c r="F39237" s="1">
        <v>7.3121573918499496E-5</v>
      </c>
    </row>
    <row r="39238" spans="1:6" x14ac:dyDescent="0.25">
      <c r="A39238" s="2" t="str">
        <f t="shared" si="1274"/>
        <v>99999</v>
      </c>
      <c r="B39238" s="2" t="str">
        <f>"12093"</f>
        <v>12093</v>
      </c>
      <c r="C39238" s="1">
        <v>2.1063664872508E-5</v>
      </c>
      <c r="D39238" s="1">
        <v>6.0704106936354696E-6</v>
      </c>
      <c r="E39238" s="1">
        <v>8.69107991013423E-6</v>
      </c>
      <c r="F39238" s="1">
        <v>1.9797541782015501E-5</v>
      </c>
    </row>
    <row r="39239" spans="1:6" x14ac:dyDescent="0.25">
      <c r="A39239" s="2" t="str">
        <f t="shared" si="1274"/>
        <v>99999</v>
      </c>
      <c r="B39239" s="2" t="str">
        <f>"12405"</f>
        <v>12405</v>
      </c>
      <c r="C39239" s="1">
        <v>3.4487658547733398E-5</v>
      </c>
      <c r="D39239" s="1">
        <v>6.0704106936354696E-6</v>
      </c>
      <c r="E39239" s="1">
        <v>6.0837559370939603E-5</v>
      </c>
      <c r="F39239" s="1">
        <v>3.3228034950719498E-5</v>
      </c>
    </row>
    <row r="39240" spans="1:6" x14ac:dyDescent="0.25">
      <c r="A39240" s="2" t="str">
        <f t="shared" si="1274"/>
        <v>99999</v>
      </c>
      <c r="B39240" s="2" t="str">
        <f>"12032"</f>
        <v>12032</v>
      </c>
      <c r="C39240" s="1">
        <v>1.85534871934008E-6</v>
      </c>
      <c r="D39240" s="1">
        <v>0</v>
      </c>
      <c r="E39240" s="1">
        <v>0</v>
      </c>
      <c r="F39240" s="1">
        <v>1.6912472879108699E-6</v>
      </c>
    </row>
    <row r="39241" spans="1:6" x14ac:dyDescent="0.25">
      <c r="A39241" s="2" t="str">
        <f t="shared" si="1274"/>
        <v>99999</v>
      </c>
      <c r="B39241" s="2" t="str">
        <f>"12051"</f>
        <v>12051</v>
      </c>
      <c r="C39241" s="1">
        <v>1.8673539169358099E-4</v>
      </c>
      <c r="D39241" s="1">
        <v>1.57830678034522E-4</v>
      </c>
      <c r="E39241" s="1">
        <v>5.7795681402392598E-4</v>
      </c>
      <c r="F39241" s="1">
        <v>1.9379704216766899E-4</v>
      </c>
    </row>
    <row r="39242" spans="1:6" x14ac:dyDescent="0.25">
      <c r="A39242" s="2" t="str">
        <f t="shared" si="1274"/>
        <v>99999</v>
      </c>
      <c r="B39242" s="2" t="str">
        <f>"12015"</f>
        <v>12015</v>
      </c>
      <c r="C39242" s="1">
        <v>1.9110091809202901E-4</v>
      </c>
      <c r="D39242" s="1">
        <v>1.27478624566345E-4</v>
      </c>
      <c r="E39242" s="1">
        <v>1.9554929797801999E-4</v>
      </c>
      <c r="F39242" s="1">
        <v>1.8703205301602601E-4</v>
      </c>
    </row>
    <row r="39243" spans="1:6" x14ac:dyDescent="0.25">
      <c r="A39243" s="2" t="str">
        <f t="shared" si="1274"/>
        <v>99999</v>
      </c>
      <c r="B39243" s="2" t="str">
        <f>"89415"</f>
        <v>89415</v>
      </c>
      <c r="C39243" s="1">
        <v>5.45690799805908E-5</v>
      </c>
      <c r="D39243" s="1">
        <v>1.66936294074975E-5</v>
      </c>
      <c r="E39243" s="1">
        <v>6.9528639281073797E-4</v>
      </c>
      <c r="F39243" s="1">
        <v>6.6754525305187998E-5</v>
      </c>
    </row>
    <row r="39244" spans="1:6" x14ac:dyDescent="0.25">
      <c r="A39244" s="2" t="str">
        <f t="shared" si="1274"/>
        <v>99999</v>
      </c>
      <c r="B39244" s="2" t="str">
        <f>"89047"</f>
        <v>89047</v>
      </c>
      <c r="C39244" s="1">
        <v>0</v>
      </c>
      <c r="D39244" s="1">
        <v>0</v>
      </c>
      <c r="E39244" s="1">
        <v>8.69107991013423E-6</v>
      </c>
      <c r="F39244" s="1">
        <v>1.9897026916598501E-7</v>
      </c>
    </row>
    <row r="39245" spans="1:6" x14ac:dyDescent="0.25">
      <c r="A39245" s="2" t="str">
        <f t="shared" si="1274"/>
        <v>99999</v>
      </c>
      <c r="B39245" s="2" t="str">
        <f>"89043"</f>
        <v>89043</v>
      </c>
      <c r="C39245" s="1">
        <v>1.8990039833245598E-5</v>
      </c>
      <c r="D39245" s="1">
        <v>1.0623218713862E-5</v>
      </c>
      <c r="E39245" s="1">
        <v>1.31669860638533E-3</v>
      </c>
      <c r="F39245" s="1">
        <v>4.8150805138168401E-5</v>
      </c>
    </row>
    <row r="39246" spans="1:6" x14ac:dyDescent="0.25">
      <c r="A39246" s="2" t="str">
        <f t="shared" si="1274"/>
        <v>99999</v>
      </c>
      <c r="B39246" s="2" t="str">
        <f>"89013"</f>
        <v>89013</v>
      </c>
      <c r="C39246" s="1">
        <v>5.4569079980590803E-6</v>
      </c>
      <c r="D39246" s="1">
        <v>7.5880133670443404E-6</v>
      </c>
      <c r="E39246" s="1">
        <v>0</v>
      </c>
      <c r="F39246" s="1">
        <v>5.4716824020645896E-6</v>
      </c>
    </row>
    <row r="39247" spans="1:6" x14ac:dyDescent="0.25">
      <c r="A39247" s="2" t="str">
        <f t="shared" si="1274"/>
        <v>99999</v>
      </c>
      <c r="B39247" s="2" t="str">
        <f>"88436"</f>
        <v>88436</v>
      </c>
      <c r="C39247" s="1">
        <v>2.1063664872508E-5</v>
      </c>
      <c r="D39247" s="1">
        <v>6.0704106936354696E-6</v>
      </c>
      <c r="E39247" s="1">
        <v>4.3455399550671099E-6</v>
      </c>
      <c r="F39247" s="1">
        <v>1.96980566474325E-5</v>
      </c>
    </row>
    <row r="39248" spans="1:6" x14ac:dyDescent="0.25">
      <c r="A39248" s="2" t="str">
        <f t="shared" si="1274"/>
        <v>99999</v>
      </c>
      <c r="B39248" s="2" t="str">
        <f>"88434"</f>
        <v>88434</v>
      </c>
      <c r="C39248" s="1">
        <v>1.47336515947595E-5</v>
      </c>
      <c r="D39248" s="1">
        <v>1.21408213872709E-5</v>
      </c>
      <c r="E39248" s="1">
        <v>4.3455399550671099E-6</v>
      </c>
      <c r="F39248" s="1">
        <v>1.43258593799509E-5</v>
      </c>
    </row>
    <row r="39249" spans="1:6" x14ac:dyDescent="0.25">
      <c r="A39249" s="2" t="str">
        <f t="shared" si="1274"/>
        <v>99999</v>
      </c>
      <c r="B39249" s="2" t="str">
        <f>"88431"</f>
        <v>88431</v>
      </c>
      <c r="C39249" s="1">
        <v>5.2386316781367196E-6</v>
      </c>
      <c r="D39249" s="1">
        <v>0</v>
      </c>
      <c r="E39249" s="1">
        <v>1.3036619865201299E-5</v>
      </c>
      <c r="F39249" s="1">
        <v>5.0737418637326201E-6</v>
      </c>
    </row>
    <row r="39250" spans="1:6" x14ac:dyDescent="0.25">
      <c r="A39250" s="2" t="str">
        <f t="shared" ref="A39250:A39313" si="1275">"99999"</f>
        <v>99999</v>
      </c>
      <c r="B39250" s="2" t="str">
        <f>"87710"</f>
        <v>87710</v>
      </c>
      <c r="C39250" s="1">
        <v>1.09138159961181E-7</v>
      </c>
      <c r="D39250" s="1">
        <v>0</v>
      </c>
      <c r="E39250" s="1">
        <v>5.6492019415872502E-5</v>
      </c>
      <c r="F39250" s="1">
        <v>1.39279188416189E-6</v>
      </c>
    </row>
    <row r="39251" spans="1:6" x14ac:dyDescent="0.25">
      <c r="A39251" s="2" t="str">
        <f t="shared" si="1275"/>
        <v>99999</v>
      </c>
      <c r="B39251" s="2" t="str">
        <f>"87827"</f>
        <v>87827</v>
      </c>
      <c r="C39251" s="1">
        <v>2.1281941192430401E-5</v>
      </c>
      <c r="D39251" s="1">
        <v>7.5880133670443404E-6</v>
      </c>
      <c r="E39251" s="1">
        <v>4.3455399550671099E-6</v>
      </c>
      <c r="F39251" s="1">
        <v>1.9996512051181498E-5</v>
      </c>
    </row>
    <row r="39252" spans="1:6" x14ac:dyDescent="0.25">
      <c r="A39252" s="2" t="str">
        <f t="shared" si="1275"/>
        <v>99999</v>
      </c>
      <c r="B39252" s="2" t="str">
        <f>"87832"</f>
        <v>87832</v>
      </c>
      <c r="C39252" s="1">
        <v>8.9493291168169008E-6</v>
      </c>
      <c r="D39252" s="1">
        <v>0</v>
      </c>
      <c r="E39252" s="1">
        <v>8.69107991013423E-6</v>
      </c>
      <c r="F39252" s="1">
        <v>8.3567513049713805E-6</v>
      </c>
    </row>
    <row r="39253" spans="1:6" x14ac:dyDescent="0.25">
      <c r="A39253" s="2" t="str">
        <f t="shared" si="1275"/>
        <v>99999</v>
      </c>
      <c r="B39253" s="2" t="str">
        <f>"87824"</f>
        <v>87824</v>
      </c>
      <c r="C39253" s="1">
        <v>0</v>
      </c>
      <c r="D39253" s="1">
        <v>0</v>
      </c>
      <c r="E39253" s="1">
        <v>4.3455399550671099E-6</v>
      </c>
      <c r="F39253" s="1">
        <v>9.9485134582992598E-8</v>
      </c>
    </row>
    <row r="39254" spans="1:6" x14ac:dyDescent="0.25">
      <c r="A39254" s="2" t="str">
        <f t="shared" si="1275"/>
        <v>99999</v>
      </c>
      <c r="B39254" s="2" t="str">
        <f>"87733"</f>
        <v>87733</v>
      </c>
      <c r="C39254" s="1">
        <v>3.3832829587966299E-6</v>
      </c>
      <c r="D39254" s="1">
        <v>3.0352053468177301E-6</v>
      </c>
      <c r="E39254" s="1">
        <v>3.0418779685469802E-5</v>
      </c>
      <c r="F39254" s="1">
        <v>3.9794053833197E-6</v>
      </c>
    </row>
    <row r="39255" spans="1:6" x14ac:dyDescent="0.25">
      <c r="A39255" s="2" t="str">
        <f t="shared" si="1275"/>
        <v>99999</v>
      </c>
      <c r="B39255" s="2" t="str">
        <f>"87821"</f>
        <v>87821</v>
      </c>
      <c r="C39255" s="1">
        <v>3.4924211187578099E-5</v>
      </c>
      <c r="D39255" s="1">
        <v>0</v>
      </c>
      <c r="E39255" s="1">
        <v>4.3455399550671099E-6</v>
      </c>
      <c r="F39255" s="1">
        <v>3.1934728201140598E-5</v>
      </c>
    </row>
    <row r="39256" spans="1:6" x14ac:dyDescent="0.25">
      <c r="A39256" s="2" t="str">
        <f t="shared" si="1275"/>
        <v>99999</v>
      </c>
      <c r="B39256" s="2" t="str">
        <f>"88136"</f>
        <v>88136</v>
      </c>
      <c r="C39256" s="1">
        <v>3.6015592787189902E-6</v>
      </c>
      <c r="D39256" s="1">
        <v>1.51760267340886E-6</v>
      </c>
      <c r="E39256" s="1">
        <v>0</v>
      </c>
      <c r="F39256" s="1">
        <v>3.3824945758217398E-6</v>
      </c>
    </row>
    <row r="39257" spans="1:6" x14ac:dyDescent="0.25">
      <c r="A39257" s="2" t="str">
        <f t="shared" si="1275"/>
        <v>99999</v>
      </c>
      <c r="B39257" s="2" t="str">
        <f>"86545"</f>
        <v>86545</v>
      </c>
      <c r="C39257" s="1">
        <v>0</v>
      </c>
      <c r="D39257" s="1">
        <v>0</v>
      </c>
      <c r="E39257" s="1">
        <v>4.3455399550671099E-6</v>
      </c>
      <c r="F39257" s="1">
        <v>9.9485134582992598E-8</v>
      </c>
    </row>
    <row r="39258" spans="1:6" x14ac:dyDescent="0.25">
      <c r="A39258" s="2" t="str">
        <f t="shared" si="1275"/>
        <v>99999</v>
      </c>
      <c r="B39258" s="2" t="str">
        <f>"86535"</f>
        <v>86535</v>
      </c>
      <c r="C39258" s="1">
        <v>0</v>
      </c>
      <c r="D39258" s="1">
        <v>1.51760267340886E-6</v>
      </c>
      <c r="E39258" s="1">
        <v>0</v>
      </c>
      <c r="F39258" s="1">
        <v>9.9485134582992598E-8</v>
      </c>
    </row>
    <row r="39259" spans="1:6" x14ac:dyDescent="0.25">
      <c r="A39259" s="2" t="str">
        <f t="shared" si="1275"/>
        <v>99999</v>
      </c>
      <c r="B39259" s="2" t="str">
        <f>"86508"</f>
        <v>86508</v>
      </c>
      <c r="C39259" s="1">
        <v>0</v>
      </c>
      <c r="D39259" s="1">
        <v>3.0352053468177301E-6</v>
      </c>
      <c r="E39259" s="1">
        <v>0</v>
      </c>
      <c r="F39259" s="1">
        <v>1.9897026916598501E-7</v>
      </c>
    </row>
    <row r="39260" spans="1:6" x14ac:dyDescent="0.25">
      <c r="A39260" s="2" t="str">
        <f t="shared" si="1275"/>
        <v>99999</v>
      </c>
      <c r="B39260" s="2" t="str">
        <f>"86028"</f>
        <v>86028</v>
      </c>
      <c r="C39260" s="1">
        <v>0</v>
      </c>
      <c r="D39260" s="1">
        <v>0</v>
      </c>
      <c r="E39260" s="1">
        <v>4.3455399550671099E-6</v>
      </c>
      <c r="F39260" s="1">
        <v>9.9485134582992598E-8</v>
      </c>
    </row>
    <row r="39261" spans="1:6" x14ac:dyDescent="0.25">
      <c r="A39261" s="2" t="str">
        <f t="shared" si="1275"/>
        <v>99999</v>
      </c>
      <c r="B39261" s="2" t="str">
        <f>"85346"</f>
        <v>85346</v>
      </c>
      <c r="C39261" s="1">
        <v>2.58984853587884E-4</v>
      </c>
      <c r="D39261" s="1">
        <v>1.3354903525998E-4</v>
      </c>
      <c r="E39261" s="1">
        <v>8.69107991013423E-6</v>
      </c>
      <c r="F39261" s="1">
        <v>2.4503188647791E-4</v>
      </c>
    </row>
    <row r="39262" spans="1:6" x14ac:dyDescent="0.25">
      <c r="A39262" s="2" t="str">
        <f t="shared" si="1275"/>
        <v>99999</v>
      </c>
      <c r="B39262" s="2" t="str">
        <f>"84752"</f>
        <v>84752</v>
      </c>
      <c r="C39262" s="1">
        <v>0</v>
      </c>
      <c r="D39262" s="1">
        <v>0</v>
      </c>
      <c r="E39262" s="1">
        <v>4.3455399550671099E-6</v>
      </c>
      <c r="F39262" s="1">
        <v>9.9485134582992598E-8</v>
      </c>
    </row>
    <row r="39263" spans="1:6" x14ac:dyDescent="0.25">
      <c r="A39263" s="2" t="str">
        <f t="shared" si="1275"/>
        <v>99999</v>
      </c>
      <c r="B39263" s="2" t="str">
        <f>"84759"</f>
        <v>84759</v>
      </c>
      <c r="C39263" s="1">
        <v>2.3792118871537602E-5</v>
      </c>
      <c r="D39263" s="1">
        <v>1.8211232080906399E-5</v>
      </c>
      <c r="E39263" s="1">
        <v>1.3036619865201299E-5</v>
      </c>
      <c r="F39263" s="1">
        <v>2.31800363578372E-5</v>
      </c>
    </row>
    <row r="39264" spans="1:6" x14ac:dyDescent="0.25">
      <c r="A39264" s="2" t="str">
        <f t="shared" si="1275"/>
        <v>99999</v>
      </c>
      <c r="B39264" s="2" t="str">
        <f>"84735"</f>
        <v>84735</v>
      </c>
      <c r="C39264" s="1">
        <v>1.5825033194371299E-5</v>
      </c>
      <c r="D39264" s="1">
        <v>2.4281642774541899E-5</v>
      </c>
      <c r="E39264" s="1">
        <v>4.3455399550671099E-6</v>
      </c>
      <c r="F39264" s="1">
        <v>1.61165918024448E-5</v>
      </c>
    </row>
    <row r="39265" spans="1:6" x14ac:dyDescent="0.25">
      <c r="A39265" s="2" t="str">
        <f t="shared" si="1275"/>
        <v>99999</v>
      </c>
      <c r="B39265" s="2" t="str">
        <f>"84713"</f>
        <v>84713</v>
      </c>
      <c r="C39265" s="1">
        <v>1.05973153322307E-4</v>
      </c>
      <c r="D39265" s="1">
        <v>7.5880133670443404E-6</v>
      </c>
      <c r="E39265" s="1">
        <v>5.21464794608054E-5</v>
      </c>
      <c r="F39265" s="1">
        <v>9.8291312967996704E-5</v>
      </c>
    </row>
    <row r="39266" spans="1:6" x14ac:dyDescent="0.25">
      <c r="A39266" s="2" t="str">
        <f t="shared" si="1275"/>
        <v>99999</v>
      </c>
      <c r="B39266" s="2" t="str">
        <f>"84632"</f>
        <v>84632</v>
      </c>
      <c r="C39266" s="1">
        <v>3.2741447988354498E-7</v>
      </c>
      <c r="D39266" s="1">
        <v>0</v>
      </c>
      <c r="E39266" s="1">
        <v>4.3455399550671099E-6</v>
      </c>
      <c r="F39266" s="1">
        <v>3.9794053833197002E-7</v>
      </c>
    </row>
    <row r="39267" spans="1:6" x14ac:dyDescent="0.25">
      <c r="A39267" s="2" t="str">
        <f t="shared" si="1275"/>
        <v>99999</v>
      </c>
      <c r="B39267" s="2" t="str">
        <f>"84620"</f>
        <v>84620</v>
      </c>
      <c r="C39267" s="1">
        <v>3.4924211187578098E-6</v>
      </c>
      <c r="D39267" s="1">
        <v>0</v>
      </c>
      <c r="E39267" s="1">
        <v>8.69107991013423E-6</v>
      </c>
      <c r="F39267" s="1">
        <v>3.3824945758217398E-6</v>
      </c>
    </row>
    <row r="39268" spans="1:6" x14ac:dyDescent="0.25">
      <c r="A39268" s="2" t="str">
        <f t="shared" si="1275"/>
        <v>99999</v>
      </c>
      <c r="B39268" s="2" t="str">
        <f>"84646"</f>
        <v>84646</v>
      </c>
      <c r="C39268" s="1">
        <v>4.2891296864744402E-5</v>
      </c>
      <c r="D39268" s="1">
        <v>1.51760267340886E-6</v>
      </c>
      <c r="E39268" s="1">
        <v>1.7382159820268399E-5</v>
      </c>
      <c r="F39268" s="1">
        <v>3.9595083564031003E-5</v>
      </c>
    </row>
    <row r="39269" spans="1:6" x14ac:dyDescent="0.25">
      <c r="A39269" s="2" t="str">
        <f t="shared" si="1275"/>
        <v>99999</v>
      </c>
      <c r="B39269" s="2" t="str">
        <f>"84052"</f>
        <v>84052</v>
      </c>
      <c r="C39269" s="1">
        <v>5.3805112860862499E-5</v>
      </c>
      <c r="D39269" s="1">
        <v>1.3658424060679801E-5</v>
      </c>
      <c r="E39269" s="1">
        <v>8.69107991013423E-6</v>
      </c>
      <c r="F39269" s="1">
        <v>5.0140507829828202E-5</v>
      </c>
    </row>
    <row r="39270" spans="1:6" x14ac:dyDescent="0.25">
      <c r="A39270" s="2" t="str">
        <f t="shared" si="1275"/>
        <v>99999</v>
      </c>
      <c r="B39270" s="2" t="str">
        <f>"84073"</f>
        <v>84073</v>
      </c>
      <c r="C39270" s="1">
        <v>9.2767435967004401E-6</v>
      </c>
      <c r="D39270" s="1">
        <v>0</v>
      </c>
      <c r="E39270" s="1">
        <v>8.69107991013423E-6</v>
      </c>
      <c r="F39270" s="1">
        <v>8.6552067087203506E-6</v>
      </c>
    </row>
    <row r="39271" spans="1:6" x14ac:dyDescent="0.25">
      <c r="A39271" s="2" t="str">
        <f t="shared" si="1275"/>
        <v>99999</v>
      </c>
      <c r="B39271" s="2" t="str">
        <f>"84072"</f>
        <v>84072</v>
      </c>
      <c r="C39271" s="1">
        <v>6.0025987978649897E-6</v>
      </c>
      <c r="D39271" s="1">
        <v>3.0352053468177301E-6</v>
      </c>
      <c r="E39271" s="1">
        <v>4.3455399550671099E-6</v>
      </c>
      <c r="F39271" s="1">
        <v>5.7701378058135699E-6</v>
      </c>
    </row>
    <row r="39272" spans="1:6" x14ac:dyDescent="0.25">
      <c r="A39272" s="2" t="str">
        <f t="shared" si="1275"/>
        <v>99999</v>
      </c>
      <c r="B39272" s="2" t="str">
        <f>"83853"</f>
        <v>83853</v>
      </c>
      <c r="C39272" s="1">
        <v>0</v>
      </c>
      <c r="D39272" s="1">
        <v>0</v>
      </c>
      <c r="E39272" s="1">
        <v>4.3455399550671099E-6</v>
      </c>
      <c r="F39272" s="1">
        <v>9.9485134582992598E-8</v>
      </c>
    </row>
    <row r="39273" spans="1:6" x14ac:dyDescent="0.25">
      <c r="A39273" s="2" t="str">
        <f t="shared" si="1275"/>
        <v>99999</v>
      </c>
      <c r="B39273" s="2" t="str">
        <f>"84002"</f>
        <v>84002</v>
      </c>
      <c r="C39273" s="1">
        <v>7.3122567173991701E-6</v>
      </c>
      <c r="D39273" s="1">
        <v>0</v>
      </c>
      <c r="E39273" s="1">
        <v>8.69107991013423E-6</v>
      </c>
      <c r="F39273" s="1">
        <v>6.86447428622649E-6</v>
      </c>
    </row>
    <row r="39274" spans="1:6" x14ac:dyDescent="0.25">
      <c r="A39274" s="2" t="str">
        <f t="shared" si="1275"/>
        <v>99999</v>
      </c>
      <c r="B39274" s="2" t="str">
        <f>"84001"</f>
        <v>84001</v>
      </c>
      <c r="C39274" s="1">
        <v>9.0584672767780794E-6</v>
      </c>
      <c r="D39274" s="1">
        <v>1.51760267340886E-6</v>
      </c>
      <c r="E39274" s="1">
        <v>0</v>
      </c>
      <c r="F39274" s="1">
        <v>8.3567513049713805E-6</v>
      </c>
    </row>
    <row r="39275" spans="1:6" x14ac:dyDescent="0.25">
      <c r="A39275" s="2" t="str">
        <f t="shared" si="1275"/>
        <v>99999</v>
      </c>
      <c r="B39275" s="2" t="str">
        <f>"83851"</f>
        <v>83851</v>
      </c>
      <c r="C39275" s="1">
        <v>5.5223908940357899E-5</v>
      </c>
      <c r="D39275" s="1">
        <v>5.0080888222492601E-5</v>
      </c>
      <c r="E39275" s="1">
        <v>1.17329578786812E-4</v>
      </c>
      <c r="F39275" s="1">
        <v>5.6308586173973798E-5</v>
      </c>
    </row>
    <row r="39276" spans="1:6" x14ac:dyDescent="0.25">
      <c r="A39276" s="2" t="str">
        <f t="shared" si="1275"/>
        <v>99999</v>
      </c>
      <c r="B39276" s="2" t="str">
        <f>"83837"</f>
        <v>83837</v>
      </c>
      <c r="C39276" s="1">
        <v>2.6564228134551602E-4</v>
      </c>
      <c r="D39276" s="1">
        <v>4.7500963677697602E-4</v>
      </c>
      <c r="E39276" s="1">
        <v>5.7361127406885899E-4</v>
      </c>
      <c r="F39276" s="1">
        <v>2.86417702464435E-4</v>
      </c>
    </row>
    <row r="39277" spans="1:6" x14ac:dyDescent="0.25">
      <c r="A39277" s="2" t="str">
        <f t="shared" si="1275"/>
        <v>99999</v>
      </c>
      <c r="B39277" s="2" t="str">
        <f>"83824"</f>
        <v>83824</v>
      </c>
      <c r="C39277" s="1">
        <v>8.9493291168169008E-6</v>
      </c>
      <c r="D39277" s="1">
        <v>0</v>
      </c>
      <c r="E39277" s="1">
        <v>4.3455399550671103E-5</v>
      </c>
      <c r="F39277" s="1">
        <v>9.1526323816353195E-6</v>
      </c>
    </row>
    <row r="39278" spans="1:6" x14ac:dyDescent="0.25">
      <c r="A39278" s="2" t="str">
        <f t="shared" si="1275"/>
        <v>99999</v>
      </c>
      <c r="B39278" s="2" t="str">
        <f>"83463"</f>
        <v>83463</v>
      </c>
      <c r="C39278" s="1">
        <v>7.8579475172050803E-6</v>
      </c>
      <c r="D39278" s="1">
        <v>1.51760267340886E-6</v>
      </c>
      <c r="E39278" s="1">
        <v>4.3455399550671099E-6</v>
      </c>
      <c r="F39278" s="1">
        <v>7.3618999591414504E-6</v>
      </c>
    </row>
    <row r="39279" spans="1:6" x14ac:dyDescent="0.25">
      <c r="A39279" s="2" t="str">
        <f t="shared" si="1275"/>
        <v>99999</v>
      </c>
      <c r="B39279" s="2" t="str">
        <f>"83423"</f>
        <v>83423</v>
      </c>
      <c r="C39279" s="1">
        <v>1.6916414793983099E-5</v>
      </c>
      <c r="D39279" s="1">
        <v>4.5528080202265997E-6</v>
      </c>
      <c r="E39279" s="1">
        <v>4.3455399550671099E-6</v>
      </c>
      <c r="F39279" s="1">
        <v>1.5818136398695801E-5</v>
      </c>
    </row>
    <row r="39280" spans="1:6" x14ac:dyDescent="0.25">
      <c r="A39280" s="2" t="str">
        <f t="shared" si="1275"/>
        <v>99999</v>
      </c>
      <c r="B39280" s="2" t="str">
        <f>"83462"</f>
        <v>83462</v>
      </c>
      <c r="C39280" s="1">
        <v>1.1132092316040499E-5</v>
      </c>
      <c r="D39280" s="1">
        <v>3.0352053468177301E-6</v>
      </c>
      <c r="E39280" s="1">
        <v>1.3036619865201299E-5</v>
      </c>
      <c r="F39280" s="1">
        <v>1.0644909400380201E-5</v>
      </c>
    </row>
    <row r="39281" spans="1:6" x14ac:dyDescent="0.25">
      <c r="A39281" s="2" t="str">
        <f t="shared" si="1275"/>
        <v>99999</v>
      </c>
      <c r="B39281" s="2" t="str">
        <f>"83355"</f>
        <v>83355</v>
      </c>
      <c r="C39281" s="1">
        <v>2.7513730126213899E-4</v>
      </c>
      <c r="D39281" s="1">
        <v>2.2005238764428599E-4</v>
      </c>
      <c r="E39281" s="1">
        <v>1.30366198652013E-4</v>
      </c>
      <c r="F39281" s="1">
        <v>2.68211922835748E-4</v>
      </c>
    </row>
    <row r="39282" spans="1:6" x14ac:dyDescent="0.25">
      <c r="A39282" s="2" t="str">
        <f t="shared" si="1275"/>
        <v>99999</v>
      </c>
      <c r="B39282" s="2" t="str">
        <f>"83661"</f>
        <v>83661</v>
      </c>
      <c r="C39282" s="1">
        <v>3.2741447988354498E-7</v>
      </c>
      <c r="D39282" s="1">
        <v>0</v>
      </c>
      <c r="E39282" s="1">
        <v>0</v>
      </c>
      <c r="F39282" s="1">
        <v>2.9845540374897701E-7</v>
      </c>
    </row>
    <row r="39283" spans="1:6" x14ac:dyDescent="0.25">
      <c r="A39283" s="2" t="str">
        <f t="shared" si="1275"/>
        <v>99999</v>
      </c>
      <c r="B39283" s="2" t="str">
        <f>"83612"</f>
        <v>83612</v>
      </c>
      <c r="C39283" s="1">
        <v>7.2031185574379894E-5</v>
      </c>
      <c r="D39283" s="1">
        <v>1.5176026734088599E-5</v>
      </c>
      <c r="E39283" s="1">
        <v>3.0418779685469802E-5</v>
      </c>
      <c r="F39283" s="1">
        <v>6.7351436112686003E-5</v>
      </c>
    </row>
    <row r="39284" spans="1:6" x14ac:dyDescent="0.25">
      <c r="A39284" s="2" t="str">
        <f t="shared" si="1275"/>
        <v>99999</v>
      </c>
      <c r="B39284" s="2" t="str">
        <f>"83330"</f>
        <v>83330</v>
      </c>
      <c r="C39284" s="1">
        <v>2.8190386717973201E-4</v>
      </c>
      <c r="D39284" s="1">
        <v>2.8986211062109399E-4</v>
      </c>
      <c r="E39284" s="1">
        <v>2.1293145779828799E-4</v>
      </c>
      <c r="F39284" s="1">
        <v>2.8084653492778801E-4</v>
      </c>
    </row>
    <row r="39285" spans="1:6" x14ac:dyDescent="0.25">
      <c r="A39285" s="2" t="str">
        <f t="shared" si="1275"/>
        <v>99999</v>
      </c>
      <c r="B39285" s="2" t="str">
        <f>"83549"</f>
        <v>83549</v>
      </c>
      <c r="C39285" s="1">
        <v>2.1063664872508E-5</v>
      </c>
      <c r="D39285" s="1">
        <v>6.0704106936354696E-6</v>
      </c>
      <c r="E39285" s="1">
        <v>2.1727699775335501E-5</v>
      </c>
      <c r="F39285" s="1">
        <v>2.00959971857645E-5</v>
      </c>
    </row>
    <row r="39286" spans="1:6" x14ac:dyDescent="0.25">
      <c r="A39286" s="2" t="str">
        <f t="shared" si="1275"/>
        <v>99999</v>
      </c>
      <c r="B39286" s="2" t="str">
        <f>"83543"</f>
        <v>83543</v>
      </c>
      <c r="C39286" s="1">
        <v>1.20051975957299E-5</v>
      </c>
      <c r="D39286" s="1">
        <v>2.2764040101133E-5</v>
      </c>
      <c r="E39286" s="1">
        <v>1.7382159820268399E-5</v>
      </c>
      <c r="F39286" s="1">
        <v>1.2833582361206E-5</v>
      </c>
    </row>
    <row r="39287" spans="1:6" x14ac:dyDescent="0.25">
      <c r="A39287" s="2" t="str">
        <f t="shared" si="1275"/>
        <v>99999</v>
      </c>
      <c r="B39287" s="2" t="str">
        <f>"83553"</f>
        <v>83553</v>
      </c>
      <c r="C39287" s="1">
        <v>3.3832829587966299E-5</v>
      </c>
      <c r="D39287" s="1">
        <v>4.5528080202265997E-6</v>
      </c>
      <c r="E39287" s="1">
        <v>3.0418779685469802E-5</v>
      </c>
      <c r="F39287" s="1">
        <v>3.18352430665576E-5</v>
      </c>
    </row>
    <row r="39288" spans="1:6" x14ac:dyDescent="0.25">
      <c r="A39288" s="2" t="str">
        <f t="shared" si="1275"/>
        <v>99999</v>
      </c>
      <c r="B39288" s="2" t="str">
        <f>"83536"</f>
        <v>83536</v>
      </c>
      <c r="C39288" s="1">
        <v>1.6818190450018099E-4</v>
      </c>
      <c r="D39288" s="1">
        <v>7.4362530997034595E-5</v>
      </c>
      <c r="E39288" s="1">
        <v>9.9947418966543598E-5</v>
      </c>
      <c r="F39288" s="1">
        <v>1.60469522082367E-4</v>
      </c>
    </row>
    <row r="39289" spans="1:6" x14ac:dyDescent="0.25">
      <c r="A39289" s="2" t="str">
        <f t="shared" si="1275"/>
        <v>99999</v>
      </c>
      <c r="B39289" s="2" t="str">
        <f>"83524"</f>
        <v>83524</v>
      </c>
      <c r="C39289" s="1">
        <v>3.4924211187578098E-6</v>
      </c>
      <c r="D39289" s="1">
        <v>0</v>
      </c>
      <c r="E39289" s="1">
        <v>0</v>
      </c>
      <c r="F39289" s="1">
        <v>3.1835243066557602E-6</v>
      </c>
    </row>
    <row r="39290" spans="1:6" x14ac:dyDescent="0.25">
      <c r="A39290" s="2" t="str">
        <f t="shared" si="1275"/>
        <v>99999</v>
      </c>
      <c r="B39290" s="2" t="str">
        <f>"83522"</f>
        <v>83522</v>
      </c>
      <c r="C39290" s="1">
        <v>6.3190994617524202E-5</v>
      </c>
      <c r="D39290" s="1">
        <v>3.0352053468177301E-5</v>
      </c>
      <c r="E39290" s="1">
        <v>2.2596807766349001E-4</v>
      </c>
      <c r="F39290" s="1">
        <v>6.4764822613528204E-5</v>
      </c>
    </row>
    <row r="39291" spans="1:6" x14ac:dyDescent="0.25">
      <c r="A39291" s="2" t="str">
        <f t="shared" si="1275"/>
        <v>99999</v>
      </c>
      <c r="B39291" s="2" t="str">
        <f>"83285"</f>
        <v>83285</v>
      </c>
      <c r="C39291" s="1">
        <v>4.4746645584084504E-6</v>
      </c>
      <c r="D39291" s="1">
        <v>0</v>
      </c>
      <c r="E39291" s="1">
        <v>0</v>
      </c>
      <c r="F39291" s="1">
        <v>4.07889051790269E-6</v>
      </c>
    </row>
    <row r="39292" spans="1:6" x14ac:dyDescent="0.25">
      <c r="A39292" s="2" t="str">
        <f t="shared" si="1275"/>
        <v>99999</v>
      </c>
      <c r="B39292" s="2" t="str">
        <f>"83261"</f>
        <v>83261</v>
      </c>
      <c r="C39292" s="1">
        <v>2.2919013591848101E-5</v>
      </c>
      <c r="D39292" s="1">
        <v>7.5880133670443404E-6</v>
      </c>
      <c r="E39292" s="1">
        <v>3.0418779685469802E-5</v>
      </c>
      <c r="F39292" s="1">
        <v>2.2085699877424301E-5</v>
      </c>
    </row>
    <row r="39293" spans="1:6" x14ac:dyDescent="0.25">
      <c r="A39293" s="2" t="str">
        <f t="shared" si="1275"/>
        <v>99999</v>
      </c>
      <c r="B39293" s="2" t="str">
        <f>"83254"</f>
        <v>83254</v>
      </c>
      <c r="C39293" s="1">
        <v>1.95357306330515E-4</v>
      </c>
      <c r="D39293" s="1">
        <v>3.5208382023085697E-4</v>
      </c>
      <c r="E39293" s="1">
        <v>2.2162253770842199E-4</v>
      </c>
      <c r="F39293" s="1">
        <v>2.0623268399054301E-4</v>
      </c>
    </row>
    <row r="39294" spans="1:6" x14ac:dyDescent="0.25">
      <c r="A39294" s="2" t="str">
        <f t="shared" si="1275"/>
        <v>99999</v>
      </c>
      <c r="B39294" s="2" t="str">
        <f>"83251"</f>
        <v>83251</v>
      </c>
      <c r="C39294" s="1">
        <v>5.8388915579232199E-5</v>
      </c>
      <c r="D39294" s="1">
        <v>7.4362530997034595E-5</v>
      </c>
      <c r="E39294" s="1">
        <v>1.3036619865201299E-5</v>
      </c>
      <c r="F39294" s="1">
        <v>5.8397774000216597E-5</v>
      </c>
    </row>
    <row r="39295" spans="1:6" x14ac:dyDescent="0.25">
      <c r="A39295" s="2" t="str">
        <f t="shared" si="1275"/>
        <v>99999</v>
      </c>
      <c r="B39295" s="2" t="str">
        <f>"82335"</f>
        <v>82335</v>
      </c>
      <c r="C39295" s="1">
        <v>0</v>
      </c>
      <c r="D39295" s="1">
        <v>1.51760267340886E-6</v>
      </c>
      <c r="E39295" s="1">
        <v>8.69107991013423E-6</v>
      </c>
      <c r="F39295" s="1">
        <v>2.9845540374897701E-7</v>
      </c>
    </row>
    <row r="39296" spans="1:6" x14ac:dyDescent="0.25">
      <c r="A39296" s="2" t="str">
        <f t="shared" si="1275"/>
        <v>99999</v>
      </c>
      <c r="B39296" s="2" t="str">
        <f>"82323"</f>
        <v>82323</v>
      </c>
      <c r="C39296" s="1">
        <v>3.2741447988354498E-7</v>
      </c>
      <c r="D39296" s="1">
        <v>0</v>
      </c>
      <c r="E39296" s="1">
        <v>4.3455399550671099E-6</v>
      </c>
      <c r="F39296" s="1">
        <v>3.9794053833197002E-7</v>
      </c>
    </row>
    <row r="39297" spans="1:6" x14ac:dyDescent="0.25">
      <c r="A39297" s="2" t="str">
        <f t="shared" si="1275"/>
        <v>99999</v>
      </c>
      <c r="B39297" s="2" t="str">
        <f>"82327"</f>
        <v>82327</v>
      </c>
      <c r="C39297" s="1">
        <v>3.8307494146374702E-5</v>
      </c>
      <c r="D39297" s="1">
        <v>1.51760267340886E-6</v>
      </c>
      <c r="E39297" s="1">
        <v>4.3455399550671099E-6</v>
      </c>
      <c r="F39297" s="1">
        <v>3.5118252507796402E-5</v>
      </c>
    </row>
    <row r="39298" spans="1:6" x14ac:dyDescent="0.25">
      <c r="A39298" s="2" t="str">
        <f t="shared" si="1275"/>
        <v>99999</v>
      </c>
      <c r="B39298" s="2" t="str">
        <f>"82244"</f>
        <v>82244</v>
      </c>
      <c r="C39298" s="1">
        <v>2.7175401830334201E-5</v>
      </c>
      <c r="D39298" s="1">
        <v>1.51760267340886E-6</v>
      </c>
      <c r="E39298" s="1">
        <v>6.0403005375432898E-4</v>
      </c>
      <c r="F39298" s="1">
        <v>3.8699717352784098E-5</v>
      </c>
    </row>
    <row r="39299" spans="1:6" x14ac:dyDescent="0.25">
      <c r="A39299" s="2" t="str">
        <f t="shared" si="1275"/>
        <v>99999</v>
      </c>
      <c r="B39299" s="2" t="str">
        <f>"82240"</f>
        <v>82240</v>
      </c>
      <c r="C39299" s="1">
        <v>5.2233523357421495E-4</v>
      </c>
      <c r="D39299" s="1">
        <v>6.6470997095308397E-4</v>
      </c>
      <c r="E39299" s="1">
        <v>3.1200976877381798E-3</v>
      </c>
      <c r="F39299" s="1">
        <v>5.91140669692142E-4</v>
      </c>
    </row>
    <row r="39300" spans="1:6" x14ac:dyDescent="0.25">
      <c r="A39300" s="2" t="str">
        <f t="shared" si="1275"/>
        <v>99999</v>
      </c>
      <c r="B39300" s="2" t="str">
        <f>"82201"</f>
        <v>82201</v>
      </c>
      <c r="C39300" s="1">
        <v>3.9497100089951601E-4</v>
      </c>
      <c r="D39300" s="1">
        <v>5.4633696242719298E-4</v>
      </c>
      <c r="E39300" s="1">
        <v>1.02554742939583E-3</v>
      </c>
      <c r="F39300" s="1">
        <v>4.1932984226731299E-4</v>
      </c>
    </row>
    <row r="39301" spans="1:6" x14ac:dyDescent="0.25">
      <c r="A39301" s="2" t="str">
        <f t="shared" si="1275"/>
        <v>99999</v>
      </c>
      <c r="B39301" s="2" t="str">
        <f>"82604"</f>
        <v>82604</v>
      </c>
      <c r="C39301" s="1">
        <v>8.7310527968945299E-7</v>
      </c>
      <c r="D39301" s="1">
        <v>0</v>
      </c>
      <c r="E39301" s="1">
        <v>8.69107991013423E-6</v>
      </c>
      <c r="F39301" s="1">
        <v>9.9485134582992606E-7</v>
      </c>
    </row>
    <row r="39302" spans="1:6" x14ac:dyDescent="0.25">
      <c r="A39302" s="2" t="str">
        <f t="shared" si="1275"/>
        <v>99999</v>
      </c>
      <c r="B39302" s="2" t="str">
        <f>"82831"</f>
        <v>82831</v>
      </c>
      <c r="C39302" s="1">
        <v>5.4569079980590801E-7</v>
      </c>
      <c r="D39302" s="1">
        <v>0</v>
      </c>
      <c r="E39302" s="1">
        <v>8.69107991013423E-6</v>
      </c>
      <c r="F39302" s="1">
        <v>6.9639594208094799E-7</v>
      </c>
    </row>
    <row r="39303" spans="1:6" x14ac:dyDescent="0.25">
      <c r="A39303" s="2" t="str">
        <f t="shared" si="1275"/>
        <v>99999</v>
      </c>
      <c r="B39303" s="2" t="str">
        <f>"82840"</f>
        <v>82840</v>
      </c>
      <c r="C39303" s="1">
        <v>0</v>
      </c>
      <c r="D39303" s="1">
        <v>0</v>
      </c>
      <c r="E39303" s="1">
        <v>8.69107991013423E-6</v>
      </c>
      <c r="F39303" s="1">
        <v>1.9897026916598501E-7</v>
      </c>
    </row>
    <row r="39304" spans="1:6" x14ac:dyDescent="0.25">
      <c r="A39304" s="2" t="str">
        <f t="shared" si="1275"/>
        <v>99999</v>
      </c>
      <c r="B39304" s="2" t="str">
        <f>"82432"</f>
        <v>82432</v>
      </c>
      <c r="C39304" s="1">
        <v>9.0584672767780794E-6</v>
      </c>
      <c r="D39304" s="1">
        <v>3.0352053468177301E-6</v>
      </c>
      <c r="E39304" s="1">
        <v>8.69107991013423E-6</v>
      </c>
      <c r="F39304" s="1">
        <v>8.6552067087203506E-6</v>
      </c>
    </row>
    <row r="39305" spans="1:6" x14ac:dyDescent="0.25">
      <c r="A39305" s="2" t="str">
        <f t="shared" si="1275"/>
        <v>99999</v>
      </c>
      <c r="B39305" s="2" t="str">
        <f>"81623"</f>
        <v>81623</v>
      </c>
      <c r="C39305" s="1">
        <v>3.0340408469208501E-5</v>
      </c>
      <c r="D39305" s="1">
        <v>1.0623218713862E-5</v>
      </c>
      <c r="E39305" s="1">
        <v>0</v>
      </c>
      <c r="F39305" s="1">
        <v>2.8353263356152899E-5</v>
      </c>
    </row>
    <row r="39306" spans="1:6" x14ac:dyDescent="0.25">
      <c r="A39306" s="2" t="str">
        <f t="shared" si="1275"/>
        <v>99999</v>
      </c>
      <c r="B39306" s="2" t="str">
        <f>"81137"</f>
        <v>81137</v>
      </c>
      <c r="C39306" s="1">
        <v>1.0586401516234599E-5</v>
      </c>
      <c r="D39306" s="1">
        <v>1.51760267340886E-6</v>
      </c>
      <c r="E39306" s="1">
        <v>3.0418779685469802E-5</v>
      </c>
      <c r="F39306" s="1">
        <v>1.04459391312142E-5</v>
      </c>
    </row>
    <row r="39307" spans="1:6" x14ac:dyDescent="0.25">
      <c r="A39307" s="2" t="str">
        <f t="shared" si="1275"/>
        <v>99999</v>
      </c>
      <c r="B39307" s="2" t="str">
        <f>"81090"</f>
        <v>81090</v>
      </c>
      <c r="C39307" s="1">
        <v>2.8703336069790699E-5</v>
      </c>
      <c r="D39307" s="1">
        <v>1.0623218713862E-5</v>
      </c>
      <c r="E39307" s="1">
        <v>2.60732397304027E-5</v>
      </c>
      <c r="F39307" s="1">
        <v>2.7457897144905899E-5</v>
      </c>
    </row>
    <row r="39308" spans="1:6" x14ac:dyDescent="0.25">
      <c r="A39308" s="2" t="str">
        <f t="shared" si="1275"/>
        <v>99999</v>
      </c>
      <c r="B39308" s="2" t="str">
        <f>"81133"</f>
        <v>81133</v>
      </c>
      <c r="C39308" s="1">
        <v>9.2985712286926806E-5</v>
      </c>
      <c r="D39308" s="1">
        <v>9.1056160404532095E-6</v>
      </c>
      <c r="E39308" s="1">
        <v>1.9120375802295301E-4</v>
      </c>
      <c r="F39308" s="1">
        <v>8.9735591393859306E-5</v>
      </c>
    </row>
    <row r="39309" spans="1:6" x14ac:dyDescent="0.25">
      <c r="A39309" s="2" t="str">
        <f t="shared" si="1275"/>
        <v>99999</v>
      </c>
      <c r="B39309" s="2" t="str">
        <f>"81122"</f>
        <v>81122</v>
      </c>
      <c r="C39309" s="1">
        <v>7.8579475172050803E-6</v>
      </c>
      <c r="D39309" s="1">
        <v>1.51760267340886E-6</v>
      </c>
      <c r="E39309" s="1">
        <v>3.0418779685469802E-5</v>
      </c>
      <c r="F39309" s="1">
        <v>7.9588107666394102E-6</v>
      </c>
    </row>
    <row r="39310" spans="1:6" x14ac:dyDescent="0.25">
      <c r="A39310" s="2" t="str">
        <f t="shared" si="1275"/>
        <v>99999</v>
      </c>
      <c r="B39310" s="2" t="str">
        <f>"81057"</f>
        <v>81057</v>
      </c>
      <c r="C39310" s="1">
        <v>1.9972283272896199E-5</v>
      </c>
      <c r="D39310" s="1">
        <v>4.5528080202265997E-6</v>
      </c>
      <c r="E39310" s="1">
        <v>4.3455399550671099E-6</v>
      </c>
      <c r="F39310" s="1">
        <v>1.8603720167019601E-5</v>
      </c>
    </row>
    <row r="39311" spans="1:6" x14ac:dyDescent="0.25">
      <c r="A39311" s="2" t="str">
        <f t="shared" si="1275"/>
        <v>99999</v>
      </c>
      <c r="B39311" s="2" t="str">
        <f>"81029"</f>
        <v>81029</v>
      </c>
      <c r="C39311" s="1">
        <v>2.05179740727021E-5</v>
      </c>
      <c r="D39311" s="1">
        <v>0</v>
      </c>
      <c r="E39311" s="1">
        <v>4.3455399550671099E-6</v>
      </c>
      <c r="F39311" s="1">
        <v>1.8802690436185601E-5</v>
      </c>
    </row>
    <row r="39312" spans="1:6" x14ac:dyDescent="0.25">
      <c r="A39312" s="2" t="str">
        <f t="shared" si="1275"/>
        <v>99999</v>
      </c>
      <c r="B39312" s="2" t="str">
        <f>"81050"</f>
        <v>81050</v>
      </c>
      <c r="C39312" s="1">
        <v>5.2397230597363298E-4</v>
      </c>
      <c r="D39312" s="1">
        <v>8.4833989443555799E-4</v>
      </c>
      <c r="E39312" s="1">
        <v>8.7345353096849004E-4</v>
      </c>
      <c r="F39312" s="1">
        <v>5.5323683341602199E-4</v>
      </c>
    </row>
    <row r="39313" spans="1:6" x14ac:dyDescent="0.25">
      <c r="A39313" s="2" t="str">
        <f t="shared" si="1275"/>
        <v>99999</v>
      </c>
      <c r="B39313" s="2" t="str">
        <f>"81047"</f>
        <v>81047</v>
      </c>
      <c r="C39313" s="1">
        <v>4.6711132463385699E-5</v>
      </c>
      <c r="D39313" s="1">
        <v>9.1056160404532095E-6</v>
      </c>
      <c r="E39313" s="1">
        <v>4.3455399550671099E-6</v>
      </c>
      <c r="F39313" s="1">
        <v>4.3276033543601697E-5</v>
      </c>
    </row>
    <row r="39314" spans="1:6" x14ac:dyDescent="0.25">
      <c r="A39314" s="2" t="str">
        <f t="shared" ref="A39314:A39377" si="1276">"99999"</f>
        <v>99999</v>
      </c>
      <c r="B39314" s="2" t="str">
        <f>"81434"</f>
        <v>81434</v>
      </c>
      <c r="C39314" s="1">
        <v>7.4213948773603504E-6</v>
      </c>
      <c r="D39314" s="1">
        <v>4.5528080202265997E-6</v>
      </c>
      <c r="E39314" s="1">
        <v>2.1727699775335501E-5</v>
      </c>
      <c r="F39314" s="1">
        <v>7.5608702283074398E-6</v>
      </c>
    </row>
    <row r="39315" spans="1:6" x14ac:dyDescent="0.25">
      <c r="A39315" s="2" t="str">
        <f t="shared" si="1276"/>
        <v>99999</v>
      </c>
      <c r="B39315" s="2" t="str">
        <f>"81301"</f>
        <v>81301</v>
      </c>
      <c r="C39315" s="1">
        <v>5.4569079980590801E-7</v>
      </c>
      <c r="D39315" s="1">
        <v>4.5528080202265997E-6</v>
      </c>
      <c r="E39315" s="1">
        <v>0</v>
      </c>
      <c r="F39315" s="1">
        <v>7.9588107666394099E-7</v>
      </c>
    </row>
    <row r="39316" spans="1:6" x14ac:dyDescent="0.25">
      <c r="A39316" s="2" t="str">
        <f t="shared" si="1276"/>
        <v>99999</v>
      </c>
      <c r="B39316" s="2" t="str">
        <f>"81324"</f>
        <v>81324</v>
      </c>
      <c r="C39316" s="1">
        <v>8.3163277890420395E-5</v>
      </c>
      <c r="D39316" s="1">
        <v>6.0704106936354696E-6</v>
      </c>
      <c r="E39316" s="1">
        <v>7.3874179236140894E-5</v>
      </c>
      <c r="F39316" s="1">
        <v>7.7896860378483195E-5</v>
      </c>
    </row>
    <row r="39317" spans="1:6" x14ac:dyDescent="0.25">
      <c r="A39317" s="2" t="str">
        <f t="shared" si="1276"/>
        <v>99999</v>
      </c>
      <c r="B39317" s="2" t="str">
        <f>"81414"</f>
        <v>81414</v>
      </c>
      <c r="C39317" s="1">
        <v>0</v>
      </c>
      <c r="D39317" s="1">
        <v>0</v>
      </c>
      <c r="E39317" s="1">
        <v>4.3455399550671099E-6</v>
      </c>
      <c r="F39317" s="1">
        <v>9.9485134582992598E-8</v>
      </c>
    </row>
    <row r="39318" spans="1:6" x14ac:dyDescent="0.25">
      <c r="A39318" s="2" t="str">
        <f t="shared" si="1276"/>
        <v>99999</v>
      </c>
      <c r="B39318" s="2" t="str">
        <f>"81334"</f>
        <v>81334</v>
      </c>
      <c r="C39318" s="1">
        <v>3.7652665186607698E-5</v>
      </c>
      <c r="D39318" s="1">
        <v>0</v>
      </c>
      <c r="E39318" s="1">
        <v>0</v>
      </c>
      <c r="F39318" s="1">
        <v>3.43223714311324E-5</v>
      </c>
    </row>
    <row r="39319" spans="1:6" x14ac:dyDescent="0.25">
      <c r="A39319" s="2" t="str">
        <f t="shared" si="1276"/>
        <v>99999</v>
      </c>
      <c r="B39319" s="2" t="str">
        <f>"81228"</f>
        <v>81228</v>
      </c>
      <c r="C39319" s="1">
        <v>2.6193158390683598E-6</v>
      </c>
      <c r="D39319" s="1">
        <v>4.5528080202265997E-6</v>
      </c>
      <c r="E39319" s="1">
        <v>4.3455399550671099E-6</v>
      </c>
      <c r="F39319" s="1">
        <v>2.7855837683237898E-6</v>
      </c>
    </row>
    <row r="39320" spans="1:6" x14ac:dyDescent="0.25">
      <c r="A39320" s="2" t="str">
        <f t="shared" si="1276"/>
        <v>99999</v>
      </c>
      <c r="B39320" s="2" t="str">
        <f>"81138"</f>
        <v>81138</v>
      </c>
      <c r="C39320" s="1">
        <v>2.9467303189519E-6</v>
      </c>
      <c r="D39320" s="1">
        <v>0</v>
      </c>
      <c r="E39320" s="1">
        <v>8.69107991013423E-6</v>
      </c>
      <c r="F39320" s="1">
        <v>2.8850689029067799E-6</v>
      </c>
    </row>
    <row r="39321" spans="1:6" x14ac:dyDescent="0.25">
      <c r="A39321" s="2" t="str">
        <f t="shared" si="1276"/>
        <v>99999</v>
      </c>
      <c r="B39321" s="2" t="str">
        <f>"81152"</f>
        <v>81152</v>
      </c>
      <c r="C39321" s="1">
        <v>3.8962323106141801E-5</v>
      </c>
      <c r="D39321" s="1">
        <v>3.0352053468177301E-6</v>
      </c>
      <c r="E39321" s="1">
        <v>3.0418779685469802E-5</v>
      </c>
      <c r="F39321" s="1">
        <v>3.6411559257375301E-5</v>
      </c>
    </row>
    <row r="39322" spans="1:6" x14ac:dyDescent="0.25">
      <c r="A39322" s="2" t="str">
        <f t="shared" si="1276"/>
        <v>99999</v>
      </c>
      <c r="B39322" s="2" t="str">
        <f>"81220"</f>
        <v>81220</v>
      </c>
      <c r="C39322" s="1">
        <v>2.2264184632080999E-5</v>
      </c>
      <c r="D39322" s="1">
        <v>7.5880133670443404E-6</v>
      </c>
      <c r="E39322" s="1">
        <v>0</v>
      </c>
      <c r="F39322" s="1">
        <v>2.0792393127845399E-5</v>
      </c>
    </row>
    <row r="39323" spans="1:6" x14ac:dyDescent="0.25">
      <c r="A39323" s="2" t="str">
        <f t="shared" si="1276"/>
        <v>99999</v>
      </c>
      <c r="B39323" s="2" t="str">
        <f>"81210"</f>
        <v>81210</v>
      </c>
      <c r="C39323" s="1">
        <v>6.5919448616553699E-5</v>
      </c>
      <c r="D39323" s="1">
        <v>1.0623218713862E-5</v>
      </c>
      <c r="E39323" s="1">
        <v>1.7382159820268399E-5</v>
      </c>
      <c r="F39323" s="1">
        <v>6.1183357768540407E-5</v>
      </c>
    </row>
    <row r="39324" spans="1:6" x14ac:dyDescent="0.25">
      <c r="A39324" s="2" t="str">
        <f t="shared" si="1276"/>
        <v>99999</v>
      </c>
      <c r="B39324" s="2" t="str">
        <f>"81154"</f>
        <v>81154</v>
      </c>
      <c r="C39324" s="1">
        <v>1.76258128337308E-4</v>
      </c>
      <c r="D39324" s="1">
        <v>4.7045682875674899E-5</v>
      </c>
      <c r="E39324" s="1">
        <v>9.5601879011476503E-5</v>
      </c>
      <c r="F39324" s="1">
        <v>1.65941204484431E-4</v>
      </c>
    </row>
    <row r="39325" spans="1:6" x14ac:dyDescent="0.25">
      <c r="A39325" s="2" t="str">
        <f t="shared" si="1276"/>
        <v>99999</v>
      </c>
      <c r="B39325" s="2" t="str">
        <f>"80755"</f>
        <v>80755</v>
      </c>
      <c r="C39325" s="1">
        <v>9.3858817566616205E-6</v>
      </c>
      <c r="D39325" s="1">
        <v>1.51760267340886E-6</v>
      </c>
      <c r="E39325" s="1">
        <v>1.7382159820268399E-5</v>
      </c>
      <c r="F39325" s="1">
        <v>9.0531472470523294E-6</v>
      </c>
    </row>
    <row r="39326" spans="1:6" x14ac:dyDescent="0.25">
      <c r="A39326" s="2" t="str">
        <f t="shared" si="1276"/>
        <v>99999</v>
      </c>
      <c r="B39326" s="2" t="str">
        <f>"80723"</f>
        <v>80723</v>
      </c>
      <c r="C39326" s="1">
        <v>1.3096579195341799E-6</v>
      </c>
      <c r="D39326" s="1">
        <v>0</v>
      </c>
      <c r="E39326" s="1">
        <v>0</v>
      </c>
      <c r="F39326" s="1">
        <v>1.19382161499591E-6</v>
      </c>
    </row>
    <row r="39327" spans="1:6" x14ac:dyDescent="0.25">
      <c r="A39327" s="2" t="str">
        <f t="shared" si="1276"/>
        <v>99999</v>
      </c>
      <c r="B39327" s="2" t="str">
        <f>"80734"</f>
        <v>80734</v>
      </c>
      <c r="C39327" s="1">
        <v>1.4766393042747801E-4</v>
      </c>
      <c r="D39327" s="1">
        <v>2.8986211062109399E-4</v>
      </c>
      <c r="E39327" s="1">
        <v>2.0424037788815399E-4</v>
      </c>
      <c r="F39327" s="1">
        <v>1.5828084912154099E-4</v>
      </c>
    </row>
    <row r="39328" spans="1:6" x14ac:dyDescent="0.25">
      <c r="A39328" s="2" t="str">
        <f t="shared" si="1276"/>
        <v>99999</v>
      </c>
      <c r="B39328" s="2" t="str">
        <f>"80720"</f>
        <v>80720</v>
      </c>
      <c r="C39328" s="1">
        <v>1.44062371148759E-4</v>
      </c>
      <c r="D39328" s="1">
        <v>2.4585163309223603E-4</v>
      </c>
      <c r="E39328" s="1">
        <v>1.9554929797801999E-4</v>
      </c>
      <c r="F39328" s="1">
        <v>1.5191380050822901E-4</v>
      </c>
    </row>
    <row r="39329" spans="1:6" x14ac:dyDescent="0.25">
      <c r="A39329" s="2" t="str">
        <f t="shared" si="1276"/>
        <v>99999</v>
      </c>
      <c r="B39329" s="2" t="str">
        <f>"80834"</f>
        <v>80834</v>
      </c>
      <c r="C39329" s="1">
        <v>7.5305330373215401E-6</v>
      </c>
      <c r="D39329" s="1">
        <v>1.51760267340886E-6</v>
      </c>
      <c r="E39329" s="1">
        <v>4.3455399550671099E-6</v>
      </c>
      <c r="F39329" s="1">
        <v>7.0634445553924701E-6</v>
      </c>
    </row>
    <row r="39330" spans="1:6" x14ac:dyDescent="0.25">
      <c r="A39330" s="2" t="str">
        <f t="shared" si="1276"/>
        <v>99999</v>
      </c>
      <c r="B39330" s="2" t="str">
        <f>"80825"</f>
        <v>80825</v>
      </c>
      <c r="C39330" s="1">
        <v>7.5305330373215401E-6</v>
      </c>
      <c r="D39330" s="1">
        <v>0</v>
      </c>
      <c r="E39330" s="1">
        <v>4.3455399550671099E-6</v>
      </c>
      <c r="F39330" s="1">
        <v>6.9639594208094801E-6</v>
      </c>
    </row>
    <row r="39331" spans="1:6" x14ac:dyDescent="0.25">
      <c r="A39331" s="2" t="str">
        <f t="shared" si="1276"/>
        <v>99999</v>
      </c>
      <c r="B39331" s="2" t="str">
        <f>"80434"</f>
        <v>80434</v>
      </c>
      <c r="C39331" s="1">
        <v>3.27414479883545E-6</v>
      </c>
      <c r="D39331" s="1">
        <v>0</v>
      </c>
      <c r="E39331" s="1">
        <v>4.3455399550671099E-6</v>
      </c>
      <c r="F39331" s="1">
        <v>3.0840391720727701E-6</v>
      </c>
    </row>
    <row r="39332" spans="1:6" x14ac:dyDescent="0.25">
      <c r="A39332" s="2" t="str">
        <f t="shared" si="1276"/>
        <v>99999</v>
      </c>
      <c r="B39332" s="2" t="str">
        <f>"80473"</f>
        <v>80473</v>
      </c>
      <c r="C39332" s="1">
        <v>5.2386316781367196E-6</v>
      </c>
      <c r="D39332" s="1">
        <v>0</v>
      </c>
      <c r="E39332" s="1">
        <v>4.3455399550671099E-6</v>
      </c>
      <c r="F39332" s="1">
        <v>4.8747715945666299E-6</v>
      </c>
    </row>
    <row r="39333" spans="1:6" x14ac:dyDescent="0.25">
      <c r="A39333" s="2" t="str">
        <f t="shared" si="1276"/>
        <v>99999</v>
      </c>
      <c r="B39333" s="2" t="str">
        <f>"80447"</f>
        <v>80447</v>
      </c>
      <c r="C39333" s="1">
        <v>4.0817671825481903E-5</v>
      </c>
      <c r="D39333" s="1">
        <v>1.0623218713862E-5</v>
      </c>
      <c r="E39333" s="1">
        <v>6.5183099326006705E-5</v>
      </c>
      <c r="F39333" s="1">
        <v>3.9396113294864999E-5</v>
      </c>
    </row>
    <row r="39334" spans="1:6" x14ac:dyDescent="0.25">
      <c r="A39334" s="2" t="str">
        <f t="shared" si="1276"/>
        <v>99999</v>
      </c>
      <c r="B39334" s="2" t="str">
        <f>"79752"</f>
        <v>79752</v>
      </c>
      <c r="C39334" s="1">
        <v>4.5838027183696299E-6</v>
      </c>
      <c r="D39334" s="1">
        <v>1.9728834754315301E-5</v>
      </c>
      <c r="E39334" s="1">
        <v>0</v>
      </c>
      <c r="F39334" s="1">
        <v>5.4716824020645896E-6</v>
      </c>
    </row>
    <row r="39335" spans="1:6" x14ac:dyDescent="0.25">
      <c r="A39335" s="2" t="str">
        <f t="shared" si="1276"/>
        <v>99999</v>
      </c>
      <c r="B39335" s="2" t="str">
        <f>"79740"</f>
        <v>79740</v>
      </c>
      <c r="C39335" s="1">
        <v>1.9644868793012701E-6</v>
      </c>
      <c r="D39335" s="1">
        <v>1.51760267340886E-6</v>
      </c>
      <c r="E39335" s="1">
        <v>4.3455399550671099E-6</v>
      </c>
      <c r="F39335" s="1">
        <v>1.98970269165985E-6</v>
      </c>
    </row>
    <row r="39336" spans="1:6" x14ac:dyDescent="0.25">
      <c r="A39336" s="2" t="str">
        <f t="shared" si="1276"/>
        <v>99999</v>
      </c>
      <c r="B39336" s="2" t="str">
        <f>"79745"</f>
        <v>79745</v>
      </c>
      <c r="C39336" s="1">
        <v>3.11807723009096E-4</v>
      </c>
      <c r="D39336" s="1">
        <v>4.3858717261516299E-4</v>
      </c>
      <c r="E39336" s="1">
        <v>1.30366198652013E-4</v>
      </c>
      <c r="F39336" s="1">
        <v>3.1596478743558398E-4</v>
      </c>
    </row>
    <row r="39337" spans="1:6" x14ac:dyDescent="0.25">
      <c r="A39337" s="2" t="str">
        <f t="shared" si="1276"/>
        <v>99999</v>
      </c>
      <c r="B39337" s="2" t="str">
        <f>"79734"</f>
        <v>79734</v>
      </c>
      <c r="C39337" s="1">
        <v>5.3368560221017798E-5</v>
      </c>
      <c r="D39337" s="1">
        <v>2.88344507947685E-5</v>
      </c>
      <c r="E39337" s="1">
        <v>3.9109859595604001E-5</v>
      </c>
      <c r="F39337" s="1">
        <v>5.1433814579407101E-5</v>
      </c>
    </row>
    <row r="39338" spans="1:6" x14ac:dyDescent="0.25">
      <c r="A39338" s="2" t="str">
        <f t="shared" si="1276"/>
        <v>99999</v>
      </c>
      <c r="B39338" s="2" t="str">
        <f>"79834"</f>
        <v>79834</v>
      </c>
      <c r="C39338" s="1">
        <v>0</v>
      </c>
      <c r="D39338" s="1">
        <v>3.0352053468177301E-6</v>
      </c>
      <c r="E39338" s="1">
        <v>0</v>
      </c>
      <c r="F39338" s="1">
        <v>1.9897026916598501E-7</v>
      </c>
    </row>
    <row r="39339" spans="1:6" x14ac:dyDescent="0.25">
      <c r="A39339" s="2" t="str">
        <f t="shared" si="1276"/>
        <v>99999</v>
      </c>
      <c r="B39339" s="2" t="str">
        <f>"79778"</f>
        <v>79778</v>
      </c>
      <c r="C39339" s="1">
        <v>1.8553487193400799E-5</v>
      </c>
      <c r="D39339" s="1">
        <v>2.7316848121359601E-5</v>
      </c>
      <c r="E39339" s="1">
        <v>0</v>
      </c>
      <c r="F39339" s="1">
        <v>1.8703205301602599E-5</v>
      </c>
    </row>
    <row r="39340" spans="1:6" x14ac:dyDescent="0.25">
      <c r="A39340" s="2" t="str">
        <f t="shared" si="1276"/>
        <v>99999</v>
      </c>
      <c r="B39340" s="2" t="str">
        <f>"79845"</f>
        <v>79845</v>
      </c>
      <c r="C39340" s="1">
        <v>1.05100048042618E-4</v>
      </c>
      <c r="D39340" s="1">
        <v>7.5880133670443404E-6</v>
      </c>
      <c r="E39340" s="1">
        <v>4.3455399550671103E-5</v>
      </c>
      <c r="F39340" s="1">
        <v>9.72964616221668E-5</v>
      </c>
    </row>
    <row r="39341" spans="1:6" x14ac:dyDescent="0.25">
      <c r="A39341" s="2" t="str">
        <f t="shared" si="1276"/>
        <v>99999</v>
      </c>
      <c r="B39341" s="2" t="str">
        <f>"79379"</f>
        <v>79379</v>
      </c>
      <c r="C39341" s="1">
        <v>1.09138159961181E-7</v>
      </c>
      <c r="D39341" s="1">
        <v>0</v>
      </c>
      <c r="E39341" s="1">
        <v>0</v>
      </c>
      <c r="F39341" s="1">
        <v>9.9485134582992598E-8</v>
      </c>
    </row>
    <row r="39342" spans="1:6" x14ac:dyDescent="0.25">
      <c r="A39342" s="2" t="str">
        <f t="shared" si="1276"/>
        <v>99999</v>
      </c>
      <c r="B39342" s="2" t="str">
        <f>"79342"</f>
        <v>79342</v>
      </c>
      <c r="C39342" s="1">
        <v>4.5838027183696299E-6</v>
      </c>
      <c r="D39342" s="1">
        <v>4.5528080202265997E-6</v>
      </c>
      <c r="E39342" s="1">
        <v>8.69107991013423E-6</v>
      </c>
      <c r="F39342" s="1">
        <v>4.6758013254006498E-6</v>
      </c>
    </row>
    <row r="39343" spans="1:6" x14ac:dyDescent="0.25">
      <c r="A39343" s="2" t="str">
        <f t="shared" si="1276"/>
        <v>99999</v>
      </c>
      <c r="B39343" s="2" t="str">
        <f>"79314"</f>
        <v>79314</v>
      </c>
      <c r="C39343" s="1">
        <v>1.09138159961181E-7</v>
      </c>
      <c r="D39343" s="1">
        <v>0</v>
      </c>
      <c r="E39343" s="1">
        <v>0</v>
      </c>
      <c r="F39343" s="1">
        <v>9.9485134582992598E-8</v>
      </c>
    </row>
    <row r="39344" spans="1:6" x14ac:dyDescent="0.25">
      <c r="A39344" s="2" t="str">
        <f t="shared" si="1276"/>
        <v>99999</v>
      </c>
      <c r="B39344" s="2" t="str">
        <f>"79313"</f>
        <v>79313</v>
      </c>
      <c r="C39344" s="1">
        <v>5.4569079980590803E-6</v>
      </c>
      <c r="D39344" s="1">
        <v>0</v>
      </c>
      <c r="E39344" s="1">
        <v>2.1727699775335501E-5</v>
      </c>
      <c r="F39344" s="1">
        <v>5.4716824020645896E-6</v>
      </c>
    </row>
    <row r="39345" spans="1:6" x14ac:dyDescent="0.25">
      <c r="A39345" s="2" t="str">
        <f t="shared" si="1276"/>
        <v>99999</v>
      </c>
      <c r="B39345" s="2" t="str">
        <f>"79561"</f>
        <v>79561</v>
      </c>
      <c r="C39345" s="1">
        <v>2.5101776791071799E-6</v>
      </c>
      <c r="D39345" s="1">
        <v>1.51760267340886E-6</v>
      </c>
      <c r="E39345" s="1">
        <v>0</v>
      </c>
      <c r="F39345" s="1">
        <v>2.3876432299918199E-6</v>
      </c>
    </row>
    <row r="39346" spans="1:6" x14ac:dyDescent="0.25">
      <c r="A39346" s="2" t="str">
        <f t="shared" si="1276"/>
        <v>99999</v>
      </c>
      <c r="B39346" s="2" t="str">
        <f>"79565"</f>
        <v>79565</v>
      </c>
      <c r="C39346" s="1">
        <v>2.4010395191459898E-6</v>
      </c>
      <c r="D39346" s="1">
        <v>6.0704106936354696E-6</v>
      </c>
      <c r="E39346" s="1">
        <v>4.3455399550671099E-6</v>
      </c>
      <c r="F39346" s="1">
        <v>2.6860986337408002E-6</v>
      </c>
    </row>
    <row r="39347" spans="1:6" x14ac:dyDescent="0.25">
      <c r="A39347" s="2" t="str">
        <f t="shared" si="1276"/>
        <v>99999</v>
      </c>
      <c r="B39347" s="2" t="str">
        <f>"79533"</f>
        <v>79533</v>
      </c>
      <c r="C39347" s="1">
        <v>3.8198355986413598E-6</v>
      </c>
      <c r="D39347" s="1">
        <v>7.5880133670443404E-6</v>
      </c>
      <c r="E39347" s="1">
        <v>0</v>
      </c>
      <c r="F39347" s="1">
        <v>3.9794053833197E-6</v>
      </c>
    </row>
    <row r="39348" spans="1:6" x14ac:dyDescent="0.25">
      <c r="A39348" s="2" t="str">
        <f t="shared" si="1276"/>
        <v>99999</v>
      </c>
      <c r="B39348" s="2" t="str">
        <f>"79518"</f>
        <v>79518</v>
      </c>
      <c r="C39348" s="1">
        <v>8.1853619970886298E-6</v>
      </c>
      <c r="D39348" s="1">
        <v>3.0352053468177301E-6</v>
      </c>
      <c r="E39348" s="1">
        <v>8.69107991013423E-6</v>
      </c>
      <c r="F39348" s="1">
        <v>7.85932563205641E-6</v>
      </c>
    </row>
    <row r="39349" spans="1:6" x14ac:dyDescent="0.25">
      <c r="A39349" s="2" t="str">
        <f t="shared" si="1276"/>
        <v>99999</v>
      </c>
      <c r="B39349" s="2" t="str">
        <f>"79549"</f>
        <v>79549</v>
      </c>
      <c r="C39349" s="1">
        <v>2.8157645269984799E-5</v>
      </c>
      <c r="D39349" s="1">
        <v>1.51760267340886E-6</v>
      </c>
      <c r="E39349" s="1">
        <v>0</v>
      </c>
      <c r="F39349" s="1">
        <v>2.5766649856994999E-5</v>
      </c>
    </row>
    <row r="39350" spans="1:6" x14ac:dyDescent="0.25">
      <c r="A39350" s="2" t="str">
        <f t="shared" si="1276"/>
        <v>99999</v>
      </c>
      <c r="B39350" s="2" t="str">
        <f>"79510"</f>
        <v>79510</v>
      </c>
      <c r="C39350" s="1">
        <v>4.9112171982531701E-6</v>
      </c>
      <c r="D39350" s="1">
        <v>4.5528080202265997E-6</v>
      </c>
      <c r="E39350" s="1">
        <v>0</v>
      </c>
      <c r="F39350" s="1">
        <v>4.7752864599836398E-6</v>
      </c>
    </row>
    <row r="39351" spans="1:6" x14ac:dyDescent="0.25">
      <c r="A39351" s="2" t="str">
        <f t="shared" si="1276"/>
        <v>99999</v>
      </c>
      <c r="B39351" s="2" t="str">
        <f>"79548"</f>
        <v>79548</v>
      </c>
      <c r="C39351" s="1">
        <v>1.0258987036351001E-5</v>
      </c>
      <c r="D39351" s="1">
        <v>6.0704106936354696E-6</v>
      </c>
      <c r="E39351" s="1">
        <v>4.3455399550671099E-6</v>
      </c>
      <c r="F39351" s="1">
        <v>9.8490283237162701E-6</v>
      </c>
    </row>
    <row r="39352" spans="1:6" x14ac:dyDescent="0.25">
      <c r="A39352" s="2" t="str">
        <f t="shared" si="1276"/>
        <v>99999</v>
      </c>
      <c r="B39352" s="2" t="str">
        <f>"79240"</f>
        <v>79240</v>
      </c>
      <c r="C39352" s="1">
        <v>6.0025987978649897E-6</v>
      </c>
      <c r="D39352" s="1">
        <v>6.0704106936354696E-6</v>
      </c>
      <c r="E39352" s="1">
        <v>4.3455399550671099E-6</v>
      </c>
      <c r="F39352" s="1">
        <v>5.96910807497955E-6</v>
      </c>
    </row>
    <row r="39353" spans="1:6" x14ac:dyDescent="0.25">
      <c r="A39353" s="2" t="str">
        <f t="shared" si="1276"/>
        <v>99999</v>
      </c>
      <c r="B39353" s="2" t="str">
        <f>"79236"</f>
        <v>79236</v>
      </c>
      <c r="C39353" s="1">
        <v>0</v>
      </c>
      <c r="D39353" s="1">
        <v>0</v>
      </c>
      <c r="E39353" s="1">
        <v>4.3455399550671099E-6</v>
      </c>
      <c r="F39353" s="1">
        <v>9.9485134582992598E-8</v>
      </c>
    </row>
    <row r="39354" spans="1:6" x14ac:dyDescent="0.25">
      <c r="A39354" s="2" t="str">
        <f t="shared" si="1276"/>
        <v>99999</v>
      </c>
      <c r="B39354" s="2" t="str">
        <f>"79244"</f>
        <v>79244</v>
      </c>
      <c r="C39354" s="1">
        <v>7.6396711972827196E-6</v>
      </c>
      <c r="D39354" s="1">
        <v>3.0352053468177301E-6</v>
      </c>
      <c r="E39354" s="1">
        <v>0</v>
      </c>
      <c r="F39354" s="1">
        <v>7.1629296899754602E-6</v>
      </c>
    </row>
    <row r="39355" spans="1:6" x14ac:dyDescent="0.25">
      <c r="A39355" s="2" t="str">
        <f t="shared" si="1276"/>
        <v>99999</v>
      </c>
      <c r="B39355" s="2" t="str">
        <f>"79243"</f>
        <v>79243</v>
      </c>
      <c r="C39355" s="1">
        <v>4.4746645584084504E-6</v>
      </c>
      <c r="D39355" s="1">
        <v>6.0704106936354696E-6</v>
      </c>
      <c r="E39355" s="1">
        <v>1.7382159820268399E-5</v>
      </c>
      <c r="F39355" s="1">
        <v>4.8747715945666299E-6</v>
      </c>
    </row>
    <row r="39356" spans="1:6" x14ac:dyDescent="0.25">
      <c r="A39356" s="2" t="str">
        <f t="shared" si="1276"/>
        <v>99999</v>
      </c>
      <c r="B39356" s="2" t="str">
        <f>"79245"</f>
        <v>79245</v>
      </c>
      <c r="C39356" s="1">
        <v>1.4777306858744E-4</v>
      </c>
      <c r="D39356" s="1">
        <v>3.3842539617017701E-4</v>
      </c>
      <c r="E39356" s="1">
        <v>2.6073239730402698E-4</v>
      </c>
      <c r="F39356" s="1">
        <v>1.6285716531235799E-4</v>
      </c>
    </row>
    <row r="39357" spans="1:6" x14ac:dyDescent="0.25">
      <c r="A39357" s="2" t="str">
        <f t="shared" si="1276"/>
        <v>99999</v>
      </c>
      <c r="B39357" s="2" t="str">
        <f>"79241"</f>
        <v>79241</v>
      </c>
      <c r="C39357" s="1">
        <v>6.3954961737252395E-5</v>
      </c>
      <c r="D39357" s="1">
        <v>5.6151298916128101E-5</v>
      </c>
      <c r="E39357" s="1">
        <v>1.3036619865201299E-5</v>
      </c>
      <c r="F39357" s="1">
        <v>6.2277694248953302E-5</v>
      </c>
    </row>
    <row r="39358" spans="1:6" x14ac:dyDescent="0.25">
      <c r="A39358" s="2" t="str">
        <f t="shared" si="1276"/>
        <v>99999</v>
      </c>
      <c r="B39358" s="2" t="str">
        <f>"79230"</f>
        <v>79230</v>
      </c>
      <c r="C39358" s="1">
        <v>1.41879607949536E-5</v>
      </c>
      <c r="D39358" s="1">
        <v>7.5880133670443404E-6</v>
      </c>
      <c r="E39358" s="1">
        <v>8.69107991013423E-6</v>
      </c>
      <c r="F39358" s="1">
        <v>1.36294634378699E-5</v>
      </c>
    </row>
    <row r="39359" spans="1:6" x14ac:dyDescent="0.25">
      <c r="A39359" s="2" t="str">
        <f t="shared" si="1276"/>
        <v>99999</v>
      </c>
      <c r="B39359" s="2" t="str">
        <f>"79226"</f>
        <v>79226</v>
      </c>
      <c r="C39359" s="1">
        <v>1.14158515319396E-4</v>
      </c>
      <c r="D39359" s="1">
        <v>6.8292120303399095E-5</v>
      </c>
      <c r="E39359" s="1">
        <v>2.1727699775335501E-5</v>
      </c>
      <c r="F39359" s="1">
        <v>1.09035707502959E-4</v>
      </c>
    </row>
    <row r="39360" spans="1:6" x14ac:dyDescent="0.25">
      <c r="A39360" s="2" t="str">
        <f t="shared" si="1276"/>
        <v>99999</v>
      </c>
      <c r="B39360" s="2" t="str">
        <f>"78851"</f>
        <v>78851</v>
      </c>
      <c r="C39360" s="1">
        <v>3.05586847891308E-6</v>
      </c>
      <c r="D39360" s="1">
        <v>3.0352053468177301E-6</v>
      </c>
      <c r="E39360" s="1">
        <v>0</v>
      </c>
      <c r="F39360" s="1">
        <v>2.9845540374897699E-6</v>
      </c>
    </row>
    <row r="39361" spans="1:6" x14ac:dyDescent="0.25">
      <c r="A39361" s="2" t="str">
        <f t="shared" si="1276"/>
        <v>99999</v>
      </c>
      <c r="B39361" s="2" t="str">
        <f>"79093"</f>
        <v>79093</v>
      </c>
      <c r="C39361" s="1">
        <v>3.2741447988354498E-7</v>
      </c>
      <c r="D39361" s="1">
        <v>0</v>
      </c>
      <c r="E39361" s="1">
        <v>0</v>
      </c>
      <c r="F39361" s="1">
        <v>2.9845540374897701E-7</v>
      </c>
    </row>
    <row r="39362" spans="1:6" x14ac:dyDescent="0.25">
      <c r="A39362" s="2" t="str">
        <f t="shared" si="1276"/>
        <v>99999</v>
      </c>
      <c r="B39362" s="2" t="str">
        <f>"79086"</f>
        <v>79086</v>
      </c>
      <c r="C39362" s="1">
        <v>4.3655263984472599E-6</v>
      </c>
      <c r="D39362" s="1">
        <v>3.0352053468177301E-6</v>
      </c>
      <c r="E39362" s="1">
        <v>0</v>
      </c>
      <c r="F39362" s="1">
        <v>4.1783756524856902E-6</v>
      </c>
    </row>
    <row r="39363" spans="1:6" x14ac:dyDescent="0.25">
      <c r="A39363" s="2" t="str">
        <f t="shared" si="1276"/>
        <v>99999</v>
      </c>
      <c r="B39363" s="2" t="str">
        <f>"79014"</f>
        <v>79014</v>
      </c>
      <c r="C39363" s="1">
        <v>2.2722564903917999E-4</v>
      </c>
      <c r="D39363" s="1">
        <v>3.64224641618128E-4</v>
      </c>
      <c r="E39363" s="1">
        <v>3.0418779685469798E-4</v>
      </c>
      <c r="F39363" s="1">
        <v>2.37968441922518E-4</v>
      </c>
    </row>
    <row r="39364" spans="1:6" x14ac:dyDescent="0.25">
      <c r="A39364" s="2" t="str">
        <f t="shared" si="1276"/>
        <v>99999</v>
      </c>
      <c r="B39364" s="2" t="str">
        <f>"79044"</f>
        <v>79044</v>
      </c>
      <c r="C39364" s="1">
        <v>3.3832829587966299E-6</v>
      </c>
      <c r="D39364" s="1">
        <v>7.5880133670443404E-6</v>
      </c>
      <c r="E39364" s="1">
        <v>8.69107991013423E-6</v>
      </c>
      <c r="F39364" s="1">
        <v>3.7804351141537199E-6</v>
      </c>
    </row>
    <row r="39365" spans="1:6" x14ac:dyDescent="0.25">
      <c r="A39365" s="2" t="str">
        <f t="shared" si="1276"/>
        <v>99999</v>
      </c>
      <c r="B39365" s="2" t="str">
        <f>"79027"</f>
        <v>79027</v>
      </c>
      <c r="C39365" s="1">
        <v>2.1816718176240199E-4</v>
      </c>
      <c r="D39365" s="1">
        <v>4.5072799400243402E-4</v>
      </c>
      <c r="E39365" s="1">
        <v>2.5204131739389198E-4</v>
      </c>
      <c r="F39365" s="1">
        <v>2.3418800680836399E-4</v>
      </c>
    </row>
    <row r="39366" spans="1:6" x14ac:dyDescent="0.25">
      <c r="A39366" s="2" t="str">
        <f t="shared" si="1276"/>
        <v>99999</v>
      </c>
      <c r="B39366" s="2" t="str">
        <f>"78877"</f>
        <v>78877</v>
      </c>
      <c r="C39366" s="1">
        <v>2.8375921589907201E-6</v>
      </c>
      <c r="D39366" s="1">
        <v>1.51760267340886E-6</v>
      </c>
      <c r="E39366" s="1">
        <v>4.3455399550671099E-6</v>
      </c>
      <c r="F39366" s="1">
        <v>2.7855837683237898E-6</v>
      </c>
    </row>
    <row r="39367" spans="1:6" x14ac:dyDescent="0.25">
      <c r="A39367" s="2" t="str">
        <f t="shared" si="1276"/>
        <v>99999</v>
      </c>
      <c r="B39367" s="2" t="str">
        <f>"78947"</f>
        <v>78947</v>
      </c>
      <c r="C39367" s="1">
        <v>2.2318753712061601E-4</v>
      </c>
      <c r="D39367" s="1">
        <v>6.8292120303399095E-5</v>
      </c>
      <c r="E39367" s="1">
        <v>1.17329578786812E-4</v>
      </c>
      <c r="F39367" s="1">
        <v>2.10610029912195E-4</v>
      </c>
    </row>
    <row r="39368" spans="1:6" x14ac:dyDescent="0.25">
      <c r="A39368" s="2" t="str">
        <f t="shared" si="1276"/>
        <v>99999</v>
      </c>
      <c r="B39368" s="2" t="str">
        <f>"78935"</f>
        <v>78935</v>
      </c>
      <c r="C39368" s="1">
        <v>5.0858382541910597E-5</v>
      </c>
      <c r="D39368" s="1">
        <v>2.1246437427724101E-5</v>
      </c>
      <c r="E39368" s="1">
        <v>1.7382159820268399E-5</v>
      </c>
      <c r="F39368" s="1">
        <v>4.8150805138168401E-5</v>
      </c>
    </row>
    <row r="39369" spans="1:6" x14ac:dyDescent="0.25">
      <c r="A39369" s="2" t="str">
        <f t="shared" si="1276"/>
        <v>99999</v>
      </c>
      <c r="B39369" s="2" t="str">
        <f>"78620"</f>
        <v>78620</v>
      </c>
      <c r="C39369" s="1">
        <v>7.9670856771662607E-6</v>
      </c>
      <c r="D39369" s="1">
        <v>0</v>
      </c>
      <c r="E39369" s="1">
        <v>0</v>
      </c>
      <c r="F39369" s="1">
        <v>7.2624148245584604E-6</v>
      </c>
    </row>
    <row r="39370" spans="1:6" x14ac:dyDescent="0.25">
      <c r="A39370" s="2" t="str">
        <f t="shared" si="1276"/>
        <v>99999</v>
      </c>
      <c r="B39370" s="2" t="str">
        <f>"78113"</f>
        <v>78113</v>
      </c>
      <c r="C39370" s="1">
        <v>5.3586836540940202E-5</v>
      </c>
      <c r="D39370" s="1">
        <v>1.8211232080906399E-5</v>
      </c>
      <c r="E39370" s="1">
        <v>6.9528639281073799E-5</v>
      </c>
      <c r="F39370" s="1">
        <v>5.1632784848573098E-5</v>
      </c>
    </row>
    <row r="39371" spans="1:6" x14ac:dyDescent="0.25">
      <c r="A39371" s="2" t="str">
        <f t="shared" si="1276"/>
        <v>99999</v>
      </c>
      <c r="B39371" s="2" t="str">
        <f>"78102"</f>
        <v>78102</v>
      </c>
      <c r="C39371" s="1">
        <v>3.4924211187578098E-6</v>
      </c>
      <c r="D39371" s="1">
        <v>1.51760267340886E-6</v>
      </c>
      <c r="E39371" s="1">
        <v>0</v>
      </c>
      <c r="F39371" s="1">
        <v>3.2830094412387502E-6</v>
      </c>
    </row>
    <row r="39372" spans="1:6" x14ac:dyDescent="0.25">
      <c r="A39372" s="2" t="str">
        <f t="shared" si="1276"/>
        <v>99999</v>
      </c>
      <c r="B39372" s="2" t="str">
        <f>"78075"</f>
        <v>78075</v>
      </c>
      <c r="C39372" s="1">
        <v>8.2945001570498102E-6</v>
      </c>
      <c r="D39372" s="1">
        <v>7.5880133670443404E-6</v>
      </c>
      <c r="E39372" s="1">
        <v>1.3036619865201299E-5</v>
      </c>
      <c r="F39372" s="1">
        <v>8.3567513049713805E-6</v>
      </c>
    </row>
    <row r="39373" spans="1:6" x14ac:dyDescent="0.25">
      <c r="A39373" s="2" t="str">
        <f t="shared" si="1276"/>
        <v>99999</v>
      </c>
      <c r="B39373" s="2" t="str">
        <f>"77969"</f>
        <v>77969</v>
      </c>
      <c r="C39373" s="1">
        <v>2.8375921589907201E-6</v>
      </c>
      <c r="D39373" s="1">
        <v>1.51760267340886E-6</v>
      </c>
      <c r="E39373" s="1">
        <v>1.3036619865201299E-5</v>
      </c>
      <c r="F39373" s="1">
        <v>2.9845540374897699E-6</v>
      </c>
    </row>
    <row r="39374" spans="1:6" x14ac:dyDescent="0.25">
      <c r="A39374" s="2" t="str">
        <f t="shared" si="1276"/>
        <v>99999</v>
      </c>
      <c r="B39374" s="2" t="str">
        <f>"77991"</f>
        <v>77991</v>
      </c>
      <c r="C39374" s="1">
        <v>1.09138159961181E-7</v>
      </c>
      <c r="D39374" s="1">
        <v>1.51760267340886E-6</v>
      </c>
      <c r="E39374" s="1">
        <v>0</v>
      </c>
      <c r="F39374" s="1">
        <v>1.9897026916598501E-7</v>
      </c>
    </row>
    <row r="39375" spans="1:6" x14ac:dyDescent="0.25">
      <c r="A39375" s="2" t="str">
        <f t="shared" si="1276"/>
        <v>99999</v>
      </c>
      <c r="B39375" s="2" t="str">
        <f>"77974"</f>
        <v>77974</v>
      </c>
      <c r="C39375" s="1">
        <v>1.1132092316040499E-5</v>
      </c>
      <c r="D39375" s="1">
        <v>1.0623218713862E-5</v>
      </c>
      <c r="E39375" s="1">
        <v>0</v>
      </c>
      <c r="F39375" s="1">
        <v>1.0843879669546099E-5</v>
      </c>
    </row>
    <row r="39376" spans="1:6" x14ac:dyDescent="0.25">
      <c r="A39376" s="2" t="str">
        <f t="shared" si="1276"/>
        <v>99999</v>
      </c>
      <c r="B39376" s="2" t="str">
        <f>"77660"</f>
        <v>77660</v>
      </c>
      <c r="C39376" s="1">
        <v>4.5619750863773899E-5</v>
      </c>
      <c r="D39376" s="1">
        <v>1.8211232080906399E-5</v>
      </c>
      <c r="E39376" s="1">
        <v>8.69107991013423E-6</v>
      </c>
      <c r="F39376" s="1">
        <v>4.2977578139852803E-5</v>
      </c>
    </row>
    <row r="39377" spans="1:6" x14ac:dyDescent="0.25">
      <c r="A39377" s="2" t="str">
        <f t="shared" si="1276"/>
        <v>99999</v>
      </c>
      <c r="B39377" s="2" t="str">
        <f>"77865"</f>
        <v>77865</v>
      </c>
      <c r="C39377" s="1">
        <v>9.87700347648694E-5</v>
      </c>
      <c r="D39377" s="1">
        <v>3.0352053468177301E-5</v>
      </c>
      <c r="E39377" s="1">
        <v>0</v>
      </c>
      <c r="F39377" s="1">
        <v>9.2023749489268103E-5</v>
      </c>
    </row>
    <row r="39378" spans="1:6" x14ac:dyDescent="0.25">
      <c r="A39378" s="2" t="str">
        <f t="shared" ref="A39378:A39441" si="1277">"99999"</f>
        <v>99999</v>
      </c>
      <c r="B39378" s="2" t="str">
        <f>"77830"</f>
        <v>77830</v>
      </c>
      <c r="C39378" s="1">
        <v>1.52793423945654E-4</v>
      </c>
      <c r="D39378" s="1">
        <v>8.1950544364078906E-5</v>
      </c>
      <c r="E39378" s="1">
        <v>3.0418779685469802E-5</v>
      </c>
      <c r="F39378" s="1">
        <v>1.4534778162575201E-4</v>
      </c>
    </row>
    <row r="39379" spans="1:6" x14ac:dyDescent="0.25">
      <c r="A39379" s="2" t="str">
        <f t="shared" si="1277"/>
        <v>99999</v>
      </c>
      <c r="B39379" s="2" t="str">
        <f>"77615"</f>
        <v>77615</v>
      </c>
      <c r="C39379" s="1">
        <v>0</v>
      </c>
      <c r="D39379" s="1">
        <v>1.51760267340886E-6</v>
      </c>
      <c r="E39379" s="1">
        <v>0</v>
      </c>
      <c r="F39379" s="1">
        <v>9.9485134582992598E-8</v>
      </c>
    </row>
    <row r="39380" spans="1:6" x14ac:dyDescent="0.25">
      <c r="A39380" s="2" t="str">
        <f t="shared" si="1277"/>
        <v>99999</v>
      </c>
      <c r="B39380" s="2" t="str">
        <f>"77470"</f>
        <v>77470</v>
      </c>
      <c r="C39380" s="1">
        <v>0</v>
      </c>
      <c r="D39380" s="1">
        <v>1.51760267340886E-6</v>
      </c>
      <c r="E39380" s="1">
        <v>0</v>
      </c>
      <c r="F39380" s="1">
        <v>9.9485134582992598E-8</v>
      </c>
    </row>
    <row r="39381" spans="1:6" x14ac:dyDescent="0.25">
      <c r="A39381" s="2" t="str">
        <f t="shared" si="1277"/>
        <v>99999</v>
      </c>
      <c r="B39381" s="2" t="str">
        <f>"77371"</f>
        <v>77371</v>
      </c>
      <c r="C39381" s="1">
        <v>3.6528542139007498E-4</v>
      </c>
      <c r="D39381" s="1">
        <v>1.82112320809064E-4</v>
      </c>
      <c r="E39381" s="1">
        <v>8.2565259146275205E-5</v>
      </c>
      <c r="F39381" s="1">
        <v>3.4680517915631202E-4</v>
      </c>
    </row>
    <row r="39382" spans="1:6" x14ac:dyDescent="0.25">
      <c r="A39382" s="2" t="str">
        <f t="shared" si="1277"/>
        <v>99999</v>
      </c>
      <c r="B39382" s="2" t="str">
        <f>"77360"</f>
        <v>77360</v>
      </c>
      <c r="C39382" s="1">
        <v>2.8419576853891702E-4</v>
      </c>
      <c r="D39382" s="1">
        <v>8.9538557731123203E-5</v>
      </c>
      <c r="E39382" s="1">
        <v>5.6492019415872502E-5</v>
      </c>
      <c r="F39382" s="1">
        <v>2.66222220144088E-4</v>
      </c>
    </row>
    <row r="39383" spans="1:6" x14ac:dyDescent="0.25">
      <c r="A39383" s="2" t="str">
        <f t="shared" si="1277"/>
        <v>99999</v>
      </c>
      <c r="B39383" s="2" t="str">
        <f>"76943"</f>
        <v>76943</v>
      </c>
      <c r="C39383" s="1">
        <v>1.54976187144878E-5</v>
      </c>
      <c r="D39383" s="1">
        <v>1.0623218713862E-5</v>
      </c>
      <c r="E39383" s="1">
        <v>2.1727699775335501E-5</v>
      </c>
      <c r="F39383" s="1">
        <v>1.5320710725780799E-5</v>
      </c>
    </row>
    <row r="39384" spans="1:6" x14ac:dyDescent="0.25">
      <c r="A39384" s="2" t="str">
        <f t="shared" si="1277"/>
        <v>99999</v>
      </c>
      <c r="B39384" s="2" t="str">
        <f>"76874"</f>
        <v>76874</v>
      </c>
      <c r="C39384" s="1">
        <v>3.6015592787189902E-6</v>
      </c>
      <c r="D39384" s="1">
        <v>0</v>
      </c>
      <c r="E39384" s="1">
        <v>4.3455399550671099E-6</v>
      </c>
      <c r="F39384" s="1">
        <v>3.3824945758217398E-6</v>
      </c>
    </row>
    <row r="39385" spans="1:6" x14ac:dyDescent="0.25">
      <c r="A39385" s="2" t="str">
        <f t="shared" si="1277"/>
        <v>99999</v>
      </c>
      <c r="B39385" s="2" t="str">
        <f>"76888"</f>
        <v>76888</v>
      </c>
      <c r="C39385" s="1">
        <v>1.5606756874448901E-5</v>
      </c>
      <c r="D39385" s="1">
        <v>6.0704106936354696E-6</v>
      </c>
      <c r="E39385" s="1">
        <v>4.3455399550671099E-6</v>
      </c>
      <c r="F39385" s="1">
        <v>1.4723799918282901E-5</v>
      </c>
    </row>
    <row r="39386" spans="1:6" x14ac:dyDescent="0.25">
      <c r="A39386" s="2" t="str">
        <f t="shared" si="1277"/>
        <v>99999</v>
      </c>
      <c r="B39386" s="2" t="str">
        <f>"76882"</f>
        <v>76882</v>
      </c>
      <c r="C39386" s="1">
        <v>1.71346911139055E-5</v>
      </c>
      <c r="D39386" s="1">
        <v>2.1246437427724101E-5</v>
      </c>
      <c r="E39386" s="1">
        <v>2.3465915757362401E-4</v>
      </c>
      <c r="F39386" s="1">
        <v>2.23841552811733E-5</v>
      </c>
    </row>
    <row r="39387" spans="1:6" x14ac:dyDescent="0.25">
      <c r="A39387" s="2" t="str">
        <f t="shared" si="1277"/>
        <v>99999</v>
      </c>
      <c r="B39387" s="2" t="str">
        <f>"76820"</f>
        <v>76820</v>
      </c>
      <c r="C39387" s="1">
        <v>2.7284539990295402E-6</v>
      </c>
      <c r="D39387" s="1">
        <v>0</v>
      </c>
      <c r="E39387" s="1">
        <v>4.3455399550671099E-6</v>
      </c>
      <c r="F39387" s="1">
        <v>2.5866134991578E-6</v>
      </c>
    </row>
    <row r="39388" spans="1:6" x14ac:dyDescent="0.25">
      <c r="A39388" s="2" t="str">
        <f t="shared" si="1277"/>
        <v>99999</v>
      </c>
      <c r="B39388" s="2" t="str">
        <f>"76862"</f>
        <v>76862</v>
      </c>
      <c r="C39388" s="1">
        <v>1.41879607949536E-5</v>
      </c>
      <c r="D39388" s="1">
        <v>3.0352053468177301E-6</v>
      </c>
      <c r="E39388" s="1">
        <v>8.2565259146275205E-5</v>
      </c>
      <c r="F39388" s="1">
        <v>1.50222553220318E-5</v>
      </c>
    </row>
    <row r="39389" spans="1:6" x14ac:dyDescent="0.25">
      <c r="A39389" s="2" t="str">
        <f t="shared" si="1277"/>
        <v>99999</v>
      </c>
      <c r="B39389" s="2" t="str">
        <f>"76834"</f>
        <v>76834</v>
      </c>
      <c r="C39389" s="1">
        <v>3.8558511914285501E-4</v>
      </c>
      <c r="D39389" s="1">
        <v>7.7701256878534098E-4</v>
      </c>
      <c r="E39389" s="1">
        <v>4.9539155487765096E-4</v>
      </c>
      <c r="F39389" s="1">
        <v>4.13758674730666E-4</v>
      </c>
    </row>
    <row r="39390" spans="1:6" x14ac:dyDescent="0.25">
      <c r="A39390" s="2" t="str">
        <f t="shared" si="1277"/>
        <v>99999</v>
      </c>
      <c r="B39390" s="2" t="str">
        <f>"76550"</f>
        <v>76550</v>
      </c>
      <c r="C39390" s="1">
        <v>5.6097014220047403E-5</v>
      </c>
      <c r="D39390" s="1">
        <v>2.5799245447950699E-5</v>
      </c>
      <c r="E39390" s="1">
        <v>3.0418779685469802E-5</v>
      </c>
      <c r="F39390" s="1">
        <v>5.3523002405650002E-5</v>
      </c>
    </row>
    <row r="39391" spans="1:6" x14ac:dyDescent="0.25">
      <c r="A39391" s="2" t="str">
        <f t="shared" si="1277"/>
        <v>99999</v>
      </c>
      <c r="B39391" s="2" t="str">
        <f>"76549"</f>
        <v>76549</v>
      </c>
      <c r="C39391" s="1">
        <v>4.0381119185637197E-6</v>
      </c>
      <c r="D39391" s="1">
        <v>0</v>
      </c>
      <c r="E39391" s="1">
        <v>0</v>
      </c>
      <c r="F39391" s="1">
        <v>3.6809499795707201E-6</v>
      </c>
    </row>
    <row r="39392" spans="1:6" x14ac:dyDescent="0.25">
      <c r="A39392" s="2" t="str">
        <f t="shared" si="1277"/>
        <v>99999</v>
      </c>
      <c r="B39392" s="2" t="str">
        <f>"76664"</f>
        <v>76664</v>
      </c>
      <c r="C39392" s="1">
        <v>1.3205717355302901E-5</v>
      </c>
      <c r="D39392" s="1">
        <v>1.51760267340886E-6</v>
      </c>
      <c r="E39392" s="1">
        <v>8.69107991013423E-6</v>
      </c>
      <c r="F39392" s="1">
        <v>1.2336156688290999E-5</v>
      </c>
    </row>
    <row r="39393" spans="1:6" x14ac:dyDescent="0.25">
      <c r="A39393" s="2" t="str">
        <f t="shared" si="1277"/>
        <v>99999</v>
      </c>
      <c r="B39393" s="2" t="str">
        <f>"76660"</f>
        <v>76660</v>
      </c>
      <c r="C39393" s="1">
        <v>2.1718493832275099E-5</v>
      </c>
      <c r="D39393" s="1">
        <v>1.8211232080906399E-5</v>
      </c>
      <c r="E39393" s="1">
        <v>1.3036619865201299E-5</v>
      </c>
      <c r="F39393" s="1">
        <v>2.1289818800760401E-5</v>
      </c>
    </row>
    <row r="39394" spans="1:6" x14ac:dyDescent="0.25">
      <c r="A39394" s="2" t="str">
        <f t="shared" si="1277"/>
        <v>99999</v>
      </c>
      <c r="B39394" s="2" t="str">
        <f>"76682"</f>
        <v>76682</v>
      </c>
      <c r="C39394" s="1">
        <v>5.4569079980590801E-7</v>
      </c>
      <c r="D39394" s="1">
        <v>0</v>
      </c>
      <c r="E39394" s="1">
        <v>0</v>
      </c>
      <c r="F39394" s="1">
        <v>4.9742567291496303E-7</v>
      </c>
    </row>
    <row r="39395" spans="1:6" x14ac:dyDescent="0.25">
      <c r="A39395" s="2" t="str">
        <f t="shared" si="1277"/>
        <v>99999</v>
      </c>
      <c r="B39395" s="2" t="str">
        <f>"76671"</f>
        <v>76671</v>
      </c>
      <c r="C39395" s="1">
        <v>1.1383110083951199E-4</v>
      </c>
      <c r="D39395" s="1">
        <v>2.5799245447950699E-5</v>
      </c>
      <c r="E39395" s="1">
        <v>2.60732397304027E-5</v>
      </c>
      <c r="F39395" s="1">
        <v>1.0605115346547001E-4</v>
      </c>
    </row>
    <row r="39396" spans="1:6" x14ac:dyDescent="0.25">
      <c r="A39396" s="2" t="str">
        <f t="shared" si="1277"/>
        <v>99999</v>
      </c>
      <c r="B39396" s="2" t="str">
        <f>"76372"</f>
        <v>76372</v>
      </c>
      <c r="C39396" s="1">
        <v>3.7543527026646502E-5</v>
      </c>
      <c r="D39396" s="1">
        <v>1.5176026734088599E-5</v>
      </c>
      <c r="E39396" s="1">
        <v>1.3036619865201299E-5</v>
      </c>
      <c r="F39396" s="1">
        <v>3.5516193046128301E-5</v>
      </c>
    </row>
    <row r="39397" spans="1:6" x14ac:dyDescent="0.25">
      <c r="A39397" s="2" t="str">
        <f t="shared" si="1277"/>
        <v>99999</v>
      </c>
      <c r="B39397" s="2" t="str">
        <f>"76442"</f>
        <v>76442</v>
      </c>
      <c r="C39397" s="1">
        <v>5.0530968062027098E-4</v>
      </c>
      <c r="D39397" s="1">
        <v>5.4633696242719298E-4</v>
      </c>
      <c r="E39397" s="1">
        <v>3.7806197609083903E-4</v>
      </c>
      <c r="F39397" s="1">
        <v>5.0508602827785301E-4</v>
      </c>
    </row>
    <row r="39398" spans="1:6" x14ac:dyDescent="0.25">
      <c r="A39398" s="2" t="str">
        <f t="shared" si="1277"/>
        <v>99999</v>
      </c>
      <c r="B39398" s="2" t="str">
        <f>"76466"</f>
        <v>76466</v>
      </c>
      <c r="C39398" s="1">
        <v>0</v>
      </c>
      <c r="D39398" s="1">
        <v>0</v>
      </c>
      <c r="E39398" s="1">
        <v>8.69107991013423E-6</v>
      </c>
      <c r="F39398" s="1">
        <v>1.9897026916598501E-7</v>
      </c>
    </row>
    <row r="39399" spans="1:6" x14ac:dyDescent="0.25">
      <c r="A39399" s="2" t="str">
        <f t="shared" si="1277"/>
        <v>99999</v>
      </c>
      <c r="B39399" s="2" t="str">
        <f>"76252"</f>
        <v>76252</v>
      </c>
      <c r="C39399" s="1">
        <v>2.1827631992236301E-7</v>
      </c>
      <c r="D39399" s="1">
        <v>0</v>
      </c>
      <c r="E39399" s="1">
        <v>0</v>
      </c>
      <c r="F39399" s="1">
        <v>1.9897026916598501E-7</v>
      </c>
    </row>
    <row r="39400" spans="1:6" x14ac:dyDescent="0.25">
      <c r="A39400" s="2" t="str">
        <f t="shared" si="1277"/>
        <v>99999</v>
      </c>
      <c r="B39400" s="2" t="str">
        <f>"76228"</f>
        <v>76228</v>
      </c>
      <c r="C39400" s="1">
        <v>1.03681251963122E-5</v>
      </c>
      <c r="D39400" s="1">
        <v>0</v>
      </c>
      <c r="E39400" s="1">
        <v>0</v>
      </c>
      <c r="F39400" s="1">
        <v>9.4510877853842998E-6</v>
      </c>
    </row>
    <row r="39401" spans="1:6" x14ac:dyDescent="0.25">
      <c r="A39401" s="2" t="str">
        <f t="shared" si="1277"/>
        <v>99999</v>
      </c>
      <c r="B39401" s="2" t="str">
        <f>"75972"</f>
        <v>75972</v>
      </c>
      <c r="C39401" s="1">
        <v>5.2288092437402099E-4</v>
      </c>
      <c r="D39401" s="1">
        <v>5.3419614103992195E-4</v>
      </c>
      <c r="E39401" s="1">
        <v>2.6073239730402698E-4</v>
      </c>
      <c r="F39401" s="1">
        <v>5.1762115523530997E-4</v>
      </c>
    </row>
    <row r="39402" spans="1:6" x14ac:dyDescent="0.25">
      <c r="A39402" s="2" t="str">
        <f t="shared" si="1277"/>
        <v>99999</v>
      </c>
      <c r="B39402" s="2" t="str">
        <f>"75831"</f>
        <v>75831</v>
      </c>
      <c r="C39402" s="1">
        <v>2.16857523842868E-4</v>
      </c>
      <c r="D39402" s="1">
        <v>1.198906111993E-4</v>
      </c>
      <c r="E39402" s="1">
        <v>4.7800939505738197E-5</v>
      </c>
      <c r="F39402" s="1">
        <v>2.06630624528875E-4</v>
      </c>
    </row>
    <row r="39403" spans="1:6" x14ac:dyDescent="0.25">
      <c r="A39403" s="2" t="str">
        <f t="shared" si="1277"/>
        <v>99999</v>
      </c>
      <c r="B39403" s="2" t="str">
        <f>"75959"</f>
        <v>75959</v>
      </c>
      <c r="C39403" s="1">
        <v>1.1033867972075401E-4</v>
      </c>
      <c r="D39403" s="1">
        <v>4.8563285549083798E-5</v>
      </c>
      <c r="E39403" s="1">
        <v>1.3036619865201299E-5</v>
      </c>
      <c r="F39403" s="1">
        <v>1.0406145077380999E-4</v>
      </c>
    </row>
    <row r="39404" spans="1:6" x14ac:dyDescent="0.25">
      <c r="A39404" s="2" t="str">
        <f t="shared" si="1277"/>
        <v>99999</v>
      </c>
      <c r="B39404" s="2" t="str">
        <f>"75954"</f>
        <v>75954</v>
      </c>
      <c r="C39404" s="1">
        <v>1.7363881249823999E-4</v>
      </c>
      <c r="D39404" s="1">
        <v>7.2844928323625703E-5</v>
      </c>
      <c r="E39404" s="1">
        <v>2.0815136384771402E-3</v>
      </c>
      <c r="F39404" s="1">
        <v>2.1070951504677799E-4</v>
      </c>
    </row>
    <row r="39405" spans="1:6" x14ac:dyDescent="0.25">
      <c r="A39405" s="2" t="str">
        <f t="shared" si="1277"/>
        <v>99999</v>
      </c>
      <c r="B39405" s="2" t="str">
        <f>"75929"</f>
        <v>75929</v>
      </c>
      <c r="C39405" s="1">
        <v>1.7167432561893801E-4</v>
      </c>
      <c r="D39405" s="1">
        <v>4.4010477528857203E-5</v>
      </c>
      <c r="E39405" s="1">
        <v>3.9109859595604001E-5</v>
      </c>
      <c r="F39405" s="1">
        <v>1.6027055181320099E-4</v>
      </c>
    </row>
    <row r="39406" spans="1:6" x14ac:dyDescent="0.25">
      <c r="A39406" s="2" t="str">
        <f t="shared" si="1277"/>
        <v>99999</v>
      </c>
      <c r="B39406" s="2" t="str">
        <f>"75758"</f>
        <v>75758</v>
      </c>
      <c r="C39406" s="1">
        <v>3.3832829587966299E-5</v>
      </c>
      <c r="D39406" s="1">
        <v>6.0704106936354696E-6</v>
      </c>
      <c r="E39406" s="1">
        <v>0</v>
      </c>
      <c r="F39406" s="1">
        <v>3.1238332259059602E-5</v>
      </c>
    </row>
    <row r="39407" spans="1:6" x14ac:dyDescent="0.25">
      <c r="A39407" s="2" t="str">
        <f t="shared" si="1277"/>
        <v>99999</v>
      </c>
      <c r="B39407" s="2" t="str">
        <f>"75651"</f>
        <v>75651</v>
      </c>
      <c r="C39407" s="1">
        <v>4.5838027183696299E-6</v>
      </c>
      <c r="D39407" s="1">
        <v>0</v>
      </c>
      <c r="E39407" s="1">
        <v>0</v>
      </c>
      <c r="F39407" s="1">
        <v>4.1783756524856902E-6</v>
      </c>
    </row>
    <row r="39408" spans="1:6" x14ac:dyDescent="0.25">
      <c r="A39408" s="2" t="str">
        <f t="shared" si="1277"/>
        <v>99999</v>
      </c>
      <c r="B39408" s="2" t="str">
        <f>"75637"</f>
        <v>75637</v>
      </c>
      <c r="C39408" s="1">
        <v>0</v>
      </c>
      <c r="D39408" s="1">
        <v>0</v>
      </c>
      <c r="E39408" s="1">
        <v>4.3455399550671099E-6</v>
      </c>
      <c r="F39408" s="1">
        <v>9.9485134582992598E-8</v>
      </c>
    </row>
    <row r="39409" spans="1:6" x14ac:dyDescent="0.25">
      <c r="A39409" s="2" t="str">
        <f t="shared" si="1277"/>
        <v>99999</v>
      </c>
      <c r="B39409" s="2" t="str">
        <f>"75685"</f>
        <v>75685</v>
      </c>
      <c r="C39409" s="1">
        <v>0</v>
      </c>
      <c r="D39409" s="1">
        <v>0</v>
      </c>
      <c r="E39409" s="1">
        <v>4.3455399550671099E-6</v>
      </c>
      <c r="F39409" s="1">
        <v>9.9485134582992598E-8</v>
      </c>
    </row>
    <row r="39410" spans="1:6" x14ac:dyDescent="0.25">
      <c r="A39410" s="2" t="str">
        <f t="shared" si="1277"/>
        <v>99999</v>
      </c>
      <c r="B39410" s="2" t="str">
        <f>"75692"</f>
        <v>75692</v>
      </c>
      <c r="C39410" s="1">
        <v>7.4213948773603504E-6</v>
      </c>
      <c r="D39410" s="1">
        <v>7.5880133670443404E-6</v>
      </c>
      <c r="E39410" s="1">
        <v>0</v>
      </c>
      <c r="F39410" s="1">
        <v>7.2624148245584604E-6</v>
      </c>
    </row>
    <row r="39411" spans="1:6" x14ac:dyDescent="0.25">
      <c r="A39411" s="2" t="str">
        <f t="shared" si="1277"/>
        <v>99999</v>
      </c>
      <c r="B39411" s="2" t="str">
        <f>"75558"</f>
        <v>75558</v>
      </c>
      <c r="C39411" s="1">
        <v>1.3096579195341799E-6</v>
      </c>
      <c r="D39411" s="1">
        <v>0</v>
      </c>
      <c r="E39411" s="1">
        <v>0</v>
      </c>
      <c r="F39411" s="1">
        <v>1.19382161499591E-6</v>
      </c>
    </row>
    <row r="39412" spans="1:6" x14ac:dyDescent="0.25">
      <c r="A39412" s="2" t="str">
        <f t="shared" si="1277"/>
        <v>99999</v>
      </c>
      <c r="B39412" s="2" t="str">
        <f>"75555"</f>
        <v>75555</v>
      </c>
      <c r="C39412" s="1">
        <v>1.25181469475475E-4</v>
      </c>
      <c r="D39412" s="1">
        <v>1.8211232080906399E-5</v>
      </c>
      <c r="E39412" s="1">
        <v>8.69107991013423E-6</v>
      </c>
      <c r="F39412" s="1">
        <v>1.15502241250854E-4</v>
      </c>
    </row>
    <row r="39413" spans="1:6" x14ac:dyDescent="0.25">
      <c r="A39413" s="2" t="str">
        <f t="shared" si="1277"/>
        <v>99999</v>
      </c>
      <c r="B39413" s="2" t="str">
        <f>"75481"</f>
        <v>75481</v>
      </c>
      <c r="C39413" s="1">
        <v>4.6929408783308102E-6</v>
      </c>
      <c r="D39413" s="1">
        <v>0</v>
      </c>
      <c r="E39413" s="1">
        <v>0</v>
      </c>
      <c r="F39413" s="1">
        <v>4.2778607870686803E-6</v>
      </c>
    </row>
    <row r="39414" spans="1:6" x14ac:dyDescent="0.25">
      <c r="A39414" s="2" t="str">
        <f t="shared" si="1277"/>
        <v>99999</v>
      </c>
      <c r="B39414" s="2" t="str">
        <f>"75469"</f>
        <v>75469</v>
      </c>
      <c r="C39414" s="1">
        <v>1.3751408155108801E-5</v>
      </c>
      <c r="D39414" s="1">
        <v>1.51760267340886E-6</v>
      </c>
      <c r="E39414" s="1">
        <v>1.9989483793308701E-4</v>
      </c>
      <c r="F39414" s="1">
        <v>1.7210928282857699E-5</v>
      </c>
    </row>
    <row r="39415" spans="1:6" x14ac:dyDescent="0.25">
      <c r="A39415" s="2" t="str">
        <f t="shared" si="1277"/>
        <v>99999</v>
      </c>
      <c r="B39415" s="2" t="str">
        <f>"75497"</f>
        <v>75497</v>
      </c>
      <c r="C39415" s="1">
        <v>2.0594370784674901E-4</v>
      </c>
      <c r="D39415" s="1">
        <v>4.7045682875674899E-5</v>
      </c>
      <c r="E39415" s="1">
        <v>1.09507606867691E-3</v>
      </c>
      <c r="F39415" s="1">
        <v>2.15882742045094E-4</v>
      </c>
    </row>
    <row r="39416" spans="1:6" x14ac:dyDescent="0.25">
      <c r="A39416" s="2" t="str">
        <f t="shared" si="1277"/>
        <v>99999</v>
      </c>
      <c r="B39416" s="2" t="str">
        <f>"75487"</f>
        <v>75487</v>
      </c>
      <c r="C39416" s="1">
        <v>3.4160244067849798E-5</v>
      </c>
      <c r="D39416" s="1">
        <v>1.8211232080906399E-5</v>
      </c>
      <c r="E39416" s="1">
        <v>0</v>
      </c>
      <c r="F39416" s="1">
        <v>3.2332668739472599E-5</v>
      </c>
    </row>
    <row r="39417" spans="1:6" x14ac:dyDescent="0.25">
      <c r="A39417" s="2" t="str">
        <f t="shared" si="1277"/>
        <v>99999</v>
      </c>
      <c r="B39417" s="2" t="str">
        <f>"75415"</f>
        <v>75415</v>
      </c>
      <c r="C39417" s="1">
        <v>1.27691647154582E-5</v>
      </c>
      <c r="D39417" s="1">
        <v>4.5528080202265997E-6</v>
      </c>
      <c r="E39417" s="1">
        <v>4.3455399550671099E-6</v>
      </c>
      <c r="F39417" s="1">
        <v>1.20377012845421E-5</v>
      </c>
    </row>
    <row r="39418" spans="1:6" x14ac:dyDescent="0.25">
      <c r="A39418" s="2" t="str">
        <f t="shared" si="1277"/>
        <v>99999</v>
      </c>
      <c r="B39418" s="2" t="str">
        <f>"75416"</f>
        <v>75416</v>
      </c>
      <c r="C39418" s="1">
        <v>2.1827631992236301E-7</v>
      </c>
      <c r="D39418" s="1">
        <v>0</v>
      </c>
      <c r="E39418" s="1">
        <v>0</v>
      </c>
      <c r="F39418" s="1">
        <v>1.9897026916598501E-7</v>
      </c>
    </row>
    <row r="39419" spans="1:6" x14ac:dyDescent="0.25">
      <c r="A39419" s="2" t="str">
        <f t="shared" si="1277"/>
        <v>99999</v>
      </c>
      <c r="B39419" s="2" t="str">
        <f>"75127"</f>
        <v>75127</v>
      </c>
      <c r="C39419" s="1">
        <v>8.0543962051352093E-5</v>
      </c>
      <c r="D39419" s="1">
        <v>2.1246437427724101E-5</v>
      </c>
      <c r="E39419" s="1">
        <v>0</v>
      </c>
      <c r="F39419" s="1">
        <v>7.4812821206410397E-5</v>
      </c>
    </row>
    <row r="39420" spans="1:6" x14ac:dyDescent="0.25">
      <c r="A39420" s="2" t="str">
        <f t="shared" si="1277"/>
        <v>99999</v>
      </c>
      <c r="B39420" s="2" t="str">
        <f>"74965"</f>
        <v>74965</v>
      </c>
      <c r="C39420" s="1">
        <v>2.6684280110508899E-4</v>
      </c>
      <c r="D39420" s="1">
        <v>1.03196981791803E-4</v>
      </c>
      <c r="E39420" s="1">
        <v>9.9947418966543598E-5</v>
      </c>
      <c r="F39420" s="1">
        <v>2.52294301302469E-4</v>
      </c>
    </row>
    <row r="39421" spans="1:6" x14ac:dyDescent="0.25">
      <c r="A39421" s="2" t="str">
        <f t="shared" si="1277"/>
        <v>99999</v>
      </c>
      <c r="B39421" s="2" t="str">
        <f>"74959"</f>
        <v>74959</v>
      </c>
      <c r="C39421" s="1">
        <v>3.4291209859803302E-4</v>
      </c>
      <c r="D39421" s="1">
        <v>3.0503813735518201E-4</v>
      </c>
      <c r="E39421" s="1">
        <v>1.2602065869694599E-4</v>
      </c>
      <c r="F39421" s="1">
        <v>3.3546387381385101E-4</v>
      </c>
    </row>
    <row r="39422" spans="1:6" x14ac:dyDescent="0.25">
      <c r="A39422" s="2" t="str">
        <f t="shared" si="1277"/>
        <v>99999</v>
      </c>
      <c r="B39422" s="2" t="str">
        <f>"74937"</f>
        <v>74937</v>
      </c>
      <c r="C39422" s="1">
        <v>2.5374622190974699E-4</v>
      </c>
      <c r="D39422" s="1">
        <v>2.39781222398601E-4</v>
      </c>
      <c r="E39422" s="1">
        <v>1.12984038831745E-4</v>
      </c>
      <c r="F39422" s="1">
        <v>2.49608202668728E-4</v>
      </c>
    </row>
    <row r="39423" spans="1:6" x14ac:dyDescent="0.25">
      <c r="A39423" s="2" t="str">
        <f t="shared" si="1277"/>
        <v>99999</v>
      </c>
      <c r="B39423" s="2" t="str">
        <f>"74932"</f>
        <v>74932</v>
      </c>
      <c r="C39423" s="1">
        <v>1.12303166600056E-4</v>
      </c>
      <c r="D39423" s="1">
        <v>4.7045682875674899E-5</v>
      </c>
      <c r="E39423" s="1">
        <v>1.3036619865201299E-5</v>
      </c>
      <c r="F39423" s="1">
        <v>1.05752698061721E-4</v>
      </c>
    </row>
    <row r="39424" spans="1:6" x14ac:dyDescent="0.25">
      <c r="A39424" s="2" t="str">
        <f t="shared" si="1277"/>
        <v>99999</v>
      </c>
      <c r="B39424" s="2" t="str">
        <f>"74930"</f>
        <v>74930</v>
      </c>
      <c r="C39424" s="1">
        <v>1.07828502041647E-4</v>
      </c>
      <c r="D39424" s="1">
        <v>3.0352053468177301E-6</v>
      </c>
      <c r="E39424" s="1">
        <v>4.3455399550671099E-6</v>
      </c>
      <c r="F39424" s="1">
        <v>9.8589768371745706E-5</v>
      </c>
    </row>
    <row r="39425" spans="1:6" x14ac:dyDescent="0.25">
      <c r="A39425" s="2" t="str">
        <f t="shared" si="1277"/>
        <v>99999</v>
      </c>
      <c r="B39425" s="2" t="str">
        <f>"74883"</f>
        <v>74883</v>
      </c>
      <c r="C39425" s="1">
        <v>1.3445821307217501E-4</v>
      </c>
      <c r="D39425" s="1">
        <v>2.4585163309223603E-4</v>
      </c>
      <c r="E39425" s="1">
        <v>2.6942347721416101E-4</v>
      </c>
      <c r="F39425" s="1">
        <v>1.44850355952837E-4</v>
      </c>
    </row>
    <row r="39426" spans="1:6" x14ac:dyDescent="0.25">
      <c r="A39426" s="2" t="str">
        <f t="shared" si="1277"/>
        <v>99999</v>
      </c>
      <c r="B39426" s="2" t="str">
        <f>"74559"</f>
        <v>74559</v>
      </c>
      <c r="C39426" s="1">
        <v>0</v>
      </c>
      <c r="D39426" s="1">
        <v>0</v>
      </c>
      <c r="E39426" s="1">
        <v>4.3455399550671099E-6</v>
      </c>
      <c r="F39426" s="1">
        <v>9.9485134582992598E-8</v>
      </c>
    </row>
    <row r="39427" spans="1:6" x14ac:dyDescent="0.25">
      <c r="A39427" s="2" t="str">
        <f t="shared" si="1277"/>
        <v>99999</v>
      </c>
      <c r="B39427" s="2" t="str">
        <f>"74601"</f>
        <v>74601</v>
      </c>
      <c r="C39427" s="1">
        <v>4.9112171982531701E-6</v>
      </c>
      <c r="D39427" s="1">
        <v>1.51760267340886E-6</v>
      </c>
      <c r="E39427" s="1">
        <v>0</v>
      </c>
      <c r="F39427" s="1">
        <v>4.5763161908176597E-6</v>
      </c>
    </row>
    <row r="39428" spans="1:6" x14ac:dyDescent="0.25">
      <c r="A39428" s="2" t="str">
        <f t="shared" si="1277"/>
        <v>99999</v>
      </c>
      <c r="B39428" s="2" t="str">
        <f>"74576"</f>
        <v>74576</v>
      </c>
      <c r="C39428" s="1">
        <v>3.1650066388742701E-6</v>
      </c>
      <c r="D39428" s="1">
        <v>0</v>
      </c>
      <c r="E39428" s="1">
        <v>0</v>
      </c>
      <c r="F39428" s="1">
        <v>2.8850689029067799E-6</v>
      </c>
    </row>
    <row r="39429" spans="1:6" x14ac:dyDescent="0.25">
      <c r="A39429" s="2" t="str">
        <f t="shared" si="1277"/>
        <v>99999</v>
      </c>
      <c r="B39429" s="2" t="str">
        <f>"74536"</f>
        <v>74536</v>
      </c>
      <c r="C39429" s="1">
        <v>4.92213101424929E-5</v>
      </c>
      <c r="D39429" s="1">
        <v>2.88344507947685E-5</v>
      </c>
      <c r="E39429" s="1">
        <v>1.3036619865201299E-5</v>
      </c>
      <c r="F39429" s="1">
        <v>4.7056468657755498E-5</v>
      </c>
    </row>
    <row r="39430" spans="1:6" x14ac:dyDescent="0.25">
      <c r="A39430" s="2" t="str">
        <f t="shared" si="1277"/>
        <v>99999</v>
      </c>
      <c r="B39430" s="2" t="str">
        <f>"74849"</f>
        <v>74849</v>
      </c>
      <c r="C39430" s="1">
        <v>1.3947856843039001E-4</v>
      </c>
      <c r="D39430" s="1">
        <v>1.5631307536111301E-4</v>
      </c>
      <c r="E39430" s="1">
        <v>2.60732397304027E-5</v>
      </c>
      <c r="F39430" s="1">
        <v>1.3798588166661E-4</v>
      </c>
    </row>
    <row r="39431" spans="1:6" x14ac:dyDescent="0.25">
      <c r="A39431" s="2" t="str">
        <f t="shared" si="1277"/>
        <v>99999</v>
      </c>
      <c r="B39431" s="2" t="str">
        <f>"74766"</f>
        <v>74766</v>
      </c>
      <c r="C39431" s="1">
        <v>5.1513211501677703E-5</v>
      </c>
      <c r="D39431" s="1">
        <v>5.7668901589537E-5</v>
      </c>
      <c r="E39431" s="1">
        <v>4.3455399550671099E-6</v>
      </c>
      <c r="F39431" s="1">
        <v>5.0836903771909198E-5</v>
      </c>
    </row>
    <row r="39432" spans="1:6" x14ac:dyDescent="0.25">
      <c r="A39432" s="2" t="str">
        <f t="shared" si="1277"/>
        <v>99999</v>
      </c>
      <c r="B39432" s="2" t="str">
        <f>"74740"</f>
        <v>74740</v>
      </c>
      <c r="C39432" s="1">
        <v>1.9721265504985501E-4</v>
      </c>
      <c r="D39432" s="1">
        <v>1.2899622723975301E-4</v>
      </c>
      <c r="E39432" s="1">
        <v>4.3455399550671099E-6</v>
      </c>
      <c r="F39432" s="1">
        <v>1.8832535976560501E-4</v>
      </c>
    </row>
    <row r="39433" spans="1:6" x14ac:dyDescent="0.25">
      <c r="A39433" s="2" t="str">
        <f t="shared" si="1277"/>
        <v>99999</v>
      </c>
      <c r="B39433" s="2" t="str">
        <f>"74734"</f>
        <v>74734</v>
      </c>
      <c r="C39433" s="1">
        <v>4.6929408783308097E-5</v>
      </c>
      <c r="D39433" s="1">
        <v>1.66936294074975E-5</v>
      </c>
      <c r="E39433" s="1">
        <v>4.3455399550671099E-6</v>
      </c>
      <c r="F39433" s="1">
        <v>4.39724294856827E-5</v>
      </c>
    </row>
    <row r="39434" spans="1:6" x14ac:dyDescent="0.25">
      <c r="A39434" s="2" t="str">
        <f t="shared" si="1277"/>
        <v>99999</v>
      </c>
      <c r="B39434" s="2" t="str">
        <f>"74839"</f>
        <v>74839</v>
      </c>
      <c r="C39434" s="1">
        <v>3.2195757188548602E-5</v>
      </c>
      <c r="D39434" s="1">
        <v>1.21408213872709E-5</v>
      </c>
      <c r="E39434" s="1">
        <v>1.3036619865201299E-5</v>
      </c>
      <c r="F39434" s="1">
        <v>3.0442451182395699E-5</v>
      </c>
    </row>
    <row r="39435" spans="1:6" x14ac:dyDescent="0.25">
      <c r="A39435" s="2" t="str">
        <f t="shared" si="1277"/>
        <v>99999</v>
      </c>
      <c r="B39435" s="2" t="str">
        <f>"74729"</f>
        <v>74729</v>
      </c>
      <c r="C39435" s="1">
        <v>4.9330448302454102E-5</v>
      </c>
      <c r="D39435" s="1">
        <v>2.88344507947685E-5</v>
      </c>
      <c r="E39435" s="1">
        <v>1.3036619865201299E-5</v>
      </c>
      <c r="F39435" s="1">
        <v>4.7155953792338497E-5</v>
      </c>
    </row>
    <row r="39436" spans="1:6" x14ac:dyDescent="0.25">
      <c r="A39436" s="2" t="str">
        <f t="shared" si="1277"/>
        <v>99999</v>
      </c>
      <c r="B39436" s="2" t="str">
        <f>"74452"</f>
        <v>74452</v>
      </c>
      <c r="C39436" s="1">
        <v>9.4950199166228093E-6</v>
      </c>
      <c r="D39436" s="1">
        <v>0</v>
      </c>
      <c r="E39436" s="1">
        <v>0</v>
      </c>
      <c r="F39436" s="1">
        <v>8.6552067087203506E-6</v>
      </c>
    </row>
    <row r="39437" spans="1:6" x14ac:dyDescent="0.25">
      <c r="A39437" s="2" t="str">
        <f t="shared" si="1277"/>
        <v>99999</v>
      </c>
      <c r="B39437" s="2" t="str">
        <f>"74366"</f>
        <v>74366</v>
      </c>
      <c r="C39437" s="1">
        <v>9.8115205805102295E-5</v>
      </c>
      <c r="D39437" s="1">
        <v>9.1056160404532095E-6</v>
      </c>
      <c r="E39437" s="1">
        <v>4.3455399550671099E-6</v>
      </c>
      <c r="F39437" s="1">
        <v>9.01335319321913E-5</v>
      </c>
    </row>
    <row r="39438" spans="1:6" x14ac:dyDescent="0.25">
      <c r="A39438" s="2" t="str">
        <f t="shared" si="1277"/>
        <v>99999</v>
      </c>
      <c r="B39438" s="2" t="str">
        <f>"74075"</f>
        <v>74075</v>
      </c>
      <c r="C39438" s="1">
        <v>2.3464704391654001E-5</v>
      </c>
      <c r="D39438" s="1">
        <v>3.0352053468177301E-6</v>
      </c>
      <c r="E39438" s="1">
        <v>8.69107991013423E-6</v>
      </c>
      <c r="F39438" s="1">
        <v>2.1787244473675299E-5</v>
      </c>
    </row>
    <row r="39439" spans="1:6" x14ac:dyDescent="0.25">
      <c r="A39439" s="2" t="str">
        <f t="shared" si="1277"/>
        <v>99999</v>
      </c>
      <c r="B39439" s="2" t="str">
        <f>"73937"</f>
        <v>73937</v>
      </c>
      <c r="C39439" s="1">
        <v>5.6751843179814504E-6</v>
      </c>
      <c r="D39439" s="1">
        <v>4.5528080202265997E-6</v>
      </c>
      <c r="E39439" s="1">
        <v>4.3455399550671099E-6</v>
      </c>
      <c r="F39439" s="1">
        <v>5.5711675366475797E-6</v>
      </c>
    </row>
    <row r="39440" spans="1:6" x14ac:dyDescent="0.25">
      <c r="A39440" s="2" t="str">
        <f t="shared" si="1277"/>
        <v>99999</v>
      </c>
      <c r="B39440" s="2" t="str">
        <f>"73842"</f>
        <v>73842</v>
      </c>
      <c r="C39440" s="1">
        <v>4.0271981025675999E-5</v>
      </c>
      <c r="D39440" s="1">
        <v>2.1246437427724101E-5</v>
      </c>
      <c r="E39440" s="1">
        <v>4.3455399550671099E-6</v>
      </c>
      <c r="F39440" s="1">
        <v>3.8202291679869098E-5</v>
      </c>
    </row>
    <row r="39441" spans="1:6" x14ac:dyDescent="0.25">
      <c r="A39441" s="2" t="str">
        <f t="shared" si="1277"/>
        <v>99999</v>
      </c>
      <c r="B39441" s="2" t="str">
        <f>"73834"</f>
        <v>73834</v>
      </c>
      <c r="C39441" s="1">
        <v>4.81299285428811E-5</v>
      </c>
      <c r="D39441" s="1">
        <v>2.5799245447950699E-5</v>
      </c>
      <c r="E39441" s="1">
        <v>4.3455399550671099E-6</v>
      </c>
      <c r="F39441" s="1">
        <v>4.5663676773593601E-5</v>
      </c>
    </row>
    <row r="39442" spans="1:6" x14ac:dyDescent="0.25">
      <c r="A39442" s="2" t="str">
        <f t="shared" ref="A39442:A39505" si="1278">"99999"</f>
        <v>99999</v>
      </c>
      <c r="B39442" s="2" t="str">
        <f>"73488"</f>
        <v>73488</v>
      </c>
      <c r="C39442" s="1">
        <v>1.09138159961181E-7</v>
      </c>
      <c r="D39442" s="1">
        <v>0</v>
      </c>
      <c r="E39442" s="1">
        <v>0</v>
      </c>
      <c r="F39442" s="1">
        <v>9.9485134582992598E-8</v>
      </c>
    </row>
    <row r="39443" spans="1:6" x14ac:dyDescent="0.25">
      <c r="A39443" s="2" t="str">
        <f t="shared" si="1278"/>
        <v>99999</v>
      </c>
      <c r="B39443" s="2" t="str">
        <f>"73461"</f>
        <v>73461</v>
      </c>
      <c r="C39443" s="1">
        <v>4.1145086305365503E-5</v>
      </c>
      <c r="D39443" s="1">
        <v>1.51760267340886E-6</v>
      </c>
      <c r="E39443" s="1">
        <v>4.3455399550671099E-6</v>
      </c>
      <c r="F39443" s="1">
        <v>3.7704866006954201E-5</v>
      </c>
    </row>
    <row r="39444" spans="1:6" x14ac:dyDescent="0.25">
      <c r="A39444" s="2" t="str">
        <f t="shared" si="1278"/>
        <v>99999</v>
      </c>
      <c r="B39444" s="2" t="str">
        <f>"73731"</f>
        <v>73731</v>
      </c>
      <c r="C39444" s="1">
        <v>1.8553487193400799E-5</v>
      </c>
      <c r="D39444" s="1">
        <v>4.5528080202265997E-6</v>
      </c>
      <c r="E39444" s="1">
        <v>2.1727699775335501E-5</v>
      </c>
      <c r="F39444" s="1">
        <v>1.77083539557726E-5</v>
      </c>
    </row>
    <row r="39445" spans="1:6" x14ac:dyDescent="0.25">
      <c r="A39445" s="2" t="str">
        <f t="shared" si="1278"/>
        <v>99999</v>
      </c>
      <c r="B39445" s="2" t="str">
        <f>"73764"</f>
        <v>73764</v>
      </c>
      <c r="C39445" s="1">
        <v>1.3751408155108801E-5</v>
      </c>
      <c r="D39445" s="1">
        <v>1.66936294074975E-5</v>
      </c>
      <c r="E39445" s="1">
        <v>0</v>
      </c>
      <c r="F39445" s="1">
        <v>1.36294634378699E-5</v>
      </c>
    </row>
    <row r="39446" spans="1:6" x14ac:dyDescent="0.25">
      <c r="A39446" s="2" t="str">
        <f t="shared" si="1278"/>
        <v>99999</v>
      </c>
      <c r="B39446" s="2" t="str">
        <f>"73756"</f>
        <v>73756</v>
      </c>
      <c r="C39446" s="1">
        <v>2.7175401830334201E-5</v>
      </c>
      <c r="D39446" s="1">
        <v>1.8211232080906399E-5</v>
      </c>
      <c r="E39446" s="1">
        <v>1.3036619865201299E-5</v>
      </c>
      <c r="F39446" s="1">
        <v>2.6264075529910002E-5</v>
      </c>
    </row>
    <row r="39447" spans="1:6" x14ac:dyDescent="0.25">
      <c r="A39447" s="2" t="str">
        <f t="shared" si="1278"/>
        <v>99999</v>
      </c>
      <c r="B39447" s="2" t="str">
        <f>"73768"</f>
        <v>73768</v>
      </c>
      <c r="C39447" s="1">
        <v>1.10666094200638E-4</v>
      </c>
      <c r="D39447" s="1">
        <v>5.4633696242719298E-5</v>
      </c>
      <c r="E39447" s="1">
        <v>1.3036619865201299E-5</v>
      </c>
      <c r="F39447" s="1">
        <v>1.04757846715891E-4</v>
      </c>
    </row>
    <row r="39448" spans="1:6" x14ac:dyDescent="0.25">
      <c r="A39448" s="2" t="str">
        <f t="shared" si="1278"/>
        <v>99999</v>
      </c>
      <c r="B39448" s="2" t="str">
        <f>"73750"</f>
        <v>73750</v>
      </c>
      <c r="C39448" s="1">
        <v>4.08831547214586E-4</v>
      </c>
      <c r="D39448" s="1">
        <v>4.9625607420470004E-4</v>
      </c>
      <c r="E39448" s="1">
        <v>2.3465915757362401E-4</v>
      </c>
      <c r="F39448" s="1">
        <v>4.1057515042400999E-4</v>
      </c>
    </row>
    <row r="39449" spans="1:6" x14ac:dyDescent="0.25">
      <c r="A39449" s="2" t="str">
        <f t="shared" si="1278"/>
        <v>99999</v>
      </c>
      <c r="B39449" s="2" t="str">
        <f>"73737"</f>
        <v>73737</v>
      </c>
      <c r="C39449" s="1">
        <v>2.24606333200112E-4</v>
      </c>
      <c r="D39449" s="1">
        <v>4.5376319934925101E-4</v>
      </c>
      <c r="E39449" s="1">
        <v>1.3471173860707999E-4</v>
      </c>
      <c r="F39449" s="1">
        <v>2.37570501384186E-4</v>
      </c>
    </row>
    <row r="39450" spans="1:6" x14ac:dyDescent="0.25">
      <c r="A39450" s="2" t="str">
        <f t="shared" si="1278"/>
        <v>99999</v>
      </c>
      <c r="B39450" s="2" t="str">
        <f>"73555"</f>
        <v>73555</v>
      </c>
      <c r="C39450" s="1">
        <v>0</v>
      </c>
      <c r="D39450" s="1">
        <v>0</v>
      </c>
      <c r="E39450" s="1">
        <v>4.3455399550671099E-6</v>
      </c>
      <c r="F39450" s="1">
        <v>9.9485134582992598E-8</v>
      </c>
    </row>
    <row r="39451" spans="1:6" x14ac:dyDescent="0.25">
      <c r="A39451" s="2" t="str">
        <f t="shared" si="1278"/>
        <v>99999</v>
      </c>
      <c r="B39451" s="2" t="str">
        <f>"73571"</f>
        <v>73571</v>
      </c>
      <c r="C39451" s="1">
        <v>1.0258987036351001E-5</v>
      </c>
      <c r="D39451" s="1">
        <v>3.0352053468177301E-6</v>
      </c>
      <c r="E39451" s="1">
        <v>4.3455399550671099E-6</v>
      </c>
      <c r="F39451" s="1">
        <v>9.6500580545502799E-6</v>
      </c>
    </row>
    <row r="39452" spans="1:6" x14ac:dyDescent="0.25">
      <c r="A39452" s="2" t="str">
        <f t="shared" si="1278"/>
        <v>99999</v>
      </c>
      <c r="B39452" s="2" t="str">
        <f>"73553"</f>
        <v>73553</v>
      </c>
      <c r="C39452" s="1">
        <v>3.1650066388742701E-6</v>
      </c>
      <c r="D39452" s="1">
        <v>1.51760267340886E-6</v>
      </c>
      <c r="E39452" s="1">
        <v>4.3455399550671099E-6</v>
      </c>
      <c r="F39452" s="1">
        <v>3.0840391720727701E-6</v>
      </c>
    </row>
    <row r="39453" spans="1:6" x14ac:dyDescent="0.25">
      <c r="A39453" s="2" t="str">
        <f t="shared" si="1278"/>
        <v>99999</v>
      </c>
      <c r="B39453" s="2" t="str">
        <f>"73644"</f>
        <v>73644</v>
      </c>
      <c r="C39453" s="1">
        <v>3.3832829587966299E-6</v>
      </c>
      <c r="D39453" s="1">
        <v>0</v>
      </c>
      <c r="E39453" s="1">
        <v>0</v>
      </c>
      <c r="F39453" s="1">
        <v>3.0840391720727701E-6</v>
      </c>
    </row>
    <row r="39454" spans="1:6" x14ac:dyDescent="0.25">
      <c r="A39454" s="2" t="str">
        <f t="shared" si="1278"/>
        <v>99999</v>
      </c>
      <c r="B39454" s="2" t="str">
        <f>"73628"</f>
        <v>73628</v>
      </c>
      <c r="C39454" s="1">
        <v>9.0912087247664307E-5</v>
      </c>
      <c r="D39454" s="1">
        <v>3.4904861488403899E-5</v>
      </c>
      <c r="E39454" s="1">
        <v>1.3036619865201299E-5</v>
      </c>
      <c r="F39454" s="1">
        <v>8.5457730606790594E-5</v>
      </c>
    </row>
    <row r="39455" spans="1:6" x14ac:dyDescent="0.25">
      <c r="A39455" s="2" t="str">
        <f t="shared" si="1278"/>
        <v>99999</v>
      </c>
      <c r="B39455" s="2" t="str">
        <f>"73564"</f>
        <v>73564</v>
      </c>
      <c r="C39455" s="1">
        <v>4.2018191585054898E-5</v>
      </c>
      <c r="D39455" s="1">
        <v>2.2764040101133E-5</v>
      </c>
      <c r="E39455" s="1">
        <v>4.3455399550671099E-6</v>
      </c>
      <c r="F39455" s="1">
        <v>3.9893538967779998E-5</v>
      </c>
    </row>
    <row r="39456" spans="1:6" x14ac:dyDescent="0.25">
      <c r="A39456" s="2" t="str">
        <f t="shared" si="1278"/>
        <v>99999</v>
      </c>
      <c r="B39456" s="2" t="str">
        <f>"73658"</f>
        <v>73658</v>
      </c>
      <c r="C39456" s="1">
        <v>2.30281517518093E-5</v>
      </c>
      <c r="D39456" s="1">
        <v>7.5880133670443404E-6</v>
      </c>
      <c r="E39456" s="1">
        <v>4.3455399550671099E-6</v>
      </c>
      <c r="F39456" s="1">
        <v>2.15882742045094E-5</v>
      </c>
    </row>
    <row r="39457" spans="1:6" x14ac:dyDescent="0.25">
      <c r="A39457" s="2" t="str">
        <f t="shared" si="1278"/>
        <v>99999</v>
      </c>
      <c r="B39457" s="2" t="str">
        <f>"73661"</f>
        <v>73661</v>
      </c>
      <c r="C39457" s="1">
        <v>2.8157645269984799E-5</v>
      </c>
      <c r="D39457" s="1">
        <v>9.1056160404532095E-6</v>
      </c>
      <c r="E39457" s="1">
        <v>4.3455399550671099E-6</v>
      </c>
      <c r="F39457" s="1">
        <v>2.6363560664493E-5</v>
      </c>
    </row>
    <row r="39458" spans="1:6" x14ac:dyDescent="0.25">
      <c r="A39458" s="2" t="str">
        <f t="shared" si="1278"/>
        <v>99999</v>
      </c>
      <c r="B39458" s="2" t="str">
        <f>"73439"</f>
        <v>73439</v>
      </c>
      <c r="C39458" s="1">
        <v>4.5052232431975797E-4</v>
      </c>
      <c r="D39458" s="1">
        <v>2.30675606358148E-4</v>
      </c>
      <c r="E39458" s="1">
        <v>6.5183099326006705E-5</v>
      </c>
      <c r="F39458" s="1">
        <v>4.2728865303395298E-4</v>
      </c>
    </row>
    <row r="39459" spans="1:6" x14ac:dyDescent="0.25">
      <c r="A39459" s="2" t="str">
        <f t="shared" si="1278"/>
        <v>99999</v>
      </c>
      <c r="B39459" s="2" t="str">
        <f>"73086"</f>
        <v>73086</v>
      </c>
      <c r="C39459" s="1">
        <v>4.4866697560041801E-4</v>
      </c>
      <c r="D39459" s="1">
        <v>6.1614668540400095E-4</v>
      </c>
      <c r="E39459" s="1">
        <v>3.0853333680976502E-4</v>
      </c>
      <c r="F39459" s="1">
        <v>4.5643779746677E-4</v>
      </c>
    </row>
    <row r="39460" spans="1:6" x14ac:dyDescent="0.25">
      <c r="A39460" s="2" t="str">
        <f t="shared" si="1278"/>
        <v>99999</v>
      </c>
      <c r="B39460" s="2" t="str">
        <f>"73077"</f>
        <v>73077</v>
      </c>
      <c r="C39460" s="1">
        <v>3.7925510586510602E-4</v>
      </c>
      <c r="D39460" s="1">
        <v>5.7668901589537E-4</v>
      </c>
      <c r="E39460" s="1">
        <v>2.4335023748375801E-4</v>
      </c>
      <c r="F39460" s="1">
        <v>3.8908636135408399E-4</v>
      </c>
    </row>
    <row r="39461" spans="1:6" x14ac:dyDescent="0.25">
      <c r="A39461" s="2" t="str">
        <f t="shared" si="1278"/>
        <v>99999</v>
      </c>
      <c r="B39461" s="2" t="str">
        <f>"73057"</f>
        <v>73057</v>
      </c>
      <c r="C39461" s="1">
        <v>5.6860981339775603E-5</v>
      </c>
      <c r="D39461" s="1">
        <v>2.88344507947685E-5</v>
      </c>
      <c r="E39461" s="1">
        <v>1.3036619865201299E-5</v>
      </c>
      <c r="F39461" s="1">
        <v>5.4020428078565001E-5</v>
      </c>
    </row>
    <row r="39462" spans="1:6" x14ac:dyDescent="0.25">
      <c r="A39462" s="2" t="str">
        <f t="shared" si="1278"/>
        <v>99999</v>
      </c>
      <c r="B39462" s="2" t="str">
        <f>"72943"</f>
        <v>72943</v>
      </c>
      <c r="C39462" s="1">
        <v>1.30420101153612E-4</v>
      </c>
      <c r="D39462" s="1">
        <v>4.7045682875674899E-5</v>
      </c>
      <c r="E39462" s="1">
        <v>2.1727699775335501E-5</v>
      </c>
      <c r="F39462" s="1">
        <v>1.2246620067166299E-4</v>
      </c>
    </row>
    <row r="39463" spans="1:6" x14ac:dyDescent="0.25">
      <c r="A39463" s="2" t="str">
        <f t="shared" si="1278"/>
        <v>99999</v>
      </c>
      <c r="B39463" s="2" t="str">
        <f>"72927"</f>
        <v>72927</v>
      </c>
      <c r="C39463" s="1">
        <v>4.5805285735707902E-4</v>
      </c>
      <c r="D39463" s="1">
        <v>5.5999538648787196E-4</v>
      </c>
      <c r="E39463" s="1">
        <v>2.2596807766349001E-4</v>
      </c>
      <c r="F39463" s="1">
        <v>4.5942235150426002E-4</v>
      </c>
    </row>
    <row r="39464" spans="1:6" x14ac:dyDescent="0.25">
      <c r="A39464" s="2" t="str">
        <f t="shared" si="1278"/>
        <v>99999</v>
      </c>
      <c r="B39464" s="2" t="str">
        <f>"72865"</f>
        <v>72865</v>
      </c>
      <c r="C39464" s="1">
        <v>4.95487246223765E-5</v>
      </c>
      <c r="D39464" s="1">
        <v>4.5528080202265997E-6</v>
      </c>
      <c r="E39464" s="1">
        <v>8.69107991013423E-6</v>
      </c>
      <c r="F39464" s="1">
        <v>4.5663676773593601E-5</v>
      </c>
    </row>
    <row r="39465" spans="1:6" x14ac:dyDescent="0.25">
      <c r="A39465" s="2" t="str">
        <f t="shared" si="1278"/>
        <v>99999</v>
      </c>
      <c r="B39465" s="2" t="str">
        <f>"72826"</f>
        <v>72826</v>
      </c>
      <c r="C39465" s="1">
        <v>0</v>
      </c>
      <c r="D39465" s="1">
        <v>0</v>
      </c>
      <c r="E39465" s="1">
        <v>4.3455399550671099E-6</v>
      </c>
      <c r="F39465" s="1">
        <v>9.9485134582992598E-8</v>
      </c>
    </row>
    <row r="39466" spans="1:6" x14ac:dyDescent="0.25">
      <c r="A39466" s="2" t="str">
        <f t="shared" si="1278"/>
        <v>99999</v>
      </c>
      <c r="B39466" s="2" t="str">
        <f>"72838"</f>
        <v>72838</v>
      </c>
      <c r="C39466" s="1">
        <v>2.1827631992236301E-7</v>
      </c>
      <c r="D39466" s="1">
        <v>0</v>
      </c>
      <c r="E39466" s="1">
        <v>0</v>
      </c>
      <c r="F39466" s="1">
        <v>1.9897026916598501E-7</v>
      </c>
    </row>
    <row r="39467" spans="1:6" x14ac:dyDescent="0.25">
      <c r="A39467" s="2" t="str">
        <f t="shared" si="1278"/>
        <v>99999</v>
      </c>
      <c r="B39467" s="2" t="str">
        <f>"72680"</f>
        <v>72680</v>
      </c>
      <c r="C39467" s="1">
        <v>6.7338244696049106E-5</v>
      </c>
      <c r="D39467" s="1">
        <v>1.8211232080906399E-5</v>
      </c>
      <c r="E39467" s="1">
        <v>4.3455399550671099E-6</v>
      </c>
      <c r="F39467" s="1">
        <v>6.2675634787285296E-5</v>
      </c>
    </row>
    <row r="39468" spans="1:6" x14ac:dyDescent="0.25">
      <c r="A39468" s="2" t="str">
        <f t="shared" si="1278"/>
        <v>99999</v>
      </c>
      <c r="B39468" s="2" t="str">
        <f>"72341"</f>
        <v>72341</v>
      </c>
      <c r="C39468" s="1">
        <v>6.5482895976708995E-7</v>
      </c>
      <c r="D39468" s="1">
        <v>0</v>
      </c>
      <c r="E39468" s="1">
        <v>4.3455399550671099E-6</v>
      </c>
      <c r="F39468" s="1">
        <v>6.9639594208094799E-7</v>
      </c>
    </row>
    <row r="39469" spans="1:6" x14ac:dyDescent="0.25">
      <c r="A39469" s="2" t="str">
        <f t="shared" si="1278"/>
        <v>99999</v>
      </c>
      <c r="B39469" s="2" t="str">
        <f>"72348"</f>
        <v>72348</v>
      </c>
      <c r="C39469" s="1">
        <v>3.8198355986413598E-6</v>
      </c>
      <c r="D39469" s="1">
        <v>0</v>
      </c>
      <c r="E39469" s="1">
        <v>0</v>
      </c>
      <c r="F39469" s="1">
        <v>3.48197971040474E-6</v>
      </c>
    </row>
    <row r="39470" spans="1:6" x14ac:dyDescent="0.25">
      <c r="A39470" s="2" t="str">
        <f t="shared" si="1278"/>
        <v>99999</v>
      </c>
      <c r="B39470" s="2" t="str">
        <f>"72347"</f>
        <v>72347</v>
      </c>
      <c r="C39470" s="1">
        <v>3.3614553268043901E-5</v>
      </c>
      <c r="D39470" s="1">
        <v>1.3658424060679801E-5</v>
      </c>
      <c r="E39470" s="1">
        <v>3.47643196405369E-5</v>
      </c>
      <c r="F39470" s="1">
        <v>3.2332668739472599E-5</v>
      </c>
    </row>
    <row r="39471" spans="1:6" x14ac:dyDescent="0.25">
      <c r="A39471" s="2" t="str">
        <f t="shared" si="1278"/>
        <v>99999</v>
      </c>
      <c r="B39471" s="2" t="str">
        <f>"72613"</f>
        <v>72613</v>
      </c>
      <c r="C39471" s="1">
        <v>0</v>
      </c>
      <c r="D39471" s="1">
        <v>0</v>
      </c>
      <c r="E39471" s="1">
        <v>4.3455399550671099E-6</v>
      </c>
      <c r="F39471" s="1">
        <v>9.9485134582992598E-8</v>
      </c>
    </row>
    <row r="39472" spans="1:6" x14ac:dyDescent="0.25">
      <c r="A39472" s="2" t="str">
        <f t="shared" si="1278"/>
        <v>99999</v>
      </c>
      <c r="B39472" s="2" t="str">
        <f>"72476"</f>
        <v>72476</v>
      </c>
      <c r="C39472" s="1">
        <v>3.5764575019279202E-4</v>
      </c>
      <c r="D39472" s="1">
        <v>6.7229798432012896E-4</v>
      </c>
      <c r="E39472" s="1">
        <v>1.82512678112818E-4</v>
      </c>
      <c r="F39472" s="1">
        <v>3.7426307630121801E-4</v>
      </c>
    </row>
    <row r="39473" spans="1:6" x14ac:dyDescent="0.25">
      <c r="A39473" s="2" t="str">
        <f t="shared" si="1278"/>
        <v>99999</v>
      </c>
      <c r="B39473" s="2" t="str">
        <f>"72460"</f>
        <v>72460</v>
      </c>
      <c r="C39473" s="1">
        <v>5.12949351817554E-5</v>
      </c>
      <c r="D39473" s="1">
        <v>7.5880133670443404E-6</v>
      </c>
      <c r="E39473" s="1">
        <v>4.3455399550671099E-6</v>
      </c>
      <c r="F39473" s="1">
        <v>4.7354924061504399E-5</v>
      </c>
    </row>
    <row r="39474" spans="1:6" x14ac:dyDescent="0.25">
      <c r="A39474" s="2" t="str">
        <f t="shared" si="1278"/>
        <v>99999</v>
      </c>
      <c r="B39474" s="2" t="str">
        <f>"72459"</f>
        <v>72459</v>
      </c>
      <c r="C39474" s="1">
        <v>7.6396711972827203E-5</v>
      </c>
      <c r="D39474" s="1">
        <v>2.7316848121359601E-5</v>
      </c>
      <c r="E39474" s="1">
        <v>1.3036619865201299E-5</v>
      </c>
      <c r="F39474" s="1">
        <v>7.1728782034337598E-5</v>
      </c>
    </row>
    <row r="39475" spans="1:6" x14ac:dyDescent="0.25">
      <c r="A39475" s="2" t="str">
        <f t="shared" si="1278"/>
        <v>99999</v>
      </c>
      <c r="B39475" s="2" t="str">
        <f>"72555"</f>
        <v>72555</v>
      </c>
      <c r="C39475" s="1">
        <v>7.2031185574379897E-6</v>
      </c>
      <c r="D39475" s="1">
        <v>3.0352053468177301E-6</v>
      </c>
      <c r="E39475" s="1">
        <v>4.3455399550671099E-6</v>
      </c>
      <c r="F39475" s="1">
        <v>6.86447428622649E-6</v>
      </c>
    </row>
    <row r="39476" spans="1:6" x14ac:dyDescent="0.25">
      <c r="A39476" s="2" t="str">
        <f t="shared" si="1278"/>
        <v>99999</v>
      </c>
      <c r="B39476" s="2" t="str">
        <f>"72561"</f>
        <v>72561</v>
      </c>
      <c r="C39476" s="1">
        <v>6.5046343336864297E-5</v>
      </c>
      <c r="D39476" s="1">
        <v>3.0352053468177301E-6</v>
      </c>
      <c r="E39476" s="1">
        <v>1.3036619865201299E-5</v>
      </c>
      <c r="F39476" s="1">
        <v>5.9790565884378502E-5</v>
      </c>
    </row>
    <row r="39477" spans="1:6" x14ac:dyDescent="0.25">
      <c r="A39477" s="2" t="str">
        <f t="shared" si="1278"/>
        <v>99999</v>
      </c>
      <c r="B39477" s="2" t="str">
        <f>"72530"</f>
        <v>72530</v>
      </c>
      <c r="C39477" s="1">
        <v>1.25508883955359E-4</v>
      </c>
      <c r="D39477" s="1">
        <v>3.3387258814995101E-5</v>
      </c>
      <c r="E39477" s="1">
        <v>4.3455399550671099E-6</v>
      </c>
      <c r="F39477" s="1">
        <v>1.1669606286585E-4</v>
      </c>
    </row>
    <row r="39478" spans="1:6" x14ac:dyDescent="0.25">
      <c r="A39478" s="2" t="str">
        <f t="shared" si="1278"/>
        <v>99999</v>
      </c>
      <c r="B39478" s="2" t="str">
        <f>"72519"</f>
        <v>72519</v>
      </c>
      <c r="C39478" s="1">
        <v>1.09356436281104E-4</v>
      </c>
      <c r="D39478" s="1">
        <v>4.8563285549083798E-5</v>
      </c>
      <c r="E39478" s="1">
        <v>3.47643196405369E-5</v>
      </c>
      <c r="F39478" s="1">
        <v>1.03663510235478E-4</v>
      </c>
    </row>
    <row r="39479" spans="1:6" x14ac:dyDescent="0.25">
      <c r="A39479" s="2" t="str">
        <f t="shared" si="1278"/>
        <v>99999</v>
      </c>
      <c r="B39479" s="2" t="str">
        <f>"72335"</f>
        <v>72335</v>
      </c>
      <c r="C39479" s="1">
        <v>2.1827631992236301E-7</v>
      </c>
      <c r="D39479" s="1">
        <v>0</v>
      </c>
      <c r="E39479" s="1">
        <v>0</v>
      </c>
      <c r="F39479" s="1">
        <v>1.9897026916598501E-7</v>
      </c>
    </row>
    <row r="39480" spans="1:6" x14ac:dyDescent="0.25">
      <c r="A39480" s="2" t="str">
        <f t="shared" si="1278"/>
        <v>99999</v>
      </c>
      <c r="B39480" s="2" t="str">
        <f>"72445"</f>
        <v>72445</v>
      </c>
      <c r="C39480" s="1">
        <v>0</v>
      </c>
      <c r="D39480" s="1">
        <v>0</v>
      </c>
      <c r="E39480" s="1">
        <v>4.3455399550671099E-6</v>
      </c>
      <c r="F39480" s="1">
        <v>9.9485134582992598E-8</v>
      </c>
    </row>
    <row r="39481" spans="1:6" x14ac:dyDescent="0.25">
      <c r="A39481" s="2" t="str">
        <f t="shared" si="1278"/>
        <v>99999</v>
      </c>
      <c r="B39481" s="2" t="str">
        <f>"72444"</f>
        <v>72444</v>
      </c>
      <c r="C39481" s="1">
        <v>1.0990212708091E-4</v>
      </c>
      <c r="D39481" s="1">
        <v>2.5799245447950699E-5</v>
      </c>
      <c r="E39481" s="1">
        <v>8.69107991013423E-6</v>
      </c>
      <c r="F39481" s="1">
        <v>1.0207174808215E-4</v>
      </c>
    </row>
    <row r="39482" spans="1:6" x14ac:dyDescent="0.25">
      <c r="A39482" s="2" t="str">
        <f t="shared" si="1278"/>
        <v>99999</v>
      </c>
      <c r="B39482" s="2" t="str">
        <f>"72431"</f>
        <v>72431</v>
      </c>
      <c r="C39482" s="1">
        <v>0</v>
      </c>
      <c r="D39482" s="1">
        <v>0</v>
      </c>
      <c r="E39482" s="1">
        <v>4.3455399550671099E-6</v>
      </c>
      <c r="F39482" s="1">
        <v>9.9485134582992598E-8</v>
      </c>
    </row>
    <row r="39483" spans="1:6" x14ac:dyDescent="0.25">
      <c r="A39483" s="2" t="str">
        <f t="shared" si="1278"/>
        <v>99999</v>
      </c>
      <c r="B39483" s="2" t="str">
        <f>"72055"</f>
        <v>72055</v>
      </c>
      <c r="C39483" s="1">
        <v>1.4078822634992399E-5</v>
      </c>
      <c r="D39483" s="1">
        <v>1.3658424060679801E-5</v>
      </c>
      <c r="E39483" s="1">
        <v>4.3455399550671099E-6</v>
      </c>
      <c r="F39483" s="1">
        <v>1.3828433707035901E-5</v>
      </c>
    </row>
    <row r="39484" spans="1:6" x14ac:dyDescent="0.25">
      <c r="A39484" s="2" t="str">
        <f t="shared" si="1278"/>
        <v>99999</v>
      </c>
      <c r="B39484" s="2" t="str">
        <f>"72040"</f>
        <v>72040</v>
      </c>
      <c r="C39484" s="1">
        <v>2.0387008280748701E-4</v>
      </c>
      <c r="D39484" s="1">
        <v>2.1094677160383201E-4</v>
      </c>
      <c r="E39484" s="1">
        <v>5.6492019415872502E-5</v>
      </c>
      <c r="F39484" s="1">
        <v>2.0095997185764499E-4</v>
      </c>
    </row>
    <row r="39485" spans="1:6" x14ac:dyDescent="0.25">
      <c r="A39485" s="2" t="str">
        <f t="shared" si="1278"/>
        <v>99999</v>
      </c>
      <c r="B39485" s="2" t="str">
        <f>"72123"</f>
        <v>72123</v>
      </c>
      <c r="C39485" s="1">
        <v>0</v>
      </c>
      <c r="D39485" s="1">
        <v>0</v>
      </c>
      <c r="E39485" s="1">
        <v>4.3455399550671099E-6</v>
      </c>
      <c r="F39485" s="1">
        <v>9.9485134582992598E-8</v>
      </c>
    </row>
    <row r="39486" spans="1:6" x14ac:dyDescent="0.25">
      <c r="A39486" s="2" t="str">
        <f t="shared" si="1278"/>
        <v>99999</v>
      </c>
      <c r="B39486" s="2" t="str">
        <f>"72137"</f>
        <v>72137</v>
      </c>
      <c r="C39486" s="1">
        <v>3.9835428385831298E-5</v>
      </c>
      <c r="D39486" s="1">
        <v>3.1869656141586203E-5</v>
      </c>
      <c r="E39486" s="1">
        <v>0</v>
      </c>
      <c r="F39486" s="1">
        <v>3.8401261949035102E-5</v>
      </c>
    </row>
    <row r="39487" spans="1:6" x14ac:dyDescent="0.25">
      <c r="A39487" s="2" t="str">
        <f t="shared" si="1278"/>
        <v>99999</v>
      </c>
      <c r="B39487" s="2" t="str">
        <f>"72176"</f>
        <v>72176</v>
      </c>
      <c r="C39487" s="1">
        <v>1.9754006952973801E-5</v>
      </c>
      <c r="D39487" s="1">
        <v>0</v>
      </c>
      <c r="E39487" s="1">
        <v>0</v>
      </c>
      <c r="F39487" s="1">
        <v>1.8006809359521599E-5</v>
      </c>
    </row>
    <row r="39488" spans="1:6" x14ac:dyDescent="0.25">
      <c r="A39488" s="2" t="str">
        <f t="shared" si="1278"/>
        <v>99999</v>
      </c>
      <c r="B39488" s="2" t="str">
        <f>"72025"</f>
        <v>72025</v>
      </c>
      <c r="C39488" s="1">
        <v>7.9670856771662607E-6</v>
      </c>
      <c r="D39488" s="1">
        <v>0</v>
      </c>
      <c r="E39488" s="1">
        <v>0</v>
      </c>
      <c r="F39488" s="1">
        <v>7.2624148245584604E-6</v>
      </c>
    </row>
    <row r="39489" spans="1:6" x14ac:dyDescent="0.25">
      <c r="A39489" s="2" t="str">
        <f t="shared" si="1278"/>
        <v>99999</v>
      </c>
      <c r="B39489" s="2" t="str">
        <f>"72030"</f>
        <v>72030</v>
      </c>
      <c r="C39489" s="1">
        <v>4.5183198223929198E-5</v>
      </c>
      <c r="D39489" s="1">
        <v>6.0704106936354696E-6</v>
      </c>
      <c r="E39489" s="1">
        <v>4.3455399550671099E-6</v>
      </c>
      <c r="F39489" s="1">
        <v>4.1684271390273897E-5</v>
      </c>
    </row>
    <row r="39490" spans="1:6" x14ac:dyDescent="0.25">
      <c r="A39490" s="2" t="str">
        <f t="shared" si="1278"/>
        <v>99999</v>
      </c>
      <c r="B39490" s="2" t="str">
        <f>"71742"</f>
        <v>71742</v>
      </c>
      <c r="C39490" s="1">
        <v>2.8397749221899401E-4</v>
      </c>
      <c r="D39490" s="1">
        <v>5.94900247976276E-4</v>
      </c>
      <c r="E39490" s="1">
        <v>2.1727699775335501E-4</v>
      </c>
      <c r="F39490" s="1">
        <v>3.0283274967062902E-4</v>
      </c>
    </row>
    <row r="39491" spans="1:6" x14ac:dyDescent="0.25">
      <c r="A39491" s="2" t="str">
        <f t="shared" si="1278"/>
        <v>99999</v>
      </c>
      <c r="B39491" s="2" t="str">
        <f>"71970"</f>
        <v>71970</v>
      </c>
      <c r="C39491" s="1">
        <v>3.9944566545792501E-5</v>
      </c>
      <c r="D39491" s="1">
        <v>1.8211232080906399E-5</v>
      </c>
      <c r="E39491" s="1">
        <v>4.3455399550671099E-6</v>
      </c>
      <c r="F39491" s="1">
        <v>3.7704866006954201E-5</v>
      </c>
    </row>
    <row r="39492" spans="1:6" x14ac:dyDescent="0.25">
      <c r="A39492" s="2" t="str">
        <f t="shared" si="1278"/>
        <v>99999</v>
      </c>
      <c r="B39492" s="2" t="str">
        <f>"71960"</f>
        <v>71960</v>
      </c>
      <c r="C39492" s="1">
        <v>6.9193593415389201E-5</v>
      </c>
      <c r="D39492" s="1">
        <v>1.8211232080906399E-5</v>
      </c>
      <c r="E39492" s="1">
        <v>1.3036619865201299E-5</v>
      </c>
      <c r="F39492" s="1">
        <v>6.4565852344362193E-5</v>
      </c>
    </row>
    <row r="39493" spans="1:6" x14ac:dyDescent="0.25">
      <c r="A39493" s="2" t="str">
        <f t="shared" si="1278"/>
        <v>99999</v>
      </c>
      <c r="B39493" s="2" t="str">
        <f>"71932"</f>
        <v>71932</v>
      </c>
      <c r="C39493" s="1">
        <v>0</v>
      </c>
      <c r="D39493" s="1">
        <v>0</v>
      </c>
      <c r="E39493" s="1">
        <v>4.3455399550671099E-6</v>
      </c>
      <c r="F39493" s="1">
        <v>9.9485134582992598E-8</v>
      </c>
    </row>
    <row r="39494" spans="1:6" x14ac:dyDescent="0.25">
      <c r="A39494" s="2" t="str">
        <f t="shared" si="1278"/>
        <v>99999</v>
      </c>
      <c r="B39494" s="2" t="str">
        <f>"71922"</f>
        <v>71922</v>
      </c>
      <c r="C39494" s="1">
        <v>1.09138159961181E-7</v>
      </c>
      <c r="D39494" s="1">
        <v>0</v>
      </c>
      <c r="E39494" s="1">
        <v>8.69107991013423E-6</v>
      </c>
      <c r="F39494" s="1">
        <v>2.9845540374897701E-7</v>
      </c>
    </row>
    <row r="39495" spans="1:6" x14ac:dyDescent="0.25">
      <c r="A39495" s="2" t="str">
        <f t="shared" si="1278"/>
        <v>99999</v>
      </c>
      <c r="B39495" s="2" t="str">
        <f>"71921"</f>
        <v>71921</v>
      </c>
      <c r="C39495" s="1">
        <v>6.45006525370584E-5</v>
      </c>
      <c r="D39495" s="1">
        <v>1.21408213872709E-5</v>
      </c>
      <c r="E39495" s="1">
        <v>4.3455399550671099E-6</v>
      </c>
      <c r="F39495" s="1">
        <v>5.9691080749795503E-5</v>
      </c>
    </row>
    <row r="39496" spans="1:6" x14ac:dyDescent="0.25">
      <c r="A39496" s="2" t="str">
        <f t="shared" si="1278"/>
        <v>99999</v>
      </c>
      <c r="B39496" s="2" t="str">
        <f>"71652"</f>
        <v>71652</v>
      </c>
      <c r="C39496" s="1">
        <v>5.4569079980590801E-7</v>
      </c>
      <c r="D39496" s="1">
        <v>0</v>
      </c>
      <c r="E39496" s="1">
        <v>0</v>
      </c>
      <c r="F39496" s="1">
        <v>4.9742567291496303E-7</v>
      </c>
    </row>
    <row r="39497" spans="1:6" x14ac:dyDescent="0.25">
      <c r="A39497" s="2" t="str">
        <f t="shared" si="1278"/>
        <v>99999</v>
      </c>
      <c r="B39497" s="2" t="str">
        <f>"71653"</f>
        <v>71653</v>
      </c>
      <c r="C39497" s="1">
        <v>3.1791945996692198E-4</v>
      </c>
      <c r="D39497" s="1">
        <v>4.5679840469606899E-4</v>
      </c>
      <c r="E39497" s="1">
        <v>1.82512678112818E-4</v>
      </c>
      <c r="F39497" s="1">
        <v>3.2392359820222402E-4</v>
      </c>
    </row>
    <row r="39498" spans="1:6" x14ac:dyDescent="0.25">
      <c r="A39498" s="2" t="str">
        <f t="shared" si="1278"/>
        <v>99999</v>
      </c>
      <c r="B39498" s="2" t="str">
        <f>"71642"</f>
        <v>71642</v>
      </c>
      <c r="C39498" s="1">
        <v>3.5142487507500497E-5</v>
      </c>
      <c r="D39498" s="1">
        <v>6.0704106936354696E-6</v>
      </c>
      <c r="E39498" s="1">
        <v>4.3455399550671099E-6</v>
      </c>
      <c r="F39498" s="1">
        <v>3.2531639008638501E-5</v>
      </c>
    </row>
    <row r="39499" spans="1:6" x14ac:dyDescent="0.25">
      <c r="A39499" s="2" t="str">
        <f t="shared" si="1278"/>
        <v>99999</v>
      </c>
      <c r="B39499" s="2" t="str">
        <f>"71635"</f>
        <v>71635</v>
      </c>
      <c r="C39499" s="1">
        <v>7.0514165150919496E-4</v>
      </c>
      <c r="D39499" s="1">
        <v>8.4530468908874002E-4</v>
      </c>
      <c r="E39499" s="1">
        <v>3.9978967586617401E-4</v>
      </c>
      <c r="F39499" s="1">
        <v>7.07339306885077E-4</v>
      </c>
    </row>
    <row r="39500" spans="1:6" x14ac:dyDescent="0.25">
      <c r="A39500" s="2" t="str">
        <f t="shared" si="1278"/>
        <v>99999</v>
      </c>
      <c r="B39500" s="2" t="str">
        <f>"71468"</f>
        <v>71468</v>
      </c>
      <c r="C39500" s="1">
        <v>2.1827631992236301E-7</v>
      </c>
      <c r="D39500" s="1">
        <v>0</v>
      </c>
      <c r="E39500" s="1">
        <v>0</v>
      </c>
      <c r="F39500" s="1">
        <v>1.9897026916598501E-7</v>
      </c>
    </row>
    <row r="39501" spans="1:6" x14ac:dyDescent="0.25">
      <c r="A39501" s="2" t="str">
        <f t="shared" si="1278"/>
        <v>99999</v>
      </c>
      <c r="B39501" s="2" t="str">
        <f>"71471"</f>
        <v>71471</v>
      </c>
      <c r="C39501" s="1">
        <v>0</v>
      </c>
      <c r="D39501" s="1">
        <v>0</v>
      </c>
      <c r="E39501" s="1">
        <v>4.3455399550671099E-6</v>
      </c>
      <c r="F39501" s="1">
        <v>9.9485134582992598E-8</v>
      </c>
    </row>
    <row r="39502" spans="1:6" x14ac:dyDescent="0.25">
      <c r="A39502" s="2" t="str">
        <f t="shared" si="1278"/>
        <v>99999</v>
      </c>
      <c r="B39502" s="2" t="str">
        <f>"71249"</f>
        <v>71249</v>
      </c>
      <c r="C39502" s="1">
        <v>0</v>
      </c>
      <c r="D39502" s="1">
        <v>0</v>
      </c>
      <c r="E39502" s="1">
        <v>4.3455399550671099E-6</v>
      </c>
      <c r="F39502" s="1">
        <v>9.9485134582992598E-8</v>
      </c>
    </row>
    <row r="39503" spans="1:6" x14ac:dyDescent="0.25">
      <c r="A39503" s="2" t="str">
        <f t="shared" si="1278"/>
        <v>99999</v>
      </c>
      <c r="B39503" s="2" t="str">
        <f>"71243"</f>
        <v>71243</v>
      </c>
      <c r="C39503" s="1">
        <v>1.23326120756135E-5</v>
      </c>
      <c r="D39503" s="1">
        <v>3.0352053468177301E-6</v>
      </c>
      <c r="E39503" s="1">
        <v>4.3455399550671099E-6</v>
      </c>
      <c r="F39503" s="1">
        <v>1.1540275611627099E-5</v>
      </c>
    </row>
    <row r="39504" spans="1:6" x14ac:dyDescent="0.25">
      <c r="A39504" s="2" t="str">
        <f t="shared" si="1278"/>
        <v>99999</v>
      </c>
      <c r="B39504" s="2" t="str">
        <f>"71441"</f>
        <v>71441</v>
      </c>
      <c r="C39504" s="1">
        <v>3.1104375588936701E-5</v>
      </c>
      <c r="D39504" s="1">
        <v>3.0352053468177301E-6</v>
      </c>
      <c r="E39504" s="1">
        <v>4.3455399550671099E-6</v>
      </c>
      <c r="F39504" s="1">
        <v>2.86517187599018E-5</v>
      </c>
    </row>
    <row r="39505" spans="1:6" x14ac:dyDescent="0.25">
      <c r="A39505" s="2" t="str">
        <f t="shared" si="1278"/>
        <v>99999</v>
      </c>
      <c r="B39505" s="2" t="str">
        <f>"71454"</f>
        <v>71454</v>
      </c>
      <c r="C39505" s="1">
        <v>1.34239936752253E-5</v>
      </c>
      <c r="D39505" s="1">
        <v>1.51760267340886E-6</v>
      </c>
      <c r="E39505" s="1">
        <v>0</v>
      </c>
      <c r="F39505" s="1">
        <v>1.2336156688290999E-5</v>
      </c>
    </row>
    <row r="39506" spans="1:6" x14ac:dyDescent="0.25">
      <c r="A39506" s="2" t="str">
        <f t="shared" ref="A39506:A39569" si="1279">"99999"</f>
        <v>99999</v>
      </c>
      <c r="B39506" s="2" t="str">
        <f>"71357"</f>
        <v>71357</v>
      </c>
      <c r="C39506" s="1">
        <v>4.7802514062997601E-5</v>
      </c>
      <c r="D39506" s="1">
        <v>4.4010477528857203E-5</v>
      </c>
      <c r="E39506" s="1">
        <v>1.3036619865201299E-5</v>
      </c>
      <c r="F39506" s="1">
        <v>4.6758013254006503E-5</v>
      </c>
    </row>
    <row r="39507" spans="1:6" x14ac:dyDescent="0.25">
      <c r="A39507" s="2" t="str">
        <f t="shared" si="1279"/>
        <v>99999</v>
      </c>
      <c r="B39507" s="2" t="str">
        <f>"71350"</f>
        <v>71350</v>
      </c>
      <c r="C39507" s="1">
        <v>1.6621741762087901E-4</v>
      </c>
      <c r="D39507" s="1">
        <v>1.9880595021656101E-4</v>
      </c>
      <c r="E39507" s="1">
        <v>1.2602065869694599E-4</v>
      </c>
      <c r="F39507" s="1">
        <v>1.6743348150317599E-4</v>
      </c>
    </row>
    <row r="39508" spans="1:6" x14ac:dyDescent="0.25">
      <c r="A39508" s="2" t="str">
        <f t="shared" si="1279"/>
        <v>99999</v>
      </c>
      <c r="B39508" s="2" t="str">
        <f>"71333"</f>
        <v>71333</v>
      </c>
      <c r="C39508" s="1">
        <v>3.1104375588936701E-5</v>
      </c>
      <c r="D39508" s="1">
        <v>3.0352053468177301E-6</v>
      </c>
      <c r="E39508" s="1">
        <v>1.3036619865201299E-5</v>
      </c>
      <c r="F39508" s="1">
        <v>2.88506890290678E-5</v>
      </c>
    </row>
    <row r="39509" spans="1:6" x14ac:dyDescent="0.25">
      <c r="A39509" s="2" t="str">
        <f t="shared" si="1279"/>
        <v>99999</v>
      </c>
      <c r="B39509" s="2" t="str">
        <f>"71045"</f>
        <v>71045</v>
      </c>
      <c r="C39509" s="1">
        <v>3.7543527026646502E-5</v>
      </c>
      <c r="D39509" s="1">
        <v>1.51760267340886E-6</v>
      </c>
      <c r="E39509" s="1">
        <v>4.3455399550671099E-6</v>
      </c>
      <c r="F39509" s="1">
        <v>3.4421856565715399E-5</v>
      </c>
    </row>
    <row r="39510" spans="1:6" x14ac:dyDescent="0.25">
      <c r="A39510" s="2" t="str">
        <f t="shared" si="1279"/>
        <v>99999</v>
      </c>
      <c r="B39510" s="2" t="str">
        <f>"71038"</f>
        <v>71038</v>
      </c>
      <c r="C39510" s="1">
        <v>2.3835774135521999E-4</v>
      </c>
      <c r="D39510" s="1">
        <v>3.36907793496769E-4</v>
      </c>
      <c r="E39510" s="1">
        <v>5.6492019415872502E-5</v>
      </c>
      <c r="F39510" s="1">
        <v>2.4065454055625899E-4</v>
      </c>
    </row>
    <row r="39511" spans="1:6" x14ac:dyDescent="0.25">
      <c r="A39511" s="2" t="str">
        <f t="shared" si="1279"/>
        <v>99999</v>
      </c>
      <c r="B39511" s="2" t="str">
        <f>"71031"</f>
        <v>71031</v>
      </c>
      <c r="C39511" s="1">
        <v>2.7175401830334201E-5</v>
      </c>
      <c r="D39511" s="1">
        <v>2.1246437427724101E-5</v>
      </c>
      <c r="E39511" s="1">
        <v>8.69107991013423E-6</v>
      </c>
      <c r="F39511" s="1">
        <v>2.6363560664493E-5</v>
      </c>
    </row>
    <row r="39512" spans="1:6" x14ac:dyDescent="0.25">
      <c r="A39512" s="2" t="str">
        <f t="shared" si="1279"/>
        <v>99999</v>
      </c>
      <c r="B39512" s="2" t="str">
        <f>"71008"</f>
        <v>71008</v>
      </c>
      <c r="C39512" s="1">
        <v>4.2127329745016101E-5</v>
      </c>
      <c r="D39512" s="1">
        <v>3.6422464161812797E-5</v>
      </c>
      <c r="E39512" s="1">
        <v>1.3036619865201299E-5</v>
      </c>
      <c r="F39512" s="1">
        <v>4.1087360582775899E-5</v>
      </c>
    </row>
    <row r="39513" spans="1:6" x14ac:dyDescent="0.25">
      <c r="A39513" s="2" t="str">
        <f t="shared" si="1279"/>
        <v>99999</v>
      </c>
      <c r="B39513" s="2" t="str">
        <f>"70585"</f>
        <v>70585</v>
      </c>
      <c r="C39513" s="1">
        <v>1.09138159961181E-7</v>
      </c>
      <c r="D39513" s="1">
        <v>1.51760267340886E-6</v>
      </c>
      <c r="E39513" s="1">
        <v>4.3455399550671099E-6</v>
      </c>
      <c r="F39513" s="1">
        <v>2.9845540374897701E-7</v>
      </c>
    </row>
    <row r="39514" spans="1:6" x14ac:dyDescent="0.25">
      <c r="A39514" s="2" t="str">
        <f t="shared" si="1279"/>
        <v>99999</v>
      </c>
      <c r="B39514" s="2" t="str">
        <f>"59918"</f>
        <v>59918</v>
      </c>
      <c r="C39514" s="1">
        <v>7.63967119728272E-7</v>
      </c>
      <c r="D39514" s="1">
        <v>0</v>
      </c>
      <c r="E39514" s="1">
        <v>4.3455399550671099E-6</v>
      </c>
      <c r="F39514" s="1">
        <v>7.9588107666394099E-7</v>
      </c>
    </row>
    <row r="39515" spans="1:6" x14ac:dyDescent="0.25">
      <c r="A39515" s="2" t="str">
        <f t="shared" si="1279"/>
        <v>99999</v>
      </c>
      <c r="B39515" s="2" t="str">
        <f>"59929"</f>
        <v>59929</v>
      </c>
      <c r="C39515" s="1">
        <v>1.1459506795924E-5</v>
      </c>
      <c r="D39515" s="1">
        <v>7.5880133670443404E-6</v>
      </c>
      <c r="E39515" s="1">
        <v>4.3455399550671099E-6</v>
      </c>
      <c r="F39515" s="1">
        <v>1.10428499387121E-5</v>
      </c>
    </row>
    <row r="39516" spans="1:6" x14ac:dyDescent="0.25">
      <c r="A39516" s="2" t="str">
        <f t="shared" si="1279"/>
        <v>99999</v>
      </c>
      <c r="B39516" s="2" t="str">
        <f>"59917"</f>
        <v>59917</v>
      </c>
      <c r="C39516" s="1">
        <v>1.4308012770910899E-4</v>
      </c>
      <c r="D39516" s="1">
        <v>1.54795472687704E-4</v>
      </c>
      <c r="E39516" s="1">
        <v>8.69107991013423E-5</v>
      </c>
      <c r="F39516" s="1">
        <v>1.42562197857428E-4</v>
      </c>
    </row>
    <row r="39517" spans="1:6" x14ac:dyDescent="0.25">
      <c r="A39517" s="2" t="str">
        <f t="shared" si="1279"/>
        <v>99999</v>
      </c>
      <c r="B39517" s="2" t="str">
        <f>"59647"</f>
        <v>59647</v>
      </c>
      <c r="C39517" s="1">
        <v>1.1677783115846399E-5</v>
      </c>
      <c r="D39517" s="1">
        <v>3.0352053468177301E-6</v>
      </c>
      <c r="E39517" s="1">
        <v>4.3455399550671099E-6</v>
      </c>
      <c r="F39517" s="1">
        <v>1.09433648041291E-5</v>
      </c>
    </row>
    <row r="39518" spans="1:6" x14ac:dyDescent="0.25">
      <c r="A39518" s="2" t="str">
        <f t="shared" si="1279"/>
        <v>99999</v>
      </c>
      <c r="B39518" s="2" t="str">
        <f>"59635"</f>
        <v>59635</v>
      </c>
      <c r="C39518" s="1">
        <v>1.7571243753750201E-5</v>
      </c>
      <c r="D39518" s="1">
        <v>7.5880133670443404E-6</v>
      </c>
      <c r="E39518" s="1">
        <v>8.69107991013423E-6</v>
      </c>
      <c r="F39518" s="1">
        <v>1.67135026099427E-5</v>
      </c>
    </row>
    <row r="39519" spans="1:6" x14ac:dyDescent="0.25">
      <c r="A39519" s="2" t="str">
        <f t="shared" si="1279"/>
        <v>99999</v>
      </c>
      <c r="B39519" s="2" t="str">
        <f>"59547"</f>
        <v>59547</v>
      </c>
      <c r="C39519" s="1">
        <v>2.4010395191459898E-6</v>
      </c>
      <c r="D39519" s="1">
        <v>0</v>
      </c>
      <c r="E39519" s="1">
        <v>4.3455399550671099E-6</v>
      </c>
      <c r="F39519" s="1">
        <v>2.2881580954088299E-6</v>
      </c>
    </row>
    <row r="39520" spans="1:6" x14ac:dyDescent="0.25">
      <c r="A39520" s="2" t="str">
        <f t="shared" si="1279"/>
        <v>99999</v>
      </c>
      <c r="B39520" s="2" t="str">
        <f>"59531"</f>
        <v>59531</v>
      </c>
      <c r="C39520" s="1">
        <v>1.0040710716428699E-5</v>
      </c>
      <c r="D39520" s="1">
        <v>0</v>
      </c>
      <c r="E39520" s="1">
        <v>4.3455399550671099E-6</v>
      </c>
      <c r="F39520" s="1">
        <v>9.2521175162183095E-6</v>
      </c>
    </row>
    <row r="39521" spans="1:6" x14ac:dyDescent="0.25">
      <c r="A39521" s="2" t="str">
        <f t="shared" si="1279"/>
        <v>99999</v>
      </c>
      <c r="B39521" s="2" t="str">
        <f>"59525"</f>
        <v>59525</v>
      </c>
      <c r="C39521" s="1">
        <v>1.01498488763899E-5</v>
      </c>
      <c r="D39521" s="1">
        <v>3.0352053468177301E-6</v>
      </c>
      <c r="E39521" s="1">
        <v>4.3455399550671099E-6</v>
      </c>
      <c r="F39521" s="1">
        <v>9.5505729199672898E-6</v>
      </c>
    </row>
    <row r="39522" spans="1:6" x14ac:dyDescent="0.25">
      <c r="A39522" s="2" t="str">
        <f t="shared" si="1279"/>
        <v>99999</v>
      </c>
      <c r="B39522" s="2" t="str">
        <f>"59532"</f>
        <v>59532</v>
      </c>
      <c r="C39522" s="1">
        <v>1.0258987036351001E-5</v>
      </c>
      <c r="D39522" s="1">
        <v>0</v>
      </c>
      <c r="E39522" s="1">
        <v>4.3455399550671099E-6</v>
      </c>
      <c r="F39522" s="1">
        <v>9.4510877853842998E-6</v>
      </c>
    </row>
    <row r="39523" spans="1:6" x14ac:dyDescent="0.25">
      <c r="A39523" s="2" t="str">
        <f t="shared" si="1279"/>
        <v>99999</v>
      </c>
      <c r="B39523" s="2" t="str">
        <f>"59523"</f>
        <v>59523</v>
      </c>
      <c r="C39523" s="1">
        <v>5.0858382541910597E-5</v>
      </c>
      <c r="D39523" s="1">
        <v>4.8563285549083798E-5</v>
      </c>
      <c r="E39523" s="1">
        <v>2.60732397304027E-5</v>
      </c>
      <c r="F39523" s="1">
        <v>5.0140507829828202E-5</v>
      </c>
    </row>
    <row r="39524" spans="1:6" x14ac:dyDescent="0.25">
      <c r="A39524" s="2" t="str">
        <f t="shared" si="1279"/>
        <v>99999</v>
      </c>
      <c r="B39524" s="2" t="str">
        <f>"59871"</f>
        <v>59871</v>
      </c>
      <c r="C39524" s="1">
        <v>2.56474675908777E-5</v>
      </c>
      <c r="D39524" s="1">
        <v>1.5176026734088599E-5</v>
      </c>
      <c r="E39524" s="1">
        <v>4.3455399550671099E-6</v>
      </c>
      <c r="F39524" s="1">
        <v>2.44733431074161E-5</v>
      </c>
    </row>
    <row r="39525" spans="1:6" x14ac:dyDescent="0.25">
      <c r="A39525" s="2" t="str">
        <f t="shared" si="1279"/>
        <v>99999</v>
      </c>
      <c r="B39525" s="2" t="str">
        <f>"59873"</f>
        <v>59873</v>
      </c>
      <c r="C39525" s="1">
        <v>9.2876574126965597E-5</v>
      </c>
      <c r="D39525" s="1">
        <v>5.0080888222492601E-5</v>
      </c>
      <c r="E39525" s="1">
        <v>9.9947418966543598E-5</v>
      </c>
      <c r="F39525" s="1">
        <v>9.0233017066774306E-5</v>
      </c>
    </row>
    <row r="39526" spans="1:6" x14ac:dyDescent="0.25">
      <c r="A39526" s="2" t="str">
        <f t="shared" si="1279"/>
        <v>99999</v>
      </c>
      <c r="B39526" s="2" t="str">
        <f>"59872"</f>
        <v>59872</v>
      </c>
      <c r="C39526" s="1">
        <v>1.05645738842423E-4</v>
      </c>
      <c r="D39526" s="1">
        <v>2.88344507947685E-5</v>
      </c>
      <c r="E39526" s="1">
        <v>1.9989483793308701E-4</v>
      </c>
      <c r="F39526" s="1">
        <v>1.0276814402423099E-4</v>
      </c>
    </row>
    <row r="39527" spans="1:6" x14ac:dyDescent="0.25">
      <c r="A39527" s="2" t="str">
        <f t="shared" si="1279"/>
        <v>99999</v>
      </c>
      <c r="B39527" s="2" t="str">
        <f>"59751"</f>
        <v>59751</v>
      </c>
      <c r="C39527" s="1">
        <v>8.7310527968945299E-6</v>
      </c>
      <c r="D39527" s="1">
        <v>1.51760267340886E-6</v>
      </c>
      <c r="E39527" s="1">
        <v>4.3455399550671099E-6</v>
      </c>
      <c r="F39527" s="1">
        <v>8.1577810358053902E-6</v>
      </c>
    </row>
    <row r="39528" spans="1:6" x14ac:dyDescent="0.25">
      <c r="A39528" s="2" t="str">
        <f t="shared" si="1279"/>
        <v>99999</v>
      </c>
      <c r="B39528" s="2" t="str">
        <f>"59828"</f>
        <v>59828</v>
      </c>
      <c r="C39528" s="1">
        <v>2.9543699901491799E-4</v>
      </c>
      <c r="D39528" s="1">
        <v>4.7045682875674899E-5</v>
      </c>
      <c r="E39528" s="1">
        <v>2.8246009707936202E-4</v>
      </c>
      <c r="F39528" s="1">
        <v>2.7885683223612801E-4</v>
      </c>
    </row>
    <row r="39529" spans="1:6" x14ac:dyDescent="0.25">
      <c r="A39529" s="2" t="str">
        <f t="shared" si="1279"/>
        <v>99999</v>
      </c>
      <c r="B39529" s="2" t="str">
        <f>"59440"</f>
        <v>59440</v>
      </c>
      <c r="C39529" s="1">
        <v>7.3122567173991701E-6</v>
      </c>
      <c r="D39529" s="1">
        <v>0</v>
      </c>
      <c r="E39529" s="1">
        <v>0</v>
      </c>
      <c r="F39529" s="1">
        <v>6.6655040170604998E-6</v>
      </c>
    </row>
    <row r="39530" spans="1:6" x14ac:dyDescent="0.25">
      <c r="A39530" s="2" t="str">
        <f t="shared" si="1279"/>
        <v>99999</v>
      </c>
      <c r="B39530" s="2" t="str">
        <f>"59452"</f>
        <v>59452</v>
      </c>
      <c r="C39530" s="1">
        <v>2.8048507110023701E-5</v>
      </c>
      <c r="D39530" s="1">
        <v>6.0704106936354696E-6</v>
      </c>
      <c r="E39530" s="1">
        <v>4.3455399550671099E-6</v>
      </c>
      <c r="F39530" s="1">
        <v>2.6065105260744001E-5</v>
      </c>
    </row>
    <row r="39531" spans="1:6" x14ac:dyDescent="0.25">
      <c r="A39531" s="2" t="str">
        <f t="shared" si="1279"/>
        <v>99999</v>
      </c>
      <c r="B39531" s="2" t="str">
        <f>"59417"</f>
        <v>59417</v>
      </c>
      <c r="C39531" s="1">
        <v>5.3695974700901398E-5</v>
      </c>
      <c r="D39531" s="1">
        <v>6.37393122831725E-5</v>
      </c>
      <c r="E39531" s="1">
        <v>7.8219719191208097E-5</v>
      </c>
      <c r="F39531" s="1">
        <v>5.49157942898119E-5</v>
      </c>
    </row>
    <row r="39532" spans="1:6" x14ac:dyDescent="0.25">
      <c r="A39532" s="2" t="str">
        <f t="shared" si="1279"/>
        <v>99999</v>
      </c>
      <c r="B39532" s="2" t="str">
        <f>"59341"</f>
        <v>59341</v>
      </c>
      <c r="C39532" s="1">
        <v>6.5482895976708995E-7</v>
      </c>
      <c r="D39532" s="1">
        <v>0</v>
      </c>
      <c r="E39532" s="1">
        <v>4.3455399550671099E-6</v>
      </c>
      <c r="F39532" s="1">
        <v>6.9639594208094799E-7</v>
      </c>
    </row>
    <row r="39533" spans="1:6" x14ac:dyDescent="0.25">
      <c r="A39533" s="2" t="str">
        <f t="shared" si="1279"/>
        <v>99999</v>
      </c>
      <c r="B39533" s="2" t="str">
        <f>"59231"</f>
        <v>59231</v>
      </c>
      <c r="C39533" s="1">
        <v>0</v>
      </c>
      <c r="D39533" s="1">
        <v>0</v>
      </c>
      <c r="E39533" s="1">
        <v>4.3455399550671099E-6</v>
      </c>
      <c r="F39533" s="1">
        <v>9.9485134582992598E-8</v>
      </c>
    </row>
    <row r="39534" spans="1:6" x14ac:dyDescent="0.25">
      <c r="A39534" s="2" t="str">
        <f t="shared" si="1279"/>
        <v>99999</v>
      </c>
      <c r="B39534" s="2" t="str">
        <f>"59326"</f>
        <v>59326</v>
      </c>
      <c r="C39534" s="1">
        <v>5.4569079980590803E-6</v>
      </c>
      <c r="D39534" s="1">
        <v>0</v>
      </c>
      <c r="E39534" s="1">
        <v>4.3455399550671099E-6</v>
      </c>
      <c r="F39534" s="1">
        <v>5.0737418637326201E-6</v>
      </c>
    </row>
    <row r="39535" spans="1:6" x14ac:dyDescent="0.25">
      <c r="A39535" s="2" t="str">
        <f t="shared" si="1279"/>
        <v>99999</v>
      </c>
      <c r="B39535" s="2" t="str">
        <f>"59260"</f>
        <v>59260</v>
      </c>
      <c r="C39535" s="1">
        <v>1.0258987036351001E-5</v>
      </c>
      <c r="D39535" s="1">
        <v>4.5528080202265997E-6</v>
      </c>
      <c r="E39535" s="1">
        <v>1.3036619865201299E-5</v>
      </c>
      <c r="F39535" s="1">
        <v>9.9485134582992602E-6</v>
      </c>
    </row>
    <row r="39536" spans="1:6" x14ac:dyDescent="0.25">
      <c r="A39536" s="2" t="str">
        <f t="shared" si="1279"/>
        <v>99999</v>
      </c>
      <c r="B39536" s="2" t="str">
        <f>"59353"</f>
        <v>59353</v>
      </c>
      <c r="C39536" s="1">
        <v>5.3368560221017798E-5</v>
      </c>
      <c r="D39536" s="1">
        <v>1.66936294074975E-5</v>
      </c>
      <c r="E39536" s="1">
        <v>7.8219719191208097E-5</v>
      </c>
      <c r="F39536" s="1">
        <v>5.15332997139901E-5</v>
      </c>
    </row>
    <row r="39537" spans="1:6" x14ac:dyDescent="0.25">
      <c r="A39537" s="2" t="str">
        <f t="shared" si="1279"/>
        <v>99999</v>
      </c>
      <c r="B39537" s="2" t="str">
        <f>"59313"</f>
        <v>59313</v>
      </c>
      <c r="C39537" s="1">
        <v>1.08592469161375E-4</v>
      </c>
      <c r="D39537" s="1">
        <v>6.0704106936354696E-6</v>
      </c>
      <c r="E39537" s="1">
        <v>5.21464794608054E-5</v>
      </c>
      <c r="F39537" s="1">
        <v>1.00579471063405E-4</v>
      </c>
    </row>
    <row r="39538" spans="1:6" x14ac:dyDescent="0.25">
      <c r="A39538" s="2" t="str">
        <f t="shared" si="1279"/>
        <v>99999</v>
      </c>
      <c r="B39538" s="2" t="str">
        <f>"59301"</f>
        <v>59301</v>
      </c>
      <c r="C39538" s="1">
        <v>6.4937205176903096E-4</v>
      </c>
      <c r="D39538" s="1">
        <v>9.9858255910303603E-4</v>
      </c>
      <c r="E39538" s="1">
        <v>1.25586104701439E-3</v>
      </c>
      <c r="F39538" s="1">
        <v>6.8614897321890003E-4</v>
      </c>
    </row>
    <row r="39539" spans="1:6" x14ac:dyDescent="0.25">
      <c r="A39539" s="2" t="str">
        <f t="shared" si="1279"/>
        <v>99999</v>
      </c>
      <c r="B39539" s="2" t="str">
        <f>"58560"</f>
        <v>58560</v>
      </c>
      <c r="C39539" s="1">
        <v>2.1827631992236299E-6</v>
      </c>
      <c r="D39539" s="1">
        <v>0</v>
      </c>
      <c r="E39539" s="1">
        <v>0</v>
      </c>
      <c r="F39539" s="1">
        <v>1.98970269165985E-6</v>
      </c>
    </row>
    <row r="39540" spans="1:6" x14ac:dyDescent="0.25">
      <c r="A39540" s="2" t="str">
        <f t="shared" si="1279"/>
        <v>99999</v>
      </c>
      <c r="B39540" s="2" t="str">
        <f>"58541"</f>
        <v>58541</v>
      </c>
      <c r="C39540" s="1">
        <v>1.9863145112935E-5</v>
      </c>
      <c r="D39540" s="1">
        <v>9.1056160404532095E-6</v>
      </c>
      <c r="E39540" s="1">
        <v>2.1727699775335501E-5</v>
      </c>
      <c r="F39540" s="1">
        <v>1.92006309745175E-5</v>
      </c>
    </row>
    <row r="39541" spans="1:6" x14ac:dyDescent="0.25">
      <c r="A39541" s="2" t="str">
        <f t="shared" si="1279"/>
        <v>99999</v>
      </c>
      <c r="B39541" s="2" t="str">
        <f>"58542"</f>
        <v>58542</v>
      </c>
      <c r="C39541" s="1">
        <v>1.386054631507E-5</v>
      </c>
      <c r="D39541" s="1">
        <v>4.5528080202265997E-6</v>
      </c>
      <c r="E39541" s="1">
        <v>4.3455399550671099E-6</v>
      </c>
      <c r="F39541" s="1">
        <v>1.3032552630372001E-5</v>
      </c>
    </row>
    <row r="39542" spans="1:6" x14ac:dyDescent="0.25">
      <c r="A39542" s="2" t="str">
        <f t="shared" si="1279"/>
        <v>99999</v>
      </c>
      <c r="B39542" s="2" t="str">
        <f>"58532"</f>
        <v>58532</v>
      </c>
      <c r="C39542" s="1">
        <v>3.6015592787189902E-6</v>
      </c>
      <c r="D39542" s="1">
        <v>0</v>
      </c>
      <c r="E39542" s="1">
        <v>0</v>
      </c>
      <c r="F39542" s="1">
        <v>3.2830094412387502E-6</v>
      </c>
    </row>
    <row r="39543" spans="1:6" x14ac:dyDescent="0.25">
      <c r="A39543" s="2" t="str">
        <f t="shared" si="1279"/>
        <v>99999</v>
      </c>
      <c r="B39543" s="2" t="str">
        <f>"58523"</f>
        <v>58523</v>
      </c>
      <c r="C39543" s="1">
        <v>1.9502989185063099E-4</v>
      </c>
      <c r="D39543" s="1">
        <v>1.2596102189293599E-4</v>
      </c>
      <c r="E39543" s="1">
        <v>5.0408263478778504E-4</v>
      </c>
      <c r="F39543" s="1">
        <v>1.97577477281823E-4</v>
      </c>
    </row>
    <row r="39544" spans="1:6" x14ac:dyDescent="0.25">
      <c r="A39544" s="2" t="str">
        <f t="shared" si="1279"/>
        <v>99999</v>
      </c>
      <c r="B39544" s="2" t="str">
        <f>"58495"</f>
        <v>58495</v>
      </c>
      <c r="C39544" s="1">
        <v>8.4145521330071101E-5</v>
      </c>
      <c r="D39544" s="1">
        <v>3.4904861488403899E-5</v>
      </c>
      <c r="E39544" s="1">
        <v>1.08638498876677E-4</v>
      </c>
      <c r="F39544" s="1">
        <v>8.1478325223470897E-5</v>
      </c>
    </row>
    <row r="39545" spans="1:6" x14ac:dyDescent="0.25">
      <c r="A39545" s="2" t="str">
        <f t="shared" si="1279"/>
        <v>99999</v>
      </c>
      <c r="B39545" s="2" t="str">
        <f>"58830"</f>
        <v>58830</v>
      </c>
      <c r="C39545" s="1">
        <v>5.7843224779426299E-6</v>
      </c>
      <c r="D39545" s="1">
        <v>0</v>
      </c>
      <c r="E39545" s="1">
        <v>0</v>
      </c>
      <c r="F39545" s="1">
        <v>5.2727121328986002E-6</v>
      </c>
    </row>
    <row r="39546" spans="1:6" x14ac:dyDescent="0.25">
      <c r="A39546" s="2" t="str">
        <f t="shared" si="1279"/>
        <v>99999</v>
      </c>
      <c r="B39546" s="2" t="str">
        <f>"58755"</f>
        <v>58755</v>
      </c>
      <c r="C39546" s="1">
        <v>3.05586847891308E-6</v>
      </c>
      <c r="D39546" s="1">
        <v>0</v>
      </c>
      <c r="E39546" s="1">
        <v>0</v>
      </c>
      <c r="F39546" s="1">
        <v>2.7855837683237898E-6</v>
      </c>
    </row>
    <row r="39547" spans="1:6" x14ac:dyDescent="0.25">
      <c r="A39547" s="2" t="str">
        <f t="shared" si="1279"/>
        <v>99999</v>
      </c>
      <c r="B39547" s="2" t="str">
        <f>"58735"</f>
        <v>58735</v>
      </c>
      <c r="C39547" s="1">
        <v>6.2208751177873496E-6</v>
      </c>
      <c r="D39547" s="1">
        <v>1.51760267340886E-6</v>
      </c>
      <c r="E39547" s="1">
        <v>0</v>
      </c>
      <c r="F39547" s="1">
        <v>5.7701378058135699E-6</v>
      </c>
    </row>
    <row r="39548" spans="1:6" x14ac:dyDescent="0.25">
      <c r="A39548" s="2" t="str">
        <f t="shared" si="1279"/>
        <v>99999</v>
      </c>
      <c r="B39548" s="2" t="str">
        <f>"58852"</f>
        <v>58852</v>
      </c>
      <c r="C39548" s="1">
        <v>5.3477698380979E-6</v>
      </c>
      <c r="D39548" s="1">
        <v>6.0704106936354696E-6</v>
      </c>
      <c r="E39548" s="1">
        <v>0</v>
      </c>
      <c r="F39548" s="1">
        <v>5.2727121328986002E-6</v>
      </c>
    </row>
    <row r="39549" spans="1:6" x14ac:dyDescent="0.25">
      <c r="A39549" s="2" t="str">
        <f t="shared" si="1279"/>
        <v>99999</v>
      </c>
      <c r="B39549" s="2" t="str">
        <f>"58769"</f>
        <v>58769</v>
      </c>
      <c r="C39549" s="1">
        <v>2.0408835912740901E-5</v>
      </c>
      <c r="D39549" s="1">
        <v>7.5880133670443404E-6</v>
      </c>
      <c r="E39549" s="1">
        <v>4.3455399550671099E-6</v>
      </c>
      <c r="F39549" s="1">
        <v>1.92006309745175E-5</v>
      </c>
    </row>
    <row r="39550" spans="1:6" x14ac:dyDescent="0.25">
      <c r="A39550" s="2" t="str">
        <f t="shared" si="1279"/>
        <v>99999</v>
      </c>
      <c r="B39550" s="2" t="str">
        <f>"58750"</f>
        <v>58750</v>
      </c>
      <c r="C39550" s="1">
        <v>1.7898658233633802E-5</v>
      </c>
      <c r="D39550" s="1">
        <v>4.5528080202265997E-6</v>
      </c>
      <c r="E39550" s="1">
        <v>2.1727699775335501E-5</v>
      </c>
      <c r="F39550" s="1">
        <v>1.7111443148274701E-5</v>
      </c>
    </row>
    <row r="39551" spans="1:6" x14ac:dyDescent="0.25">
      <c r="A39551" s="2" t="str">
        <f t="shared" si="1279"/>
        <v>99999</v>
      </c>
      <c r="B39551" s="2" t="str">
        <f>"59081"</f>
        <v>59081</v>
      </c>
      <c r="C39551" s="1">
        <v>4.1472500785249E-6</v>
      </c>
      <c r="D39551" s="1">
        <v>6.0704106936354696E-6</v>
      </c>
      <c r="E39551" s="1">
        <v>1.3036619865201299E-5</v>
      </c>
      <c r="F39551" s="1">
        <v>4.4768310562346604E-6</v>
      </c>
    </row>
    <row r="39552" spans="1:6" x14ac:dyDescent="0.25">
      <c r="A39552" s="2" t="str">
        <f t="shared" si="1279"/>
        <v>99999</v>
      </c>
      <c r="B39552" s="2" t="str">
        <f>"59059"</f>
        <v>59059</v>
      </c>
      <c r="C39552" s="1">
        <v>4.0381119185637197E-6</v>
      </c>
      <c r="D39552" s="1">
        <v>0</v>
      </c>
      <c r="E39552" s="1">
        <v>4.3455399550671099E-6</v>
      </c>
      <c r="F39552" s="1">
        <v>3.7804351141537199E-6</v>
      </c>
    </row>
    <row r="39553" spans="1:6" x14ac:dyDescent="0.25">
      <c r="A39553" s="2" t="str">
        <f t="shared" si="1279"/>
        <v>99999</v>
      </c>
      <c r="B39553" s="2" t="str">
        <f>"59004"</f>
        <v>59004</v>
      </c>
      <c r="C39553" s="1">
        <v>0</v>
      </c>
      <c r="D39553" s="1">
        <v>3.0352053468177301E-6</v>
      </c>
      <c r="E39553" s="1">
        <v>0</v>
      </c>
      <c r="F39553" s="1">
        <v>1.9897026916598501E-7</v>
      </c>
    </row>
    <row r="39554" spans="1:6" x14ac:dyDescent="0.25">
      <c r="A39554" s="2" t="str">
        <f t="shared" si="1279"/>
        <v>99999</v>
      </c>
      <c r="B39554" s="2" t="str">
        <f>"59020"</f>
        <v>59020</v>
      </c>
      <c r="C39554" s="1">
        <v>8.2945001570498102E-6</v>
      </c>
      <c r="D39554" s="1">
        <v>1.51760267340886E-6</v>
      </c>
      <c r="E39554" s="1">
        <v>4.3455399550671099E-6</v>
      </c>
      <c r="F39554" s="1">
        <v>7.7598404974734199E-6</v>
      </c>
    </row>
    <row r="39555" spans="1:6" x14ac:dyDescent="0.25">
      <c r="A39555" s="2" t="str">
        <f t="shared" si="1279"/>
        <v>99999</v>
      </c>
      <c r="B39555" s="2" t="str">
        <f>"59015"</f>
        <v>59015</v>
      </c>
      <c r="C39555" s="1">
        <v>1.85534871934008E-6</v>
      </c>
      <c r="D39555" s="1">
        <v>0</v>
      </c>
      <c r="E39555" s="1">
        <v>0</v>
      </c>
      <c r="F39555" s="1">
        <v>1.6912472879108699E-6</v>
      </c>
    </row>
    <row r="39556" spans="1:6" x14ac:dyDescent="0.25">
      <c r="A39556" s="2" t="str">
        <f t="shared" si="1279"/>
        <v>99999</v>
      </c>
      <c r="B39556" s="2" t="str">
        <f>"59024"</f>
        <v>59024</v>
      </c>
      <c r="C39556" s="1">
        <v>5.4569079980590801E-7</v>
      </c>
      <c r="D39556" s="1">
        <v>1.51760267340886E-6</v>
      </c>
      <c r="E39556" s="1">
        <v>0</v>
      </c>
      <c r="F39556" s="1">
        <v>5.9691080749795498E-7</v>
      </c>
    </row>
    <row r="39557" spans="1:6" x14ac:dyDescent="0.25">
      <c r="A39557" s="2" t="str">
        <f t="shared" si="1279"/>
        <v>99999</v>
      </c>
      <c r="B39557" s="2" t="str">
        <f>"59032"</f>
        <v>59032</v>
      </c>
      <c r="C39557" s="1">
        <v>2.05179740727021E-5</v>
      </c>
      <c r="D39557" s="1">
        <v>1.66936294074975E-5</v>
      </c>
      <c r="E39557" s="1">
        <v>8.69107991013423E-6</v>
      </c>
      <c r="F39557" s="1">
        <v>1.9996512051181498E-5</v>
      </c>
    </row>
    <row r="39558" spans="1:6" x14ac:dyDescent="0.25">
      <c r="A39558" s="2" t="str">
        <f t="shared" si="1279"/>
        <v>99999</v>
      </c>
      <c r="B39558" s="2" t="str">
        <f>"59030"</f>
        <v>59030</v>
      </c>
      <c r="C39558" s="1">
        <v>8.3818106850187501E-5</v>
      </c>
      <c r="D39558" s="1">
        <v>2.88344507947685E-5</v>
      </c>
      <c r="E39558" s="1">
        <v>3.86753056000973E-4</v>
      </c>
      <c r="F39558" s="1">
        <v>8.7148977894701494E-5</v>
      </c>
    </row>
    <row r="39559" spans="1:6" x14ac:dyDescent="0.25">
      <c r="A39559" s="2" t="str">
        <f t="shared" si="1279"/>
        <v>99999</v>
      </c>
      <c r="B39559" s="2" t="str">
        <f>"59011"</f>
        <v>59011</v>
      </c>
      <c r="C39559" s="1">
        <v>1.59341713543325E-4</v>
      </c>
      <c r="D39559" s="1">
        <v>9.1056160404532095E-6</v>
      </c>
      <c r="E39559" s="1">
        <v>2.9115117698949599E-4</v>
      </c>
      <c r="F39559" s="1">
        <v>1.5251071131572701E-4</v>
      </c>
    </row>
    <row r="39560" spans="1:6" x14ac:dyDescent="0.25">
      <c r="A39560" s="2" t="str">
        <f t="shared" si="1279"/>
        <v>99999</v>
      </c>
      <c r="B39560" s="2" t="str">
        <f>"58430"</f>
        <v>58430</v>
      </c>
      <c r="C39560" s="1">
        <v>6.3300132777485401E-6</v>
      </c>
      <c r="D39560" s="1">
        <v>0</v>
      </c>
      <c r="E39560" s="1">
        <v>4.3455399550671099E-6</v>
      </c>
      <c r="F39560" s="1">
        <v>5.86962294039656E-6</v>
      </c>
    </row>
    <row r="39561" spans="1:6" x14ac:dyDescent="0.25">
      <c r="A39561" s="2" t="str">
        <f t="shared" si="1279"/>
        <v>99999</v>
      </c>
      <c r="B39561" s="2" t="str">
        <f>"58492"</f>
        <v>58492</v>
      </c>
      <c r="C39561" s="1">
        <v>2.2373322792042201E-5</v>
      </c>
      <c r="D39561" s="1">
        <v>9.1056160404532095E-6</v>
      </c>
      <c r="E39561" s="1">
        <v>5.21464794608054E-5</v>
      </c>
      <c r="F39561" s="1">
        <v>2.21851850120073E-5</v>
      </c>
    </row>
    <row r="39562" spans="1:6" x14ac:dyDescent="0.25">
      <c r="A39562" s="2" t="str">
        <f t="shared" si="1279"/>
        <v>99999</v>
      </c>
      <c r="B39562" s="2" t="str">
        <f>"58440"</f>
        <v>58440</v>
      </c>
      <c r="C39562" s="1">
        <v>1.45153752748371E-5</v>
      </c>
      <c r="D39562" s="1">
        <v>4.5528080202265997E-6</v>
      </c>
      <c r="E39562" s="1">
        <v>4.3455399550671099E-6</v>
      </c>
      <c r="F39562" s="1">
        <v>1.36294634378699E-5</v>
      </c>
    </row>
    <row r="39563" spans="1:6" x14ac:dyDescent="0.25">
      <c r="A39563" s="2" t="str">
        <f t="shared" si="1279"/>
        <v>99999</v>
      </c>
      <c r="B39563" s="2" t="str">
        <f>"58458"</f>
        <v>58458</v>
      </c>
      <c r="C39563" s="1">
        <v>6.8647902615583305E-5</v>
      </c>
      <c r="D39563" s="1">
        <v>3.4904861488403899E-5</v>
      </c>
      <c r="E39563" s="1">
        <v>1.08638498876677E-4</v>
      </c>
      <c r="F39563" s="1">
        <v>6.7351436112686003E-5</v>
      </c>
    </row>
    <row r="39564" spans="1:6" x14ac:dyDescent="0.25">
      <c r="A39564" s="2" t="str">
        <f t="shared" si="1279"/>
        <v>99999</v>
      </c>
      <c r="B39564" s="2" t="str">
        <f>"58451"</f>
        <v>58451</v>
      </c>
      <c r="C39564" s="1">
        <v>8.4036383170109905E-6</v>
      </c>
      <c r="D39564" s="1">
        <v>1.51760267340886E-6</v>
      </c>
      <c r="E39564" s="1">
        <v>4.3455399550671099E-6</v>
      </c>
      <c r="F39564" s="1">
        <v>7.85932563205641E-6</v>
      </c>
    </row>
    <row r="39565" spans="1:6" x14ac:dyDescent="0.25">
      <c r="A39565" s="2" t="str">
        <f t="shared" si="1279"/>
        <v>99999</v>
      </c>
      <c r="B39565" s="2" t="str">
        <f>"58438"</f>
        <v>58438</v>
      </c>
      <c r="C39565" s="1">
        <v>3.09952374289756E-5</v>
      </c>
      <c r="D39565" s="1">
        <v>2.7316848121359601E-5</v>
      </c>
      <c r="E39565" s="1">
        <v>1.17329578786812E-4</v>
      </c>
      <c r="F39565" s="1">
        <v>3.2730609277804499E-5</v>
      </c>
    </row>
    <row r="39566" spans="1:6" x14ac:dyDescent="0.25">
      <c r="A39566" s="2" t="str">
        <f t="shared" si="1279"/>
        <v>99999</v>
      </c>
      <c r="B39566" s="2" t="str">
        <f>"58422"</f>
        <v>58422</v>
      </c>
      <c r="C39566" s="1">
        <v>1.1350368635962901E-5</v>
      </c>
      <c r="D39566" s="1">
        <v>1.51760267340886E-6</v>
      </c>
      <c r="E39566" s="1">
        <v>4.3455399550671099E-6</v>
      </c>
      <c r="F39566" s="1">
        <v>1.05454242657972E-5</v>
      </c>
    </row>
    <row r="39567" spans="1:6" x14ac:dyDescent="0.25">
      <c r="A39567" s="2" t="str">
        <f t="shared" si="1279"/>
        <v>99999</v>
      </c>
      <c r="B39567" s="2" t="str">
        <f>"58656"</f>
        <v>58656</v>
      </c>
      <c r="C39567" s="1">
        <v>2.2919013591848099E-6</v>
      </c>
      <c r="D39567" s="1">
        <v>0</v>
      </c>
      <c r="E39567" s="1">
        <v>4.3455399550671099E-6</v>
      </c>
      <c r="F39567" s="1">
        <v>2.1886729608258301E-6</v>
      </c>
    </row>
    <row r="39568" spans="1:6" x14ac:dyDescent="0.25">
      <c r="A39568" s="2" t="str">
        <f t="shared" si="1279"/>
        <v>99999</v>
      </c>
      <c r="B39568" s="2" t="str">
        <f>"58631"</f>
        <v>58631</v>
      </c>
      <c r="C39568" s="1">
        <v>6.9848422375156299E-6</v>
      </c>
      <c r="D39568" s="1">
        <v>0</v>
      </c>
      <c r="E39568" s="1">
        <v>0</v>
      </c>
      <c r="F39568" s="1">
        <v>6.3670486133115203E-6</v>
      </c>
    </row>
    <row r="39569" spans="1:6" x14ac:dyDescent="0.25">
      <c r="A39569" s="2" t="str">
        <f t="shared" si="1279"/>
        <v>99999</v>
      </c>
      <c r="B39569" s="2" t="str">
        <f>"58654"</f>
        <v>58654</v>
      </c>
      <c r="C39569" s="1">
        <v>1.44062371148759E-5</v>
      </c>
      <c r="D39569" s="1">
        <v>1.0623218713862E-5</v>
      </c>
      <c r="E39569" s="1">
        <v>1.3036619865201299E-5</v>
      </c>
      <c r="F39569" s="1">
        <v>1.41268891107849E-5</v>
      </c>
    </row>
    <row r="39570" spans="1:6" x14ac:dyDescent="0.25">
      <c r="A39570" s="2" t="str">
        <f t="shared" ref="A39570:A39633" si="1280">"99999"</f>
        <v>99999</v>
      </c>
      <c r="B39570" s="2" t="str">
        <f>"58649"</f>
        <v>58649</v>
      </c>
      <c r="C39570" s="1">
        <v>2.9249026869596701E-5</v>
      </c>
      <c r="D39570" s="1">
        <v>2.88344507947685E-5</v>
      </c>
      <c r="E39570" s="1">
        <v>3.47643196405369E-5</v>
      </c>
      <c r="F39570" s="1">
        <v>2.93481147019828E-5</v>
      </c>
    </row>
    <row r="39571" spans="1:6" x14ac:dyDescent="0.25">
      <c r="A39571" s="2" t="str">
        <f t="shared" si="1280"/>
        <v>99999</v>
      </c>
      <c r="B39571" s="2" t="str">
        <f>"58710"</f>
        <v>58710</v>
      </c>
      <c r="C39571" s="1">
        <v>7.6396711972827196E-6</v>
      </c>
      <c r="D39571" s="1">
        <v>3.0352053468177301E-6</v>
      </c>
      <c r="E39571" s="1">
        <v>4.3455399550671099E-6</v>
      </c>
      <c r="F39571" s="1">
        <v>7.2624148245584604E-6</v>
      </c>
    </row>
    <row r="39572" spans="1:6" x14ac:dyDescent="0.25">
      <c r="A39572" s="2" t="str">
        <f t="shared" si="1280"/>
        <v>99999</v>
      </c>
      <c r="B39572" s="2" t="str">
        <f>"58642"</f>
        <v>58642</v>
      </c>
      <c r="C39572" s="1">
        <v>1.73529674338278E-5</v>
      </c>
      <c r="D39572" s="1">
        <v>2.1246437427724101E-5</v>
      </c>
      <c r="E39572" s="1">
        <v>8.69107991013423E-6</v>
      </c>
      <c r="F39572" s="1">
        <v>1.74098985520237E-5</v>
      </c>
    </row>
    <row r="39573" spans="1:6" x14ac:dyDescent="0.25">
      <c r="A39573" s="2" t="str">
        <f t="shared" si="1280"/>
        <v>99999</v>
      </c>
      <c r="B39573" s="2" t="str">
        <f>"58339"</f>
        <v>58339</v>
      </c>
      <c r="C39573" s="1">
        <v>3.27414479883545E-6</v>
      </c>
      <c r="D39573" s="1">
        <v>4.5528080202265997E-6</v>
      </c>
      <c r="E39573" s="1">
        <v>4.3455399550671099E-6</v>
      </c>
      <c r="F39573" s="1">
        <v>3.3824945758217398E-6</v>
      </c>
    </row>
    <row r="39574" spans="1:6" x14ac:dyDescent="0.25">
      <c r="A39574" s="2" t="str">
        <f t="shared" si="1280"/>
        <v>99999</v>
      </c>
      <c r="B39574" s="2" t="str">
        <f>"58335"</f>
        <v>58335</v>
      </c>
      <c r="C39574" s="1">
        <v>1.09138159961181E-7</v>
      </c>
      <c r="D39574" s="1">
        <v>0</v>
      </c>
      <c r="E39574" s="1">
        <v>4.3455399550671099E-6</v>
      </c>
      <c r="F39574" s="1">
        <v>1.9897026916598501E-7</v>
      </c>
    </row>
    <row r="39575" spans="1:6" x14ac:dyDescent="0.25">
      <c r="A39575" s="2" t="str">
        <f t="shared" si="1280"/>
        <v>99999</v>
      </c>
      <c r="B39575" s="2" t="str">
        <f>"58281"</f>
        <v>58281</v>
      </c>
      <c r="C39575" s="1">
        <v>8.6219146369333496E-6</v>
      </c>
      <c r="D39575" s="1">
        <v>3.0352053468177301E-6</v>
      </c>
      <c r="E39575" s="1">
        <v>4.3455399550671099E-6</v>
      </c>
      <c r="F39575" s="1">
        <v>8.1577810358053902E-6</v>
      </c>
    </row>
    <row r="39576" spans="1:6" x14ac:dyDescent="0.25">
      <c r="A39576" s="2" t="str">
        <f t="shared" si="1280"/>
        <v>99999</v>
      </c>
      <c r="B39576" s="2" t="str">
        <f>"58310"</f>
        <v>58310</v>
      </c>
      <c r="C39576" s="1">
        <v>1.20051975957299E-6</v>
      </c>
      <c r="D39576" s="1">
        <v>4.5528080202265997E-6</v>
      </c>
      <c r="E39576" s="1">
        <v>4.3455399550671099E-6</v>
      </c>
      <c r="F39576" s="1">
        <v>1.4922770187448801E-6</v>
      </c>
    </row>
    <row r="39577" spans="1:6" x14ac:dyDescent="0.25">
      <c r="A39577" s="2" t="str">
        <f t="shared" si="1280"/>
        <v>99999</v>
      </c>
      <c r="B39577" s="2" t="str">
        <f>"58332"</f>
        <v>58332</v>
      </c>
      <c r="C39577" s="1">
        <v>1.44062371148759E-5</v>
      </c>
      <c r="D39577" s="1">
        <v>0</v>
      </c>
      <c r="E39577" s="1">
        <v>1.3036619865201299E-5</v>
      </c>
      <c r="F39577" s="1">
        <v>1.3430493168704E-5</v>
      </c>
    </row>
    <row r="39578" spans="1:6" x14ac:dyDescent="0.25">
      <c r="A39578" s="2" t="str">
        <f t="shared" si="1280"/>
        <v>99999</v>
      </c>
      <c r="B39578" s="2" t="str">
        <f>"58266"</f>
        <v>58266</v>
      </c>
      <c r="C39578" s="1">
        <v>1.9644868793012701E-6</v>
      </c>
      <c r="D39578" s="1">
        <v>0</v>
      </c>
      <c r="E39578" s="1">
        <v>0</v>
      </c>
      <c r="F39578" s="1">
        <v>1.79073242249386E-6</v>
      </c>
    </row>
    <row r="39579" spans="1:6" x14ac:dyDescent="0.25">
      <c r="A39579" s="2" t="str">
        <f t="shared" si="1280"/>
        <v>99999</v>
      </c>
      <c r="B39579" s="2" t="str">
        <f>"58267"</f>
        <v>58267</v>
      </c>
      <c r="C39579" s="1">
        <v>5.4569079980590801E-7</v>
      </c>
      <c r="D39579" s="1">
        <v>0</v>
      </c>
      <c r="E39579" s="1">
        <v>0</v>
      </c>
      <c r="F39579" s="1">
        <v>4.9742567291496303E-7</v>
      </c>
    </row>
    <row r="39580" spans="1:6" x14ac:dyDescent="0.25">
      <c r="A39580" s="2" t="str">
        <f t="shared" si="1280"/>
        <v>99999</v>
      </c>
      <c r="B39580" s="2" t="str">
        <f>"58243"</f>
        <v>58243</v>
      </c>
      <c r="C39580" s="1">
        <v>2.0736250392624501E-5</v>
      </c>
      <c r="D39580" s="1">
        <v>7.5880133670443404E-6</v>
      </c>
      <c r="E39580" s="1">
        <v>4.3455399550671099E-6</v>
      </c>
      <c r="F39580" s="1">
        <v>1.9499086378266499E-5</v>
      </c>
    </row>
    <row r="39581" spans="1:6" x14ac:dyDescent="0.25">
      <c r="A39581" s="2" t="str">
        <f t="shared" si="1280"/>
        <v>99999</v>
      </c>
      <c r="B39581" s="2" t="str">
        <f>"58344"</f>
        <v>58344</v>
      </c>
      <c r="C39581" s="1">
        <v>4.3982678464356202E-5</v>
      </c>
      <c r="D39581" s="1">
        <v>5.4633696242719298E-5</v>
      </c>
      <c r="E39581" s="1">
        <v>1.4340281851721399E-4</v>
      </c>
      <c r="F39581" s="1">
        <v>4.69569835231725E-5</v>
      </c>
    </row>
    <row r="39582" spans="1:6" x14ac:dyDescent="0.25">
      <c r="A39582" s="2" t="str">
        <f t="shared" si="1280"/>
        <v>99999</v>
      </c>
      <c r="B39582" s="2" t="str">
        <f>"58324"</f>
        <v>58324</v>
      </c>
      <c r="C39582" s="1">
        <v>5.5114770780396697E-5</v>
      </c>
      <c r="D39582" s="1">
        <v>2.88344507947685E-5</v>
      </c>
      <c r="E39582" s="1">
        <v>1.5209389842734899E-4</v>
      </c>
      <c r="F39582" s="1">
        <v>5.5612190231892801E-5</v>
      </c>
    </row>
    <row r="39583" spans="1:6" x14ac:dyDescent="0.25">
      <c r="A39583" s="2" t="str">
        <f t="shared" si="1280"/>
        <v>99999</v>
      </c>
      <c r="B39583" s="2" t="str">
        <f>"58274"</f>
        <v>58274</v>
      </c>
      <c r="C39583" s="1">
        <v>6.02442642985723E-5</v>
      </c>
      <c r="D39583" s="1">
        <v>6.0704106936354696E-6</v>
      </c>
      <c r="E39583" s="1">
        <v>6.9528639281073799E-5</v>
      </c>
      <c r="F39583" s="1">
        <v>5.6905496981471701E-5</v>
      </c>
    </row>
    <row r="39584" spans="1:6" x14ac:dyDescent="0.25">
      <c r="A39584" s="2" t="str">
        <f t="shared" si="1280"/>
        <v>99999</v>
      </c>
      <c r="B39584" s="2" t="str">
        <f>"58240"</f>
        <v>58240</v>
      </c>
      <c r="C39584" s="1">
        <v>8.7528804288867704E-5</v>
      </c>
      <c r="D39584" s="1">
        <v>1.3658424060679801E-5</v>
      </c>
      <c r="E39584" s="1">
        <v>7.8219719191208097E-5</v>
      </c>
      <c r="F39584" s="1">
        <v>8.2473176569300801E-5</v>
      </c>
    </row>
    <row r="39585" spans="1:6" x14ac:dyDescent="0.25">
      <c r="A39585" s="2" t="str">
        <f t="shared" si="1280"/>
        <v>99999</v>
      </c>
      <c r="B39585" s="2" t="str">
        <f>"58348"</f>
        <v>58348</v>
      </c>
      <c r="C39585" s="1">
        <v>3.8634908626258302E-5</v>
      </c>
      <c r="D39585" s="1">
        <v>1.9728834754315301E-5</v>
      </c>
      <c r="E39585" s="1">
        <v>6.5183099326006705E-5</v>
      </c>
      <c r="F39585" s="1">
        <v>3.8003321410703101E-5</v>
      </c>
    </row>
    <row r="39586" spans="1:6" x14ac:dyDescent="0.25">
      <c r="A39586" s="2" t="str">
        <f t="shared" si="1280"/>
        <v>99999</v>
      </c>
      <c r="B39586" s="2" t="str">
        <f>"57657"</f>
        <v>57657</v>
      </c>
      <c r="C39586" s="1">
        <v>7.6396711972827196E-6</v>
      </c>
      <c r="D39586" s="1">
        <v>0</v>
      </c>
      <c r="E39586" s="1">
        <v>4.3455399550671099E-6</v>
      </c>
      <c r="F39586" s="1">
        <v>7.0634445553924701E-6</v>
      </c>
    </row>
    <row r="39587" spans="1:6" x14ac:dyDescent="0.25">
      <c r="A39587" s="2" t="str">
        <f t="shared" si="1280"/>
        <v>99999</v>
      </c>
      <c r="B39587" s="2" t="str">
        <f>"57623"</f>
        <v>57623</v>
      </c>
      <c r="C39587" s="1">
        <v>1.1677783115846399E-5</v>
      </c>
      <c r="D39587" s="1">
        <v>1.51760267340886E-6</v>
      </c>
      <c r="E39587" s="1">
        <v>1.7382159820268399E-5</v>
      </c>
      <c r="F39587" s="1">
        <v>1.11423350732951E-5</v>
      </c>
    </row>
    <row r="39588" spans="1:6" x14ac:dyDescent="0.25">
      <c r="A39588" s="2" t="str">
        <f t="shared" si="1280"/>
        <v>99999</v>
      </c>
      <c r="B39588" s="2" t="str">
        <f>"57646"</f>
        <v>57646</v>
      </c>
      <c r="C39588" s="1">
        <v>9.2767435967004401E-6</v>
      </c>
      <c r="D39588" s="1">
        <v>1.51760267340886E-6</v>
      </c>
      <c r="E39588" s="1">
        <v>4.3455399550671099E-6</v>
      </c>
      <c r="F39588" s="1">
        <v>8.6552067087203506E-6</v>
      </c>
    </row>
    <row r="39589" spans="1:6" x14ac:dyDescent="0.25">
      <c r="A39589" s="2" t="str">
        <f t="shared" si="1280"/>
        <v>99999</v>
      </c>
      <c r="B39589" s="2" t="str">
        <f>"57620"</f>
        <v>57620</v>
      </c>
      <c r="C39589" s="1">
        <v>1.4842789754720701E-5</v>
      </c>
      <c r="D39589" s="1">
        <v>4.5528080202265997E-6</v>
      </c>
      <c r="E39589" s="1">
        <v>4.3455399550671099E-6</v>
      </c>
      <c r="F39589" s="1">
        <v>1.3927918841618899E-5</v>
      </c>
    </row>
    <row r="39590" spans="1:6" x14ac:dyDescent="0.25">
      <c r="A39590" s="2" t="str">
        <f t="shared" si="1280"/>
        <v>99999</v>
      </c>
      <c r="B39590" s="2" t="str">
        <f>"57584"</f>
        <v>57584</v>
      </c>
      <c r="C39590" s="1">
        <v>7.9670856771662607E-6</v>
      </c>
      <c r="D39590" s="1">
        <v>1.51760267340886E-6</v>
      </c>
      <c r="E39590" s="1">
        <v>4.3455399550671099E-6</v>
      </c>
      <c r="F39590" s="1">
        <v>7.4613850937244396E-6</v>
      </c>
    </row>
    <row r="39591" spans="1:6" x14ac:dyDescent="0.25">
      <c r="A39591" s="2" t="str">
        <f t="shared" si="1280"/>
        <v>99999</v>
      </c>
      <c r="B39591" s="2" t="str">
        <f>"57471"</f>
        <v>57471</v>
      </c>
      <c r="C39591" s="1">
        <v>1.09138159961181E-7</v>
      </c>
      <c r="D39591" s="1">
        <v>0</v>
      </c>
      <c r="E39591" s="1">
        <v>0</v>
      </c>
      <c r="F39591" s="1">
        <v>9.9485134582992598E-8</v>
      </c>
    </row>
    <row r="39592" spans="1:6" x14ac:dyDescent="0.25">
      <c r="A39592" s="2" t="str">
        <f t="shared" si="1280"/>
        <v>99999</v>
      </c>
      <c r="B39592" s="2" t="str">
        <f>"57571"</f>
        <v>57571</v>
      </c>
      <c r="C39592" s="1">
        <v>3.05586847891308E-6</v>
      </c>
      <c r="D39592" s="1">
        <v>6.0704106936354696E-6</v>
      </c>
      <c r="E39592" s="1">
        <v>4.3455399550671099E-6</v>
      </c>
      <c r="F39592" s="1">
        <v>3.2830094412387502E-6</v>
      </c>
    </row>
    <row r="39593" spans="1:6" x14ac:dyDescent="0.25">
      <c r="A39593" s="2" t="str">
        <f t="shared" si="1280"/>
        <v>99999</v>
      </c>
      <c r="B39593" s="2" t="str">
        <f>"57570"</f>
        <v>57570</v>
      </c>
      <c r="C39593" s="1">
        <v>8.7310527968945299E-7</v>
      </c>
      <c r="D39593" s="1">
        <v>0</v>
      </c>
      <c r="E39593" s="1">
        <v>4.3455399550671099E-6</v>
      </c>
      <c r="F39593" s="1">
        <v>8.9536621124693305E-7</v>
      </c>
    </row>
    <row r="39594" spans="1:6" x14ac:dyDescent="0.25">
      <c r="A39594" s="2" t="str">
        <f t="shared" si="1280"/>
        <v>99999</v>
      </c>
      <c r="B39594" s="2" t="str">
        <f>"57560"</f>
        <v>57560</v>
      </c>
      <c r="C39594" s="1">
        <v>5.4569079980590803E-6</v>
      </c>
      <c r="D39594" s="1">
        <v>1.51760267340886E-6</v>
      </c>
      <c r="E39594" s="1">
        <v>4.3455399550671099E-6</v>
      </c>
      <c r="F39594" s="1">
        <v>5.1732269983156102E-6</v>
      </c>
    </row>
    <row r="39595" spans="1:6" x14ac:dyDescent="0.25">
      <c r="A39595" s="2" t="str">
        <f t="shared" si="1280"/>
        <v>99999</v>
      </c>
      <c r="B39595" s="2" t="str">
        <f>"57468"</f>
        <v>57468</v>
      </c>
      <c r="C39595" s="1">
        <v>1.2441750235574699E-5</v>
      </c>
      <c r="D39595" s="1">
        <v>4.5528080202265997E-6</v>
      </c>
      <c r="E39595" s="1">
        <v>4.3455399550671099E-6</v>
      </c>
      <c r="F39595" s="1">
        <v>1.17392458807931E-5</v>
      </c>
    </row>
    <row r="39596" spans="1:6" x14ac:dyDescent="0.25">
      <c r="A39596" s="2" t="str">
        <f t="shared" si="1280"/>
        <v>99999</v>
      </c>
      <c r="B39596" s="2" t="str">
        <f>"57553"</f>
        <v>57553</v>
      </c>
      <c r="C39596" s="1">
        <v>8.0762238371274393E-6</v>
      </c>
      <c r="D39596" s="1">
        <v>9.1056160404532095E-6</v>
      </c>
      <c r="E39596" s="1">
        <v>4.3455399550671099E-6</v>
      </c>
      <c r="F39596" s="1">
        <v>8.0582959012224002E-6</v>
      </c>
    </row>
    <row r="39597" spans="1:6" x14ac:dyDescent="0.25">
      <c r="A39597" s="2" t="str">
        <f t="shared" si="1280"/>
        <v>99999</v>
      </c>
      <c r="B39597" s="2" t="str">
        <f>"57522"</f>
        <v>57522</v>
      </c>
      <c r="C39597" s="1">
        <v>1.20051975957299E-6</v>
      </c>
      <c r="D39597" s="1">
        <v>0</v>
      </c>
      <c r="E39597" s="1">
        <v>0</v>
      </c>
      <c r="F39597" s="1">
        <v>1.09433648041291E-6</v>
      </c>
    </row>
    <row r="39598" spans="1:6" x14ac:dyDescent="0.25">
      <c r="A39598" s="2" t="str">
        <f t="shared" si="1280"/>
        <v>99999</v>
      </c>
      <c r="B39598" s="2" t="str">
        <f>"57576"</f>
        <v>57576</v>
      </c>
      <c r="C39598" s="1">
        <v>6.0025987978649897E-6</v>
      </c>
      <c r="D39598" s="1">
        <v>1.51760267340886E-6</v>
      </c>
      <c r="E39598" s="1">
        <v>4.3455399550671099E-6</v>
      </c>
      <c r="F39598" s="1">
        <v>5.6706526712305799E-6</v>
      </c>
    </row>
    <row r="39599" spans="1:6" x14ac:dyDescent="0.25">
      <c r="A39599" s="2" t="str">
        <f t="shared" si="1280"/>
        <v>99999</v>
      </c>
      <c r="B39599" s="2" t="str">
        <f>"57574"</f>
        <v>57574</v>
      </c>
      <c r="C39599" s="1">
        <v>5.0203553582143598E-6</v>
      </c>
      <c r="D39599" s="1">
        <v>3.0352053468177301E-6</v>
      </c>
      <c r="E39599" s="1">
        <v>4.3455399550671099E-6</v>
      </c>
      <c r="F39599" s="1">
        <v>4.8747715945666299E-6</v>
      </c>
    </row>
    <row r="39600" spans="1:6" x14ac:dyDescent="0.25">
      <c r="A39600" s="2" t="str">
        <f t="shared" si="1280"/>
        <v>99999</v>
      </c>
      <c r="B39600" s="2" t="str">
        <f>"57559"</f>
        <v>57559</v>
      </c>
      <c r="C39600" s="1">
        <v>2.56474675908777E-5</v>
      </c>
      <c r="D39600" s="1">
        <v>1.3658424060679801E-5</v>
      </c>
      <c r="E39600" s="1">
        <v>4.7800939505738197E-5</v>
      </c>
      <c r="F39600" s="1">
        <v>2.53687093186631E-5</v>
      </c>
    </row>
    <row r="39601" spans="1:6" x14ac:dyDescent="0.25">
      <c r="A39601" s="2" t="str">
        <f t="shared" si="1280"/>
        <v>99999</v>
      </c>
      <c r="B39601" s="2" t="str">
        <f>"57473"</f>
        <v>57473</v>
      </c>
      <c r="C39601" s="1">
        <v>8.4036383170109905E-6</v>
      </c>
      <c r="D39601" s="1">
        <v>1.51760267340886E-6</v>
      </c>
      <c r="E39601" s="1">
        <v>4.3455399550671099E-6</v>
      </c>
      <c r="F39601" s="1">
        <v>7.85932563205641E-6</v>
      </c>
    </row>
    <row r="39602" spans="1:6" x14ac:dyDescent="0.25">
      <c r="A39602" s="2" t="str">
        <f t="shared" si="1280"/>
        <v>99999</v>
      </c>
      <c r="B39602" s="2" t="str">
        <f>"57437"</f>
        <v>57437</v>
      </c>
      <c r="C39602" s="1">
        <v>6.2754441977679501E-5</v>
      </c>
      <c r="D39602" s="1">
        <v>1.8211232080906399E-5</v>
      </c>
      <c r="E39602" s="1">
        <v>8.2565259146275205E-5</v>
      </c>
      <c r="F39602" s="1">
        <v>6.0287991557293501E-5</v>
      </c>
    </row>
    <row r="39603" spans="1:6" x14ac:dyDescent="0.25">
      <c r="A39603" s="2" t="str">
        <f t="shared" si="1280"/>
        <v>99999</v>
      </c>
      <c r="B39603" s="2" t="str">
        <f>"57775"</f>
        <v>57775</v>
      </c>
      <c r="C39603" s="1">
        <v>4.2563882384860804E-6</v>
      </c>
      <c r="D39603" s="1">
        <v>0</v>
      </c>
      <c r="E39603" s="1">
        <v>0</v>
      </c>
      <c r="F39603" s="1">
        <v>3.87992024873671E-6</v>
      </c>
    </row>
    <row r="39604" spans="1:6" x14ac:dyDescent="0.25">
      <c r="A39604" s="2" t="str">
        <f t="shared" si="1280"/>
        <v>99999</v>
      </c>
      <c r="B39604" s="2" t="str">
        <f>"58038"</f>
        <v>58038</v>
      </c>
      <c r="C39604" s="1">
        <v>3.9289737586025402E-6</v>
      </c>
      <c r="D39604" s="1">
        <v>3.0352053468177301E-6</v>
      </c>
      <c r="E39604" s="1">
        <v>0</v>
      </c>
      <c r="F39604" s="1">
        <v>3.7804351141537199E-6</v>
      </c>
    </row>
    <row r="39605" spans="1:6" x14ac:dyDescent="0.25">
      <c r="A39605" s="2" t="str">
        <f t="shared" si="1280"/>
        <v>99999</v>
      </c>
      <c r="B39605" s="2" t="str">
        <f>"57779"</f>
        <v>57779</v>
      </c>
      <c r="C39605" s="1">
        <v>8.7310527968945299E-7</v>
      </c>
      <c r="D39605" s="1">
        <v>1.51760267340886E-6</v>
      </c>
      <c r="E39605" s="1">
        <v>0</v>
      </c>
      <c r="F39605" s="1">
        <v>8.9536621124693305E-7</v>
      </c>
    </row>
    <row r="39606" spans="1:6" x14ac:dyDescent="0.25">
      <c r="A39606" s="2" t="str">
        <f t="shared" si="1280"/>
        <v>99999</v>
      </c>
      <c r="B39606" s="2" t="str">
        <f>"57354"</f>
        <v>57354</v>
      </c>
      <c r="C39606" s="1">
        <v>3.2741447988354498E-7</v>
      </c>
      <c r="D39606" s="1">
        <v>0</v>
      </c>
      <c r="E39606" s="1">
        <v>4.3455399550671099E-6</v>
      </c>
      <c r="F39606" s="1">
        <v>3.9794053833197002E-7</v>
      </c>
    </row>
    <row r="39607" spans="1:6" x14ac:dyDescent="0.25">
      <c r="A39607" s="2" t="str">
        <f t="shared" si="1280"/>
        <v>99999</v>
      </c>
      <c r="B39607" s="2" t="str">
        <f>"57385"</f>
        <v>57385</v>
      </c>
      <c r="C39607" s="1">
        <v>4.6929408783308097E-5</v>
      </c>
      <c r="D39607" s="1">
        <v>2.4281642774541899E-5</v>
      </c>
      <c r="E39607" s="1">
        <v>9.5601879011476503E-5</v>
      </c>
      <c r="F39607" s="1">
        <v>4.6559042984840499E-5</v>
      </c>
    </row>
    <row r="39608" spans="1:6" x14ac:dyDescent="0.25">
      <c r="A39608" s="2" t="str">
        <f t="shared" si="1280"/>
        <v>99999</v>
      </c>
      <c r="B39608" s="2" t="str">
        <f>"57353"</f>
        <v>57353</v>
      </c>
      <c r="C39608" s="1">
        <v>2.7175401830334201E-5</v>
      </c>
      <c r="D39608" s="1">
        <v>3.6422464161812797E-5</v>
      </c>
      <c r="E39608" s="1">
        <v>4.3455399550671103E-5</v>
      </c>
      <c r="F39608" s="1">
        <v>2.8154293086986899E-5</v>
      </c>
    </row>
    <row r="39609" spans="1:6" x14ac:dyDescent="0.25">
      <c r="A39609" s="2" t="str">
        <f t="shared" si="1280"/>
        <v>99999</v>
      </c>
      <c r="B39609" s="2" t="str">
        <f>"57714"</f>
        <v>57714</v>
      </c>
      <c r="C39609" s="1">
        <v>9.8224343965063504E-7</v>
      </c>
      <c r="D39609" s="1">
        <v>0</v>
      </c>
      <c r="E39609" s="1">
        <v>4.3455399550671099E-6</v>
      </c>
      <c r="F39609" s="1">
        <v>9.9485134582992606E-7</v>
      </c>
    </row>
    <row r="39610" spans="1:6" x14ac:dyDescent="0.25">
      <c r="A39610" s="2" t="str">
        <f t="shared" si="1280"/>
        <v>99999</v>
      </c>
      <c r="B39610" s="2" t="str">
        <f>"57720"</f>
        <v>57720</v>
      </c>
      <c r="C39610" s="1">
        <v>3.3832829587966299E-5</v>
      </c>
      <c r="D39610" s="1">
        <v>1.5176026734088599E-5</v>
      </c>
      <c r="E39610" s="1">
        <v>1.3036619865201299E-5</v>
      </c>
      <c r="F39610" s="1">
        <v>3.2133698470306602E-5</v>
      </c>
    </row>
    <row r="39611" spans="1:6" x14ac:dyDescent="0.25">
      <c r="A39611" s="2" t="str">
        <f t="shared" si="1280"/>
        <v>99999</v>
      </c>
      <c r="B39611" s="2" t="str">
        <f>"57735"</f>
        <v>57735</v>
      </c>
      <c r="C39611" s="1">
        <v>7.3122567173991701E-5</v>
      </c>
      <c r="D39611" s="1">
        <v>2.2764040101133E-5</v>
      </c>
      <c r="E39611" s="1">
        <v>2.60732397304027E-5</v>
      </c>
      <c r="F39611" s="1">
        <v>6.8744227996847901E-5</v>
      </c>
    </row>
    <row r="39612" spans="1:6" x14ac:dyDescent="0.25">
      <c r="A39612" s="2" t="str">
        <f t="shared" si="1280"/>
        <v>99999</v>
      </c>
      <c r="B39612" s="2" t="str">
        <f>"57716"</f>
        <v>57716</v>
      </c>
      <c r="C39612" s="1">
        <v>2.3901257031498801E-5</v>
      </c>
      <c r="D39612" s="1">
        <v>1.51760267340886E-6</v>
      </c>
      <c r="E39612" s="1">
        <v>4.3455399550671099E-6</v>
      </c>
      <c r="F39612" s="1">
        <v>2.1986214742841299E-5</v>
      </c>
    </row>
    <row r="39613" spans="1:6" x14ac:dyDescent="0.25">
      <c r="A39613" s="2" t="str">
        <f t="shared" si="1280"/>
        <v>99999</v>
      </c>
      <c r="B39613" s="2" t="str">
        <f>"57344"</f>
        <v>57344</v>
      </c>
      <c r="C39613" s="1">
        <v>8.5127764769721692E-6</v>
      </c>
      <c r="D39613" s="1">
        <v>1.51760267340886E-6</v>
      </c>
      <c r="E39613" s="1">
        <v>1.3036619865201299E-5</v>
      </c>
      <c r="F39613" s="1">
        <v>8.1577810358053902E-6</v>
      </c>
    </row>
    <row r="39614" spans="1:6" x14ac:dyDescent="0.25">
      <c r="A39614" s="2" t="str">
        <f t="shared" si="1280"/>
        <v>99999</v>
      </c>
      <c r="B39614" s="2" t="str">
        <f>"57323"</f>
        <v>57323</v>
      </c>
      <c r="C39614" s="1">
        <v>1.65890003140996E-5</v>
      </c>
      <c r="D39614" s="1">
        <v>1.51760267340886E-6</v>
      </c>
      <c r="E39614" s="1">
        <v>1.7382159820268399E-5</v>
      </c>
      <c r="F39614" s="1">
        <v>1.5619166129529801E-5</v>
      </c>
    </row>
    <row r="39615" spans="1:6" x14ac:dyDescent="0.25">
      <c r="A39615" s="2" t="str">
        <f t="shared" si="1280"/>
        <v>99999</v>
      </c>
      <c r="B39615" s="2" t="str">
        <f>"57266"</f>
        <v>57266</v>
      </c>
      <c r="C39615" s="1">
        <v>2.08453885525857E-5</v>
      </c>
      <c r="D39615" s="1">
        <v>1.21408213872709E-5</v>
      </c>
      <c r="E39615" s="1">
        <v>3.0418779685469802E-5</v>
      </c>
      <c r="F39615" s="1">
        <v>2.04939377240964E-5</v>
      </c>
    </row>
    <row r="39616" spans="1:6" x14ac:dyDescent="0.25">
      <c r="A39616" s="2" t="str">
        <f t="shared" si="1280"/>
        <v>99999</v>
      </c>
      <c r="B39616" s="2" t="str">
        <f>"57313"</f>
        <v>57313</v>
      </c>
      <c r="C39616" s="1">
        <v>4.6492856143463403E-5</v>
      </c>
      <c r="D39616" s="1">
        <v>3.1869656141586203E-5</v>
      </c>
      <c r="E39616" s="1">
        <v>3.9109859595604001E-5</v>
      </c>
      <c r="F39616" s="1">
        <v>4.5365221369844598E-5</v>
      </c>
    </row>
    <row r="39617" spans="1:6" x14ac:dyDescent="0.25">
      <c r="A39617" s="2" t="str">
        <f t="shared" si="1280"/>
        <v>99999</v>
      </c>
      <c r="B39617" s="2" t="str">
        <f>"57259"</f>
        <v>57259</v>
      </c>
      <c r="C39617" s="1">
        <v>3.3505415108082699E-5</v>
      </c>
      <c r="D39617" s="1">
        <v>4.5528080202265997E-6</v>
      </c>
      <c r="E39617" s="1">
        <v>3.47643196405369E-5</v>
      </c>
      <c r="F39617" s="1">
        <v>3.1636272797391603E-5</v>
      </c>
    </row>
    <row r="39618" spans="1:6" x14ac:dyDescent="0.25">
      <c r="A39618" s="2" t="str">
        <f t="shared" si="1280"/>
        <v>99999</v>
      </c>
      <c r="B39618" s="2" t="str">
        <f>"57251"</f>
        <v>57251</v>
      </c>
      <c r="C39618" s="1">
        <v>6.3300132777485401E-6</v>
      </c>
      <c r="D39618" s="1">
        <v>1.51760267340886E-6</v>
      </c>
      <c r="E39618" s="1">
        <v>4.3455399550671099E-6</v>
      </c>
      <c r="F39618" s="1">
        <v>5.96910807497955E-6</v>
      </c>
    </row>
    <row r="39619" spans="1:6" x14ac:dyDescent="0.25">
      <c r="A39619" s="2" t="str">
        <f t="shared" si="1280"/>
        <v>99999</v>
      </c>
      <c r="B39619" s="2" t="str">
        <f>"56762"</f>
        <v>56762</v>
      </c>
      <c r="C39619" s="1">
        <v>1.2027025227722201E-4</v>
      </c>
      <c r="D39619" s="1">
        <v>2.48886838439054E-4</v>
      </c>
      <c r="E39619" s="1">
        <v>2.5204131739389198E-4</v>
      </c>
      <c r="F39619" s="1">
        <v>1.3171831818788201E-4</v>
      </c>
    </row>
    <row r="39620" spans="1:6" x14ac:dyDescent="0.25">
      <c r="A39620" s="2" t="str">
        <f t="shared" si="1280"/>
        <v>99999</v>
      </c>
      <c r="B39620" s="2" t="str">
        <f>"56748"</f>
        <v>56748</v>
      </c>
      <c r="C39620" s="1">
        <v>2.56474675908777E-5</v>
      </c>
      <c r="D39620" s="1">
        <v>1.51760267340886E-6</v>
      </c>
      <c r="E39620" s="1">
        <v>1.3036619865201299E-5</v>
      </c>
      <c r="F39620" s="1">
        <v>2.3776947165335201E-5</v>
      </c>
    </row>
    <row r="39621" spans="1:6" x14ac:dyDescent="0.25">
      <c r="A39621" s="2" t="str">
        <f t="shared" si="1280"/>
        <v>99999</v>
      </c>
      <c r="B39621" s="2" t="str">
        <f>"56639"</f>
        <v>56639</v>
      </c>
      <c r="C39621" s="1">
        <v>2.07362503926245E-6</v>
      </c>
      <c r="D39621" s="1">
        <v>1.51760267340886E-6</v>
      </c>
      <c r="E39621" s="1">
        <v>0</v>
      </c>
      <c r="F39621" s="1">
        <v>1.98970269165985E-6</v>
      </c>
    </row>
    <row r="39622" spans="1:6" x14ac:dyDescent="0.25">
      <c r="A39622" s="2" t="str">
        <f t="shared" si="1280"/>
        <v>99999</v>
      </c>
      <c r="B39622" s="2" t="str">
        <f>"56701"</f>
        <v>56701</v>
      </c>
      <c r="C39622" s="1">
        <v>7.0448682254942803E-4</v>
      </c>
      <c r="D39622" s="1">
        <v>8.1647023829397095E-4</v>
      </c>
      <c r="E39622" s="1">
        <v>1.12114930840731E-3</v>
      </c>
      <c r="F39622" s="1">
        <v>7.21366710861279E-4</v>
      </c>
    </row>
    <row r="39623" spans="1:6" x14ac:dyDescent="0.25">
      <c r="A39623" s="2" t="str">
        <f t="shared" si="1280"/>
        <v>99999</v>
      </c>
      <c r="B39623" s="2" t="str">
        <f>"56649"</f>
        <v>56649</v>
      </c>
      <c r="C39623" s="1">
        <v>6.7283675616068496E-4</v>
      </c>
      <c r="D39623" s="1">
        <v>7.8611818482579403E-4</v>
      </c>
      <c r="E39623" s="1">
        <v>8.1696151155261705E-4</v>
      </c>
      <c r="F39623" s="1">
        <v>6.8356235971974203E-4</v>
      </c>
    </row>
    <row r="39624" spans="1:6" x14ac:dyDescent="0.25">
      <c r="A39624" s="2" t="str">
        <f t="shared" si="1280"/>
        <v>99999</v>
      </c>
      <c r="B39624" s="2" t="str">
        <f>"57231"</f>
        <v>57231</v>
      </c>
      <c r="C39624" s="1">
        <v>9.6041580765839904E-5</v>
      </c>
      <c r="D39624" s="1">
        <v>5.3116093569310399E-5</v>
      </c>
      <c r="E39624" s="1">
        <v>1.2602065869694599E-4</v>
      </c>
      <c r="F39624" s="1">
        <v>9.3913967046345E-5</v>
      </c>
    </row>
    <row r="39625" spans="1:6" x14ac:dyDescent="0.25">
      <c r="A39625" s="2" t="str">
        <f t="shared" si="1280"/>
        <v>99999</v>
      </c>
      <c r="B39625" s="2" t="str">
        <f>"57224"</f>
        <v>57224</v>
      </c>
      <c r="C39625" s="1">
        <v>9.3858817566616205E-6</v>
      </c>
      <c r="D39625" s="1">
        <v>0</v>
      </c>
      <c r="E39625" s="1">
        <v>4.3455399550671099E-6</v>
      </c>
      <c r="F39625" s="1">
        <v>8.6552067087203506E-6</v>
      </c>
    </row>
    <row r="39626" spans="1:6" x14ac:dyDescent="0.25">
      <c r="A39626" s="2" t="str">
        <f t="shared" si="1280"/>
        <v>99999</v>
      </c>
      <c r="B39626" s="2" t="str">
        <f>"57218"</f>
        <v>57218</v>
      </c>
      <c r="C39626" s="1">
        <v>1.54976187144878E-5</v>
      </c>
      <c r="D39626" s="1">
        <v>1.21408213872709E-5</v>
      </c>
      <c r="E39626" s="1">
        <v>1.3036619865201299E-5</v>
      </c>
      <c r="F39626" s="1">
        <v>1.52212255911978E-5</v>
      </c>
    </row>
    <row r="39627" spans="1:6" x14ac:dyDescent="0.25">
      <c r="A39627" s="2" t="str">
        <f t="shared" si="1280"/>
        <v>99999</v>
      </c>
      <c r="B39627" s="2" t="str">
        <f>"57066"</f>
        <v>57066</v>
      </c>
      <c r="C39627" s="1">
        <v>8.0980514691196795E-5</v>
      </c>
      <c r="D39627" s="1">
        <v>4.7045682875674899E-5</v>
      </c>
      <c r="E39627" s="1">
        <v>8.2565259146275205E-5</v>
      </c>
      <c r="F39627" s="1">
        <v>7.8792226589730107E-5</v>
      </c>
    </row>
    <row r="39628" spans="1:6" x14ac:dyDescent="0.25">
      <c r="A39628" s="2" t="str">
        <f t="shared" si="1280"/>
        <v>99999</v>
      </c>
      <c r="B39628" s="2" t="str">
        <f>"56577"</f>
        <v>56577</v>
      </c>
      <c r="C39628" s="1">
        <v>0</v>
      </c>
      <c r="D39628" s="1">
        <v>0</v>
      </c>
      <c r="E39628" s="1">
        <v>4.3455399550671099E-6</v>
      </c>
      <c r="F39628" s="1">
        <v>9.9485134582992598E-8</v>
      </c>
    </row>
    <row r="39629" spans="1:6" x14ac:dyDescent="0.25">
      <c r="A39629" s="2" t="str">
        <f t="shared" si="1280"/>
        <v>99999</v>
      </c>
      <c r="B39629" s="2" t="str">
        <f>"57054"</f>
        <v>57054</v>
      </c>
      <c r="C39629" s="1">
        <v>2.19367701521975E-5</v>
      </c>
      <c r="D39629" s="1">
        <v>3.3387258814995101E-5</v>
      </c>
      <c r="E39629" s="1">
        <v>3.0418779685469802E-5</v>
      </c>
      <c r="F39629" s="1">
        <v>2.28815809540883E-5</v>
      </c>
    </row>
    <row r="39630" spans="1:6" x14ac:dyDescent="0.25">
      <c r="A39630" s="2" t="str">
        <f t="shared" si="1280"/>
        <v>99999</v>
      </c>
      <c r="B39630" s="2" t="str">
        <f>"57048"</f>
        <v>57048</v>
      </c>
      <c r="C39630" s="1">
        <v>2.1827631992236301E-7</v>
      </c>
      <c r="D39630" s="1">
        <v>0</v>
      </c>
      <c r="E39630" s="1">
        <v>0</v>
      </c>
      <c r="F39630" s="1">
        <v>1.9897026916598501E-7</v>
      </c>
    </row>
    <row r="39631" spans="1:6" x14ac:dyDescent="0.25">
      <c r="A39631" s="2" t="str">
        <f t="shared" si="1280"/>
        <v>99999</v>
      </c>
      <c r="B39631" s="2" t="str">
        <f>"57045"</f>
        <v>57045</v>
      </c>
      <c r="C39631" s="1">
        <v>5.45690799805908E-5</v>
      </c>
      <c r="D39631" s="1">
        <v>4.0975272182039399E-5</v>
      </c>
      <c r="E39631" s="1">
        <v>6.9528639281073799E-5</v>
      </c>
      <c r="F39631" s="1">
        <v>5.4020428078565001E-5</v>
      </c>
    </row>
    <row r="39632" spans="1:6" x14ac:dyDescent="0.25">
      <c r="A39632" s="2" t="str">
        <f t="shared" si="1280"/>
        <v>99999</v>
      </c>
      <c r="B39632" s="2" t="str">
        <f>"57029"</f>
        <v>57029</v>
      </c>
      <c r="C39632" s="1">
        <v>8.6873975329100598E-5</v>
      </c>
      <c r="D39632" s="1">
        <v>6.0704106936354703E-5</v>
      </c>
      <c r="E39632" s="1">
        <v>9.9947418966543598E-5</v>
      </c>
      <c r="F39632" s="1">
        <v>8.5457730606790594E-5</v>
      </c>
    </row>
    <row r="39633" spans="1:6" x14ac:dyDescent="0.25">
      <c r="A39633" s="2" t="str">
        <f t="shared" si="1280"/>
        <v>99999</v>
      </c>
      <c r="B39633" s="2" t="str">
        <f>"56537"</f>
        <v>56537</v>
      </c>
      <c r="C39633" s="1">
        <v>2.1827631992236301E-7</v>
      </c>
      <c r="D39633" s="1">
        <v>0</v>
      </c>
      <c r="E39633" s="1">
        <v>0</v>
      </c>
      <c r="F39633" s="1">
        <v>1.9897026916598501E-7</v>
      </c>
    </row>
    <row r="39634" spans="1:6" x14ac:dyDescent="0.25">
      <c r="A39634" s="2" t="str">
        <f t="shared" ref="A39634:A39697" si="1281">"99999"</f>
        <v>99999</v>
      </c>
      <c r="B39634" s="2" t="str">
        <f>"56542"</f>
        <v>56542</v>
      </c>
      <c r="C39634" s="1">
        <v>8.5127764769721692E-6</v>
      </c>
      <c r="D39634" s="1">
        <v>0</v>
      </c>
      <c r="E39634" s="1">
        <v>0</v>
      </c>
      <c r="F39634" s="1">
        <v>7.7598404974734199E-6</v>
      </c>
    </row>
    <row r="39635" spans="1:6" x14ac:dyDescent="0.25">
      <c r="A39635" s="2" t="str">
        <f t="shared" si="1281"/>
        <v>99999</v>
      </c>
      <c r="B39635" s="2" t="str">
        <f>"56362"</f>
        <v>56362</v>
      </c>
      <c r="C39635" s="1">
        <v>2.1827631992236301E-5</v>
      </c>
      <c r="D39635" s="1">
        <v>0</v>
      </c>
      <c r="E39635" s="1">
        <v>4.3455399550671099E-6</v>
      </c>
      <c r="F39635" s="1">
        <v>1.9996512051181498E-5</v>
      </c>
    </row>
    <row r="39636" spans="1:6" x14ac:dyDescent="0.25">
      <c r="A39636" s="2" t="str">
        <f t="shared" si="1281"/>
        <v>99999</v>
      </c>
      <c r="B39636" s="2" t="str">
        <f>"56359"</f>
        <v>56359</v>
      </c>
      <c r="C39636" s="1">
        <v>2.1827631992236301E-7</v>
      </c>
      <c r="D39636" s="1">
        <v>0</v>
      </c>
      <c r="E39636" s="1">
        <v>0</v>
      </c>
      <c r="F39636" s="1">
        <v>1.9897026916598501E-7</v>
      </c>
    </row>
    <row r="39637" spans="1:6" x14ac:dyDescent="0.25">
      <c r="A39637" s="2" t="str">
        <f t="shared" si="1281"/>
        <v>99999</v>
      </c>
      <c r="B39637" s="2" t="str">
        <f>"56349"</f>
        <v>56349</v>
      </c>
      <c r="C39637" s="1">
        <v>3.52516256674617E-5</v>
      </c>
      <c r="D39637" s="1">
        <v>1.0623218713862E-5</v>
      </c>
      <c r="E39637" s="1">
        <v>1.3036619865201299E-5</v>
      </c>
      <c r="F39637" s="1">
        <v>3.3128549816136499E-5</v>
      </c>
    </row>
    <row r="39638" spans="1:6" x14ac:dyDescent="0.25">
      <c r="A39638" s="2" t="str">
        <f t="shared" si="1281"/>
        <v>99999</v>
      </c>
      <c r="B39638" s="2" t="str">
        <f>"56331"</f>
        <v>56331</v>
      </c>
      <c r="C39638" s="1">
        <v>7.63967119728272E-7</v>
      </c>
      <c r="D39638" s="1">
        <v>0</v>
      </c>
      <c r="E39638" s="1">
        <v>0</v>
      </c>
      <c r="F39638" s="1">
        <v>6.9639594208094799E-7</v>
      </c>
    </row>
    <row r="39639" spans="1:6" x14ac:dyDescent="0.25">
      <c r="A39639" s="2" t="str">
        <f t="shared" si="1281"/>
        <v>99999</v>
      </c>
      <c r="B39639" s="2" t="str">
        <f>"56309"</f>
        <v>56309</v>
      </c>
      <c r="C39639" s="1">
        <v>4.1909053425093703E-5</v>
      </c>
      <c r="D39639" s="1">
        <v>1.8211232080906399E-5</v>
      </c>
      <c r="E39639" s="1">
        <v>2.60732397304027E-5</v>
      </c>
      <c r="F39639" s="1">
        <v>3.9993024102362997E-5</v>
      </c>
    </row>
    <row r="39640" spans="1:6" x14ac:dyDescent="0.25">
      <c r="A39640" s="2" t="str">
        <f t="shared" si="1281"/>
        <v>99999</v>
      </c>
      <c r="B39640" s="2" t="str">
        <f>"56336"</f>
        <v>56336</v>
      </c>
      <c r="C39640" s="1">
        <v>8.5673455569527595E-5</v>
      </c>
      <c r="D39640" s="1">
        <v>3.0352053468177301E-6</v>
      </c>
      <c r="E39640" s="1">
        <v>3.47643196405369E-5</v>
      </c>
      <c r="F39640" s="1">
        <v>7.9090681993479095E-5</v>
      </c>
    </row>
    <row r="39641" spans="1:6" x14ac:dyDescent="0.25">
      <c r="A39641" s="2" t="str">
        <f t="shared" si="1281"/>
        <v>99999</v>
      </c>
      <c r="B39641" s="2" t="str">
        <f>"56316"</f>
        <v>56316</v>
      </c>
      <c r="C39641" s="1">
        <v>2.2045908312158699E-5</v>
      </c>
      <c r="D39641" s="1">
        <v>4.5528080202265997E-6</v>
      </c>
      <c r="E39641" s="1">
        <v>0</v>
      </c>
      <c r="F39641" s="1">
        <v>2.0394452589513401E-5</v>
      </c>
    </row>
    <row r="39642" spans="1:6" x14ac:dyDescent="0.25">
      <c r="A39642" s="2" t="str">
        <f t="shared" si="1281"/>
        <v>99999</v>
      </c>
      <c r="B39642" s="2" t="str">
        <f>"56436"</f>
        <v>56436</v>
      </c>
      <c r="C39642" s="1">
        <v>0</v>
      </c>
      <c r="D39642" s="1">
        <v>0</v>
      </c>
      <c r="E39642" s="1">
        <v>4.3455399550671099E-6</v>
      </c>
      <c r="F39642" s="1">
        <v>9.9485134582992598E-8</v>
      </c>
    </row>
    <row r="39643" spans="1:6" x14ac:dyDescent="0.25">
      <c r="A39643" s="2" t="str">
        <f t="shared" si="1281"/>
        <v>99999</v>
      </c>
      <c r="B39643" s="2" t="str">
        <f>"56470"</f>
        <v>56470</v>
      </c>
      <c r="C39643" s="1">
        <v>7.3908361925712201E-4</v>
      </c>
      <c r="D39643" s="1">
        <v>7.9522380086624698E-4</v>
      </c>
      <c r="E39643" s="1">
        <v>9.1690893051916099E-4</v>
      </c>
      <c r="F39643" s="1">
        <v>7.4683490531452499E-4</v>
      </c>
    </row>
    <row r="39644" spans="1:6" x14ac:dyDescent="0.25">
      <c r="A39644" s="2" t="str">
        <f t="shared" si="1281"/>
        <v>99999</v>
      </c>
      <c r="B39644" s="2" t="str">
        <f>"56464"</f>
        <v>56464</v>
      </c>
      <c r="C39644" s="1">
        <v>2.42068438793901E-4</v>
      </c>
      <c r="D39644" s="1">
        <v>6.2221709609763595E-5</v>
      </c>
      <c r="E39644" s="1">
        <v>1.39057278562147E-4</v>
      </c>
      <c r="F39644" s="1">
        <v>2.27920443329636E-4</v>
      </c>
    </row>
    <row r="39645" spans="1:6" x14ac:dyDescent="0.25">
      <c r="A39645" s="2" t="str">
        <f t="shared" si="1281"/>
        <v>99999</v>
      </c>
      <c r="B39645" s="2" t="str">
        <f>"56461"</f>
        <v>56461</v>
      </c>
      <c r="C39645" s="1">
        <v>1.95684720810398E-4</v>
      </c>
      <c r="D39645" s="1">
        <v>1.8211232080906399E-5</v>
      </c>
      <c r="E39645" s="1">
        <v>3.9109859595604001E-5</v>
      </c>
      <c r="F39645" s="1">
        <v>1.8046603413354799E-4</v>
      </c>
    </row>
    <row r="39646" spans="1:6" x14ac:dyDescent="0.25">
      <c r="A39646" s="2" t="str">
        <f t="shared" si="1281"/>
        <v>99999</v>
      </c>
      <c r="B39646" s="2" t="str">
        <f>"56458"</f>
        <v>56458</v>
      </c>
      <c r="C39646" s="1">
        <v>2.4446947831304701E-5</v>
      </c>
      <c r="D39646" s="1">
        <v>9.1056160404532095E-6</v>
      </c>
      <c r="E39646" s="1">
        <v>2.60732397304027E-5</v>
      </c>
      <c r="F39646" s="1">
        <v>2.3478491761586199E-5</v>
      </c>
    </row>
    <row r="39647" spans="1:6" x14ac:dyDescent="0.25">
      <c r="A39647" s="2" t="str">
        <f t="shared" si="1281"/>
        <v>99999</v>
      </c>
      <c r="B39647" s="2" t="str">
        <f>"56294"</f>
        <v>56294</v>
      </c>
      <c r="C39647" s="1">
        <v>1.09138159961181E-7</v>
      </c>
      <c r="D39647" s="1">
        <v>1.51760267340886E-6</v>
      </c>
      <c r="E39647" s="1">
        <v>0</v>
      </c>
      <c r="F39647" s="1">
        <v>1.9897026916598501E-7</v>
      </c>
    </row>
    <row r="39648" spans="1:6" x14ac:dyDescent="0.25">
      <c r="A39648" s="2" t="str">
        <f t="shared" si="1281"/>
        <v>99999</v>
      </c>
      <c r="B39648" s="2" t="str">
        <f>"56280"</f>
        <v>56280</v>
      </c>
      <c r="C39648" s="1">
        <v>2.4992638631110601E-5</v>
      </c>
      <c r="D39648" s="1">
        <v>1.9728834754315301E-5</v>
      </c>
      <c r="E39648" s="1">
        <v>4.3455399550671103E-5</v>
      </c>
      <c r="F39648" s="1">
        <v>2.5070253914914101E-5</v>
      </c>
    </row>
    <row r="39649" spans="1:6" x14ac:dyDescent="0.25">
      <c r="A39649" s="2" t="str">
        <f t="shared" si="1281"/>
        <v>99999</v>
      </c>
      <c r="B39649" s="2" t="str">
        <f>"56295"</f>
        <v>56295</v>
      </c>
      <c r="C39649" s="1">
        <v>1.7025552953944301E-5</v>
      </c>
      <c r="D39649" s="1">
        <v>1.5176026734088599E-5</v>
      </c>
      <c r="E39649" s="1">
        <v>3.47643196405369E-5</v>
      </c>
      <c r="F39649" s="1">
        <v>1.7310413417440701E-5</v>
      </c>
    </row>
    <row r="39650" spans="1:6" x14ac:dyDescent="0.25">
      <c r="A39650" s="2" t="str">
        <f t="shared" si="1281"/>
        <v>99999</v>
      </c>
      <c r="B39650" s="2" t="str">
        <f>"56274"</f>
        <v>56274</v>
      </c>
      <c r="C39650" s="1">
        <v>6.7665659175932598E-6</v>
      </c>
      <c r="D39650" s="1">
        <v>3.0352053468177301E-6</v>
      </c>
      <c r="E39650" s="1">
        <v>0</v>
      </c>
      <c r="F39650" s="1">
        <v>6.3670486133115203E-6</v>
      </c>
    </row>
    <row r="39651" spans="1:6" x14ac:dyDescent="0.25">
      <c r="A39651" s="2" t="str">
        <f t="shared" si="1281"/>
        <v>99999</v>
      </c>
      <c r="B39651" s="2" t="str">
        <f>"56277"</f>
        <v>56277</v>
      </c>
      <c r="C39651" s="1">
        <v>1.6534431234118999E-4</v>
      </c>
      <c r="D39651" s="1">
        <v>4.0519991380016799E-4</v>
      </c>
      <c r="E39651" s="1">
        <v>4.3455399550671099E-4</v>
      </c>
      <c r="F39651" s="1">
        <v>1.87231023285192E-4</v>
      </c>
    </row>
    <row r="39652" spans="1:6" x14ac:dyDescent="0.25">
      <c r="A39652" s="2" t="str">
        <f t="shared" si="1281"/>
        <v>99999</v>
      </c>
      <c r="B39652" s="2" t="str">
        <f>"56260"</f>
        <v>56260</v>
      </c>
      <c r="C39652" s="1">
        <v>2.83759215899072E-5</v>
      </c>
      <c r="D39652" s="1">
        <v>4.5528080202265997E-6</v>
      </c>
      <c r="E39652" s="1">
        <v>8.69107991013423E-6</v>
      </c>
      <c r="F39652" s="1">
        <v>2.6363560664493E-5</v>
      </c>
    </row>
    <row r="39653" spans="1:6" x14ac:dyDescent="0.25">
      <c r="A39653" s="2" t="str">
        <f t="shared" si="1281"/>
        <v>99999</v>
      </c>
      <c r="B39653" s="2" t="str">
        <f>"56229"</f>
        <v>56229</v>
      </c>
      <c r="C39653" s="1">
        <v>5.6751843179814504E-6</v>
      </c>
      <c r="D39653" s="1">
        <v>1.51760267340886E-6</v>
      </c>
      <c r="E39653" s="1">
        <v>0</v>
      </c>
      <c r="F39653" s="1">
        <v>5.2727121328986002E-6</v>
      </c>
    </row>
    <row r="39654" spans="1:6" x14ac:dyDescent="0.25">
      <c r="A39654" s="2" t="str">
        <f t="shared" si="1281"/>
        <v>99999</v>
      </c>
      <c r="B39654" s="2" t="str">
        <f>"56214"</f>
        <v>56214</v>
      </c>
      <c r="C39654" s="1">
        <v>3.8089217826452399E-5</v>
      </c>
      <c r="D39654" s="1">
        <v>1.0623218713862E-5</v>
      </c>
      <c r="E39654" s="1">
        <v>1.7382159820268399E-5</v>
      </c>
      <c r="F39654" s="1">
        <v>3.5814648449877303E-5</v>
      </c>
    </row>
    <row r="39655" spans="1:6" x14ac:dyDescent="0.25">
      <c r="A39655" s="2" t="str">
        <f t="shared" si="1281"/>
        <v>99999</v>
      </c>
      <c r="B39655" s="2" t="str">
        <f>"56209"</f>
        <v>56209</v>
      </c>
      <c r="C39655" s="1">
        <v>8.2945001570498102E-6</v>
      </c>
      <c r="D39655" s="1">
        <v>0</v>
      </c>
      <c r="E39655" s="1">
        <v>0</v>
      </c>
      <c r="F39655" s="1">
        <v>7.5608702283074398E-6</v>
      </c>
    </row>
    <row r="39656" spans="1:6" x14ac:dyDescent="0.25">
      <c r="A39656" s="2" t="str">
        <f t="shared" si="1281"/>
        <v>99999</v>
      </c>
      <c r="B39656" s="2" t="str">
        <f>"56208"</f>
        <v>56208</v>
      </c>
      <c r="C39656" s="1">
        <v>1.40788226349924E-4</v>
      </c>
      <c r="D39656" s="1">
        <v>2.3219320903155699E-4</v>
      </c>
      <c r="E39656" s="1">
        <v>1.9989483793308701E-4</v>
      </c>
      <c r="F39656" s="1">
        <v>1.48133365394076E-4</v>
      </c>
    </row>
    <row r="39657" spans="1:6" x14ac:dyDescent="0.25">
      <c r="A39657" s="2" t="str">
        <f t="shared" si="1281"/>
        <v>99999</v>
      </c>
      <c r="B39657" s="2" t="str">
        <f>"56183"</f>
        <v>56183</v>
      </c>
      <c r="C39657" s="1">
        <v>7.6942402772633099E-5</v>
      </c>
      <c r="D39657" s="1">
        <v>6.2221709609763595E-5</v>
      </c>
      <c r="E39657" s="1">
        <v>6.0837559370939603E-5</v>
      </c>
      <c r="F39657" s="1">
        <v>7.5608702283074398E-5</v>
      </c>
    </row>
    <row r="39658" spans="1:6" x14ac:dyDescent="0.25">
      <c r="A39658" s="2" t="str">
        <f t="shared" si="1281"/>
        <v>99999</v>
      </c>
      <c r="B39658" s="2" t="str">
        <f>"56158"</f>
        <v>56158</v>
      </c>
      <c r="C39658" s="1">
        <v>1.7571243753750201E-5</v>
      </c>
      <c r="D39658" s="1">
        <v>9.1056160404532095E-6</v>
      </c>
      <c r="E39658" s="1">
        <v>0</v>
      </c>
      <c r="F39658" s="1">
        <v>1.6614017475359701E-5</v>
      </c>
    </row>
    <row r="39659" spans="1:6" x14ac:dyDescent="0.25">
      <c r="A39659" s="2" t="str">
        <f t="shared" si="1281"/>
        <v>99999</v>
      </c>
      <c r="B39659" s="2" t="str">
        <f>"56164"</f>
        <v>56164</v>
      </c>
      <c r="C39659" s="1">
        <v>3.0809702557041603E-4</v>
      </c>
      <c r="D39659" s="1">
        <v>5.0080888222492597E-4</v>
      </c>
      <c r="E39659" s="1">
        <v>4.8670047496751699E-4</v>
      </c>
      <c r="F39659" s="1">
        <v>3.2481896441346997E-4</v>
      </c>
    </row>
    <row r="39660" spans="1:6" x14ac:dyDescent="0.25">
      <c r="A39660" s="2" t="str">
        <f t="shared" si="1281"/>
        <v>99999</v>
      </c>
      <c r="B39660" s="2" t="str">
        <f>"56161"</f>
        <v>56161</v>
      </c>
      <c r="C39660" s="1">
        <v>2.08453885525857E-5</v>
      </c>
      <c r="D39660" s="1">
        <v>6.0704106936354696E-6</v>
      </c>
      <c r="E39660" s="1">
        <v>0</v>
      </c>
      <c r="F39660" s="1">
        <v>1.9399601243683501E-5</v>
      </c>
    </row>
    <row r="39661" spans="1:6" x14ac:dyDescent="0.25">
      <c r="A39661" s="2" t="str">
        <f t="shared" si="1281"/>
        <v>99999</v>
      </c>
      <c r="B39661" s="2" t="str">
        <f>"56156"</f>
        <v>56156</v>
      </c>
      <c r="C39661" s="1">
        <v>3.1399048620831899E-4</v>
      </c>
      <c r="D39661" s="1">
        <v>4.5072799400243402E-4</v>
      </c>
      <c r="E39661" s="1">
        <v>4.8235493501244897E-4</v>
      </c>
      <c r="F39661" s="1">
        <v>3.2680866710513003E-4</v>
      </c>
    </row>
    <row r="39662" spans="1:6" x14ac:dyDescent="0.25">
      <c r="A39662" s="2" t="str">
        <f t="shared" si="1281"/>
        <v>99999</v>
      </c>
      <c r="B39662" s="2" t="str">
        <f>"56144"</f>
        <v>56144</v>
      </c>
      <c r="C39662" s="1">
        <v>7.0175836855039799E-5</v>
      </c>
      <c r="D39662" s="1">
        <v>7.5880133670443404E-6</v>
      </c>
      <c r="E39662" s="1">
        <v>4.7800939505738197E-5</v>
      </c>
      <c r="F39662" s="1">
        <v>6.5560703690192097E-5</v>
      </c>
    </row>
    <row r="39663" spans="1:6" x14ac:dyDescent="0.25">
      <c r="A39663" s="2" t="str">
        <f t="shared" si="1281"/>
        <v>99999</v>
      </c>
      <c r="B39663" s="2" t="str">
        <f>"56137"</f>
        <v>56137</v>
      </c>
      <c r="C39663" s="1">
        <v>6.2972718297601797E-5</v>
      </c>
      <c r="D39663" s="1">
        <v>2.1246437427724101E-5</v>
      </c>
      <c r="E39663" s="1">
        <v>3.9109859595604001E-5</v>
      </c>
      <c r="F39663" s="1">
        <v>5.9691080749795503E-5</v>
      </c>
    </row>
    <row r="39664" spans="1:6" x14ac:dyDescent="0.25">
      <c r="A39664" s="2" t="str">
        <f t="shared" si="1281"/>
        <v>99999</v>
      </c>
      <c r="B39664" s="2" t="str">
        <f>"56114"</f>
        <v>56114</v>
      </c>
      <c r="C39664" s="1">
        <v>2.08453885525857E-5</v>
      </c>
      <c r="D39664" s="1">
        <v>1.5176026734088599E-5</v>
      </c>
      <c r="E39664" s="1">
        <v>0</v>
      </c>
      <c r="F39664" s="1">
        <v>1.9996512051181498E-5</v>
      </c>
    </row>
    <row r="39665" spans="1:6" x14ac:dyDescent="0.25">
      <c r="A39665" s="2" t="str">
        <f t="shared" si="1281"/>
        <v>99999</v>
      </c>
      <c r="B39665" s="2" t="str">
        <f>"56039"</f>
        <v>56039</v>
      </c>
      <c r="C39665" s="1">
        <v>3.8198355986413598E-6</v>
      </c>
      <c r="D39665" s="1">
        <v>1.51760267340886E-6</v>
      </c>
      <c r="E39665" s="1">
        <v>0</v>
      </c>
      <c r="F39665" s="1">
        <v>3.5814648449877301E-6</v>
      </c>
    </row>
    <row r="39666" spans="1:6" x14ac:dyDescent="0.25">
      <c r="A39666" s="2" t="str">
        <f t="shared" si="1281"/>
        <v>99999</v>
      </c>
      <c r="B39666" s="2" t="str">
        <f>"56033"</f>
        <v>56033</v>
      </c>
      <c r="C39666" s="1">
        <v>2.1281941192430401E-5</v>
      </c>
      <c r="D39666" s="1">
        <v>1.51760267340886E-6</v>
      </c>
      <c r="E39666" s="1">
        <v>2.1727699775335501E-5</v>
      </c>
      <c r="F39666" s="1">
        <v>1.9996512051181498E-5</v>
      </c>
    </row>
    <row r="39667" spans="1:6" x14ac:dyDescent="0.25">
      <c r="A39667" s="2" t="str">
        <f t="shared" si="1281"/>
        <v>99999</v>
      </c>
      <c r="B39667" s="2" t="str">
        <f>"56068"</f>
        <v>56068</v>
      </c>
      <c r="C39667" s="1">
        <v>3.7652665186607698E-5</v>
      </c>
      <c r="D39667" s="1">
        <v>7.5880133670443404E-6</v>
      </c>
      <c r="E39667" s="1">
        <v>1.3036619865201299E-5</v>
      </c>
      <c r="F39667" s="1">
        <v>3.5118252507796402E-5</v>
      </c>
    </row>
    <row r="39668" spans="1:6" x14ac:dyDescent="0.25">
      <c r="A39668" s="2" t="str">
        <f t="shared" si="1281"/>
        <v>99999</v>
      </c>
      <c r="B39668" s="2" t="str">
        <f>"56048"</f>
        <v>56048</v>
      </c>
      <c r="C39668" s="1">
        <v>1.8640797721369799E-4</v>
      </c>
      <c r="D39668" s="1">
        <v>6.8292120303399095E-5</v>
      </c>
      <c r="E39668" s="1">
        <v>1.56439438382416E-4</v>
      </c>
      <c r="F39668" s="1">
        <v>1.77978905768973E-4</v>
      </c>
    </row>
    <row r="39669" spans="1:6" x14ac:dyDescent="0.25">
      <c r="A39669" s="2" t="str">
        <f t="shared" si="1281"/>
        <v>99999</v>
      </c>
      <c r="B39669" s="2" t="str">
        <f>"55756"</f>
        <v>55756</v>
      </c>
      <c r="C39669" s="1">
        <v>2.08453885525857E-5</v>
      </c>
      <c r="D39669" s="1">
        <v>4.5528080202265997E-6</v>
      </c>
      <c r="E39669" s="1">
        <v>1.3036619865201299E-5</v>
      </c>
      <c r="F39669" s="1">
        <v>1.9598571512849501E-5</v>
      </c>
    </row>
    <row r="39670" spans="1:6" x14ac:dyDescent="0.25">
      <c r="A39670" s="2" t="str">
        <f t="shared" si="1281"/>
        <v>99999</v>
      </c>
      <c r="B39670" s="2" t="str">
        <f>"55382"</f>
        <v>55382</v>
      </c>
      <c r="C39670" s="1">
        <v>2.1500217512352799E-5</v>
      </c>
      <c r="D39670" s="1">
        <v>3.0352053468177301E-6</v>
      </c>
      <c r="E39670" s="1">
        <v>0</v>
      </c>
      <c r="F39670" s="1">
        <v>1.9797541782015501E-5</v>
      </c>
    </row>
    <row r="39671" spans="1:6" x14ac:dyDescent="0.25">
      <c r="A39671" s="2" t="str">
        <f t="shared" si="1281"/>
        <v>99999</v>
      </c>
      <c r="B39671" s="2" t="str">
        <f>"55314"</f>
        <v>55314</v>
      </c>
      <c r="C39671" s="1">
        <v>5.1949764141522499E-5</v>
      </c>
      <c r="D39671" s="1">
        <v>9.1056160404532095E-6</v>
      </c>
      <c r="E39671" s="1">
        <v>8.2565259146275205E-5</v>
      </c>
      <c r="F39671" s="1">
        <v>4.9842052426079301E-5</v>
      </c>
    </row>
    <row r="39672" spans="1:6" x14ac:dyDescent="0.25">
      <c r="A39672" s="2" t="str">
        <f t="shared" si="1281"/>
        <v>99999</v>
      </c>
      <c r="B39672" s="2" t="str">
        <f>"55325"</f>
        <v>55325</v>
      </c>
      <c r="C39672" s="1">
        <v>2.1980425416181999E-4</v>
      </c>
      <c r="D39672" s="1">
        <v>9.2573763077941E-5</v>
      </c>
      <c r="E39672" s="1">
        <v>1.56439438382416E-4</v>
      </c>
      <c r="F39672" s="1">
        <v>2.1001311910469699E-4</v>
      </c>
    </row>
    <row r="39673" spans="1:6" x14ac:dyDescent="0.25">
      <c r="A39673" s="2" t="str">
        <f t="shared" si="1281"/>
        <v>99999</v>
      </c>
      <c r="B39673" s="2" t="str">
        <f>"55051"</f>
        <v>55051</v>
      </c>
      <c r="C39673" s="1">
        <v>5.7428499771573804E-4</v>
      </c>
      <c r="D39673" s="1">
        <v>5.28125730346286E-4</v>
      </c>
      <c r="E39673" s="1">
        <v>6.2141221357459703E-4</v>
      </c>
      <c r="F39673" s="1">
        <v>5.7233797925595597E-4</v>
      </c>
    </row>
    <row r="39674" spans="1:6" x14ac:dyDescent="0.25">
      <c r="A39674" s="2" t="str">
        <f t="shared" si="1281"/>
        <v>99999</v>
      </c>
      <c r="B39674" s="2" t="str">
        <f>"55007"</f>
        <v>55007</v>
      </c>
      <c r="C39674" s="1">
        <v>1.3696839075128301E-4</v>
      </c>
      <c r="D39674" s="1">
        <v>9.1056160404532095E-6</v>
      </c>
      <c r="E39674" s="1">
        <v>1.3036619865201299E-5</v>
      </c>
      <c r="F39674" s="1">
        <v>1.2574921011290199E-4</v>
      </c>
    </row>
    <row r="39675" spans="1:6" x14ac:dyDescent="0.25">
      <c r="A39675" s="2" t="str">
        <f t="shared" si="1281"/>
        <v>99999</v>
      </c>
      <c r="B39675" s="2" t="str">
        <f>"55006"</f>
        <v>55006</v>
      </c>
      <c r="C39675" s="1">
        <v>6.3190994617524202E-5</v>
      </c>
      <c r="D39675" s="1">
        <v>7.5880133670443404E-6</v>
      </c>
      <c r="E39675" s="1">
        <v>0</v>
      </c>
      <c r="F39675" s="1">
        <v>5.8099318596467703E-5</v>
      </c>
    </row>
    <row r="39676" spans="1:6" x14ac:dyDescent="0.25">
      <c r="A39676" s="2" t="str">
        <f t="shared" si="1281"/>
        <v>99999</v>
      </c>
      <c r="B39676" s="2" t="str">
        <f>"54968"</f>
        <v>54968</v>
      </c>
      <c r="C39676" s="1">
        <v>1.8979126017249501E-4</v>
      </c>
      <c r="D39676" s="1">
        <v>2.24605195664512E-4</v>
      </c>
      <c r="E39676" s="1">
        <v>6.5183099326006705E-5</v>
      </c>
      <c r="F39676" s="1">
        <v>1.8922072597685099E-4</v>
      </c>
    </row>
    <row r="39677" spans="1:6" x14ac:dyDescent="0.25">
      <c r="A39677" s="2" t="str">
        <f t="shared" si="1281"/>
        <v>99999</v>
      </c>
      <c r="B39677" s="2" t="str">
        <f>"54861"</f>
        <v>54861</v>
      </c>
      <c r="C39677" s="1">
        <v>0</v>
      </c>
      <c r="D39677" s="1">
        <v>0</v>
      </c>
      <c r="E39677" s="1">
        <v>4.3455399550671099E-6</v>
      </c>
      <c r="F39677" s="1">
        <v>9.9485134582992598E-8</v>
      </c>
    </row>
    <row r="39678" spans="1:6" x14ac:dyDescent="0.25">
      <c r="A39678" s="2" t="str">
        <f t="shared" si="1281"/>
        <v>99999</v>
      </c>
      <c r="B39678" s="2" t="str">
        <f>"54872"</f>
        <v>54872</v>
      </c>
      <c r="C39678" s="1">
        <v>1.8062365473575499E-4</v>
      </c>
      <c r="D39678" s="1">
        <v>2.64062865173143E-4</v>
      </c>
      <c r="E39678" s="1">
        <v>1.30366198652013E-4</v>
      </c>
      <c r="F39678" s="1">
        <v>1.84942865189783E-4</v>
      </c>
    </row>
    <row r="39679" spans="1:6" x14ac:dyDescent="0.25">
      <c r="A39679" s="2" t="str">
        <f t="shared" si="1281"/>
        <v>99999</v>
      </c>
      <c r="B39679" s="2" t="str">
        <f>"54839"</f>
        <v>54839</v>
      </c>
      <c r="C39679" s="1">
        <v>1.9644868793012701E-5</v>
      </c>
      <c r="D39679" s="1">
        <v>9.1056160404532095E-6</v>
      </c>
      <c r="E39679" s="1">
        <v>4.3455399550671099E-6</v>
      </c>
      <c r="F39679" s="1">
        <v>1.8603720167019601E-5</v>
      </c>
    </row>
    <row r="39680" spans="1:6" x14ac:dyDescent="0.25">
      <c r="A39680" s="2" t="str">
        <f t="shared" si="1281"/>
        <v>99999</v>
      </c>
      <c r="B39680" s="2" t="str">
        <f>"54819"</f>
        <v>54819</v>
      </c>
      <c r="C39680" s="1">
        <v>1.5912343722340199E-4</v>
      </c>
      <c r="D39680" s="1">
        <v>5.15984908959015E-5</v>
      </c>
      <c r="E39680" s="1">
        <v>9.9947418966543598E-5</v>
      </c>
      <c r="F39680" s="1">
        <v>1.50719978893233E-4</v>
      </c>
    </row>
    <row r="39681" spans="1:6" x14ac:dyDescent="0.25">
      <c r="A39681" s="2" t="str">
        <f t="shared" si="1281"/>
        <v>99999</v>
      </c>
      <c r="B39681" s="2" t="str">
        <f>"54810"</f>
        <v>54810</v>
      </c>
      <c r="C39681" s="1">
        <v>1.8193331265528901E-4</v>
      </c>
      <c r="D39681" s="1">
        <v>1.18373008525891E-4</v>
      </c>
      <c r="E39681" s="1">
        <v>2.1727699775335501E-4</v>
      </c>
      <c r="F39681" s="1">
        <v>1.7857581657647101E-4</v>
      </c>
    </row>
    <row r="39682" spans="1:6" x14ac:dyDescent="0.25">
      <c r="A39682" s="2" t="str">
        <f t="shared" si="1281"/>
        <v>99999</v>
      </c>
      <c r="B39682" s="2" t="str">
        <f>"54945"</f>
        <v>54945</v>
      </c>
      <c r="C39682" s="1">
        <v>1.9994110904888399E-4</v>
      </c>
      <c r="D39682" s="1">
        <v>1.0623218713862E-4</v>
      </c>
      <c r="E39682" s="1">
        <v>1.7816713815775099E-4</v>
      </c>
      <c r="F39682" s="1">
        <v>1.93299616494754E-4</v>
      </c>
    </row>
    <row r="39683" spans="1:6" x14ac:dyDescent="0.25">
      <c r="A39683" s="2" t="str">
        <f t="shared" si="1281"/>
        <v>99999</v>
      </c>
      <c r="B39683" s="2" t="str">
        <f>"54943"</f>
        <v>54943</v>
      </c>
      <c r="C39683" s="1">
        <v>1.3402166043233101E-4</v>
      </c>
      <c r="D39683" s="1">
        <v>3.7940066835221703E-5</v>
      </c>
      <c r="E39683" s="1">
        <v>2.1727699775335501E-5</v>
      </c>
      <c r="F39683" s="1">
        <v>1.2515229930540401E-4</v>
      </c>
    </row>
    <row r="39684" spans="1:6" x14ac:dyDescent="0.25">
      <c r="A39684" s="2" t="str">
        <f t="shared" si="1281"/>
        <v>99999</v>
      </c>
      <c r="B39684" s="2" t="str">
        <f>"54930"</f>
        <v>54930</v>
      </c>
      <c r="C39684" s="1">
        <v>1.0062538348420899E-4</v>
      </c>
      <c r="D39684" s="1">
        <v>6.9809722976807906E-5</v>
      </c>
      <c r="E39684" s="1">
        <v>3.0418779685469802E-5</v>
      </c>
      <c r="F39684" s="1">
        <v>9.6998006218417798E-5</v>
      </c>
    </row>
    <row r="39685" spans="1:6" x14ac:dyDescent="0.25">
      <c r="A39685" s="2" t="str">
        <f t="shared" si="1281"/>
        <v>99999</v>
      </c>
      <c r="B39685" s="2" t="str">
        <f>"54923"</f>
        <v>54923</v>
      </c>
      <c r="C39685" s="1">
        <v>4.4342834392228101E-4</v>
      </c>
      <c r="D39685" s="1">
        <v>5.0536169024515299E-4</v>
      </c>
      <c r="E39685" s="1">
        <v>6.2575775352966402E-4</v>
      </c>
      <c r="F39685" s="1">
        <v>4.5166251100678601E-4</v>
      </c>
    </row>
    <row r="39686" spans="1:6" x14ac:dyDescent="0.25">
      <c r="A39686" s="2" t="str">
        <f t="shared" si="1281"/>
        <v>99999</v>
      </c>
      <c r="B39686" s="2" t="str">
        <f>"54763"</f>
        <v>54763</v>
      </c>
      <c r="C39686" s="1">
        <v>6.9848422375156299E-6</v>
      </c>
      <c r="D39686" s="1">
        <v>0</v>
      </c>
      <c r="E39686" s="1">
        <v>1.3036619865201299E-5</v>
      </c>
      <c r="F39686" s="1">
        <v>6.6655040170604998E-6</v>
      </c>
    </row>
    <row r="39687" spans="1:6" x14ac:dyDescent="0.25">
      <c r="A39687" s="2" t="str">
        <f t="shared" si="1281"/>
        <v>99999</v>
      </c>
      <c r="B39687" s="2" t="str">
        <f>"54762"</f>
        <v>54762</v>
      </c>
      <c r="C39687" s="1">
        <v>6.2536165657757096E-5</v>
      </c>
      <c r="D39687" s="1">
        <v>2.88344507947685E-5</v>
      </c>
      <c r="E39687" s="1">
        <v>6.9528639281073799E-5</v>
      </c>
      <c r="F39687" s="1">
        <v>6.0486961826459498E-5</v>
      </c>
    </row>
    <row r="39688" spans="1:6" x14ac:dyDescent="0.25">
      <c r="A39688" s="2" t="str">
        <f t="shared" si="1281"/>
        <v>99999</v>
      </c>
      <c r="B39688" s="2" t="str">
        <f>"54891"</f>
        <v>54891</v>
      </c>
      <c r="C39688" s="1">
        <v>2.0496146440709899E-4</v>
      </c>
      <c r="D39688" s="1">
        <v>6.8292120303399095E-5</v>
      </c>
      <c r="E39688" s="1">
        <v>7.3874179236140894E-5</v>
      </c>
      <c r="F39688" s="1">
        <v>1.93001161091005E-4</v>
      </c>
    </row>
    <row r="39689" spans="1:6" x14ac:dyDescent="0.25">
      <c r="A39689" s="2" t="str">
        <f t="shared" si="1281"/>
        <v>99999</v>
      </c>
      <c r="B39689" s="2" t="str">
        <f>"54737"</f>
        <v>54737</v>
      </c>
      <c r="C39689" s="1">
        <v>1.6370723994177199E-6</v>
      </c>
      <c r="D39689" s="1">
        <v>0</v>
      </c>
      <c r="E39689" s="1">
        <v>0</v>
      </c>
      <c r="F39689" s="1">
        <v>1.4922770187448801E-6</v>
      </c>
    </row>
    <row r="39690" spans="1:6" x14ac:dyDescent="0.25">
      <c r="A39690" s="2" t="str">
        <f t="shared" si="1281"/>
        <v>99999</v>
      </c>
      <c r="B39690" s="2" t="str">
        <f>"54525"</f>
        <v>54525</v>
      </c>
      <c r="C39690" s="1">
        <v>1.3533131835186499E-5</v>
      </c>
      <c r="D39690" s="1">
        <v>1.51760267340886E-6</v>
      </c>
      <c r="E39690" s="1">
        <v>1.3036619865201299E-5</v>
      </c>
      <c r="F39690" s="1">
        <v>1.2734097226623E-5</v>
      </c>
    </row>
    <row r="39691" spans="1:6" x14ac:dyDescent="0.25">
      <c r="A39691" s="2" t="str">
        <f t="shared" si="1281"/>
        <v>99999</v>
      </c>
      <c r="B39691" s="2" t="str">
        <f>"54556"</f>
        <v>54556</v>
      </c>
      <c r="C39691" s="1">
        <v>7.8906889651934295E-5</v>
      </c>
      <c r="D39691" s="1">
        <v>6.9809722976807906E-5</v>
      </c>
      <c r="E39691" s="1">
        <v>7.3874179236140894E-5</v>
      </c>
      <c r="F39691" s="1">
        <v>7.8195315782232197E-5</v>
      </c>
    </row>
    <row r="39692" spans="1:6" x14ac:dyDescent="0.25">
      <c r="A39692" s="2" t="str">
        <f t="shared" si="1281"/>
        <v>99999</v>
      </c>
      <c r="B39692" s="2" t="str">
        <f>"54519"</f>
        <v>54519</v>
      </c>
      <c r="C39692" s="1">
        <v>1.16232140358658E-4</v>
      </c>
      <c r="D39692" s="1">
        <v>5.0080888222492601E-5</v>
      </c>
      <c r="E39692" s="1">
        <v>1.7382159820268399E-5</v>
      </c>
      <c r="F39692" s="1">
        <v>1.09632618310457E-4</v>
      </c>
    </row>
    <row r="39693" spans="1:6" x14ac:dyDescent="0.25">
      <c r="A39693" s="2" t="str">
        <f t="shared" si="1281"/>
        <v>99999</v>
      </c>
      <c r="B39693" s="2" t="str">
        <f>"54635"</f>
        <v>54635</v>
      </c>
      <c r="C39693" s="1">
        <v>9.7896929485179998E-5</v>
      </c>
      <c r="D39693" s="1">
        <v>5.6151298916128101E-5</v>
      </c>
      <c r="E39693" s="1">
        <v>1.08638498876677E-4</v>
      </c>
      <c r="F39693" s="1">
        <v>9.5406244065089903E-5</v>
      </c>
    </row>
    <row r="39694" spans="1:6" x14ac:dyDescent="0.25">
      <c r="A39694" s="2" t="str">
        <f t="shared" si="1281"/>
        <v>99999</v>
      </c>
      <c r="B39694" s="2" t="str">
        <f>"54659"</f>
        <v>54659</v>
      </c>
      <c r="C39694" s="1">
        <v>5.3805112860862499E-5</v>
      </c>
      <c r="D39694" s="1">
        <v>4.5528080202265997E-6</v>
      </c>
      <c r="E39694" s="1">
        <v>6.0837559370939603E-5</v>
      </c>
      <c r="F39694" s="1">
        <v>5.07374186373262E-5</v>
      </c>
    </row>
    <row r="39695" spans="1:6" x14ac:dyDescent="0.25">
      <c r="A39695" s="2" t="str">
        <f t="shared" si="1281"/>
        <v>99999</v>
      </c>
      <c r="B39695" s="2" t="str">
        <f>"54610"</f>
        <v>54610</v>
      </c>
      <c r="C39695" s="1">
        <v>1.10447817880715E-4</v>
      </c>
      <c r="D39695" s="1">
        <v>1.8211232080906399E-5</v>
      </c>
      <c r="E39695" s="1">
        <v>7.8219719191208097E-5</v>
      </c>
      <c r="F39695" s="1">
        <v>1.03663510235478E-4</v>
      </c>
    </row>
    <row r="39696" spans="1:6" x14ac:dyDescent="0.25">
      <c r="A39696" s="2" t="str">
        <f t="shared" si="1281"/>
        <v>99999</v>
      </c>
      <c r="B39696" s="2" t="str">
        <f>"54558"</f>
        <v>54558</v>
      </c>
      <c r="C39696" s="1">
        <v>1.8509831929416399E-4</v>
      </c>
      <c r="D39696" s="1">
        <v>9.1056160404532095E-5</v>
      </c>
      <c r="E39696" s="1">
        <v>6.5183099326006705E-5</v>
      </c>
      <c r="F39696" s="1">
        <v>1.7618817334647899E-4</v>
      </c>
    </row>
    <row r="39697" spans="1:6" x14ac:dyDescent="0.25">
      <c r="A39697" s="2" t="str">
        <f t="shared" si="1281"/>
        <v>99999</v>
      </c>
      <c r="B39697" s="2" t="str">
        <f>"54464"</f>
        <v>54464</v>
      </c>
      <c r="C39697" s="1">
        <v>4.5838027183696299E-6</v>
      </c>
      <c r="D39697" s="1">
        <v>0</v>
      </c>
      <c r="E39697" s="1">
        <v>8.69107991013423E-6</v>
      </c>
      <c r="F39697" s="1">
        <v>4.3773459216516703E-6</v>
      </c>
    </row>
    <row r="39698" spans="1:6" x14ac:dyDescent="0.25">
      <c r="A39698" s="2" t="str">
        <f t="shared" ref="A39698:A39761" si="1282">"99999"</f>
        <v>99999</v>
      </c>
      <c r="B39698" s="2" t="str">
        <f>"54210"</f>
        <v>54210</v>
      </c>
      <c r="C39698" s="1">
        <v>7.9343442291779104E-5</v>
      </c>
      <c r="D39698" s="1">
        <v>3.9457669508630602E-5</v>
      </c>
      <c r="E39698" s="1">
        <v>4.7800939505738197E-5</v>
      </c>
      <c r="F39698" s="1">
        <v>7.6006642821406297E-5</v>
      </c>
    </row>
    <row r="39699" spans="1:6" x14ac:dyDescent="0.25">
      <c r="A39699" s="2" t="str">
        <f t="shared" si="1282"/>
        <v>99999</v>
      </c>
      <c r="B39699" s="2" t="str">
        <f>"54435"</f>
        <v>54435</v>
      </c>
      <c r="C39699" s="1">
        <v>2.75028163102177E-5</v>
      </c>
      <c r="D39699" s="1">
        <v>4.5528080202265997E-6</v>
      </c>
      <c r="E39699" s="1">
        <v>0</v>
      </c>
      <c r="F39699" s="1">
        <v>2.53687093186631E-5</v>
      </c>
    </row>
    <row r="39700" spans="1:6" x14ac:dyDescent="0.25">
      <c r="A39700" s="2" t="str">
        <f t="shared" si="1282"/>
        <v>99999</v>
      </c>
      <c r="B39700" s="2" t="str">
        <f>"54430"</f>
        <v>54430</v>
      </c>
      <c r="C39700" s="1">
        <v>1.0804677836156901E-5</v>
      </c>
      <c r="D39700" s="1">
        <v>1.51760267340886E-6</v>
      </c>
      <c r="E39700" s="1">
        <v>4.3455399550671099E-6</v>
      </c>
      <c r="F39700" s="1">
        <v>1.0047998592882199E-5</v>
      </c>
    </row>
    <row r="39701" spans="1:6" x14ac:dyDescent="0.25">
      <c r="A39701" s="2" t="str">
        <f t="shared" si="1282"/>
        <v>99999</v>
      </c>
      <c r="B39701" s="2" t="str">
        <f>"54425"</f>
        <v>54425</v>
      </c>
      <c r="C39701" s="1">
        <v>7.5523606693137706E-5</v>
      </c>
      <c r="D39701" s="1">
        <v>5.9186504262945899E-5</v>
      </c>
      <c r="E39701" s="1">
        <v>8.69107991013423E-5</v>
      </c>
      <c r="F39701" s="1">
        <v>7.4713336071827405E-5</v>
      </c>
    </row>
    <row r="39702" spans="1:6" x14ac:dyDescent="0.25">
      <c r="A39702" s="2" t="str">
        <f t="shared" si="1282"/>
        <v>99999</v>
      </c>
      <c r="B39702" s="2" t="str">
        <f>"54424"</f>
        <v>54424</v>
      </c>
      <c r="C39702" s="1">
        <v>1.11211785000444E-4</v>
      </c>
      <c r="D39702" s="1">
        <v>2.5799245447950699E-5</v>
      </c>
      <c r="E39702" s="1">
        <v>4.3455399550671099E-6</v>
      </c>
      <c r="F39702" s="1">
        <v>1.03166084562563E-4</v>
      </c>
    </row>
    <row r="39703" spans="1:6" x14ac:dyDescent="0.25">
      <c r="A39703" s="2" t="str">
        <f t="shared" si="1282"/>
        <v>99999</v>
      </c>
      <c r="B39703" s="2" t="str">
        <f>"54421"</f>
        <v>54421</v>
      </c>
      <c r="C39703" s="1">
        <v>9.7896929485179998E-5</v>
      </c>
      <c r="D39703" s="1">
        <v>6.5256914956581297E-5</v>
      </c>
      <c r="E39703" s="1">
        <v>6.9528639281073799E-5</v>
      </c>
      <c r="F39703" s="1">
        <v>9.5107788661340901E-5</v>
      </c>
    </row>
    <row r="39704" spans="1:6" x14ac:dyDescent="0.25">
      <c r="A39704" s="2" t="str">
        <f t="shared" si="1282"/>
        <v>99999</v>
      </c>
      <c r="B39704" s="2" t="str">
        <f>"54451"</f>
        <v>54451</v>
      </c>
      <c r="C39704" s="1">
        <v>5.8006932019367995E-4</v>
      </c>
      <c r="D39704" s="1">
        <v>7.2086126986921296E-4</v>
      </c>
      <c r="E39704" s="1">
        <v>6.1272113366446295E-4</v>
      </c>
      <c r="F39704" s="1">
        <v>5.9004633321172904E-4</v>
      </c>
    </row>
    <row r="39705" spans="1:6" x14ac:dyDescent="0.25">
      <c r="A39705" s="2" t="str">
        <f t="shared" si="1282"/>
        <v>99999</v>
      </c>
      <c r="B39705" s="2" t="str">
        <f>"54418"</f>
        <v>54418</v>
      </c>
      <c r="C39705" s="1">
        <v>5.7406672139581499E-5</v>
      </c>
      <c r="D39705" s="1">
        <v>1.66936294074975E-5</v>
      </c>
      <c r="E39705" s="1">
        <v>4.3455399550671099E-6</v>
      </c>
      <c r="F39705" s="1">
        <v>5.3523002405650002E-5</v>
      </c>
    </row>
    <row r="39706" spans="1:6" x14ac:dyDescent="0.25">
      <c r="A39706" s="2" t="str">
        <f t="shared" si="1282"/>
        <v>99999</v>
      </c>
      <c r="B39706" s="2" t="str">
        <f>"54411"</f>
        <v>54411</v>
      </c>
      <c r="C39706" s="1">
        <v>6.6574277576320803E-6</v>
      </c>
      <c r="D39706" s="1">
        <v>3.0352053468177301E-6</v>
      </c>
      <c r="E39706" s="1">
        <v>0</v>
      </c>
      <c r="F39706" s="1">
        <v>6.2675634787285303E-6</v>
      </c>
    </row>
    <row r="39707" spans="1:6" x14ac:dyDescent="0.25">
      <c r="A39707" s="2" t="str">
        <f t="shared" si="1282"/>
        <v>99999</v>
      </c>
      <c r="B39707" s="2" t="str">
        <f>"54234"</f>
        <v>54234</v>
      </c>
      <c r="C39707" s="1">
        <v>1.6545345050115101E-4</v>
      </c>
      <c r="D39707" s="1">
        <v>1.85147526155882E-4</v>
      </c>
      <c r="E39707" s="1">
        <v>5.3015587451818804E-4</v>
      </c>
      <c r="F39707" s="1">
        <v>1.75093836866067E-4</v>
      </c>
    </row>
    <row r="39708" spans="1:6" x14ac:dyDescent="0.25">
      <c r="A39708" s="2" t="str">
        <f t="shared" si="1282"/>
        <v>99999</v>
      </c>
      <c r="B39708" s="2" t="str">
        <f>"54025"</f>
        <v>54025</v>
      </c>
      <c r="C39708" s="1">
        <v>5.4569079980590801E-7</v>
      </c>
      <c r="D39708" s="1">
        <v>0</v>
      </c>
      <c r="E39708" s="1">
        <v>0</v>
      </c>
      <c r="F39708" s="1">
        <v>4.9742567291496303E-7</v>
      </c>
    </row>
    <row r="39709" spans="1:6" x14ac:dyDescent="0.25">
      <c r="A39709" s="2" t="str">
        <f t="shared" si="1282"/>
        <v>99999</v>
      </c>
      <c r="B39709" s="2" t="str">
        <f>"54024"</f>
        <v>54024</v>
      </c>
      <c r="C39709" s="1">
        <v>2.6160416942695199E-4</v>
      </c>
      <c r="D39709" s="1">
        <v>2.7923889190723103E-4</v>
      </c>
      <c r="E39709" s="1">
        <v>3.8240751604590601E-4</v>
      </c>
      <c r="F39709" s="1">
        <v>2.6552582420200701E-4</v>
      </c>
    </row>
    <row r="39710" spans="1:6" x14ac:dyDescent="0.25">
      <c r="A39710" s="2" t="str">
        <f t="shared" si="1282"/>
        <v>99999</v>
      </c>
      <c r="B39710" s="2" t="str">
        <f>"54020"</f>
        <v>54020</v>
      </c>
      <c r="C39710" s="1">
        <v>3.6637680298968702E-4</v>
      </c>
      <c r="D39710" s="1">
        <v>1.6845389674838401E-4</v>
      </c>
      <c r="E39710" s="1">
        <v>5.0842817474285203E-4</v>
      </c>
      <c r="F39710" s="1">
        <v>3.5665420748002798E-4</v>
      </c>
    </row>
    <row r="39711" spans="1:6" x14ac:dyDescent="0.25">
      <c r="A39711" s="2" t="str">
        <f t="shared" si="1282"/>
        <v>99999</v>
      </c>
      <c r="B39711" s="2" t="str">
        <f>"53939"</f>
        <v>53939</v>
      </c>
      <c r="C39711" s="1">
        <v>5.8934606379038102E-6</v>
      </c>
      <c r="D39711" s="1">
        <v>0</v>
      </c>
      <c r="E39711" s="1">
        <v>4.3455399550671099E-6</v>
      </c>
      <c r="F39711" s="1">
        <v>5.4716824020645896E-6</v>
      </c>
    </row>
    <row r="39712" spans="1:6" x14ac:dyDescent="0.25">
      <c r="A39712" s="2" t="str">
        <f t="shared" si="1282"/>
        <v>99999</v>
      </c>
      <c r="B39712" s="2" t="str">
        <f>"53946"</f>
        <v>53946</v>
      </c>
      <c r="C39712" s="1">
        <v>2.58984853587884E-4</v>
      </c>
      <c r="D39712" s="1">
        <v>1.03196981791803E-4</v>
      </c>
      <c r="E39712" s="1">
        <v>1.82512678112818E-4</v>
      </c>
      <c r="F39712" s="1">
        <v>2.4702158916957E-4</v>
      </c>
    </row>
    <row r="39713" spans="1:6" x14ac:dyDescent="0.25">
      <c r="A39713" s="2" t="str">
        <f t="shared" si="1282"/>
        <v>99999</v>
      </c>
      <c r="B39713" s="2" t="str">
        <f>"53944"</f>
        <v>53944</v>
      </c>
      <c r="C39713" s="1">
        <v>1.23435258916096E-4</v>
      </c>
      <c r="D39713" s="1">
        <v>2.1246437427724101E-5</v>
      </c>
      <c r="E39713" s="1">
        <v>5.6492019415872502E-5</v>
      </c>
      <c r="F39713" s="1">
        <v>1.15203785847105E-4</v>
      </c>
    </row>
    <row r="39714" spans="1:6" x14ac:dyDescent="0.25">
      <c r="A39714" s="2" t="str">
        <f t="shared" si="1282"/>
        <v>99999</v>
      </c>
      <c r="B39714" s="2" t="str">
        <f>"53926"</f>
        <v>53926</v>
      </c>
      <c r="C39714" s="1">
        <v>5.3259422061056602E-5</v>
      </c>
      <c r="D39714" s="1">
        <v>2.1246437427724101E-5</v>
      </c>
      <c r="E39714" s="1">
        <v>4.3455399550671099E-6</v>
      </c>
      <c r="F39714" s="1">
        <v>5.0041022695245203E-5</v>
      </c>
    </row>
    <row r="39715" spans="1:6" x14ac:dyDescent="0.25">
      <c r="A39715" s="2" t="str">
        <f t="shared" si="1282"/>
        <v>99999</v>
      </c>
      <c r="B39715" s="2" t="str">
        <f>"53540"</f>
        <v>53540</v>
      </c>
      <c r="C39715" s="1">
        <v>6.7665659175932598E-6</v>
      </c>
      <c r="D39715" s="1">
        <v>0</v>
      </c>
      <c r="E39715" s="1">
        <v>4.3455399550671099E-6</v>
      </c>
      <c r="F39715" s="1">
        <v>6.2675634787285303E-6</v>
      </c>
    </row>
    <row r="39716" spans="1:6" x14ac:dyDescent="0.25">
      <c r="A39716" s="2" t="str">
        <f t="shared" si="1282"/>
        <v>99999</v>
      </c>
      <c r="B39716" s="2" t="str">
        <f>"52760"</f>
        <v>52760</v>
      </c>
      <c r="C39716" s="1">
        <v>9.2767435967004401E-6</v>
      </c>
      <c r="D39716" s="1">
        <v>6.0704106936354696E-6</v>
      </c>
      <c r="E39716" s="1">
        <v>0</v>
      </c>
      <c r="F39716" s="1">
        <v>8.8541769778863392E-6</v>
      </c>
    </row>
    <row r="39717" spans="1:6" x14ac:dyDescent="0.25">
      <c r="A39717" s="2" t="str">
        <f t="shared" si="1282"/>
        <v>99999</v>
      </c>
      <c r="B39717" s="2" t="str">
        <f>"52720"</f>
        <v>52720</v>
      </c>
      <c r="C39717" s="1">
        <v>1.5606756874448901E-5</v>
      </c>
      <c r="D39717" s="1">
        <v>3.0352053468177301E-6</v>
      </c>
      <c r="E39717" s="1">
        <v>0</v>
      </c>
      <c r="F39717" s="1">
        <v>1.44253445145339E-5</v>
      </c>
    </row>
    <row r="39718" spans="1:6" x14ac:dyDescent="0.25">
      <c r="A39718" s="2" t="str">
        <f t="shared" si="1282"/>
        <v>99999</v>
      </c>
      <c r="B39718" s="2" t="str">
        <f>"52737"</f>
        <v>52737</v>
      </c>
      <c r="C39718" s="1">
        <v>1.6479862154138401E-5</v>
      </c>
      <c r="D39718" s="1">
        <v>7.5880133670443404E-6</v>
      </c>
      <c r="E39718" s="1">
        <v>0</v>
      </c>
      <c r="F39718" s="1">
        <v>1.5519680994946799E-5</v>
      </c>
    </row>
    <row r="39719" spans="1:6" x14ac:dyDescent="0.25">
      <c r="A39719" s="2" t="str">
        <f t="shared" si="1282"/>
        <v>99999</v>
      </c>
      <c r="B39719" s="2" t="str">
        <f>"52656"</f>
        <v>52656</v>
      </c>
      <c r="C39719" s="1">
        <v>1.3096579195341799E-6</v>
      </c>
      <c r="D39719" s="1">
        <v>0</v>
      </c>
      <c r="E39719" s="1">
        <v>0</v>
      </c>
      <c r="F39719" s="1">
        <v>1.19382161499591E-6</v>
      </c>
    </row>
    <row r="39720" spans="1:6" x14ac:dyDescent="0.25">
      <c r="A39720" s="2" t="str">
        <f t="shared" si="1282"/>
        <v>99999</v>
      </c>
      <c r="B39720" s="2" t="str">
        <f>"52641"</f>
        <v>52641</v>
      </c>
      <c r="C39720" s="1">
        <v>5.8170639259309798E-4</v>
      </c>
      <c r="D39720" s="1">
        <v>8.3164626502805995E-4</v>
      </c>
      <c r="E39720" s="1">
        <v>1.15591362804785E-3</v>
      </c>
      <c r="F39720" s="1">
        <v>6.1123666687790601E-4</v>
      </c>
    </row>
    <row r="39721" spans="1:6" x14ac:dyDescent="0.25">
      <c r="A39721" s="2" t="str">
        <f t="shared" si="1282"/>
        <v>99999</v>
      </c>
      <c r="B39721" s="2" t="str">
        <f>"52220"</f>
        <v>52220</v>
      </c>
      <c r="C39721" s="1">
        <v>1.20051975957299E-5</v>
      </c>
      <c r="D39721" s="1">
        <v>0</v>
      </c>
      <c r="E39721" s="1">
        <v>4.3455399550671099E-6</v>
      </c>
      <c r="F39721" s="1">
        <v>1.10428499387121E-5</v>
      </c>
    </row>
    <row r="39722" spans="1:6" x14ac:dyDescent="0.25">
      <c r="A39722" s="2" t="str">
        <f t="shared" si="1282"/>
        <v>99999</v>
      </c>
      <c r="B39722" s="2" t="str">
        <f>"52216"</f>
        <v>52216</v>
      </c>
      <c r="C39722" s="1">
        <v>7.2467738214224595E-5</v>
      </c>
      <c r="D39722" s="1">
        <v>5.7668901589537E-5</v>
      </c>
      <c r="E39722" s="1">
        <v>6.5183099326006705E-5</v>
      </c>
      <c r="F39722" s="1">
        <v>7.1330841496005699E-5</v>
      </c>
    </row>
    <row r="39723" spans="1:6" x14ac:dyDescent="0.25">
      <c r="A39723" s="2" t="str">
        <f t="shared" si="1282"/>
        <v>99999</v>
      </c>
      <c r="B39723" s="2" t="str">
        <f>"52588"</f>
        <v>52588</v>
      </c>
      <c r="C39723" s="1">
        <v>9.9315725564675307E-6</v>
      </c>
      <c r="D39723" s="1">
        <v>6.0704106936354696E-6</v>
      </c>
      <c r="E39723" s="1">
        <v>1.3036619865201299E-5</v>
      </c>
      <c r="F39723" s="1">
        <v>9.7495431891332699E-6</v>
      </c>
    </row>
    <row r="39724" spans="1:6" x14ac:dyDescent="0.25">
      <c r="A39724" s="2" t="str">
        <f t="shared" si="1282"/>
        <v>99999</v>
      </c>
      <c r="B39724" s="2" t="str">
        <f>"52591"</f>
        <v>52591</v>
      </c>
      <c r="C39724" s="1">
        <v>1.5148376602612E-4</v>
      </c>
      <c r="D39724" s="1">
        <v>2.8379169992745799E-4</v>
      </c>
      <c r="E39724" s="1">
        <v>2.3031361761855699E-4</v>
      </c>
      <c r="F39724" s="1">
        <v>1.6196179910111201E-4</v>
      </c>
    </row>
    <row r="39725" spans="1:6" x14ac:dyDescent="0.25">
      <c r="A39725" s="2" t="str">
        <f t="shared" si="1282"/>
        <v>99999</v>
      </c>
      <c r="B39725" s="2" t="str">
        <f>"52358"</f>
        <v>52358</v>
      </c>
      <c r="C39725" s="1">
        <v>1.72220016418744E-4</v>
      </c>
      <c r="D39725" s="1">
        <v>1.3506663793338901E-4</v>
      </c>
      <c r="E39725" s="1">
        <v>1.0429295892161E-4</v>
      </c>
      <c r="F39725" s="1">
        <v>1.6822936257984E-4</v>
      </c>
    </row>
    <row r="39726" spans="1:6" x14ac:dyDescent="0.25">
      <c r="A39726" s="2" t="str">
        <f t="shared" si="1282"/>
        <v>99999</v>
      </c>
      <c r="B39726" s="2" t="str">
        <f>"52536"</f>
        <v>52536</v>
      </c>
      <c r="C39726" s="1">
        <v>7.6396711972827196E-6</v>
      </c>
      <c r="D39726" s="1">
        <v>1.51760267340886E-6</v>
      </c>
      <c r="E39726" s="1">
        <v>0</v>
      </c>
      <c r="F39726" s="1">
        <v>7.0634445553924701E-6</v>
      </c>
    </row>
    <row r="39727" spans="1:6" x14ac:dyDescent="0.25">
      <c r="A39727" s="2" t="str">
        <f t="shared" si="1282"/>
        <v>99999</v>
      </c>
      <c r="B39727" s="2" t="str">
        <f>"52535"</f>
        <v>52535</v>
      </c>
      <c r="C39727" s="1">
        <v>3.6888698066879403E-5</v>
      </c>
      <c r="D39727" s="1">
        <v>1.21408213872709E-5</v>
      </c>
      <c r="E39727" s="1">
        <v>2.60732397304027E-5</v>
      </c>
      <c r="F39727" s="1">
        <v>3.5018767373213403E-5</v>
      </c>
    </row>
    <row r="39728" spans="1:6" x14ac:dyDescent="0.25">
      <c r="A39728" s="2" t="str">
        <f t="shared" si="1282"/>
        <v>99999</v>
      </c>
      <c r="B39728" s="2" t="str">
        <f>"52544"</f>
        <v>52544</v>
      </c>
      <c r="C39728" s="1">
        <v>4.4495627816173701E-4</v>
      </c>
      <c r="D39728" s="1">
        <v>7.1175565382875904E-4</v>
      </c>
      <c r="E39728" s="1">
        <v>6.0403005375432898E-4</v>
      </c>
      <c r="F39728" s="1">
        <v>4.6608785552131998E-4</v>
      </c>
    </row>
    <row r="39729" spans="1:6" x14ac:dyDescent="0.25">
      <c r="A39729" s="2" t="str">
        <f t="shared" si="1282"/>
        <v>99999</v>
      </c>
      <c r="B39729" s="2" t="str">
        <f>"52075"</f>
        <v>52075</v>
      </c>
      <c r="C39729" s="1">
        <v>0</v>
      </c>
      <c r="D39729" s="1">
        <v>0</v>
      </c>
      <c r="E39729" s="1">
        <v>4.3455399550671099E-6</v>
      </c>
      <c r="F39729" s="1">
        <v>9.9485134582992598E-8</v>
      </c>
    </row>
    <row r="39730" spans="1:6" x14ac:dyDescent="0.25">
      <c r="A39730" s="2" t="str">
        <f t="shared" si="1282"/>
        <v>99999</v>
      </c>
      <c r="B39730" s="2" t="str">
        <f>"52168"</f>
        <v>52168</v>
      </c>
      <c r="C39730" s="1">
        <v>2.19367701521975E-5</v>
      </c>
      <c r="D39730" s="1">
        <v>1.51760267340886E-6</v>
      </c>
      <c r="E39730" s="1">
        <v>8.69107991013423E-6</v>
      </c>
      <c r="F39730" s="1">
        <v>2.0294967454930399E-5</v>
      </c>
    </row>
    <row r="39731" spans="1:6" x14ac:dyDescent="0.25">
      <c r="A39731" s="2" t="str">
        <f t="shared" si="1282"/>
        <v>99999</v>
      </c>
      <c r="B39731" s="2" t="str">
        <f>"52164"</f>
        <v>52164</v>
      </c>
      <c r="C39731" s="1">
        <v>1.1677783115846399E-5</v>
      </c>
      <c r="D39731" s="1">
        <v>9.1056160404532095E-6</v>
      </c>
      <c r="E39731" s="1">
        <v>4.3455399550671099E-6</v>
      </c>
      <c r="F39731" s="1">
        <v>1.13413053424611E-5</v>
      </c>
    </row>
    <row r="39732" spans="1:6" x14ac:dyDescent="0.25">
      <c r="A39732" s="2" t="str">
        <f t="shared" si="1282"/>
        <v>99999</v>
      </c>
      <c r="B39732" s="2" t="str">
        <f>"52072"</f>
        <v>52072</v>
      </c>
      <c r="C39732" s="1">
        <v>2.0408835912740901E-5</v>
      </c>
      <c r="D39732" s="1">
        <v>6.0704106936354696E-6</v>
      </c>
      <c r="E39732" s="1">
        <v>0</v>
      </c>
      <c r="F39732" s="1">
        <v>1.90016607053515E-5</v>
      </c>
    </row>
    <row r="39733" spans="1:6" x14ac:dyDescent="0.25">
      <c r="A39733" s="2" t="str">
        <f t="shared" si="1282"/>
        <v>99999</v>
      </c>
      <c r="B39733" s="2" t="str">
        <f>"52159"</f>
        <v>52159</v>
      </c>
      <c r="C39733" s="1">
        <v>1.2943785771396099E-4</v>
      </c>
      <c r="D39733" s="1">
        <v>5.15984908959015E-5</v>
      </c>
      <c r="E39733" s="1">
        <v>1.0429295892161E-4</v>
      </c>
      <c r="F39733" s="1">
        <v>1.2375950742124199E-4</v>
      </c>
    </row>
    <row r="39734" spans="1:6" x14ac:dyDescent="0.25">
      <c r="A39734" s="2" t="str">
        <f t="shared" si="1282"/>
        <v>99999</v>
      </c>
      <c r="B39734" s="2" t="str">
        <f>"52141"</f>
        <v>52141</v>
      </c>
      <c r="C39734" s="1">
        <v>7.9234304131817895E-5</v>
      </c>
      <c r="D39734" s="1">
        <v>5.4633696242719298E-5</v>
      </c>
      <c r="E39734" s="1">
        <v>7.3874179236140894E-5</v>
      </c>
      <c r="F39734" s="1">
        <v>7.7498919840151201E-5</v>
      </c>
    </row>
    <row r="39735" spans="1:6" x14ac:dyDescent="0.25">
      <c r="A39735" s="2" t="str">
        <f t="shared" si="1282"/>
        <v>99999</v>
      </c>
      <c r="B39735" s="2" t="str">
        <f>"52079"</f>
        <v>52079</v>
      </c>
      <c r="C39735" s="1">
        <v>2.3792118871537602E-5</v>
      </c>
      <c r="D39735" s="1">
        <v>3.0352053468177301E-6</v>
      </c>
      <c r="E39735" s="1">
        <v>0</v>
      </c>
      <c r="F39735" s="1">
        <v>2.1886729608258301E-5</v>
      </c>
    </row>
    <row r="39736" spans="1:6" x14ac:dyDescent="0.25">
      <c r="A39736" s="2" t="str">
        <f t="shared" si="1282"/>
        <v>99999</v>
      </c>
      <c r="B39736" s="2" t="str">
        <f>"52060"</f>
        <v>52060</v>
      </c>
      <c r="C39736" s="1">
        <v>4.5215939671917503E-4</v>
      </c>
      <c r="D39736" s="1">
        <v>6.3891072550513396E-4</v>
      </c>
      <c r="E39736" s="1">
        <v>9.9078310975530192E-4</v>
      </c>
      <c r="F39736" s="1">
        <v>4.7673276492169998E-4</v>
      </c>
    </row>
    <row r="39737" spans="1:6" x14ac:dyDescent="0.25">
      <c r="A39737" s="2" t="str">
        <f t="shared" si="1282"/>
        <v>99999</v>
      </c>
      <c r="B39737" s="2" t="str">
        <f>"52310"</f>
        <v>52310</v>
      </c>
      <c r="C39737" s="1">
        <v>1.20051975957299E-6</v>
      </c>
      <c r="D39737" s="1">
        <v>0</v>
      </c>
      <c r="E39737" s="1">
        <v>0</v>
      </c>
      <c r="F39737" s="1">
        <v>1.09433648041291E-6</v>
      </c>
    </row>
    <row r="39738" spans="1:6" x14ac:dyDescent="0.25">
      <c r="A39738" s="2" t="str">
        <f t="shared" si="1282"/>
        <v>99999</v>
      </c>
      <c r="B39738" s="2" t="str">
        <f>"52307"</f>
        <v>52307</v>
      </c>
      <c r="C39738" s="1">
        <v>1.41879607949536E-5</v>
      </c>
      <c r="D39738" s="1">
        <v>0</v>
      </c>
      <c r="E39738" s="1">
        <v>1.30366198652013E-4</v>
      </c>
      <c r="F39738" s="1">
        <v>1.59176215332788E-5</v>
      </c>
    </row>
    <row r="39739" spans="1:6" x14ac:dyDescent="0.25">
      <c r="A39739" s="2" t="str">
        <f t="shared" si="1282"/>
        <v>99999</v>
      </c>
      <c r="B39739" s="2" t="str">
        <f>"52337"</f>
        <v>52337</v>
      </c>
      <c r="C39739" s="1">
        <v>3.4378520387772203E-5</v>
      </c>
      <c r="D39739" s="1">
        <v>7.5880133670443404E-6</v>
      </c>
      <c r="E39739" s="1">
        <v>1.3036619865201299E-5</v>
      </c>
      <c r="F39739" s="1">
        <v>3.2133698470306602E-5</v>
      </c>
    </row>
    <row r="39740" spans="1:6" x14ac:dyDescent="0.25">
      <c r="A39740" s="2" t="str">
        <f t="shared" si="1282"/>
        <v>99999</v>
      </c>
      <c r="B39740" s="2" t="str">
        <f>"52036"</f>
        <v>52036</v>
      </c>
      <c r="C39740" s="1">
        <v>9.6041580765839897E-6</v>
      </c>
      <c r="D39740" s="1">
        <v>4.5528080202265997E-6</v>
      </c>
      <c r="E39740" s="1">
        <v>8.69107991013423E-6</v>
      </c>
      <c r="F39740" s="1">
        <v>9.2521175162183095E-6</v>
      </c>
    </row>
    <row r="39741" spans="1:6" x14ac:dyDescent="0.25">
      <c r="A39741" s="2" t="str">
        <f t="shared" si="1282"/>
        <v>99999</v>
      </c>
      <c r="B39741" s="2" t="str">
        <f>"52053"</f>
        <v>52053</v>
      </c>
      <c r="C39741" s="1">
        <v>9.3858817566616205E-6</v>
      </c>
      <c r="D39741" s="1">
        <v>1.51760267340886E-6</v>
      </c>
      <c r="E39741" s="1">
        <v>0</v>
      </c>
      <c r="F39741" s="1">
        <v>8.6552067087203506E-6</v>
      </c>
    </row>
    <row r="39742" spans="1:6" x14ac:dyDescent="0.25">
      <c r="A39742" s="2" t="str">
        <f t="shared" si="1282"/>
        <v>99999</v>
      </c>
      <c r="B39742" s="2" t="str">
        <f>"52047"</f>
        <v>52047</v>
      </c>
      <c r="C39742" s="1">
        <v>2.7393678150256599E-5</v>
      </c>
      <c r="D39742" s="1">
        <v>4.5528080202265997E-6</v>
      </c>
      <c r="E39742" s="1">
        <v>8.69107991013423E-6</v>
      </c>
      <c r="F39742" s="1">
        <v>2.5468194453246102E-5</v>
      </c>
    </row>
    <row r="39743" spans="1:6" x14ac:dyDescent="0.25">
      <c r="A39743" s="2" t="str">
        <f t="shared" si="1282"/>
        <v>99999</v>
      </c>
      <c r="B39743" s="2" t="str">
        <f>"52057"</f>
        <v>52057</v>
      </c>
      <c r="C39743" s="1">
        <v>4.1265138281322799E-4</v>
      </c>
      <c r="D39743" s="1">
        <v>5.7365381054855203E-4</v>
      </c>
      <c r="E39743" s="1">
        <v>4.6062723523711399E-4</v>
      </c>
      <c r="F39743" s="1">
        <v>4.2430409899646301E-4</v>
      </c>
    </row>
    <row r="39744" spans="1:6" x14ac:dyDescent="0.25">
      <c r="A39744" s="2" t="str">
        <f t="shared" si="1282"/>
        <v>99999</v>
      </c>
      <c r="B39744" s="2" t="str">
        <f>"51109"</f>
        <v>51109</v>
      </c>
      <c r="C39744" s="1">
        <v>1.4624513434798299E-5</v>
      </c>
      <c r="D39744" s="1">
        <v>0</v>
      </c>
      <c r="E39744" s="1">
        <v>8.69107991013423E-6</v>
      </c>
      <c r="F39744" s="1">
        <v>1.35299783032869E-5</v>
      </c>
    </row>
    <row r="39745" spans="1:6" x14ac:dyDescent="0.25">
      <c r="A39745" s="2" t="str">
        <f t="shared" si="1282"/>
        <v>99999</v>
      </c>
      <c r="B39745" s="2" t="str">
        <f>"51103"</f>
        <v>51103</v>
      </c>
      <c r="C39745" s="1">
        <v>4.3655263984472602E-7</v>
      </c>
      <c r="D39745" s="1">
        <v>0</v>
      </c>
      <c r="E39745" s="1">
        <v>0</v>
      </c>
      <c r="F39745" s="1">
        <v>3.9794053833197002E-7</v>
      </c>
    </row>
    <row r="39746" spans="1:6" x14ac:dyDescent="0.25">
      <c r="A39746" s="2" t="str">
        <f t="shared" si="1282"/>
        <v>99999</v>
      </c>
      <c r="B39746" s="2" t="str">
        <f>"51060"</f>
        <v>51060</v>
      </c>
      <c r="C39746" s="1">
        <v>3.5142487507500497E-5</v>
      </c>
      <c r="D39746" s="1">
        <v>3.0352053468177301E-6</v>
      </c>
      <c r="E39746" s="1">
        <v>1.3036619865201299E-5</v>
      </c>
      <c r="F39746" s="1">
        <v>3.2531639008638501E-5</v>
      </c>
    </row>
    <row r="39747" spans="1:6" x14ac:dyDescent="0.25">
      <c r="A39747" s="2" t="str">
        <f t="shared" si="1282"/>
        <v>99999</v>
      </c>
      <c r="B39747" s="2" t="str">
        <f>"51108"</f>
        <v>51108</v>
      </c>
      <c r="C39747" s="1">
        <v>5.5333047100319102E-5</v>
      </c>
      <c r="D39747" s="1">
        <v>1.21408213872709E-5</v>
      </c>
      <c r="E39747" s="1">
        <v>8.69107991013423E-6</v>
      </c>
      <c r="F39747" s="1">
        <v>5.1433814579407101E-5</v>
      </c>
    </row>
    <row r="39748" spans="1:6" x14ac:dyDescent="0.25">
      <c r="A39748" s="2" t="str">
        <f t="shared" si="1282"/>
        <v>99999</v>
      </c>
      <c r="B39748" s="2" t="str">
        <f>"51063"</f>
        <v>51063</v>
      </c>
      <c r="C39748" s="1">
        <v>5.8170639259309801E-5</v>
      </c>
      <c r="D39748" s="1">
        <v>2.4281642774541899E-5</v>
      </c>
      <c r="E39748" s="1">
        <v>8.69107991013423E-5</v>
      </c>
      <c r="F39748" s="1">
        <v>5.66070415777228E-5</v>
      </c>
    </row>
    <row r="39749" spans="1:6" x14ac:dyDescent="0.25">
      <c r="A39749" s="2" t="str">
        <f t="shared" si="1282"/>
        <v>99999</v>
      </c>
      <c r="B39749" s="2" t="str">
        <f>"51058"</f>
        <v>51058</v>
      </c>
      <c r="C39749" s="1">
        <v>5.9698573498766397E-5</v>
      </c>
      <c r="D39749" s="1">
        <v>6.0704106936354703E-5</v>
      </c>
      <c r="E39749" s="1">
        <v>3.0418779685469802E-5</v>
      </c>
      <c r="F39749" s="1">
        <v>5.90941699422976E-5</v>
      </c>
    </row>
    <row r="39750" spans="1:6" x14ac:dyDescent="0.25">
      <c r="A39750" s="2" t="str">
        <f t="shared" si="1282"/>
        <v>99999</v>
      </c>
      <c r="B39750" s="2" t="str">
        <f>"51011"</f>
        <v>51011</v>
      </c>
      <c r="C39750" s="1">
        <v>5.3477698380979E-6</v>
      </c>
      <c r="D39750" s="1">
        <v>7.5880133670443404E-6</v>
      </c>
      <c r="E39750" s="1">
        <v>4.3455399550671099E-6</v>
      </c>
      <c r="F39750" s="1">
        <v>5.4716824020645896E-6</v>
      </c>
    </row>
    <row r="39751" spans="1:6" x14ac:dyDescent="0.25">
      <c r="A39751" s="2" t="str">
        <f t="shared" si="1282"/>
        <v>99999</v>
      </c>
      <c r="B39751" s="2" t="str">
        <f>"51047"</f>
        <v>51047</v>
      </c>
      <c r="C39751" s="1">
        <v>2.9467303189519E-6</v>
      </c>
      <c r="D39751" s="1">
        <v>1.51760267340886E-6</v>
      </c>
      <c r="E39751" s="1">
        <v>0</v>
      </c>
      <c r="F39751" s="1">
        <v>2.7855837683237898E-6</v>
      </c>
    </row>
    <row r="39752" spans="1:6" x14ac:dyDescent="0.25">
      <c r="A39752" s="2" t="str">
        <f t="shared" si="1282"/>
        <v>99999</v>
      </c>
      <c r="B39752" s="2" t="str">
        <f>"51016"</f>
        <v>51016</v>
      </c>
      <c r="C39752" s="1">
        <v>1.9644868793012701E-6</v>
      </c>
      <c r="D39752" s="1">
        <v>1.51760267340886E-6</v>
      </c>
      <c r="E39752" s="1">
        <v>0</v>
      </c>
      <c r="F39752" s="1">
        <v>1.89021755707686E-6</v>
      </c>
    </row>
    <row r="39753" spans="1:6" x14ac:dyDescent="0.25">
      <c r="A39753" s="2" t="str">
        <f t="shared" si="1282"/>
        <v>99999</v>
      </c>
      <c r="B39753" s="2" t="str">
        <f>"51038"</f>
        <v>51038</v>
      </c>
      <c r="C39753" s="1">
        <v>7.8688613332011999E-5</v>
      </c>
      <c r="D39753" s="1">
        <v>4.0975272182039399E-5</v>
      </c>
      <c r="E39753" s="1">
        <v>1.3036619865201299E-5</v>
      </c>
      <c r="F39753" s="1">
        <v>7.4713336071827405E-5</v>
      </c>
    </row>
    <row r="39754" spans="1:6" x14ac:dyDescent="0.25">
      <c r="A39754" s="2" t="str">
        <f t="shared" si="1282"/>
        <v>99999</v>
      </c>
      <c r="B39754" s="2" t="str">
        <f>"51025"</f>
        <v>51025</v>
      </c>
      <c r="C39754" s="1">
        <v>1.16232140358658E-4</v>
      </c>
      <c r="D39754" s="1">
        <v>1.57830678034522E-4</v>
      </c>
      <c r="E39754" s="1">
        <v>8.69107991013423E-5</v>
      </c>
      <c r="F39754" s="1">
        <v>1.18287825019178E-4</v>
      </c>
    </row>
    <row r="39755" spans="1:6" x14ac:dyDescent="0.25">
      <c r="A39755" s="2" t="str">
        <f t="shared" si="1282"/>
        <v>99999</v>
      </c>
      <c r="B39755" s="2" t="str">
        <f>"51023"</f>
        <v>51023</v>
      </c>
      <c r="C39755" s="1">
        <v>1.6250672018219901E-4</v>
      </c>
      <c r="D39755" s="1">
        <v>2.42816427745419E-4</v>
      </c>
      <c r="E39755" s="1">
        <v>3.7371643613577199E-4</v>
      </c>
      <c r="F39755" s="1">
        <v>1.7260670850149199E-4</v>
      </c>
    </row>
    <row r="39756" spans="1:6" x14ac:dyDescent="0.25">
      <c r="A39756" s="2" t="str">
        <f t="shared" si="1282"/>
        <v>99999</v>
      </c>
      <c r="B39756" s="2" t="str">
        <f>"51565"</f>
        <v>51565</v>
      </c>
      <c r="C39756" s="1">
        <v>2.13910793523916E-5</v>
      </c>
      <c r="D39756" s="1">
        <v>7.5880133670443404E-6</v>
      </c>
      <c r="E39756" s="1">
        <v>3.0418779685469802E-5</v>
      </c>
      <c r="F39756" s="1">
        <v>2.06929079932624E-5</v>
      </c>
    </row>
    <row r="39757" spans="1:6" x14ac:dyDescent="0.25">
      <c r="A39757" s="2" t="str">
        <f t="shared" si="1282"/>
        <v>99999</v>
      </c>
      <c r="B39757" s="2" t="str">
        <f>"51563"</f>
        <v>51563</v>
      </c>
      <c r="C39757" s="1">
        <v>3.2741447988354498E-7</v>
      </c>
      <c r="D39757" s="1">
        <v>0</v>
      </c>
      <c r="E39757" s="1">
        <v>0</v>
      </c>
      <c r="F39757" s="1">
        <v>2.9845540374897701E-7</v>
      </c>
    </row>
    <row r="39758" spans="1:6" x14ac:dyDescent="0.25">
      <c r="A39758" s="2" t="str">
        <f t="shared" si="1282"/>
        <v>99999</v>
      </c>
      <c r="B39758" s="2" t="str">
        <f>"51653"</f>
        <v>51653</v>
      </c>
      <c r="C39758" s="1">
        <v>5.8388915579232199E-5</v>
      </c>
      <c r="D39758" s="1">
        <v>2.2764040101133E-5</v>
      </c>
      <c r="E39758" s="1">
        <v>6.0837559370939603E-5</v>
      </c>
      <c r="F39758" s="1">
        <v>5.6109615904807801E-5</v>
      </c>
    </row>
    <row r="39759" spans="1:6" x14ac:dyDescent="0.25">
      <c r="A39759" s="2" t="str">
        <f t="shared" si="1282"/>
        <v>99999</v>
      </c>
      <c r="B39759" s="2" t="str">
        <f>"51366"</f>
        <v>51366</v>
      </c>
      <c r="C39759" s="1">
        <v>1.09138159961181E-7</v>
      </c>
      <c r="D39759" s="1">
        <v>0</v>
      </c>
      <c r="E39759" s="1">
        <v>0</v>
      </c>
      <c r="F39759" s="1">
        <v>9.9485134582992598E-8</v>
      </c>
    </row>
    <row r="39760" spans="1:6" x14ac:dyDescent="0.25">
      <c r="A39760" s="2" t="str">
        <f t="shared" si="1282"/>
        <v>99999</v>
      </c>
      <c r="B39760" s="2" t="str">
        <f>"51467"</f>
        <v>51467</v>
      </c>
      <c r="C39760" s="1">
        <v>2.8048507110023701E-5</v>
      </c>
      <c r="D39760" s="1">
        <v>2.2764040101133E-5</v>
      </c>
      <c r="E39760" s="1">
        <v>1.3036619865201299E-5</v>
      </c>
      <c r="F39760" s="1">
        <v>2.7358412010322901E-5</v>
      </c>
    </row>
    <row r="39761" spans="1:6" x14ac:dyDescent="0.25">
      <c r="A39761" s="2" t="str">
        <f t="shared" si="1282"/>
        <v>99999</v>
      </c>
      <c r="B39761" s="2" t="str">
        <f>"51461"</f>
        <v>51461</v>
      </c>
      <c r="C39761" s="1">
        <v>7.3013429014030505E-5</v>
      </c>
      <c r="D39761" s="1">
        <v>2.4281642774541899E-5</v>
      </c>
      <c r="E39761" s="1">
        <v>3.0418779685469802E-5</v>
      </c>
      <c r="F39761" s="1">
        <v>6.8843713131430906E-5</v>
      </c>
    </row>
    <row r="39762" spans="1:6" x14ac:dyDescent="0.25">
      <c r="A39762" s="2" t="str">
        <f t="shared" ref="A39762:A39825" si="1283">"99999"</f>
        <v>99999</v>
      </c>
      <c r="B39762" s="2" t="str">
        <f>"51365"</f>
        <v>51365</v>
      </c>
      <c r="C39762" s="1">
        <v>2.1718493832275099E-5</v>
      </c>
      <c r="D39762" s="1">
        <v>9.1056160404532095E-6</v>
      </c>
      <c r="E39762" s="1">
        <v>2.1727699775335501E-5</v>
      </c>
      <c r="F39762" s="1">
        <v>2.08918782624284E-5</v>
      </c>
    </row>
    <row r="39763" spans="1:6" x14ac:dyDescent="0.25">
      <c r="A39763" s="2" t="str">
        <f t="shared" si="1283"/>
        <v>99999</v>
      </c>
      <c r="B39763" s="2" t="str">
        <f>"51521"</f>
        <v>51521</v>
      </c>
      <c r="C39763" s="1">
        <v>8.7310527968945299E-6</v>
      </c>
      <c r="D39763" s="1">
        <v>1.51760267340886E-6</v>
      </c>
      <c r="E39763" s="1">
        <v>8.69107991013423E-6</v>
      </c>
      <c r="F39763" s="1">
        <v>8.2572661703883803E-6</v>
      </c>
    </row>
    <row r="39764" spans="1:6" x14ac:dyDescent="0.25">
      <c r="A39764" s="2" t="str">
        <f t="shared" si="1283"/>
        <v>99999</v>
      </c>
      <c r="B39764" s="2" t="str">
        <f>"50840"</f>
        <v>50840</v>
      </c>
      <c r="C39764" s="1">
        <v>2.83759215899072E-5</v>
      </c>
      <c r="D39764" s="1">
        <v>1.66936294074975E-5</v>
      </c>
      <c r="E39764" s="1">
        <v>2.1727699775335501E-5</v>
      </c>
      <c r="F39764" s="1">
        <v>2.7457897144905899E-5</v>
      </c>
    </row>
    <row r="39765" spans="1:6" x14ac:dyDescent="0.25">
      <c r="A39765" s="2" t="str">
        <f t="shared" si="1283"/>
        <v>99999</v>
      </c>
      <c r="B39765" s="2" t="str">
        <f>"50843"</f>
        <v>50843</v>
      </c>
      <c r="C39765" s="1">
        <v>3.31780006281992E-5</v>
      </c>
      <c r="D39765" s="1">
        <v>2.1246437427724101E-5</v>
      </c>
      <c r="E39765" s="1">
        <v>3.0418779685469802E-5</v>
      </c>
      <c r="F39765" s="1">
        <v>3.2332668739472599E-5</v>
      </c>
    </row>
    <row r="39766" spans="1:6" x14ac:dyDescent="0.25">
      <c r="A39766" s="2" t="str">
        <f t="shared" si="1283"/>
        <v>99999</v>
      </c>
      <c r="B39766" s="2" t="str">
        <f>"50857"</f>
        <v>50857</v>
      </c>
      <c r="C39766" s="1">
        <v>1.65890003140996E-5</v>
      </c>
      <c r="D39766" s="1">
        <v>7.5880133670443404E-6</v>
      </c>
      <c r="E39766" s="1">
        <v>4.3455399550671099E-6</v>
      </c>
      <c r="F39766" s="1">
        <v>1.57186512641128E-5</v>
      </c>
    </row>
    <row r="39767" spans="1:6" x14ac:dyDescent="0.25">
      <c r="A39767" s="2" t="str">
        <f t="shared" si="1283"/>
        <v>99999</v>
      </c>
      <c r="B39767" s="2" t="str">
        <f>"50854"</f>
        <v>50854</v>
      </c>
      <c r="C39767" s="1">
        <v>1.3282114067275801E-4</v>
      </c>
      <c r="D39767" s="1">
        <v>3.1717895874245299E-4</v>
      </c>
      <c r="E39767" s="1">
        <v>1.6078497833748299E-4</v>
      </c>
      <c r="F39767" s="1">
        <v>1.45546751894918E-4</v>
      </c>
    </row>
    <row r="39768" spans="1:6" x14ac:dyDescent="0.25">
      <c r="A39768" s="2" t="str">
        <f t="shared" si="1283"/>
        <v>99999</v>
      </c>
      <c r="B39768" s="2" t="str">
        <f>"50837"</f>
        <v>50837</v>
      </c>
      <c r="C39768" s="1">
        <v>2.0627112232663299E-5</v>
      </c>
      <c r="D39768" s="1">
        <v>3.0352053468177301E-6</v>
      </c>
      <c r="E39768" s="1">
        <v>2.60732397304027E-5</v>
      </c>
      <c r="F39768" s="1">
        <v>1.9598571512849501E-5</v>
      </c>
    </row>
    <row r="39769" spans="1:6" x14ac:dyDescent="0.25">
      <c r="A39769" s="2" t="str">
        <f t="shared" si="1283"/>
        <v>99999</v>
      </c>
      <c r="B39769" s="2" t="str">
        <f>"50831"</f>
        <v>50831</v>
      </c>
      <c r="C39769" s="1">
        <v>1.09138159961181E-7</v>
      </c>
      <c r="D39769" s="1">
        <v>0</v>
      </c>
      <c r="E39769" s="1">
        <v>4.3455399550671099E-6</v>
      </c>
      <c r="F39769" s="1">
        <v>1.9897026916598501E-7</v>
      </c>
    </row>
    <row r="39770" spans="1:6" x14ac:dyDescent="0.25">
      <c r="A39770" s="2" t="str">
        <f t="shared" si="1283"/>
        <v>99999</v>
      </c>
      <c r="B39770" s="2" t="str">
        <f>"51342"</f>
        <v>51342</v>
      </c>
      <c r="C39770" s="1">
        <v>6.7883935495855003E-5</v>
      </c>
      <c r="D39770" s="1">
        <v>1.8211232080906399E-5</v>
      </c>
      <c r="E39770" s="1">
        <v>9.1256339056409395E-5</v>
      </c>
      <c r="F39770" s="1">
        <v>6.5162763151860103E-5</v>
      </c>
    </row>
    <row r="39771" spans="1:6" x14ac:dyDescent="0.25">
      <c r="A39771" s="2" t="str">
        <f t="shared" si="1283"/>
        <v>99999</v>
      </c>
      <c r="B39771" s="2" t="str">
        <f>"51334"</f>
        <v>51334</v>
      </c>
      <c r="C39771" s="1">
        <v>3.9540755353936101E-4</v>
      </c>
      <c r="D39771" s="1">
        <v>5.5696018114105496E-4</v>
      </c>
      <c r="E39771" s="1">
        <v>6.7790423299047002E-4</v>
      </c>
      <c r="F39771" s="1">
        <v>4.12465367981087E-4</v>
      </c>
    </row>
    <row r="39772" spans="1:6" x14ac:dyDescent="0.25">
      <c r="A39772" s="2" t="str">
        <f t="shared" si="1283"/>
        <v>99999</v>
      </c>
      <c r="B39772" s="2" t="str">
        <f>"51240"</f>
        <v>51240</v>
      </c>
      <c r="C39772" s="1">
        <v>7.9889133091585001E-5</v>
      </c>
      <c r="D39772" s="1">
        <v>4.8563285549083798E-5</v>
      </c>
      <c r="E39772" s="1">
        <v>6.0837559370939603E-5</v>
      </c>
      <c r="F39772" s="1">
        <v>7.7399434705568195E-5</v>
      </c>
    </row>
    <row r="39773" spans="1:6" x14ac:dyDescent="0.25">
      <c r="A39773" s="2" t="str">
        <f t="shared" si="1283"/>
        <v>99999</v>
      </c>
      <c r="B39773" s="2" t="str">
        <f>"50682"</f>
        <v>50682</v>
      </c>
      <c r="C39773" s="1">
        <v>7.6396711972827203E-5</v>
      </c>
      <c r="D39773" s="1">
        <v>5.6151298916128101E-5</v>
      </c>
      <c r="E39773" s="1">
        <v>4.3455399550671103E-5</v>
      </c>
      <c r="F39773" s="1">
        <v>7.4315395533495506E-5</v>
      </c>
    </row>
    <row r="39774" spans="1:6" x14ac:dyDescent="0.25">
      <c r="A39774" s="2" t="str">
        <f t="shared" si="1283"/>
        <v>99999</v>
      </c>
      <c r="B39774" s="2" t="str">
        <f>"50674"</f>
        <v>50674</v>
      </c>
      <c r="C39774" s="1">
        <v>2.56474675908777E-5</v>
      </c>
      <c r="D39774" s="1">
        <v>1.3658424060679801E-5</v>
      </c>
      <c r="E39774" s="1">
        <v>0</v>
      </c>
      <c r="F39774" s="1">
        <v>2.4274372838250201E-5</v>
      </c>
    </row>
    <row r="39775" spans="1:6" x14ac:dyDescent="0.25">
      <c r="A39775" s="2" t="str">
        <f t="shared" si="1283"/>
        <v>99999</v>
      </c>
      <c r="B39775" s="2" t="str">
        <f>"50645"</f>
        <v>50645</v>
      </c>
      <c r="C39775" s="1">
        <v>5.4787356300513198E-5</v>
      </c>
      <c r="D39775" s="1">
        <v>7.5880133670443404E-6</v>
      </c>
      <c r="E39775" s="1">
        <v>3.9109859595604001E-5</v>
      </c>
      <c r="F39775" s="1">
        <v>5.1334329444824197E-5</v>
      </c>
    </row>
    <row r="39776" spans="1:6" x14ac:dyDescent="0.25">
      <c r="A39776" s="2" t="str">
        <f t="shared" si="1283"/>
        <v>99999</v>
      </c>
      <c r="B39776" s="2" t="str">
        <f>"50629"</f>
        <v>50629</v>
      </c>
      <c r="C39776" s="1">
        <v>9.6041580765839904E-5</v>
      </c>
      <c r="D39776" s="1">
        <v>6.6774517629990203E-5</v>
      </c>
      <c r="E39776" s="1">
        <v>4.3455399550671103E-5</v>
      </c>
      <c r="F39776" s="1">
        <v>9.2919115700515096E-5</v>
      </c>
    </row>
    <row r="39777" spans="1:6" x14ac:dyDescent="0.25">
      <c r="A39777" s="2" t="str">
        <f t="shared" si="1283"/>
        <v>99999</v>
      </c>
      <c r="B39777" s="2" t="str">
        <f>"50635"</f>
        <v>50635</v>
      </c>
      <c r="C39777" s="1">
        <v>8.33815542103428E-5</v>
      </c>
      <c r="D39777" s="1">
        <v>9.1056160404532095E-6</v>
      </c>
      <c r="E39777" s="1">
        <v>2.60732397304027E-5</v>
      </c>
      <c r="F39777" s="1">
        <v>7.7200464436402198E-5</v>
      </c>
    </row>
    <row r="39778" spans="1:6" x14ac:dyDescent="0.25">
      <c r="A39778" s="2" t="str">
        <f t="shared" si="1283"/>
        <v>99999</v>
      </c>
      <c r="B39778" s="2" t="str">
        <f>"50619"</f>
        <v>50619</v>
      </c>
      <c r="C39778" s="1">
        <v>1.2245301547644501E-4</v>
      </c>
      <c r="D39778" s="1">
        <v>2.88344507947685E-5</v>
      </c>
      <c r="E39778" s="1">
        <v>9.5601879011476503E-5</v>
      </c>
      <c r="F39778" s="1">
        <v>1.1570121152002E-4</v>
      </c>
    </row>
    <row r="39779" spans="1:6" x14ac:dyDescent="0.25">
      <c r="A39779" s="2" t="str">
        <f t="shared" si="1283"/>
        <v>99999</v>
      </c>
      <c r="B39779" s="2" t="str">
        <f>"50524"</f>
        <v>50524</v>
      </c>
      <c r="C39779" s="1">
        <v>7.63967119728272E-7</v>
      </c>
      <c r="D39779" s="1">
        <v>0</v>
      </c>
      <c r="E39779" s="1">
        <v>0</v>
      </c>
      <c r="F39779" s="1">
        <v>6.9639594208094799E-7</v>
      </c>
    </row>
    <row r="39780" spans="1:6" x14ac:dyDescent="0.25">
      <c r="A39780" s="2" t="str">
        <f t="shared" si="1283"/>
        <v>99999</v>
      </c>
      <c r="B39780" s="2" t="str">
        <f>"50510"</f>
        <v>50510</v>
      </c>
      <c r="C39780" s="1">
        <v>4.3655263984472599E-6</v>
      </c>
      <c r="D39780" s="1">
        <v>1.51760267340886E-6</v>
      </c>
      <c r="E39780" s="1">
        <v>0</v>
      </c>
      <c r="F39780" s="1">
        <v>4.07889051790269E-6</v>
      </c>
    </row>
    <row r="39781" spans="1:6" x14ac:dyDescent="0.25">
      <c r="A39781" s="2" t="str">
        <f t="shared" si="1283"/>
        <v>99999</v>
      </c>
      <c r="B39781" s="2" t="str">
        <f>"50482"</f>
        <v>50482</v>
      </c>
      <c r="C39781" s="1">
        <v>2.9467303189519E-6</v>
      </c>
      <c r="D39781" s="1">
        <v>0</v>
      </c>
      <c r="E39781" s="1">
        <v>0</v>
      </c>
      <c r="F39781" s="1">
        <v>2.6860986337408002E-6</v>
      </c>
    </row>
    <row r="39782" spans="1:6" x14ac:dyDescent="0.25">
      <c r="A39782" s="2" t="str">
        <f t="shared" si="1283"/>
        <v>99999</v>
      </c>
      <c r="B39782" s="2" t="str">
        <f>"50517"</f>
        <v>50517</v>
      </c>
      <c r="C39782" s="1">
        <v>5.7297533979620399E-5</v>
      </c>
      <c r="D39782" s="1">
        <v>7.7397736343852298E-5</v>
      </c>
      <c r="E39782" s="1">
        <v>4.3455399550671099E-6</v>
      </c>
      <c r="F39782" s="1">
        <v>5.74029226543867E-5</v>
      </c>
    </row>
    <row r="39783" spans="1:6" x14ac:dyDescent="0.25">
      <c r="A39783" s="2" t="str">
        <f t="shared" si="1283"/>
        <v>99999</v>
      </c>
      <c r="B39783" s="2" t="str">
        <f>"50478"</f>
        <v>50478</v>
      </c>
      <c r="C39783" s="1">
        <v>4.7365961423152798E-5</v>
      </c>
      <c r="D39783" s="1">
        <v>3.1869656141586203E-5</v>
      </c>
      <c r="E39783" s="1">
        <v>3.0418779685469802E-5</v>
      </c>
      <c r="F39783" s="1">
        <v>4.5962132177342501E-5</v>
      </c>
    </row>
    <row r="39784" spans="1:6" x14ac:dyDescent="0.25">
      <c r="A39784" s="2" t="str">
        <f t="shared" si="1283"/>
        <v>99999</v>
      </c>
      <c r="B39784" s="2" t="str">
        <f>"50472"</f>
        <v>50472</v>
      </c>
      <c r="C39784" s="1">
        <v>1.1568644955885199E-4</v>
      </c>
      <c r="D39784" s="1">
        <v>1.2899622723975301E-4</v>
      </c>
      <c r="E39784" s="1">
        <v>3.0418779685469802E-5</v>
      </c>
      <c r="F39784" s="1">
        <v>1.14606875039607E-4</v>
      </c>
    </row>
    <row r="39785" spans="1:6" x14ac:dyDescent="0.25">
      <c r="A39785" s="2" t="str">
        <f t="shared" si="1283"/>
        <v>99999</v>
      </c>
      <c r="B39785" s="2" t="str">
        <f>"50582"</f>
        <v>50582</v>
      </c>
      <c r="C39785" s="1">
        <v>1.44062371148759E-5</v>
      </c>
      <c r="D39785" s="1">
        <v>1.5176026734088599E-5</v>
      </c>
      <c r="E39785" s="1">
        <v>4.3455399550671099E-6</v>
      </c>
      <c r="F39785" s="1">
        <v>1.42263742453679E-5</v>
      </c>
    </row>
    <row r="39786" spans="1:6" x14ac:dyDescent="0.25">
      <c r="A39786" s="2" t="str">
        <f t="shared" si="1283"/>
        <v>99999</v>
      </c>
      <c r="B39786" s="2" t="str">
        <f>"50591"</f>
        <v>50591</v>
      </c>
      <c r="C39786" s="1">
        <v>1.5934171354332501E-5</v>
      </c>
      <c r="D39786" s="1">
        <v>0</v>
      </c>
      <c r="E39786" s="1">
        <v>1.3036619865201299E-5</v>
      </c>
      <c r="F39786" s="1">
        <v>1.4823285052865899E-5</v>
      </c>
    </row>
    <row r="39787" spans="1:6" x14ac:dyDescent="0.25">
      <c r="A39787" s="2" t="str">
        <f t="shared" si="1283"/>
        <v>99999</v>
      </c>
      <c r="B39787" s="2" t="str">
        <f>"50543"</f>
        <v>50543</v>
      </c>
      <c r="C39787" s="1">
        <v>2.1827631992236301E-7</v>
      </c>
      <c r="D39787" s="1">
        <v>0</v>
      </c>
      <c r="E39787" s="1">
        <v>0</v>
      </c>
      <c r="F39787" s="1">
        <v>1.9897026916598501E-7</v>
      </c>
    </row>
    <row r="39788" spans="1:6" x14ac:dyDescent="0.25">
      <c r="A39788" s="2" t="str">
        <f t="shared" si="1283"/>
        <v>99999</v>
      </c>
      <c r="B39788" s="2" t="str">
        <f>"50612"</f>
        <v>50612</v>
      </c>
      <c r="C39788" s="1">
        <v>1.57158950344101E-5</v>
      </c>
      <c r="D39788" s="1">
        <v>1.51760267340886E-6</v>
      </c>
      <c r="E39788" s="1">
        <v>4.3455399550671099E-6</v>
      </c>
      <c r="F39788" s="1">
        <v>1.45248296491169E-5</v>
      </c>
    </row>
    <row r="39789" spans="1:6" x14ac:dyDescent="0.25">
      <c r="A39789" s="2" t="str">
        <f t="shared" si="1283"/>
        <v>99999</v>
      </c>
      <c r="B39789" s="2" t="str">
        <f>"50538"</f>
        <v>50538</v>
      </c>
      <c r="C39789" s="1">
        <v>3.2414033508470899E-5</v>
      </c>
      <c r="D39789" s="1">
        <v>7.5880133670443404E-6</v>
      </c>
      <c r="E39789" s="1">
        <v>4.3455399550671099E-6</v>
      </c>
      <c r="F39789" s="1">
        <v>3.01439957786467E-5</v>
      </c>
    </row>
    <row r="39790" spans="1:6" x14ac:dyDescent="0.25">
      <c r="A39790" s="2" t="str">
        <f t="shared" si="1283"/>
        <v>99999</v>
      </c>
      <c r="B39790" s="2" t="str">
        <f>"50611"</f>
        <v>50611</v>
      </c>
      <c r="C39790" s="1">
        <v>1.87717635133232E-5</v>
      </c>
      <c r="D39790" s="1">
        <v>1.3658424060679801E-5</v>
      </c>
      <c r="E39790" s="1">
        <v>1.3036619865201299E-5</v>
      </c>
      <c r="F39790" s="1">
        <v>1.8305264763270602E-5</v>
      </c>
    </row>
    <row r="39791" spans="1:6" x14ac:dyDescent="0.25">
      <c r="A39791" s="2" t="str">
        <f t="shared" si="1283"/>
        <v>99999</v>
      </c>
      <c r="B39791" s="2" t="str">
        <f>"50599"</f>
        <v>50599</v>
      </c>
      <c r="C39791" s="1">
        <v>2.21550464721198E-5</v>
      </c>
      <c r="D39791" s="1">
        <v>3.0352053468177301E-6</v>
      </c>
      <c r="E39791" s="1">
        <v>1.3036619865201299E-5</v>
      </c>
      <c r="F39791" s="1">
        <v>2.06929079932624E-5</v>
      </c>
    </row>
    <row r="39792" spans="1:6" x14ac:dyDescent="0.25">
      <c r="A39792" s="2" t="str">
        <f t="shared" si="1283"/>
        <v>99999</v>
      </c>
      <c r="B39792" s="2" t="str">
        <f>"50586"</f>
        <v>50586</v>
      </c>
      <c r="C39792" s="1">
        <v>1.45153752748371E-5</v>
      </c>
      <c r="D39792" s="1">
        <v>0</v>
      </c>
      <c r="E39792" s="1">
        <v>4.3455399550671099E-6</v>
      </c>
      <c r="F39792" s="1">
        <v>1.3331008034121E-5</v>
      </c>
    </row>
    <row r="39793" spans="1:6" x14ac:dyDescent="0.25">
      <c r="A39793" s="2" t="str">
        <f t="shared" si="1283"/>
        <v>99999</v>
      </c>
      <c r="B39793" s="2" t="str">
        <f>"50426"</f>
        <v>50426</v>
      </c>
      <c r="C39793" s="1">
        <v>6.5482895976709E-6</v>
      </c>
      <c r="D39793" s="1">
        <v>4.5528080202265997E-6</v>
      </c>
      <c r="E39793" s="1">
        <v>4.3455399550671099E-6</v>
      </c>
      <c r="F39793" s="1">
        <v>6.3670486133115203E-6</v>
      </c>
    </row>
    <row r="39794" spans="1:6" x14ac:dyDescent="0.25">
      <c r="A39794" s="2" t="str">
        <f t="shared" si="1283"/>
        <v>99999</v>
      </c>
      <c r="B39794" s="2" t="str">
        <f>"50458"</f>
        <v>50458</v>
      </c>
      <c r="C39794" s="1">
        <v>9.2876574126965597E-5</v>
      </c>
      <c r="D39794" s="1">
        <v>2.5799245447950699E-5</v>
      </c>
      <c r="E39794" s="1">
        <v>6.0837559370939603E-5</v>
      </c>
      <c r="F39794" s="1">
        <v>8.7745888702199499E-5</v>
      </c>
    </row>
    <row r="39795" spans="1:6" x14ac:dyDescent="0.25">
      <c r="A39795" s="2" t="str">
        <f t="shared" si="1283"/>
        <v>99999</v>
      </c>
      <c r="B39795" s="2" t="str">
        <f>"50441"</f>
        <v>50441</v>
      </c>
      <c r="C39795" s="1">
        <v>2.9096233445650998E-4</v>
      </c>
      <c r="D39795" s="1">
        <v>4.5831600736947797E-4</v>
      </c>
      <c r="E39795" s="1">
        <v>5.17119254652986E-4</v>
      </c>
      <c r="F39795" s="1">
        <v>3.0711061045769799E-4</v>
      </c>
    </row>
    <row r="39796" spans="1:6" x14ac:dyDescent="0.25">
      <c r="A39796" s="2" t="str">
        <f t="shared" si="1283"/>
        <v>99999</v>
      </c>
      <c r="B39796" s="2" t="str">
        <f>"50432"</f>
        <v>50432</v>
      </c>
      <c r="C39796" s="1">
        <v>1.6698138474060799E-5</v>
      </c>
      <c r="D39796" s="1">
        <v>0</v>
      </c>
      <c r="E39796" s="1">
        <v>3.0418779685469802E-5</v>
      </c>
      <c r="F39796" s="1">
        <v>1.59176215332788E-5</v>
      </c>
    </row>
    <row r="39797" spans="1:6" x14ac:dyDescent="0.25">
      <c r="A39797" s="2" t="str">
        <f t="shared" si="1283"/>
        <v>99999</v>
      </c>
      <c r="B39797" s="2" t="str">
        <f>"50431"</f>
        <v>50431</v>
      </c>
      <c r="C39797" s="1">
        <v>0</v>
      </c>
      <c r="D39797" s="1">
        <v>0</v>
      </c>
      <c r="E39797" s="1">
        <v>4.3455399550671099E-6</v>
      </c>
      <c r="F39797" s="1">
        <v>9.9485134582992598E-8</v>
      </c>
    </row>
    <row r="39798" spans="1:6" x14ac:dyDescent="0.25">
      <c r="A39798" s="2" t="str">
        <f t="shared" si="1283"/>
        <v>99999</v>
      </c>
      <c r="B39798" s="2" t="str">
        <f>"50424"</f>
        <v>50424</v>
      </c>
      <c r="C39798" s="1">
        <v>9.0693810927741997E-5</v>
      </c>
      <c r="D39798" s="1">
        <v>8.4985749710896595E-5</v>
      </c>
      <c r="E39798" s="1">
        <v>4.7800939505738197E-5</v>
      </c>
      <c r="F39798" s="1">
        <v>8.9337650855527299E-5</v>
      </c>
    </row>
    <row r="39799" spans="1:6" x14ac:dyDescent="0.25">
      <c r="A39799" s="2" t="str">
        <f t="shared" si="1283"/>
        <v>99999</v>
      </c>
      <c r="B39799" s="2" t="str">
        <f>"50275"</f>
        <v>50275</v>
      </c>
      <c r="C39799" s="1">
        <v>3.2741447988354499E-5</v>
      </c>
      <c r="D39799" s="1">
        <v>0</v>
      </c>
      <c r="E39799" s="1">
        <v>1.3036619865201299E-5</v>
      </c>
      <c r="F39799" s="1">
        <v>3.01439957786467E-5</v>
      </c>
    </row>
    <row r="39800" spans="1:6" x14ac:dyDescent="0.25">
      <c r="A39800" s="2" t="str">
        <f t="shared" si="1283"/>
        <v>99999</v>
      </c>
      <c r="B39800" s="2" t="str">
        <f>"50269"</f>
        <v>50269</v>
      </c>
      <c r="C39800" s="1">
        <v>6.9848422375156299E-6</v>
      </c>
      <c r="D39800" s="1">
        <v>1.51760267340886E-6</v>
      </c>
      <c r="E39800" s="1">
        <v>0</v>
      </c>
      <c r="F39800" s="1">
        <v>6.4665337478945197E-6</v>
      </c>
    </row>
    <row r="39801" spans="1:6" x14ac:dyDescent="0.25">
      <c r="A39801" s="2" t="str">
        <f t="shared" si="1283"/>
        <v>99999</v>
      </c>
      <c r="B39801" s="2" t="str">
        <f>"50044"</f>
        <v>50044</v>
      </c>
      <c r="C39801" s="1">
        <v>9.8224343965063504E-7</v>
      </c>
      <c r="D39801" s="1">
        <v>0</v>
      </c>
      <c r="E39801" s="1">
        <v>0</v>
      </c>
      <c r="F39801" s="1">
        <v>8.9536621124693305E-7</v>
      </c>
    </row>
    <row r="39802" spans="1:6" x14ac:dyDescent="0.25">
      <c r="A39802" s="2" t="str">
        <f t="shared" si="1283"/>
        <v>99999</v>
      </c>
      <c r="B39802" s="2" t="str">
        <f>"50025"</f>
        <v>50025</v>
      </c>
      <c r="C39802" s="1">
        <v>1.77131233616997E-4</v>
      </c>
      <c r="D39802" s="1">
        <v>3.3235498547654199E-4</v>
      </c>
      <c r="E39802" s="1">
        <v>1.47748358472281E-4</v>
      </c>
      <c r="F39802" s="1">
        <v>1.8663411247769399E-4</v>
      </c>
    </row>
    <row r="39803" spans="1:6" x14ac:dyDescent="0.25">
      <c r="A39803" s="2" t="str">
        <f t="shared" si="1283"/>
        <v>99999</v>
      </c>
      <c r="B39803" s="2" t="str">
        <f>"50238"</f>
        <v>50238</v>
      </c>
      <c r="C39803" s="1">
        <v>6.3736685417330099E-5</v>
      </c>
      <c r="D39803" s="1">
        <v>1.5176026734088599E-5</v>
      </c>
      <c r="E39803" s="1">
        <v>3.0418779685469802E-5</v>
      </c>
      <c r="F39803" s="1">
        <v>5.9790565884378502E-5</v>
      </c>
    </row>
    <row r="39804" spans="1:6" x14ac:dyDescent="0.25">
      <c r="A39804" s="2" t="str">
        <f t="shared" si="1283"/>
        <v>99999</v>
      </c>
      <c r="B39804" s="2" t="str">
        <f>"50128"</f>
        <v>50128</v>
      </c>
      <c r="C39804" s="1">
        <v>2.6193158390683598E-6</v>
      </c>
      <c r="D39804" s="1">
        <v>0</v>
      </c>
      <c r="E39804" s="1">
        <v>0</v>
      </c>
      <c r="F39804" s="1">
        <v>2.3876432299918199E-6</v>
      </c>
    </row>
    <row r="39805" spans="1:6" x14ac:dyDescent="0.25">
      <c r="A39805" s="2" t="str">
        <f t="shared" si="1283"/>
        <v>99999</v>
      </c>
      <c r="B39805" s="2" t="str">
        <f>"50130"</f>
        <v>50130</v>
      </c>
      <c r="C39805" s="1">
        <v>8.589173188945E-5</v>
      </c>
      <c r="D39805" s="1">
        <v>1.5176026734088599E-5</v>
      </c>
      <c r="E39805" s="1">
        <v>6.0837559370939603E-5</v>
      </c>
      <c r="F39805" s="1">
        <v>8.0682444146807004E-5</v>
      </c>
    </row>
    <row r="39806" spans="1:6" x14ac:dyDescent="0.25">
      <c r="A39806" s="2" t="str">
        <f t="shared" si="1283"/>
        <v>99999</v>
      </c>
      <c r="B39806" s="2" t="str">
        <f>"50210"</f>
        <v>50210</v>
      </c>
      <c r="C39806" s="1">
        <v>1.3751408155108801E-5</v>
      </c>
      <c r="D39806" s="1">
        <v>1.51760267340886E-6</v>
      </c>
      <c r="E39806" s="1">
        <v>0</v>
      </c>
      <c r="F39806" s="1">
        <v>1.263461209204E-5</v>
      </c>
    </row>
    <row r="39807" spans="1:6" x14ac:dyDescent="0.25">
      <c r="A39807" s="2" t="str">
        <f t="shared" si="1283"/>
        <v>99999</v>
      </c>
      <c r="B39807" s="2" t="str">
        <f>"50174"</f>
        <v>50174</v>
      </c>
      <c r="C39807" s="1">
        <v>7.9561718611701401E-5</v>
      </c>
      <c r="D39807" s="1">
        <v>3.0352053468177301E-5</v>
      </c>
      <c r="E39807" s="1">
        <v>3.47643196405369E-5</v>
      </c>
      <c r="F39807" s="1">
        <v>7.5310246879325396E-5</v>
      </c>
    </row>
    <row r="39808" spans="1:6" x14ac:dyDescent="0.25">
      <c r="A39808" s="2" t="str">
        <f t="shared" si="1283"/>
        <v>99999</v>
      </c>
      <c r="B39808" s="2" t="str">
        <f>"50117"</f>
        <v>50117</v>
      </c>
      <c r="C39808" s="1">
        <v>1.12412304760017E-5</v>
      </c>
      <c r="D39808" s="1">
        <v>1.3658424060679801E-5</v>
      </c>
      <c r="E39808" s="1">
        <v>4.3455399550671099E-6</v>
      </c>
      <c r="F39808" s="1">
        <v>1.12418202078781E-5</v>
      </c>
    </row>
    <row r="39809" spans="1:6" x14ac:dyDescent="0.25">
      <c r="A39809" s="2" t="str">
        <f t="shared" si="1283"/>
        <v>99999</v>
      </c>
      <c r="B39809" s="2" t="str">
        <f>"50112"</f>
        <v>50112</v>
      </c>
      <c r="C39809" s="1">
        <v>5.7155654371670802E-4</v>
      </c>
      <c r="D39809" s="1">
        <v>9.3332564414645399E-4</v>
      </c>
      <c r="E39809" s="1">
        <v>1.54266668404882E-3</v>
      </c>
      <c r="F39809" s="1">
        <v>6.1750423035663497E-4</v>
      </c>
    </row>
    <row r="39810" spans="1:6" x14ac:dyDescent="0.25">
      <c r="A39810" s="2" t="str">
        <f t="shared" si="1283"/>
        <v>99999</v>
      </c>
      <c r="B39810" s="2" t="str">
        <f>"50108"</f>
        <v>50108</v>
      </c>
      <c r="C39810" s="1">
        <v>3.2959724308276802E-5</v>
      </c>
      <c r="D39810" s="1">
        <v>6.0704106936354696E-6</v>
      </c>
      <c r="E39810" s="1">
        <v>2.1727699775335501E-5</v>
      </c>
      <c r="F39810" s="1">
        <v>3.0939876855310701E-5</v>
      </c>
    </row>
    <row r="39811" spans="1:6" x14ac:dyDescent="0.25">
      <c r="A39811" s="2" t="str">
        <f t="shared" si="1283"/>
        <v>99999</v>
      </c>
      <c r="B39811" s="2" t="str">
        <f>"29709"</f>
        <v>29709</v>
      </c>
      <c r="C39811" s="1">
        <v>3.4902383555585899E-4</v>
      </c>
      <c r="D39811" s="1">
        <v>4.5679840469606899E-4</v>
      </c>
      <c r="E39811" s="1">
        <v>1.0429295892161E-4</v>
      </c>
      <c r="F39811" s="1">
        <v>3.5048612913588298E-4</v>
      </c>
    </row>
    <row r="39812" spans="1:6" x14ac:dyDescent="0.25">
      <c r="A39812" s="2" t="str">
        <f t="shared" si="1283"/>
        <v>99999</v>
      </c>
      <c r="B39812" s="2" t="str">
        <f>"29848"</f>
        <v>29848</v>
      </c>
      <c r="C39812" s="1">
        <v>1.44062371148759E-5</v>
      </c>
      <c r="D39812" s="1">
        <v>4.5528080202265997E-6</v>
      </c>
      <c r="E39812" s="1">
        <v>0</v>
      </c>
      <c r="F39812" s="1">
        <v>1.3430493168704E-5</v>
      </c>
    </row>
    <row r="39813" spans="1:6" x14ac:dyDescent="0.25">
      <c r="A39813" s="2" t="str">
        <f t="shared" si="1283"/>
        <v>99999</v>
      </c>
      <c r="B39813" s="2" t="str">
        <f>"29826"</f>
        <v>29826</v>
      </c>
      <c r="C39813" s="1">
        <v>0</v>
      </c>
      <c r="D39813" s="1">
        <v>1.51760267340886E-6</v>
      </c>
      <c r="E39813" s="1">
        <v>0</v>
      </c>
      <c r="F39813" s="1">
        <v>9.9485134582992598E-8</v>
      </c>
    </row>
    <row r="39814" spans="1:6" x14ac:dyDescent="0.25">
      <c r="A39814" s="2" t="str">
        <f t="shared" si="1283"/>
        <v>99999</v>
      </c>
      <c r="B39814" s="2" t="str">
        <f>"29845"</f>
        <v>29845</v>
      </c>
      <c r="C39814" s="1">
        <v>7.8033784372244906E-5</v>
      </c>
      <c r="D39814" s="1">
        <v>3.7940066835221703E-5</v>
      </c>
      <c r="E39814" s="1">
        <v>3.0418779685469802E-5</v>
      </c>
      <c r="F39814" s="1">
        <v>7.4315395533495506E-5</v>
      </c>
    </row>
    <row r="39815" spans="1:6" x14ac:dyDescent="0.25">
      <c r="A39815" s="2" t="str">
        <f t="shared" si="1283"/>
        <v>99999</v>
      </c>
      <c r="B39815" s="2" t="str">
        <f>"29593"</f>
        <v>29593</v>
      </c>
      <c r="C39815" s="1">
        <v>3.74343888666853E-5</v>
      </c>
      <c r="D39815" s="1">
        <v>9.1056160404532095E-6</v>
      </c>
      <c r="E39815" s="1">
        <v>0</v>
      </c>
      <c r="F39815" s="1">
        <v>3.4720311969464401E-5</v>
      </c>
    </row>
    <row r="39816" spans="1:6" x14ac:dyDescent="0.25">
      <c r="A39816" s="2" t="str">
        <f t="shared" si="1283"/>
        <v>99999</v>
      </c>
      <c r="B39816" s="2" t="str">
        <f>"29592"</f>
        <v>29592</v>
      </c>
      <c r="C39816" s="1">
        <v>4.8020790382919898E-5</v>
      </c>
      <c r="D39816" s="1">
        <v>7.5880133670443404E-6</v>
      </c>
      <c r="E39816" s="1">
        <v>0</v>
      </c>
      <c r="F39816" s="1">
        <v>4.4270884889431703E-5</v>
      </c>
    </row>
    <row r="39817" spans="1:6" x14ac:dyDescent="0.25">
      <c r="A39817" s="2" t="str">
        <f t="shared" si="1283"/>
        <v>99999</v>
      </c>
      <c r="B39817" s="2" t="str">
        <f>"29654"</f>
        <v>29654</v>
      </c>
      <c r="C39817" s="1">
        <v>1.1470420611920201E-4</v>
      </c>
      <c r="D39817" s="1">
        <v>3.1869656141586203E-5</v>
      </c>
      <c r="E39817" s="1">
        <v>3.9109859595604001E-5</v>
      </c>
      <c r="F39817" s="1">
        <v>1.07543430484215E-4</v>
      </c>
    </row>
    <row r="39818" spans="1:6" x14ac:dyDescent="0.25">
      <c r="A39818" s="2" t="str">
        <f t="shared" si="1283"/>
        <v>99999</v>
      </c>
      <c r="B39818" s="2" t="str">
        <f>"29574"</f>
        <v>29574</v>
      </c>
      <c r="C39818" s="1">
        <v>6.7883935495854995E-4</v>
      </c>
      <c r="D39818" s="1">
        <v>8.1798784096737999E-4</v>
      </c>
      <c r="E39818" s="1">
        <v>3.3026103658510001E-4</v>
      </c>
      <c r="F39818" s="1">
        <v>6.79980894874754E-4</v>
      </c>
    </row>
    <row r="39819" spans="1:6" x14ac:dyDescent="0.25">
      <c r="A39819" s="2" t="str">
        <f t="shared" si="1283"/>
        <v>99999</v>
      </c>
      <c r="B39819" s="2" t="str">
        <f>"29571"</f>
        <v>29571</v>
      </c>
      <c r="C39819" s="1">
        <v>8.8041753640685295E-4</v>
      </c>
      <c r="D39819" s="1">
        <v>1.02134659920416E-3</v>
      </c>
      <c r="E39819" s="1">
        <v>1.3297352262505301E-3</v>
      </c>
      <c r="F39819" s="1">
        <v>8.9994252743775096E-4</v>
      </c>
    </row>
    <row r="39820" spans="1:6" x14ac:dyDescent="0.25">
      <c r="A39820" s="2" t="str">
        <f t="shared" si="1283"/>
        <v>99999</v>
      </c>
      <c r="B39820" s="2" t="str">
        <f>"29565"</f>
        <v>29565</v>
      </c>
      <c r="C39820" s="1">
        <v>3.74562164986775E-4</v>
      </c>
      <c r="D39820" s="1">
        <v>3.46013409537222E-4</v>
      </c>
      <c r="E39820" s="1">
        <v>4.7800939505738197E-5</v>
      </c>
      <c r="F39820" s="1">
        <v>3.65209929054165E-4</v>
      </c>
    </row>
    <row r="39821" spans="1:6" x14ac:dyDescent="0.25">
      <c r="A39821" s="2" t="str">
        <f t="shared" si="1283"/>
        <v>99999</v>
      </c>
      <c r="B39821" s="2" t="str">
        <f>"29563"</f>
        <v>29563</v>
      </c>
      <c r="C39821" s="1">
        <v>1.04990909882656E-4</v>
      </c>
      <c r="D39821" s="1">
        <v>5.3116093569310399E-5</v>
      </c>
      <c r="E39821" s="1">
        <v>2.1727699775335501E-5</v>
      </c>
      <c r="F39821" s="1">
        <v>9.9684104852158602E-5</v>
      </c>
    </row>
    <row r="39822" spans="1:6" x14ac:dyDescent="0.25">
      <c r="A39822" s="2" t="str">
        <f t="shared" si="1283"/>
        <v>99999</v>
      </c>
      <c r="B39822" s="2" t="str">
        <f>"29543"</f>
        <v>29543</v>
      </c>
      <c r="C39822" s="1">
        <v>3.1322651908859099E-5</v>
      </c>
      <c r="D39822" s="1">
        <v>6.0704106936354696E-6</v>
      </c>
      <c r="E39822" s="1">
        <v>0</v>
      </c>
      <c r="F39822" s="1">
        <v>2.8950174163650799E-5</v>
      </c>
    </row>
    <row r="39823" spans="1:6" x14ac:dyDescent="0.25">
      <c r="A39823" s="2" t="str">
        <f t="shared" si="1283"/>
        <v>99999</v>
      </c>
      <c r="B39823" s="2" t="str">
        <f>"29153"</f>
        <v>29153</v>
      </c>
      <c r="C39823" s="1">
        <v>3.17592045487038E-5</v>
      </c>
      <c r="D39823" s="1">
        <v>2.5799245447950699E-5</v>
      </c>
      <c r="E39823" s="1">
        <v>1.7382159820268399E-5</v>
      </c>
      <c r="F39823" s="1">
        <v>3.10393619898937E-5</v>
      </c>
    </row>
    <row r="39824" spans="1:6" x14ac:dyDescent="0.25">
      <c r="A39824" s="2" t="str">
        <f t="shared" si="1283"/>
        <v>99999</v>
      </c>
      <c r="B39824" s="2" t="str">
        <f>"29032"</f>
        <v>29032</v>
      </c>
      <c r="C39824" s="1">
        <v>1.51702042346042E-5</v>
      </c>
      <c r="D39824" s="1">
        <v>4.5528080202265997E-6</v>
      </c>
      <c r="E39824" s="1">
        <v>0</v>
      </c>
      <c r="F39824" s="1">
        <v>1.41268891107849E-5</v>
      </c>
    </row>
    <row r="39825" spans="1:6" x14ac:dyDescent="0.25">
      <c r="A39825" s="2" t="str">
        <f t="shared" si="1283"/>
        <v>99999</v>
      </c>
      <c r="B39825" s="2" t="str">
        <f>"29080"</f>
        <v>29080</v>
      </c>
      <c r="C39825" s="1">
        <v>8.5236902929682894E-5</v>
      </c>
      <c r="D39825" s="1">
        <v>3.9457669508630602E-5</v>
      </c>
      <c r="E39825" s="1">
        <v>3.9109859595604001E-5</v>
      </c>
      <c r="F39825" s="1">
        <v>8.1179869819721895E-5</v>
      </c>
    </row>
    <row r="39826" spans="1:6" x14ac:dyDescent="0.25">
      <c r="A39826" s="2" t="str">
        <f t="shared" ref="A39826:A39889" si="1284">"99999"</f>
        <v>99999</v>
      </c>
      <c r="B39826" s="2" t="str">
        <f>"29009"</f>
        <v>29009</v>
      </c>
      <c r="C39826" s="1">
        <v>4.1472500785249E-6</v>
      </c>
      <c r="D39826" s="1">
        <v>0</v>
      </c>
      <c r="E39826" s="1">
        <v>0</v>
      </c>
      <c r="F39826" s="1">
        <v>3.7804351141537199E-6</v>
      </c>
    </row>
    <row r="39827" spans="1:6" x14ac:dyDescent="0.25">
      <c r="A39827" s="2" t="str">
        <f t="shared" si="1284"/>
        <v>99999</v>
      </c>
      <c r="B39827" s="2" t="str">
        <f>"28733"</f>
        <v>28733</v>
      </c>
      <c r="C39827" s="1">
        <v>4.9112171982531701E-6</v>
      </c>
      <c r="D39827" s="1">
        <v>1.0623218713862E-5</v>
      </c>
      <c r="E39827" s="1">
        <v>0</v>
      </c>
      <c r="F39827" s="1">
        <v>5.1732269983156102E-6</v>
      </c>
    </row>
    <row r="39828" spans="1:6" x14ac:dyDescent="0.25">
      <c r="A39828" s="2" t="str">
        <f t="shared" si="1284"/>
        <v>99999</v>
      </c>
      <c r="B39828" s="2" t="str">
        <f>"28734"</f>
        <v>28734</v>
      </c>
      <c r="C39828" s="1">
        <v>1.91679350339823E-3</v>
      </c>
      <c r="D39828" s="1">
        <v>2.2156999031769401E-3</v>
      </c>
      <c r="E39828" s="1">
        <v>1.0516206691262399E-3</v>
      </c>
      <c r="F39828" s="1">
        <v>1.91658111774135E-3</v>
      </c>
    </row>
    <row r="39829" spans="1:6" x14ac:dyDescent="0.25">
      <c r="A39829" s="2" t="str">
        <f t="shared" si="1284"/>
        <v>99999</v>
      </c>
      <c r="B39829" s="2" t="str">
        <f>"28754"</f>
        <v>28754</v>
      </c>
      <c r="C39829" s="1">
        <v>2.72845399902954E-5</v>
      </c>
      <c r="D39829" s="1">
        <v>0</v>
      </c>
      <c r="E39829" s="1">
        <v>0</v>
      </c>
      <c r="F39829" s="1">
        <v>2.48712836457481E-5</v>
      </c>
    </row>
    <row r="39830" spans="1:6" x14ac:dyDescent="0.25">
      <c r="A39830" s="2" t="str">
        <f t="shared" si="1284"/>
        <v>99999</v>
      </c>
      <c r="B39830" s="2" t="str">
        <f>"28604"</f>
        <v>28604</v>
      </c>
      <c r="C39830" s="1">
        <v>4.1450673153256801E-4</v>
      </c>
      <c r="D39830" s="1">
        <v>4.2948155657470999E-4</v>
      </c>
      <c r="E39830" s="1">
        <v>8.9518123074382595E-4</v>
      </c>
      <c r="F39830" s="1">
        <v>4.2649277195728899E-4</v>
      </c>
    </row>
    <row r="39831" spans="1:6" x14ac:dyDescent="0.25">
      <c r="A39831" s="2" t="str">
        <f t="shared" si="1284"/>
        <v>99999</v>
      </c>
      <c r="B39831" s="2" t="str">
        <f>"28453"</f>
        <v>28453</v>
      </c>
      <c r="C39831" s="1">
        <v>2.2351495160049999E-4</v>
      </c>
      <c r="D39831" s="1">
        <v>1.3354903525998E-4</v>
      </c>
      <c r="E39831" s="1">
        <v>7.8219719191208097E-5</v>
      </c>
      <c r="F39831" s="1">
        <v>2.1429097989176599E-4</v>
      </c>
    </row>
    <row r="39832" spans="1:6" x14ac:dyDescent="0.25">
      <c r="A39832" s="2" t="str">
        <f t="shared" si="1284"/>
        <v>99999</v>
      </c>
      <c r="B39832" s="2" t="str">
        <f>"28447"</f>
        <v>28447</v>
      </c>
      <c r="C39832" s="1">
        <v>5.23863167813672E-5</v>
      </c>
      <c r="D39832" s="1">
        <v>4.2492874855448297E-5</v>
      </c>
      <c r="E39832" s="1">
        <v>0</v>
      </c>
      <c r="F39832" s="1">
        <v>5.0538448368160202E-5</v>
      </c>
    </row>
    <row r="39833" spans="1:6" x14ac:dyDescent="0.25">
      <c r="A39833" s="2" t="str">
        <f t="shared" si="1284"/>
        <v>99999</v>
      </c>
      <c r="B39833" s="2" t="str">
        <f>"28441"</f>
        <v>28441</v>
      </c>
      <c r="C39833" s="1">
        <v>2.3399221495677301E-4</v>
      </c>
      <c r="D39833" s="1">
        <v>1.39619445953615E-4</v>
      </c>
      <c r="E39833" s="1">
        <v>2.1727699775335501E-5</v>
      </c>
      <c r="F39833" s="1">
        <v>2.22946186600486E-4</v>
      </c>
    </row>
    <row r="39834" spans="1:6" x14ac:dyDescent="0.25">
      <c r="A39834" s="2" t="str">
        <f t="shared" si="1284"/>
        <v>99999</v>
      </c>
      <c r="B39834" s="2" t="str">
        <f>"28433"</f>
        <v>28433</v>
      </c>
      <c r="C39834" s="1">
        <v>3.3789174323981799E-4</v>
      </c>
      <c r="D39834" s="1">
        <v>1.97288347543153E-4</v>
      </c>
      <c r="E39834" s="1">
        <v>2.60732397304027E-5</v>
      </c>
      <c r="F39834" s="1">
        <v>3.2153595497223201E-4</v>
      </c>
    </row>
    <row r="39835" spans="1:6" x14ac:dyDescent="0.25">
      <c r="A39835" s="2" t="str">
        <f t="shared" si="1284"/>
        <v>99999</v>
      </c>
      <c r="B39835" s="2" t="str">
        <f>"28551"</f>
        <v>28551</v>
      </c>
      <c r="C39835" s="1">
        <v>4.95487246223765E-5</v>
      </c>
      <c r="D39835" s="1">
        <v>1.9728834754315301E-5</v>
      </c>
      <c r="E39835" s="1">
        <v>0</v>
      </c>
      <c r="F39835" s="1">
        <v>4.6459557850257501E-5</v>
      </c>
    </row>
    <row r="39836" spans="1:6" x14ac:dyDescent="0.25">
      <c r="A39836" s="2" t="str">
        <f t="shared" si="1284"/>
        <v>99999</v>
      </c>
      <c r="B39836" s="2" t="str">
        <f>"28530"</f>
        <v>28530</v>
      </c>
      <c r="C39836" s="1">
        <v>1.3751408155108801E-5</v>
      </c>
      <c r="D39836" s="1">
        <v>0</v>
      </c>
      <c r="E39836" s="1">
        <v>0</v>
      </c>
      <c r="F39836" s="1">
        <v>1.2535126957457E-5</v>
      </c>
    </row>
    <row r="39837" spans="1:6" x14ac:dyDescent="0.25">
      <c r="A39837" s="2" t="str">
        <f t="shared" si="1284"/>
        <v>99999</v>
      </c>
      <c r="B39837" s="2" t="str">
        <f>"28391"</f>
        <v>28391</v>
      </c>
      <c r="C39837" s="1">
        <v>3.7106974386801701E-6</v>
      </c>
      <c r="D39837" s="1">
        <v>0</v>
      </c>
      <c r="E39837" s="1">
        <v>0</v>
      </c>
      <c r="F39837" s="1">
        <v>3.3824945758217398E-6</v>
      </c>
    </row>
    <row r="39838" spans="1:6" x14ac:dyDescent="0.25">
      <c r="A39838" s="2" t="str">
        <f t="shared" si="1284"/>
        <v>99999</v>
      </c>
      <c r="B39838" s="2" t="str">
        <f>"28334"</f>
        <v>28334</v>
      </c>
      <c r="C39838" s="1">
        <v>3.46077105236907E-4</v>
      </c>
      <c r="D39838" s="1">
        <v>1.7755951278883701E-4</v>
      </c>
      <c r="E39838" s="1">
        <v>0</v>
      </c>
      <c r="F39838" s="1">
        <v>3.27107122508879E-4</v>
      </c>
    </row>
    <row r="39839" spans="1:6" x14ac:dyDescent="0.25">
      <c r="A39839" s="2" t="str">
        <f t="shared" si="1284"/>
        <v>99999</v>
      </c>
      <c r="B39839" s="2" t="str">
        <f>"28385"</f>
        <v>28385</v>
      </c>
      <c r="C39839" s="1">
        <v>1.2900130507411599E-4</v>
      </c>
      <c r="D39839" s="1">
        <v>2.4281642774541899E-5</v>
      </c>
      <c r="E39839" s="1">
        <v>1.7382159820268399E-5</v>
      </c>
      <c r="F39839" s="1">
        <v>1.19581131768757E-4</v>
      </c>
    </row>
    <row r="39840" spans="1:6" x14ac:dyDescent="0.25">
      <c r="A39840" s="2" t="str">
        <f t="shared" si="1284"/>
        <v>99999</v>
      </c>
      <c r="B39840" s="2" t="str">
        <f>"28384"</f>
        <v>28384</v>
      </c>
      <c r="C39840" s="1">
        <v>4.42009547842786E-5</v>
      </c>
      <c r="D39840" s="1">
        <v>1.0623218713862E-5</v>
      </c>
      <c r="E39840" s="1">
        <v>8.69107991013423E-6</v>
      </c>
      <c r="F39840" s="1">
        <v>4.1186845717358898E-5</v>
      </c>
    </row>
    <row r="39841" spans="1:6" x14ac:dyDescent="0.25">
      <c r="A39841" s="2" t="str">
        <f t="shared" si="1284"/>
        <v>99999</v>
      </c>
      <c r="B39841" s="2" t="str">
        <f>"28341"</f>
        <v>28341</v>
      </c>
      <c r="C39841" s="1">
        <v>1.93174543131291E-4</v>
      </c>
      <c r="D39841" s="1">
        <v>1.00161776444985E-4</v>
      </c>
      <c r="E39841" s="1">
        <v>7.3874179236140894E-5</v>
      </c>
      <c r="F39841" s="1">
        <v>1.8434595438228499E-4</v>
      </c>
    </row>
    <row r="39842" spans="1:6" x14ac:dyDescent="0.25">
      <c r="A39842" s="2" t="str">
        <f t="shared" si="1284"/>
        <v>99999</v>
      </c>
      <c r="B39842" s="2" t="str">
        <f>"27861"</f>
        <v>27861</v>
      </c>
      <c r="C39842" s="1">
        <v>0</v>
      </c>
      <c r="D39842" s="1">
        <v>0</v>
      </c>
      <c r="E39842" s="1">
        <v>4.3455399550671099E-6</v>
      </c>
      <c r="F39842" s="1">
        <v>9.9485134582992598E-8</v>
      </c>
    </row>
    <row r="39843" spans="1:6" x14ac:dyDescent="0.25">
      <c r="A39843" s="2" t="str">
        <f t="shared" si="1284"/>
        <v>99999</v>
      </c>
      <c r="B39843" s="2" t="str">
        <f>"27871"</f>
        <v>27871</v>
      </c>
      <c r="C39843" s="1">
        <v>1.53557391065382E-4</v>
      </c>
      <c r="D39843" s="1">
        <v>6.6774517629990203E-5</v>
      </c>
      <c r="E39843" s="1">
        <v>4.3455399550671099E-6</v>
      </c>
      <c r="F39843" s="1">
        <v>1.4445241541450501E-4</v>
      </c>
    </row>
    <row r="39844" spans="1:6" x14ac:dyDescent="0.25">
      <c r="A39844" s="2" t="str">
        <f t="shared" si="1284"/>
        <v>99999</v>
      </c>
      <c r="B39844" s="2" t="str">
        <f>"27855"</f>
        <v>27855</v>
      </c>
      <c r="C39844" s="1">
        <v>2.79502827660586E-4</v>
      </c>
      <c r="D39844" s="1">
        <v>2.97450123988138E-4</v>
      </c>
      <c r="E39844" s="1">
        <v>1.6513051829255E-4</v>
      </c>
      <c r="F39844" s="1">
        <v>2.7806095115946402E-4</v>
      </c>
    </row>
    <row r="39845" spans="1:6" x14ac:dyDescent="0.25">
      <c r="A39845" s="2" t="str">
        <f t="shared" si="1284"/>
        <v>99999</v>
      </c>
      <c r="B39845" s="2" t="str">
        <f>"27843"</f>
        <v>27843</v>
      </c>
      <c r="C39845" s="1">
        <v>1.0258987036351001E-5</v>
      </c>
      <c r="D39845" s="1">
        <v>4.5528080202265997E-6</v>
      </c>
      <c r="E39845" s="1">
        <v>0</v>
      </c>
      <c r="F39845" s="1">
        <v>9.6500580545502799E-6</v>
      </c>
    </row>
    <row r="39846" spans="1:6" x14ac:dyDescent="0.25">
      <c r="A39846" s="2" t="str">
        <f t="shared" si="1284"/>
        <v>99999</v>
      </c>
      <c r="B39846" s="2" t="str">
        <f>"27860"</f>
        <v>27860</v>
      </c>
      <c r="C39846" s="1">
        <v>1.23326120756135E-5</v>
      </c>
      <c r="D39846" s="1">
        <v>2.4281642774541899E-5</v>
      </c>
      <c r="E39846" s="1">
        <v>0</v>
      </c>
      <c r="F39846" s="1">
        <v>1.2833582361206E-5</v>
      </c>
    </row>
    <row r="39847" spans="1:6" x14ac:dyDescent="0.25">
      <c r="A39847" s="2" t="str">
        <f t="shared" si="1284"/>
        <v>99999</v>
      </c>
      <c r="B39847" s="2" t="str">
        <f>"27922"</f>
        <v>27922</v>
      </c>
      <c r="C39847" s="1">
        <v>3.52516256674617E-5</v>
      </c>
      <c r="D39847" s="1">
        <v>4.0975272182039399E-5</v>
      </c>
      <c r="E39847" s="1">
        <v>0</v>
      </c>
      <c r="F39847" s="1">
        <v>3.48197971040474E-5</v>
      </c>
    </row>
    <row r="39848" spans="1:6" x14ac:dyDescent="0.25">
      <c r="A39848" s="2" t="str">
        <f t="shared" si="1284"/>
        <v>99999</v>
      </c>
      <c r="B39848" s="2" t="str">
        <f>"27897"</f>
        <v>27897</v>
      </c>
      <c r="C39848" s="1">
        <v>9.9315725564675307E-6</v>
      </c>
      <c r="D39848" s="1">
        <v>3.0352053468177301E-6</v>
      </c>
      <c r="E39848" s="1">
        <v>0</v>
      </c>
      <c r="F39848" s="1">
        <v>9.2521175162183095E-6</v>
      </c>
    </row>
    <row r="39849" spans="1:6" x14ac:dyDescent="0.25">
      <c r="A39849" s="2" t="str">
        <f t="shared" si="1284"/>
        <v>99999</v>
      </c>
      <c r="B39849" s="2" t="str">
        <f>"27932"</f>
        <v>27932</v>
      </c>
      <c r="C39849" s="1">
        <v>7.3373584941902395E-4</v>
      </c>
      <c r="D39849" s="1">
        <v>8.8779756394418796E-4</v>
      </c>
      <c r="E39849" s="1">
        <v>7.0832301267594001E-4</v>
      </c>
      <c r="F39849" s="1">
        <v>7.4325344046953696E-4</v>
      </c>
    </row>
    <row r="39850" spans="1:6" x14ac:dyDescent="0.25">
      <c r="A39850" s="2" t="str">
        <f t="shared" si="1284"/>
        <v>99999</v>
      </c>
      <c r="B39850" s="2" t="str">
        <f>"27946"</f>
        <v>27946</v>
      </c>
      <c r="C39850" s="1">
        <v>7.8579475172050803E-6</v>
      </c>
      <c r="D39850" s="1">
        <v>4.5528080202265997E-6</v>
      </c>
      <c r="E39850" s="1">
        <v>0</v>
      </c>
      <c r="F39850" s="1">
        <v>7.4613850937244396E-6</v>
      </c>
    </row>
    <row r="39851" spans="1:6" x14ac:dyDescent="0.25">
      <c r="A39851" s="2" t="str">
        <f t="shared" si="1284"/>
        <v>99999</v>
      </c>
      <c r="B39851" s="2" t="str">
        <f>"27326"</f>
        <v>27326</v>
      </c>
      <c r="C39851" s="1">
        <v>6.4282376217135996E-5</v>
      </c>
      <c r="D39851" s="1">
        <v>1.66936294074975E-5</v>
      </c>
      <c r="E39851" s="1">
        <v>8.69107991013423E-6</v>
      </c>
      <c r="F39851" s="1">
        <v>5.98900510189615E-5</v>
      </c>
    </row>
    <row r="39852" spans="1:6" x14ac:dyDescent="0.25">
      <c r="A39852" s="2" t="str">
        <f t="shared" si="1284"/>
        <v>99999</v>
      </c>
      <c r="B39852" s="2" t="str">
        <f>"27315"</f>
        <v>27315</v>
      </c>
      <c r="C39852" s="1">
        <v>1.1470420611920201E-4</v>
      </c>
      <c r="D39852" s="1">
        <v>4.4010477528857203E-5</v>
      </c>
      <c r="E39852" s="1">
        <v>1.7382159820268399E-5</v>
      </c>
      <c r="F39852" s="1">
        <v>1.0784188588796401E-4</v>
      </c>
    </row>
    <row r="39853" spans="1:6" x14ac:dyDescent="0.25">
      <c r="A39853" s="2" t="str">
        <f t="shared" si="1284"/>
        <v>99999</v>
      </c>
      <c r="B39853" s="2" t="str">
        <f>"27305"</f>
        <v>27305</v>
      </c>
      <c r="C39853" s="1">
        <v>6.8538764455622095E-5</v>
      </c>
      <c r="D39853" s="1">
        <v>7.5880133670443404E-6</v>
      </c>
      <c r="E39853" s="1">
        <v>1.3036619865201299E-5</v>
      </c>
      <c r="F39853" s="1">
        <v>6.3272545594783301E-5</v>
      </c>
    </row>
    <row r="39854" spans="1:6" x14ac:dyDescent="0.25">
      <c r="A39854" s="2" t="str">
        <f t="shared" si="1284"/>
        <v>99999</v>
      </c>
      <c r="B39854" s="2" t="str">
        <f>"27239"</f>
        <v>27239</v>
      </c>
      <c r="C39854" s="1">
        <v>2.1827631992236301E-7</v>
      </c>
      <c r="D39854" s="1">
        <v>0</v>
      </c>
      <c r="E39854" s="1">
        <v>0</v>
      </c>
      <c r="F39854" s="1">
        <v>1.9897026916598501E-7</v>
      </c>
    </row>
    <row r="39855" spans="1:6" x14ac:dyDescent="0.25">
      <c r="A39855" s="2" t="str">
        <f t="shared" si="1284"/>
        <v>99999</v>
      </c>
      <c r="B39855" s="2" t="str">
        <f>"27244"</f>
        <v>27244</v>
      </c>
      <c r="C39855" s="1">
        <v>7.2795152694108195E-5</v>
      </c>
      <c r="D39855" s="1">
        <v>1.0623218713862E-5</v>
      </c>
      <c r="E39855" s="1">
        <v>0</v>
      </c>
      <c r="F39855" s="1">
        <v>6.7052980708937E-5</v>
      </c>
    </row>
    <row r="39856" spans="1:6" x14ac:dyDescent="0.25">
      <c r="A39856" s="2" t="str">
        <f t="shared" si="1284"/>
        <v>99999</v>
      </c>
      <c r="B39856" s="2" t="str">
        <f>"26847"</f>
        <v>26847</v>
      </c>
      <c r="C39856" s="1">
        <v>3.1508186780793103E-4</v>
      </c>
      <c r="D39856" s="1">
        <v>4.4921039132902497E-4</v>
      </c>
      <c r="E39856" s="1">
        <v>4.7800939505738199E-4</v>
      </c>
      <c r="F39856" s="1">
        <v>3.2760454818179401E-4</v>
      </c>
    </row>
    <row r="39857" spans="1:6" x14ac:dyDescent="0.25">
      <c r="A39857" s="2" t="str">
        <f t="shared" si="1284"/>
        <v>99999</v>
      </c>
      <c r="B39857" s="2" t="str">
        <f>"26814"</f>
        <v>26814</v>
      </c>
      <c r="C39857" s="1">
        <v>2.21550464721198E-5</v>
      </c>
      <c r="D39857" s="1">
        <v>6.0704106936354696E-6</v>
      </c>
      <c r="E39857" s="1">
        <v>0</v>
      </c>
      <c r="F39857" s="1">
        <v>2.0593422858679401E-5</v>
      </c>
    </row>
    <row r="39858" spans="1:6" x14ac:dyDescent="0.25">
      <c r="A39858" s="2" t="str">
        <f t="shared" si="1284"/>
        <v>99999</v>
      </c>
      <c r="B39858" s="2" t="str">
        <f>"26354"</f>
        <v>26354</v>
      </c>
      <c r="C39858" s="1">
        <v>4.3655263984472602E-7</v>
      </c>
      <c r="D39858" s="1">
        <v>0</v>
      </c>
      <c r="E39858" s="1">
        <v>0</v>
      </c>
      <c r="F39858" s="1">
        <v>3.9794053833197002E-7</v>
      </c>
    </row>
    <row r="39859" spans="1:6" x14ac:dyDescent="0.25">
      <c r="A39859" s="2" t="str">
        <f t="shared" si="1284"/>
        <v>99999</v>
      </c>
      <c r="B39859" s="2" t="str">
        <f>"26351"</f>
        <v>26351</v>
      </c>
      <c r="C39859" s="1">
        <v>1.8662625353362E-4</v>
      </c>
      <c r="D39859" s="1">
        <v>3.4146060151699499E-4</v>
      </c>
      <c r="E39859" s="1">
        <v>3.86753056000973E-4</v>
      </c>
      <c r="F39859" s="1">
        <v>2.0135791239597701E-4</v>
      </c>
    </row>
    <row r="39860" spans="1:6" x14ac:dyDescent="0.25">
      <c r="A39860" s="2" t="str">
        <f t="shared" si="1284"/>
        <v>99999</v>
      </c>
      <c r="B39860" s="2" t="str">
        <f>"26346"</f>
        <v>26346</v>
      </c>
      <c r="C39860" s="1">
        <v>3.0558684789130797E-5</v>
      </c>
      <c r="D39860" s="1">
        <v>3.4904861488403899E-5</v>
      </c>
      <c r="E39860" s="1">
        <v>4.3455399550671099E-6</v>
      </c>
      <c r="F39860" s="1">
        <v>3.0243480913229702E-5</v>
      </c>
    </row>
    <row r="39861" spans="1:6" x14ac:dyDescent="0.25">
      <c r="A39861" s="2" t="str">
        <f t="shared" si="1284"/>
        <v>99999</v>
      </c>
      <c r="B39861" s="2" t="str">
        <f>"26320"</f>
        <v>26320</v>
      </c>
      <c r="C39861" s="1">
        <v>3.7216112546762902E-5</v>
      </c>
      <c r="D39861" s="1">
        <v>1.66936294074975E-5</v>
      </c>
      <c r="E39861" s="1">
        <v>0</v>
      </c>
      <c r="F39861" s="1">
        <v>3.5018767373213403E-5</v>
      </c>
    </row>
    <row r="39862" spans="1:6" x14ac:dyDescent="0.25">
      <c r="A39862" s="2" t="str">
        <f t="shared" si="1284"/>
        <v>99999</v>
      </c>
      <c r="B39862" s="2" t="str">
        <f>"26707"</f>
        <v>26707</v>
      </c>
      <c r="C39862" s="1">
        <v>1.09138159961181E-7</v>
      </c>
      <c r="D39862" s="1">
        <v>1.51760267340886E-6</v>
      </c>
      <c r="E39862" s="1">
        <v>0</v>
      </c>
      <c r="F39862" s="1">
        <v>1.9897026916598501E-7</v>
      </c>
    </row>
    <row r="39863" spans="1:6" x14ac:dyDescent="0.25">
      <c r="A39863" s="2" t="str">
        <f t="shared" si="1284"/>
        <v>99999</v>
      </c>
      <c r="B39863" s="2" t="str">
        <f>"26755"</f>
        <v>26755</v>
      </c>
      <c r="C39863" s="1">
        <v>1.6261585834216E-5</v>
      </c>
      <c r="D39863" s="1">
        <v>6.0704106936354696E-6</v>
      </c>
      <c r="E39863" s="1">
        <v>0</v>
      </c>
      <c r="F39863" s="1">
        <v>1.52212255911978E-5</v>
      </c>
    </row>
    <row r="39864" spans="1:6" x14ac:dyDescent="0.25">
      <c r="A39864" s="2" t="str">
        <f t="shared" si="1284"/>
        <v>99999</v>
      </c>
      <c r="B39864" s="2" t="str">
        <f>"26582"</f>
        <v>26582</v>
      </c>
      <c r="C39864" s="1">
        <v>2.1827631992236301E-7</v>
      </c>
      <c r="D39864" s="1">
        <v>0</v>
      </c>
      <c r="E39864" s="1">
        <v>0</v>
      </c>
      <c r="F39864" s="1">
        <v>1.9897026916598501E-7</v>
      </c>
    </row>
    <row r="39865" spans="1:6" x14ac:dyDescent="0.25">
      <c r="A39865" s="2" t="str">
        <f t="shared" si="1284"/>
        <v>99999</v>
      </c>
      <c r="B39865" s="2" t="str">
        <f>"26660"</f>
        <v>26660</v>
      </c>
      <c r="C39865" s="1">
        <v>1.1132092316040499E-5</v>
      </c>
      <c r="D39865" s="1">
        <v>4.5528080202265997E-6</v>
      </c>
      <c r="E39865" s="1">
        <v>4.3455399550671099E-6</v>
      </c>
      <c r="F39865" s="1">
        <v>1.05454242657972E-5</v>
      </c>
    </row>
    <row r="39866" spans="1:6" x14ac:dyDescent="0.25">
      <c r="A39866" s="2" t="str">
        <f t="shared" si="1284"/>
        <v>99999</v>
      </c>
      <c r="B39866" s="2" t="str">
        <f>"26671"</f>
        <v>26671</v>
      </c>
      <c r="C39866" s="1">
        <v>0</v>
      </c>
      <c r="D39866" s="1">
        <v>0</v>
      </c>
      <c r="E39866" s="1">
        <v>4.3455399550671099E-6</v>
      </c>
      <c r="F39866" s="1">
        <v>9.9485134582992598E-8</v>
      </c>
    </row>
    <row r="39867" spans="1:6" x14ac:dyDescent="0.25">
      <c r="A39867" s="2" t="str">
        <f t="shared" si="1284"/>
        <v>99999</v>
      </c>
      <c r="B39867" s="2" t="str">
        <f>"26676"</f>
        <v>26676</v>
      </c>
      <c r="C39867" s="1">
        <v>1.47336515947595E-5</v>
      </c>
      <c r="D39867" s="1">
        <v>0</v>
      </c>
      <c r="E39867" s="1">
        <v>4.3455399550671099E-6</v>
      </c>
      <c r="F39867" s="1">
        <v>1.35299783032869E-5</v>
      </c>
    </row>
    <row r="39868" spans="1:6" x14ac:dyDescent="0.25">
      <c r="A39868" s="2" t="str">
        <f t="shared" si="1284"/>
        <v>99999</v>
      </c>
      <c r="B39868" s="2" t="str">
        <f>"26236"</f>
        <v>26236</v>
      </c>
      <c r="C39868" s="1">
        <v>4.4746645584084504E-6</v>
      </c>
      <c r="D39868" s="1">
        <v>0</v>
      </c>
      <c r="E39868" s="1">
        <v>4.3455399550671099E-6</v>
      </c>
      <c r="F39868" s="1">
        <v>4.1783756524856902E-6</v>
      </c>
    </row>
    <row r="39869" spans="1:6" x14ac:dyDescent="0.25">
      <c r="A39869" s="2" t="str">
        <f t="shared" si="1284"/>
        <v>99999</v>
      </c>
      <c r="B39869" s="2" t="str">
        <f>"26298"</f>
        <v>26298</v>
      </c>
      <c r="C39869" s="1">
        <v>3.7106974386801701E-6</v>
      </c>
      <c r="D39869" s="1">
        <v>0</v>
      </c>
      <c r="E39869" s="1">
        <v>4.3455399550671099E-6</v>
      </c>
      <c r="F39869" s="1">
        <v>3.48197971040474E-6</v>
      </c>
    </row>
    <row r="39870" spans="1:6" x14ac:dyDescent="0.25">
      <c r="A39870" s="2" t="str">
        <f t="shared" si="1284"/>
        <v>99999</v>
      </c>
      <c r="B39870" s="2" t="str">
        <f>"26292"</f>
        <v>26292</v>
      </c>
      <c r="C39870" s="1">
        <v>4.1254224465326597E-5</v>
      </c>
      <c r="D39870" s="1">
        <v>4.2492874855448297E-5</v>
      </c>
      <c r="E39870" s="1">
        <v>0</v>
      </c>
      <c r="F39870" s="1">
        <v>4.0390964640694998E-5</v>
      </c>
    </row>
    <row r="39871" spans="1:6" x14ac:dyDescent="0.25">
      <c r="A39871" s="2" t="str">
        <f t="shared" si="1284"/>
        <v>99999</v>
      </c>
      <c r="B39871" s="2" t="str">
        <f>"26282"</f>
        <v>26282</v>
      </c>
      <c r="C39871" s="1">
        <v>1.3096579195341799E-6</v>
      </c>
      <c r="D39871" s="1">
        <v>0</v>
      </c>
      <c r="E39871" s="1">
        <v>0</v>
      </c>
      <c r="F39871" s="1">
        <v>1.19382161499591E-6</v>
      </c>
    </row>
    <row r="39872" spans="1:6" x14ac:dyDescent="0.25">
      <c r="A39872" s="2" t="str">
        <f t="shared" si="1284"/>
        <v>99999</v>
      </c>
      <c r="B39872" s="2" t="str">
        <f>"26267"</f>
        <v>26267</v>
      </c>
      <c r="C39872" s="1">
        <v>2.3137289911770499E-5</v>
      </c>
      <c r="D39872" s="1">
        <v>1.21408213872709E-5</v>
      </c>
      <c r="E39872" s="1">
        <v>0</v>
      </c>
      <c r="F39872" s="1">
        <v>2.1886729608258301E-5</v>
      </c>
    </row>
    <row r="39873" spans="1:6" x14ac:dyDescent="0.25">
      <c r="A39873" s="2" t="str">
        <f t="shared" si="1284"/>
        <v>99999</v>
      </c>
      <c r="B39873" s="2" t="str">
        <f>"25692"</f>
        <v>25692</v>
      </c>
      <c r="C39873" s="1">
        <v>0</v>
      </c>
      <c r="D39873" s="1">
        <v>0</v>
      </c>
      <c r="E39873" s="1">
        <v>4.3455399550671099E-6</v>
      </c>
      <c r="F39873" s="1">
        <v>9.9485134582992598E-8</v>
      </c>
    </row>
    <row r="39874" spans="1:6" x14ac:dyDescent="0.25">
      <c r="A39874" s="2" t="str">
        <f t="shared" si="1284"/>
        <v>99999</v>
      </c>
      <c r="B39874" s="2" t="str">
        <f>"25686"</f>
        <v>25686</v>
      </c>
      <c r="C39874" s="1">
        <v>0</v>
      </c>
      <c r="D39874" s="1">
        <v>1.51760267340886E-6</v>
      </c>
      <c r="E39874" s="1">
        <v>0</v>
      </c>
      <c r="F39874" s="1">
        <v>9.9485134582992598E-8</v>
      </c>
    </row>
    <row r="39875" spans="1:6" x14ac:dyDescent="0.25">
      <c r="A39875" s="2" t="str">
        <f t="shared" si="1284"/>
        <v>99999</v>
      </c>
      <c r="B39875" s="2" t="str">
        <f>"25685"</f>
        <v>25685</v>
      </c>
      <c r="C39875" s="1">
        <v>0</v>
      </c>
      <c r="D39875" s="1">
        <v>1.51760267340886E-6</v>
      </c>
      <c r="E39875" s="1">
        <v>0</v>
      </c>
      <c r="F39875" s="1">
        <v>9.9485134582992598E-8</v>
      </c>
    </row>
    <row r="39876" spans="1:6" x14ac:dyDescent="0.25">
      <c r="A39876" s="2" t="str">
        <f t="shared" si="1284"/>
        <v>99999</v>
      </c>
      <c r="B39876" s="2" t="str">
        <f>"25674"</f>
        <v>25674</v>
      </c>
      <c r="C39876" s="1">
        <v>2.7611954470178899E-5</v>
      </c>
      <c r="D39876" s="1">
        <v>1.51760267340886E-6</v>
      </c>
      <c r="E39876" s="1">
        <v>4.3455399550671099E-6</v>
      </c>
      <c r="F39876" s="1">
        <v>2.53687093186631E-5</v>
      </c>
    </row>
    <row r="39877" spans="1:6" x14ac:dyDescent="0.25">
      <c r="A39877" s="2" t="str">
        <f t="shared" si="1284"/>
        <v>99999</v>
      </c>
      <c r="B39877" s="2" t="str">
        <f>"25666"</f>
        <v>25666</v>
      </c>
      <c r="C39877" s="1">
        <v>2.1063664872508E-5</v>
      </c>
      <c r="D39877" s="1">
        <v>0</v>
      </c>
      <c r="E39877" s="1">
        <v>4.3455399550671099E-6</v>
      </c>
      <c r="F39877" s="1">
        <v>1.9300116109100499E-5</v>
      </c>
    </row>
    <row r="39878" spans="1:6" x14ac:dyDescent="0.25">
      <c r="A39878" s="2" t="str">
        <f t="shared" si="1284"/>
        <v>99999</v>
      </c>
      <c r="B39878" s="2" t="str">
        <f>"25651"</f>
        <v>25651</v>
      </c>
      <c r="C39878" s="1">
        <v>3.9835428385831298E-5</v>
      </c>
      <c r="D39878" s="1">
        <v>1.0623218713862E-5</v>
      </c>
      <c r="E39878" s="1">
        <v>0</v>
      </c>
      <c r="F39878" s="1">
        <v>3.7008470064873197E-5</v>
      </c>
    </row>
    <row r="39879" spans="1:6" x14ac:dyDescent="0.25">
      <c r="A39879" s="2" t="str">
        <f t="shared" si="1284"/>
        <v>99999</v>
      </c>
      <c r="B39879" s="2" t="str">
        <f>"26134"</f>
        <v>26134</v>
      </c>
      <c r="C39879" s="1">
        <v>2.69571255104118E-5</v>
      </c>
      <c r="D39879" s="1">
        <v>3.3387258814995101E-5</v>
      </c>
      <c r="E39879" s="1">
        <v>4.7800939505738197E-5</v>
      </c>
      <c r="F39879" s="1">
        <v>2.78558376832379E-5</v>
      </c>
    </row>
    <row r="39880" spans="1:6" x14ac:dyDescent="0.25">
      <c r="A39880" s="2" t="str">
        <f t="shared" si="1284"/>
        <v>99999</v>
      </c>
      <c r="B39880" s="2" t="str">
        <f>"26161"</f>
        <v>26161</v>
      </c>
      <c r="C39880" s="1">
        <v>2.4992638631110601E-5</v>
      </c>
      <c r="D39880" s="1">
        <v>4.5528080202265997E-6</v>
      </c>
      <c r="E39880" s="1">
        <v>4.3455399550671099E-6</v>
      </c>
      <c r="F39880" s="1">
        <v>2.31800363578372E-5</v>
      </c>
    </row>
    <row r="39881" spans="1:6" x14ac:dyDescent="0.25">
      <c r="A39881" s="2" t="str">
        <f t="shared" si="1284"/>
        <v>99999</v>
      </c>
      <c r="B39881" s="2" t="str">
        <f>"25870"</f>
        <v>25870</v>
      </c>
      <c r="C39881" s="1">
        <v>1.3533131835186499E-5</v>
      </c>
      <c r="D39881" s="1">
        <v>4.5528080202265997E-6</v>
      </c>
      <c r="E39881" s="1">
        <v>4.3455399550671099E-6</v>
      </c>
      <c r="F39881" s="1">
        <v>1.2734097226623E-5</v>
      </c>
    </row>
    <row r="39882" spans="1:6" x14ac:dyDescent="0.25">
      <c r="A39882" s="2" t="str">
        <f t="shared" si="1284"/>
        <v>99999</v>
      </c>
      <c r="B39882" s="2" t="str">
        <f>"25985"</f>
        <v>25985</v>
      </c>
      <c r="C39882" s="1">
        <v>3.3614553268043901E-5</v>
      </c>
      <c r="D39882" s="1">
        <v>3.0352053468177301E-6</v>
      </c>
      <c r="E39882" s="1">
        <v>0</v>
      </c>
      <c r="F39882" s="1">
        <v>3.0840391720727703E-5</v>
      </c>
    </row>
    <row r="39883" spans="1:6" x14ac:dyDescent="0.25">
      <c r="A39883" s="2" t="str">
        <f t="shared" si="1284"/>
        <v>99999</v>
      </c>
      <c r="B39883" s="2" t="str">
        <f>"25243"</f>
        <v>25243</v>
      </c>
      <c r="C39883" s="1">
        <v>6.5373757816747802E-5</v>
      </c>
      <c r="D39883" s="1">
        <v>4.5528080202265997E-6</v>
      </c>
      <c r="E39883" s="1">
        <v>4.3455399550671099E-6</v>
      </c>
      <c r="F39883" s="1">
        <v>5.9989536153544499E-5</v>
      </c>
    </row>
    <row r="39884" spans="1:6" x14ac:dyDescent="0.25">
      <c r="A39884" s="2" t="str">
        <f t="shared" si="1284"/>
        <v>99999</v>
      </c>
      <c r="B39884" s="2" t="str">
        <f>"25164"</f>
        <v>25164</v>
      </c>
      <c r="C39884" s="1">
        <v>1.25508883955359E-5</v>
      </c>
      <c r="D39884" s="1">
        <v>0</v>
      </c>
      <c r="E39884" s="1">
        <v>0</v>
      </c>
      <c r="F39884" s="1">
        <v>1.1440790477044101E-5</v>
      </c>
    </row>
    <row r="39885" spans="1:6" x14ac:dyDescent="0.25">
      <c r="A39885" s="2" t="str">
        <f t="shared" si="1284"/>
        <v>99999</v>
      </c>
      <c r="B39885" s="2" t="str">
        <f>"24985"</f>
        <v>24985</v>
      </c>
      <c r="C39885" s="1">
        <v>3.2414033508470899E-5</v>
      </c>
      <c r="D39885" s="1">
        <v>1.51760267340886E-6</v>
      </c>
      <c r="E39885" s="1">
        <v>0</v>
      </c>
      <c r="F39885" s="1">
        <v>2.9646570105731799E-5</v>
      </c>
    </row>
    <row r="39886" spans="1:6" x14ac:dyDescent="0.25">
      <c r="A39886" s="2" t="str">
        <f t="shared" si="1284"/>
        <v>99999</v>
      </c>
      <c r="B39886" s="2" t="str">
        <f>"24974"</f>
        <v>24974</v>
      </c>
      <c r="C39886" s="1">
        <v>1.7462105593788999E-5</v>
      </c>
      <c r="D39886" s="1">
        <v>1.51760267340886E-6</v>
      </c>
      <c r="E39886" s="1">
        <v>0</v>
      </c>
      <c r="F39886" s="1">
        <v>1.6017106667861799E-5</v>
      </c>
    </row>
    <row r="39887" spans="1:6" x14ac:dyDescent="0.25">
      <c r="A39887" s="2" t="str">
        <f t="shared" si="1284"/>
        <v>99999</v>
      </c>
      <c r="B39887" s="2" t="str">
        <f>"24813"</f>
        <v>24813</v>
      </c>
      <c r="C39887" s="1">
        <v>0</v>
      </c>
      <c r="D39887" s="1">
        <v>1.51760267340886E-6</v>
      </c>
      <c r="E39887" s="1">
        <v>0</v>
      </c>
      <c r="F39887" s="1">
        <v>9.9485134582992598E-8</v>
      </c>
    </row>
    <row r="39888" spans="1:6" x14ac:dyDescent="0.25">
      <c r="A39888" s="2" t="str">
        <f t="shared" si="1284"/>
        <v>99999</v>
      </c>
      <c r="B39888" s="2" t="str">
        <f>"24836"</f>
        <v>24836</v>
      </c>
      <c r="C39888" s="1">
        <v>0</v>
      </c>
      <c r="D39888" s="1">
        <v>1.51760267340886E-6</v>
      </c>
      <c r="E39888" s="1">
        <v>0</v>
      </c>
      <c r="F39888" s="1">
        <v>9.9485134582992598E-8</v>
      </c>
    </row>
    <row r="39889" spans="1:6" x14ac:dyDescent="0.25">
      <c r="A39889" s="2" t="str">
        <f t="shared" si="1284"/>
        <v>99999</v>
      </c>
      <c r="B39889" s="2" t="str">
        <f>"24834"</f>
        <v>24834</v>
      </c>
      <c r="C39889" s="1">
        <v>0</v>
      </c>
      <c r="D39889" s="1">
        <v>1.51760267340886E-6</v>
      </c>
      <c r="E39889" s="1">
        <v>0</v>
      </c>
      <c r="F39889" s="1">
        <v>9.9485134582992598E-8</v>
      </c>
    </row>
    <row r="39890" spans="1:6" x14ac:dyDescent="0.25">
      <c r="A39890" s="2" t="str">
        <f t="shared" ref="A39890:A39953" si="1285">"99999"</f>
        <v>99999</v>
      </c>
      <c r="B39890" s="2" t="str">
        <f>"24849"</f>
        <v>24849</v>
      </c>
      <c r="C39890" s="1">
        <v>9.8224343965063504E-7</v>
      </c>
      <c r="D39890" s="1">
        <v>0</v>
      </c>
      <c r="E39890" s="1">
        <v>4.3455399550671099E-6</v>
      </c>
      <c r="F39890" s="1">
        <v>9.9485134582992606E-7</v>
      </c>
    </row>
    <row r="39891" spans="1:6" x14ac:dyDescent="0.25">
      <c r="A39891" s="2" t="str">
        <f t="shared" si="1285"/>
        <v>99999</v>
      </c>
      <c r="B39891" s="2" t="str">
        <f>"24831"</f>
        <v>24831</v>
      </c>
      <c r="C39891" s="1">
        <v>7.4213948773603504E-6</v>
      </c>
      <c r="D39891" s="1">
        <v>1.51760267340886E-6</v>
      </c>
      <c r="E39891" s="1">
        <v>0</v>
      </c>
      <c r="F39891" s="1">
        <v>6.86447428622649E-6</v>
      </c>
    </row>
    <row r="39892" spans="1:6" x14ac:dyDescent="0.25">
      <c r="A39892" s="2" t="str">
        <f t="shared" si="1285"/>
        <v>99999</v>
      </c>
      <c r="B39892" s="2" t="str">
        <f>"24898"</f>
        <v>24898</v>
      </c>
      <c r="C39892" s="1">
        <v>1.6370723994177199E-6</v>
      </c>
      <c r="D39892" s="1">
        <v>1.51760267340886E-6</v>
      </c>
      <c r="E39892" s="1">
        <v>0</v>
      </c>
      <c r="F39892" s="1">
        <v>1.5917621533278801E-6</v>
      </c>
    </row>
    <row r="39893" spans="1:6" x14ac:dyDescent="0.25">
      <c r="A39893" s="2" t="str">
        <f t="shared" si="1285"/>
        <v>99999</v>
      </c>
      <c r="B39893" s="2" t="str">
        <f>"24862"</f>
        <v>24862</v>
      </c>
      <c r="C39893" s="1">
        <v>3.3287138788160402E-5</v>
      </c>
      <c r="D39893" s="1">
        <v>6.0704106936354696E-6</v>
      </c>
      <c r="E39893" s="1">
        <v>4.3455399550671099E-6</v>
      </c>
      <c r="F39893" s="1">
        <v>3.0840391720727703E-5</v>
      </c>
    </row>
    <row r="39894" spans="1:6" x14ac:dyDescent="0.25">
      <c r="A39894" s="2" t="str">
        <f t="shared" si="1285"/>
        <v>99999</v>
      </c>
      <c r="B39894" s="2" t="str">
        <f>"24924"</f>
        <v>24924</v>
      </c>
      <c r="C39894" s="1">
        <v>3.00129939893249E-5</v>
      </c>
      <c r="D39894" s="1">
        <v>3.9457669508630602E-5</v>
      </c>
      <c r="E39894" s="1">
        <v>0</v>
      </c>
      <c r="F39894" s="1">
        <v>2.9945025509480699E-5</v>
      </c>
    </row>
    <row r="39895" spans="1:6" x14ac:dyDescent="0.25">
      <c r="A39895" s="2" t="str">
        <f t="shared" si="1285"/>
        <v>99999</v>
      </c>
      <c r="B39895" s="2" t="str">
        <f>"24901"</f>
        <v>24901</v>
      </c>
      <c r="C39895" s="1">
        <v>6.6301432176417896E-4</v>
      </c>
      <c r="D39895" s="1">
        <v>1.0911563221809701E-3</v>
      </c>
      <c r="E39895" s="1">
        <v>1.02120188944077E-3</v>
      </c>
      <c r="F39895" s="1">
        <v>6.9928101098385505E-4</v>
      </c>
    </row>
    <row r="39896" spans="1:6" x14ac:dyDescent="0.25">
      <c r="A39896" s="2" t="str">
        <f t="shared" si="1285"/>
        <v>99999</v>
      </c>
      <c r="B39896" s="2" t="str">
        <f>"24872"</f>
        <v>24872</v>
      </c>
      <c r="C39896" s="1">
        <v>5.23863167813672E-5</v>
      </c>
      <c r="D39896" s="1">
        <v>3.0352053468177301E-6</v>
      </c>
      <c r="E39896" s="1">
        <v>0</v>
      </c>
      <c r="F39896" s="1">
        <v>4.7951834869002397E-5</v>
      </c>
    </row>
    <row r="39897" spans="1:6" x14ac:dyDescent="0.25">
      <c r="A39897" s="2" t="str">
        <f t="shared" si="1285"/>
        <v>99999</v>
      </c>
      <c r="B39897" s="2" t="str">
        <f>"24828"</f>
        <v>24828</v>
      </c>
      <c r="C39897" s="1">
        <v>3.2523171668432101E-5</v>
      </c>
      <c r="D39897" s="1">
        <v>3.0352053468177301E-6</v>
      </c>
      <c r="E39897" s="1">
        <v>0</v>
      </c>
      <c r="F39897" s="1">
        <v>2.9845540374897701E-5</v>
      </c>
    </row>
    <row r="39898" spans="1:6" x14ac:dyDescent="0.25">
      <c r="A39898" s="2" t="str">
        <f t="shared" si="1285"/>
        <v>99999</v>
      </c>
      <c r="B39898" s="2" t="str">
        <f>"24801"</f>
        <v>24801</v>
      </c>
      <c r="C39898" s="1">
        <v>2.5778433382831102E-4</v>
      </c>
      <c r="D39898" s="1">
        <v>4.7197443143015799E-4</v>
      </c>
      <c r="E39898" s="1">
        <v>2.4769577743882499E-4</v>
      </c>
      <c r="F39898" s="1">
        <v>2.7159441741156902E-4</v>
      </c>
    </row>
    <row r="39899" spans="1:6" x14ac:dyDescent="0.25">
      <c r="A39899" s="2" t="str">
        <f t="shared" si="1285"/>
        <v>99999</v>
      </c>
      <c r="B39899" s="2" t="str">
        <f>"24569"</f>
        <v>24569</v>
      </c>
      <c r="C39899" s="1">
        <v>9.2767435967004401E-6</v>
      </c>
      <c r="D39899" s="1">
        <v>1.51760267340886E-6</v>
      </c>
      <c r="E39899" s="1">
        <v>0</v>
      </c>
      <c r="F39899" s="1">
        <v>8.5557215741373606E-6</v>
      </c>
    </row>
    <row r="39900" spans="1:6" x14ac:dyDescent="0.25">
      <c r="A39900" s="2" t="str">
        <f t="shared" si="1285"/>
        <v>99999</v>
      </c>
      <c r="B39900" s="2" t="str">
        <f>"24589"</f>
        <v>24589</v>
      </c>
      <c r="C39900" s="1">
        <v>1.2212560099656201E-4</v>
      </c>
      <c r="D39900" s="1">
        <v>6.2221709609763595E-5</v>
      </c>
      <c r="E39900" s="1">
        <v>3.0418779685469802E-5</v>
      </c>
      <c r="F39900" s="1">
        <v>1.1609915205835199E-4</v>
      </c>
    </row>
    <row r="39901" spans="1:6" x14ac:dyDescent="0.25">
      <c r="A39901" s="2" t="str">
        <f t="shared" si="1285"/>
        <v>99999</v>
      </c>
      <c r="B39901" s="2" t="str">
        <f>"24627"</f>
        <v>24627</v>
      </c>
      <c r="C39901" s="1">
        <v>0</v>
      </c>
      <c r="D39901" s="1">
        <v>1.51760267340886E-6</v>
      </c>
      <c r="E39901" s="1">
        <v>0</v>
      </c>
      <c r="F39901" s="1">
        <v>9.9485134582992598E-8</v>
      </c>
    </row>
    <row r="39902" spans="1:6" x14ac:dyDescent="0.25">
      <c r="A39902" s="2" t="str">
        <f t="shared" si="1285"/>
        <v>99999</v>
      </c>
      <c r="B39902" s="2" t="str">
        <f>"24624"</f>
        <v>24624</v>
      </c>
      <c r="C39902" s="1">
        <v>0</v>
      </c>
      <c r="D39902" s="1">
        <v>1.51760267340886E-6</v>
      </c>
      <c r="E39902" s="1">
        <v>0</v>
      </c>
      <c r="F39902" s="1">
        <v>9.9485134582992598E-8</v>
      </c>
    </row>
    <row r="39903" spans="1:6" x14ac:dyDescent="0.25">
      <c r="A39903" s="2" t="str">
        <f t="shared" si="1285"/>
        <v>99999</v>
      </c>
      <c r="B39903" s="2" t="str">
        <f>"24457"</f>
        <v>24457</v>
      </c>
      <c r="C39903" s="1">
        <v>2.1827631992236301E-7</v>
      </c>
      <c r="D39903" s="1">
        <v>0</v>
      </c>
      <c r="E39903" s="1">
        <v>4.3455399550671099E-6</v>
      </c>
      <c r="F39903" s="1">
        <v>2.9845540374897701E-7</v>
      </c>
    </row>
    <row r="39904" spans="1:6" x14ac:dyDescent="0.25">
      <c r="A39904" s="2" t="str">
        <f t="shared" si="1285"/>
        <v>99999</v>
      </c>
      <c r="B39904" s="2" t="str">
        <f>"24487"</f>
        <v>24487</v>
      </c>
      <c r="C39904" s="1">
        <v>3.1540928228781503E-5</v>
      </c>
      <c r="D39904" s="1">
        <v>1.5176026734088599E-5</v>
      </c>
      <c r="E39904" s="1">
        <v>0</v>
      </c>
      <c r="F39904" s="1">
        <v>2.9746055240314699E-5</v>
      </c>
    </row>
    <row r="39905" spans="1:6" x14ac:dyDescent="0.25">
      <c r="A39905" s="2" t="str">
        <f t="shared" si="1285"/>
        <v>99999</v>
      </c>
      <c r="B39905" s="2" t="str">
        <f>"24458"</f>
        <v>24458</v>
      </c>
      <c r="C39905" s="1">
        <v>2.4992638631110601E-5</v>
      </c>
      <c r="D39905" s="1">
        <v>2.1246437427724101E-5</v>
      </c>
      <c r="E39905" s="1">
        <v>0</v>
      </c>
      <c r="F39905" s="1">
        <v>2.4174887703667199E-5</v>
      </c>
    </row>
    <row r="39906" spans="1:6" x14ac:dyDescent="0.25">
      <c r="A39906" s="2" t="str">
        <f t="shared" si="1285"/>
        <v>99999</v>
      </c>
      <c r="B39906" s="2" t="str">
        <f>"24553"</f>
        <v>24553</v>
      </c>
      <c r="C39906" s="1">
        <v>2.4010395191459901E-5</v>
      </c>
      <c r="D39906" s="1">
        <v>1.9728834754315301E-5</v>
      </c>
      <c r="E39906" s="1">
        <v>0</v>
      </c>
      <c r="F39906" s="1">
        <v>2.31800363578372E-5</v>
      </c>
    </row>
    <row r="39907" spans="1:6" x14ac:dyDescent="0.25">
      <c r="A39907" s="2" t="str">
        <f t="shared" si="1285"/>
        <v>99999</v>
      </c>
      <c r="B39907" s="2" t="str">
        <f>"24445"</f>
        <v>24445</v>
      </c>
      <c r="C39907" s="1">
        <v>1.3860546315070001E-4</v>
      </c>
      <c r="D39907" s="1">
        <v>8.1950544364078906E-5</v>
      </c>
      <c r="E39907" s="1">
        <v>9.1256339056409395E-5</v>
      </c>
      <c r="F39907" s="1">
        <v>1.33807506014125E-4</v>
      </c>
    </row>
    <row r="39908" spans="1:6" x14ac:dyDescent="0.25">
      <c r="A39908" s="2" t="str">
        <f t="shared" si="1285"/>
        <v>99999</v>
      </c>
      <c r="B39908" s="2" t="str">
        <f>"24348"</f>
        <v>24348</v>
      </c>
      <c r="C39908" s="1">
        <v>2.2602512927960699E-4</v>
      </c>
      <c r="D39908" s="1">
        <v>1.36584240606798E-4</v>
      </c>
      <c r="E39908" s="1">
        <v>1.9554929797801999E-4</v>
      </c>
      <c r="F39908" s="1">
        <v>2.1946420689008099E-4</v>
      </c>
    </row>
    <row r="39909" spans="1:6" x14ac:dyDescent="0.25">
      <c r="A39909" s="2" t="str">
        <f t="shared" si="1285"/>
        <v>99999</v>
      </c>
      <c r="B39909" s="2" t="str">
        <f>"24282"</f>
        <v>24282</v>
      </c>
      <c r="C39909" s="1">
        <v>2.4774362311188199E-5</v>
      </c>
      <c r="D39909" s="1">
        <v>4.5528080202265997E-6</v>
      </c>
      <c r="E39909" s="1">
        <v>0</v>
      </c>
      <c r="F39909" s="1">
        <v>2.28815809540883E-5</v>
      </c>
    </row>
    <row r="39910" spans="1:6" x14ac:dyDescent="0.25">
      <c r="A39910" s="2" t="str">
        <f t="shared" si="1285"/>
        <v>99999</v>
      </c>
      <c r="B39910" s="2" t="str">
        <f>"24292"</f>
        <v>24292</v>
      </c>
      <c r="C39910" s="1">
        <v>3.5797316467267603E-5</v>
      </c>
      <c r="D39910" s="1">
        <v>2.4281642774541899E-5</v>
      </c>
      <c r="E39910" s="1">
        <v>0</v>
      </c>
      <c r="F39910" s="1">
        <v>3.4222886296549402E-5</v>
      </c>
    </row>
    <row r="39911" spans="1:6" x14ac:dyDescent="0.25">
      <c r="A39911" s="2" t="str">
        <f t="shared" si="1285"/>
        <v>99999</v>
      </c>
      <c r="B39911" s="2" t="str">
        <f>"24316"</f>
        <v>24316</v>
      </c>
      <c r="C39911" s="1">
        <v>5.4569079980590801E-7</v>
      </c>
      <c r="D39911" s="1">
        <v>1.51760267340886E-6</v>
      </c>
      <c r="E39911" s="1">
        <v>4.3455399550671099E-6</v>
      </c>
      <c r="F39911" s="1">
        <v>6.9639594208094799E-7</v>
      </c>
    </row>
    <row r="39912" spans="1:6" x14ac:dyDescent="0.25">
      <c r="A39912" s="2" t="str">
        <f t="shared" si="1285"/>
        <v>99999</v>
      </c>
      <c r="B39912" s="2" t="str">
        <f>"24324"</f>
        <v>24324</v>
      </c>
      <c r="C39912" s="1">
        <v>1.7025552953944301E-5</v>
      </c>
      <c r="D39912" s="1">
        <v>6.0704106936354696E-6</v>
      </c>
      <c r="E39912" s="1">
        <v>0</v>
      </c>
      <c r="F39912" s="1">
        <v>1.59176215332788E-5</v>
      </c>
    </row>
    <row r="39913" spans="1:6" x14ac:dyDescent="0.25">
      <c r="A39913" s="2" t="str">
        <f t="shared" si="1285"/>
        <v>99999</v>
      </c>
      <c r="B39913" s="2" t="str">
        <f>"24318"</f>
        <v>24318</v>
      </c>
      <c r="C39913" s="1">
        <v>1.54976187144878E-5</v>
      </c>
      <c r="D39913" s="1">
        <v>3.0352053468177301E-6</v>
      </c>
      <c r="E39913" s="1">
        <v>0</v>
      </c>
      <c r="F39913" s="1">
        <v>1.43258593799509E-5</v>
      </c>
    </row>
    <row r="39914" spans="1:6" x14ac:dyDescent="0.25">
      <c r="A39914" s="2" t="str">
        <f t="shared" si="1285"/>
        <v>99999</v>
      </c>
      <c r="B39914" s="2" t="str">
        <f>"24319"</f>
        <v>24319</v>
      </c>
      <c r="C39914" s="1">
        <v>5.4121613524750001E-4</v>
      </c>
      <c r="D39914" s="1">
        <v>3.3842539617017701E-4</v>
      </c>
      <c r="E39914" s="1">
        <v>1.7816713815775099E-4</v>
      </c>
      <c r="F39914" s="1">
        <v>5.1961085792697002E-4</v>
      </c>
    </row>
    <row r="39915" spans="1:6" x14ac:dyDescent="0.25">
      <c r="A39915" s="2" t="str">
        <f t="shared" si="1285"/>
        <v>99999</v>
      </c>
      <c r="B39915" s="2" t="str">
        <f>"24317"</f>
        <v>24317</v>
      </c>
      <c r="C39915" s="1">
        <v>2.10200096085236E-4</v>
      </c>
      <c r="D39915" s="1">
        <v>1.3810184328020699E-4</v>
      </c>
      <c r="E39915" s="1">
        <v>2.1727699775335501E-5</v>
      </c>
      <c r="F39915" s="1">
        <v>2.01158942126811E-4</v>
      </c>
    </row>
    <row r="39916" spans="1:6" x14ac:dyDescent="0.25">
      <c r="A39916" s="2" t="str">
        <f t="shared" si="1285"/>
        <v>99999</v>
      </c>
      <c r="B39916" s="2" t="str">
        <f>"24236"</f>
        <v>24236</v>
      </c>
      <c r="C39916" s="1">
        <v>4.8020790382919898E-6</v>
      </c>
      <c r="D39916" s="1">
        <v>1.51760267340886E-6</v>
      </c>
      <c r="E39916" s="1">
        <v>0</v>
      </c>
      <c r="F39916" s="1">
        <v>4.4768310562346604E-6</v>
      </c>
    </row>
    <row r="39917" spans="1:6" x14ac:dyDescent="0.25">
      <c r="A39917" s="2" t="str">
        <f t="shared" si="1285"/>
        <v>99999</v>
      </c>
      <c r="B39917" s="2" t="str">
        <f>"24138"</f>
        <v>24138</v>
      </c>
      <c r="C39917" s="1">
        <v>3.4815073027616897E-5</v>
      </c>
      <c r="D39917" s="1">
        <v>7.5880133670443404E-6</v>
      </c>
      <c r="E39917" s="1">
        <v>0</v>
      </c>
      <c r="F39917" s="1">
        <v>3.2233183604889601E-5</v>
      </c>
    </row>
    <row r="39918" spans="1:6" x14ac:dyDescent="0.25">
      <c r="A39918" s="2" t="str">
        <f t="shared" si="1285"/>
        <v>99999</v>
      </c>
      <c r="B39918" s="2" t="str">
        <f>"23909"</f>
        <v>23909</v>
      </c>
      <c r="C39918" s="1">
        <v>1.09138159961181E-7</v>
      </c>
      <c r="D39918" s="1">
        <v>0</v>
      </c>
      <c r="E39918" s="1">
        <v>0</v>
      </c>
      <c r="F39918" s="1">
        <v>9.9485134582992598E-8</v>
      </c>
    </row>
    <row r="39919" spans="1:6" x14ac:dyDescent="0.25">
      <c r="A39919" s="2" t="str">
        <f t="shared" si="1285"/>
        <v>99999</v>
      </c>
      <c r="B39919" s="2" t="str">
        <f>"23930"</f>
        <v>23930</v>
      </c>
      <c r="C39919" s="1">
        <v>2.9500044637507402E-4</v>
      </c>
      <c r="D39919" s="1">
        <v>2.9441491864132003E-4</v>
      </c>
      <c r="E39919" s="1">
        <v>9.5601879011476503E-5</v>
      </c>
      <c r="F39919" s="1">
        <v>2.90397107847755E-4</v>
      </c>
    </row>
    <row r="39920" spans="1:6" x14ac:dyDescent="0.25">
      <c r="A39920" s="2" t="str">
        <f t="shared" si="1285"/>
        <v>99999</v>
      </c>
      <c r="B39920" s="2" t="str">
        <f>"24088"</f>
        <v>24088</v>
      </c>
      <c r="C39920" s="1">
        <v>1.34239936752253E-5</v>
      </c>
      <c r="D39920" s="1">
        <v>6.0704106936354696E-6</v>
      </c>
      <c r="E39920" s="1">
        <v>0</v>
      </c>
      <c r="F39920" s="1">
        <v>1.263461209204E-5</v>
      </c>
    </row>
    <row r="39921" spans="1:6" x14ac:dyDescent="0.25">
      <c r="A39921" s="2" t="str">
        <f t="shared" si="1285"/>
        <v>99999</v>
      </c>
      <c r="B39921" s="2" t="str">
        <f>"23888"</f>
        <v>23888</v>
      </c>
      <c r="C39921" s="1">
        <v>1.3205717355302901E-5</v>
      </c>
      <c r="D39921" s="1">
        <v>1.51760267340886E-6</v>
      </c>
      <c r="E39921" s="1">
        <v>0</v>
      </c>
      <c r="F39921" s="1">
        <v>1.21371864191251E-5</v>
      </c>
    </row>
    <row r="39922" spans="1:6" x14ac:dyDescent="0.25">
      <c r="A39922" s="2" t="str">
        <f t="shared" si="1285"/>
        <v>99999</v>
      </c>
      <c r="B39922" s="2" t="str">
        <f>"23883"</f>
        <v>23883</v>
      </c>
      <c r="C39922" s="1">
        <v>1.57704641143907E-4</v>
      </c>
      <c r="D39922" s="1">
        <v>1.82112320809064E-4</v>
      </c>
      <c r="E39922" s="1">
        <v>3.47643196405369E-5</v>
      </c>
      <c r="F39922" s="1">
        <v>1.5649011669904701E-4</v>
      </c>
    </row>
    <row r="39923" spans="1:6" x14ac:dyDescent="0.25">
      <c r="A39923" s="2" t="str">
        <f t="shared" si="1285"/>
        <v>99999</v>
      </c>
      <c r="B39923" s="2" t="str">
        <f>"23441"</f>
        <v>23441</v>
      </c>
      <c r="C39923" s="1">
        <v>0</v>
      </c>
      <c r="D39923" s="1">
        <v>1.51760267340886E-6</v>
      </c>
      <c r="E39923" s="1">
        <v>0</v>
      </c>
      <c r="F39923" s="1">
        <v>9.9485134582992598E-8</v>
      </c>
    </row>
    <row r="39924" spans="1:6" x14ac:dyDescent="0.25">
      <c r="A39924" s="2" t="str">
        <f t="shared" si="1285"/>
        <v>99999</v>
      </c>
      <c r="B39924" s="2" t="str">
        <f>"23443"</f>
        <v>23443</v>
      </c>
      <c r="C39924" s="1">
        <v>0</v>
      </c>
      <c r="D39924" s="1">
        <v>1.51760267340886E-6</v>
      </c>
      <c r="E39924" s="1">
        <v>0</v>
      </c>
      <c r="F39924" s="1">
        <v>9.9485134582992598E-8</v>
      </c>
    </row>
    <row r="39925" spans="1:6" x14ac:dyDescent="0.25">
      <c r="A39925" s="2" t="str">
        <f t="shared" si="1285"/>
        <v>99999</v>
      </c>
      <c r="B39925" s="2" t="str">
        <f>"23442"</f>
        <v>23442</v>
      </c>
      <c r="C39925" s="1">
        <v>5.3368560221017798E-5</v>
      </c>
      <c r="D39925" s="1">
        <v>2.4281642774541899E-5</v>
      </c>
      <c r="E39925" s="1">
        <v>0</v>
      </c>
      <c r="F39925" s="1">
        <v>5.02399929644112E-5</v>
      </c>
    </row>
    <row r="39926" spans="1:6" x14ac:dyDescent="0.25">
      <c r="A39926" s="2" t="str">
        <f t="shared" si="1285"/>
        <v>99999</v>
      </c>
      <c r="B39926" s="2" t="str">
        <f>"23398"</f>
        <v>23398</v>
      </c>
      <c r="C39926" s="1">
        <v>0</v>
      </c>
      <c r="D39926" s="1">
        <v>1.51760267340886E-6</v>
      </c>
      <c r="E39926" s="1">
        <v>0</v>
      </c>
      <c r="F39926" s="1">
        <v>9.9485134582992598E-8</v>
      </c>
    </row>
    <row r="39927" spans="1:6" x14ac:dyDescent="0.25">
      <c r="A39927" s="2" t="str">
        <f t="shared" si="1285"/>
        <v>99999</v>
      </c>
      <c r="B39927" s="2" t="str">
        <f>"23395"</f>
        <v>23395</v>
      </c>
      <c r="C39927" s="1">
        <v>4.8020790382919898E-6</v>
      </c>
      <c r="D39927" s="1">
        <v>1.51760267340886E-6</v>
      </c>
      <c r="E39927" s="1">
        <v>0</v>
      </c>
      <c r="F39927" s="1">
        <v>4.4768310562346604E-6</v>
      </c>
    </row>
    <row r="39928" spans="1:6" x14ac:dyDescent="0.25">
      <c r="A39928" s="2" t="str">
        <f t="shared" si="1285"/>
        <v>99999</v>
      </c>
      <c r="B39928" s="2" t="str">
        <f>"23421"</f>
        <v>23421</v>
      </c>
      <c r="C39928" s="1">
        <v>1.21579910196756E-4</v>
      </c>
      <c r="D39928" s="1">
        <v>5.0080888222492601E-5</v>
      </c>
      <c r="E39928" s="1">
        <v>8.69107991013423E-6</v>
      </c>
      <c r="F39928" s="1">
        <v>1.1430841963585799E-4</v>
      </c>
    </row>
    <row r="39929" spans="1:6" x14ac:dyDescent="0.25">
      <c r="A39929" s="2" t="str">
        <f t="shared" si="1285"/>
        <v>99999</v>
      </c>
      <c r="B39929" s="2" t="str">
        <f>"23415"</f>
        <v>23415</v>
      </c>
      <c r="C39929" s="1">
        <v>9.4513646526383301E-5</v>
      </c>
      <c r="D39929" s="1">
        <v>8.043294169067E-5</v>
      </c>
      <c r="E39929" s="1">
        <v>0</v>
      </c>
      <c r="F39929" s="1">
        <v>9.1426838681770206E-5</v>
      </c>
    </row>
    <row r="39930" spans="1:6" x14ac:dyDescent="0.25">
      <c r="A39930" s="2" t="str">
        <f t="shared" si="1285"/>
        <v>99999</v>
      </c>
      <c r="B39930" s="2" t="str">
        <f>"23410"</f>
        <v>23410</v>
      </c>
      <c r="C39930" s="1">
        <v>7.9016027811895504E-5</v>
      </c>
      <c r="D39930" s="1">
        <v>4.7045682875674899E-5</v>
      </c>
      <c r="E39930" s="1">
        <v>8.69107991013423E-6</v>
      </c>
      <c r="F39930" s="1">
        <v>7.5310246879325396E-5</v>
      </c>
    </row>
    <row r="39931" spans="1:6" x14ac:dyDescent="0.25">
      <c r="A39931" s="2" t="str">
        <f t="shared" si="1285"/>
        <v>99999</v>
      </c>
      <c r="B39931" s="2" t="str">
        <f>"23405"</f>
        <v>23405</v>
      </c>
      <c r="C39931" s="1">
        <v>5.0203553582143599E-5</v>
      </c>
      <c r="D39931" s="1">
        <v>1.5176026734088599E-5</v>
      </c>
      <c r="E39931" s="1">
        <v>8.69107991013423E-6</v>
      </c>
      <c r="F39931" s="1">
        <v>4.69569835231725E-5</v>
      </c>
    </row>
    <row r="39932" spans="1:6" x14ac:dyDescent="0.25">
      <c r="A39932" s="2" t="str">
        <f t="shared" si="1285"/>
        <v>99999</v>
      </c>
      <c r="B39932" s="2" t="str">
        <f>"23357"</f>
        <v>23357</v>
      </c>
      <c r="C39932" s="1">
        <v>2.8157645269984799E-5</v>
      </c>
      <c r="D39932" s="1">
        <v>6.0704106936354696E-6</v>
      </c>
      <c r="E39932" s="1">
        <v>0</v>
      </c>
      <c r="F39932" s="1">
        <v>2.6065105260744001E-5</v>
      </c>
    </row>
    <row r="39933" spans="1:6" x14ac:dyDescent="0.25">
      <c r="A39933" s="2" t="str">
        <f t="shared" si="1285"/>
        <v>99999</v>
      </c>
      <c r="B39933" s="2" t="str">
        <f>"23306"</f>
        <v>23306</v>
      </c>
      <c r="C39933" s="1">
        <v>2.9358165029557801E-5</v>
      </c>
      <c r="D39933" s="1">
        <v>6.0704106936354696E-6</v>
      </c>
      <c r="E39933" s="1">
        <v>0</v>
      </c>
      <c r="F39933" s="1">
        <v>2.71594417411569E-5</v>
      </c>
    </row>
    <row r="39934" spans="1:6" x14ac:dyDescent="0.25">
      <c r="A39934" s="2" t="str">
        <f t="shared" si="1285"/>
        <v>99999</v>
      </c>
      <c r="B39934" s="2" t="str">
        <f>"23148"</f>
        <v>23148</v>
      </c>
      <c r="C39934" s="1">
        <v>7.5305330373215401E-6</v>
      </c>
      <c r="D39934" s="1">
        <v>0</v>
      </c>
      <c r="E39934" s="1">
        <v>0</v>
      </c>
      <c r="F39934" s="1">
        <v>6.86447428622649E-6</v>
      </c>
    </row>
    <row r="39935" spans="1:6" x14ac:dyDescent="0.25">
      <c r="A39935" s="2" t="str">
        <f t="shared" si="1285"/>
        <v>99999</v>
      </c>
      <c r="B39935" s="2" t="str">
        <f>"22824"</f>
        <v>22824</v>
      </c>
      <c r="C39935" s="1">
        <v>3.06023400531153E-4</v>
      </c>
      <c r="D39935" s="1">
        <v>1.9880595021656101E-4</v>
      </c>
      <c r="E39935" s="1">
        <v>1.39057278562147E-4</v>
      </c>
      <c r="F39935" s="1">
        <v>2.9517239430773898E-4</v>
      </c>
    </row>
    <row r="39936" spans="1:6" x14ac:dyDescent="0.25">
      <c r="A39936" s="2" t="str">
        <f t="shared" si="1285"/>
        <v>99999</v>
      </c>
      <c r="B39936" s="2" t="str">
        <f>"23102"</f>
        <v>23102</v>
      </c>
      <c r="C39936" s="1">
        <v>1.1896059435768801E-5</v>
      </c>
      <c r="D39936" s="1">
        <v>0</v>
      </c>
      <c r="E39936" s="1">
        <v>0</v>
      </c>
      <c r="F39936" s="1">
        <v>1.0843879669546099E-5</v>
      </c>
    </row>
    <row r="39937" spans="1:6" x14ac:dyDescent="0.25">
      <c r="A39937" s="2" t="str">
        <f t="shared" si="1285"/>
        <v>99999</v>
      </c>
      <c r="B39937" s="2" t="str">
        <f>"23092"</f>
        <v>23092</v>
      </c>
      <c r="C39937" s="1">
        <v>2.02996977527798E-5</v>
      </c>
      <c r="D39937" s="1">
        <v>2.1246437427724101E-5</v>
      </c>
      <c r="E39937" s="1">
        <v>4.3455399550671099E-6</v>
      </c>
      <c r="F39937" s="1">
        <v>1.9996512051181498E-5</v>
      </c>
    </row>
    <row r="39938" spans="1:6" x14ac:dyDescent="0.25">
      <c r="A39938" s="2" t="str">
        <f t="shared" si="1285"/>
        <v>99999</v>
      </c>
      <c r="B39938" s="2" t="str">
        <f>"22652"</f>
        <v>22652</v>
      </c>
      <c r="C39938" s="1">
        <v>8.1526205491002705E-5</v>
      </c>
      <c r="D39938" s="1">
        <v>9.1056160404532095E-6</v>
      </c>
      <c r="E39938" s="1">
        <v>1.3036619865201299E-5</v>
      </c>
      <c r="F39938" s="1">
        <v>7.5210761744742404E-5</v>
      </c>
    </row>
    <row r="39939" spans="1:6" x14ac:dyDescent="0.25">
      <c r="A39939" s="2" t="str">
        <f t="shared" si="1285"/>
        <v>99999</v>
      </c>
      <c r="B39939" s="2" t="str">
        <f>"22528"</f>
        <v>22528</v>
      </c>
      <c r="C39939" s="1">
        <v>0</v>
      </c>
      <c r="D39939" s="1">
        <v>0</v>
      </c>
      <c r="E39939" s="1">
        <v>4.3455399550671099E-6</v>
      </c>
      <c r="F39939" s="1">
        <v>9.9485134582992598E-8</v>
      </c>
    </row>
    <row r="39940" spans="1:6" x14ac:dyDescent="0.25">
      <c r="A39940" s="2" t="str">
        <f t="shared" si="1285"/>
        <v>99999</v>
      </c>
      <c r="B39940" s="2" t="str">
        <f>"22507"</f>
        <v>22507</v>
      </c>
      <c r="C39940" s="1">
        <v>0</v>
      </c>
      <c r="D39940" s="1">
        <v>0</v>
      </c>
      <c r="E39940" s="1">
        <v>4.3455399550671099E-6</v>
      </c>
      <c r="F39940" s="1">
        <v>9.9485134582992598E-8</v>
      </c>
    </row>
    <row r="39941" spans="1:6" x14ac:dyDescent="0.25">
      <c r="A39941" s="2" t="str">
        <f t="shared" si="1285"/>
        <v>99999</v>
      </c>
      <c r="B39941" s="2" t="str">
        <f>"22539"</f>
        <v>22539</v>
      </c>
      <c r="C39941" s="1">
        <v>1.6567172682107299E-4</v>
      </c>
      <c r="D39941" s="1">
        <v>5.9186504262945899E-5</v>
      </c>
      <c r="E39941" s="1">
        <v>1.3036619865201299E-5</v>
      </c>
      <c r="F39941" s="1">
        <v>1.5519680994946801E-4</v>
      </c>
    </row>
    <row r="39942" spans="1:6" x14ac:dyDescent="0.25">
      <c r="A39942" s="2" t="str">
        <f t="shared" si="1285"/>
        <v>99999</v>
      </c>
      <c r="B39942" s="2" t="str">
        <f>"22578"</f>
        <v>22578</v>
      </c>
      <c r="C39942" s="1">
        <v>1.61851891222432E-4</v>
      </c>
      <c r="D39942" s="1">
        <v>8.4985749710896595E-5</v>
      </c>
      <c r="E39942" s="1">
        <v>4.7800939505738197E-5</v>
      </c>
      <c r="F39942" s="1">
        <v>1.5420195860363801E-4</v>
      </c>
    </row>
    <row r="39943" spans="1:6" x14ac:dyDescent="0.25">
      <c r="A39943" s="2" t="str">
        <f t="shared" si="1285"/>
        <v>99999</v>
      </c>
      <c r="B39943" s="2" t="str">
        <f>"22451"</f>
        <v>22451</v>
      </c>
      <c r="C39943" s="1">
        <v>0</v>
      </c>
      <c r="D39943" s="1">
        <v>0</v>
      </c>
      <c r="E39943" s="1">
        <v>4.3455399550671099E-6</v>
      </c>
      <c r="F39943" s="1">
        <v>9.9485134582992598E-8</v>
      </c>
    </row>
    <row r="39944" spans="1:6" x14ac:dyDescent="0.25">
      <c r="A39944" s="2" t="str">
        <f t="shared" si="1285"/>
        <v>99999</v>
      </c>
      <c r="B39944" s="2" t="str">
        <f>"22433"</f>
        <v>22433</v>
      </c>
      <c r="C39944" s="1">
        <v>9.71329623654517E-6</v>
      </c>
      <c r="D39944" s="1">
        <v>6.0704106936354696E-6</v>
      </c>
      <c r="E39944" s="1">
        <v>0</v>
      </c>
      <c r="F39944" s="1">
        <v>9.2521175162183095E-6</v>
      </c>
    </row>
    <row r="39945" spans="1:6" x14ac:dyDescent="0.25">
      <c r="A39945" s="2" t="str">
        <f t="shared" si="1285"/>
        <v>99999</v>
      </c>
      <c r="B39945" s="2" t="str">
        <f>"22482"</f>
        <v>22482</v>
      </c>
      <c r="C39945" s="1">
        <v>1.59341713543325E-4</v>
      </c>
      <c r="D39945" s="1">
        <v>2.5192204378587197E-4</v>
      </c>
      <c r="E39945" s="1">
        <v>1.6513051829255E-4</v>
      </c>
      <c r="F39945" s="1">
        <v>1.6554326394609901E-4</v>
      </c>
    </row>
    <row r="39946" spans="1:6" x14ac:dyDescent="0.25">
      <c r="A39946" s="2" t="str">
        <f t="shared" si="1285"/>
        <v>99999</v>
      </c>
      <c r="B39946" s="2" t="str">
        <f>"22473"</f>
        <v>22473</v>
      </c>
      <c r="C39946" s="1">
        <v>3.3068862468237998E-4</v>
      </c>
      <c r="D39946" s="1">
        <v>7.1327325650216798E-5</v>
      </c>
      <c r="E39946" s="1">
        <v>3.9109859595604001E-5</v>
      </c>
      <c r="F39946" s="1">
        <v>3.07011125323115E-4</v>
      </c>
    </row>
    <row r="39947" spans="1:6" x14ac:dyDescent="0.25">
      <c r="A39947" s="2" t="str">
        <f t="shared" si="1285"/>
        <v>99999</v>
      </c>
      <c r="B39947" s="2" t="str">
        <f>"21678"</f>
        <v>21678</v>
      </c>
      <c r="C39947" s="1">
        <v>1.18305765397921E-4</v>
      </c>
      <c r="D39947" s="1">
        <v>3.0352053468177301E-5</v>
      </c>
      <c r="E39947" s="1">
        <v>1.7382159820268399E-5</v>
      </c>
      <c r="F39947" s="1">
        <v>1.1022952911795499E-4</v>
      </c>
    </row>
    <row r="39948" spans="1:6" x14ac:dyDescent="0.25">
      <c r="A39948" s="2" t="str">
        <f t="shared" si="1285"/>
        <v>99999</v>
      </c>
      <c r="B39948" s="2" t="str">
        <f>"21661"</f>
        <v>21661</v>
      </c>
      <c r="C39948" s="1">
        <v>1.78440891536532E-4</v>
      </c>
      <c r="D39948" s="1">
        <v>1.15337803179074E-4</v>
      </c>
      <c r="E39948" s="1">
        <v>1.0429295892161E-4</v>
      </c>
      <c r="F39948" s="1">
        <v>1.7260670850149199E-4</v>
      </c>
    </row>
    <row r="39949" spans="1:6" x14ac:dyDescent="0.25">
      <c r="A39949" s="2" t="str">
        <f t="shared" si="1285"/>
        <v>99999</v>
      </c>
      <c r="B39949" s="2" t="str">
        <f>"21651"</f>
        <v>21651</v>
      </c>
      <c r="C39949" s="1">
        <v>7.1922047414418698E-5</v>
      </c>
      <c r="D39949" s="1">
        <v>4.5528080202266E-5</v>
      </c>
      <c r="E39949" s="1">
        <v>2.60732397304027E-5</v>
      </c>
      <c r="F39949" s="1">
        <v>6.91421685351798E-5</v>
      </c>
    </row>
    <row r="39950" spans="1:6" x14ac:dyDescent="0.25">
      <c r="A39950" s="2" t="str">
        <f t="shared" si="1285"/>
        <v>99999</v>
      </c>
      <c r="B39950" s="2" t="str">
        <f>"21640"</f>
        <v>21640</v>
      </c>
      <c r="C39950" s="1">
        <v>6.7993073655816199E-5</v>
      </c>
      <c r="D39950" s="1">
        <v>1.0623218713862E-5</v>
      </c>
      <c r="E39950" s="1">
        <v>3.47643196405369E-5</v>
      </c>
      <c r="F39950" s="1">
        <v>6.3471515863949298E-5</v>
      </c>
    </row>
    <row r="39951" spans="1:6" x14ac:dyDescent="0.25">
      <c r="A39951" s="2" t="str">
        <f t="shared" si="1285"/>
        <v>99999</v>
      </c>
      <c r="B39951" s="2" t="str">
        <f>"21639"</f>
        <v>21639</v>
      </c>
      <c r="C39951" s="1">
        <v>2.1030923424519699E-4</v>
      </c>
      <c r="D39951" s="1">
        <v>6.0704106936354703E-5</v>
      </c>
      <c r="E39951" s="1">
        <v>1.2602065869694599E-4</v>
      </c>
      <c r="F39951" s="1">
        <v>1.98572328627653E-4</v>
      </c>
    </row>
    <row r="39952" spans="1:6" x14ac:dyDescent="0.25">
      <c r="A39952" s="2" t="str">
        <f t="shared" si="1285"/>
        <v>99999</v>
      </c>
      <c r="B39952" s="2" t="str">
        <f>"21635"</f>
        <v>21635</v>
      </c>
      <c r="C39952" s="1">
        <v>1.0248073220354899E-4</v>
      </c>
      <c r="D39952" s="1">
        <v>7.8915339017261203E-5</v>
      </c>
      <c r="E39952" s="1">
        <v>2.1727699775335501E-5</v>
      </c>
      <c r="F39952" s="1">
        <v>9.9087194044660597E-5</v>
      </c>
    </row>
    <row r="39953" spans="1:6" x14ac:dyDescent="0.25">
      <c r="A39953" s="2" t="str">
        <f t="shared" si="1285"/>
        <v>99999</v>
      </c>
      <c r="B39953" s="2" t="str">
        <f>"21629"</f>
        <v>21629</v>
      </c>
      <c r="C39953" s="1">
        <v>4.4288265312247501E-4</v>
      </c>
      <c r="D39953" s="1">
        <v>7.0872044848194204E-4</v>
      </c>
      <c r="E39953" s="1">
        <v>6.9963193276580495E-4</v>
      </c>
      <c r="F39953" s="1">
        <v>4.6618734065590302E-4</v>
      </c>
    </row>
    <row r="39954" spans="1:6" x14ac:dyDescent="0.25">
      <c r="A39954" s="2" t="str">
        <f t="shared" ref="A39954:A40017" si="1286">"99999"</f>
        <v>99999</v>
      </c>
      <c r="B39954" s="2" t="str">
        <f>"21536"</f>
        <v>21536</v>
      </c>
      <c r="C39954" s="1">
        <v>1.9754006952973799E-4</v>
      </c>
      <c r="D39954" s="1">
        <v>1.6541869140156601E-4</v>
      </c>
      <c r="E39954" s="1">
        <v>1.4340281851721399E-4</v>
      </c>
      <c r="F39954" s="1">
        <v>1.9419498270600101E-4</v>
      </c>
    </row>
    <row r="39955" spans="1:6" x14ac:dyDescent="0.25">
      <c r="A39955" s="2" t="str">
        <f t="shared" si="1286"/>
        <v>99999</v>
      </c>
      <c r="B39955" s="2" t="str">
        <f>"21531"</f>
        <v>21531</v>
      </c>
      <c r="C39955" s="1">
        <v>1.30420101153612E-4</v>
      </c>
      <c r="D39955" s="1">
        <v>6.0704106936354703E-5</v>
      </c>
      <c r="E39955" s="1">
        <v>3.9109859595604001E-5</v>
      </c>
      <c r="F39955" s="1">
        <v>1.2375950742124199E-4</v>
      </c>
    </row>
    <row r="39956" spans="1:6" x14ac:dyDescent="0.25">
      <c r="A39956" s="2" t="str">
        <f t="shared" si="1286"/>
        <v>99999</v>
      </c>
      <c r="B39956" s="2" t="str">
        <f>"49868"</f>
        <v>49868</v>
      </c>
      <c r="C39956" s="1">
        <v>2.7775661710120698E-4</v>
      </c>
      <c r="D39956" s="1">
        <v>4.3858717261516299E-4</v>
      </c>
      <c r="E39956" s="1">
        <v>1.82512678112818E-4</v>
      </c>
      <c r="F39956" s="1">
        <v>2.8611924706068603E-4</v>
      </c>
    </row>
    <row r="39957" spans="1:6" x14ac:dyDescent="0.25">
      <c r="A39957" s="2" t="str">
        <f t="shared" si="1286"/>
        <v>99999</v>
      </c>
      <c r="B39957" s="2" t="str">
        <f>"49862"</f>
        <v>49862</v>
      </c>
      <c r="C39957" s="1">
        <v>2.3966739927475499E-4</v>
      </c>
      <c r="D39957" s="1">
        <v>3.5967183359790202E-4</v>
      </c>
      <c r="E39957" s="1">
        <v>3.7806197609083903E-4</v>
      </c>
      <c r="F39957" s="1">
        <v>2.5070253914914102E-4</v>
      </c>
    </row>
    <row r="39958" spans="1:6" x14ac:dyDescent="0.25">
      <c r="A39958" s="2" t="str">
        <f t="shared" si="1286"/>
        <v>99999</v>
      </c>
      <c r="B39958" s="2" t="str">
        <f>"49796"</f>
        <v>49796</v>
      </c>
      <c r="C39958" s="1">
        <v>4.0381119185637197E-6</v>
      </c>
      <c r="D39958" s="1">
        <v>1.51760267340886E-6</v>
      </c>
      <c r="E39958" s="1">
        <v>0</v>
      </c>
      <c r="F39958" s="1">
        <v>3.7804351141537199E-6</v>
      </c>
    </row>
    <row r="39959" spans="1:6" x14ac:dyDescent="0.25">
      <c r="A39959" s="2" t="str">
        <f t="shared" si="1286"/>
        <v>99999</v>
      </c>
      <c r="B39959" s="2" t="str">
        <f>"49839"</f>
        <v>49839</v>
      </c>
      <c r="C39959" s="1">
        <v>1.04772633562734E-5</v>
      </c>
      <c r="D39959" s="1">
        <v>1.51760267340886E-6</v>
      </c>
      <c r="E39959" s="1">
        <v>4.3455399550671099E-6</v>
      </c>
      <c r="F39959" s="1">
        <v>9.7495431891332699E-6</v>
      </c>
    </row>
    <row r="39960" spans="1:6" x14ac:dyDescent="0.25">
      <c r="A39960" s="2" t="str">
        <f t="shared" si="1286"/>
        <v>99999</v>
      </c>
      <c r="B39960" s="2" t="str">
        <f>"49827"</f>
        <v>49827</v>
      </c>
      <c r="C39960" s="1">
        <v>6.2317889337834705E-5</v>
      </c>
      <c r="D39960" s="1">
        <v>1.0623218713862E-5</v>
      </c>
      <c r="E39960" s="1">
        <v>1.17329578786812E-4</v>
      </c>
      <c r="F39960" s="1">
        <v>6.0188506422710503E-5</v>
      </c>
    </row>
    <row r="39961" spans="1:6" x14ac:dyDescent="0.25">
      <c r="A39961" s="2" t="str">
        <f t="shared" si="1286"/>
        <v>99999</v>
      </c>
      <c r="B39961" s="2" t="str">
        <f>"49825"</f>
        <v>49825</v>
      </c>
      <c r="C39961" s="1">
        <v>1.0804677836156901E-5</v>
      </c>
      <c r="D39961" s="1">
        <v>0</v>
      </c>
      <c r="E39961" s="1">
        <v>4.3455399550671099E-6</v>
      </c>
      <c r="F39961" s="1">
        <v>9.9485134582992602E-6</v>
      </c>
    </row>
    <row r="39962" spans="1:6" x14ac:dyDescent="0.25">
      <c r="A39962" s="2" t="str">
        <f t="shared" si="1286"/>
        <v>99999</v>
      </c>
      <c r="B39962" s="2" t="str">
        <f>"49952"</f>
        <v>49952</v>
      </c>
      <c r="C39962" s="1">
        <v>1.09138159961181E-7</v>
      </c>
      <c r="D39962" s="1">
        <v>0</v>
      </c>
      <c r="E39962" s="1">
        <v>0</v>
      </c>
      <c r="F39962" s="1">
        <v>9.9485134582992598E-8</v>
      </c>
    </row>
    <row r="39963" spans="1:6" x14ac:dyDescent="0.25">
      <c r="A39963" s="2" t="str">
        <f t="shared" si="1286"/>
        <v>99999</v>
      </c>
      <c r="B39963" s="2" t="str">
        <f>"49958"</f>
        <v>49958</v>
      </c>
      <c r="C39963" s="1">
        <v>3.20866190285874E-5</v>
      </c>
      <c r="D39963" s="1">
        <v>1.21408213872709E-5</v>
      </c>
      <c r="E39963" s="1">
        <v>4.3455399550671099E-6</v>
      </c>
      <c r="F39963" s="1">
        <v>3.01439957786467E-5</v>
      </c>
    </row>
    <row r="39964" spans="1:6" x14ac:dyDescent="0.25">
      <c r="A39964" s="2" t="str">
        <f t="shared" si="1286"/>
        <v>99999</v>
      </c>
      <c r="B39964" s="2" t="str">
        <f>"49762"</f>
        <v>49762</v>
      </c>
      <c r="C39964" s="1">
        <v>4.6820270623346902E-5</v>
      </c>
      <c r="D39964" s="1">
        <v>6.0704106936354696E-6</v>
      </c>
      <c r="E39964" s="1">
        <v>0</v>
      </c>
      <c r="F39964" s="1">
        <v>4.3077063274435802E-5</v>
      </c>
    </row>
    <row r="39965" spans="1:6" x14ac:dyDescent="0.25">
      <c r="A39965" s="2" t="str">
        <f t="shared" si="1286"/>
        <v>99999</v>
      </c>
      <c r="B39965" s="2" t="str">
        <f>"49776"</f>
        <v>49776</v>
      </c>
      <c r="C39965" s="1">
        <v>9.1676054367392595E-5</v>
      </c>
      <c r="D39965" s="1">
        <v>7.4362530997034595E-5</v>
      </c>
      <c r="E39965" s="1">
        <v>6.0837559370939603E-5</v>
      </c>
      <c r="F39965" s="1">
        <v>8.9835076528442298E-5</v>
      </c>
    </row>
    <row r="39966" spans="1:6" x14ac:dyDescent="0.25">
      <c r="A39966" s="2" t="str">
        <f t="shared" si="1286"/>
        <v>99999</v>
      </c>
      <c r="B39966" s="2" t="str">
        <f>"49770"</f>
        <v>49770</v>
      </c>
      <c r="C39966" s="1">
        <v>1.1768367788614199E-3</v>
      </c>
      <c r="D39966" s="1">
        <v>2.5192204378587202E-3</v>
      </c>
      <c r="E39966" s="1">
        <v>2.4291568348825099E-3</v>
      </c>
      <c r="F39966" s="1">
        <v>1.29350571984807E-3</v>
      </c>
    </row>
    <row r="39967" spans="1:6" x14ac:dyDescent="0.25">
      <c r="A39967" s="2" t="str">
        <f t="shared" si="1286"/>
        <v>99999</v>
      </c>
      <c r="B39967" s="2" t="str">
        <f>"49925"</f>
        <v>49925</v>
      </c>
      <c r="C39967" s="1">
        <v>6.9302731575350397E-5</v>
      </c>
      <c r="D39967" s="1">
        <v>2.1246437427724101E-5</v>
      </c>
      <c r="E39967" s="1">
        <v>3.0418779685469802E-5</v>
      </c>
      <c r="F39967" s="1">
        <v>6.5262248286443095E-5</v>
      </c>
    </row>
    <row r="39968" spans="1:6" x14ac:dyDescent="0.25">
      <c r="A39968" s="2" t="str">
        <f t="shared" si="1286"/>
        <v>99999</v>
      </c>
      <c r="B39968" s="2" t="str">
        <f>"49902"</f>
        <v>49902</v>
      </c>
      <c r="C39968" s="1">
        <v>1.06955396761958E-5</v>
      </c>
      <c r="D39968" s="1">
        <v>1.51760267340886E-6</v>
      </c>
      <c r="E39968" s="1">
        <v>1.3036619865201299E-5</v>
      </c>
      <c r="F39968" s="1">
        <v>1.01474837274652E-5</v>
      </c>
    </row>
    <row r="39969" spans="1:6" x14ac:dyDescent="0.25">
      <c r="A39969" s="2" t="str">
        <f t="shared" si="1286"/>
        <v>99999</v>
      </c>
      <c r="B39969" s="2" t="str">
        <f>"49723"</f>
        <v>49723</v>
      </c>
      <c r="C39969" s="1">
        <v>0</v>
      </c>
      <c r="D39969" s="1">
        <v>1.51760267340886E-6</v>
      </c>
      <c r="E39969" s="1">
        <v>0</v>
      </c>
      <c r="F39969" s="1">
        <v>9.9485134582992598E-8</v>
      </c>
    </row>
    <row r="39970" spans="1:6" x14ac:dyDescent="0.25">
      <c r="A39970" s="2" t="str">
        <f t="shared" si="1286"/>
        <v>99999</v>
      </c>
      <c r="B39970" s="2" t="str">
        <f>"49718"</f>
        <v>49718</v>
      </c>
      <c r="C39970" s="1">
        <v>5.6860981339775603E-5</v>
      </c>
      <c r="D39970" s="1">
        <v>4.2492874855448297E-5</v>
      </c>
      <c r="E39970" s="1">
        <v>0</v>
      </c>
      <c r="F39970" s="1">
        <v>5.4617338886062898E-5</v>
      </c>
    </row>
    <row r="39971" spans="1:6" x14ac:dyDescent="0.25">
      <c r="A39971" s="2" t="str">
        <f t="shared" si="1286"/>
        <v>99999</v>
      </c>
      <c r="B39971" s="2" t="str">
        <f>"49743"</f>
        <v>49743</v>
      </c>
      <c r="C39971" s="1">
        <v>6.4064099897213604E-5</v>
      </c>
      <c r="D39971" s="1">
        <v>1.5176026734088599E-5</v>
      </c>
      <c r="E39971" s="1">
        <v>0</v>
      </c>
      <c r="F39971" s="1">
        <v>5.9392625346046603E-5</v>
      </c>
    </row>
    <row r="39972" spans="1:6" x14ac:dyDescent="0.25">
      <c r="A39972" s="2" t="str">
        <f t="shared" si="1286"/>
        <v>99999</v>
      </c>
      <c r="B39972" s="2" t="str">
        <f>"49740"</f>
        <v>49740</v>
      </c>
      <c r="C39972" s="1">
        <v>7.1692857278500197E-4</v>
      </c>
      <c r="D39972" s="1">
        <v>9.9099454573599094E-4</v>
      </c>
      <c r="E39972" s="1">
        <v>7.12668552631007E-4</v>
      </c>
      <c r="F39972" s="1">
        <v>7.3479720402998305E-4</v>
      </c>
    </row>
    <row r="39973" spans="1:6" x14ac:dyDescent="0.25">
      <c r="A39973" s="2" t="str">
        <f t="shared" si="1286"/>
        <v>99999</v>
      </c>
      <c r="B39973" s="2" t="str">
        <f>"49733"</f>
        <v>49733</v>
      </c>
      <c r="C39973" s="1">
        <v>1.2496319315555301E-4</v>
      </c>
      <c r="D39973" s="1">
        <v>5.9186504262945899E-5</v>
      </c>
      <c r="E39973" s="1">
        <v>3.0418779685469802E-5</v>
      </c>
      <c r="F39973" s="1">
        <v>1.18486795288344E-4</v>
      </c>
    </row>
    <row r="39974" spans="1:6" x14ac:dyDescent="0.25">
      <c r="A39974" s="2" t="str">
        <f t="shared" si="1286"/>
        <v>99999</v>
      </c>
      <c r="B39974" s="2" t="str">
        <f>"49727"</f>
        <v>49727</v>
      </c>
      <c r="C39974" s="1">
        <v>4.4277351496251402E-4</v>
      </c>
      <c r="D39974" s="1">
        <v>9.1056160404532095E-5</v>
      </c>
      <c r="E39974" s="1">
        <v>1.7816713815775099E-4</v>
      </c>
      <c r="F39974" s="1">
        <v>4.1365918959608301E-4</v>
      </c>
    </row>
    <row r="39975" spans="1:6" x14ac:dyDescent="0.25">
      <c r="A39975" s="2" t="str">
        <f t="shared" si="1286"/>
        <v>99999</v>
      </c>
      <c r="B39975" s="2" t="str">
        <f>"49716"</f>
        <v>49716</v>
      </c>
      <c r="C39975" s="1">
        <v>6.8538764455622095E-5</v>
      </c>
      <c r="D39975" s="1">
        <v>2.4281642774541899E-5</v>
      </c>
      <c r="E39975" s="1">
        <v>1.3036619865201299E-5</v>
      </c>
      <c r="F39975" s="1">
        <v>6.4366882075196196E-5</v>
      </c>
    </row>
    <row r="39976" spans="1:6" x14ac:dyDescent="0.25">
      <c r="A39976" s="2" t="str">
        <f t="shared" si="1286"/>
        <v>99999</v>
      </c>
      <c r="B39976" s="2" t="str">
        <f>"49656"</f>
        <v>49656</v>
      </c>
      <c r="C39976" s="1">
        <v>1.09138159961181E-4</v>
      </c>
      <c r="D39976" s="1">
        <v>1.8211232080906399E-5</v>
      </c>
      <c r="E39976" s="1">
        <v>4.3455399550671099E-6</v>
      </c>
      <c r="F39976" s="1">
        <v>1.00778441332571E-4</v>
      </c>
    </row>
    <row r="39977" spans="1:6" x14ac:dyDescent="0.25">
      <c r="A39977" s="2" t="str">
        <f t="shared" si="1286"/>
        <v>99999</v>
      </c>
      <c r="B39977" s="2" t="str">
        <f>"49665"</f>
        <v>49665</v>
      </c>
      <c r="C39977" s="1">
        <v>2.2307839896065499E-4</v>
      </c>
      <c r="D39977" s="1">
        <v>7.1327325650216798E-5</v>
      </c>
      <c r="E39977" s="1">
        <v>2.60732397304027E-5</v>
      </c>
      <c r="F39977" s="1">
        <v>2.08620327220535E-4</v>
      </c>
    </row>
    <row r="39978" spans="1:6" x14ac:dyDescent="0.25">
      <c r="A39978" s="2" t="str">
        <f t="shared" si="1286"/>
        <v>99999</v>
      </c>
      <c r="B39978" s="2" t="str">
        <f>"49626"</f>
        <v>49626</v>
      </c>
      <c r="C39978" s="1">
        <v>1.6370723994177199E-6</v>
      </c>
      <c r="D39978" s="1">
        <v>1.51760267340886E-6</v>
      </c>
      <c r="E39978" s="1">
        <v>0</v>
      </c>
      <c r="F39978" s="1">
        <v>1.5917621533278801E-6</v>
      </c>
    </row>
    <row r="39979" spans="1:6" x14ac:dyDescent="0.25">
      <c r="A39979" s="2" t="str">
        <f t="shared" si="1286"/>
        <v>99999</v>
      </c>
      <c r="B39979" s="2" t="str">
        <f>"49613"</f>
        <v>49613</v>
      </c>
      <c r="C39979" s="1">
        <v>5.8607191899154502E-5</v>
      </c>
      <c r="D39979" s="1">
        <v>1.3658424060679801E-5</v>
      </c>
      <c r="E39979" s="1">
        <v>0</v>
      </c>
      <c r="F39979" s="1">
        <v>5.4318883482313902E-5</v>
      </c>
    </row>
    <row r="39980" spans="1:6" x14ac:dyDescent="0.25">
      <c r="A39980" s="2" t="str">
        <f t="shared" si="1286"/>
        <v>99999</v>
      </c>
      <c r="B39980" s="2" t="str">
        <f>"49449"</f>
        <v>49449</v>
      </c>
      <c r="C39980" s="1">
        <v>1.72220016418744E-4</v>
      </c>
      <c r="D39980" s="1">
        <v>4.7045682875674899E-5</v>
      </c>
      <c r="E39980" s="1">
        <v>5.21464794608054E-5</v>
      </c>
      <c r="F39980" s="1">
        <v>1.6126540315903099E-4</v>
      </c>
    </row>
    <row r="39981" spans="1:6" x14ac:dyDescent="0.25">
      <c r="A39981" s="2" t="str">
        <f t="shared" si="1286"/>
        <v>99999</v>
      </c>
      <c r="B39981" s="2" t="str">
        <f>"49329"</f>
        <v>49329</v>
      </c>
      <c r="C39981" s="1">
        <v>6.1117369578261703E-5</v>
      </c>
      <c r="D39981" s="1">
        <v>9.1056160404532095E-6</v>
      </c>
      <c r="E39981" s="1">
        <v>0</v>
      </c>
      <c r="F39981" s="1">
        <v>5.6308586173973798E-5</v>
      </c>
    </row>
    <row r="39982" spans="1:6" x14ac:dyDescent="0.25">
      <c r="A39982" s="2" t="str">
        <f t="shared" si="1286"/>
        <v>99999</v>
      </c>
      <c r="B39982" s="2" t="str">
        <f>"49412"</f>
        <v>49412</v>
      </c>
      <c r="C39982" s="1">
        <v>5.7603120827511695E-4</v>
      </c>
      <c r="D39982" s="1">
        <v>8.1495263562056202E-4</v>
      </c>
      <c r="E39982" s="1">
        <v>6.1272113366446295E-4</v>
      </c>
      <c r="F39982" s="1">
        <v>5.9253346157630399E-4</v>
      </c>
    </row>
    <row r="39983" spans="1:6" x14ac:dyDescent="0.25">
      <c r="A39983" s="2" t="str">
        <f t="shared" si="1286"/>
        <v>99999</v>
      </c>
      <c r="B39983" s="2" t="str">
        <f>"49402"</f>
        <v>49402</v>
      </c>
      <c r="C39983" s="1">
        <v>4.0381119185637202E-5</v>
      </c>
      <c r="D39983" s="1">
        <v>1.5176026734088599E-5</v>
      </c>
      <c r="E39983" s="1">
        <v>4.3455399550671099E-6</v>
      </c>
      <c r="F39983" s="1">
        <v>3.7903836276120103E-5</v>
      </c>
    </row>
    <row r="39984" spans="1:6" x14ac:dyDescent="0.25">
      <c r="A39984" s="2" t="str">
        <f t="shared" si="1286"/>
        <v>99999</v>
      </c>
      <c r="B39984" s="2" t="str">
        <f>"49343"</f>
        <v>49343</v>
      </c>
      <c r="C39984" s="1">
        <v>8.3708968690226305E-5</v>
      </c>
      <c r="D39984" s="1">
        <v>9.1056160404532095E-6</v>
      </c>
      <c r="E39984" s="1">
        <v>0</v>
      </c>
      <c r="F39984" s="1">
        <v>7.6902009032653304E-5</v>
      </c>
    </row>
    <row r="39985" spans="1:6" x14ac:dyDescent="0.25">
      <c r="A39985" s="2" t="str">
        <f t="shared" si="1286"/>
        <v>99999</v>
      </c>
      <c r="B39985" s="2" t="str">
        <f>"49344"</f>
        <v>49344</v>
      </c>
      <c r="C39985" s="1">
        <v>9.8006067645141194E-5</v>
      </c>
      <c r="D39985" s="1">
        <v>4.0975272182039399E-5</v>
      </c>
      <c r="E39985" s="1">
        <v>5.21464794608054E-5</v>
      </c>
      <c r="F39985" s="1">
        <v>9.3217571104264098E-5</v>
      </c>
    </row>
    <row r="39986" spans="1:6" x14ac:dyDescent="0.25">
      <c r="A39986" s="2" t="str">
        <f t="shared" si="1286"/>
        <v>99999</v>
      </c>
      <c r="B39986" s="2" t="str">
        <f>"49349"</f>
        <v>49349</v>
      </c>
      <c r="C39986" s="1">
        <v>4.6274579823540998E-4</v>
      </c>
      <c r="D39986" s="1">
        <v>1.6845389674838401E-4</v>
      </c>
      <c r="E39986" s="1">
        <v>1.08638498876677E-4</v>
      </c>
      <c r="F39986" s="1">
        <v>4.3534694893517499E-4</v>
      </c>
    </row>
    <row r="39987" spans="1:6" x14ac:dyDescent="0.25">
      <c r="A39987" s="2" t="str">
        <f t="shared" si="1286"/>
        <v>99999</v>
      </c>
      <c r="B39987" s="2" t="str">
        <f>"49038"</f>
        <v>49038</v>
      </c>
      <c r="C39987" s="1">
        <v>2.2919013591848101E-5</v>
      </c>
      <c r="D39987" s="1">
        <v>3.0352053468177301E-6</v>
      </c>
      <c r="E39987" s="1">
        <v>8.69107991013423E-6</v>
      </c>
      <c r="F39987" s="1">
        <v>2.1289818800760401E-5</v>
      </c>
    </row>
    <row r="39988" spans="1:6" x14ac:dyDescent="0.25">
      <c r="A39988" s="2" t="str">
        <f t="shared" si="1286"/>
        <v>99999</v>
      </c>
      <c r="B39988" s="2" t="str">
        <f>"49021"</f>
        <v>49021</v>
      </c>
      <c r="C39988" s="1">
        <v>9.5932442605878694E-5</v>
      </c>
      <c r="D39988" s="1">
        <v>6.0704106936354696E-6</v>
      </c>
      <c r="E39988" s="1">
        <v>1.7382159820268399E-5</v>
      </c>
      <c r="F39988" s="1">
        <v>8.8243314375114403E-5</v>
      </c>
    </row>
    <row r="39989" spans="1:6" x14ac:dyDescent="0.25">
      <c r="A39989" s="2" t="str">
        <f t="shared" si="1286"/>
        <v>99999</v>
      </c>
      <c r="B39989" s="2" t="str">
        <f>"49080"</f>
        <v>49080</v>
      </c>
      <c r="C39989" s="1">
        <v>1.4515375274837101E-4</v>
      </c>
      <c r="D39989" s="1">
        <v>3.0352053468177301E-5</v>
      </c>
      <c r="E39989" s="1">
        <v>3.47643196405369E-5</v>
      </c>
      <c r="F39989" s="1">
        <v>1.35100812763704E-4</v>
      </c>
    </row>
    <row r="39990" spans="1:6" x14ac:dyDescent="0.25">
      <c r="A39990" s="2" t="str">
        <f t="shared" si="1286"/>
        <v>99999</v>
      </c>
      <c r="B39990" s="2" t="str">
        <f>"49013"</f>
        <v>49013</v>
      </c>
      <c r="C39990" s="1">
        <v>2.87797327817636E-4</v>
      </c>
      <c r="D39990" s="1">
        <v>2.48886838439054E-4</v>
      </c>
      <c r="E39990" s="1">
        <v>1.9989483793308701E-4</v>
      </c>
      <c r="F39990" s="1">
        <v>2.8323417815778002E-4</v>
      </c>
    </row>
    <row r="39991" spans="1:6" x14ac:dyDescent="0.25">
      <c r="A39991" s="2" t="str">
        <f t="shared" si="1286"/>
        <v>99999</v>
      </c>
      <c r="B39991" s="2" t="str">
        <f>"48748"</f>
        <v>48748</v>
      </c>
      <c r="C39991" s="1">
        <v>1.6818190450018099E-4</v>
      </c>
      <c r="D39991" s="1">
        <v>4.0975272182039399E-5</v>
      </c>
      <c r="E39991" s="1">
        <v>0</v>
      </c>
      <c r="F39991" s="1">
        <v>1.5599269102613199E-4</v>
      </c>
    </row>
    <row r="39992" spans="1:6" x14ac:dyDescent="0.25">
      <c r="A39992" s="2" t="str">
        <f t="shared" si="1286"/>
        <v>99999</v>
      </c>
      <c r="B39992" s="2" t="str">
        <f>"48730"</f>
        <v>48730</v>
      </c>
      <c r="C39992" s="1">
        <v>3.7085146754809502E-4</v>
      </c>
      <c r="D39992" s="1">
        <v>4.4010477528857198E-4</v>
      </c>
      <c r="E39992" s="1">
        <v>3.6502535622563698E-4</v>
      </c>
      <c r="F39992" s="1">
        <v>3.7525792764704798E-4</v>
      </c>
    </row>
    <row r="39993" spans="1:6" x14ac:dyDescent="0.25">
      <c r="A39993" s="2" t="str">
        <f t="shared" si="1286"/>
        <v>99999</v>
      </c>
      <c r="B39993" s="2" t="str">
        <f>"48723"</f>
        <v>48723</v>
      </c>
      <c r="C39993" s="1">
        <v>6.3125511721547501E-4</v>
      </c>
      <c r="D39993" s="1">
        <v>8.3771667572169503E-4</v>
      </c>
      <c r="E39993" s="1">
        <v>7.3439625240634204E-4</v>
      </c>
      <c r="F39993" s="1">
        <v>6.4715080046236705E-4</v>
      </c>
    </row>
    <row r="39994" spans="1:6" x14ac:dyDescent="0.25">
      <c r="A39994" s="2" t="str">
        <f t="shared" si="1286"/>
        <v>99999</v>
      </c>
      <c r="B39994" s="2" t="str">
        <f>"48475"</f>
        <v>48475</v>
      </c>
      <c r="C39994" s="1">
        <v>1.3489476571202001E-4</v>
      </c>
      <c r="D39994" s="1">
        <v>8.8020955057714406E-5</v>
      </c>
      <c r="E39994" s="1">
        <v>7.3874179236140894E-5</v>
      </c>
      <c r="F39994" s="1">
        <v>1.3042501143830301E-4</v>
      </c>
    </row>
    <row r="39995" spans="1:6" x14ac:dyDescent="0.25">
      <c r="A39995" s="2" t="str">
        <f t="shared" si="1286"/>
        <v>99999</v>
      </c>
      <c r="B39995" s="2" t="str">
        <f>"48466"</f>
        <v>48466</v>
      </c>
      <c r="C39995" s="1">
        <v>7.48687777333706E-5</v>
      </c>
      <c r="D39995" s="1">
        <v>4.4010477528857203E-5</v>
      </c>
      <c r="E39995" s="1">
        <v>6.9528639281073799E-5</v>
      </c>
      <c r="F39995" s="1">
        <v>7.2723633380167597E-5</v>
      </c>
    </row>
    <row r="39996" spans="1:6" x14ac:dyDescent="0.25">
      <c r="A39996" s="2" t="str">
        <f t="shared" si="1286"/>
        <v>99999</v>
      </c>
      <c r="B39996" s="2" t="str">
        <f>"48465"</f>
        <v>48465</v>
      </c>
      <c r="C39996" s="1">
        <v>4.3873540304395E-5</v>
      </c>
      <c r="D39996" s="1">
        <v>3.0352053468177301E-6</v>
      </c>
      <c r="E39996" s="1">
        <v>1.7382159820268399E-5</v>
      </c>
      <c r="F39996" s="1">
        <v>4.05899349098609E-5</v>
      </c>
    </row>
    <row r="39997" spans="1:6" x14ac:dyDescent="0.25">
      <c r="A39997" s="2" t="str">
        <f t="shared" si="1286"/>
        <v>99999</v>
      </c>
      <c r="B39997" s="2" t="str">
        <f>"48658"</f>
        <v>48658</v>
      </c>
      <c r="C39997" s="1">
        <v>2.9281768317585E-4</v>
      </c>
      <c r="D39997" s="1">
        <v>3.0352053468177303E-4</v>
      </c>
      <c r="E39997" s="1">
        <v>2.5204131739389198E-4</v>
      </c>
      <c r="F39997" s="1">
        <v>2.9258578080858098E-4</v>
      </c>
    </row>
    <row r="39998" spans="1:6" x14ac:dyDescent="0.25">
      <c r="A39998" s="2" t="str">
        <f t="shared" si="1286"/>
        <v>99999</v>
      </c>
      <c r="B39998" s="2" t="str">
        <f>"48432"</f>
        <v>48432</v>
      </c>
      <c r="C39998" s="1">
        <v>3.4924211187578099E-5</v>
      </c>
      <c r="D39998" s="1">
        <v>2.2764040101133E-5</v>
      </c>
      <c r="E39998" s="1">
        <v>4.3455399550671099E-6</v>
      </c>
      <c r="F39998" s="1">
        <v>3.3427005219885502E-5</v>
      </c>
    </row>
    <row r="39999" spans="1:6" x14ac:dyDescent="0.25">
      <c r="A39999" s="2" t="str">
        <f t="shared" si="1286"/>
        <v>99999</v>
      </c>
      <c r="B39999" s="2" t="str">
        <f>"48422"</f>
        <v>48422</v>
      </c>
      <c r="C39999" s="1">
        <v>3.2719620356362199E-4</v>
      </c>
      <c r="D39999" s="1">
        <v>2.6861567319336899E-4</v>
      </c>
      <c r="E39999" s="1">
        <v>3.1287887676483201E-4</v>
      </c>
      <c r="F39999" s="1">
        <v>3.2302823199097699E-4</v>
      </c>
    </row>
    <row r="40000" spans="1:6" x14ac:dyDescent="0.25">
      <c r="A40000" s="2" t="str">
        <f t="shared" si="1286"/>
        <v>99999</v>
      </c>
      <c r="B40000" s="2" t="str">
        <f>"48416"</f>
        <v>48416</v>
      </c>
      <c r="C40000" s="1">
        <v>1.4810048306732301E-4</v>
      </c>
      <c r="D40000" s="1">
        <v>6.6774517629990203E-5</v>
      </c>
      <c r="E40000" s="1">
        <v>1.9120375802295301E-4</v>
      </c>
      <c r="F40000" s="1">
        <v>1.4375601947242401E-4</v>
      </c>
    </row>
    <row r="40001" spans="1:6" x14ac:dyDescent="0.25">
      <c r="A40001" s="2" t="str">
        <f t="shared" si="1286"/>
        <v>99999</v>
      </c>
      <c r="B40001" s="2" t="str">
        <f>"47977"</f>
        <v>47977</v>
      </c>
      <c r="C40001" s="1">
        <v>9.8224343965063504E-7</v>
      </c>
      <c r="D40001" s="1">
        <v>1.51760267340886E-6</v>
      </c>
      <c r="E40001" s="1">
        <v>0</v>
      </c>
      <c r="F40001" s="1">
        <v>9.9485134582992606E-7</v>
      </c>
    </row>
    <row r="40002" spans="1:6" x14ac:dyDescent="0.25">
      <c r="A40002" s="2" t="str">
        <f t="shared" si="1286"/>
        <v>99999</v>
      </c>
      <c r="B40002" s="2" t="str">
        <f>"47725"</f>
        <v>47725</v>
      </c>
      <c r="C40002" s="1">
        <v>2.2919013591848099E-6</v>
      </c>
      <c r="D40002" s="1">
        <v>0</v>
      </c>
      <c r="E40002" s="1">
        <v>4.3455399550671099E-6</v>
      </c>
      <c r="F40002" s="1">
        <v>2.1886729608258301E-6</v>
      </c>
    </row>
    <row r="40003" spans="1:6" x14ac:dyDescent="0.25">
      <c r="A40003" s="2" t="str">
        <f t="shared" si="1286"/>
        <v>99999</v>
      </c>
      <c r="B40003" s="2" t="str">
        <f>"47958"</f>
        <v>47958</v>
      </c>
      <c r="C40003" s="1">
        <v>1.09138159961181E-5</v>
      </c>
      <c r="D40003" s="1">
        <v>7.5880133670443404E-6</v>
      </c>
      <c r="E40003" s="1">
        <v>4.3455399550671099E-6</v>
      </c>
      <c r="F40003" s="1">
        <v>1.05454242657972E-5</v>
      </c>
    </row>
    <row r="40004" spans="1:6" x14ac:dyDescent="0.25">
      <c r="A40004" s="2" t="str">
        <f t="shared" si="1286"/>
        <v>99999</v>
      </c>
      <c r="B40004" s="2" t="str">
        <f>"47920"</f>
        <v>47920</v>
      </c>
      <c r="C40004" s="1">
        <v>1.5606756874448901E-5</v>
      </c>
      <c r="D40004" s="1">
        <v>4.5528080202265997E-6</v>
      </c>
      <c r="E40004" s="1">
        <v>4.3455399550671099E-6</v>
      </c>
      <c r="F40004" s="1">
        <v>1.4624314783699901E-5</v>
      </c>
    </row>
    <row r="40005" spans="1:6" x14ac:dyDescent="0.25">
      <c r="A40005" s="2" t="str">
        <f t="shared" si="1286"/>
        <v>99999</v>
      </c>
      <c r="B40005" s="2" t="str">
        <f>"47950"</f>
        <v>47950</v>
      </c>
      <c r="C40005" s="1">
        <v>3.8416632306335898E-5</v>
      </c>
      <c r="D40005" s="1">
        <v>1.0623218713862E-5</v>
      </c>
      <c r="E40005" s="1">
        <v>1.3036619865201299E-5</v>
      </c>
      <c r="F40005" s="1">
        <v>3.60136187190433E-5</v>
      </c>
    </row>
    <row r="40006" spans="1:6" x14ac:dyDescent="0.25">
      <c r="A40006" s="2" t="str">
        <f t="shared" si="1286"/>
        <v>99999</v>
      </c>
      <c r="B40006" s="2" t="str">
        <f>"47923"</f>
        <v>47923</v>
      </c>
      <c r="C40006" s="1">
        <v>1.49519279146818E-4</v>
      </c>
      <c r="D40006" s="1">
        <v>5.6151298916128101E-5</v>
      </c>
      <c r="E40006" s="1">
        <v>1.0429295892161E-4</v>
      </c>
      <c r="F40006" s="1">
        <v>1.4236322758826199E-4</v>
      </c>
    </row>
    <row r="40007" spans="1:6" x14ac:dyDescent="0.25">
      <c r="A40007" s="2" t="str">
        <f t="shared" si="1286"/>
        <v>99999</v>
      </c>
      <c r="B40007" s="2" t="str">
        <f>"47918"</f>
        <v>47918</v>
      </c>
      <c r="C40007" s="1">
        <v>2.5963968254765098E-4</v>
      </c>
      <c r="D40007" s="1">
        <v>3.2173176676268E-4</v>
      </c>
      <c r="E40007" s="1">
        <v>3.86753056000973E-4</v>
      </c>
      <c r="F40007" s="1">
        <v>2.6662016068242003E-4</v>
      </c>
    </row>
    <row r="40008" spans="1:6" x14ac:dyDescent="0.25">
      <c r="A40008" s="2" t="str">
        <f t="shared" si="1286"/>
        <v>99999</v>
      </c>
      <c r="B40008" s="2" t="str">
        <f>"47552"</f>
        <v>47552</v>
      </c>
      <c r="C40008" s="1">
        <v>7.4213948773603504E-6</v>
      </c>
      <c r="D40008" s="1">
        <v>7.5880133670443404E-6</v>
      </c>
      <c r="E40008" s="1">
        <v>4.3455399550671099E-6</v>
      </c>
      <c r="F40008" s="1">
        <v>7.3618999591414504E-6</v>
      </c>
    </row>
    <row r="40009" spans="1:6" x14ac:dyDescent="0.25">
      <c r="A40009" s="2" t="str">
        <f t="shared" si="1286"/>
        <v>99999</v>
      </c>
      <c r="B40009" s="2" t="str">
        <f>"47465"</f>
        <v>47465</v>
      </c>
      <c r="C40009" s="1">
        <v>5.14040733417165E-5</v>
      </c>
      <c r="D40009" s="1">
        <v>8.043294169067E-5</v>
      </c>
      <c r="E40009" s="1">
        <v>2.60732397304027E-5</v>
      </c>
      <c r="F40009" s="1">
        <v>5.2727121328986E-5</v>
      </c>
    </row>
    <row r="40010" spans="1:6" x14ac:dyDescent="0.25">
      <c r="A40010" s="2" t="str">
        <f t="shared" si="1286"/>
        <v>99999</v>
      </c>
      <c r="B40010" s="2" t="str">
        <f>"47635"</f>
        <v>47635</v>
      </c>
      <c r="C40010" s="1">
        <v>2.7928455134066402E-4</v>
      </c>
      <c r="D40010" s="1">
        <v>4.3858717261516299E-4</v>
      </c>
      <c r="E40010" s="1">
        <v>3.0853333680976502E-4</v>
      </c>
      <c r="F40010" s="1">
        <v>2.90397107847755E-4</v>
      </c>
    </row>
    <row r="40011" spans="1:6" x14ac:dyDescent="0.25">
      <c r="A40011" s="2" t="str">
        <f t="shared" si="1286"/>
        <v>99999</v>
      </c>
      <c r="B40011" s="2" t="str">
        <f>"47654"</f>
        <v>47654</v>
      </c>
      <c r="C40011" s="1">
        <v>0</v>
      </c>
      <c r="D40011" s="1">
        <v>0</v>
      </c>
      <c r="E40011" s="1">
        <v>4.3455399550671099E-6</v>
      </c>
      <c r="F40011" s="1">
        <v>9.9485134582992598E-8</v>
      </c>
    </row>
    <row r="40012" spans="1:6" x14ac:dyDescent="0.25">
      <c r="A40012" s="2" t="str">
        <f t="shared" si="1286"/>
        <v>99999</v>
      </c>
      <c r="B40012" s="2" t="str">
        <f>"47665"</f>
        <v>47665</v>
      </c>
      <c r="C40012" s="1">
        <v>1.4624513434798299E-4</v>
      </c>
      <c r="D40012" s="1">
        <v>3.9457669508630602E-5</v>
      </c>
      <c r="E40012" s="1">
        <v>6.5183099326006705E-5</v>
      </c>
      <c r="F40012" s="1">
        <v>1.37388970859112E-4</v>
      </c>
    </row>
    <row r="40013" spans="1:6" x14ac:dyDescent="0.25">
      <c r="A40013" s="2" t="str">
        <f t="shared" si="1286"/>
        <v>99999</v>
      </c>
      <c r="B40013" s="2" t="str">
        <f>"47574"</f>
        <v>47574</v>
      </c>
      <c r="C40013" s="1">
        <v>1.9535730633051498E-5</v>
      </c>
      <c r="D40013" s="1">
        <v>1.51760267340886E-6</v>
      </c>
      <c r="E40013" s="1">
        <v>1.30366198652013E-4</v>
      </c>
      <c r="F40013" s="1">
        <v>2.08918782624284E-5</v>
      </c>
    </row>
    <row r="40014" spans="1:6" x14ac:dyDescent="0.25">
      <c r="A40014" s="2" t="str">
        <f t="shared" si="1286"/>
        <v>99999</v>
      </c>
      <c r="B40014" s="2" t="str">
        <f>"47577"</f>
        <v>47577</v>
      </c>
      <c r="C40014" s="1">
        <v>7.8361198852128398E-5</v>
      </c>
      <c r="D40014" s="1">
        <v>3.9457669508630602E-5</v>
      </c>
      <c r="E40014" s="1">
        <v>6.5183099326006705E-5</v>
      </c>
      <c r="F40014" s="1">
        <v>7.5509217148491406E-5</v>
      </c>
    </row>
    <row r="40015" spans="1:6" x14ac:dyDescent="0.25">
      <c r="A40015" s="2" t="str">
        <f t="shared" si="1286"/>
        <v>99999</v>
      </c>
      <c r="B40015" s="2" t="str">
        <f>"47250"</f>
        <v>47250</v>
      </c>
      <c r="C40015" s="1">
        <v>4.5510612703812697E-5</v>
      </c>
      <c r="D40015" s="1">
        <v>6.0704106936354696E-6</v>
      </c>
      <c r="E40015" s="1">
        <v>0</v>
      </c>
      <c r="F40015" s="1">
        <v>4.1883241659439901E-5</v>
      </c>
    </row>
    <row r="40016" spans="1:6" x14ac:dyDescent="0.25">
      <c r="A40016" s="2" t="str">
        <f t="shared" si="1286"/>
        <v>99999</v>
      </c>
      <c r="B40016" s="2" t="str">
        <f>"47373"</f>
        <v>47373</v>
      </c>
      <c r="C40016" s="1">
        <v>8.1089652851158004E-5</v>
      </c>
      <c r="D40016" s="1">
        <v>3.0352053468177301E-5</v>
      </c>
      <c r="E40016" s="1">
        <v>3.17224416719899E-4</v>
      </c>
      <c r="F40016" s="1">
        <v>8.3169572511381797E-5</v>
      </c>
    </row>
    <row r="40017" spans="1:6" x14ac:dyDescent="0.25">
      <c r="A40017" s="2" t="str">
        <f t="shared" si="1286"/>
        <v>99999</v>
      </c>
      <c r="B40017" s="2" t="str">
        <f>"47382"</f>
        <v>47382</v>
      </c>
      <c r="C40017" s="1">
        <v>1.09138159961181E-7</v>
      </c>
      <c r="D40017" s="1">
        <v>3.0352053468177301E-6</v>
      </c>
      <c r="E40017" s="1">
        <v>0</v>
      </c>
      <c r="F40017" s="1">
        <v>2.9845540374897701E-7</v>
      </c>
    </row>
    <row r="40018" spans="1:6" x14ac:dyDescent="0.25">
      <c r="A40018" s="2" t="str">
        <f t="shared" ref="A40018:A40081" si="1287">"99999"</f>
        <v>99999</v>
      </c>
      <c r="B40018" s="2" t="str">
        <f>"47390"</f>
        <v>47390</v>
      </c>
      <c r="C40018" s="1">
        <v>2.7633782102171202E-4</v>
      </c>
      <c r="D40018" s="1">
        <v>3.30837382803133E-4</v>
      </c>
      <c r="E40018" s="1">
        <v>3.2156995667496598E-4</v>
      </c>
      <c r="F40018" s="1">
        <v>2.80946020062371E-4</v>
      </c>
    </row>
    <row r="40019" spans="1:6" x14ac:dyDescent="0.25">
      <c r="A40019" s="2" t="str">
        <f t="shared" si="1287"/>
        <v>99999</v>
      </c>
      <c r="B40019" s="2" t="str">
        <f>"47223"</f>
        <v>47223</v>
      </c>
      <c r="C40019" s="1">
        <v>6.5482895976708995E-7</v>
      </c>
      <c r="D40019" s="1">
        <v>0</v>
      </c>
      <c r="E40019" s="1">
        <v>0</v>
      </c>
      <c r="F40019" s="1">
        <v>5.9691080749795498E-7</v>
      </c>
    </row>
    <row r="40020" spans="1:6" x14ac:dyDescent="0.25">
      <c r="A40020" s="2" t="str">
        <f t="shared" si="1287"/>
        <v>99999</v>
      </c>
      <c r="B40020" s="2" t="str">
        <f>"47338"</f>
        <v>47338</v>
      </c>
      <c r="C40020" s="1">
        <v>1.9644868793012701E-6</v>
      </c>
      <c r="D40020" s="1">
        <v>0</v>
      </c>
      <c r="E40020" s="1">
        <v>4.3455399550671099E-6</v>
      </c>
      <c r="F40020" s="1">
        <v>1.89021755707686E-6</v>
      </c>
    </row>
    <row r="40021" spans="1:6" x14ac:dyDescent="0.25">
      <c r="A40021" s="2" t="str">
        <f t="shared" si="1287"/>
        <v>99999</v>
      </c>
      <c r="B40021" s="2" t="str">
        <f>"47341"</f>
        <v>47341</v>
      </c>
      <c r="C40021" s="1">
        <v>1.7462105593789001E-6</v>
      </c>
      <c r="D40021" s="1">
        <v>0</v>
      </c>
      <c r="E40021" s="1">
        <v>0</v>
      </c>
      <c r="F40021" s="1">
        <v>1.5917621533278801E-6</v>
      </c>
    </row>
    <row r="40022" spans="1:6" x14ac:dyDescent="0.25">
      <c r="A40022" s="2" t="str">
        <f t="shared" si="1287"/>
        <v>99999</v>
      </c>
      <c r="B40022" s="2" t="str">
        <f>"47112"</f>
        <v>47112</v>
      </c>
      <c r="C40022" s="1">
        <v>1.09138159961181E-7</v>
      </c>
      <c r="D40022" s="1">
        <v>0</v>
      </c>
      <c r="E40022" s="1">
        <v>0</v>
      </c>
      <c r="F40022" s="1">
        <v>9.9485134582992598E-8</v>
      </c>
    </row>
    <row r="40023" spans="1:6" x14ac:dyDescent="0.25">
      <c r="A40023" s="2" t="str">
        <f t="shared" si="1287"/>
        <v>99999</v>
      </c>
      <c r="B40023" s="2" t="str">
        <f>"47123"</f>
        <v>47123</v>
      </c>
      <c r="C40023" s="1">
        <v>8.4036383170109905E-6</v>
      </c>
      <c r="D40023" s="1">
        <v>0</v>
      </c>
      <c r="E40023" s="1">
        <v>3.9109859595604001E-5</v>
      </c>
      <c r="F40023" s="1">
        <v>8.5557215741373606E-6</v>
      </c>
    </row>
    <row r="40024" spans="1:6" x14ac:dyDescent="0.25">
      <c r="A40024" s="2" t="str">
        <f t="shared" si="1287"/>
        <v>99999</v>
      </c>
      <c r="B40024" s="2" t="str">
        <f>"47021"</f>
        <v>47021</v>
      </c>
      <c r="C40024" s="1">
        <v>1.09138159961181E-7</v>
      </c>
      <c r="D40024" s="1">
        <v>0</v>
      </c>
      <c r="E40024" s="1">
        <v>4.3455399550671099E-6</v>
      </c>
      <c r="F40024" s="1">
        <v>1.9897026916598501E-7</v>
      </c>
    </row>
    <row r="40025" spans="1:6" x14ac:dyDescent="0.25">
      <c r="A40025" s="2" t="str">
        <f t="shared" si="1287"/>
        <v>99999</v>
      </c>
      <c r="B40025" s="2" t="str">
        <f>"47020"</f>
        <v>47020</v>
      </c>
      <c r="C40025" s="1">
        <v>5.66427050198533E-5</v>
      </c>
      <c r="D40025" s="1">
        <v>3.3387258814995101E-5</v>
      </c>
      <c r="E40025" s="1">
        <v>1.7382159820268399E-5</v>
      </c>
      <c r="F40025" s="1">
        <v>5.4219398347730897E-5</v>
      </c>
    </row>
    <row r="40026" spans="1:6" x14ac:dyDescent="0.25">
      <c r="A40026" s="2" t="str">
        <f t="shared" si="1287"/>
        <v>99999</v>
      </c>
      <c r="B40026" s="2" t="str">
        <f>"46922"</f>
        <v>46922</v>
      </c>
      <c r="C40026" s="1">
        <v>0</v>
      </c>
      <c r="D40026" s="1">
        <v>0</v>
      </c>
      <c r="E40026" s="1">
        <v>8.69107991013423E-6</v>
      </c>
      <c r="F40026" s="1">
        <v>1.9897026916598501E-7</v>
      </c>
    </row>
    <row r="40027" spans="1:6" x14ac:dyDescent="0.25">
      <c r="A40027" s="2" t="str">
        <f t="shared" si="1287"/>
        <v>99999</v>
      </c>
      <c r="B40027" s="2" t="str">
        <f>"46778"</f>
        <v>46778</v>
      </c>
      <c r="C40027" s="1">
        <v>6.5482895976709E-6</v>
      </c>
      <c r="D40027" s="1">
        <v>0</v>
      </c>
      <c r="E40027" s="1">
        <v>4.3455399550671099E-6</v>
      </c>
      <c r="F40027" s="1">
        <v>6.0685932095625502E-6</v>
      </c>
    </row>
    <row r="40028" spans="1:6" x14ac:dyDescent="0.25">
      <c r="A40028" s="2" t="str">
        <f t="shared" si="1287"/>
        <v>99999</v>
      </c>
      <c r="B40028" s="2" t="str">
        <f>"46767"</f>
        <v>46767</v>
      </c>
      <c r="C40028" s="1">
        <v>2.6193158390683598E-6</v>
      </c>
      <c r="D40028" s="1">
        <v>1.51760267340886E-6</v>
      </c>
      <c r="E40028" s="1">
        <v>0</v>
      </c>
      <c r="F40028" s="1">
        <v>2.48712836457481E-6</v>
      </c>
    </row>
    <row r="40029" spans="1:6" x14ac:dyDescent="0.25">
      <c r="A40029" s="2" t="str">
        <f t="shared" si="1287"/>
        <v>99999</v>
      </c>
      <c r="B40029" s="2" t="str">
        <f>"46766"</f>
        <v>46766</v>
      </c>
      <c r="C40029" s="1">
        <v>2.6084020230722401E-5</v>
      </c>
      <c r="D40029" s="1">
        <v>1.51760267340886E-6</v>
      </c>
      <c r="E40029" s="1">
        <v>4.3455399550671099E-6</v>
      </c>
      <c r="F40029" s="1">
        <v>2.3975917434501198E-5</v>
      </c>
    </row>
    <row r="40030" spans="1:6" x14ac:dyDescent="0.25">
      <c r="A40030" s="2" t="str">
        <f t="shared" si="1287"/>
        <v>99999</v>
      </c>
      <c r="B40030" s="2" t="str">
        <f>"46795"</f>
        <v>46795</v>
      </c>
      <c r="C40030" s="1">
        <v>3.1540928228781498E-4</v>
      </c>
      <c r="D40030" s="1">
        <v>6.37393122831725E-5</v>
      </c>
      <c r="E40030" s="1">
        <v>1.08638498876677E-4</v>
      </c>
      <c r="F40030" s="1">
        <v>2.9417754296190901E-4</v>
      </c>
    </row>
    <row r="40031" spans="1:6" x14ac:dyDescent="0.25">
      <c r="A40031" s="2" t="str">
        <f t="shared" si="1287"/>
        <v>99999</v>
      </c>
      <c r="B40031" s="2" t="str">
        <f>"46563"</f>
        <v>46563</v>
      </c>
      <c r="C40031" s="1">
        <v>7.7488093572439E-6</v>
      </c>
      <c r="D40031" s="1">
        <v>1.51760267340886E-6</v>
      </c>
      <c r="E40031" s="1">
        <v>0</v>
      </c>
      <c r="F40031" s="1">
        <v>7.1629296899754602E-6</v>
      </c>
    </row>
    <row r="40032" spans="1:6" x14ac:dyDescent="0.25">
      <c r="A40032" s="2" t="str">
        <f t="shared" si="1287"/>
        <v>99999</v>
      </c>
      <c r="B40032" s="2" t="str">
        <f>"46543"</f>
        <v>46543</v>
      </c>
      <c r="C40032" s="1">
        <v>3.0340408469208501E-5</v>
      </c>
      <c r="D40032" s="1">
        <v>7.5880133670443404E-6</v>
      </c>
      <c r="E40032" s="1">
        <v>4.3455399550671099E-6</v>
      </c>
      <c r="F40032" s="1">
        <v>2.8253778221569901E-5</v>
      </c>
    </row>
    <row r="40033" spans="1:6" x14ac:dyDescent="0.25">
      <c r="A40033" s="2" t="str">
        <f t="shared" si="1287"/>
        <v>99999</v>
      </c>
      <c r="B40033" s="2" t="str">
        <f>"46366"</f>
        <v>46366</v>
      </c>
      <c r="C40033" s="1">
        <v>2.9412734109538402E-4</v>
      </c>
      <c r="D40033" s="1">
        <v>2.48886838439054E-4</v>
      </c>
      <c r="E40033" s="1">
        <v>1.5209389842734899E-4</v>
      </c>
      <c r="F40033" s="1">
        <v>2.8790997948317999E-4</v>
      </c>
    </row>
    <row r="40034" spans="1:6" x14ac:dyDescent="0.25">
      <c r="A40034" s="2" t="str">
        <f t="shared" si="1287"/>
        <v>99999</v>
      </c>
      <c r="B40034" s="2" t="str">
        <f>"46501"</f>
        <v>46501</v>
      </c>
      <c r="C40034" s="1">
        <v>1.9644868793012701E-6</v>
      </c>
      <c r="D40034" s="1">
        <v>1.51760267340886E-6</v>
      </c>
      <c r="E40034" s="1">
        <v>0</v>
      </c>
      <c r="F40034" s="1">
        <v>1.89021755707686E-6</v>
      </c>
    </row>
    <row r="40035" spans="1:6" x14ac:dyDescent="0.25">
      <c r="A40035" s="2" t="str">
        <f t="shared" si="1287"/>
        <v>99999</v>
      </c>
      <c r="B40035" s="2" t="str">
        <f>"46049"</f>
        <v>46049</v>
      </c>
      <c r="C40035" s="1">
        <v>3.8962323106141801E-5</v>
      </c>
      <c r="D40035" s="1">
        <v>0</v>
      </c>
      <c r="E40035" s="1">
        <v>2.1727699775335501E-5</v>
      </c>
      <c r="F40035" s="1">
        <v>3.60136187190433E-5</v>
      </c>
    </row>
    <row r="40036" spans="1:6" x14ac:dyDescent="0.25">
      <c r="A40036" s="2" t="str">
        <f t="shared" si="1287"/>
        <v>99999</v>
      </c>
      <c r="B40036" s="2" t="str">
        <f>"46156"</f>
        <v>46156</v>
      </c>
      <c r="C40036" s="1">
        <v>6.5919448616553699E-5</v>
      </c>
      <c r="D40036" s="1">
        <v>8.9538557731123203E-5</v>
      </c>
      <c r="E40036" s="1">
        <v>8.69107991013423E-6</v>
      </c>
      <c r="F40036" s="1">
        <v>6.6157614497690102E-5</v>
      </c>
    </row>
    <row r="40037" spans="1:6" x14ac:dyDescent="0.25">
      <c r="A40037" s="2" t="str">
        <f t="shared" si="1287"/>
        <v>99999</v>
      </c>
      <c r="B40037" s="2" t="str">
        <f>"45690"</f>
        <v>45690</v>
      </c>
      <c r="C40037" s="1">
        <v>7.0295888830997099E-4</v>
      </c>
      <c r="D40037" s="1">
        <v>7.8611818482579403E-4</v>
      </c>
      <c r="E40037" s="1">
        <v>4.6497277519218097E-4</v>
      </c>
      <c r="F40037" s="1">
        <v>7.0296196096342504E-4</v>
      </c>
    </row>
    <row r="40038" spans="1:6" x14ac:dyDescent="0.25">
      <c r="A40038" s="2" t="str">
        <f t="shared" si="1287"/>
        <v>99999</v>
      </c>
      <c r="B40038" s="2" t="str">
        <f>"45853"</f>
        <v>45853</v>
      </c>
      <c r="C40038" s="1">
        <v>3.0776961109053202E-5</v>
      </c>
      <c r="D40038" s="1">
        <v>1.51760267340886E-6</v>
      </c>
      <c r="E40038" s="1">
        <v>1.7382159820268399E-5</v>
      </c>
      <c r="F40038" s="1">
        <v>2.8552233625318801E-5</v>
      </c>
    </row>
    <row r="40039" spans="1:6" x14ac:dyDescent="0.25">
      <c r="A40039" s="2" t="str">
        <f t="shared" si="1287"/>
        <v>99999</v>
      </c>
      <c r="B40039" s="2" t="str">
        <f>"45851"</f>
        <v>45851</v>
      </c>
      <c r="C40039" s="1">
        <v>1.9208316153167901E-5</v>
      </c>
      <c r="D40039" s="1">
        <v>1.21408213872709E-5</v>
      </c>
      <c r="E40039" s="1">
        <v>4.3455399550671099E-6</v>
      </c>
      <c r="F40039" s="1">
        <v>1.84047498978536E-5</v>
      </c>
    </row>
    <row r="40040" spans="1:6" x14ac:dyDescent="0.25">
      <c r="A40040" s="2" t="str">
        <f t="shared" si="1287"/>
        <v>99999</v>
      </c>
      <c r="B40040" s="2" t="str">
        <f>"45875"</f>
        <v>45875</v>
      </c>
      <c r="C40040" s="1">
        <v>4.9024861454562802E-4</v>
      </c>
      <c r="D40040" s="1">
        <v>6.4649873887217798E-4</v>
      </c>
      <c r="E40040" s="1">
        <v>6.2575775352966402E-4</v>
      </c>
      <c r="F40040" s="1">
        <v>5.0359375125910797E-4</v>
      </c>
    </row>
    <row r="40041" spans="1:6" x14ac:dyDescent="0.25">
      <c r="A40041" s="2" t="str">
        <f t="shared" si="1287"/>
        <v>99999</v>
      </c>
      <c r="B40041" s="2" t="str">
        <f>"45856"</f>
        <v>45856</v>
      </c>
      <c r="C40041" s="1">
        <v>2.17184938322751E-4</v>
      </c>
      <c r="D40041" s="1">
        <v>1.7452430744201901E-4</v>
      </c>
      <c r="E40041" s="1">
        <v>1.4340281851721399E-4</v>
      </c>
      <c r="F40041" s="1">
        <v>2.1269921773843799E-4</v>
      </c>
    </row>
    <row r="40042" spans="1:6" x14ac:dyDescent="0.25">
      <c r="A40042" s="2" t="str">
        <f t="shared" si="1287"/>
        <v>99999</v>
      </c>
      <c r="B40042" s="2" t="str">
        <f>"45843"</f>
        <v>45843</v>
      </c>
      <c r="C40042" s="1">
        <v>1.51156351546236E-4</v>
      </c>
      <c r="D40042" s="1">
        <v>1.30513829913162E-4</v>
      </c>
      <c r="E40042" s="1">
        <v>6.5183099326006705E-5</v>
      </c>
      <c r="F40042" s="1">
        <v>1.47834909990327E-4</v>
      </c>
    </row>
    <row r="40043" spans="1:6" x14ac:dyDescent="0.25">
      <c r="A40043" s="2" t="str">
        <f t="shared" si="1287"/>
        <v>99999</v>
      </c>
      <c r="B40043" s="2" t="str">
        <f>"45786"</f>
        <v>45786</v>
      </c>
      <c r="C40043" s="1">
        <v>3.4924211187578098E-6</v>
      </c>
      <c r="D40043" s="1">
        <v>0</v>
      </c>
      <c r="E40043" s="1">
        <v>0</v>
      </c>
      <c r="F40043" s="1">
        <v>3.1835243066557602E-6</v>
      </c>
    </row>
    <row r="40044" spans="1:6" x14ac:dyDescent="0.25">
      <c r="A40044" s="2" t="str">
        <f t="shared" si="1287"/>
        <v>99999</v>
      </c>
      <c r="B40044" s="2" t="str">
        <f>"45735"</f>
        <v>45735</v>
      </c>
      <c r="C40044" s="1">
        <v>1.09138159961181E-7</v>
      </c>
      <c r="D40044" s="1">
        <v>0</v>
      </c>
      <c r="E40044" s="1">
        <v>0</v>
      </c>
      <c r="F40044" s="1">
        <v>9.9485134582992598E-8</v>
      </c>
    </row>
    <row r="40045" spans="1:6" x14ac:dyDescent="0.25">
      <c r="A40045" s="2" t="str">
        <f t="shared" si="1287"/>
        <v>99999</v>
      </c>
      <c r="B40045" s="2" t="str">
        <f>"45743"</f>
        <v>45743</v>
      </c>
      <c r="C40045" s="1">
        <v>7.7815508052322502E-5</v>
      </c>
      <c r="D40045" s="1">
        <v>1.8211232080906399E-5</v>
      </c>
      <c r="E40045" s="1">
        <v>0</v>
      </c>
      <c r="F40045" s="1">
        <v>7.2126722572669606E-5</v>
      </c>
    </row>
    <row r="40046" spans="1:6" x14ac:dyDescent="0.25">
      <c r="A40046" s="2" t="str">
        <f t="shared" si="1287"/>
        <v>99999</v>
      </c>
      <c r="B40046" s="2" t="str">
        <f>"45741"</f>
        <v>45741</v>
      </c>
      <c r="C40046" s="1">
        <v>5.99168498186887E-5</v>
      </c>
      <c r="D40046" s="1">
        <v>2.5799245447950699E-5</v>
      </c>
      <c r="E40046" s="1">
        <v>0</v>
      </c>
      <c r="F40046" s="1">
        <v>5.6308586173973798E-5</v>
      </c>
    </row>
    <row r="40047" spans="1:6" x14ac:dyDescent="0.25">
      <c r="A40047" s="2" t="str">
        <f t="shared" si="1287"/>
        <v>99999</v>
      </c>
      <c r="B40047" s="2" t="str">
        <f>"45727"</f>
        <v>45727</v>
      </c>
      <c r="C40047" s="1">
        <v>2.8157645269984799E-5</v>
      </c>
      <c r="D40047" s="1">
        <v>9.1056160404532095E-6</v>
      </c>
      <c r="E40047" s="1">
        <v>0</v>
      </c>
      <c r="F40047" s="1">
        <v>2.6264075529910002E-5</v>
      </c>
    </row>
    <row r="40048" spans="1:6" x14ac:dyDescent="0.25">
      <c r="A40048" s="2" t="str">
        <f t="shared" si="1287"/>
        <v>99999</v>
      </c>
      <c r="B40048" s="2" t="str">
        <f>"45710"</f>
        <v>45710</v>
      </c>
      <c r="C40048" s="1">
        <v>1.18851456197726E-4</v>
      </c>
      <c r="D40048" s="1">
        <v>2.1246437427724101E-5</v>
      </c>
      <c r="E40048" s="1">
        <v>1.7382159820268399E-5</v>
      </c>
      <c r="F40048" s="1">
        <v>1.10130043983372E-4</v>
      </c>
    </row>
    <row r="40049" spans="1:6" x14ac:dyDescent="0.25">
      <c r="A40049" s="2" t="str">
        <f t="shared" si="1287"/>
        <v>99999</v>
      </c>
      <c r="B40049" s="2" t="str">
        <f>"45159"</f>
        <v>45159</v>
      </c>
      <c r="C40049" s="1">
        <v>5.8498053739193401E-5</v>
      </c>
      <c r="D40049" s="1">
        <v>1.5176026734088599E-5</v>
      </c>
      <c r="E40049" s="1">
        <v>8.69107991013423E-6</v>
      </c>
      <c r="F40049" s="1">
        <v>5.4517853751479899E-5</v>
      </c>
    </row>
    <row r="40050" spans="1:6" x14ac:dyDescent="0.25">
      <c r="A40050" s="2" t="str">
        <f t="shared" si="1287"/>
        <v>99999</v>
      </c>
      <c r="B40050" s="2" t="str">
        <f>"45105"</f>
        <v>45105</v>
      </c>
      <c r="C40050" s="1">
        <v>0</v>
      </c>
      <c r="D40050" s="1">
        <v>0</v>
      </c>
      <c r="E40050" s="1">
        <v>4.3455399550671099E-6</v>
      </c>
      <c r="F40050" s="1">
        <v>9.9485134582992598E-8</v>
      </c>
    </row>
    <row r="40051" spans="1:6" x14ac:dyDescent="0.25">
      <c r="A40051" s="2" t="str">
        <f t="shared" si="1287"/>
        <v>99999</v>
      </c>
      <c r="B40051" s="2" t="str">
        <f>"45135"</f>
        <v>45135</v>
      </c>
      <c r="C40051" s="1">
        <v>1.9066436545218401E-4</v>
      </c>
      <c r="D40051" s="1">
        <v>4.4010477528857203E-5</v>
      </c>
      <c r="E40051" s="1">
        <v>1.39057278562147E-4</v>
      </c>
      <c r="F40051" s="1">
        <v>1.7986912332605001E-4</v>
      </c>
    </row>
    <row r="40052" spans="1:6" x14ac:dyDescent="0.25">
      <c r="A40052" s="2" t="str">
        <f t="shared" si="1287"/>
        <v>99999</v>
      </c>
      <c r="B40052" s="2" t="str">
        <f>"45042"</f>
        <v>45042</v>
      </c>
      <c r="C40052" s="1">
        <v>1.39696844750312E-5</v>
      </c>
      <c r="D40052" s="1">
        <v>0</v>
      </c>
      <c r="E40052" s="1">
        <v>0</v>
      </c>
      <c r="F40052" s="1">
        <v>1.2734097226623E-5</v>
      </c>
    </row>
    <row r="40053" spans="1:6" x14ac:dyDescent="0.25">
      <c r="A40053" s="2" t="str">
        <f t="shared" si="1287"/>
        <v>99999</v>
      </c>
      <c r="B40053" s="2" t="str">
        <f>"44842"</f>
        <v>44842</v>
      </c>
      <c r="C40053" s="1">
        <v>3.71069743868017E-5</v>
      </c>
      <c r="D40053" s="1">
        <v>3.3387258814995101E-5</v>
      </c>
      <c r="E40053" s="1">
        <v>2.1727699775335501E-5</v>
      </c>
      <c r="F40053" s="1">
        <v>3.6511044391958198E-5</v>
      </c>
    </row>
    <row r="40054" spans="1:6" x14ac:dyDescent="0.25">
      <c r="A40054" s="2" t="str">
        <f t="shared" si="1287"/>
        <v>99999</v>
      </c>
      <c r="B40054" s="2" t="str">
        <f>"44699"</f>
        <v>44699</v>
      </c>
      <c r="C40054" s="1">
        <v>5.3259422061056602E-5</v>
      </c>
      <c r="D40054" s="1">
        <v>1.5176026734088599E-5</v>
      </c>
      <c r="E40054" s="1">
        <v>0</v>
      </c>
      <c r="F40054" s="1">
        <v>4.9543597022330299E-5</v>
      </c>
    </row>
    <row r="40055" spans="1:6" x14ac:dyDescent="0.25">
      <c r="A40055" s="2" t="str">
        <f t="shared" si="1287"/>
        <v>99999</v>
      </c>
      <c r="B40055" s="2" t="str">
        <f>"44695"</f>
        <v>44695</v>
      </c>
      <c r="C40055" s="1">
        <v>3.9508013905947698E-5</v>
      </c>
      <c r="D40055" s="1">
        <v>1.5176026734088599E-5</v>
      </c>
      <c r="E40055" s="1">
        <v>4.3455399550671099E-6</v>
      </c>
      <c r="F40055" s="1">
        <v>3.7107955199456203E-5</v>
      </c>
    </row>
    <row r="40056" spans="1:6" x14ac:dyDescent="0.25">
      <c r="A40056" s="2" t="str">
        <f t="shared" si="1287"/>
        <v>99999</v>
      </c>
      <c r="B40056" s="2" t="str">
        <f>"44690"</f>
        <v>44690</v>
      </c>
      <c r="C40056" s="1">
        <v>0</v>
      </c>
      <c r="D40056" s="1">
        <v>0</v>
      </c>
      <c r="E40056" s="1">
        <v>4.3455399550671099E-6</v>
      </c>
      <c r="F40056" s="1">
        <v>9.9485134582992598E-8</v>
      </c>
    </row>
    <row r="40057" spans="1:6" x14ac:dyDescent="0.25">
      <c r="A40057" s="2" t="str">
        <f t="shared" si="1287"/>
        <v>99999</v>
      </c>
      <c r="B40057" s="2" t="str">
        <f>"44689"</f>
        <v>44689</v>
      </c>
      <c r="C40057" s="1">
        <v>9.71329623654517E-6</v>
      </c>
      <c r="D40057" s="1">
        <v>4.5528080202265997E-6</v>
      </c>
      <c r="E40057" s="1">
        <v>4.3455399550671099E-6</v>
      </c>
      <c r="F40057" s="1">
        <v>9.2521175162183095E-6</v>
      </c>
    </row>
    <row r="40058" spans="1:6" x14ac:dyDescent="0.25">
      <c r="A40058" s="2" t="str">
        <f t="shared" si="1287"/>
        <v>99999</v>
      </c>
      <c r="B40058" s="2" t="str">
        <f>"44610"</f>
        <v>44610</v>
      </c>
      <c r="C40058" s="1">
        <v>0</v>
      </c>
      <c r="D40058" s="1">
        <v>3.0352053468177301E-6</v>
      </c>
      <c r="E40058" s="1">
        <v>4.3455399550671099E-6</v>
      </c>
      <c r="F40058" s="1">
        <v>2.9845540374897701E-7</v>
      </c>
    </row>
    <row r="40059" spans="1:6" x14ac:dyDescent="0.25">
      <c r="A40059" s="2" t="str">
        <f t="shared" si="1287"/>
        <v>99999</v>
      </c>
      <c r="B40059" s="2" t="str">
        <f>"44621"</f>
        <v>44621</v>
      </c>
      <c r="C40059" s="1">
        <v>1.0804677836156901E-5</v>
      </c>
      <c r="D40059" s="1">
        <v>6.0704106936354696E-6</v>
      </c>
      <c r="E40059" s="1">
        <v>0</v>
      </c>
      <c r="F40059" s="1">
        <v>1.02469688620482E-5</v>
      </c>
    </row>
    <row r="40060" spans="1:6" x14ac:dyDescent="0.25">
      <c r="A40060" s="2" t="str">
        <f t="shared" si="1287"/>
        <v>99999</v>
      </c>
      <c r="B40060" s="2" t="str">
        <f>"44638"</f>
        <v>44638</v>
      </c>
      <c r="C40060" s="1">
        <v>6.2427027497795901E-5</v>
      </c>
      <c r="D40060" s="1">
        <v>1.5176026734088599E-5</v>
      </c>
      <c r="E40060" s="1">
        <v>3.0418779685469802E-5</v>
      </c>
      <c r="F40060" s="1">
        <v>5.8596744269382601E-5</v>
      </c>
    </row>
    <row r="40061" spans="1:6" x14ac:dyDescent="0.25">
      <c r="A40061" s="2" t="str">
        <f t="shared" si="1287"/>
        <v>99999</v>
      </c>
      <c r="B40061" s="2" t="str">
        <f>"43983"</f>
        <v>43983</v>
      </c>
      <c r="C40061" s="1">
        <v>9.9315725564675307E-6</v>
      </c>
      <c r="D40061" s="1">
        <v>9.1056160404532095E-6</v>
      </c>
      <c r="E40061" s="1">
        <v>4.3455399550671099E-6</v>
      </c>
      <c r="F40061" s="1">
        <v>9.7495431891332699E-6</v>
      </c>
    </row>
    <row r="40062" spans="1:6" x14ac:dyDescent="0.25">
      <c r="A40062" s="2" t="str">
        <f t="shared" si="1287"/>
        <v>99999</v>
      </c>
      <c r="B40062" s="2" t="str">
        <f>"43757"</f>
        <v>43757</v>
      </c>
      <c r="C40062" s="1">
        <v>2.5101776791071799E-6</v>
      </c>
      <c r="D40062" s="1">
        <v>3.0352053468177301E-6</v>
      </c>
      <c r="E40062" s="1">
        <v>0</v>
      </c>
      <c r="F40062" s="1">
        <v>2.48712836457481E-6</v>
      </c>
    </row>
    <row r="40063" spans="1:6" x14ac:dyDescent="0.25">
      <c r="A40063" s="2" t="str">
        <f t="shared" si="1287"/>
        <v>99999</v>
      </c>
      <c r="B40063" s="2" t="str">
        <f>"43772"</f>
        <v>43772</v>
      </c>
      <c r="C40063" s="1">
        <v>3.1322651908859099E-5</v>
      </c>
      <c r="D40063" s="1">
        <v>1.0623218713862E-5</v>
      </c>
      <c r="E40063" s="1">
        <v>0</v>
      </c>
      <c r="F40063" s="1">
        <v>2.9248629567399801E-5</v>
      </c>
    </row>
    <row r="40064" spans="1:6" x14ac:dyDescent="0.25">
      <c r="A40064" s="2" t="str">
        <f t="shared" si="1287"/>
        <v>99999</v>
      </c>
      <c r="B40064" s="2" t="str">
        <f>"43756"</f>
        <v>43756</v>
      </c>
      <c r="C40064" s="1">
        <v>2.93145097655734E-4</v>
      </c>
      <c r="D40064" s="1">
        <v>3.36907793496769E-4</v>
      </c>
      <c r="E40064" s="1">
        <v>2.1293145779828799E-4</v>
      </c>
      <c r="F40064" s="1">
        <v>2.9417754296190901E-4</v>
      </c>
    </row>
    <row r="40065" spans="1:6" x14ac:dyDescent="0.25">
      <c r="A40065" s="2" t="str">
        <f t="shared" si="1287"/>
        <v>99999</v>
      </c>
      <c r="B40065" s="2" t="str">
        <f>"43754"</f>
        <v>43754</v>
      </c>
      <c r="C40065" s="1">
        <v>8.3163277890420395E-5</v>
      </c>
      <c r="D40065" s="1">
        <v>4.2492874855448297E-5</v>
      </c>
      <c r="E40065" s="1">
        <v>0</v>
      </c>
      <c r="F40065" s="1">
        <v>7.8593256320564096E-5</v>
      </c>
    </row>
    <row r="40066" spans="1:6" x14ac:dyDescent="0.25">
      <c r="A40066" s="2" t="str">
        <f t="shared" si="1287"/>
        <v>99999</v>
      </c>
      <c r="B40066" s="2" t="str">
        <f>"43778"</f>
        <v>43778</v>
      </c>
      <c r="C40066" s="1">
        <v>1.52793423945654E-6</v>
      </c>
      <c r="D40066" s="1">
        <v>0</v>
      </c>
      <c r="E40066" s="1">
        <v>0</v>
      </c>
      <c r="F40066" s="1">
        <v>1.39279188416189E-6</v>
      </c>
    </row>
    <row r="40067" spans="1:6" x14ac:dyDescent="0.25">
      <c r="A40067" s="2" t="str">
        <f t="shared" si="1287"/>
        <v>99999</v>
      </c>
      <c r="B40067" s="2" t="str">
        <f>"43780"</f>
        <v>43780</v>
      </c>
      <c r="C40067" s="1">
        <v>3.2850586148315701E-5</v>
      </c>
      <c r="D40067" s="1">
        <v>6.0704106936354696E-6</v>
      </c>
      <c r="E40067" s="1">
        <v>4.3455399550671099E-6</v>
      </c>
      <c r="F40067" s="1">
        <v>3.0442451182395699E-5</v>
      </c>
    </row>
    <row r="40068" spans="1:6" x14ac:dyDescent="0.25">
      <c r="A40068" s="2" t="str">
        <f t="shared" si="1287"/>
        <v>99999</v>
      </c>
      <c r="B40068" s="2" t="str">
        <f>"43331"</f>
        <v>43331</v>
      </c>
      <c r="C40068" s="1">
        <v>1.85534871934008E-6</v>
      </c>
      <c r="D40068" s="1">
        <v>0</v>
      </c>
      <c r="E40068" s="1">
        <v>0</v>
      </c>
      <c r="F40068" s="1">
        <v>1.6912472879108699E-6</v>
      </c>
    </row>
    <row r="40069" spans="1:6" x14ac:dyDescent="0.25">
      <c r="A40069" s="2" t="str">
        <f t="shared" si="1287"/>
        <v>99999</v>
      </c>
      <c r="B40069" s="2" t="str">
        <f>"43326"</f>
        <v>43326</v>
      </c>
      <c r="C40069" s="1">
        <v>7.35045507338559E-4</v>
      </c>
      <c r="D40069" s="1">
        <v>1.0395578312850701E-3</v>
      </c>
      <c r="E40069" s="1">
        <v>6.7790423299047002E-4</v>
      </c>
      <c r="F40069" s="1">
        <v>7.5369937960075202E-4</v>
      </c>
    </row>
    <row r="40070" spans="1:6" x14ac:dyDescent="0.25">
      <c r="A40070" s="2" t="str">
        <f t="shared" si="1287"/>
        <v>99999</v>
      </c>
      <c r="B40070" s="2" t="str">
        <f>"43526"</f>
        <v>43526</v>
      </c>
      <c r="C40070" s="1">
        <v>6.0025987978649897E-6</v>
      </c>
      <c r="D40070" s="1">
        <v>0</v>
      </c>
      <c r="E40070" s="1">
        <v>0</v>
      </c>
      <c r="F40070" s="1">
        <v>5.4716824020645896E-6</v>
      </c>
    </row>
    <row r="40071" spans="1:6" x14ac:dyDescent="0.25">
      <c r="A40071" s="2" t="str">
        <f t="shared" si="1287"/>
        <v>99999</v>
      </c>
      <c r="B40071" s="2" t="str">
        <f>"43543"</f>
        <v>43543</v>
      </c>
      <c r="C40071" s="1">
        <v>4.0239239577687699E-4</v>
      </c>
      <c r="D40071" s="1">
        <v>4.0975272182039397E-4</v>
      </c>
      <c r="E40071" s="1">
        <v>5.2581033456312095E-4</v>
      </c>
      <c r="F40071" s="1">
        <v>4.0570037882944302E-4</v>
      </c>
    </row>
    <row r="40072" spans="1:6" x14ac:dyDescent="0.25">
      <c r="A40072" s="2" t="str">
        <f t="shared" si="1287"/>
        <v>99999</v>
      </c>
      <c r="B40072" s="2" t="str">
        <f>"43557"</f>
        <v>43557</v>
      </c>
      <c r="C40072" s="1">
        <v>1.2605457475516399E-4</v>
      </c>
      <c r="D40072" s="1">
        <v>7.1327325650216798E-5</v>
      </c>
      <c r="E40072" s="1">
        <v>2.8680563703442901E-4</v>
      </c>
      <c r="F40072" s="1">
        <v>1.2614715065123401E-4</v>
      </c>
    </row>
    <row r="40073" spans="1:6" x14ac:dyDescent="0.25">
      <c r="A40073" s="2" t="str">
        <f t="shared" si="1287"/>
        <v>99999</v>
      </c>
      <c r="B40073" s="2" t="str">
        <f>"43511"</f>
        <v>43511</v>
      </c>
      <c r="C40073" s="1">
        <v>2.8375921589907201E-6</v>
      </c>
      <c r="D40073" s="1">
        <v>0</v>
      </c>
      <c r="E40073" s="1">
        <v>0</v>
      </c>
      <c r="F40073" s="1">
        <v>2.5866134991578E-6</v>
      </c>
    </row>
    <row r="40074" spans="1:6" x14ac:dyDescent="0.25">
      <c r="A40074" s="2" t="str">
        <f t="shared" si="1287"/>
        <v>99999</v>
      </c>
      <c r="B40074" s="2" t="str">
        <f>"43515"</f>
        <v>43515</v>
      </c>
      <c r="C40074" s="1">
        <v>6.5482895976708995E-7</v>
      </c>
      <c r="D40074" s="1">
        <v>0</v>
      </c>
      <c r="E40074" s="1">
        <v>0</v>
      </c>
      <c r="F40074" s="1">
        <v>5.9691080749795498E-7</v>
      </c>
    </row>
    <row r="40075" spans="1:6" x14ac:dyDescent="0.25">
      <c r="A40075" s="2" t="str">
        <f t="shared" si="1287"/>
        <v>99999</v>
      </c>
      <c r="B40075" s="2" t="str">
        <f>"43138"</f>
        <v>43138</v>
      </c>
      <c r="C40075" s="1">
        <v>1.52793423945654E-6</v>
      </c>
      <c r="D40075" s="1">
        <v>0</v>
      </c>
      <c r="E40075" s="1">
        <v>0</v>
      </c>
      <c r="F40075" s="1">
        <v>1.39279188416189E-6</v>
      </c>
    </row>
    <row r="40076" spans="1:6" x14ac:dyDescent="0.25">
      <c r="A40076" s="2" t="str">
        <f t="shared" si="1287"/>
        <v>99999</v>
      </c>
      <c r="B40076" s="2" t="str">
        <f>"42717"</f>
        <v>42717</v>
      </c>
      <c r="C40076" s="1">
        <v>4.5859854815688501E-4</v>
      </c>
      <c r="D40076" s="1">
        <v>2.0487636091019699E-4</v>
      </c>
      <c r="E40076" s="1">
        <v>1.12984038831745E-3</v>
      </c>
      <c r="F40076" s="1">
        <v>4.5733316367801698E-4</v>
      </c>
    </row>
    <row r="40077" spans="1:6" x14ac:dyDescent="0.25">
      <c r="A40077" s="2" t="str">
        <f t="shared" si="1287"/>
        <v>99999</v>
      </c>
      <c r="B40077" s="2" t="str">
        <f>"42713"</f>
        <v>42713</v>
      </c>
      <c r="C40077" s="1">
        <v>1.07610225721725E-4</v>
      </c>
      <c r="D40077" s="1">
        <v>2.88344507947685E-5</v>
      </c>
      <c r="E40077" s="1">
        <v>1.12984038831745E-4</v>
      </c>
      <c r="F40077" s="1">
        <v>1.02569173755065E-4</v>
      </c>
    </row>
    <row r="40078" spans="1:6" x14ac:dyDescent="0.25">
      <c r="A40078" s="2" t="str">
        <f t="shared" si="1287"/>
        <v>99999</v>
      </c>
      <c r="B40078" s="2" t="str">
        <f>"42518"</f>
        <v>42518</v>
      </c>
      <c r="C40078" s="1">
        <v>2.41195333514211E-5</v>
      </c>
      <c r="D40078" s="1">
        <v>7.5880133670443404E-6</v>
      </c>
      <c r="E40078" s="1">
        <v>4.3455399550671099E-6</v>
      </c>
      <c r="F40078" s="1">
        <v>2.2583125550339301E-5</v>
      </c>
    </row>
    <row r="40079" spans="1:6" x14ac:dyDescent="0.25">
      <c r="A40079" s="2" t="str">
        <f t="shared" si="1287"/>
        <v>99999</v>
      </c>
      <c r="B40079" s="2" t="str">
        <f>"42528"</f>
        <v>42528</v>
      </c>
      <c r="C40079" s="1">
        <v>7.5414468533176497E-5</v>
      </c>
      <c r="D40079" s="1">
        <v>6.0704106936354696E-6</v>
      </c>
      <c r="E40079" s="1">
        <v>4.7800939505738197E-5</v>
      </c>
      <c r="F40079" s="1">
        <v>7.0236505015592804E-5</v>
      </c>
    </row>
    <row r="40080" spans="1:6" x14ac:dyDescent="0.25">
      <c r="A40080" s="2" t="str">
        <f t="shared" si="1287"/>
        <v>99999</v>
      </c>
      <c r="B40080" s="2" t="str">
        <f>"42516"</f>
        <v>42516</v>
      </c>
      <c r="C40080" s="1">
        <v>2.51017767910718E-5</v>
      </c>
      <c r="D40080" s="1">
        <v>7.5880133670443404E-6</v>
      </c>
      <c r="E40080" s="1">
        <v>1.7382159820268399E-5</v>
      </c>
      <c r="F40080" s="1">
        <v>2.3776947165335201E-5</v>
      </c>
    </row>
    <row r="40081" spans="1:6" x14ac:dyDescent="0.25">
      <c r="A40081" s="2" t="str">
        <f t="shared" si="1287"/>
        <v>99999</v>
      </c>
      <c r="B40081" s="2" t="str">
        <f>"42782"</f>
        <v>42782</v>
      </c>
      <c r="C40081" s="1">
        <v>4.6929408783308102E-6</v>
      </c>
      <c r="D40081" s="1">
        <v>0</v>
      </c>
      <c r="E40081" s="1">
        <v>0</v>
      </c>
      <c r="F40081" s="1">
        <v>4.2778607870686803E-6</v>
      </c>
    </row>
    <row r="40082" spans="1:6" x14ac:dyDescent="0.25">
      <c r="A40082" s="2" t="str">
        <f t="shared" ref="A40082:A40145" si="1288">"99999"</f>
        <v>99999</v>
      </c>
      <c r="B40082" s="2" t="str">
        <f>"42765"</f>
        <v>42765</v>
      </c>
      <c r="C40082" s="1">
        <v>3.0034821621317202E-4</v>
      </c>
      <c r="D40082" s="1">
        <v>2.1701718229746799E-4</v>
      </c>
      <c r="E40082" s="1">
        <v>6.4748545330500003E-4</v>
      </c>
      <c r="F40082" s="1">
        <v>3.0283274967062902E-4</v>
      </c>
    </row>
    <row r="40083" spans="1:6" x14ac:dyDescent="0.25">
      <c r="A40083" s="2" t="str">
        <f t="shared" si="1288"/>
        <v>99999</v>
      </c>
      <c r="B40083" s="2" t="str">
        <f>"42754"</f>
        <v>42754</v>
      </c>
      <c r="C40083" s="1">
        <v>8.7146820729003596E-4</v>
      </c>
      <c r="D40083" s="1">
        <v>1.0395578312850701E-3</v>
      </c>
      <c r="E40083" s="1">
        <v>2.3596281956014399E-3</v>
      </c>
      <c r="F40083" s="1">
        <v>9.1655654491311096E-4</v>
      </c>
    </row>
    <row r="40084" spans="1:6" x14ac:dyDescent="0.25">
      <c r="A40084" s="2" t="str">
        <f t="shared" si="1288"/>
        <v>99999</v>
      </c>
      <c r="B40084" s="2" t="str">
        <f>"42452"</f>
        <v>42452</v>
      </c>
      <c r="C40084" s="1">
        <v>4.5838027183696299E-6</v>
      </c>
      <c r="D40084" s="1">
        <v>1.51760267340886E-6</v>
      </c>
      <c r="E40084" s="1">
        <v>0</v>
      </c>
      <c r="F40084" s="1">
        <v>4.2778607870686803E-6</v>
      </c>
    </row>
    <row r="40085" spans="1:6" x14ac:dyDescent="0.25">
      <c r="A40085" s="2" t="str">
        <f t="shared" si="1288"/>
        <v>99999</v>
      </c>
      <c r="B40085" s="2" t="str">
        <f>"42444"</f>
        <v>42444</v>
      </c>
      <c r="C40085" s="1">
        <v>0</v>
      </c>
      <c r="D40085" s="1">
        <v>0</v>
      </c>
      <c r="E40085" s="1">
        <v>4.3455399550671099E-6</v>
      </c>
      <c r="F40085" s="1">
        <v>9.9485134582992598E-8</v>
      </c>
    </row>
    <row r="40086" spans="1:6" x14ac:dyDescent="0.25">
      <c r="A40086" s="2" t="str">
        <f t="shared" si="1288"/>
        <v>99999</v>
      </c>
      <c r="B40086" s="2" t="str">
        <f>"42370"</f>
        <v>42370</v>
      </c>
      <c r="C40086" s="1">
        <v>0</v>
      </c>
      <c r="D40086" s="1">
        <v>0</v>
      </c>
      <c r="E40086" s="1">
        <v>4.3455399550671099E-6</v>
      </c>
      <c r="F40086" s="1">
        <v>9.9485134582992598E-8</v>
      </c>
    </row>
    <row r="40087" spans="1:6" x14ac:dyDescent="0.25">
      <c r="A40087" s="2" t="str">
        <f t="shared" si="1288"/>
        <v>99999</v>
      </c>
      <c r="B40087" s="2" t="str">
        <f>"42055"</f>
        <v>42055</v>
      </c>
      <c r="C40087" s="1">
        <v>1.7156518745897701E-4</v>
      </c>
      <c r="D40087" s="1">
        <v>9.2573763077941E-5</v>
      </c>
      <c r="E40087" s="1">
        <v>1.82512678112818E-4</v>
      </c>
      <c r="F40087" s="1">
        <v>1.66637600426512E-4</v>
      </c>
    </row>
    <row r="40088" spans="1:6" x14ac:dyDescent="0.25">
      <c r="A40088" s="2" t="str">
        <f t="shared" si="1288"/>
        <v>99999</v>
      </c>
      <c r="B40088" s="2" t="str">
        <f>"42207"</f>
        <v>42207</v>
      </c>
      <c r="C40088" s="1">
        <v>4.3655263984472602E-7</v>
      </c>
      <c r="D40088" s="1">
        <v>0</v>
      </c>
      <c r="E40088" s="1">
        <v>0</v>
      </c>
      <c r="F40088" s="1">
        <v>3.9794053833197002E-7</v>
      </c>
    </row>
    <row r="40089" spans="1:6" x14ac:dyDescent="0.25">
      <c r="A40089" s="2" t="str">
        <f t="shared" si="1288"/>
        <v>99999</v>
      </c>
      <c r="B40089" s="2" t="str">
        <f>"42170"</f>
        <v>42170</v>
      </c>
      <c r="C40089" s="1">
        <v>2.7175401830334201E-5</v>
      </c>
      <c r="D40089" s="1">
        <v>1.5176026734088599E-5</v>
      </c>
      <c r="E40089" s="1">
        <v>4.3455399550671099E-6</v>
      </c>
      <c r="F40089" s="1">
        <v>2.5866134991578001E-5</v>
      </c>
    </row>
    <row r="40090" spans="1:6" x14ac:dyDescent="0.25">
      <c r="A40090" s="2" t="str">
        <f t="shared" si="1288"/>
        <v>99999</v>
      </c>
      <c r="B40090" s="2" t="str">
        <f>"42044"</f>
        <v>42044</v>
      </c>
      <c r="C40090" s="1">
        <v>2.6324124182637001E-4</v>
      </c>
      <c r="D40090" s="1">
        <v>6.9809722976807906E-5</v>
      </c>
      <c r="E40090" s="1">
        <v>7.8219719191208097E-5</v>
      </c>
      <c r="F40090" s="1">
        <v>2.4632519322748901E-4</v>
      </c>
    </row>
    <row r="40091" spans="1:6" x14ac:dyDescent="0.25">
      <c r="A40091" s="2" t="str">
        <f t="shared" si="1288"/>
        <v>99999</v>
      </c>
      <c r="B40091" s="2" t="str">
        <f>"42032"</f>
        <v>42032</v>
      </c>
      <c r="C40091" s="1">
        <v>1.41879607949536E-5</v>
      </c>
      <c r="D40091" s="1">
        <v>3.0352053468177301E-6</v>
      </c>
      <c r="E40091" s="1">
        <v>8.69107991013423E-6</v>
      </c>
      <c r="F40091" s="1">
        <v>1.3331008034121E-5</v>
      </c>
    </row>
    <row r="40092" spans="1:6" x14ac:dyDescent="0.25">
      <c r="A40092" s="2" t="str">
        <f t="shared" si="1288"/>
        <v>99999</v>
      </c>
      <c r="B40092" s="2" t="str">
        <f>"42031"</f>
        <v>42031</v>
      </c>
      <c r="C40092" s="1">
        <v>1.75821575697463E-4</v>
      </c>
      <c r="D40092" s="1">
        <v>3.0503813735518201E-4</v>
      </c>
      <c r="E40092" s="1">
        <v>2.0858591784322101E-4</v>
      </c>
      <c r="F40092" s="1">
        <v>1.8504235032436599E-4</v>
      </c>
    </row>
    <row r="40093" spans="1:6" x14ac:dyDescent="0.25">
      <c r="A40093" s="2" t="str">
        <f t="shared" si="1288"/>
        <v>99999</v>
      </c>
      <c r="B40093" s="2" t="str">
        <f>"42029"</f>
        <v>42029</v>
      </c>
      <c r="C40093" s="1">
        <v>3.30361210202497E-4</v>
      </c>
      <c r="D40093" s="1">
        <v>3.0807334270199999E-4</v>
      </c>
      <c r="E40093" s="1">
        <v>1.8685821806788599E-4</v>
      </c>
      <c r="F40093" s="1">
        <v>3.2561484549013402E-4</v>
      </c>
    </row>
    <row r="40094" spans="1:6" x14ac:dyDescent="0.25">
      <c r="A40094" s="2" t="str">
        <f t="shared" si="1288"/>
        <v>99999</v>
      </c>
      <c r="B40094" s="2" t="str">
        <f>"42021"</f>
        <v>42021</v>
      </c>
      <c r="C40094" s="1">
        <v>8.4254659490032297E-5</v>
      </c>
      <c r="D40094" s="1">
        <v>4.2492874855448297E-5</v>
      </c>
      <c r="E40094" s="1">
        <v>6.9528639281073799E-5</v>
      </c>
      <c r="F40094" s="1">
        <v>8.1179869819721895E-5</v>
      </c>
    </row>
    <row r="40095" spans="1:6" x14ac:dyDescent="0.25">
      <c r="A40095" s="2" t="str">
        <f t="shared" si="1288"/>
        <v>99999</v>
      </c>
      <c r="B40095" s="2" t="str">
        <f>"41141"</f>
        <v>41141</v>
      </c>
      <c r="C40095" s="1">
        <v>7.2140323734341103E-5</v>
      </c>
      <c r="D40095" s="1">
        <v>1.8211232080906399E-5</v>
      </c>
      <c r="E40095" s="1">
        <v>4.3455399550671099E-6</v>
      </c>
      <c r="F40095" s="1">
        <v>6.7052980708937E-5</v>
      </c>
    </row>
    <row r="40096" spans="1:6" x14ac:dyDescent="0.25">
      <c r="A40096" s="2" t="str">
        <f t="shared" si="1288"/>
        <v>99999</v>
      </c>
      <c r="B40096" s="2" t="str">
        <f>"41745"</f>
        <v>41745</v>
      </c>
      <c r="C40096" s="1">
        <v>1.39696844750312E-5</v>
      </c>
      <c r="D40096" s="1">
        <v>3.0352053468177301E-6</v>
      </c>
      <c r="E40096" s="1">
        <v>4.3455399550671099E-6</v>
      </c>
      <c r="F40096" s="1">
        <v>1.3032552630372001E-5</v>
      </c>
    </row>
    <row r="40097" spans="1:6" x14ac:dyDescent="0.25">
      <c r="A40097" s="2" t="str">
        <f t="shared" si="1288"/>
        <v>99999</v>
      </c>
      <c r="B40097" s="2" t="str">
        <f>"41834"</f>
        <v>41834</v>
      </c>
      <c r="C40097" s="1">
        <v>1.49519279146818E-5</v>
      </c>
      <c r="D40097" s="1">
        <v>6.0704106936354696E-6</v>
      </c>
      <c r="E40097" s="1">
        <v>1.3036619865201299E-5</v>
      </c>
      <c r="F40097" s="1">
        <v>1.43258593799509E-5</v>
      </c>
    </row>
    <row r="40098" spans="1:6" x14ac:dyDescent="0.25">
      <c r="A40098" s="2" t="str">
        <f t="shared" si="1288"/>
        <v>99999</v>
      </c>
      <c r="B40098" s="2" t="str">
        <f>"41764"</f>
        <v>41764</v>
      </c>
      <c r="C40098" s="1">
        <v>2.2700737271925801E-5</v>
      </c>
      <c r="D40098" s="1">
        <v>1.21408213872709E-5</v>
      </c>
      <c r="E40098" s="1">
        <v>4.3455399550671099E-6</v>
      </c>
      <c r="F40098" s="1">
        <v>2.15882742045094E-5</v>
      </c>
    </row>
    <row r="40099" spans="1:6" x14ac:dyDescent="0.25">
      <c r="A40099" s="2" t="str">
        <f t="shared" si="1288"/>
        <v>99999</v>
      </c>
      <c r="B40099" s="2" t="str">
        <f>"41775"</f>
        <v>41775</v>
      </c>
      <c r="C40099" s="1">
        <v>4.2563882384860804E-6</v>
      </c>
      <c r="D40099" s="1">
        <v>1.51760267340886E-6</v>
      </c>
      <c r="E40099" s="1">
        <v>0</v>
      </c>
      <c r="F40099" s="1">
        <v>3.9794053833197E-6</v>
      </c>
    </row>
    <row r="40100" spans="1:6" x14ac:dyDescent="0.25">
      <c r="A40100" s="2" t="str">
        <f t="shared" si="1288"/>
        <v>99999</v>
      </c>
      <c r="B40100" s="2" t="str">
        <f>"41426"</f>
        <v>41426</v>
      </c>
      <c r="C40100" s="1">
        <v>0</v>
      </c>
      <c r="D40100" s="1">
        <v>0</v>
      </c>
      <c r="E40100" s="1">
        <v>4.3455399550671099E-6</v>
      </c>
      <c r="F40100" s="1">
        <v>9.9485134582992598E-8</v>
      </c>
    </row>
    <row r="40101" spans="1:6" x14ac:dyDescent="0.25">
      <c r="A40101" s="2" t="str">
        <f t="shared" si="1288"/>
        <v>99999</v>
      </c>
      <c r="B40101" s="2" t="str">
        <f>"41268"</f>
        <v>41268</v>
      </c>
      <c r="C40101" s="1">
        <v>3.00129939893249E-5</v>
      </c>
      <c r="D40101" s="1">
        <v>0</v>
      </c>
      <c r="E40101" s="1">
        <v>8.69107991013423E-6</v>
      </c>
      <c r="F40101" s="1">
        <v>2.7557382279488901E-5</v>
      </c>
    </row>
    <row r="40102" spans="1:6" x14ac:dyDescent="0.25">
      <c r="A40102" s="2" t="str">
        <f t="shared" si="1288"/>
        <v>99999</v>
      </c>
      <c r="B40102" s="2" t="str">
        <f>"41366"</f>
        <v>41366</v>
      </c>
      <c r="C40102" s="1">
        <v>6.4391514377097196E-6</v>
      </c>
      <c r="D40102" s="1">
        <v>0</v>
      </c>
      <c r="E40102" s="1">
        <v>4.3455399550671099E-6</v>
      </c>
      <c r="F40102" s="1">
        <v>5.96910807497955E-6</v>
      </c>
    </row>
    <row r="40103" spans="1:6" x14ac:dyDescent="0.25">
      <c r="A40103" s="2" t="str">
        <f t="shared" si="1288"/>
        <v>99999</v>
      </c>
      <c r="B40103" s="2" t="str">
        <f>"41567"</f>
        <v>41567</v>
      </c>
      <c r="C40103" s="1">
        <v>1.73529674338278E-5</v>
      </c>
      <c r="D40103" s="1">
        <v>1.51760267340886E-6</v>
      </c>
      <c r="E40103" s="1">
        <v>8.69107991013423E-6</v>
      </c>
      <c r="F40103" s="1">
        <v>1.61165918024448E-5</v>
      </c>
    </row>
    <row r="40104" spans="1:6" x14ac:dyDescent="0.25">
      <c r="A40104" s="2" t="str">
        <f t="shared" si="1288"/>
        <v>99999</v>
      </c>
      <c r="B40104" s="2" t="str">
        <f>"41719"</f>
        <v>41719</v>
      </c>
      <c r="C40104" s="1">
        <v>4.27821587047832E-5</v>
      </c>
      <c r="D40104" s="1">
        <v>2.4281642774541899E-5</v>
      </c>
      <c r="E40104" s="1">
        <v>2.1727699775335501E-5</v>
      </c>
      <c r="F40104" s="1">
        <v>4.1087360582775899E-5</v>
      </c>
    </row>
    <row r="40105" spans="1:6" x14ac:dyDescent="0.25">
      <c r="A40105" s="2" t="str">
        <f t="shared" si="1288"/>
        <v>99999</v>
      </c>
      <c r="B40105" s="2" t="str">
        <f>"41640"</f>
        <v>41640</v>
      </c>
      <c r="C40105" s="1">
        <v>6.1335645898184094E-5</v>
      </c>
      <c r="D40105" s="1">
        <v>9.1056160404532095E-6</v>
      </c>
      <c r="E40105" s="1">
        <v>5.21464794608054E-5</v>
      </c>
      <c r="F40105" s="1">
        <v>5.7701378058135702E-5</v>
      </c>
    </row>
    <row r="40106" spans="1:6" x14ac:dyDescent="0.25">
      <c r="A40106" s="2" t="str">
        <f t="shared" si="1288"/>
        <v>99999</v>
      </c>
      <c r="B40106" s="2" t="str">
        <f>"41636"</f>
        <v>41636</v>
      </c>
      <c r="C40106" s="1">
        <v>3.9071461266102997E-5</v>
      </c>
      <c r="D40106" s="1">
        <v>7.5880133670443404E-6</v>
      </c>
      <c r="E40106" s="1">
        <v>1.6078497833748299E-4</v>
      </c>
      <c r="F40106" s="1">
        <v>3.9794053833197E-5</v>
      </c>
    </row>
    <row r="40107" spans="1:6" x14ac:dyDescent="0.25">
      <c r="A40107" s="2" t="str">
        <f t="shared" si="1288"/>
        <v>99999</v>
      </c>
      <c r="B40107" s="2" t="str">
        <f>"41562"</f>
        <v>41562</v>
      </c>
      <c r="C40107" s="1">
        <v>1.2496319315555301E-4</v>
      </c>
      <c r="D40107" s="1">
        <v>1.9728834754315301E-5</v>
      </c>
      <c r="E40107" s="1">
        <v>3.9109859595604001E-5</v>
      </c>
      <c r="F40107" s="1">
        <v>1.1609915205835199E-4</v>
      </c>
    </row>
    <row r="40108" spans="1:6" x14ac:dyDescent="0.25">
      <c r="A40108" s="2" t="str">
        <f t="shared" si="1288"/>
        <v>99999</v>
      </c>
      <c r="B40108" s="2" t="str">
        <f>"41501"</f>
        <v>41501</v>
      </c>
      <c r="C40108" s="1">
        <v>1.22071031916581E-3</v>
      </c>
      <c r="D40108" s="1">
        <v>1.9486018326569799E-3</v>
      </c>
      <c r="E40108" s="1">
        <v>3.4242854845928801E-3</v>
      </c>
      <c r="F40108" s="1">
        <v>1.31887442916673E-3</v>
      </c>
    </row>
    <row r="40109" spans="1:6" x14ac:dyDescent="0.25">
      <c r="A40109" s="2" t="str">
        <f t="shared" si="1288"/>
        <v>99999</v>
      </c>
      <c r="B40109" s="2" t="str">
        <f>"41175"</f>
        <v>41175</v>
      </c>
      <c r="C40109" s="1">
        <v>1.09138159961181E-7</v>
      </c>
      <c r="D40109" s="1">
        <v>0</v>
      </c>
      <c r="E40109" s="1">
        <v>0</v>
      </c>
      <c r="F40109" s="1">
        <v>9.9485134582992598E-8</v>
      </c>
    </row>
    <row r="40110" spans="1:6" x14ac:dyDescent="0.25">
      <c r="A40110" s="2" t="str">
        <f t="shared" si="1288"/>
        <v>99999</v>
      </c>
      <c r="B40110" s="2" t="str">
        <f>"41174"</f>
        <v>41174</v>
      </c>
      <c r="C40110" s="1">
        <v>1.5061066074643001E-5</v>
      </c>
      <c r="D40110" s="1">
        <v>1.51760267340886E-6</v>
      </c>
      <c r="E40110" s="1">
        <v>0</v>
      </c>
      <c r="F40110" s="1">
        <v>1.3828433707035901E-5</v>
      </c>
    </row>
    <row r="40111" spans="1:6" x14ac:dyDescent="0.25">
      <c r="A40111" s="2" t="str">
        <f t="shared" si="1288"/>
        <v>99999</v>
      </c>
      <c r="B40111" s="2" t="str">
        <f>"41250"</f>
        <v>41250</v>
      </c>
      <c r="C40111" s="1">
        <v>4.05993955055596E-5</v>
      </c>
      <c r="D40111" s="1">
        <v>6.0704106936354696E-6</v>
      </c>
      <c r="E40111" s="1">
        <v>1.7382159820268399E-5</v>
      </c>
      <c r="F40111" s="1">
        <v>3.7804351141537199E-5</v>
      </c>
    </row>
    <row r="40112" spans="1:6" x14ac:dyDescent="0.25">
      <c r="A40112" s="2" t="str">
        <f t="shared" si="1288"/>
        <v>99999</v>
      </c>
      <c r="B40112" s="2" t="str">
        <f>"41230"</f>
        <v>41230</v>
      </c>
      <c r="C40112" s="1">
        <v>6.8615161167594901E-4</v>
      </c>
      <c r="D40112" s="1">
        <v>5.7365381054855203E-4</v>
      </c>
      <c r="E40112" s="1">
        <v>5.3450141447325503E-4</v>
      </c>
      <c r="F40112" s="1">
        <v>6.7530509354935399E-4</v>
      </c>
    </row>
    <row r="40113" spans="1:6" x14ac:dyDescent="0.25">
      <c r="A40113" s="2" t="str">
        <f t="shared" si="1288"/>
        <v>99999</v>
      </c>
      <c r="B40113" s="2" t="str">
        <f>"41203"</f>
        <v>41203</v>
      </c>
      <c r="C40113" s="1">
        <v>1.28783028754194E-5</v>
      </c>
      <c r="D40113" s="1">
        <v>4.5528080202265997E-6</v>
      </c>
      <c r="E40113" s="1">
        <v>1.39057278562147E-4</v>
      </c>
      <c r="F40113" s="1">
        <v>1.52212255911978E-5</v>
      </c>
    </row>
    <row r="40114" spans="1:6" x14ac:dyDescent="0.25">
      <c r="A40114" s="2" t="str">
        <f t="shared" si="1288"/>
        <v>99999</v>
      </c>
      <c r="B40114" s="2" t="str">
        <f>"41180"</f>
        <v>41180</v>
      </c>
      <c r="C40114" s="1">
        <v>5.8716330059115698E-5</v>
      </c>
      <c r="D40114" s="1">
        <v>7.5880133670443404E-6</v>
      </c>
      <c r="E40114" s="1">
        <v>1.7382159820268399E-5</v>
      </c>
      <c r="F40114" s="1">
        <v>5.4418368616896901E-5</v>
      </c>
    </row>
    <row r="40115" spans="1:6" x14ac:dyDescent="0.25">
      <c r="A40115" s="2" t="str">
        <f t="shared" si="1288"/>
        <v>99999</v>
      </c>
      <c r="B40115" s="2" t="str">
        <f>"41262"</f>
        <v>41262</v>
      </c>
      <c r="C40115" s="1">
        <v>5.0640106221988301E-5</v>
      </c>
      <c r="D40115" s="1">
        <v>3.0352053468177301E-6</v>
      </c>
      <c r="E40115" s="1">
        <v>8.2565259146275205E-5</v>
      </c>
      <c r="F40115" s="1">
        <v>4.8250290272751399E-5</v>
      </c>
    </row>
    <row r="40116" spans="1:6" x14ac:dyDescent="0.25">
      <c r="A40116" s="2" t="str">
        <f t="shared" si="1288"/>
        <v>99999</v>
      </c>
      <c r="B40116" s="2" t="str">
        <f>"41031"</f>
        <v>41031</v>
      </c>
      <c r="C40116" s="1">
        <v>8.1111480483150205E-4</v>
      </c>
      <c r="D40116" s="1">
        <v>9.3180804147304495E-4</v>
      </c>
      <c r="E40116" s="1">
        <v>1.0733483689015699E-3</v>
      </c>
      <c r="F40116" s="1">
        <v>8.2503022109675704E-4</v>
      </c>
    </row>
    <row r="40117" spans="1:6" x14ac:dyDescent="0.25">
      <c r="A40117" s="2" t="str">
        <f t="shared" si="1288"/>
        <v>99999</v>
      </c>
      <c r="B40117" s="2" t="str">
        <f>"40803"</f>
        <v>40803</v>
      </c>
      <c r="C40117" s="1">
        <v>0</v>
      </c>
      <c r="D40117" s="1">
        <v>0</v>
      </c>
      <c r="E40117" s="1">
        <v>4.3455399550671099E-6</v>
      </c>
      <c r="F40117" s="1">
        <v>9.9485134582992598E-8</v>
      </c>
    </row>
    <row r="40118" spans="1:6" x14ac:dyDescent="0.25">
      <c r="A40118" s="2" t="str">
        <f t="shared" si="1288"/>
        <v>99999</v>
      </c>
      <c r="B40118" s="2" t="str">
        <f>"41004"</f>
        <v>41004</v>
      </c>
      <c r="C40118" s="1">
        <v>7.2031185574379897E-6</v>
      </c>
      <c r="D40118" s="1">
        <v>1.51760267340886E-6</v>
      </c>
      <c r="E40118" s="1">
        <v>0</v>
      </c>
      <c r="F40118" s="1">
        <v>6.6655040170604998E-6</v>
      </c>
    </row>
    <row r="40119" spans="1:6" x14ac:dyDescent="0.25">
      <c r="A40119" s="2" t="str">
        <f t="shared" si="1288"/>
        <v>99999</v>
      </c>
      <c r="B40119" s="2" t="str">
        <f>"40447"</f>
        <v>40447</v>
      </c>
      <c r="C40119" s="1">
        <v>4.9679690414329905E-4</v>
      </c>
      <c r="D40119" s="1">
        <v>2.0032355288997E-4</v>
      </c>
      <c r="E40119" s="1">
        <v>2.0424037788815399E-4</v>
      </c>
      <c r="F40119" s="1">
        <v>4.7066417171213798E-4</v>
      </c>
    </row>
    <row r="40120" spans="1:6" x14ac:dyDescent="0.25">
      <c r="A40120" s="2" t="str">
        <f t="shared" si="1288"/>
        <v>99999</v>
      </c>
      <c r="B40120" s="2" t="str">
        <f>"40387"</f>
        <v>40387</v>
      </c>
      <c r="C40120" s="1">
        <v>7.0939803974768102E-6</v>
      </c>
      <c r="D40120" s="1">
        <v>1.51760267340886E-6</v>
      </c>
      <c r="E40120" s="1">
        <v>0</v>
      </c>
      <c r="F40120" s="1">
        <v>6.5660188824775097E-6</v>
      </c>
    </row>
    <row r="40121" spans="1:6" x14ac:dyDescent="0.25">
      <c r="A40121" s="2" t="str">
        <f t="shared" si="1288"/>
        <v>99999</v>
      </c>
      <c r="B40121" s="2" t="str">
        <f>"40376"</f>
        <v>40376</v>
      </c>
      <c r="C40121" s="1">
        <v>3.8198355986413598E-6</v>
      </c>
      <c r="D40121" s="1">
        <v>3.9457669508630602E-5</v>
      </c>
      <c r="E40121" s="1">
        <v>0</v>
      </c>
      <c r="F40121" s="1">
        <v>6.0685932095625502E-6</v>
      </c>
    </row>
    <row r="40122" spans="1:6" x14ac:dyDescent="0.25">
      <c r="A40122" s="2" t="str">
        <f t="shared" si="1288"/>
        <v>99999</v>
      </c>
      <c r="B40122" s="2" t="str">
        <f>"40363"</f>
        <v>40363</v>
      </c>
      <c r="C40122" s="1">
        <v>0</v>
      </c>
      <c r="D40122" s="1">
        <v>0</v>
      </c>
      <c r="E40122" s="1">
        <v>4.3455399550671099E-6</v>
      </c>
      <c r="F40122" s="1">
        <v>9.9485134582992598E-8</v>
      </c>
    </row>
    <row r="40123" spans="1:6" x14ac:dyDescent="0.25">
      <c r="A40123" s="2" t="str">
        <f t="shared" si="1288"/>
        <v>99999</v>
      </c>
      <c r="B40123" s="2" t="str">
        <f>"40379"</f>
        <v>40379</v>
      </c>
      <c r="C40123" s="1">
        <v>3.27414479883545E-6</v>
      </c>
      <c r="D40123" s="1">
        <v>1.51760267340886E-6</v>
      </c>
      <c r="E40123" s="1">
        <v>0</v>
      </c>
      <c r="F40123" s="1">
        <v>3.0840391720727701E-6</v>
      </c>
    </row>
    <row r="40124" spans="1:6" x14ac:dyDescent="0.25">
      <c r="A40124" s="2" t="str">
        <f t="shared" si="1288"/>
        <v>99999</v>
      </c>
      <c r="B40124" s="2" t="str">
        <f>"40143"</f>
        <v>40143</v>
      </c>
      <c r="C40124" s="1">
        <v>2.8408663037895597E-4</v>
      </c>
      <c r="D40124" s="1">
        <v>3.5815423092449297E-4</v>
      </c>
      <c r="E40124" s="1">
        <v>8.2130705150768501E-4</v>
      </c>
      <c r="F40124" s="1">
        <v>3.0124098751730099E-4</v>
      </c>
    </row>
    <row r="40125" spans="1:6" x14ac:dyDescent="0.25">
      <c r="A40125" s="2" t="str">
        <f t="shared" si="1288"/>
        <v>99999</v>
      </c>
      <c r="B40125" s="2" t="str">
        <f>"40140"</f>
        <v>40140</v>
      </c>
      <c r="C40125" s="1">
        <v>3.6888698066879403E-5</v>
      </c>
      <c r="D40125" s="1">
        <v>1.51760267340886E-6</v>
      </c>
      <c r="E40125" s="1">
        <v>1.4340281851721399E-4</v>
      </c>
      <c r="F40125" s="1">
        <v>3.7008470064873197E-5</v>
      </c>
    </row>
    <row r="40126" spans="1:6" x14ac:dyDescent="0.25">
      <c r="A40126" s="2" t="str">
        <f t="shared" si="1288"/>
        <v>99999</v>
      </c>
      <c r="B40126" s="2" t="str">
        <f>"39701"</f>
        <v>39701</v>
      </c>
      <c r="C40126" s="1">
        <v>2.1827631992236301E-7</v>
      </c>
      <c r="D40126" s="1">
        <v>0</v>
      </c>
      <c r="E40126" s="1">
        <v>0</v>
      </c>
      <c r="F40126" s="1">
        <v>1.9897026916598501E-7</v>
      </c>
    </row>
    <row r="40127" spans="1:6" x14ac:dyDescent="0.25">
      <c r="A40127" s="2" t="str">
        <f t="shared" si="1288"/>
        <v>99999</v>
      </c>
      <c r="B40127" s="2" t="str">
        <f>"39730"</f>
        <v>39730</v>
      </c>
      <c r="C40127" s="1">
        <v>6.2285147889846397E-4</v>
      </c>
      <c r="D40127" s="1">
        <v>8.9993838533145899E-4</v>
      </c>
      <c r="E40127" s="1">
        <v>2.6073239730402698E-4</v>
      </c>
      <c r="F40127" s="1">
        <v>6.3272545594783298E-4</v>
      </c>
    </row>
    <row r="40128" spans="1:6" x14ac:dyDescent="0.25">
      <c r="A40128" s="2" t="str">
        <f t="shared" si="1288"/>
        <v>99999</v>
      </c>
      <c r="B40128" s="2" t="str">
        <f>"39867"</f>
        <v>39867</v>
      </c>
      <c r="C40128" s="1">
        <v>1.93174543131291E-5</v>
      </c>
      <c r="D40128" s="1">
        <v>6.0704106936354696E-6</v>
      </c>
      <c r="E40128" s="1">
        <v>0</v>
      </c>
      <c r="F40128" s="1">
        <v>1.8006809359521599E-5</v>
      </c>
    </row>
    <row r="40129" spans="1:6" x14ac:dyDescent="0.25">
      <c r="A40129" s="2" t="str">
        <f t="shared" si="1288"/>
        <v>99999</v>
      </c>
      <c r="B40129" s="2" t="str">
        <f>"39854"</f>
        <v>39854</v>
      </c>
      <c r="C40129" s="1">
        <v>1.44062371148759E-5</v>
      </c>
      <c r="D40129" s="1">
        <v>3.0352053468177301E-6</v>
      </c>
      <c r="E40129" s="1">
        <v>0</v>
      </c>
      <c r="F40129" s="1">
        <v>1.3331008034121E-5</v>
      </c>
    </row>
    <row r="40130" spans="1:6" x14ac:dyDescent="0.25">
      <c r="A40130" s="2" t="str">
        <f t="shared" si="1288"/>
        <v>99999</v>
      </c>
      <c r="B40130" s="2" t="str">
        <f>"39823"</f>
        <v>39823</v>
      </c>
      <c r="C40130" s="1">
        <v>5.0061673974193996E-4</v>
      </c>
      <c r="D40130" s="1">
        <v>8.1950544364078903E-4</v>
      </c>
      <c r="E40130" s="1">
        <v>2.99842256899631E-4</v>
      </c>
      <c r="F40130" s="1">
        <v>5.1692475929322897E-4</v>
      </c>
    </row>
    <row r="40131" spans="1:6" x14ac:dyDescent="0.25">
      <c r="A40131" s="2" t="str">
        <f t="shared" si="1288"/>
        <v>99999</v>
      </c>
      <c r="B40131" s="2" t="str">
        <f>"39648"</f>
        <v>39648</v>
      </c>
      <c r="C40131" s="1">
        <v>2.1827631992236301E-7</v>
      </c>
      <c r="D40131" s="1">
        <v>0</v>
      </c>
      <c r="E40131" s="1">
        <v>0</v>
      </c>
      <c r="F40131" s="1">
        <v>1.9897026916598501E-7</v>
      </c>
    </row>
    <row r="40132" spans="1:6" x14ac:dyDescent="0.25">
      <c r="A40132" s="2" t="str">
        <f t="shared" si="1288"/>
        <v>99999</v>
      </c>
      <c r="B40132" s="2" t="str">
        <f>"39645"</f>
        <v>39645</v>
      </c>
      <c r="C40132" s="1">
        <v>3.1955653236634E-4</v>
      </c>
      <c r="D40132" s="1">
        <v>1.09267392485438E-4</v>
      </c>
      <c r="E40132" s="1">
        <v>1.7382159820268399E-5</v>
      </c>
      <c r="F40132" s="1">
        <v>2.9885334428730902E-4</v>
      </c>
    </row>
    <row r="40133" spans="1:6" x14ac:dyDescent="0.25">
      <c r="A40133" s="2" t="str">
        <f t="shared" si="1288"/>
        <v>99999</v>
      </c>
      <c r="B40133" s="2" t="str">
        <f>"39633"</f>
        <v>39633</v>
      </c>
      <c r="C40133" s="1">
        <v>6.8757040775544405E-5</v>
      </c>
      <c r="D40133" s="1">
        <v>2.1246437427724101E-5</v>
      </c>
      <c r="E40133" s="1">
        <v>8.69107991013423E-6</v>
      </c>
      <c r="F40133" s="1">
        <v>6.4267396940613205E-5</v>
      </c>
    </row>
    <row r="40134" spans="1:6" x14ac:dyDescent="0.25">
      <c r="A40134" s="2" t="str">
        <f t="shared" si="1288"/>
        <v>99999</v>
      </c>
      <c r="B40134" s="2" t="str">
        <f>"39752"</f>
        <v>39752</v>
      </c>
      <c r="C40134" s="1">
        <v>5.8934606379038102E-5</v>
      </c>
      <c r="D40134" s="1">
        <v>2.4281642774541899E-5</v>
      </c>
      <c r="E40134" s="1">
        <v>0</v>
      </c>
      <c r="F40134" s="1">
        <v>5.5313734828143901E-5</v>
      </c>
    </row>
    <row r="40135" spans="1:6" x14ac:dyDescent="0.25">
      <c r="A40135" s="2" t="str">
        <f t="shared" si="1288"/>
        <v>99999</v>
      </c>
      <c r="B40135" s="2" t="str">
        <f>"39745"</f>
        <v>39745</v>
      </c>
      <c r="C40135" s="1">
        <v>4.8675619342686997E-5</v>
      </c>
      <c r="D40135" s="1">
        <v>2.2764040101133E-5</v>
      </c>
      <c r="E40135" s="1">
        <v>8.69107991013423E-6</v>
      </c>
      <c r="F40135" s="1">
        <v>4.60616173119255E-5</v>
      </c>
    </row>
    <row r="40136" spans="1:6" x14ac:dyDescent="0.25">
      <c r="A40136" s="2" t="str">
        <f t="shared" si="1288"/>
        <v>99999</v>
      </c>
      <c r="B40136" s="2" t="str">
        <f>"39423"</f>
        <v>39423</v>
      </c>
      <c r="C40136" s="1">
        <v>6.5482895976708995E-7</v>
      </c>
      <c r="D40136" s="1">
        <v>1.51760267340886E-6</v>
      </c>
      <c r="E40136" s="1">
        <v>0</v>
      </c>
      <c r="F40136" s="1">
        <v>6.9639594208094799E-7</v>
      </c>
    </row>
    <row r="40137" spans="1:6" x14ac:dyDescent="0.25">
      <c r="A40137" s="2" t="str">
        <f t="shared" si="1288"/>
        <v>99999</v>
      </c>
      <c r="B40137" s="2" t="str">
        <f>"39367"</f>
        <v>39367</v>
      </c>
      <c r="C40137" s="1">
        <v>8.6481077953240405E-4</v>
      </c>
      <c r="D40137" s="1">
        <v>1.10481474624165E-3</v>
      </c>
      <c r="E40137" s="1">
        <v>3.7806197609083903E-4</v>
      </c>
      <c r="F40137" s="1">
        <v>8.69400591120772E-4</v>
      </c>
    </row>
    <row r="40138" spans="1:6" x14ac:dyDescent="0.25">
      <c r="A40138" s="2" t="str">
        <f t="shared" si="1288"/>
        <v>99999</v>
      </c>
      <c r="B40138" s="2" t="str">
        <f>"39455"</f>
        <v>39455</v>
      </c>
      <c r="C40138" s="1">
        <v>2.5101776791071799E-6</v>
      </c>
      <c r="D40138" s="1">
        <v>3.0352053468177301E-6</v>
      </c>
      <c r="E40138" s="1">
        <v>0</v>
      </c>
      <c r="F40138" s="1">
        <v>2.48712836457481E-6</v>
      </c>
    </row>
    <row r="40139" spans="1:6" x14ac:dyDescent="0.25">
      <c r="A40139" s="2" t="str">
        <f t="shared" si="1288"/>
        <v>99999</v>
      </c>
      <c r="B40139" s="2" t="str">
        <f>"39322"</f>
        <v>39322</v>
      </c>
      <c r="C40139" s="1">
        <v>1.01280212443976E-4</v>
      </c>
      <c r="D40139" s="1">
        <v>3.1869656141586203E-5</v>
      </c>
      <c r="E40139" s="1">
        <v>8.69107991013423E-6</v>
      </c>
      <c r="F40139" s="1">
        <v>9.4610362988425901E-5</v>
      </c>
    </row>
    <row r="40140" spans="1:6" x14ac:dyDescent="0.25">
      <c r="A40140" s="2" t="str">
        <f t="shared" si="1288"/>
        <v>99999</v>
      </c>
      <c r="B40140" s="2" t="str">
        <f>"39153"</f>
        <v>39153</v>
      </c>
      <c r="C40140" s="1">
        <v>1.717834637789E-4</v>
      </c>
      <c r="D40140" s="1">
        <v>6.8292120303399095E-5</v>
      </c>
      <c r="E40140" s="1">
        <v>1.7382159820268399E-5</v>
      </c>
      <c r="F40140" s="1">
        <v>1.61464373428197E-4</v>
      </c>
    </row>
    <row r="40141" spans="1:6" x14ac:dyDescent="0.25">
      <c r="A40141" s="2" t="str">
        <f t="shared" si="1288"/>
        <v>99999</v>
      </c>
      <c r="B40141" s="2" t="str">
        <f>"39150"</f>
        <v>39150</v>
      </c>
      <c r="C40141" s="1">
        <v>3.2228498636536899E-4</v>
      </c>
      <c r="D40141" s="1">
        <v>3.6270703894471901E-4</v>
      </c>
      <c r="E40141" s="1">
        <v>1.8685821806788599E-4</v>
      </c>
      <c r="F40141" s="1">
        <v>3.2183441037598098E-4</v>
      </c>
    </row>
    <row r="40142" spans="1:6" x14ac:dyDescent="0.25">
      <c r="A40142" s="2" t="str">
        <f t="shared" si="1288"/>
        <v>99999</v>
      </c>
      <c r="B40142" s="2" t="str">
        <f>"39115"</f>
        <v>39115</v>
      </c>
      <c r="C40142" s="1">
        <v>0</v>
      </c>
      <c r="D40142" s="1">
        <v>1.51760267340886E-6</v>
      </c>
      <c r="E40142" s="1">
        <v>0</v>
      </c>
      <c r="F40142" s="1">
        <v>9.9485134582992598E-8</v>
      </c>
    </row>
    <row r="40143" spans="1:6" x14ac:dyDescent="0.25">
      <c r="A40143" s="2" t="str">
        <f t="shared" si="1288"/>
        <v>99999</v>
      </c>
      <c r="B40143" s="2" t="str">
        <f>"39090"</f>
        <v>39090</v>
      </c>
      <c r="C40143" s="1">
        <v>7.2009357942387703E-4</v>
      </c>
      <c r="D40143" s="1">
        <v>9.8644173771576501E-4</v>
      </c>
      <c r="E40143" s="1">
        <v>2.3900469752869099E-4</v>
      </c>
      <c r="F40143" s="1">
        <v>7.26539937859595E-4</v>
      </c>
    </row>
    <row r="40144" spans="1:6" x14ac:dyDescent="0.25">
      <c r="A40144" s="2" t="str">
        <f t="shared" si="1288"/>
        <v>99999</v>
      </c>
      <c r="B40144" s="2" t="str">
        <f>"38765"</f>
        <v>38765</v>
      </c>
      <c r="C40144" s="1">
        <v>2.1827631992236301E-7</v>
      </c>
      <c r="D40144" s="1">
        <v>1.51760267340886E-6</v>
      </c>
      <c r="E40144" s="1">
        <v>0</v>
      </c>
      <c r="F40144" s="1">
        <v>2.9845540374897701E-7</v>
      </c>
    </row>
    <row r="40145" spans="1:6" x14ac:dyDescent="0.25">
      <c r="A40145" s="2" t="str">
        <f t="shared" si="1288"/>
        <v>99999</v>
      </c>
      <c r="B40145" s="2" t="str">
        <f>"38754"</f>
        <v>38754</v>
      </c>
      <c r="C40145" s="1">
        <v>7.5851021173021306E-5</v>
      </c>
      <c r="D40145" s="1">
        <v>4.0975272182039399E-5</v>
      </c>
      <c r="E40145" s="1">
        <v>6.0837559370939603E-5</v>
      </c>
      <c r="F40145" s="1">
        <v>7.3221059053082502E-5</v>
      </c>
    </row>
    <row r="40146" spans="1:6" x14ac:dyDescent="0.25">
      <c r="A40146" s="2" t="str">
        <f t="shared" ref="A40146:A40209" si="1289">"99999"</f>
        <v>99999</v>
      </c>
      <c r="B40146" s="2" t="str">
        <f>"38922"</f>
        <v>38922</v>
      </c>
      <c r="C40146" s="1">
        <v>1.9142833257191201E-4</v>
      </c>
      <c r="D40146" s="1">
        <v>1.6845389674838401E-4</v>
      </c>
      <c r="E40146" s="1">
        <v>1.7382159820268399E-5</v>
      </c>
      <c r="F40146" s="1">
        <v>1.8593771653561299E-4</v>
      </c>
    </row>
    <row r="40147" spans="1:6" x14ac:dyDescent="0.25">
      <c r="A40147" s="2" t="str">
        <f t="shared" si="1289"/>
        <v>99999</v>
      </c>
      <c r="B40147" s="2" t="str">
        <f>"38848"</f>
        <v>38848</v>
      </c>
      <c r="C40147" s="1">
        <v>5.2168040461444802E-5</v>
      </c>
      <c r="D40147" s="1">
        <v>4.0975272182039399E-5</v>
      </c>
      <c r="E40147" s="1">
        <v>0</v>
      </c>
      <c r="F40147" s="1">
        <v>5.02399929644112E-5</v>
      </c>
    </row>
    <row r="40148" spans="1:6" x14ac:dyDescent="0.25">
      <c r="A40148" s="2" t="str">
        <f t="shared" si="1289"/>
        <v>99999</v>
      </c>
      <c r="B40148" s="2" t="str">
        <f>"38901"</f>
        <v>38901</v>
      </c>
      <c r="C40148" s="1">
        <v>6.9848422375156299E-6</v>
      </c>
      <c r="D40148" s="1">
        <v>0</v>
      </c>
      <c r="E40148" s="1">
        <v>0</v>
      </c>
      <c r="F40148" s="1">
        <v>6.3670486133115203E-6</v>
      </c>
    </row>
    <row r="40149" spans="1:6" x14ac:dyDescent="0.25">
      <c r="A40149" s="2" t="str">
        <f t="shared" si="1289"/>
        <v>99999</v>
      </c>
      <c r="B40149" s="2" t="str">
        <f>"38658"</f>
        <v>38658</v>
      </c>
      <c r="C40149" s="1">
        <v>1.25945436595203E-4</v>
      </c>
      <c r="D40149" s="1">
        <v>4.0975272182039399E-5</v>
      </c>
      <c r="E40149" s="1">
        <v>0</v>
      </c>
      <c r="F40149" s="1">
        <v>1.17491943942514E-4</v>
      </c>
    </row>
    <row r="40150" spans="1:6" x14ac:dyDescent="0.25">
      <c r="A40150" s="2" t="str">
        <f t="shared" si="1289"/>
        <v>99999</v>
      </c>
      <c r="B40150" s="2" t="str">
        <f>"38825"</f>
        <v>38825</v>
      </c>
      <c r="C40150" s="1">
        <v>0</v>
      </c>
      <c r="D40150" s="1">
        <v>1.51760267340886E-6</v>
      </c>
      <c r="E40150" s="1">
        <v>0</v>
      </c>
      <c r="F40150" s="1">
        <v>9.9485134582992598E-8</v>
      </c>
    </row>
    <row r="40151" spans="1:6" x14ac:dyDescent="0.25">
      <c r="A40151" s="2" t="str">
        <f t="shared" si="1289"/>
        <v>99999</v>
      </c>
      <c r="B40151" s="2" t="str">
        <f>"38380"</f>
        <v>38380</v>
      </c>
      <c r="C40151" s="1">
        <v>6.10082314183005E-5</v>
      </c>
      <c r="D40151" s="1">
        <v>2.5799245447950699E-5</v>
      </c>
      <c r="E40151" s="1">
        <v>0</v>
      </c>
      <c r="F40151" s="1">
        <v>5.7303437519803702E-5</v>
      </c>
    </row>
    <row r="40152" spans="1:6" x14ac:dyDescent="0.25">
      <c r="A40152" s="2" t="str">
        <f t="shared" si="1289"/>
        <v>99999</v>
      </c>
      <c r="B40152" s="2" t="str">
        <f>"38567"</f>
        <v>38567</v>
      </c>
      <c r="C40152" s="1">
        <v>3.05586847891308E-6</v>
      </c>
      <c r="D40152" s="1">
        <v>0</v>
      </c>
      <c r="E40152" s="1">
        <v>0</v>
      </c>
      <c r="F40152" s="1">
        <v>2.7855837683237898E-6</v>
      </c>
    </row>
    <row r="40153" spans="1:6" x14ac:dyDescent="0.25">
      <c r="A40153" s="2" t="str">
        <f t="shared" si="1289"/>
        <v>99999</v>
      </c>
      <c r="B40153" s="2" t="str">
        <f>"38569"</f>
        <v>38569</v>
      </c>
      <c r="C40153" s="1">
        <v>3.4705934867655701E-5</v>
      </c>
      <c r="D40153" s="1">
        <v>2.2764040101133E-5</v>
      </c>
      <c r="E40153" s="1">
        <v>4.3455399550671099E-6</v>
      </c>
      <c r="F40153" s="1">
        <v>3.3228034950719498E-5</v>
      </c>
    </row>
    <row r="40154" spans="1:6" x14ac:dyDescent="0.25">
      <c r="A40154" s="2" t="str">
        <f t="shared" si="1289"/>
        <v>99999</v>
      </c>
      <c r="B40154" s="2" t="str">
        <f>"38582"</f>
        <v>38582</v>
      </c>
      <c r="C40154" s="1">
        <v>2.8812474229751901E-5</v>
      </c>
      <c r="D40154" s="1">
        <v>1.8211232080906399E-5</v>
      </c>
      <c r="E40154" s="1">
        <v>4.3455399550671099E-6</v>
      </c>
      <c r="F40154" s="1">
        <v>2.7557382279488901E-5</v>
      </c>
    </row>
    <row r="40155" spans="1:6" x14ac:dyDescent="0.25">
      <c r="A40155" s="2" t="str">
        <f t="shared" si="1289"/>
        <v>99999</v>
      </c>
      <c r="B40155" s="2" t="str">
        <f>"38579"</f>
        <v>38579</v>
      </c>
      <c r="C40155" s="1">
        <v>6.4937205176903101E-5</v>
      </c>
      <c r="D40155" s="1">
        <v>1.21408213872709E-5</v>
      </c>
      <c r="E40155" s="1">
        <v>0</v>
      </c>
      <c r="F40155" s="1">
        <v>5.9989536153544499E-5</v>
      </c>
    </row>
    <row r="40156" spans="1:6" x14ac:dyDescent="0.25">
      <c r="A40156" s="2" t="str">
        <f t="shared" si="1289"/>
        <v>99999</v>
      </c>
      <c r="B40156" s="2" t="str">
        <f>"38365"</f>
        <v>38365</v>
      </c>
      <c r="C40156" s="1">
        <v>0</v>
      </c>
      <c r="D40156" s="1">
        <v>1.51760267340886E-6</v>
      </c>
      <c r="E40156" s="1">
        <v>0</v>
      </c>
      <c r="F40156" s="1">
        <v>9.9485134582992598E-8</v>
      </c>
    </row>
    <row r="40157" spans="1:6" x14ac:dyDescent="0.25">
      <c r="A40157" s="2" t="str">
        <f t="shared" si="1289"/>
        <v>99999</v>
      </c>
      <c r="B40157" s="2" t="str">
        <f>"38367"</f>
        <v>38367</v>
      </c>
      <c r="C40157" s="1">
        <v>1.50719798906391E-4</v>
      </c>
      <c r="D40157" s="1">
        <v>8.1950544364078906E-5</v>
      </c>
      <c r="E40157" s="1">
        <v>0</v>
      </c>
      <c r="F40157" s="1">
        <v>1.4276116812659401E-4</v>
      </c>
    </row>
    <row r="40158" spans="1:6" x14ac:dyDescent="0.25">
      <c r="A40158" s="2" t="str">
        <f t="shared" si="1289"/>
        <v>99999</v>
      </c>
      <c r="B40158" s="2" t="str">
        <f>"38543"</f>
        <v>38543</v>
      </c>
      <c r="C40158" s="1">
        <v>1.49519279146818E-5</v>
      </c>
      <c r="D40158" s="1">
        <v>4.5528080202265997E-6</v>
      </c>
      <c r="E40158" s="1">
        <v>0</v>
      </c>
      <c r="F40158" s="1">
        <v>1.3927918841618899E-5</v>
      </c>
    </row>
    <row r="40159" spans="1:6" x14ac:dyDescent="0.25">
      <c r="A40159" s="2" t="str">
        <f t="shared" si="1289"/>
        <v>99999</v>
      </c>
      <c r="B40159" s="2" t="str">
        <f>"38320"</f>
        <v>38320</v>
      </c>
      <c r="C40159" s="1">
        <v>6.6137724936476104E-4</v>
      </c>
      <c r="D40159" s="1">
        <v>8.9538557731123198E-4</v>
      </c>
      <c r="E40159" s="1">
        <v>3.1287887676483201E-4</v>
      </c>
      <c r="F40159" s="1">
        <v>6.6873907466687599E-4</v>
      </c>
    </row>
    <row r="40160" spans="1:6" x14ac:dyDescent="0.25">
      <c r="A40160" s="2" t="str">
        <f t="shared" si="1289"/>
        <v>99999</v>
      </c>
      <c r="B40160" s="2" t="str">
        <f>"38221"</f>
        <v>38221</v>
      </c>
      <c r="C40160" s="1">
        <v>2.1456562248368301E-4</v>
      </c>
      <c r="D40160" s="1">
        <v>7.7397736343852298E-5</v>
      </c>
      <c r="E40160" s="1">
        <v>4.3455399550671099E-6</v>
      </c>
      <c r="F40160" s="1">
        <v>2.0076100158847901E-4</v>
      </c>
    </row>
    <row r="40161" spans="1:6" x14ac:dyDescent="0.25">
      <c r="A40161" s="2" t="str">
        <f t="shared" si="1289"/>
        <v>99999</v>
      </c>
      <c r="B40161" s="2" t="str">
        <f>"38063"</f>
        <v>38063</v>
      </c>
      <c r="C40161" s="1">
        <v>8.27158114345796E-4</v>
      </c>
      <c r="D40161" s="1">
        <v>1.0092057778168901E-3</v>
      </c>
      <c r="E40161" s="1">
        <v>1.38622724566641E-3</v>
      </c>
      <c r="F40161" s="1">
        <v>8.5189120743416503E-4</v>
      </c>
    </row>
    <row r="40162" spans="1:6" x14ac:dyDescent="0.25">
      <c r="A40162" s="2" t="str">
        <f t="shared" si="1289"/>
        <v>99999</v>
      </c>
      <c r="B40162" s="2" t="str">
        <f>"37892"</f>
        <v>37892</v>
      </c>
      <c r="C40162" s="1">
        <v>9.6150718925801099E-5</v>
      </c>
      <c r="D40162" s="1">
        <v>4.8563285549083798E-5</v>
      </c>
      <c r="E40162" s="1">
        <v>8.69107991013423E-6</v>
      </c>
      <c r="F40162" s="1">
        <v>9.1028898143438199E-5</v>
      </c>
    </row>
    <row r="40163" spans="1:6" x14ac:dyDescent="0.25">
      <c r="A40163" s="2" t="str">
        <f t="shared" si="1289"/>
        <v>99999</v>
      </c>
      <c r="B40163" s="2" t="str">
        <f>"37826"</f>
        <v>37826</v>
      </c>
      <c r="C40163" s="1">
        <v>3.6015592787189902E-6</v>
      </c>
      <c r="D40163" s="1">
        <v>0</v>
      </c>
      <c r="E40163" s="1">
        <v>0</v>
      </c>
      <c r="F40163" s="1">
        <v>3.2830094412387502E-6</v>
      </c>
    </row>
    <row r="40164" spans="1:6" x14ac:dyDescent="0.25">
      <c r="A40164" s="2" t="str">
        <f t="shared" si="1289"/>
        <v>99999</v>
      </c>
      <c r="B40164" s="2" t="str">
        <f>"37825"</f>
        <v>37825</v>
      </c>
      <c r="C40164" s="1">
        <v>5.3259422061056601E-4</v>
      </c>
      <c r="D40164" s="1">
        <v>4.8259765014401997E-4</v>
      </c>
      <c r="E40164" s="1">
        <v>4.56281695282047E-4</v>
      </c>
      <c r="F40164" s="1">
        <v>5.2756966869360903E-4</v>
      </c>
    </row>
    <row r="40165" spans="1:6" x14ac:dyDescent="0.25">
      <c r="A40165" s="2" t="str">
        <f t="shared" si="1289"/>
        <v>99999</v>
      </c>
      <c r="B40165" s="2" t="str">
        <f>"37756"</f>
        <v>37756</v>
      </c>
      <c r="C40165" s="1">
        <v>1.5224773314584801E-4</v>
      </c>
      <c r="D40165" s="1">
        <v>1.9880595021656101E-4</v>
      </c>
      <c r="E40165" s="1">
        <v>7.8219719191208097E-5</v>
      </c>
      <c r="F40165" s="1">
        <v>1.5360504779614E-4</v>
      </c>
    </row>
    <row r="40166" spans="1:6" x14ac:dyDescent="0.25">
      <c r="A40166" s="2" t="str">
        <f t="shared" si="1289"/>
        <v>99999</v>
      </c>
      <c r="B40166" s="2" t="str">
        <f>"37338"</f>
        <v>37338</v>
      </c>
      <c r="C40166" s="1">
        <v>5.6751843179814502E-5</v>
      </c>
      <c r="D40166" s="1">
        <v>1.0623218713862E-5</v>
      </c>
      <c r="E40166" s="1">
        <v>0</v>
      </c>
      <c r="F40166" s="1">
        <v>5.24286659252371E-5</v>
      </c>
    </row>
    <row r="40167" spans="1:6" x14ac:dyDescent="0.25">
      <c r="A40167" s="2" t="str">
        <f t="shared" si="1289"/>
        <v>99999</v>
      </c>
      <c r="B40167" s="2" t="str">
        <f>"37336"</f>
        <v>37336</v>
      </c>
      <c r="C40167" s="1">
        <v>7.6724126452710695E-5</v>
      </c>
      <c r="D40167" s="1">
        <v>2.88344507947685E-5</v>
      </c>
      <c r="E40167" s="1">
        <v>1.7382159820268399E-5</v>
      </c>
      <c r="F40167" s="1">
        <v>7.2226207707252598E-5</v>
      </c>
    </row>
    <row r="40168" spans="1:6" x14ac:dyDescent="0.25">
      <c r="A40168" s="2" t="str">
        <f t="shared" si="1289"/>
        <v>99999</v>
      </c>
      <c r="B40168" s="2" t="str">
        <f>"37385"</f>
        <v>37385</v>
      </c>
      <c r="C40168" s="1">
        <v>5.1022089781852398E-4</v>
      </c>
      <c r="D40168" s="1">
        <v>2.9441491864132003E-4</v>
      </c>
      <c r="E40168" s="1">
        <v>1.39057278562147E-4</v>
      </c>
      <c r="F40168" s="1">
        <v>4.8757664459124598E-4</v>
      </c>
    </row>
    <row r="40169" spans="1:6" x14ac:dyDescent="0.25">
      <c r="A40169" s="2" t="str">
        <f t="shared" si="1289"/>
        <v>99999</v>
      </c>
      <c r="B40169" s="2" t="str">
        <f>"37314"</f>
        <v>37314</v>
      </c>
      <c r="C40169" s="1">
        <v>0</v>
      </c>
      <c r="D40169" s="1">
        <v>1.51760267340886E-6</v>
      </c>
      <c r="E40169" s="1">
        <v>0</v>
      </c>
      <c r="F40169" s="1">
        <v>9.9485134582992598E-8</v>
      </c>
    </row>
    <row r="40170" spans="1:6" x14ac:dyDescent="0.25">
      <c r="A40170" s="2" t="str">
        <f t="shared" si="1289"/>
        <v>99999</v>
      </c>
      <c r="B40170" s="2" t="str">
        <f>"37322"</f>
        <v>37322</v>
      </c>
      <c r="C40170" s="1">
        <v>4.8664705526690899E-4</v>
      </c>
      <c r="D40170" s="1">
        <v>2.7923889190723103E-4</v>
      </c>
      <c r="E40170" s="1">
        <v>2.6942347721416101E-4</v>
      </c>
      <c r="F40170" s="1">
        <v>4.6807755821297997E-4</v>
      </c>
    </row>
    <row r="40171" spans="1:6" x14ac:dyDescent="0.25">
      <c r="A40171" s="2" t="str">
        <f t="shared" si="1289"/>
        <v>99999</v>
      </c>
      <c r="B40171" s="2" t="str">
        <f>"37313"</f>
        <v>37313</v>
      </c>
      <c r="C40171" s="1">
        <v>5.0640106221988301E-5</v>
      </c>
      <c r="D40171" s="1">
        <v>4.0975272182039399E-5</v>
      </c>
      <c r="E40171" s="1">
        <v>2.60732397304027E-5</v>
      </c>
      <c r="F40171" s="1">
        <v>4.94441118877473E-5</v>
      </c>
    </row>
    <row r="40172" spans="1:6" x14ac:dyDescent="0.25">
      <c r="A40172" s="2" t="str">
        <f t="shared" si="1289"/>
        <v>99999</v>
      </c>
      <c r="B40172" s="2" t="str">
        <f>"37301"</f>
        <v>37301</v>
      </c>
      <c r="C40172" s="1">
        <v>7.0503251334923399E-5</v>
      </c>
      <c r="D40172" s="1">
        <v>2.4281642774541899E-5</v>
      </c>
      <c r="E40172" s="1">
        <v>0</v>
      </c>
      <c r="F40172" s="1">
        <v>6.5859159093941099E-5</v>
      </c>
    </row>
    <row r="40173" spans="1:6" x14ac:dyDescent="0.25">
      <c r="A40173" s="2" t="str">
        <f t="shared" si="1289"/>
        <v>99999</v>
      </c>
      <c r="B40173" s="2" t="str">
        <f>"37175"</f>
        <v>37175</v>
      </c>
      <c r="C40173" s="1">
        <v>5.8716330059115698E-5</v>
      </c>
      <c r="D40173" s="1">
        <v>1.21408213872709E-5</v>
      </c>
      <c r="E40173" s="1">
        <v>4.3455399550671099E-6</v>
      </c>
      <c r="F40173" s="1">
        <v>5.4418368616896901E-5</v>
      </c>
    </row>
    <row r="40174" spans="1:6" x14ac:dyDescent="0.25">
      <c r="A40174" s="2" t="str">
        <f t="shared" si="1289"/>
        <v>99999</v>
      </c>
      <c r="B40174" s="2" t="str">
        <f>"37101"</f>
        <v>37101</v>
      </c>
      <c r="C40174" s="1">
        <v>3.4105674987869197E-4</v>
      </c>
      <c r="D40174" s="1">
        <v>2.3826361972519201E-4</v>
      </c>
      <c r="E40174" s="1">
        <v>1.2602065869694599E-4</v>
      </c>
      <c r="F40174" s="1">
        <v>3.2939528060428797E-4</v>
      </c>
    </row>
    <row r="40175" spans="1:6" x14ac:dyDescent="0.25">
      <c r="A40175" s="2" t="str">
        <f t="shared" si="1289"/>
        <v>99999</v>
      </c>
      <c r="B40175" s="2" t="str">
        <f>"36901"</f>
        <v>36901</v>
      </c>
      <c r="C40175" s="1">
        <v>9.9315725564675307E-6</v>
      </c>
      <c r="D40175" s="1">
        <v>3.0352053468177301E-6</v>
      </c>
      <c r="E40175" s="1">
        <v>0</v>
      </c>
      <c r="F40175" s="1">
        <v>9.2521175162183095E-6</v>
      </c>
    </row>
    <row r="40176" spans="1:6" x14ac:dyDescent="0.25">
      <c r="A40176" s="2" t="str">
        <f t="shared" si="1289"/>
        <v>99999</v>
      </c>
      <c r="B40176" s="2" t="str">
        <f>"36922"</f>
        <v>36922</v>
      </c>
      <c r="C40176" s="1">
        <v>4.6820270623346902E-5</v>
      </c>
      <c r="D40176" s="1">
        <v>7.5880133670443404E-6</v>
      </c>
      <c r="E40176" s="1">
        <v>0</v>
      </c>
      <c r="F40176" s="1">
        <v>4.31765484090188E-5</v>
      </c>
    </row>
    <row r="40177" spans="1:6" x14ac:dyDescent="0.25">
      <c r="A40177" s="2" t="str">
        <f t="shared" si="1289"/>
        <v>99999</v>
      </c>
      <c r="B40177" s="2" t="str">
        <f>"36925"</f>
        <v>36925</v>
      </c>
      <c r="C40177" s="1">
        <v>2.06052846006711E-4</v>
      </c>
      <c r="D40177" s="1">
        <v>2.5192204378587197E-4</v>
      </c>
      <c r="E40177" s="1">
        <v>1.9120375802295301E-4</v>
      </c>
      <c r="F40177" s="1">
        <v>2.0871981235511799E-4</v>
      </c>
    </row>
    <row r="40178" spans="1:6" x14ac:dyDescent="0.25">
      <c r="A40178" s="2" t="str">
        <f t="shared" si="1289"/>
        <v>99999</v>
      </c>
      <c r="B40178" s="2" t="str">
        <f>"36904"</f>
        <v>36904</v>
      </c>
      <c r="C40178" s="1">
        <v>2.5145432055056197E-4</v>
      </c>
      <c r="D40178" s="1">
        <v>4.8866806083765495E-4</v>
      </c>
      <c r="E40178" s="1">
        <v>1.21675118741879E-4</v>
      </c>
      <c r="F40178" s="1">
        <v>2.6403354718326202E-4</v>
      </c>
    </row>
    <row r="40179" spans="1:6" x14ac:dyDescent="0.25">
      <c r="A40179" s="2" t="str">
        <f t="shared" si="1289"/>
        <v>99999</v>
      </c>
      <c r="B40179" s="2" t="str">
        <f>"36866"</f>
        <v>36866</v>
      </c>
      <c r="C40179" s="1">
        <v>1.7560329937754099E-4</v>
      </c>
      <c r="D40179" s="1">
        <v>4.8563285549083798E-5</v>
      </c>
      <c r="E40179" s="1">
        <v>7.3874179236140894E-5</v>
      </c>
      <c r="F40179" s="1">
        <v>1.6494635313860101E-4</v>
      </c>
    </row>
    <row r="40180" spans="1:6" x14ac:dyDescent="0.25">
      <c r="A40180" s="2" t="str">
        <f t="shared" si="1289"/>
        <v>99999</v>
      </c>
      <c r="B40180" s="2" t="str">
        <f>"36741"</f>
        <v>36741</v>
      </c>
      <c r="C40180" s="1">
        <v>0</v>
      </c>
      <c r="D40180" s="1">
        <v>0</v>
      </c>
      <c r="E40180" s="1">
        <v>4.3455399550671099E-6</v>
      </c>
      <c r="F40180" s="1">
        <v>9.9485134582992598E-8</v>
      </c>
    </row>
    <row r="40181" spans="1:6" x14ac:dyDescent="0.25">
      <c r="A40181" s="2" t="str">
        <f t="shared" si="1289"/>
        <v>99999</v>
      </c>
      <c r="B40181" s="2" t="str">
        <f>"36756"</f>
        <v>36756</v>
      </c>
      <c r="C40181" s="1">
        <v>4.4899439008030099E-4</v>
      </c>
      <c r="D40181" s="1">
        <v>4.9625607420470004E-4</v>
      </c>
      <c r="E40181" s="1">
        <v>2.6073239730402698E-4</v>
      </c>
      <c r="F40181" s="1">
        <v>4.4778259075804901E-4</v>
      </c>
    </row>
    <row r="40182" spans="1:6" x14ac:dyDescent="0.25">
      <c r="A40182" s="2" t="str">
        <f t="shared" si="1289"/>
        <v>99999</v>
      </c>
      <c r="B40182" s="2" t="str">
        <f>"36754"</f>
        <v>36754</v>
      </c>
      <c r="C40182" s="1">
        <v>1.87717635133232E-5</v>
      </c>
      <c r="D40182" s="1">
        <v>3.0352053468177301E-6</v>
      </c>
      <c r="E40182" s="1">
        <v>8.69107991013423E-6</v>
      </c>
      <c r="F40182" s="1">
        <v>1.7509383686606702E-5</v>
      </c>
    </row>
    <row r="40183" spans="1:6" x14ac:dyDescent="0.25">
      <c r="A40183" s="2" t="str">
        <f t="shared" si="1289"/>
        <v>99999</v>
      </c>
      <c r="B40183" s="2" t="str">
        <f>"36748"</f>
        <v>36748</v>
      </c>
      <c r="C40183" s="1">
        <v>2.3977653743471601E-4</v>
      </c>
      <c r="D40183" s="1">
        <v>3.4146060151699499E-4</v>
      </c>
      <c r="E40183" s="1">
        <v>2.6073239730402698E-4</v>
      </c>
      <c r="F40183" s="1">
        <v>2.4692210403498701E-4</v>
      </c>
    </row>
    <row r="40184" spans="1:6" x14ac:dyDescent="0.25">
      <c r="A40184" s="2" t="str">
        <f t="shared" si="1289"/>
        <v>99999</v>
      </c>
      <c r="B40184" s="2" t="str">
        <f>"36738"</f>
        <v>36738</v>
      </c>
      <c r="C40184" s="1">
        <v>3.2195757188548602E-5</v>
      </c>
      <c r="D40184" s="1">
        <v>9.1056160404532095E-6</v>
      </c>
      <c r="E40184" s="1">
        <v>4.3455399550671099E-6</v>
      </c>
      <c r="F40184" s="1">
        <v>3.0044510644063701E-5</v>
      </c>
    </row>
    <row r="40185" spans="1:6" x14ac:dyDescent="0.25">
      <c r="A40185" s="2" t="str">
        <f t="shared" si="1289"/>
        <v>99999</v>
      </c>
      <c r="B40185" s="2" t="str">
        <f>"36732"</f>
        <v>36732</v>
      </c>
      <c r="C40185" s="1">
        <v>4.7267737079187801E-4</v>
      </c>
      <c r="D40185" s="1">
        <v>1.2413989868484501E-3</v>
      </c>
      <c r="E40185" s="1">
        <v>5.1277371469791902E-4</v>
      </c>
      <c r="F40185" s="1">
        <v>5.2398820384862198E-4</v>
      </c>
    </row>
    <row r="40186" spans="1:6" x14ac:dyDescent="0.25">
      <c r="A40186" s="2" t="str">
        <f t="shared" si="1289"/>
        <v>99999</v>
      </c>
      <c r="B40186" s="2" t="str">
        <f>"36473"</f>
        <v>36473</v>
      </c>
      <c r="C40186" s="1">
        <v>1.27691647154582E-5</v>
      </c>
      <c r="D40186" s="1">
        <v>1.51760267340886E-6</v>
      </c>
      <c r="E40186" s="1">
        <v>8.69107991013423E-6</v>
      </c>
      <c r="F40186" s="1">
        <v>1.19382161499591E-5</v>
      </c>
    </row>
    <row r="40187" spans="1:6" x14ac:dyDescent="0.25">
      <c r="A40187" s="2" t="str">
        <f t="shared" si="1289"/>
        <v>99999</v>
      </c>
      <c r="B40187" s="2" t="str">
        <f>"36467"</f>
        <v>36467</v>
      </c>
      <c r="C40187" s="1">
        <v>5.8890951115053605E-4</v>
      </c>
      <c r="D40187" s="1">
        <v>8.6958633186328196E-4</v>
      </c>
      <c r="E40187" s="1">
        <v>3.6937089618070402E-4</v>
      </c>
      <c r="F40187" s="1">
        <v>6.0228300476543697E-4</v>
      </c>
    </row>
    <row r="40188" spans="1:6" x14ac:dyDescent="0.25">
      <c r="A40188" s="2" t="str">
        <f t="shared" si="1289"/>
        <v>99999</v>
      </c>
      <c r="B40188" s="2" t="str">
        <f>"36273"</f>
        <v>36273</v>
      </c>
      <c r="C40188" s="1">
        <v>1.6348896362185E-4</v>
      </c>
      <c r="D40188" s="1">
        <v>1.5934828070793099E-4</v>
      </c>
      <c r="E40188" s="1">
        <v>5.6492019415872502E-5</v>
      </c>
      <c r="F40188" s="1">
        <v>1.60767977486116E-4</v>
      </c>
    </row>
    <row r="40189" spans="1:6" x14ac:dyDescent="0.25">
      <c r="A40189" s="2" t="str">
        <f t="shared" si="1289"/>
        <v>99999</v>
      </c>
      <c r="B40189" s="2" t="str">
        <f>"36052"</f>
        <v>36052</v>
      </c>
      <c r="C40189" s="1">
        <v>2.9467303189519E-6</v>
      </c>
      <c r="D40189" s="1">
        <v>3.0352053468177301E-6</v>
      </c>
      <c r="E40189" s="1">
        <v>0</v>
      </c>
      <c r="F40189" s="1">
        <v>2.8850689029067799E-6</v>
      </c>
    </row>
    <row r="40190" spans="1:6" x14ac:dyDescent="0.25">
      <c r="A40190" s="2" t="str">
        <f t="shared" si="1289"/>
        <v>99999</v>
      </c>
      <c r="B40190" s="2" t="str">
        <f>"36041"</f>
        <v>36041</v>
      </c>
      <c r="C40190" s="1">
        <v>9.8551758444947104E-5</v>
      </c>
      <c r="D40190" s="1">
        <v>6.6774517629990203E-5</v>
      </c>
      <c r="E40190" s="1">
        <v>1.3036619865201299E-5</v>
      </c>
      <c r="F40190" s="1">
        <v>9.4510877853843005E-5</v>
      </c>
    </row>
    <row r="40191" spans="1:6" x14ac:dyDescent="0.25">
      <c r="A40191" s="2" t="str">
        <f t="shared" si="1289"/>
        <v>99999</v>
      </c>
      <c r="B40191" s="2" t="str">
        <f>"36033"</f>
        <v>36033</v>
      </c>
      <c r="C40191" s="1">
        <v>2.6717021558497203E-4</v>
      </c>
      <c r="D40191" s="1">
        <v>1.27478624566345E-4</v>
      </c>
      <c r="E40191" s="1">
        <v>1.6773784226559001E-3</v>
      </c>
      <c r="F40191" s="1">
        <v>2.90297622713172E-4</v>
      </c>
    </row>
    <row r="40192" spans="1:6" x14ac:dyDescent="0.25">
      <c r="A40192" s="2" t="str">
        <f t="shared" si="1289"/>
        <v>99999</v>
      </c>
      <c r="B40192" s="2" t="str">
        <f>"36029"</f>
        <v>36029</v>
      </c>
      <c r="C40192" s="1">
        <v>6.2754441977679501E-5</v>
      </c>
      <c r="D40192" s="1">
        <v>1.21408213872709E-5</v>
      </c>
      <c r="E40192" s="1">
        <v>2.1727699775335501E-5</v>
      </c>
      <c r="F40192" s="1">
        <v>5.8497259134799602E-5</v>
      </c>
    </row>
    <row r="40193" spans="1:6" x14ac:dyDescent="0.25">
      <c r="A40193" s="2" t="str">
        <f t="shared" si="1289"/>
        <v>99999</v>
      </c>
      <c r="B40193" s="2" t="str">
        <f>"36013"</f>
        <v>36013</v>
      </c>
      <c r="C40193" s="1">
        <v>6.5482895976708995E-7</v>
      </c>
      <c r="D40193" s="1">
        <v>3.0352053468177301E-6</v>
      </c>
      <c r="E40193" s="1">
        <v>0</v>
      </c>
      <c r="F40193" s="1">
        <v>7.9588107666394099E-7</v>
      </c>
    </row>
    <row r="40194" spans="1:6" x14ac:dyDescent="0.25">
      <c r="A40194" s="2" t="str">
        <f t="shared" si="1289"/>
        <v>99999</v>
      </c>
      <c r="B40194" s="2" t="str">
        <f>"36087"</f>
        <v>36087</v>
      </c>
      <c r="C40194" s="1">
        <v>0</v>
      </c>
      <c r="D40194" s="1">
        <v>0</v>
      </c>
      <c r="E40194" s="1">
        <v>4.3455399550671099E-6</v>
      </c>
      <c r="F40194" s="1">
        <v>9.9485134582992598E-8</v>
      </c>
    </row>
    <row r="40195" spans="1:6" x14ac:dyDescent="0.25">
      <c r="A40195" s="2" t="str">
        <f t="shared" si="1289"/>
        <v>99999</v>
      </c>
      <c r="B40195" s="2" t="str">
        <f>"35960"</f>
        <v>35960</v>
      </c>
      <c r="C40195" s="1">
        <v>6.2678045265706598E-4</v>
      </c>
      <c r="D40195" s="1">
        <v>9.8795934038917394E-4</v>
      </c>
      <c r="E40195" s="1">
        <v>4.6497277519218097E-4</v>
      </c>
      <c r="F40195" s="1">
        <v>6.4675285992403498E-4</v>
      </c>
    </row>
    <row r="40196" spans="1:6" x14ac:dyDescent="0.25">
      <c r="A40196" s="2" t="str">
        <f t="shared" si="1289"/>
        <v>99999</v>
      </c>
      <c r="B40196" s="2" t="str">
        <f>"35901"</f>
        <v>35901</v>
      </c>
      <c r="C40196" s="1">
        <v>4.5838027183696299E-6</v>
      </c>
      <c r="D40196" s="1">
        <v>4.5528080202265997E-6</v>
      </c>
      <c r="E40196" s="1">
        <v>0</v>
      </c>
      <c r="F40196" s="1">
        <v>4.4768310562346604E-6</v>
      </c>
    </row>
    <row r="40197" spans="1:6" x14ac:dyDescent="0.25">
      <c r="A40197" s="2" t="str">
        <f t="shared" si="1289"/>
        <v>99999</v>
      </c>
      <c r="B40197" s="2" t="str">
        <f>"35903"</f>
        <v>35903</v>
      </c>
      <c r="C40197" s="1">
        <v>5.1294935181755401E-6</v>
      </c>
      <c r="D40197" s="1">
        <v>1.51760267340886E-6</v>
      </c>
      <c r="E40197" s="1">
        <v>0</v>
      </c>
      <c r="F40197" s="1">
        <v>4.7752864599836398E-6</v>
      </c>
    </row>
    <row r="40198" spans="1:6" x14ac:dyDescent="0.25">
      <c r="A40198" s="2" t="str">
        <f t="shared" si="1289"/>
        <v>99999</v>
      </c>
      <c r="B40198" s="2" t="str">
        <f>"35577"</f>
        <v>35577</v>
      </c>
      <c r="C40198" s="1">
        <v>0</v>
      </c>
      <c r="D40198" s="1">
        <v>1.51760267340886E-6</v>
      </c>
      <c r="E40198" s="1">
        <v>0</v>
      </c>
      <c r="F40198" s="1">
        <v>9.9485134582992598E-8</v>
      </c>
    </row>
    <row r="40199" spans="1:6" x14ac:dyDescent="0.25">
      <c r="A40199" s="2" t="str">
        <f t="shared" si="1289"/>
        <v>99999</v>
      </c>
      <c r="B40199" s="2" t="str">
        <f>"35576"</f>
        <v>35576</v>
      </c>
      <c r="C40199" s="1">
        <v>1.63161549141966E-4</v>
      </c>
      <c r="D40199" s="1">
        <v>7.2844928323625703E-5</v>
      </c>
      <c r="E40199" s="1">
        <v>1.0429295892161E-4</v>
      </c>
      <c r="F40199" s="1">
        <v>1.55893205891549E-4</v>
      </c>
    </row>
    <row r="40200" spans="1:6" x14ac:dyDescent="0.25">
      <c r="A40200" s="2" t="str">
        <f t="shared" si="1289"/>
        <v>99999</v>
      </c>
      <c r="B40200" s="2" t="str">
        <f>"35570"</f>
        <v>35570</v>
      </c>
      <c r="C40200" s="1">
        <v>6.0910007074335497E-4</v>
      </c>
      <c r="D40200" s="1">
        <v>6.0097065866991195E-4</v>
      </c>
      <c r="E40200" s="1">
        <v>1.2732432068346599E-3</v>
      </c>
      <c r="F40200" s="1">
        <v>6.2377179383536297E-4</v>
      </c>
    </row>
    <row r="40201" spans="1:6" x14ac:dyDescent="0.25">
      <c r="A40201" s="2" t="str">
        <f t="shared" si="1289"/>
        <v>99999</v>
      </c>
      <c r="B40201" s="2" t="str">
        <f>"35653"</f>
        <v>35653</v>
      </c>
      <c r="C40201" s="1">
        <v>5.3783285228870296E-4</v>
      </c>
      <c r="D40201" s="1">
        <v>9.8188892969553799E-4</v>
      </c>
      <c r="E40201" s="1">
        <v>5.5622911424858996E-4</v>
      </c>
      <c r="F40201" s="1">
        <v>5.6736372252680703E-4</v>
      </c>
    </row>
    <row r="40202" spans="1:6" x14ac:dyDescent="0.25">
      <c r="A40202" s="2" t="str">
        <f t="shared" si="1289"/>
        <v>99999</v>
      </c>
      <c r="B40202" s="2" t="str">
        <f>"35551"</f>
        <v>35551</v>
      </c>
      <c r="C40202" s="1">
        <v>0</v>
      </c>
      <c r="D40202" s="1">
        <v>1.51760267340886E-6</v>
      </c>
      <c r="E40202" s="1">
        <v>0</v>
      </c>
      <c r="F40202" s="1">
        <v>9.9485134582992598E-8</v>
      </c>
    </row>
    <row r="40203" spans="1:6" x14ac:dyDescent="0.25">
      <c r="A40203" s="2" t="str">
        <f t="shared" si="1289"/>
        <v>99999</v>
      </c>
      <c r="B40203" s="2" t="str">
        <f>"35563"</f>
        <v>35563</v>
      </c>
      <c r="C40203" s="1">
        <v>2.30390655678054E-4</v>
      </c>
      <c r="D40203" s="1">
        <v>1.5327787001429501E-4</v>
      </c>
      <c r="E40203" s="1">
        <v>1.3471173860707999E-4</v>
      </c>
      <c r="F40203" s="1">
        <v>2.2314515686965201E-4</v>
      </c>
    </row>
    <row r="40204" spans="1:6" x14ac:dyDescent="0.25">
      <c r="A40204" s="2" t="str">
        <f t="shared" si="1289"/>
        <v>99999</v>
      </c>
      <c r="B40204" s="2" t="str">
        <f>"35541"</f>
        <v>35541</v>
      </c>
      <c r="C40204" s="1">
        <v>2.6444176158594299E-4</v>
      </c>
      <c r="D40204" s="1">
        <v>2.7316848121359601E-5</v>
      </c>
      <c r="E40204" s="1">
        <v>1.7382159820268399E-5</v>
      </c>
      <c r="F40204" s="1">
        <v>2.4324115405541699E-4</v>
      </c>
    </row>
    <row r="40205" spans="1:6" x14ac:dyDescent="0.25">
      <c r="A40205" s="2" t="str">
        <f t="shared" si="1289"/>
        <v>99999</v>
      </c>
      <c r="B40205" s="2" t="str">
        <f>"35540"</f>
        <v>35540</v>
      </c>
      <c r="C40205" s="1">
        <v>1.3489476571202001E-4</v>
      </c>
      <c r="D40205" s="1">
        <v>6.6774517629990203E-5</v>
      </c>
      <c r="E40205" s="1">
        <v>2.1727699775335501E-5</v>
      </c>
      <c r="F40205" s="1">
        <v>1.2783839793914501E-4</v>
      </c>
    </row>
    <row r="40206" spans="1:6" x14ac:dyDescent="0.25">
      <c r="A40206" s="2" t="str">
        <f t="shared" si="1289"/>
        <v>99999</v>
      </c>
      <c r="B40206" s="2" t="str">
        <f>"35616"</f>
        <v>35616</v>
      </c>
      <c r="C40206" s="1">
        <v>1.09138159961181E-7</v>
      </c>
      <c r="D40206" s="1">
        <v>0</v>
      </c>
      <c r="E40206" s="1">
        <v>0</v>
      </c>
      <c r="F40206" s="1">
        <v>9.9485134582992598E-8</v>
      </c>
    </row>
    <row r="40207" spans="1:6" x14ac:dyDescent="0.25">
      <c r="A40207" s="2" t="str">
        <f t="shared" si="1289"/>
        <v>99999</v>
      </c>
      <c r="B40207" s="2" t="str">
        <f>"35053"</f>
        <v>35053</v>
      </c>
      <c r="C40207" s="1">
        <v>4.9003033822570597E-5</v>
      </c>
      <c r="D40207" s="1">
        <v>4.5528080202265997E-6</v>
      </c>
      <c r="E40207" s="1">
        <v>0</v>
      </c>
      <c r="F40207" s="1">
        <v>4.4967280831512597E-5</v>
      </c>
    </row>
    <row r="40208" spans="1:6" x14ac:dyDescent="0.25">
      <c r="A40208" s="2" t="str">
        <f t="shared" si="1289"/>
        <v>99999</v>
      </c>
      <c r="B40208" s="2" t="str">
        <f>"32465"</f>
        <v>32465</v>
      </c>
      <c r="C40208" s="1">
        <v>4.0151929049718699E-4</v>
      </c>
      <c r="D40208" s="1">
        <v>2.2308759299110301E-4</v>
      </c>
      <c r="E40208" s="1">
        <v>3.47643196405369E-5</v>
      </c>
      <c r="F40208" s="1">
        <v>3.8142600599119298E-4</v>
      </c>
    </row>
    <row r="40209" spans="1:6" x14ac:dyDescent="0.25">
      <c r="A40209" s="2" t="str">
        <f t="shared" si="1289"/>
        <v>99999</v>
      </c>
      <c r="B40209" s="2" t="str">
        <f>"32464"</f>
        <v>32464</v>
      </c>
      <c r="C40209" s="1">
        <v>2.1434734616376E-4</v>
      </c>
      <c r="D40209" s="1">
        <v>5.7668901589537E-5</v>
      </c>
      <c r="E40209" s="1">
        <v>1.7382159820268399E-5</v>
      </c>
      <c r="F40209" s="1">
        <v>1.99567179973483E-4</v>
      </c>
    </row>
    <row r="40210" spans="1:6" x14ac:dyDescent="0.25">
      <c r="A40210" s="2" t="str">
        <f t="shared" ref="A40210:A40273" si="1290">"99999"</f>
        <v>99999</v>
      </c>
      <c r="B40210" s="2" t="str">
        <f>"32462"</f>
        <v>32462</v>
      </c>
      <c r="C40210" s="1">
        <v>2.06380260486594E-4</v>
      </c>
      <c r="D40210" s="1">
        <v>1.13820200505665E-4</v>
      </c>
      <c r="E40210" s="1">
        <v>3.0418779685469802E-5</v>
      </c>
      <c r="F40210" s="1">
        <v>1.96284170532244E-4</v>
      </c>
    </row>
    <row r="40211" spans="1:6" x14ac:dyDescent="0.25">
      <c r="A40211" s="2" t="str">
        <f t="shared" si="1290"/>
        <v>99999</v>
      </c>
      <c r="B40211" s="2" t="str">
        <f>"32358"</f>
        <v>32358</v>
      </c>
      <c r="C40211" s="1">
        <v>3.9726290225870103E-5</v>
      </c>
      <c r="D40211" s="1">
        <v>1.5176026734088599E-5</v>
      </c>
      <c r="E40211" s="1">
        <v>1.3036619865201299E-5</v>
      </c>
      <c r="F40211" s="1">
        <v>3.7505895737788197E-5</v>
      </c>
    </row>
    <row r="40212" spans="1:6" x14ac:dyDescent="0.25">
      <c r="A40212" s="2" t="str">
        <f t="shared" si="1290"/>
        <v>99999</v>
      </c>
      <c r="B40212" s="2" t="str">
        <f>"32328"</f>
        <v>32328</v>
      </c>
      <c r="C40212" s="1">
        <v>2.9063491997662598E-4</v>
      </c>
      <c r="D40212" s="1">
        <v>3.1869656141586197E-4</v>
      </c>
      <c r="E40212" s="1">
        <v>2.7376901716922799E-4</v>
      </c>
      <c r="F40212" s="1">
        <v>2.9208835513566602E-4</v>
      </c>
    </row>
    <row r="40213" spans="1:6" x14ac:dyDescent="0.25">
      <c r="A40213" s="2" t="str">
        <f t="shared" si="1290"/>
        <v>99999</v>
      </c>
      <c r="B40213" s="2" t="str">
        <f>"32340"</f>
        <v>32340</v>
      </c>
      <c r="C40213" s="1">
        <v>5.5223908940357899E-4</v>
      </c>
      <c r="D40213" s="1">
        <v>9.2118482275918296E-4</v>
      </c>
      <c r="E40213" s="1">
        <v>1.1341859282725101E-3</v>
      </c>
      <c r="F40213" s="1">
        <v>5.8974787780798001E-4</v>
      </c>
    </row>
    <row r="40214" spans="1:6" x14ac:dyDescent="0.25">
      <c r="A40214" s="2" t="str">
        <f t="shared" si="1290"/>
        <v>99999</v>
      </c>
      <c r="B40214" s="2" t="str">
        <f>"32055"</f>
        <v>32055</v>
      </c>
      <c r="C40214" s="1">
        <v>1.09138159961181E-7</v>
      </c>
      <c r="D40214" s="1">
        <v>0</v>
      </c>
      <c r="E40214" s="1">
        <v>0</v>
      </c>
      <c r="F40214" s="1">
        <v>9.9485134582992598E-8</v>
      </c>
    </row>
    <row r="40215" spans="1:6" x14ac:dyDescent="0.25">
      <c r="A40215" s="2" t="str">
        <f t="shared" si="1290"/>
        <v>99999</v>
      </c>
      <c r="B40215" s="2" t="str">
        <f>"32083"</f>
        <v>32083</v>
      </c>
      <c r="C40215" s="1">
        <v>7.3886534293720002E-5</v>
      </c>
      <c r="D40215" s="1">
        <v>3.7940066835221703E-5</v>
      </c>
      <c r="E40215" s="1">
        <v>1.7382159820268399E-5</v>
      </c>
      <c r="F40215" s="1">
        <v>7.0236505015592804E-5</v>
      </c>
    </row>
    <row r="40216" spans="1:6" x14ac:dyDescent="0.25">
      <c r="A40216" s="2" t="str">
        <f t="shared" si="1290"/>
        <v>99999</v>
      </c>
      <c r="B40216" s="2" t="str">
        <f>"32094"</f>
        <v>32094</v>
      </c>
      <c r="C40216" s="1">
        <v>1.39587706590351E-4</v>
      </c>
      <c r="D40216" s="1">
        <v>5.3116093569310399E-5</v>
      </c>
      <c r="E40216" s="1">
        <v>0</v>
      </c>
      <c r="F40216" s="1">
        <v>1.3072346684205201E-4</v>
      </c>
    </row>
    <row r="40217" spans="1:6" x14ac:dyDescent="0.25">
      <c r="A40217" s="2" t="str">
        <f t="shared" si="1290"/>
        <v>99999</v>
      </c>
      <c r="B40217" s="2" t="str">
        <f>"32091"</f>
        <v>32091</v>
      </c>
      <c r="C40217" s="1">
        <v>7.7608145548396302E-4</v>
      </c>
      <c r="D40217" s="1">
        <v>1.1063323489150601E-3</v>
      </c>
      <c r="E40217" s="1">
        <v>4.8670047496751699E-4</v>
      </c>
      <c r="F40217" s="1">
        <v>7.9110579020395702E-4</v>
      </c>
    </row>
    <row r="40218" spans="1:6" x14ac:dyDescent="0.25">
      <c r="A40218" s="2" t="str">
        <f t="shared" si="1290"/>
        <v>99999</v>
      </c>
      <c r="B40218" s="2" t="str">
        <f>"31783"</f>
        <v>31783</v>
      </c>
      <c r="C40218" s="1">
        <v>5.5442185260280297E-5</v>
      </c>
      <c r="D40218" s="1">
        <v>3.3387258814995101E-5</v>
      </c>
      <c r="E40218" s="1">
        <v>1.3036619865201299E-5</v>
      </c>
      <c r="F40218" s="1">
        <v>5.3025576732735003E-5</v>
      </c>
    </row>
    <row r="40219" spans="1:6" x14ac:dyDescent="0.25">
      <c r="A40219" s="2" t="str">
        <f t="shared" si="1290"/>
        <v>99999</v>
      </c>
      <c r="B40219" s="2" t="str">
        <f>"31779"</f>
        <v>31779</v>
      </c>
      <c r="C40219" s="1">
        <v>4.3447901480546402E-4</v>
      </c>
      <c r="D40219" s="1">
        <v>5.6758339985491695E-4</v>
      </c>
      <c r="E40219" s="1">
        <v>3.43297656450302E-4</v>
      </c>
      <c r="F40219" s="1">
        <v>4.41117086740989E-4</v>
      </c>
    </row>
    <row r="40220" spans="1:6" x14ac:dyDescent="0.25">
      <c r="A40220" s="2" t="str">
        <f t="shared" si="1290"/>
        <v>99999</v>
      </c>
      <c r="B40220" s="2" t="str">
        <f>"31832"</f>
        <v>31832</v>
      </c>
      <c r="C40220" s="1">
        <v>1.03681251963122E-5</v>
      </c>
      <c r="D40220" s="1">
        <v>4.5528080202265997E-6</v>
      </c>
      <c r="E40220" s="1">
        <v>8.69107991013423E-6</v>
      </c>
      <c r="F40220" s="1">
        <v>9.9485134582992602E-6</v>
      </c>
    </row>
    <row r="40221" spans="1:6" x14ac:dyDescent="0.25">
      <c r="A40221" s="2" t="str">
        <f t="shared" si="1290"/>
        <v>99999</v>
      </c>
      <c r="B40221" s="2" t="str">
        <f>"31716"</f>
        <v>31716</v>
      </c>
      <c r="C40221" s="1">
        <v>1.58468608263635E-4</v>
      </c>
      <c r="D40221" s="1">
        <v>7.2844928323625703E-5</v>
      </c>
      <c r="E40221" s="1">
        <v>1.73821598202684E-4</v>
      </c>
      <c r="F40221" s="1">
        <v>1.5320710725780801E-4</v>
      </c>
    </row>
    <row r="40222" spans="1:6" x14ac:dyDescent="0.25">
      <c r="A40222" s="2" t="str">
        <f t="shared" si="1290"/>
        <v>99999</v>
      </c>
      <c r="B40222" s="2" t="str">
        <f>"31539"</f>
        <v>31539</v>
      </c>
      <c r="C40222" s="1">
        <v>7.3002515198034403E-4</v>
      </c>
      <c r="D40222" s="1">
        <v>9.2422002810600104E-4</v>
      </c>
      <c r="E40222" s="1">
        <v>6.9094085285567098E-4</v>
      </c>
      <c r="F40222" s="1">
        <v>7.4186064858537595E-4</v>
      </c>
    </row>
    <row r="40223" spans="1:6" x14ac:dyDescent="0.25">
      <c r="A40223" s="2" t="str">
        <f t="shared" si="1290"/>
        <v>99999</v>
      </c>
      <c r="B40223" s="2" t="str">
        <f>"31532"</f>
        <v>31532</v>
      </c>
      <c r="C40223" s="1">
        <v>4.8457343022764599E-5</v>
      </c>
      <c r="D40223" s="1">
        <v>3.1869656141586203E-5</v>
      </c>
      <c r="E40223" s="1">
        <v>0</v>
      </c>
      <c r="F40223" s="1">
        <v>4.6260587581091497E-5</v>
      </c>
    </row>
    <row r="40224" spans="1:6" x14ac:dyDescent="0.25">
      <c r="A40224" s="2" t="str">
        <f t="shared" si="1290"/>
        <v>99999</v>
      </c>
      <c r="B40224" s="2" t="str">
        <f>"31647"</f>
        <v>31647</v>
      </c>
      <c r="C40224" s="1">
        <v>1.75057608577735E-4</v>
      </c>
      <c r="D40224" s="1">
        <v>8.4985749710896595E-5</v>
      </c>
      <c r="E40224" s="1">
        <v>1.5209389842734899E-4</v>
      </c>
      <c r="F40224" s="1">
        <v>1.68627303118172E-4</v>
      </c>
    </row>
    <row r="40225" spans="1:6" x14ac:dyDescent="0.25">
      <c r="A40225" s="2" t="str">
        <f t="shared" si="1290"/>
        <v>99999</v>
      </c>
      <c r="B40225" s="2" t="str">
        <f>"31623"</f>
        <v>31623</v>
      </c>
      <c r="C40225" s="1">
        <v>3.2741447988354498E-7</v>
      </c>
      <c r="D40225" s="1">
        <v>1.51760267340886E-6</v>
      </c>
      <c r="E40225" s="1">
        <v>0</v>
      </c>
      <c r="F40225" s="1">
        <v>3.9794053833197002E-7</v>
      </c>
    </row>
    <row r="40226" spans="1:6" x14ac:dyDescent="0.25">
      <c r="A40226" s="2" t="str">
        <f t="shared" si="1290"/>
        <v>99999</v>
      </c>
      <c r="B40226" s="2" t="str">
        <f>"31631"</f>
        <v>31631</v>
      </c>
      <c r="C40226" s="1">
        <v>2.0627112232663299E-5</v>
      </c>
      <c r="D40226" s="1">
        <v>1.66936294074975E-5</v>
      </c>
      <c r="E40226" s="1">
        <v>4.3455399550671099E-6</v>
      </c>
      <c r="F40226" s="1">
        <v>1.9996512051181498E-5</v>
      </c>
    </row>
    <row r="40227" spans="1:6" x14ac:dyDescent="0.25">
      <c r="A40227" s="2" t="str">
        <f t="shared" si="1290"/>
        <v>99999</v>
      </c>
      <c r="B40227" s="2" t="str">
        <f>"31634"</f>
        <v>31634</v>
      </c>
      <c r="C40227" s="1">
        <v>3.0209442677255099E-4</v>
      </c>
      <c r="D40227" s="1">
        <v>4.4921039132902497E-4</v>
      </c>
      <c r="E40227" s="1">
        <v>2.4335023748375801E-4</v>
      </c>
      <c r="F40227" s="1">
        <v>3.1039361989893699E-4</v>
      </c>
    </row>
    <row r="40228" spans="1:6" x14ac:dyDescent="0.25">
      <c r="A40228" s="2" t="str">
        <f t="shared" si="1290"/>
        <v>99999</v>
      </c>
      <c r="B40228" s="2" t="str">
        <f>"31632"</f>
        <v>31632</v>
      </c>
      <c r="C40228" s="1">
        <v>8.0107409411507298E-5</v>
      </c>
      <c r="D40228" s="1">
        <v>1.21408213872709E-5</v>
      </c>
      <c r="E40228" s="1">
        <v>1.3036619865201299E-5</v>
      </c>
      <c r="F40228" s="1">
        <v>7.4116425264329495E-5</v>
      </c>
    </row>
    <row r="40229" spans="1:6" x14ac:dyDescent="0.25">
      <c r="A40229" s="2" t="str">
        <f t="shared" si="1290"/>
        <v>99999</v>
      </c>
      <c r="B40229" s="2" t="str">
        <f>"31630"</f>
        <v>31630</v>
      </c>
      <c r="C40229" s="1">
        <v>1.9972283272896199E-5</v>
      </c>
      <c r="D40229" s="1">
        <v>1.0623218713862E-5</v>
      </c>
      <c r="E40229" s="1">
        <v>0</v>
      </c>
      <c r="F40229" s="1">
        <v>1.89021755707686E-5</v>
      </c>
    </row>
    <row r="40230" spans="1:6" x14ac:dyDescent="0.25">
      <c r="A40230" s="2" t="str">
        <f t="shared" si="1290"/>
        <v>99999</v>
      </c>
      <c r="B40230" s="2" t="str">
        <f>"31620"</f>
        <v>31620</v>
      </c>
      <c r="C40230" s="1">
        <v>5.3488612196975096E-4</v>
      </c>
      <c r="D40230" s="1">
        <v>9.0600879602509505E-4</v>
      </c>
      <c r="E40230" s="1">
        <v>6.86595312900604E-4</v>
      </c>
      <c r="F40230" s="1">
        <v>5.6268792120140604E-4</v>
      </c>
    </row>
    <row r="40231" spans="1:6" x14ac:dyDescent="0.25">
      <c r="A40231" s="2" t="str">
        <f t="shared" si="1290"/>
        <v>99999</v>
      </c>
      <c r="B40231" s="2" t="str">
        <f>"31513"</f>
        <v>31513</v>
      </c>
      <c r="C40231" s="1">
        <v>9.5866959709901996E-4</v>
      </c>
      <c r="D40231" s="1">
        <v>1.2778214510102599E-3</v>
      </c>
      <c r="E40231" s="1">
        <v>1.15591362804785E-3</v>
      </c>
      <c r="F40231" s="1">
        <v>9.8410695129496294E-4</v>
      </c>
    </row>
    <row r="40232" spans="1:6" x14ac:dyDescent="0.25">
      <c r="A40232" s="2" t="str">
        <f t="shared" si="1290"/>
        <v>99999</v>
      </c>
      <c r="B40232" s="2" t="str">
        <f>"31555"</f>
        <v>31555</v>
      </c>
      <c r="C40232" s="1">
        <v>1.60433095142937E-5</v>
      </c>
      <c r="D40232" s="1">
        <v>0</v>
      </c>
      <c r="E40232" s="1">
        <v>0</v>
      </c>
      <c r="F40232" s="1">
        <v>1.4624314783699901E-5</v>
      </c>
    </row>
    <row r="40233" spans="1:6" x14ac:dyDescent="0.25">
      <c r="A40233" s="2" t="str">
        <f t="shared" si="1290"/>
        <v>99999</v>
      </c>
      <c r="B40233" s="2" t="str">
        <f>"31554"</f>
        <v>31554</v>
      </c>
      <c r="C40233" s="1">
        <v>6.6901692056204405E-5</v>
      </c>
      <c r="D40233" s="1">
        <v>1.66936294074975E-5</v>
      </c>
      <c r="E40233" s="1">
        <v>0</v>
      </c>
      <c r="F40233" s="1">
        <v>6.20787239797874E-5</v>
      </c>
    </row>
    <row r="40234" spans="1:6" x14ac:dyDescent="0.25">
      <c r="A40234" s="2" t="str">
        <f t="shared" si="1290"/>
        <v>99999</v>
      </c>
      <c r="B40234" s="2" t="str">
        <f>"31510"</f>
        <v>31510</v>
      </c>
      <c r="C40234" s="1">
        <v>5.1960677957518602E-4</v>
      </c>
      <c r="D40234" s="1">
        <v>8.3012866235465102E-4</v>
      </c>
      <c r="E40234" s="1">
        <v>2.3031361761855699E-4</v>
      </c>
      <c r="F40234" s="1">
        <v>5.3333980649942299E-4</v>
      </c>
    </row>
    <row r="40235" spans="1:6" x14ac:dyDescent="0.25">
      <c r="A40235" s="2" t="str">
        <f t="shared" si="1290"/>
        <v>99999</v>
      </c>
      <c r="B40235" s="2" t="str">
        <f>"31081"</f>
        <v>31081</v>
      </c>
      <c r="C40235" s="1">
        <v>1.3751408155108801E-5</v>
      </c>
      <c r="D40235" s="1">
        <v>1.21408213872709E-5</v>
      </c>
      <c r="E40235" s="1">
        <v>0</v>
      </c>
      <c r="F40235" s="1">
        <v>1.3331008034121E-5</v>
      </c>
    </row>
    <row r="40236" spans="1:6" x14ac:dyDescent="0.25">
      <c r="A40236" s="2" t="str">
        <f t="shared" si="1290"/>
        <v>99999</v>
      </c>
      <c r="B40236" s="2" t="str">
        <f>"31065"</f>
        <v>31065</v>
      </c>
      <c r="C40236" s="1">
        <v>1.30965791953418E-5</v>
      </c>
      <c r="D40236" s="1">
        <v>3.0352053468177301E-6</v>
      </c>
      <c r="E40236" s="1">
        <v>0</v>
      </c>
      <c r="F40236" s="1">
        <v>1.21371864191251E-5</v>
      </c>
    </row>
    <row r="40237" spans="1:6" x14ac:dyDescent="0.25">
      <c r="A40237" s="2" t="str">
        <f t="shared" si="1290"/>
        <v>99999</v>
      </c>
      <c r="B40237" s="2" t="str">
        <f>"31057"</f>
        <v>31057</v>
      </c>
      <c r="C40237" s="1">
        <v>5.1076658861833002E-5</v>
      </c>
      <c r="D40237" s="1">
        <v>2.2764040101133E-5</v>
      </c>
      <c r="E40237" s="1">
        <v>2.60732397304027E-5</v>
      </c>
      <c r="F40237" s="1">
        <v>4.86482308110834E-5</v>
      </c>
    </row>
    <row r="40238" spans="1:6" x14ac:dyDescent="0.25">
      <c r="A40238" s="2" t="str">
        <f t="shared" si="1290"/>
        <v>99999</v>
      </c>
      <c r="B40238" s="2" t="str">
        <f>"31035"</f>
        <v>31035</v>
      </c>
      <c r="C40238" s="1">
        <v>6.4282376217135996E-5</v>
      </c>
      <c r="D40238" s="1">
        <v>2.1246437427724101E-5</v>
      </c>
      <c r="E40238" s="1">
        <v>0</v>
      </c>
      <c r="F40238" s="1">
        <v>5.9989536153544499E-5</v>
      </c>
    </row>
    <row r="40239" spans="1:6" x14ac:dyDescent="0.25">
      <c r="A40239" s="2" t="str">
        <f t="shared" si="1290"/>
        <v>99999</v>
      </c>
      <c r="B40239" s="2" t="str">
        <f>"31014"</f>
        <v>31014</v>
      </c>
      <c r="C40239" s="1">
        <v>6.3321960409477602E-4</v>
      </c>
      <c r="D40239" s="1">
        <v>6.5256914956581295E-4</v>
      </c>
      <c r="E40239" s="1">
        <v>4.4324507541684501E-4</v>
      </c>
      <c r="F40239" s="1">
        <v>6.3013884244867498E-4</v>
      </c>
    </row>
    <row r="40240" spans="1:6" x14ac:dyDescent="0.25">
      <c r="A40240" s="2" t="str">
        <f t="shared" si="1290"/>
        <v>99999</v>
      </c>
      <c r="B40240" s="2" t="str">
        <f>"31002"</f>
        <v>31002</v>
      </c>
      <c r="C40240" s="1">
        <v>7.1485494774573997E-5</v>
      </c>
      <c r="D40240" s="1">
        <v>1.66936294074975E-5</v>
      </c>
      <c r="E40240" s="1">
        <v>2.60732397304027E-5</v>
      </c>
      <c r="F40240" s="1">
        <v>6.6854010439771003E-5</v>
      </c>
    </row>
    <row r="40241" spans="1:6" x14ac:dyDescent="0.25">
      <c r="A40241" s="2" t="str">
        <f t="shared" si="1290"/>
        <v>99999</v>
      </c>
      <c r="B40241" s="2" t="str">
        <f>"30803"</f>
        <v>30803</v>
      </c>
      <c r="C40241" s="1">
        <v>4.8566481182725801E-5</v>
      </c>
      <c r="D40241" s="1">
        <v>2.1246437427724101E-5</v>
      </c>
      <c r="E40241" s="1">
        <v>0</v>
      </c>
      <c r="F40241" s="1">
        <v>4.5663676773593601E-5</v>
      </c>
    </row>
    <row r="40242" spans="1:6" x14ac:dyDescent="0.25">
      <c r="A40242" s="2" t="str">
        <f t="shared" si="1290"/>
        <v>99999</v>
      </c>
      <c r="B40242" s="2" t="str">
        <f>"30639"</f>
        <v>30639</v>
      </c>
      <c r="C40242" s="1">
        <v>0</v>
      </c>
      <c r="D40242" s="1">
        <v>0</v>
      </c>
      <c r="E40242" s="1">
        <v>4.3455399550671099E-6</v>
      </c>
      <c r="F40242" s="1">
        <v>9.9485134582992598E-8</v>
      </c>
    </row>
    <row r="40243" spans="1:6" x14ac:dyDescent="0.25">
      <c r="A40243" s="2" t="str">
        <f t="shared" si="1290"/>
        <v>99999</v>
      </c>
      <c r="B40243" s="2" t="str">
        <f>"30664"</f>
        <v>30664</v>
      </c>
      <c r="C40243" s="1">
        <v>0</v>
      </c>
      <c r="D40243" s="1">
        <v>0</v>
      </c>
      <c r="E40243" s="1">
        <v>4.3455399550671099E-6</v>
      </c>
      <c r="F40243" s="1">
        <v>9.9485134582992598E-8</v>
      </c>
    </row>
    <row r="40244" spans="1:6" x14ac:dyDescent="0.25">
      <c r="A40244" s="2" t="str">
        <f t="shared" si="1290"/>
        <v>99999</v>
      </c>
      <c r="B40244" s="2" t="str">
        <f>"30577"</f>
        <v>30577</v>
      </c>
      <c r="C40244" s="1">
        <v>5.6533566859892097E-5</v>
      </c>
      <c r="D40244" s="1">
        <v>1.5176026734088599E-5</v>
      </c>
      <c r="E40244" s="1">
        <v>4.3455399550671099E-6</v>
      </c>
      <c r="F40244" s="1">
        <v>5.2627636194403097E-5</v>
      </c>
    </row>
    <row r="40245" spans="1:6" x14ac:dyDescent="0.25">
      <c r="A40245" s="2" t="str">
        <f t="shared" si="1290"/>
        <v>99999</v>
      </c>
      <c r="B40245" s="2" t="str">
        <f>"30555"</f>
        <v>30555</v>
      </c>
      <c r="C40245" s="1">
        <v>1.1612300219869699E-4</v>
      </c>
      <c r="D40245" s="1">
        <v>5.7668901589537E-5</v>
      </c>
      <c r="E40245" s="1">
        <v>6.5183099326006705E-5</v>
      </c>
      <c r="F40245" s="1">
        <v>1.11124895329202E-4</v>
      </c>
    </row>
    <row r="40246" spans="1:6" x14ac:dyDescent="0.25">
      <c r="A40246" s="2" t="str">
        <f t="shared" si="1290"/>
        <v>99999</v>
      </c>
      <c r="B40246" s="2" t="str">
        <f>"30538"</f>
        <v>30538</v>
      </c>
      <c r="C40246" s="1">
        <v>7.4213948773603504E-6</v>
      </c>
      <c r="D40246" s="1">
        <v>0</v>
      </c>
      <c r="E40246" s="1">
        <v>0</v>
      </c>
      <c r="F40246" s="1">
        <v>6.7649891516434898E-6</v>
      </c>
    </row>
    <row r="40247" spans="1:6" x14ac:dyDescent="0.25">
      <c r="A40247" s="2" t="str">
        <f t="shared" si="1290"/>
        <v>99999</v>
      </c>
      <c r="B40247" s="2" t="str">
        <f>"30547"</f>
        <v>30547</v>
      </c>
      <c r="C40247" s="1">
        <v>1.7745864809688101E-4</v>
      </c>
      <c r="D40247" s="1">
        <v>2.7772128923382301E-4</v>
      </c>
      <c r="E40247" s="1">
        <v>7.8219719191208097E-5</v>
      </c>
      <c r="F40247" s="1">
        <v>1.8175934088312699E-4</v>
      </c>
    </row>
    <row r="40248" spans="1:6" x14ac:dyDescent="0.25">
      <c r="A40248" s="2" t="str">
        <f t="shared" si="1290"/>
        <v>99999</v>
      </c>
      <c r="B40248" s="2" t="str">
        <f>"30511"</f>
        <v>30511</v>
      </c>
      <c r="C40248" s="1">
        <v>1.12303166600056E-4</v>
      </c>
      <c r="D40248" s="1">
        <v>7.7397736343852298E-5</v>
      </c>
      <c r="E40248" s="1">
        <v>6.9528639281073799E-5</v>
      </c>
      <c r="F40248" s="1">
        <v>1.09035707502959E-4</v>
      </c>
    </row>
    <row r="40249" spans="1:6" x14ac:dyDescent="0.25">
      <c r="A40249" s="2" t="str">
        <f t="shared" si="1290"/>
        <v>99999</v>
      </c>
      <c r="B40249" s="2" t="str">
        <f>"30471"</f>
        <v>30471</v>
      </c>
      <c r="C40249" s="1">
        <v>2.09326990805546E-4</v>
      </c>
      <c r="D40249" s="1">
        <v>6.8292120303399095E-5</v>
      </c>
      <c r="E40249" s="1">
        <v>6.9528639281073799E-5</v>
      </c>
      <c r="F40249" s="1">
        <v>1.96881081339742E-4</v>
      </c>
    </row>
    <row r="40250" spans="1:6" x14ac:dyDescent="0.25">
      <c r="A40250" s="2" t="str">
        <f t="shared" si="1290"/>
        <v>99999</v>
      </c>
      <c r="B40250" s="2" t="str">
        <f>"30424"</f>
        <v>30424</v>
      </c>
      <c r="C40250" s="1">
        <v>0</v>
      </c>
      <c r="D40250" s="1">
        <v>1.51760267340886E-6</v>
      </c>
      <c r="E40250" s="1">
        <v>0</v>
      </c>
      <c r="F40250" s="1">
        <v>9.9485134582992598E-8</v>
      </c>
    </row>
    <row r="40251" spans="1:6" x14ac:dyDescent="0.25">
      <c r="A40251" s="2" t="str">
        <f t="shared" si="1290"/>
        <v>99999</v>
      </c>
      <c r="B40251" s="2" t="str">
        <f>"30423"</f>
        <v>30423</v>
      </c>
      <c r="C40251" s="1">
        <v>0</v>
      </c>
      <c r="D40251" s="1">
        <v>1.51760267340886E-6</v>
      </c>
      <c r="E40251" s="1">
        <v>0</v>
      </c>
      <c r="F40251" s="1">
        <v>9.9485134582992598E-8</v>
      </c>
    </row>
    <row r="40252" spans="1:6" x14ac:dyDescent="0.25">
      <c r="A40252" s="2" t="str">
        <f t="shared" si="1290"/>
        <v>99999</v>
      </c>
      <c r="B40252" s="2" t="str">
        <f>"30425"</f>
        <v>30425</v>
      </c>
      <c r="C40252" s="1">
        <v>5.9480297178843999E-5</v>
      </c>
      <c r="D40252" s="1">
        <v>2.1246437427724101E-5</v>
      </c>
      <c r="E40252" s="1">
        <v>0</v>
      </c>
      <c r="F40252" s="1">
        <v>5.5612190231892801E-5</v>
      </c>
    </row>
    <row r="40253" spans="1:6" x14ac:dyDescent="0.25">
      <c r="A40253" s="2" t="str">
        <f t="shared" si="1290"/>
        <v>99999</v>
      </c>
      <c r="B40253" s="2" t="str">
        <f>"30421"</f>
        <v>30421</v>
      </c>
      <c r="C40253" s="1">
        <v>1.7396622697812299E-4</v>
      </c>
      <c r="D40253" s="1">
        <v>3.6422464161812797E-5</v>
      </c>
      <c r="E40253" s="1">
        <v>2.60732397304027E-5</v>
      </c>
      <c r="F40253" s="1">
        <v>1.6156385856277999E-4</v>
      </c>
    </row>
    <row r="40254" spans="1:6" x14ac:dyDescent="0.25">
      <c r="A40254" s="2" t="str">
        <f t="shared" si="1290"/>
        <v>99999</v>
      </c>
      <c r="B40254" s="2" t="str">
        <f>"05857"</f>
        <v>05857</v>
      </c>
      <c r="C40254" s="1">
        <v>7.6396711972827203E-5</v>
      </c>
      <c r="D40254" s="1">
        <v>1.66936294074975E-5</v>
      </c>
      <c r="E40254" s="1">
        <v>8.2565259146275205E-5</v>
      </c>
      <c r="F40254" s="1">
        <v>7.2624148245584605E-5</v>
      </c>
    </row>
    <row r="40255" spans="1:6" x14ac:dyDescent="0.25">
      <c r="A40255" s="2" t="str">
        <f t="shared" si="1290"/>
        <v>99999</v>
      </c>
      <c r="B40255" s="2" t="str">
        <f>"05871"</f>
        <v>05871</v>
      </c>
      <c r="C40255" s="1">
        <v>7.8361198852128398E-5</v>
      </c>
      <c r="D40255" s="1">
        <v>1.9728834754315301E-5</v>
      </c>
      <c r="E40255" s="1">
        <v>1.7382159820268399E-5</v>
      </c>
      <c r="F40255" s="1">
        <v>7.3121573918499496E-5</v>
      </c>
    </row>
    <row r="40256" spans="1:6" x14ac:dyDescent="0.25">
      <c r="A40256" s="2" t="str">
        <f t="shared" si="1290"/>
        <v>99999</v>
      </c>
      <c r="B40256" s="2" t="str">
        <f>"05902"</f>
        <v>05902</v>
      </c>
      <c r="C40256" s="1">
        <v>6.4391514377097196E-6</v>
      </c>
      <c r="D40256" s="1">
        <v>0</v>
      </c>
      <c r="E40256" s="1">
        <v>2.1727699775335501E-5</v>
      </c>
      <c r="F40256" s="1">
        <v>6.3670486133115203E-6</v>
      </c>
    </row>
    <row r="40257" spans="1:6" x14ac:dyDescent="0.25">
      <c r="A40257" s="2" t="str">
        <f t="shared" si="1290"/>
        <v>99999</v>
      </c>
      <c r="B40257" s="2" t="str">
        <f>"05872"</f>
        <v>05872</v>
      </c>
      <c r="C40257" s="1">
        <v>3.8962323106141801E-5</v>
      </c>
      <c r="D40257" s="1">
        <v>3.0352053468177301E-6</v>
      </c>
      <c r="E40257" s="1">
        <v>4.3455399550671099E-6</v>
      </c>
      <c r="F40257" s="1">
        <v>3.5814648449877303E-5</v>
      </c>
    </row>
    <row r="40258" spans="1:6" x14ac:dyDescent="0.25">
      <c r="A40258" s="2" t="str">
        <f t="shared" si="1290"/>
        <v>99999</v>
      </c>
      <c r="B40258" s="2" t="str">
        <f>"05838"</f>
        <v>05838</v>
      </c>
      <c r="C40258" s="1">
        <v>0</v>
      </c>
      <c r="D40258" s="1">
        <v>1.51760267340886E-6</v>
      </c>
      <c r="E40258" s="1">
        <v>0</v>
      </c>
      <c r="F40258" s="1">
        <v>9.9485134582992598E-8</v>
      </c>
    </row>
    <row r="40259" spans="1:6" x14ac:dyDescent="0.25">
      <c r="A40259" s="2" t="str">
        <f t="shared" si="1290"/>
        <v>99999</v>
      </c>
      <c r="B40259" s="2" t="str">
        <f>"05836"</f>
        <v>05836</v>
      </c>
      <c r="C40259" s="1">
        <v>5.3914251020823701E-5</v>
      </c>
      <c r="D40259" s="1">
        <v>2.7316848121359601E-5</v>
      </c>
      <c r="E40259" s="1">
        <v>0</v>
      </c>
      <c r="F40259" s="1">
        <v>5.0936388906492203E-5</v>
      </c>
    </row>
    <row r="40260" spans="1:6" x14ac:dyDescent="0.25">
      <c r="A40260" s="2" t="str">
        <f t="shared" si="1290"/>
        <v>99999</v>
      </c>
      <c r="B40260" s="2" t="str">
        <f>"05820"</f>
        <v>05820</v>
      </c>
      <c r="C40260" s="1">
        <v>6.8757040775544402E-6</v>
      </c>
      <c r="D40260" s="1">
        <v>6.0704106936354696E-6</v>
      </c>
      <c r="E40260" s="1">
        <v>8.69107991013423E-6</v>
      </c>
      <c r="F40260" s="1">
        <v>6.86447428622649E-6</v>
      </c>
    </row>
    <row r="40261" spans="1:6" x14ac:dyDescent="0.25">
      <c r="A40261" s="2" t="str">
        <f t="shared" si="1290"/>
        <v>99999</v>
      </c>
      <c r="B40261" s="2" t="str">
        <f>"05823"</f>
        <v>05823</v>
      </c>
      <c r="C40261" s="1">
        <v>0</v>
      </c>
      <c r="D40261" s="1">
        <v>0</v>
      </c>
      <c r="E40261" s="1">
        <v>4.3455399550671099E-6</v>
      </c>
      <c r="F40261" s="1">
        <v>9.9485134582992598E-8</v>
      </c>
    </row>
    <row r="40262" spans="1:6" x14ac:dyDescent="0.25">
      <c r="A40262" s="2" t="str">
        <f t="shared" si="1290"/>
        <v>99999</v>
      </c>
      <c r="B40262" s="2" t="str">
        <f>"05824"</f>
        <v>05824</v>
      </c>
      <c r="C40262" s="1">
        <v>5.3259422061056602E-5</v>
      </c>
      <c r="D40262" s="1">
        <v>1.3658424060679801E-5</v>
      </c>
      <c r="E40262" s="1">
        <v>1.3036619865201299E-5</v>
      </c>
      <c r="F40262" s="1">
        <v>4.9742567291496302E-5</v>
      </c>
    </row>
    <row r="40263" spans="1:6" x14ac:dyDescent="0.25">
      <c r="A40263" s="2" t="str">
        <f t="shared" si="1290"/>
        <v>99999</v>
      </c>
      <c r="B40263" s="2" t="str">
        <f>"05734"</f>
        <v>05734</v>
      </c>
      <c r="C40263" s="1">
        <v>6.9848422375156293E-5</v>
      </c>
      <c r="D40263" s="1">
        <v>1.9728834754315301E-5</v>
      </c>
      <c r="E40263" s="1">
        <v>0</v>
      </c>
      <c r="F40263" s="1">
        <v>6.4963792882694106E-5</v>
      </c>
    </row>
    <row r="40264" spans="1:6" x14ac:dyDescent="0.25">
      <c r="A40264" s="2" t="str">
        <f t="shared" si="1290"/>
        <v>99999</v>
      </c>
      <c r="B40264" s="2" t="str">
        <f>"05669"</f>
        <v>05669</v>
      </c>
      <c r="C40264" s="1">
        <v>2.07362503926245E-6</v>
      </c>
      <c r="D40264" s="1">
        <v>0</v>
      </c>
      <c r="E40264" s="1">
        <v>0</v>
      </c>
      <c r="F40264" s="1">
        <v>1.89021755707686E-6</v>
      </c>
    </row>
    <row r="40265" spans="1:6" x14ac:dyDescent="0.25">
      <c r="A40265" s="2" t="str">
        <f t="shared" si="1290"/>
        <v>99999</v>
      </c>
      <c r="B40265" s="2" t="str">
        <f>"05657"</f>
        <v>05657</v>
      </c>
      <c r="C40265" s="1">
        <v>0</v>
      </c>
      <c r="D40265" s="1">
        <v>1.51760267340886E-6</v>
      </c>
      <c r="E40265" s="1">
        <v>0</v>
      </c>
      <c r="F40265" s="1">
        <v>9.9485134582992598E-8</v>
      </c>
    </row>
    <row r="40266" spans="1:6" x14ac:dyDescent="0.25">
      <c r="A40266" s="2" t="str">
        <f t="shared" si="1290"/>
        <v>99999</v>
      </c>
      <c r="B40266" s="2" t="str">
        <f>"05661"</f>
        <v>05661</v>
      </c>
      <c r="C40266" s="1">
        <v>3.0755133477060998E-4</v>
      </c>
      <c r="D40266" s="1">
        <v>3.73330257658581E-4</v>
      </c>
      <c r="E40266" s="1">
        <v>8.2130705150768501E-4</v>
      </c>
      <c r="F40266" s="1">
        <v>3.23625142798475E-4</v>
      </c>
    </row>
    <row r="40267" spans="1:6" x14ac:dyDescent="0.25">
      <c r="A40267" s="2" t="str">
        <f t="shared" si="1290"/>
        <v>99999</v>
      </c>
      <c r="B40267" s="2" t="str">
        <f>"05363"</f>
        <v>05363</v>
      </c>
      <c r="C40267" s="1">
        <v>1.034629756432E-4</v>
      </c>
      <c r="D40267" s="1">
        <v>1.0623218713862E-4</v>
      </c>
      <c r="E40267" s="1">
        <v>6.9528639281073799E-5</v>
      </c>
      <c r="F40267" s="1">
        <v>1.02867629158814E-4</v>
      </c>
    </row>
    <row r="40268" spans="1:6" x14ac:dyDescent="0.25">
      <c r="A40268" s="2" t="str">
        <f t="shared" si="1290"/>
        <v>99999</v>
      </c>
      <c r="B40268" s="2" t="str">
        <f>"05351"</f>
        <v>05351</v>
      </c>
      <c r="C40268" s="1">
        <v>1.4842789754720701E-5</v>
      </c>
      <c r="D40268" s="1">
        <v>4.5528080202265997E-6</v>
      </c>
      <c r="E40268" s="1">
        <v>4.3455399550671099E-6</v>
      </c>
      <c r="F40268" s="1">
        <v>1.3927918841618899E-5</v>
      </c>
    </row>
    <row r="40269" spans="1:6" x14ac:dyDescent="0.25">
      <c r="A40269" s="2" t="str">
        <f t="shared" si="1290"/>
        <v>99999</v>
      </c>
      <c r="B40269" s="2" t="str">
        <f>"05354"</f>
        <v>05354</v>
      </c>
      <c r="C40269" s="1">
        <v>9.5932442605878694E-5</v>
      </c>
      <c r="D40269" s="1">
        <v>3.6422464161812797E-5</v>
      </c>
      <c r="E40269" s="1">
        <v>9.1256339056409395E-5</v>
      </c>
      <c r="F40269" s="1">
        <v>9.1924264354685097E-5</v>
      </c>
    </row>
    <row r="40270" spans="1:6" x14ac:dyDescent="0.25">
      <c r="A40270" s="2" t="str">
        <f t="shared" si="1290"/>
        <v>99999</v>
      </c>
      <c r="B40270" s="2" t="str">
        <f>"04981"</f>
        <v>04981</v>
      </c>
      <c r="C40270" s="1">
        <v>1.21579910196756E-4</v>
      </c>
      <c r="D40270" s="1">
        <v>2.4281642774541899E-5</v>
      </c>
      <c r="E40270" s="1">
        <v>3.9109859595604001E-5</v>
      </c>
      <c r="F40270" s="1">
        <v>1.13313568290028E-4</v>
      </c>
    </row>
    <row r="40271" spans="1:6" x14ac:dyDescent="0.25">
      <c r="A40271" s="2" t="str">
        <f t="shared" si="1290"/>
        <v>99999</v>
      </c>
      <c r="B40271" s="2" t="str">
        <f>"04965"</f>
        <v>04965</v>
      </c>
      <c r="C40271" s="1">
        <v>9.9861416364481194E-5</v>
      </c>
      <c r="D40271" s="1">
        <v>5.0080888222492601E-5</v>
      </c>
      <c r="E40271" s="1">
        <v>2.8680563703442901E-4</v>
      </c>
      <c r="F40271" s="1">
        <v>1.00877926467154E-4</v>
      </c>
    </row>
    <row r="40272" spans="1:6" x14ac:dyDescent="0.25">
      <c r="A40272" s="2" t="str">
        <f t="shared" si="1290"/>
        <v>99999</v>
      </c>
      <c r="B40272" s="2" t="str">
        <f>"04941"</f>
        <v>04941</v>
      </c>
      <c r="C40272" s="1">
        <v>9.40770938865386E-5</v>
      </c>
      <c r="D40272" s="1">
        <v>3.1869656141586203E-5</v>
      </c>
      <c r="E40272" s="1">
        <v>3.9109859595604001E-5</v>
      </c>
      <c r="F40272" s="1">
        <v>8.8740740048029402E-5</v>
      </c>
    </row>
    <row r="40273" spans="1:6" x14ac:dyDescent="0.25">
      <c r="A40273" s="2" t="str">
        <f t="shared" si="1290"/>
        <v>99999</v>
      </c>
      <c r="B40273" s="2" t="str">
        <f>"04847"</f>
        <v>04847</v>
      </c>
      <c r="C40273" s="1">
        <v>8.6873975329100598E-5</v>
      </c>
      <c r="D40273" s="1">
        <v>3.3387258814995101E-5</v>
      </c>
      <c r="E40273" s="1">
        <v>4.3455399550671099E-6</v>
      </c>
      <c r="F40273" s="1">
        <v>8.1478325223470897E-5</v>
      </c>
    </row>
    <row r="40274" spans="1:6" x14ac:dyDescent="0.25">
      <c r="A40274" s="2" t="str">
        <f t="shared" ref="A40274:A40337" si="1291">"99999"</f>
        <v>99999</v>
      </c>
      <c r="B40274" s="2" t="str">
        <f>"04773"</f>
        <v>04773</v>
      </c>
      <c r="C40274" s="1">
        <v>4.4310092944239701E-5</v>
      </c>
      <c r="D40274" s="1">
        <v>7.5880133670443404E-6</v>
      </c>
      <c r="E40274" s="1">
        <v>4.3455399550671103E-5</v>
      </c>
      <c r="F40274" s="1">
        <v>4.1883241659439901E-5</v>
      </c>
    </row>
    <row r="40275" spans="1:6" x14ac:dyDescent="0.25">
      <c r="A40275" s="2" t="str">
        <f t="shared" si="1291"/>
        <v>99999</v>
      </c>
      <c r="B40275" s="2" t="str">
        <f>"04777"</f>
        <v>04777</v>
      </c>
      <c r="C40275" s="1">
        <v>1.09138159961181E-7</v>
      </c>
      <c r="D40275" s="1">
        <v>0</v>
      </c>
      <c r="E40275" s="1">
        <v>0</v>
      </c>
      <c r="F40275" s="1">
        <v>9.9485134582992598E-8</v>
      </c>
    </row>
    <row r="40276" spans="1:6" x14ac:dyDescent="0.25">
      <c r="A40276" s="2" t="str">
        <f t="shared" si="1291"/>
        <v>99999</v>
      </c>
      <c r="B40276" s="2" t="str">
        <f>"04760"</f>
        <v>04760</v>
      </c>
      <c r="C40276" s="1">
        <v>3.0886099269014397E-5</v>
      </c>
      <c r="D40276" s="1">
        <v>1.9728834754315301E-5</v>
      </c>
      <c r="E40276" s="1">
        <v>2.1727699775335501E-5</v>
      </c>
      <c r="F40276" s="1">
        <v>2.9945025509480699E-5</v>
      </c>
    </row>
    <row r="40277" spans="1:6" x14ac:dyDescent="0.25">
      <c r="A40277" s="2" t="str">
        <f t="shared" si="1291"/>
        <v>99999</v>
      </c>
      <c r="B40277" s="2" t="str">
        <f>"04763"</f>
        <v>04763</v>
      </c>
      <c r="C40277" s="1">
        <v>3.2523171668432101E-5</v>
      </c>
      <c r="D40277" s="1">
        <v>9.1056160404532095E-6</v>
      </c>
      <c r="E40277" s="1">
        <v>4.3455399550671099E-6</v>
      </c>
      <c r="F40277" s="1">
        <v>3.03429660478127E-5</v>
      </c>
    </row>
    <row r="40278" spans="1:6" x14ac:dyDescent="0.25">
      <c r="A40278" s="2" t="str">
        <f t="shared" si="1291"/>
        <v>99999</v>
      </c>
      <c r="B40278" s="2" t="str">
        <f>"04758"</f>
        <v>04758</v>
      </c>
      <c r="C40278" s="1">
        <v>4.2563882384860802E-5</v>
      </c>
      <c r="D40278" s="1">
        <v>3.1869656141586203E-5</v>
      </c>
      <c r="E40278" s="1">
        <v>1.3471173860707999E-4</v>
      </c>
      <c r="F40278" s="1">
        <v>4.39724294856827E-5</v>
      </c>
    </row>
    <row r="40279" spans="1:6" x14ac:dyDescent="0.25">
      <c r="A40279" s="2" t="str">
        <f t="shared" si="1291"/>
        <v>99999</v>
      </c>
      <c r="B40279" s="2" t="str">
        <f>"04671"</f>
        <v>04671</v>
      </c>
      <c r="C40279" s="1">
        <v>2.7939368950062499E-5</v>
      </c>
      <c r="D40279" s="1">
        <v>6.0704106936354696E-6</v>
      </c>
      <c r="E40279" s="1">
        <v>4.3455399550671099E-6</v>
      </c>
      <c r="F40279" s="1">
        <v>2.5965620126160999E-5</v>
      </c>
    </row>
    <row r="40280" spans="1:6" x14ac:dyDescent="0.25">
      <c r="A40280" s="2" t="str">
        <f t="shared" si="1291"/>
        <v>99999</v>
      </c>
      <c r="B40280" s="2" t="str">
        <f>"04669"</f>
        <v>04669</v>
      </c>
      <c r="C40280" s="1">
        <v>7.7488093572439E-6</v>
      </c>
      <c r="D40280" s="1">
        <v>6.0704106936354696E-6</v>
      </c>
      <c r="E40280" s="1">
        <v>8.69107991013423E-6</v>
      </c>
      <c r="F40280" s="1">
        <v>7.6603553628904299E-6</v>
      </c>
    </row>
    <row r="40281" spans="1:6" x14ac:dyDescent="0.25">
      <c r="A40281" s="2" t="str">
        <f t="shared" si="1291"/>
        <v>99999</v>
      </c>
      <c r="B40281" s="2" t="str">
        <f>"04694"</f>
        <v>04694</v>
      </c>
      <c r="C40281" s="1">
        <v>1.0804677836156899E-4</v>
      </c>
      <c r="D40281" s="1">
        <v>5.4633696242719298E-5</v>
      </c>
      <c r="E40281" s="1">
        <v>1.6513051829255E-4</v>
      </c>
      <c r="F40281" s="1">
        <v>1.0585218319630399E-4</v>
      </c>
    </row>
    <row r="40282" spans="1:6" x14ac:dyDescent="0.25">
      <c r="A40282" s="2" t="str">
        <f t="shared" si="1291"/>
        <v>99999</v>
      </c>
      <c r="B40282" s="2" t="str">
        <f>"04691"</f>
        <v>04691</v>
      </c>
      <c r="C40282" s="1">
        <v>2.3792118871537602E-5</v>
      </c>
      <c r="D40282" s="1">
        <v>6.0704106936354696E-6</v>
      </c>
      <c r="E40282" s="1">
        <v>1.7382159820268399E-5</v>
      </c>
      <c r="F40282" s="1">
        <v>2.2483640415756299E-5</v>
      </c>
    </row>
    <row r="40283" spans="1:6" x14ac:dyDescent="0.25">
      <c r="A40283" s="2" t="str">
        <f t="shared" si="1291"/>
        <v>99999</v>
      </c>
      <c r="B40283" s="2" t="str">
        <f>"04674"</f>
        <v>04674</v>
      </c>
      <c r="C40283" s="1">
        <v>1.17869212758076E-5</v>
      </c>
      <c r="D40283" s="1">
        <v>0</v>
      </c>
      <c r="E40283" s="1">
        <v>8.69107991013423E-6</v>
      </c>
      <c r="F40283" s="1">
        <v>1.09433648041291E-5</v>
      </c>
    </row>
    <row r="40284" spans="1:6" x14ac:dyDescent="0.25">
      <c r="A40284" s="2" t="str">
        <f t="shared" si="1291"/>
        <v>99999</v>
      </c>
      <c r="B40284" s="2" t="str">
        <f>"04668"</f>
        <v>04668</v>
      </c>
      <c r="C40284" s="1">
        <v>1.3554959467178699E-4</v>
      </c>
      <c r="D40284" s="1">
        <v>8.9538557731123203E-5</v>
      </c>
      <c r="E40284" s="1">
        <v>4.3455399550671103E-5</v>
      </c>
      <c r="F40284" s="1">
        <v>1.3042501143830301E-4</v>
      </c>
    </row>
    <row r="40285" spans="1:6" x14ac:dyDescent="0.25">
      <c r="A40285" s="2" t="str">
        <f t="shared" si="1291"/>
        <v>99999</v>
      </c>
      <c r="B40285" s="2" t="str">
        <f>"04667"</f>
        <v>04667</v>
      </c>
      <c r="C40285" s="1">
        <v>6.2754441977679501E-5</v>
      </c>
      <c r="D40285" s="1">
        <v>9.1056160404532095E-6</v>
      </c>
      <c r="E40285" s="1">
        <v>1.6513051829255E-4</v>
      </c>
      <c r="F40285" s="1">
        <v>6.1581298306872401E-5</v>
      </c>
    </row>
    <row r="40286" spans="1:6" x14ac:dyDescent="0.25">
      <c r="A40286" s="2" t="str">
        <f t="shared" si="1291"/>
        <v>99999</v>
      </c>
      <c r="B40286" s="2" t="str">
        <f>"04648"</f>
        <v>04648</v>
      </c>
      <c r="C40286" s="1">
        <v>3.04495466291697E-5</v>
      </c>
      <c r="D40286" s="1">
        <v>7.5880133670443404E-6</v>
      </c>
      <c r="E40286" s="1">
        <v>3.0418779685469802E-5</v>
      </c>
      <c r="F40286" s="1">
        <v>2.8950174163650799E-5</v>
      </c>
    </row>
    <row r="40287" spans="1:6" x14ac:dyDescent="0.25">
      <c r="A40287" s="2" t="str">
        <f t="shared" si="1291"/>
        <v>99999</v>
      </c>
      <c r="B40287" s="2" t="str">
        <f>"04652"</f>
        <v>04652</v>
      </c>
      <c r="C40287" s="1">
        <v>1.34239936752253E-4</v>
      </c>
      <c r="D40287" s="1">
        <v>1.54795472687704E-4</v>
      </c>
      <c r="E40287" s="1">
        <v>2.60732397304027E-5</v>
      </c>
      <c r="F40287" s="1">
        <v>1.33111110072044E-4</v>
      </c>
    </row>
    <row r="40288" spans="1:6" x14ac:dyDescent="0.25">
      <c r="A40288" s="2" t="str">
        <f t="shared" si="1291"/>
        <v>99999</v>
      </c>
      <c r="B40288" s="2" t="str">
        <f>"04650"</f>
        <v>04650</v>
      </c>
      <c r="C40288" s="1">
        <v>2.1172803032469199E-5</v>
      </c>
      <c r="D40288" s="1">
        <v>3.0352053468177301E-6</v>
      </c>
      <c r="E40288" s="1">
        <v>8.69107991013423E-6</v>
      </c>
      <c r="F40288" s="1">
        <v>1.96980566474325E-5</v>
      </c>
    </row>
    <row r="40289" spans="1:6" x14ac:dyDescent="0.25">
      <c r="A40289" s="2" t="str">
        <f t="shared" si="1291"/>
        <v>99999</v>
      </c>
      <c r="B40289" s="2" t="str">
        <f>"04627"</f>
        <v>04627</v>
      </c>
      <c r="C40289" s="1">
        <v>1.07828502041647E-4</v>
      </c>
      <c r="D40289" s="1">
        <v>4.2492874855448297E-5</v>
      </c>
      <c r="E40289" s="1">
        <v>7.8219719191208097E-5</v>
      </c>
      <c r="F40289" s="1">
        <v>1.02867629158814E-4</v>
      </c>
    </row>
    <row r="40290" spans="1:6" x14ac:dyDescent="0.25">
      <c r="A40290" s="2" t="str">
        <f t="shared" si="1291"/>
        <v>99999</v>
      </c>
      <c r="B40290" s="2" t="str">
        <f>"04556"</f>
        <v>04556</v>
      </c>
      <c r="C40290" s="1">
        <v>7.8688613332011999E-5</v>
      </c>
      <c r="D40290" s="1">
        <v>6.0704106936354703E-5</v>
      </c>
      <c r="E40290" s="1">
        <v>9.1256339056409395E-5</v>
      </c>
      <c r="F40290" s="1">
        <v>7.7797375243900203E-5</v>
      </c>
    </row>
    <row r="40291" spans="1:6" x14ac:dyDescent="0.25">
      <c r="A40291" s="2" t="str">
        <f t="shared" si="1291"/>
        <v>99999</v>
      </c>
      <c r="B40291" s="2" t="str">
        <f>"04463"</f>
        <v>04463</v>
      </c>
      <c r="C40291" s="1">
        <v>1.8357038505470701E-4</v>
      </c>
      <c r="D40291" s="1">
        <v>1.15337803179074E-4</v>
      </c>
      <c r="E40291" s="1">
        <v>2.2162253770842199E-4</v>
      </c>
      <c r="F40291" s="1">
        <v>1.79968608460633E-4</v>
      </c>
    </row>
    <row r="40292" spans="1:6" x14ac:dyDescent="0.25">
      <c r="A40292" s="2" t="str">
        <f t="shared" si="1291"/>
        <v>99999</v>
      </c>
      <c r="B40292" s="2" t="str">
        <f>"04451"</f>
        <v>04451</v>
      </c>
      <c r="C40292" s="1">
        <v>6.6574277576320803E-6</v>
      </c>
      <c r="D40292" s="1">
        <v>6.0704106936354696E-6</v>
      </c>
      <c r="E40292" s="1">
        <v>4.3455399550671099E-6</v>
      </c>
      <c r="F40292" s="1">
        <v>6.5660188824775097E-6</v>
      </c>
    </row>
    <row r="40293" spans="1:6" x14ac:dyDescent="0.25">
      <c r="A40293" s="2" t="str">
        <f t="shared" si="1291"/>
        <v>99999</v>
      </c>
      <c r="B40293" s="2" t="str">
        <f>"04414"</f>
        <v>04414</v>
      </c>
      <c r="C40293" s="1">
        <v>7.5305330373215396E-5</v>
      </c>
      <c r="D40293" s="1">
        <v>2.4281642774541899E-5</v>
      </c>
      <c r="E40293" s="1">
        <v>6.5183099326006705E-5</v>
      </c>
      <c r="F40293" s="1">
        <v>7.1728782034337598E-5</v>
      </c>
    </row>
    <row r="40294" spans="1:6" x14ac:dyDescent="0.25">
      <c r="A40294" s="2" t="str">
        <f t="shared" si="1291"/>
        <v>99999</v>
      </c>
      <c r="B40294" s="2" t="str">
        <f>"04341"</f>
        <v>04341</v>
      </c>
      <c r="C40294" s="1">
        <v>0</v>
      </c>
      <c r="D40294" s="1">
        <v>0</v>
      </c>
      <c r="E40294" s="1">
        <v>4.3455399550671099E-6</v>
      </c>
      <c r="F40294" s="1">
        <v>9.9485134582992598E-8</v>
      </c>
    </row>
    <row r="40295" spans="1:6" x14ac:dyDescent="0.25">
      <c r="A40295" s="2" t="str">
        <f t="shared" si="1291"/>
        <v>99999</v>
      </c>
      <c r="B40295" s="2" t="str">
        <f>"04354"</f>
        <v>04354</v>
      </c>
      <c r="C40295" s="1">
        <v>8.589173188945E-5</v>
      </c>
      <c r="D40295" s="1">
        <v>7.5880133670443404E-6</v>
      </c>
      <c r="E40295" s="1">
        <v>3.9109859595604001E-5</v>
      </c>
      <c r="F40295" s="1">
        <v>7.96875928009771E-5</v>
      </c>
    </row>
    <row r="40296" spans="1:6" x14ac:dyDescent="0.25">
      <c r="A40296" s="2" t="str">
        <f t="shared" si="1291"/>
        <v>99999</v>
      </c>
      <c r="B40296" s="2" t="str">
        <f>"04289"</f>
        <v>04289</v>
      </c>
      <c r="C40296" s="1">
        <v>8.1198791011119199E-5</v>
      </c>
      <c r="D40296" s="1">
        <v>1.9728834754315301E-5</v>
      </c>
      <c r="E40296" s="1">
        <v>4.7800939505738197E-5</v>
      </c>
      <c r="F40296" s="1">
        <v>7.6404583359738305E-5</v>
      </c>
    </row>
    <row r="40297" spans="1:6" x14ac:dyDescent="0.25">
      <c r="A40297" s="2" t="str">
        <f t="shared" si="1291"/>
        <v>99999</v>
      </c>
      <c r="B40297" s="2" t="str">
        <f>"04255"</f>
        <v>04255</v>
      </c>
      <c r="C40297" s="1">
        <v>3.63430072670735E-5</v>
      </c>
      <c r="D40297" s="1">
        <v>1.21408213872709E-5</v>
      </c>
      <c r="E40297" s="1">
        <v>1.3036619865201299E-5</v>
      </c>
      <c r="F40297" s="1">
        <v>3.4222886296549402E-5</v>
      </c>
    </row>
    <row r="40298" spans="1:6" x14ac:dyDescent="0.25">
      <c r="A40298" s="2" t="str">
        <f t="shared" si="1291"/>
        <v>99999</v>
      </c>
      <c r="B40298" s="2" t="str">
        <f>"04227"</f>
        <v>04227</v>
      </c>
      <c r="C40298" s="1">
        <v>0</v>
      </c>
      <c r="D40298" s="1">
        <v>0</v>
      </c>
      <c r="E40298" s="1">
        <v>4.3455399550671099E-6</v>
      </c>
      <c r="F40298" s="1">
        <v>9.9485134582992598E-8</v>
      </c>
    </row>
    <row r="40299" spans="1:6" x14ac:dyDescent="0.25">
      <c r="A40299" s="2" t="str">
        <f t="shared" si="1291"/>
        <v>99999</v>
      </c>
      <c r="B40299" s="2" t="str">
        <f>"04040"</f>
        <v>04040</v>
      </c>
      <c r="C40299" s="1">
        <v>2.75028163102177E-5</v>
      </c>
      <c r="D40299" s="1">
        <v>3.0352053468177301E-6</v>
      </c>
      <c r="E40299" s="1">
        <v>4.3455399550671099E-6</v>
      </c>
      <c r="F40299" s="1">
        <v>2.53687093186631E-5</v>
      </c>
    </row>
    <row r="40300" spans="1:6" x14ac:dyDescent="0.25">
      <c r="A40300" s="2" t="str">
        <f t="shared" si="1291"/>
        <v>99999</v>
      </c>
      <c r="B40300" s="2" t="str">
        <f>"04009"</f>
        <v>04009</v>
      </c>
      <c r="C40300" s="1">
        <v>3.2741447988354498E-7</v>
      </c>
      <c r="D40300" s="1">
        <v>0</v>
      </c>
      <c r="E40300" s="1">
        <v>0</v>
      </c>
      <c r="F40300" s="1">
        <v>2.9845540374897701E-7</v>
      </c>
    </row>
    <row r="40301" spans="1:6" x14ac:dyDescent="0.25">
      <c r="A40301" s="2" t="str">
        <f t="shared" si="1291"/>
        <v>99999</v>
      </c>
      <c r="B40301" s="2" t="str">
        <f>"03894"</f>
        <v>03894</v>
      </c>
      <c r="C40301" s="1">
        <v>4.9963449630228995E-4</v>
      </c>
      <c r="D40301" s="1">
        <v>5.9945305599650302E-4</v>
      </c>
      <c r="E40301" s="1">
        <v>3.17224416719899E-4</v>
      </c>
      <c r="F40301" s="1">
        <v>5.0200198910577999E-4</v>
      </c>
    </row>
    <row r="40302" spans="1:6" x14ac:dyDescent="0.25">
      <c r="A40302" s="2" t="str">
        <f t="shared" si="1291"/>
        <v>99999</v>
      </c>
      <c r="B40302" s="2" t="str">
        <f>"03875"</f>
        <v>03875</v>
      </c>
      <c r="C40302" s="1">
        <v>3.7216112546762902E-5</v>
      </c>
      <c r="D40302" s="1">
        <v>1.0623218713862E-5</v>
      </c>
      <c r="E40302" s="1">
        <v>4.3455399550671099E-6</v>
      </c>
      <c r="F40302" s="1">
        <v>3.4720311969464401E-5</v>
      </c>
    </row>
    <row r="40303" spans="1:6" x14ac:dyDescent="0.25">
      <c r="A40303" s="2" t="str">
        <f t="shared" si="1291"/>
        <v>99999</v>
      </c>
      <c r="B40303" s="2" t="str">
        <f>"00840"</f>
        <v>00840</v>
      </c>
      <c r="C40303" s="1">
        <v>4.1450673153256801E-4</v>
      </c>
      <c r="D40303" s="1">
        <v>8.3619907304828696E-4</v>
      </c>
      <c r="E40303" s="1">
        <v>1.2993164465650599E-3</v>
      </c>
      <c r="F40303" s="1">
        <v>4.6240690554174901E-4</v>
      </c>
    </row>
    <row r="40304" spans="1:6" x14ac:dyDescent="0.25">
      <c r="A40304" s="2" t="str">
        <f t="shared" si="1291"/>
        <v>99999</v>
      </c>
      <c r="B40304" s="2" t="str">
        <f>"00765"</f>
        <v>00765</v>
      </c>
      <c r="C40304" s="1">
        <v>5.0170812134155195E-4</v>
      </c>
      <c r="D40304" s="1">
        <v>3.4449580686381301E-4</v>
      </c>
      <c r="E40304" s="1">
        <v>6.0837559370939603E-5</v>
      </c>
      <c r="F40304" s="1">
        <v>4.8130908111251798E-4</v>
      </c>
    </row>
    <row r="40305" spans="1:6" x14ac:dyDescent="0.25">
      <c r="A40305" s="2" t="str">
        <f t="shared" si="1291"/>
        <v>99999</v>
      </c>
      <c r="B40305" s="2" t="str">
        <f>"99663"</f>
        <v>99663</v>
      </c>
      <c r="C40305" s="1">
        <v>0</v>
      </c>
      <c r="D40305" s="1">
        <v>0</v>
      </c>
      <c r="E40305" s="1">
        <v>4.3455399550671099E-6</v>
      </c>
      <c r="F40305" s="1">
        <v>9.9485134582992598E-8</v>
      </c>
    </row>
    <row r="40306" spans="1:6" x14ac:dyDescent="0.25">
      <c r="A40306" s="2" t="str">
        <f t="shared" si="1291"/>
        <v>99999</v>
      </c>
      <c r="B40306" s="2" t="str">
        <f>"99658"</f>
        <v>99658</v>
      </c>
      <c r="C40306" s="1">
        <v>0</v>
      </c>
      <c r="D40306" s="1">
        <v>0</v>
      </c>
      <c r="E40306" s="1">
        <v>4.3455399550671099E-6</v>
      </c>
      <c r="F40306" s="1">
        <v>9.9485134582992598E-8</v>
      </c>
    </row>
    <row r="40307" spans="1:6" x14ac:dyDescent="0.25">
      <c r="A40307" s="2" t="str">
        <f t="shared" si="1291"/>
        <v>99999</v>
      </c>
      <c r="B40307" s="2" t="str">
        <f>"99691"</f>
        <v>99691</v>
      </c>
      <c r="C40307" s="1">
        <v>0</v>
      </c>
      <c r="D40307" s="1">
        <v>0</v>
      </c>
      <c r="E40307" s="1">
        <v>4.3455399550671099E-6</v>
      </c>
      <c r="F40307" s="1">
        <v>9.9485134582992598E-8</v>
      </c>
    </row>
    <row r="40308" spans="1:6" x14ac:dyDescent="0.25">
      <c r="A40308" s="2" t="str">
        <f t="shared" si="1291"/>
        <v>99999</v>
      </c>
      <c r="B40308" s="2" t="str">
        <f>"99643"</f>
        <v>99643</v>
      </c>
      <c r="C40308" s="1">
        <v>0</v>
      </c>
      <c r="D40308" s="1">
        <v>0</v>
      </c>
      <c r="E40308" s="1">
        <v>4.3455399550671099E-6</v>
      </c>
      <c r="F40308" s="1">
        <v>9.9485134582992598E-8</v>
      </c>
    </row>
    <row r="40309" spans="1:6" x14ac:dyDescent="0.25">
      <c r="A40309" s="2" t="str">
        <f t="shared" si="1291"/>
        <v>99999</v>
      </c>
      <c r="B40309" s="2" t="str">
        <f>"99640"</f>
        <v>99640</v>
      </c>
      <c r="C40309" s="1">
        <v>0</v>
      </c>
      <c r="D40309" s="1">
        <v>0</v>
      </c>
      <c r="E40309" s="1">
        <v>4.3455399550671099E-6</v>
      </c>
      <c r="F40309" s="1">
        <v>9.9485134582992598E-8</v>
      </c>
    </row>
    <row r="40310" spans="1:6" x14ac:dyDescent="0.25">
      <c r="A40310" s="2" t="str">
        <f t="shared" si="1291"/>
        <v>99999</v>
      </c>
      <c r="B40310" s="2" t="str">
        <f>"99638"</f>
        <v>99638</v>
      </c>
      <c r="C40310" s="1">
        <v>0</v>
      </c>
      <c r="D40310" s="1">
        <v>0</v>
      </c>
      <c r="E40310" s="1">
        <v>4.3455399550671099E-6</v>
      </c>
      <c r="F40310" s="1">
        <v>9.9485134582992598E-8</v>
      </c>
    </row>
    <row r="40311" spans="1:6" x14ac:dyDescent="0.25">
      <c r="A40311" s="2" t="str">
        <f t="shared" si="1291"/>
        <v>99999</v>
      </c>
      <c r="B40311" s="2" t="str">
        <f>"99649"</f>
        <v>99649</v>
      </c>
      <c r="C40311" s="1">
        <v>0</v>
      </c>
      <c r="D40311" s="1">
        <v>0</v>
      </c>
      <c r="E40311" s="1">
        <v>4.3455399550671099E-6</v>
      </c>
      <c r="F40311" s="1">
        <v>9.9485134582992598E-8</v>
      </c>
    </row>
    <row r="40312" spans="1:6" x14ac:dyDescent="0.25">
      <c r="A40312" s="2" t="str">
        <f t="shared" si="1291"/>
        <v>99999</v>
      </c>
      <c r="B40312" s="2" t="str">
        <f>"99647"</f>
        <v>99647</v>
      </c>
      <c r="C40312" s="1">
        <v>0</v>
      </c>
      <c r="D40312" s="1">
        <v>0</v>
      </c>
      <c r="E40312" s="1">
        <v>4.3455399550671099E-6</v>
      </c>
      <c r="F40312" s="1">
        <v>9.9485134582992598E-8</v>
      </c>
    </row>
    <row r="40313" spans="1:6" x14ac:dyDescent="0.25">
      <c r="A40313" s="2" t="str">
        <f t="shared" si="1291"/>
        <v>99999</v>
      </c>
      <c r="B40313" s="2" t="str">
        <f>"99589"</f>
        <v>99589</v>
      </c>
      <c r="C40313" s="1">
        <v>0</v>
      </c>
      <c r="D40313" s="1">
        <v>0</v>
      </c>
      <c r="E40313" s="1">
        <v>4.3455399550671099E-6</v>
      </c>
      <c r="F40313" s="1">
        <v>9.9485134582992598E-8</v>
      </c>
    </row>
    <row r="40314" spans="1:6" x14ac:dyDescent="0.25">
      <c r="A40314" s="2" t="str">
        <f t="shared" si="1291"/>
        <v>99999</v>
      </c>
      <c r="B40314" s="2" t="str">
        <f>"99575"</f>
        <v>99575</v>
      </c>
      <c r="C40314" s="1">
        <v>0</v>
      </c>
      <c r="D40314" s="1">
        <v>0</v>
      </c>
      <c r="E40314" s="1">
        <v>4.3455399550671099E-6</v>
      </c>
      <c r="F40314" s="1">
        <v>9.9485134582992598E-8</v>
      </c>
    </row>
    <row r="40315" spans="1:6" x14ac:dyDescent="0.25">
      <c r="A40315" s="2" t="str">
        <f t="shared" si="1291"/>
        <v>99999</v>
      </c>
      <c r="B40315" s="2" t="str">
        <f>"99551"</f>
        <v>99551</v>
      </c>
      <c r="C40315" s="1">
        <v>0</v>
      </c>
      <c r="D40315" s="1">
        <v>0</v>
      </c>
      <c r="E40315" s="1">
        <v>4.3455399550671099E-6</v>
      </c>
      <c r="F40315" s="1">
        <v>9.9485134582992598E-8</v>
      </c>
    </row>
    <row r="40316" spans="1:6" x14ac:dyDescent="0.25">
      <c r="A40316" s="2" t="str">
        <f t="shared" si="1291"/>
        <v>99999</v>
      </c>
      <c r="B40316" s="2" t="str">
        <f>"99549"</f>
        <v>99549</v>
      </c>
      <c r="C40316" s="1">
        <v>0</v>
      </c>
      <c r="D40316" s="1">
        <v>0</v>
      </c>
      <c r="E40316" s="1">
        <v>4.3455399550671099E-6</v>
      </c>
      <c r="F40316" s="1">
        <v>9.9485134582992598E-8</v>
      </c>
    </row>
    <row r="40317" spans="1:6" x14ac:dyDescent="0.25">
      <c r="A40317" s="2" t="str">
        <f t="shared" si="1291"/>
        <v>99999</v>
      </c>
      <c r="B40317" s="2" t="str">
        <f>"99791"</f>
        <v>99791</v>
      </c>
      <c r="C40317" s="1">
        <v>0</v>
      </c>
      <c r="D40317" s="1">
        <v>0</v>
      </c>
      <c r="E40317" s="1">
        <v>4.3455399550671099E-6</v>
      </c>
      <c r="F40317" s="1">
        <v>9.9485134582992598E-8</v>
      </c>
    </row>
    <row r="40318" spans="1:6" x14ac:dyDescent="0.25">
      <c r="A40318" s="2" t="str">
        <f t="shared" si="1291"/>
        <v>99999</v>
      </c>
      <c r="B40318" s="2" t="str">
        <f>"99786"</f>
        <v>99786</v>
      </c>
      <c r="C40318" s="1">
        <v>0</v>
      </c>
      <c r="D40318" s="1">
        <v>0</v>
      </c>
      <c r="E40318" s="1">
        <v>4.3455399550671099E-6</v>
      </c>
      <c r="F40318" s="1">
        <v>9.9485134582992598E-8</v>
      </c>
    </row>
    <row r="40319" spans="1:6" x14ac:dyDescent="0.25">
      <c r="A40319" s="2" t="str">
        <f t="shared" si="1291"/>
        <v>99999</v>
      </c>
      <c r="B40319" s="2" t="str">
        <f>"99784"</f>
        <v>99784</v>
      </c>
      <c r="C40319" s="1">
        <v>0</v>
      </c>
      <c r="D40319" s="1">
        <v>0</v>
      </c>
      <c r="E40319" s="1">
        <v>4.3455399550671099E-6</v>
      </c>
      <c r="F40319" s="1">
        <v>9.9485134582992598E-8</v>
      </c>
    </row>
    <row r="40320" spans="1:6" x14ac:dyDescent="0.25">
      <c r="A40320" s="2" t="str">
        <f t="shared" si="1291"/>
        <v>99999</v>
      </c>
      <c r="B40320" s="2" t="str">
        <f>"99781"</f>
        <v>99781</v>
      </c>
      <c r="C40320" s="1">
        <v>2.1827631992236301E-7</v>
      </c>
      <c r="D40320" s="1">
        <v>0</v>
      </c>
      <c r="E40320" s="1">
        <v>4.3455399550671099E-6</v>
      </c>
      <c r="F40320" s="1">
        <v>2.9845540374897701E-7</v>
      </c>
    </row>
    <row r="40321" spans="1:6" x14ac:dyDescent="0.25">
      <c r="A40321" s="2" t="str">
        <f t="shared" si="1291"/>
        <v>99999</v>
      </c>
      <c r="B40321" s="2" t="str">
        <f>"99771"</f>
        <v>99771</v>
      </c>
      <c r="C40321" s="1">
        <v>0</v>
      </c>
      <c r="D40321" s="1">
        <v>0</v>
      </c>
      <c r="E40321" s="1">
        <v>4.3455399550671099E-6</v>
      </c>
      <c r="F40321" s="1">
        <v>9.9485134582992598E-8</v>
      </c>
    </row>
    <row r="40322" spans="1:6" x14ac:dyDescent="0.25">
      <c r="A40322" s="2" t="str">
        <f t="shared" si="1291"/>
        <v>99999</v>
      </c>
      <c r="B40322" s="2" t="str">
        <f>"99770"</f>
        <v>99770</v>
      </c>
      <c r="C40322" s="1">
        <v>0</v>
      </c>
      <c r="D40322" s="1">
        <v>0</v>
      </c>
      <c r="E40322" s="1">
        <v>4.3455399550671099E-6</v>
      </c>
      <c r="F40322" s="1">
        <v>9.9485134582992598E-8</v>
      </c>
    </row>
    <row r="40323" spans="1:6" x14ac:dyDescent="0.25">
      <c r="A40323" s="2" t="str">
        <f t="shared" si="1291"/>
        <v>99999</v>
      </c>
      <c r="B40323" s="2" t="str">
        <f>"99758"</f>
        <v>99758</v>
      </c>
      <c r="C40323" s="1">
        <v>0</v>
      </c>
      <c r="D40323" s="1">
        <v>0</v>
      </c>
      <c r="E40323" s="1">
        <v>4.3455399550671099E-6</v>
      </c>
      <c r="F40323" s="1">
        <v>9.9485134582992598E-8</v>
      </c>
    </row>
    <row r="40324" spans="1:6" x14ac:dyDescent="0.25">
      <c r="A40324" s="2" t="str">
        <f t="shared" si="1291"/>
        <v>99999</v>
      </c>
      <c r="B40324" s="2" t="str">
        <f>"99748"</f>
        <v>99748</v>
      </c>
      <c r="C40324" s="1">
        <v>0</v>
      </c>
      <c r="D40324" s="1">
        <v>0</v>
      </c>
      <c r="E40324" s="1">
        <v>4.3455399550671099E-6</v>
      </c>
      <c r="F40324" s="1">
        <v>9.9485134582992598E-8</v>
      </c>
    </row>
    <row r="40325" spans="1:6" x14ac:dyDescent="0.25">
      <c r="A40325" s="2" t="str">
        <f t="shared" si="1291"/>
        <v>99999</v>
      </c>
      <c r="B40325" s="2" t="str">
        <f>"99926"</f>
        <v>99926</v>
      </c>
      <c r="C40325" s="1">
        <v>0</v>
      </c>
      <c r="D40325" s="1">
        <v>0</v>
      </c>
      <c r="E40325" s="1">
        <v>4.3455399550671099E-6</v>
      </c>
      <c r="F40325" s="1">
        <v>9.9485134582992598E-8</v>
      </c>
    </row>
    <row r="40326" spans="1:6" x14ac:dyDescent="0.25">
      <c r="A40326" s="2" t="str">
        <f t="shared" si="1291"/>
        <v>99999</v>
      </c>
      <c r="B40326" s="2" t="str">
        <f>"99359"</f>
        <v>99359</v>
      </c>
      <c r="C40326" s="1">
        <v>0</v>
      </c>
      <c r="D40326" s="1">
        <v>0</v>
      </c>
      <c r="E40326" s="1">
        <v>1.9989483793308701E-4</v>
      </c>
      <c r="F40326" s="1">
        <v>4.5763161908176597E-6</v>
      </c>
    </row>
    <row r="40327" spans="1:6" x14ac:dyDescent="0.25">
      <c r="A40327" s="2" t="str">
        <f t="shared" si="1291"/>
        <v>99999</v>
      </c>
      <c r="B40327" s="2" t="str">
        <f>"99361"</f>
        <v>99361</v>
      </c>
      <c r="C40327" s="1">
        <v>4.1472500785249E-6</v>
      </c>
      <c r="D40327" s="1">
        <v>0</v>
      </c>
      <c r="E40327" s="1">
        <v>4.3455399550671099E-6</v>
      </c>
      <c r="F40327" s="1">
        <v>3.87992024873671E-6</v>
      </c>
    </row>
    <row r="40328" spans="1:6" x14ac:dyDescent="0.25">
      <c r="A40328" s="2" t="str">
        <f t="shared" si="1291"/>
        <v>99999</v>
      </c>
      <c r="B40328" s="2" t="str">
        <f>"99159"</f>
        <v>99159</v>
      </c>
      <c r="C40328" s="1">
        <v>2.8266783429946001E-5</v>
      </c>
      <c r="D40328" s="1">
        <v>1.66936294074975E-5</v>
      </c>
      <c r="E40328" s="1">
        <v>8.7345353096849004E-4</v>
      </c>
      <c r="F40328" s="1">
        <v>4.6857498388589501E-5</v>
      </c>
    </row>
    <row r="40329" spans="1:6" x14ac:dyDescent="0.25">
      <c r="A40329" s="2" t="str">
        <f t="shared" si="1291"/>
        <v>99999</v>
      </c>
      <c r="B40329" s="2" t="str">
        <f>"99124"</f>
        <v>99124</v>
      </c>
      <c r="C40329" s="1">
        <v>0</v>
      </c>
      <c r="D40329" s="1">
        <v>0</v>
      </c>
      <c r="E40329" s="1">
        <v>3.3026103658510001E-4</v>
      </c>
      <c r="F40329" s="1">
        <v>7.5608702283074398E-6</v>
      </c>
    </row>
    <row r="40330" spans="1:6" x14ac:dyDescent="0.25">
      <c r="A40330" s="2" t="str">
        <f t="shared" si="1291"/>
        <v>99999</v>
      </c>
      <c r="B40330" s="2" t="str">
        <f>"99122"</f>
        <v>99122</v>
      </c>
      <c r="C40330" s="1">
        <v>1.8837246409299899E-4</v>
      </c>
      <c r="D40330" s="1">
        <v>7.2844928323625703E-5</v>
      </c>
      <c r="E40330" s="1">
        <v>3.7806197609083903E-4</v>
      </c>
      <c r="F40330" s="1">
        <v>1.8514183545894901E-4</v>
      </c>
    </row>
    <row r="40331" spans="1:6" x14ac:dyDescent="0.25">
      <c r="A40331" s="2" t="str">
        <f t="shared" si="1291"/>
        <v>99999</v>
      </c>
      <c r="B40331" s="2" t="str">
        <f>"99103"</f>
        <v>99103</v>
      </c>
      <c r="C40331" s="1">
        <v>1.8007796393594899E-5</v>
      </c>
      <c r="D40331" s="1">
        <v>1.51760267340886E-6</v>
      </c>
      <c r="E40331" s="1">
        <v>1.9554929797801999E-4</v>
      </c>
      <c r="F40331" s="1">
        <v>2.0991363397011399E-5</v>
      </c>
    </row>
    <row r="40332" spans="1:6" x14ac:dyDescent="0.25">
      <c r="A40332" s="2" t="str">
        <f t="shared" si="1291"/>
        <v>99999</v>
      </c>
      <c r="B40332" s="2" t="str">
        <f>"98833"</f>
        <v>98833</v>
      </c>
      <c r="C40332" s="1">
        <v>2.1827631992236301E-5</v>
      </c>
      <c r="D40332" s="1">
        <v>9.1056160404532095E-6</v>
      </c>
      <c r="E40332" s="1">
        <v>8.69107991013423E-6</v>
      </c>
      <c r="F40332" s="1">
        <v>2.06929079932624E-5</v>
      </c>
    </row>
    <row r="40333" spans="1:6" x14ac:dyDescent="0.25">
      <c r="A40333" s="2" t="str">
        <f t="shared" si="1291"/>
        <v>99999</v>
      </c>
      <c r="B40333" s="2" t="str">
        <f>"98612"</f>
        <v>98612</v>
      </c>
      <c r="C40333" s="1">
        <v>1.5050152258646901E-4</v>
      </c>
      <c r="D40333" s="1">
        <v>8.3468147037487798E-5</v>
      </c>
      <c r="E40333" s="1">
        <v>1.56439438382416E-4</v>
      </c>
      <c r="F40333" s="1">
        <v>1.4624314783699899E-4</v>
      </c>
    </row>
    <row r="40334" spans="1:6" x14ac:dyDescent="0.25">
      <c r="A40334" s="2" t="str">
        <f t="shared" si="1291"/>
        <v>99999</v>
      </c>
      <c r="B40334" s="2" t="str">
        <f>"98590"</f>
        <v>98590</v>
      </c>
      <c r="C40334" s="1">
        <v>1.09138159961181E-5</v>
      </c>
      <c r="D40334" s="1">
        <v>1.0623218713862E-5</v>
      </c>
      <c r="E40334" s="1">
        <v>4.3455399550671099E-6</v>
      </c>
      <c r="F40334" s="1">
        <v>1.0744394534963201E-5</v>
      </c>
    </row>
    <row r="40335" spans="1:6" x14ac:dyDescent="0.25">
      <c r="A40335" s="2" t="str">
        <f t="shared" si="1291"/>
        <v>99999</v>
      </c>
      <c r="B40335" s="2" t="str">
        <f>"98320"</f>
        <v>98320</v>
      </c>
      <c r="C40335" s="1">
        <v>9.5168475486150406E-5</v>
      </c>
      <c r="D40335" s="1">
        <v>1.21408213872709E-5</v>
      </c>
      <c r="E40335" s="1">
        <v>3.9109859595604001E-5</v>
      </c>
      <c r="F40335" s="1">
        <v>8.84422846442804E-5</v>
      </c>
    </row>
    <row r="40336" spans="1:6" x14ac:dyDescent="0.25">
      <c r="A40336" s="2" t="str">
        <f t="shared" si="1291"/>
        <v>99999</v>
      </c>
      <c r="B40336" s="2" t="str">
        <f>"97636"</f>
        <v>97636</v>
      </c>
      <c r="C40336" s="1">
        <v>1.5279342394565399E-5</v>
      </c>
      <c r="D40336" s="1">
        <v>0</v>
      </c>
      <c r="E40336" s="1">
        <v>3.0418779685469802E-5</v>
      </c>
      <c r="F40336" s="1">
        <v>1.4624314783699901E-5</v>
      </c>
    </row>
    <row r="40337" spans="1:6" x14ac:dyDescent="0.25">
      <c r="A40337" s="2" t="str">
        <f t="shared" si="1291"/>
        <v>99999</v>
      </c>
      <c r="B40337" s="2" t="str">
        <f>"97907"</f>
        <v>97907</v>
      </c>
      <c r="C40337" s="1">
        <v>4.0817671825481903E-5</v>
      </c>
      <c r="D40337" s="1">
        <v>1.3658424060679801E-5</v>
      </c>
      <c r="E40337" s="1">
        <v>2.1727699775335501E-5</v>
      </c>
      <c r="F40337" s="1">
        <v>3.8600232218201099E-5</v>
      </c>
    </row>
    <row r="40338" spans="1:6" x14ac:dyDescent="0.25">
      <c r="A40338" s="2" t="str">
        <f t="shared" ref="A40338:A40401" si="1292">"99999"</f>
        <v>99999</v>
      </c>
      <c r="B40338" s="2" t="str">
        <f>"97884"</f>
        <v>97884</v>
      </c>
      <c r="C40338" s="1">
        <v>1.15686449558852E-5</v>
      </c>
      <c r="D40338" s="1">
        <v>0</v>
      </c>
      <c r="E40338" s="1">
        <v>1.3036619865201299E-5</v>
      </c>
      <c r="F40338" s="1">
        <v>1.0843879669546099E-5</v>
      </c>
    </row>
    <row r="40339" spans="1:6" x14ac:dyDescent="0.25">
      <c r="A40339" s="2" t="str">
        <f t="shared" si="1292"/>
        <v>99999</v>
      </c>
      <c r="B40339" s="2" t="str">
        <f>"97760"</f>
        <v>97760</v>
      </c>
      <c r="C40339" s="1">
        <v>2.7350022886272102E-4</v>
      </c>
      <c r="D40339" s="1">
        <v>2.2764040101133E-5</v>
      </c>
      <c r="E40339" s="1">
        <v>4.3455399550671099E-6</v>
      </c>
      <c r="F40339" s="1">
        <v>2.5090150941830701E-4</v>
      </c>
    </row>
    <row r="40340" spans="1:6" x14ac:dyDescent="0.25">
      <c r="A40340" s="2" t="str">
        <f t="shared" si="1292"/>
        <v>99999</v>
      </c>
      <c r="B40340" s="2" t="str">
        <f>"97750"</f>
        <v>97750</v>
      </c>
      <c r="C40340" s="1">
        <v>3.2959724308276802E-5</v>
      </c>
      <c r="D40340" s="1">
        <v>9.1056160404532095E-6</v>
      </c>
      <c r="E40340" s="1">
        <v>4.3455399550671099E-6</v>
      </c>
      <c r="F40340" s="1">
        <v>3.0740906586144698E-5</v>
      </c>
    </row>
    <row r="40341" spans="1:6" x14ac:dyDescent="0.25">
      <c r="A40341" s="2" t="str">
        <f t="shared" si="1292"/>
        <v>99999</v>
      </c>
      <c r="B40341" s="2" t="str">
        <f>"97845"</f>
        <v>97845</v>
      </c>
      <c r="C40341" s="1">
        <v>1.72547430898628E-4</v>
      </c>
      <c r="D40341" s="1">
        <v>3.6270703894471901E-4</v>
      </c>
      <c r="E40341" s="1">
        <v>2.6073239730402698E-4</v>
      </c>
      <c r="F40341" s="1">
        <v>1.8703205301602601E-4</v>
      </c>
    </row>
    <row r="40342" spans="1:6" x14ac:dyDescent="0.25">
      <c r="A40342" s="2" t="str">
        <f t="shared" si="1292"/>
        <v>99999</v>
      </c>
      <c r="B40342" s="2" t="str">
        <f>"97837"</f>
        <v>97837</v>
      </c>
      <c r="C40342" s="1">
        <v>7.2031185574379897E-6</v>
      </c>
      <c r="D40342" s="1">
        <v>0</v>
      </c>
      <c r="E40342" s="1">
        <v>0</v>
      </c>
      <c r="F40342" s="1">
        <v>6.5660188824775097E-6</v>
      </c>
    </row>
    <row r="40343" spans="1:6" x14ac:dyDescent="0.25">
      <c r="A40343" s="2" t="str">
        <f t="shared" si="1292"/>
        <v>99999</v>
      </c>
      <c r="B40343" s="2" t="str">
        <f>"97834"</f>
        <v>97834</v>
      </c>
      <c r="C40343" s="1">
        <v>7.6942402772633099E-5</v>
      </c>
      <c r="D40343" s="1">
        <v>1.8211232080906399E-5</v>
      </c>
      <c r="E40343" s="1">
        <v>2.1727699775335501E-5</v>
      </c>
      <c r="F40343" s="1">
        <v>7.1828267168920604E-5</v>
      </c>
    </row>
    <row r="40344" spans="1:6" x14ac:dyDescent="0.25">
      <c r="A40344" s="2" t="str">
        <f t="shared" si="1292"/>
        <v>99999</v>
      </c>
      <c r="B40344" s="2" t="str">
        <f>"97833"</f>
        <v>97833</v>
      </c>
      <c r="C40344" s="1">
        <v>4.3655263984472602E-5</v>
      </c>
      <c r="D40344" s="1">
        <v>0</v>
      </c>
      <c r="E40344" s="1">
        <v>4.3455399550671099E-6</v>
      </c>
      <c r="F40344" s="1">
        <v>3.9893538967779998E-5</v>
      </c>
    </row>
    <row r="40345" spans="1:6" x14ac:dyDescent="0.25">
      <c r="A40345" s="2" t="str">
        <f t="shared" si="1292"/>
        <v>99999</v>
      </c>
      <c r="B40345" s="2" t="str">
        <f>"97825"</f>
        <v>97825</v>
      </c>
      <c r="C40345" s="1">
        <v>1.04772633562734E-5</v>
      </c>
      <c r="D40345" s="1">
        <v>7.5880133670443404E-6</v>
      </c>
      <c r="E40345" s="1">
        <v>0</v>
      </c>
      <c r="F40345" s="1">
        <v>1.0047998592882199E-5</v>
      </c>
    </row>
    <row r="40346" spans="1:6" x14ac:dyDescent="0.25">
      <c r="A40346" s="2" t="str">
        <f t="shared" si="1292"/>
        <v>99999</v>
      </c>
      <c r="B40346" s="2" t="str">
        <f>"97823"</f>
        <v>97823</v>
      </c>
      <c r="C40346" s="1">
        <v>9.7023824205490501E-5</v>
      </c>
      <c r="D40346" s="1">
        <v>3.0352053468177301E-6</v>
      </c>
      <c r="E40346" s="1">
        <v>4.3455399550671099E-6</v>
      </c>
      <c r="F40346" s="1">
        <v>8.8740740048029402E-5</v>
      </c>
    </row>
    <row r="40347" spans="1:6" x14ac:dyDescent="0.25">
      <c r="A40347" s="2" t="str">
        <f t="shared" si="1292"/>
        <v>99999</v>
      </c>
      <c r="B40347" s="2" t="str">
        <f>"97814"</f>
        <v>97814</v>
      </c>
      <c r="C40347" s="1">
        <v>7.00012157991019E-4</v>
      </c>
      <c r="D40347" s="1">
        <v>1.0410754339584801E-3</v>
      </c>
      <c r="E40347" s="1">
        <v>8.7779907092355703E-4</v>
      </c>
      <c r="F40347" s="1">
        <v>7.2644045272501196E-4</v>
      </c>
    </row>
    <row r="40348" spans="1:6" x14ac:dyDescent="0.25">
      <c r="A40348" s="2" t="str">
        <f t="shared" si="1292"/>
        <v>99999</v>
      </c>
      <c r="B40348" s="2" t="str">
        <f>"97736"</f>
        <v>97736</v>
      </c>
      <c r="C40348" s="1">
        <v>7.6396711972827196E-6</v>
      </c>
      <c r="D40348" s="1">
        <v>6.0704106936354696E-6</v>
      </c>
      <c r="E40348" s="1">
        <v>4.3455399550671099E-6</v>
      </c>
      <c r="F40348" s="1">
        <v>7.4613850937244396E-6</v>
      </c>
    </row>
    <row r="40349" spans="1:6" x14ac:dyDescent="0.25">
      <c r="A40349" s="2" t="str">
        <f t="shared" si="1292"/>
        <v>99999</v>
      </c>
      <c r="B40349" s="2" t="str">
        <f>"97735"</f>
        <v>97735</v>
      </c>
      <c r="C40349" s="1">
        <v>1.09138159961181E-5</v>
      </c>
      <c r="D40349" s="1">
        <v>0</v>
      </c>
      <c r="E40349" s="1">
        <v>4.3455399550671099E-6</v>
      </c>
      <c r="F40349" s="1">
        <v>1.0047998592882199E-5</v>
      </c>
    </row>
    <row r="40350" spans="1:6" x14ac:dyDescent="0.25">
      <c r="A40350" s="2" t="str">
        <f t="shared" si="1292"/>
        <v>99999</v>
      </c>
      <c r="B40350" s="2" t="str">
        <f>"97734"</f>
        <v>97734</v>
      </c>
      <c r="C40350" s="1">
        <v>2.1445648432372199E-4</v>
      </c>
      <c r="D40350" s="1">
        <v>2.5799245447950699E-5</v>
      </c>
      <c r="E40350" s="1">
        <v>8.2565259146275205E-5</v>
      </c>
      <c r="F40350" s="1">
        <v>1.9906975430056801E-4</v>
      </c>
    </row>
    <row r="40351" spans="1:6" x14ac:dyDescent="0.25">
      <c r="A40351" s="2" t="str">
        <f t="shared" si="1292"/>
        <v>99999</v>
      </c>
      <c r="B40351" s="2" t="str">
        <f>"97368"</f>
        <v>97368</v>
      </c>
      <c r="C40351" s="1">
        <v>5.7843224779426299E-6</v>
      </c>
      <c r="D40351" s="1">
        <v>1.51760267340886E-6</v>
      </c>
      <c r="E40351" s="1">
        <v>8.69107991013423E-6</v>
      </c>
      <c r="F40351" s="1">
        <v>5.5711675366475797E-6</v>
      </c>
    </row>
    <row r="40352" spans="1:6" x14ac:dyDescent="0.25">
      <c r="A40352" s="2" t="str">
        <f t="shared" si="1292"/>
        <v>99999</v>
      </c>
      <c r="B40352" s="2" t="str">
        <f>"97122"</f>
        <v>97122</v>
      </c>
      <c r="C40352" s="1">
        <v>2.0736250392624501E-5</v>
      </c>
      <c r="D40352" s="1">
        <v>6.0704106936354696E-6</v>
      </c>
      <c r="E40352" s="1">
        <v>1.7382159820268399E-5</v>
      </c>
      <c r="F40352" s="1">
        <v>1.96980566474325E-5</v>
      </c>
    </row>
    <row r="40353" spans="1:6" x14ac:dyDescent="0.25">
      <c r="A40353" s="2" t="str">
        <f t="shared" si="1292"/>
        <v>99999</v>
      </c>
      <c r="B40353" s="2" t="str">
        <f>"97112"</f>
        <v>97112</v>
      </c>
      <c r="C40353" s="1">
        <v>1.3576787099171001E-4</v>
      </c>
      <c r="D40353" s="1">
        <v>1.0623218713862E-4</v>
      </c>
      <c r="E40353" s="1">
        <v>3.0418779685469802E-5</v>
      </c>
      <c r="F40353" s="1">
        <v>1.3141986278413301E-4</v>
      </c>
    </row>
    <row r="40354" spans="1:6" x14ac:dyDescent="0.25">
      <c r="A40354" s="2" t="str">
        <f t="shared" si="1292"/>
        <v>99999</v>
      </c>
      <c r="B40354" s="2" t="str">
        <f>"96125"</f>
        <v>96125</v>
      </c>
      <c r="C40354" s="1">
        <v>2.07362503926245E-6</v>
      </c>
      <c r="D40354" s="1">
        <v>3.0352053468177301E-6</v>
      </c>
      <c r="E40354" s="1">
        <v>4.3455399550671099E-6</v>
      </c>
      <c r="F40354" s="1">
        <v>2.1886729608258301E-6</v>
      </c>
    </row>
    <row r="40355" spans="1:6" x14ac:dyDescent="0.25">
      <c r="A40355" s="2" t="str">
        <f t="shared" si="1292"/>
        <v>99999</v>
      </c>
      <c r="B40355" s="2" t="str">
        <f>"96112"</f>
        <v>96112</v>
      </c>
      <c r="C40355" s="1">
        <v>4.3655263984472602E-7</v>
      </c>
      <c r="D40355" s="1">
        <v>0</v>
      </c>
      <c r="E40355" s="1">
        <v>4.3455399550671099E-6</v>
      </c>
      <c r="F40355" s="1">
        <v>4.9742567291496303E-7</v>
      </c>
    </row>
    <row r="40356" spans="1:6" x14ac:dyDescent="0.25">
      <c r="A40356" s="2" t="str">
        <f t="shared" si="1292"/>
        <v>99999</v>
      </c>
      <c r="B40356" s="2" t="str">
        <f>"96129"</f>
        <v>96129</v>
      </c>
      <c r="C40356" s="1">
        <v>1.6152447674254801E-5</v>
      </c>
      <c r="D40356" s="1">
        <v>2.5799245447950699E-5</v>
      </c>
      <c r="E40356" s="1">
        <v>2.1727699775335501E-5</v>
      </c>
      <c r="F40356" s="1">
        <v>1.69124728791087E-5</v>
      </c>
    </row>
    <row r="40357" spans="1:6" x14ac:dyDescent="0.25">
      <c r="A40357" s="2" t="str">
        <f t="shared" si="1292"/>
        <v>99999</v>
      </c>
      <c r="B40357" s="2" t="str">
        <f>"96103"</f>
        <v>96103</v>
      </c>
      <c r="C40357" s="1">
        <v>5.5987876060086201E-5</v>
      </c>
      <c r="D40357" s="1">
        <v>6.0704106936354696E-6</v>
      </c>
      <c r="E40357" s="1">
        <v>0</v>
      </c>
      <c r="F40357" s="1">
        <v>5.1433814579407101E-5</v>
      </c>
    </row>
    <row r="40358" spans="1:6" x14ac:dyDescent="0.25">
      <c r="A40358" s="2" t="str">
        <f t="shared" si="1292"/>
        <v>99999</v>
      </c>
      <c r="B40358" s="2" t="str">
        <f>"96122"</f>
        <v>96122</v>
      </c>
      <c r="C40358" s="1">
        <v>2.2951755039836501E-4</v>
      </c>
      <c r="D40358" s="1">
        <v>3.3387258814995097E-4</v>
      </c>
      <c r="E40358" s="1">
        <v>3.4764319640536898E-4</v>
      </c>
      <c r="F40358" s="1">
        <v>2.3906277840293099E-4</v>
      </c>
    </row>
    <row r="40359" spans="1:6" x14ac:dyDescent="0.25">
      <c r="A40359" s="2" t="str">
        <f t="shared" si="1292"/>
        <v>99999</v>
      </c>
      <c r="B40359" s="2" t="str">
        <f>"96014"</f>
        <v>96014</v>
      </c>
      <c r="C40359" s="1">
        <v>1.0040710716428699E-5</v>
      </c>
      <c r="D40359" s="1">
        <v>1.51760267340886E-6</v>
      </c>
      <c r="E40359" s="1">
        <v>1.3036619865201299E-5</v>
      </c>
      <c r="F40359" s="1">
        <v>9.5505729199672898E-6</v>
      </c>
    </row>
    <row r="40360" spans="1:6" x14ac:dyDescent="0.25">
      <c r="A40360" s="2" t="str">
        <f t="shared" si="1292"/>
        <v>99999</v>
      </c>
      <c r="B40360" s="2" t="str">
        <f>"96052"</f>
        <v>96052</v>
      </c>
      <c r="C40360" s="1">
        <v>3.8853184946180599E-5</v>
      </c>
      <c r="D40360" s="1">
        <v>4.5528080202265997E-6</v>
      </c>
      <c r="E40360" s="1">
        <v>1.7382159820268399E-5</v>
      </c>
      <c r="F40360" s="1">
        <v>3.6113103853626299E-5</v>
      </c>
    </row>
    <row r="40361" spans="1:6" x14ac:dyDescent="0.25">
      <c r="A40361" s="2" t="str">
        <f t="shared" si="1292"/>
        <v>99999</v>
      </c>
      <c r="B40361" s="2" t="str">
        <f>"96039"</f>
        <v>96039</v>
      </c>
      <c r="C40361" s="1">
        <v>8.5127764769721692E-6</v>
      </c>
      <c r="D40361" s="1">
        <v>1.0623218713862E-5</v>
      </c>
      <c r="E40361" s="1">
        <v>4.3455399550671099E-6</v>
      </c>
      <c r="F40361" s="1">
        <v>8.5557215741373606E-6</v>
      </c>
    </row>
    <row r="40362" spans="1:6" x14ac:dyDescent="0.25">
      <c r="A40362" s="2" t="str">
        <f t="shared" si="1292"/>
        <v>99999</v>
      </c>
      <c r="B40362" s="2" t="str">
        <f>"96050"</f>
        <v>96050</v>
      </c>
      <c r="C40362" s="1">
        <v>2.8703336069790699E-5</v>
      </c>
      <c r="D40362" s="1">
        <v>1.0623218713862E-5</v>
      </c>
      <c r="E40362" s="1">
        <v>1.7382159820268399E-5</v>
      </c>
      <c r="F40362" s="1">
        <v>2.7258926875739899E-5</v>
      </c>
    </row>
    <row r="40363" spans="1:6" x14ac:dyDescent="0.25">
      <c r="A40363" s="2" t="str">
        <f t="shared" si="1292"/>
        <v>99999</v>
      </c>
      <c r="B40363" s="2" t="str">
        <f>"95988"</f>
        <v>95988</v>
      </c>
      <c r="C40363" s="1">
        <v>3.9420703377978798E-4</v>
      </c>
      <c r="D40363" s="1">
        <v>6.3587552015831599E-4</v>
      </c>
      <c r="E40363" s="1">
        <v>7.3439625240634204E-4</v>
      </c>
      <c r="F40363" s="1">
        <v>4.1783756524856898E-4</v>
      </c>
    </row>
    <row r="40364" spans="1:6" x14ac:dyDescent="0.25">
      <c r="A40364" s="2" t="str">
        <f t="shared" si="1292"/>
        <v>99999</v>
      </c>
      <c r="B40364" s="2" t="str">
        <f>"95646"</f>
        <v>95646</v>
      </c>
      <c r="C40364" s="1">
        <v>0</v>
      </c>
      <c r="D40364" s="1">
        <v>0</v>
      </c>
      <c r="E40364" s="1">
        <v>4.3455399550671099E-6</v>
      </c>
      <c r="F40364" s="1">
        <v>9.9485134582992598E-8</v>
      </c>
    </row>
    <row r="40365" spans="1:6" x14ac:dyDescent="0.25">
      <c r="A40365" s="2" t="str">
        <f t="shared" si="1292"/>
        <v>99999</v>
      </c>
      <c r="B40365" s="2" t="str">
        <f>"95526"</f>
        <v>95526</v>
      </c>
      <c r="C40365" s="1">
        <v>1.8116934553556101E-5</v>
      </c>
      <c r="D40365" s="1">
        <v>1.21408213872709E-5</v>
      </c>
      <c r="E40365" s="1">
        <v>4.3455399550671099E-6</v>
      </c>
      <c r="F40365" s="1">
        <v>1.74098985520237E-5</v>
      </c>
    </row>
    <row r="40366" spans="1:6" x14ac:dyDescent="0.25">
      <c r="A40366" s="2" t="str">
        <f t="shared" si="1292"/>
        <v>99999</v>
      </c>
      <c r="B40366" s="2" t="str">
        <f>"95389"</f>
        <v>95389</v>
      </c>
      <c r="C40366" s="1">
        <v>1.17869212758076E-5</v>
      </c>
      <c r="D40366" s="1">
        <v>3.0352053468177301E-6</v>
      </c>
      <c r="E40366" s="1">
        <v>2.1727699775335501E-5</v>
      </c>
      <c r="F40366" s="1">
        <v>1.1440790477044101E-5</v>
      </c>
    </row>
    <row r="40367" spans="1:6" x14ac:dyDescent="0.25">
      <c r="A40367" s="2" t="str">
        <f t="shared" si="1292"/>
        <v>99999</v>
      </c>
      <c r="B40367" s="2" t="str">
        <f>"95224"</f>
        <v>95224</v>
      </c>
      <c r="C40367" s="1">
        <v>0</v>
      </c>
      <c r="D40367" s="1">
        <v>0</v>
      </c>
      <c r="E40367" s="1">
        <v>4.3455399550671099E-6</v>
      </c>
      <c r="F40367" s="1">
        <v>9.9485134582992598E-8</v>
      </c>
    </row>
    <row r="40368" spans="1:6" x14ac:dyDescent="0.25">
      <c r="A40368" s="2" t="str">
        <f t="shared" si="1292"/>
        <v>99999</v>
      </c>
      <c r="B40368" s="2" t="str">
        <f>"95369"</f>
        <v>95369</v>
      </c>
      <c r="C40368" s="1">
        <v>8.7310527968945299E-6</v>
      </c>
      <c r="D40368" s="1">
        <v>4.5528080202265997E-6</v>
      </c>
      <c r="E40368" s="1">
        <v>0</v>
      </c>
      <c r="F40368" s="1">
        <v>8.2572661703883803E-6</v>
      </c>
    </row>
    <row r="40369" spans="1:6" x14ac:dyDescent="0.25">
      <c r="A40369" s="2" t="str">
        <f t="shared" si="1292"/>
        <v>99999</v>
      </c>
      <c r="B40369" s="2" t="str">
        <f>"93623"</f>
        <v>93623</v>
      </c>
      <c r="C40369" s="1">
        <v>6.5482895976708995E-7</v>
      </c>
      <c r="D40369" s="1">
        <v>6.0704106936354696E-6</v>
      </c>
      <c r="E40369" s="1">
        <v>4.3455399550671099E-6</v>
      </c>
      <c r="F40369" s="1">
        <v>1.09433648041291E-6</v>
      </c>
    </row>
    <row r="40370" spans="1:6" x14ac:dyDescent="0.25">
      <c r="A40370" s="2" t="str">
        <f t="shared" si="1292"/>
        <v>99999</v>
      </c>
      <c r="B40370" s="2" t="str">
        <f>"93549"</f>
        <v>93549</v>
      </c>
      <c r="C40370" s="1">
        <v>3.1650066388742701E-6</v>
      </c>
      <c r="D40370" s="1">
        <v>1.51760267340886E-6</v>
      </c>
      <c r="E40370" s="1">
        <v>0</v>
      </c>
      <c r="F40370" s="1">
        <v>2.9845540374897699E-6</v>
      </c>
    </row>
    <row r="40371" spans="1:6" x14ac:dyDescent="0.25">
      <c r="A40371" s="2" t="str">
        <f t="shared" si="1292"/>
        <v>99999</v>
      </c>
      <c r="B40371" s="2" t="str">
        <f>"93515"</f>
        <v>93515</v>
      </c>
      <c r="C40371" s="1">
        <v>1.10011265240871E-4</v>
      </c>
      <c r="D40371" s="1">
        <v>2.64062865173143E-4</v>
      </c>
      <c r="E40371" s="1">
        <v>8.69107991013423E-6</v>
      </c>
      <c r="F40371" s="1">
        <v>1.17790399346263E-4</v>
      </c>
    </row>
    <row r="40372" spans="1:6" x14ac:dyDescent="0.25">
      <c r="A40372" s="2" t="str">
        <f t="shared" si="1292"/>
        <v>99999</v>
      </c>
      <c r="B40372" s="2" t="str">
        <f>"92384"</f>
        <v>92384</v>
      </c>
      <c r="C40372" s="1">
        <v>0</v>
      </c>
      <c r="D40372" s="1">
        <v>1.51760267340886E-6</v>
      </c>
      <c r="E40372" s="1">
        <v>0</v>
      </c>
      <c r="F40372" s="1">
        <v>9.9485134582992598E-8</v>
      </c>
    </row>
    <row r="40373" spans="1:6" x14ac:dyDescent="0.25">
      <c r="A40373" s="2" t="str">
        <f t="shared" si="1292"/>
        <v>99999</v>
      </c>
      <c r="B40373" s="2" t="str">
        <f>"69365"</f>
        <v>69365</v>
      </c>
      <c r="C40373" s="1">
        <v>1.4187960794953601E-6</v>
      </c>
      <c r="D40373" s="1">
        <v>4.5528080202265997E-6</v>
      </c>
      <c r="E40373" s="1">
        <v>0</v>
      </c>
      <c r="F40373" s="1">
        <v>1.5917621533278801E-6</v>
      </c>
    </row>
    <row r="40374" spans="1:6" x14ac:dyDescent="0.25">
      <c r="A40374" s="2" t="str">
        <f t="shared" si="1292"/>
        <v>99999</v>
      </c>
      <c r="B40374" s="2" t="str">
        <f>"68864"</f>
        <v>68864</v>
      </c>
      <c r="C40374" s="1">
        <v>5.3477698380979E-6</v>
      </c>
      <c r="D40374" s="1">
        <v>4.5528080202265997E-6</v>
      </c>
      <c r="E40374" s="1">
        <v>0</v>
      </c>
      <c r="F40374" s="1">
        <v>5.1732269983156102E-6</v>
      </c>
    </row>
    <row r="40375" spans="1:6" x14ac:dyDescent="0.25">
      <c r="A40375" s="2" t="str">
        <f t="shared" si="1292"/>
        <v>99999</v>
      </c>
      <c r="B40375" s="2" t="str">
        <f>"68860"</f>
        <v>68860</v>
      </c>
      <c r="C40375" s="1">
        <v>1.47336515947595E-5</v>
      </c>
      <c r="D40375" s="1">
        <v>3.0352053468177301E-6</v>
      </c>
      <c r="E40375" s="1">
        <v>4.3455399550671099E-6</v>
      </c>
      <c r="F40375" s="1">
        <v>1.37289485724529E-5</v>
      </c>
    </row>
    <row r="40376" spans="1:6" x14ac:dyDescent="0.25">
      <c r="A40376" s="2" t="str">
        <f t="shared" si="1292"/>
        <v>99999</v>
      </c>
      <c r="B40376" s="2" t="str">
        <f>"68852"</f>
        <v>68852</v>
      </c>
      <c r="C40376" s="1">
        <v>2.9358165029557801E-5</v>
      </c>
      <c r="D40376" s="1">
        <v>4.5528080202265997E-6</v>
      </c>
      <c r="E40376" s="1">
        <v>4.3455399550671099E-6</v>
      </c>
      <c r="F40376" s="1">
        <v>2.71594417411569E-5</v>
      </c>
    </row>
    <row r="40377" spans="1:6" x14ac:dyDescent="0.25">
      <c r="A40377" s="2" t="str">
        <f t="shared" si="1292"/>
        <v>99999</v>
      </c>
      <c r="B40377" s="2" t="str">
        <f>"68842"</f>
        <v>68842</v>
      </c>
      <c r="C40377" s="1">
        <v>3.6124730947151102E-5</v>
      </c>
      <c r="D40377" s="1">
        <v>5.7668901589537E-5</v>
      </c>
      <c r="E40377" s="1">
        <v>2.60732397304027E-5</v>
      </c>
      <c r="F40377" s="1">
        <v>3.73069254686222E-5</v>
      </c>
    </row>
    <row r="40378" spans="1:6" x14ac:dyDescent="0.25">
      <c r="A40378" s="2" t="str">
        <f t="shared" si="1292"/>
        <v>99999</v>
      </c>
      <c r="B40378" s="2" t="str">
        <f>"68817"</f>
        <v>68817</v>
      </c>
      <c r="C40378" s="1">
        <v>1.7898658233633802E-5</v>
      </c>
      <c r="D40378" s="1">
        <v>0</v>
      </c>
      <c r="E40378" s="1">
        <v>4.3455399550671099E-6</v>
      </c>
      <c r="F40378" s="1">
        <v>1.6415047206193701E-5</v>
      </c>
    </row>
    <row r="40379" spans="1:6" x14ac:dyDescent="0.25">
      <c r="A40379" s="2" t="str">
        <f t="shared" si="1292"/>
        <v>99999</v>
      </c>
      <c r="B40379" s="2" t="str">
        <f>"68832"</f>
        <v>68832</v>
      </c>
      <c r="C40379" s="1">
        <v>3.1650066388742701E-6</v>
      </c>
      <c r="D40379" s="1">
        <v>1.51760267340886E-6</v>
      </c>
      <c r="E40379" s="1">
        <v>0</v>
      </c>
      <c r="F40379" s="1">
        <v>2.9845540374897699E-6</v>
      </c>
    </row>
    <row r="40380" spans="1:6" x14ac:dyDescent="0.25">
      <c r="A40380" s="2" t="str">
        <f t="shared" si="1292"/>
        <v>99999</v>
      </c>
      <c r="B40380" s="2" t="str">
        <f>"69335"</f>
        <v>69335</v>
      </c>
      <c r="C40380" s="1">
        <v>4.0381119185637197E-6</v>
      </c>
      <c r="D40380" s="1">
        <v>3.0352053468177301E-6</v>
      </c>
      <c r="E40380" s="1">
        <v>0</v>
      </c>
      <c r="F40380" s="1">
        <v>3.87992024873671E-6</v>
      </c>
    </row>
    <row r="40381" spans="1:6" x14ac:dyDescent="0.25">
      <c r="A40381" s="2" t="str">
        <f t="shared" si="1292"/>
        <v>99999</v>
      </c>
      <c r="B40381" s="2" t="str">
        <f>"69347"</f>
        <v>69347</v>
      </c>
      <c r="C40381" s="1">
        <v>7.4323086933564703E-5</v>
      </c>
      <c r="D40381" s="1">
        <v>1.3658424060679801E-5</v>
      </c>
      <c r="E40381" s="1">
        <v>1.3036619865201299E-5</v>
      </c>
      <c r="F40381" s="1">
        <v>6.8943198266013803E-5</v>
      </c>
    </row>
    <row r="40382" spans="1:6" x14ac:dyDescent="0.25">
      <c r="A40382" s="2" t="str">
        <f t="shared" si="1292"/>
        <v>99999</v>
      </c>
      <c r="B40382" s="2" t="str">
        <f>"69339"</f>
        <v>69339</v>
      </c>
      <c r="C40382" s="1">
        <v>8.6764837169139402E-5</v>
      </c>
      <c r="D40382" s="1">
        <v>1.39619445953615E-4</v>
      </c>
      <c r="E40382" s="1">
        <v>5.6492019415872502E-5</v>
      </c>
      <c r="F40382" s="1">
        <v>8.9536621124693296E-5</v>
      </c>
    </row>
    <row r="40383" spans="1:6" x14ac:dyDescent="0.25">
      <c r="A40383" s="2" t="str">
        <f t="shared" si="1292"/>
        <v>99999</v>
      </c>
      <c r="B40383" s="2" t="str">
        <f>"69210"</f>
        <v>69210</v>
      </c>
      <c r="C40383" s="1">
        <v>1.4482633826848801E-4</v>
      </c>
      <c r="D40383" s="1">
        <v>2.8530930260086697E-4</v>
      </c>
      <c r="E40383" s="1">
        <v>1.2602065869694599E-4</v>
      </c>
      <c r="F40383" s="1">
        <v>1.5360504779614E-4</v>
      </c>
    </row>
    <row r="40384" spans="1:6" x14ac:dyDescent="0.25">
      <c r="A40384" s="2" t="str">
        <f t="shared" si="1292"/>
        <v>99999</v>
      </c>
      <c r="B40384" s="2" t="str">
        <f>"68980"</f>
        <v>68980</v>
      </c>
      <c r="C40384" s="1">
        <v>9.6041580765839897E-6</v>
      </c>
      <c r="D40384" s="1">
        <v>0</v>
      </c>
      <c r="E40384" s="1">
        <v>0</v>
      </c>
      <c r="F40384" s="1">
        <v>8.7546918433033508E-6</v>
      </c>
    </row>
    <row r="40385" spans="1:6" x14ac:dyDescent="0.25">
      <c r="A40385" s="2" t="str">
        <f t="shared" si="1292"/>
        <v>99999</v>
      </c>
      <c r="B40385" s="2" t="str">
        <f>"69030"</f>
        <v>69030</v>
      </c>
      <c r="C40385" s="1">
        <v>2.2700737271925801E-5</v>
      </c>
      <c r="D40385" s="1">
        <v>4.5528080202265997E-6</v>
      </c>
      <c r="E40385" s="1">
        <v>4.3455399550671099E-6</v>
      </c>
      <c r="F40385" s="1">
        <v>2.1090848531594401E-5</v>
      </c>
    </row>
    <row r="40386" spans="1:6" x14ac:dyDescent="0.25">
      <c r="A40386" s="2" t="str">
        <f t="shared" si="1292"/>
        <v>99999</v>
      </c>
      <c r="B40386" s="2" t="str">
        <f>"68981"</f>
        <v>68981</v>
      </c>
      <c r="C40386" s="1">
        <v>1.1677783115846399E-5</v>
      </c>
      <c r="D40386" s="1">
        <v>0</v>
      </c>
      <c r="E40386" s="1">
        <v>4.3455399550671099E-6</v>
      </c>
      <c r="F40386" s="1">
        <v>1.0744394534963201E-5</v>
      </c>
    </row>
    <row r="40387" spans="1:6" x14ac:dyDescent="0.25">
      <c r="A40387" s="2" t="str">
        <f t="shared" si="1292"/>
        <v>99999</v>
      </c>
      <c r="B40387" s="2" t="str">
        <f>"68978"</f>
        <v>68978</v>
      </c>
      <c r="C40387" s="1">
        <v>1.4384409482883699E-4</v>
      </c>
      <c r="D40387" s="1">
        <v>2.82274097254049E-4</v>
      </c>
      <c r="E40387" s="1">
        <v>1.6078497833748299E-4</v>
      </c>
      <c r="F40387" s="1">
        <v>1.53306592392391E-4</v>
      </c>
    </row>
    <row r="40388" spans="1:6" x14ac:dyDescent="0.25">
      <c r="A40388" s="2" t="str">
        <f t="shared" si="1292"/>
        <v>99999</v>
      </c>
      <c r="B40388" s="2" t="str">
        <f>"68967"</f>
        <v>68967</v>
      </c>
      <c r="C40388" s="1">
        <v>6.10082314183005E-5</v>
      </c>
      <c r="D40388" s="1">
        <v>4.4010477528857203E-5</v>
      </c>
      <c r="E40388" s="1">
        <v>2.1727699775335501E-5</v>
      </c>
      <c r="F40388" s="1">
        <v>5.8994684807714602E-5</v>
      </c>
    </row>
    <row r="40389" spans="1:6" x14ac:dyDescent="0.25">
      <c r="A40389" s="2" t="str">
        <f t="shared" si="1292"/>
        <v>99999</v>
      </c>
      <c r="B40389" s="2" t="str">
        <f>"68966"</f>
        <v>68966</v>
      </c>
      <c r="C40389" s="1">
        <v>3.85257704662971E-5</v>
      </c>
      <c r="D40389" s="1">
        <v>1.21408213872709E-5</v>
      </c>
      <c r="E40389" s="1">
        <v>1.3036619865201299E-5</v>
      </c>
      <c r="F40389" s="1">
        <v>3.6212588988209297E-5</v>
      </c>
    </row>
    <row r="40390" spans="1:6" x14ac:dyDescent="0.25">
      <c r="A40390" s="2" t="str">
        <f t="shared" si="1292"/>
        <v>99999</v>
      </c>
      <c r="B40390" s="2" t="str">
        <f>"69134"</f>
        <v>69134</v>
      </c>
      <c r="C40390" s="1">
        <v>1.9863145112935E-5</v>
      </c>
      <c r="D40390" s="1">
        <v>1.21408213872709E-5</v>
      </c>
      <c r="E40390" s="1">
        <v>1.3036619865201299E-5</v>
      </c>
      <c r="F40390" s="1">
        <v>1.92006309745175E-5</v>
      </c>
    </row>
    <row r="40391" spans="1:6" x14ac:dyDescent="0.25">
      <c r="A40391" s="2" t="str">
        <f t="shared" si="1292"/>
        <v>99999</v>
      </c>
      <c r="B40391" s="2" t="str">
        <f>"69129"</f>
        <v>69129</v>
      </c>
      <c r="C40391" s="1">
        <v>7.7488093572438996E-5</v>
      </c>
      <c r="D40391" s="1">
        <v>2.5799245447950699E-5</v>
      </c>
      <c r="E40391" s="1">
        <v>1.3036619865201299E-5</v>
      </c>
      <c r="F40391" s="1">
        <v>7.2624148245584605E-5</v>
      </c>
    </row>
    <row r="40392" spans="1:6" x14ac:dyDescent="0.25">
      <c r="A40392" s="2" t="str">
        <f t="shared" si="1292"/>
        <v>99999</v>
      </c>
      <c r="B40392" s="2" t="str">
        <f>"69166"</f>
        <v>69166</v>
      </c>
      <c r="C40392" s="1">
        <v>3.53607638274228E-5</v>
      </c>
      <c r="D40392" s="1">
        <v>3.4904861488403899E-5</v>
      </c>
      <c r="E40392" s="1">
        <v>1.3036619865201299E-5</v>
      </c>
      <c r="F40392" s="1">
        <v>3.48197971040474E-5</v>
      </c>
    </row>
    <row r="40393" spans="1:6" x14ac:dyDescent="0.25">
      <c r="A40393" s="2" t="str">
        <f t="shared" si="1292"/>
        <v>99999</v>
      </c>
      <c r="B40393" s="2" t="str">
        <f>"68790"</f>
        <v>68790</v>
      </c>
      <c r="C40393" s="1">
        <v>3.9398875745986597E-5</v>
      </c>
      <c r="D40393" s="1">
        <v>4.5528080202265997E-6</v>
      </c>
      <c r="E40393" s="1">
        <v>1.7382159820268399E-5</v>
      </c>
      <c r="F40393" s="1">
        <v>3.6610529526541203E-5</v>
      </c>
    </row>
    <row r="40394" spans="1:6" x14ac:dyDescent="0.25">
      <c r="A40394" s="2" t="str">
        <f t="shared" si="1292"/>
        <v>99999</v>
      </c>
      <c r="B40394" s="2" t="str">
        <f>"68788"</f>
        <v>68788</v>
      </c>
      <c r="C40394" s="1">
        <v>2.4839845207164898E-4</v>
      </c>
      <c r="D40394" s="1">
        <v>4.0671751647357698E-4</v>
      </c>
      <c r="E40394" s="1">
        <v>4.9973709483271795E-4</v>
      </c>
      <c r="F40394" s="1">
        <v>2.6453097285617698E-4</v>
      </c>
    </row>
    <row r="40395" spans="1:6" x14ac:dyDescent="0.25">
      <c r="A40395" s="2" t="str">
        <f t="shared" si="1292"/>
        <v>99999</v>
      </c>
      <c r="B40395" s="2" t="str">
        <f>"68787"</f>
        <v>68787</v>
      </c>
      <c r="C40395" s="1">
        <v>2.9729234773425898E-4</v>
      </c>
      <c r="D40395" s="1">
        <v>4.8108004747061099E-4</v>
      </c>
      <c r="E40395" s="1">
        <v>1.0820394488117099E-3</v>
      </c>
      <c r="F40395" s="1">
        <v>3.2730609277804499E-4</v>
      </c>
    </row>
    <row r="40396" spans="1:6" x14ac:dyDescent="0.25">
      <c r="A40396" s="2" t="str">
        <f t="shared" si="1292"/>
        <v>99999</v>
      </c>
      <c r="B40396" s="2" t="str">
        <f>"68771"</f>
        <v>68771</v>
      </c>
      <c r="C40396" s="1">
        <v>7.2795152694108195E-5</v>
      </c>
      <c r="D40396" s="1">
        <v>9.2573763077941E-5</v>
      </c>
      <c r="E40396" s="1">
        <v>6.5183099326006705E-5</v>
      </c>
      <c r="F40396" s="1">
        <v>7.3917454995163498E-5</v>
      </c>
    </row>
    <row r="40397" spans="1:6" x14ac:dyDescent="0.25">
      <c r="A40397" s="2" t="str">
        <f t="shared" si="1292"/>
        <v>99999</v>
      </c>
      <c r="B40397" s="2" t="str">
        <f>"68901"</f>
        <v>68901</v>
      </c>
      <c r="C40397" s="1">
        <v>9.8224343965063504E-7</v>
      </c>
      <c r="D40397" s="1">
        <v>2.5799245447950699E-5</v>
      </c>
      <c r="E40397" s="1">
        <v>0</v>
      </c>
      <c r="F40397" s="1">
        <v>2.5866134991578E-6</v>
      </c>
    </row>
    <row r="40398" spans="1:6" x14ac:dyDescent="0.25">
      <c r="A40398" s="2" t="str">
        <f t="shared" si="1292"/>
        <v>99999</v>
      </c>
      <c r="B40398" s="2" t="str">
        <f>"68928"</f>
        <v>68928</v>
      </c>
      <c r="C40398" s="1">
        <v>1.68072766340219E-5</v>
      </c>
      <c r="D40398" s="1">
        <v>4.5528080202265997E-6</v>
      </c>
      <c r="E40398" s="1">
        <v>4.3455399550671099E-6</v>
      </c>
      <c r="F40398" s="1">
        <v>1.57186512641128E-5</v>
      </c>
    </row>
    <row r="40399" spans="1:6" x14ac:dyDescent="0.25">
      <c r="A40399" s="2" t="str">
        <f t="shared" si="1292"/>
        <v>99999</v>
      </c>
      <c r="B40399" s="2" t="str">
        <f>"68881"</f>
        <v>68881</v>
      </c>
      <c r="C40399" s="1">
        <v>3.1650066388742701E-6</v>
      </c>
      <c r="D40399" s="1">
        <v>7.5880133670443404E-6</v>
      </c>
      <c r="E40399" s="1">
        <v>4.3455399550671099E-6</v>
      </c>
      <c r="F40399" s="1">
        <v>3.48197971040474E-6</v>
      </c>
    </row>
    <row r="40400" spans="1:6" x14ac:dyDescent="0.25">
      <c r="A40400" s="2" t="str">
        <f t="shared" si="1292"/>
        <v>99999</v>
      </c>
      <c r="B40400" s="2" t="str">
        <f>"68944"</f>
        <v>68944</v>
      </c>
      <c r="C40400" s="1">
        <v>3.9508013905947698E-5</v>
      </c>
      <c r="D40400" s="1">
        <v>1.0623218713862E-5</v>
      </c>
      <c r="E40400" s="1">
        <v>5.6492019415872502E-5</v>
      </c>
      <c r="F40400" s="1">
        <v>3.8003321410703101E-5</v>
      </c>
    </row>
    <row r="40401" spans="1:6" x14ac:dyDescent="0.25">
      <c r="A40401" s="2" t="str">
        <f t="shared" si="1292"/>
        <v>99999</v>
      </c>
      <c r="B40401" s="2" t="str">
        <f>"68938"</f>
        <v>68938</v>
      </c>
      <c r="C40401" s="1">
        <v>2.5756605750838801E-5</v>
      </c>
      <c r="D40401" s="1">
        <v>1.8211232080906399E-5</v>
      </c>
      <c r="E40401" s="1">
        <v>1.3036619865201299E-5</v>
      </c>
      <c r="F40401" s="1">
        <v>2.4970768780331099E-5</v>
      </c>
    </row>
    <row r="40402" spans="1:6" x14ac:dyDescent="0.25">
      <c r="A40402" s="2" t="str">
        <f t="shared" ref="A40402:A40465" si="1293">"99999"</f>
        <v>99999</v>
      </c>
      <c r="B40402" s="2" t="str">
        <f>"68882"</f>
        <v>68882</v>
      </c>
      <c r="C40402" s="1">
        <v>2.4337809671343498E-5</v>
      </c>
      <c r="D40402" s="1">
        <v>9.1056160404532095E-6</v>
      </c>
      <c r="E40402" s="1">
        <v>1.3036619865201299E-5</v>
      </c>
      <c r="F40402" s="1">
        <v>2.3080551223254198E-5</v>
      </c>
    </row>
    <row r="40403" spans="1:6" x14ac:dyDescent="0.25">
      <c r="A40403" s="2" t="str">
        <f t="shared" si="1293"/>
        <v>99999</v>
      </c>
      <c r="B40403" s="2" t="str">
        <f>"68746"</f>
        <v>68746</v>
      </c>
      <c r="C40403" s="1">
        <v>3.0886099269014397E-5</v>
      </c>
      <c r="D40403" s="1">
        <v>3.0352053468177301E-6</v>
      </c>
      <c r="E40403" s="1">
        <v>1.3036619865201299E-5</v>
      </c>
      <c r="F40403" s="1">
        <v>2.86517187599018E-5</v>
      </c>
    </row>
    <row r="40404" spans="1:6" x14ac:dyDescent="0.25">
      <c r="A40404" s="2" t="str">
        <f t="shared" si="1293"/>
        <v>99999</v>
      </c>
      <c r="B40404" s="2" t="str">
        <f>"68745"</f>
        <v>68745</v>
      </c>
      <c r="C40404" s="1">
        <v>8.6437422689255897E-5</v>
      </c>
      <c r="D40404" s="1">
        <v>7.5880133670443406E-5</v>
      </c>
      <c r="E40404" s="1">
        <v>1.17329578786812E-4</v>
      </c>
      <c r="F40404" s="1">
        <v>8.6452581952620606E-5</v>
      </c>
    </row>
    <row r="40405" spans="1:6" x14ac:dyDescent="0.25">
      <c r="A40405" s="2" t="str">
        <f t="shared" si="1293"/>
        <v>99999</v>
      </c>
      <c r="B40405" s="2" t="str">
        <f>"68740"</f>
        <v>68740</v>
      </c>
      <c r="C40405" s="1">
        <v>3.52516256674617E-5</v>
      </c>
      <c r="D40405" s="1">
        <v>1.51760267340886E-6</v>
      </c>
      <c r="E40405" s="1">
        <v>0</v>
      </c>
      <c r="F40405" s="1">
        <v>3.2233183604889601E-5</v>
      </c>
    </row>
    <row r="40406" spans="1:6" x14ac:dyDescent="0.25">
      <c r="A40406" s="2" t="str">
        <f t="shared" si="1293"/>
        <v>99999</v>
      </c>
      <c r="B40406" s="2" t="str">
        <f>"68718"</f>
        <v>68718</v>
      </c>
      <c r="C40406" s="1">
        <v>1.12303166600056E-4</v>
      </c>
      <c r="D40406" s="1">
        <v>6.8292120303399095E-5</v>
      </c>
      <c r="E40406" s="1">
        <v>7.8219719191208097E-5</v>
      </c>
      <c r="F40406" s="1">
        <v>1.08637766964627E-4</v>
      </c>
    </row>
    <row r="40407" spans="1:6" x14ac:dyDescent="0.25">
      <c r="A40407" s="2" t="str">
        <f t="shared" si="1293"/>
        <v>99999</v>
      </c>
      <c r="B40407" s="2" t="str">
        <f>"68713"</f>
        <v>68713</v>
      </c>
      <c r="C40407" s="1">
        <v>1.36640976271399E-4</v>
      </c>
      <c r="D40407" s="1">
        <v>9.8644173771576501E-5</v>
      </c>
      <c r="E40407" s="1">
        <v>9.9947418966543598E-5</v>
      </c>
      <c r="F40407" s="1">
        <v>1.3331008034121001E-4</v>
      </c>
    </row>
    <row r="40408" spans="1:6" x14ac:dyDescent="0.25">
      <c r="A40408" s="2" t="str">
        <f t="shared" si="1293"/>
        <v>99999</v>
      </c>
      <c r="B40408" s="2" t="str">
        <f>"68666"</f>
        <v>68666</v>
      </c>
      <c r="C40408" s="1">
        <v>9.4295370206461004E-5</v>
      </c>
      <c r="D40408" s="1">
        <v>4.7045682875674899E-5</v>
      </c>
      <c r="E40408" s="1">
        <v>6.0837559370939603E-5</v>
      </c>
      <c r="F40408" s="1">
        <v>9.0431987335940303E-5</v>
      </c>
    </row>
    <row r="40409" spans="1:6" x14ac:dyDescent="0.25">
      <c r="A40409" s="2" t="str">
        <f t="shared" si="1293"/>
        <v>99999</v>
      </c>
      <c r="B40409" s="2" t="str">
        <f>"68753"</f>
        <v>68753</v>
      </c>
      <c r="C40409" s="1">
        <v>4.2563882384860804E-6</v>
      </c>
      <c r="D40409" s="1">
        <v>1.51760267340886E-6</v>
      </c>
      <c r="E40409" s="1">
        <v>4.3455399550671099E-6</v>
      </c>
      <c r="F40409" s="1">
        <v>4.07889051790269E-6</v>
      </c>
    </row>
    <row r="40410" spans="1:6" x14ac:dyDescent="0.25">
      <c r="A40410" s="2" t="str">
        <f t="shared" si="1293"/>
        <v>99999</v>
      </c>
      <c r="B40410" s="2" t="str">
        <f>"68442"</f>
        <v>68442</v>
      </c>
      <c r="C40410" s="1">
        <v>1.5061066074643001E-5</v>
      </c>
      <c r="D40410" s="1">
        <v>3.0352053468177301E-5</v>
      </c>
      <c r="E40410" s="1">
        <v>4.3455399550671099E-6</v>
      </c>
      <c r="F40410" s="1">
        <v>1.5818136398695801E-5</v>
      </c>
    </row>
    <row r="40411" spans="1:6" x14ac:dyDescent="0.25">
      <c r="A40411" s="2" t="str">
        <f t="shared" si="1293"/>
        <v>99999</v>
      </c>
      <c r="B40411" s="2" t="str">
        <f>"68441"</f>
        <v>68441</v>
      </c>
      <c r="C40411" s="1">
        <v>1.5061066074643001E-5</v>
      </c>
      <c r="D40411" s="1">
        <v>4.5528080202265997E-6</v>
      </c>
      <c r="E40411" s="1">
        <v>4.3455399550671099E-6</v>
      </c>
      <c r="F40411" s="1">
        <v>1.41268891107849E-5</v>
      </c>
    </row>
    <row r="40412" spans="1:6" x14ac:dyDescent="0.25">
      <c r="A40412" s="2" t="str">
        <f t="shared" si="1293"/>
        <v>99999</v>
      </c>
      <c r="B40412" s="2" t="str">
        <f>"68424"</f>
        <v>68424</v>
      </c>
      <c r="C40412" s="1">
        <v>3.5797316467267603E-5</v>
      </c>
      <c r="D40412" s="1">
        <v>1.8211232080906399E-5</v>
      </c>
      <c r="E40412" s="1">
        <v>2.60732397304027E-5</v>
      </c>
      <c r="F40412" s="1">
        <v>3.4421856565715399E-5</v>
      </c>
    </row>
    <row r="40413" spans="1:6" x14ac:dyDescent="0.25">
      <c r="A40413" s="2" t="str">
        <f t="shared" si="1293"/>
        <v>99999</v>
      </c>
      <c r="B40413" s="2" t="str">
        <f>"68350"</f>
        <v>68350</v>
      </c>
      <c r="C40413" s="1">
        <v>1.28783028754194E-5</v>
      </c>
      <c r="D40413" s="1">
        <v>1.51760267340886E-6</v>
      </c>
      <c r="E40413" s="1">
        <v>1.3036619865201299E-5</v>
      </c>
      <c r="F40413" s="1">
        <v>1.21371864191251E-5</v>
      </c>
    </row>
    <row r="40414" spans="1:6" x14ac:dyDescent="0.25">
      <c r="A40414" s="2" t="str">
        <f t="shared" si="1293"/>
        <v>99999</v>
      </c>
      <c r="B40414" s="2" t="str">
        <f>"68375"</f>
        <v>68375</v>
      </c>
      <c r="C40414" s="1">
        <v>5.2386316781367196E-6</v>
      </c>
      <c r="D40414" s="1">
        <v>3.0352053468177301E-6</v>
      </c>
      <c r="E40414" s="1">
        <v>4.3455399550671099E-6</v>
      </c>
      <c r="F40414" s="1">
        <v>5.0737418637326201E-6</v>
      </c>
    </row>
    <row r="40415" spans="1:6" x14ac:dyDescent="0.25">
      <c r="A40415" s="2" t="str">
        <f t="shared" si="1293"/>
        <v>99999</v>
      </c>
      <c r="B40415" s="2" t="str">
        <f>"68333"</f>
        <v>68333</v>
      </c>
      <c r="C40415" s="1">
        <v>4.4135471888301798E-4</v>
      </c>
      <c r="D40415" s="1">
        <v>4.7349203410356697E-4</v>
      </c>
      <c r="E40415" s="1">
        <v>7.5612395218167805E-4</v>
      </c>
      <c r="F40415" s="1">
        <v>4.5066765966095599E-4</v>
      </c>
    </row>
    <row r="40416" spans="1:6" x14ac:dyDescent="0.25">
      <c r="A40416" s="2" t="str">
        <f t="shared" si="1293"/>
        <v>99999</v>
      </c>
      <c r="B40416" s="2" t="str">
        <f>"68623"</f>
        <v>68623</v>
      </c>
      <c r="C40416" s="1">
        <v>1.41879607949536E-5</v>
      </c>
      <c r="D40416" s="1">
        <v>0</v>
      </c>
      <c r="E40416" s="1">
        <v>4.3455399550671099E-6</v>
      </c>
      <c r="F40416" s="1">
        <v>1.3032552630372001E-5</v>
      </c>
    </row>
    <row r="40417" spans="1:6" x14ac:dyDescent="0.25">
      <c r="A40417" s="2" t="str">
        <f t="shared" si="1293"/>
        <v>99999</v>
      </c>
      <c r="B40417" s="2" t="str">
        <f>"68663"</f>
        <v>68663</v>
      </c>
      <c r="C40417" s="1">
        <v>1.1896059435768801E-5</v>
      </c>
      <c r="D40417" s="1">
        <v>4.5528080202265997E-6</v>
      </c>
      <c r="E40417" s="1">
        <v>0</v>
      </c>
      <c r="F40417" s="1">
        <v>1.11423350732951E-5</v>
      </c>
    </row>
    <row r="40418" spans="1:6" x14ac:dyDescent="0.25">
      <c r="A40418" s="2" t="str">
        <f t="shared" si="1293"/>
        <v>99999</v>
      </c>
      <c r="B40418" s="2" t="str">
        <f>"68660"</f>
        <v>68660</v>
      </c>
      <c r="C40418" s="1">
        <v>5.5223908940357899E-5</v>
      </c>
      <c r="D40418" s="1">
        <v>4.4010477528857203E-5</v>
      </c>
      <c r="E40418" s="1">
        <v>1.7382159820268399E-5</v>
      </c>
      <c r="F40418" s="1">
        <v>5.3622487540233001E-5</v>
      </c>
    </row>
    <row r="40419" spans="1:6" x14ac:dyDescent="0.25">
      <c r="A40419" s="2" t="str">
        <f t="shared" si="1293"/>
        <v>99999</v>
      </c>
      <c r="B40419" s="2" t="str">
        <f>"68654"</f>
        <v>68654</v>
      </c>
      <c r="C40419" s="1">
        <v>4.27821587047832E-5</v>
      </c>
      <c r="D40419" s="1">
        <v>1.3658424060679801E-5</v>
      </c>
      <c r="E40419" s="1">
        <v>1.12984038831745E-4</v>
      </c>
      <c r="F40419" s="1">
        <v>4.2480152466937797E-5</v>
      </c>
    </row>
    <row r="40420" spans="1:6" x14ac:dyDescent="0.25">
      <c r="A40420" s="2" t="str">
        <f t="shared" si="1293"/>
        <v>99999</v>
      </c>
      <c r="B40420" s="2" t="str">
        <f>"68637"</f>
        <v>68637</v>
      </c>
      <c r="C40420" s="1">
        <v>2.3137289911770499E-5</v>
      </c>
      <c r="D40420" s="1">
        <v>7.5880133670443404E-6</v>
      </c>
      <c r="E40420" s="1">
        <v>8.69107991013423E-6</v>
      </c>
      <c r="F40420" s="1">
        <v>2.1787244473675299E-5</v>
      </c>
    </row>
    <row r="40421" spans="1:6" x14ac:dyDescent="0.25">
      <c r="A40421" s="2" t="str">
        <f t="shared" si="1293"/>
        <v>99999</v>
      </c>
      <c r="B40421" s="2" t="str">
        <f>"68307"</f>
        <v>68307</v>
      </c>
      <c r="C40421" s="1">
        <v>5.2386316781367196E-6</v>
      </c>
      <c r="D40421" s="1">
        <v>1.51760267340886E-6</v>
      </c>
      <c r="E40421" s="1">
        <v>0</v>
      </c>
      <c r="F40421" s="1">
        <v>4.8747715945666299E-6</v>
      </c>
    </row>
    <row r="40422" spans="1:6" x14ac:dyDescent="0.25">
      <c r="A40422" s="2" t="str">
        <f t="shared" si="1293"/>
        <v>99999</v>
      </c>
      <c r="B40422" s="2" t="str">
        <f>"68467"</f>
        <v>68467</v>
      </c>
      <c r="C40422" s="1">
        <v>4.8435515390772397E-4</v>
      </c>
      <c r="D40422" s="1">
        <v>9.04491193351686E-4</v>
      </c>
      <c r="E40422" s="1">
        <v>7.9523381177728201E-4</v>
      </c>
      <c r="F40422" s="1">
        <v>5.1901394711947196E-4</v>
      </c>
    </row>
    <row r="40423" spans="1:6" x14ac:dyDescent="0.25">
      <c r="A40423" s="2" t="str">
        <f t="shared" si="1293"/>
        <v>99999</v>
      </c>
      <c r="B40423" s="2" t="str">
        <f>"68465"</f>
        <v>68465</v>
      </c>
      <c r="C40423" s="1">
        <v>1.1055695604067699E-4</v>
      </c>
      <c r="D40423" s="1">
        <v>3.1869656141586203E-5</v>
      </c>
      <c r="E40423" s="1">
        <v>5.21464794608054E-5</v>
      </c>
      <c r="F40423" s="1">
        <v>1.0406145077380999E-4</v>
      </c>
    </row>
    <row r="40424" spans="1:6" x14ac:dyDescent="0.25">
      <c r="A40424" s="2" t="str">
        <f t="shared" si="1293"/>
        <v>99999</v>
      </c>
      <c r="B40424" s="2" t="str">
        <f>"68038"</f>
        <v>68038</v>
      </c>
      <c r="C40424" s="1">
        <v>7.8470337012089594E-5</v>
      </c>
      <c r="D40424" s="1">
        <v>3.7940066835221703E-5</v>
      </c>
      <c r="E40424" s="1">
        <v>3.0418779685469802E-5</v>
      </c>
      <c r="F40424" s="1">
        <v>7.4713336071827405E-5</v>
      </c>
    </row>
    <row r="40425" spans="1:6" x14ac:dyDescent="0.25">
      <c r="A40425" s="2" t="str">
        <f t="shared" si="1293"/>
        <v>99999</v>
      </c>
      <c r="B40425" s="2" t="str">
        <f>"67878"</f>
        <v>67878</v>
      </c>
      <c r="C40425" s="1">
        <v>9.0475534607819606E-5</v>
      </c>
      <c r="D40425" s="1">
        <v>1.13820200505665E-4</v>
      </c>
      <c r="E40425" s="1">
        <v>1.4340281851721399E-4</v>
      </c>
      <c r="F40425" s="1">
        <v>9.3217571104264098E-5</v>
      </c>
    </row>
    <row r="40426" spans="1:6" x14ac:dyDescent="0.25">
      <c r="A40426" s="2" t="str">
        <f t="shared" si="1293"/>
        <v>99999</v>
      </c>
      <c r="B40426" s="2" t="str">
        <f>"67849"</f>
        <v>67849</v>
      </c>
      <c r="C40426" s="1">
        <v>2.2809875431886899E-5</v>
      </c>
      <c r="D40426" s="1">
        <v>4.2492874855448297E-5</v>
      </c>
      <c r="E40426" s="1">
        <v>1.7382159820268399E-5</v>
      </c>
      <c r="F40426" s="1">
        <v>2.3975917434501198E-5</v>
      </c>
    </row>
    <row r="40427" spans="1:6" x14ac:dyDescent="0.25">
      <c r="A40427" s="2" t="str">
        <f t="shared" si="1293"/>
        <v>99999</v>
      </c>
      <c r="B40427" s="2" t="str">
        <f>"67841"</f>
        <v>67841</v>
      </c>
      <c r="C40427" s="1">
        <v>1.23326120756135E-5</v>
      </c>
      <c r="D40427" s="1">
        <v>1.21408213872709E-5</v>
      </c>
      <c r="E40427" s="1">
        <v>4.3455399550671099E-6</v>
      </c>
      <c r="F40427" s="1">
        <v>1.21371864191251E-5</v>
      </c>
    </row>
    <row r="40428" spans="1:6" x14ac:dyDescent="0.25">
      <c r="A40428" s="2" t="str">
        <f t="shared" si="1293"/>
        <v>99999</v>
      </c>
      <c r="B40428" s="2" t="str">
        <f>"67743"</f>
        <v>67743</v>
      </c>
      <c r="C40428" s="1">
        <v>1.09138159961181E-5</v>
      </c>
      <c r="D40428" s="1">
        <v>6.0704106936354696E-6</v>
      </c>
      <c r="E40428" s="1">
        <v>4.3455399550671099E-6</v>
      </c>
      <c r="F40428" s="1">
        <v>1.04459391312142E-5</v>
      </c>
    </row>
    <row r="40429" spans="1:6" x14ac:dyDescent="0.25">
      <c r="A40429" s="2" t="str">
        <f t="shared" si="1293"/>
        <v>99999</v>
      </c>
      <c r="B40429" s="2" t="str">
        <f>"67753"</f>
        <v>67753</v>
      </c>
      <c r="C40429" s="1">
        <v>2.7393678150256599E-5</v>
      </c>
      <c r="D40429" s="1">
        <v>1.66936294074975E-5</v>
      </c>
      <c r="E40429" s="1">
        <v>4.3455399550671099E-6</v>
      </c>
      <c r="F40429" s="1">
        <v>2.6164590395327E-5</v>
      </c>
    </row>
    <row r="40430" spans="1:6" x14ac:dyDescent="0.25">
      <c r="A40430" s="2" t="str">
        <f t="shared" si="1293"/>
        <v>99999</v>
      </c>
      <c r="B40430" s="2" t="str">
        <f>"67745"</f>
        <v>67745</v>
      </c>
      <c r="C40430" s="1">
        <v>1.93174543131291E-5</v>
      </c>
      <c r="D40430" s="1">
        <v>6.0704106936354696E-6</v>
      </c>
      <c r="E40430" s="1">
        <v>0</v>
      </c>
      <c r="F40430" s="1">
        <v>1.8006809359521599E-5</v>
      </c>
    </row>
    <row r="40431" spans="1:6" x14ac:dyDescent="0.25">
      <c r="A40431" s="2" t="str">
        <f t="shared" si="1293"/>
        <v>99999</v>
      </c>
      <c r="B40431" s="2" t="str">
        <f>"67839"</f>
        <v>67839</v>
      </c>
      <c r="C40431" s="1">
        <v>4.5183198223929198E-5</v>
      </c>
      <c r="D40431" s="1">
        <v>1.8211232080906399E-5</v>
      </c>
      <c r="E40431" s="1">
        <v>2.1727699775335501E-5</v>
      </c>
      <c r="F40431" s="1">
        <v>4.2878093005269798E-5</v>
      </c>
    </row>
    <row r="40432" spans="1:6" x14ac:dyDescent="0.25">
      <c r="A40432" s="2" t="str">
        <f t="shared" si="1293"/>
        <v>99999</v>
      </c>
      <c r="B40432" s="2" t="str">
        <f>"67835"</f>
        <v>67835</v>
      </c>
      <c r="C40432" s="1">
        <v>5.2058902301483599E-5</v>
      </c>
      <c r="D40432" s="1">
        <v>6.37393122831725E-5</v>
      </c>
      <c r="E40432" s="1">
        <v>6.0837559370939603E-5</v>
      </c>
      <c r="F40432" s="1">
        <v>5.3025576732735003E-5</v>
      </c>
    </row>
    <row r="40433" spans="1:6" x14ac:dyDescent="0.25">
      <c r="A40433" s="2" t="str">
        <f t="shared" si="1293"/>
        <v>99999</v>
      </c>
      <c r="B40433" s="2" t="str">
        <f>"67749"</f>
        <v>67749</v>
      </c>
      <c r="C40433" s="1">
        <v>1.4679082514778901E-4</v>
      </c>
      <c r="D40433" s="1">
        <v>3.1110854804881801E-4</v>
      </c>
      <c r="E40433" s="1">
        <v>3.3026103658510001E-4</v>
      </c>
      <c r="F40433" s="1">
        <v>1.61762828831946E-4</v>
      </c>
    </row>
    <row r="40434" spans="1:6" x14ac:dyDescent="0.25">
      <c r="A40434" s="2" t="str">
        <f t="shared" si="1293"/>
        <v>99999</v>
      </c>
      <c r="B40434" s="2" t="str">
        <f>"67748"</f>
        <v>67748</v>
      </c>
      <c r="C40434" s="1">
        <v>1.4384409482883699E-4</v>
      </c>
      <c r="D40434" s="1">
        <v>2.9593252131472901E-4</v>
      </c>
      <c r="E40434" s="1">
        <v>1.6947605824761699E-4</v>
      </c>
      <c r="F40434" s="1">
        <v>1.5440092887280399E-4</v>
      </c>
    </row>
    <row r="40435" spans="1:6" x14ac:dyDescent="0.25">
      <c r="A40435" s="2" t="str">
        <f t="shared" si="1293"/>
        <v>99999</v>
      </c>
      <c r="B40435" s="2" t="str">
        <f>"67744"</f>
        <v>67744</v>
      </c>
      <c r="C40435" s="1">
        <v>1.4297098954914801E-5</v>
      </c>
      <c r="D40435" s="1">
        <v>6.0704106936354696E-6</v>
      </c>
      <c r="E40435" s="1">
        <v>0</v>
      </c>
      <c r="F40435" s="1">
        <v>1.3430493168704E-5</v>
      </c>
    </row>
    <row r="40436" spans="1:6" x14ac:dyDescent="0.25">
      <c r="A40436" s="2" t="str">
        <f t="shared" si="1293"/>
        <v>99999</v>
      </c>
      <c r="B40436" s="2" t="str">
        <f>"67361"</f>
        <v>67361</v>
      </c>
      <c r="C40436" s="1">
        <v>1.2409008787586301E-4</v>
      </c>
      <c r="D40436" s="1">
        <v>2.2915800368473899E-4</v>
      </c>
      <c r="E40436" s="1">
        <v>8.69107991013423E-5</v>
      </c>
      <c r="F40436" s="1">
        <v>1.3012655603455401E-4</v>
      </c>
    </row>
    <row r="40437" spans="1:6" x14ac:dyDescent="0.25">
      <c r="A40437" s="2" t="str">
        <f t="shared" si="1293"/>
        <v>99999</v>
      </c>
      <c r="B40437" s="2" t="str">
        <f>"67336"</f>
        <v>67336</v>
      </c>
      <c r="C40437" s="1">
        <v>9.9315725564675307E-6</v>
      </c>
      <c r="D40437" s="1">
        <v>6.0704106936354696E-6</v>
      </c>
      <c r="E40437" s="1">
        <v>4.3455399550671099E-6</v>
      </c>
      <c r="F40437" s="1">
        <v>9.5505729199672898E-6</v>
      </c>
    </row>
    <row r="40438" spans="1:6" x14ac:dyDescent="0.25">
      <c r="A40438" s="2" t="str">
        <f t="shared" si="1293"/>
        <v>99999</v>
      </c>
      <c r="B40438" s="2" t="str">
        <f>"67647"</f>
        <v>67647</v>
      </c>
      <c r="C40438" s="1">
        <v>1.5061066074643001E-5</v>
      </c>
      <c r="D40438" s="1">
        <v>4.5528080202265997E-6</v>
      </c>
      <c r="E40438" s="1">
        <v>0</v>
      </c>
      <c r="F40438" s="1">
        <v>1.4027403976201899E-5</v>
      </c>
    </row>
    <row r="40439" spans="1:6" x14ac:dyDescent="0.25">
      <c r="A40439" s="2" t="str">
        <f t="shared" si="1293"/>
        <v>99999</v>
      </c>
      <c r="B40439" s="2" t="str">
        <f>"67732"</f>
        <v>67732</v>
      </c>
      <c r="C40439" s="1">
        <v>1.6152447674254801E-5</v>
      </c>
      <c r="D40439" s="1">
        <v>0</v>
      </c>
      <c r="E40439" s="1">
        <v>4.3455399550671099E-6</v>
      </c>
      <c r="F40439" s="1">
        <v>1.4823285052865899E-5</v>
      </c>
    </row>
    <row r="40440" spans="1:6" x14ac:dyDescent="0.25">
      <c r="A40440" s="2" t="str">
        <f t="shared" si="1293"/>
        <v>99999</v>
      </c>
      <c r="B40440" s="2" t="str">
        <f>"67645"</f>
        <v>67645</v>
      </c>
      <c r="C40440" s="1">
        <v>2.4883500471149398E-5</v>
      </c>
      <c r="D40440" s="1">
        <v>1.51760267340886E-6</v>
      </c>
      <c r="E40440" s="1">
        <v>1.3036619865201299E-5</v>
      </c>
      <c r="F40440" s="1">
        <v>2.3080551223254198E-5</v>
      </c>
    </row>
    <row r="40441" spans="1:6" x14ac:dyDescent="0.25">
      <c r="A40441" s="2" t="str">
        <f t="shared" si="1293"/>
        <v>99999</v>
      </c>
      <c r="B40441" s="2" t="str">
        <f>"67736"</f>
        <v>67736</v>
      </c>
      <c r="C40441" s="1">
        <v>1.51702042346042E-5</v>
      </c>
      <c r="D40441" s="1">
        <v>6.2221709609763595E-5</v>
      </c>
      <c r="E40441" s="1">
        <v>3.0418779685469802E-5</v>
      </c>
      <c r="F40441" s="1">
        <v>1.8603720167019601E-5</v>
      </c>
    </row>
    <row r="40442" spans="1:6" x14ac:dyDescent="0.25">
      <c r="A40442" s="2" t="str">
        <f t="shared" si="1293"/>
        <v>99999</v>
      </c>
      <c r="B40442" s="2" t="str">
        <f>"67519"</f>
        <v>67519</v>
      </c>
      <c r="C40442" s="1">
        <v>9.1676054367392598E-6</v>
      </c>
      <c r="D40442" s="1">
        <v>4.5528080202265997E-6</v>
      </c>
      <c r="E40442" s="1">
        <v>4.3455399550671099E-6</v>
      </c>
      <c r="F40442" s="1">
        <v>8.7546918433033508E-6</v>
      </c>
    </row>
    <row r="40443" spans="1:6" x14ac:dyDescent="0.25">
      <c r="A40443" s="2" t="str">
        <f t="shared" si="1293"/>
        <v>99999</v>
      </c>
      <c r="B40443" s="2" t="str">
        <f>"67513"</f>
        <v>67513</v>
      </c>
      <c r="C40443" s="1">
        <v>6.4391514377097196E-6</v>
      </c>
      <c r="D40443" s="1">
        <v>1.51760267340886E-6</v>
      </c>
      <c r="E40443" s="1">
        <v>8.69107991013423E-6</v>
      </c>
      <c r="F40443" s="1">
        <v>6.1680783441455402E-6</v>
      </c>
    </row>
    <row r="40444" spans="1:6" x14ac:dyDescent="0.25">
      <c r="A40444" s="2" t="str">
        <f t="shared" si="1293"/>
        <v>99999</v>
      </c>
      <c r="B40444" s="2" t="str">
        <f>"67502"</f>
        <v>67502</v>
      </c>
      <c r="C40444" s="1">
        <v>1.3096579195341799E-6</v>
      </c>
      <c r="D40444" s="1">
        <v>0</v>
      </c>
      <c r="E40444" s="1">
        <v>0</v>
      </c>
      <c r="F40444" s="1">
        <v>1.19382161499591E-6</v>
      </c>
    </row>
    <row r="40445" spans="1:6" x14ac:dyDescent="0.25">
      <c r="A40445" s="2" t="str">
        <f t="shared" si="1293"/>
        <v>99999</v>
      </c>
      <c r="B40445" s="2" t="str">
        <f>"67563"</f>
        <v>67563</v>
      </c>
      <c r="C40445" s="1">
        <v>1.5825033194371299E-5</v>
      </c>
      <c r="D40445" s="1">
        <v>2.2764040101133E-5</v>
      </c>
      <c r="E40445" s="1">
        <v>0</v>
      </c>
      <c r="F40445" s="1">
        <v>1.59176215332788E-5</v>
      </c>
    </row>
    <row r="40446" spans="1:6" x14ac:dyDescent="0.25">
      <c r="A40446" s="2" t="str">
        <f t="shared" si="1293"/>
        <v>99999</v>
      </c>
      <c r="B40446" s="2" t="str">
        <f>"67544"</f>
        <v>67544</v>
      </c>
      <c r="C40446" s="1">
        <v>1.09138159961181E-7</v>
      </c>
      <c r="D40446" s="1">
        <v>0</v>
      </c>
      <c r="E40446" s="1">
        <v>0</v>
      </c>
      <c r="F40446" s="1">
        <v>9.9485134582992598E-8</v>
      </c>
    </row>
    <row r="40447" spans="1:6" x14ac:dyDescent="0.25">
      <c r="A40447" s="2" t="str">
        <f t="shared" si="1293"/>
        <v>99999</v>
      </c>
      <c r="B40447" s="2" t="str">
        <f>"67530"</f>
        <v>67530</v>
      </c>
      <c r="C40447" s="1">
        <v>2.6193158390683598E-6</v>
      </c>
      <c r="D40447" s="1">
        <v>0</v>
      </c>
      <c r="E40447" s="1">
        <v>0</v>
      </c>
      <c r="F40447" s="1">
        <v>2.3876432299918199E-6</v>
      </c>
    </row>
    <row r="40448" spans="1:6" x14ac:dyDescent="0.25">
      <c r="A40448" s="2" t="str">
        <f t="shared" si="1293"/>
        <v>99999</v>
      </c>
      <c r="B40448" s="2" t="str">
        <f>"67579"</f>
        <v>67579</v>
      </c>
      <c r="C40448" s="1">
        <v>1.3282114067275801E-4</v>
      </c>
      <c r="D40448" s="1">
        <v>1.66936294074975E-4</v>
      </c>
      <c r="E40448" s="1">
        <v>9.9947418966543598E-5</v>
      </c>
      <c r="F40448" s="1">
        <v>1.3430493168704001E-4</v>
      </c>
    </row>
    <row r="40449" spans="1:6" x14ac:dyDescent="0.25">
      <c r="A40449" s="2" t="str">
        <f t="shared" si="1293"/>
        <v>99999</v>
      </c>
      <c r="B40449" s="2" t="str">
        <f>"67559"</f>
        <v>67559</v>
      </c>
      <c r="C40449" s="1">
        <v>4.0381119185637197E-6</v>
      </c>
      <c r="D40449" s="1">
        <v>0</v>
      </c>
      <c r="E40449" s="1">
        <v>8.69107991013423E-6</v>
      </c>
      <c r="F40449" s="1">
        <v>3.87992024873671E-6</v>
      </c>
    </row>
    <row r="40450" spans="1:6" x14ac:dyDescent="0.25">
      <c r="A40450" s="2" t="str">
        <f t="shared" si="1293"/>
        <v>99999</v>
      </c>
      <c r="B40450" s="2" t="str">
        <f>"67550"</f>
        <v>67550</v>
      </c>
      <c r="C40450" s="1">
        <v>3.13335657248552E-4</v>
      </c>
      <c r="D40450" s="1">
        <v>4.0519991380016799E-4</v>
      </c>
      <c r="E40450" s="1">
        <v>4.4324507541684501E-4</v>
      </c>
      <c r="F40450" s="1">
        <v>3.2233183604889599E-4</v>
      </c>
    </row>
    <row r="40451" spans="1:6" x14ac:dyDescent="0.25">
      <c r="A40451" s="2" t="str">
        <f t="shared" si="1293"/>
        <v>99999</v>
      </c>
      <c r="B40451" s="2" t="str">
        <f>"67467"</f>
        <v>67467</v>
      </c>
      <c r="C40451" s="1">
        <v>3.2741447988354498E-7</v>
      </c>
      <c r="D40451" s="1">
        <v>0</v>
      </c>
      <c r="E40451" s="1">
        <v>0</v>
      </c>
      <c r="F40451" s="1">
        <v>2.9845540374897701E-7</v>
      </c>
    </row>
    <row r="40452" spans="1:6" x14ac:dyDescent="0.25">
      <c r="A40452" s="2" t="str">
        <f t="shared" si="1293"/>
        <v>99999</v>
      </c>
      <c r="B40452" s="2" t="str">
        <f>"67484"</f>
        <v>67484</v>
      </c>
      <c r="C40452" s="1">
        <v>1.09138159961181E-7</v>
      </c>
      <c r="D40452" s="1">
        <v>0</v>
      </c>
      <c r="E40452" s="1">
        <v>0</v>
      </c>
      <c r="F40452" s="1">
        <v>9.9485134582992598E-8</v>
      </c>
    </row>
    <row r="40453" spans="1:6" x14ac:dyDescent="0.25">
      <c r="A40453" s="2" t="str">
        <f t="shared" si="1293"/>
        <v>99999</v>
      </c>
      <c r="B40453" s="2" t="str">
        <f>"67454"</f>
        <v>67454</v>
      </c>
      <c r="C40453" s="1">
        <v>3.6670421746956999E-5</v>
      </c>
      <c r="D40453" s="1">
        <v>2.2764040101133E-5</v>
      </c>
      <c r="E40453" s="1">
        <v>4.3455399550671099E-6</v>
      </c>
      <c r="F40453" s="1">
        <v>3.5018767373213403E-5</v>
      </c>
    </row>
    <row r="40454" spans="1:6" x14ac:dyDescent="0.25">
      <c r="A40454" s="2" t="str">
        <f t="shared" si="1293"/>
        <v>99999</v>
      </c>
      <c r="B40454" s="2" t="str">
        <f>"67451"</f>
        <v>67451</v>
      </c>
      <c r="C40454" s="1">
        <v>5.0094415422182397E-5</v>
      </c>
      <c r="D40454" s="1">
        <v>1.66936294074975E-5</v>
      </c>
      <c r="E40454" s="1">
        <v>4.3455399550671099E-6</v>
      </c>
      <c r="F40454" s="1">
        <v>4.6857498388589501E-5</v>
      </c>
    </row>
    <row r="40455" spans="1:6" x14ac:dyDescent="0.25">
      <c r="A40455" s="2" t="str">
        <f t="shared" si="1293"/>
        <v>99999</v>
      </c>
      <c r="B40455" s="2" t="str">
        <f>"67447"</f>
        <v>67447</v>
      </c>
      <c r="C40455" s="1">
        <v>1.4624513434798299E-5</v>
      </c>
      <c r="D40455" s="1">
        <v>1.51760267340886E-6</v>
      </c>
      <c r="E40455" s="1">
        <v>8.69107991013423E-6</v>
      </c>
      <c r="F40455" s="1">
        <v>1.36294634378699E-5</v>
      </c>
    </row>
    <row r="40456" spans="1:6" x14ac:dyDescent="0.25">
      <c r="A40456" s="2" t="str">
        <f t="shared" si="1293"/>
        <v>99999</v>
      </c>
      <c r="B40456" s="2" t="str">
        <f>"67025"</f>
        <v>67025</v>
      </c>
      <c r="C40456" s="1">
        <v>2.9030750549674299E-5</v>
      </c>
      <c r="D40456" s="1">
        <v>7.5880133670443404E-6</v>
      </c>
      <c r="E40456" s="1">
        <v>9.9947418966543598E-5</v>
      </c>
      <c r="F40456" s="1">
        <v>2.9248629567399801E-5</v>
      </c>
    </row>
    <row r="40457" spans="1:6" x14ac:dyDescent="0.25">
      <c r="A40457" s="2" t="str">
        <f t="shared" si="1293"/>
        <v>99999</v>
      </c>
      <c r="B40457" s="2" t="str">
        <f>"67009"</f>
        <v>67009</v>
      </c>
      <c r="C40457" s="1">
        <v>4.7256823263191603E-5</v>
      </c>
      <c r="D40457" s="1">
        <v>6.0704106936354703E-5</v>
      </c>
      <c r="E40457" s="1">
        <v>8.69107991013423E-6</v>
      </c>
      <c r="F40457" s="1">
        <v>4.7255438926921502E-5</v>
      </c>
    </row>
    <row r="40458" spans="1:6" x14ac:dyDescent="0.25">
      <c r="A40458" s="2" t="str">
        <f t="shared" si="1293"/>
        <v>99999</v>
      </c>
      <c r="B40458" s="2" t="str">
        <f>"66962"</f>
        <v>66962</v>
      </c>
      <c r="C40458" s="1">
        <v>1.8007796393594899E-5</v>
      </c>
      <c r="D40458" s="1">
        <v>1.5176026734088599E-5</v>
      </c>
      <c r="E40458" s="1">
        <v>0</v>
      </c>
      <c r="F40458" s="1">
        <v>1.74098985520237E-5</v>
      </c>
    </row>
    <row r="40459" spans="1:6" x14ac:dyDescent="0.25">
      <c r="A40459" s="2" t="str">
        <f t="shared" si="1293"/>
        <v>99999</v>
      </c>
      <c r="B40459" s="2" t="str">
        <f>"66843"</f>
        <v>66843</v>
      </c>
      <c r="C40459" s="1">
        <v>1.09138159961181E-7</v>
      </c>
      <c r="D40459" s="1">
        <v>0</v>
      </c>
      <c r="E40459" s="1">
        <v>0</v>
      </c>
      <c r="F40459" s="1">
        <v>9.9485134582992598E-8</v>
      </c>
    </row>
    <row r="40460" spans="1:6" x14ac:dyDescent="0.25">
      <c r="A40460" s="2" t="str">
        <f t="shared" si="1293"/>
        <v>99999</v>
      </c>
      <c r="B40460" s="2" t="str">
        <f>"66939"</f>
        <v>66939</v>
      </c>
      <c r="C40460" s="1">
        <v>3.3941967747927502E-5</v>
      </c>
      <c r="D40460" s="1">
        <v>5.15984908959015E-5</v>
      </c>
      <c r="E40460" s="1">
        <v>4.3455399550671099E-6</v>
      </c>
      <c r="F40460" s="1">
        <v>3.4421856565715399E-5</v>
      </c>
    </row>
    <row r="40461" spans="1:6" x14ac:dyDescent="0.25">
      <c r="A40461" s="2" t="str">
        <f t="shared" si="1293"/>
        <v>99999</v>
      </c>
      <c r="B40461" s="2" t="str">
        <f>"66930"</f>
        <v>66930</v>
      </c>
      <c r="C40461" s="1">
        <v>1.2441750235574699E-5</v>
      </c>
      <c r="D40461" s="1">
        <v>9.1056160404532095E-6</v>
      </c>
      <c r="E40461" s="1">
        <v>4.3455399550671099E-6</v>
      </c>
      <c r="F40461" s="1">
        <v>1.20377012845421E-5</v>
      </c>
    </row>
    <row r="40462" spans="1:6" x14ac:dyDescent="0.25">
      <c r="A40462" s="2" t="str">
        <f t="shared" si="1293"/>
        <v>99999</v>
      </c>
      <c r="B40462" s="2" t="str">
        <f>"66852"</f>
        <v>66852</v>
      </c>
      <c r="C40462" s="1">
        <v>3.8198355986413601E-5</v>
      </c>
      <c r="D40462" s="1">
        <v>6.0704106936354696E-6</v>
      </c>
      <c r="E40462" s="1">
        <v>5.21464794608054E-5</v>
      </c>
      <c r="F40462" s="1">
        <v>3.6411559257375301E-5</v>
      </c>
    </row>
    <row r="40463" spans="1:6" x14ac:dyDescent="0.25">
      <c r="A40463" s="2" t="str">
        <f t="shared" si="1293"/>
        <v>99999</v>
      </c>
      <c r="B40463" s="2" t="str">
        <f>"66849"</f>
        <v>66849</v>
      </c>
      <c r="C40463" s="1">
        <v>2.4883500471149398E-5</v>
      </c>
      <c r="D40463" s="1">
        <v>4.5528080202265997E-6</v>
      </c>
      <c r="E40463" s="1">
        <v>4.3455399550671099E-6</v>
      </c>
      <c r="F40463" s="1">
        <v>2.3080551223254198E-5</v>
      </c>
    </row>
    <row r="40464" spans="1:6" x14ac:dyDescent="0.25">
      <c r="A40464" s="2" t="str">
        <f t="shared" si="1293"/>
        <v>99999</v>
      </c>
      <c r="B40464" s="2" t="str">
        <f>"67112"</f>
        <v>67112</v>
      </c>
      <c r="C40464" s="1">
        <v>1.6698138474060799E-5</v>
      </c>
      <c r="D40464" s="1">
        <v>1.9728834754315301E-5</v>
      </c>
      <c r="E40464" s="1">
        <v>8.69107991013423E-6</v>
      </c>
      <c r="F40464" s="1">
        <v>1.67135026099427E-5</v>
      </c>
    </row>
    <row r="40465" spans="1:6" x14ac:dyDescent="0.25">
      <c r="A40465" s="2" t="str">
        <f t="shared" si="1293"/>
        <v>99999</v>
      </c>
      <c r="B40465" s="2" t="str">
        <f>"67109"</f>
        <v>67109</v>
      </c>
      <c r="C40465" s="1">
        <v>2.1827631992236301E-5</v>
      </c>
      <c r="D40465" s="1">
        <v>1.8211232080906399E-5</v>
      </c>
      <c r="E40465" s="1">
        <v>4.3455399550671099E-6</v>
      </c>
      <c r="F40465" s="1">
        <v>2.1190333666177399E-5</v>
      </c>
    </row>
    <row r="40466" spans="1:6" x14ac:dyDescent="0.25">
      <c r="A40466" s="2" t="str">
        <f t="shared" ref="A40466:A40529" si="1294">"99999"</f>
        <v>99999</v>
      </c>
      <c r="B40466" s="2" t="str">
        <f>"67122"</f>
        <v>67122</v>
      </c>
      <c r="C40466" s="1">
        <v>1.2441750235574699E-5</v>
      </c>
      <c r="D40466" s="1">
        <v>3.0352053468177301E-6</v>
      </c>
      <c r="E40466" s="1">
        <v>4.3455399550671099E-6</v>
      </c>
      <c r="F40466" s="1">
        <v>1.1639760746210099E-5</v>
      </c>
    </row>
    <row r="40467" spans="1:6" x14ac:dyDescent="0.25">
      <c r="A40467" s="2" t="str">
        <f t="shared" si="1294"/>
        <v>99999</v>
      </c>
      <c r="B40467" s="2" t="str">
        <f>"67138"</f>
        <v>67138</v>
      </c>
      <c r="C40467" s="1">
        <v>2.35738425516152E-5</v>
      </c>
      <c r="D40467" s="1">
        <v>3.0352053468177301E-6</v>
      </c>
      <c r="E40467" s="1">
        <v>4.3455399550671099E-6</v>
      </c>
      <c r="F40467" s="1">
        <v>2.1787244473675299E-5</v>
      </c>
    </row>
    <row r="40468" spans="1:6" x14ac:dyDescent="0.25">
      <c r="A40468" s="2" t="str">
        <f t="shared" si="1294"/>
        <v>99999</v>
      </c>
      <c r="B40468" s="2" t="str">
        <f>"66758"</f>
        <v>66758</v>
      </c>
      <c r="C40468" s="1">
        <v>1.6370723994177199E-5</v>
      </c>
      <c r="D40468" s="1">
        <v>6.0704106936354696E-6</v>
      </c>
      <c r="E40468" s="1">
        <v>2.9115117698949599E-4</v>
      </c>
      <c r="F40468" s="1">
        <v>2.1986214742841299E-5</v>
      </c>
    </row>
    <row r="40469" spans="1:6" x14ac:dyDescent="0.25">
      <c r="A40469" s="2" t="str">
        <f t="shared" si="1294"/>
        <v>99999</v>
      </c>
      <c r="B40469" s="2" t="str">
        <f>"66783"</f>
        <v>66783</v>
      </c>
      <c r="C40469" s="1">
        <v>1.3445821307217501E-4</v>
      </c>
      <c r="D40469" s="1">
        <v>2.7923889190723103E-4</v>
      </c>
      <c r="E40469" s="1">
        <v>1.3036619865201299E-3</v>
      </c>
      <c r="F40469" s="1">
        <v>1.7071649094441499E-4</v>
      </c>
    </row>
    <row r="40470" spans="1:6" x14ac:dyDescent="0.25">
      <c r="A40470" s="2" t="str">
        <f t="shared" si="1294"/>
        <v>99999</v>
      </c>
      <c r="B40470" s="2" t="str">
        <f>"66757"</f>
        <v>66757</v>
      </c>
      <c r="C40470" s="1">
        <v>2.1030923424519699E-4</v>
      </c>
      <c r="D40470" s="1">
        <v>2.73168481213596E-4</v>
      </c>
      <c r="E40470" s="1">
        <v>1.5209389842734899E-4</v>
      </c>
      <c r="F40470" s="1">
        <v>2.1309715827677001E-4</v>
      </c>
    </row>
    <row r="40471" spans="1:6" x14ac:dyDescent="0.25">
      <c r="A40471" s="2" t="str">
        <f t="shared" si="1294"/>
        <v>99999</v>
      </c>
      <c r="B40471" s="2" t="str">
        <f>"67035"</f>
        <v>67035</v>
      </c>
      <c r="C40471" s="1">
        <v>4.6492856143463403E-5</v>
      </c>
      <c r="D40471" s="1">
        <v>3.9457669508630602E-5</v>
      </c>
      <c r="E40471" s="1">
        <v>4.3455399550671099E-6</v>
      </c>
      <c r="F40471" s="1">
        <v>4.5066765966095603E-5</v>
      </c>
    </row>
    <row r="40472" spans="1:6" x14ac:dyDescent="0.25">
      <c r="A40472" s="2" t="str">
        <f t="shared" si="1294"/>
        <v>99999</v>
      </c>
      <c r="B40472" s="2" t="str">
        <f>"67029"</f>
        <v>67029</v>
      </c>
      <c r="C40472" s="1">
        <v>6.7119968376126702E-5</v>
      </c>
      <c r="D40472" s="1">
        <v>2.1246437427724101E-5</v>
      </c>
      <c r="E40472" s="1">
        <v>3.9109859595604001E-5</v>
      </c>
      <c r="F40472" s="1">
        <v>6.3471515863949298E-5</v>
      </c>
    </row>
    <row r="40473" spans="1:6" x14ac:dyDescent="0.25">
      <c r="A40473" s="2" t="str">
        <f t="shared" si="1294"/>
        <v>99999</v>
      </c>
      <c r="B40473" s="2" t="str">
        <f>"67028"</f>
        <v>67028</v>
      </c>
      <c r="C40473" s="1">
        <v>1.65890003140996E-5</v>
      </c>
      <c r="D40473" s="1">
        <v>3.0352053468177301E-6</v>
      </c>
      <c r="E40473" s="1">
        <v>4.3455399550671099E-6</v>
      </c>
      <c r="F40473" s="1">
        <v>1.5420195860363801E-5</v>
      </c>
    </row>
    <row r="40474" spans="1:6" x14ac:dyDescent="0.25">
      <c r="A40474" s="2" t="str">
        <f t="shared" si="1294"/>
        <v>99999</v>
      </c>
      <c r="B40474" s="2" t="str">
        <f>"66753"</f>
        <v>66753</v>
      </c>
      <c r="C40474" s="1">
        <v>1.03681251963122E-5</v>
      </c>
      <c r="D40474" s="1">
        <v>6.0704106936354696E-6</v>
      </c>
      <c r="E40474" s="1">
        <v>0</v>
      </c>
      <c r="F40474" s="1">
        <v>9.8490283237162701E-6</v>
      </c>
    </row>
    <row r="40475" spans="1:6" x14ac:dyDescent="0.25">
      <c r="A40475" s="2" t="str">
        <f t="shared" si="1294"/>
        <v>99999</v>
      </c>
      <c r="B40475" s="2" t="str">
        <f>"66724"</f>
        <v>66724</v>
      </c>
      <c r="C40475" s="1">
        <v>6.0025987978649897E-6</v>
      </c>
      <c r="D40475" s="1">
        <v>3.0352053468177301E-6</v>
      </c>
      <c r="E40475" s="1">
        <v>0</v>
      </c>
      <c r="F40475" s="1">
        <v>5.6706526712305799E-6</v>
      </c>
    </row>
    <row r="40476" spans="1:6" x14ac:dyDescent="0.25">
      <c r="A40476" s="2" t="str">
        <f t="shared" si="1294"/>
        <v>99999</v>
      </c>
      <c r="B40476" s="2" t="str">
        <f>"66740"</f>
        <v>66740</v>
      </c>
      <c r="C40476" s="1">
        <v>1.9972283272896199E-5</v>
      </c>
      <c r="D40476" s="1">
        <v>6.0704106936354696E-6</v>
      </c>
      <c r="E40476" s="1">
        <v>4.3455399550671099E-6</v>
      </c>
      <c r="F40476" s="1">
        <v>1.8703205301602599E-5</v>
      </c>
    </row>
    <row r="40477" spans="1:6" x14ac:dyDescent="0.25">
      <c r="A40477" s="2" t="str">
        <f t="shared" si="1294"/>
        <v>99999</v>
      </c>
      <c r="B40477" s="2" t="str">
        <f>"66713"</f>
        <v>66713</v>
      </c>
      <c r="C40477" s="1">
        <v>3.1104375588936699E-4</v>
      </c>
      <c r="D40477" s="1">
        <v>3.6574224429153699E-4</v>
      </c>
      <c r="E40477" s="1">
        <v>1.6947605824761699E-4</v>
      </c>
      <c r="F40477" s="1">
        <v>3.1138847124476598E-4</v>
      </c>
    </row>
    <row r="40478" spans="1:6" x14ac:dyDescent="0.25">
      <c r="A40478" s="2" t="str">
        <f t="shared" si="1294"/>
        <v>99999</v>
      </c>
      <c r="B40478" s="2" t="str">
        <f>"66438"</f>
        <v>66438</v>
      </c>
      <c r="C40478" s="1">
        <v>1.68072766340219E-5</v>
      </c>
      <c r="D40478" s="1">
        <v>2.88344507947685E-5</v>
      </c>
      <c r="E40478" s="1">
        <v>0</v>
      </c>
      <c r="F40478" s="1">
        <v>1.7210928282857699E-5</v>
      </c>
    </row>
    <row r="40479" spans="1:6" x14ac:dyDescent="0.25">
      <c r="A40479" s="2" t="str">
        <f t="shared" si="1294"/>
        <v>99999</v>
      </c>
      <c r="B40479" s="2" t="str">
        <f>"66425"</f>
        <v>66425</v>
      </c>
      <c r="C40479" s="1">
        <v>2.6520572870567099E-5</v>
      </c>
      <c r="D40479" s="1">
        <v>1.21408213872709E-5</v>
      </c>
      <c r="E40479" s="1">
        <v>2.1727699775335501E-5</v>
      </c>
      <c r="F40479" s="1">
        <v>2.5468194453246102E-5</v>
      </c>
    </row>
    <row r="40480" spans="1:6" x14ac:dyDescent="0.25">
      <c r="A40480" s="2" t="str">
        <f t="shared" si="1294"/>
        <v>99999</v>
      </c>
      <c r="B40480" s="2" t="str">
        <f>"66404"</f>
        <v>66404</v>
      </c>
      <c r="C40480" s="1">
        <v>2.3355566231692799E-5</v>
      </c>
      <c r="D40480" s="1">
        <v>1.5176026734088599E-5</v>
      </c>
      <c r="E40480" s="1">
        <v>8.69107991013423E-6</v>
      </c>
      <c r="F40480" s="1">
        <v>2.2483640415756299E-5</v>
      </c>
    </row>
    <row r="40481" spans="1:6" x14ac:dyDescent="0.25">
      <c r="A40481" s="2" t="str">
        <f t="shared" si="1294"/>
        <v>99999</v>
      </c>
      <c r="B40481" s="2" t="str">
        <f>"66516"</f>
        <v>66516</v>
      </c>
      <c r="C40481" s="1">
        <v>3.6015592787189902E-6</v>
      </c>
      <c r="D40481" s="1">
        <v>1.51760267340886E-6</v>
      </c>
      <c r="E40481" s="1">
        <v>0</v>
      </c>
      <c r="F40481" s="1">
        <v>3.3824945758217398E-6</v>
      </c>
    </row>
    <row r="40482" spans="1:6" x14ac:dyDescent="0.25">
      <c r="A40482" s="2" t="str">
        <f t="shared" si="1294"/>
        <v>99999</v>
      </c>
      <c r="B40482" s="2" t="str">
        <f>"66441"</f>
        <v>66441</v>
      </c>
      <c r="C40482" s="1">
        <v>6.1117369578261701E-6</v>
      </c>
      <c r="D40482" s="1">
        <v>3.0352053468177301E-6</v>
      </c>
      <c r="E40482" s="1">
        <v>0</v>
      </c>
      <c r="F40482" s="1">
        <v>5.7701378058135699E-6</v>
      </c>
    </row>
    <row r="40483" spans="1:6" x14ac:dyDescent="0.25">
      <c r="A40483" s="2" t="str">
        <f t="shared" si="1294"/>
        <v>99999</v>
      </c>
      <c r="B40483" s="2" t="str">
        <f>"66080"</f>
        <v>66080</v>
      </c>
      <c r="C40483" s="1">
        <v>6.7665659175932598E-6</v>
      </c>
      <c r="D40483" s="1">
        <v>0</v>
      </c>
      <c r="E40483" s="1">
        <v>0</v>
      </c>
      <c r="F40483" s="1">
        <v>6.1680783441455402E-6</v>
      </c>
    </row>
    <row r="40484" spans="1:6" x14ac:dyDescent="0.25">
      <c r="A40484" s="2" t="str">
        <f t="shared" si="1294"/>
        <v>99999</v>
      </c>
      <c r="B40484" s="2" t="str">
        <f>"65787"</f>
        <v>65787</v>
      </c>
      <c r="C40484" s="1">
        <v>1.8804504961311599E-4</v>
      </c>
      <c r="D40484" s="1">
        <v>2.5799245447950699E-5</v>
      </c>
      <c r="E40484" s="1">
        <v>4.3455399550671099E-6</v>
      </c>
      <c r="F40484" s="1">
        <v>1.7320361930899E-4</v>
      </c>
    </row>
    <row r="40485" spans="1:6" x14ac:dyDescent="0.25">
      <c r="A40485" s="2" t="str">
        <f t="shared" si="1294"/>
        <v>99999</v>
      </c>
      <c r="B40485" s="2" t="str">
        <f>"65624"</f>
        <v>65624</v>
      </c>
      <c r="C40485" s="1">
        <v>1.06518844122113E-4</v>
      </c>
      <c r="D40485" s="1">
        <v>1.9728834754315301E-5</v>
      </c>
      <c r="E40485" s="1">
        <v>8.69107991013423E-6</v>
      </c>
      <c r="F40485" s="1">
        <v>9.8589768371745706E-5</v>
      </c>
    </row>
    <row r="40486" spans="1:6" x14ac:dyDescent="0.25">
      <c r="A40486" s="2" t="str">
        <f t="shared" si="1294"/>
        <v>99999</v>
      </c>
      <c r="B40486" s="2" t="str">
        <f>"65778"</f>
        <v>65778</v>
      </c>
      <c r="C40486" s="1">
        <v>5.7297533979620399E-5</v>
      </c>
      <c r="D40486" s="1">
        <v>1.8211232080906399E-5</v>
      </c>
      <c r="E40486" s="1">
        <v>4.3455399550671099E-6</v>
      </c>
      <c r="F40486" s="1">
        <v>5.3523002405650002E-5</v>
      </c>
    </row>
    <row r="40487" spans="1:6" x14ac:dyDescent="0.25">
      <c r="A40487" s="2" t="str">
        <f t="shared" si="1294"/>
        <v>99999</v>
      </c>
      <c r="B40487" s="2" t="str">
        <f>"65773"</f>
        <v>65773</v>
      </c>
      <c r="C40487" s="1">
        <v>3.74343888666853E-5</v>
      </c>
      <c r="D40487" s="1">
        <v>6.0704106936354696E-6</v>
      </c>
      <c r="E40487" s="1">
        <v>4.3455399550671099E-6</v>
      </c>
      <c r="F40487" s="1">
        <v>3.4620826834881403E-5</v>
      </c>
    </row>
    <row r="40488" spans="1:6" x14ac:dyDescent="0.25">
      <c r="A40488" s="2" t="str">
        <f t="shared" si="1294"/>
        <v>99999</v>
      </c>
      <c r="B40488" s="2" t="str">
        <f>"65760"</f>
        <v>65760</v>
      </c>
      <c r="C40488" s="1">
        <v>3.9726290225870103E-5</v>
      </c>
      <c r="D40488" s="1">
        <v>6.0704106936354696E-6</v>
      </c>
      <c r="E40488" s="1">
        <v>1.3036619865201299E-5</v>
      </c>
      <c r="F40488" s="1">
        <v>3.6908984930290199E-5</v>
      </c>
    </row>
    <row r="40489" spans="1:6" x14ac:dyDescent="0.25">
      <c r="A40489" s="2" t="str">
        <f t="shared" si="1294"/>
        <v>99999</v>
      </c>
      <c r="B40489" s="2" t="str">
        <f>"65723"</f>
        <v>65723</v>
      </c>
      <c r="C40489" s="1">
        <v>1.4995583178666299E-4</v>
      </c>
      <c r="D40489" s="1">
        <v>1.03196981791803E-4</v>
      </c>
      <c r="E40489" s="1">
        <v>1.17329578786812E-4</v>
      </c>
      <c r="F40489" s="1">
        <v>1.46143662702416E-4</v>
      </c>
    </row>
    <row r="40490" spans="1:6" x14ac:dyDescent="0.25">
      <c r="A40490" s="2" t="str">
        <f t="shared" si="1294"/>
        <v>99999</v>
      </c>
      <c r="B40490" s="2" t="str">
        <f>"65745"</f>
        <v>65745</v>
      </c>
      <c r="C40490" s="1">
        <v>1.4046081187003999E-4</v>
      </c>
      <c r="D40490" s="1">
        <v>3.6422464161812797E-5</v>
      </c>
      <c r="E40490" s="1">
        <v>2.1727699775335501E-5</v>
      </c>
      <c r="F40490" s="1">
        <v>1.3092243711121799E-4</v>
      </c>
    </row>
    <row r="40491" spans="1:6" x14ac:dyDescent="0.25">
      <c r="A40491" s="2" t="str">
        <f t="shared" si="1294"/>
        <v>99999</v>
      </c>
      <c r="B40491" s="2" t="str">
        <f>"65606"</f>
        <v>65606</v>
      </c>
      <c r="C40491" s="1">
        <v>3.5328022379434501E-4</v>
      </c>
      <c r="D40491" s="1">
        <v>1.6238348605474899E-4</v>
      </c>
      <c r="E40491" s="1">
        <v>1.7382159820268399E-5</v>
      </c>
      <c r="F40491" s="1">
        <v>3.3307623058385899E-4</v>
      </c>
    </row>
    <row r="40492" spans="1:6" x14ac:dyDescent="0.25">
      <c r="A40492" s="2" t="str">
        <f t="shared" si="1294"/>
        <v>99999</v>
      </c>
      <c r="B40492" s="2" t="str">
        <f>"65692"</f>
        <v>65692</v>
      </c>
      <c r="C40492" s="1">
        <v>4.7584237743075203E-5</v>
      </c>
      <c r="D40492" s="1">
        <v>1.5176026734088599E-5</v>
      </c>
      <c r="E40492" s="1">
        <v>0</v>
      </c>
      <c r="F40492" s="1">
        <v>4.4370370024014701E-5</v>
      </c>
    </row>
    <row r="40493" spans="1:6" x14ac:dyDescent="0.25">
      <c r="A40493" s="2" t="str">
        <f t="shared" si="1294"/>
        <v>99999</v>
      </c>
      <c r="B40493" s="2" t="str">
        <f>"65686"</f>
        <v>65686</v>
      </c>
      <c r="C40493" s="1">
        <v>4.3633436352480398E-4</v>
      </c>
      <c r="D40493" s="1">
        <v>4.3555196726834501E-4</v>
      </c>
      <c r="E40493" s="1">
        <v>4.2151737564151003E-4</v>
      </c>
      <c r="F40493" s="1">
        <v>4.3594385974267299E-4</v>
      </c>
    </row>
    <row r="40494" spans="1:6" x14ac:dyDescent="0.25">
      <c r="A40494" s="2" t="str">
        <f t="shared" si="1294"/>
        <v>99999</v>
      </c>
      <c r="B40494" s="2" t="str">
        <f>"65555"</f>
        <v>65555</v>
      </c>
      <c r="C40494" s="1">
        <v>6.1663060378067599E-5</v>
      </c>
      <c r="D40494" s="1">
        <v>3.1869656141586203E-5</v>
      </c>
      <c r="E40494" s="1">
        <v>2.60732397304027E-5</v>
      </c>
      <c r="F40494" s="1">
        <v>5.8895199673131603E-5</v>
      </c>
    </row>
    <row r="40495" spans="1:6" x14ac:dyDescent="0.25">
      <c r="A40495" s="2" t="str">
        <f t="shared" si="1294"/>
        <v>99999</v>
      </c>
      <c r="B40495" s="2" t="str">
        <f>"65548"</f>
        <v>65548</v>
      </c>
      <c r="C40495" s="1">
        <v>1.0040710716428699E-5</v>
      </c>
      <c r="D40495" s="1">
        <v>1.51760267340886E-6</v>
      </c>
      <c r="E40495" s="1">
        <v>0</v>
      </c>
      <c r="F40495" s="1">
        <v>9.2521175162183095E-6</v>
      </c>
    </row>
    <row r="40496" spans="1:6" x14ac:dyDescent="0.25">
      <c r="A40496" s="2" t="str">
        <f t="shared" si="1294"/>
        <v>99999</v>
      </c>
      <c r="B40496" s="2" t="str">
        <f>"65264"</f>
        <v>65264</v>
      </c>
      <c r="C40496" s="1">
        <v>8.7310527968945299E-7</v>
      </c>
      <c r="D40496" s="1">
        <v>0</v>
      </c>
      <c r="E40496" s="1">
        <v>0</v>
      </c>
      <c r="F40496" s="1">
        <v>7.9588107666394099E-7</v>
      </c>
    </row>
    <row r="40497" spans="1:6" x14ac:dyDescent="0.25">
      <c r="A40497" s="2" t="str">
        <f t="shared" si="1294"/>
        <v>99999</v>
      </c>
      <c r="B40497" s="2" t="str">
        <f>"65261"</f>
        <v>65261</v>
      </c>
      <c r="C40497" s="1">
        <v>7.9234304131817895E-5</v>
      </c>
      <c r="D40497" s="1">
        <v>1.21408213872709E-4</v>
      </c>
      <c r="E40497" s="1">
        <v>1.21675118741879E-4</v>
      </c>
      <c r="F40497" s="1">
        <v>8.29706022422158E-5</v>
      </c>
    </row>
    <row r="40498" spans="1:6" x14ac:dyDescent="0.25">
      <c r="A40498" s="2" t="str">
        <f t="shared" si="1294"/>
        <v>99999</v>
      </c>
      <c r="B40498" s="2" t="str">
        <f>"65240"</f>
        <v>65240</v>
      </c>
      <c r="C40498" s="1">
        <v>2.1827631992236301E-7</v>
      </c>
      <c r="D40498" s="1">
        <v>0</v>
      </c>
      <c r="E40498" s="1">
        <v>0</v>
      </c>
      <c r="F40498" s="1">
        <v>1.9897026916598501E-7</v>
      </c>
    </row>
    <row r="40499" spans="1:6" x14ac:dyDescent="0.25">
      <c r="A40499" s="2" t="str">
        <f t="shared" si="1294"/>
        <v>99999</v>
      </c>
      <c r="B40499" s="2" t="str">
        <f>"65246"</f>
        <v>65246</v>
      </c>
      <c r="C40499" s="1">
        <v>8.6219146369333496E-6</v>
      </c>
      <c r="D40499" s="1">
        <v>1.51760267340886E-6</v>
      </c>
      <c r="E40499" s="1">
        <v>8.69107991013423E-6</v>
      </c>
      <c r="F40499" s="1">
        <v>8.1577810358053902E-6</v>
      </c>
    </row>
    <row r="40500" spans="1:6" x14ac:dyDescent="0.25">
      <c r="A40500" s="2" t="str">
        <f t="shared" si="1294"/>
        <v>99999</v>
      </c>
      <c r="B40500" s="2" t="str">
        <f>"65244"</f>
        <v>65244</v>
      </c>
      <c r="C40500" s="1">
        <v>6.5482895976708995E-7</v>
      </c>
      <c r="D40500" s="1">
        <v>1.51760267340886E-6</v>
      </c>
      <c r="E40500" s="1">
        <v>4.3455399550671099E-6</v>
      </c>
      <c r="F40500" s="1">
        <v>7.9588107666394099E-7</v>
      </c>
    </row>
    <row r="40501" spans="1:6" x14ac:dyDescent="0.25">
      <c r="A40501" s="2" t="str">
        <f t="shared" si="1294"/>
        <v>99999</v>
      </c>
      <c r="B40501" s="2" t="str">
        <f>"65462"</f>
        <v>65462</v>
      </c>
      <c r="C40501" s="1">
        <v>6.0025987978649897E-6</v>
      </c>
      <c r="D40501" s="1">
        <v>1.51760267340886E-6</v>
      </c>
      <c r="E40501" s="1">
        <v>0</v>
      </c>
      <c r="F40501" s="1">
        <v>5.5711675366475797E-6</v>
      </c>
    </row>
    <row r="40502" spans="1:6" x14ac:dyDescent="0.25">
      <c r="A40502" s="2" t="str">
        <f t="shared" si="1294"/>
        <v>99999</v>
      </c>
      <c r="B40502" s="2" t="str">
        <f>"65501"</f>
        <v>65501</v>
      </c>
      <c r="C40502" s="1">
        <v>2.7175401830334201E-5</v>
      </c>
      <c r="D40502" s="1">
        <v>6.0704106936354696E-6</v>
      </c>
      <c r="E40502" s="1">
        <v>4.3455399550671099E-6</v>
      </c>
      <c r="F40502" s="1">
        <v>2.5269224184080101E-5</v>
      </c>
    </row>
    <row r="40503" spans="1:6" x14ac:dyDescent="0.25">
      <c r="A40503" s="2" t="str">
        <f t="shared" si="1294"/>
        <v>99999</v>
      </c>
      <c r="B40503" s="2" t="str">
        <f>"65479"</f>
        <v>65479</v>
      </c>
      <c r="C40503" s="1">
        <v>2.8266783429946001E-5</v>
      </c>
      <c r="D40503" s="1">
        <v>1.0623218713862E-5</v>
      </c>
      <c r="E40503" s="1">
        <v>4.3455399550671099E-6</v>
      </c>
      <c r="F40503" s="1">
        <v>2.6562530933659001E-5</v>
      </c>
    </row>
    <row r="40504" spans="1:6" x14ac:dyDescent="0.25">
      <c r="A40504" s="2" t="str">
        <f t="shared" si="1294"/>
        <v>99999</v>
      </c>
      <c r="B40504" s="2" t="str">
        <f>"65453"</f>
        <v>65453</v>
      </c>
      <c r="C40504" s="1">
        <v>4.7016719311276998E-4</v>
      </c>
      <c r="D40504" s="1">
        <v>5.4937216777400997E-4</v>
      </c>
      <c r="E40504" s="1">
        <v>5.5188357429352298E-4</v>
      </c>
      <c r="F40504" s="1">
        <v>4.77230190594615E-4</v>
      </c>
    </row>
    <row r="40505" spans="1:6" x14ac:dyDescent="0.25">
      <c r="A40505" s="2" t="str">
        <f t="shared" si="1294"/>
        <v>99999</v>
      </c>
      <c r="B40505" s="2" t="str">
        <f>"65449"</f>
        <v>65449</v>
      </c>
      <c r="C40505" s="1">
        <v>2.4556085991265801E-5</v>
      </c>
      <c r="D40505" s="1">
        <v>1.0623218713862E-5</v>
      </c>
      <c r="E40505" s="1">
        <v>2.3900469752869099E-4</v>
      </c>
      <c r="F40505" s="1">
        <v>2.8552233625318801E-5</v>
      </c>
    </row>
    <row r="40506" spans="1:6" x14ac:dyDescent="0.25">
      <c r="A40506" s="2" t="str">
        <f t="shared" si="1294"/>
        <v>99999</v>
      </c>
      <c r="B40506" s="2" t="str">
        <f>"65355"</f>
        <v>65355</v>
      </c>
      <c r="C40506" s="1">
        <v>7.5469037613157101E-4</v>
      </c>
      <c r="D40506" s="1">
        <v>4.1582313251402997E-4</v>
      </c>
      <c r="E40506" s="1">
        <v>2.7376901716922799E-4</v>
      </c>
      <c r="F40506" s="1">
        <v>7.2146619599586204E-4</v>
      </c>
    </row>
    <row r="40507" spans="1:6" x14ac:dyDescent="0.25">
      <c r="A40507" s="2" t="str">
        <f t="shared" si="1294"/>
        <v>99999</v>
      </c>
      <c r="B40507" s="2" t="str">
        <f>"65286"</f>
        <v>65286</v>
      </c>
      <c r="C40507" s="1">
        <v>9.1676054367392598E-6</v>
      </c>
      <c r="D40507" s="1">
        <v>1.51760267340886E-6</v>
      </c>
      <c r="E40507" s="1">
        <v>4.3455399550671099E-6</v>
      </c>
      <c r="F40507" s="1">
        <v>8.5557215741373606E-6</v>
      </c>
    </row>
    <row r="40508" spans="1:6" x14ac:dyDescent="0.25">
      <c r="A40508" s="2" t="str">
        <f t="shared" si="1294"/>
        <v>99999</v>
      </c>
      <c r="B40508" s="2" t="str">
        <f>"65323"</f>
        <v>65323</v>
      </c>
      <c r="C40508" s="1">
        <v>5.2168040461444802E-5</v>
      </c>
      <c r="D40508" s="1">
        <v>1.8211232080906399E-5</v>
      </c>
      <c r="E40508" s="1">
        <v>2.1727699775335501E-5</v>
      </c>
      <c r="F40508" s="1">
        <v>4.9245141618581303E-5</v>
      </c>
    </row>
    <row r="40509" spans="1:6" x14ac:dyDescent="0.25">
      <c r="A40509" s="2" t="str">
        <f t="shared" si="1294"/>
        <v>99999</v>
      </c>
      <c r="B40509" s="2" t="str">
        <f>"65275"</f>
        <v>65275</v>
      </c>
      <c r="C40509" s="1">
        <v>1.46572548827867E-4</v>
      </c>
      <c r="D40509" s="1">
        <v>2.2915800368473899E-4</v>
      </c>
      <c r="E40509" s="1">
        <v>1.39057278562147E-4</v>
      </c>
      <c r="F40509" s="1">
        <v>1.5181431537364599E-4</v>
      </c>
    </row>
    <row r="40510" spans="1:6" x14ac:dyDescent="0.25">
      <c r="A40510" s="2" t="str">
        <f t="shared" si="1294"/>
        <v>99999</v>
      </c>
      <c r="B40510" s="2" t="str">
        <f>"65325"</f>
        <v>65325</v>
      </c>
      <c r="C40510" s="1">
        <v>1.5748636482398499E-4</v>
      </c>
      <c r="D40510" s="1">
        <v>1.13820200505665E-4</v>
      </c>
      <c r="E40510" s="1">
        <v>2.60732397304027E-5</v>
      </c>
      <c r="F40510" s="1">
        <v>1.5161534510448E-4</v>
      </c>
    </row>
    <row r="40511" spans="1:6" x14ac:dyDescent="0.25">
      <c r="A40511" s="2" t="str">
        <f t="shared" si="1294"/>
        <v>99999</v>
      </c>
      <c r="B40511" s="2" t="str">
        <f>"64783"</f>
        <v>64783</v>
      </c>
      <c r="C40511" s="1">
        <v>4.3764402144433798E-5</v>
      </c>
      <c r="D40511" s="1">
        <v>3.6422464161812797E-5</v>
      </c>
      <c r="E40511" s="1">
        <v>8.69107991013423E-6</v>
      </c>
      <c r="F40511" s="1">
        <v>4.2480152466937797E-5</v>
      </c>
    </row>
    <row r="40512" spans="1:6" x14ac:dyDescent="0.25">
      <c r="A40512" s="2" t="str">
        <f t="shared" si="1294"/>
        <v>99999</v>
      </c>
      <c r="B40512" s="2" t="str">
        <f>"64770"</f>
        <v>64770</v>
      </c>
      <c r="C40512" s="1">
        <v>5.9589435338805201E-5</v>
      </c>
      <c r="D40512" s="1">
        <v>1.5176026734088599E-5</v>
      </c>
      <c r="E40512" s="1">
        <v>1.3036619865201299E-5</v>
      </c>
      <c r="F40512" s="1">
        <v>5.5612190231892801E-5</v>
      </c>
    </row>
    <row r="40513" spans="1:6" x14ac:dyDescent="0.25">
      <c r="A40513" s="2" t="str">
        <f t="shared" si="1294"/>
        <v>99999</v>
      </c>
      <c r="B40513" s="2" t="str">
        <f>"65081"</f>
        <v>65081</v>
      </c>
      <c r="C40513" s="1">
        <v>5.4569079980590803E-6</v>
      </c>
      <c r="D40513" s="1">
        <v>0</v>
      </c>
      <c r="E40513" s="1">
        <v>0</v>
      </c>
      <c r="F40513" s="1">
        <v>4.9742567291496301E-6</v>
      </c>
    </row>
    <row r="40514" spans="1:6" x14ac:dyDescent="0.25">
      <c r="A40514" s="2" t="str">
        <f t="shared" si="1294"/>
        <v>99999</v>
      </c>
      <c r="B40514" s="2" t="str">
        <f>"65079"</f>
        <v>65079</v>
      </c>
      <c r="C40514" s="1">
        <v>6.4260548585143805E-4</v>
      </c>
      <c r="D40514" s="1">
        <v>5.1750251163242402E-4</v>
      </c>
      <c r="E40514" s="1">
        <v>4.2151737564151003E-4</v>
      </c>
      <c r="F40514" s="1">
        <v>6.2934296137201104E-4</v>
      </c>
    </row>
    <row r="40515" spans="1:6" x14ac:dyDescent="0.25">
      <c r="A40515" s="2" t="str">
        <f t="shared" si="1294"/>
        <v>99999</v>
      </c>
      <c r="B40515" s="2" t="str">
        <f>"65078"</f>
        <v>65078</v>
      </c>
      <c r="C40515" s="1">
        <v>3.0667822949091998E-4</v>
      </c>
      <c r="D40515" s="1">
        <v>1.00161776444985E-4</v>
      </c>
      <c r="E40515" s="1">
        <v>5.21464794608054E-5</v>
      </c>
      <c r="F40515" s="1">
        <v>2.8731306867568198E-4</v>
      </c>
    </row>
    <row r="40516" spans="1:6" x14ac:dyDescent="0.25">
      <c r="A40516" s="2" t="str">
        <f t="shared" si="1294"/>
        <v>99999</v>
      </c>
      <c r="B40516" s="2" t="str">
        <f>"65065"</f>
        <v>65065</v>
      </c>
      <c r="C40516" s="1">
        <v>7.0033957247090295E-4</v>
      </c>
      <c r="D40516" s="1">
        <v>1.8970033417610799E-3</v>
      </c>
      <c r="E40516" s="1">
        <v>1.5600488438690899E-3</v>
      </c>
      <c r="F40516" s="1">
        <v>7.9846769016309797E-4</v>
      </c>
    </row>
    <row r="40517" spans="1:6" x14ac:dyDescent="0.25">
      <c r="A40517" s="2" t="str">
        <f t="shared" si="1294"/>
        <v>99999</v>
      </c>
      <c r="B40517" s="2" t="str">
        <f>"65017"</f>
        <v>65017</v>
      </c>
      <c r="C40517" s="1">
        <v>8.6546560849217106E-5</v>
      </c>
      <c r="D40517" s="1">
        <v>2.7316848121359601E-5</v>
      </c>
      <c r="E40517" s="1">
        <v>1.3036619865201299E-5</v>
      </c>
      <c r="F40517" s="1">
        <v>8.0980899550556006E-5</v>
      </c>
    </row>
    <row r="40518" spans="1:6" x14ac:dyDescent="0.25">
      <c r="A40518" s="2" t="str">
        <f t="shared" si="1294"/>
        <v>99999</v>
      </c>
      <c r="B40518" s="2" t="str">
        <f>"65032"</f>
        <v>65032</v>
      </c>
      <c r="C40518" s="1">
        <v>4.0271981025675999E-5</v>
      </c>
      <c r="D40518" s="1">
        <v>1.3658424060679801E-5</v>
      </c>
      <c r="E40518" s="1">
        <v>8.69107991013423E-6</v>
      </c>
      <c r="F40518" s="1">
        <v>3.7804351141537199E-5</v>
      </c>
    </row>
    <row r="40519" spans="1:6" x14ac:dyDescent="0.25">
      <c r="A40519" s="2" t="str">
        <f t="shared" si="1294"/>
        <v>99999</v>
      </c>
      <c r="B40519" s="2" t="str">
        <f>"64755"</f>
        <v>64755</v>
      </c>
      <c r="C40519" s="1">
        <v>1.93174543131291E-5</v>
      </c>
      <c r="D40519" s="1">
        <v>3.0352053468177301E-6</v>
      </c>
      <c r="E40519" s="1">
        <v>0</v>
      </c>
      <c r="F40519" s="1">
        <v>1.7807839090355599E-5</v>
      </c>
    </row>
    <row r="40520" spans="1:6" x14ac:dyDescent="0.25">
      <c r="A40520" s="2" t="str">
        <f t="shared" si="1294"/>
        <v>99999</v>
      </c>
      <c r="B40520" s="2" t="str">
        <f>"64748"</f>
        <v>64748</v>
      </c>
      <c r="C40520" s="1">
        <v>7.4977915893331795E-5</v>
      </c>
      <c r="D40520" s="1">
        <v>5.6151298916128101E-5</v>
      </c>
      <c r="E40520" s="1">
        <v>9.9947418966543598E-5</v>
      </c>
      <c r="F40520" s="1">
        <v>7.4315395533495506E-5</v>
      </c>
    </row>
    <row r="40521" spans="1:6" x14ac:dyDescent="0.25">
      <c r="A40521" s="2" t="str">
        <f t="shared" si="1294"/>
        <v>99999</v>
      </c>
      <c r="B40521" s="2" t="str">
        <f>"64744"</f>
        <v>64744</v>
      </c>
      <c r="C40521" s="1">
        <v>4.7540582479090699E-4</v>
      </c>
      <c r="D40521" s="1">
        <v>4.8108004747061099E-4</v>
      </c>
      <c r="E40521" s="1">
        <v>2.5204131739389198E-4</v>
      </c>
      <c r="F40521" s="1">
        <v>4.7066417171213798E-4</v>
      </c>
    </row>
    <row r="40522" spans="1:6" x14ac:dyDescent="0.25">
      <c r="A40522" s="2" t="str">
        <f t="shared" si="1294"/>
        <v>99999</v>
      </c>
      <c r="B40522" s="2" t="str">
        <f>"64740"</f>
        <v>64740</v>
      </c>
      <c r="C40522" s="1">
        <v>1.26709403714931E-4</v>
      </c>
      <c r="D40522" s="1">
        <v>2.88344507947685E-5</v>
      </c>
      <c r="E40522" s="1">
        <v>2.1727699775335501E-5</v>
      </c>
      <c r="F40522" s="1">
        <v>1.17889884480846E-4</v>
      </c>
    </row>
    <row r="40523" spans="1:6" x14ac:dyDescent="0.25">
      <c r="A40523" s="2" t="str">
        <f t="shared" si="1294"/>
        <v>99999</v>
      </c>
      <c r="B40523" s="2" t="str">
        <f>"64739"</f>
        <v>64739</v>
      </c>
      <c r="C40523" s="1">
        <v>9.8224343965063504E-6</v>
      </c>
      <c r="D40523" s="1">
        <v>0</v>
      </c>
      <c r="E40523" s="1">
        <v>0</v>
      </c>
      <c r="F40523" s="1">
        <v>8.9536621124693292E-6</v>
      </c>
    </row>
    <row r="40524" spans="1:6" x14ac:dyDescent="0.25">
      <c r="A40524" s="2" t="str">
        <f t="shared" si="1294"/>
        <v>99999</v>
      </c>
      <c r="B40524" s="2" t="str">
        <f>"64855"</f>
        <v>64855</v>
      </c>
      <c r="C40524" s="1">
        <v>4.4746645584084504E-6</v>
      </c>
      <c r="D40524" s="1">
        <v>0</v>
      </c>
      <c r="E40524" s="1">
        <v>0</v>
      </c>
      <c r="F40524" s="1">
        <v>4.07889051790269E-6</v>
      </c>
    </row>
    <row r="40525" spans="1:6" x14ac:dyDescent="0.25">
      <c r="A40525" s="2" t="str">
        <f t="shared" si="1294"/>
        <v>99999</v>
      </c>
      <c r="B40525" s="2" t="str">
        <f>"64848"</f>
        <v>64848</v>
      </c>
      <c r="C40525" s="1">
        <v>2.6302296550644701E-5</v>
      </c>
      <c r="D40525" s="1">
        <v>4.5528080202265997E-6</v>
      </c>
      <c r="E40525" s="1">
        <v>0</v>
      </c>
      <c r="F40525" s="1">
        <v>2.4274372838250201E-5</v>
      </c>
    </row>
    <row r="40526" spans="1:6" x14ac:dyDescent="0.25">
      <c r="A40526" s="2" t="str">
        <f t="shared" si="1294"/>
        <v>99999</v>
      </c>
      <c r="B40526" s="2" t="str">
        <f>"64843"</f>
        <v>64843</v>
      </c>
      <c r="C40526" s="1">
        <v>1.4689996330775001E-4</v>
      </c>
      <c r="D40526" s="1">
        <v>5.9186504262945899E-5</v>
      </c>
      <c r="E40526" s="1">
        <v>1.7382159820268399E-5</v>
      </c>
      <c r="F40526" s="1">
        <v>1.3818485193577601E-4</v>
      </c>
    </row>
    <row r="40527" spans="1:6" x14ac:dyDescent="0.25">
      <c r="A40527" s="2" t="str">
        <f t="shared" si="1294"/>
        <v>99999</v>
      </c>
      <c r="B40527" s="2" t="str">
        <f>"64652"</f>
        <v>64652</v>
      </c>
      <c r="C40527" s="1">
        <v>2.5756605750838801E-5</v>
      </c>
      <c r="D40527" s="1">
        <v>4.5528080202265997E-6</v>
      </c>
      <c r="E40527" s="1">
        <v>1.7382159820268399E-5</v>
      </c>
      <c r="F40527" s="1">
        <v>2.4174887703667199E-5</v>
      </c>
    </row>
    <row r="40528" spans="1:6" x14ac:dyDescent="0.25">
      <c r="A40528" s="2" t="str">
        <f t="shared" si="1294"/>
        <v>99999</v>
      </c>
      <c r="B40528" s="2" t="str">
        <f>"64644"</f>
        <v>64644</v>
      </c>
      <c r="C40528" s="1">
        <v>1.04772633562734E-5</v>
      </c>
      <c r="D40528" s="1">
        <v>0</v>
      </c>
      <c r="E40528" s="1">
        <v>0</v>
      </c>
      <c r="F40528" s="1">
        <v>9.5505729199672898E-6</v>
      </c>
    </row>
    <row r="40529" spans="1:6" x14ac:dyDescent="0.25">
      <c r="A40529" s="2" t="str">
        <f t="shared" si="1294"/>
        <v>99999</v>
      </c>
      <c r="B40529" s="2" t="str">
        <f>"64631"</f>
        <v>64631</v>
      </c>
      <c r="C40529" s="1">
        <v>5.5114770780396697E-5</v>
      </c>
      <c r="D40529" s="1">
        <v>2.1246437427724101E-5</v>
      </c>
      <c r="E40529" s="1">
        <v>8.69107991013423E-6</v>
      </c>
      <c r="F40529" s="1">
        <v>5.1831755117739102E-5</v>
      </c>
    </row>
    <row r="40530" spans="1:6" x14ac:dyDescent="0.25">
      <c r="A40530" s="2" t="str">
        <f t="shared" ref="A40530:A40593" si="1295">"99999"</f>
        <v>99999</v>
      </c>
      <c r="B40530" s="2" t="str">
        <f>"64625"</f>
        <v>64625</v>
      </c>
      <c r="C40530" s="1">
        <v>5.1294935181755401E-6</v>
      </c>
      <c r="D40530" s="1">
        <v>0</v>
      </c>
      <c r="E40530" s="1">
        <v>4.3455399550671099E-6</v>
      </c>
      <c r="F40530" s="1">
        <v>4.7752864599836398E-6</v>
      </c>
    </row>
    <row r="40531" spans="1:6" x14ac:dyDescent="0.25">
      <c r="A40531" s="2" t="str">
        <f t="shared" si="1295"/>
        <v>99999</v>
      </c>
      <c r="B40531" s="2" t="str">
        <f>"64496"</f>
        <v>64496</v>
      </c>
      <c r="C40531" s="1">
        <v>1.20051975957299E-5</v>
      </c>
      <c r="D40531" s="1">
        <v>4.5528080202265997E-6</v>
      </c>
      <c r="E40531" s="1">
        <v>1.3036619865201299E-5</v>
      </c>
      <c r="F40531" s="1">
        <v>1.1540275611627099E-5</v>
      </c>
    </row>
    <row r="40532" spans="1:6" x14ac:dyDescent="0.25">
      <c r="A40532" s="2" t="str">
        <f t="shared" si="1295"/>
        <v>99999</v>
      </c>
      <c r="B40532" s="2" t="str">
        <f>"64420"</f>
        <v>64420</v>
      </c>
      <c r="C40532" s="1">
        <v>2.1827631992236299E-6</v>
      </c>
      <c r="D40532" s="1">
        <v>1.21408213872709E-5</v>
      </c>
      <c r="E40532" s="1">
        <v>4.3455399550671099E-6</v>
      </c>
      <c r="F40532" s="1">
        <v>2.8850689029067799E-6</v>
      </c>
    </row>
    <row r="40533" spans="1:6" x14ac:dyDescent="0.25">
      <c r="A40533" s="2" t="str">
        <f t="shared" si="1295"/>
        <v>99999</v>
      </c>
      <c r="B40533" s="2" t="str">
        <f>"64428"</f>
        <v>64428</v>
      </c>
      <c r="C40533" s="1">
        <v>5.4569079980590801E-7</v>
      </c>
      <c r="D40533" s="1">
        <v>0</v>
      </c>
      <c r="E40533" s="1">
        <v>0</v>
      </c>
      <c r="F40533" s="1">
        <v>4.9742567291496303E-7</v>
      </c>
    </row>
    <row r="40534" spans="1:6" x14ac:dyDescent="0.25">
      <c r="A40534" s="2" t="str">
        <f t="shared" si="1295"/>
        <v>99999</v>
      </c>
      <c r="B40534" s="2" t="str">
        <f>"64437"</f>
        <v>64437</v>
      </c>
      <c r="C40534" s="1">
        <v>6.7774797335893794E-5</v>
      </c>
      <c r="D40534" s="1">
        <v>4.2492874855448297E-5</v>
      </c>
      <c r="E40534" s="1">
        <v>1.3036619865201299E-5</v>
      </c>
      <c r="F40534" s="1">
        <v>6.4864307748111196E-5</v>
      </c>
    </row>
    <row r="40535" spans="1:6" x14ac:dyDescent="0.25">
      <c r="A40535" s="2" t="str">
        <f t="shared" si="1295"/>
        <v>99999</v>
      </c>
      <c r="B40535" s="2" t="str">
        <f>"63944"</f>
        <v>63944</v>
      </c>
      <c r="C40535" s="1">
        <v>8.6983113489061794E-5</v>
      </c>
      <c r="D40535" s="1">
        <v>2.1246437427724101E-5</v>
      </c>
      <c r="E40535" s="1">
        <v>4.3455399550671099E-6</v>
      </c>
      <c r="F40535" s="1">
        <v>8.0781929281389996E-5</v>
      </c>
    </row>
    <row r="40536" spans="1:6" x14ac:dyDescent="0.25">
      <c r="A40536" s="2" t="str">
        <f t="shared" si="1295"/>
        <v>99999</v>
      </c>
      <c r="B40536" s="2" t="str">
        <f>"63882"</f>
        <v>63882</v>
      </c>
      <c r="C40536" s="1">
        <v>3.2741447988354498E-7</v>
      </c>
      <c r="D40536" s="1">
        <v>1.51760267340886E-6</v>
      </c>
      <c r="E40536" s="1">
        <v>4.3455399550671099E-6</v>
      </c>
      <c r="F40536" s="1">
        <v>4.9742567291496303E-7</v>
      </c>
    </row>
    <row r="40537" spans="1:6" x14ac:dyDescent="0.25">
      <c r="A40537" s="2" t="str">
        <f t="shared" si="1295"/>
        <v>99999</v>
      </c>
      <c r="B40537" s="2" t="str">
        <f>"63868"</f>
        <v>63868</v>
      </c>
      <c r="C40537" s="1">
        <v>3.2741447988354498E-7</v>
      </c>
      <c r="D40537" s="1">
        <v>0</v>
      </c>
      <c r="E40537" s="1">
        <v>4.3455399550671099E-6</v>
      </c>
      <c r="F40537" s="1">
        <v>3.9794053833197002E-7</v>
      </c>
    </row>
    <row r="40538" spans="1:6" x14ac:dyDescent="0.25">
      <c r="A40538" s="2" t="str">
        <f t="shared" si="1295"/>
        <v>99999</v>
      </c>
      <c r="B40538" s="2" t="str">
        <f>"63867"</f>
        <v>63867</v>
      </c>
      <c r="C40538" s="1">
        <v>2.72845399902954E-5</v>
      </c>
      <c r="D40538" s="1">
        <v>4.7045682875674899E-5</v>
      </c>
      <c r="E40538" s="1">
        <v>4.3455399550671099E-6</v>
      </c>
      <c r="F40538" s="1">
        <v>2.80548079524039E-5</v>
      </c>
    </row>
    <row r="40539" spans="1:6" x14ac:dyDescent="0.25">
      <c r="A40539" s="2" t="str">
        <f t="shared" si="1295"/>
        <v>99999</v>
      </c>
      <c r="B40539" s="2" t="str">
        <f>"63855"</f>
        <v>63855</v>
      </c>
      <c r="C40539" s="1">
        <v>1.09138159961181E-7</v>
      </c>
      <c r="D40539" s="1">
        <v>0</v>
      </c>
      <c r="E40539" s="1">
        <v>0</v>
      </c>
      <c r="F40539" s="1">
        <v>9.9485134582992598E-8</v>
      </c>
    </row>
    <row r="40540" spans="1:6" x14ac:dyDescent="0.25">
      <c r="A40540" s="2" t="str">
        <f t="shared" si="1295"/>
        <v>99999</v>
      </c>
      <c r="B40540" s="2" t="str">
        <f>"63839"</f>
        <v>63839</v>
      </c>
      <c r="C40540" s="1">
        <v>1.09138159961181E-7</v>
      </c>
      <c r="D40540" s="1">
        <v>0</v>
      </c>
      <c r="E40540" s="1">
        <v>4.3455399550671099E-6</v>
      </c>
      <c r="F40540" s="1">
        <v>1.9897026916598501E-7</v>
      </c>
    </row>
    <row r="40541" spans="1:6" x14ac:dyDescent="0.25">
      <c r="A40541" s="2" t="str">
        <f t="shared" si="1295"/>
        <v>99999</v>
      </c>
      <c r="B40541" s="2" t="str">
        <f>"63827"</f>
        <v>63827</v>
      </c>
      <c r="C40541" s="1">
        <v>4.3873540304395E-5</v>
      </c>
      <c r="D40541" s="1">
        <v>1.3658424060679801E-5</v>
      </c>
      <c r="E40541" s="1">
        <v>1.3036619865201299E-5</v>
      </c>
      <c r="F40541" s="1">
        <v>4.1186845717358898E-5</v>
      </c>
    </row>
    <row r="40542" spans="1:6" x14ac:dyDescent="0.25">
      <c r="A40542" s="2" t="str">
        <f t="shared" si="1295"/>
        <v>99999</v>
      </c>
      <c r="B40542" s="2" t="str">
        <f>"63801"</f>
        <v>63801</v>
      </c>
      <c r="C40542" s="1">
        <v>1.82588141615057E-4</v>
      </c>
      <c r="D40542" s="1">
        <v>2.5951005715291599E-4</v>
      </c>
      <c r="E40542" s="1">
        <v>1.39057278562147E-4</v>
      </c>
      <c r="F40542" s="1">
        <v>1.8663411247769399E-4</v>
      </c>
    </row>
    <row r="40543" spans="1:6" x14ac:dyDescent="0.25">
      <c r="A40543" s="2" t="str">
        <f t="shared" si="1295"/>
        <v>99999</v>
      </c>
      <c r="B40543" s="2" t="str">
        <f>"63654"</f>
        <v>63654</v>
      </c>
      <c r="C40543" s="1">
        <v>2.61931583906836E-5</v>
      </c>
      <c r="D40543" s="1">
        <v>1.21408213872709E-5</v>
      </c>
      <c r="E40543" s="1">
        <v>8.69107991013423E-6</v>
      </c>
      <c r="F40543" s="1">
        <v>2.48712836457481E-5</v>
      </c>
    </row>
    <row r="40544" spans="1:6" x14ac:dyDescent="0.25">
      <c r="A40544" s="2" t="str">
        <f t="shared" si="1295"/>
        <v>99999</v>
      </c>
      <c r="B40544" s="2" t="str">
        <f>"63650"</f>
        <v>63650</v>
      </c>
      <c r="C40544" s="1">
        <v>1.97430931369777E-4</v>
      </c>
      <c r="D40544" s="1">
        <v>2.39781222398601E-4</v>
      </c>
      <c r="E40544" s="1">
        <v>1.12984038831745E-4</v>
      </c>
      <c r="F40544" s="1">
        <v>1.98273873223904E-4</v>
      </c>
    </row>
    <row r="40545" spans="1:6" x14ac:dyDescent="0.25">
      <c r="A40545" s="2" t="str">
        <f t="shared" si="1295"/>
        <v>99999</v>
      </c>
      <c r="B40545" s="2" t="str">
        <f>"63451"</f>
        <v>63451</v>
      </c>
      <c r="C40545" s="1">
        <v>1.71346911139055E-5</v>
      </c>
      <c r="D40545" s="1">
        <v>7.5880133670443404E-6</v>
      </c>
      <c r="E40545" s="1">
        <v>4.3455399550671099E-6</v>
      </c>
      <c r="F40545" s="1">
        <v>1.6216076937027799E-5</v>
      </c>
    </row>
    <row r="40546" spans="1:6" x14ac:dyDescent="0.25">
      <c r="A40546" s="2" t="str">
        <f t="shared" si="1295"/>
        <v>99999</v>
      </c>
      <c r="B40546" s="2" t="str">
        <f>"63446"</f>
        <v>63446</v>
      </c>
      <c r="C40546" s="1">
        <v>2.4010395191459901E-5</v>
      </c>
      <c r="D40546" s="1">
        <v>3.0352053468177301E-6</v>
      </c>
      <c r="E40546" s="1">
        <v>1.3036619865201299E-5</v>
      </c>
      <c r="F40546" s="1">
        <v>2.23841552811733E-5</v>
      </c>
    </row>
    <row r="40547" spans="1:6" x14ac:dyDescent="0.25">
      <c r="A40547" s="2" t="str">
        <f t="shared" si="1295"/>
        <v>99999</v>
      </c>
      <c r="B40547" s="2" t="str">
        <f>"63443"</f>
        <v>63443</v>
      </c>
      <c r="C40547" s="1">
        <v>2.56474675908777E-5</v>
      </c>
      <c r="D40547" s="1">
        <v>2.2764040101133E-5</v>
      </c>
      <c r="E40547" s="1">
        <v>4.3455399550671099E-6</v>
      </c>
      <c r="F40547" s="1">
        <v>2.4970768780331099E-5</v>
      </c>
    </row>
    <row r="40548" spans="1:6" x14ac:dyDescent="0.25">
      <c r="A40548" s="2" t="str">
        <f t="shared" si="1295"/>
        <v>99999</v>
      </c>
      <c r="B40548" s="2" t="str">
        <f>"63625"</f>
        <v>63625</v>
      </c>
      <c r="C40548" s="1">
        <v>2.3355566231692799E-5</v>
      </c>
      <c r="D40548" s="1">
        <v>1.21408213872709E-5</v>
      </c>
      <c r="E40548" s="1">
        <v>1.3036619865201299E-5</v>
      </c>
      <c r="F40548" s="1">
        <v>2.23841552811733E-5</v>
      </c>
    </row>
    <row r="40549" spans="1:6" x14ac:dyDescent="0.25">
      <c r="A40549" s="2" t="str">
        <f t="shared" si="1295"/>
        <v>99999</v>
      </c>
      <c r="B40549" s="2" t="str">
        <f>"63350"</f>
        <v>63350</v>
      </c>
      <c r="C40549" s="1">
        <v>3.2195757188548602E-5</v>
      </c>
      <c r="D40549" s="1">
        <v>2.5799245447950699E-5</v>
      </c>
      <c r="E40549" s="1">
        <v>2.1727699775335501E-5</v>
      </c>
      <c r="F40549" s="1">
        <v>3.1536787662808598E-5</v>
      </c>
    </row>
    <row r="40550" spans="1:6" x14ac:dyDescent="0.25">
      <c r="A40550" s="2" t="str">
        <f t="shared" si="1295"/>
        <v>99999</v>
      </c>
      <c r="B40550" s="2" t="str">
        <f>"63020"</f>
        <v>63020</v>
      </c>
      <c r="C40550" s="1">
        <v>4.1472500785249E-6</v>
      </c>
      <c r="D40550" s="1">
        <v>3.0352053468177301E-6</v>
      </c>
      <c r="E40550" s="1">
        <v>0</v>
      </c>
      <c r="F40550" s="1">
        <v>3.9794053833197E-6</v>
      </c>
    </row>
    <row r="40551" spans="1:6" x14ac:dyDescent="0.25">
      <c r="A40551" s="2" t="str">
        <f t="shared" si="1295"/>
        <v>99999</v>
      </c>
      <c r="B40551" s="2" t="str">
        <f>"62997"</f>
        <v>62997</v>
      </c>
      <c r="C40551" s="1">
        <v>3.4487658547733398E-5</v>
      </c>
      <c r="D40551" s="1">
        <v>9.1056160404532095E-6</v>
      </c>
      <c r="E40551" s="1">
        <v>8.69107991013423E-6</v>
      </c>
      <c r="F40551" s="1">
        <v>3.2233183604889601E-5</v>
      </c>
    </row>
    <row r="40552" spans="1:6" x14ac:dyDescent="0.25">
      <c r="A40552" s="2" t="str">
        <f t="shared" si="1295"/>
        <v>99999</v>
      </c>
      <c r="B40552" s="2" t="str">
        <f>"62979"</f>
        <v>62979</v>
      </c>
      <c r="C40552" s="1">
        <v>5.9262020858921601E-5</v>
      </c>
      <c r="D40552" s="1">
        <v>7.4362530997034595E-5</v>
      </c>
      <c r="E40552" s="1">
        <v>2.60732397304027E-5</v>
      </c>
      <c r="F40552" s="1">
        <v>5.94921104806295E-5</v>
      </c>
    </row>
    <row r="40553" spans="1:6" x14ac:dyDescent="0.25">
      <c r="A40553" s="2" t="str">
        <f t="shared" si="1295"/>
        <v>99999</v>
      </c>
      <c r="B40553" s="2" t="str">
        <f>"62832"</f>
        <v>62832</v>
      </c>
      <c r="C40553" s="1">
        <v>5.1600522029646699E-4</v>
      </c>
      <c r="D40553" s="1">
        <v>6.5408675223922199E-4</v>
      </c>
      <c r="E40553" s="1">
        <v>4.2586291559657701E-4</v>
      </c>
      <c r="F40553" s="1">
        <v>5.2299335250279196E-4</v>
      </c>
    </row>
    <row r="40554" spans="1:6" x14ac:dyDescent="0.25">
      <c r="A40554" s="2" t="str">
        <f t="shared" si="1295"/>
        <v>99999</v>
      </c>
      <c r="B40554" s="2" t="str">
        <f>"62912"</f>
        <v>62912</v>
      </c>
      <c r="C40554" s="1">
        <v>3.0886099269014397E-5</v>
      </c>
      <c r="D40554" s="1">
        <v>2.7316848121359601E-5</v>
      </c>
      <c r="E40554" s="1">
        <v>0</v>
      </c>
      <c r="F40554" s="1">
        <v>2.9945025509480699E-5</v>
      </c>
    </row>
    <row r="40555" spans="1:6" x14ac:dyDescent="0.25">
      <c r="A40555" s="2" t="str">
        <f t="shared" si="1295"/>
        <v>99999</v>
      </c>
      <c r="B40555" s="2" t="str">
        <f>"62905"</f>
        <v>62905</v>
      </c>
      <c r="C40555" s="1">
        <v>3.4051105907888697E-5</v>
      </c>
      <c r="D40555" s="1">
        <v>2.4281642774541899E-5</v>
      </c>
      <c r="E40555" s="1">
        <v>1.3036619865201299E-5</v>
      </c>
      <c r="F40555" s="1">
        <v>3.2929579546970502E-5</v>
      </c>
    </row>
    <row r="40556" spans="1:6" x14ac:dyDescent="0.25">
      <c r="A40556" s="2" t="str">
        <f t="shared" si="1295"/>
        <v>99999</v>
      </c>
      <c r="B40556" s="2" t="str">
        <f>"62690"</f>
        <v>62690</v>
      </c>
      <c r="C40556" s="1">
        <v>2.6193158390683598E-6</v>
      </c>
      <c r="D40556" s="1">
        <v>1.51760267340886E-6</v>
      </c>
      <c r="E40556" s="1">
        <v>4.3455399550671099E-6</v>
      </c>
      <c r="F40556" s="1">
        <v>2.5866134991578E-6</v>
      </c>
    </row>
    <row r="40557" spans="1:6" x14ac:dyDescent="0.25">
      <c r="A40557" s="2" t="str">
        <f t="shared" si="1295"/>
        <v>99999</v>
      </c>
      <c r="B40557" s="2" t="str">
        <f>"62681"</f>
        <v>62681</v>
      </c>
      <c r="C40557" s="1">
        <v>2.7830230790101297E-4</v>
      </c>
      <c r="D40557" s="1">
        <v>3.8698868171926101E-4</v>
      </c>
      <c r="E40557" s="1">
        <v>3.34606576540167E-4</v>
      </c>
      <c r="F40557" s="1">
        <v>2.8671615786818398E-4</v>
      </c>
    </row>
    <row r="40558" spans="1:6" x14ac:dyDescent="0.25">
      <c r="A40558" s="2" t="str">
        <f t="shared" si="1295"/>
        <v>99999</v>
      </c>
      <c r="B40558" s="2" t="str">
        <f>"62459"</f>
        <v>62459</v>
      </c>
      <c r="C40558" s="1">
        <v>3.05586847891308E-6</v>
      </c>
      <c r="D40558" s="1">
        <v>0</v>
      </c>
      <c r="E40558" s="1">
        <v>4.3455399550671099E-6</v>
      </c>
      <c r="F40558" s="1">
        <v>2.8850689029067799E-6</v>
      </c>
    </row>
    <row r="40559" spans="1:6" x14ac:dyDescent="0.25">
      <c r="A40559" s="2" t="str">
        <f t="shared" si="1295"/>
        <v>99999</v>
      </c>
      <c r="B40559" s="2" t="str">
        <f>"62512"</f>
        <v>62512</v>
      </c>
      <c r="C40559" s="1">
        <v>8.7310527968945299E-7</v>
      </c>
      <c r="D40559" s="1">
        <v>1.51760267340886E-6</v>
      </c>
      <c r="E40559" s="1">
        <v>0</v>
      </c>
      <c r="F40559" s="1">
        <v>8.9536621124693305E-7</v>
      </c>
    </row>
    <row r="40560" spans="1:6" x14ac:dyDescent="0.25">
      <c r="A40560" s="2" t="str">
        <f t="shared" si="1295"/>
        <v>99999</v>
      </c>
      <c r="B40560" s="2" t="str">
        <f>"62478"</f>
        <v>62478</v>
      </c>
      <c r="C40560" s="1">
        <v>1.6698138474060799E-5</v>
      </c>
      <c r="D40560" s="1">
        <v>3.0352053468177301E-6</v>
      </c>
      <c r="E40560" s="1">
        <v>4.3455399550671099E-6</v>
      </c>
      <c r="F40560" s="1">
        <v>1.5519680994946799E-5</v>
      </c>
    </row>
    <row r="40561" spans="1:6" x14ac:dyDescent="0.25">
      <c r="A40561" s="2" t="str">
        <f t="shared" si="1295"/>
        <v>99999</v>
      </c>
      <c r="B40561" s="2" t="str">
        <f>"62474"</f>
        <v>62474</v>
      </c>
      <c r="C40561" s="1">
        <v>2.67388491904895E-5</v>
      </c>
      <c r="D40561" s="1">
        <v>1.21408213872709E-5</v>
      </c>
      <c r="E40561" s="1">
        <v>1.3036619865201299E-5</v>
      </c>
      <c r="F40561" s="1">
        <v>2.5468194453246102E-5</v>
      </c>
    </row>
    <row r="40562" spans="1:6" x14ac:dyDescent="0.25">
      <c r="A40562" s="2" t="str">
        <f t="shared" si="1295"/>
        <v>99999</v>
      </c>
      <c r="B40562" s="2" t="str">
        <f>"62445"</f>
        <v>62445</v>
      </c>
      <c r="C40562" s="1">
        <v>1.04772633562734E-5</v>
      </c>
      <c r="D40562" s="1">
        <v>1.0623218713862E-5</v>
      </c>
      <c r="E40562" s="1">
        <v>0</v>
      </c>
      <c r="F40562" s="1">
        <v>1.02469688620482E-5</v>
      </c>
    </row>
    <row r="40563" spans="1:6" x14ac:dyDescent="0.25">
      <c r="A40563" s="2" t="str">
        <f t="shared" si="1295"/>
        <v>99999</v>
      </c>
      <c r="B40563" s="2" t="str">
        <f>"62673"</f>
        <v>62673</v>
      </c>
      <c r="C40563" s="1">
        <v>3.3832829587966299E-6</v>
      </c>
      <c r="D40563" s="1">
        <v>4.5528080202265997E-6</v>
      </c>
      <c r="E40563" s="1">
        <v>0</v>
      </c>
      <c r="F40563" s="1">
        <v>3.3824945758217398E-6</v>
      </c>
    </row>
    <row r="40564" spans="1:6" x14ac:dyDescent="0.25">
      <c r="A40564" s="2" t="str">
        <f t="shared" si="1295"/>
        <v>99999</v>
      </c>
      <c r="B40564" s="2" t="str">
        <f>"62572"</f>
        <v>62572</v>
      </c>
      <c r="C40564" s="1">
        <v>1.7025552953944301E-5</v>
      </c>
      <c r="D40564" s="1">
        <v>3.0352053468177301E-6</v>
      </c>
      <c r="E40564" s="1">
        <v>8.69107991013423E-6</v>
      </c>
      <c r="F40564" s="1">
        <v>1.59176215332788E-5</v>
      </c>
    </row>
    <row r="40565" spans="1:6" x14ac:dyDescent="0.25">
      <c r="A40565" s="2" t="str">
        <f t="shared" si="1295"/>
        <v>99999</v>
      </c>
      <c r="B40565" s="2" t="str">
        <f>"62367"</f>
        <v>62367</v>
      </c>
      <c r="C40565" s="1">
        <v>9.8224343965063504E-6</v>
      </c>
      <c r="D40565" s="1">
        <v>1.51760267340886E-6</v>
      </c>
      <c r="E40565" s="1">
        <v>0</v>
      </c>
      <c r="F40565" s="1">
        <v>9.0531472470523294E-6</v>
      </c>
    </row>
    <row r="40566" spans="1:6" x14ac:dyDescent="0.25">
      <c r="A40566" s="2" t="str">
        <f t="shared" si="1295"/>
        <v>99999</v>
      </c>
      <c r="B40566" s="2" t="str">
        <f>"62375"</f>
        <v>62375</v>
      </c>
      <c r="C40566" s="1">
        <v>1.9972283272896199E-5</v>
      </c>
      <c r="D40566" s="1">
        <v>4.5528080202265997E-6</v>
      </c>
      <c r="E40566" s="1">
        <v>8.69107991013423E-6</v>
      </c>
      <c r="F40566" s="1">
        <v>1.8703205301602599E-5</v>
      </c>
    </row>
    <row r="40567" spans="1:6" x14ac:dyDescent="0.25">
      <c r="A40567" s="2" t="str">
        <f t="shared" si="1295"/>
        <v>99999</v>
      </c>
      <c r="B40567" s="2" t="str">
        <f>"62370"</f>
        <v>62370</v>
      </c>
      <c r="C40567" s="1">
        <v>2.75028163102177E-5</v>
      </c>
      <c r="D40567" s="1">
        <v>2.4281642774541899E-5</v>
      </c>
      <c r="E40567" s="1">
        <v>4.3455399550671099E-6</v>
      </c>
      <c r="F40567" s="1">
        <v>2.6761501202825001E-5</v>
      </c>
    </row>
    <row r="40568" spans="1:6" x14ac:dyDescent="0.25">
      <c r="A40568" s="2" t="str">
        <f t="shared" si="1295"/>
        <v>99999</v>
      </c>
      <c r="B40568" s="2" t="str">
        <f>"62420"</f>
        <v>62420</v>
      </c>
      <c r="C40568" s="1">
        <v>2.30827208317899E-4</v>
      </c>
      <c r="D40568" s="1">
        <v>3.6877744963835501E-4</v>
      </c>
      <c r="E40568" s="1">
        <v>2.0858591784322101E-4</v>
      </c>
      <c r="F40568" s="1">
        <v>2.3936123380667999E-4</v>
      </c>
    </row>
    <row r="40569" spans="1:6" x14ac:dyDescent="0.25">
      <c r="A40569" s="2" t="str">
        <f t="shared" si="1295"/>
        <v>99999</v>
      </c>
      <c r="B40569" s="2" t="str">
        <f>"62413"</f>
        <v>62413</v>
      </c>
      <c r="C40569" s="1">
        <v>2.2373322792042201E-5</v>
      </c>
      <c r="D40569" s="1">
        <v>4.5528080202265997E-6</v>
      </c>
      <c r="E40569" s="1">
        <v>4.3455399550671099E-6</v>
      </c>
      <c r="F40569" s="1">
        <v>2.0792393127845399E-5</v>
      </c>
    </row>
    <row r="40570" spans="1:6" x14ac:dyDescent="0.25">
      <c r="A40570" s="2" t="str">
        <f t="shared" si="1295"/>
        <v>99999</v>
      </c>
      <c r="B40570" s="2" t="str">
        <f>"62357"</f>
        <v>62357</v>
      </c>
      <c r="C40570" s="1">
        <v>9.9315725564675307E-6</v>
      </c>
      <c r="D40570" s="1">
        <v>3.0352053468177301E-6</v>
      </c>
      <c r="E40570" s="1">
        <v>8.69107991013423E-6</v>
      </c>
      <c r="F40570" s="1">
        <v>9.4510877853842998E-6</v>
      </c>
    </row>
    <row r="40571" spans="1:6" x14ac:dyDescent="0.25">
      <c r="A40571" s="2" t="str">
        <f t="shared" si="1295"/>
        <v>99999</v>
      </c>
      <c r="B40571" s="2" t="str">
        <f>"62217"</f>
        <v>62217</v>
      </c>
      <c r="C40571" s="1">
        <v>4.6601994303424599E-5</v>
      </c>
      <c r="D40571" s="1">
        <v>1.3658424060679801E-5</v>
      </c>
      <c r="E40571" s="1">
        <v>4.3455399550671099E-6</v>
      </c>
      <c r="F40571" s="1">
        <v>4.3475003812767701E-5</v>
      </c>
    </row>
    <row r="40572" spans="1:6" x14ac:dyDescent="0.25">
      <c r="A40572" s="2" t="str">
        <f t="shared" si="1295"/>
        <v>99999</v>
      </c>
      <c r="B40572" s="2" t="str">
        <f>"62214"</f>
        <v>62214</v>
      </c>
      <c r="C40572" s="1">
        <v>5.6860981339775603E-5</v>
      </c>
      <c r="D40572" s="1">
        <v>3.7940066835221703E-5</v>
      </c>
      <c r="E40572" s="1">
        <v>4.3455399550671099E-6</v>
      </c>
      <c r="F40572" s="1">
        <v>5.4418368616896901E-5</v>
      </c>
    </row>
    <row r="40573" spans="1:6" x14ac:dyDescent="0.25">
      <c r="A40573" s="2" t="str">
        <f t="shared" si="1295"/>
        <v>99999</v>
      </c>
      <c r="B40573" s="2" t="str">
        <f>"62086"</f>
        <v>62086</v>
      </c>
      <c r="C40573" s="1">
        <v>5.6751843179814504E-6</v>
      </c>
      <c r="D40573" s="1">
        <v>0</v>
      </c>
      <c r="E40573" s="1">
        <v>0</v>
      </c>
      <c r="F40573" s="1">
        <v>5.1732269983156102E-6</v>
      </c>
    </row>
    <row r="40574" spans="1:6" x14ac:dyDescent="0.25">
      <c r="A40574" s="2" t="str">
        <f t="shared" si="1295"/>
        <v>99999</v>
      </c>
      <c r="B40574" s="2" t="str">
        <f>"62092"</f>
        <v>62092</v>
      </c>
      <c r="C40574" s="1">
        <v>1.6490775970134499E-4</v>
      </c>
      <c r="D40574" s="1">
        <v>1.66936294074975E-4</v>
      </c>
      <c r="E40574" s="1">
        <v>6.5183099326006705E-5</v>
      </c>
      <c r="F40574" s="1">
        <v>1.62757680177775E-4</v>
      </c>
    </row>
    <row r="40575" spans="1:6" x14ac:dyDescent="0.25">
      <c r="A40575" s="2" t="str">
        <f t="shared" si="1295"/>
        <v>99999</v>
      </c>
      <c r="B40575" s="2" t="str">
        <f>"62297"</f>
        <v>62297</v>
      </c>
      <c r="C40575" s="1">
        <v>2.1063664872508E-5</v>
      </c>
      <c r="D40575" s="1">
        <v>9.1056160404532095E-6</v>
      </c>
      <c r="E40575" s="1">
        <v>4.3455399550671099E-6</v>
      </c>
      <c r="F40575" s="1">
        <v>1.98970269165985E-5</v>
      </c>
    </row>
    <row r="40576" spans="1:6" x14ac:dyDescent="0.25">
      <c r="A40576" s="2" t="str">
        <f t="shared" si="1295"/>
        <v>99999</v>
      </c>
      <c r="B40576" s="2" t="str">
        <f>"62288"</f>
        <v>62288</v>
      </c>
      <c r="C40576" s="1">
        <v>1.53229976585499E-4</v>
      </c>
      <c r="D40576" s="1">
        <v>1.79077115462246E-4</v>
      </c>
      <c r="E40576" s="1">
        <v>2.0424037788815399E-4</v>
      </c>
      <c r="F40576" s="1">
        <v>1.5609217616071501E-4</v>
      </c>
    </row>
    <row r="40577" spans="1:6" x14ac:dyDescent="0.25">
      <c r="A40577" s="2" t="str">
        <f t="shared" si="1295"/>
        <v>99999</v>
      </c>
      <c r="B40577" s="2" t="str">
        <f>"62049"</f>
        <v>62049</v>
      </c>
      <c r="C40577" s="1">
        <v>3.3854657219958498E-4</v>
      </c>
      <c r="D40577" s="1">
        <v>5.12949703612197E-4</v>
      </c>
      <c r="E40577" s="1">
        <v>3.7371643613577199E-4</v>
      </c>
      <c r="F40577" s="1">
        <v>3.5078458453963201E-4</v>
      </c>
    </row>
    <row r="40578" spans="1:6" x14ac:dyDescent="0.25">
      <c r="A40578" s="2" t="str">
        <f t="shared" si="1295"/>
        <v>99999</v>
      </c>
      <c r="B40578" s="2" t="str">
        <f>"62011"</f>
        <v>62011</v>
      </c>
      <c r="C40578" s="1">
        <v>1.6152447674254801E-5</v>
      </c>
      <c r="D40578" s="1">
        <v>6.0704106936354696E-6</v>
      </c>
      <c r="E40578" s="1">
        <v>4.3455399550671099E-6</v>
      </c>
      <c r="F40578" s="1">
        <v>1.52212255911978E-5</v>
      </c>
    </row>
    <row r="40579" spans="1:6" x14ac:dyDescent="0.25">
      <c r="A40579" s="2" t="str">
        <f t="shared" si="1295"/>
        <v>99999</v>
      </c>
      <c r="B40579" s="2" t="str">
        <f>"61953"</f>
        <v>61953</v>
      </c>
      <c r="C40579" s="1">
        <v>3.4171157883845999E-4</v>
      </c>
      <c r="D40579" s="1">
        <v>6.3435791748490695E-4</v>
      </c>
      <c r="E40579" s="1">
        <v>6.2141221357459703E-4</v>
      </c>
      <c r="F40579" s="1">
        <v>3.6729911688040799E-4</v>
      </c>
    </row>
    <row r="40580" spans="1:6" x14ac:dyDescent="0.25">
      <c r="A40580" s="2" t="str">
        <f t="shared" si="1295"/>
        <v>99999</v>
      </c>
      <c r="B40580" s="2" t="str">
        <f>"61951"</f>
        <v>61951</v>
      </c>
      <c r="C40580" s="1">
        <v>3.9169685610068099E-4</v>
      </c>
      <c r="D40580" s="1">
        <v>5.1446730628560604E-4</v>
      </c>
      <c r="E40580" s="1">
        <v>5.43192494383389E-4</v>
      </c>
      <c r="F40580" s="1">
        <v>4.0321325046486898E-4</v>
      </c>
    </row>
    <row r="40581" spans="1:6" x14ac:dyDescent="0.25">
      <c r="A40581" s="2" t="str">
        <f t="shared" si="1295"/>
        <v>99999</v>
      </c>
      <c r="B40581" s="2" t="str">
        <f>"61839"</f>
        <v>61839</v>
      </c>
      <c r="C40581" s="1">
        <v>2.1827631992236301E-7</v>
      </c>
      <c r="D40581" s="1">
        <v>0</v>
      </c>
      <c r="E40581" s="1">
        <v>0</v>
      </c>
      <c r="F40581" s="1">
        <v>1.9897026916598501E-7</v>
      </c>
    </row>
    <row r="40582" spans="1:6" x14ac:dyDescent="0.25">
      <c r="A40582" s="2" t="str">
        <f t="shared" si="1295"/>
        <v>99999</v>
      </c>
      <c r="B40582" s="2" t="str">
        <f>"61917"</f>
        <v>61917</v>
      </c>
      <c r="C40582" s="1">
        <v>2.72845399902954E-5</v>
      </c>
      <c r="D40582" s="1">
        <v>1.9728834754315301E-5</v>
      </c>
      <c r="E40582" s="1">
        <v>0</v>
      </c>
      <c r="F40582" s="1">
        <v>2.6164590395327E-5</v>
      </c>
    </row>
    <row r="40583" spans="1:6" x14ac:dyDescent="0.25">
      <c r="A40583" s="2" t="str">
        <f t="shared" si="1295"/>
        <v>99999</v>
      </c>
      <c r="B40583" s="2" t="str">
        <f>"61930"</f>
        <v>61930</v>
      </c>
      <c r="C40583" s="1">
        <v>2.4010395191459901E-5</v>
      </c>
      <c r="D40583" s="1">
        <v>1.5176026734088599E-5</v>
      </c>
      <c r="E40583" s="1">
        <v>0</v>
      </c>
      <c r="F40583" s="1">
        <v>2.28815809540883E-5</v>
      </c>
    </row>
    <row r="40584" spans="1:6" x14ac:dyDescent="0.25">
      <c r="A40584" s="2" t="str">
        <f t="shared" si="1295"/>
        <v>99999</v>
      </c>
      <c r="B40584" s="2" t="str">
        <f>"61745"</f>
        <v>61745</v>
      </c>
      <c r="C40584" s="1">
        <v>7.2031185574379897E-6</v>
      </c>
      <c r="D40584" s="1">
        <v>1.51760267340886E-6</v>
      </c>
      <c r="E40584" s="1">
        <v>0</v>
      </c>
      <c r="F40584" s="1">
        <v>6.6655040170604998E-6</v>
      </c>
    </row>
    <row r="40585" spans="1:6" x14ac:dyDescent="0.25">
      <c r="A40585" s="2" t="str">
        <f t="shared" si="1295"/>
        <v>99999</v>
      </c>
      <c r="B40585" s="2" t="str">
        <f>"61478"</f>
        <v>61478</v>
      </c>
      <c r="C40585" s="1">
        <v>1.6261585834216E-5</v>
      </c>
      <c r="D40585" s="1">
        <v>3.0352053468177301E-6</v>
      </c>
      <c r="E40585" s="1">
        <v>0</v>
      </c>
      <c r="F40585" s="1">
        <v>1.50222553220318E-5</v>
      </c>
    </row>
    <row r="40586" spans="1:6" x14ac:dyDescent="0.25">
      <c r="A40586" s="2" t="str">
        <f t="shared" si="1295"/>
        <v>99999</v>
      </c>
      <c r="B40586" s="2" t="str">
        <f>"61417"</f>
        <v>61417</v>
      </c>
      <c r="C40586" s="1">
        <v>1.5388480554526601E-5</v>
      </c>
      <c r="D40586" s="1">
        <v>3.0352053468177301E-6</v>
      </c>
      <c r="E40586" s="1">
        <v>8.69107991013423E-6</v>
      </c>
      <c r="F40586" s="1">
        <v>1.44253445145339E-5</v>
      </c>
    </row>
    <row r="40587" spans="1:6" x14ac:dyDescent="0.25">
      <c r="A40587" s="2" t="str">
        <f t="shared" si="1295"/>
        <v>99999</v>
      </c>
      <c r="B40587" s="2" t="str">
        <f>"61401"</f>
        <v>61401</v>
      </c>
      <c r="C40587" s="1">
        <v>1.5606756874448901E-5</v>
      </c>
      <c r="D40587" s="1">
        <v>7.5880133670443404E-6</v>
      </c>
      <c r="E40587" s="1">
        <v>0</v>
      </c>
      <c r="F40587" s="1">
        <v>1.4723799918282901E-5</v>
      </c>
    </row>
    <row r="40588" spans="1:6" x14ac:dyDescent="0.25">
      <c r="A40588" s="2" t="str">
        <f t="shared" si="1295"/>
        <v>99999</v>
      </c>
      <c r="B40588" s="2" t="str">
        <f>"61534"</f>
        <v>61534</v>
      </c>
      <c r="C40588" s="1">
        <v>1.09138159961181E-7</v>
      </c>
      <c r="D40588" s="1">
        <v>0</v>
      </c>
      <c r="E40588" s="1">
        <v>0</v>
      </c>
      <c r="F40588" s="1">
        <v>9.9485134582992598E-8</v>
      </c>
    </row>
    <row r="40589" spans="1:6" x14ac:dyDescent="0.25">
      <c r="A40589" s="2" t="str">
        <f t="shared" si="1295"/>
        <v>99999</v>
      </c>
      <c r="B40589" s="2" t="str">
        <f>"61087"</f>
        <v>61087</v>
      </c>
      <c r="C40589" s="1">
        <v>9.5386751806072798E-5</v>
      </c>
      <c r="D40589" s="1">
        <v>6.5256914956581297E-5</v>
      </c>
      <c r="E40589" s="1">
        <v>1.12984038831745E-4</v>
      </c>
      <c r="F40589" s="1">
        <v>9.3814481911761995E-5</v>
      </c>
    </row>
    <row r="40590" spans="1:6" x14ac:dyDescent="0.25">
      <c r="A40590" s="2" t="str">
        <f t="shared" si="1295"/>
        <v>99999</v>
      </c>
      <c r="B40590" s="2" t="str">
        <f>"61059"</f>
        <v>61059</v>
      </c>
      <c r="C40590" s="1">
        <v>0</v>
      </c>
      <c r="D40590" s="1">
        <v>0</v>
      </c>
      <c r="E40590" s="1">
        <v>4.3455399550671099E-6</v>
      </c>
      <c r="F40590" s="1">
        <v>9.9485134582992598E-8</v>
      </c>
    </row>
    <row r="40591" spans="1:6" x14ac:dyDescent="0.25">
      <c r="A40591" s="2" t="str">
        <f t="shared" si="1295"/>
        <v>99999</v>
      </c>
      <c r="B40591" s="2" t="str">
        <f>"61048"</f>
        <v>61048</v>
      </c>
      <c r="C40591" s="1">
        <v>4.2563882384860804E-6</v>
      </c>
      <c r="D40591" s="1">
        <v>1.51760267340886E-6</v>
      </c>
      <c r="E40591" s="1">
        <v>0</v>
      </c>
      <c r="F40591" s="1">
        <v>3.9794053833197E-6</v>
      </c>
    </row>
    <row r="40592" spans="1:6" x14ac:dyDescent="0.25">
      <c r="A40592" s="2" t="str">
        <f t="shared" si="1295"/>
        <v>99999</v>
      </c>
      <c r="B40592" s="2" t="str">
        <f>"61044"</f>
        <v>61044</v>
      </c>
      <c r="C40592" s="1">
        <v>3.3832829587966299E-6</v>
      </c>
      <c r="D40592" s="1">
        <v>1.51760267340886E-6</v>
      </c>
      <c r="E40592" s="1">
        <v>0</v>
      </c>
      <c r="F40592" s="1">
        <v>3.1835243066557602E-6</v>
      </c>
    </row>
    <row r="40593" spans="1:6" x14ac:dyDescent="0.25">
      <c r="A40593" s="2" t="str">
        <f t="shared" si="1295"/>
        <v>99999</v>
      </c>
      <c r="B40593" s="2" t="str">
        <f>"61041"</f>
        <v>61041</v>
      </c>
      <c r="C40593" s="1">
        <v>8.8292771408596005E-5</v>
      </c>
      <c r="D40593" s="1">
        <v>5.0080888222492601E-5</v>
      </c>
      <c r="E40593" s="1">
        <v>1.08638498876677E-4</v>
      </c>
      <c r="F40593" s="1">
        <v>8.6253611683454595E-5</v>
      </c>
    </row>
    <row r="40594" spans="1:6" x14ac:dyDescent="0.25">
      <c r="A40594" s="2" t="str">
        <f t="shared" ref="A40594:A40657" si="1296">"99999"</f>
        <v>99999</v>
      </c>
      <c r="B40594" s="2" t="str">
        <f>"61025"</f>
        <v>61025</v>
      </c>
      <c r="C40594" s="1">
        <v>2.4697965599215402E-4</v>
      </c>
      <c r="D40594" s="1">
        <v>2.30675606358148E-4</v>
      </c>
      <c r="E40594" s="1">
        <v>2.4335023748375801E-4</v>
      </c>
      <c r="F40594" s="1">
        <v>2.4582776755457399E-4</v>
      </c>
    </row>
    <row r="40595" spans="1:6" x14ac:dyDescent="0.25">
      <c r="A40595" s="2" t="str">
        <f t="shared" si="1296"/>
        <v>99999</v>
      </c>
      <c r="B40595" s="2" t="str">
        <f>"60974"</f>
        <v>60974</v>
      </c>
      <c r="C40595" s="1">
        <v>7.63967119728272E-7</v>
      </c>
      <c r="D40595" s="1">
        <v>1.51760267340886E-6</v>
      </c>
      <c r="E40595" s="1">
        <v>4.3455399550671099E-6</v>
      </c>
      <c r="F40595" s="1">
        <v>8.9536621124693305E-7</v>
      </c>
    </row>
    <row r="40596" spans="1:6" x14ac:dyDescent="0.25">
      <c r="A40596" s="2" t="str">
        <f t="shared" si="1296"/>
        <v>99999</v>
      </c>
      <c r="B40596" s="2" t="str">
        <f>"60926"</f>
        <v>60926</v>
      </c>
      <c r="C40596" s="1">
        <v>2.8375921589907201E-6</v>
      </c>
      <c r="D40596" s="1">
        <v>3.0352053468177301E-6</v>
      </c>
      <c r="E40596" s="1">
        <v>0</v>
      </c>
      <c r="F40596" s="1">
        <v>2.7855837683237898E-6</v>
      </c>
    </row>
    <row r="40597" spans="1:6" x14ac:dyDescent="0.25">
      <c r="A40597" s="2" t="str">
        <f t="shared" si="1296"/>
        <v>99999</v>
      </c>
      <c r="B40597" s="2" t="str">
        <f>"60953"</f>
        <v>60953</v>
      </c>
      <c r="C40597" s="1">
        <v>1.2616371291512601E-4</v>
      </c>
      <c r="D40597" s="1">
        <v>1.39619445953615E-4</v>
      </c>
      <c r="E40597" s="1">
        <v>2.0424037788815399E-3</v>
      </c>
      <c r="F40597" s="1">
        <v>1.70915461213581E-4</v>
      </c>
    </row>
    <row r="40598" spans="1:6" x14ac:dyDescent="0.25">
      <c r="A40598" s="2" t="str">
        <f t="shared" si="1296"/>
        <v>99999</v>
      </c>
      <c r="B40598" s="2" t="str">
        <f>"60924"</f>
        <v>60924</v>
      </c>
      <c r="C40598" s="1">
        <v>8.0762238371274403E-5</v>
      </c>
      <c r="D40598" s="1">
        <v>3.7940066835221703E-5</v>
      </c>
      <c r="E40598" s="1">
        <v>1.08638498876677E-4</v>
      </c>
      <c r="F40598" s="1">
        <v>7.8593256320564096E-5</v>
      </c>
    </row>
    <row r="40599" spans="1:6" x14ac:dyDescent="0.25">
      <c r="A40599" s="2" t="str">
        <f t="shared" si="1296"/>
        <v>99999</v>
      </c>
      <c r="B40599" s="2" t="str">
        <f>"18843"</f>
        <v>18843</v>
      </c>
      <c r="C40599" s="1">
        <v>1.09138159961181E-7</v>
      </c>
      <c r="D40599" s="1">
        <v>1.51760267340886E-6</v>
      </c>
      <c r="E40599" s="1">
        <v>0</v>
      </c>
      <c r="F40599" s="1">
        <v>1.9897026916598501E-7</v>
      </c>
    </row>
    <row r="40600" spans="1:6" x14ac:dyDescent="0.25">
      <c r="A40600" s="2" t="str">
        <f t="shared" si="1296"/>
        <v>99999</v>
      </c>
      <c r="B40600" s="2" t="str">
        <f>"18816"</f>
        <v>18816</v>
      </c>
      <c r="C40600" s="1">
        <v>1.09138159961181E-7</v>
      </c>
      <c r="D40600" s="1">
        <v>1.51760267340886E-6</v>
      </c>
      <c r="E40600" s="1">
        <v>0</v>
      </c>
      <c r="F40600" s="1">
        <v>1.9897026916598501E-7</v>
      </c>
    </row>
    <row r="40601" spans="1:6" x14ac:dyDescent="0.25">
      <c r="A40601" s="2" t="str">
        <f t="shared" si="1296"/>
        <v>99999</v>
      </c>
      <c r="B40601" s="2" t="str">
        <f>"18827"</f>
        <v>18827</v>
      </c>
      <c r="C40601" s="1">
        <v>0</v>
      </c>
      <c r="D40601" s="1">
        <v>1.51760267340886E-6</v>
      </c>
      <c r="E40601" s="1">
        <v>0</v>
      </c>
      <c r="F40601" s="1">
        <v>9.9485134582992598E-8</v>
      </c>
    </row>
    <row r="40602" spans="1:6" x14ac:dyDescent="0.25">
      <c r="A40602" s="2" t="str">
        <f t="shared" si="1296"/>
        <v>99999</v>
      </c>
      <c r="B40602" s="2" t="str">
        <f>"18829"</f>
        <v>18829</v>
      </c>
      <c r="C40602" s="1">
        <v>1.20051975957299E-6</v>
      </c>
      <c r="D40602" s="1">
        <v>0</v>
      </c>
      <c r="E40602" s="1">
        <v>0</v>
      </c>
      <c r="F40602" s="1">
        <v>1.09433648041291E-6</v>
      </c>
    </row>
    <row r="40603" spans="1:6" x14ac:dyDescent="0.25">
      <c r="A40603" s="2" t="str">
        <f t="shared" si="1296"/>
        <v>99999</v>
      </c>
      <c r="B40603" s="2" t="str">
        <f>"18828"</f>
        <v>18828</v>
      </c>
      <c r="C40603" s="1">
        <v>1.6479862154138401E-5</v>
      </c>
      <c r="D40603" s="1">
        <v>1.0623218713862E-5</v>
      </c>
      <c r="E40603" s="1">
        <v>4.3455399550671103E-5</v>
      </c>
      <c r="F40603" s="1">
        <v>1.67135026099427E-5</v>
      </c>
    </row>
    <row r="40604" spans="1:6" x14ac:dyDescent="0.25">
      <c r="A40604" s="2" t="str">
        <f t="shared" si="1296"/>
        <v>99999</v>
      </c>
      <c r="B40604" s="2" t="str">
        <f>"18426"</f>
        <v>18426</v>
      </c>
      <c r="C40604" s="1">
        <v>3.2741447988354498E-7</v>
      </c>
      <c r="D40604" s="1">
        <v>0</v>
      </c>
      <c r="E40604" s="1">
        <v>0</v>
      </c>
      <c r="F40604" s="1">
        <v>2.9845540374897701E-7</v>
      </c>
    </row>
    <row r="40605" spans="1:6" x14ac:dyDescent="0.25">
      <c r="A40605" s="2" t="str">
        <f t="shared" si="1296"/>
        <v>99999</v>
      </c>
      <c r="B40605" s="2" t="str">
        <f>"18444"</f>
        <v>18444</v>
      </c>
      <c r="C40605" s="1">
        <v>7.5741883013060097E-5</v>
      </c>
      <c r="D40605" s="1">
        <v>1.21408213872709E-5</v>
      </c>
      <c r="E40605" s="1">
        <v>7.3874179236140894E-5</v>
      </c>
      <c r="F40605" s="1">
        <v>7.1529811765171696E-5</v>
      </c>
    </row>
    <row r="40606" spans="1:6" x14ac:dyDescent="0.25">
      <c r="A40606" s="2" t="str">
        <f t="shared" si="1296"/>
        <v>99999</v>
      </c>
      <c r="B40606" s="2" t="str">
        <f>"18439"</f>
        <v>18439</v>
      </c>
      <c r="C40606" s="1">
        <v>2.9139888709635502E-5</v>
      </c>
      <c r="D40606" s="1">
        <v>3.0352053468177301E-5</v>
      </c>
      <c r="E40606" s="1">
        <v>8.69107991013423E-6</v>
      </c>
      <c r="F40606" s="1">
        <v>2.8751203894484799E-5</v>
      </c>
    </row>
    <row r="40607" spans="1:6" x14ac:dyDescent="0.25">
      <c r="A40607" s="2" t="str">
        <f t="shared" si="1296"/>
        <v>99999</v>
      </c>
      <c r="B40607" s="2" t="str">
        <f>"18405"</f>
        <v>18405</v>
      </c>
      <c r="C40607" s="1">
        <v>1.16777831158464E-4</v>
      </c>
      <c r="D40607" s="1">
        <v>4.7045682875674899E-5</v>
      </c>
      <c r="E40607" s="1">
        <v>7.8219719191208097E-5</v>
      </c>
      <c r="F40607" s="1">
        <v>1.11323865598368E-4</v>
      </c>
    </row>
    <row r="40608" spans="1:6" x14ac:dyDescent="0.25">
      <c r="A40608" s="2" t="str">
        <f t="shared" si="1296"/>
        <v>99999</v>
      </c>
      <c r="B40608" s="2" t="str">
        <f>"18628"</f>
        <v>18628</v>
      </c>
      <c r="C40608" s="1">
        <v>1.0258987036351001E-5</v>
      </c>
      <c r="D40608" s="1">
        <v>3.0352053468177301E-6</v>
      </c>
      <c r="E40608" s="1">
        <v>0</v>
      </c>
      <c r="F40608" s="1">
        <v>9.5505729199672898E-6</v>
      </c>
    </row>
    <row r="40609" spans="1:6" x14ac:dyDescent="0.25">
      <c r="A40609" s="2" t="str">
        <f t="shared" si="1296"/>
        <v>99999</v>
      </c>
      <c r="B40609" s="2" t="str">
        <f>"18616"</f>
        <v>18616</v>
      </c>
      <c r="C40609" s="1">
        <v>3.74343888666853E-5</v>
      </c>
      <c r="D40609" s="1">
        <v>3.0352053468177301E-5</v>
      </c>
      <c r="E40609" s="1">
        <v>0</v>
      </c>
      <c r="F40609" s="1">
        <v>3.6113103853626299E-5</v>
      </c>
    </row>
    <row r="40610" spans="1:6" x14ac:dyDescent="0.25">
      <c r="A40610" s="2" t="str">
        <f t="shared" si="1296"/>
        <v>99999</v>
      </c>
      <c r="B40610" s="2" t="str">
        <f>"18473"</f>
        <v>18473</v>
      </c>
      <c r="C40610" s="1">
        <v>9.8224343965063504E-7</v>
      </c>
      <c r="D40610" s="1">
        <v>3.0352053468177301E-6</v>
      </c>
      <c r="E40610" s="1">
        <v>0</v>
      </c>
      <c r="F40610" s="1">
        <v>1.09433648041291E-6</v>
      </c>
    </row>
    <row r="40611" spans="1:6" x14ac:dyDescent="0.25">
      <c r="A40611" s="2" t="str">
        <f t="shared" si="1296"/>
        <v>99999</v>
      </c>
      <c r="B40611" s="2" t="str">
        <f>"17729"</f>
        <v>17729</v>
      </c>
      <c r="C40611" s="1">
        <v>2.1827631992236299E-6</v>
      </c>
      <c r="D40611" s="1">
        <v>9.1056160404532095E-6</v>
      </c>
      <c r="E40611" s="1">
        <v>0</v>
      </c>
      <c r="F40611" s="1">
        <v>2.5866134991578E-6</v>
      </c>
    </row>
    <row r="40612" spans="1:6" x14ac:dyDescent="0.25">
      <c r="A40612" s="2" t="str">
        <f t="shared" si="1296"/>
        <v>99999</v>
      </c>
      <c r="B40612" s="2" t="str">
        <f>"17731"</f>
        <v>17731</v>
      </c>
      <c r="C40612" s="1">
        <v>6.5482895976708995E-7</v>
      </c>
      <c r="D40612" s="1">
        <v>1.51760267340886E-6</v>
      </c>
      <c r="E40612" s="1">
        <v>0</v>
      </c>
      <c r="F40612" s="1">
        <v>6.9639594208094799E-7</v>
      </c>
    </row>
    <row r="40613" spans="1:6" x14ac:dyDescent="0.25">
      <c r="A40613" s="2" t="str">
        <f t="shared" si="1296"/>
        <v>99999</v>
      </c>
      <c r="B40613" s="2" t="str">
        <f>"17094"</f>
        <v>17094</v>
      </c>
      <c r="C40613" s="1">
        <v>1.12084890280133E-4</v>
      </c>
      <c r="D40613" s="1">
        <v>5.3116093569310399E-5</v>
      </c>
      <c r="E40613" s="1">
        <v>1.0429295892161E-4</v>
      </c>
      <c r="F40613" s="1">
        <v>1.0804085615713E-4</v>
      </c>
    </row>
    <row r="40614" spans="1:6" x14ac:dyDescent="0.25">
      <c r="A40614" s="2" t="str">
        <f t="shared" si="1296"/>
        <v>99999</v>
      </c>
      <c r="B40614" s="2" t="str">
        <f>"17049"</f>
        <v>17049</v>
      </c>
      <c r="C40614" s="1">
        <v>1.39915121070234E-4</v>
      </c>
      <c r="D40614" s="1">
        <v>7.2844928323625703E-5</v>
      </c>
      <c r="E40614" s="1">
        <v>1.21675118741879E-4</v>
      </c>
      <c r="F40614" s="1">
        <v>1.35100812763704E-4</v>
      </c>
    </row>
    <row r="40615" spans="1:6" x14ac:dyDescent="0.25">
      <c r="A40615" s="2" t="str">
        <f t="shared" si="1296"/>
        <v>99999</v>
      </c>
      <c r="B40615" s="2" t="str">
        <f>"17228"</f>
        <v>17228</v>
      </c>
      <c r="C40615" s="1">
        <v>6.0680816938417001E-5</v>
      </c>
      <c r="D40615" s="1">
        <v>1.9728834754315301E-5</v>
      </c>
      <c r="E40615" s="1">
        <v>2.60732397304027E-5</v>
      </c>
      <c r="F40615" s="1">
        <v>5.7203952385220703E-5</v>
      </c>
    </row>
    <row r="40616" spans="1:6" x14ac:dyDescent="0.25">
      <c r="A40616" s="2" t="str">
        <f t="shared" si="1296"/>
        <v>99999</v>
      </c>
      <c r="B40616" s="2" t="str">
        <f>"17223"</f>
        <v>17223</v>
      </c>
      <c r="C40616" s="1">
        <v>1.6916414793983099E-5</v>
      </c>
      <c r="D40616" s="1">
        <v>1.9728834754315301E-5</v>
      </c>
      <c r="E40616" s="1">
        <v>8.69107991013423E-6</v>
      </c>
      <c r="F40616" s="1">
        <v>1.69124728791087E-5</v>
      </c>
    </row>
    <row r="40617" spans="1:6" x14ac:dyDescent="0.25">
      <c r="A40617" s="2" t="str">
        <f t="shared" si="1296"/>
        <v>99999</v>
      </c>
      <c r="B40617" s="2" t="str">
        <f>"17233"</f>
        <v>17233</v>
      </c>
      <c r="C40617" s="1">
        <v>2.7557385390198302E-4</v>
      </c>
      <c r="D40617" s="1">
        <v>4.46175185982207E-4</v>
      </c>
      <c r="E40617" s="1">
        <v>3.8240751604590601E-4</v>
      </c>
      <c r="F40617" s="1">
        <v>2.8920328623275899E-4</v>
      </c>
    </row>
    <row r="40618" spans="1:6" x14ac:dyDescent="0.25">
      <c r="A40618" s="2" t="str">
        <f t="shared" si="1296"/>
        <v>99999</v>
      </c>
      <c r="B40618" s="2" t="str">
        <f>"16746"</f>
        <v>16746</v>
      </c>
      <c r="C40618" s="1">
        <v>6.0462540618494597E-5</v>
      </c>
      <c r="D40618" s="1">
        <v>2.88344507947685E-5</v>
      </c>
      <c r="E40618" s="1">
        <v>4.3455399550671099E-6</v>
      </c>
      <c r="F40618" s="1">
        <v>5.7104467250637698E-5</v>
      </c>
    </row>
    <row r="40619" spans="1:6" x14ac:dyDescent="0.25">
      <c r="A40619" s="2" t="str">
        <f t="shared" si="1296"/>
        <v>99999</v>
      </c>
      <c r="B40619" s="2" t="str">
        <f>"16650"</f>
        <v>16650</v>
      </c>
      <c r="C40619" s="1">
        <v>9.5823304445917499E-5</v>
      </c>
      <c r="D40619" s="1">
        <v>4.0975272182039399E-5</v>
      </c>
      <c r="E40619" s="1">
        <v>8.69107991013423E-6</v>
      </c>
      <c r="F40619" s="1">
        <v>9.0233017066774306E-5</v>
      </c>
    </row>
    <row r="40620" spans="1:6" x14ac:dyDescent="0.25">
      <c r="A40620" s="2" t="str">
        <f t="shared" si="1296"/>
        <v>99999</v>
      </c>
      <c r="B40620" s="2" t="str">
        <f>"17021"</f>
        <v>17021</v>
      </c>
      <c r="C40620" s="1">
        <v>4.6929408783308097E-5</v>
      </c>
      <c r="D40620" s="1">
        <v>7.5880133670443404E-6</v>
      </c>
      <c r="E40620" s="1">
        <v>8.69107991013423E-6</v>
      </c>
      <c r="F40620" s="1">
        <v>4.3475003812767701E-5</v>
      </c>
    </row>
    <row r="40621" spans="1:6" x14ac:dyDescent="0.25">
      <c r="A40621" s="2" t="str">
        <f t="shared" si="1296"/>
        <v>99999</v>
      </c>
      <c r="B40621" s="2" t="str">
        <f>"16932"</f>
        <v>16932</v>
      </c>
      <c r="C40621" s="1">
        <v>3.3287138788160402E-5</v>
      </c>
      <c r="D40621" s="1">
        <v>1.3658424060679801E-5</v>
      </c>
      <c r="E40621" s="1">
        <v>8.69107991013423E-6</v>
      </c>
      <c r="F40621" s="1">
        <v>3.1437302528225599E-5</v>
      </c>
    </row>
    <row r="40622" spans="1:6" x14ac:dyDescent="0.25">
      <c r="A40622" s="2" t="str">
        <f t="shared" si="1296"/>
        <v>99999</v>
      </c>
      <c r="B40622" s="2" t="str">
        <f>"16915"</f>
        <v>16915</v>
      </c>
      <c r="C40622" s="1">
        <v>3.2916069044292402E-4</v>
      </c>
      <c r="D40622" s="1">
        <v>5.2053771697924199E-4</v>
      </c>
      <c r="E40622" s="1">
        <v>4.9104601492258398E-4</v>
      </c>
      <c r="F40622" s="1">
        <v>3.4541238727215002E-4</v>
      </c>
    </row>
    <row r="40623" spans="1:6" x14ac:dyDescent="0.25">
      <c r="A40623" s="2" t="str">
        <f t="shared" si="1296"/>
        <v>99999</v>
      </c>
      <c r="B40623" s="2" t="str">
        <f>"16233"</f>
        <v>16233</v>
      </c>
      <c r="C40623" s="1">
        <v>5.1076658861833002E-5</v>
      </c>
      <c r="D40623" s="1">
        <v>9.1056160404532095E-6</v>
      </c>
      <c r="E40623" s="1">
        <v>1.3036619865201299E-5</v>
      </c>
      <c r="F40623" s="1">
        <v>4.7454409196087398E-5</v>
      </c>
    </row>
    <row r="40624" spans="1:6" x14ac:dyDescent="0.25">
      <c r="A40624" s="2" t="str">
        <f t="shared" si="1296"/>
        <v>99999</v>
      </c>
      <c r="B40624" s="2" t="str">
        <f>"16373"</f>
        <v>16373</v>
      </c>
      <c r="C40624" s="1">
        <v>3.8416632306335898E-5</v>
      </c>
      <c r="D40624" s="1">
        <v>1.5176026734088599E-5</v>
      </c>
      <c r="E40624" s="1">
        <v>0</v>
      </c>
      <c r="F40624" s="1">
        <v>3.60136187190433E-5</v>
      </c>
    </row>
    <row r="40625" spans="1:6" x14ac:dyDescent="0.25">
      <c r="A40625" s="2" t="str">
        <f t="shared" si="1296"/>
        <v>99999</v>
      </c>
      <c r="B40625" s="2" t="str">
        <f>"15764"</f>
        <v>15764</v>
      </c>
      <c r="C40625" s="1">
        <v>5.7843224779426299E-6</v>
      </c>
      <c r="D40625" s="1">
        <v>1.66936294074975E-5</v>
      </c>
      <c r="E40625" s="1">
        <v>0</v>
      </c>
      <c r="F40625" s="1">
        <v>6.3670486133115203E-6</v>
      </c>
    </row>
    <row r="40626" spans="1:6" x14ac:dyDescent="0.25">
      <c r="A40626" s="2" t="str">
        <f t="shared" si="1296"/>
        <v>99999</v>
      </c>
      <c r="B40626" s="2" t="str">
        <f>"15763"</f>
        <v>15763</v>
      </c>
      <c r="C40626" s="1">
        <v>1.09138159961181E-7</v>
      </c>
      <c r="D40626" s="1">
        <v>0</v>
      </c>
      <c r="E40626" s="1">
        <v>0</v>
      </c>
      <c r="F40626" s="1">
        <v>9.9485134582992598E-8</v>
      </c>
    </row>
    <row r="40627" spans="1:6" x14ac:dyDescent="0.25">
      <c r="A40627" s="2" t="str">
        <f t="shared" si="1296"/>
        <v>99999</v>
      </c>
      <c r="B40627" s="2" t="str">
        <f>"15781"</f>
        <v>15781</v>
      </c>
      <c r="C40627" s="1">
        <v>0</v>
      </c>
      <c r="D40627" s="1">
        <v>1.51760267340886E-6</v>
      </c>
      <c r="E40627" s="1">
        <v>0</v>
      </c>
      <c r="F40627" s="1">
        <v>9.9485134582992598E-8</v>
      </c>
    </row>
    <row r="40628" spans="1:6" x14ac:dyDescent="0.25">
      <c r="A40628" s="2" t="str">
        <f t="shared" si="1296"/>
        <v>99999</v>
      </c>
      <c r="B40628" s="2" t="str">
        <f>"15860"</f>
        <v>15860</v>
      </c>
      <c r="C40628" s="1">
        <v>5.88254682190769E-5</v>
      </c>
      <c r="D40628" s="1">
        <v>2.88344507947685E-5</v>
      </c>
      <c r="E40628" s="1">
        <v>0</v>
      </c>
      <c r="F40628" s="1">
        <v>5.5512705097309803E-5</v>
      </c>
    </row>
    <row r="40629" spans="1:6" x14ac:dyDescent="0.25">
      <c r="A40629" s="2" t="str">
        <f t="shared" si="1296"/>
        <v>99999</v>
      </c>
      <c r="B40629" s="2" t="str">
        <f>"15545"</f>
        <v>15545</v>
      </c>
      <c r="C40629" s="1">
        <v>9.3313126766810298E-5</v>
      </c>
      <c r="D40629" s="1">
        <v>2.2764040101133E-5</v>
      </c>
      <c r="E40629" s="1">
        <v>1.82512678112818E-4</v>
      </c>
      <c r="F40629" s="1">
        <v>9.0730442739689197E-5</v>
      </c>
    </row>
    <row r="40630" spans="1:6" x14ac:dyDescent="0.25">
      <c r="A40630" s="2" t="str">
        <f t="shared" si="1296"/>
        <v>99999</v>
      </c>
      <c r="B40630" s="2" t="str">
        <f>"15534"</f>
        <v>15534</v>
      </c>
      <c r="C40630" s="1">
        <v>4.24547442248996E-5</v>
      </c>
      <c r="D40630" s="1">
        <v>4.5528080202265997E-6</v>
      </c>
      <c r="E40630" s="1">
        <v>0</v>
      </c>
      <c r="F40630" s="1">
        <v>3.89981727565331E-5</v>
      </c>
    </row>
    <row r="40631" spans="1:6" x14ac:dyDescent="0.25">
      <c r="A40631" s="2" t="str">
        <f t="shared" si="1296"/>
        <v>99999</v>
      </c>
      <c r="B40631" s="2" t="str">
        <f>"14878"</f>
        <v>14878</v>
      </c>
      <c r="C40631" s="1">
        <v>2.7939368950062499E-5</v>
      </c>
      <c r="D40631" s="1">
        <v>1.66936294074975E-5</v>
      </c>
      <c r="E40631" s="1">
        <v>1.3036619865201299E-5</v>
      </c>
      <c r="F40631" s="1">
        <v>2.6860986337408E-5</v>
      </c>
    </row>
    <row r="40632" spans="1:6" x14ac:dyDescent="0.25">
      <c r="A40632" s="2" t="str">
        <f t="shared" si="1296"/>
        <v>99999</v>
      </c>
      <c r="B40632" s="2" t="str">
        <f>"14895"</f>
        <v>14895</v>
      </c>
      <c r="C40632" s="1">
        <v>5.2047988485487504E-4</v>
      </c>
      <c r="D40632" s="1">
        <v>7.1479085917557702E-4</v>
      </c>
      <c r="E40632" s="1">
        <v>1.1081126885421099E-3</v>
      </c>
      <c r="F40632" s="1">
        <v>5.4667081453354399E-4</v>
      </c>
    </row>
    <row r="40633" spans="1:6" x14ac:dyDescent="0.25">
      <c r="A40633" s="2" t="str">
        <f t="shared" si="1296"/>
        <v>99999</v>
      </c>
      <c r="B40633" s="2" t="str">
        <f>"14591"</f>
        <v>14591</v>
      </c>
      <c r="C40633" s="1">
        <v>7.0503251334923399E-5</v>
      </c>
      <c r="D40633" s="1">
        <v>4.0975272182039399E-5</v>
      </c>
      <c r="E40633" s="1">
        <v>1.7382159820268399E-5</v>
      </c>
      <c r="F40633" s="1">
        <v>6.7351436112686003E-5</v>
      </c>
    </row>
    <row r="40634" spans="1:6" x14ac:dyDescent="0.25">
      <c r="A40634" s="2" t="str">
        <f t="shared" si="1296"/>
        <v>99999</v>
      </c>
      <c r="B40634" s="2" t="str">
        <f>"14739"</f>
        <v>14739</v>
      </c>
      <c r="C40634" s="1">
        <v>1.4930100282689601E-4</v>
      </c>
      <c r="D40634" s="1">
        <v>3.1869656141586203E-5</v>
      </c>
      <c r="E40634" s="1">
        <v>1.30366198652013E-4</v>
      </c>
      <c r="F40634" s="1">
        <v>1.4116940597326601E-4</v>
      </c>
    </row>
    <row r="40635" spans="1:6" x14ac:dyDescent="0.25">
      <c r="A40635" s="2" t="str">
        <f t="shared" si="1296"/>
        <v>99999</v>
      </c>
      <c r="B40635" s="2" t="str">
        <f>"14804"</f>
        <v>14804</v>
      </c>
      <c r="C40635" s="1">
        <v>5.5114770780396697E-5</v>
      </c>
      <c r="D40635" s="1">
        <v>1.66936294074975E-5</v>
      </c>
      <c r="E40635" s="1">
        <v>2.6942347721416101E-4</v>
      </c>
      <c r="F40635" s="1">
        <v>5.7502407788969699E-5</v>
      </c>
    </row>
    <row r="40636" spans="1:6" x14ac:dyDescent="0.25">
      <c r="A40636" s="2" t="str">
        <f t="shared" si="1296"/>
        <v>99999</v>
      </c>
      <c r="B40636" s="2" t="str">
        <f>"14550"</f>
        <v>14550</v>
      </c>
      <c r="C40636" s="1">
        <v>8.1526205491002705E-5</v>
      </c>
      <c r="D40636" s="1">
        <v>3.3387258814995101E-5</v>
      </c>
      <c r="E40636" s="1">
        <v>3.9109859595604001E-5</v>
      </c>
      <c r="F40636" s="1">
        <v>7.7399434705568195E-5</v>
      </c>
    </row>
    <row r="40637" spans="1:6" x14ac:dyDescent="0.25">
      <c r="A40637" s="2" t="str">
        <f t="shared" si="1296"/>
        <v>99999</v>
      </c>
      <c r="B40637" s="2" t="str">
        <f>"14549"</f>
        <v>14549</v>
      </c>
      <c r="C40637" s="1">
        <v>2.41195333514211E-5</v>
      </c>
      <c r="D40637" s="1">
        <v>0</v>
      </c>
      <c r="E40637" s="1">
        <v>8.69107991013423E-6</v>
      </c>
      <c r="F40637" s="1">
        <v>2.21851850120073E-5</v>
      </c>
    </row>
    <row r="40638" spans="1:6" x14ac:dyDescent="0.25">
      <c r="A40638" s="2" t="str">
        <f t="shared" si="1296"/>
        <v>99999</v>
      </c>
      <c r="B40638" s="2" t="str">
        <f>"14145"</f>
        <v>14145</v>
      </c>
      <c r="C40638" s="1">
        <v>6.4282376217135996E-5</v>
      </c>
      <c r="D40638" s="1">
        <v>4.0975272182039399E-5</v>
      </c>
      <c r="E40638" s="1">
        <v>4.7800939505738197E-5</v>
      </c>
      <c r="F40638" s="1">
        <v>6.2377179383536294E-5</v>
      </c>
    </row>
    <row r="40639" spans="1:6" x14ac:dyDescent="0.25">
      <c r="A40639" s="2" t="str">
        <f t="shared" si="1296"/>
        <v>99999</v>
      </c>
      <c r="B40639" s="2" t="str">
        <f>"14054"</f>
        <v>14054</v>
      </c>
      <c r="C40639" s="1">
        <v>1.6370723994177199E-6</v>
      </c>
      <c r="D40639" s="1">
        <v>1.51760267340886E-6</v>
      </c>
      <c r="E40639" s="1">
        <v>0</v>
      </c>
      <c r="F40639" s="1">
        <v>1.5917621533278801E-6</v>
      </c>
    </row>
    <row r="40640" spans="1:6" x14ac:dyDescent="0.25">
      <c r="A40640" s="2" t="str">
        <f t="shared" si="1296"/>
        <v>99999</v>
      </c>
      <c r="B40640" s="2" t="str">
        <f>"13648"</f>
        <v>13648</v>
      </c>
      <c r="C40640" s="1">
        <v>6.0899093258339399E-5</v>
      </c>
      <c r="D40640" s="1">
        <v>1.5176026734088599E-5</v>
      </c>
      <c r="E40640" s="1">
        <v>5.6492019415872502E-5</v>
      </c>
      <c r="F40640" s="1">
        <v>5.7800863192718701E-5</v>
      </c>
    </row>
    <row r="40641" spans="1:6" x14ac:dyDescent="0.25">
      <c r="A40641" s="2" t="str">
        <f t="shared" si="1296"/>
        <v>99999</v>
      </c>
      <c r="B40641" s="2" t="str">
        <f>"13601"</f>
        <v>13601</v>
      </c>
      <c r="C40641" s="1">
        <v>3.27414479883545E-6</v>
      </c>
      <c r="D40641" s="1">
        <v>1.51760267340886E-6</v>
      </c>
      <c r="E40641" s="1">
        <v>0</v>
      </c>
      <c r="F40641" s="1">
        <v>3.0840391720727701E-6</v>
      </c>
    </row>
    <row r="40642" spans="1:6" x14ac:dyDescent="0.25">
      <c r="A40642" s="2" t="str">
        <f t="shared" si="1296"/>
        <v>99999</v>
      </c>
      <c r="B40642" s="2" t="str">
        <f>"13754"</f>
        <v>13754</v>
      </c>
      <c r="C40642" s="1">
        <v>7.6614988292749499E-5</v>
      </c>
      <c r="D40642" s="1">
        <v>9.4091365751349906E-5</v>
      </c>
      <c r="E40642" s="1">
        <v>7.8219719191208097E-5</v>
      </c>
      <c r="F40642" s="1">
        <v>7.7797375243900203E-5</v>
      </c>
    </row>
    <row r="40643" spans="1:6" x14ac:dyDescent="0.25">
      <c r="A40643" s="2" t="str">
        <f t="shared" si="1296"/>
        <v>99999</v>
      </c>
      <c r="B40643" s="2" t="str">
        <f>"13755"</f>
        <v>13755</v>
      </c>
      <c r="C40643" s="1">
        <v>4.0162842865714797E-5</v>
      </c>
      <c r="D40643" s="1">
        <v>1.9728834754315301E-5</v>
      </c>
      <c r="E40643" s="1">
        <v>1.3036619865201299E-5</v>
      </c>
      <c r="F40643" s="1">
        <v>3.8202291679869098E-5</v>
      </c>
    </row>
    <row r="40644" spans="1:6" x14ac:dyDescent="0.25">
      <c r="A40644" s="2" t="str">
        <f t="shared" si="1296"/>
        <v>99999</v>
      </c>
      <c r="B40644" s="2" t="str">
        <f>"13753"</f>
        <v>13753</v>
      </c>
      <c r="C40644" s="1">
        <v>2.3562928735619101E-4</v>
      </c>
      <c r="D40644" s="1">
        <v>3.2476697210949797E-4</v>
      </c>
      <c r="E40644" s="1">
        <v>4.3455399550671099E-4</v>
      </c>
      <c r="F40644" s="1">
        <v>2.4602673782373998E-4</v>
      </c>
    </row>
    <row r="40645" spans="1:6" x14ac:dyDescent="0.25">
      <c r="A40645" s="2" t="str">
        <f t="shared" si="1296"/>
        <v>99999</v>
      </c>
      <c r="B40645" s="2" t="str">
        <f>"13746"</f>
        <v>13746</v>
      </c>
      <c r="C40645" s="1">
        <v>3.3723691428005097E-5</v>
      </c>
      <c r="D40645" s="1">
        <v>1.0623218713862E-5</v>
      </c>
      <c r="E40645" s="1">
        <v>1.3036619865201299E-5</v>
      </c>
      <c r="F40645" s="1">
        <v>3.1735757931974601E-5</v>
      </c>
    </row>
    <row r="40646" spans="1:6" x14ac:dyDescent="0.25">
      <c r="A40646" s="2" t="str">
        <f t="shared" si="1296"/>
        <v>99999</v>
      </c>
      <c r="B40646" s="2" t="str">
        <f>"13804"</f>
        <v>13804</v>
      </c>
      <c r="C40646" s="1">
        <v>5.4569079980590803E-6</v>
      </c>
      <c r="D40646" s="1">
        <v>1.3658424060679801E-5</v>
      </c>
      <c r="E40646" s="1">
        <v>4.3455399550671099E-6</v>
      </c>
      <c r="F40646" s="1">
        <v>5.96910807497955E-6</v>
      </c>
    </row>
    <row r="40647" spans="1:6" x14ac:dyDescent="0.25">
      <c r="A40647" s="2" t="str">
        <f t="shared" si="1296"/>
        <v>99999</v>
      </c>
      <c r="B40647" s="2" t="str">
        <f>"13471"</f>
        <v>13471</v>
      </c>
      <c r="C40647" s="1">
        <v>2.4010395191459898E-6</v>
      </c>
      <c r="D40647" s="1">
        <v>0</v>
      </c>
      <c r="E40647" s="1">
        <v>0</v>
      </c>
      <c r="F40647" s="1">
        <v>2.1886729608258301E-6</v>
      </c>
    </row>
    <row r="40648" spans="1:6" x14ac:dyDescent="0.25">
      <c r="A40648" s="2" t="str">
        <f t="shared" si="1296"/>
        <v>99999</v>
      </c>
      <c r="B40648" s="2" t="str">
        <f>"13665"</f>
        <v>13665</v>
      </c>
      <c r="C40648" s="1">
        <v>1.71346911139055E-5</v>
      </c>
      <c r="D40648" s="1">
        <v>1.51760267340886E-6</v>
      </c>
      <c r="E40648" s="1">
        <v>0</v>
      </c>
      <c r="F40648" s="1">
        <v>1.57186512641128E-5</v>
      </c>
    </row>
    <row r="40649" spans="1:6" x14ac:dyDescent="0.25">
      <c r="A40649" s="2" t="str">
        <f t="shared" si="1296"/>
        <v>99999</v>
      </c>
      <c r="B40649" s="2" t="str">
        <f>"13353"</f>
        <v>13353</v>
      </c>
      <c r="C40649" s="1">
        <v>2.8375921589907201E-6</v>
      </c>
      <c r="D40649" s="1">
        <v>0</v>
      </c>
      <c r="E40649" s="1">
        <v>4.3455399550671099E-6</v>
      </c>
      <c r="F40649" s="1">
        <v>2.6860986337408002E-6</v>
      </c>
    </row>
    <row r="40650" spans="1:6" x14ac:dyDescent="0.25">
      <c r="A40650" s="2" t="str">
        <f t="shared" si="1296"/>
        <v>99999</v>
      </c>
      <c r="B40650" s="2" t="str">
        <f>"13345"</f>
        <v>13345</v>
      </c>
      <c r="C40650" s="1">
        <v>1.01498488763899E-5</v>
      </c>
      <c r="D40650" s="1">
        <v>7.5880133670443404E-6</v>
      </c>
      <c r="E40650" s="1">
        <v>1.3036619865201299E-5</v>
      </c>
      <c r="F40650" s="1">
        <v>1.0047998592882199E-5</v>
      </c>
    </row>
    <row r="40651" spans="1:6" x14ac:dyDescent="0.25">
      <c r="A40651" s="2" t="str">
        <f t="shared" si="1296"/>
        <v>99999</v>
      </c>
      <c r="B40651" s="2" t="str">
        <f>"13360"</f>
        <v>13360</v>
      </c>
      <c r="C40651" s="1">
        <v>4.3109573184666699E-5</v>
      </c>
      <c r="D40651" s="1">
        <v>9.1056160404532095E-6</v>
      </c>
      <c r="E40651" s="1">
        <v>1.7382159820268399E-5</v>
      </c>
      <c r="F40651" s="1">
        <v>4.0291479506111999E-5</v>
      </c>
    </row>
    <row r="40652" spans="1:6" x14ac:dyDescent="0.25">
      <c r="A40652" s="2" t="str">
        <f t="shared" si="1296"/>
        <v>99999</v>
      </c>
      <c r="B40652" s="2" t="str">
        <f>"12989"</f>
        <v>12989</v>
      </c>
      <c r="C40652" s="1">
        <v>1.3096579195341799E-6</v>
      </c>
      <c r="D40652" s="1">
        <v>0</v>
      </c>
      <c r="E40652" s="1">
        <v>0</v>
      </c>
      <c r="F40652" s="1">
        <v>1.19382161499591E-6</v>
      </c>
    </row>
    <row r="40653" spans="1:6" x14ac:dyDescent="0.25">
      <c r="A40653" s="2" t="str">
        <f t="shared" si="1296"/>
        <v>99999</v>
      </c>
      <c r="B40653" s="2" t="str">
        <f>"12769"</f>
        <v>12769</v>
      </c>
      <c r="C40653" s="1">
        <v>0</v>
      </c>
      <c r="D40653" s="1">
        <v>0</v>
      </c>
      <c r="E40653" s="1">
        <v>4.3455399550671099E-6</v>
      </c>
      <c r="F40653" s="1">
        <v>9.9485134582992598E-8</v>
      </c>
    </row>
    <row r="40654" spans="1:6" x14ac:dyDescent="0.25">
      <c r="A40654" s="2" t="str">
        <f t="shared" si="1296"/>
        <v>99999</v>
      </c>
      <c r="B40654" s="2" t="str">
        <f>"12733"</f>
        <v>12733</v>
      </c>
      <c r="C40654" s="1">
        <v>6.6465139416359596E-5</v>
      </c>
      <c r="D40654" s="1">
        <v>1.51760267340886E-6</v>
      </c>
      <c r="E40654" s="1">
        <v>7.3874179236140894E-5</v>
      </c>
      <c r="F40654" s="1">
        <v>6.2377179383536294E-5</v>
      </c>
    </row>
    <row r="40655" spans="1:6" x14ac:dyDescent="0.25">
      <c r="A40655" s="2" t="str">
        <f t="shared" si="1296"/>
        <v>99999</v>
      </c>
      <c r="B40655" s="2" t="str">
        <f>"12758"</f>
        <v>12758</v>
      </c>
      <c r="C40655" s="1">
        <v>1.8968212201253299E-4</v>
      </c>
      <c r="D40655" s="1">
        <v>9.2573763077941E-5</v>
      </c>
      <c r="E40655" s="1">
        <v>1.2602065869694599E-4</v>
      </c>
      <c r="F40655" s="1">
        <v>1.8185882601771001E-4</v>
      </c>
    </row>
    <row r="40656" spans="1:6" x14ac:dyDescent="0.25">
      <c r="A40656" s="2" t="str">
        <f t="shared" si="1296"/>
        <v>99999</v>
      </c>
      <c r="B40656" s="2" t="str">
        <f>"12748"</f>
        <v>12748</v>
      </c>
      <c r="C40656" s="1">
        <v>8.7310527968945299E-5</v>
      </c>
      <c r="D40656" s="1">
        <v>6.0704106936354703E-5</v>
      </c>
      <c r="E40656" s="1">
        <v>4.7800939505738197E-5</v>
      </c>
      <c r="F40656" s="1">
        <v>8.4661849530126701E-5</v>
      </c>
    </row>
    <row r="40657" spans="1:6" x14ac:dyDescent="0.25">
      <c r="A40657" s="2" t="str">
        <f t="shared" si="1296"/>
        <v>99999</v>
      </c>
      <c r="B40657" s="2" t="str">
        <f>"12836"</f>
        <v>12836</v>
      </c>
      <c r="C40657" s="1">
        <v>1.0913815996118101E-6</v>
      </c>
      <c r="D40657" s="1">
        <v>0</v>
      </c>
      <c r="E40657" s="1">
        <v>0</v>
      </c>
      <c r="F40657" s="1">
        <v>9.9485134582992606E-7</v>
      </c>
    </row>
    <row r="40658" spans="1:6" x14ac:dyDescent="0.25">
      <c r="A40658" s="2" t="str">
        <f t="shared" ref="A40658:A40721" si="1297">"99999"</f>
        <v>99999</v>
      </c>
      <c r="B40658" s="2" t="str">
        <f>"12721"</f>
        <v>12721</v>
      </c>
      <c r="C40658" s="1">
        <v>2.4905328103141602E-4</v>
      </c>
      <c r="D40658" s="1">
        <v>5.15984908959015E-5</v>
      </c>
      <c r="E40658" s="1">
        <v>1.82512678112818E-4</v>
      </c>
      <c r="F40658" s="1">
        <v>2.3458594734669601E-4</v>
      </c>
    </row>
    <row r="40659" spans="1:6" x14ac:dyDescent="0.25">
      <c r="A40659" s="2" t="str">
        <f t="shared" si="1297"/>
        <v>99999</v>
      </c>
      <c r="B40659" s="2" t="str">
        <f>"12458"</f>
        <v>12458</v>
      </c>
      <c r="C40659" s="1">
        <v>8.4036383170109905E-6</v>
      </c>
      <c r="D40659" s="1">
        <v>0</v>
      </c>
      <c r="E40659" s="1">
        <v>0</v>
      </c>
      <c r="F40659" s="1">
        <v>7.6603553628904299E-6</v>
      </c>
    </row>
    <row r="40660" spans="1:6" x14ac:dyDescent="0.25">
      <c r="A40660" s="2" t="str">
        <f t="shared" si="1297"/>
        <v>99999</v>
      </c>
      <c r="B40660" s="2" t="str">
        <f>"12480"</f>
        <v>12480</v>
      </c>
      <c r="C40660" s="1">
        <v>5.4569079980590803E-6</v>
      </c>
      <c r="D40660" s="1">
        <v>1.51760267340886E-6</v>
      </c>
      <c r="E40660" s="1">
        <v>0</v>
      </c>
      <c r="F40660" s="1">
        <v>5.0737418637326201E-6</v>
      </c>
    </row>
    <row r="40661" spans="1:6" x14ac:dyDescent="0.25">
      <c r="A40661" s="2" t="str">
        <f t="shared" si="1297"/>
        <v>99999</v>
      </c>
      <c r="B40661" s="2" t="str">
        <f>"12444"</f>
        <v>12444</v>
      </c>
      <c r="C40661" s="1">
        <v>2.51017767910718E-5</v>
      </c>
      <c r="D40661" s="1">
        <v>3.0352053468177301E-6</v>
      </c>
      <c r="E40661" s="1">
        <v>2.1727699775335501E-5</v>
      </c>
      <c r="F40661" s="1">
        <v>2.3577976896169201E-5</v>
      </c>
    </row>
    <row r="40662" spans="1:6" x14ac:dyDescent="0.25">
      <c r="A40662" s="2" t="str">
        <f t="shared" si="1297"/>
        <v>99999</v>
      </c>
      <c r="B40662" s="2" t="str">
        <f>"12058"</f>
        <v>12058</v>
      </c>
      <c r="C40662" s="1">
        <v>7.3231705333952896E-5</v>
      </c>
      <c r="D40662" s="1">
        <v>1.3658424060679801E-5</v>
      </c>
      <c r="E40662" s="1">
        <v>2.60732397304027E-5</v>
      </c>
      <c r="F40662" s="1">
        <v>6.8246802323932901E-5</v>
      </c>
    </row>
    <row r="40663" spans="1:6" x14ac:dyDescent="0.25">
      <c r="A40663" s="2" t="str">
        <f t="shared" si="1297"/>
        <v>99999</v>
      </c>
      <c r="B40663" s="2" t="str">
        <f>"12421"</f>
        <v>12421</v>
      </c>
      <c r="C40663" s="1">
        <v>2.13910793523916E-5</v>
      </c>
      <c r="D40663" s="1">
        <v>0</v>
      </c>
      <c r="E40663" s="1">
        <v>1.3036619865201299E-5</v>
      </c>
      <c r="F40663" s="1">
        <v>1.9797541782015501E-5</v>
      </c>
    </row>
    <row r="40664" spans="1:6" x14ac:dyDescent="0.25">
      <c r="A40664" s="2" t="str">
        <f t="shared" si="1297"/>
        <v>99999</v>
      </c>
      <c r="B40664" s="2" t="str">
        <f>"12406"</f>
        <v>12406</v>
      </c>
      <c r="C40664" s="1">
        <v>1.386054631507E-5</v>
      </c>
      <c r="D40664" s="1">
        <v>9.1056160404532095E-6</v>
      </c>
      <c r="E40664" s="1">
        <v>2.1727699775335501E-5</v>
      </c>
      <c r="F40664" s="1">
        <v>1.37289485724529E-5</v>
      </c>
    </row>
    <row r="40665" spans="1:6" x14ac:dyDescent="0.25">
      <c r="A40665" s="2" t="str">
        <f t="shared" si="1297"/>
        <v>99999</v>
      </c>
      <c r="B40665" s="2" t="str">
        <f>"12413"</f>
        <v>12413</v>
      </c>
      <c r="C40665" s="1">
        <v>1.47009101467711E-4</v>
      </c>
      <c r="D40665" s="1">
        <v>1.04714584465211E-4</v>
      </c>
      <c r="E40665" s="1">
        <v>4.2151737564151003E-4</v>
      </c>
      <c r="F40665" s="1">
        <v>1.5052100862406699E-4</v>
      </c>
    </row>
    <row r="40666" spans="1:6" x14ac:dyDescent="0.25">
      <c r="A40666" s="2" t="str">
        <f t="shared" si="1297"/>
        <v>99999</v>
      </c>
      <c r="B40666" s="2" t="str">
        <f>"89418"</f>
        <v>89418</v>
      </c>
      <c r="C40666" s="1">
        <v>1.39696844750312E-5</v>
      </c>
      <c r="D40666" s="1">
        <v>6.0704106936354696E-6</v>
      </c>
      <c r="E40666" s="1">
        <v>1.7382159820268399E-5</v>
      </c>
      <c r="F40666" s="1">
        <v>1.35299783032869E-5</v>
      </c>
    </row>
    <row r="40667" spans="1:6" x14ac:dyDescent="0.25">
      <c r="A40667" s="2" t="str">
        <f t="shared" si="1297"/>
        <v>99999</v>
      </c>
      <c r="B40667" s="2" t="str">
        <f>"88424"</f>
        <v>88424</v>
      </c>
      <c r="C40667" s="1">
        <v>8.5127764769721692E-6</v>
      </c>
      <c r="D40667" s="1">
        <v>1.51760267340886E-6</v>
      </c>
      <c r="E40667" s="1">
        <v>4.3455399550671099E-6</v>
      </c>
      <c r="F40667" s="1">
        <v>7.9588107666394102E-6</v>
      </c>
    </row>
    <row r="40668" spans="1:6" x14ac:dyDescent="0.25">
      <c r="A40668" s="2" t="str">
        <f t="shared" si="1297"/>
        <v>99999</v>
      </c>
      <c r="B40668" s="2" t="str">
        <f>"88427"</f>
        <v>88427</v>
      </c>
      <c r="C40668" s="1">
        <v>1.03681251963122E-5</v>
      </c>
      <c r="D40668" s="1">
        <v>6.0704106936354696E-6</v>
      </c>
      <c r="E40668" s="1">
        <v>4.3455399550671099E-6</v>
      </c>
      <c r="F40668" s="1">
        <v>9.9485134582992602E-6</v>
      </c>
    </row>
    <row r="40669" spans="1:6" x14ac:dyDescent="0.25">
      <c r="A40669" s="2" t="str">
        <f t="shared" si="1297"/>
        <v>99999</v>
      </c>
      <c r="B40669" s="2" t="str">
        <f>"88415"</f>
        <v>88415</v>
      </c>
      <c r="C40669" s="1">
        <v>2.08126471045973E-4</v>
      </c>
      <c r="D40669" s="1">
        <v>3.6270703894471901E-4</v>
      </c>
      <c r="E40669" s="1">
        <v>2.5638685734895902E-4</v>
      </c>
      <c r="F40669" s="1">
        <v>2.19364721755498E-4</v>
      </c>
    </row>
    <row r="40670" spans="1:6" x14ac:dyDescent="0.25">
      <c r="A40670" s="2" t="str">
        <f t="shared" si="1297"/>
        <v>99999</v>
      </c>
      <c r="B40670" s="2" t="str">
        <f>"87724"</f>
        <v>87724</v>
      </c>
      <c r="C40670" s="1">
        <v>1.2660026555497001E-5</v>
      </c>
      <c r="D40670" s="1">
        <v>0</v>
      </c>
      <c r="E40670" s="1">
        <v>4.3455399550671099E-6</v>
      </c>
      <c r="F40670" s="1">
        <v>1.1639760746210099E-5</v>
      </c>
    </row>
    <row r="40671" spans="1:6" x14ac:dyDescent="0.25">
      <c r="A40671" s="2" t="str">
        <f t="shared" si="1297"/>
        <v>99999</v>
      </c>
      <c r="B40671" s="2" t="str">
        <f>"87831"</f>
        <v>87831</v>
      </c>
      <c r="C40671" s="1">
        <v>1.5279342394565399E-5</v>
      </c>
      <c r="D40671" s="1">
        <v>1.51760267340886E-6</v>
      </c>
      <c r="E40671" s="1">
        <v>4.3455399550671099E-6</v>
      </c>
      <c r="F40671" s="1">
        <v>1.41268891107849E-5</v>
      </c>
    </row>
    <row r="40672" spans="1:6" x14ac:dyDescent="0.25">
      <c r="A40672" s="2" t="str">
        <f t="shared" si="1297"/>
        <v>99999</v>
      </c>
      <c r="B40672" s="2" t="str">
        <f>"87743"</f>
        <v>87743</v>
      </c>
      <c r="C40672" s="1">
        <v>1.10229541560793E-5</v>
      </c>
      <c r="D40672" s="1">
        <v>0</v>
      </c>
      <c r="E40672" s="1">
        <v>4.3455399550671099E-6</v>
      </c>
      <c r="F40672" s="1">
        <v>1.01474837274652E-5</v>
      </c>
    </row>
    <row r="40673" spans="1:6" x14ac:dyDescent="0.25">
      <c r="A40673" s="2" t="str">
        <f t="shared" si="1297"/>
        <v>99999</v>
      </c>
      <c r="B40673" s="2" t="str">
        <f>"87740"</f>
        <v>87740</v>
      </c>
      <c r="C40673" s="1">
        <v>4.6350976535513801E-4</v>
      </c>
      <c r="D40673" s="1">
        <v>7.8308297947897595E-4</v>
      </c>
      <c r="E40673" s="1">
        <v>5.3015587451818804E-4</v>
      </c>
      <c r="F40673" s="1">
        <v>4.8598488243791897E-4</v>
      </c>
    </row>
    <row r="40674" spans="1:6" x14ac:dyDescent="0.25">
      <c r="A40674" s="2" t="str">
        <f t="shared" si="1297"/>
        <v>99999</v>
      </c>
      <c r="B40674" s="2" t="str">
        <f>"88039"</f>
        <v>88039</v>
      </c>
      <c r="C40674" s="1">
        <v>1.4624513434798299E-5</v>
      </c>
      <c r="D40674" s="1">
        <v>6.0704106936354696E-6</v>
      </c>
      <c r="E40674" s="1">
        <v>2.1727699775335501E-5</v>
      </c>
      <c r="F40674" s="1">
        <v>1.42263742453679E-5</v>
      </c>
    </row>
    <row r="40675" spans="1:6" x14ac:dyDescent="0.25">
      <c r="A40675" s="2" t="str">
        <f t="shared" si="1297"/>
        <v>99999</v>
      </c>
      <c r="B40675" s="2" t="str">
        <f>"85344"</f>
        <v>85344</v>
      </c>
      <c r="C40675" s="1">
        <v>8.5891731889449995E-4</v>
      </c>
      <c r="D40675" s="1">
        <v>1.1579308398109601E-3</v>
      </c>
      <c r="E40675" s="1">
        <v>7.6481503209181202E-4</v>
      </c>
      <c r="F40675" s="1">
        <v>8.7636455054158197E-4</v>
      </c>
    </row>
    <row r="40676" spans="1:6" x14ac:dyDescent="0.25">
      <c r="A40676" s="2" t="str">
        <f t="shared" si="1297"/>
        <v>99999</v>
      </c>
      <c r="B40676" s="2" t="str">
        <f>"85534"</f>
        <v>85534</v>
      </c>
      <c r="C40676" s="1">
        <v>1.3980598291027301E-4</v>
      </c>
      <c r="D40676" s="1">
        <v>6.2221709609763595E-5</v>
      </c>
      <c r="E40676" s="1">
        <v>3.0418779685469802E-5</v>
      </c>
      <c r="F40676" s="1">
        <v>1.32215743860797E-4</v>
      </c>
    </row>
    <row r="40677" spans="1:6" x14ac:dyDescent="0.25">
      <c r="A40677" s="2" t="str">
        <f t="shared" si="1297"/>
        <v>99999</v>
      </c>
      <c r="B40677" s="2" t="str">
        <f>"85334"</f>
        <v>85334</v>
      </c>
      <c r="C40677" s="1">
        <v>1.2572716027528099E-4</v>
      </c>
      <c r="D40677" s="1">
        <v>7.8915339017261203E-5</v>
      </c>
      <c r="E40677" s="1">
        <v>1.3036619865201299E-5</v>
      </c>
      <c r="F40677" s="1">
        <v>1.20078557441672E-4</v>
      </c>
    </row>
    <row r="40678" spans="1:6" x14ac:dyDescent="0.25">
      <c r="A40678" s="2" t="str">
        <f t="shared" si="1297"/>
        <v>99999</v>
      </c>
      <c r="B40678" s="2" t="str">
        <f>"85325"</f>
        <v>85325</v>
      </c>
      <c r="C40678" s="1">
        <v>0</v>
      </c>
      <c r="D40678" s="1">
        <v>0</v>
      </c>
      <c r="E40678" s="1">
        <v>4.3455399550671099E-6</v>
      </c>
      <c r="F40678" s="1">
        <v>9.9485134582992598E-8</v>
      </c>
    </row>
    <row r="40679" spans="1:6" x14ac:dyDescent="0.25">
      <c r="A40679" s="2" t="str">
        <f t="shared" si="1297"/>
        <v>99999</v>
      </c>
      <c r="B40679" s="2" t="str">
        <f>"84730"</f>
        <v>84730</v>
      </c>
      <c r="C40679" s="1">
        <v>2.9249026869596701E-5</v>
      </c>
      <c r="D40679" s="1">
        <v>0</v>
      </c>
      <c r="E40679" s="1">
        <v>8.69107991013423E-6</v>
      </c>
      <c r="F40679" s="1">
        <v>2.6860986337408E-5</v>
      </c>
    </row>
    <row r="40680" spans="1:6" x14ac:dyDescent="0.25">
      <c r="A40680" s="2" t="str">
        <f t="shared" si="1297"/>
        <v>99999</v>
      </c>
      <c r="B40680" s="2" t="str">
        <f>"84729"</f>
        <v>84729</v>
      </c>
      <c r="C40680" s="1">
        <v>0</v>
      </c>
      <c r="D40680" s="1">
        <v>0</v>
      </c>
      <c r="E40680" s="1">
        <v>4.3455399550671099E-6</v>
      </c>
      <c r="F40680" s="1">
        <v>9.9485134582992598E-8</v>
      </c>
    </row>
    <row r="40681" spans="1:6" x14ac:dyDescent="0.25">
      <c r="A40681" s="2" t="str">
        <f t="shared" si="1297"/>
        <v>99999</v>
      </c>
      <c r="B40681" s="2" t="str">
        <f>"84750"</f>
        <v>84750</v>
      </c>
      <c r="C40681" s="1">
        <v>2.1827631992236301E-5</v>
      </c>
      <c r="D40681" s="1">
        <v>3.0352053468177301E-6</v>
      </c>
      <c r="E40681" s="1">
        <v>4.3455399550671099E-6</v>
      </c>
      <c r="F40681" s="1">
        <v>2.0195482320347499E-5</v>
      </c>
    </row>
    <row r="40682" spans="1:6" x14ac:dyDescent="0.25">
      <c r="A40682" s="2" t="str">
        <f t="shared" si="1297"/>
        <v>99999</v>
      </c>
      <c r="B40682" s="2" t="str">
        <f>"84710"</f>
        <v>84710</v>
      </c>
      <c r="C40682" s="1">
        <v>0</v>
      </c>
      <c r="D40682" s="1">
        <v>1.51760267340886E-6</v>
      </c>
      <c r="E40682" s="1">
        <v>0</v>
      </c>
      <c r="F40682" s="1">
        <v>9.9485134582992598E-8</v>
      </c>
    </row>
    <row r="40683" spans="1:6" x14ac:dyDescent="0.25">
      <c r="A40683" s="2" t="str">
        <f t="shared" si="1297"/>
        <v>99999</v>
      </c>
      <c r="B40683" s="2" t="str">
        <f>"84665"</f>
        <v>84665</v>
      </c>
      <c r="C40683" s="1">
        <v>1.60433095142937E-5</v>
      </c>
      <c r="D40683" s="1">
        <v>6.0704106936354696E-6</v>
      </c>
      <c r="E40683" s="1">
        <v>4.3455399550671099E-6</v>
      </c>
      <c r="F40683" s="1">
        <v>1.51217404566148E-5</v>
      </c>
    </row>
    <row r="40684" spans="1:6" x14ac:dyDescent="0.25">
      <c r="A40684" s="2" t="str">
        <f t="shared" si="1297"/>
        <v>99999</v>
      </c>
      <c r="B40684" s="2" t="str">
        <f>"84640"</f>
        <v>84640</v>
      </c>
      <c r="C40684" s="1">
        <v>1.09138159961181E-7</v>
      </c>
      <c r="D40684" s="1">
        <v>0</v>
      </c>
      <c r="E40684" s="1">
        <v>4.3455399550671099E-6</v>
      </c>
      <c r="F40684" s="1">
        <v>1.9897026916598501E-7</v>
      </c>
    </row>
    <row r="40685" spans="1:6" x14ac:dyDescent="0.25">
      <c r="A40685" s="2" t="str">
        <f t="shared" si="1297"/>
        <v>99999</v>
      </c>
      <c r="B40685" s="2" t="str">
        <f>"84636"</f>
        <v>84636</v>
      </c>
      <c r="C40685" s="1">
        <v>6.8757040775544402E-6</v>
      </c>
      <c r="D40685" s="1">
        <v>6.0704106936354696E-6</v>
      </c>
      <c r="E40685" s="1">
        <v>4.3455399550671099E-6</v>
      </c>
      <c r="F40685" s="1">
        <v>6.7649891516434898E-6</v>
      </c>
    </row>
    <row r="40686" spans="1:6" x14ac:dyDescent="0.25">
      <c r="A40686" s="2" t="str">
        <f t="shared" si="1297"/>
        <v>99999</v>
      </c>
      <c r="B40686" s="2" t="str">
        <f>"84647"</f>
        <v>84647</v>
      </c>
      <c r="C40686" s="1">
        <v>1.8149676001544501E-4</v>
      </c>
      <c r="D40686" s="1">
        <v>2.33710811704965E-4</v>
      </c>
      <c r="E40686" s="1">
        <v>5.3450141447325503E-4</v>
      </c>
      <c r="F40686" s="1">
        <v>1.93001161091005E-4</v>
      </c>
    </row>
    <row r="40687" spans="1:6" x14ac:dyDescent="0.25">
      <c r="A40687" s="2" t="str">
        <f t="shared" si="1297"/>
        <v>99999</v>
      </c>
      <c r="B40687" s="2" t="str">
        <f>"84629"</f>
        <v>84629</v>
      </c>
      <c r="C40687" s="1">
        <v>1.05536600682462E-4</v>
      </c>
      <c r="D40687" s="1">
        <v>4.0975272182039399E-5</v>
      </c>
      <c r="E40687" s="1">
        <v>2.0858591784322101E-4</v>
      </c>
      <c r="F40687" s="1">
        <v>1.03663510235478E-4</v>
      </c>
    </row>
    <row r="40688" spans="1:6" x14ac:dyDescent="0.25">
      <c r="A40688" s="2" t="str">
        <f t="shared" si="1297"/>
        <v>99999</v>
      </c>
      <c r="B40688" s="2" t="str">
        <f>"84624"</f>
        <v>84624</v>
      </c>
      <c r="C40688" s="1">
        <v>2.37921188715376E-4</v>
      </c>
      <c r="D40688" s="1">
        <v>3.79400668352217E-4</v>
      </c>
      <c r="E40688" s="1">
        <v>3.2591549663003302E-4</v>
      </c>
      <c r="F40688" s="1">
        <v>2.4921026213039598E-4</v>
      </c>
    </row>
    <row r="40689" spans="1:6" x14ac:dyDescent="0.25">
      <c r="A40689" s="2" t="str">
        <f t="shared" si="1297"/>
        <v>99999</v>
      </c>
      <c r="B40689" s="2" t="str">
        <f>"84776"</f>
        <v>84776</v>
      </c>
      <c r="C40689" s="1">
        <v>1.73529674338278E-5</v>
      </c>
      <c r="D40689" s="1">
        <v>3.3387258814995101E-5</v>
      </c>
      <c r="E40689" s="1">
        <v>8.69107991013423E-6</v>
      </c>
      <c r="F40689" s="1">
        <v>1.82057796286876E-5</v>
      </c>
    </row>
    <row r="40690" spans="1:6" x14ac:dyDescent="0.25">
      <c r="A40690" s="2" t="str">
        <f t="shared" si="1297"/>
        <v>99999</v>
      </c>
      <c r="B40690" s="2" t="str">
        <f>"84501"</f>
        <v>84501</v>
      </c>
      <c r="C40690" s="1">
        <v>6.5482895976708995E-7</v>
      </c>
      <c r="D40690" s="1">
        <v>0</v>
      </c>
      <c r="E40690" s="1">
        <v>0</v>
      </c>
      <c r="F40690" s="1">
        <v>5.9691080749795498E-7</v>
      </c>
    </row>
    <row r="40691" spans="1:6" x14ac:dyDescent="0.25">
      <c r="A40691" s="2" t="str">
        <f t="shared" si="1297"/>
        <v>99999</v>
      </c>
      <c r="B40691" s="2" t="str">
        <f>"84540"</f>
        <v>84540</v>
      </c>
      <c r="C40691" s="1">
        <v>5.1294935181755401E-6</v>
      </c>
      <c r="D40691" s="1">
        <v>1.3658424060679801E-5</v>
      </c>
      <c r="E40691" s="1">
        <v>8.69107991013423E-6</v>
      </c>
      <c r="F40691" s="1">
        <v>5.7701378058135699E-6</v>
      </c>
    </row>
    <row r="40692" spans="1:6" x14ac:dyDescent="0.25">
      <c r="A40692" s="2" t="str">
        <f t="shared" si="1297"/>
        <v>99999</v>
      </c>
      <c r="B40692" s="2" t="str">
        <f>"84536"</f>
        <v>84536</v>
      </c>
      <c r="C40692" s="1">
        <v>2.2919013591848099E-6</v>
      </c>
      <c r="D40692" s="1">
        <v>3.0352053468177301E-6</v>
      </c>
      <c r="E40692" s="1">
        <v>4.3455399550671099E-6</v>
      </c>
      <c r="F40692" s="1">
        <v>2.3876432299918199E-6</v>
      </c>
    </row>
    <row r="40693" spans="1:6" x14ac:dyDescent="0.25">
      <c r="A40693" s="2" t="str">
        <f t="shared" si="1297"/>
        <v>99999</v>
      </c>
      <c r="B40693" s="2" t="str">
        <f>"84535"</f>
        <v>84535</v>
      </c>
      <c r="C40693" s="1">
        <v>1.8007796393594899E-5</v>
      </c>
      <c r="D40693" s="1">
        <v>0</v>
      </c>
      <c r="E40693" s="1">
        <v>1.3036619865201299E-5</v>
      </c>
      <c r="F40693" s="1">
        <v>1.67135026099427E-5</v>
      </c>
    </row>
    <row r="40694" spans="1:6" x14ac:dyDescent="0.25">
      <c r="A40694" s="2" t="str">
        <f t="shared" si="1297"/>
        <v>99999</v>
      </c>
      <c r="B40694" s="2" t="str">
        <f>"84525"</f>
        <v>84525</v>
      </c>
      <c r="C40694" s="1">
        <v>3.74343888666853E-5</v>
      </c>
      <c r="D40694" s="1">
        <v>1.91217936849517E-4</v>
      </c>
      <c r="E40694" s="1">
        <v>8.69107991013423E-6</v>
      </c>
      <c r="F40694" s="1">
        <v>4.6857498388589501E-5</v>
      </c>
    </row>
    <row r="40695" spans="1:6" x14ac:dyDescent="0.25">
      <c r="A40695" s="2" t="str">
        <f t="shared" si="1297"/>
        <v>99999</v>
      </c>
      <c r="B40695" s="2" t="str">
        <f>"84521"</f>
        <v>84521</v>
      </c>
      <c r="C40695" s="1">
        <v>3.6997836226840599E-5</v>
      </c>
      <c r="D40695" s="1">
        <v>2.2764040101133E-5</v>
      </c>
      <c r="E40695" s="1">
        <v>8.69107991013423E-6</v>
      </c>
      <c r="F40695" s="1">
        <v>3.5416707911545303E-5</v>
      </c>
    </row>
    <row r="40696" spans="1:6" x14ac:dyDescent="0.25">
      <c r="A40696" s="2" t="str">
        <f t="shared" si="1297"/>
        <v>99999</v>
      </c>
      <c r="B40696" s="2" t="str">
        <f>"84038"</f>
        <v>84038</v>
      </c>
      <c r="C40696" s="1">
        <v>1.8007796393594899E-5</v>
      </c>
      <c r="D40696" s="1">
        <v>0</v>
      </c>
      <c r="E40696" s="1">
        <v>4.3455399550671099E-6</v>
      </c>
      <c r="F40696" s="1">
        <v>1.65145323407767E-5</v>
      </c>
    </row>
    <row r="40697" spans="1:6" x14ac:dyDescent="0.25">
      <c r="A40697" s="2" t="str">
        <f t="shared" si="1297"/>
        <v>99999</v>
      </c>
      <c r="B40697" s="2" t="str">
        <f>"83874"</f>
        <v>83874</v>
      </c>
      <c r="C40697" s="1">
        <v>6.4391514377097196E-6</v>
      </c>
      <c r="D40697" s="1">
        <v>6.0704106936354696E-6</v>
      </c>
      <c r="E40697" s="1">
        <v>4.3455399550671099E-6</v>
      </c>
      <c r="F40697" s="1">
        <v>6.3670486133115203E-6</v>
      </c>
    </row>
    <row r="40698" spans="1:6" x14ac:dyDescent="0.25">
      <c r="A40698" s="2" t="str">
        <f t="shared" si="1297"/>
        <v>99999</v>
      </c>
      <c r="B40698" s="2" t="str">
        <f>"83866"</f>
        <v>83866</v>
      </c>
      <c r="C40698" s="1">
        <v>1.09138159961181E-7</v>
      </c>
      <c r="D40698" s="1">
        <v>0</v>
      </c>
      <c r="E40698" s="1">
        <v>8.69107991013423E-6</v>
      </c>
      <c r="F40698" s="1">
        <v>2.9845540374897701E-7</v>
      </c>
    </row>
    <row r="40699" spans="1:6" x14ac:dyDescent="0.25">
      <c r="A40699" s="2" t="str">
        <f t="shared" si="1297"/>
        <v>99999</v>
      </c>
      <c r="B40699" s="2" t="str">
        <f>"84007"</f>
        <v>84007</v>
      </c>
      <c r="C40699" s="1">
        <v>1.5606756874448901E-5</v>
      </c>
      <c r="D40699" s="1">
        <v>0</v>
      </c>
      <c r="E40699" s="1">
        <v>4.3455399550671099E-6</v>
      </c>
      <c r="F40699" s="1">
        <v>1.43258593799509E-5</v>
      </c>
    </row>
    <row r="40700" spans="1:6" x14ac:dyDescent="0.25">
      <c r="A40700" s="2" t="str">
        <f t="shared" si="1297"/>
        <v>99999</v>
      </c>
      <c r="B40700" s="2" t="str">
        <f>"83830"</f>
        <v>83830</v>
      </c>
      <c r="C40700" s="1">
        <v>4.9112171982531701E-6</v>
      </c>
      <c r="D40700" s="1">
        <v>1.51760267340886E-6</v>
      </c>
      <c r="E40700" s="1">
        <v>4.3455399550671099E-6</v>
      </c>
      <c r="F40700" s="1">
        <v>4.6758013254006498E-6</v>
      </c>
    </row>
    <row r="40701" spans="1:6" x14ac:dyDescent="0.25">
      <c r="A40701" s="2" t="str">
        <f t="shared" si="1297"/>
        <v>99999</v>
      </c>
      <c r="B40701" s="2" t="str">
        <f>"83826"</f>
        <v>83826</v>
      </c>
      <c r="C40701" s="1">
        <v>0</v>
      </c>
      <c r="D40701" s="1">
        <v>0</v>
      </c>
      <c r="E40701" s="1">
        <v>8.69107991013423E-6</v>
      </c>
      <c r="F40701" s="1">
        <v>1.9897026916598501E-7</v>
      </c>
    </row>
    <row r="40702" spans="1:6" x14ac:dyDescent="0.25">
      <c r="A40702" s="2" t="str">
        <f t="shared" si="1297"/>
        <v>99999</v>
      </c>
      <c r="B40702" s="2" t="str">
        <f>"83827"</f>
        <v>83827</v>
      </c>
      <c r="C40702" s="1">
        <v>3.2741447988354498E-7</v>
      </c>
      <c r="D40702" s="1">
        <v>1.51760267340886E-6</v>
      </c>
      <c r="E40702" s="1">
        <v>2.0858591784322101E-4</v>
      </c>
      <c r="F40702" s="1">
        <v>5.1732269983156102E-6</v>
      </c>
    </row>
    <row r="40703" spans="1:6" x14ac:dyDescent="0.25">
      <c r="A40703" s="2" t="str">
        <f t="shared" si="1297"/>
        <v>99999</v>
      </c>
      <c r="B40703" s="2" t="str">
        <f>"83845"</f>
        <v>83845</v>
      </c>
      <c r="C40703" s="1">
        <v>7.09398039747681E-5</v>
      </c>
      <c r="D40703" s="1">
        <v>9.1056160404532095E-6</v>
      </c>
      <c r="E40703" s="1">
        <v>3.9109859595604001E-5</v>
      </c>
      <c r="F40703" s="1">
        <v>6.6157614497690102E-5</v>
      </c>
    </row>
    <row r="40704" spans="1:6" x14ac:dyDescent="0.25">
      <c r="A40704" s="2" t="str">
        <f t="shared" si="1297"/>
        <v>99999</v>
      </c>
      <c r="B40704" s="2" t="str">
        <f>"83677"</f>
        <v>83677</v>
      </c>
      <c r="C40704" s="1">
        <v>2.2919013591848099E-6</v>
      </c>
      <c r="D40704" s="1">
        <v>9.1056160404532095E-6</v>
      </c>
      <c r="E40704" s="1">
        <v>8.69107991013423E-6</v>
      </c>
      <c r="F40704" s="1">
        <v>2.8850689029067799E-6</v>
      </c>
    </row>
    <row r="40705" spans="1:6" x14ac:dyDescent="0.25">
      <c r="A40705" s="2" t="str">
        <f t="shared" si="1297"/>
        <v>99999</v>
      </c>
      <c r="B40705" s="2" t="str">
        <f>"83469"</f>
        <v>83469</v>
      </c>
      <c r="C40705" s="1">
        <v>4.5838027183696299E-6</v>
      </c>
      <c r="D40705" s="1">
        <v>1.51760267340886E-6</v>
      </c>
      <c r="E40705" s="1">
        <v>0</v>
      </c>
      <c r="F40705" s="1">
        <v>4.2778607870686803E-6</v>
      </c>
    </row>
    <row r="40706" spans="1:6" x14ac:dyDescent="0.25">
      <c r="A40706" s="2" t="str">
        <f t="shared" si="1297"/>
        <v>99999</v>
      </c>
      <c r="B40706" s="2" t="str">
        <f>"83352"</f>
        <v>83352</v>
      </c>
      <c r="C40706" s="1">
        <v>1.2278042995632899E-4</v>
      </c>
      <c r="D40706" s="1">
        <v>9.5608968424758703E-5</v>
      </c>
      <c r="E40706" s="1">
        <v>9.9947418966543598E-5</v>
      </c>
      <c r="F40706" s="1">
        <v>1.20476497980004E-4</v>
      </c>
    </row>
    <row r="40707" spans="1:6" x14ac:dyDescent="0.25">
      <c r="A40707" s="2" t="str">
        <f t="shared" si="1297"/>
        <v>99999</v>
      </c>
      <c r="B40707" s="2" t="str">
        <f>"83610"</f>
        <v>83610</v>
      </c>
      <c r="C40707" s="1">
        <v>3.0558684789130797E-5</v>
      </c>
      <c r="D40707" s="1">
        <v>1.8211232080906399E-5</v>
      </c>
      <c r="E40707" s="1">
        <v>2.1727699775335501E-5</v>
      </c>
      <c r="F40707" s="1">
        <v>2.95470849711488E-5</v>
      </c>
    </row>
    <row r="40708" spans="1:6" x14ac:dyDescent="0.25">
      <c r="A40708" s="2" t="str">
        <f t="shared" si="1297"/>
        <v>99999</v>
      </c>
      <c r="B40708" s="2" t="str">
        <f>"83316"</f>
        <v>83316</v>
      </c>
      <c r="C40708" s="1">
        <v>4.0381119185637197E-6</v>
      </c>
      <c r="D40708" s="1">
        <v>1.51760267340886E-6</v>
      </c>
      <c r="E40708" s="1">
        <v>0</v>
      </c>
      <c r="F40708" s="1">
        <v>3.7804351141537199E-6</v>
      </c>
    </row>
    <row r="40709" spans="1:6" x14ac:dyDescent="0.25">
      <c r="A40709" s="2" t="str">
        <f t="shared" si="1297"/>
        <v>99999</v>
      </c>
      <c r="B40709" s="2" t="str">
        <f>"83554"</f>
        <v>83554</v>
      </c>
      <c r="C40709" s="1">
        <v>2.4010395191459901E-5</v>
      </c>
      <c r="D40709" s="1">
        <v>9.1056160404532095E-6</v>
      </c>
      <c r="E40709" s="1">
        <v>2.99842256899631E-4</v>
      </c>
      <c r="F40709" s="1">
        <v>2.93481147019828E-5</v>
      </c>
    </row>
    <row r="40710" spans="1:6" x14ac:dyDescent="0.25">
      <c r="A40710" s="2" t="str">
        <f t="shared" si="1297"/>
        <v>99999</v>
      </c>
      <c r="B40710" s="2" t="str">
        <f>"83546"</f>
        <v>83546</v>
      </c>
      <c r="C40710" s="1">
        <v>1.8444349033439702E-5</v>
      </c>
      <c r="D40710" s="1">
        <v>2.1246437427724101E-5</v>
      </c>
      <c r="E40710" s="1">
        <v>1.6947605824761699E-4</v>
      </c>
      <c r="F40710" s="1">
        <v>2.2085699877424301E-5</v>
      </c>
    </row>
    <row r="40711" spans="1:6" x14ac:dyDescent="0.25">
      <c r="A40711" s="2" t="str">
        <f t="shared" si="1297"/>
        <v>99999</v>
      </c>
      <c r="B40711" s="2" t="str">
        <f>"83523"</f>
        <v>83523</v>
      </c>
      <c r="C40711" s="1">
        <v>1.7571243753750201E-5</v>
      </c>
      <c r="D40711" s="1">
        <v>1.66936294074975E-5</v>
      </c>
      <c r="E40711" s="1">
        <v>4.5193615532698002E-4</v>
      </c>
      <c r="F40711" s="1">
        <v>2.7457897144905899E-5</v>
      </c>
    </row>
    <row r="40712" spans="1:6" x14ac:dyDescent="0.25">
      <c r="A40712" s="2" t="str">
        <f t="shared" si="1297"/>
        <v>99999</v>
      </c>
      <c r="B40712" s="2" t="str">
        <f>"83272"</f>
        <v>83272</v>
      </c>
      <c r="C40712" s="1">
        <v>1.1459506795924E-5</v>
      </c>
      <c r="D40712" s="1">
        <v>7.5880133670443404E-6</v>
      </c>
      <c r="E40712" s="1">
        <v>4.3455399550671099E-6</v>
      </c>
      <c r="F40712" s="1">
        <v>1.10428499387121E-5</v>
      </c>
    </row>
    <row r="40713" spans="1:6" x14ac:dyDescent="0.25">
      <c r="A40713" s="2" t="str">
        <f t="shared" si="1297"/>
        <v>99999</v>
      </c>
      <c r="B40713" s="2" t="str">
        <f>"83226"</f>
        <v>83226</v>
      </c>
      <c r="C40713" s="1">
        <v>8.8074495088673601E-5</v>
      </c>
      <c r="D40713" s="1">
        <v>3.6422464161812797E-5</v>
      </c>
      <c r="E40713" s="1">
        <v>4.7800939505738197E-5</v>
      </c>
      <c r="F40713" s="1">
        <v>8.3766483318879802E-5</v>
      </c>
    </row>
    <row r="40714" spans="1:6" x14ac:dyDescent="0.25">
      <c r="A40714" s="2" t="str">
        <f t="shared" si="1297"/>
        <v>99999</v>
      </c>
      <c r="B40714" s="2" t="str">
        <f>"82325"</f>
        <v>82325</v>
      </c>
      <c r="C40714" s="1">
        <v>8.9493291168169008E-6</v>
      </c>
      <c r="D40714" s="1">
        <v>2.2764040101133E-5</v>
      </c>
      <c r="E40714" s="1">
        <v>3.9109859595604001E-5</v>
      </c>
      <c r="F40714" s="1">
        <v>1.05454242657972E-5</v>
      </c>
    </row>
    <row r="40715" spans="1:6" x14ac:dyDescent="0.25">
      <c r="A40715" s="2" t="str">
        <f t="shared" si="1297"/>
        <v>99999</v>
      </c>
      <c r="B40715" s="2" t="str">
        <f>"82190"</f>
        <v>82190</v>
      </c>
      <c r="C40715" s="1">
        <v>2.2919013591848099E-6</v>
      </c>
      <c r="D40715" s="1">
        <v>1.51760267340886E-6</v>
      </c>
      <c r="E40715" s="1">
        <v>8.69107991013423E-6</v>
      </c>
      <c r="F40715" s="1">
        <v>2.3876432299918199E-6</v>
      </c>
    </row>
    <row r="40716" spans="1:6" x14ac:dyDescent="0.25">
      <c r="A40716" s="2" t="str">
        <f t="shared" si="1297"/>
        <v>99999</v>
      </c>
      <c r="B40716" s="2" t="str">
        <f>"82301"</f>
        <v>82301</v>
      </c>
      <c r="C40716" s="1">
        <v>4.7267737079187801E-4</v>
      </c>
      <c r="D40716" s="1">
        <v>7.8763578749920296E-4</v>
      </c>
      <c r="E40716" s="1">
        <v>9.4298217024956399E-4</v>
      </c>
      <c r="F40716" s="1">
        <v>5.0409117693202298E-4</v>
      </c>
    </row>
    <row r="40717" spans="1:6" x14ac:dyDescent="0.25">
      <c r="A40717" s="2" t="str">
        <f t="shared" si="1297"/>
        <v>99999</v>
      </c>
      <c r="B40717" s="2" t="str">
        <f>"83128"</f>
        <v>83128</v>
      </c>
      <c r="C40717" s="1">
        <v>9.2985712286926806E-5</v>
      </c>
      <c r="D40717" s="1">
        <v>1.15337803179074E-4</v>
      </c>
      <c r="E40717" s="1">
        <v>8.69107991013423E-6</v>
      </c>
      <c r="F40717" s="1">
        <v>9.2521175162183102E-5</v>
      </c>
    </row>
    <row r="40718" spans="1:6" x14ac:dyDescent="0.25">
      <c r="A40718" s="2" t="str">
        <f t="shared" si="1297"/>
        <v>99999</v>
      </c>
      <c r="B40718" s="2" t="str">
        <f>"83115"</f>
        <v>83115</v>
      </c>
      <c r="C40718" s="1">
        <v>9.1676054367392598E-6</v>
      </c>
      <c r="D40718" s="1">
        <v>0</v>
      </c>
      <c r="E40718" s="1">
        <v>2.1727699775335501E-5</v>
      </c>
      <c r="F40718" s="1">
        <v>8.8541769778863392E-6</v>
      </c>
    </row>
    <row r="40719" spans="1:6" x14ac:dyDescent="0.25">
      <c r="A40719" s="2" t="str">
        <f t="shared" si="1297"/>
        <v>99999</v>
      </c>
      <c r="B40719" s="2" t="str">
        <f>"82640"</f>
        <v>82640</v>
      </c>
      <c r="C40719" s="1">
        <v>9.8224343965063504E-7</v>
      </c>
      <c r="D40719" s="1">
        <v>0</v>
      </c>
      <c r="E40719" s="1">
        <v>4.3455399550671099E-6</v>
      </c>
      <c r="F40719" s="1">
        <v>9.9485134582992606E-7</v>
      </c>
    </row>
    <row r="40720" spans="1:6" x14ac:dyDescent="0.25">
      <c r="A40720" s="2" t="str">
        <f t="shared" si="1297"/>
        <v>99999</v>
      </c>
      <c r="B40720" s="2" t="str">
        <f>"82701"</f>
        <v>82701</v>
      </c>
      <c r="C40720" s="1">
        <v>2.1827631992236301E-7</v>
      </c>
      <c r="D40720" s="1">
        <v>0</v>
      </c>
      <c r="E40720" s="1">
        <v>0</v>
      </c>
      <c r="F40720" s="1">
        <v>1.9897026916598501E-7</v>
      </c>
    </row>
    <row r="40721" spans="1:6" x14ac:dyDescent="0.25">
      <c r="A40721" s="2" t="str">
        <f t="shared" si="1297"/>
        <v>99999</v>
      </c>
      <c r="B40721" s="2" t="str">
        <f>"82923"</f>
        <v>82923</v>
      </c>
      <c r="C40721" s="1">
        <v>7.4213948773603504E-6</v>
      </c>
      <c r="D40721" s="1">
        <v>1.51760267340886E-6</v>
      </c>
      <c r="E40721" s="1">
        <v>4.3455399550671099E-6</v>
      </c>
      <c r="F40721" s="1">
        <v>6.9639594208094801E-6</v>
      </c>
    </row>
    <row r="40722" spans="1:6" x14ac:dyDescent="0.25">
      <c r="A40722" s="2" t="str">
        <f t="shared" ref="A40722:A40785" si="1298">"99999"</f>
        <v>99999</v>
      </c>
      <c r="B40722" s="2" t="str">
        <f>"81641"</f>
        <v>81641</v>
      </c>
      <c r="C40722" s="1">
        <v>1.3303941699267999E-4</v>
      </c>
      <c r="D40722" s="1">
        <v>1.5327787001429501E-4</v>
      </c>
      <c r="E40722" s="1">
        <v>1.9554929797801999E-4</v>
      </c>
      <c r="F40722" s="1">
        <v>1.3579720870578399E-4</v>
      </c>
    </row>
    <row r="40723" spans="1:6" x14ac:dyDescent="0.25">
      <c r="A40723" s="2" t="str">
        <f t="shared" si="1298"/>
        <v>99999</v>
      </c>
      <c r="B40723" s="2" t="str">
        <f>"82423"</f>
        <v>82423</v>
      </c>
      <c r="C40723" s="1">
        <v>1.0040710716428699E-5</v>
      </c>
      <c r="D40723" s="1">
        <v>0</v>
      </c>
      <c r="E40723" s="1">
        <v>4.3455399550671099E-6</v>
      </c>
      <c r="F40723" s="1">
        <v>9.2521175162183095E-6</v>
      </c>
    </row>
    <row r="40724" spans="1:6" x14ac:dyDescent="0.25">
      <c r="A40724" s="2" t="str">
        <f t="shared" si="1298"/>
        <v>99999</v>
      </c>
      <c r="B40724" s="2" t="str">
        <f>"81067"</f>
        <v>81067</v>
      </c>
      <c r="C40724" s="1">
        <v>3.0274925573231802E-4</v>
      </c>
      <c r="D40724" s="1">
        <v>4.1127032449380301E-4</v>
      </c>
      <c r="E40724" s="1">
        <v>3.6937089618070402E-4</v>
      </c>
      <c r="F40724" s="1">
        <v>3.1138847124476598E-4</v>
      </c>
    </row>
    <row r="40725" spans="1:6" x14ac:dyDescent="0.25">
      <c r="A40725" s="2" t="str">
        <f t="shared" si="1298"/>
        <v>99999</v>
      </c>
      <c r="B40725" s="2" t="str">
        <f>"81063"</f>
        <v>81063</v>
      </c>
      <c r="C40725" s="1">
        <v>1.0106193612405401E-4</v>
      </c>
      <c r="D40725" s="1">
        <v>2.39781222398601E-4</v>
      </c>
      <c r="E40725" s="1">
        <v>1.9554929797801999E-4</v>
      </c>
      <c r="F40725" s="1">
        <v>1.12318716944198E-4</v>
      </c>
    </row>
    <row r="40726" spans="1:6" x14ac:dyDescent="0.25">
      <c r="A40726" s="2" t="str">
        <f t="shared" si="1298"/>
        <v>99999</v>
      </c>
      <c r="B40726" s="2" t="str">
        <f>"81062"</f>
        <v>81062</v>
      </c>
      <c r="C40726" s="1">
        <v>3.6233869107112297E-5</v>
      </c>
      <c r="D40726" s="1">
        <v>1.51760267340886E-6</v>
      </c>
      <c r="E40726" s="1">
        <v>2.1727699775335501E-5</v>
      </c>
      <c r="F40726" s="1">
        <v>3.3625975489051499E-5</v>
      </c>
    </row>
    <row r="40727" spans="1:6" x14ac:dyDescent="0.25">
      <c r="A40727" s="2" t="str">
        <f t="shared" si="1298"/>
        <v>99999</v>
      </c>
      <c r="B40727" s="2" t="str">
        <f>"81034"</f>
        <v>81034</v>
      </c>
      <c r="C40727" s="1">
        <v>0</v>
      </c>
      <c r="D40727" s="1">
        <v>0</v>
      </c>
      <c r="E40727" s="1">
        <v>4.3455399550671099E-6</v>
      </c>
      <c r="F40727" s="1">
        <v>9.9485134582992598E-8</v>
      </c>
    </row>
    <row r="40728" spans="1:6" x14ac:dyDescent="0.25">
      <c r="A40728" s="2" t="str">
        <f t="shared" si="1298"/>
        <v>99999</v>
      </c>
      <c r="B40728" s="2" t="str">
        <f>"81041"</f>
        <v>81041</v>
      </c>
      <c r="C40728" s="1">
        <v>8.8401909568557204E-6</v>
      </c>
      <c r="D40728" s="1">
        <v>0</v>
      </c>
      <c r="E40728" s="1">
        <v>4.3455399550671099E-6</v>
      </c>
      <c r="F40728" s="1">
        <v>8.1577810358053902E-6</v>
      </c>
    </row>
    <row r="40729" spans="1:6" x14ac:dyDescent="0.25">
      <c r="A40729" s="2" t="str">
        <f t="shared" si="1298"/>
        <v>99999</v>
      </c>
      <c r="B40729" s="2" t="str">
        <f>"81046"</f>
        <v>81046</v>
      </c>
      <c r="C40729" s="1">
        <v>0</v>
      </c>
      <c r="D40729" s="1">
        <v>0</v>
      </c>
      <c r="E40729" s="1">
        <v>4.3455399550671099E-6</v>
      </c>
      <c r="F40729" s="1">
        <v>9.9485134582992598E-8</v>
      </c>
    </row>
    <row r="40730" spans="1:6" x14ac:dyDescent="0.25">
      <c r="A40730" s="2" t="str">
        <f t="shared" si="1298"/>
        <v>99999</v>
      </c>
      <c r="B40730" s="2" t="str">
        <f>"81045"</f>
        <v>81045</v>
      </c>
      <c r="C40730" s="1">
        <v>6.8757040775544402E-6</v>
      </c>
      <c r="D40730" s="1">
        <v>0</v>
      </c>
      <c r="E40730" s="1">
        <v>4.3455399550671099E-6</v>
      </c>
      <c r="F40730" s="1">
        <v>6.3670486133115203E-6</v>
      </c>
    </row>
    <row r="40731" spans="1:6" x14ac:dyDescent="0.25">
      <c r="A40731" s="2" t="str">
        <f t="shared" si="1298"/>
        <v>99999</v>
      </c>
      <c r="B40731" s="2" t="str">
        <f>"81036"</f>
        <v>81036</v>
      </c>
      <c r="C40731" s="1">
        <v>3.3396276948121598E-5</v>
      </c>
      <c r="D40731" s="1">
        <v>9.1056160404532095E-6</v>
      </c>
      <c r="E40731" s="1">
        <v>1.7382159820268399E-5</v>
      </c>
      <c r="F40731" s="1">
        <v>3.1437302528225599E-5</v>
      </c>
    </row>
    <row r="40732" spans="1:6" x14ac:dyDescent="0.25">
      <c r="A40732" s="2" t="str">
        <f t="shared" si="1298"/>
        <v>99999</v>
      </c>
      <c r="B40732" s="2" t="str">
        <f>"81253"</f>
        <v>81253</v>
      </c>
      <c r="C40732" s="1">
        <v>1.5825033194371299E-5</v>
      </c>
      <c r="D40732" s="1">
        <v>1.51760267340886E-6</v>
      </c>
      <c r="E40732" s="1">
        <v>4.3455399550671099E-6</v>
      </c>
      <c r="F40732" s="1">
        <v>1.4624314783699901E-5</v>
      </c>
    </row>
    <row r="40733" spans="1:6" x14ac:dyDescent="0.25">
      <c r="A40733" s="2" t="str">
        <f t="shared" si="1298"/>
        <v>99999</v>
      </c>
      <c r="B40733" s="2" t="str">
        <f>"81236"</f>
        <v>81236</v>
      </c>
      <c r="C40733" s="1">
        <v>1.1546817323893E-4</v>
      </c>
      <c r="D40733" s="1">
        <v>1.66936294074975E-5</v>
      </c>
      <c r="E40733" s="1">
        <v>2.60732397304027E-5</v>
      </c>
      <c r="F40733" s="1">
        <v>1.06946519676717E-4</v>
      </c>
    </row>
    <row r="40734" spans="1:6" x14ac:dyDescent="0.25">
      <c r="A40734" s="2" t="str">
        <f t="shared" si="1298"/>
        <v>99999</v>
      </c>
      <c r="B40734" s="2" t="str">
        <f>"81428"</f>
        <v>81428</v>
      </c>
      <c r="C40734" s="1">
        <v>2.2024080680166399E-4</v>
      </c>
      <c r="D40734" s="1">
        <v>4.4010477528857203E-5</v>
      </c>
      <c r="E40734" s="1">
        <v>1.4340281851721399E-4</v>
      </c>
      <c r="F40734" s="1">
        <v>2.0692907993262401E-4</v>
      </c>
    </row>
    <row r="40735" spans="1:6" x14ac:dyDescent="0.25">
      <c r="A40735" s="2" t="str">
        <f t="shared" si="1298"/>
        <v>99999</v>
      </c>
      <c r="B40735" s="2" t="str">
        <f>"81227"</f>
        <v>81227</v>
      </c>
      <c r="C40735" s="1">
        <v>0</v>
      </c>
      <c r="D40735" s="1">
        <v>1.51760267340886E-6</v>
      </c>
      <c r="E40735" s="1">
        <v>4.3455399550671099E-6</v>
      </c>
      <c r="F40735" s="1">
        <v>1.9897026916598501E-7</v>
      </c>
    </row>
    <row r="40736" spans="1:6" x14ac:dyDescent="0.25">
      <c r="A40736" s="2" t="str">
        <f t="shared" si="1298"/>
        <v>99999</v>
      </c>
      <c r="B40736" s="2" t="str">
        <f>"81140"</f>
        <v>81140</v>
      </c>
      <c r="C40736" s="1">
        <v>7.0175836855039799E-5</v>
      </c>
      <c r="D40736" s="1">
        <v>3.1869656141586203E-5</v>
      </c>
      <c r="E40736" s="1">
        <v>6.0837559370939603E-5</v>
      </c>
      <c r="F40736" s="1">
        <v>6.7450921247268994E-5</v>
      </c>
    </row>
    <row r="40737" spans="1:6" x14ac:dyDescent="0.25">
      <c r="A40737" s="2" t="str">
        <f t="shared" si="1298"/>
        <v>99999</v>
      </c>
      <c r="B40737" s="2" t="str">
        <f>"80749"</f>
        <v>80749</v>
      </c>
      <c r="C40737" s="1">
        <v>2.1281941192430401E-5</v>
      </c>
      <c r="D40737" s="1">
        <v>6.0704106936354696E-6</v>
      </c>
      <c r="E40737" s="1">
        <v>4.3455399550671099E-6</v>
      </c>
      <c r="F40737" s="1">
        <v>1.98970269165985E-5</v>
      </c>
    </row>
    <row r="40738" spans="1:6" x14ac:dyDescent="0.25">
      <c r="A40738" s="2" t="str">
        <f t="shared" si="1298"/>
        <v>99999</v>
      </c>
      <c r="B40738" s="2" t="str">
        <f>"80733"</f>
        <v>80733</v>
      </c>
      <c r="C40738" s="1">
        <v>6.1117369578261701E-6</v>
      </c>
      <c r="D40738" s="1">
        <v>3.0352053468177301E-6</v>
      </c>
      <c r="E40738" s="1">
        <v>0</v>
      </c>
      <c r="F40738" s="1">
        <v>5.7701378058135699E-6</v>
      </c>
    </row>
    <row r="40739" spans="1:6" x14ac:dyDescent="0.25">
      <c r="A40739" s="2" t="str">
        <f t="shared" si="1298"/>
        <v>99999</v>
      </c>
      <c r="B40739" s="2" t="str">
        <f>"80727"</f>
        <v>80727</v>
      </c>
      <c r="C40739" s="1">
        <v>2.51017767910718E-5</v>
      </c>
      <c r="D40739" s="1">
        <v>1.0623218713862E-5</v>
      </c>
      <c r="E40739" s="1">
        <v>4.3455399550671099E-6</v>
      </c>
      <c r="F40739" s="1">
        <v>2.36774620307522E-5</v>
      </c>
    </row>
    <row r="40740" spans="1:6" x14ac:dyDescent="0.25">
      <c r="A40740" s="2" t="str">
        <f t="shared" si="1298"/>
        <v>99999</v>
      </c>
      <c r="B40740" s="2" t="str">
        <f>"80862"</f>
        <v>80862</v>
      </c>
      <c r="C40740" s="1">
        <v>2.9467303189519E-6</v>
      </c>
      <c r="D40740" s="1">
        <v>0</v>
      </c>
      <c r="E40740" s="1">
        <v>4.3455399550671099E-6</v>
      </c>
      <c r="F40740" s="1">
        <v>2.7855837683237898E-6</v>
      </c>
    </row>
    <row r="40741" spans="1:6" x14ac:dyDescent="0.25">
      <c r="A40741" s="2" t="str">
        <f t="shared" si="1298"/>
        <v>99999</v>
      </c>
      <c r="B40741" s="2" t="str">
        <f>"80861"</f>
        <v>80861</v>
      </c>
      <c r="C40741" s="1">
        <v>1.22234739156523E-5</v>
      </c>
      <c r="D40741" s="1">
        <v>0</v>
      </c>
      <c r="E40741" s="1">
        <v>1.3036619865201299E-5</v>
      </c>
      <c r="F40741" s="1">
        <v>1.1440790477044101E-5</v>
      </c>
    </row>
    <row r="40742" spans="1:6" x14ac:dyDescent="0.25">
      <c r="A40742" s="2" t="str">
        <f t="shared" si="1298"/>
        <v>99999</v>
      </c>
      <c r="B40742" s="2" t="str">
        <f>"80822"</f>
        <v>80822</v>
      </c>
      <c r="C40742" s="1">
        <v>1.386054631507E-5</v>
      </c>
      <c r="D40742" s="1">
        <v>1.0623218713862E-5</v>
      </c>
      <c r="E40742" s="1">
        <v>3.9109859595604001E-5</v>
      </c>
      <c r="F40742" s="1">
        <v>1.42263742453679E-5</v>
      </c>
    </row>
    <row r="40743" spans="1:6" x14ac:dyDescent="0.25">
      <c r="A40743" s="2" t="str">
        <f t="shared" si="1298"/>
        <v>99999</v>
      </c>
      <c r="B40743" s="2" t="str">
        <f>"80823"</f>
        <v>80823</v>
      </c>
      <c r="C40743" s="1">
        <v>1.15686449558852E-5</v>
      </c>
      <c r="D40743" s="1">
        <v>1.51760267340886E-6</v>
      </c>
      <c r="E40743" s="1">
        <v>4.3455399550671099E-6</v>
      </c>
      <c r="F40743" s="1">
        <v>1.0744394534963201E-5</v>
      </c>
    </row>
    <row r="40744" spans="1:6" x14ac:dyDescent="0.25">
      <c r="A40744" s="2" t="str">
        <f t="shared" si="1298"/>
        <v>99999</v>
      </c>
      <c r="B40744" s="2" t="str">
        <f>"80818"</f>
        <v>80818</v>
      </c>
      <c r="C40744" s="1">
        <v>1.87717635133232E-5</v>
      </c>
      <c r="D40744" s="1">
        <v>6.0704106936354696E-6</v>
      </c>
      <c r="E40744" s="1">
        <v>4.3455399550671099E-6</v>
      </c>
      <c r="F40744" s="1">
        <v>1.7608868821189599E-5</v>
      </c>
    </row>
    <row r="40745" spans="1:6" x14ac:dyDescent="0.25">
      <c r="A40745" s="2" t="str">
        <f t="shared" si="1298"/>
        <v>99999</v>
      </c>
      <c r="B40745" s="2" t="str">
        <f>"80807"</f>
        <v>80807</v>
      </c>
      <c r="C40745" s="1">
        <v>2.3279169519720001E-4</v>
      </c>
      <c r="D40745" s="1">
        <v>5.7365381054855203E-4</v>
      </c>
      <c r="E40745" s="1">
        <v>3.7806197609083903E-4</v>
      </c>
      <c r="F40745" s="1">
        <v>2.58462379646614E-4</v>
      </c>
    </row>
    <row r="40746" spans="1:6" x14ac:dyDescent="0.25">
      <c r="A40746" s="2" t="str">
        <f t="shared" si="1298"/>
        <v>99999</v>
      </c>
      <c r="B40746" s="2" t="str">
        <f>"80802"</f>
        <v>80802</v>
      </c>
      <c r="C40746" s="1">
        <v>1.1896059435768801E-5</v>
      </c>
      <c r="D40746" s="1">
        <v>1.51760267340886E-6</v>
      </c>
      <c r="E40746" s="1">
        <v>4.3455399550671099E-6</v>
      </c>
      <c r="F40746" s="1">
        <v>1.10428499387121E-5</v>
      </c>
    </row>
    <row r="40747" spans="1:6" x14ac:dyDescent="0.25">
      <c r="A40747" s="2" t="str">
        <f t="shared" si="1298"/>
        <v>99999</v>
      </c>
      <c r="B40747" s="2" t="str">
        <f>"80459"</f>
        <v>80459</v>
      </c>
      <c r="C40747" s="1">
        <v>1.5061066074643001E-5</v>
      </c>
      <c r="D40747" s="1">
        <v>0</v>
      </c>
      <c r="E40747" s="1">
        <v>3.47643196405369E-5</v>
      </c>
      <c r="F40747" s="1">
        <v>1.45248296491169E-5</v>
      </c>
    </row>
    <row r="40748" spans="1:6" x14ac:dyDescent="0.25">
      <c r="A40748" s="2" t="str">
        <f t="shared" si="1298"/>
        <v>99999</v>
      </c>
      <c r="B40748" s="2" t="str">
        <f>"80498"</f>
        <v>80498</v>
      </c>
      <c r="C40748" s="1">
        <v>1.5388480554526601E-5</v>
      </c>
      <c r="D40748" s="1">
        <v>0</v>
      </c>
      <c r="E40748" s="1">
        <v>8.69107991013423E-6</v>
      </c>
      <c r="F40748" s="1">
        <v>1.42263742453679E-5</v>
      </c>
    </row>
    <row r="40749" spans="1:6" x14ac:dyDescent="0.25">
      <c r="A40749" s="2" t="str">
        <f t="shared" si="1298"/>
        <v>99999</v>
      </c>
      <c r="B40749" s="2" t="str">
        <f>"79755"</f>
        <v>79755</v>
      </c>
      <c r="C40749" s="1">
        <v>6.9848422375156299E-6</v>
      </c>
      <c r="D40749" s="1">
        <v>7.5880133670443404E-6</v>
      </c>
      <c r="E40749" s="1">
        <v>4.3455399550671099E-6</v>
      </c>
      <c r="F40749" s="1">
        <v>6.9639594208094801E-6</v>
      </c>
    </row>
    <row r="40750" spans="1:6" x14ac:dyDescent="0.25">
      <c r="A40750" s="2" t="str">
        <f t="shared" si="1298"/>
        <v>99999</v>
      </c>
      <c r="B40750" s="2" t="str">
        <f>"79720"</f>
        <v>79720</v>
      </c>
      <c r="C40750" s="1">
        <v>5.3477698380979E-6</v>
      </c>
      <c r="D40750" s="1">
        <v>0</v>
      </c>
      <c r="E40750" s="1">
        <v>0</v>
      </c>
      <c r="F40750" s="1">
        <v>4.8747715945666299E-6</v>
      </c>
    </row>
    <row r="40751" spans="1:6" x14ac:dyDescent="0.25">
      <c r="A40751" s="2" t="str">
        <f t="shared" si="1298"/>
        <v>99999</v>
      </c>
      <c r="B40751" s="2" t="str">
        <f>"79713"</f>
        <v>79713</v>
      </c>
      <c r="C40751" s="1">
        <v>2.1827631992236301E-7</v>
      </c>
      <c r="D40751" s="1">
        <v>0</v>
      </c>
      <c r="E40751" s="1">
        <v>0</v>
      </c>
      <c r="F40751" s="1">
        <v>1.9897026916598501E-7</v>
      </c>
    </row>
    <row r="40752" spans="1:6" x14ac:dyDescent="0.25">
      <c r="A40752" s="2" t="str">
        <f t="shared" si="1298"/>
        <v>99999</v>
      </c>
      <c r="B40752" s="2" t="str">
        <f>"79846"</f>
        <v>79846</v>
      </c>
      <c r="C40752" s="1">
        <v>0</v>
      </c>
      <c r="D40752" s="1">
        <v>1.51760267340886E-6</v>
      </c>
      <c r="E40752" s="1">
        <v>0</v>
      </c>
      <c r="F40752" s="1">
        <v>9.9485134582992598E-8</v>
      </c>
    </row>
    <row r="40753" spans="1:6" x14ac:dyDescent="0.25">
      <c r="A40753" s="2" t="str">
        <f t="shared" si="1298"/>
        <v>99999</v>
      </c>
      <c r="B40753" s="2" t="str">
        <f>"79373"</f>
        <v>79373</v>
      </c>
      <c r="C40753" s="1">
        <v>2.1827631992236301E-7</v>
      </c>
      <c r="D40753" s="1">
        <v>0</v>
      </c>
      <c r="E40753" s="1">
        <v>4.3455399550671099E-6</v>
      </c>
      <c r="F40753" s="1">
        <v>2.9845540374897701E-7</v>
      </c>
    </row>
    <row r="40754" spans="1:6" x14ac:dyDescent="0.25">
      <c r="A40754" s="2" t="str">
        <f t="shared" si="1298"/>
        <v>99999</v>
      </c>
      <c r="B40754" s="2" t="str">
        <f>"79378"</f>
        <v>79378</v>
      </c>
      <c r="C40754" s="1">
        <v>0</v>
      </c>
      <c r="D40754" s="1">
        <v>0</v>
      </c>
      <c r="E40754" s="1">
        <v>1.3036619865201299E-5</v>
      </c>
      <c r="F40754" s="1">
        <v>2.9845540374897701E-7</v>
      </c>
    </row>
    <row r="40755" spans="1:6" x14ac:dyDescent="0.25">
      <c r="A40755" s="2" t="str">
        <f t="shared" si="1298"/>
        <v>99999</v>
      </c>
      <c r="B40755" s="2" t="str">
        <f>"79355"</f>
        <v>79355</v>
      </c>
      <c r="C40755" s="1">
        <v>2.02996977527798E-5</v>
      </c>
      <c r="D40755" s="1">
        <v>4.5528080202265997E-6</v>
      </c>
      <c r="E40755" s="1">
        <v>1.3036619865201299E-5</v>
      </c>
      <c r="F40755" s="1">
        <v>1.9101145839934498E-5</v>
      </c>
    </row>
    <row r="40756" spans="1:6" x14ac:dyDescent="0.25">
      <c r="A40756" s="2" t="str">
        <f t="shared" si="1298"/>
        <v>99999</v>
      </c>
      <c r="B40756" s="2" t="str">
        <f>"79346"</f>
        <v>79346</v>
      </c>
      <c r="C40756" s="1">
        <v>1.30529239313573E-4</v>
      </c>
      <c r="D40756" s="1">
        <v>2.30675606358148E-4</v>
      </c>
      <c r="E40756" s="1">
        <v>1.8685821806788599E-4</v>
      </c>
      <c r="F40756" s="1">
        <v>1.3838382220494199E-4</v>
      </c>
    </row>
    <row r="40757" spans="1:6" x14ac:dyDescent="0.25">
      <c r="A40757" s="2" t="str">
        <f t="shared" si="1298"/>
        <v>99999</v>
      </c>
      <c r="B40757" s="2" t="str">
        <f>"79503"</f>
        <v>79503</v>
      </c>
      <c r="C40757" s="1">
        <v>5.4569079980590801E-7</v>
      </c>
      <c r="D40757" s="1">
        <v>0</v>
      </c>
      <c r="E40757" s="1">
        <v>0</v>
      </c>
      <c r="F40757" s="1">
        <v>4.9742567291496303E-7</v>
      </c>
    </row>
    <row r="40758" spans="1:6" x14ac:dyDescent="0.25">
      <c r="A40758" s="2" t="str">
        <f t="shared" si="1298"/>
        <v>99999</v>
      </c>
      <c r="B40758" s="2" t="str">
        <f>"79539"</f>
        <v>79539</v>
      </c>
      <c r="C40758" s="1">
        <v>8.9493291168169008E-6</v>
      </c>
      <c r="D40758" s="1">
        <v>7.5880133670443404E-6</v>
      </c>
      <c r="E40758" s="1">
        <v>8.69107991013423E-6</v>
      </c>
      <c r="F40758" s="1">
        <v>8.8541769778863392E-6</v>
      </c>
    </row>
    <row r="40759" spans="1:6" x14ac:dyDescent="0.25">
      <c r="A40759" s="2" t="str">
        <f t="shared" si="1298"/>
        <v>99999</v>
      </c>
      <c r="B40759" s="2" t="str">
        <f>"79545"</f>
        <v>79545</v>
      </c>
      <c r="C40759" s="1">
        <v>1.85534871934008E-6</v>
      </c>
      <c r="D40759" s="1">
        <v>0</v>
      </c>
      <c r="E40759" s="1">
        <v>4.3455399550671099E-6</v>
      </c>
      <c r="F40759" s="1">
        <v>1.79073242249386E-6</v>
      </c>
    </row>
    <row r="40760" spans="1:6" x14ac:dyDescent="0.25">
      <c r="A40760" s="2" t="str">
        <f t="shared" si="1298"/>
        <v>99999</v>
      </c>
      <c r="B40760" s="2" t="str">
        <f>"79532"</f>
        <v>79532</v>
      </c>
      <c r="C40760" s="1">
        <v>4.1145086305365503E-5</v>
      </c>
      <c r="D40760" s="1">
        <v>1.5176026734088599E-5</v>
      </c>
      <c r="E40760" s="1">
        <v>4.7800939505738197E-5</v>
      </c>
      <c r="F40760" s="1">
        <v>3.9595083564031003E-5</v>
      </c>
    </row>
    <row r="40761" spans="1:6" x14ac:dyDescent="0.25">
      <c r="A40761" s="2" t="str">
        <f t="shared" si="1298"/>
        <v>99999</v>
      </c>
      <c r="B40761" s="2" t="str">
        <f>"79529"</f>
        <v>79529</v>
      </c>
      <c r="C40761" s="1">
        <v>5.4459941820629598E-5</v>
      </c>
      <c r="D40761" s="1">
        <v>4.8563285549083798E-5</v>
      </c>
      <c r="E40761" s="1">
        <v>1.6947605824761699E-4</v>
      </c>
      <c r="F40761" s="1">
        <v>5.6706526712305799E-5</v>
      </c>
    </row>
    <row r="40762" spans="1:6" x14ac:dyDescent="0.25">
      <c r="A40762" s="2" t="str">
        <f t="shared" si="1298"/>
        <v>99999</v>
      </c>
      <c r="B40762" s="2" t="str">
        <f>"79251"</f>
        <v>79251</v>
      </c>
      <c r="C40762" s="1">
        <v>6.4391514377097196E-6</v>
      </c>
      <c r="D40762" s="1">
        <v>4.5528080202265997E-6</v>
      </c>
      <c r="E40762" s="1">
        <v>4.3455399550671099E-6</v>
      </c>
      <c r="F40762" s="1">
        <v>6.2675634787285303E-6</v>
      </c>
    </row>
    <row r="40763" spans="1:6" x14ac:dyDescent="0.25">
      <c r="A40763" s="2" t="str">
        <f t="shared" si="1298"/>
        <v>99999</v>
      </c>
      <c r="B40763" s="2" t="str">
        <f>"79247"</f>
        <v>79247</v>
      </c>
      <c r="C40763" s="1">
        <v>1.09138159961181E-7</v>
      </c>
      <c r="D40763" s="1">
        <v>0</v>
      </c>
      <c r="E40763" s="1">
        <v>0</v>
      </c>
      <c r="F40763" s="1">
        <v>9.9485134582992598E-8</v>
      </c>
    </row>
    <row r="40764" spans="1:6" x14ac:dyDescent="0.25">
      <c r="A40764" s="2" t="str">
        <f t="shared" si="1298"/>
        <v>99999</v>
      </c>
      <c r="B40764" s="2" t="str">
        <f>"79229"</f>
        <v>79229</v>
      </c>
      <c r="C40764" s="1">
        <v>6.3300132777485401E-6</v>
      </c>
      <c r="D40764" s="1">
        <v>1.51760267340886E-6</v>
      </c>
      <c r="E40764" s="1">
        <v>0</v>
      </c>
      <c r="F40764" s="1">
        <v>5.86962294039656E-6</v>
      </c>
    </row>
    <row r="40765" spans="1:6" x14ac:dyDescent="0.25">
      <c r="A40765" s="2" t="str">
        <f t="shared" si="1298"/>
        <v>99999</v>
      </c>
      <c r="B40765" s="2" t="str">
        <f>"79256"</f>
        <v>79256</v>
      </c>
      <c r="C40765" s="1">
        <v>1.09138159961181E-5</v>
      </c>
      <c r="D40765" s="1">
        <v>6.0704106936354696E-6</v>
      </c>
      <c r="E40765" s="1">
        <v>0</v>
      </c>
      <c r="F40765" s="1">
        <v>1.03464539966312E-5</v>
      </c>
    </row>
    <row r="40766" spans="1:6" x14ac:dyDescent="0.25">
      <c r="A40766" s="2" t="str">
        <f t="shared" si="1298"/>
        <v>99999</v>
      </c>
      <c r="B40766" s="2" t="str">
        <f>"78839"</f>
        <v>78839</v>
      </c>
      <c r="C40766" s="1">
        <v>3.5513557251368503E-4</v>
      </c>
      <c r="D40766" s="1">
        <v>3.3387258814995097E-4</v>
      </c>
      <c r="E40766" s="1">
        <v>1.9120375802295301E-4</v>
      </c>
      <c r="F40766" s="1">
        <v>3.4998870346296802E-4</v>
      </c>
    </row>
    <row r="40767" spans="1:6" x14ac:dyDescent="0.25">
      <c r="A40767" s="2" t="str">
        <f t="shared" si="1298"/>
        <v>99999</v>
      </c>
      <c r="B40767" s="2" t="str">
        <f>"78828"</f>
        <v>78828</v>
      </c>
      <c r="C40767" s="1">
        <v>8.1853619970886298E-6</v>
      </c>
      <c r="D40767" s="1">
        <v>4.5528080202265997E-6</v>
      </c>
      <c r="E40767" s="1">
        <v>4.3455399550671099E-6</v>
      </c>
      <c r="F40767" s="1">
        <v>7.85932563205641E-6</v>
      </c>
    </row>
    <row r="40768" spans="1:6" x14ac:dyDescent="0.25">
      <c r="A40768" s="2" t="str">
        <f t="shared" si="1298"/>
        <v>99999</v>
      </c>
      <c r="B40768" s="2" t="str">
        <f>"78829"</f>
        <v>78829</v>
      </c>
      <c r="C40768" s="1">
        <v>6.4391514377097196E-6</v>
      </c>
      <c r="D40768" s="1">
        <v>7.5880133670443404E-6</v>
      </c>
      <c r="E40768" s="1">
        <v>1.3036619865201299E-5</v>
      </c>
      <c r="F40768" s="1">
        <v>6.6655040170604998E-6</v>
      </c>
    </row>
    <row r="40769" spans="1:6" x14ac:dyDescent="0.25">
      <c r="A40769" s="2" t="str">
        <f t="shared" si="1298"/>
        <v>99999</v>
      </c>
      <c r="B40769" s="2" t="str">
        <f>"78834"</f>
        <v>78834</v>
      </c>
      <c r="C40769" s="1">
        <v>3.5404419091407299E-4</v>
      </c>
      <c r="D40769" s="1">
        <v>5.6758339985491695E-4</v>
      </c>
      <c r="E40769" s="1">
        <v>4.9104601492258398E-4</v>
      </c>
      <c r="F40769" s="1">
        <v>3.7117903712914499E-4</v>
      </c>
    </row>
    <row r="40770" spans="1:6" x14ac:dyDescent="0.25">
      <c r="A40770" s="2" t="str">
        <f t="shared" si="1298"/>
        <v>99999</v>
      </c>
      <c r="B40770" s="2" t="str">
        <f>"79087"</f>
        <v>79087</v>
      </c>
      <c r="C40770" s="1">
        <v>1.49519279146818E-5</v>
      </c>
      <c r="D40770" s="1">
        <v>0</v>
      </c>
      <c r="E40770" s="1">
        <v>0</v>
      </c>
      <c r="F40770" s="1">
        <v>1.36294634378699E-5</v>
      </c>
    </row>
    <row r="40771" spans="1:6" x14ac:dyDescent="0.25">
      <c r="A40771" s="2" t="str">
        <f t="shared" si="1298"/>
        <v>99999</v>
      </c>
      <c r="B40771" s="2" t="str">
        <f>"78963"</f>
        <v>78963</v>
      </c>
      <c r="C40771" s="1">
        <v>4.70385469432693E-5</v>
      </c>
      <c r="D40771" s="1">
        <v>1.5176026734088599E-5</v>
      </c>
      <c r="E40771" s="1">
        <v>4.3455399550671099E-6</v>
      </c>
      <c r="F40771" s="1">
        <v>4.39724294856827E-5</v>
      </c>
    </row>
    <row r="40772" spans="1:6" x14ac:dyDescent="0.25">
      <c r="A40772" s="2" t="str">
        <f t="shared" si="1298"/>
        <v>99999</v>
      </c>
      <c r="B40772" s="2" t="str">
        <f>"78957"</f>
        <v>78957</v>
      </c>
      <c r="C40772" s="1">
        <v>1.39696844750312E-5</v>
      </c>
      <c r="D40772" s="1">
        <v>4.5528080202265997E-6</v>
      </c>
      <c r="E40772" s="1">
        <v>2.1727699775335501E-5</v>
      </c>
      <c r="F40772" s="1">
        <v>1.35299783032869E-5</v>
      </c>
    </row>
    <row r="40773" spans="1:6" x14ac:dyDescent="0.25">
      <c r="A40773" s="2" t="str">
        <f t="shared" si="1298"/>
        <v>99999</v>
      </c>
      <c r="B40773" s="2" t="str">
        <f>"79061"</f>
        <v>79061</v>
      </c>
      <c r="C40773" s="1">
        <v>3.2741447988354499E-5</v>
      </c>
      <c r="D40773" s="1">
        <v>3.0352053468177301E-6</v>
      </c>
      <c r="E40773" s="1">
        <v>8.69107991013423E-6</v>
      </c>
      <c r="F40773" s="1">
        <v>3.0243480913229702E-5</v>
      </c>
    </row>
    <row r="40774" spans="1:6" x14ac:dyDescent="0.25">
      <c r="A40774" s="2" t="str">
        <f t="shared" si="1298"/>
        <v>99999</v>
      </c>
      <c r="B40774" s="2" t="str">
        <f>"79045"</f>
        <v>79045</v>
      </c>
      <c r="C40774" s="1">
        <v>2.8485059749868399E-5</v>
      </c>
      <c r="D40774" s="1">
        <v>3.0352053468177301E-5</v>
      </c>
      <c r="E40774" s="1">
        <v>8.69107991013423E-6</v>
      </c>
      <c r="F40774" s="1">
        <v>2.8154293086986899E-5</v>
      </c>
    </row>
    <row r="40775" spans="1:6" x14ac:dyDescent="0.25">
      <c r="A40775" s="2" t="str">
        <f t="shared" si="1298"/>
        <v>99999</v>
      </c>
      <c r="B40775" s="2" t="str">
        <f>"79034"</f>
        <v>79034</v>
      </c>
      <c r="C40775" s="1">
        <v>2.7066263670372999E-5</v>
      </c>
      <c r="D40775" s="1">
        <v>2.7316848121359601E-5</v>
      </c>
      <c r="E40775" s="1">
        <v>4.3455399550671099E-6</v>
      </c>
      <c r="F40775" s="1">
        <v>2.6562530933659001E-5</v>
      </c>
    </row>
    <row r="40776" spans="1:6" x14ac:dyDescent="0.25">
      <c r="A40776" s="2" t="str">
        <f t="shared" si="1298"/>
        <v>99999</v>
      </c>
      <c r="B40776" s="2" t="str">
        <f>"78872"</f>
        <v>78872</v>
      </c>
      <c r="C40776" s="1">
        <v>3.27414479883545E-6</v>
      </c>
      <c r="D40776" s="1">
        <v>4.5528080202265997E-6</v>
      </c>
      <c r="E40776" s="1">
        <v>0</v>
      </c>
      <c r="F40776" s="1">
        <v>3.2830094412387502E-6</v>
      </c>
    </row>
    <row r="40777" spans="1:6" x14ac:dyDescent="0.25">
      <c r="A40777" s="2" t="str">
        <f t="shared" si="1298"/>
        <v>99999</v>
      </c>
      <c r="B40777" s="2" t="str">
        <f>"78948"</f>
        <v>78948</v>
      </c>
      <c r="C40777" s="1">
        <v>5.5333047100319102E-5</v>
      </c>
      <c r="D40777" s="1">
        <v>1.66936294074975E-5</v>
      </c>
      <c r="E40777" s="1">
        <v>1.7382159820268399E-5</v>
      </c>
      <c r="F40777" s="1">
        <v>5.19312402523221E-5</v>
      </c>
    </row>
    <row r="40778" spans="1:6" x14ac:dyDescent="0.25">
      <c r="A40778" s="2" t="str">
        <f t="shared" si="1298"/>
        <v>99999</v>
      </c>
      <c r="B40778" s="2" t="str">
        <f>"78941"</f>
        <v>78941</v>
      </c>
      <c r="C40778" s="1">
        <v>1.15140758759046E-4</v>
      </c>
      <c r="D40778" s="1">
        <v>9.1056160404532095E-5</v>
      </c>
      <c r="E40778" s="1">
        <v>1.4340281851721399E-4</v>
      </c>
      <c r="F40778" s="1">
        <v>1.14208934501275E-4</v>
      </c>
    </row>
    <row r="40779" spans="1:6" x14ac:dyDescent="0.25">
      <c r="A40779" s="2" t="str">
        <f t="shared" si="1298"/>
        <v>99999</v>
      </c>
      <c r="B40779" s="2" t="str">
        <f>"78933"</f>
        <v>78933</v>
      </c>
      <c r="C40779" s="1">
        <v>4.2673020544821998E-5</v>
      </c>
      <c r="D40779" s="1">
        <v>1.21408213872709E-5</v>
      </c>
      <c r="E40779" s="1">
        <v>4.3455399550671099E-6</v>
      </c>
      <c r="F40779" s="1">
        <v>3.9794053833197E-5</v>
      </c>
    </row>
    <row r="40780" spans="1:6" x14ac:dyDescent="0.25">
      <c r="A40780" s="2" t="str">
        <f t="shared" si="1298"/>
        <v>99999</v>
      </c>
      <c r="B40780" s="2" t="str">
        <f>"78950"</f>
        <v>78950</v>
      </c>
      <c r="C40780" s="1">
        <v>4.92213101424929E-5</v>
      </c>
      <c r="D40780" s="1">
        <v>1.66936294074975E-5</v>
      </c>
      <c r="E40780" s="1">
        <v>0</v>
      </c>
      <c r="F40780" s="1">
        <v>4.5962132177342501E-5</v>
      </c>
    </row>
    <row r="40781" spans="1:6" x14ac:dyDescent="0.25">
      <c r="A40781" s="2" t="str">
        <f t="shared" si="1298"/>
        <v>99999</v>
      </c>
      <c r="B40781" s="2" t="str">
        <f>"78609"</f>
        <v>78609</v>
      </c>
      <c r="C40781" s="1">
        <v>1.3074751563349501E-4</v>
      </c>
      <c r="D40781" s="1">
        <v>1.69971499421793E-4</v>
      </c>
      <c r="E40781" s="1">
        <v>9.5601879011476503E-5</v>
      </c>
      <c r="F40781" s="1">
        <v>1.32514199264546E-4</v>
      </c>
    </row>
    <row r="40782" spans="1:6" x14ac:dyDescent="0.25">
      <c r="A40782" s="2" t="str">
        <f t="shared" si="1298"/>
        <v>99999</v>
      </c>
      <c r="B40782" s="2" t="str">
        <f>"78606"</f>
        <v>78606</v>
      </c>
      <c r="C40782" s="1">
        <v>2.5330966926990199E-4</v>
      </c>
      <c r="D40782" s="1">
        <v>1.69971499421793E-4</v>
      </c>
      <c r="E40782" s="1">
        <v>2.6073239730402698E-4</v>
      </c>
      <c r="F40782" s="1">
        <v>2.4801644051539997E-4</v>
      </c>
    </row>
    <row r="40783" spans="1:6" x14ac:dyDescent="0.25">
      <c r="A40783" s="2" t="str">
        <f t="shared" si="1298"/>
        <v>99999</v>
      </c>
      <c r="B40783" s="2" t="str">
        <f>"78635"</f>
        <v>78635</v>
      </c>
      <c r="C40783" s="1">
        <v>6.0025987978649897E-6</v>
      </c>
      <c r="D40783" s="1">
        <v>6.0704106936354696E-6</v>
      </c>
      <c r="E40783" s="1">
        <v>0</v>
      </c>
      <c r="F40783" s="1">
        <v>5.86962294039656E-6</v>
      </c>
    </row>
    <row r="40784" spans="1:6" x14ac:dyDescent="0.25">
      <c r="A40784" s="2" t="str">
        <f t="shared" si="1298"/>
        <v>99999</v>
      </c>
      <c r="B40784" s="2" t="str">
        <f>"78164"</f>
        <v>78164</v>
      </c>
      <c r="C40784" s="1">
        <v>1.6916414793983101E-4</v>
      </c>
      <c r="D40784" s="1">
        <v>5.3116093569310399E-5</v>
      </c>
      <c r="E40784" s="1">
        <v>8.69107991013423E-5</v>
      </c>
      <c r="F40784" s="1">
        <v>1.5967364100570301E-4</v>
      </c>
    </row>
    <row r="40785" spans="1:6" x14ac:dyDescent="0.25">
      <c r="A40785" s="2" t="str">
        <f t="shared" si="1298"/>
        <v>99999</v>
      </c>
      <c r="B40785" s="2" t="str">
        <f>"78151"</f>
        <v>78151</v>
      </c>
      <c r="C40785" s="1">
        <v>3.2304895348509703E-5</v>
      </c>
      <c r="D40785" s="1">
        <v>1.0623218713862E-5</v>
      </c>
      <c r="E40785" s="1">
        <v>3.0418779685469802E-5</v>
      </c>
      <c r="F40785" s="1">
        <v>3.0840391720727703E-5</v>
      </c>
    </row>
    <row r="40786" spans="1:6" x14ac:dyDescent="0.25">
      <c r="A40786" s="2" t="str">
        <f t="shared" ref="A40786:A40849" si="1299">"99999"</f>
        <v>99999</v>
      </c>
      <c r="B40786" s="2" t="str">
        <f>"78007"</f>
        <v>78007</v>
      </c>
      <c r="C40786" s="1">
        <v>4.9112171982531701E-6</v>
      </c>
      <c r="D40786" s="1">
        <v>1.5176026734088599E-5</v>
      </c>
      <c r="E40786" s="1">
        <v>8.69107991013423E-6</v>
      </c>
      <c r="F40786" s="1">
        <v>5.6706526712305799E-6</v>
      </c>
    </row>
    <row r="40787" spans="1:6" x14ac:dyDescent="0.25">
      <c r="A40787" s="2" t="str">
        <f t="shared" si="1299"/>
        <v>99999</v>
      </c>
      <c r="B40787" s="2" t="str">
        <f>"78122"</f>
        <v>78122</v>
      </c>
      <c r="C40787" s="1">
        <v>1.34239936752253E-5</v>
      </c>
      <c r="D40787" s="1">
        <v>3.0352053468177301E-6</v>
      </c>
      <c r="E40787" s="1">
        <v>0</v>
      </c>
      <c r="F40787" s="1">
        <v>1.2435641822873999E-5</v>
      </c>
    </row>
    <row r="40788" spans="1:6" x14ac:dyDescent="0.25">
      <c r="A40788" s="2" t="str">
        <f t="shared" si="1299"/>
        <v>99999</v>
      </c>
      <c r="B40788" s="2" t="str">
        <f>"78118"</f>
        <v>78118</v>
      </c>
      <c r="C40788" s="1">
        <v>2.1325596456414899E-4</v>
      </c>
      <c r="D40788" s="1">
        <v>3.8091827102562599E-4</v>
      </c>
      <c r="E40788" s="1">
        <v>1.5209389842734899E-4</v>
      </c>
      <c r="F40788" s="1">
        <v>2.2284670146590301E-4</v>
      </c>
    </row>
    <row r="40789" spans="1:6" x14ac:dyDescent="0.25">
      <c r="A40789" s="2" t="str">
        <f t="shared" si="1299"/>
        <v>99999</v>
      </c>
      <c r="B40789" s="2" t="str">
        <f>"77868"</f>
        <v>77868</v>
      </c>
      <c r="C40789" s="1">
        <v>6.5242792024794395E-4</v>
      </c>
      <c r="D40789" s="1">
        <v>7.4210770729693704E-4</v>
      </c>
      <c r="E40789" s="1">
        <v>5.1277371469791902E-4</v>
      </c>
      <c r="F40789" s="1">
        <v>6.5510961122900596E-4</v>
      </c>
    </row>
    <row r="40790" spans="1:6" x14ac:dyDescent="0.25">
      <c r="A40790" s="2" t="str">
        <f t="shared" si="1299"/>
        <v>99999</v>
      </c>
      <c r="B40790" s="2" t="str">
        <f>"77861"</f>
        <v>77861</v>
      </c>
      <c r="C40790" s="1">
        <v>1.5639498322437301E-4</v>
      </c>
      <c r="D40790" s="1">
        <v>2.2764040101133E-5</v>
      </c>
      <c r="E40790" s="1">
        <v>8.69107991013423E-6</v>
      </c>
      <c r="F40790" s="1">
        <v>1.44253445145339E-4</v>
      </c>
    </row>
    <row r="40791" spans="1:6" x14ac:dyDescent="0.25">
      <c r="A40791" s="2" t="str">
        <f t="shared" si="1299"/>
        <v>99999</v>
      </c>
      <c r="B40791" s="2" t="str">
        <f>"77455"</f>
        <v>77455</v>
      </c>
      <c r="C40791" s="1">
        <v>2.1827631992236299E-6</v>
      </c>
      <c r="D40791" s="1">
        <v>0</v>
      </c>
      <c r="E40791" s="1">
        <v>0</v>
      </c>
      <c r="F40791" s="1">
        <v>1.98970269165985E-6</v>
      </c>
    </row>
    <row r="40792" spans="1:6" x14ac:dyDescent="0.25">
      <c r="A40792" s="2" t="str">
        <f t="shared" si="1299"/>
        <v>99999</v>
      </c>
      <c r="B40792" s="2" t="str">
        <f>"77364"</f>
        <v>77364</v>
      </c>
      <c r="C40792" s="1">
        <v>1.58577746423597E-4</v>
      </c>
      <c r="D40792" s="1">
        <v>9.7126571098167595E-5</v>
      </c>
      <c r="E40792" s="1">
        <v>8.69107991013423E-6</v>
      </c>
      <c r="F40792" s="1">
        <v>1.5111791943156499E-4</v>
      </c>
    </row>
    <row r="40793" spans="1:6" x14ac:dyDescent="0.25">
      <c r="A40793" s="2" t="str">
        <f t="shared" si="1299"/>
        <v>99999</v>
      </c>
      <c r="B40793" s="2" t="str">
        <f>"77399"</f>
        <v>77399</v>
      </c>
      <c r="C40793" s="1">
        <v>2.16093556723139E-5</v>
      </c>
      <c r="D40793" s="1">
        <v>1.51760267340886E-6</v>
      </c>
      <c r="E40793" s="1">
        <v>0</v>
      </c>
      <c r="F40793" s="1">
        <v>1.9797541782015501E-5</v>
      </c>
    </row>
    <row r="40794" spans="1:6" x14ac:dyDescent="0.25">
      <c r="A40794" s="2" t="str">
        <f t="shared" si="1299"/>
        <v>99999</v>
      </c>
      <c r="B40794" s="2" t="str">
        <f>"77351"</f>
        <v>77351</v>
      </c>
      <c r="C40794" s="1">
        <v>1.8282824556697099E-3</v>
      </c>
      <c r="D40794" s="1">
        <v>2.2991680502144301E-3</v>
      </c>
      <c r="E40794" s="1">
        <v>7.99579351732349E-4</v>
      </c>
      <c r="F40794" s="1">
        <v>1.83560021819079E-3</v>
      </c>
    </row>
    <row r="40795" spans="1:6" x14ac:dyDescent="0.25">
      <c r="A40795" s="2" t="str">
        <f t="shared" si="1299"/>
        <v>99999</v>
      </c>
      <c r="B40795" s="2" t="str">
        <f>"77320"</f>
        <v>77320</v>
      </c>
      <c r="C40795" s="1">
        <v>6.7993073655816199E-5</v>
      </c>
      <c r="D40795" s="1">
        <v>1.66936294074975E-5</v>
      </c>
      <c r="E40795" s="1">
        <v>0</v>
      </c>
      <c r="F40795" s="1">
        <v>6.3073575325617304E-5</v>
      </c>
    </row>
    <row r="40796" spans="1:6" x14ac:dyDescent="0.25">
      <c r="A40796" s="2" t="str">
        <f t="shared" si="1299"/>
        <v>99999</v>
      </c>
      <c r="B40796" s="2" t="str">
        <f>"76940"</f>
        <v>76940</v>
      </c>
      <c r="C40796" s="1">
        <v>1.09138159961181E-7</v>
      </c>
      <c r="D40796" s="1">
        <v>0</v>
      </c>
      <c r="E40796" s="1">
        <v>0</v>
      </c>
      <c r="F40796" s="1">
        <v>9.9485134582992598E-8</v>
      </c>
    </row>
    <row r="40797" spans="1:6" x14ac:dyDescent="0.25">
      <c r="A40797" s="2" t="str">
        <f t="shared" si="1299"/>
        <v>99999</v>
      </c>
      <c r="B40797" s="2" t="str">
        <f>"76937"</f>
        <v>76937</v>
      </c>
      <c r="C40797" s="1">
        <v>1.52793423945654E-6</v>
      </c>
      <c r="D40797" s="1">
        <v>0</v>
      </c>
      <c r="E40797" s="1">
        <v>3.0418779685469802E-5</v>
      </c>
      <c r="F40797" s="1">
        <v>2.08918782624284E-6</v>
      </c>
    </row>
    <row r="40798" spans="1:6" x14ac:dyDescent="0.25">
      <c r="A40798" s="2" t="str">
        <f t="shared" si="1299"/>
        <v>99999</v>
      </c>
      <c r="B40798" s="2" t="str">
        <f>"76935"</f>
        <v>76935</v>
      </c>
      <c r="C40798" s="1">
        <v>5.3477698380979E-6</v>
      </c>
      <c r="D40798" s="1">
        <v>0</v>
      </c>
      <c r="E40798" s="1">
        <v>0</v>
      </c>
      <c r="F40798" s="1">
        <v>4.8747715945666299E-6</v>
      </c>
    </row>
    <row r="40799" spans="1:6" x14ac:dyDescent="0.25">
      <c r="A40799" s="2" t="str">
        <f t="shared" si="1299"/>
        <v>99999</v>
      </c>
      <c r="B40799" s="2" t="str">
        <f>"76905"</f>
        <v>76905</v>
      </c>
      <c r="C40799" s="1">
        <v>1.09138159961181E-7</v>
      </c>
      <c r="D40799" s="1">
        <v>0</v>
      </c>
      <c r="E40799" s="1">
        <v>0</v>
      </c>
      <c r="F40799" s="1">
        <v>9.9485134582992598E-8</v>
      </c>
    </row>
    <row r="40800" spans="1:6" x14ac:dyDescent="0.25">
      <c r="A40800" s="2" t="str">
        <f t="shared" si="1299"/>
        <v>99999</v>
      </c>
      <c r="B40800" s="2" t="str">
        <f>"76953"</f>
        <v>76953</v>
      </c>
      <c r="C40800" s="1">
        <v>0</v>
      </c>
      <c r="D40800" s="1">
        <v>0</v>
      </c>
      <c r="E40800" s="1">
        <v>4.3455399550671099E-6</v>
      </c>
      <c r="F40800" s="1">
        <v>9.9485134582992598E-8</v>
      </c>
    </row>
    <row r="40801" spans="1:6" x14ac:dyDescent="0.25">
      <c r="A40801" s="2" t="str">
        <f t="shared" si="1299"/>
        <v>99999</v>
      </c>
      <c r="B40801" s="2" t="str">
        <f>"76936"</f>
        <v>76936</v>
      </c>
      <c r="C40801" s="1">
        <v>7.8906889651934295E-5</v>
      </c>
      <c r="D40801" s="1">
        <v>4.4010477528857203E-5</v>
      </c>
      <c r="E40801" s="1">
        <v>4.3455399550671103E-5</v>
      </c>
      <c r="F40801" s="1">
        <v>7.58076725522403E-5</v>
      </c>
    </row>
    <row r="40802" spans="1:6" x14ac:dyDescent="0.25">
      <c r="A40802" s="2" t="str">
        <f t="shared" si="1299"/>
        <v>99999</v>
      </c>
      <c r="B40802" s="2" t="str">
        <f>"76933"</f>
        <v>76933</v>
      </c>
      <c r="C40802" s="1">
        <v>3.8744046786219498E-5</v>
      </c>
      <c r="D40802" s="1">
        <v>2.1246437427724101E-5</v>
      </c>
      <c r="E40802" s="1">
        <v>1.08638498876677E-4</v>
      </c>
      <c r="F40802" s="1">
        <v>3.9197143025699002E-5</v>
      </c>
    </row>
    <row r="40803" spans="1:6" x14ac:dyDescent="0.25">
      <c r="A40803" s="2" t="str">
        <f t="shared" si="1299"/>
        <v>99999</v>
      </c>
      <c r="B40803" s="2" t="str">
        <f>"76885"</f>
        <v>76885</v>
      </c>
      <c r="C40803" s="1">
        <v>6.6574277576320803E-6</v>
      </c>
      <c r="D40803" s="1">
        <v>0</v>
      </c>
      <c r="E40803" s="1">
        <v>4.3455399550671099E-6</v>
      </c>
      <c r="F40803" s="1">
        <v>6.1680783441455402E-6</v>
      </c>
    </row>
    <row r="40804" spans="1:6" x14ac:dyDescent="0.25">
      <c r="A40804" s="2" t="str">
        <f t="shared" si="1299"/>
        <v>99999</v>
      </c>
      <c r="B40804" s="2" t="str">
        <f>"76873"</f>
        <v>76873</v>
      </c>
      <c r="C40804" s="1">
        <v>4.3655263984472599E-6</v>
      </c>
      <c r="D40804" s="1">
        <v>0</v>
      </c>
      <c r="E40804" s="1">
        <v>8.69107991013423E-6</v>
      </c>
      <c r="F40804" s="1">
        <v>4.1783756524856902E-6</v>
      </c>
    </row>
    <row r="40805" spans="1:6" x14ac:dyDescent="0.25">
      <c r="A40805" s="2" t="str">
        <f t="shared" si="1299"/>
        <v>99999</v>
      </c>
      <c r="B40805" s="2" t="str">
        <f>"76871"</f>
        <v>76871</v>
      </c>
      <c r="C40805" s="1">
        <v>3.8089217826452399E-5</v>
      </c>
      <c r="D40805" s="1">
        <v>1.5176026734088599E-5</v>
      </c>
      <c r="E40805" s="1">
        <v>1.3036619865201299E-5</v>
      </c>
      <c r="F40805" s="1">
        <v>3.60136187190433E-5</v>
      </c>
    </row>
    <row r="40806" spans="1:6" x14ac:dyDescent="0.25">
      <c r="A40806" s="2" t="str">
        <f t="shared" si="1299"/>
        <v>99999</v>
      </c>
      <c r="B40806" s="2" t="str">
        <f>"76864"</f>
        <v>76864</v>
      </c>
      <c r="C40806" s="1">
        <v>7.1594632934535206E-5</v>
      </c>
      <c r="D40806" s="1">
        <v>1.21408213872709E-5</v>
      </c>
      <c r="E40806" s="1">
        <v>2.1727699775335501E-5</v>
      </c>
      <c r="F40806" s="1">
        <v>6.6555555036022001E-5</v>
      </c>
    </row>
    <row r="40807" spans="1:6" x14ac:dyDescent="0.25">
      <c r="A40807" s="2" t="str">
        <f t="shared" si="1299"/>
        <v>99999</v>
      </c>
      <c r="B40807" s="2" t="str">
        <f>"76859"</f>
        <v>76859</v>
      </c>
      <c r="C40807" s="1">
        <v>3.71069743868017E-5</v>
      </c>
      <c r="D40807" s="1">
        <v>6.0704106936354696E-6</v>
      </c>
      <c r="E40807" s="1">
        <v>2.60732397304027E-5</v>
      </c>
      <c r="F40807" s="1">
        <v>3.48197971040474E-5</v>
      </c>
    </row>
    <row r="40808" spans="1:6" x14ac:dyDescent="0.25">
      <c r="A40808" s="2" t="str">
        <f t="shared" si="1299"/>
        <v>99999</v>
      </c>
      <c r="B40808" s="2" t="str">
        <f>"76836"</f>
        <v>76836</v>
      </c>
      <c r="C40808" s="1">
        <v>4.2563882384860804E-6</v>
      </c>
      <c r="D40808" s="1">
        <v>0</v>
      </c>
      <c r="E40808" s="1">
        <v>0</v>
      </c>
      <c r="F40808" s="1">
        <v>3.87992024873671E-6</v>
      </c>
    </row>
    <row r="40809" spans="1:6" x14ac:dyDescent="0.25">
      <c r="A40809" s="2" t="str">
        <f t="shared" si="1299"/>
        <v>99999</v>
      </c>
      <c r="B40809" s="2" t="str">
        <f>"76821"</f>
        <v>76821</v>
      </c>
      <c r="C40809" s="1">
        <v>2.6804332086466202E-4</v>
      </c>
      <c r="D40809" s="1">
        <v>5.0536169024515299E-4</v>
      </c>
      <c r="E40809" s="1">
        <v>3.7371643613577199E-4</v>
      </c>
      <c r="F40809" s="1">
        <v>2.8601976192610298E-4</v>
      </c>
    </row>
    <row r="40810" spans="1:6" x14ac:dyDescent="0.25">
      <c r="A40810" s="2" t="str">
        <f t="shared" si="1299"/>
        <v>99999</v>
      </c>
      <c r="B40810" s="2" t="str">
        <f>"76569"</f>
        <v>76569</v>
      </c>
      <c r="C40810" s="1">
        <v>8.0762238371274393E-6</v>
      </c>
      <c r="D40810" s="1">
        <v>0</v>
      </c>
      <c r="E40810" s="1">
        <v>0</v>
      </c>
      <c r="F40810" s="1">
        <v>7.3618999591414504E-6</v>
      </c>
    </row>
    <row r="40811" spans="1:6" x14ac:dyDescent="0.25">
      <c r="A40811" s="2" t="str">
        <f t="shared" si="1299"/>
        <v>99999</v>
      </c>
      <c r="B40811" s="2" t="str">
        <f>"76653"</f>
        <v>76653</v>
      </c>
      <c r="C40811" s="1">
        <v>4.9657862782337601E-5</v>
      </c>
      <c r="D40811" s="1">
        <v>2.7316848121359601E-5</v>
      </c>
      <c r="E40811" s="1">
        <v>3.47643196405369E-5</v>
      </c>
      <c r="F40811" s="1">
        <v>4.7852349734419398E-5</v>
      </c>
    </row>
    <row r="40812" spans="1:6" x14ac:dyDescent="0.25">
      <c r="A40812" s="2" t="str">
        <f t="shared" si="1299"/>
        <v>99999</v>
      </c>
      <c r="B40812" s="2" t="str">
        <f>"76648"</f>
        <v>76648</v>
      </c>
      <c r="C40812" s="1">
        <v>1.5039238442650799E-4</v>
      </c>
      <c r="D40812" s="1">
        <v>1.5631307536111301E-4</v>
      </c>
      <c r="E40812" s="1">
        <v>6.0837559370939603E-5</v>
      </c>
      <c r="F40812" s="1">
        <v>1.48730276201573E-4</v>
      </c>
    </row>
    <row r="40813" spans="1:6" x14ac:dyDescent="0.25">
      <c r="A40813" s="2" t="str">
        <f t="shared" si="1299"/>
        <v>99999</v>
      </c>
      <c r="B40813" s="2" t="str">
        <f>"76692"</f>
        <v>76692</v>
      </c>
      <c r="C40813" s="1">
        <v>6.6257776912433401E-4</v>
      </c>
      <c r="D40813" s="1">
        <v>5.5544257846764603E-4</v>
      </c>
      <c r="E40813" s="1">
        <v>4.4324507541684501E-4</v>
      </c>
      <c r="F40813" s="1">
        <v>6.5053329503818801E-4</v>
      </c>
    </row>
    <row r="40814" spans="1:6" x14ac:dyDescent="0.25">
      <c r="A40814" s="2" t="str">
        <f t="shared" si="1299"/>
        <v>99999</v>
      </c>
      <c r="B40814" s="2" t="str">
        <f>"76689"</f>
        <v>76689</v>
      </c>
      <c r="C40814" s="1">
        <v>1.19288008837571E-4</v>
      </c>
      <c r="D40814" s="1">
        <v>1.9728834754315301E-5</v>
      </c>
      <c r="E40814" s="1">
        <v>6.9528639281073799E-5</v>
      </c>
      <c r="F40814" s="1">
        <v>1.11622321002117E-4</v>
      </c>
    </row>
    <row r="40815" spans="1:6" x14ac:dyDescent="0.25">
      <c r="A40815" s="2" t="str">
        <f t="shared" si="1299"/>
        <v>99999</v>
      </c>
      <c r="B40815" s="2" t="str">
        <f>"76687"</f>
        <v>76687</v>
      </c>
      <c r="C40815" s="1">
        <v>9.0693810927741997E-5</v>
      </c>
      <c r="D40815" s="1">
        <v>3.0352053468177301E-5</v>
      </c>
      <c r="E40815" s="1">
        <v>6.9528639281073799E-5</v>
      </c>
      <c r="F40815" s="1">
        <v>8.6253611683454595E-5</v>
      </c>
    </row>
    <row r="40816" spans="1:6" x14ac:dyDescent="0.25">
      <c r="A40816" s="2" t="str">
        <f t="shared" si="1299"/>
        <v>99999</v>
      </c>
      <c r="B40816" s="2" t="str">
        <f>"76621"</f>
        <v>76621</v>
      </c>
      <c r="C40816" s="1">
        <v>5.03126917421047E-5</v>
      </c>
      <c r="D40816" s="1">
        <v>1.3658424060679801E-5</v>
      </c>
      <c r="E40816" s="1">
        <v>4.3455399550671099E-6</v>
      </c>
      <c r="F40816" s="1">
        <v>4.6857498388589501E-5</v>
      </c>
    </row>
    <row r="40817" spans="1:6" x14ac:dyDescent="0.25">
      <c r="A40817" s="2" t="str">
        <f t="shared" si="1299"/>
        <v>99999</v>
      </c>
      <c r="B40817" s="2" t="str">
        <f>"76371"</f>
        <v>76371</v>
      </c>
      <c r="C40817" s="1">
        <v>7.2576876374185804E-5</v>
      </c>
      <c r="D40817" s="1">
        <v>2.2764040101133E-5</v>
      </c>
      <c r="E40817" s="1">
        <v>7.8219719191208097E-5</v>
      </c>
      <c r="F40817" s="1">
        <v>6.9440623938928802E-5</v>
      </c>
    </row>
    <row r="40818" spans="1:6" x14ac:dyDescent="0.25">
      <c r="A40818" s="2" t="str">
        <f t="shared" si="1299"/>
        <v>99999</v>
      </c>
      <c r="B40818" s="2" t="str">
        <f>"76270"</f>
        <v>76270</v>
      </c>
      <c r="C40818" s="1">
        <v>7.6178435652904798E-5</v>
      </c>
      <c r="D40818" s="1">
        <v>1.9728834754315301E-5</v>
      </c>
      <c r="E40818" s="1">
        <v>4.3455399550671099E-6</v>
      </c>
      <c r="F40818" s="1">
        <v>7.08334158230907E-5</v>
      </c>
    </row>
    <row r="40819" spans="1:6" x14ac:dyDescent="0.25">
      <c r="A40819" s="2" t="str">
        <f t="shared" si="1299"/>
        <v>99999</v>
      </c>
      <c r="B40819" s="2" t="str">
        <f>"76511"</f>
        <v>76511</v>
      </c>
      <c r="C40819" s="1">
        <v>1.15686449558852E-5</v>
      </c>
      <c r="D40819" s="1">
        <v>0</v>
      </c>
      <c r="E40819" s="1">
        <v>0</v>
      </c>
      <c r="F40819" s="1">
        <v>1.05454242657972E-5</v>
      </c>
    </row>
    <row r="40820" spans="1:6" x14ac:dyDescent="0.25">
      <c r="A40820" s="2" t="str">
        <f t="shared" si="1299"/>
        <v>99999</v>
      </c>
      <c r="B40820" s="2" t="str">
        <f>"76431"</f>
        <v>76431</v>
      </c>
      <c r="C40820" s="1">
        <v>3.05586847891308E-6</v>
      </c>
      <c r="D40820" s="1">
        <v>0</v>
      </c>
      <c r="E40820" s="1">
        <v>0</v>
      </c>
      <c r="F40820" s="1">
        <v>2.7855837683237898E-6</v>
      </c>
    </row>
    <row r="40821" spans="1:6" x14ac:dyDescent="0.25">
      <c r="A40821" s="2" t="str">
        <f t="shared" si="1299"/>
        <v>99999</v>
      </c>
      <c r="B40821" s="2" t="str">
        <f>"76446"</f>
        <v>76446</v>
      </c>
      <c r="C40821" s="1">
        <v>5.0094415422182397E-5</v>
      </c>
      <c r="D40821" s="1">
        <v>2.2764040101133E-5</v>
      </c>
      <c r="E40821" s="1">
        <v>1.7382159820268399E-5</v>
      </c>
      <c r="F40821" s="1">
        <v>4.7553894330670403E-5</v>
      </c>
    </row>
    <row r="40822" spans="1:6" x14ac:dyDescent="0.25">
      <c r="A40822" s="2" t="str">
        <f t="shared" si="1299"/>
        <v>99999</v>
      </c>
      <c r="B40822" s="2" t="str">
        <f>"76481"</f>
        <v>76481</v>
      </c>
      <c r="C40822" s="1">
        <v>1.54976187144878E-5</v>
      </c>
      <c r="D40822" s="1">
        <v>6.0704106936354696E-6</v>
      </c>
      <c r="E40822" s="1">
        <v>4.3455399550671099E-6</v>
      </c>
      <c r="F40822" s="1">
        <v>1.4624314783699901E-5</v>
      </c>
    </row>
    <row r="40823" spans="1:6" x14ac:dyDescent="0.25">
      <c r="A40823" s="2" t="str">
        <f t="shared" si="1299"/>
        <v>99999</v>
      </c>
      <c r="B40823" s="2" t="str">
        <f>"76457"</f>
        <v>76457</v>
      </c>
      <c r="C40823" s="1">
        <v>1.8520745745412501E-4</v>
      </c>
      <c r="D40823" s="1">
        <v>1.03196981791803E-4</v>
      </c>
      <c r="E40823" s="1">
        <v>7.4308733231647601E-4</v>
      </c>
      <c r="F40823" s="1">
        <v>1.9260322055267301E-4</v>
      </c>
    </row>
    <row r="40824" spans="1:6" x14ac:dyDescent="0.25">
      <c r="A40824" s="2" t="str">
        <f t="shared" si="1299"/>
        <v>99999</v>
      </c>
      <c r="B40824" s="2" t="str">
        <f>"76455"</f>
        <v>76455</v>
      </c>
      <c r="C40824" s="1">
        <v>4.8348204862803498E-5</v>
      </c>
      <c r="D40824" s="1">
        <v>3.4904861488403899E-5</v>
      </c>
      <c r="E40824" s="1">
        <v>4.3455399550671103E-5</v>
      </c>
      <c r="F40824" s="1">
        <v>4.7354924061504399E-5</v>
      </c>
    </row>
    <row r="40825" spans="1:6" x14ac:dyDescent="0.25">
      <c r="A40825" s="2" t="str">
        <f t="shared" si="1299"/>
        <v>99999</v>
      </c>
      <c r="B40825" s="2" t="str">
        <f>"76454"</f>
        <v>76454</v>
      </c>
      <c r="C40825" s="1">
        <v>6.9302731575350397E-5</v>
      </c>
      <c r="D40825" s="1">
        <v>1.66936294074975E-5</v>
      </c>
      <c r="E40825" s="1">
        <v>1.12984038831745E-4</v>
      </c>
      <c r="F40825" s="1">
        <v>6.6854010439771003E-5</v>
      </c>
    </row>
    <row r="40826" spans="1:6" x14ac:dyDescent="0.25">
      <c r="A40826" s="2" t="str">
        <f t="shared" si="1299"/>
        <v>99999</v>
      </c>
      <c r="B40826" s="2" t="str">
        <f>"76450"</f>
        <v>76450</v>
      </c>
      <c r="C40826" s="1">
        <v>9.27019530710277E-4</v>
      </c>
      <c r="D40826" s="1">
        <v>1.9622602567176601E-3</v>
      </c>
      <c r="E40826" s="1">
        <v>9.7340094993503398E-4</v>
      </c>
      <c r="F40826" s="1">
        <v>9.959456823103389E-4</v>
      </c>
    </row>
    <row r="40827" spans="1:6" x14ac:dyDescent="0.25">
      <c r="A40827" s="2" t="str">
        <f t="shared" si="1299"/>
        <v>99999</v>
      </c>
      <c r="B40827" s="2" t="str">
        <f>"76374"</f>
        <v>76374</v>
      </c>
      <c r="C40827" s="1">
        <v>2.56474675908777E-4</v>
      </c>
      <c r="D40827" s="1">
        <v>3.8091827102562599E-4</v>
      </c>
      <c r="E40827" s="1">
        <v>3.4764319640536898E-4</v>
      </c>
      <c r="F40827" s="1">
        <v>2.6671964581700302E-4</v>
      </c>
    </row>
    <row r="40828" spans="1:6" x14ac:dyDescent="0.25">
      <c r="A40828" s="2" t="str">
        <f t="shared" si="1299"/>
        <v>99999</v>
      </c>
      <c r="B40828" s="2" t="str">
        <f>"76426"</f>
        <v>76426</v>
      </c>
      <c r="C40828" s="1">
        <v>1.65890003140996E-5</v>
      </c>
      <c r="D40828" s="1">
        <v>9.1056160404532095E-6</v>
      </c>
      <c r="E40828" s="1">
        <v>0</v>
      </c>
      <c r="F40828" s="1">
        <v>1.57186512641128E-5</v>
      </c>
    </row>
    <row r="40829" spans="1:6" x14ac:dyDescent="0.25">
      <c r="A40829" s="2" t="str">
        <f t="shared" si="1299"/>
        <v>99999</v>
      </c>
      <c r="B40829" s="2" t="str">
        <f>"76239"</f>
        <v>76239</v>
      </c>
      <c r="C40829" s="1">
        <v>4.6820270623346902E-5</v>
      </c>
      <c r="D40829" s="1">
        <v>1.21408213872709E-5</v>
      </c>
      <c r="E40829" s="1">
        <v>8.69107991013423E-6</v>
      </c>
      <c r="F40829" s="1">
        <v>4.3673974081933698E-5</v>
      </c>
    </row>
    <row r="40830" spans="1:6" x14ac:dyDescent="0.25">
      <c r="A40830" s="2" t="str">
        <f t="shared" si="1299"/>
        <v>99999</v>
      </c>
      <c r="B40830" s="2" t="str">
        <f>"76033"</f>
        <v>76033</v>
      </c>
      <c r="C40830" s="1">
        <v>9.0584672767780794E-6</v>
      </c>
      <c r="D40830" s="1">
        <v>6.0704106936354696E-6</v>
      </c>
      <c r="E40830" s="1">
        <v>6.0837559370939603E-5</v>
      </c>
      <c r="F40830" s="1">
        <v>1.0047998592882199E-5</v>
      </c>
    </row>
    <row r="40831" spans="1:6" x14ac:dyDescent="0.25">
      <c r="A40831" s="2" t="str">
        <f t="shared" si="1299"/>
        <v>99999</v>
      </c>
      <c r="B40831" s="2" t="str">
        <f>"75980"</f>
        <v>75980</v>
      </c>
      <c r="C40831" s="1">
        <v>2.8375921589907201E-6</v>
      </c>
      <c r="D40831" s="1">
        <v>0</v>
      </c>
      <c r="E40831" s="1">
        <v>0</v>
      </c>
      <c r="F40831" s="1">
        <v>2.5866134991578E-6</v>
      </c>
    </row>
    <row r="40832" spans="1:6" x14ac:dyDescent="0.25">
      <c r="A40832" s="2" t="str">
        <f t="shared" si="1299"/>
        <v>99999</v>
      </c>
      <c r="B40832" s="2" t="str">
        <f>"75968"</f>
        <v>75968</v>
      </c>
      <c r="C40832" s="1">
        <v>9.0038981967974904E-5</v>
      </c>
      <c r="D40832" s="1">
        <v>3.7940066835221703E-5</v>
      </c>
      <c r="E40832" s="1">
        <v>4.3455399550671099E-6</v>
      </c>
      <c r="F40832" s="1">
        <v>8.4661849530126701E-5</v>
      </c>
    </row>
    <row r="40833" spans="1:6" x14ac:dyDescent="0.25">
      <c r="A40833" s="2" t="str">
        <f t="shared" si="1299"/>
        <v>99999</v>
      </c>
      <c r="B40833" s="2" t="str">
        <f>"75778"</f>
        <v>75778</v>
      </c>
      <c r="C40833" s="1">
        <v>8.3708968690226305E-5</v>
      </c>
      <c r="D40833" s="1">
        <v>4.5528080202265997E-6</v>
      </c>
      <c r="E40833" s="1">
        <v>0</v>
      </c>
      <c r="F40833" s="1">
        <v>7.6603553628904302E-5</v>
      </c>
    </row>
    <row r="40834" spans="1:6" x14ac:dyDescent="0.25">
      <c r="A40834" s="2" t="str">
        <f t="shared" si="1299"/>
        <v>99999</v>
      </c>
      <c r="B40834" s="2" t="str">
        <f>"75956"</f>
        <v>75956</v>
      </c>
      <c r="C40834" s="1">
        <v>4.0915896169447E-4</v>
      </c>
      <c r="D40834" s="1">
        <v>3.7181265498517299E-4</v>
      </c>
      <c r="E40834" s="1">
        <v>5.3276319849122804E-3</v>
      </c>
      <c r="F40834" s="1">
        <v>5.1931240252322099E-4</v>
      </c>
    </row>
    <row r="40835" spans="1:6" x14ac:dyDescent="0.25">
      <c r="A40835" s="2" t="str">
        <f t="shared" si="1299"/>
        <v>99999</v>
      </c>
      <c r="B40835" s="2" t="str">
        <f>"75904"</f>
        <v>75904</v>
      </c>
      <c r="C40835" s="1">
        <v>8.7310527968945299E-7</v>
      </c>
      <c r="D40835" s="1">
        <v>3.0352053468177301E-6</v>
      </c>
      <c r="E40835" s="1">
        <v>0</v>
      </c>
      <c r="F40835" s="1">
        <v>9.9485134582992606E-7</v>
      </c>
    </row>
    <row r="40836" spans="1:6" x14ac:dyDescent="0.25">
      <c r="A40836" s="2" t="str">
        <f t="shared" si="1299"/>
        <v>99999</v>
      </c>
      <c r="B40836" s="2" t="str">
        <f>"75765"</f>
        <v>75765</v>
      </c>
      <c r="C40836" s="1">
        <v>5.0148984502162996E-4</v>
      </c>
      <c r="D40836" s="1">
        <v>2.2005238764428599E-4</v>
      </c>
      <c r="E40836" s="1">
        <v>2.9549671694456298E-4</v>
      </c>
      <c r="F40836" s="1">
        <v>4.7832452707502801E-4</v>
      </c>
    </row>
    <row r="40837" spans="1:6" x14ac:dyDescent="0.25">
      <c r="A40837" s="2" t="str">
        <f t="shared" si="1299"/>
        <v>99999</v>
      </c>
      <c r="B40837" s="2" t="str">
        <f>"75860"</f>
        <v>75860</v>
      </c>
      <c r="C40837" s="1">
        <v>4.1035948145404298E-4</v>
      </c>
      <c r="D40837" s="1">
        <v>3.39942998843586E-4</v>
      </c>
      <c r="E40837" s="1">
        <v>3.2591549663003302E-4</v>
      </c>
      <c r="F40837" s="1">
        <v>4.0381016127236699E-4</v>
      </c>
    </row>
    <row r="40838" spans="1:6" x14ac:dyDescent="0.25">
      <c r="A40838" s="2" t="str">
        <f t="shared" si="1299"/>
        <v>99999</v>
      </c>
      <c r="B40838" s="2" t="str">
        <f>"75850"</f>
        <v>75850</v>
      </c>
      <c r="C40838" s="1">
        <v>2.8812474229751901E-5</v>
      </c>
      <c r="D40838" s="1">
        <v>9.1056160404532095E-6</v>
      </c>
      <c r="E40838" s="1">
        <v>0</v>
      </c>
      <c r="F40838" s="1">
        <v>2.6860986337408E-5</v>
      </c>
    </row>
    <row r="40839" spans="1:6" x14ac:dyDescent="0.25">
      <c r="A40839" s="2" t="str">
        <f t="shared" si="1299"/>
        <v>99999</v>
      </c>
      <c r="B40839" s="2" t="str">
        <f>"75571"</f>
        <v>75571</v>
      </c>
      <c r="C40839" s="1">
        <v>2.1118233952488599E-4</v>
      </c>
      <c r="D40839" s="1">
        <v>2.88344507947685E-5</v>
      </c>
      <c r="E40839" s="1">
        <v>8.69107991013423E-6</v>
      </c>
      <c r="F40839" s="1">
        <v>1.94592923244333E-4</v>
      </c>
    </row>
    <row r="40840" spans="1:6" x14ac:dyDescent="0.25">
      <c r="A40840" s="2" t="str">
        <f t="shared" si="1299"/>
        <v>99999</v>
      </c>
      <c r="B40840" s="2" t="str">
        <f>"75450"</f>
        <v>75450</v>
      </c>
      <c r="C40840" s="1">
        <v>1.8007796393594899E-5</v>
      </c>
      <c r="D40840" s="1">
        <v>6.0704106936354696E-6</v>
      </c>
      <c r="E40840" s="1">
        <v>2.1293145779828799E-4</v>
      </c>
      <c r="F40840" s="1">
        <v>2.16877593390923E-5</v>
      </c>
    </row>
    <row r="40841" spans="1:6" x14ac:dyDescent="0.25">
      <c r="A40841" s="2" t="str">
        <f t="shared" si="1299"/>
        <v>99999</v>
      </c>
      <c r="B40841" s="2" t="str">
        <f>"75426"</f>
        <v>75426</v>
      </c>
      <c r="C40841" s="1">
        <v>4.3546125824511501E-4</v>
      </c>
      <c r="D40841" s="1">
        <v>4.8108004747061099E-4</v>
      </c>
      <c r="E40841" s="1">
        <v>5.43192494383389E-4</v>
      </c>
      <c r="F40841" s="1">
        <v>4.4091811647182301E-4</v>
      </c>
    </row>
    <row r="40842" spans="1:6" x14ac:dyDescent="0.25">
      <c r="A40842" s="2" t="str">
        <f t="shared" si="1299"/>
        <v>99999</v>
      </c>
      <c r="B40842" s="2" t="str">
        <f>"75474"</f>
        <v>75474</v>
      </c>
      <c r="C40842" s="1">
        <v>9.8224343965063504E-7</v>
      </c>
      <c r="D40842" s="1">
        <v>0</v>
      </c>
      <c r="E40842" s="1">
        <v>0</v>
      </c>
      <c r="F40842" s="1">
        <v>8.9536621124693305E-7</v>
      </c>
    </row>
    <row r="40843" spans="1:6" x14ac:dyDescent="0.25">
      <c r="A40843" s="2" t="str">
        <f t="shared" si="1299"/>
        <v>99999</v>
      </c>
      <c r="B40843" s="2" t="str">
        <f>"75412"</f>
        <v>75412</v>
      </c>
      <c r="C40843" s="1">
        <v>6.6574277576320805E-5</v>
      </c>
      <c r="D40843" s="1">
        <v>1.21408213872709E-5</v>
      </c>
      <c r="E40843" s="1">
        <v>1.3036619865201299E-5</v>
      </c>
      <c r="F40843" s="1">
        <v>6.1780268576038398E-5</v>
      </c>
    </row>
    <row r="40844" spans="1:6" x14ac:dyDescent="0.25">
      <c r="A40844" s="2" t="str">
        <f t="shared" si="1299"/>
        <v>99999</v>
      </c>
      <c r="B40844" s="2" t="str">
        <f>"74951"</f>
        <v>74951</v>
      </c>
      <c r="C40844" s="1">
        <v>0</v>
      </c>
      <c r="D40844" s="1">
        <v>1.51760267340886E-6</v>
      </c>
      <c r="E40844" s="1">
        <v>4.3455399550671099E-6</v>
      </c>
      <c r="F40844" s="1">
        <v>1.9897026916598501E-7</v>
      </c>
    </row>
    <row r="40845" spans="1:6" x14ac:dyDescent="0.25">
      <c r="A40845" s="2" t="str">
        <f t="shared" si="1299"/>
        <v>99999</v>
      </c>
      <c r="B40845" s="2" t="str">
        <f>"74953"</f>
        <v>74953</v>
      </c>
      <c r="C40845" s="1">
        <v>6.7119968376126704E-4</v>
      </c>
      <c r="D40845" s="1">
        <v>1.4037824729032E-3</v>
      </c>
      <c r="E40845" s="1">
        <v>6.6921315308033497E-4</v>
      </c>
      <c r="F40845" s="1">
        <v>7.1917803790045296E-4</v>
      </c>
    </row>
    <row r="40846" spans="1:6" x14ac:dyDescent="0.25">
      <c r="A40846" s="2" t="str">
        <f t="shared" si="1299"/>
        <v>99999</v>
      </c>
      <c r="B40846" s="2" t="str">
        <f>"74940"</f>
        <v>74940</v>
      </c>
      <c r="C40846" s="1">
        <v>1.15795587718813E-4</v>
      </c>
      <c r="D40846" s="1">
        <v>3.3387258814995101E-5</v>
      </c>
      <c r="E40846" s="1">
        <v>5.6492019415872502E-5</v>
      </c>
      <c r="F40846" s="1">
        <v>1.09035707502959E-4</v>
      </c>
    </row>
    <row r="40847" spans="1:6" x14ac:dyDescent="0.25">
      <c r="A40847" s="2" t="str">
        <f t="shared" si="1299"/>
        <v>99999</v>
      </c>
      <c r="B40847" s="2" t="str">
        <f>"74558"</f>
        <v>74558</v>
      </c>
      <c r="C40847" s="1">
        <v>1.60433095142937E-5</v>
      </c>
      <c r="D40847" s="1">
        <v>3.0352053468177301E-6</v>
      </c>
      <c r="E40847" s="1">
        <v>4.3455399550671099E-6</v>
      </c>
      <c r="F40847" s="1">
        <v>1.49227701874488E-5</v>
      </c>
    </row>
    <row r="40848" spans="1:6" x14ac:dyDescent="0.25">
      <c r="A40848" s="2" t="str">
        <f t="shared" si="1299"/>
        <v>99999</v>
      </c>
      <c r="B40848" s="2" t="str">
        <f>"74571"</f>
        <v>74571</v>
      </c>
      <c r="C40848" s="1">
        <v>1.5268428578569301E-4</v>
      </c>
      <c r="D40848" s="1">
        <v>1.16855405852482E-4</v>
      </c>
      <c r="E40848" s="1">
        <v>2.60732397304027E-5</v>
      </c>
      <c r="F40848" s="1">
        <v>1.47436969451995E-4</v>
      </c>
    </row>
    <row r="40849" spans="1:6" x14ac:dyDescent="0.25">
      <c r="A40849" s="2" t="str">
        <f t="shared" si="1299"/>
        <v>99999</v>
      </c>
      <c r="B40849" s="2" t="str">
        <f>"74552"</f>
        <v>74552</v>
      </c>
      <c r="C40849" s="1">
        <v>4.6929408783308097E-5</v>
      </c>
      <c r="D40849" s="1">
        <v>1.0623218713862E-5</v>
      </c>
      <c r="E40849" s="1">
        <v>3.0418779685469802E-5</v>
      </c>
      <c r="F40849" s="1">
        <v>4.4171399754848697E-5</v>
      </c>
    </row>
    <row r="40850" spans="1:6" x14ac:dyDescent="0.25">
      <c r="A40850" s="2" t="str">
        <f t="shared" ref="A40850:A40913" si="1300">"99999"</f>
        <v>99999</v>
      </c>
      <c r="B40850" s="2" t="str">
        <f>"74860"</f>
        <v>74860</v>
      </c>
      <c r="C40850" s="1">
        <v>6.9739284215195098E-5</v>
      </c>
      <c r="D40850" s="1">
        <v>2.2764040101133E-5</v>
      </c>
      <c r="E40850" s="1">
        <v>4.3455399550671099E-6</v>
      </c>
      <c r="F40850" s="1">
        <v>6.5162763151860103E-5</v>
      </c>
    </row>
    <row r="40851" spans="1:6" x14ac:dyDescent="0.25">
      <c r="A40851" s="2" t="str">
        <f t="shared" si="1300"/>
        <v>99999</v>
      </c>
      <c r="B40851" s="2" t="str">
        <f>"74738"</f>
        <v>74738</v>
      </c>
      <c r="C40851" s="1">
        <v>1.7025552953944301E-5</v>
      </c>
      <c r="D40851" s="1">
        <v>1.8211232080906399E-5</v>
      </c>
      <c r="E40851" s="1">
        <v>8.69107991013423E-6</v>
      </c>
      <c r="F40851" s="1">
        <v>1.69124728791087E-5</v>
      </c>
    </row>
    <row r="40852" spans="1:6" x14ac:dyDescent="0.25">
      <c r="A40852" s="2" t="str">
        <f t="shared" si="1300"/>
        <v>99999</v>
      </c>
      <c r="B40852" s="2" t="str">
        <f>"74756"</f>
        <v>74756</v>
      </c>
      <c r="C40852" s="1">
        <v>6.4282376217135996E-5</v>
      </c>
      <c r="D40852" s="1">
        <v>2.1246437427724101E-5</v>
      </c>
      <c r="E40852" s="1">
        <v>4.3455399550671099E-6</v>
      </c>
      <c r="F40852" s="1">
        <v>6.0089021288127497E-5</v>
      </c>
    </row>
    <row r="40853" spans="1:6" x14ac:dyDescent="0.25">
      <c r="A40853" s="2" t="str">
        <f t="shared" si="1300"/>
        <v>99999</v>
      </c>
      <c r="B40853" s="2" t="str">
        <f>"74736"</f>
        <v>74736</v>
      </c>
      <c r="C40853" s="1">
        <v>6.0571678778455799E-5</v>
      </c>
      <c r="D40853" s="1">
        <v>2.88344507947685E-5</v>
      </c>
      <c r="E40853" s="1">
        <v>1.7382159820268399E-5</v>
      </c>
      <c r="F40853" s="1">
        <v>5.7502407788969699E-5</v>
      </c>
    </row>
    <row r="40854" spans="1:6" x14ac:dyDescent="0.25">
      <c r="A40854" s="2" t="str">
        <f t="shared" si="1300"/>
        <v>99999</v>
      </c>
      <c r="B40854" s="2" t="str">
        <f>"74837"</f>
        <v>74837</v>
      </c>
      <c r="C40854" s="1">
        <v>1.09138159961181E-7</v>
      </c>
      <c r="D40854" s="1">
        <v>0</v>
      </c>
      <c r="E40854" s="1">
        <v>4.3455399550671099E-6</v>
      </c>
      <c r="F40854" s="1">
        <v>1.9897026916598501E-7</v>
      </c>
    </row>
    <row r="40855" spans="1:6" x14ac:dyDescent="0.25">
      <c r="A40855" s="2" t="str">
        <f t="shared" si="1300"/>
        <v>99999</v>
      </c>
      <c r="B40855" s="2" t="str">
        <f>"74651"</f>
        <v>74651</v>
      </c>
      <c r="C40855" s="1">
        <v>2.4665224151227E-5</v>
      </c>
      <c r="D40855" s="1">
        <v>3.9457669508630602E-5</v>
      </c>
      <c r="E40855" s="1">
        <v>1.3036619865201299E-5</v>
      </c>
      <c r="F40855" s="1">
        <v>2.53687093186631E-5</v>
      </c>
    </row>
    <row r="40856" spans="1:6" x14ac:dyDescent="0.25">
      <c r="A40856" s="2" t="str">
        <f t="shared" si="1300"/>
        <v>99999</v>
      </c>
      <c r="B40856" s="2" t="str">
        <f>"74457"</f>
        <v>74457</v>
      </c>
      <c r="C40856" s="1">
        <v>4.9112171982531701E-6</v>
      </c>
      <c r="D40856" s="1">
        <v>0</v>
      </c>
      <c r="E40856" s="1">
        <v>0</v>
      </c>
      <c r="F40856" s="1">
        <v>4.4768310562346604E-6</v>
      </c>
    </row>
    <row r="40857" spans="1:6" x14ac:dyDescent="0.25">
      <c r="A40857" s="2" t="str">
        <f t="shared" si="1300"/>
        <v>99999</v>
      </c>
      <c r="B40857" s="2" t="str">
        <f>"74462"</f>
        <v>74462</v>
      </c>
      <c r="C40857" s="1">
        <v>4.2432916592907401E-4</v>
      </c>
      <c r="D40857" s="1">
        <v>5.5240737312082795E-4</v>
      </c>
      <c r="E40857" s="1">
        <v>5.1277371469791902E-4</v>
      </c>
      <c r="F40857" s="1">
        <v>4.3475003812767698E-4</v>
      </c>
    </row>
    <row r="40858" spans="1:6" x14ac:dyDescent="0.25">
      <c r="A40858" s="2" t="str">
        <f t="shared" si="1300"/>
        <v>99999</v>
      </c>
      <c r="B40858" s="2" t="str">
        <f>"74432"</f>
        <v>74432</v>
      </c>
      <c r="C40858" s="1">
        <v>8.7572459552852204E-4</v>
      </c>
      <c r="D40858" s="1">
        <v>1.08812111683415E-3</v>
      </c>
      <c r="E40858" s="1">
        <v>1.3471173860707999E-4</v>
      </c>
      <c r="F40858" s="1">
        <v>8.72683600562011E-4</v>
      </c>
    </row>
    <row r="40859" spans="1:6" x14ac:dyDescent="0.25">
      <c r="A40859" s="2" t="str">
        <f t="shared" si="1300"/>
        <v>99999</v>
      </c>
      <c r="B40859" s="2" t="str">
        <f>"74359"</f>
        <v>74359</v>
      </c>
      <c r="C40859" s="1">
        <v>1.0586401516234599E-5</v>
      </c>
      <c r="D40859" s="1">
        <v>1.51760267340886E-6</v>
      </c>
      <c r="E40859" s="1">
        <v>4.3455399550671099E-6</v>
      </c>
      <c r="F40859" s="1">
        <v>9.8490283237162701E-6</v>
      </c>
    </row>
    <row r="40860" spans="1:6" x14ac:dyDescent="0.25">
      <c r="A40860" s="2" t="str">
        <f t="shared" si="1300"/>
        <v>99999</v>
      </c>
      <c r="B40860" s="2" t="str">
        <f>"74370"</f>
        <v>74370</v>
      </c>
      <c r="C40860" s="1">
        <v>1.2660026555497001E-5</v>
      </c>
      <c r="D40860" s="1">
        <v>0</v>
      </c>
      <c r="E40860" s="1">
        <v>4.3455399550671099E-6</v>
      </c>
      <c r="F40860" s="1">
        <v>1.1639760746210099E-5</v>
      </c>
    </row>
    <row r="40861" spans="1:6" x14ac:dyDescent="0.25">
      <c r="A40861" s="2" t="str">
        <f t="shared" si="1300"/>
        <v>99999</v>
      </c>
      <c r="B40861" s="2" t="str">
        <f>"74369"</f>
        <v>74369</v>
      </c>
      <c r="C40861" s="1">
        <v>1.10447817880715E-4</v>
      </c>
      <c r="D40861" s="1">
        <v>5.4633696242719298E-5</v>
      </c>
      <c r="E40861" s="1">
        <v>3.47643196405369E-5</v>
      </c>
      <c r="F40861" s="1">
        <v>1.0505630211964001E-4</v>
      </c>
    </row>
    <row r="40862" spans="1:6" x14ac:dyDescent="0.25">
      <c r="A40862" s="2" t="str">
        <f t="shared" si="1300"/>
        <v>99999</v>
      </c>
      <c r="B40862" s="2" t="str">
        <f>"74333"</f>
        <v>74333</v>
      </c>
      <c r="C40862" s="1">
        <v>7.4977915893331795E-5</v>
      </c>
      <c r="D40862" s="1">
        <v>1.66936294074975E-5</v>
      </c>
      <c r="E40862" s="1">
        <v>0</v>
      </c>
      <c r="F40862" s="1">
        <v>6.9440623938928802E-5</v>
      </c>
    </row>
    <row r="40863" spans="1:6" x14ac:dyDescent="0.25">
      <c r="A40863" s="2" t="str">
        <f t="shared" si="1300"/>
        <v>99999</v>
      </c>
      <c r="B40863" s="2" t="str">
        <f>"74301"</f>
        <v>74301</v>
      </c>
      <c r="C40863" s="1">
        <v>6.5733913744619695E-4</v>
      </c>
      <c r="D40863" s="1">
        <v>8.9235037196441498E-4</v>
      </c>
      <c r="E40863" s="1">
        <v>3.9978967586617401E-4</v>
      </c>
      <c r="F40863" s="1">
        <v>6.6684885710979898E-4</v>
      </c>
    </row>
    <row r="40864" spans="1:6" x14ac:dyDescent="0.25">
      <c r="A40864" s="2" t="str">
        <f t="shared" si="1300"/>
        <v>99999</v>
      </c>
      <c r="B40864" s="2" t="str">
        <f>"74083"</f>
        <v>74083</v>
      </c>
      <c r="C40864" s="1">
        <v>5.4569079980590801E-7</v>
      </c>
      <c r="D40864" s="1">
        <v>1.51760267340886E-6</v>
      </c>
      <c r="E40864" s="1">
        <v>4.3455399550671099E-6</v>
      </c>
      <c r="F40864" s="1">
        <v>6.9639594208094799E-7</v>
      </c>
    </row>
    <row r="40865" spans="1:6" x14ac:dyDescent="0.25">
      <c r="A40865" s="2" t="str">
        <f t="shared" si="1300"/>
        <v>99999</v>
      </c>
      <c r="B40865" s="2" t="str">
        <f>"74027"</f>
        <v>74027</v>
      </c>
      <c r="C40865" s="1">
        <v>4.70385469432693E-5</v>
      </c>
      <c r="D40865" s="1">
        <v>1.5176026734088599E-5</v>
      </c>
      <c r="E40865" s="1">
        <v>4.3455399550671099E-6</v>
      </c>
      <c r="F40865" s="1">
        <v>4.39724294856827E-5</v>
      </c>
    </row>
    <row r="40866" spans="1:6" x14ac:dyDescent="0.25">
      <c r="A40866" s="2" t="str">
        <f t="shared" si="1300"/>
        <v>99999</v>
      </c>
      <c r="B40866" s="2" t="str">
        <f>"73931"</f>
        <v>73931</v>
      </c>
      <c r="C40866" s="1">
        <v>3.0667822949091999E-5</v>
      </c>
      <c r="D40866" s="1">
        <v>5.3116093569310399E-5</v>
      </c>
      <c r="E40866" s="1">
        <v>0</v>
      </c>
      <c r="F40866" s="1">
        <v>3.1437302528225599E-5</v>
      </c>
    </row>
    <row r="40867" spans="1:6" x14ac:dyDescent="0.25">
      <c r="A40867" s="2" t="str">
        <f t="shared" si="1300"/>
        <v>99999</v>
      </c>
      <c r="B40867" s="2" t="str">
        <f>"73758"</f>
        <v>73758</v>
      </c>
      <c r="C40867" s="1">
        <v>2.21550464721198E-5</v>
      </c>
      <c r="D40867" s="1">
        <v>1.8211232080906399E-5</v>
      </c>
      <c r="E40867" s="1">
        <v>4.3455399550671099E-6</v>
      </c>
      <c r="F40867" s="1">
        <v>2.1488789069926402E-5</v>
      </c>
    </row>
    <row r="40868" spans="1:6" x14ac:dyDescent="0.25">
      <c r="A40868" s="2" t="str">
        <f t="shared" si="1300"/>
        <v>99999</v>
      </c>
      <c r="B40868" s="2" t="str">
        <f>"73766"</f>
        <v>73766</v>
      </c>
      <c r="C40868" s="1">
        <v>4.8020790382919898E-5</v>
      </c>
      <c r="D40868" s="1">
        <v>3.0352053468177301E-5</v>
      </c>
      <c r="E40868" s="1">
        <v>2.1727699775335501E-5</v>
      </c>
      <c r="F40868" s="1">
        <v>4.6260587581091497E-5</v>
      </c>
    </row>
    <row r="40869" spans="1:6" x14ac:dyDescent="0.25">
      <c r="A40869" s="2" t="str">
        <f t="shared" si="1300"/>
        <v>99999</v>
      </c>
      <c r="B40869" s="2" t="str">
        <f>"73742"</f>
        <v>73742</v>
      </c>
      <c r="C40869" s="1">
        <v>2.2700737271925801E-4</v>
      </c>
      <c r="D40869" s="1">
        <v>2.91379713294502E-4</v>
      </c>
      <c r="E40869" s="1">
        <v>8.2565259146275205E-5</v>
      </c>
      <c r="F40869" s="1">
        <v>2.27920443329636E-4</v>
      </c>
    </row>
    <row r="40870" spans="1:6" x14ac:dyDescent="0.25">
      <c r="A40870" s="2" t="str">
        <f t="shared" si="1300"/>
        <v>99999</v>
      </c>
      <c r="B40870" s="2" t="str">
        <f>"73739"</f>
        <v>73739</v>
      </c>
      <c r="C40870" s="1">
        <v>1.60433095142937E-5</v>
      </c>
      <c r="D40870" s="1">
        <v>6.0704106936354696E-6</v>
      </c>
      <c r="E40870" s="1">
        <v>4.3455399550671099E-6</v>
      </c>
      <c r="F40870" s="1">
        <v>1.51217404566148E-5</v>
      </c>
    </row>
    <row r="40871" spans="1:6" x14ac:dyDescent="0.25">
      <c r="A40871" s="2" t="str">
        <f t="shared" si="1300"/>
        <v>99999</v>
      </c>
      <c r="B40871" s="2" t="str">
        <f>"73650"</f>
        <v>73650</v>
      </c>
      <c r="C40871" s="1">
        <v>4.3000435024705598E-5</v>
      </c>
      <c r="D40871" s="1">
        <v>7.5880133670443404E-6</v>
      </c>
      <c r="E40871" s="1">
        <v>4.3455399550671099E-6</v>
      </c>
      <c r="F40871" s="1">
        <v>3.9794053833197E-5</v>
      </c>
    </row>
    <row r="40872" spans="1:6" x14ac:dyDescent="0.25">
      <c r="A40872" s="2" t="str">
        <f t="shared" si="1300"/>
        <v>99999</v>
      </c>
      <c r="B40872" s="2" t="str">
        <f>"73646"</f>
        <v>73646</v>
      </c>
      <c r="C40872" s="1">
        <v>3.85257704662971E-5</v>
      </c>
      <c r="D40872" s="1">
        <v>2.7316848121359601E-5</v>
      </c>
      <c r="E40872" s="1">
        <v>4.3455399550671099E-6</v>
      </c>
      <c r="F40872" s="1">
        <v>3.7008470064873197E-5</v>
      </c>
    </row>
    <row r="40873" spans="1:6" x14ac:dyDescent="0.25">
      <c r="A40873" s="2" t="str">
        <f t="shared" si="1300"/>
        <v>99999</v>
      </c>
      <c r="B40873" s="2" t="str">
        <f>"73624"</f>
        <v>73624</v>
      </c>
      <c r="C40873" s="1">
        <v>3.2741447988354498E-7</v>
      </c>
      <c r="D40873" s="1">
        <v>0</v>
      </c>
      <c r="E40873" s="1">
        <v>4.3455399550671099E-6</v>
      </c>
      <c r="F40873" s="1">
        <v>3.9794053833197002E-7</v>
      </c>
    </row>
    <row r="40874" spans="1:6" x14ac:dyDescent="0.25">
      <c r="A40874" s="2" t="str">
        <f t="shared" si="1300"/>
        <v>99999</v>
      </c>
      <c r="B40874" s="2" t="str">
        <f>"73554"</f>
        <v>73554</v>
      </c>
      <c r="C40874" s="1">
        <v>2.24715471360073E-4</v>
      </c>
      <c r="D40874" s="1">
        <v>4.79562444797202E-4</v>
      </c>
      <c r="E40874" s="1">
        <v>1.9989483793308701E-4</v>
      </c>
      <c r="F40874" s="1">
        <v>2.40853510825425E-4</v>
      </c>
    </row>
    <row r="40875" spans="1:6" x14ac:dyDescent="0.25">
      <c r="A40875" s="2" t="str">
        <f t="shared" si="1300"/>
        <v>99999</v>
      </c>
      <c r="B40875" s="2" t="str">
        <f>"73722"</f>
        <v>73722</v>
      </c>
      <c r="C40875" s="1">
        <v>2.9685579509441402E-5</v>
      </c>
      <c r="D40875" s="1">
        <v>2.88344507947685E-5</v>
      </c>
      <c r="E40875" s="1">
        <v>4.3455399550671099E-6</v>
      </c>
      <c r="F40875" s="1">
        <v>2.9049659298233801E-5</v>
      </c>
    </row>
    <row r="40876" spans="1:6" x14ac:dyDescent="0.25">
      <c r="A40876" s="2" t="str">
        <f t="shared" si="1300"/>
        <v>99999</v>
      </c>
      <c r="B40876" s="2" t="str">
        <f>"73664"</f>
        <v>73664</v>
      </c>
      <c r="C40876" s="1">
        <v>2.9358165029557801E-5</v>
      </c>
      <c r="D40876" s="1">
        <v>3.0352053468177301E-6</v>
      </c>
      <c r="E40876" s="1">
        <v>4.3455399550671099E-6</v>
      </c>
      <c r="F40876" s="1">
        <v>2.7059956606573898E-5</v>
      </c>
    </row>
    <row r="40877" spans="1:6" x14ac:dyDescent="0.25">
      <c r="A40877" s="2" t="str">
        <f t="shared" si="1300"/>
        <v>99999</v>
      </c>
      <c r="B40877" s="2" t="str">
        <f>"73401"</f>
        <v>73401</v>
      </c>
      <c r="C40877" s="1">
        <v>6.6574277576320803E-6</v>
      </c>
      <c r="D40877" s="1">
        <v>0</v>
      </c>
      <c r="E40877" s="1">
        <v>0</v>
      </c>
      <c r="F40877" s="1">
        <v>6.0685932095625502E-6</v>
      </c>
    </row>
    <row r="40878" spans="1:6" x14ac:dyDescent="0.25">
      <c r="A40878" s="2" t="str">
        <f t="shared" si="1300"/>
        <v>99999</v>
      </c>
      <c r="B40878" s="2" t="str">
        <f>"73433"</f>
        <v>73433</v>
      </c>
      <c r="C40878" s="1">
        <v>1.2943785771396099E-4</v>
      </c>
      <c r="D40878" s="1">
        <v>6.6774517629990203E-5</v>
      </c>
      <c r="E40878" s="1">
        <v>4.3455399550671099E-6</v>
      </c>
      <c r="F40878" s="1">
        <v>1.2246620067166299E-4</v>
      </c>
    </row>
    <row r="40879" spans="1:6" x14ac:dyDescent="0.25">
      <c r="A40879" s="2" t="str">
        <f t="shared" si="1300"/>
        <v>99999</v>
      </c>
      <c r="B40879" s="2" t="str">
        <f>"73551"</f>
        <v>73551</v>
      </c>
      <c r="C40879" s="1">
        <v>6.0025987978649897E-6</v>
      </c>
      <c r="D40879" s="1">
        <v>4.5528080202265997E-6</v>
      </c>
      <c r="E40879" s="1">
        <v>8.69107991013423E-6</v>
      </c>
      <c r="F40879" s="1">
        <v>5.96910807497955E-6</v>
      </c>
    </row>
    <row r="40880" spans="1:6" x14ac:dyDescent="0.25">
      <c r="A40880" s="2" t="str">
        <f t="shared" si="1300"/>
        <v>99999</v>
      </c>
      <c r="B40880" s="2" t="str">
        <f>"73073"</f>
        <v>73073</v>
      </c>
      <c r="C40880" s="1">
        <v>9.4950199166228093E-6</v>
      </c>
      <c r="D40880" s="1">
        <v>0</v>
      </c>
      <c r="E40880" s="1">
        <v>0</v>
      </c>
      <c r="F40880" s="1">
        <v>8.6552067087203506E-6</v>
      </c>
    </row>
    <row r="40881" spans="1:6" x14ac:dyDescent="0.25">
      <c r="A40881" s="2" t="str">
        <f t="shared" si="1300"/>
        <v>99999</v>
      </c>
      <c r="B40881" s="2" t="str">
        <f>"73005"</f>
        <v>73005</v>
      </c>
      <c r="C40881" s="1">
        <v>5.9665832050777995E-4</v>
      </c>
      <c r="D40881" s="1">
        <v>9.5760728692099604E-4</v>
      </c>
      <c r="E40881" s="1">
        <v>3.9109859595603998E-4</v>
      </c>
      <c r="F40881" s="1">
        <v>6.1561401279955797E-4</v>
      </c>
    </row>
    <row r="40882" spans="1:6" x14ac:dyDescent="0.25">
      <c r="A40882" s="2" t="str">
        <f t="shared" si="1300"/>
        <v>99999</v>
      </c>
      <c r="B40882" s="2" t="str">
        <f>"73053"</f>
        <v>73053</v>
      </c>
      <c r="C40882" s="1">
        <v>3.63430072670735E-5</v>
      </c>
      <c r="D40882" s="1">
        <v>2.5799245447950699E-5</v>
      </c>
      <c r="E40882" s="1">
        <v>4.3455399550671099E-6</v>
      </c>
      <c r="F40882" s="1">
        <v>3.4919282238630398E-5</v>
      </c>
    </row>
    <row r="40883" spans="1:6" x14ac:dyDescent="0.25">
      <c r="A40883" s="2" t="str">
        <f t="shared" si="1300"/>
        <v>99999</v>
      </c>
      <c r="B40883" s="2" t="str">
        <f>"73048"</f>
        <v>73048</v>
      </c>
      <c r="C40883" s="1">
        <v>1.1361282451959E-4</v>
      </c>
      <c r="D40883" s="1">
        <v>6.9809722976807906E-5</v>
      </c>
      <c r="E40883" s="1">
        <v>8.69107991013423E-5</v>
      </c>
      <c r="F40883" s="1">
        <v>1.10130043983372E-4</v>
      </c>
    </row>
    <row r="40884" spans="1:6" x14ac:dyDescent="0.25">
      <c r="A40884" s="2" t="str">
        <f t="shared" si="1300"/>
        <v>99999</v>
      </c>
      <c r="B40884" s="2" t="str">
        <f>"73021"</f>
        <v>73021</v>
      </c>
      <c r="C40884" s="1">
        <v>2.5538329430916501E-5</v>
      </c>
      <c r="D40884" s="1">
        <v>6.0704106936354696E-6</v>
      </c>
      <c r="E40884" s="1">
        <v>0</v>
      </c>
      <c r="F40884" s="1">
        <v>2.36774620307522E-5</v>
      </c>
    </row>
    <row r="40885" spans="1:6" x14ac:dyDescent="0.25">
      <c r="A40885" s="2" t="str">
        <f t="shared" si="1300"/>
        <v>99999</v>
      </c>
      <c r="B40885" s="2" t="str">
        <f>"73016"</f>
        <v>73016</v>
      </c>
      <c r="C40885" s="1">
        <v>3.9071461266102997E-5</v>
      </c>
      <c r="D40885" s="1">
        <v>1.21408213872709E-5</v>
      </c>
      <c r="E40885" s="1">
        <v>4.3455399550671099E-6</v>
      </c>
      <c r="F40885" s="1">
        <v>3.6511044391958198E-5</v>
      </c>
    </row>
    <row r="40886" spans="1:6" x14ac:dyDescent="0.25">
      <c r="A40886" s="2" t="str">
        <f t="shared" si="1300"/>
        <v>99999</v>
      </c>
      <c r="B40886" s="2" t="str">
        <f>"72847"</f>
        <v>72847</v>
      </c>
      <c r="C40886" s="1">
        <v>4.59471653436575E-5</v>
      </c>
      <c r="D40886" s="1">
        <v>7.5880133670443404E-6</v>
      </c>
      <c r="E40886" s="1">
        <v>0</v>
      </c>
      <c r="F40886" s="1">
        <v>4.2380667332354799E-5</v>
      </c>
    </row>
    <row r="40887" spans="1:6" x14ac:dyDescent="0.25">
      <c r="A40887" s="2" t="str">
        <f t="shared" si="1300"/>
        <v>99999</v>
      </c>
      <c r="B40887" s="2" t="str">
        <f>"72832"</f>
        <v>72832</v>
      </c>
      <c r="C40887" s="1">
        <v>3.9726290225870103E-5</v>
      </c>
      <c r="D40887" s="1">
        <v>1.8211232080906399E-5</v>
      </c>
      <c r="E40887" s="1">
        <v>1.3036619865201299E-5</v>
      </c>
      <c r="F40887" s="1">
        <v>3.7704866006954201E-5</v>
      </c>
    </row>
    <row r="40888" spans="1:6" x14ac:dyDescent="0.25">
      <c r="A40888" s="2" t="str">
        <f t="shared" si="1300"/>
        <v>99999</v>
      </c>
      <c r="B40888" s="2" t="str">
        <f>"72845"</f>
        <v>72845</v>
      </c>
      <c r="C40888" s="1">
        <v>8.2945001570498098E-5</v>
      </c>
      <c r="D40888" s="1">
        <v>5.15984908959015E-5</v>
      </c>
      <c r="E40888" s="1">
        <v>8.69107991013423E-5</v>
      </c>
      <c r="F40888" s="1">
        <v>8.0980899550556006E-5</v>
      </c>
    </row>
    <row r="40889" spans="1:6" x14ac:dyDescent="0.25">
      <c r="A40889" s="2" t="str">
        <f t="shared" si="1300"/>
        <v>99999</v>
      </c>
      <c r="B40889" s="2" t="str">
        <f>"72830"</f>
        <v>72830</v>
      </c>
      <c r="C40889" s="1">
        <v>8.7932615480724096E-4</v>
      </c>
      <c r="D40889" s="1">
        <v>1.26568062962299E-3</v>
      </c>
      <c r="E40889" s="1">
        <v>5.3015587451818804E-4</v>
      </c>
      <c r="F40889" s="1">
        <v>8.9665951799651196E-4</v>
      </c>
    </row>
    <row r="40890" spans="1:6" x14ac:dyDescent="0.25">
      <c r="A40890" s="2" t="str">
        <f t="shared" si="1300"/>
        <v>99999</v>
      </c>
      <c r="B40890" s="2" t="str">
        <f>"72846"</f>
        <v>72846</v>
      </c>
      <c r="C40890" s="1">
        <v>2.8517801197856698E-4</v>
      </c>
      <c r="D40890" s="1">
        <v>9.2573763077941E-5</v>
      </c>
      <c r="E40890" s="1">
        <v>3.9109859595604001E-5</v>
      </c>
      <c r="F40890" s="1">
        <v>2.66918616086169E-4</v>
      </c>
    </row>
    <row r="40891" spans="1:6" x14ac:dyDescent="0.25">
      <c r="A40891" s="2" t="str">
        <f t="shared" si="1300"/>
        <v>99999</v>
      </c>
      <c r="B40891" s="2" t="str">
        <f>"72687"</f>
        <v>72687</v>
      </c>
      <c r="C40891" s="1">
        <v>3.48478144756053E-4</v>
      </c>
      <c r="D40891" s="1">
        <v>1.27478624566345E-4</v>
      </c>
      <c r="E40891" s="1">
        <v>2.8072188109733499E-3</v>
      </c>
      <c r="F40891" s="1">
        <v>3.9028018296908E-4</v>
      </c>
    </row>
    <row r="40892" spans="1:6" x14ac:dyDescent="0.25">
      <c r="A40892" s="2" t="str">
        <f t="shared" si="1300"/>
        <v>99999</v>
      </c>
      <c r="B40892" s="2" t="str">
        <f>"72675"</f>
        <v>72675</v>
      </c>
      <c r="C40892" s="1">
        <v>1.4297098954914799E-4</v>
      </c>
      <c r="D40892" s="1">
        <v>3.1869656141586203E-5</v>
      </c>
      <c r="E40892" s="1">
        <v>8.69107991013423E-6</v>
      </c>
      <c r="F40892" s="1">
        <v>1.3261368439912899E-4</v>
      </c>
    </row>
    <row r="40893" spans="1:6" x14ac:dyDescent="0.25">
      <c r="A40893" s="2" t="str">
        <f t="shared" si="1300"/>
        <v>99999</v>
      </c>
      <c r="B40893" s="2" t="str">
        <f>"72644"</f>
        <v>72644</v>
      </c>
      <c r="C40893" s="1">
        <v>8.9493291168169008E-6</v>
      </c>
      <c r="D40893" s="1">
        <v>0</v>
      </c>
      <c r="E40893" s="1">
        <v>0</v>
      </c>
      <c r="F40893" s="1">
        <v>8.1577810358053902E-6</v>
      </c>
    </row>
    <row r="40894" spans="1:6" x14ac:dyDescent="0.25">
      <c r="A40894" s="2" t="str">
        <f t="shared" si="1300"/>
        <v>99999</v>
      </c>
      <c r="B40894" s="2" t="str">
        <f>"72638"</f>
        <v>72638</v>
      </c>
      <c r="C40894" s="1">
        <v>3.3658208532028402E-4</v>
      </c>
      <c r="D40894" s="1">
        <v>1.9880595021656101E-4</v>
      </c>
      <c r="E40894" s="1">
        <v>1.8685821806788599E-4</v>
      </c>
      <c r="F40894" s="1">
        <v>3.2412256847139001E-4</v>
      </c>
    </row>
    <row r="40895" spans="1:6" x14ac:dyDescent="0.25">
      <c r="A40895" s="2" t="str">
        <f t="shared" si="1300"/>
        <v>99999</v>
      </c>
      <c r="B40895" s="2" t="str">
        <f>"72631"</f>
        <v>72631</v>
      </c>
      <c r="C40895" s="1">
        <v>2.9936597277352097E-4</v>
      </c>
      <c r="D40895" s="1">
        <v>2.30675606358148E-4</v>
      </c>
      <c r="E40895" s="1">
        <v>2.0858591784322101E-4</v>
      </c>
      <c r="F40895" s="1">
        <v>2.9278475107774701E-4</v>
      </c>
    </row>
    <row r="40896" spans="1:6" x14ac:dyDescent="0.25">
      <c r="A40896" s="2" t="str">
        <f t="shared" si="1300"/>
        <v>99999</v>
      </c>
      <c r="B40896" s="2" t="str">
        <f>"72374"</f>
        <v>72374</v>
      </c>
      <c r="C40896" s="1">
        <v>7.63967119728272E-7</v>
      </c>
      <c r="D40896" s="1">
        <v>0</v>
      </c>
      <c r="E40896" s="1">
        <v>0</v>
      </c>
      <c r="F40896" s="1">
        <v>6.9639594208094799E-7</v>
      </c>
    </row>
    <row r="40897" spans="1:6" x14ac:dyDescent="0.25">
      <c r="A40897" s="2" t="str">
        <f t="shared" si="1300"/>
        <v>99999</v>
      </c>
      <c r="B40897" s="2" t="str">
        <f>"72585"</f>
        <v>72585</v>
      </c>
      <c r="C40897" s="1">
        <v>2.58657439108E-5</v>
      </c>
      <c r="D40897" s="1">
        <v>6.0704106936354696E-6</v>
      </c>
      <c r="E40897" s="1">
        <v>8.69107991013423E-6</v>
      </c>
      <c r="F40897" s="1">
        <v>2.4174887703667199E-5</v>
      </c>
    </row>
    <row r="40898" spans="1:6" x14ac:dyDescent="0.25">
      <c r="A40898" s="2" t="str">
        <f t="shared" si="1300"/>
        <v>99999</v>
      </c>
      <c r="B40898" s="2" t="str">
        <f>"72583"</f>
        <v>72583</v>
      </c>
      <c r="C40898" s="1">
        <v>9.4950199166228097E-5</v>
      </c>
      <c r="D40898" s="1">
        <v>3.3387258814995101E-5</v>
      </c>
      <c r="E40898" s="1">
        <v>4.3455399550671099E-6</v>
      </c>
      <c r="F40898" s="1">
        <v>8.8840225182612394E-5</v>
      </c>
    </row>
    <row r="40899" spans="1:6" x14ac:dyDescent="0.25">
      <c r="A40899" s="2" t="str">
        <f t="shared" si="1300"/>
        <v>99999</v>
      </c>
      <c r="B40899" s="2" t="str">
        <f>"72581"</f>
        <v>72581</v>
      </c>
      <c r="C40899" s="1">
        <v>7.0066698695078603E-5</v>
      </c>
      <c r="D40899" s="1">
        <v>4.0975272182039399E-5</v>
      </c>
      <c r="E40899" s="1">
        <v>4.3455399550671099E-6</v>
      </c>
      <c r="F40899" s="1">
        <v>6.6655040170605006E-5</v>
      </c>
    </row>
    <row r="40900" spans="1:6" x14ac:dyDescent="0.25">
      <c r="A40900" s="2" t="str">
        <f t="shared" si="1300"/>
        <v>99999</v>
      </c>
      <c r="B40900" s="2" t="str">
        <f>"72462"</f>
        <v>72462</v>
      </c>
      <c r="C40900" s="1">
        <v>1.09138159961181E-7</v>
      </c>
      <c r="D40900" s="1">
        <v>0</v>
      </c>
      <c r="E40900" s="1">
        <v>4.3455399550671099E-6</v>
      </c>
      <c r="F40900" s="1">
        <v>1.9897026916598501E-7</v>
      </c>
    </row>
    <row r="40901" spans="1:6" x14ac:dyDescent="0.25">
      <c r="A40901" s="2" t="str">
        <f t="shared" si="1300"/>
        <v>99999</v>
      </c>
      <c r="B40901" s="2" t="str">
        <f>"72478"</f>
        <v>72478</v>
      </c>
      <c r="C40901" s="1">
        <v>2.5538329430916501E-5</v>
      </c>
      <c r="D40901" s="1">
        <v>3.0352053468177301E-6</v>
      </c>
      <c r="E40901" s="1">
        <v>8.69107991013423E-6</v>
      </c>
      <c r="F40901" s="1">
        <v>2.36774620307522E-5</v>
      </c>
    </row>
    <row r="40902" spans="1:6" x14ac:dyDescent="0.25">
      <c r="A40902" s="2" t="str">
        <f t="shared" si="1300"/>
        <v>99999</v>
      </c>
      <c r="B40902" s="2" t="str">
        <f>"72528"</f>
        <v>72528</v>
      </c>
      <c r="C40902" s="1">
        <v>1.68072766340219E-5</v>
      </c>
      <c r="D40902" s="1">
        <v>0</v>
      </c>
      <c r="E40902" s="1">
        <v>8.69107991013423E-6</v>
      </c>
      <c r="F40902" s="1">
        <v>1.5519680994946799E-5</v>
      </c>
    </row>
    <row r="40903" spans="1:6" x14ac:dyDescent="0.25">
      <c r="A40903" s="2" t="str">
        <f t="shared" si="1300"/>
        <v>99999</v>
      </c>
      <c r="B40903" s="2" t="str">
        <f>"72538"</f>
        <v>72538</v>
      </c>
      <c r="C40903" s="1">
        <v>2.58657439108E-5</v>
      </c>
      <c r="D40903" s="1">
        <v>1.3658424060679801E-5</v>
      </c>
      <c r="E40903" s="1">
        <v>4.3455399550671099E-6</v>
      </c>
      <c r="F40903" s="1">
        <v>2.4572828241999101E-5</v>
      </c>
    </row>
    <row r="40904" spans="1:6" x14ac:dyDescent="0.25">
      <c r="A40904" s="2" t="str">
        <f t="shared" si="1300"/>
        <v>99999</v>
      </c>
      <c r="B40904" s="2" t="str">
        <f>"72533"</f>
        <v>72533</v>
      </c>
      <c r="C40904" s="1">
        <v>2.35738425516152E-5</v>
      </c>
      <c r="D40904" s="1">
        <v>1.5176026734088599E-5</v>
      </c>
      <c r="E40904" s="1">
        <v>4.3455399550671099E-6</v>
      </c>
      <c r="F40904" s="1">
        <v>2.2583125550339301E-5</v>
      </c>
    </row>
    <row r="40905" spans="1:6" x14ac:dyDescent="0.25">
      <c r="A40905" s="2" t="str">
        <f t="shared" si="1300"/>
        <v>99999</v>
      </c>
      <c r="B40905" s="2" t="str">
        <f>"72529"</f>
        <v>72529</v>
      </c>
      <c r="C40905" s="1">
        <v>5.4241665500707301E-5</v>
      </c>
      <c r="D40905" s="1">
        <v>4.5528080202265997E-6</v>
      </c>
      <c r="E40905" s="1">
        <v>0</v>
      </c>
      <c r="F40905" s="1">
        <v>4.9742567291496302E-5</v>
      </c>
    </row>
    <row r="40906" spans="1:6" x14ac:dyDescent="0.25">
      <c r="A40906" s="2" t="str">
        <f t="shared" si="1300"/>
        <v>99999</v>
      </c>
      <c r="B40906" s="2" t="str">
        <f>"72434"</f>
        <v>72434</v>
      </c>
      <c r="C40906" s="1">
        <v>1.0520918620257901E-4</v>
      </c>
      <c r="D40906" s="1">
        <v>3.9457669508630602E-5</v>
      </c>
      <c r="E40906" s="1">
        <v>2.1727699775335501E-5</v>
      </c>
      <c r="F40906" s="1">
        <v>9.8987708910077606E-5</v>
      </c>
    </row>
    <row r="40907" spans="1:6" x14ac:dyDescent="0.25">
      <c r="A40907" s="2" t="str">
        <f t="shared" si="1300"/>
        <v>99999</v>
      </c>
      <c r="B40907" s="2" t="str">
        <f>"72433"</f>
        <v>72433</v>
      </c>
      <c r="C40907" s="1">
        <v>1.5126548970619699E-4</v>
      </c>
      <c r="D40907" s="1">
        <v>1.94253142196335E-4</v>
      </c>
      <c r="E40907" s="1">
        <v>1.2602065869694599E-4</v>
      </c>
      <c r="F40907" s="1">
        <v>1.5350556266155701E-4</v>
      </c>
    </row>
    <row r="40908" spans="1:6" x14ac:dyDescent="0.25">
      <c r="A40908" s="2" t="str">
        <f t="shared" si="1300"/>
        <v>99999</v>
      </c>
      <c r="B40908" s="2" t="str">
        <f>"72422"</f>
        <v>72422</v>
      </c>
      <c r="C40908" s="1">
        <v>2.9008922917682101E-4</v>
      </c>
      <c r="D40908" s="1">
        <v>4.12787927167212E-4</v>
      </c>
      <c r="E40908" s="1">
        <v>2.0858591784322101E-4</v>
      </c>
      <c r="F40908" s="1">
        <v>2.96266730788152E-4</v>
      </c>
    </row>
    <row r="40909" spans="1:6" x14ac:dyDescent="0.25">
      <c r="A40909" s="2" t="str">
        <f t="shared" si="1300"/>
        <v>99999</v>
      </c>
      <c r="B40909" s="2" t="str">
        <f>"72075"</f>
        <v>72075</v>
      </c>
      <c r="C40909" s="1">
        <v>0</v>
      </c>
      <c r="D40909" s="1">
        <v>0</v>
      </c>
      <c r="E40909" s="1">
        <v>4.3455399550671099E-6</v>
      </c>
      <c r="F40909" s="1">
        <v>9.9485134582992598E-8</v>
      </c>
    </row>
    <row r="40910" spans="1:6" x14ac:dyDescent="0.25">
      <c r="A40910" s="2" t="str">
        <f t="shared" si="1300"/>
        <v>99999</v>
      </c>
      <c r="B40910" s="2" t="str">
        <f>"72074"</f>
        <v>72074</v>
      </c>
      <c r="C40910" s="1">
        <v>0</v>
      </c>
      <c r="D40910" s="1">
        <v>0</v>
      </c>
      <c r="E40910" s="1">
        <v>4.3455399550671099E-6</v>
      </c>
      <c r="F40910" s="1">
        <v>9.9485134582992598E-8</v>
      </c>
    </row>
    <row r="40911" spans="1:6" x14ac:dyDescent="0.25">
      <c r="A40911" s="2" t="str">
        <f t="shared" si="1300"/>
        <v>99999</v>
      </c>
      <c r="B40911" s="2" t="str">
        <f>"72041"</f>
        <v>72041</v>
      </c>
      <c r="C40911" s="1">
        <v>1.00297969004326E-4</v>
      </c>
      <c r="D40911" s="1">
        <v>5.4633696242719298E-5</v>
      </c>
      <c r="E40911" s="1">
        <v>2.60732397304027E-5</v>
      </c>
      <c r="F40911" s="1">
        <v>9.56052143342559E-5</v>
      </c>
    </row>
    <row r="40912" spans="1:6" x14ac:dyDescent="0.25">
      <c r="A40912" s="2" t="str">
        <f t="shared" si="1300"/>
        <v>99999</v>
      </c>
      <c r="B40912" s="2" t="str">
        <f>"72125"</f>
        <v>72125</v>
      </c>
      <c r="C40912" s="1">
        <v>1.6261585834216E-5</v>
      </c>
      <c r="D40912" s="1">
        <v>0</v>
      </c>
      <c r="E40912" s="1">
        <v>0</v>
      </c>
      <c r="F40912" s="1">
        <v>1.4823285052865899E-5</v>
      </c>
    </row>
    <row r="40913" spans="1:6" x14ac:dyDescent="0.25">
      <c r="A40913" s="2" t="str">
        <f t="shared" si="1300"/>
        <v>99999</v>
      </c>
      <c r="B40913" s="2" t="str">
        <f>"72169"</f>
        <v>72169</v>
      </c>
      <c r="C40913" s="1">
        <v>0</v>
      </c>
      <c r="D40913" s="1">
        <v>0</v>
      </c>
      <c r="E40913" s="1">
        <v>4.3455399550671099E-6</v>
      </c>
      <c r="F40913" s="1">
        <v>9.9485134582992598E-8</v>
      </c>
    </row>
    <row r="40914" spans="1:6" x14ac:dyDescent="0.25">
      <c r="A40914" s="2" t="str">
        <f t="shared" ref="A40914:A40977" si="1301">"99999"</f>
        <v>99999</v>
      </c>
      <c r="B40914" s="2" t="str">
        <f>"72029"</f>
        <v>72029</v>
      </c>
      <c r="C40914" s="1">
        <v>1.25508883955359E-4</v>
      </c>
      <c r="D40914" s="1">
        <v>2.7772128923382301E-4</v>
      </c>
      <c r="E40914" s="1">
        <v>4.3455399550671103E-5</v>
      </c>
      <c r="F40914" s="1">
        <v>1.3360853574495899E-4</v>
      </c>
    </row>
    <row r="40915" spans="1:6" x14ac:dyDescent="0.25">
      <c r="A40915" s="2" t="str">
        <f t="shared" si="1301"/>
        <v>99999</v>
      </c>
      <c r="B40915" s="2" t="str">
        <f>"72107"</f>
        <v>72107</v>
      </c>
      <c r="C40915" s="1">
        <v>1.09138159961181E-7</v>
      </c>
      <c r="D40915" s="1">
        <v>0</v>
      </c>
      <c r="E40915" s="1">
        <v>4.3455399550671099E-6</v>
      </c>
      <c r="F40915" s="1">
        <v>1.9897026916598501E-7</v>
      </c>
    </row>
    <row r="40916" spans="1:6" x14ac:dyDescent="0.25">
      <c r="A40916" s="2" t="str">
        <f t="shared" si="1301"/>
        <v>99999</v>
      </c>
      <c r="B40916" s="2" t="str">
        <f>"72112"</f>
        <v>72112</v>
      </c>
      <c r="C40916" s="1">
        <v>5.4754614852524797E-4</v>
      </c>
      <c r="D40916" s="1">
        <v>1.01679379118394E-3</v>
      </c>
      <c r="E40916" s="1">
        <v>4.6931831514724801E-4</v>
      </c>
      <c r="F40916" s="1">
        <v>5.7651635490844205E-4</v>
      </c>
    </row>
    <row r="40917" spans="1:6" x14ac:dyDescent="0.25">
      <c r="A40917" s="2" t="str">
        <f t="shared" si="1301"/>
        <v>99999</v>
      </c>
      <c r="B40917" s="2" t="str">
        <f>"72013"</f>
        <v>72013</v>
      </c>
      <c r="C40917" s="1">
        <v>1.1404937715943401E-4</v>
      </c>
      <c r="D40917" s="1">
        <v>3.0352053468177301E-5</v>
      </c>
      <c r="E40917" s="1">
        <v>1.3036619865201299E-5</v>
      </c>
      <c r="F40917" s="1">
        <v>1.06250123734636E-4</v>
      </c>
    </row>
    <row r="40918" spans="1:6" x14ac:dyDescent="0.25">
      <c r="A40918" s="2" t="str">
        <f t="shared" si="1301"/>
        <v>99999</v>
      </c>
      <c r="B40918" s="2" t="str">
        <f>"71748"</f>
        <v>71748</v>
      </c>
      <c r="C40918" s="1">
        <v>4.3655263984472599E-6</v>
      </c>
      <c r="D40918" s="1">
        <v>0</v>
      </c>
      <c r="E40918" s="1">
        <v>4.3455399550671099E-6</v>
      </c>
      <c r="F40918" s="1">
        <v>4.07889051790269E-6</v>
      </c>
    </row>
    <row r="40919" spans="1:6" x14ac:dyDescent="0.25">
      <c r="A40919" s="2" t="str">
        <f t="shared" si="1301"/>
        <v>99999</v>
      </c>
      <c r="B40919" s="2" t="str">
        <f>"71662"</f>
        <v>71662</v>
      </c>
      <c r="C40919" s="1">
        <v>1.09138159961181E-5</v>
      </c>
      <c r="D40919" s="1">
        <v>1.0623218713862E-5</v>
      </c>
      <c r="E40919" s="1">
        <v>4.3455399550671099E-6</v>
      </c>
      <c r="F40919" s="1">
        <v>1.0744394534963201E-5</v>
      </c>
    </row>
    <row r="40920" spans="1:6" x14ac:dyDescent="0.25">
      <c r="A40920" s="2" t="str">
        <f t="shared" si="1301"/>
        <v>99999</v>
      </c>
      <c r="B40920" s="2" t="str">
        <f>"71658"</f>
        <v>71658</v>
      </c>
      <c r="C40920" s="1">
        <v>2.3137289911770499E-5</v>
      </c>
      <c r="D40920" s="1">
        <v>1.0623218713862E-5</v>
      </c>
      <c r="E40920" s="1">
        <v>4.3455399550671099E-6</v>
      </c>
      <c r="F40920" s="1">
        <v>2.1886729608258301E-5</v>
      </c>
    </row>
    <row r="40921" spans="1:6" x14ac:dyDescent="0.25">
      <c r="A40921" s="2" t="str">
        <f t="shared" si="1301"/>
        <v>99999</v>
      </c>
      <c r="B40921" s="2" t="str">
        <f>"71674"</f>
        <v>71674</v>
      </c>
      <c r="C40921" s="1">
        <v>4.4419231104200897E-5</v>
      </c>
      <c r="D40921" s="1">
        <v>5.6151298916128101E-5</v>
      </c>
      <c r="E40921" s="1">
        <v>4.3455399550671099E-6</v>
      </c>
      <c r="F40921" s="1">
        <v>4.4270884889431703E-5</v>
      </c>
    </row>
    <row r="40922" spans="1:6" x14ac:dyDescent="0.25">
      <c r="A40922" s="2" t="str">
        <f t="shared" si="1301"/>
        <v>99999</v>
      </c>
      <c r="B40922" s="2" t="str">
        <f>"71959"</f>
        <v>71959</v>
      </c>
      <c r="C40922" s="1">
        <v>3.7870941506530001E-5</v>
      </c>
      <c r="D40922" s="1">
        <v>4.5528080202265997E-6</v>
      </c>
      <c r="E40922" s="1">
        <v>4.3455399550671099E-6</v>
      </c>
      <c r="F40922" s="1">
        <v>3.4919282238630398E-5</v>
      </c>
    </row>
    <row r="40923" spans="1:6" x14ac:dyDescent="0.25">
      <c r="A40923" s="2" t="str">
        <f t="shared" si="1301"/>
        <v>99999</v>
      </c>
      <c r="B40923" s="2" t="str">
        <f>"71647"</f>
        <v>71647</v>
      </c>
      <c r="C40923" s="1">
        <v>8.7419666128906495E-5</v>
      </c>
      <c r="D40923" s="1">
        <v>5.4633696242719298E-5</v>
      </c>
      <c r="E40923" s="1">
        <v>4.3455399550671099E-6</v>
      </c>
      <c r="F40923" s="1">
        <v>8.3368542780547794E-5</v>
      </c>
    </row>
    <row r="40924" spans="1:6" x14ac:dyDescent="0.25">
      <c r="A40924" s="2" t="str">
        <f t="shared" si="1301"/>
        <v>99999</v>
      </c>
      <c r="B40924" s="2" t="str">
        <f>"71823"</f>
        <v>71823</v>
      </c>
      <c r="C40924" s="1">
        <v>1.09138159961181E-7</v>
      </c>
      <c r="D40924" s="1">
        <v>0</v>
      </c>
      <c r="E40924" s="1">
        <v>4.3455399550671099E-6</v>
      </c>
      <c r="F40924" s="1">
        <v>1.9897026916598501E-7</v>
      </c>
    </row>
    <row r="40925" spans="1:6" x14ac:dyDescent="0.25">
      <c r="A40925" s="2" t="str">
        <f t="shared" si="1301"/>
        <v>99999</v>
      </c>
      <c r="B40925" s="2" t="str">
        <f>"71463"</f>
        <v>71463</v>
      </c>
      <c r="C40925" s="1">
        <v>4.0522998793586702E-4</v>
      </c>
      <c r="D40925" s="1">
        <v>6.0097065866991195E-4</v>
      </c>
      <c r="E40925" s="1">
        <v>3.1287887676483201E-4</v>
      </c>
      <c r="F40925" s="1">
        <v>4.1594734769149198E-4</v>
      </c>
    </row>
    <row r="40926" spans="1:6" x14ac:dyDescent="0.25">
      <c r="A40926" s="2" t="str">
        <f t="shared" si="1301"/>
        <v>99999</v>
      </c>
      <c r="B40926" s="2" t="str">
        <f>"71462"</f>
        <v>71462</v>
      </c>
      <c r="C40926" s="1">
        <v>9.9206587404714196E-5</v>
      </c>
      <c r="D40926" s="1">
        <v>1.8211232080906399E-5</v>
      </c>
      <c r="E40926" s="1">
        <v>4.3455399550671099E-6</v>
      </c>
      <c r="F40926" s="1">
        <v>9.1725294085519195E-5</v>
      </c>
    </row>
    <row r="40927" spans="1:6" x14ac:dyDescent="0.25">
      <c r="A40927" s="2" t="str">
        <f t="shared" si="1301"/>
        <v>99999</v>
      </c>
      <c r="B40927" s="2" t="str">
        <f>"71242"</f>
        <v>71242</v>
      </c>
      <c r="C40927" s="1">
        <v>0</v>
      </c>
      <c r="D40927" s="1">
        <v>0</v>
      </c>
      <c r="E40927" s="1">
        <v>4.3455399550671099E-6</v>
      </c>
      <c r="F40927" s="1">
        <v>9.9485134582992598E-8</v>
      </c>
    </row>
    <row r="40928" spans="1:6" x14ac:dyDescent="0.25">
      <c r="A40928" s="2" t="str">
        <f t="shared" si="1301"/>
        <v>99999</v>
      </c>
      <c r="B40928" s="2" t="str">
        <f>"71264"</f>
        <v>71264</v>
      </c>
      <c r="C40928" s="1">
        <v>2.6847987350450699E-5</v>
      </c>
      <c r="D40928" s="1">
        <v>0</v>
      </c>
      <c r="E40928" s="1">
        <v>8.69107991013423E-6</v>
      </c>
      <c r="F40928" s="1">
        <v>2.46723133765821E-5</v>
      </c>
    </row>
    <row r="40929" spans="1:6" x14ac:dyDescent="0.25">
      <c r="A40929" s="2" t="str">
        <f t="shared" si="1301"/>
        <v>99999</v>
      </c>
      <c r="B40929" s="2" t="str">
        <f>"71439"</f>
        <v>71439</v>
      </c>
      <c r="C40929" s="1">
        <v>2.4228671511382299E-5</v>
      </c>
      <c r="D40929" s="1">
        <v>0</v>
      </c>
      <c r="E40929" s="1">
        <v>0</v>
      </c>
      <c r="F40929" s="1">
        <v>2.2085699877424301E-5</v>
      </c>
    </row>
    <row r="40930" spans="1:6" x14ac:dyDescent="0.25">
      <c r="A40930" s="2" t="str">
        <f t="shared" si="1301"/>
        <v>99999</v>
      </c>
      <c r="B40930" s="2" t="str">
        <f>"71351"</f>
        <v>71351</v>
      </c>
      <c r="C40930" s="1">
        <v>5.7341189243604804E-4</v>
      </c>
      <c r="D40930" s="1">
        <v>8.1798784096737999E-4</v>
      </c>
      <c r="E40930" s="1">
        <v>5.6926573411379201E-4</v>
      </c>
      <c r="F40930" s="1">
        <v>5.8934993726964804E-4</v>
      </c>
    </row>
    <row r="40931" spans="1:6" x14ac:dyDescent="0.25">
      <c r="A40931" s="2" t="str">
        <f t="shared" si="1301"/>
        <v>99999</v>
      </c>
      <c r="B40931" s="2" t="str">
        <f>"71331"</f>
        <v>71331</v>
      </c>
      <c r="C40931" s="1">
        <v>4.6929408783308097E-5</v>
      </c>
      <c r="D40931" s="1">
        <v>1.9728834754315301E-5</v>
      </c>
      <c r="E40931" s="1">
        <v>1.3036619865201299E-5</v>
      </c>
      <c r="F40931" s="1">
        <v>4.4370370024014701E-5</v>
      </c>
    </row>
    <row r="40932" spans="1:6" x14ac:dyDescent="0.25">
      <c r="A40932" s="2" t="str">
        <f t="shared" si="1301"/>
        <v>99999</v>
      </c>
      <c r="B40932" s="2" t="str">
        <f>"71327"</f>
        <v>71327</v>
      </c>
      <c r="C40932" s="1">
        <v>1.4548116722825499E-4</v>
      </c>
      <c r="D40932" s="1">
        <v>1.13820200505665E-4</v>
      </c>
      <c r="E40932" s="1">
        <v>6.5183099326006705E-5</v>
      </c>
      <c r="F40932" s="1">
        <v>1.41567346511598E-4</v>
      </c>
    </row>
    <row r="40933" spans="1:6" x14ac:dyDescent="0.25">
      <c r="A40933" s="2" t="str">
        <f t="shared" si="1301"/>
        <v>99999</v>
      </c>
      <c r="B40933" s="2" t="str">
        <f>"71363"</f>
        <v>71363</v>
      </c>
      <c r="C40933" s="1">
        <v>0</v>
      </c>
      <c r="D40933" s="1">
        <v>0</v>
      </c>
      <c r="E40933" s="1">
        <v>4.3455399550671099E-6</v>
      </c>
      <c r="F40933" s="1">
        <v>9.9485134582992598E-8</v>
      </c>
    </row>
    <row r="40934" spans="1:6" x14ac:dyDescent="0.25">
      <c r="A40934" s="2" t="str">
        <f t="shared" si="1301"/>
        <v>99999</v>
      </c>
      <c r="B40934" s="2" t="str">
        <f>"71432"</f>
        <v>71432</v>
      </c>
      <c r="C40934" s="1">
        <v>2.5101776791071799E-6</v>
      </c>
      <c r="D40934" s="1">
        <v>0</v>
      </c>
      <c r="E40934" s="1">
        <v>0</v>
      </c>
      <c r="F40934" s="1">
        <v>2.2881580954088299E-6</v>
      </c>
    </row>
    <row r="40935" spans="1:6" x14ac:dyDescent="0.25">
      <c r="A40935" s="2" t="str">
        <f t="shared" si="1301"/>
        <v>99999</v>
      </c>
      <c r="B40935" s="2" t="str">
        <f>"71425"</f>
        <v>71425</v>
      </c>
      <c r="C40935" s="1">
        <v>1.03681251963122E-5</v>
      </c>
      <c r="D40935" s="1">
        <v>1.51760267340886E-6</v>
      </c>
      <c r="E40935" s="1">
        <v>0</v>
      </c>
      <c r="F40935" s="1">
        <v>9.5505729199672898E-6</v>
      </c>
    </row>
    <row r="40936" spans="1:6" x14ac:dyDescent="0.25">
      <c r="A40936" s="2" t="str">
        <f t="shared" si="1301"/>
        <v>99999</v>
      </c>
      <c r="B40936" s="2" t="str">
        <f>"71375"</f>
        <v>71375</v>
      </c>
      <c r="C40936" s="1">
        <v>2.89216123897131E-5</v>
      </c>
      <c r="D40936" s="1">
        <v>3.4904861488403899E-5</v>
      </c>
      <c r="E40936" s="1">
        <v>4.3455399550671099E-6</v>
      </c>
      <c r="F40936" s="1">
        <v>2.8751203894484799E-5</v>
      </c>
    </row>
    <row r="40937" spans="1:6" x14ac:dyDescent="0.25">
      <c r="A40937" s="2" t="str">
        <f t="shared" si="1301"/>
        <v>99999</v>
      </c>
      <c r="B40937" s="2" t="str">
        <f>"71369"</f>
        <v>71369</v>
      </c>
      <c r="C40937" s="1">
        <v>6.5592034136670194E-5</v>
      </c>
      <c r="D40937" s="1">
        <v>5.6151298916128101E-5</v>
      </c>
      <c r="E40937" s="1">
        <v>1.7382159820268399E-5</v>
      </c>
      <c r="F40937" s="1">
        <v>6.3869456402281197E-5</v>
      </c>
    </row>
    <row r="40938" spans="1:6" x14ac:dyDescent="0.25">
      <c r="A40938" s="2" t="str">
        <f t="shared" si="1301"/>
        <v>99999</v>
      </c>
      <c r="B40938" s="2" t="str">
        <f>"71368"</f>
        <v>71368</v>
      </c>
      <c r="C40938" s="1">
        <v>5.8170639259309801E-5</v>
      </c>
      <c r="D40938" s="1">
        <v>2.1246437427724101E-5</v>
      </c>
      <c r="E40938" s="1">
        <v>2.1727699775335501E-5</v>
      </c>
      <c r="F40938" s="1">
        <v>5.49157942898119E-5</v>
      </c>
    </row>
    <row r="40939" spans="1:6" x14ac:dyDescent="0.25">
      <c r="A40939" s="2" t="str">
        <f t="shared" si="1301"/>
        <v>99999</v>
      </c>
      <c r="B40939" s="2" t="str">
        <f>"71367"</f>
        <v>71367</v>
      </c>
      <c r="C40939" s="1">
        <v>6.2972718297601797E-5</v>
      </c>
      <c r="D40939" s="1">
        <v>1.0623218713862E-5</v>
      </c>
      <c r="E40939" s="1">
        <v>1.3036619865201299E-5</v>
      </c>
      <c r="F40939" s="1">
        <v>5.8397774000216597E-5</v>
      </c>
    </row>
    <row r="40940" spans="1:6" x14ac:dyDescent="0.25">
      <c r="A40940" s="2" t="str">
        <f t="shared" si="1301"/>
        <v>99999</v>
      </c>
      <c r="B40940" s="2" t="str">
        <f>"71225"</f>
        <v>71225</v>
      </c>
      <c r="C40940" s="1">
        <v>5.4569079980590801E-7</v>
      </c>
      <c r="D40940" s="1">
        <v>0</v>
      </c>
      <c r="E40940" s="1">
        <v>0</v>
      </c>
      <c r="F40940" s="1">
        <v>4.9742567291496303E-7</v>
      </c>
    </row>
    <row r="40941" spans="1:6" x14ac:dyDescent="0.25">
      <c r="A40941" s="2" t="str">
        <f t="shared" si="1301"/>
        <v>99999</v>
      </c>
      <c r="B40941" s="2" t="str">
        <f>"71227"</f>
        <v>71227</v>
      </c>
      <c r="C40941" s="1">
        <v>3.0122132149286099E-5</v>
      </c>
      <c r="D40941" s="1">
        <v>7.5880133670443404E-6</v>
      </c>
      <c r="E40941" s="1">
        <v>0</v>
      </c>
      <c r="F40941" s="1">
        <v>2.7955322817820898E-5</v>
      </c>
    </row>
    <row r="40942" spans="1:6" x14ac:dyDescent="0.25">
      <c r="A40942" s="2" t="str">
        <f t="shared" si="1301"/>
        <v>99999</v>
      </c>
      <c r="B40942" s="2" t="str">
        <f>"71034"</f>
        <v>71034</v>
      </c>
      <c r="C40942" s="1">
        <v>1.1459506795924E-5</v>
      </c>
      <c r="D40942" s="1">
        <v>0</v>
      </c>
      <c r="E40942" s="1">
        <v>4.3455399550671099E-6</v>
      </c>
      <c r="F40942" s="1">
        <v>1.05454242657972E-5</v>
      </c>
    </row>
    <row r="40943" spans="1:6" x14ac:dyDescent="0.25">
      <c r="A40943" s="2" t="str">
        <f t="shared" si="1301"/>
        <v>99999</v>
      </c>
      <c r="B40943" s="2" t="str">
        <f>"71039"</f>
        <v>71039</v>
      </c>
      <c r="C40943" s="1">
        <v>2.3464704391654001E-5</v>
      </c>
      <c r="D40943" s="1">
        <v>1.0623218713862E-5</v>
      </c>
      <c r="E40943" s="1">
        <v>0</v>
      </c>
      <c r="F40943" s="1">
        <v>2.2085699877424301E-5</v>
      </c>
    </row>
    <row r="40944" spans="1:6" x14ac:dyDescent="0.25">
      <c r="A40944" s="2" t="str">
        <f t="shared" si="1301"/>
        <v>99999</v>
      </c>
      <c r="B40944" s="2" t="str">
        <f>"71070"</f>
        <v>71070</v>
      </c>
      <c r="C40944" s="1">
        <v>5.3586836540940202E-5</v>
      </c>
      <c r="D40944" s="1">
        <v>2.7316848121359601E-5</v>
      </c>
      <c r="E40944" s="1">
        <v>4.3455399550671099E-6</v>
      </c>
      <c r="F40944" s="1">
        <v>5.07374186373262E-5</v>
      </c>
    </row>
    <row r="40945" spans="1:6" x14ac:dyDescent="0.25">
      <c r="A40945" s="2" t="str">
        <f t="shared" si="1301"/>
        <v>99999</v>
      </c>
      <c r="B40945" s="2" t="str">
        <f>"71068"</f>
        <v>71068</v>
      </c>
      <c r="C40945" s="1">
        <v>1.9863145112935E-4</v>
      </c>
      <c r="D40945" s="1">
        <v>1.09267392485438E-4</v>
      </c>
      <c r="E40945" s="1">
        <v>4.7800939505738197E-5</v>
      </c>
      <c r="F40945" s="1">
        <v>1.8932021111143401E-4</v>
      </c>
    </row>
    <row r="40946" spans="1:6" x14ac:dyDescent="0.25">
      <c r="A40946" s="2" t="str">
        <f t="shared" si="1301"/>
        <v>99999</v>
      </c>
      <c r="B40946" s="2" t="str">
        <f>"71019"</f>
        <v>71019</v>
      </c>
      <c r="C40946" s="1">
        <v>3.5328022379434501E-4</v>
      </c>
      <c r="D40946" s="1">
        <v>3.2780217745631503E-4</v>
      </c>
      <c r="E40946" s="1">
        <v>9.9947418966543598E-5</v>
      </c>
      <c r="F40946" s="1">
        <v>3.4581032781048199E-4</v>
      </c>
    </row>
    <row r="40947" spans="1:6" x14ac:dyDescent="0.25">
      <c r="A40947" s="2" t="str">
        <f t="shared" si="1301"/>
        <v>99999</v>
      </c>
      <c r="B40947" s="2" t="str">
        <f>"70656"</f>
        <v>70656</v>
      </c>
      <c r="C40947" s="1">
        <v>3.2959724308276802E-5</v>
      </c>
      <c r="D40947" s="1">
        <v>4.5528080202265997E-6</v>
      </c>
      <c r="E40947" s="1">
        <v>0</v>
      </c>
      <c r="F40947" s="1">
        <v>3.03429660478127E-5</v>
      </c>
    </row>
    <row r="40948" spans="1:6" x14ac:dyDescent="0.25">
      <c r="A40948" s="2" t="str">
        <f t="shared" si="1301"/>
        <v>99999</v>
      </c>
      <c r="B40948" s="2" t="str">
        <f>"70654"</f>
        <v>70654</v>
      </c>
      <c r="C40948" s="1">
        <v>1.1677783115846399E-5</v>
      </c>
      <c r="D40948" s="1">
        <v>0</v>
      </c>
      <c r="E40948" s="1">
        <v>4.3455399550671099E-6</v>
      </c>
      <c r="F40948" s="1">
        <v>1.0744394534963201E-5</v>
      </c>
    </row>
    <row r="40949" spans="1:6" x14ac:dyDescent="0.25">
      <c r="A40949" s="2" t="str">
        <f t="shared" si="1301"/>
        <v>99999</v>
      </c>
      <c r="B40949" s="2" t="str">
        <f>"59643"</f>
        <v>59643</v>
      </c>
      <c r="C40949" s="1">
        <v>2.72845399902954E-5</v>
      </c>
      <c r="D40949" s="1">
        <v>2.4281642774541899E-5</v>
      </c>
      <c r="E40949" s="1">
        <v>8.69107991013423E-6</v>
      </c>
      <c r="F40949" s="1">
        <v>2.6662016068241999E-5</v>
      </c>
    </row>
    <row r="40950" spans="1:6" x14ac:dyDescent="0.25">
      <c r="A40950" s="2" t="str">
        <f t="shared" si="1301"/>
        <v>99999</v>
      </c>
      <c r="B40950" s="2" t="str">
        <f>"59713"</f>
        <v>59713</v>
      </c>
      <c r="C40950" s="1">
        <v>9.0584672767780794E-6</v>
      </c>
      <c r="D40950" s="1">
        <v>0</v>
      </c>
      <c r="E40950" s="1">
        <v>4.3455399550671099E-6</v>
      </c>
      <c r="F40950" s="1">
        <v>8.3567513049713805E-6</v>
      </c>
    </row>
    <row r="40951" spans="1:6" x14ac:dyDescent="0.25">
      <c r="A40951" s="2" t="str">
        <f t="shared" si="1301"/>
        <v>99999</v>
      </c>
      <c r="B40951" s="2" t="str">
        <f>"59701"</f>
        <v>59701</v>
      </c>
      <c r="C40951" s="1">
        <v>2.1827631992236301E-7</v>
      </c>
      <c r="D40951" s="1">
        <v>0</v>
      </c>
      <c r="E40951" s="1">
        <v>0</v>
      </c>
      <c r="F40951" s="1">
        <v>1.9897026916598501E-7</v>
      </c>
    </row>
    <row r="40952" spans="1:6" x14ac:dyDescent="0.25">
      <c r="A40952" s="2" t="str">
        <f t="shared" si="1301"/>
        <v>99999</v>
      </c>
      <c r="B40952" s="2" t="str">
        <f>"59484"</f>
        <v>59484</v>
      </c>
      <c r="C40952" s="1">
        <v>1.1132092316040499E-5</v>
      </c>
      <c r="D40952" s="1">
        <v>0</v>
      </c>
      <c r="E40952" s="1">
        <v>8.69107991013423E-6</v>
      </c>
      <c r="F40952" s="1">
        <v>1.03464539966312E-5</v>
      </c>
    </row>
    <row r="40953" spans="1:6" x14ac:dyDescent="0.25">
      <c r="A40953" s="2" t="str">
        <f t="shared" si="1301"/>
        <v>99999</v>
      </c>
      <c r="B40953" s="2" t="str">
        <f>"59535"</f>
        <v>59535</v>
      </c>
      <c r="C40953" s="1">
        <v>4.9112171982531701E-6</v>
      </c>
      <c r="D40953" s="1">
        <v>3.0352053468177301E-6</v>
      </c>
      <c r="E40953" s="1">
        <v>8.69107991013423E-6</v>
      </c>
      <c r="F40953" s="1">
        <v>4.8747715945666299E-6</v>
      </c>
    </row>
    <row r="40954" spans="1:6" x14ac:dyDescent="0.25">
      <c r="A40954" s="2" t="str">
        <f t="shared" si="1301"/>
        <v>99999</v>
      </c>
      <c r="B40954" s="2" t="str">
        <f>"59530"</f>
        <v>59530</v>
      </c>
      <c r="C40954" s="1">
        <v>6.6574277576320803E-6</v>
      </c>
      <c r="D40954" s="1">
        <v>0</v>
      </c>
      <c r="E40954" s="1">
        <v>4.3455399550671099E-6</v>
      </c>
      <c r="F40954" s="1">
        <v>6.1680783441455402E-6</v>
      </c>
    </row>
    <row r="40955" spans="1:6" x14ac:dyDescent="0.25">
      <c r="A40955" s="2" t="str">
        <f t="shared" si="1301"/>
        <v>99999</v>
      </c>
      <c r="B40955" s="2" t="str">
        <f>"59542"</f>
        <v>59542</v>
      </c>
      <c r="C40955" s="1">
        <v>1.2441750235574699E-5</v>
      </c>
      <c r="D40955" s="1">
        <v>7.5880133670443404E-6</v>
      </c>
      <c r="E40955" s="1">
        <v>1.3036619865201299E-5</v>
      </c>
      <c r="F40955" s="1">
        <v>1.21371864191251E-5</v>
      </c>
    </row>
    <row r="40956" spans="1:6" x14ac:dyDescent="0.25">
      <c r="A40956" s="2" t="str">
        <f t="shared" si="1301"/>
        <v>99999</v>
      </c>
      <c r="B40956" s="2" t="str">
        <f>"59540"</f>
        <v>59540</v>
      </c>
      <c r="C40956" s="1">
        <v>1.5388480554526601E-5</v>
      </c>
      <c r="D40956" s="1">
        <v>4.5528080202265997E-6</v>
      </c>
      <c r="E40956" s="1">
        <v>4.3455399550671099E-6</v>
      </c>
      <c r="F40956" s="1">
        <v>1.44253445145339E-5</v>
      </c>
    </row>
    <row r="40957" spans="1:6" x14ac:dyDescent="0.25">
      <c r="A40957" s="2" t="str">
        <f t="shared" si="1301"/>
        <v>99999</v>
      </c>
      <c r="B40957" s="2" t="str">
        <f>"59526"</f>
        <v>59526</v>
      </c>
      <c r="C40957" s="1">
        <v>1.09574712601026E-4</v>
      </c>
      <c r="D40957" s="1">
        <v>5.6151298916128101E-5</v>
      </c>
      <c r="E40957" s="1">
        <v>9.1256339056409395E-5</v>
      </c>
      <c r="F40957" s="1">
        <v>1.05653212927138E-4</v>
      </c>
    </row>
    <row r="40958" spans="1:6" x14ac:dyDescent="0.25">
      <c r="A40958" s="2" t="str">
        <f t="shared" si="1301"/>
        <v>99999</v>
      </c>
      <c r="B40958" s="2" t="str">
        <f>"59863"</f>
        <v>59863</v>
      </c>
      <c r="C40958" s="1">
        <v>6.3300132777485401E-6</v>
      </c>
      <c r="D40958" s="1">
        <v>1.66936294074975E-5</v>
      </c>
      <c r="E40958" s="1">
        <v>2.60732397304027E-5</v>
      </c>
      <c r="F40958" s="1">
        <v>7.4613850937244396E-6</v>
      </c>
    </row>
    <row r="40959" spans="1:6" x14ac:dyDescent="0.25">
      <c r="A40959" s="2" t="str">
        <f t="shared" si="1301"/>
        <v>99999</v>
      </c>
      <c r="B40959" s="2" t="str">
        <f>"59867"</f>
        <v>59867</v>
      </c>
      <c r="C40959" s="1">
        <v>2.9467303189519E-6</v>
      </c>
      <c r="D40959" s="1">
        <v>4.5528080202265997E-6</v>
      </c>
      <c r="E40959" s="1">
        <v>4.3455399550671099E-6</v>
      </c>
      <c r="F40959" s="1">
        <v>3.0840391720727701E-6</v>
      </c>
    </row>
    <row r="40960" spans="1:6" x14ac:dyDescent="0.25">
      <c r="A40960" s="2" t="str">
        <f t="shared" si="1301"/>
        <v>99999</v>
      </c>
      <c r="B40960" s="2" t="str">
        <f>"59866"</f>
        <v>59866</v>
      </c>
      <c r="C40960" s="1">
        <v>8.7965356928712405E-5</v>
      </c>
      <c r="D40960" s="1">
        <v>2.1246437427724101E-5</v>
      </c>
      <c r="E40960" s="1">
        <v>1.2602065869694599E-4</v>
      </c>
      <c r="F40960" s="1">
        <v>8.4462879260960703E-5</v>
      </c>
    </row>
    <row r="40961" spans="1:6" x14ac:dyDescent="0.25">
      <c r="A40961" s="2" t="str">
        <f t="shared" si="1301"/>
        <v>99999</v>
      </c>
      <c r="B40961" s="2" t="str">
        <f>"59732"</f>
        <v>59732</v>
      </c>
      <c r="C40961" s="1">
        <v>8.1853619970886298E-6</v>
      </c>
      <c r="D40961" s="1">
        <v>0</v>
      </c>
      <c r="E40961" s="1">
        <v>1.7382159820268399E-5</v>
      </c>
      <c r="F40961" s="1">
        <v>7.85932563205641E-6</v>
      </c>
    </row>
    <row r="40962" spans="1:6" x14ac:dyDescent="0.25">
      <c r="A40962" s="2" t="str">
        <f t="shared" si="1301"/>
        <v>99999</v>
      </c>
      <c r="B40962" s="2" t="str">
        <f>"59735"</f>
        <v>59735</v>
      </c>
      <c r="C40962" s="1">
        <v>0</v>
      </c>
      <c r="D40962" s="1">
        <v>0</v>
      </c>
      <c r="E40962" s="1">
        <v>4.3455399550671099E-6</v>
      </c>
      <c r="F40962" s="1">
        <v>9.9485134582992598E-8</v>
      </c>
    </row>
    <row r="40963" spans="1:6" x14ac:dyDescent="0.25">
      <c r="A40963" s="2" t="str">
        <f t="shared" si="1301"/>
        <v>99999</v>
      </c>
      <c r="B40963" s="2" t="str">
        <f>"59752"</f>
        <v>59752</v>
      </c>
      <c r="C40963" s="1">
        <v>3.31780006281992E-5</v>
      </c>
      <c r="D40963" s="1">
        <v>2.1246437427724101E-5</v>
      </c>
      <c r="E40963" s="1">
        <v>3.0418779685469802E-5</v>
      </c>
      <c r="F40963" s="1">
        <v>3.2332668739472599E-5</v>
      </c>
    </row>
    <row r="40964" spans="1:6" x14ac:dyDescent="0.25">
      <c r="A40964" s="2" t="str">
        <f t="shared" si="1301"/>
        <v>99999</v>
      </c>
      <c r="B40964" s="2" t="str">
        <f>"59820"</f>
        <v>59820</v>
      </c>
      <c r="C40964" s="1">
        <v>3.7870941506530001E-5</v>
      </c>
      <c r="D40964" s="1">
        <v>6.0704106936354696E-6</v>
      </c>
      <c r="E40964" s="1">
        <v>5.6492019415872502E-5</v>
      </c>
      <c r="F40964" s="1">
        <v>3.6212588988209297E-5</v>
      </c>
    </row>
    <row r="40965" spans="1:6" x14ac:dyDescent="0.25">
      <c r="A40965" s="2" t="str">
        <f t="shared" si="1301"/>
        <v>99999</v>
      </c>
      <c r="B40965" s="2" t="str">
        <f>"59858"</f>
        <v>59858</v>
      </c>
      <c r="C40965" s="1">
        <v>7.7815508052322502E-5</v>
      </c>
      <c r="D40965" s="1">
        <v>2.1246437427724101E-5</v>
      </c>
      <c r="E40965" s="1">
        <v>6.0837559370939603E-5</v>
      </c>
      <c r="F40965" s="1">
        <v>7.3718484725997501E-5</v>
      </c>
    </row>
    <row r="40966" spans="1:6" x14ac:dyDescent="0.25">
      <c r="A40966" s="2" t="str">
        <f t="shared" si="1301"/>
        <v>99999</v>
      </c>
      <c r="B40966" s="2" t="str">
        <f>"59432"</f>
        <v>59432</v>
      </c>
      <c r="C40966" s="1">
        <v>7.9670856771662607E-6</v>
      </c>
      <c r="D40966" s="1">
        <v>3.0352053468177301E-6</v>
      </c>
      <c r="E40966" s="1">
        <v>8.69107991013423E-6</v>
      </c>
      <c r="F40966" s="1">
        <v>7.6603553628904299E-6</v>
      </c>
    </row>
    <row r="40967" spans="1:6" x14ac:dyDescent="0.25">
      <c r="A40967" s="2" t="str">
        <f t="shared" si="1301"/>
        <v>99999</v>
      </c>
      <c r="B40967" s="2" t="str">
        <f>"59434"</f>
        <v>59434</v>
      </c>
      <c r="C40967" s="1">
        <v>2.1827631992236301E-7</v>
      </c>
      <c r="D40967" s="1">
        <v>1.51760267340886E-6</v>
      </c>
      <c r="E40967" s="1">
        <v>1.7382159820268399E-5</v>
      </c>
      <c r="F40967" s="1">
        <v>6.9639594208094799E-7</v>
      </c>
    </row>
    <row r="40968" spans="1:6" x14ac:dyDescent="0.25">
      <c r="A40968" s="2" t="str">
        <f t="shared" si="1301"/>
        <v>99999</v>
      </c>
      <c r="B40968" s="2" t="str">
        <f>"59446"</f>
        <v>59446</v>
      </c>
      <c r="C40968" s="1">
        <v>1.9863145112935E-5</v>
      </c>
      <c r="D40968" s="1">
        <v>3.0352053468177301E-6</v>
      </c>
      <c r="E40968" s="1">
        <v>1.3036619865201299E-5</v>
      </c>
      <c r="F40968" s="1">
        <v>1.8603720167019601E-5</v>
      </c>
    </row>
    <row r="40969" spans="1:6" x14ac:dyDescent="0.25">
      <c r="A40969" s="2" t="str">
        <f t="shared" si="1301"/>
        <v>99999</v>
      </c>
      <c r="B40969" s="2" t="str">
        <f>"59430"</f>
        <v>59430</v>
      </c>
      <c r="C40969" s="1">
        <v>2.51017767910718E-5</v>
      </c>
      <c r="D40969" s="1">
        <v>1.51760267340886E-6</v>
      </c>
      <c r="E40969" s="1">
        <v>4.3455399550671099E-6</v>
      </c>
      <c r="F40969" s="1">
        <v>2.3080551223254198E-5</v>
      </c>
    </row>
    <row r="40970" spans="1:6" x14ac:dyDescent="0.25">
      <c r="A40970" s="2" t="str">
        <f t="shared" si="1301"/>
        <v>99999</v>
      </c>
      <c r="B40970" s="2" t="str">
        <f>"59418"</f>
        <v>59418</v>
      </c>
      <c r="C40970" s="1">
        <v>7.0939803974768102E-6</v>
      </c>
      <c r="D40970" s="1">
        <v>1.0623218713862E-5</v>
      </c>
      <c r="E40970" s="1">
        <v>4.3455399550671099E-6</v>
      </c>
      <c r="F40970" s="1">
        <v>7.2624148245584604E-6</v>
      </c>
    </row>
    <row r="40971" spans="1:6" x14ac:dyDescent="0.25">
      <c r="A40971" s="2" t="str">
        <f t="shared" si="1301"/>
        <v>99999</v>
      </c>
      <c r="B40971" s="2" t="str">
        <f>"59339"</f>
        <v>59339</v>
      </c>
      <c r="C40971" s="1">
        <v>1.0586401516234599E-5</v>
      </c>
      <c r="D40971" s="1">
        <v>4.5528080202265997E-6</v>
      </c>
      <c r="E40971" s="1">
        <v>4.3455399550671099E-6</v>
      </c>
      <c r="F40971" s="1">
        <v>1.0047998592882199E-5</v>
      </c>
    </row>
    <row r="40972" spans="1:6" x14ac:dyDescent="0.25">
      <c r="A40972" s="2" t="str">
        <f t="shared" si="1301"/>
        <v>99999</v>
      </c>
      <c r="B40972" s="2" t="str">
        <f>"59319"</f>
        <v>59319</v>
      </c>
      <c r="C40972" s="1">
        <v>2.7284539990295402E-6</v>
      </c>
      <c r="D40972" s="1">
        <v>1.51760267340886E-6</v>
      </c>
      <c r="E40972" s="1">
        <v>4.3455399550671099E-6</v>
      </c>
      <c r="F40972" s="1">
        <v>2.6860986337408002E-6</v>
      </c>
    </row>
    <row r="40973" spans="1:6" x14ac:dyDescent="0.25">
      <c r="A40973" s="2" t="str">
        <f t="shared" si="1301"/>
        <v>99999</v>
      </c>
      <c r="B40973" s="2" t="str">
        <f>"59315"</f>
        <v>59315</v>
      </c>
      <c r="C40973" s="1">
        <v>7.8579475172050803E-6</v>
      </c>
      <c r="D40973" s="1">
        <v>7.5880133670443404E-6</v>
      </c>
      <c r="E40973" s="1">
        <v>4.3455399550671099E-6</v>
      </c>
      <c r="F40973" s="1">
        <v>7.7598404974734199E-6</v>
      </c>
    </row>
    <row r="40974" spans="1:6" x14ac:dyDescent="0.25">
      <c r="A40974" s="2" t="str">
        <f t="shared" si="1301"/>
        <v>99999</v>
      </c>
      <c r="B40974" s="2" t="str">
        <f>"59255"</f>
        <v>59255</v>
      </c>
      <c r="C40974" s="1">
        <v>1.0040710716428699E-5</v>
      </c>
      <c r="D40974" s="1">
        <v>7.5880133670443404E-6</v>
      </c>
      <c r="E40974" s="1">
        <v>1.3036619865201299E-5</v>
      </c>
      <c r="F40974" s="1">
        <v>9.9485134582992602E-6</v>
      </c>
    </row>
    <row r="40975" spans="1:6" x14ac:dyDescent="0.25">
      <c r="A40975" s="2" t="str">
        <f t="shared" si="1301"/>
        <v>99999</v>
      </c>
      <c r="B40975" s="2" t="str">
        <f>"59351"</f>
        <v>59351</v>
      </c>
      <c r="C40975" s="1">
        <v>1.10229541560793E-5</v>
      </c>
      <c r="D40975" s="1">
        <v>0</v>
      </c>
      <c r="E40975" s="1">
        <v>4.3455399550671099E-6</v>
      </c>
      <c r="F40975" s="1">
        <v>1.01474837274652E-5</v>
      </c>
    </row>
    <row r="40976" spans="1:6" x14ac:dyDescent="0.25">
      <c r="A40976" s="2" t="str">
        <f t="shared" si="1301"/>
        <v>99999</v>
      </c>
      <c r="B40976" s="2" t="str">
        <f>"59212"</f>
        <v>59212</v>
      </c>
      <c r="C40976" s="1">
        <v>1.0258987036351001E-5</v>
      </c>
      <c r="D40976" s="1">
        <v>1.21408213872709E-5</v>
      </c>
      <c r="E40976" s="1">
        <v>4.3455399550671099E-6</v>
      </c>
      <c r="F40976" s="1">
        <v>1.02469688620482E-5</v>
      </c>
    </row>
    <row r="40977" spans="1:6" x14ac:dyDescent="0.25">
      <c r="A40977" s="2" t="str">
        <f t="shared" si="1301"/>
        <v>99999</v>
      </c>
      <c r="B40977" s="2" t="str">
        <f>"59343"</f>
        <v>59343</v>
      </c>
      <c r="C40977" s="1">
        <v>3.9289737586025402E-6</v>
      </c>
      <c r="D40977" s="1">
        <v>0</v>
      </c>
      <c r="E40977" s="1">
        <v>4.3455399550671099E-6</v>
      </c>
      <c r="F40977" s="1">
        <v>3.6809499795707201E-6</v>
      </c>
    </row>
    <row r="40978" spans="1:6" x14ac:dyDescent="0.25">
      <c r="A40978" s="2" t="str">
        <f t="shared" ref="A40978:A41041" si="1302">"99999"</f>
        <v>99999</v>
      </c>
      <c r="B40978" s="2" t="str">
        <f>"59323"</f>
        <v>59323</v>
      </c>
      <c r="C40978" s="1">
        <v>1.3020182483368899E-4</v>
      </c>
      <c r="D40978" s="1">
        <v>1.51760267340886E-6</v>
      </c>
      <c r="E40978" s="1">
        <v>2.4769577743882499E-4</v>
      </c>
      <c r="F40978" s="1">
        <v>1.2445590336332299E-4</v>
      </c>
    </row>
    <row r="40979" spans="1:6" x14ac:dyDescent="0.25">
      <c r="A40979" s="2" t="str">
        <f t="shared" si="1302"/>
        <v>99999</v>
      </c>
      <c r="B40979" s="2" t="str">
        <f>"59275"</f>
        <v>59275</v>
      </c>
      <c r="C40979" s="1">
        <v>1.93174543131291E-5</v>
      </c>
      <c r="D40979" s="1">
        <v>3.0352053468177301E-6</v>
      </c>
      <c r="E40979" s="1">
        <v>8.69107991013423E-6</v>
      </c>
      <c r="F40979" s="1">
        <v>1.8006809359521599E-5</v>
      </c>
    </row>
    <row r="40980" spans="1:6" x14ac:dyDescent="0.25">
      <c r="A40980" s="2" t="str">
        <f t="shared" si="1302"/>
        <v>99999</v>
      </c>
      <c r="B40980" s="2" t="str">
        <f>"59258"</f>
        <v>59258</v>
      </c>
      <c r="C40980" s="1">
        <v>5.1294935181755401E-6</v>
      </c>
      <c r="D40980" s="1">
        <v>3.0352053468177301E-6</v>
      </c>
      <c r="E40980" s="1">
        <v>4.3455399550671099E-6</v>
      </c>
      <c r="F40980" s="1">
        <v>4.9742567291496301E-6</v>
      </c>
    </row>
    <row r="40981" spans="1:6" x14ac:dyDescent="0.25">
      <c r="A40981" s="2" t="str">
        <f t="shared" si="1302"/>
        <v>99999</v>
      </c>
      <c r="B40981" s="2" t="str">
        <f>"59259"</f>
        <v>59259</v>
      </c>
      <c r="C40981" s="1">
        <v>2.13910793523916E-5</v>
      </c>
      <c r="D40981" s="1">
        <v>1.5176026734088599E-5</v>
      </c>
      <c r="E40981" s="1">
        <v>2.1727699775335501E-5</v>
      </c>
      <c r="F40981" s="1">
        <v>2.0991363397011399E-5</v>
      </c>
    </row>
    <row r="40982" spans="1:6" x14ac:dyDescent="0.25">
      <c r="A40982" s="2" t="str">
        <f t="shared" si="1302"/>
        <v>99999</v>
      </c>
      <c r="B40982" s="2" t="str">
        <f>"59248"</f>
        <v>59248</v>
      </c>
      <c r="C40982" s="1">
        <v>4.3546125824511501E-5</v>
      </c>
      <c r="D40982" s="1">
        <v>1.3658424060679801E-5</v>
      </c>
      <c r="E40982" s="1">
        <v>1.3036619865201299E-5</v>
      </c>
      <c r="F40982" s="1">
        <v>4.0888390313609902E-5</v>
      </c>
    </row>
    <row r="40983" spans="1:6" x14ac:dyDescent="0.25">
      <c r="A40983" s="2" t="str">
        <f t="shared" si="1302"/>
        <v>99999</v>
      </c>
      <c r="B40983" s="2" t="str">
        <f>"59230"</f>
        <v>59230</v>
      </c>
      <c r="C40983" s="1">
        <v>2.8888870941724798E-4</v>
      </c>
      <c r="D40983" s="1">
        <v>7.1934366719580403E-4</v>
      </c>
      <c r="E40983" s="1">
        <v>6.2141221357459703E-4</v>
      </c>
      <c r="F40983" s="1">
        <v>3.2471947927888698E-4</v>
      </c>
    </row>
    <row r="40984" spans="1:6" x14ac:dyDescent="0.25">
      <c r="A40984" s="2" t="str">
        <f t="shared" si="1302"/>
        <v>99999</v>
      </c>
      <c r="B40984" s="2" t="str">
        <f>"59211"</f>
        <v>59211</v>
      </c>
      <c r="C40984" s="1">
        <v>1.15686449558852E-5</v>
      </c>
      <c r="D40984" s="1">
        <v>0</v>
      </c>
      <c r="E40984" s="1">
        <v>1.3036619865201299E-5</v>
      </c>
      <c r="F40984" s="1">
        <v>1.0843879669546099E-5</v>
      </c>
    </row>
    <row r="40985" spans="1:6" x14ac:dyDescent="0.25">
      <c r="A40985" s="2" t="str">
        <f t="shared" si="1302"/>
        <v>99999</v>
      </c>
      <c r="B40985" s="2" t="str">
        <f>"59201"</f>
        <v>59201</v>
      </c>
      <c r="C40985" s="1">
        <v>2.16420971203023E-4</v>
      </c>
      <c r="D40985" s="1">
        <v>3.5208382023085697E-4</v>
      </c>
      <c r="E40985" s="1">
        <v>3.6067981627057E-4</v>
      </c>
      <c r="F40985" s="1">
        <v>2.2861683927171699E-4</v>
      </c>
    </row>
    <row r="40986" spans="1:6" x14ac:dyDescent="0.25">
      <c r="A40986" s="2" t="str">
        <f t="shared" si="1302"/>
        <v>99999</v>
      </c>
      <c r="B40986" s="2" t="str">
        <f>"58622"</f>
        <v>58622</v>
      </c>
      <c r="C40986" s="1">
        <v>4.3655263984472602E-7</v>
      </c>
      <c r="D40986" s="1">
        <v>0</v>
      </c>
      <c r="E40986" s="1">
        <v>0</v>
      </c>
      <c r="F40986" s="1">
        <v>3.9794053833197002E-7</v>
      </c>
    </row>
    <row r="40987" spans="1:6" x14ac:dyDescent="0.25">
      <c r="A40987" s="2" t="str">
        <f t="shared" si="1302"/>
        <v>99999</v>
      </c>
      <c r="B40987" s="2" t="str">
        <f>"58571"</f>
        <v>58571</v>
      </c>
      <c r="C40987" s="1">
        <v>2.2373322792042201E-5</v>
      </c>
      <c r="D40987" s="1">
        <v>4.5528080202265997E-6</v>
      </c>
      <c r="E40987" s="1">
        <v>3.0418779685469802E-5</v>
      </c>
      <c r="F40987" s="1">
        <v>2.13893039353434E-5</v>
      </c>
    </row>
    <row r="40988" spans="1:6" x14ac:dyDescent="0.25">
      <c r="A40988" s="2" t="str">
        <f t="shared" si="1302"/>
        <v>99999</v>
      </c>
      <c r="B40988" s="2" t="str">
        <f>"58575"</f>
        <v>58575</v>
      </c>
      <c r="C40988" s="1">
        <v>4.2127329745016101E-5</v>
      </c>
      <c r="D40988" s="1">
        <v>1.66936294074975E-5</v>
      </c>
      <c r="E40988" s="1">
        <v>6.0837559370939603E-5</v>
      </c>
      <c r="F40988" s="1">
        <v>4.0888390313609902E-5</v>
      </c>
    </row>
    <row r="40989" spans="1:6" x14ac:dyDescent="0.25">
      <c r="A40989" s="2" t="str">
        <f t="shared" si="1302"/>
        <v>99999</v>
      </c>
      <c r="B40989" s="2" t="str">
        <f>"58573"</f>
        <v>58573</v>
      </c>
      <c r="C40989" s="1">
        <v>2.9685579509441402E-5</v>
      </c>
      <c r="D40989" s="1">
        <v>4.5528080202265997E-6</v>
      </c>
      <c r="E40989" s="1">
        <v>4.7800939505738197E-5</v>
      </c>
      <c r="F40989" s="1">
        <v>2.84527484907358E-5</v>
      </c>
    </row>
    <row r="40990" spans="1:6" x14ac:dyDescent="0.25">
      <c r="A40990" s="2" t="str">
        <f t="shared" si="1302"/>
        <v>99999</v>
      </c>
      <c r="B40990" s="2" t="str">
        <f>"58528"</f>
        <v>58528</v>
      </c>
      <c r="C40990" s="1">
        <v>4.2563882384860804E-6</v>
      </c>
      <c r="D40990" s="1">
        <v>3.0352053468177301E-6</v>
      </c>
      <c r="E40990" s="1">
        <v>4.3455399550671099E-6</v>
      </c>
      <c r="F40990" s="1">
        <v>4.1783756524856902E-6</v>
      </c>
    </row>
    <row r="40991" spans="1:6" x14ac:dyDescent="0.25">
      <c r="A40991" s="2" t="str">
        <f t="shared" si="1302"/>
        <v>99999</v>
      </c>
      <c r="B40991" s="2" t="str">
        <f>"58772"</f>
        <v>58772</v>
      </c>
      <c r="C40991" s="1">
        <v>4.1472500785249E-6</v>
      </c>
      <c r="D40991" s="1">
        <v>3.0352053468177301E-6</v>
      </c>
      <c r="E40991" s="1">
        <v>4.3455399550671099E-6</v>
      </c>
      <c r="F40991" s="1">
        <v>4.07889051790269E-6</v>
      </c>
    </row>
    <row r="40992" spans="1:6" x14ac:dyDescent="0.25">
      <c r="A40992" s="2" t="str">
        <f t="shared" si="1302"/>
        <v>99999</v>
      </c>
      <c r="B40992" s="2" t="str">
        <f>"58845"</f>
        <v>58845</v>
      </c>
      <c r="C40992" s="1">
        <v>4.5838027183696299E-6</v>
      </c>
      <c r="D40992" s="1">
        <v>3.0352053468177301E-6</v>
      </c>
      <c r="E40992" s="1">
        <v>0</v>
      </c>
      <c r="F40992" s="1">
        <v>4.3773459216516703E-6</v>
      </c>
    </row>
    <row r="40993" spans="1:6" x14ac:dyDescent="0.25">
      <c r="A40993" s="2" t="str">
        <f t="shared" si="1302"/>
        <v>99999</v>
      </c>
      <c r="B40993" s="2" t="str">
        <f>"58793"</f>
        <v>58793</v>
      </c>
      <c r="C40993" s="1">
        <v>2.9794717669402601E-5</v>
      </c>
      <c r="D40993" s="1">
        <v>4.4010477528857203E-5</v>
      </c>
      <c r="E40993" s="1">
        <v>3.0418779685469802E-5</v>
      </c>
      <c r="F40993" s="1">
        <v>3.0740906586144698E-5</v>
      </c>
    </row>
    <row r="40994" spans="1:6" x14ac:dyDescent="0.25">
      <c r="A40994" s="2" t="str">
        <f t="shared" si="1302"/>
        <v>99999</v>
      </c>
      <c r="B40994" s="2" t="str">
        <f>"58740"</f>
        <v>58740</v>
      </c>
      <c r="C40994" s="1">
        <v>2.1827631992236301E-7</v>
      </c>
      <c r="D40994" s="1">
        <v>0</v>
      </c>
      <c r="E40994" s="1">
        <v>0</v>
      </c>
      <c r="F40994" s="1">
        <v>1.9897026916598501E-7</v>
      </c>
    </row>
    <row r="40995" spans="1:6" x14ac:dyDescent="0.25">
      <c r="A40995" s="2" t="str">
        <f t="shared" si="1302"/>
        <v>99999</v>
      </c>
      <c r="B40995" s="2" t="str">
        <f>"58844"</f>
        <v>58844</v>
      </c>
      <c r="C40995" s="1">
        <v>7.0939803974768102E-6</v>
      </c>
      <c r="D40995" s="1">
        <v>3.0352053468177301E-6</v>
      </c>
      <c r="E40995" s="1">
        <v>1.3036619865201299E-5</v>
      </c>
      <c r="F40995" s="1">
        <v>6.9639594208094801E-6</v>
      </c>
    </row>
    <row r="40996" spans="1:6" x14ac:dyDescent="0.25">
      <c r="A40996" s="2" t="str">
        <f t="shared" si="1302"/>
        <v>99999</v>
      </c>
      <c r="B40996" s="2" t="str">
        <f>"58783"</f>
        <v>58783</v>
      </c>
      <c r="C40996" s="1">
        <v>2.7393678150256599E-5</v>
      </c>
      <c r="D40996" s="1">
        <v>1.5176026734088599E-5</v>
      </c>
      <c r="E40996" s="1">
        <v>1.3036619865201299E-5</v>
      </c>
      <c r="F40996" s="1">
        <v>2.6264075529910002E-5</v>
      </c>
    </row>
    <row r="40997" spans="1:6" x14ac:dyDescent="0.25">
      <c r="A40997" s="2" t="str">
        <f t="shared" si="1302"/>
        <v>99999</v>
      </c>
      <c r="B40997" s="2" t="str">
        <f>"58727"</f>
        <v>58727</v>
      </c>
      <c r="C40997" s="1">
        <v>1.5061066074643001E-5</v>
      </c>
      <c r="D40997" s="1">
        <v>9.1056160404532095E-6</v>
      </c>
      <c r="E40997" s="1">
        <v>1.3036619865201299E-5</v>
      </c>
      <c r="F40997" s="1">
        <v>1.4624314783699901E-5</v>
      </c>
    </row>
    <row r="40998" spans="1:6" x14ac:dyDescent="0.25">
      <c r="A40998" s="2" t="str">
        <f t="shared" si="1302"/>
        <v>99999</v>
      </c>
      <c r="B40998" s="2" t="str">
        <f>"59082"</f>
        <v>59082</v>
      </c>
      <c r="C40998" s="1">
        <v>4.6929408783308102E-6</v>
      </c>
      <c r="D40998" s="1">
        <v>0</v>
      </c>
      <c r="E40998" s="1">
        <v>4.3455399550671099E-6</v>
      </c>
      <c r="F40998" s="1">
        <v>4.3773459216516703E-6</v>
      </c>
    </row>
    <row r="40999" spans="1:6" x14ac:dyDescent="0.25">
      <c r="A40999" s="2" t="str">
        <f t="shared" si="1302"/>
        <v>99999</v>
      </c>
      <c r="B40999" s="2" t="str">
        <f>"59039"</f>
        <v>59039</v>
      </c>
      <c r="C40999" s="1">
        <v>2.6193158390683598E-6</v>
      </c>
      <c r="D40999" s="1">
        <v>0</v>
      </c>
      <c r="E40999" s="1">
        <v>8.69107991013423E-6</v>
      </c>
      <c r="F40999" s="1">
        <v>2.5866134991578E-6</v>
      </c>
    </row>
    <row r="41000" spans="1:6" x14ac:dyDescent="0.25">
      <c r="A41000" s="2" t="str">
        <f t="shared" si="1302"/>
        <v>99999</v>
      </c>
      <c r="B41000" s="2" t="str">
        <f>"59058"</f>
        <v>59058</v>
      </c>
      <c r="C41000" s="1">
        <v>6.1117369578261701E-6</v>
      </c>
      <c r="D41000" s="1">
        <v>1.51760267340886E-6</v>
      </c>
      <c r="E41000" s="1">
        <v>4.3455399550671099E-6</v>
      </c>
      <c r="F41000" s="1">
        <v>5.7701378058135699E-6</v>
      </c>
    </row>
    <row r="41001" spans="1:6" x14ac:dyDescent="0.25">
      <c r="A41001" s="2" t="str">
        <f t="shared" si="1302"/>
        <v>99999</v>
      </c>
      <c r="B41001" s="2" t="str">
        <f>"59069"</f>
        <v>59069</v>
      </c>
      <c r="C41001" s="1">
        <v>9.8224343965063504E-6</v>
      </c>
      <c r="D41001" s="1">
        <v>0</v>
      </c>
      <c r="E41001" s="1">
        <v>4.3455399550671099E-6</v>
      </c>
      <c r="F41001" s="1">
        <v>9.0531472470523294E-6</v>
      </c>
    </row>
    <row r="41002" spans="1:6" x14ac:dyDescent="0.25">
      <c r="A41002" s="2" t="str">
        <f t="shared" si="1302"/>
        <v>99999</v>
      </c>
      <c r="B41002" s="2" t="str">
        <f>"58856"</f>
        <v>58856</v>
      </c>
      <c r="C41002" s="1">
        <v>3.27414479883545E-6</v>
      </c>
      <c r="D41002" s="1">
        <v>0</v>
      </c>
      <c r="E41002" s="1">
        <v>0</v>
      </c>
      <c r="F41002" s="1">
        <v>2.9845540374897699E-6</v>
      </c>
    </row>
    <row r="41003" spans="1:6" x14ac:dyDescent="0.25">
      <c r="A41003" s="2" t="str">
        <f t="shared" si="1302"/>
        <v>99999</v>
      </c>
      <c r="B41003" s="2" t="str">
        <f>"59050"</f>
        <v>59050</v>
      </c>
      <c r="C41003" s="1">
        <v>1.04772633562734E-5</v>
      </c>
      <c r="D41003" s="1">
        <v>0</v>
      </c>
      <c r="E41003" s="1">
        <v>4.3455399550671099E-6</v>
      </c>
      <c r="F41003" s="1">
        <v>9.6500580545502799E-6</v>
      </c>
    </row>
    <row r="41004" spans="1:6" x14ac:dyDescent="0.25">
      <c r="A41004" s="2" t="str">
        <f t="shared" si="1302"/>
        <v>99999</v>
      </c>
      <c r="B41004" s="2" t="str">
        <f>"59016"</f>
        <v>59016</v>
      </c>
      <c r="C41004" s="1">
        <v>1.60433095142937E-5</v>
      </c>
      <c r="D41004" s="1">
        <v>0</v>
      </c>
      <c r="E41004" s="1">
        <v>4.3455399550671099E-6</v>
      </c>
      <c r="F41004" s="1">
        <v>1.4723799918282901E-5</v>
      </c>
    </row>
    <row r="41005" spans="1:6" x14ac:dyDescent="0.25">
      <c r="A41005" s="2" t="str">
        <f t="shared" si="1302"/>
        <v>99999</v>
      </c>
      <c r="B41005" s="2" t="str">
        <f>"58480"</f>
        <v>58480</v>
      </c>
      <c r="C41005" s="1">
        <v>1.65890003140996E-5</v>
      </c>
      <c r="D41005" s="1">
        <v>3.0352053468177301E-6</v>
      </c>
      <c r="E41005" s="1">
        <v>8.69107991013423E-6</v>
      </c>
      <c r="F41005" s="1">
        <v>1.5519680994946799E-5</v>
      </c>
    </row>
    <row r="41006" spans="1:6" x14ac:dyDescent="0.25">
      <c r="A41006" s="2" t="str">
        <f t="shared" si="1302"/>
        <v>99999</v>
      </c>
      <c r="B41006" s="2" t="str">
        <f>"58353"</f>
        <v>58353</v>
      </c>
      <c r="C41006" s="1">
        <v>9.71329623654517E-6</v>
      </c>
      <c r="D41006" s="1">
        <v>0</v>
      </c>
      <c r="E41006" s="1">
        <v>0</v>
      </c>
      <c r="F41006" s="1">
        <v>8.8541769778863392E-6</v>
      </c>
    </row>
    <row r="41007" spans="1:6" x14ac:dyDescent="0.25">
      <c r="A41007" s="2" t="str">
        <f t="shared" si="1302"/>
        <v>99999</v>
      </c>
      <c r="B41007" s="2" t="str">
        <f>"58423"</f>
        <v>58423</v>
      </c>
      <c r="C41007" s="1">
        <v>5.2386316781367196E-6</v>
      </c>
      <c r="D41007" s="1">
        <v>0</v>
      </c>
      <c r="E41007" s="1">
        <v>4.3455399550671099E-6</v>
      </c>
      <c r="F41007" s="1">
        <v>4.8747715945666299E-6</v>
      </c>
    </row>
    <row r="41008" spans="1:6" x14ac:dyDescent="0.25">
      <c r="A41008" s="2" t="str">
        <f t="shared" si="1302"/>
        <v>99999</v>
      </c>
      <c r="B41008" s="2" t="str">
        <f>"58482"</f>
        <v>58482</v>
      </c>
      <c r="C41008" s="1">
        <v>4.8566481182725801E-5</v>
      </c>
      <c r="D41008" s="1">
        <v>2.2764040101133E-5</v>
      </c>
      <c r="E41008" s="1">
        <v>1.12984038831745E-4</v>
      </c>
      <c r="F41008" s="1">
        <v>4.8349775407334398E-5</v>
      </c>
    </row>
    <row r="41009" spans="1:6" x14ac:dyDescent="0.25">
      <c r="A41009" s="2" t="str">
        <f t="shared" si="1302"/>
        <v>99999</v>
      </c>
      <c r="B41009" s="2" t="str">
        <f>"58474"</f>
        <v>58474</v>
      </c>
      <c r="C41009" s="1">
        <v>1.4646341066790501E-4</v>
      </c>
      <c r="D41009" s="1">
        <v>2.7772128923382301E-4</v>
      </c>
      <c r="E41009" s="1">
        <v>4.04135215821241E-4</v>
      </c>
      <c r="F41009" s="1">
        <v>1.6096694775528199E-4</v>
      </c>
    </row>
    <row r="41010" spans="1:6" x14ac:dyDescent="0.25">
      <c r="A41010" s="2" t="str">
        <f t="shared" si="1302"/>
        <v>99999</v>
      </c>
      <c r="B41010" s="2" t="str">
        <f>"58428"</f>
        <v>58428</v>
      </c>
      <c r="C41010" s="1">
        <v>1.45153752748371E-5</v>
      </c>
      <c r="D41010" s="1">
        <v>3.0352053468177301E-6</v>
      </c>
      <c r="E41010" s="1">
        <v>1.3036619865201299E-5</v>
      </c>
      <c r="F41010" s="1">
        <v>1.37289485724529E-5</v>
      </c>
    </row>
    <row r="41011" spans="1:6" x14ac:dyDescent="0.25">
      <c r="A41011" s="2" t="str">
        <f t="shared" si="1302"/>
        <v>99999</v>
      </c>
      <c r="B41011" s="2" t="str">
        <f>"58415"</f>
        <v>58415</v>
      </c>
      <c r="C41011" s="1">
        <v>8.0762238371274393E-6</v>
      </c>
      <c r="D41011" s="1">
        <v>3.0352053468177301E-6</v>
      </c>
      <c r="E41011" s="1">
        <v>0</v>
      </c>
      <c r="F41011" s="1">
        <v>7.5608702283074398E-6</v>
      </c>
    </row>
    <row r="41012" spans="1:6" x14ac:dyDescent="0.25">
      <c r="A41012" s="2" t="str">
        <f t="shared" si="1302"/>
        <v>99999</v>
      </c>
      <c r="B41012" s="2" t="str">
        <f>"58386"</f>
        <v>58386</v>
      </c>
      <c r="C41012" s="1">
        <v>9.0584672767780794E-6</v>
      </c>
      <c r="D41012" s="1">
        <v>4.5528080202265997E-6</v>
      </c>
      <c r="E41012" s="1">
        <v>4.3455399550671099E-6</v>
      </c>
      <c r="F41012" s="1">
        <v>8.6552067087203506E-6</v>
      </c>
    </row>
    <row r="41013" spans="1:6" x14ac:dyDescent="0.25">
      <c r="A41013" s="2" t="str">
        <f t="shared" si="1302"/>
        <v>99999</v>
      </c>
      <c r="B41013" s="2" t="str">
        <f>"58361"</f>
        <v>58361</v>
      </c>
      <c r="C41013" s="1">
        <v>8.9493291168169008E-6</v>
      </c>
      <c r="D41013" s="1">
        <v>3.0352053468177301E-6</v>
      </c>
      <c r="E41013" s="1">
        <v>4.3455399550671099E-6</v>
      </c>
      <c r="F41013" s="1">
        <v>8.4562364395543705E-6</v>
      </c>
    </row>
    <row r="41014" spans="1:6" x14ac:dyDescent="0.25">
      <c r="A41014" s="2" t="str">
        <f t="shared" si="1302"/>
        <v>99999</v>
      </c>
      <c r="B41014" s="2" t="str">
        <f>"58352"</f>
        <v>58352</v>
      </c>
      <c r="C41014" s="1">
        <v>1.34239936752253E-5</v>
      </c>
      <c r="D41014" s="1">
        <v>4.5528080202265997E-6</v>
      </c>
      <c r="E41014" s="1">
        <v>1.3036619865201299E-5</v>
      </c>
      <c r="F41014" s="1">
        <v>1.2833582361206E-5</v>
      </c>
    </row>
    <row r="41015" spans="1:6" x14ac:dyDescent="0.25">
      <c r="A41015" s="2" t="str">
        <f t="shared" si="1302"/>
        <v>99999</v>
      </c>
      <c r="B41015" s="2" t="str">
        <f>"58721"</f>
        <v>58721</v>
      </c>
      <c r="C41015" s="1">
        <v>1.7243829273866699E-5</v>
      </c>
      <c r="D41015" s="1">
        <v>1.21408213872709E-5</v>
      </c>
      <c r="E41015" s="1">
        <v>8.69107991013423E-6</v>
      </c>
      <c r="F41015" s="1">
        <v>1.67135026099427E-5</v>
      </c>
    </row>
    <row r="41016" spans="1:6" x14ac:dyDescent="0.25">
      <c r="A41016" s="2" t="str">
        <f t="shared" si="1302"/>
        <v>99999</v>
      </c>
      <c r="B41016" s="2" t="str">
        <f>"58711"</f>
        <v>58711</v>
      </c>
      <c r="C41016" s="1">
        <v>1.1350368635962901E-5</v>
      </c>
      <c r="D41016" s="1">
        <v>6.0704106936354696E-6</v>
      </c>
      <c r="E41016" s="1">
        <v>4.3455399550671099E-6</v>
      </c>
      <c r="F41016" s="1">
        <v>1.0843879669546099E-5</v>
      </c>
    </row>
    <row r="41017" spans="1:6" x14ac:dyDescent="0.25">
      <c r="A41017" s="2" t="str">
        <f t="shared" si="1302"/>
        <v>99999</v>
      </c>
      <c r="B41017" s="2" t="str">
        <f>"58625"</f>
        <v>58625</v>
      </c>
      <c r="C41017" s="1">
        <v>6.9848422375156299E-6</v>
      </c>
      <c r="D41017" s="1">
        <v>6.0704106936354696E-6</v>
      </c>
      <c r="E41017" s="1">
        <v>4.3455399550671099E-6</v>
      </c>
      <c r="F41017" s="1">
        <v>6.86447428622649E-6</v>
      </c>
    </row>
    <row r="41018" spans="1:6" x14ac:dyDescent="0.25">
      <c r="A41018" s="2" t="str">
        <f t="shared" si="1302"/>
        <v>99999</v>
      </c>
      <c r="B41018" s="2" t="str">
        <f>"58650"</f>
        <v>58650</v>
      </c>
      <c r="C41018" s="1">
        <v>3.0340408469208501E-5</v>
      </c>
      <c r="D41018" s="1">
        <v>1.51760267340886E-6</v>
      </c>
      <c r="E41018" s="1">
        <v>2.1727699775335501E-5</v>
      </c>
      <c r="F41018" s="1">
        <v>2.8253778221569901E-5</v>
      </c>
    </row>
    <row r="41019" spans="1:6" x14ac:dyDescent="0.25">
      <c r="A41019" s="2" t="str">
        <f t="shared" si="1302"/>
        <v>99999</v>
      </c>
      <c r="B41019" s="2" t="str">
        <f>"58233"</f>
        <v>58233</v>
      </c>
      <c r="C41019" s="1">
        <v>9.71329623654517E-6</v>
      </c>
      <c r="D41019" s="1">
        <v>4.5528080202265997E-6</v>
      </c>
      <c r="E41019" s="1">
        <v>4.3455399550671099E-6</v>
      </c>
      <c r="F41019" s="1">
        <v>9.2521175162183095E-6</v>
      </c>
    </row>
    <row r="41020" spans="1:6" x14ac:dyDescent="0.25">
      <c r="A41020" s="2" t="str">
        <f t="shared" si="1302"/>
        <v>99999</v>
      </c>
      <c r="B41020" s="2" t="str">
        <f>"58330"</f>
        <v>58330</v>
      </c>
      <c r="C41020" s="1">
        <v>1.27691647154582E-5</v>
      </c>
      <c r="D41020" s="1">
        <v>3.0352053468177301E-6</v>
      </c>
      <c r="E41020" s="1">
        <v>4.3455399550671099E-6</v>
      </c>
      <c r="F41020" s="1">
        <v>1.19382161499591E-5</v>
      </c>
    </row>
    <row r="41021" spans="1:6" x14ac:dyDescent="0.25">
      <c r="A41021" s="2" t="str">
        <f t="shared" si="1302"/>
        <v>99999</v>
      </c>
      <c r="B41021" s="2" t="str">
        <f>"57636"</f>
        <v>57636</v>
      </c>
      <c r="C41021" s="1">
        <v>0</v>
      </c>
      <c r="D41021" s="1">
        <v>0</v>
      </c>
      <c r="E41021" s="1">
        <v>4.3455399550671099E-6</v>
      </c>
      <c r="F41021" s="1">
        <v>9.9485134582992598E-8</v>
      </c>
    </row>
    <row r="41022" spans="1:6" x14ac:dyDescent="0.25">
      <c r="A41022" s="2" t="str">
        <f t="shared" si="1302"/>
        <v>99999</v>
      </c>
      <c r="B41022" s="2" t="str">
        <f>"57634"</f>
        <v>57634</v>
      </c>
      <c r="C41022" s="1">
        <v>6.4391514377097196E-6</v>
      </c>
      <c r="D41022" s="1">
        <v>3.0352053468177301E-6</v>
      </c>
      <c r="E41022" s="1">
        <v>4.3455399550671099E-6</v>
      </c>
      <c r="F41022" s="1">
        <v>6.1680783441455402E-6</v>
      </c>
    </row>
    <row r="41023" spans="1:6" x14ac:dyDescent="0.25">
      <c r="A41023" s="2" t="str">
        <f t="shared" si="1302"/>
        <v>99999</v>
      </c>
      <c r="B41023" s="2" t="str">
        <f>"57656"</f>
        <v>57656</v>
      </c>
      <c r="C41023" s="1">
        <v>3.2523171668432101E-5</v>
      </c>
      <c r="D41023" s="1">
        <v>9.1056160404532095E-6</v>
      </c>
      <c r="E41023" s="1">
        <v>2.1727699775335501E-5</v>
      </c>
      <c r="F41023" s="1">
        <v>3.0740906586144698E-5</v>
      </c>
    </row>
    <row r="41024" spans="1:6" x14ac:dyDescent="0.25">
      <c r="A41024" s="2" t="str">
        <f t="shared" si="1302"/>
        <v>99999</v>
      </c>
      <c r="B41024" s="2" t="str">
        <f>"57642"</f>
        <v>57642</v>
      </c>
      <c r="C41024" s="1">
        <v>3.1322651908859099E-5</v>
      </c>
      <c r="D41024" s="1">
        <v>6.0704106936354696E-6</v>
      </c>
      <c r="E41024" s="1">
        <v>8.69107991013423E-6</v>
      </c>
      <c r="F41024" s="1">
        <v>2.9149144432816799E-5</v>
      </c>
    </row>
    <row r="41025" spans="1:6" x14ac:dyDescent="0.25">
      <c r="A41025" s="2" t="str">
        <f t="shared" si="1302"/>
        <v>99999</v>
      </c>
      <c r="B41025" s="2" t="str">
        <f>"57626"</f>
        <v>57626</v>
      </c>
      <c r="C41025" s="1">
        <v>8.9493291168169008E-6</v>
      </c>
      <c r="D41025" s="1">
        <v>3.0352053468177301E-6</v>
      </c>
      <c r="E41025" s="1">
        <v>0</v>
      </c>
      <c r="F41025" s="1">
        <v>8.3567513049713805E-6</v>
      </c>
    </row>
    <row r="41026" spans="1:6" x14ac:dyDescent="0.25">
      <c r="A41026" s="2" t="str">
        <f t="shared" si="1302"/>
        <v>99999</v>
      </c>
      <c r="B41026" s="2" t="str">
        <f>"57429"</f>
        <v>57429</v>
      </c>
      <c r="C41026" s="1">
        <v>2.1827631992236301E-7</v>
      </c>
      <c r="D41026" s="1">
        <v>0</v>
      </c>
      <c r="E41026" s="1">
        <v>4.3455399550671099E-6</v>
      </c>
      <c r="F41026" s="1">
        <v>2.9845540374897701E-7</v>
      </c>
    </row>
    <row r="41027" spans="1:6" x14ac:dyDescent="0.25">
      <c r="A41027" s="2" t="str">
        <f t="shared" si="1302"/>
        <v>99999</v>
      </c>
      <c r="B41027" s="2" t="str">
        <f>"57465"</f>
        <v>57465</v>
      </c>
      <c r="C41027" s="1">
        <v>1.30965791953418E-5</v>
      </c>
      <c r="D41027" s="1">
        <v>3.0352053468177301E-6</v>
      </c>
      <c r="E41027" s="1">
        <v>4.3455399550671099E-6</v>
      </c>
      <c r="F41027" s="1">
        <v>1.2236671553708001E-5</v>
      </c>
    </row>
    <row r="41028" spans="1:6" x14ac:dyDescent="0.25">
      <c r="A41028" s="2" t="str">
        <f t="shared" si="1302"/>
        <v>99999</v>
      </c>
      <c r="B41028" s="2" t="str">
        <f>"57536"</f>
        <v>57536</v>
      </c>
      <c r="C41028" s="1">
        <v>4.3655263984472599E-6</v>
      </c>
      <c r="D41028" s="1">
        <v>0</v>
      </c>
      <c r="E41028" s="1">
        <v>0</v>
      </c>
      <c r="F41028" s="1">
        <v>3.9794053833197E-6</v>
      </c>
    </row>
    <row r="41029" spans="1:6" x14ac:dyDescent="0.25">
      <c r="A41029" s="2" t="str">
        <f t="shared" si="1302"/>
        <v>99999</v>
      </c>
      <c r="B41029" s="2" t="str">
        <f>"57455"</f>
        <v>57455</v>
      </c>
      <c r="C41029" s="1">
        <v>8.7310527968945299E-6</v>
      </c>
      <c r="D41029" s="1">
        <v>1.0623218713862E-5</v>
      </c>
      <c r="E41029" s="1">
        <v>8.69107991013423E-6</v>
      </c>
      <c r="F41029" s="1">
        <v>8.8541769778863392E-6</v>
      </c>
    </row>
    <row r="41030" spans="1:6" x14ac:dyDescent="0.25">
      <c r="A41030" s="2" t="str">
        <f t="shared" si="1302"/>
        <v>99999</v>
      </c>
      <c r="B41030" s="2" t="str">
        <f>"57579"</f>
        <v>57579</v>
      </c>
      <c r="C41030" s="1">
        <v>2.64114347106059E-5</v>
      </c>
      <c r="D41030" s="1">
        <v>1.0623218713862E-5</v>
      </c>
      <c r="E41030" s="1">
        <v>2.60732397304027E-5</v>
      </c>
      <c r="F41030" s="1">
        <v>2.53687093186631E-5</v>
      </c>
    </row>
    <row r="41031" spans="1:6" x14ac:dyDescent="0.25">
      <c r="A41031" s="2" t="str">
        <f t="shared" si="1302"/>
        <v>99999</v>
      </c>
      <c r="B41031" s="2" t="str">
        <f>"57534"</f>
        <v>57534</v>
      </c>
      <c r="C41031" s="1">
        <v>1.15686449558852E-5</v>
      </c>
      <c r="D41031" s="1">
        <v>1.51760267340886E-6</v>
      </c>
      <c r="E41031" s="1">
        <v>4.3455399550671099E-6</v>
      </c>
      <c r="F41031" s="1">
        <v>1.0744394534963201E-5</v>
      </c>
    </row>
    <row r="41032" spans="1:6" x14ac:dyDescent="0.25">
      <c r="A41032" s="2" t="str">
        <f t="shared" si="1302"/>
        <v>99999</v>
      </c>
      <c r="B41032" s="2" t="str">
        <f>"57528"</f>
        <v>57528</v>
      </c>
      <c r="C41032" s="1">
        <v>3.63430072670735E-5</v>
      </c>
      <c r="D41032" s="1">
        <v>1.21408213872709E-5</v>
      </c>
      <c r="E41032" s="1">
        <v>4.3455399550671099E-6</v>
      </c>
      <c r="F41032" s="1">
        <v>3.4023916027383398E-5</v>
      </c>
    </row>
    <row r="41033" spans="1:6" x14ac:dyDescent="0.25">
      <c r="A41033" s="2" t="str">
        <f t="shared" si="1302"/>
        <v>99999</v>
      </c>
      <c r="B41033" s="2" t="str">
        <f>"57501"</f>
        <v>57501</v>
      </c>
      <c r="C41033" s="1">
        <v>2.02996977527798E-5</v>
      </c>
      <c r="D41033" s="1">
        <v>1.66936294074975E-5</v>
      </c>
      <c r="E41033" s="1">
        <v>2.1727699775335501E-5</v>
      </c>
      <c r="F41033" s="1">
        <v>2.00959971857645E-5</v>
      </c>
    </row>
    <row r="41034" spans="1:6" x14ac:dyDescent="0.25">
      <c r="A41034" s="2" t="str">
        <f t="shared" si="1302"/>
        <v>99999</v>
      </c>
      <c r="B41034" s="2" t="str">
        <f>"58056"</f>
        <v>58056</v>
      </c>
      <c r="C41034" s="1">
        <v>1.82260727135173E-5</v>
      </c>
      <c r="D41034" s="1">
        <v>7.5880133670443404E-6</v>
      </c>
      <c r="E41034" s="1">
        <v>0</v>
      </c>
      <c r="F41034" s="1">
        <v>1.7111443148274701E-5</v>
      </c>
    </row>
    <row r="41035" spans="1:6" x14ac:dyDescent="0.25">
      <c r="A41035" s="2" t="str">
        <f t="shared" si="1302"/>
        <v>99999</v>
      </c>
      <c r="B41035" s="2" t="str">
        <f>"57421"</f>
        <v>57421</v>
      </c>
      <c r="C41035" s="1">
        <v>4.0381119185637197E-6</v>
      </c>
      <c r="D41035" s="1">
        <v>3.0352053468177301E-6</v>
      </c>
      <c r="E41035" s="1">
        <v>4.3455399550671099E-6</v>
      </c>
      <c r="F41035" s="1">
        <v>3.9794053833197E-6</v>
      </c>
    </row>
    <row r="41036" spans="1:6" x14ac:dyDescent="0.25">
      <c r="A41036" s="2" t="str">
        <f t="shared" si="1302"/>
        <v>99999</v>
      </c>
      <c r="B41036" s="2" t="str">
        <f>"57424"</f>
        <v>57424</v>
      </c>
      <c r="C41036" s="1">
        <v>2.05179740727021E-5</v>
      </c>
      <c r="D41036" s="1">
        <v>6.0704106936354696E-6</v>
      </c>
      <c r="E41036" s="1">
        <v>8.69107991013423E-6</v>
      </c>
      <c r="F41036" s="1">
        <v>1.9300116109100499E-5</v>
      </c>
    </row>
    <row r="41037" spans="1:6" x14ac:dyDescent="0.25">
      <c r="A41037" s="2" t="str">
        <f t="shared" si="1302"/>
        <v>99999</v>
      </c>
      <c r="B41037" s="2" t="str">
        <f>"57382"</f>
        <v>57382</v>
      </c>
      <c r="C41037" s="1">
        <v>2.6193158390683598E-6</v>
      </c>
      <c r="D41037" s="1">
        <v>0</v>
      </c>
      <c r="E41037" s="1">
        <v>4.3455399550671099E-6</v>
      </c>
      <c r="F41037" s="1">
        <v>2.48712836457481E-6</v>
      </c>
    </row>
    <row r="41038" spans="1:6" x14ac:dyDescent="0.25">
      <c r="A41038" s="2" t="str">
        <f t="shared" si="1302"/>
        <v>99999</v>
      </c>
      <c r="B41038" s="2" t="str">
        <f>"57271"</f>
        <v>57271</v>
      </c>
      <c r="C41038" s="1">
        <v>8.9493291168169008E-6</v>
      </c>
      <c r="D41038" s="1">
        <v>6.0704106936354696E-6</v>
      </c>
      <c r="E41038" s="1">
        <v>0</v>
      </c>
      <c r="F41038" s="1">
        <v>8.5557215741373606E-6</v>
      </c>
    </row>
    <row r="41039" spans="1:6" x14ac:dyDescent="0.25">
      <c r="A41039" s="2" t="str">
        <f t="shared" si="1302"/>
        <v>99999</v>
      </c>
      <c r="B41039" s="2" t="str">
        <f>"57243"</f>
        <v>57243</v>
      </c>
      <c r="C41039" s="1">
        <v>1.20051975957299E-6</v>
      </c>
      <c r="D41039" s="1">
        <v>0</v>
      </c>
      <c r="E41039" s="1">
        <v>0</v>
      </c>
      <c r="F41039" s="1">
        <v>1.09433648041291E-6</v>
      </c>
    </row>
    <row r="41040" spans="1:6" x14ac:dyDescent="0.25">
      <c r="A41040" s="2" t="str">
        <f t="shared" si="1302"/>
        <v>99999</v>
      </c>
      <c r="B41040" s="2" t="str">
        <f>"57337"</f>
        <v>57337</v>
      </c>
      <c r="C41040" s="1">
        <v>9.4950199166228093E-6</v>
      </c>
      <c r="D41040" s="1">
        <v>1.51760267340886E-6</v>
      </c>
      <c r="E41040" s="1">
        <v>4.3455399550671099E-6</v>
      </c>
      <c r="F41040" s="1">
        <v>8.8541769778863392E-6</v>
      </c>
    </row>
    <row r="41041" spans="1:6" x14ac:dyDescent="0.25">
      <c r="A41041" s="2" t="str">
        <f t="shared" si="1302"/>
        <v>99999</v>
      </c>
      <c r="B41041" s="2" t="str">
        <f>"57315"</f>
        <v>57315</v>
      </c>
      <c r="C41041" s="1">
        <v>5.0640106221988301E-5</v>
      </c>
      <c r="D41041" s="1">
        <v>3.0352053468177301E-6</v>
      </c>
      <c r="E41041" s="1">
        <v>3.47643196405369E-5</v>
      </c>
      <c r="F41041" s="1">
        <v>4.7155953792338497E-5</v>
      </c>
    </row>
    <row r="41042" spans="1:6" x14ac:dyDescent="0.25">
      <c r="A41042" s="2" t="str">
        <f t="shared" ref="A41042:A41105" si="1303">"99999"</f>
        <v>99999</v>
      </c>
      <c r="B41042" s="2" t="str">
        <f>"56737"</f>
        <v>56737</v>
      </c>
      <c r="C41042" s="1">
        <v>4.81299285428811E-5</v>
      </c>
      <c r="D41042" s="1">
        <v>9.1056160404532095E-6</v>
      </c>
      <c r="E41042" s="1">
        <v>1.7382159820268399E-5</v>
      </c>
      <c r="F41042" s="1">
        <v>4.4867795696929599E-5</v>
      </c>
    </row>
    <row r="41043" spans="1:6" x14ac:dyDescent="0.25">
      <c r="A41043" s="2" t="str">
        <f t="shared" si="1303"/>
        <v>99999</v>
      </c>
      <c r="B41043" s="2" t="str">
        <f>"56735"</f>
        <v>56735</v>
      </c>
      <c r="C41043" s="1">
        <v>4.1145086305365503E-5</v>
      </c>
      <c r="D41043" s="1">
        <v>1.3658424060679801E-5</v>
      </c>
      <c r="E41043" s="1">
        <v>1.3036619865201299E-5</v>
      </c>
      <c r="F41043" s="1">
        <v>3.8699717352784098E-5</v>
      </c>
    </row>
    <row r="41044" spans="1:6" x14ac:dyDescent="0.25">
      <c r="A41044" s="2" t="str">
        <f t="shared" si="1303"/>
        <v>99999</v>
      </c>
      <c r="B41044" s="2" t="str">
        <f>"56734"</f>
        <v>56734</v>
      </c>
      <c r="C41044" s="1">
        <v>2.5974882070761199E-5</v>
      </c>
      <c r="D41044" s="1">
        <v>1.3658424060679801E-5</v>
      </c>
      <c r="E41044" s="1">
        <v>1.3036619865201299E-5</v>
      </c>
      <c r="F41044" s="1">
        <v>2.48712836457481E-5</v>
      </c>
    </row>
    <row r="41045" spans="1:6" x14ac:dyDescent="0.25">
      <c r="A41045" s="2" t="str">
        <f t="shared" si="1303"/>
        <v>99999</v>
      </c>
      <c r="B41045" s="2" t="str">
        <f>"56654"</f>
        <v>56654</v>
      </c>
      <c r="C41045" s="1">
        <v>9.8224343965063504E-6</v>
      </c>
      <c r="D41045" s="1">
        <v>3.0352053468177301E-6</v>
      </c>
      <c r="E41045" s="1">
        <v>4.3455399550671099E-6</v>
      </c>
      <c r="F41045" s="1">
        <v>9.2521175162183095E-6</v>
      </c>
    </row>
    <row r="41046" spans="1:6" x14ac:dyDescent="0.25">
      <c r="A41046" s="2" t="str">
        <f t="shared" si="1303"/>
        <v>99999</v>
      </c>
      <c r="B41046" s="2" t="str">
        <f>"57235"</f>
        <v>57235</v>
      </c>
      <c r="C41046" s="1">
        <v>6.5482895976708995E-7</v>
      </c>
      <c r="D41046" s="1">
        <v>0</v>
      </c>
      <c r="E41046" s="1">
        <v>0</v>
      </c>
      <c r="F41046" s="1">
        <v>5.9691080749795498E-7</v>
      </c>
    </row>
    <row r="41047" spans="1:6" x14ac:dyDescent="0.25">
      <c r="A41047" s="2" t="str">
        <f t="shared" si="1303"/>
        <v>99999</v>
      </c>
      <c r="B41047" s="2" t="str">
        <f>"57214"</f>
        <v>57214</v>
      </c>
      <c r="C41047" s="1">
        <v>0</v>
      </c>
      <c r="D41047" s="1">
        <v>0</v>
      </c>
      <c r="E41047" s="1">
        <v>4.3455399550671099E-6</v>
      </c>
      <c r="F41047" s="1">
        <v>9.9485134582992598E-8</v>
      </c>
    </row>
    <row r="41048" spans="1:6" x14ac:dyDescent="0.25">
      <c r="A41048" s="2" t="str">
        <f t="shared" si="1303"/>
        <v>99999</v>
      </c>
      <c r="B41048" s="2" t="str">
        <f>"57213"</f>
        <v>57213</v>
      </c>
      <c r="C41048" s="1">
        <v>9.8224343965063504E-6</v>
      </c>
      <c r="D41048" s="1">
        <v>0</v>
      </c>
      <c r="E41048" s="1">
        <v>2.1727699775335501E-5</v>
      </c>
      <c r="F41048" s="1">
        <v>9.4510877853842998E-6</v>
      </c>
    </row>
    <row r="41049" spans="1:6" x14ac:dyDescent="0.25">
      <c r="A41049" s="2" t="str">
        <f t="shared" si="1303"/>
        <v>99999</v>
      </c>
      <c r="B41049" s="2" t="str">
        <f>"57226"</f>
        <v>57226</v>
      </c>
      <c r="C41049" s="1">
        <v>9.0584672767780801E-5</v>
      </c>
      <c r="D41049" s="1">
        <v>6.6774517629990203E-5</v>
      </c>
      <c r="E41049" s="1">
        <v>1.12984038831745E-4</v>
      </c>
      <c r="F41049" s="1">
        <v>8.9536621124693296E-5</v>
      </c>
    </row>
    <row r="41050" spans="1:6" x14ac:dyDescent="0.25">
      <c r="A41050" s="2" t="str">
        <f t="shared" si="1303"/>
        <v>99999</v>
      </c>
      <c r="B41050" s="2" t="str">
        <f>"57065"</f>
        <v>57065</v>
      </c>
      <c r="C41050" s="1">
        <v>9.3858817566616205E-6</v>
      </c>
      <c r="D41050" s="1">
        <v>0</v>
      </c>
      <c r="E41050" s="1">
        <v>3.0418779685469802E-5</v>
      </c>
      <c r="F41050" s="1">
        <v>9.2521175162183095E-6</v>
      </c>
    </row>
    <row r="41051" spans="1:6" x14ac:dyDescent="0.25">
      <c r="A41051" s="2" t="str">
        <f t="shared" si="1303"/>
        <v>99999</v>
      </c>
      <c r="B41051" s="2" t="str">
        <f>"57075"</f>
        <v>57075</v>
      </c>
      <c r="C41051" s="1">
        <v>7.2140323734341103E-5</v>
      </c>
      <c r="D41051" s="1">
        <v>1.8211232080906399E-5</v>
      </c>
      <c r="E41051" s="1">
        <v>8.2565259146275205E-5</v>
      </c>
      <c r="F41051" s="1">
        <v>6.8843713131430906E-5</v>
      </c>
    </row>
    <row r="41052" spans="1:6" x14ac:dyDescent="0.25">
      <c r="A41052" s="2" t="str">
        <f t="shared" si="1303"/>
        <v>99999</v>
      </c>
      <c r="B41052" s="2" t="str">
        <f>"56589"</f>
        <v>56589</v>
      </c>
      <c r="C41052" s="1">
        <v>1.2212560099656201E-4</v>
      </c>
      <c r="D41052" s="1">
        <v>3.4904861488403899E-5</v>
      </c>
      <c r="E41052" s="1">
        <v>9.1256339056409395E-5</v>
      </c>
      <c r="F41052" s="1">
        <v>1.1570121152002E-4</v>
      </c>
    </row>
    <row r="41053" spans="1:6" x14ac:dyDescent="0.25">
      <c r="A41053" s="2" t="str">
        <f t="shared" si="1303"/>
        <v>99999</v>
      </c>
      <c r="B41053" s="2" t="str">
        <f>"56633"</f>
        <v>56633</v>
      </c>
      <c r="C41053" s="1">
        <v>3.7543527026646502E-5</v>
      </c>
      <c r="D41053" s="1">
        <v>4.5528080202265997E-6</v>
      </c>
      <c r="E41053" s="1">
        <v>4.7800939505738197E-5</v>
      </c>
      <c r="F41053" s="1">
        <v>3.56156781807113E-5</v>
      </c>
    </row>
    <row r="41054" spans="1:6" x14ac:dyDescent="0.25">
      <c r="A41054" s="2" t="str">
        <f t="shared" si="1303"/>
        <v>99999</v>
      </c>
      <c r="B41054" s="2" t="str">
        <f>"57042"</f>
        <v>57042</v>
      </c>
      <c r="C41054" s="1">
        <v>4.7104029839245998E-4</v>
      </c>
      <c r="D41054" s="1">
        <v>8.1950544364078903E-4</v>
      </c>
      <c r="E41054" s="1">
        <v>1.1646047079579801E-3</v>
      </c>
      <c r="F41054" s="1">
        <v>5.09761829603254E-4</v>
      </c>
    </row>
    <row r="41055" spans="1:6" x14ac:dyDescent="0.25">
      <c r="A41055" s="2" t="str">
        <f t="shared" si="1303"/>
        <v>99999</v>
      </c>
      <c r="B41055" s="2" t="str">
        <f>"57026"</f>
        <v>57026</v>
      </c>
      <c r="C41055" s="1">
        <v>7.8579475172050803E-6</v>
      </c>
      <c r="D41055" s="1">
        <v>6.0704106936354696E-6</v>
      </c>
      <c r="E41055" s="1">
        <v>0</v>
      </c>
      <c r="F41055" s="1">
        <v>7.5608702283074398E-6</v>
      </c>
    </row>
    <row r="41056" spans="1:6" x14ac:dyDescent="0.25">
      <c r="A41056" s="2" t="str">
        <f t="shared" si="1303"/>
        <v>99999</v>
      </c>
      <c r="B41056" s="2" t="str">
        <f>"57017"</f>
        <v>57017</v>
      </c>
      <c r="C41056" s="1">
        <v>5.6970119499736798E-5</v>
      </c>
      <c r="D41056" s="1">
        <v>2.1246437427724101E-5</v>
      </c>
      <c r="E41056" s="1">
        <v>8.69107991013423E-5</v>
      </c>
      <c r="F41056" s="1">
        <v>5.5313734828143901E-5</v>
      </c>
    </row>
    <row r="41057" spans="1:6" x14ac:dyDescent="0.25">
      <c r="A41057" s="2" t="str">
        <f t="shared" si="1303"/>
        <v>99999</v>
      </c>
      <c r="B41057" s="2" t="str">
        <f>"56565"</f>
        <v>56565</v>
      </c>
      <c r="C41057" s="1">
        <v>6.5482895976708995E-7</v>
      </c>
      <c r="D41057" s="1">
        <v>0</v>
      </c>
      <c r="E41057" s="1">
        <v>0</v>
      </c>
      <c r="F41057" s="1">
        <v>5.9691080749795498E-7</v>
      </c>
    </row>
    <row r="41058" spans="1:6" x14ac:dyDescent="0.25">
      <c r="A41058" s="2" t="str">
        <f t="shared" si="1303"/>
        <v>99999</v>
      </c>
      <c r="B41058" s="2" t="str">
        <f>"56574"</f>
        <v>56574</v>
      </c>
      <c r="C41058" s="1">
        <v>1.20051975957299E-5</v>
      </c>
      <c r="D41058" s="1">
        <v>4.5528080202265997E-6</v>
      </c>
      <c r="E41058" s="1">
        <v>4.3455399550671099E-6</v>
      </c>
      <c r="F41058" s="1">
        <v>1.13413053424611E-5</v>
      </c>
    </row>
    <row r="41059" spans="1:6" x14ac:dyDescent="0.25">
      <c r="A41059" s="2" t="str">
        <f t="shared" si="1303"/>
        <v>99999</v>
      </c>
      <c r="B41059" s="2" t="str">
        <f>"56572"</f>
        <v>56572</v>
      </c>
      <c r="C41059" s="1">
        <v>1.1459506795924E-5</v>
      </c>
      <c r="D41059" s="1">
        <v>1.5176026734088599E-5</v>
      </c>
      <c r="E41059" s="1">
        <v>0</v>
      </c>
      <c r="F41059" s="1">
        <v>1.1440790477044101E-5</v>
      </c>
    </row>
    <row r="41060" spans="1:6" x14ac:dyDescent="0.25">
      <c r="A41060" s="2" t="str">
        <f t="shared" si="1303"/>
        <v>99999</v>
      </c>
      <c r="B41060" s="2" t="str">
        <f>"56360"</f>
        <v>56360</v>
      </c>
      <c r="C41060" s="1">
        <v>9.8224343965063504E-5</v>
      </c>
      <c r="D41060" s="1">
        <v>7.5880133670443404E-6</v>
      </c>
      <c r="E41060" s="1">
        <v>4.7800939505738197E-5</v>
      </c>
      <c r="F41060" s="1">
        <v>9.1128383278021204E-5</v>
      </c>
    </row>
    <row r="41061" spans="1:6" x14ac:dyDescent="0.25">
      <c r="A41061" s="2" t="str">
        <f t="shared" si="1303"/>
        <v>99999</v>
      </c>
      <c r="B41061" s="2" t="str">
        <f>"56358"</f>
        <v>56358</v>
      </c>
      <c r="C41061" s="1">
        <v>1.5879602274351901E-4</v>
      </c>
      <c r="D41061" s="1">
        <v>4.4010477528857203E-5</v>
      </c>
      <c r="E41061" s="1">
        <v>1.12984038831745E-4</v>
      </c>
      <c r="F41061" s="1">
        <v>1.5022255322031801E-4</v>
      </c>
    </row>
    <row r="41062" spans="1:6" x14ac:dyDescent="0.25">
      <c r="A41062" s="2" t="str">
        <f t="shared" si="1303"/>
        <v>99999</v>
      </c>
      <c r="B41062" s="2" t="str">
        <f>"56345"</f>
        <v>56345</v>
      </c>
      <c r="C41062" s="1">
        <v>7.6527677764780602E-4</v>
      </c>
      <c r="D41062" s="1">
        <v>9.3332564414645399E-4</v>
      </c>
      <c r="E41062" s="1">
        <v>1.18633240773332E-3</v>
      </c>
      <c r="F41062" s="1">
        <v>7.8593256320564102E-4</v>
      </c>
    </row>
    <row r="41063" spans="1:6" x14ac:dyDescent="0.25">
      <c r="A41063" s="2" t="str">
        <f t="shared" si="1303"/>
        <v>99999</v>
      </c>
      <c r="B41063" s="2" t="str">
        <f>"56342"</f>
        <v>56342</v>
      </c>
      <c r="C41063" s="1">
        <v>8.7092251649023003E-5</v>
      </c>
      <c r="D41063" s="1">
        <v>2.5799245447950699E-5</v>
      </c>
      <c r="E41063" s="1">
        <v>3.0418779685469802E-5</v>
      </c>
      <c r="F41063" s="1">
        <v>8.1776780627219899E-5</v>
      </c>
    </row>
    <row r="41064" spans="1:6" x14ac:dyDescent="0.25">
      <c r="A41064" s="2" t="str">
        <f t="shared" si="1303"/>
        <v>99999</v>
      </c>
      <c r="B41064" s="2" t="str">
        <f>"56339"</f>
        <v>56339</v>
      </c>
      <c r="C41064" s="1">
        <v>5.0094415422182397E-5</v>
      </c>
      <c r="D41064" s="1">
        <v>1.0623218713862E-5</v>
      </c>
      <c r="E41064" s="1">
        <v>6.0837559370939603E-5</v>
      </c>
      <c r="F41064" s="1">
        <v>4.77528645998364E-5</v>
      </c>
    </row>
    <row r="41065" spans="1:6" x14ac:dyDescent="0.25">
      <c r="A41065" s="2" t="str">
        <f t="shared" si="1303"/>
        <v>99999</v>
      </c>
      <c r="B41065" s="2" t="str">
        <f>"56334"</f>
        <v>56334</v>
      </c>
      <c r="C41065" s="1">
        <v>3.5655436859317999E-4</v>
      </c>
      <c r="D41065" s="1">
        <v>4.5376319934925101E-4</v>
      </c>
      <c r="E41065" s="1">
        <v>4.7800939505738199E-4</v>
      </c>
      <c r="F41065" s="1">
        <v>3.6570735472708001E-4</v>
      </c>
    </row>
    <row r="41066" spans="1:6" x14ac:dyDescent="0.25">
      <c r="A41066" s="2" t="str">
        <f t="shared" si="1303"/>
        <v>99999</v>
      </c>
      <c r="B41066" s="2" t="str">
        <f>"56319"</f>
        <v>56319</v>
      </c>
      <c r="C41066" s="1">
        <v>2.6193158390683598E-6</v>
      </c>
      <c r="D41066" s="1">
        <v>0</v>
      </c>
      <c r="E41066" s="1">
        <v>4.3455399550671099E-6</v>
      </c>
      <c r="F41066" s="1">
        <v>2.48712836457481E-6</v>
      </c>
    </row>
    <row r="41067" spans="1:6" x14ac:dyDescent="0.25">
      <c r="A41067" s="2" t="str">
        <f t="shared" si="1303"/>
        <v>99999</v>
      </c>
      <c r="B41067" s="2" t="str">
        <f>"56531"</f>
        <v>56531</v>
      </c>
      <c r="C41067" s="1">
        <v>1.11648337640288E-4</v>
      </c>
      <c r="D41067" s="1">
        <v>1.00161776444985E-4</v>
      </c>
      <c r="E41067" s="1">
        <v>1.6947605824761699E-4</v>
      </c>
      <c r="F41067" s="1">
        <v>1.1221923180961501E-4</v>
      </c>
    </row>
    <row r="41068" spans="1:6" x14ac:dyDescent="0.25">
      <c r="A41068" s="2" t="str">
        <f t="shared" si="1303"/>
        <v>99999</v>
      </c>
      <c r="B41068" s="2" t="str">
        <f>"56276"</f>
        <v>56276</v>
      </c>
      <c r="C41068" s="1">
        <v>1.9208316153167901E-5</v>
      </c>
      <c r="D41068" s="1">
        <v>1.21408213872709E-5</v>
      </c>
      <c r="E41068" s="1">
        <v>4.3455399550671099E-6</v>
      </c>
      <c r="F41068" s="1">
        <v>1.84047498978536E-5</v>
      </c>
    </row>
    <row r="41069" spans="1:6" x14ac:dyDescent="0.25">
      <c r="A41069" s="2" t="str">
        <f t="shared" si="1303"/>
        <v>99999</v>
      </c>
      <c r="B41069" s="2" t="str">
        <f>"56252"</f>
        <v>56252</v>
      </c>
      <c r="C41069" s="1">
        <v>3.8853184946180599E-5</v>
      </c>
      <c r="D41069" s="1">
        <v>1.8211232080906399E-5</v>
      </c>
      <c r="E41069" s="1">
        <v>6.0837559370939603E-5</v>
      </c>
      <c r="F41069" s="1">
        <v>3.8003321410703101E-5</v>
      </c>
    </row>
    <row r="41070" spans="1:6" x14ac:dyDescent="0.25">
      <c r="A41070" s="2" t="str">
        <f t="shared" si="1303"/>
        <v>99999</v>
      </c>
      <c r="B41070" s="2" t="str">
        <f>"56241"</f>
        <v>56241</v>
      </c>
      <c r="C41070" s="1">
        <v>2.16748385682906E-4</v>
      </c>
      <c r="D41070" s="1">
        <v>3.2628457478290599E-4</v>
      </c>
      <c r="E41070" s="1">
        <v>3.6067981627057E-4</v>
      </c>
      <c r="F41070" s="1">
        <v>2.27224047387555E-4</v>
      </c>
    </row>
    <row r="41071" spans="1:6" x14ac:dyDescent="0.25">
      <c r="A41071" s="2" t="str">
        <f t="shared" si="1303"/>
        <v>99999</v>
      </c>
      <c r="B41071" s="2" t="str">
        <f>"56011"</f>
        <v>56011</v>
      </c>
      <c r="C41071" s="1">
        <v>2.4774362311188199E-5</v>
      </c>
      <c r="D41071" s="1">
        <v>0</v>
      </c>
      <c r="E41071" s="1">
        <v>0</v>
      </c>
      <c r="F41071" s="1">
        <v>2.2583125550339301E-5</v>
      </c>
    </row>
    <row r="41072" spans="1:6" x14ac:dyDescent="0.25">
      <c r="A41072" s="2" t="str">
        <f t="shared" si="1303"/>
        <v>99999</v>
      </c>
      <c r="B41072" s="2" t="str">
        <f>"56027"</f>
        <v>56027</v>
      </c>
      <c r="C41072" s="1">
        <v>4.8020790382919898E-5</v>
      </c>
      <c r="D41072" s="1">
        <v>4.5528080202265997E-6</v>
      </c>
      <c r="E41072" s="1">
        <v>1.3036619865201299E-5</v>
      </c>
      <c r="F41072" s="1">
        <v>4.4370370024014701E-5</v>
      </c>
    </row>
    <row r="41073" spans="1:6" x14ac:dyDescent="0.25">
      <c r="A41073" s="2" t="str">
        <f t="shared" si="1303"/>
        <v>99999</v>
      </c>
      <c r="B41073" s="2" t="str">
        <f>"56226"</f>
        <v>56226</v>
      </c>
      <c r="C41073" s="1">
        <v>7.4213948773603504E-6</v>
      </c>
      <c r="D41073" s="1">
        <v>4.5528080202265997E-6</v>
      </c>
      <c r="E41073" s="1">
        <v>4.3455399550671099E-6</v>
      </c>
      <c r="F41073" s="1">
        <v>7.1629296899754602E-6</v>
      </c>
    </row>
    <row r="41074" spans="1:6" x14ac:dyDescent="0.25">
      <c r="A41074" s="2" t="str">
        <f t="shared" si="1303"/>
        <v>99999</v>
      </c>
      <c r="B41074" s="2" t="str">
        <f>"56232"</f>
        <v>56232</v>
      </c>
      <c r="C41074" s="1">
        <v>1.07719363881686E-4</v>
      </c>
      <c r="D41074" s="1">
        <v>4.7045682875674899E-5</v>
      </c>
      <c r="E41074" s="1">
        <v>6.0837559370939603E-5</v>
      </c>
      <c r="F41074" s="1">
        <v>1.02668658889648E-4</v>
      </c>
    </row>
    <row r="41075" spans="1:6" x14ac:dyDescent="0.25">
      <c r="A41075" s="2" t="str">
        <f t="shared" si="1303"/>
        <v>99999</v>
      </c>
      <c r="B41075" s="2" t="str">
        <f>"56228"</f>
        <v>56228</v>
      </c>
      <c r="C41075" s="1">
        <v>3.9289737586025402E-5</v>
      </c>
      <c r="D41075" s="1">
        <v>2.88344507947685E-5</v>
      </c>
      <c r="E41075" s="1">
        <v>1.3036619865201299E-5</v>
      </c>
      <c r="F41075" s="1">
        <v>3.8003321410703101E-5</v>
      </c>
    </row>
    <row r="41076" spans="1:6" x14ac:dyDescent="0.25">
      <c r="A41076" s="2" t="str">
        <f t="shared" si="1303"/>
        <v>99999</v>
      </c>
      <c r="B41076" s="2" t="str">
        <f>"56227"</f>
        <v>56227</v>
      </c>
      <c r="C41076" s="1">
        <v>1.6479862154138401E-5</v>
      </c>
      <c r="D41076" s="1">
        <v>6.0704106936354696E-6</v>
      </c>
      <c r="E41076" s="1">
        <v>8.69107991013423E-6</v>
      </c>
      <c r="F41076" s="1">
        <v>1.5619166129529801E-5</v>
      </c>
    </row>
    <row r="41077" spans="1:6" x14ac:dyDescent="0.25">
      <c r="A41077" s="2" t="str">
        <f t="shared" si="1303"/>
        <v>99999</v>
      </c>
      <c r="B41077" s="2" t="str">
        <f>"56222"</f>
        <v>56222</v>
      </c>
      <c r="C41077" s="1">
        <v>7.4541363253487094E-5</v>
      </c>
      <c r="D41077" s="1">
        <v>2.88344507947685E-5</v>
      </c>
      <c r="E41077" s="1">
        <v>4.3455399550671103E-5</v>
      </c>
      <c r="F41077" s="1">
        <v>7.08334158230907E-5</v>
      </c>
    </row>
    <row r="41078" spans="1:6" x14ac:dyDescent="0.25">
      <c r="A41078" s="2" t="str">
        <f t="shared" si="1303"/>
        <v>99999</v>
      </c>
      <c r="B41078" s="2" t="str">
        <f>"56212"</f>
        <v>56212</v>
      </c>
      <c r="C41078" s="1">
        <v>1.9099177993206801E-5</v>
      </c>
      <c r="D41078" s="1">
        <v>1.5176026734088599E-5</v>
      </c>
      <c r="E41078" s="1">
        <v>4.3455399550671099E-6</v>
      </c>
      <c r="F41078" s="1">
        <v>1.8504235032436599E-5</v>
      </c>
    </row>
    <row r="41079" spans="1:6" x14ac:dyDescent="0.25">
      <c r="A41079" s="2" t="str">
        <f t="shared" si="1303"/>
        <v>99999</v>
      </c>
      <c r="B41079" s="2" t="str">
        <f>"56187"</f>
        <v>56187</v>
      </c>
      <c r="C41079" s="1">
        <v>4.4746645584084504E-6</v>
      </c>
      <c r="D41079" s="1">
        <v>1.51760267340886E-6</v>
      </c>
      <c r="E41079" s="1">
        <v>0</v>
      </c>
      <c r="F41079" s="1">
        <v>4.1783756524856902E-6</v>
      </c>
    </row>
    <row r="41080" spans="1:6" x14ac:dyDescent="0.25">
      <c r="A41080" s="2" t="str">
        <f t="shared" si="1303"/>
        <v>99999</v>
      </c>
      <c r="B41080" s="2" t="str">
        <f>"56101"</f>
        <v>56101</v>
      </c>
      <c r="C41080" s="1">
        <v>3.1115289404932901E-4</v>
      </c>
      <c r="D41080" s="1">
        <v>5.2205531965265103E-4</v>
      </c>
      <c r="E41080" s="1">
        <v>5.17119254652986E-4</v>
      </c>
      <c r="F41080" s="1">
        <v>3.29693736008037E-4</v>
      </c>
    </row>
    <row r="41081" spans="1:6" x14ac:dyDescent="0.25">
      <c r="A41081" s="2" t="str">
        <f t="shared" si="1303"/>
        <v>99999</v>
      </c>
      <c r="B41081" s="2" t="str">
        <f>"56097"</f>
        <v>56097</v>
      </c>
      <c r="C41081" s="1">
        <v>1.8389779953459099E-4</v>
      </c>
      <c r="D41081" s="1">
        <v>2.36746017051783E-4</v>
      </c>
      <c r="E41081" s="1">
        <v>1.4340281851721399E-4</v>
      </c>
      <c r="F41081" s="1">
        <v>1.8643514220852801E-4</v>
      </c>
    </row>
    <row r="41082" spans="1:6" x14ac:dyDescent="0.25">
      <c r="A41082" s="2" t="str">
        <f t="shared" si="1303"/>
        <v>99999</v>
      </c>
      <c r="B41082" s="2" t="str">
        <f>"56093"</f>
        <v>56093</v>
      </c>
      <c r="C41082" s="1">
        <v>5.9065572170991496E-4</v>
      </c>
      <c r="D41082" s="1">
        <v>6.4649873887217798E-4</v>
      </c>
      <c r="E41082" s="1">
        <v>8.9083569078875799E-4</v>
      </c>
      <c r="F41082" s="1">
        <v>6.01188668285024E-4</v>
      </c>
    </row>
    <row r="41083" spans="1:6" x14ac:dyDescent="0.25">
      <c r="A41083" s="2" t="str">
        <f t="shared" si="1303"/>
        <v>99999</v>
      </c>
      <c r="B41083" s="2" t="str">
        <f>"56173"</f>
        <v>56173</v>
      </c>
      <c r="C41083" s="1">
        <v>1.7462105593788999E-5</v>
      </c>
      <c r="D41083" s="1">
        <v>7.5880133670443404E-6</v>
      </c>
      <c r="E41083" s="1">
        <v>4.3455399550671099E-6</v>
      </c>
      <c r="F41083" s="1">
        <v>1.65145323407767E-5</v>
      </c>
    </row>
    <row r="41084" spans="1:6" x14ac:dyDescent="0.25">
      <c r="A41084" s="2" t="str">
        <f t="shared" si="1303"/>
        <v>99999</v>
      </c>
      <c r="B41084" s="2" t="str">
        <f>"56141"</f>
        <v>56141</v>
      </c>
      <c r="C41084" s="1">
        <v>1.6479862154138401E-5</v>
      </c>
      <c r="D41084" s="1">
        <v>9.1056160404532095E-6</v>
      </c>
      <c r="E41084" s="1">
        <v>4.3455399550671099E-6</v>
      </c>
      <c r="F41084" s="1">
        <v>1.57186512641128E-5</v>
      </c>
    </row>
    <row r="41085" spans="1:6" x14ac:dyDescent="0.25">
      <c r="A41085" s="2" t="str">
        <f t="shared" si="1303"/>
        <v>99999</v>
      </c>
      <c r="B41085" s="2" t="str">
        <f>"56129"</f>
        <v>56129</v>
      </c>
      <c r="C41085" s="1">
        <v>4.4746645584084504E-6</v>
      </c>
      <c r="D41085" s="1">
        <v>0</v>
      </c>
      <c r="E41085" s="1">
        <v>0</v>
      </c>
      <c r="F41085" s="1">
        <v>4.07889051790269E-6</v>
      </c>
    </row>
    <row r="41086" spans="1:6" x14ac:dyDescent="0.25">
      <c r="A41086" s="2" t="str">
        <f t="shared" si="1303"/>
        <v>99999</v>
      </c>
      <c r="B41086" s="2" t="str">
        <f>"56174"</f>
        <v>56174</v>
      </c>
      <c r="C41086" s="1">
        <v>2.0954526712546801E-5</v>
      </c>
      <c r="D41086" s="1">
        <v>1.21408213872709E-5</v>
      </c>
      <c r="E41086" s="1">
        <v>8.69107991013423E-6</v>
      </c>
      <c r="F41086" s="1">
        <v>2.00959971857645E-5</v>
      </c>
    </row>
    <row r="41087" spans="1:6" x14ac:dyDescent="0.25">
      <c r="A41087" s="2" t="str">
        <f t="shared" si="1303"/>
        <v>99999</v>
      </c>
      <c r="B41087" s="2" t="str">
        <f>"56172"</f>
        <v>56172</v>
      </c>
      <c r="C41087" s="1">
        <v>1.7920485865626E-4</v>
      </c>
      <c r="D41087" s="1">
        <v>3.0200293200836502E-4</v>
      </c>
      <c r="E41087" s="1">
        <v>2.2162253770842199E-4</v>
      </c>
      <c r="F41087" s="1">
        <v>1.8822587463102199E-4</v>
      </c>
    </row>
    <row r="41088" spans="1:6" x14ac:dyDescent="0.25">
      <c r="A41088" s="2" t="str">
        <f t="shared" si="1303"/>
        <v>99999</v>
      </c>
      <c r="B41088" s="2" t="str">
        <f>"56143"</f>
        <v>56143</v>
      </c>
      <c r="C41088" s="1">
        <v>2.6553314318555503E-4</v>
      </c>
      <c r="D41088" s="1">
        <v>3.9002388706607899E-4</v>
      </c>
      <c r="E41088" s="1">
        <v>3.9978967586617401E-4</v>
      </c>
      <c r="F41088" s="1">
        <v>2.7676764440988502E-4</v>
      </c>
    </row>
    <row r="41089" spans="1:6" x14ac:dyDescent="0.25">
      <c r="A41089" s="2" t="str">
        <f t="shared" si="1303"/>
        <v>99999</v>
      </c>
      <c r="B41089" s="2" t="str">
        <f>"56047"</f>
        <v>56047</v>
      </c>
      <c r="C41089" s="1">
        <v>0</v>
      </c>
      <c r="D41089" s="1">
        <v>0</v>
      </c>
      <c r="E41089" s="1">
        <v>4.3455399550671099E-6</v>
      </c>
      <c r="F41089" s="1">
        <v>9.9485134582992598E-8</v>
      </c>
    </row>
    <row r="41090" spans="1:6" x14ac:dyDescent="0.25">
      <c r="A41090" s="2" t="str">
        <f t="shared" si="1303"/>
        <v>99999</v>
      </c>
      <c r="B41090" s="2" t="str">
        <f>"56042"</f>
        <v>56042</v>
      </c>
      <c r="C41090" s="1">
        <v>5.4569079980590801E-7</v>
      </c>
      <c r="D41090" s="1">
        <v>0</v>
      </c>
      <c r="E41090" s="1">
        <v>0</v>
      </c>
      <c r="F41090" s="1">
        <v>4.9742567291496303E-7</v>
      </c>
    </row>
    <row r="41091" spans="1:6" x14ac:dyDescent="0.25">
      <c r="A41091" s="2" t="str">
        <f t="shared" si="1303"/>
        <v>99999</v>
      </c>
      <c r="B41091" s="2" t="str">
        <f>"56044"</f>
        <v>56044</v>
      </c>
      <c r="C41091" s="1">
        <v>9.7460376845335202E-5</v>
      </c>
      <c r="D41091" s="1">
        <v>1.3658424060679801E-5</v>
      </c>
      <c r="E41091" s="1">
        <v>8.69107991013423E-6</v>
      </c>
      <c r="F41091" s="1">
        <v>8.9934561663025303E-5</v>
      </c>
    </row>
    <row r="41092" spans="1:6" x14ac:dyDescent="0.25">
      <c r="A41092" s="2" t="str">
        <f t="shared" si="1303"/>
        <v>99999</v>
      </c>
      <c r="B41092" s="2" t="str">
        <f>"55605"</f>
        <v>55605</v>
      </c>
      <c r="C41092" s="1">
        <v>3.20866190285874E-5</v>
      </c>
      <c r="D41092" s="1">
        <v>9.1056160404532095E-6</v>
      </c>
      <c r="E41092" s="1">
        <v>2.60732397304027E-5</v>
      </c>
      <c r="F41092" s="1">
        <v>3.0442451182395699E-5</v>
      </c>
    </row>
    <row r="41093" spans="1:6" x14ac:dyDescent="0.25">
      <c r="A41093" s="2" t="str">
        <f t="shared" si="1303"/>
        <v>99999</v>
      </c>
      <c r="B41093" s="2" t="str">
        <f>"55612"</f>
        <v>55612</v>
      </c>
      <c r="C41093" s="1">
        <v>3.2850586148315701E-5</v>
      </c>
      <c r="D41093" s="1">
        <v>1.8211232080906399E-5</v>
      </c>
      <c r="E41093" s="1">
        <v>2.60732397304027E-5</v>
      </c>
      <c r="F41093" s="1">
        <v>3.1735757931974601E-5</v>
      </c>
    </row>
    <row r="41094" spans="1:6" x14ac:dyDescent="0.25">
      <c r="A41094" s="2" t="str">
        <f t="shared" si="1303"/>
        <v>99999</v>
      </c>
      <c r="B41094" s="2" t="str">
        <f>"55704"</f>
        <v>55704</v>
      </c>
      <c r="C41094" s="1">
        <v>7.6942402772633099E-5</v>
      </c>
      <c r="D41094" s="1">
        <v>1.5176026734088599E-5</v>
      </c>
      <c r="E41094" s="1">
        <v>8.69107991013423E-5</v>
      </c>
      <c r="F41094" s="1">
        <v>7.3121573918499496E-5</v>
      </c>
    </row>
    <row r="41095" spans="1:6" x14ac:dyDescent="0.25">
      <c r="A41095" s="2" t="str">
        <f t="shared" si="1303"/>
        <v>99999</v>
      </c>
      <c r="B41095" s="2" t="str">
        <f>"55604"</f>
        <v>55604</v>
      </c>
      <c r="C41095" s="1">
        <v>1.95357306330515E-4</v>
      </c>
      <c r="D41095" s="1">
        <v>1.24443419219527E-4</v>
      </c>
      <c r="E41095" s="1">
        <v>4.5193615532698002E-4</v>
      </c>
      <c r="F41095" s="1">
        <v>1.96582625935993E-4</v>
      </c>
    </row>
    <row r="41096" spans="1:6" x14ac:dyDescent="0.25">
      <c r="A41096" s="2" t="str">
        <f t="shared" si="1303"/>
        <v>99999</v>
      </c>
      <c r="B41096" s="2" t="str">
        <f>"55783"</f>
        <v>55783</v>
      </c>
      <c r="C41096" s="1">
        <v>1.6076050962281999E-4</v>
      </c>
      <c r="D41096" s="1">
        <v>5.3116093569310399E-5</v>
      </c>
      <c r="E41096" s="1">
        <v>5.21464794608054E-5</v>
      </c>
      <c r="F41096" s="1">
        <v>1.5121740456614801E-4</v>
      </c>
    </row>
    <row r="41097" spans="1:6" x14ac:dyDescent="0.25">
      <c r="A41097" s="2" t="str">
        <f t="shared" si="1303"/>
        <v>99999</v>
      </c>
      <c r="B41097" s="2" t="str">
        <f>"55312"</f>
        <v>55312</v>
      </c>
      <c r="C41097" s="1">
        <v>1.09138159961181E-7</v>
      </c>
      <c r="D41097" s="1">
        <v>0</v>
      </c>
      <c r="E41097" s="1">
        <v>0</v>
      </c>
      <c r="F41097" s="1">
        <v>9.9485134582992598E-8</v>
      </c>
    </row>
    <row r="41098" spans="1:6" x14ac:dyDescent="0.25">
      <c r="A41098" s="2" t="str">
        <f t="shared" si="1303"/>
        <v>99999</v>
      </c>
      <c r="B41098" s="2" t="str">
        <f>"55336"</f>
        <v>55336</v>
      </c>
      <c r="C41098" s="1">
        <v>1.8335210873478499E-5</v>
      </c>
      <c r="D41098" s="1">
        <v>0</v>
      </c>
      <c r="E41098" s="1">
        <v>0</v>
      </c>
      <c r="F41098" s="1">
        <v>1.67135026099427E-5</v>
      </c>
    </row>
    <row r="41099" spans="1:6" x14ac:dyDescent="0.25">
      <c r="A41099" s="2" t="str">
        <f t="shared" si="1303"/>
        <v>99999</v>
      </c>
      <c r="B41099" s="2" t="str">
        <f>"55335"</f>
        <v>55335</v>
      </c>
      <c r="C41099" s="1">
        <v>5.8934606379038102E-5</v>
      </c>
      <c r="D41099" s="1">
        <v>7.5880133670443404E-6</v>
      </c>
      <c r="E41099" s="1">
        <v>3.0418779685469802E-5</v>
      </c>
      <c r="F41099" s="1">
        <v>5.49157942898119E-5</v>
      </c>
    </row>
    <row r="41100" spans="1:6" x14ac:dyDescent="0.25">
      <c r="A41100" s="2" t="str">
        <f t="shared" si="1303"/>
        <v>99999</v>
      </c>
      <c r="B41100" s="2" t="str">
        <f>"55307"</f>
        <v>55307</v>
      </c>
      <c r="C41100" s="1">
        <v>1.51592904186081E-4</v>
      </c>
      <c r="D41100" s="1">
        <v>1.2292581654611801E-4</v>
      </c>
      <c r="E41100" s="1">
        <v>1.6078497833748299E-4</v>
      </c>
      <c r="F41100" s="1">
        <v>1.4992409781656901E-4</v>
      </c>
    </row>
    <row r="41101" spans="1:6" x14ac:dyDescent="0.25">
      <c r="A41101" s="2" t="str">
        <f t="shared" si="1303"/>
        <v>99999</v>
      </c>
      <c r="B41101" s="2" t="str">
        <f>"55063"</f>
        <v>55063</v>
      </c>
      <c r="C41101" s="1">
        <v>5.1447728605700995E-4</v>
      </c>
      <c r="D41101" s="1">
        <v>4.9170326618447303E-4</v>
      </c>
      <c r="E41101" s="1">
        <v>4.9973709483271795E-4</v>
      </c>
      <c r="F41101" s="1">
        <v>5.1264689850616103E-4</v>
      </c>
    </row>
    <row r="41102" spans="1:6" x14ac:dyDescent="0.25">
      <c r="A41102" s="2" t="str">
        <f t="shared" si="1303"/>
        <v>99999</v>
      </c>
      <c r="B41102" s="2" t="str">
        <f>"54983"</f>
        <v>54983</v>
      </c>
      <c r="C41102" s="1">
        <v>2.35301872876307E-4</v>
      </c>
      <c r="D41102" s="1">
        <v>1.6845389674838401E-4</v>
      </c>
      <c r="E41102" s="1">
        <v>1.6078497833748299E-4</v>
      </c>
      <c r="F41102" s="1">
        <v>2.29213750079215E-4</v>
      </c>
    </row>
    <row r="41103" spans="1:6" x14ac:dyDescent="0.25">
      <c r="A41103" s="2" t="str">
        <f t="shared" si="1303"/>
        <v>99999</v>
      </c>
      <c r="B41103" s="2" t="str">
        <f>"54850"</f>
        <v>54850</v>
      </c>
      <c r="C41103" s="1">
        <v>3.0886099269014397E-5</v>
      </c>
      <c r="D41103" s="1">
        <v>3.0352053468177301E-6</v>
      </c>
      <c r="E41103" s="1">
        <v>0</v>
      </c>
      <c r="F41103" s="1">
        <v>2.8353263356152899E-5</v>
      </c>
    </row>
    <row r="41104" spans="1:6" x14ac:dyDescent="0.25">
      <c r="A41104" s="2" t="str">
        <f t="shared" si="1303"/>
        <v>99999</v>
      </c>
      <c r="B41104" s="2" t="str">
        <f>"54871"</f>
        <v>54871</v>
      </c>
      <c r="C41104" s="1">
        <v>1.97758345849661E-4</v>
      </c>
      <c r="D41104" s="1">
        <v>6.5256914956581297E-5</v>
      </c>
      <c r="E41104" s="1">
        <v>1.2602065869694599E-4</v>
      </c>
      <c r="F41104" s="1">
        <v>1.8742999355435801E-4</v>
      </c>
    </row>
    <row r="41105" spans="1:6" x14ac:dyDescent="0.25">
      <c r="A41105" s="2" t="str">
        <f t="shared" si="1303"/>
        <v>99999</v>
      </c>
      <c r="B41105" s="2" t="str">
        <f>"54870"</f>
        <v>54870</v>
      </c>
      <c r="C41105" s="1">
        <v>1.2769164715458199E-4</v>
      </c>
      <c r="D41105" s="1">
        <v>3.7940066835221703E-5</v>
      </c>
      <c r="E41105" s="1">
        <v>2.1727699775335501E-5</v>
      </c>
      <c r="F41105" s="1">
        <v>1.1938216149959101E-4</v>
      </c>
    </row>
    <row r="41106" spans="1:6" x14ac:dyDescent="0.25">
      <c r="A41106" s="2" t="str">
        <f t="shared" ref="A41106:A41169" si="1304">"99999"</f>
        <v>99999</v>
      </c>
      <c r="B41106" s="2" t="str">
        <f>"54856"</f>
        <v>54856</v>
      </c>
      <c r="C41106" s="1">
        <v>9.0475534607819606E-5</v>
      </c>
      <c r="D41106" s="1">
        <v>3.0352053468177301E-5</v>
      </c>
      <c r="E41106" s="1">
        <v>2.60732397304027E-5</v>
      </c>
      <c r="F41106" s="1">
        <v>8.5059790068458695E-5</v>
      </c>
    </row>
    <row r="41107" spans="1:6" x14ac:dyDescent="0.25">
      <c r="A41107" s="2" t="str">
        <f t="shared" si="1304"/>
        <v>99999</v>
      </c>
      <c r="B41107" s="2" t="str">
        <f>"54840"</f>
        <v>54840</v>
      </c>
      <c r="C41107" s="1">
        <v>2.7721092630140099E-4</v>
      </c>
      <c r="D41107" s="1">
        <v>1.30513829913162E-4</v>
      </c>
      <c r="E41107" s="1">
        <v>2.0424037788815399E-4</v>
      </c>
      <c r="F41107" s="1">
        <v>2.6592376474033897E-4</v>
      </c>
    </row>
    <row r="41108" spans="1:6" x14ac:dyDescent="0.25">
      <c r="A41108" s="2" t="str">
        <f t="shared" si="1304"/>
        <v>99999</v>
      </c>
      <c r="B41108" s="2" t="str">
        <f>"54832"</f>
        <v>54832</v>
      </c>
      <c r="C41108" s="1">
        <v>3.3941967747927502E-5</v>
      </c>
      <c r="D41108" s="1">
        <v>1.5176026734088599E-5</v>
      </c>
      <c r="E41108" s="1">
        <v>2.1727699775335501E-5</v>
      </c>
      <c r="F41108" s="1">
        <v>3.2432153874055598E-5</v>
      </c>
    </row>
    <row r="41109" spans="1:6" x14ac:dyDescent="0.25">
      <c r="A41109" s="2" t="str">
        <f t="shared" si="1304"/>
        <v>99999</v>
      </c>
      <c r="B41109" s="2" t="str">
        <f>"54822"</f>
        <v>54822</v>
      </c>
      <c r="C41109" s="1">
        <v>2.3955826111479299E-4</v>
      </c>
      <c r="D41109" s="1">
        <v>8.4985749710896595E-5</v>
      </c>
      <c r="E41109" s="1">
        <v>1.6947605824761699E-4</v>
      </c>
      <c r="F41109" s="1">
        <v>2.27820958195053E-4</v>
      </c>
    </row>
    <row r="41110" spans="1:6" x14ac:dyDescent="0.25">
      <c r="A41110" s="2" t="str">
        <f t="shared" si="1304"/>
        <v>99999</v>
      </c>
      <c r="B41110" s="2" t="str">
        <f>"54728"</f>
        <v>54728</v>
      </c>
      <c r="C41110" s="1">
        <v>3.7106974386801701E-4</v>
      </c>
      <c r="D41110" s="1">
        <v>2.7013327586677803E-4</v>
      </c>
      <c r="E41110" s="1">
        <v>2.8680563703442901E-4</v>
      </c>
      <c r="F41110" s="1">
        <v>3.6252383042042498E-4</v>
      </c>
    </row>
    <row r="41111" spans="1:6" x14ac:dyDescent="0.25">
      <c r="A41111" s="2" t="str">
        <f t="shared" si="1304"/>
        <v>99999</v>
      </c>
      <c r="B41111" s="2" t="str">
        <f>"54554"</f>
        <v>54554</v>
      </c>
      <c r="C41111" s="1">
        <v>1.0870160732133699E-4</v>
      </c>
      <c r="D41111" s="1">
        <v>5.15984908959015E-5</v>
      </c>
      <c r="E41111" s="1">
        <v>3.9109859595604001E-5</v>
      </c>
      <c r="F41111" s="1">
        <v>1.03365054831729E-4</v>
      </c>
    </row>
    <row r="41112" spans="1:6" x14ac:dyDescent="0.25">
      <c r="A41112" s="2" t="str">
        <f t="shared" si="1304"/>
        <v>99999</v>
      </c>
      <c r="B41112" s="2" t="str">
        <f>"54548"</f>
        <v>54548</v>
      </c>
      <c r="C41112" s="1">
        <v>5.2528196389316705E-4</v>
      </c>
      <c r="D41112" s="1">
        <v>9.6519530028803995E-4</v>
      </c>
      <c r="E41112" s="1">
        <v>4.5193615532698002E-4</v>
      </c>
      <c r="F41112" s="1">
        <v>5.5244095233935805E-4</v>
      </c>
    </row>
    <row r="41113" spans="1:6" x14ac:dyDescent="0.25">
      <c r="A41113" s="2" t="str">
        <f t="shared" si="1304"/>
        <v>99999</v>
      </c>
      <c r="B41113" s="2" t="str">
        <f>"54542"</f>
        <v>54542</v>
      </c>
      <c r="C41113" s="1">
        <v>2.4556085991265801E-5</v>
      </c>
      <c r="D41113" s="1">
        <v>6.0704106936354696E-6</v>
      </c>
      <c r="E41113" s="1">
        <v>0</v>
      </c>
      <c r="F41113" s="1">
        <v>2.2782095819505301E-5</v>
      </c>
    </row>
    <row r="41114" spans="1:6" x14ac:dyDescent="0.25">
      <c r="A41114" s="2" t="str">
        <f t="shared" si="1304"/>
        <v>99999</v>
      </c>
      <c r="B41114" s="2" t="str">
        <f>"54539"</f>
        <v>54539</v>
      </c>
      <c r="C41114" s="1">
        <v>1.21470772036795E-4</v>
      </c>
      <c r="D41114" s="1">
        <v>1.21408213872709E-5</v>
      </c>
      <c r="E41114" s="1">
        <v>4.7800939505738197E-5</v>
      </c>
      <c r="F41114" s="1">
        <v>1.12617172347947E-4</v>
      </c>
    </row>
    <row r="41115" spans="1:6" x14ac:dyDescent="0.25">
      <c r="A41115" s="2" t="str">
        <f t="shared" si="1304"/>
        <v>99999</v>
      </c>
      <c r="B41115" s="2" t="str">
        <f>"54538"</f>
        <v>54538</v>
      </c>
      <c r="C41115" s="1">
        <v>2.5461932718943601E-4</v>
      </c>
      <c r="D41115" s="1">
        <v>1.79077115462246E-4</v>
      </c>
      <c r="E41115" s="1">
        <v>4.3455399550671103E-5</v>
      </c>
      <c r="F41115" s="1">
        <v>2.4483291620874402E-4</v>
      </c>
    </row>
    <row r="41116" spans="1:6" x14ac:dyDescent="0.25">
      <c r="A41116" s="2" t="str">
        <f t="shared" si="1304"/>
        <v>99999</v>
      </c>
      <c r="B41116" s="2" t="str">
        <f>"54531"</f>
        <v>54531</v>
      </c>
      <c r="C41116" s="1">
        <v>9.8333482125024699E-5</v>
      </c>
      <c r="D41116" s="1">
        <v>6.6774517629990203E-5</v>
      </c>
      <c r="E41116" s="1">
        <v>3.9109859595604001E-5</v>
      </c>
      <c r="F41116" s="1">
        <v>9.4908818392174904E-5</v>
      </c>
    </row>
    <row r="41117" spans="1:6" x14ac:dyDescent="0.25">
      <c r="A41117" s="2" t="str">
        <f t="shared" si="1304"/>
        <v>99999</v>
      </c>
      <c r="B41117" s="2" t="str">
        <f>"54524"</f>
        <v>54524</v>
      </c>
      <c r="C41117" s="1">
        <v>3.8853184946180599E-5</v>
      </c>
      <c r="D41117" s="1">
        <v>3.0352053468177301E-6</v>
      </c>
      <c r="E41117" s="1">
        <v>1.3036619865201299E-5</v>
      </c>
      <c r="F41117" s="1">
        <v>3.5914133584460302E-5</v>
      </c>
    </row>
    <row r="41118" spans="1:6" x14ac:dyDescent="0.25">
      <c r="A41118" s="2" t="str">
        <f t="shared" si="1304"/>
        <v>99999</v>
      </c>
      <c r="B41118" s="2" t="str">
        <f>"54490"</f>
        <v>54490</v>
      </c>
      <c r="C41118" s="1">
        <v>5.2058902301483599E-5</v>
      </c>
      <c r="D41118" s="1">
        <v>1.8211232080906399E-5</v>
      </c>
      <c r="E41118" s="1">
        <v>2.1727699775335501E-5</v>
      </c>
      <c r="F41118" s="1">
        <v>4.9145656483998298E-5</v>
      </c>
    </row>
    <row r="41119" spans="1:6" x14ac:dyDescent="0.25">
      <c r="A41119" s="2" t="str">
        <f t="shared" si="1304"/>
        <v>99999</v>
      </c>
      <c r="B41119" s="2" t="str">
        <f>"54491"</f>
        <v>54491</v>
      </c>
      <c r="C41119" s="1">
        <v>1.15359035078969E-4</v>
      </c>
      <c r="D41119" s="1">
        <v>2.2764040101133E-5</v>
      </c>
      <c r="E41119" s="1">
        <v>5.21464794608054E-5</v>
      </c>
      <c r="F41119" s="1">
        <v>1.0784188588796401E-4</v>
      </c>
    </row>
    <row r="41120" spans="1:6" x14ac:dyDescent="0.25">
      <c r="A41120" s="2" t="str">
        <f t="shared" si="1304"/>
        <v>99999</v>
      </c>
      <c r="B41120" s="2" t="str">
        <f>"54645"</f>
        <v>54645</v>
      </c>
      <c r="C41120" s="1">
        <v>0</v>
      </c>
      <c r="D41120" s="1">
        <v>0</v>
      </c>
      <c r="E41120" s="1">
        <v>4.3455399550671099E-6</v>
      </c>
      <c r="F41120" s="1">
        <v>9.9485134582992598E-8</v>
      </c>
    </row>
    <row r="41121" spans="1:6" x14ac:dyDescent="0.25">
      <c r="A41121" s="2" t="str">
        <f t="shared" si="1304"/>
        <v>99999</v>
      </c>
      <c r="B41121" s="2" t="str">
        <f>"54653"</f>
        <v>54653</v>
      </c>
      <c r="C41121" s="1">
        <v>8.6219146369333496E-6</v>
      </c>
      <c r="D41121" s="1">
        <v>4.5528080202265997E-6</v>
      </c>
      <c r="E41121" s="1">
        <v>0</v>
      </c>
      <c r="F41121" s="1">
        <v>8.1577810358053902E-6</v>
      </c>
    </row>
    <row r="41122" spans="1:6" x14ac:dyDescent="0.25">
      <c r="A41122" s="2" t="str">
        <f t="shared" si="1304"/>
        <v>99999</v>
      </c>
      <c r="B41122" s="2" t="str">
        <f>"54643"</f>
        <v>54643</v>
      </c>
      <c r="C41122" s="1">
        <v>0</v>
      </c>
      <c r="D41122" s="1">
        <v>0</v>
      </c>
      <c r="E41122" s="1">
        <v>4.3455399550671099E-6</v>
      </c>
      <c r="F41122" s="1">
        <v>9.9485134582992598E-8</v>
      </c>
    </row>
    <row r="41123" spans="1:6" x14ac:dyDescent="0.25">
      <c r="A41123" s="2" t="str">
        <f t="shared" si="1304"/>
        <v>99999</v>
      </c>
      <c r="B41123" s="2" t="str">
        <f>"54632"</f>
        <v>54632</v>
      </c>
      <c r="C41123" s="1">
        <v>5.2168040461444802E-5</v>
      </c>
      <c r="D41123" s="1">
        <v>2.1246437427724101E-5</v>
      </c>
      <c r="E41123" s="1">
        <v>5.6492019415872502E-5</v>
      </c>
      <c r="F41123" s="1">
        <v>5.02399929644112E-5</v>
      </c>
    </row>
    <row r="41124" spans="1:6" x14ac:dyDescent="0.25">
      <c r="A41124" s="2" t="str">
        <f t="shared" si="1304"/>
        <v>99999</v>
      </c>
      <c r="B41124" s="2" t="str">
        <f>"54657"</f>
        <v>54657</v>
      </c>
      <c r="C41124" s="1">
        <v>2.0190559592818601E-5</v>
      </c>
      <c r="D41124" s="1">
        <v>0</v>
      </c>
      <c r="E41124" s="1">
        <v>4.3455399550671099E-6</v>
      </c>
      <c r="F41124" s="1">
        <v>1.8504235032436599E-5</v>
      </c>
    </row>
    <row r="41125" spans="1:6" x14ac:dyDescent="0.25">
      <c r="A41125" s="2" t="str">
        <f t="shared" si="1304"/>
        <v>99999</v>
      </c>
      <c r="B41125" s="2" t="str">
        <f>"54655"</f>
        <v>54655</v>
      </c>
      <c r="C41125" s="1">
        <v>9.5386751806072798E-5</v>
      </c>
      <c r="D41125" s="1">
        <v>2.88344507947685E-5</v>
      </c>
      <c r="E41125" s="1">
        <v>6.5183099326006705E-5</v>
      </c>
      <c r="F41125" s="1">
        <v>9.0332502201357297E-5</v>
      </c>
    </row>
    <row r="41126" spans="1:6" x14ac:dyDescent="0.25">
      <c r="A41126" s="2" t="str">
        <f t="shared" si="1304"/>
        <v>99999</v>
      </c>
      <c r="B41126" s="2" t="str">
        <f>"54564"</f>
        <v>54564</v>
      </c>
      <c r="C41126" s="1">
        <v>2.8157645269984799E-5</v>
      </c>
      <c r="D41126" s="1">
        <v>1.3658424060679801E-5</v>
      </c>
      <c r="E41126" s="1">
        <v>4.3455399550671099E-6</v>
      </c>
      <c r="F41126" s="1">
        <v>2.6662016068241999E-5</v>
      </c>
    </row>
    <row r="41127" spans="1:6" x14ac:dyDescent="0.25">
      <c r="A41127" s="2" t="str">
        <f t="shared" si="1304"/>
        <v>99999</v>
      </c>
      <c r="B41127" s="2" t="str">
        <f>"54615"</f>
        <v>54615</v>
      </c>
      <c r="C41127" s="1">
        <v>5.2168040461444802E-4</v>
      </c>
      <c r="D41127" s="1">
        <v>6.5560435491263103E-4</v>
      </c>
      <c r="E41127" s="1">
        <v>1.0081652695755701E-3</v>
      </c>
      <c r="F41127" s="1">
        <v>5.4159707266981103E-4</v>
      </c>
    </row>
    <row r="41128" spans="1:6" x14ac:dyDescent="0.25">
      <c r="A41128" s="2" t="str">
        <f t="shared" si="1304"/>
        <v>99999</v>
      </c>
      <c r="B41128" s="2" t="str">
        <f>"54562"</f>
        <v>54562</v>
      </c>
      <c r="C41128" s="1">
        <v>2.01032490648496E-4</v>
      </c>
      <c r="D41128" s="1">
        <v>9.5608968424758703E-5</v>
      </c>
      <c r="E41128" s="1">
        <v>5.21464794608054E-5</v>
      </c>
      <c r="F41128" s="1">
        <v>1.90713002995596E-4</v>
      </c>
    </row>
    <row r="41129" spans="1:6" x14ac:dyDescent="0.25">
      <c r="A41129" s="2" t="str">
        <f t="shared" si="1304"/>
        <v>99999</v>
      </c>
      <c r="B41129" s="2" t="str">
        <f>"54559"</f>
        <v>54559</v>
      </c>
      <c r="C41129" s="1">
        <v>6.2645303817718305E-5</v>
      </c>
      <c r="D41129" s="1">
        <v>1.0623218713862E-5</v>
      </c>
      <c r="E41129" s="1">
        <v>4.3455399550671099E-6</v>
      </c>
      <c r="F41129" s="1">
        <v>5.7900348327301699E-5</v>
      </c>
    </row>
    <row r="41130" spans="1:6" x14ac:dyDescent="0.25">
      <c r="A41130" s="2" t="str">
        <f t="shared" si="1304"/>
        <v>99999</v>
      </c>
      <c r="B41130" s="2" t="str">
        <f>"54226"</f>
        <v>54226</v>
      </c>
      <c r="C41130" s="1">
        <v>0</v>
      </c>
      <c r="D41130" s="1">
        <v>0</v>
      </c>
      <c r="E41130" s="1">
        <v>4.3455399550671099E-6</v>
      </c>
      <c r="F41130" s="1">
        <v>9.9485134582992598E-8</v>
      </c>
    </row>
    <row r="41131" spans="1:6" x14ac:dyDescent="0.25">
      <c r="A41131" s="2" t="str">
        <f t="shared" si="1304"/>
        <v>99999</v>
      </c>
      <c r="B41131" s="2" t="str">
        <f>"54213"</f>
        <v>54213</v>
      </c>
      <c r="C41131" s="1">
        <v>5.91528826989605E-5</v>
      </c>
      <c r="D41131" s="1">
        <v>7.5880133670443404E-6</v>
      </c>
      <c r="E41131" s="1">
        <v>2.1727699775335501E-5</v>
      </c>
      <c r="F41131" s="1">
        <v>5.49157942898119E-5</v>
      </c>
    </row>
    <row r="41132" spans="1:6" x14ac:dyDescent="0.25">
      <c r="A41132" s="2" t="str">
        <f t="shared" si="1304"/>
        <v>99999</v>
      </c>
      <c r="B41132" s="2" t="str">
        <f>"54170"</f>
        <v>54170</v>
      </c>
      <c r="C41132" s="1">
        <v>4.3655263984472602E-7</v>
      </c>
      <c r="D41132" s="1">
        <v>0</v>
      </c>
      <c r="E41132" s="1">
        <v>0</v>
      </c>
      <c r="F41132" s="1">
        <v>3.9794053833197002E-7</v>
      </c>
    </row>
    <row r="41133" spans="1:6" x14ac:dyDescent="0.25">
      <c r="A41133" s="2" t="str">
        <f t="shared" si="1304"/>
        <v>99999</v>
      </c>
      <c r="B41133" s="2" t="str">
        <f>"54446"</f>
        <v>54446</v>
      </c>
      <c r="C41133" s="1">
        <v>1.3718666707120499E-4</v>
      </c>
      <c r="D41133" s="1">
        <v>4.0975272182039399E-5</v>
      </c>
      <c r="E41133" s="1">
        <v>6.5183099326006705E-5</v>
      </c>
      <c r="F41133" s="1">
        <v>1.29231189823307E-4</v>
      </c>
    </row>
    <row r="41134" spans="1:6" x14ac:dyDescent="0.25">
      <c r="A41134" s="2" t="str">
        <f t="shared" si="1304"/>
        <v>99999</v>
      </c>
      <c r="B41134" s="2" t="str">
        <f>"54414"</f>
        <v>54414</v>
      </c>
      <c r="C41134" s="1">
        <v>9.8224343965063504E-7</v>
      </c>
      <c r="D41134" s="1">
        <v>0</v>
      </c>
      <c r="E41134" s="1">
        <v>0</v>
      </c>
      <c r="F41134" s="1">
        <v>8.9536621124693305E-7</v>
      </c>
    </row>
    <row r="41135" spans="1:6" x14ac:dyDescent="0.25">
      <c r="A41135" s="2" t="str">
        <f t="shared" si="1304"/>
        <v>99999</v>
      </c>
      <c r="B41135" s="2" t="str">
        <f>"54104"</f>
        <v>54104</v>
      </c>
      <c r="C41135" s="1">
        <v>8.7310527968945299E-7</v>
      </c>
      <c r="D41135" s="1">
        <v>0</v>
      </c>
      <c r="E41135" s="1">
        <v>0</v>
      </c>
      <c r="F41135" s="1">
        <v>7.9588107666394099E-7</v>
      </c>
    </row>
    <row r="41136" spans="1:6" x14ac:dyDescent="0.25">
      <c r="A41136" s="2" t="str">
        <f t="shared" si="1304"/>
        <v>99999</v>
      </c>
      <c r="B41136" s="2" t="str">
        <f>"54009"</f>
        <v>54009</v>
      </c>
      <c r="C41136" s="1">
        <v>1.2365353523601801E-4</v>
      </c>
      <c r="D41136" s="1">
        <v>4.5528080202266E-5</v>
      </c>
      <c r="E41136" s="1">
        <v>1.56439438382416E-4</v>
      </c>
      <c r="F41136" s="1">
        <v>1.19282676365008E-4</v>
      </c>
    </row>
    <row r="41137" spans="1:6" x14ac:dyDescent="0.25">
      <c r="A41137" s="2" t="str">
        <f t="shared" si="1304"/>
        <v>99999</v>
      </c>
      <c r="B41137" s="2" t="str">
        <f>"54004"</f>
        <v>54004</v>
      </c>
      <c r="C41137" s="1">
        <v>1.10666094200638E-4</v>
      </c>
      <c r="D41137" s="1">
        <v>2.4281642774541899E-5</v>
      </c>
      <c r="E41137" s="1">
        <v>1.4340281851721399E-4</v>
      </c>
      <c r="F41137" s="1">
        <v>1.05752698061721E-4</v>
      </c>
    </row>
    <row r="41138" spans="1:6" x14ac:dyDescent="0.25">
      <c r="A41138" s="2" t="str">
        <f t="shared" si="1304"/>
        <v>99999</v>
      </c>
      <c r="B41138" s="2" t="str">
        <f>"53919"</f>
        <v>53919</v>
      </c>
      <c r="C41138" s="1">
        <v>3.2741447988354498E-7</v>
      </c>
      <c r="D41138" s="1">
        <v>1.51760267340886E-6</v>
      </c>
      <c r="E41138" s="1">
        <v>0</v>
      </c>
      <c r="F41138" s="1">
        <v>3.9794053833197002E-7</v>
      </c>
    </row>
    <row r="41139" spans="1:6" x14ac:dyDescent="0.25">
      <c r="A41139" s="2" t="str">
        <f t="shared" si="1304"/>
        <v>99999</v>
      </c>
      <c r="B41139" s="2" t="str">
        <f>"53956"</f>
        <v>53956</v>
      </c>
      <c r="C41139" s="1">
        <v>3.27414479883545E-6</v>
      </c>
      <c r="D41139" s="1">
        <v>0</v>
      </c>
      <c r="E41139" s="1">
        <v>0</v>
      </c>
      <c r="F41139" s="1">
        <v>2.9845540374897699E-6</v>
      </c>
    </row>
    <row r="41140" spans="1:6" x14ac:dyDescent="0.25">
      <c r="A41140" s="2" t="str">
        <f t="shared" si="1304"/>
        <v>99999</v>
      </c>
      <c r="B41140" s="2" t="str">
        <f>"53818"</f>
        <v>53818</v>
      </c>
      <c r="C41140" s="1">
        <v>2.61931583906836E-5</v>
      </c>
      <c r="D41140" s="1">
        <v>6.0704106936354696E-6</v>
      </c>
      <c r="E41140" s="1">
        <v>8.69107991013423E-6</v>
      </c>
      <c r="F41140" s="1">
        <v>2.44733431074161E-5</v>
      </c>
    </row>
    <row r="41141" spans="1:6" x14ac:dyDescent="0.25">
      <c r="A41141" s="2" t="str">
        <f t="shared" si="1304"/>
        <v>99999</v>
      </c>
      <c r="B41141" s="2" t="str">
        <f>"53811"</f>
        <v>53811</v>
      </c>
      <c r="C41141" s="1">
        <v>6.1117369578261701E-6</v>
      </c>
      <c r="D41141" s="1">
        <v>0</v>
      </c>
      <c r="E41141" s="1">
        <v>0</v>
      </c>
      <c r="F41141" s="1">
        <v>5.5711675366475797E-6</v>
      </c>
    </row>
    <row r="41142" spans="1:6" x14ac:dyDescent="0.25">
      <c r="A41142" s="2" t="str">
        <f t="shared" si="1304"/>
        <v>99999</v>
      </c>
      <c r="B41142" s="2" t="str">
        <f>"53807"</f>
        <v>53807</v>
      </c>
      <c r="C41142" s="1">
        <v>4.27821587047832E-5</v>
      </c>
      <c r="D41142" s="1">
        <v>1.21408213872709E-5</v>
      </c>
      <c r="E41142" s="1">
        <v>0</v>
      </c>
      <c r="F41142" s="1">
        <v>3.9794053833197E-5</v>
      </c>
    </row>
    <row r="41143" spans="1:6" x14ac:dyDescent="0.25">
      <c r="A41143" s="2" t="str">
        <f t="shared" si="1304"/>
        <v>99999</v>
      </c>
      <c r="B41143" s="2" t="str">
        <f>"53581"</f>
        <v>53581</v>
      </c>
      <c r="C41143" s="1">
        <v>5.3859681940843099E-4</v>
      </c>
      <c r="D41143" s="1">
        <v>7.9977660888647399E-4</v>
      </c>
      <c r="E41143" s="1">
        <v>7.7785165195701298E-4</v>
      </c>
      <c r="F41143" s="1">
        <v>5.61195644182661E-4</v>
      </c>
    </row>
    <row r="41144" spans="1:6" x14ac:dyDescent="0.25">
      <c r="A41144" s="2" t="str">
        <f t="shared" si="1304"/>
        <v>99999</v>
      </c>
      <c r="B41144" s="2" t="str">
        <f>"52731"</f>
        <v>52731</v>
      </c>
      <c r="C41144" s="1">
        <v>8.7310527968945299E-7</v>
      </c>
      <c r="D41144" s="1">
        <v>0</v>
      </c>
      <c r="E41144" s="1">
        <v>0</v>
      </c>
      <c r="F41144" s="1">
        <v>7.9588107666394099E-7</v>
      </c>
    </row>
    <row r="41145" spans="1:6" x14ac:dyDescent="0.25">
      <c r="A41145" s="2" t="str">
        <f t="shared" si="1304"/>
        <v>99999</v>
      </c>
      <c r="B41145" s="2" t="str">
        <f>"52646"</f>
        <v>52646</v>
      </c>
      <c r="C41145" s="1">
        <v>2.3792118871537602E-5</v>
      </c>
      <c r="D41145" s="1">
        <v>1.51760267340886E-6</v>
      </c>
      <c r="E41145" s="1">
        <v>0</v>
      </c>
      <c r="F41145" s="1">
        <v>2.1787244473675299E-5</v>
      </c>
    </row>
    <row r="41146" spans="1:6" x14ac:dyDescent="0.25">
      <c r="A41146" s="2" t="str">
        <f t="shared" si="1304"/>
        <v>99999</v>
      </c>
      <c r="B41146" s="2" t="str">
        <f>"52649"</f>
        <v>52649</v>
      </c>
      <c r="C41146" s="1">
        <v>4.42009547842786E-5</v>
      </c>
      <c r="D41146" s="1">
        <v>1.3658424060679801E-5</v>
      </c>
      <c r="E41146" s="1">
        <v>2.60732397304027E-5</v>
      </c>
      <c r="F41146" s="1">
        <v>4.1783756524856902E-5</v>
      </c>
    </row>
    <row r="41147" spans="1:6" x14ac:dyDescent="0.25">
      <c r="A41147" s="2" t="str">
        <f t="shared" si="1304"/>
        <v>99999</v>
      </c>
      <c r="B41147" s="2" t="str">
        <f>"52645"</f>
        <v>52645</v>
      </c>
      <c r="C41147" s="1">
        <v>1.4384409482883699E-4</v>
      </c>
      <c r="D41147" s="1">
        <v>1.30513829913162E-4</v>
      </c>
      <c r="E41147" s="1">
        <v>9.5601879011476503E-5</v>
      </c>
      <c r="F41147" s="1">
        <v>1.41865801915347E-4</v>
      </c>
    </row>
    <row r="41148" spans="1:6" x14ac:dyDescent="0.25">
      <c r="A41148" s="2" t="str">
        <f t="shared" si="1304"/>
        <v>99999</v>
      </c>
      <c r="B41148" s="2" t="str">
        <f>"52644"</f>
        <v>52644</v>
      </c>
      <c r="C41148" s="1">
        <v>1.4078822634992399E-5</v>
      </c>
      <c r="D41148" s="1">
        <v>4.5528080202265997E-6</v>
      </c>
      <c r="E41148" s="1">
        <v>0</v>
      </c>
      <c r="F41148" s="1">
        <v>1.3132037764955001E-5</v>
      </c>
    </row>
    <row r="41149" spans="1:6" x14ac:dyDescent="0.25">
      <c r="A41149" s="2" t="str">
        <f t="shared" si="1304"/>
        <v>99999</v>
      </c>
      <c r="B41149" s="2" t="str">
        <f>"52301"</f>
        <v>52301</v>
      </c>
      <c r="C41149" s="1">
        <v>2.0179645776822501E-4</v>
      </c>
      <c r="D41149" s="1">
        <v>2.5192204378587197E-4</v>
      </c>
      <c r="E41149" s="1">
        <v>3.6937089618070402E-4</v>
      </c>
      <c r="F41149" s="1">
        <v>2.08918782624284E-4</v>
      </c>
    </row>
    <row r="41150" spans="1:6" x14ac:dyDescent="0.25">
      <c r="A41150" s="2" t="str">
        <f t="shared" si="1304"/>
        <v>99999</v>
      </c>
      <c r="B41150" s="2" t="str">
        <f>"52236"</f>
        <v>52236</v>
      </c>
      <c r="C41150" s="1">
        <v>2.4337809671343498E-5</v>
      </c>
      <c r="D41150" s="1">
        <v>3.0352053468177301E-5</v>
      </c>
      <c r="E41150" s="1">
        <v>8.69107991013423E-6</v>
      </c>
      <c r="F41150" s="1">
        <v>2.4373857972833101E-5</v>
      </c>
    </row>
    <row r="41151" spans="1:6" x14ac:dyDescent="0.25">
      <c r="A41151" s="2" t="str">
        <f t="shared" si="1304"/>
        <v>99999</v>
      </c>
      <c r="B41151" s="2" t="str">
        <f>"52224"</f>
        <v>52224</v>
      </c>
      <c r="C41151" s="1">
        <v>6.6901692056204405E-5</v>
      </c>
      <c r="D41151" s="1">
        <v>3.3387258814995101E-5</v>
      </c>
      <c r="E41151" s="1">
        <v>3.0418779685469802E-5</v>
      </c>
      <c r="F41151" s="1">
        <v>6.3869456402281197E-5</v>
      </c>
    </row>
    <row r="41152" spans="1:6" x14ac:dyDescent="0.25">
      <c r="A41152" s="2" t="str">
        <f t="shared" si="1304"/>
        <v>99999</v>
      </c>
      <c r="B41152" s="2" t="str">
        <f>"52218"</f>
        <v>52218</v>
      </c>
      <c r="C41152" s="1">
        <v>1.4297098954914801E-5</v>
      </c>
      <c r="D41152" s="1">
        <v>1.51760267340886E-6</v>
      </c>
      <c r="E41152" s="1">
        <v>0</v>
      </c>
      <c r="F41152" s="1">
        <v>1.3132037764955001E-5</v>
      </c>
    </row>
    <row r="41153" spans="1:6" x14ac:dyDescent="0.25">
      <c r="A41153" s="2" t="str">
        <f t="shared" si="1304"/>
        <v>99999</v>
      </c>
      <c r="B41153" s="2" t="str">
        <f>"52217"</f>
        <v>52217</v>
      </c>
      <c r="C41153" s="1">
        <v>3.1104375588936701E-5</v>
      </c>
      <c r="D41153" s="1">
        <v>2.4281642774541899E-5</v>
      </c>
      <c r="E41153" s="1">
        <v>4.3455399550671099E-6</v>
      </c>
      <c r="F41153" s="1">
        <v>3.0044510644063701E-5</v>
      </c>
    </row>
    <row r="41154" spans="1:6" x14ac:dyDescent="0.25">
      <c r="A41154" s="2" t="str">
        <f t="shared" si="1304"/>
        <v>99999</v>
      </c>
      <c r="B41154" s="2" t="str">
        <f>"52203"</f>
        <v>52203</v>
      </c>
      <c r="C41154" s="1">
        <v>9.6150718925801099E-5</v>
      </c>
      <c r="D41154" s="1">
        <v>1.30513829913162E-4</v>
      </c>
      <c r="E41154" s="1">
        <v>1.2602065869694599E-4</v>
      </c>
      <c r="F41154" s="1">
        <v>9.9087194044660597E-5</v>
      </c>
    </row>
    <row r="41155" spans="1:6" x14ac:dyDescent="0.25">
      <c r="A41155" s="2" t="str">
        <f t="shared" si="1304"/>
        <v>99999</v>
      </c>
      <c r="B41155" s="2" t="str">
        <f>"52583"</f>
        <v>52583</v>
      </c>
      <c r="C41155" s="1">
        <v>2.0190559592818601E-5</v>
      </c>
      <c r="D41155" s="1">
        <v>1.3658424060679801E-5</v>
      </c>
      <c r="E41155" s="1">
        <v>8.69107991013423E-6</v>
      </c>
      <c r="F41155" s="1">
        <v>1.9499086378266499E-5</v>
      </c>
    </row>
    <row r="41156" spans="1:6" x14ac:dyDescent="0.25">
      <c r="A41156" s="2" t="str">
        <f t="shared" si="1304"/>
        <v>99999</v>
      </c>
      <c r="B41156" s="2" t="str">
        <f>"52574"</f>
        <v>52574</v>
      </c>
      <c r="C41156" s="1">
        <v>4.6274579823540998E-5</v>
      </c>
      <c r="D41156" s="1">
        <v>9.1056160404532095E-6</v>
      </c>
      <c r="E41156" s="1">
        <v>1.3036619865201299E-5</v>
      </c>
      <c r="F41156" s="1">
        <v>4.3077063274435802E-5</v>
      </c>
    </row>
    <row r="41157" spans="1:6" x14ac:dyDescent="0.25">
      <c r="A41157" s="2" t="str">
        <f t="shared" si="1304"/>
        <v>99999</v>
      </c>
      <c r="B41157" s="2" t="str">
        <f>"52565"</f>
        <v>52565</v>
      </c>
      <c r="C41157" s="1">
        <v>1.1568644955885199E-4</v>
      </c>
      <c r="D41157" s="1">
        <v>1.4113704862702401E-4</v>
      </c>
      <c r="E41157" s="1">
        <v>4.7800939505738197E-5</v>
      </c>
      <c r="F41157" s="1">
        <v>1.1580069665460301E-4</v>
      </c>
    </row>
    <row r="41158" spans="1:6" x14ac:dyDescent="0.25">
      <c r="A41158" s="2" t="str">
        <f t="shared" si="1304"/>
        <v>99999</v>
      </c>
      <c r="B41158" s="2" t="str">
        <f>"52554"</f>
        <v>52554</v>
      </c>
      <c r="C41158" s="1">
        <v>2.4010395191459898E-6</v>
      </c>
      <c r="D41158" s="1">
        <v>4.5528080202265997E-6</v>
      </c>
      <c r="E41158" s="1">
        <v>0</v>
      </c>
      <c r="F41158" s="1">
        <v>2.48712836457481E-6</v>
      </c>
    </row>
    <row r="41159" spans="1:6" x14ac:dyDescent="0.25">
      <c r="A41159" s="2" t="str">
        <f t="shared" si="1304"/>
        <v>99999</v>
      </c>
      <c r="B41159" s="2" t="str">
        <f>"52134"</f>
        <v>52134</v>
      </c>
      <c r="C41159" s="1">
        <v>1.93174543131291E-5</v>
      </c>
      <c r="D41159" s="1">
        <v>2.2764040101133E-5</v>
      </c>
      <c r="E41159" s="1">
        <v>4.3455399550671099E-6</v>
      </c>
      <c r="F41159" s="1">
        <v>1.92006309745175E-5</v>
      </c>
    </row>
    <row r="41160" spans="1:6" x14ac:dyDescent="0.25">
      <c r="A41160" s="2" t="str">
        <f t="shared" si="1304"/>
        <v>99999</v>
      </c>
      <c r="B41160" s="2" t="str">
        <f>"52065"</f>
        <v>52065</v>
      </c>
      <c r="C41160" s="1">
        <v>6.4391514377097196E-6</v>
      </c>
      <c r="D41160" s="1">
        <v>0</v>
      </c>
      <c r="E41160" s="1">
        <v>0</v>
      </c>
      <c r="F41160" s="1">
        <v>5.86962294039656E-6</v>
      </c>
    </row>
    <row r="41161" spans="1:6" x14ac:dyDescent="0.25">
      <c r="A41161" s="2" t="str">
        <f t="shared" si="1304"/>
        <v>99999</v>
      </c>
      <c r="B41161" s="2" t="str">
        <f>"52163"</f>
        <v>52163</v>
      </c>
      <c r="C41161" s="1">
        <v>2.1281941192430401E-5</v>
      </c>
      <c r="D41161" s="1">
        <v>1.51760267340886E-6</v>
      </c>
      <c r="E41161" s="1">
        <v>8.69107991013423E-6</v>
      </c>
      <c r="F41161" s="1">
        <v>1.96980566474325E-5</v>
      </c>
    </row>
    <row r="41162" spans="1:6" x14ac:dyDescent="0.25">
      <c r="A41162" s="2" t="str">
        <f t="shared" si="1304"/>
        <v>99999</v>
      </c>
      <c r="B41162" s="2" t="str">
        <f>"52066"</f>
        <v>52066</v>
      </c>
      <c r="C41162" s="1">
        <v>7.6396711972827196E-6</v>
      </c>
      <c r="D41162" s="1">
        <v>4.5528080202265997E-6</v>
      </c>
      <c r="E41162" s="1">
        <v>1.3036619865201299E-5</v>
      </c>
      <c r="F41162" s="1">
        <v>7.5608702283074398E-6</v>
      </c>
    </row>
    <row r="41163" spans="1:6" x14ac:dyDescent="0.25">
      <c r="A41163" s="2" t="str">
        <f t="shared" si="1304"/>
        <v>99999</v>
      </c>
      <c r="B41163" s="2" t="str">
        <f>"52162"</f>
        <v>52162</v>
      </c>
      <c r="C41163" s="1">
        <v>1.65562588661112E-4</v>
      </c>
      <c r="D41163" s="1">
        <v>2.03358758236788E-4</v>
      </c>
      <c r="E41163" s="1">
        <v>4.2151737564151003E-4</v>
      </c>
      <c r="F41163" s="1">
        <v>1.7390001525107099E-4</v>
      </c>
    </row>
    <row r="41164" spans="1:6" x14ac:dyDescent="0.25">
      <c r="A41164" s="2" t="str">
        <f t="shared" si="1304"/>
        <v>99999</v>
      </c>
      <c r="B41164" s="2" t="str">
        <f>"52157"</f>
        <v>52157</v>
      </c>
      <c r="C41164" s="1">
        <v>1.07719363881686E-4</v>
      </c>
      <c r="D41164" s="1">
        <v>3.7940066835221703E-5</v>
      </c>
      <c r="E41164" s="1">
        <v>9.5601879011476503E-5</v>
      </c>
      <c r="F41164" s="1">
        <v>1.02867629158814E-4</v>
      </c>
    </row>
    <row r="41165" spans="1:6" x14ac:dyDescent="0.25">
      <c r="A41165" s="2" t="str">
        <f t="shared" si="1304"/>
        <v>99999</v>
      </c>
      <c r="B41165" s="2" t="str">
        <f>"52154"</f>
        <v>52154</v>
      </c>
      <c r="C41165" s="1">
        <v>4.9985277262221202E-5</v>
      </c>
      <c r="D41165" s="1">
        <v>2.88344507947685E-5</v>
      </c>
      <c r="E41165" s="1">
        <v>3.0418779685469802E-5</v>
      </c>
      <c r="F41165" s="1">
        <v>4.8150805138168401E-5</v>
      </c>
    </row>
    <row r="41166" spans="1:6" x14ac:dyDescent="0.25">
      <c r="A41166" s="2" t="str">
        <f t="shared" si="1304"/>
        <v>99999</v>
      </c>
      <c r="B41166" s="2" t="str">
        <f>"52146"</f>
        <v>52146</v>
      </c>
      <c r="C41166" s="1">
        <v>8.0325685731429702E-5</v>
      </c>
      <c r="D41166" s="1">
        <v>1.0623218713862E-5</v>
      </c>
      <c r="E41166" s="1">
        <v>4.7800939505738197E-5</v>
      </c>
      <c r="F41166" s="1">
        <v>7.5011791475576394E-5</v>
      </c>
    </row>
    <row r="41167" spans="1:6" x14ac:dyDescent="0.25">
      <c r="A41167" s="2" t="str">
        <f t="shared" si="1304"/>
        <v>99999</v>
      </c>
      <c r="B41167" s="2" t="str">
        <f>"52140"</f>
        <v>52140</v>
      </c>
      <c r="C41167" s="1">
        <v>3.04495466291697E-5</v>
      </c>
      <c r="D41167" s="1">
        <v>7.5880133670443404E-6</v>
      </c>
      <c r="E41167" s="1">
        <v>0</v>
      </c>
      <c r="F41167" s="1">
        <v>2.8253778221569901E-5</v>
      </c>
    </row>
    <row r="41168" spans="1:6" x14ac:dyDescent="0.25">
      <c r="A41168" s="2" t="str">
        <f t="shared" si="1304"/>
        <v>99999</v>
      </c>
      <c r="B41168" s="2" t="str">
        <f>"52330"</f>
        <v>52330</v>
      </c>
      <c r="C41168" s="1">
        <v>4.1799915265132602E-5</v>
      </c>
      <c r="D41168" s="1">
        <v>7.5880133670443404E-6</v>
      </c>
      <c r="E41168" s="1">
        <v>1.3036619865201299E-5</v>
      </c>
      <c r="F41168" s="1">
        <v>3.8898687621950101E-5</v>
      </c>
    </row>
    <row r="41169" spans="1:6" x14ac:dyDescent="0.25">
      <c r="A41169" s="2" t="str">
        <f t="shared" si="1304"/>
        <v>99999</v>
      </c>
      <c r="B41169" s="2" t="str">
        <f>"52334"</f>
        <v>52334</v>
      </c>
      <c r="C41169" s="1">
        <v>1.7243829273866699E-5</v>
      </c>
      <c r="D41169" s="1">
        <v>4.5528080202265997E-6</v>
      </c>
      <c r="E41169" s="1">
        <v>8.69107991013423E-6</v>
      </c>
      <c r="F41169" s="1">
        <v>1.6216076937027799E-5</v>
      </c>
    </row>
    <row r="41170" spans="1:6" x14ac:dyDescent="0.25">
      <c r="A41170" s="2" t="str">
        <f t="shared" ref="A41170:A41233" si="1305">"99999"</f>
        <v>99999</v>
      </c>
      <c r="B41170" s="2" t="str">
        <f>"51231"</f>
        <v>51231</v>
      </c>
      <c r="C41170" s="1">
        <v>1.60433095142937E-5</v>
      </c>
      <c r="D41170" s="1">
        <v>7.5880133670443404E-6</v>
      </c>
      <c r="E41170" s="1">
        <v>4.3455399550671099E-6</v>
      </c>
      <c r="F41170" s="1">
        <v>1.52212255911978E-5</v>
      </c>
    </row>
    <row r="41171" spans="1:6" x14ac:dyDescent="0.25">
      <c r="A41171" s="2" t="str">
        <f t="shared" si="1305"/>
        <v>99999</v>
      </c>
      <c r="B41171" s="2" t="str">
        <f>"51049"</f>
        <v>51049</v>
      </c>
      <c r="C41171" s="1">
        <v>2.8812474229751901E-5</v>
      </c>
      <c r="D41171" s="1">
        <v>3.0352053468177301E-5</v>
      </c>
      <c r="E41171" s="1">
        <v>4.3455399550671099E-6</v>
      </c>
      <c r="F41171" s="1">
        <v>2.8353263356152899E-5</v>
      </c>
    </row>
    <row r="41172" spans="1:6" x14ac:dyDescent="0.25">
      <c r="A41172" s="2" t="str">
        <f t="shared" si="1305"/>
        <v>99999</v>
      </c>
      <c r="B41172" s="2" t="str">
        <f>"51022"</f>
        <v>51022</v>
      </c>
      <c r="C41172" s="1">
        <v>3.7980079666491197E-5</v>
      </c>
      <c r="D41172" s="1">
        <v>7.5880133670443404E-6</v>
      </c>
      <c r="E41172" s="1">
        <v>2.60732397304027E-5</v>
      </c>
      <c r="F41172" s="1">
        <v>3.5715163315294298E-5</v>
      </c>
    </row>
    <row r="41173" spans="1:6" x14ac:dyDescent="0.25">
      <c r="A41173" s="2" t="str">
        <f t="shared" si="1305"/>
        <v>99999</v>
      </c>
      <c r="B41173" s="2" t="str">
        <f>"51037"</f>
        <v>51037</v>
      </c>
      <c r="C41173" s="1">
        <v>1.87717635133232E-5</v>
      </c>
      <c r="D41173" s="1">
        <v>4.5528080202265997E-6</v>
      </c>
      <c r="E41173" s="1">
        <v>2.1727699775335501E-5</v>
      </c>
      <c r="F41173" s="1">
        <v>1.7907324224938601E-5</v>
      </c>
    </row>
    <row r="41174" spans="1:6" x14ac:dyDescent="0.25">
      <c r="A41174" s="2" t="str">
        <f t="shared" si="1305"/>
        <v>99999</v>
      </c>
      <c r="B41174" s="2" t="str">
        <f>"51041"</f>
        <v>51041</v>
      </c>
      <c r="C41174" s="1">
        <v>4.3055004104686098E-4</v>
      </c>
      <c r="D41174" s="1">
        <v>4.94738471531291E-4</v>
      </c>
      <c r="E41174" s="1">
        <v>7.0832301267594001E-4</v>
      </c>
      <c r="F41174" s="1">
        <v>4.41117086740989E-4</v>
      </c>
    </row>
    <row r="41175" spans="1:6" x14ac:dyDescent="0.25">
      <c r="A41175" s="2" t="str">
        <f t="shared" si="1305"/>
        <v>99999</v>
      </c>
      <c r="B41175" s="2" t="str">
        <f>"51036"</f>
        <v>51036</v>
      </c>
      <c r="C41175" s="1">
        <v>2.9903855829363701E-5</v>
      </c>
      <c r="D41175" s="1">
        <v>2.1246437427724101E-5</v>
      </c>
      <c r="E41175" s="1">
        <v>0</v>
      </c>
      <c r="F41175" s="1">
        <v>2.86517187599018E-5</v>
      </c>
    </row>
    <row r="41176" spans="1:6" x14ac:dyDescent="0.25">
      <c r="A41176" s="2" t="str">
        <f t="shared" si="1305"/>
        <v>99999</v>
      </c>
      <c r="B41176" s="2" t="str">
        <f>"51010"</f>
        <v>51010</v>
      </c>
      <c r="C41176" s="1">
        <v>2.8812474229751901E-5</v>
      </c>
      <c r="D41176" s="1">
        <v>7.5880133670443404E-6</v>
      </c>
      <c r="E41176" s="1">
        <v>4.3455399550671099E-6</v>
      </c>
      <c r="F41176" s="1">
        <v>2.6860986337408E-5</v>
      </c>
    </row>
    <row r="41177" spans="1:6" x14ac:dyDescent="0.25">
      <c r="A41177" s="2" t="str">
        <f t="shared" si="1305"/>
        <v>99999</v>
      </c>
      <c r="B41177" s="2" t="str">
        <f>"51005"</f>
        <v>51005</v>
      </c>
      <c r="C41177" s="1">
        <v>7.3122567173991701E-5</v>
      </c>
      <c r="D41177" s="1">
        <v>5.7668901589537E-5</v>
      </c>
      <c r="E41177" s="1">
        <v>3.0418779685469802E-5</v>
      </c>
      <c r="F41177" s="1">
        <v>7.1131871226839702E-5</v>
      </c>
    </row>
    <row r="41178" spans="1:6" x14ac:dyDescent="0.25">
      <c r="A41178" s="2" t="str">
        <f t="shared" si="1305"/>
        <v>99999</v>
      </c>
      <c r="B41178" s="2" t="str">
        <f>"51650"</f>
        <v>51650</v>
      </c>
      <c r="C41178" s="1">
        <v>2.08453885525857E-5</v>
      </c>
      <c r="D41178" s="1">
        <v>1.51760267340886E-6</v>
      </c>
      <c r="E41178" s="1">
        <v>1.3036619865201299E-5</v>
      </c>
      <c r="F41178" s="1">
        <v>1.9399601243683501E-5</v>
      </c>
    </row>
    <row r="41179" spans="1:6" x14ac:dyDescent="0.25">
      <c r="A41179" s="2" t="str">
        <f t="shared" si="1305"/>
        <v>99999</v>
      </c>
      <c r="B41179" s="2" t="str">
        <f>"51632"</f>
        <v>51632</v>
      </c>
      <c r="C41179" s="1">
        <v>3.30361210202497E-4</v>
      </c>
      <c r="D41179" s="1">
        <v>5.8427702926241401E-4</v>
      </c>
      <c r="E41179" s="1">
        <v>5.5188357429352298E-4</v>
      </c>
      <c r="F41179" s="1">
        <v>3.5207789128920998E-4</v>
      </c>
    </row>
    <row r="41180" spans="1:6" x14ac:dyDescent="0.25">
      <c r="A41180" s="2" t="str">
        <f t="shared" si="1305"/>
        <v>99999</v>
      </c>
      <c r="B41180" s="2" t="str">
        <f>"51601"</f>
        <v>51601</v>
      </c>
      <c r="C41180" s="1">
        <v>3.2861499964311798E-4</v>
      </c>
      <c r="D41180" s="1">
        <v>5.7668901589537E-4</v>
      </c>
      <c r="E41180" s="1">
        <v>4.9104601492258398E-4</v>
      </c>
      <c r="F41180" s="1">
        <v>3.4859591157880598E-4</v>
      </c>
    </row>
    <row r="41181" spans="1:6" x14ac:dyDescent="0.25">
      <c r="A41181" s="2" t="str">
        <f t="shared" si="1305"/>
        <v>99999</v>
      </c>
      <c r="B41181" s="2" t="str">
        <f>"51562"</f>
        <v>51562</v>
      </c>
      <c r="C41181" s="1">
        <v>2.30281517518093E-5</v>
      </c>
      <c r="D41181" s="1">
        <v>2.88344507947685E-5</v>
      </c>
      <c r="E41181" s="1">
        <v>8.69107991013423E-6</v>
      </c>
      <c r="F41181" s="1">
        <v>2.3080551223254198E-5</v>
      </c>
    </row>
    <row r="41182" spans="1:6" x14ac:dyDescent="0.25">
      <c r="A41182" s="2" t="str">
        <f t="shared" si="1305"/>
        <v>99999</v>
      </c>
      <c r="B41182" s="2" t="str">
        <f>"51558"</f>
        <v>51558</v>
      </c>
      <c r="C41182" s="1">
        <v>3.04495466291697E-5</v>
      </c>
      <c r="D41182" s="1">
        <v>3.6422464161812797E-5</v>
      </c>
      <c r="E41182" s="1">
        <v>8.69107991013423E-6</v>
      </c>
      <c r="F41182" s="1">
        <v>3.03429660478127E-5</v>
      </c>
    </row>
    <row r="41183" spans="1:6" x14ac:dyDescent="0.25">
      <c r="A41183" s="2" t="str">
        <f t="shared" si="1305"/>
        <v>99999</v>
      </c>
      <c r="B41183" s="2" t="str">
        <f>"51465"</f>
        <v>51465</v>
      </c>
      <c r="C41183" s="1">
        <v>3.5906454627228697E-5</v>
      </c>
      <c r="D41183" s="1">
        <v>7.5880133670443404E-6</v>
      </c>
      <c r="E41183" s="1">
        <v>3.0418779685469802E-5</v>
      </c>
      <c r="F41183" s="1">
        <v>3.3924430892800399E-5</v>
      </c>
    </row>
    <row r="41184" spans="1:6" x14ac:dyDescent="0.25">
      <c r="A41184" s="2" t="str">
        <f t="shared" si="1305"/>
        <v>99999</v>
      </c>
      <c r="B41184" s="2" t="str">
        <f>"51450"</f>
        <v>51450</v>
      </c>
      <c r="C41184" s="1">
        <v>1.15795587718813E-4</v>
      </c>
      <c r="D41184" s="1">
        <v>3.7940066835221703E-5</v>
      </c>
      <c r="E41184" s="1">
        <v>7.8219719191208097E-5</v>
      </c>
      <c r="F41184" s="1">
        <v>1.09831588579623E-4</v>
      </c>
    </row>
    <row r="41185" spans="1:6" x14ac:dyDescent="0.25">
      <c r="A41185" s="2" t="str">
        <f t="shared" si="1305"/>
        <v>99999</v>
      </c>
      <c r="B41185" s="2" t="str">
        <f>"51545"</f>
        <v>51545</v>
      </c>
      <c r="C41185" s="1">
        <v>1.85534871934008E-6</v>
      </c>
      <c r="D41185" s="1">
        <v>0</v>
      </c>
      <c r="E41185" s="1">
        <v>0</v>
      </c>
      <c r="F41185" s="1">
        <v>1.6912472879108699E-6</v>
      </c>
    </row>
    <row r="41186" spans="1:6" x14ac:dyDescent="0.25">
      <c r="A41186" s="2" t="str">
        <f t="shared" si="1305"/>
        <v>99999</v>
      </c>
      <c r="B41186" s="2" t="str">
        <f>"50835"</f>
        <v>50835</v>
      </c>
      <c r="C41186" s="1">
        <v>3.9289737586025402E-6</v>
      </c>
      <c r="D41186" s="1">
        <v>4.5528080202265997E-6</v>
      </c>
      <c r="E41186" s="1">
        <v>4.3455399550671099E-6</v>
      </c>
      <c r="F41186" s="1">
        <v>3.9794053833197E-6</v>
      </c>
    </row>
    <row r="41187" spans="1:6" x14ac:dyDescent="0.25">
      <c r="A41187" s="2" t="str">
        <f t="shared" si="1305"/>
        <v>99999</v>
      </c>
      <c r="B41187" s="2" t="str">
        <f>"51241"</f>
        <v>51241</v>
      </c>
      <c r="C41187" s="1">
        <v>8.3163277890420395E-5</v>
      </c>
      <c r="D41187" s="1">
        <v>1.8211232080906399E-5</v>
      </c>
      <c r="E41187" s="1">
        <v>3.9109859595604001E-5</v>
      </c>
      <c r="F41187" s="1">
        <v>7.7896860378483195E-5</v>
      </c>
    </row>
    <row r="41188" spans="1:6" x14ac:dyDescent="0.25">
      <c r="A41188" s="2" t="str">
        <f t="shared" si="1305"/>
        <v>99999</v>
      </c>
      <c r="B41188" s="2" t="str">
        <f>"50675"</f>
        <v>50675</v>
      </c>
      <c r="C41188" s="1">
        <v>1.23871811555941E-4</v>
      </c>
      <c r="D41188" s="1">
        <v>1.5631307536111301E-4</v>
      </c>
      <c r="E41188" s="1">
        <v>1.12984038831745E-4</v>
      </c>
      <c r="F41188" s="1">
        <v>1.2574921011290199E-4</v>
      </c>
    </row>
    <row r="41189" spans="1:6" x14ac:dyDescent="0.25">
      <c r="A41189" s="2" t="str">
        <f t="shared" si="1305"/>
        <v>99999</v>
      </c>
      <c r="B41189" s="2" t="str">
        <f>"50666"</f>
        <v>50666</v>
      </c>
      <c r="C41189" s="1">
        <v>5.1294935181755401E-6</v>
      </c>
      <c r="D41189" s="1">
        <v>0</v>
      </c>
      <c r="E41189" s="1">
        <v>0</v>
      </c>
      <c r="F41189" s="1">
        <v>4.6758013254006498E-6</v>
      </c>
    </row>
    <row r="41190" spans="1:6" x14ac:dyDescent="0.25">
      <c r="A41190" s="2" t="str">
        <f t="shared" si="1305"/>
        <v>99999</v>
      </c>
      <c r="B41190" s="2" t="str">
        <f>"50664"</f>
        <v>50664</v>
      </c>
      <c r="C41190" s="1">
        <v>6.0025987978649897E-6</v>
      </c>
      <c r="D41190" s="1">
        <v>1.66936294074975E-5</v>
      </c>
      <c r="E41190" s="1">
        <v>1.7382159820268399E-5</v>
      </c>
      <c r="F41190" s="1">
        <v>6.9639594208094801E-6</v>
      </c>
    </row>
    <row r="41191" spans="1:6" x14ac:dyDescent="0.25">
      <c r="A41191" s="2" t="str">
        <f t="shared" si="1305"/>
        <v>99999</v>
      </c>
      <c r="B41191" s="2" t="str">
        <f>"50661"</f>
        <v>50661</v>
      </c>
      <c r="C41191" s="1">
        <v>0</v>
      </c>
      <c r="D41191" s="1">
        <v>0</v>
      </c>
      <c r="E41191" s="1">
        <v>4.3455399550671099E-6</v>
      </c>
      <c r="F41191" s="1">
        <v>9.9485134582992598E-8</v>
      </c>
    </row>
    <row r="41192" spans="1:6" x14ac:dyDescent="0.25">
      <c r="A41192" s="2" t="str">
        <f t="shared" si="1305"/>
        <v>99999</v>
      </c>
      <c r="B41192" s="2" t="str">
        <f>"50658"</f>
        <v>50658</v>
      </c>
      <c r="C41192" s="1">
        <v>1.4308012770910899E-4</v>
      </c>
      <c r="D41192" s="1">
        <v>3.0352053468177301E-5</v>
      </c>
      <c r="E41192" s="1">
        <v>7.8219719191208097E-5</v>
      </c>
      <c r="F41192" s="1">
        <v>1.3420544655245699E-4</v>
      </c>
    </row>
    <row r="41193" spans="1:6" x14ac:dyDescent="0.25">
      <c r="A41193" s="2" t="str">
        <f t="shared" si="1305"/>
        <v>99999</v>
      </c>
      <c r="B41193" s="2" t="str">
        <f>"50654"</f>
        <v>50654</v>
      </c>
      <c r="C41193" s="1">
        <v>2.4228671511382299E-5</v>
      </c>
      <c r="D41193" s="1">
        <v>4.5528080202265997E-6</v>
      </c>
      <c r="E41193" s="1">
        <v>1.3036619865201299E-5</v>
      </c>
      <c r="F41193" s="1">
        <v>2.2682610684922299E-5</v>
      </c>
    </row>
    <row r="41194" spans="1:6" x14ac:dyDescent="0.25">
      <c r="A41194" s="2" t="str">
        <f t="shared" si="1305"/>
        <v>99999</v>
      </c>
      <c r="B41194" s="2" t="str">
        <f>"50653"</f>
        <v>50653</v>
      </c>
      <c r="C41194" s="1">
        <v>3.71069743868017E-5</v>
      </c>
      <c r="D41194" s="1">
        <v>1.8211232080906399E-5</v>
      </c>
      <c r="E41194" s="1">
        <v>1.7382159820268399E-5</v>
      </c>
      <c r="F41194" s="1">
        <v>3.5416707911545303E-5</v>
      </c>
    </row>
    <row r="41195" spans="1:6" x14ac:dyDescent="0.25">
      <c r="A41195" s="2" t="str">
        <f t="shared" si="1305"/>
        <v>99999</v>
      </c>
      <c r="B41195" s="2" t="str">
        <f>"50650"</f>
        <v>50650</v>
      </c>
      <c r="C41195" s="1">
        <v>3.5033349347539302E-5</v>
      </c>
      <c r="D41195" s="1">
        <v>7.5880133670443404E-6</v>
      </c>
      <c r="E41195" s="1">
        <v>2.1727699775335501E-5</v>
      </c>
      <c r="F41195" s="1">
        <v>3.2929579546970502E-5</v>
      </c>
    </row>
    <row r="41196" spans="1:6" x14ac:dyDescent="0.25">
      <c r="A41196" s="2" t="str">
        <f t="shared" si="1305"/>
        <v>99999</v>
      </c>
      <c r="B41196" s="2" t="str">
        <f>"50649"</f>
        <v>50649</v>
      </c>
      <c r="C41196" s="1">
        <v>1.6370723994177199E-6</v>
      </c>
      <c r="D41196" s="1">
        <v>1.3658424060679801E-5</v>
      </c>
      <c r="E41196" s="1">
        <v>4.3455399550671099E-6</v>
      </c>
      <c r="F41196" s="1">
        <v>2.48712836457481E-6</v>
      </c>
    </row>
    <row r="41197" spans="1:6" x14ac:dyDescent="0.25">
      <c r="A41197" s="2" t="str">
        <f t="shared" si="1305"/>
        <v>99999</v>
      </c>
      <c r="B41197" s="2" t="str">
        <f>"50644"</f>
        <v>50644</v>
      </c>
      <c r="C41197" s="1">
        <v>4.5543354151801098E-4</v>
      </c>
      <c r="D41197" s="1">
        <v>6.58639560259449E-4</v>
      </c>
      <c r="E41197" s="1">
        <v>6.1706667361953005E-4</v>
      </c>
      <c r="F41197" s="1">
        <v>4.7245490413463199E-4</v>
      </c>
    </row>
    <row r="41198" spans="1:6" x14ac:dyDescent="0.25">
      <c r="A41198" s="2" t="str">
        <f t="shared" si="1305"/>
        <v>99999</v>
      </c>
      <c r="B41198" s="2" t="str">
        <f>"50481"</f>
        <v>50481</v>
      </c>
      <c r="C41198" s="1">
        <v>2.8375921589907201E-6</v>
      </c>
      <c r="D41198" s="1">
        <v>6.0704106936354696E-6</v>
      </c>
      <c r="E41198" s="1">
        <v>0</v>
      </c>
      <c r="F41198" s="1">
        <v>2.9845540374897699E-6</v>
      </c>
    </row>
    <row r="41199" spans="1:6" x14ac:dyDescent="0.25">
      <c r="A41199" s="2" t="str">
        <f t="shared" si="1305"/>
        <v>99999</v>
      </c>
      <c r="B41199" s="2" t="str">
        <f>"50516"</f>
        <v>50516</v>
      </c>
      <c r="C41199" s="1">
        <v>2.8375921589907201E-6</v>
      </c>
      <c r="D41199" s="1">
        <v>0</v>
      </c>
      <c r="E41199" s="1">
        <v>0</v>
      </c>
      <c r="F41199" s="1">
        <v>2.5866134991578E-6</v>
      </c>
    </row>
    <row r="41200" spans="1:6" x14ac:dyDescent="0.25">
      <c r="A41200" s="2" t="str">
        <f t="shared" si="1305"/>
        <v>99999</v>
      </c>
      <c r="B41200" s="2" t="str">
        <f>"50519"</f>
        <v>50519</v>
      </c>
      <c r="C41200" s="1">
        <v>3.4596796707694601E-5</v>
      </c>
      <c r="D41200" s="1">
        <v>1.66936294074975E-5</v>
      </c>
      <c r="E41200" s="1">
        <v>5.21464794608054E-5</v>
      </c>
      <c r="F41200" s="1">
        <v>3.3824945758217401E-5</v>
      </c>
    </row>
    <row r="41201" spans="1:6" x14ac:dyDescent="0.25">
      <c r="A41201" s="2" t="str">
        <f t="shared" si="1305"/>
        <v>99999</v>
      </c>
      <c r="B41201" s="2" t="str">
        <f>"50511"</f>
        <v>50511</v>
      </c>
      <c r="C41201" s="1">
        <v>4.09595514334315E-4</v>
      </c>
      <c r="D41201" s="1">
        <v>8.8020955057714395E-4</v>
      </c>
      <c r="E41201" s="1">
        <v>7.7785165195701298E-4</v>
      </c>
      <c r="F41201" s="1">
        <v>4.4887692723846203E-4</v>
      </c>
    </row>
    <row r="41202" spans="1:6" x14ac:dyDescent="0.25">
      <c r="A41202" s="2" t="str">
        <f t="shared" si="1305"/>
        <v>99999</v>
      </c>
      <c r="B41202" s="2" t="str">
        <f>"50473"</f>
        <v>50473</v>
      </c>
      <c r="C41202" s="1">
        <v>1.386054631507E-5</v>
      </c>
      <c r="D41202" s="1">
        <v>1.5176026734088599E-5</v>
      </c>
      <c r="E41202" s="1">
        <v>0</v>
      </c>
      <c r="F41202" s="1">
        <v>1.36294634378699E-5</v>
      </c>
    </row>
    <row r="41203" spans="1:6" x14ac:dyDescent="0.25">
      <c r="A41203" s="2" t="str">
        <f t="shared" si="1305"/>
        <v>99999</v>
      </c>
      <c r="B41203" s="2" t="str">
        <f>"50468"</f>
        <v>50468</v>
      </c>
      <c r="C41203" s="1">
        <v>7.7488093572438996E-5</v>
      </c>
      <c r="D41203" s="1">
        <v>5.9186504262945899E-5</v>
      </c>
      <c r="E41203" s="1">
        <v>5.21464794608054E-5</v>
      </c>
      <c r="F41203" s="1">
        <v>7.5708187417657295E-5</v>
      </c>
    </row>
    <row r="41204" spans="1:6" x14ac:dyDescent="0.25">
      <c r="A41204" s="2" t="str">
        <f t="shared" si="1305"/>
        <v>99999</v>
      </c>
      <c r="B41204" s="2" t="str">
        <f>"50593"</f>
        <v>50593</v>
      </c>
      <c r="C41204" s="1">
        <v>4.8020790382919898E-6</v>
      </c>
      <c r="D41204" s="1">
        <v>6.0704106936354696E-6</v>
      </c>
      <c r="E41204" s="1">
        <v>0</v>
      </c>
      <c r="F41204" s="1">
        <v>4.7752864599836398E-6</v>
      </c>
    </row>
    <row r="41205" spans="1:6" x14ac:dyDescent="0.25">
      <c r="A41205" s="2" t="str">
        <f t="shared" si="1305"/>
        <v>99999</v>
      </c>
      <c r="B41205" s="2" t="str">
        <f>"50552"</f>
        <v>50552</v>
      </c>
      <c r="C41205" s="1">
        <v>3.3832829587966299E-6</v>
      </c>
      <c r="D41205" s="1">
        <v>0</v>
      </c>
      <c r="E41205" s="1">
        <v>4.3455399550671099E-6</v>
      </c>
      <c r="F41205" s="1">
        <v>3.1835243066557602E-6</v>
      </c>
    </row>
    <row r="41206" spans="1:6" x14ac:dyDescent="0.25">
      <c r="A41206" s="2" t="str">
        <f t="shared" si="1305"/>
        <v>99999</v>
      </c>
      <c r="B41206" s="2" t="str">
        <f>"50558"</f>
        <v>50558</v>
      </c>
      <c r="C41206" s="1">
        <v>3.6233869107112297E-5</v>
      </c>
      <c r="D41206" s="1">
        <v>1.5176026734088599E-5</v>
      </c>
      <c r="E41206" s="1">
        <v>3.0418779685469802E-5</v>
      </c>
      <c r="F41206" s="1">
        <v>3.4720311969464401E-5</v>
      </c>
    </row>
    <row r="41207" spans="1:6" x14ac:dyDescent="0.25">
      <c r="A41207" s="2" t="str">
        <f t="shared" si="1305"/>
        <v>99999</v>
      </c>
      <c r="B41207" s="2" t="str">
        <f>"50579"</f>
        <v>50579</v>
      </c>
      <c r="C41207" s="1">
        <v>1.3805977235089399E-4</v>
      </c>
      <c r="D41207" s="1">
        <v>2.18534784970877E-4</v>
      </c>
      <c r="E41207" s="1">
        <v>6.9528639281073799E-5</v>
      </c>
      <c r="F41207" s="1">
        <v>1.4176631678076401E-4</v>
      </c>
    </row>
    <row r="41208" spans="1:6" x14ac:dyDescent="0.25">
      <c r="A41208" s="2" t="str">
        <f t="shared" si="1305"/>
        <v>99999</v>
      </c>
      <c r="B41208" s="2" t="str">
        <f>"50567"</f>
        <v>50567</v>
      </c>
      <c r="C41208" s="1">
        <v>1.25508883955359E-5</v>
      </c>
      <c r="D41208" s="1">
        <v>1.51760267340886E-6</v>
      </c>
      <c r="E41208" s="1">
        <v>4.3455399550671099E-6</v>
      </c>
      <c r="F41208" s="1">
        <v>1.1639760746210099E-5</v>
      </c>
    </row>
    <row r="41209" spans="1:6" x14ac:dyDescent="0.25">
      <c r="A41209" s="2" t="str">
        <f t="shared" si="1305"/>
        <v>99999</v>
      </c>
      <c r="B41209" s="2" t="str">
        <f>"50559"</f>
        <v>50559</v>
      </c>
      <c r="C41209" s="1">
        <v>2.0190559592818601E-5</v>
      </c>
      <c r="D41209" s="1">
        <v>1.8211232080906399E-5</v>
      </c>
      <c r="E41209" s="1">
        <v>4.3455399550671099E-6</v>
      </c>
      <c r="F41209" s="1">
        <v>1.96980566474325E-5</v>
      </c>
    </row>
    <row r="41210" spans="1:6" x14ac:dyDescent="0.25">
      <c r="A41210" s="2" t="str">
        <f t="shared" si="1305"/>
        <v>99999</v>
      </c>
      <c r="B41210" s="2" t="str">
        <f>"50545"</f>
        <v>50545</v>
      </c>
      <c r="C41210" s="1">
        <v>1.1677783115846399E-5</v>
      </c>
      <c r="D41210" s="1">
        <v>1.51760267340886E-6</v>
      </c>
      <c r="E41210" s="1">
        <v>4.3455399550671099E-6</v>
      </c>
      <c r="F41210" s="1">
        <v>1.0843879669546099E-5</v>
      </c>
    </row>
    <row r="41211" spans="1:6" x14ac:dyDescent="0.25">
      <c r="A41211" s="2" t="str">
        <f t="shared" si="1305"/>
        <v>99999</v>
      </c>
      <c r="B41211" s="2" t="str">
        <f>"50427"</f>
        <v>50427</v>
      </c>
      <c r="C41211" s="1">
        <v>3.27414479883545E-6</v>
      </c>
      <c r="D41211" s="1">
        <v>3.0352053468177301E-6</v>
      </c>
      <c r="E41211" s="1">
        <v>4.3455399550671099E-6</v>
      </c>
      <c r="F41211" s="1">
        <v>3.2830094412387502E-6</v>
      </c>
    </row>
    <row r="41212" spans="1:6" x14ac:dyDescent="0.25">
      <c r="A41212" s="2" t="str">
        <f t="shared" si="1305"/>
        <v>99999</v>
      </c>
      <c r="B41212" s="2" t="str">
        <f>"50454"</f>
        <v>50454</v>
      </c>
      <c r="C41212" s="1">
        <v>6.9848422375156299E-6</v>
      </c>
      <c r="D41212" s="1">
        <v>4.5528080202265997E-6</v>
      </c>
      <c r="E41212" s="1">
        <v>4.3455399550671099E-6</v>
      </c>
      <c r="F41212" s="1">
        <v>6.7649891516434898E-6</v>
      </c>
    </row>
    <row r="41213" spans="1:6" x14ac:dyDescent="0.25">
      <c r="A41213" s="2" t="str">
        <f t="shared" si="1305"/>
        <v>99999</v>
      </c>
      <c r="B41213" s="2" t="str">
        <f>"50444"</f>
        <v>50444</v>
      </c>
      <c r="C41213" s="1">
        <v>1.09138159961181E-7</v>
      </c>
      <c r="D41213" s="1">
        <v>0</v>
      </c>
      <c r="E41213" s="1">
        <v>0</v>
      </c>
      <c r="F41213" s="1">
        <v>9.9485134582992598E-8</v>
      </c>
    </row>
    <row r="41214" spans="1:6" x14ac:dyDescent="0.25">
      <c r="A41214" s="2" t="str">
        <f t="shared" si="1305"/>
        <v>99999</v>
      </c>
      <c r="B41214" s="2" t="str">
        <f>"50435"</f>
        <v>50435</v>
      </c>
      <c r="C41214" s="1">
        <v>2.6847987350450699E-5</v>
      </c>
      <c r="D41214" s="1">
        <v>6.0704106936354696E-6</v>
      </c>
      <c r="E41214" s="1">
        <v>4.3455399550671099E-6</v>
      </c>
      <c r="F41214" s="1">
        <v>2.4970768780331099E-5</v>
      </c>
    </row>
    <row r="41215" spans="1:6" x14ac:dyDescent="0.25">
      <c r="A41215" s="2" t="str">
        <f t="shared" si="1305"/>
        <v>99999</v>
      </c>
      <c r="B41215" s="2" t="str">
        <f>"50461"</f>
        <v>50461</v>
      </c>
      <c r="C41215" s="1">
        <v>3.0253097941239501E-4</v>
      </c>
      <c r="D41215" s="1">
        <v>4.30999159248118E-4</v>
      </c>
      <c r="E41215" s="1">
        <v>2.6507793725909402E-4</v>
      </c>
      <c r="F41215" s="1">
        <v>3.1009516449518801E-4</v>
      </c>
    </row>
    <row r="41216" spans="1:6" x14ac:dyDescent="0.25">
      <c r="A41216" s="2" t="str">
        <f t="shared" si="1305"/>
        <v>99999</v>
      </c>
      <c r="B41216" s="2" t="str">
        <f>"50271"</f>
        <v>50271</v>
      </c>
      <c r="C41216" s="1">
        <v>3.53607638274228E-5</v>
      </c>
      <c r="D41216" s="1">
        <v>1.8211232080906399E-5</v>
      </c>
      <c r="E41216" s="1">
        <v>8.69107991013423E-6</v>
      </c>
      <c r="F41216" s="1">
        <v>3.3625975489051499E-5</v>
      </c>
    </row>
    <row r="41217" spans="1:6" x14ac:dyDescent="0.25">
      <c r="A41217" s="2" t="str">
        <f t="shared" si="1305"/>
        <v>99999</v>
      </c>
      <c r="B41217" s="2" t="str">
        <f>"50060"</f>
        <v>50060</v>
      </c>
      <c r="C41217" s="1">
        <v>1.3904201579054501E-4</v>
      </c>
      <c r="D41217" s="1">
        <v>2.42816427745419E-4</v>
      </c>
      <c r="E41217" s="1">
        <v>1.6078497833748299E-4</v>
      </c>
      <c r="F41217" s="1">
        <v>1.4634263297158201E-4</v>
      </c>
    </row>
    <row r="41218" spans="1:6" x14ac:dyDescent="0.25">
      <c r="A41218" s="2" t="str">
        <f t="shared" si="1305"/>
        <v>99999</v>
      </c>
      <c r="B41218" s="2" t="str">
        <f>"50022"</f>
        <v>50022</v>
      </c>
      <c r="C41218" s="1">
        <v>4.5008577167991297E-4</v>
      </c>
      <c r="D41218" s="1">
        <v>7.7094215809170503E-4</v>
      </c>
      <c r="E41218" s="1">
        <v>8.7345353096849004E-4</v>
      </c>
      <c r="F41218" s="1">
        <v>4.8081165543960303E-4</v>
      </c>
    </row>
    <row r="41219" spans="1:6" x14ac:dyDescent="0.25">
      <c r="A41219" s="2" t="str">
        <f t="shared" si="1305"/>
        <v>99999</v>
      </c>
      <c r="B41219" s="2" t="str">
        <f>"50250"</f>
        <v>50250</v>
      </c>
      <c r="C41219" s="1">
        <v>7.2686014534147E-5</v>
      </c>
      <c r="D41219" s="1">
        <v>7.7397736343852298E-5</v>
      </c>
      <c r="E41219" s="1">
        <v>6.9528639281073799E-5</v>
      </c>
      <c r="F41219" s="1">
        <v>7.2922603649333594E-5</v>
      </c>
    </row>
    <row r="41220" spans="1:6" x14ac:dyDescent="0.25">
      <c r="A41220" s="2" t="str">
        <f t="shared" si="1305"/>
        <v>99999</v>
      </c>
      <c r="B41220" s="2" t="str">
        <f>"50242"</f>
        <v>50242</v>
      </c>
      <c r="C41220" s="1">
        <v>2.19367701521975E-5</v>
      </c>
      <c r="D41220" s="1">
        <v>7.5880133670443404E-6</v>
      </c>
      <c r="E41220" s="1">
        <v>2.1727699775335501E-5</v>
      </c>
      <c r="F41220" s="1">
        <v>2.0991363397011399E-5</v>
      </c>
    </row>
    <row r="41221" spans="1:6" x14ac:dyDescent="0.25">
      <c r="A41221" s="2" t="str">
        <f t="shared" si="1305"/>
        <v>99999</v>
      </c>
      <c r="B41221" s="2" t="str">
        <f>"50139"</f>
        <v>50139</v>
      </c>
      <c r="C41221" s="1">
        <v>7.7488093572439E-6</v>
      </c>
      <c r="D41221" s="1">
        <v>0</v>
      </c>
      <c r="E41221" s="1">
        <v>0</v>
      </c>
      <c r="F41221" s="1">
        <v>7.0634445553924701E-6</v>
      </c>
    </row>
    <row r="41222" spans="1:6" x14ac:dyDescent="0.25">
      <c r="A41222" s="2" t="str">
        <f t="shared" si="1305"/>
        <v>99999</v>
      </c>
      <c r="B41222" s="2" t="str">
        <f>"50106"</f>
        <v>50106</v>
      </c>
      <c r="C41222" s="1">
        <v>5.6751843179814504E-6</v>
      </c>
      <c r="D41222" s="1">
        <v>0</v>
      </c>
      <c r="E41222" s="1">
        <v>0</v>
      </c>
      <c r="F41222" s="1">
        <v>5.1732269983156102E-6</v>
      </c>
    </row>
    <row r="41223" spans="1:6" x14ac:dyDescent="0.25">
      <c r="A41223" s="2" t="str">
        <f t="shared" si="1305"/>
        <v>99999</v>
      </c>
      <c r="B41223" s="2" t="str">
        <f>"50075"</f>
        <v>50075</v>
      </c>
      <c r="C41223" s="1">
        <v>4.5619750863773899E-5</v>
      </c>
      <c r="D41223" s="1">
        <v>3.3387258814995101E-5</v>
      </c>
      <c r="E41223" s="1">
        <v>6.5183099326006705E-5</v>
      </c>
      <c r="F41223" s="1">
        <v>4.52657362352616E-5</v>
      </c>
    </row>
    <row r="41224" spans="1:6" x14ac:dyDescent="0.25">
      <c r="A41224" s="2" t="str">
        <f t="shared" si="1305"/>
        <v>99999</v>
      </c>
      <c r="B41224" s="2" t="str">
        <f>"50070"</f>
        <v>50070</v>
      </c>
      <c r="C41224" s="1">
        <v>6.7665659175932598E-6</v>
      </c>
      <c r="D41224" s="1">
        <v>0</v>
      </c>
      <c r="E41224" s="1">
        <v>0</v>
      </c>
      <c r="F41224" s="1">
        <v>6.1680783441455402E-6</v>
      </c>
    </row>
    <row r="41225" spans="1:6" x14ac:dyDescent="0.25">
      <c r="A41225" s="2" t="str">
        <f t="shared" si="1305"/>
        <v>99999</v>
      </c>
      <c r="B41225" s="2" t="str">
        <f>"29918"</f>
        <v>29918</v>
      </c>
      <c r="C41225" s="1">
        <v>2.7393678150256602E-4</v>
      </c>
      <c r="D41225" s="1">
        <v>1.04714584465211E-4</v>
      </c>
      <c r="E41225" s="1">
        <v>1.82512678112818E-4</v>
      </c>
      <c r="F41225" s="1">
        <v>2.6075053774202302E-4</v>
      </c>
    </row>
    <row r="41226" spans="1:6" x14ac:dyDescent="0.25">
      <c r="A41226" s="2" t="str">
        <f t="shared" si="1305"/>
        <v>99999</v>
      </c>
      <c r="B41226" s="2" t="str">
        <f>"29813"</f>
        <v>29813</v>
      </c>
      <c r="C41226" s="1">
        <v>0</v>
      </c>
      <c r="D41226" s="1">
        <v>1.51760267340886E-6</v>
      </c>
      <c r="E41226" s="1">
        <v>0</v>
      </c>
      <c r="F41226" s="1">
        <v>9.9485134582992598E-8</v>
      </c>
    </row>
    <row r="41227" spans="1:6" x14ac:dyDescent="0.25">
      <c r="A41227" s="2" t="str">
        <f t="shared" si="1305"/>
        <v>99999</v>
      </c>
      <c r="B41227" s="2" t="str">
        <f>"29835"</f>
        <v>29835</v>
      </c>
      <c r="C41227" s="1">
        <v>3.8263838882390301E-4</v>
      </c>
      <c r="D41227" s="1">
        <v>2.2005238764428599E-4</v>
      </c>
      <c r="E41227" s="1">
        <v>2.0424037788815399E-4</v>
      </c>
      <c r="F41227" s="1">
        <v>3.6789602768790599E-4</v>
      </c>
    </row>
    <row r="41228" spans="1:6" x14ac:dyDescent="0.25">
      <c r="A41228" s="2" t="str">
        <f t="shared" si="1305"/>
        <v>99999</v>
      </c>
      <c r="B41228" s="2" t="str">
        <f>"29821"</f>
        <v>29821</v>
      </c>
      <c r="C41228" s="1">
        <v>4.0817671825481903E-5</v>
      </c>
      <c r="D41228" s="1">
        <v>2.88344507947685E-5</v>
      </c>
      <c r="E41228" s="1">
        <v>0</v>
      </c>
      <c r="F41228" s="1">
        <v>3.9097657891116098E-5</v>
      </c>
    </row>
    <row r="41229" spans="1:6" x14ac:dyDescent="0.25">
      <c r="A41229" s="2" t="str">
        <f t="shared" si="1305"/>
        <v>99999</v>
      </c>
      <c r="B41229" s="2" t="str">
        <f>"29590"</f>
        <v>29590</v>
      </c>
      <c r="C41229" s="1">
        <v>1.4504461458840999E-4</v>
      </c>
      <c r="D41229" s="1">
        <v>7.8915339017261203E-5</v>
      </c>
      <c r="E41229" s="1">
        <v>4.3455399550671099E-6</v>
      </c>
      <c r="F41229" s="1">
        <v>1.3748845599369499E-4</v>
      </c>
    </row>
    <row r="41230" spans="1:6" x14ac:dyDescent="0.25">
      <c r="A41230" s="2" t="str">
        <f t="shared" si="1305"/>
        <v>99999</v>
      </c>
      <c r="B41230" s="2" t="str">
        <f>"29525"</f>
        <v>29525</v>
      </c>
      <c r="C41230" s="1">
        <v>1.4187960794953601E-6</v>
      </c>
      <c r="D41230" s="1">
        <v>0</v>
      </c>
      <c r="E41230" s="1">
        <v>0</v>
      </c>
      <c r="F41230" s="1">
        <v>1.2933067495789E-6</v>
      </c>
    </row>
    <row r="41231" spans="1:6" x14ac:dyDescent="0.25">
      <c r="A41231" s="2" t="str">
        <f t="shared" si="1305"/>
        <v>99999</v>
      </c>
      <c r="B41231" s="2" t="str">
        <f>"29438"</f>
        <v>29438</v>
      </c>
      <c r="C41231" s="1">
        <v>1.3118406827334001E-4</v>
      </c>
      <c r="D41231" s="1">
        <v>9.2573763077941E-5</v>
      </c>
      <c r="E41231" s="1">
        <v>2.60732397304027E-5</v>
      </c>
      <c r="F41231" s="1">
        <v>1.26246635785817E-4</v>
      </c>
    </row>
    <row r="41232" spans="1:6" x14ac:dyDescent="0.25">
      <c r="A41232" s="2" t="str">
        <f t="shared" si="1305"/>
        <v>99999</v>
      </c>
      <c r="B41232" s="2" t="str">
        <f>"29003"</f>
        <v>29003</v>
      </c>
      <c r="C41232" s="1">
        <v>3.4924211187578098E-4</v>
      </c>
      <c r="D41232" s="1">
        <v>5.5847778381446303E-4</v>
      </c>
      <c r="E41232" s="1">
        <v>7.3874179236140894E-5</v>
      </c>
      <c r="F41232" s="1">
        <v>3.5665420748002798E-4</v>
      </c>
    </row>
    <row r="41233" spans="1:6" x14ac:dyDescent="0.25">
      <c r="A41233" s="2" t="str">
        <f t="shared" si="1305"/>
        <v>99999</v>
      </c>
      <c r="B41233" s="2" t="str">
        <f>"28909"</f>
        <v>28909</v>
      </c>
      <c r="C41233" s="1">
        <v>6.63560012563984E-5</v>
      </c>
      <c r="D41233" s="1">
        <v>2.1246437427724101E-5</v>
      </c>
      <c r="E41233" s="1">
        <v>0</v>
      </c>
      <c r="F41233" s="1">
        <v>6.1879753710621403E-5</v>
      </c>
    </row>
    <row r="41234" spans="1:6" x14ac:dyDescent="0.25">
      <c r="A41234" s="2" t="str">
        <f t="shared" ref="A41234:A41297" si="1306">"99999"</f>
        <v>99999</v>
      </c>
      <c r="B41234" s="2" t="str">
        <f>"28750"</f>
        <v>28750</v>
      </c>
      <c r="C41234" s="1">
        <v>0</v>
      </c>
      <c r="D41234" s="1">
        <v>0</v>
      </c>
      <c r="E41234" s="1">
        <v>8.69107991013423E-6</v>
      </c>
      <c r="F41234" s="1">
        <v>1.9897026916598501E-7</v>
      </c>
    </row>
    <row r="41235" spans="1:6" x14ac:dyDescent="0.25">
      <c r="A41235" s="2" t="str">
        <f t="shared" si="1306"/>
        <v>99999</v>
      </c>
      <c r="B41235" s="2" t="str">
        <f>"28740"</f>
        <v>28740</v>
      </c>
      <c r="C41235" s="1">
        <v>1.6130620042262601E-4</v>
      </c>
      <c r="D41235" s="1">
        <v>2.7316848121359601E-5</v>
      </c>
      <c r="E41235" s="1">
        <v>8.69107991013423E-6</v>
      </c>
      <c r="F41235" s="1">
        <v>1.49028731605322E-4</v>
      </c>
    </row>
    <row r="41236" spans="1:6" x14ac:dyDescent="0.25">
      <c r="A41236" s="2" t="str">
        <f t="shared" si="1306"/>
        <v>99999</v>
      </c>
      <c r="B41236" s="2" t="str">
        <f>"28672"</f>
        <v>28672</v>
      </c>
      <c r="C41236" s="1">
        <v>6.4391514377097196E-6</v>
      </c>
      <c r="D41236" s="1">
        <v>3.0352053468177301E-6</v>
      </c>
      <c r="E41236" s="1">
        <v>4.3455399550671099E-6</v>
      </c>
      <c r="F41236" s="1">
        <v>6.1680783441455402E-6</v>
      </c>
    </row>
    <row r="41237" spans="1:6" x14ac:dyDescent="0.25">
      <c r="A41237" s="2" t="str">
        <f t="shared" si="1306"/>
        <v>99999</v>
      </c>
      <c r="B41237" s="2" t="str">
        <f>"28663"</f>
        <v>28663</v>
      </c>
      <c r="C41237" s="1">
        <v>6.0135126138611098E-5</v>
      </c>
      <c r="D41237" s="1">
        <v>1.9728834754315301E-5</v>
      </c>
      <c r="E41237" s="1">
        <v>4.3455399550671099E-6</v>
      </c>
      <c r="F41237" s="1">
        <v>5.6209101039390799E-5</v>
      </c>
    </row>
    <row r="41238" spans="1:6" x14ac:dyDescent="0.25">
      <c r="A41238" s="2" t="str">
        <f t="shared" si="1306"/>
        <v>99999</v>
      </c>
      <c r="B41238" s="2" t="str">
        <f>"28578"</f>
        <v>28578</v>
      </c>
      <c r="C41238" s="1">
        <v>2.7721092630140101E-5</v>
      </c>
      <c r="D41238" s="1">
        <v>1.51760267340886E-6</v>
      </c>
      <c r="E41238" s="1">
        <v>0</v>
      </c>
      <c r="F41238" s="1">
        <v>2.53687093186631E-5</v>
      </c>
    </row>
    <row r="41239" spans="1:6" x14ac:dyDescent="0.25">
      <c r="A41239" s="2" t="str">
        <f t="shared" si="1306"/>
        <v>99999</v>
      </c>
      <c r="B41239" s="2" t="str">
        <f>"28432"</f>
        <v>28432</v>
      </c>
      <c r="C41239" s="1">
        <v>9.9970554524442403E-5</v>
      </c>
      <c r="D41239" s="1">
        <v>3.4904861488403899E-5</v>
      </c>
      <c r="E41239" s="1">
        <v>0</v>
      </c>
      <c r="F41239" s="1">
        <v>9.3416541373430001E-5</v>
      </c>
    </row>
    <row r="41240" spans="1:6" x14ac:dyDescent="0.25">
      <c r="A41240" s="2" t="str">
        <f t="shared" si="1306"/>
        <v>99999</v>
      </c>
      <c r="B41240" s="2" t="str">
        <f>"28518"</f>
        <v>28518</v>
      </c>
      <c r="C41240" s="1">
        <v>3.53825914594151E-4</v>
      </c>
      <c r="D41240" s="1">
        <v>3.5208382023085697E-4</v>
      </c>
      <c r="E41240" s="1">
        <v>5.21464794608054E-5</v>
      </c>
      <c r="F41240" s="1">
        <v>3.4680517915631202E-4</v>
      </c>
    </row>
    <row r="41241" spans="1:6" x14ac:dyDescent="0.25">
      <c r="A41241" s="2" t="str">
        <f t="shared" si="1306"/>
        <v>99999</v>
      </c>
      <c r="B41241" s="2" t="str">
        <f>"28508"</f>
        <v>28508</v>
      </c>
      <c r="C41241" s="1">
        <v>1.04663495402773E-4</v>
      </c>
      <c r="D41241" s="1">
        <v>2.7316848121359601E-5</v>
      </c>
      <c r="E41241" s="1">
        <v>0</v>
      </c>
      <c r="F41241" s="1">
        <v>9.7196976487583795E-5</v>
      </c>
    </row>
    <row r="41242" spans="1:6" x14ac:dyDescent="0.25">
      <c r="A41242" s="2" t="str">
        <f t="shared" si="1306"/>
        <v>99999</v>
      </c>
      <c r="B41242" s="2" t="str">
        <f>"28338"</f>
        <v>28338</v>
      </c>
      <c r="C41242" s="1">
        <v>5.4569079980590801E-7</v>
      </c>
      <c r="D41242" s="1">
        <v>0</v>
      </c>
      <c r="E41242" s="1">
        <v>0</v>
      </c>
      <c r="F41242" s="1">
        <v>4.9742567291496303E-7</v>
      </c>
    </row>
    <row r="41243" spans="1:6" x14ac:dyDescent="0.25">
      <c r="A41243" s="2" t="str">
        <f t="shared" si="1306"/>
        <v>99999</v>
      </c>
      <c r="B41243" s="2" t="str">
        <f>"28366"</f>
        <v>28366</v>
      </c>
      <c r="C41243" s="1">
        <v>2.0779905656608999E-4</v>
      </c>
      <c r="D41243" s="1">
        <v>1.07749789812029E-4</v>
      </c>
      <c r="E41243" s="1">
        <v>3.0418779685469802E-5</v>
      </c>
      <c r="F41243" s="1">
        <v>1.9717953674349101E-4</v>
      </c>
    </row>
    <row r="41244" spans="1:6" x14ac:dyDescent="0.25">
      <c r="A41244" s="2" t="str">
        <f t="shared" si="1306"/>
        <v>99999</v>
      </c>
      <c r="B41244" s="2" t="str">
        <f>"28306"</f>
        <v>28306</v>
      </c>
      <c r="C41244" s="1">
        <v>8.0762238371274393E-6</v>
      </c>
      <c r="D41244" s="1">
        <v>3.0352053468177301E-6</v>
      </c>
      <c r="E41244" s="1">
        <v>0</v>
      </c>
      <c r="F41244" s="1">
        <v>7.5608702283074398E-6</v>
      </c>
    </row>
    <row r="41245" spans="1:6" x14ac:dyDescent="0.25">
      <c r="A41245" s="2" t="str">
        <f t="shared" si="1306"/>
        <v>99999</v>
      </c>
      <c r="B41245" s="2" t="str">
        <f>"28349"</f>
        <v>28349</v>
      </c>
      <c r="C41245" s="1">
        <v>1.7374795065820101E-4</v>
      </c>
      <c r="D41245" s="1">
        <v>1.54795472687704E-4</v>
      </c>
      <c r="E41245" s="1">
        <v>8.69107991013423E-6</v>
      </c>
      <c r="F41245" s="1">
        <v>1.6872678825275499E-4</v>
      </c>
    </row>
    <row r="41246" spans="1:6" x14ac:dyDescent="0.25">
      <c r="A41246" s="2" t="str">
        <f t="shared" si="1306"/>
        <v>99999</v>
      </c>
      <c r="B41246" s="2" t="str">
        <f>"28344"</f>
        <v>28344</v>
      </c>
      <c r="C41246" s="1">
        <v>1.04117804602967E-4</v>
      </c>
      <c r="D41246" s="1">
        <v>2.88344507947685E-5</v>
      </c>
      <c r="E41246" s="1">
        <v>0</v>
      </c>
      <c r="F41246" s="1">
        <v>9.6799035949251801E-5</v>
      </c>
    </row>
    <row r="41247" spans="1:6" x14ac:dyDescent="0.25">
      <c r="A41247" s="2" t="str">
        <f t="shared" si="1306"/>
        <v>99999</v>
      </c>
      <c r="B41247" s="2" t="str">
        <f>"27942"</f>
        <v>27942</v>
      </c>
      <c r="C41247" s="1">
        <v>3.3832829587966299E-5</v>
      </c>
      <c r="D41247" s="1">
        <v>1.3658424060679801E-5</v>
      </c>
      <c r="E41247" s="1">
        <v>0</v>
      </c>
      <c r="F41247" s="1">
        <v>3.1735757931974601E-5</v>
      </c>
    </row>
    <row r="41248" spans="1:6" x14ac:dyDescent="0.25">
      <c r="A41248" s="2" t="str">
        <f t="shared" si="1306"/>
        <v>99999</v>
      </c>
      <c r="B41248" s="2" t="str">
        <f>"27986"</f>
        <v>27986</v>
      </c>
      <c r="C41248" s="1">
        <v>5.5878737900124998E-5</v>
      </c>
      <c r="D41248" s="1">
        <v>6.37393122831725E-5</v>
      </c>
      <c r="E41248" s="1">
        <v>2.1727699775335501E-5</v>
      </c>
      <c r="F41248" s="1">
        <v>5.5612190231892801E-5</v>
      </c>
    </row>
    <row r="41249" spans="1:6" x14ac:dyDescent="0.25">
      <c r="A41249" s="2" t="str">
        <f t="shared" si="1306"/>
        <v>99999</v>
      </c>
      <c r="B41249" s="2" t="str">
        <f>"27828"</f>
        <v>27828</v>
      </c>
      <c r="C41249" s="1">
        <v>4.9985277262221202E-5</v>
      </c>
      <c r="D41249" s="1">
        <v>1.3658424060679801E-5</v>
      </c>
      <c r="E41249" s="1">
        <v>0</v>
      </c>
      <c r="F41249" s="1">
        <v>4.6459557850257501E-5</v>
      </c>
    </row>
    <row r="41250" spans="1:6" x14ac:dyDescent="0.25">
      <c r="A41250" s="2" t="str">
        <f t="shared" si="1306"/>
        <v>99999</v>
      </c>
      <c r="B41250" s="2" t="str">
        <f>"27889"</f>
        <v>27889</v>
      </c>
      <c r="C41250" s="1">
        <v>3.7106974386801701E-6</v>
      </c>
      <c r="D41250" s="1">
        <v>0</v>
      </c>
      <c r="E41250" s="1">
        <v>0</v>
      </c>
      <c r="F41250" s="1">
        <v>3.3824945758217398E-6</v>
      </c>
    </row>
    <row r="41251" spans="1:6" x14ac:dyDescent="0.25">
      <c r="A41251" s="2" t="str">
        <f t="shared" si="1306"/>
        <v>99999</v>
      </c>
      <c r="B41251" s="2" t="str">
        <f>"27812"</f>
        <v>27812</v>
      </c>
      <c r="C41251" s="1">
        <v>2.4010395191459898E-6</v>
      </c>
      <c r="D41251" s="1">
        <v>0</v>
      </c>
      <c r="E41251" s="1">
        <v>0</v>
      </c>
      <c r="F41251" s="1">
        <v>2.1886729608258301E-6</v>
      </c>
    </row>
    <row r="41252" spans="1:6" x14ac:dyDescent="0.25">
      <c r="A41252" s="2" t="str">
        <f t="shared" si="1306"/>
        <v>99999</v>
      </c>
      <c r="B41252" s="2" t="str">
        <f>"27594"</f>
        <v>27594</v>
      </c>
      <c r="C41252" s="1">
        <v>0</v>
      </c>
      <c r="D41252" s="1">
        <v>1.51760267340886E-6</v>
      </c>
      <c r="E41252" s="1">
        <v>0</v>
      </c>
      <c r="F41252" s="1">
        <v>9.9485134582992598E-8</v>
      </c>
    </row>
    <row r="41253" spans="1:6" x14ac:dyDescent="0.25">
      <c r="A41253" s="2" t="str">
        <f t="shared" si="1306"/>
        <v>99999</v>
      </c>
      <c r="B41253" s="2" t="str">
        <f>"27537"</f>
        <v>27537</v>
      </c>
      <c r="C41253" s="1">
        <v>2.13910793523916E-5</v>
      </c>
      <c r="D41253" s="1">
        <v>7.5880133670443404E-6</v>
      </c>
      <c r="E41253" s="1">
        <v>4.3455399550671099E-6</v>
      </c>
      <c r="F41253" s="1">
        <v>2.00959971857645E-5</v>
      </c>
    </row>
    <row r="41254" spans="1:6" x14ac:dyDescent="0.25">
      <c r="A41254" s="2" t="str">
        <f t="shared" si="1306"/>
        <v>99999</v>
      </c>
      <c r="B41254" s="2" t="str">
        <f>"27247"</f>
        <v>27247</v>
      </c>
      <c r="C41254" s="1">
        <v>0</v>
      </c>
      <c r="D41254" s="1">
        <v>0</v>
      </c>
      <c r="E41254" s="1">
        <v>4.3455399550671099E-6</v>
      </c>
      <c r="F41254" s="1">
        <v>9.9485134582992598E-8</v>
      </c>
    </row>
    <row r="41255" spans="1:6" x14ac:dyDescent="0.25">
      <c r="A41255" s="2" t="str">
        <f t="shared" si="1306"/>
        <v>99999</v>
      </c>
      <c r="B41255" s="2" t="str">
        <f>"26851"</f>
        <v>26851</v>
      </c>
      <c r="C41255" s="1">
        <v>1.0073452164417E-4</v>
      </c>
      <c r="D41255" s="1">
        <v>1.5176026734088599E-5</v>
      </c>
      <c r="E41255" s="1">
        <v>1.3036619865201299E-5</v>
      </c>
      <c r="F41255" s="1">
        <v>9.3118085969681107E-5</v>
      </c>
    </row>
    <row r="41256" spans="1:6" x14ac:dyDescent="0.25">
      <c r="A41256" s="2" t="str">
        <f t="shared" si="1306"/>
        <v>99999</v>
      </c>
      <c r="B41256" s="2" t="str">
        <f>"26378"</f>
        <v>26378</v>
      </c>
      <c r="C41256" s="1">
        <v>1.5661325954429499E-4</v>
      </c>
      <c r="D41256" s="1">
        <v>1.6541869140156601E-4</v>
      </c>
      <c r="E41256" s="1">
        <v>8.69107991013423E-5</v>
      </c>
      <c r="F41256" s="1">
        <v>1.555947504878E-4</v>
      </c>
    </row>
    <row r="41257" spans="1:6" x14ac:dyDescent="0.25">
      <c r="A41257" s="2" t="str">
        <f t="shared" si="1306"/>
        <v>99999</v>
      </c>
      <c r="B41257" s="2" t="str">
        <f>"26342"</f>
        <v>26342</v>
      </c>
      <c r="C41257" s="1">
        <v>3.0558684789130797E-5</v>
      </c>
      <c r="D41257" s="1">
        <v>6.0704106936354696E-6</v>
      </c>
      <c r="E41257" s="1">
        <v>4.3455399550671099E-6</v>
      </c>
      <c r="F41257" s="1">
        <v>2.8353263356152899E-5</v>
      </c>
    </row>
    <row r="41258" spans="1:6" x14ac:dyDescent="0.25">
      <c r="A41258" s="2" t="str">
        <f t="shared" si="1306"/>
        <v>99999</v>
      </c>
      <c r="B41258" s="2" t="str">
        <f>"26720"</f>
        <v>26720</v>
      </c>
      <c r="C41258" s="1">
        <v>7.0939803974768102E-6</v>
      </c>
      <c r="D41258" s="1">
        <v>4.5528080202265997E-6</v>
      </c>
      <c r="E41258" s="1">
        <v>0</v>
      </c>
      <c r="F41258" s="1">
        <v>6.7649891516434898E-6</v>
      </c>
    </row>
    <row r="41259" spans="1:6" x14ac:dyDescent="0.25">
      <c r="A41259" s="2" t="str">
        <f t="shared" si="1306"/>
        <v>99999</v>
      </c>
      <c r="B41259" s="2" t="str">
        <f>"26739"</f>
        <v>26739</v>
      </c>
      <c r="C41259" s="1">
        <v>4.07085336655207E-5</v>
      </c>
      <c r="D41259" s="1">
        <v>1.66936294074975E-5</v>
      </c>
      <c r="E41259" s="1">
        <v>8.69107991013423E-6</v>
      </c>
      <c r="F41259" s="1">
        <v>3.8401261949035102E-5</v>
      </c>
    </row>
    <row r="41260" spans="1:6" x14ac:dyDescent="0.25">
      <c r="A41260" s="2" t="str">
        <f t="shared" si="1306"/>
        <v>99999</v>
      </c>
      <c r="B41260" s="2" t="str">
        <f>"26717"</f>
        <v>26717</v>
      </c>
      <c r="C41260" s="1">
        <v>7.7488093572439E-6</v>
      </c>
      <c r="D41260" s="1">
        <v>4.5528080202265997E-6</v>
      </c>
      <c r="E41260" s="1">
        <v>0</v>
      </c>
      <c r="F41260" s="1">
        <v>7.3618999591414504E-6</v>
      </c>
    </row>
    <row r="41261" spans="1:6" x14ac:dyDescent="0.25">
      <c r="A41261" s="2" t="str">
        <f t="shared" si="1306"/>
        <v>99999</v>
      </c>
      <c r="B41261" s="2" t="str">
        <f>"26662"</f>
        <v>26662</v>
      </c>
      <c r="C41261" s="1">
        <v>1.51702042346042E-5</v>
      </c>
      <c r="D41261" s="1">
        <v>1.51760267340886E-6</v>
      </c>
      <c r="E41261" s="1">
        <v>0</v>
      </c>
      <c r="F41261" s="1">
        <v>1.3927918841618899E-5</v>
      </c>
    </row>
    <row r="41262" spans="1:6" x14ac:dyDescent="0.25">
      <c r="A41262" s="2" t="str">
        <f t="shared" si="1306"/>
        <v>99999</v>
      </c>
      <c r="B41262" s="2" t="str">
        <f>"26619"</f>
        <v>26619</v>
      </c>
      <c r="C41262" s="1">
        <v>3.2741447988354499E-5</v>
      </c>
      <c r="D41262" s="1">
        <v>4.5528080202265997E-6</v>
      </c>
      <c r="E41262" s="1">
        <v>0</v>
      </c>
      <c r="F41262" s="1">
        <v>3.01439957786467E-5</v>
      </c>
    </row>
    <row r="41263" spans="1:6" x14ac:dyDescent="0.25">
      <c r="A41263" s="2" t="str">
        <f t="shared" si="1306"/>
        <v>99999</v>
      </c>
      <c r="B41263" s="2" t="str">
        <f>"26611"</f>
        <v>26611</v>
      </c>
      <c r="C41263" s="1">
        <v>1.4842789754720701E-5</v>
      </c>
      <c r="D41263" s="1">
        <v>3.0352053468177301E-6</v>
      </c>
      <c r="E41263" s="1">
        <v>4.3455399550671099E-6</v>
      </c>
      <c r="F41263" s="1">
        <v>1.3828433707035901E-5</v>
      </c>
    </row>
    <row r="41264" spans="1:6" x14ac:dyDescent="0.25">
      <c r="A41264" s="2" t="str">
        <f t="shared" si="1306"/>
        <v>99999</v>
      </c>
      <c r="B41264" s="2" t="str">
        <f>"26581"</f>
        <v>26581</v>
      </c>
      <c r="C41264" s="1">
        <v>4.8566481182725801E-5</v>
      </c>
      <c r="D41264" s="1">
        <v>7.5880133670443404E-6</v>
      </c>
      <c r="E41264" s="1">
        <v>0</v>
      </c>
      <c r="F41264" s="1">
        <v>4.47683105623466E-5</v>
      </c>
    </row>
    <row r="41265" spans="1:6" x14ac:dyDescent="0.25">
      <c r="A41265" s="2" t="str">
        <f t="shared" si="1306"/>
        <v>99999</v>
      </c>
      <c r="B41265" s="2" t="str">
        <f>"26270"</f>
        <v>26270</v>
      </c>
      <c r="C41265" s="1">
        <v>8.7310527968945299E-7</v>
      </c>
      <c r="D41265" s="1">
        <v>1.51760267340886E-6</v>
      </c>
      <c r="E41265" s="1">
        <v>0</v>
      </c>
      <c r="F41265" s="1">
        <v>8.9536621124693305E-7</v>
      </c>
    </row>
    <row r="41266" spans="1:6" x14ac:dyDescent="0.25">
      <c r="A41266" s="2" t="str">
        <f t="shared" si="1306"/>
        <v>99999</v>
      </c>
      <c r="B41266" s="2" t="str">
        <f>"26288"</f>
        <v>26288</v>
      </c>
      <c r="C41266" s="1">
        <v>2.32027728077472E-4</v>
      </c>
      <c r="D41266" s="1">
        <v>1.8970033417610801E-4</v>
      </c>
      <c r="E41266" s="1">
        <v>1.73821598202684E-4</v>
      </c>
      <c r="F41266" s="1">
        <v>2.27920443329636E-4</v>
      </c>
    </row>
    <row r="41267" spans="1:6" x14ac:dyDescent="0.25">
      <c r="A41267" s="2" t="str">
        <f t="shared" si="1306"/>
        <v>99999</v>
      </c>
      <c r="B41267" s="2" t="str">
        <f>"26287"</f>
        <v>26287</v>
      </c>
      <c r="C41267" s="1">
        <v>1.7549416121758E-4</v>
      </c>
      <c r="D41267" s="1">
        <v>2.3522841437837401E-4</v>
      </c>
      <c r="E41267" s="1">
        <v>1.0429295892161E-4</v>
      </c>
      <c r="F41267" s="1">
        <v>1.7777993549980699E-4</v>
      </c>
    </row>
    <row r="41268" spans="1:6" x14ac:dyDescent="0.25">
      <c r="A41268" s="2" t="str">
        <f t="shared" si="1306"/>
        <v>99999</v>
      </c>
      <c r="B41268" s="2" t="str">
        <f>"26237"</f>
        <v>26237</v>
      </c>
      <c r="C41268" s="1">
        <v>3.5797316467267603E-5</v>
      </c>
      <c r="D41268" s="1">
        <v>4.5528080202265997E-6</v>
      </c>
      <c r="E41268" s="1">
        <v>0</v>
      </c>
      <c r="F41268" s="1">
        <v>3.2929579546970502E-5</v>
      </c>
    </row>
    <row r="41269" spans="1:6" x14ac:dyDescent="0.25">
      <c r="A41269" s="2" t="str">
        <f t="shared" si="1306"/>
        <v>99999</v>
      </c>
      <c r="B41269" s="2" t="str">
        <f>"26443"</f>
        <v>26443</v>
      </c>
      <c r="C41269" s="1">
        <v>1.06955396761958E-5</v>
      </c>
      <c r="D41269" s="1">
        <v>3.0352053468177301E-6</v>
      </c>
      <c r="E41269" s="1">
        <v>4.3455399550671099E-6</v>
      </c>
      <c r="F41269" s="1">
        <v>1.0047998592882199E-5</v>
      </c>
    </row>
    <row r="41270" spans="1:6" x14ac:dyDescent="0.25">
      <c r="A41270" s="2" t="str">
        <f t="shared" si="1306"/>
        <v>99999</v>
      </c>
      <c r="B41270" s="2" t="str">
        <f>"26210"</f>
        <v>26210</v>
      </c>
      <c r="C41270" s="1">
        <v>4.0381119185637197E-6</v>
      </c>
      <c r="D41270" s="1">
        <v>3.0352053468177301E-6</v>
      </c>
      <c r="E41270" s="1">
        <v>0</v>
      </c>
      <c r="F41270" s="1">
        <v>3.87992024873671E-6</v>
      </c>
    </row>
    <row r="41271" spans="1:6" x14ac:dyDescent="0.25">
      <c r="A41271" s="2" t="str">
        <f t="shared" si="1306"/>
        <v>99999</v>
      </c>
      <c r="B41271" s="2" t="str">
        <f>"26208"</f>
        <v>26208</v>
      </c>
      <c r="C41271" s="1">
        <v>4.3764402144433798E-5</v>
      </c>
      <c r="D41271" s="1">
        <v>0</v>
      </c>
      <c r="E41271" s="1">
        <v>4.3455399550671099E-6</v>
      </c>
      <c r="F41271" s="1">
        <v>3.9993024102362997E-5</v>
      </c>
    </row>
    <row r="41272" spans="1:6" x14ac:dyDescent="0.25">
      <c r="A41272" s="2" t="str">
        <f t="shared" si="1306"/>
        <v>99999</v>
      </c>
      <c r="B41272" s="2" t="str">
        <f>"26175"</f>
        <v>26175</v>
      </c>
      <c r="C41272" s="1">
        <v>2.30063241198171E-4</v>
      </c>
      <c r="D41272" s="1">
        <v>1.8970033417610801E-4</v>
      </c>
      <c r="E41272" s="1">
        <v>7.8219719191208097E-5</v>
      </c>
      <c r="F41272" s="1">
        <v>2.23941037946316E-4</v>
      </c>
    </row>
    <row r="41273" spans="1:6" x14ac:dyDescent="0.25">
      <c r="A41273" s="2" t="str">
        <f t="shared" si="1306"/>
        <v>99999</v>
      </c>
      <c r="B41273" s="2" t="str">
        <f>"25825"</f>
        <v>25825</v>
      </c>
      <c r="C41273" s="1">
        <v>2.8375921589907201E-6</v>
      </c>
      <c r="D41273" s="1">
        <v>0</v>
      </c>
      <c r="E41273" s="1">
        <v>0</v>
      </c>
      <c r="F41273" s="1">
        <v>2.5866134991578E-6</v>
      </c>
    </row>
    <row r="41274" spans="1:6" x14ac:dyDescent="0.25">
      <c r="A41274" s="2" t="str">
        <f t="shared" si="1306"/>
        <v>99999</v>
      </c>
      <c r="B41274" s="2" t="str">
        <f>"25696"</f>
        <v>25696</v>
      </c>
      <c r="C41274" s="1">
        <v>0</v>
      </c>
      <c r="D41274" s="1">
        <v>1.51760267340886E-6</v>
      </c>
      <c r="E41274" s="1">
        <v>0</v>
      </c>
      <c r="F41274" s="1">
        <v>9.9485134582992598E-8</v>
      </c>
    </row>
    <row r="41275" spans="1:6" x14ac:dyDescent="0.25">
      <c r="A41275" s="2" t="str">
        <f t="shared" si="1306"/>
        <v>99999</v>
      </c>
      <c r="B41275" s="2" t="str">
        <f>"25690"</f>
        <v>25690</v>
      </c>
      <c r="C41275" s="1">
        <v>0</v>
      </c>
      <c r="D41275" s="1">
        <v>1.51760267340886E-6</v>
      </c>
      <c r="E41275" s="1">
        <v>0</v>
      </c>
      <c r="F41275" s="1">
        <v>9.9485134582992598E-8</v>
      </c>
    </row>
    <row r="41276" spans="1:6" x14ac:dyDescent="0.25">
      <c r="A41276" s="2" t="str">
        <f t="shared" si="1306"/>
        <v>99999</v>
      </c>
      <c r="B41276" s="2" t="str">
        <f>"25608"</f>
        <v>25608</v>
      </c>
      <c r="C41276" s="1">
        <v>3.1868342708665002E-5</v>
      </c>
      <c r="D41276" s="1">
        <v>9.1056160404532095E-6</v>
      </c>
      <c r="E41276" s="1">
        <v>0</v>
      </c>
      <c r="F41276" s="1">
        <v>2.9646570105731799E-5</v>
      </c>
    </row>
    <row r="41277" spans="1:6" x14ac:dyDescent="0.25">
      <c r="A41277" s="2" t="str">
        <f t="shared" si="1306"/>
        <v>99999</v>
      </c>
      <c r="B41277" s="2" t="str">
        <f>"26162"</f>
        <v>26162</v>
      </c>
      <c r="C41277" s="1">
        <v>1.03681251963122E-5</v>
      </c>
      <c r="D41277" s="1">
        <v>0</v>
      </c>
      <c r="E41277" s="1">
        <v>4.3455399550671099E-6</v>
      </c>
      <c r="F41277" s="1">
        <v>9.5505729199672898E-6</v>
      </c>
    </row>
    <row r="41278" spans="1:6" x14ac:dyDescent="0.25">
      <c r="A41278" s="2" t="str">
        <f t="shared" si="1306"/>
        <v>99999</v>
      </c>
      <c r="B41278" s="2" t="str">
        <f>"26143"</f>
        <v>26143</v>
      </c>
      <c r="C41278" s="1">
        <v>1.0913815996118101E-6</v>
      </c>
      <c r="D41278" s="1">
        <v>0</v>
      </c>
      <c r="E41278" s="1">
        <v>0</v>
      </c>
      <c r="F41278" s="1">
        <v>9.9485134582992606E-7</v>
      </c>
    </row>
    <row r="41279" spans="1:6" x14ac:dyDescent="0.25">
      <c r="A41279" s="2" t="str">
        <f t="shared" si="1306"/>
        <v>99999</v>
      </c>
      <c r="B41279" s="2" t="str">
        <f>"26155"</f>
        <v>26155</v>
      </c>
      <c r="C41279" s="1">
        <v>6.0015074162653799E-4</v>
      </c>
      <c r="D41279" s="1">
        <v>6.5256914956581295E-4</v>
      </c>
      <c r="E41279" s="1">
        <v>3.6502535622563698E-4</v>
      </c>
      <c r="F41279" s="1">
        <v>5.9820411424753403E-4</v>
      </c>
    </row>
    <row r="41280" spans="1:6" x14ac:dyDescent="0.25">
      <c r="A41280" s="2" t="str">
        <f t="shared" si="1306"/>
        <v>99999</v>
      </c>
      <c r="B41280" s="2" t="str">
        <f>"25972"</f>
        <v>25972</v>
      </c>
      <c r="C41280" s="1">
        <v>1.09138159961181E-7</v>
      </c>
      <c r="D41280" s="1">
        <v>0</v>
      </c>
      <c r="E41280" s="1">
        <v>4.3455399550671099E-6</v>
      </c>
      <c r="F41280" s="1">
        <v>1.9897026916598501E-7</v>
      </c>
    </row>
    <row r="41281" spans="1:6" x14ac:dyDescent="0.25">
      <c r="A41281" s="2" t="str">
        <f t="shared" si="1306"/>
        <v>99999</v>
      </c>
      <c r="B41281" s="2" t="str">
        <f>"25979"</f>
        <v>25979</v>
      </c>
      <c r="C41281" s="1">
        <v>4.8784757502648199E-5</v>
      </c>
      <c r="D41281" s="1">
        <v>1.0623218713862E-5</v>
      </c>
      <c r="E41281" s="1">
        <v>4.3455399550671099E-6</v>
      </c>
      <c r="F41281" s="1">
        <v>4.52657362352616E-5</v>
      </c>
    </row>
    <row r="41282" spans="1:6" x14ac:dyDescent="0.25">
      <c r="A41282" s="2" t="str">
        <f t="shared" si="1306"/>
        <v>99999</v>
      </c>
      <c r="B41282" s="2" t="str">
        <f>"25141"</f>
        <v>25141</v>
      </c>
      <c r="C41282" s="1">
        <v>1.9644868793012701E-6</v>
      </c>
      <c r="D41282" s="1">
        <v>0</v>
      </c>
      <c r="E41282" s="1">
        <v>0</v>
      </c>
      <c r="F41282" s="1">
        <v>1.79073242249386E-6</v>
      </c>
    </row>
    <row r="41283" spans="1:6" x14ac:dyDescent="0.25">
      <c r="A41283" s="2" t="str">
        <f t="shared" si="1306"/>
        <v>99999</v>
      </c>
      <c r="B41283" s="2" t="str">
        <f>"25063"</f>
        <v>25063</v>
      </c>
      <c r="C41283" s="1">
        <v>4.60563035036186E-5</v>
      </c>
      <c r="D41283" s="1">
        <v>1.8211232080906399E-5</v>
      </c>
      <c r="E41283" s="1">
        <v>0</v>
      </c>
      <c r="F41283" s="1">
        <v>4.31765484090188E-5</v>
      </c>
    </row>
    <row r="41284" spans="1:6" x14ac:dyDescent="0.25">
      <c r="A41284" s="2" t="str">
        <f t="shared" si="1306"/>
        <v>99999</v>
      </c>
      <c r="B41284" s="2" t="str">
        <f>"24993"</f>
        <v>24993</v>
      </c>
      <c r="C41284" s="1">
        <v>5.8934606379038102E-6</v>
      </c>
      <c r="D41284" s="1">
        <v>3.0352053468177301E-6</v>
      </c>
      <c r="E41284" s="1">
        <v>0</v>
      </c>
      <c r="F41284" s="1">
        <v>5.5711675366475797E-6</v>
      </c>
    </row>
    <row r="41285" spans="1:6" x14ac:dyDescent="0.25">
      <c r="A41285" s="2" t="str">
        <f t="shared" si="1306"/>
        <v>99999</v>
      </c>
      <c r="B41285" s="2" t="str">
        <f>"25005"</f>
        <v>25005</v>
      </c>
      <c r="C41285" s="1">
        <v>1.71346911139055E-5</v>
      </c>
      <c r="D41285" s="1">
        <v>9.1056160404532095E-6</v>
      </c>
      <c r="E41285" s="1">
        <v>4.3455399550671099E-6</v>
      </c>
      <c r="F41285" s="1">
        <v>1.6315562071610699E-5</v>
      </c>
    </row>
    <row r="41286" spans="1:6" x14ac:dyDescent="0.25">
      <c r="A41286" s="2" t="str">
        <f t="shared" si="1306"/>
        <v>99999</v>
      </c>
      <c r="B41286" s="2" t="str">
        <f>"24811"</f>
        <v>24811</v>
      </c>
      <c r="C41286" s="1">
        <v>1.09138159961181E-7</v>
      </c>
      <c r="D41286" s="1">
        <v>3.0352053468177301E-6</v>
      </c>
      <c r="E41286" s="1">
        <v>0</v>
      </c>
      <c r="F41286" s="1">
        <v>2.9845540374897701E-7</v>
      </c>
    </row>
    <row r="41287" spans="1:6" x14ac:dyDescent="0.25">
      <c r="A41287" s="2" t="str">
        <f t="shared" si="1306"/>
        <v>99999</v>
      </c>
      <c r="B41287" s="2" t="str">
        <f>"24848"</f>
        <v>24848</v>
      </c>
      <c r="C41287" s="1">
        <v>0</v>
      </c>
      <c r="D41287" s="1">
        <v>1.51760267340886E-6</v>
      </c>
      <c r="E41287" s="1">
        <v>0</v>
      </c>
      <c r="F41287" s="1">
        <v>9.9485134582992598E-8</v>
      </c>
    </row>
    <row r="41288" spans="1:6" x14ac:dyDescent="0.25">
      <c r="A41288" s="2" t="str">
        <f t="shared" si="1306"/>
        <v>99999</v>
      </c>
      <c r="B41288" s="2" t="str">
        <f>"24895"</f>
        <v>24895</v>
      </c>
      <c r="C41288" s="1">
        <v>3.2741447988354498E-7</v>
      </c>
      <c r="D41288" s="1">
        <v>1.51760267340886E-6</v>
      </c>
      <c r="E41288" s="1">
        <v>0</v>
      </c>
      <c r="F41288" s="1">
        <v>3.9794053833197002E-7</v>
      </c>
    </row>
    <row r="41289" spans="1:6" x14ac:dyDescent="0.25">
      <c r="A41289" s="2" t="str">
        <f t="shared" si="1306"/>
        <v>99999</v>
      </c>
      <c r="B41289" s="2" t="str">
        <f>"24860"</f>
        <v>24860</v>
      </c>
      <c r="C41289" s="1">
        <v>4.3655263984472602E-7</v>
      </c>
      <c r="D41289" s="1">
        <v>1.51760267340886E-6</v>
      </c>
      <c r="E41289" s="1">
        <v>0</v>
      </c>
      <c r="F41289" s="1">
        <v>4.9742567291496303E-7</v>
      </c>
    </row>
    <row r="41290" spans="1:6" x14ac:dyDescent="0.25">
      <c r="A41290" s="2" t="str">
        <f t="shared" si="1306"/>
        <v>99999</v>
      </c>
      <c r="B41290" s="2" t="str">
        <f>"24857"</f>
        <v>24857</v>
      </c>
      <c r="C41290" s="1">
        <v>0</v>
      </c>
      <c r="D41290" s="1">
        <v>1.51760267340886E-6</v>
      </c>
      <c r="E41290" s="1">
        <v>0</v>
      </c>
      <c r="F41290" s="1">
        <v>9.9485134582992598E-8</v>
      </c>
    </row>
    <row r="41291" spans="1:6" x14ac:dyDescent="0.25">
      <c r="A41291" s="2" t="str">
        <f t="shared" si="1306"/>
        <v>99999</v>
      </c>
      <c r="B41291" s="2" t="str">
        <f>"24846"</f>
        <v>24846</v>
      </c>
      <c r="C41291" s="1">
        <v>1.5934171354332501E-5</v>
      </c>
      <c r="D41291" s="1">
        <v>3.0352053468177301E-6</v>
      </c>
      <c r="E41291" s="1">
        <v>4.3455399550671099E-6</v>
      </c>
      <c r="F41291" s="1">
        <v>1.4823285052865899E-5</v>
      </c>
    </row>
    <row r="41292" spans="1:6" x14ac:dyDescent="0.25">
      <c r="A41292" s="2" t="str">
        <f t="shared" si="1306"/>
        <v>99999</v>
      </c>
      <c r="B41292" s="2" t="str">
        <f>"24854"</f>
        <v>24854</v>
      </c>
      <c r="C41292" s="1">
        <v>0</v>
      </c>
      <c r="D41292" s="1">
        <v>1.51760267340886E-6</v>
      </c>
      <c r="E41292" s="1">
        <v>0</v>
      </c>
      <c r="F41292" s="1">
        <v>9.9485134582992598E-8</v>
      </c>
    </row>
    <row r="41293" spans="1:6" x14ac:dyDescent="0.25">
      <c r="A41293" s="2" t="str">
        <f t="shared" si="1306"/>
        <v>99999</v>
      </c>
      <c r="B41293" s="2" t="str">
        <f>"24941"</f>
        <v>24941</v>
      </c>
      <c r="C41293" s="1">
        <v>1.04226942762928E-4</v>
      </c>
      <c r="D41293" s="1">
        <v>2.2764040101133E-5</v>
      </c>
      <c r="E41293" s="1">
        <v>1.7382159820268399E-5</v>
      </c>
      <c r="F41293" s="1">
        <v>9.6898521083834806E-5</v>
      </c>
    </row>
    <row r="41294" spans="1:6" x14ac:dyDescent="0.25">
      <c r="A41294" s="2" t="str">
        <f t="shared" si="1306"/>
        <v>99999</v>
      </c>
      <c r="B41294" s="2" t="str">
        <f>"24817"</f>
        <v>24817</v>
      </c>
      <c r="C41294" s="1">
        <v>0</v>
      </c>
      <c r="D41294" s="1">
        <v>3.0352053468177301E-6</v>
      </c>
      <c r="E41294" s="1">
        <v>0</v>
      </c>
      <c r="F41294" s="1">
        <v>1.9897026916598501E-7</v>
      </c>
    </row>
    <row r="41295" spans="1:6" x14ac:dyDescent="0.25">
      <c r="A41295" s="2" t="str">
        <f t="shared" si="1306"/>
        <v>99999</v>
      </c>
      <c r="B41295" s="2" t="str">
        <f>"24535"</f>
        <v>24535</v>
      </c>
      <c r="C41295" s="1">
        <v>0</v>
      </c>
      <c r="D41295" s="1">
        <v>0</v>
      </c>
      <c r="E41295" s="1">
        <v>4.3455399550671099E-6</v>
      </c>
      <c r="F41295" s="1">
        <v>9.9485134582992598E-8</v>
      </c>
    </row>
    <row r="41296" spans="1:6" x14ac:dyDescent="0.25">
      <c r="A41296" s="2" t="str">
        <f t="shared" si="1306"/>
        <v>99999</v>
      </c>
      <c r="B41296" s="2" t="str">
        <f>"24522"</f>
        <v>24522</v>
      </c>
      <c r="C41296" s="1">
        <v>3.8198355986413598E-6</v>
      </c>
      <c r="D41296" s="1">
        <v>3.0352053468177301E-6</v>
      </c>
      <c r="E41296" s="1">
        <v>0</v>
      </c>
      <c r="F41296" s="1">
        <v>3.6809499795707201E-6</v>
      </c>
    </row>
    <row r="41297" spans="1:6" x14ac:dyDescent="0.25">
      <c r="A41297" s="2" t="str">
        <f t="shared" si="1306"/>
        <v>99999</v>
      </c>
      <c r="B41297" s="2" t="str">
        <f>"24658"</f>
        <v>24658</v>
      </c>
      <c r="C41297" s="1">
        <v>0</v>
      </c>
      <c r="D41297" s="1">
        <v>1.51760267340886E-6</v>
      </c>
      <c r="E41297" s="1">
        <v>0</v>
      </c>
      <c r="F41297" s="1">
        <v>9.9485134582992598E-8</v>
      </c>
    </row>
    <row r="41298" spans="1:6" x14ac:dyDescent="0.25">
      <c r="A41298" s="2" t="str">
        <f t="shared" ref="A41298:A41361" si="1307">"99999"</f>
        <v>99999</v>
      </c>
      <c r="B41298" s="2" t="str">
        <f>"24736"</f>
        <v>24736</v>
      </c>
      <c r="C41298" s="1">
        <v>3.8198355986413598E-6</v>
      </c>
      <c r="D41298" s="1">
        <v>0</v>
      </c>
      <c r="E41298" s="1">
        <v>0</v>
      </c>
      <c r="F41298" s="1">
        <v>3.48197971040474E-6</v>
      </c>
    </row>
    <row r="41299" spans="1:6" x14ac:dyDescent="0.25">
      <c r="A41299" s="2" t="str">
        <f t="shared" si="1307"/>
        <v>99999</v>
      </c>
      <c r="B41299" s="2" t="str">
        <f>"24565"</f>
        <v>24565</v>
      </c>
      <c r="C41299" s="1">
        <v>7.8579475172050803E-6</v>
      </c>
      <c r="D41299" s="1">
        <v>4.5528080202265997E-6</v>
      </c>
      <c r="E41299" s="1">
        <v>0</v>
      </c>
      <c r="F41299" s="1">
        <v>7.4613850937244396E-6</v>
      </c>
    </row>
    <row r="41300" spans="1:6" x14ac:dyDescent="0.25">
      <c r="A41300" s="2" t="str">
        <f t="shared" si="1307"/>
        <v>99999</v>
      </c>
      <c r="B41300" s="2" t="str">
        <f>"24603"</f>
        <v>24603</v>
      </c>
      <c r="C41300" s="1">
        <v>2.75028163102177E-5</v>
      </c>
      <c r="D41300" s="1">
        <v>7.5880133670443404E-6</v>
      </c>
      <c r="E41300" s="1">
        <v>0</v>
      </c>
      <c r="F41300" s="1">
        <v>2.55676795878291E-5</v>
      </c>
    </row>
    <row r="41301" spans="1:6" x14ac:dyDescent="0.25">
      <c r="A41301" s="2" t="str">
        <f t="shared" si="1307"/>
        <v>99999</v>
      </c>
      <c r="B41301" s="2" t="str">
        <f>"24599"</f>
        <v>24599</v>
      </c>
      <c r="C41301" s="1">
        <v>2.0736250392624501E-5</v>
      </c>
      <c r="D41301" s="1">
        <v>1.0623218713862E-5</v>
      </c>
      <c r="E41301" s="1">
        <v>0</v>
      </c>
      <c r="F41301" s="1">
        <v>1.9598571512849501E-5</v>
      </c>
    </row>
    <row r="41302" spans="1:6" x14ac:dyDescent="0.25">
      <c r="A41302" s="2" t="str">
        <f t="shared" si="1307"/>
        <v>99999</v>
      </c>
      <c r="B41302" s="2" t="str">
        <f>"24459"</f>
        <v>24459</v>
      </c>
      <c r="C41302" s="1">
        <v>3.8198355986413598E-6</v>
      </c>
      <c r="D41302" s="1">
        <v>1.51760267340886E-6</v>
      </c>
      <c r="E41302" s="1">
        <v>0</v>
      </c>
      <c r="F41302" s="1">
        <v>3.5814648449877301E-6</v>
      </c>
    </row>
    <row r="41303" spans="1:6" x14ac:dyDescent="0.25">
      <c r="A41303" s="2" t="str">
        <f t="shared" si="1307"/>
        <v>99999</v>
      </c>
      <c r="B41303" s="2" t="str">
        <f>"24562"</f>
        <v>24562</v>
      </c>
      <c r="C41303" s="1">
        <v>2.19367701521975E-5</v>
      </c>
      <c r="D41303" s="1">
        <v>7.5880133670443404E-6</v>
      </c>
      <c r="E41303" s="1">
        <v>8.69107991013423E-6</v>
      </c>
      <c r="F41303" s="1">
        <v>2.06929079932624E-5</v>
      </c>
    </row>
    <row r="41304" spans="1:6" x14ac:dyDescent="0.25">
      <c r="A41304" s="2" t="str">
        <f t="shared" si="1307"/>
        <v>99999</v>
      </c>
      <c r="B41304" s="2" t="str">
        <f>"24557"</f>
        <v>24557</v>
      </c>
      <c r="C41304" s="1">
        <v>1.7462105593789001E-6</v>
      </c>
      <c r="D41304" s="1">
        <v>0</v>
      </c>
      <c r="E41304" s="1">
        <v>0</v>
      </c>
      <c r="F41304" s="1">
        <v>1.5917621533278801E-6</v>
      </c>
    </row>
    <row r="41305" spans="1:6" x14ac:dyDescent="0.25">
      <c r="A41305" s="2" t="str">
        <f t="shared" si="1307"/>
        <v>99999</v>
      </c>
      <c r="B41305" s="2" t="str">
        <f>"24555"</f>
        <v>24555</v>
      </c>
      <c r="C41305" s="1">
        <v>1.8640797721369799E-4</v>
      </c>
      <c r="D41305" s="1">
        <v>8.043294169067E-5</v>
      </c>
      <c r="E41305" s="1">
        <v>3.47643196405369E-5</v>
      </c>
      <c r="F41305" s="1">
        <v>1.7598920307731301E-4</v>
      </c>
    </row>
    <row r="41306" spans="1:6" x14ac:dyDescent="0.25">
      <c r="A41306" s="2" t="str">
        <f t="shared" si="1307"/>
        <v>99999</v>
      </c>
      <c r="B41306" s="2" t="str">
        <f>"24412"</f>
        <v>24412</v>
      </c>
      <c r="C41306" s="1">
        <v>0</v>
      </c>
      <c r="D41306" s="1">
        <v>1.51760267340886E-6</v>
      </c>
      <c r="E41306" s="1">
        <v>0</v>
      </c>
      <c r="F41306" s="1">
        <v>9.9485134582992598E-8</v>
      </c>
    </row>
    <row r="41307" spans="1:6" x14ac:dyDescent="0.25">
      <c r="A41307" s="2" t="str">
        <f t="shared" si="1307"/>
        <v>99999</v>
      </c>
      <c r="B41307" s="2" t="str">
        <f>"24430"</f>
        <v>24430</v>
      </c>
      <c r="C41307" s="1">
        <v>1.09138159961181E-7</v>
      </c>
      <c r="D41307" s="1">
        <v>0</v>
      </c>
      <c r="E41307" s="1">
        <v>0</v>
      </c>
      <c r="F41307" s="1">
        <v>9.9485134582992598E-8</v>
      </c>
    </row>
    <row r="41308" spans="1:6" x14ac:dyDescent="0.25">
      <c r="A41308" s="2" t="str">
        <f t="shared" si="1307"/>
        <v>99999</v>
      </c>
      <c r="B41308" s="2" t="str">
        <f>"24435"</f>
        <v>24435</v>
      </c>
      <c r="C41308" s="1">
        <v>9.3640541246693898E-5</v>
      </c>
      <c r="D41308" s="1">
        <v>5.15984908959015E-5</v>
      </c>
      <c r="E41308" s="1">
        <v>3.9109859595604001E-5</v>
      </c>
      <c r="F41308" s="1">
        <v>8.9636106259276301E-5</v>
      </c>
    </row>
    <row r="41309" spans="1:6" x14ac:dyDescent="0.25">
      <c r="A41309" s="2" t="str">
        <f t="shared" si="1307"/>
        <v>99999</v>
      </c>
      <c r="B41309" s="2" t="str">
        <f>"24426"</f>
        <v>24426</v>
      </c>
      <c r="C41309" s="1">
        <v>8.5509748329585795E-4</v>
      </c>
      <c r="D41309" s="1">
        <v>1.0274170098977999E-3</v>
      </c>
      <c r="E41309" s="1">
        <v>5.3450141447325503E-4</v>
      </c>
      <c r="F41309" s="1">
        <v>8.5905413712414097E-4</v>
      </c>
    </row>
    <row r="41310" spans="1:6" x14ac:dyDescent="0.25">
      <c r="A41310" s="2" t="str">
        <f t="shared" si="1307"/>
        <v>99999</v>
      </c>
      <c r="B41310" s="2" t="str">
        <f>"24218"</f>
        <v>24218</v>
      </c>
      <c r="C41310" s="1">
        <v>0</v>
      </c>
      <c r="D41310" s="1">
        <v>1.51760267340886E-6</v>
      </c>
      <c r="E41310" s="1">
        <v>0</v>
      </c>
      <c r="F41310" s="1">
        <v>9.9485134582992598E-8</v>
      </c>
    </row>
    <row r="41311" spans="1:6" x14ac:dyDescent="0.25">
      <c r="A41311" s="2" t="str">
        <f t="shared" si="1307"/>
        <v>99999</v>
      </c>
      <c r="B41311" s="2" t="str">
        <f>"24226"</f>
        <v>24226</v>
      </c>
      <c r="C41311" s="1">
        <v>6.6901692056204405E-5</v>
      </c>
      <c r="D41311" s="1">
        <v>2.4281642774541899E-5</v>
      </c>
      <c r="E41311" s="1">
        <v>0</v>
      </c>
      <c r="F41311" s="1">
        <v>6.2576149652702304E-5</v>
      </c>
    </row>
    <row r="41312" spans="1:6" x14ac:dyDescent="0.25">
      <c r="A41312" s="2" t="str">
        <f t="shared" si="1307"/>
        <v>99999</v>
      </c>
      <c r="B41312" s="2" t="str">
        <f>"24378"</f>
        <v>24378</v>
      </c>
      <c r="C41312" s="1">
        <v>8.8401909568557201E-5</v>
      </c>
      <c r="D41312" s="1">
        <v>3.9457669508630602E-5</v>
      </c>
      <c r="E41312" s="1">
        <v>1.7382159820268399E-5</v>
      </c>
      <c r="F41312" s="1">
        <v>8.3567513049713805E-5</v>
      </c>
    </row>
    <row r="41313" spans="1:6" x14ac:dyDescent="0.25">
      <c r="A41313" s="2" t="str">
        <f t="shared" si="1307"/>
        <v>99999</v>
      </c>
      <c r="B41313" s="2" t="str">
        <f>"24352"</f>
        <v>24352</v>
      </c>
      <c r="C41313" s="1">
        <v>6.7993073655816199E-5</v>
      </c>
      <c r="D41313" s="1">
        <v>3.7940066835221703E-5</v>
      </c>
      <c r="E41313" s="1">
        <v>2.1727699775335501E-5</v>
      </c>
      <c r="F41313" s="1">
        <v>6.4963792882694106E-5</v>
      </c>
    </row>
    <row r="41314" spans="1:6" x14ac:dyDescent="0.25">
      <c r="A41314" s="2" t="str">
        <f t="shared" si="1307"/>
        <v>99999</v>
      </c>
      <c r="B41314" s="2" t="str">
        <f>"24283"</f>
        <v>24283</v>
      </c>
      <c r="C41314" s="1">
        <v>2.8703336069790699E-5</v>
      </c>
      <c r="D41314" s="1">
        <v>1.5176026734088599E-5</v>
      </c>
      <c r="E41314" s="1">
        <v>8.69107991013423E-6</v>
      </c>
      <c r="F41314" s="1">
        <v>2.7358412010322901E-5</v>
      </c>
    </row>
    <row r="41315" spans="1:6" x14ac:dyDescent="0.25">
      <c r="A41315" s="2" t="str">
        <f t="shared" si="1307"/>
        <v>99999</v>
      </c>
      <c r="B41315" s="2" t="str">
        <f>"24280"</f>
        <v>24280</v>
      </c>
      <c r="C41315" s="1">
        <v>2.2591599111964599E-5</v>
      </c>
      <c r="D41315" s="1">
        <v>1.9728834754315301E-5</v>
      </c>
      <c r="E41315" s="1">
        <v>1.7382159820268399E-5</v>
      </c>
      <c r="F41315" s="1">
        <v>2.2284670146590302E-5</v>
      </c>
    </row>
    <row r="41316" spans="1:6" x14ac:dyDescent="0.25">
      <c r="A41316" s="2" t="str">
        <f t="shared" si="1307"/>
        <v>99999</v>
      </c>
      <c r="B41316" s="2" t="str">
        <f>"24322"</f>
        <v>24322</v>
      </c>
      <c r="C41316" s="1">
        <v>1.10229541560793E-5</v>
      </c>
      <c r="D41316" s="1">
        <v>3.0352053468177301E-6</v>
      </c>
      <c r="E41316" s="1">
        <v>0</v>
      </c>
      <c r="F41316" s="1">
        <v>1.02469688620482E-5</v>
      </c>
    </row>
    <row r="41317" spans="1:6" x14ac:dyDescent="0.25">
      <c r="A41317" s="2" t="str">
        <f t="shared" si="1307"/>
        <v>99999</v>
      </c>
      <c r="B41317" s="2" t="str">
        <f>"24263"</f>
        <v>24263</v>
      </c>
      <c r="C41317" s="1">
        <v>2.9631010429460798E-4</v>
      </c>
      <c r="D41317" s="1">
        <v>1.30513829913162E-4</v>
      </c>
      <c r="E41317" s="1">
        <v>3.0853333680976502E-4</v>
      </c>
      <c r="F41317" s="1">
        <v>2.8572130652235401E-4</v>
      </c>
    </row>
    <row r="41318" spans="1:6" x14ac:dyDescent="0.25">
      <c r="A41318" s="2" t="str">
        <f t="shared" si="1307"/>
        <v>99999</v>
      </c>
      <c r="B41318" s="2" t="str">
        <f>"24230"</f>
        <v>24230</v>
      </c>
      <c r="C41318" s="1">
        <v>8.8947600368363098E-5</v>
      </c>
      <c r="D41318" s="1">
        <v>9.1056160404532095E-6</v>
      </c>
      <c r="E41318" s="1">
        <v>0</v>
      </c>
      <c r="F41318" s="1">
        <v>8.1677295492636894E-5</v>
      </c>
    </row>
    <row r="41319" spans="1:6" x14ac:dyDescent="0.25">
      <c r="A41319" s="2" t="str">
        <f t="shared" si="1307"/>
        <v>99999</v>
      </c>
      <c r="B41319" s="2" t="str">
        <f>"24120"</f>
        <v>24120</v>
      </c>
      <c r="C41319" s="1">
        <v>1.30092686673728E-4</v>
      </c>
      <c r="D41319" s="1">
        <v>1.13820200505665E-4</v>
      </c>
      <c r="E41319" s="1">
        <v>2.1727699775335501E-5</v>
      </c>
      <c r="F41319" s="1">
        <v>1.2654509118956601E-4</v>
      </c>
    </row>
    <row r="41320" spans="1:6" x14ac:dyDescent="0.25">
      <c r="A41320" s="2" t="str">
        <f t="shared" si="1307"/>
        <v>99999</v>
      </c>
      <c r="B41320" s="2" t="str">
        <f>"23974"</f>
        <v>23974</v>
      </c>
      <c r="C41320" s="1">
        <v>1.9022781281233901E-4</v>
      </c>
      <c r="D41320" s="1">
        <v>6.5256914956581297E-5</v>
      </c>
      <c r="E41320" s="1">
        <v>3.0418779685469802E-5</v>
      </c>
      <c r="F41320" s="1">
        <v>1.78376846307305E-4</v>
      </c>
    </row>
    <row r="41321" spans="1:6" x14ac:dyDescent="0.25">
      <c r="A41321" s="2" t="str">
        <f t="shared" si="1307"/>
        <v>99999</v>
      </c>
      <c r="B41321" s="2" t="str">
        <f>"23962"</f>
        <v>23962</v>
      </c>
      <c r="C41321" s="1">
        <v>4.4419231104200897E-5</v>
      </c>
      <c r="D41321" s="1">
        <v>1.0623218713862E-5</v>
      </c>
      <c r="E41321" s="1">
        <v>4.3455399550671099E-6</v>
      </c>
      <c r="F41321" s="1">
        <v>4.1286330851941903E-5</v>
      </c>
    </row>
    <row r="41322" spans="1:6" x14ac:dyDescent="0.25">
      <c r="A41322" s="2" t="str">
        <f t="shared" si="1307"/>
        <v>99999</v>
      </c>
      <c r="B41322" s="2" t="str">
        <f>"23923"</f>
        <v>23923</v>
      </c>
      <c r="C41322" s="1">
        <v>1.28783028754194E-4</v>
      </c>
      <c r="D41322" s="1">
        <v>6.5256914956581297E-5</v>
      </c>
      <c r="E41322" s="1">
        <v>4.3455399550671103E-5</v>
      </c>
      <c r="F41322" s="1">
        <v>1.22665170940829E-4</v>
      </c>
    </row>
    <row r="41323" spans="1:6" x14ac:dyDescent="0.25">
      <c r="A41323" s="2" t="str">
        <f t="shared" si="1307"/>
        <v>99999</v>
      </c>
      <c r="B41323" s="2" t="str">
        <f>"23921"</f>
        <v>23921</v>
      </c>
      <c r="C41323" s="1">
        <v>1.1361282451959E-4</v>
      </c>
      <c r="D41323" s="1">
        <v>5.0080888222492601E-5</v>
      </c>
      <c r="E41323" s="1">
        <v>8.69107991013423E-6</v>
      </c>
      <c r="F41323" s="1">
        <v>1.070460048113E-4</v>
      </c>
    </row>
    <row r="41324" spans="1:6" x14ac:dyDescent="0.25">
      <c r="A41324" s="2" t="str">
        <f t="shared" si="1307"/>
        <v>99999</v>
      </c>
      <c r="B41324" s="2" t="str">
        <f>"23901"</f>
        <v>23901</v>
      </c>
      <c r="C41324" s="1">
        <v>8.8620185888479497E-4</v>
      </c>
      <c r="D41324" s="1">
        <v>1.25202220556231E-3</v>
      </c>
      <c r="E41324" s="1">
        <v>1.4514103449924101E-3</v>
      </c>
      <c r="F41324" s="1">
        <v>9.2312256379558798E-4</v>
      </c>
    </row>
    <row r="41325" spans="1:6" x14ac:dyDescent="0.25">
      <c r="A41325" s="2" t="str">
        <f t="shared" si="1307"/>
        <v>99999</v>
      </c>
      <c r="B41325" s="2" t="str">
        <f>"24059"</f>
        <v>24059</v>
      </c>
      <c r="C41325" s="1">
        <v>3.2741447988354498E-7</v>
      </c>
      <c r="D41325" s="1">
        <v>0</v>
      </c>
      <c r="E41325" s="1">
        <v>0</v>
      </c>
      <c r="F41325" s="1">
        <v>2.9845540374897701E-7</v>
      </c>
    </row>
    <row r="41326" spans="1:6" x14ac:dyDescent="0.25">
      <c r="A41326" s="2" t="str">
        <f t="shared" si="1307"/>
        <v>99999</v>
      </c>
      <c r="B41326" s="2" t="str">
        <f>"23868"</f>
        <v>23868</v>
      </c>
      <c r="C41326" s="1">
        <v>2.6084020230722401E-4</v>
      </c>
      <c r="D41326" s="1">
        <v>3.5056621755744799E-4</v>
      </c>
      <c r="E41326" s="1">
        <v>2.3900469752869099E-4</v>
      </c>
      <c r="F41326" s="1">
        <v>2.66222220144088E-4</v>
      </c>
    </row>
    <row r="41327" spans="1:6" x14ac:dyDescent="0.25">
      <c r="A41327" s="2" t="str">
        <f t="shared" si="1307"/>
        <v>99999</v>
      </c>
      <c r="B41327" s="2" t="str">
        <f>"24053"</f>
        <v>24053</v>
      </c>
      <c r="C41327" s="1">
        <v>1.4842789754720699E-4</v>
      </c>
      <c r="D41327" s="1">
        <v>2.7316848121359601E-5</v>
      </c>
      <c r="E41327" s="1">
        <v>1.7382159820268399E-5</v>
      </c>
      <c r="F41327" s="1">
        <v>1.3748845599369499E-4</v>
      </c>
    </row>
    <row r="41328" spans="1:6" x14ac:dyDescent="0.25">
      <c r="A41328" s="2" t="str">
        <f t="shared" si="1307"/>
        <v>99999</v>
      </c>
      <c r="B41328" s="2" t="str">
        <f>"23843"</f>
        <v>23843</v>
      </c>
      <c r="C41328" s="1">
        <v>3.7652665186607698E-5</v>
      </c>
      <c r="D41328" s="1">
        <v>1.5176026734088599E-5</v>
      </c>
      <c r="E41328" s="1">
        <v>4.3455399550671099E-6</v>
      </c>
      <c r="F41328" s="1">
        <v>3.5416707911545303E-5</v>
      </c>
    </row>
    <row r="41329" spans="1:6" x14ac:dyDescent="0.25">
      <c r="A41329" s="2" t="str">
        <f t="shared" si="1307"/>
        <v>99999</v>
      </c>
      <c r="B41329" s="2" t="str">
        <f>"23821"</f>
        <v>23821</v>
      </c>
      <c r="C41329" s="1">
        <v>8.2290172610731006E-5</v>
      </c>
      <c r="D41329" s="1">
        <v>2.5799245447950699E-5</v>
      </c>
      <c r="E41329" s="1">
        <v>2.1727699775335501E-5</v>
      </c>
      <c r="F41329" s="1">
        <v>7.7200464436402198E-5</v>
      </c>
    </row>
    <row r="41330" spans="1:6" x14ac:dyDescent="0.25">
      <c r="A41330" s="2" t="str">
        <f t="shared" si="1307"/>
        <v>99999</v>
      </c>
      <c r="B41330" s="2" t="str">
        <f>"23347"</f>
        <v>23347</v>
      </c>
      <c r="C41330" s="1">
        <v>0</v>
      </c>
      <c r="D41330" s="1">
        <v>1.51760267340886E-6</v>
      </c>
      <c r="E41330" s="1">
        <v>0</v>
      </c>
      <c r="F41330" s="1">
        <v>9.9485134582992598E-8</v>
      </c>
    </row>
    <row r="41331" spans="1:6" x14ac:dyDescent="0.25">
      <c r="A41331" s="2" t="str">
        <f t="shared" si="1307"/>
        <v>99999</v>
      </c>
      <c r="B41331" s="2" t="str">
        <f>"23418"</f>
        <v>23418</v>
      </c>
      <c r="C41331" s="1">
        <v>1.71346911139055E-5</v>
      </c>
      <c r="D41331" s="1">
        <v>5.6151298916128101E-5</v>
      </c>
      <c r="E41331" s="1">
        <v>8.69107991013423E-6</v>
      </c>
      <c r="F41331" s="1">
        <v>1.9499086378266499E-5</v>
      </c>
    </row>
    <row r="41332" spans="1:6" x14ac:dyDescent="0.25">
      <c r="A41332" s="2" t="str">
        <f t="shared" si="1307"/>
        <v>99999</v>
      </c>
      <c r="B41332" s="2" t="str">
        <f>"23308"</f>
        <v>23308</v>
      </c>
      <c r="C41332" s="1">
        <v>7.91251659718567E-5</v>
      </c>
      <c r="D41332" s="1">
        <v>1.9728834754315301E-5</v>
      </c>
      <c r="E41332" s="1">
        <v>4.3455399550671099E-6</v>
      </c>
      <c r="F41332" s="1">
        <v>7.3519514456831504E-5</v>
      </c>
    </row>
    <row r="41333" spans="1:6" x14ac:dyDescent="0.25">
      <c r="A41333" s="2" t="str">
        <f t="shared" si="1307"/>
        <v>99999</v>
      </c>
      <c r="B41333" s="2" t="str">
        <f>"23192"</f>
        <v>23192</v>
      </c>
      <c r="C41333" s="1">
        <v>1.6479862154138401E-5</v>
      </c>
      <c r="D41333" s="1">
        <v>4.5528080202265997E-6</v>
      </c>
      <c r="E41333" s="1">
        <v>0</v>
      </c>
      <c r="F41333" s="1">
        <v>1.5320710725780799E-5</v>
      </c>
    </row>
    <row r="41334" spans="1:6" x14ac:dyDescent="0.25">
      <c r="A41334" s="2" t="str">
        <f t="shared" si="1307"/>
        <v>99999</v>
      </c>
      <c r="B41334" s="2" t="str">
        <f>"23169"</f>
        <v>23169</v>
      </c>
      <c r="C41334" s="1">
        <v>5.7188395819659203E-5</v>
      </c>
      <c r="D41334" s="1">
        <v>3.9457669508630602E-5</v>
      </c>
      <c r="E41334" s="1">
        <v>2.60732397304027E-5</v>
      </c>
      <c r="F41334" s="1">
        <v>5.5313734828143901E-5</v>
      </c>
    </row>
    <row r="41335" spans="1:6" x14ac:dyDescent="0.25">
      <c r="A41335" s="2" t="str">
        <f t="shared" si="1307"/>
        <v>99999</v>
      </c>
      <c r="B41335" s="2" t="str">
        <f>"23115"</f>
        <v>23115</v>
      </c>
      <c r="C41335" s="1">
        <v>0</v>
      </c>
      <c r="D41335" s="1">
        <v>0</v>
      </c>
      <c r="E41335" s="1">
        <v>4.3455399550671099E-6</v>
      </c>
      <c r="F41335" s="1">
        <v>9.9485134582992598E-8</v>
      </c>
    </row>
    <row r="41336" spans="1:6" x14ac:dyDescent="0.25">
      <c r="A41336" s="2" t="str">
        <f t="shared" si="1307"/>
        <v>99999</v>
      </c>
      <c r="B41336" s="2" t="str">
        <f>"23047"</f>
        <v>23047</v>
      </c>
      <c r="C41336" s="1">
        <v>1.5061066074643001E-5</v>
      </c>
      <c r="D41336" s="1">
        <v>1.3658424060679801E-5</v>
      </c>
      <c r="E41336" s="1">
        <v>0</v>
      </c>
      <c r="F41336" s="1">
        <v>1.4624314783699901E-5</v>
      </c>
    </row>
    <row r="41337" spans="1:6" x14ac:dyDescent="0.25">
      <c r="A41337" s="2" t="str">
        <f t="shared" si="1307"/>
        <v>99999</v>
      </c>
      <c r="B41337" s="2" t="str">
        <f>"23032"</f>
        <v>23032</v>
      </c>
      <c r="C41337" s="1">
        <v>9.71329623654517E-6</v>
      </c>
      <c r="D41337" s="1">
        <v>3.0352053468177301E-6</v>
      </c>
      <c r="E41337" s="1">
        <v>1.3036619865201299E-5</v>
      </c>
      <c r="F41337" s="1">
        <v>9.3516026508012996E-6</v>
      </c>
    </row>
    <row r="41338" spans="1:6" x14ac:dyDescent="0.25">
      <c r="A41338" s="2" t="str">
        <f t="shared" si="1307"/>
        <v>99999</v>
      </c>
      <c r="B41338" s="2" t="str">
        <f>"22960"</f>
        <v>22960</v>
      </c>
      <c r="C41338" s="1">
        <v>4.6361890351509998E-4</v>
      </c>
      <c r="D41338" s="1">
        <v>7.7094215809170503E-4</v>
      </c>
      <c r="E41338" s="1">
        <v>4.4324507541684501E-4</v>
      </c>
      <c r="F41338" s="1">
        <v>4.8329878380417798E-4</v>
      </c>
    </row>
    <row r="41339" spans="1:6" x14ac:dyDescent="0.25">
      <c r="A41339" s="2" t="str">
        <f t="shared" si="1307"/>
        <v>99999</v>
      </c>
      <c r="B41339" s="2" t="str">
        <f>"22701"</f>
        <v>22701</v>
      </c>
      <c r="C41339" s="1">
        <v>4.1909053425093703E-5</v>
      </c>
      <c r="D41339" s="1">
        <v>7.5880133670443404E-6</v>
      </c>
      <c r="E41339" s="1">
        <v>4.3455399550671099E-6</v>
      </c>
      <c r="F41339" s="1">
        <v>3.8799202487367103E-5</v>
      </c>
    </row>
    <row r="41340" spans="1:6" x14ac:dyDescent="0.25">
      <c r="A41340" s="2" t="str">
        <f t="shared" si="1307"/>
        <v>99999</v>
      </c>
      <c r="B41340" s="2" t="str">
        <f>"22644"</f>
        <v>22644</v>
      </c>
      <c r="C41340" s="1">
        <v>1.16886969318425E-4</v>
      </c>
      <c r="D41340" s="1">
        <v>3.7940066835221703E-5</v>
      </c>
      <c r="E41340" s="1">
        <v>1.3036619865201299E-5</v>
      </c>
      <c r="F41340" s="1">
        <v>1.09334162906708E-4</v>
      </c>
    </row>
    <row r="41341" spans="1:6" x14ac:dyDescent="0.25">
      <c r="A41341" s="2" t="str">
        <f t="shared" si="1307"/>
        <v>99999</v>
      </c>
      <c r="B41341" s="2" t="str">
        <f>"22526"</f>
        <v>22526</v>
      </c>
      <c r="C41341" s="1">
        <v>0</v>
      </c>
      <c r="D41341" s="1">
        <v>0</v>
      </c>
      <c r="E41341" s="1">
        <v>4.3455399550671099E-6</v>
      </c>
      <c r="F41341" s="1">
        <v>9.9485134582992598E-8</v>
      </c>
    </row>
    <row r="41342" spans="1:6" x14ac:dyDescent="0.25">
      <c r="A41342" s="2" t="str">
        <f t="shared" si="1307"/>
        <v>99999</v>
      </c>
      <c r="B41342" s="2" t="str">
        <f>"22542"</f>
        <v>22542</v>
      </c>
      <c r="C41342" s="1">
        <v>8.8183633248634796E-5</v>
      </c>
      <c r="D41342" s="1">
        <v>3.0352053468177301E-5</v>
      </c>
      <c r="E41342" s="1">
        <v>0</v>
      </c>
      <c r="F41342" s="1">
        <v>8.2373691434717904E-5</v>
      </c>
    </row>
    <row r="41343" spans="1:6" x14ac:dyDescent="0.25">
      <c r="A41343" s="2" t="str">
        <f t="shared" si="1307"/>
        <v>99999</v>
      </c>
      <c r="B41343" s="2" t="str">
        <f>"22520"</f>
        <v>22520</v>
      </c>
      <c r="C41343" s="1">
        <v>3.1737376916711598E-4</v>
      </c>
      <c r="D41343" s="1">
        <v>1.6086588338134E-4</v>
      </c>
      <c r="E41343" s="1">
        <v>1.2602065869694599E-4</v>
      </c>
      <c r="F41343" s="1">
        <v>3.0273326453604603E-4</v>
      </c>
    </row>
    <row r="41344" spans="1:6" x14ac:dyDescent="0.25">
      <c r="A41344" s="2" t="str">
        <f t="shared" si="1307"/>
        <v>99999</v>
      </c>
      <c r="B41344" s="2" t="str">
        <f>"22508"</f>
        <v>22508</v>
      </c>
      <c r="C41344" s="1">
        <v>6.4358772929108796E-4</v>
      </c>
      <c r="D41344" s="1">
        <v>3.5360142290426601E-4</v>
      </c>
      <c r="E41344" s="1">
        <v>1.17329578786812E-4</v>
      </c>
      <c r="F41344" s="1">
        <v>6.1252997362748495E-4</v>
      </c>
    </row>
    <row r="41345" spans="1:6" x14ac:dyDescent="0.25">
      <c r="A41345" s="2" t="str">
        <f t="shared" si="1307"/>
        <v>99999</v>
      </c>
      <c r="B41345" s="2" t="str">
        <f>"22581"</f>
        <v>22581</v>
      </c>
      <c r="C41345" s="1">
        <v>0</v>
      </c>
      <c r="D41345" s="1">
        <v>0</v>
      </c>
      <c r="E41345" s="1">
        <v>4.3455399550671099E-6</v>
      </c>
      <c r="F41345" s="1">
        <v>9.9485134582992598E-8</v>
      </c>
    </row>
    <row r="41346" spans="1:6" x14ac:dyDescent="0.25">
      <c r="A41346" s="2" t="str">
        <f t="shared" si="1307"/>
        <v>99999</v>
      </c>
      <c r="B41346" s="2" t="str">
        <f>"22580"</f>
        <v>22580</v>
      </c>
      <c r="C41346" s="1">
        <v>2.20568221281548E-4</v>
      </c>
      <c r="D41346" s="1">
        <v>7.1327325650216798E-5</v>
      </c>
      <c r="E41346" s="1">
        <v>8.69107991013423E-6</v>
      </c>
      <c r="F41346" s="1">
        <v>2.0593422858679401E-4</v>
      </c>
    </row>
    <row r="41347" spans="1:6" x14ac:dyDescent="0.25">
      <c r="A41347" s="2" t="str">
        <f t="shared" si="1307"/>
        <v>99999</v>
      </c>
      <c r="B41347" s="2" t="str">
        <f>"22476"</f>
        <v>22476</v>
      </c>
      <c r="C41347" s="1">
        <v>1.6698138474060799E-5</v>
      </c>
      <c r="D41347" s="1">
        <v>3.0352053468177301E-6</v>
      </c>
      <c r="E41347" s="1">
        <v>4.3455399550671099E-6</v>
      </c>
      <c r="F41347" s="1">
        <v>1.5519680994946799E-5</v>
      </c>
    </row>
    <row r="41348" spans="1:6" x14ac:dyDescent="0.25">
      <c r="A41348" s="2" t="str">
        <f t="shared" si="1307"/>
        <v>99999</v>
      </c>
      <c r="B41348" s="2" t="str">
        <f>"22481"</f>
        <v>22481</v>
      </c>
      <c r="C41348" s="1">
        <v>0</v>
      </c>
      <c r="D41348" s="1">
        <v>0</v>
      </c>
      <c r="E41348" s="1">
        <v>4.3455399550671099E-6</v>
      </c>
      <c r="F41348" s="1">
        <v>9.9485134582992598E-8</v>
      </c>
    </row>
    <row r="41349" spans="1:6" x14ac:dyDescent="0.25">
      <c r="A41349" s="2" t="str">
        <f t="shared" si="1307"/>
        <v>99999</v>
      </c>
      <c r="B41349" s="2" t="str">
        <f>"22442"</f>
        <v>22442</v>
      </c>
      <c r="C41349" s="1">
        <v>0</v>
      </c>
      <c r="D41349" s="1">
        <v>1.51760267340886E-6</v>
      </c>
      <c r="E41349" s="1">
        <v>4.3455399550671099E-6</v>
      </c>
      <c r="F41349" s="1">
        <v>1.9897026916598501E-7</v>
      </c>
    </row>
    <row r="41350" spans="1:6" x14ac:dyDescent="0.25">
      <c r="A41350" s="2" t="str">
        <f t="shared" si="1307"/>
        <v>99999</v>
      </c>
      <c r="B41350" s="2" t="str">
        <f>"22480"</f>
        <v>22480</v>
      </c>
      <c r="C41350" s="1">
        <v>5.5769599740163803E-5</v>
      </c>
      <c r="D41350" s="1">
        <v>3.1869656141586203E-5</v>
      </c>
      <c r="E41350" s="1">
        <v>1.7382159820268399E-5</v>
      </c>
      <c r="F41350" s="1">
        <v>5.3324032136483998E-5</v>
      </c>
    </row>
    <row r="41351" spans="1:6" x14ac:dyDescent="0.25">
      <c r="A41351" s="2" t="str">
        <f t="shared" si="1307"/>
        <v>99999</v>
      </c>
      <c r="B41351" s="2" t="str">
        <f>"22454"</f>
        <v>22454</v>
      </c>
      <c r="C41351" s="1">
        <v>1.0706453492191901E-4</v>
      </c>
      <c r="D41351" s="1">
        <v>1.21408213872709E-5</v>
      </c>
      <c r="E41351" s="1">
        <v>4.3455399550671099E-6</v>
      </c>
      <c r="F41351" s="1">
        <v>9.8490283237162701E-5</v>
      </c>
    </row>
    <row r="41352" spans="1:6" x14ac:dyDescent="0.25">
      <c r="A41352" s="2" t="str">
        <f t="shared" si="1307"/>
        <v>99999</v>
      </c>
      <c r="B41352" s="2" t="str">
        <f>"22436"</f>
        <v>22436</v>
      </c>
      <c r="C41352" s="1">
        <v>3.5033349347539302E-5</v>
      </c>
      <c r="D41352" s="1">
        <v>3.0352053468177301E-6</v>
      </c>
      <c r="E41352" s="1">
        <v>4.3455399550671099E-6</v>
      </c>
      <c r="F41352" s="1">
        <v>3.2233183604889601E-5</v>
      </c>
    </row>
    <row r="41353" spans="1:6" x14ac:dyDescent="0.25">
      <c r="A41353" s="2" t="str">
        <f t="shared" si="1307"/>
        <v>99999</v>
      </c>
      <c r="B41353" s="2" t="str">
        <f>"22435"</f>
        <v>22435</v>
      </c>
      <c r="C41353" s="1">
        <v>1.1448592979927901E-4</v>
      </c>
      <c r="D41353" s="1">
        <v>4.7045682875674899E-5</v>
      </c>
      <c r="E41353" s="1">
        <v>4.3455399550671099E-6</v>
      </c>
      <c r="F41353" s="1">
        <v>1.07543430484215E-4</v>
      </c>
    </row>
    <row r="41354" spans="1:6" x14ac:dyDescent="0.25">
      <c r="A41354" s="2" t="str">
        <f t="shared" si="1307"/>
        <v>99999</v>
      </c>
      <c r="B41354" s="2" t="str">
        <f>"22427"</f>
        <v>22427</v>
      </c>
      <c r="C41354" s="1">
        <v>1.3260286435283499E-4</v>
      </c>
      <c r="D41354" s="1">
        <v>1.30513829913162E-4</v>
      </c>
      <c r="E41354" s="1">
        <v>1.12114930840731E-3</v>
      </c>
      <c r="F41354" s="1">
        <v>1.5509732481488501E-4</v>
      </c>
    </row>
    <row r="41355" spans="1:6" x14ac:dyDescent="0.25">
      <c r="A41355" s="2" t="str">
        <f t="shared" si="1307"/>
        <v>99999</v>
      </c>
      <c r="B41355" s="2" t="str">
        <f>"21690"</f>
        <v>21690</v>
      </c>
      <c r="C41355" s="1">
        <v>0</v>
      </c>
      <c r="D41355" s="1">
        <v>1.51760267340886E-6</v>
      </c>
      <c r="E41355" s="1">
        <v>0</v>
      </c>
      <c r="F41355" s="1">
        <v>9.9485134582992598E-8</v>
      </c>
    </row>
    <row r="41356" spans="1:6" x14ac:dyDescent="0.25">
      <c r="A41356" s="2" t="str">
        <f t="shared" si="1307"/>
        <v>99999</v>
      </c>
      <c r="B41356" s="2" t="str">
        <f>"21667"</f>
        <v>21667</v>
      </c>
      <c r="C41356" s="1">
        <v>1.2441750235574699E-5</v>
      </c>
      <c r="D41356" s="1">
        <v>1.21408213872709E-5</v>
      </c>
      <c r="E41356" s="1">
        <v>8.69107991013423E-6</v>
      </c>
      <c r="F41356" s="1">
        <v>1.2336156688290999E-5</v>
      </c>
    </row>
    <row r="41357" spans="1:6" x14ac:dyDescent="0.25">
      <c r="A41357" s="2" t="str">
        <f t="shared" si="1307"/>
        <v>99999</v>
      </c>
      <c r="B41357" s="2" t="str">
        <f>"21655"</f>
        <v>21655</v>
      </c>
      <c r="C41357" s="1">
        <v>2.3464704391653999E-4</v>
      </c>
      <c r="D41357" s="1">
        <v>8.9538557731123203E-5</v>
      </c>
      <c r="E41357" s="1">
        <v>8.2565259146275205E-5</v>
      </c>
      <c r="F41357" s="1">
        <v>2.21652879850907E-4</v>
      </c>
    </row>
    <row r="41358" spans="1:6" x14ac:dyDescent="0.25">
      <c r="A41358" s="2" t="str">
        <f t="shared" si="1307"/>
        <v>99999</v>
      </c>
      <c r="B41358" s="2" t="str">
        <f>"21645"</f>
        <v>21645</v>
      </c>
      <c r="C41358" s="1">
        <v>6.4828067016941906E-5</v>
      </c>
      <c r="D41358" s="1">
        <v>2.4281642774541899E-5</v>
      </c>
      <c r="E41358" s="1">
        <v>3.0418779685469802E-5</v>
      </c>
      <c r="F41358" s="1">
        <v>6.1382328037706404E-5</v>
      </c>
    </row>
    <row r="41359" spans="1:6" x14ac:dyDescent="0.25">
      <c r="A41359" s="2" t="str">
        <f t="shared" si="1307"/>
        <v>99999</v>
      </c>
      <c r="B41359" s="2" t="str">
        <f>"21643"</f>
        <v>21643</v>
      </c>
      <c r="C41359" s="1">
        <v>1.09138159961181E-7</v>
      </c>
      <c r="D41359" s="1">
        <v>0</v>
      </c>
      <c r="E41359" s="1">
        <v>0</v>
      </c>
      <c r="F41359" s="1">
        <v>9.9485134582992598E-8</v>
      </c>
    </row>
    <row r="41360" spans="1:6" x14ac:dyDescent="0.25">
      <c r="A41360" s="2" t="str">
        <f t="shared" si="1307"/>
        <v>99999</v>
      </c>
      <c r="B41360" s="2" t="str">
        <f>"21522"</f>
        <v>21522</v>
      </c>
      <c r="C41360" s="1">
        <v>0</v>
      </c>
      <c r="D41360" s="1">
        <v>1.51760267340886E-6</v>
      </c>
      <c r="E41360" s="1">
        <v>0</v>
      </c>
      <c r="F41360" s="1">
        <v>9.9485134582992598E-8</v>
      </c>
    </row>
    <row r="41361" spans="1:6" x14ac:dyDescent="0.25">
      <c r="A41361" s="2" t="str">
        <f t="shared" si="1307"/>
        <v>99999</v>
      </c>
      <c r="B41361" s="2" t="str">
        <f>"21532"</f>
        <v>21532</v>
      </c>
      <c r="C41361" s="1">
        <v>6.9739284215195098E-5</v>
      </c>
      <c r="D41361" s="1">
        <v>2.1246437427724101E-5</v>
      </c>
      <c r="E41361" s="1">
        <v>2.1727699775335501E-5</v>
      </c>
      <c r="F41361" s="1">
        <v>6.5461218555609105E-5</v>
      </c>
    </row>
    <row r="41362" spans="1:6" x14ac:dyDescent="0.25">
      <c r="A41362" s="2" t="str">
        <f t="shared" ref="A41362:A41425" si="1308">"99999"</f>
        <v>99999</v>
      </c>
      <c r="B41362" s="2" t="str">
        <f>"49797"</f>
        <v>49797</v>
      </c>
      <c r="C41362" s="1">
        <v>1.09138159961181E-7</v>
      </c>
      <c r="D41362" s="1">
        <v>3.0352053468177301E-6</v>
      </c>
      <c r="E41362" s="1">
        <v>0</v>
      </c>
      <c r="F41362" s="1">
        <v>2.9845540374897701E-7</v>
      </c>
    </row>
    <row r="41363" spans="1:6" x14ac:dyDescent="0.25">
      <c r="A41363" s="2" t="str">
        <f t="shared" si="1308"/>
        <v>99999</v>
      </c>
      <c r="B41363" s="2" t="str">
        <f>"49816"</f>
        <v>49816</v>
      </c>
      <c r="C41363" s="1">
        <v>1.7898658233633802E-5</v>
      </c>
      <c r="D41363" s="1">
        <v>4.5528080202265997E-6</v>
      </c>
      <c r="E41363" s="1">
        <v>4.3455399550671099E-6</v>
      </c>
      <c r="F41363" s="1">
        <v>1.67135026099427E-5</v>
      </c>
    </row>
    <row r="41364" spans="1:6" x14ac:dyDescent="0.25">
      <c r="A41364" s="2" t="str">
        <f t="shared" si="1308"/>
        <v>99999</v>
      </c>
      <c r="B41364" s="2" t="str">
        <f>"49822"</f>
        <v>49822</v>
      </c>
      <c r="C41364" s="1">
        <v>1.01498488763899E-5</v>
      </c>
      <c r="D41364" s="1">
        <v>4.5528080202265997E-6</v>
      </c>
      <c r="E41364" s="1">
        <v>4.3455399550671099E-6</v>
      </c>
      <c r="F41364" s="1">
        <v>9.6500580545502799E-6</v>
      </c>
    </row>
    <row r="41365" spans="1:6" x14ac:dyDescent="0.25">
      <c r="A41365" s="2" t="str">
        <f t="shared" si="1308"/>
        <v>99999</v>
      </c>
      <c r="B41365" s="2" t="str">
        <f>"49970"</f>
        <v>49970</v>
      </c>
      <c r="C41365" s="1">
        <v>1.7243829273866699E-5</v>
      </c>
      <c r="D41365" s="1">
        <v>1.51760267340886E-6</v>
      </c>
      <c r="E41365" s="1">
        <v>4.3455399550671099E-6</v>
      </c>
      <c r="F41365" s="1">
        <v>1.59176215332788E-5</v>
      </c>
    </row>
    <row r="41366" spans="1:6" x14ac:dyDescent="0.25">
      <c r="A41366" s="2" t="str">
        <f t="shared" si="1308"/>
        <v>99999</v>
      </c>
      <c r="B41366" s="2" t="str">
        <f>"49757"</f>
        <v>49757</v>
      </c>
      <c r="C41366" s="1">
        <v>8.2945001570498102E-6</v>
      </c>
      <c r="D41366" s="1">
        <v>1.21408213872709E-5</v>
      </c>
      <c r="E41366" s="1">
        <v>0</v>
      </c>
      <c r="F41366" s="1">
        <v>8.3567513049713805E-6</v>
      </c>
    </row>
    <row r="41367" spans="1:6" x14ac:dyDescent="0.25">
      <c r="A41367" s="2" t="str">
        <f t="shared" si="1308"/>
        <v>99999</v>
      </c>
      <c r="B41367" s="2" t="str">
        <f>"49747"</f>
        <v>49747</v>
      </c>
      <c r="C41367" s="1">
        <v>7.4650501413448304E-5</v>
      </c>
      <c r="D41367" s="1">
        <v>3.0352053468177301E-5</v>
      </c>
      <c r="E41367" s="1">
        <v>1.7382159820268399E-5</v>
      </c>
      <c r="F41367" s="1">
        <v>7.0435475284758706E-5</v>
      </c>
    </row>
    <row r="41368" spans="1:6" x14ac:dyDescent="0.25">
      <c r="A41368" s="2" t="str">
        <f t="shared" si="1308"/>
        <v>99999</v>
      </c>
      <c r="B41368" s="2" t="str">
        <f>"49769"</f>
        <v>49769</v>
      </c>
      <c r="C41368" s="1">
        <v>1.03026423003355E-4</v>
      </c>
      <c r="D41368" s="1">
        <v>8.1950544364078906E-5</v>
      </c>
      <c r="E41368" s="1">
        <v>3.0418779685469802E-5</v>
      </c>
      <c r="F41368" s="1">
        <v>9.9982560255907604E-5</v>
      </c>
    </row>
    <row r="41369" spans="1:6" x14ac:dyDescent="0.25">
      <c r="A41369" s="2" t="str">
        <f t="shared" si="1308"/>
        <v>99999</v>
      </c>
      <c r="B41369" s="2" t="str">
        <f>"49755"</f>
        <v>49755</v>
      </c>
      <c r="C41369" s="1">
        <v>1.4144305530969101E-4</v>
      </c>
      <c r="D41369" s="1">
        <v>7.5880133670443404E-6</v>
      </c>
      <c r="E41369" s="1">
        <v>8.69107991013423E-6</v>
      </c>
      <c r="F41369" s="1">
        <v>1.2962913036163899E-4</v>
      </c>
    </row>
    <row r="41370" spans="1:6" x14ac:dyDescent="0.25">
      <c r="A41370" s="2" t="str">
        <f t="shared" si="1308"/>
        <v>99999</v>
      </c>
      <c r="B41370" s="2" t="str">
        <f>"49915"</f>
        <v>49915</v>
      </c>
      <c r="C41370" s="1">
        <v>4.1363362625287799E-5</v>
      </c>
      <c r="D41370" s="1">
        <v>3.0352053468177301E-6</v>
      </c>
      <c r="E41370" s="1">
        <v>4.3455399550671099E-6</v>
      </c>
      <c r="F41370" s="1">
        <v>3.8003321410703101E-5</v>
      </c>
    </row>
    <row r="41371" spans="1:6" x14ac:dyDescent="0.25">
      <c r="A41371" s="2" t="str">
        <f t="shared" si="1308"/>
        <v>99999</v>
      </c>
      <c r="B41371" s="2" t="str">
        <f>"49895"</f>
        <v>49895</v>
      </c>
      <c r="C41371" s="1">
        <v>4.3546125824511501E-5</v>
      </c>
      <c r="D41371" s="1">
        <v>2.7316848121359601E-5</v>
      </c>
      <c r="E41371" s="1">
        <v>5.9533897384419501E-4</v>
      </c>
      <c r="F41371" s="1">
        <v>5.5114764558977897E-5</v>
      </c>
    </row>
    <row r="41372" spans="1:6" x14ac:dyDescent="0.25">
      <c r="A41372" s="2" t="str">
        <f t="shared" si="1308"/>
        <v>99999</v>
      </c>
      <c r="B41372" s="2" t="str">
        <f>"49720"</f>
        <v>49720</v>
      </c>
      <c r="C41372" s="1">
        <v>6.9160851967400795E-4</v>
      </c>
      <c r="D41372" s="1">
        <v>7.4514291264375404E-4</v>
      </c>
      <c r="E41372" s="1">
        <v>8.9952677069889304E-4</v>
      </c>
      <c r="F41372" s="1">
        <v>6.99877921791353E-4</v>
      </c>
    </row>
    <row r="41373" spans="1:6" x14ac:dyDescent="0.25">
      <c r="A41373" s="2" t="str">
        <f t="shared" si="1308"/>
        <v>99999</v>
      </c>
      <c r="B41373" s="2" t="str">
        <f>"49655"</f>
        <v>49655</v>
      </c>
      <c r="C41373" s="1">
        <v>1.9088264177210599E-4</v>
      </c>
      <c r="D41373" s="1">
        <v>4.0975272182039399E-5</v>
      </c>
      <c r="E41373" s="1">
        <v>0</v>
      </c>
      <c r="F41373" s="1">
        <v>1.76685599019394E-4</v>
      </c>
    </row>
    <row r="41374" spans="1:6" x14ac:dyDescent="0.25">
      <c r="A41374" s="2" t="str">
        <f t="shared" si="1308"/>
        <v>99999</v>
      </c>
      <c r="B41374" s="2" t="str">
        <f>"49639"</f>
        <v>49639</v>
      </c>
      <c r="C41374" s="1">
        <v>1.15031620599085E-4</v>
      </c>
      <c r="D41374" s="1">
        <v>1.03196981791803E-4</v>
      </c>
      <c r="E41374" s="1">
        <v>1.7382159820268399E-5</v>
      </c>
      <c r="F41374" s="1">
        <v>1.1202026154044899E-4</v>
      </c>
    </row>
    <row r="41375" spans="1:6" x14ac:dyDescent="0.25">
      <c r="A41375" s="2" t="str">
        <f t="shared" si="1308"/>
        <v>99999</v>
      </c>
      <c r="B41375" s="2" t="str">
        <f>"49679"</f>
        <v>49679</v>
      </c>
      <c r="C41375" s="1">
        <v>7.1267218454651606E-5</v>
      </c>
      <c r="D41375" s="1">
        <v>2.5799245447950699E-5</v>
      </c>
      <c r="E41375" s="1">
        <v>1.7382159820268399E-5</v>
      </c>
      <c r="F41375" s="1">
        <v>6.7052980708937E-5</v>
      </c>
    </row>
    <row r="41376" spans="1:6" x14ac:dyDescent="0.25">
      <c r="A41376" s="2" t="str">
        <f t="shared" si="1308"/>
        <v>99999</v>
      </c>
      <c r="B41376" s="2" t="str">
        <f>"49601"</f>
        <v>49601</v>
      </c>
      <c r="C41376" s="1">
        <v>1.3096579195341799E-6</v>
      </c>
      <c r="D41376" s="1">
        <v>0</v>
      </c>
      <c r="E41376" s="1">
        <v>0</v>
      </c>
      <c r="F41376" s="1">
        <v>1.19382161499591E-6</v>
      </c>
    </row>
    <row r="41377" spans="1:6" x14ac:dyDescent="0.25">
      <c r="A41377" s="2" t="str">
        <f t="shared" si="1308"/>
        <v>99999</v>
      </c>
      <c r="B41377" s="2" t="str">
        <f>"49625"</f>
        <v>49625</v>
      </c>
      <c r="C41377" s="1">
        <v>7.0830665814806905E-5</v>
      </c>
      <c r="D41377" s="1">
        <v>3.0352053468177301E-5</v>
      </c>
      <c r="E41377" s="1">
        <v>8.69107991013423E-6</v>
      </c>
      <c r="F41377" s="1">
        <v>6.6754525305187998E-5</v>
      </c>
    </row>
    <row r="41378" spans="1:6" x14ac:dyDescent="0.25">
      <c r="A41378" s="2" t="str">
        <f t="shared" si="1308"/>
        <v>99999</v>
      </c>
      <c r="B41378" s="2" t="str">
        <f>"49614"</f>
        <v>49614</v>
      </c>
      <c r="C41378" s="1">
        <v>1.9175574705179599E-4</v>
      </c>
      <c r="D41378" s="1">
        <v>6.2221709609763595E-5</v>
      </c>
      <c r="E41378" s="1">
        <v>5.6492019415872502E-5</v>
      </c>
      <c r="F41378" s="1">
        <v>1.8016757872979901E-4</v>
      </c>
    </row>
    <row r="41379" spans="1:6" x14ac:dyDescent="0.25">
      <c r="A41379" s="2" t="str">
        <f t="shared" si="1308"/>
        <v>99999</v>
      </c>
      <c r="B41379" s="2" t="str">
        <f>"49452"</f>
        <v>49452</v>
      </c>
      <c r="C41379" s="1">
        <v>1.01171074284015E-4</v>
      </c>
      <c r="D41379" s="1">
        <v>3.7940066835221703E-5</v>
      </c>
      <c r="E41379" s="1">
        <v>8.69107991013423E-6</v>
      </c>
      <c r="F41379" s="1">
        <v>9.4908818392174904E-5</v>
      </c>
    </row>
    <row r="41380" spans="1:6" x14ac:dyDescent="0.25">
      <c r="A41380" s="2" t="str">
        <f t="shared" si="1308"/>
        <v>99999</v>
      </c>
      <c r="B41380" s="2" t="str">
        <f>"49459"</f>
        <v>49459</v>
      </c>
      <c r="C41380" s="1">
        <v>9.1894330687314999E-5</v>
      </c>
      <c r="D41380" s="1">
        <v>3.1869656141586203E-5</v>
      </c>
      <c r="E41380" s="1">
        <v>8.69107991013423E-6</v>
      </c>
      <c r="F41380" s="1">
        <v>8.6054641414288598E-5</v>
      </c>
    </row>
    <row r="41381" spans="1:6" x14ac:dyDescent="0.25">
      <c r="A41381" s="2" t="str">
        <f t="shared" si="1308"/>
        <v>99999</v>
      </c>
      <c r="B41381" s="2" t="str">
        <f>"49303"</f>
        <v>49303</v>
      </c>
      <c r="C41381" s="1">
        <v>3.6015592787189902E-6</v>
      </c>
      <c r="D41381" s="1">
        <v>0</v>
      </c>
      <c r="E41381" s="1">
        <v>0</v>
      </c>
      <c r="F41381" s="1">
        <v>3.2830094412387502E-6</v>
      </c>
    </row>
    <row r="41382" spans="1:6" x14ac:dyDescent="0.25">
      <c r="A41382" s="2" t="str">
        <f t="shared" si="1308"/>
        <v>99999</v>
      </c>
      <c r="B41382" s="2" t="str">
        <f>"49413"</f>
        <v>49413</v>
      </c>
      <c r="C41382" s="1">
        <v>0</v>
      </c>
      <c r="D41382" s="1">
        <v>1.51760267340886E-6</v>
      </c>
      <c r="E41382" s="1">
        <v>0</v>
      </c>
      <c r="F41382" s="1">
        <v>9.9485134582992598E-8</v>
      </c>
    </row>
    <row r="41383" spans="1:6" x14ac:dyDescent="0.25">
      <c r="A41383" s="2" t="str">
        <f t="shared" si="1308"/>
        <v>99999</v>
      </c>
      <c r="B41383" s="2" t="str">
        <f>"49411"</f>
        <v>49411</v>
      </c>
      <c r="C41383" s="1">
        <v>1.4187960794953601E-6</v>
      </c>
      <c r="D41383" s="1">
        <v>0</v>
      </c>
      <c r="E41383" s="1">
        <v>0</v>
      </c>
      <c r="F41383" s="1">
        <v>1.2933067495789E-6</v>
      </c>
    </row>
    <row r="41384" spans="1:6" x14ac:dyDescent="0.25">
      <c r="A41384" s="2" t="str">
        <f t="shared" si="1308"/>
        <v>99999</v>
      </c>
      <c r="B41384" s="2" t="str">
        <f>"49336"</f>
        <v>49336</v>
      </c>
      <c r="C41384" s="1">
        <v>2.4010395191459898E-6</v>
      </c>
      <c r="D41384" s="1">
        <v>0</v>
      </c>
      <c r="E41384" s="1">
        <v>8.69107991013423E-6</v>
      </c>
      <c r="F41384" s="1">
        <v>2.3876432299918199E-6</v>
      </c>
    </row>
    <row r="41385" spans="1:6" x14ac:dyDescent="0.25">
      <c r="A41385" s="2" t="str">
        <f t="shared" si="1308"/>
        <v>99999</v>
      </c>
      <c r="B41385" s="2" t="str">
        <f>"49027"</f>
        <v>49027</v>
      </c>
      <c r="C41385" s="1">
        <v>2.4010395191459898E-6</v>
      </c>
      <c r="D41385" s="1">
        <v>1.51760267340886E-6</v>
      </c>
      <c r="E41385" s="1">
        <v>0</v>
      </c>
      <c r="F41385" s="1">
        <v>2.2881580954088299E-6</v>
      </c>
    </row>
    <row r="41386" spans="1:6" x14ac:dyDescent="0.25">
      <c r="A41386" s="2" t="str">
        <f t="shared" si="1308"/>
        <v>99999</v>
      </c>
      <c r="B41386" s="2" t="str">
        <f>"49045"</f>
        <v>49045</v>
      </c>
      <c r="C41386" s="1">
        <v>2.5756605750838801E-4</v>
      </c>
      <c r="D41386" s="1">
        <v>2.36746017051783E-4</v>
      </c>
      <c r="E41386" s="1">
        <v>1.6513051829255E-4</v>
      </c>
      <c r="F41386" s="1">
        <v>2.5408503372496301E-4</v>
      </c>
    </row>
    <row r="41387" spans="1:6" x14ac:dyDescent="0.25">
      <c r="A41387" s="2" t="str">
        <f t="shared" si="1308"/>
        <v>99999</v>
      </c>
      <c r="B41387" s="2" t="str">
        <f>"49083"</f>
        <v>49083</v>
      </c>
      <c r="C41387" s="1">
        <v>2.2919013591848099E-6</v>
      </c>
      <c r="D41387" s="1">
        <v>0</v>
      </c>
      <c r="E41387" s="1">
        <v>4.3455399550671099E-6</v>
      </c>
      <c r="F41387" s="1">
        <v>2.1886729608258301E-6</v>
      </c>
    </row>
    <row r="41388" spans="1:6" x14ac:dyDescent="0.25">
      <c r="A41388" s="2" t="str">
        <f t="shared" si="1308"/>
        <v>99999</v>
      </c>
      <c r="B41388" s="2" t="str">
        <f>"49079"</f>
        <v>49079</v>
      </c>
      <c r="C41388" s="1">
        <v>7.2314944790279002E-4</v>
      </c>
      <c r="D41388" s="1">
        <v>9.5153687622736096E-4</v>
      </c>
      <c r="E41388" s="1">
        <v>1.09073052872184E-3</v>
      </c>
      <c r="F41388" s="1">
        <v>7.4653644991077596E-4</v>
      </c>
    </row>
    <row r="41389" spans="1:6" x14ac:dyDescent="0.25">
      <c r="A41389" s="2" t="str">
        <f t="shared" si="1308"/>
        <v>99999</v>
      </c>
      <c r="B41389" s="2" t="str">
        <f>"49009"</f>
        <v>49009</v>
      </c>
      <c r="C41389" s="1">
        <v>1.8444349033439702E-5</v>
      </c>
      <c r="D41389" s="1">
        <v>4.5528080202265997E-6</v>
      </c>
      <c r="E41389" s="1">
        <v>0</v>
      </c>
      <c r="F41389" s="1">
        <v>1.7111443148274701E-5</v>
      </c>
    </row>
    <row r="41390" spans="1:6" x14ac:dyDescent="0.25">
      <c r="A41390" s="2" t="str">
        <f t="shared" si="1308"/>
        <v>99999</v>
      </c>
      <c r="B41390" s="2" t="str">
        <f>"48754"</f>
        <v>48754</v>
      </c>
      <c r="C41390" s="1">
        <v>4.8348204862803498E-5</v>
      </c>
      <c r="D41390" s="1">
        <v>2.7316848121359601E-5</v>
      </c>
      <c r="E41390" s="1">
        <v>1.7382159820268399E-5</v>
      </c>
      <c r="F41390" s="1">
        <v>4.6260587581091497E-5</v>
      </c>
    </row>
    <row r="41391" spans="1:6" x14ac:dyDescent="0.25">
      <c r="A41391" s="2" t="str">
        <f t="shared" si="1308"/>
        <v>99999</v>
      </c>
      <c r="B41391" s="2" t="str">
        <f>"48761"</f>
        <v>48761</v>
      </c>
      <c r="C41391" s="1">
        <v>9.9097449244753001E-5</v>
      </c>
      <c r="D41391" s="1">
        <v>1.5176026734088599E-5</v>
      </c>
      <c r="E41391" s="1">
        <v>0</v>
      </c>
      <c r="F41391" s="1">
        <v>9.1327353547187201E-5</v>
      </c>
    </row>
    <row r="41392" spans="1:6" x14ac:dyDescent="0.25">
      <c r="A41392" s="2" t="str">
        <f t="shared" si="1308"/>
        <v>99999</v>
      </c>
      <c r="B41392" s="2" t="str">
        <f>"48746"</f>
        <v>48746</v>
      </c>
      <c r="C41392" s="1">
        <v>3.6015592787189902E-4</v>
      </c>
      <c r="D41392" s="1">
        <v>1.6541869140156601E-4</v>
      </c>
      <c r="E41392" s="1">
        <v>1.6513051829255E-4</v>
      </c>
      <c r="F41392" s="1">
        <v>3.4292525890757501E-4</v>
      </c>
    </row>
    <row r="41393" spans="1:6" x14ac:dyDescent="0.25">
      <c r="A41393" s="2" t="str">
        <f t="shared" si="1308"/>
        <v>99999</v>
      </c>
      <c r="B41393" s="2" t="str">
        <f>"48741"</f>
        <v>48741</v>
      </c>
      <c r="C41393" s="1">
        <v>1.03681251963122E-4</v>
      </c>
      <c r="D41393" s="1">
        <v>3.7940066835221703E-5</v>
      </c>
      <c r="E41393" s="1">
        <v>2.60732397304027E-5</v>
      </c>
      <c r="F41393" s="1">
        <v>9.7594917025915694E-5</v>
      </c>
    </row>
    <row r="41394" spans="1:6" x14ac:dyDescent="0.25">
      <c r="A41394" s="2" t="str">
        <f t="shared" si="1308"/>
        <v>99999</v>
      </c>
      <c r="B41394" s="2" t="str">
        <f>"48739"</f>
        <v>48739</v>
      </c>
      <c r="C41394" s="1">
        <v>3.5720919755294702E-4</v>
      </c>
      <c r="D41394" s="1">
        <v>1.7452430744201901E-4</v>
      </c>
      <c r="E41394" s="1">
        <v>5.21464794608054E-5</v>
      </c>
      <c r="F41394" s="1">
        <v>3.3824945758217402E-4</v>
      </c>
    </row>
    <row r="41395" spans="1:6" x14ac:dyDescent="0.25">
      <c r="A41395" s="2" t="str">
        <f t="shared" si="1308"/>
        <v>99999</v>
      </c>
      <c r="B41395" s="2" t="str">
        <f>"48728"</f>
        <v>48728</v>
      </c>
      <c r="C41395" s="1">
        <v>3.9398875745986597E-5</v>
      </c>
      <c r="D41395" s="1">
        <v>1.5176026734088599E-5</v>
      </c>
      <c r="E41395" s="1">
        <v>0</v>
      </c>
      <c r="F41395" s="1">
        <v>3.6908984930290199E-5</v>
      </c>
    </row>
    <row r="41396" spans="1:6" x14ac:dyDescent="0.25">
      <c r="A41396" s="2" t="str">
        <f t="shared" si="1308"/>
        <v>99999</v>
      </c>
      <c r="B41396" s="2" t="str">
        <f>"48720"</f>
        <v>48720</v>
      </c>
      <c r="C41396" s="1">
        <v>6.9084455255428006E-5</v>
      </c>
      <c r="D41396" s="1">
        <v>3.1869656141586203E-5</v>
      </c>
      <c r="E41396" s="1">
        <v>2.60732397304027E-5</v>
      </c>
      <c r="F41396" s="1">
        <v>6.5660188824775102E-5</v>
      </c>
    </row>
    <row r="41397" spans="1:6" x14ac:dyDescent="0.25">
      <c r="A41397" s="2" t="str">
        <f t="shared" si="1308"/>
        <v>99999</v>
      </c>
      <c r="B41397" s="2" t="str">
        <f>"48470"</f>
        <v>48470</v>
      </c>
      <c r="C41397" s="1">
        <v>3.8089217826452399E-5</v>
      </c>
      <c r="D41397" s="1">
        <v>1.5176026734088599E-5</v>
      </c>
      <c r="E41397" s="1">
        <v>4.3455399550671099E-6</v>
      </c>
      <c r="F41397" s="1">
        <v>3.5814648449877303E-5</v>
      </c>
    </row>
    <row r="41398" spans="1:6" x14ac:dyDescent="0.25">
      <c r="A41398" s="2" t="str">
        <f t="shared" si="1308"/>
        <v>99999</v>
      </c>
      <c r="B41398" s="2" t="str">
        <f>"48654"</f>
        <v>48654</v>
      </c>
      <c r="C41398" s="1">
        <v>1.73857088818162E-4</v>
      </c>
      <c r="D41398" s="1">
        <v>1.48725061994069E-4</v>
      </c>
      <c r="E41398" s="1">
        <v>9.5601879011476503E-5</v>
      </c>
      <c r="F41398" s="1">
        <v>1.7041803554066601E-4</v>
      </c>
    </row>
    <row r="41399" spans="1:6" x14ac:dyDescent="0.25">
      <c r="A41399" s="2" t="str">
        <f t="shared" si="1308"/>
        <v>99999</v>
      </c>
      <c r="B41399" s="2" t="str">
        <f>"48661"</f>
        <v>48661</v>
      </c>
      <c r="C41399" s="1">
        <v>6.6421484152375204E-4</v>
      </c>
      <c r="D41399" s="1">
        <v>9.1207920671873002E-4</v>
      </c>
      <c r="E41399" s="1">
        <v>5.5622911424858996E-4</v>
      </c>
      <c r="F41399" s="1">
        <v>6.7799119218309395E-4</v>
      </c>
    </row>
    <row r="41400" spans="1:6" x14ac:dyDescent="0.25">
      <c r="A41400" s="2" t="str">
        <f t="shared" si="1308"/>
        <v>99999</v>
      </c>
      <c r="B41400" s="2" t="str">
        <f>"48612"</f>
        <v>48612</v>
      </c>
      <c r="C41400" s="1">
        <v>6.0866351810351003E-4</v>
      </c>
      <c r="D41400" s="1">
        <v>2.82274097254049E-4</v>
      </c>
      <c r="E41400" s="1">
        <v>1.6513051829255E-4</v>
      </c>
      <c r="F41400" s="1">
        <v>5.7711326571594E-4</v>
      </c>
    </row>
    <row r="41401" spans="1:6" x14ac:dyDescent="0.25">
      <c r="A41401" s="2" t="str">
        <f t="shared" si="1308"/>
        <v>99999</v>
      </c>
      <c r="B41401" s="2" t="str">
        <f>"48632"</f>
        <v>48632</v>
      </c>
      <c r="C41401" s="1">
        <v>3.4160244067849802E-4</v>
      </c>
      <c r="D41401" s="1">
        <v>4.7045682875674899E-5</v>
      </c>
      <c r="E41401" s="1">
        <v>2.60732397304027E-5</v>
      </c>
      <c r="F41401" s="1">
        <v>3.15069421224337E-4</v>
      </c>
    </row>
    <row r="41402" spans="1:6" x14ac:dyDescent="0.25">
      <c r="A41402" s="2" t="str">
        <f t="shared" si="1308"/>
        <v>99999</v>
      </c>
      <c r="B41402" s="2" t="str">
        <f>"48624"</f>
        <v>48624</v>
      </c>
      <c r="C41402" s="1">
        <v>1.1778190223010699E-3</v>
      </c>
      <c r="D41402" s="1">
        <v>8.3923427839510396E-4</v>
      </c>
      <c r="E41402" s="1">
        <v>5.6926573411379201E-4</v>
      </c>
      <c r="F41402" s="1">
        <v>1.1416914044744199E-3</v>
      </c>
    </row>
    <row r="41403" spans="1:6" x14ac:dyDescent="0.25">
      <c r="A41403" s="2" t="str">
        <f t="shared" si="1308"/>
        <v>99999</v>
      </c>
      <c r="B41403" s="2" t="str">
        <f>"48435"</f>
        <v>48435</v>
      </c>
      <c r="C41403" s="1">
        <v>5.2932007581173103E-5</v>
      </c>
      <c r="D41403" s="1">
        <v>9.1056160404532095E-6</v>
      </c>
      <c r="E41403" s="1">
        <v>1.3036619865201299E-5</v>
      </c>
      <c r="F41403" s="1">
        <v>4.9145656483998298E-5</v>
      </c>
    </row>
    <row r="41404" spans="1:6" x14ac:dyDescent="0.25">
      <c r="A41404" s="2" t="str">
        <f t="shared" si="1308"/>
        <v>99999</v>
      </c>
      <c r="B41404" s="2" t="str">
        <f>"48410"</f>
        <v>48410</v>
      </c>
      <c r="C41404" s="1">
        <v>1.9644868793012701E-6</v>
      </c>
      <c r="D41404" s="1">
        <v>4.5528080202265997E-6</v>
      </c>
      <c r="E41404" s="1">
        <v>1.3036619865201299E-5</v>
      </c>
      <c r="F41404" s="1">
        <v>2.3876432299918199E-6</v>
      </c>
    </row>
    <row r="41405" spans="1:6" x14ac:dyDescent="0.25">
      <c r="A41405" s="2" t="str">
        <f t="shared" si="1308"/>
        <v>99999</v>
      </c>
      <c r="B41405" s="2" t="str">
        <f>"48413"</f>
        <v>48413</v>
      </c>
      <c r="C41405" s="1">
        <v>3.8449373754324302E-4</v>
      </c>
      <c r="D41405" s="1">
        <v>8.55927907802602E-4</v>
      </c>
      <c r="E41405" s="1">
        <v>7.0397747272087205E-4</v>
      </c>
      <c r="F41405" s="1">
        <v>4.2271233684313498E-4</v>
      </c>
    </row>
    <row r="41406" spans="1:6" x14ac:dyDescent="0.25">
      <c r="A41406" s="2" t="str">
        <f t="shared" si="1308"/>
        <v>99999</v>
      </c>
      <c r="B41406" s="2" t="str">
        <f>"47946"</f>
        <v>47946</v>
      </c>
      <c r="C41406" s="1">
        <v>6.2972718297601797E-5</v>
      </c>
      <c r="D41406" s="1">
        <v>5.15984908959015E-5</v>
      </c>
      <c r="E41406" s="1">
        <v>7.3874179236140894E-5</v>
      </c>
      <c r="F41406" s="1">
        <v>6.2476664518119299E-5</v>
      </c>
    </row>
    <row r="41407" spans="1:6" x14ac:dyDescent="0.25">
      <c r="A41407" s="2" t="str">
        <f t="shared" si="1308"/>
        <v>99999</v>
      </c>
      <c r="B41407" s="2" t="str">
        <f>"47929"</f>
        <v>47929</v>
      </c>
      <c r="C41407" s="1">
        <v>2.7175401830334201E-5</v>
      </c>
      <c r="D41407" s="1">
        <v>1.0623218713862E-5</v>
      </c>
      <c r="E41407" s="1">
        <v>3.0418779685469802E-5</v>
      </c>
      <c r="F41407" s="1">
        <v>2.6164590395327E-5</v>
      </c>
    </row>
    <row r="41408" spans="1:6" x14ac:dyDescent="0.25">
      <c r="A41408" s="2" t="str">
        <f t="shared" si="1308"/>
        <v>99999</v>
      </c>
      <c r="B41408" s="2" t="str">
        <f>"47522"</f>
        <v>47522</v>
      </c>
      <c r="C41408" s="1">
        <v>1.2660026555497001E-5</v>
      </c>
      <c r="D41408" s="1">
        <v>1.0623218713862E-5</v>
      </c>
      <c r="E41408" s="1">
        <v>4.3455399550671099E-6</v>
      </c>
      <c r="F41408" s="1">
        <v>1.2336156688290999E-5</v>
      </c>
    </row>
    <row r="41409" spans="1:6" x14ac:dyDescent="0.25">
      <c r="A41409" s="2" t="str">
        <f t="shared" si="1308"/>
        <v>99999</v>
      </c>
      <c r="B41409" s="2" t="str">
        <f>"47553"</f>
        <v>47553</v>
      </c>
      <c r="C41409" s="1">
        <v>3.0416805181181298E-4</v>
      </c>
      <c r="D41409" s="1">
        <v>3.2931978012972401E-4</v>
      </c>
      <c r="E41409" s="1">
        <v>1.47748358472281E-4</v>
      </c>
      <c r="F41409" s="1">
        <v>3.0223583886313101E-4</v>
      </c>
    </row>
    <row r="41410" spans="1:6" x14ac:dyDescent="0.25">
      <c r="A41410" s="2" t="str">
        <f t="shared" si="1308"/>
        <v>99999</v>
      </c>
      <c r="B41410" s="2" t="str">
        <f>"47462"</f>
        <v>47462</v>
      </c>
      <c r="C41410" s="1">
        <v>6.41732380571748E-5</v>
      </c>
      <c r="D41410" s="1">
        <v>1.9728834754315301E-5</v>
      </c>
      <c r="E41410" s="1">
        <v>0</v>
      </c>
      <c r="F41410" s="1">
        <v>5.9790565884378502E-5</v>
      </c>
    </row>
    <row r="41411" spans="1:6" x14ac:dyDescent="0.25">
      <c r="A41411" s="2" t="str">
        <f t="shared" si="1308"/>
        <v>99999</v>
      </c>
      <c r="B41411" s="2" t="str">
        <f>"47453"</f>
        <v>47453</v>
      </c>
      <c r="C41411" s="1">
        <v>3.2523171668432101E-5</v>
      </c>
      <c r="D41411" s="1">
        <v>2.88344507947685E-5</v>
      </c>
      <c r="E41411" s="1">
        <v>4.3455399550671099E-6</v>
      </c>
      <c r="F41411" s="1">
        <v>3.1636272797391603E-5</v>
      </c>
    </row>
    <row r="41412" spans="1:6" x14ac:dyDescent="0.25">
      <c r="A41412" s="2" t="str">
        <f t="shared" si="1308"/>
        <v>99999</v>
      </c>
      <c r="B41412" s="2" t="str">
        <f>"47611"</f>
        <v>47611</v>
      </c>
      <c r="C41412" s="1">
        <v>5.7515810299542702E-5</v>
      </c>
      <c r="D41412" s="1">
        <v>2.5799245447950699E-5</v>
      </c>
      <c r="E41412" s="1">
        <v>1.3036619865201299E-5</v>
      </c>
      <c r="F41412" s="1">
        <v>5.4418368616896901E-5</v>
      </c>
    </row>
    <row r="41413" spans="1:6" x14ac:dyDescent="0.25">
      <c r="A41413" s="2" t="str">
        <f t="shared" si="1308"/>
        <v>99999</v>
      </c>
      <c r="B41413" s="2" t="str">
        <f>"47648"</f>
        <v>47648</v>
      </c>
      <c r="C41413" s="1">
        <v>2.2853530695871399E-4</v>
      </c>
      <c r="D41413" s="1">
        <v>1.7452430744201901E-4</v>
      </c>
      <c r="E41413" s="1">
        <v>2.6507793725909402E-4</v>
      </c>
      <c r="F41413" s="1">
        <v>2.2583125550339301E-4</v>
      </c>
    </row>
    <row r="41414" spans="1:6" x14ac:dyDescent="0.25">
      <c r="A41414" s="2" t="str">
        <f t="shared" si="1308"/>
        <v>99999</v>
      </c>
      <c r="B41414" s="2" t="str">
        <f>"47445"</f>
        <v>47445</v>
      </c>
      <c r="C41414" s="1">
        <v>0</v>
      </c>
      <c r="D41414" s="1">
        <v>0</v>
      </c>
      <c r="E41414" s="1">
        <v>4.3455399550671099E-6</v>
      </c>
      <c r="F41414" s="1">
        <v>9.9485134582992598E-8</v>
      </c>
    </row>
    <row r="41415" spans="1:6" x14ac:dyDescent="0.25">
      <c r="A41415" s="2" t="str">
        <f t="shared" si="1308"/>
        <v>99999</v>
      </c>
      <c r="B41415" s="2" t="str">
        <f>"47601"</f>
        <v>47601</v>
      </c>
      <c r="C41415" s="1">
        <v>6.6574277576320803E-6</v>
      </c>
      <c r="D41415" s="1">
        <v>3.0352053468177301E-6</v>
      </c>
      <c r="E41415" s="1">
        <v>0</v>
      </c>
      <c r="F41415" s="1">
        <v>6.2675634787285303E-6</v>
      </c>
    </row>
    <row r="41416" spans="1:6" x14ac:dyDescent="0.25">
      <c r="A41416" s="2" t="str">
        <f t="shared" si="1308"/>
        <v>99999</v>
      </c>
      <c r="B41416" s="2" t="str">
        <f>"47586"</f>
        <v>47586</v>
      </c>
      <c r="C41416" s="1">
        <v>6.5231878208798296E-4</v>
      </c>
      <c r="D41416" s="1">
        <v>7.8763578749920296E-4</v>
      </c>
      <c r="E41416" s="1">
        <v>7.3005071245127505E-4</v>
      </c>
      <c r="F41416" s="1">
        <v>6.6296893686106204E-4</v>
      </c>
    </row>
    <row r="41417" spans="1:6" x14ac:dyDescent="0.25">
      <c r="A41417" s="2" t="str">
        <f t="shared" si="1308"/>
        <v>99999</v>
      </c>
      <c r="B41417" s="2" t="str">
        <f>"47403"</f>
        <v>47403</v>
      </c>
      <c r="C41417" s="1">
        <v>1.5934171354332501E-5</v>
      </c>
      <c r="D41417" s="1">
        <v>1.51760267340886E-6</v>
      </c>
      <c r="E41417" s="1">
        <v>0</v>
      </c>
      <c r="F41417" s="1">
        <v>1.4624314783699901E-5</v>
      </c>
    </row>
    <row r="41418" spans="1:6" x14ac:dyDescent="0.25">
      <c r="A41418" s="2" t="str">
        <f t="shared" si="1308"/>
        <v>99999</v>
      </c>
      <c r="B41418" s="2" t="str">
        <f>"47352"</f>
        <v>47352</v>
      </c>
      <c r="C41418" s="1">
        <v>7.7488093572439E-6</v>
      </c>
      <c r="D41418" s="1">
        <v>4.5528080202265997E-6</v>
      </c>
      <c r="E41418" s="1">
        <v>0</v>
      </c>
      <c r="F41418" s="1">
        <v>7.3618999591414504E-6</v>
      </c>
    </row>
    <row r="41419" spans="1:6" x14ac:dyDescent="0.25">
      <c r="A41419" s="2" t="str">
        <f t="shared" si="1308"/>
        <v>99999</v>
      </c>
      <c r="B41419" s="2" t="str">
        <f>"47017"</f>
        <v>47017</v>
      </c>
      <c r="C41419" s="1">
        <v>2.9903855829363701E-5</v>
      </c>
      <c r="D41419" s="1">
        <v>1.21408213872709E-5</v>
      </c>
      <c r="E41419" s="1">
        <v>0</v>
      </c>
      <c r="F41419" s="1">
        <v>2.80548079524039E-5</v>
      </c>
    </row>
    <row r="41420" spans="1:6" x14ac:dyDescent="0.25">
      <c r="A41420" s="2" t="str">
        <f t="shared" si="1308"/>
        <v>99999</v>
      </c>
      <c r="B41420" s="2" t="str">
        <f>"47145"</f>
        <v>47145</v>
      </c>
      <c r="C41420" s="1">
        <v>1.06955396761958E-4</v>
      </c>
      <c r="D41420" s="1">
        <v>1.9728834754315301E-5</v>
      </c>
      <c r="E41420" s="1">
        <v>1.82512678112818E-4</v>
      </c>
      <c r="F41420" s="1">
        <v>1.02967114293397E-4</v>
      </c>
    </row>
    <row r="41421" spans="1:6" x14ac:dyDescent="0.25">
      <c r="A41421" s="2" t="str">
        <f t="shared" si="1308"/>
        <v>99999</v>
      </c>
      <c r="B41421" s="2" t="str">
        <f>"47042"</f>
        <v>47042</v>
      </c>
      <c r="C41421" s="1">
        <v>2.2329667528057701E-4</v>
      </c>
      <c r="D41421" s="1">
        <v>2.18534784970877E-4</v>
      </c>
      <c r="E41421" s="1">
        <v>2.9115117698949599E-4</v>
      </c>
      <c r="F41421" s="1">
        <v>2.2453794875381401E-4</v>
      </c>
    </row>
    <row r="41422" spans="1:6" x14ac:dyDescent="0.25">
      <c r="A41422" s="2" t="str">
        <f t="shared" si="1308"/>
        <v>99999</v>
      </c>
      <c r="B41422" s="2" t="str">
        <f>"47037"</f>
        <v>47037</v>
      </c>
      <c r="C41422" s="1">
        <v>2.0408835912740899E-4</v>
      </c>
      <c r="D41422" s="1">
        <v>2.03358758236788E-4</v>
      </c>
      <c r="E41422" s="1">
        <v>1.21675118741879E-4</v>
      </c>
      <c r="F41422" s="1">
        <v>2.02153793472641E-4</v>
      </c>
    </row>
    <row r="41423" spans="1:6" x14ac:dyDescent="0.25">
      <c r="A41423" s="2" t="str">
        <f t="shared" si="1308"/>
        <v>99999</v>
      </c>
      <c r="B41423" s="2" t="str">
        <f>"46731"</f>
        <v>46731</v>
      </c>
      <c r="C41423" s="1">
        <v>2.7066263670372999E-5</v>
      </c>
      <c r="D41423" s="1">
        <v>9.1056160404532095E-6</v>
      </c>
      <c r="E41423" s="1">
        <v>1.3036619865201299E-5</v>
      </c>
      <c r="F41423" s="1">
        <v>2.55676795878291E-5</v>
      </c>
    </row>
    <row r="41424" spans="1:6" x14ac:dyDescent="0.25">
      <c r="A41424" s="2" t="str">
        <f t="shared" si="1308"/>
        <v>99999</v>
      </c>
      <c r="B41424" s="2" t="str">
        <f>"46771"</f>
        <v>46771</v>
      </c>
      <c r="C41424" s="1">
        <v>0</v>
      </c>
      <c r="D41424" s="1">
        <v>0</v>
      </c>
      <c r="E41424" s="1">
        <v>8.69107991013423E-6</v>
      </c>
      <c r="F41424" s="1">
        <v>1.9897026916598501E-7</v>
      </c>
    </row>
    <row r="41425" spans="1:6" x14ac:dyDescent="0.25">
      <c r="A41425" s="2" t="str">
        <f t="shared" si="1308"/>
        <v>99999</v>
      </c>
      <c r="B41425" s="2" t="str">
        <f>"46740"</f>
        <v>46740</v>
      </c>
      <c r="C41425" s="1">
        <v>4.5838027183696299E-6</v>
      </c>
      <c r="D41425" s="1">
        <v>3.0352053468177301E-6</v>
      </c>
      <c r="E41425" s="1">
        <v>0</v>
      </c>
      <c r="F41425" s="1">
        <v>4.3773459216516703E-6</v>
      </c>
    </row>
    <row r="41426" spans="1:6" x14ac:dyDescent="0.25">
      <c r="A41426" s="2" t="str">
        <f t="shared" ref="A41426:A41489" si="1309">"99999"</f>
        <v>99999</v>
      </c>
      <c r="B41426" s="2" t="str">
        <f>"46539"</f>
        <v>46539</v>
      </c>
      <c r="C41426" s="1">
        <v>3.05586847891308E-6</v>
      </c>
      <c r="D41426" s="1">
        <v>0</v>
      </c>
      <c r="E41426" s="1">
        <v>0</v>
      </c>
      <c r="F41426" s="1">
        <v>2.7855837683237898E-6</v>
      </c>
    </row>
    <row r="41427" spans="1:6" x14ac:dyDescent="0.25">
      <c r="A41427" s="2" t="str">
        <f t="shared" si="1309"/>
        <v>99999</v>
      </c>
      <c r="B41427" s="2" t="str">
        <f>"46534"</f>
        <v>46534</v>
      </c>
      <c r="C41427" s="1">
        <v>6.1924991961974504E-4</v>
      </c>
      <c r="D41427" s="1">
        <v>6.4042832817854203E-4</v>
      </c>
      <c r="E41427" s="1">
        <v>4.4324507541684501E-4</v>
      </c>
      <c r="F41427" s="1">
        <v>6.1660886414538799E-4</v>
      </c>
    </row>
    <row r="41428" spans="1:6" x14ac:dyDescent="0.25">
      <c r="A41428" s="2" t="str">
        <f t="shared" si="1309"/>
        <v>99999</v>
      </c>
      <c r="B41428" s="2" t="str">
        <f>"46045"</f>
        <v>46045</v>
      </c>
      <c r="C41428" s="1">
        <v>6.1117369578261701E-6</v>
      </c>
      <c r="D41428" s="1">
        <v>6.0704106936354696E-6</v>
      </c>
      <c r="E41428" s="1">
        <v>4.3455399550671099E-6</v>
      </c>
      <c r="F41428" s="1">
        <v>6.0685932095625502E-6</v>
      </c>
    </row>
    <row r="41429" spans="1:6" x14ac:dyDescent="0.25">
      <c r="A41429" s="2" t="str">
        <f t="shared" si="1309"/>
        <v>99999</v>
      </c>
      <c r="B41429" s="2" t="str">
        <f>"46148"</f>
        <v>46148</v>
      </c>
      <c r="C41429" s="1">
        <v>2.05179740727021E-5</v>
      </c>
      <c r="D41429" s="1">
        <v>1.21408213872709E-5</v>
      </c>
      <c r="E41429" s="1">
        <v>0</v>
      </c>
      <c r="F41429" s="1">
        <v>1.9499086378266499E-5</v>
      </c>
    </row>
    <row r="41430" spans="1:6" x14ac:dyDescent="0.25">
      <c r="A41430" s="2" t="str">
        <f t="shared" si="1309"/>
        <v>99999</v>
      </c>
      <c r="B41430" s="2" t="str">
        <f>"45893"</f>
        <v>45893</v>
      </c>
      <c r="C41430" s="1">
        <v>0</v>
      </c>
      <c r="D41430" s="1">
        <v>0</v>
      </c>
      <c r="E41430" s="1">
        <v>4.3455399550671099E-6</v>
      </c>
      <c r="F41430" s="1">
        <v>9.9485134582992598E-8</v>
      </c>
    </row>
    <row r="41431" spans="1:6" x14ac:dyDescent="0.25">
      <c r="A41431" s="2" t="str">
        <f t="shared" si="1309"/>
        <v>99999</v>
      </c>
      <c r="B41431" s="2" t="str">
        <f>"45671"</f>
        <v>45671</v>
      </c>
      <c r="C41431" s="1">
        <v>6.4391514377097196E-6</v>
      </c>
      <c r="D41431" s="1">
        <v>0</v>
      </c>
      <c r="E41431" s="1">
        <v>0</v>
      </c>
      <c r="F41431" s="1">
        <v>5.86962294039656E-6</v>
      </c>
    </row>
    <row r="41432" spans="1:6" x14ac:dyDescent="0.25">
      <c r="A41432" s="2" t="str">
        <f t="shared" si="1309"/>
        <v>99999</v>
      </c>
      <c r="B41432" s="2" t="str">
        <f>"45697"</f>
        <v>45697</v>
      </c>
      <c r="C41432" s="1">
        <v>1.6119706226266499E-4</v>
      </c>
      <c r="D41432" s="1">
        <v>4.4010477528857203E-5</v>
      </c>
      <c r="E41432" s="1">
        <v>1.0429295892161E-4</v>
      </c>
      <c r="F41432" s="1">
        <v>1.5221225591197801E-4</v>
      </c>
    </row>
    <row r="41433" spans="1:6" x14ac:dyDescent="0.25">
      <c r="A41433" s="2" t="str">
        <f t="shared" si="1309"/>
        <v>99999</v>
      </c>
      <c r="B41433" s="2" t="str">
        <f>"45642"</f>
        <v>45642</v>
      </c>
      <c r="C41433" s="1">
        <v>0</v>
      </c>
      <c r="D41433" s="1">
        <v>1.51760267340886E-6</v>
      </c>
      <c r="E41433" s="1">
        <v>0</v>
      </c>
      <c r="F41433" s="1">
        <v>9.9485134582992598E-8</v>
      </c>
    </row>
    <row r="41434" spans="1:6" x14ac:dyDescent="0.25">
      <c r="A41434" s="2" t="str">
        <f t="shared" si="1309"/>
        <v>99999</v>
      </c>
      <c r="B41434" s="2" t="str">
        <f>"45766"</f>
        <v>45766</v>
      </c>
      <c r="C41434" s="1">
        <v>4.5838027183696299E-6</v>
      </c>
      <c r="D41434" s="1">
        <v>0</v>
      </c>
      <c r="E41434" s="1">
        <v>0</v>
      </c>
      <c r="F41434" s="1">
        <v>4.1783756524856902E-6</v>
      </c>
    </row>
    <row r="41435" spans="1:6" x14ac:dyDescent="0.25">
      <c r="A41435" s="2" t="str">
        <f t="shared" si="1309"/>
        <v>99999</v>
      </c>
      <c r="B41435" s="2" t="str">
        <f>"45783"</f>
        <v>45783</v>
      </c>
      <c r="C41435" s="1">
        <v>0</v>
      </c>
      <c r="D41435" s="1">
        <v>3.0352053468177301E-6</v>
      </c>
      <c r="E41435" s="1">
        <v>0</v>
      </c>
      <c r="F41435" s="1">
        <v>1.9897026916598501E-7</v>
      </c>
    </row>
    <row r="41436" spans="1:6" x14ac:dyDescent="0.25">
      <c r="A41436" s="2" t="str">
        <f t="shared" si="1309"/>
        <v>99999</v>
      </c>
      <c r="B41436" s="2" t="str">
        <f>"45775"</f>
        <v>45775</v>
      </c>
      <c r="C41436" s="1">
        <v>8.3490692370303995E-5</v>
      </c>
      <c r="D41436" s="1">
        <v>1.0623218713862E-5</v>
      </c>
      <c r="E41436" s="1">
        <v>0</v>
      </c>
      <c r="F41436" s="1">
        <v>7.6802523898070299E-5</v>
      </c>
    </row>
    <row r="41437" spans="1:6" x14ac:dyDescent="0.25">
      <c r="A41437" s="2" t="str">
        <f t="shared" si="1309"/>
        <v>99999</v>
      </c>
      <c r="B41437" s="2" t="str">
        <f>"45770"</f>
        <v>45770</v>
      </c>
      <c r="C41437" s="1">
        <v>3.8198355986413601E-5</v>
      </c>
      <c r="D41437" s="1">
        <v>1.0623218713862E-5</v>
      </c>
      <c r="E41437" s="1">
        <v>0</v>
      </c>
      <c r="F41437" s="1">
        <v>3.5516193046128301E-5</v>
      </c>
    </row>
    <row r="41438" spans="1:6" x14ac:dyDescent="0.25">
      <c r="A41438" s="2" t="str">
        <f t="shared" si="1309"/>
        <v>99999</v>
      </c>
      <c r="B41438" s="2" t="str">
        <f>"45767"</f>
        <v>45767</v>
      </c>
      <c r="C41438" s="1">
        <v>3.7652665186607698E-5</v>
      </c>
      <c r="D41438" s="1">
        <v>9.1056160404532095E-6</v>
      </c>
      <c r="E41438" s="1">
        <v>8.69107991013423E-6</v>
      </c>
      <c r="F41438" s="1">
        <v>3.5118252507796402E-5</v>
      </c>
    </row>
    <row r="41439" spans="1:6" x14ac:dyDescent="0.25">
      <c r="A41439" s="2" t="str">
        <f t="shared" si="1309"/>
        <v>99999</v>
      </c>
      <c r="B41439" s="2" t="str">
        <f>"45837"</f>
        <v>45837</v>
      </c>
      <c r="C41439" s="1">
        <v>0</v>
      </c>
      <c r="D41439" s="1">
        <v>1.51760267340886E-6</v>
      </c>
      <c r="E41439" s="1">
        <v>0</v>
      </c>
      <c r="F41439" s="1">
        <v>9.9485134582992598E-8</v>
      </c>
    </row>
    <row r="41440" spans="1:6" x14ac:dyDescent="0.25">
      <c r="A41440" s="2" t="str">
        <f t="shared" si="1309"/>
        <v>99999</v>
      </c>
      <c r="B41440" s="2" t="str">
        <f>"45836"</f>
        <v>45836</v>
      </c>
      <c r="C41440" s="1">
        <v>7.3559119813836402E-5</v>
      </c>
      <c r="D41440" s="1">
        <v>6.0704106936354703E-5</v>
      </c>
      <c r="E41440" s="1">
        <v>2.1727699775335501E-5</v>
      </c>
      <c r="F41440" s="1">
        <v>7.1529811765171696E-5</v>
      </c>
    </row>
    <row r="41441" spans="1:6" x14ac:dyDescent="0.25">
      <c r="A41441" s="2" t="str">
        <f t="shared" si="1309"/>
        <v>99999</v>
      </c>
      <c r="B41441" s="2" t="str">
        <f>"45827"</f>
        <v>45827</v>
      </c>
      <c r="C41441" s="1">
        <v>9.5386751806072798E-5</v>
      </c>
      <c r="D41441" s="1">
        <v>9.1056160404532095E-6</v>
      </c>
      <c r="E41441" s="1">
        <v>4.3455399550671099E-6</v>
      </c>
      <c r="F41441" s="1">
        <v>8.7646403567616493E-5</v>
      </c>
    </row>
    <row r="41442" spans="1:6" x14ac:dyDescent="0.25">
      <c r="A41442" s="2" t="str">
        <f t="shared" si="1309"/>
        <v>99999</v>
      </c>
      <c r="B41442" s="2" t="str">
        <f>"45634"</f>
        <v>45634</v>
      </c>
      <c r="C41442" s="1">
        <v>1.01389350603937E-4</v>
      </c>
      <c r="D41442" s="1">
        <v>2.7316848121359601E-5</v>
      </c>
      <c r="E41442" s="1">
        <v>0</v>
      </c>
      <c r="F41442" s="1">
        <v>9.4212422450094002E-5</v>
      </c>
    </row>
    <row r="41443" spans="1:6" x14ac:dyDescent="0.25">
      <c r="A41443" s="2" t="str">
        <f t="shared" si="1309"/>
        <v>99999</v>
      </c>
      <c r="B41443" s="2" t="str">
        <f>"45325"</f>
        <v>45325</v>
      </c>
      <c r="C41443" s="1">
        <v>5.4569079980590801E-7</v>
      </c>
      <c r="D41443" s="1">
        <v>0</v>
      </c>
      <c r="E41443" s="1">
        <v>0</v>
      </c>
      <c r="F41443" s="1">
        <v>4.9742567291496303E-7</v>
      </c>
    </row>
    <row r="41444" spans="1:6" x14ac:dyDescent="0.25">
      <c r="A41444" s="2" t="str">
        <f t="shared" si="1309"/>
        <v>99999</v>
      </c>
      <c r="B41444" s="2" t="str">
        <f>"45155"</f>
        <v>45155</v>
      </c>
      <c r="C41444" s="1">
        <v>0</v>
      </c>
      <c r="D41444" s="1">
        <v>0</v>
      </c>
      <c r="E41444" s="1">
        <v>4.3455399550671099E-6</v>
      </c>
      <c r="F41444" s="1">
        <v>9.9485134582992598E-8</v>
      </c>
    </row>
    <row r="41445" spans="1:6" x14ac:dyDescent="0.25">
      <c r="A41445" s="2" t="str">
        <f t="shared" si="1309"/>
        <v>99999</v>
      </c>
      <c r="B41445" s="2" t="str">
        <f>"44844"</f>
        <v>44844</v>
      </c>
      <c r="C41445" s="1">
        <v>1.73529674338278E-5</v>
      </c>
      <c r="D41445" s="1">
        <v>1.51760267340886E-6</v>
      </c>
      <c r="E41445" s="1">
        <v>8.69107991013423E-6</v>
      </c>
      <c r="F41445" s="1">
        <v>1.61165918024448E-5</v>
      </c>
    </row>
    <row r="41446" spans="1:6" x14ac:dyDescent="0.25">
      <c r="A41446" s="2" t="str">
        <f t="shared" si="1309"/>
        <v>99999</v>
      </c>
      <c r="B41446" s="2" t="str">
        <f>"45003"</f>
        <v>45003</v>
      </c>
      <c r="C41446" s="1">
        <v>2.8157645269984799E-5</v>
      </c>
      <c r="D41446" s="1">
        <v>4.5528080202265997E-6</v>
      </c>
      <c r="E41446" s="1">
        <v>2.1727699775335501E-5</v>
      </c>
      <c r="F41446" s="1">
        <v>2.6463045799075999E-5</v>
      </c>
    </row>
    <row r="41447" spans="1:6" x14ac:dyDescent="0.25">
      <c r="A41447" s="2" t="str">
        <f t="shared" si="1309"/>
        <v>99999</v>
      </c>
      <c r="B41447" s="2" t="str">
        <f>"44681"</f>
        <v>44681</v>
      </c>
      <c r="C41447" s="1">
        <v>9.1348639887509103E-5</v>
      </c>
      <c r="D41447" s="1">
        <v>7.2844928323625703E-5</v>
      </c>
      <c r="E41447" s="1">
        <v>4.3455399550671099E-6</v>
      </c>
      <c r="F41447" s="1">
        <v>8.8143829240531398E-5</v>
      </c>
    </row>
    <row r="41448" spans="1:6" x14ac:dyDescent="0.25">
      <c r="A41448" s="2" t="str">
        <f t="shared" si="1309"/>
        <v>99999</v>
      </c>
      <c r="B41448" s="2" t="str">
        <f>"43974"</f>
        <v>43974</v>
      </c>
      <c r="C41448" s="1">
        <v>0</v>
      </c>
      <c r="D41448" s="1">
        <v>0</v>
      </c>
      <c r="E41448" s="1">
        <v>4.3455399550671099E-6</v>
      </c>
      <c r="F41448" s="1">
        <v>9.9485134582992598E-8</v>
      </c>
    </row>
    <row r="41449" spans="1:6" x14ac:dyDescent="0.25">
      <c r="A41449" s="2" t="str">
        <f t="shared" si="1309"/>
        <v>99999</v>
      </c>
      <c r="B41449" s="2" t="str">
        <f>"43931"</f>
        <v>43931</v>
      </c>
      <c r="C41449" s="1">
        <v>0</v>
      </c>
      <c r="D41449" s="1">
        <v>0</v>
      </c>
      <c r="E41449" s="1">
        <v>4.3455399550671099E-6</v>
      </c>
      <c r="F41449" s="1">
        <v>9.9485134582992598E-8</v>
      </c>
    </row>
    <row r="41450" spans="1:6" x14ac:dyDescent="0.25">
      <c r="A41450" s="2" t="str">
        <f t="shared" si="1309"/>
        <v>99999</v>
      </c>
      <c r="B41450" s="2" t="str">
        <f>"43717"</f>
        <v>43717</v>
      </c>
      <c r="C41450" s="1">
        <v>0</v>
      </c>
      <c r="D41450" s="1">
        <v>3.0352053468177301E-6</v>
      </c>
      <c r="E41450" s="1">
        <v>0</v>
      </c>
      <c r="F41450" s="1">
        <v>1.9897026916598501E-7</v>
      </c>
    </row>
    <row r="41451" spans="1:6" x14ac:dyDescent="0.25">
      <c r="A41451" s="2" t="str">
        <f t="shared" si="1309"/>
        <v>99999</v>
      </c>
      <c r="B41451" s="2" t="str">
        <f>"43345"</f>
        <v>43345</v>
      </c>
      <c r="C41451" s="1">
        <v>2.2809875431886899E-5</v>
      </c>
      <c r="D41451" s="1">
        <v>4.5528080202265997E-6</v>
      </c>
      <c r="E41451" s="1">
        <v>0</v>
      </c>
      <c r="F41451" s="1">
        <v>2.1090848531594401E-5</v>
      </c>
    </row>
    <row r="41452" spans="1:6" x14ac:dyDescent="0.25">
      <c r="A41452" s="2" t="str">
        <f t="shared" si="1309"/>
        <v>99999</v>
      </c>
      <c r="B41452" s="2" t="str">
        <f>"43351"</f>
        <v>43351</v>
      </c>
      <c r="C41452" s="1">
        <v>5.2200781909433197E-4</v>
      </c>
      <c r="D41452" s="1">
        <v>7.6183654205125198E-4</v>
      </c>
      <c r="E41452" s="1">
        <v>5.9533897384419501E-4</v>
      </c>
      <c r="F41452" s="1">
        <v>5.3940839970898597E-4</v>
      </c>
    </row>
    <row r="41453" spans="1:6" x14ac:dyDescent="0.25">
      <c r="A41453" s="2" t="str">
        <f t="shared" si="1309"/>
        <v>99999</v>
      </c>
      <c r="B41453" s="2" t="str">
        <f>"43521"</f>
        <v>43521</v>
      </c>
      <c r="C41453" s="1">
        <v>7.63967119728272E-7</v>
      </c>
      <c r="D41453" s="1">
        <v>1.51760267340886E-6</v>
      </c>
      <c r="E41453" s="1">
        <v>0</v>
      </c>
      <c r="F41453" s="1">
        <v>7.9588107666394099E-7</v>
      </c>
    </row>
    <row r="41454" spans="1:6" x14ac:dyDescent="0.25">
      <c r="A41454" s="2" t="str">
        <f t="shared" si="1309"/>
        <v>99999</v>
      </c>
      <c r="B41454" s="2" t="str">
        <f>"43532"</f>
        <v>43532</v>
      </c>
      <c r="C41454" s="1">
        <v>1.7112863481913199E-4</v>
      </c>
      <c r="D41454" s="1">
        <v>7.5880133670443406E-5</v>
      </c>
      <c r="E41454" s="1">
        <v>6.9528639281073799E-5</v>
      </c>
      <c r="F41454" s="1">
        <v>1.6255870990860899E-4</v>
      </c>
    </row>
    <row r="41455" spans="1:6" x14ac:dyDescent="0.25">
      <c r="A41455" s="2" t="str">
        <f t="shared" si="1309"/>
        <v>99999</v>
      </c>
      <c r="B41455" s="2" t="str">
        <f>"43555"</f>
        <v>43555</v>
      </c>
      <c r="C41455" s="1">
        <v>4.6929408783308102E-6</v>
      </c>
      <c r="D41455" s="1">
        <v>1.51760267340886E-6</v>
      </c>
      <c r="E41455" s="1">
        <v>8.69107991013423E-6</v>
      </c>
      <c r="F41455" s="1">
        <v>4.5763161908176597E-6</v>
      </c>
    </row>
    <row r="41456" spans="1:6" x14ac:dyDescent="0.25">
      <c r="A41456" s="2" t="str">
        <f t="shared" si="1309"/>
        <v>99999</v>
      </c>
      <c r="B41456" s="2" t="str">
        <f>"43502"</f>
        <v>43502</v>
      </c>
      <c r="C41456" s="1">
        <v>3.53607638274228E-5</v>
      </c>
      <c r="D41456" s="1">
        <v>3.0352053468177301E-5</v>
      </c>
      <c r="E41456" s="1">
        <v>3.9109859595604001E-5</v>
      </c>
      <c r="F41456" s="1">
        <v>3.5118252507796402E-5</v>
      </c>
    </row>
    <row r="41457" spans="1:6" x14ac:dyDescent="0.25">
      <c r="A41457" s="2" t="str">
        <f t="shared" si="1309"/>
        <v>99999</v>
      </c>
      <c r="B41457" s="2" t="str">
        <f>"42715"</f>
        <v>42715</v>
      </c>
      <c r="C41457" s="1">
        <v>2.67388491904895E-5</v>
      </c>
      <c r="D41457" s="1">
        <v>1.51760267340886E-6</v>
      </c>
      <c r="E41457" s="1">
        <v>6.9528639281073799E-5</v>
      </c>
      <c r="F41457" s="1">
        <v>2.6065105260744001E-5</v>
      </c>
    </row>
    <row r="41458" spans="1:6" x14ac:dyDescent="0.25">
      <c r="A41458" s="2" t="str">
        <f t="shared" si="1309"/>
        <v>99999</v>
      </c>
      <c r="B41458" s="2" t="str">
        <f>"42729"</f>
        <v>42729</v>
      </c>
      <c r="C41458" s="1">
        <v>7.2467738214224595E-5</v>
      </c>
      <c r="D41458" s="1">
        <v>1.66936294074975E-5</v>
      </c>
      <c r="E41458" s="1">
        <v>2.3031361761855699E-4</v>
      </c>
      <c r="F41458" s="1">
        <v>7.2425177976418595E-5</v>
      </c>
    </row>
    <row r="41459" spans="1:6" x14ac:dyDescent="0.25">
      <c r="A41459" s="2" t="str">
        <f t="shared" si="1309"/>
        <v>99999</v>
      </c>
      <c r="B41459" s="2" t="str">
        <f>"42712"</f>
        <v>42712</v>
      </c>
      <c r="C41459" s="1">
        <v>7.7378955412477801E-5</v>
      </c>
      <c r="D41459" s="1">
        <v>3.6422464161812797E-5</v>
      </c>
      <c r="E41459" s="1">
        <v>1.9554929797801999E-4</v>
      </c>
      <c r="F41459" s="1">
        <v>7.7399434705568195E-5</v>
      </c>
    </row>
    <row r="41460" spans="1:6" x14ac:dyDescent="0.25">
      <c r="A41460" s="2" t="str">
        <f t="shared" si="1309"/>
        <v>99999</v>
      </c>
      <c r="B41460" s="2" t="str">
        <f>"42653"</f>
        <v>42653</v>
      </c>
      <c r="C41460" s="1">
        <v>1.7811347705664799E-4</v>
      </c>
      <c r="D41460" s="1">
        <v>1.27478624566345E-4</v>
      </c>
      <c r="E41460" s="1">
        <v>2.2162253770842199E-4</v>
      </c>
      <c r="F41460" s="1">
        <v>1.75790232808147E-4</v>
      </c>
    </row>
    <row r="41461" spans="1:6" x14ac:dyDescent="0.25">
      <c r="A41461" s="2" t="str">
        <f t="shared" si="1309"/>
        <v>99999</v>
      </c>
      <c r="B41461" s="2" t="str">
        <f>"42649"</f>
        <v>42649</v>
      </c>
      <c r="C41461" s="1">
        <v>8.2835863410536903E-5</v>
      </c>
      <c r="D41461" s="1">
        <v>1.5176026734088599E-5</v>
      </c>
      <c r="E41461" s="1">
        <v>3.9109859595604001E-5</v>
      </c>
      <c r="F41461" s="1">
        <v>7.7399434705568195E-5</v>
      </c>
    </row>
    <row r="41462" spans="1:6" x14ac:dyDescent="0.25">
      <c r="A41462" s="2" t="str">
        <f t="shared" si="1309"/>
        <v>99999</v>
      </c>
      <c r="B41462" s="2" t="str">
        <f>"42634"</f>
        <v>42634</v>
      </c>
      <c r="C41462" s="1">
        <v>5.8388915579232199E-5</v>
      </c>
      <c r="D41462" s="1">
        <v>1.8211232080906399E-5</v>
      </c>
      <c r="E41462" s="1">
        <v>5.6492019415872502E-5</v>
      </c>
      <c r="F41462" s="1">
        <v>5.57116753664758E-5</v>
      </c>
    </row>
    <row r="41463" spans="1:6" x14ac:dyDescent="0.25">
      <c r="A41463" s="2" t="str">
        <f t="shared" si="1309"/>
        <v>99999</v>
      </c>
      <c r="B41463" s="2" t="str">
        <f>"42629"</f>
        <v>42629</v>
      </c>
      <c r="C41463" s="1">
        <v>3.0296753205224001E-4</v>
      </c>
      <c r="D41463" s="1">
        <v>1.69971499421793E-4</v>
      </c>
      <c r="E41463" s="1">
        <v>3.86753056000973E-4</v>
      </c>
      <c r="F41463" s="1">
        <v>2.96167245653569E-4</v>
      </c>
    </row>
    <row r="41464" spans="1:6" x14ac:dyDescent="0.25">
      <c r="A41464" s="2" t="str">
        <f t="shared" si="1309"/>
        <v>99999</v>
      </c>
      <c r="B41464" s="2" t="str">
        <f>"42753"</f>
        <v>42753</v>
      </c>
      <c r="C41464" s="1">
        <v>3.8744046786219498E-5</v>
      </c>
      <c r="D41464" s="1">
        <v>1.3658424060679801E-5</v>
      </c>
      <c r="E41464" s="1">
        <v>7.8219719191208097E-5</v>
      </c>
      <c r="F41464" s="1">
        <v>3.8003321410703101E-5</v>
      </c>
    </row>
    <row r="41465" spans="1:6" x14ac:dyDescent="0.25">
      <c r="A41465" s="2" t="str">
        <f t="shared" si="1309"/>
        <v>99999</v>
      </c>
      <c r="B41465" s="2" t="str">
        <f>"42757"</f>
        <v>42757</v>
      </c>
      <c r="C41465" s="1">
        <v>8.3490692370303995E-5</v>
      </c>
      <c r="D41465" s="1">
        <v>3.4904861488403899E-5</v>
      </c>
      <c r="E41465" s="1">
        <v>9.1256339056409395E-5</v>
      </c>
      <c r="F41465" s="1">
        <v>8.0483473877640993E-5</v>
      </c>
    </row>
    <row r="41466" spans="1:6" x14ac:dyDescent="0.25">
      <c r="A41466" s="2" t="str">
        <f t="shared" si="1309"/>
        <v>99999</v>
      </c>
      <c r="B41466" s="2" t="str">
        <f>"42746"</f>
        <v>42746</v>
      </c>
      <c r="C41466" s="1">
        <v>8.8947600368363098E-5</v>
      </c>
      <c r="D41466" s="1">
        <v>4.7045682875674899E-5</v>
      </c>
      <c r="E41466" s="1">
        <v>1.8685821806788599E-4</v>
      </c>
      <c r="F41466" s="1">
        <v>8.84422846442804E-5</v>
      </c>
    </row>
    <row r="41467" spans="1:6" x14ac:dyDescent="0.25">
      <c r="A41467" s="2" t="str">
        <f t="shared" si="1309"/>
        <v>99999</v>
      </c>
      <c r="B41467" s="2" t="str">
        <f>"42082"</f>
        <v>42082</v>
      </c>
      <c r="C41467" s="1">
        <v>2.0627112232663299E-5</v>
      </c>
      <c r="D41467" s="1">
        <v>1.51760267340886E-6</v>
      </c>
      <c r="E41467" s="1">
        <v>0</v>
      </c>
      <c r="F41467" s="1">
        <v>1.89021755707686E-5</v>
      </c>
    </row>
    <row r="41468" spans="1:6" x14ac:dyDescent="0.25">
      <c r="A41468" s="2" t="str">
        <f t="shared" si="1309"/>
        <v>99999</v>
      </c>
      <c r="B41468" s="2" t="str">
        <f>"42085"</f>
        <v>42085</v>
      </c>
      <c r="C41468" s="1">
        <v>1.1459506795924E-5</v>
      </c>
      <c r="D41468" s="1">
        <v>0</v>
      </c>
      <c r="E41468" s="1">
        <v>0</v>
      </c>
      <c r="F41468" s="1">
        <v>1.04459391312142E-5</v>
      </c>
    </row>
    <row r="41469" spans="1:6" x14ac:dyDescent="0.25">
      <c r="A41469" s="2" t="str">
        <f t="shared" si="1309"/>
        <v>99999</v>
      </c>
      <c r="B41469" s="2" t="str">
        <f>"42409"</f>
        <v>42409</v>
      </c>
      <c r="C41469" s="1">
        <v>1.11866613960211E-4</v>
      </c>
      <c r="D41469" s="1">
        <v>7.5880133670443406E-5</v>
      </c>
      <c r="E41469" s="1">
        <v>2.60732397304027E-5</v>
      </c>
      <c r="F41469" s="1">
        <v>1.07543430484215E-4</v>
      </c>
    </row>
    <row r="41470" spans="1:6" x14ac:dyDescent="0.25">
      <c r="A41470" s="2" t="str">
        <f t="shared" si="1309"/>
        <v>99999</v>
      </c>
      <c r="B41470" s="2" t="str">
        <f>"42408"</f>
        <v>42408</v>
      </c>
      <c r="C41470" s="1">
        <v>5.4023389180784903E-5</v>
      </c>
      <c r="D41470" s="1">
        <v>4.5528080202265997E-6</v>
      </c>
      <c r="E41470" s="1">
        <v>3.47643196405369E-5</v>
      </c>
      <c r="F41470" s="1">
        <v>5.0339478098994199E-5</v>
      </c>
    </row>
    <row r="41471" spans="1:6" x14ac:dyDescent="0.25">
      <c r="A41471" s="2" t="str">
        <f t="shared" si="1309"/>
        <v>99999</v>
      </c>
      <c r="B41471" s="2" t="str">
        <f>"42376"</f>
        <v>42376</v>
      </c>
      <c r="C41471" s="1">
        <v>5.4787356300513198E-5</v>
      </c>
      <c r="D41471" s="1">
        <v>2.4281642774541899E-5</v>
      </c>
      <c r="E41471" s="1">
        <v>0</v>
      </c>
      <c r="F41471" s="1">
        <v>5.15332997139901E-5</v>
      </c>
    </row>
    <row r="41472" spans="1:6" x14ac:dyDescent="0.25">
      <c r="A41472" s="2" t="str">
        <f t="shared" si="1309"/>
        <v>99999</v>
      </c>
      <c r="B41472" s="2" t="str">
        <f>"42349"</f>
        <v>42349</v>
      </c>
      <c r="C41472" s="1">
        <v>7.4650501413448304E-5</v>
      </c>
      <c r="D41472" s="1">
        <v>2.1246437427724101E-5</v>
      </c>
      <c r="E41472" s="1">
        <v>0</v>
      </c>
      <c r="F41472" s="1">
        <v>6.9440623938928802E-5</v>
      </c>
    </row>
    <row r="41473" spans="1:6" x14ac:dyDescent="0.25">
      <c r="A41473" s="2" t="str">
        <f t="shared" si="1309"/>
        <v>99999</v>
      </c>
      <c r="B41473" s="2" t="str">
        <f>"42240"</f>
        <v>42240</v>
      </c>
      <c r="C41473" s="1">
        <v>6.5482895976708995E-7</v>
      </c>
      <c r="D41473" s="1">
        <v>0</v>
      </c>
      <c r="E41473" s="1">
        <v>0</v>
      </c>
      <c r="F41473" s="1">
        <v>5.9691080749795498E-7</v>
      </c>
    </row>
    <row r="41474" spans="1:6" x14ac:dyDescent="0.25">
      <c r="A41474" s="2" t="str">
        <f t="shared" si="1309"/>
        <v>99999</v>
      </c>
      <c r="B41474" s="2" t="str">
        <f>"42275"</f>
        <v>42275</v>
      </c>
      <c r="C41474" s="1">
        <v>1.09138159961181E-7</v>
      </c>
      <c r="D41474" s="1">
        <v>0</v>
      </c>
      <c r="E41474" s="1">
        <v>0</v>
      </c>
      <c r="F41474" s="1">
        <v>9.9485134582992598E-8</v>
      </c>
    </row>
    <row r="41475" spans="1:6" x14ac:dyDescent="0.25">
      <c r="A41475" s="2" t="str">
        <f t="shared" si="1309"/>
        <v>99999</v>
      </c>
      <c r="B41475" s="2" t="str">
        <f>"42256"</f>
        <v>42256</v>
      </c>
      <c r="C41475" s="1">
        <v>2.6225899838671902E-4</v>
      </c>
      <c r="D41475" s="1">
        <v>8.4985749710896595E-5</v>
      </c>
      <c r="E41475" s="1">
        <v>4.7800939505738197E-5</v>
      </c>
      <c r="F41475" s="1">
        <v>2.45728282419991E-4</v>
      </c>
    </row>
    <row r="41476" spans="1:6" x14ac:dyDescent="0.25">
      <c r="A41476" s="2" t="str">
        <f t="shared" si="1309"/>
        <v>99999</v>
      </c>
      <c r="B41476" s="2" t="str">
        <f>"42033"</f>
        <v>42033</v>
      </c>
      <c r="C41476" s="1">
        <v>0</v>
      </c>
      <c r="D41476" s="1">
        <v>0</v>
      </c>
      <c r="E41476" s="1">
        <v>4.3455399550671099E-6</v>
      </c>
      <c r="F41476" s="1">
        <v>9.9485134582992598E-8</v>
      </c>
    </row>
    <row r="41477" spans="1:6" x14ac:dyDescent="0.25">
      <c r="A41477" s="2" t="str">
        <f t="shared" si="1309"/>
        <v>99999</v>
      </c>
      <c r="B41477" s="2" t="str">
        <f>"42039"</f>
        <v>42039</v>
      </c>
      <c r="C41477" s="1">
        <v>3.3505415108082699E-5</v>
      </c>
      <c r="D41477" s="1">
        <v>3.0352053468177301E-6</v>
      </c>
      <c r="E41477" s="1">
        <v>9.5601879011476503E-5</v>
      </c>
      <c r="F41477" s="1">
        <v>3.2929579546970502E-5</v>
      </c>
    </row>
    <row r="41478" spans="1:6" x14ac:dyDescent="0.25">
      <c r="A41478" s="2" t="str">
        <f t="shared" si="1309"/>
        <v>99999</v>
      </c>
      <c r="B41478" s="2" t="str">
        <f>"42025"</f>
        <v>42025</v>
      </c>
      <c r="C41478" s="1">
        <v>1.18327593029913E-3</v>
      </c>
      <c r="D41478" s="1">
        <v>1.4310993210245599E-3</v>
      </c>
      <c r="E41478" s="1">
        <v>8.7779907092355703E-4</v>
      </c>
      <c r="F41478" s="1">
        <v>1.1925283082463299E-3</v>
      </c>
    </row>
    <row r="41479" spans="1:6" x14ac:dyDescent="0.25">
      <c r="A41479" s="2" t="str">
        <f t="shared" si="1309"/>
        <v>99999</v>
      </c>
      <c r="B41479" s="2" t="str">
        <f>"41093"</f>
        <v>41093</v>
      </c>
      <c r="C41479" s="1">
        <v>1.66435693940802E-4</v>
      </c>
      <c r="D41479" s="1">
        <v>4.8563285549083798E-5</v>
      </c>
      <c r="E41479" s="1">
        <v>3.0418779685469802E-5</v>
      </c>
      <c r="F41479" s="1">
        <v>1.555947504878E-4</v>
      </c>
    </row>
    <row r="41480" spans="1:6" x14ac:dyDescent="0.25">
      <c r="A41480" s="2" t="str">
        <f t="shared" si="1309"/>
        <v>99999</v>
      </c>
      <c r="B41480" s="2" t="str">
        <f>"41083"</f>
        <v>41083</v>
      </c>
      <c r="C41480" s="1">
        <v>3.7980079666491197E-5</v>
      </c>
      <c r="D41480" s="1">
        <v>1.0623218713862E-5</v>
      </c>
      <c r="E41480" s="1">
        <v>1.7382159820268399E-5</v>
      </c>
      <c r="F41480" s="1">
        <v>3.5715163315294298E-5</v>
      </c>
    </row>
    <row r="41481" spans="1:6" x14ac:dyDescent="0.25">
      <c r="A41481" s="2" t="str">
        <f t="shared" si="1309"/>
        <v>99999</v>
      </c>
      <c r="B41481" s="2" t="str">
        <f>"41772"</f>
        <v>41772</v>
      </c>
      <c r="C41481" s="1">
        <v>1.04772633562734E-5</v>
      </c>
      <c r="D41481" s="1">
        <v>0</v>
      </c>
      <c r="E41481" s="1">
        <v>4.3455399550671099E-6</v>
      </c>
      <c r="F41481" s="1">
        <v>9.6500580545502799E-6</v>
      </c>
    </row>
    <row r="41482" spans="1:6" x14ac:dyDescent="0.25">
      <c r="A41482" s="2" t="str">
        <f t="shared" si="1309"/>
        <v>99999</v>
      </c>
      <c r="B41482" s="2" t="str">
        <f>"41858"</f>
        <v>41858</v>
      </c>
      <c r="C41482" s="1">
        <v>3.3429018396109901E-4</v>
      </c>
      <c r="D41482" s="1">
        <v>5.5696018114105496E-4</v>
      </c>
      <c r="E41482" s="1">
        <v>1.14722254813771E-3</v>
      </c>
      <c r="F41482" s="1">
        <v>3.6749808714957403E-4</v>
      </c>
    </row>
    <row r="41483" spans="1:6" x14ac:dyDescent="0.25">
      <c r="A41483" s="2" t="str">
        <f t="shared" si="1309"/>
        <v>99999</v>
      </c>
      <c r="B41483" s="2" t="str">
        <f>"41847"</f>
        <v>41847</v>
      </c>
      <c r="C41483" s="1">
        <v>1.73529674338278E-5</v>
      </c>
      <c r="D41483" s="1">
        <v>1.51760267340886E-6</v>
      </c>
      <c r="E41483" s="1">
        <v>2.1727699775335501E-5</v>
      </c>
      <c r="F41483" s="1">
        <v>1.6415047206193701E-5</v>
      </c>
    </row>
    <row r="41484" spans="1:6" x14ac:dyDescent="0.25">
      <c r="A41484" s="2" t="str">
        <f t="shared" si="1309"/>
        <v>99999</v>
      </c>
      <c r="B41484" s="2" t="str">
        <f>"41831"</f>
        <v>41831</v>
      </c>
      <c r="C41484" s="1">
        <v>4.1799915265132602E-5</v>
      </c>
      <c r="D41484" s="1">
        <v>4.5528080202265997E-6</v>
      </c>
      <c r="E41484" s="1">
        <v>3.9109859595604001E-5</v>
      </c>
      <c r="F41484" s="1">
        <v>3.9296628160282001E-5</v>
      </c>
    </row>
    <row r="41485" spans="1:6" x14ac:dyDescent="0.25">
      <c r="A41485" s="2" t="str">
        <f t="shared" si="1309"/>
        <v>99999</v>
      </c>
      <c r="B41485" s="2" t="str">
        <f>"41754"</f>
        <v>41754</v>
      </c>
      <c r="C41485" s="1">
        <v>2.08453885525857E-5</v>
      </c>
      <c r="D41485" s="1">
        <v>6.0704106936354696E-6</v>
      </c>
      <c r="E41485" s="1">
        <v>8.69107991013423E-6</v>
      </c>
      <c r="F41485" s="1">
        <v>1.9598571512849501E-5</v>
      </c>
    </row>
    <row r="41486" spans="1:6" x14ac:dyDescent="0.25">
      <c r="A41486" s="2" t="str">
        <f t="shared" si="1309"/>
        <v>99999</v>
      </c>
      <c r="B41486" s="2" t="str">
        <f>"41749"</f>
        <v>41749</v>
      </c>
      <c r="C41486" s="1">
        <v>9.8333482125024699E-5</v>
      </c>
      <c r="D41486" s="1">
        <v>7.2844928323625703E-5</v>
      </c>
      <c r="E41486" s="1">
        <v>3.47643196405369E-5</v>
      </c>
      <c r="F41486" s="1">
        <v>9.5207273795923906E-5</v>
      </c>
    </row>
    <row r="41487" spans="1:6" x14ac:dyDescent="0.25">
      <c r="A41487" s="2" t="str">
        <f t="shared" si="1309"/>
        <v>99999</v>
      </c>
      <c r="B41487" s="2" t="str">
        <f>"41731"</f>
        <v>41731</v>
      </c>
      <c r="C41487" s="1">
        <v>5.3477698380979E-5</v>
      </c>
      <c r="D41487" s="1">
        <v>7.5880133670443404E-6</v>
      </c>
      <c r="E41487" s="1">
        <v>1.3036619865201299E-5</v>
      </c>
      <c r="F41487" s="1">
        <v>4.9543597022330299E-5</v>
      </c>
    </row>
    <row r="41488" spans="1:6" x14ac:dyDescent="0.25">
      <c r="A41488" s="2" t="str">
        <f t="shared" si="1309"/>
        <v>99999</v>
      </c>
      <c r="B41488" s="2" t="str">
        <f>"41451"</f>
        <v>41451</v>
      </c>
      <c r="C41488" s="1">
        <v>0</v>
      </c>
      <c r="D41488" s="1">
        <v>0</v>
      </c>
      <c r="E41488" s="1">
        <v>4.3455399550671099E-6</v>
      </c>
      <c r="F41488" s="1">
        <v>9.9485134582992598E-8</v>
      </c>
    </row>
    <row r="41489" spans="1:6" x14ac:dyDescent="0.25">
      <c r="A41489" s="2" t="str">
        <f t="shared" si="1309"/>
        <v>99999</v>
      </c>
      <c r="B41489" s="2" t="str">
        <f>"41367"</f>
        <v>41367</v>
      </c>
      <c r="C41489" s="1">
        <v>1.3533131835186499E-5</v>
      </c>
      <c r="D41489" s="1">
        <v>0</v>
      </c>
      <c r="E41489" s="1">
        <v>0</v>
      </c>
      <c r="F41489" s="1">
        <v>1.2336156688290999E-5</v>
      </c>
    </row>
    <row r="41490" spans="1:6" x14ac:dyDescent="0.25">
      <c r="A41490" s="2" t="str">
        <f t="shared" ref="A41490:A41553" si="1310">"99999"</f>
        <v>99999</v>
      </c>
      <c r="B41490" s="2" t="str">
        <f>"41465"</f>
        <v>41465</v>
      </c>
      <c r="C41490" s="1">
        <v>8.8903945104378598E-4</v>
      </c>
      <c r="D41490" s="1">
        <v>3.36907793496769E-4</v>
      </c>
      <c r="E41490" s="1">
        <v>7.2135963254114097E-4</v>
      </c>
      <c r="F41490" s="1">
        <v>8.4900613853125897E-4</v>
      </c>
    </row>
    <row r="41491" spans="1:6" x14ac:dyDescent="0.25">
      <c r="A41491" s="2" t="str">
        <f t="shared" si="1310"/>
        <v>99999</v>
      </c>
      <c r="B41491" s="2" t="str">
        <f>"41365"</f>
        <v>41365</v>
      </c>
      <c r="C41491" s="1">
        <v>3.3723691428005097E-5</v>
      </c>
      <c r="D41491" s="1">
        <v>7.5880133670443404E-6</v>
      </c>
      <c r="E41491" s="1">
        <v>3.0418779685469802E-5</v>
      </c>
      <c r="F41491" s="1">
        <v>3.1934728201140598E-5</v>
      </c>
    </row>
    <row r="41492" spans="1:6" x14ac:dyDescent="0.25">
      <c r="A41492" s="2" t="str">
        <f t="shared" si="1310"/>
        <v>99999</v>
      </c>
      <c r="B41492" s="2" t="str">
        <f>"41311"</f>
        <v>41311</v>
      </c>
      <c r="C41492" s="1">
        <v>4.2716675808806502E-4</v>
      </c>
      <c r="D41492" s="1">
        <v>2.2005238764428599E-4</v>
      </c>
      <c r="E41492" s="1">
        <v>3.9109859595603998E-4</v>
      </c>
      <c r="F41492" s="1">
        <v>4.1276382338483603E-4</v>
      </c>
    </row>
    <row r="41493" spans="1:6" x14ac:dyDescent="0.25">
      <c r="A41493" s="2" t="str">
        <f t="shared" si="1310"/>
        <v>99999</v>
      </c>
      <c r="B41493" s="2" t="str">
        <f>"41301"</f>
        <v>41301</v>
      </c>
      <c r="C41493" s="1">
        <v>3.6943267146860001E-4</v>
      </c>
      <c r="D41493" s="1">
        <v>1.09267392485438E-4</v>
      </c>
      <c r="E41493" s="1">
        <v>4.2586291559657701E-4</v>
      </c>
      <c r="F41493" s="1">
        <v>3.5366965344253801E-4</v>
      </c>
    </row>
    <row r="41494" spans="1:6" x14ac:dyDescent="0.25">
      <c r="A41494" s="2" t="str">
        <f t="shared" si="1310"/>
        <v>99999</v>
      </c>
      <c r="B41494" s="2" t="str">
        <f>"41714"</f>
        <v>41714</v>
      </c>
      <c r="C41494" s="1">
        <v>7.2031185574379897E-6</v>
      </c>
      <c r="D41494" s="1">
        <v>0</v>
      </c>
      <c r="E41494" s="1">
        <v>4.3455399550671099E-6</v>
      </c>
      <c r="F41494" s="1">
        <v>6.6655040170604998E-6</v>
      </c>
    </row>
    <row r="41495" spans="1:6" x14ac:dyDescent="0.25">
      <c r="A41495" s="2" t="str">
        <f t="shared" si="1310"/>
        <v>99999</v>
      </c>
      <c r="B41495" s="2" t="str">
        <f>"41713"</f>
        <v>41713</v>
      </c>
      <c r="C41495" s="1">
        <v>0</v>
      </c>
      <c r="D41495" s="1">
        <v>0</v>
      </c>
      <c r="E41495" s="1">
        <v>4.3455399550671099E-6</v>
      </c>
      <c r="F41495" s="1">
        <v>9.9485134582992598E-8</v>
      </c>
    </row>
    <row r="41496" spans="1:6" x14ac:dyDescent="0.25">
      <c r="A41496" s="2" t="str">
        <f t="shared" si="1310"/>
        <v>99999</v>
      </c>
      <c r="B41496" s="2" t="str">
        <f>"41643"</f>
        <v>41643</v>
      </c>
      <c r="C41496" s="1">
        <v>5.8934606379038102E-6</v>
      </c>
      <c r="D41496" s="1">
        <v>7.5880133670443404E-6</v>
      </c>
      <c r="E41496" s="1">
        <v>4.3455399550671099E-6</v>
      </c>
      <c r="F41496" s="1">
        <v>5.96910807497955E-6</v>
      </c>
    </row>
    <row r="41497" spans="1:6" x14ac:dyDescent="0.25">
      <c r="A41497" s="2" t="str">
        <f t="shared" si="1310"/>
        <v>99999</v>
      </c>
      <c r="B41497" s="2" t="str">
        <f>"41651"</f>
        <v>41651</v>
      </c>
      <c r="C41497" s="1">
        <v>2.05179740727021E-5</v>
      </c>
      <c r="D41497" s="1">
        <v>0</v>
      </c>
      <c r="E41497" s="1">
        <v>1.21675118741879E-4</v>
      </c>
      <c r="F41497" s="1">
        <v>2.1488789069926402E-5</v>
      </c>
    </row>
    <row r="41498" spans="1:6" x14ac:dyDescent="0.25">
      <c r="A41498" s="2" t="str">
        <f t="shared" si="1310"/>
        <v>99999</v>
      </c>
      <c r="B41498" s="2" t="str">
        <f>"41558"</f>
        <v>41558</v>
      </c>
      <c r="C41498" s="1">
        <v>3.5797316467267603E-5</v>
      </c>
      <c r="D41498" s="1">
        <v>1.51760267340886E-6</v>
      </c>
      <c r="E41498" s="1">
        <v>4.3455399550671099E-6</v>
      </c>
      <c r="F41498" s="1">
        <v>3.2830094412387497E-5</v>
      </c>
    </row>
    <row r="41499" spans="1:6" x14ac:dyDescent="0.25">
      <c r="A41499" s="2" t="str">
        <f t="shared" si="1310"/>
        <v>99999</v>
      </c>
      <c r="B41499" s="2" t="str">
        <f>"41649"</f>
        <v>41649</v>
      </c>
      <c r="C41499" s="1">
        <v>1.1055695604067699E-4</v>
      </c>
      <c r="D41499" s="1">
        <v>5.0080888222492601E-5</v>
      </c>
      <c r="E41499" s="1">
        <v>1.30366198652013E-4</v>
      </c>
      <c r="F41499" s="1">
        <v>1.070460048113E-4</v>
      </c>
    </row>
    <row r="41500" spans="1:6" x14ac:dyDescent="0.25">
      <c r="A41500" s="2" t="str">
        <f t="shared" si="1310"/>
        <v>99999</v>
      </c>
      <c r="B41500" s="2" t="str">
        <f>"41645"</f>
        <v>41645</v>
      </c>
      <c r="C41500" s="1">
        <v>5.9807711658727498E-5</v>
      </c>
      <c r="D41500" s="1">
        <v>7.5880133670443404E-6</v>
      </c>
      <c r="E41500" s="1">
        <v>2.3465915757362401E-4</v>
      </c>
      <c r="F41500" s="1">
        <v>6.03874766918765E-5</v>
      </c>
    </row>
    <row r="41501" spans="1:6" x14ac:dyDescent="0.25">
      <c r="A41501" s="2" t="str">
        <f t="shared" si="1310"/>
        <v>99999</v>
      </c>
      <c r="B41501" s="2" t="str">
        <f>"41605"</f>
        <v>41605</v>
      </c>
      <c r="C41501" s="1">
        <v>2.89216123897131E-5</v>
      </c>
      <c r="D41501" s="1">
        <v>1.0623218713862E-5</v>
      </c>
      <c r="E41501" s="1">
        <v>4.3455399550671099E-6</v>
      </c>
      <c r="F41501" s="1">
        <v>2.71594417411569E-5</v>
      </c>
    </row>
    <row r="41502" spans="1:6" x14ac:dyDescent="0.25">
      <c r="A41502" s="2" t="str">
        <f t="shared" si="1310"/>
        <v>99999</v>
      </c>
      <c r="B41502" s="2" t="str">
        <f>"41603"</f>
        <v>41603</v>
      </c>
      <c r="C41502" s="1">
        <v>7.2904290854069404E-5</v>
      </c>
      <c r="D41502" s="1">
        <v>4.5528080202265997E-6</v>
      </c>
      <c r="E41502" s="1">
        <v>3.0418779685469802E-5</v>
      </c>
      <c r="F41502" s="1">
        <v>6.7450921247268994E-5</v>
      </c>
    </row>
    <row r="41503" spans="1:6" x14ac:dyDescent="0.25">
      <c r="A41503" s="2" t="str">
        <f t="shared" si="1310"/>
        <v>99999</v>
      </c>
      <c r="B41503" s="2" t="str">
        <f>"41572"</f>
        <v>41572</v>
      </c>
      <c r="C41503" s="1">
        <v>1.99068003769195E-4</v>
      </c>
      <c r="D41503" s="1">
        <v>1.66936294074975E-5</v>
      </c>
      <c r="E41503" s="1">
        <v>4.7800939505738197E-5</v>
      </c>
      <c r="F41503" s="1">
        <v>1.8364955844020399E-4</v>
      </c>
    </row>
    <row r="41504" spans="1:6" x14ac:dyDescent="0.25">
      <c r="A41504" s="2" t="str">
        <f t="shared" si="1310"/>
        <v>99999</v>
      </c>
      <c r="B41504" s="2" t="str">
        <f>"41559"</f>
        <v>41559</v>
      </c>
      <c r="C41504" s="1">
        <v>1.25508883955359E-5</v>
      </c>
      <c r="D41504" s="1">
        <v>0</v>
      </c>
      <c r="E41504" s="1">
        <v>4.3455399550671099E-6</v>
      </c>
      <c r="F41504" s="1">
        <v>1.1540275611627099E-5</v>
      </c>
    </row>
    <row r="41505" spans="1:6" x14ac:dyDescent="0.25">
      <c r="A41505" s="2" t="str">
        <f t="shared" si="1310"/>
        <v>99999</v>
      </c>
      <c r="B41505" s="2" t="str">
        <f>"41540"</f>
        <v>41540</v>
      </c>
      <c r="C41505" s="1">
        <v>2.0190559592818601E-5</v>
      </c>
      <c r="D41505" s="1">
        <v>3.0352053468177301E-6</v>
      </c>
      <c r="E41505" s="1">
        <v>4.3455399550671099E-6</v>
      </c>
      <c r="F41505" s="1">
        <v>1.8703205301602599E-5</v>
      </c>
    </row>
    <row r="41506" spans="1:6" x14ac:dyDescent="0.25">
      <c r="A41506" s="2" t="str">
        <f t="shared" si="1310"/>
        <v>99999</v>
      </c>
      <c r="B41506" s="2" t="str">
        <f>"41512"</f>
        <v>41512</v>
      </c>
      <c r="C41506" s="1">
        <v>3.5797316467267603E-5</v>
      </c>
      <c r="D41506" s="1">
        <v>7.5880133670443404E-6</v>
      </c>
      <c r="E41506" s="1">
        <v>4.7800939505738197E-5</v>
      </c>
      <c r="F41506" s="1">
        <v>3.4222886296549402E-5</v>
      </c>
    </row>
    <row r="41507" spans="1:6" x14ac:dyDescent="0.25">
      <c r="A41507" s="2" t="str">
        <f t="shared" si="1310"/>
        <v>99999</v>
      </c>
      <c r="B41507" s="2" t="str">
        <f>"41045"</f>
        <v>41045</v>
      </c>
      <c r="C41507" s="1">
        <v>4.3327849504589097E-5</v>
      </c>
      <c r="D41507" s="1">
        <v>4.2492874855448297E-5</v>
      </c>
      <c r="E41507" s="1">
        <v>4.3455399550671103E-5</v>
      </c>
      <c r="F41507" s="1">
        <v>4.3276033543601697E-5</v>
      </c>
    </row>
    <row r="41508" spans="1:6" x14ac:dyDescent="0.25">
      <c r="A41508" s="2" t="str">
        <f t="shared" si="1310"/>
        <v>99999</v>
      </c>
      <c r="B41508" s="2" t="str">
        <f>"41226"</f>
        <v>41226</v>
      </c>
      <c r="C41508" s="1">
        <v>1.1132092316040499E-5</v>
      </c>
      <c r="D41508" s="1">
        <v>0</v>
      </c>
      <c r="E41508" s="1">
        <v>1.7382159820268399E-5</v>
      </c>
      <c r="F41508" s="1">
        <v>1.05454242657972E-5</v>
      </c>
    </row>
    <row r="41509" spans="1:6" x14ac:dyDescent="0.25">
      <c r="A41509" s="2" t="str">
        <f t="shared" si="1310"/>
        <v>99999</v>
      </c>
      <c r="B41509" s="2" t="str">
        <f>"41181"</f>
        <v>41181</v>
      </c>
      <c r="C41509" s="1">
        <v>0</v>
      </c>
      <c r="D41509" s="1">
        <v>0</v>
      </c>
      <c r="E41509" s="1">
        <v>4.3455399550671099E-6</v>
      </c>
      <c r="F41509" s="1">
        <v>9.9485134582992598E-8</v>
      </c>
    </row>
    <row r="41510" spans="1:6" x14ac:dyDescent="0.25">
      <c r="A41510" s="2" t="str">
        <f t="shared" si="1310"/>
        <v>99999</v>
      </c>
      <c r="B41510" s="2" t="str">
        <f>"41204"</f>
        <v>41204</v>
      </c>
      <c r="C41510" s="1">
        <v>3.1540928228781503E-5</v>
      </c>
      <c r="D41510" s="1">
        <v>3.0352053468177301E-6</v>
      </c>
      <c r="E41510" s="1">
        <v>4.3455399550671099E-6</v>
      </c>
      <c r="F41510" s="1">
        <v>2.9049659298233801E-5</v>
      </c>
    </row>
    <row r="41511" spans="1:6" x14ac:dyDescent="0.25">
      <c r="A41511" s="2" t="str">
        <f t="shared" si="1310"/>
        <v>99999</v>
      </c>
      <c r="B41511" s="2" t="str">
        <f>"41257"</f>
        <v>41257</v>
      </c>
      <c r="C41511" s="1">
        <v>3.2414033508470899E-5</v>
      </c>
      <c r="D41511" s="1">
        <v>1.51760267340886E-6</v>
      </c>
      <c r="E41511" s="1">
        <v>1.7382159820268399E-5</v>
      </c>
      <c r="F41511" s="1">
        <v>3.0044510644063701E-5</v>
      </c>
    </row>
    <row r="41512" spans="1:6" x14ac:dyDescent="0.25">
      <c r="A41512" s="2" t="str">
        <f t="shared" si="1310"/>
        <v>99999</v>
      </c>
      <c r="B41512" s="2" t="str">
        <f>"41255"</f>
        <v>41255</v>
      </c>
      <c r="C41512" s="1">
        <v>5.6424428699930902E-5</v>
      </c>
      <c r="D41512" s="1">
        <v>1.8211232080906399E-5</v>
      </c>
      <c r="E41512" s="1">
        <v>4.3455399550671099E-6</v>
      </c>
      <c r="F41512" s="1">
        <v>5.2727121328986E-5</v>
      </c>
    </row>
    <row r="41513" spans="1:6" x14ac:dyDescent="0.25">
      <c r="A41513" s="2" t="str">
        <f t="shared" si="1310"/>
        <v>99999</v>
      </c>
      <c r="B41513" s="2" t="str">
        <f>"41234"</f>
        <v>41234</v>
      </c>
      <c r="C41513" s="1">
        <v>2.3901257031498801E-5</v>
      </c>
      <c r="D41513" s="1">
        <v>0</v>
      </c>
      <c r="E41513" s="1">
        <v>4.3455399550671099E-6</v>
      </c>
      <c r="F41513" s="1">
        <v>2.1886729608258301E-5</v>
      </c>
    </row>
    <row r="41514" spans="1:6" x14ac:dyDescent="0.25">
      <c r="A41514" s="2" t="str">
        <f t="shared" si="1310"/>
        <v>99999</v>
      </c>
      <c r="B41514" s="2" t="str">
        <f>"40484"</f>
        <v>40484</v>
      </c>
      <c r="C41514" s="1">
        <v>6.5482895976709E-6</v>
      </c>
      <c r="D41514" s="1">
        <v>0</v>
      </c>
      <c r="E41514" s="1">
        <v>1.3036619865201299E-5</v>
      </c>
      <c r="F41514" s="1">
        <v>6.2675634787285303E-6</v>
      </c>
    </row>
    <row r="41515" spans="1:6" x14ac:dyDescent="0.25">
      <c r="A41515" s="2" t="str">
        <f t="shared" si="1310"/>
        <v>99999</v>
      </c>
      <c r="B41515" s="2" t="str">
        <f>"40849"</f>
        <v>40849</v>
      </c>
      <c r="C41515" s="1">
        <v>0</v>
      </c>
      <c r="D41515" s="1">
        <v>0</v>
      </c>
      <c r="E41515" s="1">
        <v>4.3455399550671099E-6</v>
      </c>
      <c r="F41515" s="1">
        <v>9.9485134582992598E-8</v>
      </c>
    </row>
    <row r="41516" spans="1:6" x14ac:dyDescent="0.25">
      <c r="A41516" s="2" t="str">
        <f t="shared" si="1310"/>
        <v>99999</v>
      </c>
      <c r="B41516" s="2" t="str">
        <f>"40801"</f>
        <v>40801</v>
      </c>
      <c r="C41516" s="1">
        <v>3.2741447988354498E-7</v>
      </c>
      <c r="D41516" s="1">
        <v>1.51760267340886E-6</v>
      </c>
      <c r="E41516" s="1">
        <v>4.3455399550671099E-6</v>
      </c>
      <c r="F41516" s="1">
        <v>4.9742567291496303E-7</v>
      </c>
    </row>
    <row r="41517" spans="1:6" x14ac:dyDescent="0.25">
      <c r="A41517" s="2" t="str">
        <f t="shared" si="1310"/>
        <v>99999</v>
      </c>
      <c r="B41517" s="2" t="str">
        <f>"40873"</f>
        <v>40873</v>
      </c>
      <c r="C41517" s="1">
        <v>8.6437422689255897E-5</v>
      </c>
      <c r="D41517" s="1">
        <v>4.5528080202265997E-6</v>
      </c>
      <c r="E41517" s="1">
        <v>6.9528639281073799E-5</v>
      </c>
      <c r="F41517" s="1">
        <v>8.0682444146807004E-5</v>
      </c>
    </row>
    <row r="41518" spans="1:6" x14ac:dyDescent="0.25">
      <c r="A41518" s="2" t="str">
        <f t="shared" si="1310"/>
        <v>99999</v>
      </c>
      <c r="B41518" s="2" t="str">
        <f>"40831"</f>
        <v>40831</v>
      </c>
      <c r="C41518" s="1">
        <v>2.79175413180702E-4</v>
      </c>
      <c r="D41518" s="1">
        <v>7.6183654205125198E-4</v>
      </c>
      <c r="E41518" s="1">
        <v>5.6057465420365803E-4</v>
      </c>
      <c r="F41518" s="1">
        <v>3.1725809418516298E-4</v>
      </c>
    </row>
    <row r="41519" spans="1:6" x14ac:dyDescent="0.25">
      <c r="A41519" s="2" t="str">
        <f t="shared" si="1310"/>
        <v>99999</v>
      </c>
      <c r="B41519" s="2" t="str">
        <f>"40464"</f>
        <v>40464</v>
      </c>
      <c r="C41519" s="1">
        <v>3.8198355986413598E-6</v>
      </c>
      <c r="D41519" s="1">
        <v>0</v>
      </c>
      <c r="E41519" s="1">
        <v>0</v>
      </c>
      <c r="F41519" s="1">
        <v>3.48197971040474E-6</v>
      </c>
    </row>
    <row r="41520" spans="1:6" x14ac:dyDescent="0.25">
      <c r="A41520" s="2" t="str">
        <f t="shared" si="1310"/>
        <v>99999</v>
      </c>
      <c r="B41520" s="2" t="str">
        <f>"40445"</f>
        <v>40445</v>
      </c>
      <c r="C41520" s="1">
        <v>3.5688178307306401E-5</v>
      </c>
      <c r="D41520" s="1">
        <v>7.5880133670443404E-6</v>
      </c>
      <c r="E41520" s="1">
        <v>2.1727699775335501E-5</v>
      </c>
      <c r="F41520" s="1">
        <v>3.35264903544685E-5</v>
      </c>
    </row>
    <row r="41521" spans="1:6" x14ac:dyDescent="0.25">
      <c r="A41521" s="2" t="str">
        <f t="shared" si="1310"/>
        <v>99999</v>
      </c>
      <c r="B41521" s="2" t="str">
        <f>"40444"</f>
        <v>40444</v>
      </c>
      <c r="C41521" s="1">
        <v>7.4846950101378404E-4</v>
      </c>
      <c r="D41521" s="1">
        <v>5.8731223460923199E-4</v>
      </c>
      <c r="E41521" s="1">
        <v>4.4759061537191297E-4</v>
      </c>
      <c r="F41521" s="1">
        <v>7.3101676891582903E-4</v>
      </c>
    </row>
    <row r="41522" spans="1:6" x14ac:dyDescent="0.25">
      <c r="A41522" s="2" t="str">
        <f t="shared" si="1310"/>
        <v>99999</v>
      </c>
      <c r="B41522" s="2" t="str">
        <f>"40601"</f>
        <v>40601</v>
      </c>
      <c r="C41522" s="1">
        <v>4.3655263984472602E-7</v>
      </c>
      <c r="D41522" s="1">
        <v>0</v>
      </c>
      <c r="E41522" s="1">
        <v>0</v>
      </c>
      <c r="F41522" s="1">
        <v>3.9794053833197002E-7</v>
      </c>
    </row>
    <row r="41523" spans="1:6" x14ac:dyDescent="0.25">
      <c r="A41523" s="2" t="str">
        <f t="shared" si="1310"/>
        <v>99999</v>
      </c>
      <c r="B41523" s="2" t="str">
        <f>"40409"</f>
        <v>40409</v>
      </c>
      <c r="C41523" s="1">
        <v>1.8378866137463E-4</v>
      </c>
      <c r="D41523" s="1">
        <v>5.3116093569310399E-5</v>
      </c>
      <c r="E41523" s="1">
        <v>1.6947605824761699E-4</v>
      </c>
      <c r="F41523" s="1">
        <v>1.7489486659690099E-4</v>
      </c>
    </row>
    <row r="41524" spans="1:6" x14ac:dyDescent="0.25">
      <c r="A41524" s="2" t="str">
        <f t="shared" si="1310"/>
        <v>99999</v>
      </c>
      <c r="B41524" s="2" t="str">
        <f>"40380"</f>
        <v>40380</v>
      </c>
      <c r="C41524" s="1">
        <v>3.5666350675314098E-4</v>
      </c>
      <c r="D41524" s="1">
        <v>3.2780217745631503E-4</v>
      </c>
      <c r="E41524" s="1">
        <v>3.3026103658510001E-4</v>
      </c>
      <c r="F41524" s="1">
        <v>3.5416707911545303E-4</v>
      </c>
    </row>
    <row r="41525" spans="1:6" x14ac:dyDescent="0.25">
      <c r="A41525" s="2" t="str">
        <f t="shared" si="1310"/>
        <v>99999</v>
      </c>
      <c r="B41525" s="2" t="str">
        <f>"40342"</f>
        <v>40342</v>
      </c>
      <c r="C41525" s="1">
        <v>1.52793423945654E-6</v>
      </c>
      <c r="D41525" s="1">
        <v>1.51760267340886E-6</v>
      </c>
      <c r="E41525" s="1">
        <v>0</v>
      </c>
      <c r="F41525" s="1">
        <v>1.4922770187448801E-6</v>
      </c>
    </row>
    <row r="41526" spans="1:6" x14ac:dyDescent="0.25">
      <c r="A41526" s="2" t="str">
        <f t="shared" si="1310"/>
        <v>99999</v>
      </c>
      <c r="B41526" s="2" t="str">
        <f>"40330"</f>
        <v>40330</v>
      </c>
      <c r="C41526" s="1">
        <v>1.07828502041647E-3</v>
      </c>
      <c r="D41526" s="1">
        <v>1.00161776444985E-3</v>
      </c>
      <c r="E41526" s="1">
        <v>9.38636630294497E-4</v>
      </c>
      <c r="F41526" s="1">
        <v>1.07006210757466E-3</v>
      </c>
    </row>
    <row r="41527" spans="1:6" x14ac:dyDescent="0.25">
      <c r="A41527" s="2" t="str">
        <f t="shared" si="1310"/>
        <v>99999</v>
      </c>
      <c r="B41527" s="2" t="str">
        <f>"40144"</f>
        <v>40144</v>
      </c>
      <c r="C41527" s="1">
        <v>8.5236902929682894E-5</v>
      </c>
      <c r="D41527" s="1">
        <v>3.7940066835221703E-5</v>
      </c>
      <c r="E41527" s="1">
        <v>1.2602065869694599E-4</v>
      </c>
      <c r="F41527" s="1">
        <v>8.3070087376798806E-5</v>
      </c>
    </row>
    <row r="41528" spans="1:6" x14ac:dyDescent="0.25">
      <c r="A41528" s="2" t="str">
        <f t="shared" si="1310"/>
        <v>99999</v>
      </c>
      <c r="B41528" s="2" t="str">
        <f>"40063"</f>
        <v>40063</v>
      </c>
      <c r="C41528" s="1">
        <v>0</v>
      </c>
      <c r="D41528" s="1">
        <v>1.51760267340886E-6</v>
      </c>
      <c r="E41528" s="1">
        <v>4.3455399550671099E-6</v>
      </c>
      <c r="F41528" s="1">
        <v>1.9897026916598501E-7</v>
      </c>
    </row>
    <row r="41529" spans="1:6" x14ac:dyDescent="0.25">
      <c r="A41529" s="2" t="str">
        <f t="shared" si="1310"/>
        <v>99999</v>
      </c>
      <c r="B41529" s="2" t="str">
        <f>"40052"</f>
        <v>40052</v>
      </c>
      <c r="C41529" s="1">
        <v>6.4391514377097196E-6</v>
      </c>
      <c r="D41529" s="1">
        <v>0</v>
      </c>
      <c r="E41529" s="1">
        <v>3.0418779685469802E-5</v>
      </c>
      <c r="F41529" s="1">
        <v>6.5660188824775097E-6</v>
      </c>
    </row>
    <row r="41530" spans="1:6" x14ac:dyDescent="0.25">
      <c r="A41530" s="2" t="str">
        <f t="shared" si="1310"/>
        <v>99999</v>
      </c>
      <c r="B41530" s="2" t="str">
        <f>"40055"</f>
        <v>40055</v>
      </c>
      <c r="C41530" s="1">
        <v>3.3505415108082699E-5</v>
      </c>
      <c r="D41530" s="1">
        <v>7.5880133670443404E-6</v>
      </c>
      <c r="E41530" s="1">
        <v>1.7382159820268399E-5</v>
      </c>
      <c r="F41530" s="1">
        <v>3.1437302528225599E-5</v>
      </c>
    </row>
    <row r="41531" spans="1:6" x14ac:dyDescent="0.25">
      <c r="A41531" s="2" t="str">
        <f t="shared" si="1310"/>
        <v>99999</v>
      </c>
      <c r="B41531" s="2" t="str">
        <f>"40033"</f>
        <v>40033</v>
      </c>
      <c r="C41531" s="1">
        <v>6.4271462401139904E-4</v>
      </c>
      <c r="D41531" s="1">
        <v>8.8476235859736999E-4</v>
      </c>
      <c r="E41531" s="1">
        <v>1.29062536665493E-3</v>
      </c>
      <c r="F41531" s="1">
        <v>6.7341487599227698E-4</v>
      </c>
    </row>
    <row r="41532" spans="1:6" x14ac:dyDescent="0.25">
      <c r="A41532" s="2" t="str">
        <f t="shared" si="1310"/>
        <v>99999</v>
      </c>
      <c r="B41532" s="2" t="str">
        <f>"39739"</f>
        <v>39739</v>
      </c>
      <c r="C41532" s="1">
        <v>1.10993508680521E-4</v>
      </c>
      <c r="D41532" s="1">
        <v>7.2844928323625703E-5</v>
      </c>
      <c r="E41532" s="1">
        <v>6.9528639281073799E-5</v>
      </c>
      <c r="F41532" s="1">
        <v>1.07543430484215E-4</v>
      </c>
    </row>
    <row r="41533" spans="1:6" x14ac:dyDescent="0.25">
      <c r="A41533" s="2" t="str">
        <f t="shared" si="1310"/>
        <v>99999</v>
      </c>
      <c r="B41533" s="2" t="str">
        <f>"39661"</f>
        <v>39661</v>
      </c>
      <c r="C41533" s="1">
        <v>1.3511304203194199E-4</v>
      </c>
      <c r="D41533" s="1">
        <v>1.8211232080906399E-5</v>
      </c>
      <c r="E41533" s="1">
        <v>0</v>
      </c>
      <c r="F41533" s="1">
        <v>1.2435641822874E-4</v>
      </c>
    </row>
    <row r="41534" spans="1:6" x14ac:dyDescent="0.25">
      <c r="A41534" s="2" t="str">
        <f t="shared" si="1310"/>
        <v>99999</v>
      </c>
      <c r="B41534" s="2" t="str">
        <f>"39656"</f>
        <v>39656</v>
      </c>
      <c r="C41534" s="1">
        <v>6.6246863096437299E-5</v>
      </c>
      <c r="D41534" s="1">
        <v>2.4281642774541899E-5</v>
      </c>
      <c r="E41534" s="1">
        <v>0</v>
      </c>
      <c r="F41534" s="1">
        <v>6.1979238845204395E-5</v>
      </c>
    </row>
    <row r="41535" spans="1:6" x14ac:dyDescent="0.25">
      <c r="A41535" s="2" t="str">
        <f t="shared" si="1310"/>
        <v>99999</v>
      </c>
      <c r="B41535" s="2" t="str">
        <f>"40009"</f>
        <v>40009</v>
      </c>
      <c r="C41535" s="1">
        <v>5.6970119499736798E-5</v>
      </c>
      <c r="D41535" s="1">
        <v>2.4281642774541899E-5</v>
      </c>
      <c r="E41535" s="1">
        <v>2.2162253770842199E-4</v>
      </c>
      <c r="F41535" s="1">
        <v>5.8596744269382601E-5</v>
      </c>
    </row>
    <row r="41536" spans="1:6" x14ac:dyDescent="0.25">
      <c r="A41536" s="2" t="str">
        <f t="shared" si="1310"/>
        <v>99999</v>
      </c>
      <c r="B41536" s="2" t="str">
        <f>"40006"</f>
        <v>40006</v>
      </c>
      <c r="C41536" s="1">
        <v>2.6651538662520499E-4</v>
      </c>
      <c r="D41536" s="1">
        <v>1.03196981791803E-4</v>
      </c>
      <c r="E41536" s="1">
        <v>4.3455399550671099E-4</v>
      </c>
      <c r="F41536" s="1">
        <v>2.5965620126161001E-4</v>
      </c>
    </row>
    <row r="41537" spans="1:6" x14ac:dyDescent="0.25">
      <c r="A41537" s="2" t="str">
        <f t="shared" si="1310"/>
        <v>99999</v>
      </c>
      <c r="B41537" s="2" t="str">
        <f>"39886"</f>
        <v>39886</v>
      </c>
      <c r="C41537" s="1">
        <v>6.1663060378067599E-5</v>
      </c>
      <c r="D41537" s="1">
        <v>6.8292120303399095E-5</v>
      </c>
      <c r="E41537" s="1">
        <v>3.9109859595604001E-5</v>
      </c>
      <c r="F41537" s="1">
        <v>6.1581298306872401E-5</v>
      </c>
    </row>
    <row r="41538" spans="1:6" x14ac:dyDescent="0.25">
      <c r="A41538" s="2" t="str">
        <f t="shared" si="1310"/>
        <v>99999</v>
      </c>
      <c r="B41538" s="2" t="str">
        <f>"39834"</f>
        <v>39834</v>
      </c>
      <c r="C41538" s="1">
        <v>2.1827631992236301E-7</v>
      </c>
      <c r="D41538" s="1">
        <v>0</v>
      </c>
      <c r="E41538" s="1">
        <v>0</v>
      </c>
      <c r="F41538" s="1">
        <v>1.9897026916598501E-7</v>
      </c>
    </row>
    <row r="41539" spans="1:6" x14ac:dyDescent="0.25">
      <c r="A41539" s="2" t="str">
        <f t="shared" si="1310"/>
        <v>99999</v>
      </c>
      <c r="B41539" s="2" t="str">
        <f>"39836"</f>
        <v>39836</v>
      </c>
      <c r="C41539" s="1">
        <v>2.2264184632080999E-5</v>
      </c>
      <c r="D41539" s="1">
        <v>1.21408213872709E-5</v>
      </c>
      <c r="E41539" s="1">
        <v>0</v>
      </c>
      <c r="F41539" s="1">
        <v>2.1090848531594401E-5</v>
      </c>
    </row>
    <row r="41540" spans="1:6" x14ac:dyDescent="0.25">
      <c r="A41540" s="2" t="str">
        <f t="shared" si="1310"/>
        <v>99999</v>
      </c>
      <c r="B41540" s="2" t="str">
        <f>"39601"</f>
        <v>39601</v>
      </c>
      <c r="C41540" s="1">
        <v>1.65890003140996E-5</v>
      </c>
      <c r="D41540" s="1">
        <v>4.5528080202265997E-6</v>
      </c>
      <c r="E41540" s="1">
        <v>0</v>
      </c>
      <c r="F41540" s="1">
        <v>1.5420195860363801E-5</v>
      </c>
    </row>
    <row r="41541" spans="1:6" x14ac:dyDescent="0.25">
      <c r="A41541" s="2" t="str">
        <f t="shared" si="1310"/>
        <v>99999</v>
      </c>
      <c r="B41541" s="2" t="str">
        <f>"39759"</f>
        <v>39759</v>
      </c>
      <c r="C41541" s="1">
        <v>1.52793423945654E-6</v>
      </c>
      <c r="D41541" s="1">
        <v>0</v>
      </c>
      <c r="E41541" s="1">
        <v>8.69107991013423E-6</v>
      </c>
      <c r="F41541" s="1">
        <v>1.5917621533278801E-6</v>
      </c>
    </row>
    <row r="41542" spans="1:6" x14ac:dyDescent="0.25">
      <c r="A41542" s="2" t="str">
        <f t="shared" si="1310"/>
        <v>99999</v>
      </c>
      <c r="B41542" s="2" t="str">
        <f>"39746"</f>
        <v>39746</v>
      </c>
      <c r="C41542" s="1">
        <v>1.7985968761602701E-4</v>
      </c>
      <c r="D41542" s="1">
        <v>9.2573763077941E-5</v>
      </c>
      <c r="E41542" s="1">
        <v>3.0418779685469802E-5</v>
      </c>
      <c r="F41542" s="1">
        <v>1.7071649094441499E-4</v>
      </c>
    </row>
    <row r="41543" spans="1:6" x14ac:dyDescent="0.25">
      <c r="A41543" s="2" t="str">
        <f t="shared" si="1310"/>
        <v>99999</v>
      </c>
      <c r="B41543" s="2" t="str">
        <f>"39429"</f>
        <v>39429</v>
      </c>
      <c r="C41543" s="1">
        <v>1.0130204007596801E-3</v>
      </c>
      <c r="D41543" s="1">
        <v>1.78470074392883E-3</v>
      </c>
      <c r="E41543" s="1">
        <v>5.2581033456312095E-4</v>
      </c>
      <c r="F41543" s="1">
        <v>1.05245323875347E-3</v>
      </c>
    </row>
    <row r="41544" spans="1:6" x14ac:dyDescent="0.25">
      <c r="A41544" s="2" t="str">
        <f t="shared" si="1310"/>
        <v>99999</v>
      </c>
      <c r="B41544" s="2" t="str">
        <f>"39474"</f>
        <v>39474</v>
      </c>
      <c r="C41544" s="1">
        <v>2.7557385390198302E-4</v>
      </c>
      <c r="D41544" s="1">
        <v>8.8020955057714406E-5</v>
      </c>
      <c r="E41544" s="1">
        <v>4.7800939505738197E-5</v>
      </c>
      <c r="F41544" s="1">
        <v>2.5806443910828198E-4</v>
      </c>
    </row>
    <row r="41545" spans="1:6" x14ac:dyDescent="0.25">
      <c r="A41545" s="2" t="str">
        <f t="shared" si="1310"/>
        <v>99999</v>
      </c>
      <c r="B41545" s="2" t="str">
        <f>"39360"</f>
        <v>39360</v>
      </c>
      <c r="C41545" s="1">
        <v>7.4432225093525899E-5</v>
      </c>
      <c r="D41545" s="1">
        <v>3.3387258814995101E-5</v>
      </c>
      <c r="E41545" s="1">
        <v>0</v>
      </c>
      <c r="F41545" s="1">
        <v>7.0037534746426807E-5</v>
      </c>
    </row>
    <row r="41546" spans="1:6" x14ac:dyDescent="0.25">
      <c r="A41546" s="2" t="str">
        <f t="shared" si="1310"/>
        <v>99999</v>
      </c>
      <c r="B41546" s="2" t="str">
        <f>"39149"</f>
        <v>39149</v>
      </c>
      <c r="C41546" s="1">
        <v>4.3655263984472602E-7</v>
      </c>
      <c r="D41546" s="1">
        <v>0</v>
      </c>
      <c r="E41546" s="1">
        <v>0</v>
      </c>
      <c r="F41546" s="1">
        <v>3.9794053833197002E-7</v>
      </c>
    </row>
    <row r="41547" spans="1:6" x14ac:dyDescent="0.25">
      <c r="A41547" s="2" t="str">
        <f t="shared" si="1310"/>
        <v>99999</v>
      </c>
      <c r="B41547" s="2" t="str">
        <f>"39140"</f>
        <v>39140</v>
      </c>
      <c r="C41547" s="1">
        <v>1.1841490355788201E-4</v>
      </c>
      <c r="D41547" s="1">
        <v>4.7045682875674899E-5</v>
      </c>
      <c r="E41547" s="1">
        <v>0</v>
      </c>
      <c r="F41547" s="1">
        <v>1.11025410194619E-4</v>
      </c>
    </row>
    <row r="41548" spans="1:6" x14ac:dyDescent="0.25">
      <c r="A41548" s="2" t="str">
        <f t="shared" si="1310"/>
        <v>99999</v>
      </c>
      <c r="B41548" s="2" t="str">
        <f>"39057"</f>
        <v>39057</v>
      </c>
      <c r="C41548" s="1">
        <v>1.0531832436254E-4</v>
      </c>
      <c r="D41548" s="1">
        <v>2.4281642774541899E-5</v>
      </c>
      <c r="E41548" s="1">
        <v>8.69107991013423E-6</v>
      </c>
      <c r="F41548" s="1">
        <v>9.7793887295081705E-5</v>
      </c>
    </row>
    <row r="41549" spans="1:6" x14ac:dyDescent="0.25">
      <c r="A41549" s="2" t="str">
        <f t="shared" si="1310"/>
        <v>99999</v>
      </c>
      <c r="B41549" s="2" t="str">
        <f>"39042"</f>
        <v>39042</v>
      </c>
      <c r="C41549" s="1">
        <v>1.3096579195341799E-6</v>
      </c>
      <c r="D41549" s="1">
        <v>0</v>
      </c>
      <c r="E41549" s="1">
        <v>0</v>
      </c>
      <c r="F41549" s="1">
        <v>1.19382161499591E-6</v>
      </c>
    </row>
    <row r="41550" spans="1:6" x14ac:dyDescent="0.25">
      <c r="A41550" s="2" t="str">
        <f t="shared" si="1310"/>
        <v>99999</v>
      </c>
      <c r="B41550" s="2" t="str">
        <f>"38748"</f>
        <v>38748</v>
      </c>
      <c r="C41550" s="1">
        <v>8.1853619970886298E-6</v>
      </c>
      <c r="D41550" s="1">
        <v>1.51760267340886E-6</v>
      </c>
      <c r="E41550" s="1">
        <v>0</v>
      </c>
      <c r="F41550" s="1">
        <v>7.5608702283074398E-6</v>
      </c>
    </row>
    <row r="41551" spans="1:6" x14ac:dyDescent="0.25">
      <c r="A41551" s="2" t="str">
        <f t="shared" si="1310"/>
        <v>99999</v>
      </c>
      <c r="B41551" s="2" t="str">
        <f>"38737"</f>
        <v>38737</v>
      </c>
      <c r="C41551" s="1">
        <v>9.8224343965063504E-7</v>
      </c>
      <c r="D41551" s="1">
        <v>0</v>
      </c>
      <c r="E41551" s="1">
        <v>0</v>
      </c>
      <c r="F41551" s="1">
        <v>8.9536621124693305E-7</v>
      </c>
    </row>
    <row r="41552" spans="1:6" x14ac:dyDescent="0.25">
      <c r="A41552" s="2" t="str">
        <f t="shared" si="1310"/>
        <v>99999</v>
      </c>
      <c r="B41552" s="2" t="str">
        <f>"38721"</f>
        <v>38721</v>
      </c>
      <c r="C41552" s="1">
        <v>5.6424428699930902E-5</v>
      </c>
      <c r="D41552" s="1">
        <v>3.6422464161812797E-5</v>
      </c>
      <c r="E41552" s="1">
        <v>0</v>
      </c>
      <c r="F41552" s="1">
        <v>5.3821457809398998E-5</v>
      </c>
    </row>
    <row r="41553" spans="1:6" x14ac:dyDescent="0.25">
      <c r="A41553" s="2" t="str">
        <f t="shared" si="1310"/>
        <v>99999</v>
      </c>
      <c r="B41553" s="2" t="str">
        <f>"38683"</f>
        <v>38683</v>
      </c>
      <c r="C41553" s="1">
        <v>2.3322824783704501E-4</v>
      </c>
      <c r="D41553" s="1">
        <v>9.2573763077941E-5</v>
      </c>
      <c r="E41553" s="1">
        <v>1.3036619865201299E-5</v>
      </c>
      <c r="F41553" s="1">
        <v>2.1896678121716601E-4</v>
      </c>
    </row>
    <row r="41554" spans="1:6" x14ac:dyDescent="0.25">
      <c r="A41554" s="2" t="str">
        <f t="shared" ref="A41554:A41617" si="1311">"99999"</f>
        <v>99999</v>
      </c>
      <c r="B41554" s="2" t="str">
        <f>"38869"</f>
        <v>38869</v>
      </c>
      <c r="C41554" s="1">
        <v>1.09138159961181E-7</v>
      </c>
      <c r="D41554" s="1">
        <v>3.0352053468177301E-6</v>
      </c>
      <c r="E41554" s="1">
        <v>0</v>
      </c>
      <c r="F41554" s="1">
        <v>2.9845540374897701E-7</v>
      </c>
    </row>
    <row r="41555" spans="1:6" x14ac:dyDescent="0.25">
      <c r="A41555" s="2" t="str">
        <f t="shared" si="1311"/>
        <v>99999</v>
      </c>
      <c r="B41555" s="2" t="str">
        <f>"38666"</f>
        <v>38666</v>
      </c>
      <c r="C41555" s="1">
        <v>3.7281595442739598E-4</v>
      </c>
      <c r="D41555" s="1">
        <v>3.3235498547654199E-4</v>
      </c>
      <c r="E41555" s="1">
        <v>6.0837559370939603E-5</v>
      </c>
      <c r="F41555" s="1">
        <v>3.6302125609333999E-4</v>
      </c>
    </row>
    <row r="41556" spans="1:6" x14ac:dyDescent="0.25">
      <c r="A41556" s="2" t="str">
        <f t="shared" si="1311"/>
        <v>99999</v>
      </c>
      <c r="B41556" s="2" t="str">
        <f>"38827"</f>
        <v>38827</v>
      </c>
      <c r="C41556" s="1">
        <v>1.27145956354776E-4</v>
      </c>
      <c r="D41556" s="1">
        <v>6.5256914956581297E-5</v>
      </c>
      <c r="E41556" s="1">
        <v>7.8219719191208097E-5</v>
      </c>
      <c r="F41556" s="1">
        <v>1.2196877499874801E-4</v>
      </c>
    </row>
    <row r="41557" spans="1:6" x14ac:dyDescent="0.25">
      <c r="A41557" s="2" t="str">
        <f t="shared" si="1311"/>
        <v>99999</v>
      </c>
      <c r="B41557" s="2" t="str">
        <f>"38821"</f>
        <v>38821</v>
      </c>
      <c r="C41557" s="1">
        <v>6.78511940478666E-4</v>
      </c>
      <c r="D41557" s="1">
        <v>1.13364919703642E-3</v>
      </c>
      <c r="E41557" s="1">
        <v>4.4759061537191297E-4</v>
      </c>
      <c r="F41557" s="1">
        <v>7.0306144609800798E-4</v>
      </c>
    </row>
    <row r="41558" spans="1:6" x14ac:dyDescent="0.25">
      <c r="A41558" s="2" t="str">
        <f t="shared" si="1311"/>
        <v>99999</v>
      </c>
      <c r="B41558" s="2" t="str">
        <f>"38642"</f>
        <v>38642</v>
      </c>
      <c r="C41558" s="1">
        <v>7.1703771094496402E-5</v>
      </c>
      <c r="D41558" s="1">
        <v>3.1869656141586203E-5</v>
      </c>
      <c r="E41558" s="1">
        <v>8.69107991013423E-6</v>
      </c>
      <c r="F41558" s="1">
        <v>6.7649891516434897E-5</v>
      </c>
    </row>
    <row r="41559" spans="1:6" x14ac:dyDescent="0.25">
      <c r="A41559" s="2" t="str">
        <f t="shared" si="1311"/>
        <v>99999</v>
      </c>
      <c r="B41559" s="2" t="str">
        <f>"38488"</f>
        <v>38488</v>
      </c>
      <c r="C41559" s="1">
        <v>1.32057173553029E-4</v>
      </c>
      <c r="D41559" s="1">
        <v>6.9809722976807906E-5</v>
      </c>
      <c r="E41559" s="1">
        <v>3.9109859595604001E-5</v>
      </c>
      <c r="F41559" s="1">
        <v>1.2584869524748501E-4</v>
      </c>
    </row>
    <row r="41560" spans="1:6" x14ac:dyDescent="0.25">
      <c r="A41560" s="2" t="str">
        <f t="shared" si="1311"/>
        <v>99999</v>
      </c>
      <c r="B41560" s="2" t="str">
        <f>"38483"</f>
        <v>38483</v>
      </c>
      <c r="C41560" s="1">
        <v>9.5714166285956303E-5</v>
      </c>
      <c r="D41560" s="1">
        <v>6.0704106936354703E-5</v>
      </c>
      <c r="E41560" s="1">
        <v>4.3455399550671103E-5</v>
      </c>
      <c r="F41560" s="1">
        <v>9.22227197584341E-5</v>
      </c>
    </row>
    <row r="41561" spans="1:6" x14ac:dyDescent="0.25">
      <c r="A41561" s="2" t="str">
        <f t="shared" si="1311"/>
        <v>99999</v>
      </c>
      <c r="B41561" s="2" t="str">
        <f>"38478"</f>
        <v>38478</v>
      </c>
      <c r="C41561" s="1">
        <v>1.0172767889981701E-3</v>
      </c>
      <c r="D41561" s="1">
        <v>1.3961944595361499E-3</v>
      </c>
      <c r="E41561" s="1">
        <v>7.7785165195701298E-4</v>
      </c>
      <c r="F41561" s="1">
        <v>1.03663510235478E-3</v>
      </c>
    </row>
    <row r="41562" spans="1:6" x14ac:dyDescent="0.25">
      <c r="A41562" s="2" t="str">
        <f t="shared" si="1311"/>
        <v>99999</v>
      </c>
      <c r="B41562" s="2" t="str">
        <f>"38472"</f>
        <v>38472</v>
      </c>
      <c r="C41562" s="1">
        <v>1.51156351546236E-4</v>
      </c>
      <c r="D41562" s="1">
        <v>9.8644173771576501E-5</v>
      </c>
      <c r="E41562" s="1">
        <v>0</v>
      </c>
      <c r="F41562" s="1">
        <v>1.44253445145339E-4</v>
      </c>
    </row>
    <row r="41563" spans="1:6" x14ac:dyDescent="0.25">
      <c r="A41563" s="2" t="str">
        <f t="shared" si="1311"/>
        <v>99999</v>
      </c>
      <c r="B41563" s="2" t="str">
        <f>"38459"</f>
        <v>38459</v>
      </c>
      <c r="C41563" s="1">
        <v>2.67388491904895E-5</v>
      </c>
      <c r="D41563" s="1">
        <v>7.5880133670443404E-6</v>
      </c>
      <c r="E41563" s="1">
        <v>0</v>
      </c>
      <c r="F41563" s="1">
        <v>2.48712836457481E-5</v>
      </c>
    </row>
    <row r="41564" spans="1:6" x14ac:dyDescent="0.25">
      <c r="A41564" s="2" t="str">
        <f t="shared" si="1311"/>
        <v>99999</v>
      </c>
      <c r="B41564" s="2" t="str">
        <f>"38456"</f>
        <v>38456</v>
      </c>
      <c r="C41564" s="1">
        <v>3.9835428385831298E-5</v>
      </c>
      <c r="D41564" s="1">
        <v>3.3387258814995101E-5</v>
      </c>
      <c r="E41564" s="1">
        <v>0</v>
      </c>
      <c r="F41564" s="1">
        <v>3.8500747083618101E-5</v>
      </c>
    </row>
    <row r="41565" spans="1:6" x14ac:dyDescent="0.25">
      <c r="A41565" s="2" t="str">
        <f t="shared" si="1311"/>
        <v>99999</v>
      </c>
      <c r="B41565" s="2" t="str">
        <f>"38452"</f>
        <v>38452</v>
      </c>
      <c r="C41565" s="1">
        <v>6.3300132777485398E-5</v>
      </c>
      <c r="D41565" s="1">
        <v>3.1869656141586203E-5</v>
      </c>
      <c r="E41565" s="1">
        <v>0</v>
      </c>
      <c r="F41565" s="1">
        <v>5.9790565884378502E-5</v>
      </c>
    </row>
    <row r="41566" spans="1:6" x14ac:dyDescent="0.25">
      <c r="A41566" s="2" t="str">
        <f t="shared" si="1311"/>
        <v>99999</v>
      </c>
      <c r="B41566" s="2" t="str">
        <f>"38425"</f>
        <v>38425</v>
      </c>
      <c r="C41566" s="1">
        <v>1.1819662723795901E-4</v>
      </c>
      <c r="D41566" s="1">
        <v>5.9186504262945899E-5</v>
      </c>
      <c r="E41566" s="1">
        <v>4.3455399550671103E-5</v>
      </c>
      <c r="F41566" s="1">
        <v>1.12617172347947E-4</v>
      </c>
    </row>
    <row r="41567" spans="1:6" x14ac:dyDescent="0.25">
      <c r="A41567" s="2" t="str">
        <f t="shared" si="1311"/>
        <v>99999</v>
      </c>
      <c r="B41567" s="2" t="str">
        <f>"38388"</f>
        <v>38388</v>
      </c>
      <c r="C41567" s="1">
        <v>8.8511047728518302E-5</v>
      </c>
      <c r="D41567" s="1">
        <v>7.4362530997034595E-5</v>
      </c>
      <c r="E41567" s="1">
        <v>2.60732397304027E-5</v>
      </c>
      <c r="F41567" s="1">
        <v>8.6154126548871604E-5</v>
      </c>
    </row>
    <row r="41568" spans="1:6" x14ac:dyDescent="0.25">
      <c r="A41568" s="2" t="str">
        <f t="shared" si="1311"/>
        <v>99999</v>
      </c>
      <c r="B41568" s="2" t="str">
        <f>"38462"</f>
        <v>38462</v>
      </c>
      <c r="C41568" s="1">
        <v>5.6555394491884304E-4</v>
      </c>
      <c r="D41568" s="1">
        <v>7.73977363438523E-4</v>
      </c>
      <c r="E41568" s="1">
        <v>7.8219719191208097E-5</v>
      </c>
      <c r="F41568" s="1">
        <v>5.6806011846888705E-4</v>
      </c>
    </row>
    <row r="41569" spans="1:6" x14ac:dyDescent="0.25">
      <c r="A41569" s="2" t="str">
        <f t="shared" si="1311"/>
        <v>99999</v>
      </c>
      <c r="B41569" s="2" t="str">
        <f>"38559"</f>
        <v>38559</v>
      </c>
      <c r="C41569" s="1">
        <v>8.13079291710803E-5</v>
      </c>
      <c r="D41569" s="1">
        <v>3.6422464161812797E-5</v>
      </c>
      <c r="E41569" s="1">
        <v>0</v>
      </c>
      <c r="F41569" s="1">
        <v>7.6504068494321297E-5</v>
      </c>
    </row>
    <row r="41570" spans="1:6" x14ac:dyDescent="0.25">
      <c r="A41570" s="2" t="str">
        <f t="shared" si="1311"/>
        <v>99999</v>
      </c>
      <c r="B41570" s="2" t="str">
        <f>"38588"</f>
        <v>38588</v>
      </c>
      <c r="C41570" s="1">
        <v>2.69571255104118E-5</v>
      </c>
      <c r="D41570" s="1">
        <v>2.88344507947685E-5</v>
      </c>
      <c r="E41570" s="1">
        <v>0</v>
      </c>
      <c r="F41570" s="1">
        <v>2.6463045799075999E-5</v>
      </c>
    </row>
    <row r="41571" spans="1:6" x14ac:dyDescent="0.25">
      <c r="A41571" s="2" t="str">
        <f t="shared" si="1311"/>
        <v>99999</v>
      </c>
      <c r="B41571" s="2" t="str">
        <f>"38583"</f>
        <v>38583</v>
      </c>
      <c r="C41571" s="1">
        <v>1.2464669249166501E-3</v>
      </c>
      <c r="D41571" s="1">
        <v>1.3825360354754799E-3</v>
      </c>
      <c r="E41571" s="1">
        <v>2.6073239730402698E-4</v>
      </c>
      <c r="F41571" s="1">
        <v>1.2328197877524399E-3</v>
      </c>
    </row>
    <row r="41572" spans="1:6" x14ac:dyDescent="0.25">
      <c r="A41572" s="2" t="str">
        <f t="shared" si="1311"/>
        <v>99999</v>
      </c>
      <c r="B41572" s="2" t="str">
        <f>"38575"</f>
        <v>38575</v>
      </c>
      <c r="C41572" s="1">
        <v>1.2256215363640701E-4</v>
      </c>
      <c r="D41572" s="1">
        <v>8.4985749710896595E-5</v>
      </c>
      <c r="E41572" s="1">
        <v>0</v>
      </c>
      <c r="F41572" s="1">
        <v>1.17292973673348E-4</v>
      </c>
    </row>
    <row r="41573" spans="1:6" x14ac:dyDescent="0.25">
      <c r="A41573" s="2" t="str">
        <f t="shared" si="1311"/>
        <v>99999</v>
      </c>
      <c r="B41573" s="2" t="str">
        <f>"38573"</f>
        <v>38573</v>
      </c>
      <c r="C41573" s="1">
        <v>4.42009547842786E-5</v>
      </c>
      <c r="D41573" s="1">
        <v>1.5176026734088599E-5</v>
      </c>
      <c r="E41573" s="1">
        <v>0</v>
      </c>
      <c r="F41573" s="1">
        <v>4.1286330851941903E-5</v>
      </c>
    </row>
    <row r="41574" spans="1:6" x14ac:dyDescent="0.25">
      <c r="A41574" s="2" t="str">
        <f t="shared" si="1311"/>
        <v>99999</v>
      </c>
      <c r="B41574" s="2" t="str">
        <f>"38358"</f>
        <v>38358</v>
      </c>
      <c r="C41574" s="1">
        <v>1.7462105593789001E-6</v>
      </c>
      <c r="D41574" s="1">
        <v>0</v>
      </c>
      <c r="E41574" s="1">
        <v>0</v>
      </c>
      <c r="F41574" s="1">
        <v>1.5917621533278801E-6</v>
      </c>
    </row>
    <row r="41575" spans="1:6" x14ac:dyDescent="0.25">
      <c r="A41575" s="2" t="str">
        <f t="shared" si="1311"/>
        <v>99999</v>
      </c>
      <c r="B41575" s="2" t="str">
        <f>"38359"</f>
        <v>38359</v>
      </c>
      <c r="C41575" s="1">
        <v>1.7571243753750201E-5</v>
      </c>
      <c r="D41575" s="1">
        <v>3.3387258814995101E-5</v>
      </c>
      <c r="E41575" s="1">
        <v>2.7811455712429498E-4</v>
      </c>
      <c r="F41575" s="1">
        <v>2.4572828241999101E-5</v>
      </c>
    </row>
    <row r="41576" spans="1:6" x14ac:dyDescent="0.25">
      <c r="A41576" s="2" t="str">
        <f t="shared" si="1311"/>
        <v>99999</v>
      </c>
      <c r="B41576" s="2" t="str">
        <f>"38374"</f>
        <v>38374</v>
      </c>
      <c r="C41576" s="1">
        <v>1.23871811555941E-4</v>
      </c>
      <c r="D41576" s="1">
        <v>1.3354903525998E-4</v>
      </c>
      <c r="E41576" s="1">
        <v>8.69107991013423E-6</v>
      </c>
      <c r="F41576" s="1">
        <v>1.21869289864165E-4</v>
      </c>
    </row>
    <row r="41577" spans="1:6" x14ac:dyDescent="0.25">
      <c r="A41577" s="2" t="str">
        <f t="shared" si="1311"/>
        <v>99999</v>
      </c>
      <c r="B41577" s="2" t="str">
        <f>"38368"</f>
        <v>38368</v>
      </c>
      <c r="C41577" s="1">
        <v>9.3749679406655094E-5</v>
      </c>
      <c r="D41577" s="1">
        <v>6.2221709609763595E-5</v>
      </c>
      <c r="E41577" s="1">
        <v>0</v>
      </c>
      <c r="F41577" s="1">
        <v>8.9536621124693296E-5</v>
      </c>
    </row>
    <row r="41578" spans="1:6" x14ac:dyDescent="0.25">
      <c r="A41578" s="2" t="str">
        <f t="shared" si="1311"/>
        <v>99999</v>
      </c>
      <c r="B41578" s="2" t="str">
        <f>"38344"</f>
        <v>38344</v>
      </c>
      <c r="C41578" s="1">
        <v>5.1131227941813597E-4</v>
      </c>
      <c r="D41578" s="1">
        <v>7.6031893937784304E-4</v>
      </c>
      <c r="E41578" s="1">
        <v>2.3031361761855699E-4</v>
      </c>
      <c r="F41578" s="1">
        <v>5.21202620080298E-4</v>
      </c>
    </row>
    <row r="41579" spans="1:6" x14ac:dyDescent="0.25">
      <c r="A41579" s="2" t="str">
        <f t="shared" si="1311"/>
        <v>99999</v>
      </c>
      <c r="B41579" s="2" t="str">
        <f>"38341"</f>
        <v>38341</v>
      </c>
      <c r="C41579" s="1">
        <v>1.63161549141966E-4</v>
      </c>
      <c r="D41579" s="1">
        <v>1.2899622723975301E-4</v>
      </c>
      <c r="E41579" s="1">
        <v>0</v>
      </c>
      <c r="F41579" s="1">
        <v>1.57186512641128E-4</v>
      </c>
    </row>
    <row r="41580" spans="1:6" x14ac:dyDescent="0.25">
      <c r="A41580" s="2" t="str">
        <f t="shared" si="1311"/>
        <v>99999</v>
      </c>
      <c r="B41580" s="2" t="str">
        <f>"38326"</f>
        <v>38326</v>
      </c>
      <c r="C41580" s="1">
        <v>2.16748385682906E-4</v>
      </c>
      <c r="D41580" s="1">
        <v>2.0032355288997E-4</v>
      </c>
      <c r="E41580" s="1">
        <v>7.8219719191208097E-5</v>
      </c>
      <c r="F41580" s="1">
        <v>2.12500247469272E-4</v>
      </c>
    </row>
    <row r="41581" spans="1:6" x14ac:dyDescent="0.25">
      <c r="A41581" s="2" t="str">
        <f t="shared" si="1311"/>
        <v>99999</v>
      </c>
      <c r="B41581" s="2" t="str">
        <f>"38235"</f>
        <v>38235</v>
      </c>
      <c r="C41581" s="1">
        <v>0</v>
      </c>
      <c r="D41581" s="1">
        <v>1.51760267340886E-6</v>
      </c>
      <c r="E41581" s="1">
        <v>0</v>
      </c>
      <c r="F41581" s="1">
        <v>9.9485134582992598E-8</v>
      </c>
    </row>
    <row r="41582" spans="1:6" x14ac:dyDescent="0.25">
      <c r="A41582" s="2" t="str">
        <f t="shared" si="1311"/>
        <v>99999</v>
      </c>
      <c r="B41582" s="2" t="str">
        <f>"38201"</f>
        <v>38201</v>
      </c>
      <c r="C41582" s="1">
        <v>4.2902210680740497E-4</v>
      </c>
      <c r="D41582" s="1">
        <v>7.0265003778830599E-4</v>
      </c>
      <c r="E41582" s="1">
        <v>2.7376901716922799E-4</v>
      </c>
      <c r="F41582" s="1">
        <v>4.4340524483639802E-4</v>
      </c>
    </row>
    <row r="41583" spans="1:6" x14ac:dyDescent="0.25">
      <c r="A41583" s="2" t="str">
        <f t="shared" si="1311"/>
        <v>99999</v>
      </c>
      <c r="B41583" s="2" t="str">
        <f>"38075"</f>
        <v>38075</v>
      </c>
      <c r="C41583" s="1">
        <v>1.28892166914155E-4</v>
      </c>
      <c r="D41583" s="1">
        <v>1.198906111993E-4</v>
      </c>
      <c r="E41583" s="1">
        <v>2.60732397304027E-5</v>
      </c>
      <c r="F41583" s="1">
        <v>1.25948180382068E-4</v>
      </c>
    </row>
    <row r="41584" spans="1:6" x14ac:dyDescent="0.25">
      <c r="A41584" s="2" t="str">
        <f t="shared" si="1311"/>
        <v>99999</v>
      </c>
      <c r="B41584" s="2" t="str">
        <f>"38061"</f>
        <v>38061</v>
      </c>
      <c r="C41584" s="1">
        <v>6.7883935495855003E-5</v>
      </c>
      <c r="D41584" s="1">
        <v>3.7940066835221703E-5</v>
      </c>
      <c r="E41584" s="1">
        <v>0</v>
      </c>
      <c r="F41584" s="1">
        <v>6.4366882075196196E-5</v>
      </c>
    </row>
    <row r="41585" spans="1:6" x14ac:dyDescent="0.25">
      <c r="A41585" s="2" t="str">
        <f t="shared" si="1311"/>
        <v>99999</v>
      </c>
      <c r="B41585" s="2" t="str">
        <f>"37851"</f>
        <v>37851</v>
      </c>
      <c r="C41585" s="1">
        <v>0</v>
      </c>
      <c r="D41585" s="1">
        <v>1.51760267340886E-6</v>
      </c>
      <c r="E41585" s="1">
        <v>0</v>
      </c>
      <c r="F41585" s="1">
        <v>9.9485134582992598E-8</v>
      </c>
    </row>
    <row r="41586" spans="1:6" x14ac:dyDescent="0.25">
      <c r="A41586" s="2" t="str">
        <f t="shared" si="1311"/>
        <v>99999</v>
      </c>
      <c r="B41586" s="2" t="str">
        <f>"37852"</f>
        <v>37852</v>
      </c>
      <c r="C41586" s="1">
        <v>1.30856653793456E-4</v>
      </c>
      <c r="D41586" s="1">
        <v>4.7045682875674899E-5</v>
      </c>
      <c r="E41586" s="1">
        <v>0</v>
      </c>
      <c r="F41586" s="1">
        <v>1.2236671553708E-4</v>
      </c>
    </row>
    <row r="41587" spans="1:6" x14ac:dyDescent="0.25">
      <c r="A41587" s="2" t="str">
        <f t="shared" si="1311"/>
        <v>99999</v>
      </c>
      <c r="B41587" s="2" t="str">
        <f>"37166"</f>
        <v>37166</v>
      </c>
      <c r="C41587" s="1">
        <v>7.13654427986167E-4</v>
      </c>
      <c r="D41587" s="1">
        <v>9.3636084949327196E-4</v>
      </c>
      <c r="E41587" s="1">
        <v>4.4759061537191297E-4</v>
      </c>
      <c r="F41587" s="1">
        <v>7.2216259193794304E-4</v>
      </c>
    </row>
    <row r="41588" spans="1:6" x14ac:dyDescent="0.25">
      <c r="A41588" s="2" t="str">
        <f t="shared" si="1311"/>
        <v>99999</v>
      </c>
      <c r="B41588" s="2" t="str">
        <f>"37140"</f>
        <v>37140</v>
      </c>
      <c r="C41588" s="1">
        <v>1.04772633562734E-5</v>
      </c>
      <c r="D41588" s="1">
        <v>1.3658424060679801E-5</v>
      </c>
      <c r="E41588" s="1">
        <v>0</v>
      </c>
      <c r="F41588" s="1">
        <v>1.04459391312142E-5</v>
      </c>
    </row>
    <row r="41589" spans="1:6" x14ac:dyDescent="0.25">
      <c r="A41589" s="2" t="str">
        <f t="shared" si="1311"/>
        <v>99999</v>
      </c>
      <c r="B41589" s="2" t="str">
        <f>"37096"</f>
        <v>37096</v>
      </c>
      <c r="C41589" s="1">
        <v>3.8209269802409702E-4</v>
      </c>
      <c r="D41589" s="1">
        <v>3.0807334270199999E-4</v>
      </c>
      <c r="E41589" s="1">
        <v>1.4340281851721399E-4</v>
      </c>
      <c r="F41589" s="1">
        <v>3.71775947936643E-4</v>
      </c>
    </row>
    <row r="41590" spans="1:6" x14ac:dyDescent="0.25">
      <c r="A41590" s="2" t="str">
        <f t="shared" si="1311"/>
        <v>99999</v>
      </c>
      <c r="B41590" s="2" t="str">
        <f>"36916"</f>
        <v>36916</v>
      </c>
      <c r="C41590" s="1">
        <v>3.5142487507500497E-5</v>
      </c>
      <c r="D41590" s="1">
        <v>2.5799245447950699E-5</v>
      </c>
      <c r="E41590" s="1">
        <v>0</v>
      </c>
      <c r="F41590" s="1">
        <v>3.3725460623634497E-5</v>
      </c>
    </row>
    <row r="41591" spans="1:6" x14ac:dyDescent="0.25">
      <c r="A41591" s="2" t="str">
        <f t="shared" si="1311"/>
        <v>99999</v>
      </c>
      <c r="B41591" s="2" t="str">
        <f>"36915"</f>
        <v>36915</v>
      </c>
      <c r="C41591" s="1">
        <v>4.3218711344627901E-5</v>
      </c>
      <c r="D41591" s="1">
        <v>1.0623218713862E-5</v>
      </c>
      <c r="E41591" s="1">
        <v>8.69107991013423E-6</v>
      </c>
      <c r="F41591" s="1">
        <v>4.0291479506111999E-5</v>
      </c>
    </row>
    <row r="41592" spans="1:6" x14ac:dyDescent="0.25">
      <c r="A41592" s="2" t="str">
        <f t="shared" si="1311"/>
        <v>99999</v>
      </c>
      <c r="B41592" s="2" t="str">
        <f>"36783"</f>
        <v>36783</v>
      </c>
      <c r="C41592" s="1">
        <v>4.7147685103230502E-5</v>
      </c>
      <c r="D41592" s="1">
        <v>3.6422464161812797E-5</v>
      </c>
      <c r="E41592" s="1">
        <v>3.47643196405369E-5</v>
      </c>
      <c r="F41592" s="1">
        <v>4.6161102446508498E-5</v>
      </c>
    </row>
    <row r="41593" spans="1:6" x14ac:dyDescent="0.25">
      <c r="A41593" s="2" t="str">
        <f t="shared" si="1311"/>
        <v>99999</v>
      </c>
      <c r="B41593" s="2" t="str">
        <f>"36773"</f>
        <v>36773</v>
      </c>
      <c r="C41593" s="1">
        <v>7.3122567173991701E-6</v>
      </c>
      <c r="D41593" s="1">
        <v>0</v>
      </c>
      <c r="E41593" s="1">
        <v>0</v>
      </c>
      <c r="F41593" s="1">
        <v>6.6655040170604998E-6</v>
      </c>
    </row>
    <row r="41594" spans="1:6" x14ac:dyDescent="0.25">
      <c r="A41594" s="2" t="str">
        <f t="shared" si="1311"/>
        <v>99999</v>
      </c>
      <c r="B41594" s="2" t="str">
        <f>"36751"</f>
        <v>36751</v>
      </c>
      <c r="C41594" s="1">
        <v>5.1949764141522499E-5</v>
      </c>
      <c r="D41594" s="1">
        <v>1.66936294074975E-5</v>
      </c>
      <c r="E41594" s="1">
        <v>1.3036619865201299E-5</v>
      </c>
      <c r="F41594" s="1">
        <v>4.8747715945666297E-5</v>
      </c>
    </row>
    <row r="41595" spans="1:6" x14ac:dyDescent="0.25">
      <c r="A41595" s="2" t="str">
        <f t="shared" si="1311"/>
        <v>99999</v>
      </c>
      <c r="B41595" s="2" t="str">
        <f>"36742"</f>
        <v>36742</v>
      </c>
      <c r="C41595" s="1">
        <v>1.3936943027042899E-4</v>
      </c>
      <c r="D41595" s="1">
        <v>6.5256914956581297E-5</v>
      </c>
      <c r="E41595" s="1">
        <v>9.1256339056409395E-5</v>
      </c>
      <c r="F41595" s="1">
        <v>1.33409565475793E-4</v>
      </c>
    </row>
    <row r="41596" spans="1:6" x14ac:dyDescent="0.25">
      <c r="A41596" s="2" t="str">
        <f t="shared" si="1311"/>
        <v>99999</v>
      </c>
      <c r="B41596" s="2" t="str">
        <f>"36477"</f>
        <v>36477</v>
      </c>
      <c r="C41596" s="1">
        <v>6.5482895976708995E-7</v>
      </c>
      <c r="D41596" s="1">
        <v>1.51760267340886E-6</v>
      </c>
      <c r="E41596" s="1">
        <v>0</v>
      </c>
      <c r="F41596" s="1">
        <v>6.9639594208094799E-7</v>
      </c>
    </row>
    <row r="41597" spans="1:6" x14ac:dyDescent="0.25">
      <c r="A41597" s="2" t="str">
        <f t="shared" si="1311"/>
        <v>99999</v>
      </c>
      <c r="B41597" s="2" t="str">
        <f>"36401"</f>
        <v>36401</v>
      </c>
      <c r="C41597" s="1">
        <v>5.4350803660668497E-4</v>
      </c>
      <c r="D41597" s="1">
        <v>9.4546646553372502E-4</v>
      </c>
      <c r="E41597" s="1">
        <v>3.3895211649523501E-4</v>
      </c>
      <c r="F41597" s="1">
        <v>5.6517504956598099E-4</v>
      </c>
    </row>
    <row r="41598" spans="1:6" x14ac:dyDescent="0.25">
      <c r="A41598" s="2" t="str">
        <f t="shared" si="1311"/>
        <v>99999</v>
      </c>
      <c r="B41598" s="2" t="str">
        <f>"36470"</f>
        <v>36470</v>
      </c>
      <c r="C41598" s="1">
        <v>0</v>
      </c>
      <c r="D41598" s="1">
        <v>1.51760267340886E-6</v>
      </c>
      <c r="E41598" s="1">
        <v>0</v>
      </c>
      <c r="F41598" s="1">
        <v>9.9485134582992598E-8</v>
      </c>
    </row>
    <row r="41599" spans="1:6" x14ac:dyDescent="0.25">
      <c r="A41599" s="2" t="str">
        <f t="shared" si="1311"/>
        <v>99999</v>
      </c>
      <c r="B41599" s="2" t="str">
        <f>"36269"</f>
        <v>36269</v>
      </c>
      <c r="C41599" s="1">
        <v>8.1417067331041496E-5</v>
      </c>
      <c r="D41599" s="1">
        <v>1.9728834754315301E-5</v>
      </c>
      <c r="E41599" s="1">
        <v>3.0418779685469802E-5</v>
      </c>
      <c r="F41599" s="1">
        <v>7.6205613090572294E-5</v>
      </c>
    </row>
    <row r="41600" spans="1:6" x14ac:dyDescent="0.25">
      <c r="A41600" s="2" t="str">
        <f t="shared" si="1311"/>
        <v>99999</v>
      </c>
      <c r="B41600" s="2" t="str">
        <f>"36256"</f>
        <v>36256</v>
      </c>
      <c r="C41600" s="1">
        <v>4.1472500785249E-6</v>
      </c>
      <c r="D41600" s="1">
        <v>1.51760267340886E-6</v>
      </c>
      <c r="E41600" s="1">
        <v>0</v>
      </c>
      <c r="F41600" s="1">
        <v>3.87992024873671E-6</v>
      </c>
    </row>
    <row r="41601" spans="1:6" x14ac:dyDescent="0.25">
      <c r="A41601" s="2" t="str">
        <f t="shared" si="1311"/>
        <v>99999</v>
      </c>
      <c r="B41601" s="2" t="str">
        <f>"36264"</f>
        <v>36264</v>
      </c>
      <c r="C41601" s="1">
        <v>5.3837854308850901E-4</v>
      </c>
      <c r="D41601" s="1">
        <v>5.8579463193582295E-4</v>
      </c>
      <c r="E41601" s="1">
        <v>3.6937089618070402E-4</v>
      </c>
      <c r="F41601" s="1">
        <v>5.3761766728649201E-4</v>
      </c>
    </row>
    <row r="41602" spans="1:6" x14ac:dyDescent="0.25">
      <c r="A41602" s="2" t="str">
        <f t="shared" si="1311"/>
        <v>99999</v>
      </c>
      <c r="B41602" s="2" t="str">
        <f>"36263"</f>
        <v>36263</v>
      </c>
      <c r="C41602" s="1">
        <v>4.3218711344627901E-5</v>
      </c>
      <c r="D41602" s="1">
        <v>9.1056160404532095E-6</v>
      </c>
      <c r="E41602" s="1">
        <v>2.1727699775335501E-5</v>
      </c>
      <c r="F41602" s="1">
        <v>4.0490449775278003E-5</v>
      </c>
    </row>
    <row r="41603" spans="1:6" x14ac:dyDescent="0.25">
      <c r="A41603" s="2" t="str">
        <f t="shared" si="1311"/>
        <v>99999</v>
      </c>
      <c r="B41603" s="2" t="str">
        <f>"36031"</f>
        <v>36031</v>
      </c>
      <c r="C41603" s="1">
        <v>0</v>
      </c>
      <c r="D41603" s="1">
        <v>1.51760267340886E-6</v>
      </c>
      <c r="E41603" s="1">
        <v>0</v>
      </c>
      <c r="F41603" s="1">
        <v>9.9485134582992598E-8</v>
      </c>
    </row>
    <row r="41604" spans="1:6" x14ac:dyDescent="0.25">
      <c r="A41604" s="2" t="str">
        <f t="shared" si="1311"/>
        <v>99999</v>
      </c>
      <c r="B41604" s="2" t="str">
        <f>"36030"</f>
        <v>36030</v>
      </c>
      <c r="C41604" s="1">
        <v>3.9508013905947698E-5</v>
      </c>
      <c r="D41604" s="1">
        <v>3.0352053468177301E-5</v>
      </c>
      <c r="E41604" s="1">
        <v>0</v>
      </c>
      <c r="F41604" s="1">
        <v>3.8003321410703101E-5</v>
      </c>
    </row>
    <row r="41605" spans="1:6" x14ac:dyDescent="0.25">
      <c r="A41605" s="2" t="str">
        <f t="shared" si="1311"/>
        <v>99999</v>
      </c>
      <c r="B41605" s="2" t="str">
        <f>"36028"</f>
        <v>36028</v>
      </c>
      <c r="C41605" s="1">
        <v>1.40788226349924E-4</v>
      </c>
      <c r="D41605" s="1">
        <v>5.7668901589537E-5</v>
      </c>
      <c r="E41605" s="1">
        <v>2.60732397304027E-5</v>
      </c>
      <c r="F41605" s="1">
        <v>1.3271316953371201E-4</v>
      </c>
    </row>
    <row r="41606" spans="1:6" x14ac:dyDescent="0.25">
      <c r="A41606" s="2" t="str">
        <f t="shared" si="1311"/>
        <v>99999</v>
      </c>
      <c r="B41606" s="2" t="str">
        <f>"35983"</f>
        <v>35983</v>
      </c>
      <c r="C41606" s="1">
        <v>2.2973582671828699E-4</v>
      </c>
      <c r="D41606" s="1">
        <v>1.54795472687704E-4</v>
      </c>
      <c r="E41606" s="1">
        <v>9.5601879011476503E-5</v>
      </c>
      <c r="F41606" s="1">
        <v>2.2175236498548999E-4</v>
      </c>
    </row>
    <row r="41607" spans="1:6" x14ac:dyDescent="0.25">
      <c r="A41607" s="2" t="str">
        <f t="shared" si="1311"/>
        <v>99999</v>
      </c>
      <c r="B41607" s="2" t="str">
        <f>"35961"</f>
        <v>35961</v>
      </c>
      <c r="C41607" s="1">
        <v>3.0886099269014397E-5</v>
      </c>
      <c r="D41607" s="1">
        <v>1.5176026734088599E-5</v>
      </c>
      <c r="E41607" s="1">
        <v>0</v>
      </c>
      <c r="F41607" s="1">
        <v>2.9149144432816799E-5</v>
      </c>
    </row>
    <row r="41608" spans="1:6" x14ac:dyDescent="0.25">
      <c r="A41608" s="2" t="str">
        <f t="shared" si="1311"/>
        <v>99999</v>
      </c>
      <c r="B41608" s="2" t="str">
        <f>"35674"</f>
        <v>35674</v>
      </c>
      <c r="C41608" s="1">
        <v>2.1827631992236299E-6</v>
      </c>
      <c r="D41608" s="1">
        <v>0</v>
      </c>
      <c r="E41608" s="1">
        <v>0</v>
      </c>
      <c r="F41608" s="1">
        <v>1.98970269165985E-6</v>
      </c>
    </row>
    <row r="41609" spans="1:6" x14ac:dyDescent="0.25">
      <c r="A41609" s="2" t="str">
        <f t="shared" si="1311"/>
        <v>99999</v>
      </c>
      <c r="B41609" s="2" t="str">
        <f>"35651"</f>
        <v>35651</v>
      </c>
      <c r="C41609" s="1">
        <v>3.2741447988354498E-7</v>
      </c>
      <c r="D41609" s="1">
        <v>0</v>
      </c>
      <c r="E41609" s="1">
        <v>0</v>
      </c>
      <c r="F41609" s="1">
        <v>2.9845540374897701E-7</v>
      </c>
    </row>
    <row r="41610" spans="1:6" x14ac:dyDescent="0.25">
      <c r="A41610" s="2" t="str">
        <f t="shared" si="1311"/>
        <v>99999</v>
      </c>
      <c r="B41610" s="2" t="str">
        <f>"35477"</f>
        <v>35477</v>
      </c>
      <c r="C41610" s="1">
        <v>0</v>
      </c>
      <c r="D41610" s="1">
        <v>1.51760267340886E-6</v>
      </c>
      <c r="E41610" s="1">
        <v>0</v>
      </c>
      <c r="F41610" s="1">
        <v>9.9485134582992598E-8</v>
      </c>
    </row>
    <row r="41611" spans="1:6" x14ac:dyDescent="0.25">
      <c r="A41611" s="2" t="str">
        <f t="shared" si="1311"/>
        <v>99999</v>
      </c>
      <c r="B41611" s="2" t="str">
        <f>"35464"</f>
        <v>35464</v>
      </c>
      <c r="C41611" s="1">
        <v>1.7898658233633802E-5</v>
      </c>
      <c r="D41611" s="1">
        <v>6.0704106936354696E-6</v>
      </c>
      <c r="E41611" s="1">
        <v>1.3036619865201299E-5</v>
      </c>
      <c r="F41611" s="1">
        <v>1.7011958013691699E-5</v>
      </c>
    </row>
    <row r="41612" spans="1:6" x14ac:dyDescent="0.25">
      <c r="A41612" s="2" t="str">
        <f t="shared" si="1311"/>
        <v>99999</v>
      </c>
      <c r="B41612" s="2" t="str">
        <f>"35460"</f>
        <v>35460</v>
      </c>
      <c r="C41612" s="1">
        <v>2.2264184632080999E-5</v>
      </c>
      <c r="D41612" s="1">
        <v>1.21408213872709E-5</v>
      </c>
      <c r="E41612" s="1">
        <v>0</v>
      </c>
      <c r="F41612" s="1">
        <v>2.1090848531594401E-5</v>
      </c>
    </row>
    <row r="41613" spans="1:6" x14ac:dyDescent="0.25">
      <c r="A41613" s="2" t="str">
        <f t="shared" si="1311"/>
        <v>99999</v>
      </c>
      <c r="B41613" s="2" t="str">
        <f>"32609"</f>
        <v>32609</v>
      </c>
      <c r="C41613" s="1">
        <v>1.09138159961181E-7</v>
      </c>
      <c r="D41613" s="1">
        <v>0</v>
      </c>
      <c r="E41613" s="1">
        <v>0</v>
      </c>
      <c r="F41613" s="1">
        <v>9.9485134582992598E-8</v>
      </c>
    </row>
    <row r="41614" spans="1:6" x14ac:dyDescent="0.25">
      <c r="A41614" s="2" t="str">
        <f t="shared" si="1311"/>
        <v>99999</v>
      </c>
      <c r="B41614" s="2" t="str">
        <f>"32656"</f>
        <v>32656</v>
      </c>
      <c r="C41614" s="1">
        <v>7.7706369892361306E-5</v>
      </c>
      <c r="D41614" s="1">
        <v>5.15984908959015E-5</v>
      </c>
      <c r="E41614" s="1">
        <v>8.69107991013423E-5</v>
      </c>
      <c r="F41614" s="1">
        <v>7.6205613090572294E-5</v>
      </c>
    </row>
    <row r="41615" spans="1:6" x14ac:dyDescent="0.25">
      <c r="A41615" s="2" t="str">
        <f t="shared" si="1311"/>
        <v>99999</v>
      </c>
      <c r="B41615" s="2" t="str">
        <f>"32463"</f>
        <v>32463</v>
      </c>
      <c r="C41615" s="1">
        <v>0</v>
      </c>
      <c r="D41615" s="1">
        <v>0</v>
      </c>
      <c r="E41615" s="1">
        <v>4.3455399550671099E-6</v>
      </c>
      <c r="F41615" s="1">
        <v>9.9485134582992598E-8</v>
      </c>
    </row>
    <row r="41616" spans="1:6" x14ac:dyDescent="0.25">
      <c r="A41616" s="2" t="str">
        <f t="shared" si="1311"/>
        <v>99999</v>
      </c>
      <c r="B41616" s="2" t="str">
        <f>"32460"</f>
        <v>32460</v>
      </c>
      <c r="C41616" s="1">
        <v>2.19695116001858E-4</v>
      </c>
      <c r="D41616" s="1">
        <v>1.4720745932066001E-4</v>
      </c>
      <c r="E41616" s="1">
        <v>1.6513051829255E-4</v>
      </c>
      <c r="F41616" s="1">
        <v>2.1369406908426799E-4</v>
      </c>
    </row>
    <row r="41617" spans="1:6" x14ac:dyDescent="0.25">
      <c r="A41617" s="2" t="str">
        <f t="shared" si="1311"/>
        <v>99999</v>
      </c>
      <c r="B41617" s="2" t="str">
        <f>"32456"</f>
        <v>32456</v>
      </c>
      <c r="C41617" s="1">
        <v>6.9815680927167898E-4</v>
      </c>
      <c r="D41617" s="1">
        <v>1.00010016177644E-3</v>
      </c>
      <c r="E41617" s="1">
        <v>2.5638685734895902E-4</v>
      </c>
      <c r="F41617" s="1">
        <v>7.0783673255799201E-4</v>
      </c>
    </row>
    <row r="41618" spans="1:6" x14ac:dyDescent="0.25">
      <c r="A41618" s="2" t="str">
        <f t="shared" ref="A41618:A41681" si="1312">"99999"</f>
        <v>99999</v>
      </c>
      <c r="B41618" s="2" t="str">
        <f>"32449"</f>
        <v>32449</v>
      </c>
      <c r="C41618" s="1">
        <v>4.3327849504589097E-5</v>
      </c>
      <c r="D41618" s="1">
        <v>9.1056160404532095E-6</v>
      </c>
      <c r="E41618" s="1">
        <v>1.3036619865201299E-5</v>
      </c>
      <c r="F41618" s="1">
        <v>4.0390964640694998E-5</v>
      </c>
    </row>
    <row r="41619" spans="1:6" x14ac:dyDescent="0.25">
      <c r="A41619" s="2" t="str">
        <f t="shared" si="1312"/>
        <v>99999</v>
      </c>
      <c r="B41619" s="2" t="str">
        <f>"32447"</f>
        <v>32447</v>
      </c>
      <c r="C41619" s="1">
        <v>1.20488528597144E-4</v>
      </c>
      <c r="D41619" s="1">
        <v>4.0975272182039397E-4</v>
      </c>
      <c r="E41619" s="1">
        <v>8.69107991013423E-6</v>
      </c>
      <c r="F41619" s="1">
        <v>1.3689154518619701E-4</v>
      </c>
    </row>
    <row r="41620" spans="1:6" x14ac:dyDescent="0.25">
      <c r="A41620" s="2" t="str">
        <f t="shared" si="1312"/>
        <v>99999</v>
      </c>
      <c r="B41620" s="2" t="str">
        <f>"32438"</f>
        <v>32438</v>
      </c>
      <c r="C41620" s="1">
        <v>2.2373322792042201E-5</v>
      </c>
      <c r="D41620" s="1">
        <v>6.0704106936354696E-6</v>
      </c>
      <c r="E41620" s="1">
        <v>0</v>
      </c>
      <c r="F41620" s="1">
        <v>2.0792393127845399E-5</v>
      </c>
    </row>
    <row r="41621" spans="1:6" x14ac:dyDescent="0.25">
      <c r="A41621" s="2" t="str">
        <f t="shared" si="1312"/>
        <v>99999</v>
      </c>
      <c r="B41621" s="2" t="str">
        <f>"32425"</f>
        <v>32425</v>
      </c>
      <c r="C41621" s="1">
        <v>7.2915204670065501E-4</v>
      </c>
      <c r="D41621" s="1">
        <v>8.07364622253518E-4</v>
      </c>
      <c r="E41621" s="1">
        <v>1.56439438382416E-4</v>
      </c>
      <c r="F41621" s="1">
        <v>7.2116774059211301E-4</v>
      </c>
    </row>
    <row r="41622" spans="1:6" x14ac:dyDescent="0.25">
      <c r="A41622" s="2" t="str">
        <f t="shared" si="1312"/>
        <v>99999</v>
      </c>
      <c r="B41622" s="2" t="str">
        <f>"32350"</f>
        <v>32350</v>
      </c>
      <c r="C41622" s="1">
        <v>7.7815508052322502E-5</v>
      </c>
      <c r="D41622" s="1">
        <v>2.2764040101133E-5</v>
      </c>
      <c r="E41622" s="1">
        <v>4.3455399550671099E-6</v>
      </c>
      <c r="F41622" s="1">
        <v>7.25246631110016E-5</v>
      </c>
    </row>
    <row r="41623" spans="1:6" x14ac:dyDescent="0.25">
      <c r="A41623" s="2" t="str">
        <f t="shared" si="1312"/>
        <v>99999</v>
      </c>
      <c r="B41623" s="2" t="str">
        <f>"32348"</f>
        <v>32348</v>
      </c>
      <c r="C41623" s="1">
        <v>5.7253878715635901E-4</v>
      </c>
      <c r="D41623" s="1">
        <v>6.0855867203695596E-4</v>
      </c>
      <c r="E41623" s="1">
        <v>2.5204131739389198E-4</v>
      </c>
      <c r="F41623" s="1">
        <v>5.6756269279597301E-4</v>
      </c>
    </row>
    <row r="41624" spans="1:6" x14ac:dyDescent="0.25">
      <c r="A41624" s="2" t="str">
        <f t="shared" si="1312"/>
        <v>99999</v>
      </c>
      <c r="B41624" s="2" t="str">
        <f>"32071"</f>
        <v>32071</v>
      </c>
      <c r="C41624" s="1">
        <v>2.3235514255735501E-4</v>
      </c>
      <c r="D41624" s="1">
        <v>7.1327325650216798E-5</v>
      </c>
      <c r="E41624" s="1">
        <v>8.69107991013423E-6</v>
      </c>
      <c r="F41624" s="1">
        <v>2.1667862312175701E-4</v>
      </c>
    </row>
    <row r="41625" spans="1:6" x14ac:dyDescent="0.25">
      <c r="A41625" s="2" t="str">
        <f t="shared" si="1312"/>
        <v>99999</v>
      </c>
      <c r="B41625" s="2" t="str">
        <f>"31744"</f>
        <v>31744</v>
      </c>
      <c r="C41625" s="1">
        <v>6.2208751177873496E-6</v>
      </c>
      <c r="D41625" s="1">
        <v>4.5528080202265997E-6</v>
      </c>
      <c r="E41625" s="1">
        <v>0</v>
      </c>
      <c r="F41625" s="1">
        <v>5.96910807497955E-6</v>
      </c>
    </row>
    <row r="41626" spans="1:6" x14ac:dyDescent="0.25">
      <c r="A41626" s="2" t="str">
        <f t="shared" si="1312"/>
        <v>99999</v>
      </c>
      <c r="B41626" s="2" t="str">
        <f>"31711"</f>
        <v>31711</v>
      </c>
      <c r="C41626" s="1">
        <v>1.9863145112935E-5</v>
      </c>
      <c r="D41626" s="1">
        <v>3.0352053468177301E-6</v>
      </c>
      <c r="E41626" s="1">
        <v>0</v>
      </c>
      <c r="F41626" s="1">
        <v>1.8305264763270602E-5</v>
      </c>
    </row>
    <row r="41627" spans="1:6" x14ac:dyDescent="0.25">
      <c r="A41627" s="2" t="str">
        <f t="shared" si="1312"/>
        <v>99999</v>
      </c>
      <c r="B41627" s="2" t="str">
        <f>"31794"</f>
        <v>31794</v>
      </c>
      <c r="C41627" s="1">
        <v>2.4883500471149398E-5</v>
      </c>
      <c r="D41627" s="1">
        <v>7.5880133670443404E-6</v>
      </c>
      <c r="E41627" s="1">
        <v>4.3455399550671099E-6</v>
      </c>
      <c r="F41627" s="1">
        <v>2.3279521492420199E-5</v>
      </c>
    </row>
    <row r="41628" spans="1:6" x14ac:dyDescent="0.25">
      <c r="A41628" s="2" t="str">
        <f t="shared" si="1312"/>
        <v>99999</v>
      </c>
      <c r="B41628" s="2" t="str">
        <f>"31512"</f>
        <v>31512</v>
      </c>
      <c r="C41628" s="1">
        <v>1.09138159961181E-7</v>
      </c>
      <c r="D41628" s="1">
        <v>0</v>
      </c>
      <c r="E41628" s="1">
        <v>0</v>
      </c>
      <c r="F41628" s="1">
        <v>9.9485134582992598E-8</v>
      </c>
    </row>
    <row r="41629" spans="1:6" x14ac:dyDescent="0.25">
      <c r="A41629" s="2" t="str">
        <f t="shared" si="1312"/>
        <v>99999</v>
      </c>
      <c r="B41629" s="2" t="str">
        <f>"31551"</f>
        <v>31551</v>
      </c>
      <c r="C41629" s="1">
        <v>2.5756605750838801E-5</v>
      </c>
      <c r="D41629" s="1">
        <v>9.1056160404532095E-6</v>
      </c>
      <c r="E41629" s="1">
        <v>0</v>
      </c>
      <c r="F41629" s="1">
        <v>2.40754025690842E-5</v>
      </c>
    </row>
    <row r="41630" spans="1:6" x14ac:dyDescent="0.25">
      <c r="A41630" s="2" t="str">
        <f t="shared" si="1312"/>
        <v>99999</v>
      </c>
      <c r="B41630" s="2" t="str">
        <f>"31563"</f>
        <v>31563</v>
      </c>
      <c r="C41630" s="1">
        <v>8.3272416050381604E-5</v>
      </c>
      <c r="D41630" s="1">
        <v>4.7045682875674899E-5</v>
      </c>
      <c r="E41630" s="1">
        <v>0</v>
      </c>
      <c r="F41630" s="1">
        <v>7.8991196858896104E-5</v>
      </c>
    </row>
    <row r="41631" spans="1:6" x14ac:dyDescent="0.25">
      <c r="A41631" s="2" t="str">
        <f t="shared" si="1312"/>
        <v>99999</v>
      </c>
      <c r="B41631" s="2" t="str">
        <f>"31096"</f>
        <v>31096</v>
      </c>
      <c r="C41631" s="1">
        <v>1.0258987036351001E-5</v>
      </c>
      <c r="D41631" s="1">
        <v>3.0352053468177301E-6</v>
      </c>
      <c r="E41631" s="1">
        <v>8.69107991013423E-6</v>
      </c>
      <c r="F41631" s="1">
        <v>9.7495431891332699E-6</v>
      </c>
    </row>
    <row r="41632" spans="1:6" x14ac:dyDescent="0.25">
      <c r="A41632" s="2" t="str">
        <f t="shared" si="1312"/>
        <v>99999</v>
      </c>
      <c r="B41632" s="2" t="str">
        <f>"31090"</f>
        <v>31090</v>
      </c>
      <c r="C41632" s="1">
        <v>5.14040733417165E-5</v>
      </c>
      <c r="D41632" s="1">
        <v>3.9457669508630602E-5</v>
      </c>
      <c r="E41632" s="1">
        <v>0</v>
      </c>
      <c r="F41632" s="1">
        <v>4.94441118877473E-5</v>
      </c>
    </row>
    <row r="41633" spans="1:6" x14ac:dyDescent="0.25">
      <c r="A41633" s="2" t="str">
        <f t="shared" si="1312"/>
        <v>99999</v>
      </c>
      <c r="B41633" s="2" t="str">
        <f>"31092"</f>
        <v>31092</v>
      </c>
      <c r="C41633" s="1">
        <v>3.5611781595333602E-4</v>
      </c>
      <c r="D41633" s="1">
        <v>6.3435791748490695E-4</v>
      </c>
      <c r="E41633" s="1">
        <v>2.7376901716922799E-4</v>
      </c>
      <c r="F41633" s="1">
        <v>3.7247234387872399E-4</v>
      </c>
    </row>
    <row r="41634" spans="1:6" x14ac:dyDescent="0.25">
      <c r="A41634" s="2" t="str">
        <f t="shared" si="1312"/>
        <v>99999</v>
      </c>
      <c r="B41634" s="2" t="str">
        <f>"31069"</f>
        <v>31069</v>
      </c>
      <c r="C41634" s="1">
        <v>9.8224343965063504E-7</v>
      </c>
      <c r="D41634" s="1">
        <v>0</v>
      </c>
      <c r="E41634" s="1">
        <v>0</v>
      </c>
      <c r="F41634" s="1">
        <v>8.9536621124693305E-7</v>
      </c>
    </row>
    <row r="41635" spans="1:6" x14ac:dyDescent="0.25">
      <c r="A41635" s="2" t="str">
        <f t="shared" si="1312"/>
        <v>99999</v>
      </c>
      <c r="B41635" s="2" t="str">
        <f>"31071"</f>
        <v>31071</v>
      </c>
      <c r="C41635" s="1">
        <v>5.5442185260280297E-5</v>
      </c>
      <c r="D41635" s="1">
        <v>3.4904861488403899E-5</v>
      </c>
      <c r="E41635" s="1">
        <v>0</v>
      </c>
      <c r="F41635" s="1">
        <v>5.2826606463568999E-5</v>
      </c>
    </row>
    <row r="41636" spans="1:6" x14ac:dyDescent="0.25">
      <c r="A41636" s="2" t="str">
        <f t="shared" si="1312"/>
        <v>99999</v>
      </c>
      <c r="B41636" s="2" t="str">
        <f>"31037"</f>
        <v>31037</v>
      </c>
      <c r="C41636" s="1">
        <v>1.11211785000444E-4</v>
      </c>
      <c r="D41636" s="1">
        <v>6.9809722976807906E-5</v>
      </c>
      <c r="E41636" s="1">
        <v>2.60732397304027E-5</v>
      </c>
      <c r="F41636" s="1">
        <v>1.06548579138385E-4</v>
      </c>
    </row>
    <row r="41637" spans="1:6" x14ac:dyDescent="0.25">
      <c r="A41637" s="2" t="str">
        <f t="shared" si="1312"/>
        <v>99999</v>
      </c>
      <c r="B41637" s="2" t="str">
        <f>"31022"</f>
        <v>31022</v>
      </c>
      <c r="C41637" s="1">
        <v>2.1827631992236299E-6</v>
      </c>
      <c r="D41637" s="1">
        <v>0</v>
      </c>
      <c r="E41637" s="1">
        <v>0</v>
      </c>
      <c r="F41637" s="1">
        <v>1.98970269165985E-6</v>
      </c>
    </row>
    <row r="41638" spans="1:6" x14ac:dyDescent="0.25">
      <c r="A41638" s="2" t="str">
        <f t="shared" si="1312"/>
        <v>99999</v>
      </c>
      <c r="B41638" s="2" t="str">
        <f>"31015"</f>
        <v>31015</v>
      </c>
      <c r="C41638" s="1">
        <v>4.3655263984472599E-6</v>
      </c>
      <c r="D41638" s="1">
        <v>1.51760267340886E-6</v>
      </c>
      <c r="E41638" s="1">
        <v>0</v>
      </c>
      <c r="F41638" s="1">
        <v>4.07889051790269E-6</v>
      </c>
    </row>
    <row r="41639" spans="1:6" x14ac:dyDescent="0.25">
      <c r="A41639" s="2" t="str">
        <f t="shared" si="1312"/>
        <v>99999</v>
      </c>
      <c r="B41639" s="2" t="str">
        <f>"30828"</f>
        <v>30828</v>
      </c>
      <c r="C41639" s="1">
        <v>2.4228671511382301E-4</v>
      </c>
      <c r="D41639" s="1">
        <v>2.7468608388700499E-4</v>
      </c>
      <c r="E41639" s="1">
        <v>9.5601879011476503E-5</v>
      </c>
      <c r="F41639" s="1">
        <v>2.4105248109459101E-4</v>
      </c>
    </row>
    <row r="41640" spans="1:6" x14ac:dyDescent="0.25">
      <c r="A41640" s="2" t="str">
        <f t="shared" si="1312"/>
        <v>99999</v>
      </c>
      <c r="B41640" s="2" t="str">
        <f>"31012"</f>
        <v>31012</v>
      </c>
      <c r="C41640" s="1">
        <v>6.5919448616553699E-5</v>
      </c>
      <c r="D41640" s="1">
        <v>1.0623218713862E-5</v>
      </c>
      <c r="E41640" s="1">
        <v>8.69107991013423E-6</v>
      </c>
      <c r="F41640" s="1">
        <v>6.0984387499374403E-5</v>
      </c>
    </row>
    <row r="41641" spans="1:6" x14ac:dyDescent="0.25">
      <c r="A41641" s="2" t="str">
        <f t="shared" si="1312"/>
        <v>99999</v>
      </c>
      <c r="B41641" s="2" t="str">
        <f>"31006"</f>
        <v>31006</v>
      </c>
      <c r="C41641" s="1">
        <v>2.0201473408814699E-4</v>
      </c>
      <c r="D41641" s="1">
        <v>1.5631307536111301E-4</v>
      </c>
      <c r="E41641" s="1">
        <v>9.1256339056409395E-5</v>
      </c>
      <c r="F41641" s="1">
        <v>1.9648314080141001E-4</v>
      </c>
    </row>
    <row r="41642" spans="1:6" x14ac:dyDescent="0.25">
      <c r="A41642" s="2" t="str">
        <f t="shared" si="1312"/>
        <v>99999</v>
      </c>
      <c r="B41642" s="2" t="str">
        <f>"30633"</f>
        <v>30633</v>
      </c>
      <c r="C41642" s="1">
        <v>8.5127764769721692E-6</v>
      </c>
      <c r="D41642" s="1">
        <v>0</v>
      </c>
      <c r="E41642" s="1">
        <v>0</v>
      </c>
      <c r="F41642" s="1">
        <v>7.7598404974734199E-6</v>
      </c>
    </row>
    <row r="41643" spans="1:6" x14ac:dyDescent="0.25">
      <c r="A41643" s="2" t="str">
        <f t="shared" si="1312"/>
        <v>99999</v>
      </c>
      <c r="B41643" s="2" t="str">
        <f>"30522"</f>
        <v>30522</v>
      </c>
      <c r="C41643" s="1">
        <v>8.2290172610731006E-5</v>
      </c>
      <c r="D41643" s="1">
        <v>4.5528080202265997E-6</v>
      </c>
      <c r="E41643" s="1">
        <v>1.3036619865201299E-5</v>
      </c>
      <c r="F41643" s="1">
        <v>7.5608702283074398E-5</v>
      </c>
    </row>
    <row r="41644" spans="1:6" x14ac:dyDescent="0.25">
      <c r="A41644" s="2" t="str">
        <f t="shared" si="1312"/>
        <v>99999</v>
      </c>
      <c r="B41644" s="2" t="str">
        <f>"30521"</f>
        <v>30521</v>
      </c>
      <c r="C41644" s="1">
        <v>2.6356865630625299E-4</v>
      </c>
      <c r="D41644" s="1">
        <v>2.1398197695065001E-4</v>
      </c>
      <c r="E41644" s="1">
        <v>3.47643196405369E-5</v>
      </c>
      <c r="F41644" s="1">
        <v>2.5507988507079298E-4</v>
      </c>
    </row>
    <row r="41645" spans="1:6" x14ac:dyDescent="0.25">
      <c r="A41645" s="2" t="str">
        <f t="shared" si="1312"/>
        <v>99999</v>
      </c>
      <c r="B41645" s="2" t="str">
        <f>"30562"</f>
        <v>30562</v>
      </c>
      <c r="C41645" s="1">
        <v>7.3777396133758807E-5</v>
      </c>
      <c r="D41645" s="1">
        <v>4.5528080202266E-5</v>
      </c>
      <c r="E41645" s="1">
        <v>8.69107991013423E-6</v>
      </c>
      <c r="F41645" s="1">
        <v>7.0435475284758706E-5</v>
      </c>
    </row>
    <row r="41646" spans="1:6" x14ac:dyDescent="0.25">
      <c r="A41646" s="2" t="str">
        <f t="shared" si="1312"/>
        <v>99999</v>
      </c>
      <c r="B41646" s="2" t="str">
        <f>"30564"</f>
        <v>30564</v>
      </c>
      <c r="C41646" s="1">
        <v>8.2945001570498098E-5</v>
      </c>
      <c r="D41646" s="1">
        <v>3.7940066835221703E-5</v>
      </c>
      <c r="E41646" s="1">
        <v>0</v>
      </c>
      <c r="F41646" s="1">
        <v>7.8095830647649205E-5</v>
      </c>
    </row>
    <row r="41647" spans="1:6" x14ac:dyDescent="0.25">
      <c r="A41647" s="2" t="str">
        <f t="shared" si="1312"/>
        <v>99999</v>
      </c>
      <c r="B41647" s="2" t="str">
        <f>"30558"</f>
        <v>30558</v>
      </c>
      <c r="C41647" s="1">
        <v>1.2812819979442699E-4</v>
      </c>
      <c r="D41647" s="1">
        <v>2.5799245447950699E-5</v>
      </c>
      <c r="E41647" s="1">
        <v>1.3036619865201299E-5</v>
      </c>
      <c r="F41647" s="1">
        <v>1.18785250692093E-4</v>
      </c>
    </row>
    <row r="41648" spans="1:6" x14ac:dyDescent="0.25">
      <c r="A41648" s="2" t="str">
        <f t="shared" si="1312"/>
        <v>99999</v>
      </c>
      <c r="B41648" s="2" t="str">
        <f>"30554"</f>
        <v>30554</v>
      </c>
      <c r="C41648" s="1">
        <v>1.14813344279163E-4</v>
      </c>
      <c r="D41648" s="1">
        <v>1.21408213872709E-5</v>
      </c>
      <c r="E41648" s="1">
        <v>8.69107991013423E-6</v>
      </c>
      <c r="F41648" s="1">
        <v>1.05653212927138E-4</v>
      </c>
    </row>
    <row r="41649" spans="1:6" x14ac:dyDescent="0.25">
      <c r="A41649" s="2" t="str">
        <f t="shared" si="1312"/>
        <v>99999</v>
      </c>
      <c r="B41649" s="2" t="str">
        <f>"30553"</f>
        <v>30553</v>
      </c>
      <c r="C41649" s="1">
        <v>4.8446429206768502E-4</v>
      </c>
      <c r="D41649" s="1">
        <v>7.1023805115535E-4</v>
      </c>
      <c r="E41649" s="1">
        <v>2.4335023748375801E-4</v>
      </c>
      <c r="F41649" s="1">
        <v>4.9374472293539195E-4</v>
      </c>
    </row>
    <row r="41650" spans="1:6" x14ac:dyDescent="0.25">
      <c r="A41650" s="2" t="str">
        <f t="shared" si="1312"/>
        <v>99999</v>
      </c>
      <c r="B41650" s="2" t="str">
        <f>"30537"</f>
        <v>30537</v>
      </c>
      <c r="C41650" s="1">
        <v>1.76694680977153E-4</v>
      </c>
      <c r="D41650" s="1">
        <v>1.85147526155882E-4</v>
      </c>
      <c r="E41650" s="1">
        <v>1.6513051829255E-4</v>
      </c>
      <c r="F41650" s="1">
        <v>1.7698405442314301E-4</v>
      </c>
    </row>
    <row r="41651" spans="1:6" x14ac:dyDescent="0.25">
      <c r="A41651" s="2" t="str">
        <f t="shared" si="1312"/>
        <v>99999</v>
      </c>
      <c r="B41651" s="2" t="str">
        <f>"30533"</f>
        <v>30533</v>
      </c>
      <c r="C41651" s="1">
        <v>1.4195600466150901E-3</v>
      </c>
      <c r="D41651" s="1">
        <v>1.91976738186221E-3</v>
      </c>
      <c r="E41651" s="1">
        <v>1.6121953233299E-3</v>
      </c>
      <c r="F41651" s="1">
        <v>1.4567608256987601E-3</v>
      </c>
    </row>
    <row r="41652" spans="1:6" x14ac:dyDescent="0.25">
      <c r="A41652" s="2" t="str">
        <f t="shared" si="1312"/>
        <v>99999</v>
      </c>
      <c r="B41652" s="2" t="str">
        <f>"30499"</f>
        <v>30499</v>
      </c>
      <c r="C41652" s="1">
        <v>0</v>
      </c>
      <c r="D41652" s="1">
        <v>3.0352053468177301E-6</v>
      </c>
      <c r="E41652" s="1">
        <v>4.3455399550671099E-6</v>
      </c>
      <c r="F41652" s="1">
        <v>2.9845540374897701E-7</v>
      </c>
    </row>
    <row r="41653" spans="1:6" x14ac:dyDescent="0.25">
      <c r="A41653" s="2" t="str">
        <f t="shared" si="1312"/>
        <v>99999</v>
      </c>
      <c r="B41653" s="2" t="str">
        <f>"30474"</f>
        <v>30474</v>
      </c>
      <c r="C41653" s="1">
        <v>9.0584672767780794E-6</v>
      </c>
      <c r="D41653" s="1">
        <v>1.51760267340886E-6</v>
      </c>
      <c r="E41653" s="1">
        <v>1.7382159820268399E-5</v>
      </c>
      <c r="F41653" s="1">
        <v>8.7546918433033508E-6</v>
      </c>
    </row>
    <row r="41654" spans="1:6" x14ac:dyDescent="0.25">
      <c r="A41654" s="2" t="str">
        <f t="shared" si="1312"/>
        <v>99999</v>
      </c>
      <c r="B41654" s="2" t="str">
        <f>"30456"</f>
        <v>30456</v>
      </c>
      <c r="C41654" s="1">
        <v>1.09138159961181E-7</v>
      </c>
      <c r="D41654" s="1">
        <v>0</v>
      </c>
      <c r="E41654" s="1">
        <v>0</v>
      </c>
      <c r="F41654" s="1">
        <v>9.9485134582992598E-8</v>
      </c>
    </row>
    <row r="41655" spans="1:6" x14ac:dyDescent="0.25">
      <c r="A41655" s="2" t="str">
        <f t="shared" si="1312"/>
        <v>99999</v>
      </c>
      <c r="B41655" s="2" t="str">
        <f>"30442"</f>
        <v>30442</v>
      </c>
      <c r="C41655" s="1">
        <v>4.4266437680255297E-4</v>
      </c>
      <c r="D41655" s="1">
        <v>4.30999159248118E-4</v>
      </c>
      <c r="E41655" s="1">
        <v>1.4340281851721399E-4</v>
      </c>
      <c r="F41655" s="1">
        <v>4.3504849353142601E-4</v>
      </c>
    </row>
    <row r="41656" spans="1:6" x14ac:dyDescent="0.25">
      <c r="A41656" s="2" t="str">
        <f t="shared" si="1312"/>
        <v>99999</v>
      </c>
      <c r="B41656" s="2" t="str">
        <f>"30439"</f>
        <v>30439</v>
      </c>
      <c r="C41656" s="1">
        <v>4.8872068030617099E-4</v>
      </c>
      <c r="D41656" s="1">
        <v>6.0248826134332099E-4</v>
      </c>
      <c r="E41656" s="1">
        <v>1.39057278562147E-4</v>
      </c>
      <c r="F41656" s="1">
        <v>4.8817355539874398E-4</v>
      </c>
    </row>
    <row r="41657" spans="1:6" x14ac:dyDescent="0.25">
      <c r="A41657" s="2" t="str">
        <f t="shared" si="1312"/>
        <v>99999</v>
      </c>
      <c r="B41657" s="2" t="str">
        <f>"30436"</f>
        <v>30436</v>
      </c>
      <c r="C41657" s="1">
        <v>5.23863167813672E-5</v>
      </c>
      <c r="D41657" s="1">
        <v>3.0352053468177301E-5</v>
      </c>
      <c r="E41657" s="1">
        <v>1.7382159820268399E-5</v>
      </c>
      <c r="F41657" s="1">
        <v>5.0140507829828202E-5</v>
      </c>
    </row>
    <row r="41658" spans="1:6" x14ac:dyDescent="0.25">
      <c r="A41658" s="2" t="str">
        <f t="shared" si="1312"/>
        <v>99999</v>
      </c>
      <c r="B41658" s="2" t="str">
        <f>"30427"</f>
        <v>30427</v>
      </c>
      <c r="C41658" s="1">
        <v>4.6427373247486702E-4</v>
      </c>
      <c r="D41658" s="1">
        <v>5.0839689559197096E-4</v>
      </c>
      <c r="E41658" s="1">
        <v>2.0858591784322101E-4</v>
      </c>
      <c r="F41658" s="1">
        <v>4.6131256906133599E-4</v>
      </c>
    </row>
    <row r="41659" spans="1:6" x14ac:dyDescent="0.25">
      <c r="A41659" s="2" t="str">
        <f t="shared" si="1312"/>
        <v>99999</v>
      </c>
      <c r="B41659" s="2" t="str">
        <f>"05860"</f>
        <v>05860</v>
      </c>
      <c r="C41659" s="1">
        <v>1.5213859498588699E-4</v>
      </c>
      <c r="D41659" s="1">
        <v>1.15337803179074E-4</v>
      </c>
      <c r="E41659" s="1">
        <v>2.3031361761855699E-4</v>
      </c>
      <c r="F41659" s="1">
        <v>1.5151585996989701E-4</v>
      </c>
    </row>
    <row r="41660" spans="1:6" x14ac:dyDescent="0.25">
      <c r="A41660" s="2" t="str">
        <f t="shared" si="1312"/>
        <v>99999</v>
      </c>
      <c r="B41660" s="2" t="str">
        <f>"05904"</f>
        <v>05904</v>
      </c>
      <c r="C41660" s="1">
        <v>3.9289737586025402E-6</v>
      </c>
      <c r="D41660" s="1">
        <v>3.0352053468177301E-6</v>
      </c>
      <c r="E41660" s="1">
        <v>2.1727699775335501E-5</v>
      </c>
      <c r="F41660" s="1">
        <v>4.2778607870686803E-6</v>
      </c>
    </row>
    <row r="41661" spans="1:6" x14ac:dyDescent="0.25">
      <c r="A41661" s="2" t="str">
        <f t="shared" si="1312"/>
        <v>99999</v>
      </c>
      <c r="B41661" s="2" t="str">
        <f>"05906"</f>
        <v>05906</v>
      </c>
      <c r="C41661" s="1">
        <v>6.3300132777485398E-5</v>
      </c>
      <c r="D41661" s="1">
        <v>6.0704106936354696E-6</v>
      </c>
      <c r="E41661" s="1">
        <v>1.7382159820268399E-5</v>
      </c>
      <c r="F41661" s="1">
        <v>5.8497259134799602E-5</v>
      </c>
    </row>
    <row r="41662" spans="1:6" x14ac:dyDescent="0.25">
      <c r="A41662" s="2" t="str">
        <f t="shared" si="1312"/>
        <v>99999</v>
      </c>
      <c r="B41662" s="2" t="str">
        <f>"05874"</f>
        <v>05874</v>
      </c>
      <c r="C41662" s="1">
        <v>3.7543527026646502E-5</v>
      </c>
      <c r="D41662" s="1">
        <v>2.2764040101133E-5</v>
      </c>
      <c r="E41662" s="1">
        <v>1.3036619865201299E-5</v>
      </c>
      <c r="F41662" s="1">
        <v>3.60136187190433E-5</v>
      </c>
    </row>
    <row r="41663" spans="1:6" x14ac:dyDescent="0.25">
      <c r="A41663" s="2" t="str">
        <f t="shared" si="1312"/>
        <v>99999</v>
      </c>
      <c r="B41663" s="2" t="str">
        <f>"05849"</f>
        <v>05849</v>
      </c>
      <c r="C41663" s="1">
        <v>1.09138159961181E-7</v>
      </c>
      <c r="D41663" s="1">
        <v>0</v>
      </c>
      <c r="E41663" s="1">
        <v>0</v>
      </c>
      <c r="F41663" s="1">
        <v>9.9485134582992598E-8</v>
      </c>
    </row>
    <row r="41664" spans="1:6" x14ac:dyDescent="0.25">
      <c r="A41664" s="2" t="str">
        <f t="shared" si="1312"/>
        <v>99999</v>
      </c>
      <c r="B41664" s="2" t="str">
        <f>"05837"</f>
        <v>05837</v>
      </c>
      <c r="C41664" s="1">
        <v>1.1896059435768801E-5</v>
      </c>
      <c r="D41664" s="1">
        <v>4.5528080202265997E-6</v>
      </c>
      <c r="E41664" s="1">
        <v>0</v>
      </c>
      <c r="F41664" s="1">
        <v>1.11423350732951E-5</v>
      </c>
    </row>
    <row r="41665" spans="1:6" x14ac:dyDescent="0.25">
      <c r="A41665" s="2" t="str">
        <f t="shared" si="1312"/>
        <v>99999</v>
      </c>
      <c r="B41665" s="2" t="str">
        <f>"05830"</f>
        <v>05830</v>
      </c>
      <c r="C41665" s="1">
        <v>5.9043744538999298E-5</v>
      </c>
      <c r="D41665" s="1">
        <v>2.5799245447950699E-5</v>
      </c>
      <c r="E41665" s="1">
        <v>5.6492019415872502E-5</v>
      </c>
      <c r="F41665" s="1">
        <v>5.6806011846888702E-5</v>
      </c>
    </row>
    <row r="41666" spans="1:6" x14ac:dyDescent="0.25">
      <c r="A41666" s="2" t="str">
        <f t="shared" si="1312"/>
        <v>99999</v>
      </c>
      <c r="B41666" s="2" t="str">
        <f>"05733"</f>
        <v>05733</v>
      </c>
      <c r="C41666" s="1">
        <v>6.6901692056204405E-5</v>
      </c>
      <c r="D41666" s="1">
        <v>1.3658424060679801E-5</v>
      </c>
      <c r="E41666" s="1">
        <v>8.69107991013423E-6</v>
      </c>
      <c r="F41666" s="1">
        <v>6.20787239797874E-5</v>
      </c>
    </row>
    <row r="41667" spans="1:6" x14ac:dyDescent="0.25">
      <c r="A41667" s="2" t="str">
        <f t="shared" si="1312"/>
        <v>99999</v>
      </c>
      <c r="B41667" s="2" t="str">
        <f>"05680"</f>
        <v>05680</v>
      </c>
      <c r="C41667" s="1">
        <v>9.7351238685374102E-5</v>
      </c>
      <c r="D41667" s="1">
        <v>1.9728834754315301E-5</v>
      </c>
      <c r="E41667" s="1">
        <v>1.3036619865201299E-5</v>
      </c>
      <c r="F41667" s="1">
        <v>9.0332502201357297E-5</v>
      </c>
    </row>
    <row r="41668" spans="1:6" x14ac:dyDescent="0.25">
      <c r="A41668" s="2" t="str">
        <f t="shared" si="1312"/>
        <v>99999</v>
      </c>
      <c r="B41668" s="2" t="str">
        <f>"05656"</f>
        <v>05656</v>
      </c>
      <c r="C41668" s="1">
        <v>1.51592904186081E-4</v>
      </c>
      <c r="D41668" s="1">
        <v>3.6422464161812797E-5</v>
      </c>
      <c r="E41668" s="1">
        <v>2.7376901716922799E-4</v>
      </c>
      <c r="F41668" s="1">
        <v>1.46840058644497E-4</v>
      </c>
    </row>
    <row r="41669" spans="1:6" x14ac:dyDescent="0.25">
      <c r="A41669" s="2" t="str">
        <f t="shared" si="1312"/>
        <v>99999</v>
      </c>
      <c r="B41669" s="2" t="str">
        <f>"05489"</f>
        <v>05489</v>
      </c>
      <c r="C41669" s="1">
        <v>7.63967119728272E-7</v>
      </c>
      <c r="D41669" s="1">
        <v>0</v>
      </c>
      <c r="E41669" s="1">
        <v>0</v>
      </c>
      <c r="F41669" s="1">
        <v>6.9639594208094799E-7</v>
      </c>
    </row>
    <row r="41670" spans="1:6" x14ac:dyDescent="0.25">
      <c r="A41670" s="2" t="str">
        <f t="shared" si="1312"/>
        <v>99999</v>
      </c>
      <c r="B41670" s="2" t="str">
        <f>"05469"</f>
        <v>05469</v>
      </c>
      <c r="C41670" s="1">
        <v>0</v>
      </c>
      <c r="D41670" s="1">
        <v>3.0352053468177301E-6</v>
      </c>
      <c r="E41670" s="1">
        <v>1.3036619865201299E-5</v>
      </c>
      <c r="F41670" s="1">
        <v>4.9742567291496303E-7</v>
      </c>
    </row>
    <row r="41671" spans="1:6" x14ac:dyDescent="0.25">
      <c r="A41671" s="2" t="str">
        <f t="shared" si="1312"/>
        <v>99999</v>
      </c>
      <c r="B41671" s="2" t="str">
        <f>"05473"</f>
        <v>05473</v>
      </c>
      <c r="C41671" s="1">
        <v>7.5087054053293005E-5</v>
      </c>
      <c r="D41671" s="1">
        <v>3.6422464161812797E-5</v>
      </c>
      <c r="E41671" s="1">
        <v>3.0418779685469802E-5</v>
      </c>
      <c r="F41671" s="1">
        <v>7.1529811765171696E-5</v>
      </c>
    </row>
    <row r="41672" spans="1:6" x14ac:dyDescent="0.25">
      <c r="A41672" s="2" t="str">
        <f t="shared" si="1312"/>
        <v>99999</v>
      </c>
      <c r="B41672" s="2" t="str">
        <f>"05461"</f>
        <v>05461</v>
      </c>
      <c r="C41672" s="1">
        <v>8.2945001570498102E-6</v>
      </c>
      <c r="D41672" s="1">
        <v>0</v>
      </c>
      <c r="E41672" s="1">
        <v>0</v>
      </c>
      <c r="F41672" s="1">
        <v>7.5608702283074398E-6</v>
      </c>
    </row>
    <row r="41673" spans="1:6" x14ac:dyDescent="0.25">
      <c r="A41673" s="2" t="str">
        <f t="shared" si="1312"/>
        <v>99999</v>
      </c>
      <c r="B41673" s="2" t="str">
        <f>"05156"</f>
        <v>05156</v>
      </c>
      <c r="C41673" s="1">
        <v>1.20051975957299E-6</v>
      </c>
      <c r="D41673" s="1">
        <v>0</v>
      </c>
      <c r="E41673" s="1">
        <v>0</v>
      </c>
      <c r="F41673" s="1">
        <v>1.09433648041291E-6</v>
      </c>
    </row>
    <row r="41674" spans="1:6" x14ac:dyDescent="0.25">
      <c r="A41674" s="2" t="str">
        <f t="shared" si="1312"/>
        <v>99999</v>
      </c>
      <c r="B41674" s="2" t="str">
        <f>"05148"</f>
        <v>05148</v>
      </c>
      <c r="C41674" s="1">
        <v>5.0640106221988301E-5</v>
      </c>
      <c r="D41674" s="1">
        <v>2.5799245447950699E-5</v>
      </c>
      <c r="E41674" s="1">
        <v>1.3036619865201299E-5</v>
      </c>
      <c r="F41674" s="1">
        <v>4.8150805138168401E-5</v>
      </c>
    </row>
    <row r="41675" spans="1:6" x14ac:dyDescent="0.25">
      <c r="A41675" s="2" t="str">
        <f t="shared" si="1312"/>
        <v>99999</v>
      </c>
      <c r="B41675" s="2" t="str">
        <f>"05069"</f>
        <v>05069</v>
      </c>
      <c r="C41675" s="1">
        <v>1.6261585834216E-5</v>
      </c>
      <c r="D41675" s="1">
        <v>7.5880133670443404E-6</v>
      </c>
      <c r="E41675" s="1">
        <v>0</v>
      </c>
      <c r="F41675" s="1">
        <v>1.5320710725780799E-5</v>
      </c>
    </row>
    <row r="41676" spans="1:6" x14ac:dyDescent="0.25">
      <c r="A41676" s="2" t="str">
        <f t="shared" si="1312"/>
        <v>99999</v>
      </c>
      <c r="B41676" s="2" t="str">
        <f>"04992"</f>
        <v>04992</v>
      </c>
      <c r="C41676" s="1">
        <v>7.63967119728272E-7</v>
      </c>
      <c r="D41676" s="1">
        <v>0</v>
      </c>
      <c r="E41676" s="1">
        <v>4.3455399550671099E-6</v>
      </c>
      <c r="F41676" s="1">
        <v>7.9588107666394099E-7</v>
      </c>
    </row>
    <row r="41677" spans="1:6" x14ac:dyDescent="0.25">
      <c r="A41677" s="2" t="str">
        <f t="shared" si="1312"/>
        <v>99999</v>
      </c>
      <c r="B41677" s="2" t="str">
        <f>"04978"</f>
        <v>04978</v>
      </c>
      <c r="C41677" s="1">
        <v>5.3695974700901398E-5</v>
      </c>
      <c r="D41677" s="1">
        <v>2.7316848121359601E-5</v>
      </c>
      <c r="E41677" s="1">
        <v>7.3874179236140894E-5</v>
      </c>
      <c r="F41677" s="1">
        <v>5.24286659252371E-5</v>
      </c>
    </row>
    <row r="41678" spans="1:6" x14ac:dyDescent="0.25">
      <c r="A41678" s="2" t="str">
        <f t="shared" si="1312"/>
        <v>99999</v>
      </c>
      <c r="B41678" s="2" t="str">
        <f>"04957"</f>
        <v>04957</v>
      </c>
      <c r="C41678" s="1">
        <v>1.8859074041292201E-4</v>
      </c>
      <c r="D41678" s="1">
        <v>3.7940066835221703E-5</v>
      </c>
      <c r="E41678" s="1">
        <v>2.6073239730402698E-4</v>
      </c>
      <c r="F41678" s="1">
        <v>1.80366548998965E-4</v>
      </c>
    </row>
    <row r="41679" spans="1:6" x14ac:dyDescent="0.25">
      <c r="A41679" s="2" t="str">
        <f t="shared" si="1312"/>
        <v>99999</v>
      </c>
      <c r="B41679" s="2" t="str">
        <f>"04937"</f>
        <v>04937</v>
      </c>
      <c r="C41679" s="1">
        <v>3.2555913116420499E-4</v>
      </c>
      <c r="D41679" s="1">
        <v>2.97450123988138E-4</v>
      </c>
      <c r="E41679" s="1">
        <v>7.5612395218167805E-4</v>
      </c>
      <c r="F41679" s="1">
        <v>3.3357365625677401E-4</v>
      </c>
    </row>
    <row r="41680" spans="1:6" x14ac:dyDescent="0.25">
      <c r="A41680" s="2" t="str">
        <f t="shared" si="1312"/>
        <v>99999</v>
      </c>
      <c r="B41680" s="2" t="str">
        <f>"04930"</f>
        <v>04930</v>
      </c>
      <c r="C41680" s="1">
        <v>2.9249026869596701E-5</v>
      </c>
      <c r="D41680" s="1">
        <v>3.0352053468177301E-6</v>
      </c>
      <c r="E41680" s="1">
        <v>4.3455399550671103E-5</v>
      </c>
      <c r="F41680" s="1">
        <v>2.78558376832379E-5</v>
      </c>
    </row>
    <row r="41681" spans="1:6" x14ac:dyDescent="0.25">
      <c r="A41681" s="2" t="str">
        <f t="shared" si="1312"/>
        <v>99999</v>
      </c>
      <c r="B41681" s="2" t="str">
        <f>"04947"</f>
        <v>04947</v>
      </c>
      <c r="C41681" s="1">
        <v>1.1645041667858E-4</v>
      </c>
      <c r="D41681" s="1">
        <v>1.15337803179074E-4</v>
      </c>
      <c r="E41681" s="1">
        <v>1.4514103449924101E-3</v>
      </c>
      <c r="F41681" s="1">
        <v>1.4693954377907999E-4</v>
      </c>
    </row>
    <row r="41682" spans="1:6" x14ac:dyDescent="0.25">
      <c r="A41682" s="2" t="str">
        <f t="shared" ref="A41682:A41745" si="1313">"99999"</f>
        <v>99999</v>
      </c>
      <c r="B41682" s="2" t="str">
        <f>"04922"</f>
        <v>04922</v>
      </c>
      <c r="C41682" s="1">
        <v>6.7010830216165506E-5</v>
      </c>
      <c r="D41682" s="1">
        <v>1.9728834754315301E-5</v>
      </c>
      <c r="E41682" s="1">
        <v>1.3036619865201299E-5</v>
      </c>
      <c r="F41682" s="1">
        <v>6.2675634787285296E-5</v>
      </c>
    </row>
    <row r="41683" spans="1:6" x14ac:dyDescent="0.25">
      <c r="A41683" s="2" t="str">
        <f t="shared" si="1313"/>
        <v>99999</v>
      </c>
      <c r="B41683" s="2" t="str">
        <f>"04860"</f>
        <v>04860</v>
      </c>
      <c r="C41683" s="1">
        <v>8.0543962051352093E-5</v>
      </c>
      <c r="D41683" s="1">
        <v>2.5799245447950699E-5</v>
      </c>
      <c r="E41683" s="1">
        <v>2.60732397304027E-5</v>
      </c>
      <c r="F41683" s="1">
        <v>7.5708187417657295E-5</v>
      </c>
    </row>
    <row r="41684" spans="1:6" x14ac:dyDescent="0.25">
      <c r="A41684" s="2" t="str">
        <f t="shared" si="1313"/>
        <v>99999</v>
      </c>
      <c r="B41684" s="2" t="str">
        <f>"04781"</f>
        <v>04781</v>
      </c>
      <c r="C41684" s="1">
        <v>3.2741447988354499E-5</v>
      </c>
      <c r="D41684" s="1">
        <v>1.51760267340886E-6</v>
      </c>
      <c r="E41684" s="1">
        <v>2.1727699775335501E-5</v>
      </c>
      <c r="F41684" s="1">
        <v>3.0442451182395699E-5</v>
      </c>
    </row>
    <row r="41685" spans="1:6" x14ac:dyDescent="0.25">
      <c r="A41685" s="2" t="str">
        <f t="shared" si="1313"/>
        <v>99999</v>
      </c>
      <c r="B41685" s="2" t="str">
        <f>"04746"</f>
        <v>04746</v>
      </c>
      <c r="C41685" s="1">
        <v>1.9972283272896199E-5</v>
      </c>
      <c r="D41685" s="1">
        <v>4.5528080202265997E-6</v>
      </c>
      <c r="E41685" s="1">
        <v>1.3036619865201299E-5</v>
      </c>
      <c r="F41685" s="1">
        <v>1.8802690436185601E-5</v>
      </c>
    </row>
    <row r="41686" spans="1:6" x14ac:dyDescent="0.25">
      <c r="A41686" s="2" t="str">
        <f t="shared" si="1313"/>
        <v>99999</v>
      </c>
      <c r="B41686" s="2" t="str">
        <f>"04761"</f>
        <v>04761</v>
      </c>
      <c r="C41686" s="1">
        <v>3.8634908626258302E-5</v>
      </c>
      <c r="D41686" s="1">
        <v>1.21408213872709E-5</v>
      </c>
      <c r="E41686" s="1">
        <v>2.60732397304027E-5</v>
      </c>
      <c r="F41686" s="1">
        <v>3.6610529526541203E-5</v>
      </c>
    </row>
    <row r="41687" spans="1:6" x14ac:dyDescent="0.25">
      <c r="A41687" s="2" t="str">
        <f t="shared" si="1313"/>
        <v>99999</v>
      </c>
      <c r="B41687" s="2" t="str">
        <f>"04684"</f>
        <v>04684</v>
      </c>
      <c r="C41687" s="1">
        <v>9.5605028125995202E-5</v>
      </c>
      <c r="D41687" s="1">
        <v>1.3658424060679801E-5</v>
      </c>
      <c r="E41687" s="1">
        <v>3.47643196405369E-5</v>
      </c>
      <c r="F41687" s="1">
        <v>8.8840225182612394E-5</v>
      </c>
    </row>
    <row r="41688" spans="1:6" x14ac:dyDescent="0.25">
      <c r="A41688" s="2" t="str">
        <f t="shared" si="1313"/>
        <v>99999</v>
      </c>
      <c r="B41688" s="2" t="str">
        <f>"04742"</f>
        <v>04742</v>
      </c>
      <c r="C41688" s="1">
        <v>1.8193331265528901E-4</v>
      </c>
      <c r="D41688" s="1">
        <v>1.5327787001429501E-4</v>
      </c>
      <c r="E41688" s="1">
        <v>3.6502535622563698E-4</v>
      </c>
      <c r="F41688" s="1">
        <v>1.84246469247702E-4</v>
      </c>
    </row>
    <row r="41689" spans="1:6" x14ac:dyDescent="0.25">
      <c r="A41689" s="2" t="str">
        <f t="shared" si="1313"/>
        <v>99999</v>
      </c>
      <c r="B41689" s="2" t="str">
        <f>"04653"</f>
        <v>04653</v>
      </c>
      <c r="C41689" s="1">
        <v>1.76803819137114E-5</v>
      </c>
      <c r="D41689" s="1">
        <v>7.5880133670443404E-6</v>
      </c>
      <c r="E41689" s="1">
        <v>2.60732397304027E-5</v>
      </c>
      <c r="F41689" s="1">
        <v>1.7210928282857699E-5</v>
      </c>
    </row>
    <row r="41690" spans="1:6" x14ac:dyDescent="0.25">
      <c r="A41690" s="2" t="str">
        <f t="shared" si="1313"/>
        <v>99999</v>
      </c>
      <c r="B41690" s="2" t="str">
        <f>"04658"</f>
        <v>04658</v>
      </c>
      <c r="C41690" s="1">
        <v>7.1922047414418698E-5</v>
      </c>
      <c r="D41690" s="1">
        <v>2.7316848121359601E-5</v>
      </c>
      <c r="E41690" s="1">
        <v>1.0429295892161E-4</v>
      </c>
      <c r="F41690" s="1">
        <v>6.9739079342677804E-5</v>
      </c>
    </row>
    <row r="41691" spans="1:6" x14ac:dyDescent="0.25">
      <c r="A41691" s="2" t="str">
        <f t="shared" si="1313"/>
        <v>99999</v>
      </c>
      <c r="B41691" s="2" t="str">
        <f>"04655"</f>
        <v>04655</v>
      </c>
      <c r="C41691" s="1">
        <v>5.45690799805908E-5</v>
      </c>
      <c r="D41691" s="1">
        <v>9.1056160404532095E-6</v>
      </c>
      <c r="E41691" s="1">
        <v>1.7382159820268399E-5</v>
      </c>
      <c r="F41691" s="1">
        <v>5.07374186373262E-5</v>
      </c>
    </row>
    <row r="41692" spans="1:6" x14ac:dyDescent="0.25">
      <c r="A41692" s="2" t="str">
        <f t="shared" si="1313"/>
        <v>99999</v>
      </c>
      <c r="B41692" s="2" t="str">
        <f>"04625"</f>
        <v>04625</v>
      </c>
      <c r="C41692" s="1">
        <v>4.0381119185637197E-6</v>
      </c>
      <c r="D41692" s="1">
        <v>0</v>
      </c>
      <c r="E41692" s="1">
        <v>4.3455399550671099E-6</v>
      </c>
      <c r="F41692" s="1">
        <v>3.7804351141537199E-6</v>
      </c>
    </row>
    <row r="41693" spans="1:6" x14ac:dyDescent="0.25">
      <c r="A41693" s="2" t="str">
        <f t="shared" si="1313"/>
        <v>99999</v>
      </c>
      <c r="B41693" s="2" t="str">
        <f>"04617"</f>
        <v>04617</v>
      </c>
      <c r="C41693" s="1">
        <v>5.8170639259309801E-5</v>
      </c>
      <c r="D41693" s="1">
        <v>1.0623218713862E-5</v>
      </c>
      <c r="E41693" s="1">
        <v>1.3036619865201299E-5</v>
      </c>
      <c r="F41693" s="1">
        <v>5.4020428078565001E-5</v>
      </c>
    </row>
    <row r="41694" spans="1:6" x14ac:dyDescent="0.25">
      <c r="A41694" s="2" t="str">
        <f t="shared" si="1313"/>
        <v>99999</v>
      </c>
      <c r="B41694" s="2" t="str">
        <f>"04574"</f>
        <v>04574</v>
      </c>
      <c r="C41694" s="1">
        <v>7.4977915893331795E-5</v>
      </c>
      <c r="D41694" s="1">
        <v>4.8563285549083798E-5</v>
      </c>
      <c r="E41694" s="1">
        <v>8.69107991013423E-6</v>
      </c>
      <c r="F41694" s="1">
        <v>7.1728782034337598E-5</v>
      </c>
    </row>
    <row r="41695" spans="1:6" x14ac:dyDescent="0.25">
      <c r="A41695" s="2" t="str">
        <f t="shared" si="1313"/>
        <v>99999</v>
      </c>
      <c r="B41695" s="2" t="str">
        <f>"04541"</f>
        <v>04541</v>
      </c>
      <c r="C41695" s="1">
        <v>5.8934606379038102E-6</v>
      </c>
      <c r="D41695" s="1">
        <v>0</v>
      </c>
      <c r="E41695" s="1">
        <v>4.3455399550671099E-6</v>
      </c>
      <c r="F41695" s="1">
        <v>5.4716824020645896E-6</v>
      </c>
    </row>
    <row r="41696" spans="1:6" x14ac:dyDescent="0.25">
      <c r="A41696" s="2" t="str">
        <f t="shared" si="1313"/>
        <v>99999</v>
      </c>
      <c r="B41696" s="2" t="str">
        <f>"04492"</f>
        <v>04492</v>
      </c>
      <c r="C41696" s="1">
        <v>8.7310527968945299E-6</v>
      </c>
      <c r="D41696" s="1">
        <v>3.0352053468177301E-6</v>
      </c>
      <c r="E41696" s="1">
        <v>4.3455399550671099E-6</v>
      </c>
      <c r="F41696" s="1">
        <v>8.2572661703883803E-6</v>
      </c>
    </row>
    <row r="41697" spans="1:6" x14ac:dyDescent="0.25">
      <c r="A41697" s="2" t="str">
        <f t="shared" si="1313"/>
        <v>99999</v>
      </c>
      <c r="B41697" s="2" t="str">
        <f>"04496"</f>
        <v>04496</v>
      </c>
      <c r="C41697" s="1">
        <v>1.6709052290056901E-4</v>
      </c>
      <c r="D41697" s="1">
        <v>3.9457669508630602E-5</v>
      </c>
      <c r="E41697" s="1">
        <v>1.73821598202684E-4</v>
      </c>
      <c r="F41697" s="1">
        <v>1.58877759929039E-4</v>
      </c>
    </row>
    <row r="41698" spans="1:6" x14ac:dyDescent="0.25">
      <c r="A41698" s="2" t="str">
        <f t="shared" si="1313"/>
        <v>99999</v>
      </c>
      <c r="B41698" s="2" t="str">
        <f>"04448"</f>
        <v>04448</v>
      </c>
      <c r="C41698" s="1">
        <v>3.2741447988354498E-7</v>
      </c>
      <c r="D41698" s="1">
        <v>0</v>
      </c>
      <c r="E41698" s="1">
        <v>0</v>
      </c>
      <c r="F41698" s="1">
        <v>2.9845540374897701E-7</v>
      </c>
    </row>
    <row r="41699" spans="1:6" x14ac:dyDescent="0.25">
      <c r="A41699" s="2" t="str">
        <f t="shared" si="1313"/>
        <v>99999</v>
      </c>
      <c r="B41699" s="2" t="str">
        <f>"04443"</f>
        <v>04443</v>
      </c>
      <c r="C41699" s="1">
        <v>1.32493726192874E-4</v>
      </c>
      <c r="D41699" s="1">
        <v>4.0975272182039399E-5</v>
      </c>
      <c r="E41699" s="1">
        <v>4.7800939505738197E-5</v>
      </c>
      <c r="F41699" s="1">
        <v>1.2455538849790601E-4</v>
      </c>
    </row>
    <row r="41700" spans="1:6" x14ac:dyDescent="0.25">
      <c r="A41700" s="2" t="str">
        <f t="shared" si="1313"/>
        <v>99999</v>
      </c>
      <c r="B41700" s="2" t="str">
        <f>"04421"</f>
        <v>04421</v>
      </c>
      <c r="C41700" s="1">
        <v>1.6916414793983099E-5</v>
      </c>
      <c r="D41700" s="1">
        <v>0</v>
      </c>
      <c r="E41700" s="1">
        <v>1.3036619865201299E-5</v>
      </c>
      <c r="F41700" s="1">
        <v>1.57186512641128E-5</v>
      </c>
    </row>
    <row r="41701" spans="1:6" x14ac:dyDescent="0.25">
      <c r="A41701" s="2" t="str">
        <f t="shared" si="1313"/>
        <v>99999</v>
      </c>
      <c r="B41701" s="2" t="str">
        <f>"04286"</f>
        <v>04286</v>
      </c>
      <c r="C41701" s="1">
        <v>0</v>
      </c>
      <c r="D41701" s="1">
        <v>0</v>
      </c>
      <c r="E41701" s="1">
        <v>4.3455399550671099E-6</v>
      </c>
      <c r="F41701" s="1">
        <v>9.9485134582992598E-8</v>
      </c>
    </row>
    <row r="41702" spans="1:6" x14ac:dyDescent="0.25">
      <c r="A41702" s="2" t="str">
        <f t="shared" si="1313"/>
        <v>99999</v>
      </c>
      <c r="B41702" s="2" t="str">
        <f>"04290"</f>
        <v>04290</v>
      </c>
      <c r="C41702" s="1">
        <v>7.1376356614612801E-5</v>
      </c>
      <c r="D41702" s="1">
        <v>2.4281642774541899E-5</v>
      </c>
      <c r="E41702" s="1">
        <v>8.69107991013423E-6</v>
      </c>
      <c r="F41702" s="1">
        <v>6.6854010439771003E-5</v>
      </c>
    </row>
    <row r="41703" spans="1:6" x14ac:dyDescent="0.25">
      <c r="A41703" s="2" t="str">
        <f t="shared" si="1313"/>
        <v>99999</v>
      </c>
      <c r="B41703" s="2" t="str">
        <f>"04262"</f>
        <v>04262</v>
      </c>
      <c r="C41703" s="1">
        <v>1.09138159961181E-7</v>
      </c>
      <c r="D41703" s="1">
        <v>0</v>
      </c>
      <c r="E41703" s="1">
        <v>4.3455399550671099E-6</v>
      </c>
      <c r="F41703" s="1">
        <v>1.9897026916598501E-7</v>
      </c>
    </row>
    <row r="41704" spans="1:6" x14ac:dyDescent="0.25">
      <c r="A41704" s="2" t="str">
        <f t="shared" si="1313"/>
        <v>99999</v>
      </c>
      <c r="B41704" s="2" t="str">
        <f>"04271"</f>
        <v>04271</v>
      </c>
      <c r="C41704" s="1">
        <v>6.5482895976709E-6</v>
      </c>
      <c r="D41704" s="1">
        <v>0</v>
      </c>
      <c r="E41704" s="1">
        <v>4.3455399550671099E-6</v>
      </c>
      <c r="F41704" s="1">
        <v>6.0685932095625502E-6</v>
      </c>
    </row>
    <row r="41705" spans="1:6" x14ac:dyDescent="0.25">
      <c r="A41705" s="2" t="str">
        <f t="shared" si="1313"/>
        <v>99999</v>
      </c>
      <c r="B41705" s="2" t="str">
        <f>"04281"</f>
        <v>04281</v>
      </c>
      <c r="C41705" s="1">
        <v>3.0820616373037702E-4</v>
      </c>
      <c r="D41705" s="1">
        <v>3.9002388706607899E-4</v>
      </c>
      <c r="E41705" s="1">
        <v>8.4303475128302005E-4</v>
      </c>
      <c r="F41705" s="1">
        <v>3.258138157593E-4</v>
      </c>
    </row>
    <row r="41706" spans="1:6" x14ac:dyDescent="0.25">
      <c r="A41706" s="2" t="str">
        <f t="shared" si="1313"/>
        <v>99999</v>
      </c>
      <c r="B41706" s="2" t="str">
        <f>"04231"</f>
        <v>04231</v>
      </c>
      <c r="C41706" s="1">
        <v>1.8553487193400799E-5</v>
      </c>
      <c r="D41706" s="1">
        <v>6.0704106936354696E-6</v>
      </c>
      <c r="E41706" s="1">
        <v>4.3455399550671099E-6</v>
      </c>
      <c r="F41706" s="1">
        <v>1.74098985520237E-5</v>
      </c>
    </row>
    <row r="41707" spans="1:6" x14ac:dyDescent="0.25">
      <c r="A41707" s="2" t="str">
        <f t="shared" si="1313"/>
        <v>99999</v>
      </c>
      <c r="B41707" s="2" t="str">
        <f>"04219"</f>
        <v>04219</v>
      </c>
      <c r="C41707" s="1">
        <v>7.9670856771662596E-5</v>
      </c>
      <c r="D41707" s="1">
        <v>1.3658424060679801E-5</v>
      </c>
      <c r="E41707" s="1">
        <v>1.7382159820268399E-5</v>
      </c>
      <c r="F41707" s="1">
        <v>7.3917454995163498E-5</v>
      </c>
    </row>
    <row r="41708" spans="1:6" x14ac:dyDescent="0.25">
      <c r="A41708" s="2" t="str">
        <f t="shared" si="1313"/>
        <v>99999</v>
      </c>
      <c r="B41708" s="2" t="str">
        <f>"04239"</f>
        <v>04239</v>
      </c>
      <c r="C41708" s="1">
        <v>2.4872586655153299E-4</v>
      </c>
      <c r="D41708" s="1">
        <v>1.54795472687704E-4</v>
      </c>
      <c r="E41708" s="1">
        <v>5.3015587451818804E-4</v>
      </c>
      <c r="F41708" s="1">
        <v>2.4901129186123E-4</v>
      </c>
    </row>
    <row r="41709" spans="1:6" x14ac:dyDescent="0.25">
      <c r="A41709" s="2" t="str">
        <f t="shared" si="1313"/>
        <v>99999</v>
      </c>
      <c r="B41709" s="2" t="str">
        <f>"03890"</f>
        <v>03890</v>
      </c>
      <c r="C41709" s="1">
        <v>9.3858817566616205E-6</v>
      </c>
      <c r="D41709" s="1">
        <v>1.21408213872709E-5</v>
      </c>
      <c r="E41709" s="1">
        <v>1.3036619865201299E-5</v>
      </c>
      <c r="F41709" s="1">
        <v>9.6500580545502799E-6</v>
      </c>
    </row>
    <row r="41710" spans="1:6" x14ac:dyDescent="0.25">
      <c r="A41710" s="2" t="str">
        <f t="shared" si="1313"/>
        <v>99999</v>
      </c>
      <c r="B41710" s="2" t="str">
        <f>"03864"</f>
        <v>03864</v>
      </c>
      <c r="C41710" s="1">
        <v>1.2867389059423301E-4</v>
      </c>
      <c r="D41710" s="1">
        <v>5.1446730628560604E-4</v>
      </c>
      <c r="E41710" s="1">
        <v>2.60732397304027E-5</v>
      </c>
      <c r="F41710" s="1">
        <v>1.5161534510448E-4</v>
      </c>
    </row>
    <row r="41711" spans="1:6" x14ac:dyDescent="0.25">
      <c r="A41711" s="2" t="str">
        <f t="shared" si="1313"/>
        <v>99999</v>
      </c>
      <c r="B41711" s="2" t="str">
        <f>"03845"</f>
        <v>03845</v>
      </c>
      <c r="C41711" s="1">
        <v>1.22234739156523E-4</v>
      </c>
      <c r="D41711" s="1">
        <v>3.70295052311764E-4</v>
      </c>
      <c r="E41711" s="1">
        <v>1.7382159820268399E-5</v>
      </c>
      <c r="F41711" s="1">
        <v>1.36095664109533E-4</v>
      </c>
    </row>
    <row r="41712" spans="1:6" x14ac:dyDescent="0.25">
      <c r="A41712" s="2" t="str">
        <f t="shared" si="1313"/>
        <v>99999</v>
      </c>
      <c r="B41712" s="2" t="str">
        <f>"03830"</f>
        <v>03830</v>
      </c>
      <c r="C41712" s="1">
        <v>9.3313126766810298E-5</v>
      </c>
      <c r="D41712" s="1">
        <v>1.66936294074975E-5</v>
      </c>
      <c r="E41712" s="1">
        <v>1.3036619865201299E-5</v>
      </c>
      <c r="F41712" s="1">
        <v>8.6452581952620606E-5</v>
      </c>
    </row>
    <row r="41713" spans="1:6" x14ac:dyDescent="0.25">
      <c r="A41713" s="2" t="str">
        <f t="shared" si="1313"/>
        <v>99999</v>
      </c>
      <c r="B41713" s="2" t="str">
        <f>"03813"</f>
        <v>03813</v>
      </c>
      <c r="C41713" s="1">
        <v>2.1751235280263501E-4</v>
      </c>
      <c r="D41713" s="1">
        <v>2.0032355288997E-4</v>
      </c>
      <c r="E41713" s="1">
        <v>7.8219719191208097E-5</v>
      </c>
      <c r="F41713" s="1">
        <v>2.13196643411353E-4</v>
      </c>
    </row>
    <row r="41714" spans="1:6" x14ac:dyDescent="0.25">
      <c r="A41714" s="2" t="str">
        <f t="shared" si="1313"/>
        <v>99999</v>
      </c>
      <c r="B41714" s="2" t="str">
        <f>"00775"</f>
        <v>00775</v>
      </c>
      <c r="C41714" s="1">
        <v>0</v>
      </c>
      <c r="D41714" s="1">
        <v>0</v>
      </c>
      <c r="E41714" s="1">
        <v>4.3455399550671099E-6</v>
      </c>
      <c r="F41714" s="1">
        <v>9.9485134582992598E-8</v>
      </c>
    </row>
    <row r="41715" spans="1:6" x14ac:dyDescent="0.25">
      <c r="A41715" s="2" t="str">
        <f t="shared" si="1313"/>
        <v>99999</v>
      </c>
      <c r="B41715" s="2" t="str">
        <f>"99657"</f>
        <v>99657</v>
      </c>
      <c r="C41715" s="1">
        <v>0</v>
      </c>
      <c r="D41715" s="1">
        <v>0</v>
      </c>
      <c r="E41715" s="1">
        <v>4.3455399550671099E-6</v>
      </c>
      <c r="F41715" s="1">
        <v>9.9485134582992598E-8</v>
      </c>
    </row>
    <row r="41716" spans="1:6" x14ac:dyDescent="0.25">
      <c r="A41716" s="2" t="str">
        <f t="shared" si="1313"/>
        <v>99999</v>
      </c>
      <c r="B41716" s="2" t="str">
        <f>"99685"</f>
        <v>99685</v>
      </c>
      <c r="C41716" s="1">
        <v>0</v>
      </c>
      <c r="D41716" s="1">
        <v>0</v>
      </c>
      <c r="E41716" s="1">
        <v>4.3455399550671099E-6</v>
      </c>
      <c r="F41716" s="1">
        <v>9.9485134582992598E-8</v>
      </c>
    </row>
    <row r="41717" spans="1:6" x14ac:dyDescent="0.25">
      <c r="A41717" s="2" t="str">
        <f t="shared" si="1313"/>
        <v>99999</v>
      </c>
      <c r="B41717" s="2" t="str">
        <f>"99677"</f>
        <v>99677</v>
      </c>
      <c r="C41717" s="1">
        <v>0</v>
      </c>
      <c r="D41717" s="1">
        <v>0</v>
      </c>
      <c r="E41717" s="1">
        <v>4.3455399550671099E-6</v>
      </c>
      <c r="F41717" s="1">
        <v>9.9485134582992598E-8</v>
      </c>
    </row>
    <row r="41718" spans="1:6" x14ac:dyDescent="0.25">
      <c r="A41718" s="2" t="str">
        <f t="shared" si="1313"/>
        <v>99999</v>
      </c>
      <c r="B41718" s="2" t="str">
        <f>"99662"</f>
        <v>99662</v>
      </c>
      <c r="C41718" s="1">
        <v>0</v>
      </c>
      <c r="D41718" s="1">
        <v>0</v>
      </c>
      <c r="E41718" s="1">
        <v>4.3455399550671099E-6</v>
      </c>
      <c r="F41718" s="1">
        <v>9.9485134582992598E-8</v>
      </c>
    </row>
    <row r="41719" spans="1:6" x14ac:dyDescent="0.25">
      <c r="A41719" s="2" t="str">
        <f t="shared" si="1313"/>
        <v>99999</v>
      </c>
      <c r="B41719" s="2" t="str">
        <f>"99660"</f>
        <v>99660</v>
      </c>
      <c r="C41719" s="1">
        <v>1.09138159961181E-7</v>
      </c>
      <c r="D41719" s="1">
        <v>0</v>
      </c>
      <c r="E41719" s="1">
        <v>4.3455399550671099E-6</v>
      </c>
      <c r="F41719" s="1">
        <v>1.9897026916598501E-7</v>
      </c>
    </row>
    <row r="41720" spans="1:6" x14ac:dyDescent="0.25">
      <c r="A41720" s="2" t="str">
        <f t="shared" si="1313"/>
        <v>99999</v>
      </c>
      <c r="B41720" s="2" t="str">
        <f>"99656"</f>
        <v>99656</v>
      </c>
      <c r="C41720" s="1">
        <v>0</v>
      </c>
      <c r="D41720" s="1">
        <v>0</v>
      </c>
      <c r="E41720" s="1">
        <v>4.3455399550671099E-6</v>
      </c>
      <c r="F41720" s="1">
        <v>9.9485134582992598E-8</v>
      </c>
    </row>
    <row r="41721" spans="1:6" x14ac:dyDescent="0.25">
      <c r="A41721" s="2" t="str">
        <f t="shared" si="1313"/>
        <v>99999</v>
      </c>
      <c r="B41721" s="2" t="str">
        <f>"99568"</f>
        <v>99568</v>
      </c>
      <c r="C41721" s="1">
        <v>5.3477698380979E-6</v>
      </c>
      <c r="D41721" s="1">
        <v>0</v>
      </c>
      <c r="E41721" s="1">
        <v>4.3455399550671099E-6</v>
      </c>
      <c r="F41721" s="1">
        <v>4.9742567291496301E-6</v>
      </c>
    </row>
    <row r="41722" spans="1:6" x14ac:dyDescent="0.25">
      <c r="A41722" s="2" t="str">
        <f t="shared" si="1313"/>
        <v>99999</v>
      </c>
      <c r="B41722" s="2" t="str">
        <f>"99630"</f>
        <v>99630</v>
      </c>
      <c r="C41722" s="1">
        <v>0</v>
      </c>
      <c r="D41722" s="1">
        <v>0</v>
      </c>
      <c r="E41722" s="1">
        <v>4.3455399550671099E-6</v>
      </c>
      <c r="F41722" s="1">
        <v>9.9485134582992598E-8</v>
      </c>
    </row>
    <row r="41723" spans="1:6" x14ac:dyDescent="0.25">
      <c r="A41723" s="2" t="str">
        <f t="shared" si="1313"/>
        <v>99999</v>
      </c>
      <c r="B41723" s="2" t="str">
        <f>"99627"</f>
        <v>99627</v>
      </c>
      <c r="C41723" s="1">
        <v>0</v>
      </c>
      <c r="D41723" s="1">
        <v>0</v>
      </c>
      <c r="E41723" s="1">
        <v>4.3455399550671099E-6</v>
      </c>
      <c r="F41723" s="1">
        <v>9.9485134582992598E-8</v>
      </c>
    </row>
    <row r="41724" spans="1:6" x14ac:dyDescent="0.25">
      <c r="A41724" s="2" t="str">
        <f t="shared" si="1313"/>
        <v>99999</v>
      </c>
      <c r="B41724" s="2" t="str">
        <f>"99622"</f>
        <v>99622</v>
      </c>
      <c r="C41724" s="1">
        <v>0</v>
      </c>
      <c r="D41724" s="1">
        <v>0</v>
      </c>
      <c r="E41724" s="1">
        <v>4.3455399550671099E-6</v>
      </c>
      <c r="F41724" s="1">
        <v>9.9485134582992598E-8</v>
      </c>
    </row>
    <row r="41725" spans="1:6" x14ac:dyDescent="0.25">
      <c r="A41725" s="2" t="str">
        <f t="shared" si="1313"/>
        <v>99999</v>
      </c>
      <c r="B41725" s="2" t="str">
        <f>"99588"</f>
        <v>99588</v>
      </c>
      <c r="C41725" s="1">
        <v>2.8048507110023701E-5</v>
      </c>
      <c r="D41725" s="1">
        <v>1.5176026734088599E-5</v>
      </c>
      <c r="E41725" s="1">
        <v>4.3455399550671099E-6</v>
      </c>
      <c r="F41725" s="1">
        <v>2.6662016068241999E-5</v>
      </c>
    </row>
    <row r="41726" spans="1:6" x14ac:dyDescent="0.25">
      <c r="A41726" s="2" t="str">
        <f t="shared" si="1313"/>
        <v>99999</v>
      </c>
      <c r="B41726" s="2" t="str">
        <f>"99548"</f>
        <v>99548</v>
      </c>
      <c r="C41726" s="1">
        <v>0</v>
      </c>
      <c r="D41726" s="1">
        <v>0</v>
      </c>
      <c r="E41726" s="1">
        <v>4.3455399550671099E-6</v>
      </c>
      <c r="F41726" s="1">
        <v>9.9485134582992598E-8</v>
      </c>
    </row>
    <row r="41727" spans="1:6" x14ac:dyDescent="0.25">
      <c r="A41727" s="2" t="str">
        <f t="shared" si="1313"/>
        <v>99999</v>
      </c>
      <c r="B41727" s="2" t="str">
        <f>"99726"</f>
        <v>99726</v>
      </c>
      <c r="C41727" s="1">
        <v>0</v>
      </c>
      <c r="D41727" s="1">
        <v>0</v>
      </c>
      <c r="E41727" s="1">
        <v>4.3455399550671099E-6</v>
      </c>
      <c r="F41727" s="1">
        <v>9.9485134582992598E-8</v>
      </c>
    </row>
    <row r="41728" spans="1:6" x14ac:dyDescent="0.25">
      <c r="A41728" s="2" t="str">
        <f t="shared" si="1313"/>
        <v>99999</v>
      </c>
      <c r="B41728" s="2" t="str">
        <f>"99721"</f>
        <v>99721</v>
      </c>
      <c r="C41728" s="1">
        <v>0</v>
      </c>
      <c r="D41728" s="1">
        <v>0</v>
      </c>
      <c r="E41728" s="1">
        <v>4.3455399550671099E-6</v>
      </c>
      <c r="F41728" s="1">
        <v>9.9485134582992598E-8</v>
      </c>
    </row>
    <row r="41729" spans="1:6" x14ac:dyDescent="0.25">
      <c r="A41729" s="2" t="str">
        <f t="shared" si="1313"/>
        <v>99999</v>
      </c>
      <c r="B41729" s="2" t="str">
        <f>"99763"</f>
        <v>99763</v>
      </c>
      <c r="C41729" s="1">
        <v>0</v>
      </c>
      <c r="D41729" s="1">
        <v>0</v>
      </c>
      <c r="E41729" s="1">
        <v>4.3455399550671099E-6</v>
      </c>
      <c r="F41729" s="1">
        <v>9.9485134582992598E-8</v>
      </c>
    </row>
    <row r="41730" spans="1:6" x14ac:dyDescent="0.25">
      <c r="A41730" s="2" t="str">
        <f t="shared" si="1313"/>
        <v>99999</v>
      </c>
      <c r="B41730" s="2" t="str">
        <f>"99747"</f>
        <v>99747</v>
      </c>
      <c r="C41730" s="1">
        <v>0</v>
      </c>
      <c r="D41730" s="1">
        <v>0</v>
      </c>
      <c r="E41730" s="1">
        <v>4.3455399550671099E-6</v>
      </c>
      <c r="F41730" s="1">
        <v>9.9485134582992598E-8</v>
      </c>
    </row>
    <row r="41731" spans="1:6" x14ac:dyDescent="0.25">
      <c r="A41731" s="2" t="str">
        <f t="shared" si="1313"/>
        <v>99999</v>
      </c>
      <c r="B41731" s="2" t="str">
        <f>"99918"</f>
        <v>99918</v>
      </c>
      <c r="C41731" s="1">
        <v>0</v>
      </c>
      <c r="D41731" s="1">
        <v>1.51760267340886E-6</v>
      </c>
      <c r="E41731" s="1">
        <v>4.3455399550671099E-6</v>
      </c>
      <c r="F41731" s="1">
        <v>1.9897026916598501E-7</v>
      </c>
    </row>
    <row r="41732" spans="1:6" x14ac:dyDescent="0.25">
      <c r="A41732" s="2" t="str">
        <f t="shared" si="1313"/>
        <v>99999</v>
      </c>
      <c r="B41732" s="2" t="str">
        <f>"99737"</f>
        <v>99737</v>
      </c>
      <c r="C41732" s="1">
        <v>5.5333047100319102E-5</v>
      </c>
      <c r="D41732" s="1">
        <v>3.7940066835221703E-5</v>
      </c>
      <c r="E41732" s="1">
        <v>8.69107991013423E-6</v>
      </c>
      <c r="F41732" s="1">
        <v>5.3125061867318001E-5</v>
      </c>
    </row>
    <row r="41733" spans="1:6" x14ac:dyDescent="0.25">
      <c r="A41733" s="2" t="str">
        <f t="shared" si="1313"/>
        <v>99999</v>
      </c>
      <c r="B41733" s="2" t="str">
        <f>"99348"</f>
        <v>99348</v>
      </c>
      <c r="C41733" s="1">
        <v>7.63967119728272E-7</v>
      </c>
      <c r="D41733" s="1">
        <v>0</v>
      </c>
      <c r="E41733" s="1">
        <v>0</v>
      </c>
      <c r="F41733" s="1">
        <v>6.9639594208094799E-7</v>
      </c>
    </row>
    <row r="41734" spans="1:6" x14ac:dyDescent="0.25">
      <c r="A41734" s="2" t="str">
        <f t="shared" si="1313"/>
        <v>99999</v>
      </c>
      <c r="B41734" s="2" t="str">
        <f>"99144"</f>
        <v>99144</v>
      </c>
      <c r="C41734" s="1">
        <v>1.9644868793012701E-6</v>
      </c>
      <c r="D41734" s="1">
        <v>1.51760267340886E-6</v>
      </c>
      <c r="E41734" s="1">
        <v>8.69107991013423E-6</v>
      </c>
      <c r="F41734" s="1">
        <v>2.08918782624284E-6</v>
      </c>
    </row>
    <row r="41735" spans="1:6" x14ac:dyDescent="0.25">
      <c r="A41735" s="2" t="str">
        <f t="shared" si="1313"/>
        <v>99999</v>
      </c>
      <c r="B41735" s="2" t="str">
        <f>"99032"</f>
        <v>99032</v>
      </c>
      <c r="C41735" s="1">
        <v>1.9644868793012701E-5</v>
      </c>
      <c r="D41735" s="1">
        <v>2.1246437427724101E-5</v>
      </c>
      <c r="E41735" s="1">
        <v>3.9978967586617401E-4</v>
      </c>
      <c r="F41735" s="1">
        <v>2.84527484907358E-5</v>
      </c>
    </row>
    <row r="41736" spans="1:6" x14ac:dyDescent="0.25">
      <c r="A41736" s="2" t="str">
        <f t="shared" si="1313"/>
        <v>99999</v>
      </c>
      <c r="B41736" s="2" t="str">
        <f>"98673"</f>
        <v>98673</v>
      </c>
      <c r="C41736" s="1">
        <v>3.7761803346568799E-5</v>
      </c>
      <c r="D41736" s="1">
        <v>1.51760267340886E-6</v>
      </c>
      <c r="E41736" s="1">
        <v>8.69107991013423E-6</v>
      </c>
      <c r="F41736" s="1">
        <v>3.4720311969464401E-5</v>
      </c>
    </row>
    <row r="41737" spans="1:6" x14ac:dyDescent="0.25">
      <c r="A41737" s="2" t="str">
        <f t="shared" si="1313"/>
        <v>99999</v>
      </c>
      <c r="B41737" s="2" t="str">
        <f>"98554"</f>
        <v>98554</v>
      </c>
      <c r="C41737" s="1">
        <v>0</v>
      </c>
      <c r="D41737" s="1">
        <v>1.51760267340886E-6</v>
      </c>
      <c r="E41737" s="1">
        <v>0</v>
      </c>
      <c r="F41737" s="1">
        <v>9.9485134582992598E-8</v>
      </c>
    </row>
    <row r="41738" spans="1:6" x14ac:dyDescent="0.25">
      <c r="A41738" s="2" t="str">
        <f t="shared" si="1313"/>
        <v>99999</v>
      </c>
      <c r="B41738" s="2" t="str">
        <f>"98527"</f>
        <v>98527</v>
      </c>
      <c r="C41738" s="1">
        <v>0</v>
      </c>
      <c r="D41738" s="1">
        <v>0</v>
      </c>
      <c r="E41738" s="1">
        <v>4.3455399550671099E-6</v>
      </c>
      <c r="F41738" s="1">
        <v>9.9485134582992598E-8</v>
      </c>
    </row>
    <row r="41739" spans="1:6" x14ac:dyDescent="0.25">
      <c r="A41739" s="2" t="str">
        <f t="shared" si="1313"/>
        <v>99999</v>
      </c>
      <c r="B41739" s="2" t="str">
        <f>"98643"</f>
        <v>98643</v>
      </c>
      <c r="C41739" s="1">
        <v>5.0858382541910597E-5</v>
      </c>
      <c r="D41739" s="1">
        <v>1.21408213872709E-5</v>
      </c>
      <c r="E41739" s="1">
        <v>4.3455399550671099E-6</v>
      </c>
      <c r="F41739" s="1">
        <v>4.7255438926921502E-5</v>
      </c>
    </row>
    <row r="41740" spans="1:6" x14ac:dyDescent="0.25">
      <c r="A41740" s="2" t="str">
        <f t="shared" si="1313"/>
        <v>99999</v>
      </c>
      <c r="B41740" s="2" t="str">
        <f>"98619"</f>
        <v>98619</v>
      </c>
      <c r="C41740" s="1">
        <v>3.0667822949091999E-5</v>
      </c>
      <c r="D41740" s="1">
        <v>9.1056160404532095E-6</v>
      </c>
      <c r="E41740" s="1">
        <v>8.69107991013423E-6</v>
      </c>
      <c r="F41740" s="1">
        <v>2.8751203894484799E-5</v>
      </c>
    </row>
    <row r="41741" spans="1:6" x14ac:dyDescent="0.25">
      <c r="A41741" s="2" t="str">
        <f t="shared" si="1313"/>
        <v>99999</v>
      </c>
      <c r="B41741" s="2" t="str">
        <f>"98621"</f>
        <v>98621</v>
      </c>
      <c r="C41741" s="1">
        <v>3.1431790068820301E-5</v>
      </c>
      <c r="D41741" s="1">
        <v>4.5528080202265997E-6</v>
      </c>
      <c r="E41741" s="1">
        <v>1.7382159820268399E-5</v>
      </c>
      <c r="F41741" s="1">
        <v>2.93481147019828E-5</v>
      </c>
    </row>
    <row r="41742" spans="1:6" x14ac:dyDescent="0.25">
      <c r="A41742" s="2" t="str">
        <f t="shared" si="1313"/>
        <v>99999</v>
      </c>
      <c r="B41742" s="2" t="str">
        <f>"98637"</f>
        <v>98637</v>
      </c>
      <c r="C41742" s="1">
        <v>0</v>
      </c>
      <c r="D41742" s="1">
        <v>1.51760267340886E-6</v>
      </c>
      <c r="E41742" s="1">
        <v>0</v>
      </c>
      <c r="F41742" s="1">
        <v>9.9485134582992598E-8</v>
      </c>
    </row>
    <row r="41743" spans="1:6" x14ac:dyDescent="0.25">
      <c r="A41743" s="2" t="str">
        <f t="shared" si="1313"/>
        <v>99999</v>
      </c>
      <c r="B41743" s="2" t="str">
        <f>"98628"</f>
        <v>98628</v>
      </c>
      <c r="C41743" s="1">
        <v>1.6370723994177199E-6</v>
      </c>
      <c r="D41743" s="1">
        <v>1.51760267340886E-6</v>
      </c>
      <c r="E41743" s="1">
        <v>0</v>
      </c>
      <c r="F41743" s="1">
        <v>1.5917621533278801E-6</v>
      </c>
    </row>
    <row r="41744" spans="1:6" x14ac:dyDescent="0.25">
      <c r="A41744" s="2" t="str">
        <f t="shared" si="1313"/>
        <v>99999</v>
      </c>
      <c r="B41744" s="2" t="str">
        <f>"98631"</f>
        <v>98631</v>
      </c>
      <c r="C41744" s="1">
        <v>3.5338936195430601E-4</v>
      </c>
      <c r="D41744" s="1">
        <v>1.48725061994069E-4</v>
      </c>
      <c r="E41744" s="1">
        <v>3.9544413591110703E-4</v>
      </c>
      <c r="F41744" s="1">
        <v>3.4093555621591502E-4</v>
      </c>
    </row>
    <row r="41745" spans="1:6" x14ac:dyDescent="0.25">
      <c r="A41745" s="2" t="str">
        <f t="shared" si="1313"/>
        <v>99999</v>
      </c>
      <c r="B41745" s="2" t="str">
        <f>"98331"</f>
        <v>98331</v>
      </c>
      <c r="C41745" s="1">
        <v>1.68072766340219E-5</v>
      </c>
      <c r="D41745" s="1">
        <v>1.8211232080906399E-5</v>
      </c>
      <c r="E41745" s="1">
        <v>8.69107991013423E-6</v>
      </c>
      <c r="F41745" s="1">
        <v>1.67135026099427E-5</v>
      </c>
    </row>
    <row r="41746" spans="1:6" x14ac:dyDescent="0.25">
      <c r="A41746" s="2" t="str">
        <f t="shared" ref="A41746:A41809" si="1314">"99999"</f>
        <v>99999</v>
      </c>
      <c r="B41746" s="2" t="str">
        <f>"98250"</f>
        <v>98250</v>
      </c>
      <c r="C41746" s="1">
        <v>7.3275360597937404E-4</v>
      </c>
      <c r="D41746" s="1">
        <v>1.39012404884252E-3</v>
      </c>
      <c r="E41746" s="1">
        <v>5.97946297817235E-3</v>
      </c>
      <c r="F41746" s="1">
        <v>8.9596312205443096E-4</v>
      </c>
    </row>
    <row r="41747" spans="1:6" x14ac:dyDescent="0.25">
      <c r="A41747" s="2" t="str">
        <f t="shared" si="1314"/>
        <v>99999</v>
      </c>
      <c r="B41747" s="2" t="str">
        <f>"98286"</f>
        <v>98286</v>
      </c>
      <c r="C41747" s="1">
        <v>1.09138159961181E-7</v>
      </c>
      <c r="D41747" s="1">
        <v>0</v>
      </c>
      <c r="E41747" s="1">
        <v>8.4738029123808704E-4</v>
      </c>
      <c r="F41747" s="1">
        <v>1.9499086378266499E-5</v>
      </c>
    </row>
    <row r="41748" spans="1:6" x14ac:dyDescent="0.25">
      <c r="A41748" s="2" t="str">
        <f t="shared" si="1314"/>
        <v>99999</v>
      </c>
      <c r="B41748" s="2" t="str">
        <f>"97830"</f>
        <v>97830</v>
      </c>
      <c r="C41748" s="1">
        <v>5.8716330059115698E-5</v>
      </c>
      <c r="D41748" s="1">
        <v>4.5528080202265997E-6</v>
      </c>
      <c r="E41748" s="1">
        <v>0</v>
      </c>
      <c r="F41748" s="1">
        <v>5.3821457809398998E-5</v>
      </c>
    </row>
    <row r="41749" spans="1:6" x14ac:dyDescent="0.25">
      <c r="A41749" s="2" t="str">
        <f t="shared" si="1314"/>
        <v>99999</v>
      </c>
      <c r="B41749" s="2" t="str">
        <f>"97710"</f>
        <v>97710</v>
      </c>
      <c r="C41749" s="1">
        <v>9.2767435967004401E-6</v>
      </c>
      <c r="D41749" s="1">
        <v>1.51760267340886E-6</v>
      </c>
      <c r="E41749" s="1">
        <v>3.47643196405369E-5</v>
      </c>
      <c r="F41749" s="1">
        <v>9.3516026508012996E-6</v>
      </c>
    </row>
    <row r="41750" spans="1:6" x14ac:dyDescent="0.25">
      <c r="A41750" s="2" t="str">
        <f t="shared" si="1314"/>
        <v>99999</v>
      </c>
      <c r="B41750" s="2" t="str">
        <f>"97131"</f>
        <v>97131</v>
      </c>
      <c r="C41750" s="1">
        <v>2.15984418563178E-4</v>
      </c>
      <c r="D41750" s="1">
        <v>4.2492874855448297E-5</v>
      </c>
      <c r="E41750" s="1">
        <v>7.8219719191208097E-5</v>
      </c>
      <c r="F41750" s="1">
        <v>2.0145739753056E-4</v>
      </c>
    </row>
    <row r="41751" spans="1:6" x14ac:dyDescent="0.25">
      <c r="A41751" s="2" t="str">
        <f t="shared" si="1314"/>
        <v>99999</v>
      </c>
      <c r="B41751" s="2" t="str">
        <f>"97143"</f>
        <v>97143</v>
      </c>
      <c r="C41751" s="1">
        <v>0</v>
      </c>
      <c r="D41751" s="1">
        <v>1.51760267340886E-6</v>
      </c>
      <c r="E41751" s="1">
        <v>0</v>
      </c>
      <c r="F41751" s="1">
        <v>9.9485134582992598E-8</v>
      </c>
    </row>
    <row r="41752" spans="1:6" x14ac:dyDescent="0.25">
      <c r="A41752" s="2" t="str">
        <f t="shared" si="1314"/>
        <v>99999</v>
      </c>
      <c r="B41752" s="2" t="str">
        <f>"97141"</f>
        <v>97141</v>
      </c>
      <c r="C41752" s="1">
        <v>8.6873975329100595E-4</v>
      </c>
      <c r="D41752" s="1">
        <v>1.25353980823572E-3</v>
      </c>
      <c r="E41752" s="1">
        <v>1.18198686777825E-3</v>
      </c>
      <c r="F41752" s="1">
        <v>9.0113634905274697E-4</v>
      </c>
    </row>
    <row r="41753" spans="1:6" x14ac:dyDescent="0.25">
      <c r="A41753" s="2" t="str">
        <f t="shared" si="1314"/>
        <v>99999</v>
      </c>
      <c r="B41753" s="2" t="str">
        <f>"97050"</f>
        <v>97050</v>
      </c>
      <c r="C41753" s="1">
        <v>1.7898658233633802E-5</v>
      </c>
      <c r="D41753" s="1">
        <v>1.51760267340886E-6</v>
      </c>
      <c r="E41753" s="1">
        <v>8.69107991013423E-6</v>
      </c>
      <c r="F41753" s="1">
        <v>1.6614017475359701E-5</v>
      </c>
    </row>
    <row r="41754" spans="1:6" x14ac:dyDescent="0.25">
      <c r="A41754" s="2" t="str">
        <f t="shared" si="1314"/>
        <v>99999</v>
      </c>
      <c r="B41754" s="2" t="str">
        <f>"97029"</f>
        <v>97029</v>
      </c>
      <c r="C41754" s="1">
        <v>1.8444349033439702E-5</v>
      </c>
      <c r="D41754" s="1">
        <v>3.0352053468177301E-6</v>
      </c>
      <c r="E41754" s="1">
        <v>0</v>
      </c>
      <c r="F41754" s="1">
        <v>1.7011958013691699E-5</v>
      </c>
    </row>
    <row r="41755" spans="1:6" x14ac:dyDescent="0.25">
      <c r="A41755" s="2" t="str">
        <f t="shared" si="1314"/>
        <v>99999</v>
      </c>
      <c r="B41755" s="2" t="str">
        <f>"96105"</f>
        <v>96105</v>
      </c>
      <c r="C41755" s="1">
        <v>2.8375921589907201E-6</v>
      </c>
      <c r="D41755" s="1">
        <v>3.0352053468177301E-6</v>
      </c>
      <c r="E41755" s="1">
        <v>8.69107991013423E-6</v>
      </c>
      <c r="F41755" s="1">
        <v>2.9845540374897699E-6</v>
      </c>
    </row>
    <row r="41756" spans="1:6" x14ac:dyDescent="0.25">
      <c r="A41756" s="2" t="str">
        <f t="shared" si="1314"/>
        <v>99999</v>
      </c>
      <c r="B41756" s="2" t="str">
        <f>"96120"</f>
        <v>96120</v>
      </c>
      <c r="C41756" s="1">
        <v>4.5074060063968003E-5</v>
      </c>
      <c r="D41756" s="1">
        <v>6.2221709609763595E-5</v>
      </c>
      <c r="E41756" s="1">
        <v>4.3455399550671103E-5</v>
      </c>
      <c r="F41756" s="1">
        <v>4.6161102446508498E-5</v>
      </c>
    </row>
    <row r="41757" spans="1:6" x14ac:dyDescent="0.25">
      <c r="A41757" s="2" t="str">
        <f t="shared" si="1314"/>
        <v>99999</v>
      </c>
      <c r="B41757" s="2" t="str">
        <f>"96094"</f>
        <v>96094</v>
      </c>
      <c r="C41757" s="1">
        <v>3.7816372426549398E-4</v>
      </c>
      <c r="D41757" s="1">
        <v>2.9441491864132003E-4</v>
      </c>
      <c r="E41757" s="1">
        <v>8.25652591462752E-4</v>
      </c>
      <c r="F41757" s="1">
        <v>3.8291828300993802E-4</v>
      </c>
    </row>
    <row r="41758" spans="1:6" x14ac:dyDescent="0.25">
      <c r="A41758" s="2" t="str">
        <f t="shared" si="1314"/>
        <v>99999</v>
      </c>
      <c r="B41758" s="2" t="str">
        <f>"96010"</f>
        <v>96010</v>
      </c>
      <c r="C41758" s="1">
        <v>9.8224343965063504E-7</v>
      </c>
      <c r="D41758" s="1">
        <v>3.0352053468177301E-6</v>
      </c>
      <c r="E41758" s="1">
        <v>4.3455399550671099E-6</v>
      </c>
      <c r="F41758" s="1">
        <v>1.19382161499591E-6</v>
      </c>
    </row>
    <row r="41759" spans="1:6" x14ac:dyDescent="0.25">
      <c r="A41759" s="2" t="str">
        <f t="shared" si="1314"/>
        <v>99999</v>
      </c>
      <c r="B41759" s="2" t="str">
        <f>"96020"</f>
        <v>96020</v>
      </c>
      <c r="C41759" s="1">
        <v>8.6000870049411196E-5</v>
      </c>
      <c r="D41759" s="1">
        <v>4.5528080202265997E-6</v>
      </c>
      <c r="E41759" s="1">
        <v>2.1727699775335501E-5</v>
      </c>
      <c r="F41759" s="1">
        <v>7.9190167128062101E-5</v>
      </c>
    </row>
    <row r="41760" spans="1:6" x14ac:dyDescent="0.25">
      <c r="A41760" s="2" t="str">
        <f t="shared" si="1314"/>
        <v>99999</v>
      </c>
      <c r="B41760" s="2" t="str">
        <f>"96031"</f>
        <v>96031</v>
      </c>
      <c r="C41760" s="1">
        <v>1.01498488763899E-5</v>
      </c>
      <c r="D41760" s="1">
        <v>9.1056160404532095E-6</v>
      </c>
      <c r="E41760" s="1">
        <v>7.3874179236140894E-5</v>
      </c>
      <c r="F41760" s="1">
        <v>1.1540275611627099E-5</v>
      </c>
    </row>
    <row r="41761" spans="1:6" x14ac:dyDescent="0.25">
      <c r="A41761" s="2" t="str">
        <f t="shared" si="1314"/>
        <v>99999</v>
      </c>
      <c r="B41761" s="2" t="str">
        <f>"96037"</f>
        <v>96037</v>
      </c>
      <c r="C41761" s="1">
        <v>0</v>
      </c>
      <c r="D41761" s="1">
        <v>0</v>
      </c>
      <c r="E41761" s="1">
        <v>4.3455399550671099E-6</v>
      </c>
      <c r="F41761" s="1">
        <v>9.9485134582992598E-8</v>
      </c>
    </row>
    <row r="41762" spans="1:6" x14ac:dyDescent="0.25">
      <c r="A41762" s="2" t="str">
        <f t="shared" si="1314"/>
        <v>99999</v>
      </c>
      <c r="B41762" s="2" t="str">
        <f>"96025"</f>
        <v>96025</v>
      </c>
      <c r="C41762" s="1">
        <v>1.4777306858744E-4</v>
      </c>
      <c r="D41762" s="1">
        <v>2.0184115556337901E-4</v>
      </c>
      <c r="E41762" s="1">
        <v>5.8664789393405995E-4</v>
      </c>
      <c r="F41762" s="1">
        <v>1.6136488829361401E-4</v>
      </c>
    </row>
    <row r="41763" spans="1:6" x14ac:dyDescent="0.25">
      <c r="A41763" s="2" t="str">
        <f t="shared" si="1314"/>
        <v>99999</v>
      </c>
      <c r="B41763" s="2" t="str">
        <f>"96023"</f>
        <v>96023</v>
      </c>
      <c r="C41763" s="1">
        <v>9.3858817566616205E-6</v>
      </c>
      <c r="D41763" s="1">
        <v>1.51760267340886E-6</v>
      </c>
      <c r="E41763" s="1">
        <v>4.3455399550671099E-6</v>
      </c>
      <c r="F41763" s="1">
        <v>8.7546918433033508E-6</v>
      </c>
    </row>
    <row r="41764" spans="1:6" x14ac:dyDescent="0.25">
      <c r="A41764" s="2" t="str">
        <f t="shared" si="1314"/>
        <v>99999</v>
      </c>
      <c r="B41764" s="2" t="str">
        <f>"95912"</f>
        <v>95912</v>
      </c>
      <c r="C41764" s="1">
        <v>9.9206587404714196E-5</v>
      </c>
      <c r="D41764" s="1">
        <v>3.6422464161812797E-5</v>
      </c>
      <c r="E41764" s="1">
        <v>2.60732397304027E-5</v>
      </c>
      <c r="F41764" s="1">
        <v>9.3416541373430001E-5</v>
      </c>
    </row>
    <row r="41765" spans="1:6" x14ac:dyDescent="0.25">
      <c r="A41765" s="2" t="str">
        <f t="shared" si="1314"/>
        <v>99999</v>
      </c>
      <c r="B41765" s="2" t="str">
        <f>"95910"</f>
        <v>95910</v>
      </c>
      <c r="C41765" s="1">
        <v>1.3096579195341799E-6</v>
      </c>
      <c r="D41765" s="1">
        <v>0</v>
      </c>
      <c r="E41765" s="1">
        <v>4.3455399550671099E-6</v>
      </c>
      <c r="F41765" s="1">
        <v>1.2933067495789E-6</v>
      </c>
    </row>
    <row r="41766" spans="1:6" x14ac:dyDescent="0.25">
      <c r="A41766" s="2" t="str">
        <f t="shared" si="1314"/>
        <v>99999</v>
      </c>
      <c r="B41766" s="2" t="str">
        <f>"96006"</f>
        <v>96006</v>
      </c>
      <c r="C41766" s="1">
        <v>2.9467303189519E-6</v>
      </c>
      <c r="D41766" s="1">
        <v>0</v>
      </c>
      <c r="E41766" s="1">
        <v>4.3455399550671099E-6</v>
      </c>
      <c r="F41766" s="1">
        <v>2.7855837683237898E-6</v>
      </c>
    </row>
    <row r="41767" spans="1:6" x14ac:dyDescent="0.25">
      <c r="A41767" s="2" t="str">
        <f t="shared" si="1314"/>
        <v>99999</v>
      </c>
      <c r="B41767" s="2" t="str">
        <f>"95963"</f>
        <v>95963</v>
      </c>
      <c r="C41767" s="1">
        <v>6.5351930184755604E-4</v>
      </c>
      <c r="D41767" s="1">
        <v>6.5105154689240499E-4</v>
      </c>
      <c r="E41767" s="1">
        <v>7.8654273186714804E-4</v>
      </c>
      <c r="F41767" s="1">
        <v>6.5640291797858501E-4</v>
      </c>
    </row>
    <row r="41768" spans="1:6" x14ac:dyDescent="0.25">
      <c r="A41768" s="2" t="str">
        <f t="shared" si="1314"/>
        <v>99999</v>
      </c>
      <c r="B41768" s="2" t="str">
        <f>"95947"</f>
        <v>95947</v>
      </c>
      <c r="C41768" s="1">
        <v>6.7010830216165506E-5</v>
      </c>
      <c r="D41768" s="1">
        <v>2.2764040101133E-5</v>
      </c>
      <c r="E41768" s="1">
        <v>1.30366198652013E-4</v>
      </c>
      <c r="F41768" s="1">
        <v>6.5560703690192097E-5</v>
      </c>
    </row>
    <row r="41769" spans="1:6" x14ac:dyDescent="0.25">
      <c r="A41769" s="2" t="str">
        <f t="shared" si="1314"/>
        <v>99999</v>
      </c>
      <c r="B41769" s="2" t="str">
        <f>"95666"</f>
        <v>95666</v>
      </c>
      <c r="C41769" s="1">
        <v>3.2272153900521399E-4</v>
      </c>
      <c r="D41769" s="1">
        <v>1.0623218713862E-4</v>
      </c>
      <c r="E41769" s="1">
        <v>7.3874179236140894E-5</v>
      </c>
      <c r="F41769" s="1">
        <v>3.0283274967062902E-4</v>
      </c>
    </row>
    <row r="41770" spans="1:6" x14ac:dyDescent="0.25">
      <c r="A41770" s="2" t="str">
        <f t="shared" si="1314"/>
        <v>99999</v>
      </c>
      <c r="B41770" s="2" t="str">
        <f>"95645"</f>
        <v>95645</v>
      </c>
      <c r="C41770" s="1">
        <v>1.9644868793012701E-6</v>
      </c>
      <c r="D41770" s="1">
        <v>0</v>
      </c>
      <c r="E41770" s="1">
        <v>0</v>
      </c>
      <c r="F41770" s="1">
        <v>1.79073242249386E-6</v>
      </c>
    </row>
    <row r="41771" spans="1:6" x14ac:dyDescent="0.25">
      <c r="A41771" s="2" t="str">
        <f t="shared" si="1314"/>
        <v>99999</v>
      </c>
      <c r="B41771" s="2" t="str">
        <f>"95318"</f>
        <v>95318</v>
      </c>
      <c r="C41771" s="1">
        <v>0</v>
      </c>
      <c r="D41771" s="1">
        <v>0</v>
      </c>
      <c r="E41771" s="1">
        <v>8.69107991013423E-6</v>
      </c>
      <c r="F41771" s="1">
        <v>1.9897026916598501E-7</v>
      </c>
    </row>
    <row r="41772" spans="1:6" x14ac:dyDescent="0.25">
      <c r="A41772" s="2" t="str">
        <f t="shared" si="1314"/>
        <v>99999</v>
      </c>
      <c r="B41772" s="2" t="str">
        <f>"95221"</f>
        <v>95221</v>
      </c>
      <c r="C41772" s="1">
        <v>0</v>
      </c>
      <c r="D41772" s="1">
        <v>0</v>
      </c>
      <c r="E41772" s="1">
        <v>4.3455399550671099E-6</v>
      </c>
      <c r="F41772" s="1">
        <v>9.9485134582992598E-8</v>
      </c>
    </row>
    <row r="41773" spans="1:6" x14ac:dyDescent="0.25">
      <c r="A41773" s="2" t="str">
        <f t="shared" si="1314"/>
        <v>99999</v>
      </c>
      <c r="B41773" s="2" t="str">
        <f>"95229"</f>
        <v>95229</v>
      </c>
      <c r="C41773" s="1">
        <v>1.09138159961181E-7</v>
      </c>
      <c r="D41773" s="1">
        <v>0</v>
      </c>
      <c r="E41773" s="1">
        <v>4.3455399550671099E-6</v>
      </c>
      <c r="F41773" s="1">
        <v>1.9897026916598501E-7</v>
      </c>
    </row>
    <row r="41774" spans="1:6" x14ac:dyDescent="0.25">
      <c r="A41774" s="2" t="str">
        <f t="shared" si="1314"/>
        <v>99999</v>
      </c>
      <c r="B41774" s="2" t="str">
        <f>"95226"</f>
        <v>95226</v>
      </c>
      <c r="C41774" s="1">
        <v>0</v>
      </c>
      <c r="D41774" s="1">
        <v>0</v>
      </c>
      <c r="E41774" s="1">
        <v>4.3455399550671099E-6</v>
      </c>
      <c r="F41774" s="1">
        <v>9.9485134582992598E-8</v>
      </c>
    </row>
    <row r="41775" spans="1:6" x14ac:dyDescent="0.25">
      <c r="A41775" s="2" t="str">
        <f t="shared" si="1314"/>
        <v>99999</v>
      </c>
      <c r="B41775" s="2" t="str">
        <f>"95223"</f>
        <v>95223</v>
      </c>
      <c r="C41775" s="1">
        <v>1.85534871934008E-6</v>
      </c>
      <c r="D41775" s="1">
        <v>9.1056160404532095E-6</v>
      </c>
      <c r="E41775" s="1">
        <v>8.69107991013423E-6</v>
      </c>
      <c r="F41775" s="1">
        <v>2.48712836457481E-6</v>
      </c>
    </row>
    <row r="41776" spans="1:6" x14ac:dyDescent="0.25">
      <c r="A41776" s="2" t="str">
        <f t="shared" si="1314"/>
        <v>99999</v>
      </c>
      <c r="B41776" s="2" t="str">
        <f>"95249"</f>
        <v>95249</v>
      </c>
      <c r="C41776" s="1">
        <v>1.4264357506926399E-4</v>
      </c>
      <c r="D41776" s="1">
        <v>1.0623218713862E-4</v>
      </c>
      <c r="E41776" s="1">
        <v>1.5209389842734899E-4</v>
      </c>
      <c r="F41776" s="1">
        <v>1.4047301003118501E-4</v>
      </c>
    </row>
    <row r="41777" spans="1:6" x14ac:dyDescent="0.25">
      <c r="A41777" s="2" t="str">
        <f t="shared" si="1314"/>
        <v>99999</v>
      </c>
      <c r="B41777" s="2" t="str">
        <f>"95246"</f>
        <v>95246</v>
      </c>
      <c r="C41777" s="1">
        <v>7.3449981653875301E-5</v>
      </c>
      <c r="D41777" s="1">
        <v>3.0352053468177301E-6</v>
      </c>
      <c r="E41777" s="1">
        <v>4.3455399550671099E-6</v>
      </c>
      <c r="F41777" s="1">
        <v>6.7251950978102997E-5</v>
      </c>
    </row>
    <row r="41778" spans="1:6" x14ac:dyDescent="0.25">
      <c r="A41778" s="2" t="str">
        <f t="shared" si="1314"/>
        <v>99999</v>
      </c>
      <c r="B41778" s="2" t="str">
        <f>"95236"</f>
        <v>95236</v>
      </c>
      <c r="C41778" s="1">
        <v>2.8375921589907201E-6</v>
      </c>
      <c r="D41778" s="1">
        <v>0</v>
      </c>
      <c r="E41778" s="1">
        <v>0</v>
      </c>
      <c r="F41778" s="1">
        <v>2.5866134991578E-6</v>
      </c>
    </row>
    <row r="41779" spans="1:6" x14ac:dyDescent="0.25">
      <c r="A41779" s="2" t="str">
        <f t="shared" si="1314"/>
        <v>99999</v>
      </c>
      <c r="B41779" s="2" t="str">
        <f>"95329"</f>
        <v>95329</v>
      </c>
      <c r="C41779" s="1">
        <v>5.9807711658727498E-5</v>
      </c>
      <c r="D41779" s="1">
        <v>1.0623218713862E-5</v>
      </c>
      <c r="E41779" s="1">
        <v>8.69107991013423E-6</v>
      </c>
      <c r="F41779" s="1">
        <v>5.5413219962726798E-5</v>
      </c>
    </row>
    <row r="41780" spans="1:6" x14ac:dyDescent="0.25">
      <c r="A41780" s="2" t="str">
        <f t="shared" si="1314"/>
        <v>99999</v>
      </c>
      <c r="B41780" s="2" t="str">
        <f>"93545"</f>
        <v>93545</v>
      </c>
      <c r="C41780" s="1">
        <v>3.7216112546762902E-5</v>
      </c>
      <c r="D41780" s="1">
        <v>1.8211232080906399E-5</v>
      </c>
      <c r="E41780" s="1">
        <v>6.9528639281073799E-5</v>
      </c>
      <c r="F41780" s="1">
        <v>3.6710014661124202E-5</v>
      </c>
    </row>
    <row r="41781" spans="1:6" x14ac:dyDescent="0.25">
      <c r="A41781" s="2" t="str">
        <f t="shared" si="1314"/>
        <v>99999</v>
      </c>
      <c r="B41781" s="2" t="str">
        <f>"93527"</f>
        <v>93527</v>
      </c>
      <c r="C41781" s="1">
        <v>2.9467303189519E-6</v>
      </c>
      <c r="D41781" s="1">
        <v>0</v>
      </c>
      <c r="E41781" s="1">
        <v>0</v>
      </c>
      <c r="F41781" s="1">
        <v>2.6860986337408002E-6</v>
      </c>
    </row>
    <row r="41782" spans="1:6" x14ac:dyDescent="0.25">
      <c r="A41782" s="2" t="str">
        <f t="shared" si="1314"/>
        <v>99999</v>
      </c>
      <c r="B41782" s="2" t="str">
        <f>"93526"</f>
        <v>93526</v>
      </c>
      <c r="C41782" s="1">
        <v>2.9903855829363701E-5</v>
      </c>
      <c r="D41782" s="1">
        <v>3.0352053468177301E-6</v>
      </c>
      <c r="E41782" s="1">
        <v>8.69107991013423E-6</v>
      </c>
      <c r="F41782" s="1">
        <v>2.76568674140719E-5</v>
      </c>
    </row>
    <row r="41783" spans="1:6" x14ac:dyDescent="0.25">
      <c r="A41783" s="2" t="str">
        <f t="shared" si="1314"/>
        <v>99999</v>
      </c>
      <c r="B41783" s="2" t="str">
        <f>"68845"</f>
        <v>68845</v>
      </c>
      <c r="C41783" s="1">
        <v>1.4187960794953601E-6</v>
      </c>
      <c r="D41783" s="1">
        <v>0</v>
      </c>
      <c r="E41783" s="1">
        <v>0</v>
      </c>
      <c r="F41783" s="1">
        <v>1.2933067495789E-6</v>
      </c>
    </row>
    <row r="41784" spans="1:6" x14ac:dyDescent="0.25">
      <c r="A41784" s="2" t="str">
        <f t="shared" si="1314"/>
        <v>99999</v>
      </c>
      <c r="B41784" s="2" t="str">
        <f>"68821"</f>
        <v>68821</v>
      </c>
      <c r="C41784" s="1">
        <v>8.9493291168169008E-6</v>
      </c>
      <c r="D41784" s="1">
        <v>6.0704106936354696E-6</v>
      </c>
      <c r="E41784" s="1">
        <v>4.3455399550671099E-6</v>
      </c>
      <c r="F41784" s="1">
        <v>8.6552067087203506E-6</v>
      </c>
    </row>
    <row r="41785" spans="1:6" x14ac:dyDescent="0.25">
      <c r="A41785" s="2" t="str">
        <f t="shared" si="1314"/>
        <v>99999</v>
      </c>
      <c r="B41785" s="2" t="str">
        <f>"68825"</f>
        <v>68825</v>
      </c>
      <c r="C41785" s="1">
        <v>5.3259422061056602E-5</v>
      </c>
      <c r="D41785" s="1">
        <v>3.4904861488403899E-5</v>
      </c>
      <c r="E41785" s="1">
        <v>1.7382159820268399E-5</v>
      </c>
      <c r="F41785" s="1">
        <v>5.1234844310241199E-5</v>
      </c>
    </row>
    <row r="41786" spans="1:6" x14ac:dyDescent="0.25">
      <c r="A41786" s="2" t="str">
        <f t="shared" si="1314"/>
        <v>99999</v>
      </c>
      <c r="B41786" s="2" t="str">
        <f>"68818"</f>
        <v>68818</v>
      </c>
      <c r="C41786" s="1">
        <v>2.7928455134066402E-4</v>
      </c>
      <c r="D41786" s="1">
        <v>4.8715045816424699E-4</v>
      </c>
      <c r="E41786" s="1">
        <v>2.6073239730402698E-4</v>
      </c>
      <c r="F41786" s="1">
        <v>2.9248629567399799E-4</v>
      </c>
    </row>
    <row r="41787" spans="1:6" x14ac:dyDescent="0.25">
      <c r="A41787" s="2" t="str">
        <f t="shared" si="1314"/>
        <v>99999</v>
      </c>
      <c r="B41787" s="2" t="str">
        <f>"69360"</f>
        <v>69360</v>
      </c>
      <c r="C41787" s="1">
        <v>7.3449981653875301E-5</v>
      </c>
      <c r="D41787" s="1">
        <v>1.5176026734088599E-5</v>
      </c>
      <c r="E41787" s="1">
        <v>6.0837559370939603E-5</v>
      </c>
      <c r="F41787" s="1">
        <v>6.9341138804345797E-5</v>
      </c>
    </row>
    <row r="41788" spans="1:6" x14ac:dyDescent="0.25">
      <c r="A41788" s="2" t="str">
        <f t="shared" si="1314"/>
        <v>99999</v>
      </c>
      <c r="B41788" s="2" t="str">
        <f>"69333"</f>
        <v>69333</v>
      </c>
      <c r="C41788" s="1">
        <v>1.3751408155108801E-5</v>
      </c>
      <c r="D41788" s="1">
        <v>9.1056160404532095E-6</v>
      </c>
      <c r="E41788" s="1">
        <v>4.3455399550671099E-6</v>
      </c>
      <c r="F41788" s="1">
        <v>1.3231522899537999E-5</v>
      </c>
    </row>
    <row r="41789" spans="1:6" x14ac:dyDescent="0.25">
      <c r="A41789" s="2" t="str">
        <f t="shared" si="1314"/>
        <v>99999</v>
      </c>
      <c r="B41789" s="2" t="str">
        <f>"69219"</f>
        <v>69219</v>
      </c>
      <c r="C41789" s="1">
        <v>5.7843224779426299E-6</v>
      </c>
      <c r="D41789" s="1">
        <v>4.5528080202265997E-6</v>
      </c>
      <c r="E41789" s="1">
        <v>4.3455399550671099E-6</v>
      </c>
      <c r="F41789" s="1">
        <v>5.6706526712305799E-6</v>
      </c>
    </row>
    <row r="41790" spans="1:6" x14ac:dyDescent="0.25">
      <c r="A41790" s="2" t="str">
        <f t="shared" si="1314"/>
        <v>99999</v>
      </c>
      <c r="B41790" s="2" t="str">
        <f>"69201"</f>
        <v>69201</v>
      </c>
      <c r="C41790" s="1">
        <v>2.47743623111882E-4</v>
      </c>
      <c r="D41790" s="1">
        <v>4.52245596675843E-4</v>
      </c>
      <c r="E41790" s="1">
        <v>3.5633427631550301E-4</v>
      </c>
      <c r="F41790" s="1">
        <v>2.6363560664493E-4</v>
      </c>
    </row>
    <row r="41791" spans="1:6" x14ac:dyDescent="0.25">
      <c r="A41791" s="2" t="str">
        <f t="shared" si="1314"/>
        <v>99999</v>
      </c>
      <c r="B41791" s="2" t="str">
        <f>"69040"</f>
        <v>69040</v>
      </c>
      <c r="C41791" s="1">
        <v>3.8089217826452399E-5</v>
      </c>
      <c r="D41791" s="1">
        <v>3.1869656141586203E-5</v>
      </c>
      <c r="E41791" s="1">
        <v>8.69107991013423E-6</v>
      </c>
      <c r="F41791" s="1">
        <v>3.7008470064873197E-5</v>
      </c>
    </row>
    <row r="41792" spans="1:6" x14ac:dyDescent="0.25">
      <c r="A41792" s="2" t="str">
        <f t="shared" si="1314"/>
        <v>99999</v>
      </c>
      <c r="B41792" s="2" t="str">
        <f>"68969"</f>
        <v>68969</v>
      </c>
      <c r="C41792" s="1">
        <v>2.1827631992236299E-6</v>
      </c>
      <c r="D41792" s="1">
        <v>3.0352053468177301E-6</v>
      </c>
      <c r="E41792" s="1">
        <v>0</v>
      </c>
      <c r="F41792" s="1">
        <v>2.1886729608258301E-6</v>
      </c>
    </row>
    <row r="41793" spans="1:6" x14ac:dyDescent="0.25">
      <c r="A41793" s="2" t="str">
        <f t="shared" si="1314"/>
        <v>99999</v>
      </c>
      <c r="B41793" s="2" t="str">
        <f>"69032"</f>
        <v>69032</v>
      </c>
      <c r="C41793" s="1">
        <v>3.0558684789130797E-5</v>
      </c>
      <c r="D41793" s="1">
        <v>2.1246437427724101E-5</v>
      </c>
      <c r="E41793" s="1">
        <v>4.3455399550671099E-6</v>
      </c>
      <c r="F41793" s="1">
        <v>2.93481147019828E-5</v>
      </c>
    </row>
    <row r="41794" spans="1:6" x14ac:dyDescent="0.25">
      <c r="A41794" s="2" t="str">
        <f t="shared" si="1314"/>
        <v>99999</v>
      </c>
      <c r="B41794" s="2" t="str">
        <f>"69022"</f>
        <v>69022</v>
      </c>
      <c r="C41794" s="1">
        <v>9.44045083664222E-5</v>
      </c>
      <c r="D41794" s="1">
        <v>6.5256914956581297E-5</v>
      </c>
      <c r="E41794" s="1">
        <v>9.1256339056409395E-5</v>
      </c>
      <c r="F41794" s="1">
        <v>9.2421690027600097E-5</v>
      </c>
    </row>
    <row r="41795" spans="1:6" x14ac:dyDescent="0.25">
      <c r="A41795" s="2" t="str">
        <f t="shared" si="1314"/>
        <v>99999</v>
      </c>
      <c r="B41795" s="2" t="str">
        <f>"69021"</f>
        <v>69021</v>
      </c>
      <c r="C41795" s="1">
        <v>8.6110008209372297E-5</v>
      </c>
      <c r="D41795" s="1">
        <v>7.5880133670443406E-5</v>
      </c>
      <c r="E41795" s="1">
        <v>4.3455399550671103E-5</v>
      </c>
      <c r="F41795" s="1">
        <v>8.4462879260960703E-5</v>
      </c>
    </row>
    <row r="41796" spans="1:6" x14ac:dyDescent="0.25">
      <c r="A41796" s="2" t="str">
        <f t="shared" si="1314"/>
        <v>99999</v>
      </c>
      <c r="B41796" s="2" t="str">
        <f>"69001"</f>
        <v>69001</v>
      </c>
      <c r="C41796" s="1">
        <v>5.0847468725914496E-4</v>
      </c>
      <c r="D41796" s="1">
        <v>1.00313536712326E-3</v>
      </c>
      <c r="E41796" s="1">
        <v>7.4308733231647601E-4</v>
      </c>
      <c r="F41796" s="1">
        <v>5.4627287399521202E-4</v>
      </c>
    </row>
    <row r="41797" spans="1:6" x14ac:dyDescent="0.25">
      <c r="A41797" s="2" t="str">
        <f t="shared" si="1314"/>
        <v>99999</v>
      </c>
      <c r="B41797" s="2" t="str">
        <f>"68982"</f>
        <v>68982</v>
      </c>
      <c r="C41797" s="1">
        <v>7.5305330373215401E-6</v>
      </c>
      <c r="D41797" s="1">
        <v>0</v>
      </c>
      <c r="E41797" s="1">
        <v>0</v>
      </c>
      <c r="F41797" s="1">
        <v>6.86447428622649E-6</v>
      </c>
    </row>
    <row r="41798" spans="1:6" x14ac:dyDescent="0.25">
      <c r="A41798" s="2" t="str">
        <f t="shared" si="1314"/>
        <v>99999</v>
      </c>
      <c r="B41798" s="2" t="str">
        <f>"69140"</f>
        <v>69140</v>
      </c>
      <c r="C41798" s="1">
        <v>8.8074495088673601E-5</v>
      </c>
      <c r="D41798" s="1">
        <v>2.1398197695065001E-4</v>
      </c>
      <c r="E41798" s="1">
        <v>4.3455399550671103E-5</v>
      </c>
      <c r="F41798" s="1">
        <v>9.5306758930506898E-5</v>
      </c>
    </row>
    <row r="41799" spans="1:6" x14ac:dyDescent="0.25">
      <c r="A41799" s="2" t="str">
        <f t="shared" si="1314"/>
        <v>99999</v>
      </c>
      <c r="B41799" s="2" t="str">
        <f>"69131"</f>
        <v>69131</v>
      </c>
      <c r="C41799" s="1">
        <v>2.52109149510329E-5</v>
      </c>
      <c r="D41799" s="1">
        <v>1.5176026734088599E-5</v>
      </c>
      <c r="E41799" s="1">
        <v>4.3455399550671099E-6</v>
      </c>
      <c r="F41799" s="1">
        <v>2.40754025690842E-5</v>
      </c>
    </row>
    <row r="41800" spans="1:6" x14ac:dyDescent="0.25">
      <c r="A41800" s="2" t="str">
        <f t="shared" si="1314"/>
        <v>99999</v>
      </c>
      <c r="B41800" s="2" t="str">
        <f>"68759"</f>
        <v>68759</v>
      </c>
      <c r="C41800" s="1">
        <v>1.7789520073672599E-5</v>
      </c>
      <c r="D41800" s="1">
        <v>1.0623218713862E-5</v>
      </c>
      <c r="E41800" s="1">
        <v>8.69107991013423E-6</v>
      </c>
      <c r="F41800" s="1">
        <v>1.7111443148274701E-5</v>
      </c>
    </row>
    <row r="41801" spans="1:6" x14ac:dyDescent="0.25">
      <c r="A41801" s="2" t="str">
        <f t="shared" si="1314"/>
        <v>99999</v>
      </c>
      <c r="B41801" s="2" t="str">
        <f>"68789"</f>
        <v>68789</v>
      </c>
      <c r="C41801" s="1">
        <v>1.20051975957299E-5</v>
      </c>
      <c r="D41801" s="1">
        <v>1.0623218713862E-5</v>
      </c>
      <c r="E41801" s="1">
        <v>0</v>
      </c>
      <c r="F41801" s="1">
        <v>1.1639760746210099E-5</v>
      </c>
    </row>
    <row r="41802" spans="1:6" x14ac:dyDescent="0.25">
      <c r="A41802" s="2" t="str">
        <f t="shared" si="1314"/>
        <v>99999</v>
      </c>
      <c r="B41802" s="2" t="str">
        <f>"68781"</f>
        <v>68781</v>
      </c>
      <c r="C41802" s="1">
        <v>3.1650066388742699E-5</v>
      </c>
      <c r="D41802" s="1">
        <v>9.1056160404532095E-6</v>
      </c>
      <c r="E41802" s="1">
        <v>2.1727699775335501E-5</v>
      </c>
      <c r="F41802" s="1">
        <v>2.9945025509480699E-5</v>
      </c>
    </row>
    <row r="41803" spans="1:6" x14ac:dyDescent="0.25">
      <c r="A41803" s="2" t="str">
        <f t="shared" si="1314"/>
        <v>99999</v>
      </c>
      <c r="B41803" s="2" t="str">
        <f>"68766"</f>
        <v>68766</v>
      </c>
      <c r="C41803" s="1">
        <v>2.4010395191459901E-5</v>
      </c>
      <c r="D41803" s="1">
        <v>1.5176026734088599E-5</v>
      </c>
      <c r="E41803" s="1">
        <v>4.3455399550671099E-6</v>
      </c>
      <c r="F41803" s="1">
        <v>2.29810660886712E-5</v>
      </c>
    </row>
    <row r="41804" spans="1:6" x14ac:dyDescent="0.25">
      <c r="A41804" s="2" t="str">
        <f t="shared" si="1314"/>
        <v>99999</v>
      </c>
      <c r="B41804" s="2" t="str">
        <f>"68934"</f>
        <v>68934</v>
      </c>
      <c r="C41804" s="1">
        <v>8.5127764769721692E-6</v>
      </c>
      <c r="D41804" s="1">
        <v>4.5528080202265997E-6</v>
      </c>
      <c r="E41804" s="1">
        <v>4.3455399550671099E-6</v>
      </c>
      <c r="F41804" s="1">
        <v>8.1577810358053902E-6</v>
      </c>
    </row>
    <row r="41805" spans="1:6" x14ac:dyDescent="0.25">
      <c r="A41805" s="2" t="str">
        <f t="shared" si="1314"/>
        <v>99999</v>
      </c>
      <c r="B41805" s="2" t="str">
        <f>"68947"</f>
        <v>68947</v>
      </c>
      <c r="C41805" s="1">
        <v>2.3355566231692799E-5</v>
      </c>
      <c r="D41805" s="1">
        <v>1.51760267340886E-6</v>
      </c>
      <c r="E41805" s="1">
        <v>1.08638498876677E-4</v>
      </c>
      <c r="F41805" s="1">
        <v>2.38764322999182E-5</v>
      </c>
    </row>
    <row r="41806" spans="1:6" x14ac:dyDescent="0.25">
      <c r="A41806" s="2" t="str">
        <f t="shared" si="1314"/>
        <v>99999</v>
      </c>
      <c r="B41806" s="2" t="str">
        <f>"68943"</f>
        <v>68943</v>
      </c>
      <c r="C41806" s="1">
        <v>1.3751408155108801E-5</v>
      </c>
      <c r="D41806" s="1">
        <v>7.5880133670443404E-6</v>
      </c>
      <c r="E41806" s="1">
        <v>4.3455399550671099E-6</v>
      </c>
      <c r="F41806" s="1">
        <v>1.3132037764955001E-5</v>
      </c>
    </row>
    <row r="41807" spans="1:6" x14ac:dyDescent="0.25">
      <c r="A41807" s="2" t="str">
        <f t="shared" si="1314"/>
        <v>99999</v>
      </c>
      <c r="B41807" s="2" t="str">
        <f>"68939"</f>
        <v>68939</v>
      </c>
      <c r="C41807" s="1">
        <v>7.1922047414418698E-5</v>
      </c>
      <c r="D41807" s="1">
        <v>2.0184115556337901E-4</v>
      </c>
      <c r="E41807" s="1">
        <v>5.6492019415872502E-5</v>
      </c>
      <c r="F41807" s="1">
        <v>8.0085533339308999E-5</v>
      </c>
    </row>
    <row r="41808" spans="1:6" x14ac:dyDescent="0.25">
      <c r="A41808" s="2" t="str">
        <f t="shared" si="1314"/>
        <v>99999</v>
      </c>
      <c r="B41808" s="2" t="str">
        <f>"68936"</f>
        <v>68936</v>
      </c>
      <c r="C41808" s="1">
        <v>7.0939803974768102E-6</v>
      </c>
      <c r="D41808" s="1">
        <v>4.5528080202265997E-6</v>
      </c>
      <c r="E41808" s="1">
        <v>4.3455399550671099E-6</v>
      </c>
      <c r="F41808" s="1">
        <v>6.86447428622649E-6</v>
      </c>
    </row>
    <row r="41809" spans="1:6" x14ac:dyDescent="0.25">
      <c r="A41809" s="2" t="str">
        <f t="shared" si="1314"/>
        <v>99999</v>
      </c>
      <c r="B41809" s="2" t="str">
        <f>"68874"</f>
        <v>68874</v>
      </c>
      <c r="C41809" s="1">
        <v>5.45690799805908E-5</v>
      </c>
      <c r="D41809" s="1">
        <v>2.1246437427724101E-5</v>
      </c>
      <c r="E41809" s="1">
        <v>3.47643196405369E-5</v>
      </c>
      <c r="F41809" s="1">
        <v>5.19312402523221E-5</v>
      </c>
    </row>
    <row r="41810" spans="1:6" x14ac:dyDescent="0.25">
      <c r="A41810" s="2" t="str">
        <f t="shared" ref="A41810:A41873" si="1315">"99999"</f>
        <v>99999</v>
      </c>
      <c r="B41810" s="2" t="str">
        <f>"68749"</f>
        <v>68749</v>
      </c>
      <c r="C41810" s="1">
        <v>4.3655263984472599E-6</v>
      </c>
      <c r="D41810" s="1">
        <v>3.0352053468177301E-6</v>
      </c>
      <c r="E41810" s="1">
        <v>4.3455399550671099E-6</v>
      </c>
      <c r="F41810" s="1">
        <v>4.2778607870686803E-6</v>
      </c>
    </row>
    <row r="41811" spans="1:6" x14ac:dyDescent="0.25">
      <c r="A41811" s="2" t="str">
        <f t="shared" si="1315"/>
        <v>99999</v>
      </c>
      <c r="B41811" s="2" t="str">
        <f>"68742"</f>
        <v>68742</v>
      </c>
      <c r="C41811" s="1">
        <v>1.51702042346042E-5</v>
      </c>
      <c r="D41811" s="1">
        <v>4.5528080202265997E-6</v>
      </c>
      <c r="E41811" s="1">
        <v>0</v>
      </c>
      <c r="F41811" s="1">
        <v>1.41268891107849E-5</v>
      </c>
    </row>
    <row r="41812" spans="1:6" x14ac:dyDescent="0.25">
      <c r="A41812" s="2" t="str">
        <f t="shared" si="1315"/>
        <v>99999</v>
      </c>
      <c r="B41812" s="2" t="str">
        <f>"68733"</f>
        <v>68733</v>
      </c>
      <c r="C41812" s="1">
        <v>1.28783028754194E-5</v>
      </c>
      <c r="D41812" s="1">
        <v>4.5528080202265997E-6</v>
      </c>
      <c r="E41812" s="1">
        <v>8.69107991013423E-6</v>
      </c>
      <c r="F41812" s="1">
        <v>1.2236671553708001E-5</v>
      </c>
    </row>
    <row r="41813" spans="1:6" x14ac:dyDescent="0.25">
      <c r="A41813" s="2" t="str">
        <f t="shared" si="1315"/>
        <v>99999</v>
      </c>
      <c r="B41813" s="2" t="str">
        <f>"68739"</f>
        <v>68739</v>
      </c>
      <c r="C41813" s="1">
        <v>1.61087924102704E-4</v>
      </c>
      <c r="D41813" s="1">
        <v>1.12302597832256E-4</v>
      </c>
      <c r="E41813" s="1">
        <v>1.4340281851721399E-4</v>
      </c>
      <c r="F41813" s="1">
        <v>1.57484968044877E-4</v>
      </c>
    </row>
    <row r="41814" spans="1:6" x14ac:dyDescent="0.25">
      <c r="A41814" s="2" t="str">
        <f t="shared" si="1315"/>
        <v>99999</v>
      </c>
      <c r="B41814" s="2" t="str">
        <f>"68730"</f>
        <v>68730</v>
      </c>
      <c r="C41814" s="1">
        <v>1.19615423317455E-4</v>
      </c>
      <c r="D41814" s="1">
        <v>3.0352053468177301E-5</v>
      </c>
      <c r="E41814" s="1">
        <v>1.3471173860707999E-4</v>
      </c>
      <c r="F41814" s="1">
        <v>1.14109449366692E-4</v>
      </c>
    </row>
    <row r="41815" spans="1:6" x14ac:dyDescent="0.25">
      <c r="A41815" s="2" t="str">
        <f t="shared" si="1315"/>
        <v>99999</v>
      </c>
      <c r="B41815" s="2" t="str">
        <f>"68669"</f>
        <v>68669</v>
      </c>
      <c r="C41815" s="1">
        <v>2.69571255104118E-5</v>
      </c>
      <c r="D41815" s="1">
        <v>1.5176026734088599E-5</v>
      </c>
      <c r="E41815" s="1">
        <v>8.69107991013423E-6</v>
      </c>
      <c r="F41815" s="1">
        <v>2.5766649856994999E-5</v>
      </c>
    </row>
    <row r="41816" spans="1:6" x14ac:dyDescent="0.25">
      <c r="A41816" s="2" t="str">
        <f t="shared" si="1315"/>
        <v>99999</v>
      </c>
      <c r="B41816" s="2" t="str">
        <f>"68444"</f>
        <v>68444</v>
      </c>
      <c r="C41816" s="1">
        <v>6.6574277576320803E-6</v>
      </c>
      <c r="D41816" s="1">
        <v>6.0704106936354696E-6</v>
      </c>
      <c r="E41816" s="1">
        <v>4.3455399550671099E-6</v>
      </c>
      <c r="F41816" s="1">
        <v>6.5660188824775097E-6</v>
      </c>
    </row>
    <row r="41817" spans="1:6" x14ac:dyDescent="0.25">
      <c r="A41817" s="2" t="str">
        <f t="shared" si="1315"/>
        <v>99999</v>
      </c>
      <c r="B41817" s="2" t="str">
        <f>"68405"</f>
        <v>68405</v>
      </c>
      <c r="C41817" s="1">
        <v>7.63967119728272E-7</v>
      </c>
      <c r="D41817" s="1">
        <v>0</v>
      </c>
      <c r="E41817" s="1">
        <v>0</v>
      </c>
      <c r="F41817" s="1">
        <v>6.9639594208094799E-7</v>
      </c>
    </row>
    <row r="41818" spans="1:6" x14ac:dyDescent="0.25">
      <c r="A41818" s="2" t="str">
        <f t="shared" si="1315"/>
        <v>99999</v>
      </c>
      <c r="B41818" s="2" t="str">
        <f>"68417"</f>
        <v>68417</v>
      </c>
      <c r="C41818" s="1">
        <v>1.65890003140996E-5</v>
      </c>
      <c r="D41818" s="1">
        <v>3.0352053468177301E-6</v>
      </c>
      <c r="E41818" s="1">
        <v>4.3455399550671099E-6</v>
      </c>
      <c r="F41818" s="1">
        <v>1.5420195860363801E-5</v>
      </c>
    </row>
    <row r="41819" spans="1:6" x14ac:dyDescent="0.25">
      <c r="A41819" s="2" t="str">
        <f t="shared" si="1315"/>
        <v>99999</v>
      </c>
      <c r="B41819" s="2" t="str">
        <f>"68461"</f>
        <v>68461</v>
      </c>
      <c r="C41819" s="1">
        <v>7.63967119728272E-7</v>
      </c>
      <c r="D41819" s="1">
        <v>0</v>
      </c>
      <c r="E41819" s="1">
        <v>0</v>
      </c>
      <c r="F41819" s="1">
        <v>6.9639594208094799E-7</v>
      </c>
    </row>
    <row r="41820" spans="1:6" x14ac:dyDescent="0.25">
      <c r="A41820" s="2" t="str">
        <f t="shared" si="1315"/>
        <v>99999</v>
      </c>
      <c r="B41820" s="2" t="str">
        <f>"68454"</f>
        <v>68454</v>
      </c>
      <c r="C41820" s="1">
        <v>3.4051105907888697E-5</v>
      </c>
      <c r="D41820" s="1">
        <v>4.5528080202265997E-6</v>
      </c>
      <c r="E41820" s="1">
        <v>8.69107991013423E-6</v>
      </c>
      <c r="F41820" s="1">
        <v>3.1536787662808598E-5</v>
      </c>
    </row>
    <row r="41821" spans="1:6" x14ac:dyDescent="0.25">
      <c r="A41821" s="2" t="str">
        <f t="shared" si="1315"/>
        <v>99999</v>
      </c>
      <c r="B41821" s="2" t="str">
        <f>"68453"</f>
        <v>68453</v>
      </c>
      <c r="C41821" s="1">
        <v>1.8880901673284399E-5</v>
      </c>
      <c r="D41821" s="1">
        <v>3.0352053468177301E-6</v>
      </c>
      <c r="E41821" s="1">
        <v>0</v>
      </c>
      <c r="F41821" s="1">
        <v>1.74098985520237E-5</v>
      </c>
    </row>
    <row r="41822" spans="1:6" x14ac:dyDescent="0.25">
      <c r="A41822" s="2" t="str">
        <f t="shared" si="1315"/>
        <v>99999</v>
      </c>
      <c r="B41822" s="2" t="str">
        <f>"68445"</f>
        <v>68445</v>
      </c>
      <c r="C41822" s="1">
        <v>9.0584672767780794E-6</v>
      </c>
      <c r="D41822" s="1">
        <v>0</v>
      </c>
      <c r="E41822" s="1">
        <v>4.3455399550671099E-6</v>
      </c>
      <c r="F41822" s="1">
        <v>8.3567513049713805E-6</v>
      </c>
    </row>
    <row r="41823" spans="1:6" x14ac:dyDescent="0.25">
      <c r="A41823" s="2" t="str">
        <f t="shared" si="1315"/>
        <v>99999</v>
      </c>
      <c r="B41823" s="2" t="str">
        <f>"68418"</f>
        <v>68418</v>
      </c>
      <c r="C41823" s="1">
        <v>5.91528826989605E-5</v>
      </c>
      <c r="D41823" s="1">
        <v>1.21408213872709E-5</v>
      </c>
      <c r="E41823" s="1">
        <v>2.1727699775335501E-5</v>
      </c>
      <c r="F41823" s="1">
        <v>5.5214249693560902E-5</v>
      </c>
    </row>
    <row r="41824" spans="1:6" x14ac:dyDescent="0.25">
      <c r="A41824" s="2" t="str">
        <f t="shared" si="1315"/>
        <v>99999</v>
      </c>
      <c r="B41824" s="2" t="str">
        <f>"68382"</f>
        <v>68382</v>
      </c>
      <c r="C41824" s="1">
        <v>2.5101776791071799E-6</v>
      </c>
      <c r="D41824" s="1">
        <v>0</v>
      </c>
      <c r="E41824" s="1">
        <v>4.3455399550671099E-6</v>
      </c>
      <c r="F41824" s="1">
        <v>2.3876432299918199E-6</v>
      </c>
    </row>
    <row r="41825" spans="1:6" x14ac:dyDescent="0.25">
      <c r="A41825" s="2" t="str">
        <f t="shared" si="1315"/>
        <v>99999</v>
      </c>
      <c r="B41825" s="2" t="str">
        <f>"68342"</f>
        <v>68342</v>
      </c>
      <c r="C41825" s="1">
        <v>2.7066263670372999E-5</v>
      </c>
      <c r="D41825" s="1">
        <v>1.0623218713862E-5</v>
      </c>
      <c r="E41825" s="1">
        <v>4.3455399550671099E-6</v>
      </c>
      <c r="F41825" s="1">
        <v>2.5468194453246102E-5</v>
      </c>
    </row>
    <row r="41826" spans="1:6" x14ac:dyDescent="0.25">
      <c r="A41826" s="2" t="str">
        <f t="shared" si="1315"/>
        <v>99999</v>
      </c>
      <c r="B41826" s="2" t="str">
        <f>"68325"</f>
        <v>68325</v>
      </c>
      <c r="C41826" s="1">
        <v>1.04772633562734E-5</v>
      </c>
      <c r="D41826" s="1">
        <v>0</v>
      </c>
      <c r="E41826" s="1">
        <v>8.69107991013423E-6</v>
      </c>
      <c r="F41826" s="1">
        <v>9.7495431891332699E-6</v>
      </c>
    </row>
    <row r="41827" spans="1:6" x14ac:dyDescent="0.25">
      <c r="A41827" s="2" t="str">
        <f t="shared" si="1315"/>
        <v>99999</v>
      </c>
      <c r="B41827" s="2" t="str">
        <f>"68401"</f>
        <v>68401</v>
      </c>
      <c r="C41827" s="1">
        <v>3.3832829587966299E-5</v>
      </c>
      <c r="D41827" s="1">
        <v>1.21408213872709E-5</v>
      </c>
      <c r="E41827" s="1">
        <v>3.0418779685469802E-5</v>
      </c>
      <c r="F41827" s="1">
        <v>3.2332668739472599E-5</v>
      </c>
    </row>
    <row r="41828" spans="1:6" x14ac:dyDescent="0.25">
      <c r="A41828" s="2" t="str">
        <f t="shared" si="1315"/>
        <v>99999</v>
      </c>
      <c r="B41828" s="2" t="str">
        <f>"68354"</f>
        <v>68354</v>
      </c>
      <c r="C41828" s="1">
        <v>4.9112171982531698E-5</v>
      </c>
      <c r="D41828" s="1">
        <v>3.1869656141586203E-5</v>
      </c>
      <c r="E41828" s="1">
        <v>5.6492019415872502E-5</v>
      </c>
      <c r="F41828" s="1">
        <v>4.8150805138168401E-5</v>
      </c>
    </row>
    <row r="41829" spans="1:6" x14ac:dyDescent="0.25">
      <c r="A41829" s="2" t="str">
        <f t="shared" si="1315"/>
        <v>99999</v>
      </c>
      <c r="B41829" s="2" t="str">
        <f>"68329"</f>
        <v>68329</v>
      </c>
      <c r="C41829" s="1">
        <v>3.3941967747927502E-5</v>
      </c>
      <c r="D41829" s="1">
        <v>4.0975272182039399E-5</v>
      </c>
      <c r="E41829" s="1">
        <v>1.3036619865201299E-5</v>
      </c>
      <c r="F41829" s="1">
        <v>3.3924430892800399E-5</v>
      </c>
    </row>
    <row r="41830" spans="1:6" x14ac:dyDescent="0.25">
      <c r="A41830" s="2" t="str">
        <f t="shared" si="1315"/>
        <v>99999</v>
      </c>
      <c r="B41830" s="2" t="str">
        <f>"68641"</f>
        <v>68641</v>
      </c>
      <c r="C41830" s="1">
        <v>5.5223908940357899E-5</v>
      </c>
      <c r="D41830" s="1">
        <v>5.3116093569310399E-5</v>
      </c>
      <c r="E41830" s="1">
        <v>3.0418779685469802E-5</v>
      </c>
      <c r="F41830" s="1">
        <v>5.4517853751479899E-5</v>
      </c>
    </row>
    <row r="41831" spans="1:6" x14ac:dyDescent="0.25">
      <c r="A41831" s="2" t="str">
        <f t="shared" si="1315"/>
        <v>99999</v>
      </c>
      <c r="B41831" s="2" t="str">
        <f>"68632"</f>
        <v>68632</v>
      </c>
      <c r="C41831" s="1">
        <v>1.99395418249079E-4</v>
      </c>
      <c r="D41831" s="1">
        <v>2.88344507947685E-4</v>
      </c>
      <c r="E41831" s="1">
        <v>2.8680563703442901E-4</v>
      </c>
      <c r="F41831" s="1">
        <v>2.0722753533637301E-4</v>
      </c>
    </row>
    <row r="41832" spans="1:6" x14ac:dyDescent="0.25">
      <c r="A41832" s="2" t="str">
        <f t="shared" si="1315"/>
        <v>99999</v>
      </c>
      <c r="B41832" s="2" t="str">
        <f>"68622"</f>
        <v>68622</v>
      </c>
      <c r="C41832" s="1">
        <v>1.8116934553556101E-5</v>
      </c>
      <c r="D41832" s="1">
        <v>0</v>
      </c>
      <c r="E41832" s="1">
        <v>1.3036619865201299E-5</v>
      </c>
      <c r="F41832" s="1">
        <v>1.6812987744525699E-5</v>
      </c>
    </row>
    <row r="41833" spans="1:6" x14ac:dyDescent="0.25">
      <c r="A41833" s="2" t="str">
        <f t="shared" si="1315"/>
        <v>99999</v>
      </c>
      <c r="B41833" s="2" t="str">
        <f>"67953"</f>
        <v>67953</v>
      </c>
      <c r="C41833" s="1">
        <v>6.7665659175932598E-6</v>
      </c>
      <c r="D41833" s="1">
        <v>0</v>
      </c>
      <c r="E41833" s="1">
        <v>4.3455399550671099E-6</v>
      </c>
      <c r="F41833" s="1">
        <v>6.2675634787285303E-6</v>
      </c>
    </row>
    <row r="41834" spans="1:6" x14ac:dyDescent="0.25">
      <c r="A41834" s="2" t="str">
        <f t="shared" si="1315"/>
        <v>99999</v>
      </c>
      <c r="B41834" s="2" t="str">
        <f>"67952"</f>
        <v>67952</v>
      </c>
      <c r="C41834" s="1">
        <v>2.4337809671343498E-5</v>
      </c>
      <c r="D41834" s="1">
        <v>7.5880133670443404E-6</v>
      </c>
      <c r="E41834" s="1">
        <v>4.3455399550671099E-6</v>
      </c>
      <c r="F41834" s="1">
        <v>2.2782095819505301E-5</v>
      </c>
    </row>
    <row r="41835" spans="1:6" x14ac:dyDescent="0.25">
      <c r="A41835" s="2" t="str">
        <f t="shared" si="1315"/>
        <v>99999</v>
      </c>
      <c r="B41835" s="2" t="str">
        <f>"67850"</f>
        <v>67850</v>
      </c>
      <c r="C41835" s="1">
        <v>2.0954526712546801E-5</v>
      </c>
      <c r="D41835" s="1">
        <v>2.1246437427724101E-5</v>
      </c>
      <c r="E41835" s="1">
        <v>3.0418779685469802E-5</v>
      </c>
      <c r="F41835" s="1">
        <v>2.1190333666177399E-5</v>
      </c>
    </row>
    <row r="41836" spans="1:6" x14ac:dyDescent="0.25">
      <c r="A41836" s="2" t="str">
        <f t="shared" si="1315"/>
        <v>99999</v>
      </c>
      <c r="B41836" s="2" t="str">
        <f>"67876"</f>
        <v>67876</v>
      </c>
      <c r="C41836" s="1">
        <v>3.3832829587966299E-6</v>
      </c>
      <c r="D41836" s="1">
        <v>3.0352053468177301E-6</v>
      </c>
      <c r="E41836" s="1">
        <v>0</v>
      </c>
      <c r="F41836" s="1">
        <v>3.2830094412387502E-6</v>
      </c>
    </row>
    <row r="41837" spans="1:6" x14ac:dyDescent="0.25">
      <c r="A41837" s="2" t="str">
        <f t="shared" si="1315"/>
        <v>99999</v>
      </c>
      <c r="B41837" s="2" t="str">
        <f>"67950"</f>
        <v>67950</v>
      </c>
      <c r="C41837" s="1">
        <v>3.2959724308276802E-5</v>
      </c>
      <c r="D41837" s="1">
        <v>1.15337803179074E-4</v>
      </c>
      <c r="E41837" s="1">
        <v>1.3036619865201299E-5</v>
      </c>
      <c r="F41837" s="1">
        <v>3.7903836276120103E-5</v>
      </c>
    </row>
    <row r="41838" spans="1:6" x14ac:dyDescent="0.25">
      <c r="A41838" s="2" t="str">
        <f t="shared" si="1315"/>
        <v>99999</v>
      </c>
      <c r="B41838" s="2" t="str">
        <f>"67857"</f>
        <v>67857</v>
      </c>
      <c r="C41838" s="1">
        <v>5.6751843179814504E-6</v>
      </c>
      <c r="D41838" s="1">
        <v>1.51760267340886E-6</v>
      </c>
      <c r="E41838" s="1">
        <v>4.3455399550671099E-6</v>
      </c>
      <c r="F41838" s="1">
        <v>5.3721972674816004E-6</v>
      </c>
    </row>
    <row r="41839" spans="1:6" x14ac:dyDescent="0.25">
      <c r="A41839" s="2" t="str">
        <f t="shared" si="1315"/>
        <v>99999</v>
      </c>
      <c r="B41839" s="2" t="str">
        <f>"67869"</f>
        <v>67869</v>
      </c>
      <c r="C41839" s="1">
        <v>6.5264619656786593E-5</v>
      </c>
      <c r="D41839" s="1">
        <v>8.1950544364078906E-5</v>
      </c>
      <c r="E41839" s="1">
        <v>5.21464794608054E-5</v>
      </c>
      <c r="F41839" s="1">
        <v>6.6058129363107097E-5</v>
      </c>
    </row>
    <row r="41840" spans="1:6" x14ac:dyDescent="0.25">
      <c r="A41840" s="2" t="str">
        <f t="shared" si="1315"/>
        <v>99999</v>
      </c>
      <c r="B41840" s="2" t="str">
        <f>"68071"</f>
        <v>68071</v>
      </c>
      <c r="C41840" s="1">
        <v>3.20866190285874E-5</v>
      </c>
      <c r="D41840" s="1">
        <v>2.4281642774541899E-5</v>
      </c>
      <c r="E41840" s="1">
        <v>1.7382159820268399E-5</v>
      </c>
      <c r="F41840" s="1">
        <v>3.1238332259059602E-5</v>
      </c>
    </row>
    <row r="41841" spans="1:6" x14ac:dyDescent="0.25">
      <c r="A41841" s="2" t="str">
        <f t="shared" si="1315"/>
        <v>99999</v>
      </c>
      <c r="B41841" s="2" t="str">
        <f>"68062"</f>
        <v>68062</v>
      </c>
      <c r="C41841" s="1">
        <v>1.5606756874448901E-5</v>
      </c>
      <c r="D41841" s="1">
        <v>1.51760267340886E-6</v>
      </c>
      <c r="E41841" s="1">
        <v>0</v>
      </c>
      <c r="F41841" s="1">
        <v>1.43258593799509E-5</v>
      </c>
    </row>
    <row r="41842" spans="1:6" x14ac:dyDescent="0.25">
      <c r="A41842" s="2" t="str">
        <f t="shared" si="1315"/>
        <v>99999</v>
      </c>
      <c r="B41842" s="2" t="str">
        <f>"67831"</f>
        <v>67831</v>
      </c>
      <c r="C41842" s="1">
        <v>2.75028163102177E-5</v>
      </c>
      <c r="D41842" s="1">
        <v>7.2844928323625703E-5</v>
      </c>
      <c r="E41842" s="1">
        <v>2.60732397304027E-5</v>
      </c>
      <c r="F41842" s="1">
        <v>3.0442451182395699E-5</v>
      </c>
    </row>
    <row r="41843" spans="1:6" x14ac:dyDescent="0.25">
      <c r="A41843" s="2" t="str">
        <f t="shared" si="1315"/>
        <v>99999</v>
      </c>
      <c r="B41843" s="2" t="str">
        <f>"67347"</f>
        <v>67347</v>
      </c>
      <c r="C41843" s="1">
        <v>6.5482895976709E-6</v>
      </c>
      <c r="D41843" s="1">
        <v>4.5528080202265997E-6</v>
      </c>
      <c r="E41843" s="1">
        <v>4.3455399550671099E-6</v>
      </c>
      <c r="F41843" s="1">
        <v>6.3670486133115203E-6</v>
      </c>
    </row>
    <row r="41844" spans="1:6" x14ac:dyDescent="0.25">
      <c r="A41844" s="2" t="str">
        <f t="shared" si="1315"/>
        <v>99999</v>
      </c>
      <c r="B41844" s="2" t="str">
        <f>"67675"</f>
        <v>67675</v>
      </c>
      <c r="C41844" s="1">
        <v>1.4842789754720701E-5</v>
      </c>
      <c r="D41844" s="1">
        <v>1.51760267340886E-6</v>
      </c>
      <c r="E41844" s="1">
        <v>4.3455399550671099E-6</v>
      </c>
      <c r="F41844" s="1">
        <v>1.37289485724529E-5</v>
      </c>
    </row>
    <row r="41845" spans="1:6" x14ac:dyDescent="0.25">
      <c r="A41845" s="2" t="str">
        <f t="shared" si="1315"/>
        <v>99999</v>
      </c>
      <c r="B41845" s="2" t="str">
        <f>"67673"</f>
        <v>67673</v>
      </c>
      <c r="C41845" s="1">
        <v>9.6041580765839897E-6</v>
      </c>
      <c r="D41845" s="1">
        <v>4.5528080202265997E-6</v>
      </c>
      <c r="E41845" s="1">
        <v>0</v>
      </c>
      <c r="F41845" s="1">
        <v>9.0531472470523294E-6</v>
      </c>
    </row>
    <row r="41846" spans="1:6" x14ac:dyDescent="0.25">
      <c r="A41846" s="2" t="str">
        <f t="shared" si="1315"/>
        <v>99999</v>
      </c>
      <c r="B41846" s="2" t="str">
        <f>"67635"</f>
        <v>67635</v>
      </c>
      <c r="C41846" s="1">
        <v>9.2767435967004401E-6</v>
      </c>
      <c r="D41846" s="1">
        <v>4.5528080202265997E-6</v>
      </c>
      <c r="E41846" s="1">
        <v>8.69107991013423E-6</v>
      </c>
      <c r="F41846" s="1">
        <v>8.9536621124693292E-6</v>
      </c>
    </row>
    <row r="41847" spans="1:6" x14ac:dyDescent="0.25">
      <c r="A41847" s="2" t="str">
        <f t="shared" si="1315"/>
        <v>99999</v>
      </c>
      <c r="B41847" s="2" t="str">
        <f>"67730"</f>
        <v>67730</v>
      </c>
      <c r="C41847" s="1">
        <v>1.05645738842423E-4</v>
      </c>
      <c r="D41847" s="1">
        <v>2.4585163309223603E-4</v>
      </c>
      <c r="E41847" s="1">
        <v>2.2162253770842199E-4</v>
      </c>
      <c r="F41847" s="1">
        <v>1.17491943942514E-4</v>
      </c>
    </row>
    <row r="41848" spans="1:6" x14ac:dyDescent="0.25">
      <c r="A41848" s="2" t="str">
        <f t="shared" si="1315"/>
        <v>99999</v>
      </c>
      <c r="B41848" s="2" t="str">
        <f>"67672"</f>
        <v>67672</v>
      </c>
      <c r="C41848" s="1">
        <v>1.37514081551088E-4</v>
      </c>
      <c r="D41848" s="1">
        <v>2.9289731596791099E-4</v>
      </c>
      <c r="E41848" s="1">
        <v>1.4340281851721399E-4</v>
      </c>
      <c r="F41848" s="1">
        <v>1.47834909990327E-4</v>
      </c>
    </row>
    <row r="41849" spans="1:6" x14ac:dyDescent="0.25">
      <c r="A41849" s="2" t="str">
        <f t="shared" si="1315"/>
        <v>99999</v>
      </c>
      <c r="B41849" s="2" t="str">
        <f>"67665"</f>
        <v>67665</v>
      </c>
      <c r="C41849" s="1">
        <v>3.0209442677255099E-4</v>
      </c>
      <c r="D41849" s="1">
        <v>6.7078038164672003E-4</v>
      </c>
      <c r="E41849" s="1">
        <v>3.5633427631550301E-4</v>
      </c>
      <c r="F41849" s="1">
        <v>3.2750506304721102E-4</v>
      </c>
    </row>
    <row r="41850" spans="1:6" x14ac:dyDescent="0.25">
      <c r="A41850" s="2" t="str">
        <f t="shared" si="1315"/>
        <v>99999</v>
      </c>
      <c r="B41850" s="2" t="str">
        <f>"67656"</f>
        <v>67656</v>
      </c>
      <c r="C41850" s="1">
        <v>9.71329623654517E-6</v>
      </c>
      <c r="D41850" s="1">
        <v>1.51760267340886E-6</v>
      </c>
      <c r="E41850" s="1">
        <v>0</v>
      </c>
      <c r="F41850" s="1">
        <v>8.9536621124693292E-6</v>
      </c>
    </row>
    <row r="41851" spans="1:6" x14ac:dyDescent="0.25">
      <c r="A41851" s="2" t="str">
        <f t="shared" si="1315"/>
        <v>99999</v>
      </c>
      <c r="B41851" s="2" t="str">
        <f>"67649"</f>
        <v>67649</v>
      </c>
      <c r="C41851" s="1">
        <v>1.39696844750312E-5</v>
      </c>
      <c r="D41851" s="1">
        <v>1.0623218713862E-5</v>
      </c>
      <c r="E41851" s="1">
        <v>1.3036619865201299E-5</v>
      </c>
      <c r="F41851" s="1">
        <v>1.37289485724529E-5</v>
      </c>
    </row>
    <row r="41852" spans="1:6" x14ac:dyDescent="0.25">
      <c r="A41852" s="2" t="str">
        <f t="shared" si="1315"/>
        <v>99999</v>
      </c>
      <c r="B41852" s="2" t="str">
        <f>"67643"</f>
        <v>67643</v>
      </c>
      <c r="C41852" s="1">
        <v>9.71329623654517E-6</v>
      </c>
      <c r="D41852" s="1">
        <v>7.5880133670443404E-6</v>
      </c>
      <c r="E41852" s="1">
        <v>1.3036619865201299E-5</v>
      </c>
      <c r="F41852" s="1">
        <v>9.6500580545502799E-6</v>
      </c>
    </row>
    <row r="41853" spans="1:6" x14ac:dyDescent="0.25">
      <c r="A41853" s="2" t="str">
        <f t="shared" si="1315"/>
        <v>99999</v>
      </c>
      <c r="B41853" s="2" t="str">
        <f>"67637"</f>
        <v>67637</v>
      </c>
      <c r="C41853" s="1">
        <v>1.06955396761958E-5</v>
      </c>
      <c r="D41853" s="1">
        <v>1.51760267340886E-6</v>
      </c>
      <c r="E41853" s="1">
        <v>0</v>
      </c>
      <c r="F41853" s="1">
        <v>9.8490283237162701E-6</v>
      </c>
    </row>
    <row r="41854" spans="1:6" x14ac:dyDescent="0.25">
      <c r="A41854" s="2" t="str">
        <f t="shared" si="1315"/>
        <v>99999</v>
      </c>
      <c r="B41854" s="2" t="str">
        <f>"67576"</f>
        <v>67576</v>
      </c>
      <c r="C41854" s="1">
        <v>1.0706453492191901E-4</v>
      </c>
      <c r="D41854" s="1">
        <v>2.33710811704965E-4</v>
      </c>
      <c r="E41854" s="1">
        <v>9.9947418966543598E-5</v>
      </c>
      <c r="F41854" s="1">
        <v>1.15203785847105E-4</v>
      </c>
    </row>
    <row r="41855" spans="1:6" x14ac:dyDescent="0.25">
      <c r="A41855" s="2" t="str">
        <f t="shared" si="1315"/>
        <v>99999</v>
      </c>
      <c r="B41855" s="2" t="str">
        <f>"67560"</f>
        <v>67560</v>
      </c>
      <c r="C41855" s="1">
        <v>1.03572113803161E-4</v>
      </c>
      <c r="D41855" s="1">
        <v>2.3826361972519201E-4</v>
      </c>
      <c r="E41855" s="1">
        <v>1.5209389842734899E-4</v>
      </c>
      <c r="F41855" s="1">
        <v>1.1351253855919401E-4</v>
      </c>
    </row>
    <row r="41856" spans="1:6" x14ac:dyDescent="0.25">
      <c r="A41856" s="2" t="str">
        <f t="shared" si="1315"/>
        <v>99999</v>
      </c>
      <c r="B41856" s="2" t="str">
        <f>"67427"</f>
        <v>67427</v>
      </c>
      <c r="C41856" s="1">
        <v>2.41195333514211E-5</v>
      </c>
      <c r="D41856" s="1">
        <v>2.5799245447950699E-5</v>
      </c>
      <c r="E41856" s="1">
        <v>8.69107991013423E-6</v>
      </c>
      <c r="F41856" s="1">
        <v>2.38764322999182E-5</v>
      </c>
    </row>
    <row r="41857" spans="1:6" x14ac:dyDescent="0.25">
      <c r="A41857" s="2" t="str">
        <f t="shared" si="1315"/>
        <v>99999</v>
      </c>
      <c r="B41857" s="2" t="str">
        <f>"67448"</f>
        <v>67448</v>
      </c>
      <c r="C41857" s="1">
        <v>1.03681251963122E-5</v>
      </c>
      <c r="D41857" s="1">
        <v>3.0352053468177301E-6</v>
      </c>
      <c r="E41857" s="1">
        <v>4.3455399550671099E-6</v>
      </c>
      <c r="F41857" s="1">
        <v>9.7495431891332699E-6</v>
      </c>
    </row>
    <row r="41858" spans="1:6" x14ac:dyDescent="0.25">
      <c r="A41858" s="2" t="str">
        <f t="shared" si="1315"/>
        <v>99999</v>
      </c>
      <c r="B41858" s="2" t="str">
        <f>"67492"</f>
        <v>67492</v>
      </c>
      <c r="C41858" s="1">
        <v>1.22234739156523E-5</v>
      </c>
      <c r="D41858" s="1">
        <v>7.5880133670443404E-6</v>
      </c>
      <c r="E41858" s="1">
        <v>4.3455399550671099E-6</v>
      </c>
      <c r="F41858" s="1">
        <v>1.17392458807931E-5</v>
      </c>
    </row>
    <row r="41859" spans="1:6" x14ac:dyDescent="0.25">
      <c r="A41859" s="2" t="str">
        <f t="shared" si="1315"/>
        <v>99999</v>
      </c>
      <c r="B41859" s="2" t="str">
        <f>"67485"</f>
        <v>67485</v>
      </c>
      <c r="C41859" s="1">
        <v>1.68072766340219E-5</v>
      </c>
      <c r="D41859" s="1">
        <v>1.0623218713862E-5</v>
      </c>
      <c r="E41859" s="1">
        <v>1.3036619865201299E-5</v>
      </c>
      <c r="F41859" s="1">
        <v>1.6315562071610699E-5</v>
      </c>
    </row>
    <row r="41860" spans="1:6" x14ac:dyDescent="0.25">
      <c r="A41860" s="2" t="str">
        <f t="shared" si="1315"/>
        <v>99999</v>
      </c>
      <c r="B41860" s="2" t="str">
        <f>"67474"</f>
        <v>67474</v>
      </c>
      <c r="C41860" s="1">
        <v>1.45153752748371E-5</v>
      </c>
      <c r="D41860" s="1">
        <v>3.0352053468177301E-6</v>
      </c>
      <c r="E41860" s="1">
        <v>4.3455399550671099E-6</v>
      </c>
      <c r="F41860" s="1">
        <v>1.35299783032869E-5</v>
      </c>
    </row>
    <row r="41861" spans="1:6" x14ac:dyDescent="0.25">
      <c r="A41861" s="2" t="str">
        <f t="shared" si="1315"/>
        <v>99999</v>
      </c>
      <c r="B41861" s="2" t="str">
        <f>"67449"</f>
        <v>67449</v>
      </c>
      <c r="C41861" s="1">
        <v>1.76258128337308E-4</v>
      </c>
      <c r="D41861" s="1">
        <v>2.2764040101133E-4</v>
      </c>
      <c r="E41861" s="1">
        <v>1.39057278562147E-4</v>
      </c>
      <c r="F41861" s="1">
        <v>1.7877478684563699E-4</v>
      </c>
    </row>
    <row r="41862" spans="1:6" x14ac:dyDescent="0.25">
      <c r="A41862" s="2" t="str">
        <f t="shared" si="1315"/>
        <v>99999</v>
      </c>
      <c r="B41862" s="2" t="str">
        <f>"66963"</f>
        <v>66963</v>
      </c>
      <c r="C41862" s="1">
        <v>1.0586401516234599E-5</v>
      </c>
      <c r="D41862" s="1">
        <v>1.51760267340886E-6</v>
      </c>
      <c r="E41862" s="1">
        <v>4.3455399550671099E-6</v>
      </c>
      <c r="F41862" s="1">
        <v>9.8490283237162701E-6</v>
      </c>
    </row>
    <row r="41863" spans="1:6" x14ac:dyDescent="0.25">
      <c r="A41863" s="2" t="str">
        <f t="shared" si="1315"/>
        <v>99999</v>
      </c>
      <c r="B41863" s="2" t="str">
        <f>"66960"</f>
        <v>66960</v>
      </c>
      <c r="C41863" s="1">
        <v>1.20051975957299E-5</v>
      </c>
      <c r="D41863" s="1">
        <v>1.51760267340886E-6</v>
      </c>
      <c r="E41863" s="1">
        <v>4.3455399550671099E-6</v>
      </c>
      <c r="F41863" s="1">
        <v>1.11423350732951E-5</v>
      </c>
    </row>
    <row r="41864" spans="1:6" x14ac:dyDescent="0.25">
      <c r="A41864" s="2" t="str">
        <f t="shared" si="1315"/>
        <v>99999</v>
      </c>
      <c r="B41864" s="2" t="str">
        <f>"66961"</f>
        <v>66961</v>
      </c>
      <c r="C41864" s="1">
        <v>1.20051975957299E-6</v>
      </c>
      <c r="D41864" s="1">
        <v>3.0352053468177301E-6</v>
      </c>
      <c r="E41864" s="1">
        <v>0</v>
      </c>
      <c r="F41864" s="1">
        <v>1.2933067495789E-6</v>
      </c>
    </row>
    <row r="41865" spans="1:6" x14ac:dyDescent="0.25">
      <c r="A41865" s="2" t="str">
        <f t="shared" si="1315"/>
        <v>99999</v>
      </c>
      <c r="B41865" s="2" t="str">
        <f>"66859"</f>
        <v>66859</v>
      </c>
      <c r="C41865" s="1">
        <v>1.03681251963122E-5</v>
      </c>
      <c r="D41865" s="1">
        <v>9.1056160404532095E-6</v>
      </c>
      <c r="E41865" s="1">
        <v>4.3455399550671099E-6</v>
      </c>
      <c r="F41865" s="1">
        <v>1.01474837274652E-5</v>
      </c>
    </row>
    <row r="41866" spans="1:6" x14ac:dyDescent="0.25">
      <c r="A41866" s="2" t="str">
        <f t="shared" si="1315"/>
        <v>99999</v>
      </c>
      <c r="B41866" s="2" t="str">
        <f>"66944"</f>
        <v>66944</v>
      </c>
      <c r="C41866" s="1">
        <v>1.73529674338278E-5</v>
      </c>
      <c r="D41866" s="1">
        <v>1.21408213872709E-5</v>
      </c>
      <c r="E41866" s="1">
        <v>1.3036619865201299E-5</v>
      </c>
      <c r="F41866" s="1">
        <v>1.69124728791087E-5</v>
      </c>
    </row>
    <row r="41867" spans="1:6" x14ac:dyDescent="0.25">
      <c r="A41867" s="2" t="str">
        <f t="shared" si="1315"/>
        <v>99999</v>
      </c>
      <c r="B41867" s="2" t="str">
        <f>"66856"</f>
        <v>66856</v>
      </c>
      <c r="C41867" s="1">
        <v>8.1744481810925096E-5</v>
      </c>
      <c r="D41867" s="1">
        <v>2.7316848121359601E-5</v>
      </c>
      <c r="E41867" s="1">
        <v>6.0837559370939603E-5</v>
      </c>
      <c r="F41867" s="1">
        <v>7.7697890109317198E-5</v>
      </c>
    </row>
    <row r="41868" spans="1:6" x14ac:dyDescent="0.25">
      <c r="A41868" s="2" t="str">
        <f t="shared" si="1315"/>
        <v>99999</v>
      </c>
      <c r="B41868" s="2" t="str">
        <f>"66851"</f>
        <v>66851</v>
      </c>
      <c r="C41868" s="1">
        <v>3.9180599426064199E-5</v>
      </c>
      <c r="D41868" s="1">
        <v>6.9809722976807906E-5</v>
      </c>
      <c r="E41868" s="1">
        <v>4.3455399550671099E-6</v>
      </c>
      <c r="F41868" s="1">
        <v>4.0390964640694998E-5</v>
      </c>
    </row>
    <row r="41869" spans="1:6" x14ac:dyDescent="0.25">
      <c r="A41869" s="2" t="str">
        <f t="shared" si="1315"/>
        <v>99999</v>
      </c>
      <c r="B41869" s="2" t="str">
        <f>"67159"</f>
        <v>67159</v>
      </c>
      <c r="C41869" s="1">
        <v>1.6152447674254801E-5</v>
      </c>
      <c r="D41869" s="1">
        <v>7.5880133670443404E-6</v>
      </c>
      <c r="E41869" s="1">
        <v>4.3455399550671099E-6</v>
      </c>
      <c r="F41869" s="1">
        <v>1.5320710725780799E-5</v>
      </c>
    </row>
    <row r="41870" spans="1:6" x14ac:dyDescent="0.25">
      <c r="A41870" s="2" t="str">
        <f t="shared" si="1315"/>
        <v>99999</v>
      </c>
      <c r="B41870" s="2" t="str">
        <f>"67127"</f>
        <v>67127</v>
      </c>
      <c r="C41870" s="1">
        <v>3.2741447988354499E-5</v>
      </c>
      <c r="D41870" s="1">
        <v>3.0352053468177301E-6</v>
      </c>
      <c r="E41870" s="1">
        <v>4.3455399550671099E-6</v>
      </c>
      <c r="F41870" s="1">
        <v>3.01439957786467E-5</v>
      </c>
    </row>
    <row r="41871" spans="1:6" x14ac:dyDescent="0.25">
      <c r="A41871" s="2" t="str">
        <f t="shared" si="1315"/>
        <v>99999</v>
      </c>
      <c r="B41871" s="2" t="str">
        <f>"66762"</f>
        <v>66762</v>
      </c>
      <c r="C41871" s="1">
        <v>1.5388480554526601E-5</v>
      </c>
      <c r="D41871" s="1">
        <v>1.3658424060679801E-5</v>
      </c>
      <c r="E41871" s="1">
        <v>0</v>
      </c>
      <c r="F41871" s="1">
        <v>1.49227701874488E-5</v>
      </c>
    </row>
    <row r="41872" spans="1:6" x14ac:dyDescent="0.25">
      <c r="A41872" s="2" t="str">
        <f t="shared" si="1315"/>
        <v>99999</v>
      </c>
      <c r="B41872" s="2" t="str">
        <f>"66778"</f>
        <v>66778</v>
      </c>
      <c r="C41872" s="1">
        <v>0</v>
      </c>
      <c r="D41872" s="1">
        <v>1.51760267340886E-6</v>
      </c>
      <c r="E41872" s="1">
        <v>0</v>
      </c>
      <c r="F41872" s="1">
        <v>9.9485134582992598E-8</v>
      </c>
    </row>
    <row r="41873" spans="1:6" x14ac:dyDescent="0.25">
      <c r="A41873" s="2" t="str">
        <f t="shared" si="1315"/>
        <v>99999</v>
      </c>
      <c r="B41873" s="2" t="str">
        <f>"66780"</f>
        <v>66780</v>
      </c>
      <c r="C41873" s="1">
        <v>9.1676054367392598E-6</v>
      </c>
      <c r="D41873" s="1">
        <v>4.5528080202265997E-6</v>
      </c>
      <c r="E41873" s="1">
        <v>0</v>
      </c>
      <c r="F41873" s="1">
        <v>8.6552067087203506E-6</v>
      </c>
    </row>
    <row r="41874" spans="1:6" x14ac:dyDescent="0.25">
      <c r="A41874" s="2" t="str">
        <f t="shared" ref="A41874:A41937" si="1316">"99999"</f>
        <v>99999</v>
      </c>
      <c r="B41874" s="2" t="str">
        <f>"66777"</f>
        <v>66777</v>
      </c>
      <c r="C41874" s="1">
        <v>5.3041145741134299E-5</v>
      </c>
      <c r="D41874" s="1">
        <v>2.5799245447950699E-5</v>
      </c>
      <c r="E41874" s="1">
        <v>8.6476245105835596E-4</v>
      </c>
      <c r="F41874" s="1">
        <v>6.9838564477260796E-5</v>
      </c>
    </row>
    <row r="41875" spans="1:6" x14ac:dyDescent="0.25">
      <c r="A41875" s="2" t="str">
        <f t="shared" si="1316"/>
        <v>99999</v>
      </c>
      <c r="B41875" s="2" t="str">
        <f>"66773"</f>
        <v>66773</v>
      </c>
      <c r="C41875" s="1">
        <v>5.6751843179814502E-5</v>
      </c>
      <c r="D41875" s="1">
        <v>1.0623218713862E-5</v>
      </c>
      <c r="E41875" s="1">
        <v>2.0424037788815399E-4</v>
      </c>
      <c r="F41875" s="1">
        <v>5.7104467250637698E-5</v>
      </c>
    </row>
    <row r="41876" spans="1:6" x14ac:dyDescent="0.25">
      <c r="A41876" s="2" t="str">
        <f t="shared" si="1316"/>
        <v>99999</v>
      </c>
      <c r="B41876" s="2" t="str">
        <f>"66711"</f>
        <v>66711</v>
      </c>
      <c r="C41876" s="1">
        <v>4.3655263984472602E-7</v>
      </c>
      <c r="D41876" s="1">
        <v>0</v>
      </c>
      <c r="E41876" s="1">
        <v>0</v>
      </c>
      <c r="F41876" s="1">
        <v>3.9794053833197002E-7</v>
      </c>
    </row>
    <row r="41877" spans="1:6" x14ac:dyDescent="0.25">
      <c r="A41877" s="2" t="str">
        <f t="shared" si="1316"/>
        <v>99999</v>
      </c>
      <c r="B41877" s="2" t="str">
        <f>"66754"</f>
        <v>66754</v>
      </c>
      <c r="C41877" s="1">
        <v>3.0667822949091999E-5</v>
      </c>
      <c r="D41877" s="1">
        <v>7.5880133670443404E-6</v>
      </c>
      <c r="E41877" s="1">
        <v>4.3455399550671099E-6</v>
      </c>
      <c r="F41877" s="1">
        <v>2.8552233625318801E-5</v>
      </c>
    </row>
    <row r="41878" spans="1:6" x14ac:dyDescent="0.25">
      <c r="A41878" s="2" t="str">
        <f t="shared" si="1316"/>
        <v>99999</v>
      </c>
      <c r="B41878" s="2" t="str">
        <f>"66424"</f>
        <v>66424</v>
      </c>
      <c r="C41878" s="1">
        <v>2.9576441349480199E-5</v>
      </c>
      <c r="D41878" s="1">
        <v>2.7316848121359601E-5</v>
      </c>
      <c r="E41878" s="1">
        <v>3.0418779685469802E-5</v>
      </c>
      <c r="F41878" s="1">
        <v>2.9447599836565802E-5</v>
      </c>
    </row>
    <row r="41879" spans="1:6" x14ac:dyDescent="0.25">
      <c r="A41879" s="2" t="str">
        <f t="shared" si="1316"/>
        <v>99999</v>
      </c>
      <c r="B41879" s="2" t="str">
        <f>"66544"</f>
        <v>66544</v>
      </c>
      <c r="C41879" s="1">
        <v>2.13910793523916E-5</v>
      </c>
      <c r="D41879" s="1">
        <v>1.8211232080906399E-5</v>
      </c>
      <c r="E41879" s="1">
        <v>0</v>
      </c>
      <c r="F41879" s="1">
        <v>2.06929079932624E-5</v>
      </c>
    </row>
    <row r="41880" spans="1:6" x14ac:dyDescent="0.25">
      <c r="A41880" s="2" t="str">
        <f t="shared" si="1316"/>
        <v>99999</v>
      </c>
      <c r="B41880" s="2" t="str">
        <f>"66095"</f>
        <v>66095</v>
      </c>
      <c r="C41880" s="1">
        <v>1.20051975957299E-6</v>
      </c>
      <c r="D41880" s="1">
        <v>0</v>
      </c>
      <c r="E41880" s="1">
        <v>0</v>
      </c>
      <c r="F41880" s="1">
        <v>1.09433648041291E-6</v>
      </c>
    </row>
    <row r="41881" spans="1:6" x14ac:dyDescent="0.25">
      <c r="A41881" s="2" t="str">
        <f t="shared" si="1316"/>
        <v>99999</v>
      </c>
      <c r="B41881" s="2" t="str">
        <f>"66091"</f>
        <v>66091</v>
      </c>
      <c r="C41881" s="1">
        <v>1.87717635133232E-5</v>
      </c>
      <c r="D41881" s="1">
        <v>1.3658424060679801E-5</v>
      </c>
      <c r="E41881" s="1">
        <v>4.3455399550671099E-6</v>
      </c>
      <c r="F41881" s="1">
        <v>1.8106294494104601E-5</v>
      </c>
    </row>
    <row r="41882" spans="1:6" x14ac:dyDescent="0.25">
      <c r="A41882" s="2" t="str">
        <f t="shared" si="1316"/>
        <v>99999</v>
      </c>
      <c r="B41882" s="2" t="str">
        <f>"65656"</f>
        <v>65656</v>
      </c>
      <c r="C41882" s="1">
        <v>3.9409789561982699E-4</v>
      </c>
      <c r="D41882" s="1">
        <v>8.65033523843055E-5</v>
      </c>
      <c r="E41882" s="1">
        <v>6.9528639281073799E-5</v>
      </c>
      <c r="F41882" s="1">
        <v>3.66503235803744E-4</v>
      </c>
    </row>
    <row r="41883" spans="1:6" x14ac:dyDescent="0.25">
      <c r="A41883" s="2" t="str">
        <f t="shared" si="1316"/>
        <v>99999</v>
      </c>
      <c r="B41883" s="2" t="str">
        <f>"65655"</f>
        <v>65655</v>
      </c>
      <c r="C41883" s="1">
        <v>2.8103076190004201E-4</v>
      </c>
      <c r="D41883" s="1">
        <v>1.10784995158847E-4</v>
      </c>
      <c r="E41883" s="1">
        <v>1.8685821806788599E-4</v>
      </c>
      <c r="F41883" s="1">
        <v>2.6771449716283299E-4</v>
      </c>
    </row>
    <row r="41884" spans="1:6" x14ac:dyDescent="0.25">
      <c r="A41884" s="2" t="str">
        <f t="shared" si="1316"/>
        <v>99999</v>
      </c>
      <c r="B41884" s="2" t="str">
        <f>"65641"</f>
        <v>65641</v>
      </c>
      <c r="C41884" s="1">
        <v>1.47882206747401E-4</v>
      </c>
      <c r="D41884" s="1">
        <v>8.65033523843055E-5</v>
      </c>
      <c r="E41884" s="1">
        <v>3.0418779685469802E-5</v>
      </c>
      <c r="F41884" s="1">
        <v>1.4116940597326601E-4</v>
      </c>
    </row>
    <row r="41885" spans="1:6" x14ac:dyDescent="0.25">
      <c r="A41885" s="2" t="str">
        <f t="shared" si="1316"/>
        <v>99999</v>
      </c>
      <c r="B41885" s="2" t="str">
        <f>"65618"</f>
        <v>65618</v>
      </c>
      <c r="C41885" s="1">
        <v>1.1677783115846399E-5</v>
      </c>
      <c r="D41885" s="1">
        <v>3.0352053468177301E-6</v>
      </c>
      <c r="E41885" s="1">
        <v>4.3455399550671099E-6</v>
      </c>
      <c r="F41885" s="1">
        <v>1.09433648041291E-5</v>
      </c>
    </row>
    <row r="41886" spans="1:6" x14ac:dyDescent="0.25">
      <c r="A41886" s="2" t="str">
        <f t="shared" si="1316"/>
        <v>99999</v>
      </c>
      <c r="B41886" s="2" t="str">
        <f>"65741"</f>
        <v>65741</v>
      </c>
      <c r="C41886" s="1">
        <v>2.1827631992236301E-7</v>
      </c>
      <c r="D41886" s="1">
        <v>1.51760267340886E-6</v>
      </c>
      <c r="E41886" s="1">
        <v>4.3455399550671099E-6</v>
      </c>
      <c r="F41886" s="1">
        <v>3.9794053833197002E-7</v>
      </c>
    </row>
    <row r="41887" spans="1:6" x14ac:dyDescent="0.25">
      <c r="A41887" s="2" t="str">
        <f t="shared" si="1316"/>
        <v>99999</v>
      </c>
      <c r="B41887" s="2" t="str">
        <f>"65755"</f>
        <v>65755</v>
      </c>
      <c r="C41887" s="1">
        <v>3.4051105907888697E-5</v>
      </c>
      <c r="D41887" s="1">
        <v>4.5528080202265997E-6</v>
      </c>
      <c r="E41887" s="1">
        <v>4.3455399550671099E-6</v>
      </c>
      <c r="F41887" s="1">
        <v>3.1437302528225599E-5</v>
      </c>
    </row>
    <row r="41888" spans="1:6" x14ac:dyDescent="0.25">
      <c r="A41888" s="2" t="str">
        <f t="shared" si="1316"/>
        <v>99999</v>
      </c>
      <c r="B41888" s="2" t="str">
        <f>"65608"</f>
        <v>65608</v>
      </c>
      <c r="C41888" s="1">
        <v>1.5388480554526601E-4</v>
      </c>
      <c r="D41888" s="1">
        <v>1.2899622723975301E-4</v>
      </c>
      <c r="E41888" s="1">
        <v>1.9120375802295301E-4</v>
      </c>
      <c r="F41888" s="1">
        <v>1.5310762212322499E-4</v>
      </c>
    </row>
    <row r="41889" spans="1:6" x14ac:dyDescent="0.25">
      <c r="A41889" s="2" t="str">
        <f t="shared" si="1316"/>
        <v>99999</v>
      </c>
      <c r="B41889" s="2" t="str">
        <f>"65588"</f>
        <v>65588</v>
      </c>
      <c r="C41889" s="1">
        <v>1.9677610241001001E-4</v>
      </c>
      <c r="D41889" s="1">
        <v>7.1327325650216798E-5</v>
      </c>
      <c r="E41889" s="1">
        <v>3.0418779685469802E-5</v>
      </c>
      <c r="F41889" s="1">
        <v>1.8474389492061701E-4</v>
      </c>
    </row>
    <row r="41890" spans="1:6" x14ac:dyDescent="0.25">
      <c r="A41890" s="2" t="str">
        <f t="shared" si="1316"/>
        <v>99999</v>
      </c>
      <c r="B41890" s="2" t="str">
        <f>"65704"</f>
        <v>65704</v>
      </c>
      <c r="C41890" s="1">
        <v>2.2231443184092699E-4</v>
      </c>
      <c r="D41890" s="1">
        <v>1.8970033417610801E-4</v>
      </c>
      <c r="E41890" s="1">
        <v>1.2602065869694599E-4</v>
      </c>
      <c r="F41890" s="1">
        <v>2.1797192987133601E-4</v>
      </c>
    </row>
    <row r="41891" spans="1:6" x14ac:dyDescent="0.25">
      <c r="A41891" s="2" t="str">
        <f t="shared" si="1316"/>
        <v>99999</v>
      </c>
      <c r="B41891" s="2" t="str">
        <f>"65567"</f>
        <v>65567</v>
      </c>
      <c r="C41891" s="1">
        <v>6.0353402458533503E-5</v>
      </c>
      <c r="D41891" s="1">
        <v>1.21408213872709E-5</v>
      </c>
      <c r="E41891" s="1">
        <v>8.69107991013423E-6</v>
      </c>
      <c r="F41891" s="1">
        <v>5.6010130770224802E-5</v>
      </c>
    </row>
    <row r="41892" spans="1:6" x14ac:dyDescent="0.25">
      <c r="A41892" s="2" t="str">
        <f t="shared" si="1316"/>
        <v>99999</v>
      </c>
      <c r="B41892" s="2" t="str">
        <f>"65565"</f>
        <v>65565</v>
      </c>
      <c r="C41892" s="1">
        <v>2.6171330758691298E-4</v>
      </c>
      <c r="D41892" s="1">
        <v>9.5608968424758703E-5</v>
      </c>
      <c r="E41892" s="1">
        <v>6.86595312900604E-4</v>
      </c>
      <c r="F41892" s="1">
        <v>2.6055156747285699E-4</v>
      </c>
    </row>
    <row r="41893" spans="1:6" x14ac:dyDescent="0.25">
      <c r="A41893" s="2" t="str">
        <f t="shared" si="1316"/>
        <v>99999</v>
      </c>
      <c r="B41893" s="2" t="str">
        <f>"65456"</f>
        <v>65456</v>
      </c>
      <c r="C41893" s="1">
        <v>2.7066263670372999E-5</v>
      </c>
      <c r="D41893" s="1">
        <v>3.0352053468177301E-6</v>
      </c>
      <c r="E41893" s="1">
        <v>3.5198873636043602E-4</v>
      </c>
      <c r="F41893" s="1">
        <v>3.2929579546970502E-5</v>
      </c>
    </row>
    <row r="41894" spans="1:6" x14ac:dyDescent="0.25">
      <c r="A41894" s="2" t="str">
        <f t="shared" si="1316"/>
        <v>99999</v>
      </c>
      <c r="B41894" s="2" t="str">
        <f>"65466"</f>
        <v>65466</v>
      </c>
      <c r="C41894" s="1">
        <v>1.00516245324248E-4</v>
      </c>
      <c r="D41894" s="1">
        <v>1.13820200505665E-4</v>
      </c>
      <c r="E41894" s="1">
        <v>2.60732397304027E-5</v>
      </c>
      <c r="F41894" s="1">
        <v>9.9684104852158602E-5</v>
      </c>
    </row>
    <row r="41895" spans="1:6" x14ac:dyDescent="0.25">
      <c r="A41895" s="2" t="str">
        <f t="shared" si="1316"/>
        <v>99999</v>
      </c>
      <c r="B41895" s="2" t="str">
        <f>"65345"</f>
        <v>65345</v>
      </c>
      <c r="C41895" s="1">
        <v>1.06955396761958E-5</v>
      </c>
      <c r="D41895" s="1">
        <v>4.5528080202265997E-6</v>
      </c>
      <c r="E41895" s="1">
        <v>4.3455399550671099E-6</v>
      </c>
      <c r="F41895" s="1">
        <v>1.01474837274652E-5</v>
      </c>
    </row>
    <row r="41896" spans="1:6" x14ac:dyDescent="0.25">
      <c r="A41896" s="2" t="str">
        <f t="shared" si="1316"/>
        <v>99999</v>
      </c>
      <c r="B41896" s="2" t="str">
        <f>"65338"</f>
        <v>65338</v>
      </c>
      <c r="C41896" s="1">
        <v>1.9066436545218401E-4</v>
      </c>
      <c r="D41896" s="1">
        <v>8.9538557731123203E-5</v>
      </c>
      <c r="E41896" s="1">
        <v>1.4340281851721399E-4</v>
      </c>
      <c r="F41896" s="1">
        <v>1.82953162498123E-4</v>
      </c>
    </row>
    <row r="41897" spans="1:6" x14ac:dyDescent="0.25">
      <c r="A41897" s="2" t="str">
        <f t="shared" si="1316"/>
        <v>99999</v>
      </c>
      <c r="B41897" s="2" t="str">
        <f>"65326"</f>
        <v>65326</v>
      </c>
      <c r="C41897" s="1">
        <v>2.2122305024131501E-4</v>
      </c>
      <c r="D41897" s="1">
        <v>3.6422464161812797E-5</v>
      </c>
      <c r="E41897" s="1">
        <v>3.47643196405369E-5</v>
      </c>
      <c r="F41897" s="1">
        <v>2.0483989210638099E-4</v>
      </c>
    </row>
    <row r="41898" spans="1:6" x14ac:dyDescent="0.25">
      <c r="A41898" s="2" t="str">
        <f t="shared" si="1316"/>
        <v>99999</v>
      </c>
      <c r="B41898" s="2" t="str">
        <f>"65446"</f>
        <v>65446</v>
      </c>
      <c r="C41898" s="1">
        <v>1.9208316153167901E-5</v>
      </c>
      <c r="D41898" s="1">
        <v>6.0704106936354696E-6</v>
      </c>
      <c r="E41898" s="1">
        <v>2.5204131739389198E-4</v>
      </c>
      <c r="F41898" s="1">
        <v>2.36774620307522E-5</v>
      </c>
    </row>
    <row r="41899" spans="1:6" x14ac:dyDescent="0.25">
      <c r="A41899" s="2" t="str">
        <f t="shared" si="1316"/>
        <v>99999</v>
      </c>
      <c r="B41899" s="2" t="str">
        <f>"64781"</f>
        <v>64781</v>
      </c>
      <c r="C41899" s="1">
        <v>1.09138159961181E-7</v>
      </c>
      <c r="D41899" s="1">
        <v>0</v>
      </c>
      <c r="E41899" s="1">
        <v>4.3455399550671099E-6</v>
      </c>
      <c r="F41899" s="1">
        <v>1.9897026916598501E-7</v>
      </c>
    </row>
    <row r="41900" spans="1:6" x14ac:dyDescent="0.25">
      <c r="A41900" s="2" t="str">
        <f t="shared" si="1316"/>
        <v>99999</v>
      </c>
      <c r="B41900" s="2" t="str">
        <f>"64788"</f>
        <v>64788</v>
      </c>
      <c r="C41900" s="1">
        <v>7.0394113174962204E-5</v>
      </c>
      <c r="D41900" s="1">
        <v>2.2764040101133E-5</v>
      </c>
      <c r="E41900" s="1">
        <v>5.21464794608054E-5</v>
      </c>
      <c r="F41900" s="1">
        <v>6.6854010439771003E-5</v>
      </c>
    </row>
    <row r="41901" spans="1:6" x14ac:dyDescent="0.25">
      <c r="A41901" s="2" t="str">
        <f t="shared" si="1316"/>
        <v>99999</v>
      </c>
      <c r="B41901" s="2" t="str">
        <f>"64763"</f>
        <v>64763</v>
      </c>
      <c r="C41901" s="1">
        <v>9.9861416364481194E-5</v>
      </c>
      <c r="D41901" s="1">
        <v>2.7316848121359601E-5</v>
      </c>
      <c r="E41901" s="1">
        <v>5.21464794608054E-5</v>
      </c>
      <c r="F41901" s="1">
        <v>9.4013452180928005E-5</v>
      </c>
    </row>
    <row r="41902" spans="1:6" x14ac:dyDescent="0.25">
      <c r="A41902" s="2" t="str">
        <f t="shared" si="1316"/>
        <v>99999</v>
      </c>
      <c r="B41902" s="2" t="str">
        <f>"65066"</f>
        <v>65066</v>
      </c>
      <c r="C41902" s="1">
        <v>3.5764575019279202E-4</v>
      </c>
      <c r="D41902" s="1">
        <v>4.85632855490838E-4</v>
      </c>
      <c r="E41902" s="1">
        <v>3.0418779685469798E-4</v>
      </c>
      <c r="F41902" s="1">
        <v>3.6481198851583401E-4</v>
      </c>
    </row>
    <row r="41903" spans="1:6" x14ac:dyDescent="0.25">
      <c r="A41903" s="2" t="str">
        <f t="shared" si="1316"/>
        <v>99999</v>
      </c>
      <c r="B41903" s="2" t="str">
        <f>"65047"</f>
        <v>65047</v>
      </c>
      <c r="C41903" s="1">
        <v>8.2399310770692202E-5</v>
      </c>
      <c r="D41903" s="1">
        <v>9.1056160404532095E-5</v>
      </c>
      <c r="E41903" s="1">
        <v>2.0424037788815399E-4</v>
      </c>
      <c r="F41903" s="1">
        <v>8.5756186010539596E-5</v>
      </c>
    </row>
    <row r="41904" spans="1:6" x14ac:dyDescent="0.25">
      <c r="A41904" s="2" t="str">
        <f t="shared" si="1316"/>
        <v>99999</v>
      </c>
      <c r="B41904" s="2" t="str">
        <f>"65041"</f>
        <v>65041</v>
      </c>
      <c r="C41904" s="1">
        <v>3.3581811820055599E-4</v>
      </c>
      <c r="D41904" s="1">
        <v>4.94738471531291E-4</v>
      </c>
      <c r="E41904" s="1">
        <v>3.6067981627057E-4</v>
      </c>
      <c r="F41904" s="1">
        <v>3.4680517915631202E-4</v>
      </c>
    </row>
    <row r="41905" spans="1:6" x14ac:dyDescent="0.25">
      <c r="A41905" s="2" t="str">
        <f t="shared" si="1316"/>
        <v>99999</v>
      </c>
      <c r="B41905" s="2" t="str">
        <f>"64741"</f>
        <v>64741</v>
      </c>
      <c r="C41905" s="1">
        <v>1.49519279146818E-5</v>
      </c>
      <c r="D41905" s="1">
        <v>9.1056160404532095E-6</v>
      </c>
      <c r="E41905" s="1">
        <v>8.69107991013423E-6</v>
      </c>
      <c r="F41905" s="1">
        <v>1.44253445145339E-5</v>
      </c>
    </row>
    <row r="41906" spans="1:6" x14ac:dyDescent="0.25">
      <c r="A41906" s="2" t="str">
        <f t="shared" si="1316"/>
        <v>99999</v>
      </c>
      <c r="B41906" s="2" t="str">
        <f>"64759"</f>
        <v>64759</v>
      </c>
      <c r="C41906" s="1">
        <v>4.1003206697415897E-4</v>
      </c>
      <c r="D41906" s="1">
        <v>6.0400586401673003E-4</v>
      </c>
      <c r="E41906" s="1">
        <v>2.2596807766349001E-4</v>
      </c>
      <c r="F41906" s="1">
        <v>4.1853396119064998E-4</v>
      </c>
    </row>
    <row r="41907" spans="1:6" x14ac:dyDescent="0.25">
      <c r="A41907" s="2" t="str">
        <f t="shared" si="1316"/>
        <v>99999</v>
      </c>
      <c r="B41907" s="2" t="str">
        <f>"64756"</f>
        <v>64756</v>
      </c>
      <c r="C41907" s="1">
        <v>4.0381119185637202E-5</v>
      </c>
      <c r="D41907" s="1">
        <v>9.1056160404532095E-6</v>
      </c>
      <c r="E41907" s="1">
        <v>4.3455399550671099E-6</v>
      </c>
      <c r="F41907" s="1">
        <v>3.7505895737788197E-5</v>
      </c>
    </row>
    <row r="41908" spans="1:6" x14ac:dyDescent="0.25">
      <c r="A41908" s="2" t="str">
        <f t="shared" si="1316"/>
        <v>99999</v>
      </c>
      <c r="B41908" s="2" t="str">
        <f>"64750"</f>
        <v>64750</v>
      </c>
      <c r="C41908" s="1">
        <v>2.16093556723139E-5</v>
      </c>
      <c r="D41908" s="1">
        <v>1.21408213872709E-5</v>
      </c>
      <c r="E41908" s="1">
        <v>4.3455399550671099E-6</v>
      </c>
      <c r="F41908" s="1">
        <v>2.0593422858679401E-5</v>
      </c>
    </row>
    <row r="41909" spans="1:6" x14ac:dyDescent="0.25">
      <c r="A41909" s="2" t="str">
        <f t="shared" si="1316"/>
        <v>99999</v>
      </c>
      <c r="B41909" s="2" t="str">
        <f>"64664"</f>
        <v>64664</v>
      </c>
      <c r="C41909" s="1">
        <v>1.6479862154138401E-5</v>
      </c>
      <c r="D41909" s="1">
        <v>1.51760267340886E-6</v>
      </c>
      <c r="E41909" s="1">
        <v>3.9109859595603998E-4</v>
      </c>
      <c r="F41909" s="1">
        <v>2.40754025690842E-5</v>
      </c>
    </row>
    <row r="41910" spans="1:6" x14ac:dyDescent="0.25">
      <c r="A41910" s="2" t="str">
        <f t="shared" si="1316"/>
        <v>99999</v>
      </c>
      <c r="B41910" s="2" t="str">
        <f>"64657"</f>
        <v>64657</v>
      </c>
      <c r="C41910" s="1">
        <v>2.4665224151227E-5</v>
      </c>
      <c r="D41910" s="1">
        <v>9.1056160404532095E-6</v>
      </c>
      <c r="E41910" s="1">
        <v>8.69107991013423E-6</v>
      </c>
      <c r="F41910" s="1">
        <v>2.3279521492420199E-5</v>
      </c>
    </row>
    <row r="41911" spans="1:6" x14ac:dyDescent="0.25">
      <c r="A41911" s="2" t="str">
        <f t="shared" si="1316"/>
        <v>99999</v>
      </c>
      <c r="B41911" s="2" t="str">
        <f>"64655"</f>
        <v>64655</v>
      </c>
      <c r="C41911" s="1">
        <v>1.34239936752253E-5</v>
      </c>
      <c r="D41911" s="1">
        <v>7.5880133670443404E-6</v>
      </c>
      <c r="E41911" s="1">
        <v>4.3455399550671099E-6</v>
      </c>
      <c r="F41911" s="1">
        <v>1.2833582361206E-5</v>
      </c>
    </row>
    <row r="41912" spans="1:6" x14ac:dyDescent="0.25">
      <c r="A41912" s="2" t="str">
        <f t="shared" si="1316"/>
        <v>99999</v>
      </c>
      <c r="B41912" s="2" t="str">
        <f>"64651"</f>
        <v>64651</v>
      </c>
      <c r="C41912" s="1">
        <v>3.2414033508470899E-5</v>
      </c>
      <c r="D41912" s="1">
        <v>1.21408213872709E-5</v>
      </c>
      <c r="E41912" s="1">
        <v>1.3036619865201299E-5</v>
      </c>
      <c r="F41912" s="1">
        <v>3.0641421451561699E-5</v>
      </c>
    </row>
    <row r="41913" spans="1:6" x14ac:dyDescent="0.25">
      <c r="A41913" s="2" t="str">
        <f t="shared" si="1316"/>
        <v>99999</v>
      </c>
      <c r="B41913" s="2" t="str">
        <f>"64628"</f>
        <v>64628</v>
      </c>
      <c r="C41913" s="1">
        <v>3.4040192091892499E-4</v>
      </c>
      <c r="D41913" s="1">
        <v>5.7972422124218798E-4</v>
      </c>
      <c r="E41913" s="1">
        <v>1.7816713815775099E-4</v>
      </c>
      <c r="F41913" s="1">
        <v>3.5237634669295901E-4</v>
      </c>
    </row>
    <row r="41914" spans="1:6" x14ac:dyDescent="0.25">
      <c r="A41914" s="2" t="str">
        <f t="shared" si="1316"/>
        <v>99999</v>
      </c>
      <c r="B41914" s="2" t="str">
        <f>"64623"</f>
        <v>64623</v>
      </c>
      <c r="C41914" s="1">
        <v>3.2850586148315701E-5</v>
      </c>
      <c r="D41914" s="1">
        <v>2.5799245447950699E-5</v>
      </c>
      <c r="E41914" s="1">
        <v>4.3455399550671099E-6</v>
      </c>
      <c r="F41914" s="1">
        <v>3.1735757931974601E-5</v>
      </c>
    </row>
    <row r="41915" spans="1:6" x14ac:dyDescent="0.25">
      <c r="A41915" s="2" t="str">
        <f t="shared" si="1316"/>
        <v>99999</v>
      </c>
      <c r="B41915" s="2" t="str">
        <f>"64622"</f>
        <v>64622</v>
      </c>
      <c r="C41915" s="1">
        <v>3.5579040147345198E-5</v>
      </c>
      <c r="D41915" s="1">
        <v>2.1246437427724101E-5</v>
      </c>
      <c r="E41915" s="1">
        <v>4.3455399550671099E-6</v>
      </c>
      <c r="F41915" s="1">
        <v>3.3924430892800399E-5</v>
      </c>
    </row>
    <row r="41916" spans="1:6" x14ac:dyDescent="0.25">
      <c r="A41916" s="2" t="str">
        <f t="shared" si="1316"/>
        <v>99999</v>
      </c>
      <c r="B41916" s="2" t="str">
        <f>"64658"</f>
        <v>64658</v>
      </c>
      <c r="C41916" s="1">
        <v>1.8509831929416399E-4</v>
      </c>
      <c r="D41916" s="1">
        <v>2.3522841437837401E-4</v>
      </c>
      <c r="E41916" s="1">
        <v>9.5601879011476503E-5</v>
      </c>
      <c r="F41916" s="1">
        <v>1.8633565707394499E-4</v>
      </c>
    </row>
    <row r="41917" spans="1:6" x14ac:dyDescent="0.25">
      <c r="A41917" s="2" t="str">
        <f t="shared" si="1316"/>
        <v>99999</v>
      </c>
      <c r="B41917" s="2" t="str">
        <f>"64453"</f>
        <v>64453</v>
      </c>
      <c r="C41917" s="1">
        <v>9.71329623654517E-6</v>
      </c>
      <c r="D41917" s="1">
        <v>4.5528080202265997E-6</v>
      </c>
      <c r="E41917" s="1">
        <v>1.3036619865201299E-5</v>
      </c>
      <c r="F41917" s="1">
        <v>9.4510877853842998E-6</v>
      </c>
    </row>
    <row r="41918" spans="1:6" x14ac:dyDescent="0.25">
      <c r="A41918" s="2" t="str">
        <f t="shared" si="1316"/>
        <v>99999</v>
      </c>
      <c r="B41918" s="2" t="str">
        <f>"64458"</f>
        <v>64458</v>
      </c>
      <c r="C41918" s="1">
        <v>1.5934171354332501E-5</v>
      </c>
      <c r="D41918" s="1">
        <v>7.5880133670443404E-6</v>
      </c>
      <c r="E41918" s="1">
        <v>4.3455399550671099E-6</v>
      </c>
      <c r="F41918" s="1">
        <v>1.51217404566148E-5</v>
      </c>
    </row>
    <row r="41919" spans="1:6" x14ac:dyDescent="0.25">
      <c r="A41919" s="2" t="str">
        <f t="shared" si="1316"/>
        <v>99999</v>
      </c>
      <c r="B41919" s="2" t="str">
        <f>"64471"</f>
        <v>64471</v>
      </c>
      <c r="C41919" s="1">
        <v>2.78302307901013E-5</v>
      </c>
      <c r="D41919" s="1">
        <v>9.1056160404532095E-6</v>
      </c>
      <c r="E41919" s="1">
        <v>8.69107991013423E-6</v>
      </c>
      <c r="F41919" s="1">
        <v>2.6164590395327E-5</v>
      </c>
    </row>
    <row r="41920" spans="1:6" x14ac:dyDescent="0.25">
      <c r="A41920" s="2" t="str">
        <f t="shared" si="1316"/>
        <v>99999</v>
      </c>
      <c r="B41920" s="2" t="str">
        <f>"64486"</f>
        <v>64486</v>
      </c>
      <c r="C41920" s="1">
        <v>1.8662625353362001E-5</v>
      </c>
      <c r="D41920" s="1">
        <v>9.1056160404532095E-6</v>
      </c>
      <c r="E41920" s="1">
        <v>4.3455399550671099E-6</v>
      </c>
      <c r="F41920" s="1">
        <v>1.77083539557726E-5</v>
      </c>
    </row>
    <row r="41921" spans="1:6" x14ac:dyDescent="0.25">
      <c r="A41921" s="2" t="str">
        <f t="shared" si="1316"/>
        <v>99999</v>
      </c>
      <c r="B41921" s="2" t="str">
        <f>"64441"</f>
        <v>64441</v>
      </c>
      <c r="C41921" s="1">
        <v>1.8662625353362001E-5</v>
      </c>
      <c r="D41921" s="1">
        <v>1.66936294074975E-5</v>
      </c>
      <c r="E41921" s="1">
        <v>9.9947418966543598E-5</v>
      </c>
      <c r="F41921" s="1">
        <v>2.0394452589513401E-5</v>
      </c>
    </row>
    <row r="41922" spans="1:6" x14ac:dyDescent="0.25">
      <c r="A41922" s="2" t="str">
        <f t="shared" si="1316"/>
        <v>99999</v>
      </c>
      <c r="B41922" s="2" t="str">
        <f>"63881"</f>
        <v>63881</v>
      </c>
      <c r="C41922" s="1">
        <v>0</v>
      </c>
      <c r="D41922" s="1">
        <v>0</v>
      </c>
      <c r="E41922" s="1">
        <v>4.3455399550671099E-6</v>
      </c>
      <c r="F41922" s="1">
        <v>9.9485134582992598E-8</v>
      </c>
    </row>
    <row r="41923" spans="1:6" x14ac:dyDescent="0.25">
      <c r="A41923" s="2" t="str">
        <f t="shared" si="1316"/>
        <v>99999</v>
      </c>
      <c r="B41923" s="2" t="str">
        <f>"63869"</f>
        <v>63869</v>
      </c>
      <c r="C41923" s="1">
        <v>1.903369509723E-4</v>
      </c>
      <c r="D41923" s="1">
        <v>2.9593252131472901E-4</v>
      </c>
      <c r="E41923" s="1">
        <v>3.9109859595603998E-4</v>
      </c>
      <c r="F41923" s="1">
        <v>2.01855338068892E-4</v>
      </c>
    </row>
    <row r="41924" spans="1:6" x14ac:dyDescent="0.25">
      <c r="A41924" s="2" t="str">
        <f t="shared" si="1316"/>
        <v>99999</v>
      </c>
      <c r="B41924" s="2" t="str">
        <f>"63538"</f>
        <v>63538</v>
      </c>
      <c r="C41924" s="1">
        <v>1.8335210873478499E-5</v>
      </c>
      <c r="D41924" s="1">
        <v>1.51760267340886E-6</v>
      </c>
      <c r="E41924" s="1">
        <v>4.3455399550671099E-6</v>
      </c>
      <c r="F41924" s="1">
        <v>1.69124728791087E-5</v>
      </c>
    </row>
    <row r="41925" spans="1:6" x14ac:dyDescent="0.25">
      <c r="A41925" s="2" t="str">
        <f t="shared" si="1316"/>
        <v>99999</v>
      </c>
      <c r="B41925" s="2" t="str">
        <f>"63558"</f>
        <v>63558</v>
      </c>
      <c r="C41925" s="1">
        <v>5.03126917421047E-5</v>
      </c>
      <c r="D41925" s="1">
        <v>3.7940066835221703E-5</v>
      </c>
      <c r="E41925" s="1">
        <v>6.5183099326006705E-5</v>
      </c>
      <c r="F41925" s="1">
        <v>4.9842052426079301E-5</v>
      </c>
    </row>
    <row r="41926" spans="1:6" x14ac:dyDescent="0.25">
      <c r="A41926" s="2" t="str">
        <f t="shared" si="1316"/>
        <v>99999</v>
      </c>
      <c r="B41926" s="2" t="str">
        <f>"63552"</f>
        <v>63552</v>
      </c>
      <c r="C41926" s="1">
        <v>4.5106801511956402E-4</v>
      </c>
      <c r="D41926" s="1">
        <v>8.7869194790373502E-4</v>
      </c>
      <c r="E41926" s="1">
        <v>6.7355869303540304E-4</v>
      </c>
      <c r="F41926" s="1">
        <v>4.8419415001542502E-4</v>
      </c>
    </row>
    <row r="41927" spans="1:6" x14ac:dyDescent="0.25">
      <c r="A41927" s="2" t="str">
        <f t="shared" si="1316"/>
        <v>99999</v>
      </c>
      <c r="B41927" s="2" t="str">
        <f>"63468"</f>
        <v>63468</v>
      </c>
      <c r="C41927" s="1">
        <v>1.65562588661112E-4</v>
      </c>
      <c r="D41927" s="1">
        <v>3.4297820419040397E-4</v>
      </c>
      <c r="E41927" s="1">
        <v>1.08638498876677E-4</v>
      </c>
      <c r="F41927" s="1">
        <v>1.7588971794272999E-4</v>
      </c>
    </row>
    <row r="41928" spans="1:6" x14ac:dyDescent="0.25">
      <c r="A41928" s="2" t="str">
        <f t="shared" si="1316"/>
        <v>99999</v>
      </c>
      <c r="B41928" s="2" t="str">
        <f>"63850"</f>
        <v>63850</v>
      </c>
      <c r="C41928" s="1">
        <v>0</v>
      </c>
      <c r="D41928" s="1">
        <v>0</v>
      </c>
      <c r="E41928" s="1">
        <v>4.3455399550671099E-6</v>
      </c>
      <c r="F41928" s="1">
        <v>9.9485134582992598E-8</v>
      </c>
    </row>
    <row r="41929" spans="1:6" x14ac:dyDescent="0.25">
      <c r="A41929" s="2" t="str">
        <f t="shared" si="1316"/>
        <v>99999</v>
      </c>
      <c r="B41929" s="2" t="str">
        <f>"63837"</f>
        <v>63837</v>
      </c>
      <c r="C41929" s="1">
        <v>1.09138159961181E-7</v>
      </c>
      <c r="D41929" s="1">
        <v>0</v>
      </c>
      <c r="E41929" s="1">
        <v>0</v>
      </c>
      <c r="F41929" s="1">
        <v>9.9485134582992598E-8</v>
      </c>
    </row>
    <row r="41930" spans="1:6" x14ac:dyDescent="0.25">
      <c r="A41930" s="2" t="str">
        <f t="shared" si="1316"/>
        <v>99999</v>
      </c>
      <c r="B41930" s="2" t="str">
        <f>"63833"</f>
        <v>63833</v>
      </c>
      <c r="C41930" s="1">
        <v>7.4213948773603504E-6</v>
      </c>
      <c r="D41930" s="1">
        <v>1.51760267340886E-6</v>
      </c>
      <c r="E41930" s="1">
        <v>4.3455399550671099E-6</v>
      </c>
      <c r="F41930" s="1">
        <v>6.9639594208094801E-6</v>
      </c>
    </row>
    <row r="41931" spans="1:6" x14ac:dyDescent="0.25">
      <c r="A41931" s="2" t="str">
        <f t="shared" si="1316"/>
        <v>99999</v>
      </c>
      <c r="B41931" s="2" t="str">
        <f>"63846"</f>
        <v>63846</v>
      </c>
      <c r="C41931" s="1">
        <v>7.2904290854069404E-5</v>
      </c>
      <c r="D41931" s="1">
        <v>3.4904861488403899E-5</v>
      </c>
      <c r="E41931" s="1">
        <v>2.1727699775335501E-5</v>
      </c>
      <c r="F41931" s="1">
        <v>6.9241653669762805E-5</v>
      </c>
    </row>
    <row r="41932" spans="1:6" x14ac:dyDescent="0.25">
      <c r="A41932" s="2" t="str">
        <f t="shared" si="1316"/>
        <v>99999</v>
      </c>
      <c r="B41932" s="2" t="str">
        <f>"63834"</f>
        <v>63834</v>
      </c>
      <c r="C41932" s="1">
        <v>2.5527415614920402E-4</v>
      </c>
      <c r="D41932" s="1">
        <v>4.3555196726834501E-4</v>
      </c>
      <c r="E41932" s="1">
        <v>1.6078497833748299E-4</v>
      </c>
      <c r="F41932" s="1">
        <v>2.64928913394509E-4</v>
      </c>
    </row>
    <row r="41933" spans="1:6" x14ac:dyDescent="0.25">
      <c r="A41933" s="2" t="str">
        <f t="shared" si="1316"/>
        <v>99999</v>
      </c>
      <c r="B41933" s="2" t="str">
        <f>"63826"</f>
        <v>63826</v>
      </c>
      <c r="C41933" s="1">
        <v>1.09138159961181E-7</v>
      </c>
      <c r="D41933" s="1">
        <v>0</v>
      </c>
      <c r="E41933" s="1">
        <v>4.3455399550671099E-6</v>
      </c>
      <c r="F41933" s="1">
        <v>1.9897026916598501E-7</v>
      </c>
    </row>
    <row r="41934" spans="1:6" x14ac:dyDescent="0.25">
      <c r="A41934" s="2" t="str">
        <f t="shared" si="1316"/>
        <v>99999</v>
      </c>
      <c r="B41934" s="2" t="str">
        <f>"63673"</f>
        <v>63673</v>
      </c>
      <c r="C41934" s="1">
        <v>1.15031620599085E-4</v>
      </c>
      <c r="D41934" s="1">
        <v>5.15984908959015E-5</v>
      </c>
      <c r="E41934" s="1">
        <v>1.3036619865201299E-5</v>
      </c>
      <c r="F41934" s="1">
        <v>1.08538281830044E-4</v>
      </c>
    </row>
    <row r="41935" spans="1:6" x14ac:dyDescent="0.25">
      <c r="A41935" s="2" t="str">
        <f t="shared" si="1316"/>
        <v>99999</v>
      </c>
      <c r="B41935" s="2" t="str">
        <f>"63441"</f>
        <v>63441</v>
      </c>
      <c r="C41935" s="1">
        <v>5.7515810299542702E-5</v>
      </c>
      <c r="D41935" s="1">
        <v>2.2764040101133E-5</v>
      </c>
      <c r="E41935" s="1">
        <v>3.9109859595604001E-5</v>
      </c>
      <c r="F41935" s="1">
        <v>5.4816309155228901E-5</v>
      </c>
    </row>
    <row r="41936" spans="1:6" x14ac:dyDescent="0.25">
      <c r="A41936" s="2" t="str">
        <f t="shared" si="1316"/>
        <v>99999</v>
      </c>
      <c r="B41936" s="2" t="str">
        <f>"63627"</f>
        <v>63627</v>
      </c>
      <c r="C41936" s="1">
        <v>1.44935476428449E-4</v>
      </c>
      <c r="D41936" s="1">
        <v>9.7126571098167595E-5</v>
      </c>
      <c r="E41936" s="1">
        <v>6.0837559370939603E-5</v>
      </c>
      <c r="F41936" s="1">
        <v>1.3987609922368701E-4</v>
      </c>
    </row>
    <row r="41937" spans="1:6" x14ac:dyDescent="0.25">
      <c r="A41937" s="2" t="str">
        <f t="shared" si="1316"/>
        <v>99999</v>
      </c>
      <c r="B41937" s="2" t="str">
        <f>"63330"</f>
        <v>63330</v>
      </c>
      <c r="C41937" s="1">
        <v>1.4297098954914801E-5</v>
      </c>
      <c r="D41937" s="1">
        <v>1.0623218713862E-5</v>
      </c>
      <c r="E41937" s="1">
        <v>8.69107991013423E-6</v>
      </c>
      <c r="F41937" s="1">
        <v>1.3927918841618899E-5</v>
      </c>
    </row>
    <row r="41938" spans="1:6" x14ac:dyDescent="0.25">
      <c r="A41938" s="2" t="str">
        <f t="shared" ref="A41938:A42001" si="1317">"99999"</f>
        <v>99999</v>
      </c>
      <c r="B41938" s="2" t="str">
        <f>"63333"</f>
        <v>63333</v>
      </c>
      <c r="C41938" s="1">
        <v>4.6929408783308097E-5</v>
      </c>
      <c r="D41938" s="1">
        <v>2.4281642774541899E-5</v>
      </c>
      <c r="E41938" s="1">
        <v>4.3455399550671099E-6</v>
      </c>
      <c r="F41938" s="1">
        <v>4.44698551585977E-5</v>
      </c>
    </row>
    <row r="41939" spans="1:6" x14ac:dyDescent="0.25">
      <c r="A41939" s="2" t="str">
        <f t="shared" si="1317"/>
        <v>99999</v>
      </c>
      <c r="B41939" s="2" t="str">
        <f>"63344"</f>
        <v>63344</v>
      </c>
      <c r="C41939" s="1">
        <v>5.5114770780396697E-5</v>
      </c>
      <c r="D41939" s="1">
        <v>4.0975272182039399E-5</v>
      </c>
      <c r="E41939" s="1">
        <v>3.9109859595604001E-5</v>
      </c>
      <c r="F41939" s="1">
        <v>5.3821457809398998E-5</v>
      </c>
    </row>
    <row r="41940" spans="1:6" x14ac:dyDescent="0.25">
      <c r="A41940" s="2" t="str">
        <f t="shared" si="1317"/>
        <v>99999</v>
      </c>
      <c r="B41940" s="2" t="str">
        <f>"63014"</f>
        <v>63014</v>
      </c>
      <c r="C41940" s="1">
        <v>5.3477698380979E-6</v>
      </c>
      <c r="D41940" s="1">
        <v>3.0352053468177301E-6</v>
      </c>
      <c r="E41940" s="1">
        <v>1.3036619865201299E-5</v>
      </c>
      <c r="F41940" s="1">
        <v>5.3721972674816004E-6</v>
      </c>
    </row>
    <row r="41941" spans="1:6" x14ac:dyDescent="0.25">
      <c r="A41941" s="2" t="str">
        <f t="shared" si="1317"/>
        <v>99999</v>
      </c>
      <c r="B41941" s="2" t="str">
        <f>"63071"</f>
        <v>63071</v>
      </c>
      <c r="C41941" s="1">
        <v>6.0680816938417001E-5</v>
      </c>
      <c r="D41941" s="1">
        <v>1.5176026734088599E-5</v>
      </c>
      <c r="E41941" s="1">
        <v>4.3455399550671099E-6</v>
      </c>
      <c r="F41941" s="1">
        <v>5.6408071308556803E-5</v>
      </c>
    </row>
    <row r="41942" spans="1:6" x14ac:dyDescent="0.25">
      <c r="A41942" s="2" t="str">
        <f t="shared" si="1317"/>
        <v>99999</v>
      </c>
      <c r="B41942" s="2" t="str">
        <f>"63060"</f>
        <v>63060</v>
      </c>
      <c r="C41942" s="1">
        <v>3.3832829587966299E-6</v>
      </c>
      <c r="D41942" s="1">
        <v>0</v>
      </c>
      <c r="E41942" s="1">
        <v>0</v>
      </c>
      <c r="F41942" s="1">
        <v>3.0840391720727701E-6</v>
      </c>
    </row>
    <row r="41943" spans="1:6" x14ac:dyDescent="0.25">
      <c r="A41943" s="2" t="str">
        <f t="shared" si="1317"/>
        <v>99999</v>
      </c>
      <c r="B41943" s="2" t="str">
        <f>"62998"</f>
        <v>62998</v>
      </c>
      <c r="C41943" s="1">
        <v>2.1500217512352799E-5</v>
      </c>
      <c r="D41943" s="1">
        <v>9.1056160404532095E-6</v>
      </c>
      <c r="E41943" s="1">
        <v>4.3455399550671099E-6</v>
      </c>
      <c r="F41943" s="1">
        <v>2.0294967454930399E-5</v>
      </c>
    </row>
    <row r="41944" spans="1:6" x14ac:dyDescent="0.25">
      <c r="A41944" s="2" t="str">
        <f t="shared" si="1317"/>
        <v>99999</v>
      </c>
      <c r="B41944" s="2" t="str">
        <f>"62982"</f>
        <v>62982</v>
      </c>
      <c r="C41944" s="1">
        <v>2.4010395191459901E-5</v>
      </c>
      <c r="D41944" s="1">
        <v>1.9728834754315301E-5</v>
      </c>
      <c r="E41944" s="1">
        <v>8.69107991013423E-6</v>
      </c>
      <c r="F41944" s="1">
        <v>2.3379006627003201E-5</v>
      </c>
    </row>
    <row r="41945" spans="1:6" x14ac:dyDescent="0.25">
      <c r="A41945" s="2" t="str">
        <f t="shared" si="1317"/>
        <v>99999</v>
      </c>
      <c r="B41945" s="2" t="str">
        <f>"62999"</f>
        <v>62999</v>
      </c>
      <c r="C41945" s="1">
        <v>9.2658297807043206E-5</v>
      </c>
      <c r="D41945" s="1">
        <v>8.9538557731123203E-5</v>
      </c>
      <c r="E41945" s="1">
        <v>2.1727699775335501E-5</v>
      </c>
      <c r="F41945" s="1">
        <v>9.0829927874272202E-5</v>
      </c>
    </row>
    <row r="41946" spans="1:6" x14ac:dyDescent="0.25">
      <c r="A41946" s="2" t="str">
        <f t="shared" si="1317"/>
        <v>99999</v>
      </c>
      <c r="B41946" s="2" t="str">
        <f>"62983"</f>
        <v>62983</v>
      </c>
      <c r="C41946" s="1">
        <v>7.94525804517403E-5</v>
      </c>
      <c r="D41946" s="1">
        <v>1.3658424060679801E-5</v>
      </c>
      <c r="E41946" s="1">
        <v>8.69107991013423E-6</v>
      </c>
      <c r="F41946" s="1">
        <v>7.3519514456831504E-5</v>
      </c>
    </row>
    <row r="41947" spans="1:6" x14ac:dyDescent="0.25">
      <c r="A41947" s="2" t="str">
        <f t="shared" si="1317"/>
        <v>99999</v>
      </c>
      <c r="B41947" s="2" t="str">
        <f>"62977"</f>
        <v>62977</v>
      </c>
      <c r="C41947" s="1">
        <v>3.9726290225870103E-5</v>
      </c>
      <c r="D41947" s="1">
        <v>2.1246437427724101E-5</v>
      </c>
      <c r="E41947" s="1">
        <v>2.1727699775335501E-5</v>
      </c>
      <c r="F41947" s="1">
        <v>3.81028065452861E-5</v>
      </c>
    </row>
    <row r="41948" spans="1:6" x14ac:dyDescent="0.25">
      <c r="A41948" s="2" t="str">
        <f t="shared" si="1317"/>
        <v>99999</v>
      </c>
      <c r="B41948" s="2" t="str">
        <f>"62976"</f>
        <v>62976</v>
      </c>
      <c r="C41948" s="1">
        <v>2.24824609520034E-5</v>
      </c>
      <c r="D41948" s="1">
        <v>1.66936294074975E-5</v>
      </c>
      <c r="E41948" s="1">
        <v>4.3455399550671099E-6</v>
      </c>
      <c r="F41948" s="1">
        <v>2.16877593390923E-5</v>
      </c>
    </row>
    <row r="41949" spans="1:6" x14ac:dyDescent="0.25">
      <c r="A41949" s="2" t="str">
        <f t="shared" si="1317"/>
        <v>99999</v>
      </c>
      <c r="B41949" s="2" t="str">
        <f>"62973"</f>
        <v>62973</v>
      </c>
      <c r="C41949" s="1">
        <v>0</v>
      </c>
      <c r="D41949" s="1">
        <v>0</v>
      </c>
      <c r="E41949" s="1">
        <v>4.3455399550671099E-6</v>
      </c>
      <c r="F41949" s="1">
        <v>9.9485134582992598E-8</v>
      </c>
    </row>
    <row r="41950" spans="1:6" x14ac:dyDescent="0.25">
      <c r="A41950" s="2" t="str">
        <f t="shared" si="1317"/>
        <v>99999</v>
      </c>
      <c r="B41950" s="2" t="str">
        <f>"62852"</f>
        <v>62852</v>
      </c>
      <c r="C41950" s="1">
        <v>0</v>
      </c>
      <c r="D41950" s="1">
        <v>0</v>
      </c>
      <c r="E41950" s="1">
        <v>4.3455399550671099E-6</v>
      </c>
      <c r="F41950" s="1">
        <v>9.9485134582992598E-8</v>
      </c>
    </row>
    <row r="41951" spans="1:6" x14ac:dyDescent="0.25">
      <c r="A41951" s="2" t="str">
        <f t="shared" si="1317"/>
        <v>99999</v>
      </c>
      <c r="B41951" s="2" t="str">
        <f>"62834"</f>
        <v>62834</v>
      </c>
      <c r="C41951" s="1">
        <v>0</v>
      </c>
      <c r="D41951" s="1">
        <v>0</v>
      </c>
      <c r="E41951" s="1">
        <v>4.3455399550671099E-6</v>
      </c>
      <c r="F41951" s="1">
        <v>9.9485134582992598E-8</v>
      </c>
    </row>
    <row r="41952" spans="1:6" x14ac:dyDescent="0.25">
      <c r="A41952" s="2" t="str">
        <f t="shared" si="1317"/>
        <v>99999</v>
      </c>
      <c r="B41952" s="2" t="str">
        <f>"62859"</f>
        <v>62859</v>
      </c>
      <c r="C41952" s="1">
        <v>4.0708533665520698E-4</v>
      </c>
      <c r="D41952" s="1">
        <v>5.3267853836651302E-4</v>
      </c>
      <c r="E41952" s="1">
        <v>2.4769577743882499E-4</v>
      </c>
      <c r="F41952" s="1">
        <v>4.1166948690442301E-4</v>
      </c>
    </row>
    <row r="41953" spans="1:6" x14ac:dyDescent="0.25">
      <c r="A41953" s="2" t="str">
        <f t="shared" si="1317"/>
        <v>99999</v>
      </c>
      <c r="B41953" s="2" t="str">
        <f>"62842"</f>
        <v>62842</v>
      </c>
      <c r="C41953" s="1">
        <v>4.2236467904977303E-5</v>
      </c>
      <c r="D41953" s="1">
        <v>1.21408213872709E-5</v>
      </c>
      <c r="E41953" s="1">
        <v>4.3455399550671099E-6</v>
      </c>
      <c r="F41953" s="1">
        <v>3.9396113294864999E-5</v>
      </c>
    </row>
    <row r="41954" spans="1:6" x14ac:dyDescent="0.25">
      <c r="A41954" s="2" t="str">
        <f t="shared" si="1317"/>
        <v>99999</v>
      </c>
      <c r="B41954" s="2" t="str">
        <f>"62837"</f>
        <v>62837</v>
      </c>
      <c r="C41954" s="1">
        <v>4.9417758830423003E-4</v>
      </c>
      <c r="D41954" s="1">
        <v>8.2405825166101605E-4</v>
      </c>
      <c r="E41954" s="1">
        <v>5.6926573411379201E-4</v>
      </c>
      <c r="F41954" s="1">
        <v>5.1752167010072703E-4</v>
      </c>
    </row>
    <row r="41955" spans="1:6" x14ac:dyDescent="0.25">
      <c r="A41955" s="2" t="str">
        <f t="shared" si="1317"/>
        <v>99999</v>
      </c>
      <c r="B41955" s="2" t="str">
        <f>"62835"</f>
        <v>62835</v>
      </c>
      <c r="C41955" s="1">
        <v>6.3081856457563007E-5</v>
      </c>
      <c r="D41955" s="1">
        <v>2.4281642774541899E-5</v>
      </c>
      <c r="E41955" s="1">
        <v>2.1727699775335501E-5</v>
      </c>
      <c r="F41955" s="1">
        <v>5.9591595615212498E-5</v>
      </c>
    </row>
    <row r="41956" spans="1:6" x14ac:dyDescent="0.25">
      <c r="A41956" s="2" t="str">
        <f t="shared" si="1317"/>
        <v>99999</v>
      </c>
      <c r="B41956" s="2" t="str">
        <f>"62808"</f>
        <v>62808</v>
      </c>
      <c r="C41956" s="1">
        <v>5.6206152380008497E-5</v>
      </c>
      <c r="D41956" s="1">
        <v>1.8211232080906399E-5</v>
      </c>
      <c r="E41956" s="1">
        <v>3.9109859595604001E-5</v>
      </c>
      <c r="F41956" s="1">
        <v>5.3324032136483998E-5</v>
      </c>
    </row>
    <row r="41957" spans="1:6" x14ac:dyDescent="0.25">
      <c r="A41957" s="2" t="str">
        <f t="shared" si="1317"/>
        <v>99999</v>
      </c>
      <c r="B41957" s="2" t="str">
        <f>"62803"</f>
        <v>62803</v>
      </c>
      <c r="C41957" s="1">
        <v>4.3000435024705598E-5</v>
      </c>
      <c r="D41957" s="1">
        <v>2.2764040101133E-5</v>
      </c>
      <c r="E41957" s="1">
        <v>4.3455399550671099E-6</v>
      </c>
      <c r="F41957" s="1">
        <v>4.0788905179026897E-5</v>
      </c>
    </row>
    <row r="41958" spans="1:6" x14ac:dyDescent="0.25">
      <c r="A41958" s="2" t="str">
        <f t="shared" si="1317"/>
        <v>99999</v>
      </c>
      <c r="B41958" s="2" t="str">
        <f>"62932"</f>
        <v>62932</v>
      </c>
      <c r="C41958" s="1">
        <v>2.1827631992236301E-7</v>
      </c>
      <c r="D41958" s="1">
        <v>1.51760267340886E-6</v>
      </c>
      <c r="E41958" s="1">
        <v>0</v>
      </c>
      <c r="F41958" s="1">
        <v>2.9845540374897701E-7</v>
      </c>
    </row>
    <row r="41959" spans="1:6" x14ac:dyDescent="0.25">
      <c r="A41959" s="2" t="str">
        <f t="shared" si="1317"/>
        <v>99999</v>
      </c>
      <c r="B41959" s="2" t="str">
        <f>"62946"</f>
        <v>62946</v>
      </c>
      <c r="C41959" s="1">
        <v>7.5218019845246396E-4</v>
      </c>
      <c r="D41959" s="1">
        <v>1.25505741090913E-3</v>
      </c>
      <c r="E41959" s="1">
        <v>8.9083569078875799E-4</v>
      </c>
      <c r="F41959" s="1">
        <v>7.8832020643563303E-4</v>
      </c>
    </row>
    <row r="41960" spans="1:6" x14ac:dyDescent="0.25">
      <c r="A41960" s="2" t="str">
        <f t="shared" si="1317"/>
        <v>99999</v>
      </c>
      <c r="B41960" s="2" t="str">
        <f>"62892"</f>
        <v>62892</v>
      </c>
      <c r="C41960" s="1">
        <v>1.09138159961181E-7</v>
      </c>
      <c r="D41960" s="1">
        <v>0</v>
      </c>
      <c r="E41960" s="1">
        <v>0</v>
      </c>
      <c r="F41960" s="1">
        <v>9.9485134582992598E-8</v>
      </c>
    </row>
    <row r="41961" spans="1:6" x14ac:dyDescent="0.25">
      <c r="A41961" s="2" t="str">
        <f t="shared" si="1317"/>
        <v>99999</v>
      </c>
      <c r="B41961" s="2" t="str">
        <f>"62884"</f>
        <v>62884</v>
      </c>
      <c r="C41961" s="1">
        <v>1.56940674024179E-4</v>
      </c>
      <c r="D41961" s="1">
        <v>1.04714584465211E-4</v>
      </c>
      <c r="E41961" s="1">
        <v>4.3455399550671103E-5</v>
      </c>
      <c r="F41961" s="1">
        <v>1.5091894916239901E-4</v>
      </c>
    </row>
    <row r="41962" spans="1:6" x14ac:dyDescent="0.25">
      <c r="A41962" s="2" t="str">
        <f t="shared" si="1317"/>
        <v>99999</v>
      </c>
      <c r="B41962" s="2" t="str">
        <f>"62875"</f>
        <v>62875</v>
      </c>
      <c r="C41962" s="1">
        <v>9.6041580765839897E-6</v>
      </c>
      <c r="D41962" s="1">
        <v>1.51760267340886E-6</v>
      </c>
      <c r="E41962" s="1">
        <v>0</v>
      </c>
      <c r="F41962" s="1">
        <v>8.8541769778863392E-6</v>
      </c>
    </row>
    <row r="41963" spans="1:6" x14ac:dyDescent="0.25">
      <c r="A41963" s="2" t="str">
        <f t="shared" si="1317"/>
        <v>99999</v>
      </c>
      <c r="B41963" s="2" t="str">
        <f>"62874"</f>
        <v>62874</v>
      </c>
      <c r="C41963" s="1">
        <v>2.2700737271925801E-5</v>
      </c>
      <c r="D41963" s="1">
        <v>3.0352053468177301E-6</v>
      </c>
      <c r="E41963" s="1">
        <v>4.3455399550671099E-6</v>
      </c>
      <c r="F41963" s="1">
        <v>2.0991363397011399E-5</v>
      </c>
    </row>
    <row r="41964" spans="1:6" x14ac:dyDescent="0.25">
      <c r="A41964" s="2" t="str">
        <f t="shared" si="1317"/>
        <v>99999</v>
      </c>
      <c r="B41964" s="2" t="str">
        <f>"62510"</f>
        <v>62510</v>
      </c>
      <c r="C41964" s="1">
        <v>1.0258987036351001E-5</v>
      </c>
      <c r="D41964" s="1">
        <v>3.0352053468177301E-6</v>
      </c>
      <c r="E41964" s="1">
        <v>0</v>
      </c>
      <c r="F41964" s="1">
        <v>9.5505729199672898E-6</v>
      </c>
    </row>
    <row r="41965" spans="1:6" x14ac:dyDescent="0.25">
      <c r="A41965" s="2" t="str">
        <f t="shared" si="1317"/>
        <v>99999</v>
      </c>
      <c r="B41965" s="2" t="str">
        <f>"62465"</f>
        <v>62465</v>
      </c>
      <c r="C41965" s="1">
        <v>4.5183198223929198E-5</v>
      </c>
      <c r="D41965" s="1">
        <v>3.7940066835221703E-5</v>
      </c>
      <c r="E41965" s="1">
        <v>4.3455399550671099E-6</v>
      </c>
      <c r="F41965" s="1">
        <v>4.3773459216516703E-5</v>
      </c>
    </row>
    <row r="41966" spans="1:6" x14ac:dyDescent="0.25">
      <c r="A41966" s="2" t="str">
        <f t="shared" si="1317"/>
        <v>99999</v>
      </c>
      <c r="B41966" s="2" t="str">
        <f>"62460"</f>
        <v>62460</v>
      </c>
      <c r="C41966" s="1">
        <v>6.6028586776514895E-5</v>
      </c>
      <c r="D41966" s="1">
        <v>2.7316848121359601E-5</v>
      </c>
      <c r="E41966" s="1">
        <v>4.3455399550671099E-6</v>
      </c>
      <c r="F41966" s="1">
        <v>6.20787239797874E-5</v>
      </c>
    </row>
    <row r="41967" spans="1:6" x14ac:dyDescent="0.25">
      <c r="A41967" s="2" t="str">
        <f t="shared" si="1317"/>
        <v>99999</v>
      </c>
      <c r="B41967" s="2" t="str">
        <f>"62426"</f>
        <v>62426</v>
      </c>
      <c r="C41967" s="1">
        <v>1.8116934553556101E-5</v>
      </c>
      <c r="D41967" s="1">
        <v>1.51760267340886E-6</v>
      </c>
      <c r="E41967" s="1">
        <v>0</v>
      </c>
      <c r="F41967" s="1">
        <v>1.6614017475359701E-5</v>
      </c>
    </row>
    <row r="41968" spans="1:6" x14ac:dyDescent="0.25">
      <c r="A41968" s="2" t="str">
        <f t="shared" si="1317"/>
        <v>99999</v>
      </c>
      <c r="B41968" s="2" t="str">
        <f>"62560"</f>
        <v>62560</v>
      </c>
      <c r="C41968" s="1">
        <v>7.5632744853098901E-5</v>
      </c>
      <c r="D41968" s="1">
        <v>7.1327325650216798E-5</v>
      </c>
      <c r="E41968" s="1">
        <v>1.0429295892161E-4</v>
      </c>
      <c r="F41968" s="1">
        <v>7.6006642821406297E-5</v>
      </c>
    </row>
    <row r="41969" spans="1:6" x14ac:dyDescent="0.25">
      <c r="A41969" s="2" t="str">
        <f t="shared" si="1317"/>
        <v>99999</v>
      </c>
      <c r="B41969" s="2" t="str">
        <f>"62557"</f>
        <v>62557</v>
      </c>
      <c r="C41969" s="1">
        <v>4.2018191585054898E-5</v>
      </c>
      <c r="D41969" s="1">
        <v>4.5528080202265997E-6</v>
      </c>
      <c r="E41969" s="1">
        <v>0</v>
      </c>
      <c r="F41969" s="1">
        <v>3.8600232218201099E-5</v>
      </c>
    </row>
    <row r="41970" spans="1:6" x14ac:dyDescent="0.25">
      <c r="A41970" s="2" t="str">
        <f t="shared" si="1317"/>
        <v>99999</v>
      </c>
      <c r="B41970" s="2" t="str">
        <f>"62553"</f>
        <v>62553</v>
      </c>
      <c r="C41970" s="1">
        <v>2.52109149510329E-5</v>
      </c>
      <c r="D41970" s="1">
        <v>7.5880133670443404E-6</v>
      </c>
      <c r="E41970" s="1">
        <v>0</v>
      </c>
      <c r="F41970" s="1">
        <v>2.3478491761586199E-5</v>
      </c>
    </row>
    <row r="41971" spans="1:6" x14ac:dyDescent="0.25">
      <c r="A41971" s="2" t="str">
        <f t="shared" si="1317"/>
        <v>99999</v>
      </c>
      <c r="B41971" s="2" t="str">
        <f>"62538"</f>
        <v>62538</v>
      </c>
      <c r="C41971" s="1">
        <v>1.4078822634992399E-5</v>
      </c>
      <c r="D41971" s="1">
        <v>7.5880133670443404E-6</v>
      </c>
      <c r="E41971" s="1">
        <v>0</v>
      </c>
      <c r="F41971" s="1">
        <v>1.3331008034121E-5</v>
      </c>
    </row>
    <row r="41972" spans="1:6" x14ac:dyDescent="0.25">
      <c r="A41972" s="2" t="str">
        <f t="shared" si="1317"/>
        <v>99999</v>
      </c>
      <c r="B41972" s="2" t="str">
        <f>"62533"</f>
        <v>62533</v>
      </c>
      <c r="C41972" s="1">
        <v>5.0858382541910597E-5</v>
      </c>
      <c r="D41972" s="1">
        <v>3.1869656141586203E-5</v>
      </c>
      <c r="E41972" s="1">
        <v>6.9528639281073799E-5</v>
      </c>
      <c r="F41972" s="1">
        <v>5.0041022695245203E-5</v>
      </c>
    </row>
    <row r="41973" spans="1:6" x14ac:dyDescent="0.25">
      <c r="A41973" s="2" t="str">
        <f t="shared" si="1317"/>
        <v>99999</v>
      </c>
      <c r="B41973" s="2" t="str">
        <f>"62624"</f>
        <v>62624</v>
      </c>
      <c r="C41973" s="1">
        <v>2.6847987350450699E-5</v>
      </c>
      <c r="D41973" s="1">
        <v>4.5528080202265997E-6</v>
      </c>
      <c r="E41973" s="1">
        <v>0</v>
      </c>
      <c r="F41973" s="1">
        <v>2.4771798511165099E-5</v>
      </c>
    </row>
    <row r="41974" spans="1:6" x14ac:dyDescent="0.25">
      <c r="A41974" s="2" t="str">
        <f t="shared" si="1317"/>
        <v>99999</v>
      </c>
      <c r="B41974" s="2" t="str">
        <f>"62410"</f>
        <v>62410</v>
      </c>
      <c r="C41974" s="1">
        <v>4.92213101424929E-5</v>
      </c>
      <c r="D41974" s="1">
        <v>3.1869656141586203E-5</v>
      </c>
      <c r="E41974" s="1">
        <v>1.7382159820268399E-5</v>
      </c>
      <c r="F41974" s="1">
        <v>4.7354924061504399E-5</v>
      </c>
    </row>
    <row r="41975" spans="1:6" x14ac:dyDescent="0.25">
      <c r="A41975" s="2" t="str">
        <f t="shared" si="1317"/>
        <v>99999</v>
      </c>
      <c r="B41975" s="2" t="str">
        <f>"62356"</f>
        <v>62356</v>
      </c>
      <c r="C41975" s="1">
        <v>3.2741447988354499E-5</v>
      </c>
      <c r="D41975" s="1">
        <v>7.5880133670443404E-6</v>
      </c>
      <c r="E41975" s="1">
        <v>1.3036619865201299E-5</v>
      </c>
      <c r="F41975" s="1">
        <v>3.0641421451561699E-5</v>
      </c>
    </row>
    <row r="41976" spans="1:6" x14ac:dyDescent="0.25">
      <c r="A41976" s="2" t="str">
        <f t="shared" si="1317"/>
        <v>99999</v>
      </c>
      <c r="B41976" s="2" t="str">
        <f>"62074"</f>
        <v>62074</v>
      </c>
      <c r="C41976" s="1">
        <v>9.8224343965063504E-7</v>
      </c>
      <c r="D41976" s="1">
        <v>0</v>
      </c>
      <c r="E41976" s="1">
        <v>0</v>
      </c>
      <c r="F41976" s="1">
        <v>8.9536621124693305E-7</v>
      </c>
    </row>
    <row r="41977" spans="1:6" x14ac:dyDescent="0.25">
      <c r="A41977" s="2" t="str">
        <f t="shared" si="1317"/>
        <v>99999</v>
      </c>
      <c r="B41977" s="2" t="str">
        <f>"62089"</f>
        <v>62089</v>
      </c>
      <c r="C41977" s="1">
        <v>2.7066263670372999E-5</v>
      </c>
      <c r="D41977" s="1">
        <v>0</v>
      </c>
      <c r="E41977" s="1">
        <v>4.3455399550671099E-6</v>
      </c>
      <c r="F41977" s="1">
        <v>2.4771798511165099E-5</v>
      </c>
    </row>
    <row r="41978" spans="1:6" x14ac:dyDescent="0.25">
      <c r="A41978" s="2" t="str">
        <f t="shared" si="1317"/>
        <v>99999</v>
      </c>
      <c r="B41978" s="2" t="str">
        <f>"62261"</f>
        <v>62261</v>
      </c>
      <c r="C41978" s="1">
        <v>9.8224343965063504E-6</v>
      </c>
      <c r="D41978" s="1">
        <v>3.0352053468177301E-6</v>
      </c>
      <c r="E41978" s="1">
        <v>1.3036619865201299E-5</v>
      </c>
      <c r="F41978" s="1">
        <v>9.4510877853842998E-6</v>
      </c>
    </row>
    <row r="41979" spans="1:6" x14ac:dyDescent="0.25">
      <c r="A41979" s="2" t="str">
        <f t="shared" si="1317"/>
        <v>99999</v>
      </c>
      <c r="B41979" s="2" t="str">
        <f>"62015"</f>
        <v>62015</v>
      </c>
      <c r="C41979" s="1">
        <v>2.72845399902954E-5</v>
      </c>
      <c r="D41979" s="1">
        <v>7.5880133670443404E-6</v>
      </c>
      <c r="E41979" s="1">
        <v>4.3455399550671099E-6</v>
      </c>
      <c r="F41979" s="1">
        <v>2.5468194453246102E-5</v>
      </c>
    </row>
    <row r="41980" spans="1:6" x14ac:dyDescent="0.25">
      <c r="A41980" s="2" t="str">
        <f t="shared" si="1317"/>
        <v>99999</v>
      </c>
      <c r="B41980" s="2" t="str">
        <f>"61775"</f>
        <v>61775</v>
      </c>
      <c r="C41980" s="1">
        <v>2.1827631992236301E-7</v>
      </c>
      <c r="D41980" s="1">
        <v>0</v>
      </c>
      <c r="E41980" s="1">
        <v>0</v>
      </c>
      <c r="F41980" s="1">
        <v>1.9897026916598501E-7</v>
      </c>
    </row>
    <row r="41981" spans="1:6" x14ac:dyDescent="0.25">
      <c r="A41981" s="2" t="str">
        <f t="shared" si="1317"/>
        <v>99999</v>
      </c>
      <c r="B41981" s="2" t="str">
        <f>"61773"</f>
        <v>61773</v>
      </c>
      <c r="C41981" s="1">
        <v>2.4337809671343498E-5</v>
      </c>
      <c r="D41981" s="1">
        <v>2.5799245447950699E-5</v>
      </c>
      <c r="E41981" s="1">
        <v>0</v>
      </c>
      <c r="F41981" s="1">
        <v>2.38764322999182E-5</v>
      </c>
    </row>
    <row r="41982" spans="1:6" x14ac:dyDescent="0.25">
      <c r="A41982" s="2" t="str">
        <f t="shared" si="1317"/>
        <v>99999</v>
      </c>
      <c r="B41982" s="2" t="str">
        <f>"61752"</f>
        <v>61752</v>
      </c>
      <c r="C41982" s="1">
        <v>1.0913815996118101E-6</v>
      </c>
      <c r="D41982" s="1">
        <v>0</v>
      </c>
      <c r="E41982" s="1">
        <v>0</v>
      </c>
      <c r="F41982" s="1">
        <v>9.9485134582992606E-7</v>
      </c>
    </row>
    <row r="41983" spans="1:6" x14ac:dyDescent="0.25">
      <c r="A41983" s="2" t="str">
        <f t="shared" si="1317"/>
        <v>99999</v>
      </c>
      <c r="B41983" s="2" t="str">
        <f>"61943"</f>
        <v>61943</v>
      </c>
      <c r="C41983" s="1">
        <v>1.06955396761958E-5</v>
      </c>
      <c r="D41983" s="1">
        <v>4.5528080202265997E-6</v>
      </c>
      <c r="E41983" s="1">
        <v>0</v>
      </c>
      <c r="F41983" s="1">
        <v>1.0047998592882199E-5</v>
      </c>
    </row>
    <row r="41984" spans="1:6" x14ac:dyDescent="0.25">
      <c r="A41984" s="2" t="str">
        <f t="shared" si="1317"/>
        <v>99999</v>
      </c>
      <c r="B41984" s="2" t="str">
        <f>"61937"</f>
        <v>61937</v>
      </c>
      <c r="C41984" s="1">
        <v>9.4186232046499795E-5</v>
      </c>
      <c r="D41984" s="1">
        <v>5.3116093569310399E-5</v>
      </c>
      <c r="E41984" s="1">
        <v>6.9528639281073799E-5</v>
      </c>
      <c r="F41984" s="1">
        <v>9.0929413008855194E-5</v>
      </c>
    </row>
    <row r="41985" spans="1:6" x14ac:dyDescent="0.25">
      <c r="A41985" s="2" t="str">
        <f t="shared" si="1317"/>
        <v>99999</v>
      </c>
      <c r="B41985" s="2" t="str">
        <f>"61851"</f>
        <v>61851</v>
      </c>
      <c r="C41985" s="1">
        <v>2.1827631992236301E-7</v>
      </c>
      <c r="D41985" s="1">
        <v>0</v>
      </c>
      <c r="E41985" s="1">
        <v>0</v>
      </c>
      <c r="F41985" s="1">
        <v>1.9897026916598501E-7</v>
      </c>
    </row>
    <row r="41986" spans="1:6" x14ac:dyDescent="0.25">
      <c r="A41986" s="2" t="str">
        <f t="shared" si="1317"/>
        <v>99999</v>
      </c>
      <c r="B41986" s="2" t="str">
        <f>"61925"</f>
        <v>61925</v>
      </c>
      <c r="C41986" s="1">
        <v>2.6629711030528301E-5</v>
      </c>
      <c r="D41986" s="1">
        <v>9.1056160404532095E-6</v>
      </c>
      <c r="E41986" s="1">
        <v>2.1727699775335501E-5</v>
      </c>
      <c r="F41986" s="1">
        <v>2.53687093186631E-5</v>
      </c>
    </row>
    <row r="41987" spans="1:6" x14ac:dyDescent="0.25">
      <c r="A41987" s="2" t="str">
        <f t="shared" si="1317"/>
        <v>99999</v>
      </c>
      <c r="B41987" s="2" t="str">
        <f>"61919"</f>
        <v>61919</v>
      </c>
      <c r="C41987" s="1">
        <v>4.2563882384860802E-5</v>
      </c>
      <c r="D41987" s="1">
        <v>2.7316848121359601E-5</v>
      </c>
      <c r="E41987" s="1">
        <v>8.69107991013423E-6</v>
      </c>
      <c r="F41987" s="1">
        <v>4.0788905179026897E-5</v>
      </c>
    </row>
    <row r="41988" spans="1:6" x14ac:dyDescent="0.25">
      <c r="A41988" s="2" t="str">
        <f t="shared" si="1317"/>
        <v>99999</v>
      </c>
      <c r="B41988" s="2" t="str">
        <f>"61727"</f>
        <v>61727</v>
      </c>
      <c r="C41988" s="1">
        <v>5.3030231925138202E-4</v>
      </c>
      <c r="D41988" s="1">
        <v>6.7078038164672003E-4</v>
      </c>
      <c r="E41988" s="1">
        <v>1.02120188944077E-3</v>
      </c>
      <c r="F41988" s="1">
        <v>5.5074970505144703E-4</v>
      </c>
    </row>
    <row r="41989" spans="1:6" x14ac:dyDescent="0.25">
      <c r="A41989" s="2" t="str">
        <f t="shared" si="1317"/>
        <v>99999</v>
      </c>
      <c r="B41989" s="2" t="str">
        <f>"61462"</f>
        <v>61462</v>
      </c>
      <c r="C41989" s="1">
        <v>6.1019145234296696E-4</v>
      </c>
      <c r="D41989" s="1">
        <v>1.0562514606925701E-3</v>
      </c>
      <c r="E41989" s="1">
        <v>9.2125447047422798E-4</v>
      </c>
      <c r="F41989" s="1">
        <v>6.4655388965486899E-4</v>
      </c>
    </row>
    <row r="41990" spans="1:6" x14ac:dyDescent="0.25">
      <c r="A41990" s="2" t="str">
        <f t="shared" si="1317"/>
        <v>99999</v>
      </c>
      <c r="B41990" s="2" t="str">
        <f>"61046"</f>
        <v>61046</v>
      </c>
      <c r="C41990" s="1">
        <v>2.1172803032469201E-4</v>
      </c>
      <c r="D41990" s="1">
        <v>1.69971499421793E-4</v>
      </c>
      <c r="E41990" s="1">
        <v>7.8219719191208097E-5</v>
      </c>
      <c r="F41990" s="1">
        <v>2.0593422858679401E-4</v>
      </c>
    </row>
    <row r="41991" spans="1:6" x14ac:dyDescent="0.25">
      <c r="A41991" s="2" t="str">
        <f t="shared" si="1317"/>
        <v>99999</v>
      </c>
      <c r="B41991" s="2" t="str">
        <f>"61014"</f>
        <v>61014</v>
      </c>
      <c r="C41991" s="1">
        <v>5.6424428699930902E-5</v>
      </c>
      <c r="D41991" s="1">
        <v>1.8211232080906399E-5</v>
      </c>
      <c r="E41991" s="1">
        <v>1.3036619865201299E-5</v>
      </c>
      <c r="F41991" s="1">
        <v>5.2926091598151997E-5</v>
      </c>
    </row>
    <row r="41992" spans="1:6" x14ac:dyDescent="0.25">
      <c r="A41992" s="2" t="str">
        <f t="shared" si="1317"/>
        <v>99999</v>
      </c>
      <c r="B41992" s="2" t="str">
        <f>"60928"</f>
        <v>60928</v>
      </c>
      <c r="C41992" s="1">
        <v>3.8634908626258302E-5</v>
      </c>
      <c r="D41992" s="1">
        <v>1.51760267340886E-6</v>
      </c>
      <c r="E41992" s="1">
        <v>9.1256339056409395E-5</v>
      </c>
      <c r="F41992" s="1">
        <v>3.7406410603205198E-5</v>
      </c>
    </row>
    <row r="41993" spans="1:6" x14ac:dyDescent="0.25">
      <c r="A41993" s="2" t="str">
        <f t="shared" si="1317"/>
        <v>99999</v>
      </c>
      <c r="B41993" s="2" t="str">
        <f>"60933"</f>
        <v>60933</v>
      </c>
      <c r="C41993" s="1">
        <v>9.3858817566616205E-6</v>
      </c>
      <c r="D41993" s="1">
        <v>6.0704106936354696E-6</v>
      </c>
      <c r="E41993" s="1">
        <v>0</v>
      </c>
      <c r="F41993" s="1">
        <v>8.9536621124693292E-6</v>
      </c>
    </row>
    <row r="41994" spans="1:6" x14ac:dyDescent="0.25">
      <c r="A41994" s="2" t="str">
        <f t="shared" si="1317"/>
        <v>99999</v>
      </c>
      <c r="B41994" s="2" t="str">
        <f>"18825"</f>
        <v>18825</v>
      </c>
      <c r="C41994" s="1">
        <v>8.4036383170109905E-6</v>
      </c>
      <c r="D41994" s="1">
        <v>4.5528080202265997E-6</v>
      </c>
      <c r="E41994" s="1">
        <v>0</v>
      </c>
      <c r="F41994" s="1">
        <v>7.9588107666394102E-6</v>
      </c>
    </row>
    <row r="41995" spans="1:6" x14ac:dyDescent="0.25">
      <c r="A41995" s="2" t="str">
        <f t="shared" si="1317"/>
        <v>99999</v>
      </c>
      <c r="B41995" s="2" t="str">
        <f>"18824"</f>
        <v>18824</v>
      </c>
      <c r="C41995" s="1">
        <v>6.4609790697019501E-5</v>
      </c>
      <c r="D41995" s="1">
        <v>1.8211232080906399E-5</v>
      </c>
      <c r="E41995" s="1">
        <v>2.60732397304027E-5</v>
      </c>
      <c r="F41995" s="1">
        <v>6.0685932095625502E-5</v>
      </c>
    </row>
    <row r="41996" spans="1:6" x14ac:dyDescent="0.25">
      <c r="A41996" s="2" t="str">
        <f t="shared" si="1317"/>
        <v>99999</v>
      </c>
      <c r="B41996" s="2" t="str">
        <f>"18821"</f>
        <v>18821</v>
      </c>
      <c r="C41996" s="1">
        <v>5.5551323420241499E-5</v>
      </c>
      <c r="D41996" s="1">
        <v>4.4010477528857203E-5</v>
      </c>
      <c r="E41996" s="1">
        <v>1.21675118741879E-4</v>
      </c>
      <c r="F41996" s="1">
        <v>5.6308586173973798E-5</v>
      </c>
    </row>
    <row r="41997" spans="1:6" x14ac:dyDescent="0.25">
      <c r="A41997" s="2" t="str">
        <f t="shared" si="1317"/>
        <v>99999</v>
      </c>
      <c r="B41997" s="2" t="str">
        <f>"18434"</f>
        <v>18434</v>
      </c>
      <c r="C41997" s="1">
        <v>0</v>
      </c>
      <c r="D41997" s="1">
        <v>1.51760267340886E-6</v>
      </c>
      <c r="E41997" s="1">
        <v>0</v>
      </c>
      <c r="F41997" s="1">
        <v>9.9485134582992598E-8</v>
      </c>
    </row>
    <row r="41998" spans="1:6" x14ac:dyDescent="0.25">
      <c r="A41998" s="2" t="str">
        <f t="shared" si="1317"/>
        <v>99999</v>
      </c>
      <c r="B41998" s="2" t="str">
        <f>"18437"</f>
        <v>18437</v>
      </c>
      <c r="C41998" s="1">
        <v>1.0804677836156901E-5</v>
      </c>
      <c r="D41998" s="1">
        <v>1.0623218713862E-5</v>
      </c>
      <c r="E41998" s="1">
        <v>0</v>
      </c>
      <c r="F41998" s="1">
        <v>1.05454242657972E-5</v>
      </c>
    </row>
    <row r="41999" spans="1:6" x14ac:dyDescent="0.25">
      <c r="A41999" s="2" t="str">
        <f t="shared" si="1317"/>
        <v>99999</v>
      </c>
      <c r="B41999" s="2" t="str">
        <f>"18428"</f>
        <v>18428</v>
      </c>
      <c r="C41999" s="1">
        <v>2.72081432783226E-4</v>
      </c>
      <c r="D41999" s="1">
        <v>3.1110854804881801E-4</v>
      </c>
      <c r="E41999" s="1">
        <v>3.9109859595603998E-4</v>
      </c>
      <c r="F41999" s="1">
        <v>2.7736455521738302E-4</v>
      </c>
    </row>
    <row r="42000" spans="1:6" x14ac:dyDescent="0.25">
      <c r="A42000" s="2" t="str">
        <f t="shared" si="1317"/>
        <v>99999</v>
      </c>
      <c r="B42000" s="2" t="str">
        <f>"18424"</f>
        <v>18424</v>
      </c>
      <c r="C42000" s="1">
        <v>1.3554959467178699E-4</v>
      </c>
      <c r="D42000" s="1">
        <v>4.4010477528857203E-5</v>
      </c>
      <c r="E42000" s="1">
        <v>8.69107991013423E-6</v>
      </c>
      <c r="F42000" s="1">
        <v>1.26644576324149E-4</v>
      </c>
    </row>
    <row r="42001" spans="1:6" x14ac:dyDescent="0.25">
      <c r="A42001" s="2" t="str">
        <f t="shared" si="1317"/>
        <v>99999</v>
      </c>
      <c r="B42001" s="2" t="str">
        <f>"18469"</f>
        <v>18469</v>
      </c>
      <c r="C42001" s="1">
        <v>2.6847987350450699E-5</v>
      </c>
      <c r="D42001" s="1">
        <v>1.8211232080906399E-5</v>
      </c>
      <c r="E42001" s="1">
        <v>8.69107991013423E-6</v>
      </c>
      <c r="F42001" s="1">
        <v>2.5866134991578001E-5</v>
      </c>
    </row>
    <row r="42002" spans="1:6" x14ac:dyDescent="0.25">
      <c r="A42002" s="2" t="str">
        <f t="shared" ref="A42002:A42065" si="1318">"99999"</f>
        <v>99999</v>
      </c>
      <c r="B42002" s="2" t="str">
        <f>"18462"</f>
        <v>18462</v>
      </c>
      <c r="C42002" s="1">
        <v>3.1213513748897903E-5</v>
      </c>
      <c r="D42002" s="1">
        <v>4.5528080202265997E-6</v>
      </c>
      <c r="E42002" s="1">
        <v>1.7382159820268399E-5</v>
      </c>
      <c r="F42002" s="1">
        <v>2.9149144432816799E-5</v>
      </c>
    </row>
    <row r="42003" spans="1:6" x14ac:dyDescent="0.25">
      <c r="A42003" s="2" t="str">
        <f t="shared" si="1318"/>
        <v>99999</v>
      </c>
      <c r="B42003" s="2" t="str">
        <f>"18466"</f>
        <v>18466</v>
      </c>
      <c r="C42003" s="1">
        <v>2.4010395191459898E-6</v>
      </c>
      <c r="D42003" s="1">
        <v>1.51760267340886E-6</v>
      </c>
      <c r="E42003" s="1">
        <v>0</v>
      </c>
      <c r="F42003" s="1">
        <v>2.2881580954088299E-6</v>
      </c>
    </row>
    <row r="42004" spans="1:6" x14ac:dyDescent="0.25">
      <c r="A42004" s="2" t="str">
        <f t="shared" si="1318"/>
        <v>99999</v>
      </c>
      <c r="B42004" s="2" t="str">
        <f>"18472"</f>
        <v>18472</v>
      </c>
      <c r="C42004" s="1">
        <v>2.1030923424519699E-4</v>
      </c>
      <c r="D42004" s="1">
        <v>1.30513829913162E-4</v>
      </c>
      <c r="E42004" s="1">
        <v>1.9554929797801999E-4</v>
      </c>
      <c r="F42004" s="1">
        <v>2.04740406971798E-4</v>
      </c>
    </row>
    <row r="42005" spans="1:6" x14ac:dyDescent="0.25">
      <c r="A42005" s="2" t="str">
        <f t="shared" si="1318"/>
        <v>99999</v>
      </c>
      <c r="B42005" s="2" t="str">
        <f>"18465"</f>
        <v>18465</v>
      </c>
      <c r="C42005" s="1">
        <v>9.3422264926771494E-5</v>
      </c>
      <c r="D42005" s="1">
        <v>1.66936294074975E-5</v>
      </c>
      <c r="E42005" s="1">
        <v>3.47643196405369E-5</v>
      </c>
      <c r="F42005" s="1">
        <v>8.7049492760118502E-5</v>
      </c>
    </row>
    <row r="42006" spans="1:6" x14ac:dyDescent="0.25">
      <c r="A42006" s="2" t="str">
        <f t="shared" si="1318"/>
        <v>99999</v>
      </c>
      <c r="B42006" s="2" t="str">
        <f>"18456"</f>
        <v>18456</v>
      </c>
      <c r="C42006" s="1">
        <v>1.9535730633051498E-5</v>
      </c>
      <c r="D42006" s="1">
        <v>1.21408213872709E-5</v>
      </c>
      <c r="E42006" s="1">
        <v>2.60732397304027E-5</v>
      </c>
      <c r="F42006" s="1">
        <v>1.92006309745175E-5</v>
      </c>
    </row>
    <row r="42007" spans="1:6" x14ac:dyDescent="0.25">
      <c r="A42007" s="2" t="str">
        <f t="shared" si="1318"/>
        <v>99999</v>
      </c>
      <c r="B42007" s="2" t="str">
        <f>"17727"</f>
        <v>17727</v>
      </c>
      <c r="C42007" s="1">
        <v>1.09138159961181E-7</v>
      </c>
      <c r="D42007" s="1">
        <v>0</v>
      </c>
      <c r="E42007" s="1">
        <v>0</v>
      </c>
      <c r="F42007" s="1">
        <v>9.9485134582992598E-8</v>
      </c>
    </row>
    <row r="42008" spans="1:6" x14ac:dyDescent="0.25">
      <c r="A42008" s="2" t="str">
        <f t="shared" si="1318"/>
        <v>99999</v>
      </c>
      <c r="B42008" s="2" t="str">
        <f>"17701"</f>
        <v>17701</v>
      </c>
      <c r="C42008" s="1">
        <v>4.3655263984472602E-7</v>
      </c>
      <c r="D42008" s="1">
        <v>0</v>
      </c>
      <c r="E42008" s="1">
        <v>0</v>
      </c>
      <c r="F42008" s="1">
        <v>3.9794053833197002E-7</v>
      </c>
    </row>
    <row r="42009" spans="1:6" x14ac:dyDescent="0.25">
      <c r="A42009" s="2" t="str">
        <f t="shared" si="1318"/>
        <v>99999</v>
      </c>
      <c r="B42009" s="2" t="str">
        <f>"17082"</f>
        <v>17082</v>
      </c>
      <c r="C42009" s="1">
        <v>1.4668168698782799E-4</v>
      </c>
      <c r="D42009" s="1">
        <v>4.8563285549083798E-5</v>
      </c>
      <c r="E42009" s="1">
        <v>1.7382159820268399E-5</v>
      </c>
      <c r="F42009" s="1">
        <v>1.37289485724529E-4</v>
      </c>
    </row>
    <row r="42010" spans="1:6" x14ac:dyDescent="0.25">
      <c r="A42010" s="2" t="str">
        <f t="shared" si="1318"/>
        <v>99999</v>
      </c>
      <c r="B42010" s="2" t="str">
        <f>"17062"</f>
        <v>17062</v>
      </c>
      <c r="C42010" s="1">
        <v>4.0271981025675999E-5</v>
      </c>
      <c r="D42010" s="1">
        <v>1.3658424060679801E-5</v>
      </c>
      <c r="E42010" s="1">
        <v>0</v>
      </c>
      <c r="F42010" s="1">
        <v>3.7605380872371202E-5</v>
      </c>
    </row>
    <row r="42011" spans="1:6" x14ac:dyDescent="0.25">
      <c r="A42011" s="2" t="str">
        <f t="shared" si="1318"/>
        <v>99999</v>
      </c>
      <c r="B42011" s="2" t="str">
        <f>"17243"</f>
        <v>17243</v>
      </c>
      <c r="C42011" s="1">
        <v>2.6193158390683598E-6</v>
      </c>
      <c r="D42011" s="1">
        <v>1.51760267340886E-6</v>
      </c>
      <c r="E42011" s="1">
        <v>0</v>
      </c>
      <c r="F42011" s="1">
        <v>2.48712836457481E-6</v>
      </c>
    </row>
    <row r="42012" spans="1:6" x14ac:dyDescent="0.25">
      <c r="A42012" s="2" t="str">
        <f t="shared" si="1318"/>
        <v>99999</v>
      </c>
      <c r="B42012" s="2" t="str">
        <f>"17236"</f>
        <v>17236</v>
      </c>
      <c r="C42012" s="1">
        <v>1.4842789754720701E-5</v>
      </c>
      <c r="D42012" s="1">
        <v>0</v>
      </c>
      <c r="E42012" s="1">
        <v>0</v>
      </c>
      <c r="F42012" s="1">
        <v>1.35299783032869E-5</v>
      </c>
    </row>
    <row r="42013" spans="1:6" x14ac:dyDescent="0.25">
      <c r="A42013" s="2" t="str">
        <f t="shared" si="1318"/>
        <v>99999</v>
      </c>
      <c r="B42013" s="2" t="str">
        <f>"17056"</f>
        <v>17056</v>
      </c>
      <c r="C42013" s="1">
        <v>4.3655263984472602E-7</v>
      </c>
      <c r="D42013" s="1">
        <v>1.51760267340886E-6</v>
      </c>
      <c r="E42013" s="1">
        <v>0</v>
      </c>
      <c r="F42013" s="1">
        <v>4.9742567291496303E-7</v>
      </c>
    </row>
    <row r="42014" spans="1:6" x14ac:dyDescent="0.25">
      <c r="A42014" s="2" t="str">
        <f t="shared" si="1318"/>
        <v>99999</v>
      </c>
      <c r="B42014" s="2" t="str">
        <f>"17045"</f>
        <v>17045</v>
      </c>
      <c r="C42014" s="1">
        <v>3.6124730947151102E-5</v>
      </c>
      <c r="D42014" s="1">
        <v>1.9728834754315301E-5</v>
      </c>
      <c r="E42014" s="1">
        <v>0</v>
      </c>
      <c r="F42014" s="1">
        <v>3.4222886296549402E-5</v>
      </c>
    </row>
    <row r="42015" spans="1:6" x14ac:dyDescent="0.25">
      <c r="A42015" s="2" t="str">
        <f t="shared" si="1318"/>
        <v>99999</v>
      </c>
      <c r="B42015" s="2" t="str">
        <f>"16743"</f>
        <v>16743</v>
      </c>
      <c r="C42015" s="1">
        <v>5.8934606379038102E-6</v>
      </c>
      <c r="D42015" s="1">
        <v>7.5880133670443404E-6</v>
      </c>
      <c r="E42015" s="1">
        <v>0</v>
      </c>
      <c r="F42015" s="1">
        <v>5.86962294039656E-6</v>
      </c>
    </row>
    <row r="42016" spans="1:6" x14ac:dyDescent="0.25">
      <c r="A42016" s="2" t="str">
        <f t="shared" si="1318"/>
        <v>99999</v>
      </c>
      <c r="B42016" s="2" t="str">
        <f>"16678"</f>
        <v>16678</v>
      </c>
      <c r="C42016" s="1">
        <v>1.2125249571687199E-4</v>
      </c>
      <c r="D42016" s="1">
        <v>1.48725061994069E-4</v>
      </c>
      <c r="E42016" s="1">
        <v>1.39057278562147E-4</v>
      </c>
      <c r="F42016" s="1">
        <v>1.2346105201749299E-4</v>
      </c>
    </row>
    <row r="42017" spans="1:6" x14ac:dyDescent="0.25">
      <c r="A42017" s="2" t="str">
        <f t="shared" si="1318"/>
        <v>99999</v>
      </c>
      <c r="B42017" s="2" t="str">
        <f>"16667"</f>
        <v>16667</v>
      </c>
      <c r="C42017" s="1">
        <v>7.0503251334923399E-5</v>
      </c>
      <c r="D42017" s="1">
        <v>2.1246437427724101E-5</v>
      </c>
      <c r="E42017" s="1">
        <v>3.47643196405369E-5</v>
      </c>
      <c r="F42017" s="1">
        <v>6.6456069901438996E-5</v>
      </c>
    </row>
    <row r="42018" spans="1:6" x14ac:dyDescent="0.25">
      <c r="A42018" s="2" t="str">
        <f t="shared" si="1318"/>
        <v>99999</v>
      </c>
      <c r="B42018" s="2" t="str">
        <f>"16664"</f>
        <v>16664</v>
      </c>
      <c r="C42018" s="1">
        <v>8.6437422689255897E-5</v>
      </c>
      <c r="D42018" s="1">
        <v>4.4010477528857203E-5</v>
      </c>
      <c r="E42018" s="1">
        <v>8.69107991013423E-6</v>
      </c>
      <c r="F42018" s="1">
        <v>8.1876265761802905E-5</v>
      </c>
    </row>
    <row r="42019" spans="1:6" x14ac:dyDescent="0.25">
      <c r="A42019" s="2" t="str">
        <f t="shared" si="1318"/>
        <v>99999</v>
      </c>
      <c r="B42019" s="2" t="str">
        <f>"16917"</f>
        <v>16917</v>
      </c>
      <c r="C42019" s="1">
        <v>6.9630146055233902E-5</v>
      </c>
      <c r="D42019" s="1">
        <v>4.2492874855448297E-5</v>
      </c>
      <c r="E42019" s="1">
        <v>8.69107991013423E-6</v>
      </c>
      <c r="F42019" s="1">
        <v>6.6456069901438996E-5</v>
      </c>
    </row>
    <row r="42020" spans="1:6" x14ac:dyDescent="0.25">
      <c r="A42020" s="2" t="str">
        <f t="shared" si="1318"/>
        <v>99999</v>
      </c>
      <c r="B42020" s="2" t="str">
        <f>"16912"</f>
        <v>16912</v>
      </c>
      <c r="C42020" s="1">
        <v>1.0870160732133699E-4</v>
      </c>
      <c r="D42020" s="1">
        <v>1.03196981791803E-4</v>
      </c>
      <c r="E42020" s="1">
        <v>1.6947605824761699E-4</v>
      </c>
      <c r="F42020" s="1">
        <v>1.0973210344503999E-4</v>
      </c>
    </row>
    <row r="42021" spans="1:6" x14ac:dyDescent="0.25">
      <c r="A42021" s="2" t="str">
        <f t="shared" si="1318"/>
        <v>99999</v>
      </c>
      <c r="B42021" s="2" t="str">
        <f>"16937"</f>
        <v>16937</v>
      </c>
      <c r="C42021" s="1">
        <v>8.7310527968945299E-6</v>
      </c>
      <c r="D42021" s="1">
        <v>1.51760267340886E-6</v>
      </c>
      <c r="E42021" s="1">
        <v>0</v>
      </c>
      <c r="F42021" s="1">
        <v>8.0582959012224002E-6</v>
      </c>
    </row>
    <row r="42022" spans="1:6" x14ac:dyDescent="0.25">
      <c r="A42022" s="2" t="str">
        <f t="shared" si="1318"/>
        <v>99999</v>
      </c>
      <c r="B42022" s="2" t="str">
        <f>"16948"</f>
        <v>16948</v>
      </c>
      <c r="C42022" s="1">
        <v>9.0584672767780801E-5</v>
      </c>
      <c r="D42022" s="1">
        <v>6.5256914956581297E-5</v>
      </c>
      <c r="E42022" s="1">
        <v>8.69107991013423E-5</v>
      </c>
      <c r="F42022" s="1">
        <v>8.8840225182612394E-5</v>
      </c>
    </row>
    <row r="42023" spans="1:6" x14ac:dyDescent="0.25">
      <c r="A42023" s="2" t="str">
        <f t="shared" si="1318"/>
        <v>99999</v>
      </c>
      <c r="B42023" s="2" t="str">
        <f>"16947"</f>
        <v>16947</v>
      </c>
      <c r="C42023" s="1">
        <v>1.2987441035380599E-5</v>
      </c>
      <c r="D42023" s="1">
        <v>0</v>
      </c>
      <c r="E42023" s="1">
        <v>0</v>
      </c>
      <c r="F42023" s="1">
        <v>1.18387310153761E-5</v>
      </c>
    </row>
    <row r="42024" spans="1:6" x14ac:dyDescent="0.25">
      <c r="A42024" s="2" t="str">
        <f t="shared" si="1318"/>
        <v>99999</v>
      </c>
      <c r="B42024" s="2" t="str">
        <f>"16633"</f>
        <v>16633</v>
      </c>
      <c r="C42024" s="1">
        <v>0</v>
      </c>
      <c r="D42024" s="1">
        <v>1.51760267340886E-6</v>
      </c>
      <c r="E42024" s="1">
        <v>0</v>
      </c>
      <c r="F42024" s="1">
        <v>9.9485134582992598E-8</v>
      </c>
    </row>
    <row r="42025" spans="1:6" x14ac:dyDescent="0.25">
      <c r="A42025" s="2" t="str">
        <f t="shared" si="1318"/>
        <v>99999</v>
      </c>
      <c r="B42025" s="2" t="str">
        <f>"16234"</f>
        <v>16234</v>
      </c>
      <c r="C42025" s="1">
        <v>0</v>
      </c>
      <c r="D42025" s="1">
        <v>0</v>
      </c>
      <c r="E42025" s="1">
        <v>4.3455399550671099E-6</v>
      </c>
      <c r="F42025" s="1">
        <v>9.9485134582992598E-8</v>
      </c>
    </row>
    <row r="42026" spans="1:6" x14ac:dyDescent="0.25">
      <c r="A42026" s="2" t="str">
        <f t="shared" si="1318"/>
        <v>99999</v>
      </c>
      <c r="B42026" s="2" t="str">
        <f>"16223"</f>
        <v>16223</v>
      </c>
      <c r="C42026" s="1">
        <v>0</v>
      </c>
      <c r="D42026" s="1">
        <v>0</v>
      </c>
      <c r="E42026" s="1">
        <v>8.69107991013423E-6</v>
      </c>
      <c r="F42026" s="1">
        <v>1.9897026916598501E-7</v>
      </c>
    </row>
    <row r="42027" spans="1:6" x14ac:dyDescent="0.25">
      <c r="A42027" s="2" t="str">
        <f t="shared" si="1318"/>
        <v>99999</v>
      </c>
      <c r="B42027" s="2" t="str">
        <f>"16235"</f>
        <v>16235</v>
      </c>
      <c r="C42027" s="1">
        <v>5.9480297178843999E-5</v>
      </c>
      <c r="D42027" s="1">
        <v>2.2764040101133E-5</v>
      </c>
      <c r="E42027" s="1">
        <v>4.3455399550671099E-6</v>
      </c>
      <c r="F42027" s="1">
        <v>5.5811160501058798E-5</v>
      </c>
    </row>
    <row r="42028" spans="1:6" x14ac:dyDescent="0.25">
      <c r="A42028" s="2" t="str">
        <f t="shared" si="1318"/>
        <v>99999</v>
      </c>
      <c r="B42028" s="2" t="str">
        <f>"16361"</f>
        <v>16361</v>
      </c>
      <c r="C42028" s="1">
        <v>0</v>
      </c>
      <c r="D42028" s="1">
        <v>0</v>
      </c>
      <c r="E42028" s="1">
        <v>4.3455399550671099E-6</v>
      </c>
      <c r="F42028" s="1">
        <v>9.9485134582992598E-8</v>
      </c>
    </row>
    <row r="42029" spans="1:6" x14ac:dyDescent="0.25">
      <c r="A42029" s="2" t="str">
        <f t="shared" si="1318"/>
        <v>99999</v>
      </c>
      <c r="B42029" s="2" t="str">
        <f>"15840"</f>
        <v>15840</v>
      </c>
      <c r="C42029" s="1">
        <v>7.3340843493914105E-5</v>
      </c>
      <c r="D42029" s="1">
        <v>3.4904861488403899E-5</v>
      </c>
      <c r="E42029" s="1">
        <v>9.1256339056409395E-5</v>
      </c>
      <c r="F42029" s="1">
        <v>7.1231356361422694E-5</v>
      </c>
    </row>
    <row r="42030" spans="1:6" x14ac:dyDescent="0.25">
      <c r="A42030" s="2" t="str">
        <f t="shared" si="1318"/>
        <v>99999</v>
      </c>
      <c r="B42030" s="2" t="str">
        <f>"15825"</f>
        <v>15825</v>
      </c>
      <c r="C42030" s="1">
        <v>5.0345433190093097E-4</v>
      </c>
      <c r="D42030" s="1">
        <v>8.5441030512919296E-4</v>
      </c>
      <c r="E42030" s="1">
        <v>1.1037671485870401E-3</v>
      </c>
      <c r="F42030" s="1">
        <v>5.4020428078565001E-4</v>
      </c>
    </row>
    <row r="42031" spans="1:6" x14ac:dyDescent="0.25">
      <c r="A42031" s="2" t="str">
        <f t="shared" si="1318"/>
        <v>99999</v>
      </c>
      <c r="B42031" s="2" t="str">
        <f>"15926"</f>
        <v>15926</v>
      </c>
      <c r="C42031" s="1">
        <v>1.3096579195341799E-6</v>
      </c>
      <c r="D42031" s="1">
        <v>0</v>
      </c>
      <c r="E42031" s="1">
        <v>0</v>
      </c>
      <c r="F42031" s="1">
        <v>1.19382161499591E-6</v>
      </c>
    </row>
    <row r="42032" spans="1:6" x14ac:dyDescent="0.25">
      <c r="A42032" s="2" t="str">
        <f t="shared" si="1318"/>
        <v>99999</v>
      </c>
      <c r="B42032" s="2" t="str">
        <f>"15539"</f>
        <v>15539</v>
      </c>
      <c r="C42032" s="1">
        <v>2.30281517518093E-5</v>
      </c>
      <c r="D42032" s="1">
        <v>1.3658424060679801E-5</v>
      </c>
      <c r="E42032" s="1">
        <v>0</v>
      </c>
      <c r="F42032" s="1">
        <v>2.1886729608258301E-5</v>
      </c>
    </row>
    <row r="42033" spans="1:6" x14ac:dyDescent="0.25">
      <c r="A42033" s="2" t="str">
        <f t="shared" si="1318"/>
        <v>99999</v>
      </c>
      <c r="B42033" s="2" t="str">
        <f>"15530"</f>
        <v>15530</v>
      </c>
      <c r="C42033" s="1">
        <v>5.4569079980590801E-7</v>
      </c>
      <c r="D42033" s="1">
        <v>0</v>
      </c>
      <c r="E42033" s="1">
        <v>0</v>
      </c>
      <c r="F42033" s="1">
        <v>4.9742567291496303E-7</v>
      </c>
    </row>
    <row r="42034" spans="1:6" x14ac:dyDescent="0.25">
      <c r="A42034" s="2" t="str">
        <f t="shared" si="1318"/>
        <v>99999</v>
      </c>
      <c r="B42034" s="2" t="str">
        <f>"15338"</f>
        <v>15338</v>
      </c>
      <c r="C42034" s="1">
        <v>6.8757040775544405E-5</v>
      </c>
      <c r="D42034" s="1">
        <v>4.0975272182039399E-5</v>
      </c>
      <c r="E42034" s="1">
        <v>3.47643196405369E-5</v>
      </c>
      <c r="F42034" s="1">
        <v>6.6157614497690102E-5</v>
      </c>
    </row>
    <row r="42035" spans="1:6" x14ac:dyDescent="0.25">
      <c r="A42035" s="2" t="str">
        <f t="shared" si="1318"/>
        <v>99999</v>
      </c>
      <c r="B42035" s="2" t="str">
        <f>"15327"</f>
        <v>15327</v>
      </c>
      <c r="C42035" s="1">
        <v>6.7774797335893794E-5</v>
      </c>
      <c r="D42035" s="1">
        <v>1.3658424060679801E-5</v>
      </c>
      <c r="E42035" s="1">
        <v>2.1727699775335501E-5</v>
      </c>
      <c r="F42035" s="1">
        <v>6.3173060460200295E-5</v>
      </c>
    </row>
    <row r="42036" spans="1:6" x14ac:dyDescent="0.25">
      <c r="A42036" s="2" t="str">
        <f t="shared" si="1318"/>
        <v>99999</v>
      </c>
      <c r="B42036" s="2" t="str">
        <f>"14897"</f>
        <v>14897</v>
      </c>
      <c r="C42036" s="1">
        <v>3.4815073027616897E-5</v>
      </c>
      <c r="D42036" s="1">
        <v>1.51760267340886E-6</v>
      </c>
      <c r="E42036" s="1">
        <v>1.3036619865201299E-5</v>
      </c>
      <c r="F42036" s="1">
        <v>3.2133698470306602E-5</v>
      </c>
    </row>
    <row r="42037" spans="1:6" x14ac:dyDescent="0.25">
      <c r="A42037" s="2" t="str">
        <f t="shared" si="1318"/>
        <v>99999</v>
      </c>
      <c r="B42037" s="2" t="str">
        <f>"14846"</f>
        <v>14846</v>
      </c>
      <c r="C42037" s="1">
        <v>8.4036383170109905E-6</v>
      </c>
      <c r="D42037" s="1">
        <v>0</v>
      </c>
      <c r="E42037" s="1">
        <v>0</v>
      </c>
      <c r="F42037" s="1">
        <v>7.6603553628904299E-6</v>
      </c>
    </row>
    <row r="42038" spans="1:6" x14ac:dyDescent="0.25">
      <c r="A42038" s="2" t="str">
        <f t="shared" si="1318"/>
        <v>99999</v>
      </c>
      <c r="B42038" s="2" t="str">
        <f>"14845"</f>
        <v>14845</v>
      </c>
      <c r="C42038" s="1">
        <v>4.3655263984472602E-7</v>
      </c>
      <c r="D42038" s="1">
        <v>0</v>
      </c>
      <c r="E42038" s="1">
        <v>0</v>
      </c>
      <c r="F42038" s="1">
        <v>3.9794053833197002E-7</v>
      </c>
    </row>
    <row r="42039" spans="1:6" x14ac:dyDescent="0.25">
      <c r="A42039" s="2" t="str">
        <f t="shared" si="1318"/>
        <v>99999</v>
      </c>
      <c r="B42039" s="2" t="str">
        <f>"14869"</f>
        <v>14869</v>
      </c>
      <c r="C42039" s="1">
        <v>5.6970119499736798E-5</v>
      </c>
      <c r="D42039" s="1">
        <v>3.6422464161812797E-5</v>
      </c>
      <c r="E42039" s="1">
        <v>2.60732397304027E-5</v>
      </c>
      <c r="F42039" s="1">
        <v>5.49157942898119E-5</v>
      </c>
    </row>
    <row r="42040" spans="1:6" x14ac:dyDescent="0.25">
      <c r="A42040" s="2" t="str">
        <f t="shared" si="1318"/>
        <v>99999</v>
      </c>
      <c r="B42040" s="2" t="str">
        <f>"14841"</f>
        <v>14841</v>
      </c>
      <c r="C42040" s="1">
        <v>4.27821587047832E-5</v>
      </c>
      <c r="D42040" s="1">
        <v>2.2764040101133E-5</v>
      </c>
      <c r="E42040" s="1">
        <v>4.3455399550671099E-6</v>
      </c>
      <c r="F42040" s="1">
        <v>4.05899349098609E-5</v>
      </c>
    </row>
    <row r="42041" spans="1:6" x14ac:dyDescent="0.25">
      <c r="A42041" s="2" t="str">
        <f t="shared" si="1318"/>
        <v>99999</v>
      </c>
      <c r="B42041" s="2" t="str">
        <f>"14708"</f>
        <v>14708</v>
      </c>
      <c r="C42041" s="1">
        <v>1.04772633562734E-5</v>
      </c>
      <c r="D42041" s="1">
        <v>0</v>
      </c>
      <c r="E42041" s="1">
        <v>4.3455399550671099E-6</v>
      </c>
      <c r="F42041" s="1">
        <v>9.6500580545502799E-6</v>
      </c>
    </row>
    <row r="42042" spans="1:6" x14ac:dyDescent="0.25">
      <c r="A42042" s="2" t="str">
        <f t="shared" si="1318"/>
        <v>99999</v>
      </c>
      <c r="B42042" s="2" t="str">
        <f>"14824"</f>
        <v>14824</v>
      </c>
      <c r="C42042" s="1">
        <v>2.3137289911770499E-5</v>
      </c>
      <c r="D42042" s="1">
        <v>1.66936294074975E-5</v>
      </c>
      <c r="E42042" s="1">
        <v>3.9109859595604001E-5</v>
      </c>
      <c r="F42042" s="1">
        <v>2.3080551223254198E-5</v>
      </c>
    </row>
    <row r="42043" spans="1:6" x14ac:dyDescent="0.25">
      <c r="A42043" s="2" t="str">
        <f t="shared" si="1318"/>
        <v>99999</v>
      </c>
      <c r="B42043" s="2" t="str">
        <f>"14774"</f>
        <v>14774</v>
      </c>
      <c r="C42043" s="1">
        <v>6.5482895976709E-6</v>
      </c>
      <c r="D42043" s="1">
        <v>0</v>
      </c>
      <c r="E42043" s="1">
        <v>4.3455399550671099E-6</v>
      </c>
      <c r="F42043" s="1">
        <v>6.0685932095625502E-6</v>
      </c>
    </row>
    <row r="42044" spans="1:6" x14ac:dyDescent="0.25">
      <c r="A42044" s="2" t="str">
        <f t="shared" si="1318"/>
        <v>99999</v>
      </c>
      <c r="B42044" s="2" t="str">
        <f>"14770"</f>
        <v>14770</v>
      </c>
      <c r="C42044" s="1">
        <v>3.6997836226840599E-5</v>
      </c>
      <c r="D42044" s="1">
        <v>0</v>
      </c>
      <c r="E42044" s="1">
        <v>1.3036619865201299E-5</v>
      </c>
      <c r="F42044" s="1">
        <v>3.4023916027383398E-5</v>
      </c>
    </row>
    <row r="42045" spans="1:6" x14ac:dyDescent="0.25">
      <c r="A42045" s="2" t="str">
        <f t="shared" si="1318"/>
        <v>99999</v>
      </c>
      <c r="B42045" s="2" t="str">
        <f>"14836"</f>
        <v>14836</v>
      </c>
      <c r="C42045" s="1">
        <v>1.4624513434798299E-5</v>
      </c>
      <c r="D42045" s="1">
        <v>1.51760267340886E-6</v>
      </c>
      <c r="E42045" s="1">
        <v>0</v>
      </c>
      <c r="F42045" s="1">
        <v>1.3430493168704E-5</v>
      </c>
    </row>
    <row r="42046" spans="1:6" x14ac:dyDescent="0.25">
      <c r="A42046" s="2" t="str">
        <f t="shared" si="1318"/>
        <v>99999</v>
      </c>
      <c r="B42046" s="2" t="str">
        <f>"14812"</f>
        <v>14812</v>
      </c>
      <c r="C42046" s="1">
        <v>7.8579475172050803E-5</v>
      </c>
      <c r="D42046" s="1">
        <v>3.6422464161812797E-5</v>
      </c>
      <c r="E42046" s="1">
        <v>3.0418779685469802E-5</v>
      </c>
      <c r="F42046" s="1">
        <v>7.4713336071827405E-5</v>
      </c>
    </row>
    <row r="42047" spans="1:6" x14ac:dyDescent="0.25">
      <c r="A42047" s="2" t="str">
        <f t="shared" si="1318"/>
        <v>99999</v>
      </c>
      <c r="B42047" s="2" t="str">
        <f>"14525"</f>
        <v>14525</v>
      </c>
      <c r="C42047" s="1">
        <v>3.7216112546762902E-5</v>
      </c>
      <c r="D42047" s="1">
        <v>2.1246437427724101E-5</v>
      </c>
      <c r="E42047" s="1">
        <v>2.1727699775335501E-5</v>
      </c>
      <c r="F42047" s="1">
        <v>3.5814648449877303E-5</v>
      </c>
    </row>
    <row r="42048" spans="1:6" x14ac:dyDescent="0.25">
      <c r="A42048" s="2" t="str">
        <f t="shared" si="1318"/>
        <v>99999</v>
      </c>
      <c r="B42048" s="2" t="str">
        <f>"14167"</f>
        <v>14167</v>
      </c>
      <c r="C42048" s="1">
        <v>7.6833264612671904E-5</v>
      </c>
      <c r="D42048" s="1">
        <v>6.6774517629990203E-5</v>
      </c>
      <c r="E42048" s="1">
        <v>7.3874179236140894E-5</v>
      </c>
      <c r="F42048" s="1">
        <v>7.6106127955989303E-5</v>
      </c>
    </row>
    <row r="42049" spans="1:6" x14ac:dyDescent="0.25">
      <c r="A42049" s="2" t="str">
        <f t="shared" si="1318"/>
        <v>99999</v>
      </c>
      <c r="B42049" s="2" t="str">
        <f>"14427"</f>
        <v>14427</v>
      </c>
      <c r="C42049" s="1">
        <v>1.04008666443006E-4</v>
      </c>
      <c r="D42049" s="1">
        <v>3.4904861488403899E-5</v>
      </c>
      <c r="E42049" s="1">
        <v>9.9947418966543598E-5</v>
      </c>
      <c r="F42049" s="1">
        <v>9.93856494484096E-5</v>
      </c>
    </row>
    <row r="42050" spans="1:6" x14ac:dyDescent="0.25">
      <c r="A42050" s="2" t="str">
        <f t="shared" si="1318"/>
        <v>99999</v>
      </c>
      <c r="B42050" s="2" t="str">
        <f>"14066"</f>
        <v>14066</v>
      </c>
      <c r="C42050" s="1">
        <v>4.4855783744045598E-5</v>
      </c>
      <c r="D42050" s="1">
        <v>2.5799245447950699E-5</v>
      </c>
      <c r="E42050" s="1">
        <v>3.0418779685469802E-5</v>
      </c>
      <c r="F42050" s="1">
        <v>4.3276033543601697E-5</v>
      </c>
    </row>
    <row r="42051" spans="1:6" x14ac:dyDescent="0.25">
      <c r="A42051" s="2" t="str">
        <f t="shared" si="1318"/>
        <v>99999</v>
      </c>
      <c r="B42051" s="2" t="str">
        <f>"13489"</f>
        <v>13489</v>
      </c>
      <c r="C42051" s="1">
        <v>1.87717635133232E-5</v>
      </c>
      <c r="D42051" s="1">
        <v>6.0704106936354696E-6</v>
      </c>
      <c r="E42051" s="1">
        <v>4.3455399550671099E-6</v>
      </c>
      <c r="F42051" s="1">
        <v>1.7608868821189599E-5</v>
      </c>
    </row>
    <row r="42052" spans="1:6" x14ac:dyDescent="0.25">
      <c r="A42052" s="2" t="str">
        <f t="shared" si="1318"/>
        <v>99999</v>
      </c>
      <c r="B42052" s="2" t="str">
        <f>"13780"</f>
        <v>13780</v>
      </c>
      <c r="C42052" s="1">
        <v>4.6274579823540998E-5</v>
      </c>
      <c r="D42052" s="1">
        <v>3.0352053468177301E-6</v>
      </c>
      <c r="E42052" s="1">
        <v>8.69107991013423E-6</v>
      </c>
      <c r="F42052" s="1">
        <v>4.2579637601520803E-5</v>
      </c>
    </row>
    <row r="42053" spans="1:6" x14ac:dyDescent="0.25">
      <c r="A42053" s="2" t="str">
        <f t="shared" si="1318"/>
        <v>99999</v>
      </c>
      <c r="B42053" s="2" t="str">
        <f>"13778"</f>
        <v>13778</v>
      </c>
      <c r="C42053" s="1">
        <v>2.8266783429945998E-4</v>
      </c>
      <c r="D42053" s="1">
        <v>2.2915800368473899E-4</v>
      </c>
      <c r="E42053" s="1">
        <v>4.56281695282047E-4</v>
      </c>
      <c r="F42053" s="1">
        <v>2.8313469302319698E-4</v>
      </c>
    </row>
    <row r="42054" spans="1:6" x14ac:dyDescent="0.25">
      <c r="A42054" s="2" t="str">
        <f t="shared" si="1318"/>
        <v>99999</v>
      </c>
      <c r="B42054" s="2" t="str">
        <f>"13801"</f>
        <v>13801</v>
      </c>
      <c r="C42054" s="1">
        <v>7.5960159332982393E-5</v>
      </c>
      <c r="D42054" s="1">
        <v>0</v>
      </c>
      <c r="E42054" s="1">
        <v>4.3455399550671099E-6</v>
      </c>
      <c r="F42054" s="1">
        <v>6.9341138804345797E-5</v>
      </c>
    </row>
    <row r="42055" spans="1:6" x14ac:dyDescent="0.25">
      <c r="A42055" s="2" t="str">
        <f t="shared" si="1318"/>
        <v>99999</v>
      </c>
      <c r="B42055" s="2" t="str">
        <f>"13842"</f>
        <v>13842</v>
      </c>
      <c r="C42055" s="1">
        <v>2.3246428071731702E-5</v>
      </c>
      <c r="D42055" s="1">
        <v>1.0623218713862E-5</v>
      </c>
      <c r="E42055" s="1">
        <v>1.3036619865201299E-5</v>
      </c>
      <c r="F42055" s="1">
        <v>2.21851850120073E-5</v>
      </c>
    </row>
    <row r="42056" spans="1:6" x14ac:dyDescent="0.25">
      <c r="A42056" s="2" t="str">
        <f t="shared" si="1318"/>
        <v>99999</v>
      </c>
      <c r="B42056" s="2" t="str">
        <f>"13838"</f>
        <v>13838</v>
      </c>
      <c r="C42056" s="1">
        <v>2.4305068223355101E-4</v>
      </c>
      <c r="D42056" s="1">
        <v>3.4753101221063099E-4</v>
      </c>
      <c r="E42056" s="1">
        <v>5.0408263478778504E-4</v>
      </c>
      <c r="F42056" s="1">
        <v>2.5587576614745703E-4</v>
      </c>
    </row>
    <row r="42057" spans="1:6" x14ac:dyDescent="0.25">
      <c r="A42057" s="2" t="str">
        <f t="shared" si="1318"/>
        <v>99999</v>
      </c>
      <c r="B42057" s="2" t="str">
        <f>"13460"</f>
        <v>13460</v>
      </c>
      <c r="C42057" s="1">
        <v>1.7985968761602701E-4</v>
      </c>
      <c r="D42057" s="1">
        <v>1.0623218713862E-4</v>
      </c>
      <c r="E42057" s="1">
        <v>1.5209389842734899E-4</v>
      </c>
      <c r="F42057" s="1">
        <v>1.7439744092398601E-4</v>
      </c>
    </row>
    <row r="42058" spans="1:6" x14ac:dyDescent="0.25">
      <c r="A42058" s="2" t="str">
        <f t="shared" si="1318"/>
        <v>99999</v>
      </c>
      <c r="B42058" s="2" t="str">
        <f>"13437"</f>
        <v>13437</v>
      </c>
      <c r="C42058" s="1">
        <v>5.2386316781367196E-6</v>
      </c>
      <c r="D42058" s="1">
        <v>0</v>
      </c>
      <c r="E42058" s="1">
        <v>0</v>
      </c>
      <c r="F42058" s="1">
        <v>4.7752864599836398E-6</v>
      </c>
    </row>
    <row r="42059" spans="1:6" x14ac:dyDescent="0.25">
      <c r="A42059" s="2" t="str">
        <f t="shared" si="1318"/>
        <v>99999</v>
      </c>
      <c r="B42059" s="2" t="str">
        <f>"13730"</f>
        <v>13730</v>
      </c>
      <c r="C42059" s="1">
        <v>1.36640976271399E-4</v>
      </c>
      <c r="D42059" s="1">
        <v>5.0080888222492601E-5</v>
      </c>
      <c r="E42059" s="1">
        <v>3.0418779685469802E-5</v>
      </c>
      <c r="F42059" s="1">
        <v>1.28534793881226E-4</v>
      </c>
    </row>
    <row r="42060" spans="1:6" x14ac:dyDescent="0.25">
      <c r="A42060" s="2" t="str">
        <f t="shared" si="1318"/>
        <v>99999</v>
      </c>
      <c r="B42060" s="2" t="str">
        <f>"13411"</f>
        <v>13411</v>
      </c>
      <c r="C42060" s="1">
        <v>6.7338244696049106E-5</v>
      </c>
      <c r="D42060" s="1">
        <v>2.7316848121359601E-5</v>
      </c>
      <c r="E42060" s="1">
        <v>4.3455399550671103E-5</v>
      </c>
      <c r="F42060" s="1">
        <v>6.4167911806030199E-5</v>
      </c>
    </row>
    <row r="42061" spans="1:6" x14ac:dyDescent="0.25">
      <c r="A42061" s="2" t="str">
        <f t="shared" si="1318"/>
        <v>99999</v>
      </c>
      <c r="B42061" s="2" t="str">
        <f>"13343"</f>
        <v>13343</v>
      </c>
      <c r="C42061" s="1">
        <v>8.8947600368363098E-5</v>
      </c>
      <c r="D42061" s="1">
        <v>2.1246437427724101E-5</v>
      </c>
      <c r="E42061" s="1">
        <v>3.9109859595604001E-5</v>
      </c>
      <c r="F42061" s="1">
        <v>8.3368542780547794E-5</v>
      </c>
    </row>
    <row r="42062" spans="1:6" x14ac:dyDescent="0.25">
      <c r="A42062" s="2" t="str">
        <f t="shared" si="1318"/>
        <v>99999</v>
      </c>
      <c r="B42062" s="2" t="str">
        <f>"13327"</f>
        <v>13327</v>
      </c>
      <c r="C42062" s="1">
        <v>8.0543962051352093E-5</v>
      </c>
      <c r="D42062" s="1">
        <v>2.88344507947685E-5</v>
      </c>
      <c r="E42062" s="1">
        <v>4.3455399550671103E-5</v>
      </c>
      <c r="F42062" s="1">
        <v>7.63050982251553E-5</v>
      </c>
    </row>
    <row r="42063" spans="1:6" x14ac:dyDescent="0.25">
      <c r="A42063" s="2" t="str">
        <f t="shared" si="1318"/>
        <v>99999</v>
      </c>
      <c r="B42063" s="2" t="str">
        <f>"13312"</f>
        <v>13312</v>
      </c>
      <c r="C42063" s="1">
        <v>2.3137289911770499E-5</v>
      </c>
      <c r="D42063" s="1">
        <v>0</v>
      </c>
      <c r="E42063" s="1">
        <v>4.3455399550671099E-6</v>
      </c>
      <c r="F42063" s="1">
        <v>2.1190333666177399E-5</v>
      </c>
    </row>
    <row r="42064" spans="1:6" x14ac:dyDescent="0.25">
      <c r="A42064" s="2" t="str">
        <f t="shared" si="1318"/>
        <v>99999</v>
      </c>
      <c r="B42064" s="2" t="str">
        <f>"12972"</f>
        <v>12972</v>
      </c>
      <c r="C42064" s="1">
        <v>1.4187960794953601E-6</v>
      </c>
      <c r="D42064" s="1">
        <v>0</v>
      </c>
      <c r="E42064" s="1">
        <v>0</v>
      </c>
      <c r="F42064" s="1">
        <v>1.2933067495789E-6</v>
      </c>
    </row>
    <row r="42065" spans="1:6" x14ac:dyDescent="0.25">
      <c r="A42065" s="2" t="str">
        <f t="shared" si="1318"/>
        <v>99999</v>
      </c>
      <c r="B42065" s="2" t="str">
        <f>"12996"</f>
        <v>12996</v>
      </c>
      <c r="C42065" s="1">
        <v>1.08155916521531E-4</v>
      </c>
      <c r="D42065" s="1">
        <v>3.6422464161812797E-5</v>
      </c>
      <c r="E42065" s="1">
        <v>5.21464794608054E-5</v>
      </c>
      <c r="F42065" s="1">
        <v>1.02171233216733E-4</v>
      </c>
    </row>
    <row r="42066" spans="1:6" x14ac:dyDescent="0.25">
      <c r="A42066" s="2" t="str">
        <f t="shared" ref="A42066:A42129" si="1319">"99999"</f>
        <v>99999</v>
      </c>
      <c r="B42066" s="2" t="str">
        <f>"12950"</f>
        <v>12950</v>
      </c>
      <c r="C42066" s="1">
        <v>2.3901257031498801E-5</v>
      </c>
      <c r="D42066" s="1">
        <v>1.5176026734088599E-5</v>
      </c>
      <c r="E42066" s="1">
        <v>2.1727699775335501E-5</v>
      </c>
      <c r="F42066" s="1">
        <v>2.3279521492420199E-5</v>
      </c>
    </row>
    <row r="42067" spans="1:6" x14ac:dyDescent="0.25">
      <c r="A42067" s="2" t="str">
        <f t="shared" si="1319"/>
        <v>99999</v>
      </c>
      <c r="B42067" s="2" t="str">
        <f>"12964"</f>
        <v>12964</v>
      </c>
      <c r="C42067" s="1">
        <v>6.8757040775544402E-6</v>
      </c>
      <c r="D42067" s="1">
        <v>0</v>
      </c>
      <c r="E42067" s="1">
        <v>4.3455399550671099E-6</v>
      </c>
      <c r="F42067" s="1">
        <v>6.3670486133115203E-6</v>
      </c>
    </row>
    <row r="42068" spans="1:6" x14ac:dyDescent="0.25">
      <c r="A42068" s="2" t="str">
        <f t="shared" si="1319"/>
        <v>99999</v>
      </c>
      <c r="B42068" s="2" t="str">
        <f>"12913"</f>
        <v>12913</v>
      </c>
      <c r="C42068" s="1">
        <v>3.71069743868017E-5</v>
      </c>
      <c r="D42068" s="1">
        <v>3.0352053468177301E-6</v>
      </c>
      <c r="E42068" s="1">
        <v>3.47643196405369E-5</v>
      </c>
      <c r="F42068" s="1">
        <v>3.48197971040474E-5</v>
      </c>
    </row>
    <row r="42069" spans="1:6" x14ac:dyDescent="0.25">
      <c r="A42069" s="2" t="str">
        <f t="shared" si="1319"/>
        <v>99999</v>
      </c>
      <c r="B42069" s="2" t="str">
        <f>"12870"</f>
        <v>12870</v>
      </c>
      <c r="C42069" s="1">
        <v>7.5414468533176497E-5</v>
      </c>
      <c r="D42069" s="1">
        <v>5.7668901589537E-5</v>
      </c>
      <c r="E42069" s="1">
        <v>3.9109859595604001E-5</v>
      </c>
      <c r="F42069" s="1">
        <v>7.3420029322248499E-5</v>
      </c>
    </row>
    <row r="42070" spans="1:6" x14ac:dyDescent="0.25">
      <c r="A42070" s="2" t="str">
        <f t="shared" si="1319"/>
        <v>99999</v>
      </c>
      <c r="B42070" s="2" t="str">
        <f>"12778"</f>
        <v>12778</v>
      </c>
      <c r="C42070" s="1">
        <v>2.07362503926245E-6</v>
      </c>
      <c r="D42070" s="1">
        <v>0</v>
      </c>
      <c r="E42070" s="1">
        <v>4.3455399550671099E-6</v>
      </c>
      <c r="F42070" s="1">
        <v>1.98970269165985E-6</v>
      </c>
    </row>
    <row r="42071" spans="1:6" x14ac:dyDescent="0.25">
      <c r="A42071" s="2" t="str">
        <f t="shared" si="1319"/>
        <v>99999</v>
      </c>
      <c r="B42071" s="2" t="str">
        <f>"12762"</f>
        <v>12762</v>
      </c>
      <c r="C42071" s="1">
        <v>8.0762238371274393E-6</v>
      </c>
      <c r="D42071" s="1">
        <v>1.3658424060679801E-5</v>
      </c>
      <c r="E42071" s="1">
        <v>2.60732397304027E-5</v>
      </c>
      <c r="F42071" s="1">
        <v>8.8541769778863392E-6</v>
      </c>
    </row>
    <row r="42072" spans="1:6" x14ac:dyDescent="0.25">
      <c r="A42072" s="2" t="str">
        <f t="shared" si="1319"/>
        <v>99999</v>
      </c>
      <c r="B42072" s="2" t="str">
        <f>"12786"</f>
        <v>12786</v>
      </c>
      <c r="C42072" s="1">
        <v>2.9139888709635502E-5</v>
      </c>
      <c r="D42072" s="1">
        <v>4.4010477528857203E-5</v>
      </c>
      <c r="E42072" s="1">
        <v>5.21464794608054E-5</v>
      </c>
      <c r="F42072" s="1">
        <v>3.0641421451561699E-5</v>
      </c>
    </row>
    <row r="42073" spans="1:6" x14ac:dyDescent="0.25">
      <c r="A42073" s="2" t="str">
        <f t="shared" si="1319"/>
        <v>99999</v>
      </c>
      <c r="B42073" s="2" t="str">
        <f>"12777"</f>
        <v>12777</v>
      </c>
      <c r="C42073" s="1">
        <v>4.7802514062997601E-5</v>
      </c>
      <c r="D42073" s="1">
        <v>2.1246437427724101E-5</v>
      </c>
      <c r="E42073" s="1">
        <v>4.3455399550671099E-6</v>
      </c>
      <c r="F42073" s="1">
        <v>4.5066765966095603E-5</v>
      </c>
    </row>
    <row r="42074" spans="1:6" x14ac:dyDescent="0.25">
      <c r="A42074" s="2" t="str">
        <f t="shared" si="1319"/>
        <v>99999</v>
      </c>
      <c r="B42074" s="2" t="str">
        <f>"12749"</f>
        <v>12749</v>
      </c>
      <c r="C42074" s="1">
        <v>7.63967119728272E-7</v>
      </c>
      <c r="D42074" s="1">
        <v>0</v>
      </c>
      <c r="E42074" s="1">
        <v>4.3455399550671099E-6</v>
      </c>
      <c r="F42074" s="1">
        <v>7.9588107666394099E-7</v>
      </c>
    </row>
    <row r="42075" spans="1:6" x14ac:dyDescent="0.25">
      <c r="A42075" s="2" t="str">
        <f t="shared" si="1319"/>
        <v>99999</v>
      </c>
      <c r="B42075" s="2" t="str">
        <f>"12745"</f>
        <v>12745</v>
      </c>
      <c r="C42075" s="1">
        <v>4.2563882384860804E-6</v>
      </c>
      <c r="D42075" s="1">
        <v>0</v>
      </c>
      <c r="E42075" s="1">
        <v>4.3455399550671099E-6</v>
      </c>
      <c r="F42075" s="1">
        <v>3.9794053833197E-6</v>
      </c>
    </row>
    <row r="42076" spans="1:6" x14ac:dyDescent="0.25">
      <c r="A42076" s="2" t="str">
        <f t="shared" si="1319"/>
        <v>99999</v>
      </c>
      <c r="B42076" s="2" t="str">
        <f>"12791"</f>
        <v>12791</v>
      </c>
      <c r="C42076" s="1">
        <v>7.8579475172050803E-6</v>
      </c>
      <c r="D42076" s="1">
        <v>9.1056160404532095E-6</v>
      </c>
      <c r="E42076" s="1">
        <v>8.69107991013423E-6</v>
      </c>
      <c r="F42076" s="1">
        <v>7.9588107666394102E-6</v>
      </c>
    </row>
    <row r="42077" spans="1:6" x14ac:dyDescent="0.25">
      <c r="A42077" s="2" t="str">
        <f t="shared" si="1319"/>
        <v>99999</v>
      </c>
      <c r="B42077" s="2" t="str">
        <f>"12725"</f>
        <v>12725</v>
      </c>
      <c r="C42077" s="1">
        <v>4.6929408783308102E-6</v>
      </c>
      <c r="D42077" s="1">
        <v>1.51760267340886E-6</v>
      </c>
      <c r="E42077" s="1">
        <v>4.3455399550671099E-6</v>
      </c>
      <c r="F42077" s="1">
        <v>4.4768310562346604E-6</v>
      </c>
    </row>
    <row r="42078" spans="1:6" x14ac:dyDescent="0.25">
      <c r="A42078" s="2" t="str">
        <f t="shared" si="1319"/>
        <v>99999</v>
      </c>
      <c r="B42078" s="2" t="str">
        <f>"12470"</f>
        <v>12470</v>
      </c>
      <c r="C42078" s="1">
        <v>3.7216112546762902E-5</v>
      </c>
      <c r="D42078" s="1">
        <v>3.0352053468177301E-6</v>
      </c>
      <c r="E42078" s="1">
        <v>8.69107991013423E-5</v>
      </c>
      <c r="F42078" s="1">
        <v>3.6113103853626299E-5</v>
      </c>
    </row>
    <row r="42079" spans="1:6" x14ac:dyDescent="0.25">
      <c r="A42079" s="2" t="str">
        <f t="shared" si="1319"/>
        <v>99999</v>
      </c>
      <c r="B42079" s="2" t="str">
        <f>"12143"</f>
        <v>12143</v>
      </c>
      <c r="C42079" s="1">
        <v>1.44062371148759E-5</v>
      </c>
      <c r="D42079" s="1">
        <v>6.0704106936354696E-6</v>
      </c>
      <c r="E42079" s="1">
        <v>8.69107991013423E-6</v>
      </c>
      <c r="F42079" s="1">
        <v>1.37289485724529E-5</v>
      </c>
    </row>
    <row r="42080" spans="1:6" x14ac:dyDescent="0.25">
      <c r="A42080" s="2" t="str">
        <f t="shared" si="1319"/>
        <v>99999</v>
      </c>
      <c r="B42080" s="2" t="str">
        <f>"12422"</f>
        <v>12422</v>
      </c>
      <c r="C42080" s="1">
        <v>1.8007796393594899E-5</v>
      </c>
      <c r="D42080" s="1">
        <v>1.21408213872709E-5</v>
      </c>
      <c r="E42080" s="1">
        <v>1.7382159820268399E-5</v>
      </c>
      <c r="F42080" s="1">
        <v>1.7608868821189599E-5</v>
      </c>
    </row>
    <row r="42081" spans="1:6" x14ac:dyDescent="0.25">
      <c r="A42081" s="2" t="str">
        <f t="shared" si="1319"/>
        <v>99999</v>
      </c>
      <c r="B42081" s="2" t="str">
        <f>"12042"</f>
        <v>12042</v>
      </c>
      <c r="C42081" s="1">
        <v>2.1281941192430401E-5</v>
      </c>
      <c r="D42081" s="1">
        <v>4.5528080202265997E-6</v>
      </c>
      <c r="E42081" s="1">
        <v>4.3455399550671099E-6</v>
      </c>
      <c r="F42081" s="1">
        <v>1.9797541782015501E-5</v>
      </c>
    </row>
    <row r="42082" spans="1:6" x14ac:dyDescent="0.25">
      <c r="A42082" s="2" t="str">
        <f t="shared" si="1319"/>
        <v>99999</v>
      </c>
      <c r="B42082" s="2" t="str">
        <f>"89404"</f>
        <v>89404</v>
      </c>
      <c r="C42082" s="1">
        <v>0</v>
      </c>
      <c r="D42082" s="1">
        <v>1.51760267340886E-6</v>
      </c>
      <c r="E42082" s="1">
        <v>4.3455399550671099E-6</v>
      </c>
      <c r="F42082" s="1">
        <v>1.9897026916598501E-7</v>
      </c>
    </row>
    <row r="42083" spans="1:6" x14ac:dyDescent="0.25">
      <c r="A42083" s="2" t="str">
        <f t="shared" si="1319"/>
        <v>99999</v>
      </c>
      <c r="B42083" s="2" t="str">
        <f>"88430"</f>
        <v>88430</v>
      </c>
      <c r="C42083" s="1">
        <v>6.8757040775544402E-6</v>
      </c>
      <c r="D42083" s="1">
        <v>0</v>
      </c>
      <c r="E42083" s="1">
        <v>4.3455399550671099E-6</v>
      </c>
      <c r="F42083" s="1">
        <v>6.3670486133115203E-6</v>
      </c>
    </row>
    <row r="42084" spans="1:6" x14ac:dyDescent="0.25">
      <c r="A42084" s="2" t="str">
        <f t="shared" si="1319"/>
        <v>99999</v>
      </c>
      <c r="B42084" s="2" t="str">
        <f>"88353"</f>
        <v>88353</v>
      </c>
      <c r="C42084" s="1">
        <v>0</v>
      </c>
      <c r="D42084" s="1">
        <v>1.51760267340886E-6</v>
      </c>
      <c r="E42084" s="1">
        <v>4.0848075577630798E-4</v>
      </c>
      <c r="F42084" s="1">
        <v>9.4510877853842998E-6</v>
      </c>
    </row>
    <row r="42085" spans="1:6" x14ac:dyDescent="0.25">
      <c r="A42085" s="2" t="str">
        <f t="shared" si="1319"/>
        <v>99999</v>
      </c>
      <c r="B42085" s="2" t="str">
        <f>"87930"</f>
        <v>87930</v>
      </c>
      <c r="C42085" s="1">
        <v>3.7106974386801701E-6</v>
      </c>
      <c r="D42085" s="1">
        <v>1.51760267340886E-6</v>
      </c>
      <c r="E42085" s="1">
        <v>4.3455399550671099E-6</v>
      </c>
      <c r="F42085" s="1">
        <v>3.5814648449877301E-6</v>
      </c>
    </row>
    <row r="42086" spans="1:6" x14ac:dyDescent="0.25">
      <c r="A42086" s="2" t="str">
        <f t="shared" si="1319"/>
        <v>99999</v>
      </c>
      <c r="B42086" s="2" t="str">
        <f>"87729"</f>
        <v>87729</v>
      </c>
      <c r="C42086" s="1">
        <v>1.03681251963122E-5</v>
      </c>
      <c r="D42086" s="1">
        <v>3.0352053468177301E-6</v>
      </c>
      <c r="E42086" s="1">
        <v>4.3455399550671099E-6</v>
      </c>
      <c r="F42086" s="1">
        <v>9.7495431891332699E-6</v>
      </c>
    </row>
    <row r="42087" spans="1:6" x14ac:dyDescent="0.25">
      <c r="A42087" s="2" t="str">
        <f t="shared" si="1319"/>
        <v>99999</v>
      </c>
      <c r="B42087" s="2" t="str">
        <f>"87714"</f>
        <v>87714</v>
      </c>
      <c r="C42087" s="1">
        <v>3.5033349347539302E-5</v>
      </c>
      <c r="D42087" s="1">
        <v>4.7045682875674899E-5</v>
      </c>
      <c r="E42087" s="1">
        <v>1.3036619865201299E-5</v>
      </c>
      <c r="F42087" s="1">
        <v>3.5317222776962297E-5</v>
      </c>
    </row>
    <row r="42088" spans="1:6" x14ac:dyDescent="0.25">
      <c r="A42088" s="2" t="str">
        <f t="shared" si="1319"/>
        <v>99999</v>
      </c>
      <c r="B42088" s="2" t="str">
        <f>"87901"</f>
        <v>87901</v>
      </c>
      <c r="C42088" s="1">
        <v>4.85992226307142E-4</v>
      </c>
      <c r="D42088" s="1">
        <v>6.9657962709467102E-4</v>
      </c>
      <c r="E42088" s="1">
        <v>1.02120188944077E-3</v>
      </c>
      <c r="F42088" s="1">
        <v>5.1204998769866297E-4</v>
      </c>
    </row>
    <row r="42089" spans="1:6" x14ac:dyDescent="0.25">
      <c r="A42089" s="2" t="str">
        <f t="shared" si="1319"/>
        <v>99999</v>
      </c>
      <c r="B42089" s="2" t="str">
        <f>"87829"</f>
        <v>87829</v>
      </c>
      <c r="C42089" s="1">
        <v>5.5223908940357899E-5</v>
      </c>
      <c r="D42089" s="1">
        <v>9.1056160404532095E-6</v>
      </c>
      <c r="E42089" s="1">
        <v>8.69107991013423E-6</v>
      </c>
      <c r="F42089" s="1">
        <v>5.11353591756582E-5</v>
      </c>
    </row>
    <row r="42090" spans="1:6" x14ac:dyDescent="0.25">
      <c r="A42090" s="2" t="str">
        <f t="shared" si="1319"/>
        <v>99999</v>
      </c>
      <c r="B42090" s="2" t="str">
        <f>"88119"</f>
        <v>88119</v>
      </c>
      <c r="C42090" s="1">
        <v>9.9315725564675297E-5</v>
      </c>
      <c r="D42090" s="1">
        <v>3.1869656141586203E-5</v>
      </c>
      <c r="E42090" s="1">
        <v>5.6492019415872502E-5</v>
      </c>
      <c r="F42090" s="1">
        <v>9.3913967046345E-5</v>
      </c>
    </row>
    <row r="42091" spans="1:6" x14ac:dyDescent="0.25">
      <c r="A42091" s="2" t="str">
        <f t="shared" si="1319"/>
        <v>99999</v>
      </c>
      <c r="B42091" s="2" t="str">
        <f>"86556"</f>
        <v>86556</v>
      </c>
      <c r="C42091" s="1">
        <v>0</v>
      </c>
      <c r="D42091" s="1">
        <v>0</v>
      </c>
      <c r="E42091" s="1">
        <v>4.3455399550671099E-6</v>
      </c>
      <c r="F42091" s="1">
        <v>9.9485134582992598E-8</v>
      </c>
    </row>
    <row r="42092" spans="1:6" x14ac:dyDescent="0.25">
      <c r="A42092" s="2" t="str">
        <f t="shared" si="1319"/>
        <v>99999</v>
      </c>
      <c r="B42092" s="2" t="str">
        <f>"86503"</f>
        <v>86503</v>
      </c>
      <c r="C42092" s="1">
        <v>1.09138159961181E-7</v>
      </c>
      <c r="D42092" s="1">
        <v>1.9728834754315301E-5</v>
      </c>
      <c r="E42092" s="1">
        <v>1.3036619865201299E-5</v>
      </c>
      <c r="F42092" s="1">
        <v>1.6912472879108699E-6</v>
      </c>
    </row>
    <row r="42093" spans="1:6" x14ac:dyDescent="0.25">
      <c r="A42093" s="2" t="str">
        <f t="shared" si="1319"/>
        <v>99999</v>
      </c>
      <c r="B42093" s="2" t="str">
        <f>"87028"</f>
        <v>87028</v>
      </c>
      <c r="C42093" s="1">
        <v>6.0025987978649897E-6</v>
      </c>
      <c r="D42093" s="1">
        <v>3.0352053468177301E-6</v>
      </c>
      <c r="E42093" s="1">
        <v>4.3455399550671099E-6</v>
      </c>
      <c r="F42093" s="1">
        <v>5.7701378058135699E-6</v>
      </c>
    </row>
    <row r="42094" spans="1:6" x14ac:dyDescent="0.25">
      <c r="A42094" s="2" t="str">
        <f t="shared" si="1319"/>
        <v>99999</v>
      </c>
      <c r="B42094" s="2" t="str">
        <f>"85932"</f>
        <v>85932</v>
      </c>
      <c r="C42094" s="1">
        <v>0</v>
      </c>
      <c r="D42094" s="1">
        <v>0</v>
      </c>
      <c r="E42094" s="1">
        <v>8.69107991013423E-6</v>
      </c>
      <c r="F42094" s="1">
        <v>1.9897026916598501E-7</v>
      </c>
    </row>
    <row r="42095" spans="1:6" x14ac:dyDescent="0.25">
      <c r="A42095" s="2" t="str">
        <f t="shared" si="1319"/>
        <v>99999</v>
      </c>
      <c r="B42095" s="2" t="str">
        <f>"85920"</f>
        <v>85920</v>
      </c>
      <c r="C42095" s="1">
        <v>5.4569079980590801E-7</v>
      </c>
      <c r="D42095" s="1">
        <v>1.51760267340886E-6</v>
      </c>
      <c r="E42095" s="1">
        <v>0</v>
      </c>
      <c r="F42095" s="1">
        <v>5.9691080749795498E-7</v>
      </c>
    </row>
    <row r="42096" spans="1:6" x14ac:dyDescent="0.25">
      <c r="A42096" s="2" t="str">
        <f t="shared" si="1319"/>
        <v>99999</v>
      </c>
      <c r="B42096" s="2" t="str">
        <f>"85940"</f>
        <v>85940</v>
      </c>
      <c r="C42096" s="1">
        <v>1.09138159961181E-7</v>
      </c>
      <c r="D42096" s="1">
        <v>0</v>
      </c>
      <c r="E42096" s="1">
        <v>4.3455399550671099E-6</v>
      </c>
      <c r="F42096" s="1">
        <v>1.9897026916598501E-7</v>
      </c>
    </row>
    <row r="42097" spans="1:6" x14ac:dyDescent="0.25">
      <c r="A42097" s="2" t="str">
        <f t="shared" si="1319"/>
        <v>99999</v>
      </c>
      <c r="B42097" s="2" t="str">
        <f>"85357"</f>
        <v>85357</v>
      </c>
      <c r="C42097" s="1">
        <v>0</v>
      </c>
      <c r="D42097" s="1">
        <v>0</v>
      </c>
      <c r="E42097" s="1">
        <v>4.3455399550671099E-6</v>
      </c>
      <c r="F42097" s="1">
        <v>9.9485134582992598E-8</v>
      </c>
    </row>
    <row r="42098" spans="1:6" x14ac:dyDescent="0.25">
      <c r="A42098" s="2" t="str">
        <f t="shared" si="1319"/>
        <v>99999</v>
      </c>
      <c r="B42098" s="2" t="str">
        <f>"85540"</f>
        <v>85540</v>
      </c>
      <c r="C42098" s="1">
        <v>1.34567351232137E-4</v>
      </c>
      <c r="D42098" s="1">
        <v>9.1056160404532095E-6</v>
      </c>
      <c r="E42098" s="1">
        <v>1.3036619865201299E-5</v>
      </c>
      <c r="F42098" s="1">
        <v>1.2356053715207601E-4</v>
      </c>
    </row>
    <row r="42099" spans="1:6" x14ac:dyDescent="0.25">
      <c r="A42099" s="2" t="str">
        <f t="shared" si="1319"/>
        <v>99999</v>
      </c>
      <c r="B42099" s="2" t="str">
        <f>"84731"</f>
        <v>84731</v>
      </c>
      <c r="C42099" s="1">
        <v>6.4391514377097196E-6</v>
      </c>
      <c r="D42099" s="1">
        <v>3.0352053468177301E-6</v>
      </c>
      <c r="E42099" s="1">
        <v>8.69107991013423E-6</v>
      </c>
      <c r="F42099" s="1">
        <v>6.2675634787285303E-6</v>
      </c>
    </row>
    <row r="42100" spans="1:6" x14ac:dyDescent="0.25">
      <c r="A42100" s="2" t="str">
        <f t="shared" si="1319"/>
        <v>99999</v>
      </c>
      <c r="B42100" s="2" t="str">
        <f>"84762"</f>
        <v>84762</v>
      </c>
      <c r="C42100" s="1">
        <v>4.27821587047832E-5</v>
      </c>
      <c r="D42100" s="1">
        <v>6.0704106936354696E-6</v>
      </c>
      <c r="E42100" s="1">
        <v>4.3455399550671099E-6</v>
      </c>
      <c r="F42100" s="1">
        <v>3.9495598429447998E-5</v>
      </c>
    </row>
    <row r="42101" spans="1:6" x14ac:dyDescent="0.25">
      <c r="A42101" s="2" t="str">
        <f t="shared" si="1319"/>
        <v>99999</v>
      </c>
      <c r="B42101" s="2" t="str">
        <f>"84744"</f>
        <v>84744</v>
      </c>
      <c r="C42101" s="1">
        <v>3.1650066388742699E-5</v>
      </c>
      <c r="D42101" s="1">
        <v>1.51760267340886E-6</v>
      </c>
      <c r="E42101" s="1">
        <v>4.3455399550671099E-6</v>
      </c>
      <c r="F42101" s="1">
        <v>2.9049659298233801E-5</v>
      </c>
    </row>
    <row r="42102" spans="1:6" x14ac:dyDescent="0.25">
      <c r="A42102" s="2" t="str">
        <f t="shared" si="1319"/>
        <v>99999</v>
      </c>
      <c r="B42102" s="2" t="str">
        <f>"84726"</f>
        <v>84726</v>
      </c>
      <c r="C42102" s="1">
        <v>8.0871376531235599E-5</v>
      </c>
      <c r="D42102" s="1">
        <v>0</v>
      </c>
      <c r="E42102" s="1">
        <v>4.3455399550671099E-6</v>
      </c>
      <c r="F42102" s="1">
        <v>7.3817969860580506E-5</v>
      </c>
    </row>
    <row r="42103" spans="1:6" x14ac:dyDescent="0.25">
      <c r="A42103" s="2" t="str">
        <f t="shared" si="1319"/>
        <v>99999</v>
      </c>
      <c r="B42103" s="2" t="str">
        <f>"84716"</f>
        <v>84716</v>
      </c>
      <c r="C42103" s="1">
        <v>5.4569079980590801E-7</v>
      </c>
      <c r="D42103" s="1">
        <v>0</v>
      </c>
      <c r="E42103" s="1">
        <v>4.3455399550671099E-6</v>
      </c>
      <c r="F42103" s="1">
        <v>5.9691080749795498E-7</v>
      </c>
    </row>
    <row r="42104" spans="1:6" x14ac:dyDescent="0.25">
      <c r="A42104" s="2" t="str">
        <f t="shared" si="1319"/>
        <v>99999</v>
      </c>
      <c r="B42104" s="2" t="str">
        <f>"84711"</f>
        <v>84711</v>
      </c>
      <c r="C42104" s="1">
        <v>4.1254224465326597E-5</v>
      </c>
      <c r="D42104" s="1">
        <v>0</v>
      </c>
      <c r="E42104" s="1">
        <v>4.3455399550671099E-6</v>
      </c>
      <c r="F42104" s="1">
        <v>3.7704866006954201E-5</v>
      </c>
    </row>
    <row r="42105" spans="1:6" x14ac:dyDescent="0.25">
      <c r="A42105" s="2" t="str">
        <f t="shared" si="1319"/>
        <v>99999</v>
      </c>
      <c r="B42105" s="2" t="str">
        <f>"84701"</f>
        <v>84701</v>
      </c>
      <c r="C42105" s="1">
        <v>3.9628065881904998E-4</v>
      </c>
      <c r="D42105" s="1">
        <v>1.0926739248543801E-3</v>
      </c>
      <c r="E42105" s="1">
        <v>1.0342385093059701E-3</v>
      </c>
      <c r="F42105" s="1">
        <v>4.5653728260135299E-4</v>
      </c>
    </row>
    <row r="42106" spans="1:6" x14ac:dyDescent="0.25">
      <c r="A42106" s="2" t="str">
        <f t="shared" si="1319"/>
        <v>99999</v>
      </c>
      <c r="B42106" s="2" t="str">
        <f>"84652"</f>
        <v>84652</v>
      </c>
      <c r="C42106" s="1">
        <v>4.3546125824511501E-5</v>
      </c>
      <c r="D42106" s="1">
        <v>1.51760267340886E-6</v>
      </c>
      <c r="E42106" s="1">
        <v>4.3455399550671099E-6</v>
      </c>
      <c r="F42106" s="1">
        <v>3.9893538967779998E-5</v>
      </c>
    </row>
    <row r="42107" spans="1:6" x14ac:dyDescent="0.25">
      <c r="A42107" s="2" t="str">
        <f t="shared" si="1319"/>
        <v>99999</v>
      </c>
      <c r="B42107" s="2" t="str">
        <f>"84621"</f>
        <v>84621</v>
      </c>
      <c r="C42107" s="1">
        <v>1.41879607949536E-5</v>
      </c>
      <c r="D42107" s="1">
        <v>0</v>
      </c>
      <c r="E42107" s="1">
        <v>4.3455399550671099E-6</v>
      </c>
      <c r="F42107" s="1">
        <v>1.3032552630372001E-5</v>
      </c>
    </row>
    <row r="42108" spans="1:6" x14ac:dyDescent="0.25">
      <c r="A42108" s="2" t="str">
        <f t="shared" si="1319"/>
        <v>99999</v>
      </c>
      <c r="B42108" s="2" t="str">
        <f>"84635"</f>
        <v>84635</v>
      </c>
      <c r="C42108" s="1">
        <v>1.5934171354332501E-5</v>
      </c>
      <c r="D42108" s="1">
        <v>3.0352053468177301E-6</v>
      </c>
      <c r="E42108" s="1">
        <v>2.1727699775335501E-5</v>
      </c>
      <c r="F42108" s="1">
        <v>1.52212255911978E-5</v>
      </c>
    </row>
    <row r="42109" spans="1:6" x14ac:dyDescent="0.25">
      <c r="A42109" s="2" t="str">
        <f t="shared" si="1319"/>
        <v>99999</v>
      </c>
      <c r="B42109" s="2" t="str">
        <f>"84631"</f>
        <v>84631</v>
      </c>
      <c r="C42109" s="1">
        <v>1.22234739156523E-4</v>
      </c>
      <c r="D42109" s="1">
        <v>2.1701718229746799E-4</v>
      </c>
      <c r="E42109" s="1">
        <v>2.8246009707936202E-4</v>
      </c>
      <c r="F42109" s="1">
        <v>1.32116258726214E-4</v>
      </c>
    </row>
    <row r="42110" spans="1:6" x14ac:dyDescent="0.25">
      <c r="A42110" s="2" t="str">
        <f t="shared" si="1319"/>
        <v>99999</v>
      </c>
      <c r="B42110" s="2" t="str">
        <f>"84533"</f>
        <v>84533</v>
      </c>
      <c r="C42110" s="1">
        <v>2.64114347106059E-5</v>
      </c>
      <c r="D42110" s="1">
        <v>1.66936294074975E-5</v>
      </c>
      <c r="E42110" s="1">
        <v>1.7382159820268399E-5</v>
      </c>
      <c r="F42110" s="1">
        <v>2.55676795878291E-5</v>
      </c>
    </row>
    <row r="42111" spans="1:6" x14ac:dyDescent="0.25">
      <c r="A42111" s="2" t="str">
        <f t="shared" si="1319"/>
        <v>99999</v>
      </c>
      <c r="B42111" s="2" t="str">
        <f>"84064"</f>
        <v>84064</v>
      </c>
      <c r="C42111" s="1">
        <v>2.9794717669402601E-5</v>
      </c>
      <c r="D42111" s="1">
        <v>4.5528080202265997E-6</v>
      </c>
      <c r="E42111" s="1">
        <v>3.9109859595604001E-5</v>
      </c>
      <c r="F42111" s="1">
        <v>2.8353263356152899E-5</v>
      </c>
    </row>
    <row r="42112" spans="1:6" x14ac:dyDescent="0.25">
      <c r="A42112" s="2" t="str">
        <f t="shared" si="1319"/>
        <v>99999</v>
      </c>
      <c r="B42112" s="2" t="str">
        <f>"84051"</f>
        <v>84051</v>
      </c>
      <c r="C42112" s="1">
        <v>1.3751408155108801E-5</v>
      </c>
      <c r="D42112" s="1">
        <v>1.51760267340886E-6</v>
      </c>
      <c r="E42112" s="1">
        <v>0</v>
      </c>
      <c r="F42112" s="1">
        <v>1.263461209204E-5</v>
      </c>
    </row>
    <row r="42113" spans="1:6" x14ac:dyDescent="0.25">
      <c r="A42113" s="2" t="str">
        <f t="shared" si="1319"/>
        <v>99999</v>
      </c>
      <c r="B42113" s="2" t="str">
        <f>"83876"</f>
        <v>83876</v>
      </c>
      <c r="C42113" s="1">
        <v>3.2741447988354498E-7</v>
      </c>
      <c r="D42113" s="1">
        <v>0</v>
      </c>
      <c r="E42113" s="1">
        <v>0</v>
      </c>
      <c r="F42113" s="1">
        <v>2.9845540374897701E-7</v>
      </c>
    </row>
    <row r="42114" spans="1:6" x14ac:dyDescent="0.25">
      <c r="A42114" s="2" t="str">
        <f t="shared" si="1319"/>
        <v>99999</v>
      </c>
      <c r="B42114" s="2" t="str">
        <f>"83847"</f>
        <v>83847</v>
      </c>
      <c r="C42114" s="1">
        <v>7.5741883013060097E-5</v>
      </c>
      <c r="D42114" s="1">
        <v>4.5528080202265997E-6</v>
      </c>
      <c r="E42114" s="1">
        <v>8.2565259146275205E-5</v>
      </c>
      <c r="F42114" s="1">
        <v>7.1231356361422694E-5</v>
      </c>
    </row>
    <row r="42115" spans="1:6" x14ac:dyDescent="0.25">
      <c r="A42115" s="2" t="str">
        <f t="shared" si="1319"/>
        <v>99999</v>
      </c>
      <c r="B42115" s="2" t="str">
        <f>"83839"</f>
        <v>83839</v>
      </c>
      <c r="C42115" s="1">
        <v>9.1457778047470203E-5</v>
      </c>
      <c r="D42115" s="1">
        <v>4.0975272182039399E-5</v>
      </c>
      <c r="E42115" s="1">
        <v>2.1727699775335501E-5</v>
      </c>
      <c r="F42115" s="1">
        <v>8.6552067087203503E-5</v>
      </c>
    </row>
    <row r="42116" spans="1:6" x14ac:dyDescent="0.25">
      <c r="A42116" s="2" t="str">
        <f t="shared" si="1319"/>
        <v>99999</v>
      </c>
      <c r="B42116" s="2" t="str">
        <f>"83465"</f>
        <v>83465</v>
      </c>
      <c r="C42116" s="1">
        <v>5.4569079980590801E-7</v>
      </c>
      <c r="D42116" s="1">
        <v>0</v>
      </c>
      <c r="E42116" s="1">
        <v>4.3455399550671099E-6</v>
      </c>
      <c r="F42116" s="1">
        <v>5.9691080749795498E-7</v>
      </c>
    </row>
    <row r="42117" spans="1:6" x14ac:dyDescent="0.25">
      <c r="A42117" s="2" t="str">
        <f t="shared" si="1319"/>
        <v>99999</v>
      </c>
      <c r="B42117" s="2" t="str">
        <f>"83464"</f>
        <v>83464</v>
      </c>
      <c r="C42117" s="1">
        <v>2.02996977527798E-5</v>
      </c>
      <c r="D42117" s="1">
        <v>6.0704106936354696E-6</v>
      </c>
      <c r="E42117" s="1">
        <v>2.1727699775335501E-5</v>
      </c>
      <c r="F42117" s="1">
        <v>1.9399601243683501E-5</v>
      </c>
    </row>
    <row r="42118" spans="1:6" x14ac:dyDescent="0.25">
      <c r="A42118" s="2" t="str">
        <f t="shared" si="1319"/>
        <v>99999</v>
      </c>
      <c r="B42118" s="2" t="str">
        <f>"83466"</f>
        <v>83466</v>
      </c>
      <c r="C42118" s="1">
        <v>1.7462105593788999E-5</v>
      </c>
      <c r="D42118" s="1">
        <v>4.5528080202265997E-6</v>
      </c>
      <c r="E42118" s="1">
        <v>4.3455399550671099E-6</v>
      </c>
      <c r="F42118" s="1">
        <v>1.6315562071610699E-5</v>
      </c>
    </row>
    <row r="42119" spans="1:6" x14ac:dyDescent="0.25">
      <c r="A42119" s="2" t="str">
        <f t="shared" si="1319"/>
        <v>99999</v>
      </c>
      <c r="B42119" s="2" t="str">
        <f>"83611"</f>
        <v>83611</v>
      </c>
      <c r="C42119" s="1">
        <v>3.11807723009096E-4</v>
      </c>
      <c r="D42119" s="1">
        <v>2.6861567319336899E-4</v>
      </c>
      <c r="E42119" s="1">
        <v>6.9528639281073799E-5</v>
      </c>
      <c r="F42119" s="1">
        <v>3.0342966047812702E-4</v>
      </c>
    </row>
    <row r="42120" spans="1:6" x14ac:dyDescent="0.25">
      <c r="A42120" s="2" t="str">
        <f t="shared" si="1319"/>
        <v>99999</v>
      </c>
      <c r="B42120" s="2" t="str">
        <f>"83338"</f>
        <v>83338</v>
      </c>
      <c r="C42120" s="1">
        <v>1.01498488763899E-5</v>
      </c>
      <c r="D42120" s="1">
        <v>7.5880133670443404E-6</v>
      </c>
      <c r="E42120" s="1">
        <v>0</v>
      </c>
      <c r="F42120" s="1">
        <v>9.7495431891332699E-6</v>
      </c>
    </row>
    <row r="42121" spans="1:6" x14ac:dyDescent="0.25">
      <c r="A42121" s="2" t="str">
        <f t="shared" si="1319"/>
        <v>99999</v>
      </c>
      <c r="B42121" s="2" t="str">
        <f>"83332"</f>
        <v>83332</v>
      </c>
      <c r="C42121" s="1">
        <v>9.6696409725606996E-5</v>
      </c>
      <c r="D42121" s="1">
        <v>4.5528080202266E-5</v>
      </c>
      <c r="E42121" s="1">
        <v>8.2565259146275205E-5</v>
      </c>
      <c r="F42121" s="1">
        <v>9.3018600835098101E-5</v>
      </c>
    </row>
    <row r="42122" spans="1:6" x14ac:dyDescent="0.25">
      <c r="A42122" s="2" t="str">
        <f t="shared" si="1319"/>
        <v>99999</v>
      </c>
      <c r="B42122" s="2" t="str">
        <f>"83520"</f>
        <v>83520</v>
      </c>
      <c r="C42122" s="1">
        <v>8.5127764769721692E-6</v>
      </c>
      <c r="D42122" s="1">
        <v>4.5528080202265997E-6</v>
      </c>
      <c r="E42122" s="1">
        <v>8.69107991013423E-5</v>
      </c>
      <c r="F42122" s="1">
        <v>1.0047998592882199E-5</v>
      </c>
    </row>
    <row r="42123" spans="1:6" x14ac:dyDescent="0.25">
      <c r="A42123" s="2" t="str">
        <f t="shared" si="1319"/>
        <v>99999</v>
      </c>
      <c r="B42123" s="2" t="str">
        <f>"83555"</f>
        <v>83555</v>
      </c>
      <c r="C42123" s="1">
        <v>7.6396711972827196E-6</v>
      </c>
      <c r="D42123" s="1">
        <v>1.51760267340886E-6</v>
      </c>
      <c r="E42123" s="1">
        <v>3.2156995667496598E-4</v>
      </c>
      <c r="F42123" s="1">
        <v>1.44253445145339E-5</v>
      </c>
    </row>
    <row r="42124" spans="1:6" x14ac:dyDescent="0.25">
      <c r="A42124" s="2" t="str">
        <f t="shared" si="1319"/>
        <v>99999</v>
      </c>
      <c r="B42124" s="2" t="str">
        <f>"83539"</f>
        <v>83539</v>
      </c>
      <c r="C42124" s="1">
        <v>8.13079291710803E-5</v>
      </c>
      <c r="D42124" s="1">
        <v>2.2764040101133E-5</v>
      </c>
      <c r="E42124" s="1">
        <v>1.3471173860707999E-4</v>
      </c>
      <c r="F42124" s="1">
        <v>7.8692741455147101E-5</v>
      </c>
    </row>
    <row r="42125" spans="1:6" x14ac:dyDescent="0.25">
      <c r="A42125" s="2" t="str">
        <f t="shared" si="1319"/>
        <v>99999</v>
      </c>
      <c r="B42125" s="2" t="str">
        <f>"83530"</f>
        <v>83530</v>
      </c>
      <c r="C42125" s="1">
        <v>2.9096233445650998E-4</v>
      </c>
      <c r="D42125" s="1">
        <v>4.4921039132902497E-4</v>
      </c>
      <c r="E42125" s="1">
        <v>4.0848075577630798E-4</v>
      </c>
      <c r="F42125" s="1">
        <v>3.0402657128562503E-4</v>
      </c>
    </row>
    <row r="42126" spans="1:6" x14ac:dyDescent="0.25">
      <c r="A42126" s="2" t="str">
        <f t="shared" si="1319"/>
        <v>99999</v>
      </c>
      <c r="B42126" s="2" t="str">
        <f>"83526"</f>
        <v>83526</v>
      </c>
      <c r="C42126" s="1">
        <v>2.9467303189519E-6</v>
      </c>
      <c r="D42126" s="1">
        <v>1.51760267340886E-6</v>
      </c>
      <c r="E42126" s="1">
        <v>2.7376901716922799E-4</v>
      </c>
      <c r="F42126" s="1">
        <v>9.0531472470523294E-6</v>
      </c>
    </row>
    <row r="42127" spans="1:6" x14ac:dyDescent="0.25">
      <c r="A42127" s="2" t="str">
        <f t="shared" si="1319"/>
        <v>99999</v>
      </c>
      <c r="B42127" s="2" t="str">
        <f>"83278"</f>
        <v>83278</v>
      </c>
      <c r="C42127" s="1">
        <v>1.17869212758076E-5</v>
      </c>
      <c r="D42127" s="1">
        <v>1.0623218713862E-5</v>
      </c>
      <c r="E42127" s="1">
        <v>4.3455399550671099E-6</v>
      </c>
      <c r="F42127" s="1">
        <v>1.1540275611627099E-5</v>
      </c>
    </row>
    <row r="42128" spans="1:6" x14ac:dyDescent="0.25">
      <c r="A42128" s="2" t="str">
        <f t="shared" si="1319"/>
        <v>99999</v>
      </c>
      <c r="B42128" s="2" t="str">
        <f>"83233"</f>
        <v>83233</v>
      </c>
      <c r="C42128" s="1">
        <v>6.0025987978649897E-6</v>
      </c>
      <c r="D42128" s="1">
        <v>0</v>
      </c>
      <c r="E42128" s="1">
        <v>4.3455399550671099E-6</v>
      </c>
      <c r="F42128" s="1">
        <v>5.5711675366475797E-6</v>
      </c>
    </row>
    <row r="42129" spans="1:6" x14ac:dyDescent="0.25">
      <c r="A42129" s="2" t="str">
        <f t="shared" si="1319"/>
        <v>99999</v>
      </c>
      <c r="B42129" s="2" t="str">
        <f>"83252"</f>
        <v>83252</v>
      </c>
      <c r="C42129" s="1">
        <v>2.0867216184577899E-4</v>
      </c>
      <c r="D42129" s="1">
        <v>2.7013327586677803E-4</v>
      </c>
      <c r="E42129" s="1">
        <v>1.56439438382416E-4</v>
      </c>
      <c r="F42129" s="1">
        <v>2.1150539612344201E-4</v>
      </c>
    </row>
    <row r="42130" spans="1:6" x14ac:dyDescent="0.25">
      <c r="A42130" s="2" t="str">
        <f t="shared" ref="A42130:A42193" si="1320">"99999"</f>
        <v>99999</v>
      </c>
      <c r="B42130" s="2" t="str">
        <f>"82229"</f>
        <v>82229</v>
      </c>
      <c r="C42130" s="1">
        <v>2.5101776791071799E-6</v>
      </c>
      <c r="D42130" s="1">
        <v>0</v>
      </c>
      <c r="E42130" s="1">
        <v>0</v>
      </c>
      <c r="F42130" s="1">
        <v>2.2881580954088299E-6</v>
      </c>
    </row>
    <row r="42131" spans="1:6" x14ac:dyDescent="0.25">
      <c r="A42131" s="2" t="str">
        <f t="shared" si="1320"/>
        <v>99999</v>
      </c>
      <c r="B42131" s="2" t="str">
        <f>"82083"</f>
        <v>82083</v>
      </c>
      <c r="C42131" s="1">
        <v>1.8007796393594899E-5</v>
      </c>
      <c r="D42131" s="1">
        <v>1.0623218713862E-5</v>
      </c>
      <c r="E42131" s="1">
        <v>4.7800939505738197E-5</v>
      </c>
      <c r="F42131" s="1">
        <v>1.82057796286876E-5</v>
      </c>
    </row>
    <row r="42132" spans="1:6" x14ac:dyDescent="0.25">
      <c r="A42132" s="2" t="str">
        <f t="shared" si="1320"/>
        <v>99999</v>
      </c>
      <c r="B42132" s="2" t="str">
        <f>"82227"</f>
        <v>82227</v>
      </c>
      <c r="C42132" s="1">
        <v>5.7843224779426299E-6</v>
      </c>
      <c r="D42132" s="1">
        <v>0</v>
      </c>
      <c r="E42132" s="1">
        <v>8.69107991013423E-6</v>
      </c>
      <c r="F42132" s="1">
        <v>5.4716824020645896E-6</v>
      </c>
    </row>
    <row r="42133" spans="1:6" x14ac:dyDescent="0.25">
      <c r="A42133" s="2" t="str">
        <f t="shared" si="1320"/>
        <v>99999</v>
      </c>
      <c r="B42133" s="2" t="str">
        <f>"82212"</f>
        <v>82212</v>
      </c>
      <c r="C42133" s="1">
        <v>1.87717635133232E-5</v>
      </c>
      <c r="D42133" s="1">
        <v>0</v>
      </c>
      <c r="E42133" s="1">
        <v>2.6942347721416101E-4</v>
      </c>
      <c r="F42133" s="1">
        <v>2.3279521492420199E-5</v>
      </c>
    </row>
    <row r="42134" spans="1:6" x14ac:dyDescent="0.25">
      <c r="A42134" s="2" t="str">
        <f t="shared" si="1320"/>
        <v>99999</v>
      </c>
      <c r="B42134" s="2" t="str">
        <f>"82225"</f>
        <v>82225</v>
      </c>
      <c r="C42134" s="1">
        <v>3.04495466291697E-5</v>
      </c>
      <c r="D42134" s="1">
        <v>6.0704106936354696E-6</v>
      </c>
      <c r="E42134" s="1">
        <v>5.21464794608054E-5</v>
      </c>
      <c r="F42134" s="1">
        <v>2.93481147019828E-5</v>
      </c>
    </row>
    <row r="42135" spans="1:6" x14ac:dyDescent="0.25">
      <c r="A42135" s="2" t="str">
        <f t="shared" si="1320"/>
        <v>99999</v>
      </c>
      <c r="B42135" s="2" t="str">
        <f>"83220"</f>
        <v>83220</v>
      </c>
      <c r="C42135" s="1">
        <v>6.1117369578261701E-6</v>
      </c>
      <c r="D42135" s="1">
        <v>0</v>
      </c>
      <c r="E42135" s="1">
        <v>4.3455399550671099E-6</v>
      </c>
      <c r="F42135" s="1">
        <v>5.6706526712305799E-6</v>
      </c>
    </row>
    <row r="42136" spans="1:6" x14ac:dyDescent="0.25">
      <c r="A42136" s="2" t="str">
        <f t="shared" si="1320"/>
        <v>99999</v>
      </c>
      <c r="B42136" s="2" t="str">
        <f>"83123"</f>
        <v>83123</v>
      </c>
      <c r="C42136" s="1">
        <v>5.4569079980590801E-7</v>
      </c>
      <c r="D42136" s="1">
        <v>0</v>
      </c>
      <c r="E42136" s="1">
        <v>4.3455399550671099E-6</v>
      </c>
      <c r="F42136" s="1">
        <v>5.9691080749795498E-7</v>
      </c>
    </row>
    <row r="42137" spans="1:6" x14ac:dyDescent="0.25">
      <c r="A42137" s="2" t="str">
        <f t="shared" si="1320"/>
        <v>99999</v>
      </c>
      <c r="B42137" s="2" t="str">
        <f>"83119"</f>
        <v>83119</v>
      </c>
      <c r="C42137" s="1">
        <v>0</v>
      </c>
      <c r="D42137" s="1">
        <v>0</v>
      </c>
      <c r="E42137" s="1">
        <v>4.3455399550671099E-6</v>
      </c>
      <c r="F42137" s="1">
        <v>9.9485134582992598E-8</v>
      </c>
    </row>
    <row r="42138" spans="1:6" x14ac:dyDescent="0.25">
      <c r="A42138" s="2" t="str">
        <f t="shared" si="1320"/>
        <v>99999</v>
      </c>
      <c r="B42138" s="2" t="str">
        <f>"83110"</f>
        <v>83110</v>
      </c>
      <c r="C42138" s="1">
        <v>8.2290172610731006E-5</v>
      </c>
      <c r="D42138" s="1">
        <v>1.01679379118394E-4</v>
      </c>
      <c r="E42138" s="1">
        <v>9.1256339056409395E-5</v>
      </c>
      <c r="F42138" s="1">
        <v>8.3766483318879802E-5</v>
      </c>
    </row>
    <row r="42139" spans="1:6" x14ac:dyDescent="0.25">
      <c r="A42139" s="2" t="str">
        <f t="shared" si="1320"/>
        <v>99999</v>
      </c>
      <c r="B42139" s="2" t="str">
        <f>"83101"</f>
        <v>83101</v>
      </c>
      <c r="C42139" s="1">
        <v>1.4559030538821601E-4</v>
      </c>
      <c r="D42139" s="1">
        <v>2.8530930260086697E-4</v>
      </c>
      <c r="E42139" s="1">
        <v>4.8670047496751699E-4</v>
      </c>
      <c r="F42139" s="1">
        <v>1.6255870990860899E-4</v>
      </c>
    </row>
    <row r="42140" spans="1:6" x14ac:dyDescent="0.25">
      <c r="A42140" s="2" t="str">
        <f t="shared" si="1320"/>
        <v>99999</v>
      </c>
      <c r="B42140" s="2" t="str">
        <f>"82922"</f>
        <v>82922</v>
      </c>
      <c r="C42140" s="1">
        <v>9.8224343965063504E-7</v>
      </c>
      <c r="D42140" s="1">
        <v>3.0352053468177301E-6</v>
      </c>
      <c r="E42140" s="1">
        <v>0</v>
      </c>
      <c r="F42140" s="1">
        <v>1.09433648041291E-6</v>
      </c>
    </row>
    <row r="42141" spans="1:6" x14ac:dyDescent="0.25">
      <c r="A42141" s="2" t="str">
        <f t="shared" si="1320"/>
        <v>99999</v>
      </c>
      <c r="B42141" s="2" t="str">
        <f>"82941"</f>
        <v>82941</v>
      </c>
      <c r="C42141" s="1">
        <v>2.35738425516152E-4</v>
      </c>
      <c r="D42141" s="1">
        <v>4.6893922608334001E-4</v>
      </c>
      <c r="E42141" s="1">
        <v>2.60732397304027E-5</v>
      </c>
      <c r="F42141" s="1">
        <v>2.4622570809290601E-4</v>
      </c>
    </row>
    <row r="42142" spans="1:6" x14ac:dyDescent="0.25">
      <c r="A42142" s="2" t="str">
        <f t="shared" si="1320"/>
        <v>99999</v>
      </c>
      <c r="B42142" s="2" t="str">
        <f>"81648"</f>
        <v>81648</v>
      </c>
      <c r="C42142" s="1">
        <v>1.6174275306247101E-4</v>
      </c>
      <c r="D42142" s="1">
        <v>2.7165087854018701E-4</v>
      </c>
      <c r="E42142" s="1">
        <v>1.7816713815775099E-4</v>
      </c>
      <c r="F42142" s="1">
        <v>1.6932369906025299E-4</v>
      </c>
    </row>
    <row r="42143" spans="1:6" x14ac:dyDescent="0.25">
      <c r="A42143" s="2" t="str">
        <f t="shared" si="1320"/>
        <v>99999</v>
      </c>
      <c r="B42143" s="2" t="str">
        <f>"82441"</f>
        <v>82441</v>
      </c>
      <c r="C42143" s="1">
        <v>8.5127764769721692E-6</v>
      </c>
      <c r="D42143" s="1">
        <v>4.5528080202265997E-6</v>
      </c>
      <c r="E42143" s="1">
        <v>4.3455399550671099E-6</v>
      </c>
      <c r="F42143" s="1">
        <v>8.1577810358053902E-6</v>
      </c>
    </row>
    <row r="42144" spans="1:6" x14ac:dyDescent="0.25">
      <c r="A42144" s="2" t="str">
        <f t="shared" si="1320"/>
        <v>99999</v>
      </c>
      <c r="B42144" s="2" t="str">
        <f>"82440"</f>
        <v>82440</v>
      </c>
      <c r="C42144" s="1">
        <v>5.8934606379038102E-6</v>
      </c>
      <c r="D42144" s="1">
        <v>0</v>
      </c>
      <c r="E42144" s="1">
        <v>1.3036619865201299E-5</v>
      </c>
      <c r="F42144" s="1">
        <v>5.6706526712305799E-6</v>
      </c>
    </row>
    <row r="42145" spans="1:6" x14ac:dyDescent="0.25">
      <c r="A42145" s="2" t="str">
        <f t="shared" si="1320"/>
        <v>99999</v>
      </c>
      <c r="B42145" s="2" t="str">
        <f>"82426"</f>
        <v>82426</v>
      </c>
      <c r="C42145" s="1">
        <v>1.4919186466693499E-4</v>
      </c>
      <c r="D42145" s="1">
        <v>2.6254526249973401E-4</v>
      </c>
      <c r="E42145" s="1">
        <v>2.1727699775335501E-4</v>
      </c>
      <c r="F42145" s="1">
        <v>1.58181363986958E-4</v>
      </c>
    </row>
    <row r="42146" spans="1:6" x14ac:dyDescent="0.25">
      <c r="A42146" s="2" t="str">
        <f t="shared" si="1320"/>
        <v>99999</v>
      </c>
      <c r="B42146" s="2" t="str">
        <f>"81081"</f>
        <v>81081</v>
      </c>
      <c r="C42146" s="1">
        <v>4.8020790382919898E-6</v>
      </c>
      <c r="D42146" s="1">
        <v>1.51760267340886E-6</v>
      </c>
      <c r="E42146" s="1">
        <v>4.3455399550671099E-6</v>
      </c>
      <c r="F42146" s="1">
        <v>4.5763161908176597E-6</v>
      </c>
    </row>
    <row r="42147" spans="1:6" x14ac:dyDescent="0.25">
      <c r="A42147" s="2" t="str">
        <f t="shared" si="1320"/>
        <v>99999</v>
      </c>
      <c r="B42147" s="2" t="str">
        <f>"81132"</f>
        <v>81132</v>
      </c>
      <c r="C42147" s="1">
        <v>1.9601213529028201E-4</v>
      </c>
      <c r="D42147" s="1">
        <v>1.82112320809064E-4</v>
      </c>
      <c r="E42147" s="1">
        <v>2.2596807766349001E-4</v>
      </c>
      <c r="F42147" s="1">
        <v>1.9578674485932901E-4</v>
      </c>
    </row>
    <row r="42148" spans="1:6" x14ac:dyDescent="0.25">
      <c r="A42148" s="2" t="str">
        <f t="shared" si="1320"/>
        <v>99999</v>
      </c>
      <c r="B42148" s="2" t="str">
        <f>"81125"</f>
        <v>81125</v>
      </c>
      <c r="C42148" s="1">
        <v>8.9602429328130203E-5</v>
      </c>
      <c r="D42148" s="1">
        <v>5.7668901589537E-5</v>
      </c>
      <c r="E42148" s="1">
        <v>1.7816713815775099E-4</v>
      </c>
      <c r="F42148" s="1">
        <v>8.9536621124693296E-5</v>
      </c>
    </row>
    <row r="42149" spans="1:6" x14ac:dyDescent="0.25">
      <c r="A42149" s="2" t="str">
        <f t="shared" si="1320"/>
        <v>99999</v>
      </c>
      <c r="B42149" s="2" t="str">
        <f>"81091"</f>
        <v>81091</v>
      </c>
      <c r="C42149" s="1">
        <v>6.0025987978649902E-5</v>
      </c>
      <c r="D42149" s="1">
        <v>6.0704106936354696E-6</v>
      </c>
      <c r="E42149" s="1">
        <v>3.9109859595604001E-5</v>
      </c>
      <c r="F42149" s="1">
        <v>5.6010130770224802E-5</v>
      </c>
    </row>
    <row r="42150" spans="1:6" x14ac:dyDescent="0.25">
      <c r="A42150" s="2" t="str">
        <f t="shared" si="1320"/>
        <v>99999</v>
      </c>
      <c r="B42150" s="2" t="str">
        <f>"81089"</f>
        <v>81089</v>
      </c>
      <c r="C42150" s="1">
        <v>2.8856129493736398E-4</v>
      </c>
      <c r="D42150" s="1">
        <v>4.4162237796198102E-4</v>
      </c>
      <c r="E42150" s="1">
        <v>4.30208455551644E-4</v>
      </c>
      <c r="F42150" s="1">
        <v>3.0183789832479899E-4</v>
      </c>
    </row>
    <row r="42151" spans="1:6" x14ac:dyDescent="0.25">
      <c r="A42151" s="2" t="str">
        <f t="shared" si="1320"/>
        <v>99999</v>
      </c>
      <c r="B42151" s="2" t="str">
        <f>"81076"</f>
        <v>81076</v>
      </c>
      <c r="C42151" s="1">
        <v>2.4774362311188199E-5</v>
      </c>
      <c r="D42151" s="1">
        <v>0</v>
      </c>
      <c r="E42151" s="1">
        <v>4.3455399550671099E-6</v>
      </c>
      <c r="F42151" s="1">
        <v>2.2682610684922299E-5</v>
      </c>
    </row>
    <row r="42152" spans="1:6" x14ac:dyDescent="0.25">
      <c r="A42152" s="2" t="str">
        <f t="shared" si="1320"/>
        <v>99999</v>
      </c>
      <c r="B42152" s="2" t="str">
        <f>"81043"</f>
        <v>81043</v>
      </c>
      <c r="C42152" s="1">
        <v>0</v>
      </c>
      <c r="D42152" s="1">
        <v>0</v>
      </c>
      <c r="E42152" s="1">
        <v>4.3455399550671099E-6</v>
      </c>
      <c r="F42152" s="1">
        <v>9.9485134582992598E-8</v>
      </c>
    </row>
    <row r="42153" spans="1:6" x14ac:dyDescent="0.25">
      <c r="A42153" s="2" t="str">
        <f t="shared" si="1320"/>
        <v>99999</v>
      </c>
      <c r="B42153" s="2" t="str">
        <f>"81021"</f>
        <v>81021</v>
      </c>
      <c r="C42153" s="1">
        <v>2.07362503926245E-6</v>
      </c>
      <c r="D42153" s="1">
        <v>1.51760267340886E-6</v>
      </c>
      <c r="E42153" s="1">
        <v>0</v>
      </c>
      <c r="F42153" s="1">
        <v>1.98970269165985E-6</v>
      </c>
    </row>
    <row r="42154" spans="1:6" x14ac:dyDescent="0.25">
      <c r="A42154" s="2" t="str">
        <f t="shared" si="1320"/>
        <v>99999</v>
      </c>
      <c r="B42154" s="2" t="str">
        <f>"81241"</f>
        <v>81241</v>
      </c>
      <c r="C42154" s="1">
        <v>0</v>
      </c>
      <c r="D42154" s="1">
        <v>0</v>
      </c>
      <c r="E42154" s="1">
        <v>4.3455399550671099E-6</v>
      </c>
      <c r="F42154" s="1">
        <v>9.9485134582992598E-8</v>
      </c>
    </row>
    <row r="42155" spans="1:6" x14ac:dyDescent="0.25">
      <c r="A42155" s="2" t="str">
        <f t="shared" si="1320"/>
        <v>99999</v>
      </c>
      <c r="B42155" s="2" t="str">
        <f>"81251"</f>
        <v>81251</v>
      </c>
      <c r="C42155" s="1">
        <v>2.24824609520034E-5</v>
      </c>
      <c r="D42155" s="1">
        <v>1.8211232080906399E-5</v>
      </c>
      <c r="E42155" s="1">
        <v>3.0418779685469802E-5</v>
      </c>
      <c r="F42155" s="1">
        <v>2.23841552811733E-5</v>
      </c>
    </row>
    <row r="42156" spans="1:6" x14ac:dyDescent="0.25">
      <c r="A42156" s="2" t="str">
        <f t="shared" si="1320"/>
        <v>99999</v>
      </c>
      <c r="B42156" s="2" t="str">
        <f>"81327"</f>
        <v>81327</v>
      </c>
      <c r="C42156" s="1">
        <v>2.8703336069790699E-5</v>
      </c>
      <c r="D42156" s="1">
        <v>0</v>
      </c>
      <c r="E42156" s="1">
        <v>2.60732397304027E-5</v>
      </c>
      <c r="F42156" s="1">
        <v>2.6761501202825001E-5</v>
      </c>
    </row>
    <row r="42157" spans="1:6" x14ac:dyDescent="0.25">
      <c r="A42157" s="2" t="str">
        <f t="shared" si="1320"/>
        <v>99999</v>
      </c>
      <c r="B42157" s="2" t="str">
        <f>"81419"</f>
        <v>81419</v>
      </c>
      <c r="C42157" s="1">
        <v>3.2544999300424302E-4</v>
      </c>
      <c r="D42157" s="1">
        <v>4.6438641806311398E-4</v>
      </c>
      <c r="E42157" s="1">
        <v>9.5601879011476503E-5</v>
      </c>
      <c r="F42157" s="1">
        <v>3.2929579546970498E-4</v>
      </c>
    </row>
    <row r="42158" spans="1:6" x14ac:dyDescent="0.25">
      <c r="A42158" s="2" t="str">
        <f t="shared" si="1320"/>
        <v>99999</v>
      </c>
      <c r="B42158" s="2" t="str">
        <f>"81418"</f>
        <v>81418</v>
      </c>
      <c r="C42158" s="1">
        <v>1.5170204234604199E-4</v>
      </c>
      <c r="D42158" s="1">
        <v>6.37393122831725E-5</v>
      </c>
      <c r="E42158" s="1">
        <v>8.69107991013423E-5</v>
      </c>
      <c r="F42158" s="1">
        <v>1.4445241541450501E-4</v>
      </c>
    </row>
    <row r="42159" spans="1:6" x14ac:dyDescent="0.25">
      <c r="A42159" s="2" t="str">
        <f t="shared" si="1320"/>
        <v>99999</v>
      </c>
      <c r="B42159" s="2" t="str">
        <f>"81148"</f>
        <v>81148</v>
      </c>
      <c r="C42159" s="1">
        <v>0</v>
      </c>
      <c r="D42159" s="1">
        <v>0</v>
      </c>
      <c r="E42159" s="1">
        <v>8.69107991013423E-6</v>
      </c>
      <c r="F42159" s="1">
        <v>1.9897026916598501E-7</v>
      </c>
    </row>
    <row r="42160" spans="1:6" x14ac:dyDescent="0.25">
      <c r="A42160" s="2" t="str">
        <f t="shared" si="1320"/>
        <v>99999</v>
      </c>
      <c r="B42160" s="2" t="str">
        <f>"80746"</f>
        <v>80746</v>
      </c>
      <c r="C42160" s="1">
        <v>3.1650066388742701E-6</v>
      </c>
      <c r="D42160" s="1">
        <v>9.1056160404532095E-6</v>
      </c>
      <c r="E42160" s="1">
        <v>0</v>
      </c>
      <c r="F42160" s="1">
        <v>3.48197971040474E-6</v>
      </c>
    </row>
    <row r="42161" spans="1:6" x14ac:dyDescent="0.25">
      <c r="A42161" s="2" t="str">
        <f t="shared" si="1320"/>
        <v>99999</v>
      </c>
      <c r="B42161" s="2" t="str">
        <f>"80735"</f>
        <v>80735</v>
      </c>
      <c r="C42161" s="1">
        <v>1.87717635133232E-5</v>
      </c>
      <c r="D42161" s="1">
        <v>2.7316848121359601E-5</v>
      </c>
      <c r="E42161" s="1">
        <v>5.6492019415872502E-5</v>
      </c>
      <c r="F42161" s="1">
        <v>2.0195482320347499E-5</v>
      </c>
    </row>
    <row r="42162" spans="1:6" x14ac:dyDescent="0.25">
      <c r="A42162" s="2" t="str">
        <f t="shared" si="1320"/>
        <v>99999</v>
      </c>
      <c r="B42162" s="2" t="str">
        <f>"80740"</f>
        <v>80740</v>
      </c>
      <c r="C42162" s="1">
        <v>5.7843224779426299E-6</v>
      </c>
      <c r="D42162" s="1">
        <v>0</v>
      </c>
      <c r="E42162" s="1">
        <v>4.3455399550671099E-6</v>
      </c>
      <c r="F42162" s="1">
        <v>5.3721972674816004E-6</v>
      </c>
    </row>
    <row r="42163" spans="1:6" x14ac:dyDescent="0.25">
      <c r="A42163" s="2" t="str">
        <f t="shared" si="1320"/>
        <v>99999</v>
      </c>
      <c r="B42163" s="2" t="str">
        <f>"80826"</f>
        <v>80826</v>
      </c>
      <c r="C42163" s="1">
        <v>0</v>
      </c>
      <c r="D42163" s="1">
        <v>1.51760267340886E-6</v>
      </c>
      <c r="E42163" s="1">
        <v>0</v>
      </c>
      <c r="F42163" s="1">
        <v>9.9485134582992598E-8</v>
      </c>
    </row>
    <row r="42164" spans="1:6" x14ac:dyDescent="0.25">
      <c r="A42164" s="2" t="str">
        <f t="shared" si="1320"/>
        <v>99999</v>
      </c>
      <c r="B42164" s="2" t="str">
        <f>"80815"</f>
        <v>80815</v>
      </c>
      <c r="C42164" s="1">
        <v>4.7911652222958702E-5</v>
      </c>
      <c r="D42164" s="1">
        <v>1.5176026734088599E-5</v>
      </c>
      <c r="E42164" s="1">
        <v>4.7800939505738197E-5</v>
      </c>
      <c r="F42164" s="1">
        <v>4.5763161908176599E-5</v>
      </c>
    </row>
    <row r="42165" spans="1:6" x14ac:dyDescent="0.25">
      <c r="A42165" s="2" t="str">
        <f t="shared" si="1320"/>
        <v>99999</v>
      </c>
      <c r="B42165" s="2" t="str">
        <f>"80482"</f>
        <v>80482</v>
      </c>
      <c r="C42165" s="1">
        <v>0</v>
      </c>
      <c r="D42165" s="1">
        <v>3.0352053468177301E-6</v>
      </c>
      <c r="E42165" s="1">
        <v>4.3455399550671099E-6</v>
      </c>
      <c r="F42165" s="1">
        <v>2.9845540374897701E-7</v>
      </c>
    </row>
    <row r="42166" spans="1:6" x14ac:dyDescent="0.25">
      <c r="A42166" s="2" t="str">
        <f t="shared" si="1320"/>
        <v>99999</v>
      </c>
      <c r="B42166" s="2" t="str">
        <f>"80468"</f>
        <v>80468</v>
      </c>
      <c r="C42166" s="1">
        <v>8.2945001570498102E-6</v>
      </c>
      <c r="D42166" s="1">
        <v>1.8211232080906399E-5</v>
      </c>
      <c r="E42166" s="1">
        <v>2.60732397304027E-5</v>
      </c>
      <c r="F42166" s="1">
        <v>9.3516026508012996E-6</v>
      </c>
    </row>
    <row r="42167" spans="1:6" x14ac:dyDescent="0.25">
      <c r="A42167" s="2" t="str">
        <f t="shared" si="1320"/>
        <v>99999</v>
      </c>
      <c r="B42167" s="2" t="str">
        <f>"80480"</f>
        <v>80480</v>
      </c>
      <c r="C42167" s="1">
        <v>5.14040733417165E-5</v>
      </c>
      <c r="D42167" s="1">
        <v>1.0623218713862E-5</v>
      </c>
      <c r="E42167" s="1">
        <v>9.5601879011476503E-5</v>
      </c>
      <c r="F42167" s="1">
        <v>4.9742567291496302E-5</v>
      </c>
    </row>
    <row r="42168" spans="1:6" x14ac:dyDescent="0.25">
      <c r="A42168" s="2" t="str">
        <f t="shared" si="1320"/>
        <v>99999</v>
      </c>
      <c r="B42168" s="2" t="str">
        <f>"80461"</f>
        <v>80461</v>
      </c>
      <c r="C42168" s="1">
        <v>4.08831547214586E-4</v>
      </c>
      <c r="D42168" s="1">
        <v>4.1582313251402997E-4</v>
      </c>
      <c r="E42168" s="1">
        <v>8.6041691110328897E-4</v>
      </c>
      <c r="F42168" s="1">
        <v>4.1962829767106202E-4</v>
      </c>
    </row>
    <row r="42169" spans="1:6" x14ac:dyDescent="0.25">
      <c r="A42169" s="2" t="str">
        <f t="shared" si="1320"/>
        <v>99999</v>
      </c>
      <c r="B42169" s="2" t="str">
        <f>"79766"</f>
        <v>79766</v>
      </c>
      <c r="C42169" s="1">
        <v>7.5305330373215401E-6</v>
      </c>
      <c r="D42169" s="1">
        <v>1.51760267340886E-6</v>
      </c>
      <c r="E42169" s="1">
        <v>8.69107991013423E-6</v>
      </c>
      <c r="F42169" s="1">
        <v>7.1629296899754602E-6</v>
      </c>
    </row>
    <row r="42170" spans="1:6" x14ac:dyDescent="0.25">
      <c r="A42170" s="2" t="str">
        <f t="shared" si="1320"/>
        <v>99999</v>
      </c>
      <c r="B42170" s="2" t="str">
        <f>"79719"</f>
        <v>79719</v>
      </c>
      <c r="C42170" s="1">
        <v>1.09138159961181E-7</v>
      </c>
      <c r="D42170" s="1">
        <v>4.5528080202265997E-6</v>
      </c>
      <c r="E42170" s="1">
        <v>0</v>
      </c>
      <c r="F42170" s="1">
        <v>3.9794053833197002E-7</v>
      </c>
    </row>
    <row r="42171" spans="1:6" x14ac:dyDescent="0.25">
      <c r="A42171" s="2" t="str">
        <f t="shared" si="1320"/>
        <v>99999</v>
      </c>
      <c r="B42171" s="2" t="str">
        <f>"79852"</f>
        <v>79852</v>
      </c>
      <c r="C42171" s="1">
        <v>1.76803819137114E-5</v>
      </c>
      <c r="D42171" s="1">
        <v>2.5799245447950699E-5</v>
      </c>
      <c r="E42171" s="1">
        <v>8.69107991013423E-6</v>
      </c>
      <c r="F42171" s="1">
        <v>1.8006809359521599E-5</v>
      </c>
    </row>
    <row r="42172" spans="1:6" x14ac:dyDescent="0.25">
      <c r="A42172" s="2" t="str">
        <f t="shared" si="1320"/>
        <v>99999</v>
      </c>
      <c r="B42172" s="2" t="str">
        <f>"79325"</f>
        <v>79325</v>
      </c>
      <c r="C42172" s="1">
        <v>8.55643174095664E-5</v>
      </c>
      <c r="D42172" s="1">
        <v>1.2596102189293599E-4</v>
      </c>
      <c r="E42172" s="1">
        <v>5.6492019415872502E-4</v>
      </c>
      <c r="F42172" s="1">
        <v>9.9186679179243603E-5</v>
      </c>
    </row>
    <row r="42173" spans="1:6" x14ac:dyDescent="0.25">
      <c r="A42173" s="2" t="str">
        <f t="shared" si="1320"/>
        <v>99999</v>
      </c>
      <c r="B42173" s="2" t="str">
        <f>"79312"</f>
        <v>79312</v>
      </c>
      <c r="C42173" s="1">
        <v>4.6929408783308097E-5</v>
      </c>
      <c r="D42173" s="1">
        <v>4.2492874855448297E-5</v>
      </c>
      <c r="E42173" s="1">
        <v>5.21464794608054E-5</v>
      </c>
      <c r="F42173" s="1">
        <v>4.6758013254006503E-5</v>
      </c>
    </row>
    <row r="42174" spans="1:6" x14ac:dyDescent="0.25">
      <c r="A42174" s="2" t="str">
        <f t="shared" si="1320"/>
        <v>99999</v>
      </c>
      <c r="B42174" s="2" t="str">
        <f>"79601"</f>
        <v>79601</v>
      </c>
      <c r="C42174" s="1">
        <v>1.76803819137114E-5</v>
      </c>
      <c r="D42174" s="1">
        <v>1.3658424060679801E-5</v>
      </c>
      <c r="E42174" s="1">
        <v>1.7382159820268399E-5</v>
      </c>
      <c r="F42174" s="1">
        <v>1.74098985520237E-5</v>
      </c>
    </row>
    <row r="42175" spans="1:6" x14ac:dyDescent="0.25">
      <c r="A42175" s="2" t="str">
        <f t="shared" si="1320"/>
        <v>99999</v>
      </c>
      <c r="B42175" s="2" t="str">
        <f>"79504"</f>
        <v>79504</v>
      </c>
      <c r="C42175" s="1">
        <v>1.09138159961181E-7</v>
      </c>
      <c r="D42175" s="1">
        <v>0</v>
      </c>
      <c r="E42175" s="1">
        <v>0</v>
      </c>
      <c r="F42175" s="1">
        <v>9.9485134582992598E-8</v>
      </c>
    </row>
    <row r="42176" spans="1:6" x14ac:dyDescent="0.25">
      <c r="A42176" s="2" t="str">
        <f t="shared" si="1320"/>
        <v>99999</v>
      </c>
      <c r="B42176" s="2" t="str">
        <f>"79546"</f>
        <v>79546</v>
      </c>
      <c r="C42176" s="1">
        <v>1.2256215363640701E-4</v>
      </c>
      <c r="D42176" s="1">
        <v>1.5631307536111301E-4</v>
      </c>
      <c r="E42176" s="1">
        <v>5.6492019415872502E-5</v>
      </c>
      <c r="F42176" s="1">
        <v>1.2326208174832701E-4</v>
      </c>
    </row>
    <row r="42177" spans="1:6" x14ac:dyDescent="0.25">
      <c r="A42177" s="2" t="str">
        <f t="shared" si="1320"/>
        <v>99999</v>
      </c>
      <c r="B42177" s="2" t="str">
        <f>"79521"</f>
        <v>79521</v>
      </c>
      <c r="C42177" s="1">
        <v>2.1729407648271199E-4</v>
      </c>
      <c r="D42177" s="1">
        <v>4.2644635122789202E-4</v>
      </c>
      <c r="E42177" s="1">
        <v>3.5633427631550301E-4</v>
      </c>
      <c r="F42177" s="1">
        <v>2.3418800680836399E-4</v>
      </c>
    </row>
    <row r="42178" spans="1:6" x14ac:dyDescent="0.25">
      <c r="A42178" s="2" t="str">
        <f t="shared" si="1320"/>
        <v>99999</v>
      </c>
      <c r="B42178" s="2" t="str">
        <f>"79512"</f>
        <v>79512</v>
      </c>
      <c r="C42178" s="1">
        <v>3.5928282259221E-4</v>
      </c>
      <c r="D42178" s="1">
        <v>5.12949703612197E-4</v>
      </c>
      <c r="E42178" s="1">
        <v>3.86753056000973E-4</v>
      </c>
      <c r="F42178" s="1">
        <v>3.6998521551414898E-4</v>
      </c>
    </row>
    <row r="42179" spans="1:6" x14ac:dyDescent="0.25">
      <c r="A42179" s="2" t="str">
        <f t="shared" si="1320"/>
        <v>99999</v>
      </c>
      <c r="B42179" s="2" t="str">
        <f>"79259"</f>
        <v>79259</v>
      </c>
      <c r="C42179" s="1">
        <v>4.6929408783308102E-6</v>
      </c>
      <c r="D42179" s="1">
        <v>0</v>
      </c>
      <c r="E42179" s="1">
        <v>0</v>
      </c>
      <c r="F42179" s="1">
        <v>4.2778607870686803E-6</v>
      </c>
    </row>
    <row r="42180" spans="1:6" x14ac:dyDescent="0.25">
      <c r="A42180" s="2" t="str">
        <f t="shared" si="1320"/>
        <v>99999</v>
      </c>
      <c r="B42180" s="2" t="str">
        <f>"79258"</f>
        <v>79258</v>
      </c>
      <c r="C42180" s="1">
        <v>1.09138159961181E-7</v>
      </c>
      <c r="D42180" s="1">
        <v>0</v>
      </c>
      <c r="E42180" s="1">
        <v>0</v>
      </c>
      <c r="F42180" s="1">
        <v>9.9485134582992598E-8</v>
      </c>
    </row>
    <row r="42181" spans="1:6" x14ac:dyDescent="0.25">
      <c r="A42181" s="2" t="str">
        <f t="shared" si="1320"/>
        <v>99999</v>
      </c>
      <c r="B42181" s="2" t="str">
        <f>"79220"</f>
        <v>79220</v>
      </c>
      <c r="C42181" s="1">
        <v>9.1676054367392598E-6</v>
      </c>
      <c r="D42181" s="1">
        <v>1.51760267340886E-6</v>
      </c>
      <c r="E42181" s="1">
        <v>0</v>
      </c>
      <c r="F42181" s="1">
        <v>8.4562364395543705E-6</v>
      </c>
    </row>
    <row r="42182" spans="1:6" x14ac:dyDescent="0.25">
      <c r="A42182" s="2" t="str">
        <f t="shared" si="1320"/>
        <v>99999</v>
      </c>
      <c r="B42182" s="2" t="str">
        <f>"79235"</f>
        <v>79235</v>
      </c>
      <c r="C42182" s="1">
        <v>2.36174978155997E-4</v>
      </c>
      <c r="D42182" s="1">
        <v>4.0975272182039397E-4</v>
      </c>
      <c r="E42182" s="1">
        <v>4.73663855102315E-4</v>
      </c>
      <c r="F42182" s="1">
        <v>2.5299069724454999E-4</v>
      </c>
    </row>
    <row r="42183" spans="1:6" x14ac:dyDescent="0.25">
      <c r="A42183" s="2" t="str">
        <f t="shared" si="1320"/>
        <v>99999</v>
      </c>
      <c r="B42183" s="2" t="str">
        <f>"79225"</f>
        <v>79225</v>
      </c>
      <c r="C42183" s="1">
        <v>2.9249026869596701E-5</v>
      </c>
      <c r="D42183" s="1">
        <v>1.0623218713862E-5</v>
      </c>
      <c r="E42183" s="1">
        <v>2.60732397304027E-5</v>
      </c>
      <c r="F42183" s="1">
        <v>2.7955322817820898E-5</v>
      </c>
    </row>
    <row r="42184" spans="1:6" x14ac:dyDescent="0.25">
      <c r="A42184" s="2" t="str">
        <f t="shared" si="1320"/>
        <v>99999</v>
      </c>
      <c r="B42184" s="2" t="str">
        <f>"78801"</f>
        <v>78801</v>
      </c>
      <c r="C42184" s="1">
        <v>1.7462105593789001E-6</v>
      </c>
      <c r="D42184" s="1">
        <v>0</v>
      </c>
      <c r="E42184" s="1">
        <v>0</v>
      </c>
      <c r="F42184" s="1">
        <v>1.5917621533278801E-6</v>
      </c>
    </row>
    <row r="42185" spans="1:6" x14ac:dyDescent="0.25">
      <c r="A42185" s="2" t="str">
        <f t="shared" si="1320"/>
        <v>99999</v>
      </c>
      <c r="B42185" s="2" t="str">
        <f>"79096"</f>
        <v>79096</v>
      </c>
      <c r="C42185" s="1">
        <v>5.7188395819659203E-5</v>
      </c>
      <c r="D42185" s="1">
        <v>4.8563285549083798E-5</v>
      </c>
      <c r="E42185" s="1">
        <v>9.5601879011476503E-5</v>
      </c>
      <c r="F42185" s="1">
        <v>5.7502407788969699E-5</v>
      </c>
    </row>
    <row r="42186" spans="1:6" x14ac:dyDescent="0.25">
      <c r="A42186" s="2" t="str">
        <f t="shared" si="1320"/>
        <v>99999</v>
      </c>
      <c r="B42186" s="2" t="str">
        <f>"79083"</f>
        <v>79083</v>
      </c>
      <c r="C42186" s="1">
        <v>3.2741447988354498E-7</v>
      </c>
      <c r="D42186" s="1">
        <v>0</v>
      </c>
      <c r="E42186" s="1">
        <v>0</v>
      </c>
      <c r="F42186" s="1">
        <v>2.9845540374897701E-7</v>
      </c>
    </row>
    <row r="42187" spans="1:6" x14ac:dyDescent="0.25">
      <c r="A42187" s="2" t="str">
        <f t="shared" si="1320"/>
        <v>99999</v>
      </c>
      <c r="B42187" s="2" t="str">
        <f>"79082"</f>
        <v>79082</v>
      </c>
      <c r="C42187" s="1">
        <v>1.09138159961181E-5</v>
      </c>
      <c r="D42187" s="1">
        <v>9.1056160404532095E-6</v>
      </c>
      <c r="E42187" s="1">
        <v>8.69107991013423E-6</v>
      </c>
      <c r="F42187" s="1">
        <v>1.0744394534963201E-5</v>
      </c>
    </row>
    <row r="42188" spans="1:6" x14ac:dyDescent="0.25">
      <c r="A42188" s="2" t="str">
        <f t="shared" si="1320"/>
        <v>99999</v>
      </c>
      <c r="B42188" s="2" t="str">
        <f>"79079"</f>
        <v>79079</v>
      </c>
      <c r="C42188" s="1">
        <v>1.88263325933038E-4</v>
      </c>
      <c r="D42188" s="1">
        <v>3.2628457478290599E-4</v>
      </c>
      <c r="E42188" s="1">
        <v>9.9947418966543598E-5</v>
      </c>
      <c r="F42188" s="1">
        <v>1.95289319186414E-4</v>
      </c>
    </row>
    <row r="42189" spans="1:6" x14ac:dyDescent="0.25">
      <c r="A42189" s="2" t="str">
        <f t="shared" si="1320"/>
        <v>99999</v>
      </c>
      <c r="B42189" s="2" t="str">
        <f>"78959"</f>
        <v>78959</v>
      </c>
      <c r="C42189" s="1">
        <v>4.3000435024705598E-5</v>
      </c>
      <c r="D42189" s="1">
        <v>2.4281642774541899E-5</v>
      </c>
      <c r="E42189" s="1">
        <v>8.69107991013423E-6</v>
      </c>
      <c r="F42189" s="1">
        <v>4.0987875448192901E-5</v>
      </c>
    </row>
    <row r="42190" spans="1:6" x14ac:dyDescent="0.25">
      <c r="A42190" s="2" t="str">
        <f t="shared" si="1320"/>
        <v>99999</v>
      </c>
      <c r="B42190" s="2" t="str">
        <f>"79062"</f>
        <v>79062</v>
      </c>
      <c r="C42190" s="1">
        <v>1.4187960794953601E-6</v>
      </c>
      <c r="D42190" s="1">
        <v>0</v>
      </c>
      <c r="E42190" s="1">
        <v>0</v>
      </c>
      <c r="F42190" s="1">
        <v>1.2933067495789E-6</v>
      </c>
    </row>
    <row r="42191" spans="1:6" x14ac:dyDescent="0.25">
      <c r="A42191" s="2" t="str">
        <f t="shared" si="1320"/>
        <v>99999</v>
      </c>
      <c r="B42191" s="2" t="str">
        <f>"78879"</f>
        <v>78879</v>
      </c>
      <c r="C42191" s="1">
        <v>1.0258987036351001E-5</v>
      </c>
      <c r="D42191" s="1">
        <v>1.51760267340886E-6</v>
      </c>
      <c r="E42191" s="1">
        <v>4.3455399550671099E-6</v>
      </c>
      <c r="F42191" s="1">
        <v>9.5505729199672898E-6</v>
      </c>
    </row>
    <row r="42192" spans="1:6" x14ac:dyDescent="0.25">
      <c r="A42192" s="2" t="str">
        <f t="shared" si="1320"/>
        <v>99999</v>
      </c>
      <c r="B42192" s="2" t="str">
        <f>"78880"</f>
        <v>78880</v>
      </c>
      <c r="C42192" s="1">
        <v>2.7611954470178899E-5</v>
      </c>
      <c r="D42192" s="1">
        <v>1.21408213872709E-5</v>
      </c>
      <c r="E42192" s="1">
        <v>4.3455399550671099E-6</v>
      </c>
      <c r="F42192" s="1">
        <v>2.6065105260744001E-5</v>
      </c>
    </row>
    <row r="42193" spans="1:6" x14ac:dyDescent="0.25">
      <c r="A42193" s="2" t="str">
        <f t="shared" si="1320"/>
        <v>99999</v>
      </c>
      <c r="B42193" s="2" t="str">
        <f>"78608"</f>
        <v>78608</v>
      </c>
      <c r="C42193" s="1">
        <v>2.67388491904895E-5</v>
      </c>
      <c r="D42193" s="1">
        <v>1.3658424060679801E-5</v>
      </c>
      <c r="E42193" s="1">
        <v>3.9109859595604001E-5</v>
      </c>
      <c r="F42193" s="1">
        <v>2.6164590395327E-5</v>
      </c>
    </row>
    <row r="42194" spans="1:6" x14ac:dyDescent="0.25">
      <c r="A42194" s="2" t="str">
        <f t="shared" ref="A42194:A42257" si="1321">"99999"</f>
        <v>99999</v>
      </c>
      <c r="B42194" s="2" t="str">
        <f>"78605"</f>
        <v>78605</v>
      </c>
      <c r="C42194" s="1">
        <v>2.5953054438768999E-4</v>
      </c>
      <c r="D42194" s="1">
        <v>1.63901088728157E-4</v>
      </c>
      <c r="E42194" s="1">
        <v>1.8685821806788599E-4</v>
      </c>
      <c r="F42194" s="1">
        <v>2.51597905360388E-4</v>
      </c>
    </row>
    <row r="42195" spans="1:6" x14ac:dyDescent="0.25">
      <c r="A42195" s="2" t="str">
        <f t="shared" si="1321"/>
        <v>99999</v>
      </c>
      <c r="B42195" s="2" t="str">
        <f>"78629"</f>
        <v>78629</v>
      </c>
      <c r="C42195" s="1">
        <v>6.0036901794645998E-4</v>
      </c>
      <c r="D42195" s="1">
        <v>8.3164626502805995E-4</v>
      </c>
      <c r="E42195" s="1">
        <v>7.0832301267594001E-4</v>
      </c>
      <c r="F42195" s="1">
        <v>6.1800165602954999E-4</v>
      </c>
    </row>
    <row r="42196" spans="1:6" x14ac:dyDescent="0.25">
      <c r="A42196" s="2" t="str">
        <f t="shared" si="1321"/>
        <v>99999</v>
      </c>
      <c r="B42196" s="2" t="str">
        <f>"78141"</f>
        <v>78141</v>
      </c>
      <c r="C42196" s="1">
        <v>3.8634908626258302E-5</v>
      </c>
      <c r="D42196" s="1">
        <v>1.9728834754315301E-5</v>
      </c>
      <c r="E42196" s="1">
        <v>1.3036619865201299E-5</v>
      </c>
      <c r="F42196" s="1">
        <v>3.68094997957072E-5</v>
      </c>
    </row>
    <row r="42197" spans="1:6" x14ac:dyDescent="0.25">
      <c r="A42197" s="2" t="str">
        <f t="shared" si="1321"/>
        <v>99999</v>
      </c>
      <c r="B42197" s="2" t="str">
        <f>"78140"</f>
        <v>78140</v>
      </c>
      <c r="C42197" s="1">
        <v>1.5333911474545999E-4</v>
      </c>
      <c r="D42197" s="1">
        <v>1.07749789812029E-4</v>
      </c>
      <c r="E42197" s="1">
        <v>1.56439438382416E-4</v>
      </c>
      <c r="F42197" s="1">
        <v>1.50421523489484E-4</v>
      </c>
    </row>
    <row r="42198" spans="1:6" x14ac:dyDescent="0.25">
      <c r="A42198" s="2" t="str">
        <f t="shared" si="1321"/>
        <v>99999</v>
      </c>
      <c r="B42198" s="2" t="str">
        <f>"78026"</f>
        <v>78026</v>
      </c>
      <c r="C42198" s="1">
        <v>3.2741447988354498E-7</v>
      </c>
      <c r="D42198" s="1">
        <v>0</v>
      </c>
      <c r="E42198" s="1">
        <v>0</v>
      </c>
      <c r="F42198" s="1">
        <v>2.9845540374897701E-7</v>
      </c>
    </row>
    <row r="42199" spans="1:6" x14ac:dyDescent="0.25">
      <c r="A42199" s="2" t="str">
        <f t="shared" si="1321"/>
        <v>99999</v>
      </c>
      <c r="B42199" s="2" t="str">
        <f>"78008"</f>
        <v>78008</v>
      </c>
      <c r="C42199" s="1">
        <v>6.5482895976708995E-7</v>
      </c>
      <c r="D42199" s="1">
        <v>0</v>
      </c>
      <c r="E42199" s="1">
        <v>0</v>
      </c>
      <c r="F42199" s="1">
        <v>5.9691080749795498E-7</v>
      </c>
    </row>
    <row r="42200" spans="1:6" x14ac:dyDescent="0.25">
      <c r="A42200" s="2" t="str">
        <f t="shared" si="1321"/>
        <v>99999</v>
      </c>
      <c r="B42200" s="2" t="str">
        <f>"78014"</f>
        <v>78014</v>
      </c>
      <c r="C42200" s="1">
        <v>2.5581984694900898E-4</v>
      </c>
      <c r="D42200" s="1">
        <v>3.8698868171926101E-4</v>
      </c>
      <c r="E42200" s="1">
        <v>3.86753056000973E-4</v>
      </c>
      <c r="F42200" s="1">
        <v>2.6741604175908401E-4</v>
      </c>
    </row>
    <row r="42201" spans="1:6" x14ac:dyDescent="0.25">
      <c r="A42201" s="2" t="str">
        <f t="shared" si="1321"/>
        <v>99999</v>
      </c>
      <c r="B42201" s="2" t="str">
        <f>"78062"</f>
        <v>78062</v>
      </c>
      <c r="C42201" s="1">
        <v>1.09138159961181E-7</v>
      </c>
      <c r="D42201" s="1">
        <v>3.0352053468177301E-6</v>
      </c>
      <c r="E42201" s="1">
        <v>0</v>
      </c>
      <c r="F42201" s="1">
        <v>2.9845540374897701E-7</v>
      </c>
    </row>
    <row r="42202" spans="1:6" x14ac:dyDescent="0.25">
      <c r="A42202" s="2" t="str">
        <f t="shared" si="1321"/>
        <v>99999</v>
      </c>
      <c r="B42202" s="2" t="str">
        <f>"78111"</f>
        <v>78111</v>
      </c>
      <c r="C42202" s="1">
        <v>2.07362503926245E-6</v>
      </c>
      <c r="D42202" s="1">
        <v>1.51760267340886E-6</v>
      </c>
      <c r="E42202" s="1">
        <v>1.3036619865201299E-5</v>
      </c>
      <c r="F42202" s="1">
        <v>2.2881580954088299E-6</v>
      </c>
    </row>
    <row r="42203" spans="1:6" x14ac:dyDescent="0.25">
      <c r="A42203" s="2" t="str">
        <f t="shared" si="1321"/>
        <v>99999</v>
      </c>
      <c r="B42203" s="2" t="str">
        <f>"77961"</f>
        <v>77961</v>
      </c>
      <c r="C42203" s="1">
        <v>0</v>
      </c>
      <c r="D42203" s="1">
        <v>1.51760267340886E-6</v>
      </c>
      <c r="E42203" s="1">
        <v>0</v>
      </c>
      <c r="F42203" s="1">
        <v>9.9485134582992598E-8</v>
      </c>
    </row>
    <row r="42204" spans="1:6" x14ac:dyDescent="0.25">
      <c r="A42204" s="2" t="str">
        <f t="shared" si="1321"/>
        <v>99999</v>
      </c>
      <c r="B42204" s="2" t="str">
        <f>"77954"</f>
        <v>77954</v>
      </c>
      <c r="C42204" s="1">
        <v>5.61952385640124E-4</v>
      </c>
      <c r="D42204" s="1">
        <v>8.1798784096737999E-4</v>
      </c>
      <c r="E42204" s="1">
        <v>3.8240751604590601E-4</v>
      </c>
      <c r="F42204" s="1">
        <v>5.7462613735136505E-4</v>
      </c>
    </row>
    <row r="42205" spans="1:6" x14ac:dyDescent="0.25">
      <c r="A42205" s="2" t="str">
        <f t="shared" si="1321"/>
        <v>99999</v>
      </c>
      <c r="B42205" s="2" t="str">
        <f>"77836"</f>
        <v>77836</v>
      </c>
      <c r="C42205" s="1">
        <v>3.4924211187578098E-6</v>
      </c>
      <c r="D42205" s="1">
        <v>0</v>
      </c>
      <c r="E42205" s="1">
        <v>0</v>
      </c>
      <c r="F42205" s="1">
        <v>3.1835243066557602E-6</v>
      </c>
    </row>
    <row r="42206" spans="1:6" x14ac:dyDescent="0.25">
      <c r="A42206" s="2" t="str">
        <f t="shared" si="1321"/>
        <v>99999</v>
      </c>
      <c r="B42206" s="2" t="str">
        <f>"77864"</f>
        <v>77864</v>
      </c>
      <c r="C42206" s="1">
        <v>3.50551769795315E-4</v>
      </c>
      <c r="D42206" s="1">
        <v>7.3300209125648302E-4</v>
      </c>
      <c r="E42206" s="1">
        <v>6.0403005375432898E-4</v>
      </c>
      <c r="F42206" s="1">
        <v>3.8142600599119298E-4</v>
      </c>
    </row>
    <row r="42207" spans="1:6" x14ac:dyDescent="0.25">
      <c r="A42207" s="2" t="str">
        <f t="shared" si="1321"/>
        <v>99999</v>
      </c>
      <c r="B42207" s="2" t="str">
        <f>"77475"</f>
        <v>77475</v>
      </c>
      <c r="C42207" s="1">
        <v>0</v>
      </c>
      <c r="D42207" s="1">
        <v>1.51760267340886E-6</v>
      </c>
      <c r="E42207" s="1">
        <v>0</v>
      </c>
      <c r="F42207" s="1">
        <v>9.9485134582992598E-8</v>
      </c>
    </row>
    <row r="42208" spans="1:6" x14ac:dyDescent="0.25">
      <c r="A42208" s="2" t="str">
        <f t="shared" si="1321"/>
        <v>99999</v>
      </c>
      <c r="B42208" s="2" t="str">
        <f>"77474"</f>
        <v>77474</v>
      </c>
      <c r="C42208" s="1">
        <v>2.2919013591848099E-6</v>
      </c>
      <c r="D42208" s="1">
        <v>1.51760267340886E-6</v>
      </c>
      <c r="E42208" s="1">
        <v>0</v>
      </c>
      <c r="F42208" s="1">
        <v>2.1886729608258301E-6</v>
      </c>
    </row>
    <row r="42209" spans="1:6" x14ac:dyDescent="0.25">
      <c r="A42209" s="2" t="str">
        <f t="shared" si="1321"/>
        <v>99999</v>
      </c>
      <c r="B42209" s="2" t="str">
        <f>"77378"</f>
        <v>77378</v>
      </c>
      <c r="C42209" s="1">
        <v>6.8211349975738495E-5</v>
      </c>
      <c r="D42209" s="1">
        <v>2.1246437427724101E-5</v>
      </c>
      <c r="E42209" s="1">
        <v>0</v>
      </c>
      <c r="F42209" s="1">
        <v>6.3571000998532195E-5</v>
      </c>
    </row>
    <row r="42210" spans="1:6" x14ac:dyDescent="0.25">
      <c r="A42210" s="2" t="str">
        <f t="shared" si="1321"/>
        <v>99999</v>
      </c>
      <c r="B42210" s="2" t="str">
        <f>"77358"</f>
        <v>77358</v>
      </c>
      <c r="C42210" s="1">
        <v>3.9398875745986597E-5</v>
      </c>
      <c r="D42210" s="1">
        <v>1.21408213872709E-5</v>
      </c>
      <c r="E42210" s="1">
        <v>0</v>
      </c>
      <c r="F42210" s="1">
        <v>3.6710014661124202E-5</v>
      </c>
    </row>
    <row r="42211" spans="1:6" x14ac:dyDescent="0.25">
      <c r="A42211" s="2" t="str">
        <f t="shared" si="1321"/>
        <v>99999</v>
      </c>
      <c r="B42211" s="2" t="str">
        <f>"77335"</f>
        <v>77335</v>
      </c>
      <c r="C42211" s="1">
        <v>1.6381637810173301E-4</v>
      </c>
      <c r="D42211" s="1">
        <v>9.1056160404532095E-5</v>
      </c>
      <c r="E42211" s="1">
        <v>3.0418779685469802E-5</v>
      </c>
      <c r="F42211" s="1">
        <v>1.5599269102613199E-4</v>
      </c>
    </row>
    <row r="42212" spans="1:6" x14ac:dyDescent="0.25">
      <c r="A42212" s="2" t="str">
        <f t="shared" si="1321"/>
        <v>99999</v>
      </c>
      <c r="B42212" s="2" t="str">
        <f>"76890"</f>
        <v>76890</v>
      </c>
      <c r="C42212" s="1">
        <v>5.1294935181755401E-6</v>
      </c>
      <c r="D42212" s="1">
        <v>1.51760267340886E-6</v>
      </c>
      <c r="E42212" s="1">
        <v>0</v>
      </c>
      <c r="F42212" s="1">
        <v>4.7752864599836398E-6</v>
      </c>
    </row>
    <row r="42213" spans="1:6" x14ac:dyDescent="0.25">
      <c r="A42213" s="2" t="str">
        <f t="shared" si="1321"/>
        <v>99999</v>
      </c>
      <c r="B42213" s="2" t="str">
        <f>"76875"</f>
        <v>76875</v>
      </c>
      <c r="C42213" s="1">
        <v>3.3614553268043901E-5</v>
      </c>
      <c r="D42213" s="1">
        <v>3.7940066835221703E-5</v>
      </c>
      <c r="E42213" s="1">
        <v>1.7382159820268399E-5</v>
      </c>
      <c r="F42213" s="1">
        <v>3.35264903544685E-5</v>
      </c>
    </row>
    <row r="42214" spans="1:6" x14ac:dyDescent="0.25">
      <c r="A42214" s="2" t="str">
        <f t="shared" si="1321"/>
        <v>99999</v>
      </c>
      <c r="B42214" s="2" t="str">
        <f>"76848"</f>
        <v>76848</v>
      </c>
      <c r="C42214" s="1">
        <v>6.9848422375156299E-6</v>
      </c>
      <c r="D42214" s="1">
        <v>0</v>
      </c>
      <c r="E42214" s="1">
        <v>4.3455399550671099E-6</v>
      </c>
      <c r="F42214" s="1">
        <v>6.4665337478945197E-6</v>
      </c>
    </row>
    <row r="42215" spans="1:6" x14ac:dyDescent="0.25">
      <c r="A42215" s="2" t="str">
        <f t="shared" si="1321"/>
        <v>99999</v>
      </c>
      <c r="B42215" s="2" t="str">
        <f>"76652"</f>
        <v>76652</v>
      </c>
      <c r="C42215" s="1">
        <v>6.4828067016941906E-5</v>
      </c>
      <c r="D42215" s="1">
        <v>9.1056160404532095E-6</v>
      </c>
      <c r="E42215" s="1">
        <v>3.47643196405369E-5</v>
      </c>
      <c r="F42215" s="1">
        <v>6.0486961826459498E-5</v>
      </c>
    </row>
    <row r="42216" spans="1:6" x14ac:dyDescent="0.25">
      <c r="A42216" s="2" t="str">
        <f t="shared" si="1321"/>
        <v>99999</v>
      </c>
      <c r="B42216" s="2" t="str">
        <f>"76645"</f>
        <v>76645</v>
      </c>
      <c r="C42216" s="1">
        <v>5.4208924052718903E-4</v>
      </c>
      <c r="D42216" s="1">
        <v>1.1412372104034601E-3</v>
      </c>
      <c r="E42216" s="1">
        <v>4.3455399550671099E-4</v>
      </c>
      <c r="F42216" s="1">
        <v>5.7890399813843396E-4</v>
      </c>
    </row>
    <row r="42217" spans="1:6" x14ac:dyDescent="0.25">
      <c r="A42217" s="2" t="str">
        <f t="shared" si="1321"/>
        <v>99999</v>
      </c>
      <c r="B42217" s="2" t="str">
        <f>"76678"</f>
        <v>76678</v>
      </c>
      <c r="C42217" s="1">
        <v>7.2031185574379897E-6</v>
      </c>
      <c r="D42217" s="1">
        <v>1.51760267340886E-6</v>
      </c>
      <c r="E42217" s="1">
        <v>0</v>
      </c>
      <c r="F42217" s="1">
        <v>6.6655040170604998E-6</v>
      </c>
    </row>
    <row r="42218" spans="1:6" x14ac:dyDescent="0.25">
      <c r="A42218" s="2" t="str">
        <f t="shared" si="1321"/>
        <v>99999</v>
      </c>
      <c r="B42218" s="2" t="str">
        <f>"76531"</f>
        <v>76531</v>
      </c>
      <c r="C42218" s="1">
        <v>2.8059420926019799E-4</v>
      </c>
      <c r="D42218" s="1">
        <v>5.3267853836651302E-4</v>
      </c>
      <c r="E42218" s="1">
        <v>1.73821598202684E-4</v>
      </c>
      <c r="F42218" s="1">
        <v>2.9467496863482402E-4</v>
      </c>
    </row>
    <row r="42219" spans="1:6" x14ac:dyDescent="0.25">
      <c r="A42219" s="2" t="str">
        <f t="shared" si="1321"/>
        <v>99999</v>
      </c>
      <c r="B42219" s="2" t="str">
        <f>"76628"</f>
        <v>76628</v>
      </c>
      <c r="C42219" s="1">
        <v>0</v>
      </c>
      <c r="D42219" s="1">
        <v>1.51760267340886E-6</v>
      </c>
      <c r="E42219" s="1">
        <v>0</v>
      </c>
      <c r="F42219" s="1">
        <v>9.9485134582992598E-8</v>
      </c>
    </row>
    <row r="42220" spans="1:6" x14ac:dyDescent="0.25">
      <c r="A42220" s="2" t="str">
        <f t="shared" si="1321"/>
        <v>99999</v>
      </c>
      <c r="B42220" s="2" t="str">
        <f>"76523"</f>
        <v>76523</v>
      </c>
      <c r="C42220" s="1">
        <v>0</v>
      </c>
      <c r="D42220" s="1">
        <v>3.0352053468177301E-6</v>
      </c>
      <c r="E42220" s="1">
        <v>0</v>
      </c>
      <c r="F42220" s="1">
        <v>1.9897026916598501E-7</v>
      </c>
    </row>
    <row r="42221" spans="1:6" x14ac:dyDescent="0.25">
      <c r="A42221" s="2" t="str">
        <f t="shared" si="1321"/>
        <v>99999</v>
      </c>
      <c r="B42221" s="2" t="str">
        <f>"76527"</f>
        <v>76527</v>
      </c>
      <c r="C42221" s="1">
        <v>6.3300132777485401E-6</v>
      </c>
      <c r="D42221" s="1">
        <v>0</v>
      </c>
      <c r="E42221" s="1">
        <v>0</v>
      </c>
      <c r="F42221" s="1">
        <v>5.7701378058135699E-6</v>
      </c>
    </row>
    <row r="42222" spans="1:6" x14ac:dyDescent="0.25">
      <c r="A42222" s="2" t="str">
        <f t="shared" si="1321"/>
        <v>99999</v>
      </c>
      <c r="B42222" s="2" t="str">
        <f>"76436"</f>
        <v>76436</v>
      </c>
      <c r="C42222" s="1">
        <v>1.6370723994177199E-5</v>
      </c>
      <c r="D42222" s="1">
        <v>0</v>
      </c>
      <c r="E42222" s="1">
        <v>4.3455399550671099E-6</v>
      </c>
      <c r="F42222" s="1">
        <v>1.50222553220318E-5</v>
      </c>
    </row>
    <row r="42223" spans="1:6" x14ac:dyDescent="0.25">
      <c r="A42223" s="2" t="str">
        <f t="shared" si="1321"/>
        <v>99999</v>
      </c>
      <c r="B42223" s="2" t="str">
        <f>"76459"</f>
        <v>76459</v>
      </c>
      <c r="C42223" s="1">
        <v>8.7310527968945299E-6</v>
      </c>
      <c r="D42223" s="1">
        <v>1.51760267340886E-6</v>
      </c>
      <c r="E42223" s="1">
        <v>1.7382159820268399E-5</v>
      </c>
      <c r="F42223" s="1">
        <v>8.4562364395543705E-6</v>
      </c>
    </row>
    <row r="42224" spans="1:6" x14ac:dyDescent="0.25">
      <c r="A42224" s="2" t="str">
        <f t="shared" si="1321"/>
        <v>99999</v>
      </c>
      <c r="B42224" s="2" t="str">
        <f>"76483"</f>
        <v>76483</v>
      </c>
      <c r="C42224" s="1">
        <v>4.6711132463385699E-5</v>
      </c>
      <c r="D42224" s="1">
        <v>2.88344507947685E-5</v>
      </c>
      <c r="E42224" s="1">
        <v>4.7800939505738197E-5</v>
      </c>
      <c r="F42224" s="1">
        <v>4.5564191639010602E-5</v>
      </c>
    </row>
    <row r="42225" spans="1:6" x14ac:dyDescent="0.25">
      <c r="A42225" s="2" t="str">
        <f t="shared" si="1321"/>
        <v>99999</v>
      </c>
      <c r="B42225" s="2" t="str">
        <f>"76460"</f>
        <v>76460</v>
      </c>
      <c r="C42225" s="1">
        <v>3.1868342708665002E-5</v>
      </c>
      <c r="D42225" s="1">
        <v>1.9728834754315301E-5</v>
      </c>
      <c r="E42225" s="1">
        <v>8.69107991013423E-6</v>
      </c>
      <c r="F42225" s="1">
        <v>3.0541936316978701E-5</v>
      </c>
    </row>
    <row r="42226" spans="1:6" x14ac:dyDescent="0.25">
      <c r="A42226" s="2" t="str">
        <f t="shared" si="1321"/>
        <v>99999</v>
      </c>
      <c r="B42226" s="2" t="str">
        <f>"76265"</f>
        <v>76265</v>
      </c>
      <c r="C42226" s="1">
        <v>6.6246863096437299E-5</v>
      </c>
      <c r="D42226" s="1">
        <v>1.0623218713862E-5</v>
      </c>
      <c r="E42226" s="1">
        <v>6.0837559370939603E-5</v>
      </c>
      <c r="F42226" s="1">
        <v>6.2476664518119299E-5</v>
      </c>
    </row>
    <row r="42227" spans="1:6" x14ac:dyDescent="0.25">
      <c r="A42227" s="2" t="str">
        <f t="shared" si="1321"/>
        <v>99999</v>
      </c>
      <c r="B42227" s="2" t="str">
        <f>"76230"</f>
        <v>76230</v>
      </c>
      <c r="C42227" s="1">
        <v>5.6358945803954203E-4</v>
      </c>
      <c r="D42227" s="1">
        <v>8.6199831849623698E-4</v>
      </c>
      <c r="E42227" s="1">
        <v>7.3005071245127505E-4</v>
      </c>
      <c r="F42227" s="1">
        <v>5.8696229403965602E-4</v>
      </c>
    </row>
    <row r="42228" spans="1:6" x14ac:dyDescent="0.25">
      <c r="A42228" s="2" t="str">
        <f t="shared" si="1321"/>
        <v>99999</v>
      </c>
      <c r="B42228" s="2" t="str">
        <f>"75839"</f>
        <v>75839</v>
      </c>
      <c r="C42228" s="1">
        <v>3.1650066388742701E-6</v>
      </c>
      <c r="D42228" s="1">
        <v>0</v>
      </c>
      <c r="E42228" s="1">
        <v>0</v>
      </c>
      <c r="F42228" s="1">
        <v>2.8850689029067799E-6</v>
      </c>
    </row>
    <row r="42229" spans="1:6" x14ac:dyDescent="0.25">
      <c r="A42229" s="2" t="str">
        <f t="shared" si="1321"/>
        <v>99999</v>
      </c>
      <c r="B42229" s="2" t="str">
        <f>"75851"</f>
        <v>75851</v>
      </c>
      <c r="C42229" s="1">
        <v>1.6719966106053E-4</v>
      </c>
      <c r="D42229" s="1">
        <v>3.3387258814995101E-5</v>
      </c>
      <c r="E42229" s="1">
        <v>6.0837559370939603E-5</v>
      </c>
      <c r="F42229" s="1">
        <v>1.5599269102613199E-4</v>
      </c>
    </row>
    <row r="42230" spans="1:6" x14ac:dyDescent="0.25">
      <c r="A42230" s="2" t="str">
        <f t="shared" si="1321"/>
        <v>99999</v>
      </c>
      <c r="B42230" s="2" t="str">
        <f>"75846"</f>
        <v>75846</v>
      </c>
      <c r="C42230" s="1">
        <v>1.3118406827334001E-4</v>
      </c>
      <c r="D42230" s="1">
        <v>8.9538557731123203E-5</v>
      </c>
      <c r="E42230" s="1">
        <v>3.0418779685469802E-5</v>
      </c>
      <c r="F42230" s="1">
        <v>1.2614715065123401E-4</v>
      </c>
    </row>
    <row r="42231" spans="1:6" x14ac:dyDescent="0.25">
      <c r="A42231" s="2" t="str">
        <f t="shared" si="1321"/>
        <v>99999</v>
      </c>
      <c r="B42231" s="2" t="str">
        <f>"75755"</f>
        <v>75755</v>
      </c>
      <c r="C42231" s="1">
        <v>8.8401909568557204E-6</v>
      </c>
      <c r="D42231" s="1">
        <v>1.51760267340886E-6</v>
      </c>
      <c r="E42231" s="1">
        <v>0</v>
      </c>
      <c r="F42231" s="1">
        <v>8.1577810358053902E-6</v>
      </c>
    </row>
    <row r="42232" spans="1:6" x14ac:dyDescent="0.25">
      <c r="A42232" s="2" t="str">
        <f t="shared" si="1321"/>
        <v>99999</v>
      </c>
      <c r="B42232" s="2" t="str">
        <f>"75636"</f>
        <v>75636</v>
      </c>
      <c r="C42232" s="1">
        <v>0</v>
      </c>
      <c r="D42232" s="1">
        <v>0</v>
      </c>
      <c r="E42232" s="1">
        <v>4.3455399550671099E-6</v>
      </c>
      <c r="F42232" s="1">
        <v>9.9485134582992598E-8</v>
      </c>
    </row>
    <row r="42233" spans="1:6" x14ac:dyDescent="0.25">
      <c r="A42233" s="2" t="str">
        <f t="shared" si="1321"/>
        <v>99999</v>
      </c>
      <c r="B42233" s="2" t="str">
        <f>"75752"</f>
        <v>75752</v>
      </c>
      <c r="C42233" s="1">
        <v>2.4228671511382299E-5</v>
      </c>
      <c r="D42233" s="1">
        <v>3.0352053468177301E-6</v>
      </c>
      <c r="E42233" s="1">
        <v>0</v>
      </c>
      <c r="F42233" s="1">
        <v>2.2284670146590302E-5</v>
      </c>
    </row>
    <row r="42234" spans="1:6" x14ac:dyDescent="0.25">
      <c r="A42234" s="2" t="str">
        <f t="shared" si="1321"/>
        <v>99999</v>
      </c>
      <c r="B42234" s="2" t="str">
        <f>"75562"</f>
        <v>75562</v>
      </c>
      <c r="C42234" s="1">
        <v>0</v>
      </c>
      <c r="D42234" s="1">
        <v>0</v>
      </c>
      <c r="E42234" s="1">
        <v>4.3455399550671099E-6</v>
      </c>
      <c r="F42234" s="1">
        <v>9.9485134582992598E-8</v>
      </c>
    </row>
    <row r="42235" spans="1:6" x14ac:dyDescent="0.25">
      <c r="A42235" s="2" t="str">
        <f t="shared" si="1321"/>
        <v>99999</v>
      </c>
      <c r="B42235" s="2" t="str">
        <f>"75559"</f>
        <v>75559</v>
      </c>
      <c r="C42235" s="1">
        <v>5.3477698380979E-6</v>
      </c>
      <c r="D42235" s="1">
        <v>1.51760267340886E-6</v>
      </c>
      <c r="E42235" s="1">
        <v>0</v>
      </c>
      <c r="F42235" s="1">
        <v>4.9742567291496301E-6</v>
      </c>
    </row>
    <row r="42236" spans="1:6" x14ac:dyDescent="0.25">
      <c r="A42236" s="2" t="str">
        <f t="shared" si="1321"/>
        <v>99999</v>
      </c>
      <c r="B42236" s="2" t="str">
        <f>"75572"</f>
        <v>75572</v>
      </c>
      <c r="C42236" s="1">
        <v>2.48616728391572E-4</v>
      </c>
      <c r="D42236" s="1">
        <v>2.0032355288997E-4</v>
      </c>
      <c r="E42236" s="1">
        <v>1.9120375802295301E-4</v>
      </c>
      <c r="F42236" s="1">
        <v>2.44136520266663E-4</v>
      </c>
    </row>
    <row r="42237" spans="1:6" x14ac:dyDescent="0.25">
      <c r="A42237" s="2" t="str">
        <f t="shared" si="1321"/>
        <v>99999</v>
      </c>
      <c r="B42237" s="2" t="str">
        <f>"75568"</f>
        <v>75568</v>
      </c>
      <c r="C42237" s="1">
        <v>2.5734778118846602E-4</v>
      </c>
      <c r="D42237" s="1">
        <v>8.4985749710896595E-5</v>
      </c>
      <c r="E42237" s="1">
        <v>1.08638498876677E-4</v>
      </c>
      <c r="F42237" s="1">
        <v>2.4264424324791899E-4</v>
      </c>
    </row>
    <row r="42238" spans="1:6" x14ac:dyDescent="0.25">
      <c r="A42238" s="2" t="str">
        <f t="shared" si="1321"/>
        <v>99999</v>
      </c>
      <c r="B42238" s="2" t="str">
        <f>"75441"</f>
        <v>75441</v>
      </c>
      <c r="C42238" s="1">
        <v>3.9289737586025402E-6</v>
      </c>
      <c r="D42238" s="1">
        <v>0</v>
      </c>
      <c r="E42238" s="1">
        <v>4.3455399550671099E-6</v>
      </c>
      <c r="F42238" s="1">
        <v>3.6809499795707201E-6</v>
      </c>
    </row>
    <row r="42239" spans="1:6" x14ac:dyDescent="0.25">
      <c r="A42239" s="2" t="str">
        <f t="shared" si="1321"/>
        <v>99999</v>
      </c>
      <c r="B42239" s="2" t="str">
        <f>"75550"</f>
        <v>75550</v>
      </c>
      <c r="C42239" s="1">
        <v>6.3409270937446498E-5</v>
      </c>
      <c r="D42239" s="1">
        <v>2.4281642774541899E-5</v>
      </c>
      <c r="E42239" s="1">
        <v>8.69107991013423E-6</v>
      </c>
      <c r="F42239" s="1">
        <v>5.9591595615212498E-5</v>
      </c>
    </row>
    <row r="42240" spans="1:6" x14ac:dyDescent="0.25">
      <c r="A42240" s="2" t="str">
        <f t="shared" si="1321"/>
        <v>99999</v>
      </c>
      <c r="B42240" s="2" t="str">
        <f>"75480"</f>
        <v>75480</v>
      </c>
      <c r="C42240" s="1">
        <v>1.5988740434313099E-4</v>
      </c>
      <c r="D42240" s="1">
        <v>5.4633696242719298E-5</v>
      </c>
      <c r="E42240" s="1">
        <v>1.2602065869694599E-4</v>
      </c>
      <c r="F42240" s="1">
        <v>1.5221225591197801E-4</v>
      </c>
    </row>
    <row r="42241" spans="1:6" x14ac:dyDescent="0.25">
      <c r="A42241" s="2" t="str">
        <f t="shared" si="1321"/>
        <v>99999</v>
      </c>
      <c r="B42241" s="2" t="str">
        <f>"75140"</f>
        <v>75140</v>
      </c>
      <c r="C42241" s="1">
        <v>3.5087918427519901E-4</v>
      </c>
      <c r="D42241" s="1">
        <v>3.6118943627131003E-4</v>
      </c>
      <c r="E42241" s="1">
        <v>1.21675118741879E-3</v>
      </c>
      <c r="F42241" s="1">
        <v>3.7137800739831098E-4</v>
      </c>
    </row>
    <row r="42242" spans="1:6" x14ac:dyDescent="0.25">
      <c r="A42242" s="2" t="str">
        <f t="shared" si="1321"/>
        <v>99999</v>
      </c>
      <c r="B42242" s="2" t="str">
        <f>"74947"</f>
        <v>74947</v>
      </c>
      <c r="C42242" s="1">
        <v>0</v>
      </c>
      <c r="D42242" s="1">
        <v>0</v>
      </c>
      <c r="E42242" s="1">
        <v>4.3455399550671099E-6</v>
      </c>
      <c r="F42242" s="1">
        <v>9.9485134582992598E-8</v>
      </c>
    </row>
    <row r="42243" spans="1:6" x14ac:dyDescent="0.25">
      <c r="A42243" s="2" t="str">
        <f t="shared" si="1321"/>
        <v>99999</v>
      </c>
      <c r="B42243" s="2" t="str">
        <f>"74956"</f>
        <v>74956</v>
      </c>
      <c r="C42243" s="1">
        <v>8.6000870049411196E-5</v>
      </c>
      <c r="D42243" s="1">
        <v>3.9457669508630602E-5</v>
      </c>
      <c r="E42243" s="1">
        <v>1.3036619865201299E-5</v>
      </c>
      <c r="F42243" s="1">
        <v>8.12793549543049E-5</v>
      </c>
    </row>
    <row r="42244" spans="1:6" x14ac:dyDescent="0.25">
      <c r="A42244" s="2" t="str">
        <f t="shared" si="1321"/>
        <v>99999</v>
      </c>
      <c r="B42244" s="2" t="str">
        <f>"74941"</f>
        <v>74941</v>
      </c>
      <c r="C42244" s="1">
        <v>9.3531403086732703E-5</v>
      </c>
      <c r="D42244" s="1">
        <v>2.2764040101133E-5</v>
      </c>
      <c r="E42244" s="1">
        <v>1.73821598202684E-4</v>
      </c>
      <c r="F42244" s="1">
        <v>9.0730442739689197E-5</v>
      </c>
    </row>
    <row r="42245" spans="1:6" x14ac:dyDescent="0.25">
      <c r="A42245" s="2" t="str">
        <f t="shared" si="1321"/>
        <v>99999</v>
      </c>
      <c r="B42245" s="2" t="str">
        <f>"74556"</f>
        <v>74556</v>
      </c>
      <c r="C42245" s="1">
        <v>1.09138159961181E-7</v>
      </c>
      <c r="D42245" s="1">
        <v>0</v>
      </c>
      <c r="E42245" s="1">
        <v>4.3455399550671099E-6</v>
      </c>
      <c r="F42245" s="1">
        <v>1.9897026916598501E-7</v>
      </c>
    </row>
    <row r="42246" spans="1:6" x14ac:dyDescent="0.25">
      <c r="A42246" s="2" t="str">
        <f t="shared" si="1321"/>
        <v>99999</v>
      </c>
      <c r="B42246" s="2" t="str">
        <f>"74563"</f>
        <v>74563</v>
      </c>
      <c r="C42246" s="1">
        <v>7.1922047414418698E-5</v>
      </c>
      <c r="D42246" s="1">
        <v>3.0352053468177301E-5</v>
      </c>
      <c r="E42246" s="1">
        <v>4.3455399550671099E-6</v>
      </c>
      <c r="F42246" s="1">
        <v>6.7649891516434897E-5</v>
      </c>
    </row>
    <row r="42247" spans="1:6" x14ac:dyDescent="0.25">
      <c r="A42247" s="2" t="str">
        <f t="shared" si="1321"/>
        <v>99999</v>
      </c>
      <c r="B42247" s="2" t="str">
        <f>"74562"</f>
        <v>74562</v>
      </c>
      <c r="C42247" s="1">
        <v>4.6601994303424599E-5</v>
      </c>
      <c r="D42247" s="1">
        <v>7.5880133670443404E-6</v>
      </c>
      <c r="E42247" s="1">
        <v>4.7800939505738197E-5</v>
      </c>
      <c r="F42247" s="1">
        <v>4.4071914620265699E-5</v>
      </c>
    </row>
    <row r="42248" spans="1:6" x14ac:dyDescent="0.25">
      <c r="A42248" s="2" t="str">
        <f t="shared" si="1321"/>
        <v>99999</v>
      </c>
      <c r="B42248" s="2" t="str">
        <f>"74534"</f>
        <v>74534</v>
      </c>
      <c r="C42248" s="1">
        <v>2.6847987350450699E-5</v>
      </c>
      <c r="D42248" s="1">
        <v>9.1056160404532095E-6</v>
      </c>
      <c r="E42248" s="1">
        <v>4.3455399550671099E-6</v>
      </c>
      <c r="F42248" s="1">
        <v>2.5169739049497099E-5</v>
      </c>
    </row>
    <row r="42249" spans="1:6" x14ac:dyDescent="0.25">
      <c r="A42249" s="2" t="str">
        <f t="shared" si="1321"/>
        <v>99999</v>
      </c>
      <c r="B42249" s="2" t="str">
        <f>"74545"</f>
        <v>74545</v>
      </c>
      <c r="C42249" s="1">
        <v>0</v>
      </c>
      <c r="D42249" s="1">
        <v>0</v>
      </c>
      <c r="E42249" s="1">
        <v>8.69107991013423E-6</v>
      </c>
      <c r="F42249" s="1">
        <v>1.9897026916598501E-7</v>
      </c>
    </row>
    <row r="42250" spans="1:6" x14ac:dyDescent="0.25">
      <c r="A42250" s="2" t="str">
        <f t="shared" si="1321"/>
        <v>99999</v>
      </c>
      <c r="B42250" s="2" t="str">
        <f>"74525"</f>
        <v>74525</v>
      </c>
      <c r="C42250" s="1">
        <v>8.5902645705446105E-4</v>
      </c>
      <c r="D42250" s="1">
        <v>1.22015254942073E-3</v>
      </c>
      <c r="E42250" s="1">
        <v>1.2993164465650599E-3</v>
      </c>
      <c r="F42250" s="1">
        <v>8.9277959774777501E-4</v>
      </c>
    </row>
    <row r="42251" spans="1:6" x14ac:dyDescent="0.25">
      <c r="A42251" s="2" t="str">
        <f t="shared" si="1321"/>
        <v>99999</v>
      </c>
      <c r="B42251" s="2" t="str">
        <f>"74865"</f>
        <v>74865</v>
      </c>
      <c r="C42251" s="1">
        <v>8.2945001570498102E-6</v>
      </c>
      <c r="D42251" s="1">
        <v>0</v>
      </c>
      <c r="E42251" s="1">
        <v>0</v>
      </c>
      <c r="F42251" s="1">
        <v>7.5608702283074398E-6</v>
      </c>
    </row>
    <row r="42252" spans="1:6" x14ac:dyDescent="0.25">
      <c r="A42252" s="2" t="str">
        <f t="shared" si="1321"/>
        <v>99999</v>
      </c>
      <c r="B42252" s="2" t="str">
        <f>"74854"</f>
        <v>74854</v>
      </c>
      <c r="C42252" s="1">
        <v>3.6670421746956999E-5</v>
      </c>
      <c r="D42252" s="1">
        <v>7.5880133670443404E-6</v>
      </c>
      <c r="E42252" s="1">
        <v>0</v>
      </c>
      <c r="F42252" s="1">
        <v>3.3924430892800399E-5</v>
      </c>
    </row>
    <row r="42253" spans="1:6" x14ac:dyDescent="0.25">
      <c r="A42253" s="2" t="str">
        <f t="shared" si="1321"/>
        <v>99999</v>
      </c>
      <c r="B42253" s="2" t="str">
        <f>"74864"</f>
        <v>74864</v>
      </c>
      <c r="C42253" s="1">
        <v>5.4569079980590801E-7</v>
      </c>
      <c r="D42253" s="1">
        <v>0</v>
      </c>
      <c r="E42253" s="1">
        <v>0</v>
      </c>
      <c r="F42253" s="1">
        <v>4.9742567291496303E-7</v>
      </c>
    </row>
    <row r="42254" spans="1:6" x14ac:dyDescent="0.25">
      <c r="A42254" s="2" t="str">
        <f t="shared" si="1321"/>
        <v>99999</v>
      </c>
      <c r="B42254" s="2" t="str">
        <f>"74760"</f>
        <v>74760</v>
      </c>
      <c r="C42254" s="1">
        <v>1.82260727135173E-5</v>
      </c>
      <c r="D42254" s="1">
        <v>3.0352053468177301E-6</v>
      </c>
      <c r="E42254" s="1">
        <v>4.3455399550671099E-6</v>
      </c>
      <c r="F42254" s="1">
        <v>1.69124728791087E-5</v>
      </c>
    </row>
    <row r="42255" spans="1:6" x14ac:dyDescent="0.25">
      <c r="A42255" s="2" t="str">
        <f t="shared" si="1321"/>
        <v>99999</v>
      </c>
      <c r="B42255" s="2" t="str">
        <f>"74764"</f>
        <v>74764</v>
      </c>
      <c r="C42255" s="1">
        <v>1.6545345050115101E-4</v>
      </c>
      <c r="D42255" s="1">
        <v>1.198906111993E-4</v>
      </c>
      <c r="E42255" s="1">
        <v>4.7800939505738197E-5</v>
      </c>
      <c r="F42255" s="1">
        <v>1.59773126140286E-4</v>
      </c>
    </row>
    <row r="42256" spans="1:6" x14ac:dyDescent="0.25">
      <c r="A42256" s="2" t="str">
        <f t="shared" si="1321"/>
        <v>99999</v>
      </c>
      <c r="B42256" s="2" t="str">
        <f>"74759"</f>
        <v>74759</v>
      </c>
      <c r="C42256" s="1">
        <v>6.3190994617524202E-5</v>
      </c>
      <c r="D42256" s="1">
        <v>6.0704106936354696E-6</v>
      </c>
      <c r="E42256" s="1">
        <v>4.3455399550671099E-6</v>
      </c>
      <c r="F42256" s="1">
        <v>5.8099318596467703E-5</v>
      </c>
    </row>
    <row r="42257" spans="1:6" x14ac:dyDescent="0.25">
      <c r="A42257" s="2" t="str">
        <f t="shared" si="1321"/>
        <v>99999</v>
      </c>
      <c r="B42257" s="2" t="str">
        <f>"74820"</f>
        <v>74820</v>
      </c>
      <c r="C42257" s="1">
        <v>8.9493291168169008E-6</v>
      </c>
      <c r="D42257" s="1">
        <v>3.0352053468177301E-6</v>
      </c>
      <c r="E42257" s="1">
        <v>0</v>
      </c>
      <c r="F42257" s="1">
        <v>8.3567513049713805E-6</v>
      </c>
    </row>
    <row r="42258" spans="1:6" x14ac:dyDescent="0.25">
      <c r="A42258" s="2" t="str">
        <f t="shared" ref="A42258:A42321" si="1322">"99999"</f>
        <v>99999</v>
      </c>
      <c r="B42258" s="2" t="str">
        <f>"74845"</f>
        <v>74845</v>
      </c>
      <c r="C42258" s="1">
        <v>2.4228671511382299E-5</v>
      </c>
      <c r="D42258" s="1">
        <v>1.0623218713862E-5</v>
      </c>
      <c r="E42258" s="1">
        <v>4.3455399550671099E-6</v>
      </c>
      <c r="F42258" s="1">
        <v>2.28815809540883E-5</v>
      </c>
    </row>
    <row r="42259" spans="1:6" x14ac:dyDescent="0.25">
      <c r="A42259" s="2" t="str">
        <f t="shared" si="1322"/>
        <v>99999</v>
      </c>
      <c r="B42259" s="2" t="str">
        <f>"74840"</f>
        <v>74840</v>
      </c>
      <c r="C42259" s="1">
        <v>4.3764402144433798E-5</v>
      </c>
      <c r="D42259" s="1">
        <v>6.0704106936354696E-6</v>
      </c>
      <c r="E42259" s="1">
        <v>1.7382159820268399E-5</v>
      </c>
      <c r="F42259" s="1">
        <v>4.0689420044443899E-5</v>
      </c>
    </row>
    <row r="42260" spans="1:6" x14ac:dyDescent="0.25">
      <c r="A42260" s="2" t="str">
        <f t="shared" si="1322"/>
        <v>99999</v>
      </c>
      <c r="B42260" s="2" t="str">
        <f>"74438"</f>
        <v>74438</v>
      </c>
      <c r="C42260" s="1">
        <v>2.1827631992236301E-7</v>
      </c>
      <c r="D42260" s="1">
        <v>0</v>
      </c>
      <c r="E42260" s="1">
        <v>4.3455399550671099E-6</v>
      </c>
      <c r="F42260" s="1">
        <v>2.9845540374897701E-7</v>
      </c>
    </row>
    <row r="42261" spans="1:6" x14ac:dyDescent="0.25">
      <c r="A42261" s="2" t="str">
        <f t="shared" si="1322"/>
        <v>99999</v>
      </c>
      <c r="B42261" s="2" t="str">
        <f>"74349"</f>
        <v>74349</v>
      </c>
      <c r="C42261" s="1">
        <v>3.8198355986413598E-6</v>
      </c>
      <c r="D42261" s="1">
        <v>1.9728834754315301E-5</v>
      </c>
      <c r="E42261" s="1">
        <v>4.3455399550671099E-6</v>
      </c>
      <c r="F42261" s="1">
        <v>4.8747715945666299E-6</v>
      </c>
    </row>
    <row r="42262" spans="1:6" x14ac:dyDescent="0.25">
      <c r="A42262" s="2" t="str">
        <f t="shared" si="1322"/>
        <v>99999</v>
      </c>
      <c r="B42262" s="2" t="str">
        <f>"74347"</f>
        <v>74347</v>
      </c>
      <c r="C42262" s="1">
        <v>1.6589000314099601E-4</v>
      </c>
      <c r="D42262" s="1">
        <v>7.4362530997034595E-5</v>
      </c>
      <c r="E42262" s="1">
        <v>3.0418779685469802E-5</v>
      </c>
      <c r="F42262" s="1">
        <v>1.5678857210279601E-4</v>
      </c>
    </row>
    <row r="42263" spans="1:6" x14ac:dyDescent="0.25">
      <c r="A42263" s="2" t="str">
        <f t="shared" si="1322"/>
        <v>99999</v>
      </c>
      <c r="B42263" s="2" t="str">
        <f>"74367"</f>
        <v>74367</v>
      </c>
      <c r="C42263" s="1">
        <v>5.0421829902065903E-5</v>
      </c>
      <c r="D42263" s="1">
        <v>3.0352053468177301E-6</v>
      </c>
      <c r="E42263" s="1">
        <v>2.1727699775335501E-5</v>
      </c>
      <c r="F42263" s="1">
        <v>4.6658528119423498E-5</v>
      </c>
    </row>
    <row r="42264" spans="1:6" x14ac:dyDescent="0.25">
      <c r="A42264" s="2" t="str">
        <f t="shared" si="1322"/>
        <v>99999</v>
      </c>
      <c r="B42264" s="2" t="str">
        <f>"74016"</f>
        <v>74016</v>
      </c>
      <c r="C42264" s="1">
        <v>3.0667822949091999E-5</v>
      </c>
      <c r="D42264" s="1">
        <v>7.5880133670443404E-6</v>
      </c>
      <c r="E42264" s="1">
        <v>0</v>
      </c>
      <c r="F42264" s="1">
        <v>2.84527484907358E-5</v>
      </c>
    </row>
    <row r="42265" spans="1:6" x14ac:dyDescent="0.25">
      <c r="A42265" s="2" t="str">
        <f t="shared" si="1322"/>
        <v>99999</v>
      </c>
      <c r="B42265" s="2" t="str">
        <f>"74010"</f>
        <v>74010</v>
      </c>
      <c r="C42265" s="1">
        <v>8.7310527968945299E-7</v>
      </c>
      <c r="D42265" s="1">
        <v>0</v>
      </c>
      <c r="E42265" s="1">
        <v>0</v>
      </c>
      <c r="F42265" s="1">
        <v>7.9588107666394099E-7</v>
      </c>
    </row>
    <row r="42266" spans="1:6" x14ac:dyDescent="0.25">
      <c r="A42266" s="2" t="str">
        <f t="shared" si="1322"/>
        <v>99999</v>
      </c>
      <c r="B42266" s="2" t="str">
        <f>"74006"</f>
        <v>74006</v>
      </c>
      <c r="C42266" s="1">
        <v>1.85534871934008E-6</v>
      </c>
      <c r="D42266" s="1">
        <v>0</v>
      </c>
      <c r="E42266" s="1">
        <v>0</v>
      </c>
      <c r="F42266" s="1">
        <v>1.6912472879108699E-6</v>
      </c>
    </row>
    <row r="42267" spans="1:6" x14ac:dyDescent="0.25">
      <c r="A42267" s="2" t="str">
        <f t="shared" si="1322"/>
        <v>99999</v>
      </c>
      <c r="B42267" s="2" t="str">
        <f>"73851"</f>
        <v>73851</v>
      </c>
      <c r="C42267" s="1">
        <v>1.0040710716428699E-5</v>
      </c>
      <c r="D42267" s="1">
        <v>3.0352053468177301E-6</v>
      </c>
      <c r="E42267" s="1">
        <v>4.3455399550671099E-6</v>
      </c>
      <c r="F42267" s="1">
        <v>9.4510877853842998E-6</v>
      </c>
    </row>
    <row r="42268" spans="1:6" x14ac:dyDescent="0.25">
      <c r="A42268" s="2" t="str">
        <f t="shared" si="1322"/>
        <v>99999</v>
      </c>
      <c r="B42268" s="2" t="str">
        <f>"73932"</f>
        <v>73932</v>
      </c>
      <c r="C42268" s="1">
        <v>8.33815542103428E-5</v>
      </c>
      <c r="D42268" s="1">
        <v>6.9809722976807906E-5</v>
      </c>
      <c r="E42268" s="1">
        <v>1.3036619865201299E-5</v>
      </c>
      <c r="F42268" s="1">
        <v>8.0881414415973001E-5</v>
      </c>
    </row>
    <row r="42269" spans="1:6" x14ac:dyDescent="0.25">
      <c r="A42269" s="2" t="str">
        <f t="shared" si="1322"/>
        <v>99999</v>
      </c>
      <c r="B42269" s="2" t="str">
        <f>"73448"</f>
        <v>73448</v>
      </c>
      <c r="C42269" s="1">
        <v>2.1827631992236301E-7</v>
      </c>
      <c r="D42269" s="1">
        <v>0</v>
      </c>
      <c r="E42269" s="1">
        <v>0</v>
      </c>
      <c r="F42269" s="1">
        <v>1.9897026916598501E-7</v>
      </c>
    </row>
    <row r="42270" spans="1:6" x14ac:dyDescent="0.25">
      <c r="A42270" s="2" t="str">
        <f t="shared" si="1322"/>
        <v>99999</v>
      </c>
      <c r="B42270" s="2" t="str">
        <f>"73460"</f>
        <v>73460</v>
      </c>
      <c r="C42270" s="1">
        <v>2.6084020230722401E-4</v>
      </c>
      <c r="D42270" s="1">
        <v>4.7197443143015799E-4</v>
      </c>
      <c r="E42270" s="1">
        <v>1.6947605824761699E-4</v>
      </c>
      <c r="F42270" s="1">
        <v>2.7258926875739899E-4</v>
      </c>
    </row>
    <row r="42271" spans="1:6" x14ac:dyDescent="0.25">
      <c r="A42271" s="2" t="str">
        <f t="shared" si="1322"/>
        <v>99999</v>
      </c>
      <c r="B42271" s="2" t="str">
        <f>"73761"</f>
        <v>73761</v>
      </c>
      <c r="C42271" s="1">
        <v>2.67388491904895E-5</v>
      </c>
      <c r="D42271" s="1">
        <v>2.88344507947685E-5</v>
      </c>
      <c r="E42271" s="1">
        <v>4.3455399550671099E-6</v>
      </c>
      <c r="F42271" s="1">
        <v>2.6363560664493E-5</v>
      </c>
    </row>
    <row r="42272" spans="1:6" x14ac:dyDescent="0.25">
      <c r="A42272" s="2" t="str">
        <f t="shared" si="1322"/>
        <v>99999</v>
      </c>
      <c r="B42272" s="2" t="str">
        <f>"73747"</f>
        <v>73747</v>
      </c>
      <c r="C42272" s="1">
        <v>2.6302296550644701E-5</v>
      </c>
      <c r="D42272" s="1">
        <v>9.1056160404532095E-6</v>
      </c>
      <c r="E42272" s="1">
        <v>4.3455399550671099E-6</v>
      </c>
      <c r="F42272" s="1">
        <v>2.46723133765821E-5</v>
      </c>
    </row>
    <row r="42273" spans="1:6" x14ac:dyDescent="0.25">
      <c r="A42273" s="2" t="str">
        <f t="shared" si="1322"/>
        <v>99999</v>
      </c>
      <c r="B42273" s="2" t="str">
        <f>"73729"</f>
        <v>73729</v>
      </c>
      <c r="C42273" s="1">
        <v>3.6561283586995803E-5</v>
      </c>
      <c r="D42273" s="1">
        <v>2.4281642774541899E-5</v>
      </c>
      <c r="E42273" s="1">
        <v>0</v>
      </c>
      <c r="F42273" s="1">
        <v>3.4919282238630398E-5</v>
      </c>
    </row>
    <row r="42274" spans="1:6" x14ac:dyDescent="0.25">
      <c r="A42274" s="2" t="str">
        <f t="shared" si="1322"/>
        <v>99999</v>
      </c>
      <c r="B42274" s="2" t="str">
        <f>"73647"</f>
        <v>73647</v>
      </c>
      <c r="C42274" s="1">
        <v>9.40770938865386E-5</v>
      </c>
      <c r="D42274" s="1">
        <v>4.8563285549083798E-5</v>
      </c>
      <c r="E42274" s="1">
        <v>3.0418779685469802E-5</v>
      </c>
      <c r="F42274" s="1">
        <v>8.9636106259276301E-5</v>
      </c>
    </row>
    <row r="42275" spans="1:6" x14ac:dyDescent="0.25">
      <c r="A42275" s="2" t="str">
        <f t="shared" si="1322"/>
        <v>99999</v>
      </c>
      <c r="B42275" s="2" t="str">
        <f>"73642"</f>
        <v>73642</v>
      </c>
      <c r="C42275" s="1">
        <v>1.8662625353362001E-5</v>
      </c>
      <c r="D42275" s="1">
        <v>3.0352053468177301E-6</v>
      </c>
      <c r="E42275" s="1">
        <v>4.3455399550671099E-6</v>
      </c>
      <c r="F42275" s="1">
        <v>1.7310413417440701E-5</v>
      </c>
    </row>
    <row r="42276" spans="1:6" x14ac:dyDescent="0.25">
      <c r="A42276" s="2" t="str">
        <f t="shared" si="1322"/>
        <v>99999</v>
      </c>
      <c r="B42276" s="2" t="str">
        <f>"73673"</f>
        <v>73673</v>
      </c>
      <c r="C42276" s="1">
        <v>1.76803819137114E-5</v>
      </c>
      <c r="D42276" s="1">
        <v>7.5880133670443404E-6</v>
      </c>
      <c r="E42276" s="1">
        <v>4.3455399550671099E-6</v>
      </c>
      <c r="F42276" s="1">
        <v>1.67135026099427E-5</v>
      </c>
    </row>
    <row r="42277" spans="1:6" x14ac:dyDescent="0.25">
      <c r="A42277" s="2" t="str">
        <f t="shared" si="1322"/>
        <v>99999</v>
      </c>
      <c r="B42277" s="2" t="str">
        <f>"73667"</f>
        <v>73667</v>
      </c>
      <c r="C42277" s="1">
        <v>3.3505415108082699E-5</v>
      </c>
      <c r="D42277" s="1">
        <v>1.3658424060679801E-5</v>
      </c>
      <c r="E42277" s="1">
        <v>4.3455399550671099E-6</v>
      </c>
      <c r="F42277" s="1">
        <v>3.1536787662808598E-5</v>
      </c>
    </row>
    <row r="42278" spans="1:6" x14ac:dyDescent="0.25">
      <c r="A42278" s="2" t="str">
        <f t="shared" si="1322"/>
        <v>99999</v>
      </c>
      <c r="B42278" s="2" t="str">
        <f>"73095"</f>
        <v>73095</v>
      </c>
      <c r="C42278" s="1">
        <v>5.4569079980590801E-7</v>
      </c>
      <c r="D42278" s="1">
        <v>0</v>
      </c>
      <c r="E42278" s="1">
        <v>0</v>
      </c>
      <c r="F42278" s="1">
        <v>4.9742567291496303E-7</v>
      </c>
    </row>
    <row r="42279" spans="1:6" x14ac:dyDescent="0.25">
      <c r="A42279" s="2" t="str">
        <f t="shared" si="1322"/>
        <v>99999</v>
      </c>
      <c r="B42279" s="2" t="str">
        <f>"73061"</f>
        <v>73061</v>
      </c>
      <c r="C42279" s="1">
        <v>6.5373757816747802E-5</v>
      </c>
      <c r="D42279" s="1">
        <v>4.4010477528857203E-5</v>
      </c>
      <c r="E42279" s="1">
        <v>2.1727699775335501E-5</v>
      </c>
      <c r="F42279" s="1">
        <v>6.2974090191034298E-5</v>
      </c>
    </row>
    <row r="42280" spans="1:6" x14ac:dyDescent="0.25">
      <c r="A42280" s="2" t="str">
        <f t="shared" si="1322"/>
        <v>99999</v>
      </c>
      <c r="B42280" s="2" t="str">
        <f>"72951"</f>
        <v>72951</v>
      </c>
      <c r="C42280" s="1">
        <v>2.8812474229751901E-5</v>
      </c>
      <c r="D42280" s="1">
        <v>2.7316848121359601E-5</v>
      </c>
      <c r="E42280" s="1">
        <v>4.3455399550671099E-6</v>
      </c>
      <c r="F42280" s="1">
        <v>2.8154293086986899E-5</v>
      </c>
    </row>
    <row r="42281" spans="1:6" x14ac:dyDescent="0.25">
      <c r="A42281" s="2" t="str">
        <f t="shared" si="1322"/>
        <v>99999</v>
      </c>
      <c r="B42281" s="2" t="str">
        <f>"73041"</f>
        <v>73041</v>
      </c>
      <c r="C42281" s="1">
        <v>1.9863145112935E-5</v>
      </c>
      <c r="D42281" s="1">
        <v>1.3658424060679801E-5</v>
      </c>
      <c r="E42281" s="1">
        <v>4.3455399550671099E-6</v>
      </c>
      <c r="F42281" s="1">
        <v>1.9101145839934498E-5</v>
      </c>
    </row>
    <row r="42282" spans="1:6" x14ac:dyDescent="0.25">
      <c r="A42282" s="2" t="str">
        <f t="shared" si="1322"/>
        <v>99999</v>
      </c>
      <c r="B42282" s="2" t="str">
        <f>"73017"</f>
        <v>73017</v>
      </c>
      <c r="C42282" s="1">
        <v>1.76803819137114E-5</v>
      </c>
      <c r="D42282" s="1">
        <v>4.5528080202265997E-6</v>
      </c>
      <c r="E42282" s="1">
        <v>4.3455399550671099E-6</v>
      </c>
      <c r="F42282" s="1">
        <v>1.65145323407767E-5</v>
      </c>
    </row>
    <row r="42283" spans="1:6" x14ac:dyDescent="0.25">
      <c r="A42283" s="2" t="str">
        <f t="shared" si="1322"/>
        <v>99999</v>
      </c>
      <c r="B42283" s="2" t="str">
        <f>"72863"</f>
        <v>72863</v>
      </c>
      <c r="C42283" s="1">
        <v>8.6110008209372297E-5</v>
      </c>
      <c r="D42283" s="1">
        <v>2.2764040101133E-5</v>
      </c>
      <c r="E42283" s="1">
        <v>1.7382159820268399E-5</v>
      </c>
      <c r="F42283" s="1">
        <v>8.0383988743058002E-5</v>
      </c>
    </row>
    <row r="42284" spans="1:6" x14ac:dyDescent="0.25">
      <c r="A42284" s="2" t="str">
        <f t="shared" si="1322"/>
        <v>99999</v>
      </c>
      <c r="B42284" s="2" t="str">
        <f>"72840"</f>
        <v>72840</v>
      </c>
      <c r="C42284" s="1">
        <v>1.1197575212017199E-4</v>
      </c>
      <c r="D42284" s="1">
        <v>3.6422464161812797E-5</v>
      </c>
      <c r="E42284" s="1">
        <v>8.69107991013423E-6</v>
      </c>
      <c r="F42284" s="1">
        <v>1.04658361581308E-4</v>
      </c>
    </row>
    <row r="42285" spans="1:6" x14ac:dyDescent="0.25">
      <c r="A42285" s="2" t="str">
        <f t="shared" si="1322"/>
        <v>99999</v>
      </c>
      <c r="B42285" s="2" t="str">
        <f>"72663"</f>
        <v>72663</v>
      </c>
      <c r="C42285" s="1">
        <v>3.09952374289756E-5</v>
      </c>
      <c r="D42285" s="1">
        <v>3.0352053468177301E-6</v>
      </c>
      <c r="E42285" s="1">
        <v>4.3455399550671099E-6</v>
      </c>
      <c r="F42285" s="1">
        <v>2.8552233625318801E-5</v>
      </c>
    </row>
    <row r="42286" spans="1:6" x14ac:dyDescent="0.25">
      <c r="A42286" s="2" t="str">
        <f t="shared" si="1322"/>
        <v>99999</v>
      </c>
      <c r="B42286" s="2" t="str">
        <f>"72686"</f>
        <v>72686</v>
      </c>
      <c r="C42286" s="1">
        <v>2.02996977527798E-5</v>
      </c>
      <c r="D42286" s="1">
        <v>1.51760267340886E-6</v>
      </c>
      <c r="E42286" s="1">
        <v>4.3455399550671099E-6</v>
      </c>
      <c r="F42286" s="1">
        <v>1.8703205301602599E-5</v>
      </c>
    </row>
    <row r="42287" spans="1:6" x14ac:dyDescent="0.25">
      <c r="A42287" s="2" t="str">
        <f t="shared" si="1322"/>
        <v>99999</v>
      </c>
      <c r="B42287" s="2" t="str">
        <f>"72415"</f>
        <v>72415</v>
      </c>
      <c r="C42287" s="1">
        <v>7.0503251334923399E-5</v>
      </c>
      <c r="D42287" s="1">
        <v>2.4281642774541899E-5</v>
      </c>
      <c r="E42287" s="1">
        <v>1.3036619865201299E-5</v>
      </c>
      <c r="F42287" s="1">
        <v>6.6157614497690102E-5</v>
      </c>
    </row>
    <row r="42288" spans="1:6" x14ac:dyDescent="0.25">
      <c r="A42288" s="2" t="str">
        <f t="shared" si="1322"/>
        <v>99999</v>
      </c>
      <c r="B42288" s="2" t="str">
        <f>"72373"</f>
        <v>72373</v>
      </c>
      <c r="C42288" s="1">
        <v>2.72845399902954E-5</v>
      </c>
      <c r="D42288" s="1">
        <v>4.5528080202266E-5</v>
      </c>
      <c r="E42288" s="1">
        <v>4.3455399550671099E-6</v>
      </c>
      <c r="F42288" s="1">
        <v>2.7955322817820898E-5</v>
      </c>
    </row>
    <row r="42289" spans="1:6" x14ac:dyDescent="0.25">
      <c r="A42289" s="2" t="str">
        <f t="shared" si="1322"/>
        <v>99999</v>
      </c>
      <c r="B42289" s="2" t="str">
        <f>"72355"</f>
        <v>72355</v>
      </c>
      <c r="C42289" s="1">
        <v>1.9099177993206801E-5</v>
      </c>
      <c r="D42289" s="1">
        <v>1.66936294074975E-5</v>
      </c>
      <c r="E42289" s="1">
        <v>0</v>
      </c>
      <c r="F42289" s="1">
        <v>1.8504235032436599E-5</v>
      </c>
    </row>
    <row r="42290" spans="1:6" x14ac:dyDescent="0.25">
      <c r="A42290" s="2" t="str">
        <f t="shared" si="1322"/>
        <v>99999</v>
      </c>
      <c r="B42290" s="2" t="str">
        <f>"72372"</f>
        <v>72372</v>
      </c>
      <c r="C42290" s="1">
        <v>1.01498488763899E-5</v>
      </c>
      <c r="D42290" s="1">
        <v>4.5528080202265997E-6</v>
      </c>
      <c r="E42290" s="1">
        <v>0</v>
      </c>
      <c r="F42290" s="1">
        <v>9.5505729199672898E-6</v>
      </c>
    </row>
    <row r="42291" spans="1:6" x14ac:dyDescent="0.25">
      <c r="A42291" s="2" t="str">
        <f t="shared" si="1322"/>
        <v>99999</v>
      </c>
      <c r="B42291" s="2" t="str">
        <f>"72482"</f>
        <v>72482</v>
      </c>
      <c r="C42291" s="1">
        <v>1.09138159961181E-7</v>
      </c>
      <c r="D42291" s="1">
        <v>0</v>
      </c>
      <c r="E42291" s="1">
        <v>0</v>
      </c>
      <c r="F42291" s="1">
        <v>9.9485134582992598E-8</v>
      </c>
    </row>
    <row r="42292" spans="1:6" x14ac:dyDescent="0.25">
      <c r="A42292" s="2" t="str">
        <f t="shared" si="1322"/>
        <v>99999</v>
      </c>
      <c r="B42292" s="2" t="str">
        <f>"72546"</f>
        <v>72546</v>
      </c>
      <c r="C42292" s="1">
        <v>1.0804677836156901E-5</v>
      </c>
      <c r="D42292" s="1">
        <v>3.0352053468177301E-6</v>
      </c>
      <c r="E42292" s="1">
        <v>4.3455399550671099E-6</v>
      </c>
      <c r="F42292" s="1">
        <v>1.01474837274652E-5</v>
      </c>
    </row>
    <row r="42293" spans="1:6" x14ac:dyDescent="0.25">
      <c r="A42293" s="2" t="str">
        <f t="shared" si="1322"/>
        <v>99999</v>
      </c>
      <c r="B42293" s="2" t="str">
        <f>"72534"</f>
        <v>72534</v>
      </c>
      <c r="C42293" s="1">
        <v>6.0025987978649897E-6</v>
      </c>
      <c r="D42293" s="1">
        <v>0</v>
      </c>
      <c r="E42293" s="1">
        <v>0</v>
      </c>
      <c r="F42293" s="1">
        <v>5.4716824020645896E-6</v>
      </c>
    </row>
    <row r="42294" spans="1:6" x14ac:dyDescent="0.25">
      <c r="A42294" s="2" t="str">
        <f t="shared" si="1322"/>
        <v>99999</v>
      </c>
      <c r="B42294" s="2" t="str">
        <f>"72542"</f>
        <v>72542</v>
      </c>
      <c r="C42294" s="1">
        <v>3.1650066388742699E-5</v>
      </c>
      <c r="D42294" s="1">
        <v>1.0623218713862E-5</v>
      </c>
      <c r="E42294" s="1">
        <v>0</v>
      </c>
      <c r="F42294" s="1">
        <v>2.95470849711488E-5</v>
      </c>
    </row>
    <row r="42295" spans="1:6" x14ac:dyDescent="0.25">
      <c r="A42295" s="2" t="str">
        <f t="shared" si="1322"/>
        <v>99999</v>
      </c>
      <c r="B42295" s="2" t="str">
        <f>"72441"</f>
        <v>72441</v>
      </c>
      <c r="C42295" s="1">
        <v>0</v>
      </c>
      <c r="D42295" s="1">
        <v>0</v>
      </c>
      <c r="E42295" s="1">
        <v>4.3455399550671099E-6</v>
      </c>
      <c r="F42295" s="1">
        <v>9.9485134582992598E-8</v>
      </c>
    </row>
    <row r="42296" spans="1:6" x14ac:dyDescent="0.25">
      <c r="A42296" s="2" t="str">
        <f t="shared" si="1322"/>
        <v>99999</v>
      </c>
      <c r="B42296" s="2" t="str">
        <f>"72430"</f>
        <v>72430</v>
      </c>
      <c r="C42296" s="1">
        <v>2.30281517518093E-5</v>
      </c>
      <c r="D42296" s="1">
        <v>4.5528080202265997E-6</v>
      </c>
      <c r="E42296" s="1">
        <v>4.3455399550671099E-6</v>
      </c>
      <c r="F42296" s="1">
        <v>2.13893039353434E-5</v>
      </c>
    </row>
    <row r="42297" spans="1:6" x14ac:dyDescent="0.25">
      <c r="A42297" s="2" t="str">
        <f t="shared" si="1322"/>
        <v>99999</v>
      </c>
      <c r="B42297" s="2" t="str">
        <f>"72043"</f>
        <v>72043</v>
      </c>
      <c r="C42297" s="1">
        <v>0</v>
      </c>
      <c r="D42297" s="1">
        <v>0</v>
      </c>
      <c r="E42297" s="1">
        <v>4.3455399550671099E-6</v>
      </c>
      <c r="F42297" s="1">
        <v>9.9485134582992598E-8</v>
      </c>
    </row>
    <row r="42298" spans="1:6" x14ac:dyDescent="0.25">
      <c r="A42298" s="2" t="str">
        <f t="shared" si="1322"/>
        <v>99999</v>
      </c>
      <c r="B42298" s="2" t="str">
        <f>"72073"</f>
        <v>72073</v>
      </c>
      <c r="C42298" s="1">
        <v>3.6670421746956999E-5</v>
      </c>
      <c r="D42298" s="1">
        <v>2.4281642774541899E-5</v>
      </c>
      <c r="E42298" s="1">
        <v>0</v>
      </c>
      <c r="F42298" s="1">
        <v>3.5018767373213403E-5</v>
      </c>
    </row>
    <row r="42299" spans="1:6" x14ac:dyDescent="0.25">
      <c r="A42299" s="2" t="str">
        <f t="shared" si="1322"/>
        <v>99999</v>
      </c>
      <c r="B42299" s="2" t="str">
        <f>"72044"</f>
        <v>72044</v>
      </c>
      <c r="C42299" s="1">
        <v>7.1922047414418698E-5</v>
      </c>
      <c r="D42299" s="1">
        <v>1.21408213872709E-5</v>
      </c>
      <c r="E42299" s="1">
        <v>4.3455399550671099E-6</v>
      </c>
      <c r="F42299" s="1">
        <v>6.6456069901438996E-5</v>
      </c>
    </row>
    <row r="42300" spans="1:6" x14ac:dyDescent="0.25">
      <c r="A42300" s="2" t="str">
        <f t="shared" si="1322"/>
        <v>99999</v>
      </c>
      <c r="B42300" s="2" t="str">
        <f>"72166"</f>
        <v>72166</v>
      </c>
      <c r="C42300" s="1">
        <v>2.0081421432857398E-5</v>
      </c>
      <c r="D42300" s="1">
        <v>1.0623218713862E-5</v>
      </c>
      <c r="E42300" s="1">
        <v>4.3455399550671099E-6</v>
      </c>
      <c r="F42300" s="1">
        <v>1.9101145839934498E-5</v>
      </c>
    </row>
    <row r="42301" spans="1:6" x14ac:dyDescent="0.25">
      <c r="A42301" s="2" t="str">
        <f t="shared" si="1322"/>
        <v>99999</v>
      </c>
      <c r="B42301" s="2" t="str">
        <f>"72110"</f>
        <v>72110</v>
      </c>
      <c r="C42301" s="1">
        <v>6.5482895976709001E-4</v>
      </c>
      <c r="D42301" s="1">
        <v>1.1609660451577799E-3</v>
      </c>
      <c r="E42301" s="1">
        <v>4.56281695282047E-4</v>
      </c>
      <c r="F42301" s="1">
        <v>6.8346287458515898E-4</v>
      </c>
    </row>
    <row r="42302" spans="1:6" x14ac:dyDescent="0.25">
      <c r="A42302" s="2" t="str">
        <f t="shared" si="1322"/>
        <v>99999</v>
      </c>
      <c r="B42302" s="2" t="str">
        <f>"71676"</f>
        <v>71676</v>
      </c>
      <c r="C42302" s="1">
        <v>1.8335210873478499E-5</v>
      </c>
      <c r="D42302" s="1">
        <v>2.7316848121359601E-5</v>
      </c>
      <c r="E42302" s="1">
        <v>8.69107991013423E-6</v>
      </c>
      <c r="F42302" s="1">
        <v>1.8703205301602599E-5</v>
      </c>
    </row>
    <row r="42303" spans="1:6" x14ac:dyDescent="0.25">
      <c r="A42303" s="2" t="str">
        <f t="shared" si="1322"/>
        <v>99999</v>
      </c>
      <c r="B42303" s="2" t="str">
        <f>"71720"</f>
        <v>71720</v>
      </c>
      <c r="C42303" s="1">
        <v>1.52793423945654E-6</v>
      </c>
      <c r="D42303" s="1">
        <v>0</v>
      </c>
      <c r="E42303" s="1">
        <v>0</v>
      </c>
      <c r="F42303" s="1">
        <v>1.39279188416189E-6</v>
      </c>
    </row>
    <row r="42304" spans="1:6" x14ac:dyDescent="0.25">
      <c r="A42304" s="2" t="str">
        <f t="shared" si="1322"/>
        <v>99999</v>
      </c>
      <c r="B42304" s="2" t="str">
        <f>"71671"</f>
        <v>71671</v>
      </c>
      <c r="C42304" s="1">
        <v>4.5641578495766202E-4</v>
      </c>
      <c r="D42304" s="1">
        <v>6.76850792340355E-4</v>
      </c>
      <c r="E42304" s="1">
        <v>1.6513051829255E-4</v>
      </c>
      <c r="F42304" s="1">
        <v>4.6419763796424303E-4</v>
      </c>
    </row>
    <row r="42305" spans="1:6" x14ac:dyDescent="0.25">
      <c r="A42305" s="2" t="str">
        <f t="shared" si="1322"/>
        <v>99999</v>
      </c>
      <c r="B42305" s="2" t="str">
        <f>"71663"</f>
        <v>71663</v>
      </c>
      <c r="C42305" s="1">
        <v>2.2591599111964599E-5</v>
      </c>
      <c r="D42305" s="1">
        <v>2.1246437427724101E-5</v>
      </c>
      <c r="E42305" s="1">
        <v>4.3455399550671099E-6</v>
      </c>
      <c r="F42305" s="1">
        <v>2.2085699877424301E-5</v>
      </c>
    </row>
    <row r="42306" spans="1:6" x14ac:dyDescent="0.25">
      <c r="A42306" s="2" t="str">
        <f t="shared" si="1322"/>
        <v>99999</v>
      </c>
      <c r="B42306" s="2" t="str">
        <f>"71952"</f>
        <v>71952</v>
      </c>
      <c r="C42306" s="1">
        <v>3.7106974386801701E-6</v>
      </c>
      <c r="D42306" s="1">
        <v>0</v>
      </c>
      <c r="E42306" s="1">
        <v>4.3455399550671099E-6</v>
      </c>
      <c r="F42306" s="1">
        <v>3.48197971040474E-6</v>
      </c>
    </row>
    <row r="42307" spans="1:6" x14ac:dyDescent="0.25">
      <c r="A42307" s="2" t="str">
        <f t="shared" si="1322"/>
        <v>99999</v>
      </c>
      <c r="B42307" s="2" t="str">
        <f>"72003"</f>
        <v>72003</v>
      </c>
      <c r="C42307" s="1">
        <v>3.5142487507500497E-5</v>
      </c>
      <c r="D42307" s="1">
        <v>9.1056160404532095E-6</v>
      </c>
      <c r="E42307" s="1">
        <v>4.3455399550671099E-6</v>
      </c>
      <c r="F42307" s="1">
        <v>3.2730609277804499E-5</v>
      </c>
    </row>
    <row r="42308" spans="1:6" x14ac:dyDescent="0.25">
      <c r="A42308" s="2" t="str">
        <f t="shared" si="1322"/>
        <v>99999</v>
      </c>
      <c r="B42308" s="2" t="str">
        <f>"71953"</f>
        <v>71953</v>
      </c>
      <c r="C42308" s="1">
        <v>8.9187704320277698E-4</v>
      </c>
      <c r="D42308" s="1">
        <v>1.2398813841750401E-3</v>
      </c>
      <c r="E42308" s="1">
        <v>2.2162253770842199E-4</v>
      </c>
      <c r="F42308" s="1">
        <v>8.9934561663025301E-4</v>
      </c>
    </row>
    <row r="42309" spans="1:6" x14ac:dyDescent="0.25">
      <c r="A42309" s="2" t="str">
        <f t="shared" si="1322"/>
        <v>99999</v>
      </c>
      <c r="B42309" s="2" t="str">
        <f>"71923"</f>
        <v>71923</v>
      </c>
      <c r="C42309" s="1">
        <v>5.0203553582143598E-6</v>
      </c>
      <c r="D42309" s="1">
        <v>3.0352053468177301E-6</v>
      </c>
      <c r="E42309" s="1">
        <v>0</v>
      </c>
      <c r="F42309" s="1">
        <v>4.7752864599836398E-6</v>
      </c>
    </row>
    <row r="42310" spans="1:6" x14ac:dyDescent="0.25">
      <c r="A42310" s="2" t="str">
        <f t="shared" si="1322"/>
        <v>99999</v>
      </c>
      <c r="B42310" s="2" t="str">
        <f>"71935"</f>
        <v>71935</v>
      </c>
      <c r="C42310" s="1">
        <v>4.27821587047832E-5</v>
      </c>
      <c r="D42310" s="1">
        <v>9.1056160404532095E-6</v>
      </c>
      <c r="E42310" s="1">
        <v>4.3455399550671099E-6</v>
      </c>
      <c r="F42310" s="1">
        <v>3.9694568698614001E-5</v>
      </c>
    </row>
    <row r="42311" spans="1:6" x14ac:dyDescent="0.25">
      <c r="A42311" s="2" t="str">
        <f t="shared" si="1322"/>
        <v>99999</v>
      </c>
      <c r="B42311" s="2" t="str">
        <f>"71643"</f>
        <v>71643</v>
      </c>
      <c r="C42311" s="1">
        <v>1.0913815996118101E-6</v>
      </c>
      <c r="D42311" s="1">
        <v>1.51760267340886E-6</v>
      </c>
      <c r="E42311" s="1">
        <v>0</v>
      </c>
      <c r="F42311" s="1">
        <v>1.09433648041291E-6</v>
      </c>
    </row>
    <row r="42312" spans="1:6" x14ac:dyDescent="0.25">
      <c r="A42312" s="2" t="str">
        <f t="shared" si="1322"/>
        <v>99999</v>
      </c>
      <c r="B42312" s="2" t="str">
        <f>"71639"</f>
        <v>71639</v>
      </c>
      <c r="C42312" s="1">
        <v>3.1115289404932901E-4</v>
      </c>
      <c r="D42312" s="1">
        <v>5.4178415440696596E-4</v>
      </c>
      <c r="E42312" s="1">
        <v>2.6073239730402698E-4</v>
      </c>
      <c r="F42312" s="1">
        <v>3.25117419817219E-4</v>
      </c>
    </row>
    <row r="42313" spans="1:6" x14ac:dyDescent="0.25">
      <c r="A42313" s="2" t="str">
        <f t="shared" si="1322"/>
        <v>99999</v>
      </c>
      <c r="B42313" s="2" t="str">
        <f>"71852"</f>
        <v>71852</v>
      </c>
      <c r="C42313" s="1">
        <v>4.9526896990384202E-4</v>
      </c>
      <c r="D42313" s="1">
        <v>7.6335414472466102E-4</v>
      </c>
      <c r="E42313" s="1">
        <v>3.0418779685469798E-4</v>
      </c>
      <c r="F42313" s="1">
        <v>5.0846852285367505E-4</v>
      </c>
    </row>
    <row r="42314" spans="1:6" x14ac:dyDescent="0.25">
      <c r="A42314" s="2" t="str">
        <f t="shared" si="1322"/>
        <v>99999</v>
      </c>
      <c r="B42314" s="2" t="str">
        <f>"71480"</f>
        <v>71480</v>
      </c>
      <c r="C42314" s="1">
        <v>0</v>
      </c>
      <c r="D42314" s="1">
        <v>0</v>
      </c>
      <c r="E42314" s="1">
        <v>4.3455399550671099E-6</v>
      </c>
      <c r="F42314" s="1">
        <v>9.9485134582992598E-8</v>
      </c>
    </row>
    <row r="42315" spans="1:6" x14ac:dyDescent="0.25">
      <c r="A42315" s="2" t="str">
        <f t="shared" si="1322"/>
        <v>99999</v>
      </c>
      <c r="B42315" s="2" t="str">
        <f>"71237"</f>
        <v>71237</v>
      </c>
      <c r="C42315" s="1">
        <v>3.5797316467267603E-5</v>
      </c>
      <c r="D42315" s="1">
        <v>1.0623218713862E-5</v>
      </c>
      <c r="E42315" s="1">
        <v>4.3455399550671099E-6</v>
      </c>
      <c r="F42315" s="1">
        <v>3.3427005219885502E-5</v>
      </c>
    </row>
    <row r="42316" spans="1:6" x14ac:dyDescent="0.25">
      <c r="A42316" s="2" t="str">
        <f t="shared" si="1322"/>
        <v>99999</v>
      </c>
      <c r="B42316" s="2" t="str">
        <f>"71457"</f>
        <v>71457</v>
      </c>
      <c r="C42316" s="1">
        <v>2.24824609520034E-5</v>
      </c>
      <c r="D42316" s="1">
        <v>4.5528080202265997E-6</v>
      </c>
      <c r="E42316" s="1">
        <v>0</v>
      </c>
      <c r="F42316" s="1">
        <v>2.0792393127845399E-5</v>
      </c>
    </row>
    <row r="42317" spans="1:6" x14ac:dyDescent="0.25">
      <c r="A42317" s="2" t="str">
        <f t="shared" si="1322"/>
        <v>99999</v>
      </c>
      <c r="B42317" s="2" t="str">
        <f>"71356"</f>
        <v>71356</v>
      </c>
      <c r="C42317" s="1">
        <v>5.8934606379038102E-6</v>
      </c>
      <c r="D42317" s="1">
        <v>0</v>
      </c>
      <c r="E42317" s="1">
        <v>0</v>
      </c>
      <c r="F42317" s="1">
        <v>5.3721972674816004E-6</v>
      </c>
    </row>
    <row r="42318" spans="1:6" x14ac:dyDescent="0.25">
      <c r="A42318" s="2" t="str">
        <f t="shared" si="1322"/>
        <v>99999</v>
      </c>
      <c r="B42318" s="2" t="str">
        <f>"71343"</f>
        <v>71343</v>
      </c>
      <c r="C42318" s="1">
        <v>3.6976008594848299E-4</v>
      </c>
      <c r="D42318" s="1">
        <v>4.4010477528857198E-4</v>
      </c>
      <c r="E42318" s="1">
        <v>1.12984038831745E-4</v>
      </c>
      <c r="F42318" s="1">
        <v>3.68492938495404E-4</v>
      </c>
    </row>
    <row r="42319" spans="1:6" x14ac:dyDescent="0.25">
      <c r="A42319" s="2" t="str">
        <f t="shared" si="1322"/>
        <v>99999</v>
      </c>
      <c r="B42319" s="2" t="str">
        <f>"71342"</f>
        <v>71342</v>
      </c>
      <c r="C42319" s="1">
        <v>2.9827459117390899E-4</v>
      </c>
      <c r="D42319" s="1">
        <v>2.0487636091019699E-4</v>
      </c>
      <c r="E42319" s="1">
        <v>1.6078497833748299E-4</v>
      </c>
      <c r="F42319" s="1">
        <v>2.89004315963593E-4</v>
      </c>
    </row>
    <row r="42320" spans="1:6" x14ac:dyDescent="0.25">
      <c r="A42320" s="2" t="str">
        <f t="shared" si="1322"/>
        <v>99999</v>
      </c>
      <c r="B42320" s="2" t="str">
        <f>"71415"</f>
        <v>71415</v>
      </c>
      <c r="C42320" s="1">
        <v>4.3655263984472602E-7</v>
      </c>
      <c r="D42320" s="1">
        <v>0</v>
      </c>
      <c r="E42320" s="1">
        <v>4.3455399550671099E-6</v>
      </c>
      <c r="F42320" s="1">
        <v>4.9742567291496303E-7</v>
      </c>
    </row>
    <row r="42321" spans="1:6" x14ac:dyDescent="0.25">
      <c r="A42321" s="2" t="str">
        <f t="shared" si="1322"/>
        <v>99999</v>
      </c>
      <c r="B42321" s="2" t="str">
        <f>"71426"</f>
        <v>71426</v>
      </c>
      <c r="C42321" s="1">
        <v>0</v>
      </c>
      <c r="D42321" s="1">
        <v>0</v>
      </c>
      <c r="E42321" s="1">
        <v>4.3455399550671099E-6</v>
      </c>
      <c r="F42321" s="1">
        <v>9.9485134582992598E-8</v>
      </c>
    </row>
    <row r="42322" spans="1:6" x14ac:dyDescent="0.25">
      <c r="A42322" s="2" t="str">
        <f t="shared" ref="A42322:A42385" si="1323">"99999"</f>
        <v>99999</v>
      </c>
      <c r="B42322" s="2" t="str">
        <f>"71406"</f>
        <v>71406</v>
      </c>
      <c r="C42322" s="1">
        <v>1.4297098954914801E-5</v>
      </c>
      <c r="D42322" s="1">
        <v>9.1056160404532095E-6</v>
      </c>
      <c r="E42322" s="1">
        <v>4.3455399550671099E-6</v>
      </c>
      <c r="F42322" s="1">
        <v>1.37289485724529E-5</v>
      </c>
    </row>
    <row r="42323" spans="1:6" x14ac:dyDescent="0.25">
      <c r="A42323" s="2" t="str">
        <f t="shared" si="1323"/>
        <v>99999</v>
      </c>
      <c r="B42323" s="2" t="str">
        <f>"71378"</f>
        <v>71378</v>
      </c>
      <c r="C42323" s="1">
        <v>7.7488093572438996E-5</v>
      </c>
      <c r="D42323" s="1">
        <v>3.4904861488403899E-5</v>
      </c>
      <c r="E42323" s="1">
        <v>3.0418779685469802E-5</v>
      </c>
      <c r="F42323" s="1">
        <v>7.3618999591414496E-5</v>
      </c>
    </row>
    <row r="42324" spans="1:6" x14ac:dyDescent="0.25">
      <c r="A42324" s="2" t="str">
        <f t="shared" si="1323"/>
        <v>99999</v>
      </c>
      <c r="B42324" s="2" t="str">
        <f>"71230"</f>
        <v>71230</v>
      </c>
      <c r="C42324" s="1">
        <v>0</v>
      </c>
      <c r="D42324" s="1">
        <v>0</v>
      </c>
      <c r="E42324" s="1">
        <v>4.3455399550671099E-6</v>
      </c>
      <c r="F42324" s="1">
        <v>9.9485134582992598E-8</v>
      </c>
    </row>
    <row r="42325" spans="1:6" x14ac:dyDescent="0.25">
      <c r="A42325" s="2" t="str">
        <f t="shared" si="1323"/>
        <v>99999</v>
      </c>
      <c r="B42325" s="2" t="str">
        <f>"71222"</f>
        <v>71222</v>
      </c>
      <c r="C42325" s="1">
        <v>2.2373322792042201E-5</v>
      </c>
      <c r="D42325" s="1">
        <v>4.5528080202265997E-6</v>
      </c>
      <c r="E42325" s="1">
        <v>0</v>
      </c>
      <c r="F42325" s="1">
        <v>2.06929079932624E-5</v>
      </c>
    </row>
    <row r="42326" spans="1:6" x14ac:dyDescent="0.25">
      <c r="A42326" s="2" t="str">
        <f t="shared" si="1323"/>
        <v>99999</v>
      </c>
      <c r="B42326" s="2" t="str">
        <f>"71052"</f>
        <v>71052</v>
      </c>
      <c r="C42326" s="1">
        <v>3.1650066388742701E-6</v>
      </c>
      <c r="D42326" s="1">
        <v>1.51760267340886E-6</v>
      </c>
      <c r="E42326" s="1">
        <v>0</v>
      </c>
      <c r="F42326" s="1">
        <v>2.9845540374897699E-6</v>
      </c>
    </row>
    <row r="42327" spans="1:6" x14ac:dyDescent="0.25">
      <c r="A42327" s="2" t="str">
        <f t="shared" si="1323"/>
        <v>99999</v>
      </c>
      <c r="B42327" s="2" t="str">
        <f>"71080"</f>
        <v>71080</v>
      </c>
      <c r="C42327" s="1">
        <v>0</v>
      </c>
      <c r="D42327" s="1">
        <v>0</v>
      </c>
      <c r="E42327" s="1">
        <v>4.3455399550671099E-6</v>
      </c>
      <c r="F42327" s="1">
        <v>9.9485134582992598E-8</v>
      </c>
    </row>
    <row r="42328" spans="1:6" x14ac:dyDescent="0.25">
      <c r="A42328" s="2" t="str">
        <f t="shared" si="1323"/>
        <v>99999</v>
      </c>
      <c r="B42328" s="2" t="str">
        <f>"71055"</f>
        <v>71055</v>
      </c>
      <c r="C42328" s="1">
        <v>2.64114347106059E-5</v>
      </c>
      <c r="D42328" s="1">
        <v>1.3658424060679801E-5</v>
      </c>
      <c r="E42328" s="1">
        <v>0</v>
      </c>
      <c r="F42328" s="1">
        <v>2.4970768780331099E-5</v>
      </c>
    </row>
    <row r="42329" spans="1:6" x14ac:dyDescent="0.25">
      <c r="A42329" s="2" t="str">
        <f t="shared" si="1323"/>
        <v>99999</v>
      </c>
      <c r="B42329" s="2" t="str">
        <f>"70580"</f>
        <v>70580</v>
      </c>
      <c r="C42329" s="1">
        <v>0</v>
      </c>
      <c r="D42329" s="1">
        <v>0</v>
      </c>
      <c r="E42329" s="1">
        <v>8.69107991013423E-6</v>
      </c>
      <c r="F42329" s="1">
        <v>1.9897026916598501E-7</v>
      </c>
    </row>
    <row r="42330" spans="1:6" x14ac:dyDescent="0.25">
      <c r="A42330" s="2" t="str">
        <f t="shared" si="1323"/>
        <v>99999</v>
      </c>
      <c r="B42330" s="2" t="str">
        <f>"70648"</f>
        <v>70648</v>
      </c>
      <c r="C42330" s="1">
        <v>2.0987268160535199E-4</v>
      </c>
      <c r="D42330" s="1">
        <v>1.18373008525891E-4</v>
      </c>
      <c r="E42330" s="1">
        <v>1.08638498876677E-4</v>
      </c>
      <c r="F42330" s="1">
        <v>2.01556882665143E-4</v>
      </c>
    </row>
    <row r="42331" spans="1:6" x14ac:dyDescent="0.25">
      <c r="A42331" s="2" t="str">
        <f t="shared" si="1323"/>
        <v>99999</v>
      </c>
      <c r="B42331" s="2" t="str">
        <f>"70524"</f>
        <v>70524</v>
      </c>
      <c r="C42331" s="1">
        <v>2.1827631992236301E-7</v>
      </c>
      <c r="D42331" s="1">
        <v>0</v>
      </c>
      <c r="E42331" s="1">
        <v>4.3455399550671099E-6</v>
      </c>
      <c r="F42331" s="1">
        <v>2.9845540374897701E-7</v>
      </c>
    </row>
    <row r="42332" spans="1:6" x14ac:dyDescent="0.25">
      <c r="A42332" s="2" t="str">
        <f t="shared" si="1323"/>
        <v>99999</v>
      </c>
      <c r="B42332" s="2" t="str">
        <f>"59915"</f>
        <v>59915</v>
      </c>
      <c r="C42332" s="1">
        <v>5.7843224779426299E-6</v>
      </c>
      <c r="D42332" s="1">
        <v>1.51760267340886E-6</v>
      </c>
      <c r="E42332" s="1">
        <v>4.3455399550671099E-6</v>
      </c>
      <c r="F42332" s="1">
        <v>5.4716824020645896E-6</v>
      </c>
    </row>
    <row r="42333" spans="1:6" x14ac:dyDescent="0.25">
      <c r="A42333" s="2" t="str">
        <f t="shared" si="1323"/>
        <v>99999</v>
      </c>
      <c r="B42333" s="2" t="str">
        <f>"59923"</f>
        <v>59923</v>
      </c>
      <c r="C42333" s="1">
        <v>7.8437595564101296E-4</v>
      </c>
      <c r="D42333" s="1">
        <v>1.0425930366318901E-3</v>
      </c>
      <c r="E42333" s="1">
        <v>6.6486761312526798E-4</v>
      </c>
      <c r="F42333" s="1">
        <v>7.9856717529768102E-4</v>
      </c>
    </row>
    <row r="42334" spans="1:6" x14ac:dyDescent="0.25">
      <c r="A42334" s="2" t="str">
        <f t="shared" si="1323"/>
        <v>99999</v>
      </c>
      <c r="B42334" s="2" t="str">
        <f>"59462"</f>
        <v>59462</v>
      </c>
      <c r="C42334" s="1">
        <v>1.06955396761958E-5</v>
      </c>
      <c r="D42334" s="1">
        <v>4.5528080202265997E-6</v>
      </c>
      <c r="E42334" s="1">
        <v>4.3455399550671099E-6</v>
      </c>
      <c r="F42334" s="1">
        <v>1.01474837274652E-5</v>
      </c>
    </row>
    <row r="42335" spans="1:6" x14ac:dyDescent="0.25">
      <c r="A42335" s="2" t="str">
        <f t="shared" si="1323"/>
        <v>99999</v>
      </c>
      <c r="B42335" s="2" t="str">
        <f>"59537"</f>
        <v>59537</v>
      </c>
      <c r="C42335" s="1">
        <v>3.27414479883545E-6</v>
      </c>
      <c r="D42335" s="1">
        <v>4.5528080202265997E-6</v>
      </c>
      <c r="E42335" s="1">
        <v>4.3455399550671099E-6</v>
      </c>
      <c r="F42335" s="1">
        <v>3.3824945758217398E-6</v>
      </c>
    </row>
    <row r="42336" spans="1:6" x14ac:dyDescent="0.25">
      <c r="A42336" s="2" t="str">
        <f t="shared" si="1323"/>
        <v>99999</v>
      </c>
      <c r="B42336" s="2" t="str">
        <f>"59489"</f>
        <v>59489</v>
      </c>
      <c r="C42336" s="1">
        <v>1.33148555152641E-5</v>
      </c>
      <c r="D42336" s="1">
        <v>0</v>
      </c>
      <c r="E42336" s="1">
        <v>4.3455399550671099E-6</v>
      </c>
      <c r="F42336" s="1">
        <v>1.2236671553708001E-5</v>
      </c>
    </row>
    <row r="42337" spans="1:6" x14ac:dyDescent="0.25">
      <c r="A42337" s="2" t="str">
        <f t="shared" si="1323"/>
        <v>99999</v>
      </c>
      <c r="B42337" s="2" t="str">
        <f>"59468"</f>
        <v>59468</v>
      </c>
      <c r="C42337" s="1">
        <v>2.69571255104118E-5</v>
      </c>
      <c r="D42337" s="1">
        <v>0</v>
      </c>
      <c r="E42337" s="1">
        <v>4.3455399550671099E-6</v>
      </c>
      <c r="F42337" s="1">
        <v>2.46723133765821E-5</v>
      </c>
    </row>
    <row r="42338" spans="1:6" x14ac:dyDescent="0.25">
      <c r="A42338" s="2" t="str">
        <f t="shared" si="1323"/>
        <v>99999</v>
      </c>
      <c r="B42338" s="2" t="str">
        <f>"59479"</f>
        <v>59479</v>
      </c>
      <c r="C42338" s="1">
        <v>2.9467303189519E-5</v>
      </c>
      <c r="D42338" s="1">
        <v>4.5528080202265997E-6</v>
      </c>
      <c r="E42338" s="1">
        <v>3.47643196405369E-5</v>
      </c>
      <c r="F42338" s="1">
        <v>2.7955322817820898E-5</v>
      </c>
    </row>
    <row r="42339" spans="1:6" x14ac:dyDescent="0.25">
      <c r="A42339" s="2" t="str">
        <f t="shared" si="1323"/>
        <v>99999</v>
      </c>
      <c r="B42339" s="2" t="str">
        <f>"59859"</f>
        <v>59859</v>
      </c>
      <c r="C42339" s="1">
        <v>1.19288008837571E-4</v>
      </c>
      <c r="D42339" s="1">
        <v>2.1246437427724101E-5</v>
      </c>
      <c r="E42339" s="1">
        <v>5.6492019415872502E-5</v>
      </c>
      <c r="F42339" s="1">
        <v>1.11423350732951E-4</v>
      </c>
    </row>
    <row r="42340" spans="1:6" x14ac:dyDescent="0.25">
      <c r="A42340" s="2" t="str">
        <f t="shared" si="1323"/>
        <v>99999</v>
      </c>
      <c r="B42340" s="2" t="str">
        <f>"59747"</f>
        <v>59747</v>
      </c>
      <c r="C42340" s="1">
        <v>1.09138159961181E-7</v>
      </c>
      <c r="D42340" s="1">
        <v>0</v>
      </c>
      <c r="E42340" s="1">
        <v>4.3455399550671099E-6</v>
      </c>
      <c r="F42340" s="1">
        <v>1.9897026916598501E-7</v>
      </c>
    </row>
    <row r="42341" spans="1:6" x14ac:dyDescent="0.25">
      <c r="A42341" s="2" t="str">
        <f t="shared" si="1323"/>
        <v>99999</v>
      </c>
      <c r="B42341" s="2" t="str">
        <f>"59843"</f>
        <v>59843</v>
      </c>
      <c r="C42341" s="1">
        <v>1.8662625353362001E-5</v>
      </c>
      <c r="D42341" s="1">
        <v>7.5880133670443404E-6</v>
      </c>
      <c r="E42341" s="1">
        <v>2.1727699775335501E-5</v>
      </c>
      <c r="F42341" s="1">
        <v>1.8006809359521599E-5</v>
      </c>
    </row>
    <row r="42342" spans="1:6" x14ac:dyDescent="0.25">
      <c r="A42342" s="2" t="str">
        <f t="shared" si="1323"/>
        <v>99999</v>
      </c>
      <c r="B42342" s="2" t="str">
        <f>"59842"</f>
        <v>59842</v>
      </c>
      <c r="C42342" s="1">
        <v>3.27414479883545E-6</v>
      </c>
      <c r="D42342" s="1">
        <v>0</v>
      </c>
      <c r="E42342" s="1">
        <v>0</v>
      </c>
      <c r="F42342" s="1">
        <v>2.9845540374897699E-6</v>
      </c>
    </row>
    <row r="42343" spans="1:6" x14ac:dyDescent="0.25">
      <c r="A42343" s="2" t="str">
        <f t="shared" si="1323"/>
        <v>99999</v>
      </c>
      <c r="B42343" s="2" t="str">
        <f>"59841"</f>
        <v>59841</v>
      </c>
      <c r="C42343" s="1">
        <v>0</v>
      </c>
      <c r="D42343" s="1">
        <v>0</v>
      </c>
      <c r="E42343" s="1">
        <v>4.3455399550671099E-6</v>
      </c>
      <c r="F42343" s="1">
        <v>9.9485134582992598E-8</v>
      </c>
    </row>
    <row r="42344" spans="1:6" x14ac:dyDescent="0.25">
      <c r="A42344" s="2" t="str">
        <f t="shared" si="1323"/>
        <v>99999</v>
      </c>
      <c r="B42344" s="2" t="str">
        <f>"59854"</f>
        <v>59854</v>
      </c>
      <c r="C42344" s="1">
        <v>1.1350368635962901E-5</v>
      </c>
      <c r="D42344" s="1">
        <v>3.0352053468177301E-6</v>
      </c>
      <c r="E42344" s="1">
        <v>4.3455399550671099E-6</v>
      </c>
      <c r="F42344" s="1">
        <v>1.0644909400380201E-5</v>
      </c>
    </row>
    <row r="42345" spans="1:6" x14ac:dyDescent="0.25">
      <c r="A42345" s="2" t="str">
        <f t="shared" si="1323"/>
        <v>99999</v>
      </c>
      <c r="B42345" s="2" t="str">
        <f>"59840"</f>
        <v>59840</v>
      </c>
      <c r="C42345" s="1">
        <v>9.4186232046499798E-4</v>
      </c>
      <c r="D42345" s="1">
        <v>2.0214467609806098E-3</v>
      </c>
      <c r="E42345" s="1">
        <v>1.85554556081365E-3</v>
      </c>
      <c r="F42345" s="1">
        <v>1.0335510631827101E-3</v>
      </c>
    </row>
    <row r="42346" spans="1:6" x14ac:dyDescent="0.25">
      <c r="A42346" s="2" t="str">
        <f t="shared" si="1323"/>
        <v>99999</v>
      </c>
      <c r="B42346" s="2" t="str">
        <f>"59830"</f>
        <v>59830</v>
      </c>
      <c r="C42346" s="1">
        <v>5.0203553582143598E-6</v>
      </c>
      <c r="D42346" s="1">
        <v>0</v>
      </c>
      <c r="E42346" s="1">
        <v>4.3455399550671099E-6</v>
      </c>
      <c r="F42346" s="1">
        <v>4.6758013254006498E-6</v>
      </c>
    </row>
    <row r="42347" spans="1:6" x14ac:dyDescent="0.25">
      <c r="A42347" s="2" t="str">
        <f t="shared" si="1323"/>
        <v>99999</v>
      </c>
      <c r="B42347" s="2" t="str">
        <f>"59824"</f>
        <v>59824</v>
      </c>
      <c r="C42347" s="1">
        <v>7.2686014534147E-5</v>
      </c>
      <c r="D42347" s="1">
        <v>2.2764040101133E-5</v>
      </c>
      <c r="E42347" s="1">
        <v>2.1727699775335501E-5</v>
      </c>
      <c r="F42347" s="1">
        <v>6.8246802323932901E-5</v>
      </c>
    </row>
    <row r="42348" spans="1:6" x14ac:dyDescent="0.25">
      <c r="A42348" s="2" t="str">
        <f t="shared" si="1323"/>
        <v>99999</v>
      </c>
      <c r="B42348" s="2" t="str">
        <f>"59424"</f>
        <v>59424</v>
      </c>
      <c r="C42348" s="1">
        <v>4.5838027183696299E-6</v>
      </c>
      <c r="D42348" s="1">
        <v>0</v>
      </c>
      <c r="E42348" s="1">
        <v>4.3455399550671099E-6</v>
      </c>
      <c r="F42348" s="1">
        <v>4.2778607870686803E-6</v>
      </c>
    </row>
    <row r="42349" spans="1:6" x14ac:dyDescent="0.25">
      <c r="A42349" s="2" t="str">
        <f t="shared" si="1323"/>
        <v>99999</v>
      </c>
      <c r="B42349" s="2" t="str">
        <f>"59443"</f>
        <v>59443</v>
      </c>
      <c r="C42349" s="1">
        <v>1.3096579195341799E-6</v>
      </c>
      <c r="D42349" s="1">
        <v>0</v>
      </c>
      <c r="E42349" s="1">
        <v>0</v>
      </c>
      <c r="F42349" s="1">
        <v>1.19382161499591E-6</v>
      </c>
    </row>
    <row r="42350" spans="1:6" x14ac:dyDescent="0.25">
      <c r="A42350" s="2" t="str">
        <f t="shared" si="1323"/>
        <v>99999</v>
      </c>
      <c r="B42350" s="2" t="str">
        <f>"59435"</f>
        <v>59435</v>
      </c>
      <c r="C42350" s="1">
        <v>2.2919013591848099E-6</v>
      </c>
      <c r="D42350" s="1">
        <v>3.0352053468177301E-6</v>
      </c>
      <c r="E42350" s="1">
        <v>4.3455399550671099E-6</v>
      </c>
      <c r="F42350" s="1">
        <v>2.3876432299918199E-6</v>
      </c>
    </row>
    <row r="42351" spans="1:6" x14ac:dyDescent="0.25">
      <c r="A42351" s="2" t="str">
        <f t="shared" si="1323"/>
        <v>99999</v>
      </c>
      <c r="B42351" s="2" t="str">
        <f>"59412"</f>
        <v>59412</v>
      </c>
      <c r="C42351" s="1">
        <v>2.1827631992236301E-7</v>
      </c>
      <c r="D42351" s="1">
        <v>0</v>
      </c>
      <c r="E42351" s="1">
        <v>0</v>
      </c>
      <c r="F42351" s="1">
        <v>1.9897026916598501E-7</v>
      </c>
    </row>
    <row r="42352" spans="1:6" x14ac:dyDescent="0.25">
      <c r="A42352" s="2" t="str">
        <f t="shared" si="1323"/>
        <v>99999</v>
      </c>
      <c r="B42352" s="2" t="str">
        <f>"59425"</f>
        <v>59425</v>
      </c>
      <c r="C42352" s="1">
        <v>1.8433435217443499E-4</v>
      </c>
      <c r="D42352" s="1">
        <v>3.9002388706607899E-4</v>
      </c>
      <c r="E42352" s="1">
        <v>2.99842256899631E-4</v>
      </c>
      <c r="F42352" s="1">
        <v>2.0046254618473E-4</v>
      </c>
    </row>
    <row r="42353" spans="1:6" x14ac:dyDescent="0.25">
      <c r="A42353" s="2" t="str">
        <f t="shared" si="1323"/>
        <v>99999</v>
      </c>
      <c r="B42353" s="2" t="str">
        <f>"59718"</f>
        <v>59718</v>
      </c>
      <c r="C42353" s="1">
        <v>2.1827631992236301E-7</v>
      </c>
      <c r="D42353" s="1">
        <v>0</v>
      </c>
      <c r="E42353" s="1">
        <v>0</v>
      </c>
      <c r="F42353" s="1">
        <v>1.9897026916598501E-7</v>
      </c>
    </row>
    <row r="42354" spans="1:6" x14ac:dyDescent="0.25">
      <c r="A42354" s="2" t="str">
        <f t="shared" si="1323"/>
        <v>99999</v>
      </c>
      <c r="B42354" s="2" t="str">
        <f>"59725"</f>
        <v>59725</v>
      </c>
      <c r="C42354" s="1">
        <v>4.4059075176329E-4</v>
      </c>
      <c r="D42354" s="1">
        <v>6.6470997095308397E-4</v>
      </c>
      <c r="E42354" s="1">
        <v>1.1689502479130501E-3</v>
      </c>
      <c r="F42354" s="1">
        <v>4.7195747846171698E-4</v>
      </c>
    </row>
    <row r="42355" spans="1:6" x14ac:dyDescent="0.25">
      <c r="A42355" s="2" t="str">
        <f t="shared" si="1323"/>
        <v>99999</v>
      </c>
      <c r="B42355" s="2" t="str">
        <f>"59256"</f>
        <v>59256</v>
      </c>
      <c r="C42355" s="1">
        <v>3.27414479883545E-6</v>
      </c>
      <c r="D42355" s="1">
        <v>0</v>
      </c>
      <c r="E42355" s="1">
        <v>4.3455399550671099E-6</v>
      </c>
      <c r="F42355" s="1">
        <v>3.0840391720727701E-6</v>
      </c>
    </row>
    <row r="42356" spans="1:6" x14ac:dyDescent="0.25">
      <c r="A42356" s="2" t="str">
        <f t="shared" si="1323"/>
        <v>99999</v>
      </c>
      <c r="B42356" s="2" t="str">
        <f>"59336"</f>
        <v>59336</v>
      </c>
      <c r="C42356" s="1">
        <v>1.36422699951477E-5</v>
      </c>
      <c r="D42356" s="1">
        <v>1.21408213872709E-5</v>
      </c>
      <c r="E42356" s="1">
        <v>4.3455399550671099E-6</v>
      </c>
      <c r="F42356" s="1">
        <v>1.3331008034121E-5</v>
      </c>
    </row>
    <row r="42357" spans="1:6" x14ac:dyDescent="0.25">
      <c r="A42357" s="2" t="str">
        <f t="shared" si="1323"/>
        <v>99999</v>
      </c>
      <c r="B42357" s="2" t="str">
        <f>"59314"</f>
        <v>59314</v>
      </c>
      <c r="C42357" s="1">
        <v>4.0381119185637197E-6</v>
      </c>
      <c r="D42357" s="1">
        <v>0</v>
      </c>
      <c r="E42357" s="1">
        <v>4.3455399550671099E-6</v>
      </c>
      <c r="F42357" s="1">
        <v>3.7804351141537199E-6</v>
      </c>
    </row>
    <row r="42358" spans="1:6" x14ac:dyDescent="0.25">
      <c r="A42358" s="2" t="str">
        <f t="shared" si="1323"/>
        <v>99999</v>
      </c>
      <c r="B42358" s="2" t="str">
        <f>"59349"</f>
        <v>59349</v>
      </c>
      <c r="C42358" s="1">
        <v>1.9099177993206801E-5</v>
      </c>
      <c r="D42358" s="1">
        <v>1.8211232080906399E-5</v>
      </c>
      <c r="E42358" s="1">
        <v>2.60732397304027E-5</v>
      </c>
      <c r="F42358" s="1">
        <v>1.92006309745175E-5</v>
      </c>
    </row>
    <row r="42359" spans="1:6" x14ac:dyDescent="0.25">
      <c r="A42359" s="2" t="str">
        <f t="shared" si="1323"/>
        <v>99999</v>
      </c>
      <c r="B42359" s="2" t="str">
        <f>"59344"</f>
        <v>59344</v>
      </c>
      <c r="C42359" s="1">
        <v>1.03681251963122E-5</v>
      </c>
      <c r="D42359" s="1">
        <v>0</v>
      </c>
      <c r="E42359" s="1">
        <v>4.3455399550671099E-6</v>
      </c>
      <c r="F42359" s="1">
        <v>9.5505729199672898E-6</v>
      </c>
    </row>
    <row r="42360" spans="1:6" x14ac:dyDescent="0.25">
      <c r="A42360" s="2" t="str">
        <f t="shared" si="1323"/>
        <v>99999</v>
      </c>
      <c r="B42360" s="2" t="str">
        <f>"59317"</f>
        <v>59317</v>
      </c>
      <c r="C42360" s="1">
        <v>3.4815073027616897E-5</v>
      </c>
      <c r="D42360" s="1">
        <v>1.9728834754315301E-5</v>
      </c>
      <c r="E42360" s="1">
        <v>1.7382159820268399E-5</v>
      </c>
      <c r="F42360" s="1">
        <v>3.3427005219885502E-5</v>
      </c>
    </row>
    <row r="42361" spans="1:6" x14ac:dyDescent="0.25">
      <c r="A42361" s="2" t="str">
        <f t="shared" si="1323"/>
        <v>99999</v>
      </c>
      <c r="B42361" s="2" t="str">
        <f>"58569"</f>
        <v>58569</v>
      </c>
      <c r="C42361" s="1">
        <v>6.7665659175932598E-6</v>
      </c>
      <c r="D42361" s="1">
        <v>1.51760267340886E-6</v>
      </c>
      <c r="E42361" s="1">
        <v>0</v>
      </c>
      <c r="F42361" s="1">
        <v>6.2675634787285303E-6</v>
      </c>
    </row>
    <row r="42362" spans="1:6" x14ac:dyDescent="0.25">
      <c r="A42362" s="2" t="str">
        <f t="shared" si="1323"/>
        <v>99999</v>
      </c>
      <c r="B42362" s="2" t="str">
        <f>"58563"</f>
        <v>58563</v>
      </c>
      <c r="C42362" s="1">
        <v>3.2741447988354498E-7</v>
      </c>
      <c r="D42362" s="1">
        <v>0</v>
      </c>
      <c r="E42362" s="1">
        <v>0</v>
      </c>
      <c r="F42362" s="1">
        <v>2.9845540374897701E-7</v>
      </c>
    </row>
    <row r="42363" spans="1:6" x14ac:dyDescent="0.25">
      <c r="A42363" s="2" t="str">
        <f t="shared" si="1323"/>
        <v>99999</v>
      </c>
      <c r="B42363" s="2" t="str">
        <f>"58620"</f>
        <v>58620</v>
      </c>
      <c r="C42363" s="1">
        <v>9.4950199166228093E-6</v>
      </c>
      <c r="D42363" s="1">
        <v>2.1246437427724101E-5</v>
      </c>
      <c r="E42363" s="1">
        <v>4.3455399550671099E-6</v>
      </c>
      <c r="F42363" s="1">
        <v>1.01474837274652E-5</v>
      </c>
    </row>
    <row r="42364" spans="1:6" x14ac:dyDescent="0.25">
      <c r="A42364" s="2" t="str">
        <f t="shared" si="1323"/>
        <v>99999</v>
      </c>
      <c r="B42364" s="2" t="str">
        <f>"58577"</f>
        <v>58577</v>
      </c>
      <c r="C42364" s="1">
        <v>8.7856218768751304E-5</v>
      </c>
      <c r="D42364" s="1">
        <v>4.2492874855448297E-5</v>
      </c>
      <c r="E42364" s="1">
        <v>9.5601879011476503E-5</v>
      </c>
      <c r="F42364" s="1">
        <v>8.5059790068458695E-5</v>
      </c>
    </row>
    <row r="42365" spans="1:6" x14ac:dyDescent="0.25">
      <c r="A42365" s="2" t="str">
        <f t="shared" si="1323"/>
        <v>99999</v>
      </c>
      <c r="B42365" s="2" t="str">
        <f>"58520"</f>
        <v>58520</v>
      </c>
      <c r="C42365" s="1">
        <v>1.9644868793012701E-6</v>
      </c>
      <c r="D42365" s="1">
        <v>0</v>
      </c>
      <c r="E42365" s="1">
        <v>0</v>
      </c>
      <c r="F42365" s="1">
        <v>1.79073242249386E-6</v>
      </c>
    </row>
    <row r="42366" spans="1:6" x14ac:dyDescent="0.25">
      <c r="A42366" s="2" t="str">
        <f t="shared" si="1323"/>
        <v>99999</v>
      </c>
      <c r="B42366" s="2" t="str">
        <f>"58538"</f>
        <v>58538</v>
      </c>
      <c r="C42366" s="1">
        <v>2.61931583906836E-5</v>
      </c>
      <c r="D42366" s="1">
        <v>7.5880133670443404E-6</v>
      </c>
      <c r="E42366" s="1">
        <v>3.47643196405369E-5</v>
      </c>
      <c r="F42366" s="1">
        <v>2.5169739049497099E-5</v>
      </c>
    </row>
    <row r="42367" spans="1:6" x14ac:dyDescent="0.25">
      <c r="A42367" s="2" t="str">
        <f t="shared" si="1323"/>
        <v>99999</v>
      </c>
      <c r="B42367" s="2" t="str">
        <f>"58756"</f>
        <v>58756</v>
      </c>
      <c r="C42367" s="1">
        <v>1.7462105593789001E-6</v>
      </c>
      <c r="D42367" s="1">
        <v>0</v>
      </c>
      <c r="E42367" s="1">
        <v>0</v>
      </c>
      <c r="F42367" s="1">
        <v>1.5917621533278801E-6</v>
      </c>
    </row>
    <row r="42368" spans="1:6" x14ac:dyDescent="0.25">
      <c r="A42368" s="2" t="str">
        <f t="shared" si="1323"/>
        <v>99999</v>
      </c>
      <c r="B42368" s="2" t="str">
        <f>"58761"</f>
        <v>58761</v>
      </c>
      <c r="C42368" s="1">
        <v>6.3300132777485401E-6</v>
      </c>
      <c r="D42368" s="1">
        <v>4.5528080202265997E-6</v>
      </c>
      <c r="E42368" s="1">
        <v>0</v>
      </c>
      <c r="F42368" s="1">
        <v>6.0685932095625502E-6</v>
      </c>
    </row>
    <row r="42369" spans="1:6" x14ac:dyDescent="0.25">
      <c r="A42369" s="2" t="str">
        <f t="shared" si="1323"/>
        <v>99999</v>
      </c>
      <c r="B42369" s="2" t="str">
        <f>"58838"</f>
        <v>58838</v>
      </c>
      <c r="C42369" s="1">
        <v>1.12412304760017E-5</v>
      </c>
      <c r="D42369" s="1">
        <v>1.21408213872709E-5</v>
      </c>
      <c r="E42369" s="1">
        <v>4.3455399550671099E-6</v>
      </c>
      <c r="F42369" s="1">
        <v>1.11423350732951E-5</v>
      </c>
    </row>
    <row r="42370" spans="1:6" x14ac:dyDescent="0.25">
      <c r="A42370" s="2" t="str">
        <f t="shared" si="1323"/>
        <v>99999</v>
      </c>
      <c r="B42370" s="2" t="str">
        <f>"58723"</f>
        <v>58723</v>
      </c>
      <c r="C42370" s="1">
        <v>1.60433095142937E-5</v>
      </c>
      <c r="D42370" s="1">
        <v>0</v>
      </c>
      <c r="E42370" s="1">
        <v>0</v>
      </c>
      <c r="F42370" s="1">
        <v>1.4624314783699901E-5</v>
      </c>
    </row>
    <row r="42371" spans="1:6" x14ac:dyDescent="0.25">
      <c r="A42371" s="2" t="str">
        <f t="shared" si="1323"/>
        <v>99999</v>
      </c>
      <c r="B42371" s="2" t="str">
        <f>"58773"</f>
        <v>58773</v>
      </c>
      <c r="C42371" s="1">
        <v>2.67388491904895E-5</v>
      </c>
      <c r="D42371" s="1">
        <v>1.51760267340886E-6</v>
      </c>
      <c r="E42371" s="1">
        <v>4.3455399550671099E-6</v>
      </c>
      <c r="F42371" s="1">
        <v>2.4572828241999101E-5</v>
      </c>
    </row>
    <row r="42372" spans="1:6" x14ac:dyDescent="0.25">
      <c r="A42372" s="2" t="str">
        <f t="shared" si="1323"/>
        <v>99999</v>
      </c>
      <c r="B42372" s="2" t="str">
        <f>"58763"</f>
        <v>58763</v>
      </c>
      <c r="C42372" s="1">
        <v>3.1366307172843601E-4</v>
      </c>
      <c r="D42372" s="1">
        <v>3.5208382023085697E-4</v>
      </c>
      <c r="E42372" s="1">
        <v>2.2596807766349001E-4</v>
      </c>
      <c r="F42372" s="1">
        <v>3.1417405501309002E-4</v>
      </c>
    </row>
    <row r="42373" spans="1:6" x14ac:dyDescent="0.25">
      <c r="A42373" s="2" t="str">
        <f t="shared" si="1323"/>
        <v>99999</v>
      </c>
      <c r="B42373" s="2" t="str">
        <f>"58757"</f>
        <v>58757</v>
      </c>
      <c r="C42373" s="1">
        <v>2.1063664872508E-5</v>
      </c>
      <c r="D42373" s="1">
        <v>3.0352053468177301E-6</v>
      </c>
      <c r="E42373" s="1">
        <v>8.69107991013423E-6</v>
      </c>
      <c r="F42373" s="1">
        <v>1.9598571512849501E-5</v>
      </c>
    </row>
    <row r="42374" spans="1:6" x14ac:dyDescent="0.25">
      <c r="A42374" s="2" t="str">
        <f t="shared" si="1323"/>
        <v>99999</v>
      </c>
      <c r="B42374" s="2" t="str">
        <f>"58758"</f>
        <v>58758</v>
      </c>
      <c r="C42374" s="1">
        <v>1.36422699951477E-5</v>
      </c>
      <c r="D42374" s="1">
        <v>6.0704106936354696E-6</v>
      </c>
      <c r="E42374" s="1">
        <v>8.69107991013423E-6</v>
      </c>
      <c r="F42374" s="1">
        <v>1.3032552630372001E-5</v>
      </c>
    </row>
    <row r="42375" spans="1:6" x14ac:dyDescent="0.25">
      <c r="A42375" s="2" t="str">
        <f t="shared" si="1323"/>
        <v>99999</v>
      </c>
      <c r="B42375" s="2" t="str">
        <f>"59010"</f>
        <v>59010</v>
      </c>
      <c r="C42375" s="1">
        <v>8.9493291168169008E-6</v>
      </c>
      <c r="D42375" s="1">
        <v>9.1056160404532095E-6</v>
      </c>
      <c r="E42375" s="1">
        <v>8.69107991013423E-6</v>
      </c>
      <c r="F42375" s="1">
        <v>8.9536621124693292E-6</v>
      </c>
    </row>
    <row r="42376" spans="1:6" x14ac:dyDescent="0.25">
      <c r="A42376" s="2" t="str">
        <f t="shared" si="1323"/>
        <v>99999</v>
      </c>
      <c r="B42376" s="2" t="str">
        <f>"59003"</f>
        <v>59003</v>
      </c>
      <c r="C42376" s="1">
        <v>1.8116934553556101E-5</v>
      </c>
      <c r="D42376" s="1">
        <v>1.51760267340886E-6</v>
      </c>
      <c r="E42376" s="1">
        <v>1.3036619865201299E-5</v>
      </c>
      <c r="F42376" s="1">
        <v>1.69124728791087E-5</v>
      </c>
    </row>
    <row r="42377" spans="1:6" x14ac:dyDescent="0.25">
      <c r="A42377" s="2" t="str">
        <f t="shared" si="1323"/>
        <v>99999</v>
      </c>
      <c r="B42377" s="2" t="str">
        <f>"59085"</f>
        <v>59085</v>
      </c>
      <c r="C42377" s="1">
        <v>5.8934606379038102E-6</v>
      </c>
      <c r="D42377" s="1">
        <v>0</v>
      </c>
      <c r="E42377" s="1">
        <v>4.3455399550671099E-6</v>
      </c>
      <c r="F42377" s="1">
        <v>5.4716824020645896E-6</v>
      </c>
    </row>
    <row r="42378" spans="1:6" x14ac:dyDescent="0.25">
      <c r="A42378" s="2" t="str">
        <f t="shared" si="1323"/>
        <v>99999</v>
      </c>
      <c r="B42378" s="2" t="str">
        <f>"59038"</f>
        <v>59038</v>
      </c>
      <c r="C42378" s="1">
        <v>4.2236467904977303E-5</v>
      </c>
      <c r="D42378" s="1">
        <v>2.88344507947685E-5</v>
      </c>
      <c r="E42378" s="1">
        <v>2.1727699775335501E-5</v>
      </c>
      <c r="F42378" s="1">
        <v>4.0888390313609902E-5</v>
      </c>
    </row>
    <row r="42379" spans="1:6" x14ac:dyDescent="0.25">
      <c r="A42379" s="2" t="str">
        <f t="shared" si="1323"/>
        <v>99999</v>
      </c>
      <c r="B42379" s="2" t="str">
        <f>"58467"</f>
        <v>58467</v>
      </c>
      <c r="C42379" s="1">
        <v>2.2919013591848099E-6</v>
      </c>
      <c r="D42379" s="1">
        <v>1.51760267340886E-6</v>
      </c>
      <c r="E42379" s="1">
        <v>0</v>
      </c>
      <c r="F42379" s="1">
        <v>2.1886729608258301E-6</v>
      </c>
    </row>
    <row r="42380" spans="1:6" x14ac:dyDescent="0.25">
      <c r="A42380" s="2" t="str">
        <f t="shared" si="1323"/>
        <v>99999</v>
      </c>
      <c r="B42380" s="2" t="str">
        <f>"58478"</f>
        <v>58478</v>
      </c>
      <c r="C42380" s="1">
        <v>8.4036383170109905E-6</v>
      </c>
      <c r="D42380" s="1">
        <v>0</v>
      </c>
      <c r="E42380" s="1">
        <v>4.3455399550671099E-6</v>
      </c>
      <c r="F42380" s="1">
        <v>7.7598404974734199E-6</v>
      </c>
    </row>
    <row r="42381" spans="1:6" x14ac:dyDescent="0.25">
      <c r="A42381" s="2" t="str">
        <f t="shared" si="1323"/>
        <v>99999</v>
      </c>
      <c r="B42381" s="2" t="str">
        <f>"58370"</f>
        <v>58370</v>
      </c>
      <c r="C42381" s="1">
        <v>2.7393678150256599E-5</v>
      </c>
      <c r="D42381" s="1">
        <v>3.0352053468177301E-6</v>
      </c>
      <c r="E42381" s="1">
        <v>3.47643196405369E-5</v>
      </c>
      <c r="F42381" s="1">
        <v>2.5965620126160999E-5</v>
      </c>
    </row>
    <row r="42382" spans="1:6" x14ac:dyDescent="0.25">
      <c r="A42382" s="2" t="str">
        <f t="shared" si="1323"/>
        <v>99999</v>
      </c>
      <c r="B42382" s="2" t="str">
        <f>"58472"</f>
        <v>58472</v>
      </c>
      <c r="C42382" s="1">
        <v>1.03681251963122E-5</v>
      </c>
      <c r="D42382" s="1">
        <v>9.1056160404532095E-6</v>
      </c>
      <c r="E42382" s="1">
        <v>0</v>
      </c>
      <c r="F42382" s="1">
        <v>1.0047998592882199E-5</v>
      </c>
    </row>
    <row r="42383" spans="1:6" x14ac:dyDescent="0.25">
      <c r="A42383" s="2" t="str">
        <f t="shared" si="1323"/>
        <v>99999</v>
      </c>
      <c r="B42383" s="2" t="str">
        <f>"58483"</f>
        <v>58483</v>
      </c>
      <c r="C42383" s="1">
        <v>5.7843224779426299E-6</v>
      </c>
      <c r="D42383" s="1">
        <v>3.0352053468177301E-6</v>
      </c>
      <c r="E42383" s="1">
        <v>0</v>
      </c>
      <c r="F42383" s="1">
        <v>5.4716824020645896E-6</v>
      </c>
    </row>
    <row r="42384" spans="1:6" x14ac:dyDescent="0.25">
      <c r="A42384" s="2" t="str">
        <f t="shared" si="1323"/>
        <v>99999</v>
      </c>
      <c r="B42384" s="2" t="str">
        <f>"58380"</f>
        <v>58380</v>
      </c>
      <c r="C42384" s="1">
        <v>1.7898658233633802E-5</v>
      </c>
      <c r="D42384" s="1">
        <v>7.5880133670443404E-6</v>
      </c>
      <c r="E42384" s="1">
        <v>1.3036619865201299E-5</v>
      </c>
      <c r="F42384" s="1">
        <v>1.7111443148274701E-5</v>
      </c>
    </row>
    <row r="42385" spans="1:6" x14ac:dyDescent="0.25">
      <c r="A42385" s="2" t="str">
        <f t="shared" si="1323"/>
        <v>99999</v>
      </c>
      <c r="B42385" s="2" t="str">
        <f>"58379"</f>
        <v>58379</v>
      </c>
      <c r="C42385" s="1">
        <v>5.1294935181755401E-6</v>
      </c>
      <c r="D42385" s="1">
        <v>0</v>
      </c>
      <c r="E42385" s="1">
        <v>1.3036619865201299E-5</v>
      </c>
      <c r="F42385" s="1">
        <v>4.9742567291496301E-6</v>
      </c>
    </row>
    <row r="42386" spans="1:6" x14ac:dyDescent="0.25">
      <c r="A42386" s="2" t="str">
        <f t="shared" ref="A42386:A42449" si="1324">"99999"</f>
        <v>99999</v>
      </c>
      <c r="B42386" s="2" t="str">
        <f>"58444"</f>
        <v>58444</v>
      </c>
      <c r="C42386" s="1">
        <v>1.06955396761958E-5</v>
      </c>
      <c r="D42386" s="1">
        <v>0</v>
      </c>
      <c r="E42386" s="1">
        <v>1.3036619865201299E-5</v>
      </c>
      <c r="F42386" s="1">
        <v>1.0047998592882199E-5</v>
      </c>
    </row>
    <row r="42387" spans="1:6" x14ac:dyDescent="0.25">
      <c r="A42387" s="2" t="str">
        <f t="shared" si="1324"/>
        <v>99999</v>
      </c>
      <c r="B42387" s="2" t="str">
        <f>"58433"</f>
        <v>58433</v>
      </c>
      <c r="C42387" s="1">
        <v>5.4787356300513198E-5</v>
      </c>
      <c r="D42387" s="1">
        <v>3.0352053468177301E-5</v>
      </c>
      <c r="E42387" s="1">
        <v>5.21464794608054E-5</v>
      </c>
      <c r="F42387" s="1">
        <v>5.3125061867318001E-5</v>
      </c>
    </row>
    <row r="42388" spans="1:6" x14ac:dyDescent="0.25">
      <c r="A42388" s="2" t="str">
        <f t="shared" si="1324"/>
        <v>99999</v>
      </c>
      <c r="B42388" s="2" t="str">
        <f>"58421"</f>
        <v>58421</v>
      </c>
      <c r="C42388" s="1">
        <v>1.6632655578084E-4</v>
      </c>
      <c r="D42388" s="1">
        <v>3.2021416408927101E-4</v>
      </c>
      <c r="E42388" s="1">
        <v>2.9549671694456298E-4</v>
      </c>
      <c r="F42388" s="1">
        <v>1.79371697653135E-4</v>
      </c>
    </row>
    <row r="42389" spans="1:6" x14ac:dyDescent="0.25">
      <c r="A42389" s="2" t="str">
        <f t="shared" si="1324"/>
        <v>99999</v>
      </c>
      <c r="B42389" s="2" t="str">
        <f>"58384"</f>
        <v>58384</v>
      </c>
      <c r="C42389" s="1">
        <v>3.8198355986413601E-5</v>
      </c>
      <c r="D42389" s="1">
        <v>1.3658424060679801E-5</v>
      </c>
      <c r="E42389" s="1">
        <v>1.7382159820268399E-5</v>
      </c>
      <c r="F42389" s="1">
        <v>3.6113103853626299E-5</v>
      </c>
    </row>
    <row r="42390" spans="1:6" x14ac:dyDescent="0.25">
      <c r="A42390" s="2" t="str">
        <f t="shared" si="1324"/>
        <v>99999</v>
      </c>
      <c r="B42390" s="2" t="str">
        <f>"58368"</f>
        <v>58368</v>
      </c>
      <c r="C42390" s="1">
        <v>2.0245128672799199E-4</v>
      </c>
      <c r="D42390" s="1">
        <v>3.3842539617017701E-4</v>
      </c>
      <c r="E42390" s="1">
        <v>3.8240751604590601E-4</v>
      </c>
      <c r="F42390" s="1">
        <v>2.15484801506762E-4</v>
      </c>
    </row>
    <row r="42391" spans="1:6" x14ac:dyDescent="0.25">
      <c r="A42391" s="2" t="str">
        <f t="shared" si="1324"/>
        <v>99999</v>
      </c>
      <c r="B42391" s="2" t="str">
        <f>"58338"</f>
        <v>58338</v>
      </c>
      <c r="C42391" s="1">
        <v>2.8375921589907201E-6</v>
      </c>
      <c r="D42391" s="1">
        <v>1.51760267340886E-6</v>
      </c>
      <c r="E42391" s="1">
        <v>4.3455399550671099E-6</v>
      </c>
      <c r="F42391" s="1">
        <v>2.7855837683237898E-6</v>
      </c>
    </row>
    <row r="42392" spans="1:6" x14ac:dyDescent="0.25">
      <c r="A42392" s="2" t="str">
        <f t="shared" si="1324"/>
        <v>99999</v>
      </c>
      <c r="B42392" s="2" t="str">
        <f>"58262"</f>
        <v>58262</v>
      </c>
      <c r="C42392" s="1">
        <v>2.5101776791071799E-6</v>
      </c>
      <c r="D42392" s="1">
        <v>1.51760267340886E-6</v>
      </c>
      <c r="E42392" s="1">
        <v>2.1727699775335501E-5</v>
      </c>
      <c r="F42392" s="1">
        <v>2.8850689029067799E-6</v>
      </c>
    </row>
    <row r="42393" spans="1:6" x14ac:dyDescent="0.25">
      <c r="A42393" s="2" t="str">
        <f t="shared" si="1324"/>
        <v>99999</v>
      </c>
      <c r="B42393" s="2" t="str">
        <f>"58260"</f>
        <v>58260</v>
      </c>
      <c r="C42393" s="1">
        <v>1.2660026555497001E-5</v>
      </c>
      <c r="D42393" s="1">
        <v>1.5176026734088599E-5</v>
      </c>
      <c r="E42393" s="1">
        <v>4.3455399550671099E-6</v>
      </c>
      <c r="F42393" s="1">
        <v>1.263461209204E-5</v>
      </c>
    </row>
    <row r="42394" spans="1:6" x14ac:dyDescent="0.25">
      <c r="A42394" s="2" t="str">
        <f t="shared" si="1324"/>
        <v>99999</v>
      </c>
      <c r="B42394" s="2" t="str">
        <f>"58216"</f>
        <v>58216</v>
      </c>
      <c r="C42394" s="1">
        <v>8.7310527968945299E-6</v>
      </c>
      <c r="D42394" s="1">
        <v>1.0623218713862E-5</v>
      </c>
      <c r="E42394" s="1">
        <v>1.3036619865201299E-5</v>
      </c>
      <c r="F42394" s="1">
        <v>8.9536621124693292E-6</v>
      </c>
    </row>
    <row r="42395" spans="1:6" x14ac:dyDescent="0.25">
      <c r="A42395" s="2" t="str">
        <f t="shared" si="1324"/>
        <v>99999</v>
      </c>
      <c r="B42395" s="2" t="str">
        <f>"58239"</f>
        <v>58239</v>
      </c>
      <c r="C42395" s="1">
        <v>3.1650066388742701E-6</v>
      </c>
      <c r="D42395" s="1">
        <v>3.0352053468177301E-6</v>
      </c>
      <c r="E42395" s="1">
        <v>4.3455399550671099E-6</v>
      </c>
      <c r="F42395" s="1">
        <v>3.1835243066557602E-6</v>
      </c>
    </row>
    <row r="42396" spans="1:6" x14ac:dyDescent="0.25">
      <c r="A42396" s="2" t="str">
        <f t="shared" si="1324"/>
        <v>99999</v>
      </c>
      <c r="B42396" s="2" t="str">
        <f>"58212"</f>
        <v>58212</v>
      </c>
      <c r="C42396" s="1">
        <v>2.72845399902954E-5</v>
      </c>
      <c r="D42396" s="1">
        <v>1.51760267340886E-6</v>
      </c>
      <c r="E42396" s="1">
        <v>6.5183099326006705E-5</v>
      </c>
      <c r="F42396" s="1">
        <v>2.6463045799075999E-5</v>
      </c>
    </row>
    <row r="42397" spans="1:6" x14ac:dyDescent="0.25">
      <c r="A42397" s="2" t="str">
        <f t="shared" si="1324"/>
        <v>99999</v>
      </c>
      <c r="B42397" s="2" t="str">
        <f>"58327"</f>
        <v>58327</v>
      </c>
      <c r="C42397" s="1">
        <v>1.8444349033439702E-5</v>
      </c>
      <c r="D42397" s="1">
        <v>7.5880133670443404E-6</v>
      </c>
      <c r="E42397" s="1">
        <v>4.3455399550671099E-6</v>
      </c>
      <c r="F42397" s="1">
        <v>1.74098985520237E-5</v>
      </c>
    </row>
    <row r="42398" spans="1:6" x14ac:dyDescent="0.25">
      <c r="A42398" s="2" t="str">
        <f t="shared" si="1324"/>
        <v>99999</v>
      </c>
      <c r="B42398" s="2" t="str">
        <f>"58329"</f>
        <v>58329</v>
      </c>
      <c r="C42398" s="1">
        <v>6.3627547257368903E-5</v>
      </c>
      <c r="D42398" s="1">
        <v>2.88344507947685E-5</v>
      </c>
      <c r="E42398" s="1">
        <v>4.3455399550671099E-6</v>
      </c>
      <c r="F42398" s="1">
        <v>5.9989536153544499E-5</v>
      </c>
    </row>
    <row r="42399" spans="1:6" x14ac:dyDescent="0.25">
      <c r="A42399" s="2" t="str">
        <f t="shared" si="1324"/>
        <v>99999</v>
      </c>
      <c r="B42399" s="2" t="str">
        <f>"58273"</f>
        <v>58273</v>
      </c>
      <c r="C42399" s="1">
        <v>1.25508883955359E-5</v>
      </c>
      <c r="D42399" s="1">
        <v>1.51760267340886E-6</v>
      </c>
      <c r="E42399" s="1">
        <v>1.3036619865201299E-5</v>
      </c>
      <c r="F42399" s="1">
        <v>1.18387310153761E-5</v>
      </c>
    </row>
    <row r="42400" spans="1:6" x14ac:dyDescent="0.25">
      <c r="A42400" s="2" t="str">
        <f t="shared" si="1324"/>
        <v>99999</v>
      </c>
      <c r="B42400" s="2" t="str">
        <f>"58271"</f>
        <v>58271</v>
      </c>
      <c r="C42400" s="1">
        <v>3.4815073027616897E-5</v>
      </c>
      <c r="D42400" s="1">
        <v>7.7397736343852298E-5</v>
      </c>
      <c r="E42400" s="1">
        <v>4.7800939505738197E-5</v>
      </c>
      <c r="F42400" s="1">
        <v>3.7903836276120103E-5</v>
      </c>
    </row>
    <row r="42401" spans="1:6" x14ac:dyDescent="0.25">
      <c r="A42401" s="2" t="str">
        <f t="shared" si="1324"/>
        <v>99999</v>
      </c>
      <c r="B42401" s="2" t="str">
        <f>"58249"</f>
        <v>58249</v>
      </c>
      <c r="C42401" s="1">
        <v>1.6119706226266499E-4</v>
      </c>
      <c r="D42401" s="1">
        <v>2.7620368656041397E-4</v>
      </c>
      <c r="E42401" s="1">
        <v>3.3026103658510001E-4</v>
      </c>
      <c r="F42401" s="1">
        <v>1.7260670850149199E-4</v>
      </c>
    </row>
    <row r="42402" spans="1:6" x14ac:dyDescent="0.25">
      <c r="A42402" s="2" t="str">
        <f t="shared" si="1324"/>
        <v>99999</v>
      </c>
      <c r="B42402" s="2" t="str">
        <f>"57658"</f>
        <v>57658</v>
      </c>
      <c r="C42402" s="1">
        <v>6.5482895976709E-6</v>
      </c>
      <c r="D42402" s="1">
        <v>1.51760267340886E-6</v>
      </c>
      <c r="E42402" s="1">
        <v>4.3455399550671099E-6</v>
      </c>
      <c r="F42402" s="1">
        <v>6.1680783441455402E-6</v>
      </c>
    </row>
    <row r="42403" spans="1:6" x14ac:dyDescent="0.25">
      <c r="A42403" s="2" t="str">
        <f t="shared" si="1324"/>
        <v>99999</v>
      </c>
      <c r="B42403" s="2" t="str">
        <f>"57640"</f>
        <v>57640</v>
      </c>
      <c r="C42403" s="1">
        <v>6.9848422375156299E-6</v>
      </c>
      <c r="D42403" s="1">
        <v>7.5880133670443404E-6</v>
      </c>
      <c r="E42403" s="1">
        <v>0</v>
      </c>
      <c r="F42403" s="1">
        <v>6.86447428622649E-6</v>
      </c>
    </row>
    <row r="42404" spans="1:6" x14ac:dyDescent="0.25">
      <c r="A42404" s="2" t="str">
        <f t="shared" si="1324"/>
        <v>99999</v>
      </c>
      <c r="B42404" s="2" t="str">
        <f>"57639"</f>
        <v>57639</v>
      </c>
      <c r="C42404" s="1">
        <v>3.2741447988354498E-7</v>
      </c>
      <c r="D42404" s="1">
        <v>0</v>
      </c>
      <c r="E42404" s="1">
        <v>8.69107991013423E-6</v>
      </c>
      <c r="F42404" s="1">
        <v>4.9742567291496303E-7</v>
      </c>
    </row>
    <row r="42405" spans="1:6" x14ac:dyDescent="0.25">
      <c r="A42405" s="2" t="str">
        <f t="shared" si="1324"/>
        <v>99999</v>
      </c>
      <c r="B42405" s="2" t="str">
        <f>"57644"</f>
        <v>57644</v>
      </c>
      <c r="C42405" s="1">
        <v>1.9863145112935E-5</v>
      </c>
      <c r="D42405" s="1">
        <v>3.0352053468177301E-6</v>
      </c>
      <c r="E42405" s="1">
        <v>4.3455399550671099E-6</v>
      </c>
      <c r="F42405" s="1">
        <v>1.84047498978536E-5</v>
      </c>
    </row>
    <row r="42406" spans="1:6" x14ac:dyDescent="0.25">
      <c r="A42406" s="2" t="str">
        <f t="shared" si="1324"/>
        <v>99999</v>
      </c>
      <c r="B42406" s="2" t="str">
        <f>"57632"</f>
        <v>57632</v>
      </c>
      <c r="C42406" s="1">
        <v>2.3464704391654001E-5</v>
      </c>
      <c r="D42406" s="1">
        <v>7.5880133670443404E-6</v>
      </c>
      <c r="E42406" s="1">
        <v>2.1727699775335501E-5</v>
      </c>
      <c r="F42406" s="1">
        <v>2.23841552811733E-5</v>
      </c>
    </row>
    <row r="42407" spans="1:6" x14ac:dyDescent="0.25">
      <c r="A42407" s="2" t="str">
        <f t="shared" si="1324"/>
        <v>99999</v>
      </c>
      <c r="B42407" s="2" t="str">
        <f>"57630"</f>
        <v>57630</v>
      </c>
      <c r="C42407" s="1">
        <v>4.1472500785249E-6</v>
      </c>
      <c r="D42407" s="1">
        <v>4.5528080202265997E-6</v>
      </c>
      <c r="E42407" s="1">
        <v>4.3455399550671099E-6</v>
      </c>
      <c r="F42407" s="1">
        <v>4.1783756524856902E-6</v>
      </c>
    </row>
    <row r="42408" spans="1:6" x14ac:dyDescent="0.25">
      <c r="A42408" s="2" t="str">
        <f t="shared" si="1324"/>
        <v>99999</v>
      </c>
      <c r="B42408" s="2" t="str">
        <f>"57585"</f>
        <v>57585</v>
      </c>
      <c r="C42408" s="1">
        <v>1.0586401516234599E-5</v>
      </c>
      <c r="D42408" s="1">
        <v>0</v>
      </c>
      <c r="E42408" s="1">
        <v>4.3455399550671099E-6</v>
      </c>
      <c r="F42408" s="1">
        <v>9.7495431891332699E-6</v>
      </c>
    </row>
    <row r="42409" spans="1:6" x14ac:dyDescent="0.25">
      <c r="A42409" s="2" t="str">
        <f t="shared" si="1324"/>
        <v>99999</v>
      </c>
      <c r="B42409" s="2" t="str">
        <f>"57448"</f>
        <v>57448</v>
      </c>
      <c r="C42409" s="1">
        <v>2.8375921589907201E-6</v>
      </c>
      <c r="D42409" s="1">
        <v>0</v>
      </c>
      <c r="E42409" s="1">
        <v>0</v>
      </c>
      <c r="F42409" s="1">
        <v>2.5866134991578E-6</v>
      </c>
    </row>
    <row r="42410" spans="1:6" x14ac:dyDescent="0.25">
      <c r="A42410" s="2" t="str">
        <f t="shared" si="1324"/>
        <v>99999</v>
      </c>
      <c r="B42410" s="2" t="str">
        <f>"57564"</f>
        <v>57564</v>
      </c>
      <c r="C42410" s="1">
        <v>4.4746645584084497E-5</v>
      </c>
      <c r="D42410" s="1">
        <v>1.5176026734088599E-5</v>
      </c>
      <c r="E42410" s="1">
        <v>5.6492019415872502E-5</v>
      </c>
      <c r="F42410" s="1">
        <v>4.3077063274435802E-5</v>
      </c>
    </row>
    <row r="42411" spans="1:6" x14ac:dyDescent="0.25">
      <c r="A42411" s="2" t="str">
        <f t="shared" si="1324"/>
        <v>99999</v>
      </c>
      <c r="B42411" s="2" t="str">
        <f>"57562"</f>
        <v>57562</v>
      </c>
      <c r="C42411" s="1">
        <v>5.8934606379038102E-6</v>
      </c>
      <c r="D42411" s="1">
        <v>1.51760267340886E-6</v>
      </c>
      <c r="E42411" s="1">
        <v>4.3455399550671099E-6</v>
      </c>
      <c r="F42411" s="1">
        <v>5.5711675366475797E-6</v>
      </c>
    </row>
    <row r="42412" spans="1:6" x14ac:dyDescent="0.25">
      <c r="A42412" s="2" t="str">
        <f t="shared" si="1324"/>
        <v>99999</v>
      </c>
      <c r="B42412" s="2" t="str">
        <f>"57533"</f>
        <v>57533</v>
      </c>
      <c r="C42412" s="1">
        <v>1.18633179877804E-4</v>
      </c>
      <c r="D42412" s="1">
        <v>2.30675606358148E-4</v>
      </c>
      <c r="E42412" s="1">
        <v>1.39057278562147E-4</v>
      </c>
      <c r="F42412" s="1">
        <v>1.2644560605498301E-4</v>
      </c>
    </row>
    <row r="42413" spans="1:6" x14ac:dyDescent="0.25">
      <c r="A42413" s="2" t="str">
        <f t="shared" si="1324"/>
        <v>99999</v>
      </c>
      <c r="B42413" s="2" t="str">
        <f>"57529"</f>
        <v>57529</v>
      </c>
      <c r="C42413" s="1">
        <v>2.52109149510329E-5</v>
      </c>
      <c r="D42413" s="1">
        <v>2.1246437427724101E-5</v>
      </c>
      <c r="E42413" s="1">
        <v>1.3036619865201299E-5</v>
      </c>
      <c r="F42413" s="1">
        <v>2.46723133765821E-5</v>
      </c>
    </row>
    <row r="42414" spans="1:6" x14ac:dyDescent="0.25">
      <c r="A42414" s="2" t="str">
        <f t="shared" si="1324"/>
        <v>99999</v>
      </c>
      <c r="B42414" s="2" t="str">
        <f>"57470"</f>
        <v>57470</v>
      </c>
      <c r="C42414" s="1">
        <v>9.1676054367392598E-6</v>
      </c>
      <c r="D42414" s="1">
        <v>0</v>
      </c>
      <c r="E42414" s="1">
        <v>8.69107991013423E-6</v>
      </c>
      <c r="F42414" s="1">
        <v>8.5557215741373606E-6</v>
      </c>
    </row>
    <row r="42415" spans="1:6" x14ac:dyDescent="0.25">
      <c r="A42415" s="2" t="str">
        <f t="shared" si="1324"/>
        <v>99999</v>
      </c>
      <c r="B42415" s="2" t="str">
        <f>"57460"</f>
        <v>57460</v>
      </c>
      <c r="C42415" s="1">
        <v>4.1472500785249E-6</v>
      </c>
      <c r="D42415" s="1">
        <v>0</v>
      </c>
      <c r="E42415" s="1">
        <v>4.3455399550671099E-6</v>
      </c>
      <c r="F42415" s="1">
        <v>3.87992024873671E-6</v>
      </c>
    </row>
    <row r="42416" spans="1:6" x14ac:dyDescent="0.25">
      <c r="A42416" s="2" t="str">
        <f t="shared" si="1324"/>
        <v>99999</v>
      </c>
      <c r="B42416" s="2" t="str">
        <f>"57456"</f>
        <v>57456</v>
      </c>
      <c r="C42416" s="1">
        <v>2.7175401830334201E-5</v>
      </c>
      <c r="D42416" s="1">
        <v>4.5528080202265997E-6</v>
      </c>
      <c r="E42416" s="1">
        <v>4.3455399550671099E-6</v>
      </c>
      <c r="F42416" s="1">
        <v>2.5169739049497099E-5</v>
      </c>
    </row>
    <row r="42417" spans="1:6" x14ac:dyDescent="0.25">
      <c r="A42417" s="2" t="str">
        <f t="shared" si="1324"/>
        <v>99999</v>
      </c>
      <c r="B42417" s="2" t="str">
        <f>"57452"</f>
        <v>57452</v>
      </c>
      <c r="C42417" s="1">
        <v>1.7025552953944301E-5</v>
      </c>
      <c r="D42417" s="1">
        <v>4.5528080202265997E-6</v>
      </c>
      <c r="E42417" s="1">
        <v>1.7382159820268399E-5</v>
      </c>
      <c r="F42417" s="1">
        <v>1.6216076937027799E-5</v>
      </c>
    </row>
    <row r="42418" spans="1:6" x14ac:dyDescent="0.25">
      <c r="A42418" s="2" t="str">
        <f t="shared" si="1324"/>
        <v>99999</v>
      </c>
      <c r="B42418" s="2" t="str">
        <f>"58053"</f>
        <v>58053</v>
      </c>
      <c r="C42418" s="1">
        <v>8.2945001570498102E-6</v>
      </c>
      <c r="D42418" s="1">
        <v>3.0352053468177301E-6</v>
      </c>
      <c r="E42418" s="1">
        <v>0</v>
      </c>
      <c r="F42418" s="1">
        <v>7.7598404974734199E-6</v>
      </c>
    </row>
    <row r="42419" spans="1:6" x14ac:dyDescent="0.25">
      <c r="A42419" s="2" t="str">
        <f t="shared" si="1324"/>
        <v>99999</v>
      </c>
      <c r="B42419" s="2" t="str">
        <f>"58054"</f>
        <v>58054</v>
      </c>
      <c r="C42419" s="1">
        <v>1.7942313497618201E-4</v>
      </c>
      <c r="D42419" s="1">
        <v>1.03196981791803E-4</v>
      </c>
      <c r="E42419" s="1">
        <v>2.6507793725909402E-4</v>
      </c>
      <c r="F42419" s="1">
        <v>1.76387143615645E-4</v>
      </c>
    </row>
    <row r="42420" spans="1:6" x14ac:dyDescent="0.25">
      <c r="A42420" s="2" t="str">
        <f t="shared" si="1324"/>
        <v>99999</v>
      </c>
      <c r="B42420" s="2" t="str">
        <f>"58040"</f>
        <v>58040</v>
      </c>
      <c r="C42420" s="1">
        <v>4.9985277262221202E-5</v>
      </c>
      <c r="D42420" s="1">
        <v>4.7045682875674899E-5</v>
      </c>
      <c r="E42420" s="1">
        <v>1.21675118741879E-4</v>
      </c>
      <c r="F42420" s="1">
        <v>5.1433814579407101E-5</v>
      </c>
    </row>
    <row r="42421" spans="1:6" x14ac:dyDescent="0.25">
      <c r="A42421" s="2" t="str">
        <f t="shared" si="1324"/>
        <v>99999</v>
      </c>
      <c r="B42421" s="2" t="str">
        <f>"57783"</f>
        <v>57783</v>
      </c>
      <c r="C42421" s="1">
        <v>1.0913815996118101E-6</v>
      </c>
      <c r="D42421" s="1">
        <v>0</v>
      </c>
      <c r="E42421" s="1">
        <v>0</v>
      </c>
      <c r="F42421" s="1">
        <v>9.9485134582992606E-7</v>
      </c>
    </row>
    <row r="42422" spans="1:6" x14ac:dyDescent="0.25">
      <c r="A42422" s="2" t="str">
        <f t="shared" si="1324"/>
        <v>99999</v>
      </c>
      <c r="B42422" s="2" t="str">
        <f>"57772"</f>
        <v>57772</v>
      </c>
      <c r="C42422" s="1">
        <v>8.0980514691196795E-5</v>
      </c>
      <c r="D42422" s="1">
        <v>1.5176026734088599E-5</v>
      </c>
      <c r="E42422" s="1">
        <v>1.7382159820268399E-5</v>
      </c>
      <c r="F42422" s="1">
        <v>7.5210761744742404E-5</v>
      </c>
    </row>
    <row r="42423" spans="1:6" x14ac:dyDescent="0.25">
      <c r="A42423" s="2" t="str">
        <f t="shared" si="1324"/>
        <v>99999</v>
      </c>
      <c r="B42423" s="2" t="str">
        <f>"57770"</f>
        <v>57770</v>
      </c>
      <c r="C42423" s="1">
        <v>1.8236986529513401E-4</v>
      </c>
      <c r="D42423" s="1">
        <v>7.5880133670443404E-6</v>
      </c>
      <c r="E42423" s="1">
        <v>4.3455399550671099E-6</v>
      </c>
      <c r="F42423" s="1">
        <v>1.6683657069567801E-4</v>
      </c>
    </row>
    <row r="42424" spans="1:6" x14ac:dyDescent="0.25">
      <c r="A42424" s="2" t="str">
        <f t="shared" si="1324"/>
        <v>99999</v>
      </c>
      <c r="B42424" s="2" t="str">
        <f>"58060"</f>
        <v>58060</v>
      </c>
      <c r="C42424" s="1">
        <v>6.4828067016941906E-5</v>
      </c>
      <c r="D42424" s="1">
        <v>2.88344507947685E-5</v>
      </c>
      <c r="E42424" s="1">
        <v>8.69107991013423E-5</v>
      </c>
      <c r="F42424" s="1">
        <v>6.2974090191034298E-5</v>
      </c>
    </row>
    <row r="42425" spans="1:6" x14ac:dyDescent="0.25">
      <c r="A42425" s="2" t="str">
        <f t="shared" si="1324"/>
        <v>99999</v>
      </c>
      <c r="B42425" s="2" t="str">
        <f>"57420"</f>
        <v>57420</v>
      </c>
      <c r="C42425" s="1">
        <v>8.4036383170109905E-6</v>
      </c>
      <c r="D42425" s="1">
        <v>6.0704106936354696E-6</v>
      </c>
      <c r="E42425" s="1">
        <v>4.3455399550671099E-6</v>
      </c>
      <c r="F42425" s="1">
        <v>8.1577810358053902E-6</v>
      </c>
    </row>
    <row r="42426" spans="1:6" x14ac:dyDescent="0.25">
      <c r="A42426" s="2" t="str">
        <f t="shared" si="1324"/>
        <v>99999</v>
      </c>
      <c r="B42426" s="2" t="str">
        <f>"57365"</f>
        <v>57365</v>
      </c>
      <c r="C42426" s="1">
        <v>2.0190559592818601E-5</v>
      </c>
      <c r="D42426" s="1">
        <v>2.5799245447950699E-5</v>
      </c>
      <c r="E42426" s="1">
        <v>6.0837559370939603E-5</v>
      </c>
      <c r="F42426" s="1">
        <v>2.1488789069926402E-5</v>
      </c>
    </row>
    <row r="42427" spans="1:6" x14ac:dyDescent="0.25">
      <c r="A42427" s="2" t="str">
        <f t="shared" si="1324"/>
        <v>99999</v>
      </c>
      <c r="B42427" s="2" t="str">
        <f>"57375"</f>
        <v>57375</v>
      </c>
      <c r="C42427" s="1">
        <v>3.0122132149286099E-5</v>
      </c>
      <c r="D42427" s="1">
        <v>1.5176026734088599E-5</v>
      </c>
      <c r="E42427" s="1">
        <v>2.1727699775335501E-5</v>
      </c>
      <c r="F42427" s="1">
        <v>2.8950174163650799E-5</v>
      </c>
    </row>
    <row r="42428" spans="1:6" x14ac:dyDescent="0.25">
      <c r="A42428" s="2" t="str">
        <f t="shared" si="1324"/>
        <v>99999</v>
      </c>
      <c r="B42428" s="2" t="str">
        <f>"57758"</f>
        <v>57758</v>
      </c>
      <c r="C42428" s="1">
        <v>1.7462105593789001E-6</v>
      </c>
      <c r="D42428" s="1">
        <v>1.51760267340886E-6</v>
      </c>
      <c r="E42428" s="1">
        <v>0</v>
      </c>
      <c r="F42428" s="1">
        <v>1.6912472879108699E-6</v>
      </c>
    </row>
    <row r="42429" spans="1:6" x14ac:dyDescent="0.25">
      <c r="A42429" s="2" t="str">
        <f t="shared" si="1324"/>
        <v>99999</v>
      </c>
      <c r="B42429" s="2" t="str">
        <f>"57724"</f>
        <v>57724</v>
      </c>
      <c r="C42429" s="1">
        <v>8.5127764769721692E-6</v>
      </c>
      <c r="D42429" s="1">
        <v>3.0352053468177301E-6</v>
      </c>
      <c r="E42429" s="1">
        <v>4.3455399550671099E-6</v>
      </c>
      <c r="F42429" s="1">
        <v>8.0582959012224002E-6</v>
      </c>
    </row>
    <row r="42430" spans="1:6" x14ac:dyDescent="0.25">
      <c r="A42430" s="2" t="str">
        <f t="shared" si="1324"/>
        <v>99999</v>
      </c>
      <c r="B42430" s="2" t="str">
        <f>"57744"</f>
        <v>57744</v>
      </c>
      <c r="C42430" s="1">
        <v>8.8620185888479497E-5</v>
      </c>
      <c r="D42430" s="1">
        <v>1.21408213872709E-5</v>
      </c>
      <c r="E42430" s="1">
        <v>5.21464794608054E-5</v>
      </c>
      <c r="F42430" s="1">
        <v>8.2771631973049803E-5</v>
      </c>
    </row>
    <row r="42431" spans="1:6" x14ac:dyDescent="0.25">
      <c r="A42431" s="2" t="str">
        <f t="shared" si="1324"/>
        <v>99999</v>
      </c>
      <c r="B42431" s="2" t="str">
        <f>"57246"</f>
        <v>57246</v>
      </c>
      <c r="C42431" s="1">
        <v>1.2441750235574699E-5</v>
      </c>
      <c r="D42431" s="1">
        <v>3.0352053468177301E-6</v>
      </c>
      <c r="E42431" s="1">
        <v>4.3455399550671099E-6</v>
      </c>
      <c r="F42431" s="1">
        <v>1.1639760746210099E-5</v>
      </c>
    </row>
    <row r="42432" spans="1:6" x14ac:dyDescent="0.25">
      <c r="A42432" s="2" t="str">
        <f t="shared" si="1324"/>
        <v>99999</v>
      </c>
      <c r="B42432" s="2" t="str">
        <f>"57255"</f>
        <v>57255</v>
      </c>
      <c r="C42432" s="1">
        <v>2.4774362311188199E-5</v>
      </c>
      <c r="D42432" s="1">
        <v>7.5880133670443404E-6</v>
      </c>
      <c r="E42432" s="1">
        <v>2.1727699775335501E-5</v>
      </c>
      <c r="F42432" s="1">
        <v>2.3577976896169201E-5</v>
      </c>
    </row>
    <row r="42433" spans="1:6" x14ac:dyDescent="0.25">
      <c r="A42433" s="2" t="str">
        <f t="shared" si="1324"/>
        <v>99999</v>
      </c>
      <c r="B42433" s="2" t="str">
        <f>"57349"</f>
        <v>57349</v>
      </c>
      <c r="C42433" s="1">
        <v>8.3163277890420395E-5</v>
      </c>
      <c r="D42433" s="1">
        <v>2.88344507947685E-5</v>
      </c>
      <c r="E42433" s="1">
        <v>1.3471173860707999E-4</v>
      </c>
      <c r="F42433" s="1">
        <v>8.0781929281389996E-5</v>
      </c>
    </row>
    <row r="42434" spans="1:6" x14ac:dyDescent="0.25">
      <c r="A42434" s="2" t="str">
        <f t="shared" si="1324"/>
        <v>99999</v>
      </c>
      <c r="B42434" s="2" t="str">
        <f>"57279"</f>
        <v>57279</v>
      </c>
      <c r="C42434" s="1">
        <v>5.9371159018882803E-5</v>
      </c>
      <c r="D42434" s="1">
        <v>1.5176026734088599E-5</v>
      </c>
      <c r="E42434" s="1">
        <v>5.21464794608054E-5</v>
      </c>
      <c r="F42434" s="1">
        <v>5.6308586173973798E-5</v>
      </c>
    </row>
    <row r="42435" spans="1:6" x14ac:dyDescent="0.25">
      <c r="A42435" s="2" t="str">
        <f t="shared" si="1324"/>
        <v>99999</v>
      </c>
      <c r="B42435" s="2" t="str">
        <f>"57257"</f>
        <v>57257</v>
      </c>
      <c r="C42435" s="1">
        <v>2.1063664872508E-5</v>
      </c>
      <c r="D42435" s="1">
        <v>1.51760267340886E-6</v>
      </c>
      <c r="E42435" s="1">
        <v>8.69107991013423E-6</v>
      </c>
      <c r="F42435" s="1">
        <v>1.9499086378266499E-5</v>
      </c>
    </row>
    <row r="42436" spans="1:6" x14ac:dyDescent="0.25">
      <c r="A42436" s="2" t="str">
        <f t="shared" si="1324"/>
        <v>99999</v>
      </c>
      <c r="B42436" s="2" t="str">
        <f>"57252"</f>
        <v>57252</v>
      </c>
      <c r="C42436" s="1">
        <v>2.56038123268932E-4</v>
      </c>
      <c r="D42436" s="1">
        <v>5.1902011430583295E-4</v>
      </c>
      <c r="E42436" s="1">
        <v>6.3444883343979897E-4</v>
      </c>
      <c r="F42436" s="1">
        <v>2.8194087140820102E-4</v>
      </c>
    </row>
    <row r="42437" spans="1:6" x14ac:dyDescent="0.25">
      <c r="A42437" s="2" t="str">
        <f t="shared" si="1324"/>
        <v>99999</v>
      </c>
      <c r="B42437" s="2" t="str">
        <f>"56729"</f>
        <v>56729</v>
      </c>
      <c r="C42437" s="1">
        <v>8.0762238371274393E-6</v>
      </c>
      <c r="D42437" s="1">
        <v>7.5880133670443404E-6</v>
      </c>
      <c r="E42437" s="1">
        <v>4.3455399550671099E-6</v>
      </c>
      <c r="F42437" s="1">
        <v>7.9588107666394102E-6</v>
      </c>
    </row>
    <row r="42438" spans="1:6" x14ac:dyDescent="0.25">
      <c r="A42438" s="2" t="str">
        <f t="shared" si="1324"/>
        <v>99999</v>
      </c>
      <c r="B42438" s="2" t="str">
        <f>"56758"</f>
        <v>56758</v>
      </c>
      <c r="C42438" s="1">
        <v>2.1172803032469199E-5</v>
      </c>
      <c r="D42438" s="1">
        <v>4.5528080202265997E-6</v>
      </c>
      <c r="E42438" s="1">
        <v>4.3455399550671099E-6</v>
      </c>
      <c r="F42438" s="1">
        <v>1.96980566474325E-5</v>
      </c>
    </row>
    <row r="42439" spans="1:6" x14ac:dyDescent="0.25">
      <c r="A42439" s="2" t="str">
        <f t="shared" si="1324"/>
        <v>99999</v>
      </c>
      <c r="B42439" s="2" t="str">
        <f>"56756"</f>
        <v>56756</v>
      </c>
      <c r="C42439" s="1">
        <v>4.9876139102259999E-5</v>
      </c>
      <c r="D42439" s="1">
        <v>1.51760267340886E-6</v>
      </c>
      <c r="E42439" s="1">
        <v>3.9109859595604001E-5</v>
      </c>
      <c r="F42439" s="1">
        <v>4.6459557850257501E-5</v>
      </c>
    </row>
    <row r="42440" spans="1:6" x14ac:dyDescent="0.25">
      <c r="A42440" s="2" t="str">
        <f t="shared" si="1324"/>
        <v>99999</v>
      </c>
      <c r="B42440" s="2" t="str">
        <f>"56755"</f>
        <v>56755</v>
      </c>
      <c r="C42440" s="1">
        <v>7.6396711972827196E-6</v>
      </c>
      <c r="D42440" s="1">
        <v>9.1056160404532095E-6</v>
      </c>
      <c r="E42440" s="1">
        <v>4.3455399550671099E-6</v>
      </c>
      <c r="F42440" s="1">
        <v>7.6603553628904299E-6</v>
      </c>
    </row>
    <row r="42441" spans="1:6" x14ac:dyDescent="0.25">
      <c r="A42441" s="2" t="str">
        <f t="shared" si="1324"/>
        <v>99999</v>
      </c>
      <c r="B42441" s="2" t="str">
        <f>"56754"</f>
        <v>56754</v>
      </c>
      <c r="C42441" s="1">
        <v>1.3533131835186499E-5</v>
      </c>
      <c r="D42441" s="1">
        <v>7.5880133670443404E-6</v>
      </c>
      <c r="E42441" s="1">
        <v>4.3455399550671099E-6</v>
      </c>
      <c r="F42441" s="1">
        <v>1.2933067495789E-5</v>
      </c>
    </row>
    <row r="42442" spans="1:6" x14ac:dyDescent="0.25">
      <c r="A42442" s="2" t="str">
        <f t="shared" si="1324"/>
        <v>99999</v>
      </c>
      <c r="B42442" s="2" t="str">
        <f>"56750"</f>
        <v>56750</v>
      </c>
      <c r="C42442" s="1">
        <v>1.2943785771396099E-4</v>
      </c>
      <c r="D42442" s="1">
        <v>1.4417225397384201E-4</v>
      </c>
      <c r="E42442" s="1">
        <v>1.17329578786812E-4</v>
      </c>
      <c r="F42442" s="1">
        <v>1.3012655603455401E-4</v>
      </c>
    </row>
    <row r="42443" spans="1:6" x14ac:dyDescent="0.25">
      <c r="A42443" s="2" t="str">
        <f t="shared" si="1324"/>
        <v>99999</v>
      </c>
      <c r="B42443" s="2" t="str">
        <f>"56732"</f>
        <v>56732</v>
      </c>
      <c r="C42443" s="1">
        <v>5.6751843179814502E-5</v>
      </c>
      <c r="D42443" s="1">
        <v>2.1246437427724101E-5</v>
      </c>
      <c r="E42443" s="1">
        <v>7.8219719191208097E-5</v>
      </c>
      <c r="F42443" s="1">
        <v>5.49157942898119E-5</v>
      </c>
    </row>
    <row r="42444" spans="1:6" x14ac:dyDescent="0.25">
      <c r="A42444" s="2" t="str">
        <f t="shared" si="1324"/>
        <v>99999</v>
      </c>
      <c r="B42444" s="2" t="str">
        <f>"56731"</f>
        <v>56731</v>
      </c>
      <c r="C42444" s="1">
        <v>4.1472500785249E-6</v>
      </c>
      <c r="D42444" s="1">
        <v>7.5880133670443404E-6</v>
      </c>
      <c r="E42444" s="1">
        <v>4.3455399550671099E-6</v>
      </c>
      <c r="F42444" s="1">
        <v>4.3773459216516703E-6</v>
      </c>
    </row>
    <row r="42445" spans="1:6" x14ac:dyDescent="0.25">
      <c r="A42445" s="2" t="str">
        <f t="shared" si="1324"/>
        <v>99999</v>
      </c>
      <c r="B42445" s="2" t="str">
        <f>"56668"</f>
        <v>56668</v>
      </c>
      <c r="C42445" s="1">
        <v>0</v>
      </c>
      <c r="D42445" s="1">
        <v>0</v>
      </c>
      <c r="E42445" s="1">
        <v>4.3455399550671099E-6</v>
      </c>
      <c r="F42445" s="1">
        <v>9.9485134582992598E-8</v>
      </c>
    </row>
    <row r="42446" spans="1:6" x14ac:dyDescent="0.25">
      <c r="A42446" s="2" t="str">
        <f t="shared" si="1324"/>
        <v>99999</v>
      </c>
      <c r="B42446" s="2" t="str">
        <f>"56646"</f>
        <v>56646</v>
      </c>
      <c r="C42446" s="1">
        <v>3.2741447988354498E-7</v>
      </c>
      <c r="D42446" s="1">
        <v>0</v>
      </c>
      <c r="E42446" s="1">
        <v>0</v>
      </c>
      <c r="F42446" s="1">
        <v>2.9845540374897701E-7</v>
      </c>
    </row>
    <row r="42447" spans="1:6" x14ac:dyDescent="0.25">
      <c r="A42447" s="2" t="str">
        <f t="shared" si="1324"/>
        <v>99999</v>
      </c>
      <c r="B42447" s="2" t="str">
        <f>"56679"</f>
        <v>56679</v>
      </c>
      <c r="C42447" s="1">
        <v>0</v>
      </c>
      <c r="D42447" s="1">
        <v>0</v>
      </c>
      <c r="E42447" s="1">
        <v>4.3455399550671099E-6</v>
      </c>
      <c r="F42447" s="1">
        <v>9.9485134582992598E-8</v>
      </c>
    </row>
    <row r="42448" spans="1:6" x14ac:dyDescent="0.25">
      <c r="A42448" s="2" t="str">
        <f t="shared" si="1324"/>
        <v>99999</v>
      </c>
      <c r="B42448" s="2" t="str">
        <f>"56658"</f>
        <v>56658</v>
      </c>
      <c r="C42448" s="1">
        <v>9.8224343965063504E-7</v>
      </c>
      <c r="D42448" s="1">
        <v>0</v>
      </c>
      <c r="E42448" s="1">
        <v>4.3455399550671099E-6</v>
      </c>
      <c r="F42448" s="1">
        <v>9.9485134582992606E-7</v>
      </c>
    </row>
    <row r="42449" spans="1:6" x14ac:dyDescent="0.25">
      <c r="A42449" s="2" t="str">
        <f t="shared" si="1324"/>
        <v>99999</v>
      </c>
      <c r="B42449" s="2" t="str">
        <f>"56711"</f>
        <v>56711</v>
      </c>
      <c r="C42449" s="1">
        <v>8.5127764769721692E-6</v>
      </c>
      <c r="D42449" s="1">
        <v>0</v>
      </c>
      <c r="E42449" s="1">
        <v>4.3455399550671099E-6</v>
      </c>
      <c r="F42449" s="1">
        <v>7.85932563205641E-6</v>
      </c>
    </row>
    <row r="42450" spans="1:6" x14ac:dyDescent="0.25">
      <c r="A42450" s="2" t="str">
        <f t="shared" ref="A42450:A42513" si="1325">"99999"</f>
        <v>99999</v>
      </c>
      <c r="B42450" s="2" t="str">
        <f>"57238"</f>
        <v>57238</v>
      </c>
      <c r="C42450" s="1">
        <v>1.34239936752253E-5</v>
      </c>
      <c r="D42450" s="1">
        <v>1.51760267340886E-6</v>
      </c>
      <c r="E42450" s="1">
        <v>4.3455399550671099E-6</v>
      </c>
      <c r="F42450" s="1">
        <v>1.2435641822873999E-5</v>
      </c>
    </row>
    <row r="42451" spans="1:6" x14ac:dyDescent="0.25">
      <c r="A42451" s="2" t="str">
        <f t="shared" si="1325"/>
        <v>99999</v>
      </c>
      <c r="B42451" s="2" t="str">
        <f>"57239"</f>
        <v>57239</v>
      </c>
      <c r="C42451" s="1">
        <v>2.6520572870567099E-5</v>
      </c>
      <c r="D42451" s="1">
        <v>1.51760267340886E-6</v>
      </c>
      <c r="E42451" s="1">
        <v>4.3455399550671099E-6</v>
      </c>
      <c r="F42451" s="1">
        <v>2.4373857972833101E-5</v>
      </c>
    </row>
    <row r="42452" spans="1:6" x14ac:dyDescent="0.25">
      <c r="A42452" s="2" t="str">
        <f t="shared" si="1325"/>
        <v>99999</v>
      </c>
      <c r="B42452" s="2" t="str">
        <f>"57071"</f>
        <v>57071</v>
      </c>
      <c r="C42452" s="1">
        <v>3.8198355986413598E-6</v>
      </c>
      <c r="D42452" s="1">
        <v>0</v>
      </c>
      <c r="E42452" s="1">
        <v>0</v>
      </c>
      <c r="F42452" s="1">
        <v>3.48197971040474E-6</v>
      </c>
    </row>
    <row r="42453" spans="1:6" x14ac:dyDescent="0.25">
      <c r="A42453" s="2" t="str">
        <f t="shared" si="1325"/>
        <v>99999</v>
      </c>
      <c r="B42453" s="2" t="str">
        <f>"57076"</f>
        <v>57076</v>
      </c>
      <c r="C42453" s="1">
        <v>1.65890003140996E-5</v>
      </c>
      <c r="D42453" s="1">
        <v>1.3658424060679801E-5</v>
      </c>
      <c r="E42453" s="1">
        <v>2.60732397304027E-5</v>
      </c>
      <c r="F42453" s="1">
        <v>1.6614017475359701E-5</v>
      </c>
    </row>
    <row r="42454" spans="1:6" x14ac:dyDescent="0.25">
      <c r="A42454" s="2" t="str">
        <f t="shared" si="1325"/>
        <v>99999</v>
      </c>
      <c r="B42454" s="2" t="str">
        <f>"57058"</f>
        <v>57058</v>
      </c>
      <c r="C42454" s="1">
        <v>6.5482895976708995E-7</v>
      </c>
      <c r="D42454" s="1">
        <v>0</v>
      </c>
      <c r="E42454" s="1">
        <v>0</v>
      </c>
      <c r="F42454" s="1">
        <v>5.9691080749795498E-7</v>
      </c>
    </row>
    <row r="42455" spans="1:6" x14ac:dyDescent="0.25">
      <c r="A42455" s="2" t="str">
        <f t="shared" si="1325"/>
        <v>99999</v>
      </c>
      <c r="B42455" s="2" t="str">
        <f>"57063"</f>
        <v>57063</v>
      </c>
      <c r="C42455" s="1">
        <v>3.8416632306335898E-5</v>
      </c>
      <c r="D42455" s="1">
        <v>1.8211232080906399E-5</v>
      </c>
      <c r="E42455" s="1">
        <v>5.21464794608054E-5</v>
      </c>
      <c r="F42455" s="1">
        <v>3.7406410603205198E-5</v>
      </c>
    </row>
    <row r="42456" spans="1:6" x14ac:dyDescent="0.25">
      <c r="A42456" s="2" t="str">
        <f t="shared" si="1325"/>
        <v>99999</v>
      </c>
      <c r="B42456" s="2" t="str">
        <f>"56583"</f>
        <v>56583</v>
      </c>
      <c r="C42456" s="1">
        <v>7.9670856771662607E-6</v>
      </c>
      <c r="D42456" s="1">
        <v>9.1056160404532095E-6</v>
      </c>
      <c r="E42456" s="1">
        <v>4.3455399550671099E-6</v>
      </c>
      <c r="F42456" s="1">
        <v>7.9588107666394102E-6</v>
      </c>
    </row>
    <row r="42457" spans="1:6" x14ac:dyDescent="0.25">
      <c r="A42457" s="2" t="str">
        <f t="shared" si="1325"/>
        <v>99999</v>
      </c>
      <c r="B42457" s="2" t="str">
        <f>"57018"</f>
        <v>57018</v>
      </c>
      <c r="C42457" s="1">
        <v>1.6370723994177199E-6</v>
      </c>
      <c r="D42457" s="1">
        <v>0</v>
      </c>
      <c r="E42457" s="1">
        <v>0</v>
      </c>
      <c r="F42457" s="1">
        <v>1.4922770187448801E-6</v>
      </c>
    </row>
    <row r="42458" spans="1:6" x14ac:dyDescent="0.25">
      <c r="A42458" s="2" t="str">
        <f t="shared" si="1325"/>
        <v>99999</v>
      </c>
      <c r="B42458" s="2" t="str">
        <f>"57006"</f>
        <v>57006</v>
      </c>
      <c r="C42458" s="1">
        <v>6.7665659175932598E-6</v>
      </c>
      <c r="D42458" s="1">
        <v>1.51760267340886E-6</v>
      </c>
      <c r="E42458" s="1">
        <v>4.3455399550671099E-6</v>
      </c>
      <c r="F42458" s="1">
        <v>6.3670486133115203E-6</v>
      </c>
    </row>
    <row r="42459" spans="1:6" x14ac:dyDescent="0.25">
      <c r="A42459" s="2" t="str">
        <f t="shared" si="1325"/>
        <v>99999</v>
      </c>
      <c r="B42459" s="2" t="str">
        <f>"56570"</f>
        <v>56570</v>
      </c>
      <c r="C42459" s="1">
        <v>7.6614988292749499E-5</v>
      </c>
      <c r="D42459" s="1">
        <v>2.88344507947685E-5</v>
      </c>
      <c r="E42459" s="1">
        <v>2.60732397304027E-5</v>
      </c>
      <c r="F42459" s="1">
        <v>7.2325692841835603E-5</v>
      </c>
    </row>
    <row r="42460" spans="1:6" x14ac:dyDescent="0.25">
      <c r="A42460" s="2" t="str">
        <f t="shared" si="1325"/>
        <v>99999</v>
      </c>
      <c r="B42460" s="2" t="str">
        <f>"56545"</f>
        <v>56545</v>
      </c>
      <c r="C42460" s="1">
        <v>3.6233869107112297E-5</v>
      </c>
      <c r="D42460" s="1">
        <v>9.1056160404532095E-6</v>
      </c>
      <c r="E42460" s="1">
        <v>2.1727699775335501E-5</v>
      </c>
      <c r="F42460" s="1">
        <v>3.4123401161966403E-5</v>
      </c>
    </row>
    <row r="42461" spans="1:6" x14ac:dyDescent="0.25">
      <c r="A42461" s="2" t="str">
        <f t="shared" si="1325"/>
        <v>99999</v>
      </c>
      <c r="B42461" s="2" t="str">
        <f>"56575"</f>
        <v>56575</v>
      </c>
      <c r="C42461" s="1">
        <v>5.0094415422182397E-5</v>
      </c>
      <c r="D42461" s="1">
        <v>9.1056160404532095E-6</v>
      </c>
      <c r="E42461" s="1">
        <v>2.1727699775335501E-5</v>
      </c>
      <c r="F42461" s="1">
        <v>4.6758013254006503E-5</v>
      </c>
    </row>
    <row r="42462" spans="1:6" x14ac:dyDescent="0.25">
      <c r="A42462" s="2" t="str">
        <f t="shared" si="1325"/>
        <v>99999</v>
      </c>
      <c r="B42462" s="2" t="str">
        <f>"56307"</f>
        <v>56307</v>
      </c>
      <c r="C42462" s="1">
        <v>7.63967119728272E-7</v>
      </c>
      <c r="D42462" s="1">
        <v>0</v>
      </c>
      <c r="E42462" s="1">
        <v>0</v>
      </c>
      <c r="F42462" s="1">
        <v>6.9639594208094799E-7</v>
      </c>
    </row>
    <row r="42463" spans="1:6" x14ac:dyDescent="0.25">
      <c r="A42463" s="2" t="str">
        <f t="shared" si="1325"/>
        <v>99999</v>
      </c>
      <c r="B42463" s="2" t="str">
        <f>"56324"</f>
        <v>56324</v>
      </c>
      <c r="C42463" s="1">
        <v>3.2741447988354498E-7</v>
      </c>
      <c r="D42463" s="1">
        <v>0</v>
      </c>
      <c r="E42463" s="1">
        <v>0</v>
      </c>
      <c r="F42463" s="1">
        <v>2.9845540374897701E-7</v>
      </c>
    </row>
    <row r="42464" spans="1:6" x14ac:dyDescent="0.25">
      <c r="A42464" s="2" t="str">
        <f t="shared" si="1325"/>
        <v>99999</v>
      </c>
      <c r="B42464" s="2" t="str">
        <f>"56328"</f>
        <v>56328</v>
      </c>
      <c r="C42464" s="1">
        <v>5.8934606379038102E-6</v>
      </c>
      <c r="D42464" s="1">
        <v>0</v>
      </c>
      <c r="E42464" s="1">
        <v>4.3455399550671099E-6</v>
      </c>
      <c r="F42464" s="1">
        <v>5.4716824020645896E-6</v>
      </c>
    </row>
    <row r="42465" spans="1:6" x14ac:dyDescent="0.25">
      <c r="A42465" s="2" t="str">
        <f t="shared" si="1325"/>
        <v>99999</v>
      </c>
      <c r="B42465" s="2" t="str">
        <f>"56327"</f>
        <v>56327</v>
      </c>
      <c r="C42465" s="1">
        <v>1.10229541560793E-5</v>
      </c>
      <c r="D42465" s="1">
        <v>0</v>
      </c>
      <c r="E42465" s="1">
        <v>8.69107991013423E-6</v>
      </c>
      <c r="F42465" s="1">
        <v>1.02469688620482E-5</v>
      </c>
    </row>
    <row r="42466" spans="1:6" x14ac:dyDescent="0.25">
      <c r="A42466" s="2" t="str">
        <f t="shared" si="1325"/>
        <v>99999</v>
      </c>
      <c r="B42466" s="2" t="str">
        <f>"56323"</f>
        <v>56323</v>
      </c>
      <c r="C42466" s="1">
        <v>2.3464704391654001E-5</v>
      </c>
      <c r="D42466" s="1">
        <v>3.0352053468177301E-6</v>
      </c>
      <c r="E42466" s="1">
        <v>3.47643196405369E-5</v>
      </c>
      <c r="F42466" s="1">
        <v>2.23841552811733E-5</v>
      </c>
    </row>
    <row r="42467" spans="1:6" x14ac:dyDescent="0.25">
      <c r="A42467" s="2" t="str">
        <f t="shared" si="1325"/>
        <v>99999</v>
      </c>
      <c r="B42467" s="2" t="str">
        <f>"56318"</f>
        <v>56318</v>
      </c>
      <c r="C42467" s="1">
        <v>7.1158080294690397E-5</v>
      </c>
      <c r="D42467" s="1">
        <v>1.0623218713862E-5</v>
      </c>
      <c r="E42467" s="1">
        <v>4.3455399550671099E-6</v>
      </c>
      <c r="F42467" s="1">
        <v>6.5660188824775102E-5</v>
      </c>
    </row>
    <row r="42468" spans="1:6" x14ac:dyDescent="0.25">
      <c r="A42468" s="2" t="str">
        <f t="shared" si="1325"/>
        <v>99999</v>
      </c>
      <c r="B42468" s="2" t="str">
        <f>"56314"</f>
        <v>56314</v>
      </c>
      <c r="C42468" s="1">
        <v>4.8348204862803498E-5</v>
      </c>
      <c r="D42468" s="1">
        <v>6.0704106936354696E-6</v>
      </c>
      <c r="E42468" s="1">
        <v>1.3036619865201299E-5</v>
      </c>
      <c r="F42468" s="1">
        <v>4.47683105623466E-5</v>
      </c>
    </row>
    <row r="42469" spans="1:6" x14ac:dyDescent="0.25">
      <c r="A42469" s="2" t="str">
        <f t="shared" si="1325"/>
        <v>99999</v>
      </c>
      <c r="B42469" s="2" t="str">
        <f>"56484"</f>
        <v>56484</v>
      </c>
      <c r="C42469" s="1">
        <v>2.07362503926245E-6</v>
      </c>
      <c r="D42469" s="1">
        <v>1.51760267340886E-6</v>
      </c>
      <c r="E42469" s="1">
        <v>0</v>
      </c>
      <c r="F42469" s="1">
        <v>1.98970269165985E-6</v>
      </c>
    </row>
    <row r="42470" spans="1:6" x14ac:dyDescent="0.25">
      <c r="A42470" s="2" t="str">
        <f t="shared" si="1325"/>
        <v>99999</v>
      </c>
      <c r="B42470" s="2" t="str">
        <f>"56510"</f>
        <v>56510</v>
      </c>
      <c r="C42470" s="1">
        <v>1.3118406827334001E-4</v>
      </c>
      <c r="D42470" s="1">
        <v>2.6558046784655199E-4</v>
      </c>
      <c r="E42470" s="1">
        <v>2.2162253770842199E-4</v>
      </c>
      <c r="F42470" s="1">
        <v>1.4206477218451299E-4</v>
      </c>
    </row>
    <row r="42471" spans="1:6" x14ac:dyDescent="0.25">
      <c r="A42471" s="2" t="str">
        <f t="shared" si="1325"/>
        <v>99999</v>
      </c>
      <c r="B42471" s="2" t="str">
        <f>"56291"</f>
        <v>56291</v>
      </c>
      <c r="C42471" s="1">
        <v>1.06955396761958E-5</v>
      </c>
      <c r="D42471" s="1">
        <v>1.51760267340886E-6</v>
      </c>
      <c r="E42471" s="1">
        <v>0</v>
      </c>
      <c r="F42471" s="1">
        <v>9.8490283237162701E-6</v>
      </c>
    </row>
    <row r="42472" spans="1:6" x14ac:dyDescent="0.25">
      <c r="A42472" s="2" t="str">
        <f t="shared" si="1325"/>
        <v>99999</v>
      </c>
      <c r="B42472" s="2" t="str">
        <f>"56284"</f>
        <v>56284</v>
      </c>
      <c r="C42472" s="1">
        <v>4.59471653436575E-5</v>
      </c>
      <c r="D42472" s="1">
        <v>2.2764040101133E-5</v>
      </c>
      <c r="E42472" s="1">
        <v>4.7800939505738197E-5</v>
      </c>
      <c r="F42472" s="1">
        <v>4.44698551585977E-5</v>
      </c>
    </row>
    <row r="42473" spans="1:6" x14ac:dyDescent="0.25">
      <c r="A42473" s="2" t="str">
        <f t="shared" si="1325"/>
        <v>99999</v>
      </c>
      <c r="B42473" s="2" t="str">
        <f>"56381"</f>
        <v>56381</v>
      </c>
      <c r="C42473" s="1">
        <v>1.35440456511826E-4</v>
      </c>
      <c r="D42473" s="1">
        <v>6.0704106936354703E-5</v>
      </c>
      <c r="E42473" s="1">
        <v>8.2565259146275205E-5</v>
      </c>
      <c r="F42473" s="1">
        <v>1.2933067495788999E-4</v>
      </c>
    </row>
    <row r="42474" spans="1:6" x14ac:dyDescent="0.25">
      <c r="A42474" s="2" t="str">
        <f t="shared" si="1325"/>
        <v>99999</v>
      </c>
      <c r="B42474" s="2" t="str">
        <f>"56255"</f>
        <v>56255</v>
      </c>
      <c r="C42474" s="1">
        <v>1.34239936752253E-5</v>
      </c>
      <c r="D42474" s="1">
        <v>3.0352053468177301E-6</v>
      </c>
      <c r="E42474" s="1">
        <v>0</v>
      </c>
      <c r="F42474" s="1">
        <v>1.2435641822873999E-5</v>
      </c>
    </row>
    <row r="42475" spans="1:6" x14ac:dyDescent="0.25">
      <c r="A42475" s="2" t="str">
        <f t="shared" si="1325"/>
        <v>99999</v>
      </c>
      <c r="B42475" s="2" t="str">
        <f>"56244"</f>
        <v>56244</v>
      </c>
      <c r="C42475" s="1">
        <v>7.6069297492943602E-5</v>
      </c>
      <c r="D42475" s="1">
        <v>3.0352053468177301E-5</v>
      </c>
      <c r="E42475" s="1">
        <v>8.69107991013423E-5</v>
      </c>
      <c r="F42475" s="1">
        <v>7.3320544187665493E-5</v>
      </c>
    </row>
    <row r="42476" spans="1:6" x14ac:dyDescent="0.25">
      <c r="A42476" s="2" t="str">
        <f t="shared" si="1325"/>
        <v>99999</v>
      </c>
      <c r="B42476" s="2" t="str">
        <f>"56028"</f>
        <v>56028</v>
      </c>
      <c r="C42476" s="1">
        <v>2.2919013591848099E-6</v>
      </c>
      <c r="D42476" s="1">
        <v>0</v>
      </c>
      <c r="E42476" s="1">
        <v>0</v>
      </c>
      <c r="F42476" s="1">
        <v>2.08918782624284E-6</v>
      </c>
    </row>
    <row r="42477" spans="1:6" x14ac:dyDescent="0.25">
      <c r="A42477" s="2" t="str">
        <f t="shared" si="1325"/>
        <v>99999</v>
      </c>
      <c r="B42477" s="2" t="str">
        <f>"56207"</f>
        <v>56207</v>
      </c>
      <c r="C42477" s="1">
        <v>1.10229541560793E-5</v>
      </c>
      <c r="D42477" s="1">
        <v>7.5880133670443404E-6</v>
      </c>
      <c r="E42477" s="1">
        <v>1.3036619865201299E-5</v>
      </c>
      <c r="F42477" s="1">
        <v>1.0843879669546099E-5</v>
      </c>
    </row>
    <row r="42478" spans="1:6" x14ac:dyDescent="0.25">
      <c r="A42478" s="2" t="str">
        <f t="shared" si="1325"/>
        <v>99999</v>
      </c>
      <c r="B42478" s="2" t="str">
        <f>"56096"</f>
        <v>56096</v>
      </c>
      <c r="C42478" s="1">
        <v>7.0939803974768102E-6</v>
      </c>
      <c r="D42478" s="1">
        <v>0</v>
      </c>
      <c r="E42478" s="1">
        <v>0</v>
      </c>
      <c r="F42478" s="1">
        <v>6.4665337478945197E-6</v>
      </c>
    </row>
    <row r="42479" spans="1:6" x14ac:dyDescent="0.25">
      <c r="A42479" s="2" t="str">
        <f t="shared" si="1325"/>
        <v>99999</v>
      </c>
      <c r="B42479" s="2" t="str">
        <f>"56078"</f>
        <v>56078</v>
      </c>
      <c r="C42479" s="1">
        <v>5.8934606379038102E-6</v>
      </c>
      <c r="D42479" s="1">
        <v>0</v>
      </c>
      <c r="E42479" s="1">
        <v>0</v>
      </c>
      <c r="F42479" s="1">
        <v>5.3721972674816004E-6</v>
      </c>
    </row>
    <row r="42480" spans="1:6" x14ac:dyDescent="0.25">
      <c r="A42480" s="2" t="str">
        <f t="shared" si="1325"/>
        <v>99999</v>
      </c>
      <c r="B42480" s="2" t="str">
        <f>"56085"</f>
        <v>56085</v>
      </c>
      <c r="C42480" s="1">
        <v>3.05586847891308E-6</v>
      </c>
      <c r="D42480" s="1">
        <v>0</v>
      </c>
      <c r="E42480" s="1">
        <v>0</v>
      </c>
      <c r="F42480" s="1">
        <v>2.7855837683237898E-6</v>
      </c>
    </row>
    <row r="42481" spans="1:6" x14ac:dyDescent="0.25">
      <c r="A42481" s="2" t="str">
        <f t="shared" si="1325"/>
        <v>99999</v>
      </c>
      <c r="B42481" s="2" t="str">
        <f>"56166"</f>
        <v>56166</v>
      </c>
      <c r="C42481" s="1">
        <v>1.1132092316040499E-5</v>
      </c>
      <c r="D42481" s="1">
        <v>1.21408213872709E-5</v>
      </c>
      <c r="E42481" s="1">
        <v>4.3455399550671099E-6</v>
      </c>
      <c r="F42481" s="1">
        <v>1.10428499387121E-5</v>
      </c>
    </row>
    <row r="42482" spans="1:6" x14ac:dyDescent="0.25">
      <c r="A42482" s="2" t="str">
        <f t="shared" si="1325"/>
        <v>99999</v>
      </c>
      <c r="B42482" s="2" t="str">
        <f>"56132"</f>
        <v>56132</v>
      </c>
      <c r="C42482" s="1">
        <v>1.68072766340219E-5</v>
      </c>
      <c r="D42482" s="1">
        <v>1.51760267340886E-6</v>
      </c>
      <c r="E42482" s="1">
        <v>0</v>
      </c>
      <c r="F42482" s="1">
        <v>1.5420195860363801E-5</v>
      </c>
    </row>
    <row r="42483" spans="1:6" x14ac:dyDescent="0.25">
      <c r="A42483" s="2" t="str">
        <f t="shared" si="1325"/>
        <v>99999</v>
      </c>
      <c r="B42483" s="2" t="str">
        <f>"56145"</f>
        <v>56145</v>
      </c>
      <c r="C42483" s="1">
        <v>3.5797316467267603E-5</v>
      </c>
      <c r="D42483" s="1">
        <v>3.0352053468177301E-5</v>
      </c>
      <c r="E42483" s="1">
        <v>8.69107991013423E-6</v>
      </c>
      <c r="F42483" s="1">
        <v>3.48197971040474E-5</v>
      </c>
    </row>
    <row r="42484" spans="1:6" x14ac:dyDescent="0.25">
      <c r="A42484" s="2" t="str">
        <f t="shared" si="1325"/>
        <v>99999</v>
      </c>
      <c r="B42484" s="2" t="str">
        <f>"56142"</f>
        <v>56142</v>
      </c>
      <c r="C42484" s="1">
        <v>6.5373757816747802E-5</v>
      </c>
      <c r="D42484" s="1">
        <v>5.0080888222492601E-5</v>
      </c>
      <c r="E42484" s="1">
        <v>6.5183099326006705E-5</v>
      </c>
      <c r="F42484" s="1">
        <v>6.4366882075196196E-5</v>
      </c>
    </row>
    <row r="42485" spans="1:6" x14ac:dyDescent="0.25">
      <c r="A42485" s="2" t="str">
        <f t="shared" si="1325"/>
        <v>99999</v>
      </c>
      <c r="B42485" s="2" t="str">
        <f>"56139"</f>
        <v>56139</v>
      </c>
      <c r="C42485" s="1">
        <v>2.3246428071731702E-5</v>
      </c>
      <c r="D42485" s="1">
        <v>1.5176026734088599E-5</v>
      </c>
      <c r="E42485" s="1">
        <v>0</v>
      </c>
      <c r="F42485" s="1">
        <v>2.21851850120073E-5</v>
      </c>
    </row>
    <row r="42486" spans="1:6" x14ac:dyDescent="0.25">
      <c r="A42486" s="2" t="str">
        <f t="shared" si="1325"/>
        <v>99999</v>
      </c>
      <c r="B42486" s="2" t="str">
        <f>"56131"</f>
        <v>56131</v>
      </c>
      <c r="C42486" s="1">
        <v>1.04663495402773E-4</v>
      </c>
      <c r="D42486" s="1">
        <v>4.0975272182039399E-5</v>
      </c>
      <c r="E42486" s="1">
        <v>2.8680563703442901E-4</v>
      </c>
      <c r="F42486" s="1">
        <v>1.04658361581308E-4</v>
      </c>
    </row>
    <row r="42487" spans="1:6" x14ac:dyDescent="0.25">
      <c r="A42487" s="2" t="str">
        <f t="shared" si="1325"/>
        <v>99999</v>
      </c>
      <c r="B42487" s="2" t="str">
        <f>"56128"</f>
        <v>56128</v>
      </c>
      <c r="C42487" s="1">
        <v>9.65872715656458E-5</v>
      </c>
      <c r="D42487" s="1">
        <v>5.0080888222492601E-5</v>
      </c>
      <c r="E42487" s="1">
        <v>5.21464794608054E-5</v>
      </c>
      <c r="F42487" s="1">
        <v>9.2521175162183102E-5</v>
      </c>
    </row>
    <row r="42488" spans="1:6" x14ac:dyDescent="0.25">
      <c r="A42488" s="2" t="str">
        <f t="shared" si="1325"/>
        <v>99999</v>
      </c>
      <c r="B42488" s="2" t="str">
        <f>"56060"</f>
        <v>56060</v>
      </c>
      <c r="C42488" s="1">
        <v>1.10229541560793E-5</v>
      </c>
      <c r="D42488" s="1">
        <v>9.1056160404532095E-6</v>
      </c>
      <c r="E42488" s="1">
        <v>4.3455399550671099E-6</v>
      </c>
      <c r="F42488" s="1">
        <v>1.0744394534963201E-5</v>
      </c>
    </row>
    <row r="42489" spans="1:6" x14ac:dyDescent="0.25">
      <c r="A42489" s="2" t="str">
        <f t="shared" si="1325"/>
        <v>99999</v>
      </c>
      <c r="B42489" s="2" t="str">
        <f>"55712"</f>
        <v>55712</v>
      </c>
      <c r="C42489" s="1">
        <v>2.4337809671343498E-5</v>
      </c>
      <c r="D42489" s="1">
        <v>4.5528080202265997E-6</v>
      </c>
      <c r="E42489" s="1">
        <v>4.3455399550671099E-6</v>
      </c>
      <c r="F42489" s="1">
        <v>2.2583125550339301E-5</v>
      </c>
    </row>
    <row r="42490" spans="1:6" x14ac:dyDescent="0.25">
      <c r="A42490" s="2" t="str">
        <f t="shared" si="1325"/>
        <v>99999</v>
      </c>
      <c r="B42490" s="2" t="str">
        <f>"55798"</f>
        <v>55798</v>
      </c>
      <c r="C42490" s="1">
        <v>1.09138159961181E-7</v>
      </c>
      <c r="D42490" s="1">
        <v>0</v>
      </c>
      <c r="E42490" s="1">
        <v>0</v>
      </c>
      <c r="F42490" s="1">
        <v>9.9485134582992598E-8</v>
      </c>
    </row>
    <row r="42491" spans="1:6" x14ac:dyDescent="0.25">
      <c r="A42491" s="2" t="str">
        <f t="shared" si="1325"/>
        <v>99999</v>
      </c>
      <c r="B42491" s="2" t="str">
        <f>"55771"</f>
        <v>55771</v>
      </c>
      <c r="C42491" s="1">
        <v>9.3858817566616205E-6</v>
      </c>
      <c r="D42491" s="1">
        <v>3.0352053468177301E-6</v>
      </c>
      <c r="E42491" s="1">
        <v>0</v>
      </c>
      <c r="F42491" s="1">
        <v>8.7546918433033508E-6</v>
      </c>
    </row>
    <row r="42492" spans="1:6" x14ac:dyDescent="0.25">
      <c r="A42492" s="2" t="str">
        <f t="shared" si="1325"/>
        <v>99999</v>
      </c>
      <c r="B42492" s="2" t="str">
        <f>"55749"</f>
        <v>55749</v>
      </c>
      <c r="C42492" s="1">
        <v>7.3122567173991701E-6</v>
      </c>
      <c r="D42492" s="1">
        <v>1.51760267340886E-6</v>
      </c>
      <c r="E42492" s="1">
        <v>0</v>
      </c>
      <c r="F42492" s="1">
        <v>6.7649891516434898E-6</v>
      </c>
    </row>
    <row r="42493" spans="1:6" x14ac:dyDescent="0.25">
      <c r="A42493" s="2" t="str">
        <f t="shared" si="1325"/>
        <v>99999</v>
      </c>
      <c r="B42493" s="2" t="str">
        <f>"55752"</f>
        <v>55752</v>
      </c>
      <c r="C42493" s="1">
        <v>3.17592045487038E-5</v>
      </c>
      <c r="D42493" s="1">
        <v>1.0623218713862E-5</v>
      </c>
      <c r="E42493" s="1">
        <v>4.3455399550671099E-6</v>
      </c>
      <c r="F42493" s="1">
        <v>2.9746055240314699E-5</v>
      </c>
    </row>
    <row r="42494" spans="1:6" x14ac:dyDescent="0.25">
      <c r="A42494" s="2" t="str">
        <f t="shared" si="1325"/>
        <v>99999</v>
      </c>
      <c r="B42494" s="2" t="str">
        <f>"55389"</f>
        <v>55389</v>
      </c>
      <c r="C42494" s="1">
        <v>1.1055695604067699E-4</v>
      </c>
      <c r="D42494" s="1">
        <v>5.7668901589537E-5</v>
      </c>
      <c r="E42494" s="1">
        <v>1.0429295892161E-4</v>
      </c>
      <c r="F42494" s="1">
        <v>1.06946519676717E-4</v>
      </c>
    </row>
    <row r="42495" spans="1:6" x14ac:dyDescent="0.25">
      <c r="A42495" s="2" t="str">
        <f t="shared" si="1325"/>
        <v>99999</v>
      </c>
      <c r="B42495" s="2" t="str">
        <f>"55353"</f>
        <v>55353</v>
      </c>
      <c r="C42495" s="1">
        <v>2.69571255104118E-5</v>
      </c>
      <c r="D42495" s="1">
        <v>6.0704106936354696E-6</v>
      </c>
      <c r="E42495" s="1">
        <v>8.69107991013423E-6</v>
      </c>
      <c r="F42495" s="1">
        <v>2.5169739049497099E-5</v>
      </c>
    </row>
    <row r="42496" spans="1:6" x14ac:dyDescent="0.25">
      <c r="A42496" s="2" t="str">
        <f t="shared" si="1325"/>
        <v>99999</v>
      </c>
      <c r="B42496" s="2" t="str">
        <f>"55334"</f>
        <v>55334</v>
      </c>
      <c r="C42496" s="1">
        <v>1.4591771986809899E-4</v>
      </c>
      <c r="D42496" s="1">
        <v>7.8915339017261203E-5</v>
      </c>
      <c r="E42496" s="1">
        <v>1.6513051829255E-4</v>
      </c>
      <c r="F42496" s="1">
        <v>1.4196528704993E-4</v>
      </c>
    </row>
    <row r="42497" spans="1:6" x14ac:dyDescent="0.25">
      <c r="A42497" s="2" t="str">
        <f t="shared" si="1325"/>
        <v>99999</v>
      </c>
      <c r="B42497" s="2" t="str">
        <f>"55037"</f>
        <v>55037</v>
      </c>
      <c r="C42497" s="1">
        <v>2.74155057822488E-4</v>
      </c>
      <c r="D42497" s="1">
        <v>1.63901088728157E-4</v>
      </c>
      <c r="E42497" s="1">
        <v>2.6507793725909402E-4</v>
      </c>
      <c r="F42497" s="1">
        <v>2.6671964581700302E-4</v>
      </c>
    </row>
    <row r="42498" spans="1:6" x14ac:dyDescent="0.25">
      <c r="A42498" s="2" t="str">
        <f t="shared" si="1325"/>
        <v>99999</v>
      </c>
      <c r="B42498" s="2" t="str">
        <f>"54969"</f>
        <v>54969</v>
      </c>
      <c r="C42498" s="1">
        <v>0</v>
      </c>
      <c r="D42498" s="1">
        <v>0</v>
      </c>
      <c r="E42498" s="1">
        <v>4.3455399550671099E-6</v>
      </c>
      <c r="F42498" s="1">
        <v>9.9485134582992598E-8</v>
      </c>
    </row>
    <row r="42499" spans="1:6" x14ac:dyDescent="0.25">
      <c r="A42499" s="2" t="str">
        <f t="shared" si="1325"/>
        <v>99999</v>
      </c>
      <c r="B42499" s="2" t="str">
        <f>"54986"</f>
        <v>54986</v>
      </c>
      <c r="C42499" s="1">
        <v>1.85534871934008E-6</v>
      </c>
      <c r="D42499" s="1">
        <v>0</v>
      </c>
      <c r="E42499" s="1">
        <v>0</v>
      </c>
      <c r="F42499" s="1">
        <v>1.6912472879108699E-6</v>
      </c>
    </row>
    <row r="42500" spans="1:6" x14ac:dyDescent="0.25">
      <c r="A42500" s="2" t="str">
        <f t="shared" si="1325"/>
        <v>99999</v>
      </c>
      <c r="B42500" s="2" t="str">
        <f>"54984"</f>
        <v>54984</v>
      </c>
      <c r="C42500" s="1">
        <v>2.2187787920108199E-4</v>
      </c>
      <c r="D42500" s="1">
        <v>1.09267392485438E-4</v>
      </c>
      <c r="E42500" s="1">
        <v>5.21464794608054E-5</v>
      </c>
      <c r="F42500" s="1">
        <v>2.10610029912195E-4</v>
      </c>
    </row>
    <row r="42501" spans="1:6" x14ac:dyDescent="0.25">
      <c r="A42501" s="2" t="str">
        <f t="shared" si="1325"/>
        <v>99999</v>
      </c>
      <c r="B42501" s="2" t="str">
        <f>"54826"</f>
        <v>54826</v>
      </c>
      <c r="C42501" s="1">
        <v>5.5551323420241499E-5</v>
      </c>
      <c r="D42501" s="1">
        <v>3.0352053468177301E-6</v>
      </c>
      <c r="E42501" s="1">
        <v>1.3036619865201299E-5</v>
      </c>
      <c r="F42501" s="1">
        <v>5.11353591756582E-5</v>
      </c>
    </row>
    <row r="42502" spans="1:6" x14ac:dyDescent="0.25">
      <c r="A42502" s="2" t="str">
        <f t="shared" si="1325"/>
        <v>99999</v>
      </c>
      <c r="B42502" s="2" t="str">
        <f>"54824"</f>
        <v>54824</v>
      </c>
      <c r="C42502" s="1">
        <v>1.14158515319396E-4</v>
      </c>
      <c r="D42502" s="1">
        <v>2.88344507947685E-5</v>
      </c>
      <c r="E42502" s="1">
        <v>9.1256339056409395E-5</v>
      </c>
      <c r="F42502" s="1">
        <v>1.0804085615713E-4</v>
      </c>
    </row>
    <row r="42503" spans="1:6" x14ac:dyDescent="0.25">
      <c r="A42503" s="2" t="str">
        <f t="shared" si="1325"/>
        <v>99999</v>
      </c>
      <c r="B42503" s="2" t="str">
        <f>"54821"</f>
        <v>54821</v>
      </c>
      <c r="C42503" s="1">
        <v>1.19069732517649E-4</v>
      </c>
      <c r="D42503" s="1">
        <v>4.8563285549083798E-5</v>
      </c>
      <c r="E42503" s="1">
        <v>6.0837559370939603E-5</v>
      </c>
      <c r="F42503" s="1">
        <v>1.13114598020862E-4</v>
      </c>
    </row>
    <row r="42504" spans="1:6" x14ac:dyDescent="0.25">
      <c r="A42504" s="2" t="str">
        <f t="shared" si="1325"/>
        <v>99999</v>
      </c>
      <c r="B42504" s="2" t="str">
        <f>"54814"</f>
        <v>54814</v>
      </c>
      <c r="C42504" s="1">
        <v>1.5050152258646901E-4</v>
      </c>
      <c r="D42504" s="1">
        <v>7.7397736343852298E-5</v>
      </c>
      <c r="E42504" s="1">
        <v>2.0858591784322101E-4</v>
      </c>
      <c r="F42504" s="1">
        <v>1.4703902891366301E-4</v>
      </c>
    </row>
    <row r="42505" spans="1:6" x14ac:dyDescent="0.25">
      <c r="A42505" s="2" t="str">
        <f t="shared" si="1325"/>
        <v>99999</v>
      </c>
      <c r="B42505" s="2" t="str">
        <f>"54812"</f>
        <v>54812</v>
      </c>
      <c r="C42505" s="1">
        <v>2.7328195254279898E-4</v>
      </c>
      <c r="D42505" s="1">
        <v>3.5208382023085697E-4</v>
      </c>
      <c r="E42505" s="1">
        <v>5.1277371469791902E-4</v>
      </c>
      <c r="F42505" s="1">
        <v>2.8393057409985999E-4</v>
      </c>
    </row>
    <row r="42506" spans="1:6" x14ac:dyDescent="0.25">
      <c r="A42506" s="2" t="str">
        <f t="shared" si="1325"/>
        <v>99999</v>
      </c>
      <c r="B42506" s="2" t="str">
        <f>"54806"</f>
        <v>54806</v>
      </c>
      <c r="C42506" s="1">
        <v>5.9753142578746995E-4</v>
      </c>
      <c r="D42506" s="1">
        <v>9.4091365751349898E-4</v>
      </c>
      <c r="E42506" s="1">
        <v>9.3429109033943002E-4</v>
      </c>
      <c r="F42506" s="1">
        <v>6.2775119921868296E-4</v>
      </c>
    </row>
    <row r="42507" spans="1:6" x14ac:dyDescent="0.25">
      <c r="A42507" s="2" t="str">
        <f t="shared" si="1325"/>
        <v>99999</v>
      </c>
      <c r="B42507" s="2" t="str">
        <f>"54946"</f>
        <v>54946</v>
      </c>
      <c r="C42507" s="1">
        <v>0</v>
      </c>
      <c r="D42507" s="1">
        <v>1.0623218713862E-5</v>
      </c>
      <c r="E42507" s="1">
        <v>4.3455399550671099E-6</v>
      </c>
      <c r="F42507" s="1">
        <v>7.9588107666394099E-7</v>
      </c>
    </row>
    <row r="42508" spans="1:6" x14ac:dyDescent="0.25">
      <c r="A42508" s="2" t="str">
        <f t="shared" si="1325"/>
        <v>99999</v>
      </c>
      <c r="B42508" s="2" t="str">
        <f>"54950"</f>
        <v>54950</v>
      </c>
      <c r="C42508" s="1">
        <v>1.18633179877804E-4</v>
      </c>
      <c r="D42508" s="1">
        <v>5.6151298916128101E-5</v>
      </c>
      <c r="E42508" s="1">
        <v>1.30366198652013E-4</v>
      </c>
      <c r="F42508" s="1">
        <v>1.1480584530877299E-4</v>
      </c>
    </row>
    <row r="42509" spans="1:6" x14ac:dyDescent="0.25">
      <c r="A42509" s="2" t="str">
        <f t="shared" si="1325"/>
        <v>99999</v>
      </c>
      <c r="B42509" s="2" t="str">
        <f>"54941"</f>
        <v>54941</v>
      </c>
      <c r="C42509" s="1">
        <v>2.0823560920593399E-4</v>
      </c>
      <c r="D42509" s="1">
        <v>1.10784995158847E-4</v>
      </c>
      <c r="E42509" s="1">
        <v>2.4769577743882499E-4</v>
      </c>
      <c r="F42509" s="1">
        <v>2.02750704280138E-4</v>
      </c>
    </row>
    <row r="42510" spans="1:6" x14ac:dyDescent="0.25">
      <c r="A42510" s="2" t="str">
        <f t="shared" si="1325"/>
        <v>99999</v>
      </c>
      <c r="B42510" s="2" t="str">
        <f>"54929"</f>
        <v>54929</v>
      </c>
      <c r="C42510" s="1">
        <v>3.8558511914285501E-4</v>
      </c>
      <c r="D42510" s="1">
        <v>4.4010477528857198E-4</v>
      </c>
      <c r="E42510" s="1">
        <v>3.86753056000973E-4</v>
      </c>
      <c r="F42510" s="1">
        <v>3.8918584648866698E-4</v>
      </c>
    </row>
    <row r="42511" spans="1:6" x14ac:dyDescent="0.25">
      <c r="A42511" s="2" t="str">
        <f t="shared" si="1325"/>
        <v>99999</v>
      </c>
      <c r="B42511" s="2" t="str">
        <f>"54896"</f>
        <v>54896</v>
      </c>
      <c r="C42511" s="1">
        <v>1.52356871305809E-4</v>
      </c>
      <c r="D42511" s="1">
        <v>5.7668901589537E-5</v>
      </c>
      <c r="E42511" s="1">
        <v>7.8219719191208097E-5</v>
      </c>
      <c r="F42511" s="1">
        <v>1.4445241541450501E-4</v>
      </c>
    </row>
    <row r="42512" spans="1:6" x14ac:dyDescent="0.25">
      <c r="A42512" s="2" t="str">
        <f t="shared" si="1325"/>
        <v>99999</v>
      </c>
      <c r="B42512" s="2" t="str">
        <f>"54746"</f>
        <v>54746</v>
      </c>
      <c r="C42512" s="1">
        <v>4.0271981025675999E-5</v>
      </c>
      <c r="D42512" s="1">
        <v>7.5880133670443404E-6</v>
      </c>
      <c r="E42512" s="1">
        <v>4.3455399550671099E-6</v>
      </c>
      <c r="F42512" s="1">
        <v>3.73069254686222E-5</v>
      </c>
    </row>
    <row r="42513" spans="1:6" x14ac:dyDescent="0.25">
      <c r="A42513" s="2" t="str">
        <f t="shared" si="1325"/>
        <v>99999</v>
      </c>
      <c r="B42513" s="2" t="str">
        <f>"54743"</f>
        <v>54743</v>
      </c>
      <c r="C42513" s="1">
        <v>0</v>
      </c>
      <c r="D42513" s="1">
        <v>1.51760267340886E-6</v>
      </c>
      <c r="E42513" s="1">
        <v>0</v>
      </c>
      <c r="F42513" s="1">
        <v>9.9485134582992598E-8</v>
      </c>
    </row>
    <row r="42514" spans="1:6" x14ac:dyDescent="0.25">
      <c r="A42514" s="2" t="str">
        <f t="shared" ref="A42514:A42577" si="1326">"99999"</f>
        <v>99999</v>
      </c>
      <c r="B42514" s="2" t="str">
        <f>"54738"</f>
        <v>54738</v>
      </c>
      <c r="C42514" s="1">
        <v>7.2576876374185804E-5</v>
      </c>
      <c r="D42514" s="1">
        <v>2.2764040101133E-5</v>
      </c>
      <c r="E42514" s="1">
        <v>7.3874179236140894E-5</v>
      </c>
      <c r="F42514" s="1">
        <v>6.9341138804345797E-5</v>
      </c>
    </row>
    <row r="42515" spans="1:6" x14ac:dyDescent="0.25">
      <c r="A42515" s="2" t="str">
        <f t="shared" si="1326"/>
        <v>99999</v>
      </c>
      <c r="B42515" s="2" t="str">
        <f>"54545"</f>
        <v>54545</v>
      </c>
      <c r="C42515" s="1">
        <v>9.3967955726577404E-5</v>
      </c>
      <c r="D42515" s="1">
        <v>8.65033523843055E-5</v>
      </c>
      <c r="E42515" s="1">
        <v>3.0418779685469802E-5</v>
      </c>
      <c r="F42515" s="1">
        <v>9.2023749489268103E-5</v>
      </c>
    </row>
    <row r="42516" spans="1:6" x14ac:dyDescent="0.25">
      <c r="A42516" s="2" t="str">
        <f t="shared" si="1326"/>
        <v>99999</v>
      </c>
      <c r="B42516" s="2" t="str">
        <f>"54541"</f>
        <v>54541</v>
      </c>
      <c r="C42516" s="1">
        <v>8.0653100211313303E-5</v>
      </c>
      <c r="D42516" s="1">
        <v>2.7316848121359601E-5</v>
      </c>
      <c r="E42516" s="1">
        <v>3.9109859595604001E-5</v>
      </c>
      <c r="F42516" s="1">
        <v>7.6205613090572294E-5</v>
      </c>
    </row>
    <row r="42517" spans="1:6" x14ac:dyDescent="0.25">
      <c r="A42517" s="2" t="str">
        <f t="shared" si="1326"/>
        <v>99999</v>
      </c>
      <c r="B42517" s="2" t="str">
        <f>"54493"</f>
        <v>54493</v>
      </c>
      <c r="C42517" s="1">
        <v>4.8239066702842302E-5</v>
      </c>
      <c r="D42517" s="1">
        <v>1.21408213872709E-5</v>
      </c>
      <c r="E42517" s="1">
        <v>4.3455399550671099E-6</v>
      </c>
      <c r="F42517" s="1">
        <v>4.4867795696929599E-5</v>
      </c>
    </row>
    <row r="42518" spans="1:6" x14ac:dyDescent="0.25">
      <c r="A42518" s="2" t="str">
        <f t="shared" si="1326"/>
        <v>99999</v>
      </c>
      <c r="B42518" s="2" t="str">
        <f>"54487"</f>
        <v>54487</v>
      </c>
      <c r="C42518" s="1">
        <v>1.4297098954914799E-4</v>
      </c>
      <c r="D42518" s="1">
        <v>4.0975272182039399E-5</v>
      </c>
      <c r="E42518" s="1">
        <v>1.7382159820268399E-5</v>
      </c>
      <c r="F42518" s="1">
        <v>1.33409565475793E-4</v>
      </c>
    </row>
    <row r="42519" spans="1:6" x14ac:dyDescent="0.25">
      <c r="A42519" s="2" t="str">
        <f t="shared" si="1326"/>
        <v>99999</v>
      </c>
      <c r="B42519" s="2" t="str">
        <f>"54644"</f>
        <v>54644</v>
      </c>
      <c r="C42519" s="1">
        <v>1.20051975957299E-6</v>
      </c>
      <c r="D42519" s="1">
        <v>0</v>
      </c>
      <c r="E42519" s="1">
        <v>0</v>
      </c>
      <c r="F42519" s="1">
        <v>1.09433648041291E-6</v>
      </c>
    </row>
    <row r="42520" spans="1:6" x14ac:dyDescent="0.25">
      <c r="A42520" s="2" t="str">
        <f t="shared" si="1326"/>
        <v>99999</v>
      </c>
      <c r="B42520" s="2" t="str">
        <f>"54648"</f>
        <v>54648</v>
      </c>
      <c r="C42520" s="1">
        <v>7.0721527654845696E-5</v>
      </c>
      <c r="D42520" s="1">
        <v>3.1869656141586203E-5</v>
      </c>
      <c r="E42520" s="1">
        <v>4.3455399550671103E-5</v>
      </c>
      <c r="F42520" s="1">
        <v>6.7550406381852E-5</v>
      </c>
    </row>
    <row r="42521" spans="1:6" x14ac:dyDescent="0.25">
      <c r="A42521" s="2" t="str">
        <f t="shared" si="1326"/>
        <v>99999</v>
      </c>
      <c r="B42521" s="2" t="str">
        <f>"54642"</f>
        <v>54642</v>
      </c>
      <c r="C42521" s="1">
        <v>1.03899528283045E-4</v>
      </c>
      <c r="D42521" s="1">
        <v>6.9809722976807906E-5</v>
      </c>
      <c r="E42521" s="1">
        <v>4.7800939505738197E-5</v>
      </c>
      <c r="F42521" s="1">
        <v>1.00380500794239E-4</v>
      </c>
    </row>
    <row r="42522" spans="1:6" x14ac:dyDescent="0.25">
      <c r="A42522" s="2" t="str">
        <f t="shared" si="1326"/>
        <v>99999</v>
      </c>
      <c r="B42522" s="2" t="str">
        <f>"54639"</f>
        <v>54639</v>
      </c>
      <c r="C42522" s="1">
        <v>1.25945436595203E-4</v>
      </c>
      <c r="D42522" s="1">
        <v>4.0975272182039399E-5</v>
      </c>
      <c r="E42522" s="1">
        <v>8.69107991013423E-5</v>
      </c>
      <c r="F42522" s="1">
        <v>1.19481646634174E-4</v>
      </c>
    </row>
    <row r="42523" spans="1:6" x14ac:dyDescent="0.25">
      <c r="A42523" s="2" t="str">
        <f t="shared" si="1326"/>
        <v>99999</v>
      </c>
      <c r="B42523" s="2" t="str">
        <f>"54638"</f>
        <v>54638</v>
      </c>
      <c r="C42523" s="1">
        <v>7.1267218454651606E-5</v>
      </c>
      <c r="D42523" s="1">
        <v>2.5799245447950699E-5</v>
      </c>
      <c r="E42523" s="1">
        <v>4.3455399550671103E-5</v>
      </c>
      <c r="F42523" s="1">
        <v>6.7649891516434897E-5</v>
      </c>
    </row>
    <row r="42524" spans="1:6" x14ac:dyDescent="0.25">
      <c r="A42524" s="2" t="str">
        <f t="shared" si="1326"/>
        <v>99999</v>
      </c>
      <c r="B42524" s="2" t="str">
        <f>"54630"</f>
        <v>54630</v>
      </c>
      <c r="C42524" s="1">
        <v>2.2187787920108199E-4</v>
      </c>
      <c r="D42524" s="1">
        <v>1.09267392485438E-4</v>
      </c>
      <c r="E42524" s="1">
        <v>2.3900469752869099E-4</v>
      </c>
      <c r="F42524" s="1">
        <v>2.14887890699264E-4</v>
      </c>
    </row>
    <row r="42525" spans="1:6" x14ac:dyDescent="0.25">
      <c r="A42525" s="2" t="str">
        <f t="shared" si="1326"/>
        <v>99999</v>
      </c>
      <c r="B42525" s="2" t="str">
        <f>"54670"</f>
        <v>54670</v>
      </c>
      <c r="C42525" s="1">
        <v>6.9630146055233902E-5</v>
      </c>
      <c r="D42525" s="1">
        <v>4.2492874855448297E-5</v>
      </c>
      <c r="E42525" s="1">
        <v>3.0418779685469802E-5</v>
      </c>
      <c r="F42525" s="1">
        <v>6.6953495574353995E-5</v>
      </c>
    </row>
    <row r="42526" spans="1:6" x14ac:dyDescent="0.25">
      <c r="A42526" s="2" t="str">
        <f t="shared" si="1326"/>
        <v>99999</v>
      </c>
      <c r="B42526" s="2" t="str">
        <f>"54479"</f>
        <v>54479</v>
      </c>
      <c r="C42526" s="1">
        <v>4.2127329745016101E-5</v>
      </c>
      <c r="D42526" s="1">
        <v>1.21408213872709E-5</v>
      </c>
      <c r="E42526" s="1">
        <v>0</v>
      </c>
      <c r="F42526" s="1">
        <v>3.9197143025699002E-5</v>
      </c>
    </row>
    <row r="42527" spans="1:6" x14ac:dyDescent="0.25">
      <c r="A42527" s="2" t="str">
        <f t="shared" si="1326"/>
        <v>99999</v>
      </c>
      <c r="B42527" s="2" t="str">
        <f>"54612"</f>
        <v>54612</v>
      </c>
      <c r="C42527" s="1">
        <v>2.6160416942695199E-4</v>
      </c>
      <c r="D42527" s="1">
        <v>2.73168481213596E-4</v>
      </c>
      <c r="E42527" s="1">
        <v>5.9099343388912704E-4</v>
      </c>
      <c r="F42527" s="1">
        <v>2.6990317012365902E-4</v>
      </c>
    </row>
    <row r="42528" spans="1:6" x14ac:dyDescent="0.25">
      <c r="A42528" s="2" t="str">
        <f t="shared" si="1326"/>
        <v>99999</v>
      </c>
      <c r="B42528" s="2" t="str">
        <f>"54568"</f>
        <v>54568</v>
      </c>
      <c r="C42528" s="1">
        <v>5.04218299020659E-4</v>
      </c>
      <c r="D42528" s="1">
        <v>4.9777367687810898E-4</v>
      </c>
      <c r="E42528" s="1">
        <v>2.3900469752869099E-4</v>
      </c>
      <c r="F42528" s="1">
        <v>4.9772412831871195E-4</v>
      </c>
    </row>
    <row r="42529" spans="1:6" x14ac:dyDescent="0.25">
      <c r="A42529" s="2" t="str">
        <f t="shared" si="1326"/>
        <v>99999</v>
      </c>
      <c r="B42529" s="2" t="str">
        <f>"54459"</f>
        <v>54459</v>
      </c>
      <c r="C42529" s="1">
        <v>7.9561718611701401E-5</v>
      </c>
      <c r="D42529" s="1">
        <v>1.66936294074975E-5</v>
      </c>
      <c r="E42529" s="1">
        <v>8.69107991013423E-6</v>
      </c>
      <c r="F42529" s="1">
        <v>7.3817969860580506E-5</v>
      </c>
    </row>
    <row r="42530" spans="1:6" x14ac:dyDescent="0.25">
      <c r="A42530" s="2" t="str">
        <f t="shared" si="1326"/>
        <v>99999</v>
      </c>
      <c r="B42530" s="2" t="str">
        <f>"54212"</f>
        <v>54212</v>
      </c>
      <c r="C42530" s="1">
        <v>8.3708968690226305E-5</v>
      </c>
      <c r="D42530" s="1">
        <v>5.3116093569310399E-5</v>
      </c>
      <c r="E42530" s="1">
        <v>6.0837559370939603E-5</v>
      </c>
      <c r="F42530" s="1">
        <v>8.1179869819721895E-5</v>
      </c>
    </row>
    <row r="42531" spans="1:6" x14ac:dyDescent="0.25">
      <c r="A42531" s="2" t="str">
        <f t="shared" si="1326"/>
        <v>99999</v>
      </c>
      <c r="B42531" s="2" t="str">
        <f>"54211"</f>
        <v>54211</v>
      </c>
      <c r="C42531" s="1">
        <v>2.9030750549674299E-5</v>
      </c>
      <c r="D42531" s="1">
        <v>0</v>
      </c>
      <c r="E42531" s="1">
        <v>9.5601879011476503E-5</v>
      </c>
      <c r="F42531" s="1">
        <v>2.86517187599018E-5</v>
      </c>
    </row>
    <row r="42532" spans="1:6" x14ac:dyDescent="0.25">
      <c r="A42532" s="2" t="str">
        <f t="shared" si="1326"/>
        <v>99999</v>
      </c>
      <c r="B42532" s="2" t="str">
        <f>"54449"</f>
        <v>54449</v>
      </c>
      <c r="C42532" s="1">
        <v>9.8224343965063504E-7</v>
      </c>
      <c r="D42532" s="1">
        <v>0</v>
      </c>
      <c r="E42532" s="1">
        <v>0</v>
      </c>
      <c r="F42532" s="1">
        <v>8.9536621124693305E-7</v>
      </c>
    </row>
    <row r="42533" spans="1:6" x14ac:dyDescent="0.25">
      <c r="A42533" s="2" t="str">
        <f t="shared" si="1326"/>
        <v>99999</v>
      </c>
      <c r="B42533" s="2" t="str">
        <f>"54437"</f>
        <v>54437</v>
      </c>
      <c r="C42533" s="1">
        <v>1.4602685802806101E-4</v>
      </c>
      <c r="D42533" s="1">
        <v>7.2844928323625703E-5</v>
      </c>
      <c r="E42533" s="1">
        <v>6.5183099326006705E-5</v>
      </c>
      <c r="F42533" s="1">
        <v>1.3937867355077199E-4</v>
      </c>
    </row>
    <row r="42534" spans="1:6" x14ac:dyDescent="0.25">
      <c r="A42534" s="2" t="str">
        <f t="shared" si="1326"/>
        <v>99999</v>
      </c>
      <c r="B42534" s="2" t="str">
        <f>"53941"</f>
        <v>53941</v>
      </c>
      <c r="C42534" s="1">
        <v>3.27414479883545E-6</v>
      </c>
      <c r="D42534" s="1">
        <v>0</v>
      </c>
      <c r="E42534" s="1">
        <v>0</v>
      </c>
      <c r="F42534" s="1">
        <v>2.9845540374897699E-6</v>
      </c>
    </row>
    <row r="42535" spans="1:6" x14ac:dyDescent="0.25">
      <c r="A42535" s="2" t="str">
        <f t="shared" si="1326"/>
        <v>99999</v>
      </c>
      <c r="B42535" s="2" t="str">
        <f>"53936"</f>
        <v>53936</v>
      </c>
      <c r="C42535" s="1">
        <v>1.2027025227722201E-4</v>
      </c>
      <c r="D42535" s="1">
        <v>2.4281642774541899E-5</v>
      </c>
      <c r="E42535" s="1">
        <v>8.69107991013423E-6</v>
      </c>
      <c r="F42535" s="1">
        <v>1.11423350732951E-4</v>
      </c>
    </row>
    <row r="42536" spans="1:6" x14ac:dyDescent="0.25">
      <c r="A42536" s="2" t="str">
        <f t="shared" si="1326"/>
        <v>99999</v>
      </c>
      <c r="B42536" s="2" t="str">
        <f>"53599"</f>
        <v>53599</v>
      </c>
      <c r="C42536" s="1">
        <v>2.9467303189519E-6</v>
      </c>
      <c r="D42536" s="1">
        <v>0</v>
      </c>
      <c r="E42536" s="1">
        <v>4.3455399550671099E-6</v>
      </c>
      <c r="F42536" s="1">
        <v>2.7855837683237898E-6</v>
      </c>
    </row>
    <row r="42537" spans="1:6" x14ac:dyDescent="0.25">
      <c r="A42537" s="2" t="str">
        <f t="shared" si="1326"/>
        <v>99999</v>
      </c>
      <c r="B42537" s="2" t="str">
        <f>"53586"</f>
        <v>53586</v>
      </c>
      <c r="C42537" s="1">
        <v>1.06955396761958E-4</v>
      </c>
      <c r="D42537" s="1">
        <v>1.01679379118394E-4</v>
      </c>
      <c r="E42537" s="1">
        <v>1.08638498876677E-4</v>
      </c>
      <c r="F42537" s="1">
        <v>1.06648064272968E-4</v>
      </c>
    </row>
    <row r="42538" spans="1:6" x14ac:dyDescent="0.25">
      <c r="A42538" s="2" t="str">
        <f t="shared" si="1326"/>
        <v>99999</v>
      </c>
      <c r="B42538" s="2" t="str">
        <f>"53556"</f>
        <v>53556</v>
      </c>
      <c r="C42538" s="1">
        <v>1.26818541874893E-4</v>
      </c>
      <c r="D42538" s="1">
        <v>1.3658424060679801E-5</v>
      </c>
      <c r="E42538" s="1">
        <v>6.5183099326006705E-5</v>
      </c>
      <c r="F42538" s="1">
        <v>1.17989369615429E-4</v>
      </c>
    </row>
    <row r="42539" spans="1:6" x14ac:dyDescent="0.25">
      <c r="A42539" s="2" t="str">
        <f t="shared" si="1326"/>
        <v>99999</v>
      </c>
      <c r="B42539" s="2" t="str">
        <f>"53522"</f>
        <v>53522</v>
      </c>
      <c r="C42539" s="1">
        <v>4.4746645584084504E-6</v>
      </c>
      <c r="D42539" s="1">
        <v>1.51760267340886E-6</v>
      </c>
      <c r="E42539" s="1">
        <v>8.69107991013423E-6</v>
      </c>
      <c r="F42539" s="1">
        <v>4.3773459216516703E-6</v>
      </c>
    </row>
    <row r="42540" spans="1:6" x14ac:dyDescent="0.25">
      <c r="A42540" s="2" t="str">
        <f t="shared" si="1326"/>
        <v>99999</v>
      </c>
      <c r="B42540" s="2" t="str">
        <f>"53510"</f>
        <v>53510</v>
      </c>
      <c r="C42540" s="1">
        <v>7.1812909254457503E-5</v>
      </c>
      <c r="D42540" s="1">
        <v>4.2492874855448297E-5</v>
      </c>
      <c r="E42540" s="1">
        <v>7.3874179236140894E-5</v>
      </c>
      <c r="F42540" s="1">
        <v>6.9938049611843801E-5</v>
      </c>
    </row>
    <row r="42541" spans="1:6" x14ac:dyDescent="0.25">
      <c r="A42541" s="2" t="str">
        <f t="shared" si="1326"/>
        <v>99999</v>
      </c>
      <c r="B42541" s="2" t="str">
        <f>"52752"</f>
        <v>52752</v>
      </c>
      <c r="C42541" s="1">
        <v>0</v>
      </c>
      <c r="D42541" s="1">
        <v>0</v>
      </c>
      <c r="E42541" s="1">
        <v>4.3455399550671099E-6</v>
      </c>
      <c r="F42541" s="1">
        <v>9.9485134582992598E-8</v>
      </c>
    </row>
    <row r="42542" spans="1:6" x14ac:dyDescent="0.25">
      <c r="A42542" s="2" t="str">
        <f t="shared" si="1326"/>
        <v>99999</v>
      </c>
      <c r="B42542" s="2" t="str">
        <f>"52647"</f>
        <v>52647</v>
      </c>
      <c r="C42542" s="1">
        <v>0</v>
      </c>
      <c r="D42542" s="1">
        <v>0</v>
      </c>
      <c r="E42542" s="1">
        <v>4.3455399550671099E-6</v>
      </c>
      <c r="F42542" s="1">
        <v>9.9485134582992598E-8</v>
      </c>
    </row>
    <row r="42543" spans="1:6" x14ac:dyDescent="0.25">
      <c r="A42543" s="2" t="str">
        <f t="shared" si="1326"/>
        <v>99999</v>
      </c>
      <c r="B42543" s="2" t="str">
        <f>"52257"</f>
        <v>52257</v>
      </c>
      <c r="C42543" s="1">
        <v>2.1827631992236301E-7</v>
      </c>
      <c r="D42543" s="1">
        <v>0</v>
      </c>
      <c r="E42543" s="1">
        <v>0</v>
      </c>
      <c r="F42543" s="1">
        <v>1.9897026916598501E-7</v>
      </c>
    </row>
    <row r="42544" spans="1:6" x14ac:dyDescent="0.25">
      <c r="A42544" s="2" t="str">
        <f t="shared" si="1326"/>
        <v>99999</v>
      </c>
      <c r="B42544" s="2" t="str">
        <f>"52209"</f>
        <v>52209</v>
      </c>
      <c r="C42544" s="1">
        <v>1.6370723994177199E-6</v>
      </c>
      <c r="D42544" s="1">
        <v>0</v>
      </c>
      <c r="E42544" s="1">
        <v>0</v>
      </c>
      <c r="F42544" s="1">
        <v>1.4922770187448801E-6</v>
      </c>
    </row>
    <row r="42545" spans="1:6" x14ac:dyDescent="0.25">
      <c r="A42545" s="2" t="str">
        <f t="shared" si="1326"/>
        <v>99999</v>
      </c>
      <c r="B42545" s="2" t="str">
        <f>"52237"</f>
        <v>52237</v>
      </c>
      <c r="C42545" s="1">
        <v>7.6287573812865994E-5</v>
      </c>
      <c r="D42545" s="1">
        <v>1.5176026734088599E-5</v>
      </c>
      <c r="E42545" s="1">
        <v>6.9528639281073799E-5</v>
      </c>
      <c r="F42545" s="1">
        <v>7.2126722572669606E-5</v>
      </c>
    </row>
    <row r="42546" spans="1:6" x14ac:dyDescent="0.25">
      <c r="A42546" s="2" t="str">
        <f t="shared" si="1326"/>
        <v>99999</v>
      </c>
      <c r="B42546" s="2" t="str">
        <f>"52563"</f>
        <v>52563</v>
      </c>
      <c r="C42546" s="1">
        <v>6.4609790697019501E-5</v>
      </c>
      <c r="D42546" s="1">
        <v>9.1056160404532095E-6</v>
      </c>
      <c r="E42546" s="1">
        <v>6.0837559370939603E-5</v>
      </c>
      <c r="F42546" s="1">
        <v>6.0884902364791397E-5</v>
      </c>
    </row>
    <row r="42547" spans="1:6" x14ac:dyDescent="0.25">
      <c r="A42547" s="2" t="str">
        <f t="shared" si="1326"/>
        <v>99999</v>
      </c>
      <c r="B42547" s="2" t="str">
        <f>"52550"</f>
        <v>52550</v>
      </c>
      <c r="C42547" s="1">
        <v>2.8048507110023701E-5</v>
      </c>
      <c r="D42547" s="1">
        <v>1.5176026734088599E-5</v>
      </c>
      <c r="E42547" s="1">
        <v>2.1727699775335501E-5</v>
      </c>
      <c r="F42547" s="1">
        <v>2.7059956606573898E-5</v>
      </c>
    </row>
    <row r="42548" spans="1:6" x14ac:dyDescent="0.25">
      <c r="A42548" s="2" t="str">
        <f t="shared" si="1326"/>
        <v>99999</v>
      </c>
      <c r="B42548" s="2" t="str">
        <f>"52537"</f>
        <v>52537</v>
      </c>
      <c r="C42548" s="1">
        <v>3.3341707868140999E-4</v>
      </c>
      <c r="D42548" s="1">
        <v>5.4633696242719298E-4</v>
      </c>
      <c r="E42548" s="1">
        <v>5.9968451379926199E-4</v>
      </c>
      <c r="F42548" s="1">
        <v>3.5347068317337197E-4</v>
      </c>
    </row>
    <row r="42549" spans="1:6" x14ac:dyDescent="0.25">
      <c r="A42549" s="2" t="str">
        <f t="shared" si="1326"/>
        <v>99999</v>
      </c>
      <c r="B42549" s="2" t="str">
        <f>"52531"</f>
        <v>52531</v>
      </c>
      <c r="C42549" s="1">
        <v>3.15845834927659E-4</v>
      </c>
      <c r="D42549" s="1">
        <v>4.70456828756749E-4</v>
      </c>
      <c r="E42549" s="1">
        <v>4.9104601492258398E-4</v>
      </c>
      <c r="F42549" s="1">
        <v>3.2999219141178598E-4</v>
      </c>
    </row>
    <row r="42550" spans="1:6" x14ac:dyDescent="0.25">
      <c r="A42550" s="2" t="str">
        <f t="shared" si="1326"/>
        <v>99999</v>
      </c>
      <c r="B42550" s="2" t="str">
        <f>"52133"</f>
        <v>52133</v>
      </c>
      <c r="C42550" s="1">
        <v>2.64114347106059E-5</v>
      </c>
      <c r="D42550" s="1">
        <v>6.0704106936354696E-6</v>
      </c>
      <c r="E42550" s="1">
        <v>1.3036619865201299E-5</v>
      </c>
      <c r="F42550" s="1">
        <v>2.4771798511165099E-5</v>
      </c>
    </row>
    <row r="42551" spans="1:6" x14ac:dyDescent="0.25">
      <c r="A42551" s="2" t="str">
        <f t="shared" si="1326"/>
        <v>99999</v>
      </c>
      <c r="B42551" s="2" t="str">
        <f>"52149"</f>
        <v>52149</v>
      </c>
      <c r="C42551" s="1">
        <v>0</v>
      </c>
      <c r="D42551" s="1">
        <v>1.51760267340886E-6</v>
      </c>
      <c r="E42551" s="1">
        <v>0</v>
      </c>
      <c r="F42551" s="1">
        <v>9.9485134582992598E-8</v>
      </c>
    </row>
    <row r="42552" spans="1:6" x14ac:dyDescent="0.25">
      <c r="A42552" s="2" t="str">
        <f t="shared" si="1326"/>
        <v>99999</v>
      </c>
      <c r="B42552" s="2" t="str">
        <f>"52155"</f>
        <v>52155</v>
      </c>
      <c r="C42552" s="1">
        <v>6.3190994617524202E-5</v>
      </c>
      <c r="D42552" s="1">
        <v>3.0352053468177301E-5</v>
      </c>
      <c r="E42552" s="1">
        <v>4.7800939505738197E-5</v>
      </c>
      <c r="F42552" s="1">
        <v>6.0685932095625502E-5</v>
      </c>
    </row>
    <row r="42553" spans="1:6" x14ac:dyDescent="0.25">
      <c r="A42553" s="2" t="str">
        <f t="shared" si="1326"/>
        <v>99999</v>
      </c>
      <c r="B42553" s="2" t="str">
        <f>"52144"</f>
        <v>52144</v>
      </c>
      <c r="C42553" s="1">
        <v>6.5810310456592504E-5</v>
      </c>
      <c r="D42553" s="1">
        <v>2.88344507947685E-5</v>
      </c>
      <c r="E42553" s="1">
        <v>1.3036619865201299E-5</v>
      </c>
      <c r="F42553" s="1">
        <v>6.2178209114370297E-5</v>
      </c>
    </row>
    <row r="42554" spans="1:6" x14ac:dyDescent="0.25">
      <c r="A42554" s="2" t="str">
        <f t="shared" si="1326"/>
        <v>99999</v>
      </c>
      <c r="B42554" s="2" t="str">
        <f>"52076"</f>
        <v>52076</v>
      </c>
      <c r="C42554" s="1">
        <v>1.15359035078969E-4</v>
      </c>
      <c r="D42554" s="1">
        <v>1.13820200505665E-4</v>
      </c>
      <c r="E42554" s="1">
        <v>8.2565259146275205E-5</v>
      </c>
      <c r="F42554" s="1">
        <v>1.14507389905024E-4</v>
      </c>
    </row>
    <row r="42555" spans="1:6" x14ac:dyDescent="0.25">
      <c r="A42555" s="2" t="str">
        <f t="shared" si="1326"/>
        <v>99999</v>
      </c>
      <c r="B42555" s="2" t="str">
        <f>"52320"</f>
        <v>52320</v>
      </c>
      <c r="C42555" s="1">
        <v>3.3832829587966299E-6</v>
      </c>
      <c r="D42555" s="1">
        <v>1.51760267340886E-6</v>
      </c>
      <c r="E42555" s="1">
        <v>0</v>
      </c>
      <c r="F42555" s="1">
        <v>3.1835243066557602E-6</v>
      </c>
    </row>
    <row r="42556" spans="1:6" x14ac:dyDescent="0.25">
      <c r="A42556" s="2" t="str">
        <f t="shared" si="1326"/>
        <v>99999</v>
      </c>
      <c r="B42556" s="2" t="str">
        <f>"52348"</f>
        <v>52348</v>
      </c>
      <c r="C42556" s="1">
        <v>6.5482895976708995E-7</v>
      </c>
      <c r="D42556" s="1">
        <v>0</v>
      </c>
      <c r="E42556" s="1">
        <v>4.3455399550671099E-6</v>
      </c>
      <c r="F42556" s="1">
        <v>6.9639594208094799E-7</v>
      </c>
    </row>
    <row r="42557" spans="1:6" x14ac:dyDescent="0.25">
      <c r="A42557" s="2" t="str">
        <f t="shared" si="1326"/>
        <v>99999</v>
      </c>
      <c r="B42557" s="2" t="str">
        <f>"52339"</f>
        <v>52339</v>
      </c>
      <c r="C42557" s="1">
        <v>2.0430663544733201E-4</v>
      </c>
      <c r="D42557" s="1">
        <v>2.5647485180609801E-4</v>
      </c>
      <c r="E42557" s="1">
        <v>2.5204131739389198E-4</v>
      </c>
      <c r="F42557" s="1">
        <v>2.0881929748970101E-4</v>
      </c>
    </row>
    <row r="42558" spans="1:6" x14ac:dyDescent="0.25">
      <c r="A42558" s="2" t="str">
        <f t="shared" si="1326"/>
        <v>99999</v>
      </c>
      <c r="B42558" s="2" t="str">
        <f>"52050"</f>
        <v>52050</v>
      </c>
      <c r="C42558" s="1">
        <v>2.7066263670372999E-5</v>
      </c>
      <c r="D42558" s="1">
        <v>7.5880133670443404E-6</v>
      </c>
      <c r="E42558" s="1">
        <v>4.3455399550671099E-6</v>
      </c>
      <c r="F42558" s="1">
        <v>2.5269224184080101E-5</v>
      </c>
    </row>
    <row r="42559" spans="1:6" x14ac:dyDescent="0.25">
      <c r="A42559" s="2" t="str">
        <f t="shared" si="1326"/>
        <v>99999</v>
      </c>
      <c r="B42559" s="2" t="str">
        <f>"52035"</f>
        <v>52035</v>
      </c>
      <c r="C42559" s="1">
        <v>4.5074060063968003E-5</v>
      </c>
      <c r="D42559" s="1">
        <v>1.3658424060679801E-5</v>
      </c>
      <c r="E42559" s="1">
        <v>1.3036619865201299E-5</v>
      </c>
      <c r="F42559" s="1">
        <v>4.22811821977718E-5</v>
      </c>
    </row>
    <row r="42560" spans="1:6" x14ac:dyDescent="0.25">
      <c r="A42560" s="2" t="str">
        <f t="shared" si="1326"/>
        <v>99999</v>
      </c>
      <c r="B42560" s="2" t="str">
        <f>"51056"</f>
        <v>51056</v>
      </c>
      <c r="C42560" s="1">
        <v>3.27414479883545E-6</v>
      </c>
      <c r="D42560" s="1">
        <v>6.0704106936354696E-6</v>
      </c>
      <c r="E42560" s="1">
        <v>0</v>
      </c>
      <c r="F42560" s="1">
        <v>3.3824945758217398E-6</v>
      </c>
    </row>
    <row r="42561" spans="1:6" x14ac:dyDescent="0.25">
      <c r="A42561" s="2" t="str">
        <f t="shared" si="1326"/>
        <v>99999</v>
      </c>
      <c r="B42561" s="2" t="str">
        <f>"51018"</f>
        <v>51018</v>
      </c>
      <c r="C42561" s="1">
        <v>5.2386316781367196E-6</v>
      </c>
      <c r="D42561" s="1">
        <v>1.51760267340886E-6</v>
      </c>
      <c r="E42561" s="1">
        <v>0</v>
      </c>
      <c r="F42561" s="1">
        <v>4.8747715945666299E-6</v>
      </c>
    </row>
    <row r="42562" spans="1:6" x14ac:dyDescent="0.25">
      <c r="A42562" s="2" t="str">
        <f t="shared" si="1326"/>
        <v>99999</v>
      </c>
      <c r="B42562" s="2" t="str">
        <f>"50863"</f>
        <v>50863</v>
      </c>
      <c r="C42562" s="1">
        <v>1.5934171354332501E-5</v>
      </c>
      <c r="D42562" s="1">
        <v>7.5880133670443404E-6</v>
      </c>
      <c r="E42562" s="1">
        <v>1.3036619865201299E-5</v>
      </c>
      <c r="F42562" s="1">
        <v>1.5320710725780799E-5</v>
      </c>
    </row>
    <row r="42563" spans="1:6" x14ac:dyDescent="0.25">
      <c r="A42563" s="2" t="str">
        <f t="shared" si="1326"/>
        <v>99999</v>
      </c>
      <c r="B42563" s="2" t="str">
        <f>"51031"</f>
        <v>51031</v>
      </c>
      <c r="C42563" s="1">
        <v>6.3387443305454295E-4</v>
      </c>
      <c r="D42563" s="1">
        <v>9.5457208157417796E-4</v>
      </c>
      <c r="E42563" s="1">
        <v>1.1776413278231799E-3</v>
      </c>
      <c r="F42563" s="1">
        <v>6.67346282782714E-4</v>
      </c>
    </row>
    <row r="42564" spans="1:6" x14ac:dyDescent="0.25">
      <c r="A42564" s="2" t="str">
        <f t="shared" si="1326"/>
        <v>99999</v>
      </c>
      <c r="B42564" s="2" t="str">
        <f>"51026"</f>
        <v>51026</v>
      </c>
      <c r="C42564" s="1">
        <v>6.2208751177873496E-6</v>
      </c>
      <c r="D42564" s="1">
        <v>0</v>
      </c>
      <c r="E42564" s="1">
        <v>0</v>
      </c>
      <c r="F42564" s="1">
        <v>5.6706526712305799E-6</v>
      </c>
    </row>
    <row r="42565" spans="1:6" x14ac:dyDescent="0.25">
      <c r="A42565" s="2" t="str">
        <f t="shared" si="1326"/>
        <v>99999</v>
      </c>
      <c r="B42565" s="2" t="str">
        <f>"51024"</f>
        <v>51024</v>
      </c>
      <c r="C42565" s="1">
        <v>9.3094850446888002E-5</v>
      </c>
      <c r="D42565" s="1">
        <v>2.88344507947685E-5</v>
      </c>
      <c r="E42565" s="1">
        <v>4.7800939505738197E-5</v>
      </c>
      <c r="F42565" s="1">
        <v>8.7845373836782395E-5</v>
      </c>
    </row>
    <row r="42566" spans="1:6" x14ac:dyDescent="0.25">
      <c r="A42566" s="2" t="str">
        <f t="shared" si="1326"/>
        <v>99999</v>
      </c>
      <c r="B42566" s="2" t="str">
        <f>"50864"</f>
        <v>50864</v>
      </c>
      <c r="C42566" s="1">
        <v>1.10447817880715E-4</v>
      </c>
      <c r="D42566" s="1">
        <v>1.5024266466747799E-4</v>
      </c>
      <c r="E42566" s="1">
        <v>8.69107991013423E-5</v>
      </c>
      <c r="F42566" s="1">
        <v>1.1251768721336399E-4</v>
      </c>
    </row>
    <row r="42567" spans="1:6" x14ac:dyDescent="0.25">
      <c r="A42567" s="2" t="str">
        <f t="shared" si="1326"/>
        <v>99999</v>
      </c>
      <c r="B42567" s="2" t="str">
        <f>"51648"</f>
        <v>51648</v>
      </c>
      <c r="C42567" s="1">
        <v>1.44062371148759E-5</v>
      </c>
      <c r="D42567" s="1">
        <v>2.5799245447950699E-5</v>
      </c>
      <c r="E42567" s="1">
        <v>1.7382159820268399E-5</v>
      </c>
      <c r="F42567" s="1">
        <v>1.52212255911978E-5</v>
      </c>
    </row>
    <row r="42568" spans="1:6" x14ac:dyDescent="0.25">
      <c r="A42568" s="2" t="str">
        <f t="shared" si="1326"/>
        <v>99999</v>
      </c>
      <c r="B42568" s="2" t="str">
        <f>"51630"</f>
        <v>51630</v>
      </c>
      <c r="C42568" s="1">
        <v>7.8579475172050803E-6</v>
      </c>
      <c r="D42568" s="1">
        <v>1.51760267340886E-6</v>
      </c>
      <c r="E42568" s="1">
        <v>4.3455399550671099E-6</v>
      </c>
      <c r="F42568" s="1">
        <v>7.3618999591414504E-6</v>
      </c>
    </row>
    <row r="42569" spans="1:6" x14ac:dyDescent="0.25">
      <c r="A42569" s="2" t="str">
        <f t="shared" si="1326"/>
        <v>99999</v>
      </c>
      <c r="B42569" s="2" t="str">
        <f>"51577"</f>
        <v>51577</v>
      </c>
      <c r="C42569" s="1">
        <v>7.2031185574379897E-6</v>
      </c>
      <c r="D42569" s="1">
        <v>1.51760267340886E-6</v>
      </c>
      <c r="E42569" s="1">
        <v>0</v>
      </c>
      <c r="F42569" s="1">
        <v>6.6655040170604998E-6</v>
      </c>
    </row>
    <row r="42570" spans="1:6" x14ac:dyDescent="0.25">
      <c r="A42570" s="2" t="str">
        <f t="shared" si="1326"/>
        <v>99999</v>
      </c>
      <c r="B42570" s="2" t="str">
        <f>"51654"</f>
        <v>51654</v>
      </c>
      <c r="C42570" s="1">
        <v>2.7611954470178899E-5</v>
      </c>
      <c r="D42570" s="1">
        <v>1.51760267340886E-6</v>
      </c>
      <c r="E42570" s="1">
        <v>1.3036619865201299E-5</v>
      </c>
      <c r="F42570" s="1">
        <v>2.55676795878291E-5</v>
      </c>
    </row>
    <row r="42571" spans="1:6" x14ac:dyDescent="0.25">
      <c r="A42571" s="2" t="str">
        <f t="shared" si="1326"/>
        <v>99999</v>
      </c>
      <c r="B42571" s="2" t="str">
        <f>"51364"</f>
        <v>51364</v>
      </c>
      <c r="C42571" s="1">
        <v>3.05586847891308E-6</v>
      </c>
      <c r="D42571" s="1">
        <v>1.51760267340886E-6</v>
      </c>
      <c r="E42571" s="1">
        <v>0</v>
      </c>
      <c r="F42571" s="1">
        <v>2.8850689029067799E-6</v>
      </c>
    </row>
    <row r="42572" spans="1:6" x14ac:dyDescent="0.25">
      <c r="A42572" s="2" t="str">
        <f t="shared" si="1326"/>
        <v>99999</v>
      </c>
      <c r="B42572" s="2" t="str">
        <f>"51463"</f>
        <v>51463</v>
      </c>
      <c r="C42572" s="1">
        <v>3.2741447988354498E-7</v>
      </c>
      <c r="D42572" s="1">
        <v>0</v>
      </c>
      <c r="E42572" s="1">
        <v>0</v>
      </c>
      <c r="F42572" s="1">
        <v>2.9845540374897701E-7</v>
      </c>
    </row>
    <row r="42573" spans="1:6" x14ac:dyDescent="0.25">
      <c r="A42573" s="2" t="str">
        <f t="shared" si="1326"/>
        <v>99999</v>
      </c>
      <c r="B42573" s="2" t="str">
        <f>"51442"</f>
        <v>51442</v>
      </c>
      <c r="C42573" s="1">
        <v>4.2029105401050998E-4</v>
      </c>
      <c r="D42573" s="1">
        <v>7.4210770729693704E-4</v>
      </c>
      <c r="E42573" s="1">
        <v>1.02554742939583E-3</v>
      </c>
      <c r="F42573" s="1">
        <v>4.5524397585177399E-4</v>
      </c>
    </row>
    <row r="42574" spans="1:6" x14ac:dyDescent="0.25">
      <c r="A42574" s="2" t="str">
        <f t="shared" si="1326"/>
        <v>99999</v>
      </c>
      <c r="B42574" s="2" t="str">
        <f>"51541"</f>
        <v>51541</v>
      </c>
      <c r="C42574" s="1">
        <v>1.4187960794953601E-6</v>
      </c>
      <c r="D42574" s="1">
        <v>0</v>
      </c>
      <c r="E42574" s="1">
        <v>0</v>
      </c>
      <c r="F42574" s="1">
        <v>1.2933067495789E-6</v>
      </c>
    </row>
    <row r="42575" spans="1:6" x14ac:dyDescent="0.25">
      <c r="A42575" s="2" t="str">
        <f t="shared" si="1326"/>
        <v>99999</v>
      </c>
      <c r="B42575" s="2" t="str">
        <f>"51549"</f>
        <v>51549</v>
      </c>
      <c r="C42575" s="1">
        <v>1.09138159961181E-7</v>
      </c>
      <c r="D42575" s="1">
        <v>0</v>
      </c>
      <c r="E42575" s="1">
        <v>0</v>
      </c>
      <c r="F42575" s="1">
        <v>9.9485134582992598E-8</v>
      </c>
    </row>
    <row r="42576" spans="1:6" x14ac:dyDescent="0.25">
      <c r="A42576" s="2" t="str">
        <f t="shared" si="1326"/>
        <v>99999</v>
      </c>
      <c r="B42576" s="2" t="str">
        <f>"51531"</f>
        <v>51531</v>
      </c>
      <c r="C42576" s="1">
        <v>4.6820270623346902E-5</v>
      </c>
      <c r="D42576" s="1">
        <v>3.3387258814995101E-5</v>
      </c>
      <c r="E42576" s="1">
        <v>3.0418779685469802E-5</v>
      </c>
      <c r="F42576" s="1">
        <v>4.5564191639010602E-5</v>
      </c>
    </row>
    <row r="42577" spans="1:6" x14ac:dyDescent="0.25">
      <c r="A42577" s="2" t="str">
        <f t="shared" si="1326"/>
        <v>99999</v>
      </c>
      <c r="B42577" s="2" t="str">
        <f>"51529"</f>
        <v>51529</v>
      </c>
      <c r="C42577" s="1">
        <v>1.6916414793983099E-5</v>
      </c>
      <c r="D42577" s="1">
        <v>3.0352053468177301E-6</v>
      </c>
      <c r="E42577" s="1">
        <v>0</v>
      </c>
      <c r="F42577" s="1">
        <v>1.5619166129529801E-5</v>
      </c>
    </row>
    <row r="42578" spans="1:6" x14ac:dyDescent="0.25">
      <c r="A42578" s="2" t="str">
        <f t="shared" ref="A42578:A42641" si="1327">"99999"</f>
        <v>99999</v>
      </c>
      <c r="B42578" s="2" t="str">
        <f>"50847"</f>
        <v>50847</v>
      </c>
      <c r="C42578" s="1">
        <v>3.2741447988354498E-7</v>
      </c>
      <c r="D42578" s="1">
        <v>1.51760267340886E-6</v>
      </c>
      <c r="E42578" s="1">
        <v>4.3455399550671099E-6</v>
      </c>
      <c r="F42578" s="1">
        <v>4.9742567291496303E-7</v>
      </c>
    </row>
    <row r="42579" spans="1:6" x14ac:dyDescent="0.25">
      <c r="A42579" s="2" t="str">
        <f t="shared" si="1327"/>
        <v>99999</v>
      </c>
      <c r="B42579" s="2" t="str">
        <f>"50845"</f>
        <v>50845</v>
      </c>
      <c r="C42579" s="1">
        <v>4.24547442248996E-5</v>
      </c>
      <c r="D42579" s="1">
        <v>4.4010477528857203E-5</v>
      </c>
      <c r="E42579" s="1">
        <v>4.3455399550671099E-6</v>
      </c>
      <c r="F42579" s="1">
        <v>4.1684271390273897E-5</v>
      </c>
    </row>
    <row r="42580" spans="1:6" x14ac:dyDescent="0.25">
      <c r="A42580" s="2" t="str">
        <f t="shared" si="1327"/>
        <v>99999</v>
      </c>
      <c r="B42580" s="2" t="str">
        <f>"50859"</f>
        <v>50859</v>
      </c>
      <c r="C42580" s="1">
        <v>2.89216123897131E-5</v>
      </c>
      <c r="D42580" s="1">
        <v>4.5528080202265997E-6</v>
      </c>
      <c r="E42580" s="1">
        <v>1.3036619865201299E-5</v>
      </c>
      <c r="F42580" s="1">
        <v>2.6960471471991001E-5</v>
      </c>
    </row>
    <row r="42581" spans="1:6" x14ac:dyDescent="0.25">
      <c r="A42581" s="2" t="str">
        <f t="shared" si="1327"/>
        <v>99999</v>
      </c>
      <c r="B42581" s="2" t="str">
        <f>"50801"</f>
        <v>50801</v>
      </c>
      <c r="C42581" s="1">
        <v>5.4907408276470501E-4</v>
      </c>
      <c r="D42581" s="1">
        <v>9.7278331365508505E-4</v>
      </c>
      <c r="E42581" s="1">
        <v>9.994741896654359E-4</v>
      </c>
      <c r="F42581" s="1">
        <v>5.8716126430882201E-4</v>
      </c>
    </row>
    <row r="42582" spans="1:6" x14ac:dyDescent="0.25">
      <c r="A42582" s="2" t="str">
        <f t="shared" si="1327"/>
        <v>99999</v>
      </c>
      <c r="B42582" s="2" t="str">
        <f>"51250"</f>
        <v>51250</v>
      </c>
      <c r="C42582" s="1">
        <v>5.8094242547336995E-4</v>
      </c>
      <c r="D42582" s="1">
        <v>5.1750251163242402E-4</v>
      </c>
      <c r="E42582" s="1">
        <v>2.6073239730402698E-4</v>
      </c>
      <c r="F42582" s="1">
        <v>5.6945291035304904E-4</v>
      </c>
    </row>
    <row r="42583" spans="1:6" x14ac:dyDescent="0.25">
      <c r="A42583" s="2" t="str">
        <f t="shared" si="1327"/>
        <v>99999</v>
      </c>
      <c r="B42583" s="2" t="str">
        <f>"51248"</f>
        <v>51248</v>
      </c>
      <c r="C42583" s="1">
        <v>9.4186232046499795E-5</v>
      </c>
      <c r="D42583" s="1">
        <v>8.4985749710896595E-5</v>
      </c>
      <c r="E42583" s="1">
        <v>1.0429295892161E-4</v>
      </c>
      <c r="F42583" s="1">
        <v>9.3814481911761995E-5</v>
      </c>
    </row>
    <row r="42584" spans="1:6" x14ac:dyDescent="0.25">
      <c r="A42584" s="2" t="str">
        <f t="shared" si="1327"/>
        <v>99999</v>
      </c>
      <c r="B42584" s="2" t="str">
        <f>"50681"</f>
        <v>50681</v>
      </c>
      <c r="C42584" s="1">
        <v>2.3355566231692799E-5</v>
      </c>
      <c r="D42584" s="1">
        <v>1.9728834754315301E-5</v>
      </c>
      <c r="E42584" s="1">
        <v>3.0418779685469802E-5</v>
      </c>
      <c r="F42584" s="1">
        <v>2.3279521492420199E-5</v>
      </c>
    </row>
    <row r="42585" spans="1:6" x14ac:dyDescent="0.25">
      <c r="A42585" s="2" t="str">
        <f t="shared" si="1327"/>
        <v>99999</v>
      </c>
      <c r="B42585" s="2" t="str">
        <f>"50671"</f>
        <v>50671</v>
      </c>
      <c r="C42585" s="1">
        <v>1.30965791953418E-5</v>
      </c>
      <c r="D42585" s="1">
        <v>9.1056160404532095E-6</v>
      </c>
      <c r="E42585" s="1">
        <v>4.3455399550671099E-6</v>
      </c>
      <c r="F42585" s="1">
        <v>1.263461209204E-5</v>
      </c>
    </row>
    <row r="42586" spans="1:6" x14ac:dyDescent="0.25">
      <c r="A42586" s="2" t="str">
        <f t="shared" si="1327"/>
        <v>99999</v>
      </c>
      <c r="B42586" s="2" t="str">
        <f>"50665"</f>
        <v>50665</v>
      </c>
      <c r="C42586" s="1">
        <v>1.3947856843039001E-4</v>
      </c>
      <c r="D42586" s="1">
        <v>7.1327325650216798E-5</v>
      </c>
      <c r="E42586" s="1">
        <v>1.47748358472281E-4</v>
      </c>
      <c r="F42586" s="1">
        <v>1.3520029789828599E-4</v>
      </c>
    </row>
    <row r="42587" spans="1:6" x14ac:dyDescent="0.25">
      <c r="A42587" s="2" t="str">
        <f t="shared" si="1327"/>
        <v>99999</v>
      </c>
      <c r="B42587" s="2" t="str">
        <f>"50662"</f>
        <v>50662</v>
      </c>
      <c r="C42587" s="1">
        <v>3.8067390194460098E-4</v>
      </c>
      <c r="D42587" s="1">
        <v>5.7365381054855203E-4</v>
      </c>
      <c r="E42587" s="1">
        <v>3.6502535622563698E-4</v>
      </c>
      <c r="F42587" s="1">
        <v>3.9296628160282002E-4</v>
      </c>
    </row>
    <row r="42588" spans="1:6" x14ac:dyDescent="0.25">
      <c r="A42588" s="2" t="str">
        <f t="shared" si="1327"/>
        <v>99999</v>
      </c>
      <c r="B42588" s="2" t="str">
        <f>"50638"</f>
        <v>50638</v>
      </c>
      <c r="C42588" s="1">
        <v>5.4569079980590801E-7</v>
      </c>
      <c r="D42588" s="1">
        <v>0</v>
      </c>
      <c r="E42588" s="1">
        <v>0</v>
      </c>
      <c r="F42588" s="1">
        <v>4.9742567291496303E-7</v>
      </c>
    </row>
    <row r="42589" spans="1:6" x14ac:dyDescent="0.25">
      <c r="A42589" s="2" t="str">
        <f t="shared" si="1327"/>
        <v>99999</v>
      </c>
      <c r="B42589" s="2" t="str">
        <f>"50531"</f>
        <v>50531</v>
      </c>
      <c r="C42589" s="1">
        <v>1.10229541560793E-5</v>
      </c>
      <c r="D42589" s="1">
        <v>1.51760267340886E-6</v>
      </c>
      <c r="E42589" s="1">
        <v>8.69107991013423E-6</v>
      </c>
      <c r="F42589" s="1">
        <v>1.03464539966312E-5</v>
      </c>
    </row>
    <row r="42590" spans="1:6" x14ac:dyDescent="0.25">
      <c r="A42590" s="2" t="str">
        <f t="shared" si="1327"/>
        <v>99999</v>
      </c>
      <c r="B42590" s="2" t="str">
        <f>"50471"</f>
        <v>50471</v>
      </c>
      <c r="C42590" s="1">
        <v>3.5906454627228697E-5</v>
      </c>
      <c r="D42590" s="1">
        <v>1.51760267340886E-6</v>
      </c>
      <c r="E42590" s="1">
        <v>3.0418779685469802E-5</v>
      </c>
      <c r="F42590" s="1">
        <v>3.35264903544685E-5</v>
      </c>
    </row>
    <row r="42591" spans="1:6" x14ac:dyDescent="0.25">
      <c r="A42591" s="2" t="str">
        <f t="shared" si="1327"/>
        <v>99999</v>
      </c>
      <c r="B42591" s="2" t="str">
        <f>"50529"</f>
        <v>50529</v>
      </c>
      <c r="C42591" s="1">
        <v>4.6601994303424599E-5</v>
      </c>
      <c r="D42591" s="1">
        <v>3.6422464161812797E-5</v>
      </c>
      <c r="E42591" s="1">
        <v>2.1727699775335501E-5</v>
      </c>
      <c r="F42591" s="1">
        <v>4.5365221369844598E-5</v>
      </c>
    </row>
    <row r="42592" spans="1:6" x14ac:dyDescent="0.25">
      <c r="A42592" s="2" t="str">
        <f t="shared" si="1327"/>
        <v>99999</v>
      </c>
      <c r="B42592" s="2" t="str">
        <f>"50520"</f>
        <v>50520</v>
      </c>
      <c r="C42592" s="1">
        <v>7.5305330373215401E-6</v>
      </c>
      <c r="D42592" s="1">
        <v>1.51760267340886E-6</v>
      </c>
      <c r="E42592" s="1">
        <v>4.3455399550671099E-6</v>
      </c>
      <c r="F42592" s="1">
        <v>7.0634445553924701E-6</v>
      </c>
    </row>
    <row r="42593" spans="1:6" x14ac:dyDescent="0.25">
      <c r="A42593" s="2" t="str">
        <f t="shared" si="1327"/>
        <v>99999</v>
      </c>
      <c r="B42593" s="2" t="str">
        <f>"50533"</f>
        <v>50533</v>
      </c>
      <c r="C42593" s="1">
        <v>2.0419749728737099E-4</v>
      </c>
      <c r="D42593" s="1">
        <v>2.7923889190723103E-4</v>
      </c>
      <c r="E42593" s="1">
        <v>2.0858591784322101E-4</v>
      </c>
      <c r="F42593" s="1">
        <v>2.0921723802803301E-4</v>
      </c>
    </row>
    <row r="42594" spans="1:6" x14ac:dyDescent="0.25">
      <c r="A42594" s="2" t="str">
        <f t="shared" si="1327"/>
        <v>99999</v>
      </c>
      <c r="B42594" s="2" t="str">
        <f>"50470"</f>
        <v>50470</v>
      </c>
      <c r="C42594" s="1">
        <v>1.6916414793983099E-5</v>
      </c>
      <c r="D42594" s="1">
        <v>7.5880133670443404E-6</v>
      </c>
      <c r="E42594" s="1">
        <v>4.3455399550671099E-6</v>
      </c>
      <c r="F42594" s="1">
        <v>1.6017106667861799E-5</v>
      </c>
    </row>
    <row r="42595" spans="1:6" x14ac:dyDescent="0.25">
      <c r="A42595" s="2" t="str">
        <f t="shared" si="1327"/>
        <v>99999</v>
      </c>
      <c r="B42595" s="2" t="str">
        <f>"50466"</f>
        <v>50466</v>
      </c>
      <c r="C42595" s="1">
        <v>9.4731922846305705E-5</v>
      </c>
      <c r="D42595" s="1">
        <v>5.15984908959015E-5</v>
      </c>
      <c r="E42595" s="1">
        <v>6.5183099326006705E-5</v>
      </c>
      <c r="F42595" s="1">
        <v>9.1227868412604196E-5</v>
      </c>
    </row>
    <row r="42596" spans="1:6" x14ac:dyDescent="0.25">
      <c r="A42596" s="2" t="str">
        <f t="shared" si="1327"/>
        <v>99999</v>
      </c>
      <c r="B42596" s="2" t="str">
        <f>"50570"</f>
        <v>50570</v>
      </c>
      <c r="C42596" s="1">
        <v>1.0586401516234599E-5</v>
      </c>
      <c r="D42596" s="1">
        <v>1.51760267340886E-6</v>
      </c>
      <c r="E42596" s="1">
        <v>4.3455399550671099E-6</v>
      </c>
      <c r="F42596" s="1">
        <v>9.8490283237162701E-6</v>
      </c>
    </row>
    <row r="42597" spans="1:6" x14ac:dyDescent="0.25">
      <c r="A42597" s="2" t="str">
        <f t="shared" si="1327"/>
        <v>99999</v>
      </c>
      <c r="B42597" s="2" t="str">
        <f>"50551"</f>
        <v>50551</v>
      </c>
      <c r="C42597" s="1">
        <v>6.7665659175932598E-6</v>
      </c>
      <c r="D42597" s="1">
        <v>0</v>
      </c>
      <c r="E42597" s="1">
        <v>4.3455399550671099E-6</v>
      </c>
      <c r="F42597" s="1">
        <v>6.2675634787285303E-6</v>
      </c>
    </row>
    <row r="42598" spans="1:6" x14ac:dyDescent="0.25">
      <c r="A42598" s="2" t="str">
        <f t="shared" si="1327"/>
        <v>99999</v>
      </c>
      <c r="B42598" s="2" t="str">
        <f>"50581"</f>
        <v>50581</v>
      </c>
      <c r="C42598" s="1">
        <v>5.3586836540940202E-5</v>
      </c>
      <c r="D42598" s="1">
        <v>8.65033523843055E-5</v>
      </c>
      <c r="E42598" s="1">
        <v>6.5183099326006705E-5</v>
      </c>
      <c r="F42598" s="1">
        <v>5.6010130770224802E-5</v>
      </c>
    </row>
    <row r="42599" spans="1:6" x14ac:dyDescent="0.25">
      <c r="A42599" s="2" t="str">
        <f t="shared" si="1327"/>
        <v>99999</v>
      </c>
      <c r="B42599" s="2" t="str">
        <f>"50575"</f>
        <v>50575</v>
      </c>
      <c r="C42599" s="1">
        <v>5.6097014220047403E-5</v>
      </c>
      <c r="D42599" s="1">
        <v>1.21408213872709E-5</v>
      </c>
      <c r="E42599" s="1">
        <v>3.9109859595604001E-5</v>
      </c>
      <c r="F42599" s="1">
        <v>5.2826606463568999E-5</v>
      </c>
    </row>
    <row r="42600" spans="1:6" x14ac:dyDescent="0.25">
      <c r="A42600" s="2" t="str">
        <f t="shared" si="1327"/>
        <v>99999</v>
      </c>
      <c r="B42600" s="2" t="str">
        <f>"50574"</f>
        <v>50574</v>
      </c>
      <c r="C42600" s="1">
        <v>1.27582508994621E-4</v>
      </c>
      <c r="D42600" s="1">
        <v>2.7013327586677803E-4</v>
      </c>
      <c r="E42600" s="1">
        <v>1.6078497833748299E-4</v>
      </c>
      <c r="F42600" s="1">
        <v>1.37687426262861E-4</v>
      </c>
    </row>
    <row r="42601" spans="1:6" x14ac:dyDescent="0.25">
      <c r="A42601" s="2" t="str">
        <f t="shared" si="1327"/>
        <v>99999</v>
      </c>
      <c r="B42601" s="2" t="str">
        <f>"50568"</f>
        <v>50568</v>
      </c>
      <c r="C42601" s="1">
        <v>2.4010395191459898E-6</v>
      </c>
      <c r="D42601" s="1">
        <v>0</v>
      </c>
      <c r="E42601" s="1">
        <v>0</v>
      </c>
      <c r="F42601" s="1">
        <v>2.1886729608258301E-6</v>
      </c>
    </row>
    <row r="42602" spans="1:6" x14ac:dyDescent="0.25">
      <c r="A42602" s="2" t="str">
        <f t="shared" si="1327"/>
        <v>99999</v>
      </c>
      <c r="B42602" s="2" t="str">
        <f>"50562"</f>
        <v>50562</v>
      </c>
      <c r="C42602" s="1">
        <v>2.7611954470178899E-5</v>
      </c>
      <c r="D42602" s="1">
        <v>3.1869656141586203E-5</v>
      </c>
      <c r="E42602" s="1">
        <v>1.7382159820268399E-5</v>
      </c>
      <c r="F42602" s="1">
        <v>2.76568674140719E-5</v>
      </c>
    </row>
    <row r="42603" spans="1:6" x14ac:dyDescent="0.25">
      <c r="A42603" s="2" t="str">
        <f t="shared" si="1327"/>
        <v>99999</v>
      </c>
      <c r="B42603" s="2" t="str">
        <f>"50561"</f>
        <v>50561</v>
      </c>
      <c r="C42603" s="1">
        <v>2.8266783429946001E-5</v>
      </c>
      <c r="D42603" s="1">
        <v>1.51760267340886E-6</v>
      </c>
      <c r="E42603" s="1">
        <v>4.3455399550671099E-6</v>
      </c>
      <c r="F42603" s="1">
        <v>2.5965620126160999E-5</v>
      </c>
    </row>
    <row r="42604" spans="1:6" x14ac:dyDescent="0.25">
      <c r="A42604" s="2" t="str">
        <f t="shared" si="1327"/>
        <v>99999</v>
      </c>
      <c r="B42604" s="2" t="str">
        <f>"50433"</f>
        <v>50433</v>
      </c>
      <c r="C42604" s="1">
        <v>4.2563882384860804E-6</v>
      </c>
      <c r="D42604" s="1">
        <v>0</v>
      </c>
      <c r="E42604" s="1">
        <v>0</v>
      </c>
      <c r="F42604" s="1">
        <v>3.87992024873671E-6</v>
      </c>
    </row>
    <row r="42605" spans="1:6" x14ac:dyDescent="0.25">
      <c r="A42605" s="2" t="str">
        <f t="shared" si="1327"/>
        <v>99999</v>
      </c>
      <c r="B42605" s="2" t="str">
        <f>"50453"</f>
        <v>50453</v>
      </c>
      <c r="C42605" s="1">
        <v>3.17592045487038E-5</v>
      </c>
      <c r="D42605" s="1">
        <v>3.0352053468177301E-6</v>
      </c>
      <c r="E42605" s="1">
        <v>4.7800939505738197E-5</v>
      </c>
      <c r="F42605" s="1">
        <v>3.0243480913229702E-5</v>
      </c>
    </row>
    <row r="42606" spans="1:6" x14ac:dyDescent="0.25">
      <c r="A42606" s="2" t="str">
        <f t="shared" si="1327"/>
        <v>99999</v>
      </c>
      <c r="B42606" s="2" t="str">
        <f>"50447"</f>
        <v>50447</v>
      </c>
      <c r="C42606" s="1">
        <v>6.2536165657757096E-5</v>
      </c>
      <c r="D42606" s="1">
        <v>3.3387258814995101E-5</v>
      </c>
      <c r="E42606" s="1">
        <v>1.17329578786812E-4</v>
      </c>
      <c r="F42606" s="1">
        <v>6.1879753710621403E-5</v>
      </c>
    </row>
    <row r="42607" spans="1:6" x14ac:dyDescent="0.25">
      <c r="A42607" s="2" t="str">
        <f t="shared" si="1327"/>
        <v>99999</v>
      </c>
      <c r="B42607" s="2" t="str">
        <f>"50057"</f>
        <v>50057</v>
      </c>
      <c r="C42607" s="1">
        <v>3.2741447988354498E-7</v>
      </c>
      <c r="D42607" s="1">
        <v>0</v>
      </c>
      <c r="E42607" s="1">
        <v>0</v>
      </c>
      <c r="F42607" s="1">
        <v>2.9845540374897701E-7</v>
      </c>
    </row>
    <row r="42608" spans="1:6" x14ac:dyDescent="0.25">
      <c r="A42608" s="2" t="str">
        <f t="shared" si="1327"/>
        <v>99999</v>
      </c>
      <c r="B42608" s="2" t="str">
        <f>"50041"</f>
        <v>50041</v>
      </c>
      <c r="C42608" s="1">
        <v>6.3300132777485401E-6</v>
      </c>
      <c r="D42608" s="1">
        <v>1.51760267340886E-6</v>
      </c>
      <c r="E42608" s="1">
        <v>1.3036619865201299E-5</v>
      </c>
      <c r="F42608" s="1">
        <v>6.1680783441455402E-6</v>
      </c>
    </row>
    <row r="42609" spans="1:6" x14ac:dyDescent="0.25">
      <c r="A42609" s="2" t="str">
        <f t="shared" si="1327"/>
        <v>99999</v>
      </c>
      <c r="B42609" s="2" t="str">
        <f>"50036"</f>
        <v>50036</v>
      </c>
      <c r="C42609" s="1">
        <v>9.8224343965063504E-7</v>
      </c>
      <c r="D42609" s="1">
        <v>0</v>
      </c>
      <c r="E42609" s="1">
        <v>0</v>
      </c>
      <c r="F42609" s="1">
        <v>8.9536621124693305E-7</v>
      </c>
    </row>
    <row r="42610" spans="1:6" x14ac:dyDescent="0.25">
      <c r="A42610" s="2" t="str">
        <f t="shared" si="1327"/>
        <v>99999</v>
      </c>
      <c r="B42610" s="2" t="str">
        <f>"50050"</f>
        <v>50050</v>
      </c>
      <c r="C42610" s="1">
        <v>4.0817671825481903E-5</v>
      </c>
      <c r="D42610" s="1">
        <v>0</v>
      </c>
      <c r="E42610" s="1">
        <v>1.3036619865201299E-5</v>
      </c>
      <c r="F42610" s="1">
        <v>3.7505895737788197E-5</v>
      </c>
    </row>
    <row r="42611" spans="1:6" x14ac:dyDescent="0.25">
      <c r="A42611" s="2" t="str">
        <f t="shared" si="1327"/>
        <v>99999</v>
      </c>
      <c r="B42611" s="2" t="str">
        <f>"50217"</f>
        <v>50217</v>
      </c>
      <c r="C42611" s="1">
        <v>2.83759215899072E-5</v>
      </c>
      <c r="D42611" s="1">
        <v>2.4281642774541899E-5</v>
      </c>
      <c r="E42611" s="1">
        <v>4.3455399550671099E-6</v>
      </c>
      <c r="F42611" s="1">
        <v>2.7557382279488901E-5</v>
      </c>
    </row>
    <row r="42612" spans="1:6" x14ac:dyDescent="0.25">
      <c r="A42612" s="2" t="str">
        <f t="shared" si="1327"/>
        <v>99999</v>
      </c>
      <c r="B42612" s="2" t="str">
        <f>"50231"</f>
        <v>50231</v>
      </c>
      <c r="C42612" s="1">
        <v>1.1896059435768801E-5</v>
      </c>
      <c r="D42612" s="1">
        <v>0</v>
      </c>
      <c r="E42612" s="1">
        <v>4.3455399550671099E-6</v>
      </c>
      <c r="F42612" s="1">
        <v>1.09433648041291E-5</v>
      </c>
    </row>
    <row r="42613" spans="1:6" x14ac:dyDescent="0.25">
      <c r="A42613" s="2" t="str">
        <f t="shared" si="1327"/>
        <v>99999</v>
      </c>
      <c r="B42613" s="2" t="str">
        <f>"50254"</f>
        <v>50254</v>
      </c>
      <c r="C42613" s="1">
        <v>2.08453885525857E-5</v>
      </c>
      <c r="D42613" s="1">
        <v>1.51760267340886E-6</v>
      </c>
      <c r="E42613" s="1">
        <v>4.3455399550671099E-6</v>
      </c>
      <c r="F42613" s="1">
        <v>1.92006309745175E-5</v>
      </c>
    </row>
    <row r="42614" spans="1:6" x14ac:dyDescent="0.25">
      <c r="A42614" s="2" t="str">
        <f t="shared" si="1327"/>
        <v>99999</v>
      </c>
      <c r="B42614" s="2" t="str">
        <f>"50230"</f>
        <v>50230</v>
      </c>
      <c r="C42614" s="1">
        <v>6.2208751177873496E-5</v>
      </c>
      <c r="D42614" s="1">
        <v>1.0623218713862E-5</v>
      </c>
      <c r="E42614" s="1">
        <v>3.9109859595604001E-5</v>
      </c>
      <c r="F42614" s="1">
        <v>5.8298288865633599E-5</v>
      </c>
    </row>
    <row r="42615" spans="1:6" x14ac:dyDescent="0.25">
      <c r="A42615" s="2" t="str">
        <f t="shared" si="1327"/>
        <v>99999</v>
      </c>
      <c r="B42615" s="2" t="str">
        <f>"50154"</f>
        <v>50154</v>
      </c>
      <c r="C42615" s="1">
        <v>7.63967119728272E-7</v>
      </c>
      <c r="D42615" s="1">
        <v>1.51760267340886E-6</v>
      </c>
      <c r="E42615" s="1">
        <v>0</v>
      </c>
      <c r="F42615" s="1">
        <v>7.9588107666394099E-7</v>
      </c>
    </row>
    <row r="42616" spans="1:6" x14ac:dyDescent="0.25">
      <c r="A42616" s="2" t="str">
        <f t="shared" si="1327"/>
        <v>99999</v>
      </c>
      <c r="B42616" s="2" t="str">
        <f>"50151"</f>
        <v>50151</v>
      </c>
      <c r="C42616" s="1">
        <v>4.0053704705753601E-5</v>
      </c>
      <c r="D42616" s="1">
        <v>1.66936294074975E-5</v>
      </c>
      <c r="E42616" s="1">
        <v>1.3036619865201299E-5</v>
      </c>
      <c r="F42616" s="1">
        <v>3.7903836276120103E-5</v>
      </c>
    </row>
    <row r="42617" spans="1:6" x14ac:dyDescent="0.25">
      <c r="A42617" s="2" t="str">
        <f t="shared" si="1327"/>
        <v>99999</v>
      </c>
      <c r="B42617" s="2" t="str">
        <f>"50147"</f>
        <v>50147</v>
      </c>
      <c r="C42617" s="1">
        <v>2.56474675908777E-5</v>
      </c>
      <c r="D42617" s="1">
        <v>1.21408213872709E-5</v>
      </c>
      <c r="E42617" s="1">
        <v>1.3036619865201299E-5</v>
      </c>
      <c r="F42617" s="1">
        <v>2.44733431074161E-5</v>
      </c>
    </row>
    <row r="42618" spans="1:6" x14ac:dyDescent="0.25">
      <c r="A42618" s="2" t="str">
        <f t="shared" si="1327"/>
        <v>99999</v>
      </c>
      <c r="B42618" s="2" t="str">
        <f>"50140"</f>
        <v>50140</v>
      </c>
      <c r="C42618" s="1">
        <v>1.3402166043233101E-4</v>
      </c>
      <c r="D42618" s="1">
        <v>1.85147526155882E-4</v>
      </c>
      <c r="E42618" s="1">
        <v>3.17224416719899E-4</v>
      </c>
      <c r="F42618" s="1">
        <v>1.41567346511598E-4</v>
      </c>
    </row>
    <row r="42619" spans="1:6" x14ac:dyDescent="0.25">
      <c r="A42619" s="2" t="str">
        <f t="shared" si="1327"/>
        <v>99999</v>
      </c>
      <c r="B42619" s="2" t="str">
        <f>"50136"</f>
        <v>50136</v>
      </c>
      <c r="C42619" s="1">
        <v>2.4992638631110601E-5</v>
      </c>
      <c r="D42619" s="1">
        <v>1.66936294074975E-5</v>
      </c>
      <c r="E42619" s="1">
        <v>4.3455399550671099E-6</v>
      </c>
      <c r="F42619" s="1">
        <v>2.3975917434501198E-5</v>
      </c>
    </row>
    <row r="42620" spans="1:6" x14ac:dyDescent="0.25">
      <c r="A42620" s="2" t="str">
        <f t="shared" si="1327"/>
        <v>99999</v>
      </c>
      <c r="B42620" s="2" t="str">
        <f>"50213"</f>
        <v>50213</v>
      </c>
      <c r="C42620" s="1">
        <v>3.6823215170902698E-4</v>
      </c>
      <c r="D42620" s="1">
        <v>4.8411525281742902E-4</v>
      </c>
      <c r="E42620" s="1">
        <v>6.1706667361953005E-4</v>
      </c>
      <c r="F42620" s="1">
        <v>3.8152549112577602E-4</v>
      </c>
    </row>
    <row r="42621" spans="1:6" x14ac:dyDescent="0.25">
      <c r="A42621" s="2" t="str">
        <f t="shared" si="1327"/>
        <v>99999</v>
      </c>
      <c r="B42621" s="2" t="str">
        <f>"50002"</f>
        <v>50002</v>
      </c>
      <c r="C42621" s="1">
        <v>6.6465139416359596E-5</v>
      </c>
      <c r="D42621" s="1">
        <v>2.7316848121359601E-5</v>
      </c>
      <c r="E42621" s="1">
        <v>5.21464794608054E-5</v>
      </c>
      <c r="F42621" s="1">
        <v>6.3571000998532195E-5</v>
      </c>
    </row>
    <row r="42622" spans="1:6" x14ac:dyDescent="0.25">
      <c r="A42622" s="2" t="str">
        <f t="shared" si="1327"/>
        <v>99999</v>
      </c>
      <c r="B42622" s="2" t="str">
        <f>"50103"</f>
        <v>50103</v>
      </c>
      <c r="C42622" s="1">
        <v>3.1213513748897903E-5</v>
      </c>
      <c r="D42622" s="1">
        <v>4.5528080202265997E-6</v>
      </c>
      <c r="E42622" s="1">
        <v>8.69107991013423E-6</v>
      </c>
      <c r="F42622" s="1">
        <v>2.8950174163650799E-5</v>
      </c>
    </row>
    <row r="42623" spans="1:6" x14ac:dyDescent="0.25">
      <c r="A42623" s="2" t="str">
        <f t="shared" si="1327"/>
        <v>99999</v>
      </c>
      <c r="B42623" s="2" t="str">
        <f>"50107"</f>
        <v>50107</v>
      </c>
      <c r="C42623" s="1">
        <v>5.3259422061056602E-5</v>
      </c>
      <c r="D42623" s="1">
        <v>1.3658424060679801E-5</v>
      </c>
      <c r="E42623" s="1">
        <v>4.7800939505738197E-5</v>
      </c>
      <c r="F42623" s="1">
        <v>5.0538448368160202E-5</v>
      </c>
    </row>
    <row r="42624" spans="1:6" x14ac:dyDescent="0.25">
      <c r="A42624" s="2" t="str">
        <f t="shared" si="1327"/>
        <v>99999</v>
      </c>
      <c r="B42624" s="2" t="str">
        <f>"29846"</f>
        <v>29846</v>
      </c>
      <c r="C42624" s="1">
        <v>0</v>
      </c>
      <c r="D42624" s="1">
        <v>1.51760267340886E-6</v>
      </c>
      <c r="E42624" s="1">
        <v>0</v>
      </c>
      <c r="F42624" s="1">
        <v>9.9485134582992598E-8</v>
      </c>
    </row>
    <row r="42625" spans="1:6" x14ac:dyDescent="0.25">
      <c r="A42625" s="2" t="str">
        <f t="shared" si="1327"/>
        <v>99999</v>
      </c>
      <c r="B42625" s="2" t="str">
        <f>"29836"</f>
        <v>29836</v>
      </c>
      <c r="C42625" s="1">
        <v>3.5688178307306401E-5</v>
      </c>
      <c r="D42625" s="1">
        <v>2.1246437427724101E-5</v>
      </c>
      <c r="E42625" s="1">
        <v>0</v>
      </c>
      <c r="F42625" s="1">
        <v>3.3924430892800399E-5</v>
      </c>
    </row>
    <row r="42626" spans="1:6" x14ac:dyDescent="0.25">
      <c r="A42626" s="2" t="str">
        <f t="shared" si="1327"/>
        <v>99999</v>
      </c>
      <c r="B42626" s="2" t="str">
        <f>"29843"</f>
        <v>29843</v>
      </c>
      <c r="C42626" s="1">
        <v>7.3013429014030505E-5</v>
      </c>
      <c r="D42626" s="1">
        <v>4.7045682875674899E-5</v>
      </c>
      <c r="E42626" s="1">
        <v>0</v>
      </c>
      <c r="F42626" s="1">
        <v>6.9639594208094799E-5</v>
      </c>
    </row>
    <row r="42627" spans="1:6" x14ac:dyDescent="0.25">
      <c r="A42627" s="2" t="str">
        <f t="shared" si="1327"/>
        <v>99999</v>
      </c>
      <c r="B42627" s="2" t="str">
        <f>"29817"</f>
        <v>29817</v>
      </c>
      <c r="C42627" s="1">
        <v>2.8332266325922702E-4</v>
      </c>
      <c r="D42627" s="1">
        <v>2.4585163309223603E-4</v>
      </c>
      <c r="E42627" s="1">
        <v>1.31669860638533E-3</v>
      </c>
      <c r="F42627" s="1">
        <v>3.0452399695853999E-4</v>
      </c>
    </row>
    <row r="42628" spans="1:6" x14ac:dyDescent="0.25">
      <c r="A42628" s="2" t="str">
        <f t="shared" si="1327"/>
        <v>99999</v>
      </c>
      <c r="B42628" s="2" t="str">
        <f>"29584"</f>
        <v>29584</v>
      </c>
      <c r="C42628" s="1">
        <v>1.5290256210561499E-4</v>
      </c>
      <c r="D42628" s="1">
        <v>3.0352053468177301E-5</v>
      </c>
      <c r="E42628" s="1">
        <v>4.3455399550671099E-6</v>
      </c>
      <c r="F42628" s="1">
        <v>1.4146786137701501E-4</v>
      </c>
    </row>
    <row r="42629" spans="1:6" x14ac:dyDescent="0.25">
      <c r="A42629" s="2" t="str">
        <f t="shared" si="1327"/>
        <v>99999</v>
      </c>
      <c r="B42629" s="2" t="str">
        <f>"29477"</f>
        <v>29477</v>
      </c>
      <c r="C42629" s="1">
        <v>2.1827631992236301E-7</v>
      </c>
      <c r="D42629" s="1">
        <v>0</v>
      </c>
      <c r="E42629" s="1">
        <v>0</v>
      </c>
      <c r="F42629" s="1">
        <v>1.9897026916598501E-7</v>
      </c>
    </row>
    <row r="42630" spans="1:6" x14ac:dyDescent="0.25">
      <c r="A42630" s="2" t="str">
        <f t="shared" si="1327"/>
        <v>99999</v>
      </c>
      <c r="B42630" s="2" t="str">
        <f>"29472"</f>
        <v>29472</v>
      </c>
      <c r="C42630" s="1">
        <v>4.92213101424929E-5</v>
      </c>
      <c r="D42630" s="1">
        <v>1.0623218713862E-5</v>
      </c>
      <c r="E42630" s="1">
        <v>0</v>
      </c>
      <c r="F42630" s="1">
        <v>4.5564191639010602E-5</v>
      </c>
    </row>
    <row r="42631" spans="1:6" x14ac:dyDescent="0.25">
      <c r="A42631" s="2" t="str">
        <f t="shared" si="1327"/>
        <v>99999</v>
      </c>
      <c r="B42631" s="2" t="str">
        <f>"29555"</f>
        <v>29555</v>
      </c>
      <c r="C42631" s="1">
        <v>9.3858817566616205E-6</v>
      </c>
      <c r="D42631" s="1">
        <v>4.5528080202265997E-6</v>
      </c>
      <c r="E42631" s="1">
        <v>0</v>
      </c>
      <c r="F42631" s="1">
        <v>8.8541769778863392E-6</v>
      </c>
    </row>
    <row r="42632" spans="1:6" x14ac:dyDescent="0.25">
      <c r="A42632" s="2" t="str">
        <f t="shared" si="1327"/>
        <v>99999</v>
      </c>
      <c r="B42632" s="2" t="str">
        <f>"29082"</f>
        <v>29082</v>
      </c>
      <c r="C42632" s="1">
        <v>3.7325250706724098E-5</v>
      </c>
      <c r="D42632" s="1">
        <v>1.3658424060679801E-5</v>
      </c>
      <c r="E42632" s="1">
        <v>4.3455399550671099E-6</v>
      </c>
      <c r="F42632" s="1">
        <v>3.5018767373213403E-5</v>
      </c>
    </row>
    <row r="42633" spans="1:6" x14ac:dyDescent="0.25">
      <c r="A42633" s="2" t="str">
        <f t="shared" si="1327"/>
        <v>99999</v>
      </c>
      <c r="B42633" s="2" t="str">
        <f>"28906"</f>
        <v>28906</v>
      </c>
      <c r="C42633" s="1">
        <v>1.38845567102615E-3</v>
      </c>
      <c r="D42633" s="1">
        <v>1.60562362846658E-3</v>
      </c>
      <c r="E42633" s="1">
        <v>4.73663855102315E-4</v>
      </c>
      <c r="F42633" s="1">
        <v>1.3817490342231801E-3</v>
      </c>
    </row>
    <row r="42634" spans="1:6" x14ac:dyDescent="0.25">
      <c r="A42634" s="2" t="str">
        <f t="shared" si="1327"/>
        <v>99999</v>
      </c>
      <c r="B42634" s="2" t="str">
        <f>"29069"</f>
        <v>29069</v>
      </c>
      <c r="C42634" s="1">
        <v>2.3246428071731702E-5</v>
      </c>
      <c r="D42634" s="1">
        <v>7.5880133670443404E-6</v>
      </c>
      <c r="E42634" s="1">
        <v>0</v>
      </c>
      <c r="F42634" s="1">
        <v>2.16877593390923E-5</v>
      </c>
    </row>
    <row r="42635" spans="1:6" x14ac:dyDescent="0.25">
      <c r="A42635" s="2" t="str">
        <f t="shared" si="1327"/>
        <v>99999</v>
      </c>
      <c r="B42635" s="2" t="str">
        <f>"28744"</f>
        <v>28744</v>
      </c>
      <c r="C42635" s="1">
        <v>2.0539801704694399E-4</v>
      </c>
      <c r="D42635" s="1">
        <v>3.2931978012972401E-4</v>
      </c>
      <c r="E42635" s="1">
        <v>8.69107991013423E-6</v>
      </c>
      <c r="F42635" s="1">
        <v>2.09018267758867E-4</v>
      </c>
    </row>
    <row r="42636" spans="1:6" x14ac:dyDescent="0.25">
      <c r="A42636" s="2" t="str">
        <f t="shared" si="1327"/>
        <v>99999</v>
      </c>
      <c r="B42636" s="2" t="str">
        <f>"28731"</f>
        <v>28731</v>
      </c>
      <c r="C42636" s="1">
        <v>2.6193158390683598E-6</v>
      </c>
      <c r="D42636" s="1">
        <v>0</v>
      </c>
      <c r="E42636" s="1">
        <v>0</v>
      </c>
      <c r="F42636" s="1">
        <v>2.3876432299918199E-6</v>
      </c>
    </row>
    <row r="42637" spans="1:6" x14ac:dyDescent="0.25">
      <c r="A42637" s="2" t="str">
        <f t="shared" si="1327"/>
        <v>99999</v>
      </c>
      <c r="B42637" s="2" t="str">
        <f>"28777"</f>
        <v>28777</v>
      </c>
      <c r="C42637" s="1">
        <v>6.0833610362362705E-4</v>
      </c>
      <c r="D42637" s="1">
        <v>1.0790155007936999E-3</v>
      </c>
      <c r="E42637" s="1">
        <v>5.9968451379926199E-4</v>
      </c>
      <c r="F42637" s="1">
        <v>6.3899301942656097E-4</v>
      </c>
    </row>
    <row r="42638" spans="1:6" x14ac:dyDescent="0.25">
      <c r="A42638" s="2" t="str">
        <f t="shared" si="1327"/>
        <v>99999</v>
      </c>
      <c r="B42638" s="2" t="str">
        <f>"28781"</f>
        <v>28781</v>
      </c>
      <c r="C42638" s="1">
        <v>9.0584672767780801E-5</v>
      </c>
      <c r="D42638" s="1">
        <v>4.2492874855448297E-5</v>
      </c>
      <c r="E42638" s="1">
        <v>0</v>
      </c>
      <c r="F42638" s="1">
        <v>8.5358245472207602E-5</v>
      </c>
    </row>
    <row r="42639" spans="1:6" x14ac:dyDescent="0.25">
      <c r="A42639" s="2" t="str">
        <f t="shared" si="1327"/>
        <v>99999</v>
      </c>
      <c r="B42639" s="2" t="str">
        <f>"28714"</f>
        <v>28714</v>
      </c>
      <c r="C42639" s="1">
        <v>1.01258384811984E-3</v>
      </c>
      <c r="D42639" s="1">
        <v>9.1056160404532098E-4</v>
      </c>
      <c r="E42639" s="1">
        <v>7.7785165195701298E-4</v>
      </c>
      <c r="F42639" s="1">
        <v>1.0005219985011499E-3</v>
      </c>
    </row>
    <row r="42640" spans="1:6" x14ac:dyDescent="0.25">
      <c r="A42640" s="2" t="str">
        <f t="shared" si="1327"/>
        <v>99999</v>
      </c>
      <c r="B42640" s="2" t="str">
        <f>"28616"</f>
        <v>28616</v>
      </c>
      <c r="C42640" s="1">
        <v>0</v>
      </c>
      <c r="D42640" s="1">
        <v>0</v>
      </c>
      <c r="E42640" s="1">
        <v>4.3455399550671099E-6</v>
      </c>
      <c r="F42640" s="1">
        <v>9.9485134582992598E-8</v>
      </c>
    </row>
    <row r="42641" spans="1:6" x14ac:dyDescent="0.25">
      <c r="A42641" s="2" t="str">
        <f t="shared" si="1327"/>
        <v>99999</v>
      </c>
      <c r="B42641" s="2" t="str">
        <f>"28684"</f>
        <v>28684</v>
      </c>
      <c r="C42641" s="1">
        <v>9.0693810927741997E-5</v>
      </c>
      <c r="D42641" s="1">
        <v>1.3658424060679801E-5</v>
      </c>
      <c r="E42641" s="1">
        <v>5.21464794608054E-5</v>
      </c>
      <c r="F42641" s="1">
        <v>8.4761334664709706E-5</v>
      </c>
    </row>
    <row r="42642" spans="1:6" x14ac:dyDescent="0.25">
      <c r="A42642" s="2" t="str">
        <f t="shared" ref="A42642:A42705" si="1328">"99999"</f>
        <v>99999</v>
      </c>
      <c r="B42642" s="2" t="str">
        <f>"28679"</f>
        <v>28679</v>
      </c>
      <c r="C42642" s="1">
        <v>5.1294935181755401E-6</v>
      </c>
      <c r="D42642" s="1">
        <v>3.0352053468177301E-6</v>
      </c>
      <c r="E42642" s="1">
        <v>0</v>
      </c>
      <c r="F42642" s="1">
        <v>4.8747715945666299E-6</v>
      </c>
    </row>
    <row r="42643" spans="1:6" x14ac:dyDescent="0.25">
      <c r="A42643" s="2" t="str">
        <f t="shared" si="1328"/>
        <v>99999</v>
      </c>
      <c r="B42643" s="2" t="str">
        <f>"28644"</f>
        <v>28644</v>
      </c>
      <c r="C42643" s="1">
        <v>1.14813344279163E-4</v>
      </c>
      <c r="D42643" s="1">
        <v>4.8563285549083798E-5</v>
      </c>
      <c r="E42643" s="1">
        <v>3.0418779685469802E-5</v>
      </c>
      <c r="F42643" s="1">
        <v>1.08538281830044E-4</v>
      </c>
    </row>
    <row r="42644" spans="1:6" x14ac:dyDescent="0.25">
      <c r="A42644" s="2" t="str">
        <f t="shared" si="1328"/>
        <v>99999</v>
      </c>
      <c r="B42644" s="2" t="str">
        <f>"28643"</f>
        <v>28643</v>
      </c>
      <c r="C42644" s="1">
        <v>2.1456562248368301E-4</v>
      </c>
      <c r="D42644" s="1">
        <v>6.6774517629990203E-5</v>
      </c>
      <c r="E42644" s="1">
        <v>1.6947605824761699E-4</v>
      </c>
      <c r="F42644" s="1">
        <v>2.0384504076055099E-4</v>
      </c>
    </row>
    <row r="42645" spans="1:6" x14ac:dyDescent="0.25">
      <c r="A42645" s="2" t="str">
        <f t="shared" si="1328"/>
        <v>99999</v>
      </c>
      <c r="B42645" s="2" t="str">
        <f>"28640"</f>
        <v>28640</v>
      </c>
      <c r="C42645" s="1">
        <v>3.9518927721943897E-4</v>
      </c>
      <c r="D42645" s="1">
        <v>5.6758339985491695E-4</v>
      </c>
      <c r="E42645" s="1">
        <v>3.9109859595603998E-4</v>
      </c>
      <c r="F42645" s="1">
        <v>4.0639677477152401E-4</v>
      </c>
    </row>
    <row r="42646" spans="1:6" x14ac:dyDescent="0.25">
      <c r="A42646" s="2" t="str">
        <f t="shared" si="1328"/>
        <v>99999</v>
      </c>
      <c r="B42646" s="2" t="str">
        <f>"28554"</f>
        <v>28554</v>
      </c>
      <c r="C42646" s="1">
        <v>0</v>
      </c>
      <c r="D42646" s="1">
        <v>1.51760267340886E-6</v>
      </c>
      <c r="E42646" s="1">
        <v>4.3455399550671099E-6</v>
      </c>
      <c r="F42646" s="1">
        <v>1.9897026916598501E-7</v>
      </c>
    </row>
    <row r="42647" spans="1:6" x14ac:dyDescent="0.25">
      <c r="A42647" s="2" t="str">
        <f t="shared" si="1328"/>
        <v>99999</v>
      </c>
      <c r="B42647" s="2" t="str">
        <f>"28572"</f>
        <v>28572</v>
      </c>
      <c r="C42647" s="1">
        <v>1.79968825775988E-4</v>
      </c>
      <c r="D42647" s="1">
        <v>8.3468147037487798E-5</v>
      </c>
      <c r="E42647" s="1">
        <v>4.3455399550671099E-6</v>
      </c>
      <c r="F42647" s="1">
        <v>1.69622154464002E-4</v>
      </c>
    </row>
    <row r="42648" spans="1:6" x14ac:dyDescent="0.25">
      <c r="A42648" s="2" t="str">
        <f t="shared" si="1328"/>
        <v>99999</v>
      </c>
      <c r="B42648" s="2" t="str">
        <f>"28438"</f>
        <v>28438</v>
      </c>
      <c r="C42648" s="1">
        <v>9.2112607007237296E-5</v>
      </c>
      <c r="D42648" s="1">
        <v>4.2492874855448297E-5</v>
      </c>
      <c r="E42648" s="1">
        <v>8.69107991013423E-6</v>
      </c>
      <c r="F42648" s="1">
        <v>8.6950007625535497E-5</v>
      </c>
    </row>
    <row r="42649" spans="1:6" x14ac:dyDescent="0.25">
      <c r="A42649" s="2" t="str">
        <f t="shared" si="1328"/>
        <v>99999</v>
      </c>
      <c r="B42649" s="2" t="str">
        <f>"28436"</f>
        <v>28436</v>
      </c>
      <c r="C42649" s="1">
        <v>1.07719363881686E-4</v>
      </c>
      <c r="D42649" s="1">
        <v>1.36584240606798E-4</v>
      </c>
      <c r="E42649" s="1">
        <v>4.7800939505738197E-5</v>
      </c>
      <c r="F42649" s="1">
        <v>1.08239826426295E-4</v>
      </c>
    </row>
    <row r="42650" spans="1:6" x14ac:dyDescent="0.25">
      <c r="A42650" s="2" t="str">
        <f t="shared" si="1328"/>
        <v>99999</v>
      </c>
      <c r="B42650" s="2" t="str">
        <f>"28435"</f>
        <v>28435</v>
      </c>
      <c r="C42650" s="1">
        <v>1.0913815996118101E-6</v>
      </c>
      <c r="D42650" s="1">
        <v>0</v>
      </c>
      <c r="E42650" s="1">
        <v>0</v>
      </c>
      <c r="F42650" s="1">
        <v>9.9485134582992606E-7</v>
      </c>
    </row>
    <row r="42651" spans="1:6" x14ac:dyDescent="0.25">
      <c r="A42651" s="2" t="str">
        <f t="shared" si="1328"/>
        <v>99999</v>
      </c>
      <c r="B42651" s="2" t="str">
        <f>"28423"</f>
        <v>28423</v>
      </c>
      <c r="C42651" s="1">
        <v>1.05427462522501E-4</v>
      </c>
      <c r="D42651" s="1">
        <v>6.2221709609763595E-5</v>
      </c>
      <c r="E42651" s="1">
        <v>0</v>
      </c>
      <c r="F42651" s="1">
        <v>1.0018153052507301E-4</v>
      </c>
    </row>
    <row r="42652" spans="1:6" x14ac:dyDescent="0.25">
      <c r="A42652" s="2" t="str">
        <f t="shared" si="1328"/>
        <v>99999</v>
      </c>
      <c r="B42652" s="2" t="str">
        <f>"28392"</f>
        <v>28392</v>
      </c>
      <c r="C42652" s="1">
        <v>7.6069297492943602E-5</v>
      </c>
      <c r="D42652" s="1">
        <v>2.88344507947685E-5</v>
      </c>
      <c r="E42652" s="1">
        <v>0</v>
      </c>
      <c r="F42652" s="1">
        <v>7.1231356361422694E-5</v>
      </c>
    </row>
    <row r="42653" spans="1:6" x14ac:dyDescent="0.25">
      <c r="A42653" s="2" t="str">
        <f t="shared" si="1328"/>
        <v>99999</v>
      </c>
      <c r="B42653" s="2" t="str">
        <f>"28337"</f>
        <v>28337</v>
      </c>
      <c r="C42653" s="1">
        <v>7.9823650195608295E-4</v>
      </c>
      <c r="D42653" s="1">
        <v>9.7733612167531098E-4</v>
      </c>
      <c r="E42653" s="1">
        <v>4.0848075577630798E-4</v>
      </c>
      <c r="F42653" s="1">
        <v>8.0105430366225598E-4</v>
      </c>
    </row>
    <row r="42654" spans="1:6" x14ac:dyDescent="0.25">
      <c r="A42654" s="2" t="str">
        <f t="shared" si="1328"/>
        <v>99999</v>
      </c>
      <c r="B42654" s="2" t="str">
        <f>"28329"</f>
        <v>28329</v>
      </c>
      <c r="C42654" s="1">
        <v>2.5090862975075598E-4</v>
      </c>
      <c r="D42654" s="1">
        <v>5.6910100252832599E-4</v>
      </c>
      <c r="E42654" s="1">
        <v>8.69107991013423E-6</v>
      </c>
      <c r="F42654" s="1">
        <v>2.66222220144088E-4</v>
      </c>
    </row>
    <row r="42655" spans="1:6" x14ac:dyDescent="0.25">
      <c r="A42655" s="2" t="str">
        <f t="shared" si="1328"/>
        <v>99999</v>
      </c>
      <c r="B42655" s="2" t="str">
        <f>"28325"</f>
        <v>28325</v>
      </c>
      <c r="C42655" s="1">
        <v>0</v>
      </c>
      <c r="D42655" s="1">
        <v>0</v>
      </c>
      <c r="E42655" s="1">
        <v>4.3455399550671099E-6</v>
      </c>
      <c r="F42655" s="1">
        <v>9.9485134582992598E-8</v>
      </c>
    </row>
    <row r="42656" spans="1:6" x14ac:dyDescent="0.25">
      <c r="A42656" s="2" t="str">
        <f t="shared" si="1328"/>
        <v>99999</v>
      </c>
      <c r="B42656" s="2" t="str">
        <f>"27885"</f>
        <v>27885</v>
      </c>
      <c r="C42656" s="1">
        <v>5.77340866194651E-5</v>
      </c>
      <c r="D42656" s="1">
        <v>7.8915339017261203E-5</v>
      </c>
      <c r="E42656" s="1">
        <v>0</v>
      </c>
      <c r="F42656" s="1">
        <v>5.7800863192718701E-5</v>
      </c>
    </row>
    <row r="42657" spans="1:6" x14ac:dyDescent="0.25">
      <c r="A42657" s="2" t="str">
        <f t="shared" si="1328"/>
        <v>99999</v>
      </c>
      <c r="B42657" s="2" t="str">
        <f>"27863"</f>
        <v>27863</v>
      </c>
      <c r="C42657" s="1">
        <v>7.6396711972827196E-6</v>
      </c>
      <c r="D42657" s="1">
        <v>1.51760267340886E-6</v>
      </c>
      <c r="E42657" s="1">
        <v>0</v>
      </c>
      <c r="F42657" s="1">
        <v>7.0634445553924701E-6</v>
      </c>
    </row>
    <row r="42658" spans="1:6" x14ac:dyDescent="0.25">
      <c r="A42658" s="2" t="str">
        <f t="shared" si="1328"/>
        <v>99999</v>
      </c>
      <c r="B42658" s="2" t="str">
        <f>"27844"</f>
        <v>27844</v>
      </c>
      <c r="C42658" s="1">
        <v>2.8048507110023701E-5</v>
      </c>
      <c r="D42658" s="1">
        <v>9.1056160404532095E-6</v>
      </c>
      <c r="E42658" s="1">
        <v>0</v>
      </c>
      <c r="F42658" s="1">
        <v>2.6164590395327E-5</v>
      </c>
    </row>
    <row r="42659" spans="1:6" x14ac:dyDescent="0.25">
      <c r="A42659" s="2" t="str">
        <f t="shared" si="1328"/>
        <v>99999</v>
      </c>
      <c r="B42659" s="2" t="str">
        <f>"27919"</f>
        <v>27919</v>
      </c>
      <c r="C42659" s="1">
        <v>9.9315725564675307E-6</v>
      </c>
      <c r="D42659" s="1">
        <v>0</v>
      </c>
      <c r="E42659" s="1">
        <v>0</v>
      </c>
      <c r="F42659" s="1">
        <v>9.0531472470523294E-6</v>
      </c>
    </row>
    <row r="42660" spans="1:6" x14ac:dyDescent="0.25">
      <c r="A42660" s="2" t="str">
        <f t="shared" si="1328"/>
        <v>99999</v>
      </c>
      <c r="B42660" s="2" t="str">
        <f>"27924"</f>
        <v>27924</v>
      </c>
      <c r="C42660" s="1">
        <v>1.6370723994177199E-4</v>
      </c>
      <c r="D42660" s="1">
        <v>8.65033523843055E-5</v>
      </c>
      <c r="E42660" s="1">
        <v>0</v>
      </c>
      <c r="F42660" s="1">
        <v>1.54898354545719E-4</v>
      </c>
    </row>
    <row r="42661" spans="1:6" x14ac:dyDescent="0.25">
      <c r="A42661" s="2" t="str">
        <f t="shared" si="1328"/>
        <v>99999</v>
      </c>
      <c r="B42661" s="2" t="str">
        <f>"27910"</f>
        <v>27910</v>
      </c>
      <c r="C42661" s="1">
        <v>6.17831123540249E-4</v>
      </c>
      <c r="D42661" s="1">
        <v>1.08356830881393E-3</v>
      </c>
      <c r="E42661" s="1">
        <v>5.9533897384419501E-4</v>
      </c>
      <c r="F42661" s="1">
        <v>6.4784719640444805E-4</v>
      </c>
    </row>
    <row r="42662" spans="1:6" x14ac:dyDescent="0.25">
      <c r="A42662" s="2" t="str">
        <f t="shared" si="1328"/>
        <v>99999</v>
      </c>
      <c r="B42662" s="2" t="str">
        <f>"27967"</f>
        <v>27967</v>
      </c>
      <c r="C42662" s="1">
        <v>0</v>
      </c>
      <c r="D42662" s="1">
        <v>0</v>
      </c>
      <c r="E42662" s="1">
        <v>4.3455399550671099E-6</v>
      </c>
      <c r="F42662" s="1">
        <v>9.9485134582992598E-8</v>
      </c>
    </row>
    <row r="42663" spans="1:6" x14ac:dyDescent="0.25">
      <c r="A42663" s="2" t="str">
        <f t="shared" si="1328"/>
        <v>99999</v>
      </c>
      <c r="B42663" s="2" t="str">
        <f>"27841"</f>
        <v>27841</v>
      </c>
      <c r="C42663" s="1">
        <v>0</v>
      </c>
      <c r="D42663" s="1">
        <v>1.51760267340886E-6</v>
      </c>
      <c r="E42663" s="1">
        <v>0</v>
      </c>
      <c r="F42663" s="1">
        <v>9.9485134582992598E-8</v>
      </c>
    </row>
    <row r="42664" spans="1:6" x14ac:dyDescent="0.25">
      <c r="A42664" s="2" t="str">
        <f t="shared" si="1328"/>
        <v>99999</v>
      </c>
      <c r="B42664" s="2" t="str">
        <f>"27818"</f>
        <v>27818</v>
      </c>
      <c r="C42664" s="1">
        <v>7.6942402772633099E-5</v>
      </c>
      <c r="D42664" s="1">
        <v>1.21408213872709E-5</v>
      </c>
      <c r="E42664" s="1">
        <v>0</v>
      </c>
      <c r="F42664" s="1">
        <v>7.0932900957673705E-5</v>
      </c>
    </row>
    <row r="42665" spans="1:6" x14ac:dyDescent="0.25">
      <c r="A42665" s="2" t="str">
        <f t="shared" si="1328"/>
        <v>99999</v>
      </c>
      <c r="B42665" s="2" t="str">
        <f>"27810"</f>
        <v>27810</v>
      </c>
      <c r="C42665" s="1">
        <v>2.9794717669402601E-5</v>
      </c>
      <c r="D42665" s="1">
        <v>1.21408213872709E-5</v>
      </c>
      <c r="E42665" s="1">
        <v>0</v>
      </c>
      <c r="F42665" s="1">
        <v>2.7955322817820898E-5</v>
      </c>
    </row>
    <row r="42666" spans="1:6" x14ac:dyDescent="0.25">
      <c r="A42666" s="2" t="str">
        <f t="shared" si="1328"/>
        <v>99999</v>
      </c>
      <c r="B42666" s="2" t="str">
        <f>"27311"</f>
        <v>27311</v>
      </c>
      <c r="C42666" s="1">
        <v>1.6425293074157801E-4</v>
      </c>
      <c r="D42666" s="1">
        <v>4.5528080202266E-5</v>
      </c>
      <c r="E42666" s="1">
        <v>3.47643196405369E-5</v>
      </c>
      <c r="F42666" s="1">
        <v>1.5350556266155701E-4</v>
      </c>
    </row>
    <row r="42667" spans="1:6" x14ac:dyDescent="0.25">
      <c r="A42667" s="2" t="str">
        <f t="shared" si="1328"/>
        <v>99999</v>
      </c>
      <c r="B42667" s="2" t="str">
        <f>"27212"</f>
        <v>27212</v>
      </c>
      <c r="C42667" s="1">
        <v>8.3163277890420395E-5</v>
      </c>
      <c r="D42667" s="1">
        <v>2.5799245447950699E-5</v>
      </c>
      <c r="E42667" s="1">
        <v>8.69107991013423E-6</v>
      </c>
      <c r="F42667" s="1">
        <v>7.7697890109317198E-5</v>
      </c>
    </row>
    <row r="42668" spans="1:6" x14ac:dyDescent="0.25">
      <c r="A42668" s="2" t="str">
        <f t="shared" si="1328"/>
        <v>99999</v>
      </c>
      <c r="B42668" s="2" t="str">
        <f>"27209"</f>
        <v>27209</v>
      </c>
      <c r="C42668" s="1">
        <v>1.26709403714931E-4</v>
      </c>
      <c r="D42668" s="1">
        <v>2.2005238764428599E-4</v>
      </c>
      <c r="E42668" s="1">
        <v>2.60732397304027E-5</v>
      </c>
      <c r="F42668" s="1">
        <v>1.30524496572886E-4</v>
      </c>
    </row>
    <row r="42669" spans="1:6" x14ac:dyDescent="0.25">
      <c r="A42669" s="2" t="str">
        <f t="shared" si="1328"/>
        <v>99999</v>
      </c>
      <c r="B42669" s="2" t="str">
        <f>"26852"</f>
        <v>26852</v>
      </c>
      <c r="C42669" s="1">
        <v>1.49519279146818E-5</v>
      </c>
      <c r="D42669" s="1">
        <v>1.51760267340886E-6</v>
      </c>
      <c r="E42669" s="1">
        <v>0</v>
      </c>
      <c r="F42669" s="1">
        <v>1.37289485724529E-5</v>
      </c>
    </row>
    <row r="42670" spans="1:6" x14ac:dyDescent="0.25">
      <c r="A42670" s="2" t="str">
        <f t="shared" si="1328"/>
        <v>99999</v>
      </c>
      <c r="B42670" s="2" t="str">
        <f>"26865"</f>
        <v>26865</v>
      </c>
      <c r="C42670" s="1">
        <v>3.2741447988354498E-7</v>
      </c>
      <c r="D42670" s="1">
        <v>0</v>
      </c>
      <c r="E42670" s="1">
        <v>0</v>
      </c>
      <c r="F42670" s="1">
        <v>2.9845540374897701E-7</v>
      </c>
    </row>
    <row r="42671" spans="1:6" x14ac:dyDescent="0.25">
      <c r="A42671" s="2" t="str">
        <f t="shared" si="1328"/>
        <v>99999</v>
      </c>
      <c r="B42671" s="2" t="str">
        <f>"26804"</f>
        <v>26804</v>
      </c>
      <c r="C42671" s="1">
        <v>2.8594197909829602E-5</v>
      </c>
      <c r="D42671" s="1">
        <v>6.0704106936354696E-6</v>
      </c>
      <c r="E42671" s="1">
        <v>0</v>
      </c>
      <c r="F42671" s="1">
        <v>2.6463045799075999E-5</v>
      </c>
    </row>
    <row r="42672" spans="1:6" x14ac:dyDescent="0.25">
      <c r="A42672" s="2" t="str">
        <f t="shared" si="1328"/>
        <v>99999</v>
      </c>
      <c r="B42672" s="2" t="str">
        <f>"26884"</f>
        <v>26884</v>
      </c>
      <c r="C42672" s="1">
        <v>3.4815073027616897E-5</v>
      </c>
      <c r="D42672" s="1">
        <v>1.3658424060679801E-5</v>
      </c>
      <c r="E42672" s="1">
        <v>0</v>
      </c>
      <c r="F42672" s="1">
        <v>3.26311241432215E-5</v>
      </c>
    </row>
    <row r="42673" spans="1:6" x14ac:dyDescent="0.25">
      <c r="A42673" s="2" t="str">
        <f t="shared" si="1328"/>
        <v>99999</v>
      </c>
      <c r="B42673" s="2" t="str">
        <f>"26411"</f>
        <v>26411</v>
      </c>
      <c r="C42673" s="1">
        <v>9.8224343965063504E-7</v>
      </c>
      <c r="D42673" s="1">
        <v>0</v>
      </c>
      <c r="E42673" s="1">
        <v>0</v>
      </c>
      <c r="F42673" s="1">
        <v>8.9536621124693305E-7</v>
      </c>
    </row>
    <row r="42674" spans="1:6" x14ac:dyDescent="0.25">
      <c r="A42674" s="2" t="str">
        <f t="shared" si="1328"/>
        <v>99999</v>
      </c>
      <c r="B42674" s="2" t="str">
        <f>"26416"</f>
        <v>26416</v>
      </c>
      <c r="C42674" s="1">
        <v>3.6932353330863902E-4</v>
      </c>
      <c r="D42674" s="1">
        <v>3.1869656141586197E-4</v>
      </c>
      <c r="E42674" s="1">
        <v>1.82512678112818E-4</v>
      </c>
      <c r="F42674" s="1">
        <v>3.6172794934376099E-4</v>
      </c>
    </row>
    <row r="42675" spans="1:6" x14ac:dyDescent="0.25">
      <c r="A42675" s="2" t="str">
        <f t="shared" si="1328"/>
        <v>99999</v>
      </c>
      <c r="B42675" s="2" t="str">
        <f>"26384"</f>
        <v>26384</v>
      </c>
      <c r="C42675" s="1">
        <v>2.7175401830334201E-5</v>
      </c>
      <c r="D42675" s="1">
        <v>9.1056160404532095E-6</v>
      </c>
      <c r="E42675" s="1">
        <v>4.3455399550671099E-6</v>
      </c>
      <c r="F42675" s="1">
        <v>2.5468194453246102E-5</v>
      </c>
    </row>
    <row r="42676" spans="1:6" x14ac:dyDescent="0.25">
      <c r="A42676" s="2" t="str">
        <f t="shared" si="1328"/>
        <v>99999</v>
      </c>
      <c r="B42676" s="2" t="str">
        <f>"26347"</f>
        <v>26347</v>
      </c>
      <c r="C42676" s="1">
        <v>7.9670856771662607E-6</v>
      </c>
      <c r="D42676" s="1">
        <v>1.51760267340886E-6</v>
      </c>
      <c r="E42676" s="1">
        <v>0</v>
      </c>
      <c r="F42676" s="1">
        <v>7.3618999591414504E-6</v>
      </c>
    </row>
    <row r="42677" spans="1:6" x14ac:dyDescent="0.25">
      <c r="A42677" s="2" t="str">
        <f t="shared" si="1328"/>
        <v>99999</v>
      </c>
      <c r="B42677" s="2" t="str">
        <f>"26337"</f>
        <v>26337</v>
      </c>
      <c r="C42677" s="1">
        <v>6.1444784058145303E-5</v>
      </c>
      <c r="D42677" s="1">
        <v>1.9728834754315301E-5</v>
      </c>
      <c r="E42677" s="1">
        <v>8.69107991013423E-6</v>
      </c>
      <c r="F42677" s="1">
        <v>5.7502407788969699E-5</v>
      </c>
    </row>
    <row r="42678" spans="1:6" x14ac:dyDescent="0.25">
      <c r="A42678" s="2" t="str">
        <f t="shared" si="1328"/>
        <v>99999</v>
      </c>
      <c r="B42678" s="2" t="str">
        <f>"26335"</f>
        <v>26335</v>
      </c>
      <c r="C42678" s="1">
        <v>5.2058902301483599E-5</v>
      </c>
      <c r="D42678" s="1">
        <v>2.4281642774541899E-5</v>
      </c>
      <c r="E42678" s="1">
        <v>1.7382159820268399E-5</v>
      </c>
      <c r="F42678" s="1">
        <v>4.94441118877473E-5</v>
      </c>
    </row>
    <row r="42679" spans="1:6" x14ac:dyDescent="0.25">
      <c r="A42679" s="2" t="str">
        <f t="shared" si="1328"/>
        <v>99999</v>
      </c>
      <c r="B42679" s="2" t="str">
        <f>"26327"</f>
        <v>26327</v>
      </c>
      <c r="C42679" s="1">
        <v>4.6929408783308102E-6</v>
      </c>
      <c r="D42679" s="1">
        <v>1.51760267340886E-6</v>
      </c>
      <c r="E42679" s="1">
        <v>4.3455399550671099E-6</v>
      </c>
      <c r="F42679" s="1">
        <v>4.4768310562346604E-6</v>
      </c>
    </row>
    <row r="42680" spans="1:6" x14ac:dyDescent="0.25">
      <c r="A42680" s="2" t="str">
        <f t="shared" si="1328"/>
        <v>99999</v>
      </c>
      <c r="B42680" s="2" t="str">
        <f>"26731"</f>
        <v>26731</v>
      </c>
      <c r="C42680" s="1">
        <v>1.5606756874448901E-5</v>
      </c>
      <c r="D42680" s="1">
        <v>1.51760267340886E-6</v>
      </c>
      <c r="E42680" s="1">
        <v>0</v>
      </c>
      <c r="F42680" s="1">
        <v>1.43258593799509E-5</v>
      </c>
    </row>
    <row r="42681" spans="1:6" x14ac:dyDescent="0.25">
      <c r="A42681" s="2" t="str">
        <f t="shared" si="1328"/>
        <v>99999</v>
      </c>
      <c r="B42681" s="2" t="str">
        <f>"26743"</f>
        <v>26743</v>
      </c>
      <c r="C42681" s="1">
        <v>1.5279342394565399E-5</v>
      </c>
      <c r="D42681" s="1">
        <v>1.51760267340886E-6</v>
      </c>
      <c r="E42681" s="1">
        <v>0</v>
      </c>
      <c r="F42681" s="1">
        <v>1.4027403976201899E-5</v>
      </c>
    </row>
    <row r="42682" spans="1:6" x14ac:dyDescent="0.25">
      <c r="A42682" s="2" t="str">
        <f t="shared" si="1328"/>
        <v>99999</v>
      </c>
      <c r="B42682" s="2" t="str">
        <f>"26681"</f>
        <v>26681</v>
      </c>
      <c r="C42682" s="1">
        <v>5.99168498186887E-5</v>
      </c>
      <c r="D42682" s="1">
        <v>7.5880133670443404E-6</v>
      </c>
      <c r="E42682" s="1">
        <v>1.3036619865201299E-5</v>
      </c>
      <c r="F42682" s="1">
        <v>5.5413219962726798E-5</v>
      </c>
    </row>
    <row r="42683" spans="1:6" x14ac:dyDescent="0.25">
      <c r="A42683" s="2" t="str">
        <f t="shared" si="1328"/>
        <v>99999</v>
      </c>
      <c r="B42683" s="2" t="str">
        <f>"26680"</f>
        <v>26680</v>
      </c>
      <c r="C42683" s="1">
        <v>1.12412304760017E-5</v>
      </c>
      <c r="D42683" s="1">
        <v>3.0352053468177301E-6</v>
      </c>
      <c r="E42683" s="1">
        <v>0</v>
      </c>
      <c r="F42683" s="1">
        <v>1.04459391312142E-5</v>
      </c>
    </row>
    <row r="42684" spans="1:6" x14ac:dyDescent="0.25">
      <c r="A42684" s="2" t="str">
        <f t="shared" si="1328"/>
        <v>99999</v>
      </c>
      <c r="B42684" s="2" t="str">
        <f>"26585"</f>
        <v>26585</v>
      </c>
      <c r="C42684" s="1">
        <v>5.5660461580202599E-6</v>
      </c>
      <c r="D42684" s="1">
        <v>0</v>
      </c>
      <c r="E42684" s="1">
        <v>0</v>
      </c>
      <c r="F42684" s="1">
        <v>5.0737418637326201E-6</v>
      </c>
    </row>
    <row r="42685" spans="1:6" x14ac:dyDescent="0.25">
      <c r="A42685" s="2" t="str">
        <f t="shared" si="1328"/>
        <v>99999</v>
      </c>
      <c r="B42685" s="2" t="str">
        <f>"26656"</f>
        <v>26656</v>
      </c>
      <c r="C42685" s="1">
        <v>1.27691647154582E-5</v>
      </c>
      <c r="D42685" s="1">
        <v>3.0352053468177301E-6</v>
      </c>
      <c r="E42685" s="1">
        <v>0</v>
      </c>
      <c r="F42685" s="1">
        <v>1.18387310153761E-5</v>
      </c>
    </row>
    <row r="42686" spans="1:6" x14ac:dyDescent="0.25">
      <c r="A42686" s="2" t="str">
        <f t="shared" si="1328"/>
        <v>99999</v>
      </c>
      <c r="B42686" s="2" t="str">
        <f>"26636"</f>
        <v>26636</v>
      </c>
      <c r="C42686" s="1">
        <v>2.9358165029557801E-5</v>
      </c>
      <c r="D42686" s="1">
        <v>1.0623218713862E-5</v>
      </c>
      <c r="E42686" s="1">
        <v>4.3455399550671099E-6</v>
      </c>
      <c r="F42686" s="1">
        <v>2.7557382279488901E-5</v>
      </c>
    </row>
    <row r="42687" spans="1:6" x14ac:dyDescent="0.25">
      <c r="A42687" s="2" t="str">
        <f t="shared" si="1328"/>
        <v>99999</v>
      </c>
      <c r="B42687" s="2" t="str">
        <f>"26627"</f>
        <v>26627</v>
      </c>
      <c r="C42687" s="1">
        <v>2.2264184632080999E-5</v>
      </c>
      <c r="D42687" s="1">
        <v>1.51760267340886E-6</v>
      </c>
      <c r="E42687" s="1">
        <v>0</v>
      </c>
      <c r="F42687" s="1">
        <v>2.0394452589513401E-5</v>
      </c>
    </row>
    <row r="42688" spans="1:6" x14ac:dyDescent="0.25">
      <c r="A42688" s="2" t="str">
        <f t="shared" si="1328"/>
        <v>99999</v>
      </c>
      <c r="B42688" s="2" t="str">
        <f>"26624"</f>
        <v>26624</v>
      </c>
      <c r="C42688" s="1">
        <v>1.64362068901539E-4</v>
      </c>
      <c r="D42688" s="1">
        <v>3.0352053468177303E-4</v>
      </c>
      <c r="E42688" s="1">
        <v>1.2602065869694599E-4</v>
      </c>
      <c r="F42688" s="1">
        <v>1.7260670850149199E-4</v>
      </c>
    </row>
    <row r="42689" spans="1:6" x14ac:dyDescent="0.25">
      <c r="A42689" s="2" t="str">
        <f t="shared" si="1328"/>
        <v>99999</v>
      </c>
      <c r="B42689" s="2" t="str">
        <f>"26623"</f>
        <v>26623</v>
      </c>
      <c r="C42689" s="1">
        <v>7.4323086933564703E-5</v>
      </c>
      <c r="D42689" s="1">
        <v>1.66936294074975E-5</v>
      </c>
      <c r="E42689" s="1">
        <v>4.3455399550671099E-6</v>
      </c>
      <c r="F42689" s="1">
        <v>6.8943198266013803E-5</v>
      </c>
    </row>
    <row r="42690" spans="1:6" x14ac:dyDescent="0.25">
      <c r="A42690" s="2" t="str">
        <f t="shared" si="1328"/>
        <v>99999</v>
      </c>
      <c r="B42690" s="2" t="str">
        <f>"26610"</f>
        <v>26610</v>
      </c>
      <c r="C42690" s="1">
        <v>4.81299285428811E-5</v>
      </c>
      <c r="D42690" s="1">
        <v>1.51760267340886E-6</v>
      </c>
      <c r="E42690" s="1">
        <v>4.3455399550671099E-6</v>
      </c>
      <c r="F42690" s="1">
        <v>4.4071914620265699E-5</v>
      </c>
    </row>
    <row r="42691" spans="1:6" x14ac:dyDescent="0.25">
      <c r="A42691" s="2" t="str">
        <f t="shared" si="1328"/>
        <v>99999</v>
      </c>
      <c r="B42691" s="2" t="str">
        <f>"26678"</f>
        <v>26678</v>
      </c>
      <c r="C42691" s="1">
        <v>3.2850586148315701E-5</v>
      </c>
      <c r="D42691" s="1">
        <v>1.51760267340886E-6</v>
      </c>
      <c r="E42691" s="1">
        <v>4.3455399550671099E-6</v>
      </c>
      <c r="F42691" s="1">
        <v>3.01439957786467E-5</v>
      </c>
    </row>
    <row r="42692" spans="1:6" x14ac:dyDescent="0.25">
      <c r="A42692" s="2" t="str">
        <f t="shared" si="1328"/>
        <v>99999</v>
      </c>
      <c r="B42692" s="2" t="str">
        <f>"26263"</f>
        <v>26263</v>
      </c>
      <c r="C42692" s="1">
        <v>2.3355566231692799E-5</v>
      </c>
      <c r="D42692" s="1">
        <v>1.0623218713862E-5</v>
      </c>
      <c r="E42692" s="1">
        <v>0</v>
      </c>
      <c r="F42692" s="1">
        <v>2.1986214742841299E-5</v>
      </c>
    </row>
    <row r="42693" spans="1:6" x14ac:dyDescent="0.25">
      <c r="A42693" s="2" t="str">
        <f t="shared" si="1328"/>
        <v>99999</v>
      </c>
      <c r="B42693" s="2" t="str">
        <f>"26437"</f>
        <v>26437</v>
      </c>
      <c r="C42693" s="1">
        <v>2.7175401830334201E-5</v>
      </c>
      <c r="D42693" s="1">
        <v>1.21408213872709E-5</v>
      </c>
      <c r="E42693" s="1">
        <v>0</v>
      </c>
      <c r="F42693" s="1">
        <v>2.55676795878291E-5</v>
      </c>
    </row>
    <row r="42694" spans="1:6" x14ac:dyDescent="0.25">
      <c r="A42694" s="2" t="str">
        <f t="shared" si="1328"/>
        <v>99999</v>
      </c>
      <c r="B42694" s="2" t="str">
        <f>"26452"</f>
        <v>26452</v>
      </c>
      <c r="C42694" s="1">
        <v>5.8683588611127405E-4</v>
      </c>
      <c r="D42694" s="1">
        <v>7.6335414472466102E-4</v>
      </c>
      <c r="E42694" s="1">
        <v>5.7361127406885899E-4</v>
      </c>
      <c r="F42694" s="1">
        <v>5.9810462911295099E-4</v>
      </c>
    </row>
    <row r="42695" spans="1:6" x14ac:dyDescent="0.25">
      <c r="A42695" s="2" t="str">
        <f t="shared" si="1328"/>
        <v>99999</v>
      </c>
      <c r="B42695" s="2" t="str">
        <f>"26222"</f>
        <v>26222</v>
      </c>
      <c r="C42695" s="1">
        <v>3.4815073027616897E-5</v>
      </c>
      <c r="D42695" s="1">
        <v>1.66936294074975E-5</v>
      </c>
      <c r="E42695" s="1">
        <v>0</v>
      </c>
      <c r="F42695" s="1">
        <v>3.2830094412387497E-5</v>
      </c>
    </row>
    <row r="42696" spans="1:6" x14ac:dyDescent="0.25">
      <c r="A42696" s="2" t="str">
        <f t="shared" si="1328"/>
        <v>99999</v>
      </c>
      <c r="B42696" s="2" t="str">
        <f>"26203"</f>
        <v>26203</v>
      </c>
      <c r="C42696" s="1">
        <v>1.6479862154138401E-5</v>
      </c>
      <c r="D42696" s="1">
        <v>0</v>
      </c>
      <c r="E42696" s="1">
        <v>4.3455399550671099E-6</v>
      </c>
      <c r="F42696" s="1">
        <v>1.51217404566148E-5</v>
      </c>
    </row>
    <row r="42697" spans="1:6" x14ac:dyDescent="0.25">
      <c r="A42697" s="2" t="str">
        <f t="shared" si="1328"/>
        <v>99999</v>
      </c>
      <c r="B42697" s="2" t="str">
        <f>"25810"</f>
        <v>25810</v>
      </c>
      <c r="C42697" s="1">
        <v>0</v>
      </c>
      <c r="D42697" s="1">
        <v>1.51760267340886E-6</v>
      </c>
      <c r="E42697" s="1">
        <v>0</v>
      </c>
      <c r="F42697" s="1">
        <v>9.9485134582992598E-8</v>
      </c>
    </row>
    <row r="42698" spans="1:6" x14ac:dyDescent="0.25">
      <c r="A42698" s="2" t="str">
        <f t="shared" si="1328"/>
        <v>99999</v>
      </c>
      <c r="B42698" s="2" t="str">
        <f>"25650"</f>
        <v>25650</v>
      </c>
      <c r="C42698" s="1">
        <v>2.1827631992236299E-6</v>
      </c>
      <c r="D42698" s="1">
        <v>1.51760267340886E-6</v>
      </c>
      <c r="E42698" s="1">
        <v>0</v>
      </c>
      <c r="F42698" s="1">
        <v>2.08918782624284E-6</v>
      </c>
    </row>
    <row r="42699" spans="1:6" x14ac:dyDescent="0.25">
      <c r="A42699" s="2" t="str">
        <f t="shared" si="1328"/>
        <v>99999</v>
      </c>
      <c r="B42699" s="2" t="str">
        <f>"25671"</f>
        <v>25671</v>
      </c>
      <c r="C42699" s="1">
        <v>7.2140323734341103E-5</v>
      </c>
      <c r="D42699" s="1">
        <v>6.0704106936354696E-6</v>
      </c>
      <c r="E42699" s="1">
        <v>4.3455399550671099E-6</v>
      </c>
      <c r="F42699" s="1">
        <v>6.6257099632272999E-5</v>
      </c>
    </row>
    <row r="42700" spans="1:6" x14ac:dyDescent="0.25">
      <c r="A42700" s="2" t="str">
        <f t="shared" si="1328"/>
        <v>99999</v>
      </c>
      <c r="B42700" s="2" t="str">
        <f>"26141"</f>
        <v>26141</v>
      </c>
      <c r="C42700" s="1">
        <v>1.3533131835186499E-5</v>
      </c>
      <c r="D42700" s="1">
        <v>0</v>
      </c>
      <c r="E42700" s="1">
        <v>0</v>
      </c>
      <c r="F42700" s="1">
        <v>1.2336156688290999E-5</v>
      </c>
    </row>
    <row r="42701" spans="1:6" x14ac:dyDescent="0.25">
      <c r="A42701" s="2" t="str">
        <f t="shared" si="1328"/>
        <v>99999</v>
      </c>
      <c r="B42701" s="2" t="str">
        <f>"26148"</f>
        <v>26148</v>
      </c>
      <c r="C42701" s="1">
        <v>1.33148555152641E-5</v>
      </c>
      <c r="D42701" s="1">
        <v>1.3658424060679801E-5</v>
      </c>
      <c r="E42701" s="1">
        <v>0</v>
      </c>
      <c r="F42701" s="1">
        <v>1.3032552630372001E-5</v>
      </c>
    </row>
    <row r="42702" spans="1:6" x14ac:dyDescent="0.25">
      <c r="A42702" s="2" t="str">
        <f t="shared" si="1328"/>
        <v>99999</v>
      </c>
      <c r="B42702" s="2" t="str">
        <f>"26147"</f>
        <v>26147</v>
      </c>
      <c r="C42702" s="1">
        <v>8.5455179249605299E-5</v>
      </c>
      <c r="D42702" s="1">
        <v>8.043294169067E-5</v>
      </c>
      <c r="E42702" s="1">
        <v>3.0418779685469802E-5</v>
      </c>
      <c r="F42702" s="1">
        <v>8.3865968453462699E-5</v>
      </c>
    </row>
    <row r="42703" spans="1:6" x14ac:dyDescent="0.25">
      <c r="A42703" s="2" t="str">
        <f t="shared" si="1328"/>
        <v>99999</v>
      </c>
      <c r="B42703" s="2" t="str">
        <f>"26136"</f>
        <v>26136</v>
      </c>
      <c r="C42703" s="1">
        <v>5.0203553582143599E-5</v>
      </c>
      <c r="D42703" s="1">
        <v>4.5528080202265997E-6</v>
      </c>
      <c r="E42703" s="1">
        <v>0</v>
      </c>
      <c r="F42703" s="1">
        <v>4.60616173119255E-5</v>
      </c>
    </row>
    <row r="42704" spans="1:6" x14ac:dyDescent="0.25">
      <c r="A42704" s="2" t="str">
        <f t="shared" si="1328"/>
        <v>99999</v>
      </c>
      <c r="B42704" s="2" t="str">
        <f>"25918"</f>
        <v>25918</v>
      </c>
      <c r="C42704" s="1">
        <v>8.7310527968945299E-7</v>
      </c>
      <c r="D42704" s="1">
        <v>0</v>
      </c>
      <c r="E42704" s="1">
        <v>0</v>
      </c>
      <c r="F42704" s="1">
        <v>7.9588107666394099E-7</v>
      </c>
    </row>
    <row r="42705" spans="1:6" x14ac:dyDescent="0.25">
      <c r="A42705" s="2" t="str">
        <f t="shared" si="1328"/>
        <v>99999</v>
      </c>
      <c r="B42705" s="2" t="str">
        <f>"25977"</f>
        <v>25977</v>
      </c>
      <c r="C42705" s="1">
        <v>6.6574277576320803E-6</v>
      </c>
      <c r="D42705" s="1">
        <v>1.51760267340886E-6</v>
      </c>
      <c r="E42705" s="1">
        <v>0</v>
      </c>
      <c r="F42705" s="1">
        <v>6.1680783441455402E-6</v>
      </c>
    </row>
    <row r="42706" spans="1:6" x14ac:dyDescent="0.25">
      <c r="A42706" s="2" t="str">
        <f t="shared" ref="A42706:A42769" si="1329">"99999"</f>
        <v>99999</v>
      </c>
      <c r="B42706" s="2" t="str">
        <f>"25043"</f>
        <v>25043</v>
      </c>
      <c r="C42706" s="1">
        <v>2.4010395191459898E-6</v>
      </c>
      <c r="D42706" s="1">
        <v>0</v>
      </c>
      <c r="E42706" s="1">
        <v>0</v>
      </c>
      <c r="F42706" s="1">
        <v>2.1886729608258301E-6</v>
      </c>
    </row>
    <row r="42707" spans="1:6" x14ac:dyDescent="0.25">
      <c r="A42707" s="2" t="str">
        <f t="shared" si="1329"/>
        <v>99999</v>
      </c>
      <c r="B42707" s="2" t="str">
        <f>"24966"</f>
        <v>24966</v>
      </c>
      <c r="C42707" s="1">
        <v>1.1033867972075401E-4</v>
      </c>
      <c r="D42707" s="1">
        <v>3.6422464161812797E-5</v>
      </c>
      <c r="E42707" s="1">
        <v>0</v>
      </c>
      <c r="F42707" s="1">
        <v>1.02967114293397E-4</v>
      </c>
    </row>
    <row r="42708" spans="1:6" x14ac:dyDescent="0.25">
      <c r="A42708" s="2" t="str">
        <f t="shared" si="1329"/>
        <v>99999</v>
      </c>
      <c r="B42708" s="2" t="str">
        <f>"25276"</f>
        <v>25276</v>
      </c>
      <c r="C42708" s="1">
        <v>4.4026333728340702E-4</v>
      </c>
      <c r="D42708" s="1">
        <v>4.9170326618447303E-4</v>
      </c>
      <c r="E42708" s="1">
        <v>3.3895211649523501E-4</v>
      </c>
      <c r="F42708" s="1">
        <v>4.4131605701015498E-4</v>
      </c>
    </row>
    <row r="42709" spans="1:6" x14ac:dyDescent="0.25">
      <c r="A42709" s="2" t="str">
        <f t="shared" si="1329"/>
        <v>99999</v>
      </c>
      <c r="B42709" s="2" t="str">
        <f>"24878"</f>
        <v>24878</v>
      </c>
      <c r="C42709" s="1">
        <v>0</v>
      </c>
      <c r="D42709" s="1">
        <v>1.51760267340886E-6</v>
      </c>
      <c r="E42709" s="1">
        <v>0</v>
      </c>
      <c r="F42709" s="1">
        <v>9.9485134582992598E-8</v>
      </c>
    </row>
    <row r="42710" spans="1:6" x14ac:dyDescent="0.25">
      <c r="A42710" s="2" t="str">
        <f t="shared" si="1329"/>
        <v>99999</v>
      </c>
      <c r="B42710" s="2" t="str">
        <f>"24829"</f>
        <v>24829</v>
      </c>
      <c r="C42710" s="1">
        <v>2.9467303189519E-6</v>
      </c>
      <c r="D42710" s="1">
        <v>1.51760267340886E-6</v>
      </c>
      <c r="E42710" s="1">
        <v>4.3455399550671103E-5</v>
      </c>
      <c r="F42710" s="1">
        <v>3.7804351141537199E-6</v>
      </c>
    </row>
    <row r="42711" spans="1:6" x14ac:dyDescent="0.25">
      <c r="A42711" s="2" t="str">
        <f t="shared" si="1329"/>
        <v>99999</v>
      </c>
      <c r="B42711" s="2" t="str">
        <f>"24861"</f>
        <v>24861</v>
      </c>
      <c r="C42711" s="1">
        <v>0</v>
      </c>
      <c r="D42711" s="1">
        <v>3.0352053468177301E-6</v>
      </c>
      <c r="E42711" s="1">
        <v>0</v>
      </c>
      <c r="F42711" s="1">
        <v>1.9897026916598501E-7</v>
      </c>
    </row>
    <row r="42712" spans="1:6" x14ac:dyDescent="0.25">
      <c r="A42712" s="2" t="str">
        <f t="shared" si="1329"/>
        <v>99999</v>
      </c>
      <c r="B42712" s="2" t="str">
        <f>"24845"</f>
        <v>24845</v>
      </c>
      <c r="C42712" s="1">
        <v>3.2741447988354498E-7</v>
      </c>
      <c r="D42712" s="1">
        <v>1.51760267340886E-6</v>
      </c>
      <c r="E42712" s="1">
        <v>0</v>
      </c>
      <c r="F42712" s="1">
        <v>3.9794053833197002E-7</v>
      </c>
    </row>
    <row r="42713" spans="1:6" x14ac:dyDescent="0.25">
      <c r="A42713" s="2" t="str">
        <f t="shared" si="1329"/>
        <v>99999</v>
      </c>
      <c r="B42713" s="2" t="str">
        <f>"24827"</f>
        <v>24827</v>
      </c>
      <c r="C42713" s="1">
        <v>2.72845399902954E-5</v>
      </c>
      <c r="D42713" s="1">
        <v>6.0704106936354696E-6</v>
      </c>
      <c r="E42713" s="1">
        <v>0</v>
      </c>
      <c r="F42713" s="1">
        <v>2.5269224184080101E-5</v>
      </c>
    </row>
    <row r="42714" spans="1:6" x14ac:dyDescent="0.25">
      <c r="A42714" s="2" t="str">
        <f t="shared" si="1329"/>
        <v>99999</v>
      </c>
      <c r="B42714" s="2" t="str">
        <f>"24931"</f>
        <v>24931</v>
      </c>
      <c r="C42714" s="1">
        <v>1.2288956811629001E-4</v>
      </c>
      <c r="D42714" s="1">
        <v>2.5799245447950699E-5</v>
      </c>
      <c r="E42714" s="1">
        <v>0</v>
      </c>
      <c r="F42714" s="1">
        <v>1.1371150882836E-4</v>
      </c>
    </row>
    <row r="42715" spans="1:6" x14ac:dyDescent="0.25">
      <c r="A42715" s="2" t="str">
        <f t="shared" si="1329"/>
        <v>99999</v>
      </c>
      <c r="B42715" s="2" t="str">
        <f>"24915"</f>
        <v>24915</v>
      </c>
      <c r="C42715" s="1">
        <v>4.9985277262221202E-5</v>
      </c>
      <c r="D42715" s="1">
        <v>6.0704106936354696E-6</v>
      </c>
      <c r="E42715" s="1">
        <v>4.3455399550671099E-6</v>
      </c>
      <c r="F42715" s="1">
        <v>4.60616173119255E-5</v>
      </c>
    </row>
    <row r="42716" spans="1:6" x14ac:dyDescent="0.25">
      <c r="A42716" s="2" t="str">
        <f t="shared" si="1329"/>
        <v>99999</v>
      </c>
      <c r="B42716" s="2" t="str">
        <f>"24853"</f>
        <v>24853</v>
      </c>
      <c r="C42716" s="1">
        <v>1.0804677836156901E-5</v>
      </c>
      <c r="D42716" s="1">
        <v>4.5528080202265997E-6</v>
      </c>
      <c r="E42716" s="1">
        <v>0</v>
      </c>
      <c r="F42716" s="1">
        <v>1.01474837274652E-5</v>
      </c>
    </row>
    <row r="42717" spans="1:6" x14ac:dyDescent="0.25">
      <c r="A42717" s="2" t="str">
        <f t="shared" si="1329"/>
        <v>99999</v>
      </c>
      <c r="B42717" s="2" t="str">
        <f>"24818"</f>
        <v>24818</v>
      </c>
      <c r="C42717" s="1">
        <v>2.16093556723139E-5</v>
      </c>
      <c r="D42717" s="1">
        <v>3.0352053468177301E-6</v>
      </c>
      <c r="E42717" s="1">
        <v>0</v>
      </c>
      <c r="F42717" s="1">
        <v>1.98970269165985E-5</v>
      </c>
    </row>
    <row r="42718" spans="1:6" x14ac:dyDescent="0.25">
      <c r="A42718" s="2" t="str">
        <f t="shared" si="1329"/>
        <v>99999</v>
      </c>
      <c r="B42718" s="2" t="str">
        <f>"24528"</f>
        <v>24528</v>
      </c>
      <c r="C42718" s="1">
        <v>3.2523171668432101E-5</v>
      </c>
      <c r="D42718" s="1">
        <v>9.1056160404532095E-6</v>
      </c>
      <c r="E42718" s="1">
        <v>8.69107991013423E-6</v>
      </c>
      <c r="F42718" s="1">
        <v>3.0442451182395699E-5</v>
      </c>
    </row>
    <row r="42719" spans="1:6" x14ac:dyDescent="0.25">
      <c r="A42719" s="2" t="str">
        <f t="shared" si="1329"/>
        <v>99999</v>
      </c>
      <c r="B42719" s="2" t="str">
        <f>"24590"</f>
        <v>24590</v>
      </c>
      <c r="C42719" s="1">
        <v>8.9493291168168994E-5</v>
      </c>
      <c r="D42719" s="1">
        <v>2.2764040101133E-5</v>
      </c>
      <c r="E42719" s="1">
        <v>0</v>
      </c>
      <c r="F42719" s="1">
        <v>8.3070087376798806E-5</v>
      </c>
    </row>
    <row r="42720" spans="1:6" x14ac:dyDescent="0.25">
      <c r="A42720" s="2" t="str">
        <f t="shared" si="1329"/>
        <v>99999</v>
      </c>
      <c r="B42720" s="2" t="str">
        <f>"24577"</f>
        <v>24577</v>
      </c>
      <c r="C42720" s="1">
        <v>3.08860992690144E-4</v>
      </c>
      <c r="D42720" s="1">
        <v>1.10784995158847E-4</v>
      </c>
      <c r="E42720" s="1">
        <v>1.3036619865201299E-5</v>
      </c>
      <c r="F42720" s="1">
        <v>2.89103801098176E-4</v>
      </c>
    </row>
    <row r="42721" spans="1:6" x14ac:dyDescent="0.25">
      <c r="A42721" s="2" t="str">
        <f t="shared" si="1329"/>
        <v>99999</v>
      </c>
      <c r="B42721" s="2" t="str">
        <f>"24628"</f>
        <v>24628</v>
      </c>
      <c r="C42721" s="1">
        <v>7.63967119728272E-7</v>
      </c>
      <c r="D42721" s="1">
        <v>1.51760267340886E-6</v>
      </c>
      <c r="E42721" s="1">
        <v>0</v>
      </c>
      <c r="F42721" s="1">
        <v>7.9588107666394099E-7</v>
      </c>
    </row>
    <row r="42722" spans="1:6" x14ac:dyDescent="0.25">
      <c r="A42722" s="2" t="str">
        <f t="shared" si="1329"/>
        <v>99999</v>
      </c>
      <c r="B42722" s="2" t="str">
        <f>"24594"</f>
        <v>24594</v>
      </c>
      <c r="C42722" s="1">
        <v>2.9903855829363701E-5</v>
      </c>
      <c r="D42722" s="1">
        <v>1.3658424060679801E-5</v>
      </c>
      <c r="E42722" s="1">
        <v>0</v>
      </c>
      <c r="F42722" s="1">
        <v>2.8154293086986899E-5</v>
      </c>
    </row>
    <row r="42723" spans="1:6" x14ac:dyDescent="0.25">
      <c r="A42723" s="2" t="str">
        <f t="shared" si="1329"/>
        <v>99999</v>
      </c>
      <c r="B42723" s="2" t="str">
        <f>"24473"</f>
        <v>24473</v>
      </c>
      <c r="C42723" s="1">
        <v>5.4678218140552002E-5</v>
      </c>
      <c r="D42723" s="1">
        <v>9.1056160404532095E-6</v>
      </c>
      <c r="E42723" s="1">
        <v>8.69107991013423E-6</v>
      </c>
      <c r="F42723" s="1">
        <v>5.0637933502743201E-5</v>
      </c>
    </row>
    <row r="42724" spans="1:6" x14ac:dyDescent="0.25">
      <c r="A42724" s="2" t="str">
        <f t="shared" si="1329"/>
        <v>99999</v>
      </c>
      <c r="B42724" s="2" t="str">
        <f>"24433"</f>
        <v>24433</v>
      </c>
      <c r="C42724" s="1">
        <v>1.4297098954914801E-5</v>
      </c>
      <c r="D42724" s="1">
        <v>1.51760267340886E-6</v>
      </c>
      <c r="E42724" s="1">
        <v>0</v>
      </c>
      <c r="F42724" s="1">
        <v>1.3132037764955001E-5</v>
      </c>
    </row>
    <row r="42725" spans="1:6" x14ac:dyDescent="0.25">
      <c r="A42725" s="2" t="str">
        <f t="shared" si="1329"/>
        <v>99999</v>
      </c>
      <c r="B42725" s="2" t="str">
        <f>"24219"</f>
        <v>24219</v>
      </c>
      <c r="C42725" s="1">
        <v>4.9112171982531698E-5</v>
      </c>
      <c r="D42725" s="1">
        <v>4.5528080202265997E-6</v>
      </c>
      <c r="E42725" s="1">
        <v>0</v>
      </c>
      <c r="F42725" s="1">
        <v>4.5066765966095603E-5</v>
      </c>
    </row>
    <row r="42726" spans="1:6" x14ac:dyDescent="0.25">
      <c r="A42726" s="2" t="str">
        <f t="shared" si="1329"/>
        <v>99999</v>
      </c>
      <c r="B42726" s="2" t="str">
        <f>"24171"</f>
        <v>24171</v>
      </c>
      <c r="C42726" s="1">
        <v>4.5292336383890398E-4</v>
      </c>
      <c r="D42726" s="1">
        <v>3.39942998843586E-4</v>
      </c>
      <c r="E42726" s="1">
        <v>1.6078497833748299E-4</v>
      </c>
      <c r="F42726" s="1">
        <v>4.3882892864558002E-4</v>
      </c>
    </row>
    <row r="42727" spans="1:6" x14ac:dyDescent="0.25">
      <c r="A42727" s="2" t="str">
        <f t="shared" si="1329"/>
        <v>99999</v>
      </c>
      <c r="B42727" s="2" t="str">
        <f>"24313"</f>
        <v>24313</v>
      </c>
      <c r="C42727" s="1">
        <v>3.8416632306335898E-5</v>
      </c>
      <c r="D42727" s="1">
        <v>1.5176026734088599E-5</v>
      </c>
      <c r="E42727" s="1">
        <v>4.3455399550671099E-6</v>
      </c>
      <c r="F42727" s="1">
        <v>3.6113103853626299E-5</v>
      </c>
    </row>
    <row r="42728" spans="1:6" x14ac:dyDescent="0.25">
      <c r="A42728" s="2" t="str">
        <f t="shared" si="1329"/>
        <v>99999</v>
      </c>
      <c r="B42728" s="2" t="str">
        <f>"24277"</f>
        <v>24277</v>
      </c>
      <c r="C42728" s="1">
        <v>2.8146731453988701E-4</v>
      </c>
      <c r="D42728" s="1">
        <v>3.0959094537540897E-4</v>
      </c>
      <c r="E42728" s="1">
        <v>3.8240751604590601E-4</v>
      </c>
      <c r="F42728" s="1">
        <v>2.8562182138777101E-4</v>
      </c>
    </row>
    <row r="42729" spans="1:6" x14ac:dyDescent="0.25">
      <c r="A42729" s="2" t="str">
        <f t="shared" si="1329"/>
        <v>99999</v>
      </c>
      <c r="B42729" s="2" t="str">
        <f>"24269"</f>
        <v>24269</v>
      </c>
      <c r="C42729" s="1">
        <v>1.3533131835186499E-5</v>
      </c>
      <c r="D42729" s="1">
        <v>7.5880133670443404E-6</v>
      </c>
      <c r="E42729" s="1">
        <v>8.69107991013423E-6</v>
      </c>
      <c r="F42729" s="1">
        <v>1.3032552630372001E-5</v>
      </c>
    </row>
    <row r="42730" spans="1:6" x14ac:dyDescent="0.25">
      <c r="A42730" s="2" t="str">
        <f t="shared" si="1329"/>
        <v>99999</v>
      </c>
      <c r="B42730" s="2" t="str">
        <f>"24328"</f>
        <v>24328</v>
      </c>
      <c r="C42730" s="1">
        <v>1.30092686673728E-4</v>
      </c>
      <c r="D42730" s="1">
        <v>8.65033523843055E-5</v>
      </c>
      <c r="E42730" s="1">
        <v>4.3455399550671099E-6</v>
      </c>
      <c r="F42730" s="1">
        <v>1.2435641822874E-4</v>
      </c>
    </row>
    <row r="42731" spans="1:6" x14ac:dyDescent="0.25">
      <c r="A42731" s="2" t="str">
        <f t="shared" si="1329"/>
        <v>99999</v>
      </c>
      <c r="B42731" s="2" t="str">
        <f>"24141"</f>
        <v>24141</v>
      </c>
      <c r="C42731" s="1">
        <v>8.1853619970886298E-6</v>
      </c>
      <c r="D42731" s="1">
        <v>3.0352053468177301E-6</v>
      </c>
      <c r="E42731" s="1">
        <v>0</v>
      </c>
      <c r="F42731" s="1">
        <v>7.6603553628904299E-6</v>
      </c>
    </row>
    <row r="42732" spans="1:6" x14ac:dyDescent="0.25">
      <c r="A42732" s="2" t="str">
        <f t="shared" si="1329"/>
        <v>99999</v>
      </c>
      <c r="B42732" s="2" t="str">
        <f>"24149"</f>
        <v>24149</v>
      </c>
      <c r="C42732" s="1">
        <v>4.70385469432693E-5</v>
      </c>
      <c r="D42732" s="1">
        <v>1.3658424060679801E-5</v>
      </c>
      <c r="E42732" s="1">
        <v>8.69107991013423E-6</v>
      </c>
      <c r="F42732" s="1">
        <v>4.39724294856827E-5</v>
      </c>
    </row>
    <row r="42733" spans="1:6" x14ac:dyDescent="0.25">
      <c r="A42733" s="2" t="str">
        <f t="shared" si="1329"/>
        <v>99999</v>
      </c>
      <c r="B42733" s="2" t="str">
        <f>"24239"</f>
        <v>24239</v>
      </c>
      <c r="C42733" s="1">
        <v>3.27414479883545E-6</v>
      </c>
      <c r="D42733" s="1">
        <v>3.0352053468177301E-6</v>
      </c>
      <c r="E42733" s="1">
        <v>0</v>
      </c>
      <c r="F42733" s="1">
        <v>3.1835243066557602E-6</v>
      </c>
    </row>
    <row r="42734" spans="1:6" x14ac:dyDescent="0.25">
      <c r="A42734" s="2" t="str">
        <f t="shared" si="1329"/>
        <v>99999</v>
      </c>
      <c r="B42734" s="2" t="str">
        <f>"24256"</f>
        <v>24256</v>
      </c>
      <c r="C42734" s="1">
        <v>1.5410308186518799E-4</v>
      </c>
      <c r="D42734" s="1">
        <v>3.7940066835221703E-5</v>
      </c>
      <c r="E42734" s="1">
        <v>9.5601879011476503E-5</v>
      </c>
      <c r="F42734" s="1">
        <v>1.45148811356586E-4</v>
      </c>
    </row>
    <row r="42735" spans="1:6" x14ac:dyDescent="0.25">
      <c r="A42735" s="2" t="str">
        <f t="shared" si="1329"/>
        <v>99999</v>
      </c>
      <c r="B42735" s="2" t="str">
        <f>"23970"</f>
        <v>23970</v>
      </c>
      <c r="C42735" s="1">
        <v>4.6067217319614799E-4</v>
      </c>
      <c r="D42735" s="1">
        <v>9.4394886286031598E-4</v>
      </c>
      <c r="E42735" s="1">
        <v>4.6497277519218097E-4</v>
      </c>
      <c r="F42735" s="1">
        <v>4.92451416185813E-4</v>
      </c>
    </row>
    <row r="42736" spans="1:6" x14ac:dyDescent="0.25">
      <c r="A42736" s="2" t="str">
        <f t="shared" si="1329"/>
        <v>99999</v>
      </c>
      <c r="B42736" s="2" t="str">
        <f>"23894"</f>
        <v>23894</v>
      </c>
      <c r="C42736" s="1">
        <v>5.1294935181755401E-6</v>
      </c>
      <c r="D42736" s="1">
        <v>0</v>
      </c>
      <c r="E42736" s="1">
        <v>0</v>
      </c>
      <c r="F42736" s="1">
        <v>4.6758013254006498E-6</v>
      </c>
    </row>
    <row r="42737" spans="1:6" x14ac:dyDescent="0.25">
      <c r="A42737" s="2" t="str">
        <f t="shared" si="1329"/>
        <v>99999</v>
      </c>
      <c r="B42737" s="2" t="str">
        <f>"23924"</f>
        <v>23924</v>
      </c>
      <c r="C42737" s="1">
        <v>3.5273453299453902E-4</v>
      </c>
      <c r="D42737" s="1">
        <v>3.8547107904585203E-4</v>
      </c>
      <c r="E42737" s="1">
        <v>2.0858591784322101E-4</v>
      </c>
      <c r="F42737" s="1">
        <v>3.5158046561629502E-4</v>
      </c>
    </row>
    <row r="42738" spans="1:6" x14ac:dyDescent="0.25">
      <c r="A42738" s="2" t="str">
        <f t="shared" si="1329"/>
        <v>99999</v>
      </c>
      <c r="B42738" s="2" t="str">
        <f>"23920"</f>
        <v>23920</v>
      </c>
      <c r="C42738" s="1">
        <v>1.72220016418744E-4</v>
      </c>
      <c r="D42738" s="1">
        <v>3.0352053468177301E-5</v>
      </c>
      <c r="E42738" s="1">
        <v>1.7382159820268399E-5</v>
      </c>
      <c r="F42738" s="1">
        <v>1.5937518560195401E-4</v>
      </c>
    </row>
    <row r="42739" spans="1:6" x14ac:dyDescent="0.25">
      <c r="A42739" s="2" t="str">
        <f t="shared" si="1329"/>
        <v>99999</v>
      </c>
      <c r="B42739" s="2" t="str">
        <f>"23893"</f>
        <v>23893</v>
      </c>
      <c r="C42739" s="1">
        <v>2.8157645269984799E-5</v>
      </c>
      <c r="D42739" s="1">
        <v>3.0352053468177301E-6</v>
      </c>
      <c r="E42739" s="1">
        <v>4.3455399550671099E-6</v>
      </c>
      <c r="F42739" s="1">
        <v>2.5965620126160999E-5</v>
      </c>
    </row>
    <row r="42740" spans="1:6" x14ac:dyDescent="0.25">
      <c r="A42740" s="2" t="str">
        <f t="shared" si="1329"/>
        <v>99999</v>
      </c>
      <c r="B42740" s="2" t="str">
        <f>"24091"</f>
        <v>24091</v>
      </c>
      <c r="C42740" s="1">
        <v>4.1352448809291702E-4</v>
      </c>
      <c r="D42740" s="1">
        <v>4.5831600736947797E-4</v>
      </c>
      <c r="E42740" s="1">
        <v>2.1293145779828799E-4</v>
      </c>
      <c r="F42740" s="1">
        <v>4.1186845717358899E-4</v>
      </c>
    </row>
    <row r="42741" spans="1:6" x14ac:dyDescent="0.25">
      <c r="A42741" s="2" t="str">
        <f t="shared" si="1329"/>
        <v>99999</v>
      </c>
      <c r="B42741" s="2" t="str">
        <f>"24076"</f>
        <v>24076</v>
      </c>
      <c r="C42741" s="1">
        <v>6.1772198538028795E-5</v>
      </c>
      <c r="D42741" s="1">
        <v>1.66936294074975E-5</v>
      </c>
      <c r="E42741" s="1">
        <v>4.3455399550671099E-6</v>
      </c>
      <c r="F42741" s="1">
        <v>5.7502407788969699E-5</v>
      </c>
    </row>
    <row r="42742" spans="1:6" x14ac:dyDescent="0.25">
      <c r="A42742" s="2" t="str">
        <f t="shared" si="1329"/>
        <v>99999</v>
      </c>
      <c r="B42742" s="2" t="str">
        <f>"23879"</f>
        <v>23879</v>
      </c>
      <c r="C42742" s="1">
        <v>3.74343888666853E-5</v>
      </c>
      <c r="D42742" s="1">
        <v>2.2764040101133E-5</v>
      </c>
      <c r="E42742" s="1">
        <v>4.3455399550671099E-6</v>
      </c>
      <c r="F42742" s="1">
        <v>3.5715163315294298E-5</v>
      </c>
    </row>
    <row r="42743" spans="1:6" x14ac:dyDescent="0.25">
      <c r="A42743" s="2" t="str">
        <f t="shared" si="1329"/>
        <v>99999</v>
      </c>
      <c r="B42743" s="2" t="str">
        <f>"23857"</f>
        <v>23857</v>
      </c>
      <c r="C42743" s="1">
        <v>3.09952374289756E-5</v>
      </c>
      <c r="D42743" s="1">
        <v>1.21408213872709E-5</v>
      </c>
      <c r="E42743" s="1">
        <v>8.69107991013423E-6</v>
      </c>
      <c r="F42743" s="1">
        <v>2.9248629567399801E-5</v>
      </c>
    </row>
    <row r="42744" spans="1:6" x14ac:dyDescent="0.25">
      <c r="A42744" s="2" t="str">
        <f t="shared" si="1329"/>
        <v>99999</v>
      </c>
      <c r="B42744" s="2" t="str">
        <f>"23845"</f>
        <v>23845</v>
      </c>
      <c r="C42744" s="1">
        <v>2.52109149510329E-5</v>
      </c>
      <c r="D42744" s="1">
        <v>7.5880133670443404E-6</v>
      </c>
      <c r="E42744" s="1">
        <v>4.3455399550671099E-6</v>
      </c>
      <c r="F42744" s="1">
        <v>2.3577976896169201E-5</v>
      </c>
    </row>
    <row r="42745" spans="1:6" x14ac:dyDescent="0.25">
      <c r="A42745" s="2" t="str">
        <f t="shared" si="1329"/>
        <v>99999</v>
      </c>
      <c r="B42745" s="2" t="str">
        <f>"23440"</f>
        <v>23440</v>
      </c>
      <c r="C42745" s="1">
        <v>0</v>
      </c>
      <c r="D42745" s="1">
        <v>1.51760267340886E-6</v>
      </c>
      <c r="E42745" s="1">
        <v>0</v>
      </c>
      <c r="F42745" s="1">
        <v>9.9485134582992598E-8</v>
      </c>
    </row>
    <row r="42746" spans="1:6" x14ac:dyDescent="0.25">
      <c r="A42746" s="2" t="str">
        <f t="shared" si="1329"/>
        <v>99999</v>
      </c>
      <c r="B42746" s="2" t="str">
        <f>"23426"</f>
        <v>23426</v>
      </c>
      <c r="C42746" s="1">
        <v>1.10229541560793E-5</v>
      </c>
      <c r="D42746" s="1">
        <v>0</v>
      </c>
      <c r="E42746" s="1">
        <v>0</v>
      </c>
      <c r="F42746" s="1">
        <v>1.0047998592882199E-5</v>
      </c>
    </row>
    <row r="42747" spans="1:6" x14ac:dyDescent="0.25">
      <c r="A42747" s="2" t="str">
        <f t="shared" si="1329"/>
        <v>99999</v>
      </c>
      <c r="B42747" s="2" t="str">
        <f>"23422"</f>
        <v>23422</v>
      </c>
      <c r="C42747" s="1">
        <v>0</v>
      </c>
      <c r="D42747" s="1">
        <v>1.51760267340886E-6</v>
      </c>
      <c r="E42747" s="1">
        <v>0</v>
      </c>
      <c r="F42747" s="1">
        <v>9.9485134582992598E-8</v>
      </c>
    </row>
    <row r="42748" spans="1:6" x14ac:dyDescent="0.25">
      <c r="A42748" s="2" t="str">
        <f t="shared" si="1329"/>
        <v>99999</v>
      </c>
      <c r="B42748" s="2" t="str">
        <f>"23404"</f>
        <v>23404</v>
      </c>
      <c r="C42748" s="1">
        <v>1.20051975957299E-6</v>
      </c>
      <c r="D42748" s="1">
        <v>4.5528080202265997E-6</v>
      </c>
      <c r="E42748" s="1">
        <v>0</v>
      </c>
      <c r="F42748" s="1">
        <v>1.39279188416189E-6</v>
      </c>
    </row>
    <row r="42749" spans="1:6" x14ac:dyDescent="0.25">
      <c r="A42749" s="2" t="str">
        <f t="shared" si="1329"/>
        <v>99999</v>
      </c>
      <c r="B42749" s="2" t="str">
        <f>"23356"</f>
        <v>23356</v>
      </c>
      <c r="C42749" s="1">
        <v>1.04663495402773E-4</v>
      </c>
      <c r="D42749" s="1">
        <v>6.0704106936354696E-6</v>
      </c>
      <c r="E42749" s="1">
        <v>4.3455399550671099E-6</v>
      </c>
      <c r="F42749" s="1">
        <v>9.5903669738004902E-5</v>
      </c>
    </row>
    <row r="42750" spans="1:6" x14ac:dyDescent="0.25">
      <c r="A42750" s="2" t="str">
        <f t="shared" si="1329"/>
        <v>99999</v>
      </c>
      <c r="B42750" s="2" t="str">
        <f>"23316"</f>
        <v>23316</v>
      </c>
      <c r="C42750" s="1">
        <v>0</v>
      </c>
      <c r="D42750" s="1">
        <v>1.51760267340886E-6</v>
      </c>
      <c r="E42750" s="1">
        <v>0</v>
      </c>
      <c r="F42750" s="1">
        <v>9.9485134582992598E-8</v>
      </c>
    </row>
    <row r="42751" spans="1:6" x14ac:dyDescent="0.25">
      <c r="A42751" s="2" t="str">
        <f t="shared" si="1329"/>
        <v>99999</v>
      </c>
      <c r="B42751" s="2" t="str">
        <f>"23307"</f>
        <v>23307</v>
      </c>
      <c r="C42751" s="1">
        <v>1.9099177993206801E-5</v>
      </c>
      <c r="D42751" s="1">
        <v>7.5880133670443404E-6</v>
      </c>
      <c r="E42751" s="1">
        <v>0</v>
      </c>
      <c r="F42751" s="1">
        <v>1.7907324224938601E-5</v>
      </c>
    </row>
    <row r="42752" spans="1:6" x14ac:dyDescent="0.25">
      <c r="A42752" s="2" t="str">
        <f t="shared" si="1329"/>
        <v>99999</v>
      </c>
      <c r="B42752" s="2" t="str">
        <f>"22845"</f>
        <v>22845</v>
      </c>
      <c r="C42752" s="1">
        <v>3.05586847891308E-6</v>
      </c>
      <c r="D42752" s="1">
        <v>1.51760267340886E-6</v>
      </c>
      <c r="E42752" s="1">
        <v>4.3455399550671099E-6</v>
      </c>
      <c r="F42752" s="1">
        <v>2.9845540374897699E-6</v>
      </c>
    </row>
    <row r="42753" spans="1:6" x14ac:dyDescent="0.25">
      <c r="A42753" s="2" t="str">
        <f t="shared" si="1329"/>
        <v>99999</v>
      </c>
      <c r="B42753" s="2" t="str">
        <f>"23015"</f>
        <v>23015</v>
      </c>
      <c r="C42753" s="1">
        <v>2.5974882070761199E-5</v>
      </c>
      <c r="D42753" s="1">
        <v>4.5528080202265997E-6</v>
      </c>
      <c r="E42753" s="1">
        <v>0</v>
      </c>
      <c r="F42753" s="1">
        <v>2.3975917434501198E-5</v>
      </c>
    </row>
    <row r="42754" spans="1:6" x14ac:dyDescent="0.25">
      <c r="A42754" s="2" t="str">
        <f t="shared" si="1329"/>
        <v>99999</v>
      </c>
      <c r="B42754" s="2" t="str">
        <f>"23043"</f>
        <v>23043</v>
      </c>
      <c r="C42754" s="1">
        <v>1.0662798228207401E-4</v>
      </c>
      <c r="D42754" s="1">
        <v>9.2573763077941E-5</v>
      </c>
      <c r="E42754" s="1">
        <v>1.08638498876677E-4</v>
      </c>
      <c r="F42754" s="1">
        <v>1.05752698061721E-4</v>
      </c>
    </row>
    <row r="42755" spans="1:6" x14ac:dyDescent="0.25">
      <c r="A42755" s="2" t="str">
        <f t="shared" si="1329"/>
        <v>99999</v>
      </c>
      <c r="B42755" s="2" t="str">
        <f>"23024"</f>
        <v>23024</v>
      </c>
      <c r="C42755" s="1">
        <v>3.8012821114479498E-4</v>
      </c>
      <c r="D42755" s="1">
        <v>6.0704106936354703E-5</v>
      </c>
      <c r="E42755" s="1">
        <v>4.3455399550671099E-6</v>
      </c>
      <c r="F42755" s="1">
        <v>3.5058561427046597E-4</v>
      </c>
    </row>
    <row r="42756" spans="1:6" x14ac:dyDescent="0.25">
      <c r="A42756" s="2" t="str">
        <f t="shared" si="1329"/>
        <v>99999</v>
      </c>
      <c r="B42756" s="2" t="str">
        <f>"22733"</f>
        <v>22733</v>
      </c>
      <c r="C42756" s="1">
        <v>2.4010395191459901E-5</v>
      </c>
      <c r="D42756" s="1">
        <v>7.5880133670443404E-6</v>
      </c>
      <c r="E42756" s="1">
        <v>0</v>
      </c>
      <c r="F42756" s="1">
        <v>2.23841552811733E-5</v>
      </c>
    </row>
    <row r="42757" spans="1:6" x14ac:dyDescent="0.25">
      <c r="A42757" s="2" t="str">
        <f t="shared" si="1329"/>
        <v>99999</v>
      </c>
      <c r="B42757" s="2" t="str">
        <f>"22645"</f>
        <v>22645</v>
      </c>
      <c r="C42757" s="1">
        <v>7.63967119728272E-7</v>
      </c>
      <c r="D42757" s="1">
        <v>0</v>
      </c>
      <c r="E42757" s="1">
        <v>0</v>
      </c>
      <c r="F42757" s="1">
        <v>6.9639594208094799E-7</v>
      </c>
    </row>
    <row r="42758" spans="1:6" x14ac:dyDescent="0.25">
      <c r="A42758" s="2" t="str">
        <f t="shared" si="1329"/>
        <v>99999</v>
      </c>
      <c r="B42758" s="2" t="str">
        <f>"22657"</f>
        <v>22657</v>
      </c>
      <c r="C42758" s="1">
        <v>5.2670075997266299E-4</v>
      </c>
      <c r="D42758" s="1">
        <v>3.9912950310653199E-4</v>
      </c>
      <c r="E42758" s="1">
        <v>8.0827043164248297E-4</v>
      </c>
      <c r="F42758" s="1">
        <v>5.2478408492528602E-4</v>
      </c>
    </row>
    <row r="42759" spans="1:6" x14ac:dyDescent="0.25">
      <c r="A42759" s="2" t="str">
        <f t="shared" si="1329"/>
        <v>99999</v>
      </c>
      <c r="B42759" s="2" t="str">
        <f>"22548"</f>
        <v>22548</v>
      </c>
      <c r="C42759" s="1">
        <v>0</v>
      </c>
      <c r="D42759" s="1">
        <v>0</v>
      </c>
      <c r="E42759" s="1">
        <v>4.3455399550671099E-6</v>
      </c>
      <c r="F42759" s="1">
        <v>9.9485134582992598E-8</v>
      </c>
    </row>
    <row r="42760" spans="1:6" x14ac:dyDescent="0.25">
      <c r="A42760" s="2" t="str">
        <f t="shared" si="1329"/>
        <v>99999</v>
      </c>
      <c r="B42760" s="2" t="str">
        <f>"22504"</f>
        <v>22504</v>
      </c>
      <c r="C42760" s="1">
        <v>2.05179740727021E-5</v>
      </c>
      <c r="D42760" s="1">
        <v>6.0704106936354696E-6</v>
      </c>
      <c r="E42760" s="1">
        <v>4.3455399550671099E-6</v>
      </c>
      <c r="F42760" s="1">
        <v>1.92006309745175E-5</v>
      </c>
    </row>
    <row r="42761" spans="1:6" x14ac:dyDescent="0.25">
      <c r="A42761" s="2" t="str">
        <f t="shared" si="1329"/>
        <v>99999</v>
      </c>
      <c r="B42761" s="2" t="str">
        <f>"22503"</f>
        <v>22503</v>
      </c>
      <c r="C42761" s="1">
        <v>2.5440105086951402E-4</v>
      </c>
      <c r="D42761" s="1">
        <v>8.4985749710896595E-5</v>
      </c>
      <c r="E42761" s="1">
        <v>1.7382159820268399E-5</v>
      </c>
      <c r="F42761" s="1">
        <v>2.3786895678793501E-4</v>
      </c>
    </row>
    <row r="42762" spans="1:6" x14ac:dyDescent="0.25">
      <c r="A42762" s="2" t="str">
        <f t="shared" si="1329"/>
        <v>99999</v>
      </c>
      <c r="B42762" s="2" t="str">
        <f>"22428"</f>
        <v>22428</v>
      </c>
      <c r="C42762" s="1">
        <v>0</v>
      </c>
      <c r="D42762" s="1">
        <v>1.51760267340886E-6</v>
      </c>
      <c r="E42762" s="1">
        <v>0</v>
      </c>
      <c r="F42762" s="1">
        <v>9.9485134582992598E-8</v>
      </c>
    </row>
    <row r="42763" spans="1:6" x14ac:dyDescent="0.25">
      <c r="A42763" s="2" t="str">
        <f t="shared" si="1329"/>
        <v>99999</v>
      </c>
      <c r="B42763" s="2" t="str">
        <f>"21641"</f>
        <v>21641</v>
      </c>
      <c r="C42763" s="1">
        <v>6.4391514377097196E-6</v>
      </c>
      <c r="D42763" s="1">
        <v>0</v>
      </c>
      <c r="E42763" s="1">
        <v>1.3036619865201299E-5</v>
      </c>
      <c r="F42763" s="1">
        <v>6.1680783441455402E-6</v>
      </c>
    </row>
    <row r="42764" spans="1:6" x14ac:dyDescent="0.25">
      <c r="A42764" s="2" t="str">
        <f t="shared" si="1329"/>
        <v>99999</v>
      </c>
      <c r="B42764" s="2" t="str">
        <f>"21657"</f>
        <v>21657</v>
      </c>
      <c r="C42764" s="1">
        <v>6.9848422375156299E-6</v>
      </c>
      <c r="D42764" s="1">
        <v>0</v>
      </c>
      <c r="E42764" s="1">
        <v>0</v>
      </c>
      <c r="F42764" s="1">
        <v>6.3670486133115203E-6</v>
      </c>
    </row>
    <row r="42765" spans="1:6" x14ac:dyDescent="0.25">
      <c r="A42765" s="2" t="str">
        <f t="shared" si="1329"/>
        <v>99999</v>
      </c>
      <c r="B42765" s="2" t="str">
        <f>"21562"</f>
        <v>21562</v>
      </c>
      <c r="C42765" s="1">
        <v>1.6370723994177199E-6</v>
      </c>
      <c r="D42765" s="1">
        <v>0</v>
      </c>
      <c r="E42765" s="1">
        <v>0</v>
      </c>
      <c r="F42765" s="1">
        <v>1.4922770187448801E-6</v>
      </c>
    </row>
    <row r="42766" spans="1:6" x14ac:dyDescent="0.25">
      <c r="A42766" s="2" t="str">
        <f t="shared" si="1329"/>
        <v>99999</v>
      </c>
      <c r="B42766" s="2" t="str">
        <f>"49891"</f>
        <v>49891</v>
      </c>
      <c r="C42766" s="1">
        <v>2.9139888709635502E-5</v>
      </c>
      <c r="D42766" s="1">
        <v>3.0352053468177301E-6</v>
      </c>
      <c r="E42766" s="1">
        <v>4.3455399550671099E-6</v>
      </c>
      <c r="F42766" s="1">
        <v>2.6860986337408E-5</v>
      </c>
    </row>
    <row r="42767" spans="1:6" x14ac:dyDescent="0.25">
      <c r="A42767" s="2" t="str">
        <f t="shared" si="1329"/>
        <v>99999</v>
      </c>
      <c r="B42767" s="2" t="str">
        <f>"49878"</f>
        <v>49878</v>
      </c>
      <c r="C42767" s="1">
        <v>8.9493291168169008E-6</v>
      </c>
      <c r="D42767" s="1">
        <v>1.51760267340886E-6</v>
      </c>
      <c r="E42767" s="1">
        <v>1.9120375802295301E-4</v>
      </c>
      <c r="F42767" s="1">
        <v>1.263461209204E-5</v>
      </c>
    </row>
    <row r="42768" spans="1:6" x14ac:dyDescent="0.25">
      <c r="A42768" s="2" t="str">
        <f t="shared" si="1329"/>
        <v>99999</v>
      </c>
      <c r="B42768" s="2" t="str">
        <f>"49854"</f>
        <v>49854</v>
      </c>
      <c r="C42768" s="1">
        <v>4.1472500785248999E-4</v>
      </c>
      <c r="D42768" s="1">
        <v>4.85632855490838E-4</v>
      </c>
      <c r="E42768" s="1">
        <v>2.3900469752869099E-4</v>
      </c>
      <c r="F42768" s="1">
        <v>4.1535043688399397E-4</v>
      </c>
    </row>
    <row r="42769" spans="1:6" x14ac:dyDescent="0.25">
      <c r="A42769" s="2" t="str">
        <f t="shared" si="1329"/>
        <v>99999</v>
      </c>
      <c r="B42769" s="2" t="str">
        <f>"49853"</f>
        <v>49853</v>
      </c>
      <c r="C42769" s="1">
        <v>8.7310527968945299E-5</v>
      </c>
      <c r="D42769" s="1">
        <v>5.3116093569310399E-5</v>
      </c>
      <c r="E42769" s="1">
        <v>4.3455399550671099E-6</v>
      </c>
      <c r="F42769" s="1">
        <v>8.3169572511381797E-5</v>
      </c>
    </row>
    <row r="42770" spans="1:6" x14ac:dyDescent="0.25">
      <c r="A42770" s="2" t="str">
        <f t="shared" ref="A42770:A42833" si="1330">"99999"</f>
        <v>99999</v>
      </c>
      <c r="B42770" s="2" t="str">
        <f>"49791"</f>
        <v>49791</v>
      </c>
      <c r="C42770" s="1">
        <v>4.3655263984472599E-6</v>
      </c>
      <c r="D42770" s="1">
        <v>1.51760267340886E-6</v>
      </c>
      <c r="E42770" s="1">
        <v>0</v>
      </c>
      <c r="F42770" s="1">
        <v>4.07889051790269E-6</v>
      </c>
    </row>
    <row r="42771" spans="1:6" x14ac:dyDescent="0.25">
      <c r="A42771" s="2" t="str">
        <f t="shared" si="1330"/>
        <v>99999</v>
      </c>
      <c r="B42771" s="2" t="str">
        <f>"49836"</f>
        <v>49836</v>
      </c>
      <c r="C42771" s="1">
        <v>6.3300132777485398E-5</v>
      </c>
      <c r="D42771" s="1">
        <v>1.66936294074975E-5</v>
      </c>
      <c r="E42771" s="1">
        <v>1.3036619865201299E-5</v>
      </c>
      <c r="F42771" s="1">
        <v>5.90941699422976E-5</v>
      </c>
    </row>
    <row r="42772" spans="1:6" x14ac:dyDescent="0.25">
      <c r="A42772" s="2" t="str">
        <f t="shared" si="1330"/>
        <v>99999</v>
      </c>
      <c r="B42772" s="2" t="str">
        <f>"49795"</f>
        <v>49795</v>
      </c>
      <c r="C42772" s="1">
        <v>1.4624513434798299E-4</v>
      </c>
      <c r="D42772" s="1">
        <v>8.1950544364078906E-5</v>
      </c>
      <c r="E42772" s="1">
        <v>6.9528639281073799E-5</v>
      </c>
      <c r="F42772" s="1">
        <v>1.40274039762019E-4</v>
      </c>
    </row>
    <row r="42773" spans="1:6" x14ac:dyDescent="0.25">
      <c r="A42773" s="2" t="str">
        <f t="shared" si="1330"/>
        <v>99999</v>
      </c>
      <c r="B42773" s="2" t="str">
        <f>"49779"</f>
        <v>49779</v>
      </c>
      <c r="C42773" s="1">
        <v>2.9674665693445298E-4</v>
      </c>
      <c r="D42773" s="1">
        <v>4.2037594053425601E-4</v>
      </c>
      <c r="E42773" s="1">
        <v>2.3031361761855699E-4</v>
      </c>
      <c r="F42773" s="1">
        <v>3.0333017534354398E-4</v>
      </c>
    </row>
    <row r="42774" spans="1:6" x14ac:dyDescent="0.25">
      <c r="A42774" s="2" t="str">
        <f t="shared" si="1330"/>
        <v>99999</v>
      </c>
      <c r="B42774" s="2" t="str">
        <f>"49765"</f>
        <v>49765</v>
      </c>
      <c r="C42774" s="1">
        <v>2.89434400217053E-4</v>
      </c>
      <c r="D42774" s="1">
        <v>1.16855405852482E-4</v>
      </c>
      <c r="E42774" s="1">
        <v>5.6492019415872502E-5</v>
      </c>
      <c r="F42774" s="1">
        <v>2.7278823902656502E-4</v>
      </c>
    </row>
    <row r="42775" spans="1:6" x14ac:dyDescent="0.25">
      <c r="A42775" s="2" t="str">
        <f t="shared" si="1330"/>
        <v>99999</v>
      </c>
      <c r="B42775" s="2" t="str">
        <f>"49760"</f>
        <v>49760</v>
      </c>
      <c r="C42775" s="1">
        <v>5.0967520701871799E-5</v>
      </c>
      <c r="D42775" s="1">
        <v>2.1246437427724101E-5</v>
      </c>
      <c r="E42775" s="1">
        <v>5.21464794608054E-5</v>
      </c>
      <c r="F42775" s="1">
        <v>4.9046171349415299E-5</v>
      </c>
    </row>
    <row r="42776" spans="1:6" x14ac:dyDescent="0.25">
      <c r="A42776" s="2" t="str">
        <f t="shared" si="1330"/>
        <v>99999</v>
      </c>
      <c r="B42776" s="2" t="str">
        <f>"49749"</f>
        <v>49749</v>
      </c>
      <c r="C42776" s="1">
        <v>3.5797316467267598E-4</v>
      </c>
      <c r="D42776" s="1">
        <v>3.0807334270199999E-4</v>
      </c>
      <c r="E42776" s="1">
        <v>1.6947605824761699E-4</v>
      </c>
      <c r="F42776" s="1">
        <v>3.5038664400129999E-4</v>
      </c>
    </row>
    <row r="42777" spans="1:6" x14ac:dyDescent="0.25">
      <c r="A42777" s="2" t="str">
        <f t="shared" si="1330"/>
        <v>99999</v>
      </c>
      <c r="B42777" s="2" t="str">
        <f>"49935"</f>
        <v>49935</v>
      </c>
      <c r="C42777" s="1">
        <v>4.2716675808806502E-4</v>
      </c>
      <c r="D42777" s="1">
        <v>4.46175185982207E-4</v>
      </c>
      <c r="E42777" s="1">
        <v>2.6942347721416101E-4</v>
      </c>
      <c r="F42777" s="1">
        <v>4.2480152466937803E-4</v>
      </c>
    </row>
    <row r="42778" spans="1:6" x14ac:dyDescent="0.25">
      <c r="A42778" s="2" t="str">
        <f t="shared" si="1330"/>
        <v>99999</v>
      </c>
      <c r="B42778" s="2" t="str">
        <f>"49734"</f>
        <v>49734</v>
      </c>
      <c r="C42778" s="1">
        <v>1.4591771986809899E-4</v>
      </c>
      <c r="D42778" s="1">
        <v>6.3435791748490695E-4</v>
      </c>
      <c r="E42778" s="1">
        <v>8.69107991013423E-6</v>
      </c>
      <c r="F42778" s="1">
        <v>1.74795381462318E-4</v>
      </c>
    </row>
    <row r="42779" spans="1:6" x14ac:dyDescent="0.25">
      <c r="A42779" s="2" t="str">
        <f t="shared" si="1330"/>
        <v>99999</v>
      </c>
      <c r="B42779" s="2" t="str">
        <f>"49745"</f>
        <v>49745</v>
      </c>
      <c r="C42779" s="1">
        <v>7.48687777333706E-5</v>
      </c>
      <c r="D42779" s="1">
        <v>9.1056160404532095E-6</v>
      </c>
      <c r="E42779" s="1">
        <v>0</v>
      </c>
      <c r="F42779" s="1">
        <v>6.8843713131430906E-5</v>
      </c>
    </row>
    <row r="42780" spans="1:6" x14ac:dyDescent="0.25">
      <c r="A42780" s="2" t="str">
        <f t="shared" si="1330"/>
        <v>99999</v>
      </c>
      <c r="B42780" s="2" t="str">
        <f>"49735"</f>
        <v>49735</v>
      </c>
      <c r="C42780" s="1">
        <v>1.16133916014693E-3</v>
      </c>
      <c r="D42780" s="1">
        <v>1.7938063599692801E-3</v>
      </c>
      <c r="E42780" s="1">
        <v>1.4861746646329501E-3</v>
      </c>
      <c r="F42780" s="1">
        <v>1.2102366622021E-3</v>
      </c>
    </row>
    <row r="42781" spans="1:6" x14ac:dyDescent="0.25">
      <c r="A42781" s="2" t="str">
        <f t="shared" si="1330"/>
        <v>99999</v>
      </c>
      <c r="B42781" s="2" t="str">
        <f>"49690"</f>
        <v>49690</v>
      </c>
      <c r="C42781" s="1">
        <v>1.93174543131291E-5</v>
      </c>
      <c r="D42781" s="1">
        <v>3.0352053468177301E-6</v>
      </c>
      <c r="E42781" s="1">
        <v>0</v>
      </c>
      <c r="F42781" s="1">
        <v>1.7807839090355599E-5</v>
      </c>
    </row>
    <row r="42782" spans="1:6" x14ac:dyDescent="0.25">
      <c r="A42782" s="2" t="str">
        <f t="shared" si="1330"/>
        <v>99999</v>
      </c>
      <c r="B42782" s="2" t="str">
        <f>"49706"</f>
        <v>49706</v>
      </c>
      <c r="C42782" s="1">
        <v>2.9150802525631597E-4</v>
      </c>
      <c r="D42782" s="1">
        <v>7.8915339017261203E-5</v>
      </c>
      <c r="E42782" s="1">
        <v>1.4340281851721399E-4</v>
      </c>
      <c r="F42782" s="1">
        <v>2.7418103091072702E-4</v>
      </c>
    </row>
    <row r="42783" spans="1:6" x14ac:dyDescent="0.25">
      <c r="A42783" s="2" t="str">
        <f t="shared" si="1330"/>
        <v>99999</v>
      </c>
      <c r="B42783" s="2" t="str">
        <f>"49701"</f>
        <v>49701</v>
      </c>
      <c r="C42783" s="1">
        <v>7.5087054053293005E-5</v>
      </c>
      <c r="D42783" s="1">
        <v>1.7148910209520199E-4</v>
      </c>
      <c r="E42783" s="1">
        <v>2.60732397304027E-5</v>
      </c>
      <c r="F42783" s="1">
        <v>8.0284503608474996E-5</v>
      </c>
    </row>
    <row r="42784" spans="1:6" x14ac:dyDescent="0.25">
      <c r="A42784" s="2" t="str">
        <f t="shared" si="1330"/>
        <v>99999</v>
      </c>
      <c r="B42784" s="2" t="str">
        <f>"49645"</f>
        <v>49645</v>
      </c>
      <c r="C42784" s="1">
        <v>1.05645738842423E-4</v>
      </c>
      <c r="D42784" s="1">
        <v>5.6151298916128101E-5</v>
      </c>
      <c r="E42784" s="1">
        <v>5.6492019415872502E-5</v>
      </c>
      <c r="F42784" s="1">
        <v>1.01275867005486E-4</v>
      </c>
    </row>
    <row r="42785" spans="1:6" x14ac:dyDescent="0.25">
      <c r="A42785" s="2" t="str">
        <f t="shared" si="1330"/>
        <v>99999</v>
      </c>
      <c r="B42785" s="2" t="str">
        <f>"49642"</f>
        <v>49642</v>
      </c>
      <c r="C42785" s="1">
        <v>5.88254682190769E-5</v>
      </c>
      <c r="D42785" s="1">
        <v>1.5176026734088599E-5</v>
      </c>
      <c r="E42785" s="1">
        <v>9.5601879011476503E-5</v>
      </c>
      <c r="F42785" s="1">
        <v>5.6806011846888702E-5</v>
      </c>
    </row>
    <row r="42786" spans="1:6" x14ac:dyDescent="0.25">
      <c r="A42786" s="2" t="str">
        <f t="shared" si="1330"/>
        <v>99999</v>
      </c>
      <c r="B42786" s="2" t="str">
        <f>"49611"</f>
        <v>49611</v>
      </c>
      <c r="C42786" s="1">
        <v>1.09138159961181E-7</v>
      </c>
      <c r="D42786" s="1">
        <v>1.51760267340886E-6</v>
      </c>
      <c r="E42786" s="1">
        <v>0</v>
      </c>
      <c r="F42786" s="1">
        <v>1.9897026916598501E-7</v>
      </c>
    </row>
    <row r="42787" spans="1:6" x14ac:dyDescent="0.25">
      <c r="A42787" s="2" t="str">
        <f t="shared" si="1330"/>
        <v>99999</v>
      </c>
      <c r="B42787" s="2" t="str">
        <f>"49627"</f>
        <v>49627</v>
      </c>
      <c r="C42787" s="1">
        <v>1.09138159961181E-7</v>
      </c>
      <c r="D42787" s="1">
        <v>1.51760267340886E-6</v>
      </c>
      <c r="E42787" s="1">
        <v>0</v>
      </c>
      <c r="F42787" s="1">
        <v>1.9897026916598501E-7</v>
      </c>
    </row>
    <row r="42788" spans="1:6" x14ac:dyDescent="0.25">
      <c r="A42788" s="2" t="str">
        <f t="shared" si="1330"/>
        <v>99999</v>
      </c>
      <c r="B42788" s="2" t="str">
        <f>"49622"</f>
        <v>49622</v>
      </c>
      <c r="C42788" s="1">
        <v>1.70473805859365E-4</v>
      </c>
      <c r="D42788" s="1">
        <v>6.8292120303399095E-5</v>
      </c>
      <c r="E42788" s="1">
        <v>5.21464794608054E-5</v>
      </c>
      <c r="F42788" s="1">
        <v>1.6106643288986501E-4</v>
      </c>
    </row>
    <row r="42789" spans="1:6" x14ac:dyDescent="0.25">
      <c r="A42789" s="2" t="str">
        <f t="shared" si="1330"/>
        <v>99999</v>
      </c>
      <c r="B42789" s="2" t="str">
        <f>"49615"</f>
        <v>49615</v>
      </c>
      <c r="C42789" s="1">
        <v>3.1235341380890199E-4</v>
      </c>
      <c r="D42789" s="1">
        <v>2.30675606358148E-4</v>
      </c>
      <c r="E42789" s="1">
        <v>2.0858591784322101E-4</v>
      </c>
      <c r="F42789" s="1">
        <v>3.0462348209312298E-4</v>
      </c>
    </row>
    <row r="42790" spans="1:6" x14ac:dyDescent="0.25">
      <c r="A42790" s="2" t="str">
        <f t="shared" si="1330"/>
        <v>99999</v>
      </c>
      <c r="B42790" s="2" t="str">
        <f>"49316"</f>
        <v>49316</v>
      </c>
      <c r="C42790" s="1">
        <v>3.5906454627228697E-5</v>
      </c>
      <c r="D42790" s="1">
        <v>0</v>
      </c>
      <c r="E42790" s="1">
        <v>0</v>
      </c>
      <c r="F42790" s="1">
        <v>3.2730609277804499E-5</v>
      </c>
    </row>
    <row r="42791" spans="1:6" x14ac:dyDescent="0.25">
      <c r="A42791" s="2" t="str">
        <f t="shared" si="1330"/>
        <v>99999</v>
      </c>
      <c r="B42791" s="2" t="str">
        <f>"49304"</f>
        <v>49304</v>
      </c>
      <c r="C42791" s="1">
        <v>3.50551769795315E-4</v>
      </c>
      <c r="D42791" s="1">
        <v>2.2612279833792101E-4</v>
      </c>
      <c r="E42791" s="1">
        <v>3.1287887676483201E-4</v>
      </c>
      <c r="F42791" s="1">
        <v>3.4153246702341302E-4</v>
      </c>
    </row>
    <row r="42792" spans="1:6" x14ac:dyDescent="0.25">
      <c r="A42792" s="2" t="str">
        <f t="shared" si="1330"/>
        <v>99999</v>
      </c>
      <c r="B42792" s="2" t="str">
        <f>"49346"</f>
        <v>49346</v>
      </c>
      <c r="C42792" s="1">
        <v>9.8224343965063504E-7</v>
      </c>
      <c r="D42792" s="1">
        <v>0</v>
      </c>
      <c r="E42792" s="1">
        <v>0</v>
      </c>
      <c r="F42792" s="1">
        <v>8.9536621124693305E-7</v>
      </c>
    </row>
    <row r="42793" spans="1:6" x14ac:dyDescent="0.25">
      <c r="A42793" s="2" t="str">
        <f t="shared" si="1330"/>
        <v>99999</v>
      </c>
      <c r="B42793" s="2" t="str">
        <f>"49348"</f>
        <v>49348</v>
      </c>
      <c r="C42793" s="1">
        <v>1.4886445018705101E-4</v>
      </c>
      <c r="D42793" s="1">
        <v>4.8563285549083798E-5</v>
      </c>
      <c r="E42793" s="1">
        <v>3.47643196405369E-5</v>
      </c>
      <c r="F42793" s="1">
        <v>1.39677128954521E-4</v>
      </c>
    </row>
    <row r="42794" spans="1:6" x14ac:dyDescent="0.25">
      <c r="A42794" s="2" t="str">
        <f t="shared" si="1330"/>
        <v>99999</v>
      </c>
      <c r="B42794" s="2" t="str">
        <f>"49337"</f>
        <v>49337</v>
      </c>
      <c r="C42794" s="1">
        <v>7.1976616494399297E-4</v>
      </c>
      <c r="D42794" s="1">
        <v>4.7804484212379301E-4</v>
      </c>
      <c r="E42794" s="1">
        <v>3.9978967586617401E-4</v>
      </c>
      <c r="F42794" s="1">
        <v>6.96594912350114E-4</v>
      </c>
    </row>
    <row r="42795" spans="1:6" x14ac:dyDescent="0.25">
      <c r="A42795" s="2" t="str">
        <f t="shared" si="1330"/>
        <v>99999</v>
      </c>
      <c r="B42795" s="2" t="str">
        <f>"49010"</f>
        <v>49010</v>
      </c>
      <c r="C42795" s="1">
        <v>3.8198355986413598E-6</v>
      </c>
      <c r="D42795" s="1">
        <v>0</v>
      </c>
      <c r="E42795" s="1">
        <v>0</v>
      </c>
      <c r="F42795" s="1">
        <v>3.48197971040474E-6</v>
      </c>
    </row>
    <row r="42796" spans="1:6" x14ac:dyDescent="0.25">
      <c r="A42796" s="2" t="str">
        <f t="shared" si="1330"/>
        <v>99999</v>
      </c>
      <c r="B42796" s="2" t="str">
        <f>"49012"</f>
        <v>49012</v>
      </c>
      <c r="C42796" s="1">
        <v>2.07362503926245E-6</v>
      </c>
      <c r="D42796" s="1">
        <v>0</v>
      </c>
      <c r="E42796" s="1">
        <v>0</v>
      </c>
      <c r="F42796" s="1">
        <v>1.89021755707686E-6</v>
      </c>
    </row>
    <row r="42797" spans="1:6" x14ac:dyDescent="0.25">
      <c r="A42797" s="2" t="str">
        <f t="shared" si="1330"/>
        <v>99999</v>
      </c>
      <c r="B42797" s="2" t="str">
        <f>"49060"</f>
        <v>49060</v>
      </c>
      <c r="C42797" s="1">
        <v>5.9371159018882803E-5</v>
      </c>
      <c r="D42797" s="1">
        <v>2.4281642774541899E-5</v>
      </c>
      <c r="E42797" s="1">
        <v>3.47643196405369E-5</v>
      </c>
      <c r="F42797" s="1">
        <v>5.6507556443139802E-5</v>
      </c>
    </row>
    <row r="42798" spans="1:6" x14ac:dyDescent="0.25">
      <c r="A42798" s="2" t="str">
        <f t="shared" si="1330"/>
        <v>99999</v>
      </c>
      <c r="B42798" s="2" t="str">
        <f>"49055"</f>
        <v>49055</v>
      </c>
      <c r="C42798" s="1">
        <v>2.9194457789616097E-4</v>
      </c>
      <c r="D42798" s="1">
        <v>1.03196981791803E-4</v>
      </c>
      <c r="E42798" s="1">
        <v>1.39057278562147E-4</v>
      </c>
      <c r="F42798" s="1">
        <v>2.7607124846780402E-4</v>
      </c>
    </row>
    <row r="42799" spans="1:6" x14ac:dyDescent="0.25">
      <c r="A42799" s="2" t="str">
        <f t="shared" si="1330"/>
        <v>99999</v>
      </c>
      <c r="B42799" s="2" t="str">
        <f>"49046"</f>
        <v>49046</v>
      </c>
      <c r="C42799" s="1">
        <v>3.8700391522235002E-4</v>
      </c>
      <c r="D42799" s="1">
        <v>1.8059471813565501E-4</v>
      </c>
      <c r="E42799" s="1">
        <v>1.12984038831745E-4</v>
      </c>
      <c r="F42799" s="1">
        <v>3.67199631745825E-4</v>
      </c>
    </row>
    <row r="42800" spans="1:6" x14ac:dyDescent="0.25">
      <c r="A42800" s="2" t="str">
        <f t="shared" si="1330"/>
        <v>99999</v>
      </c>
      <c r="B42800" s="2" t="str">
        <f>"48767"</f>
        <v>48767</v>
      </c>
      <c r="C42800" s="1">
        <v>1.11648337640288E-4</v>
      </c>
      <c r="D42800" s="1">
        <v>5.9186504262945899E-5</v>
      </c>
      <c r="E42800" s="1">
        <v>3.0418779685469802E-5</v>
      </c>
      <c r="F42800" s="1">
        <v>1.0634960886921899E-4</v>
      </c>
    </row>
    <row r="42801" spans="1:6" x14ac:dyDescent="0.25">
      <c r="A42801" s="2" t="str">
        <f t="shared" si="1330"/>
        <v>99999</v>
      </c>
      <c r="B42801" s="2" t="str">
        <f>"48766"</f>
        <v>48766</v>
      </c>
      <c r="C42801" s="1">
        <v>6.9521007895272707E-5</v>
      </c>
      <c r="D42801" s="1">
        <v>4.8563285549083798E-5</v>
      </c>
      <c r="E42801" s="1">
        <v>8.69107991013423E-6</v>
      </c>
      <c r="F42801" s="1">
        <v>6.6754525305187998E-5</v>
      </c>
    </row>
    <row r="42802" spans="1:6" x14ac:dyDescent="0.25">
      <c r="A42802" s="2" t="str">
        <f t="shared" si="1330"/>
        <v>99999</v>
      </c>
      <c r="B42802" s="2" t="str">
        <f>"48763"</f>
        <v>48763</v>
      </c>
      <c r="C42802" s="1">
        <v>3.2719620356362199E-4</v>
      </c>
      <c r="D42802" s="1">
        <v>3.1869656141586197E-4</v>
      </c>
      <c r="E42802" s="1">
        <v>1.9120375802295301E-4</v>
      </c>
      <c r="F42802" s="1">
        <v>3.23525657663892E-4</v>
      </c>
    </row>
    <row r="42803" spans="1:6" x14ac:dyDescent="0.25">
      <c r="A42803" s="2" t="str">
        <f t="shared" si="1330"/>
        <v>99999</v>
      </c>
      <c r="B42803" s="2" t="str">
        <f>"48756"</f>
        <v>48756</v>
      </c>
      <c r="C42803" s="1">
        <v>2.8976181469693701E-4</v>
      </c>
      <c r="D42803" s="1">
        <v>1.2899622723975301E-4</v>
      </c>
      <c r="E42803" s="1">
        <v>2.60732397304027E-5</v>
      </c>
      <c r="F42803" s="1">
        <v>2.7318617956489699E-4</v>
      </c>
    </row>
    <row r="42804" spans="1:6" x14ac:dyDescent="0.25">
      <c r="A42804" s="2" t="str">
        <f t="shared" si="1330"/>
        <v>99999</v>
      </c>
      <c r="B42804" s="2" t="str">
        <f>"48701"</f>
        <v>48701</v>
      </c>
      <c r="C42804" s="1">
        <v>7.2467738214224595E-5</v>
      </c>
      <c r="D42804" s="1">
        <v>4.4010477528857203E-5</v>
      </c>
      <c r="E42804" s="1">
        <v>2.60732397304027E-5</v>
      </c>
      <c r="F42804" s="1">
        <v>6.9540109073511794E-5</v>
      </c>
    </row>
    <row r="42805" spans="1:6" x14ac:dyDescent="0.25">
      <c r="A42805" s="2" t="str">
        <f t="shared" si="1330"/>
        <v>99999</v>
      </c>
      <c r="B42805" s="2" t="str">
        <f>"48472"</f>
        <v>48472</v>
      </c>
      <c r="C42805" s="1">
        <v>8.9384153008207799E-5</v>
      </c>
      <c r="D42805" s="1">
        <v>3.4904861488403899E-5</v>
      </c>
      <c r="E42805" s="1">
        <v>2.60732397304027E-5</v>
      </c>
      <c r="F42805" s="1">
        <v>8.4363394126377698E-5</v>
      </c>
    </row>
    <row r="42806" spans="1:6" x14ac:dyDescent="0.25">
      <c r="A42806" s="2" t="str">
        <f t="shared" si="1330"/>
        <v>99999</v>
      </c>
      <c r="B42806" s="2" t="str">
        <f>"48467"</f>
        <v>48467</v>
      </c>
      <c r="C42806" s="1">
        <v>2.33337385997006E-4</v>
      </c>
      <c r="D42806" s="1">
        <v>1.57830678034522E-4</v>
      </c>
      <c r="E42806" s="1">
        <v>1.4340281851721399E-4</v>
      </c>
      <c r="F42806" s="1">
        <v>2.2632868117630799E-4</v>
      </c>
    </row>
    <row r="42807" spans="1:6" x14ac:dyDescent="0.25">
      <c r="A42807" s="2" t="str">
        <f t="shared" si="1330"/>
        <v>99999</v>
      </c>
      <c r="B42807" s="2" t="str">
        <f>"48453"</f>
        <v>48453</v>
      </c>
      <c r="C42807" s="1">
        <v>2.28753583278636E-4</v>
      </c>
      <c r="D42807" s="1">
        <v>3.7181265498517299E-4</v>
      </c>
      <c r="E42807" s="1">
        <v>3.17224416719899E-4</v>
      </c>
      <c r="F42807" s="1">
        <v>2.4015711488334401E-4</v>
      </c>
    </row>
    <row r="42808" spans="1:6" x14ac:dyDescent="0.25">
      <c r="A42808" s="2" t="str">
        <f t="shared" si="1330"/>
        <v>99999</v>
      </c>
      <c r="B42808" s="2" t="str">
        <f>"48450"</f>
        <v>48450</v>
      </c>
      <c r="C42808" s="1">
        <v>4.3229625160624E-4</v>
      </c>
      <c r="D42808" s="1">
        <v>2.36746017051783E-4</v>
      </c>
      <c r="E42808" s="1">
        <v>4.2586291559657701E-4</v>
      </c>
      <c r="F42808" s="1">
        <v>4.1932984226731299E-4</v>
      </c>
    </row>
    <row r="42809" spans="1:6" x14ac:dyDescent="0.25">
      <c r="A42809" s="2" t="str">
        <f t="shared" si="1330"/>
        <v>99999</v>
      </c>
      <c r="B42809" s="2" t="str">
        <f>"48653"</f>
        <v>48653</v>
      </c>
      <c r="C42809" s="1">
        <v>8.4101866066086598E-4</v>
      </c>
      <c r="D42809" s="1">
        <v>3.5967183359790202E-4</v>
      </c>
      <c r="E42809" s="1">
        <v>2.0858591784322101E-4</v>
      </c>
      <c r="F42809" s="1">
        <v>7.9498571045269397E-4</v>
      </c>
    </row>
    <row r="42810" spans="1:6" x14ac:dyDescent="0.25">
      <c r="A42810" s="2" t="str">
        <f t="shared" si="1330"/>
        <v>99999</v>
      </c>
      <c r="B42810" s="2" t="str">
        <f>"48629"</f>
        <v>48629</v>
      </c>
      <c r="C42810" s="1">
        <v>6.8385971031676405E-4</v>
      </c>
      <c r="D42810" s="1">
        <v>7.25414077889439E-4</v>
      </c>
      <c r="E42810" s="1">
        <v>4.8670047496751699E-4</v>
      </c>
      <c r="F42810" s="1">
        <v>6.8207008270099699E-4</v>
      </c>
    </row>
    <row r="42811" spans="1:6" x14ac:dyDescent="0.25">
      <c r="A42811" s="2" t="str">
        <f t="shared" si="1330"/>
        <v>99999</v>
      </c>
      <c r="B42811" s="2" t="str">
        <f>"48427"</f>
        <v>48427</v>
      </c>
      <c r="C42811" s="1">
        <v>1.88263325933038E-4</v>
      </c>
      <c r="D42811" s="1">
        <v>1.0623218713862E-4</v>
      </c>
      <c r="E42811" s="1">
        <v>1.39057278562147E-4</v>
      </c>
      <c r="F42811" s="1">
        <v>1.8175934088312699E-4</v>
      </c>
    </row>
    <row r="42812" spans="1:6" x14ac:dyDescent="0.25">
      <c r="A42812" s="2" t="str">
        <f t="shared" si="1330"/>
        <v>99999</v>
      </c>
      <c r="B42812" s="2" t="str">
        <f>"48419"</f>
        <v>48419</v>
      </c>
      <c r="C42812" s="1">
        <v>1.5879602274351901E-4</v>
      </c>
      <c r="D42812" s="1">
        <v>5.9186504262945899E-5</v>
      </c>
      <c r="E42812" s="1">
        <v>3.0418779685469802E-5</v>
      </c>
      <c r="F42812" s="1">
        <v>1.49327187009071E-4</v>
      </c>
    </row>
    <row r="42813" spans="1:6" x14ac:dyDescent="0.25">
      <c r="A42813" s="2" t="str">
        <f t="shared" si="1330"/>
        <v>99999</v>
      </c>
      <c r="B42813" s="2" t="str">
        <f>"47906"</f>
        <v>47906</v>
      </c>
      <c r="C42813" s="1">
        <v>2.1827631992236299E-6</v>
      </c>
      <c r="D42813" s="1">
        <v>0</v>
      </c>
      <c r="E42813" s="1">
        <v>0</v>
      </c>
      <c r="F42813" s="1">
        <v>1.98970269165985E-6</v>
      </c>
    </row>
    <row r="42814" spans="1:6" x14ac:dyDescent="0.25">
      <c r="A42814" s="2" t="str">
        <f t="shared" si="1330"/>
        <v>99999</v>
      </c>
      <c r="B42814" s="2" t="str">
        <f>"47992"</f>
        <v>47992</v>
      </c>
      <c r="C42814" s="1">
        <v>1.0913815996118101E-6</v>
      </c>
      <c r="D42814" s="1">
        <v>0</v>
      </c>
      <c r="E42814" s="1">
        <v>0</v>
      </c>
      <c r="F42814" s="1">
        <v>9.9485134582992606E-7</v>
      </c>
    </row>
    <row r="42815" spans="1:6" x14ac:dyDescent="0.25">
      <c r="A42815" s="2" t="str">
        <f t="shared" si="1330"/>
        <v>99999</v>
      </c>
      <c r="B42815" s="2" t="str">
        <f>"47980"</f>
        <v>47980</v>
      </c>
      <c r="C42815" s="1">
        <v>5.1731487821600101E-5</v>
      </c>
      <c r="D42815" s="1">
        <v>8.65033523843055E-5</v>
      </c>
      <c r="E42815" s="1">
        <v>4.3455399550671103E-5</v>
      </c>
      <c r="F42815" s="1">
        <v>5.3821457809398998E-5</v>
      </c>
    </row>
    <row r="42816" spans="1:6" x14ac:dyDescent="0.25">
      <c r="A42816" s="2" t="str">
        <f t="shared" si="1330"/>
        <v>99999</v>
      </c>
      <c r="B42816" s="2" t="str">
        <f>"47944"</f>
        <v>47944</v>
      </c>
      <c r="C42816" s="1">
        <v>4.3655263984472602E-7</v>
      </c>
      <c r="D42816" s="1">
        <v>0</v>
      </c>
      <c r="E42816" s="1">
        <v>0</v>
      </c>
      <c r="F42816" s="1">
        <v>3.9794053833197002E-7</v>
      </c>
    </row>
    <row r="42817" spans="1:6" x14ac:dyDescent="0.25">
      <c r="A42817" s="2" t="str">
        <f t="shared" si="1330"/>
        <v>99999</v>
      </c>
      <c r="B42817" s="2" t="str">
        <f>"47932"</f>
        <v>47932</v>
      </c>
      <c r="C42817" s="1">
        <v>2.3955826111479299E-4</v>
      </c>
      <c r="D42817" s="1">
        <v>2.6709807051996097E-4</v>
      </c>
      <c r="E42817" s="1">
        <v>2.9549671694456298E-4</v>
      </c>
      <c r="F42817" s="1">
        <v>2.4264424324791899E-4</v>
      </c>
    </row>
    <row r="42818" spans="1:6" x14ac:dyDescent="0.25">
      <c r="A42818" s="2" t="str">
        <f t="shared" si="1330"/>
        <v>99999</v>
      </c>
      <c r="B42818" s="2" t="str">
        <f>"47537"</f>
        <v>47537</v>
      </c>
      <c r="C42818" s="1">
        <v>3.3723691428005097E-5</v>
      </c>
      <c r="D42818" s="1">
        <v>1.5176026734088599E-5</v>
      </c>
      <c r="E42818" s="1">
        <v>4.3455399550671099E-6</v>
      </c>
      <c r="F42818" s="1">
        <v>3.18352430665576E-5</v>
      </c>
    </row>
    <row r="42819" spans="1:6" x14ac:dyDescent="0.25">
      <c r="A42819" s="2" t="str">
        <f t="shared" si="1330"/>
        <v>99999</v>
      </c>
      <c r="B42819" s="2" t="str">
        <f>"47612"</f>
        <v>47612</v>
      </c>
      <c r="C42819" s="1">
        <v>4.9112171982531701E-6</v>
      </c>
      <c r="D42819" s="1">
        <v>1.51760267340886E-6</v>
      </c>
      <c r="E42819" s="1">
        <v>0</v>
      </c>
      <c r="F42819" s="1">
        <v>4.5763161908176597E-6</v>
      </c>
    </row>
    <row r="42820" spans="1:6" x14ac:dyDescent="0.25">
      <c r="A42820" s="2" t="str">
        <f t="shared" si="1330"/>
        <v>99999</v>
      </c>
      <c r="B42820" s="2" t="str">
        <f>"47616"</f>
        <v>47616</v>
      </c>
      <c r="C42820" s="1">
        <v>2.7284539990295402E-6</v>
      </c>
      <c r="D42820" s="1">
        <v>0</v>
      </c>
      <c r="E42820" s="1">
        <v>0</v>
      </c>
      <c r="F42820" s="1">
        <v>2.48712836457481E-6</v>
      </c>
    </row>
    <row r="42821" spans="1:6" x14ac:dyDescent="0.25">
      <c r="A42821" s="2" t="str">
        <f t="shared" si="1330"/>
        <v>99999</v>
      </c>
      <c r="B42821" s="2" t="str">
        <f>"47441"</f>
        <v>47441</v>
      </c>
      <c r="C42821" s="1">
        <v>6.9815680927167898E-4</v>
      </c>
      <c r="D42821" s="1">
        <v>7.2086126986921296E-4</v>
      </c>
      <c r="E42821" s="1">
        <v>3.6067981627057E-4</v>
      </c>
      <c r="F42821" s="1">
        <v>6.9191911102471301E-4</v>
      </c>
    </row>
    <row r="42822" spans="1:6" x14ac:dyDescent="0.25">
      <c r="A42822" s="2" t="str">
        <f t="shared" si="1330"/>
        <v>99999</v>
      </c>
      <c r="B42822" s="2" t="str">
        <f>"47359"</f>
        <v>47359</v>
      </c>
      <c r="C42822" s="1">
        <v>1.55740154264606E-4</v>
      </c>
      <c r="D42822" s="1">
        <v>1.7452430744201901E-4</v>
      </c>
      <c r="E42822" s="1">
        <v>1.8685821806788599E-4</v>
      </c>
      <c r="F42822" s="1">
        <v>1.5768393831404299E-4</v>
      </c>
    </row>
    <row r="42823" spans="1:6" x14ac:dyDescent="0.25">
      <c r="A42823" s="2" t="str">
        <f t="shared" si="1330"/>
        <v>99999</v>
      </c>
      <c r="B42823" s="2" t="str">
        <f>"47393"</f>
        <v>47393</v>
      </c>
      <c r="C42823" s="1">
        <v>6.0025987978649897E-6</v>
      </c>
      <c r="D42823" s="1">
        <v>0</v>
      </c>
      <c r="E42823" s="1">
        <v>0</v>
      </c>
      <c r="F42823" s="1">
        <v>5.4716824020645896E-6</v>
      </c>
    </row>
    <row r="42824" spans="1:6" x14ac:dyDescent="0.25">
      <c r="A42824" s="2" t="str">
        <f t="shared" si="1330"/>
        <v>99999</v>
      </c>
      <c r="B42824" s="2" t="str">
        <f>"47320"</f>
        <v>47320</v>
      </c>
      <c r="C42824" s="1">
        <v>1.3751408155108801E-5</v>
      </c>
      <c r="D42824" s="1">
        <v>3.0352053468177301E-6</v>
      </c>
      <c r="E42824" s="1">
        <v>3.3026103658510001E-4</v>
      </c>
      <c r="F42824" s="1">
        <v>2.0294967454930399E-5</v>
      </c>
    </row>
    <row r="42825" spans="1:6" x14ac:dyDescent="0.25">
      <c r="A42825" s="2" t="str">
        <f t="shared" si="1330"/>
        <v>99999</v>
      </c>
      <c r="B42825" s="2" t="str">
        <f>"47011"</f>
        <v>47011</v>
      </c>
      <c r="C42825" s="1">
        <v>4.3000435024705598E-5</v>
      </c>
      <c r="D42825" s="1">
        <v>4.5528080202265997E-6</v>
      </c>
      <c r="E42825" s="1">
        <v>1.3036619865201299E-5</v>
      </c>
      <c r="F42825" s="1">
        <v>3.9794053833197E-5</v>
      </c>
    </row>
    <row r="42826" spans="1:6" x14ac:dyDescent="0.25">
      <c r="A42826" s="2" t="str">
        <f t="shared" si="1330"/>
        <v>99999</v>
      </c>
      <c r="B42826" s="2" t="str">
        <f>"46982"</f>
        <v>46982</v>
      </c>
      <c r="C42826" s="1">
        <v>3.8198355986413598E-6</v>
      </c>
      <c r="D42826" s="1">
        <v>4.5528080202265997E-6</v>
      </c>
      <c r="E42826" s="1">
        <v>0</v>
      </c>
      <c r="F42826" s="1">
        <v>3.7804351141537199E-6</v>
      </c>
    </row>
    <row r="42827" spans="1:6" x14ac:dyDescent="0.25">
      <c r="A42827" s="2" t="str">
        <f t="shared" si="1330"/>
        <v>99999</v>
      </c>
      <c r="B42827" s="2" t="str">
        <f>"46960"</f>
        <v>46960</v>
      </c>
      <c r="C42827" s="1">
        <v>5.6860981339775603E-5</v>
      </c>
      <c r="D42827" s="1">
        <v>2.1246437427724101E-5</v>
      </c>
      <c r="E42827" s="1">
        <v>8.69107991013423E-6</v>
      </c>
      <c r="F42827" s="1">
        <v>5.3423517271066997E-5</v>
      </c>
    </row>
    <row r="42828" spans="1:6" x14ac:dyDescent="0.25">
      <c r="A42828" s="2" t="str">
        <f t="shared" si="1330"/>
        <v>99999</v>
      </c>
      <c r="B42828" s="2" t="str">
        <f>"47040"</f>
        <v>47040</v>
      </c>
      <c r="C42828" s="1">
        <v>7.9343442291779104E-5</v>
      </c>
      <c r="D42828" s="1">
        <v>1.66936294074975E-5</v>
      </c>
      <c r="E42828" s="1">
        <v>8.69107991013423E-6</v>
      </c>
      <c r="F42828" s="1">
        <v>7.3618999591414496E-5</v>
      </c>
    </row>
    <row r="42829" spans="1:6" x14ac:dyDescent="0.25">
      <c r="A42829" s="2" t="str">
        <f t="shared" si="1330"/>
        <v>99999</v>
      </c>
      <c r="B42829" s="2" t="str">
        <f>"46910"</f>
        <v>46910</v>
      </c>
      <c r="C42829" s="1">
        <v>1.20925081236989E-4</v>
      </c>
      <c r="D42829" s="1">
        <v>3.0352053468177301E-5</v>
      </c>
      <c r="E42829" s="1">
        <v>4.3455399550671103E-5</v>
      </c>
      <c r="F42829" s="1">
        <v>1.13214083155445E-4</v>
      </c>
    </row>
    <row r="42830" spans="1:6" x14ac:dyDescent="0.25">
      <c r="A42830" s="2" t="str">
        <f t="shared" si="1330"/>
        <v>99999</v>
      </c>
      <c r="B42830" s="2" t="str">
        <f>"46799"</f>
        <v>46799</v>
      </c>
      <c r="C42830" s="1">
        <v>1.30965791953418E-5</v>
      </c>
      <c r="D42830" s="1">
        <v>0</v>
      </c>
      <c r="E42830" s="1">
        <v>0</v>
      </c>
      <c r="F42830" s="1">
        <v>1.19382161499591E-5</v>
      </c>
    </row>
    <row r="42831" spans="1:6" x14ac:dyDescent="0.25">
      <c r="A42831" s="2" t="str">
        <f t="shared" si="1330"/>
        <v>99999</v>
      </c>
      <c r="B42831" s="2" t="str">
        <f>"46784"</f>
        <v>46784</v>
      </c>
      <c r="C42831" s="1">
        <v>4.3655263984472602E-7</v>
      </c>
      <c r="D42831" s="1">
        <v>0</v>
      </c>
      <c r="E42831" s="1">
        <v>0</v>
      </c>
      <c r="F42831" s="1">
        <v>3.9794053833197002E-7</v>
      </c>
    </row>
    <row r="42832" spans="1:6" x14ac:dyDescent="0.25">
      <c r="A42832" s="2" t="str">
        <f t="shared" si="1330"/>
        <v>99999</v>
      </c>
      <c r="B42832" s="2" t="str">
        <f>"46733"</f>
        <v>46733</v>
      </c>
      <c r="C42832" s="1">
        <v>2.1827631992236301E-7</v>
      </c>
      <c r="D42832" s="1">
        <v>0</v>
      </c>
      <c r="E42832" s="1">
        <v>0</v>
      </c>
      <c r="F42832" s="1">
        <v>1.9897026916598501E-7</v>
      </c>
    </row>
    <row r="42833" spans="1:6" x14ac:dyDescent="0.25">
      <c r="A42833" s="2" t="str">
        <f t="shared" si="1330"/>
        <v>99999</v>
      </c>
      <c r="B42833" s="2" t="str">
        <f>"46540"</f>
        <v>46540</v>
      </c>
      <c r="C42833" s="1">
        <v>3.5797316467267603E-5</v>
      </c>
      <c r="D42833" s="1">
        <v>2.5799245447950699E-5</v>
      </c>
      <c r="E42833" s="1">
        <v>4.3455399550671099E-6</v>
      </c>
      <c r="F42833" s="1">
        <v>3.4421856565715399E-5</v>
      </c>
    </row>
    <row r="42834" spans="1:6" x14ac:dyDescent="0.25">
      <c r="A42834" s="2" t="str">
        <f t="shared" ref="A42834:A42897" si="1331">"99999"</f>
        <v>99999</v>
      </c>
      <c r="B42834" s="2" t="str">
        <f>"46374"</f>
        <v>46374</v>
      </c>
      <c r="C42834" s="1">
        <v>4.0817671825481903E-5</v>
      </c>
      <c r="D42834" s="1">
        <v>1.66936294074975E-5</v>
      </c>
      <c r="E42834" s="1">
        <v>2.1727699775335501E-5</v>
      </c>
      <c r="F42834" s="1">
        <v>3.8799202487367103E-5</v>
      </c>
    </row>
    <row r="42835" spans="1:6" x14ac:dyDescent="0.25">
      <c r="A42835" s="2" t="str">
        <f t="shared" si="1331"/>
        <v>99999</v>
      </c>
      <c r="B42835" s="2" t="str">
        <f>"46173"</f>
        <v>46173</v>
      </c>
      <c r="C42835" s="1">
        <v>5.3816026676858702E-4</v>
      </c>
      <c r="D42835" s="1">
        <v>8.4833989443555799E-4</v>
      </c>
      <c r="E42835" s="1">
        <v>6.6921315308033497E-4</v>
      </c>
      <c r="F42835" s="1">
        <v>5.6149409958641003E-4</v>
      </c>
    </row>
    <row r="42836" spans="1:6" x14ac:dyDescent="0.25">
      <c r="A42836" s="2" t="str">
        <f t="shared" si="1331"/>
        <v>99999</v>
      </c>
      <c r="B42836" s="2" t="str">
        <f>"46068"</f>
        <v>46068</v>
      </c>
      <c r="C42836" s="1">
        <v>1.30856653793456E-4</v>
      </c>
      <c r="D42836" s="1">
        <v>4.5528080202266E-5</v>
      </c>
      <c r="E42836" s="1">
        <v>3.9109859595604001E-5</v>
      </c>
      <c r="F42836" s="1">
        <v>1.2316259661374399E-4</v>
      </c>
    </row>
    <row r="42837" spans="1:6" x14ac:dyDescent="0.25">
      <c r="A42837" s="2" t="str">
        <f t="shared" si="1331"/>
        <v>99999</v>
      </c>
      <c r="B42837" s="2" t="str">
        <f>"46047"</f>
        <v>46047</v>
      </c>
      <c r="C42837" s="1">
        <v>0</v>
      </c>
      <c r="D42837" s="1">
        <v>0</v>
      </c>
      <c r="E42837" s="1">
        <v>4.3455399550671099E-6</v>
      </c>
      <c r="F42837" s="1">
        <v>9.9485134582992598E-8</v>
      </c>
    </row>
    <row r="42838" spans="1:6" x14ac:dyDescent="0.25">
      <c r="A42838" s="2" t="str">
        <f t="shared" si="1331"/>
        <v>99999</v>
      </c>
      <c r="B42838" s="2" t="str">
        <f>"46039"</f>
        <v>46039</v>
      </c>
      <c r="C42838" s="1">
        <v>1.09138159961181E-7</v>
      </c>
      <c r="D42838" s="1">
        <v>0</v>
      </c>
      <c r="E42838" s="1">
        <v>0</v>
      </c>
      <c r="F42838" s="1">
        <v>9.9485134582992598E-8</v>
      </c>
    </row>
    <row r="42839" spans="1:6" x14ac:dyDescent="0.25">
      <c r="A42839" s="2" t="str">
        <f t="shared" si="1331"/>
        <v>99999</v>
      </c>
      <c r="B42839" s="2" t="str">
        <f>"46036"</f>
        <v>46036</v>
      </c>
      <c r="C42839" s="1">
        <v>3.8634908626258302E-5</v>
      </c>
      <c r="D42839" s="1">
        <v>2.88344507947685E-5</v>
      </c>
      <c r="E42839" s="1">
        <v>1.7382159820268399E-5</v>
      </c>
      <c r="F42839" s="1">
        <v>3.7505895737788197E-5</v>
      </c>
    </row>
    <row r="42840" spans="1:6" x14ac:dyDescent="0.25">
      <c r="A42840" s="2" t="str">
        <f t="shared" si="1331"/>
        <v>99999</v>
      </c>
      <c r="B42840" s="2" t="str">
        <f>"45695"</f>
        <v>45695</v>
      </c>
      <c r="C42840" s="1">
        <v>3.1650066388742699E-5</v>
      </c>
      <c r="D42840" s="1">
        <v>1.51760267340886E-6</v>
      </c>
      <c r="E42840" s="1">
        <v>4.3455399550671099E-6</v>
      </c>
      <c r="F42840" s="1">
        <v>2.9049659298233801E-5</v>
      </c>
    </row>
    <row r="42841" spans="1:6" x14ac:dyDescent="0.25">
      <c r="A42841" s="2" t="str">
        <f t="shared" si="1331"/>
        <v>99999</v>
      </c>
      <c r="B42841" s="2" t="str">
        <f>"45679"</f>
        <v>45679</v>
      </c>
      <c r="C42841" s="1">
        <v>1.3533131835186501E-4</v>
      </c>
      <c r="D42841" s="1">
        <v>6.37393122831725E-5</v>
      </c>
      <c r="E42841" s="1">
        <v>6.5183099326006705E-5</v>
      </c>
      <c r="F42841" s="1">
        <v>1.2903221955414099E-4</v>
      </c>
    </row>
    <row r="42842" spans="1:6" x14ac:dyDescent="0.25">
      <c r="A42842" s="2" t="str">
        <f t="shared" si="1331"/>
        <v>99999</v>
      </c>
      <c r="B42842" s="2" t="str">
        <f>"45654"</f>
        <v>45654</v>
      </c>
      <c r="C42842" s="1">
        <v>2.9794717669402601E-5</v>
      </c>
      <c r="D42842" s="1">
        <v>7.5880133670443404E-6</v>
      </c>
      <c r="E42842" s="1">
        <v>0</v>
      </c>
      <c r="F42842" s="1">
        <v>2.76568674140719E-5</v>
      </c>
    </row>
    <row r="42843" spans="1:6" x14ac:dyDescent="0.25">
      <c r="A42843" s="2" t="str">
        <f t="shared" si="1331"/>
        <v>99999</v>
      </c>
      <c r="B42843" s="2" t="str">
        <f>"45868"</f>
        <v>45868</v>
      </c>
      <c r="C42843" s="1">
        <v>4.3655263984472602E-7</v>
      </c>
      <c r="D42843" s="1">
        <v>1.51760267340886E-6</v>
      </c>
      <c r="E42843" s="1">
        <v>0</v>
      </c>
      <c r="F42843" s="1">
        <v>4.9742567291496303E-7</v>
      </c>
    </row>
    <row r="42844" spans="1:6" x14ac:dyDescent="0.25">
      <c r="A42844" s="2" t="str">
        <f t="shared" si="1331"/>
        <v>99999</v>
      </c>
      <c r="B42844" s="2" t="str">
        <f>"45867"</f>
        <v>45867</v>
      </c>
      <c r="C42844" s="1">
        <v>2.1827631992236299E-6</v>
      </c>
      <c r="D42844" s="1">
        <v>0</v>
      </c>
      <c r="E42844" s="1">
        <v>0</v>
      </c>
      <c r="F42844" s="1">
        <v>1.98970269165985E-6</v>
      </c>
    </row>
    <row r="42845" spans="1:6" x14ac:dyDescent="0.25">
      <c r="A42845" s="2" t="str">
        <f t="shared" si="1331"/>
        <v>99999</v>
      </c>
      <c r="B42845" s="2" t="str">
        <f>"45817"</f>
        <v>45817</v>
      </c>
      <c r="C42845" s="1">
        <v>2.9467303189519E-6</v>
      </c>
      <c r="D42845" s="1">
        <v>0</v>
      </c>
      <c r="E42845" s="1">
        <v>8.69107991013423E-6</v>
      </c>
      <c r="F42845" s="1">
        <v>2.8850689029067799E-6</v>
      </c>
    </row>
    <row r="42846" spans="1:6" x14ac:dyDescent="0.25">
      <c r="A42846" s="2" t="str">
        <f t="shared" si="1331"/>
        <v>99999</v>
      </c>
      <c r="B42846" s="2" t="str">
        <f>"45744"</f>
        <v>45744</v>
      </c>
      <c r="C42846" s="1">
        <v>6.3300132777485401E-6</v>
      </c>
      <c r="D42846" s="1">
        <v>3.0352053468177301E-6</v>
      </c>
      <c r="E42846" s="1">
        <v>0</v>
      </c>
      <c r="F42846" s="1">
        <v>5.96910807497955E-6</v>
      </c>
    </row>
    <row r="42847" spans="1:6" x14ac:dyDescent="0.25">
      <c r="A42847" s="2" t="str">
        <f t="shared" si="1331"/>
        <v>99999</v>
      </c>
      <c r="B42847" s="2" t="str">
        <f>"45311"</f>
        <v>45311</v>
      </c>
      <c r="C42847" s="1">
        <v>2.8365007773911098E-4</v>
      </c>
      <c r="D42847" s="1">
        <v>1.5327787001429501E-4</v>
      </c>
      <c r="E42847" s="1">
        <v>1.6078497833748299E-4</v>
      </c>
      <c r="F42847" s="1">
        <v>2.7229081335365001E-4</v>
      </c>
    </row>
    <row r="42848" spans="1:6" x14ac:dyDescent="0.25">
      <c r="A42848" s="2" t="str">
        <f t="shared" si="1331"/>
        <v>99999</v>
      </c>
      <c r="B42848" s="2" t="str">
        <f>"45144"</f>
        <v>45144</v>
      </c>
      <c r="C42848" s="1">
        <v>2.5145432055056197E-4</v>
      </c>
      <c r="D42848" s="1">
        <v>2.15499579624059E-4</v>
      </c>
      <c r="E42848" s="1">
        <v>4.2151737564151003E-4</v>
      </c>
      <c r="F42848" s="1">
        <v>2.5299069724454999E-4</v>
      </c>
    </row>
    <row r="42849" spans="1:6" x14ac:dyDescent="0.25">
      <c r="A42849" s="2" t="str">
        <f t="shared" si="1331"/>
        <v>99999</v>
      </c>
      <c r="B42849" s="2" t="str">
        <f>"45142"</f>
        <v>45142</v>
      </c>
      <c r="C42849" s="1">
        <v>1.1470420611920201E-4</v>
      </c>
      <c r="D42849" s="1">
        <v>1.5176026734088599E-5</v>
      </c>
      <c r="E42849" s="1">
        <v>4.3455399550671099E-6</v>
      </c>
      <c r="F42849" s="1">
        <v>1.05653212927138E-4</v>
      </c>
    </row>
    <row r="42850" spans="1:6" x14ac:dyDescent="0.25">
      <c r="A42850" s="2" t="str">
        <f t="shared" si="1331"/>
        <v>99999</v>
      </c>
      <c r="B42850" s="2" t="str">
        <f>"45070"</f>
        <v>45070</v>
      </c>
      <c r="C42850" s="1">
        <v>1.09138159961181E-7</v>
      </c>
      <c r="D42850" s="1">
        <v>0</v>
      </c>
      <c r="E42850" s="1">
        <v>4.3455399550671099E-6</v>
      </c>
      <c r="F42850" s="1">
        <v>1.9897026916598501E-7</v>
      </c>
    </row>
    <row r="42851" spans="1:6" x14ac:dyDescent="0.25">
      <c r="A42851" s="2" t="str">
        <f t="shared" si="1331"/>
        <v>99999</v>
      </c>
      <c r="B42851" s="2" t="str">
        <f>"45064"</f>
        <v>45064</v>
      </c>
      <c r="C42851" s="1">
        <v>6.41732380571748E-5</v>
      </c>
      <c r="D42851" s="1">
        <v>6.0704106936354696E-6</v>
      </c>
      <c r="E42851" s="1">
        <v>4.3455399550671103E-5</v>
      </c>
      <c r="F42851" s="1">
        <v>5.98900510189615E-5</v>
      </c>
    </row>
    <row r="42852" spans="1:6" x14ac:dyDescent="0.25">
      <c r="A42852" s="2" t="str">
        <f t="shared" si="1331"/>
        <v>99999</v>
      </c>
      <c r="B42852" s="2" t="str">
        <f>"44802"</f>
        <v>44802</v>
      </c>
      <c r="C42852" s="1">
        <v>3.2741447988354498E-7</v>
      </c>
      <c r="D42852" s="1">
        <v>0</v>
      </c>
      <c r="E42852" s="1">
        <v>0</v>
      </c>
      <c r="F42852" s="1">
        <v>2.9845540374897701E-7</v>
      </c>
    </row>
    <row r="42853" spans="1:6" x14ac:dyDescent="0.25">
      <c r="A42853" s="2" t="str">
        <f t="shared" si="1331"/>
        <v>99999</v>
      </c>
      <c r="B42853" s="2" t="str">
        <f>"43988"</f>
        <v>43988</v>
      </c>
      <c r="C42853" s="1">
        <v>1.2005197595729901E-4</v>
      </c>
      <c r="D42853" s="1">
        <v>4.7045682875674899E-5</v>
      </c>
      <c r="E42853" s="1">
        <v>4.3455399550671103E-5</v>
      </c>
      <c r="F42853" s="1">
        <v>1.1351253855919401E-4</v>
      </c>
    </row>
    <row r="42854" spans="1:6" x14ac:dyDescent="0.25">
      <c r="A42854" s="2" t="str">
        <f t="shared" si="1331"/>
        <v>99999</v>
      </c>
      <c r="B42854" s="2" t="str">
        <f>"43950"</f>
        <v>43950</v>
      </c>
      <c r="C42854" s="1">
        <v>5.4569079980590801E-7</v>
      </c>
      <c r="D42854" s="1">
        <v>0</v>
      </c>
      <c r="E42854" s="1">
        <v>0</v>
      </c>
      <c r="F42854" s="1">
        <v>4.9742567291496303E-7</v>
      </c>
    </row>
    <row r="42855" spans="1:6" x14ac:dyDescent="0.25">
      <c r="A42855" s="2" t="str">
        <f t="shared" si="1331"/>
        <v>99999</v>
      </c>
      <c r="B42855" s="2" t="str">
        <f>"43946"</f>
        <v>43946</v>
      </c>
      <c r="C42855" s="1">
        <v>1.0706453492191901E-4</v>
      </c>
      <c r="D42855" s="1">
        <v>3.3387258814995101E-5</v>
      </c>
      <c r="E42855" s="1">
        <v>3.0418779685469802E-5</v>
      </c>
      <c r="F42855" s="1">
        <v>1.0047998592882199E-4</v>
      </c>
    </row>
    <row r="42856" spans="1:6" x14ac:dyDescent="0.25">
      <c r="A42856" s="2" t="str">
        <f t="shared" si="1331"/>
        <v>99999</v>
      </c>
      <c r="B42856" s="2" t="str">
        <f>"43720"</f>
        <v>43720</v>
      </c>
      <c r="C42856" s="1">
        <v>1.3096579195341799E-6</v>
      </c>
      <c r="D42856" s="1">
        <v>0</v>
      </c>
      <c r="E42856" s="1">
        <v>0</v>
      </c>
      <c r="F42856" s="1">
        <v>1.19382161499591E-6</v>
      </c>
    </row>
    <row r="42857" spans="1:6" x14ac:dyDescent="0.25">
      <c r="A42857" s="2" t="str">
        <f t="shared" si="1331"/>
        <v>99999</v>
      </c>
      <c r="B42857" s="2" t="str">
        <f>"43730"</f>
        <v>43730</v>
      </c>
      <c r="C42857" s="1">
        <v>6.5482895976708995E-7</v>
      </c>
      <c r="D42857" s="1">
        <v>0</v>
      </c>
      <c r="E42857" s="1">
        <v>0</v>
      </c>
      <c r="F42857" s="1">
        <v>5.9691080749795498E-7</v>
      </c>
    </row>
    <row r="42858" spans="1:6" x14ac:dyDescent="0.25">
      <c r="A42858" s="2" t="str">
        <f t="shared" si="1331"/>
        <v>99999</v>
      </c>
      <c r="B42858" s="2" t="str">
        <f>"43786"</f>
        <v>43786</v>
      </c>
      <c r="C42858" s="1">
        <v>0</v>
      </c>
      <c r="D42858" s="1">
        <v>1.51760267340886E-6</v>
      </c>
      <c r="E42858" s="1">
        <v>0</v>
      </c>
      <c r="F42858" s="1">
        <v>9.9485134582992598E-8</v>
      </c>
    </row>
    <row r="42859" spans="1:6" x14ac:dyDescent="0.25">
      <c r="A42859" s="2" t="str">
        <f t="shared" si="1331"/>
        <v>99999</v>
      </c>
      <c r="B42859" s="2" t="str">
        <f>"43779"</f>
        <v>43779</v>
      </c>
      <c r="C42859" s="1">
        <v>4.8020790382919898E-5</v>
      </c>
      <c r="D42859" s="1">
        <v>2.5799245447950699E-5</v>
      </c>
      <c r="E42859" s="1">
        <v>4.3455399550671099E-6</v>
      </c>
      <c r="F42859" s="1">
        <v>4.5564191639010602E-5</v>
      </c>
    </row>
    <row r="42860" spans="1:6" x14ac:dyDescent="0.25">
      <c r="A42860" s="2" t="str">
        <f t="shared" si="1331"/>
        <v>99999</v>
      </c>
      <c r="B42860" s="2" t="str">
        <f>"43359"</f>
        <v>43359</v>
      </c>
      <c r="C42860" s="1">
        <v>2.2591599111964599E-5</v>
      </c>
      <c r="D42860" s="1">
        <v>1.51760267340886E-6</v>
      </c>
      <c r="E42860" s="1">
        <v>0</v>
      </c>
      <c r="F42860" s="1">
        <v>2.06929079932624E-5</v>
      </c>
    </row>
    <row r="42861" spans="1:6" x14ac:dyDescent="0.25">
      <c r="A42861" s="2" t="str">
        <f t="shared" si="1331"/>
        <v>99999</v>
      </c>
      <c r="B42861" s="2" t="str">
        <f>"43527"</f>
        <v>43527</v>
      </c>
      <c r="C42861" s="1">
        <v>9.9970554524442403E-5</v>
      </c>
      <c r="D42861" s="1">
        <v>3.4904861488403899E-5</v>
      </c>
      <c r="E42861" s="1">
        <v>8.69107991013423E-6</v>
      </c>
      <c r="F42861" s="1">
        <v>9.3615511642595998E-5</v>
      </c>
    </row>
    <row r="42862" spans="1:6" x14ac:dyDescent="0.25">
      <c r="A42862" s="2" t="str">
        <f t="shared" si="1331"/>
        <v>99999</v>
      </c>
      <c r="B42862" s="2" t="str">
        <f>"43554"</f>
        <v>43554</v>
      </c>
      <c r="C42862" s="1">
        <v>1.27582508994621E-4</v>
      </c>
      <c r="D42862" s="1">
        <v>1.18373008525891E-4</v>
      </c>
      <c r="E42862" s="1">
        <v>2.2596807766349001E-4</v>
      </c>
      <c r="F42862" s="1">
        <v>1.29231189823307E-4</v>
      </c>
    </row>
    <row r="42863" spans="1:6" x14ac:dyDescent="0.25">
      <c r="A42863" s="2" t="str">
        <f t="shared" si="1331"/>
        <v>99999</v>
      </c>
      <c r="B42863" s="2" t="str">
        <f>"43512"</f>
        <v>43512</v>
      </c>
      <c r="C42863" s="1">
        <v>5.2277178621405997E-5</v>
      </c>
      <c r="D42863" s="1">
        <v>1.9728834754315301E-5</v>
      </c>
      <c r="E42863" s="1">
        <v>6.9528639281073799E-5</v>
      </c>
      <c r="F42863" s="1">
        <v>5.0538448368160202E-5</v>
      </c>
    </row>
    <row r="42864" spans="1:6" x14ac:dyDescent="0.25">
      <c r="A42864" s="2" t="str">
        <f t="shared" si="1331"/>
        <v>99999</v>
      </c>
      <c r="B42864" s="2" t="str">
        <f>"42722"</f>
        <v>42722</v>
      </c>
      <c r="C42864" s="1">
        <v>3.9398875745986597E-5</v>
      </c>
      <c r="D42864" s="1">
        <v>1.3658424060679801E-5</v>
      </c>
      <c r="E42864" s="1">
        <v>2.2596807766349001E-4</v>
      </c>
      <c r="F42864" s="1">
        <v>4.1982726794022798E-5</v>
      </c>
    </row>
    <row r="42865" spans="1:6" x14ac:dyDescent="0.25">
      <c r="A42865" s="2" t="str">
        <f t="shared" si="1331"/>
        <v>99999</v>
      </c>
      <c r="B42865" s="2" t="str">
        <f>"42544"</f>
        <v>42544</v>
      </c>
      <c r="C42865" s="1">
        <v>1.0204417956370399E-4</v>
      </c>
      <c r="D42865" s="1">
        <v>6.0704106936354696E-6</v>
      </c>
      <c r="E42865" s="1">
        <v>9.1256339056409395E-5</v>
      </c>
      <c r="F42865" s="1">
        <v>9.5505729199672895E-5</v>
      </c>
    </row>
    <row r="42866" spans="1:6" x14ac:dyDescent="0.25">
      <c r="A42866" s="2" t="str">
        <f t="shared" si="1331"/>
        <v>99999</v>
      </c>
      <c r="B42866" s="2" t="str">
        <f>"42460"</f>
        <v>42460</v>
      </c>
      <c r="C42866" s="1">
        <v>0</v>
      </c>
      <c r="D42866" s="1">
        <v>0</v>
      </c>
      <c r="E42866" s="1">
        <v>4.3455399550671099E-6</v>
      </c>
      <c r="F42866" s="1">
        <v>9.9485134582992598E-8</v>
      </c>
    </row>
    <row r="42867" spans="1:6" x14ac:dyDescent="0.25">
      <c r="A42867" s="2" t="str">
        <f t="shared" si="1331"/>
        <v>99999</v>
      </c>
      <c r="B42867" s="2" t="str">
        <f>"42463"</f>
        <v>42463</v>
      </c>
      <c r="C42867" s="1">
        <v>0</v>
      </c>
      <c r="D42867" s="1">
        <v>0</v>
      </c>
      <c r="E42867" s="1">
        <v>4.3455399550671099E-6</v>
      </c>
      <c r="F42867" s="1">
        <v>9.9485134582992598E-8</v>
      </c>
    </row>
    <row r="42868" spans="1:6" x14ac:dyDescent="0.25">
      <c r="A42868" s="2" t="str">
        <f t="shared" si="1331"/>
        <v>99999</v>
      </c>
      <c r="B42868" s="2" t="str">
        <f>"42441"</f>
        <v>42441</v>
      </c>
      <c r="C42868" s="1">
        <v>3.05586847891308E-6</v>
      </c>
      <c r="D42868" s="1">
        <v>0</v>
      </c>
      <c r="E42868" s="1">
        <v>0</v>
      </c>
      <c r="F42868" s="1">
        <v>2.7855837683237898E-6</v>
      </c>
    </row>
    <row r="42869" spans="1:6" x14ac:dyDescent="0.25">
      <c r="A42869" s="2" t="str">
        <f t="shared" si="1331"/>
        <v>99999</v>
      </c>
      <c r="B42869" s="2" t="str">
        <f>"42134"</f>
        <v>42134</v>
      </c>
      <c r="C42869" s="1">
        <v>9.0104464863951595E-4</v>
      </c>
      <c r="D42869" s="1">
        <v>1.0987443355480199E-3</v>
      </c>
      <c r="E42869" s="1">
        <v>1.18633240773332E-3</v>
      </c>
      <c r="F42869" s="1">
        <v>9.2053595029642997E-4</v>
      </c>
    </row>
    <row r="42870" spans="1:6" x14ac:dyDescent="0.25">
      <c r="A42870" s="2" t="str">
        <f t="shared" si="1331"/>
        <v>99999</v>
      </c>
      <c r="B42870" s="2" t="str">
        <f>"42133"</f>
        <v>42133</v>
      </c>
      <c r="C42870" s="1">
        <v>4.3873540304395E-5</v>
      </c>
      <c r="D42870" s="1">
        <v>1.5176026734088599E-5</v>
      </c>
      <c r="E42870" s="1">
        <v>1.3036619865201299E-5</v>
      </c>
      <c r="F42870" s="1">
        <v>4.1286330851941903E-5</v>
      </c>
    </row>
    <row r="42871" spans="1:6" x14ac:dyDescent="0.25">
      <c r="A42871" s="2" t="str">
        <f t="shared" si="1331"/>
        <v>99999</v>
      </c>
      <c r="B42871" s="2" t="str">
        <f>"42345"</f>
        <v>42345</v>
      </c>
      <c r="C42871" s="1">
        <v>4.3655263984472602E-7</v>
      </c>
      <c r="D42871" s="1">
        <v>0</v>
      </c>
      <c r="E42871" s="1">
        <v>0</v>
      </c>
      <c r="F42871" s="1">
        <v>3.9794053833197002E-7</v>
      </c>
    </row>
    <row r="42872" spans="1:6" x14ac:dyDescent="0.25">
      <c r="A42872" s="2" t="str">
        <f t="shared" si="1331"/>
        <v>99999</v>
      </c>
      <c r="B42872" s="2" t="str">
        <f>"42352"</f>
        <v>42352</v>
      </c>
      <c r="C42872" s="1">
        <v>7.4213948773603504E-6</v>
      </c>
      <c r="D42872" s="1">
        <v>4.5528080202265997E-6</v>
      </c>
      <c r="E42872" s="1">
        <v>0</v>
      </c>
      <c r="F42872" s="1">
        <v>7.0634445553924701E-6</v>
      </c>
    </row>
    <row r="42873" spans="1:6" x14ac:dyDescent="0.25">
      <c r="A42873" s="2" t="str">
        <f t="shared" si="1331"/>
        <v>99999</v>
      </c>
      <c r="B42873" s="2" t="str">
        <f>"42369"</f>
        <v>42369</v>
      </c>
      <c r="C42873" s="1">
        <v>1.0040710716428699E-5</v>
      </c>
      <c r="D42873" s="1">
        <v>4.5528080202265997E-6</v>
      </c>
      <c r="E42873" s="1">
        <v>4.3455399550671099E-6</v>
      </c>
      <c r="F42873" s="1">
        <v>9.5505729199672898E-6</v>
      </c>
    </row>
    <row r="42874" spans="1:6" x14ac:dyDescent="0.25">
      <c r="A42874" s="2" t="str">
        <f t="shared" si="1331"/>
        <v>99999</v>
      </c>
      <c r="B42874" s="2" t="str">
        <f>"42216"</f>
        <v>42216</v>
      </c>
      <c r="C42874" s="1">
        <v>0</v>
      </c>
      <c r="D42874" s="1">
        <v>0</v>
      </c>
      <c r="E42874" s="1">
        <v>4.3455399550671099E-6</v>
      </c>
      <c r="F42874" s="1">
        <v>9.9485134582992598E-8</v>
      </c>
    </row>
    <row r="42875" spans="1:6" x14ac:dyDescent="0.25">
      <c r="A42875" s="2" t="str">
        <f t="shared" si="1331"/>
        <v>99999</v>
      </c>
      <c r="B42875" s="2" t="str">
        <f>"42038"</f>
        <v>42038</v>
      </c>
      <c r="C42875" s="1">
        <v>3.0809702557041603E-4</v>
      </c>
      <c r="D42875" s="1">
        <v>3.5815423092449297E-4</v>
      </c>
      <c r="E42875" s="1">
        <v>2.1727699775335501E-4</v>
      </c>
      <c r="F42875" s="1">
        <v>3.0929928341852402E-4</v>
      </c>
    </row>
    <row r="42876" spans="1:6" x14ac:dyDescent="0.25">
      <c r="A42876" s="2" t="str">
        <f t="shared" si="1331"/>
        <v>99999</v>
      </c>
      <c r="B42876" s="2" t="str">
        <f>"41143"</f>
        <v>41143</v>
      </c>
      <c r="C42876" s="1">
        <v>1.09138159961181E-7</v>
      </c>
      <c r="D42876" s="1">
        <v>0</v>
      </c>
      <c r="E42876" s="1">
        <v>0</v>
      </c>
      <c r="F42876" s="1">
        <v>9.9485134582992598E-8</v>
      </c>
    </row>
    <row r="42877" spans="1:6" x14ac:dyDescent="0.25">
      <c r="A42877" s="2" t="str">
        <f t="shared" si="1331"/>
        <v>99999</v>
      </c>
      <c r="B42877" s="2" t="str">
        <f>"41081"</f>
        <v>41081</v>
      </c>
      <c r="C42877" s="1">
        <v>0</v>
      </c>
      <c r="D42877" s="1">
        <v>0</v>
      </c>
      <c r="E42877" s="1">
        <v>4.3455399550671099E-6</v>
      </c>
      <c r="F42877" s="1">
        <v>9.9485134582992598E-8</v>
      </c>
    </row>
    <row r="42878" spans="1:6" x14ac:dyDescent="0.25">
      <c r="A42878" s="2" t="str">
        <f t="shared" si="1331"/>
        <v>99999</v>
      </c>
      <c r="B42878" s="2" t="str">
        <f>"41086"</f>
        <v>41086</v>
      </c>
      <c r="C42878" s="1">
        <v>3.3068862468237998E-5</v>
      </c>
      <c r="D42878" s="1">
        <v>7.5880133670443404E-6</v>
      </c>
      <c r="E42878" s="1">
        <v>4.3455399550671099E-6</v>
      </c>
      <c r="F42878" s="1">
        <v>3.0740906586144698E-5</v>
      </c>
    </row>
    <row r="42879" spans="1:6" x14ac:dyDescent="0.25">
      <c r="A42879" s="2" t="str">
        <f t="shared" si="1331"/>
        <v>99999</v>
      </c>
      <c r="B42879" s="2" t="str">
        <f>"41736"</f>
        <v>41736</v>
      </c>
      <c r="C42879" s="1">
        <v>0</v>
      </c>
      <c r="D42879" s="1">
        <v>0</v>
      </c>
      <c r="E42879" s="1">
        <v>4.3455399550671099E-6</v>
      </c>
      <c r="F42879" s="1">
        <v>9.9485134582992598E-8</v>
      </c>
    </row>
    <row r="42880" spans="1:6" x14ac:dyDescent="0.25">
      <c r="A42880" s="2" t="str">
        <f t="shared" si="1331"/>
        <v>99999</v>
      </c>
      <c r="B42880" s="2" t="str">
        <f>"41725"</f>
        <v>41725</v>
      </c>
      <c r="C42880" s="1">
        <v>2.2373322792042201E-5</v>
      </c>
      <c r="D42880" s="1">
        <v>0</v>
      </c>
      <c r="E42880" s="1">
        <v>4.3455399550671099E-6</v>
      </c>
      <c r="F42880" s="1">
        <v>2.04939377240964E-5</v>
      </c>
    </row>
    <row r="42881" spans="1:6" x14ac:dyDescent="0.25">
      <c r="A42881" s="2" t="str">
        <f t="shared" si="1331"/>
        <v>99999</v>
      </c>
      <c r="B42881" s="2" t="str">
        <f>"41832"</f>
        <v>41832</v>
      </c>
      <c r="C42881" s="1">
        <v>1.9754006952973801E-5</v>
      </c>
      <c r="D42881" s="1">
        <v>1.51760267340886E-6</v>
      </c>
      <c r="E42881" s="1">
        <v>1.3036619865201299E-5</v>
      </c>
      <c r="F42881" s="1">
        <v>1.84047498978536E-5</v>
      </c>
    </row>
    <row r="42882" spans="1:6" x14ac:dyDescent="0.25">
      <c r="A42882" s="2" t="str">
        <f t="shared" si="1331"/>
        <v>99999</v>
      </c>
      <c r="B42882" s="2" t="str">
        <f>"41859"</f>
        <v>41859</v>
      </c>
      <c r="C42882" s="1">
        <v>1.45153752748371E-5</v>
      </c>
      <c r="D42882" s="1">
        <v>0</v>
      </c>
      <c r="E42882" s="1">
        <v>1.3036619865201299E-5</v>
      </c>
      <c r="F42882" s="1">
        <v>1.35299783032869E-5</v>
      </c>
    </row>
    <row r="42883" spans="1:6" x14ac:dyDescent="0.25">
      <c r="A42883" s="2" t="str">
        <f t="shared" si="1331"/>
        <v>99999</v>
      </c>
      <c r="B42883" s="2" t="str">
        <f>"41824"</f>
        <v>41824</v>
      </c>
      <c r="C42883" s="1">
        <v>3.0231270309247298E-5</v>
      </c>
      <c r="D42883" s="1">
        <v>3.0352053468177301E-6</v>
      </c>
      <c r="E42883" s="1">
        <v>8.69107991013423E-6</v>
      </c>
      <c r="F42883" s="1">
        <v>2.7955322817820898E-5</v>
      </c>
    </row>
    <row r="42884" spans="1:6" x14ac:dyDescent="0.25">
      <c r="A42884" s="2" t="str">
        <f t="shared" si="1331"/>
        <v>99999</v>
      </c>
      <c r="B42884" s="2" t="str">
        <f>"41826"</f>
        <v>41826</v>
      </c>
      <c r="C42884" s="1">
        <v>4.6820270623346902E-5</v>
      </c>
      <c r="D42884" s="1">
        <v>9.1056160404532095E-6</v>
      </c>
      <c r="E42884" s="1">
        <v>3.9109859595604001E-5</v>
      </c>
      <c r="F42884" s="1">
        <v>4.4171399754848697E-5</v>
      </c>
    </row>
    <row r="42885" spans="1:6" x14ac:dyDescent="0.25">
      <c r="A42885" s="2" t="str">
        <f t="shared" si="1331"/>
        <v>99999</v>
      </c>
      <c r="B42885" s="2" t="str">
        <f>"41776"</f>
        <v>41776</v>
      </c>
      <c r="C42885" s="1">
        <v>3.3287138788160402E-5</v>
      </c>
      <c r="D42885" s="1">
        <v>4.5528080202265997E-6</v>
      </c>
      <c r="E42885" s="1">
        <v>8.69107991013423E-6</v>
      </c>
      <c r="F42885" s="1">
        <v>3.0840391720727703E-5</v>
      </c>
    </row>
    <row r="42886" spans="1:6" x14ac:dyDescent="0.25">
      <c r="A42886" s="2" t="str">
        <f t="shared" si="1331"/>
        <v>99999</v>
      </c>
      <c r="B42886" s="2" t="str">
        <f>"41774"</f>
        <v>41774</v>
      </c>
      <c r="C42886" s="1">
        <v>1.02153317723666E-4</v>
      </c>
      <c r="D42886" s="1">
        <v>1.5176026734088599E-5</v>
      </c>
      <c r="E42886" s="1">
        <v>4.7800939505738197E-5</v>
      </c>
      <c r="F42886" s="1">
        <v>9.5207273795923906E-5</v>
      </c>
    </row>
    <row r="42887" spans="1:6" x14ac:dyDescent="0.25">
      <c r="A42887" s="2" t="str">
        <f t="shared" si="1331"/>
        <v>99999</v>
      </c>
      <c r="B42887" s="2" t="str">
        <f>"41271"</f>
        <v>41271</v>
      </c>
      <c r="C42887" s="1">
        <v>1.9644868793012701E-5</v>
      </c>
      <c r="D42887" s="1">
        <v>4.5528080202265997E-6</v>
      </c>
      <c r="E42887" s="1">
        <v>4.3455399550671099E-6</v>
      </c>
      <c r="F42887" s="1">
        <v>1.8305264763270602E-5</v>
      </c>
    </row>
    <row r="42888" spans="1:6" x14ac:dyDescent="0.25">
      <c r="A42888" s="2" t="str">
        <f t="shared" si="1331"/>
        <v>99999</v>
      </c>
      <c r="B42888" s="2" t="str">
        <f>"41265"</f>
        <v>41265</v>
      </c>
      <c r="C42888" s="1">
        <v>8.0762238371274403E-5</v>
      </c>
      <c r="D42888" s="1">
        <v>3.0352053468177301E-6</v>
      </c>
      <c r="E42888" s="1">
        <v>3.0418779685469802E-5</v>
      </c>
      <c r="F42888" s="1">
        <v>7.4514365802661394E-5</v>
      </c>
    </row>
    <row r="42889" spans="1:6" x14ac:dyDescent="0.25">
      <c r="A42889" s="2" t="str">
        <f t="shared" si="1331"/>
        <v>99999</v>
      </c>
      <c r="B42889" s="2" t="str">
        <f>"41274"</f>
        <v>41274</v>
      </c>
      <c r="C42889" s="1">
        <v>2.6520572870567099E-5</v>
      </c>
      <c r="D42889" s="1">
        <v>4.5528080202265997E-6</v>
      </c>
      <c r="E42889" s="1">
        <v>9.1256339056409395E-5</v>
      </c>
      <c r="F42889" s="1">
        <v>2.6562530933659001E-5</v>
      </c>
    </row>
    <row r="42890" spans="1:6" x14ac:dyDescent="0.25">
      <c r="A42890" s="2" t="str">
        <f t="shared" si="1331"/>
        <v>99999</v>
      </c>
      <c r="B42890" s="2" t="str">
        <f>"41549"</f>
        <v>41549</v>
      </c>
      <c r="C42890" s="1">
        <v>0</v>
      </c>
      <c r="D42890" s="1">
        <v>0</v>
      </c>
      <c r="E42890" s="1">
        <v>4.3455399550671099E-6</v>
      </c>
      <c r="F42890" s="1">
        <v>9.9485134582992598E-8</v>
      </c>
    </row>
    <row r="42891" spans="1:6" x14ac:dyDescent="0.25">
      <c r="A42891" s="2" t="str">
        <f t="shared" si="1331"/>
        <v>99999</v>
      </c>
      <c r="B42891" s="2" t="str">
        <f>"41669"</f>
        <v>41669</v>
      </c>
      <c r="C42891" s="1">
        <v>1.5934171354332501E-5</v>
      </c>
      <c r="D42891" s="1">
        <v>0</v>
      </c>
      <c r="E42891" s="1">
        <v>3.47643196405369E-5</v>
      </c>
      <c r="F42891" s="1">
        <v>1.5320710725780799E-5</v>
      </c>
    </row>
    <row r="42892" spans="1:6" x14ac:dyDescent="0.25">
      <c r="A42892" s="2" t="str">
        <f t="shared" si="1331"/>
        <v>99999</v>
      </c>
      <c r="B42892" s="2" t="str">
        <f>"41563"</f>
        <v>41563</v>
      </c>
      <c r="C42892" s="1">
        <v>2.2373322792042201E-5</v>
      </c>
      <c r="D42892" s="1">
        <v>0</v>
      </c>
      <c r="E42892" s="1">
        <v>8.69107991013423E-6</v>
      </c>
      <c r="F42892" s="1">
        <v>2.0593422858679401E-5</v>
      </c>
    </row>
    <row r="42893" spans="1:6" x14ac:dyDescent="0.25">
      <c r="A42893" s="2" t="str">
        <f t="shared" si="1331"/>
        <v>99999</v>
      </c>
      <c r="B42893" s="2" t="str">
        <f>"41517"</f>
        <v>41517</v>
      </c>
      <c r="C42893" s="1">
        <v>0</v>
      </c>
      <c r="D42893" s="1">
        <v>0</v>
      </c>
      <c r="E42893" s="1">
        <v>4.3455399550671099E-6</v>
      </c>
      <c r="F42893" s="1">
        <v>9.9485134582992598E-8</v>
      </c>
    </row>
    <row r="42894" spans="1:6" x14ac:dyDescent="0.25">
      <c r="A42894" s="2" t="str">
        <f t="shared" si="1331"/>
        <v>99999</v>
      </c>
      <c r="B42894" s="2" t="str">
        <f>"41531"</f>
        <v>41531</v>
      </c>
      <c r="C42894" s="1">
        <v>4.1145086305365503E-5</v>
      </c>
      <c r="D42894" s="1">
        <v>1.21408213872709E-5</v>
      </c>
      <c r="E42894" s="1">
        <v>1.3036619865201299E-5</v>
      </c>
      <c r="F42894" s="1">
        <v>3.8600232218201099E-5</v>
      </c>
    </row>
    <row r="42895" spans="1:6" x14ac:dyDescent="0.25">
      <c r="A42895" s="2" t="str">
        <f t="shared" si="1331"/>
        <v>99999</v>
      </c>
      <c r="B42895" s="2" t="str">
        <f>"41616"</f>
        <v>41616</v>
      </c>
      <c r="C42895" s="1">
        <v>2.9249026869596701E-5</v>
      </c>
      <c r="D42895" s="1">
        <v>3.0352053468177301E-6</v>
      </c>
      <c r="E42895" s="1">
        <v>4.3455399550671099E-6</v>
      </c>
      <c r="F42895" s="1">
        <v>2.6960471471991001E-5</v>
      </c>
    </row>
    <row r="42896" spans="1:6" x14ac:dyDescent="0.25">
      <c r="A42896" s="2" t="str">
        <f t="shared" si="1331"/>
        <v>99999</v>
      </c>
      <c r="B42896" s="2" t="str">
        <f>"41630"</f>
        <v>41630</v>
      </c>
      <c r="C42896" s="1">
        <v>4.3436987664550299E-5</v>
      </c>
      <c r="D42896" s="1">
        <v>4.5528080202265997E-6</v>
      </c>
      <c r="E42896" s="1">
        <v>1.3036619865201299E-5</v>
      </c>
      <c r="F42896" s="1">
        <v>4.0191994371529001E-5</v>
      </c>
    </row>
    <row r="42897" spans="1:6" x14ac:dyDescent="0.25">
      <c r="A42897" s="2" t="str">
        <f t="shared" si="1331"/>
        <v>99999</v>
      </c>
      <c r="B42897" s="2" t="str">
        <f>"41647"</f>
        <v>41647</v>
      </c>
      <c r="C42897" s="1">
        <v>4.4528369264162099E-5</v>
      </c>
      <c r="D42897" s="1">
        <v>7.5880133670443404E-6</v>
      </c>
      <c r="E42897" s="1">
        <v>1.3036619865201299E-5</v>
      </c>
      <c r="F42897" s="1">
        <v>4.1385815986524902E-5</v>
      </c>
    </row>
    <row r="42898" spans="1:6" x14ac:dyDescent="0.25">
      <c r="A42898" s="2" t="str">
        <f t="shared" ref="A42898:A42961" si="1332">"99999"</f>
        <v>99999</v>
      </c>
      <c r="B42898" s="2" t="str">
        <f>"41635"</f>
        <v>41635</v>
      </c>
      <c r="C42898" s="1">
        <v>1.4548116722825499E-4</v>
      </c>
      <c r="D42898" s="1">
        <v>3.0352053468177301E-5</v>
      </c>
      <c r="E42898" s="1">
        <v>1.6513051829255E-4</v>
      </c>
      <c r="F42898" s="1">
        <v>1.3838382220494199E-4</v>
      </c>
    </row>
    <row r="42899" spans="1:6" x14ac:dyDescent="0.25">
      <c r="A42899" s="2" t="str">
        <f t="shared" si="1332"/>
        <v>99999</v>
      </c>
      <c r="B42899" s="2" t="str">
        <f>"41543"</f>
        <v>41543</v>
      </c>
      <c r="C42899" s="1">
        <v>2.0081421432857398E-5</v>
      </c>
      <c r="D42899" s="1">
        <v>9.1056160404532095E-6</v>
      </c>
      <c r="E42899" s="1">
        <v>1.7382159820268399E-5</v>
      </c>
      <c r="F42899" s="1">
        <v>1.9300116109100499E-5</v>
      </c>
    </row>
    <row r="42900" spans="1:6" x14ac:dyDescent="0.25">
      <c r="A42900" s="2" t="str">
        <f t="shared" si="1332"/>
        <v>99999</v>
      </c>
      <c r="B42900" s="2" t="str">
        <f>"41260"</f>
        <v>41260</v>
      </c>
      <c r="C42900" s="1">
        <v>4.0271981025675999E-5</v>
      </c>
      <c r="D42900" s="1">
        <v>1.51760267340886E-6</v>
      </c>
      <c r="E42900" s="1">
        <v>1.6078497833748299E-4</v>
      </c>
      <c r="F42900" s="1">
        <v>4.0490449775278003E-5</v>
      </c>
    </row>
    <row r="42901" spans="1:6" x14ac:dyDescent="0.25">
      <c r="A42901" s="2" t="str">
        <f t="shared" si="1332"/>
        <v>99999</v>
      </c>
      <c r="B42901" s="2" t="str">
        <f>"41256"</f>
        <v>41256</v>
      </c>
      <c r="C42901" s="1">
        <v>1.0477263356273401E-4</v>
      </c>
      <c r="D42901" s="1">
        <v>1.66936294074975E-5</v>
      </c>
      <c r="E42901" s="1">
        <v>4.7800939505738197E-5</v>
      </c>
      <c r="F42901" s="1">
        <v>9.7694402160498699E-5</v>
      </c>
    </row>
    <row r="42902" spans="1:6" x14ac:dyDescent="0.25">
      <c r="A42902" s="2" t="str">
        <f t="shared" si="1332"/>
        <v>99999</v>
      </c>
      <c r="B42902" s="2" t="str">
        <f>"41179"</f>
        <v>41179</v>
      </c>
      <c r="C42902" s="1">
        <v>4.1930881057086002E-4</v>
      </c>
      <c r="D42902" s="1">
        <v>3.1869656141586197E-4</v>
      </c>
      <c r="E42902" s="1">
        <v>6.3879437339486595E-4</v>
      </c>
      <c r="F42902" s="1">
        <v>4.1773808011398599E-4</v>
      </c>
    </row>
    <row r="42903" spans="1:6" x14ac:dyDescent="0.25">
      <c r="A42903" s="2" t="str">
        <f t="shared" si="1332"/>
        <v>99999</v>
      </c>
      <c r="B42903" s="2" t="str">
        <f>"40486"</f>
        <v>40486</v>
      </c>
      <c r="C42903" s="1">
        <v>1.10229541560793E-4</v>
      </c>
      <c r="D42903" s="1">
        <v>1.9728834754315301E-5</v>
      </c>
      <c r="E42903" s="1">
        <v>3.9109859595604001E-5</v>
      </c>
      <c r="F42903" s="1">
        <v>1.02668658889648E-4</v>
      </c>
    </row>
    <row r="42904" spans="1:6" x14ac:dyDescent="0.25">
      <c r="A42904" s="2" t="str">
        <f t="shared" si="1332"/>
        <v>99999</v>
      </c>
      <c r="B42904" s="2" t="str">
        <f>"41010"</f>
        <v>41010</v>
      </c>
      <c r="C42904" s="1">
        <v>7.8252060692167298E-5</v>
      </c>
      <c r="D42904" s="1">
        <v>4.5528080202265997E-6</v>
      </c>
      <c r="E42904" s="1">
        <v>4.3455399550671099E-6</v>
      </c>
      <c r="F42904" s="1">
        <v>7.1728782034337598E-5</v>
      </c>
    </row>
    <row r="42905" spans="1:6" x14ac:dyDescent="0.25">
      <c r="A42905" s="2" t="str">
        <f t="shared" si="1332"/>
        <v>99999</v>
      </c>
      <c r="B42905" s="2" t="str">
        <f>"40874"</f>
        <v>40874</v>
      </c>
      <c r="C42905" s="1">
        <v>1.3205717355302901E-5</v>
      </c>
      <c r="D42905" s="1">
        <v>6.0704106936354696E-6</v>
      </c>
      <c r="E42905" s="1">
        <v>0</v>
      </c>
      <c r="F42905" s="1">
        <v>1.2435641822873999E-5</v>
      </c>
    </row>
    <row r="42906" spans="1:6" x14ac:dyDescent="0.25">
      <c r="A42906" s="2" t="str">
        <f t="shared" si="1332"/>
        <v>99999</v>
      </c>
      <c r="B42906" s="2" t="str">
        <f>"40855"</f>
        <v>40855</v>
      </c>
      <c r="C42906" s="1">
        <v>0</v>
      </c>
      <c r="D42906" s="1">
        <v>0</v>
      </c>
      <c r="E42906" s="1">
        <v>4.3455399550671099E-6</v>
      </c>
      <c r="F42906" s="1">
        <v>9.9485134582992598E-8</v>
      </c>
    </row>
    <row r="42907" spans="1:6" x14ac:dyDescent="0.25">
      <c r="A42907" s="2" t="str">
        <f t="shared" si="1332"/>
        <v>99999</v>
      </c>
      <c r="B42907" s="2" t="str">
        <f>"40844"</f>
        <v>40844</v>
      </c>
      <c r="C42907" s="1">
        <v>3.2741447988354498E-7</v>
      </c>
      <c r="D42907" s="1">
        <v>1.51760267340886E-6</v>
      </c>
      <c r="E42907" s="1">
        <v>4.3455399550671099E-6</v>
      </c>
      <c r="F42907" s="1">
        <v>4.9742567291496303E-7</v>
      </c>
    </row>
    <row r="42908" spans="1:6" x14ac:dyDescent="0.25">
      <c r="A42908" s="2" t="str">
        <f t="shared" si="1332"/>
        <v>99999</v>
      </c>
      <c r="B42908" s="2" t="str">
        <f>"40815"</f>
        <v>40815</v>
      </c>
      <c r="C42908" s="1">
        <v>4.5074060063968003E-5</v>
      </c>
      <c r="D42908" s="1">
        <v>6.0704106936354696E-6</v>
      </c>
      <c r="E42908" s="1">
        <v>3.0418779685469802E-5</v>
      </c>
      <c r="F42908" s="1">
        <v>4.2181697063188802E-5</v>
      </c>
    </row>
    <row r="42909" spans="1:6" x14ac:dyDescent="0.25">
      <c r="A42909" s="2" t="str">
        <f t="shared" si="1332"/>
        <v>99999</v>
      </c>
      <c r="B42909" s="2" t="str">
        <f>"40868"</f>
        <v>40868</v>
      </c>
      <c r="C42909" s="1">
        <v>9.0584672767780794E-6</v>
      </c>
      <c r="D42909" s="1">
        <v>3.0352053468177301E-6</v>
      </c>
      <c r="E42909" s="1">
        <v>8.69107991013423E-6</v>
      </c>
      <c r="F42909" s="1">
        <v>8.6552067087203506E-6</v>
      </c>
    </row>
    <row r="42910" spans="1:6" x14ac:dyDescent="0.25">
      <c r="A42910" s="2" t="str">
        <f t="shared" si="1332"/>
        <v>99999</v>
      </c>
      <c r="B42910" s="2" t="str">
        <f>"40854"</f>
        <v>40854</v>
      </c>
      <c r="C42910" s="1">
        <v>5.1513211501677703E-5</v>
      </c>
      <c r="D42910" s="1">
        <v>0</v>
      </c>
      <c r="E42910" s="1">
        <v>3.47643196405369E-5</v>
      </c>
      <c r="F42910" s="1">
        <v>4.77528645998364E-5</v>
      </c>
    </row>
    <row r="42911" spans="1:6" x14ac:dyDescent="0.25">
      <c r="A42911" s="2" t="str">
        <f t="shared" si="1332"/>
        <v>99999</v>
      </c>
      <c r="B42911" s="2" t="str">
        <f>"40830"</f>
        <v>40830</v>
      </c>
      <c r="C42911" s="1">
        <v>9.4950199166228093E-6</v>
      </c>
      <c r="D42911" s="1">
        <v>0</v>
      </c>
      <c r="E42911" s="1">
        <v>4.3455399550671099E-6</v>
      </c>
      <c r="F42911" s="1">
        <v>8.7546918433033508E-6</v>
      </c>
    </row>
    <row r="42912" spans="1:6" x14ac:dyDescent="0.25">
      <c r="A42912" s="2" t="str">
        <f t="shared" si="1332"/>
        <v>99999</v>
      </c>
      <c r="B42912" s="2" t="str">
        <f>"40824"</f>
        <v>40824</v>
      </c>
      <c r="C42912" s="1">
        <v>1.57158950344101E-5</v>
      </c>
      <c r="D42912" s="1">
        <v>0</v>
      </c>
      <c r="E42912" s="1">
        <v>1.3036619865201299E-5</v>
      </c>
      <c r="F42912" s="1">
        <v>1.4624314783699901E-5</v>
      </c>
    </row>
    <row r="42913" spans="1:6" x14ac:dyDescent="0.25">
      <c r="A42913" s="2" t="str">
        <f t="shared" si="1332"/>
        <v>99999</v>
      </c>
      <c r="B42913" s="2" t="str">
        <f>"40862"</f>
        <v>40862</v>
      </c>
      <c r="C42913" s="1">
        <v>2.2264184632080999E-5</v>
      </c>
      <c r="D42913" s="1">
        <v>1.51760267340886E-6</v>
      </c>
      <c r="E42913" s="1">
        <v>2.60732397304027E-5</v>
      </c>
      <c r="F42913" s="1">
        <v>2.0991363397011399E-5</v>
      </c>
    </row>
    <row r="42914" spans="1:6" x14ac:dyDescent="0.25">
      <c r="A42914" s="2" t="str">
        <f t="shared" si="1332"/>
        <v>99999</v>
      </c>
      <c r="B42914" s="2" t="str">
        <f>"40806"</f>
        <v>40806</v>
      </c>
      <c r="C42914" s="1">
        <v>9.65872715656458E-5</v>
      </c>
      <c r="D42914" s="1">
        <v>8.043294169067E-5</v>
      </c>
      <c r="E42914" s="1">
        <v>5.6492019415872502E-5</v>
      </c>
      <c r="F42914" s="1">
        <v>9.4610362988425901E-5</v>
      </c>
    </row>
    <row r="42915" spans="1:6" x14ac:dyDescent="0.25">
      <c r="A42915" s="2" t="str">
        <f t="shared" si="1332"/>
        <v>99999</v>
      </c>
      <c r="B42915" s="2" t="str">
        <f>"41003"</f>
        <v>41003</v>
      </c>
      <c r="C42915" s="1">
        <v>1.06518844122113E-4</v>
      </c>
      <c r="D42915" s="1">
        <v>1.0623218713862E-5</v>
      </c>
      <c r="E42915" s="1">
        <v>0</v>
      </c>
      <c r="F42915" s="1">
        <v>9.7793887295081705E-5</v>
      </c>
    </row>
    <row r="42916" spans="1:6" x14ac:dyDescent="0.25">
      <c r="A42916" s="2" t="str">
        <f t="shared" si="1332"/>
        <v>99999</v>
      </c>
      <c r="B42916" s="2" t="str">
        <f>"41008"</f>
        <v>41008</v>
      </c>
      <c r="C42916" s="1">
        <v>3.7478044130669801E-4</v>
      </c>
      <c r="D42916" s="1">
        <v>6.8140360036058202E-4</v>
      </c>
      <c r="E42916" s="1">
        <v>7.8219719191208105E-4</v>
      </c>
      <c r="F42916" s="1">
        <v>4.0420810181069901E-4</v>
      </c>
    </row>
    <row r="42917" spans="1:6" x14ac:dyDescent="0.25">
      <c r="A42917" s="2" t="str">
        <f t="shared" si="1332"/>
        <v>99999</v>
      </c>
      <c r="B42917" s="2" t="str">
        <f>"40434"</f>
        <v>40434</v>
      </c>
      <c r="C42917" s="1">
        <v>0</v>
      </c>
      <c r="D42917" s="1">
        <v>0</v>
      </c>
      <c r="E42917" s="1">
        <v>4.3455399550671099E-6</v>
      </c>
      <c r="F42917" s="1">
        <v>9.9485134582992598E-8</v>
      </c>
    </row>
    <row r="42918" spans="1:6" x14ac:dyDescent="0.25">
      <c r="A42918" s="2" t="str">
        <f t="shared" si="1332"/>
        <v>99999</v>
      </c>
      <c r="B42918" s="2" t="str">
        <f>"40456"</f>
        <v>40456</v>
      </c>
      <c r="C42918" s="1">
        <v>4.4451972552189299E-4</v>
      </c>
      <c r="D42918" s="1">
        <v>3.1869656141586197E-4</v>
      </c>
      <c r="E42918" s="1">
        <v>3.0418779685469798E-4</v>
      </c>
      <c r="F42918" s="1">
        <v>4.3305879083976602E-4</v>
      </c>
    </row>
    <row r="42919" spans="1:6" x14ac:dyDescent="0.25">
      <c r="A42919" s="2" t="str">
        <f t="shared" si="1332"/>
        <v>99999</v>
      </c>
      <c r="B42919" s="2" t="str">
        <f>"40355"</f>
        <v>40355</v>
      </c>
      <c r="C42919" s="1">
        <v>1.65890003140996E-5</v>
      </c>
      <c r="D42919" s="1">
        <v>4.5528080202265997E-6</v>
      </c>
      <c r="E42919" s="1">
        <v>1.7382159820268399E-5</v>
      </c>
      <c r="F42919" s="1">
        <v>1.5818136398695801E-5</v>
      </c>
    </row>
    <row r="42920" spans="1:6" x14ac:dyDescent="0.25">
      <c r="A42920" s="2" t="str">
        <f t="shared" si="1332"/>
        <v>99999</v>
      </c>
      <c r="B42920" s="2" t="str">
        <f>"40372"</f>
        <v>40372</v>
      </c>
      <c r="C42920" s="1">
        <v>1.1033867972075401E-4</v>
      </c>
      <c r="D42920" s="1">
        <v>2.4281642774541899E-5</v>
      </c>
      <c r="E42920" s="1">
        <v>3.0418779685469802E-5</v>
      </c>
      <c r="F42920" s="1">
        <v>1.02867629158814E-4</v>
      </c>
    </row>
    <row r="42921" spans="1:6" x14ac:dyDescent="0.25">
      <c r="A42921" s="2" t="str">
        <f t="shared" si="1332"/>
        <v>99999</v>
      </c>
      <c r="B42921" s="2" t="str">
        <f>"40310"</f>
        <v>40310</v>
      </c>
      <c r="C42921" s="1">
        <v>0</v>
      </c>
      <c r="D42921" s="1">
        <v>0</v>
      </c>
      <c r="E42921" s="1">
        <v>4.3455399550671099E-6</v>
      </c>
      <c r="F42921" s="1">
        <v>9.9485134582992598E-8</v>
      </c>
    </row>
    <row r="42922" spans="1:6" x14ac:dyDescent="0.25">
      <c r="A42922" s="2" t="str">
        <f t="shared" si="1332"/>
        <v>99999</v>
      </c>
      <c r="B42922" s="2" t="str">
        <f>"40176"</f>
        <v>40176</v>
      </c>
      <c r="C42922" s="1">
        <v>3.2195757188548602E-5</v>
      </c>
      <c r="D42922" s="1">
        <v>0</v>
      </c>
      <c r="E42922" s="1">
        <v>1.47748358472281E-4</v>
      </c>
      <c r="F42922" s="1">
        <v>3.2730609277804499E-5</v>
      </c>
    </row>
    <row r="42923" spans="1:6" x14ac:dyDescent="0.25">
      <c r="A42923" s="2" t="str">
        <f t="shared" si="1332"/>
        <v>99999</v>
      </c>
      <c r="B42923" s="2" t="str">
        <f>"40061"</f>
        <v>40061</v>
      </c>
      <c r="C42923" s="1">
        <v>0</v>
      </c>
      <c r="D42923" s="1">
        <v>4.5528080202265997E-6</v>
      </c>
      <c r="E42923" s="1">
        <v>0</v>
      </c>
      <c r="F42923" s="1">
        <v>2.9845540374897701E-7</v>
      </c>
    </row>
    <row r="42924" spans="1:6" x14ac:dyDescent="0.25">
      <c r="A42924" s="2" t="str">
        <f t="shared" si="1332"/>
        <v>99999</v>
      </c>
      <c r="B42924" s="2" t="str">
        <f>"39735"</f>
        <v>39735</v>
      </c>
      <c r="C42924" s="1">
        <v>2.2395150424034399E-4</v>
      </c>
      <c r="D42924" s="1">
        <v>1.6086588338134E-4</v>
      </c>
      <c r="E42924" s="1">
        <v>1.3471173860707999E-4</v>
      </c>
      <c r="F42924" s="1">
        <v>2.1777295960217E-4</v>
      </c>
    </row>
    <row r="42925" spans="1:6" x14ac:dyDescent="0.25">
      <c r="A42925" s="2" t="str">
        <f t="shared" si="1332"/>
        <v>99999</v>
      </c>
      <c r="B42925" s="2" t="str">
        <f>"39667"</f>
        <v>39667</v>
      </c>
      <c r="C42925" s="1">
        <v>7.1605546750531295E-4</v>
      </c>
      <c r="D42925" s="1">
        <v>6.8292120303399095E-4</v>
      </c>
      <c r="E42925" s="1">
        <v>2.6942347721416101E-4</v>
      </c>
      <c r="F42925" s="1">
        <v>7.0365835690550604E-4</v>
      </c>
    </row>
    <row r="42926" spans="1:6" x14ac:dyDescent="0.25">
      <c r="A42926" s="2" t="str">
        <f t="shared" si="1332"/>
        <v>99999</v>
      </c>
      <c r="B42926" s="2" t="str">
        <f>"39653"</f>
        <v>39653</v>
      </c>
      <c r="C42926" s="1">
        <v>1.7931399681622099E-4</v>
      </c>
      <c r="D42926" s="1">
        <v>7.7397736343852298E-5</v>
      </c>
      <c r="E42926" s="1">
        <v>0</v>
      </c>
      <c r="F42926" s="1">
        <v>1.6852781798358901E-4</v>
      </c>
    </row>
    <row r="42927" spans="1:6" x14ac:dyDescent="0.25">
      <c r="A42927" s="2" t="str">
        <f t="shared" si="1332"/>
        <v>99999</v>
      </c>
      <c r="B42927" s="2" t="str">
        <f>"39861"</f>
        <v>39861</v>
      </c>
      <c r="C42927" s="1">
        <v>5.7406672139581499E-5</v>
      </c>
      <c r="D42927" s="1">
        <v>2.7316848121359601E-5</v>
      </c>
      <c r="E42927" s="1">
        <v>0</v>
      </c>
      <c r="F42927" s="1">
        <v>5.4119913213147898E-5</v>
      </c>
    </row>
    <row r="42928" spans="1:6" x14ac:dyDescent="0.25">
      <c r="A42928" s="2" t="str">
        <f t="shared" si="1332"/>
        <v>99999</v>
      </c>
      <c r="B42928" s="2" t="str">
        <f>"39859"</f>
        <v>39859</v>
      </c>
      <c r="C42928" s="1">
        <v>6.84296262956609E-5</v>
      </c>
      <c r="D42928" s="1">
        <v>3.6422464161812797E-5</v>
      </c>
      <c r="E42928" s="1">
        <v>8.69107991013423E-6</v>
      </c>
      <c r="F42928" s="1">
        <v>6.4963792882694106E-5</v>
      </c>
    </row>
    <row r="42929" spans="1:6" x14ac:dyDescent="0.25">
      <c r="A42929" s="2" t="str">
        <f t="shared" si="1332"/>
        <v>99999</v>
      </c>
      <c r="B42929" s="2" t="str">
        <f>"39773"</f>
        <v>39773</v>
      </c>
      <c r="C42929" s="1">
        <v>1.01498488763899E-5</v>
      </c>
      <c r="D42929" s="1">
        <v>0</v>
      </c>
      <c r="E42929" s="1">
        <v>0</v>
      </c>
      <c r="F42929" s="1">
        <v>9.2521175162183095E-6</v>
      </c>
    </row>
    <row r="42930" spans="1:6" x14ac:dyDescent="0.25">
      <c r="A42930" s="2" t="str">
        <f t="shared" si="1332"/>
        <v>99999</v>
      </c>
      <c r="B42930" s="2" t="str">
        <f>"39825"</f>
        <v>39825</v>
      </c>
      <c r="C42930" s="1">
        <v>5.1294935181755401E-6</v>
      </c>
      <c r="D42930" s="1">
        <v>3.0352053468177301E-6</v>
      </c>
      <c r="E42930" s="1">
        <v>0</v>
      </c>
      <c r="F42930" s="1">
        <v>4.8747715945666299E-6</v>
      </c>
    </row>
    <row r="42931" spans="1:6" x14ac:dyDescent="0.25">
      <c r="A42931" s="2" t="str">
        <f t="shared" si="1332"/>
        <v>99999</v>
      </c>
      <c r="B42931" s="2" t="str">
        <f>"39630"</f>
        <v>39630</v>
      </c>
      <c r="C42931" s="1">
        <v>3.5142487507500497E-5</v>
      </c>
      <c r="D42931" s="1">
        <v>3.9457669508630602E-5</v>
      </c>
      <c r="E42931" s="1">
        <v>7.8219719191208097E-5</v>
      </c>
      <c r="F42931" s="1">
        <v>3.6411559257375301E-5</v>
      </c>
    </row>
    <row r="42932" spans="1:6" x14ac:dyDescent="0.25">
      <c r="A42932" s="2" t="str">
        <f t="shared" si="1332"/>
        <v>99999</v>
      </c>
      <c r="B42932" s="2" t="str">
        <f>"39750"</f>
        <v>39750</v>
      </c>
      <c r="C42932" s="1">
        <v>1.3096579195341799E-6</v>
      </c>
      <c r="D42932" s="1">
        <v>1.51760267340886E-6</v>
      </c>
      <c r="E42932" s="1">
        <v>0</v>
      </c>
      <c r="F42932" s="1">
        <v>1.2933067495789E-6</v>
      </c>
    </row>
    <row r="42933" spans="1:6" x14ac:dyDescent="0.25">
      <c r="A42933" s="2" t="str">
        <f t="shared" si="1332"/>
        <v>99999</v>
      </c>
      <c r="B42933" s="2" t="str">
        <f>"39365"</f>
        <v>39365</v>
      </c>
      <c r="C42933" s="1">
        <v>4.1963622505074299E-4</v>
      </c>
      <c r="D42933" s="1">
        <v>3.7181265498517299E-4</v>
      </c>
      <c r="E42933" s="1">
        <v>6.9528639281073799E-5</v>
      </c>
      <c r="F42933" s="1">
        <v>4.08485962597767E-4</v>
      </c>
    </row>
    <row r="42934" spans="1:6" x14ac:dyDescent="0.25">
      <c r="A42934" s="2" t="str">
        <f t="shared" si="1332"/>
        <v>99999</v>
      </c>
      <c r="B42934" s="2" t="str">
        <f>"39452"</f>
        <v>39452</v>
      </c>
      <c r="C42934" s="1">
        <v>1.40395328974064E-3</v>
      </c>
      <c r="D42934" s="1">
        <v>1.22015254942073E-3</v>
      </c>
      <c r="E42934" s="1">
        <v>5.3015587451818804E-4</v>
      </c>
      <c r="F42934" s="1">
        <v>1.3719000058994601E-3</v>
      </c>
    </row>
    <row r="42935" spans="1:6" x14ac:dyDescent="0.25">
      <c r="A42935" s="2" t="str">
        <f t="shared" si="1332"/>
        <v>99999</v>
      </c>
      <c r="B42935" s="2" t="str">
        <f>"39345"</f>
        <v>39345</v>
      </c>
      <c r="C42935" s="1">
        <v>3.4989694083554802E-4</v>
      </c>
      <c r="D42935" s="1">
        <v>5.7972422124218798E-4</v>
      </c>
      <c r="E42935" s="1">
        <v>1.4340281851721399E-4</v>
      </c>
      <c r="F42935" s="1">
        <v>3.6023567232501601E-4</v>
      </c>
    </row>
    <row r="42936" spans="1:6" x14ac:dyDescent="0.25">
      <c r="A42936" s="2" t="str">
        <f t="shared" si="1332"/>
        <v>99999</v>
      </c>
      <c r="B42936" s="2" t="str">
        <f>"39330"</f>
        <v>39330</v>
      </c>
      <c r="C42936" s="1">
        <v>2.7284539990295402E-6</v>
      </c>
      <c r="D42936" s="1">
        <v>0</v>
      </c>
      <c r="E42936" s="1">
        <v>0</v>
      </c>
      <c r="F42936" s="1">
        <v>2.48712836457481E-6</v>
      </c>
    </row>
    <row r="42937" spans="1:6" x14ac:dyDescent="0.25">
      <c r="A42937" s="2" t="str">
        <f t="shared" si="1332"/>
        <v>99999</v>
      </c>
      <c r="B42937" s="2" t="str">
        <f>"39337"</f>
        <v>39337</v>
      </c>
      <c r="C42937" s="1">
        <v>1.03899528283045E-4</v>
      </c>
      <c r="D42937" s="1">
        <v>2.4281642774541899E-5</v>
      </c>
      <c r="E42937" s="1">
        <v>8.69107991013423E-6</v>
      </c>
      <c r="F42937" s="1">
        <v>9.6500580545502799E-5</v>
      </c>
    </row>
    <row r="42938" spans="1:6" x14ac:dyDescent="0.25">
      <c r="A42938" s="2" t="str">
        <f t="shared" si="1332"/>
        <v>99999</v>
      </c>
      <c r="B42938" s="2" t="str">
        <f>"39109"</f>
        <v>39109</v>
      </c>
      <c r="C42938" s="1">
        <v>1.09138159961181E-7</v>
      </c>
      <c r="D42938" s="1">
        <v>1.51760267340886E-6</v>
      </c>
      <c r="E42938" s="1">
        <v>0</v>
      </c>
      <c r="F42938" s="1">
        <v>1.9897026916598501E-7</v>
      </c>
    </row>
    <row r="42939" spans="1:6" x14ac:dyDescent="0.25">
      <c r="A42939" s="2" t="str">
        <f t="shared" si="1332"/>
        <v>99999</v>
      </c>
      <c r="B42939" s="2" t="str">
        <f>"39097"</f>
        <v>39097</v>
      </c>
      <c r="C42939" s="1">
        <v>2.3355566231692799E-5</v>
      </c>
      <c r="D42939" s="1">
        <v>1.0623218713862E-5</v>
      </c>
      <c r="E42939" s="1">
        <v>0</v>
      </c>
      <c r="F42939" s="1">
        <v>2.1986214742841299E-5</v>
      </c>
    </row>
    <row r="42940" spans="1:6" x14ac:dyDescent="0.25">
      <c r="A42940" s="2" t="str">
        <f t="shared" si="1332"/>
        <v>99999</v>
      </c>
      <c r="B42940" s="2" t="str">
        <f>"39119"</f>
        <v>39119</v>
      </c>
      <c r="C42940" s="1">
        <v>6.9411869735311498E-5</v>
      </c>
      <c r="D42940" s="1">
        <v>1.21408213872709E-5</v>
      </c>
      <c r="E42940" s="1">
        <v>0</v>
      </c>
      <c r="F42940" s="1">
        <v>6.4068426671447194E-5</v>
      </c>
    </row>
    <row r="42941" spans="1:6" x14ac:dyDescent="0.25">
      <c r="A42941" s="2" t="str">
        <f t="shared" si="1332"/>
        <v>99999</v>
      </c>
      <c r="B42941" s="2" t="str">
        <f>"39189"</f>
        <v>39189</v>
      </c>
      <c r="C42941" s="1">
        <v>1.84116075854513E-4</v>
      </c>
      <c r="D42941" s="1">
        <v>7.2844928323625703E-5</v>
      </c>
      <c r="E42941" s="1">
        <v>4.3455399550671103E-5</v>
      </c>
      <c r="F42941" s="1">
        <v>1.7360155984732199E-4</v>
      </c>
    </row>
    <row r="42942" spans="1:6" x14ac:dyDescent="0.25">
      <c r="A42942" s="2" t="str">
        <f t="shared" si="1332"/>
        <v>99999</v>
      </c>
      <c r="B42942" s="2" t="str">
        <f>"39061"</f>
        <v>39061</v>
      </c>
      <c r="C42942" s="1">
        <v>0</v>
      </c>
      <c r="D42942" s="1">
        <v>1.51760267340886E-6</v>
      </c>
      <c r="E42942" s="1">
        <v>0</v>
      </c>
      <c r="F42942" s="1">
        <v>9.9485134582992598E-8</v>
      </c>
    </row>
    <row r="42943" spans="1:6" x14ac:dyDescent="0.25">
      <c r="A42943" s="2" t="str">
        <f t="shared" si="1332"/>
        <v>99999</v>
      </c>
      <c r="B42943" s="2" t="str">
        <f>"38966"</f>
        <v>38966</v>
      </c>
      <c r="C42943" s="1">
        <v>2.1827631992236301E-7</v>
      </c>
      <c r="D42943" s="1">
        <v>1.51760267340886E-6</v>
      </c>
      <c r="E42943" s="1">
        <v>0</v>
      </c>
      <c r="F42943" s="1">
        <v>2.9845540374897701E-7</v>
      </c>
    </row>
    <row r="42944" spans="1:6" x14ac:dyDescent="0.25">
      <c r="A42944" s="2" t="str">
        <f t="shared" si="1332"/>
        <v>99999</v>
      </c>
      <c r="B42944" s="2" t="str">
        <f>"38674"</f>
        <v>38674</v>
      </c>
      <c r="C42944" s="1">
        <v>6.2754441977679501E-5</v>
      </c>
      <c r="D42944" s="1">
        <v>1.21408213872709E-5</v>
      </c>
      <c r="E42944" s="1">
        <v>0</v>
      </c>
      <c r="F42944" s="1">
        <v>5.7999833461884698E-5</v>
      </c>
    </row>
    <row r="42945" spans="1:6" x14ac:dyDescent="0.25">
      <c r="A42945" s="2" t="str">
        <f t="shared" si="1332"/>
        <v>99999</v>
      </c>
      <c r="B42945" s="2" t="str">
        <f>"38940"</f>
        <v>38940</v>
      </c>
      <c r="C42945" s="1">
        <v>6.0025987978649897E-6</v>
      </c>
      <c r="D42945" s="1">
        <v>1.51760267340886E-6</v>
      </c>
      <c r="E42945" s="1">
        <v>0</v>
      </c>
      <c r="F42945" s="1">
        <v>5.5711675366475797E-6</v>
      </c>
    </row>
    <row r="42946" spans="1:6" x14ac:dyDescent="0.25">
      <c r="A42946" s="2" t="str">
        <f t="shared" si="1332"/>
        <v>99999</v>
      </c>
      <c r="B42946" s="2" t="str">
        <f>"38953"</f>
        <v>38953</v>
      </c>
      <c r="C42946" s="1">
        <v>4.5183198223929198E-5</v>
      </c>
      <c r="D42946" s="1">
        <v>1.21408213872709E-5</v>
      </c>
      <c r="E42946" s="1">
        <v>0</v>
      </c>
      <c r="F42946" s="1">
        <v>4.1982726794022798E-5</v>
      </c>
    </row>
    <row r="42947" spans="1:6" x14ac:dyDescent="0.25">
      <c r="A42947" s="2" t="str">
        <f t="shared" si="1332"/>
        <v>99999</v>
      </c>
      <c r="B42947" s="2" t="str">
        <f>"38965"</f>
        <v>38965</v>
      </c>
      <c r="C42947" s="1">
        <v>4.4702990320099999E-4</v>
      </c>
      <c r="D42947" s="1">
        <v>4.9018566351106399E-4</v>
      </c>
      <c r="E42947" s="1">
        <v>2.3900469752869099E-4</v>
      </c>
      <c r="F42947" s="1">
        <v>4.4509649212430899E-4</v>
      </c>
    </row>
    <row r="42948" spans="1:6" x14ac:dyDescent="0.25">
      <c r="A42948" s="2" t="str">
        <f t="shared" si="1332"/>
        <v>99999</v>
      </c>
      <c r="B42948" s="2" t="str">
        <f>"38852"</f>
        <v>38852</v>
      </c>
      <c r="C42948" s="1">
        <v>6.4064099897213596E-4</v>
      </c>
      <c r="D42948" s="1">
        <v>7.07202845808533E-4</v>
      </c>
      <c r="E42948" s="1">
        <v>1.6513051829255E-4</v>
      </c>
      <c r="F42948" s="1">
        <v>6.3411824783199497E-4</v>
      </c>
    </row>
    <row r="42949" spans="1:6" x14ac:dyDescent="0.25">
      <c r="A42949" s="2" t="str">
        <f t="shared" si="1332"/>
        <v>99999</v>
      </c>
      <c r="B42949" s="2" t="str">
        <f>"38870"</f>
        <v>38870</v>
      </c>
      <c r="C42949" s="1">
        <v>1.4755479226751699E-4</v>
      </c>
      <c r="D42949" s="1">
        <v>6.2221709609763595E-5</v>
      </c>
      <c r="E42949" s="1">
        <v>4.7800939505738197E-5</v>
      </c>
      <c r="F42949" s="1">
        <v>1.39677128954521E-4</v>
      </c>
    </row>
    <row r="42950" spans="1:6" x14ac:dyDescent="0.25">
      <c r="A42950" s="2" t="str">
        <f t="shared" si="1332"/>
        <v>99999</v>
      </c>
      <c r="B42950" s="2" t="str">
        <f>"38921"</f>
        <v>38921</v>
      </c>
      <c r="C42950" s="1">
        <v>4.7376875239148902E-4</v>
      </c>
      <c r="D42950" s="1">
        <v>6.6622757362649302E-4</v>
      </c>
      <c r="E42950" s="1">
        <v>2.8680563703442901E-4</v>
      </c>
      <c r="F42950" s="1">
        <v>4.8210496218918203E-4</v>
      </c>
    </row>
    <row r="42951" spans="1:6" x14ac:dyDescent="0.25">
      <c r="A42951" s="2" t="str">
        <f t="shared" si="1332"/>
        <v>99999</v>
      </c>
      <c r="B42951" s="2" t="str">
        <f>"38833"</f>
        <v>38833</v>
      </c>
      <c r="C42951" s="1">
        <v>1.4766393042747801E-4</v>
      </c>
      <c r="D42951" s="1">
        <v>1.6541869140156601E-4</v>
      </c>
      <c r="E42951" s="1">
        <v>3.9109859595604001E-5</v>
      </c>
      <c r="F42951" s="1">
        <v>1.4634263297158201E-4</v>
      </c>
    </row>
    <row r="42952" spans="1:6" x14ac:dyDescent="0.25">
      <c r="A42952" s="2" t="str">
        <f t="shared" si="1332"/>
        <v>99999</v>
      </c>
      <c r="B42952" s="2" t="str">
        <f>"38486"</f>
        <v>38486</v>
      </c>
      <c r="C42952" s="1">
        <v>1.1132092316040499E-5</v>
      </c>
      <c r="D42952" s="1">
        <v>1.51760267340886E-6</v>
      </c>
      <c r="E42952" s="1">
        <v>0</v>
      </c>
      <c r="F42952" s="1">
        <v>1.02469688620482E-5</v>
      </c>
    </row>
    <row r="42953" spans="1:6" x14ac:dyDescent="0.25">
      <c r="A42953" s="2" t="str">
        <f t="shared" si="1332"/>
        <v>99999</v>
      </c>
      <c r="B42953" s="2" t="str">
        <f>"38474"</f>
        <v>38474</v>
      </c>
      <c r="C42953" s="1">
        <v>9.0584672767780794E-6</v>
      </c>
      <c r="D42953" s="1">
        <v>3.0352053468177301E-6</v>
      </c>
      <c r="E42953" s="1">
        <v>0</v>
      </c>
      <c r="F42953" s="1">
        <v>8.4562364395543705E-6</v>
      </c>
    </row>
    <row r="42954" spans="1:6" x14ac:dyDescent="0.25">
      <c r="A42954" s="2" t="str">
        <f t="shared" si="1332"/>
        <v>99999</v>
      </c>
      <c r="B42954" s="2" t="str">
        <f>"38485"</f>
        <v>38485</v>
      </c>
      <c r="C42954" s="1">
        <v>3.9333392850009798E-4</v>
      </c>
      <c r="D42954" s="1">
        <v>4.3858717261516299E-4</v>
      </c>
      <c r="E42954" s="1">
        <v>2.1293145779828799E-4</v>
      </c>
      <c r="F42954" s="1">
        <v>3.9217040052615598E-4</v>
      </c>
    </row>
    <row r="42955" spans="1:6" x14ac:dyDescent="0.25">
      <c r="A42955" s="2" t="str">
        <f t="shared" si="1332"/>
        <v>99999</v>
      </c>
      <c r="B42955" s="2" t="str">
        <f>"38473"</f>
        <v>38473</v>
      </c>
      <c r="C42955" s="1">
        <v>6.0680816938417001E-5</v>
      </c>
      <c r="D42955" s="1">
        <v>5.15984908959015E-5</v>
      </c>
      <c r="E42955" s="1">
        <v>0</v>
      </c>
      <c r="F42955" s="1">
        <v>5.86962294039656E-5</v>
      </c>
    </row>
    <row r="42956" spans="1:6" x14ac:dyDescent="0.25">
      <c r="A42956" s="2" t="str">
        <f t="shared" si="1332"/>
        <v>99999</v>
      </c>
      <c r="B42956" s="2" t="str">
        <f>"38464"</f>
        <v>38464</v>
      </c>
      <c r="C42956" s="1">
        <v>7.1812909254457503E-5</v>
      </c>
      <c r="D42956" s="1">
        <v>3.7940066835221703E-5</v>
      </c>
      <c r="E42956" s="1">
        <v>1.3036619865201299E-5</v>
      </c>
      <c r="F42956" s="1">
        <v>6.8246802323932901E-5</v>
      </c>
    </row>
    <row r="42957" spans="1:6" x14ac:dyDescent="0.25">
      <c r="A42957" s="2" t="str">
        <f t="shared" si="1332"/>
        <v>99999</v>
      </c>
      <c r="B42957" s="2" t="str">
        <f>"38461"</f>
        <v>38461</v>
      </c>
      <c r="C42957" s="1">
        <v>3.5797316467267603E-5</v>
      </c>
      <c r="D42957" s="1">
        <v>1.0623218713862E-5</v>
      </c>
      <c r="E42957" s="1">
        <v>0</v>
      </c>
      <c r="F42957" s="1">
        <v>3.3327520085302503E-5</v>
      </c>
    </row>
    <row r="42958" spans="1:6" x14ac:dyDescent="0.25">
      <c r="A42958" s="2" t="str">
        <f t="shared" si="1332"/>
        <v>99999</v>
      </c>
      <c r="B42958" s="2" t="str">
        <f>"38449"</f>
        <v>38449</v>
      </c>
      <c r="C42958" s="1">
        <v>1.5955998986324699E-4</v>
      </c>
      <c r="D42958" s="1">
        <v>1.7148910209520199E-4</v>
      </c>
      <c r="E42958" s="1">
        <v>6.0837559370939603E-5</v>
      </c>
      <c r="F42958" s="1">
        <v>1.5808187885237501E-4</v>
      </c>
    </row>
    <row r="42959" spans="1:6" x14ac:dyDescent="0.25">
      <c r="A42959" s="2" t="str">
        <f t="shared" si="1332"/>
        <v>99999</v>
      </c>
      <c r="B42959" s="2" t="str">
        <f>"38390"</f>
        <v>38390</v>
      </c>
      <c r="C42959" s="1">
        <v>5.5442185260280297E-5</v>
      </c>
      <c r="D42959" s="1">
        <v>2.4281642774541899E-5</v>
      </c>
      <c r="E42959" s="1">
        <v>8.69107991013423E-6</v>
      </c>
      <c r="F42959" s="1">
        <v>5.2329180790654101E-5</v>
      </c>
    </row>
    <row r="42960" spans="1:6" x14ac:dyDescent="0.25">
      <c r="A42960" s="2" t="str">
        <f t="shared" si="1332"/>
        <v>99999</v>
      </c>
      <c r="B42960" s="2" t="str">
        <f>"38623"</f>
        <v>38623</v>
      </c>
      <c r="C42960" s="1">
        <v>0</v>
      </c>
      <c r="D42960" s="1">
        <v>1.51760267340886E-6</v>
      </c>
      <c r="E42960" s="1">
        <v>0</v>
      </c>
      <c r="F42960" s="1">
        <v>9.9485134582992598E-8</v>
      </c>
    </row>
    <row r="42961" spans="1:6" x14ac:dyDescent="0.25">
      <c r="A42961" s="2" t="str">
        <f t="shared" si="1332"/>
        <v>99999</v>
      </c>
      <c r="B42961" s="2" t="str">
        <f>"38581"</f>
        <v>38581</v>
      </c>
      <c r="C42961" s="1">
        <v>5.3477698380979E-5</v>
      </c>
      <c r="D42961" s="1">
        <v>1.8211232080906399E-5</v>
      </c>
      <c r="E42961" s="1">
        <v>0</v>
      </c>
      <c r="F42961" s="1">
        <v>4.99415375606623E-5</v>
      </c>
    </row>
    <row r="42962" spans="1:6" x14ac:dyDescent="0.25">
      <c r="A42962" s="2" t="str">
        <f t="shared" ref="A42962:A43025" si="1333">"99999"</f>
        <v>99999</v>
      </c>
      <c r="B42962" s="2" t="str">
        <f>"38548"</f>
        <v>38548</v>
      </c>
      <c r="C42962" s="1">
        <v>1.85534871934008E-6</v>
      </c>
      <c r="D42962" s="1">
        <v>1.51760267340886E-6</v>
      </c>
      <c r="E42962" s="1">
        <v>0</v>
      </c>
      <c r="F42962" s="1">
        <v>1.79073242249386E-6</v>
      </c>
    </row>
    <row r="42963" spans="1:6" x14ac:dyDescent="0.25">
      <c r="A42963" s="2" t="str">
        <f t="shared" si="1333"/>
        <v>99999</v>
      </c>
      <c r="B42963" s="2" t="str">
        <f>"38504"</f>
        <v>38504</v>
      </c>
      <c r="C42963" s="1">
        <v>5.56604615802026E-5</v>
      </c>
      <c r="D42963" s="1">
        <v>1.0623218713862E-5</v>
      </c>
      <c r="E42963" s="1">
        <v>0</v>
      </c>
      <c r="F42963" s="1">
        <v>5.1433814579407101E-5</v>
      </c>
    </row>
    <row r="42964" spans="1:6" x14ac:dyDescent="0.25">
      <c r="A42964" s="2" t="str">
        <f t="shared" si="1333"/>
        <v>99999</v>
      </c>
      <c r="B42964" s="2" t="str">
        <f>"38333"</f>
        <v>38333</v>
      </c>
      <c r="C42964" s="1">
        <v>3.5033349347539302E-5</v>
      </c>
      <c r="D42964" s="1">
        <v>6.0704106936354696E-6</v>
      </c>
      <c r="E42964" s="1">
        <v>0</v>
      </c>
      <c r="F42964" s="1">
        <v>3.2332668739472599E-5</v>
      </c>
    </row>
    <row r="42965" spans="1:6" x14ac:dyDescent="0.25">
      <c r="A42965" s="2" t="str">
        <f t="shared" si="1333"/>
        <v>99999</v>
      </c>
      <c r="B42965" s="2" t="str">
        <f>"38345"</f>
        <v>38345</v>
      </c>
      <c r="C42965" s="1">
        <v>1.07828502041647E-4</v>
      </c>
      <c r="D42965" s="1">
        <v>2.5799245447950699E-5</v>
      </c>
      <c r="E42965" s="1">
        <v>8.69107991013423E-6</v>
      </c>
      <c r="F42965" s="1">
        <v>1.0018153052507301E-4</v>
      </c>
    </row>
    <row r="42966" spans="1:6" x14ac:dyDescent="0.25">
      <c r="A42966" s="2" t="str">
        <f t="shared" si="1333"/>
        <v>99999</v>
      </c>
      <c r="B42966" s="2" t="str">
        <f>"38339"</f>
        <v>38339</v>
      </c>
      <c r="C42966" s="1">
        <v>4.0926809985443098E-5</v>
      </c>
      <c r="D42966" s="1">
        <v>2.7316848121359601E-5</v>
      </c>
      <c r="E42966" s="1">
        <v>0</v>
      </c>
      <c r="F42966" s="1">
        <v>3.9097657891116098E-5</v>
      </c>
    </row>
    <row r="42967" spans="1:6" x14ac:dyDescent="0.25">
      <c r="A42967" s="2" t="str">
        <f t="shared" si="1333"/>
        <v>99999</v>
      </c>
      <c r="B42967" s="2" t="str">
        <f>"38315"</f>
        <v>38315</v>
      </c>
      <c r="C42967" s="1">
        <v>2.02778701207875E-4</v>
      </c>
      <c r="D42967" s="1">
        <v>1.24443419219527E-4</v>
      </c>
      <c r="E42967" s="1">
        <v>0</v>
      </c>
      <c r="F42967" s="1">
        <v>1.93001161091005E-4</v>
      </c>
    </row>
    <row r="42968" spans="1:6" x14ac:dyDescent="0.25">
      <c r="A42968" s="2" t="str">
        <f t="shared" si="1333"/>
        <v>99999</v>
      </c>
      <c r="B42968" s="2" t="str">
        <f>"38310"</f>
        <v>38310</v>
      </c>
      <c r="C42968" s="1">
        <v>3.3636380900036199E-4</v>
      </c>
      <c r="D42968" s="1">
        <v>3.70295052311764E-4</v>
      </c>
      <c r="E42968" s="1">
        <v>4.3455399550671103E-5</v>
      </c>
      <c r="F42968" s="1">
        <v>3.3188240896886298E-4</v>
      </c>
    </row>
    <row r="42969" spans="1:6" x14ac:dyDescent="0.25">
      <c r="A42969" s="2" t="str">
        <f t="shared" si="1333"/>
        <v>99999</v>
      </c>
      <c r="B42969" s="2" t="str">
        <f>"38067"</f>
        <v>38067</v>
      </c>
      <c r="C42969" s="1">
        <v>1.04008666443006E-4</v>
      </c>
      <c r="D42969" s="1">
        <v>2.5799245447950699E-5</v>
      </c>
      <c r="E42969" s="1">
        <v>0</v>
      </c>
      <c r="F42969" s="1">
        <v>9.6500580545502799E-5</v>
      </c>
    </row>
    <row r="42970" spans="1:6" x14ac:dyDescent="0.25">
      <c r="A42970" s="2" t="str">
        <f t="shared" si="1333"/>
        <v>99999</v>
      </c>
      <c r="B42970" s="2" t="str">
        <f>"38052"</f>
        <v>38052</v>
      </c>
      <c r="C42970" s="1">
        <v>2.1871287256220801E-4</v>
      </c>
      <c r="D42970" s="1">
        <v>1.9880595021656101E-4</v>
      </c>
      <c r="E42970" s="1">
        <v>9.5601879011476503E-5</v>
      </c>
      <c r="F42970" s="1">
        <v>2.1458943529551499E-4</v>
      </c>
    </row>
    <row r="42971" spans="1:6" x14ac:dyDescent="0.25">
      <c r="A42971" s="2" t="str">
        <f t="shared" si="1333"/>
        <v>99999</v>
      </c>
      <c r="B42971" s="2" t="str">
        <f>"37881"</f>
        <v>37881</v>
      </c>
      <c r="C42971" s="1">
        <v>4.5074060063968003E-5</v>
      </c>
      <c r="D42971" s="1">
        <v>3.0352053468177301E-6</v>
      </c>
      <c r="E42971" s="1">
        <v>0</v>
      </c>
      <c r="F42971" s="1">
        <v>4.1286330851941903E-5</v>
      </c>
    </row>
    <row r="42972" spans="1:6" x14ac:dyDescent="0.25">
      <c r="A42972" s="2" t="str">
        <f t="shared" si="1333"/>
        <v>99999</v>
      </c>
      <c r="B42972" s="2" t="str">
        <f>"38008"</f>
        <v>38008</v>
      </c>
      <c r="C42972" s="1">
        <v>5.1218538469782499E-4</v>
      </c>
      <c r="D42972" s="1">
        <v>8.55927907802602E-4</v>
      </c>
      <c r="E42972" s="1">
        <v>5.8230235397899296E-4</v>
      </c>
      <c r="F42972" s="1">
        <v>5.3632436053691296E-4</v>
      </c>
    </row>
    <row r="42973" spans="1:6" x14ac:dyDescent="0.25">
      <c r="A42973" s="2" t="str">
        <f t="shared" si="1333"/>
        <v>99999</v>
      </c>
      <c r="B42973" s="2" t="str">
        <f>"37732"</f>
        <v>37732</v>
      </c>
      <c r="C42973" s="1">
        <v>0</v>
      </c>
      <c r="D42973" s="1">
        <v>1.51760267340886E-6</v>
      </c>
      <c r="E42973" s="1">
        <v>0</v>
      </c>
      <c r="F42973" s="1">
        <v>9.9485134582992598E-8</v>
      </c>
    </row>
    <row r="42974" spans="1:6" x14ac:dyDescent="0.25">
      <c r="A42974" s="2" t="str">
        <f t="shared" si="1333"/>
        <v>99999</v>
      </c>
      <c r="B42974" s="2" t="str">
        <f>"37724"</f>
        <v>37724</v>
      </c>
      <c r="C42974" s="1">
        <v>1.73093121698434E-4</v>
      </c>
      <c r="D42974" s="1">
        <v>1.09267392485438E-4</v>
      </c>
      <c r="E42974" s="1">
        <v>3.4764319640536898E-4</v>
      </c>
      <c r="F42974" s="1">
        <v>1.72905163905241E-4</v>
      </c>
    </row>
    <row r="42975" spans="1:6" x14ac:dyDescent="0.25">
      <c r="A42975" s="2" t="str">
        <f t="shared" si="1333"/>
        <v>99999</v>
      </c>
      <c r="B42975" s="2" t="str">
        <f>"37691"</f>
        <v>37691</v>
      </c>
      <c r="C42975" s="1">
        <v>5.6533566859892097E-5</v>
      </c>
      <c r="D42975" s="1">
        <v>1.51760267340886E-6</v>
      </c>
      <c r="E42975" s="1">
        <v>1.7382159820268399E-5</v>
      </c>
      <c r="F42975" s="1">
        <v>5.2030725386905099E-5</v>
      </c>
    </row>
    <row r="42976" spans="1:6" x14ac:dyDescent="0.25">
      <c r="A42976" s="2" t="str">
        <f t="shared" si="1333"/>
        <v>99999</v>
      </c>
      <c r="B42976" s="2" t="str">
        <f>"37801"</f>
        <v>37801</v>
      </c>
      <c r="C42976" s="1">
        <v>4.6820270623346902E-5</v>
      </c>
      <c r="D42976" s="1">
        <v>1.3658424060679801E-5</v>
      </c>
      <c r="E42976" s="1">
        <v>0</v>
      </c>
      <c r="F42976" s="1">
        <v>4.35744889473507E-5</v>
      </c>
    </row>
    <row r="42977" spans="1:6" x14ac:dyDescent="0.25">
      <c r="A42977" s="2" t="str">
        <f t="shared" si="1333"/>
        <v>99999</v>
      </c>
      <c r="B42977" s="2" t="str">
        <f>"37755"</f>
        <v>37755</v>
      </c>
      <c r="C42977" s="1">
        <v>1.6327068730192699E-4</v>
      </c>
      <c r="D42977" s="1">
        <v>1.21408213872709E-4</v>
      </c>
      <c r="E42977" s="1">
        <v>4.7800939505738197E-5</v>
      </c>
      <c r="F42977" s="1">
        <v>1.57882908583209E-4</v>
      </c>
    </row>
    <row r="42978" spans="1:6" x14ac:dyDescent="0.25">
      <c r="A42978" s="2" t="str">
        <f t="shared" si="1333"/>
        <v>99999</v>
      </c>
      <c r="B42978" s="2" t="str">
        <f>"37357"</f>
        <v>37357</v>
      </c>
      <c r="C42978" s="1">
        <v>1.2987441035380599E-5</v>
      </c>
      <c r="D42978" s="1">
        <v>1.51760267340886E-6</v>
      </c>
      <c r="E42978" s="1">
        <v>0</v>
      </c>
      <c r="F42978" s="1">
        <v>1.19382161499591E-5</v>
      </c>
    </row>
    <row r="42979" spans="1:6" x14ac:dyDescent="0.25">
      <c r="A42979" s="2" t="str">
        <f t="shared" si="1333"/>
        <v>99999</v>
      </c>
      <c r="B42979" s="2" t="str">
        <f>"37345"</f>
        <v>37345</v>
      </c>
      <c r="C42979" s="1">
        <v>3.2741447988354498E-7</v>
      </c>
      <c r="D42979" s="1">
        <v>0</v>
      </c>
      <c r="E42979" s="1">
        <v>0</v>
      </c>
      <c r="F42979" s="1">
        <v>2.9845540374897701E-7</v>
      </c>
    </row>
    <row r="42980" spans="1:6" x14ac:dyDescent="0.25">
      <c r="A42980" s="2" t="str">
        <f t="shared" si="1333"/>
        <v>99999</v>
      </c>
      <c r="B42980" s="2" t="str">
        <f>"37397"</f>
        <v>37397</v>
      </c>
      <c r="C42980" s="1">
        <v>1.09138159961181E-7</v>
      </c>
      <c r="D42980" s="1">
        <v>0</v>
      </c>
      <c r="E42980" s="1">
        <v>0</v>
      </c>
      <c r="F42980" s="1">
        <v>9.9485134582992598E-8</v>
      </c>
    </row>
    <row r="42981" spans="1:6" x14ac:dyDescent="0.25">
      <c r="A42981" s="2" t="str">
        <f t="shared" si="1333"/>
        <v>99999</v>
      </c>
      <c r="B42981" s="2" t="str">
        <f>"37335"</f>
        <v>37335</v>
      </c>
      <c r="C42981" s="1">
        <v>1.4144305530969101E-4</v>
      </c>
      <c r="D42981" s="1">
        <v>6.5256914956581297E-5</v>
      </c>
      <c r="E42981" s="1">
        <v>1.08638498876677E-4</v>
      </c>
      <c r="F42981" s="1">
        <v>1.35697723571201E-4</v>
      </c>
    </row>
    <row r="42982" spans="1:6" x14ac:dyDescent="0.25">
      <c r="A42982" s="2" t="str">
        <f t="shared" si="1333"/>
        <v>99999</v>
      </c>
      <c r="B42982" s="2" t="str">
        <f>"37328"</f>
        <v>37328</v>
      </c>
      <c r="C42982" s="1">
        <v>7.1812909254457503E-5</v>
      </c>
      <c r="D42982" s="1">
        <v>5.3116093569310399E-5</v>
      </c>
      <c r="E42982" s="1">
        <v>3.47643196405369E-5</v>
      </c>
      <c r="F42982" s="1">
        <v>6.9739079342677804E-5</v>
      </c>
    </row>
    <row r="42983" spans="1:6" x14ac:dyDescent="0.25">
      <c r="A42983" s="2" t="str">
        <f t="shared" si="1333"/>
        <v>99999</v>
      </c>
      <c r="B42983" s="2" t="str">
        <f>"37327"</f>
        <v>37327</v>
      </c>
      <c r="C42983" s="1">
        <v>5.5223908940357899E-5</v>
      </c>
      <c r="D42983" s="1">
        <v>1.5176026734088599E-5</v>
      </c>
      <c r="E42983" s="1">
        <v>0</v>
      </c>
      <c r="F42983" s="1">
        <v>5.1334329444824197E-5</v>
      </c>
    </row>
    <row r="42984" spans="1:6" x14ac:dyDescent="0.25">
      <c r="A42984" s="2" t="str">
        <f t="shared" si="1333"/>
        <v>99999</v>
      </c>
      <c r="B42984" s="2" t="str">
        <f>"37305"</f>
        <v>37305</v>
      </c>
      <c r="C42984" s="1">
        <v>1.9972283272896199E-5</v>
      </c>
      <c r="D42984" s="1">
        <v>6.0704106936354696E-6</v>
      </c>
      <c r="E42984" s="1">
        <v>0</v>
      </c>
      <c r="F42984" s="1">
        <v>1.8603720167019601E-5</v>
      </c>
    </row>
    <row r="42985" spans="1:6" x14ac:dyDescent="0.25">
      <c r="A42985" s="2" t="str">
        <f t="shared" si="1333"/>
        <v>99999</v>
      </c>
      <c r="B42985" s="2" t="str">
        <f>"37095"</f>
        <v>37095</v>
      </c>
      <c r="C42985" s="1">
        <v>9.8879172924830596E-5</v>
      </c>
      <c r="D42985" s="1">
        <v>4.7045682875674899E-5</v>
      </c>
      <c r="E42985" s="1">
        <v>1.3036619865201299E-5</v>
      </c>
      <c r="F42985" s="1">
        <v>9.3516026508013006E-5</v>
      </c>
    </row>
    <row r="42986" spans="1:6" x14ac:dyDescent="0.25">
      <c r="A42986" s="2" t="str">
        <f t="shared" si="1333"/>
        <v>99999</v>
      </c>
      <c r="B42986" s="2" t="str">
        <f>"37055"</f>
        <v>37055</v>
      </c>
      <c r="C42986" s="1">
        <v>1.7898658233633802E-5</v>
      </c>
      <c r="D42986" s="1">
        <v>4.5528080202265997E-6</v>
      </c>
      <c r="E42986" s="1">
        <v>0</v>
      </c>
      <c r="F42986" s="1">
        <v>1.6614017475359701E-5</v>
      </c>
    </row>
    <row r="42987" spans="1:6" x14ac:dyDescent="0.25">
      <c r="A42987" s="2" t="str">
        <f t="shared" si="1333"/>
        <v>99999</v>
      </c>
      <c r="B42987" s="2" t="str">
        <f>"36912"</f>
        <v>36912</v>
      </c>
      <c r="C42987" s="1">
        <v>1.18087489077998E-4</v>
      </c>
      <c r="D42987" s="1">
        <v>9.1056160404532095E-6</v>
      </c>
      <c r="E42987" s="1">
        <v>4.3455399550671099E-6</v>
      </c>
      <c r="F42987" s="1">
        <v>1.08339311560878E-4</v>
      </c>
    </row>
    <row r="42988" spans="1:6" x14ac:dyDescent="0.25">
      <c r="A42988" s="2" t="str">
        <f t="shared" si="1333"/>
        <v>99999</v>
      </c>
      <c r="B42988" s="2" t="str">
        <f>"36907"</f>
        <v>36907</v>
      </c>
      <c r="C42988" s="1">
        <v>1.1197575212017199E-4</v>
      </c>
      <c r="D42988" s="1">
        <v>3.0352053468177301E-5</v>
      </c>
      <c r="E42988" s="1">
        <v>0</v>
      </c>
      <c r="F42988" s="1">
        <v>1.0406145077380999E-4</v>
      </c>
    </row>
    <row r="42989" spans="1:6" x14ac:dyDescent="0.25">
      <c r="A42989" s="2" t="str">
        <f t="shared" si="1333"/>
        <v>99999</v>
      </c>
      <c r="B42989" s="2" t="str">
        <f>"36722"</f>
        <v>36722</v>
      </c>
      <c r="C42989" s="1">
        <v>2.02996977527798E-5</v>
      </c>
      <c r="D42989" s="1">
        <v>6.0704106936354696E-6</v>
      </c>
      <c r="E42989" s="1">
        <v>4.3455399550671099E-6</v>
      </c>
      <c r="F42989" s="1">
        <v>1.90016607053515E-5</v>
      </c>
    </row>
    <row r="42990" spans="1:6" x14ac:dyDescent="0.25">
      <c r="A42990" s="2" t="str">
        <f t="shared" si="1333"/>
        <v>99999</v>
      </c>
      <c r="B42990" s="2" t="str">
        <f>"36761"</f>
        <v>36761</v>
      </c>
      <c r="C42990" s="1">
        <v>2.07362503926245E-6</v>
      </c>
      <c r="D42990" s="1">
        <v>0</v>
      </c>
      <c r="E42990" s="1">
        <v>0</v>
      </c>
      <c r="F42990" s="1">
        <v>1.89021755707686E-6</v>
      </c>
    </row>
    <row r="42991" spans="1:6" x14ac:dyDescent="0.25">
      <c r="A42991" s="2" t="str">
        <f t="shared" si="1333"/>
        <v>99999</v>
      </c>
      <c r="B42991" s="2" t="str">
        <f>"36768"</f>
        <v>36768</v>
      </c>
      <c r="C42991" s="1">
        <v>7.1703771094496402E-5</v>
      </c>
      <c r="D42991" s="1">
        <v>2.5799245447950699E-5</v>
      </c>
      <c r="E42991" s="1">
        <v>4.3455399550671099E-6</v>
      </c>
      <c r="F42991" s="1">
        <v>6.7152465843520006E-5</v>
      </c>
    </row>
    <row r="42992" spans="1:6" x14ac:dyDescent="0.25">
      <c r="A42992" s="2" t="str">
        <f t="shared" si="1333"/>
        <v>99999</v>
      </c>
      <c r="B42992" s="2" t="str">
        <f>"36766"</f>
        <v>36766</v>
      </c>
      <c r="C42992" s="1">
        <v>0</v>
      </c>
      <c r="D42992" s="1">
        <v>0</v>
      </c>
      <c r="E42992" s="1">
        <v>4.3455399550671099E-6</v>
      </c>
      <c r="F42992" s="1">
        <v>9.9485134582992598E-8</v>
      </c>
    </row>
    <row r="42993" spans="1:6" x14ac:dyDescent="0.25">
      <c r="A42993" s="2" t="str">
        <f t="shared" si="1333"/>
        <v>99999</v>
      </c>
      <c r="B42993" s="2" t="str">
        <f>"36436"</f>
        <v>36436</v>
      </c>
      <c r="C42993" s="1">
        <v>3.0776961109053202E-5</v>
      </c>
      <c r="D42993" s="1">
        <v>1.0623218713862E-5</v>
      </c>
      <c r="E42993" s="1">
        <v>4.3455399550671099E-6</v>
      </c>
      <c r="F42993" s="1">
        <v>2.88506890290678E-5</v>
      </c>
    </row>
    <row r="42994" spans="1:6" x14ac:dyDescent="0.25">
      <c r="A42994" s="2" t="str">
        <f t="shared" si="1333"/>
        <v>99999</v>
      </c>
      <c r="B42994" s="2" t="str">
        <f>"36425"</f>
        <v>36425</v>
      </c>
      <c r="C42994" s="1">
        <v>4.2018191585054898E-5</v>
      </c>
      <c r="D42994" s="1">
        <v>1.3658424060679801E-5</v>
      </c>
      <c r="E42994" s="1">
        <v>1.3036619865201299E-5</v>
      </c>
      <c r="F42994" s="1">
        <v>3.9495598429447998E-5</v>
      </c>
    </row>
    <row r="42995" spans="1:6" x14ac:dyDescent="0.25">
      <c r="A42995" s="2" t="str">
        <f t="shared" si="1333"/>
        <v>99999</v>
      </c>
      <c r="B42995" s="2" t="str">
        <f>"36454"</f>
        <v>36454</v>
      </c>
      <c r="C42995" s="1">
        <v>5.5660461580202599E-6</v>
      </c>
      <c r="D42995" s="1">
        <v>4.5528080202265997E-6</v>
      </c>
      <c r="E42995" s="1">
        <v>4.3455399550671099E-6</v>
      </c>
      <c r="F42995" s="1">
        <v>5.4716824020645896E-6</v>
      </c>
    </row>
    <row r="42996" spans="1:6" x14ac:dyDescent="0.25">
      <c r="A42996" s="2" t="str">
        <f t="shared" si="1333"/>
        <v>99999</v>
      </c>
      <c r="B42996" s="2" t="str">
        <f>"36444"</f>
        <v>36444</v>
      </c>
      <c r="C42996" s="1">
        <v>4.3873540304395E-5</v>
      </c>
      <c r="D42996" s="1">
        <v>1.0623218713862E-5</v>
      </c>
      <c r="E42996" s="1">
        <v>0</v>
      </c>
      <c r="F42996" s="1">
        <v>4.0689420044443899E-5</v>
      </c>
    </row>
    <row r="42997" spans="1:6" x14ac:dyDescent="0.25">
      <c r="A42997" s="2" t="str">
        <f t="shared" si="1333"/>
        <v>99999</v>
      </c>
      <c r="B42997" s="2" t="str">
        <f>"36275"</f>
        <v>36275</v>
      </c>
      <c r="C42997" s="1">
        <v>0</v>
      </c>
      <c r="D42997" s="1">
        <v>1.51760267340886E-6</v>
      </c>
      <c r="E42997" s="1">
        <v>0</v>
      </c>
      <c r="F42997" s="1">
        <v>9.9485134582992598E-8</v>
      </c>
    </row>
    <row r="42998" spans="1:6" x14ac:dyDescent="0.25">
      <c r="A42998" s="2" t="str">
        <f t="shared" si="1333"/>
        <v>99999</v>
      </c>
      <c r="B42998" s="2" t="str">
        <f>"36280"</f>
        <v>36280</v>
      </c>
      <c r="C42998" s="1">
        <v>2.6367779446621501E-4</v>
      </c>
      <c r="D42998" s="1">
        <v>1.5934828070793099E-4</v>
      </c>
      <c r="E42998" s="1">
        <v>5.6492019415872502E-5</v>
      </c>
      <c r="F42998" s="1">
        <v>2.5209533103330301E-4</v>
      </c>
    </row>
    <row r="42999" spans="1:6" x14ac:dyDescent="0.25">
      <c r="A42999" s="2" t="str">
        <f t="shared" si="1333"/>
        <v>99999</v>
      </c>
      <c r="B42999" s="2" t="str">
        <f>"36276"</f>
        <v>36276</v>
      </c>
      <c r="C42999" s="1">
        <v>1.1917887067761E-4</v>
      </c>
      <c r="D42999" s="1">
        <v>6.2221709609763595E-5</v>
      </c>
      <c r="E42999" s="1">
        <v>3.0418779685469802E-5</v>
      </c>
      <c r="F42999" s="1">
        <v>1.13413053424611E-4</v>
      </c>
    </row>
    <row r="43000" spans="1:6" x14ac:dyDescent="0.25">
      <c r="A43000" s="2" t="str">
        <f t="shared" si="1333"/>
        <v>99999</v>
      </c>
      <c r="B43000" s="2" t="str">
        <f>"36267"</f>
        <v>36267</v>
      </c>
      <c r="C43000" s="1">
        <v>0</v>
      </c>
      <c r="D43000" s="1">
        <v>1.51760267340886E-6</v>
      </c>
      <c r="E43000" s="1">
        <v>0</v>
      </c>
      <c r="F43000" s="1">
        <v>9.9485134582992598E-8</v>
      </c>
    </row>
    <row r="43001" spans="1:6" x14ac:dyDescent="0.25">
      <c r="A43001" s="2" t="str">
        <f t="shared" si="1333"/>
        <v>99999</v>
      </c>
      <c r="B43001" s="2" t="str">
        <f>"36266"</f>
        <v>36266</v>
      </c>
      <c r="C43001" s="1">
        <v>3.8962323106141801E-4</v>
      </c>
      <c r="D43001" s="1">
        <v>2.1701718229746799E-4</v>
      </c>
      <c r="E43001" s="1">
        <v>2.3900469752869099E-4</v>
      </c>
      <c r="F43001" s="1">
        <v>3.7485998710871601E-4</v>
      </c>
    </row>
    <row r="43002" spans="1:6" x14ac:dyDescent="0.25">
      <c r="A43002" s="2" t="str">
        <f t="shared" si="1333"/>
        <v>99999</v>
      </c>
      <c r="B43002" s="2" t="str">
        <f>"36207"</f>
        <v>36207</v>
      </c>
      <c r="C43002" s="1">
        <v>3.05586847891308E-6</v>
      </c>
      <c r="D43002" s="1">
        <v>0</v>
      </c>
      <c r="E43002" s="1">
        <v>0</v>
      </c>
      <c r="F43002" s="1">
        <v>2.7855837683237898E-6</v>
      </c>
    </row>
    <row r="43003" spans="1:6" x14ac:dyDescent="0.25">
      <c r="A43003" s="2" t="str">
        <f t="shared" si="1333"/>
        <v>99999</v>
      </c>
      <c r="B43003" s="2" t="str">
        <f>"36071"</f>
        <v>36071</v>
      </c>
      <c r="C43003" s="1">
        <v>5.23863167813672E-5</v>
      </c>
      <c r="D43003" s="1">
        <v>2.7316848121359601E-5</v>
      </c>
      <c r="E43003" s="1">
        <v>3.47643196405369E-5</v>
      </c>
      <c r="F43003" s="1">
        <v>5.0339478098994199E-5</v>
      </c>
    </row>
    <row r="43004" spans="1:6" x14ac:dyDescent="0.25">
      <c r="A43004" s="2" t="str">
        <f t="shared" si="1333"/>
        <v>99999</v>
      </c>
      <c r="B43004" s="2" t="str">
        <f>"36038"</f>
        <v>36038</v>
      </c>
      <c r="C43004" s="1">
        <v>0</v>
      </c>
      <c r="D43004" s="1">
        <v>0</v>
      </c>
      <c r="E43004" s="1">
        <v>8.69107991013423E-6</v>
      </c>
      <c r="F43004" s="1">
        <v>1.9897026916598501E-7</v>
      </c>
    </row>
    <row r="43005" spans="1:6" x14ac:dyDescent="0.25">
      <c r="A43005" s="2" t="str">
        <f t="shared" si="1333"/>
        <v>99999</v>
      </c>
      <c r="B43005" s="2" t="str">
        <f>"36034"</f>
        <v>36034</v>
      </c>
      <c r="C43005" s="1">
        <v>4.5838027183696299E-6</v>
      </c>
      <c r="D43005" s="1">
        <v>0</v>
      </c>
      <c r="E43005" s="1">
        <v>4.3455399550671099E-6</v>
      </c>
      <c r="F43005" s="1">
        <v>4.2778607870686803E-6</v>
      </c>
    </row>
    <row r="43006" spans="1:6" x14ac:dyDescent="0.25">
      <c r="A43006" s="2" t="str">
        <f t="shared" si="1333"/>
        <v>99999</v>
      </c>
      <c r="B43006" s="2" t="str">
        <f>"36088"</f>
        <v>36088</v>
      </c>
      <c r="C43006" s="1">
        <v>5.4154354972738299E-4</v>
      </c>
      <c r="D43006" s="1">
        <v>2.57992454479507E-4</v>
      </c>
      <c r="E43006" s="1">
        <v>8.8214461087862401E-4</v>
      </c>
      <c r="F43006" s="1">
        <v>5.3075319300026499E-4</v>
      </c>
    </row>
    <row r="43007" spans="1:6" x14ac:dyDescent="0.25">
      <c r="A43007" s="2" t="str">
        <f t="shared" si="1333"/>
        <v>99999</v>
      </c>
      <c r="B43007" s="2" t="str">
        <f>"35967"</f>
        <v>35967</v>
      </c>
      <c r="C43007" s="1">
        <v>1.8880901673284399E-5</v>
      </c>
      <c r="D43007" s="1">
        <v>7.5880133670443404E-6</v>
      </c>
      <c r="E43007" s="1">
        <v>0</v>
      </c>
      <c r="F43007" s="1">
        <v>1.77083539557726E-5</v>
      </c>
    </row>
    <row r="43008" spans="1:6" x14ac:dyDescent="0.25">
      <c r="A43008" s="2" t="str">
        <f t="shared" si="1333"/>
        <v>99999</v>
      </c>
      <c r="B43008" s="2" t="str">
        <f>"35593"</f>
        <v>35593</v>
      </c>
      <c r="C43008" s="1">
        <v>1.1448592979927901E-4</v>
      </c>
      <c r="D43008" s="1">
        <v>3.3387258814995101E-5</v>
      </c>
      <c r="E43008" s="1">
        <v>2.1727699775335501E-5</v>
      </c>
      <c r="F43008" s="1">
        <v>1.070460048113E-4</v>
      </c>
    </row>
    <row r="43009" spans="1:6" x14ac:dyDescent="0.25">
      <c r="A43009" s="2" t="str">
        <f t="shared" si="1333"/>
        <v>99999</v>
      </c>
      <c r="B43009" s="2" t="str">
        <f>"35555"</f>
        <v>35555</v>
      </c>
      <c r="C43009" s="1">
        <v>5.9447555730855598E-4</v>
      </c>
      <c r="D43009" s="1">
        <v>9.2573763077940998E-4</v>
      </c>
      <c r="E43009" s="1">
        <v>7.2135963254114097E-4</v>
      </c>
      <c r="F43009" s="1">
        <v>6.1909599250996295E-4</v>
      </c>
    </row>
    <row r="43010" spans="1:6" x14ac:dyDescent="0.25">
      <c r="A43010" s="2" t="str">
        <f t="shared" si="1333"/>
        <v>99999</v>
      </c>
      <c r="B43010" s="2" t="str">
        <f>"35442"</f>
        <v>35442</v>
      </c>
      <c r="C43010" s="1">
        <v>2.9358165029557801E-5</v>
      </c>
      <c r="D43010" s="1">
        <v>7.5880133670443404E-6</v>
      </c>
      <c r="E43010" s="1">
        <v>0</v>
      </c>
      <c r="F43010" s="1">
        <v>2.7258926875739899E-5</v>
      </c>
    </row>
    <row r="43011" spans="1:6" x14ac:dyDescent="0.25">
      <c r="A43011" s="2" t="str">
        <f t="shared" si="1333"/>
        <v>99999</v>
      </c>
      <c r="B43011" s="2" t="str">
        <f>"35160"</f>
        <v>35160</v>
      </c>
      <c r="C43011" s="1">
        <v>4.9876139102259999E-5</v>
      </c>
      <c r="D43011" s="1">
        <v>1.51760267340886E-6</v>
      </c>
      <c r="E43011" s="1">
        <v>4.3455399550671099E-6</v>
      </c>
      <c r="F43011" s="1">
        <v>4.5663676773593601E-5</v>
      </c>
    </row>
    <row r="43012" spans="1:6" x14ac:dyDescent="0.25">
      <c r="A43012" s="2" t="str">
        <f t="shared" si="1333"/>
        <v>99999</v>
      </c>
      <c r="B43012" s="2" t="str">
        <f>"35042"</f>
        <v>35042</v>
      </c>
      <c r="C43012" s="1">
        <v>7.4213948773603504E-6</v>
      </c>
      <c r="D43012" s="1">
        <v>1.51760267340886E-6</v>
      </c>
      <c r="E43012" s="1">
        <v>0</v>
      </c>
      <c r="F43012" s="1">
        <v>6.86447428622649E-6</v>
      </c>
    </row>
    <row r="43013" spans="1:6" x14ac:dyDescent="0.25">
      <c r="A43013" s="2" t="str">
        <f t="shared" si="1333"/>
        <v>99999</v>
      </c>
      <c r="B43013" s="2" t="str">
        <f>"35082"</f>
        <v>35082</v>
      </c>
      <c r="C43013" s="1">
        <v>0</v>
      </c>
      <c r="D43013" s="1">
        <v>1.51760267340886E-6</v>
      </c>
      <c r="E43013" s="1">
        <v>0</v>
      </c>
      <c r="F43013" s="1">
        <v>9.9485134582992598E-8</v>
      </c>
    </row>
    <row r="43014" spans="1:6" x14ac:dyDescent="0.25">
      <c r="A43014" s="2" t="str">
        <f t="shared" si="1333"/>
        <v>99999</v>
      </c>
      <c r="B43014" s="2" t="str">
        <f>"33935"</f>
        <v>33935</v>
      </c>
      <c r="C43014" s="1">
        <v>1.75821575697463E-4</v>
      </c>
      <c r="D43014" s="1">
        <v>2.5799245447950699E-5</v>
      </c>
      <c r="E43014" s="1">
        <v>8.2565259146275205E-5</v>
      </c>
      <c r="F43014" s="1">
        <v>1.6385201665818799E-4</v>
      </c>
    </row>
    <row r="43015" spans="1:6" x14ac:dyDescent="0.25">
      <c r="A43015" s="2" t="str">
        <f t="shared" si="1333"/>
        <v>99999</v>
      </c>
      <c r="B43015" s="2" t="str">
        <f>"32421"</f>
        <v>32421</v>
      </c>
      <c r="C43015" s="1">
        <v>2.3388307679681199E-4</v>
      </c>
      <c r="D43015" s="1">
        <v>5.9186504262945899E-5</v>
      </c>
      <c r="E43015" s="1">
        <v>7.3874179236140894E-5</v>
      </c>
      <c r="F43015" s="1">
        <v>2.18767810948E-4</v>
      </c>
    </row>
    <row r="43016" spans="1:6" x14ac:dyDescent="0.25">
      <c r="A43016" s="2" t="str">
        <f t="shared" si="1333"/>
        <v>99999</v>
      </c>
      <c r="B43016" s="2" t="str">
        <f>"32357"</f>
        <v>32357</v>
      </c>
      <c r="C43016" s="1">
        <v>0</v>
      </c>
      <c r="D43016" s="1">
        <v>0</v>
      </c>
      <c r="E43016" s="1">
        <v>4.3455399550671099E-6</v>
      </c>
      <c r="F43016" s="1">
        <v>9.9485134582992598E-8</v>
      </c>
    </row>
    <row r="43017" spans="1:6" x14ac:dyDescent="0.25">
      <c r="A43017" s="2" t="str">
        <f t="shared" si="1333"/>
        <v>99999</v>
      </c>
      <c r="B43017" s="2" t="str">
        <f>"32359"</f>
        <v>32359</v>
      </c>
      <c r="C43017" s="1">
        <v>9.3094850446888002E-5</v>
      </c>
      <c r="D43017" s="1">
        <v>2.2764040101133E-5</v>
      </c>
      <c r="E43017" s="1">
        <v>4.3455399550671099E-6</v>
      </c>
      <c r="F43017" s="1">
        <v>8.6452581952620606E-5</v>
      </c>
    </row>
    <row r="43018" spans="1:6" x14ac:dyDescent="0.25">
      <c r="A43018" s="2" t="str">
        <f t="shared" si="1333"/>
        <v>99999</v>
      </c>
      <c r="B43018" s="2" t="str">
        <f>"32062"</f>
        <v>32062</v>
      </c>
      <c r="C43018" s="1">
        <v>1.4253443690930299E-4</v>
      </c>
      <c r="D43018" s="1">
        <v>4.7045682875674899E-5</v>
      </c>
      <c r="E43018" s="1">
        <v>1.3036619865201299E-5</v>
      </c>
      <c r="F43018" s="1">
        <v>1.3331008034121001E-4</v>
      </c>
    </row>
    <row r="43019" spans="1:6" x14ac:dyDescent="0.25">
      <c r="A43019" s="2" t="str">
        <f t="shared" si="1333"/>
        <v>99999</v>
      </c>
      <c r="B43019" s="2" t="str">
        <f>"32059"</f>
        <v>32059</v>
      </c>
      <c r="C43019" s="1">
        <v>1.45372029068294E-4</v>
      </c>
      <c r="D43019" s="1">
        <v>6.2221709609763595E-5</v>
      </c>
      <c r="E43019" s="1">
        <v>8.69107991013423E-6</v>
      </c>
      <c r="F43019" s="1">
        <v>1.3679206005161399E-4</v>
      </c>
    </row>
    <row r="43020" spans="1:6" x14ac:dyDescent="0.25">
      <c r="A43020" s="2" t="str">
        <f t="shared" si="1333"/>
        <v>99999</v>
      </c>
      <c r="B43020" s="2" t="str">
        <f>"31773"</f>
        <v>31773</v>
      </c>
      <c r="C43020" s="1">
        <v>5.0640106221988301E-5</v>
      </c>
      <c r="D43020" s="1">
        <v>6.0704106936354696E-6</v>
      </c>
      <c r="E43020" s="1">
        <v>1.73821598202684E-4</v>
      </c>
      <c r="F43020" s="1">
        <v>5.0538448368160202E-5</v>
      </c>
    </row>
    <row r="43021" spans="1:6" x14ac:dyDescent="0.25">
      <c r="A43021" s="2" t="str">
        <f t="shared" si="1333"/>
        <v>99999</v>
      </c>
      <c r="B43021" s="2" t="str">
        <f>"31825"</f>
        <v>31825</v>
      </c>
      <c r="C43021" s="1">
        <v>2.75028163102177E-5</v>
      </c>
      <c r="D43021" s="1">
        <v>1.51760267340886E-6</v>
      </c>
      <c r="E43021" s="1">
        <v>0</v>
      </c>
      <c r="F43021" s="1">
        <v>2.5169739049497099E-5</v>
      </c>
    </row>
    <row r="43022" spans="1:6" x14ac:dyDescent="0.25">
      <c r="A43022" s="2" t="str">
        <f t="shared" si="1333"/>
        <v>99999</v>
      </c>
      <c r="B43022" s="2" t="str">
        <f>"31557"</f>
        <v>31557</v>
      </c>
      <c r="C43022" s="1">
        <v>3.4924211187578098E-6</v>
      </c>
      <c r="D43022" s="1">
        <v>1.51760267340886E-6</v>
      </c>
      <c r="E43022" s="1">
        <v>0</v>
      </c>
      <c r="F43022" s="1">
        <v>3.2830094412387502E-6</v>
      </c>
    </row>
    <row r="43023" spans="1:6" x14ac:dyDescent="0.25">
      <c r="A43023" s="2" t="str">
        <f t="shared" si="1333"/>
        <v>99999</v>
      </c>
      <c r="B43023" s="2" t="str">
        <f>"31553"</f>
        <v>31553</v>
      </c>
      <c r="C43023" s="1">
        <v>1.9644868793012701E-6</v>
      </c>
      <c r="D43023" s="1">
        <v>0</v>
      </c>
      <c r="E43023" s="1">
        <v>0</v>
      </c>
      <c r="F43023" s="1">
        <v>1.79073242249386E-6</v>
      </c>
    </row>
    <row r="43024" spans="1:6" x14ac:dyDescent="0.25">
      <c r="A43024" s="2" t="str">
        <f t="shared" si="1333"/>
        <v>99999</v>
      </c>
      <c r="B43024" s="2" t="str">
        <f>"31562"</f>
        <v>31562</v>
      </c>
      <c r="C43024" s="1">
        <v>1.3260286435283499E-4</v>
      </c>
      <c r="D43024" s="1">
        <v>7.5880133670443406E-5</v>
      </c>
      <c r="E43024" s="1">
        <v>0</v>
      </c>
      <c r="F43024" s="1">
        <v>1.2584869524748501E-4</v>
      </c>
    </row>
    <row r="43025" spans="1:6" x14ac:dyDescent="0.25">
      <c r="A43025" s="2" t="str">
        <f t="shared" si="1333"/>
        <v>99999</v>
      </c>
      <c r="B43025" s="2" t="str">
        <f>"31049"</f>
        <v>31049</v>
      </c>
      <c r="C43025" s="1">
        <v>2.7611954470178899E-5</v>
      </c>
      <c r="D43025" s="1">
        <v>6.0704106936354696E-6</v>
      </c>
      <c r="E43025" s="1">
        <v>0</v>
      </c>
      <c r="F43025" s="1">
        <v>2.55676795878291E-5</v>
      </c>
    </row>
    <row r="43026" spans="1:6" x14ac:dyDescent="0.25">
      <c r="A43026" s="2" t="str">
        <f t="shared" ref="A43026:A43089" si="1334">"99999"</f>
        <v>99999</v>
      </c>
      <c r="B43026" s="2" t="str">
        <f>"31021"</f>
        <v>31021</v>
      </c>
      <c r="C43026" s="1">
        <v>1.09138159961181E-7</v>
      </c>
      <c r="D43026" s="1">
        <v>4.5528080202265997E-6</v>
      </c>
      <c r="E43026" s="1">
        <v>0</v>
      </c>
      <c r="F43026" s="1">
        <v>3.9794053833197002E-7</v>
      </c>
    </row>
    <row r="43027" spans="1:6" x14ac:dyDescent="0.25">
      <c r="A43027" s="2" t="str">
        <f t="shared" si="1334"/>
        <v>99999</v>
      </c>
      <c r="B43027" s="2" t="str">
        <f>"31026"</f>
        <v>31026</v>
      </c>
      <c r="C43027" s="1">
        <v>0</v>
      </c>
      <c r="D43027" s="1">
        <v>1.51760267340886E-6</v>
      </c>
      <c r="E43027" s="1">
        <v>0</v>
      </c>
      <c r="F43027" s="1">
        <v>9.9485134582992598E-8</v>
      </c>
    </row>
    <row r="43028" spans="1:6" x14ac:dyDescent="0.25">
      <c r="A43028" s="2" t="str">
        <f t="shared" si="1334"/>
        <v>99999</v>
      </c>
      <c r="B43028" s="2" t="str">
        <f>"31036"</f>
        <v>31036</v>
      </c>
      <c r="C43028" s="1">
        <v>4.4124558072305698E-4</v>
      </c>
      <c r="D43028" s="1">
        <v>5.9641785064968504E-4</v>
      </c>
      <c r="E43028" s="1">
        <v>1.6513051829255E-4</v>
      </c>
      <c r="F43028" s="1">
        <v>4.4509649212430899E-4</v>
      </c>
    </row>
    <row r="43029" spans="1:6" x14ac:dyDescent="0.25">
      <c r="A43029" s="2" t="str">
        <f t="shared" si="1334"/>
        <v>99999</v>
      </c>
      <c r="B43029" s="2" t="str">
        <f>"30824"</f>
        <v>30824</v>
      </c>
      <c r="C43029" s="1">
        <v>1.85534871934008E-6</v>
      </c>
      <c r="D43029" s="1">
        <v>0</v>
      </c>
      <c r="E43029" s="1">
        <v>4.3455399550671099E-6</v>
      </c>
      <c r="F43029" s="1">
        <v>1.79073242249386E-6</v>
      </c>
    </row>
    <row r="43030" spans="1:6" x14ac:dyDescent="0.25">
      <c r="A43030" s="2" t="str">
        <f t="shared" si="1334"/>
        <v>99999</v>
      </c>
      <c r="B43030" s="2" t="str">
        <f>"30821"</f>
        <v>30821</v>
      </c>
      <c r="C43030" s="1">
        <v>5.4678218140552002E-5</v>
      </c>
      <c r="D43030" s="1">
        <v>1.66936294074975E-5</v>
      </c>
      <c r="E43030" s="1">
        <v>0</v>
      </c>
      <c r="F43030" s="1">
        <v>5.0936388906492203E-5</v>
      </c>
    </row>
    <row r="43031" spans="1:6" x14ac:dyDescent="0.25">
      <c r="A43031" s="2" t="str">
        <f t="shared" si="1334"/>
        <v>99999</v>
      </c>
      <c r="B43031" s="2" t="str">
        <f>"31003"</f>
        <v>31003</v>
      </c>
      <c r="C43031" s="1">
        <v>0</v>
      </c>
      <c r="D43031" s="1">
        <v>0</v>
      </c>
      <c r="E43031" s="1">
        <v>4.3455399550671099E-6</v>
      </c>
      <c r="F43031" s="1">
        <v>9.9485134582992598E-8</v>
      </c>
    </row>
    <row r="43032" spans="1:6" x14ac:dyDescent="0.25">
      <c r="A43032" s="2" t="str">
        <f t="shared" si="1334"/>
        <v>99999</v>
      </c>
      <c r="B43032" s="2" t="str">
        <f>"30807"</f>
        <v>30807</v>
      </c>
      <c r="C43032" s="1">
        <v>5.8934606379038102E-6</v>
      </c>
      <c r="D43032" s="1">
        <v>1.5176026734088599E-5</v>
      </c>
      <c r="E43032" s="1">
        <v>0</v>
      </c>
      <c r="F43032" s="1">
        <v>6.3670486133115203E-6</v>
      </c>
    </row>
    <row r="43033" spans="1:6" x14ac:dyDescent="0.25">
      <c r="A43033" s="2" t="str">
        <f t="shared" si="1334"/>
        <v>99999</v>
      </c>
      <c r="B43033" s="2" t="str">
        <f>"30650"</f>
        <v>30650</v>
      </c>
      <c r="C43033" s="1">
        <v>3.5142487507500497E-5</v>
      </c>
      <c r="D43033" s="1">
        <v>9.1056160404532095E-6</v>
      </c>
      <c r="E43033" s="1">
        <v>0</v>
      </c>
      <c r="F43033" s="1">
        <v>3.26311241432215E-5</v>
      </c>
    </row>
    <row r="43034" spans="1:6" x14ac:dyDescent="0.25">
      <c r="A43034" s="2" t="str">
        <f t="shared" si="1334"/>
        <v>99999</v>
      </c>
      <c r="B43034" s="2" t="str">
        <f>"30634"</f>
        <v>30634</v>
      </c>
      <c r="C43034" s="1">
        <v>1.3118406827334001E-4</v>
      </c>
      <c r="D43034" s="1">
        <v>4.7045682875674899E-5</v>
      </c>
      <c r="E43034" s="1">
        <v>1.7382159820268399E-5</v>
      </c>
      <c r="F43034" s="1">
        <v>1.23063111479161E-4</v>
      </c>
    </row>
    <row r="43035" spans="1:6" x14ac:dyDescent="0.25">
      <c r="A43035" s="2" t="str">
        <f t="shared" si="1334"/>
        <v>99999</v>
      </c>
      <c r="B43035" s="2" t="str">
        <f>"30624"</f>
        <v>30624</v>
      </c>
      <c r="C43035" s="1">
        <v>1.4460806194856499E-4</v>
      </c>
      <c r="D43035" s="1">
        <v>1.09267392485438E-4</v>
      </c>
      <c r="E43035" s="1">
        <v>3.9109859595604001E-5</v>
      </c>
      <c r="F43035" s="1">
        <v>1.3987609922368701E-4</v>
      </c>
    </row>
    <row r="43036" spans="1:6" x14ac:dyDescent="0.25">
      <c r="A43036" s="2" t="str">
        <f t="shared" si="1334"/>
        <v>99999</v>
      </c>
      <c r="B43036" s="2" t="str">
        <f>"30581"</f>
        <v>30581</v>
      </c>
      <c r="C43036" s="1">
        <v>0</v>
      </c>
      <c r="D43036" s="1">
        <v>0</v>
      </c>
      <c r="E43036" s="1">
        <v>4.3455399550671099E-6</v>
      </c>
      <c r="F43036" s="1">
        <v>9.9485134582992598E-8</v>
      </c>
    </row>
    <row r="43037" spans="1:6" x14ac:dyDescent="0.25">
      <c r="A43037" s="2" t="str">
        <f t="shared" si="1334"/>
        <v>99999</v>
      </c>
      <c r="B43037" s="2" t="str">
        <f>"30576"</f>
        <v>30576</v>
      </c>
      <c r="C43037" s="1">
        <v>1.8400693769455201E-4</v>
      </c>
      <c r="D43037" s="1">
        <v>1.5934828070793099E-4</v>
      </c>
      <c r="E43037" s="1">
        <v>2.1727699775335501E-5</v>
      </c>
      <c r="F43037" s="1">
        <v>1.78675301711054E-4</v>
      </c>
    </row>
    <row r="43038" spans="1:6" x14ac:dyDescent="0.25">
      <c r="A43038" s="2" t="str">
        <f t="shared" si="1334"/>
        <v>99999</v>
      </c>
      <c r="B43038" s="2" t="str">
        <f>"30571"</f>
        <v>30571</v>
      </c>
      <c r="C43038" s="1">
        <v>2.37921188715376E-4</v>
      </c>
      <c r="D43038" s="1">
        <v>1.18373008525891E-4</v>
      </c>
      <c r="E43038" s="1">
        <v>9.9947418966543598E-5</v>
      </c>
      <c r="F43038" s="1">
        <v>2.26925591983806E-4</v>
      </c>
    </row>
    <row r="43039" spans="1:6" x14ac:dyDescent="0.25">
      <c r="A43039" s="2" t="str">
        <f t="shared" si="1334"/>
        <v>99999</v>
      </c>
      <c r="B43039" s="2" t="str">
        <f>"30559"</f>
        <v>30559</v>
      </c>
      <c r="C43039" s="1">
        <v>3.7707234266588199E-4</v>
      </c>
      <c r="D43039" s="1">
        <v>1.63901088728157E-4</v>
      </c>
      <c r="E43039" s="1">
        <v>4.3455399550671103E-5</v>
      </c>
      <c r="F43039" s="1">
        <v>3.5546038586503203E-4</v>
      </c>
    </row>
    <row r="43040" spans="1:6" x14ac:dyDescent="0.25">
      <c r="A43040" s="2" t="str">
        <f t="shared" si="1334"/>
        <v>99999</v>
      </c>
      <c r="B43040" s="2" t="str">
        <f>"30543"</f>
        <v>30543</v>
      </c>
      <c r="C43040" s="1">
        <v>4.0926809985443098E-5</v>
      </c>
      <c r="D43040" s="1">
        <v>9.1056160404532095E-6</v>
      </c>
      <c r="E43040" s="1">
        <v>0</v>
      </c>
      <c r="F43040" s="1">
        <v>3.7903836276120103E-5</v>
      </c>
    </row>
    <row r="43041" spans="1:6" x14ac:dyDescent="0.25">
      <c r="A43041" s="2" t="str">
        <f t="shared" si="1334"/>
        <v>99999</v>
      </c>
      <c r="B43041" s="2" t="str">
        <f>"30540"</f>
        <v>30540</v>
      </c>
      <c r="C43041" s="1">
        <v>1.2823733795438799E-3</v>
      </c>
      <c r="D43041" s="1">
        <v>2.0502812117753799E-3</v>
      </c>
      <c r="E43041" s="1">
        <v>1.0168563494856999E-3</v>
      </c>
      <c r="F43041" s="1">
        <v>1.3266342696642E-3</v>
      </c>
    </row>
    <row r="43042" spans="1:6" x14ac:dyDescent="0.25">
      <c r="A43042" s="2" t="str">
        <f t="shared" si="1334"/>
        <v>99999</v>
      </c>
      <c r="B43042" s="2" t="str">
        <f>"30467"</f>
        <v>30467</v>
      </c>
      <c r="C43042" s="1">
        <v>6.8255005239722998E-4</v>
      </c>
      <c r="D43042" s="1">
        <v>7.25414077889439E-4</v>
      </c>
      <c r="E43042" s="1">
        <v>2.3031361761855699E-4</v>
      </c>
      <c r="F43042" s="1">
        <v>6.7500663814560496E-4</v>
      </c>
    </row>
    <row r="43043" spans="1:6" x14ac:dyDescent="0.25">
      <c r="A43043" s="2" t="str">
        <f t="shared" si="1334"/>
        <v>99999</v>
      </c>
      <c r="B43043" s="2" t="str">
        <f>"30411"</f>
        <v>30411</v>
      </c>
      <c r="C43043" s="1">
        <v>8.1417067331041496E-5</v>
      </c>
      <c r="D43043" s="1">
        <v>6.2221709609763595E-5</v>
      </c>
      <c r="E43043" s="1">
        <v>2.60732397304027E-5</v>
      </c>
      <c r="F43043" s="1">
        <v>7.8891711724313098E-5</v>
      </c>
    </row>
    <row r="43044" spans="1:6" x14ac:dyDescent="0.25">
      <c r="A43044" s="2" t="str">
        <f t="shared" si="1334"/>
        <v>99999</v>
      </c>
      <c r="B43044" s="2" t="str">
        <f>"30451"</f>
        <v>30451</v>
      </c>
      <c r="C43044" s="1">
        <v>0</v>
      </c>
      <c r="D43044" s="1">
        <v>1.51760267340886E-6</v>
      </c>
      <c r="E43044" s="1">
        <v>0</v>
      </c>
      <c r="F43044" s="1">
        <v>9.9485134582992598E-8</v>
      </c>
    </row>
    <row r="43045" spans="1:6" x14ac:dyDescent="0.25">
      <c r="A43045" s="2" t="str">
        <f t="shared" si="1334"/>
        <v>99999</v>
      </c>
      <c r="B43045" s="2" t="str">
        <f>"30446"</f>
        <v>30446</v>
      </c>
      <c r="C43045" s="1">
        <v>6.5155481496825398E-5</v>
      </c>
      <c r="D43045" s="1">
        <v>2.1246437427724101E-5</v>
      </c>
      <c r="E43045" s="1">
        <v>0</v>
      </c>
      <c r="F43045" s="1">
        <v>6.0785417230208501E-5</v>
      </c>
    </row>
    <row r="43046" spans="1:6" x14ac:dyDescent="0.25">
      <c r="A43046" s="2" t="str">
        <f t="shared" si="1334"/>
        <v>99999</v>
      </c>
      <c r="B43046" s="2" t="str">
        <f>"30175"</f>
        <v>30175</v>
      </c>
      <c r="C43046" s="1">
        <v>8.98207056480525E-5</v>
      </c>
      <c r="D43046" s="1">
        <v>1.9728834754315301E-5</v>
      </c>
      <c r="E43046" s="1">
        <v>0</v>
      </c>
      <c r="F43046" s="1">
        <v>8.3169572511381797E-5</v>
      </c>
    </row>
    <row r="43047" spans="1:6" x14ac:dyDescent="0.25">
      <c r="A43047" s="2" t="str">
        <f t="shared" si="1334"/>
        <v>99999</v>
      </c>
      <c r="B43047" s="2" t="str">
        <f>"05867"</f>
        <v>05867</v>
      </c>
      <c r="C43047" s="1">
        <v>3.7543527026646502E-5</v>
      </c>
      <c r="D43047" s="1">
        <v>7.5880133670443404E-6</v>
      </c>
      <c r="E43047" s="1">
        <v>0</v>
      </c>
      <c r="F43047" s="1">
        <v>3.4720311969464401E-5</v>
      </c>
    </row>
    <row r="43048" spans="1:6" x14ac:dyDescent="0.25">
      <c r="A43048" s="2" t="str">
        <f t="shared" si="1334"/>
        <v>99999</v>
      </c>
      <c r="B43048" s="2" t="str">
        <f>"05907"</f>
        <v>05907</v>
      </c>
      <c r="C43048" s="1">
        <v>8.0762238371274393E-6</v>
      </c>
      <c r="D43048" s="1">
        <v>6.0704106936354696E-6</v>
      </c>
      <c r="E43048" s="1">
        <v>0</v>
      </c>
      <c r="F43048" s="1">
        <v>7.7598404974734199E-6</v>
      </c>
    </row>
    <row r="43049" spans="1:6" x14ac:dyDescent="0.25">
      <c r="A43049" s="2" t="str">
        <f t="shared" si="1334"/>
        <v>99999</v>
      </c>
      <c r="B43049" s="2" t="str">
        <f>"05905"</f>
        <v>05905</v>
      </c>
      <c r="C43049" s="1">
        <v>4.6492856143463403E-5</v>
      </c>
      <c r="D43049" s="1">
        <v>1.0623218713862E-5</v>
      </c>
      <c r="E43049" s="1">
        <v>0</v>
      </c>
      <c r="F43049" s="1">
        <v>4.3077063274435802E-5</v>
      </c>
    </row>
    <row r="43050" spans="1:6" x14ac:dyDescent="0.25">
      <c r="A43050" s="2" t="str">
        <f t="shared" si="1334"/>
        <v>99999</v>
      </c>
      <c r="B43050" s="2" t="str">
        <f>"05873"</f>
        <v>05873</v>
      </c>
      <c r="C43050" s="1">
        <v>3.2741447988354499E-5</v>
      </c>
      <c r="D43050" s="1">
        <v>6.0704106936354696E-6</v>
      </c>
      <c r="E43050" s="1">
        <v>1.3036619865201299E-5</v>
      </c>
      <c r="F43050" s="1">
        <v>3.0541936316978701E-5</v>
      </c>
    </row>
    <row r="43051" spans="1:6" x14ac:dyDescent="0.25">
      <c r="A43051" s="2" t="str">
        <f t="shared" si="1334"/>
        <v>99999</v>
      </c>
      <c r="B43051" s="2" t="str">
        <f>"05848"</f>
        <v>05848</v>
      </c>
      <c r="C43051" s="1">
        <v>1.09138159961181E-7</v>
      </c>
      <c r="D43051" s="1">
        <v>0</v>
      </c>
      <c r="E43051" s="1">
        <v>0</v>
      </c>
      <c r="F43051" s="1">
        <v>9.9485134582992598E-8</v>
      </c>
    </row>
    <row r="43052" spans="1:6" x14ac:dyDescent="0.25">
      <c r="A43052" s="2" t="str">
        <f t="shared" si="1334"/>
        <v>99999</v>
      </c>
      <c r="B43052" s="2" t="str">
        <f>"05846"</f>
        <v>05846</v>
      </c>
      <c r="C43052" s="1">
        <v>6.1226507738222898E-5</v>
      </c>
      <c r="D43052" s="1">
        <v>9.1056160404532095E-6</v>
      </c>
      <c r="E43052" s="1">
        <v>3.0418779685469802E-5</v>
      </c>
      <c r="F43052" s="1">
        <v>5.7104467250637698E-5</v>
      </c>
    </row>
    <row r="43053" spans="1:6" x14ac:dyDescent="0.25">
      <c r="A43053" s="2" t="str">
        <f t="shared" si="1334"/>
        <v>99999</v>
      </c>
      <c r="B43053" s="2" t="str">
        <f>"05829"</f>
        <v>05829</v>
      </c>
      <c r="C43053" s="1">
        <v>9.1785192527353804E-5</v>
      </c>
      <c r="D43053" s="1">
        <v>7.4362530997034595E-5</v>
      </c>
      <c r="E43053" s="1">
        <v>1.47748358472281E-4</v>
      </c>
      <c r="F43053" s="1">
        <v>9.1924264354685097E-5</v>
      </c>
    </row>
    <row r="43054" spans="1:6" x14ac:dyDescent="0.25">
      <c r="A43054" s="2" t="str">
        <f t="shared" si="1334"/>
        <v>99999</v>
      </c>
      <c r="B43054" s="2" t="str">
        <f>"05825"</f>
        <v>05825</v>
      </c>
      <c r="C43054" s="1">
        <v>4.8020790382919898E-6</v>
      </c>
      <c r="D43054" s="1">
        <v>1.51760267340886E-6</v>
      </c>
      <c r="E43054" s="1">
        <v>8.69107991013423E-6</v>
      </c>
      <c r="F43054" s="1">
        <v>4.6758013254006498E-6</v>
      </c>
    </row>
    <row r="43055" spans="1:6" x14ac:dyDescent="0.25">
      <c r="A43055" s="2" t="str">
        <f t="shared" si="1334"/>
        <v>99999</v>
      </c>
      <c r="B43055" s="2" t="str">
        <f>"05819"</f>
        <v>05819</v>
      </c>
      <c r="C43055" s="1">
        <v>4.6329148903521598E-4</v>
      </c>
      <c r="D43055" s="1">
        <v>9.6974810830826696E-4</v>
      </c>
      <c r="E43055" s="1">
        <v>2.5986328931301302E-3</v>
      </c>
      <c r="F43055" s="1">
        <v>5.4537750778396504E-4</v>
      </c>
    </row>
    <row r="43056" spans="1:6" x14ac:dyDescent="0.25">
      <c r="A43056" s="2" t="str">
        <f t="shared" si="1334"/>
        <v>99999</v>
      </c>
      <c r="B43056" s="2" t="str">
        <f>"05653"</f>
        <v>05653</v>
      </c>
      <c r="C43056" s="1">
        <v>2.2264184632080999E-5</v>
      </c>
      <c r="D43056" s="1">
        <v>3.0352053468177301E-6</v>
      </c>
      <c r="E43056" s="1">
        <v>1.3036619865201299E-5</v>
      </c>
      <c r="F43056" s="1">
        <v>2.0792393127845399E-5</v>
      </c>
    </row>
    <row r="43057" spans="1:6" x14ac:dyDescent="0.25">
      <c r="A43057" s="2" t="str">
        <f t="shared" si="1334"/>
        <v>99999</v>
      </c>
      <c r="B43057" s="2" t="str">
        <f>"05487"</f>
        <v>05487</v>
      </c>
      <c r="C43057" s="1">
        <v>7.1594632934535206E-5</v>
      </c>
      <c r="D43057" s="1">
        <v>9.1056160404532095E-6</v>
      </c>
      <c r="E43057" s="1">
        <v>2.1727699775335501E-5</v>
      </c>
      <c r="F43057" s="1">
        <v>6.6356584766856004E-5</v>
      </c>
    </row>
    <row r="43058" spans="1:6" x14ac:dyDescent="0.25">
      <c r="A43058" s="2" t="str">
        <f t="shared" si="1334"/>
        <v>99999</v>
      </c>
      <c r="B43058" s="2" t="str">
        <f>"05443"</f>
        <v>05443</v>
      </c>
      <c r="C43058" s="1">
        <v>3.3429018396109901E-4</v>
      </c>
      <c r="D43058" s="1">
        <v>2.7620368656041397E-4</v>
      </c>
      <c r="E43058" s="1">
        <v>4.3889953546177803E-4</v>
      </c>
      <c r="F43058" s="1">
        <v>3.3287726031469301E-4</v>
      </c>
    </row>
    <row r="43059" spans="1:6" x14ac:dyDescent="0.25">
      <c r="A43059" s="2" t="str">
        <f t="shared" si="1334"/>
        <v>99999</v>
      </c>
      <c r="B43059" s="2" t="str">
        <f>"05361"</f>
        <v>05361</v>
      </c>
      <c r="C43059" s="1">
        <v>4.5074060063968003E-5</v>
      </c>
      <c r="D43059" s="1">
        <v>6.0704106936354696E-6</v>
      </c>
      <c r="E43059" s="1">
        <v>1.3036619865201299E-5</v>
      </c>
      <c r="F43059" s="1">
        <v>4.1783756524856902E-5</v>
      </c>
    </row>
    <row r="43060" spans="1:6" x14ac:dyDescent="0.25">
      <c r="A43060" s="2" t="str">
        <f t="shared" si="1334"/>
        <v>99999</v>
      </c>
      <c r="B43060" s="2" t="str">
        <f>"05344"</f>
        <v>05344</v>
      </c>
      <c r="C43060" s="1">
        <v>0</v>
      </c>
      <c r="D43060" s="1">
        <v>0</v>
      </c>
      <c r="E43060" s="1">
        <v>8.69107991013423E-6</v>
      </c>
      <c r="F43060" s="1">
        <v>1.9897026916598501E-7</v>
      </c>
    </row>
    <row r="43061" spans="1:6" x14ac:dyDescent="0.25">
      <c r="A43061" s="2" t="str">
        <f t="shared" si="1334"/>
        <v>99999</v>
      </c>
      <c r="B43061" s="2" t="str">
        <f>"05345"</f>
        <v>05345</v>
      </c>
      <c r="C43061" s="1">
        <v>7.4213948773603494E-5</v>
      </c>
      <c r="D43061" s="1">
        <v>2.5799245447950699E-5</v>
      </c>
      <c r="E43061" s="1">
        <v>3.0418779685469802E-5</v>
      </c>
      <c r="F43061" s="1">
        <v>7.0037534746426807E-5</v>
      </c>
    </row>
    <row r="43062" spans="1:6" x14ac:dyDescent="0.25">
      <c r="A43062" s="2" t="str">
        <f t="shared" si="1334"/>
        <v>99999</v>
      </c>
      <c r="B43062" s="2" t="str">
        <f>"05081"</f>
        <v>05081</v>
      </c>
      <c r="C43062" s="1">
        <v>6.6574277576320803E-6</v>
      </c>
      <c r="D43062" s="1">
        <v>1.51760267340886E-6</v>
      </c>
      <c r="E43062" s="1">
        <v>8.69107991013423E-6</v>
      </c>
      <c r="F43062" s="1">
        <v>6.3670486133115203E-6</v>
      </c>
    </row>
    <row r="43063" spans="1:6" x14ac:dyDescent="0.25">
      <c r="A43063" s="2" t="str">
        <f t="shared" si="1334"/>
        <v>99999</v>
      </c>
      <c r="B43063" s="2" t="str">
        <f>"05046"</f>
        <v>05046</v>
      </c>
      <c r="C43063" s="1">
        <v>7.5523606693137706E-5</v>
      </c>
      <c r="D43063" s="1">
        <v>1.66936294074975E-5</v>
      </c>
      <c r="E43063" s="1">
        <v>6.5183099326006705E-5</v>
      </c>
      <c r="F43063" s="1">
        <v>7.1430326630588705E-5</v>
      </c>
    </row>
    <row r="43064" spans="1:6" x14ac:dyDescent="0.25">
      <c r="A43064" s="2" t="str">
        <f t="shared" si="1334"/>
        <v>99999</v>
      </c>
      <c r="B43064" s="2" t="str">
        <f>"04979"</f>
        <v>04979</v>
      </c>
      <c r="C43064" s="1">
        <v>4.5838027183696297E-5</v>
      </c>
      <c r="D43064" s="1">
        <v>1.3658424060679801E-5</v>
      </c>
      <c r="E43064" s="1">
        <v>6.5183099326006705E-5</v>
      </c>
      <c r="F43064" s="1">
        <v>4.4171399754848697E-5</v>
      </c>
    </row>
    <row r="43065" spans="1:6" x14ac:dyDescent="0.25">
      <c r="A43065" s="2" t="str">
        <f t="shared" si="1334"/>
        <v>99999</v>
      </c>
      <c r="B43065" s="2" t="str">
        <f>"04971"</f>
        <v>04971</v>
      </c>
      <c r="C43065" s="1">
        <v>1.0520918620257901E-4</v>
      </c>
      <c r="D43065" s="1">
        <v>3.1869656141586203E-5</v>
      </c>
      <c r="E43065" s="1">
        <v>1.3036619865201299E-5</v>
      </c>
      <c r="F43065" s="1">
        <v>9.8291312967996704E-5</v>
      </c>
    </row>
    <row r="43066" spans="1:6" x14ac:dyDescent="0.25">
      <c r="A43066" s="2" t="str">
        <f t="shared" si="1334"/>
        <v>99999</v>
      </c>
      <c r="B43066" s="2" t="str">
        <f>"04970"</f>
        <v>04970</v>
      </c>
      <c r="C43066" s="1">
        <v>5.7079257659698001E-5</v>
      </c>
      <c r="D43066" s="1">
        <v>4.0975272182039399E-5</v>
      </c>
      <c r="E43066" s="1">
        <v>3.9109859595604001E-5</v>
      </c>
      <c r="F43066" s="1">
        <v>5.5612190231892801E-5</v>
      </c>
    </row>
    <row r="43067" spans="1:6" x14ac:dyDescent="0.25">
      <c r="A43067" s="2" t="str">
        <f t="shared" si="1334"/>
        <v>99999</v>
      </c>
      <c r="B43067" s="2" t="str">
        <f>"04964"</f>
        <v>04964</v>
      </c>
      <c r="C43067" s="1">
        <v>1.9644868793012701E-5</v>
      </c>
      <c r="D43067" s="1">
        <v>0</v>
      </c>
      <c r="E43067" s="1">
        <v>4.3455399550671099E-6</v>
      </c>
      <c r="F43067" s="1">
        <v>1.8006809359521599E-5</v>
      </c>
    </row>
    <row r="43068" spans="1:6" x14ac:dyDescent="0.25">
      <c r="A43068" s="2" t="str">
        <f t="shared" si="1334"/>
        <v>99999</v>
      </c>
      <c r="B43068" s="2" t="str">
        <f>"04929"</f>
        <v>04929</v>
      </c>
      <c r="C43068" s="1">
        <v>4.3327849504589097E-5</v>
      </c>
      <c r="D43068" s="1">
        <v>2.2764040101133E-5</v>
      </c>
      <c r="E43068" s="1">
        <v>1.3471173860707999E-4</v>
      </c>
      <c r="F43068" s="1">
        <v>4.4071914620265699E-5</v>
      </c>
    </row>
    <row r="43069" spans="1:6" x14ac:dyDescent="0.25">
      <c r="A43069" s="2" t="str">
        <f t="shared" si="1334"/>
        <v>99999</v>
      </c>
      <c r="B43069" s="2" t="str">
        <f>"04940"</f>
        <v>04940</v>
      </c>
      <c r="C43069" s="1">
        <v>0</v>
      </c>
      <c r="D43069" s="1">
        <v>0</v>
      </c>
      <c r="E43069" s="1">
        <v>4.3455399550671099E-6</v>
      </c>
      <c r="F43069" s="1">
        <v>9.9485134582992598E-8</v>
      </c>
    </row>
    <row r="43070" spans="1:6" x14ac:dyDescent="0.25">
      <c r="A43070" s="2" t="str">
        <f t="shared" si="1334"/>
        <v>99999</v>
      </c>
      <c r="B43070" s="2" t="str">
        <f>"04927"</f>
        <v>04927</v>
      </c>
      <c r="C43070" s="1">
        <v>1.0913815996118101E-6</v>
      </c>
      <c r="D43070" s="1">
        <v>0</v>
      </c>
      <c r="E43070" s="1">
        <v>0</v>
      </c>
      <c r="F43070" s="1">
        <v>9.9485134582992606E-7</v>
      </c>
    </row>
    <row r="43071" spans="1:6" x14ac:dyDescent="0.25">
      <c r="A43071" s="2" t="str">
        <f t="shared" si="1334"/>
        <v>99999</v>
      </c>
      <c r="B43071" s="2" t="str">
        <f>"04848"</f>
        <v>04848</v>
      </c>
      <c r="C43071" s="1">
        <v>4.8239066702842302E-5</v>
      </c>
      <c r="D43071" s="1">
        <v>2.1246437427724101E-5</v>
      </c>
      <c r="E43071" s="1">
        <v>2.60732397304027E-5</v>
      </c>
      <c r="F43071" s="1">
        <v>4.5962132177342501E-5</v>
      </c>
    </row>
    <row r="43072" spans="1:6" x14ac:dyDescent="0.25">
      <c r="A43072" s="2" t="str">
        <f t="shared" si="1334"/>
        <v>99999</v>
      </c>
      <c r="B43072" s="2" t="str">
        <f>"04863"</f>
        <v>04863</v>
      </c>
      <c r="C43072" s="1">
        <v>5.99168498186887E-5</v>
      </c>
      <c r="D43072" s="1">
        <v>9.1056160404532095E-6</v>
      </c>
      <c r="E43072" s="1">
        <v>3.0418779685469802E-5</v>
      </c>
      <c r="F43072" s="1">
        <v>5.5910645635641797E-5</v>
      </c>
    </row>
    <row r="43073" spans="1:6" x14ac:dyDescent="0.25">
      <c r="A43073" s="2" t="str">
        <f t="shared" si="1334"/>
        <v>99999</v>
      </c>
      <c r="B43073" s="2" t="str">
        <f>"04774"</f>
        <v>04774</v>
      </c>
      <c r="C43073" s="1">
        <v>4.4746645584084497E-5</v>
      </c>
      <c r="D43073" s="1">
        <v>2.88344507947685E-5</v>
      </c>
      <c r="E43073" s="1">
        <v>7.3874179236140894E-5</v>
      </c>
      <c r="F43073" s="1">
        <v>4.4370370024014701E-5</v>
      </c>
    </row>
    <row r="43074" spans="1:6" x14ac:dyDescent="0.25">
      <c r="A43074" s="2" t="str">
        <f t="shared" si="1334"/>
        <v>99999</v>
      </c>
      <c r="B43074" s="2" t="str">
        <f>"04757"</f>
        <v>04757</v>
      </c>
      <c r="C43074" s="1">
        <v>1.1754179827819199E-4</v>
      </c>
      <c r="D43074" s="1">
        <v>2.4281642774541899E-5</v>
      </c>
      <c r="E43074" s="1">
        <v>3.9109859595604001E-5</v>
      </c>
      <c r="F43074" s="1">
        <v>1.09632618310457E-4</v>
      </c>
    </row>
    <row r="43075" spans="1:6" x14ac:dyDescent="0.25">
      <c r="A43075" s="2" t="str">
        <f t="shared" si="1334"/>
        <v>99999</v>
      </c>
      <c r="B43075" s="2" t="str">
        <f>"04745"</f>
        <v>04745</v>
      </c>
      <c r="C43075" s="1">
        <v>4.1799915265132602E-5</v>
      </c>
      <c r="D43075" s="1">
        <v>1.5176026734088599E-5</v>
      </c>
      <c r="E43075" s="1">
        <v>3.0418779685469802E-5</v>
      </c>
      <c r="F43075" s="1">
        <v>3.9794053833197E-5</v>
      </c>
    </row>
    <row r="43076" spans="1:6" x14ac:dyDescent="0.25">
      <c r="A43076" s="2" t="str">
        <f t="shared" si="1334"/>
        <v>99999</v>
      </c>
      <c r="B43076" s="2" t="str">
        <f>"04673"</f>
        <v>04673</v>
      </c>
      <c r="C43076" s="1">
        <v>1.2660026555497001E-5</v>
      </c>
      <c r="D43076" s="1">
        <v>7.5880133670443404E-6</v>
      </c>
      <c r="E43076" s="1">
        <v>4.3455399550671099E-6</v>
      </c>
      <c r="F43076" s="1">
        <v>1.21371864191251E-5</v>
      </c>
    </row>
    <row r="43077" spans="1:6" x14ac:dyDescent="0.25">
      <c r="A43077" s="2" t="str">
        <f t="shared" si="1334"/>
        <v>99999</v>
      </c>
      <c r="B43077" s="2" t="str">
        <f>"04683"</f>
        <v>04683</v>
      </c>
      <c r="C43077" s="1">
        <v>4.9112171982531701E-6</v>
      </c>
      <c r="D43077" s="1">
        <v>0</v>
      </c>
      <c r="E43077" s="1">
        <v>4.3455399550671099E-6</v>
      </c>
      <c r="F43077" s="1">
        <v>4.5763161908176597E-6</v>
      </c>
    </row>
    <row r="43078" spans="1:6" x14ac:dyDescent="0.25">
      <c r="A43078" s="2" t="str">
        <f t="shared" si="1334"/>
        <v>99999</v>
      </c>
      <c r="B43078" s="2" t="str">
        <f>"04736"</f>
        <v>04736</v>
      </c>
      <c r="C43078" s="1">
        <v>5.1513211501677699E-4</v>
      </c>
      <c r="D43078" s="1">
        <v>6.4346353352536E-4</v>
      </c>
      <c r="E43078" s="1">
        <v>1.47313804476775E-3</v>
      </c>
      <c r="F43078" s="1">
        <v>5.4547699291854798E-4</v>
      </c>
    </row>
    <row r="43079" spans="1:6" x14ac:dyDescent="0.25">
      <c r="A43079" s="2" t="str">
        <f t="shared" si="1334"/>
        <v>99999</v>
      </c>
      <c r="B43079" s="2" t="str">
        <f>"04734"</f>
        <v>04734</v>
      </c>
      <c r="C43079" s="1">
        <v>2.0190559592818601E-5</v>
      </c>
      <c r="D43079" s="1">
        <v>6.0704106936354696E-6</v>
      </c>
      <c r="E43079" s="1">
        <v>4.3455399550671099E-6</v>
      </c>
      <c r="F43079" s="1">
        <v>1.89021755707686E-5</v>
      </c>
    </row>
    <row r="43080" spans="1:6" x14ac:dyDescent="0.25">
      <c r="A43080" s="2" t="str">
        <f t="shared" si="1334"/>
        <v>99999</v>
      </c>
      <c r="B43080" s="2" t="str">
        <f>"04635"</f>
        <v>04635</v>
      </c>
      <c r="C43080" s="1">
        <v>0</v>
      </c>
      <c r="D43080" s="1">
        <v>0</v>
      </c>
      <c r="E43080" s="1">
        <v>4.3455399550671099E-6</v>
      </c>
      <c r="F43080" s="1">
        <v>9.9485134582992598E-8</v>
      </c>
    </row>
    <row r="43081" spans="1:6" x14ac:dyDescent="0.25">
      <c r="A43081" s="2" t="str">
        <f t="shared" si="1334"/>
        <v>99999</v>
      </c>
      <c r="B43081" s="2" t="str">
        <f>"04613"</f>
        <v>04613</v>
      </c>
      <c r="C43081" s="1">
        <v>6.3300132777485401E-6</v>
      </c>
      <c r="D43081" s="1">
        <v>1.51760267340886E-6</v>
      </c>
      <c r="E43081" s="1">
        <v>8.69107991013423E-6</v>
      </c>
      <c r="F43081" s="1">
        <v>6.0685932095625502E-6</v>
      </c>
    </row>
    <row r="43082" spans="1:6" x14ac:dyDescent="0.25">
      <c r="A43082" s="2" t="str">
        <f t="shared" si="1334"/>
        <v>99999</v>
      </c>
      <c r="B43082" s="2" t="str">
        <f>"04622"</f>
        <v>04622</v>
      </c>
      <c r="C43082" s="1">
        <v>8.16353436509639E-5</v>
      </c>
      <c r="D43082" s="1">
        <v>5.15984908959015E-5</v>
      </c>
      <c r="E43082" s="1">
        <v>9.9947418966543598E-5</v>
      </c>
      <c r="F43082" s="1">
        <v>8.0085533339308999E-5</v>
      </c>
    </row>
    <row r="43083" spans="1:6" x14ac:dyDescent="0.25">
      <c r="A43083" s="2" t="str">
        <f t="shared" si="1334"/>
        <v>99999</v>
      </c>
      <c r="B43083" s="2" t="str">
        <f>"04631"</f>
        <v>04631</v>
      </c>
      <c r="C43083" s="1">
        <v>1.1983369963737699E-4</v>
      </c>
      <c r="D43083" s="1">
        <v>1.76041910115428E-4</v>
      </c>
      <c r="E43083" s="1">
        <v>1.56439438382416E-4</v>
      </c>
      <c r="F43083" s="1">
        <v>1.2435641822874E-4</v>
      </c>
    </row>
    <row r="43084" spans="1:6" x14ac:dyDescent="0.25">
      <c r="A43084" s="2" t="str">
        <f t="shared" si="1334"/>
        <v>99999</v>
      </c>
      <c r="B43084" s="2" t="str">
        <f>"04564"</f>
        <v>04564</v>
      </c>
      <c r="C43084" s="1">
        <v>3.0886099269014397E-5</v>
      </c>
      <c r="D43084" s="1">
        <v>1.5176026734088599E-5</v>
      </c>
      <c r="E43084" s="1">
        <v>1.3036619865201299E-5</v>
      </c>
      <c r="F43084" s="1">
        <v>2.9447599836565802E-5</v>
      </c>
    </row>
    <row r="43085" spans="1:6" x14ac:dyDescent="0.25">
      <c r="A43085" s="2" t="str">
        <f t="shared" si="1334"/>
        <v>99999</v>
      </c>
      <c r="B43085" s="2" t="str">
        <f>"04576"</f>
        <v>04576</v>
      </c>
      <c r="C43085" s="1">
        <v>4.7256823263191603E-5</v>
      </c>
      <c r="D43085" s="1">
        <v>1.0623218713862E-5</v>
      </c>
      <c r="E43085" s="1">
        <v>8.69107991013423E-6</v>
      </c>
      <c r="F43085" s="1">
        <v>4.39724294856827E-5</v>
      </c>
    </row>
    <row r="43086" spans="1:6" x14ac:dyDescent="0.25">
      <c r="A43086" s="2" t="str">
        <f t="shared" si="1334"/>
        <v>99999</v>
      </c>
      <c r="B43086" s="2" t="str">
        <f>"04606"</f>
        <v>04606</v>
      </c>
      <c r="C43086" s="1">
        <v>6.7010830216165506E-5</v>
      </c>
      <c r="D43086" s="1">
        <v>1.21408213872709E-5</v>
      </c>
      <c r="E43086" s="1">
        <v>7.3874179236140894E-5</v>
      </c>
      <c r="F43086" s="1">
        <v>6.3571000998532195E-5</v>
      </c>
    </row>
    <row r="43087" spans="1:6" x14ac:dyDescent="0.25">
      <c r="A43087" s="2" t="str">
        <f t="shared" si="1334"/>
        <v>99999</v>
      </c>
      <c r="B43087" s="2" t="str">
        <f>"04551"</f>
        <v>04551</v>
      </c>
      <c r="C43087" s="1">
        <v>4.6492856143463403E-5</v>
      </c>
      <c r="D43087" s="1">
        <v>1.51760267340886E-6</v>
      </c>
      <c r="E43087" s="1">
        <v>1.7382159820268399E-5</v>
      </c>
      <c r="F43087" s="1">
        <v>4.2878093005269798E-5</v>
      </c>
    </row>
    <row r="43088" spans="1:6" x14ac:dyDescent="0.25">
      <c r="A43088" s="2" t="str">
        <f t="shared" si="1334"/>
        <v>99999</v>
      </c>
      <c r="B43088" s="2" t="str">
        <f>"04487"</f>
        <v>04487</v>
      </c>
      <c r="C43088" s="1">
        <v>1.09138159961181E-7</v>
      </c>
      <c r="D43088" s="1">
        <v>0</v>
      </c>
      <c r="E43088" s="1">
        <v>0</v>
      </c>
      <c r="F43088" s="1">
        <v>9.9485134582992598E-8</v>
      </c>
    </row>
    <row r="43089" spans="1:6" x14ac:dyDescent="0.25">
      <c r="A43089" s="2" t="str">
        <f t="shared" si="1334"/>
        <v>99999</v>
      </c>
      <c r="B43089" s="2" t="str">
        <f>"04497"</f>
        <v>04497</v>
      </c>
      <c r="C43089" s="1">
        <v>2.1500217512352799E-5</v>
      </c>
      <c r="D43089" s="1">
        <v>1.3658424060679801E-5</v>
      </c>
      <c r="E43089" s="1">
        <v>8.69107991013423E-6</v>
      </c>
      <c r="F43089" s="1">
        <v>2.06929079932624E-5</v>
      </c>
    </row>
    <row r="43090" spans="1:6" x14ac:dyDescent="0.25">
      <c r="A43090" s="2" t="str">
        <f t="shared" ref="A43090:A43110" si="1335">"99999"</f>
        <v>99999</v>
      </c>
      <c r="B43090" s="2" t="str">
        <f>"04454"</f>
        <v>04454</v>
      </c>
      <c r="C43090" s="1">
        <v>5.2386316781367196E-6</v>
      </c>
      <c r="D43090" s="1">
        <v>0</v>
      </c>
      <c r="E43090" s="1">
        <v>4.3455399550671099E-6</v>
      </c>
      <c r="F43090" s="1">
        <v>4.8747715945666299E-6</v>
      </c>
    </row>
    <row r="43091" spans="1:6" x14ac:dyDescent="0.25">
      <c r="A43091" s="2" t="str">
        <f t="shared" si="1335"/>
        <v>99999</v>
      </c>
      <c r="B43091" s="2" t="str">
        <f>"04438"</f>
        <v>04438</v>
      </c>
      <c r="C43091" s="1">
        <v>5.56604615802026E-5</v>
      </c>
      <c r="D43091" s="1">
        <v>1.8211232080906399E-5</v>
      </c>
      <c r="E43091" s="1">
        <v>8.2565259146275205E-5</v>
      </c>
      <c r="F43091" s="1">
        <v>5.3821457809398998E-5</v>
      </c>
    </row>
    <row r="43092" spans="1:6" x14ac:dyDescent="0.25">
      <c r="A43092" s="2" t="str">
        <f t="shared" si="1335"/>
        <v>99999</v>
      </c>
      <c r="B43092" s="2" t="str">
        <f>"04429"</f>
        <v>04429</v>
      </c>
      <c r="C43092" s="1">
        <v>8.5236902929682894E-5</v>
      </c>
      <c r="D43092" s="1">
        <v>2.5799245447950699E-5</v>
      </c>
      <c r="E43092" s="1">
        <v>2.1727699775335501E-5</v>
      </c>
      <c r="F43092" s="1">
        <v>7.9886563070143002E-5</v>
      </c>
    </row>
    <row r="43093" spans="1:6" x14ac:dyDescent="0.25">
      <c r="A43093" s="2" t="str">
        <f t="shared" si="1335"/>
        <v>99999</v>
      </c>
      <c r="B43093" s="2" t="str">
        <f>"04424"</f>
        <v>04424</v>
      </c>
      <c r="C43093" s="1">
        <v>4.7475099583114001E-5</v>
      </c>
      <c r="D43093" s="1">
        <v>1.8211232080906399E-5</v>
      </c>
      <c r="E43093" s="1">
        <v>1.3036619865201299E-5</v>
      </c>
      <c r="F43093" s="1">
        <v>4.47683105623466E-5</v>
      </c>
    </row>
    <row r="43094" spans="1:6" x14ac:dyDescent="0.25">
      <c r="A43094" s="2" t="str">
        <f t="shared" si="1335"/>
        <v>99999</v>
      </c>
      <c r="B43094" s="2" t="str">
        <f>"04406"</f>
        <v>04406</v>
      </c>
      <c r="C43094" s="1">
        <v>4.1363362625287799E-5</v>
      </c>
      <c r="D43094" s="1">
        <v>9.1056160404532095E-6</v>
      </c>
      <c r="E43094" s="1">
        <v>1.3036619865201299E-5</v>
      </c>
      <c r="F43094" s="1">
        <v>3.8600232218201099E-5</v>
      </c>
    </row>
    <row r="43095" spans="1:6" x14ac:dyDescent="0.25">
      <c r="A43095" s="2" t="str">
        <f t="shared" si="1335"/>
        <v>99999</v>
      </c>
      <c r="B43095" s="2" t="str">
        <f>"04415"</f>
        <v>04415</v>
      </c>
      <c r="C43095" s="1">
        <v>2.1827631992236301E-7</v>
      </c>
      <c r="D43095" s="1">
        <v>0</v>
      </c>
      <c r="E43095" s="1">
        <v>4.3455399550671099E-6</v>
      </c>
      <c r="F43095" s="1">
        <v>2.9845540374897701E-7</v>
      </c>
    </row>
    <row r="43096" spans="1:6" x14ac:dyDescent="0.25">
      <c r="A43096" s="2" t="str">
        <f t="shared" si="1335"/>
        <v>99999</v>
      </c>
      <c r="B43096" s="2" t="str">
        <f>"04285"</f>
        <v>04285</v>
      </c>
      <c r="C43096" s="1">
        <v>2.4010395191459901E-5</v>
      </c>
      <c r="D43096" s="1">
        <v>6.0704106936354696E-6</v>
      </c>
      <c r="E43096" s="1">
        <v>4.3455399550671099E-6</v>
      </c>
      <c r="F43096" s="1">
        <v>2.23841552811733E-5</v>
      </c>
    </row>
    <row r="43097" spans="1:6" x14ac:dyDescent="0.25">
      <c r="A43097" s="2" t="str">
        <f t="shared" si="1335"/>
        <v>99999</v>
      </c>
      <c r="B43097" s="2" t="str">
        <f>"04270"</f>
        <v>04270</v>
      </c>
      <c r="C43097" s="1">
        <v>3.13444795408513E-4</v>
      </c>
      <c r="D43097" s="1">
        <v>2.2005238764428599E-4</v>
      </c>
      <c r="E43097" s="1">
        <v>1.0429295892161E-4</v>
      </c>
      <c r="F43097" s="1">
        <v>3.0253429426687999E-4</v>
      </c>
    </row>
    <row r="43098" spans="1:6" x14ac:dyDescent="0.25">
      <c r="A43098" s="2" t="str">
        <f t="shared" si="1335"/>
        <v>99999</v>
      </c>
      <c r="B43098" s="2" t="str">
        <f>"04276"</f>
        <v>04276</v>
      </c>
      <c r="C43098" s="1">
        <v>3.5731833571290899E-4</v>
      </c>
      <c r="D43098" s="1">
        <v>4.4921039132902497E-4</v>
      </c>
      <c r="E43098" s="1">
        <v>1.60784978337483E-3</v>
      </c>
      <c r="F43098" s="1">
        <v>3.9197143025698999E-4</v>
      </c>
    </row>
    <row r="43099" spans="1:6" x14ac:dyDescent="0.25">
      <c r="A43099" s="2" t="str">
        <f t="shared" si="1335"/>
        <v>99999</v>
      </c>
      <c r="B43099" s="2" t="str">
        <f>"04216"</f>
        <v>04216</v>
      </c>
      <c r="C43099" s="1">
        <v>2.9685579509441402E-5</v>
      </c>
      <c r="D43099" s="1">
        <v>4.5528080202265997E-6</v>
      </c>
      <c r="E43099" s="1">
        <v>4.3455399550671099E-6</v>
      </c>
      <c r="F43099" s="1">
        <v>2.7457897144905899E-5</v>
      </c>
    </row>
    <row r="43100" spans="1:6" x14ac:dyDescent="0.25">
      <c r="A43100" s="2" t="str">
        <f t="shared" si="1335"/>
        <v>99999</v>
      </c>
      <c r="B43100" s="2" t="str">
        <f>"04225"</f>
        <v>04225</v>
      </c>
      <c r="C43100" s="1">
        <v>0</v>
      </c>
      <c r="D43100" s="1">
        <v>0</v>
      </c>
      <c r="E43100" s="1">
        <v>4.3455399550671099E-6</v>
      </c>
      <c r="F43100" s="1">
        <v>9.9485134582992598E-8</v>
      </c>
    </row>
    <row r="43101" spans="1:6" x14ac:dyDescent="0.25">
      <c r="A43101" s="2" t="str">
        <f t="shared" si="1335"/>
        <v>99999</v>
      </c>
      <c r="B43101" s="2" t="str">
        <f>"04041"</f>
        <v>04041</v>
      </c>
      <c r="C43101" s="1">
        <v>7.8361198852128398E-5</v>
      </c>
      <c r="D43101" s="1">
        <v>2.88344507947685E-5</v>
      </c>
      <c r="E43101" s="1">
        <v>2.60732397304027E-5</v>
      </c>
      <c r="F43101" s="1">
        <v>7.3917454995163498E-5</v>
      </c>
    </row>
    <row r="43102" spans="1:6" x14ac:dyDescent="0.25">
      <c r="A43102" s="2" t="str">
        <f t="shared" si="1335"/>
        <v>99999</v>
      </c>
      <c r="B43102" s="2" t="str">
        <f>"04037"</f>
        <v>04037</v>
      </c>
      <c r="C43102" s="1">
        <v>1.92847128651408E-4</v>
      </c>
      <c r="D43102" s="1">
        <v>2.24605195664512E-4</v>
      </c>
      <c r="E43102" s="1">
        <v>3.7806197609083903E-4</v>
      </c>
      <c r="F43102" s="1">
        <v>1.99169239435151E-4</v>
      </c>
    </row>
    <row r="43103" spans="1:6" x14ac:dyDescent="0.25">
      <c r="A43103" s="2" t="str">
        <f t="shared" si="1335"/>
        <v>99999</v>
      </c>
      <c r="B43103" s="2" t="str">
        <f>"04022"</f>
        <v>04022</v>
      </c>
      <c r="C43103" s="1">
        <v>6.7993073655816199E-5</v>
      </c>
      <c r="D43103" s="1">
        <v>2.1246437427724101E-5</v>
      </c>
      <c r="E43103" s="1">
        <v>2.60732397304027E-5</v>
      </c>
      <c r="F43103" s="1">
        <v>6.3968941536864202E-5</v>
      </c>
    </row>
    <row r="43104" spans="1:6" x14ac:dyDescent="0.25">
      <c r="A43104" s="2" t="str">
        <f t="shared" si="1335"/>
        <v>99999</v>
      </c>
      <c r="B43104" s="2" t="str">
        <f>"03886"</f>
        <v>03886</v>
      </c>
      <c r="C43104" s="1">
        <v>7.4213948773603494E-5</v>
      </c>
      <c r="D43104" s="1">
        <v>9.1056160404532095E-5</v>
      </c>
      <c r="E43104" s="1">
        <v>3.9109859595604001E-5</v>
      </c>
      <c r="F43104" s="1">
        <v>7.4514365802661394E-5</v>
      </c>
    </row>
    <row r="43105" spans="1:6" x14ac:dyDescent="0.25">
      <c r="A43105" s="2" t="str">
        <f t="shared" si="1335"/>
        <v>99999</v>
      </c>
      <c r="B43105" s="2" t="str">
        <f>"03853"</f>
        <v>03853</v>
      </c>
      <c r="C43105" s="1">
        <v>3.3723691428005097E-5</v>
      </c>
      <c r="D43105" s="1">
        <v>9.1056160404532095E-6</v>
      </c>
      <c r="E43105" s="1">
        <v>1.3036619865201299E-5</v>
      </c>
      <c r="F43105" s="1">
        <v>3.1636272797391603E-5</v>
      </c>
    </row>
    <row r="43106" spans="1:6" x14ac:dyDescent="0.25">
      <c r="A43106" s="2" t="str">
        <f t="shared" si="1335"/>
        <v>99999</v>
      </c>
      <c r="B43106" s="2" t="str">
        <f>"03814"</f>
        <v>03814</v>
      </c>
      <c r="C43106" s="1">
        <v>1.36204423631554E-4</v>
      </c>
      <c r="D43106" s="1">
        <v>6.37393122831725E-5</v>
      </c>
      <c r="E43106" s="1">
        <v>6.5183099326006705E-5</v>
      </c>
      <c r="F43106" s="1">
        <v>1.29828100630805E-4</v>
      </c>
    </row>
    <row r="43107" spans="1:6" x14ac:dyDescent="0.25">
      <c r="A43107" s="2" t="str">
        <f t="shared" si="1335"/>
        <v>99999</v>
      </c>
      <c r="B43107" s="2" t="str">
        <f>"03812"</f>
        <v>03812</v>
      </c>
      <c r="C43107" s="1">
        <v>1.1677783115846399E-5</v>
      </c>
      <c r="D43107" s="1">
        <v>3.0352053468177301E-6</v>
      </c>
      <c r="E43107" s="1">
        <v>4.3455399550671099E-6</v>
      </c>
      <c r="F43107" s="1">
        <v>1.09433648041291E-5</v>
      </c>
    </row>
    <row r="43108" spans="1:6" x14ac:dyDescent="0.25">
      <c r="A43108" s="2" t="str">
        <f t="shared" si="1335"/>
        <v>99999</v>
      </c>
      <c r="B43108" s="2" t="str">
        <f>"03259"</f>
        <v>03259</v>
      </c>
      <c r="C43108" s="1">
        <v>1.4624513434798299E-5</v>
      </c>
      <c r="D43108" s="1">
        <v>0</v>
      </c>
      <c r="E43108" s="1">
        <v>4.3455399550671099E-6</v>
      </c>
      <c r="F43108" s="1">
        <v>1.3430493168704E-5</v>
      </c>
    </row>
    <row r="43109" spans="1:6" x14ac:dyDescent="0.25">
      <c r="A43109" s="2" t="str">
        <f t="shared" si="1335"/>
        <v>99999</v>
      </c>
      <c r="B43109" s="2" t="str">
        <f>"03254"</f>
        <v>03254</v>
      </c>
      <c r="C43109" s="1">
        <v>2.7644695918167301E-4</v>
      </c>
      <c r="D43109" s="1">
        <v>1.7452430744201901E-4</v>
      </c>
      <c r="E43109" s="1">
        <v>2.3900469752869099E-4</v>
      </c>
      <c r="F43109" s="1">
        <v>2.68908318777829E-4</v>
      </c>
    </row>
    <row r="43110" spans="1:6" x14ac:dyDescent="0.25">
      <c r="A43110" s="2" t="str">
        <f t="shared" si="1335"/>
        <v>99999</v>
      </c>
      <c r="B43110" s="2" t="str">
        <f>"02554"</f>
        <v>02554</v>
      </c>
      <c r="C43110" s="1">
        <v>1.06748034258031E-3</v>
      </c>
      <c r="D43110" s="1">
        <v>1.53581390548977E-3</v>
      </c>
      <c r="E43110" s="1">
        <v>7.3874179236140902E-4</v>
      </c>
      <c r="F43110" s="1">
        <v>1.0906555304333401E-3</v>
      </c>
    </row>
    <row r="43111" spans="1:6" x14ac:dyDescent="0.25">
      <c r="A43111" s="2" t="str">
        <f>"49500"</f>
        <v>49500</v>
      </c>
      <c r="B43111" s="2" t="str">
        <f>"00698"</f>
        <v>00698</v>
      </c>
      <c r="C43111" s="1">
        <v>0.39662530043655198</v>
      </c>
      <c r="D43111" s="1">
        <v>0.503593675131768</v>
      </c>
      <c r="E43111" s="1">
        <v>0.60749506903353001</v>
      </c>
      <c r="F43111" s="1">
        <v>0.40423814794318302</v>
      </c>
    </row>
    <row r="43112" spans="1:6" x14ac:dyDescent="0.25">
      <c r="A43112" s="2" t="str">
        <f>"49500"</f>
        <v>49500</v>
      </c>
      <c r="B43112" s="2" t="str">
        <f>"00656"</f>
        <v>00656</v>
      </c>
      <c r="C43112" s="1">
        <v>0.191175749251974</v>
      </c>
      <c r="D43112" s="1">
        <v>0.13272640153330101</v>
      </c>
      <c r="E43112" s="1">
        <v>9.2702169625246494E-2</v>
      </c>
      <c r="F43112" s="1">
        <v>0.18721176904630099</v>
      </c>
    </row>
    <row r="43113" spans="1:6" x14ac:dyDescent="0.25">
      <c r="A43113" s="2" t="str">
        <f>"49500"</f>
        <v>49500</v>
      </c>
      <c r="B43113" s="2" t="str">
        <f>"00647"</f>
        <v>00647</v>
      </c>
      <c r="C43113" s="1">
        <v>8.5029675773777402E-2</v>
      </c>
      <c r="D43113" s="1">
        <v>4.2165788212745497E-2</v>
      </c>
      <c r="E43113" s="1">
        <v>5.5226824457593603E-2</v>
      </c>
      <c r="F43113" s="1">
        <v>8.2618520568160797E-2</v>
      </c>
    </row>
    <row r="43114" spans="1:6" x14ac:dyDescent="0.25">
      <c r="A43114" s="2" t="str">
        <f>"49500"</f>
        <v>49500</v>
      </c>
      <c r="B43114" s="2" t="str">
        <f>"00624"</f>
        <v>00624</v>
      </c>
      <c r="C43114" s="1">
        <v>0.181782508461274</v>
      </c>
      <c r="D43114" s="1">
        <v>0.18639195016770399</v>
      </c>
      <c r="E43114" s="1">
        <v>6.9033530571992102E-2</v>
      </c>
      <c r="F43114" s="1">
        <v>0.18068622025456499</v>
      </c>
    </row>
    <row r="43115" spans="1:6" x14ac:dyDescent="0.25">
      <c r="A43115" s="2" t="str">
        <f>"49500"</f>
        <v>49500</v>
      </c>
      <c r="B43115" s="2" t="str">
        <f>"00653"</f>
        <v>00653</v>
      </c>
      <c r="C43115" s="1">
        <v>0.14538676607642101</v>
      </c>
      <c r="D43115" s="1">
        <v>0.13512218495448</v>
      </c>
      <c r="E43115" s="1">
        <v>0.17554240631163701</v>
      </c>
      <c r="F43115" s="1">
        <v>0.14524534218778801</v>
      </c>
    </row>
    <row r="43116" spans="1:6" x14ac:dyDescent="0.25">
      <c r="A43116" s="2" t="str">
        <f>"17620"</f>
        <v>17620</v>
      </c>
      <c r="B43116" s="2" t="str">
        <f>"00705"</f>
        <v>00705</v>
      </c>
      <c r="C43116" s="1">
        <v>7.1751452966922497E-4</v>
      </c>
      <c r="D43116" s="1">
        <v>0</v>
      </c>
      <c r="E43116" s="1">
        <v>0</v>
      </c>
      <c r="F43116" s="1">
        <v>6.6920966338753895E-4</v>
      </c>
    </row>
    <row r="43117" spans="1:6" x14ac:dyDescent="0.25">
      <c r="A43117" s="2" t="str">
        <f>"17620"</f>
        <v>17620</v>
      </c>
      <c r="B43117" s="2" t="str">
        <f>"00769"</f>
        <v>00769</v>
      </c>
      <c r="C43117" s="1">
        <v>0.99928248547033005</v>
      </c>
      <c r="D43117" s="1">
        <v>1</v>
      </c>
      <c r="E43117" s="1">
        <v>1</v>
      </c>
      <c r="F43117" s="1">
        <v>0.99933079033661198</v>
      </c>
    </row>
    <row r="43118" spans="1:6" x14ac:dyDescent="0.25">
      <c r="A43118" s="2" t="str">
        <f t="shared" ref="A43118:A43149" si="1336">"30100"</f>
        <v>30100</v>
      </c>
      <c r="B43118" s="2" t="str">
        <f>"05142"</f>
        <v>05142</v>
      </c>
      <c r="C43118" s="1">
        <v>2.8710623828023299E-3</v>
      </c>
      <c r="D43118" s="1">
        <v>2.3320895522388E-4</v>
      </c>
      <c r="E43118" s="1">
        <v>9.0530508781459297E-4</v>
      </c>
      <c r="F43118" s="1">
        <v>2.4528076819849099E-3</v>
      </c>
    </row>
    <row r="43119" spans="1:6" x14ac:dyDescent="0.25">
      <c r="A43119" s="2" t="str">
        <f t="shared" si="1336"/>
        <v>30100</v>
      </c>
      <c r="B43119" s="2" t="str">
        <f>"05083"</f>
        <v>05083</v>
      </c>
      <c r="C43119" s="1">
        <v>9.6898355419578798E-4</v>
      </c>
      <c r="D43119" s="1">
        <v>5.2472014925373101E-4</v>
      </c>
      <c r="E43119" s="1">
        <v>3.6212203512583701E-4</v>
      </c>
      <c r="F43119" s="1">
        <v>8.8718575731369003E-4</v>
      </c>
    </row>
    <row r="43120" spans="1:6" x14ac:dyDescent="0.25">
      <c r="A43120" s="2" t="str">
        <f t="shared" si="1336"/>
        <v>30100</v>
      </c>
      <c r="B43120" s="2" t="str">
        <f>"05069"</f>
        <v>05069</v>
      </c>
      <c r="C43120" s="1">
        <v>7.80570085324385E-4</v>
      </c>
      <c r="D43120" s="1">
        <v>1.7490671641791E-4</v>
      </c>
      <c r="E43120" s="1">
        <v>0</v>
      </c>
      <c r="F43120" s="1">
        <v>6.7098082485909395E-4</v>
      </c>
    </row>
    <row r="43121" spans="1:6" x14ac:dyDescent="0.25">
      <c r="A43121" s="2" t="str">
        <f t="shared" si="1336"/>
        <v>30100</v>
      </c>
      <c r="B43121" s="2" t="str">
        <f>"05065"</f>
        <v>05065</v>
      </c>
      <c r="C43121" s="1">
        <v>4.1361242452246103E-3</v>
      </c>
      <c r="D43121" s="1">
        <v>9.9113805970149193E-4</v>
      </c>
      <c r="E43121" s="1">
        <v>2.1727322107550199E-3</v>
      </c>
      <c r="F43121" s="1">
        <v>3.65311782423284E-3</v>
      </c>
    </row>
    <row r="43122" spans="1:6" x14ac:dyDescent="0.25">
      <c r="A43122" s="2" t="str">
        <f t="shared" si="1336"/>
        <v>30100</v>
      </c>
      <c r="B43122" s="2" t="str">
        <f>"05060"</f>
        <v>05060</v>
      </c>
      <c r="C43122" s="1">
        <v>2.03845429178965E-2</v>
      </c>
      <c r="D43122" s="1">
        <v>1.4050839552238801E-2</v>
      </c>
      <c r="E43122" s="1">
        <v>3.2047800108636601E-2</v>
      </c>
      <c r="F43122" s="1">
        <v>2.0054871320788401E-2</v>
      </c>
    </row>
    <row r="43123" spans="1:6" x14ac:dyDescent="0.25">
      <c r="A43123" s="2" t="str">
        <f t="shared" si="1336"/>
        <v>30100</v>
      </c>
      <c r="B43123" s="2" t="str">
        <f>"05040"</f>
        <v>05040</v>
      </c>
      <c r="C43123" s="1">
        <v>2.1712409269942601E-3</v>
      </c>
      <c r="D43123" s="1">
        <v>4.6641791044776102E-4</v>
      </c>
      <c r="E43123" s="1">
        <v>5.4318305268875595E-4</v>
      </c>
      <c r="F43123" s="1">
        <v>1.8862016521038901E-3</v>
      </c>
    </row>
    <row r="43124" spans="1:6" x14ac:dyDescent="0.25">
      <c r="A43124" s="2" t="str">
        <f t="shared" si="1336"/>
        <v>30100</v>
      </c>
      <c r="B43124" s="2" t="str">
        <f>"03785"</f>
        <v>03785</v>
      </c>
      <c r="C43124" s="1">
        <v>1.12061153628753E-2</v>
      </c>
      <c r="D43124" s="1">
        <v>8.0457089552238795E-3</v>
      </c>
      <c r="E43124" s="1">
        <v>2.2451566177801901E-2</v>
      </c>
      <c r="F43124" s="1">
        <v>1.1265022515134299E-2</v>
      </c>
    </row>
    <row r="43125" spans="1:6" x14ac:dyDescent="0.25">
      <c r="A43125" s="2" t="str">
        <f t="shared" si="1336"/>
        <v>30100</v>
      </c>
      <c r="B43125" s="2" t="str">
        <f>"03779"</f>
        <v>03779</v>
      </c>
      <c r="C43125" s="1">
        <v>3.2658334604376499E-3</v>
      </c>
      <c r="D43125" s="1">
        <v>1.1660447761194E-4</v>
      </c>
      <c r="E43125" s="1">
        <v>1.26742712294043E-3</v>
      </c>
      <c r="F43125" s="1">
        <v>2.7808427519160198E-3</v>
      </c>
    </row>
    <row r="43126" spans="1:6" x14ac:dyDescent="0.25">
      <c r="A43126" s="2" t="str">
        <f t="shared" si="1336"/>
        <v>30100</v>
      </c>
      <c r="B43126" s="2" t="str">
        <f>"03780"</f>
        <v>03780</v>
      </c>
      <c r="C43126" s="1">
        <v>1.79441398925146E-3</v>
      </c>
      <c r="D43126" s="1">
        <v>1.1660447761194E-4</v>
      </c>
      <c r="E43126" s="1">
        <v>1.8106101756291799E-4</v>
      </c>
      <c r="F43126" s="1">
        <v>1.51343452718217E-3</v>
      </c>
    </row>
    <row r="43127" spans="1:6" x14ac:dyDescent="0.25">
      <c r="A43127" s="2" t="str">
        <f t="shared" si="1336"/>
        <v>30100</v>
      </c>
      <c r="B43127" s="2" t="str">
        <f>"03777"</f>
        <v>03777</v>
      </c>
      <c r="C43127" s="1">
        <v>5.3204374781305698E-3</v>
      </c>
      <c r="D43127" s="1">
        <v>1.2243470149253699E-3</v>
      </c>
      <c r="E43127" s="1">
        <v>3.0780372985696101E-3</v>
      </c>
      <c r="F43127" s="1">
        <v>4.7043211165120899E-3</v>
      </c>
    </row>
    <row r="43128" spans="1:6" x14ac:dyDescent="0.25">
      <c r="A43128" s="2" t="str">
        <f t="shared" si="1336"/>
        <v>30100</v>
      </c>
      <c r="B43128" s="2" t="str">
        <f>"03774"</f>
        <v>03774</v>
      </c>
      <c r="C43128" s="1">
        <v>6.8187731591555396E-3</v>
      </c>
      <c r="D43128" s="1">
        <v>2.5652985074626801E-3</v>
      </c>
      <c r="E43128" s="1">
        <v>3.6212203512583701E-3</v>
      </c>
      <c r="F43128" s="1">
        <v>6.1432022187099204E-3</v>
      </c>
    </row>
    <row r="43129" spans="1:6" x14ac:dyDescent="0.25">
      <c r="A43129" s="2" t="str">
        <f t="shared" si="1336"/>
        <v>30100</v>
      </c>
      <c r="B43129" s="2" t="str">
        <f>"03574"</f>
        <v>03574</v>
      </c>
      <c r="C43129" s="1">
        <v>1.03447966480346E-2</v>
      </c>
      <c r="D43129" s="1">
        <v>1.51585820895522E-3</v>
      </c>
      <c r="E43129" s="1">
        <v>1.21310881767155E-2</v>
      </c>
      <c r="F43129" s="1">
        <v>9.2893567530492292E-3</v>
      </c>
    </row>
    <row r="43130" spans="1:6" x14ac:dyDescent="0.25">
      <c r="A43130" s="2" t="str">
        <f t="shared" si="1336"/>
        <v>30100</v>
      </c>
      <c r="B43130" s="2" t="str">
        <f>"03279"</f>
        <v>03279</v>
      </c>
      <c r="C43130" s="1">
        <v>3.8669621468368901E-3</v>
      </c>
      <c r="D43130" s="1">
        <v>6.9962686567164099E-4</v>
      </c>
      <c r="E43130" s="1">
        <v>1.44848814050334E-3</v>
      </c>
      <c r="F43130" s="1">
        <v>3.3623594667939001E-3</v>
      </c>
    </row>
    <row r="43131" spans="1:6" x14ac:dyDescent="0.25">
      <c r="A43131" s="2" t="str">
        <f t="shared" si="1336"/>
        <v>30100</v>
      </c>
      <c r="B43131" s="2" t="str">
        <f>"03282"</f>
        <v>03282</v>
      </c>
      <c r="C43131" s="1">
        <v>3.4811631391478302E-3</v>
      </c>
      <c r="D43131" s="1">
        <v>6.9962686567164099E-4</v>
      </c>
      <c r="E43131" s="1">
        <v>5.4318305268875595E-4</v>
      </c>
      <c r="F43131" s="1">
        <v>3.0045030268690499E-3</v>
      </c>
    </row>
    <row r="43132" spans="1:6" x14ac:dyDescent="0.25">
      <c r="A43132" s="2" t="str">
        <f t="shared" si="1336"/>
        <v>30100</v>
      </c>
      <c r="B43132" s="2" t="str">
        <f>"03222"</f>
        <v>03222</v>
      </c>
      <c r="C43132" s="1">
        <v>3.4739854831908203E-2</v>
      </c>
      <c r="D43132" s="1">
        <v>1.2943097014925299E-2</v>
      </c>
      <c r="E43132" s="1">
        <v>3.6212203512583703E-2</v>
      </c>
      <c r="F43132" s="1">
        <v>3.2013240688277197E-2</v>
      </c>
    </row>
    <row r="43133" spans="1:6" x14ac:dyDescent="0.25">
      <c r="A43133" s="2" t="str">
        <f t="shared" si="1336"/>
        <v>30100</v>
      </c>
      <c r="B43133" s="2" t="str">
        <f>"05663"</f>
        <v>05663</v>
      </c>
      <c r="C43133" s="1">
        <v>1.16636909301344E-4</v>
      </c>
      <c r="D43133" s="1">
        <v>5.8302238805970101E-5</v>
      </c>
      <c r="E43133" s="1">
        <v>0</v>
      </c>
      <c r="F43133" s="1">
        <v>1.0437479497808101E-4</v>
      </c>
    </row>
    <row r="43134" spans="1:6" x14ac:dyDescent="0.25">
      <c r="A43134" s="2" t="str">
        <f t="shared" si="1336"/>
        <v>30100</v>
      </c>
      <c r="B43134" s="2" t="str">
        <f>"05654"</f>
        <v>05654</v>
      </c>
      <c r="C43134" s="1">
        <v>1.12150874328216E-3</v>
      </c>
      <c r="D43134" s="1">
        <v>1.1660447761194E-4</v>
      </c>
      <c r="E43134" s="1">
        <v>0</v>
      </c>
      <c r="F43134" s="1">
        <v>9.4682849730116599E-4</v>
      </c>
    </row>
    <row r="43135" spans="1:6" x14ac:dyDescent="0.25">
      <c r="A43135" s="2" t="str">
        <f t="shared" si="1336"/>
        <v>30100</v>
      </c>
      <c r="B43135" s="2" t="str">
        <f>"05641"</f>
        <v>05641</v>
      </c>
      <c r="C43135" s="1">
        <v>2.2968499062418599E-3</v>
      </c>
      <c r="D43135" s="1">
        <v>0</v>
      </c>
      <c r="E43135" s="1">
        <v>1.8106101756291799E-4</v>
      </c>
      <c r="F43135" s="1">
        <v>1.9160230220976299E-3</v>
      </c>
    </row>
    <row r="43136" spans="1:6" x14ac:dyDescent="0.25">
      <c r="A43136" s="2" t="str">
        <f t="shared" si="1336"/>
        <v>30100</v>
      </c>
      <c r="B43136" s="2" t="str">
        <f>"05149"</f>
        <v>05149</v>
      </c>
      <c r="C43136" s="1">
        <v>1.68585194290174E-2</v>
      </c>
      <c r="D43136" s="1">
        <v>1.3701026119402901E-2</v>
      </c>
      <c r="E43136" s="1">
        <v>1.7743979721165998E-2</v>
      </c>
      <c r="F43136" s="1">
        <v>1.6491217606536799E-2</v>
      </c>
    </row>
    <row r="43137" spans="1:6" x14ac:dyDescent="0.25">
      <c r="A43137" s="2" t="str">
        <f t="shared" si="1336"/>
        <v>30100</v>
      </c>
      <c r="B43137" s="2" t="str">
        <f>"05073"</f>
        <v>05073</v>
      </c>
      <c r="C43137" s="1">
        <v>8.0748629516315696E-5</v>
      </c>
      <c r="D43137" s="1">
        <v>2.9151119402985002E-4</v>
      </c>
      <c r="E43137" s="1">
        <v>0</v>
      </c>
      <c r="F43137" s="1">
        <v>1.0437479497808101E-4</v>
      </c>
    </row>
    <row r="43138" spans="1:6" x14ac:dyDescent="0.25">
      <c r="A43138" s="2" t="str">
        <f t="shared" si="1336"/>
        <v>30100</v>
      </c>
      <c r="B43138" s="2" t="str">
        <f>"05079"</f>
        <v>05079</v>
      </c>
      <c r="C43138" s="1">
        <v>3.20302897081385E-3</v>
      </c>
      <c r="D43138" s="1">
        <v>6.41324626865671E-4</v>
      </c>
      <c r="E43138" s="1">
        <v>1.08636610537751E-3</v>
      </c>
      <c r="F43138" s="1">
        <v>2.78829809441445E-3</v>
      </c>
    </row>
    <row r="43139" spans="1:6" x14ac:dyDescent="0.25">
      <c r="A43139" s="2" t="str">
        <f t="shared" si="1336"/>
        <v>30100</v>
      </c>
      <c r="B43139" s="2" t="str">
        <f>"05089"</f>
        <v>05089</v>
      </c>
      <c r="C43139" s="1">
        <v>2.4709080631992598E-2</v>
      </c>
      <c r="D43139" s="1">
        <v>2.8276585820895501E-2</v>
      </c>
      <c r="E43139" s="1">
        <v>3.2953105196451199E-2</v>
      </c>
      <c r="F43139" s="1">
        <v>2.5504726687144E-2</v>
      </c>
    </row>
    <row r="43140" spans="1:6" x14ac:dyDescent="0.25">
      <c r="A43140" s="2" t="str">
        <f t="shared" si="1336"/>
        <v>30100</v>
      </c>
      <c r="B43140" s="2" t="str">
        <f>"05039"</f>
        <v>05039</v>
      </c>
      <c r="C43140" s="1">
        <v>4.2168728747409298E-3</v>
      </c>
      <c r="D43140" s="1">
        <v>2.3320895522388E-4</v>
      </c>
      <c r="E43140" s="1">
        <v>0</v>
      </c>
      <c r="F43140" s="1">
        <v>3.5338323442578902E-3</v>
      </c>
    </row>
    <row r="43141" spans="1:6" x14ac:dyDescent="0.25">
      <c r="A43141" s="2" t="str">
        <f t="shared" si="1336"/>
        <v>30100</v>
      </c>
      <c r="B43141" s="2" t="str">
        <f>"05038"</f>
        <v>05038</v>
      </c>
      <c r="C43141" s="1">
        <v>5.3742698978081196E-3</v>
      </c>
      <c r="D43141" s="1">
        <v>7.5792910447761098E-4</v>
      </c>
      <c r="E43141" s="1">
        <v>7.2424407025167403E-4</v>
      </c>
      <c r="F43141" s="1">
        <v>4.5924909790355699E-3</v>
      </c>
    </row>
    <row r="43142" spans="1:6" x14ac:dyDescent="0.25">
      <c r="A43142" s="2" t="str">
        <f t="shared" si="1336"/>
        <v>30100</v>
      </c>
      <c r="B43142" s="2" t="str">
        <f>"03586"</f>
        <v>03586</v>
      </c>
      <c r="C43142" s="1">
        <v>3.20302897081385E-3</v>
      </c>
      <c r="D43142" s="1">
        <v>2.3320895522388E-4</v>
      </c>
      <c r="E43142" s="1">
        <v>1.08636610537751E-3</v>
      </c>
      <c r="F43142" s="1">
        <v>2.7361106969254101E-3</v>
      </c>
    </row>
    <row r="43143" spans="1:6" x14ac:dyDescent="0.25">
      <c r="A43143" s="2" t="str">
        <f t="shared" si="1336"/>
        <v>30100</v>
      </c>
      <c r="B43143" s="2" t="str">
        <f>"03580"</f>
        <v>03580</v>
      </c>
      <c r="C43143" s="1">
        <v>5.3473536879693499E-3</v>
      </c>
      <c r="D43143" s="1">
        <v>2.0405783582089498E-3</v>
      </c>
      <c r="E43143" s="1">
        <v>3.0780372985696101E-3</v>
      </c>
      <c r="F43143" s="1">
        <v>4.8310619389854703E-3</v>
      </c>
    </row>
    <row r="43144" spans="1:6" x14ac:dyDescent="0.25">
      <c r="A43144" s="2" t="str">
        <f t="shared" si="1336"/>
        <v>30100</v>
      </c>
      <c r="B43144" s="2" t="str">
        <f>"03266"</f>
        <v>03266</v>
      </c>
      <c r="C43144" s="1">
        <v>1.4131010165355199E-2</v>
      </c>
      <c r="D43144" s="1">
        <v>6.3549440298507403E-3</v>
      </c>
      <c r="E43144" s="1">
        <v>1.9916711931920999E-3</v>
      </c>
      <c r="F43144" s="1">
        <v>1.26368055348462E-2</v>
      </c>
    </row>
    <row r="43145" spans="1:6" x14ac:dyDescent="0.25">
      <c r="A43145" s="2" t="str">
        <f t="shared" si="1336"/>
        <v>30100</v>
      </c>
      <c r="B43145" s="2" t="str">
        <f>"03223"</f>
        <v>03223</v>
      </c>
      <c r="C43145" s="1">
        <v>2.5893393864898501E-2</v>
      </c>
      <c r="D43145" s="1">
        <v>3.0142257462686499E-2</v>
      </c>
      <c r="E43145" s="1">
        <v>7.0613796849538198E-3</v>
      </c>
      <c r="F43145" s="1">
        <v>2.56612888796111E-2</v>
      </c>
    </row>
    <row r="43146" spans="1:6" x14ac:dyDescent="0.25">
      <c r="A43146" s="2" t="str">
        <f t="shared" si="1336"/>
        <v>30100</v>
      </c>
      <c r="B43146" s="2" t="str">
        <f>"05758"</f>
        <v>05758</v>
      </c>
      <c r="C43146" s="1">
        <v>2.6916209838771899E-5</v>
      </c>
      <c r="D43146" s="1">
        <v>0</v>
      </c>
      <c r="E43146" s="1">
        <v>0</v>
      </c>
      <c r="F43146" s="1">
        <v>2.2366027495303102E-5</v>
      </c>
    </row>
    <row r="43147" spans="1:6" x14ac:dyDescent="0.25">
      <c r="A43147" s="2" t="str">
        <f t="shared" si="1336"/>
        <v>30100</v>
      </c>
      <c r="B43147" s="2" t="str">
        <f>"05746"</f>
        <v>05746</v>
      </c>
      <c r="C43147" s="1">
        <v>8.9720699462573007E-6</v>
      </c>
      <c r="D43147" s="1">
        <v>0</v>
      </c>
      <c r="E43147" s="1">
        <v>1.8106101756291799E-4</v>
      </c>
      <c r="F43147" s="1">
        <v>1.49106849968687E-5</v>
      </c>
    </row>
    <row r="43148" spans="1:6" x14ac:dyDescent="0.25">
      <c r="A43148" s="2" t="str">
        <f t="shared" si="1336"/>
        <v>30100</v>
      </c>
      <c r="B43148" s="2" t="str">
        <f>"05161"</f>
        <v>05161</v>
      </c>
      <c r="C43148" s="1">
        <v>2.9876992921036801E-3</v>
      </c>
      <c r="D43148" s="1">
        <v>2.3320895522388E-4</v>
      </c>
      <c r="E43148" s="1">
        <v>9.0530508781459297E-4</v>
      </c>
      <c r="F43148" s="1">
        <v>2.5497271344645501E-3</v>
      </c>
    </row>
    <row r="43149" spans="1:6" x14ac:dyDescent="0.25">
      <c r="A43149" s="2" t="str">
        <f t="shared" si="1336"/>
        <v>30100</v>
      </c>
      <c r="B43149" s="2" t="str">
        <f>"05148"</f>
        <v>05148</v>
      </c>
      <c r="C43149" s="1">
        <v>1.07664839355087E-4</v>
      </c>
      <c r="D43149" s="1">
        <v>0</v>
      </c>
      <c r="E43149" s="1">
        <v>0</v>
      </c>
      <c r="F43149" s="1">
        <v>8.9464109981212501E-5</v>
      </c>
    </row>
    <row r="43150" spans="1:6" x14ac:dyDescent="0.25">
      <c r="A43150" s="2" t="str">
        <f t="shared" ref="A43150:A43181" si="1337">"30100"</f>
        <v>30100</v>
      </c>
      <c r="B43150" s="2" t="str">
        <f>"05074"</f>
        <v>05074</v>
      </c>
      <c r="C43150" s="1">
        <v>8.9720699462573007E-6</v>
      </c>
      <c r="D43150" s="1">
        <v>5.8302238805970101E-5</v>
      </c>
      <c r="E43150" s="1">
        <v>0</v>
      </c>
      <c r="F43150" s="1">
        <v>1.49106849968687E-5</v>
      </c>
    </row>
    <row r="43151" spans="1:6" x14ac:dyDescent="0.25">
      <c r="A43151" s="2" t="str">
        <f t="shared" si="1337"/>
        <v>30100</v>
      </c>
      <c r="B43151" s="2" t="str">
        <f>"05091"</f>
        <v>05091</v>
      </c>
      <c r="C43151" s="1">
        <v>1.64816924912746E-2</v>
      </c>
      <c r="D43151" s="1">
        <v>1.90065298507462E-2</v>
      </c>
      <c r="E43151" s="1">
        <v>3.5850081477457899E-2</v>
      </c>
      <c r="F43151" s="1">
        <v>1.7602063638803501E-2</v>
      </c>
    </row>
    <row r="43152" spans="1:6" x14ac:dyDescent="0.25">
      <c r="A43152" s="2" t="str">
        <f t="shared" si="1337"/>
        <v>30100</v>
      </c>
      <c r="B43152" s="2" t="str">
        <f>"05058"</f>
        <v>05058</v>
      </c>
      <c r="C43152" s="1">
        <v>6.9982145580806902E-4</v>
      </c>
      <c r="D43152" s="1">
        <v>1.1660447761194E-4</v>
      </c>
      <c r="E43152" s="1">
        <v>0</v>
      </c>
      <c r="F43152" s="1">
        <v>5.9642739987475003E-4</v>
      </c>
    </row>
    <row r="43153" spans="1:6" x14ac:dyDescent="0.25">
      <c r="A43153" s="2" t="str">
        <f t="shared" si="1337"/>
        <v>30100</v>
      </c>
      <c r="B43153" s="2" t="str">
        <f>"05059"</f>
        <v>05059</v>
      </c>
      <c r="C43153" s="1">
        <v>1.2202015126909901E-3</v>
      </c>
      <c r="D43153" s="1">
        <v>0</v>
      </c>
      <c r="E43153" s="1">
        <v>1.8106101756291799E-4</v>
      </c>
      <c r="F43153" s="1">
        <v>1.0213819222854999E-3</v>
      </c>
    </row>
    <row r="43154" spans="1:6" x14ac:dyDescent="0.25">
      <c r="A43154" s="2" t="str">
        <f t="shared" si="1337"/>
        <v>30100</v>
      </c>
      <c r="B43154" s="2" t="str">
        <f>"05047"</f>
        <v>05047</v>
      </c>
      <c r="C43154" s="1">
        <v>1.7944139892514601E-5</v>
      </c>
      <c r="D43154" s="1">
        <v>5.8302238805970101E-5</v>
      </c>
      <c r="E43154" s="1">
        <v>0</v>
      </c>
      <c r="F43154" s="1">
        <v>2.2366027495303102E-5</v>
      </c>
    </row>
    <row r="43155" spans="1:6" x14ac:dyDescent="0.25">
      <c r="A43155" s="2" t="str">
        <f t="shared" si="1337"/>
        <v>30100</v>
      </c>
      <c r="B43155" s="2" t="str">
        <f>"05035"</f>
        <v>05035</v>
      </c>
      <c r="C43155" s="1">
        <v>2.1891850668867801E-3</v>
      </c>
      <c r="D43155" s="1">
        <v>3.4981343283582001E-4</v>
      </c>
      <c r="E43155" s="1">
        <v>5.4318305268875595E-4</v>
      </c>
      <c r="F43155" s="1">
        <v>1.8862016521038901E-3</v>
      </c>
    </row>
    <row r="43156" spans="1:6" x14ac:dyDescent="0.25">
      <c r="A43156" s="2" t="str">
        <f t="shared" si="1337"/>
        <v>30100</v>
      </c>
      <c r="B43156" s="2" t="str">
        <f>"05031"</f>
        <v>05031</v>
      </c>
      <c r="C43156" s="1">
        <v>0</v>
      </c>
      <c r="D43156" s="1">
        <v>5.8302238805970101E-5</v>
      </c>
      <c r="E43156" s="1">
        <v>3.6212203512583701E-4</v>
      </c>
      <c r="F43156" s="1">
        <v>2.2366027495303102E-5</v>
      </c>
    </row>
    <row r="43157" spans="1:6" x14ac:dyDescent="0.25">
      <c r="A43157" s="2" t="str">
        <f t="shared" si="1337"/>
        <v>30100</v>
      </c>
      <c r="B43157" s="2" t="str">
        <f>"05033"</f>
        <v>05033</v>
      </c>
      <c r="C43157" s="1">
        <v>1.08651767049175E-2</v>
      </c>
      <c r="D43157" s="1">
        <v>4.8390858208955199E-3</v>
      </c>
      <c r="E43157" s="1">
        <v>9.2341118957088505E-3</v>
      </c>
      <c r="F43157" s="1">
        <v>1.0027435660394201E-2</v>
      </c>
    </row>
    <row r="43158" spans="1:6" x14ac:dyDescent="0.25">
      <c r="A43158" s="2" t="str">
        <f t="shared" si="1337"/>
        <v>30100</v>
      </c>
      <c r="B43158" s="2" t="str">
        <f>"03784"</f>
        <v>03784</v>
      </c>
      <c r="C43158" s="1">
        <v>2.1299694052414799E-2</v>
      </c>
      <c r="D43158" s="1">
        <v>2.8393190298507402E-2</v>
      </c>
      <c r="E43158" s="1">
        <v>4.0557667934093697E-2</v>
      </c>
      <c r="F43158" s="1">
        <v>2.299973160767E-2</v>
      </c>
    </row>
    <row r="43159" spans="1:6" x14ac:dyDescent="0.25">
      <c r="A43159" s="2" t="str">
        <f t="shared" si="1337"/>
        <v>30100</v>
      </c>
      <c r="B43159" s="2" t="str">
        <f>"03773"</f>
        <v>03773</v>
      </c>
      <c r="C43159" s="1">
        <v>3.98987950510062E-2</v>
      </c>
      <c r="D43159" s="1">
        <v>3.2182835820895497E-2</v>
      </c>
      <c r="E43159" s="1">
        <v>4.7800108636610501E-2</v>
      </c>
      <c r="F43159" s="1">
        <v>3.9237467569260102E-2</v>
      </c>
    </row>
    <row r="43160" spans="1:6" x14ac:dyDescent="0.25">
      <c r="A43160" s="2" t="str">
        <f t="shared" si="1337"/>
        <v>30100</v>
      </c>
      <c r="B43160" s="2" t="str">
        <f>"03750"</f>
        <v>03750</v>
      </c>
      <c r="C43160" s="1">
        <v>3.03255964183496E-3</v>
      </c>
      <c r="D43160" s="1">
        <v>0</v>
      </c>
      <c r="E43160" s="1">
        <v>1.8106101756291799E-4</v>
      </c>
      <c r="F43160" s="1">
        <v>2.52736110696925E-3</v>
      </c>
    </row>
    <row r="43161" spans="1:6" x14ac:dyDescent="0.25">
      <c r="A43161" s="2" t="str">
        <f t="shared" si="1337"/>
        <v>30100</v>
      </c>
      <c r="B43161" s="2" t="str">
        <f>"03605"</f>
        <v>03605</v>
      </c>
      <c r="C43161" s="1">
        <v>3.1671406910288198E-3</v>
      </c>
      <c r="D43161" s="1">
        <v>2.9151119402985002E-4</v>
      </c>
      <c r="E43161" s="1">
        <v>1.8106101756291799E-4</v>
      </c>
      <c r="F43161" s="1">
        <v>2.67646795693794E-3</v>
      </c>
    </row>
    <row r="43162" spans="1:6" x14ac:dyDescent="0.25">
      <c r="A43162" s="2" t="str">
        <f t="shared" si="1337"/>
        <v>30100</v>
      </c>
      <c r="B43162" s="2" t="str">
        <f>"03598"</f>
        <v>03598</v>
      </c>
      <c r="C43162" s="1">
        <v>8.9720699462573007E-6</v>
      </c>
      <c r="D43162" s="1">
        <v>0</v>
      </c>
      <c r="E43162" s="1">
        <v>0</v>
      </c>
      <c r="F43162" s="1">
        <v>7.4553424984343697E-6</v>
      </c>
    </row>
    <row r="43163" spans="1:6" x14ac:dyDescent="0.25">
      <c r="A43163" s="2" t="str">
        <f t="shared" si="1337"/>
        <v>30100</v>
      </c>
      <c r="B43163" s="2" t="str">
        <f>"03264"</f>
        <v>03264</v>
      </c>
      <c r="C43163" s="1">
        <v>2.7418645755762298E-2</v>
      </c>
      <c r="D43163" s="1">
        <v>3.4981343283582003E-2</v>
      </c>
      <c r="E43163" s="1">
        <v>5.7034220532319303E-2</v>
      </c>
      <c r="F43163" s="1">
        <v>2.9605165061282902E-2</v>
      </c>
    </row>
    <row r="43164" spans="1:6" x14ac:dyDescent="0.25">
      <c r="A43164" s="2" t="str">
        <f t="shared" si="1337"/>
        <v>30100</v>
      </c>
      <c r="B43164" s="2" t="str">
        <f>"03243"</f>
        <v>03243</v>
      </c>
      <c r="C43164" s="1">
        <v>1.79441398925146E-4</v>
      </c>
      <c r="D43164" s="1">
        <v>5.8302238805970101E-5</v>
      </c>
      <c r="E43164" s="1">
        <v>0</v>
      </c>
      <c r="F43164" s="1">
        <v>1.56562192467121E-4</v>
      </c>
    </row>
    <row r="43165" spans="1:6" x14ac:dyDescent="0.25">
      <c r="A43165" s="2" t="str">
        <f t="shared" si="1337"/>
        <v>30100</v>
      </c>
      <c r="B43165" s="2" t="str">
        <f>"03241"</f>
        <v>03241</v>
      </c>
      <c r="C43165" s="1">
        <v>4.2079008047946698E-3</v>
      </c>
      <c r="D43165" s="1">
        <v>1.0494402985074601E-3</v>
      </c>
      <c r="E43165" s="1">
        <v>1.08636610537751E-3</v>
      </c>
      <c r="F43165" s="1">
        <v>3.6754838517281401E-3</v>
      </c>
    </row>
    <row r="43166" spans="1:6" x14ac:dyDescent="0.25">
      <c r="A43166" s="2" t="str">
        <f t="shared" si="1337"/>
        <v>30100</v>
      </c>
      <c r="B43166" s="2" t="str">
        <f>"05679"</f>
        <v>05679</v>
      </c>
      <c r="C43166" s="1">
        <v>1.26685627641153E-2</v>
      </c>
      <c r="D43166" s="1">
        <v>1.9239738805970101E-3</v>
      </c>
      <c r="E43166" s="1">
        <v>6.3371356147021501E-3</v>
      </c>
      <c r="F43166" s="1">
        <v>1.1033906897682799E-2</v>
      </c>
    </row>
    <row r="43167" spans="1:6" x14ac:dyDescent="0.25">
      <c r="A43167" s="2" t="str">
        <f t="shared" si="1337"/>
        <v>30100</v>
      </c>
      <c r="B43167" s="2" t="str">
        <f>"05669"</f>
        <v>05669</v>
      </c>
      <c r="C43167" s="1">
        <v>3.4991072790403402E-4</v>
      </c>
      <c r="D43167" s="1">
        <v>0</v>
      </c>
      <c r="E43167" s="1">
        <v>0</v>
      </c>
      <c r="F43167" s="1">
        <v>2.9075835743894E-4</v>
      </c>
    </row>
    <row r="43168" spans="1:6" x14ac:dyDescent="0.25">
      <c r="A43168" s="2" t="str">
        <f t="shared" si="1337"/>
        <v>30100</v>
      </c>
      <c r="B43168" s="2" t="str">
        <f>"05153"</f>
        <v>05153</v>
      </c>
      <c r="C43168" s="1">
        <v>3.5080793489865999E-3</v>
      </c>
      <c r="D43168" s="1">
        <v>5.8302238805970101E-4</v>
      </c>
      <c r="E43168" s="1">
        <v>2.89697628100669E-3</v>
      </c>
      <c r="F43168" s="1">
        <v>3.1088778218471302E-3</v>
      </c>
    </row>
    <row r="43169" spans="1:6" x14ac:dyDescent="0.25">
      <c r="A43169" s="2" t="str">
        <f t="shared" si="1337"/>
        <v>30100</v>
      </c>
      <c r="B43169" s="2" t="str">
        <f>"05143"</f>
        <v>05143</v>
      </c>
      <c r="C43169" s="1">
        <v>1.6705994239931E-2</v>
      </c>
      <c r="D43169" s="1">
        <v>2.3320895522388001E-3</v>
      </c>
      <c r="E43169" s="1">
        <v>6.3371356147021501E-3</v>
      </c>
      <c r="F43169" s="1">
        <v>1.4440998419467299E-2</v>
      </c>
    </row>
    <row r="43170" spans="1:6" x14ac:dyDescent="0.25">
      <c r="A43170" s="2" t="str">
        <f t="shared" si="1337"/>
        <v>30100</v>
      </c>
      <c r="B43170" s="2" t="str">
        <f>"05085"</f>
        <v>05085</v>
      </c>
      <c r="C43170" s="1">
        <v>0</v>
      </c>
      <c r="D43170" s="1">
        <v>0</v>
      </c>
      <c r="E43170" s="1">
        <v>1.8106101756291799E-4</v>
      </c>
      <c r="F43170" s="1">
        <v>7.4553424984343697E-6</v>
      </c>
    </row>
    <row r="43171" spans="1:6" x14ac:dyDescent="0.25">
      <c r="A43171" s="2" t="str">
        <f t="shared" si="1337"/>
        <v>30100</v>
      </c>
      <c r="B43171" s="2" t="str">
        <f>"05084"</f>
        <v>05084</v>
      </c>
      <c r="C43171" s="1">
        <v>3.1402244811900502E-4</v>
      </c>
      <c r="D43171" s="1">
        <v>0</v>
      </c>
      <c r="E43171" s="1">
        <v>3.6212203512583701E-4</v>
      </c>
      <c r="F43171" s="1">
        <v>2.7584767244207101E-4</v>
      </c>
    </row>
    <row r="43172" spans="1:6" x14ac:dyDescent="0.25">
      <c r="A43172" s="2" t="str">
        <f t="shared" si="1337"/>
        <v>30100</v>
      </c>
      <c r="B43172" s="2" t="str">
        <f>"05071"</f>
        <v>05071</v>
      </c>
      <c r="C43172" s="1">
        <v>9.8692769408830297E-4</v>
      </c>
      <c r="D43172" s="1">
        <v>0</v>
      </c>
      <c r="E43172" s="1">
        <v>1.8106101756291799E-4</v>
      </c>
      <c r="F43172" s="1">
        <v>8.2754301732621504E-4</v>
      </c>
    </row>
    <row r="43173" spans="1:6" x14ac:dyDescent="0.25">
      <c r="A43173" s="2" t="str">
        <f t="shared" si="1337"/>
        <v>30100</v>
      </c>
      <c r="B43173" s="2" t="str">
        <f>"05068"</f>
        <v>05068</v>
      </c>
      <c r="C43173" s="1">
        <v>1.2049489937823499E-2</v>
      </c>
      <c r="D43173" s="1">
        <v>2.15718283582089E-3</v>
      </c>
      <c r="E43173" s="1">
        <v>7.9666847727684204E-3</v>
      </c>
      <c r="F43173" s="1">
        <v>1.0616407717770501E-2</v>
      </c>
    </row>
    <row r="43174" spans="1:6" x14ac:dyDescent="0.25">
      <c r="A43174" s="2" t="str">
        <f t="shared" si="1337"/>
        <v>30100</v>
      </c>
      <c r="B43174" s="2" t="str">
        <f>"05056"</f>
        <v>05056</v>
      </c>
      <c r="C43174" s="1">
        <v>1.8931067586602901E-3</v>
      </c>
      <c r="D43174" s="1">
        <v>1.0494402985074601E-3</v>
      </c>
      <c r="E43174" s="1">
        <v>3.6212203512583701E-4</v>
      </c>
      <c r="F43174" s="1">
        <v>1.7221841171383399E-3</v>
      </c>
    </row>
    <row r="43175" spans="1:6" x14ac:dyDescent="0.25">
      <c r="A43175" s="2" t="str">
        <f t="shared" si="1337"/>
        <v>30100</v>
      </c>
      <c r="B43175" s="2" t="str">
        <f>"05037"</f>
        <v>05037</v>
      </c>
      <c r="C43175" s="1">
        <v>2.8979785926411001E-3</v>
      </c>
      <c r="D43175" s="1">
        <v>2.3320895522388E-4</v>
      </c>
      <c r="E43175" s="1">
        <v>0</v>
      </c>
      <c r="F43175" s="1">
        <v>2.43789699698804E-3</v>
      </c>
    </row>
    <row r="43176" spans="1:6" x14ac:dyDescent="0.25">
      <c r="A43176" s="2" t="str">
        <f t="shared" si="1337"/>
        <v>30100</v>
      </c>
      <c r="B43176" s="2" t="str">
        <f>"05036"</f>
        <v>05036</v>
      </c>
      <c r="C43176" s="1">
        <v>3.8849062867294102E-3</v>
      </c>
      <c r="D43176" s="1">
        <v>2.3320895522388E-4</v>
      </c>
      <c r="E43176" s="1">
        <v>0</v>
      </c>
      <c r="F43176" s="1">
        <v>3.2579846718158202E-3</v>
      </c>
    </row>
    <row r="43177" spans="1:6" x14ac:dyDescent="0.25">
      <c r="A43177" s="2" t="str">
        <f t="shared" si="1337"/>
        <v>30100</v>
      </c>
      <c r="B43177" s="2" t="str">
        <f>"05048"</f>
        <v>05048</v>
      </c>
      <c r="C43177" s="1">
        <v>8.9630978763110408E-3</v>
      </c>
      <c r="D43177" s="1">
        <v>2.15718283582089E-3</v>
      </c>
      <c r="E43177" s="1">
        <v>1.6295491580662601E-3</v>
      </c>
      <c r="F43177" s="1">
        <v>7.79083291086392E-3</v>
      </c>
    </row>
    <row r="43178" spans="1:6" x14ac:dyDescent="0.25">
      <c r="A43178" s="2" t="str">
        <f t="shared" si="1337"/>
        <v>30100</v>
      </c>
      <c r="B43178" s="2" t="str">
        <f>"05009"</f>
        <v>05009</v>
      </c>
      <c r="C43178" s="1">
        <v>0</v>
      </c>
      <c r="D43178" s="1">
        <v>1.1660447761194E-4</v>
      </c>
      <c r="E43178" s="1">
        <v>0</v>
      </c>
      <c r="F43178" s="1">
        <v>1.49106849968687E-5</v>
      </c>
    </row>
    <row r="43179" spans="1:6" x14ac:dyDescent="0.25">
      <c r="A43179" s="2" t="str">
        <f t="shared" si="1337"/>
        <v>30100</v>
      </c>
      <c r="B43179" s="2" t="str">
        <f>"03768"</f>
        <v>03768</v>
      </c>
      <c r="C43179" s="1">
        <v>6.1189517033474698E-3</v>
      </c>
      <c r="D43179" s="1">
        <v>9.9113805970149193E-4</v>
      </c>
      <c r="E43179" s="1">
        <v>1.9916711931920999E-3</v>
      </c>
      <c r="F43179" s="1">
        <v>5.2932931738884003E-3</v>
      </c>
    </row>
    <row r="43180" spans="1:6" x14ac:dyDescent="0.25">
      <c r="A43180" s="2" t="str">
        <f t="shared" si="1337"/>
        <v>30100</v>
      </c>
      <c r="B43180" s="2" t="str">
        <f>"03781"</f>
        <v>03781</v>
      </c>
      <c r="C43180" s="1">
        <v>6.7469965995854897E-3</v>
      </c>
      <c r="D43180" s="1">
        <v>4.6641791044776102E-4</v>
      </c>
      <c r="E43180" s="1">
        <v>5.4318305268875595E-4</v>
      </c>
      <c r="F43180" s="1">
        <v>5.6884263263054296E-3</v>
      </c>
    </row>
    <row r="43181" spans="1:6" x14ac:dyDescent="0.25">
      <c r="A43181" s="2" t="str">
        <f t="shared" si="1337"/>
        <v>30100</v>
      </c>
      <c r="B43181" s="2" t="str">
        <f>"03749"</f>
        <v>03749</v>
      </c>
      <c r="C43181" s="1">
        <v>0</v>
      </c>
      <c r="D43181" s="1">
        <v>0</v>
      </c>
      <c r="E43181" s="1">
        <v>1.8106101756291799E-4</v>
      </c>
      <c r="F43181" s="1">
        <v>7.4553424984343697E-6</v>
      </c>
    </row>
    <row r="43182" spans="1:6" x14ac:dyDescent="0.25">
      <c r="A43182" s="2" t="str">
        <f t="shared" ref="A43182:A43213" si="1338">"30100"</f>
        <v>30100</v>
      </c>
      <c r="B43182" s="2" t="str">
        <f>"03740"</f>
        <v>03740</v>
      </c>
      <c r="C43182" s="1">
        <v>4.0194873359232696E-3</v>
      </c>
      <c r="D43182" s="1">
        <v>5.2472014925373101E-4</v>
      </c>
      <c r="E43182" s="1">
        <v>5.4318305268875595E-4</v>
      </c>
      <c r="F43182" s="1">
        <v>3.4294575492798099E-3</v>
      </c>
    </row>
    <row r="43183" spans="1:6" x14ac:dyDescent="0.25">
      <c r="A43183" s="2" t="str">
        <f t="shared" si="1338"/>
        <v>30100</v>
      </c>
      <c r="B43183" s="2" t="str">
        <f>"03280"</f>
        <v>03280</v>
      </c>
      <c r="C43183" s="1">
        <v>5.3832419677543797E-3</v>
      </c>
      <c r="D43183" s="1">
        <v>4.6641791044776102E-4</v>
      </c>
      <c r="E43183" s="1">
        <v>1.8106101756291799E-4</v>
      </c>
      <c r="F43183" s="1">
        <v>4.5403035815465304E-3</v>
      </c>
    </row>
    <row r="43184" spans="1:6" x14ac:dyDescent="0.25">
      <c r="A43184" s="2" t="str">
        <f t="shared" si="1338"/>
        <v>30100</v>
      </c>
      <c r="B43184" s="2" t="str">
        <f>"03244"</f>
        <v>03244</v>
      </c>
      <c r="C43184" s="1">
        <v>1.79441398925146E-4</v>
      </c>
      <c r="D43184" s="1">
        <v>0</v>
      </c>
      <c r="E43184" s="1">
        <v>0</v>
      </c>
      <c r="F43184" s="1">
        <v>1.4910684996868699E-4</v>
      </c>
    </row>
    <row r="43185" spans="1:6" x14ac:dyDescent="0.25">
      <c r="A43185" s="2" t="str">
        <f t="shared" si="1338"/>
        <v>30100</v>
      </c>
      <c r="B43185" s="2" t="str">
        <f>"05762"</f>
        <v>05762</v>
      </c>
      <c r="C43185" s="1">
        <v>6.2804489623801102E-5</v>
      </c>
      <c r="D43185" s="1">
        <v>0</v>
      </c>
      <c r="E43185" s="1">
        <v>0</v>
      </c>
      <c r="F43185" s="1">
        <v>5.2187397489040597E-5</v>
      </c>
    </row>
    <row r="43186" spans="1:6" x14ac:dyDescent="0.25">
      <c r="A43186" s="2" t="str">
        <f t="shared" si="1338"/>
        <v>30100</v>
      </c>
      <c r="B43186" s="2" t="str">
        <f>"05675"</f>
        <v>05675</v>
      </c>
      <c r="C43186" s="1">
        <v>3.3017217402226801E-3</v>
      </c>
      <c r="D43186" s="1">
        <v>2.3320895522388E-4</v>
      </c>
      <c r="E43186" s="1">
        <v>7.2424407025167403E-4</v>
      </c>
      <c r="F43186" s="1">
        <v>2.8032087794113199E-3</v>
      </c>
    </row>
    <row r="43187" spans="1:6" x14ac:dyDescent="0.25">
      <c r="A43187" s="2" t="str">
        <f t="shared" si="1338"/>
        <v>30100</v>
      </c>
      <c r="B43187" s="2" t="str">
        <f>"05649"</f>
        <v>05649</v>
      </c>
      <c r="C43187" s="1">
        <v>1.60600052038005E-3</v>
      </c>
      <c r="D43187" s="1">
        <v>5.8302238805970101E-5</v>
      </c>
      <c r="E43187" s="1">
        <v>0</v>
      </c>
      <c r="F43187" s="1">
        <v>1.3419616497181801E-3</v>
      </c>
    </row>
    <row r="43188" spans="1:6" x14ac:dyDescent="0.25">
      <c r="A43188" s="2" t="str">
        <f t="shared" si="1338"/>
        <v>30100</v>
      </c>
      <c r="B43188" s="2" t="str">
        <f>"05086"</f>
        <v>05086</v>
      </c>
      <c r="C43188" s="1">
        <v>3.2299451806526202E-3</v>
      </c>
      <c r="D43188" s="1">
        <v>2.3320895522388E-4</v>
      </c>
      <c r="E43188" s="1">
        <v>0</v>
      </c>
      <c r="F43188" s="1">
        <v>2.71374466943011E-3</v>
      </c>
    </row>
    <row r="43189" spans="1:6" x14ac:dyDescent="0.25">
      <c r="A43189" s="2" t="str">
        <f t="shared" si="1338"/>
        <v>30100</v>
      </c>
      <c r="B43189" s="2" t="str">
        <f>"05062"</f>
        <v>05062</v>
      </c>
      <c r="C43189" s="1">
        <v>2.4493750953282398E-3</v>
      </c>
      <c r="D43189" s="1">
        <v>6.9962686567164099E-4</v>
      </c>
      <c r="E43189" s="1">
        <v>7.2424407025167403E-4</v>
      </c>
      <c r="F43189" s="1">
        <v>2.1545939820475299E-3</v>
      </c>
    </row>
    <row r="43190" spans="1:6" x14ac:dyDescent="0.25">
      <c r="A43190" s="2" t="str">
        <f t="shared" si="1338"/>
        <v>30100</v>
      </c>
      <c r="B43190" s="2" t="str">
        <f>"05032"</f>
        <v>05032</v>
      </c>
      <c r="C43190" s="1">
        <v>1.0371712857873401E-2</v>
      </c>
      <c r="D43190" s="1">
        <v>2.2737873134328298E-3</v>
      </c>
      <c r="E43190" s="1">
        <v>7.4235017200796598E-3</v>
      </c>
      <c r="F43190" s="1">
        <v>9.2148033280648901E-3</v>
      </c>
    </row>
    <row r="43191" spans="1:6" x14ac:dyDescent="0.25">
      <c r="A43191" s="2" t="str">
        <f t="shared" si="1338"/>
        <v>30100</v>
      </c>
      <c r="B43191" s="2" t="str">
        <f>"05001"</f>
        <v>05001</v>
      </c>
      <c r="C43191" s="1">
        <v>4.2590416034883401E-2</v>
      </c>
      <c r="D43191" s="1">
        <v>7.3519123134328304E-2</v>
      </c>
      <c r="E43191" s="1">
        <v>6.2828173094332695E-2</v>
      </c>
      <c r="F43191" s="1">
        <v>4.7378701577550399E-2</v>
      </c>
    </row>
    <row r="43192" spans="1:6" x14ac:dyDescent="0.25">
      <c r="A43192" s="2" t="str">
        <f t="shared" si="1338"/>
        <v>30100</v>
      </c>
      <c r="B43192" s="2" t="str">
        <f>"03770"</f>
        <v>03770</v>
      </c>
      <c r="C43192" s="1">
        <v>1.20225737279847E-3</v>
      </c>
      <c r="D43192" s="1">
        <v>2.9151119402985002E-4</v>
      </c>
      <c r="E43192" s="1">
        <v>1.8106101756291799E-4</v>
      </c>
      <c r="F43192" s="1">
        <v>1.04374794978081E-3</v>
      </c>
    </row>
    <row r="43193" spans="1:6" x14ac:dyDescent="0.25">
      <c r="A43193" s="2" t="str">
        <f t="shared" si="1338"/>
        <v>30100</v>
      </c>
      <c r="B43193" s="2" t="str">
        <f>"03751"</f>
        <v>03751</v>
      </c>
      <c r="C43193" s="1">
        <v>5.3832419677543798E-5</v>
      </c>
      <c r="D43193" s="1">
        <v>0</v>
      </c>
      <c r="E43193" s="1">
        <v>1.8106101756291799E-4</v>
      </c>
      <c r="F43193" s="1">
        <v>5.2187397489040597E-5</v>
      </c>
    </row>
    <row r="43194" spans="1:6" x14ac:dyDescent="0.25">
      <c r="A43194" s="2" t="str">
        <f t="shared" si="1338"/>
        <v>30100</v>
      </c>
      <c r="B43194" s="2" t="str">
        <f>"03746"</f>
        <v>03746</v>
      </c>
      <c r="C43194" s="1">
        <v>0</v>
      </c>
      <c r="D43194" s="1">
        <v>0</v>
      </c>
      <c r="E43194" s="1">
        <v>1.8106101756291799E-4</v>
      </c>
      <c r="F43194" s="1">
        <v>7.4553424984343697E-6</v>
      </c>
    </row>
    <row r="43195" spans="1:6" x14ac:dyDescent="0.25">
      <c r="A43195" s="2" t="str">
        <f t="shared" si="1338"/>
        <v>30100</v>
      </c>
      <c r="B43195" s="2" t="str">
        <f>"03752"</f>
        <v>03752</v>
      </c>
      <c r="C43195" s="1">
        <v>2.7364813336084701E-3</v>
      </c>
      <c r="D43195" s="1">
        <v>1.7490671641791E-4</v>
      </c>
      <c r="E43195" s="1">
        <v>1.8106101756291799E-4</v>
      </c>
      <c r="F43195" s="1">
        <v>2.3037008320162199E-3</v>
      </c>
    </row>
    <row r="43196" spans="1:6" x14ac:dyDescent="0.25">
      <c r="A43196" s="2" t="str">
        <f t="shared" si="1338"/>
        <v>30100</v>
      </c>
      <c r="B43196" s="2" t="str">
        <f>"03766"</f>
        <v>03766</v>
      </c>
      <c r="C43196" s="1">
        <v>5.5285895008837398E-2</v>
      </c>
      <c r="D43196" s="1">
        <v>5.0198227611940198E-2</v>
      </c>
      <c r="E43196" s="1">
        <v>9.5781278290783894E-2</v>
      </c>
      <c r="F43196" s="1">
        <v>5.6302746548176401E-2</v>
      </c>
    </row>
    <row r="43197" spans="1:6" x14ac:dyDescent="0.25">
      <c r="A43197" s="2" t="str">
        <f t="shared" si="1338"/>
        <v>30100</v>
      </c>
      <c r="B43197" s="2" t="str">
        <f>"03743"</f>
        <v>03743</v>
      </c>
      <c r="C43197" s="1">
        <v>6.8313340570803002E-2</v>
      </c>
      <c r="D43197" s="1">
        <v>5.4454291044776101E-2</v>
      </c>
      <c r="E43197" s="1">
        <v>0.12040557667934</v>
      </c>
      <c r="F43197" s="1">
        <v>6.8686070438075897E-2</v>
      </c>
    </row>
    <row r="43198" spans="1:6" x14ac:dyDescent="0.25">
      <c r="A43198" s="2" t="str">
        <f t="shared" si="1338"/>
        <v>30100</v>
      </c>
      <c r="B43198" s="2" t="str">
        <f>"03741"</f>
        <v>03741</v>
      </c>
      <c r="C43198" s="1">
        <v>1.6221502462833201E-2</v>
      </c>
      <c r="D43198" s="1">
        <v>1.2243470149253699E-3</v>
      </c>
      <c r="E43198" s="1">
        <v>6.3371356147021501E-3</v>
      </c>
      <c r="F43198" s="1">
        <v>1.3896758417081601E-2</v>
      </c>
    </row>
    <row r="43199" spans="1:6" x14ac:dyDescent="0.25">
      <c r="A43199" s="2" t="str">
        <f t="shared" si="1338"/>
        <v>30100</v>
      </c>
      <c r="B43199" s="2" t="str">
        <f>"03745"</f>
        <v>03745</v>
      </c>
      <c r="C43199" s="1">
        <v>5.2576329885067703E-3</v>
      </c>
      <c r="D43199" s="1">
        <v>3.4981343283582001E-4</v>
      </c>
      <c r="E43199" s="1">
        <v>1.8106101756291799E-4</v>
      </c>
      <c r="F43199" s="1">
        <v>4.4210181015715798E-3</v>
      </c>
    </row>
    <row r="43200" spans="1:6" x14ac:dyDescent="0.25">
      <c r="A43200" s="2" t="str">
        <f t="shared" si="1338"/>
        <v>30100</v>
      </c>
      <c r="B43200" s="2" t="str">
        <f>"03245"</f>
        <v>03245</v>
      </c>
      <c r="C43200" s="1">
        <v>1.07305956557237E-2</v>
      </c>
      <c r="D43200" s="1">
        <v>5.01399253731343E-3</v>
      </c>
      <c r="E43200" s="1">
        <v>4.1644034039471298E-3</v>
      </c>
      <c r="F43200" s="1">
        <v>9.7292219604568596E-3</v>
      </c>
    </row>
    <row r="43201" spans="1:6" x14ac:dyDescent="0.25">
      <c r="A43201" s="2" t="str">
        <f t="shared" si="1338"/>
        <v>30100</v>
      </c>
      <c r="B43201" s="2" t="str">
        <f>"03215"</f>
        <v>03215</v>
      </c>
      <c r="C43201" s="1">
        <v>2.6916209838771899E-5</v>
      </c>
      <c r="D43201" s="1">
        <v>5.8302238805970101E-5</v>
      </c>
      <c r="E43201" s="1">
        <v>3.6212203512583701E-4</v>
      </c>
      <c r="F43201" s="1">
        <v>4.4732054990606203E-5</v>
      </c>
    </row>
    <row r="43202" spans="1:6" x14ac:dyDescent="0.25">
      <c r="A43202" s="2" t="str">
        <f t="shared" si="1338"/>
        <v>30100</v>
      </c>
      <c r="B43202" s="2" t="str">
        <f>"05156"</f>
        <v>05156</v>
      </c>
      <c r="C43202" s="1">
        <v>4.5129511829674201E-2</v>
      </c>
      <c r="D43202" s="1">
        <v>2.99090485074626E-2</v>
      </c>
      <c r="E43202" s="1">
        <v>5.7034220532319303E-2</v>
      </c>
      <c r="F43202" s="1">
        <v>4.3673396355828502E-2</v>
      </c>
    </row>
    <row r="43203" spans="1:6" x14ac:dyDescent="0.25">
      <c r="A43203" s="2" t="str">
        <f t="shared" si="1338"/>
        <v>30100</v>
      </c>
      <c r="B43203" s="2" t="str">
        <f>"05150"</f>
        <v>05150</v>
      </c>
      <c r="C43203" s="1">
        <v>3.0774199915662502E-3</v>
      </c>
      <c r="D43203" s="1">
        <v>2.0988805970149202E-3</v>
      </c>
      <c r="E43203" s="1">
        <v>4.5265254390729603E-3</v>
      </c>
      <c r="F43203" s="1">
        <v>3.0119583693674801E-3</v>
      </c>
    </row>
    <row r="43204" spans="1:6" x14ac:dyDescent="0.25">
      <c r="A43204" s="2" t="str">
        <f t="shared" si="1338"/>
        <v>30100</v>
      </c>
      <c r="B43204" s="2" t="str">
        <f>"05081"</f>
        <v>05081</v>
      </c>
      <c r="C43204" s="1">
        <v>2.9518110123186499E-3</v>
      </c>
      <c r="D43204" s="1">
        <v>5.8302238805970101E-4</v>
      </c>
      <c r="E43204" s="1">
        <v>7.2424407025167403E-4</v>
      </c>
      <c r="F43204" s="1">
        <v>2.5571824769629898E-3</v>
      </c>
    </row>
    <row r="43205" spans="1:6" x14ac:dyDescent="0.25">
      <c r="A43205" s="2" t="str">
        <f t="shared" si="1338"/>
        <v>30100</v>
      </c>
      <c r="B43205" s="2" t="str">
        <f>"05052"</f>
        <v>05052</v>
      </c>
      <c r="C43205" s="1">
        <v>4.3963142736660701E-4</v>
      </c>
      <c r="D43205" s="1">
        <v>1.7490671641791E-4</v>
      </c>
      <c r="E43205" s="1">
        <v>5.4318305268875595E-4</v>
      </c>
      <c r="F43205" s="1">
        <v>4.1004383741388999E-4</v>
      </c>
    </row>
    <row r="43206" spans="1:6" x14ac:dyDescent="0.25">
      <c r="A43206" s="2" t="str">
        <f t="shared" si="1338"/>
        <v>30100</v>
      </c>
      <c r="B43206" s="2" t="str">
        <f>"05049"</f>
        <v>05049</v>
      </c>
      <c r="C43206" s="1">
        <v>1.7944139892514601E-5</v>
      </c>
      <c r="D43206" s="1">
        <v>5.8302238805970101E-5</v>
      </c>
      <c r="E43206" s="1">
        <v>0</v>
      </c>
      <c r="F43206" s="1">
        <v>2.2366027495303102E-5</v>
      </c>
    </row>
    <row r="43207" spans="1:6" x14ac:dyDescent="0.25">
      <c r="A43207" s="2" t="str">
        <f t="shared" si="1338"/>
        <v>30100</v>
      </c>
      <c r="B43207" s="2" t="str">
        <f>"05054"</f>
        <v>05054</v>
      </c>
      <c r="C43207" s="1">
        <v>8.9720699462573007E-6</v>
      </c>
      <c r="D43207" s="1">
        <v>0</v>
      </c>
      <c r="E43207" s="1">
        <v>1.8106101756291799E-4</v>
      </c>
      <c r="F43207" s="1">
        <v>1.49106849968687E-5</v>
      </c>
    </row>
    <row r="43208" spans="1:6" x14ac:dyDescent="0.25">
      <c r="A43208" s="2" t="str">
        <f t="shared" si="1338"/>
        <v>30100</v>
      </c>
      <c r="B43208" s="2" t="str">
        <f>"05045"</f>
        <v>05045</v>
      </c>
      <c r="C43208" s="1">
        <v>6.9174659285643697E-3</v>
      </c>
      <c r="D43208" s="1">
        <v>2.2154850746268599E-3</v>
      </c>
      <c r="E43208" s="1">
        <v>3.4401593336954501E-3</v>
      </c>
      <c r="F43208" s="1">
        <v>6.1730235887036602E-3</v>
      </c>
    </row>
    <row r="43209" spans="1:6" x14ac:dyDescent="0.25">
      <c r="A43209" s="2" t="str">
        <f t="shared" si="1338"/>
        <v>30100</v>
      </c>
      <c r="B43209" s="2" t="str">
        <f>"03765"</f>
        <v>03765</v>
      </c>
      <c r="C43209" s="1">
        <v>1.9289950384453101E-3</v>
      </c>
      <c r="D43209" s="1">
        <v>1.7490671641791E-4</v>
      </c>
      <c r="E43209" s="1">
        <v>5.4318305268875595E-4</v>
      </c>
      <c r="F43209" s="1">
        <v>1.6476306921539899E-3</v>
      </c>
    </row>
    <row r="43210" spans="1:6" x14ac:dyDescent="0.25">
      <c r="A43210" s="2" t="str">
        <f t="shared" si="1338"/>
        <v>30100</v>
      </c>
      <c r="B43210" s="2" t="str">
        <f>"03755"</f>
        <v>03755</v>
      </c>
      <c r="C43210" s="1">
        <v>3.1554770000986901E-2</v>
      </c>
      <c r="D43210" s="1">
        <v>0.363922574626865</v>
      </c>
      <c r="E43210" s="1">
        <v>5.0516023900054302E-2</v>
      </c>
      <c r="F43210" s="1">
        <v>7.4836727999284203E-2</v>
      </c>
    </row>
    <row r="43211" spans="1:6" x14ac:dyDescent="0.25">
      <c r="A43211" s="2" t="str">
        <f t="shared" si="1338"/>
        <v>30100</v>
      </c>
      <c r="B43211" s="2" t="str">
        <f>"03285"</f>
        <v>03285</v>
      </c>
      <c r="C43211" s="1">
        <v>8.2543043505567092E-3</v>
      </c>
      <c r="D43211" s="1">
        <v>7.5792910447761098E-4</v>
      </c>
      <c r="E43211" s="1">
        <v>5.7939525620133896E-3</v>
      </c>
      <c r="F43211" s="1">
        <v>7.1944055109891703E-3</v>
      </c>
    </row>
    <row r="43212" spans="1:6" x14ac:dyDescent="0.25">
      <c r="A43212" s="2" t="str">
        <f t="shared" si="1338"/>
        <v>30100</v>
      </c>
      <c r="B43212" s="2" t="str">
        <f>"03217"</f>
        <v>03217</v>
      </c>
      <c r="C43212" s="1">
        <v>1.5701122405950198E-2</v>
      </c>
      <c r="D43212" s="1">
        <v>2.8859608208955199E-2</v>
      </c>
      <c r="E43212" s="1">
        <v>8.5098678254571705E-3</v>
      </c>
      <c r="F43212" s="1">
        <v>1.7087645006411498E-2</v>
      </c>
    </row>
    <row r="43213" spans="1:6" x14ac:dyDescent="0.25">
      <c r="A43213" s="2" t="str">
        <f t="shared" si="1338"/>
        <v>30100</v>
      </c>
      <c r="B43213" s="2" t="str">
        <f>"05772"</f>
        <v>05772</v>
      </c>
      <c r="C43213" s="1">
        <v>2.5121795849520402E-3</v>
      </c>
      <c r="D43213" s="1">
        <v>2.9151119402985002E-4</v>
      </c>
      <c r="E43213" s="1">
        <v>1.8106101756291799E-4</v>
      </c>
      <c r="F43213" s="1">
        <v>2.1322279545522298E-3</v>
      </c>
    </row>
    <row r="43214" spans="1:6" x14ac:dyDescent="0.25">
      <c r="A43214" s="2" t="str">
        <f t="shared" ref="A43214:A43250" si="1339">"30100"</f>
        <v>30100</v>
      </c>
      <c r="B43214" s="2" t="str">
        <f>"05151"</f>
        <v>05151</v>
      </c>
      <c r="C43214" s="1">
        <v>6.1907282629175301E-3</v>
      </c>
      <c r="D43214" s="1">
        <v>1.39925373134328E-3</v>
      </c>
      <c r="E43214" s="1">
        <v>0</v>
      </c>
      <c r="F43214" s="1">
        <v>5.3231145438821402E-3</v>
      </c>
    </row>
    <row r="43215" spans="1:6" x14ac:dyDescent="0.25">
      <c r="A43215" s="2" t="str">
        <f t="shared" si="1339"/>
        <v>30100</v>
      </c>
      <c r="B43215" s="2" t="str">
        <f>"05072"</f>
        <v>05072</v>
      </c>
      <c r="C43215" s="1">
        <v>1.7495536395201699E-3</v>
      </c>
      <c r="D43215" s="1">
        <v>0</v>
      </c>
      <c r="E43215" s="1">
        <v>1.8106101756291799E-4</v>
      </c>
      <c r="F43215" s="1">
        <v>1.4612471296931301E-3</v>
      </c>
    </row>
    <row r="43216" spans="1:6" x14ac:dyDescent="0.25">
      <c r="A43216" s="2" t="str">
        <f t="shared" si="1339"/>
        <v>30100</v>
      </c>
      <c r="B43216" s="2" t="str">
        <f>"05070"</f>
        <v>05070</v>
      </c>
      <c r="C43216" s="1">
        <v>7.80570085324385E-4</v>
      </c>
      <c r="D43216" s="1">
        <v>1.7490671641791E-4</v>
      </c>
      <c r="E43216" s="1">
        <v>0</v>
      </c>
      <c r="F43216" s="1">
        <v>6.7098082485909395E-4</v>
      </c>
    </row>
    <row r="43217" spans="1:6" x14ac:dyDescent="0.25">
      <c r="A43217" s="2" t="str">
        <f t="shared" si="1339"/>
        <v>30100</v>
      </c>
      <c r="B43217" s="2" t="str">
        <f>"05076"</f>
        <v>05076</v>
      </c>
      <c r="C43217" s="1">
        <v>2.2789057663493502E-3</v>
      </c>
      <c r="D43217" s="1">
        <v>5.8302238805970101E-5</v>
      </c>
      <c r="E43217" s="1">
        <v>3.6212203512583701E-4</v>
      </c>
      <c r="F43217" s="1">
        <v>1.9160230220976299E-3</v>
      </c>
    </row>
    <row r="43218" spans="1:6" x14ac:dyDescent="0.25">
      <c r="A43218" s="2" t="str">
        <f t="shared" si="1339"/>
        <v>30100</v>
      </c>
      <c r="B43218" s="2" t="str">
        <f>"05067"</f>
        <v>05067</v>
      </c>
      <c r="C43218" s="1">
        <v>4.0374314758157801E-4</v>
      </c>
      <c r="D43218" s="1">
        <v>1.1660447761194E-4</v>
      </c>
      <c r="E43218" s="1">
        <v>3.6212203512583701E-4</v>
      </c>
      <c r="F43218" s="1">
        <v>3.6531178242328399E-4</v>
      </c>
    </row>
    <row r="43219" spans="1:6" x14ac:dyDescent="0.25">
      <c r="A43219" s="2" t="str">
        <f t="shared" si="1339"/>
        <v>30100</v>
      </c>
      <c r="B43219" s="2" t="str">
        <f>"05061"</f>
        <v>05061</v>
      </c>
      <c r="C43219" s="1">
        <v>5.5447392267870101E-3</v>
      </c>
      <c r="D43219" s="1">
        <v>5.2472014925373101E-4</v>
      </c>
      <c r="E43219" s="1">
        <v>1.08636610537751E-3</v>
      </c>
      <c r="F43219" s="1">
        <v>4.7192318015089598E-3</v>
      </c>
    </row>
    <row r="43220" spans="1:6" x14ac:dyDescent="0.25">
      <c r="A43220" s="2" t="str">
        <f t="shared" si="1339"/>
        <v>30100</v>
      </c>
      <c r="B43220" s="2" t="str">
        <f>"05030"</f>
        <v>05030</v>
      </c>
      <c r="C43220" s="1">
        <v>4.5578115326987004E-3</v>
      </c>
      <c r="D43220" s="1">
        <v>2.1571828358208901E-2</v>
      </c>
      <c r="E43220" s="1">
        <v>1.8106101756291799E-4</v>
      </c>
      <c r="F43220" s="1">
        <v>6.55324605612381E-3</v>
      </c>
    </row>
    <row r="43221" spans="1:6" x14ac:dyDescent="0.25">
      <c r="A43221" s="2" t="str">
        <f t="shared" si="1339"/>
        <v>30100</v>
      </c>
      <c r="B43221" s="2" t="str">
        <f>"05034"</f>
        <v>05034</v>
      </c>
      <c r="C43221" s="1">
        <v>4.0374314758157801E-4</v>
      </c>
      <c r="D43221" s="1">
        <v>1.7490671641791E-4</v>
      </c>
      <c r="E43221" s="1">
        <v>3.6212203512583701E-4</v>
      </c>
      <c r="F43221" s="1">
        <v>3.7276712492171802E-4</v>
      </c>
    </row>
    <row r="43222" spans="1:6" x14ac:dyDescent="0.25">
      <c r="A43222" s="2" t="str">
        <f t="shared" si="1339"/>
        <v>30100</v>
      </c>
      <c r="B43222" s="2" t="str">
        <f>"03782"</f>
        <v>03782</v>
      </c>
      <c r="C43222" s="1">
        <v>1.9487335923270802E-2</v>
      </c>
      <c r="D43222" s="1">
        <v>7.8708022388059695E-3</v>
      </c>
      <c r="E43222" s="1">
        <v>7.2424407025167403E-3</v>
      </c>
      <c r="F43222" s="1">
        <v>1.7497688843825399E-2</v>
      </c>
    </row>
    <row r="43223" spans="1:6" x14ac:dyDescent="0.25">
      <c r="A43223" s="2" t="str">
        <f t="shared" si="1339"/>
        <v>30100</v>
      </c>
      <c r="B43223" s="2" t="str">
        <f>"03771"</f>
        <v>03771</v>
      </c>
      <c r="C43223" s="1">
        <v>3.21200104076011E-3</v>
      </c>
      <c r="D43223" s="1">
        <v>5.8302238805970101E-4</v>
      </c>
      <c r="E43223" s="1">
        <v>9.0530508781459297E-4</v>
      </c>
      <c r="F43223" s="1">
        <v>2.7808427519160198E-3</v>
      </c>
    </row>
    <row r="43224" spans="1:6" x14ac:dyDescent="0.25">
      <c r="A43224" s="2" t="str">
        <f t="shared" si="1339"/>
        <v>30100</v>
      </c>
      <c r="B43224" s="2" t="str">
        <f>"03601"</f>
        <v>03601</v>
      </c>
      <c r="C43224" s="1">
        <v>4.8449177709789399E-4</v>
      </c>
      <c r="D43224" s="1">
        <v>0</v>
      </c>
      <c r="E43224" s="1">
        <v>1.8106101756291799E-4</v>
      </c>
      <c r="F43224" s="1">
        <v>4.1004383741388999E-4</v>
      </c>
    </row>
    <row r="43225" spans="1:6" x14ac:dyDescent="0.25">
      <c r="A43225" s="2" t="str">
        <f t="shared" si="1339"/>
        <v>30100</v>
      </c>
      <c r="B43225" s="2" t="str">
        <f>"03602"</f>
        <v>03602</v>
      </c>
      <c r="C43225" s="1">
        <v>2.2878778362956098E-3</v>
      </c>
      <c r="D43225" s="1">
        <v>6.9962686567164099E-4</v>
      </c>
      <c r="E43225" s="1">
        <v>0</v>
      </c>
      <c r="F43225" s="1">
        <v>1.9905764470819699E-3</v>
      </c>
    </row>
    <row r="43226" spans="1:6" x14ac:dyDescent="0.25">
      <c r="A43226" s="2" t="str">
        <f t="shared" si="1339"/>
        <v>30100</v>
      </c>
      <c r="B43226" s="2" t="str">
        <f>"03603"</f>
        <v>03603</v>
      </c>
      <c r="C43226" s="1">
        <v>3.2200759037117402E-2</v>
      </c>
      <c r="D43226" s="1">
        <v>2.9384328358208901E-2</v>
      </c>
      <c r="E43226" s="1">
        <v>1.1406844106463801E-2</v>
      </c>
      <c r="F43226" s="1">
        <v>3.0984403423493199E-2</v>
      </c>
    </row>
    <row r="43227" spans="1:6" x14ac:dyDescent="0.25">
      <c r="A43227" s="2" t="str">
        <f t="shared" si="1339"/>
        <v>30100</v>
      </c>
      <c r="B43227" s="2" t="str">
        <f>"03284"</f>
        <v>03284</v>
      </c>
      <c r="C43227" s="1">
        <v>9.4206734435701598E-4</v>
      </c>
      <c r="D43227" s="1">
        <v>0</v>
      </c>
      <c r="E43227" s="1">
        <v>1.8106101756291799E-4</v>
      </c>
      <c r="F43227" s="1">
        <v>7.9026630483404405E-4</v>
      </c>
    </row>
    <row r="43228" spans="1:6" x14ac:dyDescent="0.25">
      <c r="A43228" s="2" t="str">
        <f t="shared" si="1339"/>
        <v>30100</v>
      </c>
      <c r="B43228" s="2" t="str">
        <f>"03257"</f>
        <v>03257</v>
      </c>
      <c r="C43228" s="1">
        <v>1.8841346887140301E-4</v>
      </c>
      <c r="D43228" s="1">
        <v>0</v>
      </c>
      <c r="E43228" s="1">
        <v>0</v>
      </c>
      <c r="F43228" s="1">
        <v>1.56562192467121E-4</v>
      </c>
    </row>
    <row r="43229" spans="1:6" x14ac:dyDescent="0.25">
      <c r="A43229" s="2" t="str">
        <f t="shared" si="1339"/>
        <v>30100</v>
      </c>
      <c r="B43229" s="2" t="str">
        <f>"03262"</f>
        <v>03262</v>
      </c>
      <c r="C43229" s="1">
        <v>3.1043362014050199E-3</v>
      </c>
      <c r="D43229" s="1">
        <v>5.8302238805970101E-4</v>
      </c>
      <c r="E43229" s="1">
        <v>1.08636610537751E-3</v>
      </c>
      <c r="F43229" s="1">
        <v>2.6988339844332401E-3</v>
      </c>
    </row>
    <row r="43230" spans="1:6" x14ac:dyDescent="0.25">
      <c r="A43230" s="2" t="str">
        <f t="shared" si="1339"/>
        <v>30100</v>
      </c>
      <c r="B43230" s="2" t="str">
        <f>"03240"</f>
        <v>03240</v>
      </c>
      <c r="C43230" s="1">
        <v>5.6703482060346099E-3</v>
      </c>
      <c r="D43230" s="1">
        <v>2.3320895522388E-4</v>
      </c>
      <c r="E43230" s="1">
        <v>9.0530508781459297E-4</v>
      </c>
      <c r="F43230" s="1">
        <v>4.77887454149643E-3</v>
      </c>
    </row>
    <row r="43231" spans="1:6" x14ac:dyDescent="0.25">
      <c r="A43231" s="2" t="str">
        <f t="shared" si="1339"/>
        <v>30100</v>
      </c>
      <c r="B43231" s="2" t="str">
        <f>"05767"</f>
        <v>05767</v>
      </c>
      <c r="C43231" s="1">
        <v>6.3432534520039101E-3</v>
      </c>
      <c r="D43231" s="1">
        <v>1.86567164179104E-3</v>
      </c>
      <c r="E43231" s="1">
        <v>5.2507695093246404E-3</v>
      </c>
      <c r="F43231" s="1">
        <v>5.7257030387976001E-3</v>
      </c>
    </row>
    <row r="43232" spans="1:6" x14ac:dyDescent="0.25">
      <c r="A43232" s="2" t="str">
        <f t="shared" si="1339"/>
        <v>30100</v>
      </c>
      <c r="B43232" s="2" t="str">
        <f>"05077"</f>
        <v>05077</v>
      </c>
      <c r="C43232" s="1">
        <v>5.0423033097966004E-3</v>
      </c>
      <c r="D43232" s="1">
        <v>4.6641791044776102E-4</v>
      </c>
      <c r="E43232" s="1">
        <v>0</v>
      </c>
      <c r="F43232" s="1">
        <v>4.2495452241075897E-3</v>
      </c>
    </row>
    <row r="43233" spans="1:6" x14ac:dyDescent="0.25">
      <c r="A43233" s="2" t="str">
        <f t="shared" si="1339"/>
        <v>30100</v>
      </c>
      <c r="B43233" s="2" t="str">
        <f>"05075"</f>
        <v>05075</v>
      </c>
      <c r="C43233" s="1">
        <v>5.1858564289367099E-3</v>
      </c>
      <c r="D43233" s="1">
        <v>7.5792910447761098E-4</v>
      </c>
      <c r="E43233" s="1">
        <v>1.08636610537751E-3</v>
      </c>
      <c r="F43233" s="1">
        <v>4.4508394715653196E-3</v>
      </c>
    </row>
    <row r="43234" spans="1:6" x14ac:dyDescent="0.25">
      <c r="A43234" s="2" t="str">
        <f t="shared" si="1339"/>
        <v>30100</v>
      </c>
      <c r="B43234" s="2" t="str">
        <f>"05088"</f>
        <v>05088</v>
      </c>
      <c r="C43234" s="1">
        <v>1.7764698493589401E-2</v>
      </c>
      <c r="D43234" s="1">
        <v>4.1394589552238804E-3</v>
      </c>
      <c r="E43234" s="1">
        <v>3.6212203512583701E-4</v>
      </c>
      <c r="F43234" s="1">
        <v>1.5305818149285701E-2</v>
      </c>
    </row>
    <row r="43235" spans="1:6" x14ac:dyDescent="0.25">
      <c r="A43235" s="2" t="str">
        <f t="shared" si="1339"/>
        <v>30100</v>
      </c>
      <c r="B43235" s="2" t="str">
        <f>"05055"</f>
        <v>05055</v>
      </c>
      <c r="C43235" s="1">
        <v>1.3287635590407E-2</v>
      </c>
      <c r="D43235" s="1">
        <v>3.5564365671641699E-3</v>
      </c>
      <c r="E43235" s="1">
        <v>6.3371356147021501E-3</v>
      </c>
      <c r="F43235" s="1">
        <v>1.1757075120031E-2</v>
      </c>
    </row>
    <row r="43236" spans="1:6" x14ac:dyDescent="0.25">
      <c r="A43236" s="2" t="str">
        <f t="shared" si="1339"/>
        <v>30100</v>
      </c>
      <c r="B43236" s="2" t="str">
        <f>"05053"</f>
        <v>05053</v>
      </c>
      <c r="C43236" s="1">
        <v>8.3440250500192801E-4</v>
      </c>
      <c r="D43236" s="1">
        <v>1.1660447761194E-4</v>
      </c>
      <c r="E43236" s="1">
        <v>5.4318305268875595E-4</v>
      </c>
      <c r="F43236" s="1">
        <v>7.3062356484656895E-4</v>
      </c>
    </row>
    <row r="43237" spans="1:6" x14ac:dyDescent="0.25">
      <c r="A43237" s="2" t="str">
        <f t="shared" si="1339"/>
        <v>30100</v>
      </c>
      <c r="B43237" s="2" t="str">
        <f>"05051"</f>
        <v>05051</v>
      </c>
      <c r="C43237" s="1">
        <v>3.51705141893286E-3</v>
      </c>
      <c r="D43237" s="1">
        <v>5.2472014925373101E-4</v>
      </c>
      <c r="E43237" s="1">
        <v>1.44848814050334E-3</v>
      </c>
      <c r="F43237" s="1">
        <v>3.0492350818596601E-3</v>
      </c>
    </row>
    <row r="43238" spans="1:6" x14ac:dyDescent="0.25">
      <c r="A43238" s="2" t="str">
        <f t="shared" si="1339"/>
        <v>30100</v>
      </c>
      <c r="B43238" s="2" t="str">
        <f>"05046"</f>
        <v>05046</v>
      </c>
      <c r="C43238" s="1">
        <v>2.6916209838771899E-5</v>
      </c>
      <c r="D43238" s="1">
        <v>0</v>
      </c>
      <c r="E43238" s="1">
        <v>0</v>
      </c>
      <c r="F43238" s="1">
        <v>2.2366027495303102E-5</v>
      </c>
    </row>
    <row r="43239" spans="1:6" x14ac:dyDescent="0.25">
      <c r="A43239" s="2" t="str">
        <f t="shared" si="1339"/>
        <v>30100</v>
      </c>
      <c r="B43239" s="2" t="str">
        <f>"05043"</f>
        <v>05043</v>
      </c>
      <c r="C43239" s="1">
        <v>2.8710623828023299E-3</v>
      </c>
      <c r="D43239" s="1">
        <v>1.28264925373134E-3</v>
      </c>
      <c r="E43239" s="1">
        <v>1.6295491580662601E-3</v>
      </c>
      <c r="F43239" s="1">
        <v>2.6168252169504599E-3</v>
      </c>
    </row>
    <row r="43240" spans="1:6" x14ac:dyDescent="0.25">
      <c r="A43240" s="2" t="str">
        <f t="shared" si="1339"/>
        <v>30100</v>
      </c>
      <c r="B43240" s="2" t="str">
        <f>"05041"</f>
        <v>05041</v>
      </c>
      <c r="C43240" s="1">
        <v>7.80570085324385E-4</v>
      </c>
      <c r="D43240" s="1">
        <v>1.1660447761194E-4</v>
      </c>
      <c r="E43240" s="1">
        <v>5.4318305268875595E-4</v>
      </c>
      <c r="F43240" s="1">
        <v>6.8589150985596203E-4</v>
      </c>
    </row>
    <row r="43241" spans="1:6" x14ac:dyDescent="0.25">
      <c r="A43241" s="2" t="str">
        <f t="shared" si="1339"/>
        <v>30100</v>
      </c>
      <c r="B43241" s="2" t="str">
        <f>"03769"</f>
        <v>03769</v>
      </c>
      <c r="C43241" s="1">
        <v>0</v>
      </c>
      <c r="D43241" s="1">
        <v>0</v>
      </c>
      <c r="E43241" s="1">
        <v>3.6212203512583701E-4</v>
      </c>
      <c r="F43241" s="1">
        <v>1.49106849968687E-5</v>
      </c>
    </row>
    <row r="43242" spans="1:6" x14ac:dyDescent="0.25">
      <c r="A43242" s="2" t="str">
        <f t="shared" si="1339"/>
        <v>30100</v>
      </c>
      <c r="B43242" s="2" t="str">
        <f>"03756"</f>
        <v>03756</v>
      </c>
      <c r="C43242" s="1">
        <v>0</v>
      </c>
      <c r="D43242" s="1">
        <v>5.8302238805970101E-5</v>
      </c>
      <c r="E43242" s="1">
        <v>0</v>
      </c>
      <c r="F43242" s="1">
        <v>7.4553424984343697E-6</v>
      </c>
    </row>
    <row r="43243" spans="1:6" x14ac:dyDescent="0.25">
      <c r="A43243" s="2" t="str">
        <f t="shared" si="1339"/>
        <v>30100</v>
      </c>
      <c r="B43243" s="2" t="str">
        <f>"03754"</f>
        <v>03754</v>
      </c>
      <c r="C43243" s="1">
        <v>8.9720699462573007E-6</v>
      </c>
      <c r="D43243" s="1">
        <v>0</v>
      </c>
      <c r="E43243" s="1">
        <v>1.8106101756291799E-4</v>
      </c>
      <c r="F43243" s="1">
        <v>1.49106849968687E-5</v>
      </c>
    </row>
    <row r="43244" spans="1:6" x14ac:dyDescent="0.25">
      <c r="A43244" s="2" t="str">
        <f t="shared" si="1339"/>
        <v>30100</v>
      </c>
      <c r="B43244" s="2" t="str">
        <f>"03753"</f>
        <v>03753</v>
      </c>
      <c r="C43244" s="1">
        <v>8.4786060992131408E-3</v>
      </c>
      <c r="D43244" s="1">
        <v>1.28264925373134E-3</v>
      </c>
      <c r="E43244" s="1">
        <v>1.8106101756291799E-4</v>
      </c>
      <c r="F43244" s="1">
        <v>7.21677153848447E-3</v>
      </c>
    </row>
    <row r="43245" spans="1:6" x14ac:dyDescent="0.25">
      <c r="A43245" s="2" t="str">
        <f t="shared" si="1339"/>
        <v>30100</v>
      </c>
      <c r="B43245" s="2" t="str">
        <f>"03748"</f>
        <v>03748</v>
      </c>
      <c r="C43245" s="1">
        <v>1.90566765658505E-2</v>
      </c>
      <c r="D43245" s="1">
        <v>3.6147388059701402E-3</v>
      </c>
      <c r="E43245" s="1">
        <v>2.9512945862755699E-2</v>
      </c>
      <c r="F43245" s="1">
        <v>1.7512599528822299E-2</v>
      </c>
    </row>
    <row r="43246" spans="1:6" x14ac:dyDescent="0.25">
      <c r="A43246" s="2" t="str">
        <f t="shared" si="1339"/>
        <v>30100</v>
      </c>
      <c r="B43246" s="2" t="str">
        <f>"03607"</f>
        <v>03607</v>
      </c>
      <c r="C43246" s="1">
        <v>7.4468180553935502E-4</v>
      </c>
      <c r="D43246" s="1">
        <v>0</v>
      </c>
      <c r="E43246" s="1">
        <v>7.2424407025167403E-4</v>
      </c>
      <c r="F43246" s="1">
        <v>6.4861479736378995E-4</v>
      </c>
    </row>
    <row r="43247" spans="1:6" x14ac:dyDescent="0.25">
      <c r="A43247" s="2" t="str">
        <f t="shared" si="1339"/>
        <v>30100</v>
      </c>
      <c r="B43247" s="2" t="str">
        <f>"03585"</f>
        <v>03585</v>
      </c>
      <c r="C43247" s="1">
        <v>1.25608979247602E-2</v>
      </c>
      <c r="D43247" s="1">
        <v>3.6147388059701402E-3</v>
      </c>
      <c r="E43247" s="1">
        <v>1.35795763172189E-2</v>
      </c>
      <c r="F43247" s="1">
        <v>1.14588614200936E-2</v>
      </c>
    </row>
    <row r="43248" spans="1:6" x14ac:dyDescent="0.25">
      <c r="A43248" s="2" t="str">
        <f t="shared" si="1339"/>
        <v>30100</v>
      </c>
      <c r="B43248" s="2" t="str">
        <f>"03561"</f>
        <v>03561</v>
      </c>
      <c r="C43248" s="1">
        <v>2.9239975954852501E-2</v>
      </c>
      <c r="D43248" s="1">
        <v>3.3173973880597001E-2</v>
      </c>
      <c r="E43248" s="1">
        <v>7.0794857867101199E-2</v>
      </c>
      <c r="F43248" s="1">
        <v>3.1454090000894601E-2</v>
      </c>
    </row>
    <row r="43249" spans="1:6" x14ac:dyDescent="0.25">
      <c r="A43249" s="2" t="str">
        <f t="shared" si="1339"/>
        <v>30100</v>
      </c>
      <c r="B43249" s="2" t="str">
        <f>"03251"</f>
        <v>03251</v>
      </c>
      <c r="C43249" s="1">
        <v>3.6336883282342002E-3</v>
      </c>
      <c r="D43249" s="1">
        <v>2.0988805970149202E-3</v>
      </c>
      <c r="E43249" s="1">
        <v>4.1644034039471298E-3</v>
      </c>
      <c r="F43249" s="1">
        <v>3.4592789192735502E-3</v>
      </c>
    </row>
    <row r="43250" spans="1:6" x14ac:dyDescent="0.25">
      <c r="A43250" s="2" t="str">
        <f t="shared" si="1339"/>
        <v>30100</v>
      </c>
      <c r="B43250" s="2" t="str">
        <f>"03238"</f>
        <v>03238</v>
      </c>
      <c r="C43250" s="1">
        <v>0</v>
      </c>
      <c r="D43250" s="1">
        <v>0</v>
      </c>
      <c r="E43250" s="1">
        <v>5.4318305268875595E-4</v>
      </c>
      <c r="F43250" s="1">
        <v>2.2366027495303102E-5</v>
      </c>
    </row>
    <row r="43251" spans="1:6" x14ac:dyDescent="0.25">
      <c r="A43251" s="2" t="str">
        <f t="shared" ref="A43251:A43287" si="1340">"12100"</f>
        <v>12100</v>
      </c>
      <c r="B43251" s="2" t="str">
        <f>"08241"</f>
        <v>08241</v>
      </c>
      <c r="C43251" s="1">
        <v>3.3387588164099898E-3</v>
      </c>
      <c r="D43251" s="1">
        <v>1.47607883997568E-3</v>
      </c>
      <c r="E43251" s="1">
        <v>2.24064530584808E-4</v>
      </c>
      <c r="F43251" s="1">
        <v>3.1174489502084502E-3</v>
      </c>
    </row>
    <row r="43252" spans="1:6" x14ac:dyDescent="0.25">
      <c r="A43252" s="2" t="str">
        <f t="shared" si="1340"/>
        <v>12100</v>
      </c>
      <c r="B43252" s="2" t="str">
        <f>"08270"</f>
        <v>08270</v>
      </c>
      <c r="C43252" s="1">
        <v>2.0032552898459899E-3</v>
      </c>
      <c r="D43252" s="1">
        <v>1.9970478423200402E-3</v>
      </c>
      <c r="E43252" s="1">
        <v>0</v>
      </c>
      <c r="F43252" s="1">
        <v>1.9468406094675201E-3</v>
      </c>
    </row>
    <row r="43253" spans="1:6" x14ac:dyDescent="0.25">
      <c r="A43253" s="2" t="str">
        <f t="shared" si="1340"/>
        <v>12100</v>
      </c>
      <c r="B43253" s="2" t="str">
        <f>"08244"</f>
        <v>08244</v>
      </c>
      <c r="C43253" s="1">
        <v>4.26526438796377E-2</v>
      </c>
      <c r="D43253" s="1">
        <v>5.8435356429625697E-2</v>
      </c>
      <c r="E43253" s="1">
        <v>4.8397938606318601E-2</v>
      </c>
      <c r="F43253" s="1">
        <v>4.3951022247818397E-2</v>
      </c>
    </row>
    <row r="43254" spans="1:6" x14ac:dyDescent="0.25">
      <c r="A43254" s="2" t="str">
        <f t="shared" si="1340"/>
        <v>12100</v>
      </c>
      <c r="B43254" s="2" t="str">
        <f>"08240"</f>
        <v>08240</v>
      </c>
      <c r="C43254" s="1">
        <v>5.3350583587218102E-3</v>
      </c>
      <c r="D43254" s="1">
        <v>9.3774420421984805E-3</v>
      </c>
      <c r="E43254" s="1">
        <v>4.4812906116961599E-4</v>
      </c>
      <c r="F43254" s="1">
        <v>5.4899653199454099E-3</v>
      </c>
    </row>
    <row r="43255" spans="1:6" x14ac:dyDescent="0.25">
      <c r="A43255" s="2" t="str">
        <f t="shared" si="1340"/>
        <v>12100</v>
      </c>
      <c r="B43255" s="2" t="str">
        <f>"08225"</f>
        <v>08225</v>
      </c>
      <c r="C43255" s="1">
        <v>2.72595745864808E-2</v>
      </c>
      <c r="D43255" s="1">
        <v>6.5728922462446798E-2</v>
      </c>
      <c r="E43255" s="1">
        <v>2.7111808200761801E-2</v>
      </c>
      <c r="F43255" s="1">
        <v>3.0028920911947699E-2</v>
      </c>
    </row>
    <row r="43256" spans="1:6" x14ac:dyDescent="0.25">
      <c r="A43256" s="2" t="str">
        <f t="shared" si="1340"/>
        <v>12100</v>
      </c>
      <c r="B43256" s="2" t="str">
        <f>"08215"</f>
        <v>08215</v>
      </c>
      <c r="C43256" s="1">
        <v>3.90565224044628E-2</v>
      </c>
      <c r="D43256" s="1">
        <v>3.4644438655899903E-2</v>
      </c>
      <c r="E43256" s="1">
        <v>2.9576518037194698E-2</v>
      </c>
      <c r="F43256" s="1">
        <v>3.8473576803175001E-2</v>
      </c>
    </row>
    <row r="43257" spans="1:6" x14ac:dyDescent="0.25">
      <c r="A43257" s="2" t="str">
        <f t="shared" si="1340"/>
        <v>12100</v>
      </c>
      <c r="B43257" s="2" t="str">
        <f>"08404"</f>
        <v>08404</v>
      </c>
      <c r="C43257" s="1">
        <v>1.90587482436737E-2</v>
      </c>
      <c r="D43257" s="1">
        <v>2.0144134757315201E-2</v>
      </c>
      <c r="E43257" s="1">
        <v>4.4812906116961599E-4</v>
      </c>
      <c r="F43257" s="1">
        <v>1.8617054574136399E-2</v>
      </c>
    </row>
    <row r="43258" spans="1:6" x14ac:dyDescent="0.25">
      <c r="A43258" s="2" t="str">
        <f t="shared" si="1340"/>
        <v>12100</v>
      </c>
      <c r="B43258" s="2" t="str">
        <f>"08319"</f>
        <v>08319</v>
      </c>
      <c r="C43258" s="1">
        <v>4.06911230749968E-3</v>
      </c>
      <c r="D43258" s="1">
        <v>1.47607883997568E-3</v>
      </c>
      <c r="E43258" s="1">
        <v>1.1203226529240399E-3</v>
      </c>
      <c r="F43258" s="1">
        <v>3.7997821541697402E-3</v>
      </c>
    </row>
    <row r="43259" spans="1:6" x14ac:dyDescent="0.25">
      <c r="A43259" s="2" t="str">
        <f t="shared" si="1340"/>
        <v>12100</v>
      </c>
      <c r="B43259" s="2" t="str">
        <f>"08234"</f>
        <v>08234</v>
      </c>
      <c r="C43259" s="1">
        <v>0.123520164712101</v>
      </c>
      <c r="D43259" s="1">
        <v>9.8984110445428403E-2</v>
      </c>
      <c r="E43259" s="1">
        <v>4.9070132198072998E-2</v>
      </c>
      <c r="F43259" s="1">
        <v>0.119671228074568</v>
      </c>
    </row>
    <row r="43260" spans="1:6" x14ac:dyDescent="0.25">
      <c r="A43260" s="2" t="str">
        <f t="shared" si="1340"/>
        <v>12100</v>
      </c>
      <c r="B43260" s="2" t="str">
        <f>"08213"</f>
        <v>08213</v>
      </c>
      <c r="C43260" s="1">
        <v>0</v>
      </c>
      <c r="D43260" s="1">
        <v>0</v>
      </c>
      <c r="E43260" s="1">
        <v>2.24064530584808E-4</v>
      </c>
      <c r="F43260" s="1">
        <v>6.2599376510209898E-6</v>
      </c>
    </row>
    <row r="43261" spans="1:6" x14ac:dyDescent="0.25">
      <c r="A43261" s="2" t="str">
        <f t="shared" si="1340"/>
        <v>12100</v>
      </c>
      <c r="B43261" s="2" t="str">
        <f>"08330"</f>
        <v>08330</v>
      </c>
      <c r="C43261" s="1">
        <v>9.5488502149325902E-2</v>
      </c>
      <c r="D43261" s="1">
        <v>8.5352088217417701E-2</v>
      </c>
      <c r="E43261" s="1">
        <v>4.9742325789827402E-2</v>
      </c>
      <c r="F43261" s="1">
        <v>9.3479648942696503E-2</v>
      </c>
    </row>
    <row r="43262" spans="1:6" x14ac:dyDescent="0.25">
      <c r="A43262" s="2" t="str">
        <f t="shared" si="1340"/>
        <v>12100</v>
      </c>
      <c r="B43262" s="2" t="str">
        <f>"08405"</f>
        <v>08405</v>
      </c>
      <c r="C43262" s="1">
        <v>0</v>
      </c>
      <c r="D43262" s="1">
        <v>8.6828167057393394E-5</v>
      </c>
      <c r="E43262" s="1">
        <v>0</v>
      </c>
      <c r="F43262" s="1">
        <v>6.2599376510209898E-6</v>
      </c>
    </row>
    <row r="43263" spans="1:6" x14ac:dyDescent="0.25">
      <c r="A43263" s="2" t="str">
        <f t="shared" si="1340"/>
        <v>12100</v>
      </c>
      <c r="B43263" s="2" t="str">
        <f>"08406"</f>
        <v>08406</v>
      </c>
      <c r="C43263" s="1">
        <v>5.9374260951824402E-2</v>
      </c>
      <c r="D43263" s="1">
        <v>3.5773204827646003E-2</v>
      </c>
      <c r="E43263" s="1">
        <v>6.5202778400179198E-2</v>
      </c>
      <c r="F43263" s="1">
        <v>5.7835563957782901E-2</v>
      </c>
    </row>
    <row r="43264" spans="1:6" x14ac:dyDescent="0.25">
      <c r="A43264" s="2" t="str">
        <f t="shared" si="1340"/>
        <v>12100</v>
      </c>
      <c r="B43264" s="2" t="str">
        <f>"08401"</f>
        <v>08401</v>
      </c>
      <c r="C43264" s="1">
        <v>0.14345533714508199</v>
      </c>
      <c r="D43264" s="1">
        <v>0.17582703829122101</v>
      </c>
      <c r="E43264" s="1">
        <v>0.34192247367241702</v>
      </c>
      <c r="F43264" s="1">
        <v>0.15133399271343201</v>
      </c>
    </row>
    <row r="43265" spans="1:6" x14ac:dyDescent="0.25">
      <c r="A43265" s="2" t="str">
        <f t="shared" si="1340"/>
        <v>12100</v>
      </c>
      <c r="B43265" s="2" t="str">
        <f>"08344"</f>
        <v>08344</v>
      </c>
      <c r="C43265" s="1">
        <v>4.66035084790562E-4</v>
      </c>
      <c r="D43265" s="1">
        <v>0</v>
      </c>
      <c r="E43265" s="1">
        <v>0</v>
      </c>
      <c r="F43265" s="1">
        <v>4.1941582261840598E-4</v>
      </c>
    </row>
    <row r="43266" spans="1:6" x14ac:dyDescent="0.25">
      <c r="A43266" s="2" t="str">
        <f t="shared" si="1340"/>
        <v>12100</v>
      </c>
      <c r="B43266" s="2" t="str">
        <f>"08340"</f>
        <v>08340</v>
      </c>
      <c r="C43266" s="1">
        <v>1.47461847724774E-3</v>
      </c>
      <c r="D43266" s="1">
        <v>3.4731266822957298E-4</v>
      </c>
      <c r="E43266" s="1">
        <v>2.24064530584808E-4</v>
      </c>
      <c r="F43266" s="1">
        <v>1.3584064702715499E-3</v>
      </c>
    </row>
    <row r="43267" spans="1:6" x14ac:dyDescent="0.25">
      <c r="A43267" s="2" t="str">
        <f t="shared" si="1340"/>
        <v>12100</v>
      </c>
      <c r="B43267" s="2" t="str">
        <f>"08326"</f>
        <v>08326</v>
      </c>
      <c r="C43267" s="1">
        <v>4.2916962285936798E-3</v>
      </c>
      <c r="D43267" s="1">
        <v>2.6916731787791901E-3</v>
      </c>
      <c r="E43267" s="1">
        <v>9.1866457539771396E-3</v>
      </c>
      <c r="F43267" s="1">
        <v>4.3130970415534596E-3</v>
      </c>
    </row>
    <row r="43268" spans="1:6" x14ac:dyDescent="0.25">
      <c r="A43268" s="2" t="str">
        <f t="shared" si="1340"/>
        <v>12100</v>
      </c>
      <c r="B43268" s="2" t="str">
        <f>"08310"</f>
        <v>08310</v>
      </c>
      <c r="C43268" s="1">
        <v>6.3088630135080597E-3</v>
      </c>
      <c r="D43268" s="1">
        <v>4.3414083528696698E-3</v>
      </c>
      <c r="E43268" s="1">
        <v>2.4647098364328898E-3</v>
      </c>
      <c r="F43268" s="1">
        <v>6.0596196461883203E-3</v>
      </c>
    </row>
    <row r="43269" spans="1:6" x14ac:dyDescent="0.25">
      <c r="A43269" s="2" t="str">
        <f t="shared" si="1340"/>
        <v>12100</v>
      </c>
      <c r="B43269" s="2" t="str">
        <f>"08220"</f>
        <v>08220</v>
      </c>
      <c r="C43269" s="1">
        <v>0</v>
      </c>
      <c r="D43269" s="1">
        <v>0</v>
      </c>
      <c r="E43269" s="1">
        <v>2.24064530584808E-4</v>
      </c>
      <c r="F43269" s="1">
        <v>6.2599376510209898E-6</v>
      </c>
    </row>
    <row r="43270" spans="1:6" x14ac:dyDescent="0.25">
      <c r="A43270" s="2" t="str">
        <f t="shared" si="1340"/>
        <v>12100</v>
      </c>
      <c r="B43270" s="2" t="str">
        <f>"08205"</f>
        <v>08205</v>
      </c>
      <c r="C43270" s="1">
        <v>8.1618741566156103E-2</v>
      </c>
      <c r="D43270" s="1">
        <v>6.19084831119215E-2</v>
      </c>
      <c r="E43270" s="1">
        <v>2.53192919560833E-2</v>
      </c>
      <c r="F43270" s="1">
        <v>7.8624816896823699E-2</v>
      </c>
    </row>
    <row r="43271" spans="1:6" x14ac:dyDescent="0.25">
      <c r="A43271" s="2" t="str">
        <f t="shared" si="1340"/>
        <v>12100</v>
      </c>
      <c r="B43271" s="2" t="str">
        <f>"08201"</f>
        <v>08201</v>
      </c>
      <c r="C43271" s="1">
        <v>4.1713617962522397E-2</v>
      </c>
      <c r="D43271" s="1">
        <v>5.6785621255535199E-2</v>
      </c>
      <c r="E43271" s="1">
        <v>3.5402195832399702E-2</v>
      </c>
      <c r="F43271" s="1">
        <v>4.2623915465801902E-2</v>
      </c>
    </row>
    <row r="43272" spans="1:6" x14ac:dyDescent="0.25">
      <c r="A43272" s="2" t="str">
        <f t="shared" si="1340"/>
        <v>12100</v>
      </c>
      <c r="B43272" s="2" t="str">
        <f>"08203"</f>
        <v>08203</v>
      </c>
      <c r="C43272" s="1">
        <v>6.9084484509550195E-2</v>
      </c>
      <c r="D43272" s="1">
        <v>2.9434748632456299E-2</v>
      </c>
      <c r="E43272" s="1">
        <v>9.7692135334976393E-2</v>
      </c>
      <c r="F43272" s="1">
        <v>6.7025152429481802E-2</v>
      </c>
    </row>
    <row r="43273" spans="1:6" x14ac:dyDescent="0.25">
      <c r="A43273" s="2" t="str">
        <f t="shared" si="1340"/>
        <v>12100</v>
      </c>
      <c r="B43273" s="2" t="str">
        <f>"08317"</f>
        <v>08317</v>
      </c>
      <c r="C43273" s="1">
        <v>3.0813961576450599E-3</v>
      </c>
      <c r="D43273" s="1">
        <v>1.38925067291829E-3</v>
      </c>
      <c r="E43273" s="1">
        <v>6.7219359175442505E-4</v>
      </c>
      <c r="F43273" s="1">
        <v>2.8920911947716999E-3</v>
      </c>
    </row>
    <row r="43274" spans="1:6" x14ac:dyDescent="0.25">
      <c r="A43274" s="2" t="str">
        <f t="shared" si="1340"/>
        <v>12100</v>
      </c>
      <c r="B43274" s="2" t="str">
        <f>"08094"</f>
        <v>08094</v>
      </c>
      <c r="C43274" s="1">
        <v>8.3747200311617403E-3</v>
      </c>
      <c r="D43274" s="1">
        <v>3.6467830164105199E-3</v>
      </c>
      <c r="E43274" s="1">
        <v>1.5684517140936501E-3</v>
      </c>
      <c r="F43274" s="1">
        <v>7.8437018767293001E-3</v>
      </c>
    </row>
    <row r="43275" spans="1:6" x14ac:dyDescent="0.25">
      <c r="A43275" s="2" t="str">
        <f t="shared" si="1340"/>
        <v>12100</v>
      </c>
      <c r="B43275" s="2" t="str">
        <f>"08217"</f>
        <v>08217</v>
      </c>
      <c r="C43275" s="1">
        <v>0</v>
      </c>
      <c r="D43275" s="1">
        <v>0</v>
      </c>
      <c r="E43275" s="1">
        <v>2.24064530584808E-4</v>
      </c>
      <c r="F43275" s="1">
        <v>6.2599376510209898E-6</v>
      </c>
    </row>
    <row r="43276" spans="1:6" x14ac:dyDescent="0.25">
      <c r="A43276" s="2" t="str">
        <f t="shared" si="1340"/>
        <v>12100</v>
      </c>
      <c r="B43276" s="2" t="str">
        <f>"08403"</f>
        <v>08403</v>
      </c>
      <c r="C43276" s="1">
        <v>1.2207336922499E-2</v>
      </c>
      <c r="D43276" s="1">
        <v>1.73656334114786E-3</v>
      </c>
      <c r="E43276" s="1">
        <v>6.7219359175442498E-3</v>
      </c>
      <c r="F43276" s="1">
        <v>1.1299187460092799E-2</v>
      </c>
    </row>
    <row r="43277" spans="1:6" x14ac:dyDescent="0.25">
      <c r="A43277" s="2" t="str">
        <f t="shared" si="1340"/>
        <v>12100</v>
      </c>
      <c r="B43277" s="2" t="str">
        <f>"08231"</f>
        <v>08231</v>
      </c>
      <c r="C43277" s="1">
        <v>3.88826287161081E-3</v>
      </c>
      <c r="D43277" s="1">
        <v>7.3803941998784404E-3</v>
      </c>
      <c r="E43277" s="1">
        <v>4.4812906116961599E-4</v>
      </c>
      <c r="F43277" s="1">
        <v>4.0439197225595599E-3</v>
      </c>
    </row>
    <row r="43278" spans="1:6" x14ac:dyDescent="0.25">
      <c r="A43278" s="2" t="str">
        <f t="shared" si="1340"/>
        <v>12100</v>
      </c>
      <c r="B43278" s="2" t="str">
        <f>"08221"</f>
        <v>08221</v>
      </c>
      <c r="C43278" s="1">
        <v>2.0276004062156499E-2</v>
      </c>
      <c r="D43278" s="1">
        <v>4.7495007380394097E-2</v>
      </c>
      <c r="E43278" s="1">
        <v>1.72529688550302E-2</v>
      </c>
      <c r="F43278" s="1">
        <v>2.2153919346963299E-2</v>
      </c>
    </row>
    <row r="43279" spans="1:6" x14ac:dyDescent="0.25">
      <c r="A43279" s="2" t="str">
        <f t="shared" si="1340"/>
        <v>12100</v>
      </c>
      <c r="B43279" s="2" t="str">
        <f>"08232"</f>
        <v>08232</v>
      </c>
      <c r="C43279" s="1">
        <v>5.8789978158952698E-2</v>
      </c>
      <c r="D43279" s="1">
        <v>8.9172527567943E-2</v>
      </c>
      <c r="E43279" s="1">
        <v>5.7136455299126102E-2</v>
      </c>
      <c r="F43279" s="1">
        <v>6.0934233095038301E-2</v>
      </c>
    </row>
    <row r="43280" spans="1:6" x14ac:dyDescent="0.25">
      <c r="A43280" s="2" t="str">
        <f t="shared" si="1340"/>
        <v>12100</v>
      </c>
      <c r="B43280" s="2" t="str">
        <f>"08402"</f>
        <v>08402</v>
      </c>
      <c r="C43280" s="1">
        <v>5.1152567366414797E-2</v>
      </c>
      <c r="D43280" s="1">
        <v>1.9883650256142998E-2</v>
      </c>
      <c r="E43280" s="1">
        <v>5.8480842482634902E-2</v>
      </c>
      <c r="F43280" s="1">
        <v>4.9102950934608598E-2</v>
      </c>
    </row>
    <row r="43281" spans="1:6" x14ac:dyDescent="0.25">
      <c r="A43281" s="2" t="str">
        <f t="shared" si="1340"/>
        <v>12100</v>
      </c>
      <c r="B43281" s="2" t="str">
        <f>"08360"</f>
        <v>08360</v>
      </c>
      <c r="C43281" s="1">
        <v>7.2200659404866203E-3</v>
      </c>
      <c r="D43281" s="1">
        <v>7.8145350351653993E-3</v>
      </c>
      <c r="E43281" s="1">
        <v>4.2572260811113601E-3</v>
      </c>
      <c r="F43281" s="1">
        <v>7.1801484857210796E-3</v>
      </c>
    </row>
    <row r="43282" spans="1:6" x14ac:dyDescent="0.25">
      <c r="A43282" s="2" t="str">
        <f t="shared" si="1340"/>
        <v>12100</v>
      </c>
      <c r="B43282" s="2" t="str">
        <f>"08350"</f>
        <v>08350</v>
      </c>
      <c r="C43282" s="1">
        <v>1.68329090327337E-3</v>
      </c>
      <c r="D43282" s="1">
        <v>5.2096900234435998E-4</v>
      </c>
      <c r="E43282" s="1">
        <v>1.7925162446784601E-3</v>
      </c>
      <c r="F43282" s="1">
        <v>1.6025440386613699E-3</v>
      </c>
    </row>
    <row r="43283" spans="1:6" x14ac:dyDescent="0.25">
      <c r="A43283" s="2" t="str">
        <f t="shared" si="1340"/>
        <v>12100</v>
      </c>
      <c r="B43283" s="2" t="str">
        <f>"08346"</f>
        <v>08346</v>
      </c>
      <c r="C43283" s="1">
        <v>1.3285477790298101E-3</v>
      </c>
      <c r="D43283" s="1">
        <v>0</v>
      </c>
      <c r="E43283" s="1">
        <v>2.24064530584808E-4</v>
      </c>
      <c r="F43283" s="1">
        <v>1.20190802899603E-3</v>
      </c>
    </row>
    <row r="43284" spans="1:6" x14ac:dyDescent="0.25">
      <c r="A43284" s="2" t="str">
        <f t="shared" si="1340"/>
        <v>12100</v>
      </c>
      <c r="B43284" s="2" t="str">
        <f>"08342"</f>
        <v>08342</v>
      </c>
      <c r="C43284" s="1">
        <v>0</v>
      </c>
      <c r="D43284" s="1">
        <v>0</v>
      </c>
      <c r="E43284" s="1">
        <v>2.24064530584808E-4</v>
      </c>
      <c r="F43284" s="1">
        <v>6.2599376510209898E-6</v>
      </c>
    </row>
    <row r="43285" spans="1:6" x14ac:dyDescent="0.25">
      <c r="A43285" s="2" t="str">
        <f t="shared" si="1340"/>
        <v>12100</v>
      </c>
      <c r="B43285" s="2" t="str">
        <f>"08037"</f>
        <v>08037</v>
      </c>
      <c r="C43285" s="1">
        <v>5.3983556612829102E-2</v>
      </c>
      <c r="D43285" s="1">
        <v>6.8681080142398099E-2</v>
      </c>
      <c r="E43285" s="1">
        <v>6.0049294196728602E-2</v>
      </c>
      <c r="F43285" s="1">
        <v>5.5212650082005099E-2</v>
      </c>
    </row>
    <row r="43286" spans="1:6" x14ac:dyDescent="0.25">
      <c r="A43286" s="2" t="str">
        <f t="shared" si="1340"/>
        <v>12100</v>
      </c>
      <c r="B43286" s="2" t="str">
        <f>"08361"</f>
        <v>08361</v>
      </c>
      <c r="C43286" s="1">
        <v>3.47787376709374E-5</v>
      </c>
      <c r="D43286" s="1">
        <v>0</v>
      </c>
      <c r="E43286" s="1">
        <v>0</v>
      </c>
      <c r="F43286" s="1">
        <v>3.1299688255104899E-5</v>
      </c>
    </row>
    <row r="43287" spans="1:6" x14ac:dyDescent="0.25">
      <c r="A43287" s="2" t="str">
        <f t="shared" si="1340"/>
        <v>12100</v>
      </c>
      <c r="B43287" s="2" t="str">
        <f>"08341"</f>
        <v>08341</v>
      </c>
      <c r="C43287" s="1">
        <v>8.4094987688326794E-3</v>
      </c>
      <c r="D43287" s="1">
        <v>7.4672223669358297E-3</v>
      </c>
      <c r="E43287" s="1">
        <v>6.9460004481290598E-3</v>
      </c>
      <c r="F43287" s="1">
        <v>8.3006773252538406E-3</v>
      </c>
    </row>
    <row r="43288" spans="1:6" x14ac:dyDescent="0.25">
      <c r="A43288" s="2" t="str">
        <f t="shared" ref="A43288:A43296" si="1341">"16340"</f>
        <v>16340</v>
      </c>
      <c r="B43288" s="2" t="str">
        <f>"30125"</f>
        <v>30125</v>
      </c>
      <c r="C43288" s="1">
        <v>0.55749418411432305</v>
      </c>
      <c r="D43288" s="1">
        <v>0.60165403170227405</v>
      </c>
      <c r="E43288" s="1">
        <v>0.74794520547945198</v>
      </c>
      <c r="F43288" s="1">
        <v>0.56421741318570695</v>
      </c>
    </row>
    <row r="43289" spans="1:6" x14ac:dyDescent="0.25">
      <c r="A43289" s="2" t="str">
        <f t="shared" si="1341"/>
        <v>16340</v>
      </c>
      <c r="B43289" s="2" t="str">
        <f>"30178"</f>
        <v>30178</v>
      </c>
      <c r="C43289" s="1">
        <v>7.7545142350725601E-3</v>
      </c>
      <c r="D43289" s="1">
        <v>4.1350792556857302E-3</v>
      </c>
      <c r="E43289" s="1">
        <v>0</v>
      </c>
      <c r="F43289" s="1">
        <v>7.3477604428787103E-3</v>
      </c>
    </row>
    <row r="43290" spans="1:6" x14ac:dyDescent="0.25">
      <c r="A43290" s="2" t="str">
        <f t="shared" si="1341"/>
        <v>16340</v>
      </c>
      <c r="B43290" s="2" t="str">
        <f>"30138"</f>
        <v>30138</v>
      </c>
      <c r="C43290" s="1">
        <v>0</v>
      </c>
      <c r="D43290" s="1">
        <v>0</v>
      </c>
      <c r="E43290" s="1">
        <v>2.7397260273972599E-3</v>
      </c>
      <c r="F43290" s="1">
        <v>5.0327126321087001E-5</v>
      </c>
    </row>
    <row r="43291" spans="1:6" x14ac:dyDescent="0.25">
      <c r="A43291" s="2" t="str">
        <f t="shared" si="1341"/>
        <v>16340</v>
      </c>
      <c r="B43291" s="2" t="str">
        <f>"30124"</f>
        <v>30124</v>
      </c>
      <c r="C43291" s="1">
        <v>6.0928326132712895E-4</v>
      </c>
      <c r="D43291" s="1">
        <v>0</v>
      </c>
      <c r="E43291" s="1">
        <v>0</v>
      </c>
      <c r="F43291" s="1">
        <v>5.5359838953195702E-4</v>
      </c>
    </row>
    <row r="43292" spans="1:6" x14ac:dyDescent="0.25">
      <c r="A43292" s="2" t="str">
        <f t="shared" si="1341"/>
        <v>16340</v>
      </c>
      <c r="B43292" s="2" t="str">
        <f>"30153"</f>
        <v>30153</v>
      </c>
      <c r="C43292" s="1">
        <v>0.32912373989143601</v>
      </c>
      <c r="D43292" s="1">
        <v>0.36940041350792502</v>
      </c>
      <c r="E43292" s="1">
        <v>0.227397260273972</v>
      </c>
      <c r="F43292" s="1">
        <v>0.33019627579265198</v>
      </c>
    </row>
    <row r="43293" spans="1:6" x14ac:dyDescent="0.25">
      <c r="A43293" s="2" t="str">
        <f t="shared" si="1341"/>
        <v>16340</v>
      </c>
      <c r="B43293" s="2" t="str">
        <f>"30113"</f>
        <v>30113</v>
      </c>
      <c r="C43293" s="1">
        <v>1.5176692145784799E-2</v>
      </c>
      <c r="D43293" s="1">
        <v>2.0675396278428599E-3</v>
      </c>
      <c r="E43293" s="1">
        <v>0</v>
      </c>
      <c r="F43293" s="1">
        <v>1.3940613990941099E-2</v>
      </c>
    </row>
    <row r="43294" spans="1:6" x14ac:dyDescent="0.25">
      <c r="A43294" s="2" t="str">
        <f t="shared" si="1341"/>
        <v>16340</v>
      </c>
      <c r="B43294" s="2" t="str">
        <f>"30173"</f>
        <v>30173</v>
      </c>
      <c r="C43294" s="1">
        <v>6.8128946493851697E-3</v>
      </c>
      <c r="D43294" s="1">
        <v>6.89179875947622E-4</v>
      </c>
      <c r="E43294" s="1">
        <v>0</v>
      </c>
      <c r="F43294" s="1">
        <v>6.2405636638147898E-3</v>
      </c>
    </row>
    <row r="43295" spans="1:6" x14ac:dyDescent="0.25">
      <c r="A43295" s="2" t="str">
        <f t="shared" si="1341"/>
        <v>16340</v>
      </c>
      <c r="B43295" s="2" t="str">
        <f>"30147"</f>
        <v>30147</v>
      </c>
      <c r="C43295" s="1">
        <v>3.3233632436025199E-3</v>
      </c>
      <c r="D43295" s="1">
        <v>0</v>
      </c>
      <c r="E43295" s="1">
        <v>0</v>
      </c>
      <c r="F43295" s="1">
        <v>3.01962757926522E-3</v>
      </c>
    </row>
    <row r="43296" spans="1:6" x14ac:dyDescent="0.25">
      <c r="A43296" s="2" t="str">
        <f t="shared" si="1341"/>
        <v>16340</v>
      </c>
      <c r="B43296" s="2" t="str">
        <f>"30104"</f>
        <v>30104</v>
      </c>
      <c r="C43296" s="1">
        <v>7.9705328459067207E-2</v>
      </c>
      <c r="D43296" s="1">
        <v>2.20537560303239E-2</v>
      </c>
      <c r="E43296" s="1">
        <v>2.1917808219177999E-2</v>
      </c>
      <c r="F43296" s="1">
        <v>7.4433819828887707E-2</v>
      </c>
    </row>
    <row r="43297" spans="1:6" x14ac:dyDescent="0.25">
      <c r="A43297" s="2" t="str">
        <f t="shared" ref="A43297:A43303" si="1342">"45580"</f>
        <v>45580</v>
      </c>
      <c r="B43297" s="2" t="str">
        <f>"31097"</f>
        <v>31097</v>
      </c>
      <c r="C43297" s="1">
        <v>3.9258071264207502E-2</v>
      </c>
      <c r="D43297" s="1">
        <v>1.2888551933282699E-2</v>
      </c>
      <c r="E43297" s="1">
        <v>0</v>
      </c>
      <c r="F43297" s="1">
        <v>3.6461934997171E-2</v>
      </c>
    </row>
    <row r="43298" spans="1:6" x14ac:dyDescent="0.25">
      <c r="A43298" s="2" t="str">
        <f t="shared" si="1342"/>
        <v>45580</v>
      </c>
      <c r="B43298" s="2" t="str">
        <f>"31016"</f>
        <v>31016</v>
      </c>
      <c r="C43298" s="1">
        <v>1.9315249982567399E-2</v>
      </c>
      <c r="D43298" s="1">
        <v>1.51630022744503E-3</v>
      </c>
      <c r="E43298" s="1">
        <v>2.4291497975708499E-2</v>
      </c>
      <c r="F43298" s="1">
        <v>1.79166404727478E-2</v>
      </c>
    </row>
    <row r="43299" spans="1:6" x14ac:dyDescent="0.25">
      <c r="A43299" s="2" t="str">
        <f t="shared" si="1342"/>
        <v>45580</v>
      </c>
      <c r="B43299" s="2" t="str">
        <f>"30204"</f>
        <v>30204</v>
      </c>
      <c r="C43299" s="1">
        <v>8.2281570322850495E-3</v>
      </c>
      <c r="D43299" s="1">
        <v>0</v>
      </c>
      <c r="E43299" s="1">
        <v>0</v>
      </c>
      <c r="F43299" s="1">
        <v>7.4181178097692804E-3</v>
      </c>
    </row>
    <row r="43300" spans="1:6" x14ac:dyDescent="0.25">
      <c r="A43300" s="2" t="str">
        <f t="shared" si="1342"/>
        <v>45580</v>
      </c>
      <c r="B43300" s="2" t="str">
        <f>"30286"</f>
        <v>30286</v>
      </c>
      <c r="C43300" s="1">
        <v>0.87483439090718895</v>
      </c>
      <c r="D43300" s="1">
        <v>0.96512509476876396</v>
      </c>
      <c r="E43300" s="1">
        <v>0.96356275303643701</v>
      </c>
      <c r="F43300" s="1">
        <v>0.883699000440057</v>
      </c>
    </row>
    <row r="43301" spans="1:6" x14ac:dyDescent="0.25">
      <c r="A43301" s="2" t="str">
        <f t="shared" si="1342"/>
        <v>45580</v>
      </c>
      <c r="B43301" s="2" t="str">
        <f>"30258"</f>
        <v>30258</v>
      </c>
      <c r="C43301" s="1">
        <v>2.5521232828951902E-2</v>
      </c>
      <c r="D43301" s="1">
        <v>1.5163002274450299E-2</v>
      </c>
      <c r="E43301" s="1">
        <v>4.0485829959514101E-3</v>
      </c>
      <c r="F43301" s="1">
        <v>2.4328911799836501E-2</v>
      </c>
    </row>
    <row r="43302" spans="1:6" x14ac:dyDescent="0.25">
      <c r="A43302" s="2" t="str">
        <f t="shared" si="1342"/>
        <v>45580</v>
      </c>
      <c r="B43302" s="2" t="str">
        <f>"30256"</f>
        <v>30256</v>
      </c>
      <c r="C43302" s="1">
        <v>1.9733630848615801E-2</v>
      </c>
      <c r="D43302" s="1">
        <v>3.03260045489006E-3</v>
      </c>
      <c r="E43302" s="1">
        <v>0</v>
      </c>
      <c r="F43302" s="1">
        <v>1.8042371283082899E-2</v>
      </c>
    </row>
    <row r="43303" spans="1:6" x14ac:dyDescent="0.25">
      <c r="A43303" s="2" t="str">
        <f t="shared" si="1342"/>
        <v>45580</v>
      </c>
      <c r="B43303" s="2" t="str">
        <f>"30285"</f>
        <v>30285</v>
      </c>
      <c r="C43303" s="1">
        <v>1.3109267136182901E-2</v>
      </c>
      <c r="D43303" s="1">
        <v>2.2744503411675498E-3</v>
      </c>
      <c r="E43303" s="1">
        <v>8.0971659919028306E-3</v>
      </c>
      <c r="F43303" s="1">
        <v>1.2133023197334499E-2</v>
      </c>
    </row>
    <row r="43304" spans="1:6" x14ac:dyDescent="0.25">
      <c r="A43304" s="2" t="str">
        <f t="shared" ref="A43304:A43311" si="1343">"41220"</f>
        <v>41220</v>
      </c>
      <c r="B43304" s="2" t="str">
        <f>"31548"</f>
        <v>31548</v>
      </c>
      <c r="C43304" s="1">
        <v>0.39111987170920698</v>
      </c>
      <c r="D43304" s="1">
        <v>0.40756302521008397</v>
      </c>
      <c r="E43304" s="1">
        <v>0.30750893921334899</v>
      </c>
      <c r="F43304" s="1">
        <v>0.39005863944338098</v>
      </c>
    </row>
    <row r="43305" spans="1:6" x14ac:dyDescent="0.25">
      <c r="A43305" s="2" t="str">
        <f t="shared" si="1343"/>
        <v>41220</v>
      </c>
      <c r="B43305" s="2" t="str">
        <f>"31537"</f>
        <v>31537</v>
      </c>
      <c r="C43305" s="1">
        <v>4.4434050514499503E-3</v>
      </c>
      <c r="D43305" s="1">
        <v>9.3370681605975695E-4</v>
      </c>
      <c r="E43305" s="1">
        <v>4.7675804529201402E-3</v>
      </c>
      <c r="F43305" s="1">
        <v>4.2232552486859204E-3</v>
      </c>
    </row>
    <row r="43306" spans="1:6" x14ac:dyDescent="0.25">
      <c r="A43306" s="2" t="str">
        <f t="shared" si="1343"/>
        <v>41220</v>
      </c>
      <c r="B43306" s="2" t="str">
        <f>"31566"</f>
        <v>31566</v>
      </c>
      <c r="C43306" s="1">
        <v>4.0090872644661202E-4</v>
      </c>
      <c r="D43306" s="1">
        <v>0</v>
      </c>
      <c r="E43306" s="1">
        <v>0</v>
      </c>
      <c r="F43306" s="1">
        <v>3.6459757542612302E-4</v>
      </c>
    </row>
    <row r="43307" spans="1:6" x14ac:dyDescent="0.25">
      <c r="A43307" s="2" t="str">
        <f t="shared" si="1343"/>
        <v>41220</v>
      </c>
      <c r="B43307" s="2" t="str">
        <f>"31569"</f>
        <v>31569</v>
      </c>
      <c r="C43307" s="1">
        <v>0.13203260724308399</v>
      </c>
      <c r="D43307" s="1">
        <v>8.7768440709617104E-2</v>
      </c>
      <c r="E43307" s="1">
        <v>2.1454112038140599E-2</v>
      </c>
      <c r="F43307" s="1">
        <v>0.12633305988515101</v>
      </c>
    </row>
    <row r="43308" spans="1:6" x14ac:dyDescent="0.25">
      <c r="A43308" s="2" t="str">
        <f t="shared" si="1343"/>
        <v>41220</v>
      </c>
      <c r="B43308" s="2" t="str">
        <f>"31547"</f>
        <v>31547</v>
      </c>
      <c r="C43308" s="1">
        <v>5.6795402913270001E-4</v>
      </c>
      <c r="D43308" s="1">
        <v>1.07376283846872E-2</v>
      </c>
      <c r="E43308" s="1">
        <v>1.1918951132300301E-3</v>
      </c>
      <c r="F43308" s="1">
        <v>1.24570838270592E-3</v>
      </c>
    </row>
    <row r="43309" spans="1:6" x14ac:dyDescent="0.25">
      <c r="A43309" s="2" t="str">
        <f t="shared" si="1343"/>
        <v>41220</v>
      </c>
      <c r="B43309" s="2" t="str">
        <f>"31568"</f>
        <v>31568</v>
      </c>
      <c r="C43309" s="1">
        <v>2.1548844046505401E-2</v>
      </c>
      <c r="D43309" s="1">
        <v>3.73482726423902E-3</v>
      </c>
      <c r="E43309" s="1">
        <v>3.5756853396901002E-3</v>
      </c>
      <c r="F43309" s="1">
        <v>1.9931334123294699E-2</v>
      </c>
    </row>
    <row r="43310" spans="1:6" x14ac:dyDescent="0.25">
      <c r="A43310" s="2" t="str">
        <f t="shared" si="1343"/>
        <v>41220</v>
      </c>
      <c r="B43310" s="2" t="str">
        <f>"31558"</f>
        <v>31558</v>
      </c>
      <c r="C43310" s="1">
        <v>0.411633034879059</v>
      </c>
      <c r="D43310" s="1">
        <v>0.46918767507002801</v>
      </c>
      <c r="E43310" s="1">
        <v>0.65435041716328901</v>
      </c>
      <c r="F43310" s="1">
        <v>0.42156594658645502</v>
      </c>
    </row>
    <row r="43311" spans="1:6" x14ac:dyDescent="0.25">
      <c r="A43311" s="2" t="str">
        <f t="shared" si="1343"/>
        <v>41220</v>
      </c>
      <c r="B43311" s="2" t="str">
        <f>"31565"</f>
        <v>31565</v>
      </c>
      <c r="C43311" s="1">
        <v>3.8253374315114198E-2</v>
      </c>
      <c r="D43311" s="1">
        <v>2.0074696545284699E-2</v>
      </c>
      <c r="E43311" s="1">
        <v>7.1513706793802099E-3</v>
      </c>
      <c r="F43311" s="1">
        <v>3.6277458754899197E-2</v>
      </c>
    </row>
    <row r="43312" spans="1:6" x14ac:dyDescent="0.25">
      <c r="A43312" s="2" t="str">
        <f t="shared" ref="A43312:A43326" si="1344">"20060"</f>
        <v>20060</v>
      </c>
      <c r="B43312" s="2" t="str">
        <f>"31554"</f>
        <v>31554</v>
      </c>
      <c r="C43312" s="1">
        <v>7.5799195827859295E-2</v>
      </c>
      <c r="D43312" s="1">
        <v>1.4646649578908801E-2</v>
      </c>
      <c r="E43312" s="1">
        <v>3.125E-2</v>
      </c>
      <c r="F43312" s="1">
        <v>6.9063886736634494E-2</v>
      </c>
    </row>
    <row r="43313" spans="1:6" x14ac:dyDescent="0.25">
      <c r="A43313" s="2" t="str">
        <f t="shared" si="1344"/>
        <v>20060</v>
      </c>
      <c r="B43313" s="2" t="str">
        <f>"31774"</f>
        <v>31774</v>
      </c>
      <c r="C43313" s="1">
        <v>3.9810502010430303E-5</v>
      </c>
      <c r="D43313" s="1">
        <v>0</v>
      </c>
      <c r="E43313" s="1">
        <v>0</v>
      </c>
      <c r="F43313" s="1">
        <v>3.5218708177784E-5</v>
      </c>
    </row>
    <row r="43314" spans="1:6" x14ac:dyDescent="0.25">
      <c r="A43314" s="2" t="str">
        <f t="shared" si="1344"/>
        <v>20060</v>
      </c>
      <c r="B43314" s="2" t="str">
        <f>"31798"</f>
        <v>31798</v>
      </c>
      <c r="C43314" s="1">
        <v>9.9924360046180095E-3</v>
      </c>
      <c r="D43314" s="1">
        <v>3.6616623947271999E-4</v>
      </c>
      <c r="E43314" s="1">
        <v>0</v>
      </c>
      <c r="F43314" s="1">
        <v>8.8751144608015704E-3</v>
      </c>
    </row>
    <row r="43315" spans="1:6" x14ac:dyDescent="0.25">
      <c r="A43315" s="2" t="str">
        <f t="shared" si="1344"/>
        <v>20060</v>
      </c>
      <c r="B43315" s="2" t="str">
        <f>"31534"</f>
        <v>31534</v>
      </c>
      <c r="C43315" s="1">
        <v>8.8021019945061493E-2</v>
      </c>
      <c r="D43315" s="1">
        <v>0.151226656902233</v>
      </c>
      <c r="E43315" s="1">
        <v>3.6764705882352902E-3</v>
      </c>
      <c r="F43315" s="1">
        <v>9.2484327674860797E-2</v>
      </c>
    </row>
    <row r="43316" spans="1:6" x14ac:dyDescent="0.25">
      <c r="A43316" s="2" t="str">
        <f t="shared" si="1344"/>
        <v>20060</v>
      </c>
      <c r="B43316" s="2" t="str">
        <f>"31512"</f>
        <v>31512</v>
      </c>
      <c r="C43316" s="1">
        <v>4.1801027110951801E-2</v>
      </c>
      <c r="D43316" s="1">
        <v>2.0139143170999602E-2</v>
      </c>
      <c r="E43316" s="1">
        <v>2.7573529411764702E-2</v>
      </c>
      <c r="F43316" s="1">
        <v>3.9444953159118099E-2</v>
      </c>
    </row>
    <row r="43317" spans="1:6" x14ac:dyDescent="0.25">
      <c r="A43317" s="2" t="str">
        <f t="shared" si="1344"/>
        <v>20060</v>
      </c>
      <c r="B43317" s="2" t="str">
        <f>"31552"</f>
        <v>31552</v>
      </c>
      <c r="C43317" s="1">
        <v>2.3488196186153901E-3</v>
      </c>
      <c r="D43317" s="1">
        <v>1.0984987184181601E-3</v>
      </c>
      <c r="E43317" s="1">
        <v>0</v>
      </c>
      <c r="F43317" s="1">
        <v>2.1835599070226101E-3</v>
      </c>
    </row>
    <row r="43318" spans="1:6" x14ac:dyDescent="0.25">
      <c r="A43318" s="2" t="str">
        <f t="shared" si="1344"/>
        <v>20060</v>
      </c>
      <c r="B43318" s="2" t="str">
        <f>"31650"</f>
        <v>31650</v>
      </c>
      <c r="C43318" s="1">
        <v>4.9683506509016997E-2</v>
      </c>
      <c r="D43318" s="1">
        <v>2.41669718051995E-2</v>
      </c>
      <c r="E43318" s="1">
        <v>5.33088235294117E-2</v>
      </c>
      <c r="F43318" s="1">
        <v>4.72987250827639E-2</v>
      </c>
    </row>
    <row r="43319" spans="1:6" x14ac:dyDescent="0.25">
      <c r="A43319" s="2" t="str">
        <f t="shared" si="1344"/>
        <v>20060</v>
      </c>
      <c r="B43319" s="2" t="str">
        <f>"31624"</f>
        <v>31624</v>
      </c>
      <c r="C43319" s="1">
        <v>2.67128468489987E-2</v>
      </c>
      <c r="D43319" s="1">
        <v>2.9293299157817599E-3</v>
      </c>
      <c r="E43319" s="1">
        <v>7.3529411764705803E-3</v>
      </c>
      <c r="F43319" s="1">
        <v>2.4054377685426401E-2</v>
      </c>
    </row>
    <row r="43320" spans="1:6" x14ac:dyDescent="0.25">
      <c r="A43320" s="2" t="str">
        <f t="shared" si="1344"/>
        <v>20060</v>
      </c>
      <c r="B43320" s="2" t="str">
        <f>"31519"</f>
        <v>31519</v>
      </c>
      <c r="C43320" s="1">
        <v>7.3012460687129202E-2</v>
      </c>
      <c r="D43320" s="1">
        <v>3.0025631636763001E-2</v>
      </c>
      <c r="E43320" s="1">
        <v>4.5955882352941103E-2</v>
      </c>
      <c r="F43320" s="1">
        <v>6.8359512573078804E-2</v>
      </c>
    </row>
    <row r="43321" spans="1:6" x14ac:dyDescent="0.25">
      <c r="A43321" s="2" t="str">
        <f t="shared" si="1344"/>
        <v>20060</v>
      </c>
      <c r="B43321" s="2" t="str">
        <f>"31533"</f>
        <v>31533</v>
      </c>
      <c r="C43321" s="1">
        <v>0.31661292248895201</v>
      </c>
      <c r="D43321" s="1">
        <v>0.64445258147198803</v>
      </c>
      <c r="E43321" s="1">
        <v>0.63235294117647001</v>
      </c>
      <c r="F43321" s="1">
        <v>0.354194548143974</v>
      </c>
    </row>
    <row r="43322" spans="1:6" x14ac:dyDescent="0.25">
      <c r="A43322" s="2" t="str">
        <f t="shared" si="1344"/>
        <v>20060</v>
      </c>
      <c r="B43322" s="2" t="str">
        <f>"31642"</f>
        <v>31642</v>
      </c>
      <c r="C43322" s="1">
        <v>8.0019109040965E-2</v>
      </c>
      <c r="D43322" s="1">
        <v>2.7462467960453998E-2</v>
      </c>
      <c r="E43322" s="1">
        <v>3.6764705882352901E-2</v>
      </c>
      <c r="F43322" s="1">
        <v>7.4135380714235394E-2</v>
      </c>
    </row>
    <row r="43323" spans="1:6" x14ac:dyDescent="0.25">
      <c r="A43323" s="2" t="str">
        <f t="shared" si="1344"/>
        <v>20060</v>
      </c>
      <c r="B43323" s="2" t="str">
        <f>"31635"</f>
        <v>31635</v>
      </c>
      <c r="C43323" s="1">
        <v>4.37915522114733E-4</v>
      </c>
      <c r="D43323" s="1">
        <v>0</v>
      </c>
      <c r="E43323" s="1">
        <v>0</v>
      </c>
      <c r="F43323" s="1">
        <v>3.8740578995562398E-4</v>
      </c>
    </row>
    <row r="43324" spans="1:6" x14ac:dyDescent="0.25">
      <c r="A43324" s="2" t="str">
        <f t="shared" si="1344"/>
        <v>20060</v>
      </c>
      <c r="B43324" s="2" t="str">
        <f>"31532"</f>
        <v>31532</v>
      </c>
      <c r="C43324" s="1">
        <v>1.19431506031291E-4</v>
      </c>
      <c r="D43324" s="1">
        <v>0</v>
      </c>
      <c r="E43324" s="1">
        <v>0</v>
      </c>
      <c r="F43324" s="1">
        <v>1.0565612453335199E-4</v>
      </c>
    </row>
    <row r="43325" spans="1:6" x14ac:dyDescent="0.25">
      <c r="A43325" s="2" t="str">
        <f t="shared" si="1344"/>
        <v>20060</v>
      </c>
      <c r="B43325" s="2" t="str">
        <f>"31535"</f>
        <v>31535</v>
      </c>
      <c r="C43325" s="1">
        <v>0.21772363549504301</v>
      </c>
      <c r="D43325" s="1">
        <v>7.7261076528744005E-2</v>
      </c>
      <c r="E43325" s="1">
        <v>0.154411764705882</v>
      </c>
      <c r="F43325" s="1">
        <v>0.203000633936747</v>
      </c>
    </row>
    <row r="43326" spans="1:6" x14ac:dyDescent="0.25">
      <c r="A43326" s="2" t="str">
        <f t="shared" si="1344"/>
        <v>20060</v>
      </c>
      <c r="B43326" s="2" t="str">
        <f>"31567"</f>
        <v>31567</v>
      </c>
      <c r="C43326" s="1">
        <v>1.7675862892631001E-2</v>
      </c>
      <c r="D43326" s="1">
        <v>6.2248260710362499E-3</v>
      </c>
      <c r="E43326" s="1">
        <v>7.3529411764705803E-3</v>
      </c>
      <c r="F43326" s="1">
        <v>1.6376699302669499E-2</v>
      </c>
    </row>
    <row r="43327" spans="1:6" x14ac:dyDescent="0.25">
      <c r="A43327" s="2" t="str">
        <f t="shared" ref="A43327:A43337" si="1345">"45620"</f>
        <v>45620</v>
      </c>
      <c r="B43327" s="2" t="str">
        <f>"31779"</f>
        <v>31779</v>
      </c>
      <c r="C43327" s="1">
        <v>9.2610457264132701E-4</v>
      </c>
      <c r="D43327" s="1">
        <v>0</v>
      </c>
      <c r="E43327" s="1">
        <v>0</v>
      </c>
      <c r="F43327" s="1">
        <v>8.2149580694848502E-4</v>
      </c>
    </row>
    <row r="43328" spans="1:6" x14ac:dyDescent="0.25">
      <c r="A43328" s="2" t="str">
        <f t="shared" si="1345"/>
        <v>45620</v>
      </c>
      <c r="B43328" s="2" t="str">
        <f>"31792"</f>
        <v>31792</v>
      </c>
      <c r="C43328" s="1">
        <v>0.49477136793362902</v>
      </c>
      <c r="D43328" s="1">
        <v>0.613854351687388</v>
      </c>
      <c r="E43328" s="1">
        <v>0.73608247422680395</v>
      </c>
      <c r="F43328" s="1">
        <v>0.51025158309087704</v>
      </c>
    </row>
    <row r="43329" spans="1:6" x14ac:dyDescent="0.25">
      <c r="A43329" s="2" t="str">
        <f t="shared" si="1345"/>
        <v>45620</v>
      </c>
      <c r="B43329" s="2" t="str">
        <f>"31626"</f>
        <v>31626</v>
      </c>
      <c r="C43329" s="1">
        <v>9.2070229596758604E-2</v>
      </c>
      <c r="D43329" s="1">
        <v>3.4458259325044399E-2</v>
      </c>
      <c r="E43329" s="1">
        <v>1.2371134020618501E-2</v>
      </c>
      <c r="F43329" s="1">
        <v>8.5195960978949103E-2</v>
      </c>
    </row>
    <row r="43330" spans="1:6" x14ac:dyDescent="0.25">
      <c r="A43330" s="2" t="str">
        <f t="shared" si="1345"/>
        <v>45620</v>
      </c>
      <c r="B43330" s="2" t="str">
        <f>"31757"</f>
        <v>31757</v>
      </c>
      <c r="C43330" s="1">
        <v>0.21748022380860499</v>
      </c>
      <c r="D43330" s="1">
        <v>0.117229129662522</v>
      </c>
      <c r="E43330" s="1">
        <v>0.16701030927835001</v>
      </c>
      <c r="F43330" s="1">
        <v>0.20698271435906199</v>
      </c>
    </row>
    <row r="43331" spans="1:6" x14ac:dyDescent="0.25">
      <c r="A43331" s="2" t="str">
        <f t="shared" si="1345"/>
        <v>45620</v>
      </c>
      <c r="B43331" s="2" t="str">
        <f>"39828"</f>
        <v>39828</v>
      </c>
      <c r="C43331" s="1">
        <v>7.7175381053443904E-5</v>
      </c>
      <c r="D43331" s="1">
        <v>3.55239786856127E-4</v>
      </c>
      <c r="E43331" s="1">
        <v>0</v>
      </c>
      <c r="F43331" s="1">
        <v>1.0268697586856E-4</v>
      </c>
    </row>
    <row r="43332" spans="1:6" x14ac:dyDescent="0.25">
      <c r="A43332" s="2" t="str">
        <f t="shared" si="1345"/>
        <v>45620</v>
      </c>
      <c r="B43332" s="2" t="str">
        <f>"31738"</f>
        <v>31738</v>
      </c>
      <c r="C43332" s="1">
        <v>3.8317576693034899E-2</v>
      </c>
      <c r="D43332" s="1">
        <v>1.42095914742451E-2</v>
      </c>
      <c r="E43332" s="1">
        <v>2.2680412371133999E-2</v>
      </c>
      <c r="F43332" s="1">
        <v>3.5735067602259099E-2</v>
      </c>
    </row>
    <row r="43333" spans="1:6" x14ac:dyDescent="0.25">
      <c r="A43333" s="2" t="str">
        <f t="shared" si="1345"/>
        <v>45620</v>
      </c>
      <c r="B43333" s="2" t="str">
        <f>"31773"</f>
        <v>31773</v>
      </c>
      <c r="C43333" s="1">
        <v>5.5874975882693398E-2</v>
      </c>
      <c r="D43333" s="1">
        <v>1.5275310834813399E-2</v>
      </c>
      <c r="E43333" s="1">
        <v>4.5360824742267998E-2</v>
      </c>
      <c r="F43333" s="1">
        <v>5.1788464829710702E-2</v>
      </c>
    </row>
    <row r="43334" spans="1:6" x14ac:dyDescent="0.25">
      <c r="A43334" s="2" t="str">
        <f t="shared" si="1345"/>
        <v>45620</v>
      </c>
      <c r="B43334" s="2" t="str">
        <f>"31799"</f>
        <v>31799</v>
      </c>
      <c r="C43334" s="1">
        <v>6.0042446459579298E-2</v>
      </c>
      <c r="D43334" s="1">
        <v>0.19325044404973299</v>
      </c>
      <c r="E43334" s="1">
        <v>4.1237113402061796E-3</v>
      </c>
      <c r="F43334" s="1">
        <v>7.1949341091904803E-2</v>
      </c>
    </row>
    <row r="43335" spans="1:6" x14ac:dyDescent="0.25">
      <c r="A43335" s="2" t="str">
        <f t="shared" si="1345"/>
        <v>45620</v>
      </c>
      <c r="B43335" s="2" t="str">
        <f>"31778"</f>
        <v>31778</v>
      </c>
      <c r="C43335" s="1">
        <v>2.3731429673934001E-2</v>
      </c>
      <c r="D43335" s="1">
        <v>5.6838365896980398E-3</v>
      </c>
      <c r="E43335" s="1">
        <v>2.0618556701030898E-3</v>
      </c>
      <c r="F43335" s="1">
        <v>2.1632722916310101E-2</v>
      </c>
    </row>
    <row r="43336" spans="1:6" x14ac:dyDescent="0.25">
      <c r="A43336" s="2" t="str">
        <f t="shared" si="1345"/>
        <v>45620</v>
      </c>
      <c r="B43336" s="2" t="str">
        <f>"31765"</f>
        <v>31765</v>
      </c>
      <c r="C43336" s="1">
        <v>1.6515531545437001E-2</v>
      </c>
      <c r="D43336" s="1">
        <v>5.6838365896980398E-3</v>
      </c>
      <c r="E43336" s="1">
        <v>6.1855670103092703E-3</v>
      </c>
      <c r="F43336" s="1">
        <v>1.5300359404415501E-2</v>
      </c>
    </row>
    <row r="43337" spans="1:6" x14ac:dyDescent="0.25">
      <c r="A43337" s="2" t="str">
        <f t="shared" si="1345"/>
        <v>45620</v>
      </c>
      <c r="B43337" s="2" t="str">
        <f>"31720"</f>
        <v>31720</v>
      </c>
      <c r="C43337" s="1">
        <v>1.9293845263360901E-4</v>
      </c>
      <c r="D43337" s="1">
        <v>0</v>
      </c>
      <c r="E43337" s="1">
        <v>4.1237113402061796E-3</v>
      </c>
      <c r="F43337" s="1">
        <v>2.3960294369330799E-4</v>
      </c>
    </row>
    <row r="43338" spans="1:6" x14ac:dyDescent="0.25">
      <c r="A43338" s="2" t="str">
        <f t="shared" ref="A43338:A43357" si="1346">"37260"</f>
        <v>37260</v>
      </c>
      <c r="B43338" s="2" t="str">
        <f>"32656"</f>
        <v>32656</v>
      </c>
      <c r="C43338" s="1">
        <v>7.7006006468504498E-5</v>
      </c>
      <c r="D43338" s="1">
        <v>0</v>
      </c>
      <c r="E43338" s="1">
        <v>0</v>
      </c>
      <c r="F43338" s="1">
        <v>7.0686364600268603E-5</v>
      </c>
    </row>
    <row r="43339" spans="1:6" x14ac:dyDescent="0.25">
      <c r="A43339" s="2" t="str">
        <f t="shared" si="1346"/>
        <v>37260</v>
      </c>
      <c r="B43339" s="2" t="str">
        <f>"32666"</f>
        <v>32666</v>
      </c>
      <c r="C43339" s="1">
        <v>3.9735099337748297E-2</v>
      </c>
      <c r="D43339" s="1">
        <v>2.91026677445432E-2</v>
      </c>
      <c r="E43339" s="1">
        <v>1.9821605550049502E-2</v>
      </c>
      <c r="F43339" s="1">
        <v>3.8641879314813499E-2</v>
      </c>
    </row>
    <row r="43340" spans="1:6" x14ac:dyDescent="0.25">
      <c r="A43340" s="2" t="str">
        <f t="shared" si="1346"/>
        <v>37260</v>
      </c>
      <c r="B43340" s="2" t="str">
        <f>"32189"</f>
        <v>32189</v>
      </c>
      <c r="C43340" s="1">
        <v>9.6077827403870802E-2</v>
      </c>
      <c r="D43340" s="1">
        <v>1.7380759902991101E-2</v>
      </c>
      <c r="E43340" s="1">
        <v>2.47770069375619E-2</v>
      </c>
      <c r="F43340" s="1">
        <v>8.9795245163874493E-2</v>
      </c>
    </row>
    <row r="43341" spans="1:6" x14ac:dyDescent="0.25">
      <c r="A43341" s="2" t="str">
        <f t="shared" si="1346"/>
        <v>37260</v>
      </c>
      <c r="B43341" s="2" t="str">
        <f>"32181"</f>
        <v>32181</v>
      </c>
      <c r="C43341" s="1">
        <v>2.9544637815082899E-2</v>
      </c>
      <c r="D43341" s="1">
        <v>8.89248181083265E-3</v>
      </c>
      <c r="E43341" s="1">
        <v>3.3696729435084199E-2</v>
      </c>
      <c r="F43341" s="1">
        <v>2.8439480690841401E-2</v>
      </c>
    </row>
    <row r="43342" spans="1:6" x14ac:dyDescent="0.25">
      <c r="A43342" s="2" t="str">
        <f t="shared" si="1346"/>
        <v>37260</v>
      </c>
      <c r="B43342" s="2" t="str">
        <f>"32145"</f>
        <v>32145</v>
      </c>
      <c r="C43342" s="1">
        <v>2.5668668822834801E-4</v>
      </c>
      <c r="D43342" s="1">
        <v>0</v>
      </c>
      <c r="E43342" s="1">
        <v>0</v>
      </c>
      <c r="F43342" s="1">
        <v>2.35621215334228E-4</v>
      </c>
    </row>
    <row r="43343" spans="1:6" x14ac:dyDescent="0.25">
      <c r="A43343" s="2" t="str">
        <f t="shared" si="1346"/>
        <v>37260</v>
      </c>
      <c r="B43343" s="2" t="str">
        <f>"32147"</f>
        <v>32147</v>
      </c>
      <c r="C43343" s="1">
        <v>0</v>
      </c>
      <c r="D43343" s="1">
        <v>4.0420371867421102E-4</v>
      </c>
      <c r="E43343" s="1">
        <v>0</v>
      </c>
      <c r="F43343" s="1">
        <v>2.35621215334228E-5</v>
      </c>
    </row>
    <row r="43344" spans="1:6" x14ac:dyDescent="0.25">
      <c r="A43344" s="2" t="str">
        <f t="shared" si="1346"/>
        <v>37260</v>
      </c>
      <c r="B43344" s="2" t="str">
        <f>"32138"</f>
        <v>32138</v>
      </c>
      <c r="C43344" s="1">
        <v>0</v>
      </c>
      <c r="D43344" s="1">
        <v>4.0420371867421102E-4</v>
      </c>
      <c r="E43344" s="1">
        <v>0</v>
      </c>
      <c r="F43344" s="1">
        <v>2.35621215334228E-5</v>
      </c>
    </row>
    <row r="43345" spans="1:6" x14ac:dyDescent="0.25">
      <c r="A43345" s="2" t="str">
        <f t="shared" si="1346"/>
        <v>37260</v>
      </c>
      <c r="B43345" s="2" t="str">
        <f>"32131"</f>
        <v>32131</v>
      </c>
      <c r="C43345" s="1">
        <v>5.6727758098465003E-2</v>
      </c>
      <c r="D43345" s="1">
        <v>8.2861762328213406E-2</v>
      </c>
      <c r="E43345" s="1">
        <v>5.4509415262636203E-2</v>
      </c>
      <c r="F43345" s="1">
        <v>5.81984401875544E-2</v>
      </c>
    </row>
    <row r="43346" spans="1:6" x14ac:dyDescent="0.25">
      <c r="A43346" s="2" t="str">
        <f t="shared" si="1346"/>
        <v>37260</v>
      </c>
      <c r="B43346" s="2" t="str">
        <f>"32112"</f>
        <v>32112</v>
      </c>
      <c r="C43346" s="1">
        <v>0.10449715077776001</v>
      </c>
      <c r="D43346" s="1">
        <v>0.113581244947453</v>
      </c>
      <c r="E43346" s="1">
        <v>6.7393458870168399E-2</v>
      </c>
      <c r="F43346" s="1">
        <v>0.104144577177729</v>
      </c>
    </row>
    <row r="43347" spans="1:6" x14ac:dyDescent="0.25">
      <c r="A43347" s="2" t="str">
        <f t="shared" si="1346"/>
        <v>37260</v>
      </c>
      <c r="B43347" s="2" t="str">
        <f>"32007"</f>
        <v>32007</v>
      </c>
      <c r="C43347" s="1">
        <v>0</v>
      </c>
      <c r="D43347" s="1">
        <v>0</v>
      </c>
      <c r="E43347" s="1">
        <v>9.9108027750247703E-4</v>
      </c>
      <c r="F43347" s="1">
        <v>2.35621215334228E-5</v>
      </c>
    </row>
    <row r="43348" spans="1:6" x14ac:dyDescent="0.25">
      <c r="A43348" s="2" t="str">
        <f t="shared" si="1346"/>
        <v>37260</v>
      </c>
      <c r="B43348" s="2" t="str">
        <f>"32185"</f>
        <v>32185</v>
      </c>
      <c r="C43348" s="1">
        <v>0</v>
      </c>
      <c r="D43348" s="1">
        <v>4.0420371867421102E-4</v>
      </c>
      <c r="E43348" s="1">
        <v>0</v>
      </c>
      <c r="F43348" s="1">
        <v>2.35621215334228E-5</v>
      </c>
    </row>
    <row r="43349" spans="1:6" x14ac:dyDescent="0.25">
      <c r="A43349" s="2" t="str">
        <f t="shared" si="1346"/>
        <v>37260</v>
      </c>
      <c r="B43349" s="2" t="str">
        <f>"32640"</f>
        <v>32640</v>
      </c>
      <c r="C43349" s="1">
        <v>8.6708763283536106E-2</v>
      </c>
      <c r="D43349" s="1">
        <v>2.0614389652384799E-2</v>
      </c>
      <c r="E43349" s="1">
        <v>1.68483647175421E-2</v>
      </c>
      <c r="F43349" s="1">
        <v>8.1195070804175207E-2</v>
      </c>
    </row>
    <row r="43350" spans="1:6" x14ac:dyDescent="0.25">
      <c r="A43350" s="2" t="str">
        <f t="shared" si="1346"/>
        <v>37260</v>
      </c>
      <c r="B43350" s="2" t="str">
        <f>"32187"</f>
        <v>32187</v>
      </c>
      <c r="C43350" s="1">
        <v>2.3897530674059201E-2</v>
      </c>
      <c r="D43350" s="1">
        <v>1.9805982215036301E-2</v>
      </c>
      <c r="E43350" s="1">
        <v>1.1892963330029699E-2</v>
      </c>
      <c r="F43350" s="1">
        <v>2.3373624561155399E-2</v>
      </c>
    </row>
    <row r="43351" spans="1:6" x14ac:dyDescent="0.25">
      <c r="A43351" s="2" t="str">
        <f t="shared" si="1346"/>
        <v>37260</v>
      </c>
      <c r="B43351" s="2" t="str">
        <f>"32193"</f>
        <v>32193</v>
      </c>
      <c r="C43351" s="1">
        <v>1.40150931772678E-2</v>
      </c>
      <c r="D43351" s="1">
        <v>6.0630557801131697E-3</v>
      </c>
      <c r="E43351" s="1">
        <v>1.68483647175421E-2</v>
      </c>
      <c r="F43351" s="1">
        <v>1.36189062463184E-2</v>
      </c>
    </row>
    <row r="43352" spans="1:6" x14ac:dyDescent="0.25">
      <c r="A43352" s="2" t="str">
        <f t="shared" si="1346"/>
        <v>37260</v>
      </c>
      <c r="B43352" s="2" t="str">
        <f>"32177"</f>
        <v>32177</v>
      </c>
      <c r="C43352" s="1">
        <v>0.34696339647825802</v>
      </c>
      <c r="D43352" s="1">
        <v>0.61762328213419504</v>
      </c>
      <c r="E43352" s="1">
        <v>0.65014866204162503</v>
      </c>
      <c r="F43352" s="1">
        <v>0.36994887019627198</v>
      </c>
    </row>
    <row r="43353" spans="1:6" x14ac:dyDescent="0.25">
      <c r="A43353" s="2" t="str">
        <f t="shared" si="1346"/>
        <v>37260</v>
      </c>
      <c r="B43353" s="2" t="str">
        <f>"32134"</f>
        <v>32134</v>
      </c>
      <c r="C43353" s="1">
        <v>4.7487037322244399E-3</v>
      </c>
      <c r="D43353" s="1">
        <v>8.0840743734842302E-4</v>
      </c>
      <c r="E43353" s="1">
        <v>3.9643211100099099E-3</v>
      </c>
      <c r="F43353" s="1">
        <v>4.5003652128837602E-3</v>
      </c>
    </row>
    <row r="43354" spans="1:6" x14ac:dyDescent="0.25">
      <c r="A43354" s="2" t="str">
        <f t="shared" si="1346"/>
        <v>37260</v>
      </c>
      <c r="B43354" s="2" t="str">
        <f>"32140"</f>
        <v>32140</v>
      </c>
      <c r="C43354" s="1">
        <v>2.1818368499409602E-2</v>
      </c>
      <c r="D43354" s="1">
        <v>7.2756669361358096E-3</v>
      </c>
      <c r="E43354" s="1">
        <v>1.0901883052527201E-2</v>
      </c>
      <c r="F43354" s="1">
        <v>2.0711104827878701E-2</v>
      </c>
    </row>
    <row r="43355" spans="1:6" x14ac:dyDescent="0.25">
      <c r="A43355" s="2" t="str">
        <f t="shared" si="1346"/>
        <v>37260</v>
      </c>
      <c r="B43355" s="2" t="str">
        <f>"32139"</f>
        <v>32139</v>
      </c>
      <c r="C43355" s="1">
        <v>2.09969710970789E-2</v>
      </c>
      <c r="D43355" s="1">
        <v>6.8714632174616003E-3</v>
      </c>
      <c r="E43355" s="1">
        <v>2.67591674925668E-2</v>
      </c>
      <c r="F43355" s="1">
        <v>2.0310548761810501E-2</v>
      </c>
    </row>
    <row r="43356" spans="1:6" x14ac:dyDescent="0.25">
      <c r="A43356" s="2" t="str">
        <f t="shared" si="1346"/>
        <v>37260</v>
      </c>
      <c r="B43356" s="2" t="str">
        <f>"32043"</f>
        <v>32043</v>
      </c>
      <c r="C43356" s="1">
        <v>3.3882642846141901E-3</v>
      </c>
      <c r="D43356" s="1">
        <v>1.61681487469684E-3</v>
      </c>
      <c r="E43356" s="1">
        <v>0</v>
      </c>
      <c r="F43356" s="1">
        <v>3.2044485285455098E-3</v>
      </c>
    </row>
    <row r="43357" spans="1:6" x14ac:dyDescent="0.25">
      <c r="A43357" s="2" t="str">
        <f t="shared" si="1346"/>
        <v>37260</v>
      </c>
      <c r="B43357" s="2" t="str">
        <f>"32148"</f>
        <v>32148</v>
      </c>
      <c r="C43357" s="1">
        <v>0.15054674264592599</v>
      </c>
      <c r="D43357" s="1">
        <v>6.6289409862570703E-2</v>
      </c>
      <c r="E43357" s="1">
        <v>6.1446977205153602E-2</v>
      </c>
      <c r="F43357" s="1">
        <v>0.143516882260078</v>
      </c>
    </row>
    <row r="43358" spans="1:6" x14ac:dyDescent="0.25">
      <c r="A43358" s="2" t="str">
        <f t="shared" ref="A43358:A43389" si="1347">"36740"</f>
        <v>36740</v>
      </c>
      <c r="B43358" s="2" t="str">
        <f>"34740"</f>
        <v>34740</v>
      </c>
      <c r="C43358" s="1">
        <v>2.8746832564073698E-5</v>
      </c>
      <c r="D43358" s="1">
        <v>7.4161969741916295E-5</v>
      </c>
      <c r="E43358" s="1">
        <v>3.1490607926186E-5</v>
      </c>
      <c r="F43358" s="1">
        <v>3.2904213640478303E-5</v>
      </c>
    </row>
    <row r="43359" spans="1:6" x14ac:dyDescent="0.25">
      <c r="A43359" s="2" t="str">
        <f t="shared" si="1347"/>
        <v>36740</v>
      </c>
      <c r="B43359" s="2" t="str">
        <f>"34737"</f>
        <v>34737</v>
      </c>
      <c r="C43359" s="1">
        <v>1.54471950278125E-3</v>
      </c>
      <c r="D43359" s="1">
        <v>4.9441313161277501E-4</v>
      </c>
      <c r="E43359" s="1">
        <v>4.8810442285588301E-4</v>
      </c>
      <c r="F43359" s="1">
        <v>1.40245070583194E-3</v>
      </c>
    </row>
    <row r="43360" spans="1:6" x14ac:dyDescent="0.25">
      <c r="A43360" s="2" t="str">
        <f t="shared" si="1347"/>
        <v>36740</v>
      </c>
      <c r="B43360" s="2" t="str">
        <f>"34972"</f>
        <v>34972</v>
      </c>
      <c r="C43360" s="1">
        <v>1.6487153970571599E-4</v>
      </c>
      <c r="D43360" s="1">
        <v>1.4832393948383199E-4</v>
      </c>
      <c r="E43360" s="1">
        <v>1.5745303963093E-5</v>
      </c>
      <c r="F43360" s="1">
        <v>1.5647781597916301E-4</v>
      </c>
    </row>
    <row r="43361" spans="1:6" x14ac:dyDescent="0.25">
      <c r="A43361" s="2" t="str">
        <f t="shared" si="1347"/>
        <v>36740</v>
      </c>
      <c r="B43361" s="2" t="str">
        <f>"34789"</f>
        <v>34789</v>
      </c>
      <c r="C43361" s="1">
        <v>7.77855469380818E-4</v>
      </c>
      <c r="D43361" s="1">
        <v>5.4385444477405296E-4</v>
      </c>
      <c r="E43361" s="1">
        <v>3.1490607926186E-5</v>
      </c>
      <c r="F43361" s="1">
        <v>7.2243029059539002E-4</v>
      </c>
    </row>
    <row r="43362" spans="1:6" x14ac:dyDescent="0.25">
      <c r="A43362" s="2" t="str">
        <f t="shared" si="1347"/>
        <v>36740</v>
      </c>
      <c r="B43362" s="2" t="str">
        <f>"34713"</f>
        <v>34713</v>
      </c>
      <c r="C43362" s="1">
        <v>1.8448702545532001E-3</v>
      </c>
      <c r="D43362" s="1">
        <v>1.14539042156959E-3</v>
      </c>
      <c r="E43362" s="1">
        <v>3.1490607926186E-5</v>
      </c>
      <c r="F43362" s="1">
        <v>1.69858862859624E-3</v>
      </c>
    </row>
    <row r="43363" spans="1:6" x14ac:dyDescent="0.25">
      <c r="A43363" s="2" t="str">
        <f t="shared" si="1347"/>
        <v>36740</v>
      </c>
      <c r="B43363" s="2" t="str">
        <f>"34777"</f>
        <v>34777</v>
      </c>
      <c r="C43363" s="1">
        <v>8.5141354094183004E-4</v>
      </c>
      <c r="D43363" s="1">
        <v>2.10125580935429E-3</v>
      </c>
      <c r="E43363" s="1">
        <v>3.1490607926186E-5</v>
      </c>
      <c r="F43363" s="1">
        <v>9.2424280092365696E-4</v>
      </c>
    </row>
    <row r="43364" spans="1:6" x14ac:dyDescent="0.25">
      <c r="A43364" s="2" t="str">
        <f t="shared" si="1347"/>
        <v>36740</v>
      </c>
      <c r="B43364" s="2" t="str">
        <f>"34762"</f>
        <v>34762</v>
      </c>
      <c r="C43364" s="1">
        <v>2.9676877147028998E-4</v>
      </c>
      <c r="D43364" s="1">
        <v>2.9664787896766502E-4</v>
      </c>
      <c r="E43364" s="1">
        <v>3.1490607926186E-5</v>
      </c>
      <c r="F43364" s="1">
        <v>2.84438646803245E-4</v>
      </c>
    </row>
    <row r="43365" spans="1:6" x14ac:dyDescent="0.25">
      <c r="A43365" s="2" t="str">
        <f t="shared" si="1347"/>
        <v>36740</v>
      </c>
      <c r="B43365" s="2" t="str">
        <f>"33897"</f>
        <v>33897</v>
      </c>
      <c r="C43365" s="1">
        <v>1.44579657895782E-4</v>
      </c>
      <c r="D43365" s="1">
        <v>3.2960875440851697E-5</v>
      </c>
      <c r="E43365" s="1">
        <v>3.1490607926185998E-4</v>
      </c>
      <c r="F43365" s="1">
        <v>1.42584925775406E-4</v>
      </c>
    </row>
    <row r="43366" spans="1:6" x14ac:dyDescent="0.25">
      <c r="A43366" s="2" t="str">
        <f t="shared" si="1347"/>
        <v>36740</v>
      </c>
      <c r="B43366" s="2" t="str">
        <f>"32831"</f>
        <v>32831</v>
      </c>
      <c r="C43366" s="1">
        <v>8.4549507541393305E-5</v>
      </c>
      <c r="D43366" s="1">
        <v>4.1201094301064598E-5</v>
      </c>
      <c r="E43366" s="1">
        <v>3.1490607926186E-5</v>
      </c>
      <c r="F43366" s="1">
        <v>7.8238907989581694E-5</v>
      </c>
    </row>
    <row r="43367" spans="1:6" x14ac:dyDescent="0.25">
      <c r="A43367" s="2" t="str">
        <f t="shared" si="1347"/>
        <v>36740</v>
      </c>
      <c r="B43367" s="2" t="str">
        <f>"32830"</f>
        <v>32830</v>
      </c>
      <c r="C43367" s="1">
        <v>1.4373416282036799E-4</v>
      </c>
      <c r="D43367" s="1">
        <v>6.3449685223639497E-4</v>
      </c>
      <c r="E43367" s="1">
        <v>2.1885972508699199E-3</v>
      </c>
      <c r="F43367" s="1">
        <v>2.8224503256054701E-4</v>
      </c>
    </row>
    <row r="43368" spans="1:6" x14ac:dyDescent="0.25">
      <c r="A43368" s="2" t="str">
        <f t="shared" si="1347"/>
        <v>36740</v>
      </c>
      <c r="B43368" s="2" t="str">
        <f>"32810"</f>
        <v>32810</v>
      </c>
      <c r="C43368" s="1">
        <v>1.24795073131096E-2</v>
      </c>
      <c r="D43368" s="1">
        <v>1.25251326675236E-2</v>
      </c>
      <c r="E43368" s="1">
        <v>1.40290658311158E-2</v>
      </c>
      <c r="F43368" s="1">
        <v>1.25555167204589E-2</v>
      </c>
    </row>
    <row r="43369" spans="1:6" x14ac:dyDescent="0.25">
      <c r="A43369" s="2" t="str">
        <f t="shared" si="1347"/>
        <v>36740</v>
      </c>
      <c r="B43369" s="2" t="str">
        <f>"32750"</f>
        <v>32750</v>
      </c>
      <c r="C43369" s="1">
        <v>8.8531789346592907E-3</v>
      </c>
      <c r="D43369" s="1">
        <v>2.5025544678466599E-2</v>
      </c>
      <c r="E43369" s="1">
        <v>2.14608493016957E-2</v>
      </c>
      <c r="F43369" s="1">
        <v>1.0873745801056701E-2</v>
      </c>
    </row>
    <row r="43370" spans="1:6" x14ac:dyDescent="0.25">
      <c r="A43370" s="2" t="str">
        <f t="shared" si="1347"/>
        <v>36740</v>
      </c>
      <c r="B43370" s="2" t="str">
        <f>"32757"</f>
        <v>32757</v>
      </c>
      <c r="C43370" s="1">
        <v>1.18132571936834E-2</v>
      </c>
      <c r="D43370" s="1">
        <v>1.08111671445993E-2</v>
      </c>
      <c r="E43370" s="1">
        <v>8.4237376202547492E-3</v>
      </c>
      <c r="F43370" s="1">
        <v>1.15669279017494E-2</v>
      </c>
    </row>
    <row r="43371" spans="1:6" x14ac:dyDescent="0.25">
      <c r="A43371" s="2" t="str">
        <f t="shared" si="1347"/>
        <v>36740</v>
      </c>
      <c r="B43371" s="2" t="str">
        <f>"32795"</f>
        <v>32795</v>
      </c>
      <c r="C43371" s="1">
        <v>1.6647798034900301E-3</v>
      </c>
      <c r="D43371" s="1">
        <v>7.5233198193743996E-3</v>
      </c>
      <c r="E43371" s="1">
        <v>3.1490607926186E-5</v>
      </c>
      <c r="F43371" s="1">
        <v>2.1087944919808699E-3</v>
      </c>
    </row>
    <row r="43372" spans="1:6" x14ac:dyDescent="0.25">
      <c r="A43372" s="2" t="str">
        <f t="shared" si="1347"/>
        <v>36740</v>
      </c>
      <c r="B43372" s="2" t="str">
        <f>"32789"</f>
        <v>32789</v>
      </c>
      <c r="C43372" s="1">
        <v>1.1392200646127301E-2</v>
      </c>
      <c r="D43372" s="1">
        <v>3.25818253732819E-2</v>
      </c>
      <c r="E43372" s="1">
        <v>2.47988537418714E-2</v>
      </c>
      <c r="F43372" s="1">
        <v>1.38950838180002E-2</v>
      </c>
    </row>
    <row r="43373" spans="1:6" x14ac:dyDescent="0.25">
      <c r="A43373" s="2" t="str">
        <f t="shared" si="1347"/>
        <v>36740</v>
      </c>
      <c r="B43373" s="2" t="str">
        <f>"32803"</f>
        <v>32803</v>
      </c>
      <c r="C43373" s="1">
        <v>9.6048240567022797E-3</v>
      </c>
      <c r="D43373" s="1">
        <v>2.2677082303305899E-2</v>
      </c>
      <c r="E43373" s="1">
        <v>1.31630741131457E-2</v>
      </c>
      <c r="F43373" s="1">
        <v>1.09300485666193E-2</v>
      </c>
    </row>
    <row r="43374" spans="1:6" x14ac:dyDescent="0.25">
      <c r="A43374" s="2" t="str">
        <f t="shared" si="1347"/>
        <v>36740</v>
      </c>
      <c r="B43374" s="2" t="str">
        <f>"32735"</f>
        <v>32735</v>
      </c>
      <c r="C43374" s="1">
        <v>3.0234903896802202E-3</v>
      </c>
      <c r="D43374" s="1">
        <v>5.9329575793533003E-4</v>
      </c>
      <c r="E43374" s="1">
        <v>4.7235911889278998E-4</v>
      </c>
      <c r="F43374" s="1">
        <v>2.6893710615484199E-3</v>
      </c>
    </row>
    <row r="43375" spans="1:6" x14ac:dyDescent="0.25">
      <c r="A43375" s="2" t="str">
        <f t="shared" si="1347"/>
        <v>36740</v>
      </c>
      <c r="B43375" s="2" t="str">
        <f>"32779"</f>
        <v>32779</v>
      </c>
      <c r="C43375" s="1">
        <v>1.0538250619959199E-2</v>
      </c>
      <c r="D43375" s="1">
        <v>5.8423151718909596E-3</v>
      </c>
      <c r="E43375" s="1">
        <v>1.28324227299208E-2</v>
      </c>
      <c r="F43375" s="1">
        <v>1.02280920089557E-2</v>
      </c>
    </row>
    <row r="43376" spans="1:6" x14ac:dyDescent="0.25">
      <c r="A43376" s="2" t="str">
        <f t="shared" si="1347"/>
        <v>36740</v>
      </c>
      <c r="B43376" s="2" t="str">
        <f>"32702"</f>
        <v>32702</v>
      </c>
      <c r="C43376" s="1">
        <v>1.3722385073968099E-3</v>
      </c>
      <c r="D43376" s="1">
        <v>3.4608919212894199E-4</v>
      </c>
      <c r="E43376" s="1">
        <v>7.2428398230227798E-4</v>
      </c>
      <c r="F43376" s="1">
        <v>1.25109132308574E-3</v>
      </c>
    </row>
    <row r="43377" spans="1:6" x14ac:dyDescent="0.25">
      <c r="A43377" s="2" t="str">
        <f t="shared" si="1347"/>
        <v>36740</v>
      </c>
      <c r="B43377" s="2" t="str">
        <f>"32703"</f>
        <v>32703</v>
      </c>
      <c r="C43377" s="1">
        <v>1.7798516832538702E-2</v>
      </c>
      <c r="D43377" s="1">
        <v>1.92244306008767E-2</v>
      </c>
      <c r="E43377" s="1">
        <v>1.6548314465210701E-2</v>
      </c>
      <c r="F43377" s="1">
        <v>1.7866988006779699E-2</v>
      </c>
    </row>
    <row r="43378" spans="1:6" x14ac:dyDescent="0.25">
      <c r="A43378" s="2" t="str">
        <f t="shared" si="1347"/>
        <v>36740</v>
      </c>
      <c r="B43378" s="2" t="str">
        <f>"34756"</f>
        <v>34756</v>
      </c>
      <c r="C43378" s="1">
        <v>1.6732347542441699E-3</v>
      </c>
      <c r="D43378" s="1">
        <v>7.2513925969873699E-4</v>
      </c>
      <c r="E43378" s="1">
        <v>1.4170773566783701E-4</v>
      </c>
      <c r="F43378" s="1">
        <v>1.5179810559474E-3</v>
      </c>
    </row>
    <row r="43379" spans="1:6" x14ac:dyDescent="0.25">
      <c r="A43379" s="2" t="str">
        <f t="shared" si="1347"/>
        <v>36740</v>
      </c>
      <c r="B43379" s="2" t="str">
        <f>"34734"</f>
        <v>34734</v>
      </c>
      <c r="C43379" s="1">
        <v>1.71381851786404E-3</v>
      </c>
      <c r="D43379" s="1">
        <v>2.6286298164079199E-3</v>
      </c>
      <c r="E43379" s="1">
        <v>6.2981215852372E-5</v>
      </c>
      <c r="F43379" s="1">
        <v>1.71833115678053E-3</v>
      </c>
    </row>
    <row r="43380" spans="1:6" x14ac:dyDescent="0.25">
      <c r="A43380" s="2" t="str">
        <f t="shared" si="1347"/>
        <v>36740</v>
      </c>
      <c r="B43380" s="2" t="str">
        <f>"34714"</f>
        <v>34714</v>
      </c>
      <c r="C43380" s="1">
        <v>9.1879949845232092E-3</v>
      </c>
      <c r="D43380" s="1">
        <v>2.2578199676983402E-3</v>
      </c>
      <c r="E43380" s="1">
        <v>5.2746768276361504E-3</v>
      </c>
      <c r="F43380" s="1">
        <v>8.3913056830695297E-3</v>
      </c>
    </row>
    <row r="43381" spans="1:6" x14ac:dyDescent="0.25">
      <c r="A43381" s="2" t="str">
        <f t="shared" si="1347"/>
        <v>36740</v>
      </c>
      <c r="B43381" s="2" t="str">
        <f>"34778"</f>
        <v>34778</v>
      </c>
      <c r="C43381" s="1">
        <v>5.89310067563511E-4</v>
      </c>
      <c r="D43381" s="1">
        <v>2.5627080655262202E-3</v>
      </c>
      <c r="E43381" s="1">
        <v>3.1490607926186E-5</v>
      </c>
      <c r="F43381" s="1">
        <v>7.3851679504184599E-4</v>
      </c>
    </row>
    <row r="43382" spans="1:6" x14ac:dyDescent="0.25">
      <c r="A43382" s="2" t="str">
        <f t="shared" si="1347"/>
        <v>36740</v>
      </c>
      <c r="B43382" s="2" t="str">
        <f>"32836"</f>
        <v>32836</v>
      </c>
      <c r="C43382" s="1">
        <v>8.0541860883931206E-3</v>
      </c>
      <c r="D43382" s="1">
        <v>1.9117307755693899E-3</v>
      </c>
      <c r="E43382" s="1">
        <v>3.47971217584355E-3</v>
      </c>
      <c r="F43382" s="1">
        <v>7.2966921759629599E-3</v>
      </c>
    </row>
    <row r="43383" spans="1:6" x14ac:dyDescent="0.25">
      <c r="A43383" s="2" t="str">
        <f t="shared" si="1347"/>
        <v>36740</v>
      </c>
      <c r="B43383" s="2" t="str">
        <f>"32829"</f>
        <v>32829</v>
      </c>
      <c r="C43383" s="1">
        <v>6.3361400951520101E-3</v>
      </c>
      <c r="D43383" s="1">
        <v>1.20307195359108E-3</v>
      </c>
      <c r="E43383" s="1">
        <v>3.1333154886555E-3</v>
      </c>
      <c r="F43383" s="1">
        <v>5.7319140161713198E-3</v>
      </c>
    </row>
    <row r="43384" spans="1:6" x14ac:dyDescent="0.25">
      <c r="A43384" s="2" t="str">
        <f t="shared" si="1347"/>
        <v>36740</v>
      </c>
      <c r="B43384" s="2" t="str">
        <f>"32856"</f>
        <v>32856</v>
      </c>
      <c r="C43384" s="1">
        <v>9.4272700908653499E-4</v>
      </c>
      <c r="D43384" s="1">
        <v>4.2931540261709304E-3</v>
      </c>
      <c r="E43384" s="1">
        <v>3.1490607926186E-5</v>
      </c>
      <c r="F43384" s="1">
        <v>1.1977133765134101E-3</v>
      </c>
    </row>
    <row r="43385" spans="1:6" x14ac:dyDescent="0.25">
      <c r="A43385" s="2" t="str">
        <f t="shared" si="1347"/>
        <v>36740</v>
      </c>
      <c r="B43385" s="2" t="str">
        <f>"32872"</f>
        <v>32872</v>
      </c>
      <c r="C43385" s="1">
        <v>1.0543323590411699E-3</v>
      </c>
      <c r="D43385" s="1">
        <v>2.5791885032466402E-3</v>
      </c>
      <c r="E43385" s="1">
        <v>3.1490607926186E-5</v>
      </c>
      <c r="F43385" s="1">
        <v>1.1421418156983801E-3</v>
      </c>
    </row>
    <row r="43386" spans="1:6" x14ac:dyDescent="0.25">
      <c r="A43386" s="2" t="str">
        <f t="shared" si="1347"/>
        <v>36740</v>
      </c>
      <c r="B43386" s="2" t="str">
        <f>"32867"</f>
        <v>32867</v>
      </c>
      <c r="C43386" s="1">
        <v>1.1701651843728799E-3</v>
      </c>
      <c r="D43386" s="1">
        <v>2.7357526615906899E-3</v>
      </c>
      <c r="E43386" s="1">
        <v>3.1490607926186E-5</v>
      </c>
      <c r="F43386" s="1">
        <v>1.2562097563187E-3</v>
      </c>
    </row>
    <row r="43387" spans="1:6" x14ac:dyDescent="0.25">
      <c r="A43387" s="2" t="str">
        <f t="shared" si="1347"/>
        <v>36740</v>
      </c>
      <c r="B43387" s="2" t="str">
        <f>"32861"</f>
        <v>32861</v>
      </c>
      <c r="C43387" s="1">
        <v>1.3511011305114601E-3</v>
      </c>
      <c r="D43387" s="1">
        <v>3.2054451366228202E-3</v>
      </c>
      <c r="E43387" s="1">
        <v>3.1490607926186E-5</v>
      </c>
      <c r="F43387" s="1">
        <v>1.45436624290914E-3</v>
      </c>
    </row>
    <row r="43388" spans="1:6" x14ac:dyDescent="0.25">
      <c r="A43388" s="2" t="str">
        <f t="shared" si="1347"/>
        <v>36740</v>
      </c>
      <c r="B43388" s="2" t="str">
        <f>"32859"</f>
        <v>32859</v>
      </c>
      <c r="C43388" s="1">
        <v>1.3291182585507E-3</v>
      </c>
      <c r="D43388" s="1">
        <v>3.13128316688091E-3</v>
      </c>
      <c r="E43388" s="1">
        <v>3.1490607926186E-5</v>
      </c>
      <c r="F43388" s="1">
        <v>1.4287740767443199E-3</v>
      </c>
    </row>
    <row r="43389" spans="1:6" x14ac:dyDescent="0.25">
      <c r="A43389" s="2" t="str">
        <f t="shared" si="1347"/>
        <v>36740</v>
      </c>
      <c r="B43389" s="2" t="str">
        <f>"32839"</f>
        <v>32839</v>
      </c>
      <c r="C43389" s="1">
        <v>1.9174137320237102E-2</v>
      </c>
      <c r="D43389" s="1">
        <v>1.0555720359932699E-2</v>
      </c>
      <c r="E43389" s="1">
        <v>4.0811827872337003E-2</v>
      </c>
      <c r="F43389" s="1">
        <v>1.9414217252629699E-2</v>
      </c>
    </row>
    <row r="43390" spans="1:6" x14ac:dyDescent="0.25">
      <c r="A43390" s="2" t="str">
        <f t="shared" ref="A43390:A43421" si="1348">"36740"</f>
        <v>36740</v>
      </c>
      <c r="B43390" s="2" t="str">
        <f>"32816"</f>
        <v>32816</v>
      </c>
      <c r="C43390" s="1">
        <v>0</v>
      </c>
      <c r="D43390" s="1">
        <v>8.2402188602129192E-6</v>
      </c>
      <c r="E43390" s="1">
        <v>3.2592779203602499E-3</v>
      </c>
      <c r="F43390" s="1">
        <v>1.52090587493766E-4</v>
      </c>
    </row>
    <row r="43391" spans="1:6" x14ac:dyDescent="0.25">
      <c r="A43391" s="2" t="str">
        <f t="shared" si="1348"/>
        <v>36740</v>
      </c>
      <c r="B43391" s="2" t="str">
        <f>"32812"</f>
        <v>32812</v>
      </c>
      <c r="C43391" s="1">
        <v>1.25995676138184E-2</v>
      </c>
      <c r="D43391" s="1">
        <v>5.2242987573749896E-3</v>
      </c>
      <c r="E43391" s="1">
        <v>1.64695879453952E-2</v>
      </c>
      <c r="F43391" s="1">
        <v>1.2124837124142401E-2</v>
      </c>
    </row>
    <row r="43392" spans="1:6" x14ac:dyDescent="0.25">
      <c r="A43392" s="2" t="str">
        <f t="shared" si="1348"/>
        <v>36740</v>
      </c>
      <c r="B43392" s="2" t="str">
        <f>"32756"</f>
        <v>32756</v>
      </c>
      <c r="C43392" s="1">
        <v>8.87769829184629E-4</v>
      </c>
      <c r="D43392" s="1">
        <v>2.9005570387949501E-3</v>
      </c>
      <c r="E43392" s="1">
        <v>3.1490607926186E-5</v>
      </c>
      <c r="F43392" s="1">
        <v>1.0266114655829201E-3</v>
      </c>
    </row>
    <row r="43393" spans="1:6" x14ac:dyDescent="0.25">
      <c r="A43393" s="2" t="str">
        <f t="shared" si="1348"/>
        <v>36740</v>
      </c>
      <c r="B43393" s="2" t="str">
        <f>"32752"</f>
        <v>32752</v>
      </c>
      <c r="C43393" s="1">
        <v>1.23273181995351E-3</v>
      </c>
      <c r="D43393" s="1">
        <v>3.7080984870958098E-3</v>
      </c>
      <c r="E43393" s="1">
        <v>3.1490607926186E-5</v>
      </c>
      <c r="F43393" s="1">
        <v>1.39660106785141E-3</v>
      </c>
    </row>
    <row r="43394" spans="1:6" x14ac:dyDescent="0.25">
      <c r="A43394" s="2" t="str">
        <f t="shared" si="1348"/>
        <v>36740</v>
      </c>
      <c r="B43394" s="2" t="str">
        <f>"32746"</f>
        <v>32746</v>
      </c>
      <c r="C43394" s="1">
        <v>1.63797760959941E-2</v>
      </c>
      <c r="D43394" s="1">
        <v>1.6571080127888101E-2</v>
      </c>
      <c r="E43394" s="1">
        <v>2.5649100155878499E-2</v>
      </c>
      <c r="F43394" s="1">
        <v>1.68272148557406E-2</v>
      </c>
    </row>
    <row r="43395" spans="1:6" x14ac:dyDescent="0.25">
      <c r="A43395" s="2" t="str">
        <f t="shared" si="1348"/>
        <v>36740</v>
      </c>
      <c r="B43395" s="2" t="str">
        <f>"32801"</f>
        <v>32801</v>
      </c>
      <c r="C43395" s="1">
        <v>1.00022067421468E-2</v>
      </c>
      <c r="D43395" s="1">
        <v>2.3229176966940199E-2</v>
      </c>
      <c r="E43395" s="1">
        <v>1.2202610571397E-2</v>
      </c>
      <c r="F43395" s="1">
        <v>1.12781020264608E-2</v>
      </c>
    </row>
    <row r="43396" spans="1:6" x14ac:dyDescent="0.25">
      <c r="A43396" s="2" t="str">
        <f t="shared" si="1348"/>
        <v>36740</v>
      </c>
      <c r="B43396" s="2" t="str">
        <f>"32727"</f>
        <v>32727</v>
      </c>
      <c r="C43396" s="1">
        <v>1.19299355140905E-3</v>
      </c>
      <c r="D43396" s="1">
        <v>2.4720656580638702E-3</v>
      </c>
      <c r="E43396" s="1">
        <v>3.1490607926186E-5</v>
      </c>
      <c r="F43396" s="1">
        <v>1.2525537325808701E-3</v>
      </c>
    </row>
    <row r="43397" spans="1:6" x14ac:dyDescent="0.25">
      <c r="A43397" s="2" t="str">
        <f t="shared" si="1348"/>
        <v>36740</v>
      </c>
      <c r="B43397" s="2" t="str">
        <f>"32771"</f>
        <v>32771</v>
      </c>
      <c r="C43397" s="1">
        <v>2.0673200088945999E-2</v>
      </c>
      <c r="D43397" s="1">
        <v>2.7291604865025201E-2</v>
      </c>
      <c r="E43397" s="1">
        <v>1.3887358095447999E-2</v>
      </c>
      <c r="F43397" s="1">
        <v>2.09453599940333E-2</v>
      </c>
    </row>
    <row r="43398" spans="1:6" x14ac:dyDescent="0.25">
      <c r="A43398" s="2" t="str">
        <f t="shared" si="1348"/>
        <v>36740</v>
      </c>
      <c r="B43398" s="2" t="str">
        <f>"32159"</f>
        <v>32159</v>
      </c>
      <c r="C43398" s="1">
        <v>1.07470879035865E-2</v>
      </c>
      <c r="D43398" s="1">
        <v>6.6333761824713998E-3</v>
      </c>
      <c r="E43398" s="1">
        <v>2.5822298499472499E-3</v>
      </c>
      <c r="F43398" s="1">
        <v>1.00028809467054E-2</v>
      </c>
    </row>
    <row r="43399" spans="1:6" x14ac:dyDescent="0.25">
      <c r="A43399" s="2" t="str">
        <f t="shared" si="1348"/>
        <v>36740</v>
      </c>
      <c r="B43399" s="2" t="str">
        <f>"34758"</f>
        <v>34758</v>
      </c>
      <c r="C43399" s="1">
        <v>1.3762968837587999E-2</v>
      </c>
      <c r="D43399" s="1">
        <v>3.02416032169814E-3</v>
      </c>
      <c r="E43399" s="1">
        <v>6.4555746248681301E-4</v>
      </c>
      <c r="F43399" s="1">
        <v>1.2200882417889299E-2</v>
      </c>
    </row>
    <row r="43400" spans="1:6" x14ac:dyDescent="0.25">
      <c r="A43400" s="2" t="str">
        <f t="shared" si="1348"/>
        <v>36740</v>
      </c>
      <c r="B43400" s="2" t="str">
        <f>"34753"</f>
        <v>34753</v>
      </c>
      <c r="C43400" s="1">
        <v>1.8338788185728199E-3</v>
      </c>
      <c r="D43400" s="1">
        <v>6.4273707109660798E-4</v>
      </c>
      <c r="E43400" s="1">
        <v>2.6767016737258098E-4</v>
      </c>
      <c r="F43400" s="1">
        <v>1.6554475484898399E-3</v>
      </c>
    </row>
    <row r="43401" spans="1:6" x14ac:dyDescent="0.25">
      <c r="A43401" s="2" t="str">
        <f t="shared" si="1348"/>
        <v>36740</v>
      </c>
      <c r="B43401" s="2" t="str">
        <f>"34745"</f>
        <v>34745</v>
      </c>
      <c r="C43401" s="1">
        <v>2.1619309078334198E-3</v>
      </c>
      <c r="D43401" s="1">
        <v>2.62038959754771E-3</v>
      </c>
      <c r="E43401" s="1">
        <v>3.1490607926186E-5</v>
      </c>
      <c r="F43401" s="1">
        <v>2.1036760587479098E-3</v>
      </c>
    </row>
    <row r="43402" spans="1:6" x14ac:dyDescent="0.25">
      <c r="A43402" s="2" t="str">
        <f t="shared" si="1348"/>
        <v>36740</v>
      </c>
      <c r="B43402" s="2" t="str">
        <f>"34731"</f>
        <v>34731</v>
      </c>
      <c r="C43402" s="1">
        <v>6.1822599914266698E-3</v>
      </c>
      <c r="D43402" s="1">
        <v>3.7245789248162402E-3</v>
      </c>
      <c r="E43402" s="1">
        <v>2.7239375856150899E-3</v>
      </c>
      <c r="F43402" s="1">
        <v>5.80357208143281E-3</v>
      </c>
    </row>
    <row r="43403" spans="1:6" x14ac:dyDescent="0.25">
      <c r="A43403" s="2" t="str">
        <f t="shared" si="1348"/>
        <v>36740</v>
      </c>
      <c r="B43403" s="2" t="str">
        <f>"34736"</f>
        <v>34736</v>
      </c>
      <c r="C43403" s="1">
        <v>8.3805471875029007E-3</v>
      </c>
      <c r="D43403" s="1">
        <v>4.3673159959128497E-3</v>
      </c>
      <c r="E43403" s="1">
        <v>1.4170773566783701E-3</v>
      </c>
      <c r="F43403" s="1">
        <v>7.7010484013670596E-3</v>
      </c>
    </row>
    <row r="43404" spans="1:6" x14ac:dyDescent="0.25">
      <c r="A43404" s="2" t="str">
        <f t="shared" si="1348"/>
        <v>36740</v>
      </c>
      <c r="B43404" s="2" t="str">
        <f>"34770"</f>
        <v>34770</v>
      </c>
      <c r="C43404" s="1">
        <v>1.6064406432864701E-3</v>
      </c>
      <c r="D43404" s="1">
        <v>4.0459474603645402E-3</v>
      </c>
      <c r="E43404" s="1">
        <v>3.1490607926186E-5</v>
      </c>
      <c r="F43404" s="1">
        <v>1.74977296092588E-3</v>
      </c>
    </row>
    <row r="43405" spans="1:6" x14ac:dyDescent="0.25">
      <c r="A43405" s="2" t="str">
        <f t="shared" si="1348"/>
        <v>36740</v>
      </c>
      <c r="B43405" s="2" t="str">
        <f>"34761"</f>
        <v>34761</v>
      </c>
      <c r="C43405" s="1">
        <v>1.53026153699167E-2</v>
      </c>
      <c r="D43405" s="1">
        <v>1.31101882065987E-2</v>
      </c>
      <c r="E43405" s="1">
        <v>6.2981215852372001E-3</v>
      </c>
      <c r="F43405" s="1">
        <v>1.46899033786046E-2</v>
      </c>
    </row>
    <row r="43406" spans="1:6" x14ac:dyDescent="0.25">
      <c r="A43406" s="2" t="str">
        <f t="shared" si="1348"/>
        <v>36740</v>
      </c>
      <c r="B43406" s="2" t="str">
        <f>"34786"</f>
        <v>34786</v>
      </c>
      <c r="C43406" s="1">
        <v>1.5851341673860399E-2</v>
      </c>
      <c r="D43406" s="1">
        <v>9.8388213190942295E-3</v>
      </c>
      <c r="E43406" s="1">
        <v>5.1802050038575898E-3</v>
      </c>
      <c r="F43406" s="1">
        <v>1.4822251437914101E-2</v>
      </c>
    </row>
    <row r="43407" spans="1:6" x14ac:dyDescent="0.25">
      <c r="A43407" s="2" t="str">
        <f t="shared" si="1348"/>
        <v>36740</v>
      </c>
      <c r="B43407" s="2" t="str">
        <f>"32835"</f>
        <v>32835</v>
      </c>
      <c r="C43407" s="1">
        <v>1.6866781259432501E-2</v>
      </c>
      <c r="D43407" s="1">
        <v>9.1466429348363402E-3</v>
      </c>
      <c r="E43407" s="1">
        <v>2.3743918376344202E-2</v>
      </c>
      <c r="F43407" s="1">
        <v>1.6501097538326001E-2</v>
      </c>
    </row>
    <row r="43408" spans="1:6" x14ac:dyDescent="0.25">
      <c r="A43408" s="2" t="str">
        <f t="shared" si="1348"/>
        <v>36740</v>
      </c>
      <c r="B43408" s="2" t="str">
        <f>"32833"</f>
        <v>32833</v>
      </c>
      <c r="C43408" s="1">
        <v>3.30250376456682E-3</v>
      </c>
      <c r="D43408" s="1">
        <v>2.5544678466660003E-4</v>
      </c>
      <c r="E43408" s="1">
        <v>4.7235911889279003E-5</v>
      </c>
      <c r="F43408" s="1">
        <v>2.8809467054107599E-3</v>
      </c>
    </row>
    <row r="43409" spans="1:6" x14ac:dyDescent="0.25">
      <c r="A43409" s="2" t="str">
        <f t="shared" si="1348"/>
        <v>36740</v>
      </c>
      <c r="B43409" s="2" t="str">
        <f>"32827"</f>
        <v>32827</v>
      </c>
      <c r="C43409" s="1">
        <v>6.4325265337492003E-3</v>
      </c>
      <c r="D43409" s="1">
        <v>5.02653350472988E-3</v>
      </c>
      <c r="E43409" s="1">
        <v>3.9835619026625298E-3</v>
      </c>
      <c r="F43409" s="1">
        <v>6.1940354166331504E-3</v>
      </c>
    </row>
    <row r="43410" spans="1:6" x14ac:dyDescent="0.25">
      <c r="A43410" s="2" t="str">
        <f t="shared" si="1348"/>
        <v>36740</v>
      </c>
      <c r="B43410" s="2" t="str">
        <f>"32820"</f>
        <v>32820</v>
      </c>
      <c r="C43410" s="1">
        <v>2.99981652756863E-3</v>
      </c>
      <c r="D43410" s="1">
        <v>1.0877088895481001E-3</v>
      </c>
      <c r="E43410" s="1">
        <v>2.8341547133567402E-4</v>
      </c>
      <c r="F43410" s="1">
        <v>2.7039951564997501E-3</v>
      </c>
    </row>
    <row r="43411" spans="1:6" x14ac:dyDescent="0.25">
      <c r="A43411" s="2" t="str">
        <f t="shared" si="1348"/>
        <v>36740</v>
      </c>
      <c r="B43411" s="2" t="str">
        <f>"32862"</f>
        <v>32862</v>
      </c>
      <c r="C43411" s="1">
        <v>7.5079962696757195E-4</v>
      </c>
      <c r="D43411" s="1">
        <v>3.65865717393453E-3</v>
      </c>
      <c r="E43411" s="1">
        <v>4.7235911889279003E-5</v>
      </c>
      <c r="F43411" s="1">
        <v>9.7615833800085601E-4</v>
      </c>
    </row>
    <row r="43412" spans="1:6" x14ac:dyDescent="0.25">
      <c r="A43412" s="2" t="str">
        <f t="shared" si="1348"/>
        <v>36740</v>
      </c>
      <c r="B43412" s="2" t="str">
        <f>"32807"</f>
        <v>32807</v>
      </c>
      <c r="C43412" s="1">
        <v>1.1204500739385399E-2</v>
      </c>
      <c r="D43412" s="1">
        <v>1.51949635782326E-2</v>
      </c>
      <c r="E43412" s="1">
        <v>2.3397521689156198E-2</v>
      </c>
      <c r="F43412" s="1">
        <v>1.2124837124142401E-2</v>
      </c>
    </row>
    <row r="43413" spans="1:6" x14ac:dyDescent="0.25">
      <c r="A43413" s="2" t="str">
        <f t="shared" si="1348"/>
        <v>36740</v>
      </c>
      <c r="B43413" s="2" t="str">
        <f>"32809"</f>
        <v>32809</v>
      </c>
      <c r="C43413" s="1">
        <v>9.0214324546666596E-3</v>
      </c>
      <c r="D43413" s="1">
        <v>2.85029170374765E-2</v>
      </c>
      <c r="E43413" s="1">
        <v>2.4011588543716801E-2</v>
      </c>
      <c r="F43413" s="1">
        <v>1.1446279118400999E-2</v>
      </c>
    </row>
    <row r="43414" spans="1:6" x14ac:dyDescent="0.25">
      <c r="A43414" s="2" t="str">
        <f t="shared" si="1348"/>
        <v>36740</v>
      </c>
      <c r="B43414" s="2" t="str">
        <f>"32793"</f>
        <v>32793</v>
      </c>
      <c r="C43414" s="1">
        <v>1.1168989946217999E-3</v>
      </c>
      <c r="D43414" s="1">
        <v>2.4473450014832298E-3</v>
      </c>
      <c r="E43414" s="1">
        <v>3.1490607926186E-5</v>
      </c>
      <c r="F43414" s="1">
        <v>1.18455169105721E-3</v>
      </c>
    </row>
    <row r="43415" spans="1:6" x14ac:dyDescent="0.25">
      <c r="A43415" s="2" t="str">
        <f t="shared" si="1348"/>
        <v>36740</v>
      </c>
      <c r="B43415" s="2" t="str">
        <f>"32794"</f>
        <v>32794</v>
      </c>
      <c r="C43415" s="1">
        <v>1.41620425131833E-3</v>
      </c>
      <c r="D43415" s="1">
        <v>4.4414779656547602E-3</v>
      </c>
      <c r="E43415" s="1">
        <v>3.1490607926186E-5</v>
      </c>
      <c r="F43415" s="1">
        <v>1.6203497206066599E-3</v>
      </c>
    </row>
    <row r="43416" spans="1:6" x14ac:dyDescent="0.25">
      <c r="A43416" s="2" t="str">
        <f t="shared" si="1348"/>
        <v>36740</v>
      </c>
      <c r="B43416" s="2" t="str">
        <f>"32805"</f>
        <v>32805</v>
      </c>
      <c r="C43416" s="1">
        <v>8.6511056116353596E-3</v>
      </c>
      <c r="D43416" s="1">
        <v>1.6389795312963501E-2</v>
      </c>
      <c r="E43416" s="1">
        <v>1.6753003416730899E-2</v>
      </c>
      <c r="F43416" s="1">
        <v>9.7140550714167606E-3</v>
      </c>
    </row>
    <row r="43417" spans="1:6" x14ac:dyDescent="0.25">
      <c r="A43417" s="2" t="str">
        <f t="shared" si="1348"/>
        <v>36740</v>
      </c>
      <c r="B43417" s="2" t="str">
        <f>"32732"</f>
        <v>32732</v>
      </c>
      <c r="C43417" s="1">
        <v>1.80005901555626E-3</v>
      </c>
      <c r="D43417" s="1">
        <v>2.8840766010745201E-4</v>
      </c>
      <c r="E43417" s="1">
        <v>6.7704807041299897E-4</v>
      </c>
      <c r="F43417" s="1">
        <v>1.61376887787857E-3</v>
      </c>
    </row>
    <row r="43418" spans="1:6" x14ac:dyDescent="0.25">
      <c r="A43418" s="2" t="str">
        <f t="shared" si="1348"/>
        <v>36740</v>
      </c>
      <c r="B43418" s="2" t="str">
        <f>"32712"</f>
        <v>32712</v>
      </c>
      <c r="C43418" s="1">
        <v>1.53415081433858E-2</v>
      </c>
      <c r="D43418" s="1">
        <v>6.0071195490952198E-3</v>
      </c>
      <c r="E43418" s="1">
        <v>6.2981215852372001E-3</v>
      </c>
      <c r="F43418" s="1">
        <v>1.4093240304590599E-2</v>
      </c>
    </row>
    <row r="43419" spans="1:6" x14ac:dyDescent="0.25">
      <c r="A43419" s="2" t="str">
        <f t="shared" si="1348"/>
        <v>36740</v>
      </c>
      <c r="B43419" s="2" t="str">
        <f>"32709"</f>
        <v>32709</v>
      </c>
      <c r="C43419" s="1">
        <v>9.99375179139269E-4</v>
      </c>
      <c r="D43419" s="1">
        <v>1.9776525264510999E-4</v>
      </c>
      <c r="E43419" s="1">
        <v>3.1490607926185998E-4</v>
      </c>
      <c r="F43419" s="1">
        <v>8.9645702051614198E-4</v>
      </c>
    </row>
    <row r="43420" spans="1:6" x14ac:dyDescent="0.25">
      <c r="A43420" s="2" t="str">
        <f t="shared" si="1348"/>
        <v>36740</v>
      </c>
      <c r="B43420" s="2" t="str">
        <f>"32162"</f>
        <v>32162</v>
      </c>
      <c r="C43420" s="1">
        <v>8.4549507541393295E-7</v>
      </c>
      <c r="D43420" s="1">
        <v>0</v>
      </c>
      <c r="E43420" s="1">
        <v>0</v>
      </c>
      <c r="F43420" s="1">
        <v>7.3120474756618398E-7</v>
      </c>
    </row>
    <row r="43421" spans="1:6" x14ac:dyDescent="0.25">
      <c r="A43421" s="2" t="str">
        <f t="shared" si="1348"/>
        <v>36740</v>
      </c>
      <c r="B43421" s="2" t="str">
        <f>"32163"</f>
        <v>32163</v>
      </c>
      <c r="C43421" s="1">
        <v>1.8862995132484801E-3</v>
      </c>
      <c r="D43421" s="1">
        <v>1.0712284518276801E-4</v>
      </c>
      <c r="E43421" s="1">
        <v>4.7235911889279003E-5</v>
      </c>
      <c r="F43421" s="1">
        <v>1.64301706778121E-3</v>
      </c>
    </row>
    <row r="43422" spans="1:6" x14ac:dyDescent="0.25">
      <c r="A43422" s="2" t="str">
        <f t="shared" ref="A43422:A43453" si="1349">"36740"</f>
        <v>36740</v>
      </c>
      <c r="B43422" s="2" t="str">
        <f>"32102"</f>
        <v>32102</v>
      </c>
      <c r="C43422" s="1">
        <v>1.1921480563336401E-3</v>
      </c>
      <c r="D43422" s="1">
        <v>6.3449685223639497E-4</v>
      </c>
      <c r="E43422" s="1">
        <v>3.1490607926185998E-4</v>
      </c>
      <c r="F43422" s="1">
        <v>1.1019255545822401E-3</v>
      </c>
    </row>
    <row r="43423" spans="1:6" x14ac:dyDescent="0.25">
      <c r="A43423" s="2" t="str">
        <f t="shared" si="1349"/>
        <v>36740</v>
      </c>
      <c r="B43423" s="2" t="str">
        <f>"34772"</f>
        <v>34772</v>
      </c>
      <c r="C43423" s="1">
        <v>1.02152715011511E-2</v>
      </c>
      <c r="D43423" s="1">
        <v>1.3925969873759801E-3</v>
      </c>
      <c r="E43423" s="1">
        <v>3.7788729511423198E-3</v>
      </c>
      <c r="F43423" s="1">
        <v>9.1334785018492102E-3</v>
      </c>
    </row>
    <row r="43424" spans="1:6" x14ac:dyDescent="0.25">
      <c r="A43424" s="2" t="str">
        <f t="shared" si="1349"/>
        <v>36740</v>
      </c>
      <c r="B43424" s="2" t="str">
        <f>"32832"</f>
        <v>32832</v>
      </c>
      <c r="C43424" s="1">
        <v>1.02228809568298E-2</v>
      </c>
      <c r="D43424" s="1">
        <v>1.9776525264511E-3</v>
      </c>
      <c r="E43424" s="1">
        <v>5.47936577915636E-3</v>
      </c>
      <c r="F43424" s="1">
        <v>9.2709449943916503E-3</v>
      </c>
    </row>
    <row r="43425" spans="1:6" x14ac:dyDescent="0.25">
      <c r="A43425" s="2" t="str">
        <f t="shared" si="1349"/>
        <v>36740</v>
      </c>
      <c r="B43425" s="2" t="str">
        <f>"32819"</f>
        <v>32819</v>
      </c>
      <c r="C43425" s="1">
        <v>1.0475683984378601E-2</v>
      </c>
      <c r="D43425" s="1">
        <v>3.9462408121559697E-2</v>
      </c>
      <c r="E43425" s="1">
        <v>1.03761553116782E-2</v>
      </c>
      <c r="F43425" s="1">
        <v>1.3043230287085599E-2</v>
      </c>
    </row>
    <row r="43426" spans="1:6" x14ac:dyDescent="0.25">
      <c r="A43426" s="2" t="str">
        <f t="shared" si="1349"/>
        <v>36740</v>
      </c>
      <c r="B43426" s="2" t="str">
        <f>"32762"</f>
        <v>32762</v>
      </c>
      <c r="C43426" s="1">
        <v>1.4948352933318301E-3</v>
      </c>
      <c r="D43426" s="1">
        <v>5.8423151718909596E-3</v>
      </c>
      <c r="E43426" s="1">
        <v>3.1490607926186E-5</v>
      </c>
      <c r="F43426" s="1">
        <v>1.8126565692165701E-3</v>
      </c>
    </row>
    <row r="43427" spans="1:6" x14ac:dyDescent="0.25">
      <c r="A43427" s="2" t="str">
        <f t="shared" si="1349"/>
        <v>36740</v>
      </c>
      <c r="B43427" s="2" t="str">
        <f>"32751"</f>
        <v>32751</v>
      </c>
      <c r="C43427" s="1">
        <v>9.37315840603886E-3</v>
      </c>
      <c r="D43427" s="1">
        <v>1.6735884505092401E-2</v>
      </c>
      <c r="E43427" s="1">
        <v>1.36984144478909E-2</v>
      </c>
      <c r="F43427" s="1">
        <v>1.02273608042082E-2</v>
      </c>
    </row>
    <row r="43428" spans="1:6" x14ac:dyDescent="0.25">
      <c r="A43428" s="2" t="str">
        <f t="shared" si="1349"/>
        <v>36740</v>
      </c>
      <c r="B43428" s="2" t="str">
        <f>"32792"</f>
        <v>32792</v>
      </c>
      <c r="C43428" s="1">
        <v>2.0697719446132998E-2</v>
      </c>
      <c r="D43428" s="1">
        <v>2.16800158212202E-2</v>
      </c>
      <c r="E43428" s="1">
        <v>4.1095243343672698E-2</v>
      </c>
      <c r="F43428" s="1">
        <v>2.1732136302414499E-2</v>
      </c>
    </row>
    <row r="43429" spans="1:6" x14ac:dyDescent="0.25">
      <c r="A43429" s="2" t="str">
        <f t="shared" si="1349"/>
        <v>36740</v>
      </c>
      <c r="B43429" s="2" t="str">
        <f>"32784"</f>
        <v>32784</v>
      </c>
      <c r="C43429" s="1">
        <v>3.0632286582246799E-3</v>
      </c>
      <c r="D43429" s="1">
        <v>1.73044596064471E-3</v>
      </c>
      <c r="E43429" s="1">
        <v>2.0941254270913602E-3</v>
      </c>
      <c r="F43429" s="1">
        <v>2.8999580288474802E-3</v>
      </c>
    </row>
    <row r="43430" spans="1:6" x14ac:dyDescent="0.25">
      <c r="A43430" s="2" t="str">
        <f t="shared" si="1349"/>
        <v>36740</v>
      </c>
      <c r="B43430" s="2" t="str">
        <f>"32736"</f>
        <v>32736</v>
      </c>
      <c r="C43430" s="1">
        <v>4.1310889384724696E-3</v>
      </c>
      <c r="D43430" s="1">
        <v>7.0041860311809796E-4</v>
      </c>
      <c r="E43430" s="1">
        <v>6.9279337437609201E-4</v>
      </c>
      <c r="F43430" s="1">
        <v>3.6669918090444101E-3</v>
      </c>
    </row>
    <row r="43431" spans="1:6" x14ac:dyDescent="0.25">
      <c r="A43431" s="2" t="str">
        <f t="shared" si="1349"/>
        <v>36740</v>
      </c>
      <c r="B43431" s="2" t="str">
        <f>"32726"</f>
        <v>32726</v>
      </c>
      <c r="C43431" s="1">
        <v>1.01958251144166E-2</v>
      </c>
      <c r="D43431" s="1">
        <v>8.7016711163848508E-3</v>
      </c>
      <c r="E43431" s="1">
        <v>1.22498464832863E-2</v>
      </c>
      <c r="F43431" s="1">
        <v>1.0158627557937E-2</v>
      </c>
    </row>
    <row r="43432" spans="1:6" x14ac:dyDescent="0.25">
      <c r="A43432" s="2" t="str">
        <f t="shared" si="1349"/>
        <v>36740</v>
      </c>
      <c r="B43432" s="2" t="str">
        <f>"32719"</f>
        <v>32719</v>
      </c>
      <c r="C43432" s="1">
        <v>1.01882156587378E-3</v>
      </c>
      <c r="D43432" s="1">
        <v>2.3237417185800399E-3</v>
      </c>
      <c r="E43432" s="1">
        <v>3.1490607926186E-5</v>
      </c>
      <c r="F43432" s="1">
        <v>1.08876386912604E-3</v>
      </c>
    </row>
    <row r="43433" spans="1:6" x14ac:dyDescent="0.25">
      <c r="A43433" s="2" t="str">
        <f t="shared" si="1349"/>
        <v>36740</v>
      </c>
      <c r="B43433" s="2" t="str">
        <f>"34748"</f>
        <v>34748</v>
      </c>
      <c r="C43433" s="1">
        <v>2.1687794179442801E-2</v>
      </c>
      <c r="D43433" s="1">
        <v>1.8524011997758601E-2</v>
      </c>
      <c r="E43433" s="1">
        <v>2.2657492402890798E-2</v>
      </c>
      <c r="F43433" s="1">
        <v>2.1452084884096698E-2</v>
      </c>
    </row>
    <row r="43434" spans="1:6" x14ac:dyDescent="0.25">
      <c r="A43434" s="2" t="str">
        <f t="shared" si="1349"/>
        <v>36740</v>
      </c>
      <c r="B43434" s="2" t="str">
        <f>"34743"</f>
        <v>34743</v>
      </c>
      <c r="C43434" s="1">
        <v>1.09516977118366E-2</v>
      </c>
      <c r="D43434" s="1">
        <v>2.29078084313919E-3</v>
      </c>
      <c r="E43434" s="1">
        <v>5.4478751712301798E-3</v>
      </c>
      <c r="F43434" s="1">
        <v>9.9275668577060907E-3</v>
      </c>
    </row>
    <row r="43435" spans="1:6" x14ac:dyDescent="0.25">
      <c r="A43435" s="2" t="str">
        <f t="shared" si="1349"/>
        <v>36740</v>
      </c>
      <c r="B43435" s="2" t="str">
        <f>"34769"</f>
        <v>34769</v>
      </c>
      <c r="C43435" s="1">
        <v>9.9404856016416104E-3</v>
      </c>
      <c r="D43435" s="1">
        <v>8.5121460825999494E-3</v>
      </c>
      <c r="E43435" s="1">
        <v>9.6046354174867295E-3</v>
      </c>
      <c r="F43435" s="1">
        <v>9.7981436173868695E-3</v>
      </c>
    </row>
    <row r="43436" spans="1:6" x14ac:dyDescent="0.25">
      <c r="A43436" s="2" t="str">
        <f t="shared" si="1349"/>
        <v>36740</v>
      </c>
      <c r="B43436" s="2" t="str">
        <f>"32834"</f>
        <v>32834</v>
      </c>
      <c r="C43436" s="1">
        <v>0</v>
      </c>
      <c r="D43436" s="1">
        <v>0</v>
      </c>
      <c r="E43436" s="1">
        <v>1.5745303963093E-5</v>
      </c>
      <c r="F43436" s="1">
        <v>7.3120474756618398E-7</v>
      </c>
    </row>
    <row r="43437" spans="1:6" x14ac:dyDescent="0.25">
      <c r="A43437" s="2" t="str">
        <f t="shared" si="1349"/>
        <v>36740</v>
      </c>
      <c r="B43437" s="2" t="str">
        <f>"32837"</f>
        <v>32837</v>
      </c>
      <c r="C43437" s="1">
        <v>1.6781386256815699E-2</v>
      </c>
      <c r="D43437" s="1">
        <v>1.5532812551501299E-2</v>
      </c>
      <c r="E43437" s="1">
        <v>1.89416006676008E-2</v>
      </c>
      <c r="F43437" s="1">
        <v>1.6770912090177999E-2</v>
      </c>
    </row>
    <row r="43438" spans="1:6" x14ac:dyDescent="0.25">
      <c r="A43438" s="2" t="str">
        <f t="shared" si="1349"/>
        <v>36740</v>
      </c>
      <c r="B43438" s="2" t="str">
        <f>"32860"</f>
        <v>32860</v>
      </c>
      <c r="C43438" s="1">
        <v>1.0484138935132701E-3</v>
      </c>
      <c r="D43438" s="1">
        <v>2.6615906918487698E-3</v>
      </c>
      <c r="E43438" s="1">
        <v>3.1490607926186E-5</v>
      </c>
      <c r="F43438" s="1">
        <v>1.14433542994107E-3</v>
      </c>
    </row>
    <row r="43439" spans="1:6" x14ac:dyDescent="0.25">
      <c r="A43439" s="2" t="str">
        <f t="shared" si="1349"/>
        <v>36740</v>
      </c>
      <c r="B43439" s="2" t="str">
        <f>"32858"</f>
        <v>32858</v>
      </c>
      <c r="C43439" s="1">
        <v>9.4779997953901905E-4</v>
      </c>
      <c r="D43439" s="1">
        <v>1.67276442862322E-3</v>
      </c>
      <c r="E43439" s="1">
        <v>3.1490607926186E-5</v>
      </c>
      <c r="F43439" s="1">
        <v>9.6957749527276096E-4</v>
      </c>
    </row>
    <row r="43440" spans="1:6" x14ac:dyDescent="0.25">
      <c r="A43440" s="2" t="str">
        <f t="shared" si="1349"/>
        <v>36740</v>
      </c>
      <c r="B43440" s="2" t="str">
        <f>"32855"</f>
        <v>32855</v>
      </c>
      <c r="C43440" s="1">
        <v>1.6799987148474801E-3</v>
      </c>
      <c r="D43440" s="1">
        <v>1.9529318698704599E-3</v>
      </c>
      <c r="E43440" s="1">
        <v>3.1490607926186E-5</v>
      </c>
      <c r="F43440" s="1">
        <v>1.6276617680823201E-3</v>
      </c>
    </row>
    <row r="43441" spans="1:6" x14ac:dyDescent="0.25">
      <c r="A43441" s="2" t="str">
        <f t="shared" si="1349"/>
        <v>36740</v>
      </c>
      <c r="B43441" s="2" t="str">
        <f>"32811"</f>
        <v>32811</v>
      </c>
      <c r="C43441" s="1">
        <v>1.40893299366977E-2</v>
      </c>
      <c r="D43441" s="1">
        <v>1.1791753188964599E-2</v>
      </c>
      <c r="E43441" s="1">
        <v>2.3350285777266899E-2</v>
      </c>
      <c r="F43441" s="1">
        <v>1.4315526547850701E-2</v>
      </c>
    </row>
    <row r="43442" spans="1:6" x14ac:dyDescent="0.25">
      <c r="A43442" s="2" t="str">
        <f t="shared" si="1349"/>
        <v>36740</v>
      </c>
      <c r="B43442" s="2" t="str">
        <f>"32767"</f>
        <v>32767</v>
      </c>
      <c r="C43442" s="1">
        <v>1.1448003321104601E-3</v>
      </c>
      <c r="D43442" s="1">
        <v>1.1536306404298E-4</v>
      </c>
      <c r="E43442" s="1">
        <v>1.5745303963092999E-4</v>
      </c>
      <c r="F43442" s="1">
        <v>1.0076001421462E-3</v>
      </c>
    </row>
    <row r="43443" spans="1:6" x14ac:dyDescent="0.25">
      <c r="A43443" s="2" t="str">
        <f t="shared" si="1349"/>
        <v>36740</v>
      </c>
      <c r="B43443" s="2" t="str">
        <f>"32747"</f>
        <v>32747</v>
      </c>
      <c r="C43443" s="1">
        <v>7.7616447922998998E-4</v>
      </c>
      <c r="D43443" s="1">
        <v>2.2495797488381198E-3</v>
      </c>
      <c r="E43443" s="1">
        <v>1.5745303963093E-5</v>
      </c>
      <c r="F43443" s="1">
        <v>8.7159605909889199E-4</v>
      </c>
    </row>
    <row r="43444" spans="1:6" x14ac:dyDescent="0.25">
      <c r="A43444" s="2" t="str">
        <f t="shared" si="1349"/>
        <v>36740</v>
      </c>
      <c r="B43444" s="2" t="str">
        <f>"32791"</f>
        <v>32791</v>
      </c>
      <c r="C43444" s="1">
        <v>1.07208775562486E-3</v>
      </c>
      <c r="D43444" s="1">
        <v>3.23840601206368E-3</v>
      </c>
      <c r="E43444" s="1">
        <v>3.1490607926186E-5</v>
      </c>
      <c r="F43444" s="1">
        <v>1.21599349520256E-3</v>
      </c>
    </row>
    <row r="43445" spans="1:6" x14ac:dyDescent="0.25">
      <c r="A43445" s="2" t="str">
        <f t="shared" si="1349"/>
        <v>36740</v>
      </c>
      <c r="B43445" s="2" t="str">
        <f>"32802"</f>
        <v>32802</v>
      </c>
      <c r="C43445" s="1">
        <v>2.0816088756691001E-3</v>
      </c>
      <c r="D43445" s="1">
        <v>5.11717591219222E-3</v>
      </c>
      <c r="E43445" s="1">
        <v>3.1490607926186E-5</v>
      </c>
      <c r="F43445" s="1">
        <v>2.2557666462416802E-3</v>
      </c>
    </row>
    <row r="43446" spans="1:6" x14ac:dyDescent="0.25">
      <c r="A43446" s="2" t="str">
        <f t="shared" si="1349"/>
        <v>36740</v>
      </c>
      <c r="B43446" s="2" t="str">
        <f>"32798"</f>
        <v>32798</v>
      </c>
      <c r="C43446" s="1">
        <v>2.1002097673282101E-3</v>
      </c>
      <c r="D43446" s="1">
        <v>1.24427304789215E-3</v>
      </c>
      <c r="E43446" s="1">
        <v>5.03849726818976E-4</v>
      </c>
      <c r="F43446" s="1">
        <v>1.95012306175901E-3</v>
      </c>
    </row>
    <row r="43447" spans="1:6" x14ac:dyDescent="0.25">
      <c r="A43447" s="2" t="str">
        <f t="shared" si="1349"/>
        <v>36740</v>
      </c>
      <c r="B43447" s="2" t="str">
        <f>"32730"</f>
        <v>32730</v>
      </c>
      <c r="C43447" s="1">
        <v>2.9448593476667198E-3</v>
      </c>
      <c r="D43447" s="1">
        <v>3.6998582682355998E-3</v>
      </c>
      <c r="E43447" s="1">
        <v>6.5815370565728698E-3</v>
      </c>
      <c r="F43447" s="1">
        <v>3.1807406519129E-3</v>
      </c>
    </row>
    <row r="43448" spans="1:6" x14ac:dyDescent="0.25">
      <c r="A43448" s="2" t="str">
        <f t="shared" si="1349"/>
        <v>36740</v>
      </c>
      <c r="B43448" s="2" t="str">
        <f>"32720"</f>
        <v>32720</v>
      </c>
      <c r="C43448" s="1">
        <v>1.0881521620577301E-3</v>
      </c>
      <c r="D43448" s="1">
        <v>5.7681532021490399E-5</v>
      </c>
      <c r="E43448" s="1">
        <v>1.73198343594023E-4</v>
      </c>
      <c r="F43448" s="1">
        <v>9.5422219557387102E-4</v>
      </c>
    </row>
    <row r="43449" spans="1:6" x14ac:dyDescent="0.25">
      <c r="A43449" s="2" t="str">
        <f t="shared" si="1349"/>
        <v>36740</v>
      </c>
      <c r="B43449" s="2" t="str">
        <f>"32715"</f>
        <v>32715</v>
      </c>
      <c r="C43449" s="1">
        <v>9.7739230717850604E-4</v>
      </c>
      <c r="D43449" s="1">
        <v>1.68100464748343E-3</v>
      </c>
      <c r="E43449" s="1">
        <v>1.5745303963093E-5</v>
      </c>
      <c r="F43449" s="1">
        <v>9.9516966143757698E-4</v>
      </c>
    </row>
    <row r="43450" spans="1:6" x14ac:dyDescent="0.25">
      <c r="A43450" s="2" t="str">
        <f t="shared" si="1349"/>
        <v>36740</v>
      </c>
      <c r="B43450" s="2" t="str">
        <f>"32704"</f>
        <v>32704</v>
      </c>
      <c r="C43450" s="1">
        <v>1.74002886520187E-3</v>
      </c>
      <c r="D43450" s="1">
        <v>5.01829328586967E-3</v>
      </c>
      <c r="E43450" s="1">
        <v>3.1490607926186E-5</v>
      </c>
      <c r="F43450" s="1">
        <v>1.9515854712541399E-3</v>
      </c>
    </row>
    <row r="43451" spans="1:6" x14ac:dyDescent="0.25">
      <c r="A43451" s="2" t="str">
        <f t="shared" si="1349"/>
        <v>36740</v>
      </c>
      <c r="B43451" s="2" t="str">
        <f>"32134"</f>
        <v>32134</v>
      </c>
      <c r="C43451" s="1">
        <v>0</v>
      </c>
      <c r="D43451" s="1">
        <v>8.2402188602129192E-6</v>
      </c>
      <c r="E43451" s="1">
        <v>0</v>
      </c>
      <c r="F43451" s="1">
        <v>7.3120474756618398E-7</v>
      </c>
    </row>
    <row r="43452" spans="1:6" x14ac:dyDescent="0.25">
      <c r="A43452" s="2" t="str">
        <f t="shared" si="1349"/>
        <v>36740</v>
      </c>
      <c r="B43452" s="2" t="str">
        <f>"34742"</f>
        <v>34742</v>
      </c>
      <c r="C43452" s="1">
        <v>2.0646989741608199E-3</v>
      </c>
      <c r="D43452" s="1">
        <v>2.82639506905303E-3</v>
      </c>
      <c r="E43452" s="1">
        <v>3.1490607926186E-5</v>
      </c>
      <c r="F43452" s="1">
        <v>2.03786763146695E-3</v>
      </c>
    </row>
    <row r="43453" spans="1:6" x14ac:dyDescent="0.25">
      <c r="A43453" s="2" t="str">
        <f t="shared" si="1349"/>
        <v>36740</v>
      </c>
      <c r="B43453" s="2" t="str">
        <f>"34739"</f>
        <v>34739</v>
      </c>
      <c r="C43453" s="1">
        <v>5.5633575962236797E-4</v>
      </c>
      <c r="D43453" s="1">
        <v>1.2360328290319299E-4</v>
      </c>
      <c r="E43453" s="1">
        <v>1.4170773566783701E-4</v>
      </c>
      <c r="F43453" s="1">
        <v>4.9868163784013797E-4</v>
      </c>
    </row>
    <row r="43454" spans="1:6" x14ac:dyDescent="0.25">
      <c r="A43454" s="2" t="str">
        <f t="shared" ref="A43454:A43485" si="1350">"36740"</f>
        <v>36740</v>
      </c>
      <c r="B43454" s="2" t="str">
        <f>"34787"</f>
        <v>34787</v>
      </c>
      <c r="C43454" s="1">
        <v>2.6974674886006099E-2</v>
      </c>
      <c r="D43454" s="1">
        <v>1.7073733478361101E-2</v>
      </c>
      <c r="E43454" s="1">
        <v>1.09429862543496E-2</v>
      </c>
      <c r="F43454" s="1">
        <v>2.5351599802867199E-2</v>
      </c>
    </row>
    <row r="43455" spans="1:6" x14ac:dyDescent="0.25">
      <c r="A43455" s="2" t="str">
        <f t="shared" si="1350"/>
        <v>36740</v>
      </c>
      <c r="B43455" s="2" t="str">
        <f>"34712"</f>
        <v>34712</v>
      </c>
      <c r="C43455" s="1">
        <v>7.5418160726922799E-4</v>
      </c>
      <c r="D43455" s="1">
        <v>3.4032103892679298E-3</v>
      </c>
      <c r="E43455" s="1">
        <v>3.1490607926186E-5</v>
      </c>
      <c r="F43455" s="1">
        <v>9.5568460506900298E-4</v>
      </c>
    </row>
    <row r="43456" spans="1:6" x14ac:dyDescent="0.25">
      <c r="A43456" s="2" t="str">
        <f t="shared" si="1350"/>
        <v>36740</v>
      </c>
      <c r="B43456" s="2" t="str">
        <f>"34705"</f>
        <v>34705</v>
      </c>
      <c r="C43456" s="1">
        <v>1.05686884426741E-3</v>
      </c>
      <c r="D43456" s="1">
        <v>3.1312831668809098E-4</v>
      </c>
      <c r="E43456" s="1">
        <v>9.4471823778558006E-5</v>
      </c>
      <c r="F43456" s="1">
        <v>9.4617894335064304E-4</v>
      </c>
    </row>
    <row r="43457" spans="1:6" x14ac:dyDescent="0.25">
      <c r="A43457" s="2" t="str">
        <f t="shared" si="1350"/>
        <v>36740</v>
      </c>
      <c r="B43457" s="2" t="str">
        <f>"34773"</f>
        <v>34773</v>
      </c>
      <c r="C43457" s="1">
        <v>1.84233376932696E-3</v>
      </c>
      <c r="D43457" s="1">
        <v>3.0488809782787803E-4</v>
      </c>
      <c r="E43457" s="1">
        <v>3.1490607926186E-5</v>
      </c>
      <c r="F43457" s="1">
        <v>1.6218121301017901E-3</v>
      </c>
    </row>
    <row r="43458" spans="1:6" x14ac:dyDescent="0.25">
      <c r="A43458" s="2" t="str">
        <f t="shared" si="1350"/>
        <v>36740</v>
      </c>
      <c r="B43458" s="2" t="str">
        <f>"34771"</f>
        <v>34771</v>
      </c>
      <c r="C43458" s="1">
        <v>8.4938435276083694E-3</v>
      </c>
      <c r="D43458" s="1">
        <v>3.0488809782787799E-3</v>
      </c>
      <c r="E43458" s="1">
        <v>8.0301050211774305E-4</v>
      </c>
      <c r="F43458" s="1">
        <v>7.6535200927752498E-3</v>
      </c>
    </row>
    <row r="43459" spans="1:6" x14ac:dyDescent="0.25">
      <c r="A43459" s="2" t="str">
        <f t="shared" si="1350"/>
        <v>36740</v>
      </c>
      <c r="B43459" s="2" t="str">
        <f>"34759"</f>
        <v>34759</v>
      </c>
      <c r="C43459" s="1">
        <v>2.0477890726525402E-3</v>
      </c>
      <c r="D43459" s="1">
        <v>1.7634068360855601E-3</v>
      </c>
      <c r="E43459" s="1">
        <v>2.8341547133567402E-4</v>
      </c>
      <c r="F43459" s="1">
        <v>1.9406174000406501E-3</v>
      </c>
    </row>
    <row r="43460" spans="1:6" x14ac:dyDescent="0.25">
      <c r="A43460" s="2" t="str">
        <f t="shared" si="1350"/>
        <v>36740</v>
      </c>
      <c r="B43460" s="2" t="str">
        <f>"33896"</f>
        <v>33896</v>
      </c>
      <c r="C43460" s="1">
        <v>3.18497994908428E-3</v>
      </c>
      <c r="D43460" s="1">
        <v>1.31019479877385E-3</v>
      </c>
      <c r="E43460" s="1">
        <v>2.6452110657996198E-3</v>
      </c>
      <c r="F43460" s="1">
        <v>2.9935522365359601E-3</v>
      </c>
    </row>
    <row r="43461" spans="1:6" x14ac:dyDescent="0.25">
      <c r="A43461" s="2" t="str">
        <f t="shared" si="1350"/>
        <v>36740</v>
      </c>
      <c r="B43461" s="2" t="str">
        <f>"32825"</f>
        <v>32825</v>
      </c>
      <c r="C43461" s="1">
        <v>1.90887423176203E-2</v>
      </c>
      <c r="D43461" s="1">
        <v>4.1448300866870997E-3</v>
      </c>
      <c r="E43461" s="1">
        <v>9.7463431531545699E-3</v>
      </c>
      <c r="F43461" s="1">
        <v>1.7328821312571002E-2</v>
      </c>
    </row>
    <row r="43462" spans="1:6" x14ac:dyDescent="0.25">
      <c r="A43462" s="2" t="str">
        <f t="shared" si="1350"/>
        <v>36740</v>
      </c>
      <c r="B43462" s="2" t="str">
        <f>"32877"</f>
        <v>32877</v>
      </c>
      <c r="C43462" s="1">
        <v>1.19468454155988E-3</v>
      </c>
      <c r="D43462" s="1">
        <v>4.9276508784073299E-3</v>
      </c>
      <c r="E43462" s="1">
        <v>3.1490607926186E-5</v>
      </c>
      <c r="F43462" s="1">
        <v>1.47191515685073E-3</v>
      </c>
    </row>
    <row r="43463" spans="1:6" x14ac:dyDescent="0.25">
      <c r="A43463" s="2" t="str">
        <f t="shared" si="1350"/>
        <v>36740</v>
      </c>
      <c r="B43463" s="2" t="str">
        <f>"32878"</f>
        <v>32878</v>
      </c>
      <c r="C43463" s="1">
        <v>1.0695512703986199E-3</v>
      </c>
      <c r="D43463" s="1">
        <v>4.6722040937407202E-3</v>
      </c>
      <c r="E43463" s="1">
        <v>3.1490607926186E-5</v>
      </c>
      <c r="F43463" s="1">
        <v>1.34102950703638E-3</v>
      </c>
    </row>
    <row r="43464" spans="1:6" x14ac:dyDescent="0.25">
      <c r="A43464" s="2" t="str">
        <f t="shared" si="1350"/>
        <v>36740</v>
      </c>
      <c r="B43464" s="2" t="str">
        <f>"32857"</f>
        <v>32857</v>
      </c>
      <c r="C43464" s="1">
        <v>9.1144369129621998E-4</v>
      </c>
      <c r="D43464" s="1">
        <v>1.31843501763406E-3</v>
      </c>
      <c r="E43464" s="1">
        <v>3.1490607926186E-5</v>
      </c>
      <c r="F43464" s="1">
        <v>9.0669388698206904E-4</v>
      </c>
    </row>
    <row r="43465" spans="1:6" x14ac:dyDescent="0.25">
      <c r="A43465" s="2" t="str">
        <f t="shared" si="1350"/>
        <v>36740</v>
      </c>
      <c r="B43465" s="2" t="str">
        <f>"32818"</f>
        <v>32818</v>
      </c>
      <c r="C43465" s="1">
        <v>1.4415691035807501E-2</v>
      </c>
      <c r="D43465" s="1">
        <v>5.32318138369755E-3</v>
      </c>
      <c r="E43465" s="1">
        <v>1.11476752058698E-2</v>
      </c>
      <c r="F43465" s="1">
        <v>1.3457092174208001E-2</v>
      </c>
    </row>
    <row r="43466" spans="1:6" x14ac:dyDescent="0.25">
      <c r="A43466" s="2" t="str">
        <f t="shared" si="1350"/>
        <v>36740</v>
      </c>
      <c r="B43466" s="2" t="str">
        <f>"32768"</f>
        <v>32768</v>
      </c>
      <c r="C43466" s="1">
        <v>8.0575680686947805E-4</v>
      </c>
      <c r="D43466" s="1">
        <v>1.0382675763868201E-3</v>
      </c>
      <c r="E43466" s="1">
        <v>3.1490607926186E-5</v>
      </c>
      <c r="F43466" s="1">
        <v>7.9043233211904503E-4</v>
      </c>
    </row>
    <row r="43467" spans="1:6" x14ac:dyDescent="0.25">
      <c r="A43467" s="2" t="str">
        <f t="shared" si="1350"/>
        <v>36740</v>
      </c>
      <c r="B43467" s="2" t="str">
        <f>"32718"</f>
        <v>32718</v>
      </c>
      <c r="C43467" s="1">
        <v>1.0281220117033399E-3</v>
      </c>
      <c r="D43467" s="1">
        <v>2.4885460957843001E-3</v>
      </c>
      <c r="E43467" s="1">
        <v>3.1490607926186E-5</v>
      </c>
      <c r="F43467" s="1">
        <v>1.1114312163006E-3</v>
      </c>
    </row>
    <row r="43468" spans="1:6" x14ac:dyDescent="0.25">
      <c r="A43468" s="2" t="str">
        <f t="shared" si="1350"/>
        <v>36740</v>
      </c>
      <c r="B43468" s="2" t="str">
        <f>"32708"</f>
        <v>32708</v>
      </c>
      <c r="C43468" s="1">
        <v>1.6293535598301899E-2</v>
      </c>
      <c r="D43468" s="1">
        <v>8.7675928672665496E-3</v>
      </c>
      <c r="E43468" s="1">
        <v>1.27694415140684E-2</v>
      </c>
      <c r="F43468" s="1">
        <v>1.54620555920345E-2</v>
      </c>
    </row>
    <row r="43469" spans="1:6" x14ac:dyDescent="0.25">
      <c r="A43469" s="2" t="str">
        <f t="shared" si="1350"/>
        <v>36740</v>
      </c>
      <c r="B43469" s="2" t="str">
        <f>"32158"</f>
        <v>32158</v>
      </c>
      <c r="C43469" s="1">
        <v>1.3553286058885299E-3</v>
      </c>
      <c r="D43469" s="1">
        <v>2.4226243449025999E-3</v>
      </c>
      <c r="E43469" s="1">
        <v>3.1490607926186E-5</v>
      </c>
      <c r="F43469" s="1">
        <v>1.3885578156281799E-3</v>
      </c>
    </row>
    <row r="43470" spans="1:6" x14ac:dyDescent="0.25">
      <c r="A43470" s="2" t="str">
        <f t="shared" si="1350"/>
        <v>36740</v>
      </c>
      <c r="B43470" s="2" t="str">
        <f>"34744"</f>
        <v>34744</v>
      </c>
      <c r="C43470" s="1">
        <v>1.7907585697267098E-2</v>
      </c>
      <c r="D43470" s="1">
        <v>2.10207983124031E-2</v>
      </c>
      <c r="E43470" s="1">
        <v>1.6485333249358299E-2</v>
      </c>
      <c r="F43470" s="1">
        <v>1.8117791235194899E-2</v>
      </c>
    </row>
    <row r="43471" spans="1:6" x14ac:dyDescent="0.25">
      <c r="A43471" s="2" t="str">
        <f t="shared" si="1350"/>
        <v>36740</v>
      </c>
      <c r="B43471" s="2" t="str">
        <f>"34741"</f>
        <v>34741</v>
      </c>
      <c r="C43471" s="1">
        <v>1.8665149284837899E-2</v>
      </c>
      <c r="D43471" s="1">
        <v>2.6286298164079201E-2</v>
      </c>
      <c r="E43471" s="1">
        <v>4.1740800806159502E-2</v>
      </c>
      <c r="F43471" s="1">
        <v>2.04130429378051E-2</v>
      </c>
    </row>
    <row r="43472" spans="1:6" x14ac:dyDescent="0.25">
      <c r="A43472" s="2" t="str">
        <f t="shared" si="1350"/>
        <v>36740</v>
      </c>
      <c r="B43472" s="2" t="str">
        <f>"34797"</f>
        <v>34797</v>
      </c>
      <c r="C43472" s="1">
        <v>6.5272219821955601E-4</v>
      </c>
      <c r="D43472" s="1">
        <v>3.2136853554830399E-4</v>
      </c>
      <c r="E43472" s="1">
        <v>3.1490607926186E-5</v>
      </c>
      <c r="F43472" s="1">
        <v>5.9446945977130797E-4</v>
      </c>
    </row>
    <row r="43473" spans="1:6" x14ac:dyDescent="0.25">
      <c r="A43473" s="2" t="str">
        <f t="shared" si="1350"/>
        <v>36740</v>
      </c>
      <c r="B43473" s="2" t="str">
        <f>"34729"</f>
        <v>34729</v>
      </c>
      <c r="C43473" s="1">
        <v>0</v>
      </c>
      <c r="D43473" s="1">
        <v>8.2402188602129192E-6</v>
      </c>
      <c r="E43473" s="1">
        <v>0</v>
      </c>
      <c r="F43473" s="1">
        <v>7.3120474756618398E-7</v>
      </c>
    </row>
    <row r="43474" spans="1:6" x14ac:dyDescent="0.25">
      <c r="A43474" s="2" t="str">
        <f t="shared" si="1350"/>
        <v>36740</v>
      </c>
      <c r="B43474" s="2" t="str">
        <f>"34715"</f>
        <v>34715</v>
      </c>
      <c r="C43474" s="1">
        <v>6.4900201988773503E-3</v>
      </c>
      <c r="D43474" s="1">
        <v>3.14776360460133E-3</v>
      </c>
      <c r="E43474" s="1">
        <v>3.40098565602808E-3</v>
      </c>
      <c r="F43474" s="1">
        <v>6.0499880813626103E-3</v>
      </c>
    </row>
    <row r="43475" spans="1:6" x14ac:dyDescent="0.25">
      <c r="A43475" s="2" t="str">
        <f t="shared" si="1350"/>
        <v>36740</v>
      </c>
      <c r="B43475" s="2" t="str">
        <f>"34711"</f>
        <v>34711</v>
      </c>
      <c r="C43475" s="1">
        <v>2.2767491390746301E-2</v>
      </c>
      <c r="D43475" s="1">
        <v>1.5887141962490501E-2</v>
      </c>
      <c r="E43475" s="1">
        <v>1.06910613909401E-2</v>
      </c>
      <c r="F43475" s="1">
        <v>2.1596132219367199E-2</v>
      </c>
    </row>
    <row r="43476" spans="1:6" x14ac:dyDescent="0.25">
      <c r="A43476" s="2" t="str">
        <f t="shared" si="1350"/>
        <v>36740</v>
      </c>
      <c r="B43476" s="2" t="str">
        <f>"33848"</f>
        <v>33848</v>
      </c>
      <c r="C43476" s="1">
        <v>7.5840908264629804E-4</v>
      </c>
      <c r="D43476" s="1">
        <v>3.54329410989155E-4</v>
      </c>
      <c r="E43476" s="1">
        <v>6.2981215852372E-5</v>
      </c>
      <c r="F43476" s="1">
        <v>6.9025728170247797E-4</v>
      </c>
    </row>
    <row r="43477" spans="1:6" x14ac:dyDescent="0.25">
      <c r="A43477" s="2" t="str">
        <f t="shared" si="1350"/>
        <v>36740</v>
      </c>
      <c r="B43477" s="2" t="str">
        <f>"32826"</f>
        <v>32826</v>
      </c>
      <c r="C43477" s="1">
        <v>9.3063642950811602E-3</v>
      </c>
      <c r="D43477" s="1">
        <v>5.4055835722996801E-3</v>
      </c>
      <c r="E43477" s="1">
        <v>1.0265938183936601E-2</v>
      </c>
      <c r="F43477" s="1">
        <v>9.0047864662775607E-3</v>
      </c>
    </row>
    <row r="43478" spans="1:6" x14ac:dyDescent="0.25">
      <c r="A43478" s="2" t="str">
        <f t="shared" si="1350"/>
        <v>36740</v>
      </c>
      <c r="B43478" s="2" t="str">
        <f>"32854"</f>
        <v>32854</v>
      </c>
      <c r="C43478" s="1">
        <v>9.0298874054207999E-4</v>
      </c>
      <c r="D43478" s="1">
        <v>3.9058637397409199E-3</v>
      </c>
      <c r="E43478" s="1">
        <v>3.1490607926186E-5</v>
      </c>
      <c r="F43478" s="1">
        <v>1.12898013024218E-3</v>
      </c>
    </row>
    <row r="43479" spans="1:6" x14ac:dyDescent="0.25">
      <c r="A43479" s="2" t="str">
        <f t="shared" si="1350"/>
        <v>36740</v>
      </c>
      <c r="B43479" s="2" t="str">
        <f>"32817"</f>
        <v>32817</v>
      </c>
      <c r="C43479" s="1">
        <v>1.28633620773475E-2</v>
      </c>
      <c r="D43479" s="1">
        <v>8.1825373281914308E-3</v>
      </c>
      <c r="E43479" s="1">
        <v>1.60444647383917E-2</v>
      </c>
      <c r="F43479" s="1">
        <v>1.2595732981575101E-2</v>
      </c>
    </row>
    <row r="43480" spans="1:6" x14ac:dyDescent="0.25">
      <c r="A43480" s="2" t="str">
        <f t="shared" si="1350"/>
        <v>36740</v>
      </c>
      <c r="B43480" s="2" t="str">
        <f>"32814"</f>
        <v>32814</v>
      </c>
      <c r="C43480" s="1">
        <v>4.9968758956963396E-3</v>
      </c>
      <c r="D43480" s="1">
        <v>4.08714855466561E-3</v>
      </c>
      <c r="E43480" s="1">
        <v>6.2981215852372001E-3</v>
      </c>
      <c r="F43480" s="1">
        <v>4.9765795119354498E-3</v>
      </c>
    </row>
    <row r="43481" spans="1:6" x14ac:dyDescent="0.25">
      <c r="A43481" s="2" t="str">
        <f t="shared" si="1350"/>
        <v>36740</v>
      </c>
      <c r="B43481" s="2" t="str">
        <f>"32766"</f>
        <v>32766</v>
      </c>
      <c r="C43481" s="1">
        <v>4.5918837545730704E-3</v>
      </c>
      <c r="D43481" s="1">
        <v>6.5097728995682099E-4</v>
      </c>
      <c r="E43481" s="1">
        <v>8.9748232589630095E-4</v>
      </c>
      <c r="F43481" s="1">
        <v>4.0706168297009503E-3</v>
      </c>
    </row>
    <row r="43482" spans="1:6" x14ac:dyDescent="0.25">
      <c r="A43482" s="2" t="str">
        <f t="shared" si="1350"/>
        <v>36740</v>
      </c>
      <c r="B43482" s="2" t="str">
        <f>"32765"</f>
        <v>32765</v>
      </c>
      <c r="C43482" s="1">
        <v>2.1158514262233599E-2</v>
      </c>
      <c r="D43482" s="1">
        <v>1.61590691848775E-2</v>
      </c>
      <c r="E43482" s="1">
        <v>2.3617955944639502E-2</v>
      </c>
      <c r="F43482" s="1">
        <v>2.0829098439170302E-2</v>
      </c>
    </row>
    <row r="43483" spans="1:6" x14ac:dyDescent="0.25">
      <c r="A43483" s="2" t="str">
        <f t="shared" si="1350"/>
        <v>36740</v>
      </c>
      <c r="B43483" s="2" t="str">
        <f>"32808"</f>
        <v>32808</v>
      </c>
      <c r="C43483" s="1">
        <v>1.60830073245238E-2</v>
      </c>
      <c r="D43483" s="1">
        <v>1.55410527703615E-2</v>
      </c>
      <c r="E43483" s="1">
        <v>2.4783108437908302E-2</v>
      </c>
      <c r="F43483" s="1">
        <v>1.64389451347829E-2</v>
      </c>
    </row>
    <row r="43484" spans="1:6" x14ac:dyDescent="0.25">
      <c r="A43484" s="2" t="str">
        <f t="shared" si="1350"/>
        <v>36740</v>
      </c>
      <c r="B43484" s="2" t="str">
        <f>"32806"</f>
        <v>32806</v>
      </c>
      <c r="C43484" s="1">
        <v>1.0638864533933499E-2</v>
      </c>
      <c r="D43484" s="1">
        <v>1.7576386828834101E-2</v>
      </c>
      <c r="E43484" s="1">
        <v>1.46116420777503E-2</v>
      </c>
      <c r="F43484" s="1">
        <v>1.14389670709253E-2</v>
      </c>
    </row>
    <row r="43485" spans="1:6" x14ac:dyDescent="0.25">
      <c r="A43485" s="2" t="str">
        <f t="shared" si="1350"/>
        <v>36740</v>
      </c>
      <c r="B43485" s="2" t="str">
        <f>"32790"</f>
        <v>32790</v>
      </c>
      <c r="C43485" s="1">
        <v>1.4508695494103001E-3</v>
      </c>
      <c r="D43485" s="1">
        <v>7.2513925969873699E-3</v>
      </c>
      <c r="E43485" s="1">
        <v>3.1490607926186E-5</v>
      </c>
      <c r="F43485" s="1">
        <v>1.8996699341769399E-3</v>
      </c>
    </row>
    <row r="43486" spans="1:6" x14ac:dyDescent="0.25">
      <c r="A43486" s="2" t="str">
        <f t="shared" ref="A43486:A43512" si="1351">"36740"</f>
        <v>36740</v>
      </c>
      <c r="B43486" s="2" t="str">
        <f>"32804"</f>
        <v>32804</v>
      </c>
      <c r="C43486" s="1">
        <v>8.2782422833778194E-3</v>
      </c>
      <c r="D43486" s="1">
        <v>1.9611720887306699E-2</v>
      </c>
      <c r="E43486" s="1">
        <v>1.03604100077151E-2</v>
      </c>
      <c r="F43486" s="1">
        <v>9.3806257065265804E-3</v>
      </c>
    </row>
    <row r="43487" spans="1:6" x14ac:dyDescent="0.25">
      <c r="A43487" s="2" t="str">
        <f t="shared" si="1351"/>
        <v>36740</v>
      </c>
      <c r="B43487" s="2" t="str">
        <f>"32733"</f>
        <v>32733</v>
      </c>
      <c r="C43487" s="1">
        <v>1.2259678593502001E-3</v>
      </c>
      <c r="D43487" s="1">
        <v>3.03240054055835E-3</v>
      </c>
      <c r="E43487" s="1">
        <v>1.5745303963093E-5</v>
      </c>
      <c r="F43487" s="1">
        <v>1.3300614358228899E-3</v>
      </c>
    </row>
    <row r="43488" spans="1:6" x14ac:dyDescent="0.25">
      <c r="A43488" s="2" t="str">
        <f t="shared" si="1351"/>
        <v>36740</v>
      </c>
      <c r="B43488" s="2" t="str">
        <f>"32776"</f>
        <v>32776</v>
      </c>
      <c r="C43488" s="1">
        <v>4.9579831222273003E-3</v>
      </c>
      <c r="D43488" s="1">
        <v>2.9335179142358E-3</v>
      </c>
      <c r="E43488" s="1">
        <v>2.1098707310544598E-3</v>
      </c>
      <c r="F43488" s="1">
        <v>4.6460749660355303E-3</v>
      </c>
    </row>
    <row r="43489" spans="1:6" x14ac:dyDescent="0.25">
      <c r="A43489" s="2" t="str">
        <f t="shared" si="1351"/>
        <v>36740</v>
      </c>
      <c r="B43489" s="2" t="str">
        <f>"32714"</f>
        <v>32714</v>
      </c>
      <c r="C43489" s="1">
        <v>1.51216794237781E-2</v>
      </c>
      <c r="D43489" s="1">
        <v>1.9488117604403499E-2</v>
      </c>
      <c r="E43489" s="1">
        <v>3.33957897057202E-2</v>
      </c>
      <c r="F43489" s="1">
        <v>1.6357781407803099E-2</v>
      </c>
    </row>
    <row r="43490" spans="1:6" x14ac:dyDescent="0.25">
      <c r="A43490" s="2" t="str">
        <f t="shared" si="1351"/>
        <v>36740</v>
      </c>
      <c r="B43490" s="2" t="str">
        <f>"32710"</f>
        <v>32710</v>
      </c>
      <c r="C43490" s="1">
        <v>4.4642139981855599E-4</v>
      </c>
      <c r="D43490" s="1">
        <v>1.1783512970104399E-3</v>
      </c>
      <c r="E43490" s="1">
        <v>1.5745303963093E-5</v>
      </c>
      <c r="F43490" s="1">
        <v>4.9136959036447602E-4</v>
      </c>
    </row>
    <row r="43491" spans="1:6" x14ac:dyDescent="0.25">
      <c r="A43491" s="2" t="str">
        <f t="shared" si="1351"/>
        <v>36740</v>
      </c>
      <c r="B43491" s="2" t="str">
        <f>"32707"</f>
        <v>32707</v>
      </c>
      <c r="C43491" s="1">
        <v>1.39887160227235E-2</v>
      </c>
      <c r="D43491" s="1">
        <v>1.2055440192491501E-2</v>
      </c>
      <c r="E43491" s="1">
        <v>2.0956999574876699E-2</v>
      </c>
      <c r="F43491" s="1">
        <v>1.41407686131824E-2</v>
      </c>
    </row>
    <row r="43492" spans="1:6" x14ac:dyDescent="0.25">
      <c r="A43492" s="2" t="str">
        <f t="shared" si="1351"/>
        <v>36740</v>
      </c>
      <c r="B43492" s="2" t="str">
        <f>"32701"</f>
        <v>32701</v>
      </c>
      <c r="C43492" s="1">
        <v>1.00799922890849E-2</v>
      </c>
      <c r="D43492" s="1">
        <v>1.9941329641715199E-2</v>
      </c>
      <c r="E43492" s="1">
        <v>2.5428665900395199E-2</v>
      </c>
      <c r="F43492" s="1">
        <v>1.16678341569136E-2</v>
      </c>
    </row>
    <row r="43493" spans="1:6" x14ac:dyDescent="0.25">
      <c r="A43493" s="2" t="str">
        <f t="shared" si="1351"/>
        <v>36740</v>
      </c>
      <c r="B43493" s="2" t="str">
        <f>"32195"</f>
        <v>32195</v>
      </c>
      <c r="C43493" s="1">
        <v>2.9507778131946202E-4</v>
      </c>
      <c r="D43493" s="1">
        <v>3.2960875440851697E-5</v>
      </c>
      <c r="E43493" s="1">
        <v>7.8726519815464996E-5</v>
      </c>
      <c r="F43493" s="1">
        <v>2.6177129962869398E-4</v>
      </c>
    </row>
    <row r="43494" spans="1:6" x14ac:dyDescent="0.25">
      <c r="A43494" s="2" t="str">
        <f t="shared" si="1351"/>
        <v>36740</v>
      </c>
      <c r="B43494" s="2" t="str">
        <f>"34755"</f>
        <v>34755</v>
      </c>
      <c r="C43494" s="1">
        <v>1.46186098539069E-3</v>
      </c>
      <c r="D43494" s="1">
        <v>2.2330993111176999E-3</v>
      </c>
      <c r="E43494" s="1">
        <v>1.5745303963093E-5</v>
      </c>
      <c r="F43494" s="1">
        <v>1.46314069987993E-3</v>
      </c>
    </row>
    <row r="43495" spans="1:6" x14ac:dyDescent="0.25">
      <c r="A43495" s="2" t="str">
        <f t="shared" si="1351"/>
        <v>36740</v>
      </c>
      <c r="B43495" s="2" t="str">
        <f>"34749"</f>
        <v>34749</v>
      </c>
      <c r="C43495" s="1">
        <v>1.6292690103226399E-3</v>
      </c>
      <c r="D43495" s="1">
        <v>3.2054451366228202E-3</v>
      </c>
      <c r="E43495" s="1">
        <v>3.1490607926186E-5</v>
      </c>
      <c r="F43495" s="1">
        <v>1.69493260485841E-3</v>
      </c>
    </row>
    <row r="43496" spans="1:6" x14ac:dyDescent="0.25">
      <c r="A43496" s="2" t="str">
        <f t="shared" si="1351"/>
        <v>36740</v>
      </c>
      <c r="B43496" s="2" t="str">
        <f>"34747"</f>
        <v>34747</v>
      </c>
      <c r="C43496" s="1">
        <v>1.6548875111076899E-2</v>
      </c>
      <c r="D43496" s="1">
        <v>1.11819769933089E-2</v>
      </c>
      <c r="E43496" s="1">
        <v>3.8103635590684998E-2</v>
      </c>
      <c r="F43496" s="1">
        <v>1.7073630855670398E-2</v>
      </c>
    </row>
    <row r="43497" spans="1:6" x14ac:dyDescent="0.25">
      <c r="A43497" s="2" t="str">
        <f t="shared" si="1351"/>
        <v>36740</v>
      </c>
      <c r="B43497" s="2" t="str">
        <f>"34746"</f>
        <v>34746</v>
      </c>
      <c r="C43497" s="1">
        <v>2.12160079273618E-2</v>
      </c>
      <c r="D43497" s="1">
        <v>1.17752727512442E-2</v>
      </c>
      <c r="E43497" s="1">
        <v>2.9679897970430299E-2</v>
      </c>
      <c r="F43497" s="1">
        <v>2.0771333264112599E-2</v>
      </c>
    </row>
    <row r="43498" spans="1:6" x14ac:dyDescent="0.25">
      <c r="A43498" s="2" t="str">
        <f t="shared" si="1351"/>
        <v>36740</v>
      </c>
      <c r="B43498" s="2" t="str">
        <f>"34788"</f>
        <v>34788</v>
      </c>
      <c r="C43498" s="1">
        <v>9.0493337921553202E-3</v>
      </c>
      <c r="D43498" s="1">
        <v>4.6804443126009397E-3</v>
      </c>
      <c r="E43498" s="1">
        <v>4.2354867660720098E-3</v>
      </c>
      <c r="F43498" s="1">
        <v>8.4381027869137697E-3</v>
      </c>
    </row>
    <row r="43499" spans="1:6" x14ac:dyDescent="0.25">
      <c r="A43499" s="2" t="str">
        <f t="shared" si="1351"/>
        <v>36740</v>
      </c>
      <c r="B43499" s="2" t="str">
        <f>"34760"</f>
        <v>34760</v>
      </c>
      <c r="C43499" s="1">
        <v>9.4103601893570697E-4</v>
      </c>
      <c r="D43499" s="1">
        <v>1.0217871386664001E-3</v>
      </c>
      <c r="E43499" s="1">
        <v>4.7235911889279003E-5</v>
      </c>
      <c r="F43499" s="1">
        <v>9.0669388698206904E-4</v>
      </c>
    </row>
    <row r="43500" spans="1:6" x14ac:dyDescent="0.25">
      <c r="A43500" s="2" t="str">
        <f t="shared" si="1351"/>
        <v>36740</v>
      </c>
      <c r="B43500" s="2" t="str">
        <f>"32828"</f>
        <v>32828</v>
      </c>
      <c r="C43500" s="1">
        <v>2.0853290540009201E-2</v>
      </c>
      <c r="D43500" s="1">
        <v>6.7817001219552297E-3</v>
      </c>
      <c r="E43500" s="1">
        <v>1.2281337091212499E-2</v>
      </c>
      <c r="F43500" s="1">
        <v>1.9206555104320899E-2</v>
      </c>
    </row>
    <row r="43501" spans="1:6" x14ac:dyDescent="0.25">
      <c r="A43501" s="2" t="str">
        <f t="shared" si="1351"/>
        <v>36740</v>
      </c>
      <c r="B43501" s="2" t="str">
        <f>"32822"</f>
        <v>32822</v>
      </c>
      <c r="C43501" s="1">
        <v>2.22508938996684E-2</v>
      </c>
      <c r="D43501" s="1">
        <v>1.7576386828834101E-2</v>
      </c>
      <c r="E43501" s="1">
        <v>3.8938136700729001E-2</v>
      </c>
      <c r="F43501" s="1">
        <v>2.26110444089891E-2</v>
      </c>
    </row>
    <row r="43502" spans="1:6" x14ac:dyDescent="0.25">
      <c r="A43502" s="2" t="str">
        <f t="shared" si="1351"/>
        <v>36740</v>
      </c>
      <c r="B43502" s="2" t="str">
        <f>"32821"</f>
        <v>32821</v>
      </c>
      <c r="C43502" s="1">
        <v>1.17591455088569E-2</v>
      </c>
      <c r="D43502" s="1">
        <v>6.7322588087939603E-3</v>
      </c>
      <c r="E43502" s="1">
        <v>1.31788194171088E-2</v>
      </c>
      <c r="F43502" s="1">
        <v>1.13790082816249E-2</v>
      </c>
    </row>
    <row r="43503" spans="1:6" x14ac:dyDescent="0.25">
      <c r="A43503" s="2" t="str">
        <f t="shared" si="1351"/>
        <v>36740</v>
      </c>
      <c r="B43503" s="2" t="str">
        <f>"32824"</f>
        <v>32824</v>
      </c>
      <c r="C43503" s="1">
        <v>1.5648422855760999E-2</v>
      </c>
      <c r="D43503" s="1">
        <v>1.2895942516233201E-2</v>
      </c>
      <c r="E43503" s="1">
        <v>7.2585851269858703E-3</v>
      </c>
      <c r="F43503" s="1">
        <v>1.5014558286524E-2</v>
      </c>
    </row>
    <row r="43504" spans="1:6" x14ac:dyDescent="0.25">
      <c r="A43504" s="2" t="str">
        <f t="shared" si="1351"/>
        <v>36740</v>
      </c>
      <c r="B43504" s="2" t="str">
        <f>"32869"</f>
        <v>32869</v>
      </c>
      <c r="C43504" s="1">
        <v>1.24034127563224E-3</v>
      </c>
      <c r="D43504" s="1">
        <v>3.8893833020204999E-3</v>
      </c>
      <c r="E43504" s="1">
        <v>3.1490607926186E-5</v>
      </c>
      <c r="F43504" s="1">
        <v>1.41926841502596E-3</v>
      </c>
    </row>
    <row r="43505" spans="1:6" x14ac:dyDescent="0.25">
      <c r="A43505" s="2" t="str">
        <f t="shared" si="1351"/>
        <v>36740</v>
      </c>
      <c r="B43505" s="2" t="str">
        <f>"32868"</f>
        <v>32868</v>
      </c>
      <c r="C43505" s="1">
        <v>1.9919863976752199E-3</v>
      </c>
      <c r="D43505" s="1">
        <v>3.444411483569E-3</v>
      </c>
      <c r="E43505" s="1">
        <v>3.1490607926186E-5</v>
      </c>
      <c r="F43505" s="1">
        <v>2.0298243792437201E-3</v>
      </c>
    </row>
    <row r="43506" spans="1:6" x14ac:dyDescent="0.25">
      <c r="A43506" s="2" t="str">
        <f t="shared" si="1351"/>
        <v>36740</v>
      </c>
      <c r="B43506" s="2" t="str">
        <f>"32853"</f>
        <v>32853</v>
      </c>
      <c r="C43506" s="1">
        <v>9.19898642050359E-4</v>
      </c>
      <c r="D43506" s="1">
        <v>3.3949701704077198E-3</v>
      </c>
      <c r="E43506" s="1">
        <v>3.1490607926186E-5</v>
      </c>
      <c r="F43506" s="1">
        <v>1.0982695308443999E-3</v>
      </c>
    </row>
    <row r="43507" spans="1:6" x14ac:dyDescent="0.25">
      <c r="A43507" s="2" t="str">
        <f t="shared" si="1351"/>
        <v>36740</v>
      </c>
      <c r="B43507" s="2" t="str">
        <f>"32799"</f>
        <v>32799</v>
      </c>
      <c r="C43507" s="1">
        <v>0</v>
      </c>
      <c r="D43507" s="1">
        <v>8.2402188602129192E-6</v>
      </c>
      <c r="E43507" s="1">
        <v>0</v>
      </c>
      <c r="F43507" s="1">
        <v>7.3120474756618398E-7</v>
      </c>
    </row>
    <row r="43508" spans="1:6" x14ac:dyDescent="0.25">
      <c r="A43508" s="2" t="str">
        <f t="shared" si="1351"/>
        <v>36740</v>
      </c>
      <c r="B43508" s="2" t="str">
        <f>"32777"</f>
        <v>32777</v>
      </c>
      <c r="C43508" s="1">
        <v>3.2467010895894998E-4</v>
      </c>
      <c r="D43508" s="1">
        <v>4.1201094301064601E-4</v>
      </c>
      <c r="E43508" s="1">
        <v>3.1490607926186E-5</v>
      </c>
      <c r="F43508" s="1">
        <v>3.1880526993885601E-4</v>
      </c>
    </row>
    <row r="43509" spans="1:6" x14ac:dyDescent="0.25">
      <c r="A43509" s="2" t="str">
        <f t="shared" si="1351"/>
        <v>36740</v>
      </c>
      <c r="B43509" s="2" t="str">
        <f>"32778"</f>
        <v>32778</v>
      </c>
      <c r="C43509" s="1">
        <v>1.24042582513978E-2</v>
      </c>
      <c r="D43509" s="1">
        <v>1.1898876034147399E-2</v>
      </c>
      <c r="E43509" s="1">
        <v>3.5899293035851999E-3</v>
      </c>
      <c r="F43509" s="1">
        <v>1.19500791894741E-2</v>
      </c>
    </row>
    <row r="43510" spans="1:6" x14ac:dyDescent="0.25">
      <c r="A43510" s="2" t="str">
        <f t="shared" si="1351"/>
        <v>36740</v>
      </c>
      <c r="B43510" s="2" t="str">
        <f>"32773"</f>
        <v>32773</v>
      </c>
      <c r="C43510" s="1">
        <v>1.13287885154712E-2</v>
      </c>
      <c r="D43510" s="1">
        <v>1.1890635815287201E-2</v>
      </c>
      <c r="E43510" s="1">
        <v>5.5580922989718297E-3</v>
      </c>
      <c r="F43510" s="1">
        <v>1.1110656139268101E-2</v>
      </c>
    </row>
    <row r="43511" spans="1:6" x14ac:dyDescent="0.25">
      <c r="A43511" s="2" t="str">
        <f t="shared" si="1351"/>
        <v>36740</v>
      </c>
      <c r="B43511" s="2" t="str">
        <f>"32772"</f>
        <v>32772</v>
      </c>
      <c r="C43511" s="1">
        <v>1.6740802493195801E-3</v>
      </c>
      <c r="D43511" s="1">
        <v>3.2548864497841E-3</v>
      </c>
      <c r="E43511" s="1">
        <v>3.1490607926186E-5</v>
      </c>
      <c r="F43511" s="1">
        <v>1.73807368496482E-3</v>
      </c>
    </row>
    <row r="43512" spans="1:6" x14ac:dyDescent="0.25">
      <c r="A43512" s="2" t="str">
        <f t="shared" si="1351"/>
        <v>36740</v>
      </c>
      <c r="B43512" s="2" t="str">
        <f>"32716"</f>
        <v>32716</v>
      </c>
      <c r="C43512" s="1">
        <v>1.2716245934225501E-3</v>
      </c>
      <c r="D43512" s="1">
        <v>5.2242987573749896E-3</v>
      </c>
      <c r="E43512" s="1">
        <v>3.1490607926186E-5</v>
      </c>
      <c r="F43512" s="1">
        <v>1.56477815979163E-3</v>
      </c>
    </row>
    <row r="43513" spans="1:6" x14ac:dyDescent="0.25">
      <c r="A43513" s="2" t="str">
        <f t="shared" ref="A43513:A43525" si="1352">"28580"</f>
        <v>28580</v>
      </c>
      <c r="B43513" s="2" t="str">
        <f>"33052"</f>
        <v>33052</v>
      </c>
      <c r="C43513" s="1">
        <v>8.9292720053983608E-3</v>
      </c>
      <c r="D43513" s="1">
        <v>1.10939474792866E-2</v>
      </c>
      <c r="E43513" s="1">
        <v>6.4578624475298597E-4</v>
      </c>
      <c r="F43513" s="1">
        <v>8.7907926590119097E-3</v>
      </c>
    </row>
    <row r="43514" spans="1:6" x14ac:dyDescent="0.25">
      <c r="A43514" s="2" t="str">
        <f t="shared" si="1352"/>
        <v>28580</v>
      </c>
      <c r="B43514" s="2" t="str">
        <f>"33034"</f>
        <v>33034</v>
      </c>
      <c r="C43514" s="1">
        <v>0</v>
      </c>
      <c r="D43514" s="1">
        <v>2.8085942985535699E-4</v>
      </c>
      <c r="E43514" s="1">
        <v>0</v>
      </c>
      <c r="F43514" s="1">
        <v>2.7048592796959699E-5</v>
      </c>
    </row>
    <row r="43515" spans="1:6" x14ac:dyDescent="0.25">
      <c r="A43515" s="2" t="str">
        <f t="shared" si="1352"/>
        <v>28580</v>
      </c>
      <c r="B43515" s="2" t="str">
        <f>"33037"</f>
        <v>33037</v>
      </c>
      <c r="C43515" s="1">
        <v>0.21223106256767499</v>
      </c>
      <c r="D43515" s="1">
        <v>0.152787529841314</v>
      </c>
      <c r="E43515" s="1">
        <v>8.2983532450758707E-2</v>
      </c>
      <c r="F43515" s="1">
        <v>0.20109276314899699</v>
      </c>
    </row>
    <row r="43516" spans="1:6" x14ac:dyDescent="0.25">
      <c r="A43516" s="2" t="str">
        <f t="shared" si="1352"/>
        <v>28580</v>
      </c>
      <c r="B43516" s="2" t="str">
        <f>"33001"</f>
        <v>33001</v>
      </c>
      <c r="C43516" s="1">
        <v>3.1385841846742902E-5</v>
      </c>
      <c r="D43516" s="1">
        <v>0</v>
      </c>
      <c r="E43516" s="1">
        <v>9.6867936712947999E-4</v>
      </c>
      <c r="F43516" s="1">
        <v>6.7621481992399303E-5</v>
      </c>
    </row>
    <row r="43517" spans="1:6" x14ac:dyDescent="0.25">
      <c r="A43517" s="2" t="str">
        <f t="shared" si="1352"/>
        <v>28580</v>
      </c>
      <c r="B43517" s="2" t="str">
        <f>"33045"</f>
        <v>33045</v>
      </c>
      <c r="C43517" s="1">
        <v>2.07774273025438E-2</v>
      </c>
      <c r="D43517" s="1">
        <v>2.3311332677994599E-2</v>
      </c>
      <c r="E43517" s="1">
        <v>6.4578624475298597E-4</v>
      </c>
      <c r="F43517" s="1">
        <v>2.0178250226531899E-2</v>
      </c>
    </row>
    <row r="43518" spans="1:6" x14ac:dyDescent="0.25">
      <c r="A43518" s="2" t="str">
        <f t="shared" si="1352"/>
        <v>28580</v>
      </c>
      <c r="B43518" s="2" t="str">
        <f>"33051"</f>
        <v>33051</v>
      </c>
      <c r="C43518" s="1">
        <v>2.2111325581030301E-2</v>
      </c>
      <c r="D43518" s="1">
        <v>7.5832046060946403E-3</v>
      </c>
      <c r="E43518" s="1">
        <v>9.6867936712947999E-4</v>
      </c>
      <c r="F43518" s="1">
        <v>1.98266185201714E-2</v>
      </c>
    </row>
    <row r="43519" spans="1:6" x14ac:dyDescent="0.25">
      <c r="A43519" s="2" t="str">
        <f t="shared" si="1352"/>
        <v>28580</v>
      </c>
      <c r="B43519" s="2" t="str">
        <f>"33043"</f>
        <v>33043</v>
      </c>
      <c r="C43519" s="1">
        <v>4.8632361941528097E-2</v>
      </c>
      <c r="D43519" s="1">
        <v>3.6933015025979399E-2</v>
      </c>
      <c r="E43519" s="1">
        <v>1.3238618017436201E-2</v>
      </c>
      <c r="F43519" s="1">
        <v>4.6023180644026898E-2</v>
      </c>
    </row>
    <row r="43520" spans="1:6" x14ac:dyDescent="0.25">
      <c r="A43520" s="2" t="str">
        <f t="shared" si="1352"/>
        <v>28580</v>
      </c>
      <c r="B43520" s="2" t="str">
        <f>"33040"</f>
        <v>33040</v>
      </c>
      <c r="C43520" s="1">
        <v>0.29151169907254798</v>
      </c>
      <c r="D43520" s="1">
        <v>0.36357253194776001</v>
      </c>
      <c r="E43520" s="1">
        <v>0.65450435905715199</v>
      </c>
      <c r="F43520" s="1">
        <v>0.31365548207354499</v>
      </c>
    </row>
    <row r="43521" spans="1:6" x14ac:dyDescent="0.25">
      <c r="A43521" s="2" t="str">
        <f t="shared" si="1352"/>
        <v>28580</v>
      </c>
      <c r="B43521" s="2" t="str">
        <f>"33041"</f>
        <v>33041</v>
      </c>
      <c r="C43521" s="1">
        <v>3.50579853428118E-2</v>
      </c>
      <c r="D43521" s="1">
        <v>5.2239853953096403E-2</v>
      </c>
      <c r="E43521" s="1">
        <v>6.4578624475298597E-4</v>
      </c>
      <c r="F43521" s="1">
        <v>3.5271365007235399E-2</v>
      </c>
    </row>
    <row r="43522" spans="1:6" x14ac:dyDescent="0.25">
      <c r="A43522" s="2" t="str">
        <f t="shared" si="1352"/>
        <v>28580</v>
      </c>
      <c r="B43522" s="2" t="str">
        <f>"33036"</f>
        <v>33036</v>
      </c>
      <c r="C43522" s="1">
        <v>6.9535332611458903E-2</v>
      </c>
      <c r="D43522" s="1">
        <v>8.0887515798342899E-2</v>
      </c>
      <c r="E43522" s="1">
        <v>5.4891830804003797E-2</v>
      </c>
      <c r="F43522" s="1">
        <v>7.0015282454930203E-2</v>
      </c>
    </row>
    <row r="43523" spans="1:6" x14ac:dyDescent="0.25">
      <c r="A43523" s="2" t="str">
        <f t="shared" si="1352"/>
        <v>28580</v>
      </c>
      <c r="B43523" s="2" t="str">
        <f>"33070"</f>
        <v>33070</v>
      </c>
      <c r="C43523" s="1">
        <v>8.6091364185615804E-2</v>
      </c>
      <c r="D43523" s="1">
        <v>9.5492206150821504E-2</v>
      </c>
      <c r="E43523" s="1">
        <v>5.29544720697449E-2</v>
      </c>
      <c r="F43523" s="1">
        <v>8.5608796202377505E-2</v>
      </c>
    </row>
    <row r="43524" spans="1:6" x14ac:dyDescent="0.25">
      <c r="A43524" s="2" t="str">
        <f t="shared" si="1352"/>
        <v>28580</v>
      </c>
      <c r="B43524" s="2" t="str">
        <f>"33042"</f>
        <v>33042</v>
      </c>
      <c r="C43524" s="1">
        <v>6.6051504166470501E-2</v>
      </c>
      <c r="D43524" s="1">
        <v>1.89580115152366E-2</v>
      </c>
      <c r="E43524" s="1">
        <v>1.13012592831772E-2</v>
      </c>
      <c r="F43524" s="1">
        <v>5.9222893928943303E-2</v>
      </c>
    </row>
    <row r="43525" spans="1:6" x14ac:dyDescent="0.25">
      <c r="A43525" s="2" t="str">
        <f t="shared" si="1352"/>
        <v>28580</v>
      </c>
      <c r="B43525" s="2" t="str">
        <f>"33050"</f>
        <v>33050</v>
      </c>
      <c r="C43525" s="1">
        <v>0.139039279381071</v>
      </c>
      <c r="D43525" s="1">
        <v>0.15685999157421701</v>
      </c>
      <c r="E43525" s="1">
        <v>0.12625121084920801</v>
      </c>
      <c r="F43525" s="1">
        <v>0.14021990505943899</v>
      </c>
    </row>
    <row r="43526" spans="1:6" x14ac:dyDescent="0.25">
      <c r="A43526" s="2" t="str">
        <f t="shared" ref="A43526:A43557" si="1353">"13820"</f>
        <v>13820</v>
      </c>
      <c r="B43526" s="2" t="str">
        <f>"36750"</f>
        <v>36750</v>
      </c>
      <c r="C43526" s="1">
        <v>2.6745565492892701E-3</v>
      </c>
      <c r="D43526" s="1">
        <v>1.0127131670795799E-3</v>
      </c>
      <c r="E43526" s="1">
        <v>7.1895033251452795E-4</v>
      </c>
      <c r="F43526" s="1">
        <v>2.47845913534213E-3</v>
      </c>
    </row>
    <row r="43527" spans="1:6" x14ac:dyDescent="0.25">
      <c r="A43527" s="2" t="str">
        <f t="shared" si="1353"/>
        <v>13820</v>
      </c>
      <c r="B43527" s="2" t="str">
        <f>"36091"</f>
        <v>36091</v>
      </c>
      <c r="C43527" s="1">
        <v>3.5252289178879098E-3</v>
      </c>
      <c r="D43527" s="1">
        <v>1.0307973307774299E-3</v>
      </c>
      <c r="E43527" s="1">
        <v>4.7930022167635202E-4</v>
      </c>
      <c r="F43527" s="1">
        <v>3.2279804494608402E-3</v>
      </c>
    </row>
    <row r="43528" spans="1:6" x14ac:dyDescent="0.25">
      <c r="A43528" s="2" t="str">
        <f t="shared" si="1353"/>
        <v>13820</v>
      </c>
      <c r="B43528" s="2" t="str">
        <f>"35952"</f>
        <v>35952</v>
      </c>
      <c r="C43528" s="1">
        <v>2.9462744457309999E-3</v>
      </c>
      <c r="D43528" s="1">
        <v>1.84458469718067E-3</v>
      </c>
      <c r="E43528" s="1">
        <v>7.1895033251452795E-4</v>
      </c>
      <c r="F43528" s="1">
        <v>2.7918094326312599E-3</v>
      </c>
    </row>
    <row r="43529" spans="1:6" x14ac:dyDescent="0.25">
      <c r="A43529" s="2" t="str">
        <f t="shared" si="1353"/>
        <v>13820</v>
      </c>
      <c r="B43529" s="2" t="str">
        <f>"35206"</f>
        <v>35206</v>
      </c>
      <c r="C43529" s="1">
        <v>1.5853762493695401E-2</v>
      </c>
      <c r="D43529" s="1">
        <v>1.06515724180335E-2</v>
      </c>
      <c r="E43529" s="1">
        <v>2.4384398777784401E-2</v>
      </c>
      <c r="F43529" s="1">
        <v>1.5625E-2</v>
      </c>
    </row>
    <row r="43530" spans="1:6" x14ac:dyDescent="0.25">
      <c r="A43530" s="2" t="str">
        <f t="shared" si="1353"/>
        <v>13820</v>
      </c>
      <c r="B43530" s="2" t="str">
        <f>"35204"</f>
        <v>35204</v>
      </c>
      <c r="C43530" s="1">
        <v>1.27831726705074E-2</v>
      </c>
      <c r="D43530" s="1">
        <v>1.16281172577174E-2</v>
      </c>
      <c r="E43530" s="1">
        <v>2.7739500329518899E-2</v>
      </c>
      <c r="F43530" s="1">
        <v>1.3075682757230599E-2</v>
      </c>
    </row>
    <row r="43531" spans="1:6" x14ac:dyDescent="0.25">
      <c r="A43531" s="2" t="str">
        <f t="shared" si="1353"/>
        <v>13820</v>
      </c>
      <c r="B43531" s="2" t="str">
        <f>"35444"</f>
        <v>35444</v>
      </c>
      <c r="C43531" s="1">
        <v>1.06556037820289E-4</v>
      </c>
      <c r="D43531" s="1">
        <v>0</v>
      </c>
      <c r="E43531" s="1">
        <v>0</v>
      </c>
      <c r="F43531" s="1">
        <v>9.4477476569585793E-5</v>
      </c>
    </row>
    <row r="43532" spans="1:6" x14ac:dyDescent="0.25">
      <c r="A43532" s="2" t="str">
        <f t="shared" si="1353"/>
        <v>13820</v>
      </c>
      <c r="B43532" s="2" t="str">
        <f>"35232"</f>
        <v>35232</v>
      </c>
      <c r="C43532" s="1">
        <v>1.55394221821255E-3</v>
      </c>
      <c r="D43532" s="1">
        <v>5.5699224189377297E-3</v>
      </c>
      <c r="E43532" s="1">
        <v>1.1982505541908801E-4</v>
      </c>
      <c r="F43532" s="1">
        <v>1.8659301622493099E-3</v>
      </c>
    </row>
    <row r="43533" spans="1:6" x14ac:dyDescent="0.25">
      <c r="A43533" s="2" t="str">
        <f t="shared" si="1353"/>
        <v>13820</v>
      </c>
      <c r="B43533" s="2" t="str">
        <f>"35293"</f>
        <v>35293</v>
      </c>
      <c r="C43533" s="1">
        <v>0</v>
      </c>
      <c r="D43533" s="1">
        <v>0</v>
      </c>
      <c r="E43533" s="1">
        <v>5.9912527709544003E-5</v>
      </c>
      <c r="F43533" s="1">
        <v>1.57462460949309E-6</v>
      </c>
    </row>
    <row r="43534" spans="1:6" x14ac:dyDescent="0.25">
      <c r="A43534" s="2" t="str">
        <f t="shared" si="1353"/>
        <v>13820</v>
      </c>
      <c r="B43534" s="2" t="str">
        <f>"35285"</f>
        <v>35285</v>
      </c>
      <c r="C43534" s="1">
        <v>0</v>
      </c>
      <c r="D43534" s="1">
        <v>1.8084163697849701E-5</v>
      </c>
      <c r="E43534" s="1">
        <v>5.9912527709544003E-5</v>
      </c>
      <c r="F43534" s="1">
        <v>3.1492492189861902E-6</v>
      </c>
    </row>
    <row r="43535" spans="1:6" x14ac:dyDescent="0.25">
      <c r="A43535" s="2" t="str">
        <f t="shared" si="1353"/>
        <v>13820</v>
      </c>
      <c r="B43535" s="2" t="str">
        <f>"35253"</f>
        <v>35253</v>
      </c>
      <c r="C43535" s="1">
        <v>1.2005313594419299E-3</v>
      </c>
      <c r="D43535" s="1">
        <v>4.6837983977430896E-3</v>
      </c>
      <c r="E43535" s="1">
        <v>1.1982505541908801E-4</v>
      </c>
      <c r="F43535" s="1">
        <v>1.4754232590950299E-3</v>
      </c>
    </row>
    <row r="43536" spans="1:6" x14ac:dyDescent="0.25">
      <c r="A43536" s="2" t="str">
        <f t="shared" si="1353"/>
        <v>13820</v>
      </c>
      <c r="B43536" s="2" t="str">
        <f>"35187"</f>
        <v>35187</v>
      </c>
      <c r="C43536" s="1">
        <v>0</v>
      </c>
      <c r="D43536" s="1">
        <v>1.8084163697849701E-5</v>
      </c>
      <c r="E43536" s="1">
        <v>0</v>
      </c>
      <c r="F43536" s="1">
        <v>1.57462460949309E-6</v>
      </c>
    </row>
    <row r="43537" spans="1:6" x14ac:dyDescent="0.25">
      <c r="A43537" s="2" t="str">
        <f t="shared" si="1353"/>
        <v>13820</v>
      </c>
      <c r="B43537" s="2" t="str">
        <f>"35216"</f>
        <v>35216</v>
      </c>
      <c r="C43537" s="1">
        <v>3.06650517507157E-2</v>
      </c>
      <c r="D43537" s="1">
        <v>3.3220608712950003E-2</v>
      </c>
      <c r="E43537" s="1">
        <v>9.3104068060631401E-2</v>
      </c>
      <c r="F43537" s="1">
        <v>3.25285951829083E-2</v>
      </c>
    </row>
    <row r="43538" spans="1:6" x14ac:dyDescent="0.25">
      <c r="A43538" s="2" t="str">
        <f t="shared" si="1353"/>
        <v>13820</v>
      </c>
      <c r="B43538" s="2" t="str">
        <f>"35172"</f>
        <v>35172</v>
      </c>
      <c r="C43538" s="1">
        <v>2.8485980777290701E-3</v>
      </c>
      <c r="D43538" s="1">
        <v>8.86124021194639E-4</v>
      </c>
      <c r="E43538" s="1">
        <v>1.1982505541908799E-3</v>
      </c>
      <c r="F43538" s="1">
        <v>2.6343469716819498E-3</v>
      </c>
    </row>
    <row r="43539" spans="1:6" x14ac:dyDescent="0.25">
      <c r="A43539" s="2" t="str">
        <f t="shared" si="1353"/>
        <v>13820</v>
      </c>
      <c r="B43539" s="2" t="str">
        <f>"35036"</f>
        <v>35036</v>
      </c>
      <c r="C43539" s="1">
        <v>1.7759339636714901E-6</v>
      </c>
      <c r="D43539" s="1">
        <v>5.4252491093549298E-5</v>
      </c>
      <c r="E43539" s="1">
        <v>1.1982505541908801E-4</v>
      </c>
      <c r="F43539" s="1">
        <v>9.4477476569585807E-6</v>
      </c>
    </row>
    <row r="43540" spans="1:6" x14ac:dyDescent="0.25">
      <c r="A43540" s="2" t="str">
        <f t="shared" si="1353"/>
        <v>13820</v>
      </c>
      <c r="B43540" s="2" t="str">
        <f>"35034"</f>
        <v>35034</v>
      </c>
      <c r="C43540" s="1">
        <v>2.5964154548877199E-3</v>
      </c>
      <c r="D43540" s="1">
        <v>1.97117384306562E-3</v>
      </c>
      <c r="E43540" s="1">
        <v>2.2167635252531301E-3</v>
      </c>
      <c r="F43540" s="1">
        <v>2.5319963720648901E-3</v>
      </c>
    </row>
    <row r="43541" spans="1:6" x14ac:dyDescent="0.25">
      <c r="A43541" s="2" t="str">
        <f t="shared" si="1353"/>
        <v>13820</v>
      </c>
      <c r="B43541" s="2" t="str">
        <f>"35043"</f>
        <v>35043</v>
      </c>
      <c r="C43541" s="1">
        <v>1.0110392055181799E-2</v>
      </c>
      <c r="D43541" s="1">
        <v>7.6857695715861598E-3</v>
      </c>
      <c r="E43541" s="1">
        <v>5.6317776046971397E-3</v>
      </c>
      <c r="F43541" s="1">
        <v>9.7815680741711094E-3</v>
      </c>
    </row>
    <row r="43542" spans="1:6" x14ac:dyDescent="0.25">
      <c r="A43542" s="2" t="str">
        <f t="shared" si="1353"/>
        <v>13820</v>
      </c>
      <c r="B43542" s="2" t="str">
        <f>"35117"</f>
        <v>35117</v>
      </c>
      <c r="C43542" s="1">
        <v>4.8287644472227902E-3</v>
      </c>
      <c r="D43542" s="1">
        <v>1.0669656581731299E-3</v>
      </c>
      <c r="E43542" s="1">
        <v>5.9912527709544003E-5</v>
      </c>
      <c r="F43542" s="1">
        <v>4.3758817897813097E-3</v>
      </c>
    </row>
    <row r="43543" spans="1:6" x14ac:dyDescent="0.25">
      <c r="A43543" s="2" t="str">
        <f t="shared" si="1353"/>
        <v>13820</v>
      </c>
      <c r="B43543" s="2" t="str">
        <f>"35021"</f>
        <v>35021</v>
      </c>
      <c r="C43543" s="1">
        <v>1.9748385676027001E-3</v>
      </c>
      <c r="D43543" s="1">
        <v>4.43062010597319E-3</v>
      </c>
      <c r="E43543" s="1">
        <v>1.1982505541908801E-4</v>
      </c>
      <c r="F43543" s="1">
        <v>2.1399148443011101E-3</v>
      </c>
    </row>
    <row r="43544" spans="1:6" x14ac:dyDescent="0.25">
      <c r="A43544" s="2" t="str">
        <f t="shared" si="1353"/>
        <v>13820</v>
      </c>
      <c r="B43544" s="2" t="str">
        <f>"35061"</f>
        <v>35061</v>
      </c>
      <c r="C43544" s="1">
        <v>2.4845316151764201E-3</v>
      </c>
      <c r="D43544" s="1">
        <v>3.16472864712371E-3</v>
      </c>
      <c r="E43544" s="1">
        <v>5.9912527709544003E-5</v>
      </c>
      <c r="F43544" s="1">
        <v>2.4800337599516198E-3</v>
      </c>
    </row>
    <row r="43545" spans="1:6" x14ac:dyDescent="0.25">
      <c r="A43545" s="2" t="str">
        <f t="shared" si="1353"/>
        <v>13820</v>
      </c>
      <c r="B43545" s="2" t="str">
        <f>"35004"</f>
        <v>35004</v>
      </c>
      <c r="C43545" s="1">
        <v>1.0318176328931301E-2</v>
      </c>
      <c r="D43545" s="1">
        <v>9.8377850516302798E-3</v>
      </c>
      <c r="E43545" s="1">
        <v>5.0925648553112402E-3</v>
      </c>
      <c r="F43545" s="1">
        <v>1.0139007860526E-2</v>
      </c>
    </row>
    <row r="43546" spans="1:6" x14ac:dyDescent="0.25">
      <c r="A43546" s="2" t="str">
        <f t="shared" si="1353"/>
        <v>13820</v>
      </c>
      <c r="B43546" s="2" t="str">
        <f>"35211"</f>
        <v>35211</v>
      </c>
      <c r="C43546" s="1">
        <v>2.9611922910258499E-2</v>
      </c>
      <c r="D43546" s="1">
        <v>1.93138868293035E-2</v>
      </c>
      <c r="E43546" s="1">
        <v>5.4879875381942299E-2</v>
      </c>
      <c r="F43546" s="1">
        <v>2.93793459639222E-2</v>
      </c>
    </row>
    <row r="43547" spans="1:6" x14ac:dyDescent="0.25">
      <c r="A43547" s="2" t="str">
        <f t="shared" si="1353"/>
        <v>13820</v>
      </c>
      <c r="B43547" s="2" t="str">
        <f>"35210"</f>
        <v>35210</v>
      </c>
      <c r="C43547" s="1">
        <v>1.40849322658786E-2</v>
      </c>
      <c r="D43547" s="1">
        <v>2.7180498037868199E-2</v>
      </c>
      <c r="E43547" s="1">
        <v>1.9950871727278101E-2</v>
      </c>
      <c r="F43547" s="1">
        <v>1.5379358560919E-2</v>
      </c>
    </row>
    <row r="43548" spans="1:6" x14ac:dyDescent="0.25">
      <c r="A43548" s="2" t="str">
        <f t="shared" si="1353"/>
        <v>13820</v>
      </c>
      <c r="B43548" s="2" t="str">
        <f>"35205"</f>
        <v>35205</v>
      </c>
      <c r="C43548" s="1">
        <v>2.3506261943155901E-2</v>
      </c>
      <c r="D43548" s="1">
        <v>2.1465902309347699E-2</v>
      </c>
      <c r="E43548" s="1">
        <v>8.7771853094482002E-2</v>
      </c>
      <c r="F43548" s="1">
        <v>2.5017635795626301E-2</v>
      </c>
    </row>
    <row r="43549" spans="1:6" x14ac:dyDescent="0.25">
      <c r="A43549" s="2" t="str">
        <f t="shared" si="1353"/>
        <v>13820</v>
      </c>
      <c r="B43549" s="2" t="str">
        <f>"35209"</f>
        <v>35209</v>
      </c>
      <c r="C43549" s="1">
        <v>2.6933814493041799E-2</v>
      </c>
      <c r="D43549" s="1">
        <v>6.07447058610774E-2</v>
      </c>
      <c r="E43549" s="1">
        <v>0.12767359654903801</v>
      </c>
      <c r="F43549" s="1">
        <v>3.2525445933689397E-2</v>
      </c>
    </row>
    <row r="43550" spans="1:6" x14ac:dyDescent="0.25">
      <c r="A43550" s="2" t="str">
        <f t="shared" si="1353"/>
        <v>13820</v>
      </c>
      <c r="B43550" s="2" t="str">
        <f>"35228"</f>
        <v>35228</v>
      </c>
      <c r="C43550" s="1">
        <v>1.00038360173615E-2</v>
      </c>
      <c r="D43550" s="1">
        <v>6.2932889668517204E-3</v>
      </c>
      <c r="E43550" s="1">
        <v>2.4564136360913E-3</v>
      </c>
      <c r="F43550" s="1">
        <v>9.4823893983674197E-3</v>
      </c>
    </row>
    <row r="43551" spans="1:6" x14ac:dyDescent="0.25">
      <c r="A43551" s="2" t="str">
        <f t="shared" si="1353"/>
        <v>13820</v>
      </c>
      <c r="B43551" s="2" t="str">
        <f>"35226"</f>
        <v>35226</v>
      </c>
      <c r="C43551" s="1">
        <v>2.8137897720411101E-2</v>
      </c>
      <c r="D43551" s="1">
        <v>9.8197008879324296E-3</v>
      </c>
      <c r="E43551" s="1">
        <v>1.7494458091186799E-2</v>
      </c>
      <c r="F43551" s="1">
        <v>2.62631638617353E-2</v>
      </c>
    </row>
    <row r="43552" spans="1:6" x14ac:dyDescent="0.25">
      <c r="A43552" s="2" t="str">
        <f t="shared" si="1353"/>
        <v>13820</v>
      </c>
      <c r="B43552" s="2" t="str">
        <f>"35244"</f>
        <v>35244</v>
      </c>
      <c r="C43552" s="1">
        <v>2.7361814578286701E-2</v>
      </c>
      <c r="D43552" s="1">
        <v>3.9966001772248003E-2</v>
      </c>
      <c r="E43552" s="1">
        <v>2.6421424719908899E-2</v>
      </c>
      <c r="F43552" s="1">
        <v>2.8434571198226299E-2</v>
      </c>
    </row>
    <row r="43553" spans="1:6" x14ac:dyDescent="0.25">
      <c r="A43553" s="2" t="str">
        <f t="shared" si="1353"/>
        <v>13820</v>
      </c>
      <c r="B43553" s="2" t="str">
        <f>"35185"</f>
        <v>35185</v>
      </c>
      <c r="C43553" s="1">
        <v>0</v>
      </c>
      <c r="D43553" s="1">
        <v>1.8084163697849701E-5</v>
      </c>
      <c r="E43553" s="1">
        <v>0</v>
      </c>
      <c r="F43553" s="1">
        <v>1.57462460949309E-6</v>
      </c>
    </row>
    <row r="43554" spans="1:6" x14ac:dyDescent="0.25">
      <c r="A43554" s="2" t="str">
        <f t="shared" si="1353"/>
        <v>13820</v>
      </c>
      <c r="B43554" s="2" t="str">
        <f>"35184"</f>
        <v>35184</v>
      </c>
      <c r="C43554" s="1">
        <v>4.7808142302036604E-3</v>
      </c>
      <c r="D43554" s="1">
        <v>1.26589145884948E-3</v>
      </c>
      <c r="E43554" s="1">
        <v>1.55772572044814E-3</v>
      </c>
      <c r="F43554" s="1">
        <v>4.3900534112667504E-3</v>
      </c>
    </row>
    <row r="43555" spans="1:6" x14ac:dyDescent="0.25">
      <c r="A43555" s="2" t="str">
        <f t="shared" si="1353"/>
        <v>13820</v>
      </c>
      <c r="B43555" s="2" t="str">
        <f>"35203"</f>
        <v>35203</v>
      </c>
      <c r="C43555" s="1">
        <v>4.1201667957178603E-3</v>
      </c>
      <c r="D43555" s="1">
        <v>4.8664484510913701E-2</v>
      </c>
      <c r="E43555" s="1">
        <v>2.39650110838176E-2</v>
      </c>
      <c r="F43555" s="1">
        <v>8.5202937619671404E-3</v>
      </c>
    </row>
    <row r="43556" spans="1:6" x14ac:dyDescent="0.25">
      <c r="A43556" s="2" t="str">
        <f t="shared" si="1353"/>
        <v>13820</v>
      </c>
      <c r="B43556" s="2" t="str">
        <f>"35137"</f>
        <v>35137</v>
      </c>
      <c r="C43556" s="1">
        <v>0</v>
      </c>
      <c r="D43556" s="1">
        <v>1.8084163697849701E-5</v>
      </c>
      <c r="E43556" s="1">
        <v>0</v>
      </c>
      <c r="F43556" s="1">
        <v>1.57462460949309E-6</v>
      </c>
    </row>
    <row r="43557" spans="1:6" x14ac:dyDescent="0.25">
      <c r="A43557" s="2" t="str">
        <f t="shared" si="1353"/>
        <v>13820</v>
      </c>
      <c r="B43557" s="2" t="str">
        <f>"35054"</f>
        <v>35054</v>
      </c>
      <c r="C43557" s="1">
        <v>4.1539095410276202E-3</v>
      </c>
      <c r="D43557" s="1">
        <v>1.89883718827422E-3</v>
      </c>
      <c r="E43557" s="1">
        <v>1.01851297106224E-3</v>
      </c>
      <c r="F43557" s="1">
        <v>3.8751511639625101E-3</v>
      </c>
    </row>
    <row r="43558" spans="1:6" x14ac:dyDescent="0.25">
      <c r="A43558" s="2" t="str">
        <f t="shared" ref="A43558:A43589" si="1354">"13820"</f>
        <v>13820</v>
      </c>
      <c r="B43558" s="2" t="str">
        <f>"35031"</f>
        <v>35031</v>
      </c>
      <c r="C43558" s="1">
        <v>6.9456777319192101E-3</v>
      </c>
      <c r="D43558" s="1">
        <v>1.91692135197207E-3</v>
      </c>
      <c r="E43558" s="1">
        <v>2.4564136360913E-3</v>
      </c>
      <c r="F43558" s="1">
        <v>6.3898266653229802E-3</v>
      </c>
    </row>
    <row r="43559" spans="1:6" x14ac:dyDescent="0.25">
      <c r="A43559" s="2" t="str">
        <f t="shared" si="1354"/>
        <v>13820</v>
      </c>
      <c r="B43559" s="2" t="str">
        <f>"35023"</f>
        <v>35023</v>
      </c>
      <c r="C43559" s="1">
        <v>2.08228257240482E-2</v>
      </c>
      <c r="D43559" s="1">
        <v>1.6565093947230401E-2</v>
      </c>
      <c r="E43559" s="1">
        <v>5.8115151878257703E-3</v>
      </c>
      <c r="F43559" s="1">
        <v>2.0057568275723001E-2</v>
      </c>
    </row>
    <row r="43560" spans="1:6" x14ac:dyDescent="0.25">
      <c r="A43560" s="2" t="str">
        <f t="shared" si="1354"/>
        <v>13820</v>
      </c>
      <c r="B43560" s="2" t="str">
        <f>"35123"</f>
        <v>35123</v>
      </c>
      <c r="C43560" s="1">
        <v>0</v>
      </c>
      <c r="D43560" s="1">
        <v>1.8084163697849701E-5</v>
      </c>
      <c r="E43560" s="1">
        <v>0</v>
      </c>
      <c r="F43560" s="1">
        <v>1.57462460949309E-6</v>
      </c>
    </row>
    <row r="43561" spans="1:6" x14ac:dyDescent="0.25">
      <c r="A43561" s="2" t="str">
        <f t="shared" si="1354"/>
        <v>13820</v>
      </c>
      <c r="B43561" s="2" t="str">
        <f>"35124"</f>
        <v>35124</v>
      </c>
      <c r="C43561" s="1">
        <v>2.1568717988790301E-2</v>
      </c>
      <c r="D43561" s="1">
        <v>3.8049080420275903E-2</v>
      </c>
      <c r="E43561" s="1">
        <v>1.1083817626265599E-2</v>
      </c>
      <c r="F43561" s="1">
        <v>2.27281316134233E-2</v>
      </c>
    </row>
    <row r="43562" spans="1:6" x14ac:dyDescent="0.25">
      <c r="A43562" s="2" t="str">
        <f t="shared" si="1354"/>
        <v>13820</v>
      </c>
      <c r="B43562" s="2" t="str">
        <f>"35121"</f>
        <v>35121</v>
      </c>
      <c r="C43562" s="1">
        <v>1.3140135397205301E-2</v>
      </c>
      <c r="D43562" s="1">
        <v>1.3129102844638901E-2</v>
      </c>
      <c r="E43562" s="1">
        <v>1.0304954766041499E-2</v>
      </c>
      <c r="F43562" s="1">
        <v>1.30646603849642E-2</v>
      </c>
    </row>
    <row r="43563" spans="1:6" x14ac:dyDescent="0.25">
      <c r="A43563" s="2" t="str">
        <f t="shared" si="1354"/>
        <v>13820</v>
      </c>
      <c r="B43563" s="2" t="str">
        <f>"35080"</f>
        <v>35080</v>
      </c>
      <c r="C43563" s="1">
        <v>1.37155380014349E-2</v>
      </c>
      <c r="D43563" s="1">
        <v>9.0782501763205896E-3</v>
      </c>
      <c r="E43563" s="1">
        <v>1.9771134144149498E-3</v>
      </c>
      <c r="F43563" s="1">
        <v>1.30032500251939E-2</v>
      </c>
    </row>
    <row r="43564" spans="1:6" x14ac:dyDescent="0.25">
      <c r="A43564" s="2" t="str">
        <f t="shared" si="1354"/>
        <v>13820</v>
      </c>
      <c r="B43564" s="2" t="str">
        <f>"36793"</f>
        <v>36793</v>
      </c>
      <c r="C43564" s="1">
        <v>5.6474700044753501E-4</v>
      </c>
      <c r="D43564" s="1">
        <v>7.2336654791399101E-5</v>
      </c>
      <c r="E43564" s="1">
        <v>5.9912527709543996E-4</v>
      </c>
      <c r="F43564" s="1">
        <v>5.2277537035170802E-4</v>
      </c>
    </row>
    <row r="43565" spans="1:6" x14ac:dyDescent="0.25">
      <c r="A43565" s="2" t="str">
        <f t="shared" si="1354"/>
        <v>13820</v>
      </c>
      <c r="B43565" s="2" t="str">
        <f>"35903"</f>
        <v>35903</v>
      </c>
      <c r="C43565" s="1">
        <v>1.5983405673043398E-5</v>
      </c>
      <c r="D43565" s="1">
        <v>0</v>
      </c>
      <c r="E43565" s="1">
        <v>0</v>
      </c>
      <c r="F43565" s="1">
        <v>1.41716214854378E-5</v>
      </c>
    </row>
    <row r="43566" spans="1:6" x14ac:dyDescent="0.25">
      <c r="A43566" s="2" t="str">
        <f t="shared" si="1354"/>
        <v>13820</v>
      </c>
      <c r="B43566" s="2" t="str">
        <f>"35236"</f>
        <v>35236</v>
      </c>
      <c r="C43566" s="1">
        <v>2.3051622848456002E-3</v>
      </c>
      <c r="D43566" s="1">
        <v>8.8069877208528397E-3</v>
      </c>
      <c r="E43566" s="1">
        <v>1.1982505541908801E-4</v>
      </c>
      <c r="F43566" s="1">
        <v>2.8138541771641598E-3</v>
      </c>
    </row>
    <row r="43567" spans="1:6" x14ac:dyDescent="0.25">
      <c r="A43567" s="2" t="str">
        <f t="shared" si="1354"/>
        <v>13820</v>
      </c>
      <c r="B43567" s="2" t="str">
        <f>"35266"</f>
        <v>35266</v>
      </c>
      <c r="C43567" s="1">
        <v>1.0549047744208601E-3</v>
      </c>
      <c r="D43567" s="1">
        <v>5.80501654700978E-3</v>
      </c>
      <c r="E43567" s="1">
        <v>1.1982505541908801E-4</v>
      </c>
      <c r="F43567" s="1">
        <v>1.44393076690516E-3</v>
      </c>
    </row>
    <row r="43568" spans="1:6" x14ac:dyDescent="0.25">
      <c r="A43568" s="2" t="str">
        <f t="shared" si="1354"/>
        <v>13820</v>
      </c>
      <c r="B43568" s="2" t="str">
        <f>"35181"</f>
        <v>35181</v>
      </c>
      <c r="C43568" s="1">
        <v>1.7759339636714901E-6</v>
      </c>
      <c r="D43568" s="1">
        <v>1.8084163697849701E-5</v>
      </c>
      <c r="E43568" s="1">
        <v>0</v>
      </c>
      <c r="F43568" s="1">
        <v>3.1492492189861902E-6</v>
      </c>
    </row>
    <row r="43569" spans="1:6" x14ac:dyDescent="0.25">
      <c r="A43569" s="2" t="str">
        <f t="shared" si="1354"/>
        <v>13820</v>
      </c>
      <c r="B43569" s="2" t="str">
        <f>"35186"</f>
        <v>35186</v>
      </c>
      <c r="C43569" s="1">
        <v>4.3137435977580602E-3</v>
      </c>
      <c r="D43569" s="1">
        <v>8.86124021194639E-4</v>
      </c>
      <c r="E43569" s="1">
        <v>1.2581630819004199E-3</v>
      </c>
      <c r="F43569" s="1">
        <v>3.93498689912324E-3</v>
      </c>
    </row>
    <row r="43570" spans="1:6" x14ac:dyDescent="0.25">
      <c r="A43570" s="2" t="str">
        <f t="shared" si="1354"/>
        <v>13820</v>
      </c>
      <c r="B43570" s="2" t="str">
        <f>"35217"</f>
        <v>35217</v>
      </c>
      <c r="C43570" s="1">
        <v>1.3282210114299101E-2</v>
      </c>
      <c r="D43570" s="1">
        <v>1.6022569036294902E-2</v>
      </c>
      <c r="E43570" s="1">
        <v>6.7102031034689301E-3</v>
      </c>
      <c r="F43570" s="1">
        <v>1.3348092814672899E-2</v>
      </c>
    </row>
    <row r="43571" spans="1:6" x14ac:dyDescent="0.25">
      <c r="A43571" s="2" t="str">
        <f t="shared" si="1354"/>
        <v>13820</v>
      </c>
      <c r="B43571" s="2" t="str">
        <f>"35135"</f>
        <v>35135</v>
      </c>
      <c r="C43571" s="1">
        <v>1.7048966051246301E-3</v>
      </c>
      <c r="D43571" s="1">
        <v>7.4145071161184101E-4</v>
      </c>
      <c r="E43571" s="1">
        <v>0</v>
      </c>
      <c r="F43571" s="1">
        <v>1.5761992341025799E-3</v>
      </c>
    </row>
    <row r="43572" spans="1:6" x14ac:dyDescent="0.25">
      <c r="A43572" s="2" t="str">
        <f t="shared" si="1354"/>
        <v>13820</v>
      </c>
      <c r="B43572" s="2" t="str">
        <f>"35133"</f>
        <v>35133</v>
      </c>
      <c r="C43572" s="1">
        <v>3.5341085877062701E-3</v>
      </c>
      <c r="D43572" s="1">
        <v>8.86124021194639E-4</v>
      </c>
      <c r="E43572" s="1">
        <v>9.5860044335270502E-4</v>
      </c>
      <c r="F43572" s="1">
        <v>3.2358535725083102E-3</v>
      </c>
    </row>
    <row r="43573" spans="1:6" x14ac:dyDescent="0.25">
      <c r="A43573" s="2" t="str">
        <f t="shared" si="1354"/>
        <v>13820</v>
      </c>
      <c r="B43573" s="2" t="str">
        <f>"35127"</f>
        <v>35127</v>
      </c>
      <c r="C43573" s="1">
        <v>8.4108232519481893E-3</v>
      </c>
      <c r="D43573" s="1">
        <v>3.34557028410221E-3</v>
      </c>
      <c r="E43573" s="1">
        <v>1.61763824815768E-3</v>
      </c>
      <c r="F43573" s="1">
        <v>7.7912425677718403E-3</v>
      </c>
    </row>
    <row r="43574" spans="1:6" x14ac:dyDescent="0.25">
      <c r="A43574" s="2" t="str">
        <f t="shared" si="1354"/>
        <v>13820</v>
      </c>
      <c r="B43574" s="2" t="str">
        <f>"35049"</f>
        <v>35049</v>
      </c>
      <c r="C43574" s="1">
        <v>3.3085649743199901E-3</v>
      </c>
      <c r="D43574" s="1">
        <v>1.41056476843228E-3</v>
      </c>
      <c r="E43574" s="1">
        <v>4.1938769396680802E-4</v>
      </c>
      <c r="F43574" s="1">
        <v>3.0673687392925499E-3</v>
      </c>
    </row>
    <row r="43575" spans="1:6" x14ac:dyDescent="0.25">
      <c r="A43575" s="2" t="str">
        <f t="shared" si="1354"/>
        <v>13820</v>
      </c>
      <c r="B43575" s="2" t="str">
        <f>"35126"</f>
        <v>35126</v>
      </c>
      <c r="C43575" s="1">
        <v>1.6707986730221398E-2</v>
      </c>
      <c r="D43575" s="1">
        <v>6.9262346962764704E-3</v>
      </c>
      <c r="E43575" s="1">
        <v>1.91720088670541E-3</v>
      </c>
      <c r="F43575" s="1">
        <v>1.5467537539050599E-2</v>
      </c>
    </row>
    <row r="43576" spans="1:6" x14ac:dyDescent="0.25">
      <c r="A43576" s="2" t="str">
        <f t="shared" si="1354"/>
        <v>13820</v>
      </c>
      <c r="B43576" s="2" t="str">
        <f>"35112"</f>
        <v>35112</v>
      </c>
      <c r="C43576" s="1">
        <v>0</v>
      </c>
      <c r="D43576" s="1">
        <v>1.8084163697849701E-5</v>
      </c>
      <c r="E43576" s="1">
        <v>0</v>
      </c>
      <c r="F43576" s="1">
        <v>1.57462460949309E-6</v>
      </c>
    </row>
    <row r="43577" spans="1:6" x14ac:dyDescent="0.25">
      <c r="A43577" s="2" t="str">
        <f t="shared" si="1354"/>
        <v>13820</v>
      </c>
      <c r="B43577" s="2" t="str">
        <f>"35094"</f>
        <v>35094</v>
      </c>
      <c r="C43577" s="1">
        <v>1.2655305425123E-2</v>
      </c>
      <c r="D43577" s="1">
        <v>1.32195236631281E-2</v>
      </c>
      <c r="E43577" s="1">
        <v>6.5903780480498402E-3</v>
      </c>
      <c r="F43577" s="1">
        <v>1.25450342638315E-2</v>
      </c>
    </row>
    <row r="43578" spans="1:6" x14ac:dyDescent="0.25">
      <c r="A43578" s="2" t="str">
        <f t="shared" si="1354"/>
        <v>13820</v>
      </c>
      <c r="B43578" s="2" t="str">
        <f>"35006"</f>
        <v>35006</v>
      </c>
      <c r="C43578" s="1">
        <v>3.3884820026852101E-3</v>
      </c>
      <c r="D43578" s="1">
        <v>1.0307973307774299E-3</v>
      </c>
      <c r="E43578" s="1">
        <v>2.9956263854771998E-4</v>
      </c>
      <c r="F43578" s="1">
        <v>3.1020104807013998E-3</v>
      </c>
    </row>
    <row r="43579" spans="1:6" x14ac:dyDescent="0.25">
      <c r="A43579" s="2" t="str">
        <f t="shared" si="1354"/>
        <v>13820</v>
      </c>
      <c r="B43579" s="2" t="str">
        <f>"35005"</f>
        <v>35005</v>
      </c>
      <c r="C43579" s="1">
        <v>6.7627565336610502E-3</v>
      </c>
      <c r="D43579" s="1">
        <v>3.09239199233231E-3</v>
      </c>
      <c r="E43579" s="1">
        <v>9.5860044335270502E-4</v>
      </c>
      <c r="F43579" s="1">
        <v>6.2906253149249197E-3</v>
      </c>
    </row>
    <row r="43580" spans="1:6" x14ac:dyDescent="0.25">
      <c r="A43580" s="2" t="str">
        <f t="shared" si="1354"/>
        <v>13820</v>
      </c>
      <c r="B43580" s="2" t="str">
        <f>"36790"</f>
        <v>36790</v>
      </c>
      <c r="C43580" s="1">
        <v>2.2376767942260801E-4</v>
      </c>
      <c r="D43580" s="1">
        <v>1.8084163697849701E-5</v>
      </c>
      <c r="E43580" s="1">
        <v>0</v>
      </c>
      <c r="F43580" s="1">
        <v>1.9997732540562299E-4</v>
      </c>
    </row>
    <row r="43581" spans="1:6" x14ac:dyDescent="0.25">
      <c r="A43581" s="2" t="str">
        <f t="shared" si="1354"/>
        <v>13820</v>
      </c>
      <c r="B43581" s="2" t="str">
        <f>"35980"</f>
        <v>35980</v>
      </c>
      <c r="C43581" s="1">
        <v>1.24137784060637E-3</v>
      </c>
      <c r="D43581" s="1">
        <v>2.5317829176989699E-4</v>
      </c>
      <c r="E43581" s="1">
        <v>1.7973758312863199E-4</v>
      </c>
      <c r="F43581" s="1">
        <v>1.1274312203970499E-3</v>
      </c>
    </row>
    <row r="43582" spans="1:6" x14ac:dyDescent="0.25">
      <c r="A43582" s="2" t="str">
        <f t="shared" si="1354"/>
        <v>13820</v>
      </c>
      <c r="B43582" s="2" t="str">
        <f>"35229"</f>
        <v>35229</v>
      </c>
      <c r="C43582" s="1">
        <v>0</v>
      </c>
      <c r="D43582" s="1">
        <v>0</v>
      </c>
      <c r="E43582" s="1">
        <v>5.9912527709544003E-5</v>
      </c>
      <c r="F43582" s="1">
        <v>1.57462460949309E-6</v>
      </c>
    </row>
    <row r="43583" spans="1:6" x14ac:dyDescent="0.25">
      <c r="A43583" s="2" t="str">
        <f t="shared" si="1354"/>
        <v>13820</v>
      </c>
      <c r="B43583" s="2" t="str">
        <f>"35238"</f>
        <v>35238</v>
      </c>
      <c r="C43583" s="1">
        <v>1.7297596806160301E-3</v>
      </c>
      <c r="D43583" s="1">
        <v>9.2410076496012399E-3</v>
      </c>
      <c r="E43583" s="1">
        <v>1.1982505541908801E-4</v>
      </c>
      <c r="F43583" s="1">
        <v>2.3414667943162299E-3</v>
      </c>
    </row>
    <row r="43584" spans="1:6" x14ac:dyDescent="0.25">
      <c r="A43584" s="2" t="str">
        <f t="shared" si="1354"/>
        <v>13820</v>
      </c>
      <c r="B43584" s="2" t="str">
        <f>"35224"</f>
        <v>35224</v>
      </c>
      <c r="C43584" s="1">
        <v>5.6954202214944804E-3</v>
      </c>
      <c r="D43584" s="1">
        <v>3.6530010669656499E-3</v>
      </c>
      <c r="E43584" s="1">
        <v>5.9912527709543996E-4</v>
      </c>
      <c r="F43584" s="1">
        <v>5.3836415398568899E-3</v>
      </c>
    </row>
    <row r="43585" spans="1:6" x14ac:dyDescent="0.25">
      <c r="A43585" s="2" t="str">
        <f t="shared" si="1354"/>
        <v>13820</v>
      </c>
      <c r="B43585" s="2" t="str">
        <f>"35259"</f>
        <v>35259</v>
      </c>
      <c r="C43585" s="1">
        <v>8.0272215157951496E-4</v>
      </c>
      <c r="D43585" s="1">
        <v>5.3709966182613799E-3</v>
      </c>
      <c r="E43585" s="1">
        <v>1.1982505541908801E-4</v>
      </c>
      <c r="F43585" s="1">
        <v>1.18254308172931E-3</v>
      </c>
    </row>
    <row r="43586" spans="1:6" x14ac:dyDescent="0.25">
      <c r="A43586" s="2" t="str">
        <f t="shared" si="1354"/>
        <v>13820</v>
      </c>
      <c r="B43586" s="2" t="str">
        <f>"35218"</f>
        <v>35218</v>
      </c>
      <c r="C43586" s="1">
        <v>8.0716198648869402E-3</v>
      </c>
      <c r="D43586" s="1">
        <v>9.9824583612130799E-3</v>
      </c>
      <c r="E43586" s="1">
        <v>1.12635552093942E-2</v>
      </c>
      <c r="F43586" s="1">
        <v>8.3218910611710106E-3</v>
      </c>
    </row>
    <row r="43587" spans="1:6" x14ac:dyDescent="0.25">
      <c r="A43587" s="2" t="str">
        <f t="shared" si="1354"/>
        <v>13820</v>
      </c>
      <c r="B43587" s="2" t="str">
        <f>"35215"</f>
        <v>35215</v>
      </c>
      <c r="C43587" s="1">
        <v>3.7699526180818399E-2</v>
      </c>
      <c r="D43587" s="1">
        <v>2.21531005298659E-2</v>
      </c>
      <c r="E43587" s="1">
        <v>7.6747947995925894E-2</v>
      </c>
      <c r="F43587" s="1">
        <v>3.7372140481709101E-2</v>
      </c>
    </row>
    <row r="43588" spans="1:6" x14ac:dyDescent="0.25">
      <c r="A43588" s="2" t="str">
        <f t="shared" si="1354"/>
        <v>13820</v>
      </c>
      <c r="B43588" s="2" t="str">
        <f>"35148"</f>
        <v>35148</v>
      </c>
      <c r="C43588" s="1">
        <v>6.9261424583188201E-5</v>
      </c>
      <c r="D43588" s="1">
        <v>0</v>
      </c>
      <c r="E43588" s="1">
        <v>0</v>
      </c>
      <c r="F43588" s="1">
        <v>6.1410359770230707E-5</v>
      </c>
    </row>
    <row r="43589" spans="1:6" x14ac:dyDescent="0.25">
      <c r="A43589" s="2" t="str">
        <f t="shared" si="1354"/>
        <v>13820</v>
      </c>
      <c r="B43589" s="2" t="str">
        <f>"35147"</f>
        <v>35147</v>
      </c>
      <c r="C43589" s="1">
        <v>4.5304075413259799E-3</v>
      </c>
      <c r="D43589" s="1">
        <v>1.5371539143172301E-3</v>
      </c>
      <c r="E43589" s="1">
        <v>5.3921274938589596E-4</v>
      </c>
      <c r="F43589" s="1">
        <v>4.1648820921092403E-3</v>
      </c>
    </row>
    <row r="43590" spans="1:6" x14ac:dyDescent="0.25">
      <c r="A43590" s="2" t="str">
        <f t="shared" ref="A43590:A43621" si="1355">"13820"</f>
        <v>13820</v>
      </c>
      <c r="B43590" s="2" t="str">
        <f>"35128"</f>
        <v>35128</v>
      </c>
      <c r="C43590" s="1">
        <v>9.7001513095737006E-3</v>
      </c>
      <c r="D43590" s="1">
        <v>5.6965115648226804E-3</v>
      </c>
      <c r="E43590" s="1">
        <v>4.1339644119585397E-3</v>
      </c>
      <c r="F43590" s="1">
        <v>9.2052554670966399E-3</v>
      </c>
    </row>
    <row r="43591" spans="1:6" x14ac:dyDescent="0.25">
      <c r="A43591" s="2" t="str">
        <f t="shared" si="1355"/>
        <v>13820</v>
      </c>
      <c r="B43591" s="2" t="str">
        <f>"35048"</f>
        <v>35048</v>
      </c>
      <c r="C43591" s="1">
        <v>6.4288809484908105E-4</v>
      </c>
      <c r="D43591" s="1">
        <v>2.1520154800441201E-3</v>
      </c>
      <c r="E43591" s="1">
        <v>1.1982505541908801E-4</v>
      </c>
      <c r="F43591" s="1">
        <v>7.6054368638516499E-4</v>
      </c>
    </row>
    <row r="43592" spans="1:6" x14ac:dyDescent="0.25">
      <c r="A43592" s="2" t="str">
        <f t="shared" si="1355"/>
        <v>13820</v>
      </c>
      <c r="B43592" s="2" t="str">
        <f>"35052"</f>
        <v>35052</v>
      </c>
      <c r="C43592" s="1">
        <v>0</v>
      </c>
      <c r="D43592" s="1">
        <v>1.8084163697849701E-5</v>
      </c>
      <c r="E43592" s="1">
        <v>0</v>
      </c>
      <c r="F43592" s="1">
        <v>1.57462460949309E-6</v>
      </c>
    </row>
    <row r="43593" spans="1:6" x14ac:dyDescent="0.25">
      <c r="A43593" s="2" t="str">
        <f t="shared" si="1355"/>
        <v>13820</v>
      </c>
      <c r="B43593" s="2" t="str">
        <f>"35074"</f>
        <v>35074</v>
      </c>
      <c r="C43593" s="1">
        <v>0</v>
      </c>
      <c r="D43593" s="1">
        <v>1.8084163697849701E-5</v>
      </c>
      <c r="E43593" s="1">
        <v>0</v>
      </c>
      <c r="F43593" s="1">
        <v>1.57462460949309E-6</v>
      </c>
    </row>
    <row r="43594" spans="1:6" x14ac:dyDescent="0.25">
      <c r="A43594" s="2" t="str">
        <f t="shared" si="1355"/>
        <v>13820</v>
      </c>
      <c r="B43594" s="2" t="str">
        <f>"35073"</f>
        <v>35073</v>
      </c>
      <c r="C43594" s="1">
        <v>2.3406809641190302E-3</v>
      </c>
      <c r="D43594" s="1">
        <v>1.75416387869142E-3</v>
      </c>
      <c r="E43594" s="1">
        <v>1.7973758312863199E-4</v>
      </c>
      <c r="F43594" s="1">
        <v>2.2328176962612099E-3</v>
      </c>
    </row>
    <row r="43595" spans="1:6" x14ac:dyDescent="0.25">
      <c r="A43595" s="2" t="str">
        <f t="shared" si="1355"/>
        <v>13820</v>
      </c>
      <c r="B43595" s="2" t="str">
        <f>"35114"</f>
        <v>35114</v>
      </c>
      <c r="C43595" s="1">
        <v>5.3047147494867499E-3</v>
      </c>
      <c r="D43595" s="1">
        <v>3.2551494656129598E-4</v>
      </c>
      <c r="E43595" s="1">
        <v>8.9868791564316004E-4</v>
      </c>
      <c r="F43595" s="1">
        <v>4.7553663206691497E-3</v>
      </c>
    </row>
    <row r="43596" spans="1:6" x14ac:dyDescent="0.25">
      <c r="A43596" s="2" t="str">
        <f t="shared" si="1355"/>
        <v>13820</v>
      </c>
      <c r="B43596" s="2" t="str">
        <f>"35015"</f>
        <v>35015</v>
      </c>
      <c r="C43596" s="1">
        <v>0</v>
      </c>
      <c r="D43596" s="1">
        <v>1.8084163697849701E-5</v>
      </c>
      <c r="E43596" s="1">
        <v>0</v>
      </c>
      <c r="F43596" s="1">
        <v>1.57462460949309E-6</v>
      </c>
    </row>
    <row r="43597" spans="1:6" x14ac:dyDescent="0.25">
      <c r="A43597" s="2" t="str">
        <f t="shared" si="1355"/>
        <v>13820</v>
      </c>
      <c r="B43597" s="2" t="str">
        <f>"35022"</f>
        <v>35022</v>
      </c>
      <c r="C43597" s="1">
        <v>1.9872701053484002E-2</v>
      </c>
      <c r="D43597" s="1">
        <v>1.5552380780150799E-2</v>
      </c>
      <c r="E43597" s="1">
        <v>7.9084536576598096E-3</v>
      </c>
      <c r="F43597" s="1">
        <v>1.9182076992844899E-2</v>
      </c>
    </row>
    <row r="43598" spans="1:6" x14ac:dyDescent="0.25">
      <c r="A43598" s="2" t="str">
        <f t="shared" si="1355"/>
        <v>13820</v>
      </c>
      <c r="B43598" s="2" t="str">
        <f>"35068"</f>
        <v>35068</v>
      </c>
      <c r="C43598" s="1">
        <v>7.6578272513514803E-3</v>
      </c>
      <c r="D43598" s="1">
        <v>4.1593576505054497E-3</v>
      </c>
      <c r="E43598" s="1">
        <v>7.0097657420166498E-3</v>
      </c>
      <c r="F43598" s="1">
        <v>7.3361760556283299E-3</v>
      </c>
    </row>
    <row r="43599" spans="1:6" x14ac:dyDescent="0.25">
      <c r="A43599" s="2" t="str">
        <f t="shared" si="1355"/>
        <v>13820</v>
      </c>
      <c r="B43599" s="2" t="str">
        <f>"35063"</f>
        <v>35063</v>
      </c>
      <c r="C43599" s="1">
        <v>6.3045655710337997E-4</v>
      </c>
      <c r="D43599" s="1">
        <v>1.98925800676347E-4</v>
      </c>
      <c r="E43599" s="1">
        <v>1.7973758312863199E-4</v>
      </c>
      <c r="F43599" s="1">
        <v>5.8103648090295195E-4</v>
      </c>
    </row>
    <row r="43600" spans="1:6" x14ac:dyDescent="0.25">
      <c r="A43600" s="2" t="str">
        <f t="shared" si="1355"/>
        <v>13820</v>
      </c>
      <c r="B43600" s="2" t="str">
        <f>"36006"</f>
        <v>36006</v>
      </c>
      <c r="C43600" s="1">
        <v>3.58738660661641E-4</v>
      </c>
      <c r="D43600" s="1">
        <v>1.4467330958279801E-4</v>
      </c>
      <c r="E43600" s="1">
        <v>2.3965011083817601E-4</v>
      </c>
      <c r="F43600" s="1">
        <v>3.3696966643152201E-4</v>
      </c>
    </row>
    <row r="43601" spans="1:6" x14ac:dyDescent="0.25">
      <c r="A43601" s="2" t="str">
        <f t="shared" si="1355"/>
        <v>13820</v>
      </c>
      <c r="B43601" s="2" t="str">
        <f>"35906"</f>
        <v>35906</v>
      </c>
      <c r="C43601" s="1">
        <v>3.9070547200772802E-5</v>
      </c>
      <c r="D43601" s="1">
        <v>0</v>
      </c>
      <c r="E43601" s="1">
        <v>0</v>
      </c>
      <c r="F43601" s="1">
        <v>3.4641741408848102E-5</v>
      </c>
    </row>
    <row r="43602" spans="1:6" x14ac:dyDescent="0.25">
      <c r="A43602" s="2" t="str">
        <f t="shared" si="1355"/>
        <v>13820</v>
      </c>
      <c r="B43602" s="2" t="str">
        <f>"35207"</f>
        <v>35207</v>
      </c>
      <c r="C43602" s="1">
        <v>9.3449645168394001E-3</v>
      </c>
      <c r="D43602" s="1">
        <v>8.7346510660614406E-3</v>
      </c>
      <c r="E43602" s="1">
        <v>5.5718650769875904E-3</v>
      </c>
      <c r="F43602" s="1">
        <v>9.1926584702206899E-3</v>
      </c>
    </row>
    <row r="43603" spans="1:6" x14ac:dyDescent="0.25">
      <c r="A43603" s="2" t="str">
        <f t="shared" si="1355"/>
        <v>13820</v>
      </c>
      <c r="B43603" s="2" t="str">
        <f>"35235"</f>
        <v>35235</v>
      </c>
      <c r="C43603" s="1">
        <v>1.5878625569186799E-2</v>
      </c>
      <c r="D43603" s="1">
        <v>1.8047995370454002E-2</v>
      </c>
      <c r="E43603" s="1">
        <v>1.49182193996764E-2</v>
      </c>
      <c r="F43603" s="1">
        <v>1.60422755215156E-2</v>
      </c>
    </row>
    <row r="43604" spans="1:6" x14ac:dyDescent="0.25">
      <c r="A43604" s="2" t="str">
        <f t="shared" si="1355"/>
        <v>13820</v>
      </c>
      <c r="B43604" s="2" t="str">
        <f>"35233"</f>
        <v>35233</v>
      </c>
      <c r="C43604" s="1">
        <v>3.34763552152076E-3</v>
      </c>
      <c r="D43604" s="1">
        <v>2.1791417255908999E-2</v>
      </c>
      <c r="E43604" s="1">
        <v>6.7701156311784699E-3</v>
      </c>
      <c r="F43604" s="1">
        <v>5.0435226242063801E-3</v>
      </c>
    </row>
    <row r="43605" spans="1:6" x14ac:dyDescent="0.25">
      <c r="A43605" s="2" t="str">
        <f t="shared" si="1355"/>
        <v>13820</v>
      </c>
      <c r="B43605" s="2" t="str">
        <f>"35295"</f>
        <v>35295</v>
      </c>
      <c r="C43605" s="1">
        <v>0</v>
      </c>
      <c r="D43605" s="1">
        <v>0</v>
      </c>
      <c r="E43605" s="1">
        <v>5.9912527709544003E-5</v>
      </c>
      <c r="F43605" s="1">
        <v>1.57462460949309E-6</v>
      </c>
    </row>
    <row r="43606" spans="1:6" x14ac:dyDescent="0.25">
      <c r="A43606" s="2" t="str">
        <f t="shared" si="1355"/>
        <v>13820</v>
      </c>
      <c r="B43606" s="2" t="str">
        <f>"35255"</f>
        <v>35255</v>
      </c>
      <c r="C43606" s="1">
        <v>1.26624091609777E-3</v>
      </c>
      <c r="D43606" s="1">
        <v>2.9477186827495099E-3</v>
      </c>
      <c r="E43606" s="1">
        <v>5.9912527709544003E-5</v>
      </c>
      <c r="F43606" s="1">
        <v>1.38094578252544E-3</v>
      </c>
    </row>
    <row r="43607" spans="1:6" x14ac:dyDescent="0.25">
      <c r="A43607" s="2" t="str">
        <f t="shared" si="1355"/>
        <v>13820</v>
      </c>
      <c r="B43607" s="2" t="str">
        <f>"35243"</f>
        <v>35243</v>
      </c>
      <c r="C43607" s="1">
        <v>1.9808767430791799E-2</v>
      </c>
      <c r="D43607" s="1">
        <v>3.10143407418123E-2</v>
      </c>
      <c r="E43607" s="1">
        <v>1.5756994787610001E-2</v>
      </c>
      <c r="F43607" s="1">
        <v>2.0677970371863301E-2</v>
      </c>
    </row>
    <row r="43608" spans="1:6" x14ac:dyDescent="0.25">
      <c r="A43608" s="2" t="str">
        <f t="shared" si="1355"/>
        <v>13820</v>
      </c>
      <c r="B43608" s="2" t="str">
        <f>"35202"</f>
        <v>35202</v>
      </c>
      <c r="C43608" s="1">
        <v>3.0244155401325501E-3</v>
      </c>
      <c r="D43608" s="1">
        <v>1.4593920104164699E-2</v>
      </c>
      <c r="E43608" s="1">
        <v>1.1982505541908801E-4</v>
      </c>
      <c r="F43608" s="1">
        <v>3.9554570190466496E-3</v>
      </c>
    </row>
    <row r="43609" spans="1:6" x14ac:dyDescent="0.25">
      <c r="A43609" s="2" t="str">
        <f t="shared" si="1355"/>
        <v>13820</v>
      </c>
      <c r="B43609" s="2" t="str">
        <f>"35146"</f>
        <v>35146</v>
      </c>
      <c r="C43609" s="1">
        <v>8.5795369784969905E-3</v>
      </c>
      <c r="D43609" s="1">
        <v>3.5987485758721001E-3</v>
      </c>
      <c r="E43609" s="1">
        <v>5.9912527709543996E-4</v>
      </c>
      <c r="F43609" s="1">
        <v>7.9361080318452008E-3</v>
      </c>
    </row>
    <row r="43610" spans="1:6" x14ac:dyDescent="0.25">
      <c r="A43610" s="2" t="str">
        <f t="shared" si="1355"/>
        <v>13820</v>
      </c>
      <c r="B43610" s="2" t="str">
        <f>"35045"</f>
        <v>35045</v>
      </c>
      <c r="C43610" s="1">
        <v>1.3319504727536201E-2</v>
      </c>
      <c r="D43610" s="1">
        <v>1.7179955512957298E-2</v>
      </c>
      <c r="E43610" s="1">
        <v>6.2309028817925799E-3</v>
      </c>
      <c r="F43610" s="1">
        <v>1.34693389096039E-2</v>
      </c>
    </row>
    <row r="43611" spans="1:6" x14ac:dyDescent="0.25">
      <c r="A43611" s="2" t="str">
        <f t="shared" si="1355"/>
        <v>13820</v>
      </c>
      <c r="B43611" s="2" t="str">
        <f>"35035"</f>
        <v>35035</v>
      </c>
      <c r="C43611" s="1">
        <v>1.48112892570202E-3</v>
      </c>
      <c r="D43611" s="1">
        <v>4.1593576505054498E-4</v>
      </c>
      <c r="E43611" s="1">
        <v>2.9956263854771998E-4</v>
      </c>
      <c r="F43611" s="1">
        <v>1.3573264133830401E-3</v>
      </c>
    </row>
    <row r="43612" spans="1:6" x14ac:dyDescent="0.25">
      <c r="A43612" s="2" t="str">
        <f t="shared" si="1355"/>
        <v>13820</v>
      </c>
      <c r="B43612" s="2" t="str">
        <f>"35119"</f>
        <v>35119</v>
      </c>
      <c r="C43612" s="1">
        <v>0</v>
      </c>
      <c r="D43612" s="1">
        <v>3.6168327395699503E-5</v>
      </c>
      <c r="E43612" s="1">
        <v>0</v>
      </c>
      <c r="F43612" s="1">
        <v>3.1492492189861902E-6</v>
      </c>
    </row>
    <row r="43613" spans="1:6" x14ac:dyDescent="0.25">
      <c r="A43613" s="2" t="str">
        <f t="shared" si="1355"/>
        <v>13820</v>
      </c>
      <c r="B43613" s="2" t="str">
        <f>"35125"</f>
        <v>35125</v>
      </c>
      <c r="C43613" s="1">
        <v>9.0501594788699301E-3</v>
      </c>
      <c r="D43613" s="1">
        <v>1.2514241278912E-2</v>
      </c>
      <c r="E43613" s="1">
        <v>6.5903780480498402E-3</v>
      </c>
      <c r="F43613" s="1">
        <v>9.28713594679028E-3</v>
      </c>
    </row>
    <row r="43614" spans="1:6" x14ac:dyDescent="0.25">
      <c r="A43614" s="2" t="str">
        <f t="shared" si="1355"/>
        <v>13820</v>
      </c>
      <c r="B43614" s="2" t="str">
        <f>"35064"</f>
        <v>35064</v>
      </c>
      <c r="C43614" s="1">
        <v>1.01405829325642E-2</v>
      </c>
      <c r="D43614" s="1">
        <v>1.1194097328969E-2</v>
      </c>
      <c r="E43614" s="1">
        <v>6.94985321430711E-3</v>
      </c>
      <c r="F43614" s="1">
        <v>1.0148455608182999E-2</v>
      </c>
    </row>
    <row r="43615" spans="1:6" x14ac:dyDescent="0.25">
      <c r="A43615" s="2" t="str">
        <f t="shared" si="1355"/>
        <v>13820</v>
      </c>
      <c r="B43615" s="2" t="str">
        <f>"35062"</f>
        <v>35062</v>
      </c>
      <c r="C43615" s="1">
        <v>4.7701586264216299E-3</v>
      </c>
      <c r="D43615" s="1">
        <v>1.33822811364088E-3</v>
      </c>
      <c r="E43615" s="1">
        <v>2.3965011083817601E-4</v>
      </c>
      <c r="F43615" s="1">
        <v>4.35226242063891E-3</v>
      </c>
    </row>
    <row r="43616" spans="1:6" x14ac:dyDescent="0.25">
      <c r="A43616" s="2" t="str">
        <f t="shared" si="1355"/>
        <v>13820</v>
      </c>
      <c r="B43616" s="2" t="str">
        <f>"35007"</f>
        <v>35007</v>
      </c>
      <c r="C43616" s="1">
        <v>2.3074709989983701E-2</v>
      </c>
      <c r="D43616" s="1">
        <v>2.5968859070112298E-2</v>
      </c>
      <c r="E43616" s="1">
        <v>2.1628422503145402E-2</v>
      </c>
      <c r="F43616" s="1">
        <v>2.3288697974402899E-2</v>
      </c>
    </row>
    <row r="43617" spans="1:6" x14ac:dyDescent="0.25">
      <c r="A43617" s="2" t="str">
        <f t="shared" si="1355"/>
        <v>13820</v>
      </c>
      <c r="B43617" s="2" t="str">
        <f>"35953"</f>
        <v>35953</v>
      </c>
      <c r="C43617" s="1">
        <v>6.6348892882767E-3</v>
      </c>
      <c r="D43617" s="1">
        <v>2.6583720635839098E-3</v>
      </c>
      <c r="E43617" s="1">
        <v>1.3779881373195101E-3</v>
      </c>
      <c r="F43617" s="1">
        <v>6.1504837246800304E-3</v>
      </c>
    </row>
    <row r="43618" spans="1:6" x14ac:dyDescent="0.25">
      <c r="A43618" s="2" t="str">
        <f t="shared" si="1355"/>
        <v>13820</v>
      </c>
      <c r="B43618" s="2" t="str">
        <f>"35214"</f>
        <v>35214</v>
      </c>
      <c r="C43618" s="1">
        <v>1.7411256579835301E-2</v>
      </c>
      <c r="D43618" s="1">
        <v>1.1013255691990499E-2</v>
      </c>
      <c r="E43618" s="1">
        <v>1.51578695105146E-2</v>
      </c>
      <c r="F43618" s="1">
        <v>1.67949460848533E-2</v>
      </c>
    </row>
    <row r="43619" spans="1:6" x14ac:dyDescent="0.25">
      <c r="A43619" s="2" t="str">
        <f t="shared" si="1355"/>
        <v>13820</v>
      </c>
      <c r="B43619" s="2" t="str">
        <f>"35208"</f>
        <v>35208</v>
      </c>
      <c r="C43619" s="1">
        <v>1.45715381719246E-2</v>
      </c>
      <c r="D43619" s="1">
        <v>1.2152558004955001E-2</v>
      </c>
      <c r="E43619" s="1">
        <v>1.2581630819004199E-2</v>
      </c>
      <c r="F43619" s="1">
        <v>1.4308613826463701E-2</v>
      </c>
    </row>
    <row r="43620" spans="1:6" x14ac:dyDescent="0.25">
      <c r="A43620" s="2" t="str">
        <f t="shared" si="1355"/>
        <v>13820</v>
      </c>
      <c r="B43620" s="2" t="str">
        <f>"35242"</f>
        <v>35242</v>
      </c>
      <c r="C43620" s="1">
        <v>4.4282913384148699E-2</v>
      </c>
      <c r="D43620" s="1">
        <v>3.6150243232001701E-2</v>
      </c>
      <c r="E43620" s="1">
        <v>2.0010784254987701E-2</v>
      </c>
      <c r="F43620" s="1">
        <v>4.2936863851657701E-2</v>
      </c>
    </row>
    <row r="43621" spans="1:6" x14ac:dyDescent="0.25">
      <c r="A43621" s="2" t="str">
        <f t="shared" si="1355"/>
        <v>13820</v>
      </c>
      <c r="B43621" s="2" t="str">
        <f>"35231"</f>
        <v>35231</v>
      </c>
      <c r="C43621" s="1">
        <v>1.94642362418395E-3</v>
      </c>
      <c r="D43621" s="1">
        <v>2.4775304266054202E-3</v>
      </c>
      <c r="E43621" s="1">
        <v>1.1982505541908801E-4</v>
      </c>
      <c r="F43621" s="1">
        <v>1.94466139272397E-3</v>
      </c>
    </row>
    <row r="43622" spans="1:6" x14ac:dyDescent="0.25">
      <c r="A43622" s="2" t="str">
        <f t="shared" ref="A43622:A43653" si="1356">"13820"</f>
        <v>13820</v>
      </c>
      <c r="B43622" s="2" t="str">
        <f>"35201"</f>
        <v>35201</v>
      </c>
      <c r="C43622" s="1">
        <v>1.48112892570202E-3</v>
      </c>
      <c r="D43622" s="1">
        <v>8.5357252653851003E-3</v>
      </c>
      <c r="E43622" s="1">
        <v>1.1982505541908801E-4</v>
      </c>
      <c r="F43622" s="1">
        <v>2.0596089892169702E-3</v>
      </c>
    </row>
    <row r="43623" spans="1:6" x14ac:dyDescent="0.25">
      <c r="A43623" s="2" t="str">
        <f t="shared" si="1356"/>
        <v>13820</v>
      </c>
      <c r="B43623" s="2" t="str">
        <f>"35188"</f>
        <v>35188</v>
      </c>
      <c r="C43623" s="1">
        <v>2.1240170205511001E-3</v>
      </c>
      <c r="D43623" s="1">
        <v>2.45944626290757E-3</v>
      </c>
      <c r="E43623" s="1">
        <v>1.07842549877179E-3</v>
      </c>
      <c r="F43623" s="1">
        <v>2.1257432228156798E-3</v>
      </c>
    </row>
    <row r="43624" spans="1:6" x14ac:dyDescent="0.25">
      <c r="A43624" s="2" t="str">
        <f t="shared" si="1356"/>
        <v>13820</v>
      </c>
      <c r="B43624" s="2" t="str">
        <f>"35178"</f>
        <v>35178</v>
      </c>
      <c r="C43624" s="1">
        <v>3.2641666252282001E-3</v>
      </c>
      <c r="D43624" s="1">
        <v>4.7018825614409402E-4</v>
      </c>
      <c r="E43624" s="1">
        <v>6.5903780480498395E-4</v>
      </c>
      <c r="F43624" s="1">
        <v>2.9524211427995502E-3</v>
      </c>
    </row>
    <row r="43625" spans="1:6" x14ac:dyDescent="0.25">
      <c r="A43625" s="2" t="str">
        <f t="shared" si="1356"/>
        <v>13820</v>
      </c>
      <c r="B43625" s="2" t="str">
        <f>"35222"</f>
        <v>35222</v>
      </c>
      <c r="C43625" s="1">
        <v>8.5830888464243308E-3</v>
      </c>
      <c r="D43625" s="1">
        <v>1.54800441253594E-2</v>
      </c>
      <c r="E43625" s="1">
        <v>2.1149122281469E-2</v>
      </c>
      <c r="F43625" s="1">
        <v>9.5138818905572894E-3</v>
      </c>
    </row>
    <row r="43626" spans="1:6" x14ac:dyDescent="0.25">
      <c r="A43626" s="2" t="str">
        <f t="shared" si="1356"/>
        <v>13820</v>
      </c>
      <c r="B43626" s="2" t="str">
        <f>"35130"</f>
        <v>35130</v>
      </c>
      <c r="C43626" s="1">
        <v>1.2822243217708101E-3</v>
      </c>
      <c r="D43626" s="1">
        <v>4.5210409244624401E-4</v>
      </c>
      <c r="E43626" s="1">
        <v>0</v>
      </c>
      <c r="F43626" s="1">
        <v>1.17624458329134E-3</v>
      </c>
    </row>
    <row r="43627" spans="1:6" x14ac:dyDescent="0.25">
      <c r="A43627" s="2" t="str">
        <f t="shared" si="1356"/>
        <v>13820</v>
      </c>
      <c r="B43627" s="2" t="str">
        <f>"35091"</f>
        <v>35091</v>
      </c>
      <c r="C43627" s="1">
        <v>2.4348054641936102E-3</v>
      </c>
      <c r="D43627" s="1">
        <v>6.5102989312259196E-4</v>
      </c>
      <c r="E43627" s="1">
        <v>5.9912527709544003E-5</v>
      </c>
      <c r="F43627" s="1">
        <v>2.2170714501662798E-3</v>
      </c>
    </row>
    <row r="43628" spans="1:6" x14ac:dyDescent="0.25">
      <c r="A43628" s="2" t="str">
        <f t="shared" si="1356"/>
        <v>13820</v>
      </c>
      <c r="B43628" s="2" t="str">
        <f>"35085"</f>
        <v>35085</v>
      </c>
      <c r="C43628" s="1">
        <v>7.7963501005178602E-3</v>
      </c>
      <c r="D43628" s="1">
        <v>2.5136987540011202E-3</v>
      </c>
      <c r="E43628" s="1">
        <v>1.01851297106224E-3</v>
      </c>
      <c r="F43628" s="1">
        <v>7.1582434747556097E-3</v>
      </c>
    </row>
    <row r="43629" spans="1:6" x14ac:dyDescent="0.25">
      <c r="A43629" s="2" t="str">
        <f t="shared" si="1356"/>
        <v>13820</v>
      </c>
      <c r="B43629" s="2" t="str">
        <f>"35118"</f>
        <v>35118</v>
      </c>
      <c r="C43629" s="1">
        <v>3.05283048355129E-3</v>
      </c>
      <c r="D43629" s="1">
        <v>1.4286489321301301E-3</v>
      </c>
      <c r="E43629" s="1">
        <v>1.7973758312863199E-4</v>
      </c>
      <c r="F43629" s="1">
        <v>2.8358989216970601E-3</v>
      </c>
    </row>
    <row r="43630" spans="1:6" x14ac:dyDescent="0.25">
      <c r="A43630" s="2" t="str">
        <f t="shared" si="1356"/>
        <v>13820</v>
      </c>
      <c r="B43630" s="2" t="str">
        <f>"35016"</f>
        <v>35016</v>
      </c>
      <c r="C43630" s="1">
        <v>2.8947723607845302E-4</v>
      </c>
      <c r="D43630" s="1">
        <v>5.4252491093549298E-5</v>
      </c>
      <c r="E43630" s="1">
        <v>0</v>
      </c>
      <c r="F43630" s="1">
        <v>2.6138768517585401E-4</v>
      </c>
    </row>
    <row r="43631" spans="1:6" x14ac:dyDescent="0.25">
      <c r="A43631" s="2" t="str">
        <f t="shared" si="1356"/>
        <v>13820</v>
      </c>
      <c r="B43631" s="2" t="str">
        <f>"35060"</f>
        <v>35060</v>
      </c>
      <c r="C43631" s="1">
        <v>3.5518679273429802E-6</v>
      </c>
      <c r="D43631" s="1">
        <v>1.8084163697849701E-5</v>
      </c>
      <c r="E43631" s="1">
        <v>0</v>
      </c>
      <c r="F43631" s="1">
        <v>4.7238738284792903E-6</v>
      </c>
    </row>
    <row r="43632" spans="1:6" x14ac:dyDescent="0.25">
      <c r="A43632" s="2" t="str">
        <f t="shared" si="1356"/>
        <v>13820</v>
      </c>
      <c r="B43632" s="2" t="str">
        <f>"36792"</f>
        <v>36792</v>
      </c>
      <c r="C43632" s="1">
        <v>1.1472533405317801E-3</v>
      </c>
      <c r="D43632" s="1">
        <v>2.17009964374197E-4</v>
      </c>
      <c r="E43632" s="1">
        <v>1.7973758312863199E-4</v>
      </c>
      <c r="F43632" s="1">
        <v>1.04082686687493E-3</v>
      </c>
    </row>
    <row r="43633" spans="1:6" x14ac:dyDescent="0.25">
      <c r="A43633" s="2" t="str">
        <f t="shared" si="1356"/>
        <v>13820</v>
      </c>
      <c r="B43633" s="2" t="str">
        <f>"36758"</f>
        <v>36758</v>
      </c>
      <c r="C43633" s="1">
        <v>4.4753535884521601E-4</v>
      </c>
      <c r="D43633" s="1">
        <v>1.2658914588494801E-4</v>
      </c>
      <c r="E43633" s="1">
        <v>0</v>
      </c>
      <c r="F43633" s="1">
        <v>4.0782777385871201E-4</v>
      </c>
    </row>
    <row r="43634" spans="1:6" x14ac:dyDescent="0.25">
      <c r="A43634" s="2" t="str">
        <f t="shared" si="1356"/>
        <v>13820</v>
      </c>
      <c r="B43634" s="2" t="str">
        <f>"35976"</f>
        <v>35976</v>
      </c>
      <c r="C43634" s="1">
        <v>4.9370964190067503E-4</v>
      </c>
      <c r="D43634" s="1">
        <v>5.4252491093549298E-5</v>
      </c>
      <c r="E43634" s="1">
        <v>3.5947516625726397E-4</v>
      </c>
      <c r="F43634" s="1">
        <v>4.5191726292451802E-4</v>
      </c>
    </row>
    <row r="43635" spans="1:6" x14ac:dyDescent="0.25">
      <c r="A43635" s="2" t="str">
        <f t="shared" si="1356"/>
        <v>13820</v>
      </c>
      <c r="B43635" s="2" t="str">
        <f>"35957"</f>
        <v>35957</v>
      </c>
      <c r="C43635" s="1">
        <v>4.0668887768077202E-4</v>
      </c>
      <c r="D43635" s="1">
        <v>5.4252491093549298E-5</v>
      </c>
      <c r="E43635" s="1">
        <v>1.1982505541908801E-4</v>
      </c>
      <c r="F43635" s="1">
        <v>3.68462158621384E-4</v>
      </c>
    </row>
    <row r="43636" spans="1:6" x14ac:dyDescent="0.25">
      <c r="A43636" s="2" t="str">
        <f t="shared" si="1356"/>
        <v>13820</v>
      </c>
      <c r="B43636" s="2" t="str">
        <f>"35234"</f>
        <v>35234</v>
      </c>
      <c r="C43636" s="1">
        <v>6.1198684388119699E-3</v>
      </c>
      <c r="D43636" s="1">
        <v>8.3367994647087496E-3</v>
      </c>
      <c r="E43636" s="1">
        <v>1.95913965610209E-2</v>
      </c>
      <c r="F43636" s="1">
        <v>6.6669605965937696E-3</v>
      </c>
    </row>
    <row r="43637" spans="1:6" x14ac:dyDescent="0.25">
      <c r="A43637" s="2" t="str">
        <f t="shared" si="1356"/>
        <v>13820</v>
      </c>
      <c r="B43637" s="2" t="str">
        <f>"35260"</f>
        <v>35260</v>
      </c>
      <c r="C43637" s="1">
        <v>6.4643996277642397E-4</v>
      </c>
      <c r="D43637" s="1">
        <v>3.1828128108215602E-3</v>
      </c>
      <c r="E43637" s="1">
        <v>5.9912527709544003E-5</v>
      </c>
      <c r="F43637" s="1">
        <v>8.5187191373576503E-4</v>
      </c>
    </row>
    <row r="43638" spans="1:6" x14ac:dyDescent="0.25">
      <c r="A43638" s="2" t="str">
        <f t="shared" si="1356"/>
        <v>13820</v>
      </c>
      <c r="B43638" s="2" t="str">
        <f>"35294"</f>
        <v>35294</v>
      </c>
      <c r="C43638" s="1">
        <v>1.7759339636714901E-6</v>
      </c>
      <c r="D43638" s="1">
        <v>3.6168327395699503E-5</v>
      </c>
      <c r="E43638" s="1">
        <v>0</v>
      </c>
      <c r="F43638" s="1">
        <v>4.7238738284792903E-6</v>
      </c>
    </row>
    <row r="43639" spans="1:6" x14ac:dyDescent="0.25">
      <c r="A43639" s="2" t="str">
        <f t="shared" si="1356"/>
        <v>13820</v>
      </c>
      <c r="B43639" s="2" t="str">
        <f>"35270"</f>
        <v>35270</v>
      </c>
      <c r="C43639" s="1">
        <v>0</v>
      </c>
      <c r="D43639" s="1">
        <v>1.8084163697849701E-5</v>
      </c>
      <c r="E43639" s="1">
        <v>0</v>
      </c>
      <c r="F43639" s="1">
        <v>1.57462460949309E-6</v>
      </c>
    </row>
    <row r="43640" spans="1:6" x14ac:dyDescent="0.25">
      <c r="A43640" s="2" t="str">
        <f t="shared" si="1356"/>
        <v>13820</v>
      </c>
      <c r="B43640" s="2" t="str">
        <f>"35254"</f>
        <v>35254</v>
      </c>
      <c r="C43640" s="1">
        <v>0</v>
      </c>
      <c r="D43640" s="1">
        <v>0</v>
      </c>
      <c r="E43640" s="1">
        <v>5.9912527709544003E-5</v>
      </c>
      <c r="F43640" s="1">
        <v>1.57462460949309E-6</v>
      </c>
    </row>
    <row r="43641" spans="1:6" x14ac:dyDescent="0.25">
      <c r="A43641" s="2" t="str">
        <f t="shared" si="1356"/>
        <v>13820</v>
      </c>
      <c r="B43641" s="2" t="str">
        <f>"35261"</f>
        <v>35261</v>
      </c>
      <c r="C43641" s="1">
        <v>1.73863935043439E-3</v>
      </c>
      <c r="D43641" s="1">
        <v>3.16472864712371E-3</v>
      </c>
      <c r="E43641" s="1">
        <v>5.9912527709544003E-5</v>
      </c>
      <c r="F43641" s="1">
        <v>1.8186914239645201E-3</v>
      </c>
    </row>
    <row r="43642" spans="1:6" x14ac:dyDescent="0.25">
      <c r="A43642" s="2" t="str">
        <f t="shared" si="1356"/>
        <v>13820</v>
      </c>
      <c r="B43642" s="2" t="str">
        <f>"35182"</f>
        <v>35182</v>
      </c>
      <c r="C43642" s="1">
        <v>0</v>
      </c>
      <c r="D43642" s="1">
        <v>1.8084163697849701E-5</v>
      </c>
      <c r="E43642" s="1">
        <v>0</v>
      </c>
      <c r="F43642" s="1">
        <v>1.57462460949309E-6</v>
      </c>
    </row>
    <row r="43643" spans="1:6" x14ac:dyDescent="0.25">
      <c r="A43643" s="2" t="str">
        <f t="shared" si="1356"/>
        <v>13820</v>
      </c>
      <c r="B43643" s="2" t="str">
        <f>"35176"</f>
        <v>35176</v>
      </c>
      <c r="C43643" s="1">
        <v>8.5600017048966003E-4</v>
      </c>
      <c r="D43643" s="1">
        <v>2.5317829176989699E-4</v>
      </c>
      <c r="E43643" s="1">
        <v>2.9956263854771998E-4</v>
      </c>
      <c r="F43643" s="1">
        <v>7.8888692935604105E-4</v>
      </c>
    </row>
    <row r="43644" spans="1:6" x14ac:dyDescent="0.25">
      <c r="A43644" s="2" t="str">
        <f t="shared" si="1356"/>
        <v>13820</v>
      </c>
      <c r="B43644" s="2" t="str">
        <f>"35221"</f>
        <v>35221</v>
      </c>
      <c r="C43644" s="1">
        <v>4.8589553246052002E-3</v>
      </c>
      <c r="D43644" s="1">
        <v>2.7487928820731601E-3</v>
      </c>
      <c r="E43644" s="1">
        <v>3.3551015517344599E-3</v>
      </c>
      <c r="F43644" s="1">
        <v>4.63569485034767E-3</v>
      </c>
    </row>
    <row r="43645" spans="1:6" x14ac:dyDescent="0.25">
      <c r="A43645" s="2" t="str">
        <f t="shared" si="1356"/>
        <v>13820</v>
      </c>
      <c r="B43645" s="2" t="str">
        <f>"35220"</f>
        <v>35220</v>
      </c>
      <c r="C43645" s="1">
        <v>2.0245647185855001E-3</v>
      </c>
      <c r="D43645" s="1">
        <v>3.7072535580592002E-3</v>
      </c>
      <c r="E43645" s="1">
        <v>1.1982505541908801E-4</v>
      </c>
      <c r="F43645" s="1">
        <v>2.1210193489871998E-3</v>
      </c>
    </row>
    <row r="43646" spans="1:6" x14ac:dyDescent="0.25">
      <c r="A43646" s="2" t="str">
        <f t="shared" si="1356"/>
        <v>13820</v>
      </c>
      <c r="B43646" s="2" t="str">
        <f>"35223"</f>
        <v>35223</v>
      </c>
      <c r="C43646" s="1">
        <v>8.8157361956652993E-3</v>
      </c>
      <c r="D43646" s="1">
        <v>1.7360797149935801E-2</v>
      </c>
      <c r="E43646" s="1">
        <v>1.05446048768797E-2</v>
      </c>
      <c r="F43646" s="1">
        <v>9.6052101179078895E-3</v>
      </c>
    </row>
    <row r="43647" spans="1:6" x14ac:dyDescent="0.25">
      <c r="A43647" s="2" t="str">
        <f t="shared" si="1356"/>
        <v>13820</v>
      </c>
      <c r="B43647" s="2" t="str">
        <f>"35173"</f>
        <v>35173</v>
      </c>
      <c r="C43647" s="1">
        <v>2.3234544046714101E-2</v>
      </c>
      <c r="D43647" s="1">
        <v>2.15924914552326E-2</v>
      </c>
      <c r="E43647" s="1">
        <v>6.0511652986639502E-3</v>
      </c>
      <c r="F43647" s="1">
        <v>2.2639952635291699E-2</v>
      </c>
    </row>
    <row r="43648" spans="1:6" x14ac:dyDescent="0.25">
      <c r="A43648" s="2" t="str">
        <f t="shared" si="1356"/>
        <v>13820</v>
      </c>
      <c r="B43648" s="2" t="str">
        <f>"35143"</f>
        <v>35143</v>
      </c>
      <c r="C43648" s="1">
        <v>3.74722066334685E-3</v>
      </c>
      <c r="D43648" s="1">
        <v>7.5953487530969102E-4</v>
      </c>
      <c r="E43648" s="1">
        <v>4.4934395782158E-3</v>
      </c>
      <c r="F43648" s="1">
        <v>3.5066890053411198E-3</v>
      </c>
    </row>
    <row r="43649" spans="1:6" x14ac:dyDescent="0.25">
      <c r="A43649" s="2" t="str">
        <f t="shared" si="1356"/>
        <v>13820</v>
      </c>
      <c r="B43649" s="2" t="str">
        <f>"35131"</f>
        <v>35131</v>
      </c>
      <c r="C43649" s="1">
        <v>3.9052787861136098E-3</v>
      </c>
      <c r="D43649" s="1">
        <v>1.35631227733873E-3</v>
      </c>
      <c r="E43649" s="1">
        <v>2.3965011083817601E-4</v>
      </c>
      <c r="F43649" s="1">
        <v>3.5869948604252701E-3</v>
      </c>
    </row>
    <row r="43650" spans="1:6" x14ac:dyDescent="0.25">
      <c r="A43650" s="2" t="str">
        <f t="shared" si="1356"/>
        <v>13820</v>
      </c>
      <c r="B43650" s="2" t="str">
        <f>"35042"</f>
        <v>35042</v>
      </c>
      <c r="C43650" s="1">
        <v>5.41127078730704E-3</v>
      </c>
      <c r="D43650" s="1">
        <v>4.6657142340452403E-3</v>
      </c>
      <c r="E43650" s="1">
        <v>3.1154514408962899E-3</v>
      </c>
      <c r="F43650" s="1">
        <v>5.28601481406832E-3</v>
      </c>
    </row>
    <row r="43651" spans="1:6" x14ac:dyDescent="0.25">
      <c r="A43651" s="2" t="str">
        <f t="shared" si="1356"/>
        <v>13820</v>
      </c>
      <c r="B43651" s="2" t="str">
        <f>"35040"</f>
        <v>35040</v>
      </c>
      <c r="C43651" s="1">
        <v>1.6187638078865599E-2</v>
      </c>
      <c r="D43651" s="1">
        <v>1.1013255691990499E-2</v>
      </c>
      <c r="E43651" s="1">
        <v>5.9313402432448602E-3</v>
      </c>
      <c r="F43651" s="1">
        <v>1.5467537539050599E-2</v>
      </c>
    </row>
    <row r="43652" spans="1:6" x14ac:dyDescent="0.25">
      <c r="A43652" s="2" t="str">
        <f t="shared" si="1356"/>
        <v>13820</v>
      </c>
      <c r="B43652" s="2" t="str">
        <f>"35120"</f>
        <v>35120</v>
      </c>
      <c r="C43652" s="1">
        <v>1.24208821419184E-2</v>
      </c>
      <c r="D43652" s="1">
        <v>3.16472864712371E-3</v>
      </c>
      <c r="E43652" s="1">
        <v>1.2581630819004199E-3</v>
      </c>
      <c r="F43652" s="1">
        <v>1.1321550942255299E-2</v>
      </c>
    </row>
    <row r="43653" spans="1:6" x14ac:dyDescent="0.25">
      <c r="A43653" s="2" t="str">
        <f t="shared" si="1356"/>
        <v>13820</v>
      </c>
      <c r="B43653" s="2" t="str">
        <f>"35079"</f>
        <v>35079</v>
      </c>
      <c r="C43653" s="1">
        <v>7.8212131760092597E-3</v>
      </c>
      <c r="D43653" s="1">
        <v>1.84458469718067E-3</v>
      </c>
      <c r="E43653" s="1">
        <v>1.43790066502905E-3</v>
      </c>
      <c r="F43653" s="1">
        <v>7.1330494810037202E-3</v>
      </c>
    </row>
    <row r="43654" spans="1:6" x14ac:dyDescent="0.25">
      <c r="A43654" s="2" t="str">
        <f t="shared" ref="A43654:A43675" si="1357">"13820"</f>
        <v>13820</v>
      </c>
      <c r="B43654" s="2" t="str">
        <f>"35116"</f>
        <v>35116</v>
      </c>
      <c r="C43654" s="1">
        <v>4.0580091069893597E-3</v>
      </c>
      <c r="D43654" s="1">
        <v>1.0307973307774299E-3</v>
      </c>
      <c r="E43654" s="1">
        <v>1.7973758312863199E-4</v>
      </c>
      <c r="F43654" s="1">
        <v>3.69249470926131E-3</v>
      </c>
    </row>
    <row r="43655" spans="1:6" x14ac:dyDescent="0.25">
      <c r="A43655" s="2" t="str">
        <f t="shared" si="1357"/>
        <v>13820</v>
      </c>
      <c r="B43655" s="2" t="str">
        <f>"35013"</f>
        <v>35013</v>
      </c>
      <c r="C43655" s="1">
        <v>0</v>
      </c>
      <c r="D43655" s="1">
        <v>1.8084163697849701E-5</v>
      </c>
      <c r="E43655" s="1">
        <v>0</v>
      </c>
      <c r="F43655" s="1">
        <v>1.57462460949309E-6</v>
      </c>
    </row>
    <row r="43656" spans="1:6" x14ac:dyDescent="0.25">
      <c r="A43656" s="2" t="str">
        <f t="shared" si="1357"/>
        <v>13820</v>
      </c>
      <c r="B43656" s="2" t="str">
        <f>"35020"</f>
        <v>35020</v>
      </c>
      <c r="C43656" s="1">
        <v>2.4708569236561499E-2</v>
      </c>
      <c r="D43656" s="1">
        <v>2.78315279309908E-2</v>
      </c>
      <c r="E43656" s="1">
        <v>1.28811934575519E-2</v>
      </c>
      <c r="F43656" s="1">
        <v>2.4669643756928299E-2</v>
      </c>
    </row>
    <row r="43657" spans="1:6" x14ac:dyDescent="0.25">
      <c r="A43657" s="2" t="str">
        <f t="shared" si="1357"/>
        <v>13820</v>
      </c>
      <c r="B43657" s="2" t="str">
        <f>"35071"</f>
        <v>35071</v>
      </c>
      <c r="C43657" s="1">
        <v>1.41577455583891E-2</v>
      </c>
      <c r="D43657" s="1">
        <v>1.1121760674177601E-2</v>
      </c>
      <c r="E43657" s="1">
        <v>1.0245042238331999E-2</v>
      </c>
      <c r="F43657" s="1">
        <v>1.37905623299405E-2</v>
      </c>
    </row>
    <row r="43658" spans="1:6" x14ac:dyDescent="0.25">
      <c r="A43658" s="2" t="str">
        <f t="shared" si="1357"/>
        <v>13820</v>
      </c>
      <c r="B43658" s="2" t="str">
        <f>"36051"</f>
        <v>36051</v>
      </c>
      <c r="C43658" s="1">
        <v>4.7595030226396E-4</v>
      </c>
      <c r="D43658" s="1">
        <v>5.4252491093549298E-5</v>
      </c>
      <c r="E43658" s="1">
        <v>0</v>
      </c>
      <c r="F43658" s="1">
        <v>4.2672326917262901E-4</v>
      </c>
    </row>
    <row r="43659" spans="1:6" x14ac:dyDescent="0.25">
      <c r="A43659" s="2" t="str">
        <f t="shared" si="1357"/>
        <v>13820</v>
      </c>
      <c r="B43659" s="2" t="str">
        <f>"35987"</f>
        <v>35987</v>
      </c>
      <c r="C43659" s="1">
        <v>2.7189548983810501E-3</v>
      </c>
      <c r="D43659" s="1">
        <v>1.9892580067634698E-3</v>
      </c>
      <c r="E43659" s="1">
        <v>2.9956263854771998E-4</v>
      </c>
      <c r="F43659" s="1">
        <v>2.5918321072256299E-3</v>
      </c>
    </row>
    <row r="43660" spans="1:6" x14ac:dyDescent="0.25">
      <c r="A43660" s="2" t="str">
        <f t="shared" si="1357"/>
        <v>13820</v>
      </c>
      <c r="B43660" s="2" t="str">
        <f>"35972"</f>
        <v>35972</v>
      </c>
      <c r="C43660" s="1">
        <v>2.6994196247806702E-4</v>
      </c>
      <c r="D43660" s="1">
        <v>3.6168327395699503E-5</v>
      </c>
      <c r="E43660" s="1">
        <v>0</v>
      </c>
      <c r="F43660" s="1">
        <v>2.4249218986193601E-4</v>
      </c>
    </row>
    <row r="43661" spans="1:6" x14ac:dyDescent="0.25">
      <c r="A43661" s="2" t="str">
        <f t="shared" si="1357"/>
        <v>13820</v>
      </c>
      <c r="B43661" s="2" t="str">
        <f>"35456"</f>
        <v>35456</v>
      </c>
      <c r="C43661" s="1">
        <v>5.3278018910144803E-6</v>
      </c>
      <c r="D43661" s="1">
        <v>0</v>
      </c>
      <c r="E43661" s="1">
        <v>0</v>
      </c>
      <c r="F43661" s="1">
        <v>4.7238738284792903E-6</v>
      </c>
    </row>
    <row r="43662" spans="1:6" x14ac:dyDescent="0.25">
      <c r="A43662" s="2" t="str">
        <f t="shared" si="1357"/>
        <v>13820</v>
      </c>
      <c r="B43662" s="2" t="str">
        <f>"35213"</f>
        <v>35213</v>
      </c>
      <c r="C43662" s="1">
        <v>1.2960766066874499E-2</v>
      </c>
      <c r="D43662" s="1">
        <v>1.23514838056314E-2</v>
      </c>
      <c r="E43662" s="1">
        <v>1.65358576478341E-2</v>
      </c>
      <c r="F43662" s="1">
        <v>1.30016754005845E-2</v>
      </c>
    </row>
    <row r="43663" spans="1:6" x14ac:dyDescent="0.25">
      <c r="A43663" s="2" t="str">
        <f t="shared" si="1357"/>
        <v>13820</v>
      </c>
      <c r="B43663" s="2" t="str">
        <f>"35212"</f>
        <v>35212</v>
      </c>
      <c r="C43663" s="1">
        <v>1.2507902906138299E-2</v>
      </c>
      <c r="D43663" s="1">
        <v>9.0963343400184398E-3</v>
      </c>
      <c r="E43663" s="1">
        <v>1.8393146006830001E-2</v>
      </c>
      <c r="F43663" s="1">
        <v>1.23655270583492E-2</v>
      </c>
    </row>
    <row r="43664" spans="1:6" x14ac:dyDescent="0.25">
      <c r="A43664" s="2" t="str">
        <f t="shared" si="1357"/>
        <v>13820</v>
      </c>
      <c r="B43664" s="2" t="str">
        <f>"35249"</f>
        <v>35249</v>
      </c>
      <c r="C43664" s="1">
        <v>0</v>
      </c>
      <c r="D43664" s="1">
        <v>0</v>
      </c>
      <c r="E43664" s="1">
        <v>5.9912527709544003E-5</v>
      </c>
      <c r="F43664" s="1">
        <v>1.57462460949309E-6</v>
      </c>
    </row>
    <row r="43665" spans="1:6" x14ac:dyDescent="0.25">
      <c r="A43665" s="2" t="str">
        <f t="shared" si="1357"/>
        <v>13820</v>
      </c>
      <c r="B43665" s="2" t="str">
        <f>"35180"</f>
        <v>35180</v>
      </c>
      <c r="C43665" s="1">
        <v>1.18863260188533E-2</v>
      </c>
      <c r="D43665" s="1">
        <v>6.7634772229958201E-3</v>
      </c>
      <c r="E43665" s="1">
        <v>1.3300581151518699E-2</v>
      </c>
      <c r="F43665" s="1">
        <v>1.1477438778595099E-2</v>
      </c>
    </row>
    <row r="43666" spans="1:6" x14ac:dyDescent="0.25">
      <c r="A43666" s="2" t="str">
        <f t="shared" si="1357"/>
        <v>13820</v>
      </c>
      <c r="B43666" s="2" t="str">
        <f>"35219"</f>
        <v>35219</v>
      </c>
      <c r="C43666" s="1">
        <v>1.0726641140575801E-3</v>
      </c>
      <c r="D43666" s="1">
        <v>4.6837983977430896E-3</v>
      </c>
      <c r="E43666" s="1">
        <v>5.9912527709544003E-5</v>
      </c>
      <c r="F43666" s="1">
        <v>1.36047566260203E-3</v>
      </c>
    </row>
    <row r="43667" spans="1:6" x14ac:dyDescent="0.25">
      <c r="A43667" s="2" t="str">
        <f t="shared" si="1357"/>
        <v>13820</v>
      </c>
      <c r="B43667" s="2" t="str">
        <f>"35171"</f>
        <v>35171</v>
      </c>
      <c r="C43667" s="1">
        <v>2.78821632296424E-3</v>
      </c>
      <c r="D43667" s="1">
        <v>9.4037651228818901E-4</v>
      </c>
      <c r="E43667" s="1">
        <v>5.9912527709543996E-4</v>
      </c>
      <c r="F43667" s="1">
        <v>2.56978736269273E-3</v>
      </c>
    </row>
    <row r="43668" spans="1:6" x14ac:dyDescent="0.25">
      <c r="A43668" s="2" t="str">
        <f t="shared" si="1357"/>
        <v>13820</v>
      </c>
      <c r="B43668" s="2" t="str">
        <f>"35142"</f>
        <v>35142</v>
      </c>
      <c r="C43668" s="1">
        <v>0</v>
      </c>
      <c r="D43668" s="1">
        <v>3.6168327395699503E-5</v>
      </c>
      <c r="E43668" s="1">
        <v>0</v>
      </c>
      <c r="F43668" s="1">
        <v>3.1492492189861902E-6</v>
      </c>
    </row>
    <row r="43669" spans="1:6" x14ac:dyDescent="0.25">
      <c r="A43669" s="2" t="str">
        <f t="shared" si="1357"/>
        <v>13820</v>
      </c>
      <c r="B43669" s="2" t="str">
        <f>"35139"</f>
        <v>35139</v>
      </c>
      <c r="C43669" s="1">
        <v>0</v>
      </c>
      <c r="D43669" s="1">
        <v>1.8084163697849701E-5</v>
      </c>
      <c r="E43669" s="1">
        <v>0</v>
      </c>
      <c r="F43669" s="1">
        <v>1.57462460949309E-6</v>
      </c>
    </row>
    <row r="43670" spans="1:6" x14ac:dyDescent="0.25">
      <c r="A43670" s="2" t="str">
        <f t="shared" si="1357"/>
        <v>13820</v>
      </c>
      <c r="B43670" s="2" t="str">
        <f>"35051"</f>
        <v>35051</v>
      </c>
      <c r="C43670" s="1">
        <v>6.8995034488637504E-3</v>
      </c>
      <c r="D43670" s="1">
        <v>3.8519268676419998E-3</v>
      </c>
      <c r="E43670" s="1">
        <v>4.1339644119585397E-3</v>
      </c>
      <c r="F43670" s="1">
        <v>6.5614607477577297E-3</v>
      </c>
    </row>
    <row r="43671" spans="1:6" x14ac:dyDescent="0.25">
      <c r="A43671" s="2" t="str">
        <f t="shared" si="1357"/>
        <v>13820</v>
      </c>
      <c r="B43671" s="2" t="str">
        <f>"35046"</f>
        <v>35046</v>
      </c>
      <c r="C43671" s="1">
        <v>5.37575210803361E-3</v>
      </c>
      <c r="D43671" s="1">
        <v>1.5733222417129301E-3</v>
      </c>
      <c r="E43671" s="1">
        <v>4.1938769396680802E-4</v>
      </c>
      <c r="F43671" s="1">
        <v>4.9144034062279501E-3</v>
      </c>
    </row>
    <row r="43672" spans="1:6" x14ac:dyDescent="0.25">
      <c r="A43672" s="2" t="str">
        <f t="shared" si="1357"/>
        <v>13820</v>
      </c>
      <c r="B43672" s="2" t="str">
        <f>"35078"</f>
        <v>35078</v>
      </c>
      <c r="C43672" s="1">
        <v>1.8345397844726501E-3</v>
      </c>
      <c r="D43672" s="1">
        <v>1.30205978624518E-3</v>
      </c>
      <c r="E43672" s="1">
        <v>5.3921274938589596E-4</v>
      </c>
      <c r="F43672" s="1">
        <v>1.7541318149753001E-3</v>
      </c>
    </row>
    <row r="43673" spans="1:6" x14ac:dyDescent="0.25">
      <c r="A43673" s="2" t="str">
        <f t="shared" si="1357"/>
        <v>13820</v>
      </c>
      <c r="B43673" s="2" t="str">
        <f>"35115"</f>
        <v>35115</v>
      </c>
      <c r="C43673" s="1">
        <v>1.21669235851134E-2</v>
      </c>
      <c r="D43673" s="1">
        <v>5.0454816717000897E-3</v>
      </c>
      <c r="E43673" s="1">
        <v>1.5277694565933701E-2</v>
      </c>
      <c r="F43673" s="1">
        <v>1.1628602741106501E-2</v>
      </c>
    </row>
    <row r="43674" spans="1:6" x14ac:dyDescent="0.25">
      <c r="A43674" s="2" t="str">
        <f t="shared" si="1357"/>
        <v>13820</v>
      </c>
      <c r="B43674" s="2" t="str">
        <f>"35111"</f>
        <v>35111</v>
      </c>
      <c r="C43674" s="1">
        <v>6.1944576652861703E-3</v>
      </c>
      <c r="D43674" s="1">
        <v>2.9477186827495099E-3</v>
      </c>
      <c r="E43674" s="1">
        <v>1.3180756096099601E-3</v>
      </c>
      <c r="F43674" s="1">
        <v>5.7835961906681404E-3</v>
      </c>
    </row>
    <row r="43675" spans="1:6" x14ac:dyDescent="0.25">
      <c r="A43675" s="2" t="str">
        <f t="shared" si="1357"/>
        <v>13820</v>
      </c>
      <c r="B43675" s="2" t="str">
        <f>"35097"</f>
        <v>35097</v>
      </c>
      <c r="C43675" s="1">
        <v>1.4047637652641501E-3</v>
      </c>
      <c r="D43675" s="1">
        <v>1.0307973307774299E-3</v>
      </c>
      <c r="E43675" s="1">
        <v>4.7930022167635202E-4</v>
      </c>
      <c r="F43675" s="1">
        <v>1.34787866572609E-3</v>
      </c>
    </row>
    <row r="43676" spans="1:6" x14ac:dyDescent="0.25">
      <c r="A43676" s="2" t="str">
        <f t="shared" ref="A43676:A43698" si="1358">"27530"</f>
        <v>27530</v>
      </c>
      <c r="B43676" s="2" t="str">
        <f>"35584"</f>
        <v>35584</v>
      </c>
      <c r="C43676" s="1">
        <v>0</v>
      </c>
      <c r="D43676" s="1">
        <v>6.2441461130190396E-4</v>
      </c>
      <c r="E43676" s="1">
        <v>0</v>
      </c>
      <c r="F43676" s="1">
        <v>4.57007060759088E-5</v>
      </c>
    </row>
    <row r="43677" spans="1:6" x14ac:dyDescent="0.25">
      <c r="A43677" s="2" t="str">
        <f t="shared" si="1358"/>
        <v>27530</v>
      </c>
      <c r="B43677" s="2" t="str">
        <f>"35549"</f>
        <v>35549</v>
      </c>
      <c r="C43677" s="1">
        <v>4.6223224351747402E-2</v>
      </c>
      <c r="D43677" s="1">
        <v>1.46737433655947E-2</v>
      </c>
      <c r="E43677" s="1">
        <v>1.6971279373368099E-2</v>
      </c>
      <c r="F43677" s="1">
        <v>4.2890112652240402E-2</v>
      </c>
    </row>
    <row r="43678" spans="1:6" x14ac:dyDescent="0.25">
      <c r="A43678" s="2" t="str">
        <f t="shared" si="1358"/>
        <v>27530</v>
      </c>
      <c r="B43678" s="2" t="str">
        <f>"35006"</f>
        <v>35006</v>
      </c>
      <c r="C43678" s="1">
        <v>2.3316593215127598E-3</v>
      </c>
      <c r="D43678" s="1">
        <v>6.2441461130190396E-4</v>
      </c>
      <c r="E43678" s="1">
        <v>2.6109660574412498E-3</v>
      </c>
      <c r="F43678" s="1">
        <v>2.21648424468158E-3</v>
      </c>
    </row>
    <row r="43679" spans="1:6" x14ac:dyDescent="0.25">
      <c r="A43679" s="2" t="str">
        <f t="shared" si="1358"/>
        <v>27530</v>
      </c>
      <c r="B43679" s="2" t="str">
        <f>"35554"</f>
        <v>35554</v>
      </c>
      <c r="C43679" s="1">
        <v>6.5081479963103404E-3</v>
      </c>
      <c r="D43679" s="1">
        <v>2.1854511395566602E-3</v>
      </c>
      <c r="E43679" s="1">
        <v>2.6109660574412498E-3</v>
      </c>
      <c r="F43679" s="1">
        <v>6.0553435550579201E-3</v>
      </c>
    </row>
    <row r="43680" spans="1:6" x14ac:dyDescent="0.25">
      <c r="A43680" s="2" t="str">
        <f t="shared" si="1358"/>
        <v>27530</v>
      </c>
      <c r="B43680" s="2" t="str">
        <f>"35503"</f>
        <v>35503</v>
      </c>
      <c r="C43680" s="1">
        <v>0.124039151378497</v>
      </c>
      <c r="D43680" s="1">
        <v>9.8969715891351798E-2</v>
      </c>
      <c r="E43680" s="1">
        <v>0.116840731070496</v>
      </c>
      <c r="F43680" s="1">
        <v>0.12195233416356201</v>
      </c>
    </row>
    <row r="43681" spans="1:6" x14ac:dyDescent="0.25">
      <c r="A43681" s="2" t="str">
        <f t="shared" si="1358"/>
        <v>27530</v>
      </c>
      <c r="B43681" s="2" t="str">
        <f>"35579"</f>
        <v>35579</v>
      </c>
      <c r="C43681" s="1">
        <v>4.1713641488162298E-2</v>
      </c>
      <c r="D43681" s="1">
        <v>8.4295972525757108E-3</v>
      </c>
      <c r="E43681" s="1">
        <v>1.24020887728459E-2</v>
      </c>
      <c r="F43681" s="1">
        <v>3.8251490985535701E-2</v>
      </c>
    </row>
    <row r="43682" spans="1:6" x14ac:dyDescent="0.25">
      <c r="A43682" s="2" t="str">
        <f t="shared" si="1358"/>
        <v>27530</v>
      </c>
      <c r="B43682" s="2" t="str">
        <f>"35560"</f>
        <v>35560</v>
      </c>
      <c r="C43682" s="1">
        <v>0</v>
      </c>
      <c r="D43682" s="1">
        <v>3.1220730565095198E-4</v>
      </c>
      <c r="E43682" s="1">
        <v>0</v>
      </c>
      <c r="F43682" s="1">
        <v>2.28503530379544E-5</v>
      </c>
    </row>
    <row r="43683" spans="1:6" x14ac:dyDescent="0.25">
      <c r="A43683" s="2" t="str">
        <f t="shared" si="1358"/>
        <v>27530</v>
      </c>
      <c r="B43683" s="2" t="str">
        <f>"35541"</f>
        <v>35541</v>
      </c>
      <c r="C43683" s="1">
        <v>1.79358409347135E-4</v>
      </c>
      <c r="D43683" s="1">
        <v>0</v>
      </c>
      <c r="E43683" s="1">
        <v>0</v>
      </c>
      <c r="F43683" s="1">
        <v>1.5995247126568101E-4</v>
      </c>
    </row>
    <row r="43684" spans="1:6" x14ac:dyDescent="0.25">
      <c r="A43684" s="2" t="str">
        <f t="shared" si="1358"/>
        <v>27530</v>
      </c>
      <c r="B43684" s="2" t="str">
        <f>"35130"</f>
        <v>35130</v>
      </c>
      <c r="C43684" s="1">
        <v>3.8895152198421601E-2</v>
      </c>
      <c r="D43684" s="1">
        <v>1.34249141429909E-2</v>
      </c>
      <c r="E43684" s="1">
        <v>1.17493472584856E-2</v>
      </c>
      <c r="F43684" s="1">
        <v>3.6080707446929997E-2</v>
      </c>
    </row>
    <row r="43685" spans="1:6" x14ac:dyDescent="0.25">
      <c r="A43685" s="2" t="str">
        <f t="shared" si="1358"/>
        <v>27530</v>
      </c>
      <c r="B43685" s="2" t="str">
        <f>"35033"</f>
        <v>35033</v>
      </c>
      <c r="C43685" s="1">
        <v>4.3302244542379803E-3</v>
      </c>
      <c r="D43685" s="1">
        <v>3.1220730565095198E-4</v>
      </c>
      <c r="E43685" s="1">
        <v>0</v>
      </c>
      <c r="F43685" s="1">
        <v>3.8845600164522502E-3</v>
      </c>
    </row>
    <row r="43686" spans="1:6" x14ac:dyDescent="0.25">
      <c r="A43686" s="2" t="str">
        <f t="shared" si="1358"/>
        <v>27530</v>
      </c>
      <c r="B43686" s="2" t="str">
        <f>"35580"</f>
        <v>35580</v>
      </c>
      <c r="C43686" s="1">
        <v>5.7189709951829398E-2</v>
      </c>
      <c r="D43686" s="1">
        <v>1.84202310334061E-2</v>
      </c>
      <c r="E43686" s="1">
        <v>9.13838120104438E-3</v>
      </c>
      <c r="F43686" s="1">
        <v>5.2670063752484897E-2</v>
      </c>
    </row>
    <row r="43687" spans="1:6" x14ac:dyDescent="0.25">
      <c r="A43687" s="2" t="str">
        <f t="shared" si="1358"/>
        <v>27530</v>
      </c>
      <c r="B43687" s="2" t="str">
        <f>"35038"</f>
        <v>35038</v>
      </c>
      <c r="C43687" s="1">
        <v>0</v>
      </c>
      <c r="D43687" s="1">
        <v>3.1220730565095198E-4</v>
      </c>
      <c r="E43687" s="1">
        <v>6.52741514360313E-4</v>
      </c>
      <c r="F43687" s="1">
        <v>4.57007060759088E-5</v>
      </c>
    </row>
    <row r="43688" spans="1:6" x14ac:dyDescent="0.25">
      <c r="A43688" s="2" t="str">
        <f t="shared" si="1358"/>
        <v>27530</v>
      </c>
      <c r="B43688" s="2" t="str">
        <f>"35578"</f>
        <v>35578</v>
      </c>
      <c r="C43688" s="1">
        <v>7.0436609613610701E-2</v>
      </c>
      <c r="D43688" s="1">
        <v>1.2800499531689E-2</v>
      </c>
      <c r="E43688" s="1">
        <v>3.91644908616187E-3</v>
      </c>
      <c r="F43688" s="1">
        <v>6.3889587094120598E-2</v>
      </c>
    </row>
    <row r="43689" spans="1:6" x14ac:dyDescent="0.25">
      <c r="A43689" s="2" t="str">
        <f t="shared" si="1358"/>
        <v>27530</v>
      </c>
      <c r="B43689" s="2" t="str">
        <f>"35546"</f>
        <v>35546</v>
      </c>
      <c r="C43689" s="1">
        <v>2.02418776263195E-3</v>
      </c>
      <c r="D43689" s="1">
        <v>3.1220730565095198E-4</v>
      </c>
      <c r="E43689" s="1">
        <v>0</v>
      </c>
      <c r="F43689" s="1">
        <v>1.8280282430363499E-3</v>
      </c>
    </row>
    <row r="43690" spans="1:6" x14ac:dyDescent="0.25">
      <c r="A43690" s="2" t="str">
        <f t="shared" si="1358"/>
        <v>27530</v>
      </c>
      <c r="B43690" s="2" t="str">
        <f>"35502"</f>
        <v>35502</v>
      </c>
      <c r="C43690" s="1">
        <v>4.2302961976017198E-2</v>
      </c>
      <c r="D43690" s="1">
        <v>0.128629409928192</v>
      </c>
      <c r="E43690" s="1">
        <v>1.3054830287206199E-3</v>
      </c>
      <c r="F43690" s="1">
        <v>4.7185979023375901E-2</v>
      </c>
    </row>
    <row r="43691" spans="1:6" x14ac:dyDescent="0.25">
      <c r="A43691" s="2" t="str">
        <f t="shared" si="1358"/>
        <v>27530</v>
      </c>
      <c r="B43691" s="2" t="str">
        <f>"35501"</f>
        <v>35501</v>
      </c>
      <c r="C43691" s="1">
        <v>0.152224044275904</v>
      </c>
      <c r="D43691" s="1">
        <v>0.47424289728379598</v>
      </c>
      <c r="E43691" s="1">
        <v>0.46671018276762399</v>
      </c>
      <c r="F43691" s="1">
        <v>0.186801636085277</v>
      </c>
    </row>
    <row r="43692" spans="1:6" x14ac:dyDescent="0.25">
      <c r="A43692" s="2" t="str">
        <f t="shared" si="1358"/>
        <v>27530</v>
      </c>
      <c r="B43692" s="2" t="str">
        <f>"35148"</f>
        <v>35148</v>
      </c>
      <c r="C43692" s="1">
        <v>3.6153530798401098E-2</v>
      </c>
      <c r="D43692" s="1">
        <v>5.27630346550109E-2</v>
      </c>
      <c r="E43692" s="1">
        <v>1.63185378590078E-2</v>
      </c>
      <c r="F43692" s="1">
        <v>3.6674816625916803E-2</v>
      </c>
    </row>
    <row r="43693" spans="1:6" x14ac:dyDescent="0.25">
      <c r="A43693" s="2" t="str">
        <f t="shared" si="1358"/>
        <v>27530</v>
      </c>
      <c r="B43693" s="2" t="str">
        <f>"35063"</f>
        <v>35063</v>
      </c>
      <c r="C43693" s="1">
        <v>4.4557753407809701E-2</v>
      </c>
      <c r="D43693" s="1">
        <v>4.6831095847642799E-3</v>
      </c>
      <c r="E43693" s="1">
        <v>9.13838120104438E-3</v>
      </c>
      <c r="F43693" s="1">
        <v>4.0399424171103399E-2</v>
      </c>
    </row>
    <row r="43694" spans="1:6" x14ac:dyDescent="0.25">
      <c r="A43694" s="2" t="str">
        <f t="shared" si="1358"/>
        <v>27530</v>
      </c>
      <c r="B43694" s="2" t="str">
        <f>"35587"</f>
        <v>35587</v>
      </c>
      <c r="C43694" s="1">
        <v>1.6244747360869099E-2</v>
      </c>
      <c r="D43694" s="1">
        <v>7.8051826412737996E-3</v>
      </c>
      <c r="E43694" s="1">
        <v>0</v>
      </c>
      <c r="F43694" s="1">
        <v>1.50583826520119E-2</v>
      </c>
    </row>
    <row r="43695" spans="1:6" x14ac:dyDescent="0.25">
      <c r="A43695" s="2" t="str">
        <f t="shared" si="1358"/>
        <v>27530</v>
      </c>
      <c r="B43695" s="2" t="str">
        <f>"35573"</f>
        <v>35573</v>
      </c>
      <c r="C43695" s="1">
        <v>0</v>
      </c>
      <c r="D43695" s="1">
        <v>3.1220730565095198E-4</v>
      </c>
      <c r="E43695" s="1">
        <v>0</v>
      </c>
      <c r="F43695" s="1">
        <v>2.28503530379544E-5</v>
      </c>
    </row>
    <row r="43696" spans="1:6" x14ac:dyDescent="0.25">
      <c r="A43696" s="2" t="str">
        <f t="shared" si="1358"/>
        <v>27530</v>
      </c>
      <c r="B43696" s="2" t="str">
        <f>"35550"</f>
        <v>35550</v>
      </c>
      <c r="C43696" s="1">
        <v>8.5656451778210504E-2</v>
      </c>
      <c r="D43696" s="1">
        <v>5.3387449266312802E-2</v>
      </c>
      <c r="E43696" s="1">
        <v>8.3550913838120106E-2</v>
      </c>
      <c r="F43696" s="1">
        <v>8.3220985764229996E-2</v>
      </c>
    </row>
    <row r="43697" spans="1:6" x14ac:dyDescent="0.25">
      <c r="A43697" s="2" t="str">
        <f t="shared" si="1358"/>
        <v>27530</v>
      </c>
      <c r="B43697" s="2" t="str">
        <f>"35504"</f>
        <v>35504</v>
      </c>
      <c r="C43697" s="1">
        <v>0.19011991390796301</v>
      </c>
      <c r="D43697" s="1">
        <v>7.9612862940992804E-2</v>
      </c>
      <c r="E43697" s="1">
        <v>0.22454308093994699</v>
      </c>
      <c r="F43697" s="1">
        <v>0.18323698101135599</v>
      </c>
    </row>
    <row r="43698" spans="1:6" x14ac:dyDescent="0.25">
      <c r="A43698" s="2" t="str">
        <f t="shared" si="1358"/>
        <v>27530</v>
      </c>
      <c r="B43698" s="2" t="str">
        <f>"35062"</f>
        <v>35062</v>
      </c>
      <c r="C43698" s="1">
        <v>3.8869529568514902E-2</v>
      </c>
      <c r="D43698" s="1">
        <v>2.7162035591632799E-2</v>
      </c>
      <c r="E43698" s="1">
        <v>2.1540469973890301E-2</v>
      </c>
      <c r="F43698" s="1">
        <v>3.7406027923131399E-2</v>
      </c>
    </row>
    <row r="43699" spans="1:6" x14ac:dyDescent="0.25">
      <c r="A43699" s="2" t="str">
        <f t="shared" ref="A43699:A43719" si="1359">"22520"</f>
        <v>22520</v>
      </c>
      <c r="B43699" s="2" t="str">
        <f>"35632"</f>
        <v>35632</v>
      </c>
      <c r="C43699" s="1">
        <v>0</v>
      </c>
      <c r="D43699" s="1">
        <v>1.21847203606677E-4</v>
      </c>
      <c r="E43699" s="1">
        <v>0</v>
      </c>
      <c r="F43699" s="1">
        <v>1.07748170974797E-5</v>
      </c>
    </row>
    <row r="43700" spans="1:6" x14ac:dyDescent="0.25">
      <c r="A43700" s="2" t="str">
        <f t="shared" si="1359"/>
        <v>22520</v>
      </c>
      <c r="B43700" s="2" t="str">
        <f>"35645"</f>
        <v>35645</v>
      </c>
      <c r="C43700" s="1">
        <v>7.7411444803224094E-2</v>
      </c>
      <c r="D43700" s="1">
        <v>3.2776897770196101E-2</v>
      </c>
      <c r="E43700" s="1">
        <v>1.7535971223021501E-2</v>
      </c>
      <c r="F43700" s="1">
        <v>7.2029652296652202E-2</v>
      </c>
    </row>
    <row r="43701" spans="1:6" x14ac:dyDescent="0.25">
      <c r="A43701" s="2" t="str">
        <f t="shared" si="1359"/>
        <v>22520</v>
      </c>
      <c r="B43701" s="2" t="str">
        <f>"35653"</f>
        <v>35653</v>
      </c>
      <c r="C43701" s="1">
        <v>2.5370851440918601E-3</v>
      </c>
      <c r="D43701" s="1">
        <v>2.4369440721335399E-4</v>
      </c>
      <c r="E43701" s="1">
        <v>1.34892086330935E-3</v>
      </c>
      <c r="F43701" s="1">
        <v>2.3058108588606698E-3</v>
      </c>
    </row>
    <row r="43702" spans="1:6" x14ac:dyDescent="0.25">
      <c r="A43702" s="2" t="str">
        <f t="shared" si="1359"/>
        <v>22520</v>
      </c>
      <c r="B43702" s="2" t="str">
        <f>"35617"</f>
        <v>35617</v>
      </c>
      <c r="C43702" s="1">
        <v>0</v>
      </c>
      <c r="D43702" s="1">
        <v>1.21847203606677E-4</v>
      </c>
      <c r="E43702" s="1">
        <v>0</v>
      </c>
      <c r="F43702" s="1">
        <v>1.07748170974797E-5</v>
      </c>
    </row>
    <row r="43703" spans="1:6" x14ac:dyDescent="0.25">
      <c r="A43703" s="2" t="str">
        <f t="shared" si="1359"/>
        <v>22520</v>
      </c>
      <c r="B43703" s="2" t="str">
        <f>"35616"</f>
        <v>35616</v>
      </c>
      <c r="C43703" s="1">
        <v>2.9352497025904901E-2</v>
      </c>
      <c r="D43703" s="1">
        <v>1.4621664432801201E-2</v>
      </c>
      <c r="E43703" s="1">
        <v>4.4964028776978398E-3</v>
      </c>
      <c r="F43703" s="1">
        <v>2.7454233964378402E-2</v>
      </c>
    </row>
    <row r="43704" spans="1:6" x14ac:dyDescent="0.25">
      <c r="A43704" s="2" t="str">
        <f t="shared" si="1359"/>
        <v>22520</v>
      </c>
      <c r="B43704" s="2" t="str">
        <f>"35654"</f>
        <v>35654</v>
      </c>
      <c r="C43704" s="1">
        <v>6.8950447935128296E-3</v>
      </c>
      <c r="D43704" s="1">
        <v>5.8486657731205002E-3</v>
      </c>
      <c r="E43704" s="1">
        <v>2.6978417266187E-3</v>
      </c>
      <c r="F43704" s="1">
        <v>6.7019362346324102E-3</v>
      </c>
    </row>
    <row r="43705" spans="1:6" x14ac:dyDescent="0.25">
      <c r="A43705" s="2" t="str">
        <f t="shared" si="1359"/>
        <v>22520</v>
      </c>
      <c r="B43705" s="2" t="str">
        <f>"35614"</f>
        <v>35614</v>
      </c>
      <c r="C43705" s="1">
        <v>4.8556653475442399E-5</v>
      </c>
      <c r="D43705" s="1">
        <v>0</v>
      </c>
      <c r="E43705" s="1">
        <v>0</v>
      </c>
      <c r="F43705" s="1">
        <v>4.3099268389919002E-5</v>
      </c>
    </row>
    <row r="43706" spans="1:6" x14ac:dyDescent="0.25">
      <c r="A43706" s="2" t="str">
        <f t="shared" si="1359"/>
        <v>22520</v>
      </c>
      <c r="B43706" s="2" t="str">
        <f>"35661"</f>
        <v>35661</v>
      </c>
      <c r="C43706" s="1">
        <v>0.11344048168200201</v>
      </c>
      <c r="D43706" s="1">
        <v>0.144998172291945</v>
      </c>
      <c r="E43706" s="1">
        <v>0.15782374100719401</v>
      </c>
      <c r="F43706" s="1">
        <v>0.117294658923164</v>
      </c>
    </row>
    <row r="43707" spans="1:6" x14ac:dyDescent="0.25">
      <c r="A43707" s="2" t="str">
        <f t="shared" si="1359"/>
        <v>22520</v>
      </c>
      <c r="B43707" s="2" t="str">
        <f>"35631"</f>
        <v>35631</v>
      </c>
      <c r="C43707" s="1">
        <v>8.8373109325305208E-3</v>
      </c>
      <c r="D43707" s="1">
        <v>4.3012062873157002E-2</v>
      </c>
      <c r="E43707" s="1">
        <v>8.9928057553956796E-4</v>
      </c>
      <c r="F43707" s="1">
        <v>1.16691269165705E-2</v>
      </c>
    </row>
    <row r="43708" spans="1:6" x14ac:dyDescent="0.25">
      <c r="A43708" s="2" t="str">
        <f t="shared" si="1359"/>
        <v>22520</v>
      </c>
      <c r="B43708" s="2" t="str">
        <f>"35646"</f>
        <v>35646</v>
      </c>
      <c r="C43708" s="1">
        <v>2.8126441525650001E-2</v>
      </c>
      <c r="D43708" s="1">
        <v>1.43779700255879E-2</v>
      </c>
      <c r="E43708" s="1">
        <v>1.30395683453237E-2</v>
      </c>
      <c r="F43708" s="1">
        <v>2.6549149328190101E-2</v>
      </c>
    </row>
    <row r="43709" spans="1:6" x14ac:dyDescent="0.25">
      <c r="A43709" s="2" t="str">
        <f t="shared" si="1359"/>
        <v>22520</v>
      </c>
      <c r="B43709" s="2" t="str">
        <f>"35582"</f>
        <v>35582</v>
      </c>
      <c r="C43709" s="1">
        <v>1.21391633688606E-5</v>
      </c>
      <c r="D43709" s="1">
        <v>0</v>
      </c>
      <c r="E43709" s="1">
        <v>0</v>
      </c>
      <c r="F43709" s="1">
        <v>1.07748170974797E-5</v>
      </c>
    </row>
    <row r="43710" spans="1:6" x14ac:dyDescent="0.25">
      <c r="A43710" s="2" t="str">
        <f t="shared" si="1359"/>
        <v>22520</v>
      </c>
      <c r="B43710" s="2" t="str">
        <f>"35652"</f>
        <v>35652</v>
      </c>
      <c r="C43710" s="1">
        <v>5.5912986476972001E-2</v>
      </c>
      <c r="D43710" s="1">
        <v>3.8747410746923297E-2</v>
      </c>
      <c r="E43710" s="1">
        <v>1.7086330935251699E-2</v>
      </c>
      <c r="F43710" s="1">
        <v>5.3464642437694603E-2</v>
      </c>
    </row>
    <row r="43711" spans="1:6" x14ac:dyDescent="0.25">
      <c r="A43711" s="2" t="str">
        <f t="shared" si="1359"/>
        <v>22520</v>
      </c>
      <c r="B43711" s="2" t="str">
        <f>"35610"</f>
        <v>35610</v>
      </c>
      <c r="C43711" s="1">
        <v>9.9541139624656997E-3</v>
      </c>
      <c r="D43711" s="1">
        <v>2.5587912757402201E-3</v>
      </c>
      <c r="E43711" s="1">
        <v>3.14748201438848E-3</v>
      </c>
      <c r="F43711" s="1">
        <v>9.1370448986628407E-3</v>
      </c>
    </row>
    <row r="43712" spans="1:6" x14ac:dyDescent="0.25">
      <c r="A43712" s="2" t="str">
        <f t="shared" si="1359"/>
        <v>22520</v>
      </c>
      <c r="B43712" s="2" t="str">
        <f>"35677"</f>
        <v>35677</v>
      </c>
      <c r="C43712" s="1">
        <v>1.6181504770691201E-2</v>
      </c>
      <c r="D43712" s="1">
        <v>7.4326794200073104E-3</v>
      </c>
      <c r="E43712" s="1">
        <v>8.9928057553956796E-4</v>
      </c>
      <c r="F43712" s="1">
        <v>1.5041644668081699E-2</v>
      </c>
    </row>
    <row r="43713" spans="1:6" x14ac:dyDescent="0.25">
      <c r="A43713" s="2" t="str">
        <f t="shared" si="1359"/>
        <v>22520</v>
      </c>
      <c r="B43713" s="2" t="str">
        <f>"35630"</f>
        <v>35630</v>
      </c>
      <c r="C43713" s="1">
        <v>0.23559688266284601</v>
      </c>
      <c r="D43713" s="1">
        <v>0.37821371999512599</v>
      </c>
      <c r="E43713" s="1">
        <v>0.36915467625899201</v>
      </c>
      <c r="F43713" s="1">
        <v>0.25140880733549498</v>
      </c>
    </row>
    <row r="43714" spans="1:6" x14ac:dyDescent="0.25">
      <c r="A43714" s="2" t="str">
        <f t="shared" si="1359"/>
        <v>22520</v>
      </c>
      <c r="B43714" s="2" t="str">
        <f>"35672"</f>
        <v>35672</v>
      </c>
      <c r="C43714" s="1">
        <v>1.05610721309087E-3</v>
      </c>
      <c r="D43714" s="1">
        <v>2.4369440721335399E-4</v>
      </c>
      <c r="E43714" s="1">
        <v>0</v>
      </c>
      <c r="F43714" s="1">
        <v>9.5895872167569901E-4</v>
      </c>
    </row>
    <row r="43715" spans="1:6" x14ac:dyDescent="0.25">
      <c r="A43715" s="2" t="str">
        <f t="shared" si="1359"/>
        <v>22520</v>
      </c>
      <c r="B43715" s="2" t="str">
        <f>"35674"</f>
        <v>35674</v>
      </c>
      <c r="C43715" s="1">
        <v>0.12934278569520899</v>
      </c>
      <c r="D43715" s="1">
        <v>0.132813451931278</v>
      </c>
      <c r="E43715" s="1">
        <v>0.21357913669064699</v>
      </c>
      <c r="F43715" s="1">
        <v>0.13166826493120201</v>
      </c>
    </row>
    <row r="43716" spans="1:6" x14ac:dyDescent="0.25">
      <c r="A43716" s="2" t="str">
        <f t="shared" si="1359"/>
        <v>22520</v>
      </c>
      <c r="B43716" s="2" t="str">
        <f>"35634"</f>
        <v>35634</v>
      </c>
      <c r="C43716" s="1">
        <v>6.78943407220374E-2</v>
      </c>
      <c r="D43716" s="1">
        <v>3.3507980991836203E-2</v>
      </c>
      <c r="E43716" s="1">
        <v>2.9676258992805699E-2</v>
      </c>
      <c r="F43716" s="1">
        <v>6.3937764656444906E-2</v>
      </c>
    </row>
    <row r="43717" spans="1:6" x14ac:dyDescent="0.25">
      <c r="A43717" s="2" t="str">
        <f t="shared" si="1359"/>
        <v>22520</v>
      </c>
      <c r="B43717" s="2" t="str">
        <f>"35633"</f>
        <v>35633</v>
      </c>
      <c r="C43717" s="1">
        <v>0.12468134696156701</v>
      </c>
      <c r="D43717" s="1">
        <v>4.5083465334470503E-2</v>
      </c>
      <c r="E43717" s="1">
        <v>5.66546762589928E-2</v>
      </c>
      <c r="F43717" s="1">
        <v>0.116012455688564</v>
      </c>
    </row>
    <row r="43718" spans="1:6" x14ac:dyDescent="0.25">
      <c r="A43718" s="2" t="str">
        <f t="shared" si="1359"/>
        <v>22520</v>
      </c>
      <c r="B43718" s="2" t="str">
        <f>"35660"</f>
        <v>35660</v>
      </c>
      <c r="C43718" s="1">
        <v>6.6996042632741698E-2</v>
      </c>
      <c r="D43718" s="1">
        <v>9.35786523699281E-2</v>
      </c>
      <c r="E43718" s="1">
        <v>0.107464028776978</v>
      </c>
      <c r="F43718" s="1">
        <v>7.0316456378152897E-2</v>
      </c>
    </row>
    <row r="43719" spans="1:6" x14ac:dyDescent="0.25">
      <c r="A43719" s="2" t="str">
        <f t="shared" si="1359"/>
        <v>22520</v>
      </c>
      <c r="B43719" s="2" t="str">
        <f>"35648"</f>
        <v>35648</v>
      </c>
      <c r="C43719" s="1">
        <v>2.5722887178615601E-2</v>
      </c>
      <c r="D43719" s="1">
        <v>1.1697331546241E-2</v>
      </c>
      <c r="E43719" s="1">
        <v>4.4964028776978398E-3</v>
      </c>
      <c r="F43719" s="1">
        <v>2.3973968041892401E-2</v>
      </c>
    </row>
    <row r="43720" spans="1:6" x14ac:dyDescent="0.25">
      <c r="A43720" s="2" t="str">
        <f t="shared" ref="A43720:A43735" si="1360">"21460"</f>
        <v>21460</v>
      </c>
      <c r="B43720" s="2" t="str">
        <f>"36318"</f>
        <v>36318</v>
      </c>
      <c r="C43720" s="1">
        <v>7.3280511847635997E-3</v>
      </c>
      <c r="D43720" s="1">
        <v>4.6598322460391403E-4</v>
      </c>
      <c r="E43720" s="1">
        <v>0</v>
      </c>
      <c r="F43720" s="1">
        <v>6.6671156306822004E-3</v>
      </c>
    </row>
    <row r="43721" spans="1:6" x14ac:dyDescent="0.25">
      <c r="A43721" s="2" t="str">
        <f t="shared" si="1360"/>
        <v>21460</v>
      </c>
      <c r="B43721" s="2" t="str">
        <f>"36453"</f>
        <v>36453</v>
      </c>
      <c r="C43721" s="1">
        <v>2.45880296097905E-2</v>
      </c>
      <c r="D43721" s="1">
        <v>1.39794967381174E-2</v>
      </c>
      <c r="E43721" s="1">
        <v>2.9895366218236101E-3</v>
      </c>
      <c r="F43721" s="1">
        <v>2.3334904707387701E-2</v>
      </c>
    </row>
    <row r="43722" spans="1:6" x14ac:dyDescent="0.25">
      <c r="A43722" s="2" t="str">
        <f t="shared" si="1360"/>
        <v>21460</v>
      </c>
      <c r="B43722" s="2" t="str">
        <f>"36316"</f>
        <v>36316</v>
      </c>
      <c r="C43722" s="1">
        <v>1.77435554067626E-2</v>
      </c>
      <c r="D43722" s="1">
        <v>8.8536812674743694E-3</v>
      </c>
      <c r="E43722" s="1">
        <v>0</v>
      </c>
      <c r="F43722" s="1">
        <v>1.67014613778705E-2</v>
      </c>
    </row>
    <row r="43723" spans="1:6" x14ac:dyDescent="0.25">
      <c r="A43723" s="2" t="str">
        <f t="shared" si="1360"/>
        <v>21460</v>
      </c>
      <c r="B43723" s="2" t="str">
        <f>"36351"</f>
        <v>36351</v>
      </c>
      <c r="C43723" s="1">
        <v>7.9827400215749703E-2</v>
      </c>
      <c r="D43723" s="1">
        <v>5.9179869524697101E-2</v>
      </c>
      <c r="E43723" s="1">
        <v>2.9895366218236101E-3</v>
      </c>
      <c r="F43723" s="1">
        <v>7.66044851505151E-2</v>
      </c>
    </row>
    <row r="43724" spans="1:6" x14ac:dyDescent="0.25">
      <c r="A43724" s="2" t="str">
        <f t="shared" si="1360"/>
        <v>21460</v>
      </c>
      <c r="B43724" s="2" t="str">
        <f>"36346"</f>
        <v>36346</v>
      </c>
      <c r="C43724" s="1">
        <v>3.0353755161254301E-2</v>
      </c>
      <c r="D43724" s="1">
        <v>9.3196644920782792E-3</v>
      </c>
      <c r="E43724" s="1">
        <v>2.9895366218236101E-3</v>
      </c>
      <c r="F43724" s="1">
        <v>2.8217388376321598E-2</v>
      </c>
    </row>
    <row r="43725" spans="1:6" x14ac:dyDescent="0.25">
      <c r="A43725" s="2" t="str">
        <f t="shared" si="1360"/>
        <v>21460</v>
      </c>
      <c r="B43725" s="2" t="str">
        <f>"36079"</f>
        <v>36079</v>
      </c>
      <c r="C43725" s="1">
        <v>8.9647732767920204E-3</v>
      </c>
      <c r="D43725" s="1">
        <v>2.79589934762348E-3</v>
      </c>
      <c r="E43725" s="1">
        <v>0</v>
      </c>
      <c r="F43725" s="1">
        <v>8.3170583877702191E-3</v>
      </c>
    </row>
    <row r="43726" spans="1:6" x14ac:dyDescent="0.25">
      <c r="A43726" s="2" t="str">
        <f t="shared" si="1360"/>
        <v>21460</v>
      </c>
      <c r="B43726" s="2" t="str">
        <f>"36467"</f>
        <v>36467</v>
      </c>
      <c r="C43726" s="1">
        <v>7.0304653498493401E-3</v>
      </c>
      <c r="D43726" s="1">
        <v>0</v>
      </c>
      <c r="E43726" s="1">
        <v>0</v>
      </c>
      <c r="F43726" s="1">
        <v>6.3640649201966402E-3</v>
      </c>
    </row>
    <row r="43727" spans="1:6" x14ac:dyDescent="0.25">
      <c r="A43727" s="2" t="str">
        <f t="shared" si="1360"/>
        <v>21460</v>
      </c>
      <c r="B43727" s="2" t="str">
        <f>"36010"</f>
        <v>36010</v>
      </c>
      <c r="C43727" s="1">
        <v>1.5214075809991401E-2</v>
      </c>
      <c r="D43727" s="1">
        <v>5.1258154706430503E-3</v>
      </c>
      <c r="E43727" s="1">
        <v>0</v>
      </c>
      <c r="F43727" s="1">
        <v>1.41423664893258E-2</v>
      </c>
    </row>
    <row r="43728" spans="1:6" x14ac:dyDescent="0.25">
      <c r="A43728" s="2" t="str">
        <f t="shared" si="1360"/>
        <v>21460</v>
      </c>
      <c r="B43728" s="2" t="str">
        <f>"36360"</f>
        <v>36360</v>
      </c>
      <c r="C43728" s="1">
        <v>3.71982293642822E-4</v>
      </c>
      <c r="D43728" s="1">
        <v>0</v>
      </c>
      <c r="E43728" s="1">
        <v>0</v>
      </c>
      <c r="F43728" s="1">
        <v>3.36723011650616E-4</v>
      </c>
    </row>
    <row r="43729" spans="1:6" x14ac:dyDescent="0.25">
      <c r="A43729" s="2" t="str">
        <f t="shared" si="1360"/>
        <v>21460</v>
      </c>
      <c r="B43729" s="2" t="str">
        <f>"36034"</f>
        <v>36034</v>
      </c>
      <c r="C43729" s="1">
        <v>5.2821485697280802E-3</v>
      </c>
      <c r="D43729" s="1">
        <v>4.6598322460391403E-4</v>
      </c>
      <c r="E43729" s="1">
        <v>7.4738415545590403E-3</v>
      </c>
      <c r="F43729" s="1">
        <v>4.9835005724291103E-3</v>
      </c>
    </row>
    <row r="43730" spans="1:6" x14ac:dyDescent="0.25">
      <c r="A43730" s="2" t="str">
        <f t="shared" si="1360"/>
        <v>21460</v>
      </c>
      <c r="B43730" s="2" t="str">
        <f>"36009"</f>
        <v>36009</v>
      </c>
      <c r="C43730" s="1">
        <v>2.15749730312837E-3</v>
      </c>
      <c r="D43730" s="1">
        <v>4.6598322460391403E-4</v>
      </c>
      <c r="E43730" s="1">
        <v>1.4947683109118E-3</v>
      </c>
      <c r="F43730" s="1">
        <v>2.02033806990369E-3</v>
      </c>
    </row>
    <row r="43731" spans="1:6" x14ac:dyDescent="0.25">
      <c r="A43731" s="2" t="str">
        <f t="shared" si="1360"/>
        <v>21460</v>
      </c>
      <c r="B43731" s="2" t="str">
        <f>"36330"</f>
        <v>36330</v>
      </c>
      <c r="C43731" s="1">
        <v>0.62396309935646999</v>
      </c>
      <c r="D43731" s="1">
        <v>0.744641192917054</v>
      </c>
      <c r="E43731" s="1">
        <v>0.79820627802690503</v>
      </c>
      <c r="F43731" s="1">
        <v>0.63660852582665395</v>
      </c>
    </row>
    <row r="43732" spans="1:6" x14ac:dyDescent="0.25">
      <c r="A43732" s="2" t="str">
        <f t="shared" si="1360"/>
        <v>21460</v>
      </c>
      <c r="B43732" s="2" t="str">
        <f>"36323"</f>
        <v>36323</v>
      </c>
      <c r="C43732" s="1">
        <v>0.16460216493694901</v>
      </c>
      <c r="D43732" s="1">
        <v>0.15004659832246001</v>
      </c>
      <c r="E43732" s="1">
        <v>0.18236173393124</v>
      </c>
      <c r="F43732" s="1">
        <v>0.163950434372685</v>
      </c>
    </row>
    <row r="43733" spans="1:6" x14ac:dyDescent="0.25">
      <c r="A43733" s="2" t="str">
        <f t="shared" si="1360"/>
        <v>21460</v>
      </c>
      <c r="B43733" s="2" t="str">
        <f>"36322"</f>
        <v>36322</v>
      </c>
      <c r="C43733" s="1">
        <v>1.9715061563069501E-3</v>
      </c>
      <c r="D43733" s="1">
        <v>4.6598322460391403E-4</v>
      </c>
      <c r="E43733" s="1">
        <v>0</v>
      </c>
      <c r="F43733" s="1">
        <v>1.81830426291332E-3</v>
      </c>
    </row>
    <row r="43734" spans="1:6" x14ac:dyDescent="0.25">
      <c r="A43734" s="2" t="str">
        <f t="shared" si="1360"/>
        <v>21460</v>
      </c>
      <c r="B43734" s="2" t="str">
        <f>"36311"</f>
        <v>36311</v>
      </c>
      <c r="C43734" s="1">
        <v>4.2777963768924499E-3</v>
      </c>
      <c r="D43734" s="1">
        <v>0</v>
      </c>
      <c r="E43734" s="1">
        <v>0</v>
      </c>
      <c r="F43734" s="1">
        <v>3.8723146339820799E-3</v>
      </c>
    </row>
    <row r="43735" spans="1:6" x14ac:dyDescent="0.25">
      <c r="A43735" s="2" t="str">
        <f t="shared" si="1360"/>
        <v>21460</v>
      </c>
      <c r="B43735" s="2" t="str">
        <f>"36477"</f>
        <v>36477</v>
      </c>
      <c r="C43735" s="1">
        <v>6.3236989919279799E-3</v>
      </c>
      <c r="D43735" s="1">
        <v>4.1938490214352203E-3</v>
      </c>
      <c r="E43735" s="1">
        <v>1.4947683109118E-3</v>
      </c>
      <c r="F43735" s="1">
        <v>6.0610142097110896E-3</v>
      </c>
    </row>
    <row r="43736" spans="1:6" x14ac:dyDescent="0.25">
      <c r="A43736" s="2" t="str">
        <f t="shared" ref="A43736:A43752" si="1361">"12220"</f>
        <v>12220</v>
      </c>
      <c r="B43736" s="2" t="str">
        <f>"36831"</f>
        <v>36831</v>
      </c>
      <c r="C43736" s="1">
        <v>2.57064209875849E-2</v>
      </c>
      <c r="D43736" s="1">
        <v>0.12286689419795201</v>
      </c>
      <c r="E43736" s="1">
        <v>5.9523809523809497E-4</v>
      </c>
      <c r="F43736" s="1">
        <v>3.09182078401916E-2</v>
      </c>
    </row>
    <row r="43737" spans="1:6" x14ac:dyDescent="0.25">
      <c r="A43737" s="2" t="str">
        <f t="shared" si="1361"/>
        <v>12220</v>
      </c>
      <c r="B43737" s="2" t="str">
        <f>"36852"</f>
        <v>36852</v>
      </c>
      <c r="C43737" s="1">
        <v>1.26846806359193E-2</v>
      </c>
      <c r="D43737" s="1">
        <v>4.5506257110352602E-3</v>
      </c>
      <c r="E43737" s="1">
        <v>8.6309523809523798E-3</v>
      </c>
      <c r="F43737" s="1">
        <v>1.20384092247102E-2</v>
      </c>
    </row>
    <row r="43738" spans="1:6" x14ac:dyDescent="0.25">
      <c r="A43738" s="2" t="str">
        <f t="shared" si="1361"/>
        <v>12220</v>
      </c>
      <c r="B43738" s="2" t="str">
        <f>"36865"</f>
        <v>36865</v>
      </c>
      <c r="C43738" s="1">
        <v>0</v>
      </c>
      <c r="D43738" s="1">
        <v>0</v>
      </c>
      <c r="E43738" s="1">
        <v>2.97619047619047E-4</v>
      </c>
      <c r="F43738" s="1">
        <v>1.0150429363161999E-5</v>
      </c>
    </row>
    <row r="43739" spans="1:6" x14ac:dyDescent="0.25">
      <c r="A43739" s="2" t="str">
        <f t="shared" si="1361"/>
        <v>12220</v>
      </c>
      <c r="B43739" s="2" t="str">
        <f>"36866"</f>
        <v>36866</v>
      </c>
      <c r="C43739" s="1">
        <v>1.8425931127464699E-3</v>
      </c>
      <c r="D43739" s="1">
        <v>3.2504469364537597E-4</v>
      </c>
      <c r="E43739" s="1">
        <v>0</v>
      </c>
      <c r="F43739" s="1">
        <v>1.6849712742849001E-3</v>
      </c>
    </row>
    <row r="43740" spans="1:6" x14ac:dyDescent="0.25">
      <c r="A43740" s="2" t="str">
        <f t="shared" si="1361"/>
        <v>12220</v>
      </c>
      <c r="B43740" s="2" t="str">
        <f>"36803"</f>
        <v>36803</v>
      </c>
      <c r="C43740" s="1">
        <v>1.73585753609347E-2</v>
      </c>
      <c r="D43740" s="1">
        <v>7.4435234844791101E-2</v>
      </c>
      <c r="E43740" s="1">
        <v>5.9523809523809497E-4</v>
      </c>
      <c r="F43740" s="1">
        <v>2.03516108731399E-2</v>
      </c>
    </row>
    <row r="43741" spans="1:6" x14ac:dyDescent="0.25">
      <c r="A43741" s="2" t="str">
        <f t="shared" si="1361"/>
        <v>12220</v>
      </c>
      <c r="B43741" s="2" t="str">
        <f>"36832"</f>
        <v>36832</v>
      </c>
      <c r="C43741" s="1">
        <v>0.180237065333408</v>
      </c>
      <c r="D43741" s="1">
        <v>8.8249634324719606E-2</v>
      </c>
      <c r="E43741" s="1">
        <v>0.162797619047619</v>
      </c>
      <c r="F43741" s="1">
        <v>0.17389715584969201</v>
      </c>
    </row>
    <row r="43742" spans="1:6" x14ac:dyDescent="0.25">
      <c r="A43742" s="2" t="str">
        <f t="shared" si="1361"/>
        <v>12220</v>
      </c>
      <c r="B43742" s="2" t="str">
        <f>"36854"</f>
        <v>36854</v>
      </c>
      <c r="C43742" s="1">
        <v>2.6436717038368598E-2</v>
      </c>
      <c r="D43742" s="1">
        <v>6.1758491792621396E-3</v>
      </c>
      <c r="E43742" s="1">
        <v>3.57142857142857E-3</v>
      </c>
      <c r="F43742" s="1">
        <v>2.43914817596784E-2</v>
      </c>
    </row>
    <row r="43743" spans="1:6" x14ac:dyDescent="0.25">
      <c r="A43743" s="2" t="str">
        <f t="shared" si="1361"/>
        <v>12220</v>
      </c>
      <c r="B43743" s="2" t="str">
        <f>"36849"</f>
        <v>36849</v>
      </c>
      <c r="C43743" s="1">
        <v>0</v>
      </c>
      <c r="D43743" s="1">
        <v>4.8756704046806402E-4</v>
      </c>
      <c r="E43743" s="1">
        <v>7.1428571428571397E-2</v>
      </c>
      <c r="F43743" s="1">
        <v>2.46655433524838E-3</v>
      </c>
    </row>
    <row r="43744" spans="1:6" x14ac:dyDescent="0.25">
      <c r="A43744" s="2" t="str">
        <f t="shared" si="1361"/>
        <v>12220</v>
      </c>
      <c r="B43744" s="2" t="str">
        <f>"36801"</f>
        <v>36801</v>
      </c>
      <c r="C43744" s="1">
        <v>0.135857536093477</v>
      </c>
      <c r="D43744" s="1">
        <v>0.310417682431334</v>
      </c>
      <c r="E43744" s="1">
        <v>0.33214285714285702</v>
      </c>
      <c r="F43744" s="1">
        <v>0.15345419111228401</v>
      </c>
    </row>
    <row r="43745" spans="1:6" x14ac:dyDescent="0.25">
      <c r="A43745" s="2" t="str">
        <f t="shared" si="1361"/>
        <v>12220</v>
      </c>
      <c r="B43745" s="2" t="str">
        <f>"36870"</f>
        <v>36870</v>
      </c>
      <c r="C43745" s="1">
        <v>7.1951013987978193E-2</v>
      </c>
      <c r="D43745" s="1">
        <v>1.2189176011701599E-2</v>
      </c>
      <c r="E43745" s="1">
        <v>4.5833333333333302E-2</v>
      </c>
      <c r="F43745" s="1">
        <v>6.7327797965853906E-2</v>
      </c>
    </row>
    <row r="43746" spans="1:6" x14ac:dyDescent="0.25">
      <c r="A43746" s="2" t="str">
        <f t="shared" si="1361"/>
        <v>12220</v>
      </c>
      <c r="B43746" s="2" t="str">
        <f>"36850"</f>
        <v>36850</v>
      </c>
      <c r="C43746" s="1">
        <v>1.1235323858210201E-3</v>
      </c>
      <c r="D43746" s="1">
        <v>1.1376564277588101E-3</v>
      </c>
      <c r="E43746" s="1">
        <v>0</v>
      </c>
      <c r="F43746" s="1">
        <v>1.08609594185834E-3</v>
      </c>
    </row>
    <row r="43747" spans="1:6" x14ac:dyDescent="0.25">
      <c r="A43747" s="2" t="str">
        <f t="shared" si="1361"/>
        <v>12220</v>
      </c>
      <c r="B43747" s="2" t="str">
        <f>"36874"</f>
        <v>36874</v>
      </c>
      <c r="C43747" s="1">
        <v>5.0896017077692202E-2</v>
      </c>
      <c r="D43747" s="1">
        <v>7.6385503006663399E-3</v>
      </c>
      <c r="E43747" s="1">
        <v>2.0238095238095201E-2</v>
      </c>
      <c r="F43747" s="1">
        <v>4.7148744391887702E-2</v>
      </c>
    </row>
    <row r="43748" spans="1:6" x14ac:dyDescent="0.25">
      <c r="A43748" s="2" t="str">
        <f t="shared" si="1361"/>
        <v>12220</v>
      </c>
      <c r="B43748" s="2" t="str">
        <f>"36830"</f>
        <v>36830</v>
      </c>
      <c r="C43748" s="1">
        <v>0.25276108083815502</v>
      </c>
      <c r="D43748" s="1">
        <v>0.27011214041930698</v>
      </c>
      <c r="E43748" s="1">
        <v>0.22380952380952299</v>
      </c>
      <c r="F43748" s="1">
        <v>0.25285734586573</v>
      </c>
    </row>
    <row r="43749" spans="1:6" x14ac:dyDescent="0.25">
      <c r="A43749" s="2" t="str">
        <f t="shared" si="1361"/>
        <v>12220</v>
      </c>
      <c r="B43749" s="2" t="str">
        <f>"36879"</f>
        <v>36879</v>
      </c>
      <c r="C43749" s="1">
        <v>1.0257850682545901E-2</v>
      </c>
      <c r="D43749" s="1">
        <v>1.6252234682268801E-3</v>
      </c>
      <c r="E43749" s="1">
        <v>1.78571428571428E-3</v>
      </c>
      <c r="F43749" s="1">
        <v>9.4297488783775495E-3</v>
      </c>
    </row>
    <row r="43750" spans="1:6" x14ac:dyDescent="0.25">
      <c r="A43750" s="2" t="str">
        <f t="shared" si="1361"/>
        <v>12220</v>
      </c>
      <c r="B43750" s="2" t="str">
        <f>"36877"</f>
        <v>36877</v>
      </c>
      <c r="C43750" s="1">
        <v>7.0164597494522696E-2</v>
      </c>
      <c r="D43750" s="1">
        <v>3.1691857630424099E-2</v>
      </c>
      <c r="E43750" s="1">
        <v>4.3749999999999997E-2</v>
      </c>
      <c r="F43750" s="1">
        <v>6.6860878215148495E-2</v>
      </c>
    </row>
    <row r="43751" spans="1:6" x14ac:dyDescent="0.25">
      <c r="A43751" s="2" t="str">
        <f t="shared" si="1361"/>
        <v>12220</v>
      </c>
      <c r="B43751" s="2" t="str">
        <f>"36804"</f>
        <v>36804</v>
      </c>
      <c r="C43751" s="1">
        <v>0.11561148250098301</v>
      </c>
      <c r="D43751" s="1">
        <v>5.5582642613359302E-2</v>
      </c>
      <c r="E43751" s="1">
        <v>7.3511904761904695E-2</v>
      </c>
      <c r="F43751" s="1">
        <v>0.11042652104184</v>
      </c>
    </row>
    <row r="43752" spans="1:6" x14ac:dyDescent="0.25">
      <c r="A43752" s="2" t="str">
        <f t="shared" si="1361"/>
        <v>12220</v>
      </c>
      <c r="B43752" s="2" t="str">
        <f>"36867"</f>
        <v>36867</v>
      </c>
      <c r="C43752" s="1">
        <v>2.7110836469861201E-2</v>
      </c>
      <c r="D43752" s="1">
        <v>1.25142207053469E-2</v>
      </c>
      <c r="E43752" s="1">
        <v>1.10119047619047E-2</v>
      </c>
      <c r="F43752" s="1">
        <v>2.5650135000710499E-2</v>
      </c>
    </row>
    <row r="43753" spans="1:6" x14ac:dyDescent="0.25">
      <c r="A43753" s="2" t="str">
        <f t="shared" ref="A43753:A43760" si="1362">"32660"</f>
        <v>32660</v>
      </c>
      <c r="B43753" s="2" t="str">
        <f>"38550"</f>
        <v>38550</v>
      </c>
      <c r="C43753" s="1">
        <v>0</v>
      </c>
      <c r="D43753" s="1">
        <v>4.3047783039173402E-4</v>
      </c>
      <c r="E43753" s="1">
        <v>0</v>
      </c>
      <c r="F43753" s="1">
        <v>4.4048982468504903E-5</v>
      </c>
    </row>
    <row r="43754" spans="1:6" x14ac:dyDescent="0.25">
      <c r="A43754" s="2" t="str">
        <f t="shared" si="1362"/>
        <v>32660</v>
      </c>
      <c r="B43754" s="2" t="str">
        <f>"37357"</f>
        <v>37357</v>
      </c>
      <c r="C43754" s="1">
        <v>9.6364188778610402E-2</v>
      </c>
      <c r="D43754" s="1">
        <v>6.1558329746017999E-2</v>
      </c>
      <c r="E43754" s="1">
        <v>2.8526148969889E-2</v>
      </c>
      <c r="F43754" s="1">
        <v>9.0917099814994198E-2</v>
      </c>
    </row>
    <row r="43755" spans="1:6" x14ac:dyDescent="0.25">
      <c r="A43755" s="2" t="str">
        <f t="shared" si="1362"/>
        <v>32660</v>
      </c>
      <c r="B43755" s="2" t="str">
        <f>"38581"</f>
        <v>38581</v>
      </c>
      <c r="C43755" s="1">
        <v>8.1425967186550499E-2</v>
      </c>
      <c r="D43755" s="1">
        <v>2.6689625484287501E-2</v>
      </c>
      <c r="E43755" s="1">
        <v>7.9239302694136208E-3</v>
      </c>
      <c r="F43755" s="1">
        <v>7.3782045634745802E-2</v>
      </c>
    </row>
    <row r="43756" spans="1:6" x14ac:dyDescent="0.25">
      <c r="A43756" s="2" t="str">
        <f t="shared" si="1362"/>
        <v>32660</v>
      </c>
      <c r="B43756" s="2" t="str">
        <f>"37394"</f>
        <v>37394</v>
      </c>
      <c r="C43756" s="1">
        <v>0</v>
      </c>
      <c r="D43756" s="1">
        <v>4.3047783039173402E-4</v>
      </c>
      <c r="E43756" s="1">
        <v>0</v>
      </c>
      <c r="F43756" s="1">
        <v>4.4048982468504903E-5</v>
      </c>
    </row>
    <row r="43757" spans="1:6" x14ac:dyDescent="0.25">
      <c r="A43757" s="2" t="str">
        <f t="shared" si="1362"/>
        <v>32660</v>
      </c>
      <c r="B43757" s="2" t="str">
        <f>"37110"</f>
        <v>37110</v>
      </c>
      <c r="C43757" s="1">
        <v>0.80068867733441296</v>
      </c>
      <c r="D43757" s="1">
        <v>0.90400344382264297</v>
      </c>
      <c r="E43757" s="1">
        <v>0.95879556259904897</v>
      </c>
      <c r="F43757" s="1">
        <v>0.81565500836930604</v>
      </c>
    </row>
    <row r="43758" spans="1:6" x14ac:dyDescent="0.25">
      <c r="A43758" s="2" t="str">
        <f t="shared" si="1362"/>
        <v>32660</v>
      </c>
      <c r="B43758" s="2" t="str">
        <f>"37378"</f>
        <v>37378</v>
      </c>
      <c r="C43758" s="1">
        <v>0</v>
      </c>
      <c r="D43758" s="1">
        <v>4.3047783039173402E-4</v>
      </c>
      <c r="E43758" s="1">
        <v>0</v>
      </c>
      <c r="F43758" s="1">
        <v>4.4048982468504903E-5</v>
      </c>
    </row>
    <row r="43759" spans="1:6" x14ac:dyDescent="0.25">
      <c r="A43759" s="2" t="str">
        <f t="shared" si="1362"/>
        <v>32660</v>
      </c>
      <c r="B43759" s="2" t="str">
        <f>"37166"</f>
        <v>37166</v>
      </c>
      <c r="C43759" s="1">
        <v>1.9394369050030301E-2</v>
      </c>
      <c r="D43759" s="1">
        <v>4.7352561343090797E-3</v>
      </c>
      <c r="E43759" s="1">
        <v>4.7543581616481699E-3</v>
      </c>
      <c r="F43759" s="1">
        <v>1.7487446039996399E-2</v>
      </c>
    </row>
    <row r="43760" spans="1:6" x14ac:dyDescent="0.25">
      <c r="A43760" s="2" t="str">
        <f t="shared" si="1362"/>
        <v>32660</v>
      </c>
      <c r="B43760" s="2" t="str">
        <f>"37190"</f>
        <v>37190</v>
      </c>
      <c r="C43760" s="1">
        <v>2.1267976503949698E-3</v>
      </c>
      <c r="D43760" s="1">
        <v>1.72191132156693E-3</v>
      </c>
      <c r="E43760" s="1">
        <v>0</v>
      </c>
      <c r="F43760" s="1">
        <v>2.0262531935512202E-3</v>
      </c>
    </row>
    <row r="43761" spans="1:6" x14ac:dyDescent="0.25">
      <c r="A43761" s="2" t="str">
        <f t="shared" ref="A43761:A43779" si="1363">"17420"</f>
        <v>17420</v>
      </c>
      <c r="B43761" s="2" t="str">
        <f>"37333"</f>
        <v>37333</v>
      </c>
      <c r="C43761" s="1">
        <v>4.8160535117056803E-3</v>
      </c>
      <c r="D43761" s="1">
        <v>5.77923328838374E-4</v>
      </c>
      <c r="E43761" s="1">
        <v>0</v>
      </c>
      <c r="F43761" s="1">
        <v>4.3512066748407499E-3</v>
      </c>
    </row>
    <row r="43762" spans="1:6" x14ac:dyDescent="0.25">
      <c r="A43762" s="2" t="str">
        <f t="shared" si="1363"/>
        <v>17420</v>
      </c>
      <c r="B43762" s="2" t="str">
        <f>"37361"</f>
        <v>37361</v>
      </c>
      <c r="C43762" s="1">
        <v>1.34782608695652E-2</v>
      </c>
      <c r="D43762" s="1">
        <v>9.0541321518011891E-3</v>
      </c>
      <c r="E43762" s="1">
        <v>3.1796502384737598E-3</v>
      </c>
      <c r="F43762" s="1">
        <v>1.28442836209216E-2</v>
      </c>
    </row>
    <row r="43763" spans="1:6" x14ac:dyDescent="0.25">
      <c r="A43763" s="2" t="str">
        <f t="shared" si="1363"/>
        <v>17420</v>
      </c>
      <c r="B43763" s="2" t="str">
        <f>"37325"</f>
        <v>37325</v>
      </c>
      <c r="C43763" s="1">
        <v>1.2943143812709E-2</v>
      </c>
      <c r="D43763" s="1">
        <v>3.6601810826430302E-3</v>
      </c>
      <c r="E43763" s="1">
        <v>0</v>
      </c>
      <c r="F43763" s="1">
        <v>1.1857412003947399E-2</v>
      </c>
    </row>
    <row r="43764" spans="1:6" x14ac:dyDescent="0.25">
      <c r="A43764" s="2" t="str">
        <f t="shared" si="1363"/>
        <v>17420</v>
      </c>
      <c r="B43764" s="2" t="str">
        <f>"37312"</f>
        <v>37312</v>
      </c>
      <c r="C43764" s="1">
        <v>0.25727424749163802</v>
      </c>
      <c r="D43764" s="1">
        <v>0.25332305914081998</v>
      </c>
      <c r="E43764" s="1">
        <v>0.36301006889242099</v>
      </c>
      <c r="F43764" s="1">
        <v>0.25995095547115599</v>
      </c>
    </row>
    <row r="43765" spans="1:6" x14ac:dyDescent="0.25">
      <c r="A43765" s="2" t="str">
        <f t="shared" si="1363"/>
        <v>17420</v>
      </c>
      <c r="B43765" s="2" t="str">
        <f>"37323"</f>
        <v>37323</v>
      </c>
      <c r="C43765" s="1">
        <v>0.22416387959866199</v>
      </c>
      <c r="D43765" s="1">
        <v>9.1504527066075897E-2</v>
      </c>
      <c r="E43765" s="1">
        <v>6.5182829888712199E-2</v>
      </c>
      <c r="F43765" s="1">
        <v>0.20938126140135699</v>
      </c>
    </row>
    <row r="43766" spans="1:6" x14ac:dyDescent="0.25">
      <c r="A43766" s="2" t="str">
        <f t="shared" si="1363"/>
        <v>17420</v>
      </c>
      <c r="B43766" s="2" t="str">
        <f>"37385"</f>
        <v>37385</v>
      </c>
      <c r="C43766" s="1">
        <v>5.01672240802675E-5</v>
      </c>
      <c r="D43766" s="1">
        <v>0</v>
      </c>
      <c r="E43766" s="1">
        <v>0</v>
      </c>
      <c r="F43766" s="1">
        <v>4.4857800771554102E-5</v>
      </c>
    </row>
    <row r="43767" spans="1:6" x14ac:dyDescent="0.25">
      <c r="A43767" s="2" t="str">
        <f t="shared" si="1363"/>
        <v>17420</v>
      </c>
      <c r="B43767" s="2" t="str">
        <f>"37364"</f>
        <v>37364</v>
      </c>
      <c r="C43767" s="1">
        <v>1.1856187290969799E-2</v>
      </c>
      <c r="D43767" s="1">
        <v>3.71797341552687E-2</v>
      </c>
      <c r="E43767" s="1">
        <v>5.2994170641229403E-4</v>
      </c>
      <c r="F43767" s="1">
        <v>1.3502198032237799E-2</v>
      </c>
    </row>
    <row r="43768" spans="1:6" x14ac:dyDescent="0.25">
      <c r="A43768" s="2" t="str">
        <f t="shared" si="1363"/>
        <v>17420</v>
      </c>
      <c r="B43768" s="2" t="str">
        <f>"37353"</f>
        <v>37353</v>
      </c>
      <c r="C43768" s="1">
        <v>4.22909698996655E-2</v>
      </c>
      <c r="D43768" s="1">
        <v>2.0419957618955799E-2</v>
      </c>
      <c r="E43768" s="1">
        <v>4.7694753577106497E-3</v>
      </c>
      <c r="F43768" s="1">
        <v>3.9534675079996397E-2</v>
      </c>
    </row>
    <row r="43769" spans="1:6" x14ac:dyDescent="0.25">
      <c r="A43769" s="2" t="str">
        <f t="shared" si="1363"/>
        <v>17420</v>
      </c>
      <c r="B43769" s="2" t="str">
        <f>"37317"</f>
        <v>37317</v>
      </c>
      <c r="C43769" s="1">
        <v>2.3963210702341101E-2</v>
      </c>
      <c r="D43769" s="1">
        <v>2.1190522057406999E-2</v>
      </c>
      <c r="E43769" s="1">
        <v>5.2994170641229403E-3</v>
      </c>
      <c r="F43769" s="1">
        <v>2.3221388199407798E-2</v>
      </c>
    </row>
    <row r="43770" spans="1:6" x14ac:dyDescent="0.25">
      <c r="A43770" s="2" t="str">
        <f t="shared" si="1363"/>
        <v>17420</v>
      </c>
      <c r="B43770" s="2" t="str">
        <f>"37309"</f>
        <v>37309</v>
      </c>
      <c r="C43770" s="1">
        <v>2.1571906354514998E-3</v>
      </c>
      <c r="D43770" s="1">
        <v>3.85282219225582E-4</v>
      </c>
      <c r="E43770" s="1">
        <v>0</v>
      </c>
      <c r="F43770" s="1">
        <v>1.95879063369119E-3</v>
      </c>
    </row>
    <row r="43771" spans="1:6" x14ac:dyDescent="0.25">
      <c r="A43771" s="2" t="str">
        <f t="shared" si="1363"/>
        <v>17420</v>
      </c>
      <c r="B43771" s="2" t="str">
        <f>"37391"</f>
        <v>37391</v>
      </c>
      <c r="C43771" s="1">
        <v>1.6237458193979901E-2</v>
      </c>
      <c r="D43771" s="1">
        <v>4.04546330186861E-3</v>
      </c>
      <c r="E43771" s="1">
        <v>0</v>
      </c>
      <c r="F43771" s="1">
        <v>1.4832979455127199E-2</v>
      </c>
    </row>
    <row r="43772" spans="1:6" x14ac:dyDescent="0.25">
      <c r="A43772" s="2" t="str">
        <f t="shared" si="1363"/>
        <v>17420</v>
      </c>
      <c r="B43772" s="2" t="str">
        <f>"37320"</f>
        <v>37320</v>
      </c>
      <c r="C43772" s="1">
        <v>3.0301003344481599E-2</v>
      </c>
      <c r="D43772" s="1">
        <v>0.112887690233095</v>
      </c>
      <c r="E43772" s="1">
        <v>5.2994170641229403E-4</v>
      </c>
      <c r="F43772" s="1">
        <v>3.5871288016986101E-2</v>
      </c>
    </row>
    <row r="43773" spans="1:6" x14ac:dyDescent="0.25">
      <c r="A43773" s="2" t="str">
        <f t="shared" si="1363"/>
        <v>17420</v>
      </c>
      <c r="B43773" s="2" t="str">
        <f>"37310"</f>
        <v>37310</v>
      </c>
      <c r="C43773" s="1">
        <v>4.4180602006688899E-2</v>
      </c>
      <c r="D43773" s="1">
        <v>3.1978424195723297E-2</v>
      </c>
      <c r="E43773" s="1">
        <v>9.5389507154212995E-3</v>
      </c>
      <c r="F43773" s="1">
        <v>4.2256048326803998E-2</v>
      </c>
    </row>
    <row r="43774" spans="1:6" x14ac:dyDescent="0.25">
      <c r="A43774" s="2" t="str">
        <f t="shared" si="1363"/>
        <v>17420</v>
      </c>
      <c r="B43774" s="2" t="str">
        <f>"37307"</f>
        <v>37307</v>
      </c>
      <c r="C43774" s="1">
        <v>4.22240802675585E-2</v>
      </c>
      <c r="D43774" s="1">
        <v>2.1383163167019801E-2</v>
      </c>
      <c r="E43774" s="1">
        <v>2.6497085320614702E-2</v>
      </c>
      <c r="F43774" s="1">
        <v>4.0162684290798098E-2</v>
      </c>
    </row>
    <row r="43775" spans="1:6" x14ac:dyDescent="0.25">
      <c r="A43775" s="2" t="str">
        <f t="shared" si="1363"/>
        <v>17420</v>
      </c>
      <c r="B43775" s="2" t="str">
        <f>"37362"</f>
        <v>37362</v>
      </c>
      <c r="C43775" s="1">
        <v>2.90969899665551E-2</v>
      </c>
      <c r="D43775" s="1">
        <v>3.27489886341745E-3</v>
      </c>
      <c r="E43775" s="1">
        <v>3.7095919448860599E-3</v>
      </c>
      <c r="F43775" s="1">
        <v>2.63763868536738E-2</v>
      </c>
    </row>
    <row r="43776" spans="1:6" x14ac:dyDescent="0.25">
      <c r="A43776" s="2" t="str">
        <f t="shared" si="1363"/>
        <v>17420</v>
      </c>
      <c r="B43776" s="2" t="str">
        <f>"37326"</f>
        <v>37326</v>
      </c>
      <c r="C43776" s="1">
        <v>0</v>
      </c>
      <c r="D43776" s="1">
        <v>1.92641109612791E-4</v>
      </c>
      <c r="E43776" s="1">
        <v>0</v>
      </c>
      <c r="F43776" s="1">
        <v>1.49526002571847E-5</v>
      </c>
    </row>
    <row r="43777" spans="1:6" x14ac:dyDescent="0.25">
      <c r="A43777" s="2" t="str">
        <f t="shared" si="1363"/>
        <v>17420</v>
      </c>
      <c r="B43777" s="2" t="str">
        <f>"37336"</f>
        <v>37336</v>
      </c>
      <c r="C43777" s="1">
        <v>1.43645484949832E-2</v>
      </c>
      <c r="D43777" s="1">
        <v>2.50433442496628E-3</v>
      </c>
      <c r="E43777" s="1">
        <v>2.1197668256491701E-3</v>
      </c>
      <c r="F43777" s="1">
        <v>1.3098477825293799E-2</v>
      </c>
    </row>
    <row r="43778" spans="1:6" x14ac:dyDescent="0.25">
      <c r="A43778" s="2" t="str">
        <f t="shared" si="1363"/>
        <v>17420</v>
      </c>
      <c r="B43778" s="2" t="str">
        <f>"37311"</f>
        <v>37311</v>
      </c>
      <c r="C43778" s="1">
        <v>0.22040133779264201</v>
      </c>
      <c r="D43778" s="1">
        <v>0.382007320362165</v>
      </c>
      <c r="E43778" s="1">
        <v>0.515633280339162</v>
      </c>
      <c r="F43778" s="1">
        <v>0.241275157749932</v>
      </c>
    </row>
    <row r="43779" spans="1:6" x14ac:dyDescent="0.25">
      <c r="A43779" s="2" t="str">
        <f t="shared" si="1363"/>
        <v>17420</v>
      </c>
      <c r="B43779" s="2" t="str">
        <f>"37369"</f>
        <v>37369</v>
      </c>
      <c r="C43779" s="1">
        <v>1.0200668896321E-2</v>
      </c>
      <c r="D43779" s="1">
        <v>4.4307455210941997E-3</v>
      </c>
      <c r="E43779" s="1">
        <v>0</v>
      </c>
      <c r="F43779" s="1">
        <v>9.4649959627979303E-3</v>
      </c>
    </row>
    <row r="43780" spans="1:6" x14ac:dyDescent="0.25">
      <c r="A43780" s="2" t="str">
        <f t="shared" ref="A43780:A43811" si="1364">"32820"</f>
        <v>32820</v>
      </c>
      <c r="B43780" s="2" t="str">
        <f>"38659"</f>
        <v>38659</v>
      </c>
      <c r="C43780" s="1">
        <v>1.79696809425798E-3</v>
      </c>
      <c r="D43780" s="1">
        <v>4.9432379913408103E-4</v>
      </c>
      <c r="E43780" s="1">
        <v>0</v>
      </c>
      <c r="F43780" s="1">
        <v>1.61734260963891E-3</v>
      </c>
    </row>
    <row r="43781" spans="1:6" x14ac:dyDescent="0.25">
      <c r="A43781" s="2" t="str">
        <f t="shared" si="1364"/>
        <v>32820</v>
      </c>
      <c r="B43781" s="2" t="str">
        <f>"38654"</f>
        <v>38654</v>
      </c>
      <c r="C43781" s="1">
        <v>3.59329896578751E-2</v>
      </c>
      <c r="D43781" s="1">
        <v>3.6614052432414002E-2</v>
      </c>
      <c r="E43781" s="1">
        <v>7.4876643318035896E-3</v>
      </c>
      <c r="F43781" s="1">
        <v>3.4836469468289798E-2</v>
      </c>
    </row>
    <row r="43782" spans="1:6" x14ac:dyDescent="0.25">
      <c r="A43782" s="2" t="str">
        <f t="shared" si="1364"/>
        <v>32820</v>
      </c>
      <c r="B43782" s="2" t="str">
        <f>"38649"</f>
        <v>38649</v>
      </c>
      <c r="C43782" s="1">
        <v>1.5930568211506899E-6</v>
      </c>
      <c r="D43782" s="1">
        <v>0</v>
      </c>
      <c r="E43782" s="1">
        <v>0</v>
      </c>
      <c r="F43782" s="1">
        <v>1.3978760671036401E-6</v>
      </c>
    </row>
    <row r="43783" spans="1:6" x14ac:dyDescent="0.25">
      <c r="A43783" s="2" t="str">
        <f t="shared" si="1364"/>
        <v>32820</v>
      </c>
      <c r="B43783" s="2" t="str">
        <f>"38642"</f>
        <v>38642</v>
      </c>
      <c r="C43783" s="1">
        <v>9.0644933123474605E-4</v>
      </c>
      <c r="D43783" s="1">
        <v>3.2386731667405301E-4</v>
      </c>
      <c r="E43783" s="1">
        <v>0</v>
      </c>
      <c r="F43783" s="1">
        <v>8.2195112745694096E-4</v>
      </c>
    </row>
    <row r="43784" spans="1:6" x14ac:dyDescent="0.25">
      <c r="A43784" s="2" t="str">
        <f t="shared" si="1364"/>
        <v>32820</v>
      </c>
      <c r="B43784" s="2" t="str">
        <f>"38115"</f>
        <v>38115</v>
      </c>
      <c r="C43784" s="1">
        <v>3.01422281129923E-2</v>
      </c>
      <c r="D43784" s="1">
        <v>3.6784508914874003E-2</v>
      </c>
      <c r="E43784" s="1">
        <v>9.6822055829681494E-2</v>
      </c>
      <c r="F43784" s="1">
        <v>3.3388269862770499E-2</v>
      </c>
    </row>
    <row r="43785" spans="1:6" x14ac:dyDescent="0.25">
      <c r="A43785" s="2" t="str">
        <f t="shared" si="1364"/>
        <v>32820</v>
      </c>
      <c r="B43785" s="2" t="str">
        <f>"38136"</f>
        <v>38136</v>
      </c>
      <c r="C43785" s="1">
        <v>0</v>
      </c>
      <c r="D43785" s="1">
        <v>1.7045648246002701E-5</v>
      </c>
      <c r="E43785" s="1">
        <v>0</v>
      </c>
      <c r="F43785" s="1">
        <v>1.3978760671036401E-6</v>
      </c>
    </row>
    <row r="43786" spans="1:6" x14ac:dyDescent="0.25">
      <c r="A43786" s="2" t="str">
        <f t="shared" si="1364"/>
        <v>32820</v>
      </c>
      <c r="B43786" s="2" t="str">
        <f>"38132"</f>
        <v>38132</v>
      </c>
      <c r="C43786" s="1">
        <v>3.18611364230139E-6</v>
      </c>
      <c r="D43786" s="1">
        <v>4.2784577097467E-3</v>
      </c>
      <c r="E43786" s="1">
        <v>1.4147199889582799E-3</v>
      </c>
      <c r="F43786" s="1">
        <v>4.1097556372846999E-4</v>
      </c>
    </row>
    <row r="43787" spans="1:6" x14ac:dyDescent="0.25">
      <c r="A43787" s="2" t="str">
        <f t="shared" si="1364"/>
        <v>32820</v>
      </c>
      <c r="B43787" s="2" t="str">
        <f>"38167"</f>
        <v>38167</v>
      </c>
      <c r="C43787" s="1">
        <v>1.52136926419891E-3</v>
      </c>
      <c r="D43787" s="1">
        <v>1.8579756588143E-3</v>
      </c>
      <c r="E43787" s="1">
        <v>3.4505365584348299E-5</v>
      </c>
      <c r="F43787" s="1">
        <v>1.48873801146537E-3</v>
      </c>
    </row>
    <row r="43788" spans="1:6" x14ac:dyDescent="0.25">
      <c r="A43788" s="2" t="str">
        <f t="shared" si="1364"/>
        <v>32820</v>
      </c>
      <c r="B43788" s="2" t="str">
        <f>"38152"</f>
        <v>38152</v>
      </c>
      <c r="C43788" s="1">
        <v>3.18611364230139E-6</v>
      </c>
      <c r="D43788" s="1">
        <v>3.6648143728906001E-3</v>
      </c>
      <c r="E43788" s="1">
        <v>0</v>
      </c>
      <c r="F43788" s="1">
        <v>3.0333910656149001E-4</v>
      </c>
    </row>
    <row r="43789" spans="1:6" x14ac:dyDescent="0.25">
      <c r="A43789" s="2" t="str">
        <f t="shared" si="1364"/>
        <v>32820</v>
      </c>
      <c r="B43789" s="2" t="str">
        <f>"38141"</f>
        <v>38141</v>
      </c>
      <c r="C43789" s="1">
        <v>1.28416310352957E-2</v>
      </c>
      <c r="D43789" s="1">
        <v>7.6534960624552503E-3</v>
      </c>
      <c r="E43789" s="1">
        <v>2.2773541285669901E-3</v>
      </c>
      <c r="F43789" s="1">
        <v>1.19881851514808E-2</v>
      </c>
    </row>
    <row r="43790" spans="1:6" x14ac:dyDescent="0.25">
      <c r="A43790" s="2" t="str">
        <f t="shared" si="1364"/>
        <v>32820</v>
      </c>
      <c r="B43790" s="2" t="str">
        <f>"38107"</f>
        <v>38107</v>
      </c>
      <c r="C43790" s="1">
        <v>1.5793565324888001E-2</v>
      </c>
      <c r="D43790" s="1">
        <v>1.2119455902907901E-2</v>
      </c>
      <c r="E43790" s="1">
        <v>1.4664780373348001E-2</v>
      </c>
      <c r="F43790" s="1">
        <v>1.5446530541495199E-2</v>
      </c>
    </row>
    <row r="43791" spans="1:6" x14ac:dyDescent="0.25">
      <c r="A43791" s="2" t="str">
        <f t="shared" si="1364"/>
        <v>32820</v>
      </c>
      <c r="B43791" s="2" t="str">
        <f>"38109"</f>
        <v>38109</v>
      </c>
      <c r="C43791" s="1">
        <v>3.1319497103822598E-2</v>
      </c>
      <c r="D43791" s="1">
        <v>1.82558892714689E-2</v>
      </c>
      <c r="E43791" s="1">
        <v>1.54238984162037E-2</v>
      </c>
      <c r="F43791" s="1">
        <v>2.96042193491209E-2</v>
      </c>
    </row>
    <row r="43792" spans="1:6" x14ac:dyDescent="0.25">
      <c r="A43792" s="2" t="str">
        <f t="shared" si="1364"/>
        <v>32820</v>
      </c>
      <c r="B43792" s="2" t="str">
        <f>"38042"</f>
        <v>38042</v>
      </c>
      <c r="C43792" s="1">
        <v>1.2744454569205501E-5</v>
      </c>
      <c r="D43792" s="1">
        <v>1.7045648246002701E-5</v>
      </c>
      <c r="E43792" s="1">
        <v>0</v>
      </c>
      <c r="F43792" s="1">
        <v>1.25808846039327E-5</v>
      </c>
    </row>
    <row r="43793" spans="1:6" x14ac:dyDescent="0.25">
      <c r="A43793" s="2" t="str">
        <f t="shared" si="1364"/>
        <v>32820</v>
      </c>
      <c r="B43793" s="2" t="str">
        <f>"38029"</f>
        <v>38029</v>
      </c>
      <c r="C43793" s="1">
        <v>8.0927286514455299E-4</v>
      </c>
      <c r="D43793" s="1">
        <v>2.16479732724235E-3</v>
      </c>
      <c r="E43793" s="1">
        <v>3.4505365584348299E-5</v>
      </c>
      <c r="F43793" s="1">
        <v>8.8904917867791604E-4</v>
      </c>
    </row>
    <row r="43794" spans="1:6" x14ac:dyDescent="0.25">
      <c r="A43794" s="2" t="str">
        <f t="shared" si="1364"/>
        <v>32820</v>
      </c>
      <c r="B43794" s="2" t="str">
        <f>"38057"</f>
        <v>38057</v>
      </c>
      <c r="C43794" s="1">
        <v>2.6476604367524502E-3</v>
      </c>
      <c r="D43794" s="1">
        <v>1.8750213070603001E-3</v>
      </c>
      <c r="E43794" s="1">
        <v>6.9010731168696695E-4</v>
      </c>
      <c r="F43794" s="1">
        <v>2.5049939122497198E-3</v>
      </c>
    </row>
    <row r="43795" spans="1:6" x14ac:dyDescent="0.25">
      <c r="A43795" s="2" t="str">
        <f t="shared" si="1364"/>
        <v>32820</v>
      </c>
      <c r="B43795" s="2" t="str">
        <f>"38002"</f>
        <v>38002</v>
      </c>
      <c r="C43795" s="1">
        <v>2.5949302559723698E-2</v>
      </c>
      <c r="D43795" s="1">
        <v>1.47103944363004E-2</v>
      </c>
      <c r="E43795" s="1">
        <v>7.79821262206273E-3</v>
      </c>
      <c r="F43795" s="1">
        <v>2.4292290294127099E-2</v>
      </c>
    </row>
    <row r="43796" spans="1:6" x14ac:dyDescent="0.25">
      <c r="A43796" s="2" t="str">
        <f t="shared" si="1364"/>
        <v>32820</v>
      </c>
      <c r="B43796" s="2" t="str">
        <f>"72376"</f>
        <v>72376</v>
      </c>
      <c r="C43796" s="1">
        <v>1.3971108321491599E-3</v>
      </c>
      <c r="D43796" s="1">
        <v>5.28415095626086E-4</v>
      </c>
      <c r="E43796" s="1">
        <v>1.7252682792174101E-4</v>
      </c>
      <c r="F43796" s="1">
        <v>1.27626084926562E-3</v>
      </c>
    </row>
    <row r="43797" spans="1:6" x14ac:dyDescent="0.25">
      <c r="A43797" s="2" t="str">
        <f t="shared" si="1364"/>
        <v>32820</v>
      </c>
      <c r="B43797" s="2" t="str">
        <f>"72327"</f>
        <v>72327</v>
      </c>
      <c r="C43797" s="1">
        <v>1.10558143387858E-3</v>
      </c>
      <c r="D43797" s="1">
        <v>5.6250639211809195E-4</v>
      </c>
      <c r="E43797" s="1">
        <v>2.0703219350609001E-4</v>
      </c>
      <c r="F43797" s="1">
        <v>1.02464315718697E-3</v>
      </c>
    </row>
    <row r="43798" spans="1:6" x14ac:dyDescent="0.25">
      <c r="A43798" s="2" t="str">
        <f t="shared" si="1364"/>
        <v>32820</v>
      </c>
      <c r="B43798" s="2" t="str">
        <f>"72301"</f>
        <v>72301</v>
      </c>
      <c r="C43798" s="1">
        <v>1.8469900784421098E-2</v>
      </c>
      <c r="D43798" s="1">
        <v>2.51764224593461E-2</v>
      </c>
      <c r="E43798" s="1">
        <v>1.44232428142576E-2</v>
      </c>
      <c r="F43798" s="1">
        <v>1.8855950269160999E-2</v>
      </c>
    </row>
    <row r="43799" spans="1:6" x14ac:dyDescent="0.25">
      <c r="A43799" s="2" t="str">
        <f t="shared" si="1364"/>
        <v>32820</v>
      </c>
      <c r="B43799" s="2" t="str">
        <f>"38679"</f>
        <v>38679</v>
      </c>
      <c r="C43799" s="1">
        <v>0</v>
      </c>
      <c r="D43799" s="1">
        <v>1.7045648246002701E-5</v>
      </c>
      <c r="E43799" s="1">
        <v>0</v>
      </c>
      <c r="F43799" s="1">
        <v>1.3978760671036401E-6</v>
      </c>
    </row>
    <row r="43800" spans="1:6" x14ac:dyDescent="0.25">
      <c r="A43800" s="2" t="str">
        <f t="shared" si="1364"/>
        <v>32820</v>
      </c>
      <c r="B43800" s="2" t="str">
        <f>"38686"</f>
        <v>38686</v>
      </c>
      <c r="C43800" s="1">
        <v>0</v>
      </c>
      <c r="D43800" s="1">
        <v>1.7045648246002701E-5</v>
      </c>
      <c r="E43800" s="1">
        <v>0</v>
      </c>
      <c r="F43800" s="1">
        <v>1.3978760671036401E-6</v>
      </c>
    </row>
    <row r="43801" spans="1:6" x14ac:dyDescent="0.25">
      <c r="A43801" s="2" t="str">
        <f t="shared" si="1364"/>
        <v>32820</v>
      </c>
      <c r="B43801" s="2" t="str">
        <f>"38680"</f>
        <v>38680</v>
      </c>
      <c r="C43801" s="1">
        <v>4.4159535082297302E-3</v>
      </c>
      <c r="D43801" s="1">
        <v>1.0227388947601601E-3</v>
      </c>
      <c r="E43801" s="1">
        <v>4.83075118180877E-4</v>
      </c>
      <c r="F43801" s="1">
        <v>3.9783552869769598E-3</v>
      </c>
    </row>
    <row r="43802" spans="1:6" x14ac:dyDescent="0.25">
      <c r="A43802" s="2" t="str">
        <f t="shared" si="1364"/>
        <v>32820</v>
      </c>
      <c r="B43802" s="2" t="str">
        <f>"38670"</f>
        <v>38670</v>
      </c>
      <c r="C43802" s="1">
        <v>1.2266537522860301E-4</v>
      </c>
      <c r="D43802" s="1">
        <v>1.7045648246002701E-5</v>
      </c>
      <c r="E43802" s="1">
        <v>0</v>
      </c>
      <c r="F43802" s="1">
        <v>1.09034333234084E-4</v>
      </c>
    </row>
    <row r="43803" spans="1:6" x14ac:dyDescent="0.25">
      <c r="A43803" s="2" t="str">
        <f t="shared" si="1364"/>
        <v>32820</v>
      </c>
      <c r="B43803" s="2" t="str">
        <f>"38664"</f>
        <v>38664</v>
      </c>
      <c r="C43803" s="1">
        <v>2.74005773237919E-3</v>
      </c>
      <c r="D43803" s="1">
        <v>1.8409300105683001E-3</v>
      </c>
      <c r="E43803" s="1">
        <v>6.9010731168696695E-4</v>
      </c>
      <c r="F43803" s="1">
        <v>2.58327497200753E-3</v>
      </c>
    </row>
    <row r="43804" spans="1:6" x14ac:dyDescent="0.25">
      <c r="A43804" s="2" t="str">
        <f t="shared" si="1364"/>
        <v>32820</v>
      </c>
      <c r="B43804" s="2" t="str">
        <f>"38637"</f>
        <v>38637</v>
      </c>
      <c r="C43804" s="1">
        <v>1.7969680942579801E-2</v>
      </c>
      <c r="D43804" s="1">
        <v>1.2204684144138001E-2</v>
      </c>
      <c r="E43804" s="1">
        <v>4.4166867947965901E-3</v>
      </c>
      <c r="F43804" s="1">
        <v>1.6947849437564499E-2</v>
      </c>
    </row>
    <row r="43805" spans="1:6" x14ac:dyDescent="0.25">
      <c r="A43805" s="2" t="str">
        <f t="shared" si="1364"/>
        <v>32820</v>
      </c>
      <c r="B43805" s="2" t="str">
        <f>"38116"</f>
        <v>38116</v>
      </c>
      <c r="C43805" s="1">
        <v>2.9125857861098101E-2</v>
      </c>
      <c r="D43805" s="1">
        <v>3.51822179797497E-2</v>
      </c>
      <c r="E43805" s="1">
        <v>6.6319312653117496E-2</v>
      </c>
      <c r="F43805" s="1">
        <v>3.1129302138331E-2</v>
      </c>
    </row>
    <row r="43806" spans="1:6" x14ac:dyDescent="0.25">
      <c r="A43806" s="2" t="str">
        <f t="shared" si="1364"/>
        <v>32820</v>
      </c>
      <c r="B43806" s="2" t="str">
        <f>"38131"</f>
        <v>38131</v>
      </c>
      <c r="C43806" s="1">
        <v>1.5930568211506899E-6</v>
      </c>
      <c r="D43806" s="1">
        <v>3.0852623325264999E-3</v>
      </c>
      <c r="E43806" s="1">
        <v>3.1054829025913499E-4</v>
      </c>
      <c r="F43806" s="1">
        <v>2.6699432881679503E-4</v>
      </c>
    </row>
    <row r="43807" spans="1:6" x14ac:dyDescent="0.25">
      <c r="A43807" s="2" t="str">
        <f t="shared" si="1364"/>
        <v>32820</v>
      </c>
      <c r="B43807" s="2" t="str">
        <f>"38135"</f>
        <v>38135</v>
      </c>
      <c r="C43807" s="1">
        <v>1.79521573175472E-2</v>
      </c>
      <c r="D43807" s="1">
        <v>2.1477516789963499E-3</v>
      </c>
      <c r="E43807" s="1">
        <v>3.5885580207722298E-3</v>
      </c>
      <c r="F43807" s="1">
        <v>1.6074176895624698E-2</v>
      </c>
    </row>
    <row r="43808" spans="1:6" x14ac:dyDescent="0.25">
      <c r="A43808" s="2" t="str">
        <f t="shared" si="1364"/>
        <v>32820</v>
      </c>
      <c r="B43808" s="2" t="str">
        <f>"38134"</f>
        <v>38134</v>
      </c>
      <c r="C43808" s="1">
        <v>2.59891289802524E-2</v>
      </c>
      <c r="D43808" s="1">
        <v>4.1097057921112699E-2</v>
      </c>
      <c r="E43808" s="1">
        <v>5.7796487353783503E-2</v>
      </c>
      <c r="F43808" s="1">
        <v>2.8516671768914301E-2</v>
      </c>
    </row>
    <row r="43809" spans="1:6" x14ac:dyDescent="0.25">
      <c r="A43809" s="2" t="str">
        <f t="shared" si="1364"/>
        <v>32820</v>
      </c>
      <c r="B43809" s="2" t="str">
        <f>"38174"</f>
        <v>38174</v>
      </c>
      <c r="C43809" s="1">
        <v>1.7220944236638999E-3</v>
      </c>
      <c r="D43809" s="1">
        <v>5.1307401220468396E-3</v>
      </c>
      <c r="E43809" s="1">
        <v>6.9010731168696706E-5</v>
      </c>
      <c r="F43809" s="1">
        <v>1.9346604768714401E-3</v>
      </c>
    </row>
    <row r="43810" spans="1:6" x14ac:dyDescent="0.25">
      <c r="A43810" s="2" t="str">
        <f t="shared" si="1364"/>
        <v>32820</v>
      </c>
      <c r="B43810" s="2" t="str">
        <f>"38069"</f>
        <v>38069</v>
      </c>
      <c r="C43810" s="1">
        <v>4.9703372819901695E-4</v>
      </c>
      <c r="D43810" s="1">
        <v>2.0454777895203299E-4</v>
      </c>
      <c r="E43810" s="1">
        <v>0</v>
      </c>
      <c r="F43810" s="1">
        <v>4.5291184574157997E-4</v>
      </c>
    </row>
    <row r="43811" spans="1:6" x14ac:dyDescent="0.25">
      <c r="A43811" s="2" t="str">
        <f t="shared" si="1364"/>
        <v>32820</v>
      </c>
      <c r="B43811" s="2" t="str">
        <f>"38060"</f>
        <v>38060</v>
      </c>
      <c r="C43811" s="1">
        <v>8.3093843791220302E-3</v>
      </c>
      <c r="D43811" s="1">
        <v>6.3750724440050401E-3</v>
      </c>
      <c r="E43811" s="1">
        <v>7.2461267727131501E-4</v>
      </c>
      <c r="F43811" s="1">
        <v>7.8434826125185295E-3</v>
      </c>
    </row>
    <row r="43812" spans="1:6" x14ac:dyDescent="0.25">
      <c r="A43812" s="2" t="str">
        <f t="shared" ref="A43812:A43843" si="1365">"32820"</f>
        <v>32820</v>
      </c>
      <c r="B43812" s="2" t="str">
        <f>"38036"</f>
        <v>38036</v>
      </c>
      <c r="C43812" s="1">
        <v>0</v>
      </c>
      <c r="D43812" s="1">
        <v>0</v>
      </c>
      <c r="E43812" s="1">
        <v>3.4505365584348299E-5</v>
      </c>
      <c r="F43812" s="1">
        <v>1.3978760671036401E-6</v>
      </c>
    </row>
    <row r="43813" spans="1:6" x14ac:dyDescent="0.25">
      <c r="A43813" s="2" t="str">
        <f t="shared" si="1365"/>
        <v>32820</v>
      </c>
      <c r="B43813" s="2" t="str">
        <f>"38039"</f>
        <v>38039</v>
      </c>
      <c r="C43813" s="1">
        <v>2.3577240953030301E-4</v>
      </c>
      <c r="D43813" s="1">
        <v>1.19319537722019E-4</v>
      </c>
      <c r="E43813" s="1">
        <v>6.9010731168696706E-5</v>
      </c>
      <c r="F43813" s="1">
        <v>2.19466542535271E-4</v>
      </c>
    </row>
    <row r="43814" spans="1:6" x14ac:dyDescent="0.25">
      <c r="A43814" s="2" t="str">
        <f t="shared" si="1365"/>
        <v>32820</v>
      </c>
      <c r="B43814" s="2" t="str">
        <f>"37501"</f>
        <v>37501</v>
      </c>
      <c r="C43814" s="1">
        <v>0</v>
      </c>
      <c r="D43814" s="1">
        <v>1.7045648246002701E-5</v>
      </c>
      <c r="E43814" s="1">
        <v>0</v>
      </c>
      <c r="F43814" s="1">
        <v>1.3978760671036401E-6</v>
      </c>
    </row>
    <row r="43815" spans="1:6" x14ac:dyDescent="0.25">
      <c r="A43815" s="2" t="str">
        <f t="shared" si="1365"/>
        <v>32820</v>
      </c>
      <c r="B43815" s="2" t="str">
        <f>"38181"</f>
        <v>38181</v>
      </c>
      <c r="C43815" s="1">
        <v>2.0773460947805002E-3</v>
      </c>
      <c r="D43815" s="1">
        <v>5.2159683632768501E-3</v>
      </c>
      <c r="E43815" s="1">
        <v>6.9010731168696706E-5</v>
      </c>
      <c r="F43815" s="1">
        <v>2.2533762201710698E-3</v>
      </c>
    </row>
    <row r="43816" spans="1:6" x14ac:dyDescent="0.25">
      <c r="A43816" s="2" t="str">
        <f t="shared" si="1365"/>
        <v>32820</v>
      </c>
      <c r="B43816" s="2" t="str">
        <f>"38175"</f>
        <v>38175</v>
      </c>
      <c r="C43816" s="1">
        <v>3.8679419617538898E-3</v>
      </c>
      <c r="D43816" s="1">
        <v>7.4830395799952197E-3</v>
      </c>
      <c r="E43816" s="1">
        <v>6.9010731168696706E-5</v>
      </c>
      <c r="F43816" s="1">
        <v>4.0105064365203499E-3</v>
      </c>
    </row>
    <row r="43817" spans="1:6" x14ac:dyDescent="0.25">
      <c r="A43817" s="2" t="str">
        <f t="shared" si="1365"/>
        <v>32820</v>
      </c>
      <c r="B43817" s="2" t="str">
        <f>"38168"</f>
        <v>38168</v>
      </c>
      <c r="C43817" s="1">
        <v>1.4130414003606601E-3</v>
      </c>
      <c r="D43817" s="1">
        <v>3.7841339106126199E-3</v>
      </c>
      <c r="E43817" s="1">
        <v>6.9010731168696706E-5</v>
      </c>
      <c r="F43817" s="1">
        <v>1.5530403105521401E-3</v>
      </c>
    </row>
    <row r="43818" spans="1:6" x14ac:dyDescent="0.25">
      <c r="A43818" s="2" t="str">
        <f t="shared" si="1365"/>
        <v>32820</v>
      </c>
      <c r="B43818" s="2" t="str">
        <f>"38127"</f>
        <v>38127</v>
      </c>
      <c r="C43818" s="1">
        <v>2.9242151009042101E-2</v>
      </c>
      <c r="D43818" s="1">
        <v>1.3824020727508201E-2</v>
      </c>
      <c r="E43818" s="1">
        <v>4.0267761636934497E-2</v>
      </c>
      <c r="F43818" s="1">
        <v>2.8424411948485401E-2</v>
      </c>
    </row>
    <row r="43819" spans="1:6" x14ac:dyDescent="0.25">
      <c r="A43819" s="2" t="str">
        <f t="shared" si="1365"/>
        <v>32820</v>
      </c>
      <c r="B43819" s="2" t="str">
        <f>"38120"</f>
        <v>38120</v>
      </c>
      <c r="C43819" s="1">
        <v>1.09379281340206E-2</v>
      </c>
      <c r="D43819" s="1">
        <v>1.02785258923396E-2</v>
      </c>
      <c r="E43819" s="1">
        <v>1.9530036920741099E-2</v>
      </c>
      <c r="F43819" s="1">
        <v>1.1231934199177699E-2</v>
      </c>
    </row>
    <row r="43820" spans="1:6" x14ac:dyDescent="0.25">
      <c r="A43820" s="2" t="str">
        <f t="shared" si="1365"/>
        <v>32820</v>
      </c>
      <c r="B43820" s="2" t="str">
        <f>"38071"</f>
        <v>38071</v>
      </c>
      <c r="C43820" s="1">
        <v>0</v>
      </c>
      <c r="D43820" s="1">
        <v>1.7045648246002701E-5</v>
      </c>
      <c r="E43820" s="1">
        <v>0</v>
      </c>
      <c r="F43820" s="1">
        <v>1.3978760671036401E-6</v>
      </c>
    </row>
    <row r="43821" spans="1:6" x14ac:dyDescent="0.25">
      <c r="A43821" s="2" t="str">
        <f t="shared" si="1365"/>
        <v>32820</v>
      </c>
      <c r="B43821" s="2" t="str">
        <f>"38101"</f>
        <v>38101</v>
      </c>
      <c r="C43821" s="1">
        <v>2.4596797318566701E-3</v>
      </c>
      <c r="D43821" s="1">
        <v>9.6989738519755904E-3</v>
      </c>
      <c r="E43821" s="1">
        <v>5.8659121493392203E-4</v>
      </c>
      <c r="F43821" s="1">
        <v>2.9774760229307499E-3</v>
      </c>
    </row>
    <row r="43822" spans="1:6" x14ac:dyDescent="0.25">
      <c r="A43822" s="2" t="str">
        <f t="shared" si="1365"/>
        <v>32820</v>
      </c>
      <c r="B43822" s="2" t="str">
        <f>"38088"</f>
        <v>38088</v>
      </c>
      <c r="C43822" s="1">
        <v>2.0996488902766102E-3</v>
      </c>
      <c r="D43822" s="1">
        <v>1.07728496914737E-2</v>
      </c>
      <c r="E43822" s="1">
        <v>6.9010731168696706E-5</v>
      </c>
      <c r="F43822" s="1">
        <v>2.7286540829863102E-3</v>
      </c>
    </row>
    <row r="43823" spans="1:6" x14ac:dyDescent="0.25">
      <c r="A43823" s="2" t="str">
        <f t="shared" si="1365"/>
        <v>32820</v>
      </c>
      <c r="B43823" s="2" t="str">
        <f>"38068"</f>
        <v>38068</v>
      </c>
      <c r="C43823" s="1">
        <v>7.8059784236384098E-3</v>
      </c>
      <c r="D43823" s="1">
        <v>8.3182763440493596E-3</v>
      </c>
      <c r="E43823" s="1">
        <v>2.44988095648873E-3</v>
      </c>
      <c r="F43823" s="1">
        <v>7.6310054503187803E-3</v>
      </c>
    </row>
    <row r="43824" spans="1:6" x14ac:dyDescent="0.25">
      <c r="A43824" s="2" t="str">
        <f t="shared" si="1365"/>
        <v>32820</v>
      </c>
      <c r="B43824" s="2" t="str">
        <f>"38055"</f>
        <v>38055</v>
      </c>
      <c r="C43824" s="1">
        <v>0</v>
      </c>
      <c r="D43824" s="1">
        <v>0</v>
      </c>
      <c r="E43824" s="1">
        <v>3.4505365584348299E-5</v>
      </c>
      <c r="F43824" s="1">
        <v>1.3978760671036401E-6</v>
      </c>
    </row>
    <row r="43825" spans="1:6" x14ac:dyDescent="0.25">
      <c r="A43825" s="2" t="str">
        <f t="shared" si="1365"/>
        <v>32820</v>
      </c>
      <c r="B43825" s="2" t="str">
        <f>"38016"</f>
        <v>38016</v>
      </c>
      <c r="C43825" s="1">
        <v>3.2939635890932899E-2</v>
      </c>
      <c r="D43825" s="1">
        <v>1.42842532301503E-2</v>
      </c>
      <c r="E43825" s="1">
        <v>5.0722887408992001E-2</v>
      </c>
      <c r="F43825" s="1">
        <v>3.2130181402377202E-2</v>
      </c>
    </row>
    <row r="43826" spans="1:6" x14ac:dyDescent="0.25">
      <c r="A43826" s="2" t="str">
        <f t="shared" si="1365"/>
        <v>32820</v>
      </c>
      <c r="B43826" s="2" t="str">
        <f>"72384"</f>
        <v>72384</v>
      </c>
      <c r="C43826" s="1">
        <v>5.4323237601238696E-4</v>
      </c>
      <c r="D43826" s="1">
        <v>1.5341083421402499E-4</v>
      </c>
      <c r="E43826" s="1">
        <v>2.0703219350609001E-4</v>
      </c>
      <c r="F43826" s="1">
        <v>4.9764387988889599E-4</v>
      </c>
    </row>
    <row r="43827" spans="1:6" x14ac:dyDescent="0.25">
      <c r="A43827" s="2" t="str">
        <f t="shared" si="1365"/>
        <v>32820</v>
      </c>
      <c r="B43827" s="2" t="str">
        <f>"38685"</f>
        <v>38685</v>
      </c>
      <c r="C43827" s="1">
        <v>1.0275216496421901E-3</v>
      </c>
      <c r="D43827" s="1">
        <v>1.8750213070602999E-4</v>
      </c>
      <c r="E43827" s="1">
        <v>0</v>
      </c>
      <c r="F43827" s="1">
        <v>9.1700670001998896E-4</v>
      </c>
    </row>
    <row r="43828" spans="1:6" x14ac:dyDescent="0.25">
      <c r="A43828" s="2" t="str">
        <f t="shared" si="1365"/>
        <v>32820</v>
      </c>
      <c r="B43828" s="2" t="str">
        <f>"38668"</f>
        <v>38668</v>
      </c>
      <c r="C43828" s="1">
        <v>9.3369060287642296E-3</v>
      </c>
      <c r="D43828" s="1">
        <v>9.9205672791736199E-3</v>
      </c>
      <c r="E43828" s="1">
        <v>1.5872468168800201E-3</v>
      </c>
      <c r="F43828" s="1">
        <v>9.07081779943553E-3</v>
      </c>
    </row>
    <row r="43829" spans="1:6" x14ac:dyDescent="0.25">
      <c r="A43829" s="2" t="str">
        <f t="shared" si="1365"/>
        <v>32820</v>
      </c>
      <c r="B43829" s="2" t="str">
        <f>"38641"</f>
        <v>38641</v>
      </c>
      <c r="C43829" s="1">
        <v>1.5771262529391799E-3</v>
      </c>
      <c r="D43829" s="1">
        <v>5.1136944738008297E-4</v>
      </c>
      <c r="E43829" s="1">
        <v>0</v>
      </c>
      <c r="F43829" s="1">
        <v>1.42583358844571E-3</v>
      </c>
    </row>
    <row r="43830" spans="1:6" x14ac:dyDescent="0.25">
      <c r="A43830" s="2" t="str">
        <f t="shared" si="1365"/>
        <v>32820</v>
      </c>
      <c r="B43830" s="2" t="str">
        <f>"38619"</f>
        <v>38619</v>
      </c>
      <c r="C43830" s="1">
        <v>1.81608477611179E-4</v>
      </c>
      <c r="D43830" s="1">
        <v>3.4091296492005497E-5</v>
      </c>
      <c r="E43830" s="1">
        <v>0</v>
      </c>
      <c r="F43830" s="1">
        <v>1.62153623784022E-4</v>
      </c>
    </row>
    <row r="43831" spans="1:6" x14ac:dyDescent="0.25">
      <c r="A43831" s="2" t="str">
        <f t="shared" si="1365"/>
        <v>32820</v>
      </c>
      <c r="B43831" s="2" t="str">
        <f>"38602"</f>
        <v>38602</v>
      </c>
      <c r="C43831" s="1">
        <v>0</v>
      </c>
      <c r="D43831" s="1">
        <v>1.7045648246002701E-5</v>
      </c>
      <c r="E43831" s="1">
        <v>0</v>
      </c>
      <c r="F43831" s="1">
        <v>1.3978760671036401E-6</v>
      </c>
    </row>
    <row r="43832" spans="1:6" x14ac:dyDescent="0.25">
      <c r="A43832" s="2" t="str">
        <f t="shared" si="1365"/>
        <v>32820</v>
      </c>
      <c r="B43832" s="2" t="str">
        <f>"38119"</f>
        <v>38119</v>
      </c>
      <c r="C43832" s="1">
        <v>1.82373144885331E-2</v>
      </c>
      <c r="D43832" s="1">
        <v>2.5091194218116099E-2</v>
      </c>
      <c r="E43832" s="1">
        <v>2.7431765639556901E-2</v>
      </c>
      <c r="F43832" s="1">
        <v>1.91718702603264E-2</v>
      </c>
    </row>
    <row r="43833" spans="1:6" x14ac:dyDescent="0.25">
      <c r="A43833" s="2" t="str">
        <f t="shared" si="1365"/>
        <v>32820</v>
      </c>
      <c r="B43833" s="2" t="str">
        <f>"38118"</f>
        <v>38118</v>
      </c>
      <c r="C43833" s="1">
        <v>2.8262421064034499E-2</v>
      </c>
      <c r="D43833" s="1">
        <v>5.0847168717826297E-2</v>
      </c>
      <c r="E43833" s="1">
        <v>6.52841516855871E-2</v>
      </c>
      <c r="F43833" s="1">
        <v>3.1614365133615902E-2</v>
      </c>
    </row>
    <row r="43834" spans="1:6" x14ac:dyDescent="0.25">
      <c r="A43834" s="2" t="str">
        <f t="shared" si="1365"/>
        <v>32820</v>
      </c>
      <c r="B43834" s="2" t="str">
        <f>"38112"</f>
        <v>38112</v>
      </c>
      <c r="C43834" s="1">
        <v>1.3560099661634699E-2</v>
      </c>
      <c r="D43834" s="1">
        <v>1.5545631200354499E-2</v>
      </c>
      <c r="E43834" s="1">
        <v>1.7045650598668E-2</v>
      </c>
      <c r="F43834" s="1">
        <v>1.38641348335339E-2</v>
      </c>
    </row>
    <row r="43835" spans="1:6" x14ac:dyDescent="0.25">
      <c r="A43835" s="2" t="str">
        <f t="shared" si="1365"/>
        <v>32820</v>
      </c>
      <c r="B43835" s="2" t="str">
        <f>"38193"</f>
        <v>38193</v>
      </c>
      <c r="C43835" s="1">
        <v>0</v>
      </c>
      <c r="D43835" s="1">
        <v>1.7045648246002701E-5</v>
      </c>
      <c r="E43835" s="1">
        <v>0</v>
      </c>
      <c r="F43835" s="1">
        <v>1.3978760671036401E-6</v>
      </c>
    </row>
    <row r="43836" spans="1:6" x14ac:dyDescent="0.25">
      <c r="A43836" s="2" t="str">
        <f t="shared" si="1365"/>
        <v>32820</v>
      </c>
      <c r="B43836" s="2" t="str">
        <f>"38184"</f>
        <v>38184</v>
      </c>
      <c r="C43836" s="1">
        <v>2.1633711631226398E-3</v>
      </c>
      <c r="D43836" s="1">
        <v>7.9603177308832998E-3</v>
      </c>
      <c r="E43836" s="1">
        <v>6.9010731168696706E-5</v>
      </c>
      <c r="F43836" s="1">
        <v>2.5539195745983498E-3</v>
      </c>
    </row>
    <row r="43837" spans="1:6" x14ac:dyDescent="0.25">
      <c r="A43837" s="2" t="str">
        <f t="shared" si="1365"/>
        <v>32820</v>
      </c>
      <c r="B43837" s="2" t="str">
        <f>"38125"</f>
        <v>38125</v>
      </c>
      <c r="C43837" s="1">
        <v>2.7800434585900799E-2</v>
      </c>
      <c r="D43837" s="1">
        <v>1.2426277571336001E-2</v>
      </c>
      <c r="E43837" s="1">
        <v>3.3366688520064802E-2</v>
      </c>
      <c r="F43837" s="1">
        <v>2.6765133056833399E-2</v>
      </c>
    </row>
    <row r="43838" spans="1:6" x14ac:dyDescent="0.25">
      <c r="A43838" s="2" t="str">
        <f t="shared" si="1365"/>
        <v>32820</v>
      </c>
      <c r="B43838" s="2" t="str">
        <f>"38083"</f>
        <v>38083</v>
      </c>
      <c r="C43838" s="1">
        <v>1.4958803550605001E-3</v>
      </c>
      <c r="D43838" s="1">
        <v>3.2216275184945198E-3</v>
      </c>
      <c r="E43838" s="1">
        <v>3.4505365584348299E-5</v>
      </c>
      <c r="F43838" s="1">
        <v>1.5782020797600099E-3</v>
      </c>
    </row>
    <row r="43839" spans="1:6" x14ac:dyDescent="0.25">
      <c r="A43839" s="2" t="str">
        <f t="shared" si="1365"/>
        <v>32820</v>
      </c>
      <c r="B43839" s="2" t="str">
        <f>"38075"</f>
        <v>38075</v>
      </c>
      <c r="C43839" s="1">
        <v>2.9790162555518002E-4</v>
      </c>
      <c r="D43839" s="1">
        <v>6.8182592984011102E-5</v>
      </c>
      <c r="E43839" s="1">
        <v>0</v>
      </c>
      <c r="F43839" s="1">
        <v>2.6699432881679503E-4</v>
      </c>
    </row>
    <row r="43840" spans="1:6" x14ac:dyDescent="0.25">
      <c r="A43840" s="2" t="str">
        <f t="shared" si="1365"/>
        <v>32820</v>
      </c>
      <c r="B43840" s="2" t="str">
        <f>"38066"</f>
        <v>38066</v>
      </c>
      <c r="C43840" s="1">
        <v>2.2478031746436299E-3</v>
      </c>
      <c r="D43840" s="1">
        <v>1.7727474175842899E-3</v>
      </c>
      <c r="E43840" s="1">
        <v>1.3802146233739301E-4</v>
      </c>
      <c r="F43840" s="1">
        <v>2.1233737459304299E-3</v>
      </c>
    </row>
    <row r="43841" spans="1:6" x14ac:dyDescent="0.25">
      <c r="A43841" s="2" t="str">
        <f t="shared" si="1365"/>
        <v>32820</v>
      </c>
      <c r="B43841" s="2" t="str">
        <f>"38053"</f>
        <v>38053</v>
      </c>
      <c r="C43841" s="1">
        <v>1.8868164989708801E-2</v>
      </c>
      <c r="D43841" s="1">
        <v>1.5068353049466399E-2</v>
      </c>
      <c r="E43841" s="1">
        <v>7.8672233532314194E-3</v>
      </c>
      <c r="F43841" s="1">
        <v>1.8110882325394699E-2</v>
      </c>
    </row>
    <row r="43842" spans="1:6" x14ac:dyDescent="0.25">
      <c r="A43842" s="2" t="str">
        <f t="shared" si="1365"/>
        <v>32820</v>
      </c>
      <c r="B43842" s="2" t="str">
        <f>"38018"</f>
        <v>38018</v>
      </c>
      <c r="C43842" s="1">
        <v>2.4646182080022401E-2</v>
      </c>
      <c r="D43842" s="1">
        <v>2.06593256741553E-2</v>
      </c>
      <c r="E43842" s="1">
        <v>2.3670680790862899E-2</v>
      </c>
      <c r="F43842" s="1">
        <v>2.4279709409523099E-2</v>
      </c>
    </row>
    <row r="43843" spans="1:6" x14ac:dyDescent="0.25">
      <c r="A43843" s="2" t="str">
        <f t="shared" si="1365"/>
        <v>32820</v>
      </c>
      <c r="B43843" s="2" t="str">
        <f>"38017"</f>
        <v>38017</v>
      </c>
      <c r="C43843" s="1">
        <v>3.4049996495274903E-2</v>
      </c>
      <c r="D43843" s="1">
        <v>2.7290082841850399E-2</v>
      </c>
      <c r="E43843" s="1">
        <v>2.9019012456436899E-2</v>
      </c>
      <c r="F43843" s="1">
        <v>3.32918164141403E-2</v>
      </c>
    </row>
    <row r="43844" spans="1:6" x14ac:dyDescent="0.25">
      <c r="A43844" s="2" t="str">
        <f t="shared" ref="A43844:A43875" si="1366">"32820"</f>
        <v>32820</v>
      </c>
      <c r="B43844" s="2" t="str">
        <f>"72348"</f>
        <v>72348</v>
      </c>
      <c r="C43844" s="1">
        <v>1.02592859282104E-3</v>
      </c>
      <c r="D43844" s="1">
        <v>4.0909555790406702E-4</v>
      </c>
      <c r="E43844" s="1">
        <v>0</v>
      </c>
      <c r="F43844" s="1">
        <v>9.3378121282523298E-4</v>
      </c>
    </row>
    <row r="43845" spans="1:6" x14ac:dyDescent="0.25">
      <c r="A43845" s="2" t="str">
        <f t="shared" si="1366"/>
        <v>32820</v>
      </c>
      <c r="B43845" s="2" t="str">
        <f>"38661"</f>
        <v>38661</v>
      </c>
      <c r="C43845" s="1">
        <v>1.29834130923781E-3</v>
      </c>
      <c r="D43845" s="1">
        <v>3.7500426141206101E-4</v>
      </c>
      <c r="E43845" s="1">
        <v>0</v>
      </c>
      <c r="F43845" s="1">
        <v>1.17002226816574E-3</v>
      </c>
    </row>
    <row r="43846" spans="1:6" x14ac:dyDescent="0.25">
      <c r="A43846" s="2" t="str">
        <f t="shared" si="1366"/>
        <v>32820</v>
      </c>
      <c r="B43846" s="2" t="str">
        <f>"38651"</f>
        <v>38651</v>
      </c>
      <c r="C43846" s="1">
        <v>6.2798299889760397E-3</v>
      </c>
      <c r="D43846" s="1">
        <v>3.3068557597245398E-3</v>
      </c>
      <c r="E43846" s="1">
        <v>2.4153755909043801E-4</v>
      </c>
      <c r="F43846" s="1">
        <v>5.79140054601039E-3</v>
      </c>
    </row>
    <row r="43847" spans="1:6" x14ac:dyDescent="0.25">
      <c r="A43847" s="2" t="str">
        <f t="shared" si="1366"/>
        <v>32820</v>
      </c>
      <c r="B43847" s="2" t="str">
        <f>"38621"</f>
        <v>38621</v>
      </c>
      <c r="C43847" s="1">
        <v>1.5930568211506899E-6</v>
      </c>
      <c r="D43847" s="1">
        <v>0</v>
      </c>
      <c r="E43847" s="1">
        <v>0</v>
      </c>
      <c r="F43847" s="1">
        <v>1.3978760671036401E-6</v>
      </c>
    </row>
    <row r="43848" spans="1:6" x14ac:dyDescent="0.25">
      <c r="A43848" s="2" t="str">
        <f t="shared" si="1366"/>
        <v>32820</v>
      </c>
      <c r="B43848" s="2" t="str">
        <f>"38618"</f>
        <v>38618</v>
      </c>
      <c r="C43848" s="1">
        <v>8.7952667095729901E-3</v>
      </c>
      <c r="D43848" s="1">
        <v>2.88071455357447E-3</v>
      </c>
      <c r="E43848" s="1">
        <v>1.3802146233739301E-4</v>
      </c>
      <c r="F43848" s="1">
        <v>7.9595063260881407E-3</v>
      </c>
    </row>
    <row r="43849" spans="1:6" x14ac:dyDescent="0.25">
      <c r="A43849" s="2" t="str">
        <f t="shared" si="1366"/>
        <v>32820</v>
      </c>
      <c r="B43849" s="2" t="str">
        <f>"38137"</f>
        <v>38137</v>
      </c>
      <c r="C43849" s="1">
        <v>0</v>
      </c>
      <c r="D43849" s="1">
        <v>3.2216275184945198E-3</v>
      </c>
      <c r="E43849" s="1">
        <v>2.0703219350609001E-4</v>
      </c>
      <c r="F43849" s="1">
        <v>2.7258583308521002E-4</v>
      </c>
    </row>
    <row r="43850" spans="1:6" x14ac:dyDescent="0.25">
      <c r="A43850" s="2" t="str">
        <f t="shared" si="1366"/>
        <v>32820</v>
      </c>
      <c r="B43850" s="2" t="str">
        <f>"38139"</f>
        <v>38139</v>
      </c>
      <c r="C43850" s="1">
        <v>9.6252493133925105E-3</v>
      </c>
      <c r="D43850" s="1">
        <v>1.94320390004431E-3</v>
      </c>
      <c r="E43850" s="1">
        <v>6.5560194610261803E-4</v>
      </c>
      <c r="F43850" s="1">
        <v>8.6318847143649902E-3</v>
      </c>
    </row>
    <row r="43851" spans="1:6" x14ac:dyDescent="0.25">
      <c r="A43851" s="2" t="str">
        <f t="shared" si="1366"/>
        <v>32820</v>
      </c>
      <c r="B43851" s="2" t="str">
        <f>"38133"</f>
        <v>38133</v>
      </c>
      <c r="C43851" s="1">
        <v>1.35728441162039E-2</v>
      </c>
      <c r="D43851" s="1">
        <v>2.50741485698701E-2</v>
      </c>
      <c r="E43851" s="1">
        <v>1.1869845761015799E-2</v>
      </c>
      <c r="F43851" s="1">
        <v>1.4447049153516099E-2</v>
      </c>
    </row>
    <row r="43852" spans="1:6" x14ac:dyDescent="0.25">
      <c r="A43852" s="2" t="str">
        <f t="shared" si="1366"/>
        <v>32820</v>
      </c>
      <c r="B43852" s="2" t="str">
        <f>"38188"</f>
        <v>38188</v>
      </c>
      <c r="C43852" s="1">
        <v>4.1419477349918102E-5</v>
      </c>
      <c r="D43852" s="1">
        <v>1.7045648246002701E-5</v>
      </c>
      <c r="E43852" s="1">
        <v>4.1406438701218002E-4</v>
      </c>
      <c r="F43852" s="1">
        <v>5.4517166617042002E-5</v>
      </c>
    </row>
    <row r="43853" spans="1:6" x14ac:dyDescent="0.25">
      <c r="A43853" s="2" t="str">
        <f t="shared" si="1366"/>
        <v>32820</v>
      </c>
      <c r="B43853" s="2" t="str">
        <f>"38161"</f>
        <v>38161</v>
      </c>
      <c r="C43853" s="1">
        <v>0</v>
      </c>
      <c r="D43853" s="1">
        <v>1.7045648246002701E-5</v>
      </c>
      <c r="E43853" s="1">
        <v>0</v>
      </c>
      <c r="F43853" s="1">
        <v>1.3978760671036401E-6</v>
      </c>
    </row>
    <row r="43854" spans="1:6" x14ac:dyDescent="0.25">
      <c r="A43854" s="2" t="str">
        <f t="shared" si="1366"/>
        <v>32820</v>
      </c>
      <c r="B43854" s="2" t="str">
        <f>"38190"</f>
        <v>38190</v>
      </c>
      <c r="C43854" s="1">
        <v>1.8606903671040101E-3</v>
      </c>
      <c r="D43854" s="1">
        <v>3.4773122421845699E-3</v>
      </c>
      <c r="E43854" s="1">
        <v>3.4505365584348299E-5</v>
      </c>
      <c r="F43854" s="1">
        <v>1.9192838401333001E-3</v>
      </c>
    </row>
    <row r="43855" spans="1:6" x14ac:dyDescent="0.25">
      <c r="A43855" s="2" t="str">
        <f t="shared" si="1366"/>
        <v>32820</v>
      </c>
      <c r="B43855" s="2" t="str">
        <f>"38182"</f>
        <v>38182</v>
      </c>
      <c r="C43855" s="1">
        <v>7.9493535375419703E-4</v>
      </c>
      <c r="D43855" s="1">
        <v>2.88071455357447E-3</v>
      </c>
      <c r="E43855" s="1">
        <v>6.9010731168696706E-5</v>
      </c>
      <c r="F43855" s="1">
        <v>9.3657696495943999E-4</v>
      </c>
    </row>
    <row r="43856" spans="1:6" x14ac:dyDescent="0.25">
      <c r="A43856" s="2" t="str">
        <f t="shared" si="1366"/>
        <v>32820</v>
      </c>
      <c r="B43856" s="2" t="str">
        <f>"38177"</f>
        <v>38177</v>
      </c>
      <c r="C43856" s="1">
        <v>1.76670001465612E-3</v>
      </c>
      <c r="D43856" s="1">
        <v>5.2671053080148604E-3</v>
      </c>
      <c r="E43856" s="1">
        <v>6.9010731168696706E-5</v>
      </c>
      <c r="F43856" s="1">
        <v>1.9849840152871699E-3</v>
      </c>
    </row>
    <row r="43857" spans="1:6" x14ac:dyDescent="0.25">
      <c r="A43857" s="2" t="str">
        <f t="shared" si="1366"/>
        <v>32820</v>
      </c>
      <c r="B43857" s="2" t="str">
        <f>"38157"</f>
        <v>38157</v>
      </c>
      <c r="C43857" s="1">
        <v>0</v>
      </c>
      <c r="D43857" s="1">
        <v>2.7784406640984499E-3</v>
      </c>
      <c r="E43857" s="1">
        <v>2.4153755909043801E-4</v>
      </c>
      <c r="F43857" s="1">
        <v>2.37638931407619E-4</v>
      </c>
    </row>
    <row r="43858" spans="1:6" x14ac:dyDescent="0.25">
      <c r="A43858" s="2" t="str">
        <f t="shared" si="1366"/>
        <v>32820</v>
      </c>
      <c r="B43858" s="2" t="str">
        <f>"38108"</f>
        <v>38108</v>
      </c>
      <c r="C43858" s="1">
        <v>1.4724624197895801E-2</v>
      </c>
      <c r="D43858" s="1">
        <v>1.10626257116558E-2</v>
      </c>
      <c r="E43858" s="1">
        <v>8.3848038369966505E-3</v>
      </c>
      <c r="F43858" s="1">
        <v>1.4167473940095401E-2</v>
      </c>
    </row>
    <row r="43859" spans="1:6" x14ac:dyDescent="0.25">
      <c r="A43859" s="2" t="str">
        <f t="shared" si="1366"/>
        <v>32820</v>
      </c>
      <c r="B43859" s="2" t="str">
        <f>"38124"</f>
        <v>38124</v>
      </c>
      <c r="C43859" s="1">
        <v>1.4066691730760599E-3</v>
      </c>
      <c r="D43859" s="1">
        <v>3.3239014079705399E-3</v>
      </c>
      <c r="E43859" s="1">
        <v>6.9010731168696706E-5</v>
      </c>
      <c r="F43859" s="1">
        <v>1.50970615247193E-3</v>
      </c>
    </row>
    <row r="43860" spans="1:6" x14ac:dyDescent="0.25">
      <c r="A43860" s="2" t="str">
        <f t="shared" si="1366"/>
        <v>32820</v>
      </c>
      <c r="B43860" s="2" t="str">
        <f>"38028"</f>
        <v>38028</v>
      </c>
      <c r="C43860" s="1">
        <v>4.7250065315329604E-3</v>
      </c>
      <c r="D43860" s="1">
        <v>2.0284321412743301E-3</v>
      </c>
      <c r="E43860" s="1">
        <v>4.1406438701218002E-4</v>
      </c>
      <c r="F43860" s="1">
        <v>4.3292221798199798E-3</v>
      </c>
    </row>
    <row r="43861" spans="1:6" x14ac:dyDescent="0.25">
      <c r="A43861" s="2" t="str">
        <f t="shared" si="1366"/>
        <v>32820</v>
      </c>
      <c r="B43861" s="2" t="str">
        <f>"38027"</f>
        <v>38027</v>
      </c>
      <c r="C43861" s="1">
        <v>1.58190542340264E-3</v>
      </c>
      <c r="D43861" s="1">
        <v>7.3296287457812002E-3</v>
      </c>
      <c r="E43861" s="1">
        <v>6.9010731168696706E-5</v>
      </c>
      <c r="F43861" s="1">
        <v>1.9919733956226902E-3</v>
      </c>
    </row>
    <row r="43862" spans="1:6" x14ac:dyDescent="0.25">
      <c r="A43862" s="2" t="str">
        <f t="shared" si="1366"/>
        <v>32820</v>
      </c>
      <c r="B43862" s="2" t="str">
        <f>"38015"</f>
        <v>38015</v>
      </c>
      <c r="C43862" s="1">
        <v>1.94990154908845E-3</v>
      </c>
      <c r="D43862" s="1">
        <v>5.28415095626086E-4</v>
      </c>
      <c r="E43862" s="1">
        <v>0</v>
      </c>
      <c r="F43862" s="1">
        <v>1.75433446421507E-3</v>
      </c>
    </row>
    <row r="43863" spans="1:6" x14ac:dyDescent="0.25">
      <c r="A43863" s="2" t="str">
        <f t="shared" si="1366"/>
        <v>32820</v>
      </c>
      <c r="B43863" s="2" t="str">
        <f>"38011"</f>
        <v>38011</v>
      </c>
      <c r="C43863" s="1">
        <v>6.0106033862015696E-3</v>
      </c>
      <c r="D43863" s="1">
        <v>2.3182081614563799E-3</v>
      </c>
      <c r="E43863" s="1">
        <v>5.1758048376522505E-4</v>
      </c>
      <c r="F43863" s="1">
        <v>5.48526568731469E-3</v>
      </c>
    </row>
    <row r="43864" spans="1:6" x14ac:dyDescent="0.25">
      <c r="A43864" s="2" t="str">
        <f t="shared" si="1366"/>
        <v>32820</v>
      </c>
      <c r="B43864" s="2" t="str">
        <f>"38004"</f>
        <v>38004</v>
      </c>
      <c r="C43864" s="1">
        <v>6.5936621827427299E-3</v>
      </c>
      <c r="D43864" s="1">
        <v>4.3295946544847103E-3</v>
      </c>
      <c r="E43864" s="1">
        <v>2.2428487629826402E-3</v>
      </c>
      <c r="F43864" s="1">
        <v>6.2317315071480301E-3</v>
      </c>
    </row>
    <row r="43865" spans="1:6" x14ac:dyDescent="0.25">
      <c r="A43865" s="2" t="str">
        <f t="shared" si="1366"/>
        <v>32820</v>
      </c>
      <c r="B43865" s="2" t="str">
        <f>"72339"</f>
        <v>72339</v>
      </c>
      <c r="C43865" s="1">
        <v>0</v>
      </c>
      <c r="D43865" s="1">
        <v>0</v>
      </c>
      <c r="E43865" s="1">
        <v>3.4505365584348299E-5</v>
      </c>
      <c r="F43865" s="1">
        <v>1.3978760671036401E-6</v>
      </c>
    </row>
    <row r="43866" spans="1:6" x14ac:dyDescent="0.25">
      <c r="A43866" s="2" t="str">
        <f t="shared" si="1366"/>
        <v>32820</v>
      </c>
      <c r="B43866" s="2" t="str">
        <f>"72325"</f>
        <v>72325</v>
      </c>
      <c r="C43866" s="1">
        <v>0</v>
      </c>
      <c r="D43866" s="1">
        <v>0</v>
      </c>
      <c r="E43866" s="1">
        <v>3.4505365584348299E-5</v>
      </c>
      <c r="F43866" s="1">
        <v>1.3978760671036401E-6</v>
      </c>
    </row>
    <row r="43867" spans="1:6" x14ac:dyDescent="0.25">
      <c r="A43867" s="2" t="str">
        <f t="shared" si="1366"/>
        <v>32820</v>
      </c>
      <c r="B43867" s="2" t="str">
        <f>"72332"</f>
        <v>72332</v>
      </c>
      <c r="C43867" s="1">
        <v>1.5930568211506899E-6</v>
      </c>
      <c r="D43867" s="1">
        <v>0</v>
      </c>
      <c r="E43867" s="1">
        <v>3.4505365584348299E-5</v>
      </c>
      <c r="F43867" s="1">
        <v>2.7957521342072802E-6</v>
      </c>
    </row>
    <row r="43868" spans="1:6" x14ac:dyDescent="0.25">
      <c r="A43868" s="2" t="str">
        <f t="shared" si="1366"/>
        <v>32820</v>
      </c>
      <c r="B43868" s="2" t="str">
        <f>"38665"</f>
        <v>38665</v>
      </c>
      <c r="C43868" s="1">
        <v>1.5038456391662501E-3</v>
      </c>
      <c r="D43868" s="1">
        <v>3.4091296492005501E-4</v>
      </c>
      <c r="E43868" s="1">
        <v>3.4505365584348299E-5</v>
      </c>
      <c r="F43868" s="1">
        <v>1.3489504047550099E-3</v>
      </c>
    </row>
    <row r="43869" spans="1:6" x14ac:dyDescent="0.25">
      <c r="A43869" s="2" t="str">
        <f t="shared" si="1366"/>
        <v>32820</v>
      </c>
      <c r="B43869" s="2" t="str">
        <f>"38638"</f>
        <v>38638</v>
      </c>
      <c r="C43869" s="1">
        <v>0</v>
      </c>
      <c r="D43869" s="1">
        <v>1.7045648246002701E-5</v>
      </c>
      <c r="E43869" s="1">
        <v>0</v>
      </c>
      <c r="F43869" s="1">
        <v>1.3978760671036401E-6</v>
      </c>
    </row>
    <row r="43870" spans="1:6" x14ac:dyDescent="0.25">
      <c r="A43870" s="2" t="str">
        <f t="shared" si="1366"/>
        <v>32820</v>
      </c>
      <c r="B43870" s="2" t="str">
        <f>"38635"</f>
        <v>38635</v>
      </c>
      <c r="C43870" s="1">
        <v>1.0541256985554101E-2</v>
      </c>
      <c r="D43870" s="1">
        <v>9.3069239423175208E-3</v>
      </c>
      <c r="E43870" s="1">
        <v>2.5188916876574298E-3</v>
      </c>
      <c r="F43870" s="1">
        <v>1.0115031221561901E-2</v>
      </c>
    </row>
    <row r="43871" spans="1:6" x14ac:dyDescent="0.25">
      <c r="A43871" s="2" t="str">
        <f t="shared" si="1366"/>
        <v>32820</v>
      </c>
      <c r="B43871" s="2" t="str">
        <f>"38632"</f>
        <v>38632</v>
      </c>
      <c r="C43871" s="1">
        <v>1.98064754573666E-2</v>
      </c>
      <c r="D43871" s="1">
        <v>1.72672416732008E-2</v>
      </c>
      <c r="E43871" s="1">
        <v>3.6230633863565702E-3</v>
      </c>
      <c r="F43871" s="1">
        <v>1.89426185853214E-2</v>
      </c>
    </row>
    <row r="43872" spans="1:6" x14ac:dyDescent="0.25">
      <c r="A43872" s="2" t="str">
        <f t="shared" si="1366"/>
        <v>32820</v>
      </c>
      <c r="B43872" s="2" t="str">
        <f>"38114"</f>
        <v>38114</v>
      </c>
      <c r="C43872" s="1">
        <v>2.26676055081532E-2</v>
      </c>
      <c r="D43872" s="1">
        <v>1.8818395663586999E-2</v>
      </c>
      <c r="E43872" s="1">
        <v>3.4884924605776101E-2</v>
      </c>
      <c r="F43872" s="1">
        <v>2.2846886440741902E-2</v>
      </c>
    </row>
    <row r="43873" spans="1:6" x14ac:dyDescent="0.25">
      <c r="A43873" s="2" t="str">
        <f t="shared" si="1366"/>
        <v>32820</v>
      </c>
      <c r="B43873" s="2" t="str">
        <f>"38138"</f>
        <v>38138</v>
      </c>
      <c r="C43873" s="1">
        <v>1.75730097941133E-2</v>
      </c>
      <c r="D43873" s="1">
        <v>2.2790031704905699E-2</v>
      </c>
      <c r="E43873" s="1">
        <v>1.90124564369759E-2</v>
      </c>
      <c r="F43873" s="1">
        <v>1.8059160910911899E-2</v>
      </c>
    </row>
    <row r="43874" spans="1:6" x14ac:dyDescent="0.25">
      <c r="A43874" s="2" t="str">
        <f t="shared" si="1366"/>
        <v>32820</v>
      </c>
      <c r="B43874" s="2" t="str">
        <f>"38104"</f>
        <v>38104</v>
      </c>
      <c r="C43874" s="1">
        <v>2.3663266021372399E-2</v>
      </c>
      <c r="D43874" s="1">
        <v>2.9659427948044801E-2</v>
      </c>
      <c r="E43874" s="1">
        <v>4.6616748904454601E-2</v>
      </c>
      <c r="F43874" s="1">
        <v>2.5084886024174802E-2</v>
      </c>
    </row>
    <row r="43875" spans="1:6" x14ac:dyDescent="0.25">
      <c r="A43875" s="2" t="str">
        <f t="shared" si="1366"/>
        <v>32820</v>
      </c>
      <c r="B43875" s="2" t="str">
        <f>"38076"</f>
        <v>38076</v>
      </c>
      <c r="C43875" s="1">
        <v>6.00582421573812E-4</v>
      </c>
      <c r="D43875" s="1">
        <v>1.5341083421402499E-4</v>
      </c>
      <c r="E43875" s="1">
        <v>0</v>
      </c>
      <c r="F43875" s="1">
        <v>5.3958016190200602E-4</v>
      </c>
    </row>
    <row r="43876" spans="1:6" x14ac:dyDescent="0.25">
      <c r="A43876" s="2" t="str">
        <f t="shared" ref="A43876:A43908" si="1367">"32820"</f>
        <v>32820</v>
      </c>
      <c r="B43876" s="2" t="str">
        <f>"38058"</f>
        <v>38058</v>
      </c>
      <c r="C43876" s="1">
        <v>6.9568791379650899E-3</v>
      </c>
      <c r="D43876" s="1">
        <v>2.8295776088364602E-3</v>
      </c>
      <c r="E43876" s="1">
        <v>2.1048273006452501E-3</v>
      </c>
      <c r="F43876" s="1">
        <v>6.4218426522741302E-3</v>
      </c>
    </row>
    <row r="43877" spans="1:6" x14ac:dyDescent="0.25">
      <c r="A43877" s="2" t="str">
        <f t="shared" si="1367"/>
        <v>32820</v>
      </c>
      <c r="B43877" s="2" t="str">
        <f>"38103"</f>
        <v>38103</v>
      </c>
      <c r="C43877" s="1">
        <v>1.5720284711115001E-2</v>
      </c>
      <c r="D43877" s="1">
        <v>3.39719769542835E-2</v>
      </c>
      <c r="E43877" s="1">
        <v>3.4815913874607501E-2</v>
      </c>
      <c r="F43877" s="1">
        <v>1.79906649836238E-2</v>
      </c>
    </row>
    <row r="43878" spans="1:6" x14ac:dyDescent="0.25">
      <c r="A43878" s="2" t="str">
        <f t="shared" si="1367"/>
        <v>32820</v>
      </c>
      <c r="B43878" s="2" t="str">
        <f>"38054"</f>
        <v>38054</v>
      </c>
      <c r="C43878" s="1">
        <v>0</v>
      </c>
      <c r="D43878" s="1">
        <v>1.7045648246002701E-5</v>
      </c>
      <c r="E43878" s="1">
        <v>6.9010731168696706E-5</v>
      </c>
      <c r="F43878" s="1">
        <v>4.1936282013109196E-6</v>
      </c>
    </row>
    <row r="43879" spans="1:6" x14ac:dyDescent="0.25">
      <c r="A43879" s="2" t="str">
        <f t="shared" si="1367"/>
        <v>32820</v>
      </c>
      <c r="B43879" s="2" t="str">
        <f>"38045"</f>
        <v>38045</v>
      </c>
      <c r="C43879" s="1">
        <v>0</v>
      </c>
      <c r="D43879" s="1">
        <v>1.7045648246002701E-5</v>
      </c>
      <c r="E43879" s="1">
        <v>0</v>
      </c>
      <c r="F43879" s="1">
        <v>1.3978760671036401E-6</v>
      </c>
    </row>
    <row r="43880" spans="1:6" x14ac:dyDescent="0.25">
      <c r="A43880" s="2" t="str">
        <f t="shared" si="1367"/>
        <v>32820</v>
      </c>
      <c r="B43880" s="2" t="str">
        <f>"38019"</f>
        <v>38019</v>
      </c>
      <c r="C43880" s="1">
        <v>1.0847123895215E-2</v>
      </c>
      <c r="D43880" s="1">
        <v>1.40115228582142E-2</v>
      </c>
      <c r="E43880" s="1">
        <v>3.8646009454470099E-3</v>
      </c>
      <c r="F43880" s="1">
        <v>1.08237543875835E-2</v>
      </c>
    </row>
    <row r="43881" spans="1:6" x14ac:dyDescent="0.25">
      <c r="A43881" s="2" t="str">
        <f t="shared" si="1367"/>
        <v>32820</v>
      </c>
      <c r="B43881" s="2" t="str">
        <f>"38014"</f>
        <v>38014</v>
      </c>
      <c r="C43881" s="1">
        <v>0</v>
      </c>
      <c r="D43881" s="1">
        <v>1.7045648246002701E-5</v>
      </c>
      <c r="E43881" s="1">
        <v>0</v>
      </c>
      <c r="F43881" s="1">
        <v>1.3978760671036401E-6</v>
      </c>
    </row>
    <row r="43882" spans="1:6" x14ac:dyDescent="0.25">
      <c r="A43882" s="2" t="str">
        <f t="shared" si="1367"/>
        <v>32820</v>
      </c>
      <c r="B43882" s="2" t="str">
        <f>"72386"</f>
        <v>72386</v>
      </c>
      <c r="C43882" s="1">
        <v>1.29037602513206E-4</v>
      </c>
      <c r="D43882" s="1">
        <v>3.4091296492005497E-5</v>
      </c>
      <c r="E43882" s="1">
        <v>0</v>
      </c>
      <c r="F43882" s="1">
        <v>1.16023713569602E-4</v>
      </c>
    </row>
    <row r="43883" spans="1:6" x14ac:dyDescent="0.25">
      <c r="A43883" s="2" t="str">
        <f t="shared" si="1367"/>
        <v>32820</v>
      </c>
      <c r="B43883" s="2" t="str">
        <f>"72364"</f>
        <v>72364</v>
      </c>
      <c r="C43883" s="1">
        <v>1.1223085305006601E-2</v>
      </c>
      <c r="D43883" s="1">
        <v>8.0455459721133094E-3</v>
      </c>
      <c r="E43883" s="1">
        <v>5.2448155688209503E-3</v>
      </c>
      <c r="F43883" s="1">
        <v>1.0720311558617799E-2</v>
      </c>
    </row>
    <row r="43884" spans="1:6" x14ac:dyDescent="0.25">
      <c r="A43884" s="2" t="str">
        <f t="shared" si="1367"/>
        <v>32820</v>
      </c>
      <c r="B43884" s="2" t="str">
        <f>"38676"</f>
        <v>38676</v>
      </c>
      <c r="C43884" s="1">
        <v>3.4505610746124E-3</v>
      </c>
      <c r="D43884" s="1">
        <v>2.55684723690041E-3</v>
      </c>
      <c r="E43884" s="1">
        <v>1.2076877954521901E-3</v>
      </c>
      <c r="F43884" s="1">
        <v>3.2864066337606598E-3</v>
      </c>
    </row>
    <row r="43885" spans="1:6" x14ac:dyDescent="0.25">
      <c r="A43885" s="2" t="str">
        <f t="shared" si="1367"/>
        <v>32820</v>
      </c>
      <c r="B43885" s="2" t="str">
        <f>"38113"</f>
        <v>38113</v>
      </c>
      <c r="C43885" s="1">
        <v>1.5930568211506899E-6</v>
      </c>
      <c r="D43885" s="1">
        <v>3.0682166842804998E-4</v>
      </c>
      <c r="E43885" s="1">
        <v>0</v>
      </c>
      <c r="F43885" s="1">
        <v>2.6559645274969201E-5</v>
      </c>
    </row>
    <row r="43886" spans="1:6" x14ac:dyDescent="0.25">
      <c r="A43886" s="2" t="str">
        <f t="shared" si="1367"/>
        <v>32820</v>
      </c>
      <c r="B43886" s="2" t="str">
        <f>"38111"</f>
        <v>38111</v>
      </c>
      <c r="C43886" s="1">
        <v>3.3956006142827101E-2</v>
      </c>
      <c r="D43886" s="1">
        <v>2.54150615347901E-2</v>
      </c>
      <c r="E43886" s="1">
        <v>3.08823021979917E-2</v>
      </c>
      <c r="F43886" s="1">
        <v>3.3131060666423399E-2</v>
      </c>
    </row>
    <row r="43887" spans="1:6" x14ac:dyDescent="0.25">
      <c r="A43887" s="2" t="str">
        <f t="shared" si="1367"/>
        <v>32820</v>
      </c>
      <c r="B43887" s="2" t="str">
        <f>"38130"</f>
        <v>38130</v>
      </c>
      <c r="C43887" s="1">
        <v>1.2234676386437299E-3</v>
      </c>
      <c r="D43887" s="1">
        <v>2.0625234377663298E-3</v>
      </c>
      <c r="E43887" s="1">
        <v>1.3802146233739301E-4</v>
      </c>
      <c r="F43887" s="1">
        <v>1.2483033279235499E-3</v>
      </c>
    </row>
    <row r="43888" spans="1:6" x14ac:dyDescent="0.25">
      <c r="A43888" s="2" t="str">
        <f t="shared" si="1367"/>
        <v>32820</v>
      </c>
      <c r="B43888" s="2" t="str">
        <f>"38187"</f>
        <v>38187</v>
      </c>
      <c r="C43888" s="1">
        <v>1.0784994679190201E-3</v>
      </c>
      <c r="D43888" s="1">
        <v>5.5739269764429099E-3</v>
      </c>
      <c r="E43888" s="1">
        <v>6.9010731168696706E-5</v>
      </c>
      <c r="F43888" s="1">
        <v>1.40626332350626E-3</v>
      </c>
    </row>
    <row r="43889" spans="1:6" x14ac:dyDescent="0.25">
      <c r="A43889" s="2" t="str">
        <f t="shared" si="1367"/>
        <v>32820</v>
      </c>
      <c r="B43889" s="2" t="str">
        <f>"38166"</f>
        <v>38166</v>
      </c>
      <c r="C43889" s="1">
        <v>0</v>
      </c>
      <c r="D43889" s="1">
        <v>0</v>
      </c>
      <c r="E43889" s="1">
        <v>3.4505365584348299E-5</v>
      </c>
      <c r="F43889" s="1">
        <v>1.3978760671036401E-6</v>
      </c>
    </row>
    <row r="43890" spans="1:6" x14ac:dyDescent="0.25">
      <c r="A43890" s="2" t="str">
        <f t="shared" si="1367"/>
        <v>32820</v>
      </c>
      <c r="B43890" s="2" t="str">
        <f>"38197"</f>
        <v>38197</v>
      </c>
      <c r="C43890" s="1">
        <v>0</v>
      </c>
      <c r="D43890" s="1">
        <v>6.8182592984011102E-5</v>
      </c>
      <c r="E43890" s="1">
        <v>0</v>
      </c>
      <c r="F43890" s="1">
        <v>5.5915042684145697E-6</v>
      </c>
    </row>
    <row r="43891" spans="1:6" x14ac:dyDescent="0.25">
      <c r="A43891" s="2" t="str">
        <f t="shared" si="1367"/>
        <v>32820</v>
      </c>
      <c r="B43891" s="2" t="str">
        <f>"38173"</f>
        <v>38173</v>
      </c>
      <c r="C43891" s="1">
        <v>1.05460361560176E-3</v>
      </c>
      <c r="D43891" s="1">
        <v>2.86366890532846E-3</v>
      </c>
      <c r="E43891" s="1">
        <v>3.4505365584348299E-5</v>
      </c>
      <c r="F43891" s="1">
        <v>1.16163501176312E-3</v>
      </c>
    </row>
    <row r="43892" spans="1:6" x14ac:dyDescent="0.25">
      <c r="A43892" s="2" t="str">
        <f t="shared" si="1367"/>
        <v>32820</v>
      </c>
      <c r="B43892" s="2" t="str">
        <f>"38105"</f>
        <v>38105</v>
      </c>
      <c r="C43892" s="1">
        <v>6.3977161937411901E-3</v>
      </c>
      <c r="D43892" s="1">
        <v>7.0228070773531498E-3</v>
      </c>
      <c r="E43892" s="1">
        <v>1.9392015458403699E-2</v>
      </c>
      <c r="F43892" s="1">
        <v>6.9754015748471699E-3</v>
      </c>
    </row>
    <row r="43893" spans="1:6" x14ac:dyDescent="0.25">
      <c r="A43893" s="2" t="str">
        <f t="shared" si="1367"/>
        <v>32820</v>
      </c>
      <c r="B43893" s="2" t="str">
        <f>"38126"</f>
        <v>38126</v>
      </c>
      <c r="C43893" s="1">
        <v>5.7222601015733E-3</v>
      </c>
      <c r="D43893" s="1">
        <v>8.0455459721133094E-3</v>
      </c>
      <c r="E43893" s="1">
        <v>1.60795003623063E-2</v>
      </c>
      <c r="F43893" s="1">
        <v>6.3323785839794998E-3</v>
      </c>
    </row>
    <row r="43894" spans="1:6" x14ac:dyDescent="0.25">
      <c r="A43894" s="2" t="str">
        <f t="shared" si="1367"/>
        <v>32820</v>
      </c>
      <c r="B43894" s="2" t="str">
        <f>"38122"</f>
        <v>38122</v>
      </c>
      <c r="C43894" s="1">
        <v>1.9218637490362001E-2</v>
      </c>
      <c r="D43894" s="1">
        <v>1.8750213070603001E-2</v>
      </c>
      <c r="E43894" s="1">
        <v>1.34225872123115E-2</v>
      </c>
      <c r="F43894" s="1">
        <v>1.8945414337455599E-2</v>
      </c>
    </row>
    <row r="43895" spans="1:6" x14ac:dyDescent="0.25">
      <c r="A43895" s="2" t="str">
        <f t="shared" si="1367"/>
        <v>32820</v>
      </c>
      <c r="B43895" s="2" t="str">
        <f>"38048"</f>
        <v>38048</v>
      </c>
      <c r="C43895" s="1">
        <v>0</v>
      </c>
      <c r="D43895" s="1">
        <v>0</v>
      </c>
      <c r="E43895" s="1">
        <v>3.4505365584348299E-5</v>
      </c>
      <c r="F43895" s="1">
        <v>1.3978760671036401E-6</v>
      </c>
    </row>
    <row r="43896" spans="1:6" x14ac:dyDescent="0.25">
      <c r="A43896" s="2" t="str">
        <f t="shared" si="1367"/>
        <v>32820</v>
      </c>
      <c r="B43896" s="2" t="str">
        <f>"38046"</f>
        <v>38046</v>
      </c>
      <c r="C43896" s="1">
        <v>0</v>
      </c>
      <c r="D43896" s="1">
        <v>1.7045648246002701E-5</v>
      </c>
      <c r="E43896" s="1">
        <v>0</v>
      </c>
      <c r="F43896" s="1">
        <v>1.3978760671036401E-6</v>
      </c>
    </row>
    <row r="43897" spans="1:6" x14ac:dyDescent="0.25">
      <c r="A43897" s="2" t="str">
        <f t="shared" si="1367"/>
        <v>32820</v>
      </c>
      <c r="B43897" s="2" t="str">
        <f>"72331"</f>
        <v>72331</v>
      </c>
      <c r="C43897" s="1">
        <v>2.5281811751661498E-3</v>
      </c>
      <c r="D43897" s="1">
        <v>2.5738928851464201E-3</v>
      </c>
      <c r="E43897" s="1">
        <v>5.52085849349573E-4</v>
      </c>
      <c r="F43897" s="1">
        <v>2.4518746216997799E-3</v>
      </c>
    </row>
    <row r="43898" spans="1:6" x14ac:dyDescent="0.25">
      <c r="A43898" s="2" t="str">
        <f t="shared" si="1367"/>
        <v>32820</v>
      </c>
      <c r="B43898" s="2" t="str">
        <f>"38672"</f>
        <v>38672</v>
      </c>
      <c r="C43898" s="1">
        <v>8.8366861869229093E-3</v>
      </c>
      <c r="D43898" s="1">
        <v>7.2784918010431899E-3</v>
      </c>
      <c r="E43898" s="1">
        <v>1.62175218246437E-3</v>
      </c>
      <c r="F43898" s="1">
        <v>8.4166118000310302E-3</v>
      </c>
    </row>
    <row r="43899" spans="1:6" x14ac:dyDescent="0.25">
      <c r="A43899" s="2" t="str">
        <f t="shared" si="1367"/>
        <v>32820</v>
      </c>
      <c r="B43899" s="2" t="str">
        <f>"38671"</f>
        <v>38671</v>
      </c>
      <c r="C43899" s="1">
        <v>2.9930351555779201E-2</v>
      </c>
      <c r="D43899" s="1">
        <v>3.8642484573688303E-2</v>
      </c>
      <c r="E43899" s="1">
        <v>2.8570442703840401E-2</v>
      </c>
      <c r="F43899" s="1">
        <v>3.0589721976429E-2</v>
      </c>
    </row>
    <row r="43900" spans="1:6" x14ac:dyDescent="0.25">
      <c r="A43900" s="2" t="str">
        <f t="shared" si="1367"/>
        <v>32820</v>
      </c>
      <c r="B43900" s="2" t="str">
        <f>"38626"</f>
        <v>38626</v>
      </c>
      <c r="C43900" s="1">
        <v>7.2484085362356705E-4</v>
      </c>
      <c r="D43900" s="1">
        <v>1.5341083421402499E-4</v>
      </c>
      <c r="E43900" s="1">
        <v>6.9010731168696706E-5</v>
      </c>
      <c r="F43900" s="1">
        <v>6.5141024727029696E-4</v>
      </c>
    </row>
    <row r="43901" spans="1:6" x14ac:dyDescent="0.25">
      <c r="A43901" s="2" t="str">
        <f t="shared" si="1367"/>
        <v>32820</v>
      </c>
      <c r="B43901" s="2" t="str">
        <f>"38611"</f>
        <v>38611</v>
      </c>
      <c r="C43901" s="1">
        <v>1.38388846053361E-2</v>
      </c>
      <c r="D43901" s="1">
        <v>6.9375788361231297E-3</v>
      </c>
      <c r="E43901" s="1">
        <v>5.1758048376522505E-4</v>
      </c>
      <c r="F43901" s="1">
        <v>1.2733253095246999E-2</v>
      </c>
    </row>
    <row r="43902" spans="1:6" x14ac:dyDescent="0.25">
      <c r="A43902" s="2" t="str">
        <f t="shared" si="1367"/>
        <v>32820</v>
      </c>
      <c r="B43902" s="2" t="str">
        <f>"38117"</f>
        <v>38117</v>
      </c>
      <c r="C43902" s="1">
        <v>2.0176064639873498E-2</v>
      </c>
      <c r="D43902" s="1">
        <v>2.5585518017250099E-2</v>
      </c>
      <c r="E43902" s="1">
        <v>1.2905006728546199E-2</v>
      </c>
      <c r="F43902" s="1">
        <v>2.0325118015686899E-2</v>
      </c>
    </row>
    <row r="43903" spans="1:6" x14ac:dyDescent="0.25">
      <c r="A43903" s="2" t="str">
        <f t="shared" si="1367"/>
        <v>32820</v>
      </c>
      <c r="B43903" s="2" t="str">
        <f>"38186"</f>
        <v>38186</v>
      </c>
      <c r="C43903" s="1">
        <v>1.8814001057789701E-3</v>
      </c>
      <c r="D43903" s="1">
        <v>3.88640780008863E-3</v>
      </c>
      <c r="E43903" s="1">
        <v>3.4505365584348299E-5</v>
      </c>
      <c r="F43903" s="1">
        <v>1.9710052546161299E-3</v>
      </c>
    </row>
    <row r="43904" spans="1:6" x14ac:dyDescent="0.25">
      <c r="A43904" s="2" t="str">
        <f t="shared" si="1367"/>
        <v>32820</v>
      </c>
      <c r="B43904" s="2" t="str">
        <f>"38183"</f>
        <v>38183</v>
      </c>
      <c r="C43904" s="1">
        <v>1.9196334694865801E-3</v>
      </c>
      <c r="D43904" s="1">
        <v>1.15058125660518E-2</v>
      </c>
      <c r="E43904" s="1">
        <v>6.9010731168696706E-5</v>
      </c>
      <c r="F43904" s="1">
        <v>2.6308027582890498E-3</v>
      </c>
    </row>
    <row r="43905" spans="1:6" x14ac:dyDescent="0.25">
      <c r="A43905" s="2" t="str">
        <f t="shared" si="1367"/>
        <v>32820</v>
      </c>
      <c r="B43905" s="2" t="str">
        <f>"38106"</f>
        <v>38106</v>
      </c>
      <c r="C43905" s="1">
        <v>2.1428207301298002E-2</v>
      </c>
      <c r="D43905" s="1">
        <v>1.8903623904817101E-2</v>
      </c>
      <c r="E43905" s="1">
        <v>2.33946378661881E-2</v>
      </c>
      <c r="F43905" s="1">
        <v>2.13008355105253E-2</v>
      </c>
    </row>
    <row r="43906" spans="1:6" x14ac:dyDescent="0.25">
      <c r="A43906" s="2" t="str">
        <f t="shared" si="1367"/>
        <v>32820</v>
      </c>
      <c r="B43906" s="2" t="str">
        <f>"38128"</f>
        <v>38128</v>
      </c>
      <c r="C43906" s="1">
        <v>2.9575099884662601E-2</v>
      </c>
      <c r="D43906" s="1">
        <v>1.99093171513312E-2</v>
      </c>
      <c r="E43906" s="1">
        <v>5.6347261999240797E-2</v>
      </c>
      <c r="F43906" s="1">
        <v>2.98670200497364E-2</v>
      </c>
    </row>
    <row r="43907" spans="1:6" x14ac:dyDescent="0.25">
      <c r="A43907" s="2" t="str">
        <f t="shared" si="1367"/>
        <v>32820</v>
      </c>
      <c r="B43907" s="2" t="str">
        <f>"38049"</f>
        <v>38049</v>
      </c>
      <c r="C43907" s="1">
        <v>3.18611364230139E-3</v>
      </c>
      <c r="D43907" s="1">
        <v>1.4829713974022401E-3</v>
      </c>
      <c r="E43907" s="1">
        <v>5.52085849349573E-4</v>
      </c>
      <c r="F43907" s="1">
        <v>2.9397333691189602E-3</v>
      </c>
    </row>
    <row r="43908" spans="1:6" x14ac:dyDescent="0.25">
      <c r="A43908" s="2" t="str">
        <f t="shared" si="1367"/>
        <v>32820</v>
      </c>
      <c r="B43908" s="2" t="str">
        <f>"38023"</f>
        <v>38023</v>
      </c>
      <c r="C43908" s="1">
        <v>3.7070432228176698E-3</v>
      </c>
      <c r="D43908" s="1">
        <v>5.4546074387208903E-4</v>
      </c>
      <c r="E43908" s="1">
        <v>0</v>
      </c>
      <c r="F43908" s="1">
        <v>3.29758964229749E-3</v>
      </c>
    </row>
    <row r="43909" spans="1:6" x14ac:dyDescent="0.25">
      <c r="A43909" s="2" t="str">
        <f t="shared" ref="A43909:A43934" si="1368">"34100"</f>
        <v>34100</v>
      </c>
      <c r="B43909" s="2" t="str">
        <f>"37891"</f>
        <v>37891</v>
      </c>
      <c r="C43909" s="1">
        <v>1.9910928598282099E-2</v>
      </c>
      <c r="D43909" s="1">
        <v>5.6433408577878097E-3</v>
      </c>
      <c r="E43909" s="1">
        <v>8.9485458612975303E-3</v>
      </c>
      <c r="F43909" s="1">
        <v>1.87166128074919E-2</v>
      </c>
    </row>
    <row r="43910" spans="1:6" x14ac:dyDescent="0.25">
      <c r="A43910" s="2" t="str">
        <f t="shared" si="1368"/>
        <v>34100</v>
      </c>
      <c r="B43910" s="2" t="str">
        <f>"37876"</f>
        <v>37876</v>
      </c>
      <c r="C43910" s="1">
        <v>7.5913126464038803E-3</v>
      </c>
      <c r="D43910" s="1">
        <v>1.31677953348382E-3</v>
      </c>
      <c r="E43910" s="1">
        <v>1.4914243102162499E-3</v>
      </c>
      <c r="F43910" s="1">
        <v>7.0434610565191496E-3</v>
      </c>
    </row>
    <row r="43911" spans="1:6" x14ac:dyDescent="0.25">
      <c r="A43911" s="2" t="str">
        <f t="shared" si="1368"/>
        <v>34100</v>
      </c>
      <c r="B43911" s="2" t="str">
        <f>"37778"</f>
        <v>37778</v>
      </c>
      <c r="C43911" s="1">
        <v>0</v>
      </c>
      <c r="D43911" s="1">
        <v>1.8811136192625999E-4</v>
      </c>
      <c r="E43911" s="1">
        <v>0</v>
      </c>
      <c r="F43911" s="1">
        <v>1.3190001978500199E-5</v>
      </c>
    </row>
    <row r="43912" spans="1:6" x14ac:dyDescent="0.25">
      <c r="A43912" s="2" t="str">
        <f t="shared" si="1368"/>
        <v>34100</v>
      </c>
      <c r="B43912" s="2" t="str">
        <f>"37806"</f>
        <v>37806</v>
      </c>
      <c r="C43912" s="1">
        <v>7.0852251366436197E-4</v>
      </c>
      <c r="D43912" s="1">
        <v>1.8811136192625999E-4</v>
      </c>
      <c r="E43912" s="1">
        <v>7.4571215510812799E-4</v>
      </c>
      <c r="F43912" s="1">
        <v>6.7269010090351502E-4</v>
      </c>
    </row>
    <row r="43913" spans="1:6" x14ac:dyDescent="0.25">
      <c r="A43913" s="2" t="str">
        <f t="shared" si="1368"/>
        <v>34100</v>
      </c>
      <c r="B43913" s="2" t="str">
        <f>"37848"</f>
        <v>37848</v>
      </c>
      <c r="C43913" s="1">
        <v>1.8219150351369299E-3</v>
      </c>
      <c r="D43913" s="1">
        <v>3.7622272385251997E-4</v>
      </c>
      <c r="E43913" s="1">
        <v>0</v>
      </c>
      <c r="F43913" s="1">
        <v>1.6883202532480301E-3</v>
      </c>
    </row>
    <row r="43914" spans="1:6" x14ac:dyDescent="0.25">
      <c r="A43914" s="2" t="str">
        <f t="shared" si="1368"/>
        <v>34100</v>
      </c>
      <c r="B43914" s="2" t="str">
        <f>"37816"</f>
        <v>37816</v>
      </c>
      <c r="C43914" s="1">
        <v>8.2564562306602206E-3</v>
      </c>
      <c r="D43914" s="1">
        <v>5.0601956358164002E-2</v>
      </c>
      <c r="E43914" s="1">
        <v>1.4914243102162499E-3</v>
      </c>
      <c r="F43914" s="1">
        <v>1.1105981665897199E-2</v>
      </c>
    </row>
    <row r="43915" spans="1:6" x14ac:dyDescent="0.25">
      <c r="A43915" s="2" t="str">
        <f t="shared" si="1368"/>
        <v>34100</v>
      </c>
      <c r="B43915" s="2" t="str">
        <f>"37811"</f>
        <v>37811</v>
      </c>
      <c r="C43915" s="1">
        <v>1.5471818155527899E-3</v>
      </c>
      <c r="D43915" s="1">
        <v>1.8811136192625999E-4</v>
      </c>
      <c r="E43915" s="1">
        <v>0</v>
      </c>
      <c r="F43915" s="1">
        <v>1.42452021367803E-3</v>
      </c>
    </row>
    <row r="43916" spans="1:6" x14ac:dyDescent="0.25">
      <c r="A43916" s="2" t="str">
        <f t="shared" si="1368"/>
        <v>34100</v>
      </c>
      <c r="B43916" s="2" t="str">
        <f>"37813"</f>
        <v>37813</v>
      </c>
      <c r="C43916" s="1">
        <v>0.119639087307325</v>
      </c>
      <c r="D43916" s="1">
        <v>0.21350639578630501</v>
      </c>
      <c r="E43916" s="1">
        <v>0.19164802386278801</v>
      </c>
      <c r="F43916" s="1">
        <v>0.127494559124183</v>
      </c>
    </row>
    <row r="43917" spans="1:6" x14ac:dyDescent="0.25">
      <c r="A43917" s="2" t="str">
        <f t="shared" si="1368"/>
        <v>34100</v>
      </c>
      <c r="B43917" s="2" t="str">
        <f>"37871"</f>
        <v>37871</v>
      </c>
      <c r="C43917" s="1">
        <v>2.3627056884236001E-2</v>
      </c>
      <c r="D43917" s="1">
        <v>7.14823175319789E-3</v>
      </c>
      <c r="E43917" s="1">
        <v>8.9485458612975303E-3</v>
      </c>
      <c r="F43917" s="1">
        <v>2.2211963331794399E-2</v>
      </c>
    </row>
    <row r="43918" spans="1:6" x14ac:dyDescent="0.25">
      <c r="A43918" s="2" t="str">
        <f t="shared" si="1368"/>
        <v>34100</v>
      </c>
      <c r="B43918" s="2" t="str">
        <f>"37711"</f>
        <v>37711</v>
      </c>
      <c r="C43918" s="1">
        <v>7.2298215680037005E-4</v>
      </c>
      <c r="D43918" s="1">
        <v>0</v>
      </c>
      <c r="E43918" s="1">
        <v>0</v>
      </c>
      <c r="F43918" s="1">
        <v>6.5950009892501405E-4</v>
      </c>
    </row>
    <row r="43919" spans="1:6" x14ac:dyDescent="0.25">
      <c r="A43919" s="2" t="str">
        <f t="shared" si="1368"/>
        <v>34100</v>
      </c>
      <c r="B43919" s="2" t="str">
        <f>"37725"</f>
        <v>37725</v>
      </c>
      <c r="C43919" s="1">
        <v>0.131843026114115</v>
      </c>
      <c r="D43919" s="1">
        <v>7.0353649360421294E-2</v>
      </c>
      <c r="E43919" s="1">
        <v>4.7725577926920199E-2</v>
      </c>
      <c r="F43919" s="1">
        <v>0.12604365890654801</v>
      </c>
    </row>
    <row r="43920" spans="1:6" x14ac:dyDescent="0.25">
      <c r="A43920" s="2" t="str">
        <f t="shared" si="1368"/>
        <v>34100</v>
      </c>
      <c r="B43920" s="2" t="str">
        <f>"37815"</f>
        <v>37815</v>
      </c>
      <c r="C43920" s="1">
        <v>1.1191763787269699E-2</v>
      </c>
      <c r="D43920" s="1">
        <v>3.31075996990218E-2</v>
      </c>
      <c r="E43920" s="1">
        <v>1.4914243102162499E-3</v>
      </c>
      <c r="F43920" s="1">
        <v>1.2556881883532199E-2</v>
      </c>
    </row>
    <row r="43921" spans="1:6" x14ac:dyDescent="0.25">
      <c r="A43921" s="2" t="str">
        <f t="shared" si="1368"/>
        <v>34100</v>
      </c>
      <c r="B43921" s="2" t="str">
        <f>"37779"</f>
        <v>37779</v>
      </c>
      <c r="C43921" s="1">
        <v>4.0487000780820698E-4</v>
      </c>
      <c r="D43921" s="1">
        <v>0</v>
      </c>
      <c r="E43921" s="1">
        <v>0</v>
      </c>
      <c r="F43921" s="1">
        <v>3.6932005539800798E-4</v>
      </c>
    </row>
    <row r="43922" spans="1:6" x14ac:dyDescent="0.25">
      <c r="A43922" s="2" t="str">
        <f t="shared" si="1368"/>
        <v>34100</v>
      </c>
      <c r="B43922" s="2" t="str">
        <f>"37760"</f>
        <v>37760</v>
      </c>
      <c r="C43922" s="1">
        <v>8.7133809537580598E-2</v>
      </c>
      <c r="D43922" s="1">
        <v>0.11963882618510099</v>
      </c>
      <c r="E43922" s="1">
        <v>0.22073079791200501</v>
      </c>
      <c r="F43922" s="1">
        <v>9.1776033766405002E-2</v>
      </c>
    </row>
    <row r="43923" spans="1:6" x14ac:dyDescent="0.25">
      <c r="A43923" s="2" t="str">
        <f t="shared" si="1368"/>
        <v>34100</v>
      </c>
      <c r="B43923" s="2" t="str">
        <f>"37890"</f>
        <v>37890</v>
      </c>
      <c r="C43923" s="1">
        <v>4.5837068741143398E-2</v>
      </c>
      <c r="D43923" s="1">
        <v>2.57712565838976E-2</v>
      </c>
      <c r="E43923" s="1">
        <v>3.2065622669649498E-2</v>
      </c>
      <c r="F43923" s="1">
        <v>4.4186506627975901E-2</v>
      </c>
    </row>
    <row r="43924" spans="1:6" x14ac:dyDescent="0.25">
      <c r="A43924" s="2" t="str">
        <f t="shared" si="1368"/>
        <v>34100</v>
      </c>
      <c r="B43924" s="2" t="str">
        <f>"37877"</f>
        <v>37877</v>
      </c>
      <c r="C43924" s="1">
        <v>5.5611787501084399E-2</v>
      </c>
      <c r="D43924" s="1">
        <v>2.5018811136192601E-2</v>
      </c>
      <c r="E43924" s="1">
        <v>1.64056674123788E-2</v>
      </c>
      <c r="F43924" s="1">
        <v>5.2773197915979599E-2</v>
      </c>
    </row>
    <row r="43925" spans="1:6" x14ac:dyDescent="0.25">
      <c r="A43925" s="2" t="str">
        <f t="shared" si="1368"/>
        <v>34100</v>
      </c>
      <c r="B43925" s="2" t="str">
        <f>"37860"</f>
        <v>37860</v>
      </c>
      <c r="C43925" s="1">
        <v>2.8528875907342599E-2</v>
      </c>
      <c r="D43925" s="1">
        <v>1.1851015801354401E-2</v>
      </c>
      <c r="E43925" s="1">
        <v>7.4571215510812802E-3</v>
      </c>
      <c r="F43925" s="1">
        <v>2.6986744048011602E-2</v>
      </c>
    </row>
    <row r="43926" spans="1:6" x14ac:dyDescent="0.25">
      <c r="A43926" s="2" t="str">
        <f t="shared" si="1368"/>
        <v>34100</v>
      </c>
      <c r="B43926" s="2" t="str">
        <f>"37764"</f>
        <v>37764</v>
      </c>
      <c r="C43926" s="1">
        <v>1.5905607449608099E-4</v>
      </c>
      <c r="D43926" s="1">
        <v>0</v>
      </c>
      <c r="E43926" s="1">
        <v>0</v>
      </c>
      <c r="F43926" s="1">
        <v>1.4509002176350301E-4</v>
      </c>
    </row>
    <row r="43927" spans="1:6" x14ac:dyDescent="0.25">
      <c r="A43927" s="2" t="str">
        <f t="shared" si="1368"/>
        <v>34100</v>
      </c>
      <c r="B43927" s="2" t="str">
        <f>"37888"</f>
        <v>37888</v>
      </c>
      <c r="C43927" s="1">
        <v>1.80456346337372E-2</v>
      </c>
      <c r="D43927" s="1">
        <v>4.8908954100827604E-3</v>
      </c>
      <c r="E43927" s="1">
        <v>0</v>
      </c>
      <c r="F43927" s="1">
        <v>1.68040625206093E-2</v>
      </c>
    </row>
    <row r="43928" spans="1:6" x14ac:dyDescent="0.25">
      <c r="A43928" s="2" t="str">
        <f t="shared" si="1368"/>
        <v>34100</v>
      </c>
      <c r="B43928" s="2" t="str">
        <f>"37881"</f>
        <v>37881</v>
      </c>
      <c r="C43928" s="1">
        <v>1.10760866421816E-2</v>
      </c>
      <c r="D43928" s="1">
        <v>3.1978931527464199E-3</v>
      </c>
      <c r="E43928" s="1">
        <v>0</v>
      </c>
      <c r="F43928" s="1">
        <v>1.03277715491657E-2</v>
      </c>
    </row>
    <row r="43929" spans="1:6" x14ac:dyDescent="0.25">
      <c r="A43929" s="2" t="str">
        <f t="shared" si="1368"/>
        <v>34100</v>
      </c>
      <c r="B43929" s="2" t="str">
        <f>"37861"</f>
        <v>37861</v>
      </c>
      <c r="C43929" s="1">
        <v>6.5661239480609604E-2</v>
      </c>
      <c r="D43929" s="1">
        <v>3.2919488337095501E-2</v>
      </c>
      <c r="E43929" s="1">
        <v>7.4571215510812802E-3</v>
      </c>
      <c r="F43929" s="1">
        <v>6.2335949350392397E-2</v>
      </c>
    </row>
    <row r="43930" spans="1:6" x14ac:dyDescent="0.25">
      <c r="A43930" s="2" t="str">
        <f t="shared" si="1368"/>
        <v>34100</v>
      </c>
      <c r="B43930" s="2" t="str">
        <f>"37821"</f>
        <v>37821</v>
      </c>
      <c r="C43930" s="1">
        <v>2.6027357644813298E-4</v>
      </c>
      <c r="D43930" s="1">
        <v>1.8811136192625999E-4</v>
      </c>
      <c r="E43930" s="1">
        <v>0</v>
      </c>
      <c r="F43930" s="1">
        <v>2.5061003759150501E-4</v>
      </c>
    </row>
    <row r="43931" spans="1:6" x14ac:dyDescent="0.25">
      <c r="A43931" s="2" t="str">
        <f t="shared" si="1368"/>
        <v>34100</v>
      </c>
      <c r="B43931" s="2" t="str">
        <f>"37709"</f>
        <v>37709</v>
      </c>
      <c r="C43931" s="1">
        <v>2.5087480840972801E-2</v>
      </c>
      <c r="D43931" s="1">
        <v>1.56132430398796E-2</v>
      </c>
      <c r="E43931" s="1">
        <v>8.9485458612975303E-3</v>
      </c>
      <c r="F43931" s="1">
        <v>2.4137703620655499E-2</v>
      </c>
    </row>
    <row r="43932" spans="1:6" x14ac:dyDescent="0.25">
      <c r="A43932" s="2" t="str">
        <f t="shared" si="1368"/>
        <v>34100</v>
      </c>
      <c r="B43932" s="2" t="str">
        <f>"37708"</f>
        <v>37708</v>
      </c>
      <c r="C43932" s="1">
        <v>5.2474044940570799E-2</v>
      </c>
      <c r="D43932" s="1">
        <v>2.8969149736643999E-2</v>
      </c>
      <c r="E43932" s="1">
        <v>2.23713646532438E-3</v>
      </c>
      <c r="F43932" s="1">
        <v>4.9937347490602101E-2</v>
      </c>
    </row>
    <row r="43933" spans="1:6" x14ac:dyDescent="0.25">
      <c r="A43933" s="2" t="str">
        <f t="shared" si="1368"/>
        <v>34100</v>
      </c>
      <c r="B43933" s="2" t="str">
        <f>"37820"</f>
        <v>37820</v>
      </c>
      <c r="C43933" s="1">
        <v>5.38910899678995E-2</v>
      </c>
      <c r="D43933" s="1">
        <v>1.8246802106847201E-2</v>
      </c>
      <c r="E43933" s="1">
        <v>3.7285607755406401E-3</v>
      </c>
      <c r="F43933" s="1">
        <v>5.0504517575677602E-2</v>
      </c>
    </row>
    <row r="43934" spans="1:6" x14ac:dyDescent="0.25">
      <c r="A43934" s="2" t="str">
        <f t="shared" si="1368"/>
        <v>34100</v>
      </c>
      <c r="B43934" s="2" t="str">
        <f>"37814"</f>
        <v>37814</v>
      </c>
      <c r="C43934" s="1">
        <v>0.228968449058677</v>
      </c>
      <c r="D43934" s="1">
        <v>0.331075996990218</v>
      </c>
      <c r="E43934" s="1">
        <v>0.43847874720357899</v>
      </c>
      <c r="F43934" s="1">
        <v>0.23983380597507001</v>
      </c>
    </row>
    <row r="43935" spans="1:6" x14ac:dyDescent="0.25">
      <c r="A43935" s="2" t="str">
        <f t="shared" ref="A43935:A43941" si="1369">"35460"</f>
        <v>35460</v>
      </c>
      <c r="B43935" s="2" t="str">
        <f>"37727"</f>
        <v>37727</v>
      </c>
      <c r="C43935" s="1">
        <v>6.8958397852792397E-2</v>
      </c>
      <c r="D43935" s="1">
        <v>2.7552674230145801E-2</v>
      </c>
      <c r="E43935" s="1">
        <v>0</v>
      </c>
      <c r="F43935" s="1">
        <v>6.5729501511298694E-2</v>
      </c>
    </row>
    <row r="43936" spans="1:6" x14ac:dyDescent="0.25">
      <c r="A43936" s="2" t="str">
        <f t="shared" si="1369"/>
        <v>35460</v>
      </c>
      <c r="B43936" s="2" t="str">
        <f>"37713"</f>
        <v>37713</v>
      </c>
      <c r="C43936" s="1">
        <v>4.1085991535046898E-2</v>
      </c>
      <c r="D43936" s="1">
        <v>1.9448946515397001E-2</v>
      </c>
      <c r="E43936" s="1">
        <v>0</v>
      </c>
      <c r="F43936" s="1">
        <v>3.9341745430120402E-2</v>
      </c>
    </row>
    <row r="43937" spans="1:6" x14ac:dyDescent="0.25">
      <c r="A43937" s="2" t="str">
        <f t="shared" si="1369"/>
        <v>35460</v>
      </c>
      <c r="B43937" s="2" t="str">
        <f>"37753"</f>
        <v>37753</v>
      </c>
      <c r="C43937" s="1">
        <v>2.5498090224011501E-2</v>
      </c>
      <c r="D43937" s="1">
        <v>2.3500810372771401E-2</v>
      </c>
      <c r="E43937" s="1">
        <v>0</v>
      </c>
      <c r="F43937" s="1">
        <v>2.5092357146284099E-2</v>
      </c>
    </row>
    <row r="43938" spans="1:6" x14ac:dyDescent="0.25">
      <c r="A43938" s="2" t="str">
        <f t="shared" si="1369"/>
        <v>35460</v>
      </c>
      <c r="B43938" s="2" t="str">
        <f>"37843"</f>
        <v>37843</v>
      </c>
      <c r="C43938" s="1">
        <v>0.108547537937441</v>
      </c>
      <c r="D43938" s="1">
        <v>4.1329011345218797E-2</v>
      </c>
      <c r="E43938" s="1">
        <v>7.6595744680850994E-2</v>
      </c>
      <c r="F43938" s="1">
        <v>0.104207647651489</v>
      </c>
    </row>
    <row r="43939" spans="1:6" x14ac:dyDescent="0.25">
      <c r="A43939" s="2" t="str">
        <f t="shared" si="1369"/>
        <v>35460</v>
      </c>
      <c r="B43939" s="2" t="str">
        <f>"37722"</f>
        <v>37722</v>
      </c>
      <c r="C43939" s="1">
        <v>0.14576236192835701</v>
      </c>
      <c r="D43939" s="1">
        <v>7.5364667747163605E-2</v>
      </c>
      <c r="E43939" s="1">
        <v>7.2340425531914804E-2</v>
      </c>
      <c r="F43939" s="1">
        <v>0.140766684258504</v>
      </c>
    </row>
    <row r="43940" spans="1:6" x14ac:dyDescent="0.25">
      <c r="A43940" s="2" t="str">
        <f t="shared" si="1369"/>
        <v>35460</v>
      </c>
      <c r="B43940" s="2" t="str">
        <f>"37821"</f>
        <v>37821</v>
      </c>
      <c r="C43940" s="1">
        <v>0.607566842159595</v>
      </c>
      <c r="D43940" s="1">
        <v>0.81280388978930296</v>
      </c>
      <c r="E43940" s="1">
        <v>0.85106382978723405</v>
      </c>
      <c r="F43940" s="1">
        <v>0.62246317708583199</v>
      </c>
    </row>
    <row r="43941" spans="1:6" x14ac:dyDescent="0.25">
      <c r="A43941" s="2" t="str">
        <f t="shared" si="1369"/>
        <v>35460</v>
      </c>
      <c r="B43941" s="2" t="str">
        <f>"37743"</f>
        <v>37743</v>
      </c>
      <c r="C43941" s="1">
        <v>2.5807783627542001E-3</v>
      </c>
      <c r="D43941" s="1">
        <v>0</v>
      </c>
      <c r="E43941" s="1">
        <v>0</v>
      </c>
      <c r="F43941" s="1">
        <v>2.3988869164707498E-3</v>
      </c>
    </row>
    <row r="43942" spans="1:6" x14ac:dyDescent="0.25">
      <c r="A43942" s="2" t="str">
        <f t="shared" ref="A43942:A43950" si="1370">"15140"</f>
        <v>15140</v>
      </c>
      <c r="B43942" s="2" t="str">
        <f>"38069"</f>
        <v>38069</v>
      </c>
      <c r="C43942" s="1">
        <v>0.103785381380015</v>
      </c>
      <c r="D43942" s="1">
        <v>4.49438202247191E-2</v>
      </c>
      <c r="E43942" s="1">
        <v>0.06</v>
      </c>
      <c r="F43942" s="1">
        <v>9.9173553719008198E-2</v>
      </c>
    </row>
    <row r="43943" spans="1:6" x14ac:dyDescent="0.25">
      <c r="A43943" s="2" t="str">
        <f t="shared" si="1370"/>
        <v>15140</v>
      </c>
      <c r="B43943" s="2" t="str">
        <f>"38392"</f>
        <v>38392</v>
      </c>
      <c r="C43943" s="1">
        <v>2.2735023303398799E-4</v>
      </c>
      <c r="D43943" s="1">
        <v>0</v>
      </c>
      <c r="E43943" s="1">
        <v>0</v>
      </c>
      <c r="F43943" s="1">
        <v>2.09226906580186E-4</v>
      </c>
    </row>
    <row r="43944" spans="1:6" x14ac:dyDescent="0.25">
      <c r="A43944" s="2" t="str">
        <f t="shared" si="1370"/>
        <v>15140</v>
      </c>
      <c r="B43944" s="2" t="str">
        <f>"38301"</f>
        <v>38301</v>
      </c>
      <c r="C43944" s="1">
        <v>3.41025349550983E-4</v>
      </c>
      <c r="D43944" s="1">
        <v>1.4044943820224699E-3</v>
      </c>
      <c r="E43944" s="1">
        <v>0</v>
      </c>
      <c r="F43944" s="1">
        <v>4.1845381316037199E-4</v>
      </c>
    </row>
    <row r="43945" spans="1:6" x14ac:dyDescent="0.25">
      <c r="A43945" s="2" t="str">
        <f t="shared" si="1370"/>
        <v>15140</v>
      </c>
      <c r="B43945" s="2" t="str">
        <f>"38068"</f>
        <v>38068</v>
      </c>
      <c r="C43945" s="1">
        <v>1.2504262816869301E-3</v>
      </c>
      <c r="D43945" s="1">
        <v>1.4044943820224699E-3</v>
      </c>
      <c r="E43945" s="1">
        <v>0</v>
      </c>
      <c r="F43945" s="1">
        <v>1.2553614394811099E-3</v>
      </c>
    </row>
    <row r="43946" spans="1:6" x14ac:dyDescent="0.25">
      <c r="A43946" s="2" t="str">
        <f t="shared" si="1370"/>
        <v>15140</v>
      </c>
      <c r="B43946" s="2" t="str">
        <f>"38012"</f>
        <v>38012</v>
      </c>
      <c r="C43946" s="1">
        <v>0.77105831533477298</v>
      </c>
      <c r="D43946" s="1">
        <v>0.91853932584269604</v>
      </c>
      <c r="E43946" s="1">
        <v>0.94</v>
      </c>
      <c r="F43946" s="1">
        <v>0.78292708442305603</v>
      </c>
    </row>
    <row r="43947" spans="1:6" x14ac:dyDescent="0.25">
      <c r="A43947" s="2" t="str">
        <f t="shared" si="1370"/>
        <v>15140</v>
      </c>
      <c r="B43947" s="2" t="str">
        <f>"38075"</f>
        <v>38075</v>
      </c>
      <c r="C43947" s="1">
        <v>2.97828805274525E-2</v>
      </c>
      <c r="D43947" s="1">
        <v>4.2134831460674104E-3</v>
      </c>
      <c r="E43947" s="1">
        <v>0</v>
      </c>
      <c r="F43947" s="1">
        <v>2.7722565121874598E-2</v>
      </c>
    </row>
    <row r="43948" spans="1:6" x14ac:dyDescent="0.25">
      <c r="A43948" s="2" t="str">
        <f t="shared" si="1370"/>
        <v>15140</v>
      </c>
      <c r="B43948" s="2" t="str">
        <f>"38063"</f>
        <v>38063</v>
      </c>
      <c r="C43948" s="1">
        <v>1.9779470273957E-2</v>
      </c>
      <c r="D43948" s="1">
        <v>8.4269662921348295E-3</v>
      </c>
      <c r="E43948" s="1">
        <v>0</v>
      </c>
      <c r="F43948" s="1">
        <v>1.8830421592216699E-2</v>
      </c>
    </row>
    <row r="43949" spans="1:6" x14ac:dyDescent="0.25">
      <c r="A43949" s="2" t="str">
        <f t="shared" si="1370"/>
        <v>15140</v>
      </c>
      <c r="B43949" s="2" t="str">
        <f>"38006"</f>
        <v>38006</v>
      </c>
      <c r="C43949" s="1">
        <v>4.8766624985790603E-2</v>
      </c>
      <c r="D43949" s="1">
        <v>1.68539325842696E-2</v>
      </c>
      <c r="E43949" s="1">
        <v>0</v>
      </c>
      <c r="F43949" s="1">
        <v>4.6134532900931002E-2</v>
      </c>
    </row>
    <row r="43950" spans="1:6" x14ac:dyDescent="0.25">
      <c r="A43950" s="2" t="str">
        <f t="shared" si="1370"/>
        <v>15140</v>
      </c>
      <c r="B43950" s="2" t="str">
        <f>"38037"</f>
        <v>38037</v>
      </c>
      <c r="C43950" s="1">
        <v>2.5008525633738701E-2</v>
      </c>
      <c r="D43950" s="1">
        <v>4.2134831460674104E-3</v>
      </c>
      <c r="E43950" s="1">
        <v>0</v>
      </c>
      <c r="F43950" s="1">
        <v>2.33288000836907E-2</v>
      </c>
    </row>
    <row r="43951" spans="1:6" x14ac:dyDescent="0.25">
      <c r="A43951" s="2" t="str">
        <f t="shared" ref="A43951:A43962" si="1371">"20540"</f>
        <v>20540</v>
      </c>
      <c r="B43951" s="2" t="str">
        <f>"38034"</f>
        <v>38034</v>
      </c>
      <c r="C43951" s="1">
        <v>1.77534068081871E-2</v>
      </c>
      <c r="D43951" s="1">
        <v>5.48081714000996E-3</v>
      </c>
      <c r="E43951" s="1">
        <v>0</v>
      </c>
      <c r="F43951" s="1">
        <v>1.6183089150627199E-2</v>
      </c>
    </row>
    <row r="43952" spans="1:6" x14ac:dyDescent="0.25">
      <c r="A43952" s="2" t="str">
        <f t="shared" si="1371"/>
        <v>20540</v>
      </c>
      <c r="B43952" s="2" t="str">
        <f>"38030"</f>
        <v>38030</v>
      </c>
      <c r="C43952" s="1">
        <v>1.6016070362126E-2</v>
      </c>
      <c r="D43952" s="1">
        <v>2.49128051818634E-3</v>
      </c>
      <c r="E43952" s="1">
        <v>0</v>
      </c>
      <c r="F43952" s="1">
        <v>1.4363688595231201E-2</v>
      </c>
    </row>
    <row r="43953" spans="1:6" x14ac:dyDescent="0.25">
      <c r="A43953" s="2" t="str">
        <f t="shared" si="1371"/>
        <v>20540</v>
      </c>
      <c r="B43953" s="2" t="str">
        <f>"38240"</f>
        <v>38240</v>
      </c>
      <c r="C43953" s="1">
        <v>1.41158586242467E-3</v>
      </c>
      <c r="D43953" s="1">
        <v>9.9651220727453907E-4</v>
      </c>
      <c r="E43953" s="1">
        <v>0</v>
      </c>
      <c r="F43953" s="1">
        <v>1.3406109355549099E-3</v>
      </c>
    </row>
    <row r="43954" spans="1:6" x14ac:dyDescent="0.25">
      <c r="A43954" s="2" t="str">
        <f t="shared" si="1371"/>
        <v>20540</v>
      </c>
      <c r="B43954" s="2" t="str">
        <f>"38080"</f>
        <v>38080</v>
      </c>
      <c r="C43954" s="1">
        <v>8.0894728269721404E-3</v>
      </c>
      <c r="D43954" s="1">
        <v>1.4947683109118E-3</v>
      </c>
      <c r="E43954" s="1">
        <v>0</v>
      </c>
      <c r="F43954" s="1">
        <v>7.2776022215838296E-3</v>
      </c>
    </row>
    <row r="43955" spans="1:6" x14ac:dyDescent="0.25">
      <c r="A43955" s="2" t="str">
        <f t="shared" si="1371"/>
        <v>20540</v>
      </c>
      <c r="B43955" s="2" t="str">
        <f>"38059"</f>
        <v>38059</v>
      </c>
      <c r="C43955" s="1">
        <v>0.18263749389217601</v>
      </c>
      <c r="D43955" s="1">
        <v>0.113602391629297</v>
      </c>
      <c r="E43955" s="1">
        <v>9.3478260869565205E-2</v>
      </c>
      <c r="F43955" s="1">
        <v>0.174040026812218</v>
      </c>
    </row>
    <row r="43956" spans="1:6" x14ac:dyDescent="0.25">
      <c r="A43956" s="2" t="str">
        <f t="shared" si="1371"/>
        <v>20540</v>
      </c>
      <c r="B43956" s="2" t="str">
        <f>"38025"</f>
        <v>38025</v>
      </c>
      <c r="C43956" s="1">
        <v>5.2445843965470397E-2</v>
      </c>
      <c r="D43956" s="1">
        <v>0.15196811160936699</v>
      </c>
      <c r="E43956" s="1">
        <v>2.17391304347826E-3</v>
      </c>
      <c r="F43956" s="1">
        <v>6.0902039643780499E-2</v>
      </c>
    </row>
    <row r="43957" spans="1:6" x14ac:dyDescent="0.25">
      <c r="A43957" s="2" t="str">
        <f t="shared" si="1371"/>
        <v>20540</v>
      </c>
      <c r="B43957" s="2" t="str">
        <f>"38040"</f>
        <v>38040</v>
      </c>
      <c r="C43957" s="1">
        <v>7.1665128400021701E-3</v>
      </c>
      <c r="D43957" s="1">
        <v>1.4947683109118E-3</v>
      </c>
      <c r="E43957" s="1">
        <v>0</v>
      </c>
      <c r="F43957" s="1">
        <v>6.4636598678540604E-3</v>
      </c>
    </row>
    <row r="43958" spans="1:6" x14ac:dyDescent="0.25">
      <c r="A43958" s="2" t="str">
        <f t="shared" si="1371"/>
        <v>20540</v>
      </c>
      <c r="B43958" s="2" t="str">
        <f>"38070"</f>
        <v>38070</v>
      </c>
      <c r="C43958" s="1">
        <v>0</v>
      </c>
      <c r="D43958" s="1">
        <v>4.98256103637269E-4</v>
      </c>
      <c r="E43958" s="1">
        <v>0</v>
      </c>
      <c r="F43958" s="1">
        <v>4.7878961984104102E-5</v>
      </c>
    </row>
    <row r="43959" spans="1:6" x14ac:dyDescent="0.25">
      <c r="A43959" s="2" t="str">
        <f t="shared" si="1371"/>
        <v>20540</v>
      </c>
      <c r="B43959" s="2" t="str">
        <f>"38047"</f>
        <v>38047</v>
      </c>
      <c r="C43959" s="1">
        <v>1.4658776263640799E-3</v>
      </c>
      <c r="D43959" s="1">
        <v>4.98256103637269E-4</v>
      </c>
      <c r="E43959" s="1">
        <v>0</v>
      </c>
      <c r="F43959" s="1">
        <v>1.3406109355549099E-3</v>
      </c>
    </row>
    <row r="43960" spans="1:6" x14ac:dyDescent="0.25">
      <c r="A43960" s="2" t="str">
        <f t="shared" si="1371"/>
        <v>20540</v>
      </c>
      <c r="B43960" s="2" t="str">
        <f>"38024"</f>
        <v>38024</v>
      </c>
      <c r="C43960" s="1">
        <v>0.69460882784081601</v>
      </c>
      <c r="D43960" s="1">
        <v>0.71599402092675601</v>
      </c>
      <c r="E43960" s="1">
        <v>0.90434782608695596</v>
      </c>
      <c r="F43960" s="1">
        <v>0.70128315618117298</v>
      </c>
    </row>
    <row r="43961" spans="1:6" x14ac:dyDescent="0.25">
      <c r="A43961" s="2" t="str">
        <f t="shared" si="1371"/>
        <v>20540</v>
      </c>
      <c r="B43961" s="2" t="str">
        <f>"38259"</f>
        <v>38259</v>
      </c>
      <c r="C43961" s="1">
        <v>1.84049079754601E-2</v>
      </c>
      <c r="D43961" s="1">
        <v>4.9825610363726904E-3</v>
      </c>
      <c r="E43961" s="1">
        <v>0</v>
      </c>
      <c r="F43961" s="1">
        <v>1.6709757732452299E-2</v>
      </c>
    </row>
    <row r="43962" spans="1:6" x14ac:dyDescent="0.25">
      <c r="A43962" s="2" t="str">
        <f t="shared" si="1371"/>
        <v>20540</v>
      </c>
      <c r="B43962" s="2" t="str">
        <f>"38007"</f>
        <v>38007</v>
      </c>
      <c r="C43962" s="1">
        <v>0</v>
      </c>
      <c r="D43962" s="1">
        <v>4.98256103637269E-4</v>
      </c>
      <c r="E43962" s="1">
        <v>0</v>
      </c>
      <c r="F43962" s="1">
        <v>4.7878961984104102E-5</v>
      </c>
    </row>
    <row r="43963" spans="1:6" x14ac:dyDescent="0.25">
      <c r="A43963" s="2" t="str">
        <f t="shared" ref="A43963:A43977" si="1372">"46460"</f>
        <v>46460</v>
      </c>
      <c r="B43963" s="2" t="str">
        <f>"38281"</f>
        <v>38281</v>
      </c>
      <c r="C43963" s="1">
        <v>4.9177285661264301E-2</v>
      </c>
      <c r="D43963" s="1">
        <v>0.12644310060472699</v>
      </c>
      <c r="E43963" s="1">
        <v>1.74825174825174E-3</v>
      </c>
      <c r="F43963" s="1">
        <v>5.5289109231017902E-2</v>
      </c>
    </row>
    <row r="43964" spans="1:6" x14ac:dyDescent="0.25">
      <c r="A43964" s="2" t="str">
        <f t="shared" si="1372"/>
        <v>46460</v>
      </c>
      <c r="B43964" s="2" t="str">
        <f>"38254"</f>
        <v>38254</v>
      </c>
      <c r="C43964" s="1">
        <v>0</v>
      </c>
      <c r="D43964" s="1">
        <v>5.4975261132490295E-4</v>
      </c>
      <c r="E43964" s="1">
        <v>0</v>
      </c>
      <c r="F43964" s="1">
        <v>5.3888020692999902E-5</v>
      </c>
    </row>
    <row r="43965" spans="1:6" x14ac:dyDescent="0.25">
      <c r="A43965" s="2" t="str">
        <f t="shared" si="1372"/>
        <v>46460</v>
      </c>
      <c r="B43965" s="2" t="str">
        <f>"38255"</f>
        <v>38255</v>
      </c>
      <c r="C43965" s="1">
        <v>6.8044043053321697E-4</v>
      </c>
      <c r="D43965" s="1">
        <v>0</v>
      </c>
      <c r="E43965" s="1">
        <v>0</v>
      </c>
      <c r="F43965" s="1">
        <v>5.9276822762299904E-4</v>
      </c>
    </row>
    <row r="43966" spans="1:6" x14ac:dyDescent="0.25">
      <c r="A43966" s="2" t="str">
        <f t="shared" si="1372"/>
        <v>46460</v>
      </c>
      <c r="B43966" s="2" t="str">
        <f>"38261"</f>
        <v>38261</v>
      </c>
      <c r="C43966" s="1">
        <v>0.50129902264010795</v>
      </c>
      <c r="D43966" s="1">
        <v>0.61297416162726703</v>
      </c>
      <c r="E43966" s="1">
        <v>0.83041958041957997</v>
      </c>
      <c r="F43966" s="1">
        <v>0.52239047259794102</v>
      </c>
    </row>
    <row r="43967" spans="1:6" x14ac:dyDescent="0.25">
      <c r="A43967" s="2" t="str">
        <f t="shared" si="1372"/>
        <v>46460</v>
      </c>
      <c r="B43967" s="2" t="str">
        <f>"38237"</f>
        <v>38237</v>
      </c>
      <c r="C43967" s="1">
        <v>5.2579487813930398E-3</v>
      </c>
      <c r="D43967" s="1">
        <v>1.0995052226498E-3</v>
      </c>
      <c r="E43967" s="1">
        <v>0</v>
      </c>
      <c r="F43967" s="1">
        <v>4.6882578002909901E-3</v>
      </c>
    </row>
    <row r="43968" spans="1:6" x14ac:dyDescent="0.25">
      <c r="A43968" s="2" t="str">
        <f t="shared" si="1372"/>
        <v>46460</v>
      </c>
      <c r="B43968" s="2" t="str">
        <f>"38260"</f>
        <v>38260</v>
      </c>
      <c r="C43968" s="1">
        <v>0.109612767536805</v>
      </c>
      <c r="D43968" s="1">
        <v>5.5525013743815202E-2</v>
      </c>
      <c r="E43968" s="1">
        <v>2.09790209790209E-2</v>
      </c>
      <c r="F43968" s="1">
        <v>0.101578919006304</v>
      </c>
    </row>
    <row r="43969" spans="1:6" x14ac:dyDescent="0.25">
      <c r="A43969" s="2" t="str">
        <f t="shared" si="1372"/>
        <v>46460</v>
      </c>
      <c r="B43969" s="2" t="str">
        <f>"38233"</f>
        <v>38233</v>
      </c>
      <c r="C43969" s="1">
        <v>4.0764567611035502E-2</v>
      </c>
      <c r="D43969" s="1">
        <v>4.1781198460692601E-2</v>
      </c>
      <c r="E43969" s="1">
        <v>1.5734265734265701E-2</v>
      </c>
      <c r="F43969" s="1">
        <v>4.0092687395591901E-2</v>
      </c>
    </row>
    <row r="43970" spans="1:6" x14ac:dyDescent="0.25">
      <c r="A43970" s="2" t="str">
        <f t="shared" si="1372"/>
        <v>46460</v>
      </c>
      <c r="B43970" s="2" t="str">
        <f>"38259"</f>
        <v>38259</v>
      </c>
      <c r="C43970" s="1">
        <v>1.17530619819373E-3</v>
      </c>
      <c r="D43970" s="1">
        <v>0</v>
      </c>
      <c r="E43970" s="1">
        <v>0</v>
      </c>
      <c r="F43970" s="1">
        <v>1.02387239316699E-3</v>
      </c>
    </row>
    <row r="43971" spans="1:6" x14ac:dyDescent="0.25">
      <c r="A43971" s="2" t="str">
        <f t="shared" si="1372"/>
        <v>46460</v>
      </c>
      <c r="B43971" s="2" t="str">
        <f>"38257"</f>
        <v>38257</v>
      </c>
      <c r="C43971" s="1">
        <v>0.128912532475566</v>
      </c>
      <c r="D43971" s="1">
        <v>8.4112149532710206E-2</v>
      </c>
      <c r="E43971" s="1">
        <v>7.8671328671328603E-2</v>
      </c>
      <c r="F43971" s="1">
        <v>0.12297246322142499</v>
      </c>
    </row>
    <row r="43972" spans="1:6" x14ac:dyDescent="0.25">
      <c r="A43972" s="2" t="str">
        <f t="shared" si="1372"/>
        <v>46460</v>
      </c>
      <c r="B43972" s="2" t="str">
        <f>"38079"</f>
        <v>38079</v>
      </c>
      <c r="C43972" s="1">
        <v>1.2371644191513001E-4</v>
      </c>
      <c r="D43972" s="1">
        <v>0</v>
      </c>
      <c r="E43972" s="1">
        <v>0</v>
      </c>
      <c r="F43972" s="1">
        <v>1.07776041385999E-4</v>
      </c>
    </row>
    <row r="43973" spans="1:6" x14ac:dyDescent="0.25">
      <c r="A43973" s="2" t="str">
        <f t="shared" si="1372"/>
        <v>46460</v>
      </c>
      <c r="B43973" s="2" t="str">
        <f>"38271"</f>
        <v>38271</v>
      </c>
      <c r="C43973" s="1">
        <v>0</v>
      </c>
      <c r="D43973" s="1">
        <v>5.4975261132490295E-4</v>
      </c>
      <c r="E43973" s="1">
        <v>0</v>
      </c>
      <c r="F43973" s="1">
        <v>5.3888020692999902E-5</v>
      </c>
    </row>
    <row r="43974" spans="1:6" x14ac:dyDescent="0.25">
      <c r="A43974" s="2" t="str">
        <f t="shared" si="1372"/>
        <v>46460</v>
      </c>
      <c r="B43974" s="2" t="str">
        <f>"38240"</f>
        <v>38240</v>
      </c>
      <c r="C43974" s="1">
        <v>5.6290981071384298E-2</v>
      </c>
      <c r="D43974" s="1">
        <v>2.08905992303463E-2</v>
      </c>
      <c r="E43974" s="1">
        <v>3.49650349650349E-3</v>
      </c>
      <c r="F43974" s="1">
        <v>5.1193619658349898E-2</v>
      </c>
    </row>
    <row r="43975" spans="1:6" x14ac:dyDescent="0.25">
      <c r="A43975" s="2" t="str">
        <f t="shared" si="1372"/>
        <v>46460</v>
      </c>
      <c r="B43975" s="2" t="str">
        <f>"38080"</f>
        <v>38080</v>
      </c>
      <c r="C43975" s="1">
        <v>1.7938884077693901E-3</v>
      </c>
      <c r="D43975" s="1">
        <v>0</v>
      </c>
      <c r="E43975" s="1">
        <v>0</v>
      </c>
      <c r="F43975" s="1">
        <v>1.56275260009699E-3</v>
      </c>
    </row>
    <row r="43976" spans="1:6" x14ac:dyDescent="0.25">
      <c r="A43976" s="2" t="str">
        <f t="shared" si="1372"/>
        <v>46460</v>
      </c>
      <c r="B43976" s="2" t="str">
        <f>"38253"</f>
        <v>38253</v>
      </c>
      <c r="C43976" s="1">
        <v>3.25992824446368E-2</v>
      </c>
      <c r="D43976" s="1">
        <v>1.48433205057724E-2</v>
      </c>
      <c r="E43976" s="1">
        <v>0</v>
      </c>
      <c r="F43976" s="1">
        <v>2.9853963463921902E-2</v>
      </c>
    </row>
    <row r="43977" spans="1:6" x14ac:dyDescent="0.25">
      <c r="A43977" s="2" t="str">
        <f t="shared" si="1372"/>
        <v>46460</v>
      </c>
      <c r="B43977" s="2" t="str">
        <f>"38232"</f>
        <v>38232</v>
      </c>
      <c r="C43977" s="1">
        <v>7.2312260299393694E-2</v>
      </c>
      <c r="D43977" s="1">
        <v>4.12314458493677E-2</v>
      </c>
      <c r="E43977" s="1">
        <v>4.8951048951048903E-2</v>
      </c>
      <c r="F43977" s="1">
        <v>6.8545562321495904E-2</v>
      </c>
    </row>
    <row r="43978" spans="1:6" x14ac:dyDescent="0.25">
      <c r="A43978" s="2" t="str">
        <f t="shared" ref="A43978:A43989" si="1373">"17260"</f>
        <v>17260</v>
      </c>
      <c r="B43978" s="2" t="str">
        <f>"38963"</f>
        <v>38963</v>
      </c>
      <c r="C43978" s="1">
        <v>1.2547282959682601E-2</v>
      </c>
      <c r="D43978" s="1">
        <v>5.1622418879056003E-3</v>
      </c>
      <c r="E43978" s="1">
        <v>6.9444444444444397E-3</v>
      </c>
      <c r="F43978" s="1">
        <v>1.1615797484579001E-2</v>
      </c>
    </row>
    <row r="43979" spans="1:6" x14ac:dyDescent="0.25">
      <c r="A43979" s="2" t="str">
        <f t="shared" si="1373"/>
        <v>17260</v>
      </c>
      <c r="B43979" s="2" t="str">
        <f>"38617"</f>
        <v>38617</v>
      </c>
      <c r="C43979" s="1">
        <v>3.2106282867423099E-2</v>
      </c>
      <c r="D43979" s="1">
        <v>1.1061946902654799E-2</v>
      </c>
      <c r="E43979" s="1">
        <v>2.77777777777777E-2</v>
      </c>
      <c r="F43979" s="1">
        <v>2.97204197708884E-2</v>
      </c>
    </row>
    <row r="43980" spans="1:6" x14ac:dyDescent="0.25">
      <c r="A43980" s="2" t="str">
        <f t="shared" si="1373"/>
        <v>17260</v>
      </c>
      <c r="B43980" s="2" t="str">
        <f>"38639"</f>
        <v>38639</v>
      </c>
      <c r="C43980" s="1">
        <v>0</v>
      </c>
      <c r="D43980" s="1">
        <v>7.3746312684365705E-4</v>
      </c>
      <c r="E43980" s="1">
        <v>0</v>
      </c>
      <c r="F43980" s="1">
        <v>8.0108948169510503E-5</v>
      </c>
    </row>
    <row r="43981" spans="1:6" x14ac:dyDescent="0.25">
      <c r="A43981" s="2" t="str">
        <f t="shared" si="1373"/>
        <v>17260</v>
      </c>
      <c r="B43981" s="2" t="str">
        <f>"38767"</f>
        <v>38767</v>
      </c>
      <c r="C43981" s="1">
        <v>0</v>
      </c>
      <c r="D43981" s="1">
        <v>7.3746312684365705E-4</v>
      </c>
      <c r="E43981" s="1">
        <v>0</v>
      </c>
      <c r="F43981" s="1">
        <v>8.0108948169510503E-5</v>
      </c>
    </row>
    <row r="43982" spans="1:6" x14ac:dyDescent="0.25">
      <c r="A43982" s="2" t="str">
        <f t="shared" si="1373"/>
        <v>17260</v>
      </c>
      <c r="B43982" s="2" t="str">
        <f>"38739"</f>
        <v>38739</v>
      </c>
      <c r="C43982" s="1">
        <v>0</v>
      </c>
      <c r="D43982" s="1">
        <v>7.3746312684365705E-4</v>
      </c>
      <c r="E43982" s="1">
        <v>0</v>
      </c>
      <c r="F43982" s="1">
        <v>8.0108948169510503E-5</v>
      </c>
    </row>
    <row r="43983" spans="1:6" x14ac:dyDescent="0.25">
      <c r="A43983" s="2" t="str">
        <f t="shared" si="1373"/>
        <v>17260</v>
      </c>
      <c r="B43983" s="2" t="str">
        <f>"38645"</f>
        <v>38645</v>
      </c>
      <c r="C43983" s="1">
        <v>4.7790386567026402E-2</v>
      </c>
      <c r="D43983" s="1">
        <v>3.3185840707964598E-2</v>
      </c>
      <c r="E43983" s="1">
        <v>6.9444444444444397E-3</v>
      </c>
      <c r="F43983" s="1">
        <v>4.5261555715773401E-2</v>
      </c>
    </row>
    <row r="43984" spans="1:6" x14ac:dyDescent="0.25">
      <c r="A43984" s="2" t="str">
        <f t="shared" si="1373"/>
        <v>17260</v>
      </c>
      <c r="B43984" s="2" t="str">
        <f>"38643"</f>
        <v>38643</v>
      </c>
      <c r="C43984" s="1">
        <v>9.22594335270781E-5</v>
      </c>
      <c r="D43984" s="1">
        <v>0</v>
      </c>
      <c r="E43984" s="1">
        <v>0</v>
      </c>
      <c r="F43984" s="1">
        <v>8.0108948169510503E-5</v>
      </c>
    </row>
    <row r="43985" spans="1:6" x14ac:dyDescent="0.25">
      <c r="A43985" s="2" t="str">
        <f t="shared" si="1373"/>
        <v>17260</v>
      </c>
      <c r="B43985" s="2" t="str">
        <f>"38644"</f>
        <v>38644</v>
      </c>
      <c r="C43985" s="1">
        <v>0</v>
      </c>
      <c r="D43985" s="1">
        <v>2.21238938053097E-3</v>
      </c>
      <c r="E43985" s="1">
        <v>0</v>
      </c>
      <c r="F43985" s="1">
        <v>2.4032684450853099E-4</v>
      </c>
    </row>
    <row r="43986" spans="1:6" x14ac:dyDescent="0.25">
      <c r="A43986" s="2" t="str">
        <f t="shared" si="1373"/>
        <v>17260</v>
      </c>
      <c r="B43986" s="2" t="str">
        <f>"38614"</f>
        <v>38614</v>
      </c>
      <c r="C43986" s="1">
        <v>0.86234892517759898</v>
      </c>
      <c r="D43986" s="1">
        <v>0.93805309734513198</v>
      </c>
      <c r="E43986" s="1">
        <v>0.95833333333333304</v>
      </c>
      <c r="F43986" s="1">
        <v>0.87278699030681695</v>
      </c>
    </row>
    <row r="43987" spans="1:6" x14ac:dyDescent="0.25">
      <c r="A43987" s="2" t="str">
        <f t="shared" si="1373"/>
        <v>17260</v>
      </c>
      <c r="B43987" s="2" t="str">
        <f>"38626"</f>
        <v>38626</v>
      </c>
      <c r="C43987" s="1">
        <v>2.2880339514715301E-2</v>
      </c>
      <c r="D43987" s="1">
        <v>3.6873156342182799E-3</v>
      </c>
      <c r="E43987" s="1">
        <v>0</v>
      </c>
      <c r="F43987" s="1">
        <v>2.0267563886886102E-2</v>
      </c>
    </row>
    <row r="43988" spans="1:6" x14ac:dyDescent="0.25">
      <c r="A43988" s="2" t="str">
        <f t="shared" si="1373"/>
        <v>17260</v>
      </c>
      <c r="B43988" s="2" t="str">
        <f>"38720"</f>
        <v>38720</v>
      </c>
      <c r="C43988" s="1">
        <v>2.2234523480025799E-2</v>
      </c>
      <c r="D43988" s="1">
        <v>2.9498525073746299E-3</v>
      </c>
      <c r="E43988" s="1">
        <v>0</v>
      </c>
      <c r="F43988" s="1">
        <v>1.962669230153E-2</v>
      </c>
    </row>
    <row r="43989" spans="1:6" x14ac:dyDescent="0.25">
      <c r="A43989" s="2" t="str">
        <f t="shared" si="1373"/>
        <v>17260</v>
      </c>
      <c r="B43989" s="2" t="str">
        <f>"38631"</f>
        <v>38631</v>
      </c>
      <c r="C43989" s="1">
        <v>0</v>
      </c>
      <c r="D43989" s="1">
        <v>1.47492625368731E-3</v>
      </c>
      <c r="E43989" s="1">
        <v>0</v>
      </c>
      <c r="F43989" s="1">
        <v>1.6021789633902101E-4</v>
      </c>
    </row>
    <row r="43990" spans="1:6" x14ac:dyDescent="0.25">
      <c r="A43990" s="2" t="str">
        <f t="shared" ref="A43990:A44000" si="1374">"24980"</f>
        <v>24980</v>
      </c>
      <c r="B43990" s="2" t="str">
        <f>"38901"</f>
        <v>38901</v>
      </c>
      <c r="C43990" s="1">
        <v>0.79529529529529497</v>
      </c>
      <c r="D43990" s="1">
        <v>0.94941348973606998</v>
      </c>
      <c r="E43990" s="1">
        <v>0.95338983050847403</v>
      </c>
      <c r="F43990" s="1">
        <v>0.81351192228436797</v>
      </c>
    </row>
    <row r="43991" spans="1:6" x14ac:dyDescent="0.25">
      <c r="A43991" s="2" t="str">
        <f t="shared" si="1374"/>
        <v>24980</v>
      </c>
      <c r="B43991" s="2" t="str">
        <f>"38953"</f>
        <v>38953</v>
      </c>
      <c r="C43991" s="1">
        <v>8.0080080080079993E-3</v>
      </c>
      <c r="D43991" s="1">
        <v>1.46627565982404E-3</v>
      </c>
      <c r="E43991" s="1">
        <v>0</v>
      </c>
      <c r="F43991" s="1">
        <v>7.2122460994995504E-3</v>
      </c>
    </row>
    <row r="43992" spans="1:6" x14ac:dyDescent="0.25">
      <c r="A43992" s="2" t="str">
        <f t="shared" si="1374"/>
        <v>24980</v>
      </c>
      <c r="B43992" s="2" t="str">
        <f>"39744"</f>
        <v>39744</v>
      </c>
      <c r="C43992" s="1">
        <v>1.6683350016683299E-4</v>
      </c>
      <c r="D43992" s="1">
        <v>0</v>
      </c>
      <c r="E43992" s="1">
        <v>0</v>
      </c>
      <c r="F43992" s="1">
        <v>1.4718869590815399E-4</v>
      </c>
    </row>
    <row r="43993" spans="1:6" x14ac:dyDescent="0.25">
      <c r="A43993" s="2" t="str">
        <f t="shared" si="1374"/>
        <v>24980</v>
      </c>
      <c r="B43993" s="2" t="str">
        <f>"38922"</f>
        <v>38922</v>
      </c>
      <c r="C43993" s="1">
        <v>3.0447113780447101E-2</v>
      </c>
      <c r="D43993" s="1">
        <v>1.2463343108504299E-2</v>
      </c>
      <c r="E43993" s="1">
        <v>0</v>
      </c>
      <c r="F43993" s="1">
        <v>2.8113040918457399E-2</v>
      </c>
    </row>
    <row r="43994" spans="1:6" x14ac:dyDescent="0.25">
      <c r="A43994" s="2" t="str">
        <f t="shared" si="1374"/>
        <v>24980</v>
      </c>
      <c r="B43994" s="2" t="str">
        <f>"38929"</f>
        <v>38929</v>
      </c>
      <c r="C43994" s="1">
        <v>5.9893226559893202E-2</v>
      </c>
      <c r="D43994" s="1">
        <v>1.6129032258064498E-2</v>
      </c>
      <c r="E43994" s="1">
        <v>1.2711864406779599E-2</v>
      </c>
      <c r="F43994" s="1">
        <v>5.4680600529879303E-2</v>
      </c>
    </row>
    <row r="43995" spans="1:6" x14ac:dyDescent="0.25">
      <c r="A43995" s="2" t="str">
        <f t="shared" si="1374"/>
        <v>24980</v>
      </c>
      <c r="B43995" s="2" t="str">
        <f>"38961"</f>
        <v>38961</v>
      </c>
      <c r="C43995" s="1">
        <v>8.34167500834167E-5</v>
      </c>
      <c r="D43995" s="1">
        <v>0</v>
      </c>
      <c r="E43995" s="1">
        <v>0</v>
      </c>
      <c r="F43995" s="1">
        <v>7.3594347954077105E-5</v>
      </c>
    </row>
    <row r="43996" spans="1:6" x14ac:dyDescent="0.25">
      <c r="A43996" s="2" t="str">
        <f t="shared" si="1374"/>
        <v>24980</v>
      </c>
      <c r="B43996" s="2" t="str">
        <f>"38940"</f>
        <v>38940</v>
      </c>
      <c r="C43996" s="1">
        <v>8.8755422088755406E-2</v>
      </c>
      <c r="D43996" s="1">
        <v>1.6129032258064498E-2</v>
      </c>
      <c r="E43996" s="1">
        <v>1.6949152542372801E-2</v>
      </c>
      <c r="F43996" s="1">
        <v>8.0217839269943997E-2</v>
      </c>
    </row>
    <row r="43997" spans="1:6" x14ac:dyDescent="0.25">
      <c r="A43997" s="2" t="str">
        <f t="shared" si="1374"/>
        <v>24980</v>
      </c>
      <c r="B43997" s="2" t="str">
        <f>"38920"</f>
        <v>38920</v>
      </c>
      <c r="C43997" s="1">
        <v>1.6683350016683299E-4</v>
      </c>
      <c r="D43997" s="1">
        <v>0</v>
      </c>
      <c r="E43997" s="1">
        <v>0</v>
      </c>
      <c r="F43997" s="1">
        <v>1.4718869590815399E-4</v>
      </c>
    </row>
    <row r="43998" spans="1:6" x14ac:dyDescent="0.25">
      <c r="A43998" s="2" t="str">
        <f t="shared" si="1374"/>
        <v>24980</v>
      </c>
      <c r="B43998" s="2" t="str">
        <f>"38914"</f>
        <v>38914</v>
      </c>
      <c r="C43998" s="1">
        <v>1.75175175175175E-3</v>
      </c>
      <c r="D43998" s="1">
        <v>0</v>
      </c>
      <c r="E43998" s="1">
        <v>0</v>
      </c>
      <c r="F43998" s="1">
        <v>1.5454813070356101E-3</v>
      </c>
    </row>
    <row r="43999" spans="1:6" x14ac:dyDescent="0.25">
      <c r="A43999" s="2" t="str">
        <f t="shared" si="1374"/>
        <v>24980</v>
      </c>
      <c r="B43999" s="2" t="str">
        <f>"38960"</f>
        <v>38960</v>
      </c>
      <c r="C43999" s="1">
        <v>0</v>
      </c>
      <c r="D43999" s="1">
        <v>7.3313782991202303E-4</v>
      </c>
      <c r="E43999" s="1">
        <v>0</v>
      </c>
      <c r="F43999" s="1">
        <v>7.3594347954077105E-5</v>
      </c>
    </row>
    <row r="44000" spans="1:6" x14ac:dyDescent="0.25">
      <c r="A44000" s="2" t="str">
        <f t="shared" si="1374"/>
        <v>24980</v>
      </c>
      <c r="B44000" s="2" t="str">
        <f>"38925"</f>
        <v>38925</v>
      </c>
      <c r="C44000" s="1">
        <v>1.5432098765432001E-2</v>
      </c>
      <c r="D44000" s="1">
        <v>3.6656891495601101E-3</v>
      </c>
      <c r="E44000" s="1">
        <v>1.6949152542372801E-2</v>
      </c>
      <c r="F44000" s="1">
        <v>1.42773035030909E-2</v>
      </c>
    </row>
    <row r="44001" spans="1:6" x14ac:dyDescent="0.25">
      <c r="A44001" s="2" t="str">
        <f t="shared" ref="A44001:A44027" si="1375">"32940"</f>
        <v>32940</v>
      </c>
      <c r="B44001" s="2" t="str">
        <f>"39363"</f>
        <v>39363</v>
      </c>
      <c r="C44001" s="1">
        <v>1.46674741663196E-2</v>
      </c>
      <c r="D44001" s="1">
        <v>2.7424094025465199E-3</v>
      </c>
      <c r="E44001" s="1">
        <v>9.2592592592592501E-3</v>
      </c>
      <c r="F44001" s="1">
        <v>1.3552808339143199E-2</v>
      </c>
    </row>
    <row r="44002" spans="1:6" x14ac:dyDescent="0.25">
      <c r="A44002" s="2" t="str">
        <f t="shared" si="1375"/>
        <v>32940</v>
      </c>
      <c r="B44002" s="2" t="str">
        <f>"39360"</f>
        <v>39360</v>
      </c>
      <c r="C44002" s="1">
        <v>2.2029599909156199E-2</v>
      </c>
      <c r="D44002" s="1">
        <v>6.8560235063662997E-3</v>
      </c>
      <c r="E44002" s="1">
        <v>2.3148148148148099E-3</v>
      </c>
      <c r="F44002" s="1">
        <v>2.0422738789599802E-2</v>
      </c>
    </row>
    <row r="44003" spans="1:6" x14ac:dyDescent="0.25">
      <c r="A44003" s="2" t="str">
        <f t="shared" si="1375"/>
        <v>32940</v>
      </c>
      <c r="B44003" s="2" t="str">
        <f>"39335"</f>
        <v>39335</v>
      </c>
      <c r="C44003" s="1">
        <v>3.5069457587342402E-2</v>
      </c>
      <c r="D44003" s="1">
        <v>7.4436826640548398E-3</v>
      </c>
      <c r="E44003" s="1">
        <v>4.6296296296296198E-3</v>
      </c>
      <c r="F44003" s="1">
        <v>3.2224054959443603E-2</v>
      </c>
    </row>
    <row r="44004" spans="1:6" x14ac:dyDescent="0.25">
      <c r="A44004" s="2" t="str">
        <f t="shared" si="1375"/>
        <v>32940</v>
      </c>
      <c r="B44004" s="2" t="str">
        <f>"39366"</f>
        <v>39366</v>
      </c>
      <c r="C44004" s="1">
        <v>6.0562473977061899E-3</v>
      </c>
      <c r="D44004" s="1">
        <v>2.1547502448579798E-3</v>
      </c>
      <c r="E44004" s="1">
        <v>0</v>
      </c>
      <c r="F44004" s="1">
        <v>5.6285816314384299E-3</v>
      </c>
    </row>
    <row r="44005" spans="1:6" x14ac:dyDescent="0.25">
      <c r="A44005" s="2" t="str">
        <f t="shared" si="1375"/>
        <v>32940</v>
      </c>
      <c r="B44005" s="2" t="str">
        <f>"39354"</f>
        <v>39354</v>
      </c>
      <c r="C44005" s="1">
        <v>1.32291154093644E-2</v>
      </c>
      <c r="D44005" s="1">
        <v>5.0930460333006803E-3</v>
      </c>
      <c r="E44005" s="1">
        <v>2.3148148148148099E-3</v>
      </c>
      <c r="F44005" s="1">
        <v>1.2362473855153201E-2</v>
      </c>
    </row>
    <row r="44006" spans="1:6" x14ac:dyDescent="0.25">
      <c r="A44006" s="2" t="str">
        <f t="shared" si="1375"/>
        <v>32940</v>
      </c>
      <c r="B44006" s="2" t="str">
        <f>"39302"</f>
        <v>39302</v>
      </c>
      <c r="C44006" s="1">
        <v>2.3770771035996799E-2</v>
      </c>
      <c r="D44006" s="1">
        <v>9.99020568070519E-2</v>
      </c>
      <c r="E44006" s="1">
        <v>2.3148148148148099E-3</v>
      </c>
      <c r="F44006" s="1">
        <v>3.00644481099188E-2</v>
      </c>
    </row>
    <row r="44007" spans="1:6" x14ac:dyDescent="0.25">
      <c r="A44007" s="2" t="str">
        <f t="shared" si="1375"/>
        <v>32940</v>
      </c>
      <c r="B44007" s="2" t="str">
        <f>"39361"</f>
        <v>39361</v>
      </c>
      <c r="C44007" s="1">
        <v>2.0818350429615E-4</v>
      </c>
      <c r="D44007" s="1">
        <v>0</v>
      </c>
      <c r="E44007" s="1">
        <v>0</v>
      </c>
      <c r="F44007" s="1">
        <v>1.87052561769857E-4</v>
      </c>
    </row>
    <row r="44008" spans="1:6" x14ac:dyDescent="0.25">
      <c r="A44008" s="2" t="str">
        <f t="shared" si="1375"/>
        <v>32940</v>
      </c>
      <c r="B44008" s="2" t="str">
        <f>"39328"</f>
        <v>39328</v>
      </c>
      <c r="C44008" s="1">
        <v>4.2696544153828599E-2</v>
      </c>
      <c r="D44008" s="1">
        <v>2.3898139079333899E-2</v>
      </c>
      <c r="E44008" s="1">
        <v>1.9675925925925899E-2</v>
      </c>
      <c r="F44008" s="1">
        <v>4.0726444130800697E-2</v>
      </c>
    </row>
    <row r="44009" spans="1:6" x14ac:dyDescent="0.25">
      <c r="A44009" s="2" t="str">
        <f t="shared" si="1375"/>
        <v>32940</v>
      </c>
      <c r="B44009" s="2" t="str">
        <f>"39323"</f>
        <v>39323</v>
      </c>
      <c r="C44009" s="1">
        <v>3.0659752450887599E-3</v>
      </c>
      <c r="D44009" s="1">
        <v>0</v>
      </c>
      <c r="E44009" s="1">
        <v>0</v>
      </c>
      <c r="F44009" s="1">
        <v>2.75477409151971E-3</v>
      </c>
    </row>
    <row r="44010" spans="1:6" x14ac:dyDescent="0.25">
      <c r="A44010" s="2" t="str">
        <f t="shared" si="1375"/>
        <v>32940</v>
      </c>
      <c r="B44010" s="2" t="str">
        <f>"39330"</f>
        <v>39330</v>
      </c>
      <c r="C44010" s="1">
        <v>2.7063855558499501E-2</v>
      </c>
      <c r="D44010" s="1">
        <v>8.2272282076395597E-3</v>
      </c>
      <c r="E44010" s="1">
        <v>5.7870370370370298E-3</v>
      </c>
      <c r="F44010" s="1">
        <v>2.5116057612189002E-2</v>
      </c>
    </row>
    <row r="44011" spans="1:6" x14ac:dyDescent="0.25">
      <c r="A44011" s="2" t="str">
        <f t="shared" si="1375"/>
        <v>32940</v>
      </c>
      <c r="B44011" s="2" t="str">
        <f>"39325"</f>
        <v>39325</v>
      </c>
      <c r="C44011" s="1">
        <v>4.8185018357999897E-2</v>
      </c>
      <c r="D44011" s="1">
        <v>1.76297747306562E-2</v>
      </c>
      <c r="E44011" s="1">
        <v>2.3148148148148099E-3</v>
      </c>
      <c r="F44011" s="1">
        <v>4.4858605268080297E-2</v>
      </c>
    </row>
    <row r="44012" spans="1:6" x14ac:dyDescent="0.25">
      <c r="A44012" s="2" t="str">
        <f t="shared" si="1375"/>
        <v>32940</v>
      </c>
      <c r="B44012" s="2" t="str">
        <f>"39439"</f>
        <v>39439</v>
      </c>
      <c r="C44012" s="1">
        <v>2.0439834967258398E-3</v>
      </c>
      <c r="D44012" s="1">
        <v>5.8765915768853999E-4</v>
      </c>
      <c r="E44012" s="1">
        <v>0</v>
      </c>
      <c r="F44012" s="1">
        <v>1.88753039604128E-3</v>
      </c>
    </row>
    <row r="44013" spans="1:6" x14ac:dyDescent="0.25">
      <c r="A44013" s="2" t="str">
        <f t="shared" si="1375"/>
        <v>32940</v>
      </c>
      <c r="B44013" s="2" t="str">
        <f>"39358"</f>
        <v>39358</v>
      </c>
      <c r="C44013" s="1">
        <v>1.1525795828759599E-2</v>
      </c>
      <c r="D44013" s="1">
        <v>6.66013712047012E-3</v>
      </c>
      <c r="E44013" s="1">
        <v>4.6296296296296198E-3</v>
      </c>
      <c r="F44013" s="1">
        <v>1.10020915877361E-2</v>
      </c>
    </row>
    <row r="44014" spans="1:6" x14ac:dyDescent="0.25">
      <c r="A44014" s="2" t="str">
        <f t="shared" si="1375"/>
        <v>32940</v>
      </c>
      <c r="B44014" s="2" t="str">
        <f>"39320"</f>
        <v>39320</v>
      </c>
      <c r="C44014" s="1">
        <v>1.7695597865172701E-2</v>
      </c>
      <c r="D44014" s="1">
        <v>4.1136141038197798E-3</v>
      </c>
      <c r="E44014" s="1">
        <v>8.1018518518518497E-3</v>
      </c>
      <c r="F44014" s="1">
        <v>1.6375601544033801E-2</v>
      </c>
    </row>
    <row r="44015" spans="1:6" x14ac:dyDescent="0.25">
      <c r="A44015" s="2" t="str">
        <f t="shared" si="1375"/>
        <v>32940</v>
      </c>
      <c r="B44015" s="2" t="str">
        <f>"39326"</f>
        <v>39326</v>
      </c>
      <c r="C44015" s="1">
        <v>7.1917937847761002E-3</v>
      </c>
      <c r="D44015" s="1">
        <v>1.3712047012732599E-3</v>
      </c>
      <c r="E44015" s="1">
        <v>0</v>
      </c>
      <c r="F44015" s="1">
        <v>6.5808492186304303E-3</v>
      </c>
    </row>
    <row r="44016" spans="1:6" x14ac:dyDescent="0.25">
      <c r="A44016" s="2" t="str">
        <f t="shared" si="1375"/>
        <v>32940</v>
      </c>
      <c r="B44016" s="2" t="str">
        <f>"39367"</f>
        <v>39367</v>
      </c>
      <c r="C44016" s="1">
        <v>2.2332412279041499E-3</v>
      </c>
      <c r="D44016" s="1">
        <v>0</v>
      </c>
      <c r="E44016" s="1">
        <v>0</v>
      </c>
      <c r="F44016" s="1">
        <v>2.0065638444402801E-3</v>
      </c>
    </row>
    <row r="44017" spans="1:6" x14ac:dyDescent="0.25">
      <c r="A44017" s="2" t="str">
        <f t="shared" si="1375"/>
        <v>32940</v>
      </c>
      <c r="B44017" s="2" t="str">
        <f>"39364"</f>
        <v>39364</v>
      </c>
      <c r="C44017" s="1">
        <v>2.7196335970324299E-2</v>
      </c>
      <c r="D44017" s="1">
        <v>6.8560235063662997E-3</v>
      </c>
      <c r="E44017" s="1">
        <v>0</v>
      </c>
      <c r="F44017" s="1">
        <v>2.5031033720475399E-2</v>
      </c>
    </row>
    <row r="44018" spans="1:6" x14ac:dyDescent="0.25">
      <c r="A44018" s="2" t="str">
        <f t="shared" si="1375"/>
        <v>32940</v>
      </c>
      <c r="B44018" s="2" t="str">
        <f>"39352"</f>
        <v>39352</v>
      </c>
      <c r="C44018" s="1">
        <v>7.74064120519323E-3</v>
      </c>
      <c r="D44018" s="1">
        <v>4.5053868756121402E-3</v>
      </c>
      <c r="E44018" s="1">
        <v>0</v>
      </c>
      <c r="F44018" s="1">
        <v>7.3460642440525701E-3</v>
      </c>
    </row>
    <row r="44019" spans="1:6" x14ac:dyDescent="0.25">
      <c r="A44019" s="2" t="str">
        <f t="shared" si="1375"/>
        <v>32940</v>
      </c>
      <c r="B44019" s="2" t="str">
        <f>"39350"</f>
        <v>39350</v>
      </c>
      <c r="C44019" s="1">
        <v>1.7790226730761899E-3</v>
      </c>
      <c r="D44019" s="1">
        <v>0</v>
      </c>
      <c r="E44019" s="1">
        <v>0</v>
      </c>
      <c r="F44019" s="1">
        <v>1.59844916421514E-3</v>
      </c>
    </row>
    <row r="44020" spans="1:6" x14ac:dyDescent="0.25">
      <c r="A44020" s="2" t="str">
        <f t="shared" si="1375"/>
        <v>32940</v>
      </c>
      <c r="B44020" s="2" t="str">
        <f>"39342"</f>
        <v>39342</v>
      </c>
      <c r="C44020" s="1">
        <v>1.35887050986032E-2</v>
      </c>
      <c r="D44020" s="1">
        <v>1.03819784524975E-2</v>
      </c>
      <c r="E44020" s="1">
        <v>5.5555555555555497E-2</v>
      </c>
      <c r="F44020" s="1">
        <v>1.3926913462683E-2</v>
      </c>
    </row>
    <row r="44021" spans="1:6" x14ac:dyDescent="0.25">
      <c r="A44021" s="2" t="str">
        <f t="shared" si="1375"/>
        <v>32940</v>
      </c>
      <c r="B44021" s="2" t="str">
        <f>"39309"</f>
        <v>39309</v>
      </c>
      <c r="C44021" s="1">
        <v>0</v>
      </c>
      <c r="D44021" s="1">
        <v>2.1547502448579801E-2</v>
      </c>
      <c r="E44021" s="1">
        <v>0</v>
      </c>
      <c r="F44021" s="1">
        <v>1.8705256176985701E-3</v>
      </c>
    </row>
    <row r="44022" spans="1:6" x14ac:dyDescent="0.25">
      <c r="A44022" s="2" t="str">
        <f t="shared" si="1375"/>
        <v>32940</v>
      </c>
      <c r="B44022" s="2" t="str">
        <f>"39301"</f>
        <v>39301</v>
      </c>
      <c r="C44022" s="1">
        <v>0.25750406904121997</v>
      </c>
      <c r="D44022" s="1">
        <v>0.46993143976493601</v>
      </c>
      <c r="E44022" s="1">
        <v>0.43981481481481399</v>
      </c>
      <c r="F44022" s="1">
        <v>0.27862329314537299</v>
      </c>
    </row>
    <row r="44023" spans="1:6" x14ac:dyDescent="0.25">
      <c r="A44023" s="2" t="str">
        <f t="shared" si="1375"/>
        <v>32940</v>
      </c>
      <c r="B44023" s="2" t="str">
        <f>"39307"</f>
        <v>39307</v>
      </c>
      <c r="C44023" s="1">
        <v>0.15486960142321801</v>
      </c>
      <c r="D44023" s="1">
        <v>0.13065621939275199</v>
      </c>
      <c r="E44023" s="1">
        <v>0.19791666666666599</v>
      </c>
      <c r="F44023" s="1">
        <v>0.15340010542962501</v>
      </c>
    </row>
    <row r="44024" spans="1:6" x14ac:dyDescent="0.25">
      <c r="A44024" s="2" t="str">
        <f t="shared" si="1375"/>
        <v>32940</v>
      </c>
      <c r="B44024" s="2" t="str">
        <f>"39341"</f>
        <v>39341</v>
      </c>
      <c r="C44024" s="1">
        <v>1.8925773117831801E-5</v>
      </c>
      <c r="D44024" s="1">
        <v>0</v>
      </c>
      <c r="E44024" s="1">
        <v>0</v>
      </c>
      <c r="F44024" s="1">
        <v>1.7004778342714301E-5</v>
      </c>
    </row>
    <row r="44025" spans="1:6" x14ac:dyDescent="0.25">
      <c r="A44025" s="2" t="str">
        <f t="shared" si="1375"/>
        <v>32940</v>
      </c>
      <c r="B44025" s="2" t="str">
        <f>"39347"</f>
        <v>39347</v>
      </c>
      <c r="C44025" s="1">
        <v>4.4097051364548204E-3</v>
      </c>
      <c r="D44025" s="1">
        <v>1.9588638589618E-3</v>
      </c>
      <c r="E44025" s="1">
        <v>0</v>
      </c>
      <c r="F44025" s="1">
        <v>4.1321611372795702E-3</v>
      </c>
    </row>
    <row r="44026" spans="1:6" x14ac:dyDescent="0.25">
      <c r="A44026" s="2" t="str">
        <f t="shared" si="1375"/>
        <v>32940</v>
      </c>
      <c r="B44026" s="2" t="str">
        <f>"39355"</f>
        <v>39355</v>
      </c>
      <c r="C44026" s="1">
        <v>7.0990574964987299E-2</v>
      </c>
      <c r="D44026" s="1">
        <v>6.1116552399608198E-2</v>
      </c>
      <c r="E44026" s="1">
        <v>4.2824074074074001E-2</v>
      </c>
      <c r="F44026" s="1">
        <v>6.9719591205128606E-2</v>
      </c>
    </row>
    <row r="44027" spans="1:6" x14ac:dyDescent="0.25">
      <c r="A44027" s="2" t="str">
        <f t="shared" si="1375"/>
        <v>32940</v>
      </c>
      <c r="B44027" s="2" t="str">
        <f>"39305"</f>
        <v>39305</v>
      </c>
      <c r="C44027" s="1">
        <v>0.185169764184866</v>
      </c>
      <c r="D44027" s="1">
        <v>0.106366307541625</v>
      </c>
      <c r="E44027" s="1">
        <v>0.202546296296296</v>
      </c>
      <c r="F44027" s="1">
        <v>0.17858418215518501</v>
      </c>
    </row>
    <row r="44028" spans="1:6" x14ac:dyDescent="0.25">
      <c r="A44028" s="2" t="str">
        <f t="shared" ref="A44028:A44035" si="1376">"48500"</f>
        <v>48500</v>
      </c>
      <c r="B44028" s="2" t="str">
        <f>"39756"</f>
        <v>39756</v>
      </c>
      <c r="C44028" s="1">
        <v>9.7735770668882394E-2</v>
      </c>
      <c r="D44028" s="1">
        <v>9.9865047233468202E-2</v>
      </c>
      <c r="E44028" s="1">
        <v>0</v>
      </c>
      <c r="F44028" s="1">
        <v>9.7296779141104198E-2</v>
      </c>
    </row>
    <row r="44029" spans="1:6" x14ac:dyDescent="0.25">
      <c r="A44029" s="2" t="str">
        <f t="shared" si="1376"/>
        <v>48500</v>
      </c>
      <c r="B44029" s="2" t="str">
        <f>"39751"</f>
        <v>39751</v>
      </c>
      <c r="C44029" s="1">
        <v>3.4275031159119201E-2</v>
      </c>
      <c r="D44029" s="1">
        <v>8.0971659919028306E-3</v>
      </c>
      <c r="E44029" s="1">
        <v>0</v>
      </c>
      <c r="F44029" s="1">
        <v>3.2208588957055202E-2</v>
      </c>
    </row>
    <row r="44030" spans="1:6" x14ac:dyDescent="0.25">
      <c r="A44030" s="2" t="str">
        <f t="shared" si="1376"/>
        <v>48500</v>
      </c>
      <c r="B44030" s="2" t="str">
        <f>"39759"</f>
        <v>39759</v>
      </c>
      <c r="C44030" s="1">
        <v>5.19318653926049E-4</v>
      </c>
      <c r="D44030" s="1">
        <v>0</v>
      </c>
      <c r="E44030" s="1">
        <v>0</v>
      </c>
      <c r="F44030" s="1">
        <v>4.7929447852760698E-4</v>
      </c>
    </row>
    <row r="44031" spans="1:6" x14ac:dyDescent="0.25">
      <c r="A44031" s="2" t="str">
        <f t="shared" si="1376"/>
        <v>48500</v>
      </c>
      <c r="B44031" s="2" t="str">
        <f>"39755"</f>
        <v>39755</v>
      </c>
      <c r="C44031" s="1">
        <v>4.22725384295803E-2</v>
      </c>
      <c r="D44031" s="1">
        <v>4.0485829959514101E-2</v>
      </c>
      <c r="E44031" s="1">
        <v>0</v>
      </c>
      <c r="F44031" s="1">
        <v>4.1890337423312801E-2</v>
      </c>
    </row>
    <row r="44032" spans="1:6" x14ac:dyDescent="0.25">
      <c r="A44032" s="2" t="str">
        <f t="shared" si="1376"/>
        <v>48500</v>
      </c>
      <c r="B44032" s="2" t="str">
        <f>"39741"</f>
        <v>39741</v>
      </c>
      <c r="C44032" s="1">
        <v>6.7095970087245493E-2</v>
      </c>
      <c r="D44032" s="1">
        <v>1.4844804318488501E-2</v>
      </c>
      <c r="E44032" s="1">
        <v>0</v>
      </c>
      <c r="F44032" s="1">
        <v>6.2979294478527598E-2</v>
      </c>
    </row>
    <row r="44033" spans="1:6" x14ac:dyDescent="0.25">
      <c r="A44033" s="2" t="str">
        <f t="shared" si="1376"/>
        <v>48500</v>
      </c>
      <c r="B44033" s="2" t="str">
        <f>"39773"</f>
        <v>39773</v>
      </c>
      <c r="C44033" s="1">
        <v>0.72517656834233402</v>
      </c>
      <c r="D44033" s="1">
        <v>0.819163292847503</v>
      </c>
      <c r="E44033" s="1">
        <v>1</v>
      </c>
      <c r="F44033" s="1">
        <v>0.73351226993865004</v>
      </c>
    </row>
    <row r="44034" spans="1:6" x14ac:dyDescent="0.25">
      <c r="A44034" s="2" t="str">
        <f t="shared" si="1376"/>
        <v>48500</v>
      </c>
      <c r="B44034" s="2" t="str">
        <f>"39776"</f>
        <v>39776</v>
      </c>
      <c r="C44034" s="1">
        <v>1.8799335272122901E-2</v>
      </c>
      <c r="D44034" s="1">
        <v>1.2145748987854201E-2</v>
      </c>
      <c r="E44034" s="1">
        <v>0</v>
      </c>
      <c r="F44034" s="1">
        <v>1.8213190184048999E-2</v>
      </c>
    </row>
    <row r="44035" spans="1:6" x14ac:dyDescent="0.25">
      <c r="A44035" s="2" t="str">
        <f t="shared" si="1376"/>
        <v>48500</v>
      </c>
      <c r="B44035" s="2" t="str">
        <f>"39750"</f>
        <v>39750</v>
      </c>
      <c r="C44035" s="1">
        <v>1.41254673867885E-2</v>
      </c>
      <c r="D44035" s="1">
        <v>5.3981106612685497E-3</v>
      </c>
      <c r="E44035" s="1">
        <v>0</v>
      </c>
      <c r="F44035" s="1">
        <v>1.3420245398773E-2</v>
      </c>
    </row>
    <row r="44036" spans="1:6" x14ac:dyDescent="0.25">
      <c r="A44036" s="2" t="str">
        <f t="shared" ref="A44036:A44052" si="1377">"19220"</f>
        <v>19220</v>
      </c>
      <c r="B44036" s="2" t="str">
        <f>"40461"</f>
        <v>40461</v>
      </c>
      <c r="C44036" s="1">
        <v>1.99258757422388E-4</v>
      </c>
      <c r="D44036" s="1">
        <v>0</v>
      </c>
      <c r="E44036" s="1">
        <v>0</v>
      </c>
      <c r="F44036" s="1">
        <v>1.7879492222420799E-4</v>
      </c>
    </row>
    <row r="44037" spans="1:6" x14ac:dyDescent="0.25">
      <c r="A44037" s="2" t="str">
        <f t="shared" si="1377"/>
        <v>19220</v>
      </c>
      <c r="B44037" s="2" t="str">
        <f>"40468"</f>
        <v>40468</v>
      </c>
      <c r="C44037" s="1">
        <v>3.3794285258837098E-2</v>
      </c>
      <c r="D44037" s="1">
        <v>1.49716055756324E-2</v>
      </c>
      <c r="E44037" s="1">
        <v>1.60427807486631E-2</v>
      </c>
      <c r="F44037" s="1">
        <v>3.1897014124798798E-2</v>
      </c>
    </row>
    <row r="44038" spans="1:6" x14ac:dyDescent="0.25">
      <c r="A44038" s="2" t="str">
        <f t="shared" si="1377"/>
        <v>19220</v>
      </c>
      <c r="B44038" s="2" t="str">
        <f>"40442"</f>
        <v>40442</v>
      </c>
      <c r="C44038" s="1">
        <v>1.2991670983939701E-2</v>
      </c>
      <c r="D44038" s="1">
        <v>1.0325245224574E-3</v>
      </c>
      <c r="E44038" s="1">
        <v>1.0695187165775399E-3</v>
      </c>
      <c r="F44038" s="1">
        <v>1.1764705882352899E-2</v>
      </c>
    </row>
    <row r="44039" spans="1:6" x14ac:dyDescent="0.25">
      <c r="A44039" s="2" t="str">
        <f t="shared" si="1377"/>
        <v>19220</v>
      </c>
      <c r="B44039" s="2" t="str">
        <f>"40437"</f>
        <v>40437</v>
      </c>
      <c r="C44039" s="1">
        <v>6.63133144701709E-2</v>
      </c>
      <c r="D44039" s="1">
        <v>2.11667527103768E-2</v>
      </c>
      <c r="E44039" s="1">
        <v>4.4919786096256603E-2</v>
      </c>
      <c r="F44039" s="1">
        <v>6.2470945825138499E-2</v>
      </c>
    </row>
    <row r="44040" spans="1:6" x14ac:dyDescent="0.25">
      <c r="A44040" s="2" t="str">
        <f t="shared" si="1377"/>
        <v>19220</v>
      </c>
      <c r="B44040" s="2" t="str">
        <f>"40409"</f>
        <v>40409</v>
      </c>
      <c r="C44040" s="1">
        <v>1.8730323197704501E-3</v>
      </c>
      <c r="D44040" s="1">
        <v>0</v>
      </c>
      <c r="E44040" s="1">
        <v>0</v>
      </c>
      <c r="F44040" s="1">
        <v>1.6806722689075601E-3</v>
      </c>
    </row>
    <row r="44041" spans="1:6" x14ac:dyDescent="0.25">
      <c r="A44041" s="2" t="str">
        <f t="shared" si="1377"/>
        <v>19220</v>
      </c>
      <c r="B44041" s="2" t="str">
        <f>"40328"</f>
        <v>40328</v>
      </c>
      <c r="C44041" s="1">
        <v>7.0537600127525604E-3</v>
      </c>
      <c r="D44041" s="1">
        <v>3.0975735673722201E-3</v>
      </c>
      <c r="E44041" s="1">
        <v>4.2780748663101597E-3</v>
      </c>
      <c r="F44041" s="1">
        <v>6.6869300911854097E-3</v>
      </c>
    </row>
    <row r="44042" spans="1:6" x14ac:dyDescent="0.25">
      <c r="A44042" s="2" t="str">
        <f t="shared" si="1377"/>
        <v>19220</v>
      </c>
      <c r="B44042" s="2" t="str">
        <f>"40452"</f>
        <v>40452</v>
      </c>
      <c r="C44042" s="1">
        <v>0</v>
      </c>
      <c r="D44042" s="1">
        <v>0</v>
      </c>
      <c r="E44042" s="1">
        <v>1.0695187165775399E-3</v>
      </c>
      <c r="F44042" s="1">
        <v>3.5758984444841698E-5</v>
      </c>
    </row>
    <row r="44043" spans="1:6" x14ac:dyDescent="0.25">
      <c r="A44043" s="2" t="str">
        <f t="shared" si="1377"/>
        <v>19220</v>
      </c>
      <c r="B44043" s="2" t="str">
        <f>"40419"</f>
        <v>40419</v>
      </c>
      <c r="C44043" s="1">
        <v>5.5513489817877397E-2</v>
      </c>
      <c r="D44043" s="1">
        <v>3.4073309241094397E-2</v>
      </c>
      <c r="E44043" s="1">
        <v>1.1764705882352899E-2</v>
      </c>
      <c r="F44043" s="1">
        <v>5.2565707133917297E-2</v>
      </c>
    </row>
    <row r="44044" spans="1:6" x14ac:dyDescent="0.25">
      <c r="A44044" s="2" t="str">
        <f t="shared" si="1377"/>
        <v>19220</v>
      </c>
      <c r="B44044" s="2" t="str">
        <f>"40448"</f>
        <v>40448</v>
      </c>
      <c r="C44044" s="1">
        <v>0</v>
      </c>
      <c r="D44044" s="1">
        <v>0</v>
      </c>
      <c r="E44044" s="1">
        <v>1.0695187165775399E-3</v>
      </c>
      <c r="F44044" s="1">
        <v>3.5758984444841698E-5</v>
      </c>
    </row>
    <row r="44045" spans="1:6" x14ac:dyDescent="0.25">
      <c r="A44045" s="2" t="str">
        <f t="shared" si="1377"/>
        <v>19220</v>
      </c>
      <c r="B44045" s="2" t="str">
        <f>"40444"</f>
        <v>40444</v>
      </c>
      <c r="C44045" s="1">
        <v>2.59036384649105E-3</v>
      </c>
      <c r="D44045" s="1">
        <v>1.0325245224574E-3</v>
      </c>
      <c r="E44045" s="1">
        <v>0</v>
      </c>
      <c r="F44045" s="1">
        <v>2.3958519578043901E-3</v>
      </c>
    </row>
    <row r="44046" spans="1:6" x14ac:dyDescent="0.25">
      <c r="A44046" s="2" t="str">
        <f t="shared" si="1377"/>
        <v>19220</v>
      </c>
      <c r="B44046" s="2" t="str">
        <f>"40422"</f>
        <v>40422</v>
      </c>
      <c r="C44046" s="1">
        <v>0.453393376638903</v>
      </c>
      <c r="D44046" s="1">
        <v>0.676819824470831</v>
      </c>
      <c r="E44046" s="1">
        <v>0.53262032085561395</v>
      </c>
      <c r="F44046" s="1">
        <v>0.471517968889683</v>
      </c>
    </row>
    <row r="44047" spans="1:6" x14ac:dyDescent="0.25">
      <c r="A44047" s="2" t="str">
        <f t="shared" si="1377"/>
        <v>19220</v>
      </c>
      <c r="B44047" s="2" t="str">
        <f>"40440"</f>
        <v>40440</v>
      </c>
      <c r="C44047" s="1">
        <v>4.1924042561670503E-2</v>
      </c>
      <c r="D44047" s="1">
        <v>2.11667527103768E-2</v>
      </c>
      <c r="E44047" s="1">
        <v>9.6256684491978599E-3</v>
      </c>
      <c r="F44047" s="1">
        <v>3.9406400858215597E-2</v>
      </c>
    </row>
    <row r="44048" spans="1:6" x14ac:dyDescent="0.25">
      <c r="A44048" s="2" t="str">
        <f t="shared" si="1377"/>
        <v>19220</v>
      </c>
      <c r="B44048" s="2" t="str">
        <f>"42567"</f>
        <v>42567</v>
      </c>
      <c r="C44048" s="1">
        <v>1.1517156179014E-2</v>
      </c>
      <c r="D44048" s="1">
        <v>1.5487867836861101E-3</v>
      </c>
      <c r="E44048" s="1">
        <v>8.5561497326203193E-3</v>
      </c>
      <c r="F44048" s="1">
        <v>1.0727695333452501E-2</v>
      </c>
    </row>
    <row r="44049" spans="1:6" x14ac:dyDescent="0.25">
      <c r="A44049" s="2" t="str">
        <f t="shared" si="1377"/>
        <v>19220</v>
      </c>
      <c r="B44049" s="2" t="str">
        <f>"40489"</f>
        <v>40489</v>
      </c>
      <c r="C44049" s="1">
        <v>6.9142788825568804E-2</v>
      </c>
      <c r="D44049" s="1">
        <v>3.0459473412493498E-2</v>
      </c>
      <c r="E44049" s="1">
        <v>3.8502673796791398E-2</v>
      </c>
      <c r="F44049" s="1">
        <v>6.5438941534060394E-2</v>
      </c>
    </row>
    <row r="44050" spans="1:6" x14ac:dyDescent="0.25">
      <c r="A44050" s="2" t="str">
        <f t="shared" si="1377"/>
        <v>19220</v>
      </c>
      <c r="B44050" s="2" t="str">
        <f>"40464"</f>
        <v>40464</v>
      </c>
      <c r="C44050" s="1">
        <v>1.9009285458095802E-2</v>
      </c>
      <c r="D44050" s="1">
        <v>0</v>
      </c>
      <c r="E44050" s="1">
        <v>1.0695187165775399E-3</v>
      </c>
      <c r="F44050" s="1">
        <v>1.7092794564634299E-2</v>
      </c>
    </row>
    <row r="44051" spans="1:6" x14ac:dyDescent="0.25">
      <c r="A44051" s="2" t="str">
        <f t="shared" si="1377"/>
        <v>19220</v>
      </c>
      <c r="B44051" s="2" t="str">
        <f>"40484"</f>
        <v>40484</v>
      </c>
      <c r="C44051" s="1">
        <v>0.22456461961503199</v>
      </c>
      <c r="D44051" s="1">
        <v>0.194630872483221</v>
      </c>
      <c r="E44051" s="1">
        <v>0.32941176470588202</v>
      </c>
      <c r="F44051" s="1">
        <v>0.225996781691399</v>
      </c>
    </row>
    <row r="44052" spans="1:6" x14ac:dyDescent="0.25">
      <c r="A44052" s="2" t="str">
        <f t="shared" si="1377"/>
        <v>19220</v>
      </c>
      <c r="B44052" s="2" t="str">
        <f>"40330"</f>
        <v>40330</v>
      </c>
      <c r="C44052" s="1">
        <v>1.19555254453433E-4</v>
      </c>
      <c r="D44052" s="1">
        <v>0</v>
      </c>
      <c r="E44052" s="1">
        <v>0</v>
      </c>
      <c r="F44052" s="1">
        <v>1.07276953334525E-4</v>
      </c>
    </row>
    <row r="44053" spans="1:6" x14ac:dyDescent="0.25">
      <c r="A44053" s="2" t="str">
        <f t="shared" ref="A44053:A44065" si="1378">"33180"</f>
        <v>33180</v>
      </c>
      <c r="B44053" s="2" t="str">
        <f>"40902"</f>
        <v>40902</v>
      </c>
      <c r="C44053" s="1">
        <v>3.2494424976107002E-2</v>
      </c>
      <c r="D44053" s="1">
        <v>4.7036688617121299E-3</v>
      </c>
      <c r="E44053" s="1">
        <v>3.6363636363636299E-3</v>
      </c>
      <c r="F44053" s="1">
        <v>2.9289293528124701E-2</v>
      </c>
    </row>
    <row r="44054" spans="1:6" x14ac:dyDescent="0.25">
      <c r="A44054" s="2" t="str">
        <f t="shared" si="1378"/>
        <v>33180</v>
      </c>
      <c r="B44054" s="2" t="str">
        <f>"40856"</f>
        <v>40856</v>
      </c>
      <c r="C44054" s="1">
        <v>2.7317617075501701E-2</v>
      </c>
      <c r="D44054" s="1">
        <v>4.7036688617121299E-3</v>
      </c>
      <c r="E44054" s="1">
        <v>1.8181818181818099E-3</v>
      </c>
      <c r="F44054" s="1">
        <v>2.4631237207989199E-2</v>
      </c>
    </row>
    <row r="44055" spans="1:6" x14ac:dyDescent="0.25">
      <c r="A44055" s="2" t="str">
        <f t="shared" si="1378"/>
        <v>33180</v>
      </c>
      <c r="B44055" s="2" t="str">
        <f>"40958"</f>
        <v>40958</v>
      </c>
      <c r="C44055" s="1">
        <v>1.99107996177126E-2</v>
      </c>
      <c r="D44055" s="1">
        <v>0</v>
      </c>
      <c r="E44055" s="1">
        <v>3.6363636363636299E-3</v>
      </c>
      <c r="F44055" s="1">
        <v>1.7785305949608199E-2</v>
      </c>
    </row>
    <row r="44056" spans="1:6" x14ac:dyDescent="0.25">
      <c r="A44056" s="2" t="str">
        <f t="shared" si="1378"/>
        <v>33180</v>
      </c>
      <c r="B44056" s="2" t="str">
        <f>"40913"</f>
        <v>40913</v>
      </c>
      <c r="C44056" s="1">
        <v>1.09907613889773E-2</v>
      </c>
      <c r="D44056" s="1">
        <v>7.52587017873941E-3</v>
      </c>
      <c r="E44056" s="1">
        <v>1.27272727272727E-2</v>
      </c>
      <c r="F44056" s="1">
        <v>1.0798221469404999E-2</v>
      </c>
    </row>
    <row r="44057" spans="1:6" x14ac:dyDescent="0.25">
      <c r="A44057" s="2" t="str">
        <f t="shared" si="1378"/>
        <v>33180</v>
      </c>
      <c r="B44057" s="2" t="str">
        <f>"40965"</f>
        <v>40965</v>
      </c>
      <c r="C44057" s="1">
        <v>0.51107040458744801</v>
      </c>
      <c r="D44057" s="1">
        <v>0.67826904985888903</v>
      </c>
      <c r="E44057" s="1">
        <v>0.71090909090909005</v>
      </c>
      <c r="F44057" s="1">
        <v>0.53137130355000295</v>
      </c>
    </row>
    <row r="44058" spans="1:6" x14ac:dyDescent="0.25">
      <c r="A44058" s="2" t="str">
        <f t="shared" si="1378"/>
        <v>33180</v>
      </c>
      <c r="B44058" s="2" t="str">
        <f>"40939"</f>
        <v>40939</v>
      </c>
      <c r="C44058" s="1">
        <v>1.0035043007327099E-2</v>
      </c>
      <c r="D44058" s="1">
        <v>3.7629350893696998E-3</v>
      </c>
      <c r="E44058" s="1">
        <v>1.8181818181818099E-3</v>
      </c>
      <c r="F44058" s="1">
        <v>9.2455360293598708E-3</v>
      </c>
    </row>
    <row r="44059" spans="1:6" x14ac:dyDescent="0.25">
      <c r="A44059" s="2" t="str">
        <f t="shared" si="1378"/>
        <v>33180</v>
      </c>
      <c r="B44059" s="2" t="str">
        <f>"40955"</f>
        <v>40955</v>
      </c>
      <c r="C44059" s="1">
        <v>0</v>
      </c>
      <c r="D44059" s="1">
        <v>0</v>
      </c>
      <c r="E44059" s="1">
        <v>1.8181818181818099E-3</v>
      </c>
      <c r="F44059" s="1">
        <v>7.0576610911144002E-5</v>
      </c>
    </row>
    <row r="44060" spans="1:6" x14ac:dyDescent="0.25">
      <c r="A44060" s="2" t="str">
        <f t="shared" si="1378"/>
        <v>33180</v>
      </c>
      <c r="B44060" s="2" t="str">
        <f>"40940"</f>
        <v>40940</v>
      </c>
      <c r="C44060" s="1">
        <v>1.44950621216948E-2</v>
      </c>
      <c r="D44060" s="1">
        <v>3.7629350893696998E-3</v>
      </c>
      <c r="E44060" s="1">
        <v>7.2727272727272701E-3</v>
      </c>
      <c r="F44060" s="1">
        <v>1.34095560731173E-2</v>
      </c>
    </row>
    <row r="44061" spans="1:6" x14ac:dyDescent="0.25">
      <c r="A44061" s="2" t="str">
        <f t="shared" si="1378"/>
        <v>33180</v>
      </c>
      <c r="B44061" s="2" t="str">
        <f>"40813"</f>
        <v>40813</v>
      </c>
      <c r="C44061" s="1">
        <v>1.97515132207709E-2</v>
      </c>
      <c r="D44061" s="1">
        <v>5.6444026340545603E-3</v>
      </c>
      <c r="E44061" s="1">
        <v>0.02</v>
      </c>
      <c r="F44061" s="1">
        <v>1.87028018914531E-2</v>
      </c>
    </row>
    <row r="44062" spans="1:6" x14ac:dyDescent="0.25">
      <c r="A44062" s="2" t="str">
        <f t="shared" si="1378"/>
        <v>33180</v>
      </c>
      <c r="B44062" s="2" t="str">
        <f>"40988"</f>
        <v>40988</v>
      </c>
      <c r="C44062" s="1">
        <v>1.91940108314749E-2</v>
      </c>
      <c r="D44062" s="1">
        <v>9.4073377234242701E-3</v>
      </c>
      <c r="E44062" s="1">
        <v>1.8181818181818101E-2</v>
      </c>
      <c r="F44062" s="1">
        <v>1.8420495447808501E-2</v>
      </c>
    </row>
    <row r="44063" spans="1:6" x14ac:dyDescent="0.25">
      <c r="A44063" s="2" t="str">
        <f t="shared" si="1378"/>
        <v>33180</v>
      </c>
      <c r="B44063" s="2" t="str">
        <f>"40930"</f>
        <v>40930</v>
      </c>
      <c r="C44063" s="1">
        <v>0</v>
      </c>
      <c r="D44063" s="1">
        <v>0</v>
      </c>
      <c r="E44063" s="1">
        <v>1.8181818181818099E-3</v>
      </c>
      <c r="F44063" s="1">
        <v>7.0576610911144002E-5</v>
      </c>
    </row>
    <row r="44064" spans="1:6" x14ac:dyDescent="0.25">
      <c r="A44064" s="2" t="str">
        <f t="shared" si="1378"/>
        <v>33180</v>
      </c>
      <c r="B44064" s="2" t="str">
        <f>"40977"</f>
        <v>40977</v>
      </c>
      <c r="C44064" s="1">
        <v>0.31817457789104803</v>
      </c>
      <c r="D44064" s="1">
        <v>0.27939793038569999</v>
      </c>
      <c r="E44064" s="1">
        <v>0.19818181818181799</v>
      </c>
      <c r="F44064" s="1">
        <v>0.31060766461994399</v>
      </c>
    </row>
    <row r="44065" spans="1:6" x14ac:dyDescent="0.25">
      <c r="A44065" s="2" t="str">
        <f t="shared" si="1378"/>
        <v>33180</v>
      </c>
      <c r="B44065" s="2" t="str">
        <f>"40845"</f>
        <v>40845</v>
      </c>
      <c r="C44065" s="1">
        <v>1.65657852819369E-2</v>
      </c>
      <c r="D44065" s="1">
        <v>2.8222013170272802E-3</v>
      </c>
      <c r="E44065" s="1">
        <v>1.8181818181818101E-2</v>
      </c>
      <c r="F44065" s="1">
        <v>1.55974310113628E-2</v>
      </c>
    </row>
    <row r="44066" spans="1:6" x14ac:dyDescent="0.25">
      <c r="A44066" s="2" t="str">
        <f t="shared" ref="A44066:A44082" si="1379">"16420"</f>
        <v>16420</v>
      </c>
      <c r="B44066" s="2" t="str">
        <f>"42325"</f>
        <v>42325</v>
      </c>
      <c r="C44066" s="1">
        <v>6.6504178272980496E-2</v>
      </c>
      <c r="D44066" s="1">
        <v>2.7718550106609799E-2</v>
      </c>
      <c r="E44066" s="1">
        <v>3.0651340996168501E-2</v>
      </c>
      <c r="F44066" s="1">
        <v>6.3564496432932702E-2</v>
      </c>
    </row>
    <row r="44067" spans="1:6" x14ac:dyDescent="0.25">
      <c r="A44067" s="2" t="str">
        <f t="shared" si="1379"/>
        <v>16420</v>
      </c>
      <c r="B44067" s="2" t="str">
        <f>"42372"</f>
        <v>42372</v>
      </c>
      <c r="C44067" s="1">
        <v>1.55292479108635E-2</v>
      </c>
      <c r="D44067" s="1">
        <v>1.06609808102345E-3</v>
      </c>
      <c r="E44067" s="1">
        <v>0</v>
      </c>
      <c r="F44067" s="1">
        <v>1.43968121344559E-2</v>
      </c>
    </row>
    <row r="44068" spans="1:6" x14ac:dyDescent="0.25">
      <c r="A44068" s="2" t="str">
        <f t="shared" si="1379"/>
        <v>16420</v>
      </c>
      <c r="B44068" s="2" t="str">
        <f>"42332"</f>
        <v>42332</v>
      </c>
      <c r="C44068" s="1">
        <v>0</v>
      </c>
      <c r="D44068" s="1">
        <v>0</v>
      </c>
      <c r="E44068" s="1">
        <v>3.83141762452107E-3</v>
      </c>
      <c r="F44068" s="1">
        <v>6.4271482743106796E-5</v>
      </c>
    </row>
    <row r="44069" spans="1:6" x14ac:dyDescent="0.25">
      <c r="A44069" s="2" t="str">
        <f t="shared" si="1379"/>
        <v>16420</v>
      </c>
      <c r="B44069" s="2" t="str">
        <f>"42344"</f>
        <v>42344</v>
      </c>
      <c r="C44069" s="1">
        <v>3.0362116991643401E-2</v>
      </c>
      <c r="D44069" s="1">
        <v>7.4626865671641703E-3</v>
      </c>
      <c r="E44069" s="1">
        <v>3.83141762452107E-3</v>
      </c>
      <c r="F44069" s="1">
        <v>2.8536538337939399E-2</v>
      </c>
    </row>
    <row r="44070" spans="1:6" x14ac:dyDescent="0.25">
      <c r="A44070" s="2" t="str">
        <f t="shared" si="1379"/>
        <v>16420</v>
      </c>
      <c r="B44070" s="2" t="str">
        <f>"42374"</f>
        <v>42374</v>
      </c>
      <c r="C44070" s="1">
        <v>0</v>
      </c>
      <c r="D44070" s="1">
        <v>0</v>
      </c>
      <c r="E44070" s="1">
        <v>3.83141762452107E-3</v>
      </c>
      <c r="F44070" s="1">
        <v>6.4271482743106796E-5</v>
      </c>
    </row>
    <row r="44071" spans="1:6" x14ac:dyDescent="0.25">
      <c r="A44071" s="2" t="str">
        <f t="shared" si="1379"/>
        <v>16420</v>
      </c>
      <c r="B44071" s="2" t="str">
        <f>"42337"</f>
        <v>42337</v>
      </c>
      <c r="C44071" s="1">
        <v>6.12116991643454E-2</v>
      </c>
      <c r="D44071" s="1">
        <v>2.3454157782515899E-2</v>
      </c>
      <c r="E44071" s="1">
        <v>4.9808429118773902E-2</v>
      </c>
      <c r="F44071" s="1">
        <v>5.8744135227199602E-2</v>
      </c>
    </row>
    <row r="44072" spans="1:6" x14ac:dyDescent="0.25">
      <c r="A44072" s="2" t="str">
        <f t="shared" si="1379"/>
        <v>16420</v>
      </c>
      <c r="B44072" s="2" t="str">
        <f>"42323"</f>
        <v>42323</v>
      </c>
      <c r="C44072" s="1">
        <v>2.3259052924791E-2</v>
      </c>
      <c r="D44072" s="1">
        <v>1.1727078891257899E-2</v>
      </c>
      <c r="E44072" s="1">
        <v>1.91570881226053E-2</v>
      </c>
      <c r="F44072" s="1">
        <v>2.2495018960087401E-2</v>
      </c>
    </row>
    <row r="44073" spans="1:6" x14ac:dyDescent="0.25">
      <c r="A44073" s="2" t="str">
        <f t="shared" si="1379"/>
        <v>16420</v>
      </c>
      <c r="B44073" s="2" t="str">
        <f>"42220"</f>
        <v>42220</v>
      </c>
      <c r="C44073" s="1">
        <v>1.5320334261838401E-3</v>
      </c>
      <c r="D44073" s="1">
        <v>0</v>
      </c>
      <c r="E44073" s="1">
        <v>0</v>
      </c>
      <c r="F44073" s="1">
        <v>1.41397262034835E-3</v>
      </c>
    </row>
    <row r="44074" spans="1:6" x14ac:dyDescent="0.25">
      <c r="A44074" s="2" t="str">
        <f t="shared" si="1379"/>
        <v>16420</v>
      </c>
      <c r="B44074" s="2" t="str">
        <f>"42345"</f>
        <v>42345</v>
      </c>
      <c r="C44074" s="1">
        <v>0.36350974930362101</v>
      </c>
      <c r="D44074" s="1">
        <v>0.41471215351812302</v>
      </c>
      <c r="E44074" s="1">
        <v>0.41762452107279602</v>
      </c>
      <c r="F44074" s="1">
        <v>0.367504338325085</v>
      </c>
    </row>
    <row r="44075" spans="1:6" x14ac:dyDescent="0.25">
      <c r="A44075" s="2" t="str">
        <f t="shared" si="1379"/>
        <v>16420</v>
      </c>
      <c r="B44075" s="2" t="str">
        <f>"42367"</f>
        <v>42367</v>
      </c>
      <c r="C44075" s="1">
        <v>3.3356545961002702E-2</v>
      </c>
      <c r="D44075" s="1">
        <v>7.7825159914712103E-2</v>
      </c>
      <c r="E44075" s="1">
        <v>1.91570881226053E-2</v>
      </c>
      <c r="F44075" s="1">
        <v>3.5799215887910497E-2</v>
      </c>
    </row>
    <row r="44076" spans="1:6" x14ac:dyDescent="0.25">
      <c r="A44076" s="2" t="str">
        <f t="shared" si="1379"/>
        <v>16420</v>
      </c>
      <c r="B44076" s="2" t="str">
        <f>"42321"</f>
        <v>42321</v>
      </c>
      <c r="C44076" s="1">
        <v>1.66434540389972E-2</v>
      </c>
      <c r="D44076" s="1">
        <v>4.2643923240938096E-3</v>
      </c>
      <c r="E44076" s="1">
        <v>1.1494252873563199E-2</v>
      </c>
      <c r="F44076" s="1">
        <v>1.58107847548042E-2</v>
      </c>
    </row>
    <row r="44077" spans="1:6" x14ac:dyDescent="0.25">
      <c r="A44077" s="2" t="str">
        <f t="shared" si="1379"/>
        <v>16420</v>
      </c>
      <c r="B44077" s="2" t="str">
        <f>"42464"</f>
        <v>42464</v>
      </c>
      <c r="C44077" s="1">
        <v>5.8495821727019403E-3</v>
      </c>
      <c r="D44077" s="1">
        <v>1.06609808102345E-3</v>
      </c>
      <c r="E44077" s="1">
        <v>1.1494252873563199E-2</v>
      </c>
      <c r="F44077" s="1">
        <v>5.6558904813934002E-3</v>
      </c>
    </row>
    <row r="44078" spans="1:6" x14ac:dyDescent="0.25">
      <c r="A44078" s="2" t="str">
        <f t="shared" si="1379"/>
        <v>16420</v>
      </c>
      <c r="B44078" s="2" t="str">
        <f>"42256"</f>
        <v>42256</v>
      </c>
      <c r="C44078" s="1">
        <v>3.6908077994428899E-3</v>
      </c>
      <c r="D44078" s="1">
        <v>0</v>
      </c>
      <c r="E44078" s="1">
        <v>0</v>
      </c>
      <c r="F44078" s="1">
        <v>3.4063885853846598E-3</v>
      </c>
    </row>
    <row r="44079" spans="1:6" x14ac:dyDescent="0.25">
      <c r="A44079" s="2" t="str">
        <f t="shared" si="1379"/>
        <v>16420</v>
      </c>
      <c r="B44079" s="2" t="str">
        <f>"42339"</f>
        <v>42339</v>
      </c>
      <c r="C44079" s="1">
        <v>3.1754874651810497E-2</v>
      </c>
      <c r="D44079" s="1">
        <v>6.3965884861407196E-3</v>
      </c>
      <c r="E44079" s="1">
        <v>7.66283524904214E-3</v>
      </c>
      <c r="F44079" s="1">
        <v>2.9821967992801499E-2</v>
      </c>
    </row>
    <row r="44080" spans="1:6" x14ac:dyDescent="0.25">
      <c r="A44080" s="2" t="str">
        <f t="shared" si="1379"/>
        <v>16420</v>
      </c>
      <c r="B44080" s="2" t="str">
        <f>"42330"</f>
        <v>42330</v>
      </c>
      <c r="C44080" s="1">
        <v>0.29944289693593301</v>
      </c>
      <c r="D44080" s="1">
        <v>0.41791044776119401</v>
      </c>
      <c r="E44080" s="1">
        <v>0.40613026819923298</v>
      </c>
      <c r="F44080" s="1">
        <v>0.308374574201426</v>
      </c>
    </row>
    <row r="44081" spans="1:6" x14ac:dyDescent="0.25">
      <c r="A44081" s="2" t="str">
        <f t="shared" si="1379"/>
        <v>16420</v>
      </c>
      <c r="B44081" s="2" t="str">
        <f>"42326"</f>
        <v>42326</v>
      </c>
      <c r="C44081" s="1">
        <v>9.6796657381615497E-3</v>
      </c>
      <c r="D44081" s="1">
        <v>1.06609808102345E-3</v>
      </c>
      <c r="E44081" s="1">
        <v>7.66283524904214E-3</v>
      </c>
      <c r="F44081" s="1">
        <v>9.1265505495211705E-3</v>
      </c>
    </row>
    <row r="44082" spans="1:6" x14ac:dyDescent="0.25">
      <c r="A44082" s="2" t="str">
        <f t="shared" si="1379"/>
        <v>16420</v>
      </c>
      <c r="B44082" s="2" t="str">
        <f>"42324"</f>
        <v>42324</v>
      </c>
      <c r="C44082" s="1">
        <v>3.7674094707520797E-2</v>
      </c>
      <c r="D44082" s="1">
        <v>5.3304904051172698E-3</v>
      </c>
      <c r="E44082" s="1">
        <v>7.66283524904214E-3</v>
      </c>
      <c r="F44082" s="1">
        <v>3.5220772543222499E-2</v>
      </c>
    </row>
    <row r="44083" spans="1:6" x14ac:dyDescent="0.25">
      <c r="A44083" s="2" t="str">
        <f t="shared" ref="A44083:A44104" si="1380">"43380"</f>
        <v>43380</v>
      </c>
      <c r="B44083" s="2" t="str">
        <f>"45363"</f>
        <v>45363</v>
      </c>
      <c r="C44083" s="1">
        <v>3.00353356890459E-2</v>
      </c>
      <c r="D44083" s="1">
        <v>2.0190023752969102E-2</v>
      </c>
      <c r="E44083" s="1">
        <v>1.7408123791102501E-2</v>
      </c>
      <c r="F44083" s="1">
        <v>2.90606942511282E-2</v>
      </c>
    </row>
    <row r="44084" spans="1:6" x14ac:dyDescent="0.25">
      <c r="A44084" s="2" t="str">
        <f t="shared" si="1380"/>
        <v>43380</v>
      </c>
      <c r="B44084" s="2" t="str">
        <f>"45380"</f>
        <v>45380</v>
      </c>
      <c r="C44084" s="1">
        <v>1.3948298307606401E-4</v>
      </c>
      <c r="D44084" s="1">
        <v>0</v>
      </c>
      <c r="E44084" s="1">
        <v>0</v>
      </c>
      <c r="F44084" s="1">
        <v>1.2653422750854101E-4</v>
      </c>
    </row>
    <row r="44085" spans="1:6" x14ac:dyDescent="0.25">
      <c r="A44085" s="2" t="str">
        <f t="shared" si="1380"/>
        <v>43380</v>
      </c>
      <c r="B44085" s="2" t="str">
        <f>"45356"</f>
        <v>45356</v>
      </c>
      <c r="C44085" s="1">
        <v>1.2553468476845801E-2</v>
      </c>
      <c r="D44085" s="1">
        <v>4.75059382422802E-3</v>
      </c>
      <c r="E44085" s="1">
        <v>0</v>
      </c>
      <c r="F44085" s="1">
        <v>1.17255050824581E-2</v>
      </c>
    </row>
    <row r="44086" spans="1:6" x14ac:dyDescent="0.25">
      <c r="A44086" s="2" t="str">
        <f t="shared" si="1380"/>
        <v>43380</v>
      </c>
      <c r="B44086" s="2" t="str">
        <f>"45365"</f>
        <v>45365</v>
      </c>
      <c r="C44086" s="1">
        <v>0.65640691835595999</v>
      </c>
      <c r="D44086" s="1">
        <v>0.76840855106888295</v>
      </c>
      <c r="E44086" s="1">
        <v>0.79110251450676905</v>
      </c>
      <c r="F44086" s="1">
        <v>0.66729933780420903</v>
      </c>
    </row>
    <row r="44087" spans="1:6" x14ac:dyDescent="0.25">
      <c r="A44087" s="2" t="str">
        <f t="shared" si="1380"/>
        <v>43380</v>
      </c>
      <c r="B44087" s="2" t="str">
        <f>"45353"</f>
        <v>45353</v>
      </c>
      <c r="C44087" s="1">
        <v>0</v>
      </c>
      <c r="D44087" s="1">
        <v>5.9382422802850305E-4</v>
      </c>
      <c r="E44087" s="1">
        <v>0</v>
      </c>
      <c r="F44087" s="1">
        <v>4.2178075836180301E-5</v>
      </c>
    </row>
    <row r="44088" spans="1:6" x14ac:dyDescent="0.25">
      <c r="A44088" s="2" t="str">
        <f t="shared" si="1380"/>
        <v>43380</v>
      </c>
      <c r="B44088" s="2" t="str">
        <f>"45340"</f>
        <v>45340</v>
      </c>
      <c r="C44088" s="1">
        <v>1.49246791891389E-2</v>
      </c>
      <c r="D44088" s="1">
        <v>1.7814726840855099E-3</v>
      </c>
      <c r="E44088" s="1">
        <v>0</v>
      </c>
      <c r="F44088" s="1">
        <v>1.3665696570922399E-2</v>
      </c>
    </row>
    <row r="44089" spans="1:6" x14ac:dyDescent="0.25">
      <c r="A44089" s="2" t="str">
        <f t="shared" si="1380"/>
        <v>43380</v>
      </c>
      <c r="B44089" s="2" t="str">
        <f>"45317"</f>
        <v>45317</v>
      </c>
      <c r="C44089" s="1">
        <v>1.58080714152873E-3</v>
      </c>
      <c r="D44089" s="1">
        <v>5.9382422802850305E-4</v>
      </c>
      <c r="E44089" s="1">
        <v>0</v>
      </c>
      <c r="F44089" s="1">
        <v>1.47623265426631E-3</v>
      </c>
    </row>
    <row r="44090" spans="1:6" x14ac:dyDescent="0.25">
      <c r="A44090" s="2" t="str">
        <f t="shared" si="1380"/>
        <v>43380</v>
      </c>
      <c r="B44090" s="2" t="str">
        <f>"43343"</f>
        <v>43343</v>
      </c>
      <c r="C44090" s="1">
        <v>4.64943276920215E-4</v>
      </c>
      <c r="D44090" s="1">
        <v>0</v>
      </c>
      <c r="E44090" s="1">
        <v>0</v>
      </c>
      <c r="F44090" s="1">
        <v>4.2178075836180301E-4</v>
      </c>
    </row>
    <row r="44091" spans="1:6" x14ac:dyDescent="0.25">
      <c r="A44091" s="2" t="str">
        <f t="shared" si="1380"/>
        <v>43380</v>
      </c>
      <c r="B44091" s="2" t="str">
        <f>"45869"</f>
        <v>45869</v>
      </c>
      <c r="C44091" s="1">
        <v>1.81327877998884E-3</v>
      </c>
      <c r="D44091" s="1">
        <v>0</v>
      </c>
      <c r="E44091" s="1">
        <v>0</v>
      </c>
      <c r="F44091" s="1">
        <v>1.6449449576110299E-3</v>
      </c>
    </row>
    <row r="44092" spans="1:6" x14ac:dyDescent="0.25">
      <c r="A44092" s="2" t="str">
        <f t="shared" si="1380"/>
        <v>43380</v>
      </c>
      <c r="B44092" s="2" t="str">
        <f>"45334"</f>
        <v>45334</v>
      </c>
      <c r="C44092" s="1">
        <v>3.81718430351497E-2</v>
      </c>
      <c r="D44092" s="1">
        <v>4.0973871733966702E-2</v>
      </c>
      <c r="E44092" s="1">
        <v>7.7369439071566697E-3</v>
      </c>
      <c r="F44092" s="1">
        <v>3.77071997975452E-2</v>
      </c>
    </row>
    <row r="44093" spans="1:6" x14ac:dyDescent="0.25">
      <c r="A44093" s="2" t="str">
        <f t="shared" si="1380"/>
        <v>43380</v>
      </c>
      <c r="B44093" s="2" t="str">
        <f>"45333"</f>
        <v>45333</v>
      </c>
      <c r="C44093" s="1">
        <v>2.7013204389064498E-2</v>
      </c>
      <c r="D44093" s="1">
        <v>1.1282660332541499E-2</v>
      </c>
      <c r="E44093" s="1">
        <v>3.8684719535783301E-3</v>
      </c>
      <c r="F44093" s="1">
        <v>2.5391201653380501E-2</v>
      </c>
    </row>
    <row r="44094" spans="1:6" x14ac:dyDescent="0.25">
      <c r="A44094" s="2" t="str">
        <f t="shared" si="1380"/>
        <v>43380</v>
      </c>
      <c r="B44094" s="2" t="str">
        <f>"45865"</f>
        <v>45865</v>
      </c>
      <c r="C44094" s="1">
        <v>3.1616142830574602E-2</v>
      </c>
      <c r="D44094" s="1">
        <v>8.3135391923990394E-3</v>
      </c>
      <c r="E44094" s="1">
        <v>3.8684719535783301E-3</v>
      </c>
      <c r="F44094" s="1">
        <v>2.9355940781981501E-2</v>
      </c>
    </row>
    <row r="44095" spans="1:6" x14ac:dyDescent="0.25">
      <c r="A44095" s="2" t="str">
        <f t="shared" si="1380"/>
        <v>43380</v>
      </c>
      <c r="B44095" s="2" t="str">
        <f>"45845"</f>
        <v>45845</v>
      </c>
      <c r="C44095" s="1">
        <v>5.7606472010414703E-2</v>
      </c>
      <c r="D44095" s="1">
        <v>4.8693586698337198E-2</v>
      </c>
      <c r="E44095" s="1">
        <v>4.8355899419729197E-2</v>
      </c>
      <c r="F44095" s="1">
        <v>5.6771690075498697E-2</v>
      </c>
    </row>
    <row r="44096" spans="1:6" x14ac:dyDescent="0.25">
      <c r="A44096" s="2" t="str">
        <f t="shared" si="1380"/>
        <v>43380</v>
      </c>
      <c r="B44096" s="2" t="str">
        <f>"45388"</f>
        <v>45388</v>
      </c>
      <c r="C44096" s="1">
        <v>2.3247163846010701E-4</v>
      </c>
      <c r="D44096" s="1">
        <v>0</v>
      </c>
      <c r="E44096" s="1">
        <v>0</v>
      </c>
      <c r="F44096" s="1">
        <v>2.1089037918090099E-4</v>
      </c>
    </row>
    <row r="44097" spans="1:6" x14ac:dyDescent="0.25">
      <c r="A44097" s="2" t="str">
        <f t="shared" si="1380"/>
        <v>43380</v>
      </c>
      <c r="B44097" s="2" t="str">
        <f>"45302"</f>
        <v>45302</v>
      </c>
      <c r="C44097" s="1">
        <v>7.8017481867212204E-2</v>
      </c>
      <c r="D44097" s="1">
        <v>5.4631828978622302E-2</v>
      </c>
      <c r="E44097" s="1">
        <v>7.15667311411992E-2</v>
      </c>
      <c r="F44097" s="1">
        <v>7.6215783035977799E-2</v>
      </c>
    </row>
    <row r="44098" spans="1:6" x14ac:dyDescent="0.25">
      <c r="A44098" s="2" t="str">
        <f t="shared" si="1380"/>
        <v>43380</v>
      </c>
      <c r="B44098" s="2" t="str">
        <f>"45895"</f>
        <v>45895</v>
      </c>
      <c r="C44098" s="1">
        <v>7.9040357076436596E-4</v>
      </c>
      <c r="D44098" s="1">
        <v>0</v>
      </c>
      <c r="E44098" s="1">
        <v>0</v>
      </c>
      <c r="F44098" s="1">
        <v>7.1702728921506603E-4</v>
      </c>
    </row>
    <row r="44099" spans="1:6" x14ac:dyDescent="0.25">
      <c r="A44099" s="2" t="str">
        <f t="shared" si="1380"/>
        <v>43380</v>
      </c>
      <c r="B44099" s="2" t="str">
        <f>"45871"</f>
        <v>45871</v>
      </c>
      <c r="C44099" s="1">
        <v>4.0450065092058696E-3</v>
      </c>
      <c r="D44099" s="1">
        <v>0</v>
      </c>
      <c r="E44099" s="1">
        <v>0</v>
      </c>
      <c r="F44099" s="1">
        <v>3.6694925977476902E-3</v>
      </c>
    </row>
    <row r="44100" spans="1:6" x14ac:dyDescent="0.25">
      <c r="A44100" s="2" t="str">
        <f t="shared" si="1380"/>
        <v>43380</v>
      </c>
      <c r="B44100" s="2" t="str">
        <f>"45367"</f>
        <v>45367</v>
      </c>
      <c r="C44100" s="1">
        <v>0</v>
      </c>
      <c r="D44100" s="1">
        <v>0</v>
      </c>
      <c r="E44100" s="1">
        <v>1.9342359767891601E-3</v>
      </c>
      <c r="F44100" s="1">
        <v>4.2178075836180301E-5</v>
      </c>
    </row>
    <row r="44101" spans="1:6" x14ac:dyDescent="0.25">
      <c r="A44101" s="2" t="str">
        <f t="shared" si="1380"/>
        <v>43380</v>
      </c>
      <c r="B44101" s="2" t="str">
        <f>"45360"</f>
        <v>45360</v>
      </c>
      <c r="C44101" s="1">
        <v>5.0678817184303497E-3</v>
      </c>
      <c r="D44101" s="1">
        <v>5.9382422802850305E-4</v>
      </c>
      <c r="E44101" s="1">
        <v>0</v>
      </c>
      <c r="F44101" s="1">
        <v>4.6395883419798299E-3</v>
      </c>
    </row>
    <row r="44102" spans="1:6" x14ac:dyDescent="0.25">
      <c r="A44102" s="2" t="str">
        <f t="shared" si="1380"/>
        <v>43380</v>
      </c>
      <c r="B44102" s="2" t="str">
        <f>"45336"</f>
        <v>45336</v>
      </c>
      <c r="C44102" s="1">
        <v>4.64943276920215E-5</v>
      </c>
      <c r="D44102" s="1">
        <v>5.9382422802850305E-4</v>
      </c>
      <c r="E44102" s="1">
        <v>0</v>
      </c>
      <c r="F44102" s="1">
        <v>8.4356151672360696E-5</v>
      </c>
    </row>
    <row r="44103" spans="1:6" x14ac:dyDescent="0.25">
      <c r="A44103" s="2" t="str">
        <f t="shared" si="1380"/>
        <v>43380</v>
      </c>
      <c r="B44103" s="2" t="str">
        <f>"45326"</f>
        <v>45326</v>
      </c>
      <c r="C44103" s="1">
        <v>4.64943276920215E-5</v>
      </c>
      <c r="D44103" s="1">
        <v>0</v>
      </c>
      <c r="E44103" s="1">
        <v>0</v>
      </c>
      <c r="F44103" s="1">
        <v>4.2178075836180301E-5</v>
      </c>
    </row>
    <row r="44104" spans="1:6" x14ac:dyDescent="0.25">
      <c r="A44104" s="2" t="str">
        <f t="shared" si="1380"/>
        <v>43380</v>
      </c>
      <c r="B44104" s="2" t="str">
        <f>"45306"</f>
        <v>45306</v>
      </c>
      <c r="C44104" s="1">
        <v>3.9427189882834203E-2</v>
      </c>
      <c r="D44104" s="1">
        <v>3.8598574821852701E-2</v>
      </c>
      <c r="E44104" s="1">
        <v>5.4158607350096699E-2</v>
      </c>
      <c r="F44104" s="1">
        <v>3.96895693618457E-2</v>
      </c>
    </row>
    <row r="44105" spans="1:6" x14ac:dyDescent="0.25">
      <c r="A44105" s="2" t="str">
        <f t="shared" ref="A44105:A44142" si="1381">"48260"</f>
        <v>48260</v>
      </c>
      <c r="B44105" s="2" t="str">
        <f>"43945"</f>
        <v>43945</v>
      </c>
      <c r="C44105" s="1">
        <v>1.26055298469091E-3</v>
      </c>
      <c r="D44105" s="1">
        <v>6.1149612719119399E-4</v>
      </c>
      <c r="E44105" s="1">
        <v>0</v>
      </c>
      <c r="F44105" s="1">
        <v>1.1848874356936E-3</v>
      </c>
    </row>
    <row r="44106" spans="1:6" x14ac:dyDescent="0.25">
      <c r="A44106" s="2" t="str">
        <f t="shared" si="1381"/>
        <v>48260</v>
      </c>
      <c r="B44106" s="2" t="str">
        <f>"43926"</f>
        <v>43926</v>
      </c>
      <c r="C44106" s="1">
        <v>1.65862234827752E-5</v>
      </c>
      <c r="D44106" s="1">
        <v>0</v>
      </c>
      <c r="E44106" s="1">
        <v>6.7750677506775003E-4</v>
      </c>
      <c r="F44106" s="1">
        <v>2.99971502707242E-5</v>
      </c>
    </row>
    <row r="44107" spans="1:6" x14ac:dyDescent="0.25">
      <c r="A44107" s="2" t="str">
        <f t="shared" si="1381"/>
        <v>48260</v>
      </c>
      <c r="B44107" s="2" t="str">
        <f>"43932"</f>
        <v>43932</v>
      </c>
      <c r="C44107" s="1">
        <v>5.6724884311091196E-3</v>
      </c>
      <c r="D44107" s="1">
        <v>6.1149612719119399E-4</v>
      </c>
      <c r="E44107" s="1">
        <v>6.7750677506775003E-4</v>
      </c>
      <c r="F44107" s="1">
        <v>5.1895069968353E-3</v>
      </c>
    </row>
    <row r="44108" spans="1:6" x14ac:dyDescent="0.25">
      <c r="A44108" s="2" t="str">
        <f t="shared" si="1381"/>
        <v>48260</v>
      </c>
      <c r="B44108" s="2" t="str">
        <f>"43913"</f>
        <v>43913</v>
      </c>
      <c r="C44108" s="1">
        <v>1.3600703255875601E-2</v>
      </c>
      <c r="D44108" s="1">
        <v>1.01916021198532E-2</v>
      </c>
      <c r="E44108" s="1">
        <v>1.2872628726287199E-2</v>
      </c>
      <c r="F44108" s="1">
        <v>1.3333733295336899E-2</v>
      </c>
    </row>
    <row r="44109" spans="1:6" x14ac:dyDescent="0.25">
      <c r="A44109" s="2" t="str">
        <f t="shared" si="1381"/>
        <v>48260</v>
      </c>
      <c r="B44109" s="2" t="str">
        <f>"26032"</f>
        <v>26032</v>
      </c>
      <c r="C44109" s="1">
        <v>2.45476107545073E-3</v>
      </c>
      <c r="D44109" s="1">
        <v>8.1532816958825895E-4</v>
      </c>
      <c r="E44109" s="1">
        <v>1.3550135501355001E-3</v>
      </c>
      <c r="F44109" s="1">
        <v>2.30978057084576E-3</v>
      </c>
    </row>
    <row r="44110" spans="1:6" x14ac:dyDescent="0.25">
      <c r="A44110" s="2" t="str">
        <f t="shared" si="1381"/>
        <v>48260</v>
      </c>
      <c r="B44110" s="2" t="str">
        <f>"26062"</f>
        <v>26062</v>
      </c>
      <c r="C44110" s="1">
        <v>0.18800484317725599</v>
      </c>
      <c r="D44110" s="1">
        <v>0.23501834488381501</v>
      </c>
      <c r="E44110" s="1">
        <v>0.21747967479674701</v>
      </c>
      <c r="F44110" s="1">
        <v>0.192116748908853</v>
      </c>
    </row>
    <row r="44111" spans="1:6" x14ac:dyDescent="0.25">
      <c r="A44111" s="2" t="str">
        <f t="shared" si="1381"/>
        <v>48260</v>
      </c>
      <c r="B44111" s="2" t="str">
        <f>"43952"</f>
        <v>43952</v>
      </c>
      <c r="C44111" s="1">
        <v>0.17362458741768999</v>
      </c>
      <c r="D44111" s="1">
        <v>0.30799021606196397</v>
      </c>
      <c r="E44111" s="1">
        <v>0.26829268292682901</v>
      </c>
      <c r="F44111" s="1">
        <v>0.18560736730010599</v>
      </c>
    </row>
    <row r="44112" spans="1:6" x14ac:dyDescent="0.25">
      <c r="A44112" s="2" t="str">
        <f t="shared" si="1381"/>
        <v>48260</v>
      </c>
      <c r="B44112" s="2" t="str">
        <f>"43908"</f>
        <v>43908</v>
      </c>
      <c r="C44112" s="1">
        <v>6.70083428704118E-3</v>
      </c>
      <c r="D44112" s="1">
        <v>3.0574806359559702E-3</v>
      </c>
      <c r="E44112" s="1">
        <v>6.7750677506775003E-4</v>
      </c>
      <c r="F44112" s="1">
        <v>6.2994015568520901E-3</v>
      </c>
    </row>
    <row r="44113" spans="1:6" x14ac:dyDescent="0.25">
      <c r="A44113" s="2" t="str">
        <f t="shared" si="1381"/>
        <v>48260</v>
      </c>
      <c r="B44113" s="2" t="str">
        <f>"43901"</f>
        <v>43901</v>
      </c>
      <c r="C44113" s="1">
        <v>1.20084258015292E-2</v>
      </c>
      <c r="D44113" s="1">
        <v>4.6881369751324902E-3</v>
      </c>
      <c r="E44113" s="1">
        <v>4.7425474254742502E-3</v>
      </c>
      <c r="F44113" s="1">
        <v>1.1308925652063E-2</v>
      </c>
    </row>
    <row r="44114" spans="1:6" x14ac:dyDescent="0.25">
      <c r="A44114" s="2" t="str">
        <f t="shared" si="1381"/>
        <v>48260</v>
      </c>
      <c r="B44114" s="2" t="str">
        <f>"26030"</f>
        <v>26030</v>
      </c>
      <c r="C44114" s="1">
        <v>0</v>
      </c>
      <c r="D44114" s="1">
        <v>0</v>
      </c>
      <c r="E44114" s="1">
        <v>6.0975609756097502E-3</v>
      </c>
      <c r="F44114" s="1">
        <v>1.3498717621825899E-4</v>
      </c>
    </row>
    <row r="44115" spans="1:6" x14ac:dyDescent="0.25">
      <c r="A44115" s="2" t="str">
        <f t="shared" si="1381"/>
        <v>48260</v>
      </c>
      <c r="B44115" s="2" t="str">
        <f>"26035"</f>
        <v>26035</v>
      </c>
      <c r="C44115" s="1">
        <v>2.01854339785374E-2</v>
      </c>
      <c r="D44115" s="1">
        <v>8.9686098654708502E-3</v>
      </c>
      <c r="E44115" s="1">
        <v>6.7750677506775003E-3</v>
      </c>
      <c r="F44115" s="1">
        <v>1.9063188997045202E-2</v>
      </c>
    </row>
    <row r="44116" spans="1:6" x14ac:dyDescent="0.25">
      <c r="A44116" s="2" t="str">
        <f t="shared" si="1381"/>
        <v>48260</v>
      </c>
      <c r="B44116" s="2" t="str">
        <f>"26003"</f>
        <v>26003</v>
      </c>
      <c r="C44116" s="1">
        <v>7.2979383324210895E-4</v>
      </c>
      <c r="D44116" s="1">
        <v>2.03832042397064E-4</v>
      </c>
      <c r="E44116" s="1">
        <v>0</v>
      </c>
      <c r="F44116" s="1">
        <v>6.7493588109129605E-4</v>
      </c>
    </row>
    <row r="44117" spans="1:6" x14ac:dyDescent="0.25">
      <c r="A44117" s="2" t="str">
        <f t="shared" si="1381"/>
        <v>48260</v>
      </c>
      <c r="B44117" s="2" t="str">
        <f>"26070"</f>
        <v>26070</v>
      </c>
      <c r="C44117" s="1">
        <v>7.0325587566966802E-2</v>
      </c>
      <c r="D44117" s="1">
        <v>7.3175703220546201E-2</v>
      </c>
      <c r="E44117" s="1">
        <v>6.0975609756097497E-2</v>
      </c>
      <c r="F44117" s="1">
        <v>7.0328318809713006E-2</v>
      </c>
    </row>
    <row r="44118" spans="1:6" x14ac:dyDescent="0.25">
      <c r="A44118" s="2" t="str">
        <f t="shared" si="1381"/>
        <v>48260</v>
      </c>
      <c r="B44118" s="2" t="str">
        <f>"43971"</f>
        <v>43971</v>
      </c>
      <c r="C44118" s="1">
        <v>6.6676618400756298E-3</v>
      </c>
      <c r="D44118" s="1">
        <v>9.9877700774561699E-3</v>
      </c>
      <c r="E44118" s="1">
        <v>1.5582655826558199E-2</v>
      </c>
      <c r="F44118" s="1">
        <v>7.1093246141616497E-3</v>
      </c>
    </row>
    <row r="44119" spans="1:6" x14ac:dyDescent="0.25">
      <c r="A44119" s="2" t="str">
        <f t="shared" si="1381"/>
        <v>48260</v>
      </c>
      <c r="B44119" s="2" t="str">
        <f>"43964"</f>
        <v>43964</v>
      </c>
      <c r="C44119" s="1">
        <v>7.8204043721285102E-2</v>
      </c>
      <c r="D44119" s="1">
        <v>5.2996331023236802E-2</v>
      </c>
      <c r="E44119" s="1">
        <v>3.86178861788617E-2</v>
      </c>
      <c r="F44119" s="1">
        <v>7.5472830081142195E-2</v>
      </c>
    </row>
    <row r="44120" spans="1:6" x14ac:dyDescent="0.25">
      <c r="A44120" s="2" t="str">
        <f t="shared" si="1381"/>
        <v>48260</v>
      </c>
      <c r="B44120" s="2" t="str">
        <f>"43953"</f>
        <v>43953</v>
      </c>
      <c r="C44120" s="1">
        <v>9.8870478180822993E-2</v>
      </c>
      <c r="D44120" s="1">
        <v>9.74317162657969E-2</v>
      </c>
      <c r="E44120" s="1">
        <v>0.12737127371273699</v>
      </c>
      <c r="F44120" s="1">
        <v>9.9395557422044895E-2</v>
      </c>
    </row>
    <row r="44121" spans="1:6" x14ac:dyDescent="0.25">
      <c r="A44121" s="2" t="str">
        <f t="shared" si="1381"/>
        <v>48260</v>
      </c>
      <c r="B44121" s="2" t="str">
        <f>"43943"</f>
        <v>43943</v>
      </c>
      <c r="C44121" s="1">
        <v>2.5824749962680901E-2</v>
      </c>
      <c r="D44121" s="1">
        <v>3.4651447207501001E-3</v>
      </c>
      <c r="E44121" s="1">
        <v>2.0325203252032501E-3</v>
      </c>
      <c r="F44121" s="1">
        <v>2.3652752988465999E-2</v>
      </c>
    </row>
    <row r="44122" spans="1:6" x14ac:dyDescent="0.25">
      <c r="A44122" s="2" t="str">
        <f t="shared" si="1381"/>
        <v>48260</v>
      </c>
      <c r="B44122" s="2" t="str">
        <f>"43917"</f>
        <v>43917</v>
      </c>
      <c r="C44122" s="1">
        <v>1.6851603058499601E-2</v>
      </c>
      <c r="D44122" s="1">
        <v>4.2804728903383599E-3</v>
      </c>
      <c r="E44122" s="1">
        <v>6.7750677506775003E-4</v>
      </c>
      <c r="F44122" s="1">
        <v>1.55685209905059E-2</v>
      </c>
    </row>
    <row r="44123" spans="1:6" x14ac:dyDescent="0.25">
      <c r="A44123" s="2" t="str">
        <f t="shared" si="1381"/>
        <v>48260</v>
      </c>
      <c r="B44123" s="2" t="str">
        <f>"43939"</f>
        <v>43939</v>
      </c>
      <c r="C44123" s="1">
        <v>1.65862234827752E-5</v>
      </c>
      <c r="D44123" s="1">
        <v>0</v>
      </c>
      <c r="E44123" s="1">
        <v>6.7750677506775003E-4</v>
      </c>
      <c r="F44123" s="1">
        <v>2.99971502707242E-5</v>
      </c>
    </row>
    <row r="44124" spans="1:6" x14ac:dyDescent="0.25">
      <c r="A44124" s="2" t="str">
        <f t="shared" si="1381"/>
        <v>48260</v>
      </c>
      <c r="B44124" s="2" t="str">
        <f>"43930"</f>
        <v>43930</v>
      </c>
      <c r="C44124" s="1">
        <v>4.72707369259093E-3</v>
      </c>
      <c r="D44124" s="1">
        <v>1.01916021198532E-3</v>
      </c>
      <c r="E44124" s="1">
        <v>6.7750677506775003E-4</v>
      </c>
      <c r="F44124" s="1">
        <v>4.3645853643903797E-3</v>
      </c>
    </row>
    <row r="44125" spans="1:6" x14ac:dyDescent="0.25">
      <c r="A44125" s="2" t="str">
        <f t="shared" si="1381"/>
        <v>48260</v>
      </c>
      <c r="B44125" s="2" t="str">
        <f>"43944"</f>
        <v>43944</v>
      </c>
      <c r="C44125" s="1">
        <v>1.8344363171949301E-2</v>
      </c>
      <c r="D44125" s="1">
        <v>6.9302894415002002E-3</v>
      </c>
      <c r="E44125" s="1">
        <v>7.4525745257452503E-3</v>
      </c>
      <c r="F44125" s="1">
        <v>1.72633599808018E-2</v>
      </c>
    </row>
    <row r="44126" spans="1:6" x14ac:dyDescent="0.25">
      <c r="A44126" s="2" t="str">
        <f t="shared" si="1381"/>
        <v>48260</v>
      </c>
      <c r="B44126" s="2" t="str">
        <f>"43948"</f>
        <v>43948</v>
      </c>
      <c r="C44126" s="1">
        <v>4.9758670448325601E-5</v>
      </c>
      <c r="D44126" s="1">
        <v>0</v>
      </c>
      <c r="E44126" s="1">
        <v>6.7750677506775003E-4</v>
      </c>
      <c r="F44126" s="1">
        <v>5.9994300541448501E-5</v>
      </c>
    </row>
    <row r="44127" spans="1:6" x14ac:dyDescent="0.25">
      <c r="A44127" s="2" t="str">
        <f t="shared" si="1381"/>
        <v>48260</v>
      </c>
      <c r="B44127" s="2" t="str">
        <f>"43963"</f>
        <v>43963</v>
      </c>
      <c r="C44127" s="1">
        <v>1.12952181917699E-2</v>
      </c>
      <c r="D44127" s="1">
        <v>9.3762739502649805E-3</v>
      </c>
      <c r="E44127" s="1">
        <v>1.8970189701897001E-2</v>
      </c>
      <c r="F44127" s="1">
        <v>1.13239242271984E-2</v>
      </c>
    </row>
    <row r="44128" spans="1:6" x14ac:dyDescent="0.25">
      <c r="A44128" s="2" t="str">
        <f t="shared" si="1381"/>
        <v>48260</v>
      </c>
      <c r="B44128" s="2" t="str">
        <f>"26037"</f>
        <v>26037</v>
      </c>
      <c r="C44128" s="1">
        <v>6.3409132374649596E-2</v>
      </c>
      <c r="D44128" s="1">
        <v>5.5238483489604501E-2</v>
      </c>
      <c r="E44128" s="1">
        <v>6.5040650406504003E-2</v>
      </c>
      <c r="F44128" s="1">
        <v>6.2844029817167302E-2</v>
      </c>
    </row>
    <row r="44129" spans="1:6" x14ac:dyDescent="0.25">
      <c r="A44129" s="2" t="str">
        <f t="shared" si="1381"/>
        <v>48260</v>
      </c>
      <c r="B44129" s="2" t="str">
        <f>"26050"</f>
        <v>26050</v>
      </c>
      <c r="C44129" s="1">
        <v>1.34680134680134E-2</v>
      </c>
      <c r="D44129" s="1">
        <v>1.5083571137382699E-2</v>
      </c>
      <c r="E44129" s="1">
        <v>1.4227642276422699E-2</v>
      </c>
      <c r="F44129" s="1">
        <v>1.36037076477734E-2</v>
      </c>
    </row>
    <row r="44130" spans="1:6" x14ac:dyDescent="0.25">
      <c r="A44130" s="2" t="str">
        <f t="shared" si="1381"/>
        <v>48260</v>
      </c>
      <c r="B44130" s="2" t="str">
        <f>"26047"</f>
        <v>26047</v>
      </c>
      <c r="C44130" s="1">
        <v>4.6739977774460498E-2</v>
      </c>
      <c r="D44130" s="1">
        <v>1.65103954341622E-2</v>
      </c>
      <c r="E44130" s="1">
        <v>1.7615176151761499E-2</v>
      </c>
      <c r="F44130" s="1">
        <v>4.3870832270934197E-2</v>
      </c>
    </row>
    <row r="44131" spans="1:6" x14ac:dyDescent="0.25">
      <c r="A44131" s="2" t="str">
        <f t="shared" si="1381"/>
        <v>48260</v>
      </c>
      <c r="B44131" s="2" t="str">
        <f>"43903"</f>
        <v>43903</v>
      </c>
      <c r="C44131" s="1">
        <v>6.7671791809722796E-3</v>
      </c>
      <c r="D44131" s="1">
        <v>2.03832042397064E-3</v>
      </c>
      <c r="E44131" s="1">
        <v>6.7750677506775003E-4</v>
      </c>
      <c r="F44131" s="1">
        <v>6.2844029817167302E-3</v>
      </c>
    </row>
    <row r="44132" spans="1:6" x14ac:dyDescent="0.25">
      <c r="A44132" s="2" t="str">
        <f t="shared" si="1381"/>
        <v>48260</v>
      </c>
      <c r="B44132" s="2" t="str">
        <f>"26034"</f>
        <v>26034</v>
      </c>
      <c r="C44132" s="1">
        <v>4.3323215737008799E-2</v>
      </c>
      <c r="D44132" s="1">
        <v>4.2397064818589403E-2</v>
      </c>
      <c r="E44132" s="1">
        <v>5.1490514905148999E-2</v>
      </c>
      <c r="F44132" s="1">
        <v>4.3435873592008699E-2</v>
      </c>
    </row>
    <row r="44133" spans="1:6" x14ac:dyDescent="0.25">
      <c r="A44133" s="2" t="str">
        <f t="shared" si="1381"/>
        <v>48260</v>
      </c>
      <c r="B44133" s="2" t="str">
        <f>"26075"</f>
        <v>26075</v>
      </c>
      <c r="C44133" s="1">
        <v>0</v>
      </c>
      <c r="D44133" s="1">
        <v>0</v>
      </c>
      <c r="E44133" s="1">
        <v>8.1300813008130003E-3</v>
      </c>
      <c r="F44133" s="1">
        <v>1.7998290162434501E-4</v>
      </c>
    </row>
    <row r="44134" spans="1:6" x14ac:dyDescent="0.25">
      <c r="A44134" s="2" t="str">
        <f t="shared" si="1381"/>
        <v>48260</v>
      </c>
      <c r="B44134" s="2" t="str">
        <f>"26058"</f>
        <v>26058</v>
      </c>
      <c r="C44134" s="1">
        <v>0</v>
      </c>
      <c r="D44134" s="1">
        <v>0</v>
      </c>
      <c r="E44134" s="1">
        <v>1.8970189701897001E-2</v>
      </c>
      <c r="F44134" s="1">
        <v>4.1996010379013901E-4</v>
      </c>
    </row>
    <row r="44135" spans="1:6" x14ac:dyDescent="0.25">
      <c r="A44135" s="2" t="str">
        <f t="shared" si="1381"/>
        <v>48260</v>
      </c>
      <c r="B44135" s="2" t="str">
        <f>"43941"</f>
        <v>43941</v>
      </c>
      <c r="C44135" s="1">
        <v>0</v>
      </c>
      <c r="D44135" s="1">
        <v>0</v>
      </c>
      <c r="E44135" s="1">
        <v>6.7750677506775003E-4</v>
      </c>
      <c r="F44135" s="1">
        <v>1.49985751353621E-5</v>
      </c>
    </row>
    <row r="44136" spans="1:6" x14ac:dyDescent="0.25">
      <c r="A44136" s="2" t="str">
        <f t="shared" si="1381"/>
        <v>48260</v>
      </c>
      <c r="B44136" s="2" t="str">
        <f>"43938"</f>
        <v>43938</v>
      </c>
      <c r="C44136" s="1">
        <v>4.5645287024597303E-2</v>
      </c>
      <c r="D44136" s="1">
        <v>2.9759478189971399E-2</v>
      </c>
      <c r="E44136" s="1">
        <v>2.3712737127371201E-2</v>
      </c>
      <c r="F44136" s="1">
        <v>4.3990820872017097E-2</v>
      </c>
    </row>
    <row r="44137" spans="1:6" x14ac:dyDescent="0.25">
      <c r="A44137" s="2" t="str">
        <f t="shared" si="1381"/>
        <v>48260</v>
      </c>
      <c r="B44137" s="2" t="str">
        <f>"43910"</f>
        <v>43910</v>
      </c>
      <c r="C44137" s="1">
        <v>2.4199300061369E-2</v>
      </c>
      <c r="D44137" s="1">
        <v>7.74561761108846E-3</v>
      </c>
      <c r="E44137" s="1">
        <v>3.3875338753387501E-3</v>
      </c>
      <c r="F44137" s="1">
        <v>2.2527859853313899E-2</v>
      </c>
    </row>
    <row r="44138" spans="1:6" x14ac:dyDescent="0.25">
      <c r="A44138" s="2" t="str">
        <f t="shared" si="1381"/>
        <v>48260</v>
      </c>
      <c r="B44138" s="2" t="str">
        <f>"26056"</f>
        <v>26056</v>
      </c>
      <c r="C44138" s="1">
        <v>0</v>
      </c>
      <c r="D44138" s="1">
        <v>0</v>
      </c>
      <c r="E44138" s="1">
        <v>6.7750677506775003E-4</v>
      </c>
      <c r="F44138" s="1">
        <v>1.49985751353621E-5</v>
      </c>
    </row>
    <row r="44139" spans="1:6" x14ac:dyDescent="0.25">
      <c r="A44139" s="2" t="str">
        <f t="shared" si="1381"/>
        <v>48260</v>
      </c>
      <c r="B44139" s="2" t="str">
        <f>"43970"</f>
        <v>43970</v>
      </c>
      <c r="C44139" s="1">
        <v>0</v>
      </c>
      <c r="D44139" s="1">
        <v>0</v>
      </c>
      <c r="E44139" s="1">
        <v>6.7750677506775003E-4</v>
      </c>
      <c r="F44139" s="1">
        <v>1.49985751353621E-5</v>
      </c>
    </row>
    <row r="44140" spans="1:6" x14ac:dyDescent="0.25">
      <c r="A44140" s="2" t="str">
        <f t="shared" si="1381"/>
        <v>48260</v>
      </c>
      <c r="B44140" s="2" t="str">
        <f>"43925"</f>
        <v>43925</v>
      </c>
      <c r="C44140" s="1">
        <v>8.2931117413875995E-5</v>
      </c>
      <c r="D44140" s="1">
        <v>2.03832042397064E-4</v>
      </c>
      <c r="E44140" s="1">
        <v>6.7750677506775003E-4</v>
      </c>
      <c r="F44140" s="1">
        <v>1.0499002594753399E-4</v>
      </c>
    </row>
    <row r="44141" spans="1:6" x14ac:dyDescent="0.25">
      <c r="A44141" s="2" t="str">
        <f t="shared" si="1381"/>
        <v>48260</v>
      </c>
      <c r="B44141" s="2" t="str">
        <f>"43961"</f>
        <v>43961</v>
      </c>
      <c r="C44141" s="1">
        <v>0</v>
      </c>
      <c r="D44141" s="1">
        <v>0</v>
      </c>
      <c r="E44141" s="1">
        <v>6.7750677506775003E-4</v>
      </c>
      <c r="F44141" s="1">
        <v>1.49985751353621E-5</v>
      </c>
    </row>
    <row r="44142" spans="1:6" x14ac:dyDescent="0.25">
      <c r="A44142" s="2" t="str">
        <f t="shared" si="1381"/>
        <v>48260</v>
      </c>
      <c r="B44142" s="2" t="str">
        <f>"43907"</f>
        <v>43907</v>
      </c>
      <c r="C44142" s="1">
        <v>9.2882851503541105E-4</v>
      </c>
      <c r="D44142" s="1">
        <v>2.03832042397064E-4</v>
      </c>
      <c r="E44142" s="1">
        <v>0</v>
      </c>
      <c r="F44142" s="1">
        <v>8.5491878271564195E-4</v>
      </c>
    </row>
    <row r="44143" spans="1:6" x14ac:dyDescent="0.25">
      <c r="A44143" s="2" t="str">
        <f t="shared" ref="A44143:A44163" si="1382">"15740"</f>
        <v>15740</v>
      </c>
      <c r="B44143" s="2" t="str">
        <f>"43768"</f>
        <v>43768</v>
      </c>
      <c r="C44143" s="1">
        <v>0</v>
      </c>
      <c r="D44143" s="1">
        <v>5.8548009367681401E-4</v>
      </c>
      <c r="E44143" s="1">
        <v>0</v>
      </c>
      <c r="F44143" s="1">
        <v>4.3983110485573499E-5</v>
      </c>
    </row>
    <row r="44144" spans="1:6" x14ac:dyDescent="0.25">
      <c r="A44144" s="2" t="str">
        <f t="shared" si="1382"/>
        <v>15740</v>
      </c>
      <c r="B44144" s="2" t="str">
        <f>"43713"</f>
        <v>43713</v>
      </c>
      <c r="C44144" s="1">
        <v>9.7895252080274105E-5</v>
      </c>
      <c r="D44144" s="1">
        <v>0</v>
      </c>
      <c r="E44144" s="1">
        <v>0</v>
      </c>
      <c r="F44144" s="1">
        <v>8.7966220971146997E-5</v>
      </c>
    </row>
    <row r="44145" spans="1:6" x14ac:dyDescent="0.25">
      <c r="A44145" s="2" t="str">
        <f t="shared" si="1382"/>
        <v>15740</v>
      </c>
      <c r="B44145" s="2" t="str">
        <f>"43749"</f>
        <v>43749</v>
      </c>
      <c r="C44145" s="1">
        <v>5.78560939794419E-2</v>
      </c>
      <c r="D44145" s="1">
        <v>1.2880562060889901E-2</v>
      </c>
      <c r="E44145" s="1">
        <v>0</v>
      </c>
      <c r="F44145" s="1">
        <v>5.2955665024630498E-2</v>
      </c>
    </row>
    <row r="44146" spans="1:6" x14ac:dyDescent="0.25">
      <c r="A44146" s="2" t="str">
        <f t="shared" si="1382"/>
        <v>15740</v>
      </c>
      <c r="B44146" s="2" t="str">
        <f>"43983"</f>
        <v>43983</v>
      </c>
      <c r="C44146" s="1">
        <v>3.4752814488497302E-3</v>
      </c>
      <c r="D44146" s="1">
        <v>5.8548009367681401E-4</v>
      </c>
      <c r="E44146" s="1">
        <v>0</v>
      </c>
      <c r="F44146" s="1">
        <v>3.16678395496129E-3</v>
      </c>
    </row>
    <row r="44147" spans="1:6" x14ac:dyDescent="0.25">
      <c r="A44147" s="2" t="str">
        <f t="shared" si="1382"/>
        <v>15740</v>
      </c>
      <c r="B44147" s="2" t="str">
        <f>"43722"</f>
        <v>43722</v>
      </c>
      <c r="C44147" s="1">
        <v>9.7895252080274105E-5</v>
      </c>
      <c r="D44147" s="1">
        <v>5.8548009367681401E-4</v>
      </c>
      <c r="E44147" s="1">
        <v>0</v>
      </c>
      <c r="F44147" s="1">
        <v>1.3194933145672E-4</v>
      </c>
    </row>
    <row r="44148" spans="1:6" x14ac:dyDescent="0.25">
      <c r="A44148" s="2" t="str">
        <f t="shared" si="1382"/>
        <v>15740</v>
      </c>
      <c r="B44148" s="2" t="str">
        <f>"43723"</f>
        <v>43723</v>
      </c>
      <c r="C44148" s="1">
        <v>0.11517376407244199</v>
      </c>
      <c r="D44148" s="1">
        <v>9.4262295081967207E-2</v>
      </c>
      <c r="E44148" s="1">
        <v>0.19230769230769201</v>
      </c>
      <c r="F44148" s="1">
        <v>0.11563159746657201</v>
      </c>
    </row>
    <row r="44149" spans="1:6" x14ac:dyDescent="0.25">
      <c r="A44149" s="2" t="str">
        <f t="shared" si="1382"/>
        <v>15740</v>
      </c>
      <c r="B44149" s="2" t="str">
        <f>"43832"</f>
        <v>43832</v>
      </c>
      <c r="C44149" s="1">
        <v>5.4331864904552099E-3</v>
      </c>
      <c r="D44149" s="1">
        <v>5.8548009367681401E-4</v>
      </c>
      <c r="E44149" s="1">
        <v>1.6722408026755801E-3</v>
      </c>
      <c r="F44149" s="1">
        <v>4.9700914848698E-3</v>
      </c>
    </row>
    <row r="44150" spans="1:6" x14ac:dyDescent="0.25">
      <c r="A44150" s="2" t="str">
        <f t="shared" si="1382"/>
        <v>15740</v>
      </c>
      <c r="B44150" s="2" t="str">
        <f>"43762"</f>
        <v>43762</v>
      </c>
      <c r="C44150" s="1">
        <v>2.1488007831620099E-2</v>
      </c>
      <c r="D44150" s="1">
        <v>5.2693208430913303E-3</v>
      </c>
      <c r="E44150" s="1">
        <v>6.6889632107023402E-3</v>
      </c>
      <c r="F44150" s="1">
        <v>1.98803659394792E-2</v>
      </c>
    </row>
    <row r="44151" spans="1:6" x14ac:dyDescent="0.25">
      <c r="A44151" s="2" t="str">
        <f t="shared" si="1382"/>
        <v>15740</v>
      </c>
      <c r="B44151" s="2" t="str">
        <f>"43837"</f>
        <v>43837</v>
      </c>
      <c r="C44151" s="1">
        <v>2.6431718061673999E-3</v>
      </c>
      <c r="D44151" s="1">
        <v>0</v>
      </c>
      <c r="E44151" s="1">
        <v>0</v>
      </c>
      <c r="F44151" s="1">
        <v>2.3750879662209701E-3</v>
      </c>
    </row>
    <row r="44152" spans="1:6" x14ac:dyDescent="0.25">
      <c r="A44152" s="2" t="str">
        <f t="shared" si="1382"/>
        <v>15740</v>
      </c>
      <c r="B44152" s="2" t="str">
        <f>"43780"</f>
        <v>43780</v>
      </c>
      <c r="C44152" s="1">
        <v>4.7870778267253999E-2</v>
      </c>
      <c r="D44152" s="1">
        <v>9.9531615925058502E-3</v>
      </c>
      <c r="E44152" s="1">
        <v>5.0167224080267499E-3</v>
      </c>
      <c r="F44152" s="1">
        <v>4.3895144264602302E-2</v>
      </c>
    </row>
    <row r="44153" spans="1:6" x14ac:dyDescent="0.25">
      <c r="A44153" s="2" t="str">
        <f t="shared" si="1382"/>
        <v>15740</v>
      </c>
      <c r="B44153" s="2" t="str">
        <f>"43778"</f>
        <v>43778</v>
      </c>
      <c r="C44153" s="1">
        <v>3.4703866862457099E-2</v>
      </c>
      <c r="D44153" s="1">
        <v>9.3676814988290294E-3</v>
      </c>
      <c r="E44153" s="1">
        <v>0</v>
      </c>
      <c r="F44153" s="1">
        <v>3.1887755102040803E-2</v>
      </c>
    </row>
    <row r="44154" spans="1:6" x14ac:dyDescent="0.25">
      <c r="A44154" s="2" t="str">
        <f t="shared" si="1382"/>
        <v>15740</v>
      </c>
      <c r="B44154" s="2" t="str">
        <f>"43736"</f>
        <v>43736</v>
      </c>
      <c r="C44154" s="1">
        <v>0</v>
      </c>
      <c r="D44154" s="1">
        <v>0</v>
      </c>
      <c r="E44154" s="1">
        <v>1.6722408026755801E-3</v>
      </c>
      <c r="F44154" s="1">
        <v>4.3983110485573499E-5</v>
      </c>
    </row>
    <row r="44155" spans="1:6" x14ac:dyDescent="0.25">
      <c r="A44155" s="2" t="str">
        <f t="shared" si="1382"/>
        <v>15740</v>
      </c>
      <c r="B44155" s="2" t="str">
        <f>"43773"</f>
        <v>43773</v>
      </c>
      <c r="C44155" s="1">
        <v>4.15075868820362E-2</v>
      </c>
      <c r="D44155" s="1">
        <v>1.11241217798594E-2</v>
      </c>
      <c r="E44155" s="1">
        <v>1.6722408026755801E-3</v>
      </c>
      <c r="F44155" s="1">
        <v>3.81773399014778E-2</v>
      </c>
    </row>
    <row r="44156" spans="1:6" x14ac:dyDescent="0.25">
      <c r="A44156" s="2" t="str">
        <f t="shared" si="1382"/>
        <v>15740</v>
      </c>
      <c r="B44156" s="2" t="str">
        <f>"43755"</f>
        <v>43755</v>
      </c>
      <c r="C44156" s="1">
        <v>4.3171806167400802E-2</v>
      </c>
      <c r="D44156" s="1">
        <v>1.6978922716627601E-2</v>
      </c>
      <c r="E44156" s="1">
        <v>1.6722408026755801E-3</v>
      </c>
      <c r="F44156" s="1">
        <v>4.0112596762842997E-2</v>
      </c>
    </row>
    <row r="44157" spans="1:6" x14ac:dyDescent="0.25">
      <c r="A44157" s="2" t="str">
        <f t="shared" si="1382"/>
        <v>15740</v>
      </c>
      <c r="B44157" s="2" t="str">
        <f>"43750"</f>
        <v>43750</v>
      </c>
      <c r="C44157" s="1">
        <v>2.3984336759667099E-3</v>
      </c>
      <c r="D44157" s="1">
        <v>1.75644028103044E-3</v>
      </c>
      <c r="E44157" s="1">
        <v>0</v>
      </c>
      <c r="F44157" s="1">
        <v>2.2871217452498198E-3</v>
      </c>
    </row>
    <row r="44158" spans="1:6" x14ac:dyDescent="0.25">
      <c r="A44158" s="2" t="str">
        <f t="shared" si="1382"/>
        <v>15740</v>
      </c>
      <c r="B44158" s="2" t="str">
        <f>"44699"</f>
        <v>44699</v>
      </c>
      <c r="C44158" s="1">
        <v>3.4263338228095901E-4</v>
      </c>
      <c r="D44158" s="1">
        <v>0</v>
      </c>
      <c r="E44158" s="1">
        <v>0</v>
      </c>
      <c r="F44158" s="1">
        <v>3.0788177339901402E-4</v>
      </c>
    </row>
    <row r="44159" spans="1:6" x14ac:dyDescent="0.25">
      <c r="A44159" s="2" t="str">
        <f t="shared" si="1382"/>
        <v>15740</v>
      </c>
      <c r="B44159" s="2" t="str">
        <f>"43973"</f>
        <v>43973</v>
      </c>
      <c r="C44159" s="1">
        <v>2.30543318649045E-2</v>
      </c>
      <c r="D44159" s="1">
        <v>1.17096018735362E-2</v>
      </c>
      <c r="E44159" s="1">
        <v>0</v>
      </c>
      <c r="F44159" s="1">
        <v>2.1595707248416599E-2</v>
      </c>
    </row>
    <row r="44160" spans="1:6" x14ac:dyDescent="0.25">
      <c r="A44160" s="2" t="str">
        <f t="shared" si="1382"/>
        <v>15740</v>
      </c>
      <c r="B44160" s="2" t="str">
        <f>"43772"</f>
        <v>43772</v>
      </c>
      <c r="C44160" s="1">
        <v>2.55017131669114E-2</v>
      </c>
      <c r="D44160" s="1">
        <v>1.3466042154566701E-2</v>
      </c>
      <c r="E44160" s="1">
        <v>0</v>
      </c>
      <c r="F44160" s="1">
        <v>2.3926812104152002E-2</v>
      </c>
    </row>
    <row r="44161" spans="1:6" x14ac:dyDescent="0.25">
      <c r="A44161" s="2" t="str">
        <f t="shared" si="1382"/>
        <v>15740</v>
      </c>
      <c r="B44161" s="2" t="str">
        <f>"43732"</f>
        <v>43732</v>
      </c>
      <c r="C44161" s="1">
        <v>2.86833088595203E-2</v>
      </c>
      <c r="D44161" s="1">
        <v>9.9531615925058502E-3</v>
      </c>
      <c r="E44161" s="1">
        <v>3.3444816053511701E-3</v>
      </c>
      <c r="F44161" s="1">
        <v>2.6609781843771899E-2</v>
      </c>
    </row>
    <row r="44162" spans="1:6" x14ac:dyDescent="0.25">
      <c r="A44162" s="2" t="str">
        <f t="shared" si="1382"/>
        <v>15740</v>
      </c>
      <c r="B44162" s="2" t="str">
        <f>"43733"</f>
        <v>43733</v>
      </c>
      <c r="C44162" s="1">
        <v>4.8947626040136998E-5</v>
      </c>
      <c r="D44162" s="1">
        <v>5.8548009367681401E-4</v>
      </c>
      <c r="E44162" s="1">
        <v>0</v>
      </c>
      <c r="F44162" s="1">
        <v>8.7966220971146997E-5</v>
      </c>
    </row>
    <row r="44163" spans="1:6" x14ac:dyDescent="0.25">
      <c r="A44163" s="2" t="str">
        <f t="shared" si="1382"/>
        <v>15740</v>
      </c>
      <c r="B44163" s="2" t="str">
        <f>"43725"</f>
        <v>43725</v>
      </c>
      <c r="C44163" s="1">
        <v>0.54645129711208995</v>
      </c>
      <c r="D44163" s="1">
        <v>0.80035128805620603</v>
      </c>
      <c r="E44163" s="1">
        <v>0.785953177257525</v>
      </c>
      <c r="F44163" s="1">
        <v>0.57182441942294104</v>
      </c>
    </row>
    <row r="44164" spans="1:6" x14ac:dyDescent="0.25">
      <c r="A44164" s="2" t="str">
        <f t="shared" ref="A44164:A44188" si="1383">"31930"</f>
        <v>31930</v>
      </c>
      <c r="B44164" s="2" t="str">
        <f>"45784"</f>
        <v>45784</v>
      </c>
      <c r="C44164" s="1">
        <v>6.2731474835634904E-2</v>
      </c>
      <c r="D44164" s="1">
        <v>2.1129326047358801E-2</v>
      </c>
      <c r="E44164" s="1">
        <v>5.9405940594059398E-3</v>
      </c>
      <c r="F44164" s="1">
        <v>5.8285388482869398E-2</v>
      </c>
    </row>
    <row r="44165" spans="1:6" x14ac:dyDescent="0.25">
      <c r="A44165" s="2" t="str">
        <f t="shared" si="1383"/>
        <v>31930</v>
      </c>
      <c r="B44165" s="2" t="str">
        <f>"45714"</f>
        <v>45714</v>
      </c>
      <c r="C44165" s="1">
        <v>0.175791679825442</v>
      </c>
      <c r="D44165" s="1">
        <v>0.18724954462659299</v>
      </c>
      <c r="E44165" s="1">
        <v>0.262376237623762</v>
      </c>
      <c r="F44165" s="1">
        <v>0.17887316643342099</v>
      </c>
    </row>
    <row r="44166" spans="1:6" x14ac:dyDescent="0.25">
      <c r="A44166" s="2" t="str">
        <f t="shared" si="1383"/>
        <v>31930</v>
      </c>
      <c r="B44166" s="2" t="str">
        <f>"45727"</f>
        <v>45727</v>
      </c>
      <c r="C44166" s="1">
        <v>3.1581062846314998E-4</v>
      </c>
      <c r="D44166" s="1">
        <v>0</v>
      </c>
      <c r="E44166" s="1">
        <v>0</v>
      </c>
      <c r="F44166" s="1">
        <v>2.8507748924480299E-4</v>
      </c>
    </row>
    <row r="44167" spans="1:6" x14ac:dyDescent="0.25">
      <c r="A44167" s="2" t="str">
        <f t="shared" si="1383"/>
        <v>31930</v>
      </c>
      <c r="B44167" s="2" t="str">
        <f>"45713"</f>
        <v>45713</v>
      </c>
      <c r="C44167" s="1">
        <v>0</v>
      </c>
      <c r="D44167" s="1">
        <v>3.6429872495446201E-4</v>
      </c>
      <c r="E44167" s="1">
        <v>0</v>
      </c>
      <c r="F44167" s="1">
        <v>2.5916135385891199E-5</v>
      </c>
    </row>
    <row r="44168" spans="1:6" x14ac:dyDescent="0.25">
      <c r="A44168" s="2" t="str">
        <f t="shared" si="1383"/>
        <v>31930</v>
      </c>
      <c r="B44168" s="2" t="str">
        <f>"45724"</f>
        <v>45724</v>
      </c>
      <c r="C44168" s="1">
        <v>2.2479974735149701E-2</v>
      </c>
      <c r="D44168" s="1">
        <v>5.4644808743169303E-3</v>
      </c>
      <c r="E44168" s="1">
        <v>0</v>
      </c>
      <c r="F44168" s="1">
        <v>2.0681076037941198E-2</v>
      </c>
    </row>
    <row r="44169" spans="1:6" x14ac:dyDescent="0.25">
      <c r="A44169" s="2" t="str">
        <f t="shared" si="1383"/>
        <v>31930</v>
      </c>
      <c r="B44169" s="2" t="str">
        <f>"43787"</f>
        <v>43787</v>
      </c>
      <c r="C44169" s="1">
        <v>5.7133013694697201E-3</v>
      </c>
      <c r="D44169" s="1">
        <v>0</v>
      </c>
      <c r="E44169" s="1">
        <v>0</v>
      </c>
      <c r="F44169" s="1">
        <v>5.1573109417923499E-3</v>
      </c>
    </row>
    <row r="44170" spans="1:6" x14ac:dyDescent="0.25">
      <c r="A44170" s="2" t="str">
        <f t="shared" si="1383"/>
        <v>31930</v>
      </c>
      <c r="B44170" s="2" t="str">
        <f>"45789"</f>
        <v>45789</v>
      </c>
      <c r="C44170" s="1">
        <v>2.8710057133013601E-3</v>
      </c>
      <c r="D44170" s="1">
        <v>3.6429872495446201E-4</v>
      </c>
      <c r="E44170" s="1">
        <v>9.9009900990098989E-4</v>
      </c>
      <c r="F44170" s="1">
        <v>2.6434458093608998E-3</v>
      </c>
    </row>
    <row r="44171" spans="1:6" x14ac:dyDescent="0.25">
      <c r="A44171" s="2" t="str">
        <f t="shared" si="1383"/>
        <v>31930</v>
      </c>
      <c r="B44171" s="2" t="str">
        <f>"45788"</f>
        <v>45788</v>
      </c>
      <c r="C44171" s="1">
        <v>1.4039217938043601E-2</v>
      </c>
      <c r="D44171" s="1">
        <v>9.4717668488160205E-3</v>
      </c>
      <c r="E44171" s="1">
        <v>1.9801980198019798E-3</v>
      </c>
      <c r="F44171" s="1">
        <v>1.3398641994505699E-2</v>
      </c>
    </row>
    <row r="44172" spans="1:6" x14ac:dyDescent="0.25">
      <c r="A44172" s="2" t="str">
        <f t="shared" si="1383"/>
        <v>31930</v>
      </c>
      <c r="B44172" s="2" t="str">
        <f>"45721"</f>
        <v>45721</v>
      </c>
      <c r="C44172" s="1">
        <v>1.0048519996554699E-3</v>
      </c>
      <c r="D44172" s="1">
        <v>7.2859744990892499E-4</v>
      </c>
      <c r="E44172" s="1">
        <v>0</v>
      </c>
      <c r="F44172" s="1">
        <v>9.5889700927797596E-4</v>
      </c>
    </row>
    <row r="44173" spans="1:6" x14ac:dyDescent="0.25">
      <c r="A44173" s="2" t="str">
        <f t="shared" si="1383"/>
        <v>31930</v>
      </c>
      <c r="B44173" s="2" t="str">
        <f>"45786"</f>
        <v>45786</v>
      </c>
      <c r="C44173" s="1">
        <v>3.62608021589962E-2</v>
      </c>
      <c r="D44173" s="1">
        <v>6.5573770491803201E-3</v>
      </c>
      <c r="E44173" s="1">
        <v>5.9405940594059398E-3</v>
      </c>
      <c r="F44173" s="1">
        <v>3.3354066241642E-2</v>
      </c>
    </row>
    <row r="44174" spans="1:6" x14ac:dyDescent="0.25">
      <c r="A44174" s="2" t="str">
        <f t="shared" si="1383"/>
        <v>31930</v>
      </c>
      <c r="B44174" s="2" t="str">
        <f>"45767"</f>
        <v>45767</v>
      </c>
      <c r="C44174" s="1">
        <v>4.2318624214062101E-2</v>
      </c>
      <c r="D44174" s="1">
        <v>1.53005464480874E-2</v>
      </c>
      <c r="E44174" s="1">
        <v>7.9207920792079192E-3</v>
      </c>
      <c r="F44174" s="1">
        <v>3.9496190328098202E-2</v>
      </c>
    </row>
    <row r="44175" spans="1:6" x14ac:dyDescent="0.25">
      <c r="A44175" s="2" t="str">
        <f t="shared" si="1383"/>
        <v>31930</v>
      </c>
      <c r="B44175" s="2" t="str">
        <f>"45723"</f>
        <v>45723</v>
      </c>
      <c r="C44175" s="1">
        <v>1.8948637707789E-3</v>
      </c>
      <c r="D44175" s="1">
        <v>0</v>
      </c>
      <c r="E44175" s="1">
        <v>0</v>
      </c>
      <c r="F44175" s="1">
        <v>1.7104649354688199E-3</v>
      </c>
    </row>
    <row r="44176" spans="1:6" x14ac:dyDescent="0.25">
      <c r="A44176" s="2" t="str">
        <f t="shared" si="1383"/>
        <v>31930</v>
      </c>
      <c r="B44176" s="2" t="str">
        <f>"45715"</f>
        <v>45715</v>
      </c>
      <c r="C44176" s="1">
        <v>2.2479974735149701E-2</v>
      </c>
      <c r="D44176" s="1">
        <v>5.4644808743169303E-3</v>
      </c>
      <c r="E44176" s="1">
        <v>3.3663366336633603E-2</v>
      </c>
      <c r="F44176" s="1">
        <v>2.15622246410615E-2</v>
      </c>
    </row>
    <row r="44177" spans="1:6" x14ac:dyDescent="0.25">
      <c r="A44177" s="2" t="str">
        <f t="shared" si="1383"/>
        <v>31930</v>
      </c>
      <c r="B44177" s="2" t="str">
        <f>"45773"</f>
        <v>45773</v>
      </c>
      <c r="C44177" s="1">
        <v>1.0967241824811199E-2</v>
      </c>
      <c r="D44177" s="1">
        <v>5.1001821493624703E-3</v>
      </c>
      <c r="E44177" s="1">
        <v>0</v>
      </c>
      <c r="F44177" s="1">
        <v>1.0262789612812901E-2</v>
      </c>
    </row>
    <row r="44178" spans="1:6" x14ac:dyDescent="0.25">
      <c r="A44178" s="2" t="str">
        <f t="shared" si="1383"/>
        <v>31930</v>
      </c>
      <c r="B44178" s="2" t="str">
        <f>"45768"</f>
        <v>45768</v>
      </c>
      <c r="C44178" s="1">
        <v>2.98297493612012E-2</v>
      </c>
      <c r="D44178" s="1">
        <v>9.1074681238615604E-3</v>
      </c>
      <c r="E44178" s="1">
        <v>2.9702970297029699E-3</v>
      </c>
      <c r="F44178" s="1">
        <v>2.76525164567459E-2</v>
      </c>
    </row>
    <row r="44179" spans="1:6" x14ac:dyDescent="0.25">
      <c r="A44179" s="2" t="str">
        <f t="shared" si="1383"/>
        <v>31930</v>
      </c>
      <c r="B44179" s="2" t="str">
        <f>"45734"</f>
        <v>45734</v>
      </c>
      <c r="C44179" s="1">
        <v>2.8710057133013599E-5</v>
      </c>
      <c r="D44179" s="1">
        <v>0</v>
      </c>
      <c r="E44179" s="1">
        <v>0</v>
      </c>
      <c r="F44179" s="1">
        <v>2.5916135385891199E-5</v>
      </c>
    </row>
    <row r="44180" spans="1:6" x14ac:dyDescent="0.25">
      <c r="A44180" s="2" t="str">
        <f t="shared" si="1383"/>
        <v>31930</v>
      </c>
      <c r="B44180" s="2" t="str">
        <f>"45712"</f>
        <v>45712</v>
      </c>
      <c r="C44180" s="1">
        <v>0</v>
      </c>
      <c r="D44180" s="1">
        <v>3.6429872495446201E-4</v>
      </c>
      <c r="E44180" s="1">
        <v>0</v>
      </c>
      <c r="F44180" s="1">
        <v>2.5916135385891199E-5</v>
      </c>
    </row>
    <row r="44181" spans="1:6" x14ac:dyDescent="0.25">
      <c r="A44181" s="2" t="str">
        <f t="shared" si="1383"/>
        <v>31930</v>
      </c>
      <c r="B44181" s="2" t="str">
        <f>"45750"</f>
        <v>45750</v>
      </c>
      <c r="C44181" s="1">
        <v>0.42361689299761701</v>
      </c>
      <c r="D44181" s="1">
        <v>0.69617486338797796</v>
      </c>
      <c r="E44181" s="1">
        <v>0.66633663366336604</v>
      </c>
      <c r="F44181" s="1">
        <v>0.44935987145596801</v>
      </c>
    </row>
    <row r="44182" spans="1:6" x14ac:dyDescent="0.25">
      <c r="A44182" s="2" t="str">
        <f t="shared" si="1383"/>
        <v>31930</v>
      </c>
      <c r="B44182" s="2" t="str">
        <f>"45742"</f>
        <v>45742</v>
      </c>
      <c r="C44182" s="1">
        <v>6.0980161350520999E-2</v>
      </c>
      <c r="D44182" s="1">
        <v>1.38433515482695E-2</v>
      </c>
      <c r="E44182" s="1">
        <v>3.9603960396039596E-3</v>
      </c>
      <c r="F44182" s="1">
        <v>5.6134349245840397E-2</v>
      </c>
    </row>
    <row r="44183" spans="1:6" x14ac:dyDescent="0.25">
      <c r="A44183" s="2" t="str">
        <f t="shared" si="1383"/>
        <v>31930</v>
      </c>
      <c r="B44183" s="2" t="str">
        <f>"45711"</f>
        <v>45711</v>
      </c>
      <c r="C44183" s="1">
        <v>1.3206626281186201E-3</v>
      </c>
      <c r="D44183" s="1">
        <v>0</v>
      </c>
      <c r="E44183" s="1">
        <v>0</v>
      </c>
      <c r="F44183" s="1">
        <v>1.1921422277509899E-3</v>
      </c>
    </row>
    <row r="44184" spans="1:6" x14ac:dyDescent="0.25">
      <c r="A44184" s="2" t="str">
        <f t="shared" si="1383"/>
        <v>31930</v>
      </c>
      <c r="B44184" s="2" t="str">
        <f>"45744"</f>
        <v>45744</v>
      </c>
      <c r="C44184" s="1">
        <v>3.9734719072090897E-2</v>
      </c>
      <c r="D44184" s="1">
        <v>1.34790528233151E-2</v>
      </c>
      <c r="E44184" s="1">
        <v>3.9603960396039596E-3</v>
      </c>
      <c r="F44184" s="1">
        <v>3.6930492924895003E-2</v>
      </c>
    </row>
    <row r="44185" spans="1:6" x14ac:dyDescent="0.25">
      <c r="A44185" s="2" t="str">
        <f t="shared" si="1383"/>
        <v>31930</v>
      </c>
      <c r="B44185" s="2" t="str">
        <f>"45729"</f>
        <v>45729</v>
      </c>
      <c r="C44185" s="1">
        <v>3.0920731532255701E-2</v>
      </c>
      <c r="D44185" s="1">
        <v>5.4644808743169303E-3</v>
      </c>
      <c r="E44185" s="1">
        <v>0</v>
      </c>
      <c r="F44185" s="1">
        <v>2.8300419841393198E-2</v>
      </c>
    </row>
    <row r="44186" spans="1:6" x14ac:dyDescent="0.25">
      <c r="A44186" s="2" t="str">
        <f t="shared" si="1383"/>
        <v>31930</v>
      </c>
      <c r="B44186" s="2" t="str">
        <f>"45787"</f>
        <v>45787</v>
      </c>
      <c r="C44186" s="1">
        <v>0</v>
      </c>
      <c r="D44186" s="1">
        <v>3.6429872495446201E-4</v>
      </c>
      <c r="E44186" s="1">
        <v>0</v>
      </c>
      <c r="F44186" s="1">
        <v>2.5916135385891199E-5</v>
      </c>
    </row>
    <row r="44187" spans="1:6" x14ac:dyDescent="0.25">
      <c r="A44187" s="2" t="str">
        <f t="shared" si="1383"/>
        <v>31930</v>
      </c>
      <c r="B44187" s="2" t="str">
        <f>"45746"</f>
        <v>45746</v>
      </c>
      <c r="C44187" s="1">
        <v>6.63202319772616E-3</v>
      </c>
      <c r="D44187" s="1">
        <v>2.1857923497267699E-3</v>
      </c>
      <c r="E44187" s="1">
        <v>3.9603960396039596E-3</v>
      </c>
      <c r="F44187" s="1">
        <v>6.2457886279997897E-3</v>
      </c>
    </row>
    <row r="44188" spans="1:6" x14ac:dyDescent="0.25">
      <c r="A44188" s="2" t="str">
        <f t="shared" si="1383"/>
        <v>31930</v>
      </c>
      <c r="B44188" s="2" t="str">
        <f>"45745"</f>
        <v>45745</v>
      </c>
      <c r="C44188" s="1">
        <v>8.06752605437684E-3</v>
      </c>
      <c r="D44188" s="1">
        <v>1.82149362477231E-3</v>
      </c>
      <c r="E44188" s="1">
        <v>0</v>
      </c>
      <c r="F44188" s="1">
        <v>7.4120147203648899E-3</v>
      </c>
    </row>
    <row r="44189" spans="1:6" x14ac:dyDescent="0.25">
      <c r="A44189" s="2" t="str">
        <f t="shared" ref="A44189:A44207" si="1384">"11900"</f>
        <v>11900</v>
      </c>
      <c r="B44189" s="2" t="str">
        <f>"45732"</f>
        <v>45732</v>
      </c>
      <c r="C44189" s="1">
        <v>6.5840630791032306E-2</v>
      </c>
      <c r="D44189" s="1">
        <v>5.3305996924654001E-2</v>
      </c>
      <c r="E44189" s="1">
        <v>2.1201413427561801E-2</v>
      </c>
      <c r="F44189" s="1">
        <v>6.3390406482812703E-2</v>
      </c>
    </row>
    <row r="44190" spans="1:6" x14ac:dyDescent="0.25">
      <c r="A44190" s="2" t="str">
        <f t="shared" si="1384"/>
        <v>11900</v>
      </c>
      <c r="B44190" s="2" t="str">
        <f>"45710"</f>
        <v>45710</v>
      </c>
      <c r="C44190" s="1">
        <v>6.20616983394498E-2</v>
      </c>
      <c r="D44190" s="1">
        <v>4.25422860071758E-2</v>
      </c>
      <c r="E44190" s="1">
        <v>3.7102473498233202E-2</v>
      </c>
      <c r="F44190" s="1">
        <v>5.98941314860802E-2</v>
      </c>
    </row>
    <row r="44191" spans="1:6" x14ac:dyDescent="0.25">
      <c r="A44191" s="2" t="str">
        <f t="shared" si="1384"/>
        <v>11900</v>
      </c>
      <c r="B44191" s="2" t="str">
        <f>"43728"</f>
        <v>43728</v>
      </c>
      <c r="C44191" s="1">
        <v>8.3572544602303605E-4</v>
      </c>
      <c r="D44191" s="1">
        <v>1.02511532547411E-3</v>
      </c>
      <c r="E44191" s="1">
        <v>0</v>
      </c>
      <c r="F44191" s="1">
        <v>8.1688668147954495E-4</v>
      </c>
    </row>
    <row r="44192" spans="1:6" x14ac:dyDescent="0.25">
      <c r="A44192" s="2" t="str">
        <f t="shared" si="1384"/>
        <v>11900</v>
      </c>
      <c r="B44192" s="2" t="str">
        <f>"45778"</f>
        <v>45778</v>
      </c>
      <c r="C44192" s="1">
        <v>1.41346608044765E-2</v>
      </c>
      <c r="D44192" s="1">
        <v>4.6130189646335197E-3</v>
      </c>
      <c r="E44192" s="1">
        <v>0</v>
      </c>
      <c r="F44192" s="1">
        <v>1.30048359691543E-2</v>
      </c>
    </row>
    <row r="44193" spans="1:6" x14ac:dyDescent="0.25">
      <c r="A44193" s="2" t="str">
        <f t="shared" si="1384"/>
        <v>11900</v>
      </c>
      <c r="B44193" s="2" t="str">
        <f>"45716"</f>
        <v>45716</v>
      </c>
      <c r="C44193" s="1">
        <v>1.0900766687257E-3</v>
      </c>
      <c r="D44193" s="1">
        <v>5.1255766273705704E-4</v>
      </c>
      <c r="E44193" s="1">
        <v>0</v>
      </c>
      <c r="F44193" s="1">
        <v>1.0129394850346301E-3</v>
      </c>
    </row>
    <row r="44194" spans="1:6" x14ac:dyDescent="0.25">
      <c r="A44194" s="2" t="str">
        <f t="shared" si="1384"/>
        <v>11900</v>
      </c>
      <c r="B44194" s="2" t="str">
        <f>"45701"</f>
        <v>45701</v>
      </c>
      <c r="C44194" s="1">
        <v>0.48766396569892001</v>
      </c>
      <c r="D44194" s="1">
        <v>0.65812403895438198</v>
      </c>
      <c r="E44194" s="1">
        <v>0.649293286219081</v>
      </c>
      <c r="F44194" s="1">
        <v>0.504509214481767</v>
      </c>
    </row>
    <row r="44195" spans="1:6" x14ac:dyDescent="0.25">
      <c r="A44195" s="2" t="str">
        <f t="shared" si="1384"/>
        <v>11900</v>
      </c>
      <c r="B44195" s="2" t="str">
        <f>"45780"</f>
        <v>45780</v>
      </c>
      <c r="C44195" s="1">
        <v>6.26430725627702E-2</v>
      </c>
      <c r="D44195" s="1">
        <v>6.3044592516658102E-2</v>
      </c>
      <c r="E44195" s="1">
        <v>0.11395759717314401</v>
      </c>
      <c r="F44195" s="1">
        <v>6.4566723304143203E-2</v>
      </c>
    </row>
    <row r="44196" spans="1:6" x14ac:dyDescent="0.25">
      <c r="A44196" s="2" t="str">
        <f t="shared" si="1384"/>
        <v>11900</v>
      </c>
      <c r="B44196" s="2" t="str">
        <f>"45723"</f>
        <v>45723</v>
      </c>
      <c r="C44196" s="1">
        <v>5.9336506667635597E-2</v>
      </c>
      <c r="D44196" s="1">
        <v>1.6914402870322899E-2</v>
      </c>
      <c r="E44196" s="1">
        <v>1.76678445229681E-3</v>
      </c>
      <c r="F44196" s="1">
        <v>5.4502679388315198E-2</v>
      </c>
    </row>
    <row r="44197" spans="1:6" x14ac:dyDescent="0.25">
      <c r="A44197" s="2" t="str">
        <f t="shared" si="1384"/>
        <v>11900</v>
      </c>
      <c r="B44197" s="2" t="str">
        <f>"45782"</f>
        <v>45782</v>
      </c>
      <c r="C44197" s="1">
        <v>3.7789324515824199E-3</v>
      </c>
      <c r="D44197" s="1">
        <v>5.1255766273705704E-4</v>
      </c>
      <c r="E44197" s="1">
        <v>0</v>
      </c>
      <c r="F44197" s="1">
        <v>3.4309240622140799E-3</v>
      </c>
    </row>
    <row r="44198" spans="1:6" x14ac:dyDescent="0.25">
      <c r="A44198" s="2" t="str">
        <f t="shared" si="1384"/>
        <v>11900</v>
      </c>
      <c r="B44198" s="2" t="str">
        <f>"45739"</f>
        <v>45739</v>
      </c>
      <c r="C44198" s="1">
        <v>0</v>
      </c>
      <c r="D44198" s="1">
        <v>1.02511532547411E-3</v>
      </c>
      <c r="E44198" s="1">
        <v>0</v>
      </c>
      <c r="F44198" s="1">
        <v>6.5350934518363602E-5</v>
      </c>
    </row>
    <row r="44199" spans="1:6" x14ac:dyDescent="0.25">
      <c r="A44199" s="2" t="str">
        <f t="shared" si="1384"/>
        <v>11900</v>
      </c>
      <c r="B44199" s="2" t="str">
        <f>"45742"</f>
        <v>45742</v>
      </c>
      <c r="C44199" s="1">
        <v>1.05374077976817E-3</v>
      </c>
      <c r="D44199" s="1">
        <v>0</v>
      </c>
      <c r="E44199" s="1">
        <v>0</v>
      </c>
      <c r="F44199" s="1">
        <v>9.4758855051627197E-4</v>
      </c>
    </row>
    <row r="44200" spans="1:6" x14ac:dyDescent="0.25">
      <c r="A44200" s="2" t="str">
        <f t="shared" si="1384"/>
        <v>11900</v>
      </c>
      <c r="B44200" s="2" t="str">
        <f>"45719"</f>
        <v>45719</v>
      </c>
      <c r="C44200" s="1">
        <v>1.4897714472584501E-3</v>
      </c>
      <c r="D44200" s="1">
        <v>1.02511532547411E-3</v>
      </c>
      <c r="E44200" s="1">
        <v>1.76678445229681E-3</v>
      </c>
      <c r="F44200" s="1">
        <v>1.47039602666318E-3</v>
      </c>
    </row>
    <row r="44201" spans="1:6" x14ac:dyDescent="0.25">
      <c r="A44201" s="2" t="str">
        <f t="shared" si="1384"/>
        <v>11900</v>
      </c>
      <c r="B44201" s="2" t="str">
        <f>"45711"</f>
        <v>45711</v>
      </c>
      <c r="C44201" s="1">
        <v>1.28629046909632E-2</v>
      </c>
      <c r="D44201" s="1">
        <v>2.5627883136852799E-3</v>
      </c>
      <c r="E44201" s="1">
        <v>0</v>
      </c>
      <c r="F44201" s="1">
        <v>1.1730492746046201E-2</v>
      </c>
    </row>
    <row r="44202" spans="1:6" x14ac:dyDescent="0.25">
      <c r="A44202" s="2" t="str">
        <f t="shared" si="1384"/>
        <v>11900</v>
      </c>
      <c r="B44202" s="2" t="str">
        <f>"45764"</f>
        <v>45764</v>
      </c>
      <c r="C44202" s="1">
        <v>0.13429744558700599</v>
      </c>
      <c r="D44202" s="1">
        <v>0.135315222962583</v>
      </c>
      <c r="E44202" s="1">
        <v>0.16342756183745499</v>
      </c>
      <c r="F44202" s="1">
        <v>0.135439811789308</v>
      </c>
    </row>
    <row r="44203" spans="1:6" x14ac:dyDescent="0.25">
      <c r="A44203" s="2" t="str">
        <f t="shared" si="1384"/>
        <v>11900</v>
      </c>
      <c r="B44203" s="2" t="str">
        <f>"45740"</f>
        <v>45740</v>
      </c>
      <c r="C44203" s="1">
        <v>1.0900766687257E-4</v>
      </c>
      <c r="D44203" s="1">
        <v>5.1255766273705704E-4</v>
      </c>
      <c r="E44203" s="1">
        <v>8.8339222614840902E-4</v>
      </c>
      <c r="F44203" s="1">
        <v>1.6337733629590901E-4</v>
      </c>
    </row>
    <row r="44204" spans="1:6" x14ac:dyDescent="0.25">
      <c r="A44204" s="2" t="str">
        <f t="shared" si="1384"/>
        <v>11900</v>
      </c>
      <c r="B44204" s="2" t="str">
        <f>"45776"</f>
        <v>45776</v>
      </c>
      <c r="C44204" s="1">
        <v>6.6131317902692402E-3</v>
      </c>
      <c r="D44204" s="1">
        <v>1.02511532547411E-3</v>
      </c>
      <c r="E44204" s="1">
        <v>0</v>
      </c>
      <c r="F44204" s="1">
        <v>6.0122859756894503E-3</v>
      </c>
    </row>
    <row r="44205" spans="1:6" x14ac:dyDescent="0.25">
      <c r="A44205" s="2" t="str">
        <f t="shared" si="1384"/>
        <v>11900</v>
      </c>
      <c r="B44205" s="2" t="str">
        <f>"45766"</f>
        <v>45766</v>
      </c>
      <c r="C44205" s="1">
        <v>2.4526725046328201E-2</v>
      </c>
      <c r="D44205" s="1">
        <v>2.0502306509482299E-3</v>
      </c>
      <c r="E44205" s="1">
        <v>1.76678445229681E-3</v>
      </c>
      <c r="F44205" s="1">
        <v>2.2251993203502799E-2</v>
      </c>
    </row>
    <row r="44206" spans="1:6" x14ac:dyDescent="0.25">
      <c r="A44206" s="2" t="str">
        <f t="shared" si="1384"/>
        <v>11900</v>
      </c>
      <c r="B44206" s="2" t="str">
        <f>"45735"</f>
        <v>45735</v>
      </c>
      <c r="C44206" s="1">
        <v>3.3138330729261201E-2</v>
      </c>
      <c r="D44206" s="1">
        <v>7.6883649410558596E-3</v>
      </c>
      <c r="E44206" s="1">
        <v>5.3003533568904502E-3</v>
      </c>
      <c r="F44206" s="1">
        <v>3.04862109528166E-2</v>
      </c>
    </row>
    <row r="44207" spans="1:6" x14ac:dyDescent="0.25">
      <c r="A44207" s="2" t="str">
        <f t="shared" si="1384"/>
        <v>11900</v>
      </c>
      <c r="B44207" s="2" t="str">
        <f>"45761"</f>
        <v>45761</v>
      </c>
      <c r="C44207" s="1">
        <v>2.85236728316558E-2</v>
      </c>
      <c r="D44207" s="1">
        <v>8.2009226037929196E-3</v>
      </c>
      <c r="E44207" s="1">
        <v>3.53356890459363E-3</v>
      </c>
      <c r="F44207" s="1">
        <v>2.63037511436413E-2</v>
      </c>
    </row>
    <row r="44208" spans="1:6" x14ac:dyDescent="0.25">
      <c r="A44208" s="2" t="str">
        <f t="shared" ref="A44208:A44239" si="1385">"17460"</f>
        <v>17460</v>
      </c>
      <c r="B44208" s="2" t="str">
        <f>"44333"</f>
        <v>44333</v>
      </c>
      <c r="C44208" s="1">
        <v>6.2735862714628998E-5</v>
      </c>
      <c r="D44208" s="1">
        <v>0</v>
      </c>
      <c r="E44208" s="1">
        <v>0</v>
      </c>
      <c r="F44208" s="1">
        <v>5.5658833613482701E-5</v>
      </c>
    </row>
    <row r="44209" spans="1:6" x14ac:dyDescent="0.25">
      <c r="A44209" s="2" t="str">
        <f t="shared" si="1385"/>
        <v>17460</v>
      </c>
      <c r="B44209" s="2" t="str">
        <f>"44215"</f>
        <v>44215</v>
      </c>
      <c r="C44209" s="1">
        <v>9.960524664845709E-4</v>
      </c>
      <c r="D44209" s="1">
        <v>1.51634949689689E-4</v>
      </c>
      <c r="E44209" s="1">
        <v>3.80594742717953E-4</v>
      </c>
      <c r="F44209" s="1">
        <v>9.0852342252161899E-4</v>
      </c>
    </row>
    <row r="44210" spans="1:6" x14ac:dyDescent="0.25">
      <c r="A44210" s="2" t="str">
        <f t="shared" si="1385"/>
        <v>17460</v>
      </c>
      <c r="B44210" s="2" t="str">
        <f>"44199"</f>
        <v>44199</v>
      </c>
      <c r="C44210" s="1">
        <v>0</v>
      </c>
      <c r="D44210" s="1">
        <v>0</v>
      </c>
      <c r="E44210" s="1">
        <v>7.8656246828377101E-4</v>
      </c>
      <c r="F44210" s="1">
        <v>2.6544982184891698E-5</v>
      </c>
    </row>
    <row r="44211" spans="1:6" x14ac:dyDescent="0.25">
      <c r="A44211" s="2" t="str">
        <f t="shared" si="1385"/>
        <v>17460</v>
      </c>
      <c r="B44211" s="2" t="str">
        <f>"44195"</f>
        <v>44195</v>
      </c>
      <c r="C44211" s="1">
        <v>0</v>
      </c>
      <c r="D44211" s="1">
        <v>2.1662135669955702E-5</v>
      </c>
      <c r="E44211" s="1">
        <v>0</v>
      </c>
      <c r="F44211" s="1">
        <v>1.7125794957994699E-6</v>
      </c>
    </row>
    <row r="44212" spans="1:6" x14ac:dyDescent="0.25">
      <c r="A44212" s="2" t="str">
        <f t="shared" si="1385"/>
        <v>17460</v>
      </c>
      <c r="B44212" s="2" t="str">
        <f>"44144"</f>
        <v>44144</v>
      </c>
      <c r="C44212" s="1">
        <v>1.0065727880782501E-2</v>
      </c>
      <c r="D44212" s="1">
        <v>5.3397164426440798E-3</v>
      </c>
      <c r="E44212" s="1">
        <v>7.3835380087282996E-3</v>
      </c>
      <c r="F44212" s="1">
        <v>9.6015769431997307E-3</v>
      </c>
    </row>
    <row r="44213" spans="1:6" x14ac:dyDescent="0.25">
      <c r="A44213" s="2" t="str">
        <f t="shared" si="1385"/>
        <v>17460</v>
      </c>
      <c r="B44213" s="2" t="str">
        <f>"44136"</f>
        <v>44136</v>
      </c>
      <c r="C44213" s="1">
        <v>1.18281230395042E-2</v>
      </c>
      <c r="D44213" s="1">
        <v>1.6430729905661301E-2</v>
      </c>
      <c r="E44213" s="1">
        <v>5.8865320207043496E-3</v>
      </c>
      <c r="F44213" s="1">
        <v>1.19914816295878E-2</v>
      </c>
    </row>
    <row r="44214" spans="1:6" x14ac:dyDescent="0.25">
      <c r="A44214" s="2" t="str">
        <f t="shared" si="1385"/>
        <v>17460</v>
      </c>
      <c r="B44214" s="2" t="str">
        <f>"44134"</f>
        <v>44134</v>
      </c>
      <c r="C44214" s="1">
        <v>1.7449256338735002E-2</v>
      </c>
      <c r="D44214" s="1">
        <v>1.1080182395182299E-2</v>
      </c>
      <c r="E44214" s="1">
        <v>6.5716025575966704E-3</v>
      </c>
      <c r="F44214" s="1">
        <v>1.65786258090867E-2</v>
      </c>
    </row>
    <row r="44215" spans="1:6" x14ac:dyDescent="0.25">
      <c r="A44215" s="2" t="str">
        <f t="shared" si="1385"/>
        <v>17460</v>
      </c>
      <c r="B44215" s="2" t="str">
        <f>"44126"</f>
        <v>44126</v>
      </c>
      <c r="C44215" s="1">
        <v>8.2048856759547907E-3</v>
      </c>
      <c r="D44215" s="1">
        <v>7.0510251605705801E-3</v>
      </c>
      <c r="E44215" s="1">
        <v>7.1044351974017999E-3</v>
      </c>
      <c r="F44215" s="1">
        <v>8.0765249021902998E-3</v>
      </c>
    </row>
    <row r="44216" spans="1:6" x14ac:dyDescent="0.25">
      <c r="A44216" s="2" t="str">
        <f t="shared" si="1385"/>
        <v>17460</v>
      </c>
      <c r="B44216" s="2" t="str">
        <f>"44118"</f>
        <v>44118</v>
      </c>
      <c r="C44216" s="1">
        <v>1.8832340819812901E-2</v>
      </c>
      <c r="D44216" s="1">
        <v>1.5683386225047901E-2</v>
      </c>
      <c r="E44216" s="1">
        <v>2.8189383943976399E-2</v>
      </c>
      <c r="F44216" s="1">
        <v>1.8899171025895001E-2</v>
      </c>
    </row>
    <row r="44217" spans="1:6" x14ac:dyDescent="0.25">
      <c r="A44217" s="2" t="str">
        <f t="shared" si="1385"/>
        <v>17460</v>
      </c>
      <c r="B44217" s="2" t="str">
        <f>"44115"</f>
        <v>44115</v>
      </c>
      <c r="C44217" s="1">
        <v>5.0053566775087096E-3</v>
      </c>
      <c r="D44217" s="1">
        <v>1.5542582343193201E-2</v>
      </c>
      <c r="E44217" s="1">
        <v>9.9208362935146593E-3</v>
      </c>
      <c r="F44217" s="1">
        <v>6.0043037122729402E-3</v>
      </c>
    </row>
    <row r="44218" spans="1:6" x14ac:dyDescent="0.25">
      <c r="A44218" s="2" t="str">
        <f t="shared" si="1385"/>
        <v>17460</v>
      </c>
      <c r="B44218" s="2" t="str">
        <f>"44109"</f>
        <v>44109</v>
      </c>
      <c r="C44218" s="1">
        <v>1.89877327259214E-2</v>
      </c>
      <c r="D44218" s="1">
        <v>1.7123918247099901E-2</v>
      </c>
      <c r="E44218" s="1">
        <v>2.57789505734294E-2</v>
      </c>
      <c r="F44218" s="1">
        <v>1.90695726857271E-2</v>
      </c>
    </row>
    <row r="44219" spans="1:6" x14ac:dyDescent="0.25">
      <c r="A44219" s="2" t="str">
        <f t="shared" si="1385"/>
        <v>17460</v>
      </c>
      <c r="B44219" s="2" t="str">
        <f>"44107"</f>
        <v>44107</v>
      </c>
      <c r="C44219" s="1">
        <v>2.9237807526373099E-2</v>
      </c>
      <c r="D44219" s="1">
        <v>1.9506753170795098E-2</v>
      </c>
      <c r="E44219" s="1">
        <v>4.5696742109002299E-2</v>
      </c>
      <c r="F44219" s="1">
        <v>2.9023941005061501E-2</v>
      </c>
    </row>
    <row r="44220" spans="1:6" x14ac:dyDescent="0.25">
      <c r="A44220" s="2" t="str">
        <f t="shared" si="1385"/>
        <v>17460</v>
      </c>
      <c r="B44220" s="2" t="str">
        <f>"44080"</f>
        <v>44080</v>
      </c>
      <c r="C44220" s="1">
        <v>9.6516711868660007E-7</v>
      </c>
      <c r="D44220" s="1">
        <v>0</v>
      </c>
      <c r="E44220" s="1">
        <v>2.53729828478635E-5</v>
      </c>
      <c r="F44220" s="1">
        <v>1.7125794957994699E-6</v>
      </c>
    </row>
    <row r="44221" spans="1:6" x14ac:dyDescent="0.25">
      <c r="A44221" s="2" t="str">
        <f t="shared" si="1385"/>
        <v>17460</v>
      </c>
      <c r="B44221" s="2" t="str">
        <f>"44070"</f>
        <v>44070</v>
      </c>
      <c r="C44221" s="1">
        <v>1.45971875030161E-2</v>
      </c>
      <c r="D44221" s="1">
        <v>1.5889176513912501E-2</v>
      </c>
      <c r="E44221" s="1">
        <v>1.29148482695625E-2</v>
      </c>
      <c r="F44221" s="1">
        <v>1.46425546890854E-2</v>
      </c>
    </row>
    <row r="44222" spans="1:6" x14ac:dyDescent="0.25">
      <c r="A44222" s="2" t="str">
        <f t="shared" si="1385"/>
        <v>17460</v>
      </c>
      <c r="B44222" s="2" t="str">
        <f>"44045"</f>
        <v>44045</v>
      </c>
      <c r="C44222" s="1">
        <v>2.24883938653977E-4</v>
      </c>
      <c r="D44222" s="1">
        <v>0</v>
      </c>
      <c r="E44222" s="1">
        <v>1.09103826245813E-3</v>
      </c>
      <c r="F44222" s="1">
        <v>2.36335970420326E-4</v>
      </c>
    </row>
    <row r="44223" spans="1:6" x14ac:dyDescent="0.25">
      <c r="A44223" s="2" t="str">
        <f t="shared" si="1385"/>
        <v>17460</v>
      </c>
      <c r="B44223" s="2" t="str">
        <f>"44033"</f>
        <v>44033</v>
      </c>
      <c r="C44223" s="1">
        <v>0</v>
      </c>
      <c r="D44223" s="1">
        <v>0</v>
      </c>
      <c r="E44223" s="1">
        <v>2.53729828478635E-5</v>
      </c>
      <c r="F44223" s="1">
        <v>8.5628974789973495E-7</v>
      </c>
    </row>
    <row r="44224" spans="1:6" x14ac:dyDescent="0.25">
      <c r="A44224" s="2" t="str">
        <f t="shared" si="1385"/>
        <v>17460</v>
      </c>
      <c r="B44224" s="2" t="str">
        <f>"44028"</f>
        <v>44028</v>
      </c>
      <c r="C44224" s="1">
        <v>3.53926782422376E-3</v>
      </c>
      <c r="D44224" s="1">
        <v>3.7367184030673499E-3</v>
      </c>
      <c r="E44224" s="1">
        <v>1.09103826245813E-3</v>
      </c>
      <c r="F44224" s="1">
        <v>3.4722549277334202E-3</v>
      </c>
    </row>
    <row r="44225" spans="1:6" x14ac:dyDescent="0.25">
      <c r="A44225" s="2" t="str">
        <f t="shared" si="1385"/>
        <v>17460</v>
      </c>
      <c r="B44225" s="2" t="str">
        <f>"44012"</f>
        <v>44012</v>
      </c>
      <c r="C44225" s="1">
        <v>1.0318601665878399E-2</v>
      </c>
      <c r="D44225" s="1">
        <v>5.1014329502745599E-3</v>
      </c>
      <c r="E44225" s="1">
        <v>3.5014716330051699E-3</v>
      </c>
      <c r="F44225" s="1">
        <v>9.6760741512670004E-3</v>
      </c>
    </row>
    <row r="44226" spans="1:6" x14ac:dyDescent="0.25">
      <c r="A44226" s="2" t="str">
        <f t="shared" si="1385"/>
        <v>17460</v>
      </c>
      <c r="B44226" s="2" t="str">
        <f>"44851"</f>
        <v>44851</v>
      </c>
      <c r="C44226" s="1">
        <v>2.0558059628024501E-4</v>
      </c>
      <c r="D44226" s="1">
        <v>0</v>
      </c>
      <c r="E44226" s="1">
        <v>0</v>
      </c>
      <c r="F44226" s="1">
        <v>1.8238971630264299E-4</v>
      </c>
    </row>
    <row r="44227" spans="1:6" x14ac:dyDescent="0.25">
      <c r="A44227" s="2" t="str">
        <f t="shared" si="1385"/>
        <v>17460</v>
      </c>
      <c r="B44227" s="2" t="str">
        <f>"44889"</f>
        <v>44889</v>
      </c>
      <c r="C44227" s="1">
        <v>2.7796813018173997E-4</v>
      </c>
      <c r="D44227" s="1">
        <v>6.4986407009867098E-5</v>
      </c>
      <c r="E44227" s="1">
        <v>0</v>
      </c>
      <c r="F44227" s="1">
        <v>2.51749185882522E-4</v>
      </c>
    </row>
    <row r="44228" spans="1:6" x14ac:dyDescent="0.25">
      <c r="A44228" s="2" t="str">
        <f t="shared" si="1385"/>
        <v>17460</v>
      </c>
      <c r="B44228" s="2" t="str">
        <f>"44203"</f>
        <v>44203</v>
      </c>
      <c r="C44228" s="1">
        <v>4.1502186103523803E-5</v>
      </c>
      <c r="D44228" s="1">
        <v>0</v>
      </c>
      <c r="E44228" s="1">
        <v>0</v>
      </c>
      <c r="F44228" s="1">
        <v>3.68204591596886E-5</v>
      </c>
    </row>
    <row r="44229" spans="1:6" x14ac:dyDescent="0.25">
      <c r="A44229" s="2" t="str">
        <f t="shared" si="1385"/>
        <v>17460</v>
      </c>
      <c r="B44229" s="2" t="str">
        <f>"44147"</f>
        <v>44147</v>
      </c>
      <c r="C44229" s="1">
        <v>8.6382457122450695E-3</v>
      </c>
      <c r="D44229" s="1">
        <v>8.64319213231232E-3</v>
      </c>
      <c r="E44229" s="1">
        <v>8.8805439967522496E-3</v>
      </c>
      <c r="F44229" s="1">
        <v>8.6468138742915208E-3</v>
      </c>
    </row>
    <row r="44230" spans="1:6" x14ac:dyDescent="0.25">
      <c r="A44230" s="2" t="str">
        <f t="shared" si="1385"/>
        <v>17460</v>
      </c>
      <c r="B44230" s="2" t="str">
        <f>"44274"</f>
        <v>44274</v>
      </c>
      <c r="C44230" s="1">
        <v>2.4708278238376902E-4</v>
      </c>
      <c r="D44230" s="1">
        <v>1.9929164816359199E-3</v>
      </c>
      <c r="E44230" s="1">
        <v>5.0745965695727102E-5</v>
      </c>
      <c r="F44230" s="1">
        <v>3.7848006857168299E-4</v>
      </c>
    </row>
    <row r="44231" spans="1:6" x14ac:dyDescent="0.25">
      <c r="A44231" s="2" t="str">
        <f t="shared" si="1385"/>
        <v>17460</v>
      </c>
      <c r="B44231" s="2" t="str">
        <f>"44142"</f>
        <v>44142</v>
      </c>
      <c r="C44231" s="1">
        <v>7.8815546911947792E-3</v>
      </c>
      <c r="D44231" s="1">
        <v>6.0978911910925197E-3</v>
      </c>
      <c r="E44231" s="1">
        <v>4.6178828783111697E-3</v>
      </c>
      <c r="F44231" s="1">
        <v>7.6303979435345401E-3</v>
      </c>
    </row>
    <row r="44232" spans="1:6" x14ac:dyDescent="0.25">
      <c r="A44232" s="2" t="str">
        <f t="shared" si="1385"/>
        <v>17460</v>
      </c>
      <c r="B44232" s="2" t="str">
        <f>"44235"</f>
        <v>44235</v>
      </c>
      <c r="C44232" s="1">
        <v>5.4242392070186901E-4</v>
      </c>
      <c r="D44232" s="1">
        <v>3.2493203504933501E-5</v>
      </c>
      <c r="E44232" s="1">
        <v>2.53729828478635E-5</v>
      </c>
      <c r="F44232" s="1">
        <v>4.8465999731124999E-4</v>
      </c>
    </row>
    <row r="44233" spans="1:6" x14ac:dyDescent="0.25">
      <c r="A44233" s="2" t="str">
        <f t="shared" si="1385"/>
        <v>17460</v>
      </c>
      <c r="B44233" s="2" t="str">
        <f>"44124"</f>
        <v>44124</v>
      </c>
      <c r="C44233" s="1">
        <v>2.1003001669739101E-2</v>
      </c>
      <c r="D44233" s="1">
        <v>1.97558677309995E-2</v>
      </c>
      <c r="E44233" s="1">
        <v>1.1468588247234301E-2</v>
      </c>
      <c r="F44233" s="1">
        <v>2.05826366702659E-2</v>
      </c>
    </row>
    <row r="44234" spans="1:6" x14ac:dyDescent="0.25">
      <c r="A44234" s="2" t="str">
        <f t="shared" si="1385"/>
        <v>17460</v>
      </c>
      <c r="B44234" s="2" t="str">
        <f>"44122"</f>
        <v>44122</v>
      </c>
      <c r="C44234" s="1">
        <v>1.7124960186856299E-2</v>
      </c>
      <c r="D44234" s="1">
        <v>3.3467999610081497E-2</v>
      </c>
      <c r="E44234" s="1">
        <v>1.97909266213336E-2</v>
      </c>
      <c r="F44234" s="1">
        <v>1.85069903213569E-2</v>
      </c>
    </row>
    <row r="44235" spans="1:6" x14ac:dyDescent="0.25">
      <c r="A44235" s="2" t="str">
        <f t="shared" si="1385"/>
        <v>17460</v>
      </c>
      <c r="B44235" s="2" t="str">
        <f>"44110"</f>
        <v>44110</v>
      </c>
      <c r="C44235" s="1">
        <v>1.1660183960852799E-2</v>
      </c>
      <c r="D44235" s="1">
        <v>1.02786833753939E-2</v>
      </c>
      <c r="E44235" s="1">
        <v>1.8268547650461701E-2</v>
      </c>
      <c r="F44235" s="1">
        <v>1.17739840336213E-2</v>
      </c>
    </row>
    <row r="44236" spans="1:6" x14ac:dyDescent="0.25">
      <c r="A44236" s="2" t="str">
        <f t="shared" si="1385"/>
        <v>17460</v>
      </c>
      <c r="B44236" s="2" t="str">
        <f>"44057"</f>
        <v>44057</v>
      </c>
      <c r="C44236" s="1">
        <v>8.5069829841036906E-3</v>
      </c>
      <c r="D44236" s="1">
        <v>6.1628775981023903E-3</v>
      </c>
      <c r="E44236" s="1">
        <v>2.6387902161778098E-3</v>
      </c>
      <c r="F44236" s="1">
        <v>8.1236208383247792E-3</v>
      </c>
    </row>
    <row r="44237" spans="1:6" x14ac:dyDescent="0.25">
      <c r="A44237" s="2" t="str">
        <f t="shared" si="1385"/>
        <v>17460</v>
      </c>
      <c r="B44237" s="2" t="str">
        <f>"44054"</f>
        <v>44054</v>
      </c>
      <c r="C44237" s="1">
        <v>5.37887635244042E-3</v>
      </c>
      <c r="D44237" s="1">
        <v>2.4694834663749402E-3</v>
      </c>
      <c r="E44237" s="1">
        <v>2.5372982847863502E-3</v>
      </c>
      <c r="F44237" s="1">
        <v>5.0529658023563302E-3</v>
      </c>
    </row>
    <row r="44238" spans="1:6" x14ac:dyDescent="0.25">
      <c r="A44238" s="2" t="str">
        <f t="shared" si="1385"/>
        <v>17460</v>
      </c>
      <c r="B44238" s="2" t="str">
        <f>"44049"</f>
        <v>44049</v>
      </c>
      <c r="C44238" s="1">
        <v>1.9303342373732001E-6</v>
      </c>
      <c r="D44238" s="1">
        <v>0</v>
      </c>
      <c r="E44238" s="1">
        <v>2.53729828478635E-5</v>
      </c>
      <c r="F44238" s="1">
        <v>2.5688692436991999E-6</v>
      </c>
    </row>
    <row r="44239" spans="1:6" x14ac:dyDescent="0.25">
      <c r="A44239" s="2" t="str">
        <f t="shared" si="1385"/>
        <v>17460</v>
      </c>
      <c r="B44239" s="2" t="str">
        <f>"44044"</f>
        <v>44044</v>
      </c>
      <c r="C44239" s="1">
        <v>4.6820256927486903E-3</v>
      </c>
      <c r="D44239" s="1">
        <v>2.8702329762691301E-3</v>
      </c>
      <c r="E44239" s="1">
        <v>8.8805439967522498E-4</v>
      </c>
      <c r="F44239" s="1">
        <v>4.4107484914315299E-3</v>
      </c>
    </row>
    <row r="44240" spans="1:6" x14ac:dyDescent="0.25">
      <c r="A44240" s="2" t="str">
        <f t="shared" ref="A44240:A44271" si="1386">"17460"</f>
        <v>17460</v>
      </c>
      <c r="B44240" s="2" t="str">
        <f>"44053"</f>
        <v>44053</v>
      </c>
      <c r="C44240" s="1">
        <v>9.6207858390680301E-3</v>
      </c>
      <c r="D44240" s="1">
        <v>6.4553164296467904E-3</v>
      </c>
      <c r="E44240" s="1">
        <v>1.15954531614736E-2</v>
      </c>
      <c r="F44240" s="1">
        <v>9.43716931160298E-3</v>
      </c>
    </row>
    <row r="44241" spans="1:6" x14ac:dyDescent="0.25">
      <c r="A44241" s="2" t="str">
        <f t="shared" si="1386"/>
        <v>17460</v>
      </c>
      <c r="B44241" s="2" t="str">
        <f>"44023"</f>
        <v>44023</v>
      </c>
      <c r="C44241" s="1">
        <v>7.6267505718615103E-3</v>
      </c>
      <c r="D44241" s="1">
        <v>9.4338600842657008E-3</v>
      </c>
      <c r="E44241" s="1">
        <v>2.9940119760479E-3</v>
      </c>
      <c r="F44241" s="1">
        <v>7.6132721485765399E-3</v>
      </c>
    </row>
    <row r="44242" spans="1:6" x14ac:dyDescent="0.25">
      <c r="A44242" s="2" t="str">
        <f t="shared" si="1386"/>
        <v>17460</v>
      </c>
      <c r="B44242" s="2" t="str">
        <f>"44859"</f>
        <v>44859</v>
      </c>
      <c r="C44242" s="1">
        <v>3.1850514916657803E-5</v>
      </c>
      <c r="D44242" s="1">
        <v>0</v>
      </c>
      <c r="E44242" s="1">
        <v>0</v>
      </c>
      <c r="F44242" s="1">
        <v>2.8257561680691199E-5</v>
      </c>
    </row>
    <row r="44243" spans="1:6" x14ac:dyDescent="0.25">
      <c r="A44243" s="2" t="str">
        <f t="shared" si="1386"/>
        <v>17460</v>
      </c>
      <c r="B44243" s="2" t="str">
        <f>"44321"</f>
        <v>44321</v>
      </c>
      <c r="C44243" s="1">
        <v>3.66763505100908E-5</v>
      </c>
      <c r="D44243" s="1">
        <v>2.1662135669955702E-5</v>
      </c>
      <c r="E44243" s="1">
        <v>0</v>
      </c>
      <c r="F44243" s="1">
        <v>3.4251589915989397E-5</v>
      </c>
    </row>
    <row r="44244" spans="1:6" x14ac:dyDescent="0.25">
      <c r="A44244" s="2" t="str">
        <f t="shared" si="1386"/>
        <v>17460</v>
      </c>
      <c r="B44244" s="2" t="str">
        <f>"44202"</f>
        <v>44202</v>
      </c>
      <c r="C44244" s="1">
        <v>7.8178536613614596E-5</v>
      </c>
      <c r="D44244" s="1">
        <v>7.1485047710853795E-4</v>
      </c>
      <c r="E44244" s="1">
        <v>5.0745965695727102E-5</v>
      </c>
      <c r="F44244" s="1">
        <v>1.2758717243705999E-4</v>
      </c>
    </row>
    <row r="44245" spans="1:6" x14ac:dyDescent="0.25">
      <c r="A44245" s="2" t="str">
        <f t="shared" si="1386"/>
        <v>17460</v>
      </c>
      <c r="B44245" s="2" t="str">
        <f>"44149"</f>
        <v>44149</v>
      </c>
      <c r="C44245" s="1">
        <v>8.0919611230684495E-3</v>
      </c>
      <c r="D44245" s="1">
        <v>3.8883533527570399E-3</v>
      </c>
      <c r="E44245" s="1">
        <v>1.5984979194154001E-3</v>
      </c>
      <c r="F44245" s="1">
        <v>7.5404875200050601E-3</v>
      </c>
    </row>
    <row r="44246" spans="1:6" x14ac:dyDescent="0.25">
      <c r="A44246" s="2" t="str">
        <f t="shared" si="1386"/>
        <v>17460</v>
      </c>
      <c r="B44246" s="2" t="str">
        <f>"44140"</f>
        <v>44140</v>
      </c>
      <c r="C44246" s="1">
        <v>6.4685500294375904E-3</v>
      </c>
      <c r="D44246" s="1">
        <v>4.0183261667767799E-3</v>
      </c>
      <c r="E44246" s="1">
        <v>6.59697554044453E-4</v>
      </c>
      <c r="F44246" s="1">
        <v>6.0788009203402204E-3</v>
      </c>
    </row>
    <row r="44247" spans="1:6" x14ac:dyDescent="0.25">
      <c r="A44247" s="2" t="str">
        <f t="shared" si="1386"/>
        <v>17460</v>
      </c>
      <c r="B44247" s="2" t="str">
        <f>"44231"</f>
        <v>44231</v>
      </c>
      <c r="C44247" s="1">
        <v>2.9051530272466601E-4</v>
      </c>
      <c r="D44247" s="1">
        <v>2.1662135669955702E-5</v>
      </c>
      <c r="E44247" s="1">
        <v>5.0745965695727102E-5</v>
      </c>
      <c r="F44247" s="1">
        <v>2.61168373109419E-4</v>
      </c>
    </row>
    <row r="44248" spans="1:6" x14ac:dyDescent="0.25">
      <c r="A44248" s="2" t="str">
        <f t="shared" si="1386"/>
        <v>17460</v>
      </c>
      <c r="B44248" s="2" t="str">
        <f>"44133"</f>
        <v>44133</v>
      </c>
      <c r="C44248" s="1">
        <v>1.5253501143723E-2</v>
      </c>
      <c r="D44248" s="1">
        <v>1.2585700824244201E-2</v>
      </c>
      <c r="E44248" s="1">
        <v>2.2074495077641299E-2</v>
      </c>
      <c r="F44248" s="1">
        <v>1.52727839435396E-2</v>
      </c>
    </row>
    <row r="44249" spans="1:6" x14ac:dyDescent="0.25">
      <c r="A44249" s="2" t="str">
        <f t="shared" si="1386"/>
        <v>17460</v>
      </c>
      <c r="B44249" s="2" t="str">
        <f>"44121"</f>
        <v>44121</v>
      </c>
      <c r="C44249" s="1">
        <v>1.5177252941346701E-2</v>
      </c>
      <c r="D44249" s="1">
        <v>1.20441474324953E-2</v>
      </c>
      <c r="E44249" s="1">
        <v>1.37775296863899E-2</v>
      </c>
      <c r="F44249" s="1">
        <v>1.48823158184973E-2</v>
      </c>
    </row>
    <row r="44250" spans="1:6" x14ac:dyDescent="0.25">
      <c r="A44250" s="2" t="str">
        <f t="shared" si="1386"/>
        <v>17460</v>
      </c>
      <c r="B44250" s="2" t="str">
        <f>"44114"</f>
        <v>44114</v>
      </c>
      <c r="C44250" s="1">
        <v>6.2253279155285697E-3</v>
      </c>
      <c r="D44250" s="1">
        <v>3.3045587964517398E-2</v>
      </c>
      <c r="E44250" s="1">
        <v>9.7685983964274792E-3</v>
      </c>
      <c r="F44250" s="1">
        <v>8.4652804477367803E-3</v>
      </c>
    </row>
    <row r="44251" spans="1:6" x14ac:dyDescent="0.25">
      <c r="A44251" s="2" t="str">
        <f t="shared" si="1386"/>
        <v>17460</v>
      </c>
      <c r="B44251" s="2" t="str">
        <f>"44073"</f>
        <v>44073</v>
      </c>
      <c r="C44251" s="1">
        <v>0</v>
      </c>
      <c r="D44251" s="1">
        <v>1.08310678349778E-5</v>
      </c>
      <c r="E44251" s="1">
        <v>0</v>
      </c>
      <c r="F44251" s="1">
        <v>8.5628974789973495E-7</v>
      </c>
    </row>
    <row r="44252" spans="1:6" x14ac:dyDescent="0.25">
      <c r="A44252" s="2" t="str">
        <f t="shared" si="1386"/>
        <v>17460</v>
      </c>
      <c r="B44252" s="2" t="str">
        <f>"44060"</f>
        <v>44060</v>
      </c>
      <c r="C44252" s="1">
        <v>2.6362574679805802E-2</v>
      </c>
      <c r="D44252" s="1">
        <v>3.4876038428628603E-2</v>
      </c>
      <c r="E44252" s="1">
        <v>2.0678981021008801E-2</v>
      </c>
      <c r="F44252" s="1">
        <v>2.6843827306908801E-2</v>
      </c>
    </row>
    <row r="44253" spans="1:6" x14ac:dyDescent="0.25">
      <c r="A44253" s="2" t="str">
        <f t="shared" si="1386"/>
        <v>17460</v>
      </c>
      <c r="B44253" s="2" t="str">
        <f>"44036"</f>
        <v>44036</v>
      </c>
      <c r="C44253" s="1">
        <v>1.01439064173961E-3</v>
      </c>
      <c r="D44253" s="1">
        <v>3.2926446218332602E-3</v>
      </c>
      <c r="E44253" s="1">
        <v>5.0745965695727102E-5</v>
      </c>
      <c r="F44253" s="1">
        <v>1.1619851878999399E-3</v>
      </c>
    </row>
    <row r="44254" spans="1:6" x14ac:dyDescent="0.25">
      <c r="A44254" s="2" t="str">
        <f t="shared" si="1386"/>
        <v>17460</v>
      </c>
      <c r="B44254" s="2" t="str">
        <f>"44024"</f>
        <v>44024</v>
      </c>
      <c r="C44254" s="1">
        <v>9.6719396963584198E-3</v>
      </c>
      <c r="D44254" s="1">
        <v>9.0656037778764596E-3</v>
      </c>
      <c r="E44254" s="1">
        <v>6.2924997462701698E-3</v>
      </c>
      <c r="F44254" s="1">
        <v>9.5099539401744607E-3</v>
      </c>
    </row>
    <row r="44255" spans="1:6" x14ac:dyDescent="0.25">
      <c r="A44255" s="2" t="str">
        <f t="shared" si="1386"/>
        <v>17460</v>
      </c>
      <c r="B44255" s="2" t="str">
        <f>"44001"</f>
        <v>44001</v>
      </c>
      <c r="C44255" s="1">
        <v>9.5570848092347092E-3</v>
      </c>
      <c r="D44255" s="1">
        <v>9.2605629989060603E-3</v>
      </c>
      <c r="E44255" s="1">
        <v>2.3343144220034501E-3</v>
      </c>
      <c r="F44255" s="1">
        <v>9.2898874749642191E-3</v>
      </c>
    </row>
    <row r="44256" spans="1:6" x14ac:dyDescent="0.25">
      <c r="A44256" s="2" t="str">
        <f t="shared" si="1386"/>
        <v>17460</v>
      </c>
      <c r="B44256" s="2" t="str">
        <f>"44212"</f>
        <v>44212</v>
      </c>
      <c r="C44256" s="1">
        <v>1.8989663060158798E-2</v>
      </c>
      <c r="D44256" s="1">
        <v>1.37987804217617E-2</v>
      </c>
      <c r="E44256" s="1">
        <v>1.39043946006292E-2</v>
      </c>
      <c r="F44256" s="1">
        <v>1.8407660710600598E-2</v>
      </c>
    </row>
    <row r="44257" spans="1:6" x14ac:dyDescent="0.25">
      <c r="A44257" s="2" t="str">
        <f t="shared" si="1386"/>
        <v>17460</v>
      </c>
      <c r="B44257" s="2" t="str">
        <f>"44253"</f>
        <v>44253</v>
      </c>
      <c r="C44257" s="1">
        <v>1.3251744539567001E-3</v>
      </c>
      <c r="D44257" s="1">
        <v>4.1158057772915801E-4</v>
      </c>
      <c r="E44257" s="1">
        <v>1.01491931391454E-4</v>
      </c>
      <c r="F44257" s="1">
        <v>1.2116499932781201E-3</v>
      </c>
    </row>
    <row r="44258" spans="1:6" x14ac:dyDescent="0.25">
      <c r="A44258" s="2" t="str">
        <f t="shared" si="1386"/>
        <v>17460</v>
      </c>
      <c r="B44258" s="2" t="str">
        <f>"44281"</f>
        <v>44281</v>
      </c>
      <c r="C44258" s="1">
        <v>1.3447673464660401E-2</v>
      </c>
      <c r="D44258" s="1">
        <v>8.8381513533419206E-3</v>
      </c>
      <c r="E44258" s="1">
        <v>8.3984573226428393E-3</v>
      </c>
      <c r="F44258" s="1">
        <v>1.2912849398328E-2</v>
      </c>
    </row>
    <row r="44259" spans="1:6" x14ac:dyDescent="0.25">
      <c r="A44259" s="2" t="str">
        <f t="shared" si="1386"/>
        <v>17460</v>
      </c>
      <c r="B44259" s="2" t="str">
        <f>"44141"</f>
        <v>44141</v>
      </c>
      <c r="C44259" s="1">
        <v>5.6597399839782197E-3</v>
      </c>
      <c r="D44259" s="1">
        <v>6.4661474974817704E-3</v>
      </c>
      <c r="E44259" s="1">
        <v>6.0387699177915297E-3</v>
      </c>
      <c r="F44259" s="1">
        <v>5.7362850211803203E-3</v>
      </c>
    </row>
    <row r="44260" spans="1:6" x14ac:dyDescent="0.25">
      <c r="A44260" s="2" t="str">
        <f t="shared" si="1386"/>
        <v>17460</v>
      </c>
      <c r="B44260" s="2" t="str">
        <f>"44139"</f>
        <v>44139</v>
      </c>
      <c r="C44260" s="1">
        <v>1.0418979046221801E-2</v>
      </c>
      <c r="D44260" s="1">
        <v>1.9983320155534098E-2</v>
      </c>
      <c r="E44260" s="1">
        <v>1.07073987617984E-2</v>
      </c>
      <c r="F44260" s="1">
        <v>1.11848566870663E-2</v>
      </c>
    </row>
    <row r="44261" spans="1:6" x14ac:dyDescent="0.25">
      <c r="A44261" s="2" t="str">
        <f t="shared" si="1386"/>
        <v>17460</v>
      </c>
      <c r="B44261" s="2" t="str">
        <f>"44137"</f>
        <v>44137</v>
      </c>
      <c r="C44261" s="1">
        <v>1.08175930662394E-2</v>
      </c>
      <c r="D44261" s="1">
        <v>8.0474834013885398E-3</v>
      </c>
      <c r="E44261" s="1">
        <v>6.9775702831624802E-3</v>
      </c>
      <c r="F44261" s="1">
        <v>1.04689984578221E-2</v>
      </c>
    </row>
    <row r="44262" spans="1:6" x14ac:dyDescent="0.25">
      <c r="A44262" s="2" t="str">
        <f t="shared" si="1386"/>
        <v>17460</v>
      </c>
      <c r="B44262" s="2" t="str">
        <f>"44132"</f>
        <v>44132</v>
      </c>
      <c r="C44262" s="1">
        <v>8.0823094518815905E-3</v>
      </c>
      <c r="D44262" s="1">
        <v>8.6540232001473E-3</v>
      </c>
      <c r="E44262" s="1">
        <v>1.04790419161676E-2</v>
      </c>
      <c r="F44262" s="1">
        <v>8.2083935233668599E-3</v>
      </c>
    </row>
    <row r="44263" spans="1:6" x14ac:dyDescent="0.25">
      <c r="A44263" s="2" t="str">
        <f t="shared" si="1386"/>
        <v>17460</v>
      </c>
      <c r="B44263" s="2" t="str">
        <f>"44128"</f>
        <v>44128</v>
      </c>
      <c r="C44263" s="1">
        <v>1.4760300746074101E-2</v>
      </c>
      <c r="D44263" s="1">
        <v>1.8412815319462299E-2</v>
      </c>
      <c r="E44263" s="1">
        <v>2.2581954734598501E-2</v>
      </c>
      <c r="F44263" s="1">
        <v>1.5313029561690899E-2</v>
      </c>
    </row>
    <row r="44264" spans="1:6" x14ac:dyDescent="0.25">
      <c r="A44264" s="2" t="str">
        <f t="shared" si="1386"/>
        <v>17460</v>
      </c>
      <c r="B44264" s="2" t="str">
        <f>"44113"</f>
        <v>44113</v>
      </c>
      <c r="C44264" s="1">
        <v>1.1332992307618001E-2</v>
      </c>
      <c r="D44264" s="1">
        <v>2.5333867666013098E-2</v>
      </c>
      <c r="E44264" s="1">
        <v>2.5702831624885802E-2</v>
      </c>
      <c r="F44264" s="1">
        <v>1.29248374547986E-2</v>
      </c>
    </row>
    <row r="44265" spans="1:6" x14ac:dyDescent="0.25">
      <c r="A44265" s="2" t="str">
        <f t="shared" si="1386"/>
        <v>17460</v>
      </c>
      <c r="B44265" s="2" t="str">
        <f>"44095"</f>
        <v>44095</v>
      </c>
      <c r="C44265" s="1">
        <v>1.4875155633197801E-2</v>
      </c>
      <c r="D44265" s="1">
        <v>1.1740877533115901E-2</v>
      </c>
      <c r="E44265" s="1">
        <v>9.3118847051659303E-3</v>
      </c>
      <c r="F44265" s="1">
        <v>1.4439614018833201E-2</v>
      </c>
    </row>
    <row r="44266" spans="1:6" x14ac:dyDescent="0.25">
      <c r="A44266" s="2" t="str">
        <f t="shared" si="1386"/>
        <v>17460</v>
      </c>
      <c r="B44266" s="2" t="str">
        <f>"44077"</f>
        <v>44077</v>
      </c>
      <c r="C44266" s="1">
        <v>2.50798675790713E-2</v>
      </c>
      <c r="D44266" s="1">
        <v>2.11747376173816E-2</v>
      </c>
      <c r="E44266" s="1">
        <v>1.6213336039784799E-2</v>
      </c>
      <c r="F44266" s="1">
        <v>2.4471904705226501E-2</v>
      </c>
    </row>
    <row r="44267" spans="1:6" x14ac:dyDescent="0.25">
      <c r="A44267" s="2" t="str">
        <f t="shared" si="1386"/>
        <v>17460</v>
      </c>
      <c r="B44267" s="2" t="str">
        <f>"44065"</f>
        <v>44065</v>
      </c>
      <c r="C44267" s="1">
        <v>1.6919379590576099E-3</v>
      </c>
      <c r="D44267" s="1">
        <v>2.27452424534534E-3</v>
      </c>
      <c r="E44267" s="1">
        <v>5.8357860550086198E-4</v>
      </c>
      <c r="F44267" s="1">
        <v>1.7005914393288699E-3</v>
      </c>
    </row>
    <row r="44268" spans="1:6" x14ac:dyDescent="0.25">
      <c r="A44268" s="2" t="str">
        <f t="shared" si="1386"/>
        <v>17460</v>
      </c>
      <c r="B44268" s="2" t="str">
        <f>"44061"</f>
        <v>44061</v>
      </c>
      <c r="C44268" s="1">
        <v>9.2269976546439003E-4</v>
      </c>
      <c r="D44268" s="1">
        <v>4.2024543199713996E-3</v>
      </c>
      <c r="E44268" s="1">
        <v>5.0745965695727102E-5</v>
      </c>
      <c r="F44268" s="1">
        <v>1.15256600067304E-3</v>
      </c>
    </row>
    <row r="44269" spans="1:6" x14ac:dyDescent="0.25">
      <c r="A44269" s="2" t="str">
        <f t="shared" si="1386"/>
        <v>17460</v>
      </c>
      <c r="B44269" s="2" t="str">
        <f>"44035"</f>
        <v>44035</v>
      </c>
      <c r="C44269" s="1">
        <v>2.8605623063633401E-2</v>
      </c>
      <c r="D44269" s="1">
        <v>2.6893541434250001E-2</v>
      </c>
      <c r="E44269" s="1">
        <v>1.9968537501268601E-2</v>
      </c>
      <c r="F44269" s="1">
        <v>2.81787830238844E-2</v>
      </c>
    </row>
    <row r="44270" spans="1:6" x14ac:dyDescent="0.25">
      <c r="A44270" s="2" t="str">
        <f t="shared" si="1386"/>
        <v>17460</v>
      </c>
      <c r="B44270" s="2" t="str">
        <f>"44214"</f>
        <v>44214</v>
      </c>
      <c r="C44270" s="1">
        <v>8.3004372207047606E-5</v>
      </c>
      <c r="D44270" s="1">
        <v>1.1914174618475599E-3</v>
      </c>
      <c r="E44270" s="1">
        <v>2.02983862782908E-4</v>
      </c>
      <c r="F44270" s="1">
        <v>1.7468310857154601E-4</v>
      </c>
    </row>
    <row r="44271" spans="1:6" x14ac:dyDescent="0.25">
      <c r="A44271" s="2" t="str">
        <f t="shared" si="1386"/>
        <v>17460</v>
      </c>
      <c r="B44271" s="2" t="str">
        <f>"44258"</f>
        <v>44258</v>
      </c>
      <c r="C44271" s="1">
        <v>1.0838826742850501E-3</v>
      </c>
      <c r="D44271" s="1">
        <v>3.4442795715229498E-3</v>
      </c>
      <c r="E44271" s="1">
        <v>5.0745965695727102E-5</v>
      </c>
      <c r="F44271" s="1">
        <v>1.2356261062193099E-3</v>
      </c>
    </row>
    <row r="44272" spans="1:6" x14ac:dyDescent="0.25">
      <c r="A44272" s="2" t="str">
        <f t="shared" ref="A44272:A44303" si="1387">"17460"</f>
        <v>17460</v>
      </c>
      <c r="B44272" s="2" t="str">
        <f>"44251"</f>
        <v>44251</v>
      </c>
      <c r="C44272" s="1">
        <v>3.9957918713625197E-4</v>
      </c>
      <c r="D44272" s="1">
        <v>2.92438831544401E-4</v>
      </c>
      <c r="E44272" s="1">
        <v>2.53729828478635E-5</v>
      </c>
      <c r="F44272" s="1">
        <v>3.7848006857168299E-4</v>
      </c>
    </row>
    <row r="44273" spans="1:6" x14ac:dyDescent="0.25">
      <c r="A44273" s="2" t="str">
        <f t="shared" si="1387"/>
        <v>17460</v>
      </c>
      <c r="B44273" s="2" t="str">
        <f>"44280"</f>
        <v>44280</v>
      </c>
      <c r="C44273" s="1">
        <v>2.13301933229738E-3</v>
      </c>
      <c r="D44273" s="1">
        <v>1.6571533787516099E-3</v>
      </c>
      <c r="E44273" s="1">
        <v>1.44626002232822E-3</v>
      </c>
      <c r="F44273" s="1">
        <v>2.07222118991735E-3</v>
      </c>
    </row>
    <row r="44274" spans="1:6" x14ac:dyDescent="0.25">
      <c r="A44274" s="2" t="str">
        <f t="shared" si="1387"/>
        <v>17460</v>
      </c>
      <c r="B44274" s="2" t="str">
        <f>"44234"</f>
        <v>44234</v>
      </c>
      <c r="C44274" s="1">
        <v>4.8933972917410595E-4</v>
      </c>
      <c r="D44274" s="1">
        <v>9.7479610514800599E-5</v>
      </c>
      <c r="E44274" s="1">
        <v>7.6118948543590697E-5</v>
      </c>
      <c r="F44274" s="1">
        <v>4.4441437915996202E-4</v>
      </c>
    </row>
    <row r="44275" spans="1:6" x14ac:dyDescent="0.25">
      <c r="A44275" s="2" t="str">
        <f t="shared" si="1387"/>
        <v>17460</v>
      </c>
      <c r="B44275" s="2" t="str">
        <f>"44129"</f>
        <v>44129</v>
      </c>
      <c r="C44275" s="1">
        <v>1.3047129110405399E-2</v>
      </c>
      <c r="D44275" s="1">
        <v>1.1502594040746401E-2</v>
      </c>
      <c r="E44275" s="1">
        <v>9.8954633106667998E-3</v>
      </c>
      <c r="F44275" s="1">
        <v>1.2818657526059001E-2</v>
      </c>
    </row>
    <row r="44276" spans="1:6" x14ac:dyDescent="0.25">
      <c r="A44276" s="2" t="str">
        <f t="shared" si="1387"/>
        <v>17460</v>
      </c>
      <c r="B44276" s="2" t="str">
        <f>"44127"</f>
        <v>44127</v>
      </c>
      <c r="C44276" s="1">
        <v>2.6706174174058201E-3</v>
      </c>
      <c r="D44276" s="1">
        <v>3.9316776240969501E-3</v>
      </c>
      <c r="E44276" s="1">
        <v>5.07459656957271E-3</v>
      </c>
      <c r="F44276" s="1">
        <v>2.8514448605061098E-3</v>
      </c>
    </row>
    <row r="44277" spans="1:6" x14ac:dyDescent="0.25">
      <c r="A44277" s="2" t="str">
        <f t="shared" si="1387"/>
        <v>17460</v>
      </c>
      <c r="B44277" s="2" t="str">
        <f>"44125"</f>
        <v>44125</v>
      </c>
      <c r="C44277" s="1">
        <v>1.29969404202337E-2</v>
      </c>
      <c r="D44277" s="1">
        <v>1.6289926023806599E-2</v>
      </c>
      <c r="E44277" s="1">
        <v>1.08342636760377E-2</v>
      </c>
      <c r="F44277" s="1">
        <v>1.31842932484122E-2</v>
      </c>
    </row>
    <row r="44278" spans="1:6" x14ac:dyDescent="0.25">
      <c r="A44278" s="2" t="str">
        <f t="shared" si="1387"/>
        <v>17460</v>
      </c>
      <c r="B44278" s="2" t="str">
        <f>"44119"</f>
        <v>44119</v>
      </c>
      <c r="C44278" s="1">
        <v>6.09792585586194E-3</v>
      </c>
      <c r="D44278" s="1">
        <v>5.1555882894494497E-3</v>
      </c>
      <c r="E44278" s="1">
        <v>6.0387699177915297E-3</v>
      </c>
      <c r="F44278" s="1">
        <v>6.02142950723093E-3</v>
      </c>
    </row>
    <row r="44279" spans="1:6" x14ac:dyDescent="0.25">
      <c r="A44279" s="2" t="str">
        <f t="shared" si="1387"/>
        <v>17460</v>
      </c>
      <c r="B44279" s="2" t="str">
        <f>"44117"</f>
        <v>44117</v>
      </c>
      <c r="C44279" s="1">
        <v>5.99368780704378E-3</v>
      </c>
      <c r="D44279" s="1">
        <v>5.3722096461490104E-3</v>
      </c>
      <c r="E44279" s="1">
        <v>5.4044453465949402E-3</v>
      </c>
      <c r="F44279" s="1">
        <v>5.9246687657182598E-3</v>
      </c>
    </row>
    <row r="44280" spans="1:6" x14ac:dyDescent="0.25">
      <c r="A44280" s="2" t="str">
        <f t="shared" si="1387"/>
        <v>17460</v>
      </c>
      <c r="B44280" s="2" t="str">
        <f>"44094"</f>
        <v>44094</v>
      </c>
      <c r="C44280" s="1">
        <v>1.7812159175361199E-2</v>
      </c>
      <c r="D44280" s="1">
        <v>2.4109957000660601E-2</v>
      </c>
      <c r="E44280" s="1">
        <v>2.86207246523901E-2</v>
      </c>
      <c r="F44280" s="1">
        <v>1.86748231119453E-2</v>
      </c>
    </row>
    <row r="44281" spans="1:6" x14ac:dyDescent="0.25">
      <c r="A44281" s="2" t="str">
        <f t="shared" si="1387"/>
        <v>17460</v>
      </c>
      <c r="B44281" s="2" t="str">
        <f>"44102"</f>
        <v>44102</v>
      </c>
      <c r="C44281" s="1">
        <v>2.2296325608779099E-2</v>
      </c>
      <c r="D44281" s="1">
        <v>1.6950621161740301E-2</v>
      </c>
      <c r="E44281" s="1">
        <v>4.3260935755607403E-2</v>
      </c>
      <c r="F44281" s="1">
        <v>2.2581216941863901E-2</v>
      </c>
    </row>
    <row r="44282" spans="1:6" x14ac:dyDescent="0.25">
      <c r="A44282" s="2" t="str">
        <f t="shared" si="1387"/>
        <v>17460</v>
      </c>
      <c r="B44282" s="2" t="str">
        <f>"44086"</f>
        <v>44086</v>
      </c>
      <c r="C44282" s="1">
        <v>9.7481878987346602E-4</v>
      </c>
      <c r="D44282" s="1">
        <v>3.7908737422422399E-4</v>
      </c>
      <c r="E44282" s="1">
        <v>1.2686491423931701E-4</v>
      </c>
      <c r="F44282" s="1">
        <v>8.9910423529472204E-4</v>
      </c>
    </row>
    <row r="44283" spans="1:6" x14ac:dyDescent="0.25">
      <c r="A44283" s="2" t="str">
        <f t="shared" si="1387"/>
        <v>17460</v>
      </c>
      <c r="B44283" s="2" t="str">
        <f>"44052"</f>
        <v>44052</v>
      </c>
      <c r="C44283" s="1">
        <v>1.4294125027748499E-2</v>
      </c>
      <c r="D44283" s="1">
        <v>1.0603615410443299E-2</v>
      </c>
      <c r="E44283" s="1">
        <v>1.0022328224906099E-2</v>
      </c>
      <c r="F44283" s="1">
        <v>1.38581932800093E-2</v>
      </c>
    </row>
    <row r="44284" spans="1:6" x14ac:dyDescent="0.25">
      <c r="A44284" s="2" t="str">
        <f t="shared" si="1387"/>
        <v>17460</v>
      </c>
      <c r="B44284" s="2" t="str">
        <f>"44017"</f>
        <v>44017</v>
      </c>
      <c r="C44284" s="1">
        <v>8.4288044474900795E-3</v>
      </c>
      <c r="D44284" s="1">
        <v>1.0549460071268399E-2</v>
      </c>
      <c r="E44284" s="1">
        <v>5.5566832436821203E-3</v>
      </c>
      <c r="F44284" s="1">
        <v>8.4995320376527704E-3</v>
      </c>
    </row>
    <row r="44285" spans="1:6" x14ac:dyDescent="0.25">
      <c r="A44285" s="2" t="str">
        <f t="shared" si="1387"/>
        <v>17460</v>
      </c>
      <c r="B44285" s="2" t="str">
        <f>"44491"</f>
        <v>44491</v>
      </c>
      <c r="C44285" s="1">
        <v>2.1040643187367799E-4</v>
      </c>
      <c r="D44285" s="1">
        <v>6.4986407009867098E-5</v>
      </c>
      <c r="E44285" s="1">
        <v>7.6118948543590697E-5</v>
      </c>
      <c r="F44285" s="1">
        <v>1.9437777277323901E-4</v>
      </c>
    </row>
    <row r="44286" spans="1:6" x14ac:dyDescent="0.25">
      <c r="A44286" s="2" t="str">
        <f t="shared" si="1387"/>
        <v>17460</v>
      </c>
      <c r="B44286" s="2" t="str">
        <f>"44256"</f>
        <v>44256</v>
      </c>
      <c r="C44286" s="1">
        <v>2.6208147940815898E-2</v>
      </c>
      <c r="D44286" s="1">
        <v>2.4694834663749402E-2</v>
      </c>
      <c r="E44286" s="1">
        <v>2.46879123109712E-2</v>
      </c>
      <c r="F44286" s="1">
        <v>2.60372023643872E-2</v>
      </c>
    </row>
    <row r="44287" spans="1:6" x14ac:dyDescent="0.25">
      <c r="A44287" s="2" t="str">
        <f t="shared" si="1387"/>
        <v>17460</v>
      </c>
      <c r="B44287" s="2" t="str">
        <f>"44254"</f>
        <v>44254</v>
      </c>
      <c r="C44287" s="1">
        <v>2.1841731895877702E-3</v>
      </c>
      <c r="D44287" s="1">
        <v>1.7654640571013801E-3</v>
      </c>
      <c r="E44287" s="1">
        <v>1.85222774789404E-3</v>
      </c>
      <c r="F44287" s="1">
        <v>2.13986808000143E-3</v>
      </c>
    </row>
    <row r="44288" spans="1:6" x14ac:dyDescent="0.25">
      <c r="A44288" s="2" t="str">
        <f t="shared" si="1387"/>
        <v>17460</v>
      </c>
      <c r="B44288" s="2" t="str">
        <f>"44273"</f>
        <v>44273</v>
      </c>
      <c r="C44288" s="1">
        <v>2.7381791157138802E-3</v>
      </c>
      <c r="D44288" s="1">
        <v>2.1337203634906299E-3</v>
      </c>
      <c r="E44288" s="1">
        <v>1.49700598802395E-3</v>
      </c>
      <c r="F44288" s="1">
        <v>2.6485041902538798E-3</v>
      </c>
    </row>
    <row r="44289" spans="1:6" x14ac:dyDescent="0.25">
      <c r="A44289" s="2" t="str">
        <f t="shared" si="1387"/>
        <v>17460</v>
      </c>
      <c r="B44289" s="2" t="str">
        <f>"44270"</f>
        <v>44270</v>
      </c>
      <c r="C44289" s="1">
        <v>2.5866478780800799E-4</v>
      </c>
      <c r="D44289" s="1">
        <v>4.3324271339911403E-5</v>
      </c>
      <c r="E44289" s="1">
        <v>5.0745965695727102E-5</v>
      </c>
      <c r="F44289" s="1">
        <v>2.3462339092452701E-4</v>
      </c>
    </row>
    <row r="44290" spans="1:6" x14ac:dyDescent="0.25">
      <c r="A44290" s="2" t="str">
        <f t="shared" si="1387"/>
        <v>17460</v>
      </c>
      <c r="B44290" s="2" t="str">
        <f>"44230"</f>
        <v>44230</v>
      </c>
      <c r="C44290" s="1">
        <v>1.3126272814137699E-4</v>
      </c>
      <c r="D44290" s="1">
        <v>0</v>
      </c>
      <c r="E44290" s="1">
        <v>0</v>
      </c>
      <c r="F44290" s="1">
        <v>1.16455405714364E-4</v>
      </c>
    </row>
    <row r="44291" spans="1:6" x14ac:dyDescent="0.25">
      <c r="A44291" s="2" t="str">
        <f t="shared" si="1387"/>
        <v>17460</v>
      </c>
      <c r="B44291" s="2" t="str">
        <f>"44135"</f>
        <v>44135</v>
      </c>
      <c r="C44291" s="1">
        <v>1.22836819195243E-2</v>
      </c>
      <c r="D44291" s="1">
        <v>1.0170372697044201E-2</v>
      </c>
      <c r="E44291" s="1">
        <v>6.59697554044453E-3</v>
      </c>
      <c r="F44291" s="1">
        <v>1.1924691029251699E-2</v>
      </c>
    </row>
    <row r="44292" spans="1:6" x14ac:dyDescent="0.25">
      <c r="A44292" s="2" t="str">
        <f t="shared" si="1387"/>
        <v>17460</v>
      </c>
      <c r="B44292" s="2" t="str">
        <f>"44123"</f>
        <v>44123</v>
      </c>
      <c r="C44292" s="1">
        <v>9.11503826887625E-3</v>
      </c>
      <c r="D44292" s="1">
        <v>3.76921160657229E-3</v>
      </c>
      <c r="E44292" s="1">
        <v>9.2103927737744798E-3</v>
      </c>
      <c r="F44292" s="1">
        <v>8.6956223899218102E-3</v>
      </c>
    </row>
    <row r="44293" spans="1:6" x14ac:dyDescent="0.25">
      <c r="A44293" s="2" t="str">
        <f t="shared" si="1387"/>
        <v>17460</v>
      </c>
      <c r="B44293" s="2" t="str">
        <f>"44106"</f>
        <v>44106</v>
      </c>
      <c r="C44293" s="1">
        <v>1.5652115163740599E-2</v>
      </c>
      <c r="D44293" s="1">
        <v>1.00403998830244E-2</v>
      </c>
      <c r="E44293" s="1">
        <v>4.0546026590885999E-2</v>
      </c>
      <c r="F44293" s="1">
        <v>1.6048582455136799E-2</v>
      </c>
    </row>
    <row r="44294" spans="1:6" x14ac:dyDescent="0.25">
      <c r="A44294" s="2" t="str">
        <f t="shared" si="1387"/>
        <v>17460</v>
      </c>
      <c r="B44294" s="2" t="str">
        <f>"44103"</f>
        <v>44103</v>
      </c>
      <c r="C44294" s="1">
        <v>1.07152853516586E-2</v>
      </c>
      <c r="D44294" s="1">
        <v>1.59325007852524E-2</v>
      </c>
      <c r="E44294" s="1">
        <v>2.1135694712270298E-2</v>
      </c>
      <c r="F44294" s="1">
        <v>1.1479420360343801E-2</v>
      </c>
    </row>
    <row r="44295" spans="1:6" x14ac:dyDescent="0.25">
      <c r="A44295" s="2" t="str">
        <f t="shared" si="1387"/>
        <v>17460</v>
      </c>
      <c r="B44295" s="2" t="str">
        <f>"44090"</f>
        <v>44090</v>
      </c>
      <c r="C44295" s="1">
        <v>4.6578965147815298E-3</v>
      </c>
      <c r="D44295" s="1">
        <v>3.09768540080366E-3</v>
      </c>
      <c r="E44295" s="1">
        <v>4.7701207753983498E-3</v>
      </c>
      <c r="F44295" s="1">
        <v>4.5383356638685904E-3</v>
      </c>
    </row>
    <row r="44296" spans="1:6" x14ac:dyDescent="0.25">
      <c r="A44296" s="2" t="str">
        <f t="shared" si="1387"/>
        <v>17460</v>
      </c>
      <c r="B44296" s="2" t="str">
        <f>"44074"</f>
        <v>44074</v>
      </c>
      <c r="C44296" s="1">
        <v>4.5295292879962102E-3</v>
      </c>
      <c r="D44296" s="1">
        <v>4.5598795585256703E-3</v>
      </c>
      <c r="E44296" s="1">
        <v>4.2880341012889404E-3</v>
      </c>
      <c r="F44296" s="1">
        <v>4.5237787381542998E-3</v>
      </c>
    </row>
    <row r="44297" spans="1:6" x14ac:dyDescent="0.25">
      <c r="A44297" s="2" t="str">
        <f t="shared" si="1387"/>
        <v>17460</v>
      </c>
      <c r="B44297" s="2" t="str">
        <f>"44072"</f>
        <v>44072</v>
      </c>
      <c r="C44297" s="1">
        <v>1.8917275526257301E-3</v>
      </c>
      <c r="D44297" s="1">
        <v>6.8235727360360405E-4</v>
      </c>
      <c r="E44297" s="1">
        <v>2.7910281132649902E-4</v>
      </c>
      <c r="F44297" s="1">
        <v>1.74169334722806E-3</v>
      </c>
    </row>
    <row r="44298" spans="1:6" x14ac:dyDescent="0.25">
      <c r="A44298" s="2" t="str">
        <f t="shared" si="1387"/>
        <v>17460</v>
      </c>
      <c r="B44298" s="2" t="str">
        <f>"44064"</f>
        <v>44064</v>
      </c>
      <c r="C44298" s="1">
        <v>6.7658215019930699E-4</v>
      </c>
      <c r="D44298" s="1">
        <v>3.5742523855426898E-4</v>
      </c>
      <c r="E44298" s="1">
        <v>2.53729828478635E-5</v>
      </c>
      <c r="F44298" s="1">
        <v>6.2937296470630497E-4</v>
      </c>
    </row>
    <row r="44299" spans="1:6" x14ac:dyDescent="0.25">
      <c r="A44299" s="2" t="str">
        <f t="shared" si="1387"/>
        <v>17460</v>
      </c>
      <c r="B44299" s="2" t="str">
        <f>"44062"</f>
        <v>44062</v>
      </c>
      <c r="C44299" s="1">
        <v>3.7332664150797699E-3</v>
      </c>
      <c r="D44299" s="1">
        <v>4.0616504381166896E-3</v>
      </c>
      <c r="E44299" s="1">
        <v>3.0193849588957601E-3</v>
      </c>
      <c r="F44299" s="1">
        <v>3.7351358803386402E-3</v>
      </c>
    </row>
    <row r="44300" spans="1:6" x14ac:dyDescent="0.25">
      <c r="A44300" s="2" t="str">
        <f t="shared" si="1387"/>
        <v>17460</v>
      </c>
      <c r="B44300" s="2" t="str">
        <f>"44040"</f>
        <v>44040</v>
      </c>
      <c r="C44300" s="1">
        <v>1.92454323466108E-3</v>
      </c>
      <c r="D44300" s="1">
        <v>1.35388347937223E-3</v>
      </c>
      <c r="E44300" s="1">
        <v>1.77610879935045E-4</v>
      </c>
      <c r="F44300" s="1">
        <v>1.82047200403483E-3</v>
      </c>
    </row>
    <row r="44301" spans="1:6" x14ac:dyDescent="0.25">
      <c r="A44301" s="2" t="str">
        <f t="shared" si="1387"/>
        <v>17460</v>
      </c>
      <c r="B44301" s="2" t="str">
        <f>"44026"</f>
        <v>44026</v>
      </c>
      <c r="C44301" s="1">
        <v>5.0806397127662597E-3</v>
      </c>
      <c r="D44301" s="1">
        <v>8.0908076727284495E-3</v>
      </c>
      <c r="E44301" s="1">
        <v>2.10595757637267E-3</v>
      </c>
      <c r="F44301" s="1">
        <v>5.2182297237009798E-3</v>
      </c>
    </row>
    <row r="44302" spans="1:6" x14ac:dyDescent="0.25">
      <c r="A44302" s="2" t="str">
        <f t="shared" si="1387"/>
        <v>17460</v>
      </c>
      <c r="B44302" s="2" t="str">
        <f>"44022"</f>
        <v>44022</v>
      </c>
      <c r="C44302" s="1">
        <v>7.5755967145711197E-3</v>
      </c>
      <c r="D44302" s="1">
        <v>9.4880154234405906E-3</v>
      </c>
      <c r="E44302" s="1">
        <v>7.7895057342941198E-3</v>
      </c>
      <c r="F44302" s="1">
        <v>7.7340090030303997E-3</v>
      </c>
    </row>
    <row r="44303" spans="1:6" x14ac:dyDescent="0.25">
      <c r="A44303" s="2" t="str">
        <f t="shared" si="1387"/>
        <v>17460</v>
      </c>
      <c r="B44303" s="2" t="str">
        <f>"44021"</f>
        <v>44021</v>
      </c>
      <c r="C44303" s="1">
        <v>2.3086797478983402E-3</v>
      </c>
      <c r="D44303" s="1">
        <v>9.9645824081796191E-4</v>
      </c>
      <c r="E44303" s="1">
        <v>1.49700598802395E-3</v>
      </c>
      <c r="F44303" s="1">
        <v>2.17754482890902E-3</v>
      </c>
    </row>
    <row r="44304" spans="1:6" x14ac:dyDescent="0.25">
      <c r="A44304" s="2" t="str">
        <f t="shared" ref="A44304:A44334" si="1388">"17460"</f>
        <v>17460</v>
      </c>
      <c r="B44304" s="2" t="str">
        <f>"44880"</f>
        <v>44880</v>
      </c>
      <c r="C44304" s="1">
        <v>9.3621210512600194E-5</v>
      </c>
      <c r="D44304" s="1">
        <v>1.08310678349778E-5</v>
      </c>
      <c r="E44304" s="1">
        <v>0</v>
      </c>
      <c r="F44304" s="1">
        <v>8.3916395294173995E-5</v>
      </c>
    </row>
    <row r="44305" spans="1:6" x14ac:dyDescent="0.25">
      <c r="A44305" s="2" t="str">
        <f t="shared" si="1388"/>
        <v>17460</v>
      </c>
      <c r="B44305" s="2" t="str">
        <f>"44217"</f>
        <v>44217</v>
      </c>
      <c r="C44305" s="1">
        <v>1.4477506780299001E-4</v>
      </c>
      <c r="D44305" s="1">
        <v>3.2493203504933501E-5</v>
      </c>
      <c r="E44305" s="1">
        <v>0</v>
      </c>
      <c r="F44305" s="1">
        <v>1.31012331428659E-4</v>
      </c>
    </row>
    <row r="44306" spans="1:6" x14ac:dyDescent="0.25">
      <c r="A44306" s="2" t="str">
        <f t="shared" si="1388"/>
        <v>17460</v>
      </c>
      <c r="B44306" s="2" t="str">
        <f>"44181"</f>
        <v>44181</v>
      </c>
      <c r="C44306" s="1">
        <v>6.8140798579273995E-4</v>
      </c>
      <c r="D44306" s="1">
        <v>2.01457861730588E-3</v>
      </c>
      <c r="E44306" s="1">
        <v>5.0745965695727102E-5</v>
      </c>
      <c r="F44306" s="1">
        <v>7.6552303462236297E-4</v>
      </c>
    </row>
    <row r="44307" spans="1:6" x14ac:dyDescent="0.25">
      <c r="A44307" s="2" t="str">
        <f t="shared" si="1388"/>
        <v>17460</v>
      </c>
      <c r="B44307" s="2" t="str">
        <f>"44146"</f>
        <v>44146</v>
      </c>
      <c r="C44307" s="1">
        <v>1.7254292580760298E-2</v>
      </c>
      <c r="D44307" s="1">
        <v>2.21278715868597E-2</v>
      </c>
      <c r="E44307" s="1">
        <v>1.7152136405155699E-2</v>
      </c>
      <c r="F44307" s="1">
        <v>1.7636143647742901E-2</v>
      </c>
    </row>
    <row r="44308" spans="1:6" x14ac:dyDescent="0.25">
      <c r="A44308" s="2" t="str">
        <f t="shared" si="1388"/>
        <v>17460</v>
      </c>
      <c r="B44308" s="2" t="str">
        <f>"44275"</f>
        <v>44275</v>
      </c>
      <c r="C44308" s="1">
        <v>1.26147342412338E-3</v>
      </c>
      <c r="D44308" s="1">
        <v>2.0579028886457901E-4</v>
      </c>
      <c r="E44308" s="1">
        <v>2.02983862782908E-4</v>
      </c>
      <c r="F44308" s="1">
        <v>1.14229052369824E-3</v>
      </c>
    </row>
    <row r="44309" spans="1:6" x14ac:dyDescent="0.25">
      <c r="A44309" s="2" t="str">
        <f t="shared" si="1388"/>
        <v>17460</v>
      </c>
      <c r="B44309" s="2" t="str">
        <f>"44143"</f>
        <v>44143</v>
      </c>
      <c r="C44309" s="1">
        <v>1.32971073941452E-2</v>
      </c>
      <c r="D44309" s="1">
        <v>1.24232348067195E-2</v>
      </c>
      <c r="E44309" s="1">
        <v>9.4387496194052508E-3</v>
      </c>
      <c r="F44309" s="1">
        <v>1.3097807983874299E-2</v>
      </c>
    </row>
    <row r="44310" spans="1:6" x14ac:dyDescent="0.25">
      <c r="A44310" s="2" t="str">
        <f t="shared" si="1388"/>
        <v>17460</v>
      </c>
      <c r="B44310" s="2" t="str">
        <f>"44131"</f>
        <v>44131</v>
      </c>
      <c r="C44310" s="1">
        <v>9.0841529210782795E-3</v>
      </c>
      <c r="D44310" s="1">
        <v>2.0254096851408498E-2</v>
      </c>
      <c r="E44310" s="1">
        <v>6.2163807977265798E-3</v>
      </c>
      <c r="F44310" s="1">
        <v>9.8704519240402407E-3</v>
      </c>
    </row>
    <row r="44311" spans="1:6" x14ac:dyDescent="0.25">
      <c r="A44311" s="2" t="str">
        <f t="shared" si="1388"/>
        <v>17460</v>
      </c>
      <c r="B44311" s="2" t="str">
        <f>"44130"</f>
        <v>44130</v>
      </c>
      <c r="C44311" s="1">
        <v>2.4273953034968002E-2</v>
      </c>
      <c r="D44311" s="1">
        <v>2.7218473469299301E-2</v>
      </c>
      <c r="E44311" s="1">
        <v>3.22236882167867E-2</v>
      </c>
      <c r="F44311" s="1">
        <v>2.4775031275983E-2</v>
      </c>
    </row>
    <row r="44312" spans="1:6" x14ac:dyDescent="0.25">
      <c r="A44312" s="2" t="str">
        <f t="shared" si="1388"/>
        <v>17460</v>
      </c>
      <c r="B44312" s="2" t="str">
        <f>"44116"</f>
        <v>44116</v>
      </c>
      <c r="C44312" s="1">
        <v>1.08089065621712E-2</v>
      </c>
      <c r="D44312" s="1">
        <v>1.32680580978478E-2</v>
      </c>
      <c r="E44312" s="1">
        <v>1.1468588247234301E-2</v>
      </c>
      <c r="F44312" s="1">
        <v>1.1025586793956901E-2</v>
      </c>
    </row>
    <row r="44313" spans="1:6" x14ac:dyDescent="0.25">
      <c r="A44313" s="2" t="str">
        <f t="shared" si="1388"/>
        <v>17460</v>
      </c>
      <c r="B44313" s="2" t="str">
        <f>"44105"</f>
        <v>44105</v>
      </c>
      <c r="C44313" s="1">
        <v>2.0054242392070099E-2</v>
      </c>
      <c r="D44313" s="1">
        <v>1.44811376953653E-2</v>
      </c>
      <c r="E44313" s="1">
        <v>2.77834162184106E-2</v>
      </c>
      <c r="F44313" s="1">
        <v>1.9874485048752801E-2</v>
      </c>
    </row>
    <row r="44314" spans="1:6" x14ac:dyDescent="0.25">
      <c r="A44314" s="2" t="str">
        <f t="shared" si="1388"/>
        <v>17460</v>
      </c>
      <c r="B44314" s="2" t="str">
        <f>"44092"</f>
        <v>44092</v>
      </c>
      <c r="C44314" s="1">
        <v>8.7666129390303899E-3</v>
      </c>
      <c r="D44314" s="1">
        <v>9.6938057123051695E-3</v>
      </c>
      <c r="E44314" s="1">
        <v>4.0343042728103098E-3</v>
      </c>
      <c r="F44314" s="1">
        <v>8.6802091744596094E-3</v>
      </c>
    </row>
    <row r="44315" spans="1:6" x14ac:dyDescent="0.25">
      <c r="A44315" s="2" t="str">
        <f t="shared" si="1388"/>
        <v>17460</v>
      </c>
      <c r="B44315" s="2" t="str">
        <f>"44089"</f>
        <v>44089</v>
      </c>
      <c r="C44315" s="1">
        <v>3.0383460896254099E-3</v>
      </c>
      <c r="D44315" s="1">
        <v>1.6571533787516099E-3</v>
      </c>
      <c r="E44315" s="1">
        <v>1.2432761595453101E-3</v>
      </c>
      <c r="F44315" s="1">
        <v>2.86857065546411E-3</v>
      </c>
    </row>
    <row r="44316" spans="1:6" x14ac:dyDescent="0.25">
      <c r="A44316" s="2" t="str">
        <f t="shared" si="1388"/>
        <v>17460</v>
      </c>
      <c r="B44316" s="2" t="str">
        <f>"44046"</f>
        <v>44046</v>
      </c>
      <c r="C44316" s="1">
        <v>7.2966634172707005E-4</v>
      </c>
      <c r="D44316" s="1">
        <v>1.19141746184756E-4</v>
      </c>
      <c r="E44316" s="1">
        <v>1.77610879935045E-4</v>
      </c>
      <c r="F44316" s="1">
        <v>6.6276826487439498E-4</v>
      </c>
    </row>
    <row r="44317" spans="1:6" x14ac:dyDescent="0.25">
      <c r="A44317" s="2" t="str">
        <f t="shared" si="1388"/>
        <v>17460</v>
      </c>
      <c r="B44317" s="2" t="str">
        <f>"44041"</f>
        <v>44041</v>
      </c>
      <c r="C44317" s="1">
        <v>6.2735862714628998E-5</v>
      </c>
      <c r="D44317" s="1">
        <v>2.1662135669955702E-5</v>
      </c>
      <c r="E44317" s="1">
        <v>0</v>
      </c>
      <c r="F44317" s="1">
        <v>5.7371413109282198E-5</v>
      </c>
    </row>
    <row r="44318" spans="1:6" x14ac:dyDescent="0.25">
      <c r="A44318" s="2" t="str">
        <f t="shared" si="1388"/>
        <v>17460</v>
      </c>
      <c r="B44318" s="2" t="str">
        <f>"44145"</f>
        <v>44145</v>
      </c>
      <c r="C44318" s="1">
        <v>1.5709060023743102E-2</v>
      </c>
      <c r="D44318" s="1">
        <v>2.4532368646224802E-2</v>
      </c>
      <c r="E44318" s="1">
        <v>1.98670455698771E-2</v>
      </c>
      <c r="F44318" s="1">
        <v>1.6546943088414399E-2</v>
      </c>
    </row>
    <row r="44319" spans="1:6" x14ac:dyDescent="0.25">
      <c r="A44319" s="2" t="str">
        <f t="shared" si="1388"/>
        <v>17460</v>
      </c>
      <c r="B44319" s="2" t="str">
        <f>"44287"</f>
        <v>44287</v>
      </c>
      <c r="C44319" s="1">
        <v>1.3126272814137699E-4</v>
      </c>
      <c r="D44319" s="1">
        <v>1.08310678349778E-5</v>
      </c>
      <c r="E44319" s="1">
        <v>2.53729828478635E-5</v>
      </c>
      <c r="F44319" s="1">
        <v>1.18167985210163E-4</v>
      </c>
    </row>
    <row r="44320" spans="1:6" x14ac:dyDescent="0.25">
      <c r="A44320" s="2" t="str">
        <f t="shared" si="1388"/>
        <v>17460</v>
      </c>
      <c r="B44320" s="2" t="str">
        <f>"44138"</f>
        <v>44138</v>
      </c>
      <c r="C44320" s="1">
        <v>1.0741344863863101E-2</v>
      </c>
      <c r="D44320" s="1">
        <v>2.4044970593650799E-3</v>
      </c>
      <c r="E44320" s="1">
        <v>5.4805642951385302E-3</v>
      </c>
      <c r="F44320" s="1">
        <v>9.9047035139562308E-3</v>
      </c>
    </row>
    <row r="44321" spans="1:6" x14ac:dyDescent="0.25">
      <c r="A44321" s="2" t="str">
        <f t="shared" si="1388"/>
        <v>17460</v>
      </c>
      <c r="B44321" s="2" t="str">
        <f>"44233"</f>
        <v>44233</v>
      </c>
      <c r="C44321" s="1">
        <v>3.2188323408198099E-3</v>
      </c>
      <c r="D44321" s="1">
        <v>4.1158057772915802E-3</v>
      </c>
      <c r="E44321" s="1">
        <v>1.06566527961027E-3</v>
      </c>
      <c r="F44321" s="1">
        <v>3.2170805828593001E-3</v>
      </c>
    </row>
    <row r="44322" spans="1:6" x14ac:dyDescent="0.25">
      <c r="A44322" s="2" t="str">
        <f t="shared" si="1388"/>
        <v>17460</v>
      </c>
      <c r="B44322" s="2" t="str">
        <f>"44120"</f>
        <v>44120</v>
      </c>
      <c r="C44322" s="1">
        <v>2.28011080118522E-2</v>
      </c>
      <c r="D44322" s="1">
        <v>1.38529357609366E-2</v>
      </c>
      <c r="E44322" s="1">
        <v>4.0317669745255198E-2</v>
      </c>
      <c r="F44322" s="1">
        <v>2.2684828001359701E-2</v>
      </c>
    </row>
    <row r="44323" spans="1:6" x14ac:dyDescent="0.25">
      <c r="A44323" s="2" t="str">
        <f t="shared" si="1388"/>
        <v>17460</v>
      </c>
      <c r="B44323" s="2" t="str">
        <f>"44112"</f>
        <v>44112</v>
      </c>
      <c r="C44323" s="1">
        <v>1.50295823721877E-2</v>
      </c>
      <c r="D44323" s="1">
        <v>1.14376076337366E-2</v>
      </c>
      <c r="E44323" s="1">
        <v>2.3089414391555801E-2</v>
      </c>
      <c r="F44323" s="1">
        <v>1.50176095986655E-2</v>
      </c>
    </row>
    <row r="44324" spans="1:6" x14ac:dyDescent="0.25">
      <c r="A44324" s="2" t="str">
        <f t="shared" si="1388"/>
        <v>17460</v>
      </c>
      <c r="B44324" s="2" t="str">
        <f>"44111"</f>
        <v>44111</v>
      </c>
      <c r="C44324" s="1">
        <v>1.9193313322201699E-2</v>
      </c>
      <c r="D44324" s="1">
        <v>1.5022691087114201E-2</v>
      </c>
      <c r="E44324" s="1">
        <v>1.8649142393179701E-2</v>
      </c>
      <c r="F44324" s="1">
        <v>1.8845224771777299E-2</v>
      </c>
    </row>
    <row r="44325" spans="1:6" x14ac:dyDescent="0.25">
      <c r="A44325" s="2" t="str">
        <f t="shared" si="1388"/>
        <v>17460</v>
      </c>
      <c r="B44325" s="2" t="str">
        <f>"44108"</f>
        <v>44108</v>
      </c>
      <c r="C44325" s="1">
        <v>1.45701628236929E-2</v>
      </c>
      <c r="D44325" s="1">
        <v>6.7585863290261696E-3</v>
      </c>
      <c r="E44325" s="1">
        <v>1.6441692885415599E-2</v>
      </c>
      <c r="F44325" s="1">
        <v>1.4015750593622801E-2</v>
      </c>
    </row>
    <row r="44326" spans="1:6" x14ac:dyDescent="0.25">
      <c r="A44326" s="2" t="str">
        <f t="shared" si="1388"/>
        <v>17460</v>
      </c>
      <c r="B44326" s="2" t="str">
        <f>"44104"</f>
        <v>44104</v>
      </c>
      <c r="C44326" s="1">
        <v>1.1094596029302401E-2</v>
      </c>
      <c r="D44326" s="1">
        <v>8.4915571826226308E-3</v>
      </c>
      <c r="E44326" s="1">
        <v>2.4281944585405401E-2</v>
      </c>
      <c r="F44326" s="1">
        <v>1.1333851103200799E-2</v>
      </c>
    </row>
    <row r="44327" spans="1:6" x14ac:dyDescent="0.25">
      <c r="A44327" s="2" t="str">
        <f t="shared" si="1388"/>
        <v>17460</v>
      </c>
      <c r="B44327" s="2" t="str">
        <f>"44099"</f>
        <v>44099</v>
      </c>
      <c r="C44327" s="1">
        <v>1.14854887123705E-4</v>
      </c>
      <c r="D44327" s="1">
        <v>0</v>
      </c>
      <c r="E44327" s="1">
        <v>5.0745965695727102E-5</v>
      </c>
      <c r="F44327" s="1">
        <v>1.0361105949586699E-4</v>
      </c>
    </row>
    <row r="44328" spans="1:6" x14ac:dyDescent="0.25">
      <c r="A44328" s="2" t="str">
        <f t="shared" si="1388"/>
        <v>17460</v>
      </c>
      <c r="B44328" s="2" t="str">
        <f>"44101"</f>
        <v>44101</v>
      </c>
      <c r="C44328" s="1">
        <v>1.6185852580374201E-3</v>
      </c>
      <c r="D44328" s="1">
        <v>6.6069513793364804E-3</v>
      </c>
      <c r="E44328" s="1">
        <v>4.5671369126154402E-4</v>
      </c>
      <c r="F44328" s="1">
        <v>1.9737478689088798E-3</v>
      </c>
    </row>
    <row r="44329" spans="1:6" x14ac:dyDescent="0.25">
      <c r="A44329" s="2" t="str">
        <f t="shared" si="1388"/>
        <v>17460</v>
      </c>
      <c r="B44329" s="2" t="str">
        <f>"44096"</f>
        <v>44096</v>
      </c>
      <c r="C44329" s="1">
        <v>6.4473163528264903E-4</v>
      </c>
      <c r="D44329" s="1">
        <v>2.9893747224538801E-3</v>
      </c>
      <c r="E44329" s="1">
        <v>5.0745965695727102E-5</v>
      </c>
      <c r="F44329" s="1">
        <v>8.10050101513149E-4</v>
      </c>
    </row>
    <row r="44330" spans="1:6" x14ac:dyDescent="0.25">
      <c r="A44330" s="2" t="str">
        <f t="shared" si="1388"/>
        <v>17460</v>
      </c>
      <c r="B44330" s="2" t="str">
        <f>"44081"</f>
        <v>44081</v>
      </c>
      <c r="C44330" s="1">
        <v>2.6986072638477301E-3</v>
      </c>
      <c r="D44330" s="1">
        <v>2.2420310418404098E-3</v>
      </c>
      <c r="E44330" s="1">
        <v>1.1925301938495801E-3</v>
      </c>
      <c r="F44330" s="1">
        <v>2.61168373109419E-3</v>
      </c>
    </row>
    <row r="44331" spans="1:6" x14ac:dyDescent="0.25">
      <c r="A44331" s="2" t="str">
        <f t="shared" si="1388"/>
        <v>17460</v>
      </c>
      <c r="B44331" s="2" t="str">
        <f>"44055"</f>
        <v>44055</v>
      </c>
      <c r="C44331" s="1">
        <v>8.3844067600304904E-3</v>
      </c>
      <c r="D44331" s="1">
        <v>5.3830407139839904E-3</v>
      </c>
      <c r="E44331" s="1">
        <v>8.2715924084035292E-3</v>
      </c>
      <c r="F44331" s="1">
        <v>8.1433155025264804E-3</v>
      </c>
    </row>
    <row r="44332" spans="1:6" x14ac:dyDescent="0.25">
      <c r="A44332" s="2" t="str">
        <f t="shared" si="1388"/>
        <v>17460</v>
      </c>
      <c r="B44332" s="2" t="str">
        <f>"44050"</f>
        <v>44050</v>
      </c>
      <c r="C44332" s="1">
        <v>2.5808568753679598E-3</v>
      </c>
      <c r="D44332" s="1">
        <v>1.3213902758672899E-3</v>
      </c>
      <c r="E44332" s="1">
        <v>9.8954633106667993E-4</v>
      </c>
      <c r="F44332" s="1">
        <v>2.4275814352957398E-3</v>
      </c>
    </row>
    <row r="44333" spans="1:6" x14ac:dyDescent="0.25">
      <c r="A44333" s="2" t="str">
        <f t="shared" si="1388"/>
        <v>17460</v>
      </c>
      <c r="B44333" s="2" t="str">
        <f>"44039"</f>
        <v>44039</v>
      </c>
      <c r="C44333" s="1">
        <v>1.48712949647231E-2</v>
      </c>
      <c r="D44333" s="1">
        <v>8.7839960141670292E-3</v>
      </c>
      <c r="E44333" s="1">
        <v>2.8164010961128499E-3</v>
      </c>
      <c r="F44333" s="1">
        <v>1.39832115832026E-2</v>
      </c>
    </row>
    <row r="44334" spans="1:6" x14ac:dyDescent="0.25">
      <c r="A44334" s="2" t="str">
        <f t="shared" si="1388"/>
        <v>17460</v>
      </c>
      <c r="B44334" s="2" t="str">
        <f>"44011"</f>
        <v>44011</v>
      </c>
      <c r="C44334" s="1">
        <v>9.3090368597322608E-3</v>
      </c>
      <c r="D44334" s="1">
        <v>1.0224528036219E-2</v>
      </c>
      <c r="E44334" s="1">
        <v>2.23282249061199E-3</v>
      </c>
      <c r="F44334" s="1">
        <v>9.1426056383254704E-3</v>
      </c>
    </row>
    <row r="44335" spans="1:6" x14ac:dyDescent="0.25">
      <c r="A44335" s="2" t="str">
        <f t="shared" ref="A44335:A44352" si="1389">"16380"</f>
        <v>16380</v>
      </c>
      <c r="B44335" s="2" t="str">
        <f>"45883"</f>
        <v>45883</v>
      </c>
      <c r="C44335" s="1">
        <v>7.6631717626392898E-2</v>
      </c>
      <c r="D44335" s="1">
        <v>6.4492753623188404E-2</v>
      </c>
      <c r="E44335" s="1">
        <v>5.8651026392961799E-3</v>
      </c>
      <c r="F44335" s="1">
        <v>7.4581201725348503E-2</v>
      </c>
    </row>
    <row r="44336" spans="1:6" x14ac:dyDescent="0.25">
      <c r="A44336" s="2" t="str">
        <f t="shared" si="1389"/>
        <v>16380</v>
      </c>
      <c r="B44336" s="2" t="str">
        <f>"45348"</f>
        <v>45348</v>
      </c>
      <c r="C44336" s="1">
        <v>1.64681341603996E-4</v>
      </c>
      <c r="D44336" s="1">
        <v>0</v>
      </c>
      <c r="E44336" s="1">
        <v>0</v>
      </c>
      <c r="F44336" s="1">
        <v>1.5046644598254501E-4</v>
      </c>
    </row>
    <row r="44337" spans="1:6" x14ac:dyDescent="0.25">
      <c r="A44337" s="2" t="str">
        <f t="shared" si="1389"/>
        <v>16380</v>
      </c>
      <c r="B44337" s="2" t="str">
        <f>"45866"</f>
        <v>45866</v>
      </c>
      <c r="C44337" s="1">
        <v>3.7876708568919098E-3</v>
      </c>
      <c r="D44337" s="1">
        <v>7.2463768115941997E-4</v>
      </c>
      <c r="E44337" s="1">
        <v>0</v>
      </c>
      <c r="F44337" s="1">
        <v>3.5108837395927302E-3</v>
      </c>
    </row>
    <row r="44338" spans="1:6" x14ac:dyDescent="0.25">
      <c r="A44338" s="2" t="str">
        <f t="shared" si="1389"/>
        <v>16380</v>
      </c>
      <c r="B44338" s="2" t="str">
        <f>"45860"</f>
        <v>45860</v>
      </c>
      <c r="C44338" s="1">
        <v>4.4189493330405602E-2</v>
      </c>
      <c r="D44338" s="1">
        <v>3.2608695652173898E-2</v>
      </c>
      <c r="E44338" s="1">
        <v>1.4662756598240401E-2</v>
      </c>
      <c r="F44338" s="1">
        <v>4.2882937105025498E-2</v>
      </c>
    </row>
    <row r="44339" spans="1:6" x14ac:dyDescent="0.25">
      <c r="A44339" s="2" t="str">
        <f t="shared" si="1389"/>
        <v>16380</v>
      </c>
      <c r="B44339" s="2" t="str">
        <f>"45846"</f>
        <v>45846</v>
      </c>
      <c r="C44339" s="1">
        <v>8.7006642147444593E-2</v>
      </c>
      <c r="D44339" s="1">
        <v>2.4637681159420201E-2</v>
      </c>
      <c r="E44339" s="1">
        <v>0.102639296187683</v>
      </c>
      <c r="F44339" s="1">
        <v>8.2957167218376898E-2</v>
      </c>
    </row>
    <row r="44340" spans="1:6" x14ac:dyDescent="0.25">
      <c r="A44340" s="2" t="str">
        <f t="shared" si="1389"/>
        <v>16380</v>
      </c>
      <c r="B44340" s="2" t="str">
        <f>"45887"</f>
        <v>45887</v>
      </c>
      <c r="C44340" s="1">
        <v>1.31745073283197E-3</v>
      </c>
      <c r="D44340" s="1">
        <v>0</v>
      </c>
      <c r="E44340" s="1">
        <v>0</v>
      </c>
      <c r="F44340" s="1">
        <v>1.2037315678603601E-3</v>
      </c>
    </row>
    <row r="44341" spans="1:6" x14ac:dyDescent="0.25">
      <c r="A44341" s="2" t="str">
        <f t="shared" si="1389"/>
        <v>16380</v>
      </c>
      <c r="B44341" s="2" t="str">
        <f>"45882"</f>
        <v>45882</v>
      </c>
      <c r="C44341" s="1">
        <v>6.4829554811439802E-2</v>
      </c>
      <c r="D44341" s="1">
        <v>2.6811594202898501E-2</v>
      </c>
      <c r="E44341" s="1">
        <v>3.2258064516128997E-2</v>
      </c>
      <c r="F44341" s="1">
        <v>6.1641087370849598E-2</v>
      </c>
    </row>
    <row r="44342" spans="1:6" x14ac:dyDescent="0.25">
      <c r="A44342" s="2" t="str">
        <f t="shared" si="1389"/>
        <v>16380</v>
      </c>
      <c r="B44342" s="2" t="str">
        <f>"45869"</f>
        <v>45869</v>
      </c>
      <c r="C44342" s="1">
        <v>1.92128231871328E-3</v>
      </c>
      <c r="D44342" s="1">
        <v>0</v>
      </c>
      <c r="E44342" s="1">
        <v>0</v>
      </c>
      <c r="F44342" s="1">
        <v>1.7554418697963601E-3</v>
      </c>
    </row>
    <row r="44343" spans="1:6" x14ac:dyDescent="0.25">
      <c r="A44343" s="2" t="str">
        <f t="shared" si="1389"/>
        <v>16380</v>
      </c>
      <c r="B44343" s="2" t="str">
        <f>"45845"</f>
        <v>45845</v>
      </c>
      <c r="C44343" s="1">
        <v>5.4893780534665402E-5</v>
      </c>
      <c r="D44343" s="1">
        <v>0</v>
      </c>
      <c r="E44343" s="1">
        <v>0</v>
      </c>
      <c r="F44343" s="1">
        <v>5.0155481994181902E-5</v>
      </c>
    </row>
    <row r="44344" spans="1:6" x14ac:dyDescent="0.25">
      <c r="A44344" s="2" t="str">
        <f t="shared" si="1389"/>
        <v>16380</v>
      </c>
      <c r="B44344" s="2" t="str">
        <f>"45865"</f>
        <v>45865</v>
      </c>
      <c r="C44344" s="1">
        <v>1.0978756106933E-4</v>
      </c>
      <c r="D44344" s="1">
        <v>0</v>
      </c>
      <c r="E44344" s="1">
        <v>0</v>
      </c>
      <c r="F44344" s="1">
        <v>1.00310963988363E-4</v>
      </c>
    </row>
    <row r="44345" spans="1:6" x14ac:dyDescent="0.25">
      <c r="A44345" s="2" t="str">
        <f t="shared" si="1389"/>
        <v>16380</v>
      </c>
      <c r="B44345" s="2" t="str">
        <f>"45826"</f>
        <v>45826</v>
      </c>
      <c r="C44345" s="1">
        <v>0</v>
      </c>
      <c r="D44345" s="1">
        <v>7.2463768115941997E-4</v>
      </c>
      <c r="E44345" s="1">
        <v>0</v>
      </c>
      <c r="F44345" s="1">
        <v>5.0155481994181902E-5</v>
      </c>
    </row>
    <row r="44346" spans="1:6" x14ac:dyDescent="0.25">
      <c r="A44346" s="2" t="str">
        <f t="shared" si="1389"/>
        <v>16380</v>
      </c>
      <c r="B44346" s="2" t="str">
        <f>"45822"</f>
        <v>45822</v>
      </c>
      <c r="C44346" s="1">
        <v>0.53137179557556102</v>
      </c>
      <c r="D44346" s="1">
        <v>0.66449275362318805</v>
      </c>
      <c r="E44346" s="1">
        <v>0.73313782991202303</v>
      </c>
      <c r="F44346" s="1">
        <v>0.54403651319089097</v>
      </c>
    </row>
    <row r="44347" spans="1:6" x14ac:dyDescent="0.25">
      <c r="A44347" s="2" t="str">
        <f t="shared" si="1389"/>
        <v>16380</v>
      </c>
      <c r="B44347" s="2" t="str">
        <f>"45310"</f>
        <v>45310</v>
      </c>
      <c r="C44347" s="1">
        <v>6.2578909809518496E-3</v>
      </c>
      <c r="D44347" s="1">
        <v>7.2463768115941997E-4</v>
      </c>
      <c r="E44347" s="1">
        <v>0</v>
      </c>
      <c r="F44347" s="1">
        <v>5.7678804293309202E-3</v>
      </c>
    </row>
    <row r="44348" spans="1:6" x14ac:dyDescent="0.25">
      <c r="A44348" s="2" t="str">
        <f t="shared" si="1389"/>
        <v>16380</v>
      </c>
      <c r="B44348" s="2" t="str">
        <f>"45828"</f>
        <v>45828</v>
      </c>
      <c r="C44348" s="1">
        <v>0.14782895097985299</v>
      </c>
      <c r="D44348" s="1">
        <v>0.176086956521739</v>
      </c>
      <c r="E44348" s="1">
        <v>0.102639296187683</v>
      </c>
      <c r="F44348" s="1">
        <v>0.14901193700471399</v>
      </c>
    </row>
    <row r="44349" spans="1:6" x14ac:dyDescent="0.25">
      <c r="A44349" s="2" t="str">
        <f t="shared" si="1389"/>
        <v>16380</v>
      </c>
      <c r="B44349" s="2" t="str">
        <f>"45885"</f>
        <v>45885</v>
      </c>
      <c r="C44349" s="1">
        <v>1.7566009771092901E-3</v>
      </c>
      <c r="D44349" s="1">
        <v>0</v>
      </c>
      <c r="E44349" s="1">
        <v>0</v>
      </c>
      <c r="F44349" s="1">
        <v>1.60497542381382E-3</v>
      </c>
    </row>
    <row r="44350" spans="1:6" x14ac:dyDescent="0.25">
      <c r="A44350" s="2" t="str">
        <f t="shared" si="1389"/>
        <v>16380</v>
      </c>
      <c r="B44350" s="2" t="str">
        <f>"45862"</f>
        <v>45862</v>
      </c>
      <c r="C44350" s="1">
        <v>2.7831146731075299E-2</v>
      </c>
      <c r="D44350" s="1">
        <v>7.9710144927536194E-3</v>
      </c>
      <c r="E44350" s="1">
        <v>8.7976539589442806E-3</v>
      </c>
      <c r="F44350" s="1">
        <v>2.6131006118968798E-2</v>
      </c>
    </row>
    <row r="44351" spans="1:6" x14ac:dyDescent="0.25">
      <c r="A44351" s="2" t="str">
        <f t="shared" si="1389"/>
        <v>16380</v>
      </c>
      <c r="B44351" s="2" t="str">
        <f>"45388"</f>
        <v>45388</v>
      </c>
      <c r="C44351" s="1">
        <v>2.1957512213866101E-4</v>
      </c>
      <c r="D44351" s="1">
        <v>0</v>
      </c>
      <c r="E44351" s="1">
        <v>0</v>
      </c>
      <c r="F44351" s="1">
        <v>2.0062192797672701E-4</v>
      </c>
    </row>
    <row r="44352" spans="1:6" x14ac:dyDescent="0.25">
      <c r="A44352" s="2" t="str">
        <f t="shared" si="1389"/>
        <v>16380</v>
      </c>
      <c r="B44352" s="2" t="str">
        <f>"45898"</f>
        <v>45898</v>
      </c>
      <c r="C44352" s="1">
        <v>4.7208651259812197E-3</v>
      </c>
      <c r="D44352" s="1">
        <v>7.2463768115941997E-4</v>
      </c>
      <c r="E44352" s="1">
        <v>0</v>
      </c>
      <c r="F44352" s="1">
        <v>4.3635269334938304E-3</v>
      </c>
    </row>
    <row r="44353" spans="1:6" x14ac:dyDescent="0.25">
      <c r="A44353" s="2" t="str">
        <f t="shared" ref="A44353:A44384" si="1390">"26900"</f>
        <v>26900</v>
      </c>
      <c r="B44353" s="2" t="str">
        <f>"47933"</f>
        <v>47933</v>
      </c>
      <c r="C44353" s="1">
        <v>1.14419213274293E-5</v>
      </c>
      <c r="D44353" s="1">
        <v>0</v>
      </c>
      <c r="E44353" s="1">
        <v>0</v>
      </c>
      <c r="F44353" s="1">
        <v>1.00399590369671E-5</v>
      </c>
    </row>
    <row r="44354" spans="1:6" x14ac:dyDescent="0.25">
      <c r="A44354" s="2" t="str">
        <f t="shared" si="1390"/>
        <v>26900</v>
      </c>
      <c r="B44354" s="2" t="str">
        <f>"47235"</f>
        <v>47235</v>
      </c>
      <c r="C44354" s="1">
        <v>2.2571790255019599E-4</v>
      </c>
      <c r="D44354" s="1">
        <v>1.1443349697323399E-5</v>
      </c>
      <c r="E44354" s="1">
        <v>1.28046438174911E-4</v>
      </c>
      <c r="F44354" s="1">
        <v>2.0445007493460299E-4</v>
      </c>
    </row>
    <row r="44355" spans="1:6" x14ac:dyDescent="0.25">
      <c r="A44355" s="2" t="str">
        <f t="shared" si="1390"/>
        <v>26900</v>
      </c>
      <c r="B44355" s="2" t="str">
        <f>"47201"</f>
        <v>47201</v>
      </c>
      <c r="C44355" s="1">
        <v>5.3881047705530696E-4</v>
      </c>
      <c r="D44355" s="1">
        <v>6.8660098183940399E-5</v>
      </c>
      <c r="E44355" s="1">
        <v>6.6157326390370904E-4</v>
      </c>
      <c r="F44355" s="1">
        <v>5.0656156959243202E-4</v>
      </c>
    </row>
    <row r="44356" spans="1:6" x14ac:dyDescent="0.25">
      <c r="A44356" s="2" t="str">
        <f t="shared" si="1390"/>
        <v>26900</v>
      </c>
      <c r="B44356" s="2" t="str">
        <f>"46224"</f>
        <v>46224</v>
      </c>
      <c r="C44356" s="1">
        <v>1.8366364079856201E-2</v>
      </c>
      <c r="D44356" s="1">
        <v>1.03905615251696E-2</v>
      </c>
      <c r="E44356" s="1">
        <v>7.1257842844338198E-2</v>
      </c>
      <c r="F44356" s="1">
        <v>1.99922966132479E-2</v>
      </c>
    </row>
    <row r="44357" spans="1:6" x14ac:dyDescent="0.25">
      <c r="A44357" s="2" t="str">
        <f t="shared" si="1390"/>
        <v>26900</v>
      </c>
      <c r="B44357" s="2" t="str">
        <f>"46285"</f>
        <v>46285</v>
      </c>
      <c r="C44357" s="1">
        <v>0</v>
      </c>
      <c r="D44357" s="1">
        <v>1.1443349697323399E-5</v>
      </c>
      <c r="E44357" s="1">
        <v>0</v>
      </c>
      <c r="F44357" s="1">
        <v>9.1272354881519302E-7</v>
      </c>
    </row>
    <row r="44358" spans="1:6" x14ac:dyDescent="0.25">
      <c r="A44358" s="2" t="str">
        <f t="shared" si="1390"/>
        <v>26900</v>
      </c>
      <c r="B44358" s="2" t="str">
        <f>"46282"</f>
        <v>46282</v>
      </c>
      <c r="C44358" s="1">
        <v>0</v>
      </c>
      <c r="D44358" s="1">
        <v>9.1546797578587202E-4</v>
      </c>
      <c r="E44358" s="1">
        <v>1.06705365145759E-4</v>
      </c>
      <c r="F44358" s="1">
        <v>7.7581501649291403E-5</v>
      </c>
    </row>
    <row r="44359" spans="1:6" x14ac:dyDescent="0.25">
      <c r="A44359" s="2" t="str">
        <f t="shared" si="1390"/>
        <v>26900</v>
      </c>
      <c r="B44359" s="2" t="str">
        <f>"46290"</f>
        <v>46290</v>
      </c>
      <c r="C44359" s="1">
        <v>3.0685152650833099E-4</v>
      </c>
      <c r="D44359" s="1">
        <v>3.3300147619211001E-3</v>
      </c>
      <c r="E44359" s="1">
        <v>5.5486789875794904E-4</v>
      </c>
      <c r="F44359" s="1">
        <v>5.5858681187489795E-4</v>
      </c>
    </row>
    <row r="44360" spans="1:6" x14ac:dyDescent="0.25">
      <c r="A44360" s="2" t="str">
        <f t="shared" si="1390"/>
        <v>26900</v>
      </c>
      <c r="B44360" s="2" t="str">
        <f>"46240"</f>
        <v>46240</v>
      </c>
      <c r="C44360" s="1">
        <v>1.30843571252484E-2</v>
      </c>
      <c r="D44360" s="1">
        <v>2.6949088537196599E-2</v>
      </c>
      <c r="E44360" s="1">
        <v>3.78804046267446E-2</v>
      </c>
      <c r="F44360" s="1">
        <v>1.5250697777153E-2</v>
      </c>
    </row>
    <row r="44361" spans="1:6" x14ac:dyDescent="0.25">
      <c r="A44361" s="2" t="str">
        <f t="shared" si="1390"/>
        <v>26900</v>
      </c>
      <c r="B44361" s="2" t="str">
        <f>"46205"</f>
        <v>46205</v>
      </c>
      <c r="C44361" s="1">
        <v>1.6914280245938801E-2</v>
      </c>
      <c r="D44361" s="1">
        <v>1.6993374300525201E-2</v>
      </c>
      <c r="E44361" s="1">
        <v>2.6590976994323199E-2</v>
      </c>
      <c r="F44361" s="1">
        <v>1.7334445639098101E-2</v>
      </c>
    </row>
    <row r="44362" spans="1:6" x14ac:dyDescent="0.25">
      <c r="A44362" s="2" t="str">
        <f t="shared" si="1390"/>
        <v>26900</v>
      </c>
      <c r="B44362" s="2" t="str">
        <f>"46227"</f>
        <v>46227</v>
      </c>
      <c r="C44362" s="1">
        <v>2.7448129089836699E-2</v>
      </c>
      <c r="D44362" s="1">
        <v>2.3756393971643301E-2</v>
      </c>
      <c r="E44362" s="1">
        <v>5.0578343079090003E-2</v>
      </c>
      <c r="F44362" s="1">
        <v>2.8142917904167598E-2</v>
      </c>
    </row>
    <row r="44363" spans="1:6" x14ac:dyDescent="0.25">
      <c r="A44363" s="2" t="str">
        <f t="shared" si="1390"/>
        <v>26900</v>
      </c>
      <c r="B44363" s="2" t="str">
        <f>"46184"</f>
        <v>46184</v>
      </c>
      <c r="C44363" s="1">
        <v>4.9429100134494499E-3</v>
      </c>
      <c r="D44363" s="1">
        <v>3.3529014613157501E-3</v>
      </c>
      <c r="E44363" s="1">
        <v>8.32301848136924E-4</v>
      </c>
      <c r="F44363" s="1">
        <v>4.6402865221764397E-3</v>
      </c>
    </row>
    <row r="44364" spans="1:6" x14ac:dyDescent="0.25">
      <c r="A44364" s="2" t="str">
        <f t="shared" si="1390"/>
        <v>26900</v>
      </c>
      <c r="B44364" s="2" t="str">
        <f>"46181"</f>
        <v>46181</v>
      </c>
      <c r="C44364" s="1">
        <v>2.2582192001680901E-3</v>
      </c>
      <c r="D44364" s="1">
        <v>1.01845812306178E-3</v>
      </c>
      <c r="E44364" s="1">
        <v>4.6950360664134102E-4</v>
      </c>
      <c r="F44364" s="1">
        <v>2.08283513839627E-3</v>
      </c>
    </row>
    <row r="44365" spans="1:6" x14ac:dyDescent="0.25">
      <c r="A44365" s="2" t="str">
        <f t="shared" si="1390"/>
        <v>26900</v>
      </c>
      <c r="B44365" s="2" t="str">
        <f>"46163"</f>
        <v>46163</v>
      </c>
      <c r="C44365" s="1">
        <v>5.5472514944709499E-3</v>
      </c>
      <c r="D44365" s="1">
        <v>1.61351230732259E-3</v>
      </c>
      <c r="E44365" s="1">
        <v>1.3871697468948699E-3</v>
      </c>
      <c r="F44365" s="1">
        <v>5.0555757368873503E-3</v>
      </c>
    </row>
    <row r="44366" spans="1:6" x14ac:dyDescent="0.25">
      <c r="A44366" s="2" t="str">
        <f t="shared" si="1390"/>
        <v>26900</v>
      </c>
      <c r="B44366" s="2" t="str">
        <f>"46063"</f>
        <v>46063</v>
      </c>
      <c r="C44366" s="1">
        <v>0</v>
      </c>
      <c r="D44366" s="1">
        <v>0</v>
      </c>
      <c r="E44366" s="1">
        <v>2.13410730291519E-5</v>
      </c>
      <c r="F44366" s="1">
        <v>9.1272354881519302E-7</v>
      </c>
    </row>
    <row r="44367" spans="1:6" x14ac:dyDescent="0.25">
      <c r="A44367" s="2" t="str">
        <f t="shared" si="1390"/>
        <v>26900</v>
      </c>
      <c r="B44367" s="2" t="str">
        <f>"46061"</f>
        <v>46061</v>
      </c>
      <c r="C44367" s="1">
        <v>9.7568383682988E-4</v>
      </c>
      <c r="D44367" s="1">
        <v>4.9206403698490598E-3</v>
      </c>
      <c r="E44367" s="1">
        <v>4.26821460583038E-5</v>
      </c>
      <c r="F44367" s="1">
        <v>1.2504312618768099E-3</v>
      </c>
    </row>
    <row r="44368" spans="1:6" x14ac:dyDescent="0.25">
      <c r="A44368" s="2" t="str">
        <f t="shared" si="1390"/>
        <v>26900</v>
      </c>
      <c r="B44368" s="2" t="str">
        <f>"46049"</f>
        <v>46049</v>
      </c>
      <c r="C44368" s="1">
        <v>3.1205239983897999E-6</v>
      </c>
      <c r="D44368" s="1">
        <v>0</v>
      </c>
      <c r="E44368" s="1">
        <v>0</v>
      </c>
      <c r="F44368" s="1">
        <v>2.7381706464455799E-6</v>
      </c>
    </row>
    <row r="44369" spans="1:6" x14ac:dyDescent="0.25">
      <c r="A44369" s="2" t="str">
        <f t="shared" si="1390"/>
        <v>26900</v>
      </c>
      <c r="B44369" s="2" t="str">
        <f>"46041"</f>
        <v>46041</v>
      </c>
      <c r="C44369" s="1">
        <v>2.0803493322598702E-6</v>
      </c>
      <c r="D44369" s="1">
        <v>0</v>
      </c>
      <c r="E44369" s="1">
        <v>0</v>
      </c>
      <c r="F44369" s="1">
        <v>1.8254470976303799E-6</v>
      </c>
    </row>
    <row r="44370" spans="1:6" x14ac:dyDescent="0.25">
      <c r="A44370" s="2" t="str">
        <f t="shared" si="1390"/>
        <v>26900</v>
      </c>
      <c r="B44370" s="2" t="str">
        <f>"46051"</f>
        <v>46051</v>
      </c>
      <c r="C44370" s="1">
        <v>1.33558427131083E-3</v>
      </c>
      <c r="D44370" s="1">
        <v>3.4330049091970202E-4</v>
      </c>
      <c r="E44370" s="1">
        <v>3.2011609543727799E-4</v>
      </c>
      <c r="F44370" s="1">
        <v>1.21300959637539E-3</v>
      </c>
    </row>
    <row r="44371" spans="1:6" x14ac:dyDescent="0.25">
      <c r="A44371" s="2" t="str">
        <f t="shared" si="1390"/>
        <v>26900</v>
      </c>
      <c r="B44371" s="2" t="str">
        <f>"46052"</f>
        <v>46052</v>
      </c>
      <c r="C44371" s="1">
        <v>1.0789731811765801E-2</v>
      </c>
      <c r="D44371" s="1">
        <v>1.1145822605192901E-2</v>
      </c>
      <c r="E44371" s="1">
        <v>9.3047078407102295E-3</v>
      </c>
      <c r="F44371" s="1">
        <v>1.07546215756894E-2</v>
      </c>
    </row>
    <row r="44372" spans="1:6" x14ac:dyDescent="0.25">
      <c r="A44372" s="2" t="str">
        <f t="shared" si="1390"/>
        <v>26900</v>
      </c>
      <c r="B44372" s="2" t="str">
        <f>"46048"</f>
        <v>46048</v>
      </c>
      <c r="C44372" s="1">
        <v>8.3213973290394898E-4</v>
      </c>
      <c r="D44372" s="1">
        <v>1.0299014727591E-4</v>
      </c>
      <c r="E44372" s="1">
        <v>4.4816253361219002E-4</v>
      </c>
      <c r="F44372" s="1">
        <v>7.5756054551660997E-4</v>
      </c>
    </row>
    <row r="44373" spans="1:6" x14ac:dyDescent="0.25">
      <c r="A44373" s="2" t="str">
        <f t="shared" si="1390"/>
        <v>26900</v>
      </c>
      <c r="B44373" s="2" t="str">
        <f>"46154"</f>
        <v>46154</v>
      </c>
      <c r="C44373" s="1">
        <v>7.1772051962965604E-5</v>
      </c>
      <c r="D44373" s="1">
        <v>1.4876354606520401E-4</v>
      </c>
      <c r="E44373" s="1">
        <v>2.13410730291519E-5</v>
      </c>
      <c r="F44373" s="1">
        <v>7.5756054551660997E-5</v>
      </c>
    </row>
    <row r="44374" spans="1:6" x14ac:dyDescent="0.25">
      <c r="A44374" s="2" t="str">
        <f t="shared" si="1390"/>
        <v>26900</v>
      </c>
      <c r="B44374" s="2" t="str">
        <f>"46117"</f>
        <v>46117</v>
      </c>
      <c r="C44374" s="1">
        <v>2.56923142534094E-4</v>
      </c>
      <c r="D44374" s="1">
        <v>1.2587684667055699E-4</v>
      </c>
      <c r="E44374" s="1">
        <v>6.4023219087455704E-5</v>
      </c>
      <c r="F44374" s="1">
        <v>2.38220846240765E-4</v>
      </c>
    </row>
    <row r="44375" spans="1:6" x14ac:dyDescent="0.25">
      <c r="A44375" s="2" t="str">
        <f t="shared" si="1390"/>
        <v>26900</v>
      </c>
      <c r="B44375" s="2" t="str">
        <f>"46130"</f>
        <v>46130</v>
      </c>
      <c r="C44375" s="1">
        <v>1.1036253207638599E-3</v>
      </c>
      <c r="D44375" s="1">
        <v>2.5175369334111397E-4</v>
      </c>
      <c r="E44375" s="1">
        <v>1.7072858423321501E-4</v>
      </c>
      <c r="F44375" s="1">
        <v>9.9578139175737594E-4</v>
      </c>
    </row>
    <row r="44376" spans="1:6" x14ac:dyDescent="0.25">
      <c r="A44376" s="2" t="str">
        <f t="shared" si="1390"/>
        <v>26900</v>
      </c>
      <c r="B44376" s="2" t="str">
        <f>"46033"</f>
        <v>46033</v>
      </c>
      <c r="C44376" s="1">
        <v>1.5074211261555E-2</v>
      </c>
      <c r="D44376" s="1">
        <v>3.6618719031434798E-3</v>
      </c>
      <c r="E44376" s="1">
        <v>6.5517094199496299E-3</v>
      </c>
      <c r="F44376" s="1">
        <v>1.3799467334536899E-2</v>
      </c>
    </row>
    <row r="44377" spans="1:6" x14ac:dyDescent="0.25">
      <c r="A44377" s="2" t="str">
        <f t="shared" si="1390"/>
        <v>26900</v>
      </c>
      <c r="B44377" s="2" t="str">
        <f>"46112"</f>
        <v>46112</v>
      </c>
      <c r="C44377" s="1">
        <v>1.8178092465286701E-2</v>
      </c>
      <c r="D44377" s="1">
        <v>1.68903841532493E-2</v>
      </c>
      <c r="E44377" s="1">
        <v>1.07345597336634E-2</v>
      </c>
      <c r="F44377" s="1">
        <v>1.7757036642199499E-2</v>
      </c>
    </row>
    <row r="44378" spans="1:6" x14ac:dyDescent="0.25">
      <c r="A44378" s="2" t="str">
        <f t="shared" si="1390"/>
        <v>26900</v>
      </c>
      <c r="B44378" s="2" t="str">
        <f>"47456"</f>
        <v>47456</v>
      </c>
      <c r="C44378" s="1">
        <v>2.5276244386957398E-4</v>
      </c>
      <c r="D44378" s="1">
        <v>4.5773398789293597E-5</v>
      </c>
      <c r="E44378" s="1">
        <v>2.13410730291519E-5</v>
      </c>
      <c r="F44378" s="1">
        <v>2.26355440106168E-4</v>
      </c>
    </row>
    <row r="44379" spans="1:6" x14ac:dyDescent="0.25">
      <c r="A44379" s="2" t="str">
        <f t="shared" si="1390"/>
        <v>26900</v>
      </c>
      <c r="B44379" s="2" t="str">
        <f>"47435"</f>
        <v>47435</v>
      </c>
      <c r="C44379" s="1">
        <v>0</v>
      </c>
      <c r="D44379" s="1">
        <v>0</v>
      </c>
      <c r="E44379" s="1">
        <v>2.13410730291519E-5</v>
      </c>
      <c r="F44379" s="1">
        <v>9.1272354881519302E-7</v>
      </c>
    </row>
    <row r="44380" spans="1:6" x14ac:dyDescent="0.25">
      <c r="A44380" s="2" t="str">
        <f t="shared" si="1390"/>
        <v>26900</v>
      </c>
      <c r="B44380" s="2" t="str">
        <f>"47448"</f>
        <v>47448</v>
      </c>
      <c r="C44380" s="1">
        <v>4.7244733335621699E-3</v>
      </c>
      <c r="D44380" s="1">
        <v>3.0210443200933699E-3</v>
      </c>
      <c r="E44380" s="1">
        <v>1.8566733535362099E-3</v>
      </c>
      <c r="F44380" s="1">
        <v>4.4659563243527401E-3</v>
      </c>
    </row>
    <row r="44381" spans="1:6" x14ac:dyDescent="0.25">
      <c r="A44381" s="2" t="str">
        <f t="shared" si="1390"/>
        <v>26900</v>
      </c>
      <c r="B44381" s="2" t="str">
        <f>"47272"</f>
        <v>47272</v>
      </c>
      <c r="C44381" s="1">
        <v>2.89168557184122E-4</v>
      </c>
      <c r="D44381" s="1">
        <v>6.8660098183940399E-5</v>
      </c>
      <c r="E44381" s="1">
        <v>0</v>
      </c>
      <c r="F44381" s="1">
        <v>2.5921348786351402E-4</v>
      </c>
    </row>
    <row r="44382" spans="1:6" x14ac:dyDescent="0.25">
      <c r="A44382" s="2" t="str">
        <f t="shared" si="1390"/>
        <v>26900</v>
      </c>
      <c r="B44382" s="2" t="str">
        <f>"46298"</f>
        <v>46298</v>
      </c>
      <c r="C44382" s="1">
        <v>0</v>
      </c>
      <c r="D44382" s="1">
        <v>1.1443349697323399E-5</v>
      </c>
      <c r="E44382" s="1">
        <v>0</v>
      </c>
      <c r="F44382" s="1">
        <v>9.1272354881519302E-7</v>
      </c>
    </row>
    <row r="44383" spans="1:6" x14ac:dyDescent="0.25">
      <c r="A44383" s="2" t="str">
        <f t="shared" si="1390"/>
        <v>26900</v>
      </c>
      <c r="B44383" s="2" t="str">
        <f>"46239"</f>
        <v>46239</v>
      </c>
      <c r="C44383" s="1">
        <v>1.3336079394451901E-2</v>
      </c>
      <c r="D44383" s="1">
        <v>8.4909654754139596E-3</v>
      </c>
      <c r="E44383" s="1">
        <v>4.9724700157923896E-3</v>
      </c>
      <c r="F44383" s="1">
        <v>1.25919340794544E-2</v>
      </c>
    </row>
    <row r="44384" spans="1:6" x14ac:dyDescent="0.25">
      <c r="A44384" s="2" t="str">
        <f t="shared" si="1390"/>
        <v>26900</v>
      </c>
      <c r="B44384" s="2" t="str">
        <f>"46251"</f>
        <v>46251</v>
      </c>
      <c r="C44384" s="1">
        <v>2.94369430514772E-4</v>
      </c>
      <c r="D44384" s="1">
        <v>8.2392117820728403E-4</v>
      </c>
      <c r="E44384" s="1">
        <v>4.26821460583038E-5</v>
      </c>
      <c r="F44384" s="1">
        <v>3.2584230692702401E-4</v>
      </c>
    </row>
    <row r="44385" spans="1:6" x14ac:dyDescent="0.25">
      <c r="A44385" s="2" t="str">
        <f t="shared" ref="A44385:A44416" si="1391">"26900"</f>
        <v>26900</v>
      </c>
      <c r="B44385" s="2" t="str">
        <f>"46242"</f>
        <v>46242</v>
      </c>
      <c r="C44385" s="1">
        <v>1.0089694261460301E-3</v>
      </c>
      <c r="D44385" s="1">
        <v>3.7763054001167199E-3</v>
      </c>
      <c r="E44385" s="1">
        <v>4.26821460583038E-5</v>
      </c>
      <c r="F44385" s="1">
        <v>1.18836606055738E-3</v>
      </c>
    </row>
    <row r="44386" spans="1:6" x14ac:dyDescent="0.25">
      <c r="A44386" s="2" t="str">
        <f t="shared" si="1391"/>
        <v>26900</v>
      </c>
      <c r="B44386" s="2" t="str">
        <f>"46253"</f>
        <v>46253</v>
      </c>
      <c r="C44386" s="1">
        <v>1.8837563203613101E-3</v>
      </c>
      <c r="D44386" s="1">
        <v>3.84496549830066E-3</v>
      </c>
      <c r="E44386" s="1">
        <v>4.26821460583038E-5</v>
      </c>
      <c r="F44386" s="1">
        <v>1.9614429064038499E-3</v>
      </c>
    </row>
    <row r="44387" spans="1:6" x14ac:dyDescent="0.25">
      <c r="A44387" s="2" t="str">
        <f t="shared" si="1391"/>
        <v>26900</v>
      </c>
      <c r="B44387" s="2" t="str">
        <f>"46217"</f>
        <v>46217</v>
      </c>
      <c r="C44387" s="1">
        <v>1.43866558072431E-2</v>
      </c>
      <c r="D44387" s="1">
        <v>1.0493551672445501E-2</v>
      </c>
      <c r="E44387" s="1">
        <v>1.13321097784796E-2</v>
      </c>
      <c r="F44387" s="1">
        <v>1.39455031023473E-2</v>
      </c>
    </row>
    <row r="44388" spans="1:6" x14ac:dyDescent="0.25">
      <c r="A44388" s="2" t="str">
        <f t="shared" si="1391"/>
        <v>26900</v>
      </c>
      <c r="B44388" s="2" t="str">
        <f>"46168"</f>
        <v>46168</v>
      </c>
      <c r="C44388" s="1">
        <v>1.6073819115705899E-2</v>
      </c>
      <c r="D44388" s="1">
        <v>2.12159703388375E-2</v>
      </c>
      <c r="E44388" s="1">
        <v>1.63259208673012E-2</v>
      </c>
      <c r="F44388" s="1">
        <v>1.64947399741881E-2</v>
      </c>
    </row>
    <row r="44389" spans="1:6" x14ac:dyDescent="0.25">
      <c r="A44389" s="2" t="str">
        <f t="shared" si="1391"/>
        <v>26900</v>
      </c>
      <c r="B44389" s="2" t="str">
        <f>"46050"</f>
        <v>46050</v>
      </c>
      <c r="C44389" s="1">
        <v>1.4250392925980101E-4</v>
      </c>
      <c r="D44389" s="1">
        <v>3.4330049091970199E-5</v>
      </c>
      <c r="E44389" s="1">
        <v>0</v>
      </c>
      <c r="F44389" s="1">
        <v>1.2778129683412701E-4</v>
      </c>
    </row>
    <row r="44390" spans="1:6" x14ac:dyDescent="0.25">
      <c r="A44390" s="2" t="str">
        <f t="shared" si="1391"/>
        <v>26900</v>
      </c>
      <c r="B44390" s="2" t="str">
        <f>"46040"</f>
        <v>46040</v>
      </c>
      <c r="C44390" s="1">
        <v>6.2868156820893297E-3</v>
      </c>
      <c r="D44390" s="1">
        <v>2.8493940746335202E-3</v>
      </c>
      <c r="E44390" s="1">
        <v>2.3048358871484002E-3</v>
      </c>
      <c r="F44390" s="1">
        <v>5.8423434359660504E-3</v>
      </c>
    </row>
    <row r="44391" spans="1:6" x14ac:dyDescent="0.25">
      <c r="A44391" s="2" t="str">
        <f t="shared" si="1391"/>
        <v>26900</v>
      </c>
      <c r="B44391" s="2" t="str">
        <f>"46055"</f>
        <v>46055</v>
      </c>
      <c r="C44391" s="1">
        <v>6.0798209235294696E-3</v>
      </c>
      <c r="D44391" s="1">
        <v>1.69361575520386E-3</v>
      </c>
      <c r="E44391" s="1">
        <v>1.47253403901148E-3</v>
      </c>
      <c r="F44391" s="1">
        <v>5.5329301529177003E-3</v>
      </c>
    </row>
    <row r="44392" spans="1:6" x14ac:dyDescent="0.25">
      <c r="A44392" s="2" t="str">
        <f t="shared" si="1391"/>
        <v>26900</v>
      </c>
      <c r="B44392" s="2" t="str">
        <f>"46157"</f>
        <v>46157</v>
      </c>
      <c r="C44392" s="1">
        <v>1.6663598151401499E-3</v>
      </c>
      <c r="D44392" s="1">
        <v>8.3536452790460795E-4</v>
      </c>
      <c r="E44392" s="1">
        <v>1.06705365145759E-4</v>
      </c>
      <c r="F44392" s="1">
        <v>1.5333755620095201E-3</v>
      </c>
    </row>
    <row r="44393" spans="1:6" x14ac:dyDescent="0.25">
      <c r="A44393" s="2" t="str">
        <f t="shared" si="1391"/>
        <v>26900</v>
      </c>
      <c r="B44393" s="2" t="str">
        <f>"46158"</f>
        <v>46158</v>
      </c>
      <c r="C44393" s="1">
        <v>1.17706165219263E-2</v>
      </c>
      <c r="D44393" s="1">
        <v>9.9328275372767092E-3</v>
      </c>
      <c r="E44393" s="1">
        <v>3.2651841734602401E-3</v>
      </c>
      <c r="F44393" s="1">
        <v>1.1260270421733E-2</v>
      </c>
    </row>
    <row r="44394" spans="1:6" x14ac:dyDescent="0.25">
      <c r="A44394" s="2" t="str">
        <f t="shared" si="1391"/>
        <v>26900</v>
      </c>
      <c r="B44394" s="2" t="str">
        <f>"46120"</f>
        <v>46120</v>
      </c>
      <c r="C44394" s="1">
        <v>2.8355161398701998E-3</v>
      </c>
      <c r="D44394" s="1">
        <v>1.7508325036904801E-3</v>
      </c>
      <c r="E44394" s="1">
        <v>2.4328823253233099E-3</v>
      </c>
      <c r="F44394" s="1">
        <v>2.7317815816038701E-3</v>
      </c>
    </row>
    <row r="44395" spans="1:6" x14ac:dyDescent="0.25">
      <c r="A44395" s="2" t="str">
        <f t="shared" si="1391"/>
        <v>26900</v>
      </c>
      <c r="B44395" s="2" t="str">
        <f>"46115"</f>
        <v>46115</v>
      </c>
      <c r="C44395" s="1">
        <v>5.2008733306496798E-5</v>
      </c>
      <c r="D44395" s="1">
        <v>0</v>
      </c>
      <c r="E44395" s="1">
        <v>0</v>
      </c>
      <c r="F44395" s="1">
        <v>4.5636177440759597E-5</v>
      </c>
    </row>
    <row r="44396" spans="1:6" x14ac:dyDescent="0.25">
      <c r="A44396" s="2" t="str">
        <f t="shared" si="1391"/>
        <v>26900</v>
      </c>
      <c r="B44396" s="2" t="str">
        <f>"46135"</f>
        <v>46135</v>
      </c>
      <c r="C44396" s="1">
        <v>8.0915187278247699E-3</v>
      </c>
      <c r="D44396" s="1">
        <v>8.7656058681497197E-3</v>
      </c>
      <c r="E44396" s="1">
        <v>8.4083827734858507E-3</v>
      </c>
      <c r="F44396" s="1">
        <v>8.1588358028590099E-3</v>
      </c>
    </row>
    <row r="44397" spans="1:6" x14ac:dyDescent="0.25">
      <c r="A44397" s="2" t="str">
        <f t="shared" si="1391"/>
        <v>26900</v>
      </c>
      <c r="B44397" s="2" t="str">
        <f>"46015"</f>
        <v>46015</v>
      </c>
      <c r="C44397" s="1">
        <v>8.65425322220107E-4</v>
      </c>
      <c r="D44397" s="1">
        <v>3.0668177188826699E-3</v>
      </c>
      <c r="E44397" s="1">
        <v>4.26821460583038E-5</v>
      </c>
      <c r="F44397" s="1">
        <v>1.00582135079434E-3</v>
      </c>
    </row>
    <row r="44398" spans="1:6" x14ac:dyDescent="0.25">
      <c r="A44398" s="2" t="str">
        <f t="shared" si="1391"/>
        <v>26900</v>
      </c>
      <c r="B44398" s="2" t="str">
        <f>"46012"</f>
        <v>46012</v>
      </c>
      <c r="C44398" s="1">
        <v>9.8244497215972497E-3</v>
      </c>
      <c r="D44398" s="1">
        <v>6.6943595729341797E-3</v>
      </c>
      <c r="E44398" s="1">
        <v>7.4693755602031602E-3</v>
      </c>
      <c r="F44398" s="1">
        <v>9.4740704367017002E-3</v>
      </c>
    </row>
    <row r="44399" spans="1:6" x14ac:dyDescent="0.25">
      <c r="A44399" s="2" t="str">
        <f t="shared" si="1391"/>
        <v>26900</v>
      </c>
      <c r="B44399" s="2" t="str">
        <f>"46032"</f>
        <v>46032</v>
      </c>
      <c r="C44399" s="1">
        <v>2.39957893729515E-2</v>
      </c>
      <c r="D44399" s="1">
        <v>4.3187201757698503E-2</v>
      </c>
      <c r="E44399" s="1">
        <v>3.2715864953689798E-2</v>
      </c>
      <c r="F44399" s="1">
        <v>2.5899443421179901E-2</v>
      </c>
    </row>
    <row r="44400" spans="1:6" x14ac:dyDescent="0.25">
      <c r="A44400" s="2" t="str">
        <f t="shared" si="1391"/>
        <v>26900</v>
      </c>
      <c r="B44400" s="2" t="str">
        <f>"46001"</f>
        <v>46001</v>
      </c>
      <c r="C44400" s="1">
        <v>5.4962829358305796E-3</v>
      </c>
      <c r="D44400" s="1">
        <v>3.84496549830066E-3</v>
      </c>
      <c r="E44400" s="1">
        <v>3.1584788083144802E-3</v>
      </c>
      <c r="F44400" s="1">
        <v>5.2645894295660304E-3</v>
      </c>
    </row>
    <row r="44401" spans="1:6" x14ac:dyDescent="0.25">
      <c r="A44401" s="2" t="str">
        <f t="shared" si="1391"/>
        <v>26900</v>
      </c>
      <c r="B44401" s="2" t="str">
        <f>"47954"</f>
        <v>47954</v>
      </c>
      <c r="C44401" s="1">
        <v>9.3615719951694206E-6</v>
      </c>
      <c r="D44401" s="1">
        <v>0</v>
      </c>
      <c r="E44401" s="1">
        <v>0</v>
      </c>
      <c r="F44401" s="1">
        <v>8.2145119393367406E-6</v>
      </c>
    </row>
    <row r="44402" spans="1:6" x14ac:dyDescent="0.25">
      <c r="A44402" s="2" t="str">
        <f t="shared" si="1391"/>
        <v>26900</v>
      </c>
      <c r="B44402" s="2" t="str">
        <f>"47468"</f>
        <v>47468</v>
      </c>
      <c r="C44402" s="1">
        <v>2.89168557184122E-4</v>
      </c>
      <c r="D44402" s="1">
        <v>5.7216748486617001E-5</v>
      </c>
      <c r="E44402" s="1">
        <v>2.13410730291519E-5</v>
      </c>
      <c r="F44402" s="1">
        <v>2.5921348786351402E-4</v>
      </c>
    </row>
    <row r="44403" spans="1:6" x14ac:dyDescent="0.25">
      <c r="A44403" s="2" t="str">
        <f t="shared" si="1391"/>
        <v>26900</v>
      </c>
      <c r="B44403" s="2" t="str">
        <f>"47274"</f>
        <v>47274</v>
      </c>
      <c r="C44403" s="1">
        <v>6.3450654633926098E-5</v>
      </c>
      <c r="D44403" s="1">
        <v>0</v>
      </c>
      <c r="E44403" s="1">
        <v>0</v>
      </c>
      <c r="F44403" s="1">
        <v>5.5676136477726798E-5</v>
      </c>
    </row>
    <row r="44404" spans="1:6" x14ac:dyDescent="0.25">
      <c r="A44404" s="2" t="str">
        <f t="shared" si="1391"/>
        <v>26900</v>
      </c>
      <c r="B44404" s="2" t="str">
        <f>"47401"</f>
        <v>47401</v>
      </c>
      <c r="C44404" s="1">
        <v>2.8084715985508201E-5</v>
      </c>
      <c r="D44404" s="1">
        <v>2.2886699394646798E-5</v>
      </c>
      <c r="E44404" s="1">
        <v>0</v>
      </c>
      <c r="F44404" s="1">
        <v>2.6468982915640601E-5</v>
      </c>
    </row>
    <row r="44405" spans="1:6" x14ac:dyDescent="0.25">
      <c r="A44405" s="2" t="str">
        <f t="shared" si="1391"/>
        <v>26900</v>
      </c>
      <c r="B44405" s="2" t="str">
        <f>"46220"</f>
        <v>46220</v>
      </c>
      <c r="C44405" s="1">
        <v>1.9396136999324898E-2</v>
      </c>
      <c r="D44405" s="1">
        <v>3.4925103276231002E-2</v>
      </c>
      <c r="E44405" s="1">
        <v>2.8298262836655399E-2</v>
      </c>
      <c r="F44405" s="1">
        <v>2.10154597114698E-2</v>
      </c>
    </row>
    <row r="44406" spans="1:6" x14ac:dyDescent="0.25">
      <c r="A44406" s="2" t="str">
        <f t="shared" si="1391"/>
        <v>26900</v>
      </c>
      <c r="B44406" s="2" t="str">
        <f>"46249"</f>
        <v>46249</v>
      </c>
      <c r="C44406" s="1">
        <v>0</v>
      </c>
      <c r="D44406" s="1">
        <v>1.1443349697323399E-5</v>
      </c>
      <c r="E44406" s="1">
        <v>0</v>
      </c>
      <c r="F44406" s="1">
        <v>9.1272354881519302E-7</v>
      </c>
    </row>
    <row r="44407" spans="1:6" x14ac:dyDescent="0.25">
      <c r="A44407" s="2" t="str">
        <f t="shared" si="1391"/>
        <v>26900</v>
      </c>
      <c r="B44407" s="2" t="str">
        <f>"46254"</f>
        <v>46254</v>
      </c>
      <c r="C44407" s="1">
        <v>1.8401730018504699E-2</v>
      </c>
      <c r="D44407" s="1">
        <v>1.37434629864854E-2</v>
      </c>
      <c r="E44407" s="1">
        <v>3.5276793717188101E-2</v>
      </c>
      <c r="F44407" s="1">
        <v>1.8751905310408101E-2</v>
      </c>
    </row>
    <row r="44408" spans="1:6" x14ac:dyDescent="0.25">
      <c r="A44408" s="2" t="str">
        <f t="shared" si="1391"/>
        <v>26900</v>
      </c>
      <c r="B44408" s="2" t="str">
        <f>"46229"</f>
        <v>46229</v>
      </c>
      <c r="C44408" s="1">
        <v>1.2814951886720801E-2</v>
      </c>
      <c r="D44408" s="1">
        <v>1.0688088617299999E-2</v>
      </c>
      <c r="E44408" s="1">
        <v>1.8460028170216299E-2</v>
      </c>
      <c r="F44408" s="1">
        <v>1.28867437857217E-2</v>
      </c>
    </row>
    <row r="44409" spans="1:6" x14ac:dyDescent="0.25">
      <c r="A44409" s="2" t="str">
        <f t="shared" si="1391"/>
        <v>26900</v>
      </c>
      <c r="B44409" s="2" t="str">
        <f>"46234"</f>
        <v>46234</v>
      </c>
      <c r="C44409" s="1">
        <v>1.2455051452239799E-2</v>
      </c>
      <c r="D44409" s="1">
        <v>5.16095071349285E-3</v>
      </c>
      <c r="E44409" s="1">
        <v>4.0974860215971598E-3</v>
      </c>
      <c r="F44409" s="1">
        <v>1.1515833015401201E-2</v>
      </c>
    </row>
    <row r="44410" spans="1:6" x14ac:dyDescent="0.25">
      <c r="A44410" s="2" t="str">
        <f t="shared" si="1391"/>
        <v>26900</v>
      </c>
      <c r="B44410" s="2" t="str">
        <f>"46182"</f>
        <v>46182</v>
      </c>
      <c r="C44410" s="1">
        <v>7.8741222226036097E-4</v>
      </c>
      <c r="D44410" s="1">
        <v>1.7165024545985101E-4</v>
      </c>
      <c r="E44410" s="1">
        <v>6.4023219087455704E-5</v>
      </c>
      <c r="F44410" s="1">
        <v>7.0736075033177499E-4</v>
      </c>
    </row>
    <row r="44411" spans="1:6" x14ac:dyDescent="0.25">
      <c r="A44411" s="2" t="str">
        <f t="shared" si="1391"/>
        <v>26900</v>
      </c>
      <c r="B44411" s="2" t="str">
        <f>"46167"</f>
        <v>46167</v>
      </c>
      <c r="C44411" s="1">
        <v>2.9447344798138502E-3</v>
      </c>
      <c r="D44411" s="1">
        <v>6.7515763214208002E-4</v>
      </c>
      <c r="E44411" s="1">
        <v>4.0548038755388601E-4</v>
      </c>
      <c r="F44411" s="1">
        <v>2.65511280350339E-3</v>
      </c>
    </row>
    <row r="44412" spans="1:6" x14ac:dyDescent="0.25">
      <c r="A44412" s="2" t="str">
        <f t="shared" si="1391"/>
        <v>26900</v>
      </c>
      <c r="B44412" s="2" t="str">
        <f>"46070"</f>
        <v>46070</v>
      </c>
      <c r="C44412" s="1">
        <v>9.4759912084437198E-4</v>
      </c>
      <c r="D44412" s="1">
        <v>1.4876354606520401E-4</v>
      </c>
      <c r="E44412" s="1">
        <v>8.53642921166076E-5</v>
      </c>
      <c r="F44412" s="1">
        <v>8.4700745330049901E-4</v>
      </c>
    </row>
    <row r="44413" spans="1:6" x14ac:dyDescent="0.25">
      <c r="A44413" s="2" t="str">
        <f t="shared" si="1391"/>
        <v>26900</v>
      </c>
      <c r="B44413" s="2" t="str">
        <f>"46123"</f>
        <v>46123</v>
      </c>
      <c r="C44413" s="1">
        <v>1.66687990247322E-2</v>
      </c>
      <c r="D44413" s="1">
        <v>1.23931477222012E-2</v>
      </c>
      <c r="E44413" s="1">
        <v>1.50027743394937E-2</v>
      </c>
      <c r="F44413" s="1">
        <v>1.62565191279474E-2</v>
      </c>
    </row>
    <row r="44414" spans="1:6" x14ac:dyDescent="0.25">
      <c r="A44414" s="2" t="str">
        <f t="shared" si="1391"/>
        <v>26900</v>
      </c>
      <c r="B44414" s="2" t="str">
        <f>"46118"</f>
        <v>46118</v>
      </c>
      <c r="C44414" s="1">
        <v>2.0813895069260002E-3</v>
      </c>
      <c r="D44414" s="1">
        <v>1.31598521519219E-3</v>
      </c>
      <c r="E44414" s="1">
        <v>3.2011609543727799E-4</v>
      </c>
      <c r="F44414" s="1">
        <v>1.9450138825251699E-3</v>
      </c>
    </row>
    <row r="44415" spans="1:6" x14ac:dyDescent="0.25">
      <c r="A44415" s="2" t="str">
        <f t="shared" si="1391"/>
        <v>26900</v>
      </c>
      <c r="B44415" s="2" t="str">
        <f>"46105"</f>
        <v>46105</v>
      </c>
      <c r="C44415" s="1">
        <v>7.4060436228451398E-4</v>
      </c>
      <c r="D44415" s="1">
        <v>4.3484728849828898E-4</v>
      </c>
      <c r="E44415" s="1">
        <v>2.9877502240812601E-4</v>
      </c>
      <c r="F44415" s="1">
        <v>6.9732079129480699E-4</v>
      </c>
    </row>
    <row r="44416" spans="1:6" x14ac:dyDescent="0.25">
      <c r="A44416" s="2" t="str">
        <f t="shared" si="1391"/>
        <v>26900</v>
      </c>
      <c r="B44416" s="2" t="str">
        <f>"46074"</f>
        <v>46074</v>
      </c>
      <c r="C44416" s="1">
        <v>1.826858766124E-2</v>
      </c>
      <c r="D44416" s="1">
        <v>1.2930985157975401E-2</v>
      </c>
      <c r="E44416" s="1">
        <v>7.9175380938153496E-3</v>
      </c>
      <c r="F44416" s="1">
        <v>1.7400161734612798E-2</v>
      </c>
    </row>
    <row r="44417" spans="1:6" x14ac:dyDescent="0.25">
      <c r="A44417" s="2" t="str">
        <f t="shared" ref="A44417:A44448" si="1392">"26900"</f>
        <v>26900</v>
      </c>
      <c r="B44417" s="2" t="str">
        <f>"46018"</f>
        <v>46018</v>
      </c>
      <c r="C44417" s="1">
        <v>8.01974667586181E-4</v>
      </c>
      <c r="D44417" s="1">
        <v>1.99114284733427E-3</v>
      </c>
      <c r="E44417" s="1">
        <v>4.26821460583038E-5</v>
      </c>
      <c r="F44417" s="1">
        <v>8.6434920072798798E-4</v>
      </c>
    </row>
    <row r="44418" spans="1:6" x14ac:dyDescent="0.25">
      <c r="A44418" s="2" t="str">
        <f t="shared" si="1392"/>
        <v>26900</v>
      </c>
      <c r="B44418" s="2" t="str">
        <f>"47868"</f>
        <v>47868</v>
      </c>
      <c r="C44418" s="1">
        <v>5.7209606637146502E-5</v>
      </c>
      <c r="D44418" s="1">
        <v>2.2886699394646798E-5</v>
      </c>
      <c r="E44418" s="1">
        <v>4.26821460583038E-5</v>
      </c>
      <c r="F44418" s="1">
        <v>5.3850689380096398E-5</v>
      </c>
    </row>
    <row r="44419" spans="1:6" x14ac:dyDescent="0.25">
      <c r="A44419" s="2" t="str">
        <f t="shared" si="1392"/>
        <v>26900</v>
      </c>
      <c r="B44419" s="2" t="str">
        <f>"47384"</f>
        <v>47384</v>
      </c>
      <c r="C44419" s="1">
        <v>3.81744102469686E-4</v>
      </c>
      <c r="D44419" s="1">
        <v>3.4330049091970199E-5</v>
      </c>
      <c r="E44419" s="1">
        <v>2.56092876349822E-4</v>
      </c>
      <c r="F44419" s="1">
        <v>3.4866039564740301E-4</v>
      </c>
    </row>
    <row r="44420" spans="1:6" x14ac:dyDescent="0.25">
      <c r="A44420" s="2" t="str">
        <f t="shared" si="1392"/>
        <v>26900</v>
      </c>
      <c r="B44420" s="2" t="str">
        <f>"47240"</f>
        <v>47240</v>
      </c>
      <c r="C44420" s="1">
        <v>1.66427946580789E-5</v>
      </c>
      <c r="D44420" s="1">
        <v>0</v>
      </c>
      <c r="E44420" s="1">
        <v>0</v>
      </c>
      <c r="F44420" s="1">
        <v>1.4603576781043E-5</v>
      </c>
    </row>
    <row r="44421" spans="1:6" x14ac:dyDescent="0.25">
      <c r="A44421" s="2" t="str">
        <f t="shared" si="1392"/>
        <v>26900</v>
      </c>
      <c r="B44421" s="2" t="str">
        <f>"46283"</f>
        <v>46283</v>
      </c>
      <c r="C44421" s="1">
        <v>0</v>
      </c>
      <c r="D44421" s="1">
        <v>1.1443349697323399E-5</v>
      </c>
      <c r="E44421" s="1">
        <v>0</v>
      </c>
      <c r="F44421" s="1">
        <v>9.1272354881519302E-7</v>
      </c>
    </row>
    <row r="44422" spans="1:6" x14ac:dyDescent="0.25">
      <c r="A44422" s="2" t="str">
        <f t="shared" si="1392"/>
        <v>26900</v>
      </c>
      <c r="B44422" s="2" t="str">
        <f>"46280"</f>
        <v>46280</v>
      </c>
      <c r="C44422" s="1">
        <v>4.2834392751230702E-3</v>
      </c>
      <c r="D44422" s="1">
        <v>3.98228569466854E-3</v>
      </c>
      <c r="E44422" s="1">
        <v>4.4389431900635897E-3</v>
      </c>
      <c r="F44422" s="1">
        <v>4.26606986716221E-3</v>
      </c>
    </row>
    <row r="44423" spans="1:6" x14ac:dyDescent="0.25">
      <c r="A44423" s="2" t="str">
        <f t="shared" si="1392"/>
        <v>26900</v>
      </c>
      <c r="B44423" s="2" t="str">
        <f>"46278"</f>
        <v>46278</v>
      </c>
      <c r="C44423" s="1">
        <v>3.9838689712776501E-3</v>
      </c>
      <c r="D44423" s="1">
        <v>1.0562211770629401E-2</v>
      </c>
      <c r="E44423" s="1">
        <v>2.60361090955653E-3</v>
      </c>
      <c r="F44423" s="1">
        <v>4.4495273004740597E-3</v>
      </c>
    </row>
    <row r="44424" spans="1:6" x14ac:dyDescent="0.25">
      <c r="A44424" s="2" t="str">
        <f t="shared" si="1392"/>
        <v>26900</v>
      </c>
      <c r="B44424" s="2" t="str">
        <f>"46235"</f>
        <v>46235</v>
      </c>
      <c r="C44424" s="1">
        <v>1.4635257552448201E-2</v>
      </c>
      <c r="D44424" s="1">
        <v>2.1742364424914402E-3</v>
      </c>
      <c r="E44424" s="1">
        <v>2.24081266806095E-2</v>
      </c>
      <c r="F44424" s="1">
        <v>1.39737975323606E-2</v>
      </c>
    </row>
    <row r="44425" spans="1:6" x14ac:dyDescent="0.25">
      <c r="A44425" s="2" t="str">
        <f t="shared" si="1392"/>
        <v>26900</v>
      </c>
      <c r="B44425" s="2" t="str">
        <f>"46244"</f>
        <v>46244</v>
      </c>
      <c r="C44425" s="1">
        <v>1.06825938211544E-3</v>
      </c>
      <c r="D44425" s="1">
        <v>3.3300147619211001E-3</v>
      </c>
      <c r="E44425" s="1">
        <v>4.26821460583038E-5</v>
      </c>
      <c r="F44425" s="1">
        <v>1.20479508443605E-3</v>
      </c>
    </row>
    <row r="44426" spans="1:6" x14ac:dyDescent="0.25">
      <c r="A44426" s="2" t="str">
        <f t="shared" si="1392"/>
        <v>26900</v>
      </c>
      <c r="B44426" s="2" t="str">
        <f>"46214"</f>
        <v>46214</v>
      </c>
      <c r="C44426" s="1">
        <v>1.2717175468104599E-2</v>
      </c>
      <c r="D44426" s="1">
        <v>6.3281723826198403E-3</v>
      </c>
      <c r="E44426" s="1">
        <v>2.6142814460711001E-2</v>
      </c>
      <c r="F44426" s="1">
        <v>1.27817805776079E-2</v>
      </c>
    </row>
    <row r="44427" spans="1:6" x14ac:dyDescent="0.25">
      <c r="A44427" s="2" t="str">
        <f t="shared" si="1392"/>
        <v>26900</v>
      </c>
      <c r="B44427" s="2" t="str">
        <f>"46202"</f>
        <v>46202</v>
      </c>
      <c r="C44427" s="1">
        <v>1.5589097721289301E-2</v>
      </c>
      <c r="D44427" s="1">
        <v>2.61022806595946E-2</v>
      </c>
      <c r="E44427" s="1">
        <v>2.35605446241837E-2</v>
      </c>
      <c r="F44427" s="1">
        <v>1.6768557038832701E-2</v>
      </c>
    </row>
    <row r="44428" spans="1:6" x14ac:dyDescent="0.25">
      <c r="A44428" s="2" t="str">
        <f t="shared" si="1392"/>
        <v>26900</v>
      </c>
      <c r="B44428" s="2" t="str">
        <f>"46180"</f>
        <v>46180</v>
      </c>
      <c r="C44428" s="1">
        <v>3.47418338487398E-4</v>
      </c>
      <c r="D44428" s="1">
        <v>1.9453694485449701E-4</v>
      </c>
      <c r="E44428" s="1">
        <v>1.28046438174911E-4</v>
      </c>
      <c r="F44428" s="1">
        <v>3.2584230692702401E-4</v>
      </c>
    </row>
    <row r="44429" spans="1:6" x14ac:dyDescent="0.25">
      <c r="A44429" s="2" t="str">
        <f t="shared" si="1392"/>
        <v>26900</v>
      </c>
      <c r="B44429" s="2" t="str">
        <f>"46170"</f>
        <v>46170</v>
      </c>
      <c r="C44429" s="1">
        <v>1.66427946580789E-5</v>
      </c>
      <c r="D44429" s="1">
        <v>2.2886699394646798E-5</v>
      </c>
      <c r="E44429" s="1">
        <v>2.13410730291519E-5</v>
      </c>
      <c r="F44429" s="1">
        <v>1.73417474274886E-5</v>
      </c>
    </row>
    <row r="44430" spans="1:6" x14ac:dyDescent="0.25">
      <c r="A44430" s="2" t="str">
        <f t="shared" si="1392"/>
        <v>26900</v>
      </c>
      <c r="B44430" s="2" t="str">
        <f>"46161"</f>
        <v>46161</v>
      </c>
      <c r="C44430" s="1">
        <v>1.0422550154621901E-3</v>
      </c>
      <c r="D44430" s="1">
        <v>3.7763054001167199E-4</v>
      </c>
      <c r="E44430" s="1">
        <v>3.4145716846643002E-4</v>
      </c>
      <c r="F44430" s="1">
        <v>9.5927244980476803E-4</v>
      </c>
    </row>
    <row r="44431" spans="1:6" x14ac:dyDescent="0.25">
      <c r="A44431" s="2" t="str">
        <f t="shared" si="1392"/>
        <v>26900</v>
      </c>
      <c r="B44431" s="2" t="str">
        <f>"46056"</f>
        <v>46056</v>
      </c>
      <c r="C44431" s="1">
        <v>1.08906287543804E-3</v>
      </c>
      <c r="D44431" s="1">
        <v>1.2587684667055699E-4</v>
      </c>
      <c r="E44431" s="1">
        <v>7.25596482991164E-4</v>
      </c>
      <c r="F44431" s="1">
        <v>9.9669411530619104E-4</v>
      </c>
    </row>
    <row r="44432" spans="1:6" x14ac:dyDescent="0.25">
      <c r="A44432" s="2" t="str">
        <f t="shared" si="1392"/>
        <v>26900</v>
      </c>
      <c r="B44432" s="2" t="str">
        <f>"46144"</f>
        <v>46144</v>
      </c>
      <c r="C44432" s="1">
        <v>9.0495195953304398E-5</v>
      </c>
      <c r="D44432" s="1">
        <v>0</v>
      </c>
      <c r="E44432" s="1">
        <v>2.13410730291519E-5</v>
      </c>
      <c r="F44432" s="1">
        <v>8.0319672295736999E-5</v>
      </c>
    </row>
    <row r="44433" spans="1:6" x14ac:dyDescent="0.25">
      <c r="A44433" s="2" t="str">
        <f t="shared" si="1392"/>
        <v>26900</v>
      </c>
      <c r="B44433" s="2" t="str">
        <f>"46125"</f>
        <v>46125</v>
      </c>
      <c r="C44433" s="1">
        <v>0</v>
      </c>
      <c r="D44433" s="1">
        <v>0</v>
      </c>
      <c r="E44433" s="1">
        <v>4.26821460583038E-5</v>
      </c>
      <c r="F44433" s="1">
        <v>1.8254470976303799E-6</v>
      </c>
    </row>
    <row r="44434" spans="1:6" x14ac:dyDescent="0.25">
      <c r="A44434" s="2" t="str">
        <f t="shared" si="1392"/>
        <v>26900</v>
      </c>
      <c r="B44434" s="2" t="str">
        <f>"46128"</f>
        <v>46128</v>
      </c>
      <c r="C44434" s="1">
        <v>1.01521047414281E-3</v>
      </c>
      <c r="D44434" s="1">
        <v>2.9752709213040802E-4</v>
      </c>
      <c r="E44434" s="1">
        <v>1.4938751120406301E-4</v>
      </c>
      <c r="F44434" s="1">
        <v>9.2093806075453004E-4</v>
      </c>
    </row>
    <row r="44435" spans="1:6" x14ac:dyDescent="0.25">
      <c r="A44435" s="2" t="str">
        <f t="shared" si="1392"/>
        <v>26900</v>
      </c>
      <c r="B44435" s="2" t="str">
        <f>"46140"</f>
        <v>46140</v>
      </c>
      <c r="C44435" s="1">
        <v>1.8915576303572799E-2</v>
      </c>
      <c r="D44435" s="1">
        <v>1.55972856374517E-2</v>
      </c>
      <c r="E44435" s="1">
        <v>1.3508899227453099E-2</v>
      </c>
      <c r="F44435" s="1">
        <v>1.84196739386394E-2</v>
      </c>
    </row>
    <row r="44436" spans="1:6" x14ac:dyDescent="0.25">
      <c r="A44436" s="2" t="str">
        <f t="shared" si="1392"/>
        <v>26900</v>
      </c>
      <c r="B44436" s="2" t="str">
        <f>"46034"</f>
        <v>46034</v>
      </c>
      <c r="C44436" s="1">
        <v>3.3576838222674301E-3</v>
      </c>
      <c r="D44436" s="1">
        <v>9.6124137457516499E-4</v>
      </c>
      <c r="E44436" s="1">
        <v>1.28046438174911E-3</v>
      </c>
      <c r="F44436" s="1">
        <v>3.07770380660483E-3</v>
      </c>
    </row>
    <row r="44437" spans="1:6" x14ac:dyDescent="0.25">
      <c r="A44437" s="2" t="str">
        <f t="shared" si="1392"/>
        <v>26900</v>
      </c>
      <c r="B44437" s="2" t="str">
        <f>"46111"</f>
        <v>46111</v>
      </c>
      <c r="C44437" s="1">
        <v>1.9659301189855799E-4</v>
      </c>
      <c r="D44437" s="1">
        <v>1.14433496973234E-4</v>
      </c>
      <c r="E44437" s="1">
        <v>1.4938751120406301E-4</v>
      </c>
      <c r="F44437" s="1">
        <v>1.8802105105592901E-4</v>
      </c>
    </row>
    <row r="44438" spans="1:6" x14ac:dyDescent="0.25">
      <c r="A44438" s="2" t="str">
        <f t="shared" si="1392"/>
        <v>26900</v>
      </c>
      <c r="B44438" s="2" t="str">
        <f>"46110"</f>
        <v>46110</v>
      </c>
      <c r="C44438" s="1">
        <v>2.1011528255824701E-4</v>
      </c>
      <c r="D44438" s="1">
        <v>1.0299014727591E-4</v>
      </c>
      <c r="E44438" s="1">
        <v>2.13410730291519E-5</v>
      </c>
      <c r="F44438" s="1">
        <v>1.9349739234882099E-4</v>
      </c>
    </row>
    <row r="44439" spans="1:6" x14ac:dyDescent="0.25">
      <c r="A44439" s="2" t="str">
        <f t="shared" si="1392"/>
        <v>26900</v>
      </c>
      <c r="B44439" s="2" t="str">
        <f>"46072"</f>
        <v>46072</v>
      </c>
      <c r="C44439" s="1">
        <v>4.1606986645197403E-6</v>
      </c>
      <c r="D44439" s="1">
        <v>0</v>
      </c>
      <c r="E44439" s="1">
        <v>0</v>
      </c>
      <c r="F44439" s="1">
        <v>3.65089419526077E-6</v>
      </c>
    </row>
    <row r="44440" spans="1:6" x14ac:dyDescent="0.25">
      <c r="A44440" s="2" t="str">
        <f t="shared" si="1392"/>
        <v>26900</v>
      </c>
      <c r="B44440" s="2" t="str">
        <f>"46075"</f>
        <v>46075</v>
      </c>
      <c r="C44440" s="1">
        <v>3.4908261795320601E-3</v>
      </c>
      <c r="D44440" s="1">
        <v>3.1354778170666099E-3</v>
      </c>
      <c r="E44440" s="1">
        <v>9.1766614025353104E-4</v>
      </c>
      <c r="F44440" s="1">
        <v>3.3524335947982E-3</v>
      </c>
    </row>
    <row r="44441" spans="1:6" x14ac:dyDescent="0.25">
      <c r="A44441" s="2" t="str">
        <f t="shared" si="1392"/>
        <v>26900</v>
      </c>
      <c r="B44441" s="2" t="str">
        <f>"46030"</f>
        <v>46030</v>
      </c>
      <c r="C44441" s="1">
        <v>9.4967947017663204E-4</v>
      </c>
      <c r="D44441" s="1">
        <v>3.7763054001167199E-4</v>
      </c>
      <c r="E44441" s="1">
        <v>1.9206965726236699E-4</v>
      </c>
      <c r="F44441" s="1">
        <v>8.7165098911850896E-4</v>
      </c>
    </row>
    <row r="44442" spans="1:6" x14ac:dyDescent="0.25">
      <c r="A44442" s="2" t="str">
        <f t="shared" si="1392"/>
        <v>26900</v>
      </c>
      <c r="B44442" s="2" t="str">
        <f>"47840"</f>
        <v>47840</v>
      </c>
      <c r="C44442" s="1">
        <v>2.91248906516382E-5</v>
      </c>
      <c r="D44442" s="1">
        <v>0</v>
      </c>
      <c r="E44442" s="1">
        <v>0</v>
      </c>
      <c r="F44442" s="1">
        <v>2.5556259366825401E-5</v>
      </c>
    </row>
    <row r="44443" spans="1:6" x14ac:dyDescent="0.25">
      <c r="A44443" s="2" t="str">
        <f t="shared" si="1392"/>
        <v>26900</v>
      </c>
      <c r="B44443" s="2" t="str">
        <f>"47968"</f>
        <v>47968</v>
      </c>
      <c r="C44443" s="1">
        <v>3.9526637312937498E-5</v>
      </c>
      <c r="D44443" s="1">
        <v>0</v>
      </c>
      <c r="E44443" s="1">
        <v>0</v>
      </c>
      <c r="F44443" s="1">
        <v>3.4683494854977301E-5</v>
      </c>
    </row>
    <row r="44444" spans="1:6" x14ac:dyDescent="0.25">
      <c r="A44444" s="2" t="str">
        <f t="shared" si="1392"/>
        <v>26900</v>
      </c>
      <c r="B44444" s="2" t="str">
        <f>"46225"</f>
        <v>46225</v>
      </c>
      <c r="C44444" s="1">
        <v>4.0150742112615503E-3</v>
      </c>
      <c r="D44444" s="1">
        <v>9.1317930584640696E-3</v>
      </c>
      <c r="E44444" s="1">
        <v>6.2529343975414996E-3</v>
      </c>
      <c r="F44444" s="1">
        <v>4.5188942901840199E-3</v>
      </c>
    </row>
    <row r="44445" spans="1:6" x14ac:dyDescent="0.25">
      <c r="A44445" s="2" t="str">
        <f t="shared" si="1392"/>
        <v>26900</v>
      </c>
      <c r="B44445" s="2" t="str">
        <f>"46259"</f>
        <v>46259</v>
      </c>
      <c r="C44445" s="1">
        <v>5.0136418907462902E-3</v>
      </c>
      <c r="D44445" s="1">
        <v>9.1546797578587202E-4</v>
      </c>
      <c r="E44445" s="1">
        <v>1.00303043237013E-3</v>
      </c>
      <c r="F44445" s="1">
        <v>4.5152433959887604E-3</v>
      </c>
    </row>
    <row r="44446" spans="1:6" x14ac:dyDescent="0.25">
      <c r="A44446" s="2" t="str">
        <f t="shared" si="1392"/>
        <v>26900</v>
      </c>
      <c r="B44446" s="2" t="str">
        <f>"46237"</f>
        <v>46237</v>
      </c>
      <c r="C44446" s="1">
        <v>1.8976946608874501E-2</v>
      </c>
      <c r="D44446" s="1">
        <v>9.2233398560426592E-3</v>
      </c>
      <c r="E44446" s="1">
        <v>2.2216057023347099E-2</v>
      </c>
      <c r="F44446" s="1">
        <v>1.8337528819246E-2</v>
      </c>
    </row>
    <row r="44447" spans="1:6" x14ac:dyDescent="0.25">
      <c r="A44447" s="2" t="str">
        <f t="shared" si="1392"/>
        <v>26900</v>
      </c>
      <c r="B44447" s="2" t="str">
        <f>"46236"</f>
        <v>46236</v>
      </c>
      <c r="C44447" s="1">
        <v>1.1831986827228001E-2</v>
      </c>
      <c r="D44447" s="1">
        <v>9.2805566045292692E-3</v>
      </c>
      <c r="E44447" s="1">
        <v>3.3932306116351502E-3</v>
      </c>
      <c r="F44447" s="1">
        <v>1.12675722101235E-2</v>
      </c>
    </row>
    <row r="44448" spans="1:6" x14ac:dyDescent="0.25">
      <c r="A44448" s="2" t="str">
        <f t="shared" si="1392"/>
        <v>26900</v>
      </c>
      <c r="B44448" s="2" t="str">
        <f>"46250"</f>
        <v>46250</v>
      </c>
      <c r="C44448" s="1">
        <v>1.2174204292384701E-2</v>
      </c>
      <c r="D44448" s="1">
        <v>2.90432215318067E-2</v>
      </c>
      <c r="E44448" s="1">
        <v>3.0773827308036999E-2</v>
      </c>
      <c r="F44448" s="1">
        <v>1.43151561396174E-2</v>
      </c>
    </row>
    <row r="44449" spans="1:6" x14ac:dyDescent="0.25">
      <c r="A44449" s="2" t="str">
        <f t="shared" ref="A44449:A44480" si="1393">"26900"</f>
        <v>26900</v>
      </c>
      <c r="B44449" s="2" t="str">
        <f>"46216"</f>
        <v>46216</v>
      </c>
      <c r="C44449" s="1">
        <v>1.55298077653199E-3</v>
      </c>
      <c r="D44449" s="1">
        <v>6.1336354377653397E-3</v>
      </c>
      <c r="E44449" s="1">
        <v>3.2865252464893899E-3</v>
      </c>
      <c r="F44449" s="1">
        <v>1.99247550706356E-3</v>
      </c>
    </row>
    <row r="44450" spans="1:6" x14ac:dyDescent="0.25">
      <c r="A44450" s="2" t="str">
        <f t="shared" si="1393"/>
        <v>26900</v>
      </c>
      <c r="B44450" s="2" t="str">
        <f>"46206"</f>
        <v>46206</v>
      </c>
      <c r="C44450" s="1">
        <v>1.0828218274412599E-3</v>
      </c>
      <c r="D44450" s="1">
        <v>1.00243743348552E-2</v>
      </c>
      <c r="E44450" s="1">
        <v>1.28046438174911E-4</v>
      </c>
      <c r="F44450" s="1">
        <v>1.75516738437161E-3</v>
      </c>
    </row>
    <row r="44451" spans="1:6" x14ac:dyDescent="0.25">
      <c r="A44451" s="2" t="str">
        <f t="shared" si="1393"/>
        <v>26900</v>
      </c>
      <c r="B44451" s="2" t="str">
        <f>"46231"</f>
        <v>46231</v>
      </c>
      <c r="C44451" s="1">
        <v>3.8892130766598298E-3</v>
      </c>
      <c r="D44451" s="1">
        <v>2.4374334855298799E-3</v>
      </c>
      <c r="E44451" s="1">
        <v>6.1889111784540498E-4</v>
      </c>
      <c r="F44451" s="1">
        <v>3.63355244783328E-3</v>
      </c>
    </row>
    <row r="44452" spans="1:6" x14ac:dyDescent="0.25">
      <c r="A44452" s="2" t="str">
        <f t="shared" si="1393"/>
        <v>26900</v>
      </c>
      <c r="B44452" s="2" t="str">
        <f>"46228"</f>
        <v>46228</v>
      </c>
      <c r="C44452" s="1">
        <v>6.8973982111076E-3</v>
      </c>
      <c r="D44452" s="1">
        <v>1.23588176731092E-3</v>
      </c>
      <c r="E44452" s="1">
        <v>4.0548038755388602E-3</v>
      </c>
      <c r="F44452" s="1">
        <v>6.3242614697404699E-3</v>
      </c>
    </row>
    <row r="44453" spans="1:6" x14ac:dyDescent="0.25">
      <c r="A44453" s="2" t="str">
        <f t="shared" si="1393"/>
        <v>26900</v>
      </c>
      <c r="B44453" s="2" t="str">
        <f>"46172"</f>
        <v>46172</v>
      </c>
      <c r="C44453" s="1">
        <v>1.1358707354138899E-3</v>
      </c>
      <c r="D44453" s="1">
        <v>2.0598029455182101E-4</v>
      </c>
      <c r="E44453" s="1">
        <v>1.06705365145759E-4</v>
      </c>
      <c r="F44453" s="1">
        <v>1.01768675692894E-3</v>
      </c>
    </row>
    <row r="44454" spans="1:6" x14ac:dyDescent="0.25">
      <c r="A44454" s="2" t="str">
        <f t="shared" si="1393"/>
        <v>26900</v>
      </c>
      <c r="B44454" s="2" t="str">
        <f>"46166"</f>
        <v>46166</v>
      </c>
      <c r="C44454" s="1">
        <v>7.7597030093293196E-4</v>
      </c>
      <c r="D44454" s="1">
        <v>2.2886699394646801E-4</v>
      </c>
      <c r="E44454" s="1">
        <v>1.06705365145759E-4</v>
      </c>
      <c r="F44454" s="1">
        <v>7.0370985613651396E-4</v>
      </c>
    </row>
    <row r="44455" spans="1:6" x14ac:dyDescent="0.25">
      <c r="A44455" s="2" t="str">
        <f t="shared" si="1393"/>
        <v>26900</v>
      </c>
      <c r="B44455" s="2" t="str">
        <f>"46176"</f>
        <v>46176</v>
      </c>
      <c r="C44455" s="1">
        <v>1.47694400843789E-2</v>
      </c>
      <c r="D44455" s="1">
        <v>1.6730177257486802E-2</v>
      </c>
      <c r="E44455" s="1">
        <v>1.3103418839899199E-2</v>
      </c>
      <c r="F44455" s="1">
        <v>1.4854575756967201E-2</v>
      </c>
    </row>
    <row r="44456" spans="1:6" x14ac:dyDescent="0.25">
      <c r="A44456" s="2" t="str">
        <f t="shared" si="1393"/>
        <v>26900</v>
      </c>
      <c r="B44456" s="2" t="str">
        <f>"46064"</f>
        <v>46064</v>
      </c>
      <c r="C44456" s="1">
        <v>6.1224680848408E-3</v>
      </c>
      <c r="D44456" s="1">
        <v>4.2798127867989498E-3</v>
      </c>
      <c r="E44456" s="1">
        <v>1.70728584233215E-3</v>
      </c>
      <c r="F44456" s="1">
        <v>5.7866672994883201E-3</v>
      </c>
    </row>
    <row r="44457" spans="1:6" x14ac:dyDescent="0.25">
      <c r="A44457" s="2" t="str">
        <f t="shared" si="1393"/>
        <v>26900</v>
      </c>
      <c r="B44457" s="2" t="str">
        <f>"46126"</f>
        <v>46126</v>
      </c>
      <c r="C44457" s="1">
        <v>2.1177956202405499E-3</v>
      </c>
      <c r="D44457" s="1">
        <v>8.5825122729925503E-4</v>
      </c>
      <c r="E44457" s="1">
        <v>2.7743394937897398E-4</v>
      </c>
      <c r="F44457" s="1">
        <v>1.9386248176834701E-3</v>
      </c>
    </row>
    <row r="44458" spans="1:6" x14ac:dyDescent="0.25">
      <c r="A44458" s="2" t="str">
        <f t="shared" si="1393"/>
        <v>26900</v>
      </c>
      <c r="B44458" s="2" t="str">
        <f>"46121"</f>
        <v>46121</v>
      </c>
      <c r="C44458" s="1">
        <v>2.4059240027585402E-3</v>
      </c>
      <c r="D44458" s="1">
        <v>3.5474384061702502E-4</v>
      </c>
      <c r="E44458" s="1">
        <v>2.56092876349822E-4</v>
      </c>
      <c r="F44458" s="1">
        <v>2.1503766810085901E-3</v>
      </c>
    </row>
    <row r="44459" spans="1:6" x14ac:dyDescent="0.25">
      <c r="A44459" s="2" t="str">
        <f t="shared" si="1393"/>
        <v>26900</v>
      </c>
      <c r="B44459" s="2" t="str">
        <f>"46143"</f>
        <v>46143</v>
      </c>
      <c r="C44459" s="1">
        <v>2.59253133786225E-2</v>
      </c>
      <c r="D44459" s="1">
        <v>1.4533054115600699E-2</v>
      </c>
      <c r="E44459" s="1">
        <v>2.77433949378974E-2</v>
      </c>
      <c r="F44459" s="1">
        <v>2.5094421251124901E-2</v>
      </c>
    </row>
    <row r="44460" spans="1:6" x14ac:dyDescent="0.25">
      <c r="A44460" s="2" t="str">
        <f t="shared" si="1393"/>
        <v>26900</v>
      </c>
      <c r="B44460" s="2" t="str">
        <f>"46035"</f>
        <v>46035</v>
      </c>
      <c r="C44460" s="1">
        <v>4.7848034641976997E-5</v>
      </c>
      <c r="D44460" s="1">
        <v>1.1443349697323399E-5</v>
      </c>
      <c r="E44460" s="1">
        <v>0</v>
      </c>
      <c r="F44460" s="1">
        <v>4.2898006794314001E-5</v>
      </c>
    </row>
    <row r="44461" spans="1:6" x14ac:dyDescent="0.25">
      <c r="A44461" s="2" t="str">
        <f t="shared" si="1393"/>
        <v>26900</v>
      </c>
      <c r="B44461" s="2" t="str">
        <f>"46103"</f>
        <v>46103</v>
      </c>
      <c r="C44461" s="1">
        <v>1.3314235726463101E-4</v>
      </c>
      <c r="D44461" s="1">
        <v>0</v>
      </c>
      <c r="E44461" s="1">
        <v>2.13410730291519E-5</v>
      </c>
      <c r="F44461" s="1">
        <v>1.17741337797159E-4</v>
      </c>
    </row>
    <row r="44462" spans="1:6" x14ac:dyDescent="0.25">
      <c r="A44462" s="2" t="str">
        <f t="shared" si="1393"/>
        <v>26900</v>
      </c>
      <c r="B44462" s="2" t="str">
        <f>"46077"</f>
        <v>46077</v>
      </c>
      <c r="C44462" s="1">
        <v>1.39685055914589E-2</v>
      </c>
      <c r="D44462" s="1">
        <v>1.55972856374517E-2</v>
      </c>
      <c r="E44462" s="1">
        <v>5.6340432796960997E-3</v>
      </c>
      <c r="F44462" s="1">
        <v>1.37419657509615E-2</v>
      </c>
    </row>
    <row r="44463" spans="1:6" x14ac:dyDescent="0.25">
      <c r="A44463" s="2" t="str">
        <f t="shared" si="1393"/>
        <v>26900</v>
      </c>
      <c r="B44463" s="2" t="str">
        <f>"47834"</f>
        <v>47834</v>
      </c>
      <c r="C44463" s="1">
        <v>1.8723143990338801E-5</v>
      </c>
      <c r="D44463" s="1">
        <v>0</v>
      </c>
      <c r="E44463" s="1">
        <v>0</v>
      </c>
      <c r="F44463" s="1">
        <v>1.64290238786734E-5</v>
      </c>
    </row>
    <row r="44464" spans="1:6" x14ac:dyDescent="0.25">
      <c r="A44464" s="2" t="str">
        <f t="shared" si="1393"/>
        <v>26900</v>
      </c>
      <c r="B44464" s="2" t="str">
        <f>"47433"</f>
        <v>47433</v>
      </c>
      <c r="C44464" s="1">
        <v>1.65387771914659E-4</v>
      </c>
      <c r="D44464" s="1">
        <v>2.2886699394646798E-5</v>
      </c>
      <c r="E44464" s="1">
        <v>0</v>
      </c>
      <c r="F44464" s="1">
        <v>1.4694849135924601E-4</v>
      </c>
    </row>
    <row r="44465" spans="1:6" x14ac:dyDescent="0.25">
      <c r="A44465" s="2" t="str">
        <f t="shared" si="1393"/>
        <v>26900</v>
      </c>
      <c r="B44465" s="2" t="str">
        <f>"47234"</f>
        <v>47234</v>
      </c>
      <c r="C44465" s="1">
        <v>6.2722532367635105E-4</v>
      </c>
      <c r="D44465" s="1">
        <v>1.14433496973234E-4</v>
      </c>
      <c r="E44465" s="1">
        <v>2.13410730291519E-5</v>
      </c>
      <c r="F44465" s="1">
        <v>5.6041225897252803E-4</v>
      </c>
    </row>
    <row r="44466" spans="1:6" x14ac:dyDescent="0.25">
      <c r="A44466" s="2" t="str">
        <f t="shared" si="1393"/>
        <v>26900</v>
      </c>
      <c r="B44466" s="2" t="str">
        <f>"46928"</f>
        <v>46928</v>
      </c>
      <c r="C44466" s="1">
        <v>8.3213973290394908E-6</v>
      </c>
      <c r="D44466" s="1">
        <v>0</v>
      </c>
      <c r="E44466" s="1">
        <v>0</v>
      </c>
      <c r="F44466" s="1">
        <v>7.3017883905215399E-6</v>
      </c>
    </row>
    <row r="44467" spans="1:6" x14ac:dyDescent="0.25">
      <c r="A44467" s="2" t="str">
        <f t="shared" si="1393"/>
        <v>26900</v>
      </c>
      <c r="B44467" s="2" t="str">
        <f>"46219"</f>
        <v>46219</v>
      </c>
      <c r="C44467" s="1">
        <v>1.8726264514337201E-2</v>
      </c>
      <c r="D44467" s="1">
        <v>2.1605044228546502E-2</v>
      </c>
      <c r="E44467" s="1">
        <v>1.4639976097998201E-2</v>
      </c>
      <c r="F44467" s="1">
        <v>1.8781112463970202E-2</v>
      </c>
    </row>
    <row r="44468" spans="1:6" x14ac:dyDescent="0.25">
      <c r="A44468" s="2" t="str">
        <f t="shared" si="1393"/>
        <v>26900</v>
      </c>
      <c r="B44468" s="2" t="str">
        <f>"46218"</f>
        <v>46218</v>
      </c>
      <c r="C44468" s="1">
        <v>1.7066145747193801E-2</v>
      </c>
      <c r="D44468" s="1">
        <v>1.6135123073225899E-2</v>
      </c>
      <c r="E44468" s="1">
        <v>9.2833667676810692E-3</v>
      </c>
      <c r="F44468" s="1">
        <v>1.66590302129749E-2</v>
      </c>
    </row>
    <row r="44469" spans="1:6" x14ac:dyDescent="0.25">
      <c r="A44469" s="2" t="str">
        <f t="shared" si="1393"/>
        <v>26900</v>
      </c>
      <c r="B44469" s="2" t="str">
        <f>"46260"</f>
        <v>46260</v>
      </c>
      <c r="C44469" s="1">
        <v>1.70578243498648E-2</v>
      </c>
      <c r="D44469" s="1">
        <v>1.2255827525833299E-2</v>
      </c>
      <c r="E44469" s="1">
        <v>4.3642494344615597E-2</v>
      </c>
      <c r="F44469" s="1">
        <v>1.7811800055128502E-2</v>
      </c>
    </row>
    <row r="44470" spans="1:6" x14ac:dyDescent="0.25">
      <c r="A44470" s="2" t="str">
        <f t="shared" si="1393"/>
        <v>26900</v>
      </c>
      <c r="B44470" s="2" t="str">
        <f>"46256"</f>
        <v>46256</v>
      </c>
      <c r="C44470" s="1">
        <v>1.09239143436965E-2</v>
      </c>
      <c r="D44470" s="1">
        <v>1.1454793047020699E-2</v>
      </c>
      <c r="E44470" s="1">
        <v>1.95057407486448E-2</v>
      </c>
      <c r="F44470" s="1">
        <v>1.1333288305638199E-2</v>
      </c>
    </row>
    <row r="44471" spans="1:6" x14ac:dyDescent="0.25">
      <c r="A44471" s="2" t="str">
        <f t="shared" si="1393"/>
        <v>26900</v>
      </c>
      <c r="B44471" s="2" t="str">
        <f>"46213"</f>
        <v>46213</v>
      </c>
      <c r="C44471" s="1">
        <v>0</v>
      </c>
      <c r="D44471" s="1">
        <v>1.1443349697323399E-5</v>
      </c>
      <c r="E44471" s="1">
        <v>0</v>
      </c>
      <c r="F44471" s="1">
        <v>9.1272354881519302E-7</v>
      </c>
    </row>
    <row r="44472" spans="1:6" x14ac:dyDescent="0.25">
      <c r="A44472" s="2" t="str">
        <f t="shared" si="1393"/>
        <v>26900</v>
      </c>
      <c r="B44472" s="2" t="str">
        <f>"46204"</f>
        <v>46204</v>
      </c>
      <c r="C44472" s="1">
        <v>6.4688462486620704E-3</v>
      </c>
      <c r="D44472" s="1">
        <v>5.0602492361564E-2</v>
      </c>
      <c r="E44472" s="1">
        <v>1.3316829570190701E-2</v>
      </c>
      <c r="F44472" s="1">
        <v>1.0281830777403101E-2</v>
      </c>
    </row>
    <row r="44473" spans="1:6" x14ac:dyDescent="0.25">
      <c r="A44473" s="2" t="str">
        <f t="shared" si="1393"/>
        <v>26900</v>
      </c>
      <c r="B44473" s="2" t="str">
        <f>"46230"</f>
        <v>46230</v>
      </c>
      <c r="C44473" s="1">
        <v>5.2840873039400695E-4</v>
      </c>
      <c r="D44473" s="1">
        <v>1.97969949763694E-3</v>
      </c>
      <c r="E44473" s="1">
        <v>4.26821460583038E-5</v>
      </c>
      <c r="F44473" s="1">
        <v>6.2339018384077705E-4</v>
      </c>
    </row>
    <row r="44474" spans="1:6" x14ac:dyDescent="0.25">
      <c r="A44474" s="2" t="str">
        <f t="shared" si="1393"/>
        <v>26900</v>
      </c>
      <c r="B44474" s="2" t="str">
        <f>"46226"</f>
        <v>46226</v>
      </c>
      <c r="C44474" s="1">
        <v>2.2031939603298099E-2</v>
      </c>
      <c r="D44474" s="1">
        <v>1.83780196139013E-2</v>
      </c>
      <c r="E44474" s="1">
        <v>3.5724956250800202E-2</v>
      </c>
      <c r="F44474" s="1">
        <v>2.2326130727568401E-2</v>
      </c>
    </row>
    <row r="44475" spans="1:6" x14ac:dyDescent="0.25">
      <c r="A44475" s="2" t="str">
        <f t="shared" si="1393"/>
        <v>26900</v>
      </c>
      <c r="B44475" s="2" t="str">
        <f>"46165"</f>
        <v>46165</v>
      </c>
      <c r="C44475" s="1">
        <v>6.9483667697479697E-4</v>
      </c>
      <c r="D44475" s="1">
        <v>1.2587684667055699E-4</v>
      </c>
      <c r="E44475" s="1">
        <v>1.06705365145759E-4</v>
      </c>
      <c r="F44475" s="1">
        <v>6.2430290738959204E-4</v>
      </c>
    </row>
    <row r="44476" spans="1:6" x14ac:dyDescent="0.25">
      <c r="A44476" s="2" t="str">
        <f t="shared" si="1393"/>
        <v>26900</v>
      </c>
      <c r="B44476" s="2" t="str">
        <f>"46164"</f>
        <v>46164</v>
      </c>
      <c r="C44476" s="1">
        <v>2.6992532586071799E-3</v>
      </c>
      <c r="D44476" s="1">
        <v>4.1196058910364201E-4</v>
      </c>
      <c r="E44476" s="1">
        <v>1.7072858423321501E-4</v>
      </c>
      <c r="F44476" s="1">
        <v>2.4086774453232901E-3</v>
      </c>
    </row>
    <row r="44477" spans="1:6" x14ac:dyDescent="0.25">
      <c r="A44477" s="2" t="str">
        <f t="shared" si="1393"/>
        <v>26900</v>
      </c>
      <c r="B44477" s="2" t="str">
        <f>"46062"</f>
        <v>46062</v>
      </c>
      <c r="C44477" s="1">
        <v>1.6718727408706401E-2</v>
      </c>
      <c r="D44477" s="1">
        <v>5.4127044068339597E-3</v>
      </c>
      <c r="E44477" s="1">
        <v>4.4602842630927404E-3</v>
      </c>
      <c r="F44477" s="1">
        <v>1.52926830603985E-2</v>
      </c>
    </row>
    <row r="44478" spans="1:6" x14ac:dyDescent="0.25">
      <c r="A44478" s="2" t="str">
        <f t="shared" si="1393"/>
        <v>26900</v>
      </c>
      <c r="B44478" s="2" t="str">
        <f>"46149"</f>
        <v>46149</v>
      </c>
      <c r="C44478" s="1">
        <v>8.3422008223620905E-4</v>
      </c>
      <c r="D44478" s="1">
        <v>2.74640392735761E-4</v>
      </c>
      <c r="E44478" s="1">
        <v>4.26821460583038E-5</v>
      </c>
      <c r="F44478" s="1">
        <v>7.5573509841898E-4</v>
      </c>
    </row>
    <row r="44479" spans="1:6" x14ac:dyDescent="0.25">
      <c r="A44479" s="2" t="str">
        <f t="shared" si="1393"/>
        <v>26900</v>
      </c>
      <c r="B44479" s="2" t="str">
        <f>"46124"</f>
        <v>46124</v>
      </c>
      <c r="C44479" s="1">
        <v>2.6909318612781401E-3</v>
      </c>
      <c r="D44479" s="1">
        <v>2.3687733873459398E-3</v>
      </c>
      <c r="E44479" s="1">
        <v>2.2834948141192499E-3</v>
      </c>
      <c r="F44479" s="1">
        <v>2.6478110151128701E-3</v>
      </c>
    </row>
    <row r="44480" spans="1:6" x14ac:dyDescent="0.25">
      <c r="A44480" s="2" t="str">
        <f t="shared" si="1393"/>
        <v>26900</v>
      </c>
      <c r="B44480" s="2" t="str">
        <f>"46122"</f>
        <v>46122</v>
      </c>
      <c r="C44480" s="1">
        <v>7.5371056307775202E-3</v>
      </c>
      <c r="D44480" s="1">
        <v>8.0675615366129893E-3</v>
      </c>
      <c r="E44480" s="1">
        <v>5.5059968415211904E-3</v>
      </c>
      <c r="F44480" s="1">
        <v>7.4925476122239196E-3</v>
      </c>
    </row>
    <row r="44481" spans="1:6" x14ac:dyDescent="0.25">
      <c r="A44481" s="2" t="str">
        <f t="shared" ref="A44481:A44512" si="1394">"26900"</f>
        <v>26900</v>
      </c>
      <c r="B44481" s="2" t="str">
        <f>"46113"</f>
        <v>46113</v>
      </c>
      <c r="C44481" s="1">
        <v>6.7486532338510196E-3</v>
      </c>
      <c r="D44481" s="1">
        <v>3.1240344673692799E-3</v>
      </c>
      <c r="E44481" s="1">
        <v>2.7743394937897398E-3</v>
      </c>
      <c r="F44481" s="1">
        <v>6.2895779748854902E-3</v>
      </c>
    </row>
    <row r="44482" spans="1:6" x14ac:dyDescent="0.25">
      <c r="A44482" s="2" t="str">
        <f t="shared" si="1394"/>
        <v>26900</v>
      </c>
      <c r="B44482" s="2" t="str">
        <f>"46142"</f>
        <v>46142</v>
      </c>
      <c r="C44482" s="1">
        <v>1.49961981615952E-2</v>
      </c>
      <c r="D44482" s="1">
        <v>2.25662856031217E-2</v>
      </c>
      <c r="E44482" s="1">
        <v>1.6582013743651002E-2</v>
      </c>
      <c r="F44482" s="1">
        <v>1.5667812438961599E-2</v>
      </c>
    </row>
    <row r="44483" spans="1:6" x14ac:dyDescent="0.25">
      <c r="A44483" s="2" t="str">
        <f t="shared" si="1394"/>
        <v>26900</v>
      </c>
      <c r="B44483" s="2" t="str">
        <f>"46036"</f>
        <v>46036</v>
      </c>
      <c r="C44483" s="1">
        <v>5.8083353356695603E-3</v>
      </c>
      <c r="D44483" s="1">
        <v>5.0121871674276399E-3</v>
      </c>
      <c r="E44483" s="1">
        <v>4.4602842630927404E-3</v>
      </c>
      <c r="F44483" s="1">
        <v>5.6871804326674696E-3</v>
      </c>
    </row>
    <row r="44484" spans="1:6" x14ac:dyDescent="0.25">
      <c r="A44484" s="2" t="str">
        <f t="shared" si="1394"/>
        <v>26900</v>
      </c>
      <c r="B44484" s="2" t="str">
        <f>"46038"</f>
        <v>46038</v>
      </c>
      <c r="C44484" s="1">
        <v>1.9386775427329701E-2</v>
      </c>
      <c r="D44484" s="1">
        <v>2.1856797921887602E-2</v>
      </c>
      <c r="E44484" s="1">
        <v>7.02121302659097E-3</v>
      </c>
      <c r="F44484" s="1">
        <v>1.9054929528614699E-2</v>
      </c>
    </row>
    <row r="44485" spans="1:6" x14ac:dyDescent="0.25">
      <c r="A44485" s="2" t="str">
        <f t="shared" si="1394"/>
        <v>26900</v>
      </c>
      <c r="B44485" s="2" t="str">
        <f>"46031"</f>
        <v>46031</v>
      </c>
      <c r="C44485" s="1">
        <v>8.4670217822976803E-4</v>
      </c>
      <c r="D44485" s="1">
        <v>3.7763054001167199E-4</v>
      </c>
      <c r="E44485" s="1">
        <v>1.7072858423321501E-4</v>
      </c>
      <c r="F44485" s="1">
        <v>7.8037863423699005E-4</v>
      </c>
    </row>
    <row r="44486" spans="1:6" x14ac:dyDescent="0.25">
      <c r="A44486" s="2" t="str">
        <f t="shared" si="1394"/>
        <v>26900</v>
      </c>
      <c r="B44486" s="2" t="str">
        <f>"46011"</f>
        <v>46011</v>
      </c>
      <c r="C44486" s="1">
        <v>8.1788933997796898E-3</v>
      </c>
      <c r="D44486" s="1">
        <v>3.5131083570782802E-3</v>
      </c>
      <c r="E44486" s="1">
        <v>1.8353322805070599E-3</v>
      </c>
      <c r="F44486" s="1">
        <v>7.5354456190182299E-3</v>
      </c>
    </row>
    <row r="44487" spans="1:6" x14ac:dyDescent="0.25">
      <c r="A44487" s="2" t="str">
        <f t="shared" si="1394"/>
        <v>26900</v>
      </c>
      <c r="B44487" s="2" t="str">
        <f>"47872"</f>
        <v>47872</v>
      </c>
      <c r="C44487" s="1">
        <v>2.0803493322598702E-6</v>
      </c>
      <c r="D44487" s="1">
        <v>0</v>
      </c>
      <c r="E44487" s="1">
        <v>0</v>
      </c>
      <c r="F44487" s="1">
        <v>1.8254470976303799E-6</v>
      </c>
    </row>
    <row r="44488" spans="1:6" x14ac:dyDescent="0.25">
      <c r="A44488" s="2" t="str">
        <f t="shared" si="1394"/>
        <v>26900</v>
      </c>
      <c r="B44488" s="2" t="str">
        <f>"47989"</f>
        <v>47989</v>
      </c>
      <c r="C44488" s="1">
        <v>5.2008733306496803E-6</v>
      </c>
      <c r="D44488" s="1">
        <v>0</v>
      </c>
      <c r="E44488" s="1">
        <v>0</v>
      </c>
      <c r="F44488" s="1">
        <v>4.56361774407596E-6</v>
      </c>
    </row>
    <row r="44489" spans="1:6" x14ac:dyDescent="0.25">
      <c r="A44489" s="2" t="str">
        <f t="shared" si="1394"/>
        <v>26900</v>
      </c>
      <c r="B44489" s="2" t="str">
        <f>"46268"</f>
        <v>46268</v>
      </c>
      <c r="C44489" s="1">
        <v>1.3805198168876501E-2</v>
      </c>
      <c r="D44489" s="1">
        <v>3.0839827434286499E-2</v>
      </c>
      <c r="E44489" s="1">
        <v>3.1157966622561699E-2</v>
      </c>
      <c r="F44489" s="1">
        <v>1.5906033285202299E-2</v>
      </c>
    </row>
    <row r="44490" spans="1:6" x14ac:dyDescent="0.25">
      <c r="A44490" s="2" t="str">
        <f t="shared" si="1394"/>
        <v>26900</v>
      </c>
      <c r="B44490" s="2" t="str">
        <f>"46183"</f>
        <v>46183</v>
      </c>
      <c r="C44490" s="1">
        <v>6.1370305301666195E-5</v>
      </c>
      <c r="D44490" s="1">
        <v>0</v>
      </c>
      <c r="E44490" s="1">
        <v>4.26821460583038E-5</v>
      </c>
      <c r="F44490" s="1">
        <v>5.5676136477726798E-5</v>
      </c>
    </row>
    <row r="44491" spans="1:6" x14ac:dyDescent="0.25">
      <c r="A44491" s="2" t="str">
        <f t="shared" si="1394"/>
        <v>26900</v>
      </c>
      <c r="B44491" s="2" t="str">
        <f>"46201"</f>
        <v>46201</v>
      </c>
      <c r="C44491" s="1">
        <v>1.88594068716018E-2</v>
      </c>
      <c r="D44491" s="1">
        <v>1.36633595386041E-2</v>
      </c>
      <c r="E44491" s="1">
        <v>1.09052883178966E-2</v>
      </c>
      <c r="F44491" s="1">
        <v>1.81047843142981E-2</v>
      </c>
    </row>
    <row r="44492" spans="1:6" x14ac:dyDescent="0.25">
      <c r="A44492" s="2" t="str">
        <f t="shared" si="1394"/>
        <v>26900</v>
      </c>
      <c r="B44492" s="2" t="str">
        <f>"46203"</f>
        <v>46203</v>
      </c>
      <c r="C44492" s="1">
        <v>2.0108656645623901E-2</v>
      </c>
      <c r="D44492" s="1">
        <v>1.8572556558755799E-2</v>
      </c>
      <c r="E44492" s="1">
        <v>1.17375901660335E-2</v>
      </c>
      <c r="F44492" s="1">
        <v>1.96281199172707E-2</v>
      </c>
    </row>
    <row r="44493" spans="1:6" x14ac:dyDescent="0.25">
      <c r="A44493" s="2" t="str">
        <f t="shared" si="1394"/>
        <v>26900</v>
      </c>
      <c r="B44493" s="2" t="str">
        <f>"46162"</f>
        <v>46162</v>
      </c>
      <c r="C44493" s="1">
        <v>2.5796331720022398E-4</v>
      </c>
      <c r="D44493" s="1">
        <v>6.8660098183940399E-5</v>
      </c>
      <c r="E44493" s="1">
        <v>2.13410730291519E-5</v>
      </c>
      <c r="F44493" s="1">
        <v>2.3274450494787399E-4</v>
      </c>
    </row>
    <row r="44494" spans="1:6" x14ac:dyDescent="0.25">
      <c r="A44494" s="2" t="str">
        <f t="shared" si="1394"/>
        <v>26900</v>
      </c>
      <c r="B44494" s="2" t="str">
        <f>"46175"</f>
        <v>46175</v>
      </c>
      <c r="C44494" s="1">
        <v>2.6108384119861397E-4</v>
      </c>
      <c r="D44494" s="1">
        <v>2.2886699394646798E-5</v>
      </c>
      <c r="E44494" s="1">
        <v>1.7072858423321501E-4</v>
      </c>
      <c r="F44494" s="1">
        <v>2.38220846240765E-4</v>
      </c>
    </row>
    <row r="44495" spans="1:6" x14ac:dyDescent="0.25">
      <c r="A44495" s="2" t="str">
        <f t="shared" si="1394"/>
        <v>26900</v>
      </c>
      <c r="B44495" s="2" t="str">
        <f>"46071"</f>
        <v>46071</v>
      </c>
      <c r="C44495" s="1">
        <v>1.54257902987069E-3</v>
      </c>
      <c r="D44495" s="1">
        <v>1.01845812306178E-3</v>
      </c>
      <c r="E44495" s="1">
        <v>4.2682146058303799E-4</v>
      </c>
      <c r="F44495" s="1">
        <v>1.4530558897137801E-3</v>
      </c>
    </row>
    <row r="44496" spans="1:6" x14ac:dyDescent="0.25">
      <c r="A44496" s="2" t="str">
        <f t="shared" si="1394"/>
        <v>26900</v>
      </c>
      <c r="B44496" s="2" t="str">
        <f>"46069"</f>
        <v>46069</v>
      </c>
      <c r="C44496" s="1">
        <v>3.17149255703017E-3</v>
      </c>
      <c r="D44496" s="1">
        <v>1.87670935036103E-3</v>
      </c>
      <c r="E44496" s="1">
        <v>9.3900721328268302E-4</v>
      </c>
      <c r="F44496" s="1">
        <v>2.9727405984910798E-3</v>
      </c>
    </row>
    <row r="44497" spans="1:6" x14ac:dyDescent="0.25">
      <c r="A44497" s="2" t="str">
        <f t="shared" si="1394"/>
        <v>26900</v>
      </c>
      <c r="B44497" s="2" t="str">
        <f>"46060"</f>
        <v>46060</v>
      </c>
      <c r="C44497" s="1">
        <v>1.9885019092405899E-2</v>
      </c>
      <c r="D44497" s="1">
        <v>2.18796846212823E-2</v>
      </c>
      <c r="E44497" s="1">
        <v>1.6432626232446901E-2</v>
      </c>
      <c r="F44497" s="1">
        <v>1.98964606406224E-2</v>
      </c>
    </row>
    <row r="44498" spans="1:6" x14ac:dyDescent="0.25">
      <c r="A44498" s="2" t="str">
        <f t="shared" si="1394"/>
        <v>26900</v>
      </c>
      <c r="B44498" s="2" t="str">
        <f>"46044"</f>
        <v>46044</v>
      </c>
      <c r="C44498" s="1">
        <v>1.0287327448024999E-3</v>
      </c>
      <c r="D44498" s="1">
        <v>1.3732019636788001E-4</v>
      </c>
      <c r="E44498" s="1">
        <v>4.90844679670493E-4</v>
      </c>
      <c r="F44498" s="1">
        <v>9.3462891398675798E-4</v>
      </c>
    </row>
    <row r="44499" spans="1:6" x14ac:dyDescent="0.25">
      <c r="A44499" s="2" t="str">
        <f t="shared" si="1394"/>
        <v>26900</v>
      </c>
      <c r="B44499" s="2" t="str">
        <f>"46148"</f>
        <v>46148</v>
      </c>
      <c r="C44499" s="1">
        <v>5.2008733306496803E-6</v>
      </c>
      <c r="D44499" s="1">
        <v>0</v>
      </c>
      <c r="E44499" s="1">
        <v>0</v>
      </c>
      <c r="F44499" s="1">
        <v>4.56361774407596E-6</v>
      </c>
    </row>
    <row r="44500" spans="1:6" x14ac:dyDescent="0.25">
      <c r="A44500" s="2" t="str">
        <f t="shared" si="1394"/>
        <v>26900</v>
      </c>
      <c r="B44500" s="2" t="str">
        <f>"46151"</f>
        <v>46151</v>
      </c>
      <c r="C44500" s="1">
        <v>1.6819624351320998E-2</v>
      </c>
      <c r="D44500" s="1">
        <v>1.1351802899744801E-2</v>
      </c>
      <c r="E44500" s="1">
        <v>6.4236629817747198E-3</v>
      </c>
      <c r="F44500" s="1">
        <v>1.5938891332959702E-2</v>
      </c>
    </row>
    <row r="44501" spans="1:6" x14ac:dyDescent="0.25">
      <c r="A44501" s="2" t="str">
        <f t="shared" si="1394"/>
        <v>26900</v>
      </c>
      <c r="B44501" s="2" t="str">
        <f>"46102"</f>
        <v>46102</v>
      </c>
      <c r="C44501" s="1">
        <v>1.6642794658078901E-4</v>
      </c>
      <c r="D44501" s="1">
        <v>0</v>
      </c>
      <c r="E44501" s="1">
        <v>6.4023219087455704E-5</v>
      </c>
      <c r="F44501" s="1">
        <v>1.4877393845687601E-4</v>
      </c>
    </row>
    <row r="44502" spans="1:6" x14ac:dyDescent="0.25">
      <c r="A44502" s="2" t="str">
        <f t="shared" si="1394"/>
        <v>26900</v>
      </c>
      <c r="B44502" s="2" t="str">
        <f>"46082"</f>
        <v>46082</v>
      </c>
      <c r="C44502" s="1">
        <v>9.2263492885725302E-4</v>
      </c>
      <c r="D44502" s="1">
        <v>9.76117729181686E-3</v>
      </c>
      <c r="E44502" s="1">
        <v>4.26821460583038E-5</v>
      </c>
      <c r="F44502" s="1">
        <v>1.5899644220360601E-3</v>
      </c>
    </row>
    <row r="44503" spans="1:6" x14ac:dyDescent="0.25">
      <c r="A44503" s="2" t="str">
        <f t="shared" si="1394"/>
        <v>26900</v>
      </c>
      <c r="B44503" s="2" t="str">
        <f>"46017"</f>
        <v>46017</v>
      </c>
      <c r="C44503" s="1">
        <v>3.1090820770623799E-3</v>
      </c>
      <c r="D44503" s="1">
        <v>1.911039399453E-3</v>
      </c>
      <c r="E44503" s="1">
        <v>1.02437150539929E-3</v>
      </c>
      <c r="F44503" s="1">
        <v>2.9243662504038802E-3</v>
      </c>
    </row>
    <row r="44504" spans="1:6" x14ac:dyDescent="0.25">
      <c r="A44504" s="2" t="str">
        <f t="shared" si="1394"/>
        <v>26900</v>
      </c>
      <c r="B44504" s="2" t="str">
        <f>"46016"</f>
        <v>46016</v>
      </c>
      <c r="C44504" s="1">
        <v>1.12047615035516E-2</v>
      </c>
      <c r="D44504" s="1">
        <v>1.7462551638115501E-2</v>
      </c>
      <c r="E44504" s="1">
        <v>1.2484527722053799E-2</v>
      </c>
      <c r="F44504" s="1">
        <v>1.1758617479386099E-2</v>
      </c>
    </row>
    <row r="44505" spans="1:6" x14ac:dyDescent="0.25">
      <c r="A44505" s="2" t="str">
        <f t="shared" si="1394"/>
        <v>26900</v>
      </c>
      <c r="B44505" s="2" t="str">
        <f>"46013"</f>
        <v>46013</v>
      </c>
      <c r="C44505" s="1">
        <v>9.8650165335763106E-3</v>
      </c>
      <c r="D44505" s="1">
        <v>9.12034970876675E-3</v>
      </c>
      <c r="E44505" s="1">
        <v>7.8535148747279002E-3</v>
      </c>
      <c r="F44505" s="1">
        <v>9.7195930713329902E-3</v>
      </c>
    </row>
    <row r="44506" spans="1:6" x14ac:dyDescent="0.25">
      <c r="A44506" s="2" t="str">
        <f t="shared" si="1394"/>
        <v>26900</v>
      </c>
      <c r="B44506" s="2" t="str">
        <f>"47356"</f>
        <v>47356</v>
      </c>
      <c r="C44506" s="1">
        <v>1.84110915904998E-4</v>
      </c>
      <c r="D44506" s="1">
        <v>1.1443349697323399E-5</v>
      </c>
      <c r="E44506" s="1">
        <v>0</v>
      </c>
      <c r="F44506" s="1">
        <v>1.62464791689104E-4</v>
      </c>
    </row>
    <row r="44507" spans="1:6" x14ac:dyDescent="0.25">
      <c r="A44507" s="2" t="str">
        <f t="shared" si="1394"/>
        <v>26900</v>
      </c>
      <c r="B44507" s="2" t="str">
        <f>"46222"</f>
        <v>46222</v>
      </c>
      <c r="C44507" s="1">
        <v>1.7669447053549201E-2</v>
      </c>
      <c r="D44507" s="1">
        <v>1.765708858297E-2</v>
      </c>
      <c r="E44507" s="1">
        <v>1.8716121046566201E-2</v>
      </c>
      <c r="F44507" s="1">
        <v>1.7713225911856399E-2</v>
      </c>
    </row>
    <row r="44508" spans="1:6" x14ac:dyDescent="0.25">
      <c r="A44508" s="2" t="str">
        <f t="shared" si="1394"/>
        <v>26900</v>
      </c>
      <c r="B44508" s="2" t="str">
        <f>"46221"</f>
        <v>46221</v>
      </c>
      <c r="C44508" s="1">
        <v>1.19672095338249E-2</v>
      </c>
      <c r="D44508" s="1">
        <v>6.4654925789877204E-3</v>
      </c>
      <c r="E44508" s="1">
        <v>8.0455845319902606E-3</v>
      </c>
      <c r="F44508" s="1">
        <v>1.1360670012102701E-2</v>
      </c>
    </row>
    <row r="44509" spans="1:6" x14ac:dyDescent="0.25">
      <c r="A44509" s="2" t="str">
        <f t="shared" si="1394"/>
        <v>26900</v>
      </c>
      <c r="B44509" s="2" t="str">
        <f>"46247"</f>
        <v>46247</v>
      </c>
      <c r="C44509" s="1">
        <v>5.07605237071409E-4</v>
      </c>
      <c r="D44509" s="1">
        <v>2.0598029455182101E-3</v>
      </c>
      <c r="E44509" s="1">
        <v>4.26821460583038E-5</v>
      </c>
      <c r="F44509" s="1">
        <v>6.1152477770617898E-4</v>
      </c>
    </row>
    <row r="44510" spans="1:6" x14ac:dyDescent="0.25">
      <c r="A44510" s="2" t="str">
        <f t="shared" si="1394"/>
        <v>26900</v>
      </c>
      <c r="B44510" s="2" t="str">
        <f>"46241"</f>
        <v>46241</v>
      </c>
      <c r="C44510" s="1">
        <v>1.3926898604813699E-2</v>
      </c>
      <c r="D44510" s="1">
        <v>2.2360305308569899E-2</v>
      </c>
      <c r="E44510" s="1">
        <v>1.43198600025609E-2</v>
      </c>
      <c r="F44510" s="1">
        <v>1.4616354910726499E-2</v>
      </c>
    </row>
    <row r="44511" spans="1:6" x14ac:dyDescent="0.25">
      <c r="A44511" s="2" t="str">
        <f t="shared" si="1394"/>
        <v>26900</v>
      </c>
      <c r="B44511" s="2" t="str">
        <f>"46208"</f>
        <v>46208</v>
      </c>
      <c r="C44511" s="1">
        <v>1.38322427101958E-2</v>
      </c>
      <c r="D44511" s="1">
        <v>1.2313044274319901E-2</v>
      </c>
      <c r="E44511" s="1">
        <v>7.9175380938153496E-3</v>
      </c>
      <c r="F44511" s="1">
        <v>1.345810872728E-2</v>
      </c>
    </row>
    <row r="44512" spans="1:6" x14ac:dyDescent="0.25">
      <c r="A44512" s="2" t="str">
        <f t="shared" si="1394"/>
        <v>26900</v>
      </c>
      <c r="B44512" s="2" t="str">
        <f>"46186"</f>
        <v>46186</v>
      </c>
      <c r="C44512" s="1">
        <v>6.4386811833442995E-4</v>
      </c>
      <c r="D44512" s="1">
        <v>1.3732019636788001E-4</v>
      </c>
      <c r="E44512" s="1">
        <v>2.3475180332067E-4</v>
      </c>
      <c r="F44512" s="1">
        <v>5.8596851833935405E-4</v>
      </c>
    </row>
    <row r="44513" spans="1:6" x14ac:dyDescent="0.25">
      <c r="A44513" s="2" t="str">
        <f t="shared" ref="A44513:A44520" si="1395">"26900"</f>
        <v>26900</v>
      </c>
      <c r="B44513" s="2" t="str">
        <f>"46171"</f>
        <v>46171</v>
      </c>
      <c r="C44513" s="1">
        <v>8.65425322220107E-4</v>
      </c>
      <c r="D44513" s="1">
        <v>1.2587684667055699E-4</v>
      </c>
      <c r="E44513" s="1">
        <v>1.28046438174911E-4</v>
      </c>
      <c r="F44513" s="1">
        <v>7.7490229294409905E-4</v>
      </c>
    </row>
    <row r="44514" spans="1:6" x14ac:dyDescent="0.25">
      <c r="A44514" s="2" t="str">
        <f t="shared" si="1395"/>
        <v>26900</v>
      </c>
      <c r="B44514" s="2" t="str">
        <f>"46160"</f>
        <v>46160</v>
      </c>
      <c r="C44514" s="1">
        <v>3.0310689771026302E-3</v>
      </c>
      <c r="D44514" s="1">
        <v>9.7268472427248902E-4</v>
      </c>
      <c r="E44514" s="1">
        <v>4.4816253361219002E-4</v>
      </c>
      <c r="F44514" s="1">
        <v>2.7564251174218798E-3</v>
      </c>
    </row>
    <row r="44515" spans="1:6" x14ac:dyDescent="0.25">
      <c r="A44515" s="2" t="str">
        <f t="shared" si="1395"/>
        <v>26900</v>
      </c>
      <c r="B44515" s="2" t="str">
        <f>"46150"</f>
        <v>46150</v>
      </c>
      <c r="C44515" s="1">
        <v>4.3687335977457298E-5</v>
      </c>
      <c r="D44515" s="1">
        <v>1.1443349697323399E-5</v>
      </c>
      <c r="E44515" s="1">
        <v>0</v>
      </c>
      <c r="F44515" s="1">
        <v>3.9247112599053303E-5</v>
      </c>
    </row>
    <row r="44516" spans="1:6" x14ac:dyDescent="0.25">
      <c r="A44516" s="2" t="str">
        <f t="shared" si="1395"/>
        <v>26900</v>
      </c>
      <c r="B44516" s="2" t="str">
        <f>"46147"</f>
        <v>46147</v>
      </c>
      <c r="C44516" s="1">
        <v>1.28149518867208E-3</v>
      </c>
      <c r="D44516" s="1">
        <v>3.8907388970899499E-4</v>
      </c>
      <c r="E44516" s="1">
        <v>1.9206965726236699E-4</v>
      </c>
      <c r="F44516" s="1">
        <v>1.1637225247393701E-3</v>
      </c>
    </row>
    <row r="44517" spans="1:6" x14ac:dyDescent="0.25">
      <c r="A44517" s="2" t="str">
        <f t="shared" si="1395"/>
        <v>26900</v>
      </c>
      <c r="B44517" s="2" t="str">
        <f>"46131"</f>
        <v>46131</v>
      </c>
      <c r="C44517" s="1">
        <v>1.4584288993807801E-2</v>
      </c>
      <c r="D44517" s="1">
        <v>1.60893496744367E-2</v>
      </c>
      <c r="E44517" s="1">
        <v>7.9602202398736596E-3</v>
      </c>
      <c r="F44517" s="1">
        <v>1.442103207128E-2</v>
      </c>
    </row>
    <row r="44518" spans="1:6" x14ac:dyDescent="0.25">
      <c r="A44518" s="2" t="str">
        <f t="shared" si="1395"/>
        <v>26900</v>
      </c>
      <c r="B44518" s="2" t="str">
        <f>"46037"</f>
        <v>46037</v>
      </c>
      <c r="C44518" s="1">
        <v>1.8870848792929301E-2</v>
      </c>
      <c r="D44518" s="1">
        <v>1.17523201391511E-2</v>
      </c>
      <c r="E44518" s="1">
        <v>7.68278629049468E-3</v>
      </c>
      <c r="F44518" s="1">
        <v>1.7824578184811899E-2</v>
      </c>
    </row>
    <row r="44519" spans="1:6" x14ac:dyDescent="0.25">
      <c r="A44519" s="2" t="str">
        <f t="shared" si="1395"/>
        <v>26900</v>
      </c>
      <c r="B44519" s="2" t="str">
        <f>"46107"</f>
        <v>46107</v>
      </c>
      <c r="C44519" s="1">
        <v>6.6852025792171E-3</v>
      </c>
      <c r="D44519" s="1">
        <v>5.7903349468456404E-3</v>
      </c>
      <c r="E44519" s="1">
        <v>9.4754364249434401E-3</v>
      </c>
      <c r="F44519" s="1">
        <v>6.7331616196096801E-3</v>
      </c>
    </row>
    <row r="44520" spans="1:6" x14ac:dyDescent="0.25">
      <c r="A44520" s="2" t="str">
        <f t="shared" si="1395"/>
        <v>26900</v>
      </c>
      <c r="B44520" s="2" t="str">
        <f>"46106"</f>
        <v>46106</v>
      </c>
      <c r="C44520" s="1">
        <v>3.3743266169255098E-3</v>
      </c>
      <c r="D44520" s="1">
        <v>1.30454186549486E-3</v>
      </c>
      <c r="E44520" s="1">
        <v>8.9632506722438004E-4</v>
      </c>
      <c r="F44520" s="1">
        <v>3.1032600659716501E-3</v>
      </c>
    </row>
    <row r="44521" spans="1:6" x14ac:dyDescent="0.25">
      <c r="A44521" s="2" t="str">
        <f t="shared" ref="A44521:A44544" si="1396">"47700"</f>
        <v>47700</v>
      </c>
      <c r="B44521" s="2" t="str">
        <f>"46982"</f>
        <v>46982</v>
      </c>
      <c r="C44521" s="1">
        <v>3.4822953577892703E-2</v>
      </c>
      <c r="D44521" s="1">
        <v>1.07564191533657E-2</v>
      </c>
      <c r="E44521" s="1">
        <v>1.53005464480874E-2</v>
      </c>
      <c r="F44521" s="1">
        <v>3.2795648940126397E-2</v>
      </c>
    </row>
    <row r="44522" spans="1:6" x14ac:dyDescent="0.25">
      <c r="A44522" s="2" t="str">
        <f t="shared" si="1396"/>
        <v>47700</v>
      </c>
      <c r="B44522" s="2" t="str">
        <f>"46962"</f>
        <v>46962</v>
      </c>
      <c r="C44522" s="1">
        <v>3.1101027353608399E-3</v>
      </c>
      <c r="D44522" s="1">
        <v>6.9396252602359405E-4</v>
      </c>
      <c r="E44522" s="1">
        <v>0</v>
      </c>
      <c r="F44522" s="1">
        <v>2.8821123094087001E-3</v>
      </c>
    </row>
    <row r="44523" spans="1:6" x14ac:dyDescent="0.25">
      <c r="A44523" s="2" t="str">
        <f t="shared" si="1396"/>
        <v>47700</v>
      </c>
      <c r="B44523" s="2" t="str">
        <f>"46732"</f>
        <v>46732</v>
      </c>
      <c r="C44523" s="1">
        <v>1.450531521656E-2</v>
      </c>
      <c r="D44523" s="1">
        <v>1.3879250520471801E-3</v>
      </c>
      <c r="E44523" s="1">
        <v>6.5573770491803201E-3</v>
      </c>
      <c r="F44523" s="1">
        <v>1.3457605057642199E-2</v>
      </c>
    </row>
    <row r="44524" spans="1:6" x14ac:dyDescent="0.25">
      <c r="A44524" s="2" t="str">
        <f t="shared" si="1396"/>
        <v>47700</v>
      </c>
      <c r="B44524" s="2" t="str">
        <f>"46590"</f>
        <v>46590</v>
      </c>
      <c r="C44524" s="1">
        <v>4.8818415887016499E-2</v>
      </c>
      <c r="D44524" s="1">
        <v>2.5676613462873001E-2</v>
      </c>
      <c r="E44524" s="1">
        <v>6.9945355191256803E-2</v>
      </c>
      <c r="F44524" s="1">
        <v>4.77175529936779E-2</v>
      </c>
    </row>
    <row r="44525" spans="1:6" x14ac:dyDescent="0.25">
      <c r="A44525" s="2" t="str">
        <f t="shared" si="1396"/>
        <v>47700</v>
      </c>
      <c r="B44525" s="2" t="str">
        <f>"46581"</f>
        <v>46581</v>
      </c>
      <c r="C44525" s="1">
        <v>3.1355953807326503E-2</v>
      </c>
      <c r="D44525" s="1">
        <v>0.127689104788341</v>
      </c>
      <c r="E44525" s="1">
        <v>2.1857923497267699E-3</v>
      </c>
      <c r="F44525" s="1">
        <v>3.71885459278542E-2</v>
      </c>
    </row>
    <row r="44526" spans="1:6" x14ac:dyDescent="0.25">
      <c r="A44526" s="2" t="str">
        <f t="shared" si="1396"/>
        <v>47700</v>
      </c>
      <c r="B44526" s="2" t="str">
        <f>"46580"</f>
        <v>46580</v>
      </c>
      <c r="C44526" s="1">
        <v>0.24911413057332901</v>
      </c>
      <c r="D44526" s="1">
        <v>0.44136016655100602</v>
      </c>
      <c r="E44526" s="1">
        <v>0.37814207650273202</v>
      </c>
      <c r="F44526" s="1">
        <v>0.26473596132391197</v>
      </c>
    </row>
    <row r="44527" spans="1:6" x14ac:dyDescent="0.25">
      <c r="A44527" s="2" t="str">
        <f t="shared" si="1396"/>
        <v>47700</v>
      </c>
      <c r="B44527" s="2" t="str">
        <f>"46910"</f>
        <v>46910</v>
      </c>
      <c r="C44527" s="1">
        <v>5.3789481734519496E-3</v>
      </c>
      <c r="D44527" s="1">
        <v>2.7758501040943701E-3</v>
      </c>
      <c r="E44527" s="1">
        <v>2.1857923497267699E-3</v>
      </c>
      <c r="F44527" s="1">
        <v>5.1366679062848598E-3</v>
      </c>
    </row>
    <row r="44528" spans="1:6" x14ac:dyDescent="0.25">
      <c r="A44528" s="2" t="str">
        <f t="shared" si="1396"/>
        <v>47700</v>
      </c>
      <c r="B44528" s="2" t="str">
        <f>"46510"</f>
        <v>46510</v>
      </c>
      <c r="C44528" s="1">
        <v>4.2368776607948598E-2</v>
      </c>
      <c r="D44528" s="1">
        <v>1.11034004163775E-2</v>
      </c>
      <c r="E44528" s="1">
        <v>1.4207650273223999E-2</v>
      </c>
      <c r="F44528" s="1">
        <v>3.9675529936779398E-2</v>
      </c>
    </row>
    <row r="44529" spans="1:6" x14ac:dyDescent="0.25">
      <c r="A44529" s="2" t="str">
        <f t="shared" si="1396"/>
        <v>47700</v>
      </c>
      <c r="B44529" s="2" t="str">
        <f>"46504"</f>
        <v>46504</v>
      </c>
      <c r="C44529" s="1">
        <v>1.07069110561602E-3</v>
      </c>
      <c r="D44529" s="1">
        <v>1.0409437890353901E-3</v>
      </c>
      <c r="E44529" s="1">
        <v>0</v>
      </c>
      <c r="F44529" s="1">
        <v>1.0459278542208901E-3</v>
      </c>
    </row>
    <row r="44530" spans="1:6" x14ac:dyDescent="0.25">
      <c r="A44530" s="2" t="str">
        <f t="shared" si="1396"/>
        <v>47700</v>
      </c>
      <c r="B44530" s="2" t="str">
        <f>"46582"</f>
        <v>46582</v>
      </c>
      <c r="C44530" s="1">
        <v>0.17011242256608899</v>
      </c>
      <c r="D44530" s="1">
        <v>0.12526023594725799</v>
      </c>
      <c r="E44530" s="1">
        <v>0.14098360655737699</v>
      </c>
      <c r="F44530" s="1">
        <v>0.16648847155076199</v>
      </c>
    </row>
    <row r="44531" spans="1:6" x14ac:dyDescent="0.25">
      <c r="A44531" s="2" t="str">
        <f t="shared" si="1396"/>
        <v>47700</v>
      </c>
      <c r="B44531" s="2" t="str">
        <f>"46567"</f>
        <v>46567</v>
      </c>
      <c r="C44531" s="1">
        <v>0.141203762714456</v>
      </c>
      <c r="D44531" s="1">
        <v>0.14226231783483601</v>
      </c>
      <c r="E44531" s="1">
        <v>0.156284153005464</v>
      </c>
      <c r="F44531" s="1">
        <v>0.14159538862030399</v>
      </c>
    </row>
    <row r="44532" spans="1:6" x14ac:dyDescent="0.25">
      <c r="A44532" s="2" t="str">
        <f t="shared" si="1396"/>
        <v>47700</v>
      </c>
      <c r="B44532" s="2" t="str">
        <f>"46767"</f>
        <v>46767</v>
      </c>
      <c r="C44532" s="1">
        <v>1.0197058148724001E-4</v>
      </c>
      <c r="D44532" s="1">
        <v>0</v>
      </c>
      <c r="E44532" s="1">
        <v>0</v>
      </c>
      <c r="F44532" s="1">
        <v>9.2971364819635494E-5</v>
      </c>
    </row>
    <row r="44533" spans="1:6" x14ac:dyDescent="0.25">
      <c r="A44533" s="2" t="str">
        <f t="shared" si="1396"/>
        <v>47700</v>
      </c>
      <c r="B44533" s="2" t="str">
        <f>"46555"</f>
        <v>46555</v>
      </c>
      <c r="C44533" s="1">
        <v>3.8009534249369002E-2</v>
      </c>
      <c r="D44533" s="1">
        <v>1.8736988202637E-2</v>
      </c>
      <c r="E44533" s="1">
        <v>2.1857923497267701E-2</v>
      </c>
      <c r="F44533" s="1">
        <v>3.6375046485682398E-2</v>
      </c>
    </row>
    <row r="44534" spans="1:6" x14ac:dyDescent="0.25">
      <c r="A44534" s="2" t="str">
        <f t="shared" si="1396"/>
        <v>47700</v>
      </c>
      <c r="B44534" s="2" t="str">
        <f>"46524"</f>
        <v>46524</v>
      </c>
      <c r="C44534" s="1">
        <v>1.99097560353837E-2</v>
      </c>
      <c r="D44534" s="1">
        <v>1.2491325468424699E-2</v>
      </c>
      <c r="E44534" s="1">
        <v>9.8360655737704892E-3</v>
      </c>
      <c r="F44534" s="1">
        <v>1.9198586835254699E-2</v>
      </c>
    </row>
    <row r="44535" spans="1:6" x14ac:dyDescent="0.25">
      <c r="A44535" s="2" t="str">
        <f t="shared" si="1396"/>
        <v>47700</v>
      </c>
      <c r="B44535" s="2" t="str">
        <f>"46502"</f>
        <v>46502</v>
      </c>
      <c r="C44535" s="1">
        <v>2.5492645371810201E-5</v>
      </c>
      <c r="D44535" s="1">
        <v>0</v>
      </c>
      <c r="E44535" s="1">
        <v>1.09289617486338E-3</v>
      </c>
      <c r="F44535" s="1">
        <v>4.64856824098177E-5</v>
      </c>
    </row>
    <row r="44536" spans="1:6" x14ac:dyDescent="0.25">
      <c r="A44536" s="2" t="str">
        <f t="shared" si="1396"/>
        <v>47700</v>
      </c>
      <c r="B44536" s="2" t="str">
        <f>"46975"</f>
        <v>46975</v>
      </c>
      <c r="C44536" s="1">
        <v>1.2746322685905099E-4</v>
      </c>
      <c r="D44536" s="1">
        <v>6.9396252602359405E-4</v>
      </c>
      <c r="E44536" s="1">
        <v>0</v>
      </c>
      <c r="F44536" s="1">
        <v>1.62699888434362E-4</v>
      </c>
    </row>
    <row r="44537" spans="1:6" x14ac:dyDescent="0.25">
      <c r="A44537" s="2" t="str">
        <f t="shared" si="1396"/>
        <v>47700</v>
      </c>
      <c r="B44537" s="2" t="str">
        <f>"46787"</f>
        <v>46787</v>
      </c>
      <c r="C44537" s="1">
        <v>1.6825145945394699E-3</v>
      </c>
      <c r="D44537" s="1">
        <v>0</v>
      </c>
      <c r="E44537" s="1">
        <v>1.09289617486338E-3</v>
      </c>
      <c r="F44537" s="1">
        <v>1.55727036072889E-3</v>
      </c>
    </row>
    <row r="44538" spans="1:6" x14ac:dyDescent="0.25">
      <c r="A44538" s="2" t="str">
        <f t="shared" si="1396"/>
        <v>47700</v>
      </c>
      <c r="B44538" s="2" t="str">
        <f>"46562"</f>
        <v>46562</v>
      </c>
      <c r="C44538" s="1">
        <v>5.3865959670634997E-2</v>
      </c>
      <c r="D44538" s="1">
        <v>2.2553782095766799E-2</v>
      </c>
      <c r="E44538" s="1">
        <v>1.8579234972677501E-2</v>
      </c>
      <c r="F44538" s="1">
        <v>5.1018036444774997E-2</v>
      </c>
    </row>
    <row r="44539" spans="1:6" x14ac:dyDescent="0.25">
      <c r="A44539" s="2" t="str">
        <f t="shared" si="1396"/>
        <v>47700</v>
      </c>
      <c r="B44539" s="2" t="str">
        <f>"46550"</f>
        <v>46550</v>
      </c>
      <c r="C44539" s="1">
        <v>2.08019986233971E-2</v>
      </c>
      <c r="D44539" s="1">
        <v>1.0409437890353901E-2</v>
      </c>
      <c r="E44539" s="1">
        <v>4.1530054644808703E-2</v>
      </c>
      <c r="F44539" s="1">
        <v>2.0546671625139401E-2</v>
      </c>
    </row>
    <row r="44540" spans="1:6" x14ac:dyDescent="0.25">
      <c r="A44540" s="2" t="str">
        <f t="shared" si="1396"/>
        <v>47700</v>
      </c>
      <c r="B44540" s="2" t="str">
        <f>"46542"</f>
        <v>46542</v>
      </c>
      <c r="C44540" s="1">
        <v>3.8748820965151497E-2</v>
      </c>
      <c r="D44540" s="1">
        <v>1.8736988202637E-2</v>
      </c>
      <c r="E44540" s="1">
        <v>6.8852459016393405E-2</v>
      </c>
      <c r="F44540" s="1">
        <v>3.8048531052435802E-2</v>
      </c>
    </row>
    <row r="44541" spans="1:6" x14ac:dyDescent="0.25">
      <c r="A44541" s="2" t="str">
        <f t="shared" si="1396"/>
        <v>47700</v>
      </c>
      <c r="B44541" s="2" t="str">
        <f>"46539"</f>
        <v>46539</v>
      </c>
      <c r="C44541" s="1">
        <v>2.1541285339179601E-2</v>
      </c>
      <c r="D44541" s="1">
        <v>8.6745315752949307E-3</v>
      </c>
      <c r="E44541" s="1">
        <v>2.95081967213114E-2</v>
      </c>
      <c r="F44541" s="1">
        <v>2.0848828560803199E-2</v>
      </c>
    </row>
    <row r="44542" spans="1:6" x14ac:dyDescent="0.25">
      <c r="A44542" s="2" t="str">
        <f t="shared" si="1396"/>
        <v>47700</v>
      </c>
      <c r="B44542" s="2" t="str">
        <f>"46506"</f>
        <v>46506</v>
      </c>
      <c r="C44542" s="1">
        <v>3.05911744461722E-4</v>
      </c>
      <c r="D44542" s="1">
        <v>3.4698126301179702E-4</v>
      </c>
      <c r="E44542" s="1">
        <v>0</v>
      </c>
      <c r="F44542" s="1">
        <v>3.0215693566381502E-4</v>
      </c>
    </row>
    <row r="44543" spans="1:6" x14ac:dyDescent="0.25">
      <c r="A44543" s="2" t="str">
        <f t="shared" si="1396"/>
        <v>47700</v>
      </c>
      <c r="B44543" s="2" t="str">
        <f>"46508"</f>
        <v>46508</v>
      </c>
      <c r="C44543" s="1">
        <v>3.05911744461722E-4</v>
      </c>
      <c r="D44543" s="1">
        <v>0</v>
      </c>
      <c r="E44543" s="1">
        <v>1.09289617486338E-3</v>
      </c>
      <c r="F44543" s="1">
        <v>3.0215693566381502E-4</v>
      </c>
    </row>
    <row r="44544" spans="1:6" x14ac:dyDescent="0.25">
      <c r="A44544" s="2" t="str">
        <f t="shared" si="1396"/>
        <v>47700</v>
      </c>
      <c r="B44544" s="2" t="str">
        <f>"46538"</f>
        <v>46538</v>
      </c>
      <c r="C44544" s="1">
        <v>6.2711907614653103E-2</v>
      </c>
      <c r="D44544" s="1">
        <v>1.7349063150589799E-2</v>
      </c>
      <c r="E44544" s="1">
        <v>2.07650273224043E-2</v>
      </c>
      <c r="F44544" s="1">
        <v>5.8781145407214498E-2</v>
      </c>
    </row>
    <row r="44545" spans="1:6" x14ac:dyDescent="0.25">
      <c r="A44545" s="2" t="str">
        <f t="shared" ref="A44545:A44554" si="1397">"42980"</f>
        <v>42980</v>
      </c>
      <c r="B44545" s="2" t="str">
        <f>"47260"</f>
        <v>47260</v>
      </c>
      <c r="C44545" s="1">
        <v>2.8169708929452301E-2</v>
      </c>
      <c r="D44545" s="1">
        <v>7.5681130171543799E-3</v>
      </c>
      <c r="E44545" s="1">
        <v>2.8901734104046198E-3</v>
      </c>
      <c r="F44545" s="1">
        <v>2.56276150627615E-2</v>
      </c>
    </row>
    <row r="44546" spans="1:6" x14ac:dyDescent="0.25">
      <c r="A44546" s="2" t="str">
        <f t="shared" si="1397"/>
        <v>42980</v>
      </c>
      <c r="B44546" s="2" t="str">
        <f>"47235"</f>
        <v>47235</v>
      </c>
      <c r="C44546" s="1">
        <v>3.1179082387765102E-2</v>
      </c>
      <c r="D44546" s="1">
        <v>7.0635721493440898E-3</v>
      </c>
      <c r="E44546" s="1">
        <v>1.01156069364161E-2</v>
      </c>
      <c r="F44546" s="1">
        <v>2.8460599721059899E-2</v>
      </c>
    </row>
    <row r="44547" spans="1:6" x14ac:dyDescent="0.25">
      <c r="A44547" s="2" t="str">
        <f t="shared" si="1397"/>
        <v>42980</v>
      </c>
      <c r="B44547" s="2" t="str">
        <f>"47102"</f>
        <v>47102</v>
      </c>
      <c r="C44547" s="1">
        <v>5.8707449432659096E-3</v>
      </c>
      <c r="D44547" s="1">
        <v>0</v>
      </c>
      <c r="E44547" s="1">
        <v>7.2254335260115597E-3</v>
      </c>
      <c r="F44547" s="1">
        <v>5.4044630404462999E-3</v>
      </c>
    </row>
    <row r="44548" spans="1:6" x14ac:dyDescent="0.25">
      <c r="A44548" s="2" t="str">
        <f t="shared" si="1397"/>
        <v>42980</v>
      </c>
      <c r="B44548" s="2" t="str">
        <f>"47228"</f>
        <v>47228</v>
      </c>
      <c r="C44548" s="1">
        <v>0</v>
      </c>
      <c r="D44548" s="1">
        <v>0</v>
      </c>
      <c r="E44548" s="1">
        <v>1.4450867052023099E-3</v>
      </c>
      <c r="F44548" s="1">
        <v>4.35843793584379E-5</v>
      </c>
    </row>
    <row r="44549" spans="1:6" x14ac:dyDescent="0.25">
      <c r="A44549" s="2" t="str">
        <f t="shared" si="1397"/>
        <v>42980</v>
      </c>
      <c r="B44549" s="2" t="str">
        <f>"47264"</f>
        <v>47264</v>
      </c>
      <c r="C44549" s="1">
        <v>2.5999013320177601E-2</v>
      </c>
      <c r="D44549" s="1">
        <v>5.5499495459132098E-3</v>
      </c>
      <c r="E44549" s="1">
        <v>1.4450867052023099E-3</v>
      </c>
      <c r="F44549" s="1">
        <v>2.3491980474197999E-2</v>
      </c>
    </row>
    <row r="44550" spans="1:6" x14ac:dyDescent="0.25">
      <c r="A44550" s="2" t="str">
        <f t="shared" si="1397"/>
        <v>42980</v>
      </c>
      <c r="B44550" s="2" t="str">
        <f>"47274"</f>
        <v>47274</v>
      </c>
      <c r="C44550" s="1">
        <v>0.68973852984706396</v>
      </c>
      <c r="D44550" s="1">
        <v>0.78506559031281498</v>
      </c>
      <c r="E44550" s="1">
        <v>0.87716763005780296</v>
      </c>
      <c r="F44550" s="1">
        <v>0.70362622036262201</v>
      </c>
    </row>
    <row r="44551" spans="1:6" x14ac:dyDescent="0.25">
      <c r="A44551" s="2" t="str">
        <f t="shared" si="1397"/>
        <v>42980</v>
      </c>
      <c r="B44551" s="2" t="str">
        <f>"47281"</f>
        <v>47281</v>
      </c>
      <c r="C44551" s="1">
        <v>2.4518993586581099E-2</v>
      </c>
      <c r="D44551" s="1">
        <v>3.5317860746720401E-3</v>
      </c>
      <c r="E44551" s="1">
        <v>7.2254335260115597E-3</v>
      </c>
      <c r="F44551" s="1">
        <v>2.21844490934449E-2</v>
      </c>
    </row>
    <row r="44552" spans="1:6" x14ac:dyDescent="0.25">
      <c r="A44552" s="2" t="str">
        <f t="shared" si="1397"/>
        <v>42980</v>
      </c>
      <c r="B44552" s="2" t="str">
        <f>"47201"</f>
        <v>47201</v>
      </c>
      <c r="C44552" s="1">
        <v>3.9467192895905202E-4</v>
      </c>
      <c r="D44552" s="1">
        <v>0</v>
      </c>
      <c r="E44552" s="1">
        <v>0</v>
      </c>
      <c r="F44552" s="1">
        <v>3.4867503486750299E-4</v>
      </c>
    </row>
    <row r="44553" spans="1:6" x14ac:dyDescent="0.25">
      <c r="A44553" s="2" t="str">
        <f t="shared" si="1397"/>
        <v>42980</v>
      </c>
      <c r="B44553" s="2" t="str">
        <f>"47229"</f>
        <v>47229</v>
      </c>
      <c r="C44553" s="1">
        <v>6.9856931425752306E-2</v>
      </c>
      <c r="D44553" s="1">
        <v>5.7517658930373299E-2</v>
      </c>
      <c r="E44553" s="1">
        <v>1.44508670520231E-2</v>
      </c>
      <c r="F44553" s="1">
        <v>6.7119944211994395E-2</v>
      </c>
    </row>
    <row r="44554" spans="1:6" x14ac:dyDescent="0.25">
      <c r="A44554" s="2" t="str">
        <f t="shared" si="1397"/>
        <v>42980</v>
      </c>
      <c r="B44554" s="2" t="str">
        <f>"47220"</f>
        <v>47220</v>
      </c>
      <c r="C44554" s="1">
        <v>0.12427232363098099</v>
      </c>
      <c r="D44554" s="1">
        <v>0.133703329969727</v>
      </c>
      <c r="E44554" s="1">
        <v>7.8034682080924803E-2</v>
      </c>
      <c r="F44554" s="1">
        <v>0.123692468619246</v>
      </c>
    </row>
    <row r="44555" spans="1:6" x14ac:dyDescent="0.25">
      <c r="A44555" s="2" t="str">
        <f t="shared" ref="A44555:A44577" si="1398">"27540"</f>
        <v>27540</v>
      </c>
      <c r="B44555" s="2" t="str">
        <f>"47523"</f>
        <v>47523</v>
      </c>
      <c r="C44555" s="1">
        <v>1.0550510569350699E-3</v>
      </c>
      <c r="D44555" s="1">
        <v>2.1070375052675899E-3</v>
      </c>
      <c r="E44555" s="1">
        <v>0</v>
      </c>
      <c r="F44555" s="1">
        <v>1.1186819892199701E-3</v>
      </c>
    </row>
    <row r="44556" spans="1:6" x14ac:dyDescent="0.25">
      <c r="A44556" s="2" t="str">
        <f t="shared" si="1398"/>
        <v>27540</v>
      </c>
      <c r="B44556" s="2" t="str">
        <f>"47527"</f>
        <v>47527</v>
      </c>
      <c r="C44556" s="1">
        <v>3.3799314216812898E-2</v>
      </c>
      <c r="D44556" s="1">
        <v>1.0956595027391399E-2</v>
      </c>
      <c r="E44556" s="1">
        <v>1.0221465076660901E-2</v>
      </c>
      <c r="F44556" s="1">
        <v>3.1492592969253101E-2</v>
      </c>
    </row>
    <row r="44557" spans="1:6" x14ac:dyDescent="0.25">
      <c r="A44557" s="2" t="str">
        <f t="shared" si="1398"/>
        <v>27540</v>
      </c>
      <c r="B44557" s="2" t="str">
        <f>"47513"</f>
        <v>47513</v>
      </c>
      <c r="C44557" s="1">
        <v>2.6640039187610601E-2</v>
      </c>
      <c r="D44557" s="1">
        <v>6.7425200168563003E-3</v>
      </c>
      <c r="E44557" s="1">
        <v>6.8143100511073203E-3</v>
      </c>
      <c r="F44557" s="1">
        <v>2.4644903217058201E-2</v>
      </c>
    </row>
    <row r="44558" spans="1:6" x14ac:dyDescent="0.25">
      <c r="A44558" s="2" t="str">
        <f t="shared" si="1398"/>
        <v>27540</v>
      </c>
      <c r="B44558" s="2" t="str">
        <f>"47590"</f>
        <v>47590</v>
      </c>
      <c r="C44558" s="1">
        <v>1.31881382116884E-2</v>
      </c>
      <c r="D44558" s="1">
        <v>2.1070375052675899E-3</v>
      </c>
      <c r="E44558" s="1">
        <v>1.7035775127768301E-3</v>
      </c>
      <c r="F44558" s="1">
        <v>1.20682057018881E-2</v>
      </c>
    </row>
    <row r="44559" spans="1:6" x14ac:dyDescent="0.25">
      <c r="A44559" s="2" t="str">
        <f t="shared" si="1398"/>
        <v>27540</v>
      </c>
      <c r="B44559" s="2" t="str">
        <f>"47545"</f>
        <v>47545</v>
      </c>
      <c r="C44559" s="1">
        <v>3.7680394890538399E-5</v>
      </c>
      <c r="D44559" s="1">
        <v>0</v>
      </c>
      <c r="E44559" s="1">
        <v>1.7035775127768301E-3</v>
      </c>
      <c r="F44559" s="1">
        <v>6.7798908437574098E-5</v>
      </c>
    </row>
    <row r="44560" spans="1:6" x14ac:dyDescent="0.25">
      <c r="A44560" s="2" t="str">
        <f t="shared" si="1398"/>
        <v>27540</v>
      </c>
      <c r="B44560" s="2" t="str">
        <f>"47532"</f>
        <v>47532</v>
      </c>
      <c r="C44560" s="1">
        <v>7.1215946343117606E-2</v>
      </c>
      <c r="D44560" s="1">
        <v>5.4361567635903899E-2</v>
      </c>
      <c r="E44560" s="1">
        <v>5.4514480408858597E-2</v>
      </c>
      <c r="F44560" s="1">
        <v>6.9527780602732195E-2</v>
      </c>
    </row>
    <row r="44561" spans="1:6" x14ac:dyDescent="0.25">
      <c r="A44561" s="2" t="str">
        <f t="shared" si="1398"/>
        <v>27540</v>
      </c>
      <c r="B44561" s="2" t="str">
        <f>"47521"</f>
        <v>47521</v>
      </c>
      <c r="C44561" s="1">
        <v>1.49214363766532E-2</v>
      </c>
      <c r="D44561" s="1">
        <v>3.3712600084281502E-3</v>
      </c>
      <c r="E44561" s="1">
        <v>5.1107325383304902E-3</v>
      </c>
      <c r="F44561" s="1">
        <v>1.3797077867046301E-2</v>
      </c>
    </row>
    <row r="44562" spans="1:6" x14ac:dyDescent="0.25">
      <c r="A44562" s="2" t="str">
        <f t="shared" si="1398"/>
        <v>27540</v>
      </c>
      <c r="B44562" s="2" t="str">
        <f>"47660"</f>
        <v>47660</v>
      </c>
      <c r="C44562" s="1">
        <v>7.7244809525603801E-3</v>
      </c>
      <c r="D44562" s="1">
        <v>2.5284450063211101E-3</v>
      </c>
      <c r="E44562" s="1">
        <v>1.7035775127768301E-3</v>
      </c>
      <c r="F44562" s="1">
        <v>7.1866842943828597E-3</v>
      </c>
    </row>
    <row r="44563" spans="1:6" x14ac:dyDescent="0.25">
      <c r="A44563" s="2" t="str">
        <f t="shared" si="1398"/>
        <v>27540</v>
      </c>
      <c r="B44563" s="2" t="str">
        <f>"47564"</f>
        <v>47564</v>
      </c>
      <c r="C44563" s="1">
        <v>2.7506688270093001E-2</v>
      </c>
      <c r="D44563" s="1">
        <v>6.3211125158027801E-3</v>
      </c>
      <c r="E44563" s="1">
        <v>1.87393526405451E-2</v>
      </c>
      <c r="F44563" s="1">
        <v>2.5627987389403001E-2</v>
      </c>
    </row>
    <row r="44564" spans="1:6" x14ac:dyDescent="0.25">
      <c r="A44564" s="2" t="str">
        <f t="shared" si="1398"/>
        <v>27540</v>
      </c>
      <c r="B44564" s="2" t="str">
        <f>"47546"</f>
        <v>47546</v>
      </c>
      <c r="C44564" s="1">
        <v>0.37047364256377402</v>
      </c>
      <c r="D44564" s="1">
        <v>0.44711335861778301</v>
      </c>
      <c r="E44564" s="1">
        <v>0.53662691652470096</v>
      </c>
      <c r="F44564" s="1">
        <v>0.37994508288416501</v>
      </c>
    </row>
    <row r="44565" spans="1:6" x14ac:dyDescent="0.25">
      <c r="A44565" s="2" t="str">
        <f t="shared" si="1398"/>
        <v>27540</v>
      </c>
      <c r="B44565" s="2" t="str">
        <f>"47598"</f>
        <v>47598</v>
      </c>
      <c r="C44565" s="1">
        <v>6.6016051848223303E-2</v>
      </c>
      <c r="D44565" s="1">
        <v>1.8963337547408299E-2</v>
      </c>
      <c r="E44565" s="1">
        <v>1.1925042589437799E-2</v>
      </c>
      <c r="F44565" s="1">
        <v>6.1154615410691802E-2</v>
      </c>
    </row>
    <row r="44566" spans="1:6" x14ac:dyDescent="0.25">
      <c r="A44566" s="2" t="str">
        <f t="shared" si="1398"/>
        <v>27540</v>
      </c>
      <c r="B44566" s="2" t="str">
        <f>"47432"</f>
        <v>47432</v>
      </c>
      <c r="C44566" s="1">
        <v>8.2143260861373794E-3</v>
      </c>
      <c r="D44566" s="1">
        <v>1.2642225031605501E-3</v>
      </c>
      <c r="E44566" s="1">
        <v>0</v>
      </c>
      <c r="F44566" s="1">
        <v>7.4917793823519397E-3</v>
      </c>
    </row>
    <row r="44567" spans="1:6" x14ac:dyDescent="0.25">
      <c r="A44567" s="2" t="str">
        <f t="shared" si="1398"/>
        <v>27540</v>
      </c>
      <c r="B44567" s="2" t="str">
        <f>"47584"</f>
        <v>47584</v>
      </c>
      <c r="C44567" s="1">
        <v>2.3361844832133802E-3</v>
      </c>
      <c r="D44567" s="1">
        <v>8.42815002107037E-4</v>
      </c>
      <c r="E44567" s="1">
        <v>1.7035775127768301E-3</v>
      </c>
      <c r="F44567" s="1">
        <v>2.20346452422116E-3</v>
      </c>
    </row>
    <row r="44568" spans="1:6" x14ac:dyDescent="0.25">
      <c r="A44568" s="2" t="str">
        <f t="shared" si="1398"/>
        <v>27540</v>
      </c>
      <c r="B44568" s="2" t="str">
        <f>"47585"</f>
        <v>47585</v>
      </c>
      <c r="C44568" s="1">
        <v>7.9505633219036104E-3</v>
      </c>
      <c r="D44568" s="1">
        <v>0</v>
      </c>
      <c r="E44568" s="1">
        <v>5.1107325383304902E-3</v>
      </c>
      <c r="F44568" s="1">
        <v>7.2544832028204297E-3</v>
      </c>
    </row>
    <row r="44569" spans="1:6" x14ac:dyDescent="0.25">
      <c r="A44569" s="2" t="str">
        <f t="shared" si="1398"/>
        <v>27540</v>
      </c>
      <c r="B44569" s="2" t="str">
        <f>"47542"</f>
        <v>47542</v>
      </c>
      <c r="C44569" s="1">
        <v>0.16899657108406399</v>
      </c>
      <c r="D44569" s="1">
        <v>0.20564686051411701</v>
      </c>
      <c r="E44569" s="1">
        <v>0.24701873935263999</v>
      </c>
      <c r="F44569" s="1">
        <v>0.17349740669175201</v>
      </c>
    </row>
    <row r="44570" spans="1:6" x14ac:dyDescent="0.25">
      <c r="A44570" s="2" t="str">
        <f t="shared" si="1398"/>
        <v>27540</v>
      </c>
      <c r="B44570" s="2" t="str">
        <f>"47640"</f>
        <v>47640</v>
      </c>
      <c r="C44570" s="1">
        <v>4.5970081766456899E-3</v>
      </c>
      <c r="D44570" s="1">
        <v>2.5284450063211101E-3</v>
      </c>
      <c r="E44570" s="1">
        <v>0</v>
      </c>
      <c r="F44570" s="1">
        <v>4.3391301400047396E-3</v>
      </c>
    </row>
    <row r="44571" spans="1:6" x14ac:dyDescent="0.25">
      <c r="A44571" s="2" t="str">
        <f t="shared" si="1398"/>
        <v>27540</v>
      </c>
      <c r="B44571" s="2" t="str">
        <f>"47666"</f>
        <v>47666</v>
      </c>
      <c r="C44571" s="1">
        <v>3.7680394890538399E-5</v>
      </c>
      <c r="D44571" s="1">
        <v>0</v>
      </c>
      <c r="E44571" s="1">
        <v>0</v>
      </c>
      <c r="F44571" s="1">
        <v>3.3899454218787001E-5</v>
      </c>
    </row>
    <row r="44572" spans="1:6" x14ac:dyDescent="0.25">
      <c r="A44572" s="2" t="str">
        <f t="shared" si="1398"/>
        <v>27540</v>
      </c>
      <c r="B44572" s="2" t="str">
        <f>"47567"</f>
        <v>47567</v>
      </c>
      <c r="C44572" s="1">
        <v>0.11552809073438999</v>
      </c>
      <c r="D44572" s="1">
        <v>0.106194690265486</v>
      </c>
      <c r="E44572" s="1">
        <v>8.1771720613287899E-2</v>
      </c>
      <c r="F44572" s="1">
        <v>0.114105562900437</v>
      </c>
    </row>
    <row r="44573" spans="1:6" x14ac:dyDescent="0.25">
      <c r="A44573" s="2" t="str">
        <f t="shared" si="1398"/>
        <v>27540</v>
      </c>
      <c r="B44573" s="2" t="str">
        <f>"47580"</f>
        <v>47580</v>
      </c>
      <c r="C44573" s="1">
        <v>4.33324541241192E-3</v>
      </c>
      <c r="D44573" s="1">
        <v>2.1070375052675899E-3</v>
      </c>
      <c r="E44573" s="1">
        <v>1.7035775127768301E-3</v>
      </c>
      <c r="F44573" s="1">
        <v>4.1018339604732296E-3</v>
      </c>
    </row>
    <row r="44574" spans="1:6" x14ac:dyDescent="0.25">
      <c r="A44574" s="2" t="str">
        <f t="shared" si="1398"/>
        <v>27540</v>
      </c>
      <c r="B44574" s="2" t="str">
        <f>"47547"</f>
        <v>47547</v>
      </c>
      <c r="C44574" s="1">
        <v>1.6843136516070601E-2</v>
      </c>
      <c r="D44574" s="1">
        <v>0.11293721028234301</v>
      </c>
      <c r="E44574" s="1">
        <v>3.4071550255536601E-3</v>
      </c>
      <c r="F44574" s="1">
        <v>2.43059086748703E-2</v>
      </c>
    </row>
    <row r="44575" spans="1:6" x14ac:dyDescent="0.25">
      <c r="A44575" s="2" t="str">
        <f t="shared" si="1398"/>
        <v>27540</v>
      </c>
      <c r="B44575" s="2" t="str">
        <f>"47541"</f>
        <v>47541</v>
      </c>
      <c r="C44575" s="1">
        <v>1.99329288970948E-2</v>
      </c>
      <c r="D44575" s="1">
        <v>7.1639275179098101E-3</v>
      </c>
      <c r="E44575" s="1">
        <v>8.5178875638841495E-3</v>
      </c>
      <c r="F44575" s="1">
        <v>1.8678599274551601E-2</v>
      </c>
    </row>
    <row r="44576" spans="1:6" x14ac:dyDescent="0.25">
      <c r="A44576" s="2" t="str">
        <f t="shared" si="1398"/>
        <v>27540</v>
      </c>
      <c r="B44576" s="2" t="str">
        <f>"47619"</f>
        <v>47619</v>
      </c>
      <c r="C44576" s="1">
        <v>5.6520592335807603E-4</v>
      </c>
      <c r="D44576" s="1">
        <v>0</v>
      </c>
      <c r="E44576" s="1">
        <v>0</v>
      </c>
      <c r="F44576" s="1">
        <v>5.0849181328180596E-4</v>
      </c>
    </row>
    <row r="44577" spans="1:6" x14ac:dyDescent="0.25">
      <c r="A44577" s="2" t="str">
        <f t="shared" si="1398"/>
        <v>27540</v>
      </c>
      <c r="B44577" s="2" t="str">
        <f>"47575"</f>
        <v>47575</v>
      </c>
      <c r="C44577" s="1">
        <v>1.8086589547458402E-2</v>
      </c>
      <c r="D44577" s="1">
        <v>6.7425200168563003E-3</v>
      </c>
      <c r="E44577" s="1">
        <v>1.7035775127768301E-3</v>
      </c>
      <c r="F44577" s="1">
        <v>1.68480287467371E-2</v>
      </c>
    </row>
    <row r="44578" spans="1:6" x14ac:dyDescent="0.25">
      <c r="A44578" s="2" t="str">
        <f t="shared" ref="A44578:A44590" si="1399">"47180"</f>
        <v>47180</v>
      </c>
      <c r="B44578" s="2" t="str">
        <f>"47561"</f>
        <v>47561</v>
      </c>
      <c r="C44578" s="1">
        <v>3.4010878900658403E-2</v>
      </c>
      <c r="D44578" s="1">
        <v>1.174398120963E-2</v>
      </c>
      <c r="E44578" s="1">
        <v>1.1070110701107E-2</v>
      </c>
      <c r="F44578" s="1">
        <v>3.1456113647894399E-2</v>
      </c>
    </row>
    <row r="44579" spans="1:6" x14ac:dyDescent="0.25">
      <c r="A44579" s="2" t="str">
        <f t="shared" si="1399"/>
        <v>47180</v>
      </c>
      <c r="B44579" s="2" t="str">
        <f>"47512"</f>
        <v>47512</v>
      </c>
      <c r="C44579" s="1">
        <v>0.116461494417406</v>
      </c>
      <c r="D44579" s="1">
        <v>8.6905460951262406E-2</v>
      </c>
      <c r="E44579" s="1">
        <v>4.6125461254612497E-2</v>
      </c>
      <c r="F44579" s="1">
        <v>0.111973617453069</v>
      </c>
    </row>
    <row r="44580" spans="1:6" x14ac:dyDescent="0.25">
      <c r="A44580" s="2" t="str">
        <f t="shared" si="1399"/>
        <v>47180</v>
      </c>
      <c r="B44580" s="2" t="str">
        <f>"47578"</f>
        <v>47578</v>
      </c>
      <c r="C44580" s="1">
        <v>1.5287718293730299E-2</v>
      </c>
      <c r="D44580" s="1">
        <v>1.1743981209629999E-3</v>
      </c>
      <c r="E44580" s="1">
        <v>1.8450184501845001E-3</v>
      </c>
      <c r="F44580" s="1">
        <v>1.3698630136986301E-2</v>
      </c>
    </row>
    <row r="44581" spans="1:6" x14ac:dyDescent="0.25">
      <c r="A44581" s="2" t="str">
        <f t="shared" si="1399"/>
        <v>47180</v>
      </c>
      <c r="B44581" s="2" t="str">
        <f>"47838"</f>
        <v>47838</v>
      </c>
      <c r="C44581" s="1">
        <v>1.71772115659891E-4</v>
      </c>
      <c r="D44581" s="1">
        <v>0</v>
      </c>
      <c r="E44581" s="1">
        <v>0</v>
      </c>
      <c r="F44581" s="1">
        <v>1.5220700152207E-4</v>
      </c>
    </row>
    <row r="44582" spans="1:6" x14ac:dyDescent="0.25">
      <c r="A44582" s="2" t="str">
        <f t="shared" si="1399"/>
        <v>47180</v>
      </c>
      <c r="B44582" s="2" t="str">
        <f>"47524"</f>
        <v>47524</v>
      </c>
      <c r="C44582" s="1">
        <v>1.5745777268823299E-2</v>
      </c>
      <c r="D44582" s="1">
        <v>7.0463887257780303E-3</v>
      </c>
      <c r="E44582" s="1">
        <v>1.8450184501845001E-3</v>
      </c>
      <c r="F44582" s="1">
        <v>1.46118721461187E-2</v>
      </c>
    </row>
    <row r="44583" spans="1:6" x14ac:dyDescent="0.25">
      <c r="A44583" s="2" t="str">
        <f t="shared" si="1399"/>
        <v>47180</v>
      </c>
      <c r="B44583" s="2" t="str">
        <f>"47528"</f>
        <v>47528</v>
      </c>
      <c r="C44583" s="1">
        <v>2.0040080160320599E-2</v>
      </c>
      <c r="D44583" s="1">
        <v>9.9823840281855498E-3</v>
      </c>
      <c r="E44583" s="1">
        <v>1.8450184501845001E-3</v>
      </c>
      <c r="F44583" s="1">
        <v>1.8670725520040499E-2</v>
      </c>
    </row>
    <row r="44584" spans="1:6" x14ac:dyDescent="0.25">
      <c r="A44584" s="2" t="str">
        <f t="shared" si="1399"/>
        <v>47180</v>
      </c>
      <c r="B44584" s="2" t="str">
        <f>"47597"</f>
        <v>47597</v>
      </c>
      <c r="C44584" s="1">
        <v>1.87804179788147E-2</v>
      </c>
      <c r="D44584" s="1">
        <v>4.6975924838520196E-3</v>
      </c>
      <c r="E44584" s="1">
        <v>1.8450184501845001E-3</v>
      </c>
      <c r="F44584" s="1">
        <v>1.70979198376458E-2</v>
      </c>
    </row>
    <row r="44585" spans="1:6" x14ac:dyDescent="0.25">
      <c r="A44585" s="2" t="str">
        <f t="shared" si="1399"/>
        <v>47180</v>
      </c>
      <c r="B44585" s="2" t="str">
        <f>"47516"</f>
        <v>47516</v>
      </c>
      <c r="C44585" s="1">
        <v>3.3724592041225299E-2</v>
      </c>
      <c r="D44585" s="1">
        <v>1.174398120963E-2</v>
      </c>
      <c r="E44585" s="1">
        <v>1.8450184501845001E-3</v>
      </c>
      <c r="F44585" s="1">
        <v>3.09487569761542E-2</v>
      </c>
    </row>
    <row r="44586" spans="1:6" x14ac:dyDescent="0.25">
      <c r="A44586" s="2" t="str">
        <f t="shared" si="1399"/>
        <v>47180</v>
      </c>
      <c r="B44586" s="2" t="str">
        <f>"47557"</f>
        <v>47557</v>
      </c>
      <c r="C44586" s="1">
        <v>2.1299742341826501E-2</v>
      </c>
      <c r="D44586" s="1">
        <v>5.2847915443335197E-3</v>
      </c>
      <c r="E44586" s="1">
        <v>1.8450184501845001E-3</v>
      </c>
      <c r="F44586" s="1">
        <v>1.9381024860476902E-2</v>
      </c>
    </row>
    <row r="44587" spans="1:6" x14ac:dyDescent="0.25">
      <c r="A44587" s="2" t="str">
        <f t="shared" si="1399"/>
        <v>47180</v>
      </c>
      <c r="B44587" s="2" t="str">
        <f>"47573"</f>
        <v>47573</v>
      </c>
      <c r="C44587" s="1">
        <v>1.83223590037217E-3</v>
      </c>
      <c r="D44587" s="1">
        <v>0</v>
      </c>
      <c r="E44587" s="1">
        <v>1.8450184501845001E-3</v>
      </c>
      <c r="F44587" s="1">
        <v>1.67427701674277E-3</v>
      </c>
    </row>
    <row r="44588" spans="1:6" x14ac:dyDescent="0.25">
      <c r="A44588" s="2" t="str">
        <f t="shared" si="1399"/>
        <v>47180</v>
      </c>
      <c r="B44588" s="2" t="str">
        <f>"47591"</f>
        <v>47591</v>
      </c>
      <c r="C44588" s="1">
        <v>0.70489550529630596</v>
      </c>
      <c r="D44588" s="1">
        <v>0.86142102172636503</v>
      </c>
      <c r="E44588" s="1">
        <v>0.92435424354243501</v>
      </c>
      <c r="F44588" s="1">
        <v>0.72445459157787895</v>
      </c>
    </row>
    <row r="44589" spans="1:6" x14ac:dyDescent="0.25">
      <c r="A44589" s="2" t="str">
        <f t="shared" si="1399"/>
        <v>47180</v>
      </c>
      <c r="B44589" s="2" t="str">
        <f>"47596"</f>
        <v>47596</v>
      </c>
      <c r="C44589" s="1">
        <v>5.3821929573432499E-3</v>
      </c>
      <c r="D44589" s="1">
        <v>0</v>
      </c>
      <c r="E44589" s="1">
        <v>1.8450184501845001E-3</v>
      </c>
      <c r="F44589" s="1">
        <v>4.8198883815322099E-3</v>
      </c>
    </row>
    <row r="44590" spans="1:6" x14ac:dyDescent="0.25">
      <c r="A44590" s="2" t="str">
        <f t="shared" si="1399"/>
        <v>47180</v>
      </c>
      <c r="B44590" s="2" t="str">
        <f>"47535"</f>
        <v>47535</v>
      </c>
      <c r="C44590" s="1">
        <v>1.2367592327512099E-2</v>
      </c>
      <c r="D44590" s="1">
        <v>0</v>
      </c>
      <c r="E44590" s="1">
        <v>3.6900369003690001E-3</v>
      </c>
      <c r="F44590" s="1">
        <v>1.1060375443937001E-2</v>
      </c>
    </row>
    <row r="44591" spans="1:6" x14ac:dyDescent="0.25">
      <c r="A44591" s="2" t="str">
        <f t="shared" ref="A44591:A44621" si="1400">"27100"</f>
        <v>27100</v>
      </c>
      <c r="B44591" s="2" t="str">
        <f>"49249"</f>
        <v>49249</v>
      </c>
      <c r="C44591" s="1">
        <v>2.2265479174444001E-3</v>
      </c>
      <c r="D44591" s="1">
        <v>0</v>
      </c>
      <c r="E44591" s="1">
        <v>0</v>
      </c>
      <c r="F44591" s="1">
        <v>2.0070185559080802E-3</v>
      </c>
    </row>
    <row r="44592" spans="1:6" x14ac:dyDescent="0.25">
      <c r="A44592" s="2" t="str">
        <f t="shared" si="1400"/>
        <v>27100</v>
      </c>
      <c r="B44592" s="2" t="str">
        <f>"49245"</f>
        <v>49245</v>
      </c>
      <c r="C44592" s="1">
        <v>2.7998506746306802E-4</v>
      </c>
      <c r="D44592" s="1">
        <v>0</v>
      </c>
      <c r="E44592" s="1">
        <v>0</v>
      </c>
      <c r="F44592" s="1">
        <v>2.52379578886645E-4</v>
      </c>
    </row>
    <row r="44593" spans="1:6" x14ac:dyDescent="0.25">
      <c r="A44593" s="2" t="str">
        <f t="shared" si="1400"/>
        <v>27100</v>
      </c>
      <c r="B44593" s="2" t="str">
        <f>"49246"</f>
        <v>49246</v>
      </c>
      <c r="C44593" s="1">
        <v>2.0038931256999602E-2</v>
      </c>
      <c r="D44593" s="1">
        <v>7.5485262401150197E-3</v>
      </c>
      <c r="E44593" s="1">
        <v>4.1666666666666597E-3</v>
      </c>
      <c r="F44593" s="1">
        <v>1.87001249879819E-2</v>
      </c>
    </row>
    <row r="44594" spans="1:6" x14ac:dyDescent="0.25">
      <c r="A44594" s="2" t="str">
        <f t="shared" si="1400"/>
        <v>27100</v>
      </c>
      <c r="B44594" s="2" t="str">
        <f>"49259"</f>
        <v>49259</v>
      </c>
      <c r="C44594" s="1">
        <v>1.7252413204628999E-2</v>
      </c>
      <c r="D44594" s="1">
        <v>4.4931703810208402E-3</v>
      </c>
      <c r="E44594" s="1">
        <v>2.6515151515151499E-3</v>
      </c>
      <c r="F44594" s="1">
        <v>1.5935967695413899E-2</v>
      </c>
    </row>
    <row r="44595" spans="1:6" x14ac:dyDescent="0.25">
      <c r="A44595" s="2" t="str">
        <f t="shared" si="1400"/>
        <v>27100</v>
      </c>
      <c r="B44595" s="2" t="str">
        <f>"49230"</f>
        <v>49230</v>
      </c>
      <c r="C44595" s="1">
        <v>6.1716708442216398E-2</v>
      </c>
      <c r="D44595" s="1">
        <v>3.6125089863407601E-2</v>
      </c>
      <c r="E44595" s="1">
        <v>1.5530303030303E-2</v>
      </c>
      <c r="F44595" s="1">
        <v>5.8540044226516597E-2</v>
      </c>
    </row>
    <row r="44596" spans="1:6" x14ac:dyDescent="0.25">
      <c r="A44596" s="2" t="str">
        <f t="shared" si="1400"/>
        <v>27100</v>
      </c>
      <c r="B44596" s="2" t="str">
        <f>"49201"</f>
        <v>49201</v>
      </c>
      <c r="C44596" s="1">
        <v>0.25279985067463001</v>
      </c>
      <c r="D44596" s="1">
        <v>0.25071890726096302</v>
      </c>
      <c r="E44596" s="1">
        <v>0.35265151515151499</v>
      </c>
      <c r="F44596" s="1">
        <v>0.25582876646476299</v>
      </c>
    </row>
    <row r="44597" spans="1:6" x14ac:dyDescent="0.25">
      <c r="A44597" s="2" t="str">
        <f t="shared" si="1400"/>
        <v>27100</v>
      </c>
      <c r="B44597" s="2" t="str">
        <f>"49285"</f>
        <v>49285</v>
      </c>
      <c r="C44597" s="1">
        <v>2.7331875633299502E-3</v>
      </c>
      <c r="D44597" s="1">
        <v>1.43781452192667E-3</v>
      </c>
      <c r="E44597" s="1">
        <v>7.5757575757575703E-4</v>
      </c>
      <c r="F44597" s="1">
        <v>2.58388616479184E-3</v>
      </c>
    </row>
    <row r="44598" spans="1:6" x14ac:dyDescent="0.25">
      <c r="A44598" s="2" t="str">
        <f t="shared" si="1400"/>
        <v>27100</v>
      </c>
      <c r="B44598" s="2" t="str">
        <f>"49277"</f>
        <v>49277</v>
      </c>
      <c r="C44598" s="1">
        <v>1.81190336515385E-2</v>
      </c>
      <c r="D44598" s="1">
        <v>4.1337167505391802E-3</v>
      </c>
      <c r="E44598" s="1">
        <v>1.8939393939393901E-3</v>
      </c>
      <c r="F44598" s="1">
        <v>1.6669070281703599E-2</v>
      </c>
    </row>
    <row r="44599" spans="1:6" x14ac:dyDescent="0.25">
      <c r="A44599" s="2" t="str">
        <f t="shared" si="1400"/>
        <v>27100</v>
      </c>
      <c r="B44599" s="2" t="str">
        <f>"49261"</f>
        <v>49261</v>
      </c>
      <c r="C44599" s="1">
        <v>8.6262066023145394E-3</v>
      </c>
      <c r="D44599" s="1">
        <v>1.5815959741193299E-2</v>
      </c>
      <c r="E44599" s="1">
        <v>3.0303030303030299E-3</v>
      </c>
      <c r="F44599" s="1">
        <v>8.9294298625132093E-3</v>
      </c>
    </row>
    <row r="44600" spans="1:6" x14ac:dyDescent="0.25">
      <c r="A44600" s="2" t="str">
        <f t="shared" si="1400"/>
        <v>27100</v>
      </c>
      <c r="B44600" s="2" t="str">
        <f>"49240"</f>
        <v>49240</v>
      </c>
      <c r="C44600" s="1">
        <v>5.8850194656284903E-2</v>
      </c>
      <c r="D44600" s="1">
        <v>3.3968368080517598E-2</v>
      </c>
      <c r="E44600" s="1">
        <v>2.6515151515151499E-2</v>
      </c>
      <c r="F44600" s="1">
        <v>5.6160465339871103E-2</v>
      </c>
    </row>
    <row r="44601" spans="1:6" x14ac:dyDescent="0.25">
      <c r="A44601" s="2" t="str">
        <f t="shared" si="1400"/>
        <v>27100</v>
      </c>
      <c r="B44601" s="2" t="str">
        <f>"49251"</f>
        <v>49251</v>
      </c>
      <c r="C44601" s="1">
        <v>1.7999040051197199E-3</v>
      </c>
      <c r="D44601" s="1">
        <v>1.7972681524083299E-4</v>
      </c>
      <c r="E44601" s="1">
        <v>0</v>
      </c>
      <c r="F44601" s="1">
        <v>1.63445822517065E-3</v>
      </c>
    </row>
    <row r="44602" spans="1:6" x14ac:dyDescent="0.25">
      <c r="A44602" s="2" t="str">
        <f t="shared" si="1400"/>
        <v>27100</v>
      </c>
      <c r="B44602" s="2" t="str">
        <f>"49241"</f>
        <v>49241</v>
      </c>
      <c r="C44602" s="1">
        <v>1.5612500666631101E-2</v>
      </c>
      <c r="D44602" s="1">
        <v>5.9309849029475104E-3</v>
      </c>
      <c r="E44602" s="1">
        <v>1.13636363636363E-3</v>
      </c>
      <c r="F44602" s="1">
        <v>1.4505816748389499E-2</v>
      </c>
    </row>
    <row r="44603" spans="1:6" x14ac:dyDescent="0.25">
      <c r="A44603" s="2" t="str">
        <f t="shared" si="1400"/>
        <v>27100</v>
      </c>
      <c r="B44603" s="2" t="str">
        <f>"49237"</f>
        <v>49237</v>
      </c>
      <c r="C44603" s="1">
        <v>1.7599061383392799E-2</v>
      </c>
      <c r="D44603" s="1">
        <v>7.9079798705966892E-3</v>
      </c>
      <c r="E44603" s="1">
        <v>8.3333333333333297E-3</v>
      </c>
      <c r="F44603" s="1">
        <v>1.6657052206518599E-2</v>
      </c>
    </row>
    <row r="44604" spans="1:6" x14ac:dyDescent="0.25">
      <c r="A44604" s="2" t="str">
        <f t="shared" si="1400"/>
        <v>27100</v>
      </c>
      <c r="B44604" s="2" t="str">
        <f>"49203"</f>
        <v>49203</v>
      </c>
      <c r="C44604" s="1">
        <v>0.226801237267345</v>
      </c>
      <c r="D44604" s="1">
        <v>0.20327102803738301</v>
      </c>
      <c r="E44604" s="1">
        <v>0.30416666666666597</v>
      </c>
      <c r="F44604" s="1">
        <v>0.227682434381309</v>
      </c>
    </row>
    <row r="44605" spans="1:6" x14ac:dyDescent="0.25">
      <c r="A44605" s="2" t="str">
        <f t="shared" si="1400"/>
        <v>27100</v>
      </c>
      <c r="B44605" s="2" t="str">
        <f>"48158"</f>
        <v>48158</v>
      </c>
      <c r="C44605" s="1">
        <v>3.1998293424350701E-4</v>
      </c>
      <c r="D44605" s="1">
        <v>0</v>
      </c>
      <c r="E44605" s="1">
        <v>0</v>
      </c>
      <c r="F44605" s="1">
        <v>2.8843380444188002E-4</v>
      </c>
    </row>
    <row r="44606" spans="1:6" x14ac:dyDescent="0.25">
      <c r="A44606" s="2" t="str">
        <f t="shared" si="1400"/>
        <v>27100</v>
      </c>
      <c r="B44606" s="2" t="str">
        <f>"49284"</f>
        <v>49284</v>
      </c>
      <c r="C44606" s="1">
        <v>1.19060316783104E-2</v>
      </c>
      <c r="D44606" s="1">
        <v>8.0877066858375205E-3</v>
      </c>
      <c r="E44606" s="1">
        <v>4.9242424242424204E-3</v>
      </c>
      <c r="F44606" s="1">
        <v>1.1429189501009501E-2</v>
      </c>
    </row>
    <row r="44607" spans="1:6" x14ac:dyDescent="0.25">
      <c r="A44607" s="2" t="str">
        <f t="shared" si="1400"/>
        <v>27100</v>
      </c>
      <c r="B44607" s="2" t="str">
        <f>"49272"</f>
        <v>49272</v>
      </c>
      <c r="C44607" s="1">
        <v>1.58258226227934E-2</v>
      </c>
      <c r="D44607" s="1">
        <v>4.4931703810208402E-3</v>
      </c>
      <c r="E44607" s="1">
        <v>3.4090909090908998E-3</v>
      </c>
      <c r="F44607" s="1">
        <v>1.4674069800980599E-2</v>
      </c>
    </row>
    <row r="44608" spans="1:6" x14ac:dyDescent="0.25">
      <c r="A44608" s="2" t="str">
        <f t="shared" si="1400"/>
        <v>27100</v>
      </c>
      <c r="B44608" s="2" t="str">
        <f>"49250"</f>
        <v>49250</v>
      </c>
      <c r="C44608" s="1">
        <v>1.0399445362913901E-3</v>
      </c>
      <c r="D44608" s="1">
        <v>3.5945363048166701E-4</v>
      </c>
      <c r="E44608" s="1">
        <v>0</v>
      </c>
      <c r="F44608" s="1">
        <v>9.61446014806268E-4</v>
      </c>
    </row>
    <row r="44609" spans="1:6" x14ac:dyDescent="0.25">
      <c r="A44609" s="2" t="str">
        <f t="shared" si="1400"/>
        <v>27100</v>
      </c>
      <c r="B44609" s="2" t="str">
        <f>"49234"</f>
        <v>49234</v>
      </c>
      <c r="C44609" s="1">
        <v>1.8985654098448001E-2</v>
      </c>
      <c r="D44609" s="1">
        <v>8.6268871315600196E-3</v>
      </c>
      <c r="E44609" s="1">
        <v>3.7878787878787802E-3</v>
      </c>
      <c r="F44609" s="1">
        <v>1.7810787424286101E-2</v>
      </c>
    </row>
    <row r="44610" spans="1:6" x14ac:dyDescent="0.25">
      <c r="A44610" s="2" t="str">
        <f t="shared" si="1400"/>
        <v>27100</v>
      </c>
      <c r="B44610" s="2" t="str">
        <f>"49233"</f>
        <v>49233</v>
      </c>
      <c r="C44610" s="1">
        <v>2.5065329849074699E-3</v>
      </c>
      <c r="D44610" s="1">
        <v>1.43781452192667E-3</v>
      </c>
      <c r="E44610" s="1">
        <v>0</v>
      </c>
      <c r="F44610" s="1">
        <v>2.3555427362753501E-3</v>
      </c>
    </row>
    <row r="44611" spans="1:6" x14ac:dyDescent="0.25">
      <c r="A44611" s="2" t="str">
        <f t="shared" si="1400"/>
        <v>27100</v>
      </c>
      <c r="B44611" s="2" t="str">
        <f>"49224"</f>
        <v>49224</v>
      </c>
      <c r="C44611" s="1">
        <v>1.14927203882459E-2</v>
      </c>
      <c r="D44611" s="1">
        <v>5.3918044572250096E-3</v>
      </c>
      <c r="E44611" s="1">
        <v>2.6515151515151499E-3</v>
      </c>
      <c r="F44611" s="1">
        <v>1.0804249591385401E-2</v>
      </c>
    </row>
    <row r="44612" spans="1:6" x14ac:dyDescent="0.25">
      <c r="A44612" s="2" t="str">
        <f t="shared" si="1400"/>
        <v>27100</v>
      </c>
      <c r="B44612" s="2" t="str">
        <f>"48827"</f>
        <v>48827</v>
      </c>
      <c r="C44612" s="1">
        <v>4.2664391232467603E-4</v>
      </c>
      <c r="D44612" s="1">
        <v>1.7972681524083299E-4</v>
      </c>
      <c r="E44612" s="1">
        <v>0</v>
      </c>
      <c r="F44612" s="1">
        <v>3.9659648110758501E-4</v>
      </c>
    </row>
    <row r="44613" spans="1:6" x14ac:dyDescent="0.25">
      <c r="A44613" s="2" t="str">
        <f t="shared" si="1400"/>
        <v>27100</v>
      </c>
      <c r="B44613" s="2" t="str">
        <f>"49263"</f>
        <v>49263</v>
      </c>
      <c r="C44613" s="1">
        <v>4.53309156844968E-4</v>
      </c>
      <c r="D44613" s="1">
        <v>0</v>
      </c>
      <c r="E44613" s="1">
        <v>7.5757575757575703E-4</v>
      </c>
      <c r="F44613" s="1">
        <v>4.3265070666281998E-4</v>
      </c>
    </row>
    <row r="44614" spans="1:6" x14ac:dyDescent="0.25">
      <c r="A44614" s="2" t="str">
        <f t="shared" si="1400"/>
        <v>27100</v>
      </c>
      <c r="B44614" s="2" t="str">
        <f>"49269"</f>
        <v>49269</v>
      </c>
      <c r="C44614" s="1">
        <v>3.4051517252413198E-2</v>
      </c>
      <c r="D44614" s="1">
        <v>8.0877066858375205E-3</v>
      </c>
      <c r="E44614" s="1">
        <v>7.1969696969696904E-3</v>
      </c>
      <c r="F44614" s="1">
        <v>3.1463320834535097E-2</v>
      </c>
    </row>
    <row r="44615" spans="1:6" x14ac:dyDescent="0.25">
      <c r="A44615" s="2" t="str">
        <f t="shared" si="1400"/>
        <v>27100</v>
      </c>
      <c r="B44615" s="2" t="str">
        <f>"49254"</f>
        <v>49254</v>
      </c>
      <c r="C44615" s="1">
        <v>2.0718894992266999E-2</v>
      </c>
      <c r="D44615" s="1">
        <v>3.2171099928109202E-2</v>
      </c>
      <c r="E44615" s="1">
        <v>2.1590909090909001E-2</v>
      </c>
      <c r="F44615" s="1">
        <v>2.1512354581290201E-2</v>
      </c>
    </row>
    <row r="44616" spans="1:6" x14ac:dyDescent="0.25">
      <c r="A44616" s="2" t="str">
        <f t="shared" si="1400"/>
        <v>27100</v>
      </c>
      <c r="B44616" s="2" t="str">
        <f>"49252"</f>
        <v>49252</v>
      </c>
      <c r="C44616" s="1">
        <v>5.0663964588555199E-4</v>
      </c>
      <c r="D44616" s="1">
        <v>0</v>
      </c>
      <c r="E44616" s="1">
        <v>7.5757575757575703E-4</v>
      </c>
      <c r="F44616" s="1">
        <v>4.80723007403134E-4</v>
      </c>
    </row>
    <row r="44617" spans="1:6" x14ac:dyDescent="0.25">
      <c r="A44617" s="2" t="str">
        <f t="shared" si="1400"/>
        <v>27100</v>
      </c>
      <c r="B44617" s="2" t="str">
        <f>"49264"</f>
        <v>49264</v>
      </c>
      <c r="C44617" s="1">
        <v>2.7865180523705402E-3</v>
      </c>
      <c r="D44617" s="1">
        <v>0</v>
      </c>
      <c r="E44617" s="1">
        <v>0</v>
      </c>
      <c r="F44617" s="1">
        <v>2.5117777136813698E-3</v>
      </c>
    </row>
    <row r="44618" spans="1:6" x14ac:dyDescent="0.25">
      <c r="A44618" s="2" t="str">
        <f t="shared" si="1400"/>
        <v>27100</v>
      </c>
      <c r="B44618" s="2" t="str">
        <f>"49202"</f>
        <v>49202</v>
      </c>
      <c r="C44618" s="1">
        <v>0.12865980481041001</v>
      </c>
      <c r="D44618" s="1">
        <v>0.233644859813084</v>
      </c>
      <c r="E44618" s="1">
        <v>0.21060606060605999</v>
      </c>
      <c r="F44618" s="1">
        <v>0.13827997307951101</v>
      </c>
    </row>
    <row r="44619" spans="1:6" x14ac:dyDescent="0.25">
      <c r="A44619" s="2" t="str">
        <f t="shared" si="1400"/>
        <v>27100</v>
      </c>
      <c r="B44619" s="2" t="str">
        <f>"48118"</f>
        <v>48118</v>
      </c>
      <c r="C44619" s="1">
        <v>2.26654578422484E-4</v>
      </c>
      <c r="D44619" s="1">
        <v>1.7972681524083299E-4</v>
      </c>
      <c r="E44619" s="1">
        <v>0</v>
      </c>
      <c r="F44619" s="1">
        <v>2.1632535333140999E-4</v>
      </c>
    </row>
    <row r="44620" spans="1:6" x14ac:dyDescent="0.25">
      <c r="A44620" s="2" t="str">
        <f t="shared" si="1400"/>
        <v>27100</v>
      </c>
      <c r="B44620" s="2" t="str">
        <f>"49283"</f>
        <v>49283</v>
      </c>
      <c r="C44620" s="1">
        <v>2.41187136686043E-2</v>
      </c>
      <c r="D44620" s="1">
        <v>2.35442127965492E-2</v>
      </c>
      <c r="E44620" s="1">
        <v>2.27272727272727E-2</v>
      </c>
      <c r="F44620" s="1">
        <v>2.40361503701567E-2</v>
      </c>
    </row>
    <row r="44621" spans="1:6" x14ac:dyDescent="0.25">
      <c r="A44621" s="2" t="str">
        <f t="shared" si="1400"/>
        <v>27100</v>
      </c>
      <c r="B44621" s="2" t="str">
        <f>"49204"</f>
        <v>49204</v>
      </c>
      <c r="C44621" s="1">
        <v>2.1518852327875801E-2</v>
      </c>
      <c r="D44621" s="1">
        <v>0.10226455787203401</v>
      </c>
      <c r="E44621" s="1">
        <v>7.5757575757575703E-4</v>
      </c>
      <c r="F44621" s="1">
        <v>2.6259494279396198E-2</v>
      </c>
    </row>
    <row r="44622" spans="1:6" x14ac:dyDescent="0.25">
      <c r="A44622" s="2" t="str">
        <f t="shared" ref="A44622:A44635" si="1401">"17740"</f>
        <v>17740</v>
      </c>
      <c r="B44622" s="2" t="str">
        <f>"49255"</f>
        <v>49255</v>
      </c>
      <c r="C44622" s="1">
        <v>1.6241712276954499E-2</v>
      </c>
      <c r="D44622" s="1">
        <v>0</v>
      </c>
      <c r="E44622" s="1">
        <v>7.2595281306715E-3</v>
      </c>
      <c r="F44622" s="1">
        <v>1.4982946240051901E-2</v>
      </c>
    </row>
    <row r="44623" spans="1:6" x14ac:dyDescent="0.25">
      <c r="A44623" s="2" t="str">
        <f t="shared" si="1401"/>
        <v>17740</v>
      </c>
      <c r="B44623" s="2" t="str">
        <f>"49028"</f>
        <v>49028</v>
      </c>
      <c r="C44623" s="1">
        <v>0.130289680950473</v>
      </c>
      <c r="D44623" s="1">
        <v>8.7281795511221894E-2</v>
      </c>
      <c r="E44623" s="1">
        <v>9.6188747731397406E-2</v>
      </c>
      <c r="F44623" s="1">
        <v>0.12672567808997801</v>
      </c>
    </row>
    <row r="44624" spans="1:6" x14ac:dyDescent="0.25">
      <c r="A44624" s="2" t="str">
        <f t="shared" si="1401"/>
        <v>17740</v>
      </c>
      <c r="B44624" s="2" t="str">
        <f>"49227"</f>
        <v>49227</v>
      </c>
      <c r="C44624" s="1">
        <v>5.3397410225604E-4</v>
      </c>
      <c r="D44624" s="1">
        <v>0</v>
      </c>
      <c r="E44624" s="1">
        <v>0</v>
      </c>
      <c r="F44624" s="1">
        <v>4.8725028422933202E-4</v>
      </c>
    </row>
    <row r="44625" spans="1:6" x14ac:dyDescent="0.25">
      <c r="A44625" s="2" t="str">
        <f t="shared" si="1401"/>
        <v>17740</v>
      </c>
      <c r="B44625" s="2" t="str">
        <f>"49030"</f>
        <v>49030</v>
      </c>
      <c r="C44625" s="1">
        <v>3.20384461353624E-3</v>
      </c>
      <c r="D44625" s="1">
        <v>6.2344139650872795E-4</v>
      </c>
      <c r="E44625" s="1">
        <v>1.81488203266787E-3</v>
      </c>
      <c r="F44625" s="1">
        <v>3.0047100860808801E-3</v>
      </c>
    </row>
    <row r="44626" spans="1:6" x14ac:dyDescent="0.25">
      <c r="A44626" s="2" t="str">
        <f t="shared" si="1401"/>
        <v>17740</v>
      </c>
      <c r="B44626" s="2" t="str">
        <f>"49094"</f>
        <v>49094</v>
      </c>
      <c r="C44626" s="1">
        <v>7.5512837627374998E-2</v>
      </c>
      <c r="D44626" s="1">
        <v>5.7356608478802897E-2</v>
      </c>
      <c r="E44626" s="1">
        <v>5.8076225045372E-2</v>
      </c>
      <c r="F44626" s="1">
        <v>7.3940230631801204E-2</v>
      </c>
    </row>
    <row r="44627" spans="1:6" x14ac:dyDescent="0.25">
      <c r="A44627" s="2" t="str">
        <f t="shared" si="1401"/>
        <v>17740</v>
      </c>
      <c r="B44627" s="2" t="str">
        <f>"49011"</f>
        <v>49011</v>
      </c>
      <c r="C44627" s="1">
        <v>1.73541583233213E-3</v>
      </c>
      <c r="D44627" s="1">
        <v>3.1172069825436402E-3</v>
      </c>
      <c r="E44627" s="1">
        <v>0</v>
      </c>
      <c r="F44627" s="1">
        <v>1.7865843755075501E-3</v>
      </c>
    </row>
    <row r="44628" spans="1:6" x14ac:dyDescent="0.25">
      <c r="A44628" s="2" t="str">
        <f t="shared" si="1401"/>
        <v>17740</v>
      </c>
      <c r="B44628" s="2" t="str">
        <f>"49092"</f>
        <v>49092</v>
      </c>
      <c r="C44628" s="1">
        <v>1.03234993102834E-2</v>
      </c>
      <c r="D44628" s="1">
        <v>1.8703241895261799E-3</v>
      </c>
      <c r="E44628" s="1">
        <v>0</v>
      </c>
      <c r="F44628" s="1">
        <v>9.5419847328244208E-3</v>
      </c>
    </row>
    <row r="44629" spans="1:6" x14ac:dyDescent="0.25">
      <c r="A44629" s="2" t="str">
        <f t="shared" si="1401"/>
        <v>17740</v>
      </c>
      <c r="B44629" s="2" t="str">
        <f>"49274"</f>
        <v>49274</v>
      </c>
      <c r="C44629" s="1">
        <v>5.9627108085257797E-3</v>
      </c>
      <c r="D44629" s="1">
        <v>1.24688279301745E-3</v>
      </c>
      <c r="E44629" s="1">
        <v>0</v>
      </c>
      <c r="F44629" s="1">
        <v>5.5221698879324302E-3</v>
      </c>
    </row>
    <row r="44630" spans="1:6" x14ac:dyDescent="0.25">
      <c r="A44630" s="2" t="str">
        <f t="shared" si="1401"/>
        <v>17740</v>
      </c>
      <c r="B44630" s="2" t="str">
        <f>"49245"</f>
        <v>49245</v>
      </c>
      <c r="C44630" s="1">
        <v>2.2248920927335001E-3</v>
      </c>
      <c r="D44630" s="1">
        <v>2.4937655860349101E-3</v>
      </c>
      <c r="E44630" s="1">
        <v>0</v>
      </c>
      <c r="F44630" s="1">
        <v>2.1926262790319898E-3</v>
      </c>
    </row>
    <row r="44631" spans="1:6" x14ac:dyDescent="0.25">
      <c r="A44631" s="2" t="str">
        <f t="shared" si="1401"/>
        <v>17740</v>
      </c>
      <c r="B44631" s="2" t="str">
        <f>"49082"</f>
        <v>49082</v>
      </c>
      <c r="C44631" s="1">
        <v>0.132781560094335</v>
      </c>
      <c r="D44631" s="1">
        <v>9.9127182044887699E-2</v>
      </c>
      <c r="E44631" s="1">
        <v>0.125226860254083</v>
      </c>
      <c r="F44631" s="1">
        <v>0.130420659412051</v>
      </c>
    </row>
    <row r="44632" spans="1:6" x14ac:dyDescent="0.25">
      <c r="A44632" s="2" t="str">
        <f t="shared" si="1401"/>
        <v>17740</v>
      </c>
      <c r="B44632" s="2" t="str">
        <f>"49089"</f>
        <v>49089</v>
      </c>
      <c r="C44632" s="1">
        <v>3.9514083566947002E-2</v>
      </c>
      <c r="D44632" s="1">
        <v>9.3516209476309196E-3</v>
      </c>
      <c r="E44632" s="1">
        <v>1.27041742286751E-2</v>
      </c>
      <c r="F44632" s="1">
        <v>3.6949813220724298E-2</v>
      </c>
    </row>
    <row r="44633" spans="1:6" x14ac:dyDescent="0.25">
      <c r="A44633" s="2" t="str">
        <f t="shared" si="1401"/>
        <v>17740</v>
      </c>
      <c r="B44633" s="2" t="str">
        <f>"49252"</f>
        <v>49252</v>
      </c>
      <c r="C44633" s="1">
        <v>2.1803942508788299E-3</v>
      </c>
      <c r="D44633" s="1">
        <v>0</v>
      </c>
      <c r="E44633" s="1">
        <v>0</v>
      </c>
      <c r="F44633" s="1">
        <v>1.9896053272697701E-3</v>
      </c>
    </row>
    <row r="44634" spans="1:6" x14ac:dyDescent="0.25">
      <c r="A44634" s="2" t="str">
        <f t="shared" si="1401"/>
        <v>17740</v>
      </c>
      <c r="B44634" s="2" t="str">
        <f>"49040"</f>
        <v>49040</v>
      </c>
      <c r="C44634" s="1">
        <v>7.20865038045654E-3</v>
      </c>
      <c r="D44634" s="1">
        <v>6.2344139650872795E-4</v>
      </c>
      <c r="E44634" s="1">
        <v>0</v>
      </c>
      <c r="F44634" s="1">
        <v>6.6184830274484303E-3</v>
      </c>
    </row>
    <row r="44635" spans="1:6" x14ac:dyDescent="0.25">
      <c r="A44635" s="2" t="str">
        <f t="shared" si="1401"/>
        <v>17740</v>
      </c>
      <c r="B44635" s="2" t="str">
        <f>"49036"</f>
        <v>49036</v>
      </c>
      <c r="C44635" s="1">
        <v>0.57228674409291103</v>
      </c>
      <c r="D44635" s="1">
        <v>0.73690773067331605</v>
      </c>
      <c r="E44635" s="1">
        <v>0.69872958257713202</v>
      </c>
      <c r="F44635" s="1">
        <v>0.58583725840506695</v>
      </c>
    </row>
    <row r="44636" spans="1:6" x14ac:dyDescent="0.25">
      <c r="A44636" s="2" t="str">
        <f t="shared" ref="A44636:A44653" si="1402">"42300"</f>
        <v>42300</v>
      </c>
      <c r="B44636" s="2" t="str">
        <f>"49715"</f>
        <v>49715</v>
      </c>
      <c r="C44636" s="1">
        <v>8.5510445003336197E-2</v>
      </c>
      <c r="D44636" s="1">
        <v>3.9806996381182097E-2</v>
      </c>
      <c r="E44636" s="1">
        <v>2.07612456747404E-2</v>
      </c>
      <c r="F44636" s="1">
        <v>8.0298356277913305E-2</v>
      </c>
    </row>
    <row r="44637" spans="1:6" x14ac:dyDescent="0.25">
      <c r="A44637" s="2" t="str">
        <f t="shared" si="1402"/>
        <v>42300</v>
      </c>
      <c r="B44637" s="2" t="str">
        <f>"49793"</f>
        <v>49793</v>
      </c>
      <c r="C44637" s="1">
        <v>7.8016732536057001E-3</v>
      </c>
      <c r="D44637" s="1">
        <v>1.8094089264173701E-3</v>
      </c>
      <c r="E44637" s="1">
        <v>0</v>
      </c>
      <c r="F44637" s="1">
        <v>7.1366084994704997E-3</v>
      </c>
    </row>
    <row r="44638" spans="1:6" x14ac:dyDescent="0.25">
      <c r="A44638" s="2" t="str">
        <f t="shared" si="1402"/>
        <v>42300</v>
      </c>
      <c r="B44638" s="2" t="str">
        <f>"49780"</f>
        <v>49780</v>
      </c>
      <c r="C44638" s="1">
        <v>4.5013601601396003E-2</v>
      </c>
      <c r="D44638" s="1">
        <v>1.74909529553679E-2</v>
      </c>
      <c r="E44638" s="1">
        <v>0</v>
      </c>
      <c r="F44638" s="1">
        <v>4.1714627745292103E-2</v>
      </c>
    </row>
    <row r="44639" spans="1:6" x14ac:dyDescent="0.25">
      <c r="A44639" s="2" t="str">
        <f t="shared" si="1402"/>
        <v>42300</v>
      </c>
      <c r="B44639" s="2" t="str">
        <f>"49774"</f>
        <v>49774</v>
      </c>
      <c r="C44639" s="1">
        <v>4.0548170199661199E-2</v>
      </c>
      <c r="D44639" s="1">
        <v>2.4728588661037301E-2</v>
      </c>
      <c r="E44639" s="1">
        <v>0</v>
      </c>
      <c r="F44639" s="1">
        <v>3.8261430084258002E-2</v>
      </c>
    </row>
    <row r="44640" spans="1:6" x14ac:dyDescent="0.25">
      <c r="A44640" s="2" t="str">
        <f t="shared" si="1402"/>
        <v>42300</v>
      </c>
      <c r="B44640" s="2" t="str">
        <f>"49719"</f>
        <v>49719</v>
      </c>
      <c r="C44640" s="1">
        <v>2.0530719088436E-4</v>
      </c>
      <c r="D44640" s="1">
        <v>0</v>
      </c>
      <c r="E44640" s="1">
        <v>0</v>
      </c>
      <c r="F44640" s="1">
        <v>1.8417054192181899E-4</v>
      </c>
    </row>
    <row r="44641" spans="1:6" x14ac:dyDescent="0.25">
      <c r="A44641" s="2" t="str">
        <f t="shared" si="1402"/>
        <v>42300</v>
      </c>
      <c r="B44641" s="2" t="str">
        <f>"49752"</f>
        <v>49752</v>
      </c>
      <c r="C44641" s="1">
        <v>1.4012215777857599E-2</v>
      </c>
      <c r="D44641" s="1">
        <v>9.0470446320868505E-3</v>
      </c>
      <c r="E44641" s="1">
        <v>1.21107266435986E-2</v>
      </c>
      <c r="F44641" s="1">
        <v>1.3582577466734099E-2</v>
      </c>
    </row>
    <row r="44642" spans="1:6" x14ac:dyDescent="0.25">
      <c r="A44642" s="2" t="str">
        <f t="shared" si="1402"/>
        <v>42300</v>
      </c>
      <c r="B44642" s="2" t="str">
        <f>"49726"</f>
        <v>49726</v>
      </c>
      <c r="C44642" s="1">
        <v>4.5064928399117098E-2</v>
      </c>
      <c r="D44642" s="1">
        <v>1.8697225572979401E-2</v>
      </c>
      <c r="E44642" s="1">
        <v>2.24913494809688E-2</v>
      </c>
      <c r="F44642" s="1">
        <v>4.24513099129794E-2</v>
      </c>
    </row>
    <row r="44643" spans="1:6" x14ac:dyDescent="0.25">
      <c r="A44643" s="2" t="str">
        <f t="shared" si="1402"/>
        <v>42300</v>
      </c>
      <c r="B44643" s="2" t="str">
        <f>"49725"</f>
        <v>49725</v>
      </c>
      <c r="C44643" s="1">
        <v>2.82810655443206E-2</v>
      </c>
      <c r="D44643" s="1">
        <v>2.41254523522316E-2</v>
      </c>
      <c r="E44643" s="1">
        <v>0</v>
      </c>
      <c r="F44643" s="1">
        <v>2.7211197568948801E-2</v>
      </c>
    </row>
    <row r="44644" spans="1:6" x14ac:dyDescent="0.25">
      <c r="A44644" s="2" t="str">
        <f t="shared" si="1402"/>
        <v>42300</v>
      </c>
      <c r="B44644" s="2" t="str">
        <f>"49710"</f>
        <v>49710</v>
      </c>
      <c r="C44644" s="1">
        <v>2.0274085099830599E-2</v>
      </c>
      <c r="D44644" s="1">
        <v>4.2219541616405299E-3</v>
      </c>
      <c r="E44644" s="1">
        <v>0</v>
      </c>
      <c r="F44644" s="1">
        <v>1.8509139463142799E-2</v>
      </c>
    </row>
    <row r="44645" spans="1:6" x14ac:dyDescent="0.25">
      <c r="A44645" s="2" t="str">
        <f t="shared" si="1402"/>
        <v>42300</v>
      </c>
      <c r="B44645" s="2" t="str">
        <f>"49748"</f>
        <v>49748</v>
      </c>
      <c r="C44645" s="1">
        <v>4.5167581994559301E-3</v>
      </c>
      <c r="D44645" s="1">
        <v>6.0313630880579E-3</v>
      </c>
      <c r="E44645" s="1">
        <v>0</v>
      </c>
      <c r="F44645" s="1">
        <v>4.5121782770845796E-3</v>
      </c>
    </row>
    <row r="44646" spans="1:6" x14ac:dyDescent="0.25">
      <c r="A44646" s="2" t="str">
        <f t="shared" si="1402"/>
        <v>42300</v>
      </c>
      <c r="B44646" s="2" t="str">
        <f>"49760"</f>
        <v>49760</v>
      </c>
      <c r="C44646" s="1">
        <v>1.6937843247959699E-3</v>
      </c>
      <c r="D44646" s="1">
        <v>0</v>
      </c>
      <c r="E44646" s="1">
        <v>0</v>
      </c>
      <c r="F44646" s="1">
        <v>1.5194069708550099E-3</v>
      </c>
    </row>
    <row r="44647" spans="1:6" x14ac:dyDescent="0.25">
      <c r="A44647" s="2" t="str">
        <f t="shared" si="1402"/>
        <v>42300</v>
      </c>
      <c r="B44647" s="2" t="str">
        <f>"49736"</f>
        <v>49736</v>
      </c>
      <c r="C44647" s="1">
        <v>2.1762562233742198E-2</v>
      </c>
      <c r="D44647" s="1">
        <v>3.6188178528347402E-3</v>
      </c>
      <c r="E44647" s="1">
        <v>0</v>
      </c>
      <c r="F44647" s="1">
        <v>1.97983332565956E-2</v>
      </c>
    </row>
    <row r="44648" spans="1:6" x14ac:dyDescent="0.25">
      <c r="A44648" s="2" t="str">
        <f t="shared" si="1402"/>
        <v>42300</v>
      </c>
      <c r="B44648" s="2" t="str">
        <f>"49724"</f>
        <v>49724</v>
      </c>
      <c r="C44648" s="1">
        <v>2.9358928296463499E-2</v>
      </c>
      <c r="D44648" s="1">
        <v>9.6501809408926394E-3</v>
      </c>
      <c r="E44648" s="1">
        <v>3.4602076124567401E-3</v>
      </c>
      <c r="F44648" s="1">
        <v>2.71651549334683E-2</v>
      </c>
    </row>
    <row r="44649" spans="1:6" x14ac:dyDescent="0.25">
      <c r="A44649" s="2" t="str">
        <f t="shared" si="1402"/>
        <v>42300</v>
      </c>
      <c r="B44649" s="2" t="str">
        <f>"49868"</f>
        <v>49868</v>
      </c>
      <c r="C44649" s="1">
        <v>1.5398039316326999E-4</v>
      </c>
      <c r="D44649" s="1">
        <v>0</v>
      </c>
      <c r="E44649" s="1">
        <v>0</v>
      </c>
      <c r="F44649" s="1">
        <v>1.3812790644136401E-4</v>
      </c>
    </row>
    <row r="44650" spans="1:6" x14ac:dyDescent="0.25">
      <c r="A44650" s="2" t="str">
        <f t="shared" si="1402"/>
        <v>42300</v>
      </c>
      <c r="B44650" s="2" t="str">
        <f>"49788"</f>
        <v>49788</v>
      </c>
      <c r="C44650" s="1">
        <v>5.3739157213981398E-2</v>
      </c>
      <c r="D44650" s="1">
        <v>6.6948130277442702E-2</v>
      </c>
      <c r="E44650" s="1">
        <v>4.1522491349480897E-2</v>
      </c>
      <c r="F44650" s="1">
        <v>5.4422395137897601E-2</v>
      </c>
    </row>
    <row r="44651" spans="1:6" x14ac:dyDescent="0.25">
      <c r="A44651" s="2" t="str">
        <f t="shared" si="1402"/>
        <v>42300</v>
      </c>
      <c r="B44651" s="2" t="str">
        <f>"49728"</f>
        <v>49728</v>
      </c>
      <c r="C44651" s="1">
        <v>2.0992660267925799E-2</v>
      </c>
      <c r="D44651" s="1">
        <v>1.08564535585042E-2</v>
      </c>
      <c r="E44651" s="1">
        <v>0</v>
      </c>
      <c r="F44651" s="1">
        <v>1.9660205350154201E-2</v>
      </c>
    </row>
    <row r="44652" spans="1:6" x14ac:dyDescent="0.25">
      <c r="A44652" s="2" t="str">
        <f t="shared" si="1402"/>
        <v>42300</v>
      </c>
      <c r="B44652" s="2" t="str">
        <f>"49768"</f>
        <v>49768</v>
      </c>
      <c r="C44652" s="1">
        <v>1.77590720114972E-2</v>
      </c>
      <c r="D44652" s="1">
        <v>1.56815440289505E-2</v>
      </c>
      <c r="E44652" s="1">
        <v>3.4602076124567401E-3</v>
      </c>
      <c r="F44652" s="1">
        <v>1.7219945669690099E-2</v>
      </c>
    </row>
    <row r="44653" spans="1:6" x14ac:dyDescent="0.25">
      <c r="A44653" s="2" t="str">
        <f t="shared" si="1402"/>
        <v>42300</v>
      </c>
      <c r="B44653" s="2" t="str">
        <f>"49783"</f>
        <v>49783</v>
      </c>
      <c r="C44653" s="1">
        <v>0.56331160498896404</v>
      </c>
      <c r="D44653" s="1">
        <v>0.74728588661037298</v>
      </c>
      <c r="E44653" s="1">
        <v>0.89619377162629699</v>
      </c>
      <c r="F44653" s="1">
        <v>0.58621483493715099</v>
      </c>
    </row>
    <row r="44654" spans="1:6" x14ac:dyDescent="0.25">
      <c r="A44654" s="2" t="str">
        <f t="shared" ref="A44654:A44671" si="1403">"27020"</f>
        <v>27020</v>
      </c>
      <c r="B44654" s="2" t="str">
        <f>"54103"</f>
        <v>54103</v>
      </c>
      <c r="C44654" s="1">
        <v>3.1389289974260699E-4</v>
      </c>
      <c r="D44654" s="1">
        <v>0</v>
      </c>
      <c r="E44654" s="1">
        <v>0</v>
      </c>
      <c r="F44654" s="1">
        <v>2.8138893578704397E-4</v>
      </c>
    </row>
    <row r="44655" spans="1:6" x14ac:dyDescent="0.25">
      <c r="A44655" s="2" t="str">
        <f t="shared" si="1403"/>
        <v>27020</v>
      </c>
      <c r="B44655" s="2" t="str">
        <f>"49831"</f>
        <v>49831</v>
      </c>
      <c r="C44655" s="1">
        <v>2.3416410320798501E-2</v>
      </c>
      <c r="D44655" s="1">
        <v>1.4204545454545401E-3</v>
      </c>
      <c r="E44655" s="1">
        <v>2.3148148148148099E-3</v>
      </c>
      <c r="F44655" s="1">
        <v>2.11604479711857E-2</v>
      </c>
    </row>
    <row r="44656" spans="1:6" x14ac:dyDescent="0.25">
      <c r="A44656" s="2" t="str">
        <f t="shared" si="1403"/>
        <v>27020</v>
      </c>
      <c r="B44656" s="2" t="str">
        <f>"49815"</f>
        <v>49815</v>
      </c>
      <c r="C44656" s="1">
        <v>1.5757423567078901E-2</v>
      </c>
      <c r="D44656" s="1">
        <v>2.8409090909090901E-3</v>
      </c>
      <c r="E44656" s="1">
        <v>9.2592592592592501E-3</v>
      </c>
      <c r="F44656" s="1">
        <v>1.45759468737689E-2</v>
      </c>
    </row>
    <row r="44657" spans="1:6" x14ac:dyDescent="0.25">
      <c r="A44657" s="2" t="str">
        <f t="shared" si="1403"/>
        <v>27020</v>
      </c>
      <c r="B44657" s="2" t="str">
        <f>"49802"</f>
        <v>49802</v>
      </c>
      <c r="C44657" s="1">
        <v>0.20315148471341499</v>
      </c>
      <c r="D44657" s="1">
        <v>0.18465909090909</v>
      </c>
      <c r="E44657" s="1">
        <v>0.22222222222222199</v>
      </c>
      <c r="F44657" s="1">
        <v>0.20214981146941299</v>
      </c>
    </row>
    <row r="44658" spans="1:6" x14ac:dyDescent="0.25">
      <c r="A44658" s="2" t="str">
        <f t="shared" si="1403"/>
        <v>27020</v>
      </c>
      <c r="B44658" s="2" t="str">
        <f>"49892"</f>
        <v>49892</v>
      </c>
      <c r="C44658" s="1">
        <v>6.0267436750580702E-2</v>
      </c>
      <c r="D44658" s="1">
        <v>7.8125E-3</v>
      </c>
      <c r="E44658" s="1">
        <v>9.2592592592592501E-3</v>
      </c>
      <c r="F44658" s="1">
        <v>5.4870842478473701E-2</v>
      </c>
    </row>
    <row r="44659" spans="1:6" x14ac:dyDescent="0.25">
      <c r="A44659" s="2" t="str">
        <f t="shared" si="1403"/>
        <v>27020</v>
      </c>
      <c r="B44659" s="2" t="str">
        <f>"49881"</f>
        <v>49881</v>
      </c>
      <c r="C44659" s="1">
        <v>1.23046016699102E-2</v>
      </c>
      <c r="D44659" s="1">
        <v>4.9715909090909003E-3</v>
      </c>
      <c r="E44659" s="1">
        <v>2.3148148148148099E-3</v>
      </c>
      <c r="F44659" s="1">
        <v>1.1480668580111399E-2</v>
      </c>
    </row>
    <row r="44660" spans="1:6" x14ac:dyDescent="0.25">
      <c r="A44660" s="2" t="str">
        <f t="shared" si="1403"/>
        <v>27020</v>
      </c>
      <c r="B44660" s="2" t="str">
        <f>"49870"</f>
        <v>49870</v>
      </c>
      <c r="C44660" s="1">
        <v>0.107100257392177</v>
      </c>
      <c r="D44660" s="1">
        <v>0.10653409090909</v>
      </c>
      <c r="E44660" s="1">
        <v>0.11111111111111099</v>
      </c>
      <c r="F44660" s="1">
        <v>0.107152906747706</v>
      </c>
    </row>
    <row r="44661" spans="1:6" x14ac:dyDescent="0.25">
      <c r="A44661" s="2" t="str">
        <f t="shared" si="1403"/>
        <v>27020</v>
      </c>
      <c r="B44661" s="2" t="str">
        <f>"49852"</f>
        <v>49852</v>
      </c>
      <c r="C44661" s="1">
        <v>4.1433862766024204E-3</v>
      </c>
      <c r="D44661" s="1">
        <v>1.4204545454545401E-3</v>
      </c>
      <c r="E44661" s="1">
        <v>4.6296296296296198E-3</v>
      </c>
      <c r="F44661" s="1">
        <v>3.9394451010186203E-3</v>
      </c>
    </row>
    <row r="44662" spans="1:6" x14ac:dyDescent="0.25">
      <c r="A44662" s="2" t="str">
        <f t="shared" si="1403"/>
        <v>27020</v>
      </c>
      <c r="B44662" s="2" t="str">
        <f>"54151"</f>
        <v>54151</v>
      </c>
      <c r="C44662" s="1">
        <v>3.2644861573231203E-2</v>
      </c>
      <c r="D44662" s="1">
        <v>2.0596590909090901E-2</v>
      </c>
      <c r="E44662" s="1">
        <v>4.6296296296296198E-3</v>
      </c>
      <c r="F44662" s="1">
        <v>3.1009060723732301E-2</v>
      </c>
    </row>
    <row r="44663" spans="1:6" x14ac:dyDescent="0.25">
      <c r="A44663" s="2" t="str">
        <f t="shared" si="1403"/>
        <v>27020</v>
      </c>
      <c r="B44663" s="2" t="str">
        <f>"49877"</f>
        <v>49877</v>
      </c>
      <c r="C44663" s="1">
        <v>0</v>
      </c>
      <c r="D44663" s="1">
        <v>0</v>
      </c>
      <c r="E44663" s="1">
        <v>4.6296296296296198E-3</v>
      </c>
      <c r="F44663" s="1">
        <v>1.12555574314817E-4</v>
      </c>
    </row>
    <row r="44664" spans="1:6" x14ac:dyDescent="0.25">
      <c r="A44664" s="2" t="str">
        <f t="shared" si="1403"/>
        <v>27020</v>
      </c>
      <c r="B44664" s="2" t="str">
        <f>"49876"</f>
        <v>49876</v>
      </c>
      <c r="C44664" s="1">
        <v>2.61158892585849E-2</v>
      </c>
      <c r="D44664" s="1">
        <v>7.8125E-3</v>
      </c>
      <c r="E44664" s="1">
        <v>2.3148148148148099E-3</v>
      </c>
      <c r="F44664" s="1">
        <v>2.4086892903371002E-2</v>
      </c>
    </row>
    <row r="44665" spans="1:6" x14ac:dyDescent="0.25">
      <c r="A44665" s="2" t="str">
        <f t="shared" si="1403"/>
        <v>27020</v>
      </c>
      <c r="B44665" s="2" t="str">
        <f>"49834"</f>
        <v>49834</v>
      </c>
      <c r="C44665" s="1">
        <v>1.7201330905894902E-2</v>
      </c>
      <c r="D44665" s="1">
        <v>2.8409090909090901E-3</v>
      </c>
      <c r="E44665" s="1">
        <v>1.6203703703703699E-2</v>
      </c>
      <c r="F44665" s="1">
        <v>1.6039169339861499E-2</v>
      </c>
    </row>
    <row r="44666" spans="1:6" x14ac:dyDescent="0.25">
      <c r="A44666" s="2" t="str">
        <f t="shared" si="1403"/>
        <v>27020</v>
      </c>
      <c r="B44666" s="2" t="str">
        <f>"49801"</f>
        <v>49801</v>
      </c>
      <c r="C44666" s="1">
        <v>0.36311130642224798</v>
      </c>
      <c r="D44666" s="1">
        <v>0.59232954545454497</v>
      </c>
      <c r="E44666" s="1">
        <v>0.54398148148148096</v>
      </c>
      <c r="F44666" s="1">
        <v>0.38567167538972302</v>
      </c>
    </row>
    <row r="44667" spans="1:6" x14ac:dyDescent="0.25">
      <c r="A44667" s="2" t="str">
        <f t="shared" si="1403"/>
        <v>27020</v>
      </c>
      <c r="B44667" s="2" t="str">
        <f>"54120"</f>
        <v>54120</v>
      </c>
      <c r="C44667" s="1">
        <v>5.3989578755728497E-3</v>
      </c>
      <c r="D44667" s="1">
        <v>0</v>
      </c>
      <c r="E44667" s="1">
        <v>2.3148148148148099E-3</v>
      </c>
      <c r="F44667" s="1">
        <v>4.8961674826945804E-3</v>
      </c>
    </row>
    <row r="44668" spans="1:6" x14ac:dyDescent="0.25">
      <c r="A44668" s="2" t="str">
        <f t="shared" si="1403"/>
        <v>27020</v>
      </c>
      <c r="B44668" s="2" t="str">
        <f>"54542"</f>
        <v>54542</v>
      </c>
      <c r="C44668" s="1">
        <v>1.08606943310942E-2</v>
      </c>
      <c r="D44668" s="1">
        <v>4.9715909090909003E-3</v>
      </c>
      <c r="E44668" s="1">
        <v>2.3148148148148099E-3</v>
      </c>
      <c r="F44668" s="1">
        <v>1.0186279475491E-2</v>
      </c>
    </row>
    <row r="44669" spans="1:6" x14ac:dyDescent="0.25">
      <c r="A44669" s="2" t="str">
        <f t="shared" si="1403"/>
        <v>27020</v>
      </c>
      <c r="B44669" s="2" t="str">
        <f>"49873"</f>
        <v>49873</v>
      </c>
      <c r="C44669" s="1">
        <v>4.3945005963965002E-4</v>
      </c>
      <c r="D44669" s="1">
        <v>0</v>
      </c>
      <c r="E44669" s="1">
        <v>2.3148148148148099E-3</v>
      </c>
      <c r="F44669" s="1">
        <v>4.5022229725927098E-4</v>
      </c>
    </row>
    <row r="44670" spans="1:6" x14ac:dyDescent="0.25">
      <c r="A44670" s="2" t="str">
        <f t="shared" si="1403"/>
        <v>27020</v>
      </c>
      <c r="B44670" s="2" t="str">
        <f>"49920"</f>
        <v>49920</v>
      </c>
      <c r="C44670" s="1">
        <v>3.1389289974260699E-4</v>
      </c>
      <c r="D44670" s="1">
        <v>0</v>
      </c>
      <c r="E44670" s="1">
        <v>0</v>
      </c>
      <c r="F44670" s="1">
        <v>2.8138893578704397E-4</v>
      </c>
    </row>
    <row r="44671" spans="1:6" x14ac:dyDescent="0.25">
      <c r="A44671" s="2" t="str">
        <f t="shared" si="1403"/>
        <v>27020</v>
      </c>
      <c r="B44671" s="2" t="str">
        <f>"54121"</f>
        <v>54121</v>
      </c>
      <c r="C44671" s="1">
        <v>0.11745872308368301</v>
      </c>
      <c r="D44671" s="1">
        <v>6.17897727272727E-2</v>
      </c>
      <c r="E44671" s="1">
        <v>6.0185185185185099E-2</v>
      </c>
      <c r="F44671" s="1">
        <v>0.11165512972029901</v>
      </c>
    </row>
    <row r="44672" spans="1:6" x14ac:dyDescent="0.25">
      <c r="A44672" s="2" t="str">
        <f t="shared" ref="A44672:A44703" si="1404">"41540"</f>
        <v>41540</v>
      </c>
      <c r="B44672" s="2" t="str">
        <f>"19971"</f>
        <v>19971</v>
      </c>
      <c r="C44672" s="1">
        <v>6.3400314621926801E-2</v>
      </c>
      <c r="D44672" s="1">
        <v>8.1279953526649504E-2</v>
      </c>
      <c r="E44672" s="1">
        <v>7.6943095072865994E-2</v>
      </c>
      <c r="F44672" s="1">
        <v>6.5109486202006198E-2</v>
      </c>
    </row>
    <row r="44673" spans="1:6" x14ac:dyDescent="0.25">
      <c r="A44673" s="2" t="str">
        <f t="shared" si="1404"/>
        <v>41540</v>
      </c>
      <c r="B44673" s="2" t="str">
        <f>"19968"</f>
        <v>19968</v>
      </c>
      <c r="C44673" s="1">
        <v>3.2951742228002803E-2</v>
      </c>
      <c r="D44673" s="1">
        <v>1.8008423294766901E-2</v>
      </c>
      <c r="E44673" s="1">
        <v>5.6384455239416997E-3</v>
      </c>
      <c r="F44673" s="1">
        <v>3.0923509283232901E-2</v>
      </c>
    </row>
    <row r="44674" spans="1:6" x14ac:dyDescent="0.25">
      <c r="A44674" s="2" t="str">
        <f t="shared" si="1404"/>
        <v>41540</v>
      </c>
      <c r="B44674" s="2" t="str">
        <f>"19941"</f>
        <v>19941</v>
      </c>
      <c r="C44674" s="1">
        <v>4.4395842340263902E-3</v>
      </c>
      <c r="D44674" s="1">
        <v>1.79116038146875E-3</v>
      </c>
      <c r="E44674" s="1">
        <v>8.6745315752949297E-5</v>
      </c>
      <c r="F44674" s="1">
        <v>4.0984139788443697E-3</v>
      </c>
    </row>
    <row r="44675" spans="1:6" x14ac:dyDescent="0.25">
      <c r="A44675" s="2" t="str">
        <f t="shared" si="1404"/>
        <v>41540</v>
      </c>
      <c r="B44675" s="2" t="str">
        <f>"21857"</f>
        <v>21857</v>
      </c>
      <c r="C44675" s="1">
        <v>0</v>
      </c>
      <c r="D44675" s="1">
        <v>4.8409740039695902E-5</v>
      </c>
      <c r="E44675" s="1">
        <v>0</v>
      </c>
      <c r="F44675" s="1">
        <v>3.25270950701934E-6</v>
      </c>
    </row>
    <row r="44676" spans="1:6" x14ac:dyDescent="0.25">
      <c r="A44676" s="2" t="str">
        <f t="shared" si="1404"/>
        <v>41540</v>
      </c>
      <c r="B44676" s="2" t="str">
        <f>"21843"</f>
        <v>21843</v>
      </c>
      <c r="C44676" s="1">
        <v>9.6130440942993802E-3</v>
      </c>
      <c r="D44676" s="1">
        <v>2.3527133659292199E-2</v>
      </c>
      <c r="E44676" s="1">
        <v>3.4698126301179702E-4</v>
      </c>
      <c r="F44676" s="1">
        <v>1.0200497014012599E-2</v>
      </c>
    </row>
    <row r="44677" spans="1:6" x14ac:dyDescent="0.25">
      <c r="A44677" s="2" t="str">
        <f t="shared" si="1404"/>
        <v>41540</v>
      </c>
      <c r="B44677" s="2" t="str">
        <f>"21851"</f>
        <v>21851</v>
      </c>
      <c r="C44677" s="1">
        <v>1.33223857497338E-2</v>
      </c>
      <c r="D44677" s="1">
        <v>2.0380500556711999E-2</v>
      </c>
      <c r="E44677" s="1">
        <v>1.5874392782789699E-2</v>
      </c>
      <c r="F44677" s="1">
        <v>1.38923223044796E-2</v>
      </c>
    </row>
    <row r="44678" spans="1:6" x14ac:dyDescent="0.25">
      <c r="A44678" s="2" t="str">
        <f t="shared" si="1404"/>
        <v>41540</v>
      </c>
      <c r="B44678" s="2" t="str">
        <f>"21842"</f>
        <v>21842</v>
      </c>
      <c r="C44678" s="1">
        <v>0.11745643067600101</v>
      </c>
      <c r="D44678" s="1">
        <v>0.100643849542527</v>
      </c>
      <c r="E44678" s="1">
        <v>0.31184941013185202</v>
      </c>
      <c r="F44678" s="1">
        <v>0.12361597210476299</v>
      </c>
    </row>
    <row r="44679" spans="1:6" x14ac:dyDescent="0.25">
      <c r="A44679" s="2" t="str">
        <f t="shared" si="1404"/>
        <v>41540</v>
      </c>
      <c r="B44679" s="2" t="str">
        <f>"21837"</f>
        <v>21837</v>
      </c>
      <c r="C44679" s="1">
        <v>4.50861213946543E-3</v>
      </c>
      <c r="D44679" s="1">
        <v>2.56571622210388E-3</v>
      </c>
      <c r="E44679" s="1">
        <v>6.0721721027064504E-4</v>
      </c>
      <c r="F44679" s="1">
        <v>4.2317750686321704E-3</v>
      </c>
    </row>
    <row r="44680" spans="1:6" x14ac:dyDescent="0.25">
      <c r="A44680" s="2" t="str">
        <f t="shared" si="1404"/>
        <v>41540</v>
      </c>
      <c r="B44680" s="2" t="str">
        <f>"19973"</f>
        <v>19973</v>
      </c>
      <c r="C44680" s="1">
        <v>4.7549327704531498E-2</v>
      </c>
      <c r="D44680" s="1">
        <v>6.1189911410175699E-2</v>
      </c>
      <c r="E44680" s="1">
        <v>2.1339347675225499E-2</v>
      </c>
      <c r="F44680" s="1">
        <v>4.74830533834684E-2</v>
      </c>
    </row>
    <row r="44681" spans="1:6" x14ac:dyDescent="0.25">
      <c r="A44681" s="2" t="str">
        <f t="shared" si="1404"/>
        <v>41540</v>
      </c>
      <c r="B44681" s="2" t="str">
        <f>"21867"</f>
        <v>21867</v>
      </c>
      <c r="C44681" s="1">
        <v>0</v>
      </c>
      <c r="D44681" s="1">
        <v>4.8409740039695902E-5</v>
      </c>
      <c r="E44681" s="1">
        <v>0</v>
      </c>
      <c r="F44681" s="1">
        <v>3.25270950701934E-6</v>
      </c>
    </row>
    <row r="44682" spans="1:6" x14ac:dyDescent="0.25">
      <c r="A44682" s="2" t="str">
        <f t="shared" si="1404"/>
        <v>41540</v>
      </c>
      <c r="B44682" s="2" t="str">
        <f>"21866"</f>
        <v>21866</v>
      </c>
      <c r="C44682" s="1">
        <v>7.2660953093721698E-6</v>
      </c>
      <c r="D44682" s="1">
        <v>0</v>
      </c>
      <c r="E44682" s="1">
        <v>8.6745315752949297E-5</v>
      </c>
      <c r="F44682" s="1">
        <v>9.7581285210580406E-6</v>
      </c>
    </row>
    <row r="44683" spans="1:6" x14ac:dyDescent="0.25">
      <c r="A44683" s="2" t="str">
        <f t="shared" si="1404"/>
        <v>41540</v>
      </c>
      <c r="B44683" s="2" t="str">
        <f>"21862"</f>
        <v>21862</v>
      </c>
      <c r="C44683" s="1">
        <v>2.7974466941082799E-4</v>
      </c>
      <c r="D44683" s="1">
        <v>5.3250714043665502E-4</v>
      </c>
      <c r="E44683" s="1">
        <v>8.6745315752949297E-5</v>
      </c>
      <c r="F44683" s="1">
        <v>2.89491146124721E-4</v>
      </c>
    </row>
    <row r="44684" spans="1:6" x14ac:dyDescent="0.25">
      <c r="A44684" s="2" t="str">
        <f t="shared" si="1404"/>
        <v>41540</v>
      </c>
      <c r="B44684" s="2" t="str">
        <f>"21865"</f>
        <v>21865</v>
      </c>
      <c r="C44684" s="1">
        <v>1.0245194386214701E-3</v>
      </c>
      <c r="D44684" s="1">
        <v>6.29326620516047E-4</v>
      </c>
      <c r="E44684" s="1">
        <v>0</v>
      </c>
      <c r="F44684" s="1">
        <v>9.5954930457070695E-4</v>
      </c>
    </row>
    <row r="44685" spans="1:6" x14ac:dyDescent="0.25">
      <c r="A44685" s="2" t="str">
        <f t="shared" si="1404"/>
        <v>41540</v>
      </c>
      <c r="B44685" s="2" t="str">
        <f>"21863"</f>
        <v>21863</v>
      </c>
      <c r="C44685" s="1">
        <v>8.5485611314763607E-3</v>
      </c>
      <c r="D44685" s="1">
        <v>1.4571331751948399E-2</v>
      </c>
      <c r="E44685" s="1">
        <v>7.63358778625954E-3</v>
      </c>
      <c r="F44685" s="1">
        <v>8.9189294682470392E-3</v>
      </c>
    </row>
    <row r="44686" spans="1:6" x14ac:dyDescent="0.25">
      <c r="A44686" s="2" t="str">
        <f t="shared" si="1404"/>
        <v>41540</v>
      </c>
      <c r="B44686" s="2" t="str">
        <f>"21850"</f>
        <v>21850</v>
      </c>
      <c r="C44686" s="1">
        <v>5.2751851946041903E-3</v>
      </c>
      <c r="D44686" s="1">
        <v>2.8077649223023598E-3</v>
      </c>
      <c r="E44686" s="1">
        <v>2.0818875780707802E-3</v>
      </c>
      <c r="F44686" s="1">
        <v>4.9896563837676699E-3</v>
      </c>
    </row>
    <row r="44687" spans="1:6" x14ac:dyDescent="0.25">
      <c r="A44687" s="2" t="str">
        <f t="shared" si="1404"/>
        <v>41540</v>
      </c>
      <c r="B44687" s="2" t="str">
        <f>"21849"</f>
        <v>21849</v>
      </c>
      <c r="C44687" s="1">
        <v>5.5585629116697097E-3</v>
      </c>
      <c r="D44687" s="1">
        <v>1.3070629810717901E-3</v>
      </c>
      <c r="E44687" s="1">
        <v>1.2144344205412901E-3</v>
      </c>
      <c r="F44687" s="1">
        <v>5.1100066355273897E-3</v>
      </c>
    </row>
    <row r="44688" spans="1:6" x14ac:dyDescent="0.25">
      <c r="A44688" s="2" t="str">
        <f t="shared" si="1404"/>
        <v>41540</v>
      </c>
      <c r="B44688" s="2" t="str">
        <f>"21838"</f>
        <v>21838</v>
      </c>
      <c r="C44688" s="1">
        <v>3.5531206062829898E-3</v>
      </c>
      <c r="D44688" s="1">
        <v>1.9363896015878301E-3</v>
      </c>
      <c r="E44688" s="1">
        <v>1.73490631505898E-4</v>
      </c>
      <c r="F44688" s="1">
        <v>3.3177636971597302E-3</v>
      </c>
    </row>
    <row r="44689" spans="1:6" x14ac:dyDescent="0.25">
      <c r="A44689" s="2" t="str">
        <f t="shared" si="1404"/>
        <v>41540</v>
      </c>
      <c r="B44689" s="2" t="str">
        <f>"21826"</f>
        <v>21826</v>
      </c>
      <c r="C44689" s="1">
        <v>1.15240271606642E-2</v>
      </c>
      <c r="D44689" s="1">
        <v>1.15215181294476E-2</v>
      </c>
      <c r="E44689" s="1">
        <v>5.2914642609299001E-3</v>
      </c>
      <c r="F44689" s="1">
        <v>1.12901546988641E-2</v>
      </c>
    </row>
    <row r="44690" spans="1:6" x14ac:dyDescent="0.25">
      <c r="A44690" s="2" t="str">
        <f t="shared" si="1404"/>
        <v>41540</v>
      </c>
      <c r="B44690" s="2" t="str">
        <f>"21817"</f>
        <v>21817</v>
      </c>
      <c r="C44690" s="1">
        <v>1.1429567921642399E-2</v>
      </c>
      <c r="D44690" s="1">
        <v>1.40872343515515E-2</v>
      </c>
      <c r="E44690" s="1">
        <v>1.24045801526717E-2</v>
      </c>
      <c r="F44690" s="1">
        <v>1.1644700035129201E-2</v>
      </c>
    </row>
    <row r="44691" spans="1:6" x14ac:dyDescent="0.25">
      <c r="A44691" s="2" t="str">
        <f t="shared" si="1404"/>
        <v>41540</v>
      </c>
      <c r="B44691" s="2" t="str">
        <f>"21801"</f>
        <v>21801</v>
      </c>
      <c r="C44691" s="1">
        <v>4.5362233016410403E-2</v>
      </c>
      <c r="D44691" s="1">
        <v>0.10814735924868001</v>
      </c>
      <c r="E44691" s="1">
        <v>0.10825815405968001</v>
      </c>
      <c r="F44691" s="1">
        <v>5.1939265408084898E-2</v>
      </c>
    </row>
    <row r="44692" spans="1:6" x14ac:dyDescent="0.25">
      <c r="A44692" s="2" t="str">
        <f t="shared" si="1404"/>
        <v>41540</v>
      </c>
      <c r="B44692" s="2" t="str">
        <f>"21813"</f>
        <v>21813</v>
      </c>
      <c r="C44692" s="1">
        <v>5.2933504328776197E-3</v>
      </c>
      <c r="D44692" s="1">
        <v>3.5339110228977998E-3</v>
      </c>
      <c r="E44692" s="1">
        <v>1.8216516308119299E-3</v>
      </c>
      <c r="F44692" s="1">
        <v>5.044952445387E-3</v>
      </c>
    </row>
    <row r="44693" spans="1:6" x14ac:dyDescent="0.25">
      <c r="A44693" s="2" t="str">
        <f t="shared" si="1404"/>
        <v>41540</v>
      </c>
      <c r="B44693" s="2" t="str">
        <f>"19969"</f>
        <v>19969</v>
      </c>
      <c r="C44693" s="1">
        <v>1.02815248627616E-3</v>
      </c>
      <c r="D44693" s="1">
        <v>8.7137532071452709E-3</v>
      </c>
      <c r="E44693" s="1">
        <v>2.6023594725884801E-4</v>
      </c>
      <c r="F44693" s="1">
        <v>1.51576263027101E-3</v>
      </c>
    </row>
    <row r="44694" spans="1:6" x14ac:dyDescent="0.25">
      <c r="A44694" s="2" t="str">
        <f t="shared" si="1404"/>
        <v>41540</v>
      </c>
      <c r="B44694" s="2" t="str">
        <f>"19950"</f>
        <v>19950</v>
      </c>
      <c r="C44694" s="1">
        <v>8.3451104628139393E-3</v>
      </c>
      <c r="D44694" s="1">
        <v>4.5505155637314198E-3</v>
      </c>
      <c r="E44694" s="1">
        <v>1.8216516308119299E-3</v>
      </c>
      <c r="F44694" s="1">
        <v>7.8455353309306603E-3</v>
      </c>
    </row>
    <row r="44695" spans="1:6" x14ac:dyDescent="0.25">
      <c r="A44695" s="2" t="str">
        <f t="shared" si="1404"/>
        <v>41540</v>
      </c>
      <c r="B44695" s="2" t="str">
        <f>"19930"</f>
        <v>19930</v>
      </c>
      <c r="C44695" s="1">
        <v>2.00689552444859E-2</v>
      </c>
      <c r="D44695" s="1">
        <v>1.72822771941714E-2</v>
      </c>
      <c r="E44695" s="1">
        <v>4.39798750867453E-2</v>
      </c>
      <c r="F44695" s="1">
        <v>2.07783083308395E-2</v>
      </c>
    </row>
    <row r="44696" spans="1:6" x14ac:dyDescent="0.25">
      <c r="A44696" s="2" t="str">
        <f t="shared" si="1404"/>
        <v>41540</v>
      </c>
      <c r="B44696" s="2" t="str">
        <f>"21874"</f>
        <v>21874</v>
      </c>
      <c r="C44696" s="1">
        <v>3.8582966092766198E-3</v>
      </c>
      <c r="D44696" s="1">
        <v>1.79116038146875E-3</v>
      </c>
      <c r="E44696" s="1">
        <v>5.2047189451769602E-4</v>
      </c>
      <c r="F44696" s="1">
        <v>3.5942440052563699E-3</v>
      </c>
    </row>
    <row r="44697" spans="1:6" x14ac:dyDescent="0.25">
      <c r="A44697" s="2" t="str">
        <f t="shared" si="1404"/>
        <v>41540</v>
      </c>
      <c r="B44697" s="2" t="str">
        <f>"21872"</f>
        <v>21872</v>
      </c>
      <c r="C44697" s="1">
        <v>1.3296954416151001E-3</v>
      </c>
      <c r="D44697" s="1">
        <v>8.7137532071452696E-4</v>
      </c>
      <c r="E44697" s="1">
        <v>1.73490631505898E-4</v>
      </c>
      <c r="F44697" s="1">
        <v>1.2555458697094601E-3</v>
      </c>
    </row>
    <row r="44698" spans="1:6" x14ac:dyDescent="0.25">
      <c r="A44698" s="2" t="str">
        <f t="shared" si="1404"/>
        <v>41540</v>
      </c>
      <c r="B44698" s="2" t="str">
        <f>"21852"</f>
        <v>21852</v>
      </c>
      <c r="C44698" s="1">
        <v>0</v>
      </c>
      <c r="D44698" s="1">
        <v>9.6819480079391899E-5</v>
      </c>
      <c r="E44698" s="1">
        <v>0</v>
      </c>
      <c r="F44698" s="1">
        <v>6.5054190140386901E-6</v>
      </c>
    </row>
    <row r="44699" spans="1:6" x14ac:dyDescent="0.25">
      <c r="A44699" s="2" t="str">
        <f t="shared" si="1404"/>
        <v>41540</v>
      </c>
      <c r="B44699" s="2" t="str">
        <f>"21792"</f>
        <v>21792</v>
      </c>
      <c r="C44699" s="1">
        <v>0</v>
      </c>
      <c r="D44699" s="1">
        <v>4.8409740039695902E-5</v>
      </c>
      <c r="E44699" s="1">
        <v>0</v>
      </c>
      <c r="F44699" s="1">
        <v>3.25270950701934E-6</v>
      </c>
    </row>
    <row r="44700" spans="1:6" x14ac:dyDescent="0.25">
      <c r="A44700" s="2" t="str">
        <f t="shared" si="1404"/>
        <v>41540</v>
      </c>
      <c r="B44700" s="2" t="str">
        <f>"19952"</f>
        <v>19952</v>
      </c>
      <c r="C44700" s="1">
        <v>2.07083716317106E-4</v>
      </c>
      <c r="D44700" s="1">
        <v>2.42048700198479E-4</v>
      </c>
      <c r="E44700" s="1">
        <v>0</v>
      </c>
      <c r="F44700" s="1">
        <v>2.0166798943519899E-4</v>
      </c>
    </row>
    <row r="44701" spans="1:6" x14ac:dyDescent="0.25">
      <c r="A44701" s="2" t="str">
        <f t="shared" si="1404"/>
        <v>41540</v>
      </c>
      <c r="B44701" s="2" t="str">
        <f>"19945"</f>
        <v>19945</v>
      </c>
      <c r="C44701" s="1">
        <v>1.79835858906961E-2</v>
      </c>
      <c r="D44701" s="1">
        <v>5.8091688047635101E-3</v>
      </c>
      <c r="E44701" s="1">
        <v>1.1970853573907E-2</v>
      </c>
      <c r="F44701" s="1">
        <v>1.6940111112556701E-2</v>
      </c>
    </row>
    <row r="44702" spans="1:6" x14ac:dyDescent="0.25">
      <c r="A44702" s="2" t="str">
        <f t="shared" si="1404"/>
        <v>41540</v>
      </c>
      <c r="B44702" s="2" t="str">
        <f>"19944"</f>
        <v>19944</v>
      </c>
      <c r="C44702" s="1">
        <v>3.5967171781392201E-3</v>
      </c>
      <c r="D44702" s="1">
        <v>5.0830227041680697E-3</v>
      </c>
      <c r="E44702" s="1">
        <v>9.1082581540596792E-3</v>
      </c>
      <c r="F44702" s="1">
        <v>3.9032514084232101E-3</v>
      </c>
    </row>
    <row r="44703" spans="1:6" x14ac:dyDescent="0.25">
      <c r="A44703" s="2" t="str">
        <f t="shared" si="1404"/>
        <v>41540</v>
      </c>
      <c r="B44703" s="2" t="str">
        <f>"21890"</f>
        <v>21890</v>
      </c>
      <c r="C44703" s="1">
        <v>0</v>
      </c>
      <c r="D44703" s="1">
        <v>2.9045844023817502E-4</v>
      </c>
      <c r="E44703" s="1">
        <v>0</v>
      </c>
      <c r="F44703" s="1">
        <v>1.9516257042116E-5</v>
      </c>
    </row>
    <row r="44704" spans="1:6" x14ac:dyDescent="0.25">
      <c r="A44704" s="2" t="str">
        <f t="shared" ref="A44704:A44737" si="1405">"41540"</f>
        <v>41540</v>
      </c>
      <c r="B44704" s="2" t="str">
        <f>"21861"</f>
        <v>21861</v>
      </c>
      <c r="C44704" s="1">
        <v>1.56221049151501E-3</v>
      </c>
      <c r="D44704" s="1">
        <v>4.8409740039695902E-5</v>
      </c>
      <c r="E44704" s="1">
        <v>2.6023594725884801E-4</v>
      </c>
      <c r="F44704" s="1">
        <v>1.41167592604639E-3</v>
      </c>
    </row>
    <row r="44705" spans="1:6" x14ac:dyDescent="0.25">
      <c r="A44705" s="2" t="str">
        <f t="shared" si="1405"/>
        <v>41540</v>
      </c>
      <c r="B44705" s="2" t="str">
        <f>"21814"</f>
        <v>21814</v>
      </c>
      <c r="C44705" s="1">
        <v>7.8473829341219395E-4</v>
      </c>
      <c r="D44705" s="1">
        <v>1.4522922011908699E-4</v>
      </c>
      <c r="E44705" s="1">
        <v>0</v>
      </c>
      <c r="F44705" s="1">
        <v>7.1234338203723696E-4</v>
      </c>
    </row>
    <row r="44706" spans="1:6" x14ac:dyDescent="0.25">
      <c r="A44706" s="2" t="str">
        <f t="shared" si="1405"/>
        <v>41540</v>
      </c>
      <c r="B44706" s="2" t="str">
        <f>"21836"</f>
        <v>21836</v>
      </c>
      <c r="C44706" s="1">
        <v>0</v>
      </c>
      <c r="D44706" s="1">
        <v>4.8409740039695902E-5</v>
      </c>
      <c r="E44706" s="1">
        <v>0</v>
      </c>
      <c r="F44706" s="1">
        <v>3.25270950701934E-6</v>
      </c>
    </row>
    <row r="44707" spans="1:6" x14ac:dyDescent="0.25">
      <c r="A44707" s="2" t="str">
        <f t="shared" si="1405"/>
        <v>41540</v>
      </c>
      <c r="B44707" s="2" t="str">
        <f>"21821"</f>
        <v>21821</v>
      </c>
      <c r="C44707" s="1">
        <v>2.7211526933598701E-3</v>
      </c>
      <c r="D44707" s="1">
        <v>7.2614610059543898E-4</v>
      </c>
      <c r="E44707" s="1">
        <v>3.4698126301179702E-4</v>
      </c>
      <c r="F44707" s="1">
        <v>2.4980809013908502E-3</v>
      </c>
    </row>
    <row r="44708" spans="1:6" x14ac:dyDescent="0.25">
      <c r="A44708" s="2" t="str">
        <f t="shared" si="1405"/>
        <v>41540</v>
      </c>
      <c r="B44708" s="2" t="str">
        <f>"19975"</f>
        <v>19975</v>
      </c>
      <c r="C44708" s="1">
        <v>3.0470370679852199E-2</v>
      </c>
      <c r="D44708" s="1">
        <v>1.9654354456116501E-2</v>
      </c>
      <c r="E44708" s="1">
        <v>3.20957668285912E-2</v>
      </c>
      <c r="F44708" s="1">
        <v>2.9804577212818199E-2</v>
      </c>
    </row>
    <row r="44709" spans="1:6" x14ac:dyDescent="0.25">
      <c r="A44709" s="2" t="str">
        <f t="shared" si="1405"/>
        <v>41540</v>
      </c>
      <c r="B44709" s="2" t="str">
        <f>"19940"</f>
        <v>19940</v>
      </c>
      <c r="C44709" s="1">
        <v>1.0067175051135101E-2</v>
      </c>
      <c r="D44709" s="1">
        <v>1.273176163044E-2</v>
      </c>
      <c r="E44709" s="1">
        <v>5.7251908396946504E-3</v>
      </c>
      <c r="F44709" s="1">
        <v>1.00833994717599E-2</v>
      </c>
    </row>
    <row r="44710" spans="1:6" x14ac:dyDescent="0.25">
      <c r="A44710" s="2" t="str">
        <f t="shared" si="1405"/>
        <v>41540</v>
      </c>
      <c r="B44710" s="2" t="str">
        <f>"21871"</f>
        <v>21871</v>
      </c>
      <c r="C44710" s="1">
        <v>4.30152842314832E-3</v>
      </c>
      <c r="D44710" s="1">
        <v>3.7275499830565898E-3</v>
      </c>
      <c r="E44710" s="1">
        <v>5.2047189451769602E-4</v>
      </c>
      <c r="F44710" s="1">
        <v>4.1211829453935101E-3</v>
      </c>
    </row>
    <row r="44711" spans="1:6" x14ac:dyDescent="0.25">
      <c r="A44711" s="2" t="str">
        <f t="shared" si="1405"/>
        <v>41540</v>
      </c>
      <c r="B44711" s="2" t="str">
        <f>"21856"</f>
        <v>21856</v>
      </c>
      <c r="C44711" s="1">
        <v>1.7620281125227499E-3</v>
      </c>
      <c r="D44711" s="1">
        <v>8.2296558067483096E-4</v>
      </c>
      <c r="E44711" s="1">
        <v>0</v>
      </c>
      <c r="F44711" s="1">
        <v>1.63286017252371E-3</v>
      </c>
    </row>
    <row r="44712" spans="1:6" x14ac:dyDescent="0.25">
      <c r="A44712" s="2" t="str">
        <f t="shared" si="1405"/>
        <v>41540</v>
      </c>
      <c r="B44712" s="2" t="str">
        <f>"21810"</f>
        <v>21810</v>
      </c>
      <c r="C44712" s="1">
        <v>0</v>
      </c>
      <c r="D44712" s="1">
        <v>4.8409740039695902E-5</v>
      </c>
      <c r="E44712" s="1">
        <v>0</v>
      </c>
      <c r="F44712" s="1">
        <v>3.25270950701934E-6</v>
      </c>
    </row>
    <row r="44713" spans="1:6" x14ac:dyDescent="0.25">
      <c r="A44713" s="2" t="str">
        <f t="shared" si="1405"/>
        <v>41540</v>
      </c>
      <c r="B44713" s="2" t="str">
        <f>"19967"</f>
        <v>19967</v>
      </c>
      <c r="C44713" s="1">
        <v>6.4522926347224804E-3</v>
      </c>
      <c r="D44713" s="1">
        <v>5.8091688047635101E-3</v>
      </c>
      <c r="E44713" s="1">
        <v>1.9951422623178299E-3</v>
      </c>
      <c r="F44713" s="1">
        <v>6.2419495439701199E-3</v>
      </c>
    </row>
    <row r="44714" spans="1:6" x14ac:dyDescent="0.25">
      <c r="A44714" s="2" t="str">
        <f t="shared" si="1405"/>
        <v>41540</v>
      </c>
      <c r="B44714" s="2" t="str">
        <f>"19958"</f>
        <v>19958</v>
      </c>
      <c r="C44714" s="1">
        <v>7.4633697970216198E-2</v>
      </c>
      <c r="D44714" s="1">
        <v>6.1964467250810798E-2</v>
      </c>
      <c r="E44714" s="1">
        <v>4.1117279666897898E-2</v>
      </c>
      <c r="F44714" s="1">
        <v>7.2525663878010294E-2</v>
      </c>
    </row>
    <row r="44715" spans="1:6" x14ac:dyDescent="0.25">
      <c r="A44715" s="2" t="str">
        <f t="shared" si="1405"/>
        <v>41540</v>
      </c>
      <c r="B44715" s="2" t="str">
        <f>"19947"</f>
        <v>19947</v>
      </c>
      <c r="C44715" s="1">
        <v>3.0052570199563301E-2</v>
      </c>
      <c r="D44715" s="1">
        <v>5.1362734182117398E-2</v>
      </c>
      <c r="E44715" s="1">
        <v>1.23178348369188E-2</v>
      </c>
      <c r="F44715" s="1">
        <v>3.0819422579008299E-2</v>
      </c>
    </row>
    <row r="44716" spans="1:6" x14ac:dyDescent="0.25">
      <c r="A44716" s="2" t="str">
        <f t="shared" si="1405"/>
        <v>41540</v>
      </c>
      <c r="B44716" s="2" t="str">
        <f>"19956"</f>
        <v>19956</v>
      </c>
      <c r="C44716" s="1">
        <v>2.5983556826314799E-2</v>
      </c>
      <c r="D44716" s="1">
        <v>2.43985089800067E-2</v>
      </c>
      <c r="E44716" s="1">
        <v>1.8129770992366401E-2</v>
      </c>
      <c r="F44716" s="1">
        <v>2.5582560272707101E-2</v>
      </c>
    </row>
    <row r="44717" spans="1:6" x14ac:dyDescent="0.25">
      <c r="A44717" s="2" t="str">
        <f t="shared" si="1405"/>
        <v>41540</v>
      </c>
      <c r="B44717" s="2" t="str">
        <f>"21830"</f>
        <v>21830</v>
      </c>
      <c r="C44717" s="1">
        <v>6.2706402519881804E-3</v>
      </c>
      <c r="D44717" s="1">
        <v>1.4522922011908699E-3</v>
      </c>
      <c r="E44717" s="1">
        <v>4.3372657876474598E-4</v>
      </c>
      <c r="F44717" s="1">
        <v>5.7280214418610701E-3</v>
      </c>
    </row>
    <row r="44718" spans="1:6" x14ac:dyDescent="0.25">
      <c r="A44718" s="2" t="str">
        <f t="shared" si="1405"/>
        <v>41540</v>
      </c>
      <c r="B44718" s="2" t="str">
        <f>"21822"</f>
        <v>21822</v>
      </c>
      <c r="C44718" s="1">
        <v>5.1516615743448704E-3</v>
      </c>
      <c r="D44718" s="1">
        <v>1.64593116134966E-3</v>
      </c>
      <c r="E44718" s="1">
        <v>1.73490631505898E-4</v>
      </c>
      <c r="F44718" s="1">
        <v>4.7294396232061301E-3</v>
      </c>
    </row>
    <row r="44719" spans="1:6" x14ac:dyDescent="0.25">
      <c r="A44719" s="2" t="str">
        <f t="shared" si="1405"/>
        <v>41540</v>
      </c>
      <c r="B44719" s="2" t="str">
        <f>"21803"</f>
        <v>21803</v>
      </c>
      <c r="C44719" s="1">
        <v>2.8919059331301198E-3</v>
      </c>
      <c r="D44719" s="1">
        <v>1.31190395507576E-2</v>
      </c>
      <c r="E44719" s="1">
        <v>8.6745315752949297E-5</v>
      </c>
      <c r="F44719" s="1">
        <v>3.4738937534966601E-3</v>
      </c>
    </row>
    <row r="44720" spans="1:6" x14ac:dyDescent="0.25">
      <c r="A44720" s="2" t="str">
        <f t="shared" si="1405"/>
        <v>41540</v>
      </c>
      <c r="B44720" s="2" t="str">
        <f>"19970"</f>
        <v>19970</v>
      </c>
      <c r="C44720" s="1">
        <v>3.2777355940577797E-2</v>
      </c>
      <c r="D44720" s="1">
        <v>1.8444110955124101E-2</v>
      </c>
      <c r="E44720" s="1">
        <v>1.8129770992366401E-2</v>
      </c>
      <c r="F44720" s="1">
        <v>3.1265043781469902E-2</v>
      </c>
    </row>
    <row r="44721" spans="1:6" x14ac:dyDescent="0.25">
      <c r="A44721" s="2" t="str">
        <f t="shared" si="1405"/>
        <v>41540</v>
      </c>
      <c r="B44721" s="2" t="str">
        <f>"19963"</f>
        <v>19963</v>
      </c>
      <c r="C44721" s="1">
        <v>2.36547732796611E-2</v>
      </c>
      <c r="D44721" s="1">
        <v>2.3381904439173099E-2</v>
      </c>
      <c r="E44721" s="1">
        <v>2.86259541984732E-3</v>
      </c>
      <c r="F44721" s="1">
        <v>2.2856789705824901E-2</v>
      </c>
    </row>
    <row r="44722" spans="1:6" x14ac:dyDescent="0.25">
      <c r="A44722" s="2" t="str">
        <f t="shared" si="1405"/>
        <v>41540</v>
      </c>
      <c r="B44722" s="2" t="str">
        <f>"19966"</f>
        <v>19966</v>
      </c>
      <c r="C44722" s="1">
        <v>7.8466563245910004E-2</v>
      </c>
      <c r="D44722" s="1">
        <v>4.3762404995885101E-2</v>
      </c>
      <c r="E44722" s="1">
        <v>3.1141568355308801E-2</v>
      </c>
      <c r="F44722" s="1">
        <v>7.43601920399692E-2</v>
      </c>
    </row>
    <row r="44723" spans="1:6" x14ac:dyDescent="0.25">
      <c r="A44723" s="2" t="str">
        <f t="shared" si="1405"/>
        <v>41540</v>
      </c>
      <c r="B44723" s="2" t="str">
        <f>"19951"</f>
        <v>19951</v>
      </c>
      <c r="C44723" s="1">
        <v>3.6693781312329399E-3</v>
      </c>
      <c r="D44723" s="1">
        <v>4.1632376434138502E-3</v>
      </c>
      <c r="E44723" s="1">
        <v>1.47467036780013E-3</v>
      </c>
      <c r="F44723" s="1">
        <v>3.6202656813125299E-3</v>
      </c>
    </row>
    <row r="44724" spans="1:6" x14ac:dyDescent="0.25">
      <c r="A44724" s="2" t="str">
        <f t="shared" si="1405"/>
        <v>41540</v>
      </c>
      <c r="B44724" s="2" t="str">
        <f>"19931"</f>
        <v>19931</v>
      </c>
      <c r="C44724" s="1">
        <v>3.5967171781392201E-4</v>
      </c>
      <c r="D44724" s="1">
        <v>4.8409740039695902E-5</v>
      </c>
      <c r="E44724" s="1">
        <v>8.6745315752949297E-5</v>
      </c>
      <c r="F44724" s="1">
        <v>3.2852366020895402E-4</v>
      </c>
    </row>
    <row r="44725" spans="1:6" x14ac:dyDescent="0.25">
      <c r="A44725" s="2" t="str">
        <f t="shared" si="1405"/>
        <v>41540</v>
      </c>
      <c r="B44725" s="2" t="str">
        <f>"19933"</f>
        <v>19933</v>
      </c>
      <c r="C44725" s="1">
        <v>1.55894074862579E-2</v>
      </c>
      <c r="D44725" s="1">
        <v>1.35547272111148E-2</v>
      </c>
      <c r="E44725" s="1">
        <v>5.2914642609299001E-3</v>
      </c>
      <c r="F44725" s="1">
        <v>1.5066550436513599E-2</v>
      </c>
    </row>
    <row r="44726" spans="1:6" x14ac:dyDescent="0.25">
      <c r="A44726" s="2" t="str">
        <f t="shared" si="1405"/>
        <v>41540</v>
      </c>
      <c r="B44726" s="2" t="str">
        <f>"21829"</f>
        <v>21829</v>
      </c>
      <c r="C44726" s="1">
        <v>7.5567391217470502E-4</v>
      </c>
      <c r="D44726" s="1">
        <v>1.9363896015878301E-4</v>
      </c>
      <c r="E44726" s="1">
        <v>0</v>
      </c>
      <c r="F44726" s="1">
        <v>6.8957441548810105E-4</v>
      </c>
    </row>
    <row r="44727" spans="1:6" x14ac:dyDescent="0.25">
      <c r="A44727" s="2" t="str">
        <f t="shared" si="1405"/>
        <v>41540</v>
      </c>
      <c r="B44727" s="2" t="str">
        <f>"21840"</f>
        <v>21840</v>
      </c>
      <c r="C44727" s="1">
        <v>9.0462886601683505E-4</v>
      </c>
      <c r="D44727" s="1">
        <v>2.9045844023817502E-4</v>
      </c>
      <c r="E44727" s="1">
        <v>0</v>
      </c>
      <c r="F44727" s="1">
        <v>8.2944092428993298E-4</v>
      </c>
    </row>
    <row r="44728" spans="1:6" x14ac:dyDescent="0.25">
      <c r="A44728" s="2" t="str">
        <f t="shared" si="1405"/>
        <v>41540</v>
      </c>
      <c r="B44728" s="2" t="str">
        <f>"21824"</f>
        <v>21824</v>
      </c>
      <c r="C44728" s="1">
        <v>7.5204086452001898E-4</v>
      </c>
      <c r="D44728" s="1">
        <v>5.3250714043665502E-4</v>
      </c>
      <c r="E44728" s="1">
        <v>0</v>
      </c>
      <c r="F44728" s="1">
        <v>7.0909067253021696E-4</v>
      </c>
    </row>
    <row r="44729" spans="1:6" x14ac:dyDescent="0.25">
      <c r="A44729" s="2" t="str">
        <f t="shared" si="1405"/>
        <v>41540</v>
      </c>
      <c r="B44729" s="2" t="str">
        <f>"19960"</f>
        <v>19960</v>
      </c>
      <c r="C44729" s="1">
        <v>1.1051730965555E-2</v>
      </c>
      <c r="D44729" s="1">
        <v>2.5173064820641902E-3</v>
      </c>
      <c r="E44729" s="1">
        <v>8.6745315752949297E-5</v>
      </c>
      <c r="F44729" s="1">
        <v>1.00671359242248E-2</v>
      </c>
    </row>
    <row r="44730" spans="1:6" x14ac:dyDescent="0.25">
      <c r="A44730" s="2" t="str">
        <f t="shared" si="1405"/>
        <v>41540</v>
      </c>
      <c r="B44730" s="2" t="str">
        <f>"19939"</f>
        <v>19939</v>
      </c>
      <c r="C44730" s="1">
        <v>1.5331461102775199E-2</v>
      </c>
      <c r="D44730" s="1">
        <v>1.2247664230043E-2</v>
      </c>
      <c r="E44730" s="1">
        <v>7.1998612074947897E-3</v>
      </c>
      <c r="F44730" s="1">
        <v>1.48193445139801E-2</v>
      </c>
    </row>
    <row r="44731" spans="1:6" x14ac:dyDescent="0.25">
      <c r="A44731" s="2" t="str">
        <f t="shared" si="1405"/>
        <v>41540</v>
      </c>
      <c r="B44731" s="2" t="str">
        <f>"21864"</f>
        <v>21864</v>
      </c>
      <c r="C44731" s="1">
        <v>1.08991429640582E-3</v>
      </c>
      <c r="D44731" s="1">
        <v>3.87277920317567E-4</v>
      </c>
      <c r="E44731" s="1">
        <v>0</v>
      </c>
      <c r="F44731" s="1">
        <v>1.00183452816195E-3</v>
      </c>
    </row>
    <row r="44732" spans="1:6" x14ac:dyDescent="0.25">
      <c r="A44732" s="2" t="str">
        <f t="shared" si="1405"/>
        <v>41540</v>
      </c>
      <c r="B44732" s="2" t="str">
        <f>"21875"</f>
        <v>21875</v>
      </c>
      <c r="C44732" s="1">
        <v>1.11171258233394E-2</v>
      </c>
      <c r="D44732" s="1">
        <v>5.9543980248826E-3</v>
      </c>
      <c r="E44732" s="1">
        <v>8.2408049965301804E-3</v>
      </c>
      <c r="F44732" s="1">
        <v>1.0662381764009399E-2</v>
      </c>
    </row>
    <row r="44733" spans="1:6" x14ac:dyDescent="0.25">
      <c r="A44733" s="2" t="str">
        <f t="shared" si="1405"/>
        <v>41540</v>
      </c>
      <c r="B44733" s="2" t="str">
        <f>"21841"</f>
        <v>21841</v>
      </c>
      <c r="C44733" s="1">
        <v>1.67846801646497E-3</v>
      </c>
      <c r="D44733" s="1">
        <v>9.1978506075422305E-4</v>
      </c>
      <c r="E44733" s="1">
        <v>1.73490631505898E-4</v>
      </c>
      <c r="F44733" s="1">
        <v>1.5710586918903399E-3</v>
      </c>
    </row>
    <row r="44734" spans="1:6" x14ac:dyDescent="0.25">
      <c r="A44734" s="2" t="str">
        <f t="shared" si="1405"/>
        <v>41540</v>
      </c>
      <c r="B44734" s="2" t="str">
        <f>"21853"</f>
        <v>21853</v>
      </c>
      <c r="C44734" s="1">
        <v>1.7514922743241599E-2</v>
      </c>
      <c r="D44734" s="1">
        <v>1.40872343515515E-2</v>
      </c>
      <c r="E44734" s="1">
        <v>3.3743927827897202E-2</v>
      </c>
      <c r="F44734" s="1">
        <v>1.7893154998113399E-2</v>
      </c>
    </row>
    <row r="44735" spans="1:6" x14ac:dyDescent="0.25">
      <c r="A44735" s="2" t="str">
        <f t="shared" si="1405"/>
        <v>41540</v>
      </c>
      <c r="B44735" s="2" t="str">
        <f>"21802"</f>
        <v>21802</v>
      </c>
      <c r="C44735" s="1">
        <v>7.5167755975455103E-3</v>
      </c>
      <c r="D44735" s="1">
        <v>2.73030933823885E-2</v>
      </c>
      <c r="E44735" s="1">
        <v>1.73490631505898E-4</v>
      </c>
      <c r="F44735" s="1">
        <v>8.5708895509959693E-3</v>
      </c>
    </row>
    <row r="44736" spans="1:6" x14ac:dyDescent="0.25">
      <c r="A44736" s="2" t="str">
        <f t="shared" si="1405"/>
        <v>41540</v>
      </c>
      <c r="B44736" s="2" t="str">
        <f>"21811"</f>
        <v>21811</v>
      </c>
      <c r="C44736" s="1">
        <v>6.2731833853464605E-2</v>
      </c>
      <c r="D44736" s="1">
        <v>5.59616594858885E-2</v>
      </c>
      <c r="E44736" s="1">
        <v>3.45246356696738E-2</v>
      </c>
      <c r="F44736" s="1">
        <v>6.1219245631611102E-2</v>
      </c>
    </row>
    <row r="44737" spans="1:6" x14ac:dyDescent="0.25">
      <c r="A44737" s="2" t="str">
        <f t="shared" si="1405"/>
        <v>41540</v>
      </c>
      <c r="B44737" s="2" t="str">
        <f>"21804"</f>
        <v>21804</v>
      </c>
      <c r="C44737" s="1">
        <v>6.4417567965238995E-2</v>
      </c>
      <c r="D44737" s="1">
        <v>6.5207919833470407E-2</v>
      </c>
      <c r="E44737" s="1">
        <v>0.10409437890353899</v>
      </c>
      <c r="F44737" s="1">
        <v>6.5958443383338297E-2</v>
      </c>
    </row>
    <row r="44738" spans="1:6" x14ac:dyDescent="0.25">
      <c r="A44738" s="2" t="str">
        <f t="shared" ref="A44738:A44773" si="1406">"49020"</f>
        <v>49020</v>
      </c>
      <c r="B44738" s="2" t="str">
        <f>"26710"</f>
        <v>26710</v>
      </c>
      <c r="C44738" s="1">
        <v>3.2190050055527802E-4</v>
      </c>
      <c r="D44738" s="1">
        <v>3.69617445943448E-4</v>
      </c>
      <c r="E44738" s="1">
        <v>0</v>
      </c>
      <c r="F44738" s="1">
        <v>3.1757946704391202E-4</v>
      </c>
    </row>
    <row r="44739" spans="1:6" x14ac:dyDescent="0.25">
      <c r="A44739" s="2" t="str">
        <f t="shared" si="1406"/>
        <v>49020</v>
      </c>
      <c r="B44739" s="2" t="str">
        <f>"26763"</f>
        <v>26763</v>
      </c>
      <c r="C44739" s="1">
        <v>5.9068741851893503E-3</v>
      </c>
      <c r="D44739" s="1">
        <v>1.4784697837737901E-3</v>
      </c>
      <c r="E44739" s="1">
        <v>2.3094688221708998E-3</v>
      </c>
      <c r="F44739" s="1">
        <v>5.4710280913474003E-3</v>
      </c>
    </row>
    <row r="44740" spans="1:6" x14ac:dyDescent="0.25">
      <c r="A44740" s="2" t="str">
        <f t="shared" si="1406"/>
        <v>49020</v>
      </c>
      <c r="B44740" s="2" t="str">
        <f>"25437"</f>
        <v>25437</v>
      </c>
      <c r="C44740" s="1">
        <v>4.92507765849575E-3</v>
      </c>
      <c r="D44740" s="1">
        <v>1.84808722971724E-4</v>
      </c>
      <c r="E44740" s="1">
        <v>0</v>
      </c>
      <c r="F44740" s="1">
        <v>4.4316771082945896E-3</v>
      </c>
    </row>
    <row r="44741" spans="1:6" x14ac:dyDescent="0.25">
      <c r="A44741" s="2" t="str">
        <f t="shared" si="1406"/>
        <v>49020</v>
      </c>
      <c r="B44741" s="2" t="str">
        <f>"22637"</f>
        <v>22637</v>
      </c>
      <c r="C44741" s="1">
        <v>1.45981877001818E-2</v>
      </c>
      <c r="D44741" s="1">
        <v>2.4025133986324099E-3</v>
      </c>
      <c r="E44741" s="1">
        <v>2.3094688221708998E-3</v>
      </c>
      <c r="F44741" s="1">
        <v>1.33383376158443E-2</v>
      </c>
    </row>
    <row r="44742" spans="1:6" x14ac:dyDescent="0.25">
      <c r="A44742" s="2" t="str">
        <f t="shared" si="1406"/>
        <v>49020</v>
      </c>
      <c r="B44742" s="2" t="str">
        <f>"22603"</f>
        <v>22603</v>
      </c>
      <c r="C44742" s="1">
        <v>0.11482190854806699</v>
      </c>
      <c r="D44742" s="1">
        <v>0.13213823692478199</v>
      </c>
      <c r="E44742" s="1">
        <v>7.6789838337182406E-2</v>
      </c>
      <c r="F44742" s="1">
        <v>0.11522360481565901</v>
      </c>
    </row>
    <row r="44743" spans="1:6" x14ac:dyDescent="0.25">
      <c r="A44743" s="2" t="str">
        <f t="shared" si="1406"/>
        <v>49020</v>
      </c>
      <c r="B44743" s="2" t="str">
        <f>"26845"</f>
        <v>26845</v>
      </c>
      <c r="C44743" s="1">
        <v>3.7018557563856999E-4</v>
      </c>
      <c r="D44743" s="1">
        <v>3.69617445943448E-4</v>
      </c>
      <c r="E44743" s="1">
        <v>0</v>
      </c>
      <c r="F44743" s="1">
        <v>3.6088575800444602E-4</v>
      </c>
    </row>
    <row r="44744" spans="1:6" x14ac:dyDescent="0.25">
      <c r="A44744" s="2" t="str">
        <f t="shared" si="1406"/>
        <v>49020</v>
      </c>
      <c r="B44744" s="2" t="str">
        <f>"26808"</f>
        <v>26808</v>
      </c>
      <c r="C44744" s="1">
        <v>7.3071413626048104E-3</v>
      </c>
      <c r="D44744" s="1">
        <v>2.2177046756606902E-3</v>
      </c>
      <c r="E44744" s="1">
        <v>0</v>
      </c>
      <c r="F44744" s="1">
        <v>6.7269105292028699E-3</v>
      </c>
    </row>
    <row r="44745" spans="1:6" x14ac:dyDescent="0.25">
      <c r="A44745" s="2" t="str">
        <f t="shared" si="1406"/>
        <v>49020</v>
      </c>
      <c r="B44745" s="2" t="str">
        <f>"26761"</f>
        <v>26761</v>
      </c>
      <c r="C44745" s="1">
        <v>2.8327244048864399E-3</v>
      </c>
      <c r="D44745" s="1">
        <v>9.2404361485862098E-4</v>
      </c>
      <c r="E44745" s="1">
        <v>0</v>
      </c>
      <c r="F44745" s="1">
        <v>2.61281288795218E-3</v>
      </c>
    </row>
    <row r="44746" spans="1:6" x14ac:dyDescent="0.25">
      <c r="A44746" s="2" t="str">
        <f t="shared" si="1406"/>
        <v>49020</v>
      </c>
      <c r="B44746" s="2" t="str">
        <f>"26722"</f>
        <v>26722</v>
      </c>
      <c r="C44746" s="1">
        <v>3.76623585649675E-3</v>
      </c>
      <c r="D44746" s="1">
        <v>9.2404361485862098E-4</v>
      </c>
      <c r="E44746" s="1">
        <v>1.1547344110854499E-3</v>
      </c>
      <c r="F44746" s="1">
        <v>3.4789387071628599E-3</v>
      </c>
    </row>
    <row r="44747" spans="1:6" x14ac:dyDescent="0.25">
      <c r="A44747" s="2" t="str">
        <f t="shared" si="1406"/>
        <v>49020</v>
      </c>
      <c r="B44747" s="2" t="str">
        <f>"22622"</f>
        <v>22622</v>
      </c>
      <c r="C44747" s="1">
        <v>0</v>
      </c>
      <c r="D44747" s="1">
        <v>1.84808722971724E-4</v>
      </c>
      <c r="E44747" s="1">
        <v>0</v>
      </c>
      <c r="F44747" s="1">
        <v>1.44354303201778E-5</v>
      </c>
    </row>
    <row r="44748" spans="1:6" x14ac:dyDescent="0.25">
      <c r="A44748" s="2" t="str">
        <f t="shared" si="1406"/>
        <v>49020</v>
      </c>
      <c r="B44748" s="2" t="str">
        <f>"22601"</f>
        <v>22601</v>
      </c>
      <c r="C44748" s="1">
        <v>0.21164957911509499</v>
      </c>
      <c r="D44748" s="1">
        <v>0.44557383108482701</v>
      </c>
      <c r="E44748" s="1">
        <v>0.67378752886836002</v>
      </c>
      <c r="F44748" s="1">
        <v>0.24147587839593401</v>
      </c>
    </row>
    <row r="44749" spans="1:6" x14ac:dyDescent="0.25">
      <c r="A44749" s="2" t="str">
        <f t="shared" si="1406"/>
        <v>49020</v>
      </c>
      <c r="B44749" s="2" t="str">
        <f>"26851"</f>
        <v>26851</v>
      </c>
      <c r="C44749" s="1">
        <v>9.6570150166583506E-5</v>
      </c>
      <c r="D44749" s="1">
        <v>0</v>
      </c>
      <c r="E44749" s="1">
        <v>0</v>
      </c>
      <c r="F44749" s="1">
        <v>8.6612581921067001E-5</v>
      </c>
    </row>
    <row r="44750" spans="1:6" x14ac:dyDescent="0.25">
      <c r="A44750" s="2" t="str">
        <f t="shared" si="1406"/>
        <v>49020</v>
      </c>
      <c r="B44750" s="2" t="str">
        <f>"26755"</f>
        <v>26755</v>
      </c>
      <c r="C44750" s="1">
        <v>2.7039642046643299E-3</v>
      </c>
      <c r="D44750" s="1">
        <v>3.69617445943448E-4</v>
      </c>
      <c r="E44750" s="1">
        <v>0</v>
      </c>
      <c r="F44750" s="1">
        <v>2.4540231544302299E-3</v>
      </c>
    </row>
    <row r="44751" spans="1:6" x14ac:dyDescent="0.25">
      <c r="A44751" s="2" t="str">
        <f t="shared" si="1406"/>
        <v>49020</v>
      </c>
      <c r="B44751" s="2" t="str">
        <f>"25434"</f>
        <v>25434</v>
      </c>
      <c r="C44751" s="1">
        <v>1.4099241924321101E-2</v>
      </c>
      <c r="D44751" s="1">
        <v>1.4784697837737901E-3</v>
      </c>
      <c r="E44751" s="1">
        <v>0</v>
      </c>
      <c r="F44751" s="1">
        <v>1.2760920403037199E-2</v>
      </c>
    </row>
    <row r="44752" spans="1:6" x14ac:dyDescent="0.25">
      <c r="A44752" s="2" t="str">
        <f t="shared" si="1406"/>
        <v>49020</v>
      </c>
      <c r="B44752" s="2" t="str">
        <f>"22655"</f>
        <v>22655</v>
      </c>
      <c r="C44752" s="1">
        <v>0.133411662455135</v>
      </c>
      <c r="D44752" s="1">
        <v>4.7126224357789598E-2</v>
      </c>
      <c r="E44752" s="1">
        <v>4.73441108545034E-2</v>
      </c>
      <c r="F44752" s="1">
        <v>0.12452002194185401</v>
      </c>
    </row>
    <row r="44753" spans="1:6" x14ac:dyDescent="0.25">
      <c r="A44753" s="2" t="str">
        <f t="shared" si="1406"/>
        <v>49020</v>
      </c>
      <c r="B44753" s="2" t="str">
        <f>"22630"</f>
        <v>22630</v>
      </c>
      <c r="C44753" s="1">
        <v>9.1419742157699008E-3</v>
      </c>
      <c r="D44753" s="1">
        <v>7.3923489188689698E-4</v>
      </c>
      <c r="E44753" s="1">
        <v>0</v>
      </c>
      <c r="F44753" s="1">
        <v>8.2570661431417194E-3</v>
      </c>
    </row>
    <row r="44754" spans="1:6" x14ac:dyDescent="0.25">
      <c r="A44754" s="2" t="str">
        <f t="shared" si="1406"/>
        <v>49020</v>
      </c>
      <c r="B44754" s="2" t="str">
        <f>"26865"</f>
        <v>26865</v>
      </c>
      <c r="C44754" s="1">
        <v>3.7984259065522801E-3</v>
      </c>
      <c r="D44754" s="1">
        <v>1.6632785067455099E-3</v>
      </c>
      <c r="E44754" s="1">
        <v>0</v>
      </c>
      <c r="F44754" s="1">
        <v>3.5366804284435701E-3</v>
      </c>
    </row>
    <row r="44755" spans="1:6" x14ac:dyDescent="0.25">
      <c r="A44755" s="2" t="str">
        <f t="shared" si="1406"/>
        <v>49020</v>
      </c>
      <c r="B44755" s="2" t="str">
        <f>"25431"</f>
        <v>25431</v>
      </c>
      <c r="C44755" s="1">
        <v>4.3295617324684904E-3</v>
      </c>
      <c r="D44755" s="1">
        <v>5.54426168915172E-4</v>
      </c>
      <c r="E44755" s="1">
        <v>5.7736720554272495E-4</v>
      </c>
      <c r="F44755" s="1">
        <v>3.94087247740855E-3</v>
      </c>
    </row>
    <row r="44756" spans="1:6" x14ac:dyDescent="0.25">
      <c r="A44756" s="2" t="str">
        <f t="shared" si="1406"/>
        <v>49020</v>
      </c>
      <c r="B44756" s="2" t="str">
        <f>"22656"</f>
        <v>22656</v>
      </c>
      <c r="C44756" s="1">
        <v>3.3364986882554598E-2</v>
      </c>
      <c r="D44756" s="1">
        <v>5.1746442432082703E-3</v>
      </c>
      <c r="E44756" s="1">
        <v>5.1963048498845201E-3</v>
      </c>
      <c r="F44756" s="1">
        <v>3.04587579755752E-2</v>
      </c>
    </row>
    <row r="44757" spans="1:6" x14ac:dyDescent="0.25">
      <c r="A44757" s="2" t="str">
        <f t="shared" si="1406"/>
        <v>49020</v>
      </c>
      <c r="B44757" s="2" t="str">
        <f>"22645"</f>
        <v>22645</v>
      </c>
      <c r="C44757" s="1">
        <v>1.8879464357566999E-2</v>
      </c>
      <c r="D44757" s="1">
        <v>9.7948623175013808E-3</v>
      </c>
      <c r="E44757" s="1">
        <v>1.7321016166281698E-2</v>
      </c>
      <c r="F44757" s="1">
        <v>1.8130900482143299E-2</v>
      </c>
    </row>
    <row r="44758" spans="1:6" x14ac:dyDescent="0.25">
      <c r="A44758" s="2" t="str">
        <f t="shared" si="1406"/>
        <v>49020</v>
      </c>
      <c r="B44758" s="2" t="str">
        <f>"26817"</f>
        <v>26817</v>
      </c>
      <c r="C44758" s="1">
        <v>2.2533035038869399E-3</v>
      </c>
      <c r="D44758" s="1">
        <v>1.84808722971724E-4</v>
      </c>
      <c r="E44758" s="1">
        <v>0</v>
      </c>
      <c r="F44758" s="1">
        <v>2.0353956751450698E-3</v>
      </c>
    </row>
    <row r="44759" spans="1:6" x14ac:dyDescent="0.25">
      <c r="A44759" s="2" t="str">
        <f t="shared" si="1406"/>
        <v>49020</v>
      </c>
      <c r="B44759" s="2" t="str">
        <f>"26852"</f>
        <v>26852</v>
      </c>
      <c r="C44759" s="1">
        <v>3.6535706813024E-3</v>
      </c>
      <c r="D44759" s="1">
        <v>1.84808722971724E-4</v>
      </c>
      <c r="E44759" s="1">
        <v>0</v>
      </c>
      <c r="F44759" s="1">
        <v>3.2912781130005398E-3</v>
      </c>
    </row>
    <row r="44760" spans="1:6" x14ac:dyDescent="0.25">
      <c r="A44760" s="2" t="str">
        <f t="shared" si="1406"/>
        <v>49020</v>
      </c>
      <c r="B44760" s="2" t="str">
        <f>"26714"</f>
        <v>26714</v>
      </c>
      <c r="C44760" s="1">
        <v>3.89499605671886E-3</v>
      </c>
      <c r="D44760" s="1">
        <v>1.84808722971724E-4</v>
      </c>
      <c r="E44760" s="1">
        <v>0</v>
      </c>
      <c r="F44760" s="1">
        <v>3.50780956780321E-3</v>
      </c>
    </row>
    <row r="44761" spans="1:6" x14ac:dyDescent="0.25">
      <c r="A44761" s="2" t="str">
        <f t="shared" si="1406"/>
        <v>49020</v>
      </c>
      <c r="B44761" s="2" t="str">
        <f>"26711"</f>
        <v>26711</v>
      </c>
      <c r="C44761" s="1">
        <v>1.5837504627319601E-2</v>
      </c>
      <c r="D44761" s="1">
        <v>5.7290704121234501E-3</v>
      </c>
      <c r="E44761" s="1">
        <v>1.1547344110854499E-3</v>
      </c>
      <c r="F44761" s="1">
        <v>1.46808326356208E-2</v>
      </c>
    </row>
    <row r="44762" spans="1:6" x14ac:dyDescent="0.25">
      <c r="A44762" s="2" t="str">
        <f t="shared" si="1406"/>
        <v>49020</v>
      </c>
      <c r="B44762" s="2" t="str">
        <f>"26704"</f>
        <v>26704</v>
      </c>
      <c r="C44762" s="1">
        <v>5.1874265664483103E-2</v>
      </c>
      <c r="D44762" s="1">
        <v>6.8379227499537898E-3</v>
      </c>
      <c r="E44762" s="1">
        <v>0</v>
      </c>
      <c r="F44762" s="1">
        <v>4.7059502843779702E-2</v>
      </c>
    </row>
    <row r="44763" spans="1:6" x14ac:dyDescent="0.25">
      <c r="A44763" s="2" t="str">
        <f t="shared" si="1406"/>
        <v>49020</v>
      </c>
      <c r="B44763" s="2" t="str">
        <f>"22663"</f>
        <v>22663</v>
      </c>
      <c r="C44763" s="1">
        <v>6.4862950861888499E-3</v>
      </c>
      <c r="D44763" s="1">
        <v>6.6531140269820701E-3</v>
      </c>
      <c r="E44763" s="1">
        <v>2.3094688221708998E-3</v>
      </c>
      <c r="F44763" s="1">
        <v>6.3948956318387803E-3</v>
      </c>
    </row>
    <row r="44764" spans="1:6" x14ac:dyDescent="0.25">
      <c r="A44764" s="2" t="str">
        <f t="shared" si="1406"/>
        <v>49020</v>
      </c>
      <c r="B44764" s="2" t="str">
        <f>"22654"</f>
        <v>22654</v>
      </c>
      <c r="C44764" s="1">
        <v>4.1847065072186098E-3</v>
      </c>
      <c r="D44764" s="1">
        <v>2.0328959526889601E-3</v>
      </c>
      <c r="E44764" s="1">
        <v>5.7736720554272495E-4</v>
      </c>
      <c r="F44764" s="1">
        <v>3.9264370470883702E-3</v>
      </c>
    </row>
    <row r="44765" spans="1:6" x14ac:dyDescent="0.25">
      <c r="A44765" s="2" t="str">
        <f t="shared" si="1406"/>
        <v>49020</v>
      </c>
      <c r="B44765" s="2" t="str">
        <f>"25444"</f>
        <v>25444</v>
      </c>
      <c r="C44765" s="1">
        <v>3.8467109816355699E-3</v>
      </c>
      <c r="D44765" s="1">
        <v>1.29366106080206E-3</v>
      </c>
      <c r="E44765" s="1">
        <v>0</v>
      </c>
      <c r="F44765" s="1">
        <v>3.5511158587637399E-3</v>
      </c>
    </row>
    <row r="44766" spans="1:6" x14ac:dyDescent="0.25">
      <c r="A44766" s="2" t="str">
        <f t="shared" si="1406"/>
        <v>49020</v>
      </c>
      <c r="B44766" s="2" t="str">
        <f>"22604"</f>
        <v>22604</v>
      </c>
      <c r="C44766" s="1">
        <v>3.0644927652862499E-2</v>
      </c>
      <c r="D44766" s="1">
        <v>0.115505451857327</v>
      </c>
      <c r="E44766" s="1">
        <v>5.7736720554272495E-4</v>
      </c>
      <c r="F44766" s="1">
        <v>3.6521638710049903E-2</v>
      </c>
    </row>
    <row r="44767" spans="1:6" x14ac:dyDescent="0.25">
      <c r="A44767" s="2" t="str">
        <f t="shared" si="1406"/>
        <v>49020</v>
      </c>
      <c r="B44767" s="2" t="str">
        <f>"22602"</f>
        <v>22602</v>
      </c>
      <c r="C44767" s="1">
        <v>0.19961050039432801</v>
      </c>
      <c r="D44767" s="1">
        <v>0.141009055627425</v>
      </c>
      <c r="E44767" s="1">
        <v>0.12759815242494199</v>
      </c>
      <c r="F44767" s="1">
        <v>0.19323267026589999</v>
      </c>
    </row>
    <row r="44768" spans="1:6" x14ac:dyDescent="0.25">
      <c r="A44768" s="2" t="str">
        <f t="shared" si="1406"/>
        <v>49020</v>
      </c>
      <c r="B44768" s="2" t="str">
        <f>"26823"</f>
        <v>26823</v>
      </c>
      <c r="C44768" s="1">
        <v>0</v>
      </c>
      <c r="D44768" s="1">
        <v>1.84808722971724E-4</v>
      </c>
      <c r="E44768" s="1">
        <v>0</v>
      </c>
      <c r="F44768" s="1">
        <v>1.44354303201778E-5</v>
      </c>
    </row>
    <row r="44769" spans="1:6" x14ac:dyDescent="0.25">
      <c r="A44769" s="2" t="str">
        <f t="shared" si="1406"/>
        <v>49020</v>
      </c>
      <c r="B44769" s="2" t="str">
        <f>"26818"</f>
        <v>26818</v>
      </c>
      <c r="C44769" s="1">
        <v>6.4380100111055598E-5</v>
      </c>
      <c r="D44769" s="1">
        <v>0</v>
      </c>
      <c r="E44769" s="1">
        <v>0</v>
      </c>
      <c r="F44769" s="1">
        <v>5.77417212807113E-5</v>
      </c>
    </row>
    <row r="44770" spans="1:6" x14ac:dyDescent="0.25">
      <c r="A44770" s="2" t="str">
        <f t="shared" si="1406"/>
        <v>49020</v>
      </c>
      <c r="B44770" s="2" t="str">
        <f>"26757"</f>
        <v>26757</v>
      </c>
      <c r="C44770" s="1">
        <v>4.8896686034346701E-2</v>
      </c>
      <c r="D44770" s="1">
        <v>5.48881907226021E-2</v>
      </c>
      <c r="E44770" s="1">
        <v>3.5219399538106197E-2</v>
      </c>
      <c r="F44770" s="1">
        <v>4.9022721367323899E-2</v>
      </c>
    </row>
    <row r="44771" spans="1:6" x14ac:dyDescent="0.25">
      <c r="A44771" s="2" t="str">
        <f t="shared" si="1406"/>
        <v>49020</v>
      </c>
      <c r="B44771" s="2" t="str">
        <f>"25422"</f>
        <v>25422</v>
      </c>
      <c r="C44771" s="1">
        <v>4.8285075083291699E-5</v>
      </c>
      <c r="D44771" s="1">
        <v>0</v>
      </c>
      <c r="E44771" s="1">
        <v>0</v>
      </c>
      <c r="F44771" s="1">
        <v>4.33062909605335E-5</v>
      </c>
    </row>
    <row r="44772" spans="1:6" x14ac:dyDescent="0.25">
      <c r="A44772" s="2" t="str">
        <f t="shared" si="1406"/>
        <v>49020</v>
      </c>
      <c r="B44772" s="2" t="str">
        <f>"22625"</f>
        <v>22625</v>
      </c>
      <c r="C44772" s="1">
        <v>2.5752040044422199E-2</v>
      </c>
      <c r="D44772" s="1">
        <v>1.4784697837737901E-3</v>
      </c>
      <c r="E44772" s="1">
        <v>5.7736720554272495E-4</v>
      </c>
      <c r="F44772" s="1">
        <v>2.32266073851661E-2</v>
      </c>
    </row>
    <row r="44773" spans="1:6" x14ac:dyDescent="0.25">
      <c r="A44773" s="2" t="str">
        <f t="shared" si="1406"/>
        <v>49020</v>
      </c>
      <c r="B44773" s="2" t="str">
        <f>"22624"</f>
        <v>22624</v>
      </c>
      <c r="C44773" s="1">
        <v>1.66261608536801E-2</v>
      </c>
      <c r="D44773" s="1">
        <v>1.0164479763444799E-2</v>
      </c>
      <c r="E44773" s="1">
        <v>5.1963048498845201E-3</v>
      </c>
      <c r="F44773" s="1">
        <v>1.5835667061235001E-2</v>
      </c>
    </row>
    <row r="44774" spans="1:6" x14ac:dyDescent="0.25">
      <c r="A44774" s="2" t="str">
        <f t="shared" ref="A44774:A44820" si="1407">"31340"</f>
        <v>31340</v>
      </c>
      <c r="B44774" s="2" t="str">
        <f>"24506"</f>
        <v>24506</v>
      </c>
      <c r="C44774" s="1">
        <v>7.1630288908831902E-3</v>
      </c>
      <c r="D44774" s="1">
        <v>3.37319494584837E-2</v>
      </c>
      <c r="E44774" s="1">
        <v>6.0864272671941496E-4</v>
      </c>
      <c r="F44774" s="1">
        <v>8.7645108414978207E-3</v>
      </c>
    </row>
    <row r="44775" spans="1:6" x14ac:dyDescent="0.25">
      <c r="A44775" s="2" t="str">
        <f t="shared" si="1407"/>
        <v>31340</v>
      </c>
      <c r="B44775" s="2" t="str">
        <f>"24483"</f>
        <v>24483</v>
      </c>
      <c r="C44775" s="1">
        <v>8.4803675374823997E-4</v>
      </c>
      <c r="D44775" s="1">
        <v>1.12815884476534E-4</v>
      </c>
      <c r="E44775" s="1">
        <v>6.0864272671941496E-4</v>
      </c>
      <c r="F44775" s="1">
        <v>7.9337160478118603E-4</v>
      </c>
    </row>
    <row r="44776" spans="1:6" x14ac:dyDescent="0.25">
      <c r="A44776" s="2" t="str">
        <f t="shared" si="1407"/>
        <v>31340</v>
      </c>
      <c r="B44776" s="2" t="str">
        <f>"23960"</f>
        <v>23960</v>
      </c>
      <c r="C44776" s="1">
        <v>9.8800398494940499E-5</v>
      </c>
      <c r="D44776" s="1">
        <v>0</v>
      </c>
      <c r="E44776" s="1">
        <v>0</v>
      </c>
      <c r="F44776" s="1">
        <v>8.9815653371454996E-5</v>
      </c>
    </row>
    <row r="44777" spans="1:6" x14ac:dyDescent="0.25">
      <c r="A44777" s="2" t="str">
        <f t="shared" si="1407"/>
        <v>31340</v>
      </c>
      <c r="B44777" s="2" t="str">
        <f>"24521"</f>
        <v>24521</v>
      </c>
      <c r="C44777" s="1">
        <v>3.4991807800291402E-2</v>
      </c>
      <c r="D44777" s="1">
        <v>1.6245487364620899E-2</v>
      </c>
      <c r="E44777" s="1">
        <v>1.82592818015824E-2</v>
      </c>
      <c r="F44777" s="1">
        <v>3.3336576676371701E-2</v>
      </c>
    </row>
    <row r="44778" spans="1:6" x14ac:dyDescent="0.25">
      <c r="A44778" s="2" t="str">
        <f t="shared" si="1407"/>
        <v>31340</v>
      </c>
      <c r="B44778" s="2" t="str">
        <f>"24569"</f>
        <v>24569</v>
      </c>
      <c r="C44778" s="1">
        <v>6.3396922367586804E-4</v>
      </c>
      <c r="D44778" s="1">
        <v>4.5126353790613698E-4</v>
      </c>
      <c r="E44778" s="1">
        <v>3.0432136335970699E-4</v>
      </c>
      <c r="F44778" s="1">
        <v>6.1374029803827601E-4</v>
      </c>
    </row>
    <row r="44779" spans="1:6" x14ac:dyDescent="0.25">
      <c r="A44779" s="2" t="str">
        <f t="shared" si="1407"/>
        <v>31340</v>
      </c>
      <c r="B44779" s="2" t="str">
        <f>"24572"</f>
        <v>24572</v>
      </c>
      <c r="C44779" s="1">
        <v>6.13138806326518E-2</v>
      </c>
      <c r="D44779" s="1">
        <v>4.5690433212996297E-2</v>
      </c>
      <c r="E44779" s="1">
        <v>4.3822276323797899E-2</v>
      </c>
      <c r="F44779" s="1">
        <v>5.9847163696512898E-2</v>
      </c>
    </row>
    <row r="44780" spans="1:6" x14ac:dyDescent="0.25">
      <c r="A44780" s="2" t="str">
        <f t="shared" si="1407"/>
        <v>31340</v>
      </c>
      <c r="B44780" s="2" t="str">
        <f>"24556"</f>
        <v>24556</v>
      </c>
      <c r="C44780" s="1">
        <v>1.1098578097598301E-2</v>
      </c>
      <c r="D44780" s="1">
        <v>2.93321299638989E-3</v>
      </c>
      <c r="E44780" s="1">
        <v>1.82592818015824E-3</v>
      </c>
      <c r="F44780" s="1">
        <v>1.03288001377173E-2</v>
      </c>
    </row>
    <row r="44781" spans="1:6" x14ac:dyDescent="0.25">
      <c r="A44781" s="2" t="str">
        <f t="shared" si="1407"/>
        <v>31340</v>
      </c>
      <c r="B44781" s="2" t="str">
        <f>"24553"</f>
        <v>24553</v>
      </c>
      <c r="C44781" s="1">
        <v>4.0508163382925602E-3</v>
      </c>
      <c r="D44781" s="1">
        <v>4.5126353790613698E-4</v>
      </c>
      <c r="E44781" s="1">
        <v>6.0864272671941496E-4</v>
      </c>
      <c r="F44781" s="1">
        <v>3.7273496149153799E-3</v>
      </c>
    </row>
    <row r="44782" spans="1:6" x14ac:dyDescent="0.25">
      <c r="A44782" s="2" t="str">
        <f t="shared" si="1407"/>
        <v>31340</v>
      </c>
      <c r="B44782" s="2" t="str">
        <f>"24122"</f>
        <v>24122</v>
      </c>
      <c r="C44782" s="1">
        <v>6.1173913401450699E-3</v>
      </c>
      <c r="D44782" s="1">
        <v>1.1281588447653399E-3</v>
      </c>
      <c r="E44782" s="1">
        <v>6.0864272671941496E-4</v>
      </c>
      <c r="F44782" s="1">
        <v>5.6509015246207104E-3</v>
      </c>
    </row>
    <row r="44783" spans="1:6" x14ac:dyDescent="0.25">
      <c r="A44783" s="2" t="str">
        <f t="shared" si="1407"/>
        <v>31340</v>
      </c>
      <c r="B44783" s="2" t="str">
        <f>"24528"</f>
        <v>24528</v>
      </c>
      <c r="C44783" s="1">
        <v>9.6659723194216802E-3</v>
      </c>
      <c r="D44783" s="1">
        <v>7.3330324909747198E-3</v>
      </c>
      <c r="E44783" s="1">
        <v>7.3037127206329799E-3</v>
      </c>
      <c r="F44783" s="1">
        <v>9.4530975173456391E-3</v>
      </c>
    </row>
    <row r="44784" spans="1:6" x14ac:dyDescent="0.25">
      <c r="A44784" s="2" t="str">
        <f t="shared" si="1407"/>
        <v>31340</v>
      </c>
      <c r="B44784" s="2" t="str">
        <f>"24513"</f>
        <v>24513</v>
      </c>
      <c r="C44784" s="1">
        <v>0</v>
      </c>
      <c r="D44784" s="1">
        <v>0</v>
      </c>
      <c r="E44784" s="1">
        <v>1.2172854534388299E-3</v>
      </c>
      <c r="F44784" s="1">
        <v>2.9938551123818301E-5</v>
      </c>
    </row>
    <row r="44785" spans="1:6" x14ac:dyDescent="0.25">
      <c r="A44785" s="2" t="str">
        <f t="shared" si="1407"/>
        <v>31340</v>
      </c>
      <c r="B44785" s="2" t="str">
        <f>"24522"</f>
        <v>24522</v>
      </c>
      <c r="C44785" s="1">
        <v>3.5148241764575101E-2</v>
      </c>
      <c r="D44785" s="1">
        <v>2.1096570397111901E-2</v>
      </c>
      <c r="E44785" s="1">
        <v>3.65185636031649E-3</v>
      </c>
      <c r="F44785" s="1">
        <v>3.34413616053051E-2</v>
      </c>
    </row>
    <row r="44786" spans="1:6" x14ac:dyDescent="0.25">
      <c r="A44786" s="2" t="str">
        <f t="shared" si="1407"/>
        <v>31340</v>
      </c>
      <c r="B44786" s="2" t="str">
        <f>"24504"</f>
        <v>24504</v>
      </c>
      <c r="C44786" s="1">
        <v>4.2327737388540801E-2</v>
      </c>
      <c r="D44786" s="1">
        <v>8.8786101083032407E-2</v>
      </c>
      <c r="E44786" s="1">
        <v>0.109555690809494</v>
      </c>
      <c r="F44786" s="1">
        <v>4.7063402366642401E-2</v>
      </c>
    </row>
    <row r="44787" spans="1:6" x14ac:dyDescent="0.25">
      <c r="A44787" s="2" t="str">
        <f t="shared" si="1407"/>
        <v>31340</v>
      </c>
      <c r="B44787" s="2" t="str">
        <f>"24523"</f>
        <v>24523</v>
      </c>
      <c r="C44787" s="1">
        <v>7.5318837119309701E-2</v>
      </c>
      <c r="D44787" s="1">
        <v>8.1001805054151596E-2</v>
      </c>
      <c r="E44787" s="1">
        <v>5.0213024954351697E-2</v>
      </c>
      <c r="F44787" s="1">
        <v>7.5078401580755405E-2</v>
      </c>
    </row>
    <row r="44788" spans="1:6" x14ac:dyDescent="0.25">
      <c r="A44788" s="2" t="str">
        <f t="shared" si="1407"/>
        <v>31340</v>
      </c>
      <c r="B44788" s="2" t="str">
        <f>"24570"</f>
        <v>24570</v>
      </c>
      <c r="C44788" s="1">
        <v>1.2350049811867499E-4</v>
      </c>
      <c r="D44788" s="1">
        <v>0</v>
      </c>
      <c r="E44788" s="1">
        <v>3.0432136335970699E-4</v>
      </c>
      <c r="F44788" s="1">
        <v>1.19754204495273E-4</v>
      </c>
    </row>
    <row r="44789" spans="1:6" x14ac:dyDescent="0.25">
      <c r="A44789" s="2" t="str">
        <f t="shared" si="1407"/>
        <v>31340</v>
      </c>
      <c r="B44789" s="2" t="str">
        <f>"24588"</f>
        <v>24588</v>
      </c>
      <c r="C44789" s="1">
        <v>3.4020270548424499E-2</v>
      </c>
      <c r="D44789" s="1">
        <v>2.0306859205776101E-2</v>
      </c>
      <c r="E44789" s="1">
        <v>1.12598904443091E-2</v>
      </c>
      <c r="F44789" s="1">
        <v>3.25506897093715E-2</v>
      </c>
    </row>
    <row r="44790" spans="1:6" x14ac:dyDescent="0.25">
      <c r="A44790" s="2" t="str">
        <f t="shared" si="1407"/>
        <v>31340</v>
      </c>
      <c r="B44790" s="2" t="str">
        <f>"24593"</f>
        <v>24593</v>
      </c>
      <c r="C44790" s="1">
        <v>7.3688630544143097E-3</v>
      </c>
      <c r="D44790" s="1">
        <v>2.4819494584837499E-3</v>
      </c>
      <c r="E44790" s="1">
        <v>3.0432136335970699E-4</v>
      </c>
      <c r="F44790" s="1">
        <v>6.8708974829163102E-3</v>
      </c>
    </row>
    <row r="44791" spans="1:6" x14ac:dyDescent="0.25">
      <c r="A44791" s="2" t="str">
        <f t="shared" si="1407"/>
        <v>31340</v>
      </c>
      <c r="B44791" s="2" t="str">
        <f>"24503"</f>
        <v>24503</v>
      </c>
      <c r="C44791" s="1">
        <v>7.5302370386227196E-2</v>
      </c>
      <c r="D44791" s="1">
        <v>4.76083032490974E-2</v>
      </c>
      <c r="E44791" s="1">
        <v>6.90809494826536E-2</v>
      </c>
      <c r="F44791" s="1">
        <v>7.3312027064450197E-2</v>
      </c>
    </row>
    <row r="44792" spans="1:6" x14ac:dyDescent="0.25">
      <c r="A44792" s="2" t="str">
        <f t="shared" si="1407"/>
        <v>31340</v>
      </c>
      <c r="B44792" s="2" t="str">
        <f>"24179"</f>
        <v>24179</v>
      </c>
      <c r="C44792" s="1">
        <v>2.3498028108713299E-2</v>
      </c>
      <c r="D44792" s="1">
        <v>1.0604693140794199E-2</v>
      </c>
      <c r="E44792" s="1">
        <v>6.9993913572732802E-3</v>
      </c>
      <c r="F44792" s="1">
        <v>2.2236858847216E-2</v>
      </c>
    </row>
    <row r="44793" spans="1:6" x14ac:dyDescent="0.25">
      <c r="A44793" s="2" t="str">
        <f t="shared" si="1407"/>
        <v>31340</v>
      </c>
      <c r="B44793" s="2" t="str">
        <f>"24121"</f>
        <v>24121</v>
      </c>
      <c r="C44793" s="1">
        <v>3.5922178219452101E-2</v>
      </c>
      <c r="D44793" s="1">
        <v>4.6141696750902503E-2</v>
      </c>
      <c r="E44793" s="1">
        <v>1.4911746804625601E-2</v>
      </c>
      <c r="F44793" s="1">
        <v>3.6083438741981999E-2</v>
      </c>
    </row>
    <row r="44794" spans="1:6" x14ac:dyDescent="0.25">
      <c r="A44794" s="2" t="str">
        <f t="shared" si="1407"/>
        <v>31340</v>
      </c>
      <c r="B44794" s="2" t="str">
        <f>"24064"</f>
        <v>24064</v>
      </c>
      <c r="C44794" s="1">
        <v>5.4998888495516899E-3</v>
      </c>
      <c r="D44794" s="1">
        <v>1.35379061371841E-3</v>
      </c>
      <c r="E44794" s="1">
        <v>0</v>
      </c>
      <c r="F44794" s="1">
        <v>5.08955369104912E-3</v>
      </c>
    </row>
    <row r="44795" spans="1:6" x14ac:dyDescent="0.25">
      <c r="A44795" s="2" t="str">
        <f t="shared" si="1407"/>
        <v>31340</v>
      </c>
      <c r="B44795" s="2" t="str">
        <f>"24514"</f>
        <v>24514</v>
      </c>
      <c r="C44795" s="1">
        <v>0</v>
      </c>
      <c r="D44795" s="1">
        <v>2.25631768953068E-4</v>
      </c>
      <c r="E44795" s="1">
        <v>0</v>
      </c>
      <c r="F44795" s="1">
        <v>1.49692755619091E-5</v>
      </c>
    </row>
    <row r="44796" spans="1:6" x14ac:dyDescent="0.25">
      <c r="A44796" s="2" t="str">
        <f t="shared" si="1407"/>
        <v>31340</v>
      </c>
      <c r="B44796" s="2" t="str">
        <f>"24595"</f>
        <v>24595</v>
      </c>
      <c r="C44796" s="1">
        <v>0</v>
      </c>
      <c r="D44796" s="1">
        <v>0</v>
      </c>
      <c r="E44796" s="1">
        <v>6.0864272671941496E-4</v>
      </c>
      <c r="F44796" s="1">
        <v>1.49692755619091E-5</v>
      </c>
    </row>
    <row r="44797" spans="1:6" x14ac:dyDescent="0.25">
      <c r="A44797" s="2" t="str">
        <f t="shared" si="1407"/>
        <v>31340</v>
      </c>
      <c r="B44797" s="2" t="str">
        <f>"24502"</f>
        <v>24502</v>
      </c>
      <c r="C44797" s="1">
        <v>0.16342409247717199</v>
      </c>
      <c r="D44797" s="1">
        <v>0.22980595667869999</v>
      </c>
      <c r="E44797" s="1">
        <v>0.27814972611077199</v>
      </c>
      <c r="F44797" s="1">
        <v>0.170649741405764</v>
      </c>
    </row>
    <row r="44798" spans="1:6" x14ac:dyDescent="0.25">
      <c r="A44798" s="2" t="str">
        <f t="shared" si="1407"/>
        <v>31340</v>
      </c>
      <c r="B44798" s="2" t="str">
        <f>"24501"</f>
        <v>24501</v>
      </c>
      <c r="C44798" s="1">
        <v>0.10666326354182901</v>
      </c>
      <c r="D44798" s="1">
        <v>0.156701263537906</v>
      </c>
      <c r="E44798" s="1">
        <v>0.19811320754716899</v>
      </c>
      <c r="F44798" s="1">
        <v>0.112232143525414</v>
      </c>
    </row>
    <row r="44799" spans="1:6" x14ac:dyDescent="0.25">
      <c r="A44799" s="2" t="str">
        <f t="shared" si="1407"/>
        <v>31340</v>
      </c>
      <c r="B44799" s="2" t="str">
        <f>"24139"</f>
        <v>24139</v>
      </c>
      <c r="C44799" s="1">
        <v>4.4460179322723198E-4</v>
      </c>
      <c r="D44799" s="1">
        <v>0</v>
      </c>
      <c r="E44799" s="1">
        <v>0</v>
      </c>
      <c r="F44799" s="1">
        <v>4.0417044017154703E-4</v>
      </c>
    </row>
    <row r="44800" spans="1:6" x14ac:dyDescent="0.25">
      <c r="A44800" s="2" t="str">
        <f t="shared" si="1407"/>
        <v>31340</v>
      </c>
      <c r="B44800" s="2" t="str">
        <f>"22967"</f>
        <v>22967</v>
      </c>
      <c r="C44800" s="1">
        <v>1.0291708176556301E-3</v>
      </c>
      <c r="D44800" s="1">
        <v>1.12815884476534E-4</v>
      </c>
      <c r="E44800" s="1">
        <v>0</v>
      </c>
      <c r="F44800" s="1">
        <v>9.4306436040027795E-4</v>
      </c>
    </row>
    <row r="44801" spans="1:6" x14ac:dyDescent="0.25">
      <c r="A44801" s="2" t="str">
        <f t="shared" si="1407"/>
        <v>31340</v>
      </c>
      <c r="B44801" s="2" t="str">
        <f>"24533"</f>
        <v>24533</v>
      </c>
      <c r="C44801" s="1">
        <v>0</v>
      </c>
      <c r="D44801" s="1">
        <v>0</v>
      </c>
      <c r="E44801" s="1">
        <v>3.0432136335970699E-4</v>
      </c>
      <c r="F44801" s="1">
        <v>7.4846377809545897E-6</v>
      </c>
    </row>
    <row r="44802" spans="1:6" x14ac:dyDescent="0.25">
      <c r="A44802" s="2" t="str">
        <f t="shared" si="1407"/>
        <v>31340</v>
      </c>
      <c r="B44802" s="2" t="str">
        <f>"24526"</f>
        <v>24526</v>
      </c>
      <c r="C44802" s="1">
        <v>6.0597577743563497E-3</v>
      </c>
      <c r="D44802" s="1">
        <v>1.57942238267148E-3</v>
      </c>
      <c r="E44802" s="1">
        <v>3.0432136335970699E-4</v>
      </c>
      <c r="F44802" s="1">
        <v>5.6209629734968901E-3</v>
      </c>
    </row>
    <row r="44803" spans="1:6" x14ac:dyDescent="0.25">
      <c r="A44803" s="2" t="str">
        <f t="shared" si="1407"/>
        <v>31340</v>
      </c>
      <c r="B44803" s="2" t="str">
        <f>"24551"</f>
        <v>24551</v>
      </c>
      <c r="C44803" s="1">
        <v>9.0822266316474096E-2</v>
      </c>
      <c r="D44803" s="1">
        <v>0.109431407942238</v>
      </c>
      <c r="E44803" s="1">
        <v>0.11655508216676801</v>
      </c>
      <c r="F44803" s="1">
        <v>9.2689754279341605E-2</v>
      </c>
    </row>
    <row r="44804" spans="1:6" x14ac:dyDescent="0.25">
      <c r="A44804" s="2" t="str">
        <f t="shared" si="1407"/>
        <v>31340</v>
      </c>
      <c r="B44804" s="2" t="str">
        <f>"24550"</f>
        <v>24550</v>
      </c>
      <c r="C44804" s="1">
        <v>2.7318310183850999E-2</v>
      </c>
      <c r="D44804" s="1">
        <v>6.9945848375451199E-3</v>
      </c>
      <c r="E44804" s="1">
        <v>1.12598904443091E-2</v>
      </c>
      <c r="F44804" s="1">
        <v>2.5575007297521799E-2</v>
      </c>
    </row>
    <row r="44805" spans="1:6" x14ac:dyDescent="0.25">
      <c r="A44805" s="2" t="str">
        <f t="shared" si="1407"/>
        <v>31340</v>
      </c>
      <c r="B44805" s="2" t="str">
        <f>"24104"</f>
        <v>24104</v>
      </c>
      <c r="C44805" s="1">
        <v>1.9661279300493099E-2</v>
      </c>
      <c r="D44805" s="1">
        <v>7.5586642599277899E-3</v>
      </c>
      <c r="E44805" s="1">
        <v>6.0864272671941498E-3</v>
      </c>
      <c r="F44805" s="1">
        <v>1.85244785078626E-2</v>
      </c>
    </row>
    <row r="44806" spans="1:6" x14ac:dyDescent="0.25">
      <c r="A44806" s="2" t="str">
        <f t="shared" si="1407"/>
        <v>31340</v>
      </c>
      <c r="B44806" s="2" t="str">
        <f>"24554"</f>
        <v>24554</v>
      </c>
      <c r="C44806" s="1">
        <v>1.53140617667157E-2</v>
      </c>
      <c r="D44806" s="1">
        <v>4.9638989169674998E-3</v>
      </c>
      <c r="E44806" s="1">
        <v>2.4345709068776598E-3</v>
      </c>
      <c r="F44806" s="1">
        <v>1.43106274371851E-2</v>
      </c>
    </row>
    <row r="44807" spans="1:6" x14ac:dyDescent="0.25">
      <c r="A44807" s="2" t="str">
        <f t="shared" si="1407"/>
        <v>31340</v>
      </c>
      <c r="B44807" s="2" t="str">
        <f>"23963"</f>
        <v>23963</v>
      </c>
      <c r="C44807" s="1">
        <v>4.3636842668598702E-4</v>
      </c>
      <c r="D44807" s="1">
        <v>0</v>
      </c>
      <c r="E44807" s="1">
        <v>0</v>
      </c>
      <c r="F44807" s="1">
        <v>3.9668580239059302E-4</v>
      </c>
    </row>
    <row r="44808" spans="1:6" x14ac:dyDescent="0.25">
      <c r="A44808" s="2" t="str">
        <f t="shared" si="1407"/>
        <v>31340</v>
      </c>
      <c r="B44808" s="2" t="str">
        <f>"23958"</f>
        <v>23958</v>
      </c>
      <c r="C44808" s="1">
        <v>5.4422552837629697E-3</v>
      </c>
      <c r="D44808" s="1">
        <v>1.24097472924187E-3</v>
      </c>
      <c r="E44808" s="1">
        <v>3.0432136335970699E-4</v>
      </c>
      <c r="F44808" s="1">
        <v>5.03716122658243E-3</v>
      </c>
    </row>
    <row r="44809" spans="1:6" x14ac:dyDescent="0.25">
      <c r="A44809" s="2" t="str">
        <f t="shared" si="1407"/>
        <v>31340</v>
      </c>
      <c r="B44809" s="2" t="str">
        <f>"24101"</f>
        <v>24101</v>
      </c>
      <c r="C44809" s="1">
        <v>3.0875124529668898E-3</v>
      </c>
      <c r="D44809" s="1">
        <v>4.5126353790613698E-4</v>
      </c>
      <c r="E44809" s="1">
        <v>6.0864272671941496E-4</v>
      </c>
      <c r="F44809" s="1">
        <v>2.8516469945436898E-3</v>
      </c>
    </row>
    <row r="44810" spans="1:6" x14ac:dyDescent="0.25">
      <c r="A44810" s="2" t="str">
        <f t="shared" si="1407"/>
        <v>31340</v>
      </c>
      <c r="B44810" s="2" t="str">
        <f>"24095"</f>
        <v>24095</v>
      </c>
      <c r="C44810" s="1">
        <v>1.7685271330594301E-2</v>
      </c>
      <c r="D44810" s="1">
        <v>3.2716606498194899E-3</v>
      </c>
      <c r="E44810" s="1">
        <v>4.2604990870359002E-3</v>
      </c>
      <c r="F44810" s="1">
        <v>1.6398841378071499E-2</v>
      </c>
    </row>
    <row r="44811" spans="1:6" x14ac:dyDescent="0.25">
      <c r="A44811" s="2" t="str">
        <f t="shared" si="1407"/>
        <v>31340</v>
      </c>
      <c r="B44811" s="2" t="str">
        <f>"22922"</f>
        <v>22922</v>
      </c>
      <c r="C44811" s="1">
        <v>5.1870209209843804E-4</v>
      </c>
      <c r="D44811" s="1">
        <v>3.3844765342960201E-4</v>
      </c>
      <c r="E44811" s="1">
        <v>0</v>
      </c>
      <c r="F44811" s="1">
        <v>4.9398609354300198E-4</v>
      </c>
    </row>
    <row r="44812" spans="1:6" x14ac:dyDescent="0.25">
      <c r="A44812" s="2" t="str">
        <f t="shared" si="1407"/>
        <v>31340</v>
      </c>
      <c r="B44812" s="2" t="str">
        <f>"24538"</f>
        <v>24538</v>
      </c>
      <c r="C44812" s="1">
        <v>1.6590233580608699E-2</v>
      </c>
      <c r="D44812" s="1">
        <v>5.1895306859205698E-3</v>
      </c>
      <c r="E44812" s="1">
        <v>1.5216068167985301E-3</v>
      </c>
      <c r="F44812" s="1">
        <v>1.54632616554521E-2</v>
      </c>
    </row>
    <row r="44813" spans="1:6" x14ac:dyDescent="0.25">
      <c r="A44813" s="2" t="str">
        <f t="shared" si="1407"/>
        <v>31340</v>
      </c>
      <c r="B44813" s="2" t="str">
        <f>"24515"</f>
        <v>24515</v>
      </c>
      <c r="C44813" s="1">
        <v>0</v>
      </c>
      <c r="D44813" s="1">
        <v>5.6407942238267104E-4</v>
      </c>
      <c r="E44813" s="1">
        <v>0</v>
      </c>
      <c r="F44813" s="1">
        <v>3.7423188904772898E-5</v>
      </c>
    </row>
    <row r="44814" spans="1:6" x14ac:dyDescent="0.25">
      <c r="A44814" s="2" t="str">
        <f t="shared" si="1407"/>
        <v>31340</v>
      </c>
      <c r="B44814" s="2" t="str">
        <f>"24517"</f>
        <v>24517</v>
      </c>
      <c r="C44814" s="1">
        <v>2.25511909564701E-2</v>
      </c>
      <c r="D44814" s="1">
        <v>3.73420577617328E-2</v>
      </c>
      <c r="E44814" s="1">
        <v>2.9823493609251302E-2</v>
      </c>
      <c r="F44814" s="1">
        <v>2.3711332490064099E-2</v>
      </c>
    </row>
    <row r="44815" spans="1:6" x14ac:dyDescent="0.25">
      <c r="A44815" s="2" t="str">
        <f t="shared" si="1407"/>
        <v>31340</v>
      </c>
      <c r="B44815" s="2" t="str">
        <f>"24576"</f>
        <v>24576</v>
      </c>
      <c r="C44815" s="1">
        <v>0</v>
      </c>
      <c r="D44815" s="1">
        <v>0</v>
      </c>
      <c r="E44815" s="1">
        <v>3.0432136335970699E-4</v>
      </c>
      <c r="F44815" s="1">
        <v>7.4846377809545897E-6</v>
      </c>
    </row>
    <row r="44816" spans="1:6" x14ac:dyDescent="0.25">
      <c r="A44816" s="2" t="str">
        <f t="shared" si="1407"/>
        <v>31340</v>
      </c>
      <c r="B44816" s="2" t="str">
        <f>"24571"</f>
        <v>24571</v>
      </c>
      <c r="C44816" s="1">
        <v>7.6899643495228704E-3</v>
      </c>
      <c r="D44816" s="1">
        <v>1.6922382671480101E-3</v>
      </c>
      <c r="E44816" s="1">
        <v>3.0432136335970699E-4</v>
      </c>
      <c r="F44816" s="1">
        <v>7.1104058919068602E-3</v>
      </c>
    </row>
    <row r="44817" spans="1:6" x14ac:dyDescent="0.25">
      <c r="A44817" s="2" t="str">
        <f t="shared" si="1407"/>
        <v>31340</v>
      </c>
      <c r="B44817" s="2" t="str">
        <f>"24174"</f>
        <v>24174</v>
      </c>
      <c r="C44817" s="1">
        <v>9.2872374585244097E-3</v>
      </c>
      <c r="D44817" s="1">
        <v>2.2563176895306798E-3</v>
      </c>
      <c r="E44817" s="1">
        <v>3.0432136335970699E-4</v>
      </c>
      <c r="F44817" s="1">
        <v>8.5998488103168208E-3</v>
      </c>
    </row>
    <row r="44818" spans="1:6" x14ac:dyDescent="0.25">
      <c r="A44818" s="2" t="str">
        <f t="shared" si="1407"/>
        <v>31340</v>
      </c>
      <c r="B44818" s="2" t="str">
        <f>"23939"</f>
        <v>23939</v>
      </c>
      <c r="C44818" s="1">
        <v>0</v>
      </c>
      <c r="D44818" s="1">
        <v>1.12815884476534E-4</v>
      </c>
      <c r="E44818" s="1">
        <v>0</v>
      </c>
      <c r="F44818" s="1">
        <v>7.4846377809545897E-6</v>
      </c>
    </row>
    <row r="44819" spans="1:6" x14ac:dyDescent="0.25">
      <c r="A44819" s="2" t="str">
        <f t="shared" si="1407"/>
        <v>31340</v>
      </c>
      <c r="B44819" s="2" t="str">
        <f>"24536"</f>
        <v>24536</v>
      </c>
      <c r="C44819" s="1">
        <v>9.1390368607819998E-4</v>
      </c>
      <c r="D44819" s="1">
        <v>1.12815884476534E-4</v>
      </c>
      <c r="E44819" s="1">
        <v>6.0864272671941496E-4</v>
      </c>
      <c r="F44819" s="1">
        <v>8.5324870702882299E-4</v>
      </c>
    </row>
    <row r="44820" spans="1:6" x14ac:dyDescent="0.25">
      <c r="A44820" s="2" t="str">
        <f t="shared" si="1407"/>
        <v>31340</v>
      </c>
      <c r="B44820" s="2" t="str">
        <f>"24574"</f>
        <v>24574</v>
      </c>
      <c r="C44820" s="1">
        <v>1.4548358678380001E-2</v>
      </c>
      <c r="D44820" s="1">
        <v>2.5947653429602801E-3</v>
      </c>
      <c r="E44820" s="1">
        <v>6.69506999391357E-3</v>
      </c>
      <c r="F44820" s="1">
        <v>1.35621636590897E-2</v>
      </c>
    </row>
    <row r="44821" spans="1:6" x14ac:dyDescent="0.25">
      <c r="A44821" s="2" t="str">
        <f t="shared" ref="A44821:A44829" si="1408">"13720"</f>
        <v>13720</v>
      </c>
      <c r="B44821" s="2" t="str">
        <f>"24215"</f>
        <v>24215</v>
      </c>
      <c r="C44821" s="1">
        <v>0</v>
      </c>
      <c r="D44821" s="1">
        <v>8.8888888888888796E-4</v>
      </c>
      <c r="E44821" s="1">
        <v>0</v>
      </c>
      <c r="F44821" s="1">
        <v>5.76568265682656E-5</v>
      </c>
    </row>
    <row r="44822" spans="1:6" x14ac:dyDescent="0.25">
      <c r="A44822" s="2" t="str">
        <f t="shared" si="1408"/>
        <v>13720</v>
      </c>
      <c r="B44822" s="2" t="str">
        <f>"24219"</f>
        <v>24219</v>
      </c>
      <c r="C44822" s="1">
        <v>0.249278272875611</v>
      </c>
      <c r="D44822" s="1">
        <v>0.27111111111111103</v>
      </c>
      <c r="E44822" s="1">
        <v>0.301754385964912</v>
      </c>
      <c r="F44822" s="1">
        <v>0.25155673431734299</v>
      </c>
    </row>
    <row r="44823" spans="1:6" x14ac:dyDescent="0.25">
      <c r="A44823" s="2" t="str">
        <f t="shared" si="1408"/>
        <v>13720</v>
      </c>
      <c r="B44823" s="2" t="str">
        <f>"24293"</f>
        <v>24293</v>
      </c>
      <c r="C44823" s="1">
        <v>0.195368394627839</v>
      </c>
      <c r="D44823" s="1">
        <v>0.128</v>
      </c>
      <c r="E44823" s="1">
        <v>0.112280701754385</v>
      </c>
      <c r="F44823" s="1">
        <v>0.18963330258302499</v>
      </c>
    </row>
    <row r="44824" spans="1:6" x14ac:dyDescent="0.25">
      <c r="A44824" s="2" t="str">
        <f t="shared" si="1408"/>
        <v>13720</v>
      </c>
      <c r="B44824" s="2" t="str">
        <f>"24230"</f>
        <v>24230</v>
      </c>
      <c r="C44824" s="1">
        <v>0.161353081461026</v>
      </c>
      <c r="D44824" s="1">
        <v>8.2666666666666597E-2</v>
      </c>
      <c r="E44824" s="1">
        <v>0.105263157894736</v>
      </c>
      <c r="F44824" s="1">
        <v>0.15532749077490701</v>
      </c>
    </row>
    <row r="44825" spans="1:6" x14ac:dyDescent="0.25">
      <c r="A44825" s="2" t="str">
        <f t="shared" si="1408"/>
        <v>13720</v>
      </c>
      <c r="B44825" s="2" t="str">
        <f>"24283"</f>
        <v>24283</v>
      </c>
      <c r="C44825" s="1">
        <v>3.9851889042299402E-2</v>
      </c>
      <c r="D44825" s="1">
        <v>1.7777777777777701E-2</v>
      </c>
      <c r="E44825" s="1">
        <v>4.2105263157894701E-2</v>
      </c>
      <c r="F44825" s="1">
        <v>3.8457103321033199E-2</v>
      </c>
    </row>
    <row r="44826" spans="1:6" x14ac:dyDescent="0.25">
      <c r="A44826" s="2" t="str">
        <f t="shared" si="1408"/>
        <v>13720</v>
      </c>
      <c r="B44826" s="2" t="str">
        <f>"24279"</f>
        <v>24279</v>
      </c>
      <c r="C44826" s="1">
        <v>9.5581774821137097E-2</v>
      </c>
      <c r="D44826" s="1">
        <v>7.8222222222222207E-2</v>
      </c>
      <c r="E44826" s="1">
        <v>6.3157894736842093E-2</v>
      </c>
      <c r="F44826" s="1">
        <v>9.3922970479704701E-2</v>
      </c>
    </row>
    <row r="44827" spans="1:6" x14ac:dyDescent="0.25">
      <c r="A44827" s="2" t="str">
        <f t="shared" si="1408"/>
        <v>13720</v>
      </c>
      <c r="B44827" s="2" t="str">
        <f>"24246"</f>
        <v>24246</v>
      </c>
      <c r="C44827" s="1">
        <v>0</v>
      </c>
      <c r="D44827" s="1">
        <v>8.8888888888888796E-4</v>
      </c>
      <c r="E44827" s="1">
        <v>0</v>
      </c>
      <c r="F44827" s="1">
        <v>5.76568265682656E-5</v>
      </c>
    </row>
    <row r="44828" spans="1:6" x14ac:dyDescent="0.25">
      <c r="A44828" s="2" t="str">
        <f t="shared" si="1408"/>
        <v>13720</v>
      </c>
      <c r="B44828" s="2" t="str">
        <f>"24273"</f>
        <v>24273</v>
      </c>
      <c r="C44828" s="1">
        <v>0.167691728379565</v>
      </c>
      <c r="D44828" s="1">
        <v>0.31822222222222202</v>
      </c>
      <c r="E44828" s="1">
        <v>0.28421052631578902</v>
      </c>
      <c r="F44828" s="1">
        <v>0.17937038745387399</v>
      </c>
    </row>
    <row r="44829" spans="1:6" x14ac:dyDescent="0.25">
      <c r="A44829" s="2" t="str">
        <f t="shared" si="1408"/>
        <v>13720</v>
      </c>
      <c r="B44829" s="2" t="str">
        <f>"24216"</f>
        <v>24216</v>
      </c>
      <c r="C44829" s="1">
        <v>9.0874858792519095E-2</v>
      </c>
      <c r="D44829" s="1">
        <v>0.10222222222222201</v>
      </c>
      <c r="E44829" s="1">
        <v>9.1228070175438505E-2</v>
      </c>
      <c r="F44829" s="1">
        <v>9.1616697416974105E-2</v>
      </c>
    </row>
    <row r="44830" spans="1:6" x14ac:dyDescent="0.25">
      <c r="A44830" s="2" t="str">
        <f t="shared" ref="A44830:A44861" si="1409">"13220"</f>
        <v>13220</v>
      </c>
      <c r="B44830" s="2" t="str">
        <f>"25837"</f>
        <v>25837</v>
      </c>
      <c r="C44830" s="1">
        <v>1.4401341694618599E-3</v>
      </c>
      <c r="D44830" s="1">
        <v>4.5177320984865499E-4</v>
      </c>
      <c r="E44830" s="1">
        <v>0</v>
      </c>
      <c r="F44830" s="1">
        <v>1.3490331928784299E-3</v>
      </c>
    </row>
    <row r="44831" spans="1:6" x14ac:dyDescent="0.25">
      <c r="A44831" s="2" t="str">
        <f t="shared" si="1409"/>
        <v>13220</v>
      </c>
      <c r="B44831" s="2" t="str">
        <f>"25811"</f>
        <v>25811</v>
      </c>
      <c r="C44831" s="1">
        <v>8.0210004375091102E-4</v>
      </c>
      <c r="D44831" s="1">
        <v>0</v>
      </c>
      <c r="E44831" s="1">
        <v>1.3157894736842101E-3</v>
      </c>
      <c r="F44831" s="1">
        <v>7.4946288493246498E-4</v>
      </c>
    </row>
    <row r="44832" spans="1:6" x14ac:dyDescent="0.25">
      <c r="A44832" s="2" t="str">
        <f t="shared" si="1409"/>
        <v>13220</v>
      </c>
      <c r="B44832" s="2" t="str">
        <f>"25911"</f>
        <v>25911</v>
      </c>
      <c r="C44832" s="1">
        <v>0</v>
      </c>
      <c r="D44832" s="1">
        <v>0</v>
      </c>
      <c r="E44832" s="1">
        <v>1.3157894736842101E-3</v>
      </c>
      <c r="F44832" s="1">
        <v>1.6654730776276999E-5</v>
      </c>
    </row>
    <row r="44833" spans="1:6" x14ac:dyDescent="0.25">
      <c r="A44833" s="2" t="str">
        <f t="shared" si="1409"/>
        <v>13220</v>
      </c>
      <c r="B44833" s="2" t="str">
        <f>"25873"</f>
        <v>25873</v>
      </c>
      <c r="C44833" s="1">
        <v>1.39273734869476E-2</v>
      </c>
      <c r="D44833" s="1">
        <v>7.6801445674271503E-3</v>
      </c>
      <c r="E44833" s="1">
        <v>3.94736842105263E-3</v>
      </c>
      <c r="F44833" s="1">
        <v>1.33404393517978E-2</v>
      </c>
    </row>
    <row r="44834" spans="1:6" x14ac:dyDescent="0.25">
      <c r="A44834" s="2" t="str">
        <f t="shared" si="1409"/>
        <v>13220</v>
      </c>
      <c r="B44834" s="2" t="str">
        <f>"25921"</f>
        <v>25921</v>
      </c>
      <c r="C44834" s="1">
        <v>8.9324777599533299E-4</v>
      </c>
      <c r="D44834" s="1">
        <v>6.7765981477298297E-4</v>
      </c>
      <c r="E44834" s="1">
        <v>1.3157894736842101E-3</v>
      </c>
      <c r="F44834" s="1">
        <v>8.8270073114268095E-4</v>
      </c>
    </row>
    <row r="44835" spans="1:6" x14ac:dyDescent="0.25">
      <c r="A44835" s="2" t="str">
        <f t="shared" si="1409"/>
        <v>13220</v>
      </c>
      <c r="B44835" s="2" t="str">
        <f>"25907"</f>
        <v>25907</v>
      </c>
      <c r="C44835" s="1">
        <v>0</v>
      </c>
      <c r="D44835" s="1">
        <v>2.2588660492432701E-4</v>
      </c>
      <c r="E44835" s="1">
        <v>0</v>
      </c>
      <c r="F44835" s="1">
        <v>1.6654730776276999E-5</v>
      </c>
    </row>
    <row r="44836" spans="1:6" x14ac:dyDescent="0.25">
      <c r="A44836" s="2" t="str">
        <f t="shared" si="1409"/>
        <v>13220</v>
      </c>
      <c r="B44836" s="2" t="str">
        <f>"25904"</f>
        <v>25904</v>
      </c>
      <c r="C44836" s="1">
        <v>1.8229546448884299E-5</v>
      </c>
      <c r="D44836" s="1">
        <v>0</v>
      </c>
      <c r="E44836" s="1">
        <v>1.3157894736842101E-3</v>
      </c>
      <c r="F44836" s="1">
        <v>3.3309461552553998E-5</v>
      </c>
    </row>
    <row r="44837" spans="1:6" x14ac:dyDescent="0.25">
      <c r="A44837" s="2" t="str">
        <f t="shared" si="1409"/>
        <v>13220</v>
      </c>
      <c r="B44837" s="2" t="str">
        <f>"25843"</f>
        <v>25843</v>
      </c>
      <c r="C44837" s="1">
        <v>4.9584366340965401E-3</v>
      </c>
      <c r="D44837" s="1">
        <v>1.5812062344702899E-3</v>
      </c>
      <c r="E44837" s="1">
        <v>1.3157894736842101E-3</v>
      </c>
      <c r="F44837" s="1">
        <v>4.66332461735756E-3</v>
      </c>
    </row>
    <row r="44838" spans="1:6" x14ac:dyDescent="0.25">
      <c r="A44838" s="2" t="str">
        <f t="shared" si="1409"/>
        <v>13220</v>
      </c>
      <c r="B44838" s="2" t="str">
        <f>"25173"</f>
        <v>25173</v>
      </c>
      <c r="C44838" s="1">
        <v>2.7162024208837602E-3</v>
      </c>
      <c r="D44838" s="1">
        <v>2.2588660492432701E-4</v>
      </c>
      <c r="E44838" s="1">
        <v>0</v>
      </c>
      <c r="F44838" s="1">
        <v>2.4982096164415501E-3</v>
      </c>
    </row>
    <row r="44839" spans="1:6" x14ac:dyDescent="0.25">
      <c r="A44839" s="2" t="str">
        <f t="shared" si="1409"/>
        <v>13220</v>
      </c>
      <c r="B44839" s="2" t="str">
        <f>"25048"</f>
        <v>25048</v>
      </c>
      <c r="C44839" s="1">
        <v>2.60682514219046E-3</v>
      </c>
      <c r="D44839" s="1">
        <v>0</v>
      </c>
      <c r="E44839" s="1">
        <v>1.3157894736842101E-3</v>
      </c>
      <c r="F44839" s="1">
        <v>2.3982812317838798E-3</v>
      </c>
    </row>
    <row r="44840" spans="1:6" x14ac:dyDescent="0.25">
      <c r="A44840" s="2" t="str">
        <f t="shared" si="1409"/>
        <v>13220</v>
      </c>
      <c r="B44840" s="2" t="str">
        <f>"26690"</f>
        <v>26690</v>
      </c>
      <c r="C44840" s="1">
        <v>2.6615137815371101E-3</v>
      </c>
      <c r="D44840" s="1">
        <v>1.8070928393946199E-3</v>
      </c>
      <c r="E44840" s="1">
        <v>0</v>
      </c>
      <c r="F44840" s="1">
        <v>2.5648285395466499E-3</v>
      </c>
    </row>
    <row r="44841" spans="1:6" x14ac:dyDescent="0.25">
      <c r="A44841" s="2" t="str">
        <f t="shared" si="1409"/>
        <v>13220</v>
      </c>
      <c r="B44841" s="2" t="str">
        <f>"26656"</f>
        <v>26656</v>
      </c>
      <c r="C44841" s="1">
        <v>5.6511593991541399E-4</v>
      </c>
      <c r="D44841" s="1">
        <v>0</v>
      </c>
      <c r="E44841" s="1">
        <v>0</v>
      </c>
      <c r="F44841" s="1">
        <v>5.1629665406458696E-4</v>
      </c>
    </row>
    <row r="44842" spans="1:6" x14ac:dyDescent="0.25">
      <c r="A44842" s="2" t="str">
        <f t="shared" si="1409"/>
        <v>13220</v>
      </c>
      <c r="B44842" s="2" t="str">
        <f>"25823"</f>
        <v>25823</v>
      </c>
      <c r="C44842" s="1">
        <v>2.8255796995770698E-3</v>
      </c>
      <c r="D44842" s="1">
        <v>1.12943302462163E-3</v>
      </c>
      <c r="E44842" s="1">
        <v>6.5789473684210497E-3</v>
      </c>
      <c r="F44842" s="1">
        <v>2.7480305780856998E-3</v>
      </c>
    </row>
    <row r="44843" spans="1:6" x14ac:dyDescent="0.25">
      <c r="A44843" s="2" t="str">
        <f t="shared" si="1409"/>
        <v>13220</v>
      </c>
      <c r="B44843" s="2" t="str">
        <f>"25813"</f>
        <v>25813</v>
      </c>
      <c r="C44843" s="1">
        <v>7.0165524281755806E-2</v>
      </c>
      <c r="D44843" s="1">
        <v>7.0928393946238899E-2</v>
      </c>
      <c r="E44843" s="1">
        <v>1.71052631578947E-2</v>
      </c>
      <c r="F44843" s="1">
        <v>6.9550155721732704E-2</v>
      </c>
    </row>
    <row r="44844" spans="1:6" x14ac:dyDescent="0.25">
      <c r="A44844" s="2" t="str">
        <f t="shared" si="1409"/>
        <v>13220</v>
      </c>
      <c r="B44844" s="2" t="str">
        <f>"25801"</f>
        <v>25801</v>
      </c>
      <c r="C44844" s="1">
        <v>0.28589397695785301</v>
      </c>
      <c r="D44844" s="1">
        <v>0.42421504404788701</v>
      </c>
      <c r="E44844" s="1">
        <v>0.49605263157894702</v>
      </c>
      <c r="F44844" s="1">
        <v>0.298752560664856</v>
      </c>
    </row>
    <row r="44845" spans="1:6" x14ac:dyDescent="0.25">
      <c r="A44845" s="2" t="str">
        <f t="shared" si="1409"/>
        <v>13220</v>
      </c>
      <c r="B44845" s="2" t="str">
        <f>"25860"</f>
        <v>25860</v>
      </c>
      <c r="C44845" s="1">
        <v>0</v>
      </c>
      <c r="D44845" s="1">
        <v>2.2588660492432701E-4</v>
      </c>
      <c r="E44845" s="1">
        <v>0</v>
      </c>
      <c r="F44845" s="1">
        <v>1.6654730776276999E-5</v>
      </c>
    </row>
    <row r="44846" spans="1:6" x14ac:dyDescent="0.25">
      <c r="A44846" s="2" t="str">
        <f t="shared" si="1409"/>
        <v>13220</v>
      </c>
      <c r="B44846" s="2" t="str">
        <f>"25855"</f>
        <v>25855</v>
      </c>
      <c r="C44846" s="1">
        <v>0</v>
      </c>
      <c r="D44846" s="1">
        <v>2.2588660492432701E-4</v>
      </c>
      <c r="E44846" s="1">
        <v>0</v>
      </c>
      <c r="F44846" s="1">
        <v>1.6654730776276999E-5</v>
      </c>
    </row>
    <row r="44847" spans="1:6" x14ac:dyDescent="0.25">
      <c r="A44847" s="2" t="str">
        <f t="shared" si="1409"/>
        <v>13220</v>
      </c>
      <c r="B44847" s="2" t="str">
        <f>"25976"</f>
        <v>25976</v>
      </c>
      <c r="C44847" s="1">
        <v>1.33440280005833E-2</v>
      </c>
      <c r="D44847" s="1">
        <v>3.8400722837135699E-3</v>
      </c>
      <c r="E44847" s="1">
        <v>2.6315789473684201E-3</v>
      </c>
      <c r="F44847" s="1">
        <v>1.2507702812984E-2</v>
      </c>
    </row>
    <row r="44848" spans="1:6" x14ac:dyDescent="0.25">
      <c r="A44848" s="2" t="str">
        <f t="shared" si="1409"/>
        <v>13220</v>
      </c>
      <c r="B44848" s="2" t="str">
        <f>"25951"</f>
        <v>25951</v>
      </c>
      <c r="C44848" s="1">
        <v>3.0261047105148002E-3</v>
      </c>
      <c r="D44848" s="1">
        <v>2.2588660492432701E-4</v>
      </c>
      <c r="E44848" s="1">
        <v>0</v>
      </c>
      <c r="F44848" s="1">
        <v>2.7813400396382499E-3</v>
      </c>
    </row>
    <row r="44849" spans="1:6" x14ac:dyDescent="0.25">
      <c r="A44849" s="2" t="str">
        <f t="shared" si="1409"/>
        <v>13220</v>
      </c>
      <c r="B44849" s="2" t="str">
        <f>"25919"</f>
        <v>25919</v>
      </c>
      <c r="C44849" s="1">
        <v>0</v>
      </c>
      <c r="D44849" s="1">
        <v>0</v>
      </c>
      <c r="E44849" s="1">
        <v>1.3157894736842101E-3</v>
      </c>
      <c r="F44849" s="1">
        <v>1.6654730776276999E-5</v>
      </c>
    </row>
    <row r="44850" spans="1:6" x14ac:dyDescent="0.25">
      <c r="A44850" s="2" t="str">
        <f t="shared" si="1409"/>
        <v>13220</v>
      </c>
      <c r="B44850" s="2" t="str">
        <f>"25918"</f>
        <v>25918</v>
      </c>
      <c r="C44850" s="1">
        <v>5.4014146128044303E-2</v>
      </c>
      <c r="D44850" s="1">
        <v>2.57510729613733E-2</v>
      </c>
      <c r="E44850" s="1">
        <v>5.2631578947368403E-3</v>
      </c>
      <c r="F44850" s="1">
        <v>5.1313225521709402E-2</v>
      </c>
    </row>
    <row r="44851" spans="1:6" x14ac:dyDescent="0.25">
      <c r="A44851" s="2" t="str">
        <f t="shared" si="1409"/>
        <v>13220</v>
      </c>
      <c r="B44851" s="2" t="str">
        <f>"25118"</f>
        <v>25118</v>
      </c>
      <c r="C44851" s="1">
        <v>2.2240046667638901E-3</v>
      </c>
      <c r="D44851" s="1">
        <v>0</v>
      </c>
      <c r="E44851" s="1">
        <v>1.3157894736842101E-3</v>
      </c>
      <c r="F44851" s="1">
        <v>2.0485318854820702E-3</v>
      </c>
    </row>
    <row r="44852" spans="1:6" x14ac:dyDescent="0.25">
      <c r="A44852" s="2" t="str">
        <f t="shared" si="1409"/>
        <v>13220</v>
      </c>
      <c r="B44852" s="2" t="str">
        <f>"25031"</f>
        <v>25031</v>
      </c>
      <c r="C44852" s="1">
        <v>5.4688639346653001E-5</v>
      </c>
      <c r="D44852" s="1">
        <v>2.2588660492432701E-4</v>
      </c>
      <c r="E44852" s="1">
        <v>0</v>
      </c>
      <c r="F44852" s="1">
        <v>6.6618923105107996E-5</v>
      </c>
    </row>
    <row r="44853" spans="1:6" x14ac:dyDescent="0.25">
      <c r="A44853" s="2" t="str">
        <f t="shared" si="1409"/>
        <v>13220</v>
      </c>
      <c r="B44853" s="2" t="str">
        <f>"25817"</f>
        <v>25817</v>
      </c>
      <c r="C44853" s="1">
        <v>4.9219775411987699E-4</v>
      </c>
      <c r="D44853" s="1">
        <v>0</v>
      </c>
      <c r="E44853" s="1">
        <v>1.3157894736842101E-3</v>
      </c>
      <c r="F44853" s="1">
        <v>4.6633246173575599E-4</v>
      </c>
    </row>
    <row r="44854" spans="1:6" x14ac:dyDescent="0.25">
      <c r="A44854" s="2" t="str">
        <f t="shared" si="1409"/>
        <v>13220</v>
      </c>
      <c r="B44854" s="2" t="str">
        <f>"25831"</f>
        <v>25831</v>
      </c>
      <c r="C44854" s="1">
        <v>1.4474259880414101E-2</v>
      </c>
      <c r="D44854" s="1">
        <v>6.7765981477298297E-4</v>
      </c>
      <c r="E44854" s="1">
        <v>0</v>
      </c>
      <c r="F44854" s="1">
        <v>1.32738204286927E-2</v>
      </c>
    </row>
    <row r="44855" spans="1:6" x14ac:dyDescent="0.25">
      <c r="A44855" s="2" t="str">
        <f t="shared" si="1409"/>
        <v>13220</v>
      </c>
      <c r="B44855" s="2" t="str">
        <f>"25812"</f>
        <v>25812</v>
      </c>
      <c r="C44855" s="1">
        <v>7.0001458363715902E-3</v>
      </c>
      <c r="D44855" s="1">
        <v>1.12943302462163E-3</v>
      </c>
      <c r="E44855" s="1">
        <v>2.6315789473684201E-3</v>
      </c>
      <c r="F44855" s="1">
        <v>6.5119997335243004E-3</v>
      </c>
    </row>
    <row r="44856" spans="1:6" x14ac:dyDescent="0.25">
      <c r="A44856" s="2" t="str">
        <f t="shared" si="1409"/>
        <v>13220</v>
      </c>
      <c r="B44856" s="2" t="str">
        <f>"25846"</f>
        <v>25846</v>
      </c>
      <c r="C44856" s="1">
        <v>1.8229546448884299E-4</v>
      </c>
      <c r="D44856" s="1">
        <v>2.7106392590919301E-3</v>
      </c>
      <c r="E44856" s="1">
        <v>3.94736842105263E-3</v>
      </c>
      <c r="F44856" s="1">
        <v>4.1636826940692501E-4</v>
      </c>
    </row>
    <row r="44857" spans="1:6" x14ac:dyDescent="0.25">
      <c r="A44857" s="2" t="str">
        <f t="shared" si="1409"/>
        <v>13220</v>
      </c>
      <c r="B44857" s="2" t="str">
        <f>"25871"</f>
        <v>25871</v>
      </c>
      <c r="C44857" s="1">
        <v>0</v>
      </c>
      <c r="D44857" s="1">
        <v>0</v>
      </c>
      <c r="E44857" s="1">
        <v>3.94736842105263E-3</v>
      </c>
      <c r="F44857" s="1">
        <v>4.9964192328831001E-5</v>
      </c>
    </row>
    <row r="44858" spans="1:6" x14ac:dyDescent="0.25">
      <c r="A44858" s="2" t="str">
        <f t="shared" si="1409"/>
        <v>13220</v>
      </c>
      <c r="B44858" s="2" t="str">
        <f>"25879"</f>
        <v>25879</v>
      </c>
      <c r="C44858" s="1">
        <v>1.8229546448884299E-5</v>
      </c>
      <c r="D44858" s="1">
        <v>2.2588660492432701E-4</v>
      </c>
      <c r="E44858" s="1">
        <v>0</v>
      </c>
      <c r="F44858" s="1">
        <v>3.3309461552553998E-5</v>
      </c>
    </row>
    <row r="44859" spans="1:6" x14ac:dyDescent="0.25">
      <c r="A44859" s="2" t="str">
        <f t="shared" si="1409"/>
        <v>13220</v>
      </c>
      <c r="B44859" s="2" t="str">
        <f>"25853"</f>
        <v>25853</v>
      </c>
      <c r="C44859" s="1">
        <v>0</v>
      </c>
      <c r="D44859" s="1">
        <v>0</v>
      </c>
      <c r="E44859" s="1">
        <v>1.3157894736842101E-3</v>
      </c>
      <c r="F44859" s="1">
        <v>1.6654730776276999E-5</v>
      </c>
    </row>
    <row r="44860" spans="1:6" x14ac:dyDescent="0.25">
      <c r="A44860" s="2" t="str">
        <f t="shared" si="1409"/>
        <v>13220</v>
      </c>
      <c r="B44860" s="2" t="str">
        <f>"25868"</f>
        <v>25868</v>
      </c>
      <c r="C44860" s="1">
        <v>2.3880705848038498E-3</v>
      </c>
      <c r="D44860" s="1">
        <v>1.12943302462163E-3</v>
      </c>
      <c r="E44860" s="1">
        <v>2.6315789473684201E-3</v>
      </c>
      <c r="F44860" s="1">
        <v>2.2983528471262199E-3</v>
      </c>
    </row>
    <row r="44861" spans="1:6" x14ac:dyDescent="0.25">
      <c r="A44861" s="2" t="str">
        <f t="shared" si="1409"/>
        <v>13220</v>
      </c>
      <c r="B44861" s="2" t="str">
        <f>"25865"</f>
        <v>25865</v>
      </c>
      <c r="C44861" s="1">
        <v>5.9246025958874099E-3</v>
      </c>
      <c r="D44861" s="1">
        <v>6.7765981477298297E-4</v>
      </c>
      <c r="E44861" s="1">
        <v>1.3157894736842101E-3</v>
      </c>
      <c r="F44861" s="1">
        <v>5.4794064253951297E-3</v>
      </c>
    </row>
    <row r="44862" spans="1:6" x14ac:dyDescent="0.25">
      <c r="A44862" s="2" t="str">
        <f t="shared" ref="A44862:A44893" si="1410">"13220"</f>
        <v>13220</v>
      </c>
      <c r="B44862" s="2" t="str">
        <f>"25802"</f>
        <v>25802</v>
      </c>
      <c r="C44862" s="1">
        <v>4.2967040980020403E-2</v>
      </c>
      <c r="D44862" s="1">
        <v>0.112265642647391</v>
      </c>
      <c r="E44862" s="1">
        <v>2.6315789473684201E-3</v>
      </c>
      <c r="F44862" s="1">
        <v>4.7565911097047102E-2</v>
      </c>
    </row>
    <row r="44863" spans="1:6" x14ac:dyDescent="0.25">
      <c r="A44863" s="2" t="str">
        <f t="shared" si="1410"/>
        <v>13220</v>
      </c>
      <c r="B44863" s="2" t="str">
        <f>"25844"</f>
        <v>25844</v>
      </c>
      <c r="C44863" s="1">
        <v>3.8099752078168199E-3</v>
      </c>
      <c r="D44863" s="1">
        <v>6.7765981477298297E-4</v>
      </c>
      <c r="E44863" s="1">
        <v>1.3157894736842101E-3</v>
      </c>
      <c r="F44863" s="1">
        <v>3.5474576553470001E-3</v>
      </c>
    </row>
    <row r="44864" spans="1:6" x14ac:dyDescent="0.25">
      <c r="A44864" s="2" t="str">
        <f t="shared" si="1410"/>
        <v>13220</v>
      </c>
      <c r="B44864" s="2" t="str">
        <f>"25839"</f>
        <v>25839</v>
      </c>
      <c r="C44864" s="1">
        <v>3.2084001750036402E-3</v>
      </c>
      <c r="D44864" s="1">
        <v>2.2588660492432701E-4</v>
      </c>
      <c r="E44864" s="1">
        <v>1.3157894736842101E-3</v>
      </c>
      <c r="F44864" s="1">
        <v>2.9645420781772998E-3</v>
      </c>
    </row>
    <row r="44865" spans="1:6" x14ac:dyDescent="0.25">
      <c r="A44865" s="2" t="str">
        <f t="shared" si="1410"/>
        <v>13220</v>
      </c>
      <c r="B44865" s="2" t="str">
        <f>"25962"</f>
        <v>25962</v>
      </c>
      <c r="C44865" s="1">
        <v>7.4194254046959299E-3</v>
      </c>
      <c r="D44865" s="1">
        <v>9.0354641969731095E-4</v>
      </c>
      <c r="E44865" s="1">
        <v>0</v>
      </c>
      <c r="F44865" s="1">
        <v>6.8450943490498397E-3</v>
      </c>
    </row>
    <row r="44866" spans="1:6" x14ac:dyDescent="0.25">
      <c r="A44866" s="2" t="str">
        <f t="shared" si="1410"/>
        <v>13220</v>
      </c>
      <c r="B44866" s="2" t="str">
        <f>"25901"</f>
        <v>25901</v>
      </c>
      <c r="C44866" s="1">
        <v>9.42832142336298E-2</v>
      </c>
      <c r="D44866" s="1">
        <v>9.5098260673142004E-2</v>
      </c>
      <c r="E44866" s="1">
        <v>0.18026315789473599</v>
      </c>
      <c r="F44866" s="1">
        <v>9.5431607348067202E-2</v>
      </c>
    </row>
    <row r="44867" spans="1:6" x14ac:dyDescent="0.25">
      <c r="A44867" s="2" t="str">
        <f t="shared" si="1410"/>
        <v>13220</v>
      </c>
      <c r="B44867" s="2" t="str">
        <f>"25849"</f>
        <v>25849</v>
      </c>
      <c r="C44867" s="1">
        <v>1.49482280880851E-3</v>
      </c>
      <c r="D44867" s="1">
        <v>2.2588660492432701E-4</v>
      </c>
      <c r="E44867" s="1">
        <v>2.6315789473684201E-3</v>
      </c>
      <c r="F44867" s="1">
        <v>1.4156521159835399E-3</v>
      </c>
    </row>
    <row r="44868" spans="1:6" x14ac:dyDescent="0.25">
      <c r="A44868" s="2" t="str">
        <f t="shared" si="1410"/>
        <v>13220</v>
      </c>
      <c r="B44868" s="2" t="str">
        <f>"25174"</f>
        <v>25174</v>
      </c>
      <c r="C44868" s="1">
        <v>1.6588887268484699E-3</v>
      </c>
      <c r="D44868" s="1">
        <v>2.2588660492432701E-4</v>
      </c>
      <c r="E44868" s="1">
        <v>1.3157894736842101E-3</v>
      </c>
      <c r="F44868" s="1">
        <v>1.5488899621937599E-3</v>
      </c>
    </row>
    <row r="44869" spans="1:6" x14ac:dyDescent="0.25">
      <c r="A44869" s="2" t="str">
        <f t="shared" si="1410"/>
        <v>13220</v>
      </c>
      <c r="B44869" s="2" t="str">
        <f>"25209"</f>
        <v>25209</v>
      </c>
      <c r="C44869" s="1">
        <v>2.9531865247192598E-3</v>
      </c>
      <c r="D44869" s="1">
        <v>2.2588660492432701E-4</v>
      </c>
      <c r="E44869" s="1">
        <v>1.3157894736842101E-3</v>
      </c>
      <c r="F44869" s="1">
        <v>2.73137584730942E-3</v>
      </c>
    </row>
    <row r="44870" spans="1:6" x14ac:dyDescent="0.25">
      <c r="A44870" s="2" t="str">
        <f t="shared" si="1410"/>
        <v>13220</v>
      </c>
      <c r="B44870" s="2" t="str">
        <f>"25083"</f>
        <v>25083</v>
      </c>
      <c r="C44870" s="1">
        <v>3.6459092897768702E-4</v>
      </c>
      <c r="D44870" s="1">
        <v>0</v>
      </c>
      <c r="E44870" s="1">
        <v>0</v>
      </c>
      <c r="F44870" s="1">
        <v>3.3309461552554002E-4</v>
      </c>
    </row>
    <row r="44871" spans="1:6" x14ac:dyDescent="0.25">
      <c r="A44871" s="2" t="str">
        <f t="shared" si="1410"/>
        <v>13220</v>
      </c>
      <c r="B44871" s="2" t="str">
        <f>"25139"</f>
        <v>25139</v>
      </c>
      <c r="C44871" s="1">
        <v>4.7396820767099299E-4</v>
      </c>
      <c r="D44871" s="1">
        <v>2.2588660492432701E-4</v>
      </c>
      <c r="E44871" s="1">
        <v>0</v>
      </c>
      <c r="F44871" s="1">
        <v>4.4967773095947898E-4</v>
      </c>
    </row>
    <row r="44872" spans="1:6" x14ac:dyDescent="0.25">
      <c r="A44872" s="2" t="str">
        <f t="shared" si="1410"/>
        <v>13220</v>
      </c>
      <c r="B44872" s="2" t="str">
        <f>"25827"</f>
        <v>25827</v>
      </c>
      <c r="C44872" s="1">
        <v>3.4016333673618199E-2</v>
      </c>
      <c r="D44872" s="1">
        <v>2.3040433702281399E-2</v>
      </c>
      <c r="E44872" s="1">
        <v>5.2631578947368403E-3</v>
      </c>
      <c r="F44872" s="1">
        <v>3.2843129090818199E-2</v>
      </c>
    </row>
    <row r="44873" spans="1:6" x14ac:dyDescent="0.25">
      <c r="A44873" s="2" t="str">
        <f t="shared" si="1410"/>
        <v>13220</v>
      </c>
      <c r="B44873" s="2" t="str">
        <f>"25818"</f>
        <v>25818</v>
      </c>
      <c r="C44873" s="1">
        <v>1.5805016771182699E-2</v>
      </c>
      <c r="D44873" s="1">
        <v>1.1520216851140699E-2</v>
      </c>
      <c r="E44873" s="1">
        <v>3.94736842105263E-3</v>
      </c>
      <c r="F44873" s="1">
        <v>1.53390070449511E-2</v>
      </c>
    </row>
    <row r="44874" spans="1:6" x14ac:dyDescent="0.25">
      <c r="A44874" s="2" t="str">
        <f t="shared" si="1410"/>
        <v>13220</v>
      </c>
      <c r="B44874" s="2" t="str">
        <f>"25927"</f>
        <v>25927</v>
      </c>
      <c r="C44874" s="1">
        <v>0</v>
      </c>
      <c r="D44874" s="1">
        <v>0</v>
      </c>
      <c r="E44874" s="1">
        <v>1.3157894736842101E-3</v>
      </c>
      <c r="F44874" s="1">
        <v>1.6654730776276999E-5</v>
      </c>
    </row>
    <row r="44875" spans="1:6" x14ac:dyDescent="0.25">
      <c r="A44875" s="2" t="str">
        <f t="shared" si="1410"/>
        <v>13220</v>
      </c>
      <c r="B44875" s="2" t="str">
        <f>"25864"</f>
        <v>25864</v>
      </c>
      <c r="C44875" s="1">
        <v>9.8439550823975399E-4</v>
      </c>
      <c r="D44875" s="1">
        <v>0</v>
      </c>
      <c r="E44875" s="1">
        <v>2.6315789473684201E-3</v>
      </c>
      <c r="F44875" s="1">
        <v>9.3266492347151197E-4</v>
      </c>
    </row>
    <row r="44876" spans="1:6" x14ac:dyDescent="0.25">
      <c r="A44876" s="2" t="str">
        <f t="shared" si="1410"/>
        <v>13220</v>
      </c>
      <c r="B44876" s="2" t="str">
        <f>"25888"</f>
        <v>25888</v>
      </c>
      <c r="C44876" s="1">
        <v>0</v>
      </c>
      <c r="D44876" s="1">
        <v>2.2588660492432701E-4</v>
      </c>
      <c r="E44876" s="1">
        <v>0</v>
      </c>
      <c r="F44876" s="1">
        <v>1.6654730776276999E-5</v>
      </c>
    </row>
    <row r="44877" spans="1:6" x14ac:dyDescent="0.25">
      <c r="A44877" s="2" t="str">
        <f t="shared" si="1410"/>
        <v>13220</v>
      </c>
      <c r="B44877" s="2" t="str">
        <f>"25942"</f>
        <v>25942</v>
      </c>
      <c r="C44877" s="1">
        <v>0</v>
      </c>
      <c r="D44877" s="1">
        <v>2.2588660492432701E-4</v>
      </c>
      <c r="E44877" s="1">
        <v>0</v>
      </c>
      <c r="F44877" s="1">
        <v>1.6654730776276999E-5</v>
      </c>
    </row>
    <row r="44878" spans="1:6" x14ac:dyDescent="0.25">
      <c r="A44878" s="2" t="str">
        <f t="shared" si="1410"/>
        <v>13220</v>
      </c>
      <c r="B44878" s="2" t="str">
        <f>"25969"</f>
        <v>25969</v>
      </c>
      <c r="C44878" s="1">
        <v>1.09377278693306E-4</v>
      </c>
      <c r="D44878" s="1">
        <v>0</v>
      </c>
      <c r="E44878" s="1">
        <v>0</v>
      </c>
      <c r="F44878" s="1">
        <v>9.9928384657662001E-5</v>
      </c>
    </row>
    <row r="44879" spans="1:6" x14ac:dyDescent="0.25">
      <c r="A44879" s="2" t="str">
        <f t="shared" si="1410"/>
        <v>13220</v>
      </c>
      <c r="B44879" s="2" t="str">
        <f>"25909"</f>
        <v>25909</v>
      </c>
      <c r="C44879" s="1">
        <v>1.08283505906373E-2</v>
      </c>
      <c r="D44879" s="1">
        <v>8.58369098712446E-3</v>
      </c>
      <c r="E44879" s="1">
        <v>3.94736842105263E-3</v>
      </c>
      <c r="F44879" s="1">
        <v>1.05757540429358E-2</v>
      </c>
    </row>
    <row r="44880" spans="1:6" x14ac:dyDescent="0.25">
      <c r="A44880" s="2" t="str">
        <f t="shared" si="1410"/>
        <v>13220</v>
      </c>
      <c r="B44880" s="2" t="str">
        <f>"25851"</f>
        <v>25851</v>
      </c>
      <c r="C44880" s="1">
        <v>0</v>
      </c>
      <c r="D44880" s="1">
        <v>0</v>
      </c>
      <c r="E44880" s="1">
        <v>1.3157894736842101E-3</v>
      </c>
      <c r="F44880" s="1">
        <v>1.6654730776276999E-5</v>
      </c>
    </row>
    <row r="44881" spans="1:6" x14ac:dyDescent="0.25">
      <c r="A44881" s="2" t="str">
        <f t="shared" si="1410"/>
        <v>13220</v>
      </c>
      <c r="B44881" s="2" t="str">
        <f>"25908"</f>
        <v>25908</v>
      </c>
      <c r="C44881" s="1">
        <v>6.1980457926206697E-4</v>
      </c>
      <c r="D44881" s="1">
        <v>0</v>
      </c>
      <c r="E44881" s="1">
        <v>1.3157894736842101E-3</v>
      </c>
      <c r="F44881" s="1">
        <v>5.82915577169695E-4</v>
      </c>
    </row>
    <row r="44882" spans="1:6" x14ac:dyDescent="0.25">
      <c r="A44882" s="2" t="str">
        <f t="shared" si="1410"/>
        <v>13220</v>
      </c>
      <c r="B44882" s="2" t="str">
        <f>"25906"</f>
        <v>25906</v>
      </c>
      <c r="C44882" s="1">
        <v>0</v>
      </c>
      <c r="D44882" s="1">
        <v>0</v>
      </c>
      <c r="E44882" s="1">
        <v>1.3157894736842101E-3</v>
      </c>
      <c r="F44882" s="1">
        <v>1.6654730776276999E-5</v>
      </c>
    </row>
    <row r="44883" spans="1:6" x14ac:dyDescent="0.25">
      <c r="A44883" s="2" t="str">
        <f t="shared" si="1410"/>
        <v>13220</v>
      </c>
      <c r="B44883" s="2" t="str">
        <f>"25989"</f>
        <v>25989</v>
      </c>
      <c r="C44883" s="1">
        <v>2.86203879247484E-3</v>
      </c>
      <c r="D44883" s="1">
        <v>6.7765981477298297E-4</v>
      </c>
      <c r="E44883" s="1">
        <v>1.3157894736842101E-3</v>
      </c>
      <c r="F44883" s="1">
        <v>2.68141165498059E-3</v>
      </c>
    </row>
    <row r="44884" spans="1:6" x14ac:dyDescent="0.25">
      <c r="A44884" s="2" t="str">
        <f t="shared" si="1410"/>
        <v>13220</v>
      </c>
      <c r="B44884" s="2" t="str">
        <f>"25920"</f>
        <v>25920</v>
      </c>
      <c r="C44884" s="1">
        <v>1.5495114481551601E-3</v>
      </c>
      <c r="D44884" s="1">
        <v>0</v>
      </c>
      <c r="E44884" s="1">
        <v>1.3157894736842101E-3</v>
      </c>
      <c r="F44884" s="1">
        <v>1.43230684675982E-3</v>
      </c>
    </row>
    <row r="44885" spans="1:6" x14ac:dyDescent="0.25">
      <c r="A44885" s="2" t="str">
        <f t="shared" si="1410"/>
        <v>13220</v>
      </c>
      <c r="B44885" s="2" t="str">
        <f>"25854"</f>
        <v>25854</v>
      </c>
      <c r="C44885" s="1">
        <v>6.8725390112293998E-3</v>
      </c>
      <c r="D44885" s="1">
        <v>2.03297944431895E-3</v>
      </c>
      <c r="E44885" s="1">
        <v>0</v>
      </c>
      <c r="F44885" s="1">
        <v>6.4287260796429199E-3</v>
      </c>
    </row>
    <row r="44886" spans="1:6" x14ac:dyDescent="0.25">
      <c r="A44886" s="2" t="str">
        <f t="shared" si="1410"/>
        <v>13220</v>
      </c>
      <c r="B44886" s="2" t="str">
        <f>"25186"</f>
        <v>25186</v>
      </c>
      <c r="C44886" s="1">
        <v>7.2918185795537398E-5</v>
      </c>
      <c r="D44886" s="1">
        <v>1.12943302462163E-3</v>
      </c>
      <c r="E44886" s="1">
        <v>0</v>
      </c>
      <c r="F44886" s="1">
        <v>1.49892576986493E-4</v>
      </c>
    </row>
    <row r="44887" spans="1:6" x14ac:dyDescent="0.25">
      <c r="A44887" s="2" t="str">
        <f t="shared" si="1410"/>
        <v>13220</v>
      </c>
      <c r="B44887" s="2" t="str">
        <f>"25185"</f>
        <v>25185</v>
      </c>
      <c r="C44887" s="1">
        <v>0</v>
      </c>
      <c r="D44887" s="1">
        <v>2.2588660492432701E-4</v>
      </c>
      <c r="E44887" s="1">
        <v>0</v>
      </c>
      <c r="F44887" s="1">
        <v>1.6654730776276999E-5</v>
      </c>
    </row>
    <row r="44888" spans="1:6" x14ac:dyDescent="0.25">
      <c r="A44888" s="2" t="str">
        <f t="shared" si="1410"/>
        <v>13220</v>
      </c>
      <c r="B44888" s="2" t="str">
        <f>"25180"</f>
        <v>25180</v>
      </c>
      <c r="C44888" s="1">
        <v>1.1120023333819401E-3</v>
      </c>
      <c r="D44888" s="1">
        <v>0</v>
      </c>
      <c r="E44888" s="1">
        <v>1.3157894736842101E-3</v>
      </c>
      <c r="F44888" s="1">
        <v>1.03259330812917E-3</v>
      </c>
    </row>
    <row r="44889" spans="1:6" x14ac:dyDescent="0.25">
      <c r="A44889" s="2" t="str">
        <f t="shared" si="1410"/>
        <v>13220</v>
      </c>
      <c r="B44889" s="2" t="str">
        <f>"25059"</f>
        <v>25059</v>
      </c>
      <c r="C44889" s="1">
        <v>7.6564095085314204E-4</v>
      </c>
      <c r="D44889" s="1">
        <v>0</v>
      </c>
      <c r="E44889" s="1">
        <v>0</v>
      </c>
      <c r="F44889" s="1">
        <v>6.9949869260363395E-4</v>
      </c>
    </row>
    <row r="44890" spans="1:6" x14ac:dyDescent="0.25">
      <c r="A44890" s="2" t="str">
        <f t="shared" si="1410"/>
        <v>13220</v>
      </c>
      <c r="B44890" s="2" t="str">
        <f>"25115"</f>
        <v>25115</v>
      </c>
      <c r="C44890" s="1">
        <v>5.6511593991541399E-4</v>
      </c>
      <c r="D44890" s="1">
        <v>0</v>
      </c>
      <c r="E44890" s="1">
        <v>1.3157894736842101E-3</v>
      </c>
      <c r="F44890" s="1">
        <v>5.3295138484086397E-4</v>
      </c>
    </row>
    <row r="44891" spans="1:6" x14ac:dyDescent="0.25">
      <c r="A44891" s="2" t="str">
        <f t="shared" si="1410"/>
        <v>13220</v>
      </c>
      <c r="B44891" s="2" t="str">
        <f>"25161"</f>
        <v>25161</v>
      </c>
      <c r="C44891" s="1">
        <v>2.3151523990083099E-3</v>
      </c>
      <c r="D44891" s="1">
        <v>2.2588660492432701E-4</v>
      </c>
      <c r="E44891" s="1">
        <v>0</v>
      </c>
      <c r="F44891" s="1">
        <v>2.1318055393634498E-3</v>
      </c>
    </row>
    <row r="44892" spans="1:6" x14ac:dyDescent="0.25">
      <c r="A44892" s="2" t="str">
        <f t="shared" si="1410"/>
        <v>13220</v>
      </c>
      <c r="B44892" s="2" t="str">
        <f>"25036"</f>
        <v>25036</v>
      </c>
      <c r="C44892" s="1">
        <v>3.6459092897768699E-5</v>
      </c>
      <c r="D44892" s="1">
        <v>2.2588660492432701E-4</v>
      </c>
      <c r="E44892" s="1">
        <v>0</v>
      </c>
      <c r="F44892" s="1">
        <v>4.9964192328831001E-5</v>
      </c>
    </row>
    <row r="44893" spans="1:6" x14ac:dyDescent="0.25">
      <c r="A44893" s="2" t="str">
        <f t="shared" si="1410"/>
        <v>13220</v>
      </c>
      <c r="B44893" s="2" t="str">
        <f>"25002"</f>
        <v>25002</v>
      </c>
      <c r="C44893" s="1">
        <v>0</v>
      </c>
      <c r="D44893" s="1">
        <v>2.2588660492432701E-4</v>
      </c>
      <c r="E44893" s="1">
        <v>0</v>
      </c>
      <c r="F44893" s="1">
        <v>1.6654730776276999E-5</v>
      </c>
    </row>
    <row r="44894" spans="1:6" x14ac:dyDescent="0.25">
      <c r="A44894" s="2" t="str">
        <f t="shared" ref="A44894:A44921" si="1411">"13220"</f>
        <v>13220</v>
      </c>
      <c r="B44894" s="2" t="str">
        <f>"25007"</f>
        <v>25007</v>
      </c>
      <c r="C44894" s="1">
        <v>1.76826600554178E-3</v>
      </c>
      <c r="D44894" s="1">
        <v>2.2588660492432701E-4</v>
      </c>
      <c r="E44894" s="1">
        <v>1.3157894736842101E-3</v>
      </c>
      <c r="F44894" s="1">
        <v>1.64881834685142E-3</v>
      </c>
    </row>
    <row r="44895" spans="1:6" x14ac:dyDescent="0.25">
      <c r="A44895" s="2" t="str">
        <f t="shared" si="1411"/>
        <v>13220</v>
      </c>
      <c r="B44895" s="2" t="str">
        <f>"25825"</f>
        <v>25825</v>
      </c>
      <c r="C44895" s="1">
        <v>2.5867726410966799E-2</v>
      </c>
      <c r="D44895" s="1">
        <v>7.6801445674271503E-3</v>
      </c>
      <c r="E44895" s="1">
        <v>2.7631578947368399E-2</v>
      </c>
      <c r="F44895" s="1">
        <v>2.4549073164232299E-2</v>
      </c>
    </row>
    <row r="44896" spans="1:6" x14ac:dyDescent="0.25">
      <c r="A44896" s="2" t="str">
        <f t="shared" si="1411"/>
        <v>13220</v>
      </c>
      <c r="B44896" s="2" t="str">
        <f>"25936"</f>
        <v>25936</v>
      </c>
      <c r="C44896" s="1">
        <v>1.1666909727285899E-3</v>
      </c>
      <c r="D44896" s="1">
        <v>9.0354641969731095E-4</v>
      </c>
      <c r="E44896" s="1">
        <v>1.3157894736842101E-3</v>
      </c>
      <c r="F44896" s="1">
        <v>1.1491764235631099E-3</v>
      </c>
    </row>
    <row r="44897" spans="1:6" x14ac:dyDescent="0.25">
      <c r="A44897" s="2" t="str">
        <f t="shared" si="1411"/>
        <v>13220</v>
      </c>
      <c r="B44897" s="2" t="str">
        <f>"25932"</f>
        <v>25932</v>
      </c>
      <c r="C44897" s="1">
        <v>2.7344319673326499E-4</v>
      </c>
      <c r="D44897" s="1">
        <v>2.2588660492432701E-4</v>
      </c>
      <c r="E44897" s="1">
        <v>1.3157894736842101E-3</v>
      </c>
      <c r="F44897" s="1">
        <v>2.8313042319670899E-4</v>
      </c>
    </row>
    <row r="44898" spans="1:6" x14ac:dyDescent="0.25">
      <c r="A44898" s="2" t="str">
        <f t="shared" si="1411"/>
        <v>13220</v>
      </c>
      <c r="B44898" s="2" t="str">
        <f>"25040"</f>
        <v>25040</v>
      </c>
      <c r="C44898" s="1">
        <v>5.4688639346653001E-5</v>
      </c>
      <c r="D44898" s="1">
        <v>2.2588660492432701E-4</v>
      </c>
      <c r="E44898" s="1">
        <v>0</v>
      </c>
      <c r="F44898" s="1">
        <v>6.6618923105107996E-5</v>
      </c>
    </row>
    <row r="44899" spans="1:6" x14ac:dyDescent="0.25">
      <c r="A44899" s="2" t="str">
        <f t="shared" si="1411"/>
        <v>13220</v>
      </c>
      <c r="B44899" s="2" t="str">
        <f>"25008"</f>
        <v>25008</v>
      </c>
      <c r="C44899" s="1">
        <v>1.9505614700306201E-3</v>
      </c>
      <c r="D44899" s="1">
        <v>2.2588660492432701E-4</v>
      </c>
      <c r="E44899" s="1">
        <v>1.3157894736842101E-3</v>
      </c>
      <c r="F44899" s="1">
        <v>1.8153656546141901E-3</v>
      </c>
    </row>
    <row r="44900" spans="1:6" x14ac:dyDescent="0.25">
      <c r="A44900" s="2" t="str">
        <f t="shared" si="1411"/>
        <v>13220</v>
      </c>
      <c r="B44900" s="2" t="str">
        <f>"25044"</f>
        <v>25044</v>
      </c>
      <c r="C44900" s="1">
        <v>1.5677409946040499E-3</v>
      </c>
      <c r="D44900" s="1">
        <v>4.5177320984865499E-4</v>
      </c>
      <c r="E44900" s="1">
        <v>1.3157894736842101E-3</v>
      </c>
      <c r="F44900" s="1">
        <v>1.4822710390886499E-3</v>
      </c>
    </row>
    <row r="44901" spans="1:6" x14ac:dyDescent="0.25">
      <c r="A44901" s="2" t="str">
        <f t="shared" si="1411"/>
        <v>13220</v>
      </c>
      <c r="B44901" s="2" t="str">
        <f>"25857"</f>
        <v>25857</v>
      </c>
      <c r="C44901" s="1">
        <v>7.6564095085314204E-4</v>
      </c>
      <c r="D44901" s="1">
        <v>0</v>
      </c>
      <c r="E44901" s="1">
        <v>1.3157894736842101E-3</v>
      </c>
      <c r="F44901" s="1">
        <v>7.1615342337991096E-4</v>
      </c>
    </row>
    <row r="44902" spans="1:6" x14ac:dyDescent="0.25">
      <c r="A44902" s="2" t="str">
        <f t="shared" si="1411"/>
        <v>13220</v>
      </c>
      <c r="B44902" s="2" t="str">
        <f>"25841"</f>
        <v>25841</v>
      </c>
      <c r="C44902" s="1">
        <v>1.4583637159107401E-4</v>
      </c>
      <c r="D44902" s="1">
        <v>0</v>
      </c>
      <c r="E44902" s="1">
        <v>0</v>
      </c>
      <c r="F44902" s="1">
        <v>1.3323784621021599E-4</v>
      </c>
    </row>
    <row r="44903" spans="1:6" x14ac:dyDescent="0.25">
      <c r="A44903" s="2" t="str">
        <f t="shared" si="1411"/>
        <v>13220</v>
      </c>
      <c r="B44903" s="2" t="str">
        <f>"25938"</f>
        <v>25938</v>
      </c>
      <c r="C44903" s="1">
        <v>1.31799620825433E-2</v>
      </c>
      <c r="D44903" s="1">
        <v>1.12943302462163E-3</v>
      </c>
      <c r="E44903" s="1">
        <v>0</v>
      </c>
      <c r="F44903" s="1">
        <v>1.21246440051296E-2</v>
      </c>
    </row>
    <row r="44904" spans="1:6" x14ac:dyDescent="0.25">
      <c r="A44904" s="2" t="str">
        <f t="shared" si="1411"/>
        <v>13220</v>
      </c>
      <c r="B44904" s="2" t="str">
        <f>"25917"</f>
        <v>25917</v>
      </c>
      <c r="C44904" s="1">
        <v>1.8557678284964199E-2</v>
      </c>
      <c r="D44904" s="1">
        <v>3.3882990738649098E-3</v>
      </c>
      <c r="E44904" s="1">
        <v>7.8947368421052599E-3</v>
      </c>
      <c r="F44904" s="1">
        <v>1.7304265276551802E-2</v>
      </c>
    </row>
    <row r="44905" spans="1:6" x14ac:dyDescent="0.25">
      <c r="A44905" s="2" t="str">
        <f t="shared" si="1411"/>
        <v>13220</v>
      </c>
      <c r="B44905" s="2" t="str">
        <f>"25880"</f>
        <v>25880</v>
      </c>
      <c r="C44905" s="1">
        <v>5.35948665597199E-2</v>
      </c>
      <c r="D44905" s="1">
        <v>6.48294556132821E-2</v>
      </c>
      <c r="E44905" s="1">
        <v>3.6842105263157801E-2</v>
      </c>
      <c r="F44905" s="1">
        <v>5.4211148676781597E-2</v>
      </c>
    </row>
    <row r="44906" spans="1:6" x14ac:dyDescent="0.25">
      <c r="A44906" s="2" t="str">
        <f t="shared" si="1411"/>
        <v>13220</v>
      </c>
      <c r="B44906" s="2" t="str">
        <f>"25878"</f>
        <v>25878</v>
      </c>
      <c r="C44906" s="1">
        <v>2.8438092460259501E-3</v>
      </c>
      <c r="D44906" s="1">
        <v>0</v>
      </c>
      <c r="E44906" s="1">
        <v>1.3157894736842101E-3</v>
      </c>
      <c r="F44906" s="1">
        <v>2.6147927318754798E-3</v>
      </c>
    </row>
    <row r="44907" spans="1:6" x14ac:dyDescent="0.25">
      <c r="A44907" s="2" t="str">
        <f t="shared" si="1411"/>
        <v>13220</v>
      </c>
      <c r="B44907" s="2" t="str">
        <f>"25840"</f>
        <v>25840</v>
      </c>
      <c r="C44907" s="1">
        <v>6.6428467259734503E-2</v>
      </c>
      <c r="D44907" s="1">
        <v>5.3986898576914299E-2</v>
      </c>
      <c r="E44907" s="1">
        <v>7.3684210526315699E-2</v>
      </c>
      <c r="F44907" s="1">
        <v>6.5602984527755107E-2</v>
      </c>
    </row>
    <row r="44908" spans="1:6" x14ac:dyDescent="0.25">
      <c r="A44908" s="2" t="str">
        <f t="shared" si="1411"/>
        <v>13220</v>
      </c>
      <c r="B44908" s="2" t="str">
        <f>"25136"</f>
        <v>25136</v>
      </c>
      <c r="C44908" s="1">
        <v>9.5522823392153993E-3</v>
      </c>
      <c r="D44908" s="1">
        <v>2.5525186356449001E-2</v>
      </c>
      <c r="E44908" s="1">
        <v>5.6578947368421E-2</v>
      </c>
      <c r="F44908" s="1">
        <v>1.13252169278683E-2</v>
      </c>
    </row>
    <row r="44909" spans="1:6" x14ac:dyDescent="0.25">
      <c r="A44909" s="2" t="str">
        <f t="shared" si="1411"/>
        <v>13220</v>
      </c>
      <c r="B44909" s="2" t="str">
        <f>"25140"</f>
        <v>25140</v>
      </c>
      <c r="C44909" s="1">
        <v>7.7475572407758398E-3</v>
      </c>
      <c r="D44909" s="1">
        <v>2.03297944431895E-3</v>
      </c>
      <c r="E44909" s="1">
        <v>1.3157894736842101E-3</v>
      </c>
      <c r="F44909" s="1">
        <v>7.2448078876804897E-3</v>
      </c>
    </row>
    <row r="44910" spans="1:6" x14ac:dyDescent="0.25">
      <c r="A44910" s="2" t="str">
        <f t="shared" si="1411"/>
        <v>13220</v>
      </c>
      <c r="B44910" s="2" t="str">
        <f>"25119"</f>
        <v>25119</v>
      </c>
      <c r="C44910" s="1">
        <v>9.6616596179086999E-4</v>
      </c>
      <c r="D44910" s="1">
        <v>4.5177320984865499E-4</v>
      </c>
      <c r="E44910" s="1">
        <v>0</v>
      </c>
      <c r="F44910" s="1">
        <v>9.1601019269523497E-4</v>
      </c>
    </row>
    <row r="44911" spans="1:6" x14ac:dyDescent="0.25">
      <c r="A44911" s="2" t="str">
        <f t="shared" si="1411"/>
        <v>13220</v>
      </c>
      <c r="B44911" s="2" t="str">
        <f>"26680"</f>
        <v>26680</v>
      </c>
      <c r="C44911" s="1">
        <v>1.8229546448884301E-3</v>
      </c>
      <c r="D44911" s="1">
        <v>2.2588660492432701E-4</v>
      </c>
      <c r="E44911" s="1">
        <v>0</v>
      </c>
      <c r="F44911" s="1">
        <v>1.6821278084039699E-3</v>
      </c>
    </row>
    <row r="44912" spans="1:6" x14ac:dyDescent="0.25">
      <c r="A44912" s="2" t="str">
        <f t="shared" si="1411"/>
        <v>13220</v>
      </c>
      <c r="B44912" s="2" t="str">
        <f>"25836"</f>
        <v>25836</v>
      </c>
      <c r="C44912" s="1">
        <v>1.8229546448884299E-5</v>
      </c>
      <c r="D44912" s="1">
        <v>0</v>
      </c>
      <c r="E44912" s="1">
        <v>1.3157894736842101E-3</v>
      </c>
      <c r="F44912" s="1">
        <v>3.3309461552553998E-5</v>
      </c>
    </row>
    <row r="44913" spans="1:6" x14ac:dyDescent="0.25">
      <c r="A44913" s="2" t="str">
        <f t="shared" si="1411"/>
        <v>13220</v>
      </c>
      <c r="B44913" s="2" t="str">
        <f>"25832"</f>
        <v>25832</v>
      </c>
      <c r="C44913" s="1">
        <v>5.3047980166253401E-2</v>
      </c>
      <c r="D44913" s="1">
        <v>3.11723514795572E-2</v>
      </c>
      <c r="E44913" s="1">
        <v>2.6315789473684201E-3</v>
      </c>
      <c r="F44913" s="1">
        <v>5.0796928867644801E-2</v>
      </c>
    </row>
    <row r="44914" spans="1:6" x14ac:dyDescent="0.25">
      <c r="A44914" s="2" t="str">
        <f t="shared" si="1411"/>
        <v>13220</v>
      </c>
      <c r="B44914" s="2" t="str">
        <f>"25866"</f>
        <v>25866</v>
      </c>
      <c r="C44914" s="1">
        <v>0</v>
      </c>
      <c r="D44914" s="1">
        <v>2.2588660492432701E-4</v>
      </c>
      <c r="E44914" s="1">
        <v>0</v>
      </c>
      <c r="F44914" s="1">
        <v>1.6654730776276999E-5</v>
      </c>
    </row>
    <row r="44915" spans="1:6" x14ac:dyDescent="0.25">
      <c r="A44915" s="2" t="str">
        <f t="shared" si="1411"/>
        <v>13220</v>
      </c>
      <c r="B44915" s="2" t="str">
        <f>"25862"</f>
        <v>25862</v>
      </c>
      <c r="C44915" s="1">
        <v>7.6564095085314204E-4</v>
      </c>
      <c r="D44915" s="1">
        <v>1.12943302462163E-3</v>
      </c>
      <c r="E44915" s="1">
        <v>0</v>
      </c>
      <c r="F44915" s="1">
        <v>7.82772346485019E-4</v>
      </c>
    </row>
    <row r="44916" spans="1:6" x14ac:dyDescent="0.25">
      <c r="A44916" s="2" t="str">
        <f t="shared" si="1411"/>
        <v>13220</v>
      </c>
      <c r="B44916" s="2" t="str">
        <f>"25915"</f>
        <v>25915</v>
      </c>
      <c r="C44916" s="1">
        <v>1.49482280880851E-3</v>
      </c>
      <c r="D44916" s="1">
        <v>2.2588660492432701E-4</v>
      </c>
      <c r="E44916" s="1">
        <v>1.3157894736842101E-3</v>
      </c>
      <c r="F44916" s="1">
        <v>1.3989973852072601E-3</v>
      </c>
    </row>
    <row r="44917" spans="1:6" x14ac:dyDescent="0.25">
      <c r="A44917" s="2" t="str">
        <f t="shared" si="1411"/>
        <v>13220</v>
      </c>
      <c r="B44917" s="2" t="str">
        <f>"25902"</f>
        <v>25902</v>
      </c>
      <c r="C44917" s="1">
        <v>1.7864955519906599E-3</v>
      </c>
      <c r="D44917" s="1">
        <v>0</v>
      </c>
      <c r="E44917" s="1">
        <v>1.3157894736842101E-3</v>
      </c>
      <c r="F44917" s="1">
        <v>1.64881834685142E-3</v>
      </c>
    </row>
    <row r="44918" spans="1:6" x14ac:dyDescent="0.25">
      <c r="A44918" s="2" t="str">
        <f t="shared" si="1411"/>
        <v>13220</v>
      </c>
      <c r="B44918" s="2" t="str">
        <f>"25090"</f>
        <v>25090</v>
      </c>
      <c r="C44918" s="1">
        <v>5.4688639346653001E-5</v>
      </c>
      <c r="D44918" s="1">
        <v>2.2588660492432701E-4</v>
      </c>
      <c r="E44918" s="1">
        <v>0</v>
      </c>
      <c r="F44918" s="1">
        <v>6.6618923105107996E-5</v>
      </c>
    </row>
    <row r="44919" spans="1:6" x14ac:dyDescent="0.25">
      <c r="A44919" s="2" t="str">
        <f t="shared" si="1411"/>
        <v>13220</v>
      </c>
      <c r="B44919" s="2" t="str">
        <f>"25085"</f>
        <v>25085</v>
      </c>
      <c r="C44919" s="1">
        <v>8.3855913664868001E-4</v>
      </c>
      <c r="D44919" s="1">
        <v>9.0354641969731095E-4</v>
      </c>
      <c r="E44919" s="1">
        <v>1.3157894736842101E-3</v>
      </c>
      <c r="F44919" s="1">
        <v>8.4939126959012704E-4</v>
      </c>
    </row>
    <row r="44920" spans="1:6" x14ac:dyDescent="0.25">
      <c r="A44920" s="2" t="str">
        <f t="shared" si="1411"/>
        <v>13220</v>
      </c>
      <c r="B44920" s="2" t="str">
        <f>"25062"</f>
        <v>25062</v>
      </c>
      <c r="C44920" s="1">
        <v>1.2760682514219E-3</v>
      </c>
      <c r="D44920" s="1">
        <v>2.2588660492432701E-4</v>
      </c>
      <c r="E44920" s="1">
        <v>1.3157894736842101E-3</v>
      </c>
      <c r="F44920" s="1">
        <v>1.1991406158919399E-3</v>
      </c>
    </row>
    <row r="44921" spans="1:6" x14ac:dyDescent="0.25">
      <c r="A44921" s="2" t="str">
        <f t="shared" si="1411"/>
        <v>13220</v>
      </c>
      <c r="B44921" s="2" t="str">
        <f>"25060"</f>
        <v>25060</v>
      </c>
      <c r="C44921" s="1">
        <v>2.6979728744348798E-3</v>
      </c>
      <c r="D44921" s="1">
        <v>0</v>
      </c>
      <c r="E44921" s="1">
        <v>1.3157894736842101E-3</v>
      </c>
      <c r="F44921" s="1">
        <v>2.4815548856652698E-3</v>
      </c>
    </row>
    <row r="44922" spans="1:6" x14ac:dyDescent="0.25">
      <c r="A44922" s="2" t="str">
        <f t="shared" ref="A44922:A44934" si="1412">"34340"</f>
        <v>34340</v>
      </c>
      <c r="B44922" s="2" t="str">
        <f>"28621"</f>
        <v>28621</v>
      </c>
      <c r="C44922" s="1">
        <v>0.100860221040616</v>
      </c>
      <c r="D44922" s="1">
        <v>0.20619176435226899</v>
      </c>
      <c r="E44922" s="1">
        <v>0.12419354838709599</v>
      </c>
      <c r="F44922" s="1">
        <v>0.110013043042038</v>
      </c>
    </row>
    <row r="44923" spans="1:6" x14ac:dyDescent="0.25">
      <c r="A44923" s="2" t="str">
        <f t="shared" si="1412"/>
        <v>34340</v>
      </c>
      <c r="B44923" s="2" t="str">
        <f>"27049"</f>
        <v>27049</v>
      </c>
      <c r="C44923" s="1">
        <v>0</v>
      </c>
      <c r="D44923" s="1">
        <v>3.00571085061617E-4</v>
      </c>
      <c r="E44923" s="1">
        <v>0</v>
      </c>
      <c r="F44923" s="1">
        <v>2.50827731513996E-5</v>
      </c>
    </row>
    <row r="44924" spans="1:6" x14ac:dyDescent="0.25">
      <c r="A44924" s="2" t="str">
        <f t="shared" si="1412"/>
        <v>34340</v>
      </c>
      <c r="B44924" s="2" t="str">
        <f>"27030"</f>
        <v>27030</v>
      </c>
      <c r="C44924" s="1">
        <v>0.52150552601542199</v>
      </c>
      <c r="D44924" s="1">
        <v>0.574691914637811</v>
      </c>
      <c r="E44924" s="1">
        <v>0.66612903225806397</v>
      </c>
      <c r="F44924" s="1">
        <v>0.52819303702217302</v>
      </c>
    </row>
    <row r="44925" spans="1:6" x14ac:dyDescent="0.25">
      <c r="A44925" s="2" t="str">
        <f t="shared" si="1412"/>
        <v>34340</v>
      </c>
      <c r="B44925" s="2" t="str">
        <f>"27043"</f>
        <v>27043</v>
      </c>
      <c r="C44925" s="1">
        <v>3.6914339801230399E-2</v>
      </c>
      <c r="D44925" s="1">
        <v>1.5629696423204002E-2</v>
      </c>
      <c r="E44925" s="1">
        <v>6.4516129032258004E-3</v>
      </c>
      <c r="F44925" s="1">
        <v>3.4664392495234203E-2</v>
      </c>
    </row>
    <row r="44926" spans="1:6" x14ac:dyDescent="0.25">
      <c r="A44926" s="2" t="str">
        <f t="shared" si="1412"/>
        <v>34340</v>
      </c>
      <c r="B44926" s="2" t="str">
        <f>"28669"</f>
        <v>28669</v>
      </c>
      <c r="C44926" s="1">
        <v>2.7838868628378901E-5</v>
      </c>
      <c r="D44926" s="1">
        <v>0</v>
      </c>
      <c r="E44926" s="1">
        <v>0</v>
      </c>
      <c r="F44926" s="1">
        <v>2.50827731513996E-5</v>
      </c>
    </row>
    <row r="44927" spans="1:6" x14ac:dyDescent="0.25">
      <c r="A44927" s="2" t="str">
        <f t="shared" si="1412"/>
        <v>34340</v>
      </c>
      <c r="B44927" s="2" t="str">
        <f>"27041"</f>
        <v>27041</v>
      </c>
      <c r="C44927" s="1">
        <v>8.8499763369616596E-2</v>
      </c>
      <c r="D44927" s="1">
        <v>8.2657048391944599E-2</v>
      </c>
      <c r="E44927" s="1">
        <v>8.5483870967741904E-2</v>
      </c>
      <c r="F44927" s="1">
        <v>8.7965285441958405E-2</v>
      </c>
    </row>
    <row r="44928" spans="1:6" x14ac:dyDescent="0.25">
      <c r="A44928" s="2" t="str">
        <f t="shared" si="1412"/>
        <v>34340</v>
      </c>
      <c r="B44928" s="2" t="str">
        <f>"27017"</f>
        <v>27017</v>
      </c>
      <c r="C44928" s="1">
        <v>0.115586982545029</v>
      </c>
      <c r="D44928" s="1">
        <v>7.6044484520589095E-2</v>
      </c>
      <c r="E44928" s="1">
        <v>0.10806451612903201</v>
      </c>
      <c r="F44928" s="1">
        <v>0.112170161533059</v>
      </c>
    </row>
    <row r="44929" spans="1:6" x14ac:dyDescent="0.25">
      <c r="A44929" s="2" t="str">
        <f t="shared" si="1412"/>
        <v>34340</v>
      </c>
      <c r="B44929" s="2" t="str">
        <f>"27053"</f>
        <v>27053</v>
      </c>
      <c r="C44929" s="1">
        <v>3.53553631580412E-3</v>
      </c>
      <c r="D44929" s="1">
        <v>2.40456868049293E-3</v>
      </c>
      <c r="E44929" s="1">
        <v>0</v>
      </c>
      <c r="F44929" s="1">
        <v>3.38617437543894E-3</v>
      </c>
    </row>
    <row r="44930" spans="1:6" x14ac:dyDescent="0.25">
      <c r="A44930" s="2" t="str">
        <f t="shared" si="1412"/>
        <v>34340</v>
      </c>
      <c r="B44930" s="2" t="str">
        <f>"27047"</f>
        <v>27047</v>
      </c>
      <c r="C44930" s="1">
        <v>1.65084490966287E-2</v>
      </c>
      <c r="D44930" s="1">
        <v>5.7108506161707203E-3</v>
      </c>
      <c r="E44930" s="1">
        <v>1.6129032258064501E-3</v>
      </c>
      <c r="F44930" s="1">
        <v>1.53757399418079E-2</v>
      </c>
    </row>
    <row r="44931" spans="1:6" x14ac:dyDescent="0.25">
      <c r="A44931" s="2" t="str">
        <f t="shared" si="1412"/>
        <v>34340</v>
      </c>
      <c r="B44931" s="2" t="str">
        <f>"27024"</f>
        <v>27024</v>
      </c>
      <c r="C44931" s="1">
        <v>3.94755157150413E-2</v>
      </c>
      <c r="D44931" s="1">
        <v>9.3177036369101202E-3</v>
      </c>
      <c r="E44931" s="1">
        <v>0</v>
      </c>
      <c r="F44931" s="1">
        <v>3.6344938296377999E-2</v>
      </c>
    </row>
    <row r="44932" spans="1:6" x14ac:dyDescent="0.25">
      <c r="A44932" s="2" t="str">
        <f t="shared" si="1412"/>
        <v>34340</v>
      </c>
      <c r="B44932" s="2" t="str">
        <f>"27007"</f>
        <v>27007</v>
      </c>
      <c r="C44932" s="1">
        <v>2.8646195818601901E-2</v>
      </c>
      <c r="D44932" s="1">
        <v>8.1154192966636594E-3</v>
      </c>
      <c r="E44932" s="1">
        <v>0</v>
      </c>
      <c r="F44932" s="1">
        <v>2.6487408447877898E-2</v>
      </c>
    </row>
    <row r="44933" spans="1:6" x14ac:dyDescent="0.25">
      <c r="A44933" s="2" t="str">
        <f t="shared" si="1412"/>
        <v>34340</v>
      </c>
      <c r="B44933" s="2" t="str">
        <f>"28683"</f>
        <v>28683</v>
      </c>
      <c r="C44933" s="1">
        <v>1.3975112051446199E-2</v>
      </c>
      <c r="D44933" s="1">
        <v>3.3062819356777799E-3</v>
      </c>
      <c r="E44933" s="1">
        <v>0</v>
      </c>
      <c r="F44933" s="1">
        <v>1.2867462626668E-2</v>
      </c>
    </row>
    <row r="44934" spans="1:6" x14ac:dyDescent="0.25">
      <c r="A44934" s="2" t="str">
        <f t="shared" si="1412"/>
        <v>34340</v>
      </c>
      <c r="B44934" s="2" t="str">
        <f>"28676"</f>
        <v>28676</v>
      </c>
      <c r="C44934" s="1">
        <v>3.4464519361933101E-2</v>
      </c>
      <c r="D44934" s="1">
        <v>1.5629696423204002E-2</v>
      </c>
      <c r="E44934" s="1">
        <v>8.0645161290322492E-3</v>
      </c>
      <c r="F44934" s="1">
        <v>3.2482191231062503E-2</v>
      </c>
    </row>
    <row r="44935" spans="1:6" x14ac:dyDescent="0.25">
      <c r="A44935" s="2" t="str">
        <f t="shared" ref="A44935:A44942" si="1413">"29900"</f>
        <v>29900</v>
      </c>
      <c r="B44935" s="2" t="str">
        <f>"28364"</f>
        <v>28364</v>
      </c>
      <c r="C44935" s="1">
        <v>1.16927407567801E-2</v>
      </c>
      <c r="D44935" s="1">
        <v>2.1339656194427899E-2</v>
      </c>
      <c r="E44935" s="1">
        <v>0</v>
      </c>
      <c r="F44935" s="1">
        <v>1.2202208018593799E-2</v>
      </c>
    </row>
    <row r="44936" spans="1:6" x14ac:dyDescent="0.25">
      <c r="A44936" s="2" t="str">
        <f t="shared" si="1413"/>
        <v>29900</v>
      </c>
      <c r="B44936" s="2" t="str">
        <f>"28352"</f>
        <v>28352</v>
      </c>
      <c r="C44936" s="1">
        <v>0.61430195420343203</v>
      </c>
      <c r="D44936" s="1">
        <v>0.68464730290456399</v>
      </c>
      <c r="E44936" s="1">
        <v>0.94918699186991795</v>
      </c>
      <c r="F44936" s="1">
        <v>0.628026341274452</v>
      </c>
    </row>
    <row r="44937" spans="1:6" x14ac:dyDescent="0.25">
      <c r="A44937" s="2" t="str">
        <f t="shared" si="1413"/>
        <v>29900</v>
      </c>
      <c r="B44937" s="2" t="str">
        <f>"28396"</f>
        <v>28396</v>
      </c>
      <c r="C44937" s="1">
        <v>5.9329832728847502E-2</v>
      </c>
      <c r="D44937" s="1">
        <v>2.0746887966804899E-2</v>
      </c>
      <c r="E44937" s="1">
        <v>1.21951219512195E-2</v>
      </c>
      <c r="F44937" s="1">
        <v>5.5055200464846001E-2</v>
      </c>
    </row>
    <row r="44938" spans="1:6" x14ac:dyDescent="0.25">
      <c r="A44938" s="2" t="str">
        <f t="shared" si="1413"/>
        <v>29900</v>
      </c>
      <c r="B44938" s="2" t="str">
        <f>"28343"</f>
        <v>28343</v>
      </c>
      <c r="C44938" s="1">
        <v>4.02749959400205E-2</v>
      </c>
      <c r="D44938" s="1">
        <v>4.7421458209839897E-3</v>
      </c>
      <c r="E44938" s="1">
        <v>3.4552845528455202E-2</v>
      </c>
      <c r="F44938" s="1">
        <v>3.7236103040867698E-2</v>
      </c>
    </row>
    <row r="44939" spans="1:6" x14ac:dyDescent="0.25">
      <c r="A44939" s="2" t="str">
        <f t="shared" si="1413"/>
        <v>29900</v>
      </c>
      <c r="B44939" s="2" t="str">
        <f>"28353"</f>
        <v>28353</v>
      </c>
      <c r="C44939" s="1">
        <v>7.5732149623775197E-2</v>
      </c>
      <c r="D44939" s="1">
        <v>0.19917012448132701</v>
      </c>
      <c r="E44939" s="1">
        <v>2.0325203252032501E-3</v>
      </c>
      <c r="F44939" s="1">
        <v>8.4059655239202002E-2</v>
      </c>
    </row>
    <row r="44940" spans="1:6" x14ac:dyDescent="0.25">
      <c r="A44940" s="2" t="str">
        <f t="shared" si="1413"/>
        <v>29900</v>
      </c>
      <c r="B44940" s="2" t="str">
        <f>"28363"</f>
        <v>28363</v>
      </c>
      <c r="C44940" s="1">
        <v>2.0462296324365199E-2</v>
      </c>
      <c r="D44940" s="1">
        <v>7.1132187314759902E-3</v>
      </c>
      <c r="E44940" s="1">
        <v>0</v>
      </c>
      <c r="F44940" s="1">
        <v>1.8884369552585701E-2</v>
      </c>
    </row>
    <row r="44941" spans="1:6" x14ac:dyDescent="0.25">
      <c r="A44941" s="2" t="str">
        <f t="shared" si="1413"/>
        <v>29900</v>
      </c>
      <c r="B44941" s="2" t="str">
        <f>"28345"</f>
        <v>28345</v>
      </c>
      <c r="C44941" s="1">
        <v>5.4674389649759098E-3</v>
      </c>
      <c r="D44941" s="1">
        <v>5.9276822762299904E-4</v>
      </c>
      <c r="E44941" s="1">
        <v>0</v>
      </c>
      <c r="F44941" s="1">
        <v>4.9389889599070298E-3</v>
      </c>
    </row>
    <row r="44942" spans="1:6" x14ac:dyDescent="0.25">
      <c r="A44942" s="2" t="str">
        <f t="shared" si="1413"/>
        <v>29900</v>
      </c>
      <c r="B44942" s="2" t="str">
        <f>"28351"</f>
        <v>28351</v>
      </c>
      <c r="C44942" s="1">
        <v>0.17273859145780299</v>
      </c>
      <c r="D44942" s="1">
        <v>6.16478956727919E-2</v>
      </c>
      <c r="E44942" s="1">
        <v>2.0325203252032501E-3</v>
      </c>
      <c r="F44942" s="1">
        <v>0.15959713344954399</v>
      </c>
    </row>
    <row r="44943" spans="1:6" x14ac:dyDescent="0.25">
      <c r="A44943" s="2" t="str">
        <f t="shared" ref="A44943:A44952" si="1414">"28820"</f>
        <v>28820</v>
      </c>
      <c r="B44943" s="2" t="str">
        <f>"28538"</f>
        <v>28538</v>
      </c>
      <c r="C44943" s="1">
        <v>4.1968209907141197E-3</v>
      </c>
      <c r="D44943" s="1">
        <v>2.5510204081632599E-3</v>
      </c>
      <c r="E44943" s="1">
        <v>1.0905125408942199E-3</v>
      </c>
      <c r="F44943" s="1">
        <v>3.9797181769942796E-3</v>
      </c>
    </row>
    <row r="44944" spans="1:6" x14ac:dyDescent="0.25">
      <c r="A44944" s="2" t="str">
        <f t="shared" si="1414"/>
        <v>28820</v>
      </c>
      <c r="B44944" s="2" t="str">
        <f>"28551"</f>
        <v>28551</v>
      </c>
      <c r="C44944" s="1">
        <v>0.153035259905488</v>
      </c>
      <c r="D44944" s="1">
        <v>0.102405247813411</v>
      </c>
      <c r="E44944" s="1">
        <v>4.1439476553980302E-2</v>
      </c>
      <c r="F44944" s="1">
        <v>0.14592299982312301</v>
      </c>
    </row>
    <row r="44945" spans="1:6" x14ac:dyDescent="0.25">
      <c r="A44945" s="2" t="str">
        <f t="shared" si="1414"/>
        <v>28820</v>
      </c>
      <c r="B44945" s="2" t="str">
        <f>"28504"</f>
        <v>28504</v>
      </c>
      <c r="C44945" s="1">
        <v>0.33349856250619597</v>
      </c>
      <c r="D44945" s="1">
        <v>0.35641399416909603</v>
      </c>
      <c r="E44945" s="1">
        <v>0.17557251908396901</v>
      </c>
      <c r="F44945" s="1">
        <v>0.33108307293201999</v>
      </c>
    </row>
    <row r="44946" spans="1:6" x14ac:dyDescent="0.25">
      <c r="A44946" s="2" t="str">
        <f t="shared" si="1414"/>
        <v>28820</v>
      </c>
      <c r="B44946" s="2" t="str">
        <f>"28501"</f>
        <v>28501</v>
      </c>
      <c r="C44946" s="1">
        <v>0.36145533855457501</v>
      </c>
      <c r="D44946" s="1">
        <v>0.47412536443148601</v>
      </c>
      <c r="E44946" s="1">
        <v>0.77208287895310701</v>
      </c>
      <c r="F44946" s="1">
        <v>0.381669712870703</v>
      </c>
    </row>
    <row r="44947" spans="1:6" x14ac:dyDescent="0.25">
      <c r="A44947" s="2" t="str">
        <f t="shared" si="1414"/>
        <v>28820</v>
      </c>
      <c r="B44947" s="2" t="str">
        <f>"28526"</f>
        <v>28526</v>
      </c>
      <c r="C44947" s="1">
        <v>1.5862000594824999E-3</v>
      </c>
      <c r="D44947" s="1">
        <v>3.6443148688046598E-4</v>
      </c>
      <c r="E44947" s="1">
        <v>0</v>
      </c>
      <c r="F44947" s="1">
        <v>1.4444903012794E-3</v>
      </c>
    </row>
    <row r="44948" spans="1:6" x14ac:dyDescent="0.25">
      <c r="A44948" s="2" t="str">
        <f t="shared" si="1414"/>
        <v>28820</v>
      </c>
      <c r="B44948" s="2" t="str">
        <f>"28525"</f>
        <v>28525</v>
      </c>
      <c r="C44948" s="1">
        <v>4.7255543438749499E-2</v>
      </c>
      <c r="D44948" s="1">
        <v>1.53061224489795E-2</v>
      </c>
      <c r="E44948" s="1">
        <v>2.1810250817884398E-3</v>
      </c>
      <c r="F44948" s="1">
        <v>4.3452626613996799E-2</v>
      </c>
    </row>
    <row r="44949" spans="1:6" x14ac:dyDescent="0.25">
      <c r="A44949" s="2" t="str">
        <f t="shared" si="1414"/>
        <v>28820</v>
      </c>
      <c r="B44949" s="2" t="str">
        <f>"28580"</f>
        <v>28580</v>
      </c>
      <c r="C44949" s="1">
        <v>8.5919169888635496E-4</v>
      </c>
      <c r="D44949" s="1">
        <v>0</v>
      </c>
      <c r="E44949" s="1">
        <v>0</v>
      </c>
      <c r="F44949" s="1">
        <v>7.6646424149519397E-4</v>
      </c>
    </row>
    <row r="44950" spans="1:6" x14ac:dyDescent="0.25">
      <c r="A44950" s="2" t="str">
        <f t="shared" si="1414"/>
        <v>28820</v>
      </c>
      <c r="B44950" s="2" t="str">
        <f>"28578"</f>
        <v>28578</v>
      </c>
      <c r="C44950" s="1">
        <v>1.5862000594824999E-2</v>
      </c>
      <c r="D44950" s="1">
        <v>1.0932944606413899E-3</v>
      </c>
      <c r="E44950" s="1">
        <v>0</v>
      </c>
      <c r="F44950" s="1">
        <v>1.4238547255468401E-2</v>
      </c>
    </row>
    <row r="44951" spans="1:6" x14ac:dyDescent="0.25">
      <c r="A44951" s="2" t="str">
        <f t="shared" si="1414"/>
        <v>28820</v>
      </c>
      <c r="B44951" s="2" t="str">
        <f>"28572"</f>
        <v>28572</v>
      </c>
      <c r="C44951" s="1">
        <v>4.2265622418294103E-2</v>
      </c>
      <c r="D44951" s="1">
        <v>4.04518950437317E-2</v>
      </c>
      <c r="E44951" s="1">
        <v>7.63358778625954E-3</v>
      </c>
      <c r="F44951" s="1">
        <v>4.1182713283414801E-2</v>
      </c>
    </row>
    <row r="44952" spans="1:6" x14ac:dyDescent="0.25">
      <c r="A44952" s="2" t="str">
        <f t="shared" si="1414"/>
        <v>28820</v>
      </c>
      <c r="B44952" s="2" t="str">
        <f>"28530"</f>
        <v>28530</v>
      </c>
      <c r="C44952" s="1">
        <v>3.9985459832787999E-2</v>
      </c>
      <c r="D44952" s="1">
        <v>7.2886297376093196E-3</v>
      </c>
      <c r="E44952" s="1">
        <v>0</v>
      </c>
      <c r="F44952" s="1">
        <v>3.6259654501503397E-2</v>
      </c>
    </row>
    <row r="44953" spans="1:6" x14ac:dyDescent="0.25">
      <c r="A44953" s="2" t="str">
        <f t="shared" ref="A44953:A44983" si="1415">"35100"</f>
        <v>35100</v>
      </c>
      <c r="B44953" s="2" t="str">
        <f>"28586"</f>
        <v>28586</v>
      </c>
      <c r="C44953" s="1">
        <v>4.9645287807128798E-2</v>
      </c>
      <c r="D44953" s="1">
        <v>2.4982770503101302E-2</v>
      </c>
      <c r="E44953" s="1">
        <v>1.72413793103448E-2</v>
      </c>
      <c r="F44953" s="1">
        <v>4.7414700926705897E-2</v>
      </c>
    </row>
    <row r="44954" spans="1:6" x14ac:dyDescent="0.25">
      <c r="A44954" s="2" t="str">
        <f t="shared" si="1415"/>
        <v>35100</v>
      </c>
      <c r="B44954" s="2" t="str">
        <f>"28563"</f>
        <v>28563</v>
      </c>
      <c r="C44954" s="1">
        <v>1.4462452416656999E-2</v>
      </c>
      <c r="D44954" s="1">
        <v>5.4617505168849001E-2</v>
      </c>
      <c r="E44954" s="1">
        <v>1.23152709359605E-3</v>
      </c>
      <c r="F44954" s="1">
        <v>1.7388900589721899E-2</v>
      </c>
    </row>
    <row r="44955" spans="1:6" x14ac:dyDescent="0.25">
      <c r="A44955" s="2" t="str">
        <f t="shared" si="1415"/>
        <v>35100</v>
      </c>
      <c r="B44955" s="2" t="str">
        <f>"28530"</f>
        <v>28530</v>
      </c>
      <c r="C44955" s="1">
        <v>4.3545968393124898E-3</v>
      </c>
      <c r="D44955" s="1">
        <v>2.0675396278428599E-3</v>
      </c>
      <c r="E44955" s="1">
        <v>0</v>
      </c>
      <c r="F44955" s="1">
        <v>4.1333192923336103E-3</v>
      </c>
    </row>
    <row r="44956" spans="1:6" x14ac:dyDescent="0.25">
      <c r="A44956" s="2" t="str">
        <f t="shared" si="1415"/>
        <v>35100</v>
      </c>
      <c r="B44956" s="2" t="str">
        <f>"28523"</f>
        <v>28523</v>
      </c>
      <c r="C44956" s="1">
        <v>1.8788210866305201E-2</v>
      </c>
      <c r="D44956" s="1">
        <v>8.2701585113714605E-3</v>
      </c>
      <c r="E44956" s="1">
        <v>0</v>
      </c>
      <c r="F44956" s="1">
        <v>1.7783803706823899E-2</v>
      </c>
    </row>
    <row r="44957" spans="1:6" x14ac:dyDescent="0.25">
      <c r="A44957" s="2" t="str">
        <f t="shared" si="1415"/>
        <v>35100</v>
      </c>
      <c r="B44957" s="2" t="str">
        <f>"28515"</f>
        <v>28515</v>
      </c>
      <c r="C44957" s="1">
        <v>1.68704579536278E-2</v>
      </c>
      <c r="D44957" s="1">
        <v>1.32667126119917E-2</v>
      </c>
      <c r="E44957" s="1">
        <v>1.47783251231527E-2</v>
      </c>
      <c r="F44957" s="1">
        <v>1.6572767481044599E-2</v>
      </c>
    </row>
    <row r="44958" spans="1:6" x14ac:dyDescent="0.25">
      <c r="A44958" s="2" t="str">
        <f t="shared" si="1415"/>
        <v>35100</v>
      </c>
      <c r="B44958" s="2" t="str">
        <f>"28510"</f>
        <v>28510</v>
      </c>
      <c r="C44958" s="1">
        <v>1.30493713231053E-2</v>
      </c>
      <c r="D44958" s="1">
        <v>1.8952446588559599E-3</v>
      </c>
      <c r="E44958" s="1">
        <v>1.47783251231527E-2</v>
      </c>
      <c r="F44958" s="1">
        <v>1.22156697556866E-2</v>
      </c>
    </row>
    <row r="44959" spans="1:6" x14ac:dyDescent="0.25">
      <c r="A44959" s="2" t="str">
        <f t="shared" si="1415"/>
        <v>35100</v>
      </c>
      <c r="B44959" s="2" t="str">
        <f>"28583"</f>
        <v>28583</v>
      </c>
      <c r="C44959" s="1">
        <v>0</v>
      </c>
      <c r="D44959" s="1">
        <v>0</v>
      </c>
      <c r="E44959" s="1">
        <v>1.23152709359605E-3</v>
      </c>
      <c r="F44959" s="1">
        <v>1.31634372367312E-5</v>
      </c>
    </row>
    <row r="44960" spans="1:6" x14ac:dyDescent="0.25">
      <c r="A44960" s="2" t="str">
        <f t="shared" si="1415"/>
        <v>35100</v>
      </c>
      <c r="B44960" s="2" t="str">
        <f>"28574"</f>
        <v>28574</v>
      </c>
      <c r="C44960" s="1">
        <v>8.3631330026531303E-4</v>
      </c>
      <c r="D44960" s="1">
        <v>5.1688490696071595E-4</v>
      </c>
      <c r="E44960" s="1">
        <v>0</v>
      </c>
      <c r="F44960" s="1">
        <v>8.0296967144060597E-4</v>
      </c>
    </row>
    <row r="44961" spans="1:6" x14ac:dyDescent="0.25">
      <c r="A44961" s="2" t="str">
        <f t="shared" si="1415"/>
        <v>35100</v>
      </c>
      <c r="B44961" s="2" t="str">
        <f>"28573"</f>
        <v>28573</v>
      </c>
      <c r="C44961" s="1">
        <v>1.4721997923635899E-2</v>
      </c>
      <c r="D44961" s="1">
        <v>6.0303239145416904E-3</v>
      </c>
      <c r="E44961" s="1">
        <v>1.23152709359605E-3</v>
      </c>
      <c r="F44961" s="1">
        <v>1.39137531592249E-2</v>
      </c>
    </row>
    <row r="44962" spans="1:6" x14ac:dyDescent="0.25">
      <c r="A44962" s="2" t="str">
        <f t="shared" si="1415"/>
        <v>35100</v>
      </c>
      <c r="B44962" s="2" t="str">
        <f>"28537"</f>
        <v>28537</v>
      </c>
      <c r="C44962" s="1">
        <v>6.2002537778290399E-4</v>
      </c>
      <c r="D44962" s="1">
        <v>1.7229496898690501E-4</v>
      </c>
      <c r="E44962" s="1">
        <v>0</v>
      </c>
      <c r="F44962" s="1">
        <v>5.7919123841617499E-4</v>
      </c>
    </row>
    <row r="44963" spans="1:6" x14ac:dyDescent="0.25">
      <c r="A44963" s="2" t="str">
        <f t="shared" si="1415"/>
        <v>35100</v>
      </c>
      <c r="B44963" s="2" t="str">
        <f>"28529"</f>
        <v>28529</v>
      </c>
      <c r="C44963" s="1">
        <v>1.5630407198062E-2</v>
      </c>
      <c r="D44963" s="1">
        <v>7.0640937284631201E-3</v>
      </c>
      <c r="E44963" s="1">
        <v>6.1576354679802898E-3</v>
      </c>
      <c r="F44963" s="1">
        <v>1.4874684077506301E-2</v>
      </c>
    </row>
    <row r="44964" spans="1:6" x14ac:dyDescent="0.25">
      <c r="A44964" s="2" t="str">
        <f t="shared" si="1415"/>
        <v>35100</v>
      </c>
      <c r="B44964" s="2" t="str">
        <f>"28522"</f>
        <v>28522</v>
      </c>
      <c r="C44964" s="1">
        <v>0</v>
      </c>
      <c r="D44964" s="1">
        <v>0</v>
      </c>
      <c r="E44964" s="1">
        <v>1.23152709359605E-3</v>
      </c>
      <c r="F44964" s="1">
        <v>1.31634372367312E-5</v>
      </c>
    </row>
    <row r="44965" spans="1:6" x14ac:dyDescent="0.25">
      <c r="A44965" s="2" t="str">
        <f t="shared" si="1415"/>
        <v>35100</v>
      </c>
      <c r="B44965" s="2" t="str">
        <f>"28526"</f>
        <v>28526</v>
      </c>
      <c r="C44965" s="1">
        <v>1.7029069096781601E-2</v>
      </c>
      <c r="D44965" s="1">
        <v>8.2701585113714605E-3</v>
      </c>
      <c r="E44965" s="1">
        <v>0</v>
      </c>
      <c r="F44965" s="1">
        <v>1.6177864363942699E-2</v>
      </c>
    </row>
    <row r="44966" spans="1:6" x14ac:dyDescent="0.25">
      <c r="A44966" s="2" t="str">
        <f t="shared" si="1415"/>
        <v>35100</v>
      </c>
      <c r="B44966" s="2" t="str">
        <f>"28585"</f>
        <v>28585</v>
      </c>
      <c r="C44966" s="1">
        <v>2.78723036105663E-2</v>
      </c>
      <c r="D44966" s="1">
        <v>2.3259820813232201E-2</v>
      </c>
      <c r="E44966" s="1">
        <v>2.2167487684728999E-2</v>
      </c>
      <c r="F44966" s="1">
        <v>2.74589300758213E-2</v>
      </c>
    </row>
    <row r="44967" spans="1:6" x14ac:dyDescent="0.25">
      <c r="A44967" s="2" t="str">
        <f t="shared" si="1415"/>
        <v>35100</v>
      </c>
      <c r="B44967" s="2" t="str">
        <f>"28564"</f>
        <v>28564</v>
      </c>
      <c r="C44967" s="1">
        <v>6.6328296227938597E-3</v>
      </c>
      <c r="D44967" s="1">
        <v>2.10199862164024E-2</v>
      </c>
      <c r="E44967" s="1">
        <v>2.46305418719211E-3</v>
      </c>
      <c r="F44967" s="1">
        <v>7.6874473462510504E-3</v>
      </c>
    </row>
    <row r="44968" spans="1:6" x14ac:dyDescent="0.25">
      <c r="A44968" s="2" t="str">
        <f t="shared" si="1415"/>
        <v>35100</v>
      </c>
      <c r="B44968" s="2" t="str">
        <f>"28561"</f>
        <v>28561</v>
      </c>
      <c r="C44968" s="1">
        <v>2.9155611950628602E-2</v>
      </c>
      <c r="D44968" s="1">
        <v>9.4762232942797994E-2</v>
      </c>
      <c r="E44968" s="1">
        <v>1.23152709359605E-3</v>
      </c>
      <c r="F44968" s="1">
        <v>3.3869524010109502E-2</v>
      </c>
    </row>
    <row r="44969" spans="1:6" x14ac:dyDescent="0.25">
      <c r="A44969" s="2" t="str">
        <f t="shared" si="1415"/>
        <v>35100</v>
      </c>
      <c r="B44969" s="2" t="str">
        <f>"28556"</f>
        <v>28556</v>
      </c>
      <c r="C44969" s="1">
        <v>1.0151113161841E-2</v>
      </c>
      <c r="D44969" s="1">
        <v>2.9290144727773899E-3</v>
      </c>
      <c r="E44969" s="1">
        <v>0</v>
      </c>
      <c r="F44969" s="1">
        <v>9.4908382476832295E-3</v>
      </c>
    </row>
    <row r="44970" spans="1:6" x14ac:dyDescent="0.25">
      <c r="A44970" s="2" t="str">
        <f t="shared" si="1415"/>
        <v>35100</v>
      </c>
      <c r="B44970" s="2" t="str">
        <f>"28509"</f>
        <v>28509</v>
      </c>
      <c r="C44970" s="1">
        <v>0</v>
      </c>
      <c r="D44970" s="1">
        <v>0</v>
      </c>
      <c r="E44970" s="1">
        <v>1.23152709359605E-3</v>
      </c>
      <c r="F44970" s="1">
        <v>1.31634372367312E-5</v>
      </c>
    </row>
    <row r="44971" spans="1:6" x14ac:dyDescent="0.25">
      <c r="A44971" s="2" t="str">
        <f t="shared" si="1415"/>
        <v>35100</v>
      </c>
      <c r="B44971" s="2" t="str">
        <f>"28504"</f>
        <v>28504</v>
      </c>
      <c r="C44971" s="1">
        <v>3.74899065636174E-4</v>
      </c>
      <c r="D44971" s="1">
        <v>1.7229496898690501E-4</v>
      </c>
      <c r="E44971" s="1">
        <v>0</v>
      </c>
      <c r="F44971" s="1">
        <v>3.5541280539174298E-4</v>
      </c>
    </row>
    <row r="44972" spans="1:6" x14ac:dyDescent="0.25">
      <c r="A44972" s="2" t="str">
        <f t="shared" si="1415"/>
        <v>35100</v>
      </c>
      <c r="B44972" s="2" t="str">
        <f>"28501"</f>
        <v>28501</v>
      </c>
      <c r="C44972" s="1">
        <v>4.7583342946129802E-3</v>
      </c>
      <c r="D44972" s="1">
        <v>3.2736044107511998E-3</v>
      </c>
      <c r="E44972" s="1">
        <v>0</v>
      </c>
      <c r="F44972" s="1">
        <v>4.5940395956192001E-3</v>
      </c>
    </row>
    <row r="44973" spans="1:6" x14ac:dyDescent="0.25">
      <c r="A44973" s="2" t="str">
        <f t="shared" si="1415"/>
        <v>35100</v>
      </c>
      <c r="B44973" s="2" t="str">
        <f>"28552"</f>
        <v>28552</v>
      </c>
      <c r="C44973" s="1">
        <v>1.9754296920059902E-3</v>
      </c>
      <c r="D44973" s="1">
        <v>6.89179875947622E-4</v>
      </c>
      <c r="E44973" s="1">
        <v>1.23152709359605E-3</v>
      </c>
      <c r="F44973" s="1">
        <v>1.86920808761583E-3</v>
      </c>
    </row>
    <row r="44974" spans="1:6" x14ac:dyDescent="0.25">
      <c r="A44974" s="2" t="str">
        <f t="shared" si="1415"/>
        <v>35100</v>
      </c>
      <c r="B44974" s="2" t="str">
        <f>"28533"</f>
        <v>28533</v>
      </c>
      <c r="C44974" s="1">
        <v>0</v>
      </c>
      <c r="D44974" s="1">
        <v>1.0337698139214299E-2</v>
      </c>
      <c r="E44974" s="1">
        <v>1.23152709359605E-3</v>
      </c>
      <c r="F44974" s="1">
        <v>8.0296967144060597E-4</v>
      </c>
    </row>
    <row r="44975" spans="1:6" x14ac:dyDescent="0.25">
      <c r="A44975" s="2" t="str">
        <f t="shared" si="1415"/>
        <v>35100</v>
      </c>
      <c r="B44975" s="2" t="str">
        <f>"28572"</f>
        <v>28572</v>
      </c>
      <c r="C44975" s="1">
        <v>2.5666166801245802E-3</v>
      </c>
      <c r="D44975" s="1">
        <v>1.03376981392143E-3</v>
      </c>
      <c r="E44975" s="1">
        <v>0</v>
      </c>
      <c r="F44975" s="1">
        <v>2.42207245155855E-3</v>
      </c>
    </row>
    <row r="44976" spans="1:6" x14ac:dyDescent="0.25">
      <c r="A44976" s="2" t="str">
        <f t="shared" si="1415"/>
        <v>35100</v>
      </c>
      <c r="B44976" s="2" t="str">
        <f>"28571"</f>
        <v>28571</v>
      </c>
      <c r="C44976" s="1">
        <v>2.31283885107855E-2</v>
      </c>
      <c r="D44976" s="1">
        <v>1.1199172984148799E-2</v>
      </c>
      <c r="E44976" s="1">
        <v>1.1083743842364499E-2</v>
      </c>
      <c r="F44976" s="1">
        <v>2.2088247683235002E-2</v>
      </c>
    </row>
    <row r="44977" spans="1:6" x14ac:dyDescent="0.25">
      <c r="A44977" s="2" t="str">
        <f t="shared" si="1415"/>
        <v>35100</v>
      </c>
      <c r="B44977" s="2" t="str">
        <f>"28562"</f>
        <v>28562</v>
      </c>
      <c r="C44977" s="1">
        <v>0.28444745645403102</v>
      </c>
      <c r="D44977" s="1">
        <v>0.27532736044107498</v>
      </c>
      <c r="E44977" s="1">
        <v>0.32881773399014702</v>
      </c>
      <c r="F44977" s="1">
        <v>0.28422493681550098</v>
      </c>
    </row>
    <row r="44978" spans="1:6" x14ac:dyDescent="0.25">
      <c r="A44978" s="2" t="str">
        <f t="shared" si="1415"/>
        <v>35100</v>
      </c>
      <c r="B44978" s="2" t="str">
        <f>"28555"</f>
        <v>28555</v>
      </c>
      <c r="C44978" s="1">
        <v>1.28619217902872E-2</v>
      </c>
      <c r="D44978" s="1">
        <v>2.0675396278428599E-3</v>
      </c>
      <c r="E44978" s="1">
        <v>4.9261083743842296E-3</v>
      </c>
      <c r="F44978" s="1">
        <v>1.19524010109519E-2</v>
      </c>
    </row>
    <row r="44979" spans="1:6" x14ac:dyDescent="0.25">
      <c r="A44979" s="2" t="str">
        <f t="shared" si="1415"/>
        <v>35100</v>
      </c>
      <c r="B44979" s="2" t="str">
        <f>"28532"</f>
        <v>28532</v>
      </c>
      <c r="C44979" s="1">
        <v>0.18052831929864999</v>
      </c>
      <c r="D44979" s="1">
        <v>0.17229496898690499</v>
      </c>
      <c r="E44979" s="1">
        <v>0.28325123152709297</v>
      </c>
      <c r="F44979" s="1">
        <v>0.180997262005054</v>
      </c>
    </row>
    <row r="44980" spans="1:6" x14ac:dyDescent="0.25">
      <c r="A44980" s="2" t="str">
        <f t="shared" si="1415"/>
        <v>35100</v>
      </c>
      <c r="B44980" s="2" t="str">
        <f>"28519"</f>
        <v>28519</v>
      </c>
      <c r="C44980" s="1">
        <v>1.39433614026992E-2</v>
      </c>
      <c r="D44980" s="1">
        <v>1.8435561681598801E-2</v>
      </c>
      <c r="E44980" s="1">
        <v>2.46305418719211E-3</v>
      </c>
      <c r="F44980" s="1">
        <v>1.4163858466722801E-2</v>
      </c>
    </row>
    <row r="44981" spans="1:6" x14ac:dyDescent="0.25">
      <c r="A44981" s="2" t="str">
        <f t="shared" si="1415"/>
        <v>35100</v>
      </c>
      <c r="B44981" s="2" t="str">
        <f>"28587"</f>
        <v>28587</v>
      </c>
      <c r="C44981" s="1">
        <v>1.7158841850271E-3</v>
      </c>
      <c r="D44981" s="1">
        <v>8.6147484493452695E-4</v>
      </c>
      <c r="E44981" s="1">
        <v>1.23152709359605E-3</v>
      </c>
      <c r="F44981" s="1">
        <v>1.6454296545914001E-3</v>
      </c>
    </row>
    <row r="44982" spans="1:6" x14ac:dyDescent="0.25">
      <c r="A44982" s="2" t="str">
        <f t="shared" si="1415"/>
        <v>35100</v>
      </c>
      <c r="B44982" s="2" t="str">
        <f>"28560"</f>
        <v>28560</v>
      </c>
      <c r="C44982" s="1">
        <v>0.225299919252508</v>
      </c>
      <c r="D44982" s="1">
        <v>0.23414886285320399</v>
      </c>
      <c r="E44982" s="1">
        <v>0.27955665024630499</v>
      </c>
      <c r="F44982" s="1">
        <v>0.226555918281381</v>
      </c>
    </row>
    <row r="44983" spans="1:6" x14ac:dyDescent="0.25">
      <c r="A44983" s="2" t="str">
        <f t="shared" si="1415"/>
        <v>35100</v>
      </c>
      <c r="B44983" s="2" t="str">
        <f>"28527"</f>
        <v>28527</v>
      </c>
      <c r="C44983" s="1">
        <v>8.5794209251355402E-3</v>
      </c>
      <c r="D44983" s="1">
        <v>1.03376981392143E-3</v>
      </c>
      <c r="E44983" s="1">
        <v>1.23152709359605E-3</v>
      </c>
      <c r="F44983" s="1">
        <v>7.9243892165122096E-3</v>
      </c>
    </row>
    <row r="44984" spans="1:6" x14ac:dyDescent="0.25">
      <c r="A44984" s="2" t="str">
        <f t="shared" ref="A44984:A45002" si="1416">"37800"</f>
        <v>37800</v>
      </c>
      <c r="B44984" s="2" t="str">
        <f>"50044"</f>
        <v>50044</v>
      </c>
      <c r="C44984" s="1">
        <v>2.51065530101225E-2</v>
      </c>
      <c r="D44984" s="1">
        <v>6.9686411149825697E-3</v>
      </c>
      <c r="E44984" s="1">
        <v>8.7336244541484694E-3</v>
      </c>
      <c r="F44984" s="1">
        <v>2.3402719287690998E-2</v>
      </c>
    </row>
    <row r="44985" spans="1:6" x14ac:dyDescent="0.25">
      <c r="A44985" s="2" t="str">
        <f t="shared" si="1416"/>
        <v>37800</v>
      </c>
      <c r="B44985" s="2" t="str">
        <f>"50252"</f>
        <v>50252</v>
      </c>
      <c r="C44985" s="1">
        <v>9.8561534363345703E-3</v>
      </c>
      <c r="D44985" s="1">
        <v>1.74216027874564E-3</v>
      </c>
      <c r="E44985" s="1">
        <v>2.18340611353711E-3</v>
      </c>
      <c r="F44985" s="1">
        <v>9.0843460474070506E-3</v>
      </c>
    </row>
    <row r="44986" spans="1:6" x14ac:dyDescent="0.25">
      <c r="A44986" s="2" t="str">
        <f t="shared" si="1416"/>
        <v>37800</v>
      </c>
      <c r="B44986" s="2" t="str">
        <f>"50225"</f>
        <v>50225</v>
      </c>
      <c r="C44986" s="1">
        <v>8.2045817794352605E-2</v>
      </c>
      <c r="D44986" s="1">
        <v>1.5679442508710801E-2</v>
      </c>
      <c r="E44986" s="1">
        <v>5.0218340611353697E-2</v>
      </c>
      <c r="F44986" s="1">
        <v>7.6585248465888503E-2</v>
      </c>
    </row>
    <row r="44987" spans="1:6" x14ac:dyDescent="0.25">
      <c r="A44987" s="2" t="str">
        <f t="shared" si="1416"/>
        <v>37800</v>
      </c>
      <c r="B44987" s="2" t="str">
        <f>"50214"</f>
        <v>50214</v>
      </c>
      <c r="C44987" s="1">
        <v>2.3175279701651501E-2</v>
      </c>
      <c r="D44987" s="1">
        <v>6.0975609756097502E-3</v>
      </c>
      <c r="E44987" s="1">
        <v>0</v>
      </c>
      <c r="F44987" s="1">
        <v>2.13572373962218E-2</v>
      </c>
    </row>
    <row r="44988" spans="1:6" x14ac:dyDescent="0.25">
      <c r="A44988" s="2" t="str">
        <f t="shared" si="1416"/>
        <v>37800</v>
      </c>
      <c r="B44988" s="2" t="str">
        <f>"50150"</f>
        <v>50150</v>
      </c>
      <c r="C44988" s="1">
        <v>6.6595631326584904E-5</v>
      </c>
      <c r="D44988" s="1">
        <v>0</v>
      </c>
      <c r="E44988" s="1">
        <v>0</v>
      </c>
      <c r="F44988" s="1">
        <v>6.0161232102033403E-5</v>
      </c>
    </row>
    <row r="44989" spans="1:6" x14ac:dyDescent="0.25">
      <c r="A44989" s="2" t="str">
        <f t="shared" si="1416"/>
        <v>37800</v>
      </c>
      <c r="B44989" s="2" t="str">
        <f>"50138"</f>
        <v>50138</v>
      </c>
      <c r="C44989" s="1">
        <v>0.35841768779967997</v>
      </c>
      <c r="D44989" s="1">
        <v>0.38327526132404099</v>
      </c>
      <c r="E44989" s="1">
        <v>0.41484716157205198</v>
      </c>
      <c r="F44989" s="1">
        <v>0.36168932739742499</v>
      </c>
    </row>
    <row r="44990" spans="1:6" x14ac:dyDescent="0.25">
      <c r="A44990" s="2" t="str">
        <f t="shared" si="1416"/>
        <v>37800</v>
      </c>
      <c r="B44990" s="2" t="str">
        <f>"50228"</f>
        <v>50228</v>
      </c>
      <c r="C44990" s="1">
        <v>1.59829515183803E-3</v>
      </c>
      <c r="D44990" s="1">
        <v>0</v>
      </c>
      <c r="E44990" s="1">
        <v>0</v>
      </c>
      <c r="F44990" s="1">
        <v>1.4438695704487999E-3</v>
      </c>
    </row>
    <row r="44991" spans="1:6" x14ac:dyDescent="0.25">
      <c r="A44991" s="2" t="str">
        <f t="shared" si="1416"/>
        <v>37800</v>
      </c>
      <c r="B44991" s="2" t="str">
        <f>"50143"</f>
        <v>50143</v>
      </c>
      <c r="C44991" s="1">
        <v>6.6595631326584904E-5</v>
      </c>
      <c r="D44991" s="1">
        <v>0</v>
      </c>
      <c r="E44991" s="1">
        <v>0</v>
      </c>
      <c r="F44991" s="1">
        <v>6.0161232102033403E-5</v>
      </c>
    </row>
    <row r="44992" spans="1:6" x14ac:dyDescent="0.25">
      <c r="A44992" s="2" t="str">
        <f t="shared" si="1416"/>
        <v>37800</v>
      </c>
      <c r="B44992" s="2" t="str">
        <f>"50116"</f>
        <v>50116</v>
      </c>
      <c r="C44992" s="1">
        <v>9.9227490676611595E-3</v>
      </c>
      <c r="D44992" s="1">
        <v>1.74216027874564E-3</v>
      </c>
      <c r="E44992" s="1">
        <v>2.18340611353711E-3</v>
      </c>
      <c r="F44992" s="1">
        <v>9.1445072795090804E-3</v>
      </c>
    </row>
    <row r="44993" spans="1:6" x14ac:dyDescent="0.25">
      <c r="A44993" s="2" t="str">
        <f t="shared" si="1416"/>
        <v>37800</v>
      </c>
      <c r="B44993" s="2" t="str">
        <f>"50219"</f>
        <v>50219</v>
      </c>
      <c r="C44993" s="1">
        <v>0.38399041022908798</v>
      </c>
      <c r="D44993" s="1">
        <v>0.56533101045296097</v>
      </c>
      <c r="E44993" s="1">
        <v>0.48253275109170302</v>
      </c>
      <c r="F44993" s="1">
        <v>0.39922993622909297</v>
      </c>
    </row>
    <row r="44994" spans="1:6" x14ac:dyDescent="0.25">
      <c r="A44994" s="2" t="str">
        <f t="shared" si="1416"/>
        <v>37800</v>
      </c>
      <c r="B44994" s="2" t="str">
        <f>"50049"</f>
        <v>50049</v>
      </c>
      <c r="C44994" s="1">
        <v>6.6595631326584904E-5</v>
      </c>
      <c r="D44994" s="1">
        <v>0</v>
      </c>
      <c r="E44994" s="1">
        <v>0</v>
      </c>
      <c r="F44994" s="1">
        <v>6.0161232102033403E-5</v>
      </c>
    </row>
    <row r="44995" spans="1:6" x14ac:dyDescent="0.25">
      <c r="A44995" s="2" t="str">
        <f t="shared" si="1416"/>
        <v>37800</v>
      </c>
      <c r="B44995" s="2" t="str">
        <f>"50139"</f>
        <v>50139</v>
      </c>
      <c r="C44995" s="1">
        <v>6.4597762386787404E-3</v>
      </c>
      <c r="D44995" s="1">
        <v>8.7108013937282197E-4</v>
      </c>
      <c r="E44995" s="1">
        <v>0</v>
      </c>
      <c r="F44995" s="1">
        <v>5.8958007459992698E-3</v>
      </c>
    </row>
    <row r="44996" spans="1:6" x14ac:dyDescent="0.25">
      <c r="A44996" s="2" t="str">
        <f t="shared" si="1416"/>
        <v>37800</v>
      </c>
      <c r="B44996" s="2" t="str">
        <f>"50163"</f>
        <v>50163</v>
      </c>
      <c r="C44996" s="1">
        <v>2.3241875332978099E-2</v>
      </c>
      <c r="D44996" s="1">
        <v>0</v>
      </c>
      <c r="E44996" s="1">
        <v>8.7336244541484694E-3</v>
      </c>
      <c r="F44996" s="1">
        <v>2.1236914932017799E-2</v>
      </c>
    </row>
    <row r="44997" spans="1:6" x14ac:dyDescent="0.25">
      <c r="A44997" s="2" t="str">
        <f t="shared" si="1416"/>
        <v>37800</v>
      </c>
      <c r="B44997" s="2" t="str">
        <f>"50119"</f>
        <v>50119</v>
      </c>
      <c r="C44997" s="1">
        <v>1.48508257858284E-2</v>
      </c>
      <c r="D44997" s="1">
        <v>6.0975609756097502E-3</v>
      </c>
      <c r="E44997" s="1">
        <v>2.18340611353711E-3</v>
      </c>
      <c r="F44997" s="1">
        <v>1.3897244615569701E-2</v>
      </c>
    </row>
    <row r="44998" spans="1:6" x14ac:dyDescent="0.25">
      <c r="A44998" s="2" t="str">
        <f t="shared" si="1416"/>
        <v>37800</v>
      </c>
      <c r="B44998" s="2" t="str">
        <f>"50057"</f>
        <v>50057</v>
      </c>
      <c r="C44998" s="1">
        <v>6.3931806073521504E-3</v>
      </c>
      <c r="D44998" s="1">
        <v>6.0975609756097502E-3</v>
      </c>
      <c r="E44998" s="1">
        <v>2.18340611353711E-3</v>
      </c>
      <c r="F44998" s="1">
        <v>6.2567681386114697E-3</v>
      </c>
    </row>
    <row r="44999" spans="1:6" x14ac:dyDescent="0.25">
      <c r="A44999" s="2" t="str">
        <f t="shared" si="1416"/>
        <v>37800</v>
      </c>
      <c r="B44999" s="2" t="str">
        <f>"50062"</f>
        <v>50062</v>
      </c>
      <c r="C44999" s="1">
        <v>2.70378263185935E-2</v>
      </c>
      <c r="D44999" s="1">
        <v>2.6132404181184602E-3</v>
      </c>
      <c r="E44999" s="1">
        <v>2.40174672489082E-2</v>
      </c>
      <c r="F44999" s="1">
        <v>2.5267717482853998E-2</v>
      </c>
    </row>
    <row r="45000" spans="1:6" x14ac:dyDescent="0.25">
      <c r="A45000" s="2" t="str">
        <f t="shared" si="1416"/>
        <v>37800</v>
      </c>
      <c r="B45000" s="2" t="str">
        <f>"50237"</f>
        <v>50237</v>
      </c>
      <c r="C45000" s="1">
        <v>4.72828982418753E-3</v>
      </c>
      <c r="D45000" s="1">
        <v>0</v>
      </c>
      <c r="E45000" s="1">
        <v>0</v>
      </c>
      <c r="F45000" s="1">
        <v>4.2714474792443701E-3</v>
      </c>
    </row>
    <row r="45001" spans="1:6" x14ac:dyDescent="0.25">
      <c r="A45001" s="2" t="str">
        <f t="shared" si="1416"/>
        <v>37800</v>
      </c>
      <c r="B45001" s="2" t="str">
        <f>"50256"</f>
        <v>50256</v>
      </c>
      <c r="C45001" s="1">
        <v>1.46510388918486E-2</v>
      </c>
      <c r="D45001" s="1">
        <v>3.4843205574912801E-3</v>
      </c>
      <c r="E45001" s="1">
        <v>2.18340611353711E-3</v>
      </c>
      <c r="F45001" s="1">
        <v>1.3536277222957501E-2</v>
      </c>
    </row>
    <row r="45002" spans="1:6" x14ac:dyDescent="0.25">
      <c r="A45002" s="2" t="str">
        <f t="shared" si="1416"/>
        <v>37800</v>
      </c>
      <c r="B45002" s="2" t="str">
        <f>"50170"</f>
        <v>50170</v>
      </c>
      <c r="C45002" s="1">
        <v>8.3244539158231195E-3</v>
      </c>
      <c r="D45002" s="1">
        <v>0</v>
      </c>
      <c r="E45002" s="1">
        <v>0</v>
      </c>
      <c r="F45002" s="1">
        <v>7.5201540127541799E-3</v>
      </c>
    </row>
    <row r="45003" spans="1:6" x14ac:dyDescent="0.25">
      <c r="A45003" s="2" t="str">
        <f t="shared" ref="A45003:A45034" si="1417">"43580"</f>
        <v>43580</v>
      </c>
      <c r="B45003" s="2" t="str">
        <f>"68787"</f>
        <v>68787</v>
      </c>
      <c r="C45003" s="1">
        <v>1.7674610422128601E-4</v>
      </c>
      <c r="D45003" s="1">
        <v>2.9926679634894498E-4</v>
      </c>
      <c r="E45003" s="1">
        <v>0</v>
      </c>
      <c r="F45003" s="1">
        <v>1.81516440203298E-4</v>
      </c>
    </row>
    <row r="45004" spans="1:6" x14ac:dyDescent="0.25">
      <c r="A45004" s="2" t="str">
        <f t="shared" si="1417"/>
        <v>43580</v>
      </c>
      <c r="B45004" s="2" t="str">
        <f>"68776"</f>
        <v>68776</v>
      </c>
      <c r="C45004" s="1">
        <v>9.9832091200989695E-2</v>
      </c>
      <c r="D45004" s="1">
        <v>0.106987879694747</v>
      </c>
      <c r="E45004" s="1">
        <v>0.10113680909447199</v>
      </c>
      <c r="F45004" s="1">
        <v>0.100495280572554</v>
      </c>
    </row>
    <row r="45005" spans="1:6" x14ac:dyDescent="0.25">
      <c r="A45005" s="2" t="str">
        <f t="shared" si="1417"/>
        <v>43580</v>
      </c>
      <c r="B45005" s="2" t="str">
        <f>"68710"</f>
        <v>68710</v>
      </c>
      <c r="C45005" s="1">
        <v>4.9047043921406804E-3</v>
      </c>
      <c r="D45005" s="1">
        <v>1.49633398174472E-4</v>
      </c>
      <c r="E45005" s="1">
        <v>0</v>
      </c>
      <c r="F45005" s="1">
        <v>4.3304636448501096E-3</v>
      </c>
    </row>
    <row r="45006" spans="1:6" x14ac:dyDescent="0.25">
      <c r="A45006" s="2" t="str">
        <f t="shared" si="1417"/>
        <v>43580</v>
      </c>
      <c r="B45006" s="2" t="str">
        <f>"68030"</f>
        <v>68030</v>
      </c>
      <c r="C45006" s="1">
        <v>5.12563702241729E-3</v>
      </c>
      <c r="D45006" s="1">
        <v>1.49633398174472E-4</v>
      </c>
      <c r="E45006" s="1">
        <v>2.7440219521756102E-3</v>
      </c>
      <c r="F45006" s="1">
        <v>4.6157037651695801E-3</v>
      </c>
    </row>
    <row r="45007" spans="1:6" x14ac:dyDescent="0.25">
      <c r="A45007" s="2" t="str">
        <f t="shared" si="1417"/>
        <v>43580</v>
      </c>
      <c r="B45007" s="2" t="str">
        <f>"51026"</f>
        <v>51026</v>
      </c>
      <c r="C45007" s="1">
        <v>5.1698235484726098E-3</v>
      </c>
      <c r="D45007" s="1">
        <v>1.34670058357025E-3</v>
      </c>
      <c r="E45007" s="1">
        <v>1.17600940807526E-3</v>
      </c>
      <c r="F45007" s="1">
        <v>4.7064619852712304E-3</v>
      </c>
    </row>
    <row r="45008" spans="1:6" x14ac:dyDescent="0.25">
      <c r="A45008" s="2" t="str">
        <f t="shared" si="1417"/>
        <v>43580</v>
      </c>
      <c r="B45008" s="2" t="str">
        <f>"68770"</f>
        <v>68770</v>
      </c>
      <c r="C45008" s="1">
        <v>1.3314873184670201E-2</v>
      </c>
      <c r="D45008" s="1">
        <v>1.34670058357025E-3</v>
      </c>
      <c r="E45008" s="1">
        <v>5.4880439043512299E-3</v>
      </c>
      <c r="F45008" s="1">
        <v>1.2018981433461201E-2</v>
      </c>
    </row>
    <row r="45009" spans="1:6" x14ac:dyDescent="0.25">
      <c r="A45009" s="2" t="str">
        <f t="shared" si="1417"/>
        <v>43580</v>
      </c>
      <c r="B45009" s="2" t="str">
        <f>"68757"</f>
        <v>68757</v>
      </c>
      <c r="C45009" s="1">
        <v>3.6085662945179202E-3</v>
      </c>
      <c r="D45009" s="1">
        <v>2.8430345653149701E-3</v>
      </c>
      <c r="E45009" s="1">
        <v>1.17600940807526E-3</v>
      </c>
      <c r="F45009" s="1">
        <v>3.4617778238771901E-3</v>
      </c>
    </row>
    <row r="45010" spans="1:6" x14ac:dyDescent="0.25">
      <c r="A45010" s="2" t="str">
        <f t="shared" si="1417"/>
        <v>43580</v>
      </c>
      <c r="B45010" s="2" t="str">
        <f>"68743"</f>
        <v>68743</v>
      </c>
      <c r="C45010" s="1">
        <v>4.2713641853477403E-3</v>
      </c>
      <c r="D45010" s="1">
        <v>4.4890019452341697E-4</v>
      </c>
      <c r="E45010" s="1">
        <v>2.7440219521756102E-3</v>
      </c>
      <c r="F45010" s="1">
        <v>3.8896380043563902E-3</v>
      </c>
    </row>
    <row r="45011" spans="1:6" x14ac:dyDescent="0.25">
      <c r="A45011" s="2" t="str">
        <f t="shared" si="1417"/>
        <v>43580</v>
      </c>
      <c r="B45011" s="2" t="str">
        <f>"57010"</f>
        <v>57010</v>
      </c>
      <c r="C45011" s="1">
        <v>1.04574778330927E-3</v>
      </c>
      <c r="D45011" s="1">
        <v>8.9780038904683503E-4</v>
      </c>
      <c r="E45011" s="1">
        <v>3.9200313602508798E-4</v>
      </c>
      <c r="F45011" s="1">
        <v>1.01130588113266E-3</v>
      </c>
    </row>
    <row r="45012" spans="1:6" x14ac:dyDescent="0.25">
      <c r="A45012" s="2" t="str">
        <f t="shared" si="1417"/>
        <v>43580</v>
      </c>
      <c r="B45012" s="2" t="str">
        <f>"51061"</f>
        <v>51061</v>
      </c>
      <c r="C45012" s="1">
        <v>1.47288420184405E-5</v>
      </c>
      <c r="D45012" s="1">
        <v>1.49633398174472E-4</v>
      </c>
      <c r="E45012" s="1">
        <v>0</v>
      </c>
      <c r="F45012" s="1">
        <v>2.5930920029042599E-5</v>
      </c>
    </row>
    <row r="45013" spans="1:6" x14ac:dyDescent="0.25">
      <c r="A45013" s="2" t="str">
        <f t="shared" si="1417"/>
        <v>43580</v>
      </c>
      <c r="B45013" s="2" t="str">
        <f>"51109"</f>
        <v>51109</v>
      </c>
      <c r="C45013" s="1">
        <v>1.85877986272719E-2</v>
      </c>
      <c r="D45013" s="1">
        <v>1.1521771659434301E-2</v>
      </c>
      <c r="E45013" s="1">
        <v>1.17600940807526E-2</v>
      </c>
      <c r="F45013" s="1">
        <v>1.77497147598796E-2</v>
      </c>
    </row>
    <row r="45014" spans="1:6" x14ac:dyDescent="0.25">
      <c r="A45014" s="2" t="str">
        <f t="shared" si="1417"/>
        <v>43580</v>
      </c>
      <c r="B45014" s="2" t="str">
        <f>"51104"</f>
        <v>51104</v>
      </c>
      <c r="C45014" s="1">
        <v>0.13942321854655701</v>
      </c>
      <c r="D45014" s="1">
        <v>6.4940894807721E-2</v>
      </c>
      <c r="E45014" s="1">
        <v>0.14621716973735699</v>
      </c>
      <c r="F45014" s="1">
        <v>0.133194170729177</v>
      </c>
    </row>
    <row r="45015" spans="1:6" x14ac:dyDescent="0.25">
      <c r="A45015" s="2" t="str">
        <f t="shared" si="1417"/>
        <v>43580</v>
      </c>
      <c r="B45015" s="2" t="str">
        <f>"51034"</f>
        <v>51034</v>
      </c>
      <c r="C45015" s="1">
        <v>5.5969599670073901E-4</v>
      </c>
      <c r="D45015" s="1">
        <v>1.49633398174472E-4</v>
      </c>
      <c r="E45015" s="1">
        <v>0</v>
      </c>
      <c r="F45015" s="1">
        <v>5.0565294056633097E-4</v>
      </c>
    </row>
    <row r="45016" spans="1:6" x14ac:dyDescent="0.25">
      <c r="A45016" s="2" t="str">
        <f t="shared" si="1417"/>
        <v>43580</v>
      </c>
      <c r="B45016" s="2" t="str">
        <f>"51016"</f>
        <v>51016</v>
      </c>
      <c r="C45016" s="1">
        <v>9.7652222582260504E-3</v>
      </c>
      <c r="D45016" s="1">
        <v>3.4415681580128601E-3</v>
      </c>
      <c r="E45016" s="1">
        <v>2.7440219521756102E-3</v>
      </c>
      <c r="F45016" s="1">
        <v>8.9850637900632697E-3</v>
      </c>
    </row>
    <row r="45017" spans="1:6" x14ac:dyDescent="0.25">
      <c r="A45017" s="2" t="str">
        <f t="shared" si="1417"/>
        <v>43580</v>
      </c>
      <c r="B45017" s="2" t="str">
        <f>"68784"</f>
        <v>68784</v>
      </c>
      <c r="C45017" s="1">
        <v>1.00892567826317E-2</v>
      </c>
      <c r="D45017" s="1">
        <v>2.0948675744426101E-3</v>
      </c>
      <c r="E45017" s="1">
        <v>8.2320658565268497E-3</v>
      </c>
      <c r="F45017" s="1">
        <v>9.3351312104553406E-3</v>
      </c>
    </row>
    <row r="45018" spans="1:6" x14ac:dyDescent="0.25">
      <c r="A45018" s="2" t="str">
        <f t="shared" si="1417"/>
        <v>43580</v>
      </c>
      <c r="B45018" s="2" t="str">
        <f>"68733"</f>
        <v>68733</v>
      </c>
      <c r="C45018" s="1">
        <v>7.0698441688514402E-3</v>
      </c>
      <c r="D45018" s="1">
        <v>1.0474337872213E-3</v>
      </c>
      <c r="E45018" s="1">
        <v>2.35201881615052E-3</v>
      </c>
      <c r="F45018" s="1">
        <v>6.3919717871590001E-3</v>
      </c>
    </row>
    <row r="45019" spans="1:6" x14ac:dyDescent="0.25">
      <c r="A45019" s="2" t="str">
        <f t="shared" si="1417"/>
        <v>43580</v>
      </c>
      <c r="B45019" s="2" t="str">
        <f>"57038"</f>
        <v>57038</v>
      </c>
      <c r="C45019" s="1">
        <v>1.00450702565764E-2</v>
      </c>
      <c r="D45019" s="1">
        <v>1.1970671853957799E-3</v>
      </c>
      <c r="E45019" s="1">
        <v>2.7440219521756102E-3</v>
      </c>
      <c r="F45019" s="1">
        <v>9.0369256301213504E-3</v>
      </c>
    </row>
    <row r="45020" spans="1:6" x14ac:dyDescent="0.25">
      <c r="A45020" s="2" t="str">
        <f t="shared" si="1417"/>
        <v>43580</v>
      </c>
      <c r="B45020" s="2" t="str">
        <f>"51105"</f>
        <v>51105</v>
      </c>
      <c r="C45020" s="1">
        <v>6.6485992871240407E-2</v>
      </c>
      <c r="D45020" s="1">
        <v>7.7210833458027803E-2</v>
      </c>
      <c r="E45020" s="1">
        <v>0.159153273226185</v>
      </c>
      <c r="F45020" s="1">
        <v>7.0480240638937805E-2</v>
      </c>
    </row>
    <row r="45021" spans="1:6" x14ac:dyDescent="0.25">
      <c r="A45021" s="2" t="str">
        <f t="shared" si="1417"/>
        <v>43580</v>
      </c>
      <c r="B45021" s="2" t="str">
        <f>"51054"</f>
        <v>51054</v>
      </c>
      <c r="C45021" s="1">
        <v>4.3936135741007999E-2</v>
      </c>
      <c r="D45021" s="1">
        <v>3.6211282358222303E-2</v>
      </c>
      <c r="E45021" s="1">
        <v>1.52881223049784E-2</v>
      </c>
      <c r="F45021" s="1">
        <v>4.2319261487397501E-2</v>
      </c>
    </row>
    <row r="45022" spans="1:6" x14ac:dyDescent="0.25">
      <c r="A45022" s="2" t="str">
        <f t="shared" si="1417"/>
        <v>43580</v>
      </c>
      <c r="B45022" s="2" t="str">
        <f>"51052"</f>
        <v>51052</v>
      </c>
      <c r="C45022" s="1">
        <v>6.8489115385748298E-3</v>
      </c>
      <c r="D45022" s="1">
        <v>8.9780038904683503E-4</v>
      </c>
      <c r="E45022" s="1">
        <v>1.56801254410035E-3</v>
      </c>
      <c r="F45022" s="1">
        <v>6.1585935068976198E-3</v>
      </c>
    </row>
    <row r="45023" spans="1:6" x14ac:dyDescent="0.25">
      <c r="A45023" s="2" t="str">
        <f t="shared" si="1417"/>
        <v>43580</v>
      </c>
      <c r="B45023" s="2" t="str">
        <f>"51006"</f>
        <v>51006</v>
      </c>
      <c r="C45023" s="1">
        <v>2.5039031431348802E-4</v>
      </c>
      <c r="D45023" s="1">
        <v>0</v>
      </c>
      <c r="E45023" s="1">
        <v>0</v>
      </c>
      <c r="F45023" s="1">
        <v>2.2041282024686201E-4</v>
      </c>
    </row>
    <row r="45024" spans="1:6" x14ac:dyDescent="0.25">
      <c r="A45024" s="2" t="str">
        <f t="shared" si="1417"/>
        <v>43580</v>
      </c>
      <c r="B45024" s="2" t="str">
        <f>"51048"</f>
        <v>51048</v>
      </c>
      <c r="C45024" s="1">
        <v>3.5349220844257201E-3</v>
      </c>
      <c r="D45024" s="1">
        <v>8.9780038904683503E-4</v>
      </c>
      <c r="E45024" s="1">
        <v>3.9200313602508798E-4</v>
      </c>
      <c r="F45024" s="1">
        <v>3.2024686235867599E-3</v>
      </c>
    </row>
    <row r="45025" spans="1:6" x14ac:dyDescent="0.25">
      <c r="A45025" s="2" t="str">
        <f t="shared" si="1417"/>
        <v>43580</v>
      </c>
      <c r="B45025" s="2" t="str">
        <f>"68792"</f>
        <v>68792</v>
      </c>
      <c r="C45025" s="1">
        <v>1.47288420184405E-5</v>
      </c>
      <c r="D45025" s="1">
        <v>0</v>
      </c>
      <c r="E45025" s="1">
        <v>0</v>
      </c>
      <c r="F45025" s="1">
        <v>1.2965460014521299E-5</v>
      </c>
    </row>
    <row r="45026" spans="1:6" x14ac:dyDescent="0.25">
      <c r="A45026" s="2" t="str">
        <f t="shared" si="1417"/>
        <v>43580</v>
      </c>
      <c r="B45026" s="2" t="str">
        <f>"68728"</f>
        <v>68728</v>
      </c>
      <c r="C45026" s="1">
        <v>1.5612572539546901E-3</v>
      </c>
      <c r="D45026" s="1">
        <v>1.1970671853957799E-3</v>
      </c>
      <c r="E45026" s="1">
        <v>1.3720109760878001E-2</v>
      </c>
      <c r="F45026" s="1">
        <v>1.9318535421636699E-3</v>
      </c>
    </row>
    <row r="45027" spans="1:6" x14ac:dyDescent="0.25">
      <c r="A45027" s="2" t="str">
        <f t="shared" si="1417"/>
        <v>43580</v>
      </c>
      <c r="B45027" s="2" t="str">
        <f>"51063"</f>
        <v>51063</v>
      </c>
      <c r="C45027" s="1">
        <v>1.47288420184405E-5</v>
      </c>
      <c r="D45027" s="1">
        <v>0</v>
      </c>
      <c r="E45027" s="1">
        <v>0</v>
      </c>
      <c r="F45027" s="1">
        <v>1.2965460014521299E-5</v>
      </c>
    </row>
    <row r="45028" spans="1:6" x14ac:dyDescent="0.25">
      <c r="A45028" s="2" t="str">
        <f t="shared" si="1417"/>
        <v>43580</v>
      </c>
      <c r="B45028" s="2" t="str">
        <f>"51055"</f>
        <v>51055</v>
      </c>
      <c r="C45028" s="1">
        <v>8.9109494211564999E-3</v>
      </c>
      <c r="D45028" s="1">
        <v>7.3320365105491499E-3</v>
      </c>
      <c r="E45028" s="1">
        <v>1.52881223049784E-2</v>
      </c>
      <c r="F45028" s="1">
        <v>8.9850637900632697E-3</v>
      </c>
    </row>
    <row r="45029" spans="1:6" x14ac:dyDescent="0.25">
      <c r="A45029" s="2" t="str">
        <f t="shared" si="1417"/>
        <v>43580</v>
      </c>
      <c r="B45029" s="2" t="str">
        <f>"51007"</f>
        <v>51007</v>
      </c>
      <c r="C45029" s="1">
        <v>4.6248563937903199E-3</v>
      </c>
      <c r="D45029" s="1">
        <v>7.48166990872362E-4</v>
      </c>
      <c r="E45029" s="1">
        <v>3.9200313602508798E-4</v>
      </c>
      <c r="F45029" s="1">
        <v>4.1489472046468204E-3</v>
      </c>
    </row>
    <row r="45030" spans="1:6" x14ac:dyDescent="0.25">
      <c r="A45030" s="2" t="str">
        <f t="shared" si="1417"/>
        <v>43580</v>
      </c>
      <c r="B45030" s="2" t="str">
        <f>"68741"</f>
        <v>68741</v>
      </c>
      <c r="C45030" s="1">
        <v>4.5953987097534302E-3</v>
      </c>
      <c r="D45030" s="1">
        <v>1.49633398174472E-4</v>
      </c>
      <c r="E45030" s="1">
        <v>3.1360250882007E-3</v>
      </c>
      <c r="F45030" s="1">
        <v>4.1619126646613401E-3</v>
      </c>
    </row>
    <row r="45031" spans="1:6" x14ac:dyDescent="0.25">
      <c r="A45031" s="2" t="str">
        <f t="shared" si="1417"/>
        <v>43580</v>
      </c>
      <c r="B45031" s="2" t="str">
        <f>"51108"</f>
        <v>51108</v>
      </c>
      <c r="C45031" s="1">
        <v>3.1637552655610197E-2</v>
      </c>
      <c r="D45031" s="1">
        <v>2.0200508753553701E-2</v>
      </c>
      <c r="E45031" s="1">
        <v>9.8000784006272001E-3</v>
      </c>
      <c r="F45031" s="1">
        <v>2.9924281713515102E-2</v>
      </c>
    </row>
    <row r="45032" spans="1:6" x14ac:dyDescent="0.25">
      <c r="A45032" s="2" t="str">
        <f t="shared" si="1417"/>
        <v>43580</v>
      </c>
      <c r="B45032" s="2" t="str">
        <f>"51106"</f>
        <v>51106</v>
      </c>
      <c r="C45032" s="1">
        <v>0.18586325743070001</v>
      </c>
      <c r="D45032" s="1">
        <v>0.16953464013167699</v>
      </c>
      <c r="E45032" s="1">
        <v>0.16973735789886299</v>
      </c>
      <c r="F45032" s="1">
        <v>0.18391505030598401</v>
      </c>
    </row>
    <row r="45033" spans="1:6" x14ac:dyDescent="0.25">
      <c r="A45033" s="2" t="str">
        <f t="shared" si="1417"/>
        <v>43580</v>
      </c>
      <c r="B45033" s="2" t="str">
        <f>"51102"</f>
        <v>51102</v>
      </c>
      <c r="C45033" s="1">
        <v>1.7659881580110101E-2</v>
      </c>
      <c r="D45033" s="1">
        <v>7.4367798892712805E-2</v>
      </c>
      <c r="E45033" s="1">
        <v>7.8400627205017597E-4</v>
      </c>
      <c r="F45033" s="1">
        <v>2.2015351104657101E-2</v>
      </c>
    </row>
    <row r="45034" spans="1:6" x14ac:dyDescent="0.25">
      <c r="A45034" s="2" t="str">
        <f t="shared" si="1417"/>
        <v>43580</v>
      </c>
      <c r="B45034" s="2" t="str">
        <f>"51056"</f>
        <v>51056</v>
      </c>
      <c r="C45034" s="1">
        <v>3.0783279818540599E-3</v>
      </c>
      <c r="D45034" s="1">
        <v>7.48166990872362E-4</v>
      </c>
      <c r="E45034" s="1">
        <v>0</v>
      </c>
      <c r="F45034" s="1">
        <v>2.7746084431075602E-3</v>
      </c>
    </row>
    <row r="45035" spans="1:6" x14ac:dyDescent="0.25">
      <c r="A45035" s="2" t="str">
        <f t="shared" ref="A45035:A45056" si="1418">"43580"</f>
        <v>43580</v>
      </c>
      <c r="B45035" s="2" t="str">
        <f>"51030"</f>
        <v>51030</v>
      </c>
      <c r="C45035" s="1">
        <v>1.1267564144106901E-2</v>
      </c>
      <c r="D45035" s="1">
        <v>4.0401017507107496E-3</v>
      </c>
      <c r="E45035" s="1">
        <v>2.7440219521756102E-3</v>
      </c>
      <c r="F45035" s="1">
        <v>1.03594025516025E-2</v>
      </c>
    </row>
    <row r="45036" spans="1:6" x14ac:dyDescent="0.25">
      <c r="A45036" s="2" t="str">
        <f t="shared" si="1418"/>
        <v>43580</v>
      </c>
      <c r="B45036" s="2" t="str">
        <f>"51019"</f>
        <v>51019</v>
      </c>
      <c r="C45036" s="1">
        <v>5.0519928123250899E-3</v>
      </c>
      <c r="D45036" s="1">
        <v>7.48166990872362E-4</v>
      </c>
      <c r="E45036" s="1">
        <v>3.5280282242257902E-3</v>
      </c>
      <c r="F45036" s="1">
        <v>4.6286692251840999E-3</v>
      </c>
    </row>
    <row r="45037" spans="1:6" x14ac:dyDescent="0.25">
      <c r="A45037" s="2" t="str">
        <f t="shared" si="1418"/>
        <v>43580</v>
      </c>
      <c r="B45037" s="2" t="str">
        <f>"68785"</f>
        <v>68785</v>
      </c>
      <c r="C45037" s="1">
        <v>1.9294783044157E-3</v>
      </c>
      <c r="D45037" s="1">
        <v>2.9926679634894498E-4</v>
      </c>
      <c r="E45037" s="1">
        <v>1.9600156801254402E-3</v>
      </c>
      <c r="F45037" s="1">
        <v>1.7892334820039399E-3</v>
      </c>
    </row>
    <row r="45038" spans="1:6" x14ac:dyDescent="0.25">
      <c r="A45038" s="2" t="str">
        <f t="shared" si="1418"/>
        <v>43580</v>
      </c>
      <c r="B45038" s="2" t="str">
        <f>"57025"</f>
        <v>57025</v>
      </c>
      <c r="C45038" s="1">
        <v>1.8602527469290302E-2</v>
      </c>
      <c r="D45038" s="1">
        <v>7.4816699087236196E-3</v>
      </c>
      <c r="E45038" s="1">
        <v>1.8032144257153999E-2</v>
      </c>
      <c r="F45038" s="1">
        <v>1.7620060159734399E-2</v>
      </c>
    </row>
    <row r="45039" spans="1:6" x14ac:dyDescent="0.25">
      <c r="A45039" s="2" t="str">
        <f t="shared" si="1418"/>
        <v>43580</v>
      </c>
      <c r="B45039" s="2" t="str">
        <f>"51004"</f>
        <v>51004</v>
      </c>
      <c r="C45039" s="1">
        <v>8.3217957404188806E-3</v>
      </c>
      <c r="D45039" s="1">
        <v>2.3941343707915598E-3</v>
      </c>
      <c r="E45039" s="1">
        <v>1.9600156801254402E-3</v>
      </c>
      <c r="F45039" s="1">
        <v>7.5977595685094903E-3</v>
      </c>
    </row>
    <row r="45040" spans="1:6" x14ac:dyDescent="0.25">
      <c r="A45040" s="2" t="str">
        <f t="shared" si="1418"/>
        <v>43580</v>
      </c>
      <c r="B45040" s="2" t="str">
        <f>"68739"</f>
        <v>68739</v>
      </c>
      <c r="C45040" s="1">
        <v>2.9457684036881001E-5</v>
      </c>
      <c r="D45040" s="1">
        <v>0</v>
      </c>
      <c r="E45040" s="1">
        <v>0</v>
      </c>
      <c r="F45040" s="1">
        <v>2.5930920029042599E-5</v>
      </c>
    </row>
    <row r="45041" spans="1:6" x14ac:dyDescent="0.25">
      <c r="A45041" s="2" t="str">
        <f t="shared" si="1418"/>
        <v>43580</v>
      </c>
      <c r="B45041" s="2" t="str">
        <f>"68751"</f>
        <v>68751</v>
      </c>
      <c r="C45041" s="1">
        <v>4.56594102571655E-4</v>
      </c>
      <c r="D45041" s="1">
        <v>0</v>
      </c>
      <c r="E45041" s="1">
        <v>3.9200313602508798E-4</v>
      </c>
      <c r="F45041" s="1">
        <v>4.1489472046468202E-4</v>
      </c>
    </row>
    <row r="45042" spans="1:6" x14ac:dyDescent="0.25">
      <c r="A45042" s="2" t="str">
        <f t="shared" si="1418"/>
        <v>43580</v>
      </c>
      <c r="B45042" s="2" t="str">
        <f>"68731"</f>
        <v>68731</v>
      </c>
      <c r="C45042" s="1">
        <v>1.48761304386249E-2</v>
      </c>
      <c r="D45042" s="1">
        <v>7.9305701032470408E-3</v>
      </c>
      <c r="E45042" s="1">
        <v>7.8400627205017608E-3</v>
      </c>
      <c r="F45042" s="1">
        <v>1.4041593195726501E-2</v>
      </c>
    </row>
    <row r="45043" spans="1:6" x14ac:dyDescent="0.25">
      <c r="A45043" s="2" t="str">
        <f t="shared" si="1418"/>
        <v>43580</v>
      </c>
      <c r="B45043" s="2" t="str">
        <f>"57004"</f>
        <v>57004</v>
      </c>
      <c r="C45043" s="1">
        <v>1.4375349809997899E-2</v>
      </c>
      <c r="D45043" s="1">
        <v>1.8853808169983499E-2</v>
      </c>
      <c r="E45043" s="1">
        <v>2.2736181889455101E-2</v>
      </c>
      <c r="F45043" s="1">
        <v>1.50399336168447E-2</v>
      </c>
    </row>
    <row r="45044" spans="1:6" x14ac:dyDescent="0.25">
      <c r="A45044" s="2" t="str">
        <f t="shared" si="1418"/>
        <v>43580</v>
      </c>
      <c r="B45044" s="2" t="str">
        <f>"57001"</f>
        <v>57001</v>
      </c>
      <c r="C45044" s="1">
        <v>9.7504934162076107E-3</v>
      </c>
      <c r="D45044" s="1">
        <v>8.9780038904683503E-4</v>
      </c>
      <c r="E45044" s="1">
        <v>1.17600940807526E-2</v>
      </c>
      <c r="F45044" s="1">
        <v>9.0498910901358701E-3</v>
      </c>
    </row>
    <row r="45045" spans="1:6" x14ac:dyDescent="0.25">
      <c r="A45045" s="2" t="str">
        <f t="shared" si="1418"/>
        <v>43580</v>
      </c>
      <c r="B45045" s="2" t="str">
        <f>"57034"</f>
        <v>57034</v>
      </c>
      <c r="C45045" s="1">
        <v>7.3644210092202494E-5</v>
      </c>
      <c r="D45045" s="1">
        <v>0</v>
      </c>
      <c r="E45045" s="1">
        <v>0</v>
      </c>
      <c r="F45045" s="1">
        <v>6.4827300072606501E-5</v>
      </c>
    </row>
    <row r="45046" spans="1:6" x14ac:dyDescent="0.25">
      <c r="A45046" s="2" t="str">
        <f t="shared" si="1418"/>
        <v>43580</v>
      </c>
      <c r="B45046" s="2" t="str">
        <f>"51103"</f>
        <v>51103</v>
      </c>
      <c r="C45046" s="1">
        <v>9.8565410787403801E-2</v>
      </c>
      <c r="D45046" s="1">
        <v>6.4791261409546594E-2</v>
      </c>
      <c r="E45046" s="1">
        <v>9.8784790278322196E-2</v>
      </c>
      <c r="F45046" s="1">
        <v>9.5646198527123694E-2</v>
      </c>
    </row>
    <row r="45047" spans="1:6" x14ac:dyDescent="0.25">
      <c r="A45047" s="2" t="str">
        <f t="shared" si="1418"/>
        <v>43580</v>
      </c>
      <c r="B45047" s="2" t="str">
        <f>"51101"</f>
        <v>51101</v>
      </c>
      <c r="C45047" s="1">
        <v>9.8977818363920195E-3</v>
      </c>
      <c r="D45047" s="1">
        <v>0.18225347897650701</v>
      </c>
      <c r="E45047" s="1">
        <v>6.1152489219913703E-2</v>
      </c>
      <c r="F45047" s="1">
        <v>2.6527331189710599E-2</v>
      </c>
    </row>
    <row r="45048" spans="1:6" x14ac:dyDescent="0.25">
      <c r="A45048" s="2" t="str">
        <f t="shared" si="1418"/>
        <v>43580</v>
      </c>
      <c r="B45048" s="2" t="str">
        <f>"68745"</f>
        <v>68745</v>
      </c>
      <c r="C45048" s="1">
        <v>1.91474946239726E-4</v>
      </c>
      <c r="D45048" s="1">
        <v>1.49633398174472E-4</v>
      </c>
      <c r="E45048" s="1">
        <v>0</v>
      </c>
      <c r="F45048" s="1">
        <v>1.81516440203298E-4</v>
      </c>
    </row>
    <row r="45049" spans="1:6" x14ac:dyDescent="0.25">
      <c r="A45049" s="2" t="str">
        <f t="shared" si="1418"/>
        <v>43580</v>
      </c>
      <c r="B45049" s="2" t="str">
        <f>"68732"</f>
        <v>68732</v>
      </c>
      <c r="C45049" s="1">
        <v>1.8705629363419401E-3</v>
      </c>
      <c r="D45049" s="1">
        <v>4.4890019452341697E-4</v>
      </c>
      <c r="E45049" s="1">
        <v>1.17600940807526E-3</v>
      </c>
      <c r="F45049" s="1">
        <v>1.72440618193133E-3</v>
      </c>
    </row>
    <row r="45050" spans="1:6" x14ac:dyDescent="0.25">
      <c r="A45050" s="2" t="str">
        <f t="shared" si="1418"/>
        <v>43580</v>
      </c>
      <c r="B45050" s="2" t="str">
        <f>"57049"</f>
        <v>57049</v>
      </c>
      <c r="C45050" s="1">
        <v>6.7958877073084498E-2</v>
      </c>
      <c r="D45050" s="1">
        <v>9.4418674248092097E-2</v>
      </c>
      <c r="E45050" s="1">
        <v>7.2128577028616206E-2</v>
      </c>
      <c r="F45050" s="1">
        <v>7.0389482418836205E-2</v>
      </c>
    </row>
    <row r="45051" spans="1:6" x14ac:dyDescent="0.25">
      <c r="A45051" s="2" t="str">
        <f t="shared" si="1418"/>
        <v>43580</v>
      </c>
      <c r="B45051" s="2" t="str">
        <f>"51111"</f>
        <v>51111</v>
      </c>
      <c r="C45051" s="1">
        <v>6.77526732848263E-4</v>
      </c>
      <c r="D45051" s="1">
        <v>1.6609307197366401E-2</v>
      </c>
      <c r="E45051" s="1">
        <v>2.7440219521756102E-3</v>
      </c>
      <c r="F45051" s="1">
        <v>2.12633544238149E-3</v>
      </c>
    </row>
    <row r="45052" spans="1:6" x14ac:dyDescent="0.25">
      <c r="A45052" s="2" t="str">
        <f t="shared" si="1418"/>
        <v>43580</v>
      </c>
      <c r="B45052" s="2" t="str">
        <f>"51015"</f>
        <v>51015</v>
      </c>
      <c r="C45052" s="1">
        <v>6.77526732848263E-4</v>
      </c>
      <c r="D45052" s="1">
        <v>7.48166990872362E-4</v>
      </c>
      <c r="E45052" s="1">
        <v>0</v>
      </c>
      <c r="F45052" s="1">
        <v>6.6123846074058704E-4</v>
      </c>
    </row>
    <row r="45053" spans="1:6" x14ac:dyDescent="0.25">
      <c r="A45053" s="2" t="str">
        <f t="shared" si="1418"/>
        <v>43580</v>
      </c>
      <c r="B45053" s="2" t="str">
        <f>"51044"</f>
        <v>51044</v>
      </c>
      <c r="C45053" s="1">
        <v>2.1209532506554301E-3</v>
      </c>
      <c r="D45053" s="1">
        <v>0</v>
      </c>
      <c r="E45053" s="1">
        <v>3.9200313602508798E-4</v>
      </c>
      <c r="F45053" s="1">
        <v>1.8799917021055899E-3</v>
      </c>
    </row>
    <row r="45054" spans="1:6" x14ac:dyDescent="0.25">
      <c r="A45054" s="2" t="str">
        <f t="shared" si="1418"/>
        <v>43580</v>
      </c>
      <c r="B45054" s="2" t="str">
        <f>"51028"</f>
        <v>51028</v>
      </c>
      <c r="C45054" s="1">
        <v>1.1046631513830299E-3</v>
      </c>
      <c r="D45054" s="1">
        <v>1.49633398174472E-4</v>
      </c>
      <c r="E45054" s="1">
        <v>0</v>
      </c>
      <c r="F45054" s="1">
        <v>9.8537496110361902E-4</v>
      </c>
    </row>
    <row r="45055" spans="1:6" x14ac:dyDescent="0.25">
      <c r="A45055" s="2" t="str">
        <f t="shared" si="1418"/>
        <v>43580</v>
      </c>
      <c r="B45055" s="2" t="str">
        <f>"51018"</f>
        <v>51018</v>
      </c>
      <c r="C45055" s="1">
        <v>2.3566147229504798E-3</v>
      </c>
      <c r="D45055" s="1">
        <v>1.34670058357025E-3</v>
      </c>
      <c r="E45055" s="1">
        <v>1.56801254410035E-3</v>
      </c>
      <c r="F45055" s="1">
        <v>2.2430245825121801E-3</v>
      </c>
    </row>
    <row r="45056" spans="1:6" x14ac:dyDescent="0.25">
      <c r="A45056" s="2" t="str">
        <f t="shared" si="1418"/>
        <v>43580</v>
      </c>
      <c r="B45056" s="2" t="str">
        <f>"51039"</f>
        <v>51039</v>
      </c>
      <c r="C45056" s="1">
        <v>1.7821898842313E-2</v>
      </c>
      <c r="D45056" s="1">
        <v>7.9305701032470408E-3</v>
      </c>
      <c r="E45056" s="1">
        <v>1.2936103488827899E-2</v>
      </c>
      <c r="F45056" s="1">
        <v>1.6803236178819601E-2</v>
      </c>
    </row>
    <row r="45057" spans="1:6" x14ac:dyDescent="0.25">
      <c r="A45057" s="2" t="str">
        <f t="shared" ref="A45057:A45088" si="1419">"19340"</f>
        <v>19340</v>
      </c>
      <c r="B45057" s="2" t="str">
        <f>"61472"</f>
        <v>61472</v>
      </c>
      <c r="C45057" s="1">
        <v>4.2686017661339802E-5</v>
      </c>
      <c r="D45057" s="1">
        <v>0</v>
      </c>
      <c r="E45057" s="1">
        <v>0</v>
      </c>
      <c r="F45057" s="1">
        <v>3.8122105102643702E-5</v>
      </c>
    </row>
    <row r="45058" spans="1:6" x14ac:dyDescent="0.25">
      <c r="A45058" s="2" t="str">
        <f t="shared" si="1419"/>
        <v>19340</v>
      </c>
      <c r="B45058" s="2" t="str">
        <f>"61434"</f>
        <v>61434</v>
      </c>
      <c r="C45058" s="1">
        <v>8.61723981538297E-3</v>
      </c>
      <c r="D45058" s="1">
        <v>1.29500947567909E-2</v>
      </c>
      <c r="E45058" s="1">
        <v>1.0140759800211801E-2</v>
      </c>
      <c r="F45058" s="1">
        <v>8.99205154108609E-3</v>
      </c>
    </row>
    <row r="45059" spans="1:6" x14ac:dyDescent="0.25">
      <c r="A45059" s="2" t="str">
        <f t="shared" si="1419"/>
        <v>19340</v>
      </c>
      <c r="B45059" s="2" t="str">
        <f>"61266"</f>
        <v>61266</v>
      </c>
      <c r="C45059" s="1">
        <v>4.7221407037857099E-3</v>
      </c>
      <c r="D45059" s="1">
        <v>1.7435249526216001E-2</v>
      </c>
      <c r="E45059" s="1">
        <v>3.0270924776751898E-4</v>
      </c>
      <c r="F45059" s="1">
        <v>5.5420010292968301E-3</v>
      </c>
    </row>
    <row r="45060" spans="1:6" x14ac:dyDescent="0.25">
      <c r="A45060" s="2" t="str">
        <f t="shared" si="1419"/>
        <v>19340</v>
      </c>
      <c r="B45060" s="2" t="str">
        <f>"61276"</f>
        <v>61276</v>
      </c>
      <c r="C45060" s="1">
        <v>0</v>
      </c>
      <c r="D45060" s="1">
        <v>0</v>
      </c>
      <c r="E45060" s="1">
        <v>1.51354623883759E-4</v>
      </c>
      <c r="F45060" s="1">
        <v>4.7652631378304704E-6</v>
      </c>
    </row>
    <row r="45061" spans="1:6" x14ac:dyDescent="0.25">
      <c r="A45061" s="2" t="str">
        <f t="shared" si="1419"/>
        <v>19340</v>
      </c>
      <c r="B45061" s="2" t="str">
        <f>"61283"</f>
        <v>61283</v>
      </c>
      <c r="C45061" s="1">
        <v>1.60072566230024E-5</v>
      </c>
      <c r="D45061" s="1">
        <v>6.3171193935565302E-5</v>
      </c>
      <c r="E45061" s="1">
        <v>0</v>
      </c>
      <c r="F45061" s="1">
        <v>1.90610525513218E-5</v>
      </c>
    </row>
    <row r="45062" spans="1:6" x14ac:dyDescent="0.25">
      <c r="A45062" s="2" t="str">
        <f t="shared" si="1419"/>
        <v>19340</v>
      </c>
      <c r="B45062" s="2" t="str">
        <f>"61273"</f>
        <v>61273</v>
      </c>
      <c r="C45062" s="1">
        <v>7.4913960995651296E-3</v>
      </c>
      <c r="D45062" s="1">
        <v>1.07391029690461E-3</v>
      </c>
      <c r="E45062" s="1">
        <v>4.8433479642803002E-3</v>
      </c>
      <c r="F45062" s="1">
        <v>6.9239273392676702E-3</v>
      </c>
    </row>
    <row r="45063" spans="1:6" x14ac:dyDescent="0.25">
      <c r="A45063" s="2" t="str">
        <f t="shared" si="1419"/>
        <v>19340</v>
      </c>
      <c r="B45063" s="2" t="str">
        <f>"61232"</f>
        <v>61232</v>
      </c>
      <c r="C45063" s="1">
        <v>3.4522316783608502E-3</v>
      </c>
      <c r="D45063" s="1">
        <v>3.1585596967782602E-4</v>
      </c>
      <c r="E45063" s="1">
        <v>4.54063871651278E-4</v>
      </c>
      <c r="F45063" s="1">
        <v>3.1212473552789501E-3</v>
      </c>
    </row>
    <row r="45064" spans="1:6" x14ac:dyDescent="0.25">
      <c r="A45064" s="2" t="str">
        <f t="shared" si="1419"/>
        <v>19340</v>
      </c>
      <c r="B45064" s="2" t="str">
        <f>"61259"</f>
        <v>61259</v>
      </c>
      <c r="C45064" s="1">
        <v>3.0307072539551201E-3</v>
      </c>
      <c r="D45064" s="1">
        <v>7.5805432722678395E-4</v>
      </c>
      <c r="E45064" s="1">
        <v>0</v>
      </c>
      <c r="F45064" s="1">
        <v>2.7638526199416698E-3</v>
      </c>
    </row>
    <row r="45065" spans="1:6" x14ac:dyDescent="0.25">
      <c r="A45065" s="2" t="str">
        <f t="shared" si="1419"/>
        <v>19340</v>
      </c>
      <c r="B45065" s="2" t="str">
        <f>"61242"</f>
        <v>61242</v>
      </c>
      <c r="C45065" s="1">
        <v>2.9933569885014499E-3</v>
      </c>
      <c r="D45065" s="1">
        <v>1.13708149084017E-3</v>
      </c>
      <c r="E45065" s="1">
        <v>3.0270924776751898E-4</v>
      </c>
      <c r="F45065" s="1">
        <v>2.7686178830794998E-3</v>
      </c>
    </row>
    <row r="45066" spans="1:6" x14ac:dyDescent="0.25">
      <c r="A45066" s="2" t="str">
        <f t="shared" si="1419"/>
        <v>19340</v>
      </c>
      <c r="B45066" s="2" t="str">
        <f>"52809"</f>
        <v>52809</v>
      </c>
      <c r="C45066" s="1">
        <v>2.7692553957794201E-3</v>
      </c>
      <c r="D45066" s="1">
        <v>1.61718256475047E-2</v>
      </c>
      <c r="E45066" s="1">
        <v>3.0270924776751898E-4</v>
      </c>
      <c r="F45066" s="1">
        <v>3.7026094580942699E-3</v>
      </c>
    </row>
    <row r="45067" spans="1:6" x14ac:dyDescent="0.25">
      <c r="A45067" s="2" t="str">
        <f t="shared" si="1419"/>
        <v>19340</v>
      </c>
      <c r="B45067" s="2" t="str">
        <f>"52806"</f>
        <v>52806</v>
      </c>
      <c r="C45067" s="1">
        <v>6.7571965957900895E-2</v>
      </c>
      <c r="D45067" s="1">
        <v>7.10044219835754E-2</v>
      </c>
      <c r="E45067" s="1">
        <v>8.3396397759951502E-2</v>
      </c>
      <c r="F45067" s="1">
        <v>6.8329108133351094E-2</v>
      </c>
    </row>
    <row r="45068" spans="1:6" x14ac:dyDescent="0.25">
      <c r="A45068" s="2" t="str">
        <f t="shared" si="1419"/>
        <v>19340</v>
      </c>
      <c r="B45068" s="2" t="str">
        <f>"52803"</f>
        <v>52803</v>
      </c>
      <c r="C45068" s="1">
        <v>5.65429661446522E-2</v>
      </c>
      <c r="D45068" s="1">
        <v>4.1061276058117401E-2</v>
      </c>
      <c r="E45068" s="1">
        <v>0.11699712426214599</v>
      </c>
      <c r="F45068" s="1">
        <v>5.72784629167222E-2</v>
      </c>
    </row>
    <row r="45069" spans="1:6" x14ac:dyDescent="0.25">
      <c r="A45069" s="2" t="str">
        <f t="shared" si="1419"/>
        <v>19340</v>
      </c>
      <c r="B45069" s="2" t="str">
        <f>"52745"</f>
        <v>52745</v>
      </c>
      <c r="C45069" s="1">
        <v>1.5953899100925701E-3</v>
      </c>
      <c r="D45069" s="1">
        <v>1.2634238787113001E-4</v>
      </c>
      <c r="E45069" s="1">
        <v>3.0270924776751898E-4</v>
      </c>
      <c r="F45069" s="1">
        <v>1.44387473076263E-3</v>
      </c>
    </row>
    <row r="45070" spans="1:6" x14ac:dyDescent="0.25">
      <c r="A45070" s="2" t="str">
        <f t="shared" si="1419"/>
        <v>19340</v>
      </c>
      <c r="B45070" s="2" t="str">
        <f>"61468"</f>
        <v>61468</v>
      </c>
      <c r="C45070" s="1">
        <v>2.34773097137368E-4</v>
      </c>
      <c r="D45070" s="1">
        <v>1.2634238787113001E-4</v>
      </c>
      <c r="E45070" s="1">
        <v>0</v>
      </c>
      <c r="F45070" s="1">
        <v>2.19202104340201E-4</v>
      </c>
    </row>
    <row r="45071" spans="1:6" x14ac:dyDescent="0.25">
      <c r="A45071" s="2" t="str">
        <f t="shared" si="1419"/>
        <v>19340</v>
      </c>
      <c r="B45071" s="2" t="str">
        <f>"61476"</f>
        <v>61476</v>
      </c>
      <c r="C45071" s="1">
        <v>1.1898727423098399E-3</v>
      </c>
      <c r="D45071" s="1">
        <v>3.7902716361339197E-4</v>
      </c>
      <c r="E45071" s="1">
        <v>3.0270924776751898E-4</v>
      </c>
      <c r="F45071" s="1">
        <v>1.10077578483883E-3</v>
      </c>
    </row>
    <row r="45072" spans="1:6" x14ac:dyDescent="0.25">
      <c r="A45072" s="2" t="str">
        <f t="shared" si="1419"/>
        <v>19340</v>
      </c>
      <c r="B45072" s="2" t="str">
        <f>"61236"</f>
        <v>61236</v>
      </c>
      <c r="C45072" s="1">
        <v>0</v>
      </c>
      <c r="D45072" s="1">
        <v>0</v>
      </c>
      <c r="E45072" s="1">
        <v>1.51354623883759E-4</v>
      </c>
      <c r="F45072" s="1">
        <v>4.7652631378304704E-6</v>
      </c>
    </row>
    <row r="45073" spans="1:6" x14ac:dyDescent="0.25">
      <c r="A45073" s="2" t="str">
        <f t="shared" si="1419"/>
        <v>19340</v>
      </c>
      <c r="B45073" s="2" t="str">
        <f>"61201"</f>
        <v>61201</v>
      </c>
      <c r="C45073" s="1">
        <v>9.4202705226369199E-2</v>
      </c>
      <c r="D45073" s="1">
        <v>9.2861655085281103E-2</v>
      </c>
      <c r="E45073" s="1">
        <v>0.111699712426214</v>
      </c>
      <c r="F45073" s="1">
        <v>9.4652421706726594E-2</v>
      </c>
    </row>
    <row r="45074" spans="1:6" x14ac:dyDescent="0.25">
      <c r="A45074" s="2" t="str">
        <f t="shared" si="1419"/>
        <v>19340</v>
      </c>
      <c r="B45074" s="2" t="str">
        <f>"61257"</f>
        <v>61257</v>
      </c>
      <c r="C45074" s="1">
        <v>3.0307072539551201E-3</v>
      </c>
      <c r="D45074" s="1">
        <v>1.0107391029690401E-3</v>
      </c>
      <c r="E45074" s="1">
        <v>1.8162554866051101E-3</v>
      </c>
      <c r="F45074" s="1">
        <v>2.8400968301469601E-3</v>
      </c>
    </row>
    <row r="45075" spans="1:6" x14ac:dyDescent="0.25">
      <c r="A45075" s="2" t="str">
        <f t="shared" si="1419"/>
        <v>19340</v>
      </c>
      <c r="B45075" s="2" t="str">
        <f>"52802"</f>
        <v>52802</v>
      </c>
      <c r="C45075" s="1">
        <v>2.4683189712669699E-2</v>
      </c>
      <c r="D45075" s="1">
        <v>3.1901452937460502E-2</v>
      </c>
      <c r="E45075" s="1">
        <v>3.4660208869380899E-2</v>
      </c>
      <c r="F45075" s="1">
        <v>2.55418104187713E-2</v>
      </c>
    </row>
    <row r="45076" spans="1:6" x14ac:dyDescent="0.25">
      <c r="A45076" s="2" t="str">
        <f t="shared" si="1419"/>
        <v>19340</v>
      </c>
      <c r="B45076" s="2" t="str">
        <f>"52748"</f>
        <v>52748</v>
      </c>
      <c r="C45076" s="1">
        <v>2.19246058213056E-2</v>
      </c>
      <c r="D45076" s="1">
        <v>1.7687934301958301E-2</v>
      </c>
      <c r="E45076" s="1">
        <v>2.3157257454215201E-2</v>
      </c>
      <c r="F45076" s="1">
        <v>2.1643825172025899E-2</v>
      </c>
    </row>
    <row r="45077" spans="1:6" x14ac:dyDescent="0.25">
      <c r="A45077" s="2" t="str">
        <f t="shared" si="1419"/>
        <v>19340</v>
      </c>
      <c r="B45077" s="2" t="str">
        <f>"61278"</f>
        <v>61278</v>
      </c>
      <c r="C45077" s="1">
        <v>0</v>
      </c>
      <c r="D45077" s="1">
        <v>0</v>
      </c>
      <c r="E45077" s="1">
        <v>1.51354623883759E-4</v>
      </c>
      <c r="F45077" s="1">
        <v>4.7652631378304704E-6</v>
      </c>
    </row>
    <row r="45078" spans="1:6" x14ac:dyDescent="0.25">
      <c r="A45078" s="2" t="str">
        <f t="shared" si="1419"/>
        <v>19340</v>
      </c>
      <c r="B45078" s="2" t="str">
        <f>"61254"</f>
        <v>61254</v>
      </c>
      <c r="C45078" s="1">
        <v>2.8162100152068902E-2</v>
      </c>
      <c r="D45078" s="1">
        <v>2.8742893240682198E-2</v>
      </c>
      <c r="E45078" s="1">
        <v>1.89193279854699E-2</v>
      </c>
      <c r="F45078" s="1">
        <v>2.7914911461410799E-2</v>
      </c>
    </row>
    <row r="45079" spans="1:6" x14ac:dyDescent="0.25">
      <c r="A45079" s="2" t="str">
        <f t="shared" si="1419"/>
        <v>19340</v>
      </c>
      <c r="B45079" s="2" t="str">
        <f>"61244"</f>
        <v>61244</v>
      </c>
      <c r="C45079" s="1">
        <v>6.0149934637035399E-2</v>
      </c>
      <c r="D45079" s="1">
        <v>4.9905243209096603E-2</v>
      </c>
      <c r="E45079" s="1">
        <v>5.7212047828061101E-2</v>
      </c>
      <c r="F45079" s="1">
        <v>5.9284638697748797E-2</v>
      </c>
    </row>
    <row r="45080" spans="1:6" x14ac:dyDescent="0.25">
      <c r="A45080" s="2" t="str">
        <f t="shared" si="1419"/>
        <v>19340</v>
      </c>
      <c r="B45080" s="2" t="str">
        <f>"52801"</f>
        <v>52801</v>
      </c>
      <c r="C45080" s="1">
        <v>6.6109969852999996E-3</v>
      </c>
      <c r="D45080" s="1">
        <v>2.5142135186355E-2</v>
      </c>
      <c r="E45080" s="1">
        <v>2.3308612078098902E-2</v>
      </c>
      <c r="F45080" s="1">
        <v>8.5345862798543708E-3</v>
      </c>
    </row>
    <row r="45081" spans="1:6" x14ac:dyDescent="0.25">
      <c r="A45081" s="2" t="str">
        <f t="shared" si="1419"/>
        <v>19340</v>
      </c>
      <c r="B45081" s="2" t="str">
        <f>"61465"</f>
        <v>61465</v>
      </c>
      <c r="C45081" s="1">
        <v>3.0680575194087902E-3</v>
      </c>
      <c r="D45081" s="1">
        <v>1.4529374605180001E-3</v>
      </c>
      <c r="E45081" s="1">
        <v>1.9676101104888701E-3</v>
      </c>
      <c r="F45081" s="1">
        <v>2.91157577721441E-3</v>
      </c>
    </row>
    <row r="45082" spans="1:6" x14ac:dyDescent="0.25">
      <c r="A45082" s="2" t="str">
        <f t="shared" si="1419"/>
        <v>19340</v>
      </c>
      <c r="B45082" s="2" t="str">
        <f>"61239"</f>
        <v>61239</v>
      </c>
      <c r="C45082" s="1">
        <v>2.8599631833097598E-3</v>
      </c>
      <c r="D45082" s="1">
        <v>1.0107391029690401E-3</v>
      </c>
      <c r="E45082" s="1">
        <v>2.4216739821401501E-3</v>
      </c>
      <c r="F45082" s="1">
        <v>2.7066694622877E-3</v>
      </c>
    </row>
    <row r="45083" spans="1:6" x14ac:dyDescent="0.25">
      <c r="A45083" s="2" t="str">
        <f t="shared" si="1419"/>
        <v>19340</v>
      </c>
      <c r="B45083" s="2" t="str">
        <f>"61238"</f>
        <v>61238</v>
      </c>
      <c r="C45083" s="1">
        <v>7.5607608782648104E-3</v>
      </c>
      <c r="D45083" s="1">
        <v>8.40176879343019E-3</v>
      </c>
      <c r="E45083" s="1">
        <v>3.6325109732102301E-3</v>
      </c>
      <c r="F45083" s="1">
        <v>7.5005241789451596E-3</v>
      </c>
    </row>
    <row r="45084" spans="1:6" x14ac:dyDescent="0.25">
      <c r="A45084" s="2" t="str">
        <f t="shared" si="1419"/>
        <v>19340</v>
      </c>
      <c r="B45084" s="2" t="str">
        <f>"61241"</f>
        <v>61241</v>
      </c>
      <c r="C45084" s="1">
        <v>1.9326094496171502E-2</v>
      </c>
      <c r="D45084" s="1">
        <v>1.23815540113708E-2</v>
      </c>
      <c r="E45084" s="1">
        <v>6.6596034508854202E-3</v>
      </c>
      <c r="F45084" s="1">
        <v>1.8403446238301199E-2</v>
      </c>
    </row>
    <row r="45085" spans="1:6" x14ac:dyDescent="0.25">
      <c r="A45085" s="2" t="str">
        <f t="shared" si="1419"/>
        <v>19340</v>
      </c>
      <c r="B45085" s="2" t="str">
        <f>"52808"</f>
        <v>52808</v>
      </c>
      <c r="C45085" s="1">
        <v>7.0858789317823998E-3</v>
      </c>
      <c r="D45085" s="1">
        <v>1.53506001263423E-2</v>
      </c>
      <c r="E45085" s="1">
        <v>3.0270924776751898E-4</v>
      </c>
      <c r="F45085" s="1">
        <v>7.4957589158073301E-3</v>
      </c>
    </row>
    <row r="45086" spans="1:6" x14ac:dyDescent="0.25">
      <c r="A45086" s="2" t="str">
        <f t="shared" si="1419"/>
        <v>19340</v>
      </c>
      <c r="B45086" s="2" t="str">
        <f>"52769"</f>
        <v>52769</v>
      </c>
      <c r="C45086" s="1">
        <v>5.0156070752074204E-4</v>
      </c>
      <c r="D45086" s="1">
        <v>1.8951358180669599E-4</v>
      </c>
      <c r="E45086" s="1">
        <v>0</v>
      </c>
      <c r="F45086" s="1">
        <v>4.6223052436955499E-4</v>
      </c>
    </row>
    <row r="45087" spans="1:6" x14ac:dyDescent="0.25">
      <c r="A45087" s="2" t="str">
        <f t="shared" si="1419"/>
        <v>19340</v>
      </c>
      <c r="B45087" s="2" t="str">
        <f>"52756"</f>
        <v>52756</v>
      </c>
      <c r="C45087" s="1">
        <v>4.9462422965077498E-3</v>
      </c>
      <c r="D45087" s="1">
        <v>1.0107391029690401E-3</v>
      </c>
      <c r="E45087" s="1">
        <v>6.0541849553503795E-4</v>
      </c>
      <c r="F45087" s="1">
        <v>4.5127041915254502E-3</v>
      </c>
    </row>
    <row r="45088" spans="1:6" x14ac:dyDescent="0.25">
      <c r="A45088" s="2" t="str">
        <f t="shared" si="1419"/>
        <v>19340</v>
      </c>
      <c r="B45088" s="2" t="str">
        <f>"52726"</f>
        <v>52726</v>
      </c>
      <c r="C45088" s="1">
        <v>9.0761145052423702E-3</v>
      </c>
      <c r="D45088" s="1">
        <v>2.5268477574226099E-3</v>
      </c>
      <c r="E45088" s="1">
        <v>2.1189647343726301E-3</v>
      </c>
      <c r="F45088" s="1">
        <v>8.3630368068924703E-3</v>
      </c>
    </row>
    <row r="45089" spans="1:6" x14ac:dyDescent="0.25">
      <c r="A45089" s="2" t="str">
        <f t="shared" ref="A45089:A45120" si="1420">"19340"</f>
        <v>19340</v>
      </c>
      <c r="B45089" s="2" t="str">
        <f>"61486"</f>
        <v>61486</v>
      </c>
      <c r="C45089" s="1">
        <v>3.6283115012138798E-3</v>
      </c>
      <c r="D45089" s="1">
        <v>1.5161086544535601E-3</v>
      </c>
      <c r="E45089" s="1">
        <v>1.3621916149538301E-3</v>
      </c>
      <c r="F45089" s="1">
        <v>3.39763261727312E-3</v>
      </c>
    </row>
    <row r="45090" spans="1:6" x14ac:dyDescent="0.25">
      <c r="A45090" s="2" t="str">
        <f t="shared" si="1420"/>
        <v>19340</v>
      </c>
      <c r="B45090" s="2" t="str">
        <f>"61466"</f>
        <v>61466</v>
      </c>
      <c r="C45090" s="1">
        <v>7.7368407011178396E-4</v>
      </c>
      <c r="D45090" s="1">
        <v>6.3171193935565302E-5</v>
      </c>
      <c r="E45090" s="1">
        <v>1.51354623883759E-4</v>
      </c>
      <c r="F45090" s="1">
        <v>7.0049368126107897E-4</v>
      </c>
    </row>
    <row r="45091" spans="1:6" x14ac:dyDescent="0.25">
      <c r="A45091" s="2" t="str">
        <f t="shared" si="1420"/>
        <v>19340</v>
      </c>
      <c r="B45091" s="2" t="str">
        <f>"61412"</f>
        <v>61412</v>
      </c>
      <c r="C45091" s="1">
        <v>1.56337539684657E-3</v>
      </c>
      <c r="D45091" s="1">
        <v>3.1585596967782602E-4</v>
      </c>
      <c r="E45091" s="1">
        <v>0</v>
      </c>
      <c r="F45091" s="1">
        <v>1.4200484150734801E-3</v>
      </c>
    </row>
    <row r="45092" spans="1:6" x14ac:dyDescent="0.25">
      <c r="A45092" s="2" t="str">
        <f t="shared" si="1420"/>
        <v>19340</v>
      </c>
      <c r="B45092" s="2" t="str">
        <f>"61443"</f>
        <v>61443</v>
      </c>
      <c r="C45092" s="1">
        <v>3.7195528639649901E-2</v>
      </c>
      <c r="D45092" s="1">
        <v>4.04295641187618E-2</v>
      </c>
      <c r="E45092" s="1">
        <v>4.0411684576963799E-2</v>
      </c>
      <c r="F45092" s="1">
        <v>3.7540742999828403E-2</v>
      </c>
    </row>
    <row r="45093" spans="1:6" x14ac:dyDescent="0.25">
      <c r="A45093" s="2" t="str">
        <f t="shared" si="1420"/>
        <v>19340</v>
      </c>
      <c r="B45093" s="2" t="str">
        <f>"61282"</f>
        <v>61282</v>
      </c>
      <c r="C45093" s="1">
        <v>2.1977963343382301E-2</v>
      </c>
      <c r="D45093" s="1">
        <v>1.38344914718888E-2</v>
      </c>
      <c r="E45093" s="1">
        <v>2.6184349931890401E-2</v>
      </c>
      <c r="F45093" s="1">
        <v>2.1496102014753202E-2</v>
      </c>
    </row>
    <row r="45094" spans="1:6" x14ac:dyDescent="0.25">
      <c r="A45094" s="2" t="str">
        <f t="shared" si="1420"/>
        <v>19340</v>
      </c>
      <c r="B45094" s="2" t="str">
        <f>"61277"</f>
        <v>61277</v>
      </c>
      <c r="C45094" s="1">
        <v>9.5509964517247799E-4</v>
      </c>
      <c r="D45094" s="1">
        <v>1.2634238787113001E-4</v>
      </c>
      <c r="E45094" s="1">
        <v>0</v>
      </c>
      <c r="F45094" s="1">
        <v>8.6251262794731498E-4</v>
      </c>
    </row>
    <row r="45095" spans="1:6" x14ac:dyDescent="0.25">
      <c r="A45095" s="2" t="str">
        <f t="shared" si="1420"/>
        <v>19340</v>
      </c>
      <c r="B45095" s="2" t="str">
        <f>"61275"</f>
        <v>61275</v>
      </c>
      <c r="C45095" s="1">
        <v>1.0794226716111299E-2</v>
      </c>
      <c r="D45095" s="1">
        <v>2.3373341756159102E-3</v>
      </c>
      <c r="E45095" s="1">
        <v>1.8162554866051101E-3</v>
      </c>
      <c r="F45095" s="1">
        <v>9.8736252215847302E-3</v>
      </c>
    </row>
    <row r="45096" spans="1:6" x14ac:dyDescent="0.25">
      <c r="A45096" s="2" t="str">
        <f t="shared" si="1420"/>
        <v>19340</v>
      </c>
      <c r="B45096" s="2" t="str">
        <f>"61272"</f>
        <v>61272</v>
      </c>
      <c r="C45096" s="1">
        <v>4.2419230050956399E-3</v>
      </c>
      <c r="D45096" s="1">
        <v>1.76879343019583E-3</v>
      </c>
      <c r="E45096" s="1">
        <v>4.54063871651278E-4</v>
      </c>
      <c r="F45096" s="1">
        <v>3.9361073518479599E-3</v>
      </c>
    </row>
    <row r="45097" spans="1:6" x14ac:dyDescent="0.25">
      <c r="A45097" s="2" t="str">
        <f t="shared" si="1420"/>
        <v>19340</v>
      </c>
      <c r="B45097" s="2" t="str">
        <f>"61237"</f>
        <v>61237</v>
      </c>
      <c r="C45097" s="1">
        <v>0</v>
      </c>
      <c r="D45097" s="1">
        <v>0</v>
      </c>
      <c r="E45097" s="1">
        <v>1.51354623883759E-4</v>
      </c>
      <c r="F45097" s="1">
        <v>4.7652631378304704E-6</v>
      </c>
    </row>
    <row r="45098" spans="1:6" x14ac:dyDescent="0.25">
      <c r="A45098" s="2" t="str">
        <f t="shared" si="1420"/>
        <v>19340</v>
      </c>
      <c r="B45098" s="2" t="str">
        <f>"61256"</f>
        <v>61256</v>
      </c>
      <c r="C45098" s="1">
        <v>4.5940826508016896E-3</v>
      </c>
      <c r="D45098" s="1">
        <v>1.0107391029690401E-3</v>
      </c>
      <c r="E45098" s="1">
        <v>1.2108369910700701E-3</v>
      </c>
      <c r="F45098" s="1">
        <v>4.2172578769799603E-3</v>
      </c>
    </row>
    <row r="45099" spans="1:6" x14ac:dyDescent="0.25">
      <c r="A45099" s="2" t="str">
        <f t="shared" si="1420"/>
        <v>19340</v>
      </c>
      <c r="B45099" s="2" t="str">
        <f>"61260"</f>
        <v>61260</v>
      </c>
      <c r="C45099" s="1">
        <v>2.23568017501267E-3</v>
      </c>
      <c r="D45099" s="1">
        <v>4.4219835754895701E-4</v>
      </c>
      <c r="E45099" s="1">
        <v>0</v>
      </c>
      <c r="F45099" s="1">
        <v>2.0300020967157799E-3</v>
      </c>
    </row>
    <row r="45100" spans="1:6" x14ac:dyDescent="0.25">
      <c r="A45100" s="2" t="str">
        <f t="shared" si="1420"/>
        <v>19340</v>
      </c>
      <c r="B45100" s="2" t="str">
        <f>"52758"</f>
        <v>52758</v>
      </c>
      <c r="C45100" s="1">
        <v>7.41669556865779E-4</v>
      </c>
      <c r="D45100" s="1">
        <v>6.3171193935565302E-5</v>
      </c>
      <c r="E45100" s="1">
        <v>4.54063871651278E-4</v>
      </c>
      <c r="F45100" s="1">
        <v>6.8143262870975704E-4</v>
      </c>
    </row>
    <row r="45101" spans="1:6" x14ac:dyDescent="0.25">
      <c r="A45101" s="2" t="str">
        <f t="shared" si="1420"/>
        <v>19340</v>
      </c>
      <c r="B45101" s="2" t="str">
        <f>"61413"</f>
        <v>61413</v>
      </c>
      <c r="C45101" s="1">
        <v>2.7372408825334098E-3</v>
      </c>
      <c r="D45101" s="1">
        <v>1.70562223626026E-3</v>
      </c>
      <c r="E45101" s="1">
        <v>1.6649008627213501E-3</v>
      </c>
      <c r="F45101" s="1">
        <v>2.6256599889445801E-3</v>
      </c>
    </row>
    <row r="45102" spans="1:6" x14ac:dyDescent="0.25">
      <c r="A45102" s="2" t="str">
        <f t="shared" si="1420"/>
        <v>19340</v>
      </c>
      <c r="B45102" s="2" t="str">
        <f>"61490"</f>
        <v>61490</v>
      </c>
      <c r="C45102" s="1">
        <v>2.9293279620094398E-3</v>
      </c>
      <c r="D45102" s="1">
        <v>1.9583070120025199E-3</v>
      </c>
      <c r="E45102" s="1">
        <v>3.3298017254427101E-3</v>
      </c>
      <c r="F45102" s="1">
        <v>2.8686884089739401E-3</v>
      </c>
    </row>
    <row r="45103" spans="1:6" x14ac:dyDescent="0.25">
      <c r="A45103" s="2" t="str">
        <f t="shared" si="1420"/>
        <v>19340</v>
      </c>
      <c r="B45103" s="2" t="str">
        <f>"61274"</f>
        <v>61274</v>
      </c>
      <c r="C45103" s="1">
        <v>7.9502707894245296E-4</v>
      </c>
      <c r="D45103" s="1">
        <v>1.2634238787113001E-4</v>
      </c>
      <c r="E45103" s="1">
        <v>0</v>
      </c>
      <c r="F45103" s="1">
        <v>7.19554733812401E-4</v>
      </c>
    </row>
    <row r="45104" spans="1:6" x14ac:dyDescent="0.25">
      <c r="A45104" s="2" t="str">
        <f t="shared" si="1420"/>
        <v>19340</v>
      </c>
      <c r="B45104" s="2" t="str">
        <f>"61284"</f>
        <v>61284</v>
      </c>
      <c r="C45104" s="1">
        <v>5.4531387562361602E-3</v>
      </c>
      <c r="D45104" s="1">
        <v>1.76879343019583E-3</v>
      </c>
      <c r="E45104" s="1">
        <v>9.0812774330255698E-4</v>
      </c>
      <c r="F45104" s="1">
        <v>5.0321178735489702E-3</v>
      </c>
    </row>
    <row r="45105" spans="1:6" x14ac:dyDescent="0.25">
      <c r="A45105" s="2" t="str">
        <f t="shared" si="1420"/>
        <v>19340</v>
      </c>
      <c r="B45105" s="2" t="str">
        <f>"61240"</f>
        <v>61240</v>
      </c>
      <c r="C45105" s="1">
        <v>1.47746978630312E-2</v>
      </c>
      <c r="D45105" s="1">
        <v>6.6329753632343603E-3</v>
      </c>
      <c r="E45105" s="1">
        <v>1.6649008627213501E-3</v>
      </c>
      <c r="F45105" s="1">
        <v>1.3747784152640901E-2</v>
      </c>
    </row>
    <row r="45106" spans="1:6" x14ac:dyDescent="0.25">
      <c r="A45106" s="2" t="str">
        <f t="shared" si="1420"/>
        <v>19340</v>
      </c>
      <c r="B45106" s="2" t="str">
        <f>"61235"</f>
        <v>61235</v>
      </c>
      <c r="C45106" s="1">
        <v>3.9484566336739297E-3</v>
      </c>
      <c r="D45106" s="1">
        <v>1.70562223626026E-3</v>
      </c>
      <c r="E45106" s="1">
        <v>1.2108369910700701E-3</v>
      </c>
      <c r="F45106" s="1">
        <v>3.6930789318186099E-3</v>
      </c>
    </row>
    <row r="45107" spans="1:6" x14ac:dyDescent="0.25">
      <c r="A45107" s="2" t="str">
        <f t="shared" si="1420"/>
        <v>19340</v>
      </c>
      <c r="B45107" s="2" t="str">
        <f>"61231"</f>
        <v>61231</v>
      </c>
      <c r="C45107" s="1">
        <v>1.36808686604594E-2</v>
      </c>
      <c r="D45107" s="1">
        <v>1.7877447883765E-2</v>
      </c>
      <c r="E45107" s="1">
        <v>1.52868170122597E-2</v>
      </c>
      <c r="F45107" s="1">
        <v>1.4047995730324199E-2</v>
      </c>
    </row>
    <row r="45108" spans="1:6" x14ac:dyDescent="0.25">
      <c r="A45108" s="2" t="str">
        <f t="shared" si="1420"/>
        <v>19340</v>
      </c>
      <c r="B45108" s="2" t="str">
        <f>"61262"</f>
        <v>61262</v>
      </c>
      <c r="C45108" s="1">
        <v>1.87818477709895E-3</v>
      </c>
      <c r="D45108" s="1">
        <v>2.5268477574226099E-4</v>
      </c>
      <c r="E45108" s="1">
        <v>0</v>
      </c>
      <c r="F45108" s="1">
        <v>1.69643367706764E-3</v>
      </c>
    </row>
    <row r="45109" spans="1:6" x14ac:dyDescent="0.25">
      <c r="A45109" s="2" t="str">
        <f t="shared" si="1420"/>
        <v>19340</v>
      </c>
      <c r="B45109" s="2" t="str">
        <f>"61265"</f>
        <v>61265</v>
      </c>
      <c r="C45109" s="1">
        <v>0.113486113704879</v>
      </c>
      <c r="D45109" s="1">
        <v>0.148389134554643</v>
      </c>
      <c r="E45109" s="1">
        <v>0.12774330255789301</v>
      </c>
      <c r="F45109" s="1">
        <v>0.11656786687760801</v>
      </c>
    </row>
    <row r="45110" spans="1:6" x14ac:dyDescent="0.25">
      <c r="A45110" s="2" t="str">
        <f t="shared" si="1420"/>
        <v>19340</v>
      </c>
      <c r="B45110" s="2" t="str">
        <f>"52807"</f>
        <v>52807</v>
      </c>
      <c r="C45110" s="1">
        <v>4.1917669343435597E-2</v>
      </c>
      <c r="D45110" s="1">
        <v>7.32785849652558E-2</v>
      </c>
      <c r="E45110" s="1">
        <v>0.10443469047979401</v>
      </c>
      <c r="F45110" s="1">
        <v>4.6251644015782502E-2</v>
      </c>
    </row>
    <row r="45111" spans="1:6" x14ac:dyDescent="0.25">
      <c r="A45111" s="2" t="str">
        <f t="shared" si="1420"/>
        <v>19340</v>
      </c>
      <c r="B45111" s="2" t="str">
        <f>"52804"</f>
        <v>52804</v>
      </c>
      <c r="C45111" s="1">
        <v>6.4322492863431405E-2</v>
      </c>
      <c r="D45111" s="1">
        <v>2.3878711307643699E-2</v>
      </c>
      <c r="E45111" s="1">
        <v>5.8120175571363702E-2</v>
      </c>
      <c r="F45111" s="1">
        <v>6.10763776375731E-2</v>
      </c>
    </row>
    <row r="45112" spans="1:6" x14ac:dyDescent="0.25">
      <c r="A45112" s="2" t="str">
        <f t="shared" si="1420"/>
        <v>19340</v>
      </c>
      <c r="B45112" s="2" t="str">
        <f>"52768"</f>
        <v>52768</v>
      </c>
      <c r="C45112" s="1">
        <v>3.71901928874423E-3</v>
      </c>
      <c r="D45112" s="1">
        <v>3.1585596967782602E-4</v>
      </c>
      <c r="E45112" s="1">
        <v>1.6649008627213501E-3</v>
      </c>
      <c r="F45112" s="1">
        <v>3.39763261727312E-3</v>
      </c>
    </row>
    <row r="45113" spans="1:6" x14ac:dyDescent="0.25">
      <c r="A45113" s="2" t="str">
        <f t="shared" si="1420"/>
        <v>19340</v>
      </c>
      <c r="B45113" s="2" t="str">
        <f>"52747"</f>
        <v>52747</v>
      </c>
      <c r="C45113" s="1">
        <v>2.4544460155270299E-4</v>
      </c>
      <c r="D45113" s="1">
        <v>0</v>
      </c>
      <c r="E45113" s="1">
        <v>3.0270924776751898E-4</v>
      </c>
      <c r="F45113" s="1">
        <v>2.2873263061586201E-4</v>
      </c>
    </row>
    <row r="45114" spans="1:6" x14ac:dyDescent="0.25">
      <c r="A45114" s="2" t="str">
        <f t="shared" si="1420"/>
        <v>19340</v>
      </c>
      <c r="B45114" s="2" t="str">
        <f>"52728"</f>
        <v>52728</v>
      </c>
      <c r="C45114" s="1">
        <v>2.5718325640957198E-3</v>
      </c>
      <c r="D45114" s="1">
        <v>3.7902716361339197E-4</v>
      </c>
      <c r="E45114" s="1">
        <v>0</v>
      </c>
      <c r="F45114" s="1">
        <v>2.3254484112612602E-3</v>
      </c>
    </row>
    <row r="45115" spans="1:6" x14ac:dyDescent="0.25">
      <c r="A45115" s="2" t="str">
        <f t="shared" si="1420"/>
        <v>19340</v>
      </c>
      <c r="B45115" s="2" t="str">
        <f>"61414"</f>
        <v>61414</v>
      </c>
      <c r="C45115" s="1">
        <v>2.0809433609903099E-4</v>
      </c>
      <c r="D45115" s="1">
        <v>6.3171193935565302E-5</v>
      </c>
      <c r="E45115" s="1">
        <v>0</v>
      </c>
      <c r="F45115" s="1">
        <v>1.90610525513218E-4</v>
      </c>
    </row>
    <row r="45116" spans="1:6" x14ac:dyDescent="0.25">
      <c r="A45116" s="2" t="str">
        <f t="shared" si="1420"/>
        <v>19340</v>
      </c>
      <c r="B45116" s="2" t="str">
        <f>"61361"</f>
        <v>61361</v>
      </c>
      <c r="C45116" s="1">
        <v>5.3357522076674702E-5</v>
      </c>
      <c r="D45116" s="1">
        <v>6.3171193935565302E-5</v>
      </c>
      <c r="E45116" s="1">
        <v>0</v>
      </c>
      <c r="F45116" s="1">
        <v>5.2417894516135097E-5</v>
      </c>
    </row>
    <row r="45117" spans="1:6" x14ac:dyDescent="0.25">
      <c r="A45117" s="2" t="str">
        <f t="shared" si="1420"/>
        <v>19340</v>
      </c>
      <c r="B45117" s="2" t="str">
        <f>"61299"</f>
        <v>61299</v>
      </c>
      <c r="C45117" s="1">
        <v>0</v>
      </c>
      <c r="D45117" s="1">
        <v>6.3171193935565302E-5</v>
      </c>
      <c r="E45117" s="1">
        <v>0</v>
      </c>
      <c r="F45117" s="1">
        <v>4.7652631378304704E-6</v>
      </c>
    </row>
    <row r="45118" spans="1:6" x14ac:dyDescent="0.25">
      <c r="A45118" s="2" t="str">
        <f t="shared" si="1420"/>
        <v>19340</v>
      </c>
      <c r="B45118" s="2" t="str">
        <f>"61281"</f>
        <v>61281</v>
      </c>
      <c r="C45118" s="1">
        <v>6.1307792866099201E-3</v>
      </c>
      <c r="D45118" s="1">
        <v>1.3897662665824299E-3</v>
      </c>
      <c r="E45118" s="1">
        <v>3.0270924776751898E-4</v>
      </c>
      <c r="F45118" s="1">
        <v>5.5896536606751396E-3</v>
      </c>
    </row>
    <row r="45119" spans="1:6" x14ac:dyDescent="0.25">
      <c r="A45119" s="2" t="str">
        <f t="shared" si="1420"/>
        <v>19340</v>
      </c>
      <c r="B45119" s="2" t="str">
        <f>"61233"</f>
        <v>61233</v>
      </c>
      <c r="C45119" s="1">
        <v>0</v>
      </c>
      <c r="D45119" s="1">
        <v>0</v>
      </c>
      <c r="E45119" s="1">
        <v>1.51354623883759E-4</v>
      </c>
      <c r="F45119" s="1">
        <v>4.7652631378304704E-6</v>
      </c>
    </row>
    <row r="45120" spans="1:6" x14ac:dyDescent="0.25">
      <c r="A45120" s="2" t="str">
        <f t="shared" si="1420"/>
        <v>19340</v>
      </c>
      <c r="B45120" s="2" t="str">
        <f>"61204"</f>
        <v>61204</v>
      </c>
      <c r="C45120" s="1">
        <v>8.9160419390123501E-3</v>
      </c>
      <c r="D45120" s="1">
        <v>2.3878711307643699E-2</v>
      </c>
      <c r="E45120" s="1">
        <v>6.0541849553503795E-4</v>
      </c>
      <c r="F45120" s="1">
        <v>9.7830852219659495E-3</v>
      </c>
    </row>
    <row r="45121" spans="1:6" x14ac:dyDescent="0.25">
      <c r="A45121" s="2" t="str">
        <f t="shared" ref="A45121:A45137" si="1421">"19340"</f>
        <v>19340</v>
      </c>
      <c r="B45121" s="2" t="str">
        <f>"61250"</f>
        <v>61250</v>
      </c>
      <c r="C45121" s="1">
        <v>1.17386548568684E-4</v>
      </c>
      <c r="D45121" s="1">
        <v>0</v>
      </c>
      <c r="E45121" s="1">
        <v>0</v>
      </c>
      <c r="F45121" s="1">
        <v>1.0483578903227E-4</v>
      </c>
    </row>
    <row r="45122" spans="1:6" x14ac:dyDescent="0.25">
      <c r="A45122" s="2" t="str">
        <f t="shared" si="1421"/>
        <v>19340</v>
      </c>
      <c r="B45122" s="2" t="str">
        <f>"61264"</f>
        <v>61264</v>
      </c>
      <c r="C45122" s="1">
        <v>3.4100792359202797E-2</v>
      </c>
      <c r="D45122" s="1">
        <v>4.04295641187618E-2</v>
      </c>
      <c r="E45122" s="1">
        <v>1.96761011048887E-2</v>
      </c>
      <c r="F45122" s="1">
        <v>3.4124049330004E-2</v>
      </c>
    </row>
    <row r="45123" spans="1:6" x14ac:dyDescent="0.25">
      <c r="A45123" s="2" t="str">
        <f t="shared" si="1421"/>
        <v>19340</v>
      </c>
      <c r="B45123" s="2" t="str">
        <f>"52767"</f>
        <v>52767</v>
      </c>
      <c r="C45123" s="1">
        <v>1.4406530960702101E-4</v>
      </c>
      <c r="D45123" s="1">
        <v>0</v>
      </c>
      <c r="E45123" s="1">
        <v>1.51354623883759E-4</v>
      </c>
      <c r="F45123" s="1">
        <v>1.33427367859253E-4</v>
      </c>
    </row>
    <row r="45124" spans="1:6" x14ac:dyDescent="0.25">
      <c r="A45124" s="2" t="str">
        <f t="shared" si="1421"/>
        <v>19340</v>
      </c>
      <c r="B45124" s="2" t="str">
        <f>"52773"</f>
        <v>52773</v>
      </c>
      <c r="C45124" s="1">
        <v>6.2161513219326E-3</v>
      </c>
      <c r="D45124" s="1">
        <v>3.1585596967782601E-3</v>
      </c>
      <c r="E45124" s="1">
        <v>3.1784471015589501E-3</v>
      </c>
      <c r="F45124" s="1">
        <v>5.8898652383584599E-3</v>
      </c>
    </row>
    <row r="45125" spans="1:6" x14ac:dyDescent="0.25">
      <c r="A45125" s="2" t="str">
        <f t="shared" si="1421"/>
        <v>19340</v>
      </c>
      <c r="B45125" s="2" t="str">
        <f>"52765"</f>
        <v>52765</v>
      </c>
      <c r="C45125" s="1">
        <v>8.6972760984979798E-4</v>
      </c>
      <c r="D45125" s="1">
        <v>1.8951358180669599E-4</v>
      </c>
      <c r="E45125" s="1">
        <v>0</v>
      </c>
      <c r="F45125" s="1">
        <v>7.9103368087985804E-4</v>
      </c>
    </row>
    <row r="45126" spans="1:6" x14ac:dyDescent="0.25">
      <c r="A45126" s="2" t="str">
        <f t="shared" si="1421"/>
        <v>19340</v>
      </c>
      <c r="B45126" s="2" t="str">
        <f>"52753"</f>
        <v>52753</v>
      </c>
      <c r="C45126" s="1">
        <v>1.41984366246031E-2</v>
      </c>
      <c r="D45126" s="1">
        <v>8.2122552116234895E-3</v>
      </c>
      <c r="E45126" s="1">
        <v>6.2055395792341402E-3</v>
      </c>
      <c r="F45126" s="1">
        <v>1.34952252063358E-2</v>
      </c>
    </row>
    <row r="45127" spans="1:6" x14ac:dyDescent="0.25">
      <c r="A45127" s="2" t="str">
        <f t="shared" si="1421"/>
        <v>19340</v>
      </c>
      <c r="B45127" s="2" t="str">
        <f>"52746"</f>
        <v>52746</v>
      </c>
      <c r="C45127" s="1">
        <v>2.2196729183896601E-3</v>
      </c>
      <c r="D45127" s="1">
        <v>7.5805432722678395E-4</v>
      </c>
      <c r="E45127" s="1">
        <v>0</v>
      </c>
      <c r="F45127" s="1">
        <v>2.0395326229914398E-3</v>
      </c>
    </row>
    <row r="45128" spans="1:6" x14ac:dyDescent="0.25">
      <c r="A45128" s="2" t="str">
        <f t="shared" si="1421"/>
        <v>19340</v>
      </c>
      <c r="B45128" s="2" t="str">
        <f>"52722"</f>
        <v>52722</v>
      </c>
      <c r="C45128" s="1">
        <v>0.10007203265480299</v>
      </c>
      <c r="D45128" s="1">
        <v>0.117624763108022</v>
      </c>
      <c r="E45128" s="1">
        <v>7.0531254729831905E-2</v>
      </c>
      <c r="F45128" s="1">
        <v>0.100466042734879</v>
      </c>
    </row>
    <row r="45129" spans="1:6" x14ac:dyDescent="0.25">
      <c r="A45129" s="2" t="str">
        <f t="shared" si="1421"/>
        <v>19340</v>
      </c>
      <c r="B45129" s="2" t="str">
        <f>"61419"</f>
        <v>61419</v>
      </c>
      <c r="C45129" s="1">
        <v>3.4682389349838499E-4</v>
      </c>
      <c r="D45129" s="1">
        <v>4.4219835754895701E-4</v>
      </c>
      <c r="E45129" s="1">
        <v>0</v>
      </c>
      <c r="F45129" s="1">
        <v>3.4309894592379298E-4</v>
      </c>
    </row>
    <row r="45130" spans="1:6" x14ac:dyDescent="0.25">
      <c r="A45130" s="2" t="str">
        <f t="shared" si="1421"/>
        <v>19340</v>
      </c>
      <c r="B45130" s="2" t="str">
        <f>"61442"</f>
        <v>61442</v>
      </c>
      <c r="C45130" s="1">
        <v>2.4224315022810302E-3</v>
      </c>
      <c r="D45130" s="1">
        <v>1.13708149084017E-3</v>
      </c>
      <c r="E45130" s="1">
        <v>7.5677311941879796E-4</v>
      </c>
      <c r="F45130" s="1">
        <v>2.2730305167451299E-3</v>
      </c>
    </row>
    <row r="45131" spans="1:6" x14ac:dyDescent="0.25">
      <c r="A45131" s="2" t="str">
        <f t="shared" si="1421"/>
        <v>19340</v>
      </c>
      <c r="B45131" s="2" t="str">
        <f>"61401"</f>
        <v>61401</v>
      </c>
      <c r="C45131" s="1">
        <v>5.3357522076674702E-5</v>
      </c>
      <c r="D45131" s="1">
        <v>0</v>
      </c>
      <c r="E45131" s="1">
        <v>0</v>
      </c>
      <c r="F45131" s="1">
        <v>4.7652631378304697E-5</v>
      </c>
    </row>
    <row r="45132" spans="1:6" x14ac:dyDescent="0.25">
      <c r="A45132" s="2" t="str">
        <f t="shared" si="1421"/>
        <v>19340</v>
      </c>
      <c r="B45132" s="2" t="str">
        <f>"61344"</f>
        <v>61344</v>
      </c>
      <c r="C45132" s="1">
        <v>5.3357522076674702E-5</v>
      </c>
      <c r="D45132" s="1">
        <v>6.3171193935565302E-5</v>
      </c>
      <c r="E45132" s="1">
        <v>0</v>
      </c>
      <c r="F45132" s="1">
        <v>5.2417894516135097E-5</v>
      </c>
    </row>
    <row r="45133" spans="1:6" x14ac:dyDescent="0.25">
      <c r="A45133" s="2" t="str">
        <f t="shared" si="1421"/>
        <v>19340</v>
      </c>
      <c r="B45133" s="2" t="str">
        <f>"61279"</f>
        <v>61279</v>
      </c>
      <c r="C45133" s="1">
        <v>2.0329215911212999E-3</v>
      </c>
      <c r="D45133" s="1">
        <v>5.0536955148452296E-4</v>
      </c>
      <c r="E45133" s="1">
        <v>0</v>
      </c>
      <c r="F45133" s="1">
        <v>1.85368736061605E-3</v>
      </c>
    </row>
    <row r="45134" spans="1:6" x14ac:dyDescent="0.25">
      <c r="A45134" s="2" t="str">
        <f t="shared" si="1421"/>
        <v>19340</v>
      </c>
      <c r="B45134" s="2" t="str">
        <f>"61234"</f>
        <v>61234</v>
      </c>
      <c r="C45134" s="1">
        <v>3.1587653069391399E-3</v>
      </c>
      <c r="D45134" s="1">
        <v>3.6639292482627899E-3</v>
      </c>
      <c r="E45134" s="1">
        <v>2.1189647343726301E-3</v>
      </c>
      <c r="F45134" s="1">
        <v>3.16413472351943E-3</v>
      </c>
    </row>
    <row r="45135" spans="1:6" x14ac:dyDescent="0.25">
      <c r="A45135" s="2" t="str">
        <f t="shared" si="1421"/>
        <v>19340</v>
      </c>
      <c r="B45135" s="2" t="str">
        <f>"61258"</f>
        <v>61258</v>
      </c>
      <c r="C45135" s="1">
        <v>3.89509911159725E-4</v>
      </c>
      <c r="D45135" s="1">
        <v>4.4219835754895701E-4</v>
      </c>
      <c r="E45135" s="1">
        <v>1.51354623883759E-4</v>
      </c>
      <c r="F45135" s="1">
        <v>3.8598631416426801E-4</v>
      </c>
    </row>
    <row r="45136" spans="1:6" x14ac:dyDescent="0.25">
      <c r="A45136" s="2" t="str">
        <f t="shared" si="1421"/>
        <v>19340</v>
      </c>
      <c r="B45136" s="2" t="str">
        <f>"61263"</f>
        <v>61263</v>
      </c>
      <c r="C45136" s="1">
        <v>1.4033028306165399E-3</v>
      </c>
      <c r="D45136" s="1">
        <v>0</v>
      </c>
      <c r="E45136" s="1">
        <v>1.05948236718631E-3</v>
      </c>
      <c r="F45136" s="1">
        <v>1.2866210472142199E-3</v>
      </c>
    </row>
    <row r="45137" spans="1:6" x14ac:dyDescent="0.25">
      <c r="A45137" s="2" t="str">
        <f t="shared" si="1421"/>
        <v>19340</v>
      </c>
      <c r="B45137" s="2" t="str">
        <f>"52805"</f>
        <v>52805</v>
      </c>
      <c r="C45137" s="1">
        <v>2.2730304404663402E-3</v>
      </c>
      <c r="D45137" s="1">
        <v>5.55906506632975E-3</v>
      </c>
      <c r="E45137" s="1">
        <v>3.0270924776751898E-4</v>
      </c>
      <c r="F45137" s="1">
        <v>2.45887577912052E-3</v>
      </c>
    </row>
    <row r="45138" spans="1:6" x14ac:dyDescent="0.25">
      <c r="A45138" s="2" t="str">
        <f t="shared" ref="A45138:A45169" si="1422">"31540"</f>
        <v>31540</v>
      </c>
      <c r="B45138" s="2" t="str">
        <f>"53718"</f>
        <v>53718</v>
      </c>
      <c r="C45138" s="1">
        <v>2.6768983381638699E-2</v>
      </c>
      <c r="D45138" s="1">
        <v>3.8722203905191002E-2</v>
      </c>
      <c r="E45138" s="1">
        <v>2.6786621937582501E-2</v>
      </c>
      <c r="F45138" s="1">
        <v>2.7687979179855101E-2</v>
      </c>
    </row>
    <row r="45139" spans="1:6" x14ac:dyDescent="0.25">
      <c r="A45139" s="2" t="str">
        <f t="shared" si="1422"/>
        <v>31540</v>
      </c>
      <c r="B45139" s="2" t="str">
        <f>"53713"</f>
        <v>53713</v>
      </c>
      <c r="C45139" s="1">
        <v>3.5334279989884997E-2</v>
      </c>
      <c r="D45139" s="1">
        <v>5.2753049785690703E-2</v>
      </c>
      <c r="E45139" s="1">
        <v>7.5429500864084495E-2</v>
      </c>
      <c r="F45139" s="1">
        <v>3.8891467960891803E-2</v>
      </c>
    </row>
    <row r="45140" spans="1:6" x14ac:dyDescent="0.25">
      <c r="A45140" s="2" t="str">
        <f t="shared" si="1422"/>
        <v>31540</v>
      </c>
      <c r="B45140" s="2" t="str">
        <f>"53701"</f>
        <v>53701</v>
      </c>
      <c r="C45140" s="1">
        <v>2.2142685781348201E-3</v>
      </c>
      <c r="D45140" s="1">
        <v>1.3627871194636701E-2</v>
      </c>
      <c r="E45140" s="1">
        <v>1.01657009250787E-4</v>
      </c>
      <c r="F45140" s="1">
        <v>2.9739044805514501E-3</v>
      </c>
    </row>
    <row r="45141" spans="1:6" x14ac:dyDescent="0.25">
      <c r="A45141" s="2" t="str">
        <f t="shared" si="1422"/>
        <v>31540</v>
      </c>
      <c r="B45141" s="2" t="str">
        <f>"53597"</f>
        <v>53597</v>
      </c>
      <c r="C45141" s="1">
        <v>2.5893650268759599E-2</v>
      </c>
      <c r="D45141" s="1">
        <v>2.1137853976627399E-2</v>
      </c>
      <c r="E45141" s="1">
        <v>1.4384466808986401E-2</v>
      </c>
      <c r="F45141" s="1">
        <v>2.48913272842371E-2</v>
      </c>
    </row>
    <row r="45142" spans="1:6" x14ac:dyDescent="0.25">
      <c r="A45142" s="2" t="str">
        <f t="shared" si="1422"/>
        <v>31540</v>
      </c>
      <c r="B45142" s="2" t="str">
        <f>"53703"</f>
        <v>53703</v>
      </c>
      <c r="C45142" s="1">
        <v>6.3046677948737806E-2</v>
      </c>
      <c r="D45142" s="1">
        <v>8.8434626515734305E-2</v>
      </c>
      <c r="E45142" s="1">
        <v>0.15431534004269501</v>
      </c>
      <c r="F45142" s="1">
        <v>7.0048533445874597E-2</v>
      </c>
    </row>
    <row r="45143" spans="1:6" x14ac:dyDescent="0.25">
      <c r="A45143" s="2" t="str">
        <f t="shared" si="1422"/>
        <v>31540</v>
      </c>
      <c r="B45143" s="2" t="str">
        <f>"53783"</f>
        <v>53783</v>
      </c>
      <c r="C45143" s="1">
        <v>0</v>
      </c>
      <c r="D45143" s="1">
        <v>3.6634062351174098E-5</v>
      </c>
      <c r="E45143" s="1">
        <v>0</v>
      </c>
      <c r="F45143" s="1">
        <v>2.8135330941830199E-6</v>
      </c>
    </row>
    <row r="45144" spans="1:6" x14ac:dyDescent="0.25">
      <c r="A45144" s="2" t="str">
        <f t="shared" si="1422"/>
        <v>31540</v>
      </c>
      <c r="B45144" s="2" t="str">
        <f>"53569"</f>
        <v>53569</v>
      </c>
      <c r="C45144" s="1">
        <v>3.9552088804165199E-4</v>
      </c>
      <c r="D45144" s="1">
        <v>2.9307249880939197E-4</v>
      </c>
      <c r="E45144" s="1">
        <v>0</v>
      </c>
      <c r="F45144" s="1">
        <v>3.6575930224379201E-4</v>
      </c>
    </row>
    <row r="45145" spans="1:6" x14ac:dyDescent="0.25">
      <c r="A45145" s="2" t="str">
        <f t="shared" si="1422"/>
        <v>31540</v>
      </c>
      <c r="B45145" s="2" t="str">
        <f>"53583"</f>
        <v>53583</v>
      </c>
      <c r="C45145" s="1">
        <v>2.3309796598520302E-3</v>
      </c>
      <c r="D45145" s="1">
        <v>6.5941312232113399E-4</v>
      </c>
      <c r="E45145" s="1">
        <v>3.5579953237775702E-4</v>
      </c>
      <c r="F45145" s="1">
        <v>2.09326862207216E-3</v>
      </c>
    </row>
    <row r="45146" spans="1:6" x14ac:dyDescent="0.25">
      <c r="A45146" s="2" t="str">
        <f t="shared" si="1422"/>
        <v>31540</v>
      </c>
      <c r="B45146" s="2" t="str">
        <f>"53580"</f>
        <v>53580</v>
      </c>
      <c r="C45146" s="1">
        <v>7.2296031174826699E-4</v>
      </c>
      <c r="D45146" s="1">
        <v>2.1980437410704399E-4</v>
      </c>
      <c r="E45146" s="1">
        <v>2.0331401850157501E-4</v>
      </c>
      <c r="F45146" s="1">
        <v>6.5555321094464295E-4</v>
      </c>
    </row>
    <row r="45147" spans="1:6" x14ac:dyDescent="0.25">
      <c r="A45147" s="2" t="str">
        <f t="shared" si="1422"/>
        <v>31540</v>
      </c>
      <c r="B45147" s="2" t="str">
        <f>"53570"</f>
        <v>53570</v>
      </c>
      <c r="C45147" s="1">
        <v>3.7898681813171402E-3</v>
      </c>
      <c r="D45147" s="1">
        <v>3.0406271751474501E-3</v>
      </c>
      <c r="E45147" s="1">
        <v>1.32154112026024E-3</v>
      </c>
      <c r="F45147" s="1">
        <v>3.5956952943658901E-3</v>
      </c>
    </row>
    <row r="45148" spans="1:6" x14ac:dyDescent="0.25">
      <c r="A45148" s="2" t="str">
        <f t="shared" si="1422"/>
        <v>31540</v>
      </c>
      <c r="B45148" s="2" t="str">
        <f>"53559"</f>
        <v>53559</v>
      </c>
      <c r="C45148" s="1">
        <v>8.0498226639952701E-3</v>
      </c>
      <c r="D45148" s="1">
        <v>2.9673590504451001E-3</v>
      </c>
      <c r="E45148" s="1">
        <v>3.20219579139981E-3</v>
      </c>
      <c r="F45148" s="1">
        <v>7.3911514384187903E-3</v>
      </c>
    </row>
    <row r="45149" spans="1:6" x14ac:dyDescent="0.25">
      <c r="A45149" s="2" t="str">
        <f t="shared" si="1422"/>
        <v>31540</v>
      </c>
      <c r="B45149" s="2" t="str">
        <f>"53506"</f>
        <v>53506</v>
      </c>
      <c r="C45149" s="1">
        <v>1.85765138399891E-3</v>
      </c>
      <c r="D45149" s="1">
        <v>3.6634062351174098E-5</v>
      </c>
      <c r="E45149" s="1">
        <v>4.5745654162854499E-4</v>
      </c>
      <c r="F45149" s="1">
        <v>1.6402897939086999E-3</v>
      </c>
    </row>
    <row r="45150" spans="1:6" x14ac:dyDescent="0.25">
      <c r="A45150" s="2" t="str">
        <f t="shared" si="1422"/>
        <v>31540</v>
      </c>
      <c r="B45150" s="2" t="str">
        <f>"53503"</f>
        <v>53503</v>
      </c>
      <c r="C45150" s="1">
        <v>2.8302437316423102E-3</v>
      </c>
      <c r="D45150" s="1">
        <v>2.0515074916657499E-3</v>
      </c>
      <c r="E45150" s="1">
        <v>1.1690556063840599E-3</v>
      </c>
      <c r="F45150" s="1">
        <v>2.6784835056622301E-3</v>
      </c>
    </row>
    <row r="45151" spans="1:6" x14ac:dyDescent="0.25">
      <c r="A45151" s="2" t="str">
        <f t="shared" si="1422"/>
        <v>31540</v>
      </c>
      <c r="B45151" s="2" t="str">
        <f>"53926"</f>
        <v>53926</v>
      </c>
      <c r="C45151" s="1">
        <v>3.1447152573803501E-4</v>
      </c>
      <c r="D45151" s="1">
        <v>7.3268124702348197E-5</v>
      </c>
      <c r="E45151" s="1">
        <v>0</v>
      </c>
      <c r="F45151" s="1">
        <v>2.7853977632411899E-4</v>
      </c>
    </row>
    <row r="45152" spans="1:6" x14ac:dyDescent="0.25">
      <c r="A45152" s="2" t="str">
        <f t="shared" si="1422"/>
        <v>31540</v>
      </c>
      <c r="B45152" s="2" t="str">
        <f>"53913"</f>
        <v>53913</v>
      </c>
      <c r="C45152" s="1">
        <v>3.89036939057363E-5</v>
      </c>
      <c r="D45152" s="1">
        <v>3.6634062351174098E-5</v>
      </c>
      <c r="E45152" s="1">
        <v>0</v>
      </c>
      <c r="F45152" s="1">
        <v>3.6575930224379203E-5</v>
      </c>
    </row>
    <row r="45153" spans="1:6" x14ac:dyDescent="0.25">
      <c r="A45153" s="2" t="str">
        <f t="shared" si="1422"/>
        <v>31540</v>
      </c>
      <c r="B45153" s="2" t="str">
        <f>"53911"</f>
        <v>53911</v>
      </c>
      <c r="C45153" s="1">
        <v>1.89007112892035E-3</v>
      </c>
      <c r="D45153" s="1">
        <v>2.19804374107044E-3</v>
      </c>
      <c r="E45153" s="1">
        <v>1.01657009250787E-4</v>
      </c>
      <c r="F45153" s="1">
        <v>1.81472884574804E-3</v>
      </c>
    </row>
    <row r="45154" spans="1:6" x14ac:dyDescent="0.25">
      <c r="A45154" s="2" t="str">
        <f t="shared" si="1422"/>
        <v>31540</v>
      </c>
      <c r="B45154" s="2" t="str">
        <f>"53965"</f>
        <v>53965</v>
      </c>
      <c r="C45154" s="1">
        <v>5.6280677183631897E-3</v>
      </c>
      <c r="D45154" s="1">
        <v>1.0220903395977501E-2</v>
      </c>
      <c r="E45154" s="1">
        <v>5.2353359764155697E-3</v>
      </c>
      <c r="F45154" s="1">
        <v>5.95906309347963E-3</v>
      </c>
    </row>
    <row r="45155" spans="1:6" x14ac:dyDescent="0.25">
      <c r="A45155" s="2" t="str">
        <f t="shared" si="1422"/>
        <v>31540</v>
      </c>
      <c r="B45155" s="2" t="str">
        <f>"53596"</f>
        <v>53596</v>
      </c>
      <c r="C45155" s="1">
        <v>0</v>
      </c>
      <c r="D45155" s="1">
        <v>3.6634062351174098E-5</v>
      </c>
      <c r="E45155" s="1">
        <v>0</v>
      </c>
      <c r="F45155" s="1">
        <v>2.8135330941830199E-6</v>
      </c>
    </row>
    <row r="45156" spans="1:6" x14ac:dyDescent="0.25">
      <c r="A45156" s="2" t="str">
        <f t="shared" si="1422"/>
        <v>31540</v>
      </c>
      <c r="B45156" s="2" t="str">
        <f>"53595"</f>
        <v>53595</v>
      </c>
      <c r="C45156" s="1">
        <v>0</v>
      </c>
      <c r="D45156" s="1">
        <v>7.3268124702348197E-5</v>
      </c>
      <c r="E45156" s="1">
        <v>0</v>
      </c>
      <c r="F45156" s="1">
        <v>5.6270661883660398E-6</v>
      </c>
    </row>
    <row r="45157" spans="1:6" x14ac:dyDescent="0.25">
      <c r="A45157" s="2" t="str">
        <f t="shared" si="1422"/>
        <v>31540</v>
      </c>
      <c r="B45157" s="2" t="str">
        <f>"53598"</f>
        <v>53598</v>
      </c>
      <c r="C45157" s="1">
        <v>5.0283024373164202E-3</v>
      </c>
      <c r="D45157" s="1">
        <v>4.0297468586291503E-3</v>
      </c>
      <c r="E45157" s="1">
        <v>4.9811934532886003E-3</v>
      </c>
      <c r="F45157" s="1">
        <v>4.9490047126679298E-3</v>
      </c>
    </row>
    <row r="45158" spans="1:6" x14ac:dyDescent="0.25">
      <c r="A45158" s="2" t="str">
        <f t="shared" si="1422"/>
        <v>31540</v>
      </c>
      <c r="B45158" s="2" t="str">
        <f>"53590"</f>
        <v>53590</v>
      </c>
      <c r="C45158" s="1">
        <v>5.9334617155232201E-2</v>
      </c>
      <c r="D45158" s="1">
        <v>5.23134410374766E-2</v>
      </c>
      <c r="E45158" s="1">
        <v>3.9595405103181797E-2</v>
      </c>
      <c r="F45158" s="1">
        <v>5.7702750228599498E-2</v>
      </c>
    </row>
    <row r="45159" spans="1:6" x14ac:dyDescent="0.25">
      <c r="A45159" s="2" t="str">
        <f t="shared" si="1422"/>
        <v>31540</v>
      </c>
      <c r="B45159" s="2" t="str">
        <f>"53788"</f>
        <v>53788</v>
      </c>
      <c r="C45159" s="1">
        <v>0</v>
      </c>
      <c r="D45159" s="1">
        <v>3.6634062351174098E-5</v>
      </c>
      <c r="E45159" s="1">
        <v>0</v>
      </c>
      <c r="F45159" s="1">
        <v>2.8135330941830199E-6</v>
      </c>
    </row>
    <row r="45160" spans="1:6" x14ac:dyDescent="0.25">
      <c r="A45160" s="2" t="str">
        <f t="shared" si="1422"/>
        <v>31540</v>
      </c>
      <c r="B45160" s="2" t="str">
        <f>"53588"</f>
        <v>53588</v>
      </c>
      <c r="C45160" s="1">
        <v>9.4665655170625103E-4</v>
      </c>
      <c r="D45160" s="1">
        <v>4.7624281056526301E-4</v>
      </c>
      <c r="E45160" s="1">
        <v>2.0331401850157501E-4</v>
      </c>
      <c r="F45160" s="1">
        <v>8.6938172610255299E-4</v>
      </c>
    </row>
    <row r="45161" spans="1:6" x14ac:dyDescent="0.25">
      <c r="A45161" s="2" t="str">
        <f t="shared" si="1422"/>
        <v>31540</v>
      </c>
      <c r="B45161" s="2" t="str">
        <f>"53578"</f>
        <v>53578</v>
      </c>
      <c r="C45161" s="1">
        <v>1.0860614548684701E-3</v>
      </c>
      <c r="D45161" s="1">
        <v>1.4653624940469599E-4</v>
      </c>
      <c r="E45161" s="1">
        <v>1.01657009250787E-4</v>
      </c>
      <c r="F45161" s="1">
        <v>9.5941478511640896E-4</v>
      </c>
    </row>
    <row r="45162" spans="1:6" x14ac:dyDescent="0.25">
      <c r="A45162" s="2" t="str">
        <f t="shared" si="1422"/>
        <v>31540</v>
      </c>
      <c r="B45162" s="2" t="str">
        <f>"53574"</f>
        <v>53574</v>
      </c>
      <c r="C45162" s="1">
        <v>5.1871591874315098E-3</v>
      </c>
      <c r="D45162" s="1">
        <v>2.7109206139868799E-3</v>
      </c>
      <c r="E45162" s="1">
        <v>1.93148317576496E-3</v>
      </c>
      <c r="F45162" s="1">
        <v>4.8167686572413299E-3</v>
      </c>
    </row>
    <row r="45163" spans="1:6" x14ac:dyDescent="0.25">
      <c r="A45163" s="2" t="str">
        <f t="shared" si="1422"/>
        <v>31540</v>
      </c>
      <c r="B45163" s="2" t="str">
        <f>"53553"</f>
        <v>53553</v>
      </c>
      <c r="C45163" s="1">
        <v>8.2670349549689701E-4</v>
      </c>
      <c r="D45163" s="1">
        <v>7.3268124702348197E-5</v>
      </c>
      <c r="E45163" s="1">
        <v>4.06628037003151E-4</v>
      </c>
      <c r="F45163" s="1">
        <v>7.4558626995850001E-4</v>
      </c>
    </row>
    <row r="45164" spans="1:6" x14ac:dyDescent="0.25">
      <c r="A45164" s="2" t="str">
        <f t="shared" si="1422"/>
        <v>31540</v>
      </c>
      <c r="B45164" s="2" t="str">
        <f>"53565"</f>
        <v>53565</v>
      </c>
      <c r="C45164" s="1">
        <v>6.7206131222159503E-3</v>
      </c>
      <c r="D45164" s="1">
        <v>7.94959153020478E-3</v>
      </c>
      <c r="E45164" s="1">
        <v>5.18450747179017E-3</v>
      </c>
      <c r="F45164" s="1">
        <v>6.7299711612857803E-3</v>
      </c>
    </row>
    <row r="45165" spans="1:6" x14ac:dyDescent="0.25">
      <c r="A45165" s="2" t="str">
        <f t="shared" si="1422"/>
        <v>31540</v>
      </c>
      <c r="B45165" s="2" t="str">
        <f>"53554"</f>
        <v>53554</v>
      </c>
      <c r="C45165" s="1">
        <v>1.9451846952868099E-4</v>
      </c>
      <c r="D45165" s="1">
        <v>2.5643843645821798E-4</v>
      </c>
      <c r="E45165" s="1">
        <v>0</v>
      </c>
      <c r="F45165" s="1">
        <v>1.8850671731026201E-4</v>
      </c>
    </row>
    <row r="45166" spans="1:6" x14ac:dyDescent="0.25">
      <c r="A45166" s="2" t="str">
        <f t="shared" si="1422"/>
        <v>31540</v>
      </c>
      <c r="B45166" s="2" t="str">
        <f>"53531"</f>
        <v>53531</v>
      </c>
      <c r="C45166" s="1">
        <v>6.01710465742055E-3</v>
      </c>
      <c r="D45166" s="1">
        <v>2.8208228010404E-3</v>
      </c>
      <c r="E45166" s="1">
        <v>1.6773406526379899E-3</v>
      </c>
      <c r="F45166" s="1">
        <v>5.5314060631638101E-3</v>
      </c>
    </row>
    <row r="45167" spans="1:6" x14ac:dyDescent="0.25">
      <c r="A45167" s="2" t="str">
        <f t="shared" si="1422"/>
        <v>31540</v>
      </c>
      <c r="B45167" s="2" t="str">
        <f>"53706"</f>
        <v>53706</v>
      </c>
      <c r="C45167" s="1">
        <v>2.59357959371575E-5</v>
      </c>
      <c r="D45167" s="1">
        <v>4.5426237315455897E-3</v>
      </c>
      <c r="E45167" s="1">
        <v>1.01657009250787E-4</v>
      </c>
      <c r="F45167" s="1">
        <v>3.7701343462052402E-4</v>
      </c>
    </row>
    <row r="45168" spans="1:6" x14ac:dyDescent="0.25">
      <c r="A45168" s="2" t="str">
        <f t="shared" si="1422"/>
        <v>31540</v>
      </c>
      <c r="B45168" s="2" t="str">
        <f>"53932"</f>
        <v>53932</v>
      </c>
      <c r="C45168" s="1">
        <v>4.2599544826781299E-3</v>
      </c>
      <c r="D45168" s="1">
        <v>2.0148734293145699E-3</v>
      </c>
      <c r="E45168" s="1">
        <v>8.6408457863169604E-4</v>
      </c>
      <c r="F45168" s="1">
        <v>3.89955686853766E-3</v>
      </c>
    </row>
    <row r="45169" spans="1:6" x14ac:dyDescent="0.25">
      <c r="A45169" s="2" t="str">
        <f t="shared" si="1422"/>
        <v>31540</v>
      </c>
      <c r="B45169" s="2" t="str">
        <f>"53923"</f>
        <v>53923</v>
      </c>
      <c r="C45169" s="1">
        <v>2.4963203589514101E-3</v>
      </c>
      <c r="D45169" s="1">
        <v>1.06238780818404E-3</v>
      </c>
      <c r="E45169" s="1">
        <v>1.37236962488563E-3</v>
      </c>
      <c r="F45169" s="1">
        <v>2.3239783357951699E-3</v>
      </c>
    </row>
    <row r="45170" spans="1:6" x14ac:dyDescent="0.25">
      <c r="A45170" s="2" t="str">
        <f t="shared" ref="A45170:A45201" si="1423">"31540"</f>
        <v>31540</v>
      </c>
      <c r="B45170" s="2" t="str">
        <f>"53594"</f>
        <v>53594</v>
      </c>
      <c r="C45170" s="1">
        <v>3.1122955124589002E-4</v>
      </c>
      <c r="D45170" s="1">
        <v>3.6634062351174098E-5</v>
      </c>
      <c r="E45170" s="1">
        <v>0</v>
      </c>
      <c r="F45170" s="1">
        <v>2.7291271013575201E-4</v>
      </c>
    </row>
    <row r="45171" spans="1:6" x14ac:dyDescent="0.25">
      <c r="A45171" s="2" t="str">
        <f t="shared" si="1423"/>
        <v>31540</v>
      </c>
      <c r="B45171" s="2" t="str">
        <f>"53593"</f>
        <v>53593</v>
      </c>
      <c r="C45171" s="1">
        <v>3.9169535814092202E-2</v>
      </c>
      <c r="D45171" s="1">
        <v>2.7512180825731699E-2</v>
      </c>
      <c r="E45171" s="1">
        <v>1.6417606994002201E-2</v>
      </c>
      <c r="F45171" s="1">
        <v>3.7014841387071798E-2</v>
      </c>
    </row>
    <row r="45172" spans="1:6" x14ac:dyDescent="0.25">
      <c r="A45172" s="2" t="str">
        <f t="shared" si="1423"/>
        <v>31540</v>
      </c>
      <c r="B45172" s="2" t="str">
        <f>"53589"</f>
        <v>53589</v>
      </c>
      <c r="C45172" s="1">
        <v>3.0299493603584301E-2</v>
      </c>
      <c r="D45172" s="1">
        <v>2.8537934571564599E-2</v>
      </c>
      <c r="E45172" s="1">
        <v>1.59601504523736E-2</v>
      </c>
      <c r="F45172" s="1">
        <v>2.93704719701765E-2</v>
      </c>
    </row>
    <row r="45173" spans="1:6" x14ac:dyDescent="0.25">
      <c r="A45173" s="2" t="str">
        <f t="shared" si="1423"/>
        <v>31540</v>
      </c>
      <c r="B45173" s="2" t="str">
        <f>"53719"</f>
        <v>53719</v>
      </c>
      <c r="C45173" s="1">
        <v>4.78677533765164E-2</v>
      </c>
      <c r="D45173" s="1">
        <v>7.1546323771843001E-2</v>
      </c>
      <c r="E45173" s="1">
        <v>7.1007420961675297E-2</v>
      </c>
      <c r="F45173" s="1">
        <v>5.09671520011254E-2</v>
      </c>
    </row>
    <row r="45174" spans="1:6" x14ac:dyDescent="0.25">
      <c r="A45174" s="2" t="str">
        <f t="shared" si="1423"/>
        <v>31540</v>
      </c>
      <c r="B45174" s="2" t="str">
        <f>"53515"</f>
        <v>53515</v>
      </c>
      <c r="C45174" s="1">
        <v>3.83849779869931E-3</v>
      </c>
      <c r="D45174" s="1">
        <v>1.72180093050518E-3</v>
      </c>
      <c r="E45174" s="1">
        <v>1.27071261563484E-3</v>
      </c>
      <c r="F45174" s="1">
        <v>3.5337975662938698E-3</v>
      </c>
    </row>
    <row r="45175" spans="1:6" x14ac:dyDescent="0.25">
      <c r="A45175" s="2" t="str">
        <f t="shared" si="1423"/>
        <v>31540</v>
      </c>
      <c r="B45175" s="2" t="str">
        <f>"53714"</f>
        <v>53714</v>
      </c>
      <c r="C45175" s="1">
        <v>2.45611987524882E-2</v>
      </c>
      <c r="D45175" s="1">
        <v>1.8317031175587001E-2</v>
      </c>
      <c r="E45175" s="1">
        <v>2.5973365863576198E-2</v>
      </c>
      <c r="F45175" s="1">
        <v>2.4159808679749501E-2</v>
      </c>
    </row>
    <row r="45176" spans="1:6" x14ac:dyDescent="0.25">
      <c r="A45176" s="2" t="str">
        <f t="shared" si="1423"/>
        <v>31540</v>
      </c>
      <c r="B45176" s="2" t="str">
        <f>"53704"</f>
        <v>53704</v>
      </c>
      <c r="C45176" s="1">
        <v>7.3301043267391494E-2</v>
      </c>
      <c r="D45176" s="1">
        <v>6.9531450342528403E-2</v>
      </c>
      <c r="E45176" s="1">
        <v>0.110551997560231</v>
      </c>
      <c r="F45176" s="1">
        <v>7.5073503552085502E-2</v>
      </c>
    </row>
    <row r="45177" spans="1:6" x14ac:dyDescent="0.25">
      <c r="A45177" s="2" t="str">
        <f t="shared" si="1423"/>
        <v>31540</v>
      </c>
      <c r="B45177" s="2" t="str">
        <f>"53957"</f>
        <v>53957</v>
      </c>
      <c r="C45177" s="1">
        <v>0</v>
      </c>
      <c r="D45177" s="1">
        <v>3.6634062351174098E-5</v>
      </c>
      <c r="E45177" s="1">
        <v>0</v>
      </c>
      <c r="F45177" s="1">
        <v>2.8135330941830199E-6</v>
      </c>
    </row>
    <row r="45178" spans="1:6" x14ac:dyDescent="0.25">
      <c r="A45178" s="2" t="str">
        <f t="shared" si="1423"/>
        <v>31540</v>
      </c>
      <c r="B45178" s="2" t="str">
        <f>"53960"</f>
        <v>53960</v>
      </c>
      <c r="C45178" s="1">
        <v>4.9958826923949696E-3</v>
      </c>
      <c r="D45178" s="1">
        <v>2.08814155401692E-3</v>
      </c>
      <c r="E45178" s="1">
        <v>2.3381112127681199E-3</v>
      </c>
      <c r="F45178" s="1">
        <v>4.62544840683688E-3</v>
      </c>
    </row>
    <row r="45179" spans="1:6" x14ac:dyDescent="0.25">
      <c r="A45179" s="2" t="str">
        <f t="shared" si="1423"/>
        <v>31540</v>
      </c>
      <c r="B45179" s="2" t="str">
        <f>"53582"</f>
        <v>53582</v>
      </c>
      <c r="C45179" s="1">
        <v>1.61126132259591E-3</v>
      </c>
      <c r="D45179" s="1">
        <v>4.3960874821408902E-4</v>
      </c>
      <c r="E45179" s="1">
        <v>3.0497102775236298E-4</v>
      </c>
      <c r="F45179" s="1">
        <v>1.4489695435042501E-3</v>
      </c>
    </row>
    <row r="45180" spans="1:6" x14ac:dyDescent="0.25">
      <c r="A45180" s="2" t="str">
        <f t="shared" si="1423"/>
        <v>31540</v>
      </c>
      <c r="B45180" s="2" t="str">
        <f>"53529"</f>
        <v>53529</v>
      </c>
      <c r="C45180" s="1">
        <v>2.7135326499251101E-3</v>
      </c>
      <c r="D45180" s="1">
        <v>2.6742865516357099E-3</v>
      </c>
      <c r="E45180" s="1">
        <v>7.1159906475551404E-4</v>
      </c>
      <c r="F45180" s="1">
        <v>2.59970457902511E-3</v>
      </c>
    </row>
    <row r="45181" spans="1:6" x14ac:dyDescent="0.25">
      <c r="A45181" s="2" t="str">
        <f t="shared" si="1423"/>
        <v>31540</v>
      </c>
      <c r="B45181" s="2" t="str">
        <f>"53527"</f>
        <v>53527</v>
      </c>
      <c r="C45181" s="1">
        <v>1.3285611468808901E-2</v>
      </c>
      <c r="D45181" s="1">
        <v>8.7555409019306092E-3</v>
      </c>
      <c r="E45181" s="1">
        <v>4.06628037003151E-3</v>
      </c>
      <c r="F45181" s="1">
        <v>1.24273756770064E-2</v>
      </c>
    </row>
    <row r="45182" spans="1:6" x14ac:dyDescent="0.25">
      <c r="A45182" s="2" t="str">
        <f t="shared" si="1423"/>
        <v>31540</v>
      </c>
      <c r="B45182" s="2" t="str">
        <f>"53523"</f>
        <v>53523</v>
      </c>
      <c r="C45182" s="1">
        <v>3.8936113650657701E-3</v>
      </c>
      <c r="D45182" s="1">
        <v>3.51686998571271E-3</v>
      </c>
      <c r="E45182" s="1">
        <v>2.2364542035173299E-3</v>
      </c>
      <c r="F45182" s="1">
        <v>3.7729478792994302E-3</v>
      </c>
    </row>
    <row r="45183" spans="1:6" x14ac:dyDescent="0.25">
      <c r="A45183" s="2" t="str">
        <f t="shared" si="1423"/>
        <v>31540</v>
      </c>
      <c r="B45183" s="2" t="str">
        <f>"53716"</f>
        <v>53716</v>
      </c>
      <c r="C45183" s="1">
        <v>2.9735390041951099E-2</v>
      </c>
      <c r="D45183" s="1">
        <v>4.1946001392094298E-2</v>
      </c>
      <c r="E45183" s="1">
        <v>2.0941343905662199E-2</v>
      </c>
      <c r="F45183" s="1">
        <v>3.0186396567489601E-2</v>
      </c>
    </row>
    <row r="45184" spans="1:6" x14ac:dyDescent="0.25">
      <c r="A45184" s="2" t="str">
        <f t="shared" si="1423"/>
        <v>31540</v>
      </c>
      <c r="B45184" s="2" t="str">
        <f>"53708"</f>
        <v>53708</v>
      </c>
      <c r="C45184" s="1">
        <v>2.0651377514961699E-3</v>
      </c>
      <c r="D45184" s="1">
        <v>1.37377733816902E-2</v>
      </c>
      <c r="E45184" s="1">
        <v>1.52485513876181E-4</v>
      </c>
      <c r="F45184" s="1">
        <v>2.8557360905957598E-3</v>
      </c>
    </row>
    <row r="45185" spans="1:6" x14ac:dyDescent="0.25">
      <c r="A45185" s="2" t="str">
        <f t="shared" si="1423"/>
        <v>31540</v>
      </c>
      <c r="B45185" s="2" t="str">
        <f>"53705"</f>
        <v>53705</v>
      </c>
      <c r="C45185" s="1">
        <v>4.3303053291576701E-2</v>
      </c>
      <c r="D45185" s="1">
        <v>3.57548448547459E-2</v>
      </c>
      <c r="E45185" s="1">
        <v>5.4538985463047598E-2</v>
      </c>
      <c r="F45185" s="1">
        <v>4.33452908489836E-2</v>
      </c>
    </row>
    <row r="45186" spans="1:6" x14ac:dyDescent="0.25">
      <c r="A45186" s="2" t="str">
        <f t="shared" si="1423"/>
        <v>31540</v>
      </c>
      <c r="B45186" s="2" t="str">
        <f>"53935"</f>
        <v>53935</v>
      </c>
      <c r="C45186" s="1">
        <v>5.02506046282427E-4</v>
      </c>
      <c r="D45186" s="1">
        <v>0</v>
      </c>
      <c r="E45186" s="1">
        <v>1.52485513876181E-4</v>
      </c>
      <c r="F45186" s="1">
        <v>4.44538228880917E-4</v>
      </c>
    </row>
    <row r="45187" spans="1:6" x14ac:dyDescent="0.25">
      <c r="A45187" s="2" t="str">
        <f t="shared" si="1423"/>
        <v>31540</v>
      </c>
      <c r="B45187" s="2" t="str">
        <f>"53784"</f>
        <v>53784</v>
      </c>
      <c r="C45187" s="1">
        <v>0</v>
      </c>
      <c r="D45187" s="1">
        <v>3.6634062351174098E-5</v>
      </c>
      <c r="E45187" s="1">
        <v>0</v>
      </c>
      <c r="F45187" s="1">
        <v>2.8135330941830199E-6</v>
      </c>
    </row>
    <row r="45188" spans="1:6" x14ac:dyDescent="0.25">
      <c r="A45188" s="2" t="str">
        <f t="shared" si="1423"/>
        <v>31540</v>
      </c>
      <c r="B45188" s="2" t="str">
        <f>"53818"</f>
        <v>53818</v>
      </c>
      <c r="C45188" s="1">
        <v>4.2145668397880999E-5</v>
      </c>
      <c r="D45188" s="1">
        <v>0</v>
      </c>
      <c r="E45188" s="1">
        <v>0</v>
      </c>
      <c r="F45188" s="1">
        <v>3.6575930224379203E-5</v>
      </c>
    </row>
    <row r="45189" spans="1:6" x14ac:dyDescent="0.25">
      <c r="A45189" s="2" t="str">
        <f t="shared" si="1423"/>
        <v>31540</v>
      </c>
      <c r="B45189" s="2" t="str">
        <f>"53571"</f>
        <v>53571</v>
      </c>
      <c r="C45189" s="1">
        <v>4.5063445440811199E-4</v>
      </c>
      <c r="D45189" s="1">
        <v>0</v>
      </c>
      <c r="E45189" s="1">
        <v>1.52485513876181E-4</v>
      </c>
      <c r="F45189" s="1">
        <v>3.9952169937398799E-4</v>
      </c>
    </row>
    <row r="45190" spans="1:6" x14ac:dyDescent="0.25">
      <c r="A45190" s="2" t="str">
        <f t="shared" si="1423"/>
        <v>31540</v>
      </c>
      <c r="B45190" s="2" t="str">
        <f>"53572"</f>
        <v>53572</v>
      </c>
      <c r="C45190" s="1">
        <v>1.4102589040829399E-2</v>
      </c>
      <c r="D45190" s="1">
        <v>1.19427043264827E-2</v>
      </c>
      <c r="E45190" s="1">
        <v>7.0651621429297503E-3</v>
      </c>
      <c r="F45190" s="1">
        <v>1.3547161848491199E-2</v>
      </c>
    </row>
    <row r="45191" spans="1:6" x14ac:dyDescent="0.25">
      <c r="A45191" s="2" t="str">
        <f t="shared" si="1423"/>
        <v>31540</v>
      </c>
      <c r="B45191" s="2" t="str">
        <f>"53533"</f>
        <v>53533</v>
      </c>
      <c r="C45191" s="1">
        <v>1.0704999773061699E-2</v>
      </c>
      <c r="D45191" s="1">
        <v>1.33714327581785E-2</v>
      </c>
      <c r="E45191" s="1">
        <v>8.4375317678153892E-3</v>
      </c>
      <c r="F45191" s="1">
        <v>1.0784272350003499E-2</v>
      </c>
    </row>
    <row r="45192" spans="1:6" x14ac:dyDescent="0.25">
      <c r="A45192" s="2" t="str">
        <f t="shared" si="1423"/>
        <v>31540</v>
      </c>
      <c r="B45192" s="2" t="str">
        <f>"53528"</f>
        <v>53528</v>
      </c>
      <c r="C45192" s="1">
        <v>8.4745213224662296E-3</v>
      </c>
      <c r="D45192" s="1">
        <v>4.9089643550573299E-3</v>
      </c>
      <c r="E45192" s="1">
        <v>3.50716681915218E-3</v>
      </c>
      <c r="F45192" s="1">
        <v>7.9257227263135593E-3</v>
      </c>
    </row>
    <row r="45193" spans="1:6" x14ac:dyDescent="0.25">
      <c r="A45193" s="2" t="str">
        <f t="shared" si="1423"/>
        <v>31540</v>
      </c>
      <c r="B45193" s="2" t="str">
        <f>"53522"</f>
        <v>53522</v>
      </c>
      <c r="C45193" s="1">
        <v>1.4945502408787001E-3</v>
      </c>
      <c r="D45193" s="1">
        <v>5.4951093526761099E-4</v>
      </c>
      <c r="E45193" s="1">
        <v>1.01657009250787E-4</v>
      </c>
      <c r="F45193" s="1">
        <v>1.34486881901948E-3</v>
      </c>
    </row>
    <row r="45194" spans="1:6" x14ac:dyDescent="0.25">
      <c r="A45194" s="2" t="str">
        <f t="shared" si="1423"/>
        <v>31540</v>
      </c>
      <c r="B45194" s="2" t="str">
        <f>"53535"</f>
        <v>53535</v>
      </c>
      <c r="C45194" s="1">
        <v>0</v>
      </c>
      <c r="D45194" s="1">
        <v>0</v>
      </c>
      <c r="E45194" s="1">
        <v>2.0331401850157501E-4</v>
      </c>
      <c r="F45194" s="1">
        <v>1.1254132376732E-5</v>
      </c>
    </row>
    <row r="45195" spans="1:6" x14ac:dyDescent="0.25">
      <c r="A45195" s="2" t="str">
        <f t="shared" si="1423"/>
        <v>31540</v>
      </c>
      <c r="B45195" s="2" t="str">
        <f>"53543"</f>
        <v>53543</v>
      </c>
      <c r="C45195" s="1">
        <v>2.3018018894227299E-3</v>
      </c>
      <c r="D45195" s="1">
        <v>9.5248562113052699E-4</v>
      </c>
      <c r="E45195" s="1">
        <v>2.1347971942665398E-3</v>
      </c>
      <c r="F45195" s="1">
        <v>2.1889287472743801E-3</v>
      </c>
    </row>
    <row r="45196" spans="1:6" x14ac:dyDescent="0.25">
      <c r="A45196" s="2" t="str">
        <f t="shared" si="1423"/>
        <v>31540</v>
      </c>
      <c r="B45196" s="2" t="str">
        <f>"53711"</f>
        <v>53711</v>
      </c>
      <c r="C45196" s="1">
        <v>7.3080589001925697E-2</v>
      </c>
      <c r="D45196" s="1">
        <v>3.80627907828699E-2</v>
      </c>
      <c r="E45196" s="1">
        <v>8.9661482159194797E-2</v>
      </c>
      <c r="F45196" s="1">
        <v>7.1308996272068603E-2</v>
      </c>
    </row>
    <row r="45197" spans="1:6" x14ac:dyDescent="0.25">
      <c r="A45197" s="2" t="str">
        <f t="shared" si="1423"/>
        <v>31540</v>
      </c>
      <c r="B45197" s="2" t="str">
        <f>"53969"</f>
        <v>53969</v>
      </c>
      <c r="C45197" s="1">
        <v>4.3118260745524399E-4</v>
      </c>
      <c r="D45197" s="1">
        <v>0</v>
      </c>
      <c r="E45197" s="1">
        <v>3.0497102775236298E-4</v>
      </c>
      <c r="F45197" s="1">
        <v>3.9108110009143898E-4</v>
      </c>
    </row>
    <row r="45198" spans="1:6" x14ac:dyDescent="0.25">
      <c r="A45198" s="2" t="str">
        <f t="shared" si="1423"/>
        <v>31540</v>
      </c>
      <c r="B45198" s="2" t="str">
        <f>"53928"</f>
        <v>53928</v>
      </c>
      <c r="C45198" s="1">
        <v>1.2967897968578701E-5</v>
      </c>
      <c r="D45198" s="1">
        <v>0</v>
      </c>
      <c r="E45198" s="1">
        <v>5.0828504625393902E-5</v>
      </c>
      <c r="F45198" s="1">
        <v>1.4067665470915101E-5</v>
      </c>
    </row>
    <row r="45199" spans="1:6" x14ac:dyDescent="0.25">
      <c r="A45199" s="2" t="str">
        <f t="shared" si="1423"/>
        <v>31540</v>
      </c>
      <c r="B45199" s="2" t="str">
        <f>"53925"</f>
        <v>53925</v>
      </c>
      <c r="C45199" s="1">
        <v>9.7777950683083995E-3</v>
      </c>
      <c r="D45199" s="1">
        <v>1.16496318276733E-2</v>
      </c>
      <c r="E45199" s="1">
        <v>6.9126766290535701E-3</v>
      </c>
      <c r="F45199" s="1">
        <v>9.7629598368150806E-3</v>
      </c>
    </row>
    <row r="45200" spans="1:6" x14ac:dyDescent="0.25">
      <c r="A45200" s="2" t="str">
        <f t="shared" si="1423"/>
        <v>31540</v>
      </c>
      <c r="B45200" s="2" t="str">
        <f>"53702"</f>
        <v>53702</v>
      </c>
      <c r="C45200" s="1">
        <v>0</v>
      </c>
      <c r="D45200" s="1">
        <v>1.09902187053522E-4</v>
      </c>
      <c r="E45200" s="1">
        <v>5.0828504625393902E-5</v>
      </c>
      <c r="F45200" s="1">
        <v>1.1254132376732E-5</v>
      </c>
    </row>
    <row r="45201" spans="1:6" x14ac:dyDescent="0.25">
      <c r="A45201" s="2" t="str">
        <f t="shared" si="1423"/>
        <v>31540</v>
      </c>
      <c r="B45201" s="2" t="str">
        <f>"53726"</f>
        <v>53726</v>
      </c>
      <c r="C45201" s="1">
        <v>7.8812399904037503E-3</v>
      </c>
      <c r="D45201" s="1">
        <v>2.4911162398798402E-3</v>
      </c>
      <c r="E45201" s="1">
        <v>9.3524448510724795E-3</v>
      </c>
      <c r="F45201" s="1">
        <v>7.5487092916930402E-3</v>
      </c>
    </row>
    <row r="45202" spans="1:6" x14ac:dyDescent="0.25">
      <c r="A45202" s="2" t="str">
        <f t="shared" ref="A45202:A45234" si="1424">"31540"</f>
        <v>31540</v>
      </c>
      <c r="B45202" s="2" t="str">
        <f>"53725"</f>
        <v>53725</v>
      </c>
      <c r="C45202" s="1">
        <v>1.3259675672871801E-3</v>
      </c>
      <c r="D45202" s="1">
        <v>8.9387112136864802E-3</v>
      </c>
      <c r="E45202" s="1">
        <v>1.01657009250787E-4</v>
      </c>
      <c r="F45202" s="1">
        <v>1.84286417668987E-3</v>
      </c>
    </row>
    <row r="45203" spans="1:6" x14ac:dyDescent="0.25">
      <c r="A45203" s="2" t="str">
        <f t="shared" si="1424"/>
        <v>31540</v>
      </c>
      <c r="B45203" s="2" t="str">
        <f>"53575"</f>
        <v>53575</v>
      </c>
      <c r="C45203" s="1">
        <v>2.1860634000531599E-2</v>
      </c>
      <c r="D45203" s="1">
        <v>1.20526065135362E-2</v>
      </c>
      <c r="E45203" s="1">
        <v>1.4130324285859501E-2</v>
      </c>
      <c r="F45203" s="1">
        <v>2.0679468242245098E-2</v>
      </c>
    </row>
    <row r="45204" spans="1:6" x14ac:dyDescent="0.25">
      <c r="A45204" s="2" t="str">
        <f t="shared" si="1424"/>
        <v>31540</v>
      </c>
      <c r="B45204" s="2" t="str">
        <f>"53562"</f>
        <v>53562</v>
      </c>
      <c r="C45204" s="1">
        <v>4.4736006017104597E-2</v>
      </c>
      <c r="D45204" s="1">
        <v>6.1948199435835398E-2</v>
      </c>
      <c r="E45204" s="1">
        <v>6.0282606485717101E-2</v>
      </c>
      <c r="F45204" s="1">
        <v>4.6918477878596002E-2</v>
      </c>
    </row>
    <row r="45205" spans="1:6" x14ac:dyDescent="0.25">
      <c r="A45205" s="2" t="str">
        <f t="shared" si="1424"/>
        <v>31540</v>
      </c>
      <c r="B45205" s="2" t="str">
        <f>"53566"</f>
        <v>53566</v>
      </c>
      <c r="C45205" s="1">
        <v>2.2855920169620101E-2</v>
      </c>
      <c r="D45205" s="1">
        <v>2.7585448950434101E-2</v>
      </c>
      <c r="E45205" s="1">
        <v>1.5350208396868899E-2</v>
      </c>
      <c r="F45205" s="1">
        <v>2.2803685728353298E-2</v>
      </c>
    </row>
    <row r="45206" spans="1:6" x14ac:dyDescent="0.25">
      <c r="A45206" s="2" t="str">
        <f t="shared" si="1424"/>
        <v>31540</v>
      </c>
      <c r="B45206" s="2" t="str">
        <f>"53520"</f>
        <v>53520</v>
      </c>
      <c r="C45206" s="1">
        <v>7.9201436843094903E-3</v>
      </c>
      <c r="D45206" s="1">
        <v>7.5466168443418602E-3</v>
      </c>
      <c r="E45206" s="1">
        <v>3.1513672867744202E-3</v>
      </c>
      <c r="F45206" s="1">
        <v>7.6274882183301604E-3</v>
      </c>
    </row>
    <row r="45207" spans="1:6" x14ac:dyDescent="0.25">
      <c r="A45207" s="2" t="str">
        <f t="shared" si="1424"/>
        <v>31540</v>
      </c>
      <c r="B45207" s="2" t="str">
        <f>"53544"</f>
        <v>53544</v>
      </c>
      <c r="C45207" s="1">
        <v>1.18007871514066E-3</v>
      </c>
      <c r="D45207" s="1">
        <v>4.0297468586291503E-4</v>
      </c>
      <c r="E45207" s="1">
        <v>3.5579953237775702E-4</v>
      </c>
      <c r="F45207" s="1">
        <v>1.07476964197791E-3</v>
      </c>
    </row>
    <row r="45208" spans="1:6" x14ac:dyDescent="0.25">
      <c r="A45208" s="2" t="str">
        <f t="shared" si="1424"/>
        <v>31540</v>
      </c>
      <c r="B45208" s="2" t="str">
        <f>"53534"</f>
        <v>53534</v>
      </c>
      <c r="C45208" s="1">
        <v>3.3684114973383302E-3</v>
      </c>
      <c r="D45208" s="1">
        <v>2.16140967871927E-3</v>
      </c>
      <c r="E45208" s="1">
        <v>9.1491308325708997E-4</v>
      </c>
      <c r="F45208" s="1">
        <v>3.1399029331082499E-3</v>
      </c>
    </row>
    <row r="45209" spans="1:6" x14ac:dyDescent="0.25">
      <c r="A45209" s="2" t="str">
        <f t="shared" si="1424"/>
        <v>31540</v>
      </c>
      <c r="B45209" s="2" t="str">
        <f>"53715"</f>
        <v>53715</v>
      </c>
      <c r="C45209" s="1">
        <v>1.8884501416742801E-2</v>
      </c>
      <c r="D45209" s="1">
        <v>1.9489321170824601E-2</v>
      </c>
      <c r="E45209" s="1">
        <v>2.7955677543966599E-2</v>
      </c>
      <c r="F45209" s="1">
        <v>1.94330730815221E-2</v>
      </c>
    </row>
    <row r="45210" spans="1:6" x14ac:dyDescent="0.25">
      <c r="A45210" s="2" t="str">
        <f t="shared" si="1424"/>
        <v>31540</v>
      </c>
      <c r="B45210" s="2" t="str">
        <f>"53707"</f>
        <v>53707</v>
      </c>
      <c r="C45210" s="1">
        <v>7.1971833725612195E-4</v>
      </c>
      <c r="D45210" s="1">
        <v>8.4624684031212195E-3</v>
      </c>
      <c r="E45210" s="1">
        <v>1.01657009250787E-4</v>
      </c>
      <c r="F45210" s="1">
        <v>1.28015755785327E-3</v>
      </c>
    </row>
    <row r="45211" spans="1:6" x14ac:dyDescent="0.25">
      <c r="A45211" s="2" t="str">
        <f t="shared" si="1424"/>
        <v>31540</v>
      </c>
      <c r="B45211" s="2" t="str">
        <f>"53560"</f>
        <v>53560</v>
      </c>
      <c r="C45211" s="1">
        <v>5.2066110343843798E-3</v>
      </c>
      <c r="D45211" s="1">
        <v>2.08814155401692E-3</v>
      </c>
      <c r="E45211" s="1">
        <v>2.2872827081427201E-3</v>
      </c>
      <c r="F45211" s="1">
        <v>4.8055145248645896E-3</v>
      </c>
    </row>
    <row r="45212" spans="1:6" x14ac:dyDescent="0.25">
      <c r="A45212" s="2" t="str">
        <f t="shared" si="1424"/>
        <v>31540</v>
      </c>
      <c r="B45212" s="2" t="str">
        <f>"53526"</f>
        <v>53526</v>
      </c>
      <c r="C45212" s="1">
        <v>7.8131585260687105E-4</v>
      </c>
      <c r="D45212" s="1">
        <v>8.4258343407700399E-4</v>
      </c>
      <c r="E45212" s="1">
        <v>1.27071261563484E-3</v>
      </c>
      <c r="F45212" s="1">
        <v>8.1311106421889197E-4</v>
      </c>
    </row>
    <row r="45213" spans="1:6" x14ac:dyDescent="0.25">
      <c r="A45213" s="2" t="str">
        <f t="shared" si="1424"/>
        <v>31540</v>
      </c>
      <c r="B45213" s="2" t="str">
        <f>"53532"</f>
        <v>53532</v>
      </c>
      <c r="C45213" s="1">
        <v>2.06708293619145E-2</v>
      </c>
      <c r="D45213" s="1">
        <v>1.43971865040114E-2</v>
      </c>
      <c r="E45213" s="1">
        <v>6.81101961980278E-3</v>
      </c>
      <c r="F45213" s="1">
        <v>1.9421818949145301E-2</v>
      </c>
    </row>
    <row r="45214" spans="1:6" x14ac:dyDescent="0.25">
      <c r="A45214" s="2" t="str">
        <f t="shared" si="1424"/>
        <v>31540</v>
      </c>
      <c r="B45214" s="2" t="str">
        <f>"53516"</f>
        <v>53516</v>
      </c>
      <c r="C45214" s="1">
        <v>1.55938973072159E-3</v>
      </c>
      <c r="D45214" s="1">
        <v>3.6634062351174098E-5</v>
      </c>
      <c r="E45214" s="1">
        <v>2.0331401850157501E-4</v>
      </c>
      <c r="F45214" s="1">
        <v>1.3673770837729401E-3</v>
      </c>
    </row>
    <row r="45215" spans="1:6" x14ac:dyDescent="0.25">
      <c r="A45215" s="2" t="str">
        <f t="shared" si="1424"/>
        <v>31540</v>
      </c>
      <c r="B45215" s="2" t="str">
        <f>"53536"</f>
        <v>53536</v>
      </c>
      <c r="C45215" s="1">
        <v>3.5661719413591602E-5</v>
      </c>
      <c r="D45215" s="1">
        <v>0</v>
      </c>
      <c r="E45215" s="1">
        <v>0</v>
      </c>
      <c r="F45215" s="1">
        <v>3.0948864036013197E-5</v>
      </c>
    </row>
    <row r="45216" spans="1:6" x14ac:dyDescent="0.25">
      <c r="A45216" s="2" t="str">
        <f t="shared" si="1424"/>
        <v>31540</v>
      </c>
      <c r="B45216" s="2" t="str">
        <f>"53504"</f>
        <v>53504</v>
      </c>
      <c r="C45216" s="1">
        <v>7.8455782709901598E-4</v>
      </c>
      <c r="D45216" s="1">
        <v>3.6634062351174098E-5</v>
      </c>
      <c r="E45216" s="1">
        <v>5.0828504625393902E-5</v>
      </c>
      <c r="F45216" s="1">
        <v>6.8650207498065598E-4</v>
      </c>
    </row>
    <row r="45217" spans="1:6" x14ac:dyDescent="0.25">
      <c r="A45217" s="2" t="str">
        <f t="shared" si="1424"/>
        <v>31540</v>
      </c>
      <c r="B45217" s="2" t="str">
        <f>"53508"</f>
        <v>53508</v>
      </c>
      <c r="C45217" s="1">
        <v>7.41439566353491E-3</v>
      </c>
      <c r="D45217" s="1">
        <v>3.9198446715756298E-3</v>
      </c>
      <c r="E45217" s="1">
        <v>5.8452780319203004E-3</v>
      </c>
      <c r="F45217" s="1">
        <v>7.0591545333051897E-3</v>
      </c>
    </row>
    <row r="45218" spans="1:6" x14ac:dyDescent="0.25">
      <c r="A45218" s="2" t="str">
        <f t="shared" si="1424"/>
        <v>31540</v>
      </c>
      <c r="B45218" s="2" t="str">
        <f>"53502"</f>
        <v>53502</v>
      </c>
      <c r="C45218" s="1">
        <v>3.4494608596419502E-3</v>
      </c>
      <c r="D45218" s="1">
        <v>9.5248562113052699E-4</v>
      </c>
      <c r="E45218" s="1">
        <v>1.0673985971332699E-3</v>
      </c>
      <c r="F45218" s="1">
        <v>3.1258352676373298E-3</v>
      </c>
    </row>
    <row r="45219" spans="1:6" x14ac:dyDescent="0.25">
      <c r="A45219" s="2" t="str">
        <f t="shared" si="1424"/>
        <v>31540</v>
      </c>
      <c r="B45219" s="2" t="str">
        <f>"53717"</f>
        <v>53717</v>
      </c>
      <c r="C45219" s="1">
        <v>2.1808762408657301E-2</v>
      </c>
      <c r="D45219" s="1">
        <v>2.3116093343590799E-2</v>
      </c>
      <c r="E45219" s="1">
        <v>1.9873945308529001E-2</v>
      </c>
      <c r="F45219" s="1">
        <v>2.18020679468242E-2</v>
      </c>
    </row>
    <row r="45220" spans="1:6" x14ac:dyDescent="0.25">
      <c r="A45220" s="2" t="str">
        <f t="shared" si="1424"/>
        <v>31540</v>
      </c>
      <c r="B45220" s="2" t="str">
        <f>"53956"</f>
        <v>53956</v>
      </c>
      <c r="C45220" s="1">
        <v>1.61126132259591E-3</v>
      </c>
      <c r="D45220" s="1">
        <v>1.2455581199399201E-3</v>
      </c>
      <c r="E45220" s="1">
        <v>4.06628037003151E-4</v>
      </c>
      <c r="F45220" s="1">
        <v>1.51649433776464E-3</v>
      </c>
    </row>
    <row r="45221" spans="1:6" x14ac:dyDescent="0.25">
      <c r="A45221" s="2" t="str">
        <f t="shared" si="1424"/>
        <v>31540</v>
      </c>
      <c r="B45221" s="2" t="str">
        <f>"53955"</f>
        <v>53955</v>
      </c>
      <c r="C45221" s="1">
        <v>1.01473801604128E-2</v>
      </c>
      <c r="D45221" s="1">
        <v>4.8723302927061504E-3</v>
      </c>
      <c r="E45221" s="1">
        <v>4.8795364440378103E-3</v>
      </c>
      <c r="F45221" s="1">
        <v>9.4506576633607599E-3</v>
      </c>
    </row>
    <row r="45222" spans="1:6" x14ac:dyDescent="0.25">
      <c r="A45222" s="2" t="str">
        <f t="shared" si="1424"/>
        <v>31540</v>
      </c>
      <c r="B45222" s="2" t="str">
        <f>"53954"</f>
        <v>53954</v>
      </c>
      <c r="C45222" s="1">
        <v>1.00371530276799E-2</v>
      </c>
      <c r="D45222" s="1">
        <v>4.4327215444920597E-3</v>
      </c>
      <c r="E45222" s="1">
        <v>4.62539392091084E-3</v>
      </c>
      <c r="F45222" s="1">
        <v>9.3071674755574301E-3</v>
      </c>
    </row>
    <row r="45223" spans="1:6" x14ac:dyDescent="0.25">
      <c r="A45223" s="2" t="str">
        <f t="shared" si="1424"/>
        <v>31540</v>
      </c>
      <c r="B45223" s="2" t="str">
        <f>"53792"</f>
        <v>53792</v>
      </c>
      <c r="C45223" s="1">
        <v>0</v>
      </c>
      <c r="D45223" s="1">
        <v>7.3268124702348197E-5</v>
      </c>
      <c r="E45223" s="1">
        <v>0</v>
      </c>
      <c r="F45223" s="1">
        <v>5.6270661883660398E-6</v>
      </c>
    </row>
    <row r="45224" spans="1:6" x14ac:dyDescent="0.25">
      <c r="A45224" s="2" t="str">
        <f t="shared" si="1424"/>
        <v>31540</v>
      </c>
      <c r="B45224" s="2" t="str">
        <f>"53777"</f>
        <v>53777</v>
      </c>
      <c r="C45224" s="1">
        <v>0</v>
      </c>
      <c r="D45224" s="1">
        <v>3.6634062351174098E-5</v>
      </c>
      <c r="E45224" s="1">
        <v>0</v>
      </c>
      <c r="F45224" s="1">
        <v>2.8135330941830199E-6</v>
      </c>
    </row>
    <row r="45225" spans="1:6" x14ac:dyDescent="0.25">
      <c r="A45225" s="2" t="str">
        <f t="shared" si="1424"/>
        <v>31540</v>
      </c>
      <c r="B45225" s="2" t="str">
        <f>"53744"</f>
        <v>53744</v>
      </c>
      <c r="C45225" s="1">
        <v>3.7477225129192598E-3</v>
      </c>
      <c r="D45225" s="1">
        <v>1.6924936806242401E-2</v>
      </c>
      <c r="E45225" s="1">
        <v>1.01657009250787E-4</v>
      </c>
      <c r="F45225" s="1">
        <v>4.5579236125764897E-3</v>
      </c>
    </row>
    <row r="45226" spans="1:6" x14ac:dyDescent="0.25">
      <c r="A45226" s="2" t="str">
        <f t="shared" si="1424"/>
        <v>31540</v>
      </c>
      <c r="B45226" s="2" t="str">
        <f>"53901"</f>
        <v>53901</v>
      </c>
      <c r="C45226" s="1">
        <v>2.2107024061934599E-2</v>
      </c>
      <c r="D45226" s="1">
        <v>2.4398285525881899E-2</v>
      </c>
      <c r="E45226" s="1">
        <v>1.9162346243773502E-2</v>
      </c>
      <c r="F45226" s="1">
        <v>2.21199971864669E-2</v>
      </c>
    </row>
    <row r="45227" spans="1:6" x14ac:dyDescent="0.25">
      <c r="A45227" s="2" t="str">
        <f t="shared" si="1424"/>
        <v>31540</v>
      </c>
      <c r="B45227" s="2" t="str">
        <f>"53573"</f>
        <v>53573</v>
      </c>
      <c r="C45227" s="1">
        <v>4.0524681151808602E-4</v>
      </c>
      <c r="D45227" s="1">
        <v>1.4653624940469599E-4</v>
      </c>
      <c r="E45227" s="1">
        <v>1.01657009250787E-4</v>
      </c>
      <c r="F45227" s="1">
        <v>3.6857283533797501E-4</v>
      </c>
    </row>
    <row r="45228" spans="1:6" x14ac:dyDescent="0.25">
      <c r="A45228" s="2" t="str">
        <f t="shared" si="1424"/>
        <v>31540</v>
      </c>
      <c r="B45228" s="2" t="str">
        <f>"53561"</f>
        <v>53561</v>
      </c>
      <c r="C45228" s="1">
        <v>7.1647636276397702E-4</v>
      </c>
      <c r="D45228" s="1">
        <v>1.09902187053522E-4</v>
      </c>
      <c r="E45228" s="1">
        <v>5.0828504625393902E-5</v>
      </c>
      <c r="F45228" s="1">
        <v>6.3304494619117904E-4</v>
      </c>
    </row>
    <row r="45229" spans="1:6" x14ac:dyDescent="0.25">
      <c r="A45229" s="2" t="str">
        <f t="shared" si="1424"/>
        <v>31540</v>
      </c>
      <c r="B45229" s="2" t="str">
        <f>"53550"</f>
        <v>53550</v>
      </c>
      <c r="C45229" s="1">
        <v>1.6469230420095001E-3</v>
      </c>
      <c r="D45229" s="1">
        <v>5.4951093526761099E-4</v>
      </c>
      <c r="E45229" s="1">
        <v>4.06628037003151E-4</v>
      </c>
      <c r="F45229" s="1">
        <v>1.4939860730111801E-3</v>
      </c>
    </row>
    <row r="45230" spans="1:6" x14ac:dyDescent="0.25">
      <c r="A45230" s="2" t="str">
        <f t="shared" si="1424"/>
        <v>31540</v>
      </c>
      <c r="B45230" s="2" t="str">
        <f>"53558"</f>
        <v>53558</v>
      </c>
      <c r="C45230" s="1">
        <v>1.7928118941560101E-2</v>
      </c>
      <c r="D45230" s="1">
        <v>1.52764040004396E-2</v>
      </c>
      <c r="E45230" s="1">
        <v>7.1668191521805404E-3</v>
      </c>
      <c r="F45230" s="1">
        <v>1.7128789477386198E-2</v>
      </c>
    </row>
    <row r="45231" spans="1:6" x14ac:dyDescent="0.25">
      <c r="A45231" s="2" t="str">
        <f t="shared" si="1424"/>
        <v>31540</v>
      </c>
      <c r="B45231" s="2" t="str">
        <f>"53555"</f>
        <v>53555</v>
      </c>
      <c r="C45231" s="1">
        <v>1.31559324891231E-2</v>
      </c>
      <c r="D45231" s="1">
        <v>8.6456387148770904E-3</v>
      </c>
      <c r="E45231" s="1">
        <v>6.2010775642980503E-3</v>
      </c>
      <c r="F45231" s="1">
        <v>1.24245621439122E-2</v>
      </c>
    </row>
    <row r="45232" spans="1:6" x14ac:dyDescent="0.25">
      <c r="A45232" s="2" t="str">
        <f t="shared" si="1424"/>
        <v>31540</v>
      </c>
      <c r="B45232" s="2" t="str">
        <f>"53521"</f>
        <v>53521</v>
      </c>
      <c r="C45232" s="1">
        <v>4.6327815492747696E-3</v>
      </c>
      <c r="D45232" s="1">
        <v>1.46536249404696E-3</v>
      </c>
      <c r="E45232" s="1">
        <v>1.32154112026024E-3</v>
      </c>
      <c r="F45232" s="1">
        <v>4.2062319758036102E-3</v>
      </c>
    </row>
    <row r="45233" spans="1:6" x14ac:dyDescent="0.25">
      <c r="A45233" s="2" t="str">
        <f t="shared" si="1424"/>
        <v>31540</v>
      </c>
      <c r="B45233" s="2" t="str">
        <f>"53517"</f>
        <v>53517</v>
      </c>
      <c r="C45233" s="1">
        <v>2.6843548794957999E-3</v>
      </c>
      <c r="D45233" s="1">
        <v>1.35546030699344E-3</v>
      </c>
      <c r="E45233" s="1">
        <v>6.6077056013012E-4</v>
      </c>
      <c r="F45233" s="1">
        <v>2.4702820566926899E-3</v>
      </c>
    </row>
    <row r="45234" spans="1:6" x14ac:dyDescent="0.25">
      <c r="A45234" s="2" t="str">
        <f t="shared" si="1424"/>
        <v>31540</v>
      </c>
      <c r="B45234" s="2" t="str">
        <f>"53507"</f>
        <v>53507</v>
      </c>
      <c r="C45234" s="1">
        <v>3.1771350023018E-3</v>
      </c>
      <c r="D45234" s="1">
        <v>1.2089240575887401E-3</v>
      </c>
      <c r="E45234" s="1">
        <v>1.1182271017586599E-3</v>
      </c>
      <c r="F45234" s="1">
        <v>2.9120067524794199E-3</v>
      </c>
    </row>
    <row r="45235" spans="1:6" x14ac:dyDescent="0.25">
      <c r="A45235" s="2" t="str">
        <f t="shared" ref="A45235:A45273" si="1425">"48140"</f>
        <v>48140</v>
      </c>
      <c r="B45235" s="2" t="str">
        <f>"54501"</f>
        <v>54501</v>
      </c>
      <c r="C45235" s="1">
        <v>9.5535968154677195E-4</v>
      </c>
      <c r="D45235" s="1">
        <v>0</v>
      </c>
      <c r="E45235" s="1">
        <v>0</v>
      </c>
      <c r="F45235" s="1">
        <v>8.7315364385726004E-4</v>
      </c>
    </row>
    <row r="45236" spans="1:6" x14ac:dyDescent="0.25">
      <c r="A45236" s="2" t="str">
        <f t="shared" si="1425"/>
        <v>48140</v>
      </c>
      <c r="B45236" s="2" t="str">
        <f>"54479"</f>
        <v>54479</v>
      </c>
      <c r="C45236" s="1">
        <v>1.48194483935172E-2</v>
      </c>
      <c r="D45236" s="1">
        <v>9.2421441774491603E-3</v>
      </c>
      <c r="E45236" s="1">
        <v>1.4181349376880099E-2</v>
      </c>
      <c r="F45236" s="1">
        <v>1.4459008554826701E-2</v>
      </c>
    </row>
    <row r="45237" spans="1:6" x14ac:dyDescent="0.25">
      <c r="A45237" s="2" t="str">
        <f t="shared" si="1425"/>
        <v>48140</v>
      </c>
      <c r="B45237" s="2" t="str">
        <f>"54471"</f>
        <v>54471</v>
      </c>
      <c r="C45237" s="1">
        <v>1.6150127949957301E-2</v>
      </c>
      <c r="D45237" s="1">
        <v>4.8731305662913704E-3</v>
      </c>
      <c r="E45237" s="1">
        <v>4.2973785990545698E-4</v>
      </c>
      <c r="F45237" s="1">
        <v>1.50722950427741E-2</v>
      </c>
    </row>
    <row r="45238" spans="1:6" x14ac:dyDescent="0.25">
      <c r="A45238" s="2" t="str">
        <f t="shared" si="1425"/>
        <v>48140</v>
      </c>
      <c r="B45238" s="2" t="str">
        <f>"54487"</f>
        <v>54487</v>
      </c>
      <c r="C45238" s="1">
        <v>5.6491327836224001E-2</v>
      </c>
      <c r="D45238" s="1">
        <v>6.0662073601075402E-2</v>
      </c>
      <c r="E45238" s="1">
        <v>4.2114310270734798E-2</v>
      </c>
      <c r="F45238" s="1">
        <v>5.6401567518684401E-2</v>
      </c>
    </row>
    <row r="45239" spans="1:6" x14ac:dyDescent="0.25">
      <c r="A45239" s="2" t="str">
        <f t="shared" si="1425"/>
        <v>48140</v>
      </c>
      <c r="B45239" s="2" t="str">
        <f>"54476"</f>
        <v>54476</v>
      </c>
      <c r="C45239" s="1">
        <v>0.101927779357406</v>
      </c>
      <c r="D45239" s="1">
        <v>0.13762392875147</v>
      </c>
      <c r="E45239" s="1">
        <v>0.24452084228620499</v>
      </c>
      <c r="F45239" s="1">
        <v>0.10758500254669801</v>
      </c>
    </row>
    <row r="45240" spans="1:6" x14ac:dyDescent="0.25">
      <c r="A45240" s="2" t="str">
        <f t="shared" si="1425"/>
        <v>48140</v>
      </c>
      <c r="B45240" s="2" t="str">
        <f>"54412"</f>
        <v>54412</v>
      </c>
      <c r="C45240" s="1">
        <v>1.9448393517202101E-3</v>
      </c>
      <c r="D45240" s="1">
        <v>6.7215594017812103E-4</v>
      </c>
      <c r="E45240" s="1">
        <v>4.2973785990545698E-4</v>
      </c>
      <c r="F45240" s="1">
        <v>1.82946477760568E-3</v>
      </c>
    </row>
    <row r="45241" spans="1:6" x14ac:dyDescent="0.25">
      <c r="A45241" s="2" t="str">
        <f t="shared" si="1425"/>
        <v>48140</v>
      </c>
      <c r="B45241" s="2" t="str">
        <f>"54564"</f>
        <v>54564</v>
      </c>
      <c r="C45241" s="1">
        <v>1.8652260449246499E-3</v>
      </c>
      <c r="D45241" s="1">
        <v>8.4019492522265104E-4</v>
      </c>
      <c r="E45241" s="1">
        <v>0</v>
      </c>
      <c r="F45241" s="1">
        <v>1.75670197395091E-3</v>
      </c>
    </row>
    <row r="45242" spans="1:6" x14ac:dyDescent="0.25">
      <c r="A45242" s="2" t="str">
        <f t="shared" si="1425"/>
        <v>48140</v>
      </c>
      <c r="B45242" s="2" t="str">
        <f>"54427"</f>
        <v>54427</v>
      </c>
      <c r="C45242" s="1">
        <v>7.2220642593119099E-3</v>
      </c>
      <c r="D45242" s="1">
        <v>1.0082339102671801E-3</v>
      </c>
      <c r="E45242" s="1">
        <v>0</v>
      </c>
      <c r="F45242" s="1">
        <v>6.6629938775298004E-3</v>
      </c>
    </row>
    <row r="45243" spans="1:6" x14ac:dyDescent="0.25">
      <c r="A45243" s="2" t="str">
        <f t="shared" si="1425"/>
        <v>48140</v>
      </c>
      <c r="B45243" s="2" t="str">
        <f>"54417"</f>
        <v>54417</v>
      </c>
      <c r="C45243" s="1">
        <v>3.7531987489337502E-4</v>
      </c>
      <c r="D45243" s="1">
        <v>0</v>
      </c>
      <c r="E45243" s="1">
        <v>4.2973785990545698E-4</v>
      </c>
      <c r="F45243" s="1">
        <v>3.5341933203746198E-4</v>
      </c>
    </row>
    <row r="45244" spans="1:6" x14ac:dyDescent="0.25">
      <c r="A45244" s="2" t="str">
        <f t="shared" si="1425"/>
        <v>48140</v>
      </c>
      <c r="B45244" s="2" t="str">
        <f>"54408"</f>
        <v>54408</v>
      </c>
      <c r="C45244" s="1">
        <v>5.73215808928063E-3</v>
      </c>
      <c r="D45244" s="1">
        <v>2.0164678205343602E-3</v>
      </c>
      <c r="E45244" s="1">
        <v>0</v>
      </c>
      <c r="F45244" s="1">
        <v>5.3636580979803099E-3</v>
      </c>
    </row>
    <row r="45245" spans="1:6" x14ac:dyDescent="0.25">
      <c r="A45245" s="2" t="str">
        <f t="shared" si="1425"/>
        <v>48140</v>
      </c>
      <c r="B45245" s="2" t="str">
        <f>"54403"</f>
        <v>54403</v>
      </c>
      <c r="C45245" s="1">
        <v>0.15045777651407399</v>
      </c>
      <c r="D45245" s="1">
        <v>0.164510166358595</v>
      </c>
      <c r="E45245" s="1">
        <v>0.155565105285775</v>
      </c>
      <c r="F45245" s="1">
        <v>0.151450578464289</v>
      </c>
    </row>
    <row r="45246" spans="1:6" x14ac:dyDescent="0.25">
      <c r="A45246" s="2" t="str">
        <f t="shared" si="1425"/>
        <v>48140</v>
      </c>
      <c r="B45246" s="2" t="str">
        <f>"54532"</f>
        <v>54532</v>
      </c>
      <c r="C45246" s="1">
        <v>0</v>
      </c>
      <c r="D45246" s="1">
        <v>0</v>
      </c>
      <c r="E45246" s="1">
        <v>4.2973785990545698E-4</v>
      </c>
      <c r="F45246" s="1">
        <v>1.03946862363959E-5</v>
      </c>
    </row>
    <row r="45247" spans="1:6" x14ac:dyDescent="0.25">
      <c r="A45247" s="2" t="str">
        <f t="shared" si="1425"/>
        <v>48140</v>
      </c>
      <c r="B45247" s="2" t="str">
        <f>"54435"</f>
        <v>54435</v>
      </c>
      <c r="C45247" s="1">
        <v>1.07250497583167E-2</v>
      </c>
      <c r="D45247" s="1">
        <v>1.8484288354898299E-3</v>
      </c>
      <c r="E45247" s="1">
        <v>1.28921357971637E-3</v>
      </c>
      <c r="F45247" s="1">
        <v>9.9477147282309199E-3</v>
      </c>
    </row>
    <row r="45248" spans="1:6" x14ac:dyDescent="0.25">
      <c r="A45248" s="2" t="str">
        <f t="shared" si="1425"/>
        <v>48140</v>
      </c>
      <c r="B45248" s="2" t="str">
        <f>"54451"</f>
        <v>54451</v>
      </c>
      <c r="C45248" s="1">
        <v>2.6158657947113998E-4</v>
      </c>
      <c r="D45248" s="1">
        <v>0</v>
      </c>
      <c r="E45248" s="1">
        <v>0</v>
      </c>
      <c r="F45248" s="1">
        <v>2.3907778343710599E-4</v>
      </c>
    </row>
    <row r="45249" spans="1:6" x14ac:dyDescent="0.25">
      <c r="A45249" s="2" t="str">
        <f t="shared" si="1425"/>
        <v>48140</v>
      </c>
      <c r="B45249" s="2" t="str">
        <f>"54409"</f>
        <v>54409</v>
      </c>
      <c r="C45249" s="1">
        <v>8.8711970429343099E-4</v>
      </c>
      <c r="D45249" s="1">
        <v>5.0411695513359004E-4</v>
      </c>
      <c r="E45249" s="1">
        <v>0</v>
      </c>
      <c r="F45249" s="1">
        <v>8.4196958514807195E-4</v>
      </c>
    </row>
    <row r="45250" spans="1:6" x14ac:dyDescent="0.25">
      <c r="A45250" s="2" t="str">
        <f t="shared" si="1425"/>
        <v>48140</v>
      </c>
      <c r="B45250" s="2" t="str">
        <f>"54401"</f>
        <v>54401</v>
      </c>
      <c r="C45250" s="1">
        <v>0.16721069092976901</v>
      </c>
      <c r="D45250" s="1">
        <v>0.238951436733322</v>
      </c>
      <c r="E45250" s="1">
        <v>0.22819080360979799</v>
      </c>
      <c r="F45250" s="1">
        <v>0.17312349926717399</v>
      </c>
    </row>
    <row r="45251" spans="1:6" x14ac:dyDescent="0.25">
      <c r="A45251" s="2" t="str">
        <f t="shared" si="1425"/>
        <v>48140</v>
      </c>
      <c r="B45251" s="2" t="str">
        <f>"54499"</f>
        <v>54499</v>
      </c>
      <c r="C45251" s="1">
        <v>2.8888257037247601E-3</v>
      </c>
      <c r="D45251" s="1">
        <v>8.4019492522265104E-4</v>
      </c>
      <c r="E45251" s="1">
        <v>0</v>
      </c>
      <c r="F45251" s="1">
        <v>2.6922237352265499E-3</v>
      </c>
    </row>
    <row r="45252" spans="1:6" x14ac:dyDescent="0.25">
      <c r="A45252" s="2" t="str">
        <f t="shared" si="1425"/>
        <v>48140</v>
      </c>
      <c r="B45252" s="2" t="str">
        <f>"54480"</f>
        <v>54480</v>
      </c>
      <c r="C45252" s="1">
        <v>1.81973272675575E-4</v>
      </c>
      <c r="D45252" s="1">
        <v>1.6803898504453001E-4</v>
      </c>
      <c r="E45252" s="1">
        <v>0</v>
      </c>
      <c r="F45252" s="1">
        <v>1.7670966601873099E-4</v>
      </c>
    </row>
    <row r="45253" spans="1:6" x14ac:dyDescent="0.25">
      <c r="A45253" s="2" t="str">
        <f t="shared" si="1425"/>
        <v>48140</v>
      </c>
      <c r="B45253" s="2" t="str">
        <f>"54473"</f>
        <v>54473</v>
      </c>
      <c r="C45253" s="1">
        <v>3.8896787034404302E-3</v>
      </c>
      <c r="D45253" s="1">
        <v>3.3607797008906003E-4</v>
      </c>
      <c r="E45253" s="1">
        <v>0</v>
      </c>
      <c r="F45253" s="1">
        <v>3.5757720653201998E-3</v>
      </c>
    </row>
    <row r="45254" spans="1:6" x14ac:dyDescent="0.25">
      <c r="A45254" s="2" t="str">
        <f t="shared" si="1425"/>
        <v>48140</v>
      </c>
      <c r="B45254" s="2" t="str">
        <f>"54429"</f>
        <v>54429</v>
      </c>
      <c r="C45254" s="1">
        <v>0</v>
      </c>
      <c r="D45254" s="1">
        <v>0</v>
      </c>
      <c r="E45254" s="1">
        <v>4.2973785990545698E-4</v>
      </c>
      <c r="F45254" s="1">
        <v>1.03946862363959E-5</v>
      </c>
    </row>
    <row r="45255" spans="1:6" x14ac:dyDescent="0.25">
      <c r="A45255" s="2" t="str">
        <f t="shared" si="1425"/>
        <v>48140</v>
      </c>
      <c r="B45255" s="2" t="str">
        <f>"54425"</f>
        <v>54425</v>
      </c>
      <c r="C45255" s="1">
        <v>1.6718794427068499E-3</v>
      </c>
      <c r="D45255" s="1">
        <v>1.0082339102671801E-3</v>
      </c>
      <c r="E45255" s="1">
        <v>0</v>
      </c>
      <c r="F45255" s="1">
        <v>1.59038699416858E-3</v>
      </c>
    </row>
    <row r="45256" spans="1:6" x14ac:dyDescent="0.25">
      <c r="A45256" s="2" t="str">
        <f t="shared" si="1425"/>
        <v>48140</v>
      </c>
      <c r="B45256" s="2" t="str">
        <f>"54442"</f>
        <v>54442</v>
      </c>
      <c r="C45256" s="1">
        <v>6.5510378163207202E-3</v>
      </c>
      <c r="D45256" s="1">
        <v>1.6803898504452999E-3</v>
      </c>
      <c r="E45256" s="1">
        <v>4.2973785990545698E-4</v>
      </c>
      <c r="F45256" s="1">
        <v>6.1016808207644199E-3</v>
      </c>
    </row>
    <row r="45257" spans="1:6" x14ac:dyDescent="0.25">
      <c r="A45257" s="2" t="str">
        <f t="shared" si="1425"/>
        <v>48140</v>
      </c>
      <c r="B45257" s="2" t="str">
        <f>"54443"</f>
        <v>54443</v>
      </c>
      <c r="C45257" s="1">
        <v>3.6394654535115099E-4</v>
      </c>
      <c r="D45257" s="1">
        <v>0</v>
      </c>
      <c r="E45257" s="1">
        <v>0</v>
      </c>
      <c r="F45257" s="1">
        <v>3.3262995956466999E-4</v>
      </c>
    </row>
    <row r="45258" spans="1:6" x14ac:dyDescent="0.25">
      <c r="A45258" s="2" t="str">
        <f t="shared" si="1425"/>
        <v>48140</v>
      </c>
      <c r="B45258" s="2" t="str">
        <f>"54440"</f>
        <v>54440</v>
      </c>
      <c r="C45258" s="1">
        <v>2.8137617287460899E-2</v>
      </c>
      <c r="D45258" s="1">
        <v>5.5452865064695E-3</v>
      </c>
      <c r="E45258" s="1">
        <v>3.8676407391491099E-3</v>
      </c>
      <c r="F45258" s="1">
        <v>2.6153030570772201E-2</v>
      </c>
    </row>
    <row r="45259" spans="1:6" x14ac:dyDescent="0.25">
      <c r="A45259" s="2" t="str">
        <f t="shared" si="1425"/>
        <v>48140</v>
      </c>
      <c r="B45259" s="2" t="str">
        <f>"54402"</f>
        <v>54402</v>
      </c>
      <c r="C45259" s="1">
        <v>9.9175433608188705E-3</v>
      </c>
      <c r="D45259" s="1">
        <v>7.9146361955973701E-2</v>
      </c>
      <c r="E45259" s="1">
        <v>8.5947571981091504E-4</v>
      </c>
      <c r="F45259" s="1">
        <v>1.39808529879525E-2</v>
      </c>
    </row>
    <row r="45260" spans="1:6" x14ac:dyDescent="0.25">
      <c r="A45260" s="2" t="str">
        <f t="shared" si="1425"/>
        <v>48140</v>
      </c>
      <c r="B45260" s="2" t="str">
        <f>"54488"</f>
        <v>54488</v>
      </c>
      <c r="C45260" s="1">
        <v>2.43389252203582E-3</v>
      </c>
      <c r="D45260" s="1">
        <v>5.0411695513359004E-4</v>
      </c>
      <c r="E45260" s="1">
        <v>8.5947571981091504E-4</v>
      </c>
      <c r="F45260" s="1">
        <v>2.2764362857707098E-3</v>
      </c>
    </row>
    <row r="45261" spans="1:6" x14ac:dyDescent="0.25">
      <c r="A45261" s="2" t="str">
        <f t="shared" si="1425"/>
        <v>48140</v>
      </c>
      <c r="B45261" s="2" t="str">
        <f>"54459"</f>
        <v>54459</v>
      </c>
      <c r="C45261" s="1">
        <v>5.6866647711117401E-5</v>
      </c>
      <c r="D45261" s="1">
        <v>0</v>
      </c>
      <c r="E45261" s="1">
        <v>0</v>
      </c>
      <c r="F45261" s="1">
        <v>5.19734311819797E-5</v>
      </c>
    </row>
    <row r="45262" spans="1:6" x14ac:dyDescent="0.25">
      <c r="A45262" s="2" t="str">
        <f t="shared" si="1425"/>
        <v>48140</v>
      </c>
      <c r="B45262" s="2" t="str">
        <f>"54452"</f>
        <v>54452</v>
      </c>
      <c r="C45262" s="1">
        <v>0.105226044924651</v>
      </c>
      <c r="D45262" s="1">
        <v>9.9311040161317393E-2</v>
      </c>
      <c r="E45262" s="1">
        <v>0.100558659217877</v>
      </c>
      <c r="F45262" s="1">
        <v>0.10474725320416201</v>
      </c>
    </row>
    <row r="45263" spans="1:6" x14ac:dyDescent="0.25">
      <c r="A45263" s="2" t="str">
        <f t="shared" si="1425"/>
        <v>48140</v>
      </c>
      <c r="B45263" s="2" t="str">
        <f>"54421"</f>
        <v>54421</v>
      </c>
      <c r="C45263" s="1">
        <v>7.0855843048052303E-3</v>
      </c>
      <c r="D45263" s="1">
        <v>5.20920853638044E-3</v>
      </c>
      <c r="E45263" s="1">
        <v>4.29737859905457E-3</v>
      </c>
      <c r="F45263" s="1">
        <v>6.9020716609669098E-3</v>
      </c>
    </row>
    <row r="45264" spans="1:6" x14ac:dyDescent="0.25">
      <c r="A45264" s="2" t="str">
        <f t="shared" si="1425"/>
        <v>48140</v>
      </c>
      <c r="B45264" s="2" t="str">
        <f>"54449"</f>
        <v>54449</v>
      </c>
      <c r="C45264" s="1">
        <v>1.76969007676997E-2</v>
      </c>
      <c r="D45264" s="1">
        <v>1.5627625609141299E-2</v>
      </c>
      <c r="E45264" s="1">
        <v>1.9338203695745501E-2</v>
      </c>
      <c r="F45264" s="1">
        <v>1.7608598484454702E-2</v>
      </c>
    </row>
    <row r="45265" spans="1:6" x14ac:dyDescent="0.25">
      <c r="A45265" s="2" t="str">
        <f t="shared" si="1425"/>
        <v>48140</v>
      </c>
      <c r="B45265" s="2" t="str">
        <f>"54414"</f>
        <v>54414</v>
      </c>
      <c r="C45265" s="1">
        <v>5.3909582030139298E-3</v>
      </c>
      <c r="D45265" s="1">
        <v>5.0411695513359004E-4</v>
      </c>
      <c r="E45265" s="1">
        <v>1.7189514396218301E-3</v>
      </c>
      <c r="F45265" s="1">
        <v>4.9998440797064496E-3</v>
      </c>
    </row>
    <row r="45266" spans="1:6" x14ac:dyDescent="0.25">
      <c r="A45266" s="2" t="str">
        <f t="shared" si="1425"/>
        <v>48140</v>
      </c>
      <c r="B45266" s="2" t="str">
        <f>"54484"</f>
        <v>54484</v>
      </c>
      <c r="C45266" s="1">
        <v>4.7153824282058499E-2</v>
      </c>
      <c r="D45266" s="1">
        <v>2.5037808771635001E-2</v>
      </c>
      <c r="E45266" s="1">
        <v>2.1486892995272799E-2</v>
      </c>
      <c r="F45266" s="1">
        <v>4.5164911697140403E-2</v>
      </c>
    </row>
    <row r="45267" spans="1:6" x14ac:dyDescent="0.25">
      <c r="A45267" s="2" t="str">
        <f t="shared" si="1425"/>
        <v>48140</v>
      </c>
      <c r="B45267" s="2" t="str">
        <f>"54474"</f>
        <v>54474</v>
      </c>
      <c r="C45267" s="1">
        <v>2.11657662780779E-2</v>
      </c>
      <c r="D45267" s="1">
        <v>3.3607797008906003E-2</v>
      </c>
      <c r="E45267" s="1">
        <v>2.5784271594327401E-2</v>
      </c>
      <c r="F45267" s="1">
        <v>2.2047129507395801E-2</v>
      </c>
    </row>
    <row r="45268" spans="1:6" x14ac:dyDescent="0.25">
      <c r="A45268" s="2" t="str">
        <f t="shared" si="1425"/>
        <v>48140</v>
      </c>
      <c r="B45268" s="2" t="str">
        <f>"54455"</f>
        <v>54455</v>
      </c>
      <c r="C45268" s="1">
        <v>0.119272106909297</v>
      </c>
      <c r="D45268" s="1">
        <v>6.7047555032767603E-2</v>
      </c>
      <c r="E45268" s="1">
        <v>9.4112591319295197E-2</v>
      </c>
      <c r="F45268" s="1">
        <v>0.115432990655177</v>
      </c>
    </row>
    <row r="45269" spans="1:6" x14ac:dyDescent="0.25">
      <c r="A45269" s="2" t="str">
        <f t="shared" si="1425"/>
        <v>48140</v>
      </c>
      <c r="B45269" s="2" t="str">
        <f>"54448"</f>
        <v>54448</v>
      </c>
      <c r="C45269" s="1">
        <v>2.7057150980949601E-2</v>
      </c>
      <c r="D45269" s="1">
        <v>2.0668795160477201E-2</v>
      </c>
      <c r="E45269" s="1">
        <v>1.5040825096691E-2</v>
      </c>
      <c r="F45269" s="1">
        <v>2.6371318981736499E-2</v>
      </c>
    </row>
    <row r="45270" spans="1:6" x14ac:dyDescent="0.25">
      <c r="A45270" s="2" t="str">
        <f t="shared" si="1425"/>
        <v>48140</v>
      </c>
      <c r="B45270" s="2" t="str">
        <f>"54426"</f>
        <v>54426</v>
      </c>
      <c r="C45270" s="1">
        <v>2.8820017059994301E-2</v>
      </c>
      <c r="D45270" s="1">
        <v>9.7462611325827495E-3</v>
      </c>
      <c r="E45270" s="1">
        <v>1.1173184357541799E-2</v>
      </c>
      <c r="F45270" s="1">
        <v>2.72132885668846E-2</v>
      </c>
    </row>
    <row r="45271" spans="1:6" x14ac:dyDescent="0.25">
      <c r="A45271" s="2" t="str">
        <f t="shared" si="1425"/>
        <v>48140</v>
      </c>
      <c r="B45271" s="2" t="str">
        <f>"54423"</f>
        <v>54423</v>
      </c>
      <c r="C45271" s="1">
        <v>6.8239977253340894E-5</v>
      </c>
      <c r="D45271" s="1">
        <v>0</v>
      </c>
      <c r="E45271" s="1">
        <v>0</v>
      </c>
      <c r="F45271" s="1">
        <v>6.2368117418375705E-5</v>
      </c>
    </row>
    <row r="45272" spans="1:6" x14ac:dyDescent="0.25">
      <c r="A45272" s="2" t="str">
        <f t="shared" si="1425"/>
        <v>48140</v>
      </c>
      <c r="B45272" s="2" t="str">
        <f>"54411"</f>
        <v>54411</v>
      </c>
      <c r="C45272" s="1">
        <v>2.25646858117713E-2</v>
      </c>
      <c r="D45272" s="1">
        <v>8.5699882372710402E-3</v>
      </c>
      <c r="E45272" s="1">
        <v>8.1650193382036898E-3</v>
      </c>
      <c r="F45272" s="1">
        <v>2.1350685529557201E-2</v>
      </c>
    </row>
    <row r="45273" spans="1:6" x14ac:dyDescent="0.25">
      <c r="A45273" s="2" t="str">
        <f t="shared" si="1425"/>
        <v>48140</v>
      </c>
      <c r="B45273" s="2" t="str">
        <f>"54405"</f>
        <v>54405</v>
      </c>
      <c r="C45273" s="1">
        <v>5.3795848734717001E-3</v>
      </c>
      <c r="D45273" s="1">
        <v>2.6886237607124802E-3</v>
      </c>
      <c r="E45273" s="1">
        <v>4.29737859905457E-3</v>
      </c>
      <c r="F45273" s="1">
        <v>5.1869484319615796E-3</v>
      </c>
    </row>
    <row r="45274" spans="1:6" x14ac:dyDescent="0.25">
      <c r="A45274" s="2" t="str">
        <f t="shared" ref="A45274:A45302" si="1426">"31860"</f>
        <v>31860</v>
      </c>
      <c r="B45274" s="2" t="str">
        <f>"56021"</f>
        <v>56021</v>
      </c>
      <c r="C45274" s="1">
        <v>1.03154532144283E-2</v>
      </c>
      <c r="D45274" s="1">
        <v>5.3518865400053496E-3</v>
      </c>
      <c r="E45274" s="1">
        <v>4.27578834847675E-3</v>
      </c>
      <c r="F45274" s="1">
        <v>9.7265517105314999E-3</v>
      </c>
    </row>
    <row r="45275" spans="1:6" x14ac:dyDescent="0.25">
      <c r="A45275" s="2" t="str">
        <f t="shared" si="1426"/>
        <v>31860</v>
      </c>
      <c r="B45275" s="2" t="str">
        <f>"56010"</f>
        <v>56010</v>
      </c>
      <c r="C45275" s="1">
        <v>1.23563600869603E-2</v>
      </c>
      <c r="D45275" s="1">
        <v>9.9009900990098994E-3</v>
      </c>
      <c r="E45275" s="1">
        <v>4.27578834847675E-3</v>
      </c>
      <c r="F45275" s="1">
        <v>1.18770469163082E-2</v>
      </c>
    </row>
    <row r="45276" spans="1:6" x14ac:dyDescent="0.25">
      <c r="A45276" s="2" t="str">
        <f t="shared" si="1426"/>
        <v>31860</v>
      </c>
      <c r="B45276" s="2" t="str">
        <f>"56082"</f>
        <v>56082</v>
      </c>
      <c r="C45276" s="1">
        <v>0.114667908957806</v>
      </c>
      <c r="D45276" s="1">
        <v>0.105164570511105</v>
      </c>
      <c r="E45276" s="1">
        <v>0.105291288081239</v>
      </c>
      <c r="F45276" s="1">
        <v>0.113621118257507</v>
      </c>
    </row>
    <row r="45277" spans="1:6" x14ac:dyDescent="0.25">
      <c r="A45277" s="2" t="str">
        <f t="shared" si="1426"/>
        <v>31860</v>
      </c>
      <c r="B45277" s="2" t="str">
        <f>"56065"</f>
        <v>56065</v>
      </c>
      <c r="C45277" s="1">
        <v>2.70863836017569E-2</v>
      </c>
      <c r="D45277" s="1">
        <v>1.09713674070109E-2</v>
      </c>
      <c r="E45277" s="1">
        <v>1.1223944414751399E-2</v>
      </c>
      <c r="F45277" s="1">
        <v>2.5312709623959199E-2</v>
      </c>
    </row>
    <row r="45278" spans="1:6" x14ac:dyDescent="0.25">
      <c r="A45278" s="2" t="str">
        <f t="shared" si="1426"/>
        <v>31860</v>
      </c>
      <c r="B45278" s="2" t="str">
        <f>"56034"</f>
        <v>56034</v>
      </c>
      <c r="C45278" s="1">
        <v>4.8582457074404298E-3</v>
      </c>
      <c r="D45278" s="1">
        <v>2.67594327000267E-3</v>
      </c>
      <c r="E45278" s="1">
        <v>5.34473543559593E-4</v>
      </c>
      <c r="F45278" s="1">
        <v>4.5377421773270697E-3</v>
      </c>
    </row>
    <row r="45279" spans="1:6" x14ac:dyDescent="0.25">
      <c r="A45279" s="2" t="str">
        <f t="shared" si="1426"/>
        <v>31860</v>
      </c>
      <c r="B45279" s="2" t="str">
        <f>"56001"</f>
        <v>56001</v>
      </c>
      <c r="C45279" s="1">
        <v>0.49647278051377602</v>
      </c>
      <c r="D45279" s="1">
        <v>0.72089911693872</v>
      </c>
      <c r="E45279" s="1">
        <v>0.64190272581507202</v>
      </c>
      <c r="F45279" s="1">
        <v>0.51838772047508097</v>
      </c>
    </row>
    <row r="45280" spans="1:6" x14ac:dyDescent="0.25">
      <c r="A45280" s="2" t="str">
        <f t="shared" si="1426"/>
        <v>31860</v>
      </c>
      <c r="B45280" s="2" t="str">
        <f>"56080"</f>
        <v>56080</v>
      </c>
      <c r="C45280" s="1">
        <v>3.1057278495052998E-4</v>
      </c>
      <c r="D45280" s="1">
        <v>0</v>
      </c>
      <c r="E45280" s="1">
        <v>5.34473543559593E-4</v>
      </c>
      <c r="F45280" s="1">
        <v>2.9593970721698203E-4</v>
      </c>
    </row>
    <row r="45281" spans="1:6" x14ac:dyDescent="0.25">
      <c r="A45281" s="2" t="str">
        <f t="shared" si="1426"/>
        <v>31860</v>
      </c>
      <c r="B45281" s="2" t="str">
        <f>"56078"</f>
        <v>56078</v>
      </c>
      <c r="C45281" s="1">
        <v>3.3941168641022199E-3</v>
      </c>
      <c r="D45281" s="1">
        <v>2.9435375970029401E-3</v>
      </c>
      <c r="E45281" s="1">
        <v>5.34473543559593E-4</v>
      </c>
      <c r="F45281" s="1">
        <v>3.25533677938681E-3</v>
      </c>
    </row>
    <row r="45282" spans="1:6" x14ac:dyDescent="0.25">
      <c r="A45282" s="2" t="str">
        <f t="shared" si="1426"/>
        <v>31860</v>
      </c>
      <c r="B45282" s="2" t="str">
        <f>"56090"</f>
        <v>56090</v>
      </c>
      <c r="C45282" s="1">
        <v>6.6551311060827796E-3</v>
      </c>
      <c r="D45282" s="1">
        <v>7.7602354830077604E-3</v>
      </c>
      <c r="E45282" s="1">
        <v>5.34473543559593E-4</v>
      </c>
      <c r="F45282" s="1">
        <v>6.5106735587736201E-3</v>
      </c>
    </row>
    <row r="45283" spans="1:6" x14ac:dyDescent="0.25">
      <c r="A45283" s="2" t="str">
        <f t="shared" si="1426"/>
        <v>31860</v>
      </c>
      <c r="B45283" s="2" t="str">
        <f>"56074"</f>
        <v>56074</v>
      </c>
      <c r="C45283" s="1">
        <v>2.0675273969563802E-2</v>
      </c>
      <c r="D45283" s="1">
        <v>6.9574525020069502E-3</v>
      </c>
      <c r="E45283" s="1">
        <v>1.8172100481026101E-2</v>
      </c>
      <c r="F45283" s="1">
        <v>1.9571479303949799E-2</v>
      </c>
    </row>
    <row r="45284" spans="1:6" x14ac:dyDescent="0.25">
      <c r="A45284" s="2" t="str">
        <f t="shared" si="1426"/>
        <v>31860</v>
      </c>
      <c r="B45284" s="2" t="str">
        <f>"56041"</f>
        <v>56041</v>
      </c>
      <c r="C45284" s="1">
        <v>6.6551311060827805E-5</v>
      </c>
      <c r="D45284" s="1">
        <v>0</v>
      </c>
      <c r="E45284" s="1">
        <v>0</v>
      </c>
      <c r="F45284" s="1">
        <v>5.9187941443396501E-5</v>
      </c>
    </row>
    <row r="45285" spans="1:6" x14ac:dyDescent="0.25">
      <c r="A45285" s="2" t="str">
        <f t="shared" si="1426"/>
        <v>31860</v>
      </c>
      <c r="B45285" s="2" t="str">
        <f>"56063"</f>
        <v>56063</v>
      </c>
      <c r="C45285" s="1">
        <v>2.56222547584187E-2</v>
      </c>
      <c r="D45285" s="1">
        <v>3.74632057800374E-3</v>
      </c>
      <c r="E45285" s="1">
        <v>1.6034206306787799E-2</v>
      </c>
      <c r="F45285" s="1">
        <v>2.3655447263544099E-2</v>
      </c>
    </row>
    <row r="45286" spans="1:6" x14ac:dyDescent="0.25">
      <c r="A45286" s="2" t="str">
        <f t="shared" si="1426"/>
        <v>31860</v>
      </c>
      <c r="B45286" s="2" t="str">
        <f>"56048"</f>
        <v>56048</v>
      </c>
      <c r="C45286" s="1">
        <v>4.4145703003682498E-3</v>
      </c>
      <c r="D45286" s="1">
        <v>1.33797163500133E-3</v>
      </c>
      <c r="E45286" s="1">
        <v>0</v>
      </c>
      <c r="F45286" s="1">
        <v>4.0247800181509603E-3</v>
      </c>
    </row>
    <row r="45287" spans="1:6" x14ac:dyDescent="0.25">
      <c r="A45287" s="2" t="str">
        <f t="shared" si="1426"/>
        <v>31860</v>
      </c>
      <c r="B45287" s="2" t="str">
        <f>"56073"</f>
        <v>56073</v>
      </c>
      <c r="C45287" s="1">
        <v>1.3376813523226399E-2</v>
      </c>
      <c r="D45287" s="1">
        <v>3.4787262510034699E-3</v>
      </c>
      <c r="E45287" s="1">
        <v>0</v>
      </c>
      <c r="F45287" s="1">
        <v>1.21532573097107E-2</v>
      </c>
    </row>
    <row r="45288" spans="1:6" x14ac:dyDescent="0.25">
      <c r="A45288" s="2" t="str">
        <f t="shared" si="1426"/>
        <v>31860</v>
      </c>
      <c r="B45288" s="2" t="str">
        <f>"56088"</f>
        <v>56088</v>
      </c>
      <c r="C45288" s="1">
        <v>2.44021473889702E-4</v>
      </c>
      <c r="D45288" s="1">
        <v>0</v>
      </c>
      <c r="E45288" s="1">
        <v>0</v>
      </c>
      <c r="F45288" s="1">
        <v>2.1702245195911999E-4</v>
      </c>
    </row>
    <row r="45289" spans="1:6" x14ac:dyDescent="0.25">
      <c r="A45289" s="2" t="str">
        <f t="shared" si="1426"/>
        <v>31860</v>
      </c>
      <c r="B45289" s="2" t="str">
        <f>"56068"</f>
        <v>56068</v>
      </c>
      <c r="C45289" s="1">
        <v>1.61941523581347E-3</v>
      </c>
      <c r="D45289" s="1">
        <v>5.3518865400053496E-4</v>
      </c>
      <c r="E45289" s="1">
        <v>0</v>
      </c>
      <c r="F45289" s="1">
        <v>1.47969853608491E-3</v>
      </c>
    </row>
    <row r="45290" spans="1:6" x14ac:dyDescent="0.25">
      <c r="A45290" s="2" t="str">
        <f t="shared" si="1426"/>
        <v>31860</v>
      </c>
      <c r="B45290" s="2" t="str">
        <f>"55335"</f>
        <v>55335</v>
      </c>
      <c r="C45290" s="1">
        <v>1.4863126136918201E-3</v>
      </c>
      <c r="D45290" s="1">
        <v>2.6759432700026699E-4</v>
      </c>
      <c r="E45290" s="1">
        <v>0</v>
      </c>
      <c r="F45290" s="1">
        <v>1.34159333938365E-3</v>
      </c>
    </row>
    <row r="45291" spans="1:6" x14ac:dyDescent="0.25">
      <c r="A45291" s="2" t="str">
        <f t="shared" si="1426"/>
        <v>31860</v>
      </c>
      <c r="B45291" s="2" t="str">
        <f>"56024"</f>
        <v>56024</v>
      </c>
      <c r="C45291" s="1">
        <v>3.3874617329961401E-2</v>
      </c>
      <c r="D45291" s="1">
        <v>7.7602354830077604E-3</v>
      </c>
      <c r="E45291" s="1">
        <v>1.97755211117049E-2</v>
      </c>
      <c r="F45291" s="1">
        <v>3.1428796906443499E-2</v>
      </c>
    </row>
    <row r="45292" spans="1:6" x14ac:dyDescent="0.25">
      <c r="A45292" s="2" t="str">
        <f t="shared" si="1426"/>
        <v>31860</v>
      </c>
      <c r="B45292" s="2" t="str">
        <f>"56060"</f>
        <v>56060</v>
      </c>
      <c r="C45292" s="1">
        <v>2.66205244243311E-4</v>
      </c>
      <c r="D45292" s="1">
        <v>2.6759432700026699E-4</v>
      </c>
      <c r="E45292" s="1">
        <v>0</v>
      </c>
      <c r="F45292" s="1">
        <v>2.5648107958805102E-4</v>
      </c>
    </row>
    <row r="45293" spans="1:6" x14ac:dyDescent="0.25">
      <c r="A45293" s="2" t="str">
        <f t="shared" si="1426"/>
        <v>31860</v>
      </c>
      <c r="B45293" s="2" t="str">
        <f>"56055"</f>
        <v>56055</v>
      </c>
      <c r="C45293" s="1">
        <v>4.0929056302409103E-2</v>
      </c>
      <c r="D45293" s="1">
        <v>5.6194808670056101E-3</v>
      </c>
      <c r="E45293" s="1">
        <v>7.48262960983431E-3</v>
      </c>
      <c r="F45293" s="1">
        <v>3.7091109971195198E-2</v>
      </c>
    </row>
    <row r="45294" spans="1:6" x14ac:dyDescent="0.25">
      <c r="A45294" s="2" t="str">
        <f t="shared" si="1426"/>
        <v>31860</v>
      </c>
      <c r="B45294" s="2" t="str">
        <f>"56025"</f>
        <v>56025</v>
      </c>
      <c r="C45294" s="1">
        <v>2.2183770353609198E-5</v>
      </c>
      <c r="D45294" s="1">
        <v>0</v>
      </c>
      <c r="E45294" s="1">
        <v>0</v>
      </c>
      <c r="F45294" s="1">
        <v>1.9729313814465499E-5</v>
      </c>
    </row>
    <row r="45295" spans="1:6" x14ac:dyDescent="0.25">
      <c r="A45295" s="2" t="str">
        <f t="shared" si="1426"/>
        <v>31860</v>
      </c>
      <c r="B45295" s="2" t="str">
        <f>"55332"</f>
        <v>55332</v>
      </c>
      <c r="C45295" s="1">
        <v>1.10918851768046E-3</v>
      </c>
      <c r="D45295" s="1">
        <v>5.3518865400053496E-4</v>
      </c>
      <c r="E45295" s="1">
        <v>0</v>
      </c>
      <c r="F45295" s="1">
        <v>1.0259243183522E-3</v>
      </c>
    </row>
    <row r="45296" spans="1:6" x14ac:dyDescent="0.25">
      <c r="A45296" s="2" t="str">
        <f t="shared" si="1426"/>
        <v>31860</v>
      </c>
      <c r="B45296" s="2" t="str">
        <f>"56003"</f>
        <v>56003</v>
      </c>
      <c r="C45296" s="1">
        <v>0.15233595101823499</v>
      </c>
      <c r="D45296" s="1">
        <v>9.5263580412095206E-2</v>
      </c>
      <c r="E45296" s="1">
        <v>0.160876536611437</v>
      </c>
      <c r="F45296" s="1">
        <v>0.14844335714003801</v>
      </c>
    </row>
    <row r="45297" spans="1:6" x14ac:dyDescent="0.25">
      <c r="A45297" s="2" t="str">
        <f t="shared" si="1426"/>
        <v>31860</v>
      </c>
      <c r="B45297" s="2" t="str">
        <f>"56050"</f>
        <v>56050</v>
      </c>
      <c r="C45297" s="1">
        <v>2.44021473889702E-4</v>
      </c>
      <c r="D45297" s="1">
        <v>5.3518865400053496E-4</v>
      </c>
      <c r="E45297" s="1">
        <v>0</v>
      </c>
      <c r="F45297" s="1">
        <v>2.5648107958805102E-4</v>
      </c>
    </row>
    <row r="45298" spans="1:6" x14ac:dyDescent="0.25">
      <c r="A45298" s="2" t="str">
        <f t="shared" si="1426"/>
        <v>31860</v>
      </c>
      <c r="B45298" s="2" t="str">
        <f>"56058"</f>
        <v>56058</v>
      </c>
      <c r="C45298" s="1">
        <v>9.5390212520519903E-4</v>
      </c>
      <c r="D45298" s="1">
        <v>2.6759432700026699E-4</v>
      </c>
      <c r="E45298" s="1">
        <v>0</v>
      </c>
      <c r="F45298" s="1">
        <v>8.6808980783648299E-4</v>
      </c>
    </row>
    <row r="45299" spans="1:6" x14ac:dyDescent="0.25">
      <c r="A45299" s="2" t="str">
        <f t="shared" si="1426"/>
        <v>31860</v>
      </c>
      <c r="B45299" s="2" t="str">
        <f>"56054"</f>
        <v>56054</v>
      </c>
      <c r="C45299" s="1">
        <v>7.8086871644704701E-3</v>
      </c>
      <c r="D45299" s="1">
        <v>3.4787262510034699E-3</v>
      </c>
      <c r="E45299" s="1">
        <v>4.27578834847675E-3</v>
      </c>
      <c r="F45299" s="1">
        <v>7.3590340527956398E-3</v>
      </c>
    </row>
    <row r="45300" spans="1:6" x14ac:dyDescent="0.25">
      <c r="A45300" s="2" t="str">
        <f t="shared" si="1426"/>
        <v>31860</v>
      </c>
      <c r="B45300" s="2" t="str">
        <f>"56062"</f>
        <v>56062</v>
      </c>
      <c r="C45300" s="1">
        <v>2.04090687253205E-3</v>
      </c>
      <c r="D45300" s="1">
        <v>0</v>
      </c>
      <c r="E45300" s="1">
        <v>0</v>
      </c>
      <c r="F45300" s="1">
        <v>1.8150968709308201E-3</v>
      </c>
    </row>
    <row r="45301" spans="1:6" x14ac:dyDescent="0.25">
      <c r="A45301" s="2" t="str">
        <f t="shared" si="1426"/>
        <v>31860</v>
      </c>
      <c r="B45301" s="2" t="str">
        <f>"56037"</f>
        <v>56037</v>
      </c>
      <c r="C45301" s="1">
        <v>1.6460357602378101E-2</v>
      </c>
      <c r="D45301" s="1">
        <v>4.2815092320042797E-3</v>
      </c>
      <c r="E45301" s="1">
        <v>4.27578834847675E-3</v>
      </c>
      <c r="F45301" s="1">
        <v>1.5112654381880501E-2</v>
      </c>
    </row>
    <row r="45302" spans="1:6" x14ac:dyDescent="0.25">
      <c r="A45302" s="2" t="str">
        <f t="shared" si="1426"/>
        <v>31860</v>
      </c>
      <c r="B45302" s="2" t="str">
        <f>"55334"</f>
        <v>55334</v>
      </c>
      <c r="C45302" s="1">
        <v>3.3275655530413901E-4</v>
      </c>
      <c r="D45302" s="1">
        <v>0</v>
      </c>
      <c r="E45302" s="1">
        <v>0</v>
      </c>
      <c r="F45302" s="1">
        <v>2.9593970721698203E-4</v>
      </c>
    </row>
    <row r="45303" spans="1:6" x14ac:dyDescent="0.25">
      <c r="A45303" s="2" t="str">
        <f t="shared" ref="A45303:A45321" si="1427">"10660"</f>
        <v>10660</v>
      </c>
      <c r="B45303" s="2" t="str">
        <f>"56036"</f>
        <v>56036</v>
      </c>
      <c r="C45303" s="1">
        <v>6.0103899519957898E-2</v>
      </c>
      <c r="D45303" s="1">
        <v>2.7346637102734599E-2</v>
      </c>
      <c r="E45303" s="1">
        <v>1.9498607242339799E-2</v>
      </c>
      <c r="F45303" s="1">
        <v>5.6622731839943201E-2</v>
      </c>
    </row>
    <row r="45304" spans="1:6" x14ac:dyDescent="0.25">
      <c r="A45304" s="2" t="str">
        <f t="shared" si="1427"/>
        <v>10660</v>
      </c>
      <c r="B45304" s="2" t="str">
        <f>"55912"</f>
        <v>55912</v>
      </c>
      <c r="C45304" s="1">
        <v>1.55191688038403E-2</v>
      </c>
      <c r="D45304" s="1">
        <v>2.9563932002956302E-3</v>
      </c>
      <c r="E45304" s="1">
        <v>5.5710306406685202E-3</v>
      </c>
      <c r="F45304" s="1">
        <v>1.43034458301318E-2</v>
      </c>
    </row>
    <row r="45305" spans="1:6" x14ac:dyDescent="0.25">
      <c r="A45305" s="2" t="str">
        <f t="shared" si="1427"/>
        <v>10660</v>
      </c>
      <c r="B45305" s="2" t="str">
        <f>"56009"</f>
        <v>56009</v>
      </c>
      <c r="C45305" s="1">
        <v>4.7346616689682298E-2</v>
      </c>
      <c r="D45305" s="1">
        <v>2.7346637102734599E-2</v>
      </c>
      <c r="E45305" s="1">
        <v>1.39275766016713E-2</v>
      </c>
      <c r="F45305" s="1">
        <v>4.50381228204976E-2</v>
      </c>
    </row>
    <row r="45306" spans="1:6" x14ac:dyDescent="0.25">
      <c r="A45306" s="2" t="str">
        <f t="shared" si="1427"/>
        <v>10660</v>
      </c>
      <c r="B45306" s="2" t="str">
        <f>"56051"</f>
        <v>56051</v>
      </c>
      <c r="C45306" s="1">
        <v>6.5759189846781001E-5</v>
      </c>
      <c r="D45306" s="1">
        <v>0</v>
      </c>
      <c r="E45306" s="1">
        <v>0</v>
      </c>
      <c r="F45306" s="1">
        <v>5.9105148058395802E-5</v>
      </c>
    </row>
    <row r="45307" spans="1:6" x14ac:dyDescent="0.25">
      <c r="A45307" s="2" t="str">
        <f t="shared" si="1427"/>
        <v>10660</v>
      </c>
      <c r="B45307" s="2" t="str">
        <f>"56072"</f>
        <v>56072</v>
      </c>
      <c r="C45307" s="1">
        <v>2.3015716446373301E-3</v>
      </c>
      <c r="D45307" s="1">
        <v>0</v>
      </c>
      <c r="E45307" s="1">
        <v>0</v>
      </c>
      <c r="F45307" s="1">
        <v>2.0686801820438499E-3</v>
      </c>
    </row>
    <row r="45308" spans="1:6" x14ac:dyDescent="0.25">
      <c r="A45308" s="2" t="str">
        <f t="shared" si="1427"/>
        <v>10660</v>
      </c>
      <c r="B45308" s="2" t="str">
        <f>"56089"</f>
        <v>56089</v>
      </c>
      <c r="C45308" s="1">
        <v>6.9704741237587896E-3</v>
      </c>
      <c r="D45308" s="1">
        <v>1.4781966001478099E-3</v>
      </c>
      <c r="E45308" s="1">
        <v>2.7855153203342601E-3</v>
      </c>
      <c r="F45308" s="1">
        <v>6.4424611383651501E-3</v>
      </c>
    </row>
    <row r="45309" spans="1:6" x14ac:dyDescent="0.25">
      <c r="A45309" s="2" t="str">
        <f t="shared" si="1427"/>
        <v>10660</v>
      </c>
      <c r="B45309" s="2" t="str">
        <f>"56043"</f>
        <v>56043</v>
      </c>
      <c r="C45309" s="1">
        <v>8.8117314394686608E-3</v>
      </c>
      <c r="D45309" s="1">
        <v>8.1300813008130003E-3</v>
      </c>
      <c r="E45309" s="1">
        <v>2.7855153203342601E-3</v>
      </c>
      <c r="F45309" s="1">
        <v>8.6293516165257891E-3</v>
      </c>
    </row>
    <row r="45310" spans="1:6" x14ac:dyDescent="0.25">
      <c r="A45310" s="2" t="str">
        <f t="shared" si="1427"/>
        <v>10660</v>
      </c>
      <c r="B45310" s="2" t="str">
        <f>"56035"</f>
        <v>56035</v>
      </c>
      <c r="C45310" s="1">
        <v>1.3809429867824E-2</v>
      </c>
      <c r="D45310" s="1">
        <v>0</v>
      </c>
      <c r="E45310" s="1">
        <v>5.5710306406685202E-3</v>
      </c>
      <c r="F45310" s="1">
        <v>1.25302913883799E-2</v>
      </c>
    </row>
    <row r="45311" spans="1:6" x14ac:dyDescent="0.25">
      <c r="A45311" s="2" t="str">
        <f t="shared" si="1427"/>
        <v>10660</v>
      </c>
      <c r="B45311" s="2" t="str">
        <f>"56029"</f>
        <v>56029</v>
      </c>
      <c r="C45311" s="1">
        <v>1.9990793713421402E-2</v>
      </c>
      <c r="D45311" s="1">
        <v>8.8691796008869093E-3</v>
      </c>
      <c r="E45311" s="1">
        <v>1.1142061281337001E-2</v>
      </c>
      <c r="F45311" s="1">
        <v>1.8913647378686602E-2</v>
      </c>
    </row>
    <row r="45312" spans="1:6" x14ac:dyDescent="0.25">
      <c r="A45312" s="2" t="str">
        <f t="shared" si="1427"/>
        <v>10660</v>
      </c>
      <c r="B45312" s="2" t="str">
        <f>"56032"</f>
        <v>56032</v>
      </c>
      <c r="C45312" s="1">
        <v>1.05872295653317E-2</v>
      </c>
      <c r="D45312" s="1">
        <v>0</v>
      </c>
      <c r="E45312" s="1">
        <v>8.3565459610027808E-3</v>
      </c>
      <c r="F45312" s="1">
        <v>9.6932442815769199E-3</v>
      </c>
    </row>
    <row r="45313" spans="1:6" x14ac:dyDescent="0.25">
      <c r="A45313" s="2" t="str">
        <f t="shared" si="1427"/>
        <v>10660</v>
      </c>
      <c r="B45313" s="2" t="str">
        <f>"55917"</f>
        <v>55917</v>
      </c>
      <c r="C45313" s="1">
        <v>5.06345761820214E-3</v>
      </c>
      <c r="D45313" s="1">
        <v>1.4781966001478099E-3</v>
      </c>
      <c r="E45313" s="1">
        <v>0</v>
      </c>
      <c r="F45313" s="1">
        <v>4.6693066966132703E-3</v>
      </c>
    </row>
    <row r="45314" spans="1:6" x14ac:dyDescent="0.25">
      <c r="A45314" s="2" t="str">
        <f t="shared" si="1427"/>
        <v>10660</v>
      </c>
      <c r="B45314" s="2" t="str">
        <f>"56020"</f>
        <v>56020</v>
      </c>
      <c r="C45314" s="1">
        <v>0</v>
      </c>
      <c r="D45314" s="1">
        <v>0</v>
      </c>
      <c r="E45314" s="1">
        <v>2.7855153203342601E-3</v>
      </c>
      <c r="F45314" s="1">
        <v>5.9105148058395802E-5</v>
      </c>
    </row>
    <row r="45315" spans="1:6" x14ac:dyDescent="0.25">
      <c r="A45315" s="2" t="str">
        <f t="shared" si="1427"/>
        <v>10660</v>
      </c>
      <c r="B45315" s="2" t="str">
        <f>"56026"</f>
        <v>56026</v>
      </c>
      <c r="C45315" s="1">
        <v>1.1770894982573801E-2</v>
      </c>
      <c r="D45315" s="1">
        <v>2.2172949002217199E-3</v>
      </c>
      <c r="E45315" s="1">
        <v>0</v>
      </c>
      <c r="F45315" s="1">
        <v>1.0757136946628E-2</v>
      </c>
    </row>
    <row r="45316" spans="1:6" x14ac:dyDescent="0.25">
      <c r="A45316" s="2" t="str">
        <f t="shared" si="1427"/>
        <v>10660</v>
      </c>
      <c r="B45316" s="2" t="str">
        <f>"56045"</f>
        <v>56045</v>
      </c>
      <c r="C45316" s="1">
        <v>2.44624186230025E-2</v>
      </c>
      <c r="D45316" s="1">
        <v>1.55210643015521E-2</v>
      </c>
      <c r="E45316" s="1">
        <v>1.1142061281337001E-2</v>
      </c>
      <c r="F45316" s="1">
        <v>2.34647437791831E-2</v>
      </c>
    </row>
    <row r="45317" spans="1:6" x14ac:dyDescent="0.25">
      <c r="A45317" s="2" t="str">
        <f t="shared" si="1427"/>
        <v>10660</v>
      </c>
      <c r="B45317" s="2" t="str">
        <f>"56042"</f>
        <v>56042</v>
      </c>
      <c r="C45317" s="1">
        <v>2.0516867232195601E-2</v>
      </c>
      <c r="D45317" s="1">
        <v>4.4345898004434503E-3</v>
      </c>
      <c r="E45317" s="1">
        <v>1.9498607242339799E-2</v>
      </c>
      <c r="F45317" s="1">
        <v>1.9209173118978601E-2</v>
      </c>
    </row>
    <row r="45318" spans="1:6" x14ac:dyDescent="0.25">
      <c r="A45318" s="2" t="str">
        <f t="shared" si="1427"/>
        <v>10660</v>
      </c>
      <c r="B45318" s="2" t="str">
        <f>"56097"</f>
        <v>56097</v>
      </c>
      <c r="C45318" s="1">
        <v>6.31288222529098E-3</v>
      </c>
      <c r="D45318" s="1">
        <v>1.4781966001478099E-3</v>
      </c>
      <c r="E45318" s="1">
        <v>0</v>
      </c>
      <c r="F45318" s="1">
        <v>5.7923045097227899E-3</v>
      </c>
    </row>
    <row r="45319" spans="1:6" x14ac:dyDescent="0.25">
      <c r="A45319" s="2" t="str">
        <f t="shared" si="1427"/>
        <v>10660</v>
      </c>
      <c r="B45319" s="2" t="str">
        <f>"56016"</f>
        <v>56016</v>
      </c>
      <c r="C45319" s="1">
        <v>3.2353521404616198E-2</v>
      </c>
      <c r="D45319" s="1">
        <v>2.9563932002956299E-2</v>
      </c>
      <c r="E45319" s="1">
        <v>1.9498607242339799E-2</v>
      </c>
      <c r="F45319" s="1">
        <v>3.1857674803475303E-2</v>
      </c>
    </row>
    <row r="45320" spans="1:6" x14ac:dyDescent="0.25">
      <c r="A45320" s="2" t="str">
        <f t="shared" si="1427"/>
        <v>10660</v>
      </c>
      <c r="B45320" s="2" t="str">
        <f>"56007"</f>
        <v>56007</v>
      </c>
      <c r="C45320" s="1">
        <v>0.71328993226803405</v>
      </c>
      <c r="D45320" s="1">
        <v>0.86917960088691704</v>
      </c>
      <c r="E45320" s="1">
        <v>0.877437325905292</v>
      </c>
      <c r="F45320" s="1">
        <v>0.72923931674448805</v>
      </c>
    </row>
    <row r="45321" spans="1:6" x14ac:dyDescent="0.25">
      <c r="A45321" s="2" t="str">
        <f t="shared" si="1427"/>
        <v>10660</v>
      </c>
      <c r="B45321" s="2" t="str">
        <f>"55953"</f>
        <v>55953</v>
      </c>
      <c r="C45321" s="1">
        <v>7.23351088314591E-4</v>
      </c>
      <c r="D45321" s="1">
        <v>0</v>
      </c>
      <c r="E45321" s="1">
        <v>0</v>
      </c>
      <c r="F45321" s="1">
        <v>6.5015662864235403E-4</v>
      </c>
    </row>
    <row r="45322" spans="1:6" x14ac:dyDescent="0.25">
      <c r="A45322" s="2" t="str">
        <f t="shared" ref="A45322:A45328" si="1428">"38180"</f>
        <v>38180</v>
      </c>
      <c r="B45322" s="2" t="str">
        <f>"57501"</f>
        <v>57501</v>
      </c>
      <c r="C45322" s="1">
        <v>0.82524579765302797</v>
      </c>
      <c r="D45322" s="1">
        <v>0.917046490428441</v>
      </c>
      <c r="E45322" s="1">
        <v>0.90257352941176405</v>
      </c>
      <c r="F45322" s="1">
        <v>0.83810810810810799</v>
      </c>
    </row>
    <row r="45323" spans="1:6" x14ac:dyDescent="0.25">
      <c r="A45323" s="2" t="str">
        <f t="shared" si="1428"/>
        <v>38180</v>
      </c>
      <c r="B45323" s="2" t="str">
        <f>"57522"</f>
        <v>57522</v>
      </c>
      <c r="C45323" s="1">
        <v>1.22634527962786E-2</v>
      </c>
      <c r="D45323" s="1">
        <v>9.1157702825888699E-4</v>
      </c>
      <c r="E45323" s="1">
        <v>9.1911764705882304E-3</v>
      </c>
      <c r="F45323" s="1">
        <v>1.09909909909909E-2</v>
      </c>
    </row>
    <row r="45324" spans="1:6" x14ac:dyDescent="0.25">
      <c r="A45324" s="2" t="str">
        <f t="shared" si="1428"/>
        <v>38180</v>
      </c>
      <c r="B45324" s="2" t="str">
        <f>"57564"</f>
        <v>57564</v>
      </c>
      <c r="C45324" s="1">
        <v>1.05719420657574E-4</v>
      </c>
      <c r="D45324" s="1">
        <v>0</v>
      </c>
      <c r="E45324" s="1">
        <v>0</v>
      </c>
      <c r="F45324" s="1">
        <v>9.0090090090089997E-5</v>
      </c>
    </row>
    <row r="45325" spans="1:6" x14ac:dyDescent="0.25">
      <c r="A45325" s="2" t="str">
        <f t="shared" si="1428"/>
        <v>38180</v>
      </c>
      <c r="B45325" s="2" t="str">
        <f>"57537"</f>
        <v>57537</v>
      </c>
      <c r="C45325" s="1">
        <v>7.2946400253726604E-3</v>
      </c>
      <c r="D45325" s="1">
        <v>5.4694621695533198E-3</v>
      </c>
      <c r="E45325" s="1">
        <v>1.8382352941176401E-3</v>
      </c>
      <c r="F45325" s="1">
        <v>6.8468468468468402E-3</v>
      </c>
    </row>
    <row r="45326" spans="1:6" x14ac:dyDescent="0.25">
      <c r="A45326" s="2" t="str">
        <f t="shared" si="1428"/>
        <v>38180</v>
      </c>
      <c r="B45326" s="2" t="str">
        <f>"57552"</f>
        <v>57552</v>
      </c>
      <c r="C45326" s="1">
        <v>2.0086689924939199E-3</v>
      </c>
      <c r="D45326" s="1">
        <v>0</v>
      </c>
      <c r="E45326" s="1">
        <v>0</v>
      </c>
      <c r="F45326" s="1">
        <v>1.7117117117117101E-3</v>
      </c>
    </row>
    <row r="45327" spans="1:6" x14ac:dyDescent="0.25">
      <c r="A45327" s="2" t="str">
        <f t="shared" si="1428"/>
        <v>38180</v>
      </c>
      <c r="B45327" s="2" t="str">
        <f>"57532"</f>
        <v>57532</v>
      </c>
      <c r="C45327" s="1">
        <v>0.13542657786235299</v>
      </c>
      <c r="D45327" s="1">
        <v>7.3837739288969903E-2</v>
      </c>
      <c r="E45327" s="1">
        <v>8.2720588235294101E-2</v>
      </c>
      <c r="F45327" s="1">
        <v>0.12675675675675599</v>
      </c>
    </row>
    <row r="45328" spans="1:6" x14ac:dyDescent="0.25">
      <c r="A45328" s="2" t="str">
        <f t="shared" si="1428"/>
        <v>38180</v>
      </c>
      <c r="B45328" s="2" t="str">
        <f>"57536"</f>
        <v>57536</v>
      </c>
      <c r="C45328" s="1">
        <v>1.76551432498149E-2</v>
      </c>
      <c r="D45328" s="1">
        <v>2.7347310847766599E-3</v>
      </c>
      <c r="E45328" s="1">
        <v>3.6764705882352902E-3</v>
      </c>
      <c r="F45328" s="1">
        <v>1.54954954954954E-2</v>
      </c>
    </row>
    <row r="45329" spans="1:6" x14ac:dyDescent="0.25">
      <c r="A45329" s="2" t="str">
        <f t="shared" ref="A45329:A45339" si="1429">"27660"</f>
        <v>27660</v>
      </c>
      <c r="B45329" s="2" t="str">
        <f>"70591"</f>
        <v>70591</v>
      </c>
      <c r="C45329" s="1">
        <v>0.17628321146745801</v>
      </c>
      <c r="D45329" s="1">
        <v>0.13077679449360799</v>
      </c>
      <c r="E45329" s="1">
        <v>9.0909090909090898E-2</v>
      </c>
      <c r="F45329" s="1">
        <v>0.17178280182987399</v>
      </c>
    </row>
    <row r="45330" spans="1:6" x14ac:dyDescent="0.25">
      <c r="A45330" s="2" t="str">
        <f t="shared" si="1429"/>
        <v>27660</v>
      </c>
      <c r="B45330" s="2" t="str">
        <f>"70532"</f>
        <v>70532</v>
      </c>
      <c r="C45330" s="1">
        <v>3.7645696083399599E-2</v>
      </c>
      <c r="D45330" s="1">
        <v>2.16322517207472E-2</v>
      </c>
      <c r="E45330" s="1">
        <v>7.9051383399209394E-3</v>
      </c>
      <c r="F45330" s="1">
        <v>3.60670954054233E-2</v>
      </c>
    </row>
    <row r="45331" spans="1:6" x14ac:dyDescent="0.25">
      <c r="A45331" s="2" t="str">
        <f t="shared" si="1429"/>
        <v>27660</v>
      </c>
      <c r="B45331" s="2" t="str">
        <f>"70611"</f>
        <v>70611</v>
      </c>
      <c r="C45331" s="1">
        <v>9.4114240208499199E-4</v>
      </c>
      <c r="D45331" s="1">
        <v>1.96656833824975E-3</v>
      </c>
      <c r="E45331" s="1">
        <v>0</v>
      </c>
      <c r="F45331" s="1">
        <v>9.9449711595836292E-4</v>
      </c>
    </row>
    <row r="45332" spans="1:6" x14ac:dyDescent="0.25">
      <c r="A45332" s="2" t="str">
        <f t="shared" si="1429"/>
        <v>27660</v>
      </c>
      <c r="B45332" s="2" t="str">
        <f>"70549"</f>
        <v>70549</v>
      </c>
      <c r="C45332" s="1">
        <v>0.13552450590023801</v>
      </c>
      <c r="D45332" s="1">
        <v>0.10914454277286099</v>
      </c>
      <c r="E45332" s="1">
        <v>0.14624505928853701</v>
      </c>
      <c r="F45332" s="1">
        <v>0.133925611615726</v>
      </c>
    </row>
    <row r="45333" spans="1:6" x14ac:dyDescent="0.25">
      <c r="A45333" s="2" t="str">
        <f t="shared" si="1429"/>
        <v>27660</v>
      </c>
      <c r="B45333" s="2" t="str">
        <f>"70650"</f>
        <v>70650</v>
      </c>
      <c r="C45333" s="1">
        <v>2.1718670817345899E-4</v>
      </c>
      <c r="D45333" s="1">
        <v>0</v>
      </c>
      <c r="E45333" s="1">
        <v>3.9525691699604697E-3</v>
      </c>
      <c r="F45333" s="1">
        <v>2.6519923092222999E-4</v>
      </c>
    </row>
    <row r="45334" spans="1:6" x14ac:dyDescent="0.25">
      <c r="A45334" s="2" t="str">
        <f t="shared" si="1429"/>
        <v>27660</v>
      </c>
      <c r="B45334" s="2" t="str">
        <f>"70546"</f>
        <v>70546</v>
      </c>
      <c r="C45334" s="1">
        <v>0.50300441612973201</v>
      </c>
      <c r="D45334" s="1">
        <v>0.70501474926253604</v>
      </c>
      <c r="E45334" s="1">
        <v>0.71541501976284505</v>
      </c>
      <c r="F45334" s="1">
        <v>0.52018829145395395</v>
      </c>
    </row>
    <row r="45335" spans="1:6" x14ac:dyDescent="0.25">
      <c r="A45335" s="2" t="str">
        <f t="shared" si="1429"/>
        <v>27660</v>
      </c>
      <c r="B45335" s="2" t="str">
        <f>"70581"</f>
        <v>70581</v>
      </c>
      <c r="C45335" s="1">
        <v>2.0777528415260899E-2</v>
      </c>
      <c r="D45335" s="1">
        <v>1.27826941986234E-2</v>
      </c>
      <c r="E45335" s="1">
        <v>3.9525691699604697E-3</v>
      </c>
      <c r="F45335" s="1">
        <v>1.99562421268978E-2</v>
      </c>
    </row>
    <row r="45336" spans="1:6" x14ac:dyDescent="0.25">
      <c r="A45336" s="2" t="str">
        <f t="shared" si="1429"/>
        <v>27660</v>
      </c>
      <c r="B45336" s="2" t="str">
        <f>"70640"</f>
        <v>70640</v>
      </c>
      <c r="C45336" s="1">
        <v>1.44791138782306E-4</v>
      </c>
      <c r="D45336" s="1">
        <v>0</v>
      </c>
      <c r="E45336" s="1">
        <v>3.9525691699604697E-3</v>
      </c>
      <c r="F45336" s="1">
        <v>1.9889942319167199E-4</v>
      </c>
    </row>
    <row r="45337" spans="1:6" x14ac:dyDescent="0.25">
      <c r="A45337" s="2" t="str">
        <f t="shared" si="1429"/>
        <v>27660</v>
      </c>
      <c r="B45337" s="2" t="str">
        <f>"70647"</f>
        <v>70647</v>
      </c>
      <c r="C45337" s="1">
        <v>9.83855788025772E-2</v>
      </c>
      <c r="D45337" s="1">
        <v>1.37659783677482E-2</v>
      </c>
      <c r="E45337" s="1">
        <v>1.9762845849802299E-2</v>
      </c>
      <c r="F45337" s="1">
        <v>9.1361135052708306E-2</v>
      </c>
    </row>
    <row r="45338" spans="1:6" x14ac:dyDescent="0.25">
      <c r="A45338" s="2" t="str">
        <f t="shared" si="1429"/>
        <v>27660</v>
      </c>
      <c r="B45338" s="2" t="str">
        <f>"70657"</f>
        <v>70657</v>
      </c>
      <c r="C45338" s="1">
        <v>1.0280170853543699E-2</v>
      </c>
      <c r="D45338" s="1">
        <v>3.9331366764994999E-3</v>
      </c>
      <c r="E45338" s="1">
        <v>0</v>
      </c>
      <c r="F45338" s="1">
        <v>9.6797719286613997E-3</v>
      </c>
    </row>
    <row r="45339" spans="1:6" x14ac:dyDescent="0.25">
      <c r="A45339" s="2" t="str">
        <f t="shared" si="1429"/>
        <v>27660</v>
      </c>
      <c r="B45339" s="2" t="str">
        <f>"70648"</f>
        <v>70648</v>
      </c>
      <c r="C45339" s="1">
        <v>1.67957720987475E-2</v>
      </c>
      <c r="D45339" s="1">
        <v>9.8328416912487693E-4</v>
      </c>
      <c r="E45339" s="1">
        <v>7.9051383399209394E-3</v>
      </c>
      <c r="F45339" s="1">
        <v>1.5580454816680999E-2</v>
      </c>
    </row>
    <row r="45340" spans="1:6" x14ac:dyDescent="0.25">
      <c r="A45340" s="2" t="str">
        <f t="shared" ref="A45340:A45371" si="1430">"12900"</f>
        <v>12900</v>
      </c>
      <c r="B45340" s="2" t="str">
        <f>"72575"</f>
        <v>72575</v>
      </c>
      <c r="C45340" s="1">
        <v>0</v>
      </c>
      <c r="D45340" s="1">
        <v>0</v>
      </c>
      <c r="E45340" s="1">
        <v>3.4482758620689598E-3</v>
      </c>
      <c r="F45340" s="1">
        <v>3.2238305554660003E-5</v>
      </c>
    </row>
    <row r="45341" spans="1:6" x14ac:dyDescent="0.25">
      <c r="A45341" s="2" t="str">
        <f t="shared" si="1430"/>
        <v>12900</v>
      </c>
      <c r="B45341" s="2" t="str">
        <f>"72501"</f>
        <v>72501</v>
      </c>
      <c r="C45341" s="1">
        <v>0.44010489510489498</v>
      </c>
      <c r="D45341" s="1">
        <v>0.65852512916862305</v>
      </c>
      <c r="E45341" s="1">
        <v>0.61379310344827498</v>
      </c>
      <c r="F45341" s="1">
        <v>0.45672007479286802</v>
      </c>
    </row>
    <row r="45342" spans="1:6" x14ac:dyDescent="0.25">
      <c r="A45342" s="2" t="str">
        <f t="shared" si="1430"/>
        <v>12900</v>
      </c>
      <c r="B45342" s="2" t="str">
        <f>"72466"</f>
        <v>72466</v>
      </c>
      <c r="C45342" s="1">
        <v>1.0944055944055901E-2</v>
      </c>
      <c r="D45342" s="1">
        <v>1.8788163457022001E-3</v>
      </c>
      <c r="E45342" s="1">
        <v>0</v>
      </c>
      <c r="F45342" s="1">
        <v>1.0219542860827199E-2</v>
      </c>
    </row>
    <row r="45343" spans="1:6" x14ac:dyDescent="0.25">
      <c r="A45343" s="2" t="str">
        <f t="shared" si="1430"/>
        <v>12900</v>
      </c>
      <c r="B45343" s="2" t="str">
        <f>"72524"</f>
        <v>72524</v>
      </c>
      <c r="C45343" s="1">
        <v>6.2237762237762201E-3</v>
      </c>
      <c r="D45343" s="1">
        <v>4.6970408642555096E-3</v>
      </c>
      <c r="E45343" s="1">
        <v>3.4482758620689598E-3</v>
      </c>
      <c r="F45343" s="1">
        <v>6.0930397498307398E-3</v>
      </c>
    </row>
    <row r="45344" spans="1:6" x14ac:dyDescent="0.25">
      <c r="A45344" s="2" t="str">
        <f t="shared" si="1430"/>
        <v>12900</v>
      </c>
      <c r="B45344" s="2" t="str">
        <f>"72554"</f>
        <v>72554</v>
      </c>
      <c r="C45344" s="1">
        <v>5.4195804195804097E-3</v>
      </c>
      <c r="D45344" s="1">
        <v>1.8788163457022001E-3</v>
      </c>
      <c r="E45344" s="1">
        <v>0</v>
      </c>
      <c r="F45344" s="1">
        <v>5.1258905831909401E-3</v>
      </c>
    </row>
    <row r="45345" spans="1:6" x14ac:dyDescent="0.25">
      <c r="A45345" s="2" t="str">
        <f t="shared" si="1430"/>
        <v>12900</v>
      </c>
      <c r="B45345" s="2" t="str">
        <f>"72550"</f>
        <v>72550</v>
      </c>
      <c r="C45345" s="1">
        <v>1.0804195804195799E-2</v>
      </c>
      <c r="D45345" s="1">
        <v>9.3940817285110298E-4</v>
      </c>
      <c r="E45345" s="1">
        <v>3.4482758620689598E-3</v>
      </c>
      <c r="F45345" s="1">
        <v>1.0058351333053901E-2</v>
      </c>
    </row>
    <row r="45346" spans="1:6" x14ac:dyDescent="0.25">
      <c r="A45346" s="2" t="str">
        <f t="shared" si="1430"/>
        <v>12900</v>
      </c>
      <c r="B45346" s="2" t="str">
        <f>"72569"</f>
        <v>72569</v>
      </c>
      <c r="C45346" s="1">
        <v>8.3216783216783202E-3</v>
      </c>
      <c r="D45346" s="1">
        <v>0</v>
      </c>
      <c r="E45346" s="1">
        <v>3.4482758620689598E-3</v>
      </c>
      <c r="F45346" s="1">
        <v>7.7049550275637502E-3</v>
      </c>
    </row>
    <row r="45347" spans="1:6" x14ac:dyDescent="0.25">
      <c r="A45347" s="2" t="str">
        <f t="shared" si="1430"/>
        <v>12900</v>
      </c>
      <c r="B45347" s="2" t="str">
        <f>"72459"</f>
        <v>72459</v>
      </c>
      <c r="C45347" s="1">
        <v>4.5804195804195801E-3</v>
      </c>
      <c r="D45347" s="1">
        <v>4.69704086425551E-4</v>
      </c>
      <c r="E45347" s="1">
        <v>0</v>
      </c>
      <c r="F45347" s="1">
        <v>4.2554563332151199E-3</v>
      </c>
    </row>
    <row r="45348" spans="1:6" x14ac:dyDescent="0.25">
      <c r="A45348" s="2" t="str">
        <f t="shared" si="1430"/>
        <v>12900</v>
      </c>
      <c r="B45348" s="2" t="str">
        <f>"72553"</f>
        <v>72553</v>
      </c>
      <c r="C45348" s="1">
        <v>1.7482517482517401E-4</v>
      </c>
      <c r="D45348" s="1">
        <v>0</v>
      </c>
      <c r="E45348" s="1">
        <v>3.4482758620689598E-3</v>
      </c>
      <c r="F45348" s="1">
        <v>1.9342983332796E-4</v>
      </c>
    </row>
    <row r="45349" spans="1:6" x14ac:dyDescent="0.25">
      <c r="A45349" s="2" t="str">
        <f t="shared" si="1430"/>
        <v>12900</v>
      </c>
      <c r="B45349" s="2" t="str">
        <f>"72542"</f>
        <v>72542</v>
      </c>
      <c r="C45349" s="1">
        <v>7.3356643356643297E-2</v>
      </c>
      <c r="D45349" s="1">
        <v>0.137153593236261</v>
      </c>
      <c r="E45349" s="1">
        <v>4.8275862068965503E-2</v>
      </c>
      <c r="F45349" s="1">
        <v>7.7500886553402704E-2</v>
      </c>
    </row>
    <row r="45350" spans="1:6" x14ac:dyDescent="0.25">
      <c r="A45350" s="2" t="str">
        <f t="shared" si="1430"/>
        <v>12900</v>
      </c>
      <c r="B45350" s="2" t="str">
        <f>"72529"</f>
        <v>72529</v>
      </c>
      <c r="C45350" s="1">
        <v>8.0524475524475503E-2</v>
      </c>
      <c r="D45350" s="1">
        <v>2.4424612494128601E-2</v>
      </c>
      <c r="E45350" s="1">
        <v>1.72413793103448E-2</v>
      </c>
      <c r="F45350" s="1">
        <v>7.6082401108997694E-2</v>
      </c>
    </row>
    <row r="45351" spans="1:6" x14ac:dyDescent="0.25">
      <c r="A45351" s="2" t="str">
        <f t="shared" si="1430"/>
        <v>12900</v>
      </c>
      <c r="B45351" s="2" t="str">
        <f>"72020"</f>
        <v>72020</v>
      </c>
      <c r="C45351" s="1">
        <v>9.0909090909090905E-3</v>
      </c>
      <c r="D45351" s="1">
        <v>1.8788163457022001E-3</v>
      </c>
      <c r="E45351" s="1">
        <v>0</v>
      </c>
      <c r="F45351" s="1">
        <v>8.5109126664302502E-3</v>
      </c>
    </row>
    <row r="45352" spans="1:6" x14ac:dyDescent="0.25">
      <c r="A45352" s="2" t="str">
        <f t="shared" si="1430"/>
        <v>12900</v>
      </c>
      <c r="B45352" s="2" t="str">
        <f>"72526"</f>
        <v>72526</v>
      </c>
      <c r="C45352" s="1">
        <v>0</v>
      </c>
      <c r="D45352" s="1">
        <v>0</v>
      </c>
      <c r="E45352" s="1">
        <v>3.4482758620689598E-3</v>
      </c>
      <c r="F45352" s="1">
        <v>3.2238305554660003E-5</v>
      </c>
    </row>
    <row r="45353" spans="1:6" x14ac:dyDescent="0.25">
      <c r="A45353" s="2" t="str">
        <f t="shared" si="1430"/>
        <v>12900</v>
      </c>
      <c r="B45353" s="2" t="str">
        <f>"72165"</f>
        <v>72165</v>
      </c>
      <c r="C45353" s="1">
        <v>1.9230769230769199E-3</v>
      </c>
      <c r="D45353" s="1">
        <v>9.3940817285110298E-4</v>
      </c>
      <c r="E45353" s="1">
        <v>3.4482758620689598E-3</v>
      </c>
      <c r="F45353" s="1">
        <v>1.86982172217028E-3</v>
      </c>
    </row>
    <row r="45354" spans="1:6" x14ac:dyDescent="0.25">
      <c r="A45354" s="2" t="str">
        <f t="shared" si="1430"/>
        <v>12900</v>
      </c>
      <c r="B45354" s="2" t="str">
        <f>"72112"</f>
        <v>72112</v>
      </c>
      <c r="C45354" s="1">
        <v>1.1538461538461501E-3</v>
      </c>
      <c r="D45354" s="1">
        <v>0</v>
      </c>
      <c r="E45354" s="1">
        <v>0</v>
      </c>
      <c r="F45354" s="1">
        <v>1.06386408330378E-3</v>
      </c>
    </row>
    <row r="45355" spans="1:6" x14ac:dyDescent="0.25">
      <c r="A45355" s="2" t="str">
        <f t="shared" si="1430"/>
        <v>12900</v>
      </c>
      <c r="B45355" s="2" t="str">
        <f>"72571"</f>
        <v>72571</v>
      </c>
      <c r="C45355" s="1">
        <v>6.5384615384615303E-3</v>
      </c>
      <c r="D45355" s="1">
        <v>0</v>
      </c>
      <c r="E45355" s="1">
        <v>3.4482758620689598E-3</v>
      </c>
      <c r="F45355" s="1">
        <v>6.0608014442760797E-3</v>
      </c>
    </row>
    <row r="45356" spans="1:6" x14ac:dyDescent="0.25">
      <c r="A45356" s="2" t="str">
        <f t="shared" si="1430"/>
        <v>12900</v>
      </c>
      <c r="B45356" s="2" t="str">
        <f>"72522"</f>
        <v>72522</v>
      </c>
      <c r="C45356" s="1">
        <v>6.9580419580419503E-3</v>
      </c>
      <c r="D45356" s="1">
        <v>1.8788163457022001E-3</v>
      </c>
      <c r="E45356" s="1">
        <v>3.4482758620689598E-3</v>
      </c>
      <c r="F45356" s="1">
        <v>6.5766143331506396E-3</v>
      </c>
    </row>
    <row r="45357" spans="1:6" x14ac:dyDescent="0.25">
      <c r="A45357" s="2" t="str">
        <f t="shared" si="1430"/>
        <v>12900</v>
      </c>
      <c r="B45357" s="2" t="str">
        <f>"72534"</f>
        <v>72534</v>
      </c>
      <c r="C45357" s="1">
        <v>2.0174825174825099E-2</v>
      </c>
      <c r="D45357" s="1">
        <v>2.8182245185533099E-3</v>
      </c>
      <c r="E45357" s="1">
        <v>3.4482758620689598E-3</v>
      </c>
      <c r="F45357" s="1">
        <v>1.88271704439214E-2</v>
      </c>
    </row>
    <row r="45358" spans="1:6" x14ac:dyDescent="0.25">
      <c r="A45358" s="2" t="str">
        <f t="shared" si="1430"/>
        <v>12900</v>
      </c>
      <c r="B45358" s="2" t="str">
        <f>"72532"</f>
        <v>72532</v>
      </c>
      <c r="C45358" s="1">
        <v>2.7342657342657301E-2</v>
      </c>
      <c r="D45358" s="1">
        <v>5.1667449506810703E-3</v>
      </c>
      <c r="E45358" s="1">
        <v>1.0344827586206799E-2</v>
      </c>
      <c r="F45358" s="1">
        <v>2.5661691221509301E-2</v>
      </c>
    </row>
    <row r="45359" spans="1:6" x14ac:dyDescent="0.25">
      <c r="A45359" s="2" t="str">
        <f t="shared" si="1430"/>
        <v>12900</v>
      </c>
      <c r="B45359" s="2" t="str">
        <f>"72081"</f>
        <v>72081</v>
      </c>
      <c r="C45359" s="1">
        <v>3.8461538461538402E-4</v>
      </c>
      <c r="D45359" s="1">
        <v>0</v>
      </c>
      <c r="E45359" s="1">
        <v>0</v>
      </c>
      <c r="F45359" s="1">
        <v>3.5462136110126001E-4</v>
      </c>
    </row>
    <row r="45360" spans="1:6" x14ac:dyDescent="0.25">
      <c r="A45360" s="2" t="str">
        <f t="shared" si="1430"/>
        <v>12900</v>
      </c>
      <c r="B45360" s="2" t="str">
        <f>"72572"</f>
        <v>72572</v>
      </c>
      <c r="C45360" s="1">
        <v>6.9930069930069897E-4</v>
      </c>
      <c r="D45360" s="1">
        <v>0</v>
      </c>
      <c r="E45360" s="1">
        <v>0</v>
      </c>
      <c r="F45360" s="1">
        <v>6.4476611109320003E-4</v>
      </c>
    </row>
    <row r="45361" spans="1:6" x14ac:dyDescent="0.25">
      <c r="A45361" s="2" t="str">
        <f t="shared" si="1430"/>
        <v>12900</v>
      </c>
      <c r="B45361" s="2" t="str">
        <f>"72482"</f>
        <v>72482</v>
      </c>
      <c r="C45361" s="1">
        <v>2.96503496503496E-2</v>
      </c>
      <c r="D45361" s="1">
        <v>6.1061531235321702E-3</v>
      </c>
      <c r="E45361" s="1">
        <v>6.8965517241379301E-3</v>
      </c>
      <c r="F45361" s="1">
        <v>2.7821657693671599E-2</v>
      </c>
    </row>
    <row r="45362" spans="1:6" x14ac:dyDescent="0.25">
      <c r="A45362" s="2" t="str">
        <f t="shared" si="1430"/>
        <v>12900</v>
      </c>
      <c r="B45362" s="2" t="str">
        <f>"72523"</f>
        <v>72523</v>
      </c>
      <c r="C45362" s="1">
        <v>1.7832167832167801E-3</v>
      </c>
      <c r="D45362" s="1">
        <v>0</v>
      </c>
      <c r="E45362" s="1">
        <v>0</v>
      </c>
      <c r="F45362" s="1">
        <v>1.6441535832876599E-3</v>
      </c>
    </row>
    <row r="45363" spans="1:6" x14ac:dyDescent="0.25">
      <c r="A45363" s="2" t="str">
        <f t="shared" si="1430"/>
        <v>12900</v>
      </c>
      <c r="B45363" s="2" t="str">
        <f>"72527"</f>
        <v>72527</v>
      </c>
      <c r="C45363" s="1">
        <v>7.7622377622377598E-3</v>
      </c>
      <c r="D45363" s="1">
        <v>9.3940817285110298E-4</v>
      </c>
      <c r="E45363" s="1">
        <v>3.4482758620689598E-3</v>
      </c>
      <c r="F45363" s="1">
        <v>7.2536187497985096E-3</v>
      </c>
    </row>
    <row r="45364" spans="1:6" x14ac:dyDescent="0.25">
      <c r="A45364" s="2" t="str">
        <f t="shared" si="1430"/>
        <v>12900</v>
      </c>
      <c r="B45364" s="2" t="str">
        <f>"72577"</f>
        <v>72577</v>
      </c>
      <c r="C45364" s="1">
        <v>1.3391608391608301E-2</v>
      </c>
      <c r="D45364" s="1">
        <v>2.8182245185533099E-3</v>
      </c>
      <c r="E45364" s="1">
        <v>6.8965517241379301E-3</v>
      </c>
      <c r="F45364" s="1">
        <v>1.2605177471872E-2</v>
      </c>
    </row>
    <row r="45365" spans="1:6" x14ac:dyDescent="0.25">
      <c r="A45365" s="2" t="str">
        <f t="shared" si="1430"/>
        <v>12900</v>
      </c>
      <c r="B45365" s="2" t="str">
        <f>"72469"</f>
        <v>72469</v>
      </c>
      <c r="C45365" s="1">
        <v>3.0419580419580399E-3</v>
      </c>
      <c r="D45365" s="1">
        <v>9.3940817285110298E-4</v>
      </c>
      <c r="E45365" s="1">
        <v>0</v>
      </c>
      <c r="F45365" s="1">
        <v>2.8692091943647402E-3</v>
      </c>
    </row>
    <row r="45366" spans="1:6" x14ac:dyDescent="0.25">
      <c r="A45366" s="2" t="str">
        <f t="shared" si="1430"/>
        <v>12900</v>
      </c>
      <c r="B45366" s="2" t="str">
        <f>"72521"</f>
        <v>72521</v>
      </c>
      <c r="C45366" s="1">
        <v>0.101328671328671</v>
      </c>
      <c r="D45366" s="1">
        <v>6.6228276186002799E-2</v>
      </c>
      <c r="E45366" s="1">
        <v>5.1724137931034399E-2</v>
      </c>
      <c r="F45366" s="1">
        <v>9.8455785163931706E-2</v>
      </c>
    </row>
    <row r="45367" spans="1:6" x14ac:dyDescent="0.25">
      <c r="A45367" s="2" t="str">
        <f t="shared" si="1430"/>
        <v>12900</v>
      </c>
      <c r="B45367" s="2" t="str">
        <f>"72562"</f>
        <v>72562</v>
      </c>
      <c r="C45367" s="1">
        <v>3.9370629370629302E-2</v>
      </c>
      <c r="D45367" s="1">
        <v>2.77125410991075E-2</v>
      </c>
      <c r="E45367" s="1">
        <v>5.5172413793103399E-2</v>
      </c>
      <c r="F45367" s="1">
        <v>3.8718204971146697E-2</v>
      </c>
    </row>
    <row r="45368" spans="1:6" x14ac:dyDescent="0.25">
      <c r="A45368" s="2" t="str">
        <f t="shared" si="1430"/>
        <v>12900</v>
      </c>
      <c r="B45368" s="2" t="str">
        <f>"72579"</f>
        <v>72579</v>
      </c>
      <c r="C45368" s="1">
        <v>2.5000000000000001E-2</v>
      </c>
      <c r="D45368" s="1">
        <v>3.2879286049788598E-3</v>
      </c>
      <c r="E45368" s="1">
        <v>9.3103448275862005E-2</v>
      </c>
      <c r="F45368" s="1">
        <v>2.4146490860440298E-2</v>
      </c>
    </row>
    <row r="45369" spans="1:6" x14ac:dyDescent="0.25">
      <c r="A45369" s="2" t="str">
        <f t="shared" si="1430"/>
        <v>12900</v>
      </c>
      <c r="B45369" s="2" t="str">
        <f>"72568"</f>
        <v>72568</v>
      </c>
      <c r="C45369" s="1">
        <v>2.7062937062937002E-2</v>
      </c>
      <c r="D45369" s="1">
        <v>9.8637858149365799E-3</v>
      </c>
      <c r="E45369" s="1">
        <v>1.0344827586206799E-2</v>
      </c>
      <c r="F45369" s="1">
        <v>2.5726167832618701E-2</v>
      </c>
    </row>
    <row r="45370" spans="1:6" x14ac:dyDescent="0.25">
      <c r="A45370" s="2" t="str">
        <f t="shared" si="1430"/>
        <v>12900</v>
      </c>
      <c r="B45370" s="2" t="str">
        <f>"72564"</f>
        <v>72564</v>
      </c>
      <c r="C45370" s="1">
        <v>5.5244755244755204E-3</v>
      </c>
      <c r="D45370" s="1">
        <v>9.3940817285110298E-4</v>
      </c>
      <c r="E45370" s="1">
        <v>1.0344827586206799E-2</v>
      </c>
      <c r="F45370" s="1">
        <v>5.2548438054095797E-3</v>
      </c>
    </row>
    <row r="45371" spans="1:6" x14ac:dyDescent="0.25">
      <c r="A45371" s="2" t="str">
        <f t="shared" si="1430"/>
        <v>12900</v>
      </c>
      <c r="B45371" s="2" t="str">
        <f>"72513"</f>
        <v>72513</v>
      </c>
      <c r="C45371" s="1">
        <v>3.1363636363636302E-2</v>
      </c>
      <c r="D45371" s="1">
        <v>3.8515735086895202E-2</v>
      </c>
      <c r="E45371" s="1">
        <v>3.7931034482758599E-2</v>
      </c>
      <c r="F45371" s="1">
        <v>3.1915922499113403E-2</v>
      </c>
    </row>
    <row r="45372" spans="1:6" x14ac:dyDescent="0.25">
      <c r="A45372" s="2" t="str">
        <f t="shared" ref="A45372:A45386" si="1431">"22620"</f>
        <v>22620</v>
      </c>
      <c r="B45372" s="2" t="str">
        <f>"72396"</f>
        <v>72396</v>
      </c>
      <c r="C45372" s="1">
        <v>3.1247128021321502E-3</v>
      </c>
      <c r="D45372" s="1">
        <v>0</v>
      </c>
      <c r="E45372" s="1">
        <v>0</v>
      </c>
      <c r="F45372" s="1">
        <v>2.8136378682555399E-3</v>
      </c>
    </row>
    <row r="45373" spans="1:6" x14ac:dyDescent="0.25">
      <c r="A45373" s="2" t="str">
        <f t="shared" si="1431"/>
        <v>22620</v>
      </c>
      <c r="B45373" s="2" t="str">
        <f>"72394"</f>
        <v>72394</v>
      </c>
      <c r="C45373" s="1">
        <v>2.4630089146218101E-2</v>
      </c>
      <c r="D45373" s="1">
        <v>1.6949152542372801E-2</v>
      </c>
      <c r="E45373" s="1">
        <v>3.8610038610038598E-3</v>
      </c>
      <c r="F45373" s="1">
        <v>2.3584905660377301E-2</v>
      </c>
    </row>
    <row r="45374" spans="1:6" x14ac:dyDescent="0.25">
      <c r="A45374" s="2" t="str">
        <f t="shared" si="1431"/>
        <v>22620</v>
      </c>
      <c r="B45374" s="2" t="str">
        <f>"72340"</f>
        <v>72340</v>
      </c>
      <c r="C45374" s="1">
        <v>0</v>
      </c>
      <c r="D45374" s="1">
        <v>0</v>
      </c>
      <c r="E45374" s="1">
        <v>3.8610038610038598E-3</v>
      </c>
      <c r="F45374" s="1">
        <v>8.2754054948692393E-5</v>
      </c>
    </row>
    <row r="45375" spans="1:6" x14ac:dyDescent="0.25">
      <c r="A45375" s="2" t="str">
        <f t="shared" si="1431"/>
        <v>22620</v>
      </c>
      <c r="B45375" s="2" t="str">
        <f>"72392"</f>
        <v>72392</v>
      </c>
      <c r="C45375" s="1">
        <v>7.2603620990717701E-3</v>
      </c>
      <c r="D45375" s="1">
        <v>8.4745762711864406E-3</v>
      </c>
      <c r="E45375" s="1">
        <v>1.1583011583011499E-2</v>
      </c>
      <c r="F45375" s="1">
        <v>7.4478649453823204E-3</v>
      </c>
    </row>
    <row r="45376" spans="1:6" x14ac:dyDescent="0.25">
      <c r="A45376" s="2" t="str">
        <f t="shared" si="1431"/>
        <v>22620</v>
      </c>
      <c r="B45376" s="2" t="str">
        <f>"72326"</f>
        <v>72326</v>
      </c>
      <c r="C45376" s="1">
        <v>0.105413105413105</v>
      </c>
      <c r="D45376" s="1">
        <v>4.8728813559322001E-2</v>
      </c>
      <c r="E45376" s="1">
        <v>1.9305019305019301E-2</v>
      </c>
      <c r="F45376" s="1">
        <v>9.9139357828533503E-2</v>
      </c>
    </row>
    <row r="45377" spans="1:6" x14ac:dyDescent="0.25">
      <c r="A45377" s="2" t="str">
        <f t="shared" si="1431"/>
        <v>22620</v>
      </c>
      <c r="B45377" s="2" t="str">
        <f>"72359"</f>
        <v>72359</v>
      </c>
      <c r="C45377" s="1">
        <v>9.1903317709769305E-5</v>
      </c>
      <c r="D45377" s="1">
        <v>0</v>
      </c>
      <c r="E45377" s="1">
        <v>3.8610038610038598E-3</v>
      </c>
      <c r="F45377" s="1">
        <v>1.65508109897384E-4</v>
      </c>
    </row>
    <row r="45378" spans="1:6" x14ac:dyDescent="0.25">
      <c r="A45378" s="2" t="str">
        <f t="shared" si="1431"/>
        <v>22620</v>
      </c>
      <c r="B45378" s="2" t="str">
        <f>"72348"</f>
        <v>72348</v>
      </c>
      <c r="C45378" s="1">
        <v>4.2459332781913398E-2</v>
      </c>
      <c r="D45378" s="1">
        <v>5.5084745762711801E-2</v>
      </c>
      <c r="E45378" s="1">
        <v>2.7027027027027001E-2</v>
      </c>
      <c r="F45378" s="1">
        <v>4.3114862628268698E-2</v>
      </c>
    </row>
    <row r="45379" spans="1:6" x14ac:dyDescent="0.25">
      <c r="A45379" s="2" t="str">
        <f t="shared" si="1431"/>
        <v>22620</v>
      </c>
      <c r="B45379" s="2" t="str">
        <f>"72322"</f>
        <v>72322</v>
      </c>
      <c r="C45379" s="1">
        <v>0</v>
      </c>
      <c r="D45379" s="1">
        <v>0</v>
      </c>
      <c r="E45379" s="1">
        <v>3.8610038610038598E-3</v>
      </c>
      <c r="F45379" s="1">
        <v>8.2754054948692393E-5</v>
      </c>
    </row>
    <row r="45380" spans="1:6" x14ac:dyDescent="0.25">
      <c r="A45380" s="2" t="str">
        <f t="shared" si="1431"/>
        <v>22620</v>
      </c>
      <c r="B45380" s="2" t="str">
        <f>"72346"</f>
        <v>72346</v>
      </c>
      <c r="C45380" s="1">
        <v>3.24418711515485E-2</v>
      </c>
      <c r="D45380" s="1">
        <v>2.5423728813559299E-2</v>
      </c>
      <c r="E45380" s="1">
        <v>3.8610038610038598E-3</v>
      </c>
      <c r="F45380" s="1">
        <v>3.1281032770605698E-2</v>
      </c>
    </row>
    <row r="45381" spans="1:6" x14ac:dyDescent="0.25">
      <c r="A45381" s="2" t="str">
        <f t="shared" si="1431"/>
        <v>22620</v>
      </c>
      <c r="B45381" s="2" t="str">
        <f>"72376"</f>
        <v>72376</v>
      </c>
      <c r="C45381" s="1">
        <v>1.2866464479367699E-3</v>
      </c>
      <c r="D45381" s="1">
        <v>0</v>
      </c>
      <c r="E45381" s="1">
        <v>0</v>
      </c>
      <c r="F45381" s="1">
        <v>1.15855676928169E-3</v>
      </c>
    </row>
    <row r="45382" spans="1:6" x14ac:dyDescent="0.25">
      <c r="A45382" s="2" t="str">
        <f t="shared" si="1431"/>
        <v>22620</v>
      </c>
      <c r="B45382" s="2" t="str">
        <f>"72372"</f>
        <v>72372</v>
      </c>
      <c r="C45382" s="1">
        <v>7.4625493980332594E-2</v>
      </c>
      <c r="D45382" s="1">
        <v>2.3305084745762698E-2</v>
      </c>
      <c r="E45382" s="1">
        <v>2.3166023166023099E-2</v>
      </c>
      <c r="F45382" s="1">
        <v>6.9513406156901603E-2</v>
      </c>
    </row>
    <row r="45383" spans="1:6" x14ac:dyDescent="0.25">
      <c r="A45383" s="2" t="str">
        <f t="shared" si="1431"/>
        <v>22620</v>
      </c>
      <c r="B45383" s="2" t="str">
        <f>"72021"</f>
        <v>72021</v>
      </c>
      <c r="C45383" s="1">
        <v>5.5141990625861496E-4</v>
      </c>
      <c r="D45383" s="1">
        <v>0</v>
      </c>
      <c r="E45383" s="1">
        <v>0</v>
      </c>
      <c r="F45383" s="1">
        <v>4.9652432969215403E-4</v>
      </c>
    </row>
    <row r="45384" spans="1:6" x14ac:dyDescent="0.25">
      <c r="A45384" s="2" t="str">
        <f t="shared" si="1431"/>
        <v>22620</v>
      </c>
      <c r="B45384" s="2" t="str">
        <f>"72360"</f>
        <v>72360</v>
      </c>
      <c r="C45384" s="1">
        <v>1.8380663541953801E-4</v>
      </c>
      <c r="D45384" s="1">
        <v>0</v>
      </c>
      <c r="E45384" s="1">
        <v>0</v>
      </c>
      <c r="F45384" s="1">
        <v>1.65508109897384E-4</v>
      </c>
    </row>
    <row r="45385" spans="1:6" x14ac:dyDescent="0.25">
      <c r="A45385" s="2" t="str">
        <f t="shared" si="1431"/>
        <v>22620</v>
      </c>
      <c r="B45385" s="2" t="str">
        <f>"72368"</f>
        <v>72368</v>
      </c>
      <c r="C45385" s="1">
        <v>1.8380663541953801E-4</v>
      </c>
      <c r="D45385" s="1">
        <v>0</v>
      </c>
      <c r="E45385" s="1">
        <v>0</v>
      </c>
      <c r="F45385" s="1">
        <v>1.65508109897384E-4</v>
      </c>
    </row>
    <row r="45386" spans="1:6" x14ac:dyDescent="0.25">
      <c r="A45386" s="2" t="str">
        <f t="shared" si="1431"/>
        <v>22620</v>
      </c>
      <c r="B45386" s="2" t="str">
        <f>"72335"</f>
        <v>72335</v>
      </c>
      <c r="C45386" s="1">
        <v>0.70774744968293302</v>
      </c>
      <c r="D45386" s="1">
        <v>0.822033898305084</v>
      </c>
      <c r="E45386" s="1">
        <v>0.89961389961389904</v>
      </c>
      <c r="F45386" s="1">
        <v>0.72078781860311103</v>
      </c>
    </row>
    <row r="45387" spans="1:6" x14ac:dyDescent="0.25">
      <c r="A45387" s="2" t="str">
        <f t="shared" ref="A45387:A45408" si="1432">"11620"</f>
        <v>11620</v>
      </c>
      <c r="B45387" s="2" t="str">
        <f>"73443"</f>
        <v>73443</v>
      </c>
      <c r="C45387" s="1">
        <v>3.9728586881699203E-2</v>
      </c>
      <c r="D45387" s="1">
        <v>1.07267363904532E-2</v>
      </c>
      <c r="E45387" s="1">
        <v>2.03619909502262E-2</v>
      </c>
      <c r="F45387" s="1">
        <v>3.6363112059518997E-2</v>
      </c>
    </row>
    <row r="45388" spans="1:6" x14ac:dyDescent="0.25">
      <c r="A45388" s="2" t="str">
        <f t="shared" si="1432"/>
        <v>11620</v>
      </c>
      <c r="B45388" s="2" t="str">
        <f>"73448"</f>
        <v>73448</v>
      </c>
      <c r="C45388" s="1">
        <v>0.121545874717278</v>
      </c>
      <c r="D45388" s="1">
        <v>8.1255028157682999E-2</v>
      </c>
      <c r="E45388" s="1">
        <v>7.0135746606334801E-2</v>
      </c>
      <c r="F45388" s="1">
        <v>0.11655804833035301</v>
      </c>
    </row>
    <row r="45389" spans="1:6" x14ac:dyDescent="0.25">
      <c r="A45389" s="2" t="str">
        <f t="shared" si="1432"/>
        <v>11620</v>
      </c>
      <c r="B45389" s="2" t="str">
        <f>"73436"</f>
        <v>73436</v>
      </c>
      <c r="C45389" s="1">
        <v>0</v>
      </c>
      <c r="D45389" s="1">
        <v>0</v>
      </c>
      <c r="E45389" s="1">
        <v>2.26244343891402E-3</v>
      </c>
      <c r="F45389" s="1">
        <v>2.8836726454812798E-5</v>
      </c>
    </row>
    <row r="45390" spans="1:6" x14ac:dyDescent="0.25">
      <c r="A45390" s="2" t="str">
        <f t="shared" si="1432"/>
        <v>11620</v>
      </c>
      <c r="B45390" s="2" t="str">
        <f>"73430"</f>
        <v>73430</v>
      </c>
      <c r="C45390" s="1">
        <v>2.5502343724391099E-2</v>
      </c>
      <c r="D45390" s="1">
        <v>3.4861893268972898E-3</v>
      </c>
      <c r="E45390" s="1">
        <v>5.2036199095022599E-2</v>
      </c>
      <c r="F45390" s="1">
        <v>2.3473095334217601E-2</v>
      </c>
    </row>
    <row r="45391" spans="1:6" x14ac:dyDescent="0.25">
      <c r="A45391" s="2" t="str">
        <f t="shared" si="1432"/>
        <v>11620</v>
      </c>
      <c r="B45391" s="2" t="str">
        <f>"73402"</f>
        <v>73402</v>
      </c>
      <c r="C45391" s="1">
        <v>3.9990821778608097E-2</v>
      </c>
      <c r="D45391" s="1">
        <v>0.118262268704746</v>
      </c>
      <c r="E45391" s="1">
        <v>4.5248868778280504E-3</v>
      </c>
      <c r="F45391" s="1">
        <v>4.7955476094353702E-2</v>
      </c>
    </row>
    <row r="45392" spans="1:6" x14ac:dyDescent="0.25">
      <c r="A45392" s="2" t="str">
        <f t="shared" si="1432"/>
        <v>11620</v>
      </c>
      <c r="B45392" s="2" t="str">
        <f>"73444"</f>
        <v>73444</v>
      </c>
      <c r="C45392" s="1">
        <v>1.0489395876356201E-3</v>
      </c>
      <c r="D45392" s="1">
        <v>0</v>
      </c>
      <c r="E45392" s="1">
        <v>2.26244343891402E-3</v>
      </c>
      <c r="F45392" s="1">
        <v>9.51611973008824E-4</v>
      </c>
    </row>
    <row r="45393" spans="1:6" x14ac:dyDescent="0.25">
      <c r="A45393" s="2" t="str">
        <f t="shared" si="1432"/>
        <v>11620</v>
      </c>
      <c r="B45393" s="2" t="str">
        <f>"73463"</f>
        <v>73463</v>
      </c>
      <c r="C45393" s="1">
        <v>5.7691677319959299E-2</v>
      </c>
      <c r="D45393" s="1">
        <v>4.29069455618128E-2</v>
      </c>
      <c r="E45393" s="1">
        <v>2.2624434389140202E-2</v>
      </c>
      <c r="F45393" s="1">
        <v>5.56548820577887E-2</v>
      </c>
    </row>
    <row r="45394" spans="1:6" x14ac:dyDescent="0.25">
      <c r="A45394" s="2" t="str">
        <f t="shared" si="1432"/>
        <v>11620</v>
      </c>
      <c r="B45394" s="2" t="str">
        <f>"73459"</f>
        <v>73459</v>
      </c>
      <c r="C45394" s="1">
        <v>2.5207329465368598E-2</v>
      </c>
      <c r="D45394" s="1">
        <v>1.1263073209975801E-2</v>
      </c>
      <c r="E45394" s="1">
        <v>7.4660633484162797E-2</v>
      </c>
      <c r="F45394" s="1">
        <v>2.4338197127862001E-2</v>
      </c>
    </row>
    <row r="45395" spans="1:6" x14ac:dyDescent="0.25">
      <c r="A45395" s="2" t="str">
        <f t="shared" si="1432"/>
        <v>11620</v>
      </c>
      <c r="B45395" s="2" t="str">
        <f>"73456"</f>
        <v>73456</v>
      </c>
      <c r="C45395" s="1">
        <v>8.0637230799488601E-3</v>
      </c>
      <c r="D45395" s="1">
        <v>2.41351568785197E-3</v>
      </c>
      <c r="E45395" s="1">
        <v>0</v>
      </c>
      <c r="F45395" s="1">
        <v>7.3533652459772704E-3</v>
      </c>
    </row>
    <row r="45396" spans="1:6" x14ac:dyDescent="0.25">
      <c r="A45396" s="2" t="str">
        <f t="shared" si="1432"/>
        <v>11620</v>
      </c>
      <c r="B45396" s="2" t="str">
        <f>"73401"</f>
        <v>73401</v>
      </c>
      <c r="C45396" s="1">
        <v>0.56927918182712101</v>
      </c>
      <c r="D45396" s="1">
        <v>0.66478948779833702</v>
      </c>
      <c r="E45396" s="1">
        <v>0.66515837104072295</v>
      </c>
      <c r="F45396" s="1">
        <v>0.58077167079992997</v>
      </c>
    </row>
    <row r="45397" spans="1:6" x14ac:dyDescent="0.25">
      <c r="A45397" s="2" t="str">
        <f t="shared" si="1432"/>
        <v>11620</v>
      </c>
      <c r="B45397" s="2" t="str">
        <f>"73488"</f>
        <v>73488</v>
      </c>
      <c r="C45397" s="1">
        <v>7.5392532861310495E-4</v>
      </c>
      <c r="D45397" s="1">
        <v>1.34084204880665E-3</v>
      </c>
      <c r="E45397" s="1">
        <v>2.26244343891402E-3</v>
      </c>
      <c r="F45397" s="1">
        <v>8.3626506718957204E-4</v>
      </c>
    </row>
    <row r="45398" spans="1:6" x14ac:dyDescent="0.25">
      <c r="A45398" s="2" t="str">
        <f t="shared" si="1432"/>
        <v>11620</v>
      </c>
      <c r="B45398" s="2" t="str">
        <f>"73446"</f>
        <v>73446</v>
      </c>
      <c r="C45398" s="1">
        <v>1.0489395876356201E-3</v>
      </c>
      <c r="D45398" s="1">
        <v>0</v>
      </c>
      <c r="E45398" s="1">
        <v>0</v>
      </c>
      <c r="F45398" s="1">
        <v>9.2277524655401096E-4</v>
      </c>
    </row>
    <row r="45399" spans="1:6" x14ac:dyDescent="0.25">
      <c r="A45399" s="2" t="str">
        <f t="shared" si="1432"/>
        <v>11620</v>
      </c>
      <c r="B45399" s="2" t="str">
        <f>"73458"</f>
        <v>73458</v>
      </c>
      <c r="C45399" s="1">
        <v>6.8508866817451703E-3</v>
      </c>
      <c r="D45399" s="1">
        <v>3.2180209171359599E-3</v>
      </c>
      <c r="E45399" s="1">
        <v>2.26244343891402E-3</v>
      </c>
      <c r="F45399" s="1">
        <v>6.4017532729684504E-3</v>
      </c>
    </row>
    <row r="45400" spans="1:6" x14ac:dyDescent="0.25">
      <c r="A45400" s="2" t="str">
        <f t="shared" si="1432"/>
        <v>11620</v>
      </c>
      <c r="B45400" s="2" t="str">
        <f>"73441"</f>
        <v>73441</v>
      </c>
      <c r="C45400" s="1">
        <v>2.2289966237257E-3</v>
      </c>
      <c r="D45400" s="1">
        <v>0</v>
      </c>
      <c r="E45400" s="1">
        <v>4.5248868778280504E-3</v>
      </c>
      <c r="F45400" s="1">
        <v>2.01857085183689E-3</v>
      </c>
    </row>
    <row r="45401" spans="1:6" x14ac:dyDescent="0.25">
      <c r="A45401" s="2" t="str">
        <f t="shared" si="1432"/>
        <v>11620</v>
      </c>
      <c r="B45401" s="2" t="str">
        <f>"73487"</f>
        <v>73487</v>
      </c>
      <c r="C45401" s="1">
        <v>0</v>
      </c>
      <c r="D45401" s="1">
        <v>0</v>
      </c>
      <c r="E45401" s="1">
        <v>2.26244343891402E-3</v>
      </c>
      <c r="F45401" s="1">
        <v>2.8836726454812798E-5</v>
      </c>
    </row>
    <row r="45402" spans="1:6" x14ac:dyDescent="0.25">
      <c r="A45402" s="2" t="str">
        <f t="shared" si="1432"/>
        <v>11620</v>
      </c>
      <c r="B45402" s="2" t="str">
        <f>"73453"</f>
        <v>73453</v>
      </c>
      <c r="C45402" s="1">
        <v>1.7569738092896699E-2</v>
      </c>
      <c r="D45402" s="1">
        <v>1.34084204880665E-3</v>
      </c>
      <c r="E45402" s="1">
        <v>2.26244343891402E-3</v>
      </c>
      <c r="F45402" s="1">
        <v>1.5629505738508499E-2</v>
      </c>
    </row>
    <row r="45403" spans="1:6" x14ac:dyDescent="0.25">
      <c r="A45403" s="2" t="str">
        <f t="shared" si="1432"/>
        <v>11620</v>
      </c>
      <c r="B45403" s="2" t="str">
        <f>"73437"</f>
        <v>73437</v>
      </c>
      <c r="C45403" s="1">
        <v>1.08171894974923E-3</v>
      </c>
      <c r="D45403" s="1">
        <v>0</v>
      </c>
      <c r="E45403" s="1">
        <v>2.26244343891402E-3</v>
      </c>
      <c r="F45403" s="1">
        <v>9.8044869946363597E-4</v>
      </c>
    </row>
    <row r="45404" spans="1:6" x14ac:dyDescent="0.25">
      <c r="A45404" s="2" t="str">
        <f t="shared" si="1432"/>
        <v>11620</v>
      </c>
      <c r="B45404" s="2" t="str">
        <f>"73438"</f>
        <v>73438</v>
      </c>
      <c r="C45404" s="1">
        <v>5.6085488576392298E-2</v>
      </c>
      <c r="D45404" s="1">
        <v>4.3979619200858099E-2</v>
      </c>
      <c r="E45404" s="1">
        <v>6.1085972850678703E-2</v>
      </c>
      <c r="F45404" s="1">
        <v>5.4847453717053997E-2</v>
      </c>
    </row>
    <row r="45405" spans="1:6" x14ac:dyDescent="0.25">
      <c r="A45405" s="2" t="str">
        <f t="shared" si="1432"/>
        <v>11620</v>
      </c>
      <c r="B45405" s="2" t="str">
        <f>"73481"</f>
        <v>73481</v>
      </c>
      <c r="C45405" s="1">
        <v>1.29150686727636E-2</v>
      </c>
      <c r="D45405" s="1">
        <v>5.09519978546527E-3</v>
      </c>
      <c r="E45405" s="1">
        <v>2.26244343891402E-3</v>
      </c>
      <c r="F45405" s="1">
        <v>1.1938404752292501E-2</v>
      </c>
    </row>
    <row r="45406" spans="1:6" x14ac:dyDescent="0.25">
      <c r="A45406" s="2" t="str">
        <f t="shared" si="1432"/>
        <v>11620</v>
      </c>
      <c r="B45406" s="2" t="str">
        <f>"73403"</f>
        <v>73403</v>
      </c>
      <c r="C45406" s="1">
        <v>1.33084210181269E-2</v>
      </c>
      <c r="D45406" s="1">
        <v>9.92223116116921E-3</v>
      </c>
      <c r="E45406" s="1">
        <v>4.5248868778280504E-3</v>
      </c>
      <c r="F45406" s="1">
        <v>1.2832343272391701E-2</v>
      </c>
    </row>
    <row r="45407" spans="1:6" x14ac:dyDescent="0.25">
      <c r="A45407" s="2" t="str">
        <f t="shared" si="1432"/>
        <v>11620</v>
      </c>
      <c r="B45407" s="2" t="str">
        <f>"73435"</f>
        <v>73435</v>
      </c>
      <c r="C45407" s="1">
        <v>0</v>
      </c>
      <c r="D45407" s="1">
        <v>0</v>
      </c>
      <c r="E45407" s="1">
        <v>2.26244343891402E-3</v>
      </c>
      <c r="F45407" s="1">
        <v>2.8836726454812798E-5</v>
      </c>
    </row>
    <row r="45408" spans="1:6" x14ac:dyDescent="0.25">
      <c r="A45408" s="2" t="str">
        <f t="shared" si="1432"/>
        <v>11620</v>
      </c>
      <c r="B45408" s="2" t="str">
        <f>"73433"</f>
        <v>73433</v>
      </c>
      <c r="C45408" s="1">
        <v>9.8338086340839798E-5</v>
      </c>
      <c r="D45408" s="1">
        <v>0</v>
      </c>
      <c r="E45408" s="1">
        <v>0</v>
      </c>
      <c r="F45408" s="1">
        <v>8.65101793644385E-5</v>
      </c>
    </row>
    <row r="45409" spans="1:6" x14ac:dyDescent="0.25">
      <c r="A45409" s="2" t="str">
        <f t="shared" ref="A45409:A45421" si="1433">"12780"</f>
        <v>12780</v>
      </c>
      <c r="B45409" s="2" t="str">
        <f>"74048"</f>
        <v>74048</v>
      </c>
      <c r="C45409" s="1">
        <v>2.24374555925358E-4</v>
      </c>
      <c r="D45409" s="1">
        <v>0</v>
      </c>
      <c r="E45409" s="1">
        <v>0</v>
      </c>
      <c r="F45409" s="1">
        <v>1.9894558838157701E-4</v>
      </c>
    </row>
    <row r="45410" spans="1:6" x14ac:dyDescent="0.25">
      <c r="A45410" s="2" t="str">
        <f t="shared" si="1433"/>
        <v>12780</v>
      </c>
      <c r="B45410" s="2" t="str">
        <f>"74003"</f>
        <v>74003</v>
      </c>
      <c r="C45410" s="1">
        <v>0.23862234022661799</v>
      </c>
      <c r="D45410" s="1">
        <v>0.31932457786116297</v>
      </c>
      <c r="E45410" s="1">
        <v>0.34262948207171301</v>
      </c>
      <c r="F45410" s="1">
        <v>0.24835040949633599</v>
      </c>
    </row>
    <row r="45411" spans="1:6" x14ac:dyDescent="0.25">
      <c r="A45411" s="2" t="str">
        <f t="shared" si="1433"/>
        <v>12780</v>
      </c>
      <c r="B45411" s="2" t="str">
        <f>"74006"</f>
        <v>74006</v>
      </c>
      <c r="C45411" s="1">
        <v>0.48506039415130298</v>
      </c>
      <c r="D45411" s="1">
        <v>0.43114446529080602</v>
      </c>
      <c r="E45411" s="1">
        <v>0.60956175298804705</v>
      </c>
      <c r="F45411" s="1">
        <v>0.48340462216917002</v>
      </c>
    </row>
    <row r="45412" spans="1:6" x14ac:dyDescent="0.25">
      <c r="A45412" s="2" t="str">
        <f t="shared" si="1433"/>
        <v>12780</v>
      </c>
      <c r="B45412" s="2" t="str">
        <f>"74021"</f>
        <v>74021</v>
      </c>
      <c r="C45412" s="1">
        <v>9.0497737556561007E-3</v>
      </c>
      <c r="D45412" s="1">
        <v>1.87617260787992E-3</v>
      </c>
      <c r="E45412" s="1">
        <v>0</v>
      </c>
      <c r="F45412" s="1">
        <v>8.1899267217082697E-3</v>
      </c>
    </row>
    <row r="45413" spans="1:6" x14ac:dyDescent="0.25">
      <c r="A45413" s="2" t="str">
        <f t="shared" si="1433"/>
        <v>12780</v>
      </c>
      <c r="B45413" s="2" t="str">
        <f>"74005"</f>
        <v>74005</v>
      </c>
      <c r="C45413" s="1">
        <v>4.3640851127482103E-2</v>
      </c>
      <c r="D45413" s="1">
        <v>0.111444652908067</v>
      </c>
      <c r="E45413" s="1">
        <v>2.6560424966799402E-3</v>
      </c>
      <c r="F45413" s="1">
        <v>4.8609038761232098E-2</v>
      </c>
    </row>
    <row r="45414" spans="1:6" x14ac:dyDescent="0.25">
      <c r="A45414" s="2" t="str">
        <f t="shared" si="1433"/>
        <v>12780</v>
      </c>
      <c r="B45414" s="2" t="str">
        <f>"74083"</f>
        <v>74083</v>
      </c>
      <c r="C45414" s="1">
        <v>1.87726711790882E-2</v>
      </c>
      <c r="D45414" s="1">
        <v>1.50093808630393E-3</v>
      </c>
      <c r="E45414" s="1">
        <v>0</v>
      </c>
      <c r="F45414" s="1">
        <v>1.67777446201797E-2</v>
      </c>
    </row>
    <row r="45415" spans="1:6" x14ac:dyDescent="0.25">
      <c r="A45415" s="2" t="str">
        <f t="shared" si="1433"/>
        <v>12780</v>
      </c>
      <c r="B45415" s="2" t="str">
        <f>"74080"</f>
        <v>74080</v>
      </c>
      <c r="C45415" s="1">
        <v>4.2631165625817997E-3</v>
      </c>
      <c r="D45415" s="1">
        <v>3.7523452157598401E-4</v>
      </c>
      <c r="E45415" s="1">
        <v>0</v>
      </c>
      <c r="F45415" s="1">
        <v>3.8131237773135701E-3</v>
      </c>
    </row>
    <row r="45416" spans="1:6" x14ac:dyDescent="0.25">
      <c r="A45416" s="2" t="str">
        <f t="shared" si="1433"/>
        <v>12780</v>
      </c>
      <c r="B45416" s="2" t="str">
        <f>"74070"</f>
        <v>74070</v>
      </c>
      <c r="C45416" s="1">
        <v>1.12561235555887E-2</v>
      </c>
      <c r="D45416" s="1">
        <v>1.12570356472795E-3</v>
      </c>
      <c r="E45416" s="1">
        <v>0</v>
      </c>
      <c r="F45416" s="1">
        <v>1.00799098113332E-2</v>
      </c>
    </row>
    <row r="45417" spans="1:6" x14ac:dyDescent="0.25">
      <c r="A45417" s="2" t="str">
        <f t="shared" si="1433"/>
        <v>12780</v>
      </c>
      <c r="B45417" s="2" t="str">
        <f>"74022"</f>
        <v>74022</v>
      </c>
      <c r="C45417" s="1">
        <v>2.3334953816237201E-2</v>
      </c>
      <c r="D45417" s="1">
        <v>4.5028142589118103E-3</v>
      </c>
      <c r="E45417" s="1">
        <v>3.9840637450199202E-3</v>
      </c>
      <c r="F45417" s="1">
        <v>2.1187705162638001E-2</v>
      </c>
    </row>
    <row r="45418" spans="1:6" x14ac:dyDescent="0.25">
      <c r="A45418" s="2" t="str">
        <f t="shared" si="1433"/>
        <v>12780</v>
      </c>
      <c r="B45418" s="2" t="str">
        <f>"74061"</f>
        <v>74061</v>
      </c>
      <c r="C45418" s="1">
        <v>3.4030140982012597E-2</v>
      </c>
      <c r="D45418" s="1">
        <v>9.7560975609755993E-3</v>
      </c>
      <c r="E45418" s="1">
        <v>1.3280212483399701E-3</v>
      </c>
      <c r="F45418" s="1">
        <v>3.1068669385589699E-2</v>
      </c>
    </row>
    <row r="45419" spans="1:6" x14ac:dyDescent="0.25">
      <c r="A45419" s="2" t="str">
        <f t="shared" si="1433"/>
        <v>12780</v>
      </c>
      <c r="B45419" s="2" t="str">
        <f>"74029"</f>
        <v>74029</v>
      </c>
      <c r="C45419" s="1">
        <v>0.10317489996634301</v>
      </c>
      <c r="D45419" s="1">
        <v>0.108067542213883</v>
      </c>
      <c r="E45419" s="1">
        <v>2.92164674634794E-2</v>
      </c>
      <c r="F45419" s="1">
        <v>0.101760668457176</v>
      </c>
    </row>
    <row r="45420" spans="1:6" x14ac:dyDescent="0.25">
      <c r="A45420" s="2" t="str">
        <f t="shared" si="1433"/>
        <v>12780</v>
      </c>
      <c r="B45420" s="2" t="str">
        <f>"74082"</f>
        <v>74082</v>
      </c>
      <c r="C45420" s="1">
        <v>0</v>
      </c>
      <c r="D45420" s="1">
        <v>0</v>
      </c>
      <c r="E45420" s="1">
        <v>1.3280212483399701E-3</v>
      </c>
      <c r="F45420" s="1">
        <v>3.31575980635962E-5</v>
      </c>
    </row>
    <row r="45421" spans="1:6" x14ac:dyDescent="0.25">
      <c r="A45421" s="2" t="str">
        <f t="shared" si="1433"/>
        <v>12780</v>
      </c>
      <c r="B45421" s="2" t="str">
        <f>"74051"</f>
        <v>74051</v>
      </c>
      <c r="C45421" s="1">
        <v>2.8570360121162201E-2</v>
      </c>
      <c r="D45421" s="1">
        <v>1.08818011257035E-2</v>
      </c>
      <c r="E45421" s="1">
        <v>9.2961487383798093E-3</v>
      </c>
      <c r="F45421" s="1">
        <v>2.6526078450877E-2</v>
      </c>
    </row>
    <row r="45422" spans="1:6" x14ac:dyDescent="0.25">
      <c r="A45422" s="2" t="str">
        <f t="shared" ref="A45422:A45428" si="1434">"25100"</f>
        <v>25100</v>
      </c>
      <c r="B45422" s="2" t="str">
        <f>"73901"</f>
        <v>73901</v>
      </c>
      <c r="C45422" s="1">
        <v>0</v>
      </c>
      <c r="D45422" s="1">
        <v>0</v>
      </c>
      <c r="E45422" s="1">
        <v>5.9523809523809503E-3</v>
      </c>
      <c r="F45422" s="1">
        <v>1.3068478829064199E-4</v>
      </c>
    </row>
    <row r="45423" spans="1:6" x14ac:dyDescent="0.25">
      <c r="A45423" s="2" t="str">
        <f t="shared" si="1434"/>
        <v>25100</v>
      </c>
      <c r="B45423" s="2" t="str">
        <f>"73951"</f>
        <v>73951</v>
      </c>
      <c r="C45423" s="1">
        <v>2.48190279214064E-2</v>
      </c>
      <c r="D45423" s="1">
        <v>2.7972027972027898E-3</v>
      </c>
      <c r="E45423" s="1">
        <v>0</v>
      </c>
      <c r="F45423" s="1">
        <v>2.22164140094093E-2</v>
      </c>
    </row>
    <row r="45424" spans="1:6" x14ac:dyDescent="0.25">
      <c r="A45424" s="2" t="str">
        <f t="shared" si="1434"/>
        <v>25100</v>
      </c>
      <c r="B45424" s="2" t="str">
        <f>"73945"</f>
        <v>73945</v>
      </c>
      <c r="C45424" s="1">
        <v>7.5491209927611103E-2</v>
      </c>
      <c r="D45424" s="1">
        <v>4.3356643356643298E-2</v>
      </c>
      <c r="E45424" s="1">
        <v>3.5714285714285698E-2</v>
      </c>
      <c r="F45424" s="1">
        <v>7.1615263983272295E-2</v>
      </c>
    </row>
    <row r="45425" spans="1:6" x14ac:dyDescent="0.25">
      <c r="A45425" s="2" t="str">
        <f t="shared" si="1434"/>
        <v>25100</v>
      </c>
      <c r="B45425" s="2" t="str">
        <f>"73942"</f>
        <v>73942</v>
      </c>
      <c r="C45425" s="1">
        <v>0.80972078593588404</v>
      </c>
      <c r="D45425" s="1">
        <v>0.90349650349650301</v>
      </c>
      <c r="E45425" s="1">
        <v>0.952380952380952</v>
      </c>
      <c r="F45425" s="1">
        <v>0.821615263983272</v>
      </c>
    </row>
    <row r="45426" spans="1:6" x14ac:dyDescent="0.25">
      <c r="A45426" s="2" t="str">
        <f t="shared" si="1434"/>
        <v>25100</v>
      </c>
      <c r="B45426" s="2" t="str">
        <f>"73944"</f>
        <v>73944</v>
      </c>
      <c r="C45426" s="1">
        <v>1.8466538631998802E-2</v>
      </c>
      <c r="D45426" s="1">
        <v>1.11888111888111E-2</v>
      </c>
      <c r="E45426" s="1">
        <v>5.9523809523809503E-3</v>
      </c>
      <c r="F45426" s="1">
        <v>1.7511761630946102E-2</v>
      </c>
    </row>
    <row r="45427" spans="1:6" x14ac:dyDescent="0.25">
      <c r="A45427" s="2" t="str">
        <f t="shared" si="1434"/>
        <v>25100</v>
      </c>
      <c r="B45427" s="2" t="str">
        <f>"73949"</f>
        <v>73949</v>
      </c>
      <c r="C45427" s="1">
        <v>3.7819471118333503E-2</v>
      </c>
      <c r="D45427" s="1">
        <v>2.3776223776223699E-2</v>
      </c>
      <c r="E45427" s="1">
        <v>0</v>
      </c>
      <c r="F45427" s="1">
        <v>3.5676947203345501E-2</v>
      </c>
    </row>
    <row r="45428" spans="1:6" x14ac:dyDescent="0.25">
      <c r="A45428" s="2" t="str">
        <f t="shared" si="1434"/>
        <v>25100</v>
      </c>
      <c r="B45428" s="2" t="str">
        <f>"73939"</f>
        <v>73939</v>
      </c>
      <c r="C45428" s="1">
        <v>3.3682966464765797E-2</v>
      </c>
      <c r="D45428" s="1">
        <v>1.53846153846153E-2</v>
      </c>
      <c r="E45428" s="1">
        <v>0</v>
      </c>
      <c r="F45428" s="1">
        <v>3.12336644014636E-2</v>
      </c>
    </row>
    <row r="45429" spans="1:6" x14ac:dyDescent="0.25">
      <c r="A45429" s="2" t="str">
        <f t="shared" ref="A45429:A45445" si="1435">"45140"</f>
        <v>45140</v>
      </c>
      <c r="B45429" s="2" t="str">
        <f>"74465"</f>
        <v>74465</v>
      </c>
      <c r="C45429" s="1">
        <v>4.1420560747663503E-2</v>
      </c>
      <c r="D45429" s="1">
        <v>0.128277153558052</v>
      </c>
      <c r="E45429" s="1">
        <v>2.3668639053254399E-3</v>
      </c>
      <c r="F45429" s="1">
        <v>4.6550738286636799E-2</v>
      </c>
    </row>
    <row r="45430" spans="1:6" x14ac:dyDescent="0.25">
      <c r="A45430" s="2" t="str">
        <f t="shared" si="1435"/>
        <v>45140</v>
      </c>
      <c r="B45430" s="2" t="str">
        <f>"74364"</f>
        <v>74364</v>
      </c>
      <c r="C45430" s="1">
        <v>6.4672897196261601E-3</v>
      </c>
      <c r="D45430" s="1">
        <v>2.3408239700374498E-3</v>
      </c>
      <c r="E45430" s="1">
        <v>0</v>
      </c>
      <c r="F45430" s="1">
        <v>5.9870169183680296E-3</v>
      </c>
    </row>
    <row r="45431" spans="1:6" x14ac:dyDescent="0.25">
      <c r="A45431" s="2" t="str">
        <f t="shared" si="1435"/>
        <v>45140</v>
      </c>
      <c r="B45431" s="2" t="str">
        <f>"74960"</f>
        <v>74960</v>
      </c>
      <c r="C45431" s="1">
        <v>2.8299065420560699E-2</v>
      </c>
      <c r="D45431" s="1">
        <v>5.6179775280898797E-3</v>
      </c>
      <c r="E45431" s="1">
        <v>0</v>
      </c>
      <c r="F45431" s="1">
        <v>2.5865258484410202E-2</v>
      </c>
    </row>
    <row r="45432" spans="1:6" x14ac:dyDescent="0.25">
      <c r="A45432" s="2" t="str">
        <f t="shared" si="1435"/>
        <v>45140</v>
      </c>
      <c r="B45432" s="2" t="str">
        <f>"74457"</f>
        <v>74457</v>
      </c>
      <c r="C45432" s="1">
        <v>1.38691588785046E-2</v>
      </c>
      <c r="D45432" s="1">
        <v>0</v>
      </c>
      <c r="E45432" s="1">
        <v>1.18343195266272E-3</v>
      </c>
      <c r="F45432" s="1">
        <v>1.2512192660859E-2</v>
      </c>
    </row>
    <row r="45433" spans="1:6" x14ac:dyDescent="0.25">
      <c r="A45433" s="2" t="str">
        <f t="shared" si="1435"/>
        <v>45140</v>
      </c>
      <c r="B45433" s="2" t="str">
        <f>"74962"</f>
        <v>74962</v>
      </c>
      <c r="C45433" s="1">
        <v>2.3177570093457899E-3</v>
      </c>
      <c r="D45433" s="1">
        <v>0</v>
      </c>
      <c r="E45433" s="1">
        <v>0</v>
      </c>
      <c r="F45433" s="1">
        <v>2.0853654434764999E-3</v>
      </c>
    </row>
    <row r="45434" spans="1:6" x14ac:dyDescent="0.25">
      <c r="A45434" s="2" t="str">
        <f t="shared" si="1435"/>
        <v>45140</v>
      </c>
      <c r="B45434" s="2" t="str">
        <f>"74451"</f>
        <v>74451</v>
      </c>
      <c r="C45434" s="1">
        <v>0.12</v>
      </c>
      <c r="D45434" s="1">
        <v>5.3370786516853903E-2</v>
      </c>
      <c r="E45434" s="1">
        <v>4.0236686390532503E-2</v>
      </c>
      <c r="F45434" s="1">
        <v>0.112946083212808</v>
      </c>
    </row>
    <row r="45435" spans="1:6" x14ac:dyDescent="0.25">
      <c r="A45435" s="2" t="str">
        <f t="shared" si="1435"/>
        <v>45140</v>
      </c>
      <c r="B45435" s="2" t="str">
        <f>"74441"</f>
        <v>74441</v>
      </c>
      <c r="C45435" s="1">
        <v>9.4392523364485906E-2</v>
      </c>
      <c r="D45435" s="1">
        <v>2.9962546816479401E-2</v>
      </c>
      <c r="E45435" s="1">
        <v>3.0769230769230702E-2</v>
      </c>
      <c r="F45435" s="1">
        <v>8.7955332817597695E-2</v>
      </c>
    </row>
    <row r="45436" spans="1:6" x14ac:dyDescent="0.25">
      <c r="A45436" s="2" t="str">
        <f t="shared" si="1435"/>
        <v>45140</v>
      </c>
      <c r="B45436" s="2" t="str">
        <f>"74359"</f>
        <v>74359</v>
      </c>
      <c r="C45436" s="1">
        <v>4.8598130841121401E-4</v>
      </c>
      <c r="D45436" s="1">
        <v>0</v>
      </c>
      <c r="E45436" s="1">
        <v>0</v>
      </c>
      <c r="F45436" s="1">
        <v>4.3725404459991202E-4</v>
      </c>
    </row>
    <row r="45437" spans="1:6" x14ac:dyDescent="0.25">
      <c r="A45437" s="2" t="str">
        <f t="shared" si="1435"/>
        <v>45140</v>
      </c>
      <c r="B45437" s="2" t="str">
        <f>"74464"</f>
        <v>74464</v>
      </c>
      <c r="C45437" s="1">
        <v>0.56665420560747604</v>
      </c>
      <c r="D45437" s="1">
        <v>0.74391385767790197</v>
      </c>
      <c r="E45437" s="1">
        <v>0.906508875739644</v>
      </c>
      <c r="F45437" s="1">
        <v>0.58904846792909704</v>
      </c>
    </row>
    <row r="45438" spans="1:6" x14ac:dyDescent="0.25">
      <c r="A45438" s="2" t="str">
        <f t="shared" si="1435"/>
        <v>45140</v>
      </c>
      <c r="B45438" s="2" t="str">
        <f>"74434"</f>
        <v>74434</v>
      </c>
      <c r="C45438" s="1">
        <v>3.66728971962616E-2</v>
      </c>
      <c r="D45438" s="1">
        <v>4.2134831460674104E-3</v>
      </c>
      <c r="E45438" s="1">
        <v>8.2840236686390501E-3</v>
      </c>
      <c r="F45438" s="1">
        <v>3.35340217281625E-2</v>
      </c>
    </row>
    <row r="45439" spans="1:6" x14ac:dyDescent="0.25">
      <c r="A45439" s="2" t="str">
        <f t="shared" si="1435"/>
        <v>45140</v>
      </c>
      <c r="B45439" s="2" t="str">
        <f>"74427"</f>
        <v>74427</v>
      </c>
      <c r="C45439" s="1">
        <v>3.3831775700934499E-2</v>
      </c>
      <c r="D45439" s="1">
        <v>2.1067415730336998E-2</v>
      </c>
      <c r="E45439" s="1">
        <v>1.18343195266272E-3</v>
      </c>
      <c r="F45439" s="1">
        <v>3.1986815108808901E-2</v>
      </c>
    </row>
    <row r="45440" spans="1:6" x14ac:dyDescent="0.25">
      <c r="A45440" s="2" t="str">
        <f t="shared" si="1435"/>
        <v>45140</v>
      </c>
      <c r="B45440" s="2" t="str">
        <f>"74931"</f>
        <v>74931</v>
      </c>
      <c r="C45440" s="1">
        <v>1.7607476635513999E-2</v>
      </c>
      <c r="D45440" s="1">
        <v>1.4044943820224699E-3</v>
      </c>
      <c r="E45440" s="1">
        <v>1.18343195266272E-3</v>
      </c>
      <c r="F45440" s="1">
        <v>1.59765900911506E-2</v>
      </c>
    </row>
    <row r="45441" spans="1:6" x14ac:dyDescent="0.25">
      <c r="A45441" s="2" t="str">
        <f t="shared" si="1435"/>
        <v>45140</v>
      </c>
      <c r="B45441" s="2" t="str">
        <f>"74471"</f>
        <v>74471</v>
      </c>
      <c r="C45441" s="1">
        <v>2.69158878504672E-2</v>
      </c>
      <c r="D45441" s="1">
        <v>7.9588014981273394E-3</v>
      </c>
      <c r="E45441" s="1">
        <v>5.9171597633135998E-3</v>
      </c>
      <c r="F45441" s="1">
        <v>2.49571154687027E-2</v>
      </c>
    </row>
    <row r="45442" spans="1:6" x14ac:dyDescent="0.25">
      <c r="A45442" s="2" t="str">
        <f t="shared" si="1435"/>
        <v>45140</v>
      </c>
      <c r="B45442" s="2" t="str">
        <f>"74347"</f>
        <v>74347</v>
      </c>
      <c r="C45442" s="1">
        <v>1.04672897196261E-3</v>
      </c>
      <c r="D45442" s="1">
        <v>0</v>
      </c>
      <c r="E45442" s="1">
        <v>0</v>
      </c>
      <c r="F45442" s="1">
        <v>9.4177794221519603E-4</v>
      </c>
    </row>
    <row r="45443" spans="1:6" x14ac:dyDescent="0.25">
      <c r="A45443" s="2" t="str">
        <f t="shared" si="1435"/>
        <v>45140</v>
      </c>
      <c r="B45443" s="2" t="str">
        <f>"74452"</f>
        <v>74452</v>
      </c>
      <c r="C45443" s="1">
        <v>5.08411214953271E-3</v>
      </c>
      <c r="D45443" s="1">
        <v>9.3632958801498096E-4</v>
      </c>
      <c r="E45443" s="1">
        <v>1.18343195266272E-3</v>
      </c>
      <c r="F45443" s="1">
        <v>4.6752547845682899E-3</v>
      </c>
    </row>
    <row r="45444" spans="1:6" x14ac:dyDescent="0.25">
      <c r="A45444" s="2" t="str">
        <f t="shared" si="1435"/>
        <v>45140</v>
      </c>
      <c r="B45444" s="2" t="str">
        <f>"74352"</f>
        <v>74352</v>
      </c>
      <c r="C45444" s="1">
        <v>4.9345794392523304E-3</v>
      </c>
      <c r="D45444" s="1">
        <v>9.3632958801498096E-4</v>
      </c>
      <c r="E45444" s="1">
        <v>0</v>
      </c>
      <c r="F45444" s="1">
        <v>4.5070801520298602E-3</v>
      </c>
    </row>
    <row r="45445" spans="1:6" x14ac:dyDescent="0.25">
      <c r="A45445" s="2" t="str">
        <f t="shared" si="1435"/>
        <v>45140</v>
      </c>
      <c r="B45445" s="2" t="str">
        <f>"74444"</f>
        <v>74444</v>
      </c>
      <c r="C45445" s="1">
        <v>0</v>
      </c>
      <c r="D45445" s="1">
        <v>0</v>
      </c>
      <c r="E45445" s="1">
        <v>1.18343195266272E-3</v>
      </c>
      <c r="F45445" s="1">
        <v>3.3634926507685497E-5</v>
      </c>
    </row>
    <row r="45446" spans="1:6" x14ac:dyDescent="0.25">
      <c r="A45446" s="2" t="str">
        <f t="shared" ref="A45446:A45465" si="1436">"14300"</f>
        <v>14300</v>
      </c>
      <c r="B45446" s="2" t="str">
        <f>"75443"</f>
        <v>75443</v>
      </c>
      <c r="C45446" s="1">
        <v>0</v>
      </c>
      <c r="D45446" s="1">
        <v>0</v>
      </c>
      <c r="E45446" s="1">
        <v>1.5220700152207001E-3</v>
      </c>
      <c r="F45446" s="1">
        <v>5.0489750580632102E-5</v>
      </c>
    </row>
    <row r="45447" spans="1:6" x14ac:dyDescent="0.25">
      <c r="A45447" s="2" t="str">
        <f t="shared" si="1436"/>
        <v>14300</v>
      </c>
      <c r="B45447" s="2" t="str">
        <f>"75490"</f>
        <v>75490</v>
      </c>
      <c r="C45447" s="1">
        <v>6.6250414410432001E-2</v>
      </c>
      <c r="D45447" s="1">
        <v>3.6156041864890499E-2</v>
      </c>
      <c r="E45447" s="1">
        <v>0.18417047184170399</v>
      </c>
      <c r="F45447" s="1">
        <v>6.8565081288498406E-2</v>
      </c>
    </row>
    <row r="45448" spans="1:6" x14ac:dyDescent="0.25">
      <c r="A45448" s="2" t="str">
        <f t="shared" si="1436"/>
        <v>14300</v>
      </c>
      <c r="B45448" s="2" t="str">
        <f>"75413"</f>
        <v>75413</v>
      </c>
      <c r="C45448" s="1">
        <v>0</v>
      </c>
      <c r="D45448" s="1">
        <v>0</v>
      </c>
      <c r="E45448" s="1">
        <v>1.5220700152207001E-3</v>
      </c>
      <c r="F45448" s="1">
        <v>5.0489750580632102E-5</v>
      </c>
    </row>
    <row r="45449" spans="1:6" x14ac:dyDescent="0.25">
      <c r="A45449" s="2" t="str">
        <f t="shared" si="1436"/>
        <v>14300</v>
      </c>
      <c r="B45449" s="2" t="str">
        <f>"75414"</f>
        <v>75414</v>
      </c>
      <c r="C45449" s="1">
        <v>1.10509448557851E-4</v>
      </c>
      <c r="D45449" s="1">
        <v>0</v>
      </c>
      <c r="E45449" s="1">
        <v>0</v>
      </c>
      <c r="F45449" s="1">
        <v>1.00979501161264E-4</v>
      </c>
    </row>
    <row r="45450" spans="1:6" x14ac:dyDescent="0.25">
      <c r="A45450" s="2" t="str">
        <f t="shared" si="1436"/>
        <v>14300</v>
      </c>
      <c r="B45450" s="2" t="str">
        <f>"75446"</f>
        <v>75446</v>
      </c>
      <c r="C45450" s="1">
        <v>0.10923858989943599</v>
      </c>
      <c r="D45450" s="1">
        <v>0.14176974310180701</v>
      </c>
      <c r="E45450" s="1">
        <v>5.3272450532724502E-2</v>
      </c>
      <c r="F45450" s="1">
        <v>0.109108351004746</v>
      </c>
    </row>
    <row r="45451" spans="1:6" x14ac:dyDescent="0.25">
      <c r="A45451" s="2" t="str">
        <f t="shared" si="1436"/>
        <v>14300</v>
      </c>
      <c r="B45451" s="2" t="str">
        <f>"75491"</f>
        <v>75491</v>
      </c>
      <c r="C45451" s="1">
        <v>2.6411758205326499E-2</v>
      </c>
      <c r="D45451" s="1">
        <v>3.8058991436726898E-3</v>
      </c>
      <c r="E45451" s="1">
        <v>0</v>
      </c>
      <c r="F45451" s="1">
        <v>2.43360597798646E-2</v>
      </c>
    </row>
    <row r="45452" spans="1:6" x14ac:dyDescent="0.25">
      <c r="A45452" s="2" t="str">
        <f t="shared" si="1436"/>
        <v>14300</v>
      </c>
      <c r="B45452" s="2" t="str">
        <f>"75439"</f>
        <v>75439</v>
      </c>
      <c r="C45452" s="1">
        <v>2.1162559398828499E-2</v>
      </c>
      <c r="D45452" s="1">
        <v>2.85442435775451E-3</v>
      </c>
      <c r="E45452" s="1">
        <v>1.2176560121765601E-2</v>
      </c>
      <c r="F45452" s="1">
        <v>1.9892961728769001E-2</v>
      </c>
    </row>
    <row r="45453" spans="1:6" x14ac:dyDescent="0.25">
      <c r="A45453" s="2" t="str">
        <f t="shared" si="1436"/>
        <v>14300</v>
      </c>
      <c r="B45453" s="2" t="str">
        <f>"75475"</f>
        <v>75475</v>
      </c>
      <c r="C45453" s="1">
        <v>0</v>
      </c>
      <c r="D45453" s="1">
        <v>0</v>
      </c>
      <c r="E45453" s="1">
        <v>1.5220700152207001E-3</v>
      </c>
      <c r="F45453" s="1">
        <v>5.0489750580632102E-5</v>
      </c>
    </row>
    <row r="45454" spans="1:6" x14ac:dyDescent="0.25">
      <c r="A45454" s="2" t="str">
        <f t="shared" si="1436"/>
        <v>14300</v>
      </c>
      <c r="B45454" s="2" t="str">
        <f>"75447"</f>
        <v>75447</v>
      </c>
      <c r="C45454" s="1">
        <v>4.5695656978671603E-2</v>
      </c>
      <c r="D45454" s="1">
        <v>8.5632730732635495E-3</v>
      </c>
      <c r="E45454" s="1">
        <v>1.5220700152207001E-3</v>
      </c>
      <c r="F45454" s="1">
        <v>4.2259921235988998E-2</v>
      </c>
    </row>
    <row r="45455" spans="1:6" x14ac:dyDescent="0.25">
      <c r="A45455" s="2" t="str">
        <f t="shared" si="1436"/>
        <v>14300</v>
      </c>
      <c r="B45455" s="2" t="str">
        <f>"75424"</f>
        <v>75424</v>
      </c>
      <c r="C45455" s="1">
        <v>5.7464913250082801E-3</v>
      </c>
      <c r="D45455" s="1">
        <v>1.9029495718363399E-3</v>
      </c>
      <c r="E45455" s="1">
        <v>0</v>
      </c>
      <c r="F45455" s="1">
        <v>5.3519135615469997E-3</v>
      </c>
    </row>
    <row r="45456" spans="1:6" x14ac:dyDescent="0.25">
      <c r="A45456" s="2" t="str">
        <f t="shared" si="1436"/>
        <v>14300</v>
      </c>
      <c r="B45456" s="2" t="str">
        <f>"75492"</f>
        <v>75492</v>
      </c>
      <c r="C45456" s="1">
        <v>1.67974361807934E-2</v>
      </c>
      <c r="D45456" s="1">
        <v>2.85442435775451E-3</v>
      </c>
      <c r="E45456" s="1">
        <v>1.5220700152207001E-3</v>
      </c>
      <c r="F45456" s="1">
        <v>1.55508431788346E-2</v>
      </c>
    </row>
    <row r="45457" spans="1:6" x14ac:dyDescent="0.25">
      <c r="A45457" s="2" t="str">
        <f t="shared" si="1436"/>
        <v>14300</v>
      </c>
      <c r="B45457" s="2" t="str">
        <f>"75488"</f>
        <v>75488</v>
      </c>
      <c r="C45457" s="1">
        <v>3.1826721184661198E-2</v>
      </c>
      <c r="D45457" s="1">
        <v>9.5147478591817299E-4</v>
      </c>
      <c r="E45457" s="1">
        <v>0.46727549467275398</v>
      </c>
      <c r="F45457" s="1">
        <v>4.4632939513278798E-2</v>
      </c>
    </row>
    <row r="45458" spans="1:6" x14ac:dyDescent="0.25">
      <c r="A45458" s="2" t="str">
        <f t="shared" si="1436"/>
        <v>14300</v>
      </c>
      <c r="B45458" s="2" t="str">
        <f>"75418"</f>
        <v>75418</v>
      </c>
      <c r="C45458" s="1">
        <v>0.371753784948613</v>
      </c>
      <c r="D45458" s="1">
        <v>0.65651760228353895</v>
      </c>
      <c r="E45458" s="1">
        <v>0.17503805175038001</v>
      </c>
      <c r="F45458" s="1">
        <v>0.38033929112390102</v>
      </c>
    </row>
    <row r="45459" spans="1:6" x14ac:dyDescent="0.25">
      <c r="A45459" s="2" t="str">
        <f t="shared" si="1436"/>
        <v>14300</v>
      </c>
      <c r="B45459" s="2" t="str">
        <f>"75449"</f>
        <v>75449</v>
      </c>
      <c r="C45459" s="1">
        <v>3.8125759752458799E-2</v>
      </c>
      <c r="D45459" s="1">
        <v>5.3282588011417602E-2</v>
      </c>
      <c r="E45459" s="1">
        <v>2.1308980213089801E-2</v>
      </c>
      <c r="F45459" s="1">
        <v>3.8372210441280398E-2</v>
      </c>
    </row>
    <row r="45460" spans="1:6" x14ac:dyDescent="0.25">
      <c r="A45460" s="2" t="str">
        <f t="shared" si="1436"/>
        <v>14300</v>
      </c>
      <c r="B45460" s="2" t="str">
        <f>"75423"</f>
        <v>75423</v>
      </c>
      <c r="C45460" s="1">
        <v>1.5471322798099199E-3</v>
      </c>
      <c r="D45460" s="1">
        <v>0</v>
      </c>
      <c r="E45460" s="1">
        <v>0</v>
      </c>
      <c r="F45460" s="1">
        <v>1.4137130162576901E-3</v>
      </c>
    </row>
    <row r="45461" spans="1:6" x14ac:dyDescent="0.25">
      <c r="A45461" s="2" t="str">
        <f t="shared" si="1436"/>
        <v>14300</v>
      </c>
      <c r="B45461" s="2" t="str">
        <f>"75479"</f>
        <v>75479</v>
      </c>
      <c r="C45461" s="1">
        <v>5.3210299480605502E-2</v>
      </c>
      <c r="D45461" s="1">
        <v>2.1883920076117901E-2</v>
      </c>
      <c r="E45461" s="1">
        <v>7.6103500761035003E-3</v>
      </c>
      <c r="F45461" s="1">
        <v>5.0035342825406399E-2</v>
      </c>
    </row>
    <row r="45462" spans="1:6" x14ac:dyDescent="0.25">
      <c r="A45462" s="2" t="str">
        <f t="shared" si="1436"/>
        <v>14300</v>
      </c>
      <c r="B45462" s="2" t="str">
        <f>"75452"</f>
        <v>75452</v>
      </c>
      <c r="C45462" s="1">
        <v>0.11194607138910299</v>
      </c>
      <c r="D45462" s="1">
        <v>4.5670789724072298E-2</v>
      </c>
      <c r="E45462" s="1">
        <v>6.5449010654490103E-2</v>
      </c>
      <c r="F45462" s="1">
        <v>0.106886801979198</v>
      </c>
    </row>
    <row r="45463" spans="1:6" x14ac:dyDescent="0.25">
      <c r="A45463" s="2" t="str">
        <f t="shared" si="1436"/>
        <v>14300</v>
      </c>
      <c r="B45463" s="2" t="str">
        <f>"75438"</f>
        <v>75438</v>
      </c>
      <c r="C45463" s="1">
        <v>2.8677201900762499E-2</v>
      </c>
      <c r="D45463" s="1">
        <v>2.85442435775451E-3</v>
      </c>
      <c r="E45463" s="1">
        <v>4.5662100456621002E-3</v>
      </c>
      <c r="F45463" s="1">
        <v>2.6507119054831801E-2</v>
      </c>
    </row>
    <row r="45464" spans="1:6" x14ac:dyDescent="0.25">
      <c r="A45464" s="2" t="str">
        <f t="shared" si="1436"/>
        <v>14300</v>
      </c>
      <c r="B45464" s="2" t="str">
        <f>"75476"</f>
        <v>75476</v>
      </c>
      <c r="C45464" s="1">
        <v>6.0945960879655203E-2</v>
      </c>
      <c r="D45464" s="1">
        <v>1.8078020932445201E-2</v>
      </c>
      <c r="E45464" s="1">
        <v>1.5220700152207001E-3</v>
      </c>
      <c r="F45464" s="1">
        <v>5.6699989902049802E-2</v>
      </c>
    </row>
    <row r="45465" spans="1:6" x14ac:dyDescent="0.25">
      <c r="A45465" s="2" t="str">
        <f t="shared" si="1436"/>
        <v>14300</v>
      </c>
      <c r="B45465" s="2" t="str">
        <f>"75496"</f>
        <v>75496</v>
      </c>
      <c r="C45465" s="1">
        <v>1.05536523372748E-2</v>
      </c>
      <c r="D45465" s="1">
        <v>2.85442435775451E-3</v>
      </c>
      <c r="E45465" s="1">
        <v>0</v>
      </c>
      <c r="F45465" s="1">
        <v>9.7950116126426304E-3</v>
      </c>
    </row>
    <row r="45466" spans="1:6" x14ac:dyDescent="0.25">
      <c r="A45466" s="2" t="str">
        <f t="shared" ref="A45466:A45477" si="1437">"33420"</f>
        <v>33420</v>
      </c>
      <c r="B45466" s="2" t="str">
        <f>"76067"</f>
        <v>76067</v>
      </c>
      <c r="C45466" s="1">
        <v>0.66106956399040395</v>
      </c>
      <c r="D45466" s="1">
        <v>0.793495934959349</v>
      </c>
      <c r="E45466" s="1">
        <v>0.63752276867030899</v>
      </c>
      <c r="F45466" s="1">
        <v>0.67046950416849405</v>
      </c>
    </row>
    <row r="45467" spans="1:6" x14ac:dyDescent="0.25">
      <c r="A45467" s="2" t="str">
        <f t="shared" si="1437"/>
        <v>33420</v>
      </c>
      <c r="B45467" s="2" t="str">
        <f>"76475"</f>
        <v>76475</v>
      </c>
      <c r="C45467" s="1">
        <v>2.7726823761817398E-2</v>
      </c>
      <c r="D45467" s="1">
        <v>2.0325203252032499E-2</v>
      </c>
      <c r="E45467" s="1">
        <v>4.7358834244080099E-2</v>
      </c>
      <c r="F45467" s="1">
        <v>2.7831755782611399E-2</v>
      </c>
    </row>
    <row r="45468" spans="1:6" x14ac:dyDescent="0.25">
      <c r="A45468" s="2" t="str">
        <f t="shared" si="1437"/>
        <v>33420</v>
      </c>
      <c r="B45468" s="2" t="str">
        <f>"76463"</f>
        <v>76463</v>
      </c>
      <c r="C45468" s="1">
        <v>7.9017920135459208E-3</v>
      </c>
      <c r="D45468" s="1">
        <v>1.13821138211382E-2</v>
      </c>
      <c r="E45468" s="1">
        <v>7.2859744990892497E-3</v>
      </c>
      <c r="F45468" s="1">
        <v>8.1489375039177497E-3</v>
      </c>
    </row>
    <row r="45469" spans="1:6" x14ac:dyDescent="0.25">
      <c r="A45469" s="2" t="str">
        <f t="shared" si="1437"/>
        <v>33420</v>
      </c>
      <c r="B45469" s="2" t="str">
        <f>"76449"</f>
        <v>76449</v>
      </c>
      <c r="C45469" s="1">
        <v>0.144278255961619</v>
      </c>
      <c r="D45469" s="1">
        <v>9.7560975609756004E-2</v>
      </c>
      <c r="E45469" s="1">
        <v>0.25136612021857901</v>
      </c>
      <c r="F45469" s="1">
        <v>0.14436156208863499</v>
      </c>
    </row>
    <row r="45470" spans="1:6" x14ac:dyDescent="0.25">
      <c r="A45470" s="2" t="str">
        <f t="shared" si="1437"/>
        <v>33420</v>
      </c>
      <c r="B45470" s="2" t="str">
        <f>"76450"</f>
        <v>76450</v>
      </c>
      <c r="C45470" s="1">
        <v>1.90489628897982E-2</v>
      </c>
      <c r="D45470" s="1">
        <v>1.46341463414634E-2</v>
      </c>
      <c r="E45470" s="1">
        <v>2.9143897996356999E-2</v>
      </c>
      <c r="F45470" s="1">
        <v>1.90559769322384E-2</v>
      </c>
    </row>
    <row r="45471" spans="1:6" x14ac:dyDescent="0.25">
      <c r="A45471" s="2" t="str">
        <f t="shared" si="1437"/>
        <v>33420</v>
      </c>
      <c r="B45471" s="2" t="str">
        <f>"76484"</f>
        <v>76484</v>
      </c>
      <c r="C45471" s="1">
        <v>2.8220685762664E-2</v>
      </c>
      <c r="D45471" s="1">
        <v>7.3170731707316999E-3</v>
      </c>
      <c r="E45471" s="1">
        <v>3.6429872495446201E-3</v>
      </c>
      <c r="F45471" s="1">
        <v>2.5763179339309199E-2</v>
      </c>
    </row>
    <row r="45472" spans="1:6" x14ac:dyDescent="0.25">
      <c r="A45472" s="2" t="str">
        <f t="shared" si="1437"/>
        <v>33420</v>
      </c>
      <c r="B45472" s="2" t="str">
        <f>"76472"</f>
        <v>76472</v>
      </c>
      <c r="C45472" s="1">
        <v>3.9085649781289603E-2</v>
      </c>
      <c r="D45472" s="1">
        <v>3.7398373983739797E-2</v>
      </c>
      <c r="E45472" s="1">
        <v>1.27504553734061E-2</v>
      </c>
      <c r="F45472" s="1">
        <v>3.8049269729831303E-2</v>
      </c>
    </row>
    <row r="45473" spans="1:6" x14ac:dyDescent="0.25">
      <c r="A45473" s="2" t="str">
        <f t="shared" si="1437"/>
        <v>33420</v>
      </c>
      <c r="B45473" s="2" t="str">
        <f>"76453"</f>
        <v>76453</v>
      </c>
      <c r="C45473" s="1">
        <v>4.0426132355016201E-2</v>
      </c>
      <c r="D45473" s="1">
        <v>7.3170731707316999E-3</v>
      </c>
      <c r="E45473" s="1">
        <v>1.09289617486338E-2</v>
      </c>
      <c r="F45473" s="1">
        <v>3.6858271171566398E-2</v>
      </c>
    </row>
    <row r="45474" spans="1:6" x14ac:dyDescent="0.25">
      <c r="A45474" s="2" t="str">
        <f t="shared" si="1437"/>
        <v>33420</v>
      </c>
      <c r="B45474" s="2" t="str">
        <f>"76429"</f>
        <v>76429</v>
      </c>
      <c r="C45474" s="1">
        <v>1.0582757160999001E-3</v>
      </c>
      <c r="D45474" s="1">
        <v>8.1300813008130005E-4</v>
      </c>
      <c r="E45474" s="1">
        <v>0</v>
      </c>
      <c r="F45474" s="1">
        <v>1.0029461543283301E-3</v>
      </c>
    </row>
    <row r="45475" spans="1:6" x14ac:dyDescent="0.25">
      <c r="A45475" s="2" t="str">
        <f t="shared" si="1437"/>
        <v>33420</v>
      </c>
      <c r="B45475" s="2" t="str">
        <f>"76486"</f>
        <v>76486</v>
      </c>
      <c r="C45475" s="1">
        <v>6.4907577254127201E-3</v>
      </c>
      <c r="D45475" s="1">
        <v>4.8780487804877997E-3</v>
      </c>
      <c r="E45475" s="1">
        <v>0</v>
      </c>
      <c r="F45475" s="1">
        <v>6.1430451952610701E-3</v>
      </c>
    </row>
    <row r="45476" spans="1:6" x14ac:dyDescent="0.25">
      <c r="A45476" s="2" t="str">
        <f t="shared" si="1437"/>
        <v>33420</v>
      </c>
      <c r="B45476" s="2" t="str">
        <f>"76462"</f>
        <v>76462</v>
      </c>
      <c r="C45476" s="1">
        <v>1.6932411457598402E-2</v>
      </c>
      <c r="D45476" s="1">
        <v>4.0650406504065002E-3</v>
      </c>
      <c r="E45476" s="1">
        <v>0</v>
      </c>
      <c r="F45476" s="1">
        <v>1.5357612988152599E-2</v>
      </c>
    </row>
    <row r="45477" spans="1:6" x14ac:dyDescent="0.25">
      <c r="A45477" s="2" t="str">
        <f t="shared" si="1437"/>
        <v>33420</v>
      </c>
      <c r="B45477" s="2" t="str">
        <f>"76066"</f>
        <v>76066</v>
      </c>
      <c r="C45477" s="1">
        <v>7.7606885847326E-3</v>
      </c>
      <c r="D45477" s="1">
        <v>8.1300813008130005E-4</v>
      </c>
      <c r="E45477" s="1">
        <v>0</v>
      </c>
      <c r="F45477" s="1">
        <v>6.9579389456528497E-3</v>
      </c>
    </row>
    <row r="45478" spans="1:6" x14ac:dyDescent="0.25">
      <c r="A45478" s="2" t="str">
        <f t="shared" ref="A45478:A45483" si="1438">"46900"</f>
        <v>46900</v>
      </c>
      <c r="B45478" s="2" t="str">
        <f>"79225"</f>
        <v>79225</v>
      </c>
      <c r="C45478" s="1">
        <v>6.7627168479858796E-3</v>
      </c>
      <c r="D45478" s="1">
        <v>2.3894862604540001E-3</v>
      </c>
      <c r="E45478" s="1">
        <v>1.1560693641618399E-2</v>
      </c>
      <c r="F45478" s="1">
        <v>6.4004096262160696E-3</v>
      </c>
    </row>
    <row r="45479" spans="1:6" x14ac:dyDescent="0.25">
      <c r="A45479" s="2" t="str">
        <f t="shared" si="1438"/>
        <v>46900</v>
      </c>
      <c r="B45479" s="2" t="str">
        <f>"76384"</f>
        <v>76384</v>
      </c>
      <c r="C45479" s="1">
        <v>0.95119082622758</v>
      </c>
      <c r="D45479" s="1">
        <v>0.98088410991636699</v>
      </c>
      <c r="E45479" s="1">
        <v>0.94797687861271596</v>
      </c>
      <c r="F45479" s="1">
        <v>0.95430107526881702</v>
      </c>
    </row>
    <row r="45480" spans="1:6" x14ac:dyDescent="0.25">
      <c r="A45480" s="2" t="str">
        <f t="shared" si="1438"/>
        <v>46900</v>
      </c>
      <c r="B45480" s="2" t="str">
        <f>"76373"</f>
        <v>76373</v>
      </c>
      <c r="C45480" s="1">
        <v>1.2349309026756799E-2</v>
      </c>
      <c r="D45480" s="1">
        <v>3.5842293906810001E-3</v>
      </c>
      <c r="E45480" s="1">
        <v>1.7341040462427699E-2</v>
      </c>
      <c r="F45480" s="1">
        <v>1.1520737327188901E-2</v>
      </c>
    </row>
    <row r="45481" spans="1:6" x14ac:dyDescent="0.25">
      <c r="A45481" s="2" t="str">
        <f t="shared" si="1438"/>
        <v>46900</v>
      </c>
      <c r="B45481" s="2" t="str">
        <f>"79247"</f>
        <v>79247</v>
      </c>
      <c r="C45481" s="1">
        <v>6.0276389297265502E-3</v>
      </c>
      <c r="D45481" s="1">
        <v>2.3894862604540001E-3</v>
      </c>
      <c r="E45481" s="1">
        <v>1.1560693641618399E-2</v>
      </c>
      <c r="F45481" s="1">
        <v>5.7603686635944703E-3</v>
      </c>
    </row>
    <row r="45482" spans="1:6" x14ac:dyDescent="0.25">
      <c r="A45482" s="2" t="str">
        <f t="shared" si="1438"/>
        <v>46900</v>
      </c>
      <c r="B45482" s="2" t="str">
        <f>"76360"</f>
        <v>76360</v>
      </c>
      <c r="C45482" s="1">
        <v>6.9097324316377499E-3</v>
      </c>
      <c r="D45482" s="1">
        <v>3.5842293906810001E-3</v>
      </c>
      <c r="E45482" s="1">
        <v>0</v>
      </c>
      <c r="F45482" s="1">
        <v>6.4004096262160696E-3</v>
      </c>
    </row>
    <row r="45483" spans="1:6" x14ac:dyDescent="0.25">
      <c r="A45483" s="2" t="str">
        <f t="shared" si="1438"/>
        <v>46900</v>
      </c>
      <c r="B45483" s="2" t="str">
        <f>"76364"</f>
        <v>76364</v>
      </c>
      <c r="C45483" s="1">
        <v>1.67597765363128E-2</v>
      </c>
      <c r="D45483" s="1">
        <v>7.1684587813620002E-3</v>
      </c>
      <c r="E45483" s="1">
        <v>1.1560693641618399E-2</v>
      </c>
      <c r="F45483" s="1">
        <v>1.5616999487967201E-2</v>
      </c>
    </row>
    <row r="45484" spans="1:6" x14ac:dyDescent="0.25">
      <c r="A45484" s="2" t="str">
        <f t="shared" ref="A45484:A45518" si="1439">"10180"</f>
        <v>10180</v>
      </c>
      <c r="B45484" s="2" t="str">
        <f>"79608"</f>
        <v>79608</v>
      </c>
      <c r="C45484" s="1">
        <v>1.66452043687699E-2</v>
      </c>
      <c r="D45484" s="1">
        <v>6.2780269058295896E-2</v>
      </c>
      <c r="E45484" s="1">
        <v>7.4738415545590403E-4</v>
      </c>
      <c r="F45484" s="1">
        <v>2.09016563576736E-2</v>
      </c>
    </row>
    <row r="45485" spans="1:6" x14ac:dyDescent="0.25">
      <c r="A45485" s="2" t="str">
        <f t="shared" si="1439"/>
        <v>10180</v>
      </c>
      <c r="B45485" s="2" t="str">
        <f>"79566"</f>
        <v>79566</v>
      </c>
      <c r="C45485" s="1">
        <v>1.2519673773071899E-3</v>
      </c>
      <c r="D45485" s="1">
        <v>1.01916021198532E-4</v>
      </c>
      <c r="E45485" s="1">
        <v>5.6053811659192796E-3</v>
      </c>
      <c r="F45485" s="1">
        <v>1.2557598904064E-3</v>
      </c>
    </row>
    <row r="45486" spans="1:6" x14ac:dyDescent="0.25">
      <c r="A45486" s="2" t="str">
        <f t="shared" si="1439"/>
        <v>10180</v>
      </c>
      <c r="B45486" s="2" t="str">
        <f>"79553"</f>
        <v>79553</v>
      </c>
      <c r="C45486" s="1">
        <v>2.0734964467973401E-2</v>
      </c>
      <c r="D45486" s="1">
        <v>2.62943334692213E-2</v>
      </c>
      <c r="E45486" s="1">
        <v>9.3423019431987993E-3</v>
      </c>
      <c r="F45486" s="1">
        <v>2.0984681804973201E-2</v>
      </c>
    </row>
    <row r="45487" spans="1:6" x14ac:dyDescent="0.25">
      <c r="A45487" s="2" t="str">
        <f t="shared" si="1439"/>
        <v>10180</v>
      </c>
      <c r="B45487" s="2" t="str">
        <f>"79503"</f>
        <v>79503</v>
      </c>
      <c r="C45487" s="1">
        <v>1.26389087613869E-3</v>
      </c>
      <c r="D45487" s="1">
        <v>7.1341214838972604E-4</v>
      </c>
      <c r="E45487" s="1">
        <v>2.2421524663677099E-3</v>
      </c>
      <c r="F45487" s="1">
        <v>1.2350035285815101E-3</v>
      </c>
    </row>
    <row r="45488" spans="1:6" x14ac:dyDescent="0.25">
      <c r="A45488" s="2" t="str">
        <f t="shared" si="1439"/>
        <v>10180</v>
      </c>
      <c r="B45488" s="2" t="str">
        <f>"79530"</f>
        <v>79530</v>
      </c>
      <c r="C45488" s="1">
        <v>2.8735632183907998E-3</v>
      </c>
      <c r="D45488" s="1">
        <v>5.0958010599266195E-4</v>
      </c>
      <c r="E45488" s="1">
        <v>2.61584454409566E-3</v>
      </c>
      <c r="F45488" s="1">
        <v>2.62567977084976E-3</v>
      </c>
    </row>
    <row r="45489" spans="1:6" x14ac:dyDescent="0.25">
      <c r="A45489" s="2" t="str">
        <f t="shared" si="1439"/>
        <v>10180</v>
      </c>
      <c r="B45489" s="2" t="str">
        <f>"79520"</f>
        <v>79520</v>
      </c>
      <c r="C45489" s="1">
        <v>1.4773215052224901E-2</v>
      </c>
      <c r="D45489" s="1">
        <v>1.81410517733387E-2</v>
      </c>
      <c r="E45489" s="1">
        <v>1.12107623318385E-2</v>
      </c>
      <c r="F45489" s="1">
        <v>1.50172277803146E-2</v>
      </c>
    </row>
    <row r="45490" spans="1:6" x14ac:dyDescent="0.25">
      <c r="A45490" s="2" t="str">
        <f t="shared" si="1439"/>
        <v>10180</v>
      </c>
      <c r="B45490" s="2" t="str">
        <f>"79604"</f>
        <v>79604</v>
      </c>
      <c r="C45490" s="1">
        <v>2.13192159107168E-2</v>
      </c>
      <c r="D45490" s="1">
        <v>7.0525886669384405E-2</v>
      </c>
      <c r="E45490" s="1">
        <v>7.4738415545590403E-4</v>
      </c>
      <c r="F45490" s="1">
        <v>2.5758645024699999E-2</v>
      </c>
    </row>
    <row r="45491" spans="1:6" x14ac:dyDescent="0.25">
      <c r="A45491" s="2" t="str">
        <f t="shared" si="1439"/>
        <v>10180</v>
      </c>
      <c r="B45491" s="2" t="str">
        <f>"79510"</f>
        <v>79510</v>
      </c>
      <c r="C45491" s="1">
        <v>4.5428530548003998E-2</v>
      </c>
      <c r="D45491" s="1">
        <v>1.36567468406033E-2</v>
      </c>
      <c r="E45491" s="1">
        <v>2.0926756352765301E-2</v>
      </c>
      <c r="F45491" s="1">
        <v>4.1512723649798598E-2</v>
      </c>
    </row>
    <row r="45492" spans="1:6" x14ac:dyDescent="0.25">
      <c r="A45492" s="2" t="str">
        <f t="shared" si="1439"/>
        <v>10180</v>
      </c>
      <c r="B45492" s="2" t="str">
        <f>"76443"</f>
        <v>76443</v>
      </c>
      <c r="C45492" s="1">
        <v>9.7057280488386504E-3</v>
      </c>
      <c r="D45492" s="1">
        <v>3.77089278434569E-3</v>
      </c>
      <c r="E45492" s="1">
        <v>6.7264573991031298E-3</v>
      </c>
      <c r="F45492" s="1">
        <v>9.0186392129187505E-3</v>
      </c>
    </row>
    <row r="45493" spans="1:6" x14ac:dyDescent="0.25">
      <c r="A45493" s="2" t="str">
        <f t="shared" si="1439"/>
        <v>10180</v>
      </c>
      <c r="B45493" s="2" t="str">
        <f>"79521"</f>
        <v>79521</v>
      </c>
      <c r="C45493" s="1">
        <v>1.1923498831497101E-5</v>
      </c>
      <c r="D45493" s="1">
        <v>0</v>
      </c>
      <c r="E45493" s="1">
        <v>0</v>
      </c>
      <c r="F45493" s="1">
        <v>1.03781809124496E-5</v>
      </c>
    </row>
    <row r="45494" spans="1:6" x14ac:dyDescent="0.25">
      <c r="A45494" s="2" t="str">
        <f t="shared" si="1439"/>
        <v>10180</v>
      </c>
      <c r="B45494" s="2" t="str">
        <f>"79533"</f>
        <v>79533</v>
      </c>
      <c r="C45494" s="1">
        <v>1.1923498831497099E-3</v>
      </c>
      <c r="D45494" s="1">
        <v>7.1341214838972604E-4</v>
      </c>
      <c r="E45494" s="1">
        <v>7.4738415545590403E-4</v>
      </c>
      <c r="F45494" s="1">
        <v>1.13122171945701E-3</v>
      </c>
    </row>
    <row r="45495" spans="1:6" x14ac:dyDescent="0.25">
      <c r="A45495" s="2" t="str">
        <f t="shared" si="1439"/>
        <v>10180</v>
      </c>
      <c r="B45495" s="2" t="str">
        <f>"76469"</f>
        <v>76469</v>
      </c>
      <c r="C45495" s="1">
        <v>0</v>
      </c>
      <c r="D45495" s="1">
        <v>0</v>
      </c>
      <c r="E45495" s="1">
        <v>3.7369207772795202E-4</v>
      </c>
      <c r="F45495" s="1">
        <v>1.03781809124496E-5</v>
      </c>
    </row>
    <row r="45496" spans="1:6" x14ac:dyDescent="0.25">
      <c r="A45496" s="2" t="str">
        <f t="shared" si="1439"/>
        <v>10180</v>
      </c>
      <c r="B45496" s="2" t="str">
        <f>"79606"</f>
        <v>79606</v>
      </c>
      <c r="C45496" s="1">
        <v>0.15477893833166401</v>
      </c>
      <c r="D45496" s="1">
        <v>8.9991846718304097E-2</v>
      </c>
      <c r="E45496" s="1">
        <v>0.10575485799701</v>
      </c>
      <c r="F45496" s="1">
        <v>0.14682012536842501</v>
      </c>
    </row>
    <row r="45497" spans="1:6" x14ac:dyDescent="0.25">
      <c r="A45497" s="2" t="str">
        <f t="shared" si="1439"/>
        <v>10180</v>
      </c>
      <c r="B45497" s="2" t="str">
        <f>"79567"</f>
        <v>79567</v>
      </c>
      <c r="C45497" s="1">
        <v>4.05398960270901E-4</v>
      </c>
      <c r="D45497" s="1">
        <v>3.05748063595597E-4</v>
      </c>
      <c r="E45497" s="1">
        <v>1.12107623318385E-3</v>
      </c>
      <c r="F45497" s="1">
        <v>4.1512723649798601E-4</v>
      </c>
    </row>
    <row r="45498" spans="1:6" x14ac:dyDescent="0.25">
      <c r="A45498" s="2" t="str">
        <f t="shared" si="1439"/>
        <v>10180</v>
      </c>
      <c r="B45498" s="2" t="str">
        <f>"79501"</f>
        <v>79501</v>
      </c>
      <c r="C45498" s="1">
        <v>2.0842275957456899E-2</v>
      </c>
      <c r="D45498" s="1">
        <v>1.8344883815735801E-2</v>
      </c>
      <c r="E45498" s="1">
        <v>1.0089686098654699E-2</v>
      </c>
      <c r="F45498" s="1">
        <v>2.0289343683839001E-2</v>
      </c>
    </row>
    <row r="45499" spans="1:6" x14ac:dyDescent="0.25">
      <c r="A45499" s="2" t="str">
        <f t="shared" si="1439"/>
        <v>10180</v>
      </c>
      <c r="B45499" s="2" t="str">
        <f>"76464"</f>
        <v>76464</v>
      </c>
      <c r="C45499" s="1">
        <v>1.6692898364095899E-4</v>
      </c>
      <c r="D45499" s="1">
        <v>0</v>
      </c>
      <c r="E45499" s="1">
        <v>0</v>
      </c>
      <c r="F45499" s="1">
        <v>1.45294532774295E-4</v>
      </c>
    </row>
    <row r="45500" spans="1:6" x14ac:dyDescent="0.25">
      <c r="A45500" s="2" t="str">
        <f t="shared" si="1439"/>
        <v>10180</v>
      </c>
      <c r="B45500" s="2" t="str">
        <f>"79607"</f>
        <v>79607</v>
      </c>
      <c r="C45500" s="1">
        <v>4.2054180378690298E-2</v>
      </c>
      <c r="D45500" s="1">
        <v>4.4129637178964502E-2</v>
      </c>
      <c r="E45500" s="1">
        <v>2.61584454409566E-3</v>
      </c>
      <c r="F45500" s="1">
        <v>4.1170243679687801E-2</v>
      </c>
    </row>
    <row r="45501" spans="1:6" x14ac:dyDescent="0.25">
      <c r="A45501" s="2" t="str">
        <f t="shared" si="1439"/>
        <v>10180</v>
      </c>
      <c r="B45501" s="2" t="str">
        <f>"79603"</f>
        <v>79603</v>
      </c>
      <c r="C45501" s="1">
        <v>0.117720703963371</v>
      </c>
      <c r="D45501" s="1">
        <v>8.9380350591112906E-2</v>
      </c>
      <c r="E45501" s="1">
        <v>0.162556053811659</v>
      </c>
      <c r="F45501" s="1">
        <v>0.116079953505749</v>
      </c>
    </row>
    <row r="45502" spans="1:6" x14ac:dyDescent="0.25">
      <c r="A45502" s="2" t="str">
        <f t="shared" si="1439"/>
        <v>10180</v>
      </c>
      <c r="B45502" s="2" t="str">
        <f>"79560"</f>
        <v>79560</v>
      </c>
      <c r="C45502" s="1">
        <v>8.3464491820479795E-5</v>
      </c>
      <c r="D45502" s="1">
        <v>1.01916021198532E-4</v>
      </c>
      <c r="E45502" s="1">
        <v>0</v>
      </c>
      <c r="F45502" s="1">
        <v>8.3025447299597303E-5</v>
      </c>
    </row>
    <row r="45503" spans="1:6" x14ac:dyDescent="0.25">
      <c r="A45503" s="2" t="str">
        <f t="shared" si="1439"/>
        <v>10180</v>
      </c>
      <c r="B45503" s="2" t="str">
        <f>"79563"</f>
        <v>79563</v>
      </c>
      <c r="C45503" s="1">
        <v>1.2042733819811999E-2</v>
      </c>
      <c r="D45503" s="1">
        <v>7.0322054626987297E-3</v>
      </c>
      <c r="E45503" s="1">
        <v>8.9686098654708502E-3</v>
      </c>
      <c r="F45503" s="1">
        <v>1.14471335464319E-2</v>
      </c>
    </row>
    <row r="45504" spans="1:6" x14ac:dyDescent="0.25">
      <c r="A45504" s="2" t="str">
        <f t="shared" si="1439"/>
        <v>10180</v>
      </c>
      <c r="B45504" s="2" t="str">
        <f>"79561"</f>
        <v>79561</v>
      </c>
      <c r="C45504" s="1">
        <v>2.3846997662994199E-3</v>
      </c>
      <c r="D45504" s="1">
        <v>6.1149612719119399E-4</v>
      </c>
      <c r="E45504" s="1">
        <v>5.2316890881913304E-3</v>
      </c>
      <c r="F45504" s="1">
        <v>2.2831998007389201E-3</v>
      </c>
    </row>
    <row r="45505" spans="1:6" x14ac:dyDescent="0.25">
      <c r="A45505" s="2" t="str">
        <f t="shared" si="1439"/>
        <v>10180</v>
      </c>
      <c r="B45505" s="2" t="str">
        <f>"79541"</f>
        <v>79541</v>
      </c>
      <c r="C45505" s="1">
        <v>4.7455525349358501E-3</v>
      </c>
      <c r="D45505" s="1">
        <v>2.03832042397064E-4</v>
      </c>
      <c r="E45505" s="1">
        <v>8.5949177877428905E-3</v>
      </c>
      <c r="F45505" s="1">
        <v>4.3899705259662003E-3</v>
      </c>
    </row>
    <row r="45506" spans="1:6" x14ac:dyDescent="0.25">
      <c r="A45506" s="2" t="str">
        <f t="shared" si="1439"/>
        <v>10180</v>
      </c>
      <c r="B45506" s="2" t="str">
        <f>"79504"</f>
        <v>79504</v>
      </c>
      <c r="C45506" s="1">
        <v>1.9471073591834701E-2</v>
      </c>
      <c r="D45506" s="1">
        <v>1.7121891561353401E-2</v>
      </c>
      <c r="E45506" s="1">
        <v>7.1001494768310903E-3</v>
      </c>
      <c r="F45506" s="1">
        <v>1.88882892606583E-2</v>
      </c>
    </row>
    <row r="45507" spans="1:6" x14ac:dyDescent="0.25">
      <c r="A45507" s="2" t="str">
        <f t="shared" si="1439"/>
        <v>10180</v>
      </c>
      <c r="B45507" s="2" t="str">
        <f>"79699"</f>
        <v>79699</v>
      </c>
      <c r="C45507" s="1">
        <v>0</v>
      </c>
      <c r="D45507" s="1">
        <v>1.01916021198532E-4</v>
      </c>
      <c r="E45507" s="1">
        <v>0</v>
      </c>
      <c r="F45507" s="1">
        <v>1.03781809124496E-5</v>
      </c>
    </row>
    <row r="45508" spans="1:6" x14ac:dyDescent="0.25">
      <c r="A45508" s="2" t="str">
        <f t="shared" si="1439"/>
        <v>10180</v>
      </c>
      <c r="B45508" s="2" t="str">
        <f>"79698"</f>
        <v>79698</v>
      </c>
      <c r="C45508" s="1">
        <v>0</v>
      </c>
      <c r="D45508" s="1">
        <v>1.01916021198532E-4</v>
      </c>
      <c r="E45508" s="1">
        <v>0</v>
      </c>
      <c r="F45508" s="1">
        <v>1.03781809124496E-5</v>
      </c>
    </row>
    <row r="45509" spans="1:6" x14ac:dyDescent="0.25">
      <c r="A45509" s="2" t="str">
        <f t="shared" si="1439"/>
        <v>10180</v>
      </c>
      <c r="B45509" s="2" t="str">
        <f>"79697"</f>
        <v>79697</v>
      </c>
      <c r="C45509" s="1">
        <v>0</v>
      </c>
      <c r="D45509" s="1">
        <v>1.01916021198532E-4</v>
      </c>
      <c r="E45509" s="1">
        <v>0</v>
      </c>
      <c r="F45509" s="1">
        <v>1.03781809124496E-5</v>
      </c>
    </row>
    <row r="45510" spans="1:6" x14ac:dyDescent="0.25">
      <c r="A45510" s="2" t="str">
        <f t="shared" si="1439"/>
        <v>10180</v>
      </c>
      <c r="B45510" s="2" t="str">
        <f>"79562"</f>
        <v>79562</v>
      </c>
      <c r="C45510" s="1">
        <v>2.6052844946821099E-2</v>
      </c>
      <c r="D45510" s="1">
        <v>4.4843049327354199E-3</v>
      </c>
      <c r="E45510" s="1">
        <v>3.6621823617339302E-2</v>
      </c>
      <c r="F45510" s="1">
        <v>2.41500269832703E-2</v>
      </c>
    </row>
    <row r="45511" spans="1:6" x14ac:dyDescent="0.25">
      <c r="A45511" s="2" t="str">
        <f t="shared" si="1439"/>
        <v>10180</v>
      </c>
      <c r="B45511" s="2" t="str">
        <f>"79602"</f>
        <v>79602</v>
      </c>
      <c r="C45511" s="1">
        <v>0.12894071636380899</v>
      </c>
      <c r="D45511" s="1">
        <v>0.170607419486343</v>
      </c>
      <c r="E45511" s="1">
        <v>0.162929745889387</v>
      </c>
      <c r="F45511" s="1">
        <v>0.13412761011249899</v>
      </c>
    </row>
    <row r="45512" spans="1:6" x14ac:dyDescent="0.25">
      <c r="A45512" s="2" t="str">
        <f t="shared" si="1439"/>
        <v>10180</v>
      </c>
      <c r="B45512" s="2" t="str">
        <f>"79508"</f>
        <v>79508</v>
      </c>
      <c r="C45512" s="1">
        <v>6.7725473362903604E-3</v>
      </c>
      <c r="D45512" s="1">
        <v>3.1593966571545002E-3</v>
      </c>
      <c r="E45512" s="1">
        <v>6.7264573991031298E-3</v>
      </c>
      <c r="F45512" s="1">
        <v>6.4033376229814401E-3</v>
      </c>
    </row>
    <row r="45513" spans="1:6" x14ac:dyDescent="0.25">
      <c r="A45513" s="2" t="str">
        <f t="shared" si="1439"/>
        <v>10180</v>
      </c>
      <c r="B45513" s="2" t="str">
        <f>"79605"</f>
        <v>79605</v>
      </c>
      <c r="C45513" s="1">
        <v>0.16257690656746299</v>
      </c>
      <c r="D45513" s="1">
        <v>0.14431308601712101</v>
      </c>
      <c r="E45513" s="1">
        <v>0.18236173393124</v>
      </c>
      <c r="F45513" s="1">
        <v>0.16126655319855501</v>
      </c>
    </row>
    <row r="45514" spans="1:6" x14ac:dyDescent="0.25">
      <c r="A45514" s="2" t="str">
        <f t="shared" si="1439"/>
        <v>10180</v>
      </c>
      <c r="B45514" s="2" t="str">
        <f>"79601"</f>
        <v>79601</v>
      </c>
      <c r="C45514" s="1">
        <v>0.118603042876901</v>
      </c>
      <c r="D45514" s="1">
        <v>0.190888707704851</v>
      </c>
      <c r="E45514" s="1">
        <v>0.207399103139013</v>
      </c>
      <c r="F45514" s="1">
        <v>0.128429988791564</v>
      </c>
    </row>
    <row r="45515" spans="1:6" x14ac:dyDescent="0.25">
      <c r="A45515" s="2" t="str">
        <f t="shared" si="1439"/>
        <v>10180</v>
      </c>
      <c r="B45515" s="2" t="str">
        <f>"76437"</f>
        <v>76437</v>
      </c>
      <c r="C45515" s="1">
        <v>1.08503839366623E-3</v>
      </c>
      <c r="D45515" s="1">
        <v>1.01916021198532E-4</v>
      </c>
      <c r="E45515" s="1">
        <v>0</v>
      </c>
      <c r="F45515" s="1">
        <v>9.5479264394536902E-4</v>
      </c>
    </row>
    <row r="45516" spans="1:6" x14ac:dyDescent="0.25">
      <c r="A45516" s="2" t="str">
        <f t="shared" si="1439"/>
        <v>10180</v>
      </c>
      <c r="B45516" s="2" t="str">
        <f>"79519"</f>
        <v>79519</v>
      </c>
      <c r="C45516" s="1">
        <v>1.43081985977965E-4</v>
      </c>
      <c r="D45516" s="1">
        <v>0</v>
      </c>
      <c r="E45516" s="1">
        <v>3.7369207772795202E-4</v>
      </c>
      <c r="F45516" s="1">
        <v>1.3491635186184501E-4</v>
      </c>
    </row>
    <row r="45517" spans="1:6" x14ac:dyDescent="0.25">
      <c r="A45517" s="2" t="str">
        <f t="shared" si="1439"/>
        <v>10180</v>
      </c>
      <c r="B45517" s="2" t="str">
        <f>"79536"</f>
        <v>79536</v>
      </c>
      <c r="C45517" s="1">
        <v>3.0166452043687599E-2</v>
      </c>
      <c r="D45517" s="1">
        <v>1.9262128006522598E-2</v>
      </c>
      <c r="E45517" s="1">
        <v>2.5784753363228601E-2</v>
      </c>
      <c r="F45517" s="1">
        <v>2.8934368383909601E-2</v>
      </c>
    </row>
    <row r="45518" spans="1:6" x14ac:dyDescent="0.25">
      <c r="A45518" s="2" t="str">
        <f t="shared" si="1439"/>
        <v>10180</v>
      </c>
      <c r="B45518" s="2" t="str">
        <f>"79525"</f>
        <v>79525</v>
      </c>
      <c r="C45518" s="1">
        <v>1.5762865455239101E-2</v>
      </c>
      <c r="D45518" s="1">
        <v>2.4459845087647699E-3</v>
      </c>
      <c r="E45518" s="1">
        <v>4.4843049327354199E-3</v>
      </c>
      <c r="F45518" s="1">
        <v>1.4093569679106599E-2</v>
      </c>
    </row>
    <row r="45519" spans="1:6" x14ac:dyDescent="0.25">
      <c r="A45519" s="2" t="str">
        <f t="shared" ref="A45519:A45582" si="1440">"26420"</f>
        <v>26420</v>
      </c>
      <c r="B45519" s="2" t="str">
        <f>"77661"</f>
        <v>77661</v>
      </c>
      <c r="C45519" s="1">
        <v>0</v>
      </c>
      <c r="D45519" s="1">
        <v>3.3686933848968001E-6</v>
      </c>
      <c r="E45519" s="1">
        <v>0</v>
      </c>
      <c r="F45519" s="1">
        <v>3.05257666469978E-7</v>
      </c>
    </row>
    <row r="45520" spans="1:6" x14ac:dyDescent="0.25">
      <c r="A45520" s="2" t="str">
        <f t="shared" si="1440"/>
        <v>26420</v>
      </c>
      <c r="B45520" s="2" t="str">
        <f>"77538"</f>
        <v>77538</v>
      </c>
      <c r="C45520" s="1">
        <v>5.9977414219445302E-5</v>
      </c>
      <c r="D45520" s="1">
        <v>2.02121603093808E-5</v>
      </c>
      <c r="E45520" s="1">
        <v>1.0602724084495499E-3</v>
      </c>
      <c r="F45520" s="1">
        <v>7.5093385951614805E-5</v>
      </c>
    </row>
    <row r="45521" spans="1:6" x14ac:dyDescent="0.25">
      <c r="A45521" s="2" t="str">
        <f t="shared" si="1440"/>
        <v>26420</v>
      </c>
      <c r="B45521" s="2" t="str">
        <f>"77573"</f>
        <v>77573</v>
      </c>
      <c r="C45521" s="1">
        <v>1.20530611615397E-2</v>
      </c>
      <c r="D45521" s="1">
        <v>6.0164863854256798E-3</v>
      </c>
      <c r="E45521" s="1">
        <v>6.3290106842835E-3</v>
      </c>
      <c r="F45521" s="1">
        <v>1.1398931781321901E-2</v>
      </c>
    </row>
    <row r="45522" spans="1:6" x14ac:dyDescent="0.25">
      <c r="A45522" s="2" t="str">
        <f t="shared" si="1440"/>
        <v>26420</v>
      </c>
      <c r="B45522" s="2" t="str">
        <f>"77584"</f>
        <v>77584</v>
      </c>
      <c r="C45522" s="1">
        <v>1.1601688278528199E-2</v>
      </c>
      <c r="D45522" s="1">
        <v>7.7446260918777399E-3</v>
      </c>
      <c r="E45522" s="1">
        <v>5.6275997063861003E-3</v>
      </c>
      <c r="F45522" s="1">
        <v>1.11403785378218E-2</v>
      </c>
    </row>
    <row r="45523" spans="1:6" x14ac:dyDescent="0.25">
      <c r="A45523" s="2" t="str">
        <f t="shared" si="1440"/>
        <v>26420</v>
      </c>
      <c r="B45523" s="2" t="str">
        <f>"77533"</f>
        <v>77533</v>
      </c>
      <c r="C45523" s="1">
        <v>3.4272808125397301E-7</v>
      </c>
      <c r="D45523" s="1">
        <v>3.3686933848968001E-6</v>
      </c>
      <c r="E45523" s="1">
        <v>0</v>
      </c>
      <c r="F45523" s="1">
        <v>6.1051533293995696E-7</v>
      </c>
    </row>
    <row r="45524" spans="1:6" x14ac:dyDescent="0.25">
      <c r="A45524" s="2" t="str">
        <f t="shared" si="1440"/>
        <v>26420</v>
      </c>
      <c r="B45524" s="2" t="str">
        <f>"77518"</f>
        <v>77518</v>
      </c>
      <c r="C45524" s="1">
        <v>1.84421980522763E-3</v>
      </c>
      <c r="D45524" s="1">
        <v>1.0274514823935201E-3</v>
      </c>
      <c r="E45524" s="1">
        <v>1.7943071527607799E-3</v>
      </c>
      <c r="F45524" s="1">
        <v>1.7692734348599901E-3</v>
      </c>
    </row>
    <row r="45525" spans="1:6" x14ac:dyDescent="0.25">
      <c r="A45525" s="2" t="str">
        <f t="shared" si="1440"/>
        <v>26420</v>
      </c>
      <c r="B45525" s="2" t="str">
        <f>"77517"</f>
        <v>77517</v>
      </c>
      <c r="C45525" s="1">
        <v>7.9650006083423403E-4</v>
      </c>
      <c r="D45525" s="1">
        <v>2.4591461709746603E-4</v>
      </c>
      <c r="E45525" s="1">
        <v>4.4042084658673801E-4</v>
      </c>
      <c r="F45525" s="1">
        <v>7.3994458352322895E-4</v>
      </c>
    </row>
    <row r="45526" spans="1:6" x14ac:dyDescent="0.25">
      <c r="A45526" s="2" t="str">
        <f t="shared" si="1440"/>
        <v>26420</v>
      </c>
      <c r="B45526" s="2" t="str">
        <f>"77452"</f>
        <v>77452</v>
      </c>
      <c r="C45526" s="1">
        <v>0</v>
      </c>
      <c r="D45526" s="1">
        <v>3.3686933848968001E-6</v>
      </c>
      <c r="E45526" s="1">
        <v>0</v>
      </c>
      <c r="F45526" s="1">
        <v>3.05257666469978E-7</v>
      </c>
    </row>
    <row r="45527" spans="1:6" x14ac:dyDescent="0.25">
      <c r="A45527" s="2" t="str">
        <f t="shared" si="1440"/>
        <v>26420</v>
      </c>
      <c r="B45527" s="2" t="str">
        <f>"77451"</f>
        <v>77451</v>
      </c>
      <c r="C45527" s="1">
        <v>0</v>
      </c>
      <c r="D45527" s="1">
        <v>3.3686933848968001E-6</v>
      </c>
      <c r="E45527" s="1">
        <v>0</v>
      </c>
      <c r="F45527" s="1">
        <v>3.05257666469978E-7</v>
      </c>
    </row>
    <row r="45528" spans="1:6" x14ac:dyDescent="0.25">
      <c r="A45528" s="2" t="str">
        <f t="shared" si="1440"/>
        <v>26420</v>
      </c>
      <c r="B45528" s="2" t="str">
        <f>"77459"</f>
        <v>77459</v>
      </c>
      <c r="C45528" s="1">
        <v>9.66184733863076E-3</v>
      </c>
      <c r="D45528" s="1">
        <v>5.7570969947886297E-3</v>
      </c>
      <c r="E45528" s="1">
        <v>2.9850746268656699E-3</v>
      </c>
      <c r="F45528" s="1">
        <v>9.1830663804163704E-3</v>
      </c>
    </row>
    <row r="45529" spans="1:6" x14ac:dyDescent="0.25">
      <c r="A45529" s="2" t="str">
        <f t="shared" si="1440"/>
        <v>26420</v>
      </c>
      <c r="B45529" s="2" t="str">
        <f>"77446"</f>
        <v>77446</v>
      </c>
      <c r="C45529" s="1">
        <v>0</v>
      </c>
      <c r="D45529" s="1">
        <v>3.3686933848968001E-6</v>
      </c>
      <c r="E45529" s="1">
        <v>0</v>
      </c>
      <c r="F45529" s="1">
        <v>3.05257666469978E-7</v>
      </c>
    </row>
    <row r="45530" spans="1:6" x14ac:dyDescent="0.25">
      <c r="A45530" s="2" t="str">
        <f t="shared" si="1440"/>
        <v>26420</v>
      </c>
      <c r="B45530" s="2" t="str">
        <f>"77481"</f>
        <v>77481</v>
      </c>
      <c r="C45530" s="1">
        <v>3.4272808125397301E-7</v>
      </c>
      <c r="D45530" s="1">
        <v>3.3686933848968001E-6</v>
      </c>
      <c r="E45530" s="1">
        <v>0</v>
      </c>
      <c r="F45530" s="1">
        <v>6.1051533293995696E-7</v>
      </c>
    </row>
    <row r="45531" spans="1:6" x14ac:dyDescent="0.25">
      <c r="A45531" s="2" t="str">
        <f t="shared" si="1440"/>
        <v>26420</v>
      </c>
      <c r="B45531" s="2" t="str">
        <f>"77358"</f>
        <v>77358</v>
      </c>
      <c r="C45531" s="1">
        <v>5.9634686138191299E-5</v>
      </c>
      <c r="D45531" s="1">
        <v>3.3686933848968001E-6</v>
      </c>
      <c r="E45531" s="1">
        <v>3.2623766413832398E-5</v>
      </c>
      <c r="F45531" s="1">
        <v>5.4030606965186197E-5</v>
      </c>
    </row>
    <row r="45532" spans="1:6" x14ac:dyDescent="0.25">
      <c r="A45532" s="2" t="str">
        <f t="shared" si="1440"/>
        <v>26420</v>
      </c>
      <c r="B45532" s="2" t="str">
        <f>"77396"</f>
        <v>77396</v>
      </c>
      <c r="C45532" s="1">
        <v>7.01393018286256E-3</v>
      </c>
      <c r="D45532" s="1">
        <v>3.5034411202926699E-3</v>
      </c>
      <c r="E45532" s="1">
        <v>3.3765598238316599E-3</v>
      </c>
      <c r="F45532" s="1">
        <v>6.62775445439618E-3</v>
      </c>
    </row>
    <row r="45533" spans="1:6" x14ac:dyDescent="0.25">
      <c r="A45533" s="2" t="str">
        <f t="shared" si="1440"/>
        <v>26420</v>
      </c>
      <c r="B45533" s="2" t="str">
        <f>"77417"</f>
        <v>77417</v>
      </c>
      <c r="C45533" s="1">
        <v>2.6904154378436902E-4</v>
      </c>
      <c r="D45533" s="1">
        <v>4.04243206187616E-5</v>
      </c>
      <c r="E45533" s="1">
        <v>1.6311883206916199E-4</v>
      </c>
      <c r="F45533" s="1">
        <v>2.46342936841273E-4</v>
      </c>
    </row>
    <row r="45534" spans="1:6" x14ac:dyDescent="0.25">
      <c r="A45534" s="2" t="str">
        <f t="shared" si="1440"/>
        <v>26420</v>
      </c>
      <c r="B45534" s="2" t="str">
        <f>"77291"</f>
        <v>77291</v>
      </c>
      <c r="C45534" s="1">
        <v>1.5936855778309701E-4</v>
      </c>
      <c r="D45534" s="1">
        <v>4.54773606961068E-4</v>
      </c>
      <c r="E45534" s="1">
        <v>1.6311883206916199E-5</v>
      </c>
      <c r="F45534" s="1">
        <v>1.8345985754845699E-4</v>
      </c>
    </row>
    <row r="45535" spans="1:6" x14ac:dyDescent="0.25">
      <c r="A45535" s="2" t="str">
        <f t="shared" si="1440"/>
        <v>26420</v>
      </c>
      <c r="B45535" s="2" t="str">
        <f>"77301"</f>
        <v>77301</v>
      </c>
      <c r="C45535" s="1">
        <v>4.4811696623957E-3</v>
      </c>
      <c r="D45535" s="1">
        <v>7.9063233743527795E-3</v>
      </c>
      <c r="E45535" s="1">
        <v>6.0190849033520902E-3</v>
      </c>
      <c r="F45535" s="1">
        <v>4.8203238112274303E-3</v>
      </c>
    </row>
    <row r="45536" spans="1:6" x14ac:dyDescent="0.25">
      <c r="A45536" s="2" t="str">
        <f t="shared" si="1440"/>
        <v>26420</v>
      </c>
      <c r="B45536" s="2" t="str">
        <f>"77280"</f>
        <v>77280</v>
      </c>
      <c r="C45536" s="1">
        <v>4.2121281186113297E-4</v>
      </c>
      <c r="D45536" s="1">
        <v>9.09547213922136E-4</v>
      </c>
      <c r="E45536" s="1">
        <v>3.2623766413832398E-5</v>
      </c>
      <c r="F45536" s="1">
        <v>4.5819175737143802E-4</v>
      </c>
    </row>
    <row r="45537" spans="1:6" x14ac:dyDescent="0.25">
      <c r="A45537" s="2" t="str">
        <f t="shared" si="1440"/>
        <v>26420</v>
      </c>
      <c r="B45537" s="2" t="str">
        <f>"77318"</f>
        <v>77318</v>
      </c>
      <c r="C45537" s="1">
        <v>2.8466994428955001E-3</v>
      </c>
      <c r="D45537" s="1">
        <v>1.06787580301228E-3</v>
      </c>
      <c r="E45537" s="1">
        <v>7.9928227713889496E-4</v>
      </c>
      <c r="F45537" s="1">
        <v>2.6471944836276499E-3</v>
      </c>
    </row>
    <row r="45538" spans="1:6" x14ac:dyDescent="0.25">
      <c r="A45538" s="2" t="str">
        <f t="shared" si="1440"/>
        <v>26420</v>
      </c>
      <c r="B45538" s="2" t="str">
        <f>"77201"</f>
        <v>77201</v>
      </c>
      <c r="C45538" s="1">
        <v>0</v>
      </c>
      <c r="D45538" s="1">
        <v>3.3686933848968001E-6</v>
      </c>
      <c r="E45538" s="1">
        <v>1.6311883206916199E-5</v>
      </c>
      <c r="F45538" s="1">
        <v>6.1051533293995696E-7</v>
      </c>
    </row>
    <row r="45539" spans="1:6" x14ac:dyDescent="0.25">
      <c r="A45539" s="2" t="str">
        <f t="shared" si="1440"/>
        <v>26420</v>
      </c>
      <c r="B45539" s="2" t="str">
        <f>"77217"</f>
        <v>77217</v>
      </c>
      <c r="C45539" s="1">
        <v>9.0480213451049006E-5</v>
      </c>
      <c r="D45539" s="1">
        <v>1.6169728247504599E-4</v>
      </c>
      <c r="E45539" s="1">
        <v>3.2623766413832398E-5</v>
      </c>
      <c r="F45539" s="1">
        <v>9.5850907271573298E-5</v>
      </c>
    </row>
    <row r="45540" spans="1:6" x14ac:dyDescent="0.25">
      <c r="A45540" s="2" t="str">
        <f t="shared" si="1440"/>
        <v>26420</v>
      </c>
      <c r="B45540" s="2" t="str">
        <f>"77220"</f>
        <v>77220</v>
      </c>
      <c r="C45540" s="1">
        <v>2.27228717871384E-4</v>
      </c>
      <c r="D45540" s="1">
        <v>5.7267787543245597E-4</v>
      </c>
      <c r="E45540" s="1">
        <v>3.2623766413832398E-5</v>
      </c>
      <c r="F45540" s="1">
        <v>2.5489015150243199E-4</v>
      </c>
    </row>
    <row r="45541" spans="1:6" x14ac:dyDescent="0.25">
      <c r="A45541" s="2" t="str">
        <f t="shared" si="1440"/>
        <v>26420</v>
      </c>
      <c r="B45541" s="2" t="str">
        <f>"77226"</f>
        <v>77226</v>
      </c>
      <c r="C45541" s="1">
        <v>1.6142492627062099E-4</v>
      </c>
      <c r="D45541" s="1">
        <v>3.5708149879905998E-4</v>
      </c>
      <c r="E45541" s="1">
        <v>3.2623766413832398E-5</v>
      </c>
      <c r="F45541" s="1">
        <v>1.7674418888611701E-4</v>
      </c>
    </row>
    <row r="45542" spans="1:6" x14ac:dyDescent="0.25">
      <c r="A45542" s="2" t="str">
        <f t="shared" si="1440"/>
        <v>26420</v>
      </c>
      <c r="B45542" s="2" t="str">
        <f>"77255"</f>
        <v>77255</v>
      </c>
      <c r="C45542" s="1">
        <v>2.61158797915527E-4</v>
      </c>
      <c r="D45542" s="1">
        <v>1.5698111173619001E-3</v>
      </c>
      <c r="E45542" s="1">
        <v>3.2623766413832398E-5</v>
      </c>
      <c r="F45542" s="1">
        <v>3.75466929758074E-4</v>
      </c>
    </row>
    <row r="45543" spans="1:6" x14ac:dyDescent="0.25">
      <c r="A45543" s="2" t="str">
        <f t="shared" si="1440"/>
        <v>26420</v>
      </c>
      <c r="B45543" s="2" t="str">
        <f>"77249"</f>
        <v>77249</v>
      </c>
      <c r="C45543" s="1">
        <v>2.0495139258987601E-4</v>
      </c>
      <c r="D45543" s="1">
        <v>7.0068822405853397E-4</v>
      </c>
      <c r="E45543" s="1">
        <v>3.2623766413832398E-5</v>
      </c>
      <c r="F45543" s="1">
        <v>2.46648194507743E-4</v>
      </c>
    </row>
    <row r="45544" spans="1:6" x14ac:dyDescent="0.25">
      <c r="A45544" s="2" t="str">
        <f t="shared" si="1440"/>
        <v>26420</v>
      </c>
      <c r="B45544" s="2" t="str">
        <f>"77210"</f>
        <v>77210</v>
      </c>
      <c r="C45544" s="1">
        <v>1.7033585638322399E-4</v>
      </c>
      <c r="D45544" s="1">
        <v>2.2536558744959499E-3</v>
      </c>
      <c r="E45544" s="1">
        <v>3.2623766413832398E-5</v>
      </c>
      <c r="F45544" s="1">
        <v>3.56540954436935E-4</v>
      </c>
    </row>
    <row r="45545" spans="1:6" x14ac:dyDescent="0.25">
      <c r="A45545" s="2" t="str">
        <f t="shared" si="1440"/>
        <v>26420</v>
      </c>
      <c r="B45545" s="2" t="str">
        <f>"77222"</f>
        <v>77222</v>
      </c>
      <c r="C45545" s="1">
        <v>2.3990965687778099E-4</v>
      </c>
      <c r="D45545" s="1">
        <v>2.7960155094643402E-4</v>
      </c>
      <c r="E45545" s="1">
        <v>3.2623766413832398E-5</v>
      </c>
      <c r="F45545" s="1">
        <v>2.3962726817893299E-4</v>
      </c>
    </row>
    <row r="45546" spans="1:6" x14ac:dyDescent="0.25">
      <c r="A45546" s="2" t="str">
        <f t="shared" si="1440"/>
        <v>26420</v>
      </c>
      <c r="B45546" s="2" t="str">
        <f>"77252"</f>
        <v>77252</v>
      </c>
      <c r="C45546" s="1">
        <v>9.35647661823347E-5</v>
      </c>
      <c r="D45546" s="1">
        <v>1.1318809773253201E-3</v>
      </c>
      <c r="E45546" s="1">
        <v>4.8935649620748699E-5</v>
      </c>
      <c r="F45546" s="1">
        <v>1.8681769187962701E-4</v>
      </c>
    </row>
    <row r="45547" spans="1:6" x14ac:dyDescent="0.25">
      <c r="A45547" s="2" t="str">
        <f t="shared" si="1440"/>
        <v>26420</v>
      </c>
      <c r="B45547" s="2" t="str">
        <f>"77253"</f>
        <v>77253</v>
      </c>
      <c r="C45547" s="1">
        <v>1.24067565413938E-4</v>
      </c>
      <c r="D45547" s="1">
        <v>9.7692108162007198E-4</v>
      </c>
      <c r="E45547" s="1">
        <v>4.8935649620748699E-5</v>
      </c>
      <c r="F45547" s="1">
        <v>1.9994377153783601E-4</v>
      </c>
    </row>
    <row r="45548" spans="1:6" x14ac:dyDescent="0.25">
      <c r="A45548" s="2" t="str">
        <f t="shared" si="1440"/>
        <v>26420</v>
      </c>
      <c r="B45548" s="2" t="str">
        <f>"77274"</f>
        <v>77274</v>
      </c>
      <c r="C45548" s="1">
        <v>5.4802220192510295E-4</v>
      </c>
      <c r="D45548" s="1">
        <v>9.1628460069192899E-4</v>
      </c>
      <c r="E45548" s="1">
        <v>3.2623766413832398E-5</v>
      </c>
      <c r="F45548" s="1">
        <v>5.7174760929826999E-4</v>
      </c>
    </row>
    <row r="45549" spans="1:6" x14ac:dyDescent="0.25">
      <c r="A45549" s="2" t="str">
        <f t="shared" si="1440"/>
        <v>26420</v>
      </c>
      <c r="B45549" s="2" t="str">
        <f>"77079"</f>
        <v>77079</v>
      </c>
      <c r="C45549" s="1">
        <v>5.5768713381646497E-3</v>
      </c>
      <c r="D45549" s="1">
        <v>7.2359533907583196E-3</v>
      </c>
      <c r="E45549" s="1">
        <v>7.5687138080091296E-3</v>
      </c>
      <c r="F45549" s="1">
        <v>5.76448577361908E-3</v>
      </c>
    </row>
    <row r="45550" spans="1:6" x14ac:dyDescent="0.25">
      <c r="A45550" s="2" t="str">
        <f t="shared" si="1440"/>
        <v>26420</v>
      </c>
      <c r="B45550" s="2" t="str">
        <f>"77078"</f>
        <v>77078</v>
      </c>
      <c r="C45550" s="1">
        <v>1.7513404952078E-3</v>
      </c>
      <c r="D45550" s="1">
        <v>4.7835446065534499E-4</v>
      </c>
      <c r="E45550" s="1">
        <v>1.12551994127722E-3</v>
      </c>
      <c r="F45550" s="1">
        <v>1.6242760432867501E-3</v>
      </c>
    </row>
    <row r="45551" spans="1:6" x14ac:dyDescent="0.25">
      <c r="A45551" s="2" t="str">
        <f t="shared" si="1440"/>
        <v>26420</v>
      </c>
      <c r="B45551" s="2" t="str">
        <f>"77075"</f>
        <v>77075</v>
      </c>
      <c r="C45551" s="1">
        <v>4.3961730982447099E-3</v>
      </c>
      <c r="D45551" s="1">
        <v>3.75946181754482E-3</v>
      </c>
      <c r="E45551" s="1">
        <v>2.77302014517576E-3</v>
      </c>
      <c r="F45551" s="1">
        <v>4.3081014468908099E-3</v>
      </c>
    </row>
    <row r="45552" spans="1:6" x14ac:dyDescent="0.25">
      <c r="A45552" s="2" t="str">
        <f t="shared" si="1440"/>
        <v>26420</v>
      </c>
      <c r="B45552" s="2" t="str">
        <f>"77080"</f>
        <v>77080</v>
      </c>
      <c r="C45552" s="1">
        <v>6.22428468365341E-3</v>
      </c>
      <c r="D45552" s="1">
        <v>4.3725640135960399E-3</v>
      </c>
      <c r="E45552" s="1">
        <v>8.3679960851480301E-3</v>
      </c>
      <c r="F45552" s="1">
        <v>6.0966061147384202E-3</v>
      </c>
    </row>
    <row r="45553" spans="1:6" x14ac:dyDescent="0.25">
      <c r="A45553" s="2" t="str">
        <f t="shared" si="1440"/>
        <v>26420</v>
      </c>
      <c r="B45553" s="2" t="str">
        <f>"77073"</f>
        <v>77073</v>
      </c>
      <c r="C45553" s="1">
        <v>5.1104184195779898E-3</v>
      </c>
      <c r="D45553" s="1">
        <v>2.93750063163E-3</v>
      </c>
      <c r="E45553" s="1">
        <v>2.36522306500285E-3</v>
      </c>
      <c r="F45553" s="1">
        <v>4.86214411153382E-3</v>
      </c>
    </row>
    <row r="45554" spans="1:6" x14ac:dyDescent="0.25">
      <c r="A45554" s="2" t="str">
        <f t="shared" si="1440"/>
        <v>26420</v>
      </c>
      <c r="B45554" s="2" t="str">
        <f>"77071"</f>
        <v>77071</v>
      </c>
      <c r="C45554" s="1">
        <v>3.64011495099845E-3</v>
      </c>
      <c r="D45554" s="1">
        <v>1.7618266403010201E-3</v>
      </c>
      <c r="E45554" s="1">
        <v>1.7943071527607799E-3</v>
      </c>
      <c r="F45554" s="1">
        <v>3.4353697784531398E-3</v>
      </c>
    </row>
    <row r="45555" spans="1:6" x14ac:dyDescent="0.25">
      <c r="A45555" s="2" t="str">
        <f t="shared" si="1440"/>
        <v>26420</v>
      </c>
      <c r="B45555" s="2" t="str">
        <f>"77063"</f>
        <v>77063</v>
      </c>
      <c r="C45555" s="1">
        <v>7.2247079528337602E-3</v>
      </c>
      <c r="D45555" s="1">
        <v>9.09884083260625E-3</v>
      </c>
      <c r="E45555" s="1">
        <v>8.9062882309762607E-3</v>
      </c>
      <c r="F45555" s="1">
        <v>7.4260032522151702E-3</v>
      </c>
    </row>
    <row r="45556" spans="1:6" x14ac:dyDescent="0.25">
      <c r="A45556" s="2" t="str">
        <f t="shared" si="1440"/>
        <v>26420</v>
      </c>
      <c r="B45556" s="2" t="str">
        <f>"77068"</f>
        <v>77068</v>
      </c>
      <c r="C45556" s="1">
        <v>1.6714848522756201E-3</v>
      </c>
      <c r="D45556" s="1">
        <v>3.59439584168488E-3</v>
      </c>
      <c r="E45556" s="1">
        <v>1.46806948862246E-3</v>
      </c>
      <c r="F45556" s="1">
        <v>1.8419247594798501E-3</v>
      </c>
    </row>
    <row r="45557" spans="1:6" x14ac:dyDescent="0.25">
      <c r="A45557" s="2" t="str">
        <f t="shared" si="1440"/>
        <v>26420</v>
      </c>
      <c r="B45557" s="2" t="str">
        <f>"77054"</f>
        <v>77054</v>
      </c>
      <c r="C45557" s="1">
        <v>5.4219582454378603E-3</v>
      </c>
      <c r="D45557" s="1">
        <v>5.7705717683282096E-3</v>
      </c>
      <c r="E45557" s="1">
        <v>5.4318571079030997E-3</v>
      </c>
      <c r="F45557" s="1">
        <v>5.45373346915264E-3</v>
      </c>
    </row>
    <row r="45558" spans="1:6" x14ac:dyDescent="0.25">
      <c r="A45558" s="2" t="str">
        <f t="shared" si="1440"/>
        <v>26420</v>
      </c>
      <c r="B45558" s="2" t="str">
        <f>"77024"</f>
        <v>77024</v>
      </c>
      <c r="C45558" s="1">
        <v>6.5149180965567797E-3</v>
      </c>
      <c r="D45558" s="1">
        <v>1.2545014165355599E-2</v>
      </c>
      <c r="E45558" s="1">
        <v>9.6729467417013201E-3</v>
      </c>
      <c r="F45558" s="1">
        <v>7.12044032807872E-3</v>
      </c>
    </row>
    <row r="45559" spans="1:6" x14ac:dyDescent="0.25">
      <c r="A45559" s="2" t="str">
        <f t="shared" si="1440"/>
        <v>26420</v>
      </c>
      <c r="B45559" s="2" t="str">
        <f>"77011"</f>
        <v>77011</v>
      </c>
      <c r="C45559" s="1">
        <v>2.3398046107208702E-3</v>
      </c>
      <c r="D45559" s="1">
        <v>3.42932986582494E-3</v>
      </c>
      <c r="E45559" s="1">
        <v>1.21360411059456E-2</v>
      </c>
      <c r="F45559" s="1">
        <v>2.6218580973106399E-3</v>
      </c>
    </row>
    <row r="45560" spans="1:6" x14ac:dyDescent="0.25">
      <c r="A45560" s="2" t="str">
        <f t="shared" si="1440"/>
        <v>26420</v>
      </c>
      <c r="B45560" s="2" t="str">
        <f>"77008"</f>
        <v>77008</v>
      </c>
      <c r="C45560" s="1">
        <v>6.9800001028184197E-3</v>
      </c>
      <c r="D45560" s="1">
        <v>8.5126881836342094E-3</v>
      </c>
      <c r="E45560" s="1">
        <v>2.0357230242231399E-2</v>
      </c>
      <c r="F45560" s="1">
        <v>7.3692253262517601E-3</v>
      </c>
    </row>
    <row r="45561" spans="1:6" x14ac:dyDescent="0.25">
      <c r="A45561" s="2" t="str">
        <f t="shared" si="1440"/>
        <v>26420</v>
      </c>
      <c r="B45561" s="2" t="str">
        <f>"77017"</f>
        <v>77017</v>
      </c>
      <c r="C45561" s="1">
        <v>3.9071001262952904E-3</v>
      </c>
      <c r="D45561" s="1">
        <v>4.0929624626496099E-3</v>
      </c>
      <c r="E45561" s="1">
        <v>6.6552483484218199E-3</v>
      </c>
      <c r="F45561" s="1">
        <v>3.9753705904385303E-3</v>
      </c>
    </row>
    <row r="45562" spans="1:6" x14ac:dyDescent="0.25">
      <c r="A45562" s="2" t="str">
        <f t="shared" si="1440"/>
        <v>26420</v>
      </c>
      <c r="B45562" s="2" t="str">
        <f>"78950"</f>
        <v>78950</v>
      </c>
      <c r="C45562" s="1">
        <v>2.5190513972167002E-4</v>
      </c>
      <c r="D45562" s="1">
        <v>6.0636480928142403E-5</v>
      </c>
      <c r="E45562" s="1">
        <v>3.2623766413832398E-5</v>
      </c>
      <c r="F45562" s="1">
        <v>2.3046953818483401E-4</v>
      </c>
    </row>
    <row r="45563" spans="1:6" x14ac:dyDescent="0.25">
      <c r="A45563" s="2" t="str">
        <f t="shared" si="1440"/>
        <v>26420</v>
      </c>
      <c r="B45563" s="2" t="str">
        <f>"77835"</f>
        <v>77835</v>
      </c>
      <c r="C45563" s="1">
        <v>1.0624570518873099E-5</v>
      </c>
      <c r="D45563" s="1">
        <v>3.3686933848968001E-6</v>
      </c>
      <c r="E45563" s="1">
        <v>0</v>
      </c>
      <c r="F45563" s="1">
        <v>9.7682453270393198E-6</v>
      </c>
    </row>
    <row r="45564" spans="1:6" x14ac:dyDescent="0.25">
      <c r="A45564" s="2" t="str">
        <f t="shared" si="1440"/>
        <v>26420</v>
      </c>
      <c r="B45564" s="2" t="str">
        <f>"77550"</f>
        <v>77550</v>
      </c>
      <c r="C45564" s="1">
        <v>5.5244339417327903E-3</v>
      </c>
      <c r="D45564" s="1">
        <v>6.1714462811309299E-3</v>
      </c>
      <c r="E45564" s="1">
        <v>2.0977081804094199E-2</v>
      </c>
      <c r="F45564" s="1">
        <v>5.8722417298829798E-3</v>
      </c>
    </row>
    <row r="45565" spans="1:6" x14ac:dyDescent="0.25">
      <c r="A45565" s="2" t="str">
        <f t="shared" si="1440"/>
        <v>26420</v>
      </c>
      <c r="B45565" s="2" t="str">
        <f>"77545"</f>
        <v>77545</v>
      </c>
      <c r="C45565" s="1">
        <v>3.18051659403687E-3</v>
      </c>
      <c r="D45565" s="1">
        <v>1.60349805121087E-3</v>
      </c>
      <c r="E45565" s="1">
        <v>3.4254954734524101E-4</v>
      </c>
      <c r="F45565" s="1">
        <v>2.9845042050769799E-3</v>
      </c>
    </row>
    <row r="45566" spans="1:6" x14ac:dyDescent="0.25">
      <c r="A45566" s="2" t="str">
        <f t="shared" si="1440"/>
        <v>26420</v>
      </c>
      <c r="B45566" s="2" t="str">
        <f>"77578"</f>
        <v>77578</v>
      </c>
      <c r="C45566" s="1">
        <v>3.4409899357898898E-3</v>
      </c>
      <c r="D45566" s="1">
        <v>1.4283259951962399E-3</v>
      </c>
      <c r="E45566" s="1">
        <v>7.17722861104314E-4</v>
      </c>
      <c r="F45566" s="1">
        <v>3.2076475592665299E-3</v>
      </c>
    </row>
    <row r="45567" spans="1:6" x14ac:dyDescent="0.25">
      <c r="A45567" s="2" t="str">
        <f t="shared" si="1440"/>
        <v>26420</v>
      </c>
      <c r="B45567" s="2" t="str">
        <f>"77561"</f>
        <v>77561</v>
      </c>
      <c r="C45567" s="1">
        <v>0</v>
      </c>
      <c r="D45567" s="1">
        <v>3.3686933848968001E-6</v>
      </c>
      <c r="E45567" s="1">
        <v>0</v>
      </c>
      <c r="F45567" s="1">
        <v>3.05257666469978E-7</v>
      </c>
    </row>
    <row r="45568" spans="1:6" x14ac:dyDescent="0.25">
      <c r="A45568" s="2" t="str">
        <f t="shared" si="1440"/>
        <v>26420</v>
      </c>
      <c r="B45568" s="2" t="str">
        <f>"77568"</f>
        <v>77568</v>
      </c>
      <c r="C45568" s="1">
        <v>3.39951983795816E-3</v>
      </c>
      <c r="D45568" s="1">
        <v>2.88360153747166E-3</v>
      </c>
      <c r="E45568" s="1">
        <v>2.9035152108310902E-3</v>
      </c>
      <c r="F45568" s="1">
        <v>3.3434872208456699E-3</v>
      </c>
    </row>
    <row r="45569" spans="1:6" x14ac:dyDescent="0.25">
      <c r="A45569" s="2" t="str">
        <f t="shared" si="1440"/>
        <v>26420</v>
      </c>
      <c r="B45569" s="2" t="str">
        <f>"77564"</f>
        <v>77564</v>
      </c>
      <c r="C45569" s="1">
        <v>1.9192772550222499E-4</v>
      </c>
      <c r="D45569" s="1">
        <v>1.01060801546904E-5</v>
      </c>
      <c r="E45569" s="1">
        <v>3.2623766413832398E-5</v>
      </c>
      <c r="F45569" s="1">
        <v>1.72470581555538E-4</v>
      </c>
    </row>
    <row r="45570" spans="1:6" x14ac:dyDescent="0.25">
      <c r="A45570" s="2" t="str">
        <f t="shared" si="1440"/>
        <v>26420</v>
      </c>
      <c r="B45570" s="2" t="str">
        <f>"77560"</f>
        <v>77560</v>
      </c>
      <c r="C45570" s="1">
        <v>1.2989394279525499E-4</v>
      </c>
      <c r="D45570" s="1">
        <v>2.6949547079174401E-5</v>
      </c>
      <c r="E45570" s="1">
        <v>0</v>
      </c>
      <c r="F45570" s="1">
        <v>1.18134716923881E-4</v>
      </c>
    </row>
    <row r="45571" spans="1:6" x14ac:dyDescent="0.25">
      <c r="A45571" s="2" t="str">
        <f t="shared" si="1440"/>
        <v>26420</v>
      </c>
      <c r="B45571" s="2" t="str">
        <f>"77552"</f>
        <v>77552</v>
      </c>
      <c r="C45571" s="1">
        <v>4.3800648784257797E-4</v>
      </c>
      <c r="D45571" s="1">
        <v>1.0510323360878001E-3</v>
      </c>
      <c r="E45571" s="1">
        <v>3.2623766413832398E-5</v>
      </c>
      <c r="F45571" s="1">
        <v>4.8597020502020601E-4</v>
      </c>
    </row>
    <row r="45572" spans="1:6" x14ac:dyDescent="0.25">
      <c r="A45572" s="2" t="str">
        <f t="shared" si="1440"/>
        <v>26420</v>
      </c>
      <c r="B45572" s="2" t="str">
        <f>"77515"</f>
        <v>77515</v>
      </c>
      <c r="C45572" s="1">
        <v>4.5881008237469399E-3</v>
      </c>
      <c r="D45572" s="1">
        <v>4.0996998494194003E-3</v>
      </c>
      <c r="E45572" s="1">
        <v>3.9311638528668098E-3</v>
      </c>
      <c r="F45572" s="1">
        <v>4.53155005874683E-3</v>
      </c>
    </row>
    <row r="45573" spans="1:6" x14ac:dyDescent="0.25">
      <c r="A45573" s="2" t="str">
        <f t="shared" si="1440"/>
        <v>26420</v>
      </c>
      <c r="B45573" s="2" t="str">
        <f>"77511"</f>
        <v>77511</v>
      </c>
      <c r="C45573" s="1">
        <v>6.9217363290052401E-3</v>
      </c>
      <c r="D45573" s="1">
        <v>4.3456144665168697E-3</v>
      </c>
      <c r="E45573" s="1">
        <v>7.4382187423537999E-3</v>
      </c>
      <c r="F45573" s="1">
        <v>6.69796371768427E-3</v>
      </c>
    </row>
    <row r="45574" spans="1:6" x14ac:dyDescent="0.25">
      <c r="A45574" s="2" t="str">
        <f t="shared" si="1440"/>
        <v>26420</v>
      </c>
      <c r="B45574" s="2" t="str">
        <f>"77487"</f>
        <v>77487</v>
      </c>
      <c r="C45574" s="1">
        <v>5.8949229975683399E-4</v>
      </c>
      <c r="D45574" s="1">
        <v>2.2570245678808498E-3</v>
      </c>
      <c r="E45574" s="1">
        <v>3.2623766413832398E-5</v>
      </c>
      <c r="F45574" s="1">
        <v>7.3017633819618896E-4</v>
      </c>
    </row>
    <row r="45575" spans="1:6" x14ac:dyDescent="0.25">
      <c r="A45575" s="2" t="str">
        <f t="shared" si="1440"/>
        <v>26420</v>
      </c>
      <c r="B45575" s="2" t="str">
        <f>"77498"</f>
        <v>77498</v>
      </c>
      <c r="C45575" s="1">
        <v>5.8812138743181801E-3</v>
      </c>
      <c r="D45575" s="1">
        <v>2.6006312931403201E-3</v>
      </c>
      <c r="E45575" s="1">
        <v>2.36522306500285E-3</v>
      </c>
      <c r="F45575" s="1">
        <v>5.5181428367778E-3</v>
      </c>
    </row>
    <row r="45576" spans="1:6" x14ac:dyDescent="0.25">
      <c r="A45576" s="2" t="str">
        <f t="shared" si="1440"/>
        <v>26420</v>
      </c>
      <c r="B45576" s="2" t="str">
        <f>"77423"</f>
        <v>77423</v>
      </c>
      <c r="C45576" s="1">
        <v>2.24246983564474E-3</v>
      </c>
      <c r="D45576" s="1">
        <v>1.6742406122936999E-3</v>
      </c>
      <c r="E45576" s="1">
        <v>7.9928227713889496E-4</v>
      </c>
      <c r="F45576" s="1">
        <v>2.16397159760568E-3</v>
      </c>
    </row>
    <row r="45577" spans="1:6" x14ac:dyDescent="0.25">
      <c r="A45577" s="2" t="str">
        <f t="shared" si="1440"/>
        <v>26420</v>
      </c>
      <c r="B45577" s="2" t="str">
        <f>"77411"</f>
        <v>77411</v>
      </c>
      <c r="C45577" s="1">
        <v>6.1862418666342204E-4</v>
      </c>
      <c r="D45577" s="1">
        <v>1.43843207535093E-3</v>
      </c>
      <c r="E45577" s="1">
        <v>1.6311883206916199E-5</v>
      </c>
      <c r="F45577" s="1">
        <v>6.8164036922746302E-4</v>
      </c>
    </row>
    <row r="45578" spans="1:6" x14ac:dyDescent="0.25">
      <c r="A45578" s="2" t="str">
        <f t="shared" si="1440"/>
        <v>26420</v>
      </c>
      <c r="B45578" s="2" t="str">
        <f>"77382"</f>
        <v>77382</v>
      </c>
      <c r="C45578" s="1">
        <v>4.7231356877609999E-3</v>
      </c>
      <c r="D45578" s="1">
        <v>1.16556791117429E-3</v>
      </c>
      <c r="E45578" s="1">
        <v>9.1346545958730899E-4</v>
      </c>
      <c r="F45578" s="1">
        <v>4.3294694835437101E-3</v>
      </c>
    </row>
    <row r="45579" spans="1:6" x14ac:dyDescent="0.25">
      <c r="A45579" s="2" t="str">
        <f t="shared" si="1440"/>
        <v>26420</v>
      </c>
      <c r="B45579" s="2" t="str">
        <f>"77345"</f>
        <v>77345</v>
      </c>
      <c r="C45579" s="1">
        <v>3.3950643729018602E-3</v>
      </c>
      <c r="D45579" s="1">
        <v>4.7161707388555199E-4</v>
      </c>
      <c r="E45579" s="1">
        <v>8.6452980996656003E-4</v>
      </c>
      <c r="F45579" s="1">
        <v>3.0827971736803101E-3</v>
      </c>
    </row>
    <row r="45580" spans="1:6" x14ac:dyDescent="0.25">
      <c r="A45580" s="2" t="str">
        <f t="shared" si="1440"/>
        <v>26420</v>
      </c>
      <c r="B45580" s="2" t="str">
        <f>"77287"</f>
        <v>77287</v>
      </c>
      <c r="C45580" s="1">
        <v>1.9981047137106601E-4</v>
      </c>
      <c r="D45580" s="1">
        <v>3.6045019218395701E-4</v>
      </c>
      <c r="E45580" s="1">
        <v>3.2623766413832398E-5</v>
      </c>
      <c r="F45580" s="1">
        <v>2.1123830519722501E-4</v>
      </c>
    </row>
    <row r="45581" spans="1:6" x14ac:dyDescent="0.25">
      <c r="A45581" s="2" t="str">
        <f t="shared" si="1440"/>
        <v>26420</v>
      </c>
      <c r="B45581" s="2" t="str">
        <f>"77306"</f>
        <v>77306</v>
      </c>
      <c r="C45581" s="1">
        <v>1.97308556377912E-3</v>
      </c>
      <c r="D45581" s="1">
        <v>8.5227942637889004E-4</v>
      </c>
      <c r="E45581" s="1">
        <v>5.0566837941440302E-4</v>
      </c>
      <c r="F45581" s="1">
        <v>1.84406156314514E-3</v>
      </c>
    </row>
    <row r="45582" spans="1:6" x14ac:dyDescent="0.25">
      <c r="A45582" s="2" t="str">
        <f t="shared" si="1440"/>
        <v>26420</v>
      </c>
      <c r="B45582" s="2" t="str">
        <f>"77230"</f>
        <v>77230</v>
      </c>
      <c r="C45582" s="1">
        <v>2.4744967466536801E-4</v>
      </c>
      <c r="D45582" s="1">
        <v>9.8028977500496804E-4</v>
      </c>
      <c r="E45582" s="1">
        <v>1.6311883206916199E-5</v>
      </c>
      <c r="F45582" s="1">
        <v>3.0953127380055801E-4</v>
      </c>
    </row>
    <row r="45583" spans="1:6" x14ac:dyDescent="0.25">
      <c r="A45583" s="2" t="str">
        <f t="shared" ref="A45583:A45646" si="1441">"26420"</f>
        <v>26420</v>
      </c>
      <c r="B45583" s="2" t="str">
        <f>"77236"</f>
        <v>77236</v>
      </c>
      <c r="C45583" s="1">
        <v>2.1934597200254301E-4</v>
      </c>
      <c r="D45583" s="1">
        <v>4.0087451280271897E-4</v>
      </c>
      <c r="E45583" s="1">
        <v>3.2623766413832398E-5</v>
      </c>
      <c r="F45583" s="1">
        <v>2.32301084183654E-4</v>
      </c>
    </row>
    <row r="45584" spans="1:6" x14ac:dyDescent="0.25">
      <c r="A45584" s="2" t="str">
        <f t="shared" si="1441"/>
        <v>26420</v>
      </c>
      <c r="B45584" s="2" t="str">
        <f>"77271"</f>
        <v>77271</v>
      </c>
      <c r="C45584" s="1">
        <v>3.13253466266131E-4</v>
      </c>
      <c r="D45584" s="1">
        <v>1.01397670885393E-3</v>
      </c>
      <c r="E45584" s="1">
        <v>3.2623766413832398E-5</v>
      </c>
      <c r="F45584" s="1">
        <v>3.7149858009396402E-4</v>
      </c>
    </row>
    <row r="45585" spans="1:6" x14ac:dyDescent="0.25">
      <c r="A45585" s="2" t="str">
        <f t="shared" si="1441"/>
        <v>26420</v>
      </c>
      <c r="B45585" s="2" t="str">
        <f>"77241"</f>
        <v>77241</v>
      </c>
      <c r="C45585" s="1">
        <v>1.4394579412666799E-4</v>
      </c>
      <c r="D45585" s="1">
        <v>9.8365846838986497E-4</v>
      </c>
      <c r="E45585" s="1">
        <v>3.2623766413832398E-5</v>
      </c>
      <c r="F45585" s="1">
        <v>2.1795397385956399E-4</v>
      </c>
    </row>
    <row r="45586" spans="1:6" x14ac:dyDescent="0.25">
      <c r="A45586" s="2" t="str">
        <f t="shared" si="1441"/>
        <v>26420</v>
      </c>
      <c r="B45586" s="2" t="str">
        <f>"77219"</f>
        <v>77219</v>
      </c>
      <c r="C45586" s="1">
        <v>2.8583521976581299E-4</v>
      </c>
      <c r="D45586" s="1">
        <v>1.74161447999164E-3</v>
      </c>
      <c r="E45586" s="1">
        <v>3.2623766413832398E-5</v>
      </c>
      <c r="F45586" s="1">
        <v>4.1301362273388101E-4</v>
      </c>
    </row>
    <row r="45587" spans="1:6" x14ac:dyDescent="0.25">
      <c r="A45587" s="2" t="str">
        <f t="shared" si="1441"/>
        <v>26420</v>
      </c>
      <c r="B45587" s="2" t="str">
        <f>"77257"</f>
        <v>77257</v>
      </c>
      <c r="C45587" s="1">
        <v>4.9250025276195903E-4</v>
      </c>
      <c r="D45587" s="1">
        <v>1.19588615163836E-3</v>
      </c>
      <c r="E45587" s="1">
        <v>1.6311883206916199E-5</v>
      </c>
      <c r="F45587" s="1">
        <v>5.4732699598067196E-4</v>
      </c>
    </row>
    <row r="45588" spans="1:6" x14ac:dyDescent="0.25">
      <c r="A45588" s="2" t="str">
        <f t="shared" si="1441"/>
        <v>26420</v>
      </c>
      <c r="B45588" s="2" t="str">
        <f>"77254"</f>
        <v>77254</v>
      </c>
      <c r="C45588" s="1">
        <v>2.8754886017208302E-4</v>
      </c>
      <c r="D45588" s="1">
        <v>1.1318809773253201E-3</v>
      </c>
      <c r="E45588" s="1">
        <v>3.2623766413832398E-5</v>
      </c>
      <c r="F45588" s="1">
        <v>3.5928827343516501E-4</v>
      </c>
    </row>
    <row r="45589" spans="1:6" x14ac:dyDescent="0.25">
      <c r="A45589" s="2" t="str">
        <f t="shared" si="1441"/>
        <v>26420</v>
      </c>
      <c r="B45589" s="2" t="str">
        <f>"77272"</f>
        <v>77272</v>
      </c>
      <c r="C45589" s="1">
        <v>4.7399293637424503E-4</v>
      </c>
      <c r="D45589" s="1">
        <v>1.3272651936493301E-3</v>
      </c>
      <c r="E45589" s="1">
        <v>3.2623766413832398E-5</v>
      </c>
      <c r="F45589" s="1">
        <v>5.4305338865009197E-4</v>
      </c>
    </row>
    <row r="45590" spans="1:6" x14ac:dyDescent="0.25">
      <c r="A45590" s="2" t="str">
        <f t="shared" si="1441"/>
        <v>26420</v>
      </c>
      <c r="B45590" s="2" t="str">
        <f>"77218"</f>
        <v>77218</v>
      </c>
      <c r="C45590" s="1">
        <v>2.7932338622198798E-4</v>
      </c>
      <c r="D45590" s="1">
        <v>1.0207140956237299E-3</v>
      </c>
      <c r="E45590" s="1">
        <v>3.2623766413832398E-5</v>
      </c>
      <c r="F45590" s="1">
        <v>3.4188858644637599E-4</v>
      </c>
    </row>
    <row r="45591" spans="1:6" x14ac:dyDescent="0.25">
      <c r="A45591" s="2" t="str">
        <f t="shared" si="1441"/>
        <v>26420</v>
      </c>
      <c r="B45591" s="2" t="str">
        <f>"77099"</f>
        <v>77099</v>
      </c>
      <c r="C45591" s="1">
        <v>6.0710852313328803E-3</v>
      </c>
      <c r="D45591" s="1">
        <v>5.8042587021771798E-3</v>
      </c>
      <c r="E45591" s="1">
        <v>5.9212136041105904E-3</v>
      </c>
      <c r="F45591" s="1">
        <v>6.0441017961055804E-3</v>
      </c>
    </row>
    <row r="45592" spans="1:6" x14ac:dyDescent="0.25">
      <c r="A45592" s="2" t="str">
        <f t="shared" si="1441"/>
        <v>26420</v>
      </c>
      <c r="B45592" s="2" t="str">
        <f>"77095"</f>
        <v>77095</v>
      </c>
      <c r="C45592" s="1">
        <v>8.7183169309385695E-3</v>
      </c>
      <c r="D45592" s="1">
        <v>3.98179558094801E-3</v>
      </c>
      <c r="E45592" s="1">
        <v>2.9524508604518301E-3</v>
      </c>
      <c r="F45592" s="1">
        <v>8.1812107190618998E-3</v>
      </c>
    </row>
    <row r="45593" spans="1:6" x14ac:dyDescent="0.25">
      <c r="A45593" s="2" t="str">
        <f t="shared" si="1441"/>
        <v>26420</v>
      </c>
      <c r="B45593" s="2" t="str">
        <f>"77076"</f>
        <v>77076</v>
      </c>
      <c r="C45593" s="1">
        <v>3.53215560540345E-3</v>
      </c>
      <c r="D45593" s="1">
        <v>4.1300180898834696E-3</v>
      </c>
      <c r="E45593" s="1">
        <v>5.6765353560068498E-3</v>
      </c>
      <c r="F45593" s="1">
        <v>3.6264610776633498E-3</v>
      </c>
    </row>
    <row r="45594" spans="1:6" x14ac:dyDescent="0.25">
      <c r="A45594" s="2" t="str">
        <f t="shared" si="1441"/>
        <v>26420</v>
      </c>
      <c r="B45594" s="2" t="str">
        <f>"77059"</f>
        <v>77059</v>
      </c>
      <c r="C45594" s="1">
        <v>2.2589207835449301E-3</v>
      </c>
      <c r="D45594" s="1">
        <v>3.2002587156519598E-4</v>
      </c>
      <c r="E45594" s="1">
        <v>4.7304461300057E-4</v>
      </c>
      <c r="F45594" s="1">
        <v>2.0498052303458999E-3</v>
      </c>
    </row>
    <row r="45595" spans="1:6" x14ac:dyDescent="0.25">
      <c r="A45595" s="2" t="str">
        <f t="shared" si="1441"/>
        <v>26420</v>
      </c>
      <c r="B45595" s="2" t="str">
        <f>"77062"</f>
        <v>77062</v>
      </c>
      <c r="C45595" s="1">
        <v>3.4797182089715902E-3</v>
      </c>
      <c r="D45595" s="1">
        <v>1.1015627368612499E-3</v>
      </c>
      <c r="E45595" s="1">
        <v>1.92480221841611E-3</v>
      </c>
      <c r="F45595" s="1">
        <v>3.2351207492488298E-3</v>
      </c>
    </row>
    <row r="45596" spans="1:6" x14ac:dyDescent="0.25">
      <c r="A45596" s="2" t="str">
        <f t="shared" si="1441"/>
        <v>26420</v>
      </c>
      <c r="B45596" s="2" t="str">
        <f>"77035"</f>
        <v>77035</v>
      </c>
      <c r="C45596" s="1">
        <v>5.3489571641307599E-3</v>
      </c>
      <c r="D45596" s="1">
        <v>3.0722483670258798E-3</v>
      </c>
      <c r="E45596" s="1">
        <v>6.1332680858005003E-3</v>
      </c>
      <c r="F45596" s="1">
        <v>5.1573282750102898E-3</v>
      </c>
    </row>
    <row r="45597" spans="1:6" x14ac:dyDescent="0.25">
      <c r="A45597" s="2" t="str">
        <f t="shared" si="1441"/>
        <v>26420</v>
      </c>
      <c r="B45597" s="2" t="str">
        <f>"77053"</f>
        <v>77053</v>
      </c>
      <c r="C45597" s="1">
        <v>3.1959393576933E-3</v>
      </c>
      <c r="D45597" s="1">
        <v>1.2127296185628399E-3</v>
      </c>
      <c r="E45597" s="1">
        <v>7.50346627518146E-4</v>
      </c>
      <c r="F45597" s="1">
        <v>2.9704623524193599E-3</v>
      </c>
    </row>
    <row r="45598" spans="1:6" x14ac:dyDescent="0.25">
      <c r="A45598" s="2" t="str">
        <f t="shared" si="1441"/>
        <v>26420</v>
      </c>
      <c r="B45598" s="2" t="str">
        <f>"77026"</f>
        <v>77026</v>
      </c>
      <c r="C45598" s="1">
        <v>3.7439615596183999E-3</v>
      </c>
      <c r="D45598" s="1">
        <v>2.8701267639320701E-3</v>
      </c>
      <c r="E45598" s="1">
        <v>1.2087105456324901E-2</v>
      </c>
      <c r="F45598" s="1">
        <v>3.8209102112047198E-3</v>
      </c>
    </row>
    <row r="45599" spans="1:6" x14ac:dyDescent="0.25">
      <c r="A45599" s="2" t="str">
        <f t="shared" si="1441"/>
        <v>26420</v>
      </c>
      <c r="B45599" s="2" t="str">
        <f>"77006"</f>
        <v>77006</v>
      </c>
      <c r="C45599" s="1">
        <v>5.8750447688556097E-3</v>
      </c>
      <c r="D45599" s="1">
        <v>5.1069391715035401E-3</v>
      </c>
      <c r="E45599" s="1">
        <v>2.7697577685343699E-2</v>
      </c>
      <c r="F45599" s="1">
        <v>6.2138250586628897E-3</v>
      </c>
    </row>
    <row r="45600" spans="1:6" x14ac:dyDescent="0.25">
      <c r="A45600" s="2" t="str">
        <f t="shared" si="1441"/>
        <v>26420</v>
      </c>
      <c r="B45600" s="2" t="str">
        <f>"78954"</f>
        <v>78954</v>
      </c>
      <c r="C45600" s="1">
        <v>6.5118335438254898E-6</v>
      </c>
      <c r="D45600" s="1">
        <v>0</v>
      </c>
      <c r="E45600" s="1">
        <v>0</v>
      </c>
      <c r="F45600" s="1">
        <v>5.7998956629295999E-6</v>
      </c>
    </row>
    <row r="45601" spans="1:6" x14ac:dyDescent="0.25">
      <c r="A45601" s="2" t="str">
        <f t="shared" si="1441"/>
        <v>26420</v>
      </c>
      <c r="B45601" s="2" t="str">
        <f>"77542"</f>
        <v>77542</v>
      </c>
      <c r="C45601" s="1">
        <v>4.7296475213048298E-4</v>
      </c>
      <c r="D45601" s="1">
        <v>5.5246571512307505E-4</v>
      </c>
      <c r="E45601" s="1">
        <v>3.2623766413832398E-5</v>
      </c>
      <c r="F45601" s="1">
        <v>4.7192835236258701E-4</v>
      </c>
    </row>
    <row r="45602" spans="1:6" x14ac:dyDescent="0.25">
      <c r="A45602" s="2" t="str">
        <f t="shared" si="1441"/>
        <v>26420</v>
      </c>
      <c r="B45602" s="2" t="str">
        <f>"77565"</f>
        <v>77565</v>
      </c>
      <c r="C45602" s="1">
        <v>1.71638223091989E-3</v>
      </c>
      <c r="D45602" s="1">
        <v>3.0452988199467E-3</v>
      </c>
      <c r="E45602" s="1">
        <v>1.8758665687953599E-3</v>
      </c>
      <c r="F45602" s="1">
        <v>1.8397879558145599E-3</v>
      </c>
    </row>
    <row r="45603" spans="1:6" x14ac:dyDescent="0.25">
      <c r="A45603" s="2" t="str">
        <f t="shared" si="1441"/>
        <v>26420</v>
      </c>
      <c r="B45603" s="2" t="str">
        <f>"77521"</f>
        <v>77521</v>
      </c>
      <c r="C45603" s="1">
        <v>8.5164500910799804E-3</v>
      </c>
      <c r="D45603" s="1">
        <v>5.1945251995108603E-3</v>
      </c>
      <c r="E45603" s="1">
        <v>5.9049017209036698E-3</v>
      </c>
      <c r="F45603" s="1">
        <v>8.1665583510713395E-3</v>
      </c>
    </row>
    <row r="45604" spans="1:6" x14ac:dyDescent="0.25">
      <c r="A45604" s="2" t="str">
        <f t="shared" si="1441"/>
        <v>26420</v>
      </c>
      <c r="B45604" s="2" t="str">
        <f>"77466"</f>
        <v>77466</v>
      </c>
      <c r="C45604" s="1">
        <v>0</v>
      </c>
      <c r="D45604" s="1">
        <v>3.3686933848968001E-6</v>
      </c>
      <c r="E45604" s="1">
        <v>0</v>
      </c>
      <c r="F45604" s="1">
        <v>3.05257666469978E-7</v>
      </c>
    </row>
    <row r="45605" spans="1:6" x14ac:dyDescent="0.25">
      <c r="A45605" s="2" t="str">
        <f t="shared" si="1441"/>
        <v>26420</v>
      </c>
      <c r="B45605" s="2" t="str">
        <f>"77512"</f>
        <v>77512</v>
      </c>
      <c r="C45605" s="1">
        <v>8.1260828065317099E-4</v>
      </c>
      <c r="D45605" s="1">
        <v>1.3676895142681E-3</v>
      </c>
      <c r="E45605" s="1">
        <v>3.2623766413832398E-5</v>
      </c>
      <c r="F45605" s="1">
        <v>8.4831105512007097E-4</v>
      </c>
    </row>
    <row r="45606" spans="1:6" x14ac:dyDescent="0.25">
      <c r="A45606" s="2" t="str">
        <f t="shared" si="1441"/>
        <v>26420</v>
      </c>
      <c r="B45606" s="2" t="str">
        <f>"77486"</f>
        <v>77486</v>
      </c>
      <c r="C45606" s="1">
        <v>1.2149710480453301E-3</v>
      </c>
      <c r="D45606" s="1">
        <v>8.82597666842961E-4</v>
      </c>
      <c r="E45606" s="1">
        <v>6.0353967865589997E-4</v>
      </c>
      <c r="F45606" s="1">
        <v>1.17341046991059E-3</v>
      </c>
    </row>
    <row r="45607" spans="1:6" x14ac:dyDescent="0.25">
      <c r="A45607" s="2" t="str">
        <f t="shared" si="1441"/>
        <v>26420</v>
      </c>
      <c r="B45607" s="2" t="str">
        <f>"77494"</f>
        <v>77494</v>
      </c>
      <c r="C45607" s="1">
        <v>1.4635859981869601E-2</v>
      </c>
      <c r="D45607" s="1">
        <v>8.1825562319143199E-3</v>
      </c>
      <c r="E45607" s="1">
        <v>5.5786640567653499E-3</v>
      </c>
      <c r="F45607" s="1">
        <v>1.3881592382722199E-2</v>
      </c>
    </row>
    <row r="45608" spans="1:6" x14ac:dyDescent="0.25">
      <c r="A45608" s="2" t="str">
        <f t="shared" si="1441"/>
        <v>26420</v>
      </c>
      <c r="B45608" s="2" t="str">
        <f>"77445"</f>
        <v>77445</v>
      </c>
      <c r="C45608" s="1">
        <v>1.9460100453600601E-3</v>
      </c>
      <c r="D45608" s="1">
        <v>1.3676895142681E-3</v>
      </c>
      <c r="E45608" s="1">
        <v>1.5170051382432099E-3</v>
      </c>
      <c r="F45608" s="1">
        <v>1.8855766057850601E-3</v>
      </c>
    </row>
    <row r="45609" spans="1:6" x14ac:dyDescent="0.25">
      <c r="A45609" s="2" t="str">
        <f t="shared" si="1441"/>
        <v>26420</v>
      </c>
      <c r="B45609" s="2" t="str">
        <f>"77431"</f>
        <v>77431</v>
      </c>
      <c r="C45609" s="1">
        <v>0</v>
      </c>
      <c r="D45609" s="1">
        <v>3.3686933848968001E-6</v>
      </c>
      <c r="E45609" s="1">
        <v>0</v>
      </c>
      <c r="F45609" s="1">
        <v>3.05257666469978E-7</v>
      </c>
    </row>
    <row r="45610" spans="1:6" x14ac:dyDescent="0.25">
      <c r="A45610" s="2" t="str">
        <f t="shared" si="1441"/>
        <v>26420</v>
      </c>
      <c r="B45610" s="2" t="str">
        <f>"77435"</f>
        <v>77435</v>
      </c>
      <c r="C45610" s="1">
        <v>7.0944712819572496E-5</v>
      </c>
      <c r="D45610" s="1">
        <v>2.35808536942776E-5</v>
      </c>
      <c r="E45610" s="1">
        <v>3.2623766413832398E-5</v>
      </c>
      <c r="F45610" s="1">
        <v>6.5935655957515395E-5</v>
      </c>
    </row>
    <row r="45611" spans="1:6" x14ac:dyDescent="0.25">
      <c r="A45611" s="2" t="str">
        <f t="shared" si="1441"/>
        <v>26420</v>
      </c>
      <c r="B45611" s="2" t="str">
        <f>"77430"</f>
        <v>77430</v>
      </c>
      <c r="C45611" s="1">
        <v>2.9097614098462298E-4</v>
      </c>
      <c r="D45611" s="1">
        <v>4.04243206187616E-5</v>
      </c>
      <c r="E45611" s="1">
        <v>8.1559416034581104E-5</v>
      </c>
      <c r="F45611" s="1">
        <v>2.64353139163001E-4</v>
      </c>
    </row>
    <row r="45612" spans="1:6" x14ac:dyDescent="0.25">
      <c r="A45612" s="2" t="str">
        <f t="shared" si="1441"/>
        <v>26420</v>
      </c>
      <c r="B45612" s="2" t="str">
        <f>"77393"</f>
        <v>77393</v>
      </c>
      <c r="C45612" s="1">
        <v>3.8179908251692601E-4</v>
      </c>
      <c r="D45612" s="1">
        <v>2.8027528962341298E-3</v>
      </c>
      <c r="E45612" s="1">
        <v>3.2623766413832398E-5</v>
      </c>
      <c r="F45612" s="1">
        <v>5.9464193428351896E-4</v>
      </c>
    </row>
    <row r="45613" spans="1:6" x14ac:dyDescent="0.25">
      <c r="A45613" s="2" t="str">
        <f t="shared" si="1441"/>
        <v>26420</v>
      </c>
      <c r="B45613" s="2" t="str">
        <f>"77407"</f>
        <v>77407</v>
      </c>
      <c r="C45613" s="1">
        <v>7.57771787652535E-3</v>
      </c>
      <c r="D45613" s="1">
        <v>1.7820388006103999E-3</v>
      </c>
      <c r="E45613" s="1">
        <v>1.4028219557947899E-3</v>
      </c>
      <c r="F45613" s="1">
        <v>6.9369804705302698E-3</v>
      </c>
    </row>
    <row r="45614" spans="1:6" x14ac:dyDescent="0.25">
      <c r="A45614" s="2" t="str">
        <f t="shared" si="1441"/>
        <v>26420</v>
      </c>
      <c r="B45614" s="2" t="str">
        <f>"77406"</f>
        <v>77406</v>
      </c>
      <c r="C45614" s="1">
        <v>7.2874271917032296E-3</v>
      </c>
      <c r="D45614" s="1">
        <v>3.9076843264802801E-3</v>
      </c>
      <c r="E45614" s="1">
        <v>2.2999755321751799E-3</v>
      </c>
      <c r="F45614" s="1">
        <v>6.8878339862286E-3</v>
      </c>
    </row>
    <row r="45615" spans="1:6" x14ac:dyDescent="0.25">
      <c r="A45615" s="2" t="str">
        <f t="shared" si="1441"/>
        <v>26420</v>
      </c>
      <c r="B45615" s="2" t="str">
        <f>"77402"</f>
        <v>77402</v>
      </c>
      <c r="C45615" s="1">
        <v>6.4981244205753299E-4</v>
      </c>
      <c r="D45615" s="1">
        <v>2.3715601429673402E-3</v>
      </c>
      <c r="E45615" s="1">
        <v>3.2623766413832398E-5</v>
      </c>
      <c r="F45615" s="1">
        <v>7.9428044815488502E-4</v>
      </c>
    </row>
    <row r="45616" spans="1:6" x14ac:dyDescent="0.25">
      <c r="A45616" s="2" t="str">
        <f t="shared" si="1441"/>
        <v>26420</v>
      </c>
      <c r="B45616" s="2" t="str">
        <f>"77356"</f>
        <v>77356</v>
      </c>
      <c r="C45616" s="1">
        <v>5.38494361266243E-3</v>
      </c>
      <c r="D45616" s="1">
        <v>3.3350064510478299E-3</v>
      </c>
      <c r="E45616" s="1">
        <v>3.5723024223146501E-3</v>
      </c>
      <c r="F45616" s="1">
        <v>5.1652649743385102E-3</v>
      </c>
    </row>
    <row r="45617" spans="1:6" x14ac:dyDescent="0.25">
      <c r="A45617" s="2" t="str">
        <f t="shared" si="1441"/>
        <v>26420</v>
      </c>
      <c r="B45617" s="2" t="str">
        <f>"77383"</f>
        <v>77383</v>
      </c>
      <c r="C45617" s="1">
        <v>5.6824315871908796E-4</v>
      </c>
      <c r="D45617" s="1">
        <v>2.3243984355787901E-3</v>
      </c>
      <c r="E45617" s="1">
        <v>1.6311883206916199E-5</v>
      </c>
      <c r="F45617" s="1">
        <v>7.1705025853797998E-4</v>
      </c>
    </row>
    <row r="45618" spans="1:6" x14ac:dyDescent="0.25">
      <c r="A45618" s="2" t="str">
        <f t="shared" si="1441"/>
        <v>26420</v>
      </c>
      <c r="B45618" s="2" t="str">
        <f>"77088"</f>
        <v>77088</v>
      </c>
      <c r="C45618" s="1">
        <v>6.2664402376476497E-3</v>
      </c>
      <c r="D45618" s="1">
        <v>2.4793583312840402E-3</v>
      </c>
      <c r="E45618" s="1">
        <v>4.8772530788679502E-3</v>
      </c>
      <c r="F45618" s="1">
        <v>5.8972728585335197E-3</v>
      </c>
    </row>
    <row r="45619" spans="1:6" x14ac:dyDescent="0.25">
      <c r="A45619" s="2" t="str">
        <f t="shared" si="1441"/>
        <v>26420</v>
      </c>
      <c r="B45619" s="2" t="str">
        <f>"77333"</f>
        <v>77333</v>
      </c>
      <c r="C45619" s="1">
        <v>0</v>
      </c>
      <c r="D45619" s="1">
        <v>3.3686933848968001E-6</v>
      </c>
      <c r="E45619" s="1">
        <v>0</v>
      </c>
      <c r="F45619" s="1">
        <v>3.05257666469978E-7</v>
      </c>
    </row>
    <row r="45620" spans="1:6" x14ac:dyDescent="0.25">
      <c r="A45620" s="2" t="str">
        <f t="shared" si="1441"/>
        <v>26420</v>
      </c>
      <c r="B45620" s="2" t="str">
        <f>"77316"</f>
        <v>77316</v>
      </c>
      <c r="C45620" s="1">
        <v>4.2152126713426198E-3</v>
      </c>
      <c r="D45620" s="1">
        <v>8.8933505361275496E-4</v>
      </c>
      <c r="E45620" s="1">
        <v>6.5247532827664905E-4</v>
      </c>
      <c r="F45620" s="1">
        <v>3.8471623705211401E-3</v>
      </c>
    </row>
    <row r="45621" spans="1:6" x14ac:dyDescent="0.25">
      <c r="A45621" s="2" t="str">
        <f t="shared" si="1441"/>
        <v>26420</v>
      </c>
      <c r="B45621" s="2" t="str">
        <f>"77083"</f>
        <v>77083</v>
      </c>
      <c r="C45621" s="1">
        <v>7.7391428027959704E-3</v>
      </c>
      <c r="D45621" s="1">
        <v>3.8908408595557998E-3</v>
      </c>
      <c r="E45621" s="1">
        <v>2.8219557947965E-3</v>
      </c>
      <c r="F45621" s="1">
        <v>7.2984055476307203E-3</v>
      </c>
    </row>
    <row r="45622" spans="1:6" x14ac:dyDescent="0.25">
      <c r="A45622" s="2" t="str">
        <f t="shared" si="1441"/>
        <v>26420</v>
      </c>
      <c r="B45622" s="2" t="str">
        <f>"77082"</f>
        <v>77082</v>
      </c>
      <c r="C45622" s="1">
        <v>8.3313769272028403E-3</v>
      </c>
      <c r="D45622" s="1">
        <v>5.4337024298385297E-3</v>
      </c>
      <c r="E45622" s="1">
        <v>9.0367832966315904E-3</v>
      </c>
      <c r="F45622" s="1">
        <v>8.0820019774591606E-3</v>
      </c>
    </row>
    <row r="45623" spans="1:6" x14ac:dyDescent="0.25">
      <c r="A45623" s="2" t="str">
        <f t="shared" si="1441"/>
        <v>26420</v>
      </c>
      <c r="B45623" s="2" t="str">
        <f>"77081"</f>
        <v>77081</v>
      </c>
      <c r="C45623" s="1">
        <v>7.6185025181945698E-3</v>
      </c>
      <c r="D45623" s="1">
        <v>9.1830581672286693E-3</v>
      </c>
      <c r="E45623" s="1">
        <v>1.0325422069977899E-2</v>
      </c>
      <c r="F45623" s="1">
        <v>7.81093316963382E-3</v>
      </c>
    </row>
    <row r="45624" spans="1:6" x14ac:dyDescent="0.25">
      <c r="A45624" s="2" t="str">
        <f t="shared" si="1441"/>
        <v>26420</v>
      </c>
      <c r="B45624" s="2" t="str">
        <f>"77084"</f>
        <v>77084</v>
      </c>
      <c r="C45624" s="1">
        <v>1.30308643773573E-2</v>
      </c>
      <c r="D45624" s="1">
        <v>9.6310943874199501E-3</v>
      </c>
      <c r="E45624" s="1">
        <v>9.0367832966315904E-3</v>
      </c>
      <c r="F45624" s="1">
        <v>1.2648046152517099E-2</v>
      </c>
    </row>
    <row r="45625" spans="1:6" x14ac:dyDescent="0.25">
      <c r="A45625" s="2" t="str">
        <f t="shared" si="1441"/>
        <v>26420</v>
      </c>
      <c r="B45625" s="2" t="str">
        <f>"77273"</f>
        <v>77273</v>
      </c>
      <c r="C45625" s="1">
        <v>1.1652754762635001E-4</v>
      </c>
      <c r="D45625" s="1">
        <v>5.3899094158348798E-4</v>
      </c>
      <c r="E45625" s="1">
        <v>3.2623766413832398E-5</v>
      </c>
      <c r="F45625" s="1">
        <v>1.53239348567929E-4</v>
      </c>
    </row>
    <row r="45626" spans="1:6" x14ac:dyDescent="0.25">
      <c r="A45626" s="2" t="str">
        <f t="shared" si="1441"/>
        <v>26420</v>
      </c>
      <c r="B45626" s="2" t="str">
        <f>"77208"</f>
        <v>77208</v>
      </c>
      <c r="C45626" s="1">
        <v>2.0906412956492299E-4</v>
      </c>
      <c r="D45626" s="1">
        <v>2.29071150172982E-4</v>
      </c>
      <c r="E45626" s="1">
        <v>3.2623766413832398E-5</v>
      </c>
      <c r="F45626" s="1">
        <v>2.0757521319958501E-4</v>
      </c>
    </row>
    <row r="45627" spans="1:6" x14ac:dyDescent="0.25">
      <c r="A45627" s="2" t="str">
        <f t="shared" si="1441"/>
        <v>26420</v>
      </c>
      <c r="B45627" s="2" t="str">
        <f>"77228"</f>
        <v>77228</v>
      </c>
      <c r="C45627" s="1">
        <v>3.1702347515992501E-4</v>
      </c>
      <c r="D45627" s="1">
        <v>4.74985767270448E-4</v>
      </c>
      <c r="E45627" s="1">
        <v>3.2623766413832398E-5</v>
      </c>
      <c r="F45627" s="1">
        <v>3.26015187789937E-4</v>
      </c>
    </row>
    <row r="45628" spans="1:6" x14ac:dyDescent="0.25">
      <c r="A45628" s="2" t="str">
        <f t="shared" si="1441"/>
        <v>26420</v>
      </c>
      <c r="B45628" s="2" t="str">
        <f>"77235"</f>
        <v>77235</v>
      </c>
      <c r="C45628" s="1">
        <v>2.0186683985858999E-4</v>
      </c>
      <c r="D45628" s="1">
        <v>6.5689521005487595E-4</v>
      </c>
      <c r="E45628" s="1">
        <v>3.2623766413832398E-5</v>
      </c>
      <c r="F45628" s="1">
        <v>2.3993252584540299E-4</v>
      </c>
    </row>
    <row r="45629" spans="1:6" x14ac:dyDescent="0.25">
      <c r="A45629" s="2" t="str">
        <f t="shared" si="1441"/>
        <v>26420</v>
      </c>
      <c r="B45629" s="2" t="str">
        <f>"77259"</f>
        <v>77259</v>
      </c>
      <c r="C45629" s="1">
        <v>4.2429736459241899E-4</v>
      </c>
      <c r="D45629" s="1">
        <v>8.7249158668827097E-4</v>
      </c>
      <c r="E45629" s="1">
        <v>3.2623766413832398E-5</v>
      </c>
      <c r="F45629" s="1">
        <v>4.57581242038498E-4</v>
      </c>
    </row>
    <row r="45630" spans="1:6" x14ac:dyDescent="0.25">
      <c r="A45630" s="2" t="str">
        <f t="shared" si="1441"/>
        <v>26420</v>
      </c>
      <c r="B45630" s="2" t="str">
        <f>"77207"</f>
        <v>77207</v>
      </c>
      <c r="C45630" s="1">
        <v>5.0106845479330905E-4</v>
      </c>
      <c r="D45630" s="1">
        <v>1.11166881701594E-3</v>
      </c>
      <c r="E45630" s="1">
        <v>1.6311883206916199E-5</v>
      </c>
      <c r="F45630" s="1">
        <v>5.4732699598067196E-4</v>
      </c>
    </row>
    <row r="45631" spans="1:6" x14ac:dyDescent="0.25">
      <c r="A45631" s="2" t="str">
        <f t="shared" si="1441"/>
        <v>26420</v>
      </c>
      <c r="B45631" s="2" t="str">
        <f>"77204"</f>
        <v>77204</v>
      </c>
      <c r="C45631" s="1">
        <v>3.4272808125397301E-7</v>
      </c>
      <c r="D45631" s="1">
        <v>3.1160413810295399E-3</v>
      </c>
      <c r="E45631" s="1">
        <v>3.0992578093140798E-4</v>
      </c>
      <c r="F45631" s="1">
        <v>2.8846849481412999E-4</v>
      </c>
    </row>
    <row r="45632" spans="1:6" x14ac:dyDescent="0.25">
      <c r="A45632" s="2" t="str">
        <f t="shared" si="1441"/>
        <v>26420</v>
      </c>
      <c r="B45632" s="2" t="str">
        <f>"77098"</f>
        <v>77098</v>
      </c>
      <c r="C45632" s="1">
        <v>3.75115884932473E-3</v>
      </c>
      <c r="D45632" s="1">
        <v>8.3375161276195795E-3</v>
      </c>
      <c r="E45632" s="1">
        <v>1.5610472229018801E-2</v>
      </c>
      <c r="F45632" s="1">
        <v>4.3886894708388803E-3</v>
      </c>
    </row>
    <row r="45633" spans="1:6" x14ac:dyDescent="0.25">
      <c r="A45633" s="2" t="str">
        <f t="shared" si="1441"/>
        <v>26420</v>
      </c>
      <c r="B45633" s="2" t="str">
        <f>"77046"</f>
        <v>77046</v>
      </c>
      <c r="C45633" s="1">
        <v>4.52401067255245E-4</v>
      </c>
      <c r="D45633" s="1">
        <v>2.1963880869527099E-3</v>
      </c>
      <c r="E45633" s="1">
        <v>6.1985156186281705E-4</v>
      </c>
      <c r="F45633" s="1">
        <v>6.1356790960465698E-4</v>
      </c>
    </row>
    <row r="45634" spans="1:6" x14ac:dyDescent="0.25">
      <c r="A45634" s="2" t="str">
        <f t="shared" si="1441"/>
        <v>26420</v>
      </c>
      <c r="B45634" s="2" t="str">
        <f>"77043"</f>
        <v>77043</v>
      </c>
      <c r="C45634" s="1">
        <v>3.9286919954142898E-3</v>
      </c>
      <c r="D45634" s="1">
        <v>5.5179197644609499E-3</v>
      </c>
      <c r="E45634" s="1">
        <v>5.6602234727999301E-3</v>
      </c>
      <c r="F45634" s="1">
        <v>4.1051050986882697E-3</v>
      </c>
    </row>
    <row r="45635" spans="1:6" x14ac:dyDescent="0.25">
      <c r="A45635" s="2" t="str">
        <f t="shared" si="1441"/>
        <v>26420</v>
      </c>
      <c r="B45635" s="2" t="str">
        <f>"77037"</f>
        <v>77037</v>
      </c>
      <c r="C45635" s="1">
        <v>1.94395367687253E-3</v>
      </c>
      <c r="D45635" s="1">
        <v>4.9856662096472602E-3</v>
      </c>
      <c r="E45635" s="1">
        <v>3.7191093711768999E-3</v>
      </c>
      <c r="F45635" s="1">
        <v>2.2528015785484401E-3</v>
      </c>
    </row>
    <row r="45636" spans="1:6" x14ac:dyDescent="0.25">
      <c r="A45636" s="2" t="str">
        <f t="shared" si="1441"/>
        <v>26420</v>
      </c>
      <c r="B45636" s="2" t="str">
        <f>"77060"</f>
        <v>77060</v>
      </c>
      <c r="C45636" s="1">
        <v>5.4665128960008696E-3</v>
      </c>
      <c r="D45636" s="1">
        <v>1.08572987795223E-2</v>
      </c>
      <c r="E45636" s="1">
        <v>6.8836147133186504E-3</v>
      </c>
      <c r="F45636" s="1">
        <v>5.9815239744792298E-3</v>
      </c>
    </row>
    <row r="45637" spans="1:6" x14ac:dyDescent="0.25">
      <c r="A45637" s="2" t="str">
        <f t="shared" si="1441"/>
        <v>26420</v>
      </c>
      <c r="B45637" s="2" t="str">
        <f>"77058"</f>
        <v>77058</v>
      </c>
      <c r="C45637" s="1">
        <v>3.58185117718527E-3</v>
      </c>
      <c r="D45637" s="1">
        <v>6.4982095394659203E-3</v>
      </c>
      <c r="E45637" s="1">
        <v>4.8609411956610296E-3</v>
      </c>
      <c r="F45637" s="1">
        <v>3.8700566955063901E-3</v>
      </c>
    </row>
    <row r="45638" spans="1:6" x14ac:dyDescent="0.25">
      <c r="A45638" s="2" t="str">
        <f t="shared" si="1441"/>
        <v>26420</v>
      </c>
      <c r="B45638" s="2" t="str">
        <f>"77034"</f>
        <v>77034</v>
      </c>
      <c r="C45638" s="1">
        <v>4.9729844589951498E-3</v>
      </c>
      <c r="D45638" s="1">
        <v>4.58142300345964E-3</v>
      </c>
      <c r="E45638" s="1">
        <v>4.4205203490742997E-3</v>
      </c>
      <c r="F45638" s="1">
        <v>4.9271639944919298E-3</v>
      </c>
    </row>
    <row r="45639" spans="1:6" x14ac:dyDescent="0.25">
      <c r="A45639" s="2" t="str">
        <f t="shared" si="1441"/>
        <v>26420</v>
      </c>
      <c r="B45639" s="2" t="str">
        <f>"77030"</f>
        <v>77030</v>
      </c>
      <c r="C45639" s="1">
        <v>2.7000118241188001E-3</v>
      </c>
      <c r="D45639" s="1">
        <v>4.95197927579829E-3</v>
      </c>
      <c r="E45639" s="1">
        <v>5.2198026262131898E-3</v>
      </c>
      <c r="F45639" s="1">
        <v>2.95123111943175E-3</v>
      </c>
    </row>
    <row r="45640" spans="1:6" x14ac:dyDescent="0.25">
      <c r="A45640" s="2" t="str">
        <f t="shared" si="1441"/>
        <v>26420</v>
      </c>
      <c r="B45640" s="2" t="str">
        <f>"77055"</f>
        <v>77055</v>
      </c>
      <c r="C45640" s="1">
        <v>6.3726859428363796E-3</v>
      </c>
      <c r="D45640" s="1">
        <v>1.07596066713603E-2</v>
      </c>
      <c r="E45640" s="1">
        <v>1.5594160345811899E-2</v>
      </c>
      <c r="F45640" s="1">
        <v>6.9427803661931999E-3</v>
      </c>
    </row>
    <row r="45641" spans="1:6" x14ac:dyDescent="0.25">
      <c r="A45641" s="2" t="str">
        <f t="shared" si="1441"/>
        <v>26420</v>
      </c>
      <c r="B45641" s="2" t="str">
        <f>"77051"</f>
        <v>77051</v>
      </c>
      <c r="C45641" s="1">
        <v>2.6924718063312098E-3</v>
      </c>
      <c r="D45641" s="1">
        <v>2.1896507001829199E-3</v>
      </c>
      <c r="E45641" s="1">
        <v>7.6828969904575396E-3</v>
      </c>
      <c r="F45641" s="1">
        <v>2.7402980719009999E-3</v>
      </c>
    </row>
    <row r="45642" spans="1:6" x14ac:dyDescent="0.25">
      <c r="A45642" s="2" t="str">
        <f t="shared" si="1441"/>
        <v>26420</v>
      </c>
      <c r="B45642" s="2" t="str">
        <f>"77056"</f>
        <v>77056</v>
      </c>
      <c r="C45642" s="1">
        <v>5.9010921030309103E-3</v>
      </c>
      <c r="D45642" s="1">
        <v>1.3936284533317999E-2</v>
      </c>
      <c r="E45642" s="1">
        <v>6.8020552972840702E-3</v>
      </c>
      <c r="F45642" s="1">
        <v>6.64606991438438E-3</v>
      </c>
    </row>
    <row r="45643" spans="1:6" x14ac:dyDescent="0.25">
      <c r="A45643" s="2" t="str">
        <f t="shared" si="1441"/>
        <v>26420</v>
      </c>
      <c r="B45643" s="2" t="str">
        <f>"77001"</f>
        <v>77001</v>
      </c>
      <c r="C45643" s="1">
        <v>1.4428852220792199E-4</v>
      </c>
      <c r="D45643" s="1">
        <v>1.1386183640951101E-3</v>
      </c>
      <c r="E45643" s="1">
        <v>4.8935649620748699E-5</v>
      </c>
      <c r="F45643" s="1">
        <v>2.32606341850123E-4</v>
      </c>
    </row>
    <row r="45644" spans="1:6" x14ac:dyDescent="0.25">
      <c r="A45644" s="2" t="str">
        <f t="shared" si="1441"/>
        <v>26420</v>
      </c>
      <c r="B45644" s="2" t="str">
        <f>"77022"</f>
        <v>77022</v>
      </c>
      <c r="C45644" s="1">
        <v>3.77446435885001E-3</v>
      </c>
      <c r="D45644" s="1">
        <v>5.4303337364536401E-3</v>
      </c>
      <c r="E45644" s="1">
        <v>6.0843324361797499E-3</v>
      </c>
      <c r="F45644" s="1">
        <v>3.9677391487767796E-3</v>
      </c>
    </row>
    <row r="45645" spans="1:6" x14ac:dyDescent="0.25">
      <c r="A45645" s="2" t="str">
        <f t="shared" si="1441"/>
        <v>26420</v>
      </c>
      <c r="B45645" s="2" t="str">
        <f>"78944"</f>
        <v>78944</v>
      </c>
      <c r="C45645" s="1">
        <v>7.0259256657064504E-5</v>
      </c>
      <c r="D45645" s="1">
        <v>2.35808536942776E-5</v>
      </c>
      <c r="E45645" s="1">
        <v>0</v>
      </c>
      <c r="F45645" s="1">
        <v>6.4714625291635504E-5</v>
      </c>
    </row>
    <row r="45646" spans="1:6" x14ac:dyDescent="0.25">
      <c r="A45646" s="2" t="str">
        <f t="shared" si="1441"/>
        <v>26420</v>
      </c>
      <c r="B45646" s="2" t="str">
        <f>"78931"</f>
        <v>78931</v>
      </c>
      <c r="C45646" s="1">
        <v>2.84464307440798E-5</v>
      </c>
      <c r="D45646" s="1">
        <v>6.7373867697936002E-6</v>
      </c>
      <c r="E45646" s="1">
        <v>0</v>
      </c>
      <c r="F45646" s="1">
        <v>2.5946901649948201E-5</v>
      </c>
    </row>
    <row r="45647" spans="1:6" x14ac:dyDescent="0.25">
      <c r="A45647" s="2" t="str">
        <f t="shared" ref="A45647:A45710" si="1442">"26420"</f>
        <v>26420</v>
      </c>
      <c r="B45647" s="2" t="str">
        <f>"77665"</f>
        <v>77665</v>
      </c>
      <c r="C45647" s="1">
        <v>6.0971325655081803E-4</v>
      </c>
      <c r="D45647" s="1">
        <v>4.9856662096472602E-4</v>
      </c>
      <c r="E45647" s="1">
        <v>3.58861430552157E-4</v>
      </c>
      <c r="F45647" s="1">
        <v>5.9494719194998897E-4</v>
      </c>
    </row>
    <row r="45648" spans="1:6" x14ac:dyDescent="0.25">
      <c r="A45648" s="2" t="str">
        <f t="shared" si="1442"/>
        <v>26420</v>
      </c>
      <c r="B45648" s="2" t="str">
        <f>"77833"</f>
        <v>77833</v>
      </c>
      <c r="C45648" s="1">
        <v>1.09672986001271E-4</v>
      </c>
      <c r="D45648" s="1">
        <v>2.35808536942776E-5</v>
      </c>
      <c r="E45648" s="1">
        <v>0</v>
      </c>
      <c r="F45648" s="1">
        <v>9.9819256935683098E-5</v>
      </c>
    </row>
    <row r="45649" spans="1:6" x14ac:dyDescent="0.25">
      <c r="A45649" s="2" t="str">
        <f t="shared" si="1442"/>
        <v>26420</v>
      </c>
      <c r="B45649" s="2" t="str">
        <f>"77535"</f>
        <v>77535</v>
      </c>
      <c r="C45649" s="1">
        <v>5.2773269951486802E-3</v>
      </c>
      <c r="D45649" s="1">
        <v>2.17617592664333E-3</v>
      </c>
      <c r="E45649" s="1">
        <v>2.0389854008645201E-3</v>
      </c>
      <c r="F45649" s="1">
        <v>4.9357112091530904E-3</v>
      </c>
    </row>
    <row r="45650" spans="1:6" x14ac:dyDescent="0.25">
      <c r="A45650" s="2" t="str">
        <f t="shared" si="1442"/>
        <v>26420</v>
      </c>
      <c r="B45650" s="2" t="str">
        <f>"77539"</f>
        <v>77539</v>
      </c>
      <c r="C45650" s="1">
        <v>6.79732603551005E-3</v>
      </c>
      <c r="D45650" s="1">
        <v>4.8576558610211804E-3</v>
      </c>
      <c r="E45650" s="1">
        <v>5.7091591224206796E-3</v>
      </c>
      <c r="F45650" s="1">
        <v>6.60119703741329E-3</v>
      </c>
    </row>
    <row r="45651" spans="1:6" x14ac:dyDescent="0.25">
      <c r="A45651" s="2" t="str">
        <f t="shared" si="1442"/>
        <v>26420</v>
      </c>
      <c r="B45651" s="2" t="str">
        <f>"77597"</f>
        <v>77597</v>
      </c>
      <c r="C45651" s="1">
        <v>8.2597467582207594E-5</v>
      </c>
      <c r="D45651" s="1">
        <v>6.4005174313039204E-5</v>
      </c>
      <c r="E45651" s="1">
        <v>3.2623766413832398E-5</v>
      </c>
      <c r="F45651" s="1">
        <v>7.9977508615134394E-5</v>
      </c>
    </row>
    <row r="45652" spans="1:6" x14ac:dyDescent="0.25">
      <c r="A45652" s="2" t="str">
        <f t="shared" si="1442"/>
        <v>26420</v>
      </c>
      <c r="B45652" s="2" t="str">
        <f>"77575"</f>
        <v>77575</v>
      </c>
      <c r="C45652" s="1">
        <v>2.1698114824189002E-3</v>
      </c>
      <c r="D45652" s="1">
        <v>2.6275808402194999E-3</v>
      </c>
      <c r="E45652" s="1">
        <v>2.20210423293369E-3</v>
      </c>
      <c r="F45652" s="1">
        <v>2.2118970512414599E-3</v>
      </c>
    </row>
    <row r="45653" spans="1:6" x14ac:dyDescent="0.25">
      <c r="A45653" s="2" t="str">
        <f t="shared" si="1442"/>
        <v>26420</v>
      </c>
      <c r="B45653" s="2" t="str">
        <f>"77555"</f>
        <v>77555</v>
      </c>
      <c r="C45653" s="1">
        <v>0</v>
      </c>
      <c r="D45653" s="1">
        <v>3.3686933848968001E-6</v>
      </c>
      <c r="E45653" s="1">
        <v>0</v>
      </c>
      <c r="F45653" s="1">
        <v>3.05257666469978E-7</v>
      </c>
    </row>
    <row r="45654" spans="1:6" x14ac:dyDescent="0.25">
      <c r="A45654" s="2" t="str">
        <f t="shared" si="1442"/>
        <v>26420</v>
      </c>
      <c r="B45654" s="2" t="str">
        <f>"77493"</f>
        <v>77493</v>
      </c>
      <c r="C45654" s="1">
        <v>6.1002171182394701E-3</v>
      </c>
      <c r="D45654" s="1">
        <v>2.28734280834492E-3</v>
      </c>
      <c r="E45654" s="1">
        <v>3.0013865100725801E-3</v>
      </c>
      <c r="F45654" s="1">
        <v>5.6967185716627396E-3</v>
      </c>
    </row>
    <row r="45655" spans="1:6" x14ac:dyDescent="0.25">
      <c r="A45655" s="2" t="str">
        <f t="shared" si="1442"/>
        <v>26420</v>
      </c>
      <c r="B45655" s="2" t="str">
        <f>"77497"</f>
        <v>77497</v>
      </c>
      <c r="C45655" s="1">
        <v>5.7372680801915103E-4</v>
      </c>
      <c r="D45655" s="1">
        <v>1.7247710130671599E-3</v>
      </c>
      <c r="E45655" s="1">
        <v>3.2623766413832398E-5</v>
      </c>
      <c r="F45655" s="1">
        <v>6.6790377423631402E-4</v>
      </c>
    </row>
    <row r="45656" spans="1:6" x14ac:dyDescent="0.25">
      <c r="A45656" s="2" t="str">
        <f t="shared" si="1442"/>
        <v>26420</v>
      </c>
      <c r="B45656" s="2" t="str">
        <f>"77450"</f>
        <v>77450</v>
      </c>
      <c r="C45656" s="1">
        <v>8.9500011138662593E-3</v>
      </c>
      <c r="D45656" s="1">
        <v>6.2287140686741798E-3</v>
      </c>
      <c r="E45656" s="1">
        <v>4.2574015170051297E-3</v>
      </c>
      <c r="F45656" s="1">
        <v>8.6155923784486804E-3</v>
      </c>
    </row>
    <row r="45657" spans="1:6" x14ac:dyDescent="0.25">
      <c r="A45657" s="2" t="str">
        <f t="shared" si="1442"/>
        <v>26420</v>
      </c>
      <c r="B45657" s="2" t="str">
        <f>"77441"</f>
        <v>77441</v>
      </c>
      <c r="C45657" s="1">
        <v>2.7747265458321602E-3</v>
      </c>
      <c r="D45657" s="1">
        <v>1.6506597585994301E-3</v>
      </c>
      <c r="E45657" s="1">
        <v>5.3829214582823501E-4</v>
      </c>
      <c r="F45657" s="1">
        <v>2.6310158273047399E-3</v>
      </c>
    </row>
    <row r="45658" spans="1:6" x14ac:dyDescent="0.25">
      <c r="A45658" s="2" t="str">
        <f t="shared" si="1442"/>
        <v>26420</v>
      </c>
      <c r="B45658" s="2" t="str">
        <f>"77375"</f>
        <v>77375</v>
      </c>
      <c r="C45658" s="1">
        <v>8.2522067404331694E-3</v>
      </c>
      <c r="D45658" s="1">
        <v>6.7879171705670501E-3</v>
      </c>
      <c r="E45658" s="1">
        <v>7.2914117934915496E-3</v>
      </c>
      <c r="F45658" s="1">
        <v>8.1015384681132393E-3</v>
      </c>
    </row>
    <row r="45659" spans="1:6" x14ac:dyDescent="0.25">
      <c r="A45659" s="2" t="str">
        <f t="shared" si="1442"/>
        <v>26420</v>
      </c>
      <c r="B45659" s="2" t="str">
        <f>"77372"</f>
        <v>77372</v>
      </c>
      <c r="C45659" s="1">
        <v>2.0361475307298501E-3</v>
      </c>
      <c r="D45659" s="1">
        <v>5.1204139450431298E-4</v>
      </c>
      <c r="E45659" s="1">
        <v>8.1559416034581095E-4</v>
      </c>
      <c r="F45659" s="1">
        <v>1.87519784512508E-3</v>
      </c>
    </row>
    <row r="45660" spans="1:6" x14ac:dyDescent="0.25">
      <c r="A45660" s="2" t="str">
        <f t="shared" si="1442"/>
        <v>26420</v>
      </c>
      <c r="B45660" s="2" t="str">
        <f>"77369"</f>
        <v>77369</v>
      </c>
      <c r="C45660" s="1">
        <v>0</v>
      </c>
      <c r="D45660" s="1">
        <v>3.3686933848968001E-6</v>
      </c>
      <c r="E45660" s="1">
        <v>0</v>
      </c>
      <c r="F45660" s="1">
        <v>3.05257666469978E-7</v>
      </c>
    </row>
    <row r="45661" spans="1:6" x14ac:dyDescent="0.25">
      <c r="A45661" s="2" t="str">
        <f t="shared" si="1442"/>
        <v>26420</v>
      </c>
      <c r="B45661" s="2" t="str">
        <f>"77368"</f>
        <v>77368</v>
      </c>
      <c r="C45661" s="1">
        <v>0</v>
      </c>
      <c r="D45661" s="1">
        <v>3.3686933848968001E-6</v>
      </c>
      <c r="E45661" s="1">
        <v>0</v>
      </c>
      <c r="F45661" s="1">
        <v>3.05257666469978E-7</v>
      </c>
    </row>
    <row r="45662" spans="1:6" x14ac:dyDescent="0.25">
      <c r="A45662" s="2" t="str">
        <f t="shared" si="1442"/>
        <v>26420</v>
      </c>
      <c r="B45662" s="2" t="str">
        <f>"77373"</f>
        <v>77373</v>
      </c>
      <c r="C45662" s="1">
        <v>7.7326309692521498E-3</v>
      </c>
      <c r="D45662" s="1">
        <v>4.3152962260528003E-3</v>
      </c>
      <c r="E45662" s="1">
        <v>3.0340102764864199E-3</v>
      </c>
      <c r="F45662" s="1">
        <v>7.3350364676071202E-3</v>
      </c>
    </row>
    <row r="45663" spans="1:6" x14ac:dyDescent="0.25">
      <c r="A45663" s="2" t="str">
        <f t="shared" si="1442"/>
        <v>26420</v>
      </c>
      <c r="B45663" s="2" t="str">
        <f>"77389"</f>
        <v>77389</v>
      </c>
      <c r="C45663" s="1">
        <v>5.2780124513111901E-3</v>
      </c>
      <c r="D45663" s="1">
        <v>1.9841604037042098E-3</v>
      </c>
      <c r="E45663" s="1">
        <v>4.3552728162466296E-3</v>
      </c>
      <c r="F45663" s="1">
        <v>4.96226862613597E-3</v>
      </c>
    </row>
    <row r="45664" spans="1:6" x14ac:dyDescent="0.25">
      <c r="A45664" s="2" t="str">
        <f t="shared" si="1442"/>
        <v>26420</v>
      </c>
      <c r="B45664" s="2" t="str">
        <f>"77384"</f>
        <v>77384</v>
      </c>
      <c r="C45664" s="1">
        <v>4.1305588352728798E-3</v>
      </c>
      <c r="D45664" s="1">
        <v>2.50630787836321E-3</v>
      </c>
      <c r="E45664" s="1">
        <v>1.6801239703123699E-3</v>
      </c>
      <c r="F45664" s="1">
        <v>3.9375186397962499E-3</v>
      </c>
    </row>
    <row r="45665" spans="1:6" x14ac:dyDescent="0.25">
      <c r="A45665" s="2" t="str">
        <f t="shared" si="1442"/>
        <v>26420</v>
      </c>
      <c r="B45665" s="2" t="str">
        <f>"77380"</f>
        <v>77380</v>
      </c>
      <c r="C45665" s="1">
        <v>4.8845606140316298E-3</v>
      </c>
      <c r="D45665" s="1">
        <v>1.06753893367379E-2</v>
      </c>
      <c r="E45665" s="1">
        <v>6.6878721148356498E-3</v>
      </c>
      <c r="F45665" s="1">
        <v>5.4430494508261899E-3</v>
      </c>
    </row>
    <row r="45666" spans="1:6" x14ac:dyDescent="0.25">
      <c r="A45666" s="2" t="str">
        <f t="shared" si="1442"/>
        <v>26420</v>
      </c>
      <c r="B45666" s="2" t="str">
        <f>"77385"</f>
        <v>77385</v>
      </c>
      <c r="C45666" s="1">
        <v>3.6164667133919198E-3</v>
      </c>
      <c r="D45666" s="1">
        <v>3.3147942907384501E-3</v>
      </c>
      <c r="E45666" s="1">
        <v>1.5333170214501201E-3</v>
      </c>
      <c r="F45666" s="1">
        <v>3.5501466610458501E-3</v>
      </c>
    </row>
    <row r="45667" spans="1:6" x14ac:dyDescent="0.25">
      <c r="A45667" s="2" t="str">
        <f t="shared" si="1442"/>
        <v>26420</v>
      </c>
      <c r="B45667" s="2" t="str">
        <f>"77089"</f>
        <v>77089</v>
      </c>
      <c r="C45667" s="1">
        <v>6.7119867432778096E-3</v>
      </c>
      <c r="D45667" s="1">
        <v>2.6578990806835701E-3</v>
      </c>
      <c r="E45667" s="1">
        <v>2.0716091672783599E-3</v>
      </c>
      <c r="F45667" s="1">
        <v>6.2577821626345603E-3</v>
      </c>
    </row>
    <row r="45668" spans="1:6" x14ac:dyDescent="0.25">
      <c r="A45668" s="2" t="str">
        <f t="shared" si="1442"/>
        <v>26420</v>
      </c>
      <c r="B45668" s="2" t="str">
        <f>"77085"</f>
        <v>77085</v>
      </c>
      <c r="C45668" s="1">
        <v>1.9552637035539101E-3</v>
      </c>
      <c r="D45668" s="1">
        <v>1.0005019353143401E-3</v>
      </c>
      <c r="E45668" s="1">
        <v>1.0276486420357201E-3</v>
      </c>
      <c r="F45668" s="1">
        <v>1.85138774714042E-3</v>
      </c>
    </row>
    <row r="45669" spans="1:6" x14ac:dyDescent="0.25">
      <c r="A45669" s="2" t="str">
        <f t="shared" si="1442"/>
        <v>26420</v>
      </c>
      <c r="B45669" s="2" t="str">
        <f>"77338"</f>
        <v>77338</v>
      </c>
      <c r="C45669" s="1">
        <v>5.5443121704455197E-3</v>
      </c>
      <c r="D45669" s="1">
        <v>8.6508046124149796E-3</v>
      </c>
      <c r="E45669" s="1">
        <v>1.07169072669439E-2</v>
      </c>
      <c r="F45669" s="1">
        <v>5.9226092448505302E-3</v>
      </c>
    </row>
    <row r="45670" spans="1:6" x14ac:dyDescent="0.25">
      <c r="A45670" s="2" t="str">
        <f t="shared" si="1442"/>
        <v>26420</v>
      </c>
      <c r="B45670" s="2" t="str">
        <f>"77289"</f>
        <v>77289</v>
      </c>
      <c r="C45670" s="1">
        <v>2.70412456109385E-4</v>
      </c>
      <c r="D45670" s="1">
        <v>8.7922897345806396E-4</v>
      </c>
      <c r="E45670" s="1">
        <v>1.6311883206916199E-5</v>
      </c>
      <c r="F45670" s="1">
        <v>3.20825807459947E-4</v>
      </c>
    </row>
    <row r="45671" spans="1:6" x14ac:dyDescent="0.25">
      <c r="A45671" s="2" t="str">
        <f t="shared" si="1442"/>
        <v>26420</v>
      </c>
      <c r="B45671" s="2" t="str">
        <f>"77288"</f>
        <v>77288</v>
      </c>
      <c r="C45671" s="1">
        <v>1.40861241395383E-4</v>
      </c>
      <c r="D45671" s="1">
        <v>9.0617852053723896E-4</v>
      </c>
      <c r="E45671" s="1">
        <v>3.2623766413832398E-5</v>
      </c>
      <c r="F45671" s="1">
        <v>2.08185728532525E-4</v>
      </c>
    </row>
    <row r="45672" spans="1:6" x14ac:dyDescent="0.25">
      <c r="A45672" s="2" t="str">
        <f t="shared" si="1442"/>
        <v>26420</v>
      </c>
      <c r="B45672" s="2" t="str">
        <f>"77315"</f>
        <v>77315</v>
      </c>
      <c r="C45672" s="1">
        <v>0</v>
      </c>
      <c r="D45672" s="1">
        <v>0</v>
      </c>
      <c r="E45672" s="1">
        <v>9.2977734279422498E-4</v>
      </c>
      <c r="F45672" s="1">
        <v>1.7399686988788801E-5</v>
      </c>
    </row>
    <row r="45673" spans="1:6" x14ac:dyDescent="0.25">
      <c r="A45673" s="2" t="str">
        <f t="shared" si="1442"/>
        <v>26420</v>
      </c>
      <c r="B45673" s="2" t="str">
        <f>"77305"</f>
        <v>77305</v>
      </c>
      <c r="C45673" s="1">
        <v>6.1039871271332603E-4</v>
      </c>
      <c r="D45673" s="1">
        <v>2.8061215896190302E-3</v>
      </c>
      <c r="E45673" s="1">
        <v>3.2623766413832398E-5</v>
      </c>
      <c r="F45673" s="1">
        <v>7.98554055485465E-4</v>
      </c>
    </row>
    <row r="45674" spans="1:6" x14ac:dyDescent="0.25">
      <c r="A45674" s="2" t="str">
        <f t="shared" si="1442"/>
        <v>26420</v>
      </c>
      <c r="B45674" s="2" t="str">
        <f>"77304"</f>
        <v>77304</v>
      </c>
      <c r="C45674" s="1">
        <v>5.89423754140583E-3</v>
      </c>
      <c r="D45674" s="1">
        <v>5.2450556002843103E-3</v>
      </c>
      <c r="E45674" s="1">
        <v>4.6488867139711197E-3</v>
      </c>
      <c r="F45674" s="1">
        <v>5.8121059695883902E-3</v>
      </c>
    </row>
    <row r="45675" spans="1:6" x14ac:dyDescent="0.25">
      <c r="A45675" s="2" t="str">
        <f t="shared" si="1442"/>
        <v>26420</v>
      </c>
      <c r="B45675" s="2" t="str">
        <f>"77293"</f>
        <v>77293</v>
      </c>
      <c r="C45675" s="1">
        <v>3.6363449421046497E-4</v>
      </c>
      <c r="D45675" s="1">
        <v>8.1185510576012798E-4</v>
      </c>
      <c r="E45675" s="1">
        <v>3.2623766413832398E-5</v>
      </c>
      <c r="F45675" s="1">
        <v>3.9805599707685199E-4</v>
      </c>
    </row>
    <row r="45676" spans="1:6" x14ac:dyDescent="0.25">
      <c r="A45676" s="2" t="str">
        <f t="shared" si="1442"/>
        <v>26420</v>
      </c>
      <c r="B45676" s="2" t="str">
        <f>"77325"</f>
        <v>77325</v>
      </c>
      <c r="C45676" s="1">
        <v>3.2045075597246498E-4</v>
      </c>
      <c r="D45676" s="1">
        <v>1.9235239227760701E-3</v>
      </c>
      <c r="E45676" s="1">
        <v>3.2623766413832398E-5</v>
      </c>
      <c r="F45676" s="1">
        <v>4.6032856103672801E-4</v>
      </c>
    </row>
    <row r="45677" spans="1:6" x14ac:dyDescent="0.25">
      <c r="A45677" s="2" t="str">
        <f t="shared" si="1442"/>
        <v>26420</v>
      </c>
      <c r="B45677" s="2" t="str">
        <f>"77244"</f>
        <v>77244</v>
      </c>
      <c r="C45677" s="1">
        <v>2.9645979028468698E-4</v>
      </c>
      <c r="D45677" s="1">
        <v>7.8490555868095395E-4</v>
      </c>
      <c r="E45677" s="1">
        <v>3.2623766413832398E-5</v>
      </c>
      <c r="F45677" s="1">
        <v>3.3578343311697602E-4</v>
      </c>
    </row>
    <row r="45678" spans="1:6" x14ac:dyDescent="0.25">
      <c r="A45678" s="2" t="str">
        <f t="shared" si="1442"/>
        <v>26420</v>
      </c>
      <c r="B45678" s="2" t="str">
        <f>"77248"</f>
        <v>77248</v>
      </c>
      <c r="C45678" s="1">
        <v>1.05217520944969E-4</v>
      </c>
      <c r="D45678" s="1">
        <v>5.2551616804390004E-4</v>
      </c>
      <c r="E45678" s="1">
        <v>3.2623766413832398E-5</v>
      </c>
      <c r="F45678" s="1">
        <v>1.4194481490854E-4</v>
      </c>
    </row>
    <row r="45679" spans="1:6" x14ac:dyDescent="0.25">
      <c r="A45679" s="2" t="str">
        <f t="shared" si="1442"/>
        <v>26420</v>
      </c>
      <c r="B45679" s="2" t="str">
        <f>"77225"</f>
        <v>77225</v>
      </c>
      <c r="C45679" s="1">
        <v>1.4188942563914499E-4</v>
      </c>
      <c r="D45679" s="1">
        <v>4.9182923419493205E-4</v>
      </c>
      <c r="E45679" s="1">
        <v>1.6311883206916199E-5</v>
      </c>
      <c r="F45679" s="1">
        <v>1.71249550889658E-4</v>
      </c>
    </row>
    <row r="45680" spans="1:6" x14ac:dyDescent="0.25">
      <c r="A45680" s="2" t="str">
        <f t="shared" si="1442"/>
        <v>26420</v>
      </c>
      <c r="B45680" s="2" t="str">
        <f>"77269"</f>
        <v>77269</v>
      </c>
      <c r="C45680" s="1">
        <v>3.23192580622497E-4</v>
      </c>
      <c r="D45680" s="1">
        <v>2.1357516060245699E-3</v>
      </c>
      <c r="E45680" s="1">
        <v>3.2623766413832398E-5</v>
      </c>
      <c r="F45680" s="1">
        <v>4.8200185535609598E-4</v>
      </c>
    </row>
    <row r="45681" spans="1:6" x14ac:dyDescent="0.25">
      <c r="A45681" s="2" t="str">
        <f t="shared" si="1442"/>
        <v>26420</v>
      </c>
      <c r="B45681" s="2" t="str">
        <f>"77270"</f>
        <v>77270</v>
      </c>
      <c r="C45681" s="1">
        <v>3.25591677191274E-4</v>
      </c>
      <c r="D45681" s="1">
        <v>1.33737127380402E-3</v>
      </c>
      <c r="E45681" s="1">
        <v>6.5247532827664905E-5</v>
      </c>
      <c r="F45681" s="1">
        <v>4.1240310740094099E-4</v>
      </c>
    </row>
    <row r="45682" spans="1:6" x14ac:dyDescent="0.25">
      <c r="A45682" s="2" t="str">
        <f t="shared" si="1442"/>
        <v>26420</v>
      </c>
      <c r="B45682" s="2" t="str">
        <f>"77262"</f>
        <v>77262</v>
      </c>
      <c r="C45682" s="1">
        <v>1.5902582970184301E-4</v>
      </c>
      <c r="D45682" s="1">
        <v>1.6843466924483999E-4</v>
      </c>
      <c r="E45682" s="1">
        <v>3.2623766413832398E-5</v>
      </c>
      <c r="F45682" s="1">
        <v>1.5751295589850901E-4</v>
      </c>
    </row>
    <row r="45683" spans="1:6" x14ac:dyDescent="0.25">
      <c r="A45683" s="2" t="str">
        <f t="shared" si="1442"/>
        <v>26420</v>
      </c>
      <c r="B45683" s="2" t="str">
        <f>"77256"</f>
        <v>77256</v>
      </c>
      <c r="C45683" s="1">
        <v>1.1412845105757299E-4</v>
      </c>
      <c r="D45683" s="1">
        <v>4.10980592957409E-4</v>
      </c>
      <c r="E45683" s="1">
        <v>1.6311883206916199E-5</v>
      </c>
      <c r="F45683" s="1">
        <v>1.3919749591031E-4</v>
      </c>
    </row>
    <row r="45684" spans="1:6" x14ac:dyDescent="0.25">
      <c r="A45684" s="2" t="str">
        <f t="shared" si="1442"/>
        <v>26420</v>
      </c>
      <c r="B45684" s="2" t="str">
        <f>"77242"</f>
        <v>77242</v>
      </c>
      <c r="C45684" s="1">
        <v>6.1622509009464396E-4</v>
      </c>
      <c r="D45684" s="1">
        <v>1.58328589090149E-3</v>
      </c>
      <c r="E45684" s="1">
        <v>1.6311883206916199E-5</v>
      </c>
      <c r="F45684" s="1">
        <v>6.9262964522038195E-4</v>
      </c>
    </row>
    <row r="45685" spans="1:6" x14ac:dyDescent="0.25">
      <c r="A45685" s="2" t="str">
        <f t="shared" si="1442"/>
        <v>26420</v>
      </c>
      <c r="B45685" s="2" t="str">
        <f>"77096"</f>
        <v>77096</v>
      </c>
      <c r="C45685" s="1">
        <v>5.4812502034947896E-3</v>
      </c>
      <c r="D45685" s="1">
        <v>2.82970244331331E-3</v>
      </c>
      <c r="E45685" s="1">
        <v>2.8219557947965E-3</v>
      </c>
      <c r="F45685" s="1">
        <v>5.19121187598846E-3</v>
      </c>
    </row>
    <row r="45686" spans="1:6" x14ac:dyDescent="0.25">
      <c r="A45686" s="2" t="str">
        <f t="shared" si="1442"/>
        <v>26420</v>
      </c>
      <c r="B45686" s="2" t="str">
        <f>"77047"</f>
        <v>77047</v>
      </c>
      <c r="C45686" s="1">
        <v>3.9201237933829403E-3</v>
      </c>
      <c r="D45686" s="1">
        <v>1.8898369889270999E-3</v>
      </c>
      <c r="E45686" s="1">
        <v>1.19076747410488E-3</v>
      </c>
      <c r="F45686" s="1">
        <v>3.6850705496255798E-3</v>
      </c>
    </row>
    <row r="45687" spans="1:6" x14ac:dyDescent="0.25">
      <c r="A45687" s="2" t="str">
        <f t="shared" si="1442"/>
        <v>26420</v>
      </c>
      <c r="B45687" s="2" t="str">
        <f>"77045"</f>
        <v>77045</v>
      </c>
      <c r="C45687" s="1">
        <v>3.63086129280459E-3</v>
      </c>
      <c r="D45687" s="1">
        <v>3.5000724269077699E-3</v>
      </c>
      <c r="E45687" s="1">
        <v>2.54465378027893E-3</v>
      </c>
      <c r="F45687" s="1">
        <v>3.5986826300145802E-3</v>
      </c>
    </row>
    <row r="45688" spans="1:6" x14ac:dyDescent="0.25">
      <c r="A45688" s="2" t="str">
        <f t="shared" si="1442"/>
        <v>26420</v>
      </c>
      <c r="B45688" s="2" t="str">
        <f>"77038"</f>
        <v>77038</v>
      </c>
      <c r="C45688" s="1">
        <v>3.1767465851430801E-3</v>
      </c>
      <c r="D45688" s="1">
        <v>1.8898369889270999E-3</v>
      </c>
      <c r="E45688" s="1">
        <v>2.0226735176576099E-3</v>
      </c>
      <c r="F45688" s="1">
        <v>3.0385348120421699E-3</v>
      </c>
    </row>
    <row r="45689" spans="1:6" x14ac:dyDescent="0.25">
      <c r="A45689" s="2" t="str">
        <f t="shared" si="1442"/>
        <v>26420</v>
      </c>
      <c r="B45689" s="2" t="str">
        <f>"77070"</f>
        <v>77070</v>
      </c>
      <c r="C45689" s="1">
        <v>7.5232241116059704E-3</v>
      </c>
      <c r="D45689" s="1">
        <v>1.13289158534079E-2</v>
      </c>
      <c r="E45689" s="1">
        <v>8.0091346545958699E-3</v>
      </c>
      <c r="F45689" s="1">
        <v>7.8771740832578006E-3</v>
      </c>
    </row>
    <row r="45690" spans="1:6" x14ac:dyDescent="0.25">
      <c r="A45690" s="2" t="str">
        <f t="shared" si="1442"/>
        <v>26420</v>
      </c>
      <c r="B45690" s="2" t="str">
        <f>"77002"</f>
        <v>77002</v>
      </c>
      <c r="C45690" s="1">
        <v>3.1692065673554902E-3</v>
      </c>
      <c r="D45690" s="1">
        <v>2.4335441012494401E-2</v>
      </c>
      <c r="E45690" s="1">
        <v>7.4708425087676297E-3</v>
      </c>
      <c r="F45690" s="1">
        <v>5.1677070356702702E-3</v>
      </c>
    </row>
    <row r="45691" spans="1:6" x14ac:dyDescent="0.25">
      <c r="A45691" s="2" t="str">
        <f t="shared" si="1442"/>
        <v>26420</v>
      </c>
      <c r="B45691" s="2" t="str">
        <f>"77016"</f>
        <v>77016</v>
      </c>
      <c r="C45691" s="1">
        <v>3.8872218975825601E-3</v>
      </c>
      <c r="D45691" s="1">
        <v>2.3614540628126499E-3</v>
      </c>
      <c r="E45691" s="1">
        <v>3.8006687872114801E-3</v>
      </c>
      <c r="F45691" s="1">
        <v>3.7473431135854598E-3</v>
      </c>
    </row>
    <row r="45692" spans="1:6" x14ac:dyDescent="0.25">
      <c r="A45692" s="2" t="str">
        <f t="shared" si="1442"/>
        <v>26420</v>
      </c>
      <c r="B45692" s="2" t="str">
        <f>"77015"</f>
        <v>77015</v>
      </c>
      <c r="C45692" s="1">
        <v>6.5594727471197899E-3</v>
      </c>
      <c r="D45692" s="1">
        <v>6.4476791386924703E-3</v>
      </c>
      <c r="E45692" s="1">
        <v>1.1287823179186E-2</v>
      </c>
      <c r="F45692" s="1">
        <v>6.6378279573896899E-3</v>
      </c>
    </row>
    <row r="45693" spans="1:6" x14ac:dyDescent="0.25">
      <c r="A45693" s="2" t="str">
        <f t="shared" si="1442"/>
        <v>26420</v>
      </c>
      <c r="B45693" s="2" t="str">
        <f>"77018"</f>
        <v>77018</v>
      </c>
      <c r="C45693" s="1">
        <v>4.3951449140009497E-3</v>
      </c>
      <c r="D45693" s="1">
        <v>5.7503596080188298E-3</v>
      </c>
      <c r="E45693" s="1">
        <v>5.98646113693825E-3</v>
      </c>
      <c r="F45693" s="1">
        <v>4.5477287150697404E-3</v>
      </c>
    </row>
    <row r="45694" spans="1:6" x14ac:dyDescent="0.25">
      <c r="A45694" s="2" t="str">
        <f t="shared" si="1442"/>
        <v>26420</v>
      </c>
      <c r="B45694" s="2" t="str">
        <f>"77007"</f>
        <v>77007</v>
      </c>
      <c r="C45694" s="1">
        <v>9.0805805128240207E-3</v>
      </c>
      <c r="D45694" s="1">
        <v>8.1825562319143199E-3</v>
      </c>
      <c r="E45694" s="1">
        <v>2.7583394502895299E-2</v>
      </c>
      <c r="F45694" s="1">
        <v>9.3454634589784005E-3</v>
      </c>
    </row>
    <row r="45695" spans="1:6" x14ac:dyDescent="0.25">
      <c r="A45695" s="2" t="str">
        <f t="shared" si="1442"/>
        <v>26420</v>
      </c>
      <c r="B45695" s="2" t="str">
        <f>"77873"</f>
        <v>77873</v>
      </c>
      <c r="C45695" s="1">
        <v>7.6771090200889998E-5</v>
      </c>
      <c r="D45695" s="1">
        <v>3.7055627233864799E-5</v>
      </c>
      <c r="E45695" s="1">
        <v>1.6311883206916199E-5</v>
      </c>
      <c r="F45695" s="1">
        <v>7.2040809286914997E-5</v>
      </c>
    </row>
    <row r="45696" spans="1:6" x14ac:dyDescent="0.25">
      <c r="A45696" s="2" t="str">
        <f t="shared" si="1442"/>
        <v>26420</v>
      </c>
      <c r="B45696" s="2" t="str">
        <f>"77549"</f>
        <v>77549</v>
      </c>
      <c r="C45696" s="1">
        <v>4.2978101389248201E-4</v>
      </c>
      <c r="D45696" s="1">
        <v>2.0953272854057998E-3</v>
      </c>
      <c r="E45696" s="1">
        <v>3.2623766413832398E-5</v>
      </c>
      <c r="F45696" s="1">
        <v>5.7327389763062002E-4</v>
      </c>
    </row>
    <row r="45697" spans="1:6" x14ac:dyDescent="0.25">
      <c r="A45697" s="2" t="str">
        <f t="shared" si="1442"/>
        <v>26420</v>
      </c>
      <c r="B45697" s="2" t="str">
        <f>"77591"</f>
        <v>77591</v>
      </c>
      <c r="C45697" s="1">
        <v>2.4131484201092199E-3</v>
      </c>
      <c r="D45697" s="1">
        <v>1.9807917103193099E-3</v>
      </c>
      <c r="E45697" s="1">
        <v>1.5659407878639499E-3</v>
      </c>
      <c r="F45697" s="1">
        <v>2.3581154734805799E-3</v>
      </c>
    </row>
    <row r="45698" spans="1:6" x14ac:dyDescent="0.25">
      <c r="A45698" s="2" t="str">
        <f t="shared" si="1442"/>
        <v>26420</v>
      </c>
      <c r="B45698" s="2" t="str">
        <f>"77572"</f>
        <v>77572</v>
      </c>
      <c r="C45698" s="1">
        <v>7.6188452462758302E-4</v>
      </c>
      <c r="D45698" s="1">
        <v>9.0617852053723896E-4</v>
      </c>
      <c r="E45698" s="1">
        <v>1.6311883206916199E-5</v>
      </c>
      <c r="F45698" s="1">
        <v>7.6100736250965702E-4</v>
      </c>
    </row>
    <row r="45699" spans="1:6" x14ac:dyDescent="0.25">
      <c r="A45699" s="2" t="str">
        <f t="shared" si="1442"/>
        <v>26420</v>
      </c>
      <c r="B45699" s="2" t="str">
        <f>"77582"</f>
        <v>77582</v>
      </c>
      <c r="C45699" s="1">
        <v>0</v>
      </c>
      <c r="D45699" s="1">
        <v>3.3686933848968001E-6</v>
      </c>
      <c r="E45699" s="1">
        <v>0</v>
      </c>
      <c r="F45699" s="1">
        <v>3.05257666469978E-7</v>
      </c>
    </row>
    <row r="45700" spans="1:6" x14ac:dyDescent="0.25">
      <c r="A45700" s="2" t="str">
        <f t="shared" si="1442"/>
        <v>26420</v>
      </c>
      <c r="B45700" s="2" t="str">
        <f>"77586"</f>
        <v>77586</v>
      </c>
      <c r="C45700" s="1">
        <v>3.9797584795211397E-3</v>
      </c>
      <c r="D45700" s="1">
        <v>2.8734954573169701E-3</v>
      </c>
      <c r="E45700" s="1">
        <v>1.9900497512437801E-3</v>
      </c>
      <c r="F45700" s="1">
        <v>3.84227824785762E-3</v>
      </c>
    </row>
    <row r="45701" spans="1:6" x14ac:dyDescent="0.25">
      <c r="A45701" s="2" t="str">
        <f t="shared" si="1442"/>
        <v>26420</v>
      </c>
      <c r="B45701" s="2" t="str">
        <f>"77522"</f>
        <v>77522</v>
      </c>
      <c r="C45701" s="1">
        <v>1.1094107990191099E-3</v>
      </c>
      <c r="D45701" s="1">
        <v>2.0447968846323502E-3</v>
      </c>
      <c r="E45701" s="1">
        <v>4.8935649620748699E-5</v>
      </c>
      <c r="F45701" s="1">
        <v>1.1743262429099999E-3</v>
      </c>
    </row>
    <row r="45702" spans="1:6" x14ac:dyDescent="0.25">
      <c r="A45702" s="2" t="str">
        <f t="shared" si="1442"/>
        <v>26420</v>
      </c>
      <c r="B45702" s="2" t="str">
        <f>"77534"</f>
        <v>77534</v>
      </c>
      <c r="C45702" s="1">
        <v>3.5061082712281399E-4</v>
      </c>
      <c r="D45702" s="1">
        <v>3.3686933848967999E-5</v>
      </c>
      <c r="E45702" s="1">
        <v>1.6311883206916199E-4</v>
      </c>
      <c r="F45702" s="1">
        <v>3.1838374612818798E-4</v>
      </c>
    </row>
    <row r="45703" spans="1:6" x14ac:dyDescent="0.25">
      <c r="A45703" s="2" t="str">
        <f t="shared" si="1442"/>
        <v>26420</v>
      </c>
      <c r="B45703" s="2" t="str">
        <f>"77566"</f>
        <v>77566</v>
      </c>
      <c r="C45703" s="1">
        <v>5.18307677280384E-3</v>
      </c>
      <c r="D45703" s="1">
        <v>4.3422457731319697E-3</v>
      </c>
      <c r="E45703" s="1">
        <v>3.0176983932795002E-3</v>
      </c>
      <c r="F45703" s="1">
        <v>5.0663614904022398E-3</v>
      </c>
    </row>
    <row r="45704" spans="1:6" x14ac:dyDescent="0.25">
      <c r="A45704" s="2" t="str">
        <f t="shared" si="1442"/>
        <v>26420</v>
      </c>
      <c r="B45704" s="2" t="str">
        <f>"77562"</f>
        <v>77562</v>
      </c>
      <c r="C45704" s="1">
        <v>1.88363353457183E-3</v>
      </c>
      <c r="D45704" s="1">
        <v>1.30705303333995E-3</v>
      </c>
      <c r="E45704" s="1">
        <v>1.0602724084495499E-3</v>
      </c>
      <c r="F45704" s="1">
        <v>1.8159778578299001E-3</v>
      </c>
    </row>
    <row r="45705" spans="1:6" x14ac:dyDescent="0.25">
      <c r="A45705" s="2" t="str">
        <f t="shared" si="1442"/>
        <v>26420</v>
      </c>
      <c r="B45705" s="2" t="str">
        <f>"77473"</f>
        <v>77473</v>
      </c>
      <c r="C45705" s="1">
        <v>0</v>
      </c>
      <c r="D45705" s="1">
        <v>6.7373867697936002E-6</v>
      </c>
      <c r="E45705" s="1">
        <v>0</v>
      </c>
      <c r="F45705" s="1">
        <v>6.1051533293995696E-7</v>
      </c>
    </row>
    <row r="45706" spans="1:6" x14ac:dyDescent="0.25">
      <c r="A45706" s="2" t="str">
        <f t="shared" si="1442"/>
        <v>26420</v>
      </c>
      <c r="B45706" s="2" t="str">
        <f>"77471"</f>
        <v>77471</v>
      </c>
      <c r="C45706" s="1">
        <v>5.7317844308914503E-3</v>
      </c>
      <c r="D45706" s="1">
        <v>6.0535420126595404E-3</v>
      </c>
      <c r="E45706" s="1">
        <v>7.9275752385612897E-3</v>
      </c>
      <c r="F45706" s="1">
        <v>5.8020324665948898E-3</v>
      </c>
    </row>
    <row r="45707" spans="1:6" x14ac:dyDescent="0.25">
      <c r="A45707" s="2" t="str">
        <f t="shared" si="1442"/>
        <v>26420</v>
      </c>
      <c r="B45707" s="2" t="str">
        <f>"77508"</f>
        <v>77508</v>
      </c>
      <c r="C45707" s="1">
        <v>4.0990278517975202E-4</v>
      </c>
      <c r="D45707" s="1">
        <v>1.2935782598003701E-3</v>
      </c>
      <c r="E45707" s="1">
        <v>1.6311883206916199E-5</v>
      </c>
      <c r="F45707" s="1">
        <v>4.8261237068903599E-4</v>
      </c>
    </row>
    <row r="45708" spans="1:6" x14ac:dyDescent="0.25">
      <c r="A45708" s="2" t="str">
        <f t="shared" si="1442"/>
        <v>26420</v>
      </c>
      <c r="B45708" s="2" t="str">
        <f>"77506"</f>
        <v>77506</v>
      </c>
      <c r="C45708" s="1">
        <v>4.2518845760367904E-3</v>
      </c>
      <c r="D45708" s="1">
        <v>3.2406830362707202E-3</v>
      </c>
      <c r="E45708" s="1">
        <v>6.5410651659734099E-3</v>
      </c>
      <c r="F45708" s="1">
        <v>4.2030928096251398E-3</v>
      </c>
    </row>
    <row r="45709" spans="1:6" x14ac:dyDescent="0.25">
      <c r="A45709" s="2" t="str">
        <f t="shared" si="1442"/>
        <v>26420</v>
      </c>
      <c r="B45709" s="2" t="str">
        <f>"77505"</f>
        <v>77505</v>
      </c>
      <c r="C45709" s="1">
        <v>3.1654365584616899E-3</v>
      </c>
      <c r="D45709" s="1">
        <v>3.5472341342963299E-3</v>
      </c>
      <c r="E45709" s="1">
        <v>2.2836636489682702E-3</v>
      </c>
      <c r="F45709" s="1">
        <v>3.1835322036154099E-3</v>
      </c>
    </row>
    <row r="45710" spans="1:6" x14ac:dyDescent="0.25">
      <c r="A45710" s="2" t="str">
        <f t="shared" si="1442"/>
        <v>26420</v>
      </c>
      <c r="B45710" s="2" t="str">
        <f>"77514"</f>
        <v>77514</v>
      </c>
      <c r="C45710" s="1">
        <v>3.3930080044143298E-4</v>
      </c>
      <c r="D45710" s="1">
        <v>2.2233376340318801E-4</v>
      </c>
      <c r="E45710" s="1">
        <v>1.6311883206916199E-5</v>
      </c>
      <c r="F45710" s="1">
        <v>3.2265735345876699E-4</v>
      </c>
    </row>
    <row r="45711" spans="1:6" x14ac:dyDescent="0.25">
      <c r="A45711" s="2" t="str">
        <f t="shared" ref="A45711:A45774" si="1443">"26420"</f>
        <v>26420</v>
      </c>
      <c r="B45711" s="2" t="str">
        <f>"77492"</f>
        <v>77492</v>
      </c>
      <c r="C45711" s="1">
        <v>2.3579691990273301E-4</v>
      </c>
      <c r="D45711" s="1">
        <v>1.39127036796237E-3</v>
      </c>
      <c r="E45711" s="1">
        <v>3.2623766413832398E-5</v>
      </c>
      <c r="F45711" s="1">
        <v>3.3669920611638599E-4</v>
      </c>
    </row>
    <row r="45712" spans="1:6" x14ac:dyDescent="0.25">
      <c r="A45712" s="2" t="str">
        <f t="shared" si="1443"/>
        <v>26420</v>
      </c>
      <c r="B45712" s="2" t="str">
        <f>"77502"</f>
        <v>77502</v>
      </c>
      <c r="C45712" s="1">
        <v>4.4633478021704901E-3</v>
      </c>
      <c r="D45712" s="1">
        <v>5.0227218368811199E-3</v>
      </c>
      <c r="E45712" s="1">
        <v>4.29002528341897E-3</v>
      </c>
      <c r="F45712" s="1">
        <v>4.5107925374268699E-3</v>
      </c>
    </row>
    <row r="45713" spans="1:6" x14ac:dyDescent="0.25">
      <c r="A45713" s="2" t="str">
        <f t="shared" si="1443"/>
        <v>26420</v>
      </c>
      <c r="B45713" s="2" t="str">
        <f>"77449"</f>
        <v>77449</v>
      </c>
      <c r="C45713" s="1">
        <v>1.3441452618699499E-2</v>
      </c>
      <c r="D45713" s="1">
        <v>4.9957722898019497E-3</v>
      </c>
      <c r="E45713" s="1">
        <v>4.2737134002120503E-3</v>
      </c>
      <c r="F45713" s="1">
        <v>1.25045750492762E-2</v>
      </c>
    </row>
    <row r="45714" spans="1:6" x14ac:dyDescent="0.25">
      <c r="A45714" s="2" t="str">
        <f t="shared" si="1443"/>
        <v>26420</v>
      </c>
      <c r="B45714" s="2" t="str">
        <f>"77484"</f>
        <v>77484</v>
      </c>
      <c r="C45714" s="1">
        <v>1.6680575714630799E-3</v>
      </c>
      <c r="D45714" s="1">
        <v>1.03082017577842E-3</v>
      </c>
      <c r="E45714" s="1">
        <v>1.50069325503629E-3</v>
      </c>
      <c r="F45714" s="1">
        <v>1.6071816139644299E-3</v>
      </c>
    </row>
    <row r="45715" spans="1:6" x14ac:dyDescent="0.25">
      <c r="A45715" s="2" t="str">
        <f t="shared" si="1443"/>
        <v>26420</v>
      </c>
      <c r="B45715" s="2" t="str">
        <f>"77365"</f>
        <v>77365</v>
      </c>
      <c r="C45715" s="1">
        <v>6.1584808920526401E-3</v>
      </c>
      <c r="D45715" s="1">
        <v>3.6213453887640602E-3</v>
      </c>
      <c r="E45715" s="1">
        <v>3.89854008645298E-3</v>
      </c>
      <c r="F45715" s="1">
        <v>5.8862835825405999E-3</v>
      </c>
    </row>
    <row r="45716" spans="1:6" x14ac:dyDescent="0.25">
      <c r="A45716" s="2" t="str">
        <f t="shared" si="1443"/>
        <v>26420</v>
      </c>
      <c r="B45716" s="2" t="str">
        <f>"77391"</f>
        <v>77391</v>
      </c>
      <c r="C45716" s="1">
        <v>2.7418246500317798E-4</v>
      </c>
      <c r="D45716" s="1">
        <v>1.2363104722571199E-3</v>
      </c>
      <c r="E45716" s="1">
        <v>3.2623766413832398E-5</v>
      </c>
      <c r="F45716" s="1">
        <v>3.5684621210340501E-4</v>
      </c>
    </row>
    <row r="45717" spans="1:6" x14ac:dyDescent="0.25">
      <c r="A45717" s="2" t="str">
        <f t="shared" si="1443"/>
        <v>26420</v>
      </c>
      <c r="B45717" s="2" t="str">
        <f>"77355"</f>
        <v>77355</v>
      </c>
      <c r="C45717" s="1">
        <v>3.8190190094130202E-3</v>
      </c>
      <c r="D45717" s="1">
        <v>1.33400258041913E-3</v>
      </c>
      <c r="E45717" s="1">
        <v>1.12551994127722E-3</v>
      </c>
      <c r="F45717" s="1">
        <v>3.5434309923835102E-3</v>
      </c>
    </row>
    <row r="45718" spans="1:6" x14ac:dyDescent="0.25">
      <c r="A45718" s="2" t="str">
        <f t="shared" si="1443"/>
        <v>26420</v>
      </c>
      <c r="B45718" s="2" t="str">
        <f>"77091"</f>
        <v>77091</v>
      </c>
      <c r="C45718" s="1">
        <v>4.0445340868781399E-3</v>
      </c>
      <c r="D45718" s="1">
        <v>3.9952703544876003E-3</v>
      </c>
      <c r="E45718" s="1">
        <v>6.0190849033520902E-3</v>
      </c>
      <c r="F45718" s="1">
        <v>4.0770213933730296E-3</v>
      </c>
    </row>
    <row r="45719" spans="1:6" x14ac:dyDescent="0.25">
      <c r="A45719" s="2" t="str">
        <f t="shared" si="1443"/>
        <v>26420</v>
      </c>
      <c r="B45719" s="2" t="str">
        <f>"77303"</f>
        <v>77303</v>
      </c>
      <c r="C45719" s="1">
        <v>2.75176376438815E-3</v>
      </c>
      <c r="D45719" s="1">
        <v>1.84941266830834E-3</v>
      </c>
      <c r="E45719" s="1">
        <v>1.4191338390017101E-3</v>
      </c>
      <c r="F45719" s="1">
        <v>2.64505767996236E-3</v>
      </c>
    </row>
    <row r="45720" spans="1:6" x14ac:dyDescent="0.25">
      <c r="A45720" s="2" t="str">
        <f t="shared" si="1443"/>
        <v>26420</v>
      </c>
      <c r="B45720" s="2" t="str">
        <f>"77277"</f>
        <v>77277</v>
      </c>
      <c r="C45720" s="1">
        <v>5.5419130738767499E-4</v>
      </c>
      <c r="D45720" s="1">
        <v>1.55970503720721E-3</v>
      </c>
      <c r="E45720" s="1">
        <v>3.2623766413832398E-5</v>
      </c>
      <c r="F45720" s="1">
        <v>6.3554646159049604E-4</v>
      </c>
    </row>
    <row r="45721" spans="1:6" x14ac:dyDescent="0.25">
      <c r="A45721" s="2" t="str">
        <f t="shared" si="1443"/>
        <v>26420</v>
      </c>
      <c r="B45721" s="2" t="str">
        <f>"77328"</f>
        <v>77328</v>
      </c>
      <c r="C45721" s="1">
        <v>1.4775007582858699E-3</v>
      </c>
      <c r="D45721" s="1">
        <v>3.5708149879905998E-4</v>
      </c>
      <c r="E45721" s="1">
        <v>1.7943071527607801E-4</v>
      </c>
      <c r="F45721" s="1">
        <v>1.3516809471290599E-3</v>
      </c>
    </row>
    <row r="45722" spans="1:6" x14ac:dyDescent="0.25">
      <c r="A45722" s="2" t="str">
        <f t="shared" si="1443"/>
        <v>26420</v>
      </c>
      <c r="B45722" s="2" t="str">
        <f>"77261"</f>
        <v>77261</v>
      </c>
      <c r="C45722" s="1">
        <v>1.6211038243312901E-4</v>
      </c>
      <c r="D45722" s="1">
        <v>2.7623285756153698E-4</v>
      </c>
      <c r="E45722" s="1">
        <v>3.2623766413832398E-5</v>
      </c>
      <c r="F45722" s="1">
        <v>1.70028520223778E-4</v>
      </c>
    </row>
    <row r="45723" spans="1:6" x14ac:dyDescent="0.25">
      <c r="A45723" s="2" t="str">
        <f t="shared" si="1443"/>
        <v>26420</v>
      </c>
      <c r="B45723" s="2" t="str">
        <f>"77243"</f>
        <v>77243</v>
      </c>
      <c r="C45723" s="1">
        <v>2.9063341290336899E-4</v>
      </c>
      <c r="D45723" s="1">
        <v>7.10794304213224E-4</v>
      </c>
      <c r="E45723" s="1">
        <v>3.2623766413832398E-5</v>
      </c>
      <c r="F45723" s="1">
        <v>3.2387838412464701E-4</v>
      </c>
    </row>
    <row r="45724" spans="1:6" x14ac:dyDescent="0.25">
      <c r="A45724" s="2" t="str">
        <f t="shared" si="1443"/>
        <v>26420</v>
      </c>
      <c r="B45724" s="2" t="str">
        <f>"77268"</f>
        <v>77268</v>
      </c>
      <c r="C45724" s="1">
        <v>4.0099185506714801E-4</v>
      </c>
      <c r="D45724" s="1">
        <v>1.77193272045571E-3</v>
      </c>
      <c r="E45724" s="1">
        <v>3.2623766413832398E-5</v>
      </c>
      <c r="F45724" s="1">
        <v>5.1832751766602405E-4</v>
      </c>
    </row>
    <row r="45725" spans="1:6" x14ac:dyDescent="0.25">
      <c r="A45725" s="2" t="str">
        <f t="shared" si="1443"/>
        <v>26420</v>
      </c>
      <c r="B45725" s="2" t="str">
        <f>"77266"</f>
        <v>77266</v>
      </c>
      <c r="C45725" s="1">
        <v>2.6664244721559099E-4</v>
      </c>
      <c r="D45725" s="1">
        <v>1.2733660994909901E-3</v>
      </c>
      <c r="E45725" s="1">
        <v>3.2623766413832398E-5</v>
      </c>
      <c r="F45725" s="1">
        <v>3.5348837777223499E-4</v>
      </c>
    </row>
    <row r="45726" spans="1:6" x14ac:dyDescent="0.25">
      <c r="A45726" s="2" t="str">
        <f t="shared" si="1443"/>
        <v>26420</v>
      </c>
      <c r="B45726" s="2" t="str">
        <f>"77251"</f>
        <v>77251</v>
      </c>
      <c r="C45726" s="1">
        <v>1.4394579412666799E-4</v>
      </c>
      <c r="D45726" s="1">
        <v>1.3205278068795399E-3</v>
      </c>
      <c r="E45726" s="1">
        <v>4.8935649620748699E-5</v>
      </c>
      <c r="F45726" s="1">
        <v>2.4878499817303202E-4</v>
      </c>
    </row>
    <row r="45727" spans="1:6" x14ac:dyDescent="0.25">
      <c r="A45727" s="2" t="str">
        <f t="shared" si="1443"/>
        <v>26420</v>
      </c>
      <c r="B45727" s="2" t="str">
        <f>"77238"</f>
        <v>77238</v>
      </c>
      <c r="C45727" s="1">
        <v>2.7212609651565401E-4</v>
      </c>
      <c r="D45727" s="1">
        <v>6.7373867697935995E-4</v>
      </c>
      <c r="E45727" s="1">
        <v>3.2623766413832398E-5</v>
      </c>
      <c r="F45727" s="1">
        <v>3.0403663580409903E-4</v>
      </c>
    </row>
    <row r="45728" spans="1:6" x14ac:dyDescent="0.25">
      <c r="A45728" s="2" t="str">
        <f t="shared" si="1443"/>
        <v>26420</v>
      </c>
      <c r="B45728" s="2" t="str">
        <f>"77231"</f>
        <v>77231</v>
      </c>
      <c r="C45728" s="1">
        <v>4.6850928707418098E-4</v>
      </c>
      <c r="D45728" s="1">
        <v>9.8365846838986497E-4</v>
      </c>
      <c r="E45728" s="1">
        <v>3.2623766413832398E-5</v>
      </c>
      <c r="F45728" s="1">
        <v>5.07032984006635E-4</v>
      </c>
    </row>
    <row r="45729" spans="1:6" x14ac:dyDescent="0.25">
      <c r="A45729" s="2" t="str">
        <f t="shared" si="1443"/>
        <v>26420</v>
      </c>
      <c r="B45729" s="2" t="str">
        <f>"77205"</f>
        <v>77205</v>
      </c>
      <c r="C45729" s="1">
        <v>3.37587160035163E-4</v>
      </c>
      <c r="D45729" s="1">
        <v>1.3441086605738199E-3</v>
      </c>
      <c r="E45729" s="1">
        <v>3.2623766413832398E-5</v>
      </c>
      <c r="F45729" s="1">
        <v>4.2308712572738998E-4</v>
      </c>
    </row>
    <row r="45730" spans="1:6" x14ac:dyDescent="0.25">
      <c r="A45730" s="2" t="str">
        <f t="shared" si="1443"/>
        <v>26420</v>
      </c>
      <c r="B45730" s="2" t="str">
        <f>"77077"</f>
        <v>77077</v>
      </c>
      <c r="C45730" s="1">
        <v>1.0534775761584601E-2</v>
      </c>
      <c r="D45730" s="1">
        <v>7.2022664569093503E-3</v>
      </c>
      <c r="E45730" s="1">
        <v>6.9162384797324802E-3</v>
      </c>
      <c r="F45730" s="1">
        <v>1.01650802934502E-2</v>
      </c>
    </row>
    <row r="45731" spans="1:6" x14ac:dyDescent="0.25">
      <c r="A45731" s="2" t="str">
        <f t="shared" si="1443"/>
        <v>26420</v>
      </c>
      <c r="B45731" s="2" t="str">
        <f>"77057"</f>
        <v>77057</v>
      </c>
      <c r="C45731" s="1">
        <v>8.7395660719763197E-3</v>
      </c>
      <c r="D45731" s="1">
        <v>1.3208646762180301E-2</v>
      </c>
      <c r="E45731" s="1">
        <v>1.9345893483402599E-2</v>
      </c>
      <c r="F45731" s="1">
        <v>9.3430213976466395E-3</v>
      </c>
    </row>
    <row r="45732" spans="1:6" x14ac:dyDescent="0.25">
      <c r="A45732" s="2" t="str">
        <f t="shared" si="1443"/>
        <v>26420</v>
      </c>
      <c r="B45732" s="2" t="str">
        <f>"77065"</f>
        <v>77065</v>
      </c>
      <c r="C45732" s="1">
        <v>5.2365423534794604E-3</v>
      </c>
      <c r="D45732" s="1">
        <v>5.3528537886010103E-3</v>
      </c>
      <c r="E45732" s="1">
        <v>4.6978223635918701E-3</v>
      </c>
      <c r="F45732" s="1">
        <v>5.2370005259589503E-3</v>
      </c>
    </row>
    <row r="45733" spans="1:6" x14ac:dyDescent="0.25">
      <c r="A45733" s="2" t="str">
        <f t="shared" si="1443"/>
        <v>26420</v>
      </c>
      <c r="B45733" s="2" t="str">
        <f>"77052"</f>
        <v>77052</v>
      </c>
      <c r="C45733" s="1">
        <v>5.9531867713815095E-4</v>
      </c>
      <c r="D45733" s="1">
        <v>8.5564811976378697E-4</v>
      </c>
      <c r="E45733" s="1">
        <v>1.6311883206916199E-5</v>
      </c>
      <c r="F45733" s="1">
        <v>6.0807327160819805E-4</v>
      </c>
    </row>
    <row r="45734" spans="1:6" x14ac:dyDescent="0.25">
      <c r="A45734" s="2" t="str">
        <f t="shared" si="1443"/>
        <v>26420</v>
      </c>
      <c r="B45734" s="2" t="str">
        <f>"77027"</f>
        <v>77027</v>
      </c>
      <c r="C45734" s="1">
        <v>4.7454130130425102E-3</v>
      </c>
      <c r="D45734" s="1">
        <v>1.13356532401777E-2</v>
      </c>
      <c r="E45734" s="1">
        <v>9.5913873256667399E-3</v>
      </c>
      <c r="F45734" s="1">
        <v>5.4332812054991497E-3</v>
      </c>
    </row>
    <row r="45735" spans="1:6" x14ac:dyDescent="0.25">
      <c r="A45735" s="2" t="str">
        <f t="shared" si="1443"/>
        <v>26420</v>
      </c>
      <c r="B45735" s="2" t="str">
        <f>"77019"</f>
        <v>77019</v>
      </c>
      <c r="C45735" s="1">
        <v>5.2821251882862299E-3</v>
      </c>
      <c r="D45735" s="1">
        <v>3.6247140821489502E-3</v>
      </c>
      <c r="E45735" s="1">
        <v>1.4990620667156E-2</v>
      </c>
      <c r="F45735" s="1">
        <v>5.3136202002429201E-3</v>
      </c>
    </row>
    <row r="45736" spans="1:6" x14ac:dyDescent="0.25">
      <c r="A45736" s="2" t="str">
        <f t="shared" si="1443"/>
        <v>26420</v>
      </c>
      <c r="B45736" s="2" t="str">
        <f>"77014"</f>
        <v>77014</v>
      </c>
      <c r="C45736" s="1">
        <v>4.27690372596833E-3</v>
      </c>
      <c r="D45736" s="1">
        <v>3.6617697093828199E-3</v>
      </c>
      <c r="E45736" s="1">
        <v>2.6425250795204299E-3</v>
      </c>
      <c r="F45736" s="1">
        <v>4.1905772452998698E-3</v>
      </c>
    </row>
    <row r="45737" spans="1:6" x14ac:dyDescent="0.25">
      <c r="A45737" s="2" t="str">
        <f t="shared" si="1443"/>
        <v>26420</v>
      </c>
      <c r="B45737" s="2" t="str">
        <f>"77013"</f>
        <v>77013</v>
      </c>
      <c r="C45737" s="1">
        <v>2.24246983564474E-3</v>
      </c>
      <c r="D45737" s="1">
        <v>1.34073996718892E-3</v>
      </c>
      <c r="E45737" s="1">
        <v>3.1808172253486602E-3</v>
      </c>
      <c r="F45737" s="1">
        <v>2.1783187079297598E-3</v>
      </c>
    </row>
    <row r="45738" spans="1:6" x14ac:dyDescent="0.25">
      <c r="A45738" s="2" t="str">
        <f t="shared" si="1443"/>
        <v>26420</v>
      </c>
      <c r="B45738" s="2" t="str">
        <f>"77012"</f>
        <v>77012</v>
      </c>
      <c r="C45738" s="1">
        <v>2.3624246640836298E-3</v>
      </c>
      <c r="D45738" s="1">
        <v>1.8965743756968901E-3</v>
      </c>
      <c r="E45738" s="1">
        <v>3.9637876192806397E-3</v>
      </c>
      <c r="F45738" s="1">
        <v>2.3501787741523599E-3</v>
      </c>
    </row>
    <row r="45739" spans="1:6" x14ac:dyDescent="0.25">
      <c r="A45739" s="2" t="str">
        <f t="shared" si="1443"/>
        <v>26420</v>
      </c>
      <c r="B45739" s="2" t="str">
        <f>"77590"</f>
        <v>77590</v>
      </c>
      <c r="C45739" s="1">
        <v>4.6981165378294602E-3</v>
      </c>
      <c r="D45739" s="1">
        <v>3.76283051092972E-3</v>
      </c>
      <c r="E45739" s="1">
        <v>4.9425006116956202E-3</v>
      </c>
      <c r="F45739" s="1">
        <v>4.61793797835784E-3</v>
      </c>
    </row>
    <row r="45740" spans="1:6" x14ac:dyDescent="0.25">
      <c r="A45740" s="2" t="str">
        <f t="shared" si="1443"/>
        <v>26420</v>
      </c>
      <c r="B45740" s="2" t="str">
        <f>"77577"</f>
        <v>77577</v>
      </c>
      <c r="C45740" s="1">
        <v>2.4059511304028901E-4</v>
      </c>
      <c r="D45740" s="1">
        <v>7.7479947852626406E-5</v>
      </c>
      <c r="E45740" s="1">
        <v>8.1559416034581104E-5</v>
      </c>
      <c r="F45740" s="1">
        <v>2.2283809652308401E-4</v>
      </c>
    </row>
    <row r="45741" spans="1:6" x14ac:dyDescent="0.25">
      <c r="A45741" s="2" t="str">
        <f t="shared" si="1443"/>
        <v>26420</v>
      </c>
      <c r="B45741" s="2" t="str">
        <f>"77583"</f>
        <v>77583</v>
      </c>
      <c r="C45741" s="1">
        <v>4.0513886485032203E-3</v>
      </c>
      <c r="D45741" s="1">
        <v>1.0847192699367601E-3</v>
      </c>
      <c r="E45741" s="1">
        <v>7.3403474431123E-4</v>
      </c>
      <c r="F45741" s="1">
        <v>3.7204804389361001E-3</v>
      </c>
    </row>
    <row r="45742" spans="1:6" x14ac:dyDescent="0.25">
      <c r="A45742" s="2" t="str">
        <f t="shared" si="1443"/>
        <v>26420</v>
      </c>
      <c r="B45742" s="2" t="str">
        <f>"77530"</f>
        <v>77530</v>
      </c>
      <c r="C45742" s="1">
        <v>4.2662791554494602E-3</v>
      </c>
      <c r="D45742" s="1">
        <v>3.75272443077503E-3</v>
      </c>
      <c r="E45742" s="1">
        <v>6.1495799690074199E-3</v>
      </c>
      <c r="F45742" s="1">
        <v>4.2549866129250298E-3</v>
      </c>
    </row>
    <row r="45743" spans="1:6" x14ac:dyDescent="0.25">
      <c r="A45743" s="2" t="str">
        <f t="shared" si="1443"/>
        <v>26420</v>
      </c>
      <c r="B45743" s="2" t="str">
        <f>"77523"</f>
        <v>77523</v>
      </c>
      <c r="C45743" s="1">
        <v>3.54860655330364E-3</v>
      </c>
      <c r="D45743" s="1">
        <v>1.88309960215731E-3</v>
      </c>
      <c r="E45743" s="1">
        <v>1.3049506565532901E-3</v>
      </c>
      <c r="F45743" s="1">
        <v>3.3556975275044702E-3</v>
      </c>
    </row>
    <row r="45744" spans="1:6" x14ac:dyDescent="0.25">
      <c r="A45744" s="2" t="str">
        <f t="shared" si="1443"/>
        <v>26420</v>
      </c>
      <c r="B45744" s="2" t="str">
        <f>"77551"</f>
        <v>77551</v>
      </c>
      <c r="C45744" s="1">
        <v>4.1144506154539504E-3</v>
      </c>
      <c r="D45744" s="1">
        <v>2.5467321989819801E-3</v>
      </c>
      <c r="E45744" s="1">
        <v>6.8346790636979E-3</v>
      </c>
      <c r="F45744" s="1">
        <v>4.0232960440743197E-3</v>
      </c>
    </row>
    <row r="45745" spans="1:6" x14ac:dyDescent="0.25">
      <c r="A45745" s="2" t="str">
        <f t="shared" si="1443"/>
        <v>26420</v>
      </c>
      <c r="B45745" s="2" t="str">
        <f>"77571"</f>
        <v>77571</v>
      </c>
      <c r="C45745" s="1">
        <v>4.9390543789510103E-3</v>
      </c>
      <c r="D45745" s="1">
        <v>4.5847916968445399E-3</v>
      </c>
      <c r="E45745" s="1">
        <v>2.6751488459342602E-3</v>
      </c>
      <c r="F45745" s="1">
        <v>4.8645861728655801E-3</v>
      </c>
    </row>
    <row r="45746" spans="1:6" x14ac:dyDescent="0.25">
      <c r="A45746" s="2" t="str">
        <f t="shared" si="1443"/>
        <v>26420</v>
      </c>
      <c r="B45746" s="2" t="str">
        <f>"77507"</f>
        <v>77507</v>
      </c>
      <c r="C45746" s="1">
        <v>1.8096042690209801E-4</v>
      </c>
      <c r="D45746" s="1">
        <v>7.9501163883564398E-4</v>
      </c>
      <c r="E45746" s="1">
        <v>3.4254954734524101E-4</v>
      </c>
      <c r="F45746" s="1">
        <v>2.3962726817893299E-4</v>
      </c>
    </row>
    <row r="45747" spans="1:6" x14ac:dyDescent="0.25">
      <c r="A45747" s="2" t="str">
        <f t="shared" si="1443"/>
        <v>26420</v>
      </c>
      <c r="B45747" s="2" t="str">
        <f>"77491"</f>
        <v>77491</v>
      </c>
      <c r="C45747" s="1">
        <v>3.2901895800381401E-4</v>
      </c>
      <c r="D45747" s="1">
        <v>1.82246312122916E-3</v>
      </c>
      <c r="E45747" s="1">
        <v>3.2623766413832398E-5</v>
      </c>
      <c r="F45747" s="1">
        <v>4.5880227270437798E-4</v>
      </c>
    </row>
    <row r="45748" spans="1:6" x14ac:dyDescent="0.25">
      <c r="A45748" s="2" t="str">
        <f t="shared" si="1443"/>
        <v>26420</v>
      </c>
      <c r="B45748" s="2" t="str">
        <f>"77489"</f>
        <v>77489</v>
      </c>
      <c r="C45748" s="1">
        <v>4.4013140194635201E-3</v>
      </c>
      <c r="D45748" s="1">
        <v>2.2806054215751301E-3</v>
      </c>
      <c r="E45748" s="1">
        <v>1.0276486420357201E-3</v>
      </c>
      <c r="F45748" s="1">
        <v>4.1460096259952504E-3</v>
      </c>
    </row>
    <row r="45749" spans="1:6" x14ac:dyDescent="0.25">
      <c r="A45749" s="2" t="str">
        <f t="shared" si="1443"/>
        <v>26420</v>
      </c>
      <c r="B45749" s="2" t="str">
        <f>"77503"</f>
        <v>77503</v>
      </c>
      <c r="C45749" s="1">
        <v>3.16577928654295E-3</v>
      </c>
      <c r="D45749" s="1">
        <v>2.6511616939137801E-3</v>
      </c>
      <c r="E45749" s="1">
        <v>3.2950004077970801E-3</v>
      </c>
      <c r="F45749" s="1">
        <v>3.121564897322E-3</v>
      </c>
    </row>
    <row r="45750" spans="1:6" x14ac:dyDescent="0.25">
      <c r="A45750" s="2" t="str">
        <f t="shared" si="1443"/>
        <v>26420</v>
      </c>
      <c r="B45750" s="2" t="str">
        <f>"77496"</f>
        <v>77496</v>
      </c>
      <c r="C45750" s="1">
        <v>5.2608760472484903E-4</v>
      </c>
      <c r="D45750" s="1">
        <v>3.3147942907384501E-3</v>
      </c>
      <c r="E45750" s="1">
        <v>3.2623766413832398E-5</v>
      </c>
      <c r="F45750" s="1">
        <v>7.6955457717081698E-4</v>
      </c>
    </row>
    <row r="45751" spans="1:6" x14ac:dyDescent="0.25">
      <c r="A45751" s="2" t="str">
        <f t="shared" si="1443"/>
        <v>26420</v>
      </c>
      <c r="B45751" s="2" t="str">
        <f>"77420"</f>
        <v>77420</v>
      </c>
      <c r="C45751" s="1">
        <v>3.0845527312857599E-6</v>
      </c>
      <c r="D45751" s="1">
        <v>0</v>
      </c>
      <c r="E45751" s="1">
        <v>0</v>
      </c>
      <c r="F45751" s="1">
        <v>2.7473189982298098E-6</v>
      </c>
    </row>
    <row r="45752" spans="1:6" x14ac:dyDescent="0.25">
      <c r="A45752" s="2" t="str">
        <f t="shared" si="1443"/>
        <v>26420</v>
      </c>
      <c r="B45752" s="2" t="str">
        <f>"77353"</f>
        <v>77353</v>
      </c>
      <c r="C45752" s="1">
        <v>3.9619366192959299E-4</v>
      </c>
      <c r="D45752" s="1">
        <v>1.0240827890086201E-3</v>
      </c>
      <c r="E45752" s="1">
        <v>3.2623766413832398E-5</v>
      </c>
      <c r="F45752" s="1">
        <v>4.4628670837910901E-4</v>
      </c>
    </row>
    <row r="45753" spans="1:6" x14ac:dyDescent="0.25">
      <c r="A45753" s="2" t="str">
        <f t="shared" si="1443"/>
        <v>26420</v>
      </c>
      <c r="B45753" s="2" t="str">
        <f>"77354"</f>
        <v>77354</v>
      </c>
      <c r="C45753" s="1">
        <v>5.5148375554576797E-3</v>
      </c>
      <c r="D45753" s="1">
        <v>4.5612108431502601E-3</v>
      </c>
      <c r="E45753" s="1">
        <v>2.9524508604518301E-3</v>
      </c>
      <c r="F45753" s="1">
        <v>5.3804716291998402E-3</v>
      </c>
    </row>
    <row r="45754" spans="1:6" x14ac:dyDescent="0.25">
      <c r="A45754" s="2" t="str">
        <f t="shared" si="1443"/>
        <v>26420</v>
      </c>
      <c r="B45754" s="2" t="str">
        <f>"77292"</f>
        <v>77292</v>
      </c>
      <c r="C45754" s="1">
        <v>4.3903467208634002E-4</v>
      </c>
      <c r="D45754" s="1">
        <v>1.52601810335825E-3</v>
      </c>
      <c r="E45754" s="1">
        <v>1.6311883206916199E-5</v>
      </c>
      <c r="F45754" s="1">
        <v>5.2962205132541299E-4</v>
      </c>
    </row>
    <row r="45755" spans="1:6" x14ac:dyDescent="0.25">
      <c r="A45755" s="2" t="str">
        <f t="shared" si="1443"/>
        <v>26420</v>
      </c>
      <c r="B45755" s="2" t="str">
        <f>"77275"</f>
        <v>77275</v>
      </c>
      <c r="C45755" s="1">
        <v>5.1443484996221403E-4</v>
      </c>
      <c r="D45755" s="1">
        <v>1.03418886916331E-3</v>
      </c>
      <c r="E45755" s="1">
        <v>3.2623766413832398E-5</v>
      </c>
      <c r="F45755" s="1">
        <v>5.5251637631066098E-4</v>
      </c>
    </row>
    <row r="45756" spans="1:6" x14ac:dyDescent="0.25">
      <c r="A45756" s="2" t="str">
        <f t="shared" si="1443"/>
        <v>26420</v>
      </c>
      <c r="B45756" s="2" t="str">
        <f>"77237"</f>
        <v>77237</v>
      </c>
      <c r="C45756" s="1">
        <v>8.9109301126033102E-5</v>
      </c>
      <c r="D45756" s="1">
        <v>3.3686933848967997E-4</v>
      </c>
      <c r="E45756" s="1">
        <v>1.6311883206916199E-5</v>
      </c>
      <c r="F45756" s="1">
        <v>1.1019801759566201E-4</v>
      </c>
    </row>
    <row r="45757" spans="1:6" x14ac:dyDescent="0.25">
      <c r="A45757" s="2" t="str">
        <f t="shared" si="1443"/>
        <v>26420</v>
      </c>
      <c r="B45757" s="2" t="str">
        <f>"77206"</f>
        <v>77206</v>
      </c>
      <c r="C45757" s="1">
        <v>1.5902582970184301E-4</v>
      </c>
      <c r="D45757" s="1">
        <v>7.4784993144708903E-4</v>
      </c>
      <c r="E45757" s="1">
        <v>3.2623766413832398E-5</v>
      </c>
      <c r="F45757" s="1">
        <v>2.1001727453134501E-4</v>
      </c>
    </row>
    <row r="45758" spans="1:6" x14ac:dyDescent="0.25">
      <c r="A45758" s="2" t="str">
        <f t="shared" si="1443"/>
        <v>26420</v>
      </c>
      <c r="B45758" s="2" t="str">
        <f>"77263"</f>
        <v>77263</v>
      </c>
      <c r="C45758" s="1">
        <v>4.1264460982978399E-4</v>
      </c>
      <c r="D45758" s="1">
        <v>7.0405691744343101E-4</v>
      </c>
      <c r="E45758" s="1">
        <v>3.2623766413832398E-5</v>
      </c>
      <c r="F45758" s="1">
        <v>4.3193959805502E-4</v>
      </c>
    </row>
    <row r="45759" spans="1:6" x14ac:dyDescent="0.25">
      <c r="A45759" s="2" t="str">
        <f t="shared" si="1443"/>
        <v>26420</v>
      </c>
      <c r="B45759" s="2" t="str">
        <f>"77258"</f>
        <v>77258</v>
      </c>
      <c r="C45759" s="1">
        <v>2.5773151710298801E-4</v>
      </c>
      <c r="D45759" s="1">
        <v>9.7355238823517505E-4</v>
      </c>
      <c r="E45759" s="1">
        <v>1.6311883206916199E-5</v>
      </c>
      <c r="F45759" s="1">
        <v>3.1807848846171803E-4</v>
      </c>
    </row>
    <row r="45760" spans="1:6" x14ac:dyDescent="0.25">
      <c r="A45760" s="2" t="str">
        <f t="shared" si="1443"/>
        <v>26420</v>
      </c>
      <c r="B45760" s="2" t="str">
        <f>"77234"</f>
        <v>77234</v>
      </c>
      <c r="C45760" s="1">
        <v>3.1668074707867102E-4</v>
      </c>
      <c r="D45760" s="1">
        <v>6.4005174313039195E-4</v>
      </c>
      <c r="E45760" s="1">
        <v>3.2623766413832398E-5</v>
      </c>
      <c r="F45760" s="1">
        <v>3.4066755578049602E-4</v>
      </c>
    </row>
    <row r="45761" spans="1:6" x14ac:dyDescent="0.25">
      <c r="A45761" s="2" t="str">
        <f t="shared" si="1443"/>
        <v>26420</v>
      </c>
      <c r="B45761" s="2" t="str">
        <f>"77223"</f>
        <v>77223</v>
      </c>
      <c r="C45761" s="1">
        <v>3.5677993258538602E-4</v>
      </c>
      <c r="D45761" s="1">
        <v>6.5352651666997902E-4</v>
      </c>
      <c r="E45761" s="1">
        <v>1.6311883206916199E-5</v>
      </c>
      <c r="F45761" s="1">
        <v>3.7729847575689398E-4</v>
      </c>
    </row>
    <row r="45762" spans="1:6" x14ac:dyDescent="0.25">
      <c r="A45762" s="2" t="str">
        <f t="shared" si="1443"/>
        <v>26420</v>
      </c>
      <c r="B45762" s="2" t="str">
        <f>"77221"</f>
        <v>77221</v>
      </c>
      <c r="C45762" s="1">
        <v>2.8446430744079798E-4</v>
      </c>
      <c r="D45762" s="1">
        <v>7.5795601160178003E-4</v>
      </c>
      <c r="E45762" s="1">
        <v>1.6311883206916199E-5</v>
      </c>
      <c r="F45762" s="1">
        <v>3.2235209579229698E-4</v>
      </c>
    </row>
    <row r="45763" spans="1:6" x14ac:dyDescent="0.25">
      <c r="A45763" s="2" t="str">
        <f t="shared" si="1443"/>
        <v>26420</v>
      </c>
      <c r="B45763" s="2" t="str">
        <f>"77044"</f>
        <v>77044</v>
      </c>
      <c r="C45763" s="1">
        <v>6.2462192808536597E-3</v>
      </c>
      <c r="D45763" s="1">
        <v>1.7045588527577801E-3</v>
      </c>
      <c r="E45763" s="1">
        <v>2.1694804665198502E-3</v>
      </c>
      <c r="F45763" s="1">
        <v>5.7583806202896803E-3</v>
      </c>
    </row>
    <row r="45764" spans="1:6" x14ac:dyDescent="0.25">
      <c r="A45764" s="2" t="str">
        <f t="shared" si="1443"/>
        <v>26420</v>
      </c>
      <c r="B45764" s="2" t="str">
        <f>"77041"</f>
        <v>77041</v>
      </c>
      <c r="C45764" s="1">
        <v>4.33825205251279E-3</v>
      </c>
      <c r="D45764" s="1">
        <v>1.08000309919791E-2</v>
      </c>
      <c r="E45764" s="1">
        <v>8.9552238805970102E-3</v>
      </c>
      <c r="F45764" s="1">
        <v>5.0101940797717603E-3</v>
      </c>
    </row>
    <row r="45765" spans="1:6" x14ac:dyDescent="0.25">
      <c r="A45765" s="2" t="str">
        <f t="shared" si="1443"/>
        <v>26420</v>
      </c>
      <c r="B45765" s="2" t="str">
        <f>"77072"</f>
        <v>77072</v>
      </c>
      <c r="C45765" s="1">
        <v>6.6180792490142196E-3</v>
      </c>
      <c r="D45765" s="1">
        <v>6.5857955674732396E-3</v>
      </c>
      <c r="E45765" s="1">
        <v>7.0141097789739801E-3</v>
      </c>
      <c r="F45765" s="1">
        <v>6.6225650740661902E-3</v>
      </c>
    </row>
    <row r="45766" spans="1:6" x14ac:dyDescent="0.25">
      <c r="A45766" s="2" t="str">
        <f t="shared" si="1443"/>
        <v>26420</v>
      </c>
      <c r="B45766" s="2" t="str">
        <f>"77066"</f>
        <v>77066</v>
      </c>
      <c r="C45766" s="1">
        <v>3.7066041987617198E-3</v>
      </c>
      <c r="D45766" s="1">
        <v>3.6887192564619901E-3</v>
      </c>
      <c r="E45766" s="1">
        <v>3.2950004077970801E-3</v>
      </c>
      <c r="F45766" s="1">
        <v>3.69728085628438E-3</v>
      </c>
    </row>
    <row r="45767" spans="1:6" x14ac:dyDescent="0.25">
      <c r="A45767" s="2" t="str">
        <f t="shared" si="1443"/>
        <v>26420</v>
      </c>
      <c r="B45767" s="2" t="str">
        <f>"77064"</f>
        <v>77064</v>
      </c>
      <c r="C45767" s="1">
        <v>5.8291192059675796E-3</v>
      </c>
      <c r="D45767" s="1">
        <v>4.95534796918319E-3</v>
      </c>
      <c r="E45767" s="1">
        <v>4.1432183345567197E-3</v>
      </c>
      <c r="F45767" s="1">
        <v>5.7183918659821104E-3</v>
      </c>
    </row>
    <row r="45768" spans="1:6" x14ac:dyDescent="0.25">
      <c r="A45768" s="2" t="str">
        <f t="shared" si="1443"/>
        <v>26420</v>
      </c>
      <c r="B45768" s="2" t="str">
        <f>"77033"</f>
        <v>77033</v>
      </c>
      <c r="C45768" s="1">
        <v>3.5684847820163699E-3</v>
      </c>
      <c r="D45768" s="1">
        <v>1.7887761873802001E-3</v>
      </c>
      <c r="E45768" s="1">
        <v>4.9914362613163602E-3</v>
      </c>
      <c r="F45768" s="1">
        <v>3.4338434901207901E-3</v>
      </c>
    </row>
    <row r="45769" spans="1:6" x14ac:dyDescent="0.25">
      <c r="A45769" s="2" t="str">
        <f t="shared" si="1443"/>
        <v>26420</v>
      </c>
      <c r="B45769" s="2" t="str">
        <f>"77031"</f>
        <v>77031</v>
      </c>
      <c r="C45769" s="1">
        <v>2.2140234049006602E-3</v>
      </c>
      <c r="D45769" s="1">
        <v>1.7887761873802001E-3</v>
      </c>
      <c r="E45769" s="1">
        <v>1.77799526955386E-3</v>
      </c>
      <c r="F45769" s="1">
        <v>2.16732943193685E-3</v>
      </c>
    </row>
    <row r="45770" spans="1:6" x14ac:dyDescent="0.25">
      <c r="A45770" s="2" t="str">
        <f t="shared" si="1443"/>
        <v>26420</v>
      </c>
      <c r="B45770" s="2" t="str">
        <f>"77029"</f>
        <v>77029</v>
      </c>
      <c r="C45770" s="1">
        <v>2.2287607123945802E-3</v>
      </c>
      <c r="D45770" s="1">
        <v>4.6050038571539198E-3</v>
      </c>
      <c r="E45770" s="1">
        <v>5.4155452246961904E-3</v>
      </c>
      <c r="F45770" s="1">
        <v>2.5037233803867601E-3</v>
      </c>
    </row>
    <row r="45771" spans="1:6" x14ac:dyDescent="0.25">
      <c r="A45771" s="2" t="str">
        <f t="shared" si="1443"/>
        <v>26420</v>
      </c>
      <c r="B45771" s="2" t="str">
        <f>"77050"</f>
        <v>77050</v>
      </c>
      <c r="C45771" s="1">
        <v>5.4733674576259495E-4</v>
      </c>
      <c r="D45771" s="1">
        <v>3.3013195171988601E-4</v>
      </c>
      <c r="E45771" s="1">
        <v>5.7091591224206798E-4</v>
      </c>
      <c r="F45771" s="1">
        <v>5.2809576299306295E-4</v>
      </c>
    </row>
    <row r="45772" spans="1:6" x14ac:dyDescent="0.25">
      <c r="A45772" s="2" t="str">
        <f t="shared" si="1443"/>
        <v>26420</v>
      </c>
      <c r="B45772" s="2" t="str">
        <f>"77028"</f>
        <v>77028</v>
      </c>
      <c r="C45772" s="1">
        <v>2.5217932218667299E-3</v>
      </c>
      <c r="D45772" s="1">
        <v>3.00150580594304E-3</v>
      </c>
      <c r="E45772" s="1">
        <v>2.2510398825544399E-3</v>
      </c>
      <c r="F45772" s="1">
        <v>2.5601960486837101E-3</v>
      </c>
    </row>
    <row r="45773" spans="1:6" x14ac:dyDescent="0.25">
      <c r="A45773" s="2" t="str">
        <f t="shared" si="1443"/>
        <v>26420</v>
      </c>
      <c r="B45773" s="2" t="str">
        <f>"77021"</f>
        <v>77021</v>
      </c>
      <c r="C45773" s="1">
        <v>4.4139949584699198E-3</v>
      </c>
      <c r="D45773" s="1">
        <v>4.2007606509663004E-3</v>
      </c>
      <c r="E45773" s="1">
        <v>1.13041350623929E-2</v>
      </c>
      <c r="F45773" s="1">
        <v>4.5236133594186096E-3</v>
      </c>
    </row>
    <row r="45774" spans="1:6" x14ac:dyDescent="0.25">
      <c r="A45774" s="2" t="str">
        <f t="shared" si="1443"/>
        <v>26420</v>
      </c>
      <c r="B45774" s="2" t="str">
        <f>"77009"</f>
        <v>77009</v>
      </c>
      <c r="C45774" s="1">
        <v>5.8681902072305302E-3</v>
      </c>
      <c r="D45774" s="1">
        <v>4.5241552159164004E-3</v>
      </c>
      <c r="E45774" s="1">
        <v>1.6116140608433201E-2</v>
      </c>
      <c r="F45774" s="1">
        <v>5.9381773858405004E-3</v>
      </c>
    </row>
    <row r="45775" spans="1:6" x14ac:dyDescent="0.25">
      <c r="A45775" s="2" t="str">
        <f t="shared" ref="A45775:A45838" si="1444">"26420"</f>
        <v>26420</v>
      </c>
      <c r="B45775" s="2" t="str">
        <f>"77005"</f>
        <v>77005</v>
      </c>
      <c r="C45775" s="1">
        <v>3.83649814155697E-3</v>
      </c>
      <c r="D45775" s="1">
        <v>3.92789648678966E-3</v>
      </c>
      <c r="E45775" s="1">
        <v>4.4205203490742997E-3</v>
      </c>
      <c r="F45775" s="1">
        <v>3.8557095851822999E-3</v>
      </c>
    </row>
    <row r="45776" spans="1:6" x14ac:dyDescent="0.25">
      <c r="A45776" s="2" t="str">
        <f t="shared" si="1444"/>
        <v>26420</v>
      </c>
      <c r="B45776" s="2" t="str">
        <f>"77004"</f>
        <v>77004</v>
      </c>
      <c r="C45776" s="1">
        <v>6.8686134764108803E-3</v>
      </c>
      <c r="D45776" s="1">
        <v>5.8682638764902201E-3</v>
      </c>
      <c r="E45776" s="1">
        <v>2.9002528341897E-2</v>
      </c>
      <c r="F45776" s="1">
        <v>7.1921758796991697E-3</v>
      </c>
    </row>
    <row r="45777" spans="1:6" x14ac:dyDescent="0.25">
      <c r="A45777" s="2" t="str">
        <f t="shared" si="1444"/>
        <v>26420</v>
      </c>
      <c r="B45777" s="2" t="str">
        <f>"78933"</f>
        <v>78933</v>
      </c>
      <c r="C45777" s="1">
        <v>1.3434940785155699E-4</v>
      </c>
      <c r="D45777" s="1">
        <v>2.6949547079174401E-5</v>
      </c>
      <c r="E45777" s="1">
        <v>4.8935649620748699E-5</v>
      </c>
      <c r="F45777" s="1">
        <v>1.2301883958740101E-4</v>
      </c>
    </row>
    <row r="45778" spans="1:6" x14ac:dyDescent="0.25">
      <c r="A45778" s="2" t="str">
        <f t="shared" si="1444"/>
        <v>26420</v>
      </c>
      <c r="B45778" s="2" t="str">
        <f>"77868"</f>
        <v>77868</v>
      </c>
      <c r="C45778" s="1">
        <v>6.1691054625715199E-6</v>
      </c>
      <c r="D45778" s="1">
        <v>0</v>
      </c>
      <c r="E45778" s="1">
        <v>0</v>
      </c>
      <c r="F45778" s="1">
        <v>5.4946379964596196E-6</v>
      </c>
    </row>
    <row r="45779" spans="1:6" x14ac:dyDescent="0.25">
      <c r="A45779" s="2" t="str">
        <f t="shared" si="1444"/>
        <v>26420</v>
      </c>
      <c r="B45779" s="2" t="str">
        <f>"77650"</f>
        <v>77650</v>
      </c>
      <c r="C45779" s="1">
        <v>1.02818424376192E-6</v>
      </c>
      <c r="D45779" s="1">
        <v>6.7373867697936002E-6</v>
      </c>
      <c r="E45779" s="1">
        <v>0</v>
      </c>
      <c r="F45779" s="1">
        <v>1.52628833234989E-6</v>
      </c>
    </row>
    <row r="45780" spans="1:6" x14ac:dyDescent="0.25">
      <c r="A45780" s="2" t="str">
        <f t="shared" si="1444"/>
        <v>26420</v>
      </c>
      <c r="B45780" s="2" t="str">
        <f>"77536"</f>
        <v>77536</v>
      </c>
      <c r="C45780" s="1">
        <v>4.5798753497968397E-3</v>
      </c>
      <c r="D45780" s="1">
        <v>3.7931487513937902E-3</v>
      </c>
      <c r="E45780" s="1">
        <v>1.7127477367261999E-3</v>
      </c>
      <c r="F45780" s="1">
        <v>4.4549303844628697E-3</v>
      </c>
    </row>
    <row r="45781" spans="1:6" x14ac:dyDescent="0.25">
      <c r="A45781" s="2" t="str">
        <f t="shared" si="1444"/>
        <v>26420</v>
      </c>
      <c r="B45781" s="2" t="str">
        <f>"77587"</f>
        <v>77587</v>
      </c>
      <c r="C45781" s="1">
        <v>2.27742809993265E-3</v>
      </c>
      <c r="D45781" s="1">
        <v>4.3119275326679004E-3</v>
      </c>
      <c r="E45781" s="1">
        <v>4.3715846994535502E-3</v>
      </c>
      <c r="F45781" s="1">
        <v>2.5009760613885299E-3</v>
      </c>
    </row>
    <row r="45782" spans="1:6" x14ac:dyDescent="0.25">
      <c r="A45782" s="2" t="str">
        <f t="shared" si="1444"/>
        <v>26420</v>
      </c>
      <c r="B45782" s="2" t="str">
        <f>"77580"</f>
        <v>77580</v>
      </c>
      <c r="C45782" s="1">
        <v>4.95584805493245E-4</v>
      </c>
      <c r="D45782" s="1">
        <v>9.3986545438620695E-4</v>
      </c>
      <c r="E45782" s="1">
        <v>3.2623766413832398E-5</v>
      </c>
      <c r="F45782" s="1">
        <v>5.2717998999365304E-4</v>
      </c>
    </row>
    <row r="45783" spans="1:6" x14ac:dyDescent="0.25">
      <c r="A45783" s="2" t="str">
        <f t="shared" si="1444"/>
        <v>26420</v>
      </c>
      <c r="B45783" s="2" t="str">
        <f>"77574"</f>
        <v>77574</v>
      </c>
      <c r="C45783" s="1">
        <v>6.9196799605177202E-4</v>
      </c>
      <c r="D45783" s="1">
        <v>1.6439223718296299E-3</v>
      </c>
      <c r="E45783" s="1">
        <v>3.2623766413832398E-5</v>
      </c>
      <c r="F45783" s="1">
        <v>7.6589148517317701E-4</v>
      </c>
    </row>
    <row r="45784" spans="1:6" x14ac:dyDescent="0.25">
      <c r="A45784" s="2" t="str">
        <f t="shared" si="1444"/>
        <v>26420</v>
      </c>
      <c r="B45784" s="2" t="str">
        <f>"77581"</f>
        <v>77581</v>
      </c>
      <c r="C45784" s="1">
        <v>6.2849475540353601E-3</v>
      </c>
      <c r="D45784" s="1">
        <v>6.2657696959080404E-3</v>
      </c>
      <c r="E45784" s="1">
        <v>6.0353967865590004E-3</v>
      </c>
      <c r="F45784" s="1">
        <v>6.2785396839545203E-3</v>
      </c>
    </row>
    <row r="45785" spans="1:6" x14ac:dyDescent="0.25">
      <c r="A45785" s="2" t="str">
        <f t="shared" si="1444"/>
        <v>26420</v>
      </c>
      <c r="B45785" s="2" t="str">
        <f>"77532"</f>
        <v>77532</v>
      </c>
      <c r="C45785" s="1">
        <v>5.0737465148838201E-3</v>
      </c>
      <c r="D45785" s="1">
        <v>2.8431772168528899E-3</v>
      </c>
      <c r="E45785" s="1">
        <v>1.9084903352091899E-3</v>
      </c>
      <c r="F45785" s="1">
        <v>4.81238711189921E-3</v>
      </c>
    </row>
    <row r="45786" spans="1:6" x14ac:dyDescent="0.25">
      <c r="A45786" s="2" t="str">
        <f t="shared" si="1444"/>
        <v>26420</v>
      </c>
      <c r="B45786" s="2" t="str">
        <f>"77563"</f>
        <v>77563</v>
      </c>
      <c r="C45786" s="1">
        <v>2.1711823947439201E-3</v>
      </c>
      <c r="D45786" s="1">
        <v>1.0746131897820699E-3</v>
      </c>
      <c r="E45786" s="1">
        <v>1.32126253976021E-3</v>
      </c>
      <c r="F45786" s="1">
        <v>2.0559103836753001E-3</v>
      </c>
    </row>
    <row r="45787" spans="1:6" x14ac:dyDescent="0.25">
      <c r="A45787" s="2" t="str">
        <f t="shared" si="1444"/>
        <v>26420</v>
      </c>
      <c r="B45787" s="2" t="str">
        <f>"77520"</f>
        <v>77520</v>
      </c>
      <c r="C45787" s="1">
        <v>5.3448444271557097E-3</v>
      </c>
      <c r="D45787" s="1">
        <v>4.52752390930129E-3</v>
      </c>
      <c r="E45787" s="1">
        <v>5.0077481445232799E-3</v>
      </c>
      <c r="F45787" s="1">
        <v>5.2644737159412503E-3</v>
      </c>
    </row>
    <row r="45788" spans="1:6" x14ac:dyDescent="0.25">
      <c r="A45788" s="2" t="str">
        <f t="shared" si="1444"/>
        <v>26420</v>
      </c>
      <c r="B45788" s="2" t="str">
        <f>"77516"</f>
        <v>77516</v>
      </c>
      <c r="C45788" s="1">
        <v>7.18015330227074E-4</v>
      </c>
      <c r="D45788" s="1">
        <v>8.1859249252992205E-4</v>
      </c>
      <c r="E45788" s="1">
        <v>1.6311883206916199E-5</v>
      </c>
      <c r="F45788" s="1">
        <v>7.1399768187328002E-4</v>
      </c>
    </row>
    <row r="45789" spans="1:6" x14ac:dyDescent="0.25">
      <c r="A45789" s="2" t="str">
        <f t="shared" si="1444"/>
        <v>26420</v>
      </c>
      <c r="B45789" s="2" t="str">
        <f>"77476"</f>
        <v>77476</v>
      </c>
      <c r="C45789" s="1">
        <v>0</v>
      </c>
      <c r="D45789" s="1">
        <v>3.3686933848968001E-6</v>
      </c>
      <c r="E45789" s="1">
        <v>0</v>
      </c>
      <c r="F45789" s="1">
        <v>3.05257666469978E-7</v>
      </c>
    </row>
    <row r="45790" spans="1:6" x14ac:dyDescent="0.25">
      <c r="A45790" s="2" t="str">
        <f t="shared" si="1444"/>
        <v>26420</v>
      </c>
      <c r="B45790" s="2" t="str">
        <f>"77474"</f>
        <v>77474</v>
      </c>
      <c r="C45790" s="1">
        <v>2.5135677479166401E-3</v>
      </c>
      <c r="D45790" s="1">
        <v>2.7724346557700601E-3</v>
      </c>
      <c r="E45790" s="1">
        <v>2.7893320283826702E-3</v>
      </c>
      <c r="F45790" s="1">
        <v>2.5421858463619798E-3</v>
      </c>
    </row>
    <row r="45791" spans="1:6" x14ac:dyDescent="0.25">
      <c r="A45791" s="2" t="str">
        <f t="shared" si="1444"/>
        <v>26420</v>
      </c>
      <c r="B45791" s="2" t="str">
        <f>"77463"</f>
        <v>77463</v>
      </c>
      <c r="C45791" s="1">
        <v>0</v>
      </c>
      <c r="D45791" s="1">
        <v>3.3686933848968001E-6</v>
      </c>
      <c r="E45791" s="1">
        <v>0</v>
      </c>
      <c r="F45791" s="1">
        <v>3.05257666469978E-7</v>
      </c>
    </row>
    <row r="45792" spans="1:6" x14ac:dyDescent="0.25">
      <c r="A45792" s="2" t="str">
        <f t="shared" si="1444"/>
        <v>26420</v>
      </c>
      <c r="B45792" s="2" t="str">
        <f>"77461"</f>
        <v>77461</v>
      </c>
      <c r="C45792" s="1">
        <v>1.50628991711121E-3</v>
      </c>
      <c r="D45792" s="1">
        <v>4.4466752680637699E-4</v>
      </c>
      <c r="E45792" s="1">
        <v>7.17722861104314E-4</v>
      </c>
      <c r="F45792" s="1">
        <v>1.3953327934342701E-3</v>
      </c>
    </row>
    <row r="45793" spans="1:6" x14ac:dyDescent="0.25">
      <c r="A45793" s="2" t="str">
        <f t="shared" si="1444"/>
        <v>26420</v>
      </c>
      <c r="B45793" s="2" t="str">
        <f>"77485"</f>
        <v>77485</v>
      </c>
      <c r="C45793" s="1">
        <v>4.76049304861769E-4</v>
      </c>
      <c r="D45793" s="1">
        <v>1.5832858909014901E-4</v>
      </c>
      <c r="E45793" s="1">
        <v>1.7943071527607801E-4</v>
      </c>
      <c r="F45793" s="1">
        <v>4.4170784338205902E-4</v>
      </c>
    </row>
    <row r="45794" spans="1:6" x14ac:dyDescent="0.25">
      <c r="A45794" s="2" t="str">
        <f t="shared" si="1444"/>
        <v>26420</v>
      </c>
      <c r="B45794" s="2" t="str">
        <f>"77447"</f>
        <v>77447</v>
      </c>
      <c r="C45794" s="1">
        <v>2.5666906005109998E-3</v>
      </c>
      <c r="D45794" s="1">
        <v>4.4803622019127398E-4</v>
      </c>
      <c r="E45794" s="1">
        <v>3.4254954734524101E-4</v>
      </c>
      <c r="F45794" s="1">
        <v>2.33308434483004E-3</v>
      </c>
    </row>
    <row r="45795" spans="1:6" x14ac:dyDescent="0.25">
      <c r="A45795" s="2" t="str">
        <f t="shared" si="1444"/>
        <v>26420</v>
      </c>
      <c r="B45795" s="2" t="str">
        <f>"77480"</f>
        <v>77480</v>
      </c>
      <c r="C45795" s="1">
        <v>1.13717177360068E-3</v>
      </c>
      <c r="D45795" s="1">
        <v>6.1983958282101103E-4</v>
      </c>
      <c r="E45795" s="1">
        <v>5.0566837941440302E-4</v>
      </c>
      <c r="F45795" s="1">
        <v>1.07847533563843E-3</v>
      </c>
    </row>
    <row r="45796" spans="1:6" x14ac:dyDescent="0.25">
      <c r="A45796" s="2" t="str">
        <f t="shared" si="1444"/>
        <v>26420</v>
      </c>
      <c r="B45796" s="2" t="str">
        <f>"77477"</f>
        <v>77477</v>
      </c>
      <c r="C45796" s="1">
        <v>4.8334941299247799E-3</v>
      </c>
      <c r="D45796" s="1">
        <v>9.1628460069192903E-3</v>
      </c>
      <c r="E45796" s="1">
        <v>8.87366446456243E-3</v>
      </c>
      <c r="F45796" s="1">
        <v>5.3014098935841199E-3</v>
      </c>
    </row>
    <row r="45797" spans="1:6" x14ac:dyDescent="0.25">
      <c r="A45797" s="2" t="str">
        <f t="shared" si="1444"/>
        <v>26420</v>
      </c>
      <c r="B45797" s="2" t="str">
        <f>"77433"</f>
        <v>77433</v>
      </c>
      <c r="C45797" s="1">
        <v>1.18021842060618E-2</v>
      </c>
      <c r="D45797" s="1">
        <v>5.5078136843062604E-3</v>
      </c>
      <c r="E45797" s="1">
        <v>3.39287170703857E-3</v>
      </c>
      <c r="F45797" s="1">
        <v>1.1074442881864301E-2</v>
      </c>
    </row>
    <row r="45798" spans="1:6" x14ac:dyDescent="0.25">
      <c r="A45798" s="2" t="str">
        <f t="shared" si="1444"/>
        <v>26420</v>
      </c>
      <c r="B45798" s="2" t="str">
        <f>"77377"</f>
        <v>77377</v>
      </c>
      <c r="C45798" s="1">
        <v>5.3225671018742003E-3</v>
      </c>
      <c r="D45798" s="1">
        <v>4.9957722898019497E-3</v>
      </c>
      <c r="E45798" s="1">
        <v>3.78435690400456E-3</v>
      </c>
      <c r="F45798" s="1">
        <v>5.2641684582747797E-3</v>
      </c>
    </row>
    <row r="45799" spans="1:6" x14ac:dyDescent="0.25">
      <c r="A45799" s="2" t="str">
        <f t="shared" si="1444"/>
        <v>26420</v>
      </c>
      <c r="B45799" s="2" t="str">
        <f>"77363"</f>
        <v>77363</v>
      </c>
      <c r="C45799" s="1">
        <v>3.3587351962889398E-5</v>
      </c>
      <c r="D45799" s="1">
        <v>3.0318240464071202E-5</v>
      </c>
      <c r="E45799" s="1">
        <v>3.2623766413832398E-5</v>
      </c>
      <c r="F45799" s="1">
        <v>3.3273085645227697E-5</v>
      </c>
    </row>
    <row r="45800" spans="1:6" x14ac:dyDescent="0.25">
      <c r="A45800" s="2" t="str">
        <f t="shared" si="1444"/>
        <v>26420</v>
      </c>
      <c r="B45800" s="2" t="str">
        <f>"77362"</f>
        <v>77362</v>
      </c>
      <c r="C45800" s="1">
        <v>1.25678387395832E-3</v>
      </c>
      <c r="D45800" s="1">
        <v>1.2632600193362999E-3</v>
      </c>
      <c r="E45800" s="1">
        <v>3.2623766413832398E-4</v>
      </c>
      <c r="F45800" s="1">
        <v>1.2399566412010499E-3</v>
      </c>
    </row>
    <row r="45801" spans="1:6" x14ac:dyDescent="0.25">
      <c r="A45801" s="2" t="str">
        <f t="shared" si="1444"/>
        <v>26420</v>
      </c>
      <c r="B45801" s="2" t="str">
        <f>"77426"</f>
        <v>77426</v>
      </c>
      <c r="C45801" s="1">
        <v>3.1530983475365502E-5</v>
      </c>
      <c r="D45801" s="1">
        <v>0</v>
      </c>
      <c r="E45801" s="1">
        <v>0</v>
      </c>
      <c r="F45801" s="1">
        <v>2.8083705315237999E-5</v>
      </c>
    </row>
    <row r="45802" spans="1:6" x14ac:dyDescent="0.25">
      <c r="A45802" s="2" t="str">
        <f t="shared" si="1444"/>
        <v>26420</v>
      </c>
      <c r="B45802" s="2" t="str">
        <f>"77422"</f>
        <v>77422</v>
      </c>
      <c r="C45802" s="1">
        <v>2.7586183260132299E-3</v>
      </c>
      <c r="D45802" s="1">
        <v>1.3777955944227901E-3</v>
      </c>
      <c r="E45802" s="1">
        <v>1.7127477367261999E-3</v>
      </c>
      <c r="F45802" s="1">
        <v>2.61392139798242E-3</v>
      </c>
    </row>
    <row r="45803" spans="1:6" x14ac:dyDescent="0.25">
      <c r="A45803" s="2" t="str">
        <f t="shared" si="1444"/>
        <v>26420</v>
      </c>
      <c r="B45803" s="2" t="str">
        <f>"77388"</f>
        <v>77388</v>
      </c>
      <c r="C45803" s="1">
        <v>6.3504086175548702E-3</v>
      </c>
      <c r="D45803" s="1">
        <v>4.5612108431502601E-3</v>
      </c>
      <c r="E45803" s="1">
        <v>3.8169806704183898E-3</v>
      </c>
      <c r="F45803" s="1">
        <v>6.1408684763765596E-3</v>
      </c>
    </row>
    <row r="45804" spans="1:6" x14ac:dyDescent="0.25">
      <c r="A45804" s="2" t="str">
        <f t="shared" si="1444"/>
        <v>26420</v>
      </c>
      <c r="B45804" s="2" t="str">
        <f>"77386"</f>
        <v>77386</v>
      </c>
      <c r="C45804" s="1">
        <v>7.7953502081216201E-3</v>
      </c>
      <c r="D45804" s="1">
        <v>3.6920879498468901E-3</v>
      </c>
      <c r="E45804" s="1">
        <v>3.2460647581763302E-3</v>
      </c>
      <c r="F45804" s="1">
        <v>7.3383943019382902E-3</v>
      </c>
    </row>
    <row r="45805" spans="1:6" x14ac:dyDescent="0.25">
      <c r="A45805" s="2" t="str">
        <f t="shared" si="1444"/>
        <v>26420</v>
      </c>
      <c r="B45805" s="2" t="str">
        <f>"77413"</f>
        <v>77413</v>
      </c>
      <c r="C45805" s="1">
        <v>9.1851125776064801E-5</v>
      </c>
      <c r="D45805" s="1">
        <v>8.5227942637889004E-4</v>
      </c>
      <c r="E45805" s="1">
        <v>1.6311883206916199E-5</v>
      </c>
      <c r="F45805" s="1">
        <v>1.5934450189732899E-4</v>
      </c>
    </row>
    <row r="45806" spans="1:6" x14ac:dyDescent="0.25">
      <c r="A45806" s="2" t="str">
        <f t="shared" si="1444"/>
        <v>26420</v>
      </c>
      <c r="B45806" s="2" t="str">
        <f>"77410"</f>
        <v>77410</v>
      </c>
      <c r="C45806" s="1">
        <v>4.9764117398076897E-4</v>
      </c>
      <c r="D45806" s="1">
        <v>3.5000724269077699E-3</v>
      </c>
      <c r="E45806" s="1">
        <v>3.2623766413832398E-5</v>
      </c>
      <c r="F45806" s="1">
        <v>7.6100736250965702E-4</v>
      </c>
    </row>
    <row r="45807" spans="1:6" x14ac:dyDescent="0.25">
      <c r="A45807" s="2" t="str">
        <f t="shared" si="1444"/>
        <v>26420</v>
      </c>
      <c r="B45807" s="2" t="str">
        <f>"77379"</f>
        <v>77379</v>
      </c>
      <c r="C45807" s="1">
        <v>1.0316800701907099E-2</v>
      </c>
      <c r="D45807" s="1">
        <v>7.9635911618960303E-3</v>
      </c>
      <c r="E45807" s="1">
        <v>6.1495799690074199E-3</v>
      </c>
      <c r="F45807" s="1">
        <v>1.0025577539873501E-2</v>
      </c>
    </row>
    <row r="45808" spans="1:6" x14ac:dyDescent="0.25">
      <c r="A45808" s="2" t="str">
        <f t="shared" si="1444"/>
        <v>26420</v>
      </c>
      <c r="B45808" s="2" t="str">
        <f>"77347"</f>
        <v>77347</v>
      </c>
      <c r="C45808" s="1">
        <v>9.1542670502936302E-4</v>
      </c>
      <c r="D45808" s="1">
        <v>2.4153531569709999E-3</v>
      </c>
      <c r="E45808" s="1">
        <v>3.2623766413832398E-5</v>
      </c>
      <c r="F45808" s="1">
        <v>1.03482348933322E-3</v>
      </c>
    </row>
    <row r="45809" spans="1:6" x14ac:dyDescent="0.25">
      <c r="A45809" s="2" t="str">
        <f t="shared" si="1444"/>
        <v>26420</v>
      </c>
      <c r="B45809" s="2" t="str">
        <f>"77094"</f>
        <v>77094</v>
      </c>
      <c r="C45809" s="1">
        <v>1.6992458268571999E-3</v>
      </c>
      <c r="D45809" s="1">
        <v>2.8195963631586201E-3</v>
      </c>
      <c r="E45809" s="1">
        <v>1.0602724084495499E-3</v>
      </c>
      <c r="F45809" s="1">
        <v>1.78880992551407E-3</v>
      </c>
    </row>
    <row r="45810" spans="1:6" x14ac:dyDescent="0.25">
      <c r="A45810" s="2" t="str">
        <f t="shared" si="1444"/>
        <v>26420</v>
      </c>
      <c r="B45810" s="2" t="str">
        <f>"77087"</f>
        <v>77087</v>
      </c>
      <c r="C45810" s="1">
        <v>4.1127369750476803E-3</v>
      </c>
      <c r="D45810" s="1">
        <v>6.2051332149799E-3</v>
      </c>
      <c r="E45810" s="1">
        <v>6.6226245820079901E-3</v>
      </c>
      <c r="F45810" s="1">
        <v>4.3493112318642602E-3</v>
      </c>
    </row>
    <row r="45811" spans="1:6" x14ac:dyDescent="0.25">
      <c r="A45811" s="2" t="str">
        <f t="shared" si="1444"/>
        <v>26420</v>
      </c>
      <c r="B45811" s="2" t="str">
        <f>"77086"</f>
        <v>77086</v>
      </c>
      <c r="C45811" s="1">
        <v>3.0029834479473102E-3</v>
      </c>
      <c r="D45811" s="1">
        <v>4.1232807031136801E-3</v>
      </c>
      <c r="E45811" s="1">
        <v>4.2737134002120503E-3</v>
      </c>
      <c r="F45811" s="1">
        <v>3.1282805659843399E-3</v>
      </c>
    </row>
    <row r="45812" spans="1:6" x14ac:dyDescent="0.25">
      <c r="A45812" s="2" t="str">
        <f t="shared" si="1444"/>
        <v>26420</v>
      </c>
      <c r="B45812" s="2" t="str">
        <f>"77090"</f>
        <v>77090</v>
      </c>
      <c r="C45812" s="1">
        <v>6.1725327433840597E-3</v>
      </c>
      <c r="D45812" s="1">
        <v>6.7946545573368397E-3</v>
      </c>
      <c r="E45812" s="1">
        <v>6.5410651659734099E-3</v>
      </c>
      <c r="F45812" s="1">
        <v>6.2358036106487302E-3</v>
      </c>
    </row>
    <row r="45813" spans="1:6" x14ac:dyDescent="0.25">
      <c r="A45813" s="2" t="str">
        <f t="shared" si="1444"/>
        <v>26420</v>
      </c>
      <c r="B45813" s="2" t="str">
        <f>"77339"</f>
        <v>77339</v>
      </c>
      <c r="C45813" s="1">
        <v>6.3109948882106599E-3</v>
      </c>
      <c r="D45813" s="1">
        <v>6.0198550788105798E-3</v>
      </c>
      <c r="E45813" s="1">
        <v>4.3878965826604603E-3</v>
      </c>
      <c r="F45813" s="1">
        <v>6.2486244326404603E-3</v>
      </c>
    </row>
    <row r="45814" spans="1:6" x14ac:dyDescent="0.25">
      <c r="A45814" s="2" t="str">
        <f t="shared" si="1444"/>
        <v>26420</v>
      </c>
      <c r="B45814" s="2" t="str">
        <f>"77336"</f>
        <v>77336</v>
      </c>
      <c r="C45814" s="1">
        <v>2.3888147263401902E-3</v>
      </c>
      <c r="D45814" s="1">
        <v>1.42158860842644E-3</v>
      </c>
      <c r="E45814" s="1">
        <v>6.3616344506973305E-4</v>
      </c>
      <c r="F45814" s="1">
        <v>2.2683697195384099E-3</v>
      </c>
    </row>
    <row r="45815" spans="1:6" x14ac:dyDescent="0.25">
      <c r="A45815" s="2" t="str">
        <f t="shared" si="1444"/>
        <v>26420</v>
      </c>
      <c r="B45815" s="2" t="str">
        <f>"77279"</f>
        <v>77279</v>
      </c>
      <c r="C45815" s="1">
        <v>1.5148581191425599E-4</v>
      </c>
      <c r="D45815" s="1">
        <v>9.870271617747619E-4</v>
      </c>
      <c r="E45815" s="1">
        <v>1.6311883206916199E-5</v>
      </c>
      <c r="F45815" s="1">
        <v>2.2466964252190399E-4</v>
      </c>
    </row>
    <row r="45816" spans="1:6" x14ac:dyDescent="0.25">
      <c r="A45816" s="2" t="str">
        <f t="shared" si="1444"/>
        <v>26420</v>
      </c>
      <c r="B45816" s="2" t="str">
        <f>"77302"</f>
        <v>77302</v>
      </c>
      <c r="C45816" s="1">
        <v>2.5882824696300002E-3</v>
      </c>
      <c r="D45816" s="1">
        <v>7.6469339837157303E-4</v>
      </c>
      <c r="E45816" s="1">
        <v>4.4042084658673801E-4</v>
      </c>
      <c r="F45816" s="1">
        <v>2.3828413444646501E-3</v>
      </c>
    </row>
    <row r="45817" spans="1:6" x14ac:dyDescent="0.25">
      <c r="A45817" s="2" t="str">
        <f t="shared" si="1444"/>
        <v>26420</v>
      </c>
      <c r="B45817" s="2" t="str">
        <f>"77290"</f>
        <v>77290</v>
      </c>
      <c r="C45817" s="1">
        <v>1.8096042690209801E-4</v>
      </c>
      <c r="D45817" s="1">
        <v>5.9962742251163E-4</v>
      </c>
      <c r="E45817" s="1">
        <v>1.6311883206916199E-5</v>
      </c>
      <c r="F45817" s="1">
        <v>2.15817170194275E-4</v>
      </c>
    </row>
    <row r="45818" spans="1:6" x14ac:dyDescent="0.25">
      <c r="A45818" s="2" t="str">
        <f t="shared" si="1444"/>
        <v>26420</v>
      </c>
      <c r="B45818" s="2" t="str">
        <f>"77327"</f>
        <v>77327</v>
      </c>
      <c r="C45818" s="1">
        <v>4.7436993726362401E-3</v>
      </c>
      <c r="D45818" s="1">
        <v>2.7724346557700601E-3</v>
      </c>
      <c r="E45818" s="1">
        <v>2.4141587146235999E-3</v>
      </c>
      <c r="F45818" s="1">
        <v>4.5214765557533201E-3</v>
      </c>
    </row>
    <row r="45819" spans="1:6" x14ac:dyDescent="0.25">
      <c r="A45819" s="2" t="str">
        <f t="shared" si="1444"/>
        <v>26420</v>
      </c>
      <c r="B45819" s="2" t="str">
        <f>"77265"</f>
        <v>77265</v>
      </c>
      <c r="C45819" s="1">
        <v>1.8301679538962101E-4</v>
      </c>
      <c r="D45819" s="1">
        <v>7.9501163883564398E-4</v>
      </c>
      <c r="E45819" s="1">
        <v>3.2623766413832398E-5</v>
      </c>
      <c r="F45819" s="1">
        <v>2.3565891851482301E-4</v>
      </c>
    </row>
    <row r="45820" spans="1:6" x14ac:dyDescent="0.25">
      <c r="A45820" s="2" t="str">
        <f t="shared" si="1444"/>
        <v>26420</v>
      </c>
      <c r="B45820" s="2" t="str">
        <f>"77245"</f>
        <v>77245</v>
      </c>
      <c r="C45820" s="1">
        <v>3.6192085380419602E-4</v>
      </c>
      <c r="D45820" s="1">
        <v>1.1015627368612499E-3</v>
      </c>
      <c r="E45820" s="1">
        <v>1.6311883206916199E-5</v>
      </c>
      <c r="F45820" s="1">
        <v>4.2247661039445002E-4</v>
      </c>
    </row>
    <row r="45821" spans="1:6" x14ac:dyDescent="0.25">
      <c r="A45821" s="2" t="str">
        <f t="shared" si="1444"/>
        <v>26420</v>
      </c>
      <c r="B45821" s="2" t="str">
        <f>"77233"</f>
        <v>77233</v>
      </c>
      <c r="C45821" s="1">
        <v>4.23611908429911E-4</v>
      </c>
      <c r="D45821" s="1">
        <v>7.20900384367915E-4</v>
      </c>
      <c r="E45821" s="1">
        <v>3.2623766413832398E-5</v>
      </c>
      <c r="F45821" s="1">
        <v>4.43234131714409E-4</v>
      </c>
    </row>
    <row r="45822" spans="1:6" x14ac:dyDescent="0.25">
      <c r="A45822" s="2" t="str">
        <f t="shared" si="1444"/>
        <v>26420</v>
      </c>
      <c r="B45822" s="2" t="str">
        <f>"77215"</f>
        <v>77215</v>
      </c>
      <c r="C45822" s="1">
        <v>5.8743593126931001E-4</v>
      </c>
      <c r="D45822" s="1">
        <v>9.4323414777110399E-4</v>
      </c>
      <c r="E45822" s="1">
        <v>1.6311883206916199E-5</v>
      </c>
      <c r="F45822" s="1">
        <v>6.0898904460760797E-4</v>
      </c>
    </row>
    <row r="45823" spans="1:6" x14ac:dyDescent="0.25">
      <c r="A45823" s="2" t="str">
        <f t="shared" si="1444"/>
        <v>26420</v>
      </c>
      <c r="B45823" s="2" t="str">
        <f>"77069"</f>
        <v>77069</v>
      </c>
      <c r="C45823" s="1">
        <v>3.0800972662294499E-3</v>
      </c>
      <c r="D45823" s="1">
        <v>4.30182145251321E-3</v>
      </c>
      <c r="E45823" s="1">
        <v>3.8006687872114801E-3</v>
      </c>
      <c r="F45823" s="1">
        <v>3.2042897249353599E-3</v>
      </c>
    </row>
    <row r="45824" spans="1:6" x14ac:dyDescent="0.25">
      <c r="A45824" s="2" t="str">
        <f t="shared" si="1444"/>
        <v>26420</v>
      </c>
      <c r="B45824" s="2" t="str">
        <f>"77074"</f>
        <v>77074</v>
      </c>
      <c r="C45824" s="1">
        <v>5.3410744182619202E-3</v>
      </c>
      <c r="D45824" s="1">
        <v>8.8023958147353306E-3</v>
      </c>
      <c r="E45824" s="1">
        <v>6.4105701003180802E-3</v>
      </c>
      <c r="F45824" s="1">
        <v>5.6747400196769E-3</v>
      </c>
    </row>
    <row r="45825" spans="1:6" x14ac:dyDescent="0.25">
      <c r="A45825" s="2" t="str">
        <f t="shared" si="1444"/>
        <v>26420</v>
      </c>
      <c r="B45825" s="2" t="str">
        <f>"77061"</f>
        <v>77061</v>
      </c>
      <c r="C45825" s="1">
        <v>3.3559933716389E-3</v>
      </c>
      <c r="D45825" s="1">
        <v>3.5775523747604001E-3</v>
      </c>
      <c r="E45825" s="1">
        <v>3.5723024223146501E-3</v>
      </c>
      <c r="F45825" s="1">
        <v>3.3801181408220698E-3</v>
      </c>
    </row>
    <row r="45826" spans="1:6" x14ac:dyDescent="0.25">
      <c r="A45826" s="2" t="str">
        <f t="shared" si="1444"/>
        <v>26420</v>
      </c>
      <c r="B45826" s="2" t="str">
        <f>"77067"</f>
        <v>77067</v>
      </c>
      <c r="C45826" s="1">
        <v>3.7281960678807202E-3</v>
      </c>
      <c r="D45826" s="1">
        <v>2.9846623390185601E-3</v>
      </c>
      <c r="E45826" s="1">
        <v>3.1971291085555798E-3</v>
      </c>
      <c r="F45826" s="1">
        <v>3.6508816909809399E-3</v>
      </c>
    </row>
    <row r="45827" spans="1:6" x14ac:dyDescent="0.25">
      <c r="A45827" s="2" t="str">
        <f t="shared" si="1444"/>
        <v>26420</v>
      </c>
      <c r="B45827" s="2" t="str">
        <f>"77032"</f>
        <v>77032</v>
      </c>
      <c r="C45827" s="1">
        <v>1.6392684126377501E-3</v>
      </c>
      <c r="D45827" s="1">
        <v>6.4207295916133E-3</v>
      </c>
      <c r="E45827" s="1">
        <v>5.1708669765924403E-3</v>
      </c>
      <c r="F45827" s="1">
        <v>2.13863521128867E-3</v>
      </c>
    </row>
    <row r="45828" spans="1:6" x14ac:dyDescent="0.25">
      <c r="A45828" s="2" t="str">
        <f t="shared" si="1444"/>
        <v>26420</v>
      </c>
      <c r="B45828" s="2" t="str">
        <f>"77036"</f>
        <v>77036</v>
      </c>
      <c r="C45828" s="1">
        <v>1.05066720589218E-2</v>
      </c>
      <c r="D45828" s="1">
        <v>2.1061071042374702E-2</v>
      </c>
      <c r="E45828" s="1">
        <v>1.5724655411467201E-2</v>
      </c>
      <c r="F45828" s="1">
        <v>1.1560718344551E-2</v>
      </c>
    </row>
    <row r="45829" spans="1:6" x14ac:dyDescent="0.25">
      <c r="A45829" s="2" t="str">
        <f t="shared" si="1444"/>
        <v>26420</v>
      </c>
      <c r="B45829" s="2" t="str">
        <f>"77049"</f>
        <v>77049</v>
      </c>
      <c r="C45829" s="1">
        <v>4.3279702100751704E-3</v>
      </c>
      <c r="D45829" s="1">
        <v>2.1088020589453901E-3</v>
      </c>
      <c r="E45829" s="1">
        <v>1.7616833863469501E-3</v>
      </c>
      <c r="F45829" s="1">
        <v>4.0788529393718503E-3</v>
      </c>
    </row>
    <row r="45830" spans="1:6" x14ac:dyDescent="0.25">
      <c r="A45830" s="2" t="str">
        <f t="shared" si="1444"/>
        <v>26420</v>
      </c>
      <c r="B45830" s="2" t="str">
        <f>"77048"</f>
        <v>77048</v>
      </c>
      <c r="C45830" s="1">
        <v>2.8395021531891699E-3</v>
      </c>
      <c r="D45830" s="1">
        <v>7.6469339837157303E-4</v>
      </c>
      <c r="E45830" s="1">
        <v>8.8084169317347602E-4</v>
      </c>
      <c r="F45830" s="1">
        <v>2.6148371709818299E-3</v>
      </c>
    </row>
    <row r="45831" spans="1:6" x14ac:dyDescent="0.25">
      <c r="A45831" s="2" t="str">
        <f t="shared" si="1444"/>
        <v>26420</v>
      </c>
      <c r="B45831" s="2" t="str">
        <f>"77025"</f>
        <v>77025</v>
      </c>
      <c r="C45831" s="1">
        <v>5.4366955529317803E-3</v>
      </c>
      <c r="D45831" s="1">
        <v>3.0250866596373202E-3</v>
      </c>
      <c r="E45831" s="1">
        <v>5.6765353560068498E-3</v>
      </c>
      <c r="F45831" s="1">
        <v>5.2226534156348701E-3</v>
      </c>
    </row>
    <row r="45832" spans="1:6" x14ac:dyDescent="0.25">
      <c r="A45832" s="2" t="str">
        <f t="shared" si="1444"/>
        <v>26420</v>
      </c>
      <c r="B45832" s="2" t="str">
        <f>"77020"</f>
        <v>77020</v>
      </c>
      <c r="C45832" s="1">
        <v>3.5198173944783E-3</v>
      </c>
      <c r="D45832" s="1">
        <v>4.2041293443512004E-3</v>
      </c>
      <c r="E45832" s="1">
        <v>8.1885653698719509E-3</v>
      </c>
      <c r="F45832" s="1">
        <v>3.6691971509691399E-3</v>
      </c>
    </row>
    <row r="45833" spans="1:6" x14ac:dyDescent="0.25">
      <c r="A45833" s="2" t="str">
        <f t="shared" si="1444"/>
        <v>26420</v>
      </c>
      <c r="B45833" s="2" t="str">
        <f>"78940"</f>
        <v>78940</v>
      </c>
      <c r="C45833" s="1">
        <v>3.3930080044143299E-5</v>
      </c>
      <c r="D45833" s="1">
        <v>2.02121603093808E-5</v>
      </c>
      <c r="E45833" s="1">
        <v>0</v>
      </c>
      <c r="F45833" s="1">
        <v>3.2052054979347698E-5</v>
      </c>
    </row>
    <row r="45834" spans="1:6" x14ac:dyDescent="0.25">
      <c r="A45834" s="2" t="str">
        <f t="shared" si="1444"/>
        <v>26420</v>
      </c>
      <c r="B45834" s="2" t="str">
        <f>"77623"</f>
        <v>77623</v>
      </c>
      <c r="C45834" s="1">
        <v>0</v>
      </c>
      <c r="D45834" s="1">
        <v>3.3686933848968001E-6</v>
      </c>
      <c r="E45834" s="1">
        <v>0</v>
      </c>
      <c r="F45834" s="1">
        <v>3.05257666469978E-7</v>
      </c>
    </row>
    <row r="45835" spans="1:6" x14ac:dyDescent="0.25">
      <c r="A45835" s="2" t="str">
        <f t="shared" si="1444"/>
        <v>26420</v>
      </c>
      <c r="B45835" s="2" t="str">
        <f>"77547"</f>
        <v>77547</v>
      </c>
      <c r="C45835" s="1">
        <v>1.26295297942089E-3</v>
      </c>
      <c r="D45835" s="1">
        <v>1.1083001236310401E-3</v>
      </c>
      <c r="E45835" s="1">
        <v>1.63118832069162E-3</v>
      </c>
      <c r="F45835" s="1">
        <v>1.25583003985749E-3</v>
      </c>
    </row>
    <row r="45836" spans="1:6" x14ac:dyDescent="0.25">
      <c r="A45836" s="2" t="str">
        <f t="shared" si="1444"/>
        <v>26420</v>
      </c>
      <c r="B45836" s="2" t="str">
        <f>"77546"</f>
        <v>77546</v>
      </c>
      <c r="C45836" s="1">
        <v>6.82919974706667E-3</v>
      </c>
      <c r="D45836" s="1">
        <v>5.0766209310394699E-3</v>
      </c>
      <c r="E45836" s="1">
        <v>3.67017372155615E-3</v>
      </c>
      <c r="F45836" s="1">
        <v>6.6112705404067999E-3</v>
      </c>
    </row>
    <row r="45837" spans="1:6" x14ac:dyDescent="0.25">
      <c r="A45837" s="2" t="str">
        <f t="shared" si="1444"/>
        <v>26420</v>
      </c>
      <c r="B45837" s="2" t="str">
        <f>"77541"</f>
        <v>77541</v>
      </c>
      <c r="C45837" s="1">
        <v>2.9868752281283699E-3</v>
      </c>
      <c r="D45837" s="1">
        <v>2.7589598822304702E-3</v>
      </c>
      <c r="E45837" s="1">
        <v>2.4141587146235999E-3</v>
      </c>
      <c r="F45837" s="1">
        <v>2.9555047267623299E-3</v>
      </c>
    </row>
    <row r="45838" spans="1:6" x14ac:dyDescent="0.25">
      <c r="A45838" s="2" t="str">
        <f t="shared" si="1444"/>
        <v>26420</v>
      </c>
      <c r="B45838" s="2" t="str">
        <f>"77598"</f>
        <v>77598</v>
      </c>
      <c r="C45838" s="1">
        <v>4.5692507792779698E-3</v>
      </c>
      <c r="D45838" s="1">
        <v>7.5189236350896504E-3</v>
      </c>
      <c r="E45838" s="1">
        <v>6.8836147133186504E-3</v>
      </c>
      <c r="F45838" s="1">
        <v>4.8798490561890798E-3</v>
      </c>
    </row>
    <row r="45839" spans="1:6" x14ac:dyDescent="0.25">
      <c r="A45839" s="2" t="str">
        <f t="shared" ref="A45839:A45873" si="1445">"26420"</f>
        <v>26420</v>
      </c>
      <c r="B45839" s="2" t="str">
        <f>"77588"</f>
        <v>77588</v>
      </c>
      <c r="C45839" s="1">
        <v>5.4253855262503998E-4</v>
      </c>
      <c r="D45839" s="1">
        <v>2.18291331341312E-3</v>
      </c>
      <c r="E45839" s="1">
        <v>1.6311883206916199E-5</v>
      </c>
      <c r="F45839" s="1">
        <v>6.8133511156099301E-4</v>
      </c>
    </row>
    <row r="45840" spans="1:6" x14ac:dyDescent="0.25">
      <c r="A45840" s="2" t="str">
        <f t="shared" si="1445"/>
        <v>26420</v>
      </c>
      <c r="B45840" s="2" t="str">
        <f>"77531"</f>
        <v>77531</v>
      </c>
      <c r="C45840" s="1">
        <v>3.2034793754808898E-3</v>
      </c>
      <c r="D45840" s="1">
        <v>2.9509754051695899E-3</v>
      </c>
      <c r="E45840" s="1">
        <v>3.6212380719354001E-3</v>
      </c>
      <c r="F45840" s="1">
        <v>3.18841632627893E-3</v>
      </c>
    </row>
    <row r="45841" spans="1:6" x14ac:dyDescent="0.25">
      <c r="A45841" s="2" t="str">
        <f t="shared" si="1445"/>
        <v>26420</v>
      </c>
      <c r="B45841" s="2" t="str">
        <f>"77553"</f>
        <v>77553</v>
      </c>
      <c r="C45841" s="1">
        <v>5.64815877906548E-4</v>
      </c>
      <c r="D45841" s="1">
        <v>9.8028977500496804E-4</v>
      </c>
      <c r="E45841" s="1">
        <v>3.2623766413832398E-5</v>
      </c>
      <c r="F45841" s="1">
        <v>5.9250513061822902E-4</v>
      </c>
    </row>
    <row r="45842" spans="1:6" x14ac:dyDescent="0.25">
      <c r="A45842" s="2" t="str">
        <f t="shared" si="1445"/>
        <v>26420</v>
      </c>
      <c r="B45842" s="2" t="str">
        <f>"77554"</f>
        <v>77554</v>
      </c>
      <c r="C45842" s="1">
        <v>2.5985643120676198E-3</v>
      </c>
      <c r="D45842" s="1">
        <v>1.28010348626078E-3</v>
      </c>
      <c r="E45842" s="1">
        <v>2.1694804665198502E-3</v>
      </c>
      <c r="F45842" s="1">
        <v>2.4710608100744699E-3</v>
      </c>
    </row>
    <row r="45843" spans="1:6" x14ac:dyDescent="0.25">
      <c r="A45843" s="2" t="str">
        <f t="shared" si="1445"/>
        <v>26420</v>
      </c>
      <c r="B45843" s="2" t="str">
        <f>"77464"</f>
        <v>77464</v>
      </c>
      <c r="C45843" s="1">
        <v>0</v>
      </c>
      <c r="D45843" s="1">
        <v>3.3686933848968001E-6</v>
      </c>
      <c r="E45843" s="1">
        <v>0</v>
      </c>
      <c r="F45843" s="1">
        <v>3.05257666469978E-7</v>
      </c>
    </row>
    <row r="45844" spans="1:6" x14ac:dyDescent="0.25">
      <c r="A45844" s="2" t="str">
        <f t="shared" si="1445"/>
        <v>26420</v>
      </c>
      <c r="B45844" s="2" t="str">
        <f>"77469"</f>
        <v>77469</v>
      </c>
      <c r="C45844" s="1">
        <v>7.0574566491818204E-3</v>
      </c>
      <c r="D45844" s="1">
        <v>3.1800465553425698E-3</v>
      </c>
      <c r="E45844" s="1">
        <v>3.3439360574178201E-3</v>
      </c>
      <c r="F45844" s="1">
        <v>6.6366069267238103E-3</v>
      </c>
    </row>
    <row r="45845" spans="1:6" x14ac:dyDescent="0.25">
      <c r="A45845" s="2" t="str">
        <f t="shared" si="1445"/>
        <v>26420</v>
      </c>
      <c r="B45845" s="2" t="str">
        <f>"77510"</f>
        <v>77510</v>
      </c>
      <c r="C45845" s="1">
        <v>2.4978022561789499E-3</v>
      </c>
      <c r="D45845" s="1">
        <v>1.47548770258479E-3</v>
      </c>
      <c r="E45845" s="1">
        <v>1.46806948862246E-3</v>
      </c>
      <c r="F45845" s="1">
        <v>2.3858939211293499E-3</v>
      </c>
    </row>
    <row r="45846" spans="1:6" x14ac:dyDescent="0.25">
      <c r="A45846" s="2" t="str">
        <f t="shared" si="1445"/>
        <v>26420</v>
      </c>
      <c r="B45846" s="2" t="str">
        <f>"77501"</f>
        <v>77501</v>
      </c>
      <c r="C45846" s="1">
        <v>4.9112934043694402E-4</v>
      </c>
      <c r="D45846" s="1">
        <v>7.5795601160178003E-4</v>
      </c>
      <c r="E45846" s="1">
        <v>4.8935649620748699E-5</v>
      </c>
      <c r="F45846" s="1">
        <v>5.07032984006635E-4</v>
      </c>
    </row>
    <row r="45847" spans="1:6" x14ac:dyDescent="0.25">
      <c r="A45847" s="2" t="str">
        <f t="shared" si="1445"/>
        <v>26420</v>
      </c>
      <c r="B45847" s="2" t="str">
        <f>"77504"</f>
        <v>77504</v>
      </c>
      <c r="C45847" s="1">
        <v>3.5359256142972399E-3</v>
      </c>
      <c r="D45847" s="1">
        <v>3.5741836813755002E-3</v>
      </c>
      <c r="E45847" s="1">
        <v>6.3126988010765803E-3</v>
      </c>
      <c r="F45847" s="1">
        <v>3.5913564460193E-3</v>
      </c>
    </row>
    <row r="45848" spans="1:6" x14ac:dyDescent="0.25">
      <c r="A45848" s="2" t="str">
        <f t="shared" si="1445"/>
        <v>26420</v>
      </c>
      <c r="B45848" s="2" t="str">
        <f>"77444"</f>
        <v>77444</v>
      </c>
      <c r="C45848" s="1">
        <v>1.5491309272679601E-4</v>
      </c>
      <c r="D45848" s="1">
        <v>3.3686933848967999E-5</v>
      </c>
      <c r="E45848" s="1">
        <v>3.2623766413832398E-5</v>
      </c>
      <c r="F45848" s="1">
        <v>1.4163955724207E-4</v>
      </c>
    </row>
    <row r="45849" spans="1:6" x14ac:dyDescent="0.25">
      <c r="A45849" s="2" t="str">
        <f t="shared" si="1445"/>
        <v>26420</v>
      </c>
      <c r="B45849" s="2" t="str">
        <f>"77479"</f>
        <v>77479</v>
      </c>
      <c r="C45849" s="1">
        <v>1.06759797310612E-2</v>
      </c>
      <c r="D45849" s="1">
        <v>5.2079999730504497E-3</v>
      </c>
      <c r="E45849" s="1">
        <v>3.6375499551423202E-3</v>
      </c>
      <c r="F45849" s="1">
        <v>1.00487771225252E-2</v>
      </c>
    </row>
    <row r="45850" spans="1:6" x14ac:dyDescent="0.25">
      <c r="A45850" s="2" t="str">
        <f t="shared" si="1445"/>
        <v>26420</v>
      </c>
      <c r="B45850" s="2" t="str">
        <f>"77478"</f>
        <v>77478</v>
      </c>
      <c r="C45850" s="1">
        <v>3.3649043017515098E-3</v>
      </c>
      <c r="D45850" s="1">
        <v>8.49584471670972E-3</v>
      </c>
      <c r="E45850" s="1">
        <v>5.2034907430062796E-3</v>
      </c>
      <c r="F45850" s="1">
        <v>3.8642567998434601E-3</v>
      </c>
    </row>
    <row r="45851" spans="1:6" x14ac:dyDescent="0.25">
      <c r="A45851" s="2" t="str">
        <f t="shared" si="1445"/>
        <v>26420</v>
      </c>
      <c r="B45851" s="2" t="str">
        <f>"77378"</f>
        <v>77378</v>
      </c>
      <c r="C45851" s="1">
        <v>2.5505823806920699E-3</v>
      </c>
      <c r="D45851" s="1">
        <v>2.0616403515568401E-3</v>
      </c>
      <c r="E45851" s="1">
        <v>1.1744555908979599E-3</v>
      </c>
      <c r="F45851" s="1">
        <v>2.48052379773504E-3</v>
      </c>
    </row>
    <row r="45852" spans="1:6" x14ac:dyDescent="0.25">
      <c r="A45852" s="2" t="str">
        <f t="shared" si="1445"/>
        <v>26420</v>
      </c>
      <c r="B45852" s="2" t="str">
        <f>"77371"</f>
        <v>77371</v>
      </c>
      <c r="C45852" s="1">
        <v>4.7981931375556198E-6</v>
      </c>
      <c r="D45852" s="1">
        <v>0</v>
      </c>
      <c r="E45852" s="1">
        <v>0</v>
      </c>
      <c r="F45852" s="1">
        <v>4.2736073305797002E-6</v>
      </c>
    </row>
    <row r="45853" spans="1:6" x14ac:dyDescent="0.25">
      <c r="A45853" s="2" t="str">
        <f t="shared" si="1445"/>
        <v>26420</v>
      </c>
      <c r="B45853" s="2" t="str">
        <f>"77429"</f>
        <v>77429</v>
      </c>
      <c r="C45853" s="1">
        <v>1.10923943497848E-2</v>
      </c>
      <c r="D45853" s="1">
        <v>6.7340180764087001E-3</v>
      </c>
      <c r="E45853" s="1">
        <v>4.9588124949025304E-3</v>
      </c>
      <c r="F45853" s="1">
        <v>1.0582672781181199E-2</v>
      </c>
    </row>
    <row r="45854" spans="1:6" x14ac:dyDescent="0.25">
      <c r="A45854" s="2" t="str">
        <f t="shared" si="1445"/>
        <v>26420</v>
      </c>
      <c r="B45854" s="2" t="str">
        <f>"77387"</f>
        <v>77387</v>
      </c>
      <c r="C45854" s="1">
        <v>3.82484538679434E-4</v>
      </c>
      <c r="D45854" s="1">
        <v>2.8398085234679999E-3</v>
      </c>
      <c r="E45854" s="1">
        <v>3.2623766413832398E-5</v>
      </c>
      <c r="F45854" s="1">
        <v>5.9861028394762796E-4</v>
      </c>
    </row>
    <row r="45855" spans="1:6" x14ac:dyDescent="0.25">
      <c r="A45855" s="2" t="str">
        <f t="shared" si="1445"/>
        <v>26420</v>
      </c>
      <c r="B45855" s="2" t="str">
        <f>"77401"</f>
        <v>77401</v>
      </c>
      <c r="C45855" s="1">
        <v>2.26029169586995E-3</v>
      </c>
      <c r="D45855" s="1">
        <v>3.5876584549150901E-3</v>
      </c>
      <c r="E45855" s="1">
        <v>1.5170051382432099E-3</v>
      </c>
      <c r="F45855" s="1">
        <v>2.3666626881417401E-3</v>
      </c>
    </row>
    <row r="45856" spans="1:6" x14ac:dyDescent="0.25">
      <c r="A45856" s="2" t="str">
        <f t="shared" si="1445"/>
        <v>26420</v>
      </c>
      <c r="B45856" s="2" t="str">
        <f>"77418"</f>
        <v>77418</v>
      </c>
      <c r="C45856" s="1">
        <v>2.1310832092371998E-3</v>
      </c>
      <c r="D45856" s="1">
        <v>2.1054333655605001E-3</v>
      </c>
      <c r="E45856" s="1">
        <v>1.23970312372563E-3</v>
      </c>
      <c r="F45856" s="1">
        <v>2.11207779430578E-3</v>
      </c>
    </row>
    <row r="45857" spans="1:6" x14ac:dyDescent="0.25">
      <c r="A45857" s="2" t="str">
        <f t="shared" si="1445"/>
        <v>26420</v>
      </c>
      <c r="B45857" s="2" t="str">
        <f>"77357"</f>
        <v>77357</v>
      </c>
      <c r="C45857" s="1">
        <v>3.8121644477879398E-3</v>
      </c>
      <c r="D45857" s="1">
        <v>1.65739714536922E-3</v>
      </c>
      <c r="E45857" s="1">
        <v>1.6475002038985401E-3</v>
      </c>
      <c r="F45857" s="1">
        <v>3.57639882036227E-3</v>
      </c>
    </row>
    <row r="45858" spans="1:6" x14ac:dyDescent="0.25">
      <c r="A45858" s="2" t="str">
        <f t="shared" si="1445"/>
        <v>26420</v>
      </c>
      <c r="B45858" s="2" t="str">
        <f>"77381"</f>
        <v>77381</v>
      </c>
      <c r="C45858" s="1">
        <v>4.8746214996752604E-3</v>
      </c>
      <c r="D45858" s="1">
        <v>1.9706856301646199E-3</v>
      </c>
      <c r="E45858" s="1">
        <v>1.8106190359677E-3</v>
      </c>
      <c r="F45858" s="1">
        <v>4.5541391260656098E-3</v>
      </c>
    </row>
    <row r="45859" spans="1:6" x14ac:dyDescent="0.25">
      <c r="A45859" s="2" t="str">
        <f t="shared" si="1445"/>
        <v>26420</v>
      </c>
      <c r="B45859" s="2" t="str">
        <f>"77346"</f>
        <v>77346</v>
      </c>
      <c r="C45859" s="1">
        <v>8.3776452181721205E-3</v>
      </c>
      <c r="D45859" s="1">
        <v>3.3114255973535501E-3</v>
      </c>
      <c r="E45859" s="1">
        <v>1.9574259848299399E-3</v>
      </c>
      <c r="F45859" s="1">
        <v>7.79841760530855E-3</v>
      </c>
    </row>
    <row r="45860" spans="1:6" x14ac:dyDescent="0.25">
      <c r="A45860" s="2" t="str">
        <f t="shared" si="1445"/>
        <v>26420</v>
      </c>
      <c r="B45860" s="2" t="str">
        <f>"77093"</f>
        <v>77093</v>
      </c>
      <c r="C45860" s="1">
        <v>4.9976608808454401E-3</v>
      </c>
      <c r="D45860" s="1">
        <v>5.18105042597127E-3</v>
      </c>
      <c r="E45860" s="1">
        <v>7.2587880270777198E-3</v>
      </c>
      <c r="F45860" s="1">
        <v>5.0565932450751996E-3</v>
      </c>
    </row>
    <row r="45861" spans="1:6" x14ac:dyDescent="0.25">
      <c r="A45861" s="2" t="str">
        <f t="shared" si="1445"/>
        <v>26420</v>
      </c>
      <c r="B45861" s="2" t="str">
        <f>"77092"</f>
        <v>77092</v>
      </c>
      <c r="C45861" s="1">
        <v>5.1004793052216299E-3</v>
      </c>
      <c r="D45861" s="1">
        <v>1.3201909375410501E-2</v>
      </c>
      <c r="E45861" s="1">
        <v>1.01623032379088E-2</v>
      </c>
      <c r="F45861" s="1">
        <v>5.9293249135128701E-3</v>
      </c>
    </row>
    <row r="45862" spans="1:6" x14ac:dyDescent="0.25">
      <c r="A45862" s="2" t="str">
        <f t="shared" si="1445"/>
        <v>26420</v>
      </c>
      <c r="B45862" s="2" t="str">
        <f>"77282"</f>
        <v>77282</v>
      </c>
      <c r="C45862" s="1">
        <v>3.01600711503496E-4</v>
      </c>
      <c r="D45862" s="1">
        <v>5.9289003574183603E-4</v>
      </c>
      <c r="E45862" s="1">
        <v>3.2623766413832398E-5</v>
      </c>
      <c r="F45862" s="1">
        <v>3.2296261112523699E-4</v>
      </c>
    </row>
    <row r="45863" spans="1:6" x14ac:dyDescent="0.25">
      <c r="A45863" s="2" t="str">
        <f t="shared" si="1445"/>
        <v>26420</v>
      </c>
      <c r="B45863" s="2" t="str">
        <f>"77284"</f>
        <v>77284</v>
      </c>
      <c r="C45863" s="1">
        <v>4.3663557551756199E-4</v>
      </c>
      <c r="D45863" s="1">
        <v>2.0279534177078699E-3</v>
      </c>
      <c r="E45863" s="1">
        <v>3.2623766413832398E-5</v>
      </c>
      <c r="F45863" s="1">
        <v>5.7327389763062002E-4</v>
      </c>
    </row>
    <row r="45864" spans="1:6" x14ac:dyDescent="0.25">
      <c r="A45864" s="2" t="str">
        <f t="shared" si="1445"/>
        <v>26420</v>
      </c>
      <c r="B45864" s="2" t="str">
        <f>"77224"</f>
        <v>77224</v>
      </c>
      <c r="C45864" s="1">
        <v>1.3811941674535101E-4</v>
      </c>
      <c r="D45864" s="1">
        <v>1.2430478590269101E-3</v>
      </c>
      <c r="E45864" s="1">
        <v>1.6311883206916199E-5</v>
      </c>
      <c r="F45864" s="1">
        <v>2.3596417618129299E-4</v>
      </c>
    </row>
    <row r="45865" spans="1:6" x14ac:dyDescent="0.25">
      <c r="A45865" s="2" t="str">
        <f t="shared" si="1445"/>
        <v>26420</v>
      </c>
      <c r="B45865" s="2" t="str">
        <f>"77267"</f>
        <v>77267</v>
      </c>
      <c r="C45865" s="1">
        <v>5.1649121844973801E-4</v>
      </c>
      <c r="D45865" s="1">
        <v>1.28010348626078E-3</v>
      </c>
      <c r="E45865" s="1">
        <v>3.2623766413832398E-5</v>
      </c>
      <c r="F45865" s="1">
        <v>5.7663173196178998E-4</v>
      </c>
    </row>
    <row r="45866" spans="1:6" x14ac:dyDescent="0.25">
      <c r="A45866" s="2" t="str">
        <f t="shared" si="1445"/>
        <v>26420</v>
      </c>
      <c r="B45866" s="2" t="str">
        <f>"77240"</f>
        <v>77240</v>
      </c>
      <c r="C45866" s="1">
        <v>1.2269665308892199E-4</v>
      </c>
      <c r="D45866" s="1">
        <v>8.2532987929971602E-4</v>
      </c>
      <c r="E45866" s="1">
        <v>1.6311883206916199E-5</v>
      </c>
      <c r="F45866" s="1">
        <v>1.8437563054786701E-4</v>
      </c>
    </row>
    <row r="45867" spans="1:6" x14ac:dyDescent="0.25">
      <c r="A45867" s="2" t="str">
        <f t="shared" si="1445"/>
        <v>26420</v>
      </c>
      <c r="B45867" s="2" t="str">
        <f>"77227"</f>
        <v>77227</v>
      </c>
      <c r="C45867" s="1">
        <v>3.1942257172870299E-4</v>
      </c>
      <c r="D45867" s="1">
        <v>1.50580594304886E-3</v>
      </c>
      <c r="E45867" s="1">
        <v>1.6311883206916199E-5</v>
      </c>
      <c r="F45867" s="1">
        <v>4.2125557972856999E-4</v>
      </c>
    </row>
    <row r="45868" spans="1:6" x14ac:dyDescent="0.25">
      <c r="A45868" s="2" t="str">
        <f t="shared" si="1445"/>
        <v>26420</v>
      </c>
      <c r="B45868" s="2" t="str">
        <f>"77042"</f>
        <v>77042</v>
      </c>
      <c r="C45868" s="1">
        <v>7.4677021624428202E-3</v>
      </c>
      <c r="D45868" s="1">
        <v>8.7552341073467797E-3</v>
      </c>
      <c r="E45868" s="1">
        <v>7.6665851072506303E-3</v>
      </c>
      <c r="F45868" s="1">
        <v>7.5880950731107297E-3</v>
      </c>
    </row>
    <row r="45869" spans="1:6" x14ac:dyDescent="0.25">
      <c r="A45869" s="2" t="str">
        <f t="shared" si="1445"/>
        <v>26420</v>
      </c>
      <c r="B45869" s="2" t="str">
        <f>"77040"</f>
        <v>77040</v>
      </c>
      <c r="C45869" s="1">
        <v>6.3216194587295401E-3</v>
      </c>
      <c r="D45869" s="1">
        <v>8.9203000832067201E-3</v>
      </c>
      <c r="E45869" s="1">
        <v>6.3942582171111597E-3</v>
      </c>
      <c r="F45869" s="1">
        <v>6.5584609641074904E-3</v>
      </c>
    </row>
    <row r="45870" spans="1:6" x14ac:dyDescent="0.25">
      <c r="A45870" s="2" t="str">
        <f t="shared" si="1445"/>
        <v>26420</v>
      </c>
      <c r="B45870" s="2" t="str">
        <f>"77039"</f>
        <v>77039</v>
      </c>
      <c r="C45870" s="1">
        <v>2.9375223844278001E-3</v>
      </c>
      <c r="D45870" s="1">
        <v>3.5337593607567401E-3</v>
      </c>
      <c r="E45870" s="1">
        <v>7.6013375744229603E-3</v>
      </c>
      <c r="F45870" s="1">
        <v>3.0788288240161999E-3</v>
      </c>
    </row>
    <row r="45871" spans="1:6" x14ac:dyDescent="0.25">
      <c r="A45871" s="2" t="str">
        <f t="shared" si="1445"/>
        <v>26420</v>
      </c>
      <c r="B45871" s="2" t="str">
        <f>"77023"</f>
        <v>77023</v>
      </c>
      <c r="C45871" s="1">
        <v>3.8611745634072599E-3</v>
      </c>
      <c r="D45871" s="1">
        <v>3.5775523747604001E-3</v>
      </c>
      <c r="E45871" s="1">
        <v>1.42892096892586E-2</v>
      </c>
      <c r="F45871" s="1">
        <v>4.0306222280695999E-3</v>
      </c>
    </row>
    <row r="45872" spans="1:6" x14ac:dyDescent="0.25">
      <c r="A45872" s="2" t="str">
        <f t="shared" si="1445"/>
        <v>26420</v>
      </c>
      <c r="B45872" s="2" t="str">
        <f>"77010"</f>
        <v>77010</v>
      </c>
      <c r="C45872" s="1">
        <v>1.6142492627062099E-4</v>
      </c>
      <c r="D45872" s="1">
        <v>1.9706856301646199E-3</v>
      </c>
      <c r="E45872" s="1">
        <v>3.2623766413832398E-4</v>
      </c>
      <c r="F45872" s="1">
        <v>3.28457249121697E-4</v>
      </c>
    </row>
    <row r="45873" spans="1:6" x14ac:dyDescent="0.25">
      <c r="A45873" s="2" t="str">
        <f t="shared" si="1445"/>
        <v>26420</v>
      </c>
      <c r="B45873" s="2" t="str">
        <f>"77003"</f>
        <v>77003</v>
      </c>
      <c r="C45873" s="1">
        <v>2.2524089500011099E-3</v>
      </c>
      <c r="D45873" s="1">
        <v>3.3383751444327199E-3</v>
      </c>
      <c r="E45873" s="1">
        <v>5.7744066552483401E-3</v>
      </c>
      <c r="F45873" s="1">
        <v>2.4167249454428198E-3</v>
      </c>
    </row>
    <row r="45874" spans="1:6" x14ac:dyDescent="0.25">
      <c r="A45874" s="2" t="str">
        <f t="shared" ref="A45874:A45895" si="1446">"41660"</f>
        <v>41660</v>
      </c>
      <c r="B45874" s="2" t="str">
        <f>"76937"</f>
        <v>76937</v>
      </c>
      <c r="C45874" s="1">
        <v>4.4355732978487402E-4</v>
      </c>
      <c r="D45874" s="1">
        <v>0</v>
      </c>
      <c r="E45874" s="1">
        <v>0</v>
      </c>
      <c r="F45874" s="1">
        <v>3.9521228545618699E-4</v>
      </c>
    </row>
    <row r="45875" spans="1:6" x14ac:dyDescent="0.25">
      <c r="A45875" s="2" t="str">
        <f t="shared" si="1446"/>
        <v>41660</v>
      </c>
      <c r="B45875" s="2" t="str">
        <f>"76958"</f>
        <v>76958</v>
      </c>
      <c r="C45875" s="1">
        <v>1.5841333206602599E-5</v>
      </c>
      <c r="D45875" s="1">
        <v>0</v>
      </c>
      <c r="E45875" s="1">
        <v>5.6818181818181805E-4</v>
      </c>
      <c r="F45875" s="1">
        <v>2.8229448961156199E-5</v>
      </c>
    </row>
    <row r="45876" spans="1:6" x14ac:dyDescent="0.25">
      <c r="A45876" s="2" t="str">
        <f t="shared" si="1446"/>
        <v>41660</v>
      </c>
      <c r="B45876" s="2" t="str">
        <f>"76905"</f>
        <v>76905</v>
      </c>
      <c r="C45876" s="1">
        <v>8.2232360675474403E-2</v>
      </c>
      <c r="D45876" s="1">
        <v>2.5159342502515902E-2</v>
      </c>
      <c r="E45876" s="1">
        <v>4.4318181818181798E-2</v>
      </c>
      <c r="F45876" s="1">
        <v>7.6487691960252902E-2</v>
      </c>
    </row>
    <row r="45877" spans="1:6" x14ac:dyDescent="0.25">
      <c r="A45877" s="2" t="str">
        <f t="shared" si="1446"/>
        <v>41660</v>
      </c>
      <c r="B45877" s="2" t="str">
        <f>"76930"</f>
        <v>76930</v>
      </c>
      <c r="C45877" s="1">
        <v>0</v>
      </c>
      <c r="D45877" s="1">
        <v>0</v>
      </c>
      <c r="E45877" s="1">
        <v>5.6818181818181805E-4</v>
      </c>
      <c r="F45877" s="1">
        <v>1.41147244805781E-5</v>
      </c>
    </row>
    <row r="45878" spans="1:6" x14ac:dyDescent="0.25">
      <c r="A45878" s="2" t="str">
        <f t="shared" si="1446"/>
        <v>41660</v>
      </c>
      <c r="B45878" s="2" t="str">
        <f>"76955"</f>
        <v>76955</v>
      </c>
      <c r="C45878" s="1">
        <v>3.4850933054525799E-4</v>
      </c>
      <c r="D45878" s="1">
        <v>0</v>
      </c>
      <c r="E45878" s="1">
        <v>3.4090909090908998E-3</v>
      </c>
      <c r="F45878" s="1">
        <v>3.9521228545618699E-4</v>
      </c>
    </row>
    <row r="45879" spans="1:6" x14ac:dyDescent="0.25">
      <c r="A45879" s="2" t="str">
        <f t="shared" si="1446"/>
        <v>41660</v>
      </c>
      <c r="B45879" s="2" t="str">
        <f>"76935"</f>
        <v>76935</v>
      </c>
      <c r="C45879" s="1">
        <v>1.0154294585432299E-2</v>
      </c>
      <c r="D45879" s="1">
        <v>1.67728950016772E-4</v>
      </c>
      <c r="E45879" s="1">
        <v>2.27272727272727E-3</v>
      </c>
      <c r="F45879" s="1">
        <v>9.1181120144534708E-3</v>
      </c>
    </row>
    <row r="45880" spans="1:6" x14ac:dyDescent="0.25">
      <c r="A45880" s="2" t="str">
        <f t="shared" si="1446"/>
        <v>41660</v>
      </c>
      <c r="B45880" s="2" t="str">
        <f>"76908"</f>
        <v>76908</v>
      </c>
      <c r="C45880" s="1">
        <v>5.2846687577226402E-2</v>
      </c>
      <c r="D45880" s="1">
        <v>1.67728950016772E-4</v>
      </c>
      <c r="E45880" s="1">
        <v>6.3068181818181801E-2</v>
      </c>
      <c r="F45880" s="1">
        <v>4.8667570009033399E-2</v>
      </c>
    </row>
    <row r="45881" spans="1:6" x14ac:dyDescent="0.25">
      <c r="A45881" s="2" t="str">
        <f t="shared" si="1446"/>
        <v>41660</v>
      </c>
      <c r="B45881" s="2" t="str">
        <f>"76903"</f>
        <v>76903</v>
      </c>
      <c r="C45881" s="1">
        <v>0.24056648607546799</v>
      </c>
      <c r="D45881" s="1">
        <v>0.40590405904059002</v>
      </c>
      <c r="E45881" s="1">
        <v>0.392613636363636</v>
      </c>
      <c r="F45881" s="1">
        <v>0.25825711382113797</v>
      </c>
    </row>
    <row r="45882" spans="1:6" x14ac:dyDescent="0.25">
      <c r="A45882" s="2" t="str">
        <f t="shared" si="1446"/>
        <v>41660</v>
      </c>
      <c r="B45882" s="2" t="str">
        <f>"76934"</f>
        <v>76934</v>
      </c>
      <c r="C45882" s="1">
        <v>1.5999746538668601E-3</v>
      </c>
      <c r="D45882" s="1">
        <v>3.3545790003354498E-4</v>
      </c>
      <c r="E45882" s="1">
        <v>1.13636363636363E-3</v>
      </c>
      <c r="F45882" s="1">
        <v>1.4820460704607001E-3</v>
      </c>
    </row>
    <row r="45883" spans="1:6" x14ac:dyDescent="0.25">
      <c r="A45883" s="2" t="str">
        <f t="shared" si="1446"/>
        <v>41660</v>
      </c>
      <c r="B45883" s="2" t="str">
        <f>"76901"</f>
        <v>76901</v>
      </c>
      <c r="C45883" s="1">
        <v>0.22489940753413801</v>
      </c>
      <c r="D45883" s="1">
        <v>0.17527675276752699</v>
      </c>
      <c r="E45883" s="1">
        <v>0.19886363636363599</v>
      </c>
      <c r="F45883" s="1">
        <v>0.22007678410117401</v>
      </c>
    </row>
    <row r="45884" spans="1:6" x14ac:dyDescent="0.25">
      <c r="A45884" s="2" t="str">
        <f t="shared" si="1446"/>
        <v>41660</v>
      </c>
      <c r="B45884" s="2" t="str">
        <f>"76906"</f>
        <v>76906</v>
      </c>
      <c r="C45884" s="1">
        <v>2.2589741152615399E-2</v>
      </c>
      <c r="D45884" s="1">
        <v>6.4743374706474302E-2</v>
      </c>
      <c r="E45884" s="1">
        <v>1.13636363636363E-3</v>
      </c>
      <c r="F45884" s="1">
        <v>2.5604110207768701E-2</v>
      </c>
    </row>
    <row r="45885" spans="1:6" x14ac:dyDescent="0.25">
      <c r="A45885" s="2" t="str">
        <f t="shared" si="1446"/>
        <v>41660</v>
      </c>
      <c r="B45885" s="2" t="str">
        <f>"76941"</f>
        <v>76941</v>
      </c>
      <c r="C45885" s="1">
        <v>3.4375693058327698E-3</v>
      </c>
      <c r="D45885" s="1">
        <v>5.0318685005031798E-4</v>
      </c>
      <c r="E45885" s="1">
        <v>2.27272727272727E-3</v>
      </c>
      <c r="F45885" s="1">
        <v>3.1616982836494998E-3</v>
      </c>
    </row>
    <row r="45886" spans="1:6" x14ac:dyDescent="0.25">
      <c r="A45886" s="2" t="str">
        <f t="shared" si="1446"/>
        <v>41660</v>
      </c>
      <c r="B45886" s="2" t="str">
        <f>"76902"</f>
        <v>76902</v>
      </c>
      <c r="C45886" s="1">
        <v>3.0779710420428898E-2</v>
      </c>
      <c r="D45886" s="1">
        <v>0.11992619926199199</v>
      </c>
      <c r="E45886" s="1">
        <v>2.27272727272727E-3</v>
      </c>
      <c r="F45886" s="1">
        <v>3.7573396567299001E-2</v>
      </c>
    </row>
    <row r="45887" spans="1:6" x14ac:dyDescent="0.25">
      <c r="A45887" s="2" t="str">
        <f t="shared" si="1446"/>
        <v>41660</v>
      </c>
      <c r="B45887" s="2" t="str">
        <f>"76940"</f>
        <v>76940</v>
      </c>
      <c r="C45887" s="1">
        <v>3.0098533092545E-4</v>
      </c>
      <c r="D45887" s="1">
        <v>0</v>
      </c>
      <c r="E45887" s="1">
        <v>1.13636363636363E-3</v>
      </c>
      <c r="F45887" s="1">
        <v>2.9640921409213999E-4</v>
      </c>
    </row>
    <row r="45888" spans="1:6" x14ac:dyDescent="0.25">
      <c r="A45888" s="2" t="str">
        <f t="shared" si="1446"/>
        <v>41660</v>
      </c>
      <c r="B45888" s="2" t="str">
        <f>"76904"</f>
        <v>76904</v>
      </c>
      <c r="C45888" s="1">
        <v>0.27635205778918298</v>
      </c>
      <c r="D45888" s="1">
        <v>0.20530023482053</v>
      </c>
      <c r="E45888" s="1">
        <v>0.28068181818181798</v>
      </c>
      <c r="F45888" s="1">
        <v>0.27048046522131802</v>
      </c>
    </row>
    <row r="45889" spans="1:6" x14ac:dyDescent="0.25">
      <c r="A45889" s="2" t="str">
        <f t="shared" si="1446"/>
        <v>41660</v>
      </c>
      <c r="B45889" s="2" t="str">
        <f>"76957"</f>
        <v>76957</v>
      </c>
      <c r="C45889" s="1">
        <v>7.9206666033013304E-4</v>
      </c>
      <c r="D45889" s="1">
        <v>6.7091580006709104E-4</v>
      </c>
      <c r="E45889" s="1">
        <v>0</v>
      </c>
      <c r="F45889" s="1">
        <v>7.62195121951219E-4</v>
      </c>
    </row>
    <row r="45890" spans="1:6" x14ac:dyDescent="0.25">
      <c r="A45890" s="2" t="str">
        <f t="shared" si="1446"/>
        <v>41660</v>
      </c>
      <c r="B45890" s="2" t="str">
        <f>"76951"</f>
        <v>76951</v>
      </c>
      <c r="C45890" s="1">
        <v>4.4355732978487402E-4</v>
      </c>
      <c r="D45890" s="1">
        <v>3.3545790003354498E-4</v>
      </c>
      <c r="E45890" s="1">
        <v>1.13636363636363E-3</v>
      </c>
      <c r="F45890" s="1">
        <v>4.516711833785E-4</v>
      </c>
    </row>
    <row r="45891" spans="1:6" x14ac:dyDescent="0.25">
      <c r="A45891" s="2" t="str">
        <f t="shared" si="1446"/>
        <v>41660</v>
      </c>
      <c r="B45891" s="2" t="str">
        <f>"76939"</f>
        <v>76939</v>
      </c>
      <c r="C45891" s="1">
        <v>3.1682666413205299E-5</v>
      </c>
      <c r="D45891" s="1">
        <v>0</v>
      </c>
      <c r="E45891" s="1">
        <v>5.6818181818181805E-4</v>
      </c>
      <c r="F45891" s="1">
        <v>4.2344173441734397E-5</v>
      </c>
    </row>
    <row r="45892" spans="1:6" x14ac:dyDescent="0.25">
      <c r="A45892" s="2" t="str">
        <f t="shared" si="1446"/>
        <v>41660</v>
      </c>
      <c r="B45892" s="2" t="str">
        <f>"76945"</f>
        <v>76945</v>
      </c>
      <c r="C45892" s="1">
        <v>6.3365332826410597E-5</v>
      </c>
      <c r="D45892" s="1">
        <v>0</v>
      </c>
      <c r="E45892" s="1">
        <v>0</v>
      </c>
      <c r="F45892" s="1">
        <v>5.64588979223125E-5</v>
      </c>
    </row>
    <row r="45893" spans="1:6" x14ac:dyDescent="0.25">
      <c r="A45893" s="2" t="str">
        <f t="shared" si="1446"/>
        <v>41660</v>
      </c>
      <c r="B45893" s="2" t="str">
        <f>"76909"</f>
        <v>76909</v>
      </c>
      <c r="C45893" s="1">
        <v>4.5021068973164699E-2</v>
      </c>
      <c r="D45893" s="1">
        <v>5.0318685005031798E-4</v>
      </c>
      <c r="E45893" s="1">
        <v>5.6818181818181805E-4</v>
      </c>
      <c r="F45893" s="1">
        <v>4.0170505871725298E-2</v>
      </c>
    </row>
    <row r="45894" spans="1:6" x14ac:dyDescent="0.25">
      <c r="A45894" s="2" t="str">
        <f t="shared" si="1446"/>
        <v>41660</v>
      </c>
      <c r="B45894" s="2" t="str">
        <f>"76886"</f>
        <v>76886</v>
      </c>
      <c r="C45894" s="1">
        <v>1.5841333206602599E-5</v>
      </c>
      <c r="D45894" s="1">
        <v>0</v>
      </c>
      <c r="E45894" s="1">
        <v>0</v>
      </c>
      <c r="F45894" s="1">
        <v>1.41147244805781E-5</v>
      </c>
    </row>
    <row r="45895" spans="1:6" x14ac:dyDescent="0.25">
      <c r="A45895" s="2" t="str">
        <f t="shared" si="1446"/>
        <v>41660</v>
      </c>
      <c r="B45895" s="2" t="str">
        <f>"76861"</f>
        <v>76861</v>
      </c>
      <c r="C45895" s="1">
        <v>7.0652346101447803E-3</v>
      </c>
      <c r="D45895" s="1">
        <v>1.0063737001006301E-3</v>
      </c>
      <c r="E45895" s="1">
        <v>3.4090909090908998E-3</v>
      </c>
      <c r="F45895" s="1">
        <v>6.4645438121047798E-3</v>
      </c>
    </row>
    <row r="45896" spans="1:6" x14ac:dyDescent="0.25">
      <c r="A45896" s="2" t="str">
        <f t="shared" ref="A45896:A45915" si="1447">"47020"</f>
        <v>47020</v>
      </c>
      <c r="B45896" s="2" t="str">
        <f>"77973"</f>
        <v>77973</v>
      </c>
      <c r="C45896" s="1">
        <v>0</v>
      </c>
      <c r="D45896" s="1">
        <v>1.9293845263360901E-4</v>
      </c>
      <c r="E45896" s="1">
        <v>0</v>
      </c>
      <c r="F45896" s="1">
        <v>1.9135826093612399E-5</v>
      </c>
    </row>
    <row r="45897" spans="1:6" x14ac:dyDescent="0.25">
      <c r="A45897" s="2" t="str">
        <f t="shared" si="1447"/>
        <v>47020</v>
      </c>
      <c r="B45897" s="2" t="str">
        <f>"77974"</f>
        <v>77974</v>
      </c>
      <c r="C45897" s="1">
        <v>2.4880003522832301E-3</v>
      </c>
      <c r="D45897" s="1">
        <v>1.9293845263360901E-4</v>
      </c>
      <c r="E45897" s="1">
        <v>0</v>
      </c>
      <c r="F45897" s="1">
        <v>2.18148417467182E-3</v>
      </c>
    </row>
    <row r="45898" spans="1:6" x14ac:dyDescent="0.25">
      <c r="A45898" s="2" t="str">
        <f t="shared" si="1447"/>
        <v>47020</v>
      </c>
      <c r="B45898" s="2" t="str">
        <f>"77951"</f>
        <v>77951</v>
      </c>
      <c r="C45898" s="1">
        <v>2.2017702232595001E-4</v>
      </c>
      <c r="D45898" s="1">
        <v>1.9293845263360901E-4</v>
      </c>
      <c r="E45898" s="1">
        <v>0</v>
      </c>
      <c r="F45898" s="1">
        <v>2.1049408702973699E-4</v>
      </c>
    </row>
    <row r="45899" spans="1:6" x14ac:dyDescent="0.25">
      <c r="A45899" s="2" t="str">
        <f t="shared" si="1447"/>
        <v>47020</v>
      </c>
      <c r="B45899" s="2" t="str">
        <f>"77979"</f>
        <v>77979</v>
      </c>
      <c r="C45899" s="1">
        <v>3.0824783125632998E-4</v>
      </c>
      <c r="D45899" s="1">
        <v>0</v>
      </c>
      <c r="E45899" s="1">
        <v>0</v>
      </c>
      <c r="F45899" s="1">
        <v>2.6790156531057398E-4</v>
      </c>
    </row>
    <row r="45900" spans="1:6" x14ac:dyDescent="0.25">
      <c r="A45900" s="2" t="str">
        <f t="shared" si="1447"/>
        <v>47020</v>
      </c>
      <c r="B45900" s="2" t="str">
        <f>"77995"</f>
        <v>77995</v>
      </c>
      <c r="C45900" s="1">
        <v>2.6421242679114001E-3</v>
      </c>
      <c r="D45900" s="1">
        <v>7.7175381053443896E-4</v>
      </c>
      <c r="E45900" s="1">
        <v>0</v>
      </c>
      <c r="F45900" s="1">
        <v>2.3728424356079399E-3</v>
      </c>
    </row>
    <row r="45901" spans="1:6" x14ac:dyDescent="0.25">
      <c r="A45901" s="2" t="str">
        <f t="shared" si="1447"/>
        <v>47020</v>
      </c>
      <c r="B45901" s="2" t="str">
        <f>"78119"</f>
        <v>78119</v>
      </c>
      <c r="C45901" s="1">
        <v>3.0824783125632998E-4</v>
      </c>
      <c r="D45901" s="1">
        <v>1.9293845263360901E-4</v>
      </c>
      <c r="E45901" s="1">
        <v>0</v>
      </c>
      <c r="F45901" s="1">
        <v>2.87037391404186E-4</v>
      </c>
    </row>
    <row r="45902" spans="1:6" x14ac:dyDescent="0.25">
      <c r="A45902" s="2" t="str">
        <f t="shared" si="1447"/>
        <v>47020</v>
      </c>
      <c r="B45902" s="2" t="str">
        <f>"77988"</f>
        <v>77988</v>
      </c>
      <c r="C45902" s="1">
        <v>0</v>
      </c>
      <c r="D45902" s="1">
        <v>1.9293845263360901E-4</v>
      </c>
      <c r="E45902" s="1">
        <v>0</v>
      </c>
      <c r="F45902" s="1">
        <v>1.9135826093612399E-5</v>
      </c>
    </row>
    <row r="45903" spans="1:6" x14ac:dyDescent="0.25">
      <c r="A45903" s="2" t="str">
        <f t="shared" si="1447"/>
        <v>47020</v>
      </c>
      <c r="B45903" s="2" t="str">
        <f>"77902"</f>
        <v>77902</v>
      </c>
      <c r="C45903" s="1">
        <v>3.1133030956889299E-2</v>
      </c>
      <c r="D45903" s="1">
        <v>7.3123673548138104E-2</v>
      </c>
      <c r="E45903" s="1">
        <v>1.2070006035003E-3</v>
      </c>
      <c r="F45903" s="1">
        <v>3.4348807838034297E-2</v>
      </c>
    </row>
    <row r="45904" spans="1:6" x14ac:dyDescent="0.25">
      <c r="A45904" s="2" t="str">
        <f t="shared" si="1447"/>
        <v>47020</v>
      </c>
      <c r="B45904" s="2" t="str">
        <f>"77963"</f>
        <v>77963</v>
      </c>
      <c r="C45904" s="1">
        <v>4.7404112906776999E-2</v>
      </c>
      <c r="D45904" s="1">
        <v>1.9872660621261799E-2</v>
      </c>
      <c r="E45904" s="1">
        <v>1.0259505129752501E-2</v>
      </c>
      <c r="F45904" s="1">
        <v>4.3495732710781103E-2</v>
      </c>
    </row>
    <row r="45905" spans="1:6" x14ac:dyDescent="0.25">
      <c r="A45905" s="2" t="str">
        <f t="shared" si="1447"/>
        <v>47020</v>
      </c>
      <c r="B45905" s="2" t="str">
        <f>"77903"</f>
        <v>77903</v>
      </c>
      <c r="C45905" s="1">
        <v>5.06186974327359E-2</v>
      </c>
      <c r="D45905" s="1">
        <v>0.108045533474821</v>
      </c>
      <c r="E45905" s="1">
        <v>6.0350030175015002E-4</v>
      </c>
      <c r="F45905" s="1">
        <v>5.4728462627731601E-2</v>
      </c>
    </row>
    <row r="45906" spans="1:6" x14ac:dyDescent="0.25">
      <c r="A45906" s="2" t="str">
        <f t="shared" si="1447"/>
        <v>47020</v>
      </c>
      <c r="B45906" s="2" t="str">
        <f>"77977"</f>
        <v>77977</v>
      </c>
      <c r="C45906" s="1">
        <v>8.8070808930379999E-5</v>
      </c>
      <c r="D45906" s="1">
        <v>1.9293845263360901E-4</v>
      </c>
      <c r="E45906" s="1">
        <v>0</v>
      </c>
      <c r="F45906" s="1">
        <v>9.5679130468062301E-5</v>
      </c>
    </row>
    <row r="45907" spans="1:6" x14ac:dyDescent="0.25">
      <c r="A45907" s="2" t="str">
        <f t="shared" si="1447"/>
        <v>47020</v>
      </c>
      <c r="B45907" s="2" t="str">
        <f>"77993"</f>
        <v>77993</v>
      </c>
      <c r="C45907" s="1">
        <v>0</v>
      </c>
      <c r="D45907" s="1">
        <v>1.9293845263360901E-4</v>
      </c>
      <c r="E45907" s="1">
        <v>0</v>
      </c>
      <c r="F45907" s="1">
        <v>1.9135826093612399E-5</v>
      </c>
    </row>
    <row r="45908" spans="1:6" x14ac:dyDescent="0.25">
      <c r="A45908" s="2" t="str">
        <f t="shared" si="1447"/>
        <v>47020</v>
      </c>
      <c r="B45908" s="2" t="str">
        <f>"78164"</f>
        <v>78164</v>
      </c>
      <c r="C45908" s="1">
        <v>2.6861596723765902E-3</v>
      </c>
      <c r="D45908" s="1">
        <v>0</v>
      </c>
      <c r="E45908" s="1">
        <v>0</v>
      </c>
      <c r="F45908" s="1">
        <v>2.33457078342072E-3</v>
      </c>
    </row>
    <row r="45909" spans="1:6" x14ac:dyDescent="0.25">
      <c r="A45909" s="2" t="str">
        <f t="shared" si="1447"/>
        <v>47020</v>
      </c>
      <c r="B45909" s="2" t="str">
        <f>"77976"</f>
        <v>77976</v>
      </c>
      <c r="C45909" s="1">
        <v>2.2017702232595E-5</v>
      </c>
      <c r="D45909" s="1">
        <v>3.8587690526721899E-4</v>
      </c>
      <c r="E45909" s="1">
        <v>0</v>
      </c>
      <c r="F45909" s="1">
        <v>5.7407478280837299E-5</v>
      </c>
    </row>
    <row r="45910" spans="1:6" x14ac:dyDescent="0.25">
      <c r="A45910" s="2" t="str">
        <f t="shared" si="1447"/>
        <v>47020</v>
      </c>
      <c r="B45910" s="2" t="str">
        <f>"77968"</f>
        <v>77968</v>
      </c>
      <c r="C45910" s="1">
        <v>2.9283543969351299E-2</v>
      </c>
      <c r="D45910" s="1">
        <v>2.7011383368705298E-3</v>
      </c>
      <c r="E45910" s="1">
        <v>3.6210018105008999E-3</v>
      </c>
      <c r="F45910" s="1">
        <v>2.58333652263768E-2</v>
      </c>
    </row>
    <row r="45911" spans="1:6" x14ac:dyDescent="0.25">
      <c r="A45911" s="2" t="str">
        <f t="shared" si="1447"/>
        <v>47020</v>
      </c>
      <c r="B45911" s="2" t="str">
        <f>"77960"</f>
        <v>77960</v>
      </c>
      <c r="C45911" s="1">
        <v>0</v>
      </c>
      <c r="D45911" s="1">
        <v>1.9293845263360901E-4</v>
      </c>
      <c r="E45911" s="1">
        <v>0</v>
      </c>
      <c r="F45911" s="1">
        <v>1.9135826093612399E-5</v>
      </c>
    </row>
    <row r="45912" spans="1:6" x14ac:dyDescent="0.25">
      <c r="A45912" s="2" t="str">
        <f t="shared" si="1447"/>
        <v>47020</v>
      </c>
      <c r="B45912" s="2" t="str">
        <f>"77904"</f>
        <v>77904</v>
      </c>
      <c r="C45912" s="1">
        <v>0.28693469549517803</v>
      </c>
      <c r="D45912" s="1">
        <v>0.20856646729693201</v>
      </c>
      <c r="E45912" s="1">
        <v>0.188292094146047</v>
      </c>
      <c r="F45912" s="1">
        <v>0.27603429140035901</v>
      </c>
    </row>
    <row r="45913" spans="1:6" x14ac:dyDescent="0.25">
      <c r="A45913" s="2" t="str">
        <f t="shared" si="1447"/>
        <v>47020</v>
      </c>
      <c r="B45913" s="2" t="str">
        <f>"78107"</f>
        <v>78107</v>
      </c>
      <c r="C45913" s="1">
        <v>0</v>
      </c>
      <c r="D45913" s="1">
        <v>1.9293845263360901E-4</v>
      </c>
      <c r="E45913" s="1">
        <v>6.0350030175015002E-4</v>
      </c>
      <c r="F45913" s="1">
        <v>3.82716521872249E-5</v>
      </c>
    </row>
    <row r="45914" spans="1:6" x14ac:dyDescent="0.25">
      <c r="A45914" s="2" t="str">
        <f t="shared" si="1447"/>
        <v>47020</v>
      </c>
      <c r="B45914" s="2" t="str">
        <f>"77905"</f>
        <v>77905</v>
      </c>
      <c r="C45914" s="1">
        <v>0.14544894094852201</v>
      </c>
      <c r="D45914" s="1">
        <v>6.8107273779664204E-2</v>
      </c>
      <c r="E45914" s="1">
        <v>6.4574532287266104E-2</v>
      </c>
      <c r="F45914" s="1">
        <v>0.13521374717746501</v>
      </c>
    </row>
    <row r="45915" spans="1:6" x14ac:dyDescent="0.25">
      <c r="A45915" s="2" t="str">
        <f t="shared" si="1447"/>
        <v>47020</v>
      </c>
      <c r="B45915" s="2" t="str">
        <f>"77901"</f>
        <v>77901</v>
      </c>
      <c r="C45915" s="1">
        <v>0.40041393280197202</v>
      </c>
      <c r="D45915" s="1">
        <v>0.51668917615280696</v>
      </c>
      <c r="E45915" s="1">
        <v>0.73083886541943199</v>
      </c>
      <c r="F45915" s="1">
        <v>0.42242336101649502</v>
      </c>
    </row>
    <row r="45916" spans="1:6" x14ac:dyDescent="0.25">
      <c r="A45916" s="2" t="str">
        <f t="shared" ref="A45916:A45925" si="1448">"29700"</f>
        <v>29700</v>
      </c>
      <c r="B45916" s="2" t="str">
        <f>"78043"</f>
        <v>78043</v>
      </c>
      <c r="C45916" s="1">
        <v>0.15543812348341801</v>
      </c>
      <c r="D45916" s="1">
        <v>0.10443631170222201</v>
      </c>
      <c r="E45916" s="1">
        <v>0.20599520383693001</v>
      </c>
      <c r="F45916" s="1">
        <v>0.15210272160447</v>
      </c>
    </row>
    <row r="45917" spans="1:6" x14ac:dyDescent="0.25">
      <c r="A45917" s="2" t="str">
        <f t="shared" si="1448"/>
        <v>29700</v>
      </c>
      <c r="B45917" s="2" t="str">
        <f>"78041"</f>
        <v>78041</v>
      </c>
      <c r="C45917" s="1">
        <v>0.18647613912105601</v>
      </c>
      <c r="D45917" s="1">
        <v>0.32723377666696402</v>
      </c>
      <c r="E45917" s="1">
        <v>0.29592326139088698</v>
      </c>
      <c r="F45917" s="1">
        <v>0.205285944235786</v>
      </c>
    </row>
    <row r="45918" spans="1:6" x14ac:dyDescent="0.25">
      <c r="A45918" s="2" t="str">
        <f t="shared" si="1448"/>
        <v>29700</v>
      </c>
      <c r="B45918" s="2" t="str">
        <f>"78040"</f>
        <v>78040</v>
      </c>
      <c r="C45918" s="1">
        <v>0.155308708546778</v>
      </c>
      <c r="D45918" s="1">
        <v>0.221190752477015</v>
      </c>
      <c r="E45918" s="1">
        <v>0.25227817745803299</v>
      </c>
      <c r="F45918" s="1">
        <v>0.165877259523765</v>
      </c>
    </row>
    <row r="45919" spans="1:6" x14ac:dyDescent="0.25">
      <c r="A45919" s="2" t="str">
        <f t="shared" si="1448"/>
        <v>29700</v>
      </c>
      <c r="B45919" s="2" t="str">
        <f>"78344"</f>
        <v>78344</v>
      </c>
      <c r="C45919" s="1">
        <v>4.3138312213534603E-4</v>
      </c>
      <c r="D45919" s="1">
        <v>1.7852360974738901E-4</v>
      </c>
      <c r="E45919" s="1">
        <v>0</v>
      </c>
      <c r="F45919" s="1">
        <v>3.8853632814668098E-4</v>
      </c>
    </row>
    <row r="45920" spans="1:6" x14ac:dyDescent="0.25">
      <c r="A45920" s="2" t="str">
        <f t="shared" si="1448"/>
        <v>29700</v>
      </c>
      <c r="B45920" s="2" t="str">
        <f>"78046"</f>
        <v>78046</v>
      </c>
      <c r="C45920" s="1">
        <v>0.21287678619573999</v>
      </c>
      <c r="D45920" s="1">
        <v>4.26671427296259E-2</v>
      </c>
      <c r="E45920" s="1">
        <v>0.102158273381294</v>
      </c>
      <c r="F45920" s="1">
        <v>0.19096560528409401</v>
      </c>
    </row>
    <row r="45921" spans="1:6" x14ac:dyDescent="0.25">
      <c r="A45921" s="2" t="str">
        <f t="shared" si="1448"/>
        <v>29700</v>
      </c>
      <c r="B45921" s="2" t="str">
        <f>"78369"</f>
        <v>78369</v>
      </c>
      <c r="C45921" s="1">
        <v>1.83337826907522E-4</v>
      </c>
      <c r="D45921" s="1">
        <v>8.9261804873694506E-5</v>
      </c>
      <c r="E45921" s="1">
        <v>2.3980815347721799E-4</v>
      </c>
      <c r="F45921" s="1">
        <v>1.7576643416159399E-4</v>
      </c>
    </row>
    <row r="45922" spans="1:6" x14ac:dyDescent="0.25">
      <c r="A45922" s="2" t="str">
        <f t="shared" si="1448"/>
        <v>29700</v>
      </c>
      <c r="B45922" s="2" t="str">
        <f>"78042"</f>
        <v>78042</v>
      </c>
      <c r="C45922" s="1">
        <v>2.27123213804259E-2</v>
      </c>
      <c r="D45922" s="1">
        <v>2.63322324377398E-2</v>
      </c>
      <c r="E45922" s="1">
        <v>2.3980815347721799E-4</v>
      </c>
      <c r="F45922" s="1">
        <v>2.2220577624007799E-2</v>
      </c>
    </row>
    <row r="45923" spans="1:6" x14ac:dyDescent="0.25">
      <c r="A45923" s="2" t="str">
        <f t="shared" si="1448"/>
        <v>29700</v>
      </c>
      <c r="B45923" s="2" t="str">
        <f>"78045"</f>
        <v>78045</v>
      </c>
      <c r="C45923" s="1">
        <v>0.24459423025074101</v>
      </c>
      <c r="D45923" s="1">
        <v>0.242078014817459</v>
      </c>
      <c r="E45923" s="1">
        <v>0.142925659472422</v>
      </c>
      <c r="F45923" s="1">
        <v>0.24041147847323699</v>
      </c>
    </row>
    <row r="45924" spans="1:6" x14ac:dyDescent="0.25">
      <c r="A45924" s="2" t="str">
        <f t="shared" si="1448"/>
        <v>29700</v>
      </c>
      <c r="B45924" s="2" t="str">
        <f>"78044"</f>
        <v>78044</v>
      </c>
      <c r="C45924" s="1">
        <v>2.1677001887301098E-2</v>
      </c>
      <c r="D45924" s="1">
        <v>3.5704721949477797E-2</v>
      </c>
      <c r="E45924" s="1">
        <v>2.3980815347721799E-4</v>
      </c>
      <c r="F45924" s="1">
        <v>2.2303835408610698E-2</v>
      </c>
    </row>
    <row r="45925" spans="1:6" x14ac:dyDescent="0.25">
      <c r="A45925" s="2" t="str">
        <f t="shared" si="1448"/>
        <v>29700</v>
      </c>
      <c r="B45925" s="2" t="str">
        <f>"78371"</f>
        <v>78371</v>
      </c>
      <c r="C45925" s="1">
        <v>3.0196818549474202E-4</v>
      </c>
      <c r="D45925" s="1">
        <v>8.9261804873694506E-5</v>
      </c>
      <c r="E45925" s="1">
        <v>0</v>
      </c>
      <c r="F45925" s="1">
        <v>2.6827508372032701E-4</v>
      </c>
    </row>
    <row r="45926" spans="1:6" x14ac:dyDescent="0.25">
      <c r="A45926" s="2" t="str">
        <f>"37770"</f>
        <v>37770</v>
      </c>
      <c r="B45926" s="2" t="str">
        <f>"78017"</f>
        <v>78017</v>
      </c>
      <c r="C45926" s="1">
        <v>0.222427148653633</v>
      </c>
      <c r="D45926" s="1">
        <v>0.28459119496855301</v>
      </c>
      <c r="E45926" s="1">
        <v>0.25925925925925902</v>
      </c>
      <c r="F45926" s="1">
        <v>0.23024652338811599</v>
      </c>
    </row>
    <row r="45927" spans="1:6" x14ac:dyDescent="0.25">
      <c r="A45927" s="2" t="str">
        <f>"37770"</f>
        <v>37770</v>
      </c>
      <c r="B45927" s="2" t="str">
        <f>"78057"</f>
        <v>78057</v>
      </c>
      <c r="C45927" s="1">
        <v>7.2666912578384299E-2</v>
      </c>
      <c r="D45927" s="1">
        <v>4.40251572327044E-2</v>
      </c>
      <c r="E45927" s="1">
        <v>8.1481481481481405E-2</v>
      </c>
      <c r="F45927" s="1">
        <v>7.0164348925410805E-2</v>
      </c>
    </row>
    <row r="45928" spans="1:6" x14ac:dyDescent="0.25">
      <c r="A45928" s="2" t="str">
        <f>"37770"</f>
        <v>37770</v>
      </c>
      <c r="B45928" s="2" t="str">
        <f>"78061"</f>
        <v>78061</v>
      </c>
      <c r="C45928" s="1">
        <v>0.65123570638140904</v>
      </c>
      <c r="D45928" s="1">
        <v>0.66823899371069095</v>
      </c>
      <c r="E45928" s="1">
        <v>0.62222222222222201</v>
      </c>
      <c r="F45928" s="1">
        <v>0.65170670037926604</v>
      </c>
    </row>
    <row r="45929" spans="1:6" x14ac:dyDescent="0.25">
      <c r="A45929" s="2" t="str">
        <f>"37770"</f>
        <v>37770</v>
      </c>
      <c r="B45929" s="2" t="str">
        <f>"78005"</f>
        <v>78005</v>
      </c>
      <c r="C45929" s="1">
        <v>5.2010328292143103E-2</v>
      </c>
      <c r="D45929" s="1">
        <v>3.1446540880503099E-3</v>
      </c>
      <c r="E45929" s="1">
        <v>3.7037037037037E-2</v>
      </c>
      <c r="F45929" s="1">
        <v>4.6460176991150397E-2</v>
      </c>
    </row>
    <row r="45930" spans="1:6" x14ac:dyDescent="0.25">
      <c r="A45930" s="2" t="str">
        <f>"37770"</f>
        <v>37770</v>
      </c>
      <c r="B45930" s="2" t="str">
        <f>"78016"</f>
        <v>78016</v>
      </c>
      <c r="C45930" s="1">
        <v>1.6599040944300901E-3</v>
      </c>
      <c r="D45930" s="1">
        <v>0</v>
      </c>
      <c r="E45930" s="1">
        <v>0</v>
      </c>
      <c r="F45930" s="1">
        <v>1.4222503160556199E-3</v>
      </c>
    </row>
    <row r="45931" spans="1:6" x14ac:dyDescent="0.25">
      <c r="A45931" s="2" t="str">
        <f t="shared" ref="A45931:A45938" si="1449">"23240"</f>
        <v>23240</v>
      </c>
      <c r="B45931" s="2" t="str">
        <f>"78618"</f>
        <v>78618</v>
      </c>
      <c r="C45931" s="1">
        <v>9.2076254701076304E-3</v>
      </c>
      <c r="D45931" s="1">
        <v>3.07377049180327E-3</v>
      </c>
      <c r="E45931" s="1">
        <v>0</v>
      </c>
      <c r="F45931" s="1">
        <v>8.3211514674462993E-3</v>
      </c>
    </row>
    <row r="45932" spans="1:6" x14ac:dyDescent="0.25">
      <c r="A45932" s="2" t="str">
        <f t="shared" si="1449"/>
        <v>23240</v>
      </c>
      <c r="B45932" s="2" t="str">
        <f>"78028"</f>
        <v>78028</v>
      </c>
      <c r="C45932" s="1">
        <v>2.8530670470756001E-2</v>
      </c>
      <c r="D45932" s="1">
        <v>1.02459016393442E-3</v>
      </c>
      <c r="E45932" s="1">
        <v>4.8543689320388302E-3</v>
      </c>
      <c r="F45932" s="1">
        <v>2.4963454402338901E-2</v>
      </c>
    </row>
    <row r="45933" spans="1:6" x14ac:dyDescent="0.25">
      <c r="A45933" s="2" t="str">
        <f t="shared" si="1449"/>
        <v>23240</v>
      </c>
      <c r="B45933" s="2" t="str">
        <f>"78675"</f>
        <v>78675</v>
      </c>
      <c r="C45933" s="1">
        <v>1.05693165607573E-2</v>
      </c>
      <c r="D45933" s="1">
        <v>1.53688524590163E-3</v>
      </c>
      <c r="E45933" s="1">
        <v>2.4271844660194102E-2</v>
      </c>
      <c r="F45933" s="1">
        <v>9.8954233666929004E-3</v>
      </c>
    </row>
    <row r="45934" spans="1:6" x14ac:dyDescent="0.25">
      <c r="A45934" s="2" t="str">
        <f t="shared" si="1449"/>
        <v>23240</v>
      </c>
      <c r="B45934" s="2" t="str">
        <f>"78671"</f>
        <v>78671</v>
      </c>
      <c r="C45934" s="1">
        <v>1.46543898327065E-2</v>
      </c>
      <c r="D45934" s="1">
        <v>7.6844262295081896E-3</v>
      </c>
      <c r="E45934" s="1">
        <v>9.7087378640776604E-3</v>
      </c>
      <c r="F45934" s="1">
        <v>1.3774879118407701E-2</v>
      </c>
    </row>
    <row r="45935" spans="1:6" x14ac:dyDescent="0.25">
      <c r="A45935" s="2" t="str">
        <f t="shared" si="1449"/>
        <v>23240</v>
      </c>
      <c r="B45935" s="2" t="str">
        <f>"78635"</f>
        <v>78635</v>
      </c>
      <c r="C45935" s="1">
        <v>6.4842432888081894E-5</v>
      </c>
      <c r="D45935" s="1">
        <v>0</v>
      </c>
      <c r="E45935" s="1">
        <v>0</v>
      </c>
      <c r="F45935" s="1">
        <v>5.6223996401664201E-5</v>
      </c>
    </row>
    <row r="45936" spans="1:6" x14ac:dyDescent="0.25">
      <c r="A45936" s="2" t="str">
        <f t="shared" si="1449"/>
        <v>23240</v>
      </c>
      <c r="B45936" s="2" t="str">
        <f>"78624"</f>
        <v>78624</v>
      </c>
      <c r="C45936" s="1">
        <v>0.86467384256257196</v>
      </c>
      <c r="D45936" s="1">
        <v>0.97694672131147497</v>
      </c>
      <c r="E45936" s="1">
        <v>0.95873786407766903</v>
      </c>
      <c r="F45936" s="1">
        <v>0.87917463173282295</v>
      </c>
    </row>
    <row r="45937" spans="1:6" x14ac:dyDescent="0.25">
      <c r="A45937" s="2" t="str">
        <f t="shared" si="1449"/>
        <v>23240</v>
      </c>
      <c r="B45937" s="2" t="str">
        <f>"78631"</f>
        <v>78631</v>
      </c>
      <c r="C45937" s="1">
        <v>6.8668136428478702E-2</v>
      </c>
      <c r="D45937" s="1">
        <v>9.2213114754098307E-3</v>
      </c>
      <c r="E45937" s="1">
        <v>2.4271844660194099E-3</v>
      </c>
      <c r="F45937" s="1">
        <v>6.0609468120993999E-2</v>
      </c>
    </row>
    <row r="45938" spans="1:6" x14ac:dyDescent="0.25">
      <c r="A45938" s="2" t="str">
        <f t="shared" si="1449"/>
        <v>23240</v>
      </c>
      <c r="B45938" s="2" t="str">
        <f>"78058"</f>
        <v>78058</v>
      </c>
      <c r="C45938" s="1">
        <v>3.63117624173258E-3</v>
      </c>
      <c r="D45938" s="1">
        <v>5.1229508196721303E-4</v>
      </c>
      <c r="E45938" s="1">
        <v>0</v>
      </c>
      <c r="F45938" s="1">
        <v>3.2047677948948599E-3</v>
      </c>
    </row>
    <row r="45939" spans="1:6" x14ac:dyDescent="0.25">
      <c r="A45939" s="2" t="str">
        <f t="shared" ref="A45939:A45945" si="1450">"46620"</f>
        <v>46620</v>
      </c>
      <c r="B45939" s="2" t="str">
        <f>"78838"</f>
        <v>78838</v>
      </c>
      <c r="C45939" s="1">
        <v>8.1190798376183995E-3</v>
      </c>
      <c r="D45939" s="1">
        <v>1.14754098360655E-2</v>
      </c>
      <c r="E45939" s="1">
        <v>3.1746031746031698E-3</v>
      </c>
      <c r="F45939" s="1">
        <v>8.3201267828843101E-3</v>
      </c>
    </row>
    <row r="45940" spans="1:6" x14ac:dyDescent="0.25">
      <c r="A45940" s="2" t="str">
        <f t="shared" si="1450"/>
        <v>46620</v>
      </c>
      <c r="B45940" s="2" t="str">
        <f>"78870"</f>
        <v>78870</v>
      </c>
      <c r="C45940" s="1">
        <v>1.1096075778078401E-2</v>
      </c>
      <c r="D45940" s="1">
        <v>2.4590163934426201E-3</v>
      </c>
      <c r="E45940" s="1">
        <v>0</v>
      </c>
      <c r="F45940" s="1">
        <v>9.9841521394611697E-3</v>
      </c>
    </row>
    <row r="45941" spans="1:6" x14ac:dyDescent="0.25">
      <c r="A45941" s="2" t="str">
        <f t="shared" si="1450"/>
        <v>46620</v>
      </c>
      <c r="B45941" s="2" t="str">
        <f>"78881"</f>
        <v>78881</v>
      </c>
      <c r="C45941" s="1">
        <v>1.48849797023004E-2</v>
      </c>
      <c r="D45941" s="1">
        <v>1.63934426229508E-3</v>
      </c>
      <c r="E45941" s="1">
        <v>6.3492063492063397E-3</v>
      </c>
      <c r="F45941" s="1">
        <v>1.3391442155309E-2</v>
      </c>
    </row>
    <row r="45942" spans="1:6" x14ac:dyDescent="0.25">
      <c r="A45942" s="2" t="str">
        <f t="shared" si="1450"/>
        <v>46620</v>
      </c>
      <c r="B45942" s="2" t="str">
        <f>"78833"</f>
        <v>78833</v>
      </c>
      <c r="C45942" s="1">
        <v>7.2169598556607998E-4</v>
      </c>
      <c r="D45942" s="1">
        <v>0</v>
      </c>
      <c r="E45942" s="1">
        <v>0</v>
      </c>
      <c r="F45942" s="1">
        <v>6.3391442155309003E-4</v>
      </c>
    </row>
    <row r="45943" spans="1:6" x14ac:dyDescent="0.25">
      <c r="A45943" s="2" t="str">
        <f t="shared" si="1450"/>
        <v>46620</v>
      </c>
      <c r="B45943" s="2" t="str">
        <f>"78802"</f>
        <v>78802</v>
      </c>
      <c r="C45943" s="1">
        <v>0.13856562922868701</v>
      </c>
      <c r="D45943" s="1">
        <v>0.15573770491803199</v>
      </c>
      <c r="E45943" s="1">
        <v>6.3492063492063397E-3</v>
      </c>
      <c r="F45943" s="1">
        <v>0.13692551505546699</v>
      </c>
    </row>
    <row r="45944" spans="1:6" x14ac:dyDescent="0.25">
      <c r="A45944" s="2" t="str">
        <f t="shared" si="1450"/>
        <v>46620</v>
      </c>
      <c r="B45944" s="2" t="str">
        <f>"78884"</f>
        <v>78884</v>
      </c>
      <c r="C45944" s="1">
        <v>1.8042399639152001E-3</v>
      </c>
      <c r="D45944" s="1">
        <v>1.63934426229508E-3</v>
      </c>
      <c r="E45944" s="1">
        <v>0</v>
      </c>
      <c r="F45944" s="1">
        <v>1.74326465927099E-3</v>
      </c>
    </row>
    <row r="45945" spans="1:6" x14ac:dyDescent="0.25">
      <c r="A45945" s="2" t="str">
        <f t="shared" si="1450"/>
        <v>46620</v>
      </c>
      <c r="B45945" s="2" t="str">
        <f>"78801"</f>
        <v>78801</v>
      </c>
      <c r="C45945" s="1">
        <v>0.82480829950383405</v>
      </c>
      <c r="D45945" s="1">
        <v>0.82704918032786801</v>
      </c>
      <c r="E45945" s="1">
        <v>0.98412698412698396</v>
      </c>
      <c r="F45945" s="1">
        <v>0.82900158478605301</v>
      </c>
    </row>
    <row r="45946" spans="1:6" x14ac:dyDescent="0.25">
      <c r="A45946" s="2" t="str">
        <f t="shared" ref="A45946:A45954" si="1451">"38380"</f>
        <v>38380</v>
      </c>
      <c r="B45946" s="2" t="str">
        <f>"79072"</f>
        <v>79072</v>
      </c>
      <c r="C45946" s="1">
        <v>0.76403967296608999</v>
      </c>
      <c r="D45946" s="1">
        <v>0.79162011173184299</v>
      </c>
      <c r="E45946" s="1">
        <v>0.50476190476190397</v>
      </c>
      <c r="F45946" s="1">
        <v>0.74719256513802002</v>
      </c>
    </row>
    <row r="45947" spans="1:6" x14ac:dyDescent="0.25">
      <c r="A45947" s="2" t="str">
        <f t="shared" si="1451"/>
        <v>38380</v>
      </c>
      <c r="B45947" s="2" t="str">
        <f>"79043"</f>
        <v>79043</v>
      </c>
      <c r="C45947" s="1">
        <v>3.3507572711432703E-4</v>
      </c>
      <c r="D45947" s="1">
        <v>0</v>
      </c>
      <c r="E45947" s="1">
        <v>0</v>
      </c>
      <c r="F45947" s="1">
        <v>2.7659456768268999E-4</v>
      </c>
    </row>
    <row r="45948" spans="1:6" x14ac:dyDescent="0.25">
      <c r="A45948" s="2" t="str">
        <f t="shared" si="1451"/>
        <v>38380</v>
      </c>
      <c r="B45948" s="2" t="str">
        <f>"79041"</f>
        <v>79041</v>
      </c>
      <c r="C45948" s="1">
        <v>4.4967162578742698E-2</v>
      </c>
      <c r="D45948" s="1">
        <v>6.1452513966480399E-3</v>
      </c>
      <c r="E45948" s="1">
        <v>0.465934065934065</v>
      </c>
      <c r="F45948" s="1">
        <v>7.2910328041157199E-2</v>
      </c>
    </row>
    <row r="45949" spans="1:6" x14ac:dyDescent="0.25">
      <c r="A45949" s="2" t="str">
        <f t="shared" si="1451"/>
        <v>38380</v>
      </c>
      <c r="B45949" s="2" t="str">
        <f>"79021"</f>
        <v>79021</v>
      </c>
      <c r="C45949" s="1">
        <v>0</v>
      </c>
      <c r="D45949" s="1">
        <v>0</v>
      </c>
      <c r="E45949" s="1">
        <v>7.3260073260073195E-4</v>
      </c>
      <c r="F45949" s="1">
        <v>5.5318913536538098E-5</v>
      </c>
    </row>
    <row r="45950" spans="1:6" x14ac:dyDescent="0.25">
      <c r="A45950" s="2" t="str">
        <f t="shared" si="1451"/>
        <v>38380</v>
      </c>
      <c r="B45950" s="2" t="str">
        <f>"79064"</f>
        <v>79064</v>
      </c>
      <c r="C45950" s="1">
        <v>1.5413483447259001E-3</v>
      </c>
      <c r="D45950" s="1">
        <v>5.5865921787709395E-4</v>
      </c>
      <c r="E45950" s="1">
        <v>7.3260073260073195E-4</v>
      </c>
      <c r="F45950" s="1">
        <v>1.3829728384134501E-3</v>
      </c>
    </row>
    <row r="45951" spans="1:6" x14ac:dyDescent="0.25">
      <c r="A45951" s="2" t="str">
        <f t="shared" si="1451"/>
        <v>38380</v>
      </c>
      <c r="B45951" s="2" t="str">
        <f>"79311"</f>
        <v>79311</v>
      </c>
      <c r="C45951" s="1">
        <v>8.3366840906044695E-2</v>
      </c>
      <c r="D45951" s="1">
        <v>6.8156424581005501E-2</v>
      </c>
      <c r="E45951" s="1">
        <v>2.6373626373626301E-2</v>
      </c>
      <c r="F45951" s="1">
        <v>7.7557116778226395E-2</v>
      </c>
    </row>
    <row r="45952" spans="1:6" x14ac:dyDescent="0.25">
      <c r="A45952" s="2" t="str">
        <f t="shared" si="1451"/>
        <v>38380</v>
      </c>
      <c r="B45952" s="2" t="str">
        <f>"79250"</f>
        <v>79250</v>
      </c>
      <c r="C45952" s="1">
        <v>2.16458919715855E-2</v>
      </c>
      <c r="D45952" s="1">
        <v>1.6759776536312799E-3</v>
      </c>
      <c r="E45952" s="1">
        <v>0</v>
      </c>
      <c r="F45952" s="1">
        <v>1.80339658129114E-2</v>
      </c>
    </row>
    <row r="45953" spans="1:6" x14ac:dyDescent="0.25">
      <c r="A45953" s="2" t="str">
        <f t="shared" si="1451"/>
        <v>38380</v>
      </c>
      <c r="B45953" s="2" t="str">
        <f>"79032"</f>
        <v>79032</v>
      </c>
      <c r="C45953" s="1">
        <v>6.7015145422865503E-5</v>
      </c>
      <c r="D45953" s="1">
        <v>0</v>
      </c>
      <c r="E45953" s="1">
        <v>0</v>
      </c>
      <c r="F45953" s="1">
        <v>5.5318913536538098E-5</v>
      </c>
    </row>
    <row r="45954" spans="1:6" x14ac:dyDescent="0.25">
      <c r="A45954" s="2" t="str">
        <f t="shared" si="1451"/>
        <v>38380</v>
      </c>
      <c r="B45954" s="2" t="str">
        <f>"79073"</f>
        <v>79073</v>
      </c>
      <c r="C45954" s="1">
        <v>8.4036992360273399E-2</v>
      </c>
      <c r="D45954" s="1">
        <v>0.131843575418994</v>
      </c>
      <c r="E45954" s="1">
        <v>1.46520146520146E-3</v>
      </c>
      <c r="F45954" s="1">
        <v>8.2535818996514895E-2</v>
      </c>
    </row>
    <row r="45955" spans="1:6" x14ac:dyDescent="0.25">
      <c r="A45955" s="2" t="str">
        <f>"13700"</f>
        <v>13700</v>
      </c>
      <c r="B45955" s="2" t="str">
        <f>"79511"</f>
        <v>79511</v>
      </c>
      <c r="C45955" s="1">
        <v>1.3506212857914601E-2</v>
      </c>
      <c r="D45955" s="1">
        <v>2.8715003589375402E-3</v>
      </c>
      <c r="E45955" s="1">
        <v>1.27226463104325E-2</v>
      </c>
      <c r="F45955" s="1">
        <v>1.25949138242738E-2</v>
      </c>
    </row>
    <row r="45956" spans="1:6" x14ac:dyDescent="0.25">
      <c r="A45956" s="2" t="str">
        <f>"13700"</f>
        <v>13700</v>
      </c>
      <c r="B45956" s="2" t="str">
        <f>"79733"</f>
        <v>79733</v>
      </c>
      <c r="C45956" s="1">
        <v>6.7531064289573205E-5</v>
      </c>
      <c r="D45956" s="1">
        <v>7.1787508973438603E-4</v>
      </c>
      <c r="E45956" s="1">
        <v>0</v>
      </c>
      <c r="F45956" s="1">
        <v>1.20525491141376E-4</v>
      </c>
    </row>
    <row r="45957" spans="1:6" x14ac:dyDescent="0.25">
      <c r="A45957" s="2" t="str">
        <f>"13700"</f>
        <v>13700</v>
      </c>
      <c r="B45957" s="2" t="str">
        <f>"79748"</f>
        <v>79748</v>
      </c>
      <c r="C45957" s="1">
        <v>8.1037277147487808E-3</v>
      </c>
      <c r="D45957" s="1">
        <v>3.58937544867193E-3</v>
      </c>
      <c r="E45957" s="1">
        <v>1.27226463104325E-2</v>
      </c>
      <c r="F45957" s="1">
        <v>7.8341569241894594E-3</v>
      </c>
    </row>
    <row r="45958" spans="1:6" x14ac:dyDescent="0.25">
      <c r="A45958" s="2" t="str">
        <f>"13700"</f>
        <v>13700</v>
      </c>
      <c r="B45958" s="2" t="str">
        <f>"79720"</f>
        <v>79720</v>
      </c>
      <c r="C45958" s="1">
        <v>0.97832252836304701</v>
      </c>
      <c r="D45958" s="1">
        <v>0.99282124910265601</v>
      </c>
      <c r="E45958" s="1">
        <v>0.97455470737913397</v>
      </c>
      <c r="F45958" s="1">
        <v>0.97945040376039505</v>
      </c>
    </row>
    <row r="45959" spans="1:6" x14ac:dyDescent="0.25">
      <c r="A45959" s="2" t="str">
        <f>"29500"</f>
        <v>29500</v>
      </c>
      <c r="B45959" s="2" t="str">
        <f>"79713"</f>
        <v>79713</v>
      </c>
      <c r="C45959" s="1">
        <v>3.1425364758697998E-2</v>
      </c>
      <c r="D45959" s="1">
        <v>1.39372822299651E-2</v>
      </c>
      <c r="E45959" s="1">
        <v>3.36700336700336E-2</v>
      </c>
      <c r="F45959" s="1">
        <v>2.9917966865047399E-2</v>
      </c>
    </row>
    <row r="45960" spans="1:6" x14ac:dyDescent="0.25">
      <c r="A45960" s="2" t="str">
        <f>"29500"</f>
        <v>29500</v>
      </c>
      <c r="B45960" s="2" t="str">
        <f>"79331"</f>
        <v>79331</v>
      </c>
      <c r="C45960" s="1">
        <v>0.96053123830901599</v>
      </c>
      <c r="D45960" s="1">
        <v>0.98606271777003396</v>
      </c>
      <c r="E45960" s="1">
        <v>0.93602693602693599</v>
      </c>
      <c r="F45960" s="1">
        <v>0.96171787035547596</v>
      </c>
    </row>
    <row r="45961" spans="1:6" x14ac:dyDescent="0.25">
      <c r="A45961" s="2" t="str">
        <f>"29500"</f>
        <v>29500</v>
      </c>
      <c r="B45961" s="2" t="str">
        <f>"79377"</f>
        <v>79377</v>
      </c>
      <c r="C45961" s="1">
        <v>2.8058361391694701E-3</v>
      </c>
      <c r="D45961" s="1">
        <v>0</v>
      </c>
      <c r="E45961" s="1">
        <v>1.01010101010101E-2</v>
      </c>
      <c r="F45961" s="1">
        <v>2.8952871159723301E-3</v>
      </c>
    </row>
    <row r="45962" spans="1:6" x14ac:dyDescent="0.25">
      <c r="A45962" s="2" t="str">
        <f>"29500"</f>
        <v>29500</v>
      </c>
      <c r="B45962" s="2" t="str">
        <f>"79351"</f>
        <v>79351</v>
      </c>
      <c r="C45962" s="1">
        <v>5.2375607931163396E-3</v>
      </c>
      <c r="D45962" s="1">
        <v>0</v>
      </c>
      <c r="E45962" s="1">
        <v>2.02020202020202E-2</v>
      </c>
      <c r="F45962" s="1">
        <v>5.4688756635032903E-3</v>
      </c>
    </row>
    <row r="45963" spans="1:6" x14ac:dyDescent="0.25">
      <c r="A45963" s="2" t="str">
        <f t="shared" ref="A45963:A45976" si="1452">"36220"</f>
        <v>36220</v>
      </c>
      <c r="B45963" s="2" t="str">
        <f>"79766"</f>
        <v>79766</v>
      </c>
      <c r="C45963" s="1">
        <v>4.0596769778264402E-2</v>
      </c>
      <c r="D45963" s="1">
        <v>3.02731971449667E-2</v>
      </c>
      <c r="E45963" s="1">
        <v>6.9649446494464903E-2</v>
      </c>
      <c r="F45963" s="1">
        <v>4.0345994193440003E-2</v>
      </c>
    </row>
    <row r="45964" spans="1:6" x14ac:dyDescent="0.25">
      <c r="A45964" s="2" t="str">
        <f t="shared" si="1452"/>
        <v>36220</v>
      </c>
      <c r="B45964" s="2" t="str">
        <f>"79760"</f>
        <v>79760</v>
      </c>
      <c r="C45964" s="1">
        <v>3.9556528880372199E-2</v>
      </c>
      <c r="D45964" s="1">
        <v>8.8973664779719394E-2</v>
      </c>
      <c r="E45964" s="1">
        <v>4.6125461254612501E-4</v>
      </c>
      <c r="F45964" s="1">
        <v>4.33572474026441E-2</v>
      </c>
    </row>
    <row r="45965" spans="1:6" x14ac:dyDescent="0.25">
      <c r="A45965" s="2" t="str">
        <f t="shared" si="1452"/>
        <v>36220</v>
      </c>
      <c r="B45965" s="2" t="str">
        <f>"79707"</f>
        <v>79707</v>
      </c>
      <c r="C45965" s="1">
        <v>1.36873802354229E-5</v>
      </c>
      <c r="D45965" s="1">
        <v>0</v>
      </c>
      <c r="E45965" s="1">
        <v>0</v>
      </c>
      <c r="F45965" s="1">
        <v>1.1997024737864999E-5</v>
      </c>
    </row>
    <row r="45966" spans="1:6" x14ac:dyDescent="0.25">
      <c r="A45966" s="2" t="str">
        <f t="shared" si="1452"/>
        <v>36220</v>
      </c>
      <c r="B45966" s="2" t="str">
        <f>"79768"</f>
        <v>79768</v>
      </c>
      <c r="C45966" s="1">
        <v>1.7971530249110301E-2</v>
      </c>
      <c r="D45966" s="1">
        <v>8.9096726556731398E-2</v>
      </c>
      <c r="E45966" s="1">
        <v>4.6125461254612501E-4</v>
      </c>
      <c r="F45966" s="1">
        <v>2.44499364157688E-2</v>
      </c>
    </row>
    <row r="45967" spans="1:6" x14ac:dyDescent="0.25">
      <c r="A45967" s="2" t="str">
        <f t="shared" si="1452"/>
        <v>36220</v>
      </c>
      <c r="B45967" s="2" t="str">
        <f>"79758"</f>
        <v>79758</v>
      </c>
      <c r="C45967" s="1">
        <v>2.4774158226115499E-2</v>
      </c>
      <c r="D45967" s="1">
        <v>9.2296332759044999E-3</v>
      </c>
      <c r="E45967" s="1">
        <v>1.66051660516605E-2</v>
      </c>
      <c r="F45967" s="1">
        <v>2.3046284521438601E-2</v>
      </c>
    </row>
    <row r="45968" spans="1:6" x14ac:dyDescent="0.25">
      <c r="A45968" s="2" t="str">
        <f t="shared" si="1452"/>
        <v>36220</v>
      </c>
      <c r="B45968" s="2" t="str">
        <f>"79769"</f>
        <v>79769</v>
      </c>
      <c r="C45968" s="1">
        <v>1.6972351491924401E-2</v>
      </c>
      <c r="D45968" s="1">
        <v>3.1749938469111401E-2</v>
      </c>
      <c r="E45968" s="1">
        <v>9.2250922509225003E-4</v>
      </c>
      <c r="F45968" s="1">
        <v>1.79955371067975E-2</v>
      </c>
    </row>
    <row r="45969" spans="1:6" x14ac:dyDescent="0.25">
      <c r="A45969" s="2" t="str">
        <f t="shared" si="1452"/>
        <v>36220</v>
      </c>
      <c r="B45969" s="2" t="str">
        <f>"79759"</f>
        <v>79759</v>
      </c>
      <c r="C45969" s="1">
        <v>1.3687380235422901E-4</v>
      </c>
      <c r="D45969" s="1">
        <v>4.9224710804823997E-4</v>
      </c>
      <c r="E45969" s="1">
        <v>0</v>
      </c>
      <c r="F45969" s="1">
        <v>1.6795834633011E-4</v>
      </c>
    </row>
    <row r="45970" spans="1:6" x14ac:dyDescent="0.25">
      <c r="A45970" s="2" t="str">
        <f t="shared" si="1452"/>
        <v>36220</v>
      </c>
      <c r="B45970" s="2" t="str">
        <f>"79776"</f>
        <v>79776</v>
      </c>
      <c r="C45970" s="1">
        <v>0</v>
      </c>
      <c r="D45970" s="1">
        <v>1.2306177701205999E-4</v>
      </c>
      <c r="E45970" s="1">
        <v>0</v>
      </c>
      <c r="F45970" s="1">
        <v>1.1997024737864999E-5</v>
      </c>
    </row>
    <row r="45971" spans="1:6" x14ac:dyDescent="0.25">
      <c r="A45971" s="2" t="str">
        <f t="shared" si="1452"/>
        <v>36220</v>
      </c>
      <c r="B45971" s="2" t="str">
        <f>"79765"</f>
        <v>79765</v>
      </c>
      <c r="C45971" s="1">
        <v>8.5874623597043495E-2</v>
      </c>
      <c r="D45971" s="1">
        <v>3.3472803347280297E-2</v>
      </c>
      <c r="E45971" s="1">
        <v>1.7988929889298799E-2</v>
      </c>
      <c r="F45971" s="1">
        <v>7.9000407898840996E-2</v>
      </c>
    </row>
    <row r="45972" spans="1:6" x14ac:dyDescent="0.25">
      <c r="A45972" s="2" t="str">
        <f t="shared" si="1452"/>
        <v>36220</v>
      </c>
      <c r="B45972" s="2" t="str">
        <f>"79764"</f>
        <v>79764</v>
      </c>
      <c r="C45972" s="1">
        <v>0.14418286339994499</v>
      </c>
      <c r="D45972" s="1">
        <v>0.12675363032242101</v>
      </c>
      <c r="E45972" s="1">
        <v>0.26337638376383699</v>
      </c>
      <c r="F45972" s="1">
        <v>0.14558389519399101</v>
      </c>
    </row>
    <row r="45973" spans="1:6" x14ac:dyDescent="0.25">
      <c r="A45973" s="2" t="str">
        <f t="shared" si="1452"/>
        <v>36220</v>
      </c>
      <c r="B45973" s="2" t="str">
        <f>"79741"</f>
        <v>79741</v>
      </c>
      <c r="C45973" s="1">
        <v>6.5699425130030104E-4</v>
      </c>
      <c r="D45973" s="1">
        <v>1.7228648781688399E-3</v>
      </c>
      <c r="E45973" s="1">
        <v>1.8450184501845001E-3</v>
      </c>
      <c r="F45973" s="1">
        <v>7.9180363269908995E-4</v>
      </c>
    </row>
    <row r="45974" spans="1:6" x14ac:dyDescent="0.25">
      <c r="A45974" s="2" t="str">
        <f t="shared" si="1452"/>
        <v>36220</v>
      </c>
      <c r="B45974" s="2" t="str">
        <f>"79761"</f>
        <v>79761</v>
      </c>
      <c r="C45974" s="1">
        <v>0.18030385984122599</v>
      </c>
      <c r="D45974" s="1">
        <v>0.29202559684961799</v>
      </c>
      <c r="E45974" s="1">
        <v>0.19649446494464901</v>
      </c>
      <c r="F45974" s="1">
        <v>0.191616479113179</v>
      </c>
    </row>
    <row r="45975" spans="1:6" x14ac:dyDescent="0.25">
      <c r="A45975" s="2" t="str">
        <f t="shared" si="1452"/>
        <v>36220</v>
      </c>
      <c r="B45975" s="2" t="str">
        <f>"79762"</f>
        <v>79762</v>
      </c>
      <c r="C45975" s="1">
        <v>0.238872159868601</v>
      </c>
      <c r="D45975" s="1">
        <v>0.18889982771351199</v>
      </c>
      <c r="E45975" s="1">
        <v>0.140682656826568</v>
      </c>
      <c r="F45975" s="1">
        <v>0.23144660124289099</v>
      </c>
    </row>
    <row r="45976" spans="1:6" x14ac:dyDescent="0.25">
      <c r="A45976" s="2" t="str">
        <f t="shared" si="1452"/>
        <v>36220</v>
      </c>
      <c r="B45976" s="2" t="str">
        <f>"79763"</f>
        <v>79763</v>
      </c>
      <c r="C45976" s="1">
        <v>0.21008759923350601</v>
      </c>
      <c r="D45976" s="1">
        <v>0.107186807777504</v>
      </c>
      <c r="E45976" s="1">
        <v>0.29151291512915101</v>
      </c>
      <c r="F45976" s="1">
        <v>0.202173860882501</v>
      </c>
    </row>
    <row r="45977" spans="1:6" x14ac:dyDescent="0.25">
      <c r="A45977" s="2" t="str">
        <f t="shared" ref="A45977:A45984" si="1453">"20420"</f>
        <v>20420</v>
      </c>
      <c r="B45977" s="2" t="str">
        <f>"81122"</f>
        <v>81122</v>
      </c>
      <c r="C45977" s="1">
        <v>0.151785714285714</v>
      </c>
      <c r="D45977" s="1">
        <v>4.0792540792540702E-2</v>
      </c>
      <c r="E45977" s="1">
        <v>6.4578005115089501E-2</v>
      </c>
      <c r="F45977" s="1">
        <v>0.13662211279165201</v>
      </c>
    </row>
    <row r="45978" spans="1:6" x14ac:dyDescent="0.25">
      <c r="A45978" s="2" t="str">
        <f t="shared" si="1453"/>
        <v>20420</v>
      </c>
      <c r="B45978" s="2" t="str">
        <f>"81303"</f>
        <v>81303</v>
      </c>
      <c r="C45978" s="1">
        <v>0.12973901098901</v>
      </c>
      <c r="D45978" s="1">
        <v>0.15530303030303</v>
      </c>
      <c r="E45978" s="1">
        <v>0.12851662404092001</v>
      </c>
      <c r="F45978" s="1">
        <v>0.13225466056981999</v>
      </c>
    </row>
    <row r="45979" spans="1:6" x14ac:dyDescent="0.25">
      <c r="A45979" s="2" t="str">
        <f t="shared" si="1453"/>
        <v>20420</v>
      </c>
      <c r="B45979" s="2" t="str">
        <f>"81329"</f>
        <v>81329</v>
      </c>
      <c r="C45979" s="1">
        <v>0</v>
      </c>
      <c r="D45979" s="1">
        <v>0</v>
      </c>
      <c r="E45979" s="1">
        <v>6.3938618925831196E-4</v>
      </c>
      <c r="F45979" s="1">
        <v>2.9311759878063E-5</v>
      </c>
    </row>
    <row r="45980" spans="1:6" x14ac:dyDescent="0.25">
      <c r="A45980" s="2" t="str">
        <f t="shared" si="1453"/>
        <v>20420</v>
      </c>
      <c r="B45980" s="2" t="str">
        <f>"81301"</f>
        <v>81301</v>
      </c>
      <c r="C45980" s="1">
        <v>0.54708104395604296</v>
      </c>
      <c r="D45980" s="1">
        <v>0.59906759906759899</v>
      </c>
      <c r="E45980" s="1">
        <v>0.78324808184143202</v>
      </c>
      <c r="F45980" s="1">
        <v>0.56313753077734696</v>
      </c>
    </row>
    <row r="45981" spans="1:6" x14ac:dyDescent="0.25">
      <c r="A45981" s="2" t="str">
        <f t="shared" si="1453"/>
        <v>20420</v>
      </c>
      <c r="B45981" s="2" t="str">
        <f>"81328"</f>
        <v>81328</v>
      </c>
      <c r="C45981" s="1">
        <v>1.1332417582417501E-3</v>
      </c>
      <c r="D45981" s="1">
        <v>0</v>
      </c>
      <c r="E45981" s="1">
        <v>1.27877237851662E-3</v>
      </c>
      <c r="F45981" s="1">
        <v>1.0259115957321999E-3</v>
      </c>
    </row>
    <row r="45982" spans="1:6" x14ac:dyDescent="0.25">
      <c r="A45982" s="2" t="str">
        <f t="shared" si="1453"/>
        <v>20420</v>
      </c>
      <c r="B45982" s="2" t="str">
        <f>"81137"</f>
        <v>81137</v>
      </c>
      <c r="C45982" s="1">
        <v>4.8729395604395598E-2</v>
      </c>
      <c r="D45982" s="1">
        <v>3.2051282051281998E-3</v>
      </c>
      <c r="E45982" s="1">
        <v>1.5984654731457801E-2</v>
      </c>
      <c r="F45982" s="1">
        <v>4.2648610622581698E-2</v>
      </c>
    </row>
    <row r="45983" spans="1:6" x14ac:dyDescent="0.25">
      <c r="A45983" s="2" t="str">
        <f t="shared" si="1453"/>
        <v>20420</v>
      </c>
      <c r="B45983" s="2" t="str">
        <f>"81302"</f>
        <v>81302</v>
      </c>
      <c r="C45983" s="1">
        <v>8.5061813186813107E-2</v>
      </c>
      <c r="D45983" s="1">
        <v>0.19842657342657299</v>
      </c>
      <c r="E45983" s="1">
        <v>1.27877237851662E-3</v>
      </c>
      <c r="F45983" s="1">
        <v>9.26251612146793E-2</v>
      </c>
    </row>
    <row r="45984" spans="1:6" x14ac:dyDescent="0.25">
      <c r="A45984" s="2" t="str">
        <f t="shared" si="1453"/>
        <v>20420</v>
      </c>
      <c r="B45984" s="2" t="str">
        <f>"81326"</f>
        <v>81326</v>
      </c>
      <c r="C45984" s="1">
        <v>3.6469780219780201E-2</v>
      </c>
      <c r="D45984" s="1">
        <v>3.2051282051281998E-3</v>
      </c>
      <c r="E45984" s="1">
        <v>4.4757033248081796E-3</v>
      </c>
      <c r="F45984" s="1">
        <v>3.1656700668308099E-2</v>
      </c>
    </row>
    <row r="45985" spans="1:6" x14ac:dyDescent="0.25">
      <c r="A45985" s="2" t="str">
        <f t="shared" ref="A45985:A46001" si="1454">"24060"</f>
        <v>24060</v>
      </c>
      <c r="B45985" s="2" t="str">
        <f>"81641"</f>
        <v>81641</v>
      </c>
      <c r="C45985" s="1">
        <v>4.1712724466598497E-5</v>
      </c>
      <c r="D45985" s="1">
        <v>0</v>
      </c>
      <c r="E45985" s="1">
        <v>0</v>
      </c>
      <c r="F45985" s="1">
        <v>3.5425190853215698E-5</v>
      </c>
    </row>
    <row r="45986" spans="1:6" x14ac:dyDescent="0.25">
      <c r="A45986" s="2" t="str">
        <f t="shared" si="1454"/>
        <v>24060</v>
      </c>
      <c r="B45986" s="2" t="str">
        <f>"81615"</f>
        <v>81615</v>
      </c>
      <c r="C45986" s="1">
        <v>4.0899326339499803E-2</v>
      </c>
      <c r="D45986" s="1">
        <v>2.3259518878445101E-2</v>
      </c>
      <c r="E45986" s="1">
        <v>1.07478728168383E-2</v>
      </c>
      <c r="F45986" s="1">
        <v>3.7745540854101298E-2</v>
      </c>
    </row>
    <row r="45987" spans="1:6" x14ac:dyDescent="0.25">
      <c r="A45987" s="2" t="str">
        <f t="shared" si="1454"/>
        <v>24060</v>
      </c>
      <c r="B45987" s="2" t="str">
        <f>"81654"</f>
        <v>81654</v>
      </c>
      <c r="C45987" s="1">
        <v>1.35566354516445E-2</v>
      </c>
      <c r="D45987" s="1">
        <v>1.4338059582603101E-3</v>
      </c>
      <c r="E45987" s="1">
        <v>1.2987012987012899E-2</v>
      </c>
      <c r="F45987" s="1">
        <v>1.21862656535062E-2</v>
      </c>
    </row>
    <row r="45988" spans="1:6" x14ac:dyDescent="0.25">
      <c r="A45988" s="2" t="str">
        <f t="shared" si="1454"/>
        <v>24060</v>
      </c>
      <c r="B45988" s="2" t="str">
        <f>"81611"</f>
        <v>81611</v>
      </c>
      <c r="C45988" s="1">
        <v>0.12605585333805999</v>
      </c>
      <c r="D45988" s="1">
        <v>0.20774255217460499</v>
      </c>
      <c r="E45988" s="1">
        <v>0.31527093596059103</v>
      </c>
      <c r="F45988" s="1">
        <v>0.14262181837504601</v>
      </c>
    </row>
    <row r="45989" spans="1:6" x14ac:dyDescent="0.25">
      <c r="A45989" s="2" t="str">
        <f t="shared" si="1454"/>
        <v>24060</v>
      </c>
      <c r="B45989" s="2" t="str">
        <f>"81621"</f>
        <v>81621</v>
      </c>
      <c r="C45989" s="1">
        <v>8.8097274073456106E-2</v>
      </c>
      <c r="D45989" s="1">
        <v>8.1567627847697902E-2</v>
      </c>
      <c r="E45989" s="1">
        <v>3.7169726824899198E-2</v>
      </c>
      <c r="F45989" s="1">
        <v>8.5356997360823195E-2</v>
      </c>
    </row>
    <row r="45990" spans="1:6" x14ac:dyDescent="0.25">
      <c r="A45990" s="2" t="str">
        <f t="shared" si="1454"/>
        <v>24060</v>
      </c>
      <c r="B45990" s="2" t="str">
        <f>"81601"</f>
        <v>81601</v>
      </c>
      <c r="C45990" s="1">
        <v>0.140008759672137</v>
      </c>
      <c r="D45990" s="1">
        <v>0.19499761032340199</v>
      </c>
      <c r="E45990" s="1">
        <v>0.28840125391849503</v>
      </c>
      <c r="F45990" s="1">
        <v>0.151991781355722</v>
      </c>
    </row>
    <row r="45991" spans="1:6" x14ac:dyDescent="0.25">
      <c r="A45991" s="2" t="str">
        <f t="shared" si="1454"/>
        <v>24060</v>
      </c>
      <c r="B45991" s="2" t="str">
        <f>"81652"</f>
        <v>81652</v>
      </c>
      <c r="C45991" s="1">
        <v>4.59674223621915E-2</v>
      </c>
      <c r="D45991" s="1">
        <v>2.38967659710052E-2</v>
      </c>
      <c r="E45991" s="1">
        <v>2.7765338110165599E-2</v>
      </c>
      <c r="F45991" s="1">
        <v>4.2793630550684497E-2</v>
      </c>
    </row>
    <row r="45992" spans="1:6" x14ac:dyDescent="0.25">
      <c r="A45992" s="2" t="str">
        <f t="shared" si="1454"/>
        <v>24060</v>
      </c>
      <c r="B45992" s="2" t="str">
        <f>"81623"</f>
        <v>81623</v>
      </c>
      <c r="C45992" s="1">
        <v>0.13421069097127999</v>
      </c>
      <c r="D45992" s="1">
        <v>0.151824119802453</v>
      </c>
      <c r="E45992" s="1">
        <v>0.109270040304523</v>
      </c>
      <c r="F45992" s="1">
        <v>0.13518252829587099</v>
      </c>
    </row>
    <row r="45993" spans="1:6" x14ac:dyDescent="0.25">
      <c r="A45993" s="2" t="str">
        <f t="shared" si="1454"/>
        <v>24060</v>
      </c>
      <c r="B45993" s="2" t="str">
        <f>"81650"</f>
        <v>81650</v>
      </c>
      <c r="C45993" s="1">
        <v>0.10784824910839</v>
      </c>
      <c r="D45993" s="1">
        <v>0.121873506452126</v>
      </c>
      <c r="E45993" s="1">
        <v>0.14240931482310701</v>
      </c>
      <c r="F45993" s="1">
        <v>0.110774571798005</v>
      </c>
    </row>
    <row r="45994" spans="1:6" x14ac:dyDescent="0.25">
      <c r="A45994" s="2" t="str">
        <f t="shared" si="1454"/>
        <v>24060</v>
      </c>
      <c r="B45994" s="2" t="str">
        <f>"81630"</f>
        <v>81630</v>
      </c>
      <c r="C45994" s="1">
        <v>1.02196174943166E-3</v>
      </c>
      <c r="D45994" s="1">
        <v>0</v>
      </c>
      <c r="E45994" s="1">
        <v>0</v>
      </c>
      <c r="F45994" s="1">
        <v>8.6791717590378498E-4</v>
      </c>
    </row>
    <row r="45995" spans="1:6" x14ac:dyDescent="0.25">
      <c r="A45995" s="2" t="str">
        <f t="shared" si="1454"/>
        <v>24060</v>
      </c>
      <c r="B45995" s="2" t="str">
        <f>"81647"</f>
        <v>81647</v>
      </c>
      <c r="C45995" s="1">
        <v>5.9294637829269803E-2</v>
      </c>
      <c r="D45995" s="1">
        <v>1.5771865540863399E-2</v>
      </c>
      <c r="E45995" s="1">
        <v>3.7617554858934102E-2</v>
      </c>
      <c r="F45995" s="1">
        <v>5.3598313760915298E-2</v>
      </c>
    </row>
    <row r="45996" spans="1:6" x14ac:dyDescent="0.25">
      <c r="A45996" s="2" t="str">
        <f t="shared" si="1454"/>
        <v>24060</v>
      </c>
      <c r="B45996" s="2" t="str">
        <f>"81612"</f>
        <v>81612</v>
      </c>
      <c r="C45996" s="1">
        <v>0.13277160197718299</v>
      </c>
      <c r="D45996" s="1">
        <v>6.4680579894854207E-2</v>
      </c>
      <c r="E45996" s="1">
        <v>1.3434841021047899E-3</v>
      </c>
      <c r="F45996" s="1">
        <v>0.120002834015268</v>
      </c>
    </row>
    <row r="45997" spans="1:6" x14ac:dyDescent="0.25">
      <c r="A45997" s="2" t="str">
        <f t="shared" si="1454"/>
        <v>24060</v>
      </c>
      <c r="B45997" s="2" t="str">
        <f>"81637"</f>
        <v>81637</v>
      </c>
      <c r="C45997" s="1">
        <v>1.2513817339979499E-4</v>
      </c>
      <c r="D45997" s="1">
        <v>3.1862354628006998E-4</v>
      </c>
      <c r="E45997" s="1">
        <v>0</v>
      </c>
      <c r="F45997" s="1">
        <v>1.4170076341286201E-4</v>
      </c>
    </row>
    <row r="45998" spans="1:6" x14ac:dyDescent="0.25">
      <c r="A45998" s="2" t="str">
        <f t="shared" si="1454"/>
        <v>24060</v>
      </c>
      <c r="B45998" s="2" t="str">
        <f>"81635"</f>
        <v>81635</v>
      </c>
      <c r="C45998" s="1">
        <v>6.0754583185600702E-2</v>
      </c>
      <c r="D45998" s="1">
        <v>1.65684244065636E-2</v>
      </c>
      <c r="E45998" s="1">
        <v>1.3434841021047901E-2</v>
      </c>
      <c r="F45998" s="1">
        <v>5.3970278264874098E-2</v>
      </c>
    </row>
    <row r="45999" spans="1:6" x14ac:dyDescent="0.25">
      <c r="A45999" s="2" t="str">
        <f t="shared" si="1454"/>
        <v>24060</v>
      </c>
      <c r="B45999" s="2" t="str">
        <f>"81602"</f>
        <v>81602</v>
      </c>
      <c r="C45999" s="1">
        <v>4.42154879345944E-2</v>
      </c>
      <c r="D45999" s="1">
        <v>9.5905687430301007E-2</v>
      </c>
      <c r="E45999" s="1">
        <v>8.9565606806986105E-4</v>
      </c>
      <c r="F45999" s="1">
        <v>4.8249109942079801E-2</v>
      </c>
    </row>
    <row r="46000" spans="1:6" x14ac:dyDescent="0.25">
      <c r="A46000" s="2" t="str">
        <f t="shared" si="1454"/>
        <v>24060</v>
      </c>
      <c r="B46000" s="2" t="str">
        <f>"81642"</f>
        <v>81642</v>
      </c>
      <c r="C46000" s="1">
        <v>1.35566354516445E-3</v>
      </c>
      <c r="D46000" s="1">
        <v>1.5931177314003499E-4</v>
      </c>
      <c r="E46000" s="1">
        <v>1.3434841021047899E-3</v>
      </c>
      <c r="F46000" s="1">
        <v>1.22216908443594E-3</v>
      </c>
    </row>
    <row r="46001" spans="1:6" x14ac:dyDescent="0.25">
      <c r="A46001" s="2" t="str">
        <f t="shared" si="1454"/>
        <v>24060</v>
      </c>
      <c r="B46001" s="2" t="str">
        <f>"81656"</f>
        <v>81656</v>
      </c>
      <c r="C46001" s="1">
        <v>3.7750015642271598E-3</v>
      </c>
      <c r="D46001" s="1">
        <v>0</v>
      </c>
      <c r="E46001" s="1">
        <v>1.3434841021047899E-3</v>
      </c>
      <c r="F46001" s="1">
        <v>3.25911755849584E-3</v>
      </c>
    </row>
    <row r="46002" spans="1:6" x14ac:dyDescent="0.25">
      <c r="A46002" s="2" t="str">
        <f t="shared" ref="A46002:A46017" si="1455">"16940"</f>
        <v>16940</v>
      </c>
      <c r="B46002" s="2" t="str">
        <f>"82061"</f>
        <v>82061</v>
      </c>
      <c r="C46002" s="1">
        <v>0</v>
      </c>
      <c r="D46002" s="1">
        <v>0</v>
      </c>
      <c r="E46002" s="1">
        <v>5.7240984544934103E-4</v>
      </c>
      <c r="F46002" s="1">
        <v>3.5658887086133997E-5</v>
      </c>
    </row>
    <row r="46003" spans="1:6" x14ac:dyDescent="0.25">
      <c r="A46003" s="2" t="str">
        <f t="shared" si="1455"/>
        <v>16940</v>
      </c>
      <c r="B46003" s="2" t="str">
        <f>"82053"</f>
        <v>82053</v>
      </c>
      <c r="C46003" s="1">
        <v>1.2576770704508701E-2</v>
      </c>
      <c r="D46003" s="1">
        <v>2.04666393778141E-3</v>
      </c>
      <c r="E46003" s="1">
        <v>3.4344590726960501E-3</v>
      </c>
      <c r="F46003" s="1">
        <v>1.10899138837876E-2</v>
      </c>
    </row>
    <row r="46004" spans="1:6" x14ac:dyDescent="0.25">
      <c r="A46004" s="2" t="str">
        <f t="shared" si="1455"/>
        <v>16940</v>
      </c>
      <c r="B46004" s="2" t="str">
        <f>"82050"</f>
        <v>82050</v>
      </c>
      <c r="C46004" s="1">
        <v>3.3118829521873098E-3</v>
      </c>
      <c r="D46004" s="1">
        <v>4.0933278755628298E-4</v>
      </c>
      <c r="E46004" s="1">
        <v>8.5861476817401198E-4</v>
      </c>
      <c r="F46004" s="1">
        <v>2.9061992975199201E-3</v>
      </c>
    </row>
    <row r="46005" spans="1:6" x14ac:dyDescent="0.25">
      <c r="A46005" s="2" t="str">
        <f t="shared" si="1455"/>
        <v>16940</v>
      </c>
      <c r="B46005" s="2" t="str">
        <f>"82003"</f>
        <v>82003</v>
      </c>
      <c r="C46005" s="1">
        <v>6.7390529691659498E-2</v>
      </c>
      <c r="D46005" s="1">
        <v>0.24089234547687199</v>
      </c>
      <c r="E46005" s="1">
        <v>1.7172295363480201E-3</v>
      </c>
      <c r="F46005" s="1">
        <v>7.84138927024087E-2</v>
      </c>
    </row>
    <row r="46006" spans="1:6" x14ac:dyDescent="0.25">
      <c r="A46006" s="2" t="str">
        <f t="shared" si="1455"/>
        <v>16940</v>
      </c>
      <c r="B46006" s="2" t="str">
        <f>"82052"</f>
        <v>82052</v>
      </c>
      <c r="C46006" s="1">
        <v>1.4672899155260201E-4</v>
      </c>
      <c r="D46006" s="1">
        <v>0</v>
      </c>
      <c r="E46006" s="1">
        <v>2.8620492272466997E-4</v>
      </c>
      <c r="F46006" s="1">
        <v>1.4263554834453599E-4</v>
      </c>
    </row>
    <row r="46007" spans="1:6" x14ac:dyDescent="0.25">
      <c r="A46007" s="2" t="str">
        <f t="shared" si="1455"/>
        <v>16940</v>
      </c>
      <c r="B46007" s="2" t="str">
        <f>"82002"</f>
        <v>82002</v>
      </c>
      <c r="C46007" s="1">
        <v>0</v>
      </c>
      <c r="D46007" s="1">
        <v>2.04666393778141E-4</v>
      </c>
      <c r="E46007" s="1">
        <v>0</v>
      </c>
      <c r="F46007" s="1">
        <v>1.7829443543066999E-5</v>
      </c>
    </row>
    <row r="46008" spans="1:6" x14ac:dyDescent="0.25">
      <c r="A46008" s="2" t="str">
        <f t="shared" si="1455"/>
        <v>16940</v>
      </c>
      <c r="B46008" s="2" t="str">
        <f>"82054"</f>
        <v>82054</v>
      </c>
      <c r="C46008" s="1">
        <v>8.4054750875133602E-3</v>
      </c>
      <c r="D46008" s="1">
        <v>1.0233319688907E-3</v>
      </c>
      <c r="E46008" s="1">
        <v>2.8620492272466999E-3</v>
      </c>
      <c r="F46008" s="1">
        <v>7.4170485139158802E-3</v>
      </c>
    </row>
    <row r="46009" spans="1:6" x14ac:dyDescent="0.25">
      <c r="A46009" s="2" t="str">
        <f t="shared" si="1455"/>
        <v>16940</v>
      </c>
      <c r="B46009" s="2" t="str">
        <f>"82081"</f>
        <v>82081</v>
      </c>
      <c r="C46009" s="1">
        <v>6.9172238874798202E-4</v>
      </c>
      <c r="D46009" s="1">
        <v>4.0933278755628298E-4</v>
      </c>
      <c r="E46009" s="1">
        <v>8.5861476817401198E-4</v>
      </c>
      <c r="F46009" s="1">
        <v>6.7751885463654599E-4</v>
      </c>
    </row>
    <row r="46010" spans="1:6" x14ac:dyDescent="0.25">
      <c r="A46010" s="2" t="str">
        <f t="shared" si="1455"/>
        <v>16940</v>
      </c>
      <c r="B46010" s="2" t="str">
        <f>"82009"</f>
        <v>82009</v>
      </c>
      <c r="C46010" s="1">
        <v>0.32429203261575801</v>
      </c>
      <c r="D46010" s="1">
        <v>0.16966844044207899</v>
      </c>
      <c r="E46010" s="1">
        <v>0.18460217515741201</v>
      </c>
      <c r="F46010" s="1">
        <v>0.30211992083727002</v>
      </c>
    </row>
    <row r="46011" spans="1:6" x14ac:dyDescent="0.25">
      <c r="A46011" s="2" t="str">
        <f t="shared" si="1455"/>
        <v>16940</v>
      </c>
      <c r="B46011" s="2" t="str">
        <f>"82001"</f>
        <v>82001</v>
      </c>
      <c r="C46011" s="1">
        <v>0.36837361393506102</v>
      </c>
      <c r="D46011" s="1">
        <v>0.44351207531723202</v>
      </c>
      <c r="E46011" s="1">
        <v>0.64024041213508798</v>
      </c>
      <c r="F46011" s="1">
        <v>0.39185551018952602</v>
      </c>
    </row>
    <row r="46012" spans="1:6" x14ac:dyDescent="0.25">
      <c r="A46012" s="2" t="str">
        <f t="shared" si="1455"/>
        <v>16940</v>
      </c>
      <c r="B46012" s="2" t="str">
        <f>"82005"</f>
        <v>82005</v>
      </c>
      <c r="C46012" s="1">
        <v>2.9345798310520402E-4</v>
      </c>
      <c r="D46012" s="1">
        <v>6.1399918133442399E-4</v>
      </c>
      <c r="E46012" s="1">
        <v>1.8889524899828199E-2</v>
      </c>
      <c r="F46012" s="1">
        <v>1.4798438140745599E-3</v>
      </c>
    </row>
    <row r="46013" spans="1:6" x14ac:dyDescent="0.25">
      <c r="A46013" s="2" t="str">
        <f t="shared" si="1455"/>
        <v>16940</v>
      </c>
      <c r="B46013" s="2" t="str">
        <f>"82060"</f>
        <v>82060</v>
      </c>
      <c r="C46013" s="1">
        <v>3.3328442366948202E-3</v>
      </c>
      <c r="D46013" s="1">
        <v>0</v>
      </c>
      <c r="E46013" s="1">
        <v>2.8620492272466997E-4</v>
      </c>
      <c r="F46013" s="1">
        <v>2.8527109668907199E-3</v>
      </c>
    </row>
    <row r="46014" spans="1:6" x14ac:dyDescent="0.25">
      <c r="A46014" s="2" t="str">
        <f t="shared" si="1455"/>
        <v>16940</v>
      </c>
      <c r="B46014" s="2" t="str">
        <f>"82007"</f>
        <v>82007</v>
      </c>
      <c r="C46014" s="1">
        <v>0.203387343576414</v>
      </c>
      <c r="D46014" s="1">
        <v>0.13876381498158</v>
      </c>
      <c r="E46014" s="1">
        <v>0.14310246136233501</v>
      </c>
      <c r="F46014" s="1">
        <v>0.19400217519211199</v>
      </c>
    </row>
    <row r="46015" spans="1:6" x14ac:dyDescent="0.25">
      <c r="A46015" s="2" t="str">
        <f t="shared" si="1455"/>
        <v>16940</v>
      </c>
      <c r="B46015" s="2" t="str">
        <f>"82082"</f>
        <v>82082</v>
      </c>
      <c r="C46015" s="1">
        <v>5.4499339719538001E-3</v>
      </c>
      <c r="D46015" s="1">
        <v>1.2279983626688399E-3</v>
      </c>
      <c r="E46015" s="1">
        <v>1.7172295363480201E-3</v>
      </c>
      <c r="F46015" s="1">
        <v>4.84960864371422E-3</v>
      </c>
    </row>
    <row r="46016" spans="1:6" x14ac:dyDescent="0.25">
      <c r="A46016" s="2" t="str">
        <f t="shared" si="1455"/>
        <v>16940</v>
      </c>
      <c r="B46016" s="2" t="str">
        <f>"82010"</f>
        <v>82010</v>
      </c>
      <c r="C46016" s="1">
        <v>0</v>
      </c>
      <c r="D46016" s="1">
        <v>0</v>
      </c>
      <c r="E46016" s="1">
        <v>5.7240984544934103E-4</v>
      </c>
      <c r="F46016" s="1">
        <v>3.5658887086133997E-5</v>
      </c>
    </row>
    <row r="46017" spans="1:6" x14ac:dyDescent="0.25">
      <c r="A46017" s="2" t="str">
        <f t="shared" si="1455"/>
        <v>16940</v>
      </c>
      <c r="B46017" s="2" t="str">
        <f>"82059"</f>
        <v>82059</v>
      </c>
      <c r="C46017" s="1">
        <v>2.34766386484163E-3</v>
      </c>
      <c r="D46017" s="1">
        <v>1.2279983626688399E-3</v>
      </c>
      <c r="E46017" s="1">
        <v>0</v>
      </c>
      <c r="F46017" s="1">
        <v>2.1038743380819001E-3</v>
      </c>
    </row>
    <row r="46018" spans="1:6" x14ac:dyDescent="0.25">
      <c r="A46018" s="2" t="str">
        <f t="shared" ref="A46018:A46035" si="1456">"23940"</f>
        <v>23940</v>
      </c>
      <c r="B46018" s="2" t="str">
        <f>"82732"</f>
        <v>82732</v>
      </c>
      <c r="C46018" s="1">
        <v>0</v>
      </c>
      <c r="D46018" s="1">
        <v>0</v>
      </c>
      <c r="E46018" s="1">
        <v>1.0723860589812301E-3</v>
      </c>
      <c r="F46018" s="1">
        <v>6.6856092261407307E-5</v>
      </c>
    </row>
    <row r="46019" spans="1:6" x14ac:dyDescent="0.25">
      <c r="A46019" s="2" t="str">
        <f t="shared" si="1456"/>
        <v>23940</v>
      </c>
      <c r="B46019" s="2" t="str">
        <f>"82711"</f>
        <v>82711</v>
      </c>
      <c r="C46019" s="1">
        <v>2.7244774841396402E-3</v>
      </c>
      <c r="D46019" s="1">
        <v>4.2426813746287599E-4</v>
      </c>
      <c r="E46019" s="1">
        <v>3.2171581769436901E-3</v>
      </c>
      <c r="F46019" s="1">
        <v>2.5739595520641802E-3</v>
      </c>
    </row>
    <row r="46020" spans="1:6" x14ac:dyDescent="0.25">
      <c r="A46020" s="2" t="str">
        <f t="shared" si="1456"/>
        <v>23940</v>
      </c>
      <c r="B46020" s="2" t="str">
        <f>"82731"</f>
        <v>82731</v>
      </c>
      <c r="C46020" s="1">
        <v>2.0238975596465901E-3</v>
      </c>
      <c r="D46020" s="1">
        <v>4.2426813746287599E-4</v>
      </c>
      <c r="E46020" s="1">
        <v>4.2895442359249299E-3</v>
      </c>
      <c r="F46020" s="1">
        <v>2.0391108139729201E-3</v>
      </c>
    </row>
    <row r="46021" spans="1:6" x14ac:dyDescent="0.25">
      <c r="A46021" s="2" t="str">
        <f t="shared" si="1456"/>
        <v>23940</v>
      </c>
      <c r="B46021" s="2" t="str">
        <f>"82723"</f>
        <v>82723</v>
      </c>
      <c r="C46021" s="1">
        <v>1.1676332074884201E-3</v>
      </c>
      <c r="D46021" s="1">
        <v>1.27280441238862E-3</v>
      </c>
      <c r="E46021" s="1">
        <v>3.75335120643431E-3</v>
      </c>
      <c r="F46021" s="1">
        <v>1.33712184522814E-3</v>
      </c>
    </row>
    <row r="46022" spans="1:6" x14ac:dyDescent="0.25">
      <c r="A46022" s="2" t="str">
        <f t="shared" si="1456"/>
        <v>23940</v>
      </c>
      <c r="B46022" s="2" t="str">
        <f>"82729"</f>
        <v>82729</v>
      </c>
      <c r="C46022" s="1">
        <v>1.22601486786284E-2</v>
      </c>
      <c r="D46022" s="1">
        <v>1.6970725498515E-3</v>
      </c>
      <c r="E46022" s="1">
        <v>2.1447721179624602E-3</v>
      </c>
      <c r="F46022" s="1">
        <v>1.07972589002172E-2</v>
      </c>
    </row>
    <row r="46023" spans="1:6" x14ac:dyDescent="0.25">
      <c r="A46023" s="2" t="str">
        <f t="shared" si="1456"/>
        <v>23940</v>
      </c>
      <c r="B46023" s="2" t="str">
        <f>"82721"</f>
        <v>82721</v>
      </c>
      <c r="C46023" s="1">
        <v>4.2462927645662202E-2</v>
      </c>
      <c r="D46023" s="1">
        <v>8.9096308867204002E-3</v>
      </c>
      <c r="E46023" s="1">
        <v>1.55495978552278E-2</v>
      </c>
      <c r="F46023" s="1">
        <v>3.8141400635132799E-2</v>
      </c>
    </row>
    <row r="46024" spans="1:6" x14ac:dyDescent="0.25">
      <c r="A46024" s="2" t="str">
        <f t="shared" si="1456"/>
        <v>23940</v>
      </c>
      <c r="B46024" s="2" t="str">
        <f>"82710"</f>
        <v>82710</v>
      </c>
      <c r="C46024" s="1">
        <v>7.3171681002607699E-3</v>
      </c>
      <c r="D46024" s="1">
        <v>2.1213406873143801E-3</v>
      </c>
      <c r="E46024" s="1">
        <v>4.8257372654155403E-3</v>
      </c>
      <c r="F46024" s="1">
        <v>6.7524653184021302E-3</v>
      </c>
    </row>
    <row r="46025" spans="1:6" x14ac:dyDescent="0.25">
      <c r="A46025" s="2" t="str">
        <f t="shared" si="1456"/>
        <v>23940</v>
      </c>
      <c r="B46025" s="2" t="str">
        <f>"82712"</f>
        <v>82712</v>
      </c>
      <c r="C46025" s="1">
        <v>9.3410656599073603E-4</v>
      </c>
      <c r="D46025" s="1">
        <v>8.4853627492575295E-4</v>
      </c>
      <c r="E46025" s="1">
        <v>5.8981233243967802E-3</v>
      </c>
      <c r="F46025" s="1">
        <v>1.23683770683603E-3</v>
      </c>
    </row>
    <row r="46026" spans="1:6" x14ac:dyDescent="0.25">
      <c r="A46026" s="2" t="str">
        <f t="shared" si="1456"/>
        <v>23940</v>
      </c>
      <c r="B46026" s="2" t="str">
        <f>"82720"</f>
        <v>82720</v>
      </c>
      <c r="C46026" s="1">
        <v>1.7592340326158799E-2</v>
      </c>
      <c r="D46026" s="1">
        <v>4.2426813746287599E-4</v>
      </c>
      <c r="E46026" s="1">
        <v>1.6085790884718401E-3</v>
      </c>
      <c r="F46026" s="1">
        <v>1.5243189035600801E-2</v>
      </c>
    </row>
    <row r="46027" spans="1:6" x14ac:dyDescent="0.25">
      <c r="A46027" s="2" t="str">
        <f t="shared" si="1456"/>
        <v>23940</v>
      </c>
      <c r="B46027" s="2" t="str">
        <f>"82730"</f>
        <v>82730</v>
      </c>
      <c r="C46027" s="1">
        <v>4.5926906161211202E-3</v>
      </c>
      <c r="D46027" s="1">
        <v>8.4853627492575295E-4</v>
      </c>
      <c r="E46027" s="1">
        <v>3.2171581769436901E-3</v>
      </c>
      <c r="F46027" s="1">
        <v>4.2119338124686602E-3</v>
      </c>
    </row>
    <row r="46028" spans="1:6" x14ac:dyDescent="0.25">
      <c r="A46028" s="2" t="str">
        <f t="shared" si="1456"/>
        <v>23940</v>
      </c>
      <c r="B46028" s="2" t="str">
        <f>"82725"</f>
        <v>82725</v>
      </c>
      <c r="C46028" s="1">
        <v>2.4131086288094001E-3</v>
      </c>
      <c r="D46028" s="1">
        <v>0</v>
      </c>
      <c r="E46028" s="1">
        <v>5.3619302949061603E-4</v>
      </c>
      <c r="F46028" s="1">
        <v>2.1059669062343301E-3</v>
      </c>
    </row>
    <row r="46029" spans="1:6" x14ac:dyDescent="0.25">
      <c r="A46029" s="2" t="str">
        <f t="shared" si="1456"/>
        <v>23940</v>
      </c>
      <c r="B46029" s="2" t="str">
        <f>"82714"</f>
        <v>82714</v>
      </c>
      <c r="C46029" s="1">
        <v>2.2185030942279901E-3</v>
      </c>
      <c r="D46029" s="1">
        <v>0</v>
      </c>
      <c r="E46029" s="1">
        <v>2.6809651474530801E-3</v>
      </c>
      <c r="F46029" s="1">
        <v>2.0725388601036199E-3</v>
      </c>
    </row>
    <row r="46030" spans="1:6" x14ac:dyDescent="0.25">
      <c r="A46030" s="2" t="str">
        <f t="shared" si="1456"/>
        <v>23940</v>
      </c>
      <c r="B46030" s="2" t="str">
        <f>"82718"</f>
        <v>82718</v>
      </c>
      <c r="C46030" s="1">
        <v>0.418985715953761</v>
      </c>
      <c r="D46030" s="1">
        <v>0.37675010606703402</v>
      </c>
      <c r="E46030" s="1">
        <v>0.40857908847184898</v>
      </c>
      <c r="F46030" s="1">
        <v>0.41500919271268499</v>
      </c>
    </row>
    <row r="46031" spans="1:6" x14ac:dyDescent="0.25">
      <c r="A46031" s="2" t="str">
        <f t="shared" si="1456"/>
        <v>23940</v>
      </c>
      <c r="B46031" s="2" t="str">
        <f>"82727"</f>
        <v>82727</v>
      </c>
      <c r="C46031" s="1">
        <v>2.4208928501926501E-2</v>
      </c>
      <c r="D46031" s="1">
        <v>4.2426813746287602E-3</v>
      </c>
      <c r="E46031" s="1">
        <v>3.6997319034852497E-2</v>
      </c>
      <c r="F46031" s="1">
        <v>2.3433060337623199E-2</v>
      </c>
    </row>
    <row r="46032" spans="1:6" x14ac:dyDescent="0.25">
      <c r="A46032" s="2" t="str">
        <f t="shared" si="1456"/>
        <v>23940</v>
      </c>
      <c r="B46032" s="2" t="str">
        <f>"82715"</f>
        <v>82715</v>
      </c>
      <c r="C46032" s="1">
        <v>1.16763320748842E-4</v>
      </c>
      <c r="D46032" s="1">
        <v>4.2426813746287599E-4</v>
      </c>
      <c r="E46032" s="1">
        <v>5.3619302949061603E-4</v>
      </c>
      <c r="F46032" s="1">
        <v>1.6714023065351799E-4</v>
      </c>
    </row>
    <row r="46033" spans="1:6" x14ac:dyDescent="0.25">
      <c r="A46033" s="2" t="str">
        <f t="shared" si="1456"/>
        <v>23940</v>
      </c>
      <c r="B46033" s="2" t="str">
        <f>"82716"</f>
        <v>82716</v>
      </c>
      <c r="C46033" s="1">
        <v>0.33137430428521297</v>
      </c>
      <c r="D46033" s="1">
        <v>0.43360203648705897</v>
      </c>
      <c r="E46033" s="1">
        <v>0.41769436997318998</v>
      </c>
      <c r="F46033" s="1">
        <v>0.34481029583820799</v>
      </c>
    </row>
    <row r="46034" spans="1:6" x14ac:dyDescent="0.25">
      <c r="A46034" s="2" t="str">
        <f t="shared" si="1456"/>
        <v>23940</v>
      </c>
      <c r="B46034" s="2" t="str">
        <f>"82701"</f>
        <v>82701</v>
      </c>
      <c r="C46034" s="1">
        <v>0.12847857393064199</v>
      </c>
      <c r="D46034" s="1">
        <v>0.168010182435299</v>
      </c>
      <c r="E46034" s="1">
        <v>8.09651474530831E-2</v>
      </c>
      <c r="F46034" s="1">
        <v>0.12863112151094699</v>
      </c>
    </row>
    <row r="46035" spans="1:6" x14ac:dyDescent="0.25">
      <c r="A46035" s="2" t="str">
        <f t="shared" si="1456"/>
        <v>23940</v>
      </c>
      <c r="B46035" s="2" t="str">
        <f>"82831"</f>
        <v>82831</v>
      </c>
      <c r="C46035" s="1">
        <v>1.1287121005721401E-3</v>
      </c>
      <c r="D46035" s="1">
        <v>0</v>
      </c>
      <c r="E46035" s="1">
        <v>6.4343163538873897E-3</v>
      </c>
      <c r="F46035" s="1">
        <v>1.37054989135885E-3</v>
      </c>
    </row>
    <row r="46036" spans="1:6" x14ac:dyDescent="0.25">
      <c r="A46036" s="2" t="str">
        <f t="shared" ref="A46036:A46058" si="1457">"26820"</f>
        <v>26820</v>
      </c>
      <c r="B46036" s="2" t="str">
        <f>"83444"</f>
        <v>83444</v>
      </c>
      <c r="C46036" s="1">
        <v>7.3978883023061897E-3</v>
      </c>
      <c r="D46036" s="1">
        <v>1.1144722177997099E-3</v>
      </c>
      <c r="E46036" s="1">
        <v>7.2428778367938096E-3</v>
      </c>
      <c r="F46036" s="1">
        <v>6.7944673622907003E-3</v>
      </c>
    </row>
    <row r="46037" spans="1:6" x14ac:dyDescent="0.25">
      <c r="A46037" s="2" t="str">
        <f t="shared" si="1457"/>
        <v>26820</v>
      </c>
      <c r="B46037" s="2" t="str">
        <f>"83255"</f>
        <v>83255</v>
      </c>
      <c r="C46037" s="1">
        <v>6.8421783828841298E-3</v>
      </c>
      <c r="D46037" s="1">
        <v>7.9605158414265199E-4</v>
      </c>
      <c r="E46037" s="1">
        <v>1.4485755673587599E-3</v>
      </c>
      <c r="F46037" s="1">
        <v>6.0968211599126401E-3</v>
      </c>
    </row>
    <row r="46038" spans="1:6" x14ac:dyDescent="0.25">
      <c r="A46038" s="2" t="str">
        <f t="shared" si="1457"/>
        <v>26820</v>
      </c>
      <c r="B46038" s="2" t="str">
        <f>"83274"</f>
        <v>83274</v>
      </c>
      <c r="C46038" s="1">
        <v>7.4673520422339503E-4</v>
      </c>
      <c r="D46038" s="1">
        <v>1.5921031682853001E-4</v>
      </c>
      <c r="E46038" s="1">
        <v>0</v>
      </c>
      <c r="F46038" s="1">
        <v>6.6731375879640798E-4</v>
      </c>
    </row>
    <row r="46039" spans="1:6" x14ac:dyDescent="0.25">
      <c r="A46039" s="2" t="str">
        <f t="shared" si="1457"/>
        <v>26820</v>
      </c>
      <c r="B46039" s="2" t="str">
        <f>"83454"</f>
        <v>83454</v>
      </c>
      <c r="C46039" s="1">
        <v>1.2850791886635099E-3</v>
      </c>
      <c r="D46039" s="1">
        <v>0</v>
      </c>
      <c r="E46039" s="1">
        <v>4.82858522452921E-4</v>
      </c>
      <c r="F46039" s="1">
        <v>1.1374666343120601E-3</v>
      </c>
    </row>
    <row r="46040" spans="1:6" x14ac:dyDescent="0.25">
      <c r="A46040" s="2" t="str">
        <f t="shared" si="1457"/>
        <v>26820</v>
      </c>
      <c r="B46040" s="2" t="str">
        <f>"83443"</f>
        <v>83443</v>
      </c>
      <c r="C46040" s="1">
        <v>6.7206168380105503E-3</v>
      </c>
      <c r="D46040" s="1">
        <v>3.1842063365706001E-4</v>
      </c>
      <c r="E46040" s="1">
        <v>2.8971511347175198E-3</v>
      </c>
      <c r="F46040" s="1">
        <v>5.9906576073768501E-3</v>
      </c>
    </row>
    <row r="46041" spans="1:6" x14ac:dyDescent="0.25">
      <c r="A46041" s="2" t="str">
        <f t="shared" si="1457"/>
        <v>26820</v>
      </c>
      <c r="B46041" s="2" t="str">
        <f>"83285"</f>
        <v>83285</v>
      </c>
      <c r="C46041" s="1">
        <v>7.4673520422339503E-4</v>
      </c>
      <c r="D46041" s="1">
        <v>3.1842063365706001E-4</v>
      </c>
      <c r="E46041" s="1">
        <v>0</v>
      </c>
      <c r="F46041" s="1">
        <v>6.8247998058723603E-4</v>
      </c>
    </row>
    <row r="46042" spans="1:6" x14ac:dyDescent="0.25">
      <c r="A46042" s="2" t="str">
        <f t="shared" si="1457"/>
        <v>26820</v>
      </c>
      <c r="B46042" s="2" t="str">
        <f>"83434"</f>
        <v>83434</v>
      </c>
      <c r="C46042" s="1">
        <v>9.0997499305362599E-3</v>
      </c>
      <c r="D46042" s="1">
        <v>9.5526190097118199E-4</v>
      </c>
      <c r="E46042" s="1">
        <v>2.4142926122645999E-3</v>
      </c>
      <c r="F46042" s="1">
        <v>8.1139286580926891E-3</v>
      </c>
    </row>
    <row r="46043" spans="1:6" x14ac:dyDescent="0.25">
      <c r="A46043" s="2" t="str">
        <f t="shared" si="1457"/>
        <v>26820</v>
      </c>
      <c r="B46043" s="2" t="str">
        <f>"83431"</f>
        <v>83431</v>
      </c>
      <c r="C46043" s="1">
        <v>5.0187552097804896E-3</v>
      </c>
      <c r="D46043" s="1">
        <v>6.36841267314121E-4</v>
      </c>
      <c r="E46043" s="1">
        <v>4.82858522452921E-4</v>
      </c>
      <c r="F46043" s="1">
        <v>4.4588692065032701E-3</v>
      </c>
    </row>
    <row r="46044" spans="1:6" x14ac:dyDescent="0.25">
      <c r="A46044" s="2" t="str">
        <f t="shared" si="1457"/>
        <v>26820</v>
      </c>
      <c r="B46044" s="2" t="str">
        <f>"83401"</f>
        <v>83401</v>
      </c>
      <c r="C46044" s="1">
        <v>0.28370727979994398</v>
      </c>
      <c r="D46044" s="1">
        <v>0.24566151886642201</v>
      </c>
      <c r="E46044" s="1">
        <v>0.32786093674553302</v>
      </c>
      <c r="F46044" s="1">
        <v>0.28146991021596601</v>
      </c>
    </row>
    <row r="46045" spans="1:6" x14ac:dyDescent="0.25">
      <c r="A46045" s="2" t="str">
        <f t="shared" si="1457"/>
        <v>26820</v>
      </c>
      <c r="B46045" s="2" t="str">
        <f>"83213"</f>
        <v>83213</v>
      </c>
      <c r="C46045" s="1">
        <v>9.8985829397054692E-3</v>
      </c>
      <c r="D46045" s="1">
        <v>2.8657857029135399E-3</v>
      </c>
      <c r="E46045" s="1">
        <v>9.6571704490584203E-3</v>
      </c>
      <c r="F46045" s="1">
        <v>9.2210628488231007E-3</v>
      </c>
    </row>
    <row r="46046" spans="1:6" x14ac:dyDescent="0.25">
      <c r="A46046" s="2" t="str">
        <f t="shared" si="1457"/>
        <v>26820</v>
      </c>
      <c r="B46046" s="2" t="str">
        <f>"83425"</f>
        <v>83425</v>
      </c>
      <c r="C46046" s="1">
        <v>3.8899694359544302E-3</v>
      </c>
      <c r="D46046" s="1">
        <v>4.77630950485591E-4</v>
      </c>
      <c r="E46046" s="1">
        <v>9.6571704490584201E-4</v>
      </c>
      <c r="F46046" s="1">
        <v>3.4730647900994898E-3</v>
      </c>
    </row>
    <row r="46047" spans="1:6" x14ac:dyDescent="0.25">
      <c r="A46047" s="2" t="str">
        <f t="shared" si="1457"/>
        <v>26820</v>
      </c>
      <c r="B46047" s="2" t="str">
        <f>"83405"</f>
        <v>83405</v>
      </c>
      <c r="C46047" s="1">
        <v>1.80258405112531E-2</v>
      </c>
      <c r="D46047" s="1">
        <v>6.3843337048240703E-2</v>
      </c>
      <c r="E46047" s="1">
        <v>9.6571704490584201E-4</v>
      </c>
      <c r="F46047" s="1">
        <v>2.1854525600582299E-2</v>
      </c>
    </row>
    <row r="46048" spans="1:6" x14ac:dyDescent="0.25">
      <c r="A46048" s="2" t="str">
        <f t="shared" si="1457"/>
        <v>26820</v>
      </c>
      <c r="B46048" s="2" t="str">
        <f>"83403"</f>
        <v>83403</v>
      </c>
      <c r="C46048" s="1">
        <v>1.6740761322589601E-2</v>
      </c>
      <c r="D46048" s="1">
        <v>9.6799872631746497E-2</v>
      </c>
      <c r="E46048" s="1">
        <v>9.6571704490584201E-4</v>
      </c>
      <c r="F46048" s="1">
        <v>2.3871633098762401E-2</v>
      </c>
    </row>
    <row r="46049" spans="1:6" x14ac:dyDescent="0.25">
      <c r="A46049" s="2" t="str">
        <f t="shared" si="1457"/>
        <v>26820</v>
      </c>
      <c r="B46049" s="2" t="str">
        <f>"83402"</f>
        <v>83402</v>
      </c>
      <c r="C46049" s="1">
        <v>0.196773409280355</v>
      </c>
      <c r="D46049" s="1">
        <v>0.28291673300429798</v>
      </c>
      <c r="E46049" s="1">
        <v>0.35103814582327297</v>
      </c>
      <c r="F46049" s="1">
        <v>0.20982467847609801</v>
      </c>
    </row>
    <row r="46050" spans="1:6" x14ac:dyDescent="0.25">
      <c r="A46050" s="2" t="str">
        <f t="shared" si="1457"/>
        <v>26820</v>
      </c>
      <c r="B46050" s="2" t="str">
        <f>"83244"</f>
        <v>83244</v>
      </c>
      <c r="C46050" s="1">
        <v>2.0318143928869099E-3</v>
      </c>
      <c r="D46050" s="1">
        <v>4.77630950485591E-4</v>
      </c>
      <c r="E46050" s="1">
        <v>4.82858522452921E-4</v>
      </c>
      <c r="F46050" s="1">
        <v>1.83511283669012E-3</v>
      </c>
    </row>
    <row r="46051" spans="1:6" x14ac:dyDescent="0.25">
      <c r="A46051" s="2" t="str">
        <f t="shared" si="1457"/>
        <v>26820</v>
      </c>
      <c r="B46051" s="2" t="str">
        <f>"83428"</f>
        <v>83428</v>
      </c>
      <c r="C46051" s="1">
        <v>2.4485968324534499E-3</v>
      </c>
      <c r="D46051" s="1">
        <v>1.2736825346282401E-3</v>
      </c>
      <c r="E46051" s="1">
        <v>9.6571704490584201E-4</v>
      </c>
      <c r="F46051" s="1">
        <v>2.2900994904149399E-3</v>
      </c>
    </row>
    <row r="46052" spans="1:6" x14ac:dyDescent="0.25">
      <c r="A46052" s="2" t="str">
        <f t="shared" si="1457"/>
        <v>26820</v>
      </c>
      <c r="B46052" s="2" t="str">
        <f>"83450"</f>
        <v>83450</v>
      </c>
      <c r="C46052" s="1">
        <v>6.5816893581550403E-3</v>
      </c>
      <c r="D46052" s="1">
        <v>2.5473650692564801E-3</v>
      </c>
      <c r="E46052" s="1">
        <v>3.8628681796233702E-3</v>
      </c>
      <c r="F46052" s="1">
        <v>6.1119873817034702E-3</v>
      </c>
    </row>
    <row r="46053" spans="1:6" x14ac:dyDescent="0.25">
      <c r="A46053" s="2" t="str">
        <f t="shared" si="1457"/>
        <v>26820</v>
      </c>
      <c r="B46053" s="2" t="str">
        <f>"83449"</f>
        <v>83449</v>
      </c>
      <c r="C46053" s="1">
        <v>5.3834398444012202E-4</v>
      </c>
      <c r="D46053" s="1">
        <v>3.1842063365706001E-4</v>
      </c>
      <c r="E46053" s="1">
        <v>4.82858522452921E-4</v>
      </c>
      <c r="F46053" s="1">
        <v>5.15651540888133E-4</v>
      </c>
    </row>
    <row r="46054" spans="1:6" x14ac:dyDescent="0.25">
      <c r="A46054" s="2" t="str">
        <f t="shared" si="1457"/>
        <v>26820</v>
      </c>
      <c r="B46054" s="2" t="str">
        <f>"83435"</f>
        <v>83435</v>
      </c>
      <c r="C46054" s="1">
        <v>3.5600166712975801E-3</v>
      </c>
      <c r="D46054" s="1">
        <v>0</v>
      </c>
      <c r="E46054" s="1">
        <v>4.82858522452921E-4</v>
      </c>
      <c r="F46054" s="1">
        <v>3.1242416889104502E-3</v>
      </c>
    </row>
    <row r="46055" spans="1:6" x14ac:dyDescent="0.25">
      <c r="A46055" s="2" t="str">
        <f t="shared" si="1457"/>
        <v>26820</v>
      </c>
      <c r="B46055" s="2" t="str">
        <f>"83427"</f>
        <v>83427</v>
      </c>
      <c r="C46055" s="1">
        <v>1.04021950541817E-2</v>
      </c>
      <c r="D46055" s="1">
        <v>1.2736825346282401E-3</v>
      </c>
      <c r="E46055" s="1">
        <v>2.4142926122645999E-3</v>
      </c>
      <c r="F46055" s="1">
        <v>9.2817277359864107E-3</v>
      </c>
    </row>
    <row r="46056" spans="1:6" x14ac:dyDescent="0.25">
      <c r="A46056" s="2" t="str">
        <f t="shared" si="1457"/>
        <v>26820</v>
      </c>
      <c r="B46056" s="2" t="str">
        <f>"83442"</f>
        <v>83442</v>
      </c>
      <c r="C46056" s="1">
        <v>0.126580300083356</v>
      </c>
      <c r="D46056" s="1">
        <v>6.6231491800668604E-2</v>
      </c>
      <c r="E46056" s="1">
        <v>9.6088845968131303E-2</v>
      </c>
      <c r="F46056" s="1">
        <v>0.1198738170347</v>
      </c>
    </row>
    <row r="46057" spans="1:6" x14ac:dyDescent="0.25">
      <c r="A46057" s="2" t="str">
        <f t="shared" si="1457"/>
        <v>26820</v>
      </c>
      <c r="B46057" s="2" t="str">
        <f>"83404"</f>
        <v>83404</v>
      </c>
      <c r="C46057" s="1">
        <v>0.17155807168657899</v>
      </c>
      <c r="D46057" s="1">
        <v>0.172902404075784</v>
      </c>
      <c r="E46057" s="1">
        <v>0.11250603573152999</v>
      </c>
      <c r="F46057" s="1">
        <v>0.16983135161368501</v>
      </c>
    </row>
    <row r="46058" spans="1:6" x14ac:dyDescent="0.25">
      <c r="A46058" s="2" t="str">
        <f t="shared" si="1457"/>
        <v>26820</v>
      </c>
      <c r="B46058" s="2" t="str">
        <f>"83406"</f>
        <v>83406</v>
      </c>
      <c r="C46058" s="1">
        <v>0.10940539038621799</v>
      </c>
      <c r="D46058" s="1">
        <v>5.8111765642413597E-2</v>
      </c>
      <c r="E46058" s="1">
        <v>7.6291646547561501E-2</v>
      </c>
      <c r="F46058" s="1">
        <v>0.103479131278815</v>
      </c>
    </row>
    <row r="46059" spans="1:6" x14ac:dyDescent="0.25">
      <c r="A46059" s="2" t="str">
        <f t="shared" ref="A46059:A46071" si="1458">"25720"</f>
        <v>25720</v>
      </c>
      <c r="B46059" s="2" t="str">
        <f>"84604"</f>
        <v>84604</v>
      </c>
      <c r="C46059" s="1">
        <v>9.4602407105691898E-4</v>
      </c>
      <c r="D46059" s="1">
        <v>1.0047726701833701E-3</v>
      </c>
      <c r="E46059" s="1">
        <v>0</v>
      </c>
      <c r="F46059" s="1">
        <v>9.2304142148378905E-4</v>
      </c>
    </row>
    <row r="46060" spans="1:6" x14ac:dyDescent="0.25">
      <c r="A46060" s="2" t="str">
        <f t="shared" si="1458"/>
        <v>25720</v>
      </c>
      <c r="B46060" s="2" t="str">
        <f>"84055"</f>
        <v>84055</v>
      </c>
      <c r="C46060" s="1">
        <v>3.3899195879539602E-3</v>
      </c>
      <c r="D46060" s="1">
        <v>0</v>
      </c>
      <c r="E46060" s="1">
        <v>7.6923076923076901E-4</v>
      </c>
      <c r="F46060" s="1">
        <v>2.9998846198223102E-3</v>
      </c>
    </row>
    <row r="46061" spans="1:6" x14ac:dyDescent="0.25">
      <c r="A46061" s="2" t="str">
        <f t="shared" si="1458"/>
        <v>25720</v>
      </c>
      <c r="B46061" s="2" t="str">
        <f>"84061"</f>
        <v>84061</v>
      </c>
      <c r="C46061" s="1">
        <v>4.09943764124664E-3</v>
      </c>
      <c r="D46061" s="1">
        <v>1.2559658377292099E-3</v>
      </c>
      <c r="E46061" s="1">
        <v>2.3076923076923001E-3</v>
      </c>
      <c r="F46061" s="1">
        <v>3.7844698280835301E-3</v>
      </c>
    </row>
    <row r="46062" spans="1:6" x14ac:dyDescent="0.25">
      <c r="A46062" s="2" t="str">
        <f t="shared" si="1458"/>
        <v>25720</v>
      </c>
      <c r="B46062" s="2" t="str">
        <f>"84060"</f>
        <v>84060</v>
      </c>
      <c r="C46062" s="1">
        <v>0.150890839333578</v>
      </c>
      <c r="D46062" s="1">
        <v>0.28485305199698502</v>
      </c>
      <c r="E46062" s="1">
        <v>0.17692307692307599</v>
      </c>
      <c r="F46062" s="1">
        <v>0.16397830852659501</v>
      </c>
    </row>
    <row r="46063" spans="1:6" x14ac:dyDescent="0.25">
      <c r="A46063" s="2" t="str">
        <f t="shared" si="1458"/>
        <v>25720</v>
      </c>
      <c r="B46063" s="2" t="str">
        <f>"84032"</f>
        <v>84032</v>
      </c>
      <c r="C46063" s="1">
        <v>0.24478372838597701</v>
      </c>
      <c r="D46063" s="1">
        <v>0.23335845265008701</v>
      </c>
      <c r="E46063" s="1">
        <v>0.27846153846153798</v>
      </c>
      <c r="F46063" s="1">
        <v>0.244744432906426</v>
      </c>
    </row>
    <row r="46064" spans="1:6" x14ac:dyDescent="0.25">
      <c r="A46064" s="2" t="str">
        <f t="shared" si="1458"/>
        <v>25720</v>
      </c>
      <c r="B46064" s="2" t="str">
        <f>"84024"</f>
        <v>84024</v>
      </c>
      <c r="C46064" s="1">
        <v>0</v>
      </c>
      <c r="D46064" s="1">
        <v>2.5119316754584198E-4</v>
      </c>
      <c r="E46064" s="1">
        <v>0</v>
      </c>
      <c r="F46064" s="1">
        <v>2.3076035537094701E-5</v>
      </c>
    </row>
    <row r="46065" spans="1:6" x14ac:dyDescent="0.25">
      <c r="A46065" s="2" t="str">
        <f t="shared" si="1458"/>
        <v>25720</v>
      </c>
      <c r="B46065" s="2" t="str">
        <f>"84068"</f>
        <v>84068</v>
      </c>
      <c r="C46065" s="1">
        <v>7.4131497345876901E-2</v>
      </c>
      <c r="D46065" s="1">
        <v>0.125847776940467</v>
      </c>
      <c r="E46065" s="1">
        <v>1.53846153846153E-3</v>
      </c>
      <c r="F46065" s="1">
        <v>7.6704742125302802E-2</v>
      </c>
    </row>
    <row r="46066" spans="1:6" x14ac:dyDescent="0.25">
      <c r="A46066" s="2" t="str">
        <f t="shared" si="1458"/>
        <v>25720</v>
      </c>
      <c r="B46066" s="2" t="str">
        <f>"84049"</f>
        <v>84049</v>
      </c>
      <c r="C46066" s="1">
        <v>8.9846008303989006E-2</v>
      </c>
      <c r="D46066" s="1">
        <v>6.3551871389098194E-2</v>
      </c>
      <c r="E46066" s="1">
        <v>4.4615384615384598E-2</v>
      </c>
      <c r="F46066" s="1">
        <v>8.6073612553363293E-2</v>
      </c>
    </row>
    <row r="46067" spans="1:6" x14ac:dyDescent="0.25">
      <c r="A46067" s="2" t="str">
        <f t="shared" si="1458"/>
        <v>25720</v>
      </c>
      <c r="B46067" s="2" t="str">
        <f>"84082"</f>
        <v>84082</v>
      </c>
      <c r="C46067" s="1">
        <v>5.7024228727597598E-3</v>
      </c>
      <c r="D46067" s="1">
        <v>3.5167043456417902E-3</v>
      </c>
      <c r="E46067" s="1">
        <v>7.6923076923076901E-4</v>
      </c>
      <c r="F46067" s="1">
        <v>5.3536402446059698E-3</v>
      </c>
    </row>
    <row r="46068" spans="1:6" x14ac:dyDescent="0.25">
      <c r="A46068" s="2" t="str">
        <f t="shared" si="1458"/>
        <v>25720</v>
      </c>
      <c r="B46068" s="2" t="str">
        <f>"84033"</f>
        <v>84033</v>
      </c>
      <c r="C46068" s="1">
        <v>1.05113785672991E-4</v>
      </c>
      <c r="D46068" s="1">
        <v>0</v>
      </c>
      <c r="E46068" s="1">
        <v>7.6923076923076901E-4</v>
      </c>
      <c r="F46068" s="1">
        <v>1.1538017768547299E-4</v>
      </c>
    </row>
    <row r="46069" spans="1:6" x14ac:dyDescent="0.25">
      <c r="A46069" s="2" t="str">
        <f t="shared" si="1458"/>
        <v>25720</v>
      </c>
      <c r="B46069" s="2" t="str">
        <f>"84098"</f>
        <v>84098</v>
      </c>
      <c r="C46069" s="1">
        <v>0.27639669942712902</v>
      </c>
      <c r="D46069" s="1">
        <v>0.23436322532027101</v>
      </c>
      <c r="E46069" s="1">
        <v>0.43076923076923002</v>
      </c>
      <c r="F46069" s="1">
        <v>0.27716626283604401</v>
      </c>
    </row>
    <row r="46070" spans="1:6" x14ac:dyDescent="0.25">
      <c r="A46070" s="2" t="str">
        <f t="shared" si="1458"/>
        <v>25720</v>
      </c>
      <c r="B46070" s="2" t="str">
        <f>"84036"</f>
        <v>84036</v>
      </c>
      <c r="C46070" s="1">
        <v>9.4103116623745195E-2</v>
      </c>
      <c r="D46070" s="1">
        <v>3.7930168299422203E-2</v>
      </c>
      <c r="E46070" s="1">
        <v>4.5384615384615301E-2</v>
      </c>
      <c r="F46070" s="1">
        <v>8.74812507211261E-2</v>
      </c>
    </row>
    <row r="46071" spans="1:6" x14ac:dyDescent="0.25">
      <c r="A46071" s="2" t="str">
        <f t="shared" si="1458"/>
        <v>25720</v>
      </c>
      <c r="B46071" s="2" t="str">
        <f>"84017"</f>
        <v>84017</v>
      </c>
      <c r="C46071" s="1">
        <v>5.5605192621012198E-2</v>
      </c>
      <c r="D46071" s="1">
        <v>1.40668173825671E-2</v>
      </c>
      <c r="E46071" s="1">
        <v>1.7692307692307601E-2</v>
      </c>
      <c r="F46071" s="1">
        <v>5.0651898003922897E-2</v>
      </c>
    </row>
    <row r="46072" spans="1:6" x14ac:dyDescent="0.25">
      <c r="A46072" s="2" t="str">
        <f t="shared" ref="A46072:A46083" si="1459">"37740"</f>
        <v>37740</v>
      </c>
      <c r="B46072" s="2" t="str">
        <f>"85544"</f>
        <v>85544</v>
      </c>
      <c r="C46072" s="1">
        <v>0.135531772963252</v>
      </c>
      <c r="D46072" s="1">
        <v>5.2933392148213397E-3</v>
      </c>
      <c r="E46072" s="1">
        <v>1.32538104705102E-2</v>
      </c>
      <c r="F46072" s="1">
        <v>0.12299045876356</v>
      </c>
    </row>
    <row r="46073" spans="1:6" x14ac:dyDescent="0.25">
      <c r="A46073" s="2" t="str">
        <f t="shared" si="1459"/>
        <v>37740</v>
      </c>
      <c r="B46073" s="2" t="str">
        <f>"85192"</f>
        <v>85192</v>
      </c>
      <c r="C46073" s="1">
        <v>4.5534963311000803E-3</v>
      </c>
      <c r="D46073" s="1">
        <v>0</v>
      </c>
      <c r="E46073" s="1">
        <v>3.3134526176275599E-3</v>
      </c>
      <c r="F46073" s="1">
        <v>4.2347405567899604E-3</v>
      </c>
    </row>
    <row r="46074" spans="1:6" x14ac:dyDescent="0.25">
      <c r="A46074" s="2" t="str">
        <f t="shared" si="1459"/>
        <v>37740</v>
      </c>
      <c r="B46074" s="2" t="str">
        <f>"85553"</f>
        <v>85553</v>
      </c>
      <c r="C46074" s="1">
        <v>5.4235911714376802E-3</v>
      </c>
      <c r="D46074" s="1">
        <v>0</v>
      </c>
      <c r="E46074" s="1">
        <v>6.6269052352551305E-4</v>
      </c>
      <c r="F46074" s="1">
        <v>4.91439027578094E-3</v>
      </c>
    </row>
    <row r="46075" spans="1:6" x14ac:dyDescent="0.25">
      <c r="A46075" s="2" t="str">
        <f t="shared" si="1459"/>
        <v>37740</v>
      </c>
      <c r="B46075" s="2" t="str">
        <f>"85135"</f>
        <v>85135</v>
      </c>
      <c r="C46075" s="1">
        <v>2.8423098117694801E-3</v>
      </c>
      <c r="D46075" s="1">
        <v>0</v>
      </c>
      <c r="E46075" s="1">
        <v>1.32538104705102E-3</v>
      </c>
      <c r="F46075" s="1">
        <v>2.6140373807345399E-3</v>
      </c>
    </row>
    <row r="46076" spans="1:6" x14ac:dyDescent="0.25">
      <c r="A46076" s="2" t="str">
        <f t="shared" si="1459"/>
        <v>37740</v>
      </c>
      <c r="B46076" s="2" t="str">
        <f>"85554"</f>
        <v>85554</v>
      </c>
      <c r="C46076" s="1">
        <v>6.9607587227007702E-4</v>
      </c>
      <c r="D46076" s="1">
        <v>0</v>
      </c>
      <c r="E46076" s="1">
        <v>1.9880715705765401E-3</v>
      </c>
      <c r="F46076" s="1">
        <v>7.0579009279832705E-4</v>
      </c>
    </row>
    <row r="46077" spans="1:6" x14ac:dyDescent="0.25">
      <c r="A46077" s="2" t="str">
        <f t="shared" si="1459"/>
        <v>37740</v>
      </c>
      <c r="B46077" s="2" t="str">
        <f>"85547"</f>
        <v>85547</v>
      </c>
      <c r="C46077" s="1">
        <v>9.2897125786710694E-2</v>
      </c>
      <c r="D46077" s="1">
        <v>0.16497573886193201</v>
      </c>
      <c r="E46077" s="1">
        <v>1.32538104705102E-3</v>
      </c>
      <c r="F46077" s="1">
        <v>9.3556397856489296E-2</v>
      </c>
    </row>
    <row r="46078" spans="1:6" x14ac:dyDescent="0.25">
      <c r="A46078" s="2" t="str">
        <f t="shared" si="1459"/>
        <v>37740</v>
      </c>
      <c r="B46078" s="2" t="str">
        <f>"85539"</f>
        <v>85539</v>
      </c>
      <c r="C46078" s="1">
        <v>5.4496940166478103E-2</v>
      </c>
      <c r="D46078" s="1">
        <v>9.2192324658138494E-2</v>
      </c>
      <c r="E46078" s="1">
        <v>4.7051027170311399E-2</v>
      </c>
      <c r="F46078" s="1">
        <v>5.6437067050058798E-2</v>
      </c>
    </row>
    <row r="46079" spans="1:6" x14ac:dyDescent="0.25">
      <c r="A46079" s="2" t="str">
        <f t="shared" si="1459"/>
        <v>37740</v>
      </c>
      <c r="B46079" s="2" t="str">
        <f>"85545"</f>
        <v>85545</v>
      </c>
      <c r="C46079" s="1">
        <v>1.0586153890774001E-2</v>
      </c>
      <c r="D46079" s="1">
        <v>1.7644464049404399E-3</v>
      </c>
      <c r="E46079" s="1">
        <v>6.6269052352551303E-3</v>
      </c>
      <c r="F46079" s="1">
        <v>9.9072016729839195E-3</v>
      </c>
    </row>
    <row r="46080" spans="1:6" x14ac:dyDescent="0.25">
      <c r="A46080" s="2" t="str">
        <f t="shared" si="1459"/>
        <v>37740</v>
      </c>
      <c r="B46080" s="2" t="str">
        <f>"85542"</f>
        <v>85542</v>
      </c>
      <c r="C46080" s="1">
        <v>2.0592244554656402E-3</v>
      </c>
      <c r="D46080" s="1">
        <v>8.8222320247022398E-4</v>
      </c>
      <c r="E46080" s="1">
        <v>1.9880715705765401E-3</v>
      </c>
      <c r="F46080" s="1">
        <v>1.98666840935825E-3</v>
      </c>
    </row>
    <row r="46081" spans="1:6" x14ac:dyDescent="0.25">
      <c r="A46081" s="2" t="str">
        <f t="shared" si="1459"/>
        <v>37740</v>
      </c>
      <c r="B46081" s="2" t="str">
        <f>"85501"</f>
        <v>85501</v>
      </c>
      <c r="C46081" s="1">
        <v>0.186026276864178</v>
      </c>
      <c r="D46081" s="1">
        <v>0.23290692545213901</v>
      </c>
      <c r="E46081" s="1">
        <v>0.32869449966865399</v>
      </c>
      <c r="F46081" s="1">
        <v>0.19443210037903499</v>
      </c>
    </row>
    <row r="46082" spans="1:6" x14ac:dyDescent="0.25">
      <c r="A46082" s="2" t="str">
        <f t="shared" si="1459"/>
        <v>37740</v>
      </c>
      <c r="B46082" s="2" t="str">
        <f>"85541"</f>
        <v>85541</v>
      </c>
      <c r="C46082" s="1">
        <v>0.50485802952521797</v>
      </c>
      <c r="D46082" s="1">
        <v>0.50198500220555797</v>
      </c>
      <c r="E46082" s="1">
        <v>0.59244532803180905</v>
      </c>
      <c r="F46082" s="1">
        <v>0.50814272644098801</v>
      </c>
    </row>
    <row r="46083" spans="1:6" x14ac:dyDescent="0.25">
      <c r="A46083" s="2" t="str">
        <f t="shared" si="1459"/>
        <v>37740</v>
      </c>
      <c r="B46083" s="2" t="str">
        <f>"85532"</f>
        <v>85532</v>
      </c>
      <c r="C46083" s="1">
        <v>2.9003161344586502E-5</v>
      </c>
      <c r="D46083" s="1">
        <v>0</v>
      </c>
      <c r="E46083" s="1">
        <v>1.32538104705102E-3</v>
      </c>
      <c r="F46083" s="1">
        <v>7.8421121422036298E-5</v>
      </c>
    </row>
    <row r="46084" spans="1:6" x14ac:dyDescent="0.25">
      <c r="A46084" s="2" t="str">
        <f t="shared" ref="A46084:A46108" si="1460">"43420"</f>
        <v>43420</v>
      </c>
      <c r="B46084" s="2" t="str">
        <f>"85632"</f>
        <v>85632</v>
      </c>
      <c r="C46084" s="1">
        <v>3.8561410601278098E-3</v>
      </c>
      <c r="D46084" s="1">
        <v>6.7219359175442505E-4</v>
      </c>
      <c r="E46084" s="1">
        <v>6.0975609756097496E-4</v>
      </c>
      <c r="F46084" s="1">
        <v>3.51115798823137E-3</v>
      </c>
    </row>
    <row r="46085" spans="1:6" x14ac:dyDescent="0.25">
      <c r="A46085" s="2" t="str">
        <f t="shared" si="1460"/>
        <v>43420</v>
      </c>
      <c r="B46085" s="2" t="str">
        <f>"85615"</f>
        <v>85615</v>
      </c>
      <c r="C46085" s="1">
        <v>6.4792499183679797E-2</v>
      </c>
      <c r="D46085" s="1">
        <v>1.43401299574277E-2</v>
      </c>
      <c r="E46085" s="1">
        <v>1.46341463414634E-2</v>
      </c>
      <c r="F46085" s="1">
        <v>5.93843677140002E-2</v>
      </c>
    </row>
    <row r="46086" spans="1:6" x14ac:dyDescent="0.25">
      <c r="A46086" s="2" t="str">
        <f t="shared" si="1460"/>
        <v>43420</v>
      </c>
      <c r="B46086" s="2" t="str">
        <f>"85606"</f>
        <v>85606</v>
      </c>
      <c r="C46086" s="1">
        <v>9.9202338562965394E-3</v>
      </c>
      <c r="D46086" s="1">
        <v>3.3609679587721202E-3</v>
      </c>
      <c r="E46086" s="1">
        <v>3.0487804878048699E-4</v>
      </c>
      <c r="F46086" s="1">
        <v>9.0762740091040305E-3</v>
      </c>
    </row>
    <row r="46087" spans="1:6" x14ac:dyDescent="0.25">
      <c r="A46087" s="2" t="str">
        <f t="shared" si="1460"/>
        <v>43420</v>
      </c>
      <c r="B46087" s="2" t="str">
        <f>"85636"</f>
        <v>85636</v>
      </c>
      <c r="C46087" s="1">
        <v>4.1655652822912899E-2</v>
      </c>
      <c r="D46087" s="1">
        <v>8.2455747255209502E-2</v>
      </c>
      <c r="E46087" s="1">
        <v>6.0975609756097496E-4</v>
      </c>
      <c r="F46087" s="1">
        <v>4.2314311091373298E-2</v>
      </c>
    </row>
    <row r="46088" spans="1:6" x14ac:dyDescent="0.25">
      <c r="A46088" s="2" t="str">
        <f t="shared" si="1460"/>
        <v>43420</v>
      </c>
      <c r="B46088" s="2" t="str">
        <f>"85626"</f>
        <v>85626</v>
      </c>
      <c r="C46088" s="1">
        <v>0</v>
      </c>
      <c r="D46088" s="1">
        <v>0</v>
      </c>
      <c r="E46088" s="1">
        <v>3.0487804878048699E-4</v>
      </c>
      <c r="F46088" s="1">
        <v>1.3878094815143701E-5</v>
      </c>
    </row>
    <row r="46089" spans="1:6" x14ac:dyDescent="0.25">
      <c r="A46089" s="2" t="str">
        <f t="shared" si="1460"/>
        <v>43420</v>
      </c>
      <c r="B46089" s="2" t="str">
        <f>"85620"</f>
        <v>85620</v>
      </c>
      <c r="C46089" s="1">
        <v>0</v>
      </c>
      <c r="D46089" s="1">
        <v>0</v>
      </c>
      <c r="E46089" s="1">
        <v>3.0487804878048699E-4</v>
      </c>
      <c r="F46089" s="1">
        <v>1.3878094815143701E-5</v>
      </c>
    </row>
    <row r="46090" spans="1:6" x14ac:dyDescent="0.25">
      <c r="A46090" s="2" t="str">
        <f t="shared" si="1460"/>
        <v>43420</v>
      </c>
      <c r="B46090" s="2" t="str">
        <f>"85603"</f>
        <v>85603</v>
      </c>
      <c r="C46090" s="1">
        <v>4.3879153514841403E-2</v>
      </c>
      <c r="D46090" s="1">
        <v>5.4447680932108403E-2</v>
      </c>
      <c r="E46090" s="1">
        <v>4.2987804878048701E-2</v>
      </c>
      <c r="F46090" s="1">
        <v>4.44931719773509E-2</v>
      </c>
    </row>
    <row r="46091" spans="1:6" x14ac:dyDescent="0.25">
      <c r="A46091" s="2" t="str">
        <f t="shared" si="1460"/>
        <v>43420</v>
      </c>
      <c r="B46091" s="2" t="str">
        <f>"85602"</f>
        <v>85602</v>
      </c>
      <c r="C46091" s="1">
        <v>0.11891841462845699</v>
      </c>
      <c r="D46091" s="1">
        <v>0.11987452386287201</v>
      </c>
      <c r="E46091" s="1">
        <v>4.84756097560975E-2</v>
      </c>
      <c r="F46091" s="1">
        <v>0.115771066947929</v>
      </c>
    </row>
    <row r="46092" spans="1:6" x14ac:dyDescent="0.25">
      <c r="A46092" s="2" t="str">
        <f t="shared" si="1460"/>
        <v>43420</v>
      </c>
      <c r="B46092" s="2" t="str">
        <f>"85643"</f>
        <v>85643</v>
      </c>
      <c r="C46092" s="1">
        <v>5.6100632842504598E-2</v>
      </c>
      <c r="D46092" s="1">
        <v>7.9318843827022104E-2</v>
      </c>
      <c r="E46092" s="1">
        <v>2.5609756097560901E-2</v>
      </c>
      <c r="F46092" s="1">
        <v>5.6150771622071702E-2</v>
      </c>
    </row>
    <row r="46093" spans="1:6" x14ac:dyDescent="0.25">
      <c r="A46093" s="2" t="str">
        <f t="shared" si="1460"/>
        <v>43420</v>
      </c>
      <c r="B46093" s="2" t="str">
        <f>"85627"</f>
        <v>85627</v>
      </c>
      <c r="C46093" s="1">
        <v>0</v>
      </c>
      <c r="D46093" s="1">
        <v>0</v>
      </c>
      <c r="E46093" s="1">
        <v>3.0487804878048699E-4</v>
      </c>
      <c r="F46093" s="1">
        <v>1.3878094815143701E-5</v>
      </c>
    </row>
    <row r="46094" spans="1:6" x14ac:dyDescent="0.25">
      <c r="A46094" s="2" t="str">
        <f t="shared" si="1460"/>
        <v>43420</v>
      </c>
      <c r="B46094" s="2" t="str">
        <f>"85611"</f>
        <v>85611</v>
      </c>
      <c r="C46094" s="1">
        <v>9.4848630914434002E-4</v>
      </c>
      <c r="D46094" s="1">
        <v>2.24064530584808E-4</v>
      </c>
      <c r="E46094" s="1">
        <v>0</v>
      </c>
      <c r="F46094" s="1">
        <v>8.6044187853891402E-4</v>
      </c>
    </row>
    <row r="46095" spans="1:6" x14ac:dyDescent="0.25">
      <c r="A46095" s="2" t="str">
        <f t="shared" si="1460"/>
        <v>43420</v>
      </c>
      <c r="B46095" s="2" t="str">
        <f>"85610"</f>
        <v>85610</v>
      </c>
      <c r="C46095" s="1">
        <v>6.9814811935378501E-3</v>
      </c>
      <c r="D46095" s="1">
        <v>4.7053551422809696E-3</v>
      </c>
      <c r="E46095" s="1">
        <v>1.2195121951219499E-3</v>
      </c>
      <c r="F46095" s="1">
        <v>6.5782169423781499E-3</v>
      </c>
    </row>
    <row r="46096" spans="1:6" x14ac:dyDescent="0.25">
      <c r="A46096" s="2" t="str">
        <f t="shared" si="1460"/>
        <v>43420</v>
      </c>
      <c r="B46096" s="2" t="str">
        <f>"85625"</f>
        <v>85625</v>
      </c>
      <c r="C46096" s="1">
        <v>1.80056909178548E-2</v>
      </c>
      <c r="D46096" s="1">
        <v>7.6181940398834802E-3</v>
      </c>
      <c r="E46096" s="1">
        <v>2.7439024390243901E-3</v>
      </c>
      <c r="F46096" s="1">
        <v>1.6667591872987601E-2</v>
      </c>
    </row>
    <row r="46097" spans="1:6" x14ac:dyDescent="0.25">
      <c r="A46097" s="2" t="str">
        <f t="shared" si="1460"/>
        <v>43420</v>
      </c>
      <c r="B46097" s="2" t="str">
        <f>"85616"</f>
        <v>85616</v>
      </c>
      <c r="C46097" s="1">
        <v>4.0007463498826001E-2</v>
      </c>
      <c r="D46097" s="1">
        <v>2.4871162894913701E-2</v>
      </c>
      <c r="E46097" s="1">
        <v>2.5000000000000001E-2</v>
      </c>
      <c r="F46097" s="1">
        <v>3.8386810258687599E-2</v>
      </c>
    </row>
    <row r="46098" spans="1:6" x14ac:dyDescent="0.25">
      <c r="A46098" s="2" t="str">
        <f t="shared" si="1460"/>
        <v>43420</v>
      </c>
      <c r="B46098" s="2" t="str">
        <f>"85613"</f>
        <v>85613</v>
      </c>
      <c r="C46098" s="1">
        <v>1.98249187567054E-2</v>
      </c>
      <c r="D46098" s="1">
        <v>1.8149226977369402E-2</v>
      </c>
      <c r="E46098" s="1">
        <v>2.7134146341463401E-2</v>
      </c>
      <c r="F46098" s="1">
        <v>2.0053847007882701E-2</v>
      </c>
    </row>
    <row r="46099" spans="1:6" x14ac:dyDescent="0.25">
      <c r="A46099" s="2" t="str">
        <f t="shared" si="1460"/>
        <v>43420</v>
      </c>
      <c r="B46099" s="2" t="str">
        <f>"85609"</f>
        <v>85609</v>
      </c>
      <c r="C46099" s="1">
        <v>1.35275916222225E-3</v>
      </c>
      <c r="D46099" s="1">
        <v>0</v>
      </c>
      <c r="E46099" s="1">
        <v>9.1463414634146303E-4</v>
      </c>
      <c r="F46099" s="1">
        <v>1.2490285333629299E-3</v>
      </c>
    </row>
    <row r="46100" spans="1:6" x14ac:dyDescent="0.25">
      <c r="A46100" s="2" t="str">
        <f t="shared" si="1460"/>
        <v>43420</v>
      </c>
      <c r="B46100" s="2" t="str">
        <f>"85638"</f>
        <v>85638</v>
      </c>
      <c r="C46100" s="1">
        <v>1.22059303717755E-2</v>
      </c>
      <c r="D46100" s="1">
        <v>2.24064530584808E-4</v>
      </c>
      <c r="E46100" s="1">
        <v>5.7926829268292604E-3</v>
      </c>
      <c r="F46100" s="1">
        <v>1.11718663261907E-2</v>
      </c>
    </row>
    <row r="46101" spans="1:6" x14ac:dyDescent="0.25">
      <c r="A46101" s="2" t="str">
        <f t="shared" si="1460"/>
        <v>43420</v>
      </c>
      <c r="B46101" s="2" t="str">
        <f>"85608"</f>
        <v>85608</v>
      </c>
      <c r="C46101" s="1">
        <v>3.1906457481380102E-2</v>
      </c>
      <c r="D46101" s="1">
        <v>3.1817163343042701E-2</v>
      </c>
      <c r="E46101" s="1">
        <v>6.0975609756097496E-4</v>
      </c>
      <c r="F46101" s="1">
        <v>3.04762962140557E-2</v>
      </c>
    </row>
    <row r="46102" spans="1:6" x14ac:dyDescent="0.25">
      <c r="A46102" s="2" t="str">
        <f t="shared" si="1460"/>
        <v>43420</v>
      </c>
      <c r="B46102" s="2" t="str">
        <f>"85617"</f>
        <v>85617</v>
      </c>
      <c r="C46102" s="1">
        <v>7.8055758555812902E-3</v>
      </c>
      <c r="D46102" s="1">
        <v>3.1369034281873102E-3</v>
      </c>
      <c r="E46102" s="1">
        <v>1.52439024390243E-3</v>
      </c>
      <c r="F46102" s="1">
        <v>7.2304873986899004E-3</v>
      </c>
    </row>
    <row r="46103" spans="1:6" x14ac:dyDescent="0.25">
      <c r="A46103" s="2" t="str">
        <f t="shared" si="1460"/>
        <v>43420</v>
      </c>
      <c r="B46103" s="2" t="str">
        <f>"85635"</f>
        <v>85635</v>
      </c>
      <c r="C46103" s="1">
        <v>0.28586755399374902</v>
      </c>
      <c r="D46103" s="1">
        <v>0.36679363656733099</v>
      </c>
      <c r="E46103" s="1">
        <v>0.67865853658536501</v>
      </c>
      <c r="F46103" s="1">
        <v>0.30875985344731799</v>
      </c>
    </row>
    <row r="46104" spans="1:6" x14ac:dyDescent="0.25">
      <c r="A46104" s="2" t="str">
        <f t="shared" si="1460"/>
        <v>43420</v>
      </c>
      <c r="B46104" s="2" t="str">
        <f>"85630"</f>
        <v>85630</v>
      </c>
      <c r="C46104" s="1">
        <v>1.34498468427845E-2</v>
      </c>
      <c r="D46104" s="1">
        <v>2.4647098364328898E-3</v>
      </c>
      <c r="E46104" s="1">
        <v>3.0487804878048699E-4</v>
      </c>
      <c r="F46104" s="1">
        <v>1.2171089152881001E-2</v>
      </c>
    </row>
    <row r="46105" spans="1:6" x14ac:dyDescent="0.25">
      <c r="A46105" s="2" t="str">
        <f t="shared" si="1460"/>
        <v>43420</v>
      </c>
      <c r="B46105" s="2" t="str">
        <f>"85650"</f>
        <v>85650</v>
      </c>
      <c r="C46105" s="1">
        <v>0.104488983564753</v>
      </c>
      <c r="D46105" s="1">
        <v>3.5626260362984503E-2</v>
      </c>
      <c r="E46105" s="1">
        <v>2.2865853658536502E-2</v>
      </c>
      <c r="F46105" s="1">
        <v>9.6508271344509802E-2</v>
      </c>
    </row>
    <row r="46106" spans="1:6" x14ac:dyDescent="0.25">
      <c r="A46106" s="2" t="str">
        <f t="shared" si="1460"/>
        <v>43420</v>
      </c>
      <c r="B46106" s="2" t="str">
        <f>"85624"</f>
        <v>85624</v>
      </c>
      <c r="C46106" s="1">
        <v>1.55489558876121E-5</v>
      </c>
      <c r="D46106" s="1">
        <v>0</v>
      </c>
      <c r="E46106" s="1">
        <v>0</v>
      </c>
      <c r="F46106" s="1">
        <v>1.3878094815143701E-5</v>
      </c>
    </row>
    <row r="46107" spans="1:6" x14ac:dyDescent="0.25">
      <c r="A46107" s="2" t="str">
        <f t="shared" si="1460"/>
        <v>43420</v>
      </c>
      <c r="B46107" s="2" t="str">
        <f>"85605"</f>
        <v>85605</v>
      </c>
      <c r="C46107" s="1">
        <v>9.795842209195649E-4</v>
      </c>
      <c r="D46107" s="1">
        <v>0</v>
      </c>
      <c r="E46107" s="1">
        <v>3.0487804878048699E-4</v>
      </c>
      <c r="F46107" s="1">
        <v>8.8819806816920095E-4</v>
      </c>
    </row>
    <row r="46108" spans="1:6" x14ac:dyDescent="0.25">
      <c r="A46108" s="2" t="str">
        <f t="shared" si="1460"/>
        <v>43420</v>
      </c>
      <c r="B46108" s="2" t="str">
        <f>"85607"</f>
        <v>85607</v>
      </c>
      <c r="C46108" s="1">
        <v>0.11703699096605601</v>
      </c>
      <c r="D46108" s="1">
        <v>0.14989917096123601</v>
      </c>
      <c r="E46108" s="1">
        <v>9.8780487804877998E-2</v>
      </c>
      <c r="F46108" s="1">
        <v>0.11824136782502399</v>
      </c>
    </row>
    <row r="46109" spans="1:6" x14ac:dyDescent="0.25">
      <c r="A46109" s="2" t="str">
        <f t="shared" ref="A46109:A46122" si="1461">"24380"</f>
        <v>24380</v>
      </c>
      <c r="B46109" s="2" t="str">
        <f>"87040"</f>
        <v>87040</v>
      </c>
      <c r="C46109" s="1">
        <v>0</v>
      </c>
      <c r="D46109" s="1">
        <v>0</v>
      </c>
      <c r="E46109" s="1">
        <v>3.26797385620915E-3</v>
      </c>
      <c r="F46109" s="1">
        <v>1.4755791648221901E-4</v>
      </c>
    </row>
    <row r="46110" spans="1:6" x14ac:dyDescent="0.25">
      <c r="A46110" s="2" t="str">
        <f t="shared" si="1461"/>
        <v>24380</v>
      </c>
      <c r="B46110" s="2" t="str">
        <f>"87045"</f>
        <v>87045</v>
      </c>
      <c r="C46110" s="1">
        <v>4.7035108348731699E-3</v>
      </c>
      <c r="D46110" s="1">
        <v>0</v>
      </c>
      <c r="E46110" s="1">
        <v>0</v>
      </c>
      <c r="F46110" s="1">
        <v>4.1316216615021302E-3</v>
      </c>
    </row>
    <row r="46111" spans="1:6" x14ac:dyDescent="0.25">
      <c r="A46111" s="2" t="str">
        <f t="shared" si="1461"/>
        <v>24380</v>
      </c>
      <c r="B46111" s="2" t="str">
        <f>"87007"</f>
        <v>87007</v>
      </c>
      <c r="C46111" s="1">
        <v>0.107172854023181</v>
      </c>
      <c r="D46111" s="1">
        <v>1.9305019305019299E-3</v>
      </c>
      <c r="E46111" s="1">
        <v>1.6339869281045701E-2</v>
      </c>
      <c r="F46111" s="1">
        <v>9.5027298214549194E-2</v>
      </c>
    </row>
    <row r="46112" spans="1:6" x14ac:dyDescent="0.25">
      <c r="A46112" s="2" t="str">
        <f t="shared" si="1461"/>
        <v>24380</v>
      </c>
      <c r="B46112" s="2" t="str">
        <f>"87323"</f>
        <v>87323</v>
      </c>
      <c r="C46112" s="1">
        <v>3.2084663195027702E-2</v>
      </c>
      <c r="D46112" s="1">
        <v>0</v>
      </c>
      <c r="E46112" s="1">
        <v>1.6339869281045701E-2</v>
      </c>
      <c r="F46112" s="1">
        <v>2.8921351630514899E-2</v>
      </c>
    </row>
    <row r="46113" spans="1:6" x14ac:dyDescent="0.25">
      <c r="A46113" s="2" t="str">
        <f t="shared" si="1461"/>
        <v>24380</v>
      </c>
      <c r="B46113" s="2" t="str">
        <f>"87051"</f>
        <v>87051</v>
      </c>
      <c r="C46113" s="1">
        <v>0</v>
      </c>
      <c r="D46113" s="1">
        <v>1.9305019305019299E-3</v>
      </c>
      <c r="E46113" s="1">
        <v>3.26797385620915E-3</v>
      </c>
      <c r="F46113" s="1">
        <v>2.9511583296443802E-4</v>
      </c>
    </row>
    <row r="46114" spans="1:6" x14ac:dyDescent="0.25">
      <c r="A46114" s="2" t="str">
        <f t="shared" si="1461"/>
        <v>24380</v>
      </c>
      <c r="B46114" s="2" t="str">
        <f>"87005"</f>
        <v>87005</v>
      </c>
      <c r="C46114" s="1">
        <v>4.0315807156055703E-3</v>
      </c>
      <c r="D46114" s="1">
        <v>0</v>
      </c>
      <c r="E46114" s="1">
        <v>3.26797385620915E-3</v>
      </c>
      <c r="F46114" s="1">
        <v>3.6889479120554799E-3</v>
      </c>
    </row>
    <row r="46115" spans="1:6" x14ac:dyDescent="0.25">
      <c r="A46115" s="2" t="str">
        <f t="shared" si="1461"/>
        <v>24380</v>
      </c>
      <c r="B46115" s="2" t="str">
        <f>"87020"</f>
        <v>87020</v>
      </c>
      <c r="C46115" s="1">
        <v>0.78414244918528397</v>
      </c>
      <c r="D46115" s="1">
        <v>0.97490347490347395</v>
      </c>
      <c r="E46115" s="1">
        <v>0.94444444444444398</v>
      </c>
      <c r="F46115" s="1">
        <v>0.80596133982588103</v>
      </c>
    </row>
    <row r="46116" spans="1:6" x14ac:dyDescent="0.25">
      <c r="A46116" s="2" t="str">
        <f t="shared" si="1461"/>
        <v>24380</v>
      </c>
      <c r="B46116" s="2" t="str">
        <f>"87034"</f>
        <v>87034</v>
      </c>
      <c r="C46116" s="1">
        <v>0</v>
      </c>
      <c r="D46116" s="1">
        <v>3.8610038610038598E-3</v>
      </c>
      <c r="E46116" s="1">
        <v>0</v>
      </c>
      <c r="F46116" s="1">
        <v>2.9511583296443802E-4</v>
      </c>
    </row>
    <row r="46117" spans="1:6" x14ac:dyDescent="0.25">
      <c r="A46117" s="2" t="str">
        <f t="shared" si="1461"/>
        <v>24380</v>
      </c>
      <c r="B46117" s="2" t="str">
        <f>"87315"</f>
        <v>87315</v>
      </c>
      <c r="C46117" s="1">
        <v>1.47824626238871E-2</v>
      </c>
      <c r="D46117" s="1">
        <v>1.9305019305019299E-3</v>
      </c>
      <c r="E46117" s="1">
        <v>3.26797385620915E-3</v>
      </c>
      <c r="F46117" s="1">
        <v>1.32802124833997E-2</v>
      </c>
    </row>
    <row r="46118" spans="1:6" x14ac:dyDescent="0.25">
      <c r="A46118" s="2" t="str">
        <f t="shared" si="1461"/>
        <v>24380</v>
      </c>
      <c r="B46118" s="2" t="str">
        <f>"87014"</f>
        <v>87014</v>
      </c>
      <c r="C46118" s="1">
        <v>2.87250125986897E-2</v>
      </c>
      <c r="D46118" s="1">
        <v>9.6525096525096506E-3</v>
      </c>
      <c r="E46118" s="1">
        <v>3.26797385620915E-3</v>
      </c>
      <c r="F46118" s="1">
        <v>2.6117751217352801E-2</v>
      </c>
    </row>
    <row r="46119" spans="1:6" x14ac:dyDescent="0.25">
      <c r="A46119" s="2" t="str">
        <f t="shared" si="1461"/>
        <v>24380</v>
      </c>
      <c r="B46119" s="2" t="str">
        <f>"87357"</f>
        <v>87357</v>
      </c>
      <c r="C46119" s="1">
        <v>1.6798252981689899E-4</v>
      </c>
      <c r="D46119" s="1">
        <v>0</v>
      </c>
      <c r="E46119" s="1">
        <v>3.26797385620915E-3</v>
      </c>
      <c r="F46119" s="1">
        <v>2.9511583296443802E-4</v>
      </c>
    </row>
    <row r="46120" spans="1:6" x14ac:dyDescent="0.25">
      <c r="A46120" s="2" t="str">
        <f t="shared" si="1461"/>
        <v>24380</v>
      </c>
      <c r="B46120" s="2" t="str">
        <f>"87021"</f>
        <v>87021</v>
      </c>
      <c r="C46120" s="1">
        <v>0</v>
      </c>
      <c r="D46120" s="1">
        <v>1.9305019305019299E-3</v>
      </c>
      <c r="E46120" s="1">
        <v>3.26797385620915E-3</v>
      </c>
      <c r="F46120" s="1">
        <v>2.9511583296443802E-4</v>
      </c>
    </row>
    <row r="46121" spans="1:6" x14ac:dyDescent="0.25">
      <c r="A46121" s="2" t="str">
        <f t="shared" si="1461"/>
        <v>24380</v>
      </c>
      <c r="B46121" s="2" t="str">
        <f>"87038"</f>
        <v>87038</v>
      </c>
      <c r="C46121" s="1">
        <v>2.41894842936334E-2</v>
      </c>
      <c r="D46121" s="1">
        <v>1.9305019305019299E-3</v>
      </c>
      <c r="E46121" s="1">
        <v>0</v>
      </c>
      <c r="F46121" s="1">
        <v>2.1395897889921699E-2</v>
      </c>
    </row>
    <row r="46122" spans="1:6" x14ac:dyDescent="0.25">
      <c r="A46122" s="2" t="str">
        <f t="shared" si="1461"/>
        <v>24380</v>
      </c>
      <c r="B46122" s="2" t="str">
        <f>"87049"</f>
        <v>87049</v>
      </c>
      <c r="C46122" s="1">
        <v>0</v>
      </c>
      <c r="D46122" s="1">
        <v>1.9305019305019299E-3</v>
      </c>
      <c r="E46122" s="1">
        <v>0</v>
      </c>
      <c r="F46122" s="1">
        <v>1.4755791648221901E-4</v>
      </c>
    </row>
    <row r="46123" spans="1:6" x14ac:dyDescent="0.25">
      <c r="A46123" s="2" t="str">
        <f t="shared" ref="A46123:A46132" si="1462">"16100"</f>
        <v>16100</v>
      </c>
      <c r="B46123" s="2" t="str">
        <f>"88253"</f>
        <v>88253</v>
      </c>
      <c r="C46123" s="1">
        <v>4.7180004321832397E-3</v>
      </c>
      <c r="D46123" s="1">
        <v>3.06122448979591E-3</v>
      </c>
      <c r="E46123" s="1">
        <v>1.8731988472622401E-2</v>
      </c>
      <c r="F46123" s="1">
        <v>4.8726114649681497E-3</v>
      </c>
    </row>
    <row r="46124" spans="1:6" x14ac:dyDescent="0.25">
      <c r="A46124" s="2" t="str">
        <f t="shared" si="1462"/>
        <v>16100</v>
      </c>
      <c r="B46124" s="2" t="str">
        <f>"88250"</f>
        <v>88250</v>
      </c>
      <c r="C46124" s="1">
        <v>1.08045811424043E-4</v>
      </c>
      <c r="D46124" s="1">
        <v>3.4013605442176798E-4</v>
      </c>
      <c r="E46124" s="1">
        <v>1.4409221902017199E-3</v>
      </c>
      <c r="F46124" s="1">
        <v>1.5923566878980799E-4</v>
      </c>
    </row>
    <row r="46125" spans="1:6" x14ac:dyDescent="0.25">
      <c r="A46125" s="2" t="str">
        <f t="shared" si="1462"/>
        <v>16100</v>
      </c>
      <c r="B46125" s="2" t="str">
        <f>"88220"</f>
        <v>88220</v>
      </c>
      <c r="C46125" s="1">
        <v>0.63768637902470604</v>
      </c>
      <c r="D46125" s="1">
        <v>0.55986394557823105</v>
      </c>
      <c r="E46125" s="1">
        <v>0.69452449567723296</v>
      </c>
      <c r="F46125" s="1">
        <v>0.63165605095541399</v>
      </c>
    </row>
    <row r="46126" spans="1:6" x14ac:dyDescent="0.25">
      <c r="A46126" s="2" t="str">
        <f t="shared" si="1462"/>
        <v>16100</v>
      </c>
      <c r="B46126" s="2" t="str">
        <f>"88210"</f>
        <v>88210</v>
      </c>
      <c r="C46126" s="1">
        <v>0.28527695742995002</v>
      </c>
      <c r="D46126" s="1">
        <v>0.27346938775510199</v>
      </c>
      <c r="E46126" s="1">
        <v>0.27953890489913502</v>
      </c>
      <c r="F46126" s="1">
        <v>0.28404458598726101</v>
      </c>
    </row>
    <row r="46127" spans="1:6" x14ac:dyDescent="0.25">
      <c r="A46127" s="2" t="str">
        <f t="shared" si="1462"/>
        <v>16100</v>
      </c>
      <c r="B46127" s="2" t="str">
        <f>"88263"</f>
        <v>88263</v>
      </c>
      <c r="C46127" s="1">
        <v>0</v>
      </c>
      <c r="D46127" s="1">
        <v>3.4013605442176798E-4</v>
      </c>
      <c r="E46127" s="1">
        <v>0</v>
      </c>
      <c r="F46127" s="1">
        <v>3.1847133757961699E-5</v>
      </c>
    </row>
    <row r="46128" spans="1:6" x14ac:dyDescent="0.25">
      <c r="A46128" s="2" t="str">
        <f t="shared" si="1462"/>
        <v>16100</v>
      </c>
      <c r="B46128" s="2" t="str">
        <f>"88254"</f>
        <v>88254</v>
      </c>
      <c r="C46128" s="1">
        <v>0</v>
      </c>
      <c r="D46128" s="1">
        <v>3.4013605442176798E-4</v>
      </c>
      <c r="E46128" s="1">
        <v>0</v>
      </c>
      <c r="F46128" s="1">
        <v>3.1847133757961699E-5</v>
      </c>
    </row>
    <row r="46129" spans="1:6" x14ac:dyDescent="0.25">
      <c r="A46129" s="2" t="str">
        <f t="shared" si="1462"/>
        <v>16100</v>
      </c>
      <c r="B46129" s="2" t="str">
        <f>"88256"</f>
        <v>88256</v>
      </c>
      <c r="C46129" s="1">
        <v>6.6268097673413502E-3</v>
      </c>
      <c r="D46129" s="1">
        <v>4.7619047619047597E-3</v>
      </c>
      <c r="E46129" s="1">
        <v>0</v>
      </c>
      <c r="F46129" s="1">
        <v>6.3057324840764296E-3</v>
      </c>
    </row>
    <row r="46130" spans="1:6" x14ac:dyDescent="0.25">
      <c r="A46130" s="2" t="str">
        <f t="shared" si="1462"/>
        <v>16100</v>
      </c>
      <c r="B46130" s="2" t="str">
        <f>"88268"</f>
        <v>88268</v>
      </c>
      <c r="C46130" s="1">
        <v>0</v>
      </c>
      <c r="D46130" s="1">
        <v>3.4013605442176798E-4</v>
      </c>
      <c r="E46130" s="1">
        <v>0</v>
      </c>
      <c r="F46130" s="1">
        <v>3.1847133757961699E-5</v>
      </c>
    </row>
    <row r="46131" spans="1:6" x14ac:dyDescent="0.25">
      <c r="A46131" s="2" t="str">
        <f t="shared" si="1462"/>
        <v>16100</v>
      </c>
      <c r="B46131" s="2" t="str">
        <f>"88221"</f>
        <v>88221</v>
      </c>
      <c r="C46131" s="1">
        <v>6.5583807534394495E-2</v>
      </c>
      <c r="D46131" s="1">
        <v>0.157142857142857</v>
      </c>
      <c r="E46131" s="1">
        <v>5.76368876080691E-3</v>
      </c>
      <c r="F46131" s="1">
        <v>7.2834394904458505E-2</v>
      </c>
    </row>
    <row r="46132" spans="1:6" x14ac:dyDescent="0.25">
      <c r="A46132" s="2" t="str">
        <f t="shared" si="1462"/>
        <v>16100</v>
      </c>
      <c r="B46132" s="2" t="str">
        <f>"88255"</f>
        <v>88255</v>
      </c>
      <c r="C46132" s="1">
        <v>0</v>
      </c>
      <c r="D46132" s="1">
        <v>3.4013605442176798E-4</v>
      </c>
      <c r="E46132" s="1">
        <v>0</v>
      </c>
      <c r="F46132" s="1">
        <v>3.1847133757961699E-5</v>
      </c>
    </row>
    <row r="46133" spans="1:6" x14ac:dyDescent="0.25">
      <c r="A46133" s="2" t="str">
        <f t="shared" ref="A46133:A46162" si="1463">"29780"</f>
        <v>29780</v>
      </c>
      <c r="B46133" s="2" t="str">
        <f>"87736"</f>
        <v>87736</v>
      </c>
      <c r="C46133" s="1">
        <v>7.7875554863328402E-5</v>
      </c>
      <c r="D46133" s="1">
        <v>1.10864745011086E-3</v>
      </c>
      <c r="E46133" s="1">
        <v>2.02839756592292E-3</v>
      </c>
      <c r="F46133" s="1">
        <v>2.1073335206518601E-4</v>
      </c>
    </row>
    <row r="46134" spans="1:6" x14ac:dyDescent="0.25">
      <c r="A46134" s="2" t="str">
        <f t="shared" si="1463"/>
        <v>29780</v>
      </c>
      <c r="B46134" s="2" t="str">
        <f>"87735"</f>
        <v>87735</v>
      </c>
      <c r="C46134" s="1">
        <v>3.89377774316642E-4</v>
      </c>
      <c r="D46134" s="1">
        <v>1.10864745011086E-3</v>
      </c>
      <c r="E46134" s="1">
        <v>2.02839756592292E-3</v>
      </c>
      <c r="F46134" s="1">
        <v>4.9171115481876895E-4</v>
      </c>
    </row>
    <row r="46135" spans="1:6" x14ac:dyDescent="0.25">
      <c r="A46135" s="2" t="str">
        <f t="shared" si="1463"/>
        <v>29780</v>
      </c>
      <c r="B46135" s="2" t="str">
        <f>"87565"</f>
        <v>87565</v>
      </c>
      <c r="C46135" s="1">
        <v>1.2849466552449101E-2</v>
      </c>
      <c r="D46135" s="1">
        <v>2.2172949002217199E-3</v>
      </c>
      <c r="E46135" s="1">
        <v>2.02839756592292E-3</v>
      </c>
      <c r="F46135" s="1">
        <v>1.18010677156504E-2</v>
      </c>
    </row>
    <row r="46136" spans="1:6" x14ac:dyDescent="0.25">
      <c r="A46136" s="2" t="str">
        <f t="shared" si="1463"/>
        <v>29780</v>
      </c>
      <c r="B46136" s="2" t="str">
        <f>"87560"</f>
        <v>87560</v>
      </c>
      <c r="C46136" s="1">
        <v>2.3596293123588501E-2</v>
      </c>
      <c r="D46136" s="1">
        <v>1.10864745011086E-2</v>
      </c>
      <c r="E46136" s="1">
        <v>4.05679513184584E-3</v>
      </c>
      <c r="F46136" s="1">
        <v>2.2127001966844601E-2</v>
      </c>
    </row>
    <row r="46137" spans="1:6" x14ac:dyDescent="0.25">
      <c r="A46137" s="2" t="str">
        <f t="shared" si="1463"/>
        <v>29780</v>
      </c>
      <c r="B46137" s="2" t="str">
        <f>"88416"</f>
        <v>88416</v>
      </c>
      <c r="C46137" s="1">
        <v>0</v>
      </c>
      <c r="D46137" s="1">
        <v>0</v>
      </c>
      <c r="E46137" s="1">
        <v>4.05679513184584E-3</v>
      </c>
      <c r="F46137" s="1">
        <v>1.40488901376791E-4</v>
      </c>
    </row>
    <row r="46138" spans="1:6" x14ac:dyDescent="0.25">
      <c r="A46138" s="2" t="str">
        <f t="shared" si="1463"/>
        <v>29780</v>
      </c>
      <c r="B46138" s="2" t="str">
        <f>"87569"</f>
        <v>87569</v>
      </c>
      <c r="C46138" s="1">
        <v>0</v>
      </c>
      <c r="D46138" s="1">
        <v>1.10864745011086E-3</v>
      </c>
      <c r="E46138" s="1">
        <v>2.02839756592292E-3</v>
      </c>
      <c r="F46138" s="1">
        <v>1.40488901376791E-4</v>
      </c>
    </row>
    <row r="46139" spans="1:6" x14ac:dyDescent="0.25">
      <c r="A46139" s="2" t="str">
        <f t="shared" si="1463"/>
        <v>29780</v>
      </c>
      <c r="B46139" s="2" t="str">
        <f>"87753"</f>
        <v>87753</v>
      </c>
      <c r="C46139" s="1">
        <v>1.5575110972665599E-4</v>
      </c>
      <c r="D46139" s="1">
        <v>1.10864745011086E-3</v>
      </c>
      <c r="E46139" s="1">
        <v>0</v>
      </c>
      <c r="F46139" s="1">
        <v>2.1073335206518601E-4</v>
      </c>
    </row>
    <row r="46140" spans="1:6" x14ac:dyDescent="0.25">
      <c r="A46140" s="2" t="str">
        <f t="shared" si="1463"/>
        <v>29780</v>
      </c>
      <c r="B46140" s="2" t="str">
        <f>"87731"</f>
        <v>87731</v>
      </c>
      <c r="C46140" s="1">
        <v>7.1645510474262096E-3</v>
      </c>
      <c r="D46140" s="1">
        <v>4.4345898004434503E-3</v>
      </c>
      <c r="E46140" s="1">
        <v>0</v>
      </c>
      <c r="F46140" s="1">
        <v>6.7434672660859696E-3</v>
      </c>
    </row>
    <row r="46141" spans="1:6" x14ac:dyDescent="0.25">
      <c r="A46141" s="2" t="str">
        <f t="shared" si="1463"/>
        <v>29780</v>
      </c>
      <c r="B46141" s="2" t="str">
        <f>"87715"</f>
        <v>87715</v>
      </c>
      <c r="C46141" s="1">
        <v>2.4141422007631801E-3</v>
      </c>
      <c r="D46141" s="1">
        <v>2.2172949002217199E-3</v>
      </c>
      <c r="E46141" s="1">
        <v>0</v>
      </c>
      <c r="F46141" s="1">
        <v>2.3180668727170498E-3</v>
      </c>
    </row>
    <row r="46142" spans="1:6" x14ac:dyDescent="0.25">
      <c r="A46142" s="2" t="str">
        <f t="shared" si="1463"/>
        <v>29780</v>
      </c>
      <c r="B46142" s="2" t="str">
        <f>"87742"</f>
        <v>87742</v>
      </c>
      <c r="C46142" s="1">
        <v>1.17592087843625E-2</v>
      </c>
      <c r="D46142" s="1">
        <v>1.10864745011086E-3</v>
      </c>
      <c r="E46142" s="1">
        <v>0</v>
      </c>
      <c r="F46142" s="1">
        <v>1.06771565046361E-2</v>
      </c>
    </row>
    <row r="46143" spans="1:6" x14ac:dyDescent="0.25">
      <c r="A46143" s="2" t="str">
        <f t="shared" si="1463"/>
        <v>29780</v>
      </c>
      <c r="B46143" s="2" t="str">
        <f>"87722"</f>
        <v>87722</v>
      </c>
      <c r="C46143" s="1">
        <v>1.79113776185655E-2</v>
      </c>
      <c r="D46143" s="1">
        <v>0</v>
      </c>
      <c r="E46143" s="1">
        <v>4.05679513184584E-3</v>
      </c>
      <c r="F46143" s="1">
        <v>1.6296712559707702E-2</v>
      </c>
    </row>
    <row r="46144" spans="1:6" x14ac:dyDescent="0.25">
      <c r="A46144" s="2" t="str">
        <f t="shared" si="1463"/>
        <v>29780</v>
      </c>
      <c r="B46144" s="2" t="str">
        <f>"88421"</f>
        <v>88421</v>
      </c>
      <c r="C46144" s="1">
        <v>7.7875554863328399E-4</v>
      </c>
      <c r="D46144" s="1">
        <v>0</v>
      </c>
      <c r="E46144" s="1">
        <v>1.0141987829614601E-2</v>
      </c>
      <c r="F46144" s="1">
        <v>1.05366676032593E-3</v>
      </c>
    </row>
    <row r="46145" spans="1:6" x14ac:dyDescent="0.25">
      <c r="A46145" s="2" t="str">
        <f t="shared" si="1463"/>
        <v>29780</v>
      </c>
      <c r="B46145" s="2" t="str">
        <f>"87732"</f>
        <v>87732</v>
      </c>
      <c r="C46145" s="1">
        <v>1.0591075461412599E-2</v>
      </c>
      <c r="D46145" s="1">
        <v>3.3259423503325899E-3</v>
      </c>
      <c r="E46145" s="1">
        <v>2.02839756592292E-3</v>
      </c>
      <c r="F46145" s="1">
        <v>9.8342230963753795E-3</v>
      </c>
    </row>
    <row r="46146" spans="1:6" x14ac:dyDescent="0.25">
      <c r="A46146" s="2" t="str">
        <f t="shared" si="1463"/>
        <v>29780</v>
      </c>
      <c r="B46146" s="2" t="str">
        <f>"87713"</f>
        <v>87713</v>
      </c>
      <c r="C46146" s="1">
        <v>6.23004438906627E-4</v>
      </c>
      <c r="D46146" s="1">
        <v>1.10864745011086E-3</v>
      </c>
      <c r="E46146" s="1">
        <v>0</v>
      </c>
      <c r="F46146" s="1">
        <v>6.3220005619556E-4</v>
      </c>
    </row>
    <row r="46147" spans="1:6" x14ac:dyDescent="0.25">
      <c r="A46147" s="2" t="str">
        <f t="shared" si="1463"/>
        <v>29780</v>
      </c>
      <c r="B46147" s="2" t="str">
        <f>"87712"</f>
        <v>87712</v>
      </c>
      <c r="C46147" s="1">
        <v>0</v>
      </c>
      <c r="D46147" s="1">
        <v>0</v>
      </c>
      <c r="E46147" s="1">
        <v>2.02839756592292E-3</v>
      </c>
      <c r="F46147" s="1">
        <v>7.0244450688395594E-5</v>
      </c>
    </row>
    <row r="46148" spans="1:6" x14ac:dyDescent="0.25">
      <c r="A46148" s="2" t="str">
        <f t="shared" si="1463"/>
        <v>29780</v>
      </c>
      <c r="B46148" s="2" t="str">
        <f>"87573"</f>
        <v>87573</v>
      </c>
      <c r="C46148" s="1">
        <v>2.8813955299431498E-3</v>
      </c>
      <c r="D46148" s="1">
        <v>0</v>
      </c>
      <c r="E46148" s="1">
        <v>2.02839756592292E-3</v>
      </c>
      <c r="F46148" s="1">
        <v>2.6692891261590299E-3</v>
      </c>
    </row>
    <row r="46149" spans="1:6" x14ac:dyDescent="0.25">
      <c r="A46149" s="2" t="str">
        <f t="shared" si="1463"/>
        <v>29780</v>
      </c>
      <c r="B46149" s="2" t="str">
        <f>"87745"</f>
        <v>87745</v>
      </c>
      <c r="C46149" s="1">
        <v>3.9716532980297398E-2</v>
      </c>
      <c r="D46149" s="1">
        <v>1.10864745011086E-3</v>
      </c>
      <c r="E46149" s="1">
        <v>2.02839756592292E-3</v>
      </c>
      <c r="F46149" s="1">
        <v>3.5965158752458502E-2</v>
      </c>
    </row>
    <row r="46150" spans="1:6" x14ac:dyDescent="0.25">
      <c r="A46150" s="2" t="str">
        <f t="shared" si="1463"/>
        <v>29780</v>
      </c>
      <c r="B46150" s="2" t="str">
        <f>"87752"</f>
        <v>87752</v>
      </c>
      <c r="C46150" s="1">
        <v>3.8937777431664201E-3</v>
      </c>
      <c r="D46150" s="1">
        <v>4.4345898004434503E-3</v>
      </c>
      <c r="E46150" s="1">
        <v>2.02839756592292E-3</v>
      </c>
      <c r="F46150" s="1">
        <v>3.86344478786175E-3</v>
      </c>
    </row>
    <row r="46151" spans="1:6" x14ac:dyDescent="0.25">
      <c r="A46151" s="2" t="str">
        <f t="shared" si="1463"/>
        <v>29780</v>
      </c>
      <c r="B46151" s="2" t="str">
        <f>"87750"</f>
        <v>87750</v>
      </c>
      <c r="C46151" s="1">
        <v>1.71326220699322E-3</v>
      </c>
      <c r="D46151" s="1">
        <v>2.2172949002217199E-3</v>
      </c>
      <c r="E46151" s="1">
        <v>2.02839756592292E-3</v>
      </c>
      <c r="F46151" s="1">
        <v>1.7561112672098899E-3</v>
      </c>
    </row>
    <row r="46152" spans="1:6" x14ac:dyDescent="0.25">
      <c r="A46152" s="2" t="str">
        <f t="shared" si="1463"/>
        <v>29780</v>
      </c>
      <c r="B46152" s="2" t="str">
        <f>"87734"</f>
        <v>87734</v>
      </c>
      <c r="C46152" s="1">
        <v>1.2927342107312501E-2</v>
      </c>
      <c r="D46152" s="1">
        <v>1.10864745011086E-3</v>
      </c>
      <c r="E46152" s="1">
        <v>2.02839756592292E-3</v>
      </c>
      <c r="F46152" s="1">
        <v>1.18010677156504E-2</v>
      </c>
    </row>
    <row r="46153" spans="1:6" x14ac:dyDescent="0.25">
      <c r="A46153" s="2" t="str">
        <f t="shared" si="1463"/>
        <v>29780</v>
      </c>
      <c r="B46153" s="2" t="str">
        <f>"87723"</f>
        <v>87723</v>
      </c>
      <c r="C46153" s="1">
        <v>4.1274044077564001E-3</v>
      </c>
      <c r="D46153" s="1">
        <v>1.10864745011086E-3</v>
      </c>
      <c r="E46153" s="1">
        <v>2.02839756592292E-3</v>
      </c>
      <c r="F46153" s="1">
        <v>3.86344478786175E-3</v>
      </c>
    </row>
    <row r="46154" spans="1:6" x14ac:dyDescent="0.25">
      <c r="A46154" s="2" t="str">
        <f t="shared" si="1463"/>
        <v>29780</v>
      </c>
      <c r="B46154" s="2" t="str">
        <f>"87538"</f>
        <v>87538</v>
      </c>
      <c r="C46154" s="1">
        <v>0</v>
      </c>
      <c r="D46154" s="1">
        <v>0</v>
      </c>
      <c r="E46154" s="1">
        <v>4.05679513184584E-3</v>
      </c>
      <c r="F46154" s="1">
        <v>1.40488901376791E-4</v>
      </c>
    </row>
    <row r="46155" spans="1:6" x14ac:dyDescent="0.25">
      <c r="A46155" s="2" t="str">
        <f t="shared" si="1463"/>
        <v>29780</v>
      </c>
      <c r="B46155" s="2" t="str">
        <f>"87583"</f>
        <v>87583</v>
      </c>
      <c r="C46155" s="1">
        <v>0</v>
      </c>
      <c r="D46155" s="1">
        <v>0</v>
      </c>
      <c r="E46155" s="1">
        <v>6.08519269776876E-3</v>
      </c>
      <c r="F46155" s="1">
        <v>2.1073335206518601E-4</v>
      </c>
    </row>
    <row r="46156" spans="1:6" x14ac:dyDescent="0.25">
      <c r="A46156" s="2" t="str">
        <f t="shared" si="1463"/>
        <v>29780</v>
      </c>
      <c r="B46156" s="2" t="str">
        <f>"87552"</f>
        <v>87552</v>
      </c>
      <c r="C46156" s="1">
        <v>6.2534070555252702E-2</v>
      </c>
      <c r="D46156" s="1">
        <v>8.8691796008869093E-3</v>
      </c>
      <c r="E46156" s="1">
        <v>1.0141987829614601E-2</v>
      </c>
      <c r="F46156" s="1">
        <v>5.73194717617308E-2</v>
      </c>
    </row>
    <row r="46157" spans="1:6" x14ac:dyDescent="0.25">
      <c r="A46157" s="2" t="str">
        <f t="shared" si="1463"/>
        <v>29780</v>
      </c>
      <c r="B46157" s="2" t="str">
        <f>"88439"</f>
        <v>88439</v>
      </c>
      <c r="C46157" s="1">
        <v>5.4512888404329796E-4</v>
      </c>
      <c r="D46157" s="1">
        <v>0</v>
      </c>
      <c r="E46157" s="1">
        <v>2.02839756592292E-3</v>
      </c>
      <c r="F46157" s="1">
        <v>5.6195560550716399E-4</v>
      </c>
    </row>
    <row r="46158" spans="1:6" x14ac:dyDescent="0.25">
      <c r="A46158" s="2" t="str">
        <f t="shared" si="1463"/>
        <v>29780</v>
      </c>
      <c r="B46158" s="2" t="str">
        <f>"87535"</f>
        <v>87535</v>
      </c>
      <c r="C46158" s="1">
        <v>7.5539288217428497E-3</v>
      </c>
      <c r="D46158" s="1">
        <v>0</v>
      </c>
      <c r="E46158" s="1">
        <v>0</v>
      </c>
      <c r="F46158" s="1">
        <v>6.81371171677437E-3</v>
      </c>
    </row>
    <row r="46159" spans="1:6" x14ac:dyDescent="0.25">
      <c r="A46159" s="2" t="str">
        <f t="shared" si="1463"/>
        <v>29780</v>
      </c>
      <c r="B46159" s="2" t="str">
        <f>"87711"</f>
        <v>87711</v>
      </c>
      <c r="C46159" s="1">
        <v>2.33626664589985E-4</v>
      </c>
      <c r="D46159" s="1">
        <v>0</v>
      </c>
      <c r="E46159" s="1">
        <v>0</v>
      </c>
      <c r="F46159" s="1">
        <v>2.1073335206518601E-4</v>
      </c>
    </row>
    <row r="46160" spans="1:6" x14ac:dyDescent="0.25">
      <c r="A46160" s="2" t="str">
        <f t="shared" si="1463"/>
        <v>29780</v>
      </c>
      <c r="B46160" s="2" t="str">
        <f>"87746"</f>
        <v>87746</v>
      </c>
      <c r="C46160" s="1">
        <v>3.1150221945331301E-4</v>
      </c>
      <c r="D46160" s="1">
        <v>1.10864745011086E-3</v>
      </c>
      <c r="E46160" s="1">
        <v>1.2170385395537499E-2</v>
      </c>
      <c r="F46160" s="1">
        <v>7.7268895757235095E-4</v>
      </c>
    </row>
    <row r="46161" spans="1:6" x14ac:dyDescent="0.25">
      <c r="A46161" s="2" t="str">
        <f t="shared" si="1463"/>
        <v>29780</v>
      </c>
      <c r="B46161" s="2" t="str">
        <f>"87562"</f>
        <v>87562</v>
      </c>
      <c r="C46161" s="1">
        <v>0</v>
      </c>
      <c r="D46161" s="1">
        <v>0</v>
      </c>
      <c r="E46161" s="1">
        <v>2.02839756592292E-3</v>
      </c>
      <c r="F46161" s="1">
        <v>7.0244450688395594E-5</v>
      </c>
    </row>
    <row r="46162" spans="1:6" x14ac:dyDescent="0.25">
      <c r="A46162" s="2" t="str">
        <f t="shared" si="1463"/>
        <v>29780</v>
      </c>
      <c r="B46162" s="2" t="str">
        <f>"87701"</f>
        <v>87701</v>
      </c>
      <c r="C46162" s="1">
        <v>0.77525114866443401</v>
      </c>
      <c r="D46162" s="1">
        <v>0.95011086474501105</v>
      </c>
      <c r="E46162" s="1">
        <v>0.91683569979715995</v>
      </c>
      <c r="F46162" s="1">
        <v>0.79123349255408804</v>
      </c>
    </row>
    <row r="46163" spans="1:6" x14ac:dyDescent="0.25">
      <c r="A46163" s="2" t="str">
        <f t="shared" ref="A46163:A46177" si="1464">"40760"</f>
        <v>40760</v>
      </c>
      <c r="B46163" s="2" t="str">
        <f>"88323"</f>
        <v>88323</v>
      </c>
      <c r="C46163" s="1">
        <v>0</v>
      </c>
      <c r="D46163" s="1">
        <v>7.1633237822349503E-4</v>
      </c>
      <c r="E46163" s="1">
        <v>0</v>
      </c>
      <c r="F46163" s="1">
        <v>4.15178942124055E-5</v>
      </c>
    </row>
    <row r="46164" spans="1:6" x14ac:dyDescent="0.25">
      <c r="A46164" s="2" t="str">
        <f t="shared" si="1464"/>
        <v>40760</v>
      </c>
      <c r="B46164" s="2" t="str">
        <f>"88351"</f>
        <v>88351</v>
      </c>
      <c r="C46164" s="1">
        <v>2.1115054584662299E-3</v>
      </c>
      <c r="D46164" s="1">
        <v>7.1633237822349503E-4</v>
      </c>
      <c r="E46164" s="1">
        <v>2.32018561484918E-3</v>
      </c>
      <c r="F46164" s="1">
        <v>2.0343768164078702E-3</v>
      </c>
    </row>
    <row r="46165" spans="1:6" x14ac:dyDescent="0.25">
      <c r="A46165" s="2" t="str">
        <f t="shared" si="1464"/>
        <v>40760</v>
      </c>
      <c r="B46165" s="2" t="str">
        <f>"88301"</f>
        <v>88301</v>
      </c>
      <c r="C46165" s="1">
        <v>5.9751111909789201E-3</v>
      </c>
      <c r="D46165" s="1">
        <v>6.4469914040114597E-3</v>
      </c>
      <c r="E46165" s="1">
        <v>6.96055684454756E-3</v>
      </c>
      <c r="F46165" s="1">
        <v>6.0200946607988004E-3</v>
      </c>
    </row>
    <row r="46166" spans="1:6" x14ac:dyDescent="0.25">
      <c r="A46166" s="2" t="str">
        <f t="shared" si="1464"/>
        <v>40760</v>
      </c>
      <c r="B46166" s="2" t="str">
        <f>"88345"</f>
        <v>88345</v>
      </c>
      <c r="C46166" s="1">
        <v>0.25643559908351599</v>
      </c>
      <c r="D46166" s="1">
        <v>0.67191977077363796</v>
      </c>
      <c r="E46166" s="1">
        <v>0.67517401392111298</v>
      </c>
      <c r="F46166" s="1">
        <v>0.28800963215145697</v>
      </c>
    </row>
    <row r="46167" spans="1:6" x14ac:dyDescent="0.25">
      <c r="A46167" s="2" t="str">
        <f t="shared" si="1464"/>
        <v>40760</v>
      </c>
      <c r="B46167" s="2" t="str">
        <f>"88355"</f>
        <v>88355</v>
      </c>
      <c r="C46167" s="1">
        <v>0.31434475942315399</v>
      </c>
      <c r="D46167" s="1">
        <v>0.132521489971346</v>
      </c>
      <c r="E46167" s="1">
        <v>9.2807424593967496E-3</v>
      </c>
      <c r="F46167" s="1">
        <v>0.29834758781034598</v>
      </c>
    </row>
    <row r="46168" spans="1:6" x14ac:dyDescent="0.25">
      <c r="A46168" s="2" t="str">
        <f t="shared" si="1464"/>
        <v>40760</v>
      </c>
      <c r="B46168" s="2" t="str">
        <f>"88318"</f>
        <v>88318</v>
      </c>
      <c r="C46168" s="1">
        <v>7.6373601689204299E-4</v>
      </c>
      <c r="D46168" s="1">
        <v>2.1489971346704802E-3</v>
      </c>
      <c r="E46168" s="1">
        <v>0</v>
      </c>
      <c r="F46168" s="1">
        <v>8.3035788424810995E-4</v>
      </c>
    </row>
    <row r="46169" spans="1:6" x14ac:dyDescent="0.25">
      <c r="A46169" s="2" t="str">
        <f t="shared" si="1464"/>
        <v>40760</v>
      </c>
      <c r="B46169" s="2" t="str">
        <f>"88316"</f>
        <v>88316</v>
      </c>
      <c r="C46169" s="1">
        <v>9.6590143312817196E-3</v>
      </c>
      <c r="D46169" s="1">
        <v>4.29799426934097E-3</v>
      </c>
      <c r="E46169" s="1">
        <v>2.3201856148491799E-2</v>
      </c>
      <c r="F46169" s="1">
        <v>9.5906335630656803E-3</v>
      </c>
    </row>
    <row r="46170" spans="1:6" x14ac:dyDescent="0.25">
      <c r="A46170" s="2" t="str">
        <f t="shared" si="1464"/>
        <v>40760</v>
      </c>
      <c r="B46170" s="2" t="str">
        <f>"88348"</f>
        <v>88348</v>
      </c>
      <c r="C46170" s="1">
        <v>6.4692933195561299E-3</v>
      </c>
      <c r="D46170" s="1">
        <v>3.5816618911174701E-3</v>
      </c>
      <c r="E46170" s="1">
        <v>0</v>
      </c>
      <c r="F46170" s="1">
        <v>6.1861662376484199E-3</v>
      </c>
    </row>
    <row r="46171" spans="1:6" x14ac:dyDescent="0.25">
      <c r="A46171" s="2" t="str">
        <f t="shared" si="1464"/>
        <v>40760</v>
      </c>
      <c r="B46171" s="2" t="str">
        <f>"88338"</f>
        <v>88338</v>
      </c>
      <c r="C46171" s="1">
        <v>1.3477694415741899E-4</v>
      </c>
      <c r="D46171" s="1">
        <v>7.1633237822349503E-4</v>
      </c>
      <c r="E46171" s="1">
        <v>4.6403712296983696E-3</v>
      </c>
      <c r="F46171" s="1">
        <v>2.4910736527443297E-4</v>
      </c>
    </row>
    <row r="46172" spans="1:6" x14ac:dyDescent="0.25">
      <c r="A46172" s="2" t="str">
        <f t="shared" si="1464"/>
        <v>40760</v>
      </c>
      <c r="B46172" s="2" t="str">
        <f>"88324"</f>
        <v>88324</v>
      </c>
      <c r="C46172" s="1">
        <v>1.07821555325935E-3</v>
      </c>
      <c r="D46172" s="1">
        <v>1.4326647564469901E-3</v>
      </c>
      <c r="E46172" s="1">
        <v>4.6403712296983696E-3</v>
      </c>
      <c r="F46172" s="1">
        <v>1.1625010379473499E-3</v>
      </c>
    </row>
    <row r="46173" spans="1:6" x14ac:dyDescent="0.25">
      <c r="A46173" s="2" t="str">
        <f t="shared" si="1464"/>
        <v>40760</v>
      </c>
      <c r="B46173" s="2" t="str">
        <f>"88312"</f>
        <v>88312</v>
      </c>
      <c r="C46173" s="1">
        <v>0.20414214475043799</v>
      </c>
      <c r="D46173" s="1">
        <v>6.7335243553008503E-2</v>
      </c>
      <c r="E46173" s="1">
        <v>4.40835266821345E-2</v>
      </c>
      <c r="F46173" s="1">
        <v>0.19334883334717201</v>
      </c>
    </row>
    <row r="46174" spans="1:6" x14ac:dyDescent="0.25">
      <c r="A46174" s="2" t="str">
        <f t="shared" si="1464"/>
        <v>40760</v>
      </c>
      <c r="B46174" s="2" t="str">
        <f>"88336"</f>
        <v>88336</v>
      </c>
      <c r="C46174" s="1">
        <v>1.1231412013118201E-3</v>
      </c>
      <c r="D46174" s="1">
        <v>2.1489971346704802E-3</v>
      </c>
      <c r="E46174" s="1">
        <v>2.32018561484918E-3</v>
      </c>
      <c r="F46174" s="1">
        <v>1.20401893215976E-3</v>
      </c>
    </row>
    <row r="46175" spans="1:6" x14ac:dyDescent="0.25">
      <c r="A46175" s="2" t="str">
        <f t="shared" si="1464"/>
        <v>40760</v>
      </c>
      <c r="B46175" s="2" t="str">
        <f>"88343"</f>
        <v>88343</v>
      </c>
      <c r="C46175" s="1">
        <v>0</v>
      </c>
      <c r="D46175" s="1">
        <v>7.1633237822349503E-4</v>
      </c>
      <c r="E46175" s="1">
        <v>0</v>
      </c>
      <c r="F46175" s="1">
        <v>4.15178942124055E-5</v>
      </c>
    </row>
    <row r="46176" spans="1:6" x14ac:dyDescent="0.25">
      <c r="A46176" s="2" t="str">
        <f t="shared" si="1464"/>
        <v>40760</v>
      </c>
      <c r="B46176" s="2" t="str">
        <f>"88341"</f>
        <v>88341</v>
      </c>
      <c r="C46176" s="1">
        <v>1.43312817287389E-2</v>
      </c>
      <c r="D46176" s="1">
        <v>7.8796561604584509E-3</v>
      </c>
      <c r="E46176" s="1">
        <v>1.8561484918793499E-2</v>
      </c>
      <c r="F46176" s="1">
        <v>1.4033048243793001E-2</v>
      </c>
    </row>
    <row r="46177" spans="1:6" x14ac:dyDescent="0.25">
      <c r="A46177" s="2" t="str">
        <f t="shared" si="1464"/>
        <v>40760</v>
      </c>
      <c r="B46177" s="2" t="str">
        <f>"88346"</f>
        <v>88346</v>
      </c>
      <c r="C46177" s="1">
        <v>0.183431420998247</v>
      </c>
      <c r="D46177" s="1">
        <v>9.7421203438395401E-2</v>
      </c>
      <c r="E46177" s="1">
        <v>0.20881670533642599</v>
      </c>
      <c r="F46177" s="1">
        <v>0.178900606161255</v>
      </c>
    </row>
    <row r="46178" spans="1:6" x14ac:dyDescent="0.25">
      <c r="A46178" s="2" t="str">
        <f t="shared" ref="A46178:A46209" si="1465">"46540"</f>
        <v>46540</v>
      </c>
      <c r="B46178" s="2" t="str">
        <f>"13501"</f>
        <v>13501</v>
      </c>
      <c r="C46178" s="1">
        <v>0.126333335882123</v>
      </c>
      <c r="D46178" s="1">
        <v>0.17361187465640401</v>
      </c>
      <c r="E46178" s="1">
        <v>0.19782939832444699</v>
      </c>
      <c r="F46178" s="1">
        <v>0.13188357863403299</v>
      </c>
    </row>
    <row r="46179" spans="1:6" x14ac:dyDescent="0.25">
      <c r="A46179" s="2" t="str">
        <f t="shared" si="1465"/>
        <v>46540</v>
      </c>
      <c r="B46179" s="2" t="str">
        <f>"13475"</f>
        <v>13475</v>
      </c>
      <c r="C46179" s="1">
        <v>2.7526934340615201E-4</v>
      </c>
      <c r="D46179" s="1">
        <v>0</v>
      </c>
      <c r="E46179" s="1">
        <v>1.9040365575019E-4</v>
      </c>
      <c r="F46179" s="1">
        <v>2.5494735681605202E-4</v>
      </c>
    </row>
    <row r="46180" spans="1:6" x14ac:dyDescent="0.25">
      <c r="A46180" s="2" t="str">
        <f t="shared" si="1465"/>
        <v>46540</v>
      </c>
      <c r="B46180" s="2" t="str">
        <f>"13469"</f>
        <v>13469</v>
      </c>
      <c r="C46180" s="1">
        <v>2.0262882222952801E-3</v>
      </c>
      <c r="D46180" s="1">
        <v>1.4293567894447399E-3</v>
      </c>
      <c r="E46180" s="1">
        <v>1.33282559025133E-3</v>
      </c>
      <c r="F46180" s="1">
        <v>1.9637836943939102E-3</v>
      </c>
    </row>
    <row r="46181" spans="1:6" x14ac:dyDescent="0.25">
      <c r="A46181" s="2" t="str">
        <f t="shared" si="1465"/>
        <v>46540</v>
      </c>
      <c r="B46181" s="2" t="str">
        <f>"13438"</f>
        <v>13438</v>
      </c>
      <c r="C46181" s="1">
        <v>1.35952470160038E-2</v>
      </c>
      <c r="D46181" s="1">
        <v>2.8587135788894899E-3</v>
      </c>
      <c r="E46181" s="1">
        <v>4.5696877380045596E-3</v>
      </c>
      <c r="F46181" s="1">
        <v>1.2595777520533501E-2</v>
      </c>
    </row>
    <row r="46182" spans="1:6" x14ac:dyDescent="0.25">
      <c r="A46182" s="2" t="str">
        <f t="shared" si="1465"/>
        <v>46540</v>
      </c>
      <c r="B46182" s="2" t="str">
        <f>"13352"</f>
        <v>13352</v>
      </c>
      <c r="C46182" s="1">
        <v>2.5233023145563899E-4</v>
      </c>
      <c r="D46182" s="1">
        <v>0</v>
      </c>
      <c r="E46182" s="1">
        <v>1.9040365575019E-4</v>
      </c>
      <c r="F46182" s="1">
        <v>2.34275949506642E-4</v>
      </c>
    </row>
    <row r="46183" spans="1:6" x14ac:dyDescent="0.25">
      <c r="A46183" s="2" t="str">
        <f t="shared" si="1465"/>
        <v>46540</v>
      </c>
      <c r="B46183" s="2" t="str">
        <f>"13413"</f>
        <v>13413</v>
      </c>
      <c r="C46183" s="1">
        <v>5.5115039646431802E-2</v>
      </c>
      <c r="D46183" s="1">
        <v>0.104782847718526</v>
      </c>
      <c r="E46183" s="1">
        <v>4.4554455445544497E-2</v>
      </c>
      <c r="F46183" s="1">
        <v>5.78454881208312E-2</v>
      </c>
    </row>
    <row r="46184" spans="1:6" x14ac:dyDescent="0.25">
      <c r="A46184" s="2" t="str">
        <f t="shared" si="1465"/>
        <v>46540</v>
      </c>
      <c r="B46184" s="2" t="str">
        <f>"13032"</f>
        <v>13032</v>
      </c>
      <c r="C46184" s="1">
        <v>5.4289231616213305E-4</v>
      </c>
      <c r="D46184" s="1">
        <v>0</v>
      </c>
      <c r="E46184" s="1">
        <v>7.6161462300076098E-4</v>
      </c>
      <c r="F46184" s="1">
        <v>5.1678518273523999E-4</v>
      </c>
    </row>
    <row r="46185" spans="1:6" x14ac:dyDescent="0.25">
      <c r="A46185" s="2" t="str">
        <f t="shared" si="1465"/>
        <v>46540</v>
      </c>
      <c r="B46185" s="2" t="str">
        <f>"13324"</f>
        <v>13324</v>
      </c>
      <c r="C46185" s="1">
        <v>8.1739702250326791E-3</v>
      </c>
      <c r="D46185" s="1">
        <v>1.2094557449147799E-3</v>
      </c>
      <c r="E46185" s="1">
        <v>1.33282559025133E-3</v>
      </c>
      <c r="F46185" s="1">
        <v>7.4899399151094198E-3</v>
      </c>
    </row>
    <row r="46186" spans="1:6" x14ac:dyDescent="0.25">
      <c r="A46186" s="2" t="str">
        <f t="shared" si="1465"/>
        <v>46540</v>
      </c>
      <c r="B46186" s="2" t="str">
        <f>"13309"</f>
        <v>13309</v>
      </c>
      <c r="C46186" s="1">
        <v>1.7288444040036301E-2</v>
      </c>
      <c r="D46186" s="1">
        <v>1.9901044529961501E-2</v>
      </c>
      <c r="E46186" s="1">
        <v>1.44706778370144E-2</v>
      </c>
      <c r="F46186" s="1">
        <v>1.73502012016978E-2</v>
      </c>
    </row>
    <row r="46187" spans="1:6" x14ac:dyDescent="0.25">
      <c r="A46187" s="2" t="str">
        <f t="shared" si="1465"/>
        <v>46540</v>
      </c>
      <c r="B46187" s="2" t="str">
        <f>"13304"</f>
        <v>13304</v>
      </c>
      <c r="C46187" s="1">
        <v>5.1001292236639798E-3</v>
      </c>
      <c r="D46187" s="1">
        <v>9.5656954370533197E-3</v>
      </c>
      <c r="E46187" s="1">
        <v>2.4752475247524701E-3</v>
      </c>
      <c r="F46187" s="1">
        <v>5.2849898021057199E-3</v>
      </c>
    </row>
    <row r="46188" spans="1:6" x14ac:dyDescent="0.25">
      <c r="A46188" s="2" t="str">
        <f t="shared" si="1465"/>
        <v>46540</v>
      </c>
      <c r="B46188" s="2" t="str">
        <f>"13123"</f>
        <v>13123</v>
      </c>
      <c r="C46188" s="1">
        <v>6.80526987865209E-4</v>
      </c>
      <c r="D46188" s="1">
        <v>0</v>
      </c>
      <c r="E46188" s="1">
        <v>1.1424219345011399E-3</v>
      </c>
      <c r="F46188" s="1">
        <v>6.5459456479797097E-4</v>
      </c>
    </row>
    <row r="46189" spans="1:6" x14ac:dyDescent="0.25">
      <c r="A46189" s="2" t="str">
        <f t="shared" si="1465"/>
        <v>46540</v>
      </c>
      <c r="B46189" s="2" t="str">
        <f>"13489"</f>
        <v>13489</v>
      </c>
      <c r="C46189" s="1">
        <v>1.07049189102392E-4</v>
      </c>
      <c r="D46189" s="1">
        <v>1.0995052226498E-4</v>
      </c>
      <c r="E46189" s="1">
        <v>0</v>
      </c>
      <c r="F46189" s="1">
        <v>1.03357036547048E-4</v>
      </c>
    </row>
    <row r="46190" spans="1:6" x14ac:dyDescent="0.25">
      <c r="A46190" s="2" t="str">
        <f t="shared" si="1465"/>
        <v>46540</v>
      </c>
      <c r="B46190" s="2" t="str">
        <f>"13495"</f>
        <v>13495</v>
      </c>
      <c r="C46190" s="1">
        <v>7.4857968665173E-3</v>
      </c>
      <c r="D46190" s="1">
        <v>2.3089609675645901E-2</v>
      </c>
      <c r="E46190" s="1">
        <v>8.3777608530083703E-3</v>
      </c>
      <c r="F46190" s="1">
        <v>8.4959484041673503E-3</v>
      </c>
    </row>
    <row r="46191" spans="1:6" x14ac:dyDescent="0.25">
      <c r="A46191" s="2" t="str">
        <f t="shared" si="1465"/>
        <v>46540</v>
      </c>
      <c r="B46191" s="2" t="str">
        <f>"13491"</f>
        <v>13491</v>
      </c>
      <c r="C46191" s="1">
        <v>6.2929630450906399E-3</v>
      </c>
      <c r="D46191" s="1">
        <v>2.0890599230346299E-3</v>
      </c>
      <c r="E46191" s="1">
        <v>9.5201827875095201E-4</v>
      </c>
      <c r="F46191" s="1">
        <v>5.8362273303566503E-3</v>
      </c>
    </row>
    <row r="46192" spans="1:6" x14ac:dyDescent="0.25">
      <c r="A46192" s="2" t="str">
        <f t="shared" si="1465"/>
        <v>46540</v>
      </c>
      <c r="B46192" s="2" t="str">
        <f>"13420"</f>
        <v>13420</v>
      </c>
      <c r="C46192" s="1">
        <v>8.0133964413790903E-3</v>
      </c>
      <c r="D46192" s="1">
        <v>4.5079714128642102E-3</v>
      </c>
      <c r="E46192" s="1">
        <v>2.4752475247524701E-3</v>
      </c>
      <c r="F46192" s="1">
        <v>7.5932969516564596E-3</v>
      </c>
    </row>
    <row r="46193" spans="1:6" x14ac:dyDescent="0.25">
      <c r="A46193" s="2" t="str">
        <f t="shared" si="1465"/>
        <v>46540</v>
      </c>
      <c r="B46193" s="2" t="str">
        <f>"13328"</f>
        <v>13328</v>
      </c>
      <c r="C46193" s="1">
        <v>3.5632087229796302E-3</v>
      </c>
      <c r="D46193" s="1">
        <v>1.6492578339747099E-3</v>
      </c>
      <c r="E46193" s="1">
        <v>1.7136329017517101E-3</v>
      </c>
      <c r="F46193" s="1">
        <v>3.3763298605368999E-3</v>
      </c>
    </row>
    <row r="46194" spans="1:6" x14ac:dyDescent="0.25">
      <c r="A46194" s="2" t="str">
        <f t="shared" si="1465"/>
        <v>46540</v>
      </c>
      <c r="B46194" s="2" t="str">
        <f>"13322"</f>
        <v>13322</v>
      </c>
      <c r="C46194" s="1">
        <v>4.1213937804421103E-3</v>
      </c>
      <c r="D46194" s="1">
        <v>7.6965365585486502E-4</v>
      </c>
      <c r="E46194" s="1">
        <v>1.9040365575019E-4</v>
      </c>
      <c r="F46194" s="1">
        <v>3.7690865994156799E-3</v>
      </c>
    </row>
    <row r="46195" spans="1:6" x14ac:dyDescent="0.25">
      <c r="A46195" s="2" t="str">
        <f t="shared" si="1465"/>
        <v>46540</v>
      </c>
      <c r="B46195" s="2" t="str">
        <f>"13308"</f>
        <v>13308</v>
      </c>
      <c r="C46195" s="1">
        <v>1.1790703542563501E-2</v>
      </c>
      <c r="D46195" s="1">
        <v>2.96866410115448E-3</v>
      </c>
      <c r="E46195" s="1">
        <v>8.9489718202589406E-3</v>
      </c>
      <c r="F46195" s="1">
        <v>1.11349980706686E-2</v>
      </c>
    </row>
    <row r="46196" spans="1:6" x14ac:dyDescent="0.25">
      <c r="A46196" s="2" t="str">
        <f t="shared" si="1465"/>
        <v>46540</v>
      </c>
      <c r="B46196" s="2" t="str">
        <f>"13494"</f>
        <v>13494</v>
      </c>
      <c r="C46196" s="1">
        <v>1.34576123443007E-3</v>
      </c>
      <c r="D46196" s="1">
        <v>4.39802089059923E-4</v>
      </c>
      <c r="E46196" s="1">
        <v>1.9040365575019E-4</v>
      </c>
      <c r="F46196" s="1">
        <v>1.2471749076677101E-3</v>
      </c>
    </row>
    <row r="46197" spans="1:6" x14ac:dyDescent="0.25">
      <c r="A46197" s="2" t="str">
        <f t="shared" si="1465"/>
        <v>46540</v>
      </c>
      <c r="B46197" s="2" t="str">
        <f>"13455"</f>
        <v>13455</v>
      </c>
      <c r="C46197" s="1">
        <v>0</v>
      </c>
      <c r="D46197" s="1">
        <v>0</v>
      </c>
      <c r="E46197" s="1">
        <v>1.9040365575019E-4</v>
      </c>
      <c r="F46197" s="1">
        <v>6.8904691031365398E-6</v>
      </c>
    </row>
    <row r="46198" spans="1:6" x14ac:dyDescent="0.25">
      <c r="A46198" s="2" t="str">
        <f t="shared" si="1465"/>
        <v>46540</v>
      </c>
      <c r="B46198" s="2" t="str">
        <f>"13483"</f>
        <v>13483</v>
      </c>
      <c r="C46198" s="1">
        <v>8.4110077151879797E-4</v>
      </c>
      <c r="D46198" s="1">
        <v>2.1990104452996101E-4</v>
      </c>
      <c r="E46198" s="1">
        <v>5.7121096725057103E-4</v>
      </c>
      <c r="F46198" s="1">
        <v>7.9240394686070205E-4</v>
      </c>
    </row>
    <row r="46199" spans="1:6" x14ac:dyDescent="0.25">
      <c r="A46199" s="2" t="str">
        <f t="shared" si="1465"/>
        <v>46540</v>
      </c>
      <c r="B46199" s="2" t="str">
        <f>"13476"</f>
        <v>13476</v>
      </c>
      <c r="C46199" s="1">
        <v>8.6556915759934492E-3</v>
      </c>
      <c r="D46199" s="1">
        <v>3.9582188015392997E-3</v>
      </c>
      <c r="E46199" s="1">
        <v>2.09444021325209E-3</v>
      </c>
      <c r="F46199" s="1">
        <v>8.12386307259798E-3</v>
      </c>
    </row>
    <row r="46200" spans="1:6" x14ac:dyDescent="0.25">
      <c r="A46200" s="2" t="str">
        <f t="shared" si="1465"/>
        <v>46540</v>
      </c>
      <c r="B46200" s="2" t="str">
        <f>"13461"</f>
        <v>13461</v>
      </c>
      <c r="C46200" s="1">
        <v>1.07202116515395E-2</v>
      </c>
      <c r="D46200" s="1">
        <v>9.8955470038482596E-3</v>
      </c>
      <c r="E46200" s="1">
        <v>6.2833206397562803E-3</v>
      </c>
      <c r="F46200" s="1">
        <v>1.0507965382283199E-2</v>
      </c>
    </row>
    <row r="46201" spans="1:6" x14ac:dyDescent="0.25">
      <c r="A46201" s="2" t="str">
        <f t="shared" si="1465"/>
        <v>46540</v>
      </c>
      <c r="B46201" s="2" t="str">
        <f>"13456"</f>
        <v>13456</v>
      </c>
      <c r="C46201" s="1">
        <v>1.25247551249799E-2</v>
      </c>
      <c r="D46201" s="1">
        <v>2.8587135788894899E-3</v>
      </c>
      <c r="E46201" s="1">
        <v>3.61766945925361E-3</v>
      </c>
      <c r="F46201" s="1">
        <v>1.15966595005787E-2</v>
      </c>
    </row>
    <row r="46202" spans="1:6" x14ac:dyDescent="0.25">
      <c r="A46202" s="2" t="str">
        <f t="shared" si="1465"/>
        <v>46540</v>
      </c>
      <c r="B46202" s="2" t="str">
        <f>"13367"</f>
        <v>13367</v>
      </c>
      <c r="C46202" s="1">
        <v>1.9115926625427201E-4</v>
      </c>
      <c r="D46202" s="1">
        <v>4.39802089059923E-4</v>
      </c>
      <c r="E46202" s="1">
        <v>0</v>
      </c>
      <c r="F46202" s="1">
        <v>1.9982360399095899E-4</v>
      </c>
    </row>
    <row r="46203" spans="1:6" x14ac:dyDescent="0.25">
      <c r="A46203" s="2" t="str">
        <f t="shared" si="1465"/>
        <v>46540</v>
      </c>
      <c r="B46203" s="2" t="str">
        <f>"13416"</f>
        <v>13416</v>
      </c>
      <c r="C46203" s="1">
        <v>7.2411130057118299E-3</v>
      </c>
      <c r="D46203" s="1">
        <v>8.79604178119846E-4</v>
      </c>
      <c r="E46203" s="1">
        <v>2.2848438690022798E-3</v>
      </c>
      <c r="F46203" s="1">
        <v>6.6630836227330303E-3</v>
      </c>
    </row>
    <row r="46204" spans="1:6" x14ac:dyDescent="0.25">
      <c r="A46204" s="2" t="str">
        <f t="shared" si="1465"/>
        <v>46540</v>
      </c>
      <c r="B46204" s="2" t="str">
        <f>"13361"</f>
        <v>13361</v>
      </c>
      <c r="C46204" s="1">
        <v>1.6516160604369101E-3</v>
      </c>
      <c r="D46204" s="1">
        <v>5.4975261132490295E-4</v>
      </c>
      <c r="E46204" s="1">
        <v>5.7121096725057103E-4</v>
      </c>
      <c r="F46204" s="1">
        <v>1.5434650791025799E-3</v>
      </c>
    </row>
    <row r="46205" spans="1:6" x14ac:dyDescent="0.25">
      <c r="A46205" s="2" t="str">
        <f t="shared" si="1465"/>
        <v>46540</v>
      </c>
      <c r="B46205" s="2" t="str">
        <f>"13313"</f>
        <v>13313</v>
      </c>
      <c r="C46205" s="1">
        <v>1.77395799083964E-3</v>
      </c>
      <c r="D46205" s="1">
        <v>1.0995052226498E-4</v>
      </c>
      <c r="E46205" s="1">
        <v>3.8080731150038E-4</v>
      </c>
      <c r="F46205" s="1">
        <v>1.61926023923708E-3</v>
      </c>
    </row>
    <row r="46206" spans="1:6" x14ac:dyDescent="0.25">
      <c r="A46206" s="2" t="str">
        <f t="shared" si="1465"/>
        <v>46540</v>
      </c>
      <c r="B46206" s="2" t="str">
        <f>"13492"</f>
        <v>13492</v>
      </c>
      <c r="C46206" s="1">
        <v>4.0242848731849398E-2</v>
      </c>
      <c r="D46206" s="1">
        <v>2.94667399670148E-2</v>
      </c>
      <c r="E46206" s="1">
        <v>2.51332825590251E-2</v>
      </c>
      <c r="F46206" s="1">
        <v>3.90207265310622E-2</v>
      </c>
    </row>
    <row r="46207" spans="1:6" x14ac:dyDescent="0.25">
      <c r="A46207" s="2" t="str">
        <f t="shared" si="1465"/>
        <v>46540</v>
      </c>
      <c r="B46207" s="2" t="str">
        <f>"13490"</f>
        <v>13490</v>
      </c>
      <c r="C46207" s="1">
        <v>3.2344147850222799E-3</v>
      </c>
      <c r="D46207" s="1">
        <v>3.1885651456844402E-3</v>
      </c>
      <c r="E46207" s="1">
        <v>5.7121096725057103E-4</v>
      </c>
      <c r="F46207" s="1">
        <v>3.1351634419271202E-3</v>
      </c>
    </row>
    <row r="46208" spans="1:6" x14ac:dyDescent="0.25">
      <c r="A46208" s="2" t="str">
        <f t="shared" si="1465"/>
        <v>46540</v>
      </c>
      <c r="B46208" s="2" t="str">
        <f>"13435"</f>
        <v>13435</v>
      </c>
      <c r="C46208" s="1">
        <v>1.01696729647272E-3</v>
      </c>
      <c r="D46208" s="1">
        <v>9.89554700384826E-4</v>
      </c>
      <c r="E46208" s="1">
        <v>1.9040365575019E-4</v>
      </c>
      <c r="F46208" s="1">
        <v>9.8533708174852502E-4</v>
      </c>
    </row>
    <row r="46209" spans="1:6" x14ac:dyDescent="0.25">
      <c r="A46209" s="2" t="str">
        <f t="shared" si="1465"/>
        <v>46540</v>
      </c>
      <c r="B46209" s="2" t="str">
        <f>"13471"</f>
        <v>13471</v>
      </c>
      <c r="C46209" s="1">
        <v>1.0307307636430301E-2</v>
      </c>
      <c r="D46209" s="1">
        <v>1.6492578339747099E-3</v>
      </c>
      <c r="E46209" s="1">
        <v>2.4752475247524701E-3</v>
      </c>
      <c r="F46209" s="1">
        <v>9.4812854859158795E-3</v>
      </c>
    </row>
    <row r="46210" spans="1:6" x14ac:dyDescent="0.25">
      <c r="A46210" s="2" t="str">
        <f t="shared" ref="A46210:A46241" si="1466">"46540"</f>
        <v>46540</v>
      </c>
      <c r="B46210" s="2" t="str">
        <f>"13454"</f>
        <v>13454</v>
      </c>
      <c r="C46210" s="1">
        <v>1.3763467170307599E-3</v>
      </c>
      <c r="D46210" s="1">
        <v>3.2985156679494202E-4</v>
      </c>
      <c r="E46210" s="1">
        <v>1.9040365575019E-4</v>
      </c>
      <c r="F46210" s="1">
        <v>1.2678463149771199E-3</v>
      </c>
    </row>
    <row r="46211" spans="1:6" x14ac:dyDescent="0.25">
      <c r="A46211" s="2" t="str">
        <f t="shared" si="1466"/>
        <v>46540</v>
      </c>
      <c r="B46211" s="2" t="str">
        <f>"13362"</f>
        <v>13362</v>
      </c>
      <c r="C46211" s="1">
        <v>0</v>
      </c>
      <c r="D46211" s="1">
        <v>0</v>
      </c>
      <c r="E46211" s="1">
        <v>1.9040365575019E-4</v>
      </c>
      <c r="F46211" s="1">
        <v>6.8904691031365398E-6</v>
      </c>
    </row>
    <row r="46212" spans="1:6" x14ac:dyDescent="0.25">
      <c r="A46212" s="2" t="str">
        <f t="shared" si="1466"/>
        <v>46540</v>
      </c>
      <c r="B46212" s="2" t="str">
        <f>"13402"</f>
        <v>13402</v>
      </c>
      <c r="C46212" s="1">
        <v>9.1756447802050697E-5</v>
      </c>
      <c r="D46212" s="1">
        <v>0</v>
      </c>
      <c r="E46212" s="1">
        <v>0</v>
      </c>
      <c r="F46212" s="1">
        <v>8.2685629237638406E-5</v>
      </c>
    </row>
    <row r="46213" spans="1:6" x14ac:dyDescent="0.25">
      <c r="A46213" s="2" t="str">
        <f t="shared" si="1466"/>
        <v>46540</v>
      </c>
      <c r="B46213" s="2" t="str">
        <f>"13409"</f>
        <v>13409</v>
      </c>
      <c r="C46213" s="1">
        <v>3.9761127380888602E-4</v>
      </c>
      <c r="D46213" s="1">
        <v>1.0995052226498E-4</v>
      </c>
      <c r="E46213" s="1">
        <v>0</v>
      </c>
      <c r="F46213" s="1">
        <v>3.6519486246623602E-4</v>
      </c>
    </row>
    <row r="46214" spans="1:6" x14ac:dyDescent="0.25">
      <c r="A46214" s="2" t="str">
        <f t="shared" si="1466"/>
        <v>46540</v>
      </c>
      <c r="B46214" s="2" t="str">
        <f>"13401"</f>
        <v>13401</v>
      </c>
      <c r="C46214" s="1">
        <v>0</v>
      </c>
      <c r="D46214" s="1">
        <v>1.0995052226498E-4</v>
      </c>
      <c r="E46214" s="1">
        <v>1.9040365575019E-4</v>
      </c>
      <c r="F46214" s="1">
        <v>1.3780938206273E-5</v>
      </c>
    </row>
    <row r="46215" spans="1:6" x14ac:dyDescent="0.25">
      <c r="A46215" s="2" t="str">
        <f t="shared" si="1466"/>
        <v>46540</v>
      </c>
      <c r="B46215" s="2" t="str">
        <f>"13340"</f>
        <v>13340</v>
      </c>
      <c r="C46215" s="1">
        <v>2.6831114611449599E-2</v>
      </c>
      <c r="D46215" s="1">
        <v>2.2979659153380901E-2</v>
      </c>
      <c r="E46215" s="1">
        <v>2.1706016755521699E-2</v>
      </c>
      <c r="F46215" s="1">
        <v>2.6404277603219201E-2</v>
      </c>
    </row>
    <row r="46216" spans="1:6" x14ac:dyDescent="0.25">
      <c r="A46216" s="2" t="str">
        <f t="shared" si="1466"/>
        <v>46540</v>
      </c>
      <c r="B46216" s="2" t="str">
        <f>"13316"</f>
        <v>13316</v>
      </c>
      <c r="C46216" s="1">
        <v>2.0278174964253201E-2</v>
      </c>
      <c r="D46216" s="1">
        <v>1.4623419461242401E-2</v>
      </c>
      <c r="E46216" s="1">
        <v>1.5041888804265E-2</v>
      </c>
      <c r="F46216" s="1">
        <v>1.9734303511383E-2</v>
      </c>
    </row>
    <row r="46217" spans="1:6" x14ac:dyDescent="0.25">
      <c r="A46217" s="2" t="str">
        <f t="shared" si="1466"/>
        <v>46540</v>
      </c>
      <c r="B46217" s="2" t="str">
        <f>"13339"</f>
        <v>13339</v>
      </c>
      <c r="C46217" s="1">
        <v>1.9957027396946001E-3</v>
      </c>
      <c r="D46217" s="1">
        <v>3.2985156679494202E-4</v>
      </c>
      <c r="E46217" s="1">
        <v>0</v>
      </c>
      <c r="F46217" s="1">
        <v>1.8190838432280399E-3</v>
      </c>
    </row>
    <row r="46218" spans="1:6" x14ac:dyDescent="0.25">
      <c r="A46218" s="2" t="str">
        <f t="shared" si="1466"/>
        <v>46540</v>
      </c>
      <c r="B46218" s="2" t="str">
        <f>"13162"</f>
        <v>13162</v>
      </c>
      <c r="C46218" s="1">
        <v>1.1546019681758001E-3</v>
      </c>
      <c r="D46218" s="1">
        <v>2.1990104452996101E-4</v>
      </c>
      <c r="E46218" s="1">
        <v>1.9040365575019E-4</v>
      </c>
      <c r="F46218" s="1">
        <v>1.0611322418830199E-3</v>
      </c>
    </row>
    <row r="46219" spans="1:6" x14ac:dyDescent="0.25">
      <c r="A46219" s="2" t="str">
        <f t="shared" si="1466"/>
        <v>46540</v>
      </c>
      <c r="B46219" s="2" t="str">
        <f>"13157"</f>
        <v>13157</v>
      </c>
      <c r="C46219" s="1">
        <v>2.5844732797577598E-3</v>
      </c>
      <c r="D46219" s="1">
        <v>0</v>
      </c>
      <c r="E46219" s="1">
        <v>9.5201827875095201E-4</v>
      </c>
      <c r="F46219" s="1">
        <v>2.36343090237583E-3</v>
      </c>
    </row>
    <row r="46220" spans="1:6" x14ac:dyDescent="0.25">
      <c r="A46220" s="2" t="str">
        <f t="shared" si="1466"/>
        <v>46540</v>
      </c>
      <c r="B46220" s="2" t="str">
        <f>"13441"</f>
        <v>13441</v>
      </c>
      <c r="C46220" s="1">
        <v>1.3534076050802401E-3</v>
      </c>
      <c r="D46220" s="1">
        <v>1.51731720725673E-2</v>
      </c>
      <c r="E46220" s="1">
        <v>4.3792840822543698E-3</v>
      </c>
      <c r="F46220" s="1">
        <v>2.3289785568601498E-3</v>
      </c>
    </row>
    <row r="46221" spans="1:6" x14ac:dyDescent="0.25">
      <c r="A46221" s="2" t="str">
        <f t="shared" si="1466"/>
        <v>46540</v>
      </c>
      <c r="B46221" s="2" t="str">
        <f>"13425"</f>
        <v>13425</v>
      </c>
      <c r="C46221" s="1">
        <v>4.97014092261108E-3</v>
      </c>
      <c r="D46221" s="1">
        <v>7.6965365585486502E-4</v>
      </c>
      <c r="E46221" s="1">
        <v>1.33282559025133E-3</v>
      </c>
      <c r="F46221" s="1">
        <v>4.5752714844826603E-3</v>
      </c>
    </row>
    <row r="46222" spans="1:6" x14ac:dyDescent="0.25">
      <c r="A46222" s="2" t="str">
        <f t="shared" si="1466"/>
        <v>46540</v>
      </c>
      <c r="B46222" s="2" t="str">
        <f>"13486"</f>
        <v>13486</v>
      </c>
      <c r="C46222" s="1">
        <v>2.3856676428533098E-3</v>
      </c>
      <c r="D46222" s="1">
        <v>2.1990104452996101E-4</v>
      </c>
      <c r="E46222" s="1">
        <v>1.33282559025133E-3</v>
      </c>
      <c r="F46222" s="1">
        <v>2.2118405821068199E-3</v>
      </c>
    </row>
    <row r="46223" spans="1:6" x14ac:dyDescent="0.25">
      <c r="A46223" s="2" t="str">
        <f t="shared" si="1466"/>
        <v>46540</v>
      </c>
      <c r="B46223" s="2" t="str">
        <f>"13407"</f>
        <v>13407</v>
      </c>
      <c r="C46223" s="1">
        <v>1.87412544635688E-2</v>
      </c>
      <c r="D46223" s="1">
        <v>1.28642111050027E-2</v>
      </c>
      <c r="E46223" s="1">
        <v>2.3610053313023599E-2</v>
      </c>
      <c r="F46223" s="1">
        <v>1.8549142825643499E-2</v>
      </c>
    </row>
    <row r="46224" spans="1:6" x14ac:dyDescent="0.25">
      <c r="A46224" s="2" t="str">
        <f t="shared" si="1466"/>
        <v>46540</v>
      </c>
      <c r="B46224" s="2" t="str">
        <f>"13403"</f>
        <v>13403</v>
      </c>
      <c r="C46224" s="1">
        <v>1.47574953548298E-2</v>
      </c>
      <c r="D46224" s="1">
        <v>1.01154480483782E-2</v>
      </c>
      <c r="E46224" s="1">
        <v>1.6945925361766902E-2</v>
      </c>
      <c r="F46224" s="1">
        <v>1.4545780276721199E-2</v>
      </c>
    </row>
    <row r="46225" spans="1:6" x14ac:dyDescent="0.25">
      <c r="A46225" s="2" t="str">
        <f t="shared" si="1466"/>
        <v>46540</v>
      </c>
      <c r="B46225" s="2" t="str">
        <f>"13365"</f>
        <v>13365</v>
      </c>
      <c r="C46225" s="1">
        <v>3.3200541363041999E-2</v>
      </c>
      <c r="D46225" s="1">
        <v>3.2985156679494199E-2</v>
      </c>
      <c r="E46225" s="1">
        <v>4.0365575019040298E-2</v>
      </c>
      <c r="F46225" s="1">
        <v>3.3446337026624702E-2</v>
      </c>
    </row>
    <row r="46226" spans="1:6" x14ac:dyDescent="0.25">
      <c r="A46226" s="2" t="str">
        <f t="shared" si="1466"/>
        <v>46540</v>
      </c>
      <c r="B46226" s="2" t="str">
        <f>"13363"</f>
        <v>13363</v>
      </c>
      <c r="C46226" s="1">
        <v>7.3328694535138798E-3</v>
      </c>
      <c r="D46226" s="1">
        <v>2.0890599230346299E-3</v>
      </c>
      <c r="E46226" s="1">
        <v>2.2848438690022798E-3</v>
      </c>
      <c r="F46226" s="1">
        <v>6.8215644121051699E-3</v>
      </c>
    </row>
    <row r="46227" spans="1:6" x14ac:dyDescent="0.25">
      <c r="A46227" s="2" t="str">
        <f t="shared" si="1466"/>
        <v>46540</v>
      </c>
      <c r="B46227" s="2" t="str">
        <f>"13350"</f>
        <v>13350</v>
      </c>
      <c r="C46227" s="1">
        <v>3.5968527538403801E-2</v>
      </c>
      <c r="D46227" s="1">
        <v>6.0692688290269303E-2</v>
      </c>
      <c r="E46227" s="1">
        <v>5.3884234577303798E-2</v>
      </c>
      <c r="F46227" s="1">
        <v>3.8166308362273298E-2</v>
      </c>
    </row>
    <row r="46228" spans="1:6" x14ac:dyDescent="0.25">
      <c r="A46228" s="2" t="str">
        <f t="shared" si="1466"/>
        <v>46540</v>
      </c>
      <c r="B46228" s="2" t="str">
        <f>"13042"</f>
        <v>13042</v>
      </c>
      <c r="C46228" s="1">
        <v>6.0176937016844902E-3</v>
      </c>
      <c r="D46228" s="1">
        <v>1.2094557449147799E-3</v>
      </c>
      <c r="E46228" s="1">
        <v>1.7136329017517101E-3</v>
      </c>
      <c r="F46228" s="1">
        <v>5.5606085662311799E-3</v>
      </c>
    </row>
    <row r="46229" spans="1:6" x14ac:dyDescent="0.25">
      <c r="A46229" s="2" t="str">
        <f t="shared" si="1466"/>
        <v>46540</v>
      </c>
      <c r="B46229" s="2" t="str">
        <f>"13301"</f>
        <v>13301</v>
      </c>
      <c r="C46229" s="1">
        <v>3.1350119665700599E-4</v>
      </c>
      <c r="D46229" s="1">
        <v>2.1990104452996101E-4</v>
      </c>
      <c r="E46229" s="1">
        <v>1.9040365575019E-4</v>
      </c>
      <c r="F46229" s="1">
        <v>3.0318064053800697E-4</v>
      </c>
    </row>
    <row r="46230" spans="1:6" x14ac:dyDescent="0.25">
      <c r="A46230" s="2" t="str">
        <f t="shared" si="1466"/>
        <v>46540</v>
      </c>
      <c r="B46230" s="2" t="str">
        <f>"13321"</f>
        <v>13321</v>
      </c>
      <c r="C46230" s="1">
        <v>3.2802930089233101E-3</v>
      </c>
      <c r="D46230" s="1">
        <v>0</v>
      </c>
      <c r="E46230" s="1">
        <v>1.9040365575019E-4</v>
      </c>
      <c r="F46230" s="1">
        <v>2.9629017143487099E-3</v>
      </c>
    </row>
    <row r="46231" spans="1:6" x14ac:dyDescent="0.25">
      <c r="A46231" s="2" t="str">
        <f t="shared" si="1466"/>
        <v>46540</v>
      </c>
      <c r="B46231" s="2" t="str">
        <f>"13338"</f>
        <v>13338</v>
      </c>
      <c r="C46231" s="1">
        <v>6.34648763964184E-3</v>
      </c>
      <c r="D46231" s="1">
        <v>2.52886201209455E-3</v>
      </c>
      <c r="E46231" s="1">
        <v>1.9040365575019E-4</v>
      </c>
      <c r="F46231" s="1">
        <v>5.8844606140785998E-3</v>
      </c>
    </row>
    <row r="46232" spans="1:6" x14ac:dyDescent="0.25">
      <c r="A46232" s="2" t="str">
        <f t="shared" si="1466"/>
        <v>46540</v>
      </c>
      <c r="B46232" s="2" t="str">
        <f>"13331"</f>
        <v>13331</v>
      </c>
      <c r="C46232" s="1">
        <v>1.5675059832850301E-3</v>
      </c>
      <c r="D46232" s="1">
        <v>1.2094557449147799E-3</v>
      </c>
      <c r="E46232" s="1">
        <v>1.9040365575019E-4</v>
      </c>
      <c r="F46232" s="1">
        <v>1.49523179538062E-3</v>
      </c>
    </row>
    <row r="46233" spans="1:6" x14ac:dyDescent="0.25">
      <c r="A46233" s="2" t="str">
        <f t="shared" si="1466"/>
        <v>46540</v>
      </c>
      <c r="B46233" s="2" t="str">
        <f>"13329"</f>
        <v>13329</v>
      </c>
      <c r="C46233" s="1">
        <v>9.8561717680702796E-3</v>
      </c>
      <c r="D46233" s="1">
        <v>1.1324903793293E-2</v>
      </c>
      <c r="E46233" s="1">
        <v>6.2833206397562803E-3</v>
      </c>
      <c r="F46233" s="1">
        <v>9.8189184719695705E-3</v>
      </c>
    </row>
    <row r="46234" spans="1:6" x14ac:dyDescent="0.25">
      <c r="A46234" s="2" t="str">
        <f t="shared" si="1466"/>
        <v>46540</v>
      </c>
      <c r="B46234" s="2" t="str">
        <f>"13318"</f>
        <v>13318</v>
      </c>
      <c r="C46234" s="1">
        <v>4.06022281524074E-3</v>
      </c>
      <c r="D46234" s="1">
        <v>7.6965365585486502E-4</v>
      </c>
      <c r="E46234" s="1">
        <v>7.6161462300076098E-4</v>
      </c>
      <c r="F46234" s="1">
        <v>3.7346342539000001E-3</v>
      </c>
    </row>
    <row r="46235" spans="1:6" x14ac:dyDescent="0.25">
      <c r="A46235" s="2" t="str">
        <f t="shared" si="1466"/>
        <v>46540</v>
      </c>
      <c r="B46235" s="2" t="str">
        <f>"13504"</f>
        <v>13504</v>
      </c>
      <c r="C46235" s="1">
        <v>0</v>
      </c>
      <c r="D46235" s="1">
        <v>1.0995052226498E-4</v>
      </c>
      <c r="E46235" s="1">
        <v>0</v>
      </c>
      <c r="F46235" s="1">
        <v>6.8904691031365398E-6</v>
      </c>
    </row>
    <row r="46236" spans="1:6" x14ac:dyDescent="0.25">
      <c r="A46236" s="2" t="str">
        <f t="shared" si="1466"/>
        <v>46540</v>
      </c>
      <c r="B46236" s="2" t="str">
        <f>"13424"</f>
        <v>13424</v>
      </c>
      <c r="C46236" s="1">
        <v>6.23179207988928E-3</v>
      </c>
      <c r="D46236" s="1">
        <v>7.0368334249587602E-3</v>
      </c>
      <c r="E46236" s="1">
        <v>4.1888804265041799E-3</v>
      </c>
      <c r="F46236" s="1">
        <v>6.2083126619260198E-3</v>
      </c>
    </row>
    <row r="46237" spans="1:6" x14ac:dyDescent="0.25">
      <c r="A46237" s="2" t="str">
        <f t="shared" si="1466"/>
        <v>46540</v>
      </c>
      <c r="B46237" s="2" t="str">
        <f>"13354"</f>
        <v>13354</v>
      </c>
      <c r="C46237" s="1">
        <v>9.6726588724661798E-3</v>
      </c>
      <c r="D46237" s="1">
        <v>2.1990104452996101E-4</v>
      </c>
      <c r="E46237" s="1">
        <v>2.8560548362528502E-3</v>
      </c>
      <c r="F46237" s="1">
        <v>8.8335813902210396E-3</v>
      </c>
    </row>
    <row r="46238" spans="1:6" x14ac:dyDescent="0.25">
      <c r="A46238" s="2" t="str">
        <f t="shared" si="1466"/>
        <v>46540</v>
      </c>
      <c r="B46238" s="2" t="str">
        <f>"13319"</f>
        <v>13319</v>
      </c>
      <c r="C46238" s="1">
        <v>2.68387609820998E-3</v>
      </c>
      <c r="D46238" s="1">
        <v>9.89554700384826E-4</v>
      </c>
      <c r="E46238" s="1">
        <v>2.4752475247524701E-3</v>
      </c>
      <c r="F46238" s="1">
        <v>2.57014497546992E-3</v>
      </c>
    </row>
    <row r="46239" spans="1:6" x14ac:dyDescent="0.25">
      <c r="A46239" s="2" t="str">
        <f t="shared" si="1466"/>
        <v>46540</v>
      </c>
      <c r="B46239" s="2" t="str">
        <f>"13479"</f>
        <v>13479</v>
      </c>
      <c r="C46239" s="1">
        <v>0</v>
      </c>
      <c r="D46239" s="1">
        <v>0</v>
      </c>
      <c r="E46239" s="1">
        <v>1.9040365575019E-4</v>
      </c>
      <c r="F46239" s="1">
        <v>6.8904691031365398E-6</v>
      </c>
    </row>
    <row r="46240" spans="1:6" x14ac:dyDescent="0.25">
      <c r="A46240" s="2" t="str">
        <f t="shared" si="1466"/>
        <v>46540</v>
      </c>
      <c r="B46240" s="2" t="str">
        <f>"13470"</f>
        <v>13470</v>
      </c>
      <c r="C46240" s="1">
        <v>4.2819675640957001E-4</v>
      </c>
      <c r="D46240" s="1">
        <v>0</v>
      </c>
      <c r="E46240" s="1">
        <v>0</v>
      </c>
      <c r="F46240" s="1">
        <v>3.85866269775646E-4</v>
      </c>
    </row>
    <row r="46241" spans="1:6" x14ac:dyDescent="0.25">
      <c r="A46241" s="2" t="str">
        <f t="shared" si="1466"/>
        <v>46540</v>
      </c>
      <c r="B46241" s="2" t="str">
        <f>"13480"</f>
        <v>13480</v>
      </c>
      <c r="C46241" s="1">
        <v>1.0819614469991801E-2</v>
      </c>
      <c r="D46241" s="1">
        <v>1.0225398570643199E-2</v>
      </c>
      <c r="E46241" s="1">
        <v>7.9969535415079906E-3</v>
      </c>
      <c r="F46241" s="1">
        <v>1.0680227109861599E-2</v>
      </c>
    </row>
    <row r="46242" spans="1:6" x14ac:dyDescent="0.25">
      <c r="A46242" s="2" t="str">
        <f t="shared" ref="A46242:A46257" si="1467">"46540"</f>
        <v>46540</v>
      </c>
      <c r="B46242" s="2" t="str">
        <f>"13477"</f>
        <v>13477</v>
      </c>
      <c r="C46242" s="1">
        <v>3.9914054793892002E-3</v>
      </c>
      <c r="D46242" s="1">
        <v>1.2094557449147799E-3</v>
      </c>
      <c r="E46242" s="1">
        <v>9.5201827875095201E-4</v>
      </c>
      <c r="F46242" s="1">
        <v>3.7070723774874502E-3</v>
      </c>
    </row>
    <row r="46243" spans="1:6" x14ac:dyDescent="0.25">
      <c r="A46243" s="2" t="str">
        <f t="shared" si="1467"/>
        <v>46540</v>
      </c>
      <c r="B46243" s="2" t="str">
        <f>"13440"</f>
        <v>13440</v>
      </c>
      <c r="C46243" s="1">
        <v>0.14544161613689999</v>
      </c>
      <c r="D46243" s="1">
        <v>0.146454095656954</v>
      </c>
      <c r="E46243" s="1">
        <v>0.19954303122619901</v>
      </c>
      <c r="F46243" s="1">
        <v>0.14746292927622501</v>
      </c>
    </row>
    <row r="46244" spans="1:6" x14ac:dyDescent="0.25">
      <c r="A46244" s="2" t="str">
        <f t="shared" si="1467"/>
        <v>46540</v>
      </c>
      <c r="B46244" s="2" t="str">
        <f>"13439"</f>
        <v>13439</v>
      </c>
      <c r="C46244" s="1">
        <v>3.2726466382731398E-3</v>
      </c>
      <c r="D46244" s="1">
        <v>9.89554700384826E-4</v>
      </c>
      <c r="E46244" s="1">
        <v>0</v>
      </c>
      <c r="F46244" s="1">
        <v>3.0111349980706599E-3</v>
      </c>
    </row>
    <row r="46245" spans="1:6" x14ac:dyDescent="0.25">
      <c r="A46245" s="2" t="str">
        <f t="shared" si="1467"/>
        <v>46540</v>
      </c>
      <c r="B46245" s="2" t="str">
        <f>"13431"</f>
        <v>13431</v>
      </c>
      <c r="C46245" s="1">
        <v>5.3142276018687696E-3</v>
      </c>
      <c r="D46245" s="1">
        <v>9.89554700384826E-4</v>
      </c>
      <c r="E46245" s="1">
        <v>1.1424219345011399E-3</v>
      </c>
      <c r="F46245" s="1">
        <v>4.8922330632269403E-3</v>
      </c>
    </row>
    <row r="46246" spans="1:6" x14ac:dyDescent="0.25">
      <c r="A46246" s="2" t="str">
        <f t="shared" si="1467"/>
        <v>46540</v>
      </c>
      <c r="B46246" s="2" t="str">
        <f>"13421"</f>
        <v>13421</v>
      </c>
      <c r="C46246" s="1">
        <v>7.6616633914712304E-3</v>
      </c>
      <c r="D46246" s="1">
        <v>3.1885651456844402E-3</v>
      </c>
      <c r="E46246" s="1">
        <v>4.9504950495049497E-3</v>
      </c>
      <c r="F46246" s="1">
        <v>7.2832258420153203E-3</v>
      </c>
    </row>
    <row r="46247" spans="1:6" x14ac:dyDescent="0.25">
      <c r="A46247" s="2" t="str">
        <f t="shared" si="1467"/>
        <v>46540</v>
      </c>
      <c r="B46247" s="2" t="str">
        <f>"13360"</f>
        <v>13360</v>
      </c>
      <c r="C46247" s="1">
        <v>1.52927413003417E-5</v>
      </c>
      <c r="D46247" s="1">
        <v>0</v>
      </c>
      <c r="E46247" s="1">
        <v>0</v>
      </c>
      <c r="F46247" s="1">
        <v>1.3780938206273E-5</v>
      </c>
    </row>
    <row r="46248" spans="1:6" x14ac:dyDescent="0.25">
      <c r="A46248" s="2" t="str">
        <f t="shared" si="1467"/>
        <v>46540</v>
      </c>
      <c r="B46248" s="2" t="str">
        <f>"13357"</f>
        <v>13357</v>
      </c>
      <c r="C46248" s="1">
        <v>3.8606525412712797E-2</v>
      </c>
      <c r="D46248" s="1">
        <v>2.4628916987355601E-2</v>
      </c>
      <c r="E46248" s="1">
        <v>3.9984767707539899E-2</v>
      </c>
      <c r="F46248" s="1">
        <v>3.7780442092497597E-2</v>
      </c>
    </row>
    <row r="46249" spans="1:6" x14ac:dyDescent="0.25">
      <c r="A46249" s="2" t="str">
        <f t="shared" si="1467"/>
        <v>46540</v>
      </c>
      <c r="B46249" s="2" t="str">
        <f>"13054"</f>
        <v>13054</v>
      </c>
      <c r="C46249" s="1">
        <v>4.6107615020530499E-3</v>
      </c>
      <c r="D46249" s="1">
        <v>2.0890599230346299E-3</v>
      </c>
      <c r="E46249" s="1">
        <v>1.7136329017517101E-3</v>
      </c>
      <c r="F46249" s="1">
        <v>4.3478860040791498E-3</v>
      </c>
    </row>
    <row r="46250" spans="1:6" x14ac:dyDescent="0.25">
      <c r="A46250" s="2" t="str">
        <f t="shared" si="1467"/>
        <v>46540</v>
      </c>
      <c r="B46250" s="2" t="str">
        <f>"13303"</f>
        <v>13303</v>
      </c>
      <c r="C46250" s="1">
        <v>3.7925998424847601E-3</v>
      </c>
      <c r="D46250" s="1">
        <v>0</v>
      </c>
      <c r="E46250" s="1">
        <v>1.7136329017517101E-3</v>
      </c>
      <c r="F46250" s="1">
        <v>3.4796868970839502E-3</v>
      </c>
    </row>
    <row r="46251" spans="1:6" x14ac:dyDescent="0.25">
      <c r="A46251" s="2" t="str">
        <f t="shared" si="1467"/>
        <v>46540</v>
      </c>
      <c r="B46251" s="2" t="str">
        <f>"13502"</f>
        <v>13502</v>
      </c>
      <c r="C46251" s="1">
        <v>0.118449927741797</v>
      </c>
      <c r="D46251" s="1">
        <v>0.157559098405717</v>
      </c>
      <c r="E46251" s="1">
        <v>0.118621477532368</v>
      </c>
      <c r="F46251" s="1">
        <v>0.120907061352736</v>
      </c>
    </row>
    <row r="46252" spans="1:6" x14ac:dyDescent="0.25">
      <c r="A46252" s="2" t="str">
        <f t="shared" si="1467"/>
        <v>46540</v>
      </c>
      <c r="B46252" s="2" t="str">
        <f>"13478"</f>
        <v>13478</v>
      </c>
      <c r="C46252" s="1">
        <v>9.5732560540139604E-3</v>
      </c>
      <c r="D46252" s="1">
        <v>4.9477735019241298E-3</v>
      </c>
      <c r="E46252" s="1">
        <v>3.9984767707539901E-3</v>
      </c>
      <c r="F46252" s="1">
        <v>9.0816382779339601E-3</v>
      </c>
    </row>
    <row r="46253" spans="1:6" x14ac:dyDescent="0.25">
      <c r="A46253" s="2" t="str">
        <f t="shared" si="1467"/>
        <v>46540</v>
      </c>
      <c r="B46253" s="2" t="str">
        <f>"13472"</f>
        <v>13472</v>
      </c>
      <c r="C46253" s="1">
        <v>7.6463706501708902E-4</v>
      </c>
      <c r="D46253" s="1">
        <v>0</v>
      </c>
      <c r="E46253" s="1">
        <v>1.9040365575019E-4</v>
      </c>
      <c r="F46253" s="1">
        <v>6.9593737941678997E-4</v>
      </c>
    </row>
    <row r="46254" spans="1:6" x14ac:dyDescent="0.25">
      <c r="A46254" s="2" t="str">
        <f t="shared" si="1467"/>
        <v>46540</v>
      </c>
      <c r="B46254" s="2" t="str">
        <f>"13406"</f>
        <v>13406</v>
      </c>
      <c r="C46254" s="1">
        <v>1.55985961263486E-3</v>
      </c>
      <c r="D46254" s="1">
        <v>3.2985156679494202E-4</v>
      </c>
      <c r="E46254" s="1">
        <v>7.6161462300076098E-4</v>
      </c>
      <c r="F46254" s="1">
        <v>1.4538889807618101E-3</v>
      </c>
    </row>
    <row r="46255" spans="1:6" x14ac:dyDescent="0.25">
      <c r="A46255" s="2" t="str">
        <f t="shared" si="1467"/>
        <v>46540</v>
      </c>
      <c r="B46255" s="2" t="str">
        <f>"13417"</f>
        <v>13417</v>
      </c>
      <c r="C46255" s="1">
        <v>1.54686078252957E-2</v>
      </c>
      <c r="D46255" s="1">
        <v>1.28642111050027E-2</v>
      </c>
      <c r="E46255" s="1">
        <v>2.9512566641279499E-2</v>
      </c>
      <c r="F46255" s="1">
        <v>1.5813626591698299E-2</v>
      </c>
    </row>
    <row r="46256" spans="1:6" x14ac:dyDescent="0.25">
      <c r="A46256" s="2" t="str">
        <f t="shared" si="1467"/>
        <v>46540</v>
      </c>
      <c r="B46256" s="2" t="str">
        <f>"13341"</f>
        <v>13341</v>
      </c>
      <c r="C46256" s="1">
        <v>0</v>
      </c>
      <c r="D46256" s="1">
        <v>0</v>
      </c>
      <c r="E46256" s="1">
        <v>1.9040365575019E-4</v>
      </c>
      <c r="F46256" s="1">
        <v>6.8904691031365398E-6</v>
      </c>
    </row>
    <row r="46257" spans="1:6" x14ac:dyDescent="0.25">
      <c r="A46257" s="2" t="str">
        <f t="shared" si="1467"/>
        <v>46540</v>
      </c>
      <c r="B46257" s="2" t="str">
        <f>"13323"</f>
        <v>13323</v>
      </c>
      <c r="C46257" s="1">
        <v>3.6274382364410697E-2</v>
      </c>
      <c r="D46257" s="1">
        <v>3.2105552501374299E-2</v>
      </c>
      <c r="E46257" s="1">
        <v>5.0837776085300802E-2</v>
      </c>
      <c r="F46257" s="1">
        <v>3.6540157653933002E-2</v>
      </c>
    </row>
    <row r="46258" spans="1:6" x14ac:dyDescent="0.25">
      <c r="A46258" s="2" t="str">
        <f t="shared" ref="A46258:A46296" si="1468">"27460"</f>
        <v>27460</v>
      </c>
      <c r="B46258" s="2" t="str">
        <f>"14728"</f>
        <v>14728</v>
      </c>
      <c r="C46258" s="1">
        <v>8.4724760695145708E-3</v>
      </c>
      <c r="D46258" s="1">
        <v>2.2106109324758799E-3</v>
      </c>
      <c r="E46258" s="1">
        <v>2.14056368176953E-3</v>
      </c>
      <c r="F46258" s="1">
        <v>7.7964086755781597E-3</v>
      </c>
    </row>
    <row r="46259" spans="1:6" x14ac:dyDescent="0.25">
      <c r="A46259" s="2" t="str">
        <f t="shared" si="1468"/>
        <v>27460</v>
      </c>
      <c r="B46259" s="2" t="str">
        <f>"14736"</f>
        <v>14736</v>
      </c>
      <c r="C46259" s="1">
        <v>1.65732164431089E-3</v>
      </c>
      <c r="D46259" s="1">
        <v>2.0096463022507998E-3</v>
      </c>
      <c r="E46259" s="1">
        <v>3.56760613628255E-4</v>
      </c>
      <c r="F46259" s="1">
        <v>1.63116351723089E-3</v>
      </c>
    </row>
    <row r="46260" spans="1:6" x14ac:dyDescent="0.25">
      <c r="A46260" s="2" t="str">
        <f t="shared" si="1468"/>
        <v>27460</v>
      </c>
      <c r="B46260" s="2" t="str">
        <f>"14702"</f>
        <v>14702</v>
      </c>
      <c r="C46260" s="1">
        <v>1.0408599485765601E-2</v>
      </c>
      <c r="D46260" s="1">
        <v>4.4011254019292602E-2</v>
      </c>
      <c r="E46260" s="1">
        <v>7.1352122725651E-4</v>
      </c>
      <c r="F46260" s="1">
        <v>1.2344313736332E-2</v>
      </c>
    </row>
    <row r="46261" spans="1:6" x14ac:dyDescent="0.25">
      <c r="A46261" s="2" t="str">
        <f t="shared" si="1468"/>
        <v>27460</v>
      </c>
      <c r="B46261" s="2" t="str">
        <f>"14757"</f>
        <v>14757</v>
      </c>
      <c r="C46261" s="1">
        <v>3.1101886558656699E-2</v>
      </c>
      <c r="D46261" s="1">
        <v>2.69292604501607E-2</v>
      </c>
      <c r="E46261" s="1">
        <v>3.1394933999286397E-2</v>
      </c>
      <c r="F46261" s="1">
        <v>3.08262257917363E-2</v>
      </c>
    </row>
    <row r="46262" spans="1:6" x14ac:dyDescent="0.25">
      <c r="A46262" s="2" t="str">
        <f t="shared" si="1468"/>
        <v>27460</v>
      </c>
      <c r="B46262" s="2" t="str">
        <f>"14723"</f>
        <v>14723</v>
      </c>
      <c r="C46262" s="1">
        <v>8.42600910752455E-3</v>
      </c>
      <c r="D46262" s="1">
        <v>1.60771704180064E-3</v>
      </c>
      <c r="E46262" s="1">
        <v>5.35140920442383E-3</v>
      </c>
      <c r="F46262" s="1">
        <v>7.8378789344908106E-3</v>
      </c>
    </row>
    <row r="46263" spans="1:6" x14ac:dyDescent="0.25">
      <c r="A46263" s="2" t="str">
        <f t="shared" si="1468"/>
        <v>27460</v>
      </c>
      <c r="B46263" s="2" t="str">
        <f>"14718"</f>
        <v>14718</v>
      </c>
      <c r="C46263" s="1">
        <v>2.0337040364300899E-2</v>
      </c>
      <c r="D46263" s="1">
        <v>1.4871382636655901E-2</v>
      </c>
      <c r="E46263" s="1">
        <v>1.42704245451302E-3</v>
      </c>
      <c r="F46263" s="1">
        <v>1.9228376715831899E-2</v>
      </c>
    </row>
    <row r="46264" spans="1:6" x14ac:dyDescent="0.25">
      <c r="A46264" s="2" t="str">
        <f t="shared" si="1468"/>
        <v>27460</v>
      </c>
      <c r="B46264" s="2" t="str">
        <f>"14701"</f>
        <v>14701</v>
      </c>
      <c r="C46264" s="1">
        <v>0.29700133205291002</v>
      </c>
      <c r="D46264" s="1">
        <v>0.36515273311897101</v>
      </c>
      <c r="E46264" s="1">
        <v>0.34106314662861198</v>
      </c>
      <c r="F46264" s="1">
        <v>0.30339641420494601</v>
      </c>
    </row>
    <row r="46265" spans="1:6" x14ac:dyDescent="0.25">
      <c r="A46265" s="2" t="str">
        <f t="shared" si="1468"/>
        <v>27460</v>
      </c>
      <c r="B46265" s="2" t="str">
        <f>"14063"</f>
        <v>14063</v>
      </c>
      <c r="C46265" s="1">
        <v>9.7038505622502394E-2</v>
      </c>
      <c r="D46265" s="1">
        <v>0.111133440514469</v>
      </c>
      <c r="E46265" s="1">
        <v>0.122368890474491</v>
      </c>
      <c r="F46265" s="1">
        <v>9.8989508024494993E-2</v>
      </c>
    </row>
    <row r="46266" spans="1:6" x14ac:dyDescent="0.25">
      <c r="A46266" s="2" t="str">
        <f t="shared" si="1468"/>
        <v>27460</v>
      </c>
      <c r="B46266" s="2" t="str">
        <f>"14712"</f>
        <v>14712</v>
      </c>
      <c r="C46266" s="1">
        <v>2.7957622130665001E-2</v>
      </c>
      <c r="D46266" s="1">
        <v>6.6318327974276498E-3</v>
      </c>
      <c r="E46266" s="1">
        <v>3.7459864430966799E-2</v>
      </c>
      <c r="F46266" s="1">
        <v>2.6858904355759501E-2</v>
      </c>
    </row>
    <row r="46267" spans="1:6" x14ac:dyDescent="0.25">
      <c r="A46267" s="2" t="str">
        <f t="shared" si="1468"/>
        <v>27460</v>
      </c>
      <c r="B46267" s="2" t="str">
        <f>"14782"</f>
        <v>14782</v>
      </c>
      <c r="C46267" s="1">
        <v>1.46835599888479E-2</v>
      </c>
      <c r="D46267" s="1">
        <v>2.41157556270096E-3</v>
      </c>
      <c r="E46267" s="1">
        <v>5.70816981805208E-3</v>
      </c>
      <c r="F46267" s="1">
        <v>1.34916575662487E-2</v>
      </c>
    </row>
    <row r="46268" spans="1:6" x14ac:dyDescent="0.25">
      <c r="A46268" s="2" t="str">
        <f t="shared" si="1468"/>
        <v>27460</v>
      </c>
      <c r="B46268" s="2" t="str">
        <f>"14775"</f>
        <v>14775</v>
      </c>
      <c r="C46268" s="1">
        <v>1.6526749481118898E-2</v>
      </c>
      <c r="D46268" s="1">
        <v>5.0241157556270002E-3</v>
      </c>
      <c r="E46268" s="1">
        <v>2.49732429539778E-3</v>
      </c>
      <c r="F46268" s="1">
        <v>1.51919381816673E-2</v>
      </c>
    </row>
    <row r="46269" spans="1:6" x14ac:dyDescent="0.25">
      <c r="A46269" s="2" t="str">
        <f t="shared" si="1468"/>
        <v>27460</v>
      </c>
      <c r="B46269" s="2" t="str">
        <f>"14081"</f>
        <v>14081</v>
      </c>
      <c r="C46269" s="1">
        <v>8.3795421455345204E-3</v>
      </c>
      <c r="D46269" s="1">
        <v>1.1053054662379399E-2</v>
      </c>
      <c r="E46269" s="1">
        <v>2.85408490902604E-3</v>
      </c>
      <c r="F46269" s="1">
        <v>8.3493454610801595E-3</v>
      </c>
    </row>
    <row r="46270" spans="1:6" x14ac:dyDescent="0.25">
      <c r="A46270" s="2" t="str">
        <f t="shared" si="1468"/>
        <v>27460</v>
      </c>
      <c r="B46270" s="2" t="str">
        <f>"14716"</f>
        <v>14716</v>
      </c>
      <c r="C46270" s="1">
        <v>1.4822960874818001E-2</v>
      </c>
      <c r="D46270" s="1">
        <v>6.0289389067524103E-3</v>
      </c>
      <c r="E46270" s="1">
        <v>1.2843382090617099E-2</v>
      </c>
      <c r="F46270" s="1">
        <v>1.41413582892135E-2</v>
      </c>
    </row>
    <row r="46271" spans="1:6" x14ac:dyDescent="0.25">
      <c r="A46271" s="2" t="str">
        <f t="shared" si="1468"/>
        <v>27460</v>
      </c>
      <c r="B46271" s="2" t="str">
        <f>"14738"</f>
        <v>14738</v>
      </c>
      <c r="C46271" s="1">
        <v>2.1142467705461399E-2</v>
      </c>
      <c r="D46271" s="1">
        <v>8.2395498392282898E-3</v>
      </c>
      <c r="E46271" s="1">
        <v>4.6378879771673204E-3</v>
      </c>
      <c r="F46271" s="1">
        <v>1.96154324656833E-2</v>
      </c>
    </row>
    <row r="46272" spans="1:6" x14ac:dyDescent="0.25">
      <c r="A46272" s="2" t="str">
        <f t="shared" si="1468"/>
        <v>27460</v>
      </c>
      <c r="B46272" s="2" t="str">
        <f>"14733"</f>
        <v>14733</v>
      </c>
      <c r="C46272" s="1">
        <v>2.8128000991295098E-2</v>
      </c>
      <c r="D46272" s="1">
        <v>5.1245980707395403E-2</v>
      </c>
      <c r="E46272" s="1">
        <v>2.5686764181234299E-2</v>
      </c>
      <c r="F46272" s="1">
        <v>2.9623588283269501E-2</v>
      </c>
    </row>
    <row r="46273" spans="1:6" x14ac:dyDescent="0.25">
      <c r="A46273" s="2" t="str">
        <f t="shared" si="1468"/>
        <v>27460</v>
      </c>
      <c r="B46273" s="2" t="str">
        <f>"14752"</f>
        <v>14752</v>
      </c>
      <c r="C46273" s="1">
        <v>2.0290573402310902E-3</v>
      </c>
      <c r="D46273" s="1">
        <v>0</v>
      </c>
      <c r="E46273" s="1">
        <v>3.56760613628255E-4</v>
      </c>
      <c r="F46273" s="1">
        <v>1.82469139215659E-3</v>
      </c>
    </row>
    <row r="46274" spans="1:6" x14ac:dyDescent="0.25">
      <c r="A46274" s="2" t="str">
        <f t="shared" si="1468"/>
        <v>27460</v>
      </c>
      <c r="B46274" s="2" t="str">
        <f>"14742"</f>
        <v>14742</v>
      </c>
      <c r="C46274" s="1">
        <v>1.2236299990706599E-3</v>
      </c>
      <c r="D46274" s="1">
        <v>0</v>
      </c>
      <c r="E46274" s="1">
        <v>3.56760613628255E-4</v>
      </c>
      <c r="F46274" s="1">
        <v>1.10587357100399E-3</v>
      </c>
    </row>
    <row r="46275" spans="1:6" x14ac:dyDescent="0.25">
      <c r="A46275" s="2" t="str">
        <f t="shared" si="1468"/>
        <v>27460</v>
      </c>
      <c r="B46275" s="2" t="str">
        <f>"14726"</f>
        <v>14726</v>
      </c>
      <c r="C46275" s="1">
        <v>1.6108546823208601E-3</v>
      </c>
      <c r="D46275" s="1">
        <v>8.0385852090032099E-4</v>
      </c>
      <c r="E46275" s="1">
        <v>7.1352122725651E-4</v>
      </c>
      <c r="F46275" s="1">
        <v>1.5205761601304901E-3</v>
      </c>
    </row>
    <row r="46276" spans="1:6" x14ac:dyDescent="0.25">
      <c r="A46276" s="2" t="str">
        <f t="shared" si="1468"/>
        <v>27460</v>
      </c>
      <c r="B46276" s="2" t="str">
        <f>"14750"</f>
        <v>14750</v>
      </c>
      <c r="C46276" s="1">
        <v>3.9326538830891197E-2</v>
      </c>
      <c r="D46276" s="1">
        <v>7.7572347266881003E-2</v>
      </c>
      <c r="E46276" s="1">
        <v>4.0670709953621098E-2</v>
      </c>
      <c r="F46276" s="1">
        <v>4.2009372278514201E-2</v>
      </c>
    </row>
    <row r="46277" spans="1:6" x14ac:dyDescent="0.25">
      <c r="A46277" s="2" t="str">
        <f t="shared" si="1468"/>
        <v>27460</v>
      </c>
      <c r="B46277" s="2" t="str">
        <f>"14787"</f>
        <v>14787</v>
      </c>
      <c r="C46277" s="1">
        <v>3.9527895666181298E-2</v>
      </c>
      <c r="D46277" s="1">
        <v>4.5016077170418001E-2</v>
      </c>
      <c r="E46277" s="1">
        <v>2.3189439885836601E-2</v>
      </c>
      <c r="F46277" s="1">
        <v>3.9272335190279298E-2</v>
      </c>
    </row>
    <row r="46278" spans="1:6" x14ac:dyDescent="0.25">
      <c r="A46278" s="2" t="str">
        <f t="shared" si="1468"/>
        <v>27460</v>
      </c>
      <c r="B46278" s="2" t="str">
        <f>"14781"</f>
        <v>14781</v>
      </c>
      <c r="C46278" s="1">
        <v>1.1771630370806301E-2</v>
      </c>
      <c r="D46278" s="1">
        <v>4.0192926045015996E-3</v>
      </c>
      <c r="E46278" s="1">
        <v>2.3902961113093101E-2</v>
      </c>
      <c r="F46278" s="1">
        <v>1.1708436433004701E-2</v>
      </c>
    </row>
    <row r="46279" spans="1:6" x14ac:dyDescent="0.25">
      <c r="A46279" s="2" t="str">
        <f t="shared" si="1468"/>
        <v>27460</v>
      </c>
      <c r="B46279" s="2" t="str">
        <f>"14135"</f>
        <v>14135</v>
      </c>
      <c r="C46279" s="1">
        <v>1.0687401257705701E-3</v>
      </c>
      <c r="D46279" s="1">
        <v>0</v>
      </c>
      <c r="E46279" s="1">
        <v>3.56760613628255E-4</v>
      </c>
      <c r="F46279" s="1">
        <v>9.6763937462849496E-4</v>
      </c>
    </row>
    <row r="46280" spans="1:6" x14ac:dyDescent="0.25">
      <c r="A46280" s="2" t="str">
        <f t="shared" si="1468"/>
        <v>27460</v>
      </c>
      <c r="B46280" s="2" t="str">
        <f>"14136"</f>
        <v>14136</v>
      </c>
      <c r="C46280" s="1">
        <v>3.9915120349431503E-2</v>
      </c>
      <c r="D46280" s="1">
        <v>3.1350482315112498E-2</v>
      </c>
      <c r="E46280" s="1">
        <v>2.85408490902604E-2</v>
      </c>
      <c r="F46280" s="1">
        <v>3.8885279440427897E-2</v>
      </c>
    </row>
    <row r="46281" spans="1:6" x14ac:dyDescent="0.25">
      <c r="A46281" s="2" t="str">
        <f t="shared" si="1468"/>
        <v>27460</v>
      </c>
      <c r="B46281" s="2" t="str">
        <f>"14732"</f>
        <v>14732</v>
      </c>
      <c r="C46281" s="1">
        <v>3.5624670859019201E-4</v>
      </c>
      <c r="D46281" s="1">
        <v>0</v>
      </c>
      <c r="E46281" s="1">
        <v>3.56760613628255E-4</v>
      </c>
      <c r="F46281" s="1">
        <v>3.31762071301198E-4</v>
      </c>
    </row>
    <row r="46282" spans="1:6" x14ac:dyDescent="0.25">
      <c r="A46282" s="2" t="str">
        <f t="shared" si="1468"/>
        <v>27460</v>
      </c>
      <c r="B46282" s="2" t="str">
        <f>"14767"</f>
        <v>14767</v>
      </c>
      <c r="C46282" s="1">
        <v>1.1461850624206101E-2</v>
      </c>
      <c r="D46282" s="1">
        <v>2.8135048231511198E-3</v>
      </c>
      <c r="E46282" s="1">
        <v>9.2757759543346408E-3</v>
      </c>
      <c r="F46282" s="1">
        <v>1.07822673172889E-2</v>
      </c>
    </row>
    <row r="46283" spans="1:6" x14ac:dyDescent="0.25">
      <c r="A46283" s="2" t="str">
        <f t="shared" si="1468"/>
        <v>27460</v>
      </c>
      <c r="B46283" s="2" t="str">
        <f>"14062"</f>
        <v>14062</v>
      </c>
      <c r="C46283" s="1">
        <v>2.29856571977324E-2</v>
      </c>
      <c r="D46283" s="1">
        <v>2.0096463022507998E-3</v>
      </c>
      <c r="E46283" s="1">
        <v>6.0649304316803404E-3</v>
      </c>
      <c r="F46283" s="1">
        <v>2.0887187072337901E-2</v>
      </c>
    </row>
    <row r="46284" spans="1:6" x14ac:dyDescent="0.25">
      <c r="A46284" s="2" t="str">
        <f t="shared" si="1468"/>
        <v>27460</v>
      </c>
      <c r="B46284" s="2" t="str">
        <f>"14720"</f>
        <v>14720</v>
      </c>
      <c r="C46284" s="1">
        <v>0</v>
      </c>
      <c r="D46284" s="1">
        <v>0</v>
      </c>
      <c r="E46284" s="1">
        <v>0.110952550838387</v>
      </c>
      <c r="F46284" s="1">
        <v>4.2990835072780299E-3</v>
      </c>
    </row>
    <row r="46285" spans="1:6" x14ac:dyDescent="0.25">
      <c r="A46285" s="2" t="str">
        <f t="shared" si="1468"/>
        <v>27460</v>
      </c>
      <c r="B46285" s="2" t="str">
        <f>"14784"</f>
        <v>14784</v>
      </c>
      <c r="C46285" s="1">
        <v>6.7686874632136504E-3</v>
      </c>
      <c r="D46285" s="1">
        <v>6.0289389067524099E-4</v>
      </c>
      <c r="E46285" s="1">
        <v>1.78380306814127E-3</v>
      </c>
      <c r="F46285" s="1">
        <v>6.1514217387097199E-3</v>
      </c>
    </row>
    <row r="46286" spans="1:6" x14ac:dyDescent="0.25">
      <c r="A46286" s="2" t="str">
        <f t="shared" si="1468"/>
        <v>27460</v>
      </c>
      <c r="B46286" s="2" t="str">
        <f>"14138"</f>
        <v>14138</v>
      </c>
      <c r="C46286" s="1">
        <v>3.5469780985719099E-3</v>
      </c>
      <c r="D46286" s="1">
        <v>1.8086816720257199E-3</v>
      </c>
      <c r="E46286" s="1">
        <v>0</v>
      </c>
      <c r="F46286" s="1">
        <v>3.28997387373688E-3</v>
      </c>
    </row>
    <row r="46287" spans="1:6" x14ac:dyDescent="0.25">
      <c r="A46287" s="2" t="str">
        <f t="shared" si="1468"/>
        <v>27460</v>
      </c>
      <c r="B46287" s="2" t="str">
        <f>"14758"</f>
        <v>14758</v>
      </c>
      <c r="C46287" s="1">
        <v>0</v>
      </c>
      <c r="D46287" s="1">
        <v>0</v>
      </c>
      <c r="E46287" s="1">
        <v>3.56760613628255E-4</v>
      </c>
      <c r="F46287" s="1">
        <v>1.3823419637549899E-5</v>
      </c>
    </row>
    <row r="46288" spans="1:6" x14ac:dyDescent="0.25">
      <c r="A46288" s="2" t="str">
        <f t="shared" si="1468"/>
        <v>27460</v>
      </c>
      <c r="B46288" s="2" t="str">
        <f>"14722"</f>
        <v>14722</v>
      </c>
      <c r="C46288" s="1">
        <v>1.08577801183358E-2</v>
      </c>
      <c r="D46288" s="1">
        <v>2.0096463022508E-4</v>
      </c>
      <c r="E46288" s="1">
        <v>1.42704245451302E-2</v>
      </c>
      <c r="F46288" s="1">
        <v>1.0256977371061999E-2</v>
      </c>
    </row>
    <row r="46289" spans="1:6" x14ac:dyDescent="0.25">
      <c r="A46289" s="2" t="str">
        <f t="shared" si="1468"/>
        <v>27460</v>
      </c>
      <c r="B46289" s="2" t="str">
        <f>"14740"</f>
        <v>14740</v>
      </c>
      <c r="C46289" s="1">
        <v>8.2091632849044301E-3</v>
      </c>
      <c r="D46289" s="1">
        <v>1.20578778135048E-3</v>
      </c>
      <c r="E46289" s="1">
        <v>2.85408490902604E-3</v>
      </c>
      <c r="F46289" s="1">
        <v>7.5199402828271603E-3</v>
      </c>
    </row>
    <row r="46290" spans="1:6" x14ac:dyDescent="0.25">
      <c r="A46290" s="2" t="str">
        <f t="shared" si="1468"/>
        <v>27460</v>
      </c>
      <c r="B46290" s="2" t="str">
        <f>"14747"</f>
        <v>14747</v>
      </c>
      <c r="C46290" s="1">
        <v>1.4094978470307599E-2</v>
      </c>
      <c r="D46290" s="1">
        <v>4.0192926045015996E-3</v>
      </c>
      <c r="E46290" s="1">
        <v>2.14056368176953E-3</v>
      </c>
      <c r="F46290" s="1">
        <v>1.2938720780746701E-2</v>
      </c>
    </row>
    <row r="46291" spans="1:6" x14ac:dyDescent="0.25">
      <c r="A46291" s="2" t="str">
        <f t="shared" si="1468"/>
        <v>27460</v>
      </c>
      <c r="B46291" s="2" t="str">
        <f>"14724"</f>
        <v>14724</v>
      </c>
      <c r="C46291" s="1">
        <v>1.50552956847681E-2</v>
      </c>
      <c r="D46291" s="1">
        <v>6.6318327974276498E-3</v>
      </c>
      <c r="E46291" s="1">
        <v>4.9946485907955704E-3</v>
      </c>
      <c r="F46291" s="1">
        <v>1.40860646106633E-2</v>
      </c>
    </row>
    <row r="46292" spans="1:6" x14ac:dyDescent="0.25">
      <c r="A46292" s="2" t="str">
        <f t="shared" si="1468"/>
        <v>27460</v>
      </c>
      <c r="B46292" s="2" t="str">
        <f>"14710"</f>
        <v>14710</v>
      </c>
      <c r="C46292" s="1">
        <v>3.5578203897029197E-2</v>
      </c>
      <c r="D46292" s="1">
        <v>9.8472668810289307E-3</v>
      </c>
      <c r="E46292" s="1">
        <v>6.0649304316803404E-3</v>
      </c>
      <c r="F46292" s="1">
        <v>3.2664740603530501E-2</v>
      </c>
    </row>
    <row r="46293" spans="1:6" x14ac:dyDescent="0.25">
      <c r="A46293" s="2" t="str">
        <f t="shared" si="1468"/>
        <v>27460</v>
      </c>
      <c r="B46293" s="2" t="str">
        <f>"14785"</f>
        <v>14785</v>
      </c>
      <c r="C46293" s="1">
        <v>6.3504848053034201E-4</v>
      </c>
      <c r="D46293" s="1">
        <v>0</v>
      </c>
      <c r="E46293" s="1">
        <v>3.56760613628255E-4</v>
      </c>
      <c r="F46293" s="1">
        <v>5.80583624777097E-4</v>
      </c>
    </row>
    <row r="46294" spans="1:6" x14ac:dyDescent="0.25">
      <c r="A46294" s="2" t="str">
        <f t="shared" si="1468"/>
        <v>27460</v>
      </c>
      <c r="B46294" s="2" t="str">
        <f>"14769"</f>
        <v>14769</v>
      </c>
      <c r="C46294" s="1">
        <v>6.1646169573433196E-3</v>
      </c>
      <c r="D46294" s="1">
        <v>1.60771704180064E-3</v>
      </c>
      <c r="E46294" s="1">
        <v>1.2129860863360599E-2</v>
      </c>
      <c r="F46294" s="1">
        <v>6.0823046405219698E-3</v>
      </c>
    </row>
    <row r="46295" spans="1:6" x14ac:dyDescent="0.25">
      <c r="A46295" s="2" t="str">
        <f t="shared" si="1468"/>
        <v>27460</v>
      </c>
      <c r="B46295" s="2" t="str">
        <f>"14166"</f>
        <v>14166</v>
      </c>
      <c r="C46295" s="1">
        <v>1.7967225302809699E-3</v>
      </c>
      <c r="D46295" s="1">
        <v>2.0096463022508E-4</v>
      </c>
      <c r="E46295" s="1">
        <v>0</v>
      </c>
      <c r="F46295" s="1">
        <v>1.61734009759334E-3</v>
      </c>
    </row>
    <row r="46296" spans="1:6" x14ac:dyDescent="0.25">
      <c r="A46296" s="2" t="str">
        <f t="shared" si="1468"/>
        <v>27460</v>
      </c>
      <c r="B46296" s="2" t="str">
        <f>"14048"</f>
        <v>14048</v>
      </c>
      <c r="C46296" s="1">
        <v>0.119931228896254</v>
      </c>
      <c r="D46296" s="1">
        <v>0.15172829581993499</v>
      </c>
      <c r="E46296" s="1">
        <v>0.113806635747413</v>
      </c>
      <c r="F46296" s="1">
        <v>0.121881090944277</v>
      </c>
    </row>
    <row r="46297" spans="1:6" x14ac:dyDescent="0.25">
      <c r="A46297" s="2" t="str">
        <f t="shared" ref="A46297:A46360" si="1469">"38300"</f>
        <v>38300</v>
      </c>
      <c r="B46297" s="2" t="str">
        <f>"16236"</f>
        <v>16236</v>
      </c>
      <c r="C46297" s="1">
        <v>0</v>
      </c>
      <c r="D46297" s="1">
        <v>0</v>
      </c>
      <c r="E46297" s="1">
        <v>6.5583805172376105E-5</v>
      </c>
      <c r="F46297" s="1">
        <v>2.2707317811619998E-6</v>
      </c>
    </row>
    <row r="46298" spans="1:6" x14ac:dyDescent="0.25">
      <c r="A46298" s="2" t="str">
        <f t="shared" si="1469"/>
        <v>38300</v>
      </c>
      <c r="B46298" s="2" t="str">
        <f>"16218"</f>
        <v>16218</v>
      </c>
      <c r="C46298" s="1">
        <v>4.4702726866338799E-4</v>
      </c>
      <c r="D46298" s="1">
        <v>2.3764258555133001E-4</v>
      </c>
      <c r="E46298" s="1">
        <v>2.1861268390791999E-5</v>
      </c>
      <c r="F46298" s="1">
        <v>4.1630082654636801E-4</v>
      </c>
    </row>
    <row r="46299" spans="1:6" x14ac:dyDescent="0.25">
      <c r="A46299" s="2" t="str">
        <f t="shared" si="1469"/>
        <v>38300</v>
      </c>
      <c r="B46299" s="2" t="str">
        <f>"16115"</f>
        <v>16115</v>
      </c>
      <c r="C46299" s="1">
        <v>1.2346467420226901E-3</v>
      </c>
      <c r="D46299" s="1">
        <v>7.0302598225602004E-4</v>
      </c>
      <c r="E46299" s="1">
        <v>2.1861268390791999E-5</v>
      </c>
      <c r="F46299" s="1">
        <v>1.1520179236428499E-3</v>
      </c>
    </row>
    <row r="46300" spans="1:6" x14ac:dyDescent="0.25">
      <c r="A46300" s="2" t="str">
        <f t="shared" si="1469"/>
        <v>38300</v>
      </c>
      <c r="B46300" s="2" t="str">
        <f>"15717"</f>
        <v>15717</v>
      </c>
      <c r="C46300" s="1">
        <v>1.00900440641164E-3</v>
      </c>
      <c r="D46300" s="1">
        <v>4.4557984790874499E-4</v>
      </c>
      <c r="E46300" s="1">
        <v>8.7445073563168104E-5</v>
      </c>
      <c r="F46300" s="1">
        <v>9.34027672651306E-4</v>
      </c>
    </row>
    <row r="46301" spans="1:6" x14ac:dyDescent="0.25">
      <c r="A46301" s="2" t="str">
        <f t="shared" si="1469"/>
        <v>38300</v>
      </c>
      <c r="B46301" s="2" t="str">
        <f>"16102"</f>
        <v>16102</v>
      </c>
      <c r="C46301" s="1">
        <v>1.7029610234795699E-6</v>
      </c>
      <c r="D46301" s="1">
        <v>0</v>
      </c>
      <c r="E46301" s="1">
        <v>0</v>
      </c>
      <c r="F46301" s="1">
        <v>1.5138211874413299E-6</v>
      </c>
    </row>
    <row r="46302" spans="1:6" x14ac:dyDescent="0.25">
      <c r="A46302" s="2" t="str">
        <f t="shared" si="1469"/>
        <v>38300</v>
      </c>
      <c r="B46302" s="2" t="str">
        <f>"16066"</f>
        <v>16066</v>
      </c>
      <c r="C46302" s="1">
        <v>1.1650807842135499E-2</v>
      </c>
      <c r="D46302" s="1">
        <v>1.7625158428390301E-2</v>
      </c>
      <c r="E46302" s="1">
        <v>7.1923573005705701E-3</v>
      </c>
      <c r="F46302" s="1">
        <v>1.19531320960368E-2</v>
      </c>
    </row>
    <row r="46303" spans="1:6" x14ac:dyDescent="0.25">
      <c r="A46303" s="2" t="str">
        <f t="shared" si="1469"/>
        <v>38300</v>
      </c>
      <c r="B46303" s="2" t="str">
        <f>"16061"</f>
        <v>16061</v>
      </c>
      <c r="C46303" s="1">
        <v>9.9197479617685195E-4</v>
      </c>
      <c r="D46303" s="1">
        <v>3.06955006337135E-4</v>
      </c>
      <c r="E46303" s="1">
        <v>1.96751415517128E-4</v>
      </c>
      <c r="F46303" s="1">
        <v>9.1207726543340699E-4</v>
      </c>
    </row>
    <row r="46304" spans="1:6" x14ac:dyDescent="0.25">
      <c r="A46304" s="2" t="str">
        <f t="shared" si="1469"/>
        <v>38300</v>
      </c>
      <c r="B46304" s="2" t="str">
        <f>"15954"</f>
        <v>15954</v>
      </c>
      <c r="C46304" s="1">
        <v>3.5421589288375099E-4</v>
      </c>
      <c r="D46304" s="1">
        <v>1.98035487959442E-4</v>
      </c>
      <c r="E46304" s="1">
        <v>8.7445073563168104E-5</v>
      </c>
      <c r="F46304" s="1">
        <v>3.3304066123709399E-4</v>
      </c>
    </row>
    <row r="46305" spans="1:6" x14ac:dyDescent="0.25">
      <c r="A46305" s="2" t="str">
        <f t="shared" si="1469"/>
        <v>38300</v>
      </c>
      <c r="B46305" s="2" t="str">
        <f>"16056"</f>
        <v>16056</v>
      </c>
      <c r="C46305" s="1">
        <v>1.83238606126402E-3</v>
      </c>
      <c r="D46305" s="1">
        <v>9.8027566539923903E-4</v>
      </c>
      <c r="E46305" s="1">
        <v>1.0712021511487999E-3</v>
      </c>
      <c r="F46305" s="1">
        <v>1.74089436555754E-3</v>
      </c>
    </row>
    <row r="46306" spans="1:6" x14ac:dyDescent="0.25">
      <c r="A46306" s="2" t="str">
        <f t="shared" si="1469"/>
        <v>38300</v>
      </c>
      <c r="B46306" s="2" t="str">
        <f>"16038"</f>
        <v>16038</v>
      </c>
      <c r="C46306" s="1">
        <v>7.9698575898844105E-4</v>
      </c>
      <c r="D46306" s="1">
        <v>2.07937262357414E-4</v>
      </c>
      <c r="E46306" s="1">
        <v>1.3116761034475199E-4</v>
      </c>
      <c r="F46306" s="1">
        <v>7.2890490175300403E-4</v>
      </c>
    </row>
    <row r="46307" spans="1:6" x14ac:dyDescent="0.25">
      <c r="A46307" s="2" t="str">
        <f t="shared" si="1469"/>
        <v>38300</v>
      </c>
      <c r="B46307" s="2" t="str">
        <f>"16001"</f>
        <v>16001</v>
      </c>
      <c r="C46307" s="1">
        <v>1.7224599271984099E-2</v>
      </c>
      <c r="D46307" s="1">
        <v>1.79717205323193E-2</v>
      </c>
      <c r="E46307" s="1">
        <v>2.5424655138491101E-2</v>
      </c>
      <c r="F46307" s="1">
        <v>1.7565624148475501E-2</v>
      </c>
    </row>
    <row r="46308" spans="1:6" x14ac:dyDescent="0.25">
      <c r="A46308" s="2" t="str">
        <f t="shared" si="1469"/>
        <v>38300</v>
      </c>
      <c r="B46308" s="2" t="str">
        <f>"15674"</f>
        <v>15674</v>
      </c>
      <c r="C46308" s="1">
        <v>0</v>
      </c>
      <c r="D46308" s="1">
        <v>0</v>
      </c>
      <c r="E46308" s="1">
        <v>2.1861268390791999E-5</v>
      </c>
      <c r="F46308" s="1">
        <v>7.5691059372066897E-7</v>
      </c>
    </row>
    <row r="46309" spans="1:6" x14ac:dyDescent="0.25">
      <c r="A46309" s="2" t="str">
        <f t="shared" si="1469"/>
        <v>38300</v>
      </c>
      <c r="B46309" s="2" t="str">
        <f>"15686"</f>
        <v>15686</v>
      </c>
      <c r="C46309" s="1">
        <v>3.3378036060199601E-4</v>
      </c>
      <c r="D46309" s="1">
        <v>1.8813371356147E-4</v>
      </c>
      <c r="E46309" s="1">
        <v>1.5302887873554401E-4</v>
      </c>
      <c r="F46309" s="1">
        <v>3.1638862817523901E-4</v>
      </c>
    </row>
    <row r="46310" spans="1:6" x14ac:dyDescent="0.25">
      <c r="A46310" s="2" t="str">
        <f t="shared" si="1469"/>
        <v>38300</v>
      </c>
      <c r="B46310" s="2" t="str">
        <f>"15695"</f>
        <v>15695</v>
      </c>
      <c r="C46310" s="1">
        <v>0</v>
      </c>
      <c r="D46310" s="1">
        <v>0</v>
      </c>
      <c r="E46310" s="1">
        <v>4.3722536781583998E-5</v>
      </c>
      <c r="F46310" s="1">
        <v>1.5138211874413299E-6</v>
      </c>
    </row>
    <row r="46311" spans="1:6" x14ac:dyDescent="0.25">
      <c r="A46311" s="2" t="str">
        <f t="shared" si="1469"/>
        <v>38300</v>
      </c>
      <c r="B46311" s="2" t="str">
        <f>"15679"</f>
        <v>15679</v>
      </c>
      <c r="C46311" s="1">
        <v>1.2687059624922801E-3</v>
      </c>
      <c r="D46311" s="1">
        <v>5.74302915082382E-4</v>
      </c>
      <c r="E46311" s="1">
        <v>1.96751415517128E-4</v>
      </c>
      <c r="F46311" s="1">
        <v>1.1785097944230799E-3</v>
      </c>
    </row>
    <row r="46312" spans="1:6" x14ac:dyDescent="0.25">
      <c r="A46312" s="2" t="str">
        <f t="shared" si="1469"/>
        <v>38300</v>
      </c>
      <c r="B46312" s="2" t="str">
        <f>"15664"</f>
        <v>15664</v>
      </c>
      <c r="C46312" s="1">
        <v>0</v>
      </c>
      <c r="D46312" s="1">
        <v>0</v>
      </c>
      <c r="E46312" s="1">
        <v>2.1861268390791999E-5</v>
      </c>
      <c r="F46312" s="1">
        <v>7.5691059372066897E-7</v>
      </c>
    </row>
    <row r="46313" spans="1:6" x14ac:dyDescent="0.25">
      <c r="A46313" s="2" t="str">
        <f t="shared" si="1469"/>
        <v>38300</v>
      </c>
      <c r="B46313" s="2" t="str">
        <f>"15276"</f>
        <v>15276</v>
      </c>
      <c r="C46313" s="1">
        <v>8.5148051173978698E-7</v>
      </c>
      <c r="D46313" s="1">
        <v>8.3174904942965699E-4</v>
      </c>
      <c r="E46313" s="1">
        <v>3.2791902586188E-4</v>
      </c>
      <c r="F46313" s="1">
        <v>7.5691059372066905E-5</v>
      </c>
    </row>
    <row r="46314" spans="1:6" x14ac:dyDescent="0.25">
      <c r="A46314" s="2" t="str">
        <f t="shared" si="1469"/>
        <v>38300</v>
      </c>
      <c r="B46314" s="2" t="str">
        <f>"15253"</f>
        <v>15253</v>
      </c>
      <c r="C46314" s="1">
        <v>0</v>
      </c>
      <c r="D46314" s="1">
        <v>0</v>
      </c>
      <c r="E46314" s="1">
        <v>2.1861268390791999E-5</v>
      </c>
      <c r="F46314" s="1">
        <v>7.5691059372066897E-7</v>
      </c>
    </row>
    <row r="46315" spans="1:6" x14ac:dyDescent="0.25">
      <c r="A46315" s="2" t="str">
        <f t="shared" si="1469"/>
        <v>38300</v>
      </c>
      <c r="B46315" s="2" t="str">
        <f>"15241"</f>
        <v>15241</v>
      </c>
      <c r="C46315" s="1">
        <v>7.7774229942312104E-3</v>
      </c>
      <c r="D46315" s="1">
        <v>1.1713799112801E-2</v>
      </c>
      <c r="E46315" s="1">
        <v>2.6452134752858302E-3</v>
      </c>
      <c r="F46315" s="1">
        <v>7.9006327772563507E-3</v>
      </c>
    </row>
    <row r="46316" spans="1:6" x14ac:dyDescent="0.25">
      <c r="A46316" s="2" t="str">
        <f t="shared" si="1469"/>
        <v>38300</v>
      </c>
      <c r="B46316" s="2" t="str">
        <f>"15629"</f>
        <v>15629</v>
      </c>
      <c r="C46316" s="1">
        <v>0</v>
      </c>
      <c r="D46316" s="1">
        <v>0</v>
      </c>
      <c r="E46316" s="1">
        <v>1.0930634195395999E-4</v>
      </c>
      <c r="F46316" s="1">
        <v>3.7845529686033401E-6</v>
      </c>
    </row>
    <row r="46317" spans="1:6" x14ac:dyDescent="0.25">
      <c r="A46317" s="2" t="str">
        <f t="shared" si="1469"/>
        <v>38300</v>
      </c>
      <c r="B46317" s="2" t="str">
        <f>"15632"</f>
        <v>15632</v>
      </c>
      <c r="C46317" s="1">
        <v>3.8325137833407799E-3</v>
      </c>
      <c r="D46317" s="1">
        <v>3.5646387832699599E-3</v>
      </c>
      <c r="E46317" s="1">
        <v>1.18050849310276E-3</v>
      </c>
      <c r="F46317" s="1">
        <v>3.7202155681370901E-3</v>
      </c>
    </row>
    <row r="46318" spans="1:6" x14ac:dyDescent="0.25">
      <c r="A46318" s="2" t="str">
        <f t="shared" si="1469"/>
        <v>38300</v>
      </c>
      <c r="B46318" s="2" t="str">
        <f>"15601"</f>
        <v>15601</v>
      </c>
      <c r="C46318" s="1">
        <v>2.4636737126678999E-2</v>
      </c>
      <c r="D46318" s="1">
        <v>3.2933301647655198E-2</v>
      </c>
      <c r="E46318" s="1">
        <v>2.35008635201014E-2</v>
      </c>
      <c r="F46318" s="1">
        <v>2.5231614641678501E-2</v>
      </c>
    </row>
    <row r="46319" spans="1:6" x14ac:dyDescent="0.25">
      <c r="A46319" s="2" t="str">
        <f t="shared" si="1469"/>
        <v>38300</v>
      </c>
      <c r="B46319" s="2" t="str">
        <f>"15435"</f>
        <v>15435</v>
      </c>
      <c r="C46319" s="1">
        <v>0</v>
      </c>
      <c r="D46319" s="1">
        <v>0</v>
      </c>
      <c r="E46319" s="1">
        <v>3.4978029425267198E-4</v>
      </c>
      <c r="F46319" s="1">
        <v>1.21105694995307E-5</v>
      </c>
    </row>
    <row r="46320" spans="1:6" x14ac:dyDescent="0.25">
      <c r="A46320" s="2" t="str">
        <f t="shared" si="1469"/>
        <v>38300</v>
      </c>
      <c r="B46320" s="2" t="str">
        <f>"15451"</f>
        <v>15451</v>
      </c>
      <c r="C46320" s="1">
        <v>3.4144368520765399E-4</v>
      </c>
      <c r="D46320" s="1">
        <v>5.9410646387832598E-5</v>
      </c>
      <c r="E46320" s="1">
        <v>0</v>
      </c>
      <c r="F46320" s="1">
        <v>3.0806261164431197E-4</v>
      </c>
    </row>
    <row r="46321" spans="1:6" x14ac:dyDescent="0.25">
      <c r="A46321" s="2" t="str">
        <f t="shared" si="1469"/>
        <v>38300</v>
      </c>
      <c r="B46321" s="2" t="str">
        <f>"15415"</f>
        <v>15415</v>
      </c>
      <c r="C46321" s="1">
        <v>0</v>
      </c>
      <c r="D46321" s="1">
        <v>0</v>
      </c>
      <c r="E46321" s="1">
        <v>2.1861268390791999E-5</v>
      </c>
      <c r="F46321" s="1">
        <v>7.5691059372066897E-7</v>
      </c>
    </row>
    <row r="46322" spans="1:6" x14ac:dyDescent="0.25">
      <c r="A46322" s="2" t="str">
        <f t="shared" si="1469"/>
        <v>38300</v>
      </c>
      <c r="B46322" s="2" t="str">
        <f>"15488"</f>
        <v>15488</v>
      </c>
      <c r="C46322" s="1">
        <v>4.4276986610468901E-5</v>
      </c>
      <c r="D46322" s="1">
        <v>0</v>
      </c>
      <c r="E46322" s="1">
        <v>8.7445073563168104E-5</v>
      </c>
      <c r="F46322" s="1">
        <v>4.2386993248357501E-5</v>
      </c>
    </row>
    <row r="46323" spans="1:6" x14ac:dyDescent="0.25">
      <c r="A46323" s="2" t="str">
        <f t="shared" si="1469"/>
        <v>38300</v>
      </c>
      <c r="B46323" s="2" t="str">
        <f>"15474"</f>
        <v>15474</v>
      </c>
      <c r="C46323" s="1">
        <v>8.7021308299806198E-4</v>
      </c>
      <c r="D46323" s="1">
        <v>7.8224017743979703E-4</v>
      </c>
      <c r="E46323" s="1">
        <v>5.6839297816059205E-4</v>
      </c>
      <c r="F46323" s="1">
        <v>8.5303823912319398E-4</v>
      </c>
    </row>
    <row r="46324" spans="1:6" x14ac:dyDescent="0.25">
      <c r="A46324" s="2" t="str">
        <f t="shared" si="1469"/>
        <v>38300</v>
      </c>
      <c r="B46324" s="2" t="str">
        <f>"15419"</f>
        <v>15419</v>
      </c>
      <c r="C46324" s="1">
        <v>1.55310045341337E-3</v>
      </c>
      <c r="D46324" s="1">
        <v>1.1288022813688201E-3</v>
      </c>
      <c r="E46324" s="1">
        <v>2.4921845965502898E-3</v>
      </c>
      <c r="F46324" s="1">
        <v>1.55318053831481E-3</v>
      </c>
    </row>
    <row r="46325" spans="1:6" x14ac:dyDescent="0.25">
      <c r="A46325" s="2" t="str">
        <f t="shared" si="1469"/>
        <v>38300</v>
      </c>
      <c r="B46325" s="2" t="str">
        <f>"15226"</f>
        <v>15226</v>
      </c>
      <c r="C46325" s="1">
        <v>5.8156118951827396E-3</v>
      </c>
      <c r="D46325" s="1">
        <v>3.5646387832699599E-3</v>
      </c>
      <c r="E46325" s="1">
        <v>6.6676868591915702E-3</v>
      </c>
      <c r="F46325" s="1">
        <v>5.6730448999364096E-3</v>
      </c>
    </row>
    <row r="46326" spans="1:6" x14ac:dyDescent="0.25">
      <c r="A46326" s="2" t="str">
        <f t="shared" si="1469"/>
        <v>38300</v>
      </c>
      <c r="B46326" s="2" t="str">
        <f>"15224"</f>
        <v>15224</v>
      </c>
      <c r="C46326" s="1">
        <v>5.9842050365072202E-3</v>
      </c>
      <c r="D46326" s="1">
        <v>6.9411438529784503E-3</v>
      </c>
      <c r="E46326" s="1">
        <v>9.0724263821786895E-3</v>
      </c>
      <c r="F46326" s="1">
        <v>6.16427987526113E-3</v>
      </c>
    </row>
    <row r="46327" spans="1:6" x14ac:dyDescent="0.25">
      <c r="A46327" s="2" t="str">
        <f t="shared" si="1469"/>
        <v>38300</v>
      </c>
      <c r="B46327" s="2" t="str">
        <f>"15223"</f>
        <v>15223</v>
      </c>
      <c r="C46327" s="1">
        <v>3.2475466717755402E-3</v>
      </c>
      <c r="D46327" s="1">
        <v>3.1487642585551301E-3</v>
      </c>
      <c r="E46327" s="1">
        <v>3.5852480160898899E-3</v>
      </c>
      <c r="F46327" s="1">
        <v>3.2516879106239899E-3</v>
      </c>
    </row>
    <row r="46328" spans="1:6" x14ac:dyDescent="0.25">
      <c r="A46328" s="2" t="str">
        <f t="shared" si="1469"/>
        <v>38300</v>
      </c>
      <c r="B46328" s="2" t="str">
        <f>"15358"</f>
        <v>15358</v>
      </c>
      <c r="C46328" s="1">
        <v>0</v>
      </c>
      <c r="D46328" s="1">
        <v>0</v>
      </c>
      <c r="E46328" s="1">
        <v>1.3116761034475199E-4</v>
      </c>
      <c r="F46328" s="1">
        <v>4.5414635623240098E-6</v>
      </c>
    </row>
    <row r="46329" spans="1:6" x14ac:dyDescent="0.25">
      <c r="A46329" s="2" t="str">
        <f t="shared" si="1469"/>
        <v>38300</v>
      </c>
      <c r="B46329" s="2" t="str">
        <f>"15378"</f>
        <v>15378</v>
      </c>
      <c r="C46329" s="1">
        <v>0</v>
      </c>
      <c r="D46329" s="1">
        <v>0</v>
      </c>
      <c r="E46329" s="1">
        <v>1.7489014712633599E-4</v>
      </c>
      <c r="F46329" s="1">
        <v>6.0552847497653501E-6</v>
      </c>
    </row>
    <row r="46330" spans="1:6" x14ac:dyDescent="0.25">
      <c r="A46330" s="2" t="str">
        <f t="shared" si="1469"/>
        <v>38300</v>
      </c>
      <c r="B46330" s="2" t="str">
        <f>"15331"</f>
        <v>15331</v>
      </c>
      <c r="C46330" s="1">
        <v>0</v>
      </c>
      <c r="D46330" s="1">
        <v>0</v>
      </c>
      <c r="E46330" s="1">
        <v>2.1861268390791999E-5</v>
      </c>
      <c r="F46330" s="1">
        <v>7.5691059372066897E-7</v>
      </c>
    </row>
    <row r="46331" spans="1:6" x14ac:dyDescent="0.25">
      <c r="A46331" s="2" t="str">
        <f t="shared" si="1469"/>
        <v>38300</v>
      </c>
      <c r="B46331" s="2" t="str">
        <f>"15320"</f>
        <v>15320</v>
      </c>
      <c r="C46331" s="1">
        <v>6.8118440939183001E-6</v>
      </c>
      <c r="D46331" s="1">
        <v>0</v>
      </c>
      <c r="E46331" s="1">
        <v>0</v>
      </c>
      <c r="F46331" s="1">
        <v>6.0552847497653501E-6</v>
      </c>
    </row>
    <row r="46332" spans="1:6" x14ac:dyDescent="0.25">
      <c r="A46332" s="2" t="str">
        <f t="shared" si="1469"/>
        <v>38300</v>
      </c>
      <c r="B46332" s="2" t="str">
        <f>"15376"</f>
        <v>15376</v>
      </c>
      <c r="C46332" s="1">
        <v>6.2583817612874297E-4</v>
      </c>
      <c r="D46332" s="1">
        <v>1.5842839036755299E-4</v>
      </c>
      <c r="E46332" s="1">
        <v>1.96751415517128E-4</v>
      </c>
      <c r="F46332" s="1">
        <v>5.75252051227708E-4</v>
      </c>
    </row>
    <row r="46333" spans="1:6" x14ac:dyDescent="0.25">
      <c r="A46333" s="2" t="str">
        <f t="shared" si="1469"/>
        <v>38300</v>
      </c>
      <c r="B46333" s="2" t="str">
        <f>"15218"</f>
        <v>15218</v>
      </c>
      <c r="C46333" s="1">
        <v>6.6441024331055599E-3</v>
      </c>
      <c r="D46333" s="1">
        <v>5.1390209125475204E-3</v>
      </c>
      <c r="E46333" s="1">
        <v>8.9631200402247296E-3</v>
      </c>
      <c r="F46333" s="1">
        <v>6.6093433043688801E-3</v>
      </c>
    </row>
    <row r="46334" spans="1:6" x14ac:dyDescent="0.25">
      <c r="A46334" s="2" t="str">
        <f t="shared" si="1469"/>
        <v>38300</v>
      </c>
      <c r="B46334" s="2" t="str">
        <f>"15214"</f>
        <v>15214</v>
      </c>
      <c r="C46334" s="1">
        <v>6.4533707984758401E-3</v>
      </c>
      <c r="D46334" s="1">
        <v>1.4951679340937799E-3</v>
      </c>
      <c r="E46334" s="1">
        <v>2.5796296701134499E-3</v>
      </c>
      <c r="F46334" s="1">
        <v>5.9402343395198098E-3</v>
      </c>
    </row>
    <row r="46335" spans="1:6" x14ac:dyDescent="0.25">
      <c r="A46335" s="2" t="str">
        <f t="shared" si="1469"/>
        <v>38300</v>
      </c>
      <c r="B46335" s="2" t="str">
        <f>"15086"</f>
        <v>15086</v>
      </c>
      <c r="C46335" s="1">
        <v>3.1334482832024102E-4</v>
      </c>
      <c r="D46335" s="1">
        <v>2.9111216730037998E-3</v>
      </c>
      <c r="E46335" s="1">
        <v>1.1149246879303899E-3</v>
      </c>
      <c r="F46335" s="1">
        <v>5.3967725332283701E-4</v>
      </c>
    </row>
    <row r="46336" spans="1:6" x14ac:dyDescent="0.25">
      <c r="A46336" s="2" t="str">
        <f t="shared" si="1469"/>
        <v>38300</v>
      </c>
      <c r="B46336" s="2" t="str">
        <f>"15059"</f>
        <v>15059</v>
      </c>
      <c r="C46336" s="1">
        <v>1.89454413862102E-3</v>
      </c>
      <c r="D46336" s="1">
        <v>1.65359632446134E-3</v>
      </c>
      <c r="E46336" s="1">
        <v>2.97313250114771E-3</v>
      </c>
      <c r="F46336" s="1">
        <v>1.91346998092585E-3</v>
      </c>
    </row>
    <row r="46337" spans="1:6" x14ac:dyDescent="0.25">
      <c r="A46337" s="2" t="str">
        <f t="shared" si="1469"/>
        <v>38300</v>
      </c>
      <c r="B46337" s="2" t="str">
        <f>"15211"</f>
        <v>15211</v>
      </c>
      <c r="C46337" s="1">
        <v>5.8939481022628002E-3</v>
      </c>
      <c r="D46337" s="1">
        <v>1.8615335868187499E-3</v>
      </c>
      <c r="E46337" s="1">
        <v>4.0224733839057296E-3</v>
      </c>
      <c r="F46337" s="1">
        <v>5.5209058705985598E-3</v>
      </c>
    </row>
    <row r="46338" spans="1:6" x14ac:dyDescent="0.25">
      <c r="A46338" s="2" t="str">
        <f t="shared" si="1469"/>
        <v>38300</v>
      </c>
      <c r="B46338" s="2" t="str">
        <f>"15205"</f>
        <v>15205</v>
      </c>
      <c r="C46338" s="1">
        <v>1.05566553845498E-2</v>
      </c>
      <c r="D46338" s="1">
        <v>1.6357731305449898E-2</v>
      </c>
      <c r="E46338" s="1">
        <v>1.4340992064359501E-2</v>
      </c>
      <c r="F46338" s="1">
        <v>1.1131127191256101E-2</v>
      </c>
    </row>
    <row r="46339" spans="1:6" x14ac:dyDescent="0.25">
      <c r="A46339" s="2" t="str">
        <f t="shared" si="1469"/>
        <v>38300</v>
      </c>
      <c r="B46339" s="2" t="str">
        <f>"15134"</f>
        <v>15134</v>
      </c>
      <c r="C46339" s="1">
        <v>6.2924409817570297E-4</v>
      </c>
      <c r="D46339" s="1">
        <v>1.5842839036755299E-3</v>
      </c>
      <c r="E46339" s="1">
        <v>2.1861268390791999E-5</v>
      </c>
      <c r="F46339" s="1">
        <v>6.8121953434860198E-4</v>
      </c>
    </row>
    <row r="46340" spans="1:6" x14ac:dyDescent="0.25">
      <c r="A46340" s="2" t="str">
        <f t="shared" si="1469"/>
        <v>38300</v>
      </c>
      <c r="B46340" s="2" t="str">
        <f>"15148"</f>
        <v>15148</v>
      </c>
      <c r="C46340" s="1">
        <v>1.3862102731123701E-3</v>
      </c>
      <c r="D46340" s="1">
        <v>1.17831115335868E-3</v>
      </c>
      <c r="E46340" s="1">
        <v>2.3828782545963299E-3</v>
      </c>
      <c r="F46340" s="1">
        <v>1.4048260619455601E-3</v>
      </c>
    </row>
    <row r="46341" spans="1:6" x14ac:dyDescent="0.25">
      <c r="A46341" s="2" t="str">
        <f t="shared" si="1469"/>
        <v>38300</v>
      </c>
      <c r="B46341" s="2" t="str">
        <f>"15139"</f>
        <v>15139</v>
      </c>
      <c r="C46341" s="1">
        <v>3.0976861017093398E-3</v>
      </c>
      <c r="D46341" s="1">
        <v>3.5646387832699599E-3</v>
      </c>
      <c r="E46341" s="1">
        <v>5.2248431453992897E-3</v>
      </c>
      <c r="F46341" s="1">
        <v>3.20703018559447E-3</v>
      </c>
    </row>
    <row r="46342" spans="1:6" x14ac:dyDescent="0.25">
      <c r="A46342" s="2" t="str">
        <f t="shared" si="1469"/>
        <v>38300</v>
      </c>
      <c r="B46342" s="2" t="str">
        <f>"15137"</f>
        <v>15137</v>
      </c>
      <c r="C46342" s="1">
        <v>4.6337569448879198E-3</v>
      </c>
      <c r="D46342" s="1">
        <v>4.3567807351077301E-3</v>
      </c>
      <c r="E46342" s="1">
        <v>5.7057910499967203E-3</v>
      </c>
      <c r="F46342" s="1">
        <v>4.64970177722607E-3</v>
      </c>
    </row>
    <row r="46343" spans="1:6" x14ac:dyDescent="0.25">
      <c r="A46343" s="2" t="str">
        <f t="shared" si="1469"/>
        <v>38300</v>
      </c>
      <c r="B46343" s="2" t="str">
        <f>"15004"</f>
        <v>15004</v>
      </c>
      <c r="C46343" s="1">
        <v>0</v>
      </c>
      <c r="D46343" s="1">
        <v>0</v>
      </c>
      <c r="E46343" s="1">
        <v>4.3722536781583998E-5</v>
      </c>
      <c r="F46343" s="1">
        <v>1.5138211874413299E-6</v>
      </c>
    </row>
    <row r="46344" spans="1:6" x14ac:dyDescent="0.25">
      <c r="A46344" s="2" t="str">
        <f t="shared" si="1469"/>
        <v>38300</v>
      </c>
      <c r="B46344" s="2" t="str">
        <f>"15022"</f>
        <v>15022</v>
      </c>
      <c r="C46344" s="1">
        <v>4.8645081635694002E-3</v>
      </c>
      <c r="D46344" s="1">
        <v>5.3370564005069702E-3</v>
      </c>
      <c r="E46344" s="1">
        <v>5.5527621712611703E-3</v>
      </c>
      <c r="F46344" s="1">
        <v>4.92446032274667E-3</v>
      </c>
    </row>
    <row r="46345" spans="1:6" x14ac:dyDescent="0.25">
      <c r="A46345" s="2" t="str">
        <f t="shared" si="1469"/>
        <v>38300</v>
      </c>
      <c r="B46345" s="2" t="str">
        <f>"15012"</f>
        <v>15012</v>
      </c>
      <c r="C46345" s="1">
        <v>6.7462800945143299E-3</v>
      </c>
      <c r="D46345" s="1">
        <v>7.5154467680608296E-3</v>
      </c>
      <c r="E46345" s="1">
        <v>3.78199943160702E-3</v>
      </c>
      <c r="F46345" s="1">
        <v>6.7024433073965299E-3</v>
      </c>
    </row>
    <row r="46346" spans="1:6" x14ac:dyDescent="0.25">
      <c r="A46346" s="2" t="str">
        <f t="shared" si="1469"/>
        <v>38300</v>
      </c>
      <c r="B46346" s="2" t="str">
        <f>"15005"</f>
        <v>15005</v>
      </c>
      <c r="C46346" s="1">
        <v>4.0292057815526699E-3</v>
      </c>
      <c r="D46346" s="1">
        <v>2.38632762991128E-3</v>
      </c>
      <c r="E46346" s="1">
        <v>1.18050849310276E-3</v>
      </c>
      <c r="F46346" s="1">
        <v>3.8049895546338002E-3</v>
      </c>
    </row>
    <row r="46347" spans="1:6" x14ac:dyDescent="0.25">
      <c r="A46347" s="2" t="str">
        <f t="shared" si="1469"/>
        <v>38300</v>
      </c>
      <c r="B46347" s="2" t="str">
        <f>"15108"</f>
        <v>15108</v>
      </c>
      <c r="C46347" s="1">
        <v>1.6441237201183501E-2</v>
      </c>
      <c r="D46347" s="1">
        <v>1.57141159695817E-2</v>
      </c>
      <c r="E46347" s="1">
        <v>1.3400957523555501E-2</v>
      </c>
      <c r="F46347" s="1">
        <v>1.6280389960337802E-2</v>
      </c>
    </row>
    <row r="46348" spans="1:6" x14ac:dyDescent="0.25">
      <c r="A46348" s="2" t="str">
        <f t="shared" si="1469"/>
        <v>38300</v>
      </c>
      <c r="B46348" s="2" t="str">
        <f>"15106"</f>
        <v>15106</v>
      </c>
      <c r="C46348" s="1">
        <v>8.8307043872533301E-3</v>
      </c>
      <c r="D46348" s="1">
        <v>1.0901853612167301E-2</v>
      </c>
      <c r="E46348" s="1">
        <v>1.1105524342522301E-2</v>
      </c>
      <c r="F46348" s="1">
        <v>9.0677889127736208E-3</v>
      </c>
    </row>
    <row r="46349" spans="1:6" x14ac:dyDescent="0.25">
      <c r="A46349" s="2" t="str">
        <f t="shared" si="1469"/>
        <v>38300</v>
      </c>
      <c r="B46349" s="2" t="str">
        <f>"16250"</f>
        <v>16250</v>
      </c>
      <c r="C46349" s="1">
        <v>0</v>
      </c>
      <c r="D46349" s="1">
        <v>0</v>
      </c>
      <c r="E46349" s="1">
        <v>1.3116761034475199E-4</v>
      </c>
      <c r="F46349" s="1">
        <v>4.5414635623240098E-6</v>
      </c>
    </row>
    <row r="46350" spans="1:6" x14ac:dyDescent="0.25">
      <c r="A46350" s="2" t="str">
        <f t="shared" si="1469"/>
        <v>38300</v>
      </c>
      <c r="B46350" s="2" t="str">
        <f>"16212"</f>
        <v>16212</v>
      </c>
      <c r="C46350" s="1">
        <v>8.5148051173978698E-7</v>
      </c>
      <c r="D46350" s="1">
        <v>0</v>
      </c>
      <c r="E46350" s="1">
        <v>2.1861268390791999E-5</v>
      </c>
      <c r="F46350" s="1">
        <v>1.5138211874413299E-6</v>
      </c>
    </row>
    <row r="46351" spans="1:6" x14ac:dyDescent="0.25">
      <c r="A46351" s="2" t="str">
        <f t="shared" si="1469"/>
        <v>38300</v>
      </c>
      <c r="B46351" s="2" t="str">
        <f>"16373"</f>
        <v>16373</v>
      </c>
      <c r="C46351" s="1">
        <v>1.09840986014432E-4</v>
      </c>
      <c r="D46351" s="1">
        <v>9.9017743979721095E-5</v>
      </c>
      <c r="E46351" s="1">
        <v>0</v>
      </c>
      <c r="F46351" s="1">
        <v>1.05210572527173E-4</v>
      </c>
    </row>
    <row r="46352" spans="1:6" x14ac:dyDescent="0.25">
      <c r="A46352" s="2" t="str">
        <f t="shared" si="1469"/>
        <v>38300</v>
      </c>
      <c r="B46352" s="2" t="str">
        <f>"16120"</f>
        <v>16120</v>
      </c>
      <c r="C46352" s="1">
        <v>9.5365817314856194E-5</v>
      </c>
      <c r="D46352" s="1">
        <v>1.9803548795944201E-5</v>
      </c>
      <c r="E46352" s="1">
        <v>0</v>
      </c>
      <c r="F46352" s="1">
        <v>8.6287807684156301E-5</v>
      </c>
    </row>
    <row r="46353" spans="1:6" x14ac:dyDescent="0.25">
      <c r="A46353" s="2" t="str">
        <f t="shared" si="1469"/>
        <v>38300</v>
      </c>
      <c r="B46353" s="2" t="str">
        <f>"15736"</f>
        <v>15736</v>
      </c>
      <c r="C46353" s="1">
        <v>0</v>
      </c>
      <c r="D46353" s="1">
        <v>9.9017743979721092E-6</v>
      </c>
      <c r="E46353" s="1">
        <v>0</v>
      </c>
      <c r="F46353" s="1">
        <v>7.5691059372066897E-7</v>
      </c>
    </row>
    <row r="46354" spans="1:6" x14ac:dyDescent="0.25">
      <c r="A46354" s="2" t="str">
        <f t="shared" si="1469"/>
        <v>38300</v>
      </c>
      <c r="B46354" s="2" t="str">
        <f>"16027"</f>
        <v>16027</v>
      </c>
      <c r="C46354" s="1">
        <v>0</v>
      </c>
      <c r="D46354" s="1">
        <v>0</v>
      </c>
      <c r="E46354" s="1">
        <v>4.3722536781583998E-5</v>
      </c>
      <c r="F46354" s="1">
        <v>1.5138211874413299E-6</v>
      </c>
    </row>
    <row r="46355" spans="1:6" x14ac:dyDescent="0.25">
      <c r="A46355" s="2" t="str">
        <f t="shared" si="1469"/>
        <v>38300</v>
      </c>
      <c r="B46355" s="2" t="str">
        <f>"16052"</f>
        <v>16052</v>
      </c>
      <c r="C46355" s="1">
        <v>8.8724269323285805E-4</v>
      </c>
      <c r="D46355" s="1">
        <v>4.95088719898605E-4</v>
      </c>
      <c r="E46355" s="1">
        <v>1.5302887873554401E-4</v>
      </c>
      <c r="F46355" s="1">
        <v>8.3184474249901603E-4</v>
      </c>
    </row>
    <row r="46356" spans="1:6" x14ac:dyDescent="0.25">
      <c r="A46356" s="2" t="str">
        <f t="shared" si="1469"/>
        <v>38300</v>
      </c>
      <c r="B46356" s="2" t="str">
        <f>"15693"</f>
        <v>15693</v>
      </c>
      <c r="C46356" s="1">
        <v>0</v>
      </c>
      <c r="D46356" s="1">
        <v>0</v>
      </c>
      <c r="E46356" s="1">
        <v>4.3722536781583998E-5</v>
      </c>
      <c r="F46356" s="1">
        <v>1.5138211874413299E-6</v>
      </c>
    </row>
    <row r="46357" spans="1:6" x14ac:dyDescent="0.25">
      <c r="A46357" s="2" t="str">
        <f t="shared" si="1469"/>
        <v>38300</v>
      </c>
      <c r="B46357" s="2" t="str">
        <f>"15673"</f>
        <v>15673</v>
      </c>
      <c r="C46357" s="1">
        <v>0</v>
      </c>
      <c r="D46357" s="1">
        <v>0</v>
      </c>
      <c r="E46357" s="1">
        <v>3.2791902586188E-4</v>
      </c>
      <c r="F46357" s="1">
        <v>1.135365890581E-5</v>
      </c>
    </row>
    <row r="46358" spans="1:6" x14ac:dyDescent="0.25">
      <c r="A46358" s="2" t="str">
        <f t="shared" si="1469"/>
        <v>38300</v>
      </c>
      <c r="B46358" s="2" t="str">
        <f>"15684"</f>
        <v>15684</v>
      </c>
      <c r="C46358" s="1">
        <v>1.0643506396747299E-4</v>
      </c>
      <c r="D46358" s="1">
        <v>2.9705323193916299E-5</v>
      </c>
      <c r="E46358" s="1">
        <v>6.5583805172376105E-5</v>
      </c>
      <c r="F46358" s="1">
        <v>9.9155287777407707E-5</v>
      </c>
    </row>
    <row r="46359" spans="1:6" x14ac:dyDescent="0.25">
      <c r="A46359" s="2" t="str">
        <f t="shared" si="1469"/>
        <v>38300</v>
      </c>
      <c r="B46359" s="2" t="str">
        <f>"15670"</f>
        <v>15670</v>
      </c>
      <c r="C46359" s="1">
        <v>1.36322029929539E-3</v>
      </c>
      <c r="D46359" s="1">
        <v>8.4165082382762905E-4</v>
      </c>
      <c r="E46359" s="1">
        <v>3.9350283103425601E-4</v>
      </c>
      <c r="F46359" s="1">
        <v>1.2897756517000201E-3</v>
      </c>
    </row>
    <row r="46360" spans="1:6" x14ac:dyDescent="0.25">
      <c r="A46360" s="2" t="str">
        <f t="shared" si="1469"/>
        <v>38300</v>
      </c>
      <c r="B46360" s="2" t="str">
        <f>"15655"</f>
        <v>15655</v>
      </c>
      <c r="C46360" s="1">
        <v>1.08989505502692E-4</v>
      </c>
      <c r="D46360" s="1">
        <v>1.9803548795944201E-5</v>
      </c>
      <c r="E46360" s="1">
        <v>2.1861268390791999E-5</v>
      </c>
      <c r="F46360" s="1">
        <v>9.9155287777407707E-5</v>
      </c>
    </row>
    <row r="46361" spans="1:6" x14ac:dyDescent="0.25">
      <c r="A46361" s="2" t="str">
        <f t="shared" ref="A46361:A46424" si="1470">"38300"</f>
        <v>38300</v>
      </c>
      <c r="B46361" s="2" t="str">
        <f>"15658"</f>
        <v>15658</v>
      </c>
      <c r="C46361" s="1">
        <v>3.8095238095238E-3</v>
      </c>
      <c r="D46361" s="1">
        <v>4.0399239543726199E-3</v>
      </c>
      <c r="E46361" s="1">
        <v>2.2954331810331602E-3</v>
      </c>
      <c r="F46361" s="1">
        <v>3.7747131308849698E-3</v>
      </c>
    </row>
    <row r="46362" spans="1:6" x14ac:dyDescent="0.25">
      <c r="A46362" s="2" t="str">
        <f t="shared" si="1470"/>
        <v>38300</v>
      </c>
      <c r="B46362" s="2" t="str">
        <f>"15656"</f>
        <v>15656</v>
      </c>
      <c r="C46362" s="1">
        <v>4.16203674138408E-3</v>
      </c>
      <c r="D46362" s="1">
        <v>3.1784695817490402E-3</v>
      </c>
      <c r="E46362" s="1">
        <v>2.0986817655160302E-3</v>
      </c>
      <c r="F46362" s="1">
        <v>4.0154106996881499E-3</v>
      </c>
    </row>
    <row r="46363" spans="1:6" x14ac:dyDescent="0.25">
      <c r="A46363" s="2" t="str">
        <f t="shared" si="1470"/>
        <v>38300</v>
      </c>
      <c r="B46363" s="2" t="str">
        <f>"15267"</f>
        <v>15267</v>
      </c>
      <c r="C46363" s="1">
        <v>0</v>
      </c>
      <c r="D46363" s="1">
        <v>0</v>
      </c>
      <c r="E46363" s="1">
        <v>2.1861268390791999E-5</v>
      </c>
      <c r="F46363" s="1">
        <v>7.5691059372066897E-7</v>
      </c>
    </row>
    <row r="46364" spans="1:6" x14ac:dyDescent="0.25">
      <c r="A46364" s="2" t="str">
        <f t="shared" si="1470"/>
        <v>38300</v>
      </c>
      <c r="B46364" s="2" t="str">
        <f>"15290"</f>
        <v>15290</v>
      </c>
      <c r="C46364" s="1">
        <v>0</v>
      </c>
      <c r="D46364" s="1">
        <v>5.94106463878326E-4</v>
      </c>
      <c r="E46364" s="1">
        <v>6.5583805172376105E-5</v>
      </c>
      <c r="F46364" s="1">
        <v>4.7685367404402097E-5</v>
      </c>
    </row>
    <row r="46365" spans="1:6" x14ac:dyDescent="0.25">
      <c r="A46365" s="2" t="str">
        <f t="shared" si="1470"/>
        <v>38300</v>
      </c>
      <c r="B46365" s="2" t="str">
        <f>"15282"</f>
        <v>15282</v>
      </c>
      <c r="C46365" s="1">
        <v>0</v>
      </c>
      <c r="D46365" s="1">
        <v>3.2675855513307901E-4</v>
      </c>
      <c r="E46365" s="1">
        <v>0</v>
      </c>
      <c r="F46365" s="1">
        <v>2.4978049592782101E-5</v>
      </c>
    </row>
    <row r="46366" spans="1:6" x14ac:dyDescent="0.25">
      <c r="A46366" s="2" t="str">
        <f t="shared" si="1470"/>
        <v>38300</v>
      </c>
      <c r="B46366" s="2" t="str">
        <f>"15260"</f>
        <v>15260</v>
      </c>
      <c r="C46366" s="1">
        <v>1.1920727164357001E-5</v>
      </c>
      <c r="D46366" s="1">
        <v>1.8813371356147001E-3</v>
      </c>
      <c r="E46366" s="1">
        <v>2.1861268390791999E-5</v>
      </c>
      <c r="F46366" s="1">
        <v>1.5516667171273701E-4</v>
      </c>
    </row>
    <row r="46367" spans="1:6" x14ac:dyDescent="0.25">
      <c r="A46367" s="2" t="str">
        <f t="shared" si="1470"/>
        <v>38300</v>
      </c>
      <c r="B46367" s="2" t="str">
        <f>"15313"</f>
        <v>15313</v>
      </c>
      <c r="C46367" s="1">
        <v>0</v>
      </c>
      <c r="D46367" s="1">
        <v>0</v>
      </c>
      <c r="E46367" s="1">
        <v>1.9237916183896899E-3</v>
      </c>
      <c r="F46367" s="1">
        <v>6.6608132247418904E-5</v>
      </c>
    </row>
    <row r="46368" spans="1:6" x14ac:dyDescent="0.25">
      <c r="A46368" s="2" t="str">
        <f t="shared" si="1470"/>
        <v>38300</v>
      </c>
      <c r="B46368" s="2" t="str">
        <f>"15311"</f>
        <v>15311</v>
      </c>
      <c r="C46368" s="1">
        <v>4.9045277476211704E-4</v>
      </c>
      <c r="D46368" s="1">
        <v>2.3764258555133001E-4</v>
      </c>
      <c r="E46368" s="1">
        <v>4.3722536781583998E-5</v>
      </c>
      <c r="F46368" s="1">
        <v>4.5566017741984302E-4</v>
      </c>
    </row>
    <row r="46369" spans="1:6" x14ac:dyDescent="0.25">
      <c r="A46369" s="2" t="str">
        <f t="shared" si="1470"/>
        <v>38300</v>
      </c>
      <c r="B46369" s="2" t="str">
        <f>"15301"</f>
        <v>15301</v>
      </c>
      <c r="C46369" s="1">
        <v>2.2049087851501701E-2</v>
      </c>
      <c r="D46369" s="1">
        <v>3.04182509505703E-2</v>
      </c>
      <c r="E46369" s="1">
        <v>1.55433618258531E-2</v>
      </c>
      <c r="F46369" s="1">
        <v>2.2463592600441999E-2</v>
      </c>
    </row>
    <row r="46370" spans="1:6" x14ac:dyDescent="0.25">
      <c r="A46370" s="2" t="str">
        <f t="shared" si="1470"/>
        <v>38300</v>
      </c>
      <c r="B46370" s="2" t="str">
        <f>"15236"</f>
        <v>15236</v>
      </c>
      <c r="C46370" s="1">
        <v>1.2700683313110601E-2</v>
      </c>
      <c r="D46370" s="1">
        <v>1.26643694550063E-2</v>
      </c>
      <c r="E46370" s="1">
        <v>1.27669807402225E-2</v>
      </c>
      <c r="F46370" s="1">
        <v>1.27002028520391E-2</v>
      </c>
    </row>
    <row r="46371" spans="1:6" x14ac:dyDescent="0.25">
      <c r="A46371" s="2" t="str">
        <f t="shared" si="1470"/>
        <v>38300</v>
      </c>
      <c r="B46371" s="2" t="str">
        <f>"15611"</f>
        <v>15611</v>
      </c>
      <c r="C46371" s="1">
        <v>8.6851012197458307E-5</v>
      </c>
      <c r="D46371" s="1">
        <v>2.9705323193916299E-5</v>
      </c>
      <c r="E46371" s="1">
        <v>2.1861268390791999E-5</v>
      </c>
      <c r="F46371" s="1">
        <v>8.0232522934390899E-5</v>
      </c>
    </row>
    <row r="46372" spans="1:6" x14ac:dyDescent="0.25">
      <c r="A46372" s="2" t="str">
        <f t="shared" si="1470"/>
        <v>38300</v>
      </c>
      <c r="B46372" s="2" t="str">
        <f>"15624"</f>
        <v>15624</v>
      </c>
      <c r="C46372" s="1">
        <v>0</v>
      </c>
      <c r="D46372" s="1">
        <v>0</v>
      </c>
      <c r="E46372" s="1">
        <v>2.1861268390791999E-5</v>
      </c>
      <c r="F46372" s="1">
        <v>7.5691059372066897E-7</v>
      </c>
    </row>
    <row r="46373" spans="1:6" x14ac:dyDescent="0.25">
      <c r="A46373" s="2" t="str">
        <f t="shared" si="1470"/>
        <v>38300</v>
      </c>
      <c r="B46373" s="2" t="str">
        <f>"15626"</f>
        <v>15626</v>
      </c>
      <c r="C46373" s="1">
        <v>2.2904825765800202E-3</v>
      </c>
      <c r="D46373" s="1">
        <v>2.2179974651457498E-3</v>
      </c>
      <c r="E46373" s="1">
        <v>1.6395951293094E-3</v>
      </c>
      <c r="F46373" s="1">
        <v>2.2624057646310801E-3</v>
      </c>
    </row>
    <row r="46374" spans="1:6" x14ac:dyDescent="0.25">
      <c r="A46374" s="2" t="str">
        <f t="shared" si="1470"/>
        <v>38300</v>
      </c>
      <c r="B46374" s="2" t="str">
        <f>"15623"</f>
        <v>15623</v>
      </c>
      <c r="C46374" s="1">
        <v>2.33305660216701E-4</v>
      </c>
      <c r="D46374" s="1">
        <v>4.95088719898605E-5</v>
      </c>
      <c r="E46374" s="1">
        <v>0</v>
      </c>
      <c r="F46374" s="1">
        <v>2.1117805564806601E-4</v>
      </c>
    </row>
    <row r="46375" spans="1:6" x14ac:dyDescent="0.25">
      <c r="A46375" s="2" t="str">
        <f t="shared" si="1470"/>
        <v>38300</v>
      </c>
      <c r="B46375" s="2" t="str">
        <f>"15465"</f>
        <v>15465</v>
      </c>
      <c r="C46375" s="1">
        <v>0</v>
      </c>
      <c r="D46375" s="1">
        <v>0</v>
      </c>
      <c r="E46375" s="1">
        <v>4.3722536781583998E-4</v>
      </c>
      <c r="F46375" s="1">
        <v>1.5138211874413299E-5</v>
      </c>
    </row>
    <row r="46376" spans="1:6" x14ac:dyDescent="0.25">
      <c r="A46376" s="2" t="str">
        <f t="shared" si="1470"/>
        <v>38300</v>
      </c>
      <c r="B46376" s="2" t="str">
        <f>"15462"</f>
        <v>15462</v>
      </c>
      <c r="C46376" s="1">
        <v>9.8771739361815295E-5</v>
      </c>
      <c r="D46376" s="1">
        <v>1.9803548795944201E-5</v>
      </c>
      <c r="E46376" s="1">
        <v>6.5583805172376105E-5</v>
      </c>
      <c r="F46376" s="1">
        <v>9.1586181840201005E-5</v>
      </c>
    </row>
    <row r="46377" spans="1:6" x14ac:dyDescent="0.25">
      <c r="A46377" s="2" t="str">
        <f t="shared" si="1470"/>
        <v>38300</v>
      </c>
      <c r="B46377" s="2" t="str">
        <f>"15450"</f>
        <v>15450</v>
      </c>
      <c r="C46377" s="1">
        <v>5.5346233263086101E-5</v>
      </c>
      <c r="D46377" s="1">
        <v>1.9803548795944201E-5</v>
      </c>
      <c r="E46377" s="1">
        <v>6.5583805172376105E-5</v>
      </c>
      <c r="F46377" s="1">
        <v>5.2983741560446801E-5</v>
      </c>
    </row>
    <row r="46378" spans="1:6" x14ac:dyDescent="0.25">
      <c r="A46378" s="2" t="str">
        <f t="shared" si="1470"/>
        <v>38300</v>
      </c>
      <c r="B46378" s="2" t="str">
        <f>"15449"</f>
        <v>15449</v>
      </c>
      <c r="C46378" s="1">
        <v>0</v>
      </c>
      <c r="D46378" s="1">
        <v>0</v>
      </c>
      <c r="E46378" s="1">
        <v>2.1861268390791999E-5</v>
      </c>
      <c r="F46378" s="1">
        <v>7.5691059372066897E-7</v>
      </c>
    </row>
    <row r="46379" spans="1:6" x14ac:dyDescent="0.25">
      <c r="A46379" s="2" t="str">
        <f t="shared" si="1470"/>
        <v>38300</v>
      </c>
      <c r="B46379" s="2" t="str">
        <f>"15448"</f>
        <v>15448</v>
      </c>
      <c r="C46379" s="1">
        <v>0</v>
      </c>
      <c r="D46379" s="1">
        <v>0</v>
      </c>
      <c r="E46379" s="1">
        <v>4.3722536781583998E-5</v>
      </c>
      <c r="F46379" s="1">
        <v>1.5138211874413299E-6</v>
      </c>
    </row>
    <row r="46380" spans="1:6" x14ac:dyDescent="0.25">
      <c r="A46380" s="2" t="str">
        <f t="shared" si="1470"/>
        <v>38300</v>
      </c>
      <c r="B46380" s="2" t="str">
        <f>"15446"</f>
        <v>15446</v>
      </c>
      <c r="C46380" s="1">
        <v>3.9168103540030203E-5</v>
      </c>
      <c r="D46380" s="1">
        <v>2.9705323193916299E-5</v>
      </c>
      <c r="E46380" s="1">
        <v>6.5583805172376105E-5</v>
      </c>
      <c r="F46380" s="1">
        <v>3.93593508734748E-5</v>
      </c>
    </row>
    <row r="46381" spans="1:6" x14ac:dyDescent="0.25">
      <c r="A46381" s="2" t="str">
        <f t="shared" si="1470"/>
        <v>38300</v>
      </c>
      <c r="B46381" s="2" t="str">
        <f>"15489"</f>
        <v>15489</v>
      </c>
      <c r="C46381" s="1">
        <v>0</v>
      </c>
      <c r="D46381" s="1">
        <v>0</v>
      </c>
      <c r="E46381" s="1">
        <v>1.96751415517128E-4</v>
      </c>
      <c r="F46381" s="1">
        <v>6.8121953434860202E-6</v>
      </c>
    </row>
    <row r="46382" spans="1:6" x14ac:dyDescent="0.25">
      <c r="A46382" s="2" t="str">
        <f t="shared" si="1470"/>
        <v>38300</v>
      </c>
      <c r="B46382" s="2" t="str">
        <f>"15469"</f>
        <v>15469</v>
      </c>
      <c r="C46382" s="1">
        <v>7.4759988930753305E-4</v>
      </c>
      <c r="D46382" s="1">
        <v>1.08919518377693E-4</v>
      </c>
      <c r="E46382" s="1">
        <v>2.1861268390791999E-5</v>
      </c>
      <c r="F46382" s="1">
        <v>6.7365042841139602E-4</v>
      </c>
    </row>
    <row r="46383" spans="1:6" x14ac:dyDescent="0.25">
      <c r="A46383" s="2" t="str">
        <f t="shared" si="1470"/>
        <v>38300</v>
      </c>
      <c r="B46383" s="2" t="str">
        <f>"15436"</f>
        <v>15436</v>
      </c>
      <c r="C46383" s="1">
        <v>1.0907465355386599E-3</v>
      </c>
      <c r="D46383" s="1">
        <v>6.4361533586818705E-4</v>
      </c>
      <c r="E46383" s="1">
        <v>3.7164156264346402E-4</v>
      </c>
      <c r="F46383" s="1">
        <v>1.03166913924127E-3</v>
      </c>
    </row>
    <row r="46384" spans="1:6" x14ac:dyDescent="0.25">
      <c r="A46384" s="2" t="str">
        <f t="shared" si="1470"/>
        <v>38300</v>
      </c>
      <c r="B46384" s="2" t="str">
        <f>"15433"</f>
        <v>15433</v>
      </c>
      <c r="C46384" s="1">
        <v>3.0397854269110402E-4</v>
      </c>
      <c r="D46384" s="1">
        <v>1.08919518377693E-4</v>
      </c>
      <c r="E46384" s="1">
        <v>2.1861268390791999E-5</v>
      </c>
      <c r="F46384" s="1">
        <v>2.7930000908292702E-4</v>
      </c>
    </row>
    <row r="46385" spans="1:6" x14ac:dyDescent="0.25">
      <c r="A46385" s="2" t="str">
        <f t="shared" si="1470"/>
        <v>38300</v>
      </c>
      <c r="B46385" s="2" t="str">
        <f>"15425"</f>
        <v>15425</v>
      </c>
      <c r="C46385" s="1">
        <v>8.0252038231474893E-3</v>
      </c>
      <c r="D46385" s="1">
        <v>7.74318757921419E-3</v>
      </c>
      <c r="E46385" s="1">
        <v>4.0006121155149402E-3</v>
      </c>
      <c r="F46385" s="1">
        <v>7.8643010687577501E-3</v>
      </c>
    </row>
    <row r="46386" spans="1:6" x14ac:dyDescent="0.25">
      <c r="A46386" s="2" t="str">
        <f t="shared" si="1470"/>
        <v>38300</v>
      </c>
      <c r="B46386" s="2" t="str">
        <f>"15412"</f>
        <v>15412</v>
      </c>
      <c r="C46386" s="1">
        <v>0</v>
      </c>
      <c r="D46386" s="1">
        <v>0</v>
      </c>
      <c r="E46386" s="1">
        <v>2.1861268390791999E-5</v>
      </c>
      <c r="F46386" s="1">
        <v>7.5691059372066897E-7</v>
      </c>
    </row>
    <row r="46387" spans="1:6" x14ac:dyDescent="0.25">
      <c r="A46387" s="2" t="str">
        <f t="shared" si="1470"/>
        <v>38300</v>
      </c>
      <c r="B46387" s="2" t="str">
        <f>"15333"</f>
        <v>15333</v>
      </c>
      <c r="C46387" s="1">
        <v>4.4532430763990799E-4</v>
      </c>
      <c r="D46387" s="1">
        <v>1.1882129277566501E-4</v>
      </c>
      <c r="E46387" s="1">
        <v>6.5583805172376105E-5</v>
      </c>
      <c r="F46387" s="1">
        <v>4.0721789942172002E-4</v>
      </c>
    </row>
    <row r="46388" spans="1:6" x14ac:dyDescent="0.25">
      <c r="A46388" s="2" t="str">
        <f t="shared" si="1470"/>
        <v>38300</v>
      </c>
      <c r="B46388" s="2" t="str">
        <f>"15216"</f>
        <v>15216</v>
      </c>
      <c r="C46388" s="1">
        <v>9.9623219873555095E-3</v>
      </c>
      <c r="D46388" s="1">
        <v>5.8717522179974604E-3</v>
      </c>
      <c r="E46388" s="1">
        <v>1.30074546925212E-2</v>
      </c>
      <c r="F46388" s="1">
        <v>9.7550637318719897E-3</v>
      </c>
    </row>
    <row r="46389" spans="1:6" x14ac:dyDescent="0.25">
      <c r="A46389" s="2" t="str">
        <f t="shared" si="1470"/>
        <v>38300</v>
      </c>
      <c r="B46389" s="2" t="str">
        <f>"15077"</f>
        <v>15077</v>
      </c>
      <c r="C46389" s="1">
        <v>0</v>
      </c>
      <c r="D46389" s="1">
        <v>0</v>
      </c>
      <c r="E46389" s="1">
        <v>2.4921845965502898E-3</v>
      </c>
      <c r="F46389" s="1">
        <v>8.6287807684156301E-5</v>
      </c>
    </row>
    <row r="46390" spans="1:6" x14ac:dyDescent="0.25">
      <c r="A46390" s="2" t="str">
        <f t="shared" si="1470"/>
        <v>38300</v>
      </c>
      <c r="B46390" s="2" t="str">
        <f>"15083"</f>
        <v>15083</v>
      </c>
      <c r="C46390" s="1">
        <v>3.5847329544245001E-4</v>
      </c>
      <c r="D46390" s="1">
        <v>1.98035487959442E-4</v>
      </c>
      <c r="E46390" s="1">
        <v>4.3722536781583998E-5</v>
      </c>
      <c r="F46390" s="1">
        <v>3.3531139301825599E-4</v>
      </c>
    </row>
    <row r="46391" spans="1:6" x14ac:dyDescent="0.25">
      <c r="A46391" s="2" t="str">
        <f t="shared" si="1470"/>
        <v>38300</v>
      </c>
      <c r="B46391" s="2" t="str">
        <f>"15031"</f>
        <v>15031</v>
      </c>
      <c r="C46391" s="1">
        <v>2.1372160844668599E-4</v>
      </c>
      <c r="D46391" s="1">
        <v>1.6833016476552499E-4</v>
      </c>
      <c r="E46391" s="1">
        <v>3.4978029425267198E-4</v>
      </c>
      <c r="F46391" s="1">
        <v>2.1496260861666999E-4</v>
      </c>
    </row>
    <row r="46392" spans="1:6" x14ac:dyDescent="0.25">
      <c r="A46392" s="2" t="str">
        <f t="shared" si="1470"/>
        <v>38300</v>
      </c>
      <c r="B46392" s="2" t="str">
        <f>"15057"</f>
        <v>15057</v>
      </c>
      <c r="C46392" s="1">
        <v>5.7807011942014102E-3</v>
      </c>
      <c r="D46392" s="1">
        <v>2.0397655259822502E-3</v>
      </c>
      <c r="E46392" s="1">
        <v>2.0986817655160302E-3</v>
      </c>
      <c r="F46392" s="1">
        <v>5.3672530200732597E-3</v>
      </c>
    </row>
    <row r="46393" spans="1:6" x14ac:dyDescent="0.25">
      <c r="A46393" s="2" t="str">
        <f t="shared" si="1470"/>
        <v>38300</v>
      </c>
      <c r="B46393" s="2" t="str">
        <f>"15047"</f>
        <v>15047</v>
      </c>
      <c r="C46393" s="1">
        <v>0</v>
      </c>
      <c r="D46393" s="1">
        <v>0</v>
      </c>
      <c r="E46393" s="1">
        <v>3.47594167413593E-3</v>
      </c>
      <c r="F46393" s="1">
        <v>1.20348784401586E-4</v>
      </c>
    </row>
    <row r="46394" spans="1:6" x14ac:dyDescent="0.25">
      <c r="A46394" s="2" t="str">
        <f t="shared" si="1470"/>
        <v>38300</v>
      </c>
      <c r="B46394" s="2" t="str">
        <f>"15035"</f>
        <v>15035</v>
      </c>
      <c r="C46394" s="1">
        <v>1.0243310556229601E-3</v>
      </c>
      <c r="D46394" s="1">
        <v>6.73320659062103E-4</v>
      </c>
      <c r="E46394" s="1">
        <v>1.2460922982751399E-3</v>
      </c>
      <c r="F46394" s="1">
        <v>1.00517726846104E-3</v>
      </c>
    </row>
    <row r="46395" spans="1:6" x14ac:dyDescent="0.25">
      <c r="A46395" s="2" t="str">
        <f t="shared" si="1470"/>
        <v>38300</v>
      </c>
      <c r="B46395" s="2" t="str">
        <f>"15212"</f>
        <v>15212</v>
      </c>
      <c r="C46395" s="1">
        <v>1.5065244694212001E-2</v>
      </c>
      <c r="D46395" s="1">
        <v>1.3733761089987299E-2</v>
      </c>
      <c r="E46395" s="1">
        <v>1.3903766696543699E-2</v>
      </c>
      <c r="F46395" s="1">
        <v>1.49232492657967E-2</v>
      </c>
    </row>
    <row r="46396" spans="1:6" x14ac:dyDescent="0.25">
      <c r="A46396" s="2" t="str">
        <f t="shared" si="1470"/>
        <v>38300</v>
      </c>
      <c r="B46396" s="2" t="str">
        <f>"15201"</f>
        <v>15201</v>
      </c>
      <c r="C46396" s="1">
        <v>6.7888541201013199E-3</v>
      </c>
      <c r="D46396" s="1">
        <v>8.9908111533586795E-3</v>
      </c>
      <c r="E46396" s="1">
        <v>9.4003454080405693E-3</v>
      </c>
      <c r="F46396" s="1">
        <v>7.0475945381331499E-3</v>
      </c>
    </row>
    <row r="46397" spans="1:6" x14ac:dyDescent="0.25">
      <c r="A46397" s="2" t="str">
        <f t="shared" si="1470"/>
        <v>38300</v>
      </c>
      <c r="B46397" s="2" t="str">
        <f>"15146"</f>
        <v>15146</v>
      </c>
      <c r="C46397" s="1">
        <v>1.22272601485833E-2</v>
      </c>
      <c r="D46397" s="1">
        <v>2.1932430291508199E-2</v>
      </c>
      <c r="E46397" s="1">
        <v>1.0558992632752499E-2</v>
      </c>
      <c r="F46397" s="1">
        <v>1.2911380907687099E-2</v>
      </c>
    </row>
    <row r="46398" spans="1:6" x14ac:dyDescent="0.25">
      <c r="A46398" s="2" t="str">
        <f t="shared" si="1470"/>
        <v>38300</v>
      </c>
      <c r="B46398" s="2" t="str">
        <f>"15143"</f>
        <v>15143</v>
      </c>
      <c r="C46398" s="1">
        <v>8.3768652744960204E-3</v>
      </c>
      <c r="D46398" s="1">
        <v>1.05453897338403E-2</v>
      </c>
      <c r="E46398" s="1">
        <v>6.6239643224099802E-3</v>
      </c>
      <c r="F46398" s="1">
        <v>8.4819401132338202E-3</v>
      </c>
    </row>
    <row r="46399" spans="1:6" x14ac:dyDescent="0.25">
      <c r="A46399" s="2" t="str">
        <f t="shared" si="1470"/>
        <v>38300</v>
      </c>
      <c r="B46399" s="2" t="str">
        <f>"15019"</f>
        <v>15019</v>
      </c>
      <c r="C46399" s="1">
        <v>6.5904591608659496E-4</v>
      </c>
      <c r="D46399" s="1">
        <v>1.8813371356147E-4</v>
      </c>
      <c r="E46399" s="1">
        <v>1.3116761034475199E-4</v>
      </c>
      <c r="F46399" s="1">
        <v>6.0477156438281505E-4</v>
      </c>
    </row>
    <row r="46400" spans="1:6" x14ac:dyDescent="0.25">
      <c r="A46400" s="2" t="str">
        <f t="shared" si="1470"/>
        <v>38300</v>
      </c>
      <c r="B46400" s="2" t="str">
        <f>"15006"</f>
        <v>15006</v>
      </c>
      <c r="C46400" s="1">
        <v>0</v>
      </c>
      <c r="D46400" s="1">
        <v>0</v>
      </c>
      <c r="E46400" s="1">
        <v>1.0930634195395999E-4</v>
      </c>
      <c r="F46400" s="1">
        <v>3.7845529686033401E-6</v>
      </c>
    </row>
    <row r="46401" spans="1:6" x14ac:dyDescent="0.25">
      <c r="A46401" s="2" t="str">
        <f t="shared" si="1470"/>
        <v>38300</v>
      </c>
      <c r="B46401" s="2" t="str">
        <f>"15025"</f>
        <v>15025</v>
      </c>
      <c r="C46401" s="1">
        <v>7.3738212316665601E-3</v>
      </c>
      <c r="D46401" s="1">
        <v>5.8123415716096298E-3</v>
      </c>
      <c r="E46401" s="1">
        <v>2.8638261591937501E-3</v>
      </c>
      <c r="F46401" s="1">
        <v>7.0983075479124401E-3</v>
      </c>
    </row>
    <row r="46402" spans="1:6" x14ac:dyDescent="0.25">
      <c r="A46402" s="2" t="str">
        <f t="shared" si="1470"/>
        <v>38300</v>
      </c>
      <c r="B46402" s="2" t="str">
        <f>"15091"</f>
        <v>15091</v>
      </c>
      <c r="C46402" s="1">
        <v>0</v>
      </c>
      <c r="D46402" s="1">
        <v>0</v>
      </c>
      <c r="E46402" s="1">
        <v>2.1861268390791999E-5</v>
      </c>
      <c r="F46402" s="1">
        <v>7.5691059372066897E-7</v>
      </c>
    </row>
    <row r="46403" spans="1:6" x14ac:dyDescent="0.25">
      <c r="A46403" s="2" t="str">
        <f t="shared" si="1470"/>
        <v>38300</v>
      </c>
      <c r="B46403" s="2" t="str">
        <f>"16244"</f>
        <v>16244</v>
      </c>
      <c r="C46403" s="1">
        <v>0</v>
      </c>
      <c r="D46403" s="1">
        <v>0</v>
      </c>
      <c r="E46403" s="1">
        <v>6.5583805172376105E-5</v>
      </c>
      <c r="F46403" s="1">
        <v>2.2707317811619998E-6</v>
      </c>
    </row>
    <row r="46404" spans="1:6" x14ac:dyDescent="0.25">
      <c r="A46404" s="2" t="str">
        <f t="shared" si="1470"/>
        <v>38300</v>
      </c>
      <c r="B46404" s="2" t="str">
        <f>"16228"</f>
        <v>16228</v>
      </c>
      <c r="C46404" s="1">
        <v>1.5667241416012E-4</v>
      </c>
      <c r="D46404" s="1">
        <v>2.9705323193916299E-5</v>
      </c>
      <c r="E46404" s="1">
        <v>2.1861268390791999E-5</v>
      </c>
      <c r="F46404" s="1">
        <v>1.4229919161948501E-4</v>
      </c>
    </row>
    <row r="46405" spans="1:6" x14ac:dyDescent="0.25">
      <c r="A46405" s="2" t="str">
        <f t="shared" si="1470"/>
        <v>38300</v>
      </c>
      <c r="B46405" s="2" t="str">
        <f>"16242"</f>
        <v>16242</v>
      </c>
      <c r="C46405" s="1">
        <v>8.4296570662238896E-4</v>
      </c>
      <c r="D46405" s="1">
        <v>2.4754435994930201E-4</v>
      </c>
      <c r="E46405" s="1">
        <v>3.2791902586188E-4</v>
      </c>
      <c r="F46405" s="1">
        <v>7.7961791153228902E-4</v>
      </c>
    </row>
    <row r="46406" spans="1:6" x14ac:dyDescent="0.25">
      <c r="A46406" s="2" t="str">
        <f t="shared" si="1470"/>
        <v>38300</v>
      </c>
      <c r="B46406" s="2" t="str">
        <f>"16229"</f>
        <v>16229</v>
      </c>
      <c r="C46406" s="1">
        <v>2.04014730612853E-3</v>
      </c>
      <c r="D46406" s="1">
        <v>1.83182826362484E-3</v>
      </c>
      <c r="E46406" s="1">
        <v>2.3828782545963299E-3</v>
      </c>
      <c r="F46406" s="1">
        <v>2.0360894971086E-3</v>
      </c>
    </row>
    <row r="46407" spans="1:6" x14ac:dyDescent="0.25">
      <c r="A46407" s="2" t="str">
        <f t="shared" si="1470"/>
        <v>38300</v>
      </c>
      <c r="B46407" s="2" t="str">
        <f>"16157"</f>
        <v>16157</v>
      </c>
      <c r="C46407" s="1">
        <v>2.0265236179406901E-4</v>
      </c>
      <c r="D46407" s="1">
        <v>4.95088719898605E-5</v>
      </c>
      <c r="E46407" s="1">
        <v>0</v>
      </c>
      <c r="F46407" s="1">
        <v>1.8392927427412199E-4</v>
      </c>
    </row>
    <row r="46408" spans="1:6" x14ac:dyDescent="0.25">
      <c r="A46408" s="2" t="str">
        <f t="shared" si="1470"/>
        <v>38300</v>
      </c>
      <c r="B46408" s="2" t="str">
        <f>"16123"</f>
        <v>16123</v>
      </c>
      <c r="C46408" s="1">
        <v>7.6888690210102798E-4</v>
      </c>
      <c r="D46408" s="1">
        <v>2.77249683143219E-4</v>
      </c>
      <c r="E46408" s="1">
        <v>0</v>
      </c>
      <c r="F46408" s="1">
        <v>7.0468376275394302E-4</v>
      </c>
    </row>
    <row r="46409" spans="1:6" x14ac:dyDescent="0.25">
      <c r="A46409" s="2" t="str">
        <f t="shared" si="1470"/>
        <v>38300</v>
      </c>
      <c r="B46409" s="2" t="str">
        <f>"16039"</f>
        <v>16039</v>
      </c>
      <c r="C46409" s="1">
        <v>0</v>
      </c>
      <c r="D46409" s="1">
        <v>0</v>
      </c>
      <c r="E46409" s="1">
        <v>2.1861268390791999E-5</v>
      </c>
      <c r="F46409" s="1">
        <v>7.5691059372066897E-7</v>
      </c>
    </row>
    <row r="46410" spans="1:6" x14ac:dyDescent="0.25">
      <c r="A46410" s="2" t="str">
        <f t="shared" si="1470"/>
        <v>38300</v>
      </c>
      <c r="B46410" s="2" t="str">
        <f>"16003"</f>
        <v>16003</v>
      </c>
      <c r="C46410" s="1">
        <v>7.6462949954232901E-4</v>
      </c>
      <c r="D46410" s="1">
        <v>2.6239702154626102E-3</v>
      </c>
      <c r="E46410" s="1">
        <v>2.1861268390791999E-5</v>
      </c>
      <c r="F46410" s="1">
        <v>8.8104393109085901E-4</v>
      </c>
    </row>
    <row r="46411" spans="1:6" x14ac:dyDescent="0.25">
      <c r="A46411" s="2" t="str">
        <f t="shared" si="1470"/>
        <v>38300</v>
      </c>
      <c r="B46411" s="2" t="str">
        <f>"16049"</f>
        <v>16049</v>
      </c>
      <c r="C46411" s="1">
        <v>7.72292824147987E-4</v>
      </c>
      <c r="D46411" s="1">
        <v>1.78231939163498E-4</v>
      </c>
      <c r="E46411" s="1">
        <v>1.5302887873554401E-4</v>
      </c>
      <c r="F46411" s="1">
        <v>7.0544067334766397E-4</v>
      </c>
    </row>
    <row r="46412" spans="1:6" x14ac:dyDescent="0.25">
      <c r="A46412" s="2" t="str">
        <f t="shared" si="1470"/>
        <v>38300</v>
      </c>
      <c r="B46412" s="2" t="str">
        <f>"16037"</f>
        <v>16037</v>
      </c>
      <c r="C46412" s="1">
        <v>1.7991783213061701E-3</v>
      </c>
      <c r="D46412" s="1">
        <v>1.83182826362484E-3</v>
      </c>
      <c r="E46412" s="1">
        <v>5.2467044137900797E-4</v>
      </c>
      <c r="F46412" s="1">
        <v>1.7575463986193899E-3</v>
      </c>
    </row>
    <row r="46413" spans="1:6" x14ac:dyDescent="0.25">
      <c r="A46413" s="2" t="str">
        <f t="shared" si="1470"/>
        <v>38300</v>
      </c>
      <c r="B46413" s="2" t="str">
        <f>"15688"</f>
        <v>15688</v>
      </c>
      <c r="C46413" s="1">
        <v>3.2696851650807802E-4</v>
      </c>
      <c r="D46413" s="1">
        <v>1.1882129277566501E-4</v>
      </c>
      <c r="E46413" s="1">
        <v>2.1861268390791999E-5</v>
      </c>
      <c r="F46413" s="1">
        <v>3.0049350570710497E-4</v>
      </c>
    </row>
    <row r="46414" spans="1:6" x14ac:dyDescent="0.25">
      <c r="A46414" s="2" t="str">
        <f t="shared" si="1470"/>
        <v>38300</v>
      </c>
      <c r="B46414" s="2" t="str">
        <f>"15682"</f>
        <v>15682</v>
      </c>
      <c r="C46414" s="1">
        <v>0</v>
      </c>
      <c r="D46414" s="1">
        <v>0</v>
      </c>
      <c r="E46414" s="1">
        <v>2.1861268390791999E-5</v>
      </c>
      <c r="F46414" s="1">
        <v>7.5691059372066897E-7</v>
      </c>
    </row>
    <row r="46415" spans="1:6" x14ac:dyDescent="0.25">
      <c r="A46415" s="2" t="str">
        <f t="shared" si="1470"/>
        <v>38300</v>
      </c>
      <c r="B46415" s="2" t="str">
        <f>"15677"</f>
        <v>15677</v>
      </c>
      <c r="C46415" s="1">
        <v>2.0009792025884999E-4</v>
      </c>
      <c r="D46415" s="1">
        <v>6.9312420785804803E-5</v>
      </c>
      <c r="E46415" s="1">
        <v>2.1861268390791999E-5</v>
      </c>
      <c r="F46415" s="1">
        <v>1.8392927427412199E-4</v>
      </c>
    </row>
    <row r="46416" spans="1:6" x14ac:dyDescent="0.25">
      <c r="A46416" s="2" t="str">
        <f t="shared" si="1470"/>
        <v>38300</v>
      </c>
      <c r="B46416" s="2" t="str">
        <f>"15683"</f>
        <v>15683</v>
      </c>
      <c r="C46416" s="1">
        <v>3.5080997083679201E-3</v>
      </c>
      <c r="D46416" s="1">
        <v>3.01013941698352E-3</v>
      </c>
      <c r="E46416" s="1">
        <v>1.6395951293094E-3</v>
      </c>
      <c r="F46416" s="1">
        <v>3.4053407611492901E-3</v>
      </c>
    </row>
    <row r="46417" spans="1:6" x14ac:dyDescent="0.25">
      <c r="A46417" s="2" t="str">
        <f t="shared" si="1470"/>
        <v>38300</v>
      </c>
      <c r="B46417" s="2" t="str">
        <f>"15666"</f>
        <v>15666</v>
      </c>
      <c r="C46417" s="1">
        <v>6.7641611852608703E-3</v>
      </c>
      <c r="D46417" s="1">
        <v>7.4659378960709698E-3</v>
      </c>
      <c r="E46417" s="1">
        <v>4.3066698729860298E-3</v>
      </c>
      <c r="F46417" s="1">
        <v>6.7327197311453498E-3</v>
      </c>
    </row>
    <row r="46418" spans="1:6" x14ac:dyDescent="0.25">
      <c r="A46418" s="2" t="str">
        <f t="shared" si="1470"/>
        <v>38300</v>
      </c>
      <c r="B46418" s="2" t="str">
        <f>"15923"</f>
        <v>15923</v>
      </c>
      <c r="C46418" s="1">
        <v>5.2195755369648903E-4</v>
      </c>
      <c r="D46418" s="1">
        <v>1.4852661596958101E-4</v>
      </c>
      <c r="E46418" s="1">
        <v>1.7489014712633599E-4</v>
      </c>
      <c r="F46418" s="1">
        <v>4.8139513760634501E-4</v>
      </c>
    </row>
    <row r="46419" spans="1:6" x14ac:dyDescent="0.25">
      <c r="A46419" s="2" t="str">
        <f t="shared" si="1470"/>
        <v>38300</v>
      </c>
      <c r="B46419" s="2" t="str">
        <f>"15663"</f>
        <v>15663</v>
      </c>
      <c r="C46419" s="1">
        <v>0</v>
      </c>
      <c r="D46419" s="1">
        <v>0</v>
      </c>
      <c r="E46419" s="1">
        <v>4.3722536781583998E-5</v>
      </c>
      <c r="F46419" s="1">
        <v>1.5138211874413299E-6</v>
      </c>
    </row>
    <row r="46420" spans="1:6" x14ac:dyDescent="0.25">
      <c r="A46420" s="2" t="str">
        <f t="shared" si="1470"/>
        <v>38300</v>
      </c>
      <c r="B46420" s="2" t="str">
        <f>"15661"</f>
        <v>15661</v>
      </c>
      <c r="C46420" s="1">
        <v>1.9754347872362999E-4</v>
      </c>
      <c r="D46420" s="1">
        <v>2.97053231939163E-4</v>
      </c>
      <c r="E46420" s="1">
        <v>6.5583805172376105E-5</v>
      </c>
      <c r="F46420" s="1">
        <v>2.00581307335977E-4</v>
      </c>
    </row>
    <row r="46421" spans="1:6" x14ac:dyDescent="0.25">
      <c r="A46421" s="2" t="str">
        <f t="shared" si="1470"/>
        <v>38300</v>
      </c>
      <c r="B46421" s="2" t="str">
        <f>"15650"</f>
        <v>15650</v>
      </c>
      <c r="C46421" s="1">
        <v>1.1156097664814599E-2</v>
      </c>
      <c r="D46421" s="1">
        <v>1.1693995564004999E-2</v>
      </c>
      <c r="E46421" s="1">
        <v>1.1367859563211799E-2</v>
      </c>
      <c r="F46421" s="1">
        <v>1.1204547518847001E-2</v>
      </c>
    </row>
    <row r="46422" spans="1:6" x14ac:dyDescent="0.25">
      <c r="A46422" s="2" t="str">
        <f t="shared" si="1470"/>
        <v>38300</v>
      </c>
      <c r="B46422" s="2" t="str">
        <f>"15644"</f>
        <v>15644</v>
      </c>
      <c r="C46422" s="1">
        <v>8.2184898993124204E-3</v>
      </c>
      <c r="D46422" s="1">
        <v>6.8817332065906197E-3</v>
      </c>
      <c r="E46422" s="1">
        <v>4.4159762149399897E-3</v>
      </c>
      <c r="F46422" s="1">
        <v>7.98464985315934E-3</v>
      </c>
    </row>
    <row r="46423" spans="1:6" x14ac:dyDescent="0.25">
      <c r="A46423" s="2" t="str">
        <f t="shared" si="1470"/>
        <v>38300</v>
      </c>
      <c r="B46423" s="2" t="str">
        <f>"15665"</f>
        <v>15665</v>
      </c>
      <c r="C46423" s="1">
        <v>4.5554207378078597E-4</v>
      </c>
      <c r="D46423" s="1">
        <v>1.1882129277566501E-4</v>
      </c>
      <c r="E46423" s="1">
        <v>8.3072819885009696E-4</v>
      </c>
      <c r="F46423" s="1">
        <v>4.4279269732659101E-4</v>
      </c>
    </row>
    <row r="46424" spans="1:6" x14ac:dyDescent="0.25">
      <c r="A46424" s="2" t="str">
        <f t="shared" si="1470"/>
        <v>38300</v>
      </c>
      <c r="B46424" s="2" t="str">
        <f>"15272"</f>
        <v>15272</v>
      </c>
      <c r="C46424" s="1">
        <v>0</v>
      </c>
      <c r="D46424" s="1">
        <v>9.9017743979721092E-6</v>
      </c>
      <c r="E46424" s="1">
        <v>2.1861268390791999E-5</v>
      </c>
      <c r="F46424" s="1">
        <v>1.5138211874413299E-6</v>
      </c>
    </row>
    <row r="46425" spans="1:6" x14ac:dyDescent="0.25">
      <c r="A46425" s="2" t="str">
        <f t="shared" ref="A46425:A46488" si="1471">"38300"</f>
        <v>38300</v>
      </c>
      <c r="B46425" s="2" t="str">
        <f>"15231"</f>
        <v>15231</v>
      </c>
      <c r="C46425" s="1">
        <v>0</v>
      </c>
      <c r="D46425" s="1">
        <v>0</v>
      </c>
      <c r="E46425" s="1">
        <v>1.4428437137922699E-3</v>
      </c>
      <c r="F46425" s="1">
        <v>4.9956099185564202E-5</v>
      </c>
    </row>
    <row r="46426" spans="1:6" x14ac:dyDescent="0.25">
      <c r="A46426" s="2" t="str">
        <f t="shared" si="1471"/>
        <v>38300</v>
      </c>
      <c r="B46426" s="2" t="str">
        <f>"15237"</f>
        <v>15237</v>
      </c>
      <c r="C46426" s="1">
        <v>1.7858100772718499E-2</v>
      </c>
      <c r="D46426" s="1">
        <v>2.57743187579214E-2</v>
      </c>
      <c r="E46426" s="1">
        <v>1.0493408827580099E-2</v>
      </c>
      <c r="F46426" s="1">
        <v>1.8208241242544401E-2</v>
      </c>
    </row>
    <row r="46427" spans="1:6" x14ac:dyDescent="0.25">
      <c r="A46427" s="2" t="str">
        <f t="shared" si="1471"/>
        <v>38300</v>
      </c>
      <c r="B46427" s="2" t="str">
        <f>"15232"</f>
        <v>15232</v>
      </c>
      <c r="C46427" s="1">
        <v>6.5785384337015904E-3</v>
      </c>
      <c r="D46427" s="1">
        <v>5.1786280101394104E-3</v>
      </c>
      <c r="E46427" s="1">
        <v>2.6801915047111002E-2</v>
      </c>
      <c r="F46427" s="1">
        <v>7.1717278755033401E-3</v>
      </c>
    </row>
    <row r="46428" spans="1:6" x14ac:dyDescent="0.25">
      <c r="A46428" s="2" t="str">
        <f t="shared" si="1471"/>
        <v>38300</v>
      </c>
      <c r="B46428" s="2" t="str">
        <f>"15619"</f>
        <v>15619</v>
      </c>
      <c r="C46428" s="1">
        <v>0</v>
      </c>
      <c r="D46428" s="1">
        <v>0</v>
      </c>
      <c r="E46428" s="1">
        <v>2.1861268390791999E-5</v>
      </c>
      <c r="F46428" s="1">
        <v>7.5691059372066897E-7</v>
      </c>
    </row>
    <row r="46429" spans="1:6" x14ac:dyDescent="0.25">
      <c r="A46429" s="2" t="str">
        <f t="shared" si="1471"/>
        <v>38300</v>
      </c>
      <c r="B46429" s="2" t="str">
        <f>"15616"</f>
        <v>15616</v>
      </c>
      <c r="C46429" s="1">
        <v>0</v>
      </c>
      <c r="D46429" s="1">
        <v>0</v>
      </c>
      <c r="E46429" s="1">
        <v>1.3116761034475199E-4</v>
      </c>
      <c r="F46429" s="1">
        <v>4.5414635623240098E-6</v>
      </c>
    </row>
    <row r="46430" spans="1:6" x14ac:dyDescent="0.25">
      <c r="A46430" s="2" t="str">
        <f t="shared" si="1471"/>
        <v>38300</v>
      </c>
      <c r="B46430" s="2" t="str">
        <f>"15639"</f>
        <v>15639</v>
      </c>
      <c r="C46430" s="1">
        <v>7.15243629861421E-4</v>
      </c>
      <c r="D46430" s="1">
        <v>4.1587452471482801E-4</v>
      </c>
      <c r="E46430" s="1">
        <v>6.7769932011455295E-4</v>
      </c>
      <c r="F46430" s="1">
        <v>6.9105937206697104E-4</v>
      </c>
    </row>
    <row r="46431" spans="1:6" x14ac:dyDescent="0.25">
      <c r="A46431" s="2" t="str">
        <f t="shared" si="1471"/>
        <v>38300</v>
      </c>
      <c r="B46431" s="2" t="str">
        <f>"15637"</f>
        <v>15637</v>
      </c>
      <c r="C46431" s="1">
        <v>8.2849053792281304E-4</v>
      </c>
      <c r="D46431" s="1">
        <v>7.9214195183776898E-4</v>
      </c>
      <c r="E46431" s="1">
        <v>2.8419648908029603E-4</v>
      </c>
      <c r="F46431" s="1">
        <v>8.0686669290623298E-4</v>
      </c>
    </row>
    <row r="46432" spans="1:6" x14ac:dyDescent="0.25">
      <c r="A46432" s="2" t="str">
        <f t="shared" si="1471"/>
        <v>38300</v>
      </c>
      <c r="B46432" s="2" t="str">
        <f>"15627"</f>
        <v>15627</v>
      </c>
      <c r="C46432" s="1">
        <v>2.7834897928773598E-3</v>
      </c>
      <c r="D46432" s="1">
        <v>1.3664448669201499E-3</v>
      </c>
      <c r="E46432" s="1">
        <v>1.0274796143672201E-3</v>
      </c>
      <c r="F46432" s="1">
        <v>2.61436919071119E-3</v>
      </c>
    </row>
    <row r="46433" spans="1:6" x14ac:dyDescent="0.25">
      <c r="A46433" s="2" t="str">
        <f t="shared" si="1471"/>
        <v>38300</v>
      </c>
      <c r="B46433" s="2" t="str">
        <f>"15610"</f>
        <v>15610</v>
      </c>
      <c r="C46433" s="1">
        <v>1.4628435191689499E-3</v>
      </c>
      <c r="D46433" s="1">
        <v>2.4754435994930201E-4</v>
      </c>
      <c r="E46433" s="1">
        <v>4.3722536781583998E-5</v>
      </c>
      <c r="F46433" s="1">
        <v>1.32080898604256E-3</v>
      </c>
    </row>
    <row r="46434" spans="1:6" x14ac:dyDescent="0.25">
      <c r="A46434" s="2" t="str">
        <f t="shared" si="1471"/>
        <v>38300</v>
      </c>
      <c r="B46434" s="2" t="str">
        <f>"15476"</f>
        <v>15476</v>
      </c>
      <c r="C46434" s="1">
        <v>0</v>
      </c>
      <c r="D46434" s="1">
        <v>0</v>
      </c>
      <c r="E46434" s="1">
        <v>2.5577684017226601E-3</v>
      </c>
      <c r="F46434" s="1">
        <v>8.8558539465318298E-5</v>
      </c>
    </row>
    <row r="46435" spans="1:6" x14ac:dyDescent="0.25">
      <c r="A46435" s="2" t="str">
        <f t="shared" si="1471"/>
        <v>38300</v>
      </c>
      <c r="B46435" s="2" t="str">
        <f>"15479"</f>
        <v>15479</v>
      </c>
      <c r="C46435" s="1">
        <v>6.24986695617004E-4</v>
      </c>
      <c r="D46435" s="1">
        <v>3.4656210392902399E-4</v>
      </c>
      <c r="E46435" s="1">
        <v>6.5583805172376105E-5</v>
      </c>
      <c r="F46435" s="1">
        <v>5.8433497835235697E-4</v>
      </c>
    </row>
    <row r="46436" spans="1:6" x14ac:dyDescent="0.25">
      <c r="A46436" s="2" t="str">
        <f t="shared" si="1471"/>
        <v>38300</v>
      </c>
      <c r="B46436" s="2" t="str">
        <f>"15442"</f>
        <v>15442</v>
      </c>
      <c r="C46436" s="1">
        <v>8.9831193988547495E-4</v>
      </c>
      <c r="D46436" s="1">
        <v>6.1391001267427098E-4</v>
      </c>
      <c r="E46436" s="1">
        <v>2.40473952298712E-4</v>
      </c>
      <c r="F46436" s="1">
        <v>8.5379514971691505E-4</v>
      </c>
    </row>
    <row r="46437" spans="1:6" x14ac:dyDescent="0.25">
      <c r="A46437" s="2" t="str">
        <f t="shared" si="1471"/>
        <v>38300</v>
      </c>
      <c r="B46437" s="2" t="str">
        <f>"15227"</f>
        <v>15227</v>
      </c>
      <c r="C46437" s="1">
        <v>1.1873895736211299E-2</v>
      </c>
      <c r="D46437" s="1">
        <v>6.5054657794676798E-3</v>
      </c>
      <c r="E46437" s="1">
        <v>7.7607502787311704E-3</v>
      </c>
      <c r="F46437" s="1">
        <v>1.132111175028E-2</v>
      </c>
    </row>
    <row r="46438" spans="1:6" x14ac:dyDescent="0.25">
      <c r="A46438" s="2" t="str">
        <f t="shared" si="1471"/>
        <v>38300</v>
      </c>
      <c r="B46438" s="2" t="str">
        <f>"15379"</f>
        <v>15379</v>
      </c>
      <c r="C46438" s="1">
        <v>0</v>
      </c>
      <c r="D46438" s="1">
        <v>0</v>
      </c>
      <c r="E46438" s="1">
        <v>6.5583805172376105E-5</v>
      </c>
      <c r="F46438" s="1">
        <v>2.2707317811619998E-6</v>
      </c>
    </row>
    <row r="46439" spans="1:6" x14ac:dyDescent="0.25">
      <c r="A46439" s="2" t="str">
        <f t="shared" si="1471"/>
        <v>38300</v>
      </c>
      <c r="B46439" s="2" t="str">
        <f>"15367"</f>
        <v>15367</v>
      </c>
      <c r="C46439" s="1">
        <v>2.8763011686570002E-3</v>
      </c>
      <c r="D46439" s="1">
        <v>3.2675855513307901E-4</v>
      </c>
      <c r="E46439" s="1">
        <v>6.5583805172376105E-5</v>
      </c>
      <c r="F46439" s="1">
        <v>2.58409276696236E-3</v>
      </c>
    </row>
    <row r="46440" spans="1:6" x14ac:dyDescent="0.25">
      <c r="A46440" s="2" t="str">
        <f t="shared" si="1471"/>
        <v>38300</v>
      </c>
      <c r="B46440" s="2" t="str">
        <f>"15360"</f>
        <v>15360</v>
      </c>
      <c r="C46440" s="1">
        <v>7.02471422185324E-4</v>
      </c>
      <c r="D46440" s="1">
        <v>5.4459759188846605E-4</v>
      </c>
      <c r="E46440" s="1">
        <v>4.3722536781583998E-5</v>
      </c>
      <c r="F46440" s="1">
        <v>6.6759514366163E-4</v>
      </c>
    </row>
    <row r="46441" spans="1:6" x14ac:dyDescent="0.25">
      <c r="A46441" s="2" t="str">
        <f t="shared" si="1471"/>
        <v>38300</v>
      </c>
      <c r="B46441" s="2" t="str">
        <f>"15329"</f>
        <v>15329</v>
      </c>
      <c r="C46441" s="1">
        <v>5.1429422909083104E-4</v>
      </c>
      <c r="D46441" s="1">
        <v>1.5842839036755299E-4</v>
      </c>
      <c r="E46441" s="1">
        <v>1.0930634195395999E-4</v>
      </c>
      <c r="F46441" s="1">
        <v>4.7306912107541798E-4</v>
      </c>
    </row>
    <row r="46442" spans="1:6" x14ac:dyDescent="0.25">
      <c r="A46442" s="2" t="str">
        <f t="shared" si="1471"/>
        <v>38300</v>
      </c>
      <c r="B46442" s="2" t="str">
        <f>"15323"</f>
        <v>15323</v>
      </c>
      <c r="C46442" s="1">
        <v>1.4517742725163301E-3</v>
      </c>
      <c r="D46442" s="1">
        <v>4.2577629911280099E-4</v>
      </c>
      <c r="E46442" s="1">
        <v>7.0393284218350297E-3</v>
      </c>
      <c r="F46442" s="1">
        <v>1.56680492900178E-3</v>
      </c>
    </row>
    <row r="46443" spans="1:6" x14ac:dyDescent="0.25">
      <c r="A46443" s="2" t="str">
        <f t="shared" si="1471"/>
        <v>38300</v>
      </c>
      <c r="B46443" s="2" t="str">
        <f>"15219"</f>
        <v>15219</v>
      </c>
      <c r="C46443" s="1">
        <v>7.1013474679098203E-3</v>
      </c>
      <c r="D46443" s="1">
        <v>3.0467759822560201E-2</v>
      </c>
      <c r="E46443" s="1">
        <v>3.0321579258028499E-2</v>
      </c>
      <c r="F46443" s="1">
        <v>9.6914832419994507E-3</v>
      </c>
    </row>
    <row r="46444" spans="1:6" x14ac:dyDescent="0.25">
      <c r="A46444" s="2" t="str">
        <f t="shared" si="1471"/>
        <v>38300</v>
      </c>
      <c r="B46444" s="2" t="str">
        <f>"15075"</f>
        <v>15075</v>
      </c>
      <c r="C46444" s="1">
        <v>0</v>
      </c>
      <c r="D46444" s="1">
        <v>0</v>
      </c>
      <c r="E46444" s="1">
        <v>2.1861268390791999E-5</v>
      </c>
      <c r="F46444" s="1">
        <v>7.5691059372066897E-7</v>
      </c>
    </row>
    <row r="46445" spans="1:6" x14ac:dyDescent="0.25">
      <c r="A46445" s="2" t="str">
        <f t="shared" si="1471"/>
        <v>38300</v>
      </c>
      <c r="B46445" s="2" t="str">
        <f>"15082"</f>
        <v>15082</v>
      </c>
      <c r="C46445" s="1">
        <v>0</v>
      </c>
      <c r="D46445" s="1">
        <v>0</v>
      </c>
      <c r="E46445" s="1">
        <v>2.1861268390791999E-5</v>
      </c>
      <c r="F46445" s="1">
        <v>7.5691059372066897E-7</v>
      </c>
    </row>
    <row r="46446" spans="1:6" x14ac:dyDescent="0.25">
      <c r="A46446" s="2" t="str">
        <f t="shared" si="1471"/>
        <v>38300</v>
      </c>
      <c r="B46446" s="2" t="str">
        <f>"15046"</f>
        <v>15046</v>
      </c>
      <c r="C46446" s="1">
        <v>9.7324222491857696E-4</v>
      </c>
      <c r="D46446" s="1">
        <v>4.65383396704689E-4</v>
      </c>
      <c r="E46446" s="1">
        <v>3.0605775747108801E-4</v>
      </c>
      <c r="F46446" s="1">
        <v>9.1132035483968603E-4</v>
      </c>
    </row>
    <row r="46447" spans="1:6" x14ac:dyDescent="0.25">
      <c r="A46447" s="2" t="str">
        <f t="shared" si="1471"/>
        <v>38300</v>
      </c>
      <c r="B46447" s="2" t="str">
        <f>"15062"</f>
        <v>15062</v>
      </c>
      <c r="C46447" s="1">
        <v>3.8759392894395098E-3</v>
      </c>
      <c r="D46447" s="1">
        <v>3.70326362484157E-3</v>
      </c>
      <c r="E46447" s="1">
        <v>2.9949937695384998E-3</v>
      </c>
      <c r="F46447" s="1">
        <v>3.8322383360077498E-3</v>
      </c>
    </row>
    <row r="46448" spans="1:6" x14ac:dyDescent="0.25">
      <c r="A46448" s="2" t="str">
        <f t="shared" si="1471"/>
        <v>38300</v>
      </c>
      <c r="B46448" s="2" t="str">
        <f>"15050"</f>
        <v>15050</v>
      </c>
      <c r="C46448" s="1">
        <v>8.3870830406368999E-4</v>
      </c>
      <c r="D46448" s="1">
        <v>1.8813371356147E-4</v>
      </c>
      <c r="E46448" s="1">
        <v>1.0930634195395999E-4</v>
      </c>
      <c r="F46448" s="1">
        <v>7.6372278906415504E-4</v>
      </c>
    </row>
    <row r="46449" spans="1:6" x14ac:dyDescent="0.25">
      <c r="A46449" s="2" t="str">
        <f t="shared" si="1471"/>
        <v>38300</v>
      </c>
      <c r="B46449" s="2" t="str">
        <f>"15037"</f>
        <v>15037</v>
      </c>
      <c r="C46449" s="1">
        <v>4.2131255720884598E-3</v>
      </c>
      <c r="D46449" s="1">
        <v>3.0497465145754099E-3</v>
      </c>
      <c r="E46449" s="1">
        <v>2.66707474367662E-3</v>
      </c>
      <c r="F46449" s="1">
        <v>4.07066517302976E-3</v>
      </c>
    </row>
    <row r="46450" spans="1:6" x14ac:dyDescent="0.25">
      <c r="A46450" s="2" t="str">
        <f t="shared" si="1471"/>
        <v>38300</v>
      </c>
      <c r="B46450" s="2" t="str">
        <f>"15207"</f>
        <v>15207</v>
      </c>
      <c r="C46450" s="1">
        <v>5.2774762117632004E-3</v>
      </c>
      <c r="D46450" s="1">
        <v>2.6932826362484098E-3</v>
      </c>
      <c r="E46450" s="1">
        <v>6.6676868591915702E-3</v>
      </c>
      <c r="F46450" s="1">
        <v>5.1280692724575304E-3</v>
      </c>
    </row>
    <row r="46451" spans="1:6" x14ac:dyDescent="0.25">
      <c r="A46451" s="2" t="str">
        <f t="shared" si="1471"/>
        <v>38300</v>
      </c>
      <c r="B46451" s="2" t="str">
        <f>"15204"</f>
        <v>15204</v>
      </c>
      <c r="C46451" s="1">
        <v>3.5012878642740001E-3</v>
      </c>
      <c r="D46451" s="1">
        <v>1.5545785804816201E-3</v>
      </c>
      <c r="E46451" s="1">
        <v>1.7489014712633599E-3</v>
      </c>
      <c r="F46451" s="1">
        <v>3.29180417209119E-3</v>
      </c>
    </row>
    <row r="46452" spans="1:6" x14ac:dyDescent="0.25">
      <c r="A46452" s="2" t="str">
        <f t="shared" si="1471"/>
        <v>38300</v>
      </c>
      <c r="B46452" s="2" t="str">
        <f>"15123"</f>
        <v>15123</v>
      </c>
      <c r="C46452" s="1">
        <v>0</v>
      </c>
      <c r="D46452" s="1">
        <v>1.9506495564004999E-3</v>
      </c>
      <c r="E46452" s="1">
        <v>6.5583805172376105E-5</v>
      </c>
      <c r="F46452" s="1">
        <v>1.51382118744133E-4</v>
      </c>
    </row>
    <row r="46453" spans="1:6" x14ac:dyDescent="0.25">
      <c r="A46453" s="2" t="str">
        <f t="shared" si="1471"/>
        <v>38300</v>
      </c>
      <c r="B46453" s="2" t="str">
        <f>"15007"</f>
        <v>15007</v>
      </c>
      <c r="C46453" s="1">
        <v>1.10692466526172E-4</v>
      </c>
      <c r="D46453" s="1">
        <v>2.2774081115335801E-4</v>
      </c>
      <c r="E46453" s="1">
        <v>6.5583805172376105E-5</v>
      </c>
      <c r="F46453" s="1">
        <v>1.18078052620424E-4</v>
      </c>
    </row>
    <row r="46454" spans="1:6" x14ac:dyDescent="0.25">
      <c r="A46454" s="2" t="str">
        <f t="shared" si="1471"/>
        <v>38300</v>
      </c>
      <c r="B46454" s="2" t="str">
        <f>"15112"</f>
        <v>15112</v>
      </c>
      <c r="C46454" s="1">
        <v>1.6501692317517E-3</v>
      </c>
      <c r="D46454" s="1">
        <v>1.4753643852978399E-3</v>
      </c>
      <c r="E46454" s="1">
        <v>4.1317797258596904E-3</v>
      </c>
      <c r="F46454" s="1">
        <v>1.7227285113082401E-3</v>
      </c>
    </row>
    <row r="46455" spans="1:6" x14ac:dyDescent="0.25">
      <c r="A46455" s="2" t="str">
        <f t="shared" si="1471"/>
        <v>38300</v>
      </c>
      <c r="B46455" s="2" t="str">
        <f>"15116"</f>
        <v>15116</v>
      </c>
      <c r="C46455" s="1">
        <v>5.5235540796559996E-3</v>
      </c>
      <c r="D46455" s="1">
        <v>4.6835392902408101E-3</v>
      </c>
      <c r="E46455" s="1">
        <v>5.18112060861771E-3</v>
      </c>
      <c r="F46455" s="1">
        <v>5.4474855430076503E-3</v>
      </c>
    </row>
    <row r="46456" spans="1:6" x14ac:dyDescent="0.25">
      <c r="A46456" s="2" t="str">
        <f t="shared" si="1471"/>
        <v>38300</v>
      </c>
      <c r="B46456" s="2" t="str">
        <f>"15090"</f>
        <v>15090</v>
      </c>
      <c r="C46456" s="1">
        <v>8.9192583604742696E-3</v>
      </c>
      <c r="D46456" s="1">
        <v>1.66349809885931E-2</v>
      </c>
      <c r="E46456" s="1">
        <v>5.0718142666637501E-3</v>
      </c>
      <c r="F46456" s="1">
        <v>9.3758515244179302E-3</v>
      </c>
    </row>
    <row r="46457" spans="1:6" x14ac:dyDescent="0.25">
      <c r="A46457" s="2" t="str">
        <f t="shared" si="1471"/>
        <v>38300</v>
      </c>
      <c r="B46457" s="2" t="str">
        <f>"16222"</f>
        <v>16222</v>
      </c>
      <c r="C46457" s="1">
        <v>7.5185729186623201E-4</v>
      </c>
      <c r="D46457" s="1">
        <v>2.07937262357414E-4</v>
      </c>
      <c r="E46457" s="1">
        <v>6.5583805172376105E-5</v>
      </c>
      <c r="F46457" s="1">
        <v>6.8651790850464704E-4</v>
      </c>
    </row>
    <row r="46458" spans="1:6" x14ac:dyDescent="0.25">
      <c r="A46458" s="2" t="str">
        <f t="shared" si="1471"/>
        <v>38300</v>
      </c>
      <c r="B46458" s="2" t="str">
        <f>"16201"</f>
        <v>16201</v>
      </c>
      <c r="C46458" s="1">
        <v>7.14817889605551E-3</v>
      </c>
      <c r="D46458" s="1">
        <v>8.4660171102661497E-3</v>
      </c>
      <c r="E46458" s="1">
        <v>1.1039940537349901E-2</v>
      </c>
      <c r="F46458" s="1">
        <v>7.3836628417451302E-3</v>
      </c>
    </row>
    <row r="46459" spans="1:6" x14ac:dyDescent="0.25">
      <c r="A46459" s="2" t="str">
        <f t="shared" si="1471"/>
        <v>38300</v>
      </c>
      <c r="B46459" s="2" t="str">
        <f>"16117"</f>
        <v>16117</v>
      </c>
      <c r="C46459" s="1">
        <v>2.1619090193073201E-3</v>
      </c>
      <c r="D46459" s="1">
        <v>1.2575253485424499E-3</v>
      </c>
      <c r="E46459" s="1">
        <v>1.46470498218306E-3</v>
      </c>
      <c r="F46459" s="1">
        <v>2.0686366526385899E-3</v>
      </c>
    </row>
    <row r="46460" spans="1:6" x14ac:dyDescent="0.25">
      <c r="A46460" s="2" t="str">
        <f t="shared" si="1471"/>
        <v>38300</v>
      </c>
      <c r="B46460" s="2" t="str">
        <f>"16136"</f>
        <v>16136</v>
      </c>
      <c r="C46460" s="1">
        <v>0</v>
      </c>
      <c r="D46460" s="1">
        <v>0</v>
      </c>
      <c r="E46460" s="1">
        <v>3.2791902586188E-3</v>
      </c>
      <c r="F46460" s="1">
        <v>1.1353658905810001E-4</v>
      </c>
    </row>
    <row r="46461" spans="1:6" x14ac:dyDescent="0.25">
      <c r="A46461" s="2" t="str">
        <f t="shared" si="1471"/>
        <v>38300</v>
      </c>
      <c r="B46461" s="2" t="str">
        <f>"15732"</f>
        <v>15732</v>
      </c>
      <c r="C46461" s="1">
        <v>5.1940311216127E-5</v>
      </c>
      <c r="D46461" s="1">
        <v>9.9017743979721092E-6</v>
      </c>
      <c r="E46461" s="1">
        <v>0</v>
      </c>
      <c r="F46461" s="1">
        <v>4.6928456810681501E-5</v>
      </c>
    </row>
    <row r="46462" spans="1:6" x14ac:dyDescent="0.25">
      <c r="A46462" s="2" t="str">
        <f t="shared" si="1471"/>
        <v>38300</v>
      </c>
      <c r="B46462" s="2" t="str">
        <f>"15774"</f>
        <v>15774</v>
      </c>
      <c r="C46462" s="1">
        <v>5.9944228026481E-4</v>
      </c>
      <c r="D46462" s="1">
        <v>2.87151457541191E-4</v>
      </c>
      <c r="E46462" s="1">
        <v>4.3722536781583998E-5</v>
      </c>
      <c r="F46462" s="1">
        <v>5.5632928638469205E-4</v>
      </c>
    </row>
    <row r="46463" spans="1:6" x14ac:dyDescent="0.25">
      <c r="A46463" s="2" t="str">
        <f t="shared" si="1471"/>
        <v>38300</v>
      </c>
      <c r="B46463" s="2" t="str">
        <f>"16029"</f>
        <v>16029</v>
      </c>
      <c r="C46463" s="1">
        <v>8.5148051173978692E-6</v>
      </c>
      <c r="D46463" s="1">
        <v>0</v>
      </c>
      <c r="E46463" s="1">
        <v>4.3722536781583998E-5</v>
      </c>
      <c r="F46463" s="1">
        <v>9.0829271246480298E-6</v>
      </c>
    </row>
    <row r="46464" spans="1:6" x14ac:dyDescent="0.25">
      <c r="A46464" s="2" t="str">
        <f t="shared" si="1471"/>
        <v>38300</v>
      </c>
      <c r="B46464" s="2" t="str">
        <f>"16024"</f>
        <v>16024</v>
      </c>
      <c r="C46464" s="1">
        <v>0</v>
      </c>
      <c r="D46464" s="1">
        <v>0</v>
      </c>
      <c r="E46464" s="1">
        <v>2.1861268390791999E-5</v>
      </c>
      <c r="F46464" s="1">
        <v>7.5691059372066897E-7</v>
      </c>
    </row>
    <row r="46465" spans="1:6" x14ac:dyDescent="0.25">
      <c r="A46465" s="2" t="str">
        <f t="shared" si="1471"/>
        <v>38300</v>
      </c>
      <c r="B46465" s="2" t="str">
        <f>"16023"</f>
        <v>16023</v>
      </c>
      <c r="C46465" s="1">
        <v>1.60504076462949E-3</v>
      </c>
      <c r="D46465" s="1">
        <v>5.4459759188846605E-4</v>
      </c>
      <c r="E46465" s="1">
        <v>2.8419648908029603E-4</v>
      </c>
      <c r="F46465" s="1">
        <v>1.4782463895364601E-3</v>
      </c>
    </row>
    <row r="46466" spans="1:6" x14ac:dyDescent="0.25">
      <c r="A46466" s="2" t="str">
        <f t="shared" si="1471"/>
        <v>38300</v>
      </c>
      <c r="B46466" s="2" t="str">
        <f>"15697"</f>
        <v>15697</v>
      </c>
      <c r="C46466" s="1">
        <v>1.39898248078847E-3</v>
      </c>
      <c r="D46466" s="1">
        <v>1.9704531051964501E-3</v>
      </c>
      <c r="E46466" s="1">
        <v>2.1861268390791998E-3</v>
      </c>
      <c r="F46466" s="1">
        <v>1.4699203730055401E-3</v>
      </c>
    </row>
    <row r="46467" spans="1:6" x14ac:dyDescent="0.25">
      <c r="A46467" s="2" t="str">
        <f t="shared" si="1471"/>
        <v>38300</v>
      </c>
      <c r="B46467" s="2" t="str">
        <f>"15646"</f>
        <v>15646</v>
      </c>
      <c r="C46467" s="1">
        <v>6.2158077357004398E-5</v>
      </c>
      <c r="D46467" s="1">
        <v>2.6734790874524699E-4</v>
      </c>
      <c r="E46467" s="1">
        <v>0</v>
      </c>
      <c r="F46467" s="1">
        <v>7.5691059372066905E-5</v>
      </c>
    </row>
    <row r="46468" spans="1:6" x14ac:dyDescent="0.25">
      <c r="A46468" s="2" t="str">
        <f t="shared" si="1471"/>
        <v>38300</v>
      </c>
      <c r="B46468" s="2" t="str">
        <f>"15265"</f>
        <v>15265</v>
      </c>
      <c r="C46468" s="1">
        <v>0</v>
      </c>
      <c r="D46468" s="1">
        <v>0</v>
      </c>
      <c r="E46468" s="1">
        <v>2.1861268390791999E-5</v>
      </c>
      <c r="F46468" s="1">
        <v>7.5691059372066897E-7</v>
      </c>
    </row>
    <row r="46469" spans="1:6" x14ac:dyDescent="0.25">
      <c r="A46469" s="2" t="str">
        <f t="shared" si="1471"/>
        <v>38300</v>
      </c>
      <c r="B46469" s="2" t="str">
        <f>"15312"</f>
        <v>15312</v>
      </c>
      <c r="C46469" s="1">
        <v>1.3291610788258E-3</v>
      </c>
      <c r="D46469" s="1">
        <v>2.97053231939163E-4</v>
      </c>
      <c r="E46469" s="1">
        <v>4.3722536781583998E-5</v>
      </c>
      <c r="F46469" s="1">
        <v>1.20575857579702E-3</v>
      </c>
    </row>
    <row r="46470" spans="1:6" x14ac:dyDescent="0.25">
      <c r="A46470" s="2" t="str">
        <f t="shared" si="1471"/>
        <v>38300</v>
      </c>
      <c r="B46470" s="2" t="str">
        <f>"15239"</f>
        <v>15239</v>
      </c>
      <c r="C46470" s="1">
        <v>7.8089277731655899E-3</v>
      </c>
      <c r="D46470" s="1">
        <v>5.8618504435994897E-3</v>
      </c>
      <c r="E46470" s="1">
        <v>5.9681262706862198E-3</v>
      </c>
      <c r="F46470" s="1">
        <v>7.5963547185806399E-3</v>
      </c>
    </row>
    <row r="46471" spans="1:6" x14ac:dyDescent="0.25">
      <c r="A46471" s="2" t="str">
        <f t="shared" si="1471"/>
        <v>38300</v>
      </c>
      <c r="B46471" s="2" t="str">
        <f>"15233"</f>
        <v>15233</v>
      </c>
      <c r="C46471" s="1">
        <v>1.94563296932541E-3</v>
      </c>
      <c r="D46471" s="1">
        <v>7.2084917617236998E-3</v>
      </c>
      <c r="E46471" s="1">
        <v>3.9131670419517697E-3</v>
      </c>
      <c r="F46471" s="1">
        <v>2.4160586151563699E-3</v>
      </c>
    </row>
    <row r="46472" spans="1:6" x14ac:dyDescent="0.25">
      <c r="A46472" s="2" t="str">
        <f t="shared" si="1471"/>
        <v>38300</v>
      </c>
      <c r="B46472" s="2" t="str">
        <f>"15635"</f>
        <v>15635</v>
      </c>
      <c r="C46472" s="1">
        <v>8.5148051173978698E-7</v>
      </c>
      <c r="D46472" s="1">
        <v>0</v>
      </c>
      <c r="E46472" s="1">
        <v>4.3722536781583998E-5</v>
      </c>
      <c r="F46472" s="1">
        <v>2.2707317811619998E-6</v>
      </c>
    </row>
    <row r="46473" spans="1:6" x14ac:dyDescent="0.25">
      <c r="A46473" s="2" t="str">
        <f t="shared" si="1471"/>
        <v>38300</v>
      </c>
      <c r="B46473" s="2" t="str">
        <f>"15640"</f>
        <v>15640</v>
      </c>
      <c r="C46473" s="1">
        <v>0</v>
      </c>
      <c r="D46473" s="1">
        <v>0</v>
      </c>
      <c r="E46473" s="1">
        <v>3.1917451850556298E-3</v>
      </c>
      <c r="F46473" s="1">
        <v>1.10508946683217E-4</v>
      </c>
    </row>
    <row r="46474" spans="1:6" x14ac:dyDescent="0.25">
      <c r="A46474" s="2" t="str">
        <f t="shared" si="1471"/>
        <v>38300</v>
      </c>
      <c r="B46474" s="2" t="str">
        <f>"15621"</f>
        <v>15621</v>
      </c>
      <c r="C46474" s="1">
        <v>0</v>
      </c>
      <c r="D46474" s="1">
        <v>0</v>
      </c>
      <c r="E46474" s="1">
        <v>2.1861268390791999E-5</v>
      </c>
      <c r="F46474" s="1">
        <v>7.5691059372066897E-7</v>
      </c>
    </row>
    <row r="46475" spans="1:6" x14ac:dyDescent="0.25">
      <c r="A46475" s="2" t="str">
        <f t="shared" si="1471"/>
        <v>38300</v>
      </c>
      <c r="B46475" s="2" t="str">
        <f>"15631"</f>
        <v>15631</v>
      </c>
      <c r="C46475" s="1">
        <v>3.3974072418417503E-4</v>
      </c>
      <c r="D46475" s="1">
        <v>1.3862484157160901E-4</v>
      </c>
      <c r="E46475" s="1">
        <v>3.5196642109175101E-3</v>
      </c>
      <c r="F46475" s="1">
        <v>4.3446668079566398E-4</v>
      </c>
    </row>
    <row r="46476" spans="1:6" x14ac:dyDescent="0.25">
      <c r="A46476" s="2" t="str">
        <f t="shared" si="1471"/>
        <v>38300</v>
      </c>
      <c r="B46476" s="2" t="str">
        <f>"15618"</f>
        <v>15618</v>
      </c>
      <c r="C46476" s="1">
        <v>8.8043084913894001E-4</v>
      </c>
      <c r="D46476" s="1">
        <v>3.7626742712294E-4</v>
      </c>
      <c r="E46476" s="1">
        <v>1.5302887873554401E-4</v>
      </c>
      <c r="F46476" s="1">
        <v>8.1670653062460203E-4</v>
      </c>
    </row>
    <row r="46477" spans="1:6" x14ac:dyDescent="0.25">
      <c r="A46477" s="2" t="str">
        <f t="shared" si="1471"/>
        <v>38300</v>
      </c>
      <c r="B46477" s="2" t="str">
        <f>"15483"</f>
        <v>15483</v>
      </c>
      <c r="C46477" s="1">
        <v>0</v>
      </c>
      <c r="D46477" s="1">
        <v>0</v>
      </c>
      <c r="E46477" s="1">
        <v>4.3722536781583998E-5</v>
      </c>
      <c r="F46477" s="1">
        <v>1.5138211874413299E-6</v>
      </c>
    </row>
    <row r="46478" spans="1:6" x14ac:dyDescent="0.25">
      <c r="A46478" s="2" t="str">
        <f t="shared" si="1471"/>
        <v>38300</v>
      </c>
      <c r="B46478" s="2" t="str">
        <f>"15454"</f>
        <v>15454</v>
      </c>
      <c r="C46478" s="1">
        <v>0</v>
      </c>
      <c r="D46478" s="1">
        <v>0</v>
      </c>
      <c r="E46478" s="1">
        <v>1.3116761034475199E-4</v>
      </c>
      <c r="F46478" s="1">
        <v>4.5414635623240098E-6</v>
      </c>
    </row>
    <row r="46479" spans="1:6" x14ac:dyDescent="0.25">
      <c r="A46479" s="2" t="str">
        <f t="shared" si="1471"/>
        <v>38300</v>
      </c>
      <c r="B46479" s="2" t="str">
        <f>"15475"</f>
        <v>15475</v>
      </c>
      <c r="C46479" s="1">
        <v>0</v>
      </c>
      <c r="D46479" s="1">
        <v>0</v>
      </c>
      <c r="E46479" s="1">
        <v>5.0280917298821599E-4</v>
      </c>
      <c r="F46479" s="1">
        <v>1.74089436555754E-5</v>
      </c>
    </row>
    <row r="46480" spans="1:6" x14ac:dyDescent="0.25">
      <c r="A46480" s="2" t="str">
        <f t="shared" si="1471"/>
        <v>38300</v>
      </c>
      <c r="B46480" s="2" t="str">
        <f>"15434"</f>
        <v>15434</v>
      </c>
      <c r="C46480" s="1">
        <v>0</v>
      </c>
      <c r="D46480" s="1">
        <v>0</v>
      </c>
      <c r="E46480" s="1">
        <v>6.5583805172376105E-5</v>
      </c>
      <c r="F46480" s="1">
        <v>2.2707317811619998E-6</v>
      </c>
    </row>
    <row r="46481" spans="1:6" x14ac:dyDescent="0.25">
      <c r="A46481" s="2" t="str">
        <f t="shared" si="1471"/>
        <v>38300</v>
      </c>
      <c r="B46481" s="2" t="str">
        <f>"15490"</f>
        <v>15490</v>
      </c>
      <c r="C46481" s="1">
        <v>2.08612725376247E-4</v>
      </c>
      <c r="D46481" s="1">
        <v>9.9017743979721092E-6</v>
      </c>
      <c r="E46481" s="1">
        <v>2.1861268390791999E-5</v>
      </c>
      <c r="F46481" s="1">
        <v>1.86956916649005E-4</v>
      </c>
    </row>
    <row r="46482" spans="1:6" x14ac:dyDescent="0.25">
      <c r="A46482" s="2" t="str">
        <f t="shared" si="1471"/>
        <v>38300</v>
      </c>
      <c r="B46482" s="2" t="str">
        <f>"15421"</f>
        <v>15421</v>
      </c>
      <c r="C46482" s="1">
        <v>0</v>
      </c>
      <c r="D46482" s="1">
        <v>0</v>
      </c>
      <c r="E46482" s="1">
        <v>8.7445073563168104E-5</v>
      </c>
      <c r="F46482" s="1">
        <v>3.02764237488267E-6</v>
      </c>
    </row>
    <row r="46483" spans="1:6" x14ac:dyDescent="0.25">
      <c r="A46483" s="2" t="str">
        <f t="shared" si="1471"/>
        <v>38300</v>
      </c>
      <c r="B46483" s="2" t="str">
        <f>"15416"</f>
        <v>15416</v>
      </c>
      <c r="C46483" s="1">
        <v>0</v>
      </c>
      <c r="D46483" s="1">
        <v>0</v>
      </c>
      <c r="E46483" s="1">
        <v>1.5302887873554401E-4</v>
      </c>
      <c r="F46483" s="1">
        <v>5.2983741560446799E-6</v>
      </c>
    </row>
    <row r="46484" spans="1:6" x14ac:dyDescent="0.25">
      <c r="A46484" s="2" t="str">
        <f t="shared" si="1471"/>
        <v>38300</v>
      </c>
      <c r="B46484" s="2" t="str">
        <f>"15420"</f>
        <v>15420</v>
      </c>
      <c r="C46484" s="1">
        <v>0</v>
      </c>
      <c r="D46484" s="1">
        <v>0</v>
      </c>
      <c r="E46484" s="1">
        <v>2.40473952298712E-4</v>
      </c>
      <c r="F46484" s="1">
        <v>8.3260165309273596E-6</v>
      </c>
    </row>
    <row r="46485" spans="1:6" x14ac:dyDescent="0.25">
      <c r="A46485" s="2" t="str">
        <f t="shared" si="1471"/>
        <v>38300</v>
      </c>
      <c r="B46485" s="2" t="str">
        <f>"15473"</f>
        <v>15473</v>
      </c>
      <c r="C46485" s="1">
        <v>1.27807224812142E-3</v>
      </c>
      <c r="D46485" s="1">
        <v>5.94106463878326E-4</v>
      </c>
      <c r="E46485" s="1">
        <v>5.6839297816059205E-4</v>
      </c>
      <c r="F46485" s="1">
        <v>1.2012171122346999E-3</v>
      </c>
    </row>
    <row r="46486" spans="1:6" x14ac:dyDescent="0.25">
      <c r="A46486" s="2" t="str">
        <f t="shared" si="1471"/>
        <v>38300</v>
      </c>
      <c r="B46486" s="2" t="str">
        <f>"15431"</f>
        <v>15431</v>
      </c>
      <c r="C46486" s="1">
        <v>1.9132767098793001E-3</v>
      </c>
      <c r="D46486" s="1">
        <v>1.0990969581749E-3</v>
      </c>
      <c r="E46486" s="1">
        <v>4.5908663620663202E-4</v>
      </c>
      <c r="F46486" s="1">
        <v>1.8006903024614699E-3</v>
      </c>
    </row>
    <row r="46487" spans="1:6" x14ac:dyDescent="0.25">
      <c r="A46487" s="2" t="str">
        <f t="shared" si="1471"/>
        <v>38300</v>
      </c>
      <c r="B46487" s="2" t="str">
        <f>"15428"</f>
        <v>15428</v>
      </c>
      <c r="C46487" s="1">
        <v>5.3047235881388695E-4</v>
      </c>
      <c r="D46487" s="1">
        <v>2.07937262357414E-4</v>
      </c>
      <c r="E46487" s="1">
        <v>7.8700566206851299E-4</v>
      </c>
      <c r="F46487" s="1">
        <v>5.1469920373005504E-4</v>
      </c>
    </row>
    <row r="46488" spans="1:6" x14ac:dyDescent="0.25">
      <c r="A46488" s="2" t="str">
        <f t="shared" si="1471"/>
        <v>38300</v>
      </c>
      <c r="B46488" s="2" t="str">
        <f>"15427"</f>
        <v>15427</v>
      </c>
      <c r="C46488" s="1">
        <v>4.4447282712816903E-4</v>
      </c>
      <c r="D46488" s="1">
        <v>1.4852661596958101E-4</v>
      </c>
      <c r="E46488" s="1">
        <v>0</v>
      </c>
      <c r="F46488" s="1">
        <v>4.0646098882799901E-4</v>
      </c>
    </row>
    <row r="46489" spans="1:6" x14ac:dyDescent="0.25">
      <c r="A46489" s="2" t="str">
        <f t="shared" ref="A46489:A46552" si="1472">"38300"</f>
        <v>38300</v>
      </c>
      <c r="B46489" s="2" t="str">
        <f>"15413"</f>
        <v>15413</v>
      </c>
      <c r="C46489" s="1">
        <v>1.28573557272707E-4</v>
      </c>
      <c r="D46489" s="1">
        <v>3.9607097591888403E-5</v>
      </c>
      <c r="E46489" s="1">
        <v>4.3722536781583998E-5</v>
      </c>
      <c r="F46489" s="1">
        <v>1.1883496321414499E-4</v>
      </c>
    </row>
    <row r="46490" spans="1:6" x14ac:dyDescent="0.25">
      <c r="A46490" s="2" t="str">
        <f t="shared" si="1472"/>
        <v>38300</v>
      </c>
      <c r="B46490" s="2" t="str">
        <f>"15222"</f>
        <v>15222</v>
      </c>
      <c r="C46490" s="1">
        <v>3.5915447985184201E-3</v>
      </c>
      <c r="D46490" s="1">
        <v>3.0556875792141901E-2</v>
      </c>
      <c r="E46490" s="1">
        <v>1.1520888441947401E-2</v>
      </c>
      <c r="F46490" s="1">
        <v>5.9273668594265602E-3</v>
      </c>
    </row>
    <row r="46491" spans="1:6" x14ac:dyDescent="0.25">
      <c r="A46491" s="2" t="str">
        <f t="shared" si="1472"/>
        <v>38300</v>
      </c>
      <c r="B46491" s="2" t="str">
        <f>"15228"</f>
        <v>15228</v>
      </c>
      <c r="C46491" s="1">
        <v>6.6977457053451596E-3</v>
      </c>
      <c r="D46491" s="1">
        <v>5.1588244613434697E-3</v>
      </c>
      <c r="E46491" s="1">
        <v>7.1267734953982002E-3</v>
      </c>
      <c r="F46491" s="1">
        <v>6.5949620030881896E-3</v>
      </c>
    </row>
    <row r="46492" spans="1:6" x14ac:dyDescent="0.25">
      <c r="A46492" s="2" t="str">
        <f t="shared" si="1472"/>
        <v>38300</v>
      </c>
      <c r="B46492" s="2" t="str">
        <f>"15365"</f>
        <v>15365</v>
      </c>
      <c r="C46492" s="1">
        <v>0</v>
      </c>
      <c r="D46492" s="1">
        <v>0</v>
      </c>
      <c r="E46492" s="1">
        <v>2.1861268390791999E-5</v>
      </c>
      <c r="F46492" s="1">
        <v>7.5691059372066897E-7</v>
      </c>
    </row>
    <row r="46493" spans="1:6" x14ac:dyDescent="0.25">
      <c r="A46493" s="2" t="str">
        <f t="shared" si="1472"/>
        <v>38300</v>
      </c>
      <c r="B46493" s="2" t="str">
        <f>"15361"</f>
        <v>15361</v>
      </c>
      <c r="C46493" s="1">
        <v>5.4494752751346401E-5</v>
      </c>
      <c r="D46493" s="1">
        <v>1.9803548795944201E-5</v>
      </c>
      <c r="E46493" s="1">
        <v>0</v>
      </c>
      <c r="F46493" s="1">
        <v>4.9956099185564202E-5</v>
      </c>
    </row>
    <row r="46494" spans="1:6" x14ac:dyDescent="0.25">
      <c r="A46494" s="2" t="str">
        <f t="shared" si="1472"/>
        <v>38300</v>
      </c>
      <c r="B46494" s="2" t="str">
        <f>"15332"</f>
        <v>15332</v>
      </c>
      <c r="C46494" s="1">
        <v>3.3437639696021399E-3</v>
      </c>
      <c r="D46494" s="1">
        <v>1.9902566539923899E-3</v>
      </c>
      <c r="E46494" s="1">
        <v>1.0274796143672201E-3</v>
      </c>
      <c r="F46494" s="1">
        <v>3.1601017287837901E-3</v>
      </c>
    </row>
    <row r="46495" spans="1:6" x14ac:dyDescent="0.25">
      <c r="A46495" s="2" t="str">
        <f t="shared" si="1472"/>
        <v>38300</v>
      </c>
      <c r="B46495" s="2" t="str">
        <f>"15089"</f>
        <v>15089</v>
      </c>
      <c r="C46495" s="1">
        <v>2.7911531174830201E-3</v>
      </c>
      <c r="D46495" s="1">
        <v>2.01996197718631E-3</v>
      </c>
      <c r="E46495" s="1">
        <v>1.1149246879303899E-3</v>
      </c>
      <c r="F46495" s="1">
        <v>2.6741651276151199E-3</v>
      </c>
    </row>
    <row r="46496" spans="1:6" x14ac:dyDescent="0.25">
      <c r="A46496" s="2" t="str">
        <f t="shared" si="1472"/>
        <v>38300</v>
      </c>
      <c r="B46496" s="2" t="str">
        <f>"15028"</f>
        <v>15028</v>
      </c>
      <c r="C46496" s="1">
        <v>0</v>
      </c>
      <c r="D46496" s="1">
        <v>0</v>
      </c>
      <c r="E46496" s="1">
        <v>2.1861268390791999E-5</v>
      </c>
      <c r="F46496" s="1">
        <v>7.5691059372066897E-7</v>
      </c>
    </row>
    <row r="46497" spans="1:6" x14ac:dyDescent="0.25">
      <c r="A46497" s="2" t="str">
        <f t="shared" si="1472"/>
        <v>38300</v>
      </c>
      <c r="B46497" s="2" t="str">
        <f>"15054"</f>
        <v>15054</v>
      </c>
      <c r="C46497" s="1">
        <v>0</v>
      </c>
      <c r="D46497" s="1">
        <v>0</v>
      </c>
      <c r="E46497" s="1">
        <v>7.6077213999956204E-3</v>
      </c>
      <c r="F46497" s="1">
        <v>2.6340488661479299E-4</v>
      </c>
    </row>
    <row r="46498" spans="1:6" x14ac:dyDescent="0.25">
      <c r="A46498" s="2" t="str">
        <f t="shared" si="1472"/>
        <v>38300</v>
      </c>
      <c r="B46498" s="2" t="str">
        <f>"15053"</f>
        <v>15053</v>
      </c>
      <c r="C46498" s="1">
        <v>8.1742129127019601E-5</v>
      </c>
      <c r="D46498" s="1">
        <v>9.9017743979721092E-6</v>
      </c>
      <c r="E46498" s="1">
        <v>6.5583805172376105E-5</v>
      </c>
      <c r="F46498" s="1">
        <v>7.5691059372066905E-5</v>
      </c>
    </row>
    <row r="46499" spans="1:6" x14ac:dyDescent="0.25">
      <c r="A46499" s="2" t="str">
        <f t="shared" si="1472"/>
        <v>38300</v>
      </c>
      <c r="B46499" s="2" t="str">
        <f>"15056"</f>
        <v>15056</v>
      </c>
      <c r="C46499" s="1">
        <v>5.1770015113778995E-4</v>
      </c>
      <c r="D46499" s="1">
        <v>1.91104245880861E-3</v>
      </c>
      <c r="E46499" s="1">
        <v>4.3722536781583998E-4</v>
      </c>
      <c r="F46499" s="1">
        <v>6.21423597444669E-4</v>
      </c>
    </row>
    <row r="46500" spans="1:6" x14ac:dyDescent="0.25">
      <c r="A46500" s="2" t="str">
        <f t="shared" si="1472"/>
        <v>38300</v>
      </c>
      <c r="B46500" s="2" t="str">
        <f>"15045"</f>
        <v>15045</v>
      </c>
      <c r="C46500" s="1">
        <v>2.0690976435276801E-3</v>
      </c>
      <c r="D46500" s="1">
        <v>1.4753643852978399E-3</v>
      </c>
      <c r="E46500" s="1">
        <v>2.77638108563058E-3</v>
      </c>
      <c r="F46500" s="1">
        <v>2.0482000666081301E-3</v>
      </c>
    </row>
    <row r="46501" spans="1:6" x14ac:dyDescent="0.25">
      <c r="A46501" s="2" t="str">
        <f t="shared" si="1472"/>
        <v>38300</v>
      </c>
      <c r="B46501" s="2" t="str">
        <f>"15044"</f>
        <v>15044</v>
      </c>
      <c r="C46501" s="1">
        <v>1.04510718010941E-2</v>
      </c>
      <c r="D46501" s="1">
        <v>7.2480988593155802E-3</v>
      </c>
      <c r="E46501" s="1">
        <v>2.82010362241217E-3</v>
      </c>
      <c r="F46501" s="1">
        <v>9.9420206485209897E-3</v>
      </c>
    </row>
    <row r="46502" spans="1:6" x14ac:dyDescent="0.25">
      <c r="A46502" s="2" t="str">
        <f t="shared" si="1472"/>
        <v>38300</v>
      </c>
      <c r="B46502" s="2" t="str">
        <f>"15208"</f>
        <v>15208</v>
      </c>
      <c r="C46502" s="1">
        <v>5.4929007812333603E-3</v>
      </c>
      <c r="D46502" s="1">
        <v>3.7725760456273701E-3</v>
      </c>
      <c r="E46502" s="1">
        <v>6.3616291017204799E-3</v>
      </c>
      <c r="F46502" s="1">
        <v>5.3914741590723302E-3</v>
      </c>
    </row>
    <row r="46503" spans="1:6" x14ac:dyDescent="0.25">
      <c r="A46503" s="2" t="str">
        <f t="shared" si="1472"/>
        <v>38300</v>
      </c>
      <c r="B46503" s="2" t="str">
        <f>"15127"</f>
        <v>15127</v>
      </c>
      <c r="C46503" s="1">
        <v>3.0823594524980298E-4</v>
      </c>
      <c r="D46503" s="1">
        <v>1.6634980988593101E-3</v>
      </c>
      <c r="E46503" s="1">
        <v>0</v>
      </c>
      <c r="F46503" s="1">
        <v>4.0116261467195401E-4</v>
      </c>
    </row>
    <row r="46504" spans="1:6" x14ac:dyDescent="0.25">
      <c r="A46504" s="2" t="str">
        <f t="shared" si="1472"/>
        <v>38300</v>
      </c>
      <c r="B46504" s="2" t="str">
        <f>"15136"</f>
        <v>15136</v>
      </c>
      <c r="C46504" s="1">
        <v>1.00100048960129E-2</v>
      </c>
      <c r="D46504" s="1">
        <v>9.4958016476552505E-3</v>
      </c>
      <c r="E46504" s="1">
        <v>1.3903766696543699E-2</v>
      </c>
      <c r="F46504" s="1">
        <v>1.0105513336764601E-2</v>
      </c>
    </row>
    <row r="46505" spans="1:6" x14ac:dyDescent="0.25">
      <c r="A46505" s="2" t="str">
        <f t="shared" si="1472"/>
        <v>38300</v>
      </c>
      <c r="B46505" s="2" t="str">
        <f>"15126"</f>
        <v>15126</v>
      </c>
      <c r="C46505" s="1">
        <v>2.9129148306618101E-3</v>
      </c>
      <c r="D46505" s="1">
        <v>2.3368187579214101E-3</v>
      </c>
      <c r="E46505" s="1">
        <v>1.66145639770019E-3</v>
      </c>
      <c r="F46505" s="1">
        <v>2.8255472463592601E-3</v>
      </c>
    </row>
    <row r="46506" spans="1:6" x14ac:dyDescent="0.25">
      <c r="A46506" s="2" t="str">
        <f t="shared" si="1472"/>
        <v>38300</v>
      </c>
      <c r="B46506" s="2" t="str">
        <f>"15147"</f>
        <v>15147</v>
      </c>
      <c r="C46506" s="1">
        <v>7.4947314643336099E-3</v>
      </c>
      <c r="D46506" s="1">
        <v>4.1290399239543698E-3</v>
      </c>
      <c r="E46506" s="1">
        <v>4.0661959206873101E-3</v>
      </c>
      <c r="F46506" s="1">
        <v>7.1187441339428904E-3</v>
      </c>
    </row>
    <row r="46507" spans="1:6" x14ac:dyDescent="0.25">
      <c r="A46507" s="2" t="str">
        <f t="shared" si="1472"/>
        <v>38300</v>
      </c>
      <c r="B46507" s="2" t="str">
        <f>"15144"</f>
        <v>15144</v>
      </c>
      <c r="C46507" s="1">
        <v>1.7787427890244101E-3</v>
      </c>
      <c r="D46507" s="1">
        <v>1.43575728770595E-3</v>
      </c>
      <c r="E46507" s="1">
        <v>1.7707627396541499E-3</v>
      </c>
      <c r="F46507" s="1">
        <v>1.7522480244633501E-3</v>
      </c>
    </row>
    <row r="46508" spans="1:6" x14ac:dyDescent="0.25">
      <c r="A46508" s="2" t="str">
        <f t="shared" si="1472"/>
        <v>38300</v>
      </c>
      <c r="B46508" s="2" t="str">
        <f>"15020"</f>
        <v>15020</v>
      </c>
      <c r="C46508" s="1">
        <v>0</v>
      </c>
      <c r="D46508" s="1">
        <v>0</v>
      </c>
      <c r="E46508" s="1">
        <v>2.1861268390791999E-5</v>
      </c>
      <c r="F46508" s="1">
        <v>7.5691059372066897E-7</v>
      </c>
    </row>
    <row r="46509" spans="1:6" x14ac:dyDescent="0.25">
      <c r="A46509" s="2" t="str">
        <f t="shared" si="1472"/>
        <v>38300</v>
      </c>
      <c r="B46509" s="2" t="str">
        <f>"15017"</f>
        <v>15017</v>
      </c>
      <c r="C46509" s="1">
        <v>7.3218809204504296E-3</v>
      </c>
      <c r="D46509" s="1">
        <v>1.1654388466413101E-2</v>
      </c>
      <c r="E46509" s="1">
        <v>8.9631200402247296E-3</v>
      </c>
      <c r="F46509" s="1">
        <v>7.70989130763874E-3</v>
      </c>
    </row>
    <row r="46510" spans="1:6" x14ac:dyDescent="0.25">
      <c r="A46510" s="2" t="str">
        <f t="shared" si="1472"/>
        <v>38300</v>
      </c>
      <c r="B46510" s="2" t="str">
        <f>"15096"</f>
        <v>15096</v>
      </c>
      <c r="C46510" s="1">
        <v>0</v>
      </c>
      <c r="D46510" s="1">
        <v>0</v>
      </c>
      <c r="E46510" s="1">
        <v>2.1861268390791999E-5</v>
      </c>
      <c r="F46510" s="1">
        <v>7.5691059372066897E-7</v>
      </c>
    </row>
    <row r="46511" spans="1:6" x14ac:dyDescent="0.25">
      <c r="A46511" s="2" t="str">
        <f t="shared" si="1472"/>
        <v>38300</v>
      </c>
      <c r="B46511" s="2" t="str">
        <f>"15110"</f>
        <v>15110</v>
      </c>
      <c r="C46511" s="1">
        <v>2.9324988824318199E-3</v>
      </c>
      <c r="D46511" s="1">
        <v>2.2080956907477799E-3</v>
      </c>
      <c r="E46511" s="1">
        <v>3.9568895787333502E-3</v>
      </c>
      <c r="F46511" s="1">
        <v>2.9125919646371301E-3</v>
      </c>
    </row>
    <row r="46512" spans="1:6" x14ac:dyDescent="0.25">
      <c r="A46512" s="2" t="str">
        <f t="shared" si="1472"/>
        <v>38300</v>
      </c>
      <c r="B46512" s="2" t="str">
        <f>"16261"</f>
        <v>16261</v>
      </c>
      <c r="C46512" s="1">
        <v>8.5148051173978698E-7</v>
      </c>
      <c r="D46512" s="1">
        <v>0</v>
      </c>
      <c r="E46512" s="1">
        <v>0</v>
      </c>
      <c r="F46512" s="1">
        <v>7.5691059372066897E-7</v>
      </c>
    </row>
    <row r="46513" spans="1:6" x14ac:dyDescent="0.25">
      <c r="A46513" s="2" t="str">
        <f t="shared" si="1472"/>
        <v>38300</v>
      </c>
      <c r="B46513" s="2" t="str">
        <f>"16259"</f>
        <v>16259</v>
      </c>
      <c r="C46513" s="1">
        <v>6.8203588990356902E-4</v>
      </c>
      <c r="D46513" s="1">
        <v>1.6833016476552499E-4</v>
      </c>
      <c r="E46513" s="1">
        <v>1.96751415517128E-4</v>
      </c>
      <c r="F46513" s="1">
        <v>6.25965061006993E-4</v>
      </c>
    </row>
    <row r="46514" spans="1:6" x14ac:dyDescent="0.25">
      <c r="A46514" s="2" t="str">
        <f t="shared" si="1472"/>
        <v>38300</v>
      </c>
      <c r="B46514" s="2" t="str">
        <f>"16238"</f>
        <v>16238</v>
      </c>
      <c r="C46514" s="1">
        <v>2.55444153521936E-6</v>
      </c>
      <c r="D46514" s="1">
        <v>0</v>
      </c>
      <c r="E46514" s="1">
        <v>2.1861268390791999E-5</v>
      </c>
      <c r="F46514" s="1">
        <v>3.02764237488267E-6</v>
      </c>
    </row>
    <row r="46515" spans="1:6" x14ac:dyDescent="0.25">
      <c r="A46515" s="2" t="str">
        <f t="shared" si="1472"/>
        <v>38300</v>
      </c>
      <c r="B46515" s="2" t="str">
        <f>"16210"</f>
        <v>16210</v>
      </c>
      <c r="C46515" s="1">
        <v>4.1211656768205698E-4</v>
      </c>
      <c r="D46515" s="1">
        <v>1.6833016476552499E-4</v>
      </c>
      <c r="E46515" s="1">
        <v>2.1861268390791999E-5</v>
      </c>
      <c r="F46515" s="1">
        <v>3.79969118047776E-4</v>
      </c>
    </row>
    <row r="46516" spans="1:6" x14ac:dyDescent="0.25">
      <c r="A46516" s="2" t="str">
        <f t="shared" si="1472"/>
        <v>38300</v>
      </c>
      <c r="B46516" s="2" t="str">
        <f>"16063"</f>
        <v>16063</v>
      </c>
      <c r="C46516" s="1">
        <v>3.3216254762969098E-3</v>
      </c>
      <c r="D46516" s="1">
        <v>3.8319866920151998E-3</v>
      </c>
      <c r="E46516" s="1">
        <v>7.4109699844784899E-3</v>
      </c>
      <c r="F46516" s="1">
        <v>3.5022253171455302E-3</v>
      </c>
    </row>
    <row r="46517" spans="1:6" x14ac:dyDescent="0.25">
      <c r="A46517" s="2" t="str">
        <f t="shared" si="1472"/>
        <v>38300</v>
      </c>
      <c r="B46517" s="2" t="str">
        <f>"16046"</f>
        <v>16046</v>
      </c>
      <c r="C46517" s="1">
        <v>6.6423994720820802E-3</v>
      </c>
      <c r="D46517" s="1">
        <v>5.6143060836501904E-3</v>
      </c>
      <c r="E46517" s="1">
        <v>3.0168550379293E-3</v>
      </c>
      <c r="F46517" s="1">
        <v>6.4382815101880096E-3</v>
      </c>
    </row>
    <row r="46518" spans="1:6" x14ac:dyDescent="0.25">
      <c r="A46518" s="2" t="str">
        <f t="shared" si="1472"/>
        <v>38300</v>
      </c>
      <c r="B46518" s="2" t="str">
        <f>"16040"</f>
        <v>16040</v>
      </c>
      <c r="C46518" s="1">
        <v>3.6954254209506702E-4</v>
      </c>
      <c r="D46518" s="1">
        <v>8.9115969581748998E-5</v>
      </c>
      <c r="E46518" s="1">
        <v>6.5583805172376105E-5</v>
      </c>
      <c r="F46518" s="1">
        <v>3.3758212479941799E-4</v>
      </c>
    </row>
    <row r="46519" spans="1:6" x14ac:dyDescent="0.25">
      <c r="A46519" s="2" t="str">
        <f t="shared" si="1472"/>
        <v>38300</v>
      </c>
      <c r="B46519" s="2" t="str">
        <f>"16034"</f>
        <v>16034</v>
      </c>
      <c r="C46519" s="1">
        <v>6.7777848734486995E-4</v>
      </c>
      <c r="D46519" s="1">
        <v>3.1685678073510701E-4</v>
      </c>
      <c r="E46519" s="1">
        <v>2.6233522068950399E-4</v>
      </c>
      <c r="F46519" s="1">
        <v>6.3580489872536205E-4</v>
      </c>
    </row>
    <row r="46520" spans="1:6" x14ac:dyDescent="0.25">
      <c r="A46520" s="2" t="str">
        <f t="shared" si="1472"/>
        <v>38300</v>
      </c>
      <c r="B46520" s="2" t="str">
        <f>"16028"</f>
        <v>16028</v>
      </c>
      <c r="C46520" s="1">
        <v>4.5128467122208701E-4</v>
      </c>
      <c r="D46520" s="1">
        <v>1.8813371356147E-4</v>
      </c>
      <c r="E46520" s="1">
        <v>4.3722536781583998E-5</v>
      </c>
      <c r="F46520" s="1">
        <v>4.1705773714008902E-4</v>
      </c>
    </row>
    <row r="46521" spans="1:6" x14ac:dyDescent="0.25">
      <c r="A46521" s="2" t="str">
        <f t="shared" si="1472"/>
        <v>38300</v>
      </c>
      <c r="B46521" s="2" t="str">
        <f>"16002"</f>
        <v>16002</v>
      </c>
      <c r="C46521" s="1">
        <v>5.5252570406794802E-3</v>
      </c>
      <c r="D46521" s="1">
        <v>3.5547370088719801E-3</v>
      </c>
      <c r="E46521" s="1">
        <v>3.16988391666484E-3</v>
      </c>
      <c r="F46521" s="1">
        <v>5.2930757818886402E-3</v>
      </c>
    </row>
    <row r="46522" spans="1:6" x14ac:dyDescent="0.25">
      <c r="A46522" s="2" t="str">
        <f t="shared" si="1472"/>
        <v>38300</v>
      </c>
      <c r="B46522" s="2" t="str">
        <f>"15660"</f>
        <v>15660</v>
      </c>
      <c r="C46522" s="1">
        <v>1.10692466526172E-4</v>
      </c>
      <c r="D46522" s="1">
        <v>2.9705323193916299E-5</v>
      </c>
      <c r="E46522" s="1">
        <v>2.1861268390791999E-5</v>
      </c>
      <c r="F46522" s="1">
        <v>1.01426019558569E-4</v>
      </c>
    </row>
    <row r="46523" spans="1:6" x14ac:dyDescent="0.25">
      <c r="A46523" s="2" t="str">
        <f t="shared" si="1472"/>
        <v>38300</v>
      </c>
      <c r="B46523" s="2" t="str">
        <f>"15261"</f>
        <v>15261</v>
      </c>
      <c r="C46523" s="1">
        <v>0</v>
      </c>
      <c r="D46523" s="1">
        <v>9.6047211660329503E-4</v>
      </c>
      <c r="E46523" s="1">
        <v>0</v>
      </c>
      <c r="F46523" s="1">
        <v>7.3420327590904895E-5</v>
      </c>
    </row>
    <row r="46524" spans="1:6" x14ac:dyDescent="0.25">
      <c r="A46524" s="2" t="str">
        <f t="shared" si="1472"/>
        <v>38300</v>
      </c>
      <c r="B46524" s="2" t="str">
        <f>"15275"</f>
        <v>15275</v>
      </c>
      <c r="C46524" s="1">
        <v>0</v>
      </c>
      <c r="D46524" s="1">
        <v>2.5744613434727499E-3</v>
      </c>
      <c r="E46524" s="1">
        <v>4.80947904597424E-4</v>
      </c>
      <c r="F46524" s="1">
        <v>2.13448787429228E-4</v>
      </c>
    </row>
    <row r="46525" spans="1:6" x14ac:dyDescent="0.25">
      <c r="A46525" s="2" t="str">
        <f t="shared" si="1472"/>
        <v>38300</v>
      </c>
      <c r="B46525" s="2" t="str">
        <f>"15243"</f>
        <v>15243</v>
      </c>
      <c r="C46525" s="1">
        <v>5.1267641611852603E-3</v>
      </c>
      <c r="D46525" s="1">
        <v>1.2971324461343401E-3</v>
      </c>
      <c r="E46525" s="1">
        <v>1.00561834597643E-3</v>
      </c>
      <c r="F46525" s="1">
        <v>4.69133185988071E-3</v>
      </c>
    </row>
    <row r="46526" spans="1:6" x14ac:dyDescent="0.25">
      <c r="A46526" s="2" t="str">
        <f t="shared" si="1472"/>
        <v>38300</v>
      </c>
      <c r="B46526" s="2" t="str">
        <f>"15234"</f>
        <v>15234</v>
      </c>
      <c r="C46526" s="1">
        <v>6.2149562551886998E-3</v>
      </c>
      <c r="D46526" s="1">
        <v>8.5353295310519606E-3</v>
      </c>
      <c r="E46526" s="1">
        <v>6.2304614913757201E-3</v>
      </c>
      <c r="F46526" s="1">
        <v>6.3928668745647701E-3</v>
      </c>
    </row>
    <row r="46527" spans="1:6" x14ac:dyDescent="0.25">
      <c r="A46527" s="2" t="str">
        <f t="shared" si="1472"/>
        <v>38300</v>
      </c>
      <c r="B46527" s="2" t="str">
        <f>"15229"</f>
        <v>15229</v>
      </c>
      <c r="C46527" s="1">
        <v>6.0054920493007201E-3</v>
      </c>
      <c r="D46527" s="1">
        <v>2.82200570342205E-3</v>
      </c>
      <c r="E46527" s="1">
        <v>4.0443346522965199E-3</v>
      </c>
      <c r="F46527" s="1">
        <v>5.6942383965605898E-3</v>
      </c>
    </row>
    <row r="46528" spans="1:6" x14ac:dyDescent="0.25">
      <c r="A46528" s="2" t="str">
        <f t="shared" si="1472"/>
        <v>38300</v>
      </c>
      <c r="B46528" s="2" t="str">
        <f>"15617"</f>
        <v>15617</v>
      </c>
      <c r="C46528" s="1">
        <v>0</v>
      </c>
      <c r="D46528" s="1">
        <v>0</v>
      </c>
      <c r="E46528" s="1">
        <v>2.1861268390791999E-5</v>
      </c>
      <c r="F46528" s="1">
        <v>7.5691059372066897E-7</v>
      </c>
    </row>
    <row r="46529" spans="1:6" x14ac:dyDescent="0.25">
      <c r="A46529" s="2" t="str">
        <f t="shared" si="1472"/>
        <v>38300</v>
      </c>
      <c r="B46529" s="2" t="str">
        <f>"15628"</f>
        <v>15628</v>
      </c>
      <c r="C46529" s="1">
        <v>2.5033527045149699E-4</v>
      </c>
      <c r="D46529" s="1">
        <v>3.2675855513307901E-4</v>
      </c>
      <c r="E46529" s="1">
        <v>6.5583805172376105E-5</v>
      </c>
      <c r="F46529" s="1">
        <v>2.4978049592782101E-4</v>
      </c>
    </row>
    <row r="46530" spans="1:6" x14ac:dyDescent="0.25">
      <c r="A46530" s="2" t="str">
        <f t="shared" si="1472"/>
        <v>38300</v>
      </c>
      <c r="B46530" s="2" t="str">
        <f>"15642"</f>
        <v>15642</v>
      </c>
      <c r="C46530" s="1">
        <v>1.8338335781339799E-2</v>
      </c>
      <c r="D46530" s="1">
        <v>1.4585313688212901E-2</v>
      </c>
      <c r="E46530" s="1">
        <v>7.1486347637889896E-3</v>
      </c>
      <c r="F46530" s="1">
        <v>1.7664022525659202E-2</v>
      </c>
    </row>
    <row r="46531" spans="1:6" x14ac:dyDescent="0.25">
      <c r="A46531" s="2" t="str">
        <f t="shared" si="1472"/>
        <v>38300</v>
      </c>
      <c r="B46531" s="2" t="str">
        <f>"15455"</f>
        <v>15455</v>
      </c>
      <c r="C46531" s="1">
        <v>0</v>
      </c>
      <c r="D46531" s="1">
        <v>0</v>
      </c>
      <c r="E46531" s="1">
        <v>1.0930634195395999E-4</v>
      </c>
      <c r="F46531" s="1">
        <v>3.7845529686033401E-6</v>
      </c>
    </row>
    <row r="46532" spans="1:6" x14ac:dyDescent="0.25">
      <c r="A46532" s="2" t="str">
        <f t="shared" si="1472"/>
        <v>38300</v>
      </c>
      <c r="B46532" s="2" t="str">
        <f>"15484"</f>
        <v>15484</v>
      </c>
      <c r="C46532" s="1">
        <v>0</v>
      </c>
      <c r="D46532" s="1">
        <v>0</v>
      </c>
      <c r="E46532" s="1">
        <v>5.2467044137900797E-4</v>
      </c>
      <c r="F46532" s="1">
        <v>1.8165854249295999E-5</v>
      </c>
    </row>
    <row r="46533" spans="1:6" x14ac:dyDescent="0.25">
      <c r="A46533" s="2" t="str">
        <f t="shared" si="1472"/>
        <v>38300</v>
      </c>
      <c r="B46533" s="2" t="str">
        <f>"15482"</f>
        <v>15482</v>
      </c>
      <c r="C46533" s="1">
        <v>0</v>
      </c>
      <c r="D46533" s="1">
        <v>0</v>
      </c>
      <c r="E46533" s="1">
        <v>1.7489014712633599E-4</v>
      </c>
      <c r="F46533" s="1">
        <v>6.0552847497653501E-6</v>
      </c>
    </row>
    <row r="46534" spans="1:6" x14ac:dyDescent="0.25">
      <c r="A46534" s="2" t="str">
        <f t="shared" si="1472"/>
        <v>38300</v>
      </c>
      <c r="B46534" s="2" t="str">
        <f>"15432"</f>
        <v>15432</v>
      </c>
      <c r="C46534" s="1">
        <v>0</v>
      </c>
      <c r="D46534" s="1">
        <v>0</v>
      </c>
      <c r="E46534" s="1">
        <v>6.5583805172376105E-5</v>
      </c>
      <c r="F46534" s="1">
        <v>2.2707317811619998E-6</v>
      </c>
    </row>
    <row r="46535" spans="1:6" x14ac:dyDescent="0.25">
      <c r="A46535" s="2" t="str">
        <f t="shared" si="1472"/>
        <v>38300</v>
      </c>
      <c r="B46535" s="2" t="str">
        <f>"15444"</f>
        <v>15444</v>
      </c>
      <c r="C46535" s="1">
        <v>1.1239542754965099E-4</v>
      </c>
      <c r="D46535" s="1">
        <v>1.9803548795944201E-5</v>
      </c>
      <c r="E46535" s="1">
        <v>1.3116761034475199E-4</v>
      </c>
      <c r="F46535" s="1">
        <v>1.0596748312089301E-4</v>
      </c>
    </row>
    <row r="46536" spans="1:6" x14ac:dyDescent="0.25">
      <c r="A46536" s="2" t="str">
        <f t="shared" si="1472"/>
        <v>38300</v>
      </c>
      <c r="B46536" s="2" t="str">
        <f>"15467"</f>
        <v>15467</v>
      </c>
      <c r="C46536" s="1">
        <v>5.4494752751346401E-5</v>
      </c>
      <c r="D46536" s="1">
        <v>0</v>
      </c>
      <c r="E46536" s="1">
        <v>0</v>
      </c>
      <c r="F46536" s="1">
        <v>4.8442277998122801E-5</v>
      </c>
    </row>
    <row r="46537" spans="1:6" x14ac:dyDescent="0.25">
      <c r="A46537" s="2" t="str">
        <f t="shared" si="1472"/>
        <v>38300</v>
      </c>
      <c r="B46537" s="2" t="str">
        <f>"15463"</f>
        <v>15463</v>
      </c>
      <c r="C46537" s="1">
        <v>0</v>
      </c>
      <c r="D46537" s="1">
        <v>0</v>
      </c>
      <c r="E46537" s="1">
        <v>2.1861268390791999E-5</v>
      </c>
      <c r="F46537" s="1">
        <v>7.5691059372066897E-7</v>
      </c>
    </row>
    <row r="46538" spans="1:6" x14ac:dyDescent="0.25">
      <c r="A46538" s="2" t="str">
        <f t="shared" si="1472"/>
        <v>38300</v>
      </c>
      <c r="B46538" s="2" t="str">
        <f>"15430"</f>
        <v>15430</v>
      </c>
      <c r="C46538" s="1">
        <v>0</v>
      </c>
      <c r="D46538" s="1">
        <v>0</v>
      </c>
      <c r="E46538" s="1">
        <v>1.3116761034475199E-4</v>
      </c>
      <c r="F46538" s="1">
        <v>4.5414635623240098E-6</v>
      </c>
    </row>
    <row r="46539" spans="1:6" x14ac:dyDescent="0.25">
      <c r="A46539" s="2" t="str">
        <f t="shared" si="1472"/>
        <v>38300</v>
      </c>
      <c r="B46539" s="2" t="str">
        <f>"15447"</f>
        <v>15447</v>
      </c>
      <c r="C46539" s="1">
        <v>0</v>
      </c>
      <c r="D46539" s="1">
        <v>0</v>
      </c>
      <c r="E46539" s="1">
        <v>4.3722536781583998E-5</v>
      </c>
      <c r="F46539" s="1">
        <v>1.5138211874413299E-6</v>
      </c>
    </row>
    <row r="46540" spans="1:6" x14ac:dyDescent="0.25">
      <c r="A46540" s="2" t="str">
        <f t="shared" si="1472"/>
        <v>38300</v>
      </c>
      <c r="B46540" s="2" t="str">
        <f>"15429"</f>
        <v>15429</v>
      </c>
      <c r="C46540" s="1">
        <v>1.0813802499095301E-4</v>
      </c>
      <c r="D46540" s="1">
        <v>9.9017743979721092E-6</v>
      </c>
      <c r="E46540" s="1">
        <v>2.1861268390791999E-5</v>
      </c>
      <c r="F46540" s="1">
        <v>9.7641466589966299E-5</v>
      </c>
    </row>
    <row r="46541" spans="1:6" x14ac:dyDescent="0.25">
      <c r="A46541" s="2" t="str">
        <f t="shared" si="1472"/>
        <v>38300</v>
      </c>
      <c r="B46541" s="2" t="str">
        <f>"15459"</f>
        <v>15459</v>
      </c>
      <c r="C46541" s="1">
        <v>5.9603635821785098E-4</v>
      </c>
      <c r="D46541" s="1">
        <v>6.1391001267427098E-4</v>
      </c>
      <c r="E46541" s="1">
        <v>6.5583805172376105E-5</v>
      </c>
      <c r="F46541" s="1">
        <v>5.7903660419631202E-4</v>
      </c>
    </row>
    <row r="46542" spans="1:6" x14ac:dyDescent="0.25">
      <c r="A46542" s="2" t="str">
        <f t="shared" si="1472"/>
        <v>38300</v>
      </c>
      <c r="B46542" s="2" t="str">
        <f>"15486"</f>
        <v>15486</v>
      </c>
      <c r="C46542" s="1">
        <v>7.2120399344359997E-4</v>
      </c>
      <c r="D46542" s="1">
        <v>1.8813371356147E-4</v>
      </c>
      <c r="E46542" s="1">
        <v>6.3397678333296801E-4</v>
      </c>
      <c r="F46542" s="1">
        <v>6.7743498137999895E-4</v>
      </c>
    </row>
    <row r="46543" spans="1:6" x14ac:dyDescent="0.25">
      <c r="A46543" s="2" t="str">
        <f t="shared" si="1472"/>
        <v>38300</v>
      </c>
      <c r="B46543" s="2" t="str">
        <f>"15478"</f>
        <v>15478</v>
      </c>
      <c r="C46543" s="1">
        <v>2.3824424718479199E-3</v>
      </c>
      <c r="D46543" s="1">
        <v>9.9017743979721109E-4</v>
      </c>
      <c r="E46543" s="1">
        <v>4.5908663620663202E-4</v>
      </c>
      <c r="F46543" s="1">
        <v>2.20942202307063E-3</v>
      </c>
    </row>
    <row r="46544" spans="1:6" x14ac:dyDescent="0.25">
      <c r="A46544" s="2" t="str">
        <f t="shared" si="1472"/>
        <v>38300</v>
      </c>
      <c r="B46544" s="2" t="str">
        <f>"15456"</f>
        <v>15456</v>
      </c>
      <c r="C46544" s="1">
        <v>1.05668731506907E-3</v>
      </c>
      <c r="D46544" s="1">
        <v>1.4060519645120401E-3</v>
      </c>
      <c r="E46544" s="1">
        <v>5.2467044137900797E-4</v>
      </c>
      <c r="F46544" s="1">
        <v>1.0649732053649801E-3</v>
      </c>
    </row>
    <row r="46545" spans="1:6" x14ac:dyDescent="0.25">
      <c r="A46545" s="2" t="str">
        <f t="shared" si="1472"/>
        <v>38300</v>
      </c>
      <c r="B46545" s="2" t="str">
        <f>"15438"</f>
        <v>15438</v>
      </c>
      <c r="C46545" s="1">
        <v>7.3142175958447703E-4</v>
      </c>
      <c r="D46545" s="1">
        <v>1.78231939163498E-4</v>
      </c>
      <c r="E46545" s="1">
        <v>8.7445073563168104E-5</v>
      </c>
      <c r="F46545" s="1">
        <v>6.6683823306791002E-4</v>
      </c>
    </row>
    <row r="46546" spans="1:6" x14ac:dyDescent="0.25">
      <c r="A46546" s="2" t="str">
        <f t="shared" si="1472"/>
        <v>38300</v>
      </c>
      <c r="B46546" s="2" t="str">
        <f>"15424"</f>
        <v>15424</v>
      </c>
      <c r="C46546" s="1">
        <v>3.0653298422632299E-4</v>
      </c>
      <c r="D46546" s="1">
        <v>7.9214195183776901E-5</v>
      </c>
      <c r="E46546" s="1">
        <v>2.1861268390791999E-4</v>
      </c>
      <c r="F46546" s="1">
        <v>2.8611220442641301E-4</v>
      </c>
    </row>
    <row r="46547" spans="1:6" x14ac:dyDescent="0.25">
      <c r="A46547" s="2" t="str">
        <f t="shared" si="1472"/>
        <v>38300</v>
      </c>
      <c r="B46547" s="2" t="str">
        <f>"15557"</f>
        <v>15557</v>
      </c>
      <c r="C46547" s="1">
        <v>7.6633246056580804E-6</v>
      </c>
      <c r="D46547" s="1">
        <v>9.9017743979721092E-6</v>
      </c>
      <c r="E46547" s="1">
        <v>0</v>
      </c>
      <c r="F46547" s="1">
        <v>7.5691059372066904E-6</v>
      </c>
    </row>
    <row r="46548" spans="1:6" x14ac:dyDescent="0.25">
      <c r="A46548" s="2" t="str">
        <f t="shared" si="1472"/>
        <v>38300</v>
      </c>
      <c r="B46548" s="2" t="str">
        <f>"15225"</f>
        <v>15225</v>
      </c>
      <c r="C46548" s="1">
        <v>5.6793750133043801E-4</v>
      </c>
      <c r="D46548" s="1">
        <v>1.8417300380228099E-3</v>
      </c>
      <c r="E46548" s="1">
        <v>1.2023697614935601E-3</v>
      </c>
      <c r="F46548" s="1">
        <v>6.87274819098368E-4</v>
      </c>
    </row>
    <row r="46549" spans="1:6" x14ac:dyDescent="0.25">
      <c r="A46549" s="2" t="str">
        <f t="shared" si="1472"/>
        <v>38300</v>
      </c>
      <c r="B46549" s="2" t="str">
        <f>"15324"</f>
        <v>15324</v>
      </c>
      <c r="C46549" s="1">
        <v>0</v>
      </c>
      <c r="D46549" s="1">
        <v>0</v>
      </c>
      <c r="E46549" s="1">
        <v>1.7489014712633599E-4</v>
      </c>
      <c r="F46549" s="1">
        <v>6.0552847497653501E-6</v>
      </c>
    </row>
    <row r="46550" spans="1:6" x14ac:dyDescent="0.25">
      <c r="A46550" s="2" t="str">
        <f t="shared" si="1472"/>
        <v>38300</v>
      </c>
      <c r="B46550" s="2" t="str">
        <f>"15368"</f>
        <v>15368</v>
      </c>
      <c r="C46550" s="1">
        <v>0</v>
      </c>
      <c r="D46550" s="1">
        <v>0</v>
      </c>
      <c r="E46550" s="1">
        <v>4.3722536781583998E-5</v>
      </c>
      <c r="F46550" s="1">
        <v>1.5138211874413299E-6</v>
      </c>
    </row>
    <row r="46551" spans="1:6" x14ac:dyDescent="0.25">
      <c r="A46551" s="2" t="str">
        <f t="shared" si="1472"/>
        <v>38300</v>
      </c>
      <c r="B46551" s="2" t="str">
        <f>"15370"</f>
        <v>15370</v>
      </c>
      <c r="C46551" s="1">
        <v>9.3662856291376597E-6</v>
      </c>
      <c r="D46551" s="1">
        <v>0</v>
      </c>
      <c r="E46551" s="1">
        <v>0</v>
      </c>
      <c r="F46551" s="1">
        <v>8.3260165309273596E-6</v>
      </c>
    </row>
    <row r="46552" spans="1:6" x14ac:dyDescent="0.25">
      <c r="A46552" s="2" t="str">
        <f t="shared" si="1472"/>
        <v>38300</v>
      </c>
      <c r="B46552" s="2" t="str">
        <f>"15357"</f>
        <v>15357</v>
      </c>
      <c r="C46552" s="1">
        <v>3.40592204695915E-6</v>
      </c>
      <c r="D46552" s="1">
        <v>0</v>
      </c>
      <c r="E46552" s="1">
        <v>0</v>
      </c>
      <c r="F46552" s="1">
        <v>3.02764237488267E-6</v>
      </c>
    </row>
    <row r="46553" spans="1:6" x14ac:dyDescent="0.25">
      <c r="A46553" s="2" t="str">
        <f t="shared" ref="A46553:A46616" si="1473">"38300"</f>
        <v>38300</v>
      </c>
      <c r="B46553" s="2" t="str">
        <f>"15401"</f>
        <v>15401</v>
      </c>
      <c r="C46553" s="1">
        <v>1.4763820593056099E-2</v>
      </c>
      <c r="D46553" s="1">
        <v>2.12393060836501E-2</v>
      </c>
      <c r="E46553" s="1">
        <v>9.9687383862011592E-3</v>
      </c>
      <c r="F46553" s="1">
        <v>1.50927972387901E-2</v>
      </c>
    </row>
    <row r="46554" spans="1:6" x14ac:dyDescent="0.25">
      <c r="A46554" s="2" t="str">
        <f t="shared" si="1473"/>
        <v>38300</v>
      </c>
      <c r="B46554" s="2" t="str">
        <f>"15321"</f>
        <v>15321</v>
      </c>
      <c r="C46554" s="1">
        <v>6.1987781254656499E-4</v>
      </c>
      <c r="D46554" s="1">
        <v>4.65383396704689E-4</v>
      </c>
      <c r="E46554" s="1">
        <v>4.1536409942504799E-4</v>
      </c>
      <c r="F46554" s="1">
        <v>6.0098701141421103E-4</v>
      </c>
    </row>
    <row r="46555" spans="1:6" x14ac:dyDescent="0.25">
      <c r="A46555" s="2" t="str">
        <f t="shared" si="1473"/>
        <v>38300</v>
      </c>
      <c r="B46555" s="2" t="str">
        <f>"15410"</f>
        <v>15410</v>
      </c>
      <c r="C46555" s="1">
        <v>3.3803776316069497E-4</v>
      </c>
      <c r="D46555" s="1">
        <v>2.9705323193916299E-5</v>
      </c>
      <c r="E46555" s="1">
        <v>0</v>
      </c>
      <c r="F46555" s="1">
        <v>3.0276423748826702E-4</v>
      </c>
    </row>
    <row r="46556" spans="1:6" x14ac:dyDescent="0.25">
      <c r="A46556" s="2" t="str">
        <f t="shared" si="1473"/>
        <v>38300</v>
      </c>
      <c r="B46556" s="2" t="str">
        <f>"15215"</f>
        <v>15215</v>
      </c>
      <c r="C46556" s="1">
        <v>5.0969623432743603E-3</v>
      </c>
      <c r="D46556" s="1">
        <v>4.9013783269961902E-3</v>
      </c>
      <c r="E46556" s="1">
        <v>4.8969241195374099E-3</v>
      </c>
      <c r="F46556" s="1">
        <v>5.0750855308970902E-3</v>
      </c>
    </row>
    <row r="46557" spans="1:6" x14ac:dyDescent="0.25">
      <c r="A46557" s="2" t="str">
        <f t="shared" si="1473"/>
        <v>38300</v>
      </c>
      <c r="B46557" s="2" t="str">
        <f>"15085"</f>
        <v>15085</v>
      </c>
      <c r="C46557" s="1">
        <v>3.1922004385124599E-3</v>
      </c>
      <c r="D46557" s="1">
        <v>2.01996197718631E-3</v>
      </c>
      <c r="E46557" s="1">
        <v>2.01123669195286E-3</v>
      </c>
      <c r="F46557" s="1">
        <v>3.0617033516001E-3</v>
      </c>
    </row>
    <row r="46558" spans="1:6" x14ac:dyDescent="0.25">
      <c r="A46558" s="2" t="str">
        <f t="shared" si="1473"/>
        <v>38300</v>
      </c>
      <c r="B46558" s="2" t="str">
        <f>"15076"</f>
        <v>15076</v>
      </c>
      <c r="C46558" s="1">
        <v>3.91681035400302E-4</v>
      </c>
      <c r="D46558" s="1">
        <v>1.98035487959442E-4</v>
      </c>
      <c r="E46558" s="1">
        <v>1.0930634195395999E-4</v>
      </c>
      <c r="F46558" s="1">
        <v>3.67101637954524E-4</v>
      </c>
    </row>
    <row r="46559" spans="1:6" x14ac:dyDescent="0.25">
      <c r="A46559" s="2" t="str">
        <f t="shared" si="1473"/>
        <v>38300</v>
      </c>
      <c r="B46559" s="2" t="str">
        <f>"15066"</f>
        <v>15066</v>
      </c>
      <c r="C46559" s="1">
        <v>5.4477723141111599E-3</v>
      </c>
      <c r="D46559" s="1">
        <v>5.1291191381495497E-3</v>
      </c>
      <c r="E46559" s="1">
        <v>5.2685656821808797E-3</v>
      </c>
      <c r="F46559" s="1">
        <v>5.4172091192588303E-3</v>
      </c>
    </row>
    <row r="46560" spans="1:6" x14ac:dyDescent="0.25">
      <c r="A46560" s="2" t="str">
        <f t="shared" si="1473"/>
        <v>38300</v>
      </c>
      <c r="B46560" s="2" t="str">
        <f>"15055"</f>
        <v>15055</v>
      </c>
      <c r="C46560" s="1">
        <v>3.9338399642378102E-4</v>
      </c>
      <c r="D46560" s="1">
        <v>1.9803548795944201E-5</v>
      </c>
      <c r="E46560" s="1">
        <v>4.3722536781583998E-5</v>
      </c>
      <c r="F46560" s="1">
        <v>3.5272033667383199E-4</v>
      </c>
    </row>
    <row r="46561" spans="1:6" x14ac:dyDescent="0.25">
      <c r="A46561" s="2" t="str">
        <f t="shared" si="1473"/>
        <v>38300</v>
      </c>
      <c r="B46561" s="2" t="str">
        <f>"15038"</f>
        <v>15038</v>
      </c>
      <c r="C46561" s="1">
        <v>0</v>
      </c>
      <c r="D46561" s="1">
        <v>0</v>
      </c>
      <c r="E46561" s="1">
        <v>4.3722536781583998E-5</v>
      </c>
      <c r="F46561" s="1">
        <v>1.5138211874413299E-6</v>
      </c>
    </row>
    <row r="46562" spans="1:6" x14ac:dyDescent="0.25">
      <c r="A46562" s="2" t="str">
        <f t="shared" si="1473"/>
        <v>38300</v>
      </c>
      <c r="B46562" s="2" t="str">
        <f>"15033"</f>
        <v>15033</v>
      </c>
      <c r="C46562" s="1">
        <v>2.4956893799093099E-3</v>
      </c>
      <c r="D46562" s="1">
        <v>2.4754435994930198E-3</v>
      </c>
      <c r="E46562" s="1">
        <v>3.0605775747108801E-3</v>
      </c>
      <c r="F46562" s="1">
        <v>2.51370008174634E-3</v>
      </c>
    </row>
    <row r="46563" spans="1:6" x14ac:dyDescent="0.25">
      <c r="A46563" s="2" t="str">
        <f t="shared" si="1473"/>
        <v>38300</v>
      </c>
      <c r="B46563" s="2" t="str">
        <f>"15206"</f>
        <v>15206</v>
      </c>
      <c r="C46563" s="1">
        <v>1.60802094642058E-2</v>
      </c>
      <c r="D46563" s="1">
        <v>1.4822956273764201E-2</v>
      </c>
      <c r="E46563" s="1">
        <v>4.25420282884812E-2</v>
      </c>
      <c r="F46563" s="1">
        <v>1.6900299736595101E-2</v>
      </c>
    </row>
    <row r="46564" spans="1:6" x14ac:dyDescent="0.25">
      <c r="A46564" s="2" t="str">
        <f t="shared" si="1473"/>
        <v>38300</v>
      </c>
      <c r="B46564" s="2" t="str">
        <f>"15131"</f>
        <v>15131</v>
      </c>
      <c r="C46564" s="1">
        <v>3.5915447985184201E-3</v>
      </c>
      <c r="D46564" s="1">
        <v>3.4359157160963202E-3</v>
      </c>
      <c r="E46564" s="1">
        <v>2.7326585488489999E-3</v>
      </c>
      <c r="F46564" s="1">
        <v>3.54991068454994E-3</v>
      </c>
    </row>
    <row r="46565" spans="1:6" x14ac:dyDescent="0.25">
      <c r="A46565" s="2" t="str">
        <f t="shared" si="1473"/>
        <v>38300</v>
      </c>
      <c r="B46565" s="2" t="str">
        <f>"15142"</f>
        <v>15142</v>
      </c>
      <c r="C46565" s="1">
        <v>8.88094173744598E-4</v>
      </c>
      <c r="D46565" s="1">
        <v>1.98035487959442E-4</v>
      </c>
      <c r="E46565" s="1">
        <v>2.40473952298712E-4</v>
      </c>
      <c r="F46565" s="1">
        <v>8.12921977655999E-4</v>
      </c>
    </row>
    <row r="46566" spans="1:6" x14ac:dyDescent="0.25">
      <c r="A46566" s="2" t="str">
        <f t="shared" si="1473"/>
        <v>38300</v>
      </c>
      <c r="B46566" s="2" t="str">
        <f>"15018"</f>
        <v>15018</v>
      </c>
      <c r="C46566" s="1">
        <v>2.8865189347978702E-4</v>
      </c>
      <c r="D46566" s="1">
        <v>9.9017743979721095E-5</v>
      </c>
      <c r="E46566" s="1">
        <v>0</v>
      </c>
      <c r="F46566" s="1">
        <v>2.6416179720851302E-4</v>
      </c>
    </row>
    <row r="46567" spans="1:6" x14ac:dyDescent="0.25">
      <c r="A46567" s="2" t="str">
        <f t="shared" si="1473"/>
        <v>38300</v>
      </c>
      <c r="B46567" s="2" t="str">
        <f>"15024"</f>
        <v>15024</v>
      </c>
      <c r="C46567" s="1">
        <v>3.4680801243161499E-3</v>
      </c>
      <c r="D46567" s="1">
        <v>2.64377376425855E-3</v>
      </c>
      <c r="E46567" s="1">
        <v>1.4209824454014799E-3</v>
      </c>
      <c r="F46567" s="1">
        <v>3.33419116533955E-3</v>
      </c>
    </row>
    <row r="46568" spans="1:6" x14ac:dyDescent="0.25">
      <c r="A46568" s="2" t="str">
        <f t="shared" si="1473"/>
        <v>38300</v>
      </c>
      <c r="B46568" s="2" t="str">
        <f>"15014"</f>
        <v>15014</v>
      </c>
      <c r="C46568" s="1">
        <v>1.39898248078847E-3</v>
      </c>
      <c r="D46568" s="1">
        <v>8.9115969581748998E-4</v>
      </c>
      <c r="E46568" s="1">
        <v>1.66145639770019E-3</v>
      </c>
      <c r="F46568" s="1">
        <v>1.3692512640406901E-3</v>
      </c>
    </row>
    <row r="46569" spans="1:6" x14ac:dyDescent="0.25">
      <c r="A46569" s="2" t="str">
        <f t="shared" si="1473"/>
        <v>38300</v>
      </c>
      <c r="B46569" s="2" t="str">
        <f>"15095"</f>
        <v>15095</v>
      </c>
      <c r="C46569" s="1">
        <v>0</v>
      </c>
      <c r="D46569" s="1">
        <v>9.9017743979721092E-6</v>
      </c>
      <c r="E46569" s="1">
        <v>0</v>
      </c>
      <c r="F46569" s="1">
        <v>7.5691059372066897E-7</v>
      </c>
    </row>
    <row r="46570" spans="1:6" x14ac:dyDescent="0.25">
      <c r="A46570" s="2" t="str">
        <f t="shared" si="1473"/>
        <v>38300</v>
      </c>
      <c r="B46570" s="2" t="str">
        <f>"15001"</f>
        <v>15001</v>
      </c>
      <c r="C46570" s="1">
        <v>1.4630989633224701E-2</v>
      </c>
      <c r="D46570" s="1">
        <v>9.0799271229404302E-3</v>
      </c>
      <c r="E46570" s="1">
        <v>7.8700566206851303E-3</v>
      </c>
      <c r="F46570" s="1">
        <v>1.3972569560083499E-2</v>
      </c>
    </row>
    <row r="46571" spans="1:6" x14ac:dyDescent="0.25">
      <c r="A46571" s="2" t="str">
        <f t="shared" si="1473"/>
        <v>38300</v>
      </c>
      <c r="B46571" s="2" t="str">
        <f>"16253"</f>
        <v>16253</v>
      </c>
      <c r="C46571" s="1">
        <v>5.5346233263086101E-5</v>
      </c>
      <c r="D46571" s="1">
        <v>1.9803548795944201E-5</v>
      </c>
      <c r="E46571" s="1">
        <v>2.1861268390791999E-5</v>
      </c>
      <c r="F46571" s="1">
        <v>5.1469920373005502E-5</v>
      </c>
    </row>
    <row r="46572" spans="1:6" x14ac:dyDescent="0.25">
      <c r="A46572" s="2" t="str">
        <f t="shared" si="1473"/>
        <v>38300</v>
      </c>
      <c r="B46572" s="2" t="str">
        <f>"16262"</f>
        <v>16262</v>
      </c>
      <c r="C46572" s="1">
        <v>9.9708367924729096E-4</v>
      </c>
      <c r="D46572" s="1">
        <v>4.95088719898605E-4</v>
      </c>
      <c r="E46572" s="1">
        <v>2.40473952298712E-4</v>
      </c>
      <c r="F46572" s="1">
        <v>9.3251385146386496E-4</v>
      </c>
    </row>
    <row r="46573" spans="1:6" x14ac:dyDescent="0.25">
      <c r="A46573" s="2" t="str">
        <f t="shared" si="1473"/>
        <v>38300</v>
      </c>
      <c r="B46573" s="2" t="str">
        <f>"16226"</f>
        <v>16226</v>
      </c>
      <c r="C46573" s="1">
        <v>3.5506737339549102E-3</v>
      </c>
      <c r="D46573" s="1">
        <v>2.79230038022813E-3</v>
      </c>
      <c r="E46573" s="1">
        <v>2.7545198172397901E-3</v>
      </c>
      <c r="F46573" s="1">
        <v>3.46513669805322E-3</v>
      </c>
    </row>
    <row r="46574" spans="1:6" x14ac:dyDescent="0.25">
      <c r="A46574" s="2" t="str">
        <f t="shared" si="1473"/>
        <v>38300</v>
      </c>
      <c r="B46574" s="2" t="str">
        <f>"16141"</f>
        <v>16141</v>
      </c>
      <c r="C46574" s="1">
        <v>1.9924643974710999E-4</v>
      </c>
      <c r="D46574" s="1">
        <v>6.9312420785804803E-5</v>
      </c>
      <c r="E46574" s="1">
        <v>4.1755022626412701E-3</v>
      </c>
      <c r="F46574" s="1">
        <v>3.2698537648732901E-4</v>
      </c>
    </row>
    <row r="46575" spans="1:6" x14ac:dyDescent="0.25">
      <c r="A46575" s="2" t="str">
        <f t="shared" si="1473"/>
        <v>38300</v>
      </c>
      <c r="B46575" s="2" t="str">
        <f>"15944"</f>
        <v>15944</v>
      </c>
      <c r="C46575" s="1">
        <v>7.8761947335930296E-4</v>
      </c>
      <c r="D46575" s="1">
        <v>3.2675855513307901E-4</v>
      </c>
      <c r="E46575" s="1">
        <v>1.0930634195395999E-4</v>
      </c>
      <c r="F46575" s="1">
        <v>7.2890490175300403E-4</v>
      </c>
    </row>
    <row r="46576" spans="1:6" x14ac:dyDescent="0.25">
      <c r="A46576" s="2" t="str">
        <f t="shared" si="1473"/>
        <v>38300</v>
      </c>
      <c r="B46576" s="2" t="str">
        <f>"16048"</f>
        <v>16048</v>
      </c>
      <c r="C46576" s="1">
        <v>8.5148051173978698E-7</v>
      </c>
      <c r="D46576" s="1">
        <v>0</v>
      </c>
      <c r="E46576" s="1">
        <v>2.1861268390791999E-5</v>
      </c>
      <c r="F46576" s="1">
        <v>1.5138211874413299E-6</v>
      </c>
    </row>
    <row r="46577" spans="1:6" x14ac:dyDescent="0.25">
      <c r="A46577" s="2" t="str">
        <f t="shared" si="1473"/>
        <v>38300</v>
      </c>
      <c r="B46577" s="2" t="str">
        <f>"16035"</f>
        <v>16035</v>
      </c>
      <c r="C46577" s="1">
        <v>0</v>
      </c>
      <c r="D46577" s="1">
        <v>0</v>
      </c>
      <c r="E46577" s="1">
        <v>4.3722536781583998E-5</v>
      </c>
      <c r="F46577" s="1">
        <v>1.5138211874413299E-6</v>
      </c>
    </row>
    <row r="46578" spans="1:6" x14ac:dyDescent="0.25">
      <c r="A46578" s="2" t="str">
        <f t="shared" si="1473"/>
        <v>38300</v>
      </c>
      <c r="B46578" s="2" t="str">
        <f>"16055"</f>
        <v>16055</v>
      </c>
      <c r="C46578" s="1">
        <v>3.1675075036719999E-3</v>
      </c>
      <c r="D46578" s="1">
        <v>2.0298637515842799E-3</v>
      </c>
      <c r="E46578" s="1">
        <v>7.2142185689613703E-4</v>
      </c>
      <c r="F46578" s="1">
        <v>2.9958521299464102E-3</v>
      </c>
    </row>
    <row r="46579" spans="1:6" x14ac:dyDescent="0.25">
      <c r="A46579" s="2" t="str">
        <f t="shared" si="1473"/>
        <v>38300</v>
      </c>
      <c r="B46579" s="2" t="str">
        <f>"16051"</f>
        <v>16051</v>
      </c>
      <c r="C46579" s="1">
        <v>7.94431317453221E-4</v>
      </c>
      <c r="D46579" s="1">
        <v>7.4263307984790805E-4</v>
      </c>
      <c r="E46579" s="1">
        <v>1.5302887873554401E-4</v>
      </c>
      <c r="F46579" s="1">
        <v>7.6826425262647904E-4</v>
      </c>
    </row>
    <row r="46580" spans="1:6" x14ac:dyDescent="0.25">
      <c r="A46580" s="2" t="str">
        <f t="shared" si="1473"/>
        <v>38300</v>
      </c>
      <c r="B46580" s="2" t="str">
        <f>"16050"</f>
        <v>16050</v>
      </c>
      <c r="C46580" s="1">
        <v>4.6746280094514298E-4</v>
      </c>
      <c r="D46580" s="1">
        <v>1.2872306717363701E-4</v>
      </c>
      <c r="E46580" s="1">
        <v>1.0930634195395999E-4</v>
      </c>
      <c r="F46580" s="1">
        <v>4.2916830663961898E-4</v>
      </c>
    </row>
    <row r="46581" spans="1:6" x14ac:dyDescent="0.25">
      <c r="A46581" s="2" t="str">
        <f t="shared" si="1473"/>
        <v>38300</v>
      </c>
      <c r="B46581" s="2" t="str">
        <f>"16045"</f>
        <v>16045</v>
      </c>
      <c r="C46581" s="1">
        <v>5.7900674798305502E-4</v>
      </c>
      <c r="D46581" s="1">
        <v>8.1194550063371299E-4</v>
      </c>
      <c r="E46581" s="1">
        <v>1.3772599086198901E-3</v>
      </c>
      <c r="F46581" s="1">
        <v>6.2445123981955195E-4</v>
      </c>
    </row>
    <row r="46582" spans="1:6" x14ac:dyDescent="0.25">
      <c r="A46582" s="2" t="str">
        <f t="shared" si="1473"/>
        <v>38300</v>
      </c>
      <c r="B46582" s="2" t="str">
        <f>"16033"</f>
        <v>16033</v>
      </c>
      <c r="C46582" s="1">
        <v>2.55614449624284E-3</v>
      </c>
      <c r="D46582" s="1">
        <v>1.8120247148288901E-3</v>
      </c>
      <c r="E46582" s="1">
        <v>1.9237916183896899E-3</v>
      </c>
      <c r="F46582" s="1">
        <v>2.4773683732477502E-3</v>
      </c>
    </row>
    <row r="46583" spans="1:6" x14ac:dyDescent="0.25">
      <c r="A46583" s="2" t="str">
        <f t="shared" si="1473"/>
        <v>38300</v>
      </c>
      <c r="B46583" s="2" t="str">
        <f>"16025"</f>
        <v>16025</v>
      </c>
      <c r="C46583" s="1">
        <v>1.78044575004789E-3</v>
      </c>
      <c r="D46583" s="1">
        <v>5.74302915082382E-4</v>
      </c>
      <c r="E46583" s="1">
        <v>5.0280917298821599E-4</v>
      </c>
      <c r="F46583" s="1">
        <v>1.6440098095612901E-3</v>
      </c>
    </row>
    <row r="46584" spans="1:6" x14ac:dyDescent="0.25">
      <c r="A46584" s="2" t="str">
        <f t="shared" si="1473"/>
        <v>38300</v>
      </c>
      <c r="B46584" s="2" t="str">
        <f>"16057"</f>
        <v>16057</v>
      </c>
      <c r="C46584" s="1">
        <v>4.5494603742256799E-3</v>
      </c>
      <c r="D46584" s="1">
        <v>2.4754435994930198E-3</v>
      </c>
      <c r="E46584" s="1">
        <v>3.8038606999978102E-3</v>
      </c>
      <c r="F46584" s="1">
        <v>4.3651033939871003E-3</v>
      </c>
    </row>
    <row r="46585" spans="1:6" x14ac:dyDescent="0.25">
      <c r="A46585" s="2" t="str">
        <f t="shared" si="1473"/>
        <v>38300</v>
      </c>
      <c r="B46585" s="2" t="str">
        <f>"15680"</f>
        <v>15680</v>
      </c>
      <c r="C46585" s="1">
        <v>0</v>
      </c>
      <c r="D46585" s="1">
        <v>0</v>
      </c>
      <c r="E46585" s="1">
        <v>3.0605775747108801E-4</v>
      </c>
      <c r="F46585" s="1">
        <v>1.0596748312089301E-5</v>
      </c>
    </row>
    <row r="46586" spans="1:6" x14ac:dyDescent="0.25">
      <c r="A46586" s="2" t="str">
        <f t="shared" si="1473"/>
        <v>38300</v>
      </c>
      <c r="B46586" s="2" t="str">
        <f>"15678"</f>
        <v>15678</v>
      </c>
      <c r="C46586" s="1">
        <v>1.67741660812738E-4</v>
      </c>
      <c r="D46586" s="1">
        <v>8.9115969581748998E-5</v>
      </c>
      <c r="E46586" s="1">
        <v>2.1861268390791999E-5</v>
      </c>
      <c r="F46586" s="1">
        <v>1.56680492900178E-4</v>
      </c>
    </row>
    <row r="46587" spans="1:6" x14ac:dyDescent="0.25">
      <c r="A46587" s="2" t="str">
        <f t="shared" si="1473"/>
        <v>38300</v>
      </c>
      <c r="B46587" s="2" t="str">
        <f>"15696"</f>
        <v>15696</v>
      </c>
      <c r="C46587" s="1">
        <v>0</v>
      </c>
      <c r="D46587" s="1">
        <v>0</v>
      </c>
      <c r="E46587" s="1">
        <v>1.0930634195395999E-4</v>
      </c>
      <c r="F46587" s="1">
        <v>3.7845529686033401E-6</v>
      </c>
    </row>
    <row r="46588" spans="1:6" x14ac:dyDescent="0.25">
      <c r="A46588" s="2" t="str">
        <f t="shared" si="1473"/>
        <v>38300</v>
      </c>
      <c r="B46588" s="2" t="str">
        <f>"15687"</f>
        <v>15687</v>
      </c>
      <c r="C46588" s="1">
        <v>5.0833386550865295E-4</v>
      </c>
      <c r="D46588" s="1">
        <v>1.5842839036755299E-4</v>
      </c>
      <c r="E46588" s="1">
        <v>0</v>
      </c>
      <c r="F46588" s="1">
        <v>4.6398619395076999E-4</v>
      </c>
    </row>
    <row r="46589" spans="1:6" x14ac:dyDescent="0.25">
      <c r="A46589" s="2" t="str">
        <f t="shared" si="1473"/>
        <v>38300</v>
      </c>
      <c r="B46589" s="2" t="str">
        <f>"15675"</f>
        <v>15675</v>
      </c>
      <c r="C46589" s="1">
        <v>3.7465142516550598E-4</v>
      </c>
      <c r="D46589" s="1">
        <v>1.3862484157160901E-4</v>
      </c>
      <c r="E46589" s="1">
        <v>2.1861268390791999E-5</v>
      </c>
      <c r="F46589" s="1">
        <v>3.4439432014290398E-4</v>
      </c>
    </row>
    <row r="46590" spans="1:6" x14ac:dyDescent="0.25">
      <c r="A46590" s="2" t="str">
        <f t="shared" si="1473"/>
        <v>38300</v>
      </c>
      <c r="B46590" s="2" t="str">
        <f>"15672"</f>
        <v>15672</v>
      </c>
      <c r="C46590" s="1">
        <v>1.39472507822977E-3</v>
      </c>
      <c r="D46590" s="1">
        <v>9.0106147021546204E-4</v>
      </c>
      <c r="E46590" s="1">
        <v>1.8800690816081101E-3</v>
      </c>
      <c r="F46590" s="1">
        <v>1.3737927276030099E-3</v>
      </c>
    </row>
    <row r="46591" spans="1:6" x14ac:dyDescent="0.25">
      <c r="A46591" s="2" t="str">
        <f t="shared" si="1473"/>
        <v>38300</v>
      </c>
      <c r="B46591" s="2" t="str">
        <f>"15262"</f>
        <v>15262</v>
      </c>
      <c r="C46591" s="1">
        <v>0</v>
      </c>
      <c r="D46591" s="1">
        <v>0</v>
      </c>
      <c r="E46591" s="1">
        <v>2.1861268390791999E-5</v>
      </c>
      <c r="F46591" s="1">
        <v>7.5691059372066897E-7</v>
      </c>
    </row>
    <row r="46592" spans="1:6" x14ac:dyDescent="0.25">
      <c r="A46592" s="2" t="str">
        <f t="shared" si="1473"/>
        <v>38300</v>
      </c>
      <c r="B46592" s="2" t="str">
        <f>"15277"</f>
        <v>15277</v>
      </c>
      <c r="C46592" s="1">
        <v>0</v>
      </c>
      <c r="D46592" s="1">
        <v>0</v>
      </c>
      <c r="E46592" s="1">
        <v>3.4978029425267198E-4</v>
      </c>
      <c r="F46592" s="1">
        <v>1.21105694995307E-5</v>
      </c>
    </row>
    <row r="46593" spans="1:6" x14ac:dyDescent="0.25">
      <c r="A46593" s="2" t="str">
        <f t="shared" si="1473"/>
        <v>38300</v>
      </c>
      <c r="B46593" s="2" t="str">
        <f>"15259"</f>
        <v>15259</v>
      </c>
      <c r="C46593" s="1">
        <v>0</v>
      </c>
      <c r="D46593" s="1">
        <v>0</v>
      </c>
      <c r="E46593" s="1">
        <v>6.5583805172376105E-5</v>
      </c>
      <c r="F46593" s="1">
        <v>2.2707317811619998E-6</v>
      </c>
    </row>
    <row r="46594" spans="1:6" x14ac:dyDescent="0.25">
      <c r="A46594" s="2" t="str">
        <f t="shared" si="1473"/>
        <v>38300</v>
      </c>
      <c r="B46594" s="2" t="str">
        <f>"15244"</f>
        <v>15244</v>
      </c>
      <c r="C46594" s="1">
        <v>3.7550290567724598E-4</v>
      </c>
      <c r="D46594" s="1">
        <v>1.3268377693282599E-3</v>
      </c>
      <c r="E46594" s="1">
        <v>2.1861268390791999E-5</v>
      </c>
      <c r="F46594" s="1">
        <v>4.3598050198310502E-4</v>
      </c>
    </row>
    <row r="46595" spans="1:6" x14ac:dyDescent="0.25">
      <c r="A46595" s="2" t="str">
        <f t="shared" si="1473"/>
        <v>38300</v>
      </c>
      <c r="B46595" s="2" t="str">
        <f>"15314"</f>
        <v>15314</v>
      </c>
      <c r="C46595" s="1">
        <v>1.64335738765778E-3</v>
      </c>
      <c r="D46595" s="1">
        <v>1.8615335868187499E-3</v>
      </c>
      <c r="E46595" s="1">
        <v>8.0886693045930497E-4</v>
      </c>
      <c r="F46595" s="1">
        <v>1.63114232946804E-3</v>
      </c>
    </row>
    <row r="46596" spans="1:6" x14ac:dyDescent="0.25">
      <c r="A46596" s="2" t="str">
        <f t="shared" si="1473"/>
        <v>38300</v>
      </c>
      <c r="B46596" s="2" t="str">
        <f>"15235"</f>
        <v>15235</v>
      </c>
      <c r="C46596" s="1">
        <v>1.52142537837665E-2</v>
      </c>
      <c r="D46596" s="1">
        <v>1.4535804816223E-2</v>
      </c>
      <c r="E46596" s="1">
        <v>4.7438952408018703E-3</v>
      </c>
      <c r="F46596" s="1">
        <v>1.4799872839020199E-2</v>
      </c>
    </row>
    <row r="46597" spans="1:6" x14ac:dyDescent="0.25">
      <c r="A46597" s="2" t="str">
        <f t="shared" si="1473"/>
        <v>38300</v>
      </c>
      <c r="B46597" s="2" t="str">
        <f>"15238"</f>
        <v>15238</v>
      </c>
      <c r="C46597" s="1">
        <v>6.0770164122868602E-3</v>
      </c>
      <c r="D46597" s="1">
        <v>1.3238672370088699E-2</v>
      </c>
      <c r="E46597" s="1">
        <v>3.8038606999978102E-3</v>
      </c>
      <c r="F46597" s="1">
        <v>6.5457628144963498E-3</v>
      </c>
    </row>
    <row r="46598" spans="1:6" x14ac:dyDescent="0.25">
      <c r="A46598" s="2" t="str">
        <f t="shared" si="1473"/>
        <v>38300</v>
      </c>
      <c r="B46598" s="2" t="str">
        <f>"15615"</f>
        <v>15615</v>
      </c>
      <c r="C46598" s="1">
        <v>1.11543947037912E-4</v>
      </c>
      <c r="D46598" s="1">
        <v>9.9017743979721092E-6</v>
      </c>
      <c r="E46598" s="1">
        <v>2.1861268390791999E-5</v>
      </c>
      <c r="F46598" s="1">
        <v>1.0066910896484901E-4</v>
      </c>
    </row>
    <row r="46599" spans="1:6" x14ac:dyDescent="0.25">
      <c r="A46599" s="2" t="str">
        <f t="shared" si="1473"/>
        <v>38300</v>
      </c>
      <c r="B46599" s="2" t="str">
        <f>"15633"</f>
        <v>15633</v>
      </c>
      <c r="C46599" s="1">
        <v>1.7029610234795699E-6</v>
      </c>
      <c r="D46599" s="1">
        <v>0</v>
      </c>
      <c r="E46599" s="1">
        <v>2.1861268390791999E-5</v>
      </c>
      <c r="F46599" s="1">
        <v>2.2707317811619998E-6</v>
      </c>
    </row>
    <row r="46600" spans="1:6" x14ac:dyDescent="0.25">
      <c r="A46600" s="2" t="str">
        <f t="shared" si="1473"/>
        <v>38300</v>
      </c>
      <c r="B46600" s="2" t="str">
        <f>"15638"</f>
        <v>15638</v>
      </c>
      <c r="C46600" s="1">
        <v>0</v>
      </c>
      <c r="D46600" s="1">
        <v>0</v>
      </c>
      <c r="E46600" s="1">
        <v>2.1861268390791999E-5</v>
      </c>
      <c r="F46600" s="1">
        <v>7.5691059372066897E-7</v>
      </c>
    </row>
    <row r="46601" spans="1:6" x14ac:dyDescent="0.25">
      <c r="A46601" s="2" t="str">
        <f t="shared" si="1473"/>
        <v>38300</v>
      </c>
      <c r="B46601" s="2" t="str">
        <f>"15612"</f>
        <v>15612</v>
      </c>
      <c r="C46601" s="1">
        <v>1.2601911573748801E-4</v>
      </c>
      <c r="D46601" s="1">
        <v>9.9017743979721092E-6</v>
      </c>
      <c r="E46601" s="1">
        <v>2.1861268390791999E-5</v>
      </c>
      <c r="F46601" s="1">
        <v>1.1353658905810001E-4</v>
      </c>
    </row>
    <row r="46602" spans="1:6" x14ac:dyDescent="0.25">
      <c r="A46602" s="2" t="str">
        <f t="shared" si="1473"/>
        <v>38300</v>
      </c>
      <c r="B46602" s="2" t="str">
        <f>"15625"</f>
        <v>15625</v>
      </c>
      <c r="C46602" s="1">
        <v>0</v>
      </c>
      <c r="D46602" s="1">
        <v>0</v>
      </c>
      <c r="E46602" s="1">
        <v>2.1861268390791999E-5</v>
      </c>
      <c r="F46602" s="1">
        <v>7.5691059372066897E-7</v>
      </c>
    </row>
    <row r="46603" spans="1:6" x14ac:dyDescent="0.25">
      <c r="A46603" s="2" t="str">
        <f t="shared" si="1473"/>
        <v>38300</v>
      </c>
      <c r="B46603" s="2" t="str">
        <f>"15620"</f>
        <v>15620</v>
      </c>
      <c r="C46603" s="1">
        <v>2.86097451944568E-4</v>
      </c>
      <c r="D46603" s="1">
        <v>1.5842839036755299E-4</v>
      </c>
      <c r="E46603" s="1">
        <v>3.2791902586188E-4</v>
      </c>
      <c r="F46603" s="1">
        <v>2.7778618789548501E-4</v>
      </c>
    </row>
    <row r="46604" spans="1:6" x14ac:dyDescent="0.25">
      <c r="A46604" s="2" t="str">
        <f t="shared" si="1473"/>
        <v>38300</v>
      </c>
      <c r="B46604" s="2" t="str">
        <f>"15613"</f>
        <v>15613</v>
      </c>
      <c r="C46604" s="1">
        <v>5.5857121570130003E-3</v>
      </c>
      <c r="D46604" s="1">
        <v>3.0695500633713502E-3</v>
      </c>
      <c r="E46604" s="1">
        <v>4.5908663620663204E-3</v>
      </c>
      <c r="F46604" s="1">
        <v>5.3589270035423403E-3</v>
      </c>
    </row>
    <row r="46605" spans="1:6" x14ac:dyDescent="0.25">
      <c r="A46605" s="2" t="str">
        <f t="shared" si="1473"/>
        <v>38300</v>
      </c>
      <c r="B46605" s="2" t="str">
        <f>"15492"</f>
        <v>15492</v>
      </c>
      <c r="C46605" s="1">
        <v>3.6613662004810802E-5</v>
      </c>
      <c r="D46605" s="1">
        <v>0</v>
      </c>
      <c r="E46605" s="1">
        <v>2.1861268390791999E-5</v>
      </c>
      <c r="F46605" s="1">
        <v>3.3304066123709398E-5</v>
      </c>
    </row>
    <row r="46606" spans="1:6" x14ac:dyDescent="0.25">
      <c r="A46606" s="2" t="str">
        <f t="shared" si="1473"/>
        <v>38300</v>
      </c>
      <c r="B46606" s="2" t="str">
        <f>"15470"</f>
        <v>15470</v>
      </c>
      <c r="C46606" s="1">
        <v>2.8184004938586898E-4</v>
      </c>
      <c r="D46606" s="1">
        <v>5.9410646387832598E-5</v>
      </c>
      <c r="E46606" s="1">
        <v>4.3722536781583998E-5</v>
      </c>
      <c r="F46606" s="1">
        <v>2.56592691271307E-4</v>
      </c>
    </row>
    <row r="46607" spans="1:6" x14ac:dyDescent="0.25">
      <c r="A46607" s="2" t="str">
        <f t="shared" si="1473"/>
        <v>38300</v>
      </c>
      <c r="B46607" s="2" t="str">
        <f>"15458"</f>
        <v>15458</v>
      </c>
      <c r="C46607" s="1">
        <v>7.9357983694148203E-4</v>
      </c>
      <c r="D46607" s="1">
        <v>3.4656210392902399E-4</v>
      </c>
      <c r="E46607" s="1">
        <v>5.0280917298821599E-4</v>
      </c>
      <c r="F46607" s="1">
        <v>7.4934148778346297E-4</v>
      </c>
    </row>
    <row r="46608" spans="1:6" x14ac:dyDescent="0.25">
      <c r="A46608" s="2" t="str">
        <f t="shared" si="1473"/>
        <v>38300</v>
      </c>
      <c r="B46608" s="2" t="str">
        <f>"15445"</f>
        <v>15445</v>
      </c>
      <c r="C46608" s="1">
        <v>1.0864891329799601E-3</v>
      </c>
      <c r="D46608" s="1">
        <v>4.1587452471482801E-4</v>
      </c>
      <c r="E46608" s="1">
        <v>1.3116761034475199E-4</v>
      </c>
      <c r="F46608" s="1">
        <v>1.0021496260861601E-3</v>
      </c>
    </row>
    <row r="46609" spans="1:6" x14ac:dyDescent="0.25">
      <c r="A46609" s="2" t="str">
        <f t="shared" si="1473"/>
        <v>38300</v>
      </c>
      <c r="B46609" s="2" t="str">
        <f>"15437"</f>
        <v>15437</v>
      </c>
      <c r="C46609" s="1">
        <v>8.7106456350980203E-4</v>
      </c>
      <c r="D46609" s="1">
        <v>5.74302915082382E-4</v>
      </c>
      <c r="E46609" s="1">
        <v>1.5302887873554401E-4</v>
      </c>
      <c r="F46609" s="1">
        <v>8.2351872596808802E-4</v>
      </c>
    </row>
    <row r="46610" spans="1:6" x14ac:dyDescent="0.25">
      <c r="A46610" s="2" t="str">
        <f t="shared" si="1473"/>
        <v>38300</v>
      </c>
      <c r="B46610" s="2" t="str">
        <f>"15423"</f>
        <v>15423</v>
      </c>
      <c r="C46610" s="1">
        <v>6.5734295506311496E-4</v>
      </c>
      <c r="D46610" s="1">
        <v>3.5646387832699599E-4</v>
      </c>
      <c r="E46610" s="1">
        <v>2.1861268390791999E-5</v>
      </c>
      <c r="F46610" s="1">
        <v>6.1234067032002102E-4</v>
      </c>
    </row>
    <row r="46611" spans="1:6" x14ac:dyDescent="0.25">
      <c r="A46611" s="2" t="str">
        <f t="shared" si="1473"/>
        <v>38300</v>
      </c>
      <c r="B46611" s="2" t="str">
        <f>"15531"</f>
        <v>15531</v>
      </c>
      <c r="C46611" s="1">
        <v>2.46929348404538E-5</v>
      </c>
      <c r="D46611" s="1">
        <v>0</v>
      </c>
      <c r="E46611" s="1">
        <v>0</v>
      </c>
      <c r="F46611" s="1">
        <v>2.19504072178994E-5</v>
      </c>
    </row>
    <row r="46612" spans="1:6" x14ac:dyDescent="0.25">
      <c r="A46612" s="2" t="str">
        <f t="shared" si="1473"/>
        <v>38300</v>
      </c>
      <c r="B46612" s="2" t="str">
        <f>"15501"</f>
        <v>15501</v>
      </c>
      <c r="C46612" s="1">
        <v>2.6395895863933401E-5</v>
      </c>
      <c r="D46612" s="1">
        <v>1.9803548795944201E-5</v>
      </c>
      <c r="E46612" s="1">
        <v>0</v>
      </c>
      <c r="F46612" s="1">
        <v>2.4978049592782101E-5</v>
      </c>
    </row>
    <row r="46613" spans="1:6" x14ac:dyDescent="0.25">
      <c r="A46613" s="2" t="str">
        <f t="shared" si="1473"/>
        <v>38300</v>
      </c>
      <c r="B46613" s="2" t="str">
        <f>"15366"</f>
        <v>15366</v>
      </c>
      <c r="C46613" s="1">
        <v>0</v>
      </c>
      <c r="D46613" s="1">
        <v>0</v>
      </c>
      <c r="E46613" s="1">
        <v>4.3722536781583998E-5</v>
      </c>
      <c r="F46613" s="1">
        <v>1.5138211874413299E-6</v>
      </c>
    </row>
    <row r="46614" spans="1:6" x14ac:dyDescent="0.25">
      <c r="A46614" s="2" t="str">
        <f t="shared" si="1473"/>
        <v>38300</v>
      </c>
      <c r="B46614" s="2" t="str">
        <f>"15347"</f>
        <v>15347</v>
      </c>
      <c r="C46614" s="1">
        <v>0</v>
      </c>
      <c r="D46614" s="1">
        <v>0</v>
      </c>
      <c r="E46614" s="1">
        <v>4.3722536781583998E-5</v>
      </c>
      <c r="F46614" s="1">
        <v>1.5138211874413299E-6</v>
      </c>
    </row>
    <row r="46615" spans="1:6" x14ac:dyDescent="0.25">
      <c r="A46615" s="2" t="str">
        <f t="shared" si="1473"/>
        <v>38300</v>
      </c>
      <c r="B46615" s="2" t="str">
        <f>"15363"</f>
        <v>15363</v>
      </c>
      <c r="C46615" s="1">
        <v>2.5033527045149699E-4</v>
      </c>
      <c r="D46615" s="1">
        <v>4.95088719898605E-5</v>
      </c>
      <c r="E46615" s="1">
        <v>2.1861268390791999E-5</v>
      </c>
      <c r="F46615" s="1">
        <v>2.2707317811620001E-4</v>
      </c>
    </row>
    <row r="46616" spans="1:6" x14ac:dyDescent="0.25">
      <c r="A46616" s="2" t="str">
        <f t="shared" si="1473"/>
        <v>38300</v>
      </c>
      <c r="B46616" s="2" t="str">
        <f>"15340"</f>
        <v>15340</v>
      </c>
      <c r="C46616" s="1">
        <v>5.0492794346169404E-4</v>
      </c>
      <c r="D46616" s="1">
        <v>4.2577629911280099E-4</v>
      </c>
      <c r="E46616" s="1">
        <v>6.5583805172376105E-5</v>
      </c>
      <c r="F46616" s="1">
        <v>4.8366586938750701E-4</v>
      </c>
    </row>
    <row r="46617" spans="1:6" x14ac:dyDescent="0.25">
      <c r="A46617" s="2" t="str">
        <f t="shared" ref="A46617:A46680" si="1474">"38300"</f>
        <v>38300</v>
      </c>
      <c r="B46617" s="2" t="str">
        <f>"15317"</f>
        <v>15317</v>
      </c>
      <c r="C46617" s="1">
        <v>1.6335653617727802E-2</v>
      </c>
      <c r="D46617" s="1">
        <v>2.2189876425855501E-2</v>
      </c>
      <c r="E46617" s="1">
        <v>1.1214830684476301E-2</v>
      </c>
      <c r="F46617" s="1">
        <v>1.6605861515637699E-2</v>
      </c>
    </row>
    <row r="46618" spans="1:6" x14ac:dyDescent="0.25">
      <c r="A46618" s="2" t="str">
        <f t="shared" si="1474"/>
        <v>38300</v>
      </c>
      <c r="B46618" s="2" t="str">
        <f>"15087"</f>
        <v>15087</v>
      </c>
      <c r="C46618" s="1">
        <v>0</v>
      </c>
      <c r="D46618" s="1">
        <v>0</v>
      </c>
      <c r="E46618" s="1">
        <v>2.0549592287344501E-3</v>
      </c>
      <c r="F46618" s="1">
        <v>7.1149595809742898E-5</v>
      </c>
    </row>
    <row r="46619" spans="1:6" x14ac:dyDescent="0.25">
      <c r="A46619" s="2" t="str">
        <f t="shared" si="1474"/>
        <v>38300</v>
      </c>
      <c r="B46619" s="2" t="str">
        <f>"15068"</f>
        <v>15068</v>
      </c>
      <c r="C46619" s="1">
        <v>1.64931775123996E-2</v>
      </c>
      <c r="D46619" s="1">
        <v>1.3446609632446101E-2</v>
      </c>
      <c r="E46619" s="1">
        <v>1.27013969350501E-2</v>
      </c>
      <c r="F46619" s="1">
        <v>1.6129007841593698E-2</v>
      </c>
    </row>
    <row r="46620" spans="1:6" x14ac:dyDescent="0.25">
      <c r="A46620" s="2" t="str">
        <f t="shared" si="1474"/>
        <v>38300</v>
      </c>
      <c r="B46620" s="2" t="str">
        <f>"15067"</f>
        <v>15067</v>
      </c>
      <c r="C46620" s="1">
        <v>1.04306362688123E-3</v>
      </c>
      <c r="D46620" s="1">
        <v>7.7233840304182498E-4</v>
      </c>
      <c r="E46620" s="1">
        <v>5.0280917298821599E-4</v>
      </c>
      <c r="F46620" s="1">
        <v>1.0036634472736E-3</v>
      </c>
    </row>
    <row r="46621" spans="1:6" x14ac:dyDescent="0.25">
      <c r="A46621" s="2" t="str">
        <f t="shared" si="1474"/>
        <v>38300</v>
      </c>
      <c r="B46621" s="2" t="str">
        <f>"15065"</f>
        <v>15065</v>
      </c>
      <c r="C46621" s="1">
        <v>4.9556165783255597E-3</v>
      </c>
      <c r="D46621" s="1">
        <v>4.2874683143219201E-3</v>
      </c>
      <c r="E46621" s="1">
        <v>4.5471438252847399E-3</v>
      </c>
      <c r="F46621" s="1">
        <v>4.8903993460292401E-3</v>
      </c>
    </row>
    <row r="46622" spans="1:6" x14ac:dyDescent="0.25">
      <c r="A46622" s="2" t="str">
        <f t="shared" si="1474"/>
        <v>38300</v>
      </c>
      <c r="B46622" s="2" t="str">
        <f>"15051"</f>
        <v>15051</v>
      </c>
      <c r="C46622" s="1">
        <v>1.95840517700151E-4</v>
      </c>
      <c r="D46622" s="1">
        <v>1.3862484157160901E-4</v>
      </c>
      <c r="E46622" s="1">
        <v>4.3722536781583998E-5</v>
      </c>
      <c r="F46622" s="1">
        <v>1.8620000605528401E-4</v>
      </c>
    </row>
    <row r="46623" spans="1:6" x14ac:dyDescent="0.25">
      <c r="A46623" s="2" t="str">
        <f t="shared" si="1474"/>
        <v>38300</v>
      </c>
      <c r="B46623" s="2" t="str">
        <f>"15032"</f>
        <v>15032</v>
      </c>
      <c r="C46623" s="1">
        <v>0</v>
      </c>
      <c r="D46623" s="1">
        <v>0</v>
      </c>
      <c r="E46623" s="1">
        <v>7.2142185689613703E-4</v>
      </c>
      <c r="F46623" s="1">
        <v>2.4978049592782101E-5</v>
      </c>
    </row>
    <row r="46624" spans="1:6" x14ac:dyDescent="0.25">
      <c r="A46624" s="2" t="str">
        <f t="shared" si="1474"/>
        <v>38300</v>
      </c>
      <c r="B46624" s="2" t="str">
        <f>"15209"</f>
        <v>15209</v>
      </c>
      <c r="C46624" s="1">
        <v>5.2527832769227404E-3</v>
      </c>
      <c r="D46624" s="1">
        <v>3.5448352344740102E-3</v>
      </c>
      <c r="E46624" s="1">
        <v>3.2136064534464201E-3</v>
      </c>
      <c r="F46624" s="1">
        <v>5.0516213024917401E-3</v>
      </c>
    </row>
    <row r="46625" spans="1:6" x14ac:dyDescent="0.25">
      <c r="A46625" s="2" t="str">
        <f t="shared" si="1474"/>
        <v>38300</v>
      </c>
      <c r="B46625" s="2" t="str">
        <f>"15133"</f>
        <v>15133</v>
      </c>
      <c r="C46625" s="1">
        <v>2.6532132745811701E-3</v>
      </c>
      <c r="D46625" s="1">
        <v>7.4263307984790805E-4</v>
      </c>
      <c r="E46625" s="1">
        <v>1.15864722471197E-3</v>
      </c>
      <c r="F46625" s="1">
        <v>2.45541796602985E-3</v>
      </c>
    </row>
    <row r="46626" spans="1:6" x14ac:dyDescent="0.25">
      <c r="A46626" s="2" t="str">
        <f t="shared" si="1474"/>
        <v>38300</v>
      </c>
      <c r="B46626" s="2" t="str">
        <f>"15120"</f>
        <v>15120</v>
      </c>
      <c r="C46626" s="1">
        <v>8.7830214785958993E-3</v>
      </c>
      <c r="D46626" s="1">
        <v>7.4263307984790798E-3</v>
      </c>
      <c r="E46626" s="1">
        <v>1.22641715672343E-2</v>
      </c>
      <c r="F46626" s="1">
        <v>8.7998425625964993E-3</v>
      </c>
    </row>
    <row r="46627" spans="1:6" x14ac:dyDescent="0.25">
      <c r="A46627" s="2" t="str">
        <f t="shared" si="1474"/>
        <v>38300</v>
      </c>
      <c r="B46627" s="2" t="str">
        <f>"15140"</f>
        <v>15140</v>
      </c>
      <c r="C46627" s="1">
        <v>1.57694190774208E-3</v>
      </c>
      <c r="D46627" s="1">
        <v>1.0297845373891E-3</v>
      </c>
      <c r="E46627" s="1">
        <v>4.6564501672386998E-3</v>
      </c>
      <c r="F46627" s="1">
        <v>1.6417390777801299E-3</v>
      </c>
    </row>
    <row r="46628" spans="1:6" x14ac:dyDescent="0.25">
      <c r="A46628" s="2" t="str">
        <f t="shared" si="1474"/>
        <v>38300</v>
      </c>
      <c r="B46628" s="2" t="str">
        <f>"15203"</f>
        <v>15203</v>
      </c>
      <c r="C46628" s="1">
        <v>6.53766736913808E-3</v>
      </c>
      <c r="D46628" s="1">
        <v>1.04067648922686E-2</v>
      </c>
      <c r="E46628" s="1">
        <v>1.2286032835625099E-2</v>
      </c>
      <c r="F46628" s="1">
        <v>7.0324563262587399E-3</v>
      </c>
    </row>
    <row r="46629" spans="1:6" x14ac:dyDescent="0.25">
      <c r="A46629" s="2" t="str">
        <f t="shared" si="1474"/>
        <v>38300</v>
      </c>
      <c r="B46629" s="2" t="str">
        <f>"15015"</f>
        <v>15015</v>
      </c>
      <c r="C46629" s="1">
        <v>4.3936394405773001E-4</v>
      </c>
      <c r="D46629" s="1">
        <v>7.9214195183776901E-5</v>
      </c>
      <c r="E46629" s="1">
        <v>4.3722536781583998E-5</v>
      </c>
      <c r="F46629" s="1">
        <v>3.9813497229707198E-4</v>
      </c>
    </row>
    <row r="46630" spans="1:6" x14ac:dyDescent="0.25">
      <c r="A46630" s="2" t="str">
        <f t="shared" si="1474"/>
        <v>38300</v>
      </c>
      <c r="B46630" s="2" t="str">
        <f>"15104"</f>
        <v>15104</v>
      </c>
      <c r="C46630" s="1">
        <v>4.71635055452668E-3</v>
      </c>
      <c r="D46630" s="1">
        <v>3.5844423320659001E-3</v>
      </c>
      <c r="E46630" s="1">
        <v>8.4384495988457202E-3</v>
      </c>
      <c r="F46630" s="1">
        <v>4.7586969027218502E-3</v>
      </c>
    </row>
    <row r="46631" spans="1:6" x14ac:dyDescent="0.25">
      <c r="A46631" s="2" t="str">
        <f t="shared" si="1474"/>
        <v>38300</v>
      </c>
      <c r="B46631" s="2" t="str">
        <f>"16224"</f>
        <v>16224</v>
      </c>
      <c r="C46631" s="1">
        <v>1.9584051770015101E-5</v>
      </c>
      <c r="D46631" s="1">
        <v>0</v>
      </c>
      <c r="E46631" s="1">
        <v>0</v>
      </c>
      <c r="F46631" s="1">
        <v>1.74089436555754E-5</v>
      </c>
    </row>
    <row r="46632" spans="1:6" x14ac:dyDescent="0.25">
      <c r="A46632" s="2" t="str">
        <f t="shared" si="1474"/>
        <v>38300</v>
      </c>
      <c r="B46632" s="2" t="str">
        <f>"16245"</f>
        <v>16245</v>
      </c>
      <c r="C46632" s="1">
        <v>0</v>
      </c>
      <c r="D46632" s="1">
        <v>0</v>
      </c>
      <c r="E46632" s="1">
        <v>2.1861268390791999E-5</v>
      </c>
      <c r="F46632" s="1">
        <v>7.5691059372066897E-7</v>
      </c>
    </row>
    <row r="46633" spans="1:6" x14ac:dyDescent="0.25">
      <c r="A46633" s="2" t="str">
        <f t="shared" si="1474"/>
        <v>38300</v>
      </c>
      <c r="B46633" s="2" t="str">
        <f>"16127"</f>
        <v>16127</v>
      </c>
      <c r="C46633" s="1">
        <v>9.4514336803116399E-5</v>
      </c>
      <c r="D46633" s="1">
        <v>0</v>
      </c>
      <c r="E46633" s="1">
        <v>1.96751415517128E-4</v>
      </c>
      <c r="F46633" s="1">
        <v>9.0829271246480294E-5</v>
      </c>
    </row>
    <row r="46634" spans="1:6" x14ac:dyDescent="0.25">
      <c r="A46634" s="2" t="str">
        <f t="shared" si="1474"/>
        <v>38300</v>
      </c>
      <c r="B46634" s="2" t="str">
        <f>"16059"</f>
        <v>16059</v>
      </c>
      <c r="C46634" s="1">
        <v>3.4570108776635299E-3</v>
      </c>
      <c r="D46634" s="1">
        <v>1.6238910012674199E-3</v>
      </c>
      <c r="E46634" s="1">
        <v>5.6839297816059205E-4</v>
      </c>
      <c r="F46634" s="1">
        <v>3.2168700233128401E-3</v>
      </c>
    </row>
    <row r="46635" spans="1:6" x14ac:dyDescent="0.25">
      <c r="A46635" s="2" t="str">
        <f t="shared" si="1474"/>
        <v>38300</v>
      </c>
      <c r="B46635" s="2" t="str">
        <f>"16030"</f>
        <v>16030</v>
      </c>
      <c r="C46635" s="1">
        <v>0</v>
      </c>
      <c r="D46635" s="1">
        <v>0</v>
      </c>
      <c r="E46635" s="1">
        <v>1.7489014712633599E-4</v>
      </c>
      <c r="F46635" s="1">
        <v>6.0552847497653501E-6</v>
      </c>
    </row>
    <row r="46636" spans="1:6" x14ac:dyDescent="0.25">
      <c r="A46636" s="2" t="str">
        <f t="shared" si="1474"/>
        <v>38300</v>
      </c>
      <c r="B46636" s="2" t="str">
        <f>"16022"</f>
        <v>16022</v>
      </c>
      <c r="C46636" s="1">
        <v>0</v>
      </c>
      <c r="D46636" s="1">
        <v>0</v>
      </c>
      <c r="E46636" s="1">
        <v>8.7445073563168104E-5</v>
      </c>
      <c r="F46636" s="1">
        <v>3.02764237488267E-6</v>
      </c>
    </row>
    <row r="46637" spans="1:6" x14ac:dyDescent="0.25">
      <c r="A46637" s="2" t="str">
        <f t="shared" si="1474"/>
        <v>38300</v>
      </c>
      <c r="B46637" s="2" t="str">
        <f>"15698"</f>
        <v>15698</v>
      </c>
      <c r="C46637" s="1">
        <v>4.6831428145688302E-5</v>
      </c>
      <c r="D46637" s="1">
        <v>1.9803548795944201E-5</v>
      </c>
      <c r="E46637" s="1">
        <v>2.1861268390791999E-5</v>
      </c>
      <c r="F46637" s="1">
        <v>4.39008144357988E-5</v>
      </c>
    </row>
    <row r="46638" spans="1:6" x14ac:dyDescent="0.25">
      <c r="A46638" s="2" t="str">
        <f t="shared" si="1474"/>
        <v>38300</v>
      </c>
      <c r="B46638" s="2" t="str">
        <f>"15671"</f>
        <v>15671</v>
      </c>
      <c r="C46638" s="1">
        <v>2.5629563403367601E-4</v>
      </c>
      <c r="D46638" s="1">
        <v>5.9410646387832598E-5</v>
      </c>
      <c r="E46638" s="1">
        <v>2.1861268390791999E-5</v>
      </c>
      <c r="F46638" s="1">
        <v>2.33128462865966E-4</v>
      </c>
    </row>
    <row r="46639" spans="1:6" x14ac:dyDescent="0.25">
      <c r="A46639" s="2" t="str">
        <f t="shared" si="1474"/>
        <v>38300</v>
      </c>
      <c r="B46639" s="2" t="str">
        <f>"15690"</f>
        <v>15690</v>
      </c>
      <c r="C46639" s="1">
        <v>3.9772654703365403E-3</v>
      </c>
      <c r="D46639" s="1">
        <v>3.6042458808618499E-3</v>
      </c>
      <c r="E46639" s="1">
        <v>2.16426557068841E-3</v>
      </c>
      <c r="F46639" s="1">
        <v>3.8859789881619099E-3</v>
      </c>
    </row>
    <row r="46640" spans="1:6" x14ac:dyDescent="0.25">
      <c r="A46640" s="2" t="str">
        <f t="shared" si="1474"/>
        <v>38300</v>
      </c>
      <c r="B46640" s="2" t="str">
        <f>"15662"</f>
        <v>15662</v>
      </c>
      <c r="C46640" s="1">
        <v>0</v>
      </c>
      <c r="D46640" s="1">
        <v>0</v>
      </c>
      <c r="E46640" s="1">
        <v>2.1861268390791999E-5</v>
      </c>
      <c r="F46640" s="1">
        <v>7.5691059372066897E-7</v>
      </c>
    </row>
    <row r="46641" spans="1:6" x14ac:dyDescent="0.25">
      <c r="A46641" s="2" t="str">
        <f t="shared" si="1474"/>
        <v>38300</v>
      </c>
      <c r="B46641" s="2" t="str">
        <f>"15289"</f>
        <v>15289</v>
      </c>
      <c r="C46641" s="1">
        <v>0</v>
      </c>
      <c r="D46641" s="1">
        <v>0</v>
      </c>
      <c r="E46641" s="1">
        <v>2.1861268390791999E-5</v>
      </c>
      <c r="F46641" s="1">
        <v>7.5691059372066897E-7</v>
      </c>
    </row>
    <row r="46642" spans="1:6" x14ac:dyDescent="0.25">
      <c r="A46642" s="2" t="str">
        <f t="shared" si="1474"/>
        <v>38300</v>
      </c>
      <c r="B46642" s="2" t="str">
        <f>"15230"</f>
        <v>15230</v>
      </c>
      <c r="C46642" s="1">
        <v>1.00900440641164E-3</v>
      </c>
      <c r="D46642" s="1">
        <v>1.89123891001267E-3</v>
      </c>
      <c r="E46642" s="1">
        <v>2.1861268390791999E-5</v>
      </c>
      <c r="F46642" s="1">
        <v>1.0422658875533599E-3</v>
      </c>
    </row>
    <row r="46643" spans="1:6" x14ac:dyDescent="0.25">
      <c r="A46643" s="2" t="str">
        <f t="shared" si="1474"/>
        <v>38300</v>
      </c>
      <c r="B46643" s="2" t="str">
        <f>"15641"</f>
        <v>15641</v>
      </c>
      <c r="C46643" s="1">
        <v>1.7966238797709501E-4</v>
      </c>
      <c r="D46643" s="1">
        <v>3.9607097591888403E-5</v>
      </c>
      <c r="E46643" s="1">
        <v>1.0930634195395999E-4</v>
      </c>
      <c r="F46643" s="1">
        <v>1.66520330618547E-4</v>
      </c>
    </row>
    <row r="46644" spans="1:6" x14ac:dyDescent="0.25">
      <c r="A46644" s="2" t="str">
        <f t="shared" si="1474"/>
        <v>38300</v>
      </c>
      <c r="B46644" s="2" t="str">
        <f>"15466"</f>
        <v>15466</v>
      </c>
      <c r="C46644" s="1">
        <v>0</v>
      </c>
      <c r="D46644" s="1">
        <v>0</v>
      </c>
      <c r="E46644" s="1">
        <v>6.5583805172376105E-5</v>
      </c>
      <c r="F46644" s="1">
        <v>2.2707317811619998E-6</v>
      </c>
    </row>
    <row r="46645" spans="1:6" x14ac:dyDescent="0.25">
      <c r="A46645" s="2" t="str">
        <f t="shared" si="1474"/>
        <v>38300</v>
      </c>
      <c r="B46645" s="2" t="str">
        <f>"15422"</f>
        <v>15422</v>
      </c>
      <c r="C46645" s="1">
        <v>0</v>
      </c>
      <c r="D46645" s="1">
        <v>0</v>
      </c>
      <c r="E46645" s="1">
        <v>4.3722536781583998E-5</v>
      </c>
      <c r="F46645" s="1">
        <v>1.5138211874413299E-6</v>
      </c>
    </row>
    <row r="46646" spans="1:6" x14ac:dyDescent="0.25">
      <c r="A46646" s="2" t="str">
        <f t="shared" si="1474"/>
        <v>38300</v>
      </c>
      <c r="B46646" s="2" t="str">
        <f>"15480"</f>
        <v>15480</v>
      </c>
      <c r="C46646" s="1">
        <v>7.0758030525576302E-4</v>
      </c>
      <c r="D46646" s="1">
        <v>4.95088719898605E-4</v>
      </c>
      <c r="E46646" s="1">
        <v>1.0930634195395999E-4</v>
      </c>
      <c r="F46646" s="1">
        <v>6.7062278603651296E-4</v>
      </c>
    </row>
    <row r="46647" spans="1:6" x14ac:dyDescent="0.25">
      <c r="A46647" s="2" t="str">
        <f t="shared" si="1474"/>
        <v>38300</v>
      </c>
      <c r="B46647" s="2" t="str">
        <f>"15468"</f>
        <v>15468</v>
      </c>
      <c r="C46647" s="1">
        <v>5.9007599463567202E-4</v>
      </c>
      <c r="D46647" s="1">
        <v>1.4852661596958101E-4</v>
      </c>
      <c r="E46647" s="1">
        <v>1.7489014712633599E-4</v>
      </c>
      <c r="F46647" s="1">
        <v>5.41947985103999E-4</v>
      </c>
    </row>
    <row r="46648" spans="1:6" x14ac:dyDescent="0.25">
      <c r="A46648" s="2" t="str">
        <f t="shared" si="1474"/>
        <v>38300</v>
      </c>
      <c r="B46648" s="2" t="str">
        <f>"15464"</f>
        <v>15464</v>
      </c>
      <c r="C46648" s="1">
        <v>4.7257168401558199E-4</v>
      </c>
      <c r="D46648" s="1">
        <v>5.9410646387832598E-5</v>
      </c>
      <c r="E46648" s="1">
        <v>4.3722536781583998E-5</v>
      </c>
      <c r="F46648" s="1">
        <v>4.26140664264737E-4</v>
      </c>
    </row>
    <row r="46649" spans="1:6" x14ac:dyDescent="0.25">
      <c r="A46649" s="2" t="str">
        <f t="shared" si="1474"/>
        <v>38300</v>
      </c>
      <c r="B46649" s="2" t="str">
        <f>"15461"</f>
        <v>15461</v>
      </c>
      <c r="C46649" s="1">
        <v>1.8102475679587799E-3</v>
      </c>
      <c r="D46649" s="1">
        <v>1.6238910012674199E-3</v>
      </c>
      <c r="E46649" s="1">
        <v>5.4653170976979996E-4</v>
      </c>
      <c r="F46649" s="1">
        <v>1.7522480244633501E-3</v>
      </c>
    </row>
    <row r="46650" spans="1:6" x14ac:dyDescent="0.25">
      <c r="A46650" s="2" t="str">
        <f t="shared" si="1474"/>
        <v>38300</v>
      </c>
      <c r="B46650" s="2" t="str">
        <f>"15417"</f>
        <v>15417</v>
      </c>
      <c r="C46650" s="1">
        <v>3.6664750835515201E-3</v>
      </c>
      <c r="D46650" s="1">
        <v>2.6833808618504399E-3</v>
      </c>
      <c r="E46650" s="1">
        <v>1.50842751896465E-3</v>
      </c>
      <c r="F46650" s="1">
        <v>3.5166066184262302E-3</v>
      </c>
    </row>
    <row r="46651" spans="1:6" x14ac:dyDescent="0.25">
      <c r="A46651" s="2" t="str">
        <f t="shared" si="1474"/>
        <v>38300</v>
      </c>
      <c r="B46651" s="2" t="str">
        <f>"15220"</f>
        <v>15220</v>
      </c>
      <c r="C46651" s="1">
        <v>8.0252038231474893E-3</v>
      </c>
      <c r="D46651" s="1">
        <v>1.2862404942965699E-2</v>
      </c>
      <c r="E46651" s="1">
        <v>1.3488402597118599E-2</v>
      </c>
      <c r="F46651" s="1">
        <v>8.5841230433861097E-3</v>
      </c>
    </row>
    <row r="46652" spans="1:6" x14ac:dyDescent="0.25">
      <c r="A46652" s="2" t="str">
        <f t="shared" si="1474"/>
        <v>38300</v>
      </c>
      <c r="B46652" s="2" t="str">
        <f>"15339"</f>
        <v>15339</v>
      </c>
      <c r="C46652" s="1">
        <v>0</v>
      </c>
      <c r="D46652" s="1">
        <v>0</v>
      </c>
      <c r="E46652" s="1">
        <v>2.1861268390791999E-5</v>
      </c>
      <c r="F46652" s="1">
        <v>7.5691059372066897E-7</v>
      </c>
    </row>
    <row r="46653" spans="1:6" x14ac:dyDescent="0.25">
      <c r="A46653" s="2" t="str">
        <f t="shared" si="1474"/>
        <v>38300</v>
      </c>
      <c r="B46653" s="2" t="str">
        <f>"15350"</f>
        <v>15350</v>
      </c>
      <c r="C46653" s="1">
        <v>0</v>
      </c>
      <c r="D46653" s="1">
        <v>0</v>
      </c>
      <c r="E46653" s="1">
        <v>2.1861268390791999E-5</v>
      </c>
      <c r="F46653" s="1">
        <v>7.5691059372066897E-7</v>
      </c>
    </row>
    <row r="46654" spans="1:6" x14ac:dyDescent="0.25">
      <c r="A46654" s="2" t="str">
        <f t="shared" si="1474"/>
        <v>38300</v>
      </c>
      <c r="B46654" s="2" t="str">
        <f>"15322"</f>
        <v>15322</v>
      </c>
      <c r="C46654" s="1">
        <v>2.4778082891627797E-4</v>
      </c>
      <c r="D46654" s="1">
        <v>4.95088719898605E-5</v>
      </c>
      <c r="E46654" s="1">
        <v>0</v>
      </c>
      <c r="F46654" s="1">
        <v>2.2404553574131801E-4</v>
      </c>
    </row>
    <row r="46655" spans="1:6" x14ac:dyDescent="0.25">
      <c r="A46655" s="2" t="str">
        <f t="shared" si="1474"/>
        <v>38300</v>
      </c>
      <c r="B46655" s="2" t="str">
        <f>"15377"</f>
        <v>15377</v>
      </c>
      <c r="C46655" s="1">
        <v>2.6651340017455301E-4</v>
      </c>
      <c r="D46655" s="1">
        <v>2.07937262357414E-4</v>
      </c>
      <c r="E46655" s="1">
        <v>2.1861268390791999E-5</v>
      </c>
      <c r="F46655" s="1">
        <v>2.5356504889642399E-4</v>
      </c>
    </row>
    <row r="46656" spans="1:6" x14ac:dyDescent="0.25">
      <c r="A46656" s="2" t="str">
        <f t="shared" si="1474"/>
        <v>38300</v>
      </c>
      <c r="B46656" s="2" t="str">
        <f>"15342"</f>
        <v>15342</v>
      </c>
      <c r="C46656" s="1">
        <v>2.0759094876216001E-3</v>
      </c>
      <c r="D46656" s="1">
        <v>1.4555608365018999E-3</v>
      </c>
      <c r="E46656" s="1">
        <v>1.13678595632118E-3</v>
      </c>
      <c r="F46656" s="1">
        <v>1.9959732356413999E-3</v>
      </c>
    </row>
    <row r="46657" spans="1:6" x14ac:dyDescent="0.25">
      <c r="A46657" s="2" t="str">
        <f t="shared" si="1474"/>
        <v>38300</v>
      </c>
      <c r="B46657" s="2" t="str">
        <f>"15330"</f>
        <v>15330</v>
      </c>
      <c r="C46657" s="1">
        <v>1.9805436703067402E-3</v>
      </c>
      <c r="D46657" s="1">
        <v>1.2773288973384001E-3</v>
      </c>
      <c r="E46657" s="1">
        <v>3.4978029425267198E-4</v>
      </c>
      <c r="F46657" s="1">
        <v>1.87032607708377E-3</v>
      </c>
    </row>
    <row r="46658" spans="1:6" x14ac:dyDescent="0.25">
      <c r="A46658" s="2" t="str">
        <f t="shared" si="1474"/>
        <v>38300</v>
      </c>
      <c r="B46658" s="2" t="str">
        <f>"15078"</f>
        <v>15078</v>
      </c>
      <c r="C46658" s="1">
        <v>2.2989973816974199E-5</v>
      </c>
      <c r="D46658" s="1">
        <v>1.9803548795944201E-5</v>
      </c>
      <c r="E46658" s="1">
        <v>2.1861268390791999E-5</v>
      </c>
      <c r="F46658" s="1">
        <v>2.2707317811619999E-5</v>
      </c>
    </row>
    <row r="46659" spans="1:6" x14ac:dyDescent="0.25">
      <c r="A46659" s="2" t="str">
        <f t="shared" si="1474"/>
        <v>38300</v>
      </c>
      <c r="B46659" s="2" t="str">
        <f>"15071"</f>
        <v>15071</v>
      </c>
      <c r="C46659" s="1">
        <v>4.62353917874704E-3</v>
      </c>
      <c r="D46659" s="1">
        <v>3.4755228136882101E-3</v>
      </c>
      <c r="E46659" s="1">
        <v>1.5958725925278099E-3</v>
      </c>
      <c r="F46659" s="1">
        <v>4.4309546156407996E-3</v>
      </c>
    </row>
    <row r="46660" spans="1:6" x14ac:dyDescent="0.25">
      <c r="A46660" s="2" t="str">
        <f t="shared" si="1474"/>
        <v>38300</v>
      </c>
      <c r="B46660" s="2" t="str">
        <f>"15043"</f>
        <v>15043</v>
      </c>
      <c r="C46660" s="1">
        <v>7.5356025288971103E-4</v>
      </c>
      <c r="D46660" s="1">
        <v>2.97053231939163E-4</v>
      </c>
      <c r="E46660" s="1">
        <v>1.9019303499988999E-3</v>
      </c>
      <c r="F46660" s="1">
        <v>7.5842441490811096E-4</v>
      </c>
    </row>
    <row r="46661" spans="1:6" x14ac:dyDescent="0.25">
      <c r="A46661" s="2" t="str">
        <f t="shared" si="1474"/>
        <v>38300</v>
      </c>
      <c r="B46661" s="2" t="str">
        <f>"15034"</f>
        <v>15034</v>
      </c>
      <c r="C46661" s="1">
        <v>8.7617344658024105E-4</v>
      </c>
      <c r="D46661" s="1">
        <v>9.6047211660329503E-4</v>
      </c>
      <c r="E46661" s="1">
        <v>2.6014909385042501E-3</v>
      </c>
      <c r="F46661" s="1">
        <v>9.4235368918223303E-4</v>
      </c>
    </row>
    <row r="46662" spans="1:6" x14ac:dyDescent="0.25">
      <c r="A46662" s="2" t="str">
        <f t="shared" si="1474"/>
        <v>38300</v>
      </c>
      <c r="B46662" s="2" t="str">
        <f>"15027"</f>
        <v>15027</v>
      </c>
      <c r="C46662" s="1">
        <v>9.4344040700768399E-4</v>
      </c>
      <c r="D46662" s="1">
        <v>4.85186945500633E-4</v>
      </c>
      <c r="E46662" s="1">
        <v>4.5908663620663202E-4</v>
      </c>
      <c r="F46662" s="1">
        <v>8.9164067940294804E-4</v>
      </c>
    </row>
    <row r="46663" spans="1:6" x14ac:dyDescent="0.25">
      <c r="A46663" s="2" t="str">
        <f t="shared" si="1474"/>
        <v>38300</v>
      </c>
      <c r="B46663" s="2" t="str">
        <f>"15026"</f>
        <v>15026</v>
      </c>
      <c r="C46663" s="1">
        <v>1.55054601187815E-3</v>
      </c>
      <c r="D46663" s="1">
        <v>6.4361533586818705E-4</v>
      </c>
      <c r="E46663" s="1">
        <v>5.9025424655138404E-4</v>
      </c>
      <c r="F46663" s="1">
        <v>1.4479699657876401E-3</v>
      </c>
    </row>
    <row r="46664" spans="1:6" x14ac:dyDescent="0.25">
      <c r="A46664" s="2" t="str">
        <f t="shared" si="1474"/>
        <v>38300</v>
      </c>
      <c r="B46664" s="2" t="str">
        <f>"15063"</f>
        <v>15063</v>
      </c>
      <c r="C46664" s="1">
        <v>4.7350831257849503E-3</v>
      </c>
      <c r="D46664" s="1">
        <v>4.00031685678073E-3</v>
      </c>
      <c r="E46664" s="1">
        <v>4.7438952408018703E-3</v>
      </c>
      <c r="F46664" s="1">
        <v>4.6792212903811799E-3</v>
      </c>
    </row>
    <row r="46665" spans="1:6" x14ac:dyDescent="0.25">
      <c r="A46665" s="2" t="str">
        <f t="shared" si="1474"/>
        <v>38300</v>
      </c>
      <c r="B46665" s="2" t="str">
        <f>"15210"</f>
        <v>15210</v>
      </c>
      <c r="C46665" s="1">
        <v>1.24333184324243E-2</v>
      </c>
      <c r="D46665" s="1">
        <v>6.7827154626108896E-3</v>
      </c>
      <c r="E46665" s="1">
        <v>1.0821327853442E-2</v>
      </c>
      <c r="F46665" s="1">
        <v>1.1945562990099599E-2</v>
      </c>
    </row>
    <row r="46666" spans="1:6" x14ac:dyDescent="0.25">
      <c r="A46666" s="2" t="str">
        <f t="shared" si="1474"/>
        <v>38300</v>
      </c>
      <c r="B46666" s="2" t="str">
        <f>"15135"</f>
        <v>15135</v>
      </c>
      <c r="C46666" s="1">
        <v>1.9669199821188998E-3</v>
      </c>
      <c r="D46666" s="1">
        <v>8.0204372623574104E-4</v>
      </c>
      <c r="E46666" s="1">
        <v>2.0986817655160302E-3</v>
      </c>
      <c r="F46666" s="1">
        <v>1.8824366465833001E-3</v>
      </c>
    </row>
    <row r="46667" spans="1:6" x14ac:dyDescent="0.25">
      <c r="A46667" s="2" t="str">
        <f t="shared" si="1474"/>
        <v>38300</v>
      </c>
      <c r="B46667" s="2" t="str">
        <f>"15129"</f>
        <v>15129</v>
      </c>
      <c r="C46667" s="1">
        <v>4.4864508163569398E-3</v>
      </c>
      <c r="D46667" s="1">
        <v>2.3764258555133001E-3</v>
      </c>
      <c r="E46667" s="1">
        <v>3.5852480160898899E-3</v>
      </c>
      <c r="F46667" s="1">
        <v>4.2939537981773503E-3</v>
      </c>
    </row>
    <row r="46668" spans="1:6" x14ac:dyDescent="0.25">
      <c r="A46668" s="2" t="str">
        <f t="shared" si="1474"/>
        <v>38300</v>
      </c>
      <c r="B46668" s="2" t="str">
        <f>"15122"</f>
        <v>15122</v>
      </c>
      <c r="C46668" s="1">
        <v>8.5905868829427093E-3</v>
      </c>
      <c r="D46668" s="1">
        <v>5.6044043092522101E-3</v>
      </c>
      <c r="E46668" s="1">
        <v>4.28480860459523E-3</v>
      </c>
      <c r="F46668" s="1">
        <v>8.2132368524629792E-3</v>
      </c>
    </row>
    <row r="46669" spans="1:6" x14ac:dyDescent="0.25">
      <c r="A46669" s="2" t="str">
        <f t="shared" si="1474"/>
        <v>38300</v>
      </c>
      <c r="B46669" s="2" t="str">
        <f>"15010"</f>
        <v>15010</v>
      </c>
      <c r="C46669" s="1">
        <v>1.1734252932286001E-2</v>
      </c>
      <c r="D46669" s="1">
        <v>9.4561945500633692E-3</v>
      </c>
      <c r="E46669" s="1">
        <v>9.2473165293050306E-3</v>
      </c>
      <c r="F46669" s="1">
        <v>1.1474007690211599E-2</v>
      </c>
    </row>
    <row r="46670" spans="1:6" x14ac:dyDescent="0.25">
      <c r="A46670" s="2" t="str">
        <f t="shared" si="1474"/>
        <v>38300</v>
      </c>
      <c r="B46670" s="2" t="str">
        <f>"15009"</f>
        <v>15009</v>
      </c>
      <c r="C46670" s="1">
        <v>6.4789152138280404E-3</v>
      </c>
      <c r="D46670" s="1">
        <v>7.9511248415715993E-3</v>
      </c>
      <c r="E46670" s="1">
        <v>7.1923573005705701E-3</v>
      </c>
      <c r="F46670" s="1">
        <v>6.6161554997123699E-3</v>
      </c>
    </row>
    <row r="46671" spans="1:6" x14ac:dyDescent="0.25">
      <c r="A46671" s="2" t="str">
        <f t="shared" si="1474"/>
        <v>38300</v>
      </c>
      <c r="B46671" s="2" t="str">
        <f>"15101"</f>
        <v>15101</v>
      </c>
      <c r="C46671" s="1">
        <v>9.3015731102454296E-3</v>
      </c>
      <c r="D46671" s="1">
        <v>6.4262515842838999E-3</v>
      </c>
      <c r="E46671" s="1">
        <v>7.4765537896508702E-3</v>
      </c>
      <c r="F46671" s="1">
        <v>9.0185897241817706E-3</v>
      </c>
    </row>
    <row r="46672" spans="1:6" x14ac:dyDescent="0.25">
      <c r="A46672" s="2" t="str">
        <f t="shared" si="1474"/>
        <v>38300</v>
      </c>
      <c r="B46672" s="2" t="str">
        <f>"15003"</f>
        <v>15003</v>
      </c>
      <c r="C46672" s="1">
        <v>5.6538305979521803E-3</v>
      </c>
      <c r="D46672" s="1">
        <v>6.4955640050697004E-3</v>
      </c>
      <c r="E46672" s="1">
        <v>8.8975362350523501E-3</v>
      </c>
      <c r="F46672" s="1">
        <v>5.8304823034303101E-3</v>
      </c>
    </row>
    <row r="46673" spans="1:6" x14ac:dyDescent="0.25">
      <c r="A46673" s="2" t="str">
        <f t="shared" si="1474"/>
        <v>38300</v>
      </c>
      <c r="B46673" s="2" t="str">
        <f>"16263"</f>
        <v>16263</v>
      </c>
      <c r="C46673" s="1">
        <v>1.7029610234795699E-6</v>
      </c>
      <c r="D46673" s="1">
        <v>0</v>
      </c>
      <c r="E46673" s="1">
        <v>4.3722536781583998E-5</v>
      </c>
      <c r="F46673" s="1">
        <v>3.02764237488267E-6</v>
      </c>
    </row>
    <row r="46674" spans="1:6" x14ac:dyDescent="0.25">
      <c r="A46674" s="2" t="str">
        <f t="shared" si="1474"/>
        <v>38300</v>
      </c>
      <c r="B46674" s="2" t="str">
        <f>"16249"</f>
        <v>16249</v>
      </c>
      <c r="C46674" s="1">
        <v>6.2839261766396302E-4</v>
      </c>
      <c r="D46674" s="1">
        <v>1.3862484157160901E-4</v>
      </c>
      <c r="E46674" s="1">
        <v>3.7164156264346402E-4</v>
      </c>
      <c r="F46674" s="1">
        <v>5.8206424657119497E-4</v>
      </c>
    </row>
    <row r="46675" spans="1:6" x14ac:dyDescent="0.25">
      <c r="A46675" s="2" t="str">
        <f t="shared" si="1474"/>
        <v>38300</v>
      </c>
      <c r="B46675" s="2" t="str">
        <f>"16240"</f>
        <v>16240</v>
      </c>
      <c r="C46675" s="1">
        <v>1.95840517700151E-4</v>
      </c>
      <c r="D46675" s="1">
        <v>2.9705323193916299E-5</v>
      </c>
      <c r="E46675" s="1">
        <v>0</v>
      </c>
      <c r="F46675" s="1">
        <v>1.7636016833691599E-4</v>
      </c>
    </row>
    <row r="46676" spans="1:6" x14ac:dyDescent="0.25">
      <c r="A46676" s="2" t="str">
        <f t="shared" si="1474"/>
        <v>38300</v>
      </c>
      <c r="B46676" s="2" t="str">
        <f>"15779"</f>
        <v>15779</v>
      </c>
      <c r="C46676" s="1">
        <v>0</v>
      </c>
      <c r="D46676" s="1">
        <v>9.9017743979721092E-6</v>
      </c>
      <c r="E46676" s="1">
        <v>0</v>
      </c>
      <c r="F46676" s="1">
        <v>7.5691059372066897E-7</v>
      </c>
    </row>
    <row r="46677" spans="1:6" x14ac:dyDescent="0.25">
      <c r="A46677" s="2" t="str">
        <f t="shared" si="1474"/>
        <v>38300</v>
      </c>
      <c r="B46677" s="2" t="str">
        <f>"16053"</f>
        <v>16053</v>
      </c>
      <c r="C46677" s="1">
        <v>1.6007833620707999E-3</v>
      </c>
      <c r="D46677" s="1">
        <v>5.0499049429657695E-4</v>
      </c>
      <c r="E46677" s="1">
        <v>1.0930634195395999E-4</v>
      </c>
      <c r="F46677" s="1">
        <v>1.46537890944321E-3</v>
      </c>
    </row>
    <row r="46678" spans="1:6" x14ac:dyDescent="0.25">
      <c r="A46678" s="2" t="str">
        <f t="shared" si="1474"/>
        <v>38300</v>
      </c>
      <c r="B46678" s="2" t="str">
        <f>"16041"</f>
        <v>16041</v>
      </c>
      <c r="C46678" s="1">
        <v>7.2971879856099703E-4</v>
      </c>
      <c r="D46678" s="1">
        <v>2.2774081115335801E-4</v>
      </c>
      <c r="E46678" s="1">
        <v>6.5583805172376105E-5</v>
      </c>
      <c r="F46678" s="1">
        <v>6.6835205425535096E-4</v>
      </c>
    </row>
    <row r="46679" spans="1:6" x14ac:dyDescent="0.25">
      <c r="A46679" s="2" t="str">
        <f t="shared" si="1474"/>
        <v>38300</v>
      </c>
      <c r="B46679" s="2" t="str">
        <f>"16020"</f>
        <v>16020</v>
      </c>
      <c r="C46679" s="1">
        <v>4.1296804819379601E-4</v>
      </c>
      <c r="D46679" s="1">
        <v>1.1882129277566501E-4</v>
      </c>
      <c r="E46679" s="1">
        <v>4.3722536781583998E-5</v>
      </c>
      <c r="F46679" s="1">
        <v>3.7769838626661401E-4</v>
      </c>
    </row>
    <row r="46680" spans="1:6" x14ac:dyDescent="0.25">
      <c r="A46680" s="2" t="str">
        <f t="shared" si="1474"/>
        <v>38300</v>
      </c>
      <c r="B46680" s="2" t="str">
        <f>"15689"</f>
        <v>15689</v>
      </c>
      <c r="C46680" s="1">
        <v>0</v>
      </c>
      <c r="D46680" s="1">
        <v>0</v>
      </c>
      <c r="E46680" s="1">
        <v>2.1861268390791999E-5</v>
      </c>
      <c r="F46680" s="1">
        <v>7.5691059372066897E-7</v>
      </c>
    </row>
    <row r="46681" spans="1:6" x14ac:dyDescent="0.25">
      <c r="A46681" s="2" t="str">
        <f t="shared" ref="A46681:A46723" si="1475">"38300"</f>
        <v>38300</v>
      </c>
      <c r="B46681" s="2" t="str">
        <f>"15692"</f>
        <v>15692</v>
      </c>
      <c r="C46681" s="1">
        <v>3.4655256827809301E-4</v>
      </c>
      <c r="D46681" s="1">
        <v>5.9410646387832598E-5</v>
      </c>
      <c r="E46681" s="1">
        <v>6.5583805172376105E-5</v>
      </c>
      <c r="F46681" s="1">
        <v>3.1487480698779802E-4</v>
      </c>
    </row>
    <row r="46682" spans="1:6" x14ac:dyDescent="0.25">
      <c r="A46682" s="2" t="str">
        <f t="shared" si="1475"/>
        <v>38300</v>
      </c>
      <c r="B46682" s="2" t="str">
        <f>"15691"</f>
        <v>15691</v>
      </c>
      <c r="C46682" s="1">
        <v>0</v>
      </c>
      <c r="D46682" s="1">
        <v>0</v>
      </c>
      <c r="E46682" s="1">
        <v>4.3722536781583998E-5</v>
      </c>
      <c r="F46682" s="1">
        <v>1.5138211874413299E-6</v>
      </c>
    </row>
    <row r="46683" spans="1:6" x14ac:dyDescent="0.25">
      <c r="A46683" s="2" t="str">
        <f t="shared" si="1475"/>
        <v>38300</v>
      </c>
      <c r="B46683" s="2" t="str">
        <f>"15676"</f>
        <v>15676</v>
      </c>
      <c r="C46683" s="1">
        <v>0</v>
      </c>
      <c r="D46683" s="1">
        <v>0</v>
      </c>
      <c r="E46683" s="1">
        <v>1.2023697614935601E-3</v>
      </c>
      <c r="F46683" s="1">
        <v>4.1630082654636803E-5</v>
      </c>
    </row>
    <row r="46684" spans="1:6" x14ac:dyDescent="0.25">
      <c r="A46684" s="2" t="str">
        <f t="shared" si="1475"/>
        <v>38300</v>
      </c>
      <c r="B46684" s="2" t="str">
        <f>"15685"</f>
        <v>15685</v>
      </c>
      <c r="C46684" s="1">
        <v>0</v>
      </c>
      <c r="D46684" s="1">
        <v>0</v>
      </c>
      <c r="E46684" s="1">
        <v>4.3722536781583998E-5</v>
      </c>
      <c r="F46684" s="1">
        <v>1.5138211874413299E-6</v>
      </c>
    </row>
    <row r="46685" spans="1:6" x14ac:dyDescent="0.25">
      <c r="A46685" s="2" t="str">
        <f t="shared" si="1475"/>
        <v>38300</v>
      </c>
      <c r="B46685" s="2" t="str">
        <f>"15681"</f>
        <v>15681</v>
      </c>
      <c r="C46685" s="1">
        <v>8.5148051173978699E-4</v>
      </c>
      <c r="D46685" s="1">
        <v>3.96070975918884E-4</v>
      </c>
      <c r="E46685" s="1">
        <v>8.7445073563168104E-5</v>
      </c>
      <c r="F46685" s="1">
        <v>7.9021465984437903E-4</v>
      </c>
    </row>
    <row r="46686" spans="1:6" x14ac:dyDescent="0.25">
      <c r="A46686" s="2" t="str">
        <f t="shared" si="1475"/>
        <v>38300</v>
      </c>
      <c r="B46686" s="2" t="str">
        <f>"15668"</f>
        <v>15668</v>
      </c>
      <c r="C46686" s="1">
        <v>5.2800306532984204E-3</v>
      </c>
      <c r="D46686" s="1">
        <v>7.7926964512040498E-3</v>
      </c>
      <c r="E46686" s="1">
        <v>2.0330979603436499E-3</v>
      </c>
      <c r="F46686" s="1">
        <v>5.3596839141360599E-3</v>
      </c>
    </row>
    <row r="46687" spans="1:6" x14ac:dyDescent="0.25">
      <c r="A46687" s="2" t="str">
        <f t="shared" si="1475"/>
        <v>38300</v>
      </c>
      <c r="B46687" s="2" t="str">
        <f>"15647"</f>
        <v>15647</v>
      </c>
      <c r="C46687" s="1">
        <v>4.4276986610468901E-5</v>
      </c>
      <c r="D46687" s="1">
        <v>3.9607097591888403E-5</v>
      </c>
      <c r="E46687" s="1">
        <v>4.3722536781583998E-5</v>
      </c>
      <c r="F46687" s="1">
        <v>4.39008144357988E-5</v>
      </c>
    </row>
    <row r="46688" spans="1:6" x14ac:dyDescent="0.25">
      <c r="A46688" s="2" t="str">
        <f t="shared" si="1475"/>
        <v>38300</v>
      </c>
      <c r="B46688" s="2" t="str">
        <f>"15295"</f>
        <v>15295</v>
      </c>
      <c r="C46688" s="1">
        <v>0</v>
      </c>
      <c r="D46688" s="1">
        <v>0</v>
      </c>
      <c r="E46688" s="1">
        <v>4.3722536781583998E-5</v>
      </c>
      <c r="F46688" s="1">
        <v>1.5138211874413299E-6</v>
      </c>
    </row>
    <row r="46689" spans="1:6" x14ac:dyDescent="0.25">
      <c r="A46689" s="2" t="str">
        <f t="shared" si="1475"/>
        <v>38300</v>
      </c>
      <c r="B46689" s="2" t="str">
        <f>"15258"</f>
        <v>15258</v>
      </c>
      <c r="C46689" s="1">
        <v>0</v>
      </c>
      <c r="D46689" s="1">
        <v>0</v>
      </c>
      <c r="E46689" s="1">
        <v>4.3722536781583998E-5</v>
      </c>
      <c r="F46689" s="1">
        <v>1.5138211874413299E-6</v>
      </c>
    </row>
    <row r="46690" spans="1:6" x14ac:dyDescent="0.25">
      <c r="A46690" s="2" t="str">
        <f t="shared" si="1475"/>
        <v>38300</v>
      </c>
      <c r="B46690" s="2" t="str">
        <f>"15240"</f>
        <v>15240</v>
      </c>
      <c r="C46690" s="1">
        <v>0</v>
      </c>
      <c r="D46690" s="1">
        <v>1.9803548795944201E-5</v>
      </c>
      <c r="E46690" s="1">
        <v>6.5583805172376105E-5</v>
      </c>
      <c r="F46690" s="1">
        <v>3.7845529686033401E-6</v>
      </c>
    </row>
    <row r="46691" spans="1:6" x14ac:dyDescent="0.25">
      <c r="A46691" s="2" t="str">
        <f t="shared" si="1475"/>
        <v>38300</v>
      </c>
      <c r="B46691" s="2" t="str">
        <f>"15606"</f>
        <v>15606</v>
      </c>
      <c r="C46691" s="1">
        <v>0</v>
      </c>
      <c r="D46691" s="1">
        <v>0</v>
      </c>
      <c r="E46691" s="1">
        <v>4.3722536781583998E-5</v>
      </c>
      <c r="F46691" s="1">
        <v>1.5138211874413299E-6</v>
      </c>
    </row>
    <row r="46692" spans="1:6" x14ac:dyDescent="0.25">
      <c r="A46692" s="2" t="str">
        <f t="shared" si="1475"/>
        <v>38300</v>
      </c>
      <c r="B46692" s="2" t="str">
        <f>"15634"</f>
        <v>15634</v>
      </c>
      <c r="C46692" s="1">
        <v>2.2904825765800201E-4</v>
      </c>
      <c r="D46692" s="1">
        <v>3.9607097591888403E-5</v>
      </c>
      <c r="E46692" s="1">
        <v>2.1861268390791999E-5</v>
      </c>
      <c r="F46692" s="1">
        <v>2.0739350267946299E-4</v>
      </c>
    </row>
    <row r="46693" spans="1:6" x14ac:dyDescent="0.25">
      <c r="A46693" s="2" t="str">
        <f t="shared" si="1475"/>
        <v>38300</v>
      </c>
      <c r="B46693" s="2" t="str">
        <f>"15636"</f>
        <v>15636</v>
      </c>
      <c r="C46693" s="1">
        <v>1.59141707644166E-3</v>
      </c>
      <c r="D46693" s="1">
        <v>1.72290874524714E-3</v>
      </c>
      <c r="E46693" s="1">
        <v>8.3072819885009696E-4</v>
      </c>
      <c r="F46693" s="1">
        <v>1.57513094553271E-3</v>
      </c>
    </row>
    <row r="46694" spans="1:6" x14ac:dyDescent="0.25">
      <c r="A46694" s="2" t="str">
        <f t="shared" si="1475"/>
        <v>38300</v>
      </c>
      <c r="B46694" s="2" t="str">
        <f>"15622"</f>
        <v>15622</v>
      </c>
      <c r="C46694" s="1">
        <v>3.9849287949421998E-4</v>
      </c>
      <c r="D46694" s="1">
        <v>7.9214195183776901E-5</v>
      </c>
      <c r="E46694" s="1">
        <v>3.0605775747108801E-4</v>
      </c>
      <c r="F46694" s="1">
        <v>3.7088619092312801E-4</v>
      </c>
    </row>
    <row r="46695" spans="1:6" x14ac:dyDescent="0.25">
      <c r="A46695" s="2" t="str">
        <f t="shared" si="1475"/>
        <v>38300</v>
      </c>
      <c r="B46695" s="2" t="str">
        <f>"15460"</f>
        <v>15460</v>
      </c>
      <c r="C46695" s="1">
        <v>0</v>
      </c>
      <c r="D46695" s="1">
        <v>0</v>
      </c>
      <c r="E46695" s="1">
        <v>4.3722536781583998E-5</v>
      </c>
      <c r="F46695" s="1">
        <v>1.5138211874413299E-6</v>
      </c>
    </row>
    <row r="46696" spans="1:6" x14ac:dyDescent="0.25">
      <c r="A46696" s="2" t="str">
        <f t="shared" si="1475"/>
        <v>38300</v>
      </c>
      <c r="B46696" s="2" t="str">
        <f>"15477"</f>
        <v>15477</v>
      </c>
      <c r="C46696" s="1">
        <v>0</v>
      </c>
      <c r="D46696" s="1">
        <v>0</v>
      </c>
      <c r="E46696" s="1">
        <v>1.5302887873554401E-4</v>
      </c>
      <c r="F46696" s="1">
        <v>5.2983741560446799E-6</v>
      </c>
    </row>
    <row r="46697" spans="1:6" x14ac:dyDescent="0.25">
      <c r="A46697" s="2" t="str">
        <f t="shared" si="1475"/>
        <v>38300</v>
      </c>
      <c r="B46697" s="2" t="str">
        <f>"15443"</f>
        <v>15443</v>
      </c>
      <c r="C46697" s="1">
        <v>0</v>
      </c>
      <c r="D46697" s="1">
        <v>0</v>
      </c>
      <c r="E46697" s="1">
        <v>4.3722536781583998E-5</v>
      </c>
      <c r="F46697" s="1">
        <v>1.5138211874413299E-6</v>
      </c>
    </row>
    <row r="46698" spans="1:6" x14ac:dyDescent="0.25">
      <c r="A46698" s="2" t="str">
        <f t="shared" si="1475"/>
        <v>38300</v>
      </c>
      <c r="B46698" s="2" t="str">
        <f>"15472"</f>
        <v>15472</v>
      </c>
      <c r="C46698" s="1">
        <v>0</v>
      </c>
      <c r="D46698" s="1">
        <v>0</v>
      </c>
      <c r="E46698" s="1">
        <v>1.5302887873554401E-4</v>
      </c>
      <c r="F46698" s="1">
        <v>5.2983741560446799E-6</v>
      </c>
    </row>
    <row r="46699" spans="1:6" x14ac:dyDescent="0.25">
      <c r="A46699" s="2" t="str">
        <f t="shared" si="1475"/>
        <v>38300</v>
      </c>
      <c r="B46699" s="2" t="str">
        <f>"15440"</f>
        <v>15440</v>
      </c>
      <c r="C46699" s="1">
        <v>1.1665283010835E-4</v>
      </c>
      <c r="D46699" s="1">
        <v>3.9607097591888403E-5</v>
      </c>
      <c r="E46699" s="1">
        <v>0</v>
      </c>
      <c r="F46699" s="1">
        <v>1.06724393714614E-4</v>
      </c>
    </row>
    <row r="46700" spans="1:6" x14ac:dyDescent="0.25">
      <c r="A46700" s="2" t="str">
        <f t="shared" si="1475"/>
        <v>38300</v>
      </c>
      <c r="B46700" s="2" t="str">
        <f>"15439"</f>
        <v>15439</v>
      </c>
      <c r="C46700" s="1">
        <v>0</v>
      </c>
      <c r="D46700" s="1">
        <v>0</v>
      </c>
      <c r="E46700" s="1">
        <v>2.1861268390791999E-5</v>
      </c>
      <c r="F46700" s="1">
        <v>7.5691059372066897E-7</v>
      </c>
    </row>
    <row r="46701" spans="1:6" x14ac:dyDescent="0.25">
      <c r="A46701" s="2" t="str">
        <f t="shared" si="1475"/>
        <v>38300</v>
      </c>
      <c r="B46701" s="2" t="str">
        <f>"15221"</f>
        <v>15221</v>
      </c>
      <c r="C46701" s="1">
        <v>1.57770824020265E-2</v>
      </c>
      <c r="D46701" s="1">
        <v>1.0278041825094999E-2</v>
      </c>
      <c r="E46701" s="1">
        <v>1.9019303499988999E-2</v>
      </c>
      <c r="F46701" s="1">
        <v>1.5468981803869301E-2</v>
      </c>
    </row>
    <row r="46702" spans="1:6" x14ac:dyDescent="0.25">
      <c r="A46702" s="2" t="str">
        <f t="shared" si="1475"/>
        <v>38300</v>
      </c>
      <c r="B46702" s="2" t="str">
        <f>"15348"</f>
        <v>15348</v>
      </c>
      <c r="C46702" s="1">
        <v>0</v>
      </c>
      <c r="D46702" s="1">
        <v>0</v>
      </c>
      <c r="E46702" s="1">
        <v>1.3116761034475199E-4</v>
      </c>
      <c r="F46702" s="1">
        <v>4.5414635623240098E-6</v>
      </c>
    </row>
    <row r="46703" spans="1:6" x14ac:dyDescent="0.25">
      <c r="A46703" s="2" t="str">
        <f t="shared" si="1475"/>
        <v>38300</v>
      </c>
      <c r="B46703" s="2" t="str">
        <f>"15345"</f>
        <v>15345</v>
      </c>
      <c r="C46703" s="1">
        <v>3.2611703599633803E-4</v>
      </c>
      <c r="D46703" s="1">
        <v>4.95088719898605E-5</v>
      </c>
      <c r="E46703" s="1">
        <v>1.0930634195395999E-4</v>
      </c>
      <c r="F46703" s="1">
        <v>2.97465863332223E-4</v>
      </c>
    </row>
    <row r="46704" spans="1:6" x14ac:dyDescent="0.25">
      <c r="A46704" s="2" t="str">
        <f t="shared" si="1475"/>
        <v>38300</v>
      </c>
      <c r="B46704" s="2" t="str">
        <f>"15336"</f>
        <v>15336</v>
      </c>
      <c r="C46704" s="1">
        <v>0</v>
      </c>
      <c r="D46704" s="1">
        <v>0</v>
      </c>
      <c r="E46704" s="1">
        <v>2.1861268390791999E-5</v>
      </c>
      <c r="F46704" s="1">
        <v>7.5691059372066897E-7</v>
      </c>
    </row>
    <row r="46705" spans="1:6" x14ac:dyDescent="0.25">
      <c r="A46705" s="2" t="str">
        <f t="shared" si="1475"/>
        <v>38300</v>
      </c>
      <c r="B46705" s="2" t="str">
        <f>"15217"</f>
        <v>15217</v>
      </c>
      <c r="C46705" s="1">
        <v>1.1557144985844099E-2</v>
      </c>
      <c r="D46705" s="1">
        <v>8.8224809885931506E-3</v>
      </c>
      <c r="E46705" s="1">
        <v>1.2832564545394901E-2</v>
      </c>
      <c r="F46705" s="1">
        <v>1.1392261346089699E-2</v>
      </c>
    </row>
    <row r="46706" spans="1:6" x14ac:dyDescent="0.25">
      <c r="A46706" s="2" t="str">
        <f t="shared" si="1475"/>
        <v>38300</v>
      </c>
      <c r="B46706" s="2" t="str">
        <f>"15213"</f>
        <v>15213</v>
      </c>
      <c r="C46706" s="1">
        <v>1.23038933946399E-2</v>
      </c>
      <c r="D46706" s="1">
        <v>1.3317886565272399E-2</v>
      </c>
      <c r="E46706" s="1">
        <v>2.2845025468377599E-2</v>
      </c>
      <c r="F46706" s="1">
        <v>1.2746374398256001E-2</v>
      </c>
    </row>
    <row r="46707" spans="1:6" x14ac:dyDescent="0.25">
      <c r="A46707" s="2" t="str">
        <f t="shared" si="1475"/>
        <v>38300</v>
      </c>
      <c r="B46707" s="2" t="str">
        <f>"15072"</f>
        <v>15072</v>
      </c>
      <c r="C46707" s="1">
        <v>0</v>
      </c>
      <c r="D46707" s="1">
        <v>0</v>
      </c>
      <c r="E46707" s="1">
        <v>1.28981483505672E-3</v>
      </c>
      <c r="F46707" s="1">
        <v>4.4657725029519497E-5</v>
      </c>
    </row>
    <row r="46708" spans="1:6" x14ac:dyDescent="0.25">
      <c r="A46708" s="2" t="str">
        <f t="shared" si="1475"/>
        <v>38300</v>
      </c>
      <c r="B46708" s="2" t="str">
        <f>"15088"</f>
        <v>15088</v>
      </c>
      <c r="C46708" s="1">
        <v>0</v>
      </c>
      <c r="D46708" s="1">
        <v>0</v>
      </c>
      <c r="E46708" s="1">
        <v>8.7445073563168104E-5</v>
      </c>
      <c r="F46708" s="1">
        <v>3.02764237488267E-6</v>
      </c>
    </row>
    <row r="46709" spans="1:6" x14ac:dyDescent="0.25">
      <c r="A46709" s="2" t="str">
        <f t="shared" si="1475"/>
        <v>38300</v>
      </c>
      <c r="B46709" s="2" t="str">
        <f>"15064"</f>
        <v>15064</v>
      </c>
      <c r="C46709" s="1">
        <v>1.69444621836217E-4</v>
      </c>
      <c r="D46709" s="1">
        <v>1.98035487959442E-4</v>
      </c>
      <c r="E46709" s="1">
        <v>4.5908663620663202E-4</v>
      </c>
      <c r="F46709" s="1">
        <v>1.8165854249295999E-4</v>
      </c>
    </row>
    <row r="46710" spans="1:6" x14ac:dyDescent="0.25">
      <c r="A46710" s="2" t="str">
        <f t="shared" si="1475"/>
        <v>38300</v>
      </c>
      <c r="B46710" s="2" t="str">
        <f>"15081"</f>
        <v>15081</v>
      </c>
      <c r="C46710" s="1">
        <v>0</v>
      </c>
      <c r="D46710" s="1">
        <v>0</v>
      </c>
      <c r="E46710" s="1">
        <v>5.8588199287322599E-3</v>
      </c>
      <c r="F46710" s="1">
        <v>2.02852039117139E-4</v>
      </c>
    </row>
    <row r="46711" spans="1:6" x14ac:dyDescent="0.25">
      <c r="A46711" s="2" t="str">
        <f t="shared" si="1475"/>
        <v>38300</v>
      </c>
      <c r="B46711" s="2" t="str">
        <f>"15084"</f>
        <v>15084</v>
      </c>
      <c r="C46711" s="1">
        <v>4.3834216744364201E-3</v>
      </c>
      <c r="D46711" s="1">
        <v>5.7529309252217897E-3</v>
      </c>
      <c r="E46711" s="1">
        <v>4.6345888988479104E-3</v>
      </c>
      <c r="F46711" s="1">
        <v>4.4968058372944902E-3</v>
      </c>
    </row>
    <row r="46712" spans="1:6" x14ac:dyDescent="0.25">
      <c r="A46712" s="2" t="str">
        <f t="shared" si="1475"/>
        <v>38300</v>
      </c>
      <c r="B46712" s="2" t="str">
        <f>"15074"</f>
        <v>15074</v>
      </c>
      <c r="C46712" s="1">
        <v>3.73714796602592E-3</v>
      </c>
      <c r="D46712" s="1">
        <v>3.3269961977186301E-3</v>
      </c>
      <c r="E46712" s="1">
        <v>4.67831143562949E-3</v>
      </c>
      <c r="F46712" s="1">
        <v>3.73838142238638E-3</v>
      </c>
    </row>
    <row r="46713" spans="1:6" x14ac:dyDescent="0.25">
      <c r="A46713" s="2" t="str">
        <f t="shared" si="1475"/>
        <v>38300</v>
      </c>
      <c r="B46713" s="2" t="str">
        <f>"15060"</f>
        <v>15060</v>
      </c>
      <c r="C46713" s="1">
        <v>0</v>
      </c>
      <c r="D46713" s="1">
        <v>0</v>
      </c>
      <c r="E46713" s="1">
        <v>1.1367859563211799E-2</v>
      </c>
      <c r="F46713" s="1">
        <v>3.9359350873474798E-4</v>
      </c>
    </row>
    <row r="46714" spans="1:6" x14ac:dyDescent="0.25">
      <c r="A46714" s="2" t="str">
        <f t="shared" si="1475"/>
        <v>38300</v>
      </c>
      <c r="B46714" s="2" t="str">
        <f>"15049"</f>
        <v>15049</v>
      </c>
      <c r="C46714" s="1">
        <v>4.3340358047555099E-4</v>
      </c>
      <c r="D46714" s="1">
        <v>5.9410646387832598E-5</v>
      </c>
      <c r="E46714" s="1">
        <v>6.5583805172376105E-5</v>
      </c>
      <c r="F46714" s="1">
        <v>3.9207968754730602E-4</v>
      </c>
    </row>
    <row r="46715" spans="1:6" x14ac:dyDescent="0.25">
      <c r="A46715" s="2" t="str">
        <f t="shared" si="1475"/>
        <v>38300</v>
      </c>
      <c r="B46715" s="2" t="str">
        <f>"15061"</f>
        <v>15061</v>
      </c>
      <c r="C46715" s="1">
        <v>5.3115354322327904E-3</v>
      </c>
      <c r="D46715" s="1">
        <v>7.9907319391634892E-3</v>
      </c>
      <c r="E46715" s="1">
        <v>5.0280917298821601E-3</v>
      </c>
      <c r="F46715" s="1">
        <v>5.5065245693178702E-3</v>
      </c>
    </row>
    <row r="46716" spans="1:6" x14ac:dyDescent="0.25">
      <c r="A46716" s="2" t="str">
        <f t="shared" si="1475"/>
        <v>38300</v>
      </c>
      <c r="B46716" s="2" t="str">
        <f>"15052"</f>
        <v>15052</v>
      </c>
      <c r="C46716" s="1">
        <v>1.3070225855205701E-3</v>
      </c>
      <c r="D46716" s="1">
        <v>4.2577629911280099E-4</v>
      </c>
      <c r="E46716" s="1">
        <v>5.4653170976979996E-4</v>
      </c>
      <c r="F46716" s="1">
        <v>1.21332768173423E-3</v>
      </c>
    </row>
    <row r="46717" spans="1:6" x14ac:dyDescent="0.25">
      <c r="A46717" s="2" t="str">
        <f t="shared" si="1475"/>
        <v>38300</v>
      </c>
      <c r="B46717" s="2" t="str">
        <f>"15042"</f>
        <v>15042</v>
      </c>
      <c r="C46717" s="1">
        <v>3.3292888009025601E-3</v>
      </c>
      <c r="D46717" s="1">
        <v>1.17831115335868E-3</v>
      </c>
      <c r="E46717" s="1">
        <v>6.3397678333296801E-4</v>
      </c>
      <c r="F46717" s="1">
        <v>3.0715431893184701E-3</v>
      </c>
    </row>
    <row r="46718" spans="1:6" x14ac:dyDescent="0.25">
      <c r="A46718" s="2" t="str">
        <f t="shared" si="1475"/>
        <v>38300</v>
      </c>
      <c r="B46718" s="2" t="str">
        <f>"15030"</f>
        <v>15030</v>
      </c>
      <c r="C46718" s="1">
        <v>4.7853204759775998E-4</v>
      </c>
      <c r="D46718" s="1">
        <v>7.0302598225602004E-4</v>
      </c>
      <c r="E46718" s="1">
        <v>7.65144393677721E-4</v>
      </c>
      <c r="F46718" s="1">
        <v>5.0561627660540695E-4</v>
      </c>
    </row>
    <row r="46719" spans="1:6" x14ac:dyDescent="0.25">
      <c r="A46719" s="2" t="str">
        <f t="shared" si="1475"/>
        <v>38300</v>
      </c>
      <c r="B46719" s="2" t="str">
        <f>"15132"</f>
        <v>15132</v>
      </c>
      <c r="C46719" s="1">
        <v>1.00057474934542E-2</v>
      </c>
      <c r="D46719" s="1">
        <v>1.08820500633713E-2</v>
      </c>
      <c r="E46719" s="1">
        <v>1.27013969350501E-2</v>
      </c>
      <c r="F46719" s="1">
        <v>1.01660661842623E-2</v>
      </c>
    </row>
    <row r="46720" spans="1:6" x14ac:dyDescent="0.25">
      <c r="A46720" s="2" t="str">
        <f t="shared" si="1475"/>
        <v>38300</v>
      </c>
      <c r="B46720" s="2" t="str">
        <f>"15202"</f>
        <v>15202</v>
      </c>
      <c r="C46720" s="1">
        <v>9.1687421504140307E-3</v>
      </c>
      <c r="D46720" s="1">
        <v>5.5647972116603201E-3</v>
      </c>
      <c r="E46720" s="1">
        <v>2.0571453555735301E-2</v>
      </c>
      <c r="F46720" s="1">
        <v>9.2880498955463294E-3</v>
      </c>
    </row>
    <row r="46721" spans="1:6" x14ac:dyDescent="0.25">
      <c r="A46721" s="2" t="str">
        <f t="shared" si="1475"/>
        <v>38300</v>
      </c>
      <c r="B46721" s="2" t="str">
        <f>"15145"</f>
        <v>15145</v>
      </c>
      <c r="C46721" s="1">
        <v>3.3897439172360902E-3</v>
      </c>
      <c r="D46721" s="1">
        <v>2.2477027883396699E-3</v>
      </c>
      <c r="E46721" s="1">
        <v>1.1171108147694699E-2</v>
      </c>
      <c r="F46721" s="1">
        <v>3.5718610917678398E-3</v>
      </c>
    </row>
    <row r="46722" spans="1:6" x14ac:dyDescent="0.25">
      <c r="A46722" s="2" t="str">
        <f t="shared" si="1475"/>
        <v>38300</v>
      </c>
      <c r="B46722" s="2" t="str">
        <f>"15021"</f>
        <v>15021</v>
      </c>
      <c r="C46722" s="1">
        <v>2.83883602614045E-3</v>
      </c>
      <c r="D46722" s="1">
        <v>2.5645595690747701E-3</v>
      </c>
      <c r="E46722" s="1">
        <v>1.48656625057385E-3</v>
      </c>
      <c r="F46722" s="1">
        <v>2.77104968361137E-3</v>
      </c>
    </row>
    <row r="46723" spans="1:6" x14ac:dyDescent="0.25">
      <c r="A46723" s="2" t="str">
        <f t="shared" si="1475"/>
        <v>38300</v>
      </c>
      <c r="B46723" s="2" t="str">
        <f>"15102"</f>
        <v>15102</v>
      </c>
      <c r="C46723" s="1">
        <v>1.1540966856121E-2</v>
      </c>
      <c r="D46723" s="1">
        <v>1.0733523447401701E-2</v>
      </c>
      <c r="E46723" s="1">
        <v>7.0174671534442403E-3</v>
      </c>
      <c r="F46723" s="1">
        <v>1.1322625571467401E-2</v>
      </c>
    </row>
    <row r="46724" spans="1:6" x14ac:dyDescent="0.25">
      <c r="A46724" s="2" t="str">
        <f t="shared" ref="A46724:A46755" si="1476">"20180"</f>
        <v>20180</v>
      </c>
      <c r="B46724" s="2" t="str">
        <f>"16681"</f>
        <v>16681</v>
      </c>
      <c r="C46724" s="1">
        <v>0</v>
      </c>
      <c r="D46724" s="1">
        <v>3.3288948069240998E-4</v>
      </c>
      <c r="E46724" s="1">
        <v>7.5815011372251705E-4</v>
      </c>
      <c r="F46724" s="1">
        <v>5.2637119696810099E-5</v>
      </c>
    </row>
    <row r="46725" spans="1:6" x14ac:dyDescent="0.25">
      <c r="A46725" s="2" t="str">
        <f t="shared" si="1476"/>
        <v>20180</v>
      </c>
      <c r="B46725" s="2" t="str">
        <f>"16871"</f>
        <v>16871</v>
      </c>
      <c r="C46725" s="1">
        <v>6.8303982419148804E-4</v>
      </c>
      <c r="D46725" s="1">
        <v>3.3288948069240998E-4</v>
      </c>
      <c r="E46725" s="1">
        <v>7.5815011372251705E-4</v>
      </c>
      <c r="F46725" s="1">
        <v>6.5796399621012699E-4</v>
      </c>
    </row>
    <row r="46726" spans="1:6" x14ac:dyDescent="0.25">
      <c r="A46726" s="2" t="str">
        <f t="shared" si="1476"/>
        <v>20180</v>
      </c>
      <c r="B46726" s="2" t="str">
        <f>"16866"</f>
        <v>16866</v>
      </c>
      <c r="C46726" s="1">
        <v>3.83987170730258E-2</v>
      </c>
      <c r="D46726" s="1">
        <v>5.3262316910785597E-2</v>
      </c>
      <c r="E46726" s="1">
        <v>4.0940106141015897E-2</v>
      </c>
      <c r="F46726" s="1">
        <v>3.9662069691546398E-2</v>
      </c>
    </row>
    <row r="46727" spans="1:6" x14ac:dyDescent="0.25">
      <c r="A46727" s="2" t="str">
        <f t="shared" si="1476"/>
        <v>20180</v>
      </c>
      <c r="B46727" s="2" t="str">
        <f>"16861"</f>
        <v>16861</v>
      </c>
      <c r="C46727" s="1">
        <v>4.0685415614884297E-3</v>
      </c>
      <c r="D46727" s="1">
        <v>1.3315579227696399E-3</v>
      </c>
      <c r="E46727" s="1">
        <v>0</v>
      </c>
      <c r="F46727" s="1">
        <v>3.7109169386251098E-3</v>
      </c>
    </row>
    <row r="46728" spans="1:6" x14ac:dyDescent="0.25">
      <c r="A46728" s="2" t="str">
        <f t="shared" si="1476"/>
        <v>20180</v>
      </c>
      <c r="B46728" s="2" t="str">
        <f>"15823"</f>
        <v>15823</v>
      </c>
      <c r="C46728" s="1">
        <v>5.9394767320998998E-5</v>
      </c>
      <c r="D46728" s="1">
        <v>0</v>
      </c>
      <c r="E46728" s="1">
        <v>0</v>
      </c>
      <c r="F46728" s="1">
        <v>5.2637119696810099E-5</v>
      </c>
    </row>
    <row r="46729" spans="1:6" x14ac:dyDescent="0.25">
      <c r="A46729" s="2" t="str">
        <f t="shared" si="1476"/>
        <v>20180</v>
      </c>
      <c r="B46729" s="2" t="str">
        <f>"15849"</f>
        <v>15849</v>
      </c>
      <c r="C46729" s="1">
        <v>1.8620259555133099E-2</v>
      </c>
      <c r="D46729" s="1">
        <v>1.23169107856191E-2</v>
      </c>
      <c r="E46729" s="1">
        <v>1.51630022744503E-3</v>
      </c>
      <c r="F46729" s="1">
        <v>1.75281608590377E-2</v>
      </c>
    </row>
    <row r="46730" spans="1:6" x14ac:dyDescent="0.25">
      <c r="A46730" s="2" t="str">
        <f t="shared" si="1476"/>
        <v>20180</v>
      </c>
      <c r="B46730" s="2" t="str">
        <f>"16692"</f>
        <v>16692</v>
      </c>
      <c r="C46730" s="1">
        <v>7.8401092863718703E-3</v>
      </c>
      <c r="D46730" s="1">
        <v>2.99600532623169E-3</v>
      </c>
      <c r="E46730" s="1">
        <v>0</v>
      </c>
      <c r="F46730" s="1">
        <v>7.1849668386145902E-3</v>
      </c>
    </row>
    <row r="46731" spans="1:6" x14ac:dyDescent="0.25">
      <c r="A46731" s="2" t="str">
        <f t="shared" si="1476"/>
        <v>20180</v>
      </c>
      <c r="B46731" s="2" t="str">
        <f>"16661"</f>
        <v>16661</v>
      </c>
      <c r="C46731" s="1">
        <v>1.28589671249962E-2</v>
      </c>
      <c r="D46731" s="1">
        <v>3.9946737683089198E-3</v>
      </c>
      <c r="E46731" s="1">
        <v>0</v>
      </c>
      <c r="F46731" s="1">
        <v>1.17117591325402E-2</v>
      </c>
    </row>
    <row r="46732" spans="1:6" x14ac:dyDescent="0.25">
      <c r="A46732" s="2" t="str">
        <f t="shared" si="1476"/>
        <v>20180</v>
      </c>
      <c r="B46732" s="2" t="str">
        <f>"16855"</f>
        <v>16855</v>
      </c>
      <c r="C46732" s="1">
        <v>0</v>
      </c>
      <c r="D46732" s="1">
        <v>3.3288948069240998E-4</v>
      </c>
      <c r="E46732" s="1">
        <v>0</v>
      </c>
      <c r="F46732" s="1">
        <v>2.6318559848404999E-5</v>
      </c>
    </row>
    <row r="46733" spans="1:6" x14ac:dyDescent="0.25">
      <c r="A46733" s="2" t="str">
        <f t="shared" si="1476"/>
        <v>20180</v>
      </c>
      <c r="B46733" s="2" t="str">
        <f>"15767"</f>
        <v>15767</v>
      </c>
      <c r="C46733" s="1">
        <v>1.6036587176669699E-3</v>
      </c>
      <c r="D46733" s="1">
        <v>0</v>
      </c>
      <c r="E46733" s="1">
        <v>0</v>
      </c>
      <c r="F46733" s="1">
        <v>1.4212022318138701E-3</v>
      </c>
    </row>
    <row r="46734" spans="1:6" x14ac:dyDescent="0.25">
      <c r="A46734" s="2" t="str">
        <f t="shared" si="1476"/>
        <v>20180</v>
      </c>
      <c r="B46734" s="2" t="str">
        <f>"16666"</f>
        <v>16666</v>
      </c>
      <c r="C46734" s="1">
        <v>3.5725952543580901E-2</v>
      </c>
      <c r="D46734" s="1">
        <v>2.52996005326231E-2</v>
      </c>
      <c r="E46734" s="1">
        <v>1.21304018195602E-2</v>
      </c>
      <c r="F46734" s="1">
        <v>3.4082535003684501E-2</v>
      </c>
    </row>
    <row r="46735" spans="1:6" x14ac:dyDescent="0.25">
      <c r="A46735" s="2" t="str">
        <f t="shared" si="1476"/>
        <v>20180</v>
      </c>
      <c r="B46735" s="2" t="str">
        <f>"16651"</f>
        <v>16651</v>
      </c>
      <c r="C46735" s="1">
        <v>5.0188578386244097E-2</v>
      </c>
      <c r="D46735" s="1">
        <v>4.6271637816245E-2</v>
      </c>
      <c r="E46735" s="1">
        <v>2.1986353297952899E-2</v>
      </c>
      <c r="F46735" s="1">
        <v>4.8899884198336602E-2</v>
      </c>
    </row>
    <row r="46736" spans="1:6" x14ac:dyDescent="0.25">
      <c r="A46736" s="2" t="str">
        <f t="shared" si="1476"/>
        <v>20180</v>
      </c>
      <c r="B46736" s="2" t="str">
        <f>"16873"</f>
        <v>16873</v>
      </c>
      <c r="C46736" s="1">
        <v>0</v>
      </c>
      <c r="D46736" s="1">
        <v>3.3288948069240998E-4</v>
      </c>
      <c r="E46736" s="1">
        <v>7.5815011372251705E-4</v>
      </c>
      <c r="F46736" s="1">
        <v>5.2637119696810099E-5</v>
      </c>
    </row>
    <row r="46737" spans="1:6" x14ac:dyDescent="0.25">
      <c r="A46737" s="2" t="str">
        <f t="shared" si="1476"/>
        <v>20180</v>
      </c>
      <c r="B46737" s="2" t="str">
        <f>"16878"</f>
        <v>16878</v>
      </c>
      <c r="C46737" s="1">
        <v>2.3193656638850101E-2</v>
      </c>
      <c r="D46737" s="1">
        <v>4.6604527296937402E-3</v>
      </c>
      <c r="E46737" s="1">
        <v>0</v>
      </c>
      <c r="F46737" s="1">
        <v>2.0923255079481999E-2</v>
      </c>
    </row>
    <row r="46738" spans="1:6" x14ac:dyDescent="0.25">
      <c r="A46738" s="2" t="str">
        <f t="shared" si="1476"/>
        <v>20180</v>
      </c>
      <c r="B46738" s="2" t="str">
        <f>"16645"</f>
        <v>16645</v>
      </c>
      <c r="C46738" s="1">
        <v>2.0491194725744599E-3</v>
      </c>
      <c r="D46738" s="1">
        <v>2.3302263648468701E-3</v>
      </c>
      <c r="E46738" s="1">
        <v>0</v>
      </c>
      <c r="F46738" s="1">
        <v>2.0002105484787799E-3</v>
      </c>
    </row>
    <row r="46739" spans="1:6" x14ac:dyDescent="0.25">
      <c r="A46739" s="2" t="str">
        <f t="shared" si="1476"/>
        <v>20180</v>
      </c>
      <c r="B46739" s="2" t="str">
        <f>"16845"</f>
        <v>16845</v>
      </c>
      <c r="C46739" s="1">
        <v>2.2866985418584602E-3</v>
      </c>
      <c r="D46739" s="1">
        <v>5.3262316910785597E-3</v>
      </c>
      <c r="E46739" s="1">
        <v>2.2744503411675498E-3</v>
      </c>
      <c r="F46739" s="1">
        <v>2.52658174544688E-3</v>
      </c>
    </row>
    <row r="46740" spans="1:6" x14ac:dyDescent="0.25">
      <c r="A46740" s="2" t="str">
        <f t="shared" si="1476"/>
        <v>20180</v>
      </c>
      <c r="B46740" s="2" t="str">
        <f>"16821"</f>
        <v>16821</v>
      </c>
      <c r="C46740" s="1">
        <v>2.6133697621239498E-3</v>
      </c>
      <c r="D46740" s="1">
        <v>9.9866844207722994E-4</v>
      </c>
      <c r="E46740" s="1">
        <v>0</v>
      </c>
      <c r="F46740" s="1">
        <v>2.3949889462048599E-3</v>
      </c>
    </row>
    <row r="46741" spans="1:6" x14ac:dyDescent="0.25">
      <c r="A46741" s="2" t="str">
        <f t="shared" si="1476"/>
        <v>20180</v>
      </c>
      <c r="B46741" s="2" t="str">
        <f>"15851"</f>
        <v>15851</v>
      </c>
      <c r="C46741" s="1">
        <v>1.18789534641998E-4</v>
      </c>
      <c r="D46741" s="1">
        <v>3.3288948069240998E-4</v>
      </c>
      <c r="E46741" s="1">
        <v>0</v>
      </c>
      <c r="F46741" s="1">
        <v>1.31592799242025E-4</v>
      </c>
    </row>
    <row r="46742" spans="1:6" x14ac:dyDescent="0.25">
      <c r="A46742" s="2" t="str">
        <f t="shared" si="1476"/>
        <v>20180</v>
      </c>
      <c r="B46742" s="2" t="str">
        <f>"15724"</f>
        <v>15724</v>
      </c>
      <c r="C46742" s="1">
        <v>5.4940159771923996E-3</v>
      </c>
      <c r="D46742" s="1">
        <v>2.3302263648468701E-3</v>
      </c>
      <c r="E46742" s="1">
        <v>1.51630022744503E-3</v>
      </c>
      <c r="F46742" s="1">
        <v>5.1058006105905796E-3</v>
      </c>
    </row>
    <row r="46743" spans="1:6" x14ac:dyDescent="0.25">
      <c r="A46743" s="2" t="str">
        <f t="shared" si="1476"/>
        <v>20180</v>
      </c>
      <c r="B46743" s="2" t="str">
        <f>"15753"</f>
        <v>15753</v>
      </c>
      <c r="C46743" s="1">
        <v>6.0582662667418999E-3</v>
      </c>
      <c r="D46743" s="1">
        <v>1.9973368841544599E-3</v>
      </c>
      <c r="E46743" s="1">
        <v>0</v>
      </c>
      <c r="F46743" s="1">
        <v>5.5268975681650699E-3</v>
      </c>
    </row>
    <row r="46744" spans="1:6" x14ac:dyDescent="0.25">
      <c r="A46744" s="2" t="str">
        <f t="shared" si="1476"/>
        <v>20180</v>
      </c>
      <c r="B46744" s="2" t="str">
        <f>"15801"</f>
        <v>15801</v>
      </c>
      <c r="C46744" s="1">
        <v>0.28105603896296699</v>
      </c>
      <c r="D46744" s="1">
        <v>0.37782956058588502</v>
      </c>
      <c r="E46744" s="1">
        <v>0.404094010614101</v>
      </c>
      <c r="F46744" s="1">
        <v>0.29297820823244503</v>
      </c>
    </row>
    <row r="46745" spans="1:6" x14ac:dyDescent="0.25">
      <c r="A46745" s="2" t="str">
        <f t="shared" si="1476"/>
        <v>20180</v>
      </c>
      <c r="B46745" s="2" t="str">
        <f>"16680"</f>
        <v>16680</v>
      </c>
      <c r="C46745" s="1">
        <v>2.0788168562349599E-3</v>
      </c>
      <c r="D46745" s="1">
        <v>6.6577896138481996E-4</v>
      </c>
      <c r="E46745" s="1">
        <v>1.51630022744503E-3</v>
      </c>
      <c r="F46745" s="1">
        <v>1.94757342878197E-3</v>
      </c>
    </row>
    <row r="46746" spans="1:6" x14ac:dyDescent="0.25">
      <c r="A46746" s="2" t="str">
        <f t="shared" si="1476"/>
        <v>20180</v>
      </c>
      <c r="B46746" s="2" t="str">
        <f>"16876"</f>
        <v>16876</v>
      </c>
      <c r="C46746" s="1">
        <v>0</v>
      </c>
      <c r="D46746" s="1">
        <v>3.3288948069240998E-4</v>
      </c>
      <c r="E46746" s="1">
        <v>0.107657316148597</v>
      </c>
      <c r="F46746" s="1">
        <v>3.7635540583219199E-3</v>
      </c>
    </row>
    <row r="46747" spans="1:6" x14ac:dyDescent="0.25">
      <c r="A46747" s="2" t="str">
        <f t="shared" si="1476"/>
        <v>20180</v>
      </c>
      <c r="B46747" s="2" t="str">
        <f>"16863"</f>
        <v>16863</v>
      </c>
      <c r="C46747" s="1">
        <v>1.0334689513853801E-2</v>
      </c>
      <c r="D46747" s="1">
        <v>4.6604527296937402E-3</v>
      </c>
      <c r="E46747" s="1">
        <v>0</v>
      </c>
      <c r="F46747" s="1">
        <v>9.5273186651226392E-3</v>
      </c>
    </row>
    <row r="46748" spans="1:6" x14ac:dyDescent="0.25">
      <c r="A46748" s="2" t="str">
        <f t="shared" si="1476"/>
        <v>20180</v>
      </c>
      <c r="B46748" s="2" t="str">
        <f>"16858"</f>
        <v>16858</v>
      </c>
      <c r="C46748" s="1">
        <v>4.7278234787515201E-2</v>
      </c>
      <c r="D46748" s="1">
        <v>1.99733688415446E-2</v>
      </c>
      <c r="E46748" s="1">
        <v>5.3070507960576102E-3</v>
      </c>
      <c r="F46748" s="1">
        <v>4.3662490788504003E-2</v>
      </c>
    </row>
    <row r="46749" spans="1:6" x14ac:dyDescent="0.25">
      <c r="A46749" s="2" t="str">
        <f t="shared" si="1476"/>
        <v>20180</v>
      </c>
      <c r="B46749" s="2" t="str">
        <f>"16839"</f>
        <v>16839</v>
      </c>
      <c r="C46749" s="1">
        <v>6.9194903928963799E-3</v>
      </c>
      <c r="D46749" s="1">
        <v>1.9973368841544599E-3</v>
      </c>
      <c r="E46749" s="1">
        <v>7.5815011372251705E-4</v>
      </c>
      <c r="F46749" s="1">
        <v>6.3164543636172197E-3</v>
      </c>
    </row>
    <row r="46750" spans="1:6" x14ac:dyDescent="0.25">
      <c r="A46750" s="2" t="str">
        <f t="shared" si="1476"/>
        <v>20180</v>
      </c>
      <c r="B46750" s="2" t="str">
        <f>"16837"</f>
        <v>16837</v>
      </c>
      <c r="C46750" s="1">
        <v>2.8806462150684502E-3</v>
      </c>
      <c r="D46750" s="1">
        <v>3.3288948069240998E-4</v>
      </c>
      <c r="E46750" s="1">
        <v>7.5815011372251705E-4</v>
      </c>
      <c r="F46750" s="1">
        <v>2.6055374249920999E-3</v>
      </c>
    </row>
    <row r="46751" spans="1:6" x14ac:dyDescent="0.25">
      <c r="A46751" s="2" t="str">
        <f t="shared" si="1476"/>
        <v>20180</v>
      </c>
      <c r="B46751" s="2" t="str">
        <f>"15824"</f>
        <v>15824</v>
      </c>
      <c r="C46751" s="1">
        <v>1.09880319543848E-3</v>
      </c>
      <c r="D46751" s="1">
        <v>3.3288948069240998E-4</v>
      </c>
      <c r="E46751" s="1">
        <v>0</v>
      </c>
      <c r="F46751" s="1">
        <v>1.0001052742393899E-3</v>
      </c>
    </row>
    <row r="46752" spans="1:6" x14ac:dyDescent="0.25">
      <c r="A46752" s="2" t="str">
        <f t="shared" si="1476"/>
        <v>20180</v>
      </c>
      <c r="B46752" s="2" t="str">
        <f>"15742"</f>
        <v>15742</v>
      </c>
      <c r="C46752" s="1">
        <v>9.5031627713598396E-4</v>
      </c>
      <c r="D46752" s="1">
        <v>0</v>
      </c>
      <c r="E46752" s="1">
        <v>0</v>
      </c>
      <c r="F46752" s="1">
        <v>8.4219391514896299E-4</v>
      </c>
    </row>
    <row r="46753" spans="1:6" x14ac:dyDescent="0.25">
      <c r="A46753" s="2" t="str">
        <f t="shared" si="1476"/>
        <v>20180</v>
      </c>
      <c r="B46753" s="2" t="str">
        <f>"15856"</f>
        <v>15856</v>
      </c>
      <c r="C46753" s="1">
        <v>1.19977429988418E-2</v>
      </c>
      <c r="D46753" s="1">
        <v>2.6631158455392798E-3</v>
      </c>
      <c r="E46753" s="1">
        <v>3.03260045489006E-3</v>
      </c>
      <c r="F46753" s="1">
        <v>1.0948520896936501E-2</v>
      </c>
    </row>
    <row r="46754" spans="1:6" x14ac:dyDescent="0.25">
      <c r="A46754" s="2" t="str">
        <f t="shared" si="1476"/>
        <v>20180</v>
      </c>
      <c r="B46754" s="2" t="str">
        <f>"16620"</f>
        <v>16620</v>
      </c>
      <c r="C46754" s="1">
        <v>0</v>
      </c>
      <c r="D46754" s="1">
        <v>3.3288948069240998E-4</v>
      </c>
      <c r="E46754" s="1">
        <v>0</v>
      </c>
      <c r="F46754" s="1">
        <v>2.6318559848404999E-5</v>
      </c>
    </row>
    <row r="46755" spans="1:6" x14ac:dyDescent="0.25">
      <c r="A46755" s="2" t="str">
        <f t="shared" si="1476"/>
        <v>20180</v>
      </c>
      <c r="B46755" s="2" t="str">
        <f>"16646"</f>
        <v>16646</v>
      </c>
      <c r="C46755" s="1">
        <v>3.86065987586493E-4</v>
      </c>
      <c r="D46755" s="1">
        <v>0</v>
      </c>
      <c r="E46755" s="1">
        <v>0</v>
      </c>
      <c r="F46755" s="1">
        <v>3.4214127802926602E-4</v>
      </c>
    </row>
    <row r="46756" spans="1:6" x14ac:dyDescent="0.25">
      <c r="A46756" s="2" t="str">
        <f t="shared" ref="A46756:A46782" si="1477">"20180"</f>
        <v>20180</v>
      </c>
      <c r="B46756" s="2" t="str">
        <f>"16627"</f>
        <v>16627</v>
      </c>
      <c r="C46756" s="1">
        <v>2.06990764113681E-2</v>
      </c>
      <c r="D46756" s="1">
        <v>2.6631158455392798E-3</v>
      </c>
      <c r="E46756" s="1">
        <v>3.03260045489006E-3</v>
      </c>
      <c r="F46756" s="1">
        <v>1.8659858932519199E-2</v>
      </c>
    </row>
    <row r="46757" spans="1:6" x14ac:dyDescent="0.25">
      <c r="A46757" s="2" t="str">
        <f t="shared" si="1477"/>
        <v>20180</v>
      </c>
      <c r="B46757" s="2" t="str">
        <f>"16840"</f>
        <v>16840</v>
      </c>
      <c r="C46757" s="1">
        <v>1.7224482523089701E-3</v>
      </c>
      <c r="D46757" s="1">
        <v>9.9866844207722994E-4</v>
      </c>
      <c r="E46757" s="1">
        <v>1.51630022744503E-3</v>
      </c>
      <c r="F46757" s="1">
        <v>1.6580692704495201E-3</v>
      </c>
    </row>
    <row r="46758" spans="1:6" x14ac:dyDescent="0.25">
      <c r="A46758" s="2" t="str">
        <f t="shared" si="1477"/>
        <v>20180</v>
      </c>
      <c r="B46758" s="2" t="str">
        <f>"16860"</f>
        <v>16860</v>
      </c>
      <c r="C46758" s="1">
        <v>3.7715677248834302E-3</v>
      </c>
      <c r="D46758" s="1">
        <v>1.3315579227696399E-3</v>
      </c>
      <c r="E46758" s="1">
        <v>7.5815011372251705E-4</v>
      </c>
      <c r="F46758" s="1">
        <v>3.47404989998947E-3</v>
      </c>
    </row>
    <row r="46759" spans="1:6" x14ac:dyDescent="0.25">
      <c r="A46759" s="2" t="str">
        <f t="shared" si="1477"/>
        <v>20180</v>
      </c>
      <c r="B46759" s="2" t="str">
        <f>"16838"</f>
        <v>16838</v>
      </c>
      <c r="C46759" s="1">
        <v>2.0966352864312601E-2</v>
      </c>
      <c r="D46759" s="1">
        <v>1.03195739014647E-2</v>
      </c>
      <c r="E46759" s="1">
        <v>3.03260045489006E-3</v>
      </c>
      <c r="F46759" s="1">
        <v>1.9502052847668101E-2</v>
      </c>
    </row>
    <row r="46760" spans="1:6" x14ac:dyDescent="0.25">
      <c r="A46760" s="2" t="str">
        <f t="shared" si="1477"/>
        <v>20180</v>
      </c>
      <c r="B46760" s="2" t="str">
        <f>"15848"</f>
        <v>15848</v>
      </c>
      <c r="C46760" s="1">
        <v>1.14334927092923E-2</v>
      </c>
      <c r="D46760" s="1">
        <v>4.3275632490013304E-3</v>
      </c>
      <c r="E46760" s="1">
        <v>0</v>
      </c>
      <c r="F46760" s="1">
        <v>1.04747868196652E-2</v>
      </c>
    </row>
    <row r="46761" spans="1:6" x14ac:dyDescent="0.25">
      <c r="A46761" s="2" t="str">
        <f t="shared" si="1477"/>
        <v>20180</v>
      </c>
      <c r="B46761" s="2" t="str">
        <f>"16671"</f>
        <v>16671</v>
      </c>
      <c r="C46761" s="1">
        <v>5.9394767320998998E-5</v>
      </c>
      <c r="D46761" s="1">
        <v>3.3288948069240998E-4</v>
      </c>
      <c r="E46761" s="1">
        <v>0</v>
      </c>
      <c r="F46761" s="1">
        <v>7.8955679545215202E-5</v>
      </c>
    </row>
    <row r="46762" spans="1:6" x14ac:dyDescent="0.25">
      <c r="A46762" s="2" t="str">
        <f t="shared" si="1477"/>
        <v>20180</v>
      </c>
      <c r="B46762" s="2" t="str">
        <f>"16663"</f>
        <v>16663</v>
      </c>
      <c r="C46762" s="1">
        <v>0</v>
      </c>
      <c r="D46762" s="1">
        <v>3.3288948069240998E-4</v>
      </c>
      <c r="E46762" s="1">
        <v>0</v>
      </c>
      <c r="F46762" s="1">
        <v>2.6318559848404999E-5</v>
      </c>
    </row>
    <row r="46763" spans="1:6" x14ac:dyDescent="0.25">
      <c r="A46763" s="2" t="str">
        <f t="shared" si="1477"/>
        <v>20180</v>
      </c>
      <c r="B46763" s="2" t="str">
        <f>"16656"</f>
        <v>16656</v>
      </c>
      <c r="C46763" s="1">
        <v>1.19680456151813E-2</v>
      </c>
      <c r="D46763" s="1">
        <v>7.32356857523302E-3</v>
      </c>
      <c r="E46763" s="1">
        <v>0.119029567854435</v>
      </c>
      <c r="F46763" s="1">
        <v>1.53174018317717E-2</v>
      </c>
    </row>
    <row r="46764" spans="1:6" x14ac:dyDescent="0.25">
      <c r="A46764" s="2" t="str">
        <f t="shared" si="1477"/>
        <v>20180</v>
      </c>
      <c r="B46764" s="2" t="str">
        <f>"16881"</f>
        <v>16881</v>
      </c>
      <c r="C46764" s="1">
        <v>2.7291895583998999E-2</v>
      </c>
      <c r="D46764" s="1">
        <v>1.7976031957390101E-2</v>
      </c>
      <c r="E46764" s="1">
        <v>1.51630022744503E-3</v>
      </c>
      <c r="F46764" s="1">
        <v>2.5660595852194899E-2</v>
      </c>
    </row>
    <row r="46765" spans="1:6" x14ac:dyDescent="0.25">
      <c r="A46765" s="2" t="str">
        <f t="shared" si="1477"/>
        <v>20180</v>
      </c>
      <c r="B46765" s="2" t="str">
        <f>"16843"</f>
        <v>16843</v>
      </c>
      <c r="C46765" s="1">
        <v>0</v>
      </c>
      <c r="D46765" s="1">
        <v>3.3288948069240998E-4</v>
      </c>
      <c r="E46765" s="1">
        <v>1.59211523881728E-2</v>
      </c>
      <c r="F46765" s="1">
        <v>5.7900831666491195E-4</v>
      </c>
    </row>
    <row r="46766" spans="1:6" x14ac:dyDescent="0.25">
      <c r="A46766" s="2" t="str">
        <f t="shared" si="1477"/>
        <v>20180</v>
      </c>
      <c r="B46766" s="2" t="str">
        <f>"16849"</f>
        <v>16849</v>
      </c>
      <c r="C46766" s="1">
        <v>0</v>
      </c>
      <c r="D46766" s="1">
        <v>3.3288948069240998E-4</v>
      </c>
      <c r="E46766" s="1">
        <v>0</v>
      </c>
      <c r="F46766" s="1">
        <v>2.6318559848404999E-5</v>
      </c>
    </row>
    <row r="46767" spans="1:6" x14ac:dyDescent="0.25">
      <c r="A46767" s="2" t="str">
        <f t="shared" si="1477"/>
        <v>20180</v>
      </c>
      <c r="B46767" s="2" t="str">
        <f>"16847"</f>
        <v>16847</v>
      </c>
      <c r="C46767" s="1">
        <v>0</v>
      </c>
      <c r="D46767" s="1">
        <v>3.3288948069240998E-4</v>
      </c>
      <c r="E46767" s="1">
        <v>0</v>
      </c>
      <c r="F46767" s="1">
        <v>2.6318559848404999E-5</v>
      </c>
    </row>
    <row r="46768" spans="1:6" x14ac:dyDescent="0.25">
      <c r="A46768" s="2" t="str">
        <f t="shared" si="1477"/>
        <v>20180</v>
      </c>
      <c r="B46768" s="2" t="str">
        <f>"16833"</f>
        <v>16833</v>
      </c>
      <c r="C46768" s="1">
        <v>7.3619814094378205E-2</v>
      </c>
      <c r="D46768" s="1">
        <v>6.19174434087882E-2</v>
      </c>
      <c r="E46768" s="1">
        <v>4.16982562547384E-2</v>
      </c>
      <c r="F46768" s="1">
        <v>7.1586482787661804E-2</v>
      </c>
    </row>
    <row r="46769" spans="1:6" x14ac:dyDescent="0.25">
      <c r="A46769" s="2" t="str">
        <f t="shared" si="1477"/>
        <v>20180</v>
      </c>
      <c r="B46769" s="2" t="str">
        <f>"15757"</f>
        <v>15757</v>
      </c>
      <c r="C46769" s="1">
        <v>2.4025183381344101E-2</v>
      </c>
      <c r="D46769" s="1">
        <v>1.6311584553928001E-2</v>
      </c>
      <c r="E46769" s="1">
        <v>0</v>
      </c>
      <c r="F46769" s="1">
        <v>2.25813243499315E-2</v>
      </c>
    </row>
    <row r="46770" spans="1:6" x14ac:dyDescent="0.25">
      <c r="A46770" s="2" t="str">
        <f t="shared" si="1477"/>
        <v>20180</v>
      </c>
      <c r="B46770" s="2" t="str">
        <f>"16879"</f>
        <v>16879</v>
      </c>
      <c r="C46770" s="1">
        <v>1.4551717993644699E-3</v>
      </c>
      <c r="D46770" s="1">
        <v>9.9866844207722994E-4</v>
      </c>
      <c r="E46770" s="1">
        <v>0</v>
      </c>
      <c r="F46770" s="1">
        <v>1.36856511211706E-3</v>
      </c>
    </row>
    <row r="46771" spans="1:6" x14ac:dyDescent="0.25">
      <c r="A46771" s="2" t="str">
        <f t="shared" si="1477"/>
        <v>20180</v>
      </c>
      <c r="B46771" s="2" t="str">
        <f>"16639"</f>
        <v>16639</v>
      </c>
      <c r="C46771" s="1">
        <v>2.10851423989546E-3</v>
      </c>
      <c r="D46771" s="1">
        <v>9.9866844207722994E-4</v>
      </c>
      <c r="E46771" s="1">
        <v>0</v>
      </c>
      <c r="F46771" s="1">
        <v>1.94757342878197E-3</v>
      </c>
    </row>
    <row r="46772" spans="1:6" x14ac:dyDescent="0.25">
      <c r="A46772" s="2" t="str">
        <f t="shared" si="1477"/>
        <v>20180</v>
      </c>
      <c r="B46772" s="2" t="str">
        <f>"16640"</f>
        <v>16640</v>
      </c>
      <c r="C46772" s="1">
        <v>2.9697383660499499E-5</v>
      </c>
      <c r="D46772" s="1">
        <v>0</v>
      </c>
      <c r="E46772" s="1">
        <v>0</v>
      </c>
      <c r="F46772" s="1">
        <v>2.6318559848404999E-5</v>
      </c>
    </row>
    <row r="46773" spans="1:6" x14ac:dyDescent="0.25">
      <c r="A46773" s="2" t="str">
        <f t="shared" si="1477"/>
        <v>20180</v>
      </c>
      <c r="B46773" s="2" t="str">
        <f>"16850"</f>
        <v>16850</v>
      </c>
      <c r="C46773" s="1">
        <v>1.03940842811748E-3</v>
      </c>
      <c r="D46773" s="1">
        <v>2.6631158455392798E-3</v>
      </c>
      <c r="E46773" s="1">
        <v>0</v>
      </c>
      <c r="F46773" s="1">
        <v>1.13169807348141E-3</v>
      </c>
    </row>
    <row r="46774" spans="1:6" x14ac:dyDescent="0.25">
      <c r="A46774" s="2" t="str">
        <f t="shared" si="1477"/>
        <v>20180</v>
      </c>
      <c r="B46774" s="2" t="str">
        <f>"16834"</f>
        <v>16834</v>
      </c>
      <c r="C46774" s="1">
        <v>0</v>
      </c>
      <c r="D46774" s="1">
        <v>3.3288948069240998E-4</v>
      </c>
      <c r="E46774" s="1">
        <v>0</v>
      </c>
      <c r="F46774" s="1">
        <v>2.6318559848404999E-5</v>
      </c>
    </row>
    <row r="46775" spans="1:6" x14ac:dyDescent="0.25">
      <c r="A46775" s="2" t="str">
        <f t="shared" si="1477"/>
        <v>20180</v>
      </c>
      <c r="B46775" s="2" t="str">
        <f>"16836"</f>
        <v>16836</v>
      </c>
      <c r="C46775" s="1">
        <v>1.60068897930092E-2</v>
      </c>
      <c r="D46775" s="1">
        <v>1.06524633821571E-2</v>
      </c>
      <c r="E46775" s="1">
        <v>0</v>
      </c>
      <c r="F46775" s="1">
        <v>1.5027897673439299E-2</v>
      </c>
    </row>
    <row r="46776" spans="1:6" x14ac:dyDescent="0.25">
      <c r="A46776" s="2" t="str">
        <f t="shared" si="1477"/>
        <v>20180</v>
      </c>
      <c r="B46776" s="2" t="str">
        <f>"15866"</f>
        <v>15866</v>
      </c>
      <c r="C46776" s="1">
        <v>2.8212514477474501E-3</v>
      </c>
      <c r="D46776" s="1">
        <v>1.3315579227696399E-3</v>
      </c>
      <c r="E46776" s="1">
        <v>7.5815011372251705E-4</v>
      </c>
      <c r="F46776" s="1">
        <v>2.6318559848405002E-3</v>
      </c>
    </row>
    <row r="46777" spans="1:6" x14ac:dyDescent="0.25">
      <c r="A46777" s="2" t="str">
        <f t="shared" si="1477"/>
        <v>20180</v>
      </c>
      <c r="B46777" s="2" t="str">
        <f>"15865"</f>
        <v>15865</v>
      </c>
      <c r="C46777" s="1">
        <v>1.18789534641998E-4</v>
      </c>
      <c r="D46777" s="1">
        <v>0</v>
      </c>
      <c r="E46777" s="1">
        <v>0</v>
      </c>
      <c r="F46777" s="1">
        <v>1.0527423939361999E-4</v>
      </c>
    </row>
    <row r="46778" spans="1:6" x14ac:dyDescent="0.25">
      <c r="A46778" s="2" t="str">
        <f t="shared" si="1477"/>
        <v>20180</v>
      </c>
      <c r="B46778" s="2" t="str">
        <f>"16616"</f>
        <v>16616</v>
      </c>
      <c r="C46778" s="1">
        <v>1.9303299379324599E-3</v>
      </c>
      <c r="D46778" s="1">
        <v>6.6577896138481996E-4</v>
      </c>
      <c r="E46778" s="1">
        <v>0</v>
      </c>
      <c r="F46778" s="1">
        <v>1.76334350984314E-3</v>
      </c>
    </row>
    <row r="46779" spans="1:6" x14ac:dyDescent="0.25">
      <c r="A46779" s="2" t="str">
        <f t="shared" si="1477"/>
        <v>20180</v>
      </c>
      <c r="B46779" s="2" t="str">
        <f>"16825"</f>
        <v>16825</v>
      </c>
      <c r="C46779" s="1">
        <v>0</v>
      </c>
      <c r="D46779" s="1">
        <v>3.3288948069240998E-4</v>
      </c>
      <c r="E46779" s="1">
        <v>2.2744503411675498E-3</v>
      </c>
      <c r="F46779" s="1">
        <v>1.0527423939361999E-4</v>
      </c>
    </row>
    <row r="46780" spans="1:6" x14ac:dyDescent="0.25">
      <c r="A46780" s="2" t="str">
        <f t="shared" si="1477"/>
        <v>20180</v>
      </c>
      <c r="B46780" s="2" t="str">
        <f>"16830"</f>
        <v>16830</v>
      </c>
      <c r="C46780" s="1">
        <v>0.20164523505479101</v>
      </c>
      <c r="D46780" s="1">
        <v>0.28162450066577799</v>
      </c>
      <c r="E46780" s="1">
        <v>0.201667930250189</v>
      </c>
      <c r="F46780" s="1">
        <v>0.207969259922097</v>
      </c>
    </row>
    <row r="46781" spans="1:6" x14ac:dyDescent="0.25">
      <c r="A46781" s="2" t="str">
        <f t="shared" si="1477"/>
        <v>20180</v>
      </c>
      <c r="B46781" s="2" t="str">
        <f>"15840"</f>
        <v>15840</v>
      </c>
      <c r="C46781" s="1">
        <v>4.4546075490749199E-4</v>
      </c>
      <c r="D46781" s="1">
        <v>1.6644474034620499E-3</v>
      </c>
      <c r="E46781" s="1">
        <v>2.2744503411675498E-3</v>
      </c>
      <c r="F46781" s="1">
        <v>6.05326876513317E-4</v>
      </c>
    </row>
    <row r="46782" spans="1:6" x14ac:dyDescent="0.25">
      <c r="A46782" s="2" t="str">
        <f t="shared" si="1477"/>
        <v>20180</v>
      </c>
      <c r="B46782" s="2" t="str">
        <f>"15721"</f>
        <v>15721</v>
      </c>
      <c r="C46782" s="1">
        <v>0</v>
      </c>
      <c r="D46782" s="1">
        <v>0</v>
      </c>
      <c r="E46782" s="1">
        <v>7.5815011372251705E-4</v>
      </c>
      <c r="F46782" s="1">
        <v>2.6318559848404999E-5</v>
      </c>
    </row>
    <row r="46783" spans="1:6" x14ac:dyDescent="0.25">
      <c r="A46783" s="2" t="str">
        <f t="shared" ref="A46783:A46814" si="1478">"27780"</f>
        <v>27780</v>
      </c>
      <c r="B46783" s="2" t="str">
        <f>"15737"</f>
        <v>15737</v>
      </c>
      <c r="C46783" s="1">
        <v>0</v>
      </c>
      <c r="D46783" s="1">
        <v>1.9087612139721301E-4</v>
      </c>
      <c r="E46783" s="1">
        <v>2.2542831379621202E-3</v>
      </c>
      <c r="F46783" s="1">
        <v>8.4602368866328203E-5</v>
      </c>
    </row>
    <row r="46784" spans="1:6" x14ac:dyDescent="0.25">
      <c r="A46784" s="2" t="str">
        <f t="shared" si="1478"/>
        <v>27780</v>
      </c>
      <c r="B46784" s="2" t="str">
        <f>"15963"</f>
        <v>15963</v>
      </c>
      <c r="C46784" s="1">
        <v>2.0137718040433E-2</v>
      </c>
      <c r="D46784" s="1">
        <v>5.3445313991219599E-3</v>
      </c>
      <c r="E46784" s="1">
        <v>1.8034265103697E-3</v>
      </c>
      <c r="F46784" s="1">
        <v>1.8471517202481601E-2</v>
      </c>
    </row>
    <row r="46785" spans="1:6" x14ac:dyDescent="0.25">
      <c r="A46785" s="2" t="str">
        <f t="shared" si="1478"/>
        <v>27780</v>
      </c>
      <c r="B46785" s="2" t="str">
        <f>"15927"</f>
        <v>15927</v>
      </c>
      <c r="C46785" s="1">
        <v>2.1272237366654501E-3</v>
      </c>
      <c r="D46785" s="1">
        <v>1.14525672838327E-3</v>
      </c>
      <c r="E46785" s="1">
        <v>2.2542831379621202E-3</v>
      </c>
      <c r="F46785" s="1">
        <v>2.0586576424139798E-3</v>
      </c>
    </row>
    <row r="46786" spans="1:6" x14ac:dyDescent="0.25">
      <c r="A46786" s="2" t="str">
        <f t="shared" si="1478"/>
        <v>27780</v>
      </c>
      <c r="B46786" s="2" t="str">
        <f>"15906"</f>
        <v>15906</v>
      </c>
      <c r="C46786" s="1">
        <v>9.6040212407229403E-2</v>
      </c>
      <c r="D46786" s="1">
        <v>6.4516129032257993E-2</v>
      </c>
      <c r="E46786" s="1">
        <v>8.7917042380522906E-2</v>
      </c>
      <c r="F46786" s="1">
        <v>9.3457416807670599E-2</v>
      </c>
    </row>
    <row r="46787" spans="1:6" x14ac:dyDescent="0.25">
      <c r="A46787" s="2" t="str">
        <f t="shared" si="1478"/>
        <v>27780</v>
      </c>
      <c r="B46787" s="2" t="str">
        <f>"15775"</f>
        <v>15775</v>
      </c>
      <c r="C46787" s="1">
        <v>0</v>
      </c>
      <c r="D46787" s="1">
        <v>1.9087612139721301E-4</v>
      </c>
      <c r="E46787" s="1">
        <v>0</v>
      </c>
      <c r="F46787" s="1">
        <v>1.4100394811054699E-5</v>
      </c>
    </row>
    <row r="46788" spans="1:6" x14ac:dyDescent="0.25">
      <c r="A46788" s="2" t="str">
        <f t="shared" si="1478"/>
        <v>27780</v>
      </c>
      <c r="B46788" s="2" t="str">
        <f>"15934"</f>
        <v>15934</v>
      </c>
      <c r="C46788" s="1">
        <v>0</v>
      </c>
      <c r="D46788" s="1">
        <v>1.9087612139721301E-4</v>
      </c>
      <c r="E46788" s="1">
        <v>0</v>
      </c>
      <c r="F46788" s="1">
        <v>1.4100394811054699E-5</v>
      </c>
    </row>
    <row r="46789" spans="1:6" x14ac:dyDescent="0.25">
      <c r="A46789" s="2" t="str">
        <f t="shared" si="1478"/>
        <v>27780</v>
      </c>
      <c r="B46789" s="2" t="str">
        <f>"15930"</f>
        <v>15930</v>
      </c>
      <c r="C46789" s="1">
        <v>0</v>
      </c>
      <c r="D46789" s="1">
        <v>1.9087612139721301E-4</v>
      </c>
      <c r="E46789" s="1">
        <v>0</v>
      </c>
      <c r="F46789" s="1">
        <v>1.4100394811054699E-5</v>
      </c>
    </row>
    <row r="46790" spans="1:6" x14ac:dyDescent="0.25">
      <c r="A46790" s="2" t="str">
        <f t="shared" si="1478"/>
        <v>27780</v>
      </c>
      <c r="B46790" s="2" t="str">
        <f>"15957"</f>
        <v>15957</v>
      </c>
      <c r="C46790" s="1">
        <v>1.0872476876290099E-3</v>
      </c>
      <c r="D46790" s="1">
        <v>5.7262836419163902E-4</v>
      </c>
      <c r="E46790" s="1">
        <v>0</v>
      </c>
      <c r="F46790" s="1">
        <v>1.01522842639593E-3</v>
      </c>
    </row>
    <row r="46791" spans="1:6" x14ac:dyDescent="0.25">
      <c r="A46791" s="2" t="str">
        <f t="shared" si="1478"/>
        <v>27780</v>
      </c>
      <c r="B46791" s="2" t="str">
        <f>"15946"</f>
        <v>15946</v>
      </c>
      <c r="C46791" s="1">
        <v>4.95406772450089E-2</v>
      </c>
      <c r="D46791" s="1">
        <v>3.4548577972895497E-2</v>
      </c>
      <c r="E46791" s="1">
        <v>2.9756537421100002E-2</v>
      </c>
      <c r="F46791" s="1">
        <v>4.7814438804286499E-2</v>
      </c>
    </row>
    <row r="46792" spans="1:6" x14ac:dyDescent="0.25">
      <c r="A46792" s="2" t="str">
        <f t="shared" si="1478"/>
        <v>27780</v>
      </c>
      <c r="B46792" s="2" t="str">
        <f>"15902"</f>
        <v>15902</v>
      </c>
      <c r="C46792" s="1">
        <v>0.107952665332555</v>
      </c>
      <c r="D46792" s="1">
        <v>6.4707005153655198E-2</v>
      </c>
      <c r="E46792" s="1">
        <v>5.5455365193868303E-2</v>
      </c>
      <c r="F46792" s="1">
        <v>0.10311618725324299</v>
      </c>
    </row>
    <row r="46793" spans="1:6" x14ac:dyDescent="0.25">
      <c r="A46793" s="2" t="str">
        <f t="shared" si="1478"/>
        <v>27780</v>
      </c>
      <c r="B46793" s="2" t="str">
        <f>"16644"</f>
        <v>16644</v>
      </c>
      <c r="C46793" s="1">
        <v>0</v>
      </c>
      <c r="D46793" s="1">
        <v>1.9087612139721301E-4</v>
      </c>
      <c r="E46793" s="1">
        <v>4.5085662759242499E-4</v>
      </c>
      <c r="F46793" s="1">
        <v>2.8200789622109399E-5</v>
      </c>
    </row>
    <row r="46794" spans="1:6" x14ac:dyDescent="0.25">
      <c r="A46794" s="2" t="str">
        <f t="shared" si="1478"/>
        <v>27780</v>
      </c>
      <c r="B46794" s="2" t="str">
        <f>"16627"</f>
        <v>16627</v>
      </c>
      <c r="C46794" s="1">
        <v>8.0361785607361701E-4</v>
      </c>
      <c r="D46794" s="1">
        <v>0</v>
      </c>
      <c r="E46794" s="1">
        <v>0</v>
      </c>
      <c r="F46794" s="1">
        <v>7.1912013536379001E-4</v>
      </c>
    </row>
    <row r="46795" spans="1:6" x14ac:dyDescent="0.25">
      <c r="A46795" s="2" t="str">
        <f t="shared" si="1478"/>
        <v>27780</v>
      </c>
      <c r="B46795" s="2" t="str">
        <f>"16640"</f>
        <v>16640</v>
      </c>
      <c r="C46795" s="1">
        <v>3.65567338449175E-3</v>
      </c>
      <c r="D46795" s="1">
        <v>1.9087612139721301E-3</v>
      </c>
      <c r="E46795" s="1">
        <v>3.6068530207393999E-3</v>
      </c>
      <c r="F46795" s="1">
        <v>3.5250987027636701E-3</v>
      </c>
    </row>
    <row r="46796" spans="1:6" x14ac:dyDescent="0.25">
      <c r="A46796" s="2" t="str">
        <f t="shared" si="1478"/>
        <v>27780</v>
      </c>
      <c r="B46796" s="2" t="str">
        <f>"15773"</f>
        <v>15773</v>
      </c>
      <c r="C46796" s="1">
        <v>5.8301687597497702E-4</v>
      </c>
      <c r="D46796" s="1">
        <v>1.9087612139721301E-4</v>
      </c>
      <c r="E46796" s="1">
        <v>1.35256988277727E-3</v>
      </c>
      <c r="F46796" s="1">
        <v>5.7811618725324301E-4</v>
      </c>
    </row>
    <row r="46797" spans="1:6" x14ac:dyDescent="0.25">
      <c r="A46797" s="2" t="str">
        <f t="shared" si="1478"/>
        <v>27780</v>
      </c>
      <c r="B46797" s="2" t="str">
        <f>"15951"</f>
        <v>15951</v>
      </c>
      <c r="C46797" s="1">
        <v>0</v>
      </c>
      <c r="D46797" s="1">
        <v>1.9087612139721301E-4</v>
      </c>
      <c r="E46797" s="1">
        <v>4.0577096483318297E-3</v>
      </c>
      <c r="F46797" s="1">
        <v>1.41003948110547E-4</v>
      </c>
    </row>
    <row r="46798" spans="1:6" x14ac:dyDescent="0.25">
      <c r="A46798" s="2" t="str">
        <f t="shared" si="1478"/>
        <v>27780</v>
      </c>
      <c r="B46798" s="2" t="str">
        <f>"15958"</f>
        <v>15958</v>
      </c>
      <c r="C46798" s="1">
        <v>1.11718639207097E-2</v>
      </c>
      <c r="D46798" s="1">
        <v>2.29051345676655E-3</v>
      </c>
      <c r="E46798" s="1">
        <v>4.0577096483318297E-3</v>
      </c>
      <c r="F46798" s="1">
        <v>1.0293288212069899E-2</v>
      </c>
    </row>
    <row r="46799" spans="1:6" x14ac:dyDescent="0.25">
      <c r="A46799" s="2" t="str">
        <f t="shared" si="1478"/>
        <v>27780</v>
      </c>
      <c r="B46799" s="2" t="str">
        <f>"15940"</f>
        <v>15940</v>
      </c>
      <c r="C46799" s="1">
        <v>1.0289460000315101E-2</v>
      </c>
      <c r="D46799" s="1">
        <v>4.0083985493414697E-3</v>
      </c>
      <c r="E46799" s="1">
        <v>4.2831379621280398E-2</v>
      </c>
      <c r="F46799" s="1">
        <v>1.0843203609701001E-2</v>
      </c>
    </row>
    <row r="46800" spans="1:6" x14ac:dyDescent="0.25">
      <c r="A46800" s="2" t="str">
        <f t="shared" si="1478"/>
        <v>27780</v>
      </c>
      <c r="B46800" s="2" t="str">
        <f>"15938"</f>
        <v>15938</v>
      </c>
      <c r="C46800" s="1">
        <v>1.8514725115421501E-2</v>
      </c>
      <c r="D46800" s="1">
        <v>1.27887001336132E-2</v>
      </c>
      <c r="E46800" s="1">
        <v>8.1154192966636594E-3</v>
      </c>
      <c r="F46800" s="1">
        <v>1.7766497461928901E-2</v>
      </c>
    </row>
    <row r="46801" spans="1:6" x14ac:dyDescent="0.25">
      <c r="A46801" s="2" t="str">
        <f t="shared" si="1478"/>
        <v>27780</v>
      </c>
      <c r="B46801" s="2" t="str">
        <f>"15931"</f>
        <v>15931</v>
      </c>
      <c r="C46801" s="1">
        <v>6.1988875407717803E-2</v>
      </c>
      <c r="D46801" s="1">
        <v>0.110708150410383</v>
      </c>
      <c r="E46801" s="1">
        <v>8.3859332732191094E-2</v>
      </c>
      <c r="F46801" s="1">
        <v>6.6271855611957101E-2</v>
      </c>
    </row>
    <row r="46802" spans="1:6" x14ac:dyDescent="0.25">
      <c r="A46802" s="2" t="str">
        <f t="shared" si="1478"/>
        <v>27780</v>
      </c>
      <c r="B46802" s="2" t="str">
        <f>"16639"</f>
        <v>16639</v>
      </c>
      <c r="C46802" s="1">
        <v>7.3743756204402502E-3</v>
      </c>
      <c r="D46802" s="1">
        <v>4.1992746707386897E-3</v>
      </c>
      <c r="E46802" s="1">
        <v>1.8034265103697E-3</v>
      </c>
      <c r="F46802" s="1">
        <v>6.9655950366610203E-3</v>
      </c>
    </row>
    <row r="46803" spans="1:6" x14ac:dyDescent="0.25">
      <c r="A46803" s="2" t="str">
        <f t="shared" si="1478"/>
        <v>27780</v>
      </c>
      <c r="B46803" s="2" t="str">
        <f>"16636"</f>
        <v>16636</v>
      </c>
      <c r="C46803" s="1">
        <v>5.5150245024659997E-3</v>
      </c>
      <c r="D46803" s="1">
        <v>1.33613284978049E-3</v>
      </c>
      <c r="E46803" s="1">
        <v>0</v>
      </c>
      <c r="F46803" s="1">
        <v>5.0338409475465303E-3</v>
      </c>
    </row>
    <row r="46804" spans="1:6" x14ac:dyDescent="0.25">
      <c r="A46804" s="2" t="str">
        <f t="shared" si="1478"/>
        <v>27780</v>
      </c>
      <c r="B46804" s="2" t="str">
        <f>"15945"</f>
        <v>15945</v>
      </c>
      <c r="C46804" s="1">
        <v>1.73329341506074E-3</v>
      </c>
      <c r="D46804" s="1">
        <v>9.5438060698606602E-4</v>
      </c>
      <c r="E46804" s="1">
        <v>4.5085662759242499E-4</v>
      </c>
      <c r="F46804" s="1">
        <v>1.63564579808234E-3</v>
      </c>
    </row>
    <row r="46805" spans="1:6" x14ac:dyDescent="0.25">
      <c r="A46805" s="2" t="str">
        <f t="shared" si="1478"/>
        <v>27780</v>
      </c>
      <c r="B46805" s="2" t="str">
        <f>"15955"</f>
        <v>15955</v>
      </c>
      <c r="C46805" s="1">
        <v>1.3472416998881199E-2</v>
      </c>
      <c r="D46805" s="1">
        <v>3.8175224279442602E-3</v>
      </c>
      <c r="E46805" s="1">
        <v>3.6068530207393999E-3</v>
      </c>
      <c r="F46805" s="1">
        <v>1.24506486181613E-2</v>
      </c>
    </row>
    <row r="46806" spans="1:6" x14ac:dyDescent="0.25">
      <c r="A46806" s="2" t="str">
        <f t="shared" si="1478"/>
        <v>27780</v>
      </c>
      <c r="B46806" s="2" t="str">
        <f>"15943"</f>
        <v>15943</v>
      </c>
      <c r="C46806" s="1">
        <v>2.8946000031514402E-2</v>
      </c>
      <c r="D46806" s="1">
        <v>1.9469364382515699E-2</v>
      </c>
      <c r="E46806" s="1">
        <v>1.03697024346257E-2</v>
      </c>
      <c r="F46806" s="1">
        <v>2.7664974619289299E-2</v>
      </c>
    </row>
    <row r="46807" spans="1:6" x14ac:dyDescent="0.25">
      <c r="A46807" s="2" t="str">
        <f t="shared" si="1478"/>
        <v>27780</v>
      </c>
      <c r="B46807" s="2" t="str">
        <f>"15942"</f>
        <v>15942</v>
      </c>
      <c r="C46807" s="1">
        <v>1.43548209192757E-2</v>
      </c>
      <c r="D46807" s="1">
        <v>3.2448940637526198E-3</v>
      </c>
      <c r="E46807" s="1">
        <v>2.2091974752028801E-2</v>
      </c>
      <c r="F46807" s="1">
        <v>1.37760857304004E-2</v>
      </c>
    </row>
    <row r="46808" spans="1:6" x14ac:dyDescent="0.25">
      <c r="A46808" s="2" t="str">
        <f t="shared" si="1478"/>
        <v>27780</v>
      </c>
      <c r="B46808" s="2" t="str">
        <f>"15915"</f>
        <v>15915</v>
      </c>
      <c r="C46808" s="1">
        <v>0</v>
      </c>
      <c r="D46808" s="1">
        <v>0</v>
      </c>
      <c r="E46808" s="1">
        <v>4.5085662759242499E-4</v>
      </c>
      <c r="F46808" s="1">
        <v>1.4100394811054699E-5</v>
      </c>
    </row>
    <row r="46809" spans="1:6" x14ac:dyDescent="0.25">
      <c r="A46809" s="2" t="str">
        <f t="shared" si="1478"/>
        <v>27780</v>
      </c>
      <c r="B46809" s="2" t="str">
        <f>"15921"</f>
        <v>15921</v>
      </c>
      <c r="C46809" s="1">
        <v>0</v>
      </c>
      <c r="D46809" s="1">
        <v>1.9087612139721301E-4</v>
      </c>
      <c r="E46809" s="1">
        <v>0.11541929666366001</v>
      </c>
      <c r="F46809" s="1">
        <v>3.6238014664410601E-3</v>
      </c>
    </row>
    <row r="46810" spans="1:6" x14ac:dyDescent="0.25">
      <c r="A46810" s="2" t="str">
        <f t="shared" si="1478"/>
        <v>27780</v>
      </c>
      <c r="B46810" s="2" t="str">
        <f>"15907"</f>
        <v>15907</v>
      </c>
      <c r="C46810" s="1">
        <v>1.19282101381907E-2</v>
      </c>
      <c r="D46810" s="1">
        <v>4.3901507921359002E-2</v>
      </c>
      <c r="E46810" s="1">
        <v>4.5085662759242499E-4</v>
      </c>
      <c r="F46810" s="1">
        <v>1.3931190073322001E-2</v>
      </c>
    </row>
    <row r="46811" spans="1:6" x14ac:dyDescent="0.25">
      <c r="A46811" s="2" t="str">
        <f t="shared" si="1478"/>
        <v>27780</v>
      </c>
      <c r="B46811" s="2" t="str">
        <f>"16624"</f>
        <v>16624</v>
      </c>
      <c r="C46811" s="1">
        <v>0</v>
      </c>
      <c r="D46811" s="1">
        <v>1.9087612139721301E-4</v>
      </c>
      <c r="E46811" s="1">
        <v>4.5085662759242499E-4</v>
      </c>
      <c r="F46811" s="1">
        <v>2.8200789622109399E-5</v>
      </c>
    </row>
    <row r="46812" spans="1:6" x14ac:dyDescent="0.25">
      <c r="A46812" s="2" t="str">
        <f t="shared" si="1478"/>
        <v>27780</v>
      </c>
      <c r="B46812" s="2" t="str">
        <f>"16641"</f>
        <v>16641</v>
      </c>
      <c r="C46812" s="1">
        <v>1.9113499204260701E-2</v>
      </c>
      <c r="D46812" s="1">
        <v>1.12616911624355E-2</v>
      </c>
      <c r="E46812" s="1">
        <v>1.26239855725879E-2</v>
      </c>
      <c r="F46812" s="1">
        <v>1.83305132543711E-2</v>
      </c>
    </row>
    <row r="46813" spans="1:6" x14ac:dyDescent="0.25">
      <c r="A46813" s="2" t="str">
        <f t="shared" si="1478"/>
        <v>27780</v>
      </c>
      <c r="B46813" s="2" t="str">
        <f>"15724"</f>
        <v>15724</v>
      </c>
      <c r="C46813" s="1">
        <v>1.1975481776783301E-3</v>
      </c>
      <c r="D46813" s="1">
        <v>5.7262836419163902E-4</v>
      </c>
      <c r="E46813" s="1">
        <v>0</v>
      </c>
      <c r="F46813" s="1">
        <v>1.11393119007332E-3</v>
      </c>
    </row>
    <row r="46814" spans="1:6" x14ac:dyDescent="0.25">
      <c r="A46814" s="2" t="str">
        <f t="shared" si="1478"/>
        <v>27780</v>
      </c>
      <c r="B46814" s="2" t="str">
        <f>"16668"</f>
        <v>16668</v>
      </c>
      <c r="C46814" s="1">
        <v>2.72914926807746E-2</v>
      </c>
      <c r="D46814" s="1">
        <v>2.5386524145829301E-2</v>
      </c>
      <c r="E46814" s="1">
        <v>2.5698827772768201E-2</v>
      </c>
      <c r="F46814" s="1">
        <v>2.7100958826847099E-2</v>
      </c>
    </row>
    <row r="46815" spans="1:6" x14ac:dyDescent="0.25">
      <c r="A46815" s="2" t="str">
        <f t="shared" ref="A46815:A46840" si="1479">"27780"</f>
        <v>27780</v>
      </c>
      <c r="B46815" s="2" t="str">
        <f>"16601"</f>
        <v>16601</v>
      </c>
      <c r="C46815" s="1">
        <v>4.7271638592565697E-5</v>
      </c>
      <c r="D46815" s="1">
        <v>0</v>
      </c>
      <c r="E46815" s="1">
        <v>0</v>
      </c>
      <c r="F46815" s="1">
        <v>4.2301184433164101E-5</v>
      </c>
    </row>
    <row r="46816" spans="1:6" x14ac:dyDescent="0.25">
      <c r="A46816" s="2" t="str">
        <f t="shared" si="1479"/>
        <v>27780</v>
      </c>
      <c r="B46816" s="2" t="str">
        <f>"16630"</f>
        <v>16630</v>
      </c>
      <c r="C46816" s="1">
        <v>3.4240423553881703E-2</v>
      </c>
      <c r="D46816" s="1">
        <v>3.8366100400839799E-2</v>
      </c>
      <c r="E46816" s="1">
        <v>4.1478809738503097E-2</v>
      </c>
      <c r="F46816" s="1">
        <v>3.4771573604060899E-2</v>
      </c>
    </row>
    <row r="46817" spans="1:6" x14ac:dyDescent="0.25">
      <c r="A46817" s="2" t="str">
        <f t="shared" si="1479"/>
        <v>27780</v>
      </c>
      <c r="B46817" s="2" t="str">
        <f>"16613"</f>
        <v>16613</v>
      </c>
      <c r="C46817" s="1">
        <v>9.1234262483651796E-3</v>
      </c>
      <c r="D46817" s="1">
        <v>2.8631418209581899E-3</v>
      </c>
      <c r="E46817" s="1">
        <v>9.0171325518485096E-4</v>
      </c>
      <c r="F46817" s="1">
        <v>8.4038353073886008E-3</v>
      </c>
    </row>
    <row r="46818" spans="1:6" x14ac:dyDescent="0.25">
      <c r="A46818" s="2" t="str">
        <f t="shared" si="1479"/>
        <v>27780</v>
      </c>
      <c r="B46818" s="2" t="str">
        <f>"15760"</f>
        <v>15760</v>
      </c>
      <c r="C46818" s="1">
        <v>8.9816113325874895E-4</v>
      </c>
      <c r="D46818" s="1">
        <v>7.6350448558885203E-4</v>
      </c>
      <c r="E46818" s="1">
        <v>0</v>
      </c>
      <c r="F46818" s="1">
        <v>8.6012408347433701E-4</v>
      </c>
    </row>
    <row r="46819" spans="1:6" x14ac:dyDescent="0.25">
      <c r="A46819" s="2" t="str">
        <f t="shared" si="1479"/>
        <v>27780</v>
      </c>
      <c r="B46819" s="2" t="str">
        <f>"15738"</f>
        <v>15738</v>
      </c>
      <c r="C46819" s="1">
        <v>0</v>
      </c>
      <c r="D46819" s="1">
        <v>1.9087612139721301E-4</v>
      </c>
      <c r="E46819" s="1">
        <v>0</v>
      </c>
      <c r="F46819" s="1">
        <v>1.4100394811054699E-5</v>
      </c>
    </row>
    <row r="46820" spans="1:6" x14ac:dyDescent="0.25">
      <c r="A46820" s="2" t="str">
        <f t="shared" si="1479"/>
        <v>27780</v>
      </c>
      <c r="B46820" s="2" t="str">
        <f>"15762"</f>
        <v>15762</v>
      </c>
      <c r="C46820" s="1">
        <v>3.8605171517262001E-3</v>
      </c>
      <c r="D46820" s="1">
        <v>5.7262836419163902E-4</v>
      </c>
      <c r="E46820" s="1">
        <v>2.7051397655545499E-3</v>
      </c>
      <c r="F46820" s="1">
        <v>3.5815002820078902E-3</v>
      </c>
    </row>
    <row r="46821" spans="1:6" x14ac:dyDescent="0.25">
      <c r="A46821" s="2" t="str">
        <f t="shared" si="1479"/>
        <v>27780</v>
      </c>
      <c r="B46821" s="2" t="str">
        <f>"15961"</f>
        <v>15961</v>
      </c>
      <c r="C46821" s="1">
        <v>1.8751083308384401E-3</v>
      </c>
      <c r="D46821" s="1">
        <v>1.33613284978049E-3</v>
      </c>
      <c r="E46821" s="1">
        <v>4.5085662759242499E-4</v>
      </c>
      <c r="F46821" s="1">
        <v>1.7907501410039401E-3</v>
      </c>
    </row>
    <row r="46822" spans="1:6" x14ac:dyDescent="0.25">
      <c r="A46822" s="2" t="str">
        <f t="shared" si="1479"/>
        <v>27780</v>
      </c>
      <c r="B46822" s="2" t="str">
        <f>"15948"</f>
        <v>15948</v>
      </c>
      <c r="C46822" s="1">
        <v>0</v>
      </c>
      <c r="D46822" s="1">
        <v>1.9087612139721301E-4</v>
      </c>
      <c r="E46822" s="1">
        <v>4.5085662759242499E-4</v>
      </c>
      <c r="F46822" s="1">
        <v>2.8200789622109399E-5</v>
      </c>
    </row>
    <row r="46823" spans="1:6" x14ac:dyDescent="0.25">
      <c r="A46823" s="2" t="str">
        <f t="shared" si="1479"/>
        <v>27780</v>
      </c>
      <c r="B46823" s="2" t="str">
        <f>"15952"</f>
        <v>15952</v>
      </c>
      <c r="C46823" s="1">
        <v>9.28099837700707E-3</v>
      </c>
      <c r="D46823" s="1">
        <v>3.6266463065470502E-3</v>
      </c>
      <c r="E46823" s="1">
        <v>9.4679891794409304E-3</v>
      </c>
      <c r="F46823" s="1">
        <v>8.8691483361534092E-3</v>
      </c>
    </row>
    <row r="46824" spans="1:6" x14ac:dyDescent="0.25">
      <c r="A46824" s="2" t="str">
        <f t="shared" si="1479"/>
        <v>27780</v>
      </c>
      <c r="B46824" s="2" t="str">
        <f>"15922"</f>
        <v>15922</v>
      </c>
      <c r="C46824" s="1">
        <v>0</v>
      </c>
      <c r="D46824" s="1">
        <v>1.9087612139721301E-4</v>
      </c>
      <c r="E46824" s="1">
        <v>2.2542831379621202E-3</v>
      </c>
      <c r="F46824" s="1">
        <v>8.4602368866328203E-5</v>
      </c>
    </row>
    <row r="46825" spans="1:6" x14ac:dyDescent="0.25">
      <c r="A46825" s="2" t="str">
        <f t="shared" si="1479"/>
        <v>27780</v>
      </c>
      <c r="B46825" s="2" t="str">
        <f>"15925"</f>
        <v>15925</v>
      </c>
      <c r="C46825" s="1">
        <v>0</v>
      </c>
      <c r="D46825" s="1">
        <v>1.9087612139721301E-4</v>
      </c>
      <c r="E46825" s="1">
        <v>0</v>
      </c>
      <c r="F46825" s="1">
        <v>1.4100394811054699E-5</v>
      </c>
    </row>
    <row r="46826" spans="1:6" x14ac:dyDescent="0.25">
      <c r="A46826" s="2" t="str">
        <f t="shared" si="1479"/>
        <v>27780</v>
      </c>
      <c r="B46826" s="2" t="str">
        <f>"16675"</f>
        <v>16675</v>
      </c>
      <c r="C46826" s="1">
        <v>5.98774088839166E-4</v>
      </c>
      <c r="D46826" s="1">
        <v>1.9087612139721301E-4</v>
      </c>
      <c r="E46826" s="1">
        <v>0</v>
      </c>
      <c r="F46826" s="1">
        <v>5.4991539763113299E-4</v>
      </c>
    </row>
    <row r="46827" spans="1:6" x14ac:dyDescent="0.25">
      <c r="A46827" s="2" t="str">
        <f t="shared" si="1479"/>
        <v>27780</v>
      </c>
      <c r="B46827" s="2" t="str">
        <f>"16635"</f>
        <v>16635</v>
      </c>
      <c r="C46827" s="1">
        <v>3.1514425728377102E-5</v>
      </c>
      <c r="D46827" s="1">
        <v>1.04981866768467E-2</v>
      </c>
      <c r="E46827" s="1">
        <v>2.7051397655545499E-3</v>
      </c>
      <c r="F46827" s="1">
        <v>8.8832487309644596E-4</v>
      </c>
    </row>
    <row r="46828" spans="1:6" x14ac:dyDescent="0.25">
      <c r="A46828" s="2" t="str">
        <f t="shared" si="1479"/>
        <v>27780</v>
      </c>
      <c r="B46828" s="2" t="str">
        <f>"16619"</f>
        <v>16619</v>
      </c>
      <c r="C46828" s="1">
        <v>0</v>
      </c>
      <c r="D46828" s="1">
        <v>1.9087612139721301E-4</v>
      </c>
      <c r="E46828" s="1">
        <v>1.35256988277727E-3</v>
      </c>
      <c r="F46828" s="1">
        <v>5.6401579244218797E-5</v>
      </c>
    </row>
    <row r="46829" spans="1:6" x14ac:dyDescent="0.25">
      <c r="A46829" s="2" t="str">
        <f t="shared" si="1479"/>
        <v>27780</v>
      </c>
      <c r="B46829" s="2" t="str">
        <f>"15959"</f>
        <v>15959</v>
      </c>
      <c r="C46829" s="1">
        <v>0</v>
      </c>
      <c r="D46829" s="1">
        <v>1.9087612139721301E-4</v>
      </c>
      <c r="E46829" s="1">
        <v>0</v>
      </c>
      <c r="F46829" s="1">
        <v>1.4100394811054699E-5</v>
      </c>
    </row>
    <row r="46830" spans="1:6" x14ac:dyDescent="0.25">
      <c r="A46830" s="2" t="str">
        <f t="shared" si="1479"/>
        <v>27780</v>
      </c>
      <c r="B46830" s="2" t="str">
        <f>"15956"</f>
        <v>15956</v>
      </c>
      <c r="C46830" s="1">
        <v>2.09098214707782E-2</v>
      </c>
      <c r="D46830" s="1">
        <v>1.08799389196411E-2</v>
      </c>
      <c r="E46830" s="1">
        <v>2.3895401262398499E-2</v>
      </c>
      <c r="F46830" s="1">
        <v>2.0262267343485602E-2</v>
      </c>
    </row>
    <row r="46831" spans="1:6" x14ac:dyDescent="0.25">
      <c r="A46831" s="2" t="str">
        <f t="shared" si="1479"/>
        <v>27780</v>
      </c>
      <c r="B46831" s="2" t="str">
        <f>"15909"</f>
        <v>15909</v>
      </c>
      <c r="C46831" s="1">
        <v>4.3647479633802298E-2</v>
      </c>
      <c r="D46831" s="1">
        <v>3.2067188394731799E-2</v>
      </c>
      <c r="E46831" s="1">
        <v>1.7583408476104501E-2</v>
      </c>
      <c r="F46831" s="1">
        <v>4.1976875352509803E-2</v>
      </c>
    </row>
    <row r="46832" spans="1:6" x14ac:dyDescent="0.25">
      <c r="A46832" s="2" t="str">
        <f t="shared" si="1479"/>
        <v>27780</v>
      </c>
      <c r="B46832" s="2" t="str">
        <f>"15901"</f>
        <v>15901</v>
      </c>
      <c r="C46832" s="1">
        <v>4.7019523186738701E-2</v>
      </c>
      <c r="D46832" s="1">
        <v>0.129223134185913</v>
      </c>
      <c r="E46832" s="1">
        <v>7.48422001803426E-2</v>
      </c>
      <c r="F46832" s="1">
        <v>5.39622109419063E-2</v>
      </c>
    </row>
    <row r="46833" spans="1:6" x14ac:dyDescent="0.25">
      <c r="A46833" s="2" t="str">
        <f t="shared" si="1479"/>
        <v>27780</v>
      </c>
      <c r="B46833" s="2" t="str">
        <f>"16629"</f>
        <v>16629</v>
      </c>
      <c r="C46833" s="1">
        <v>4.7271638592565702E-4</v>
      </c>
      <c r="D46833" s="1">
        <v>3.8175224279442602E-4</v>
      </c>
      <c r="E46833" s="1">
        <v>4.5085662759242499E-4</v>
      </c>
      <c r="F46833" s="1">
        <v>4.6531302876480501E-4</v>
      </c>
    </row>
    <row r="46834" spans="1:6" x14ac:dyDescent="0.25">
      <c r="A46834" s="2" t="str">
        <f t="shared" si="1479"/>
        <v>27780</v>
      </c>
      <c r="B46834" s="2" t="str">
        <f>"16646"</f>
        <v>16646</v>
      </c>
      <c r="C46834" s="1">
        <v>9.2337267384145008E-3</v>
      </c>
      <c r="D46834" s="1">
        <v>3.0540179423554099E-3</v>
      </c>
      <c r="E46834" s="1">
        <v>1.44274120829576E-2</v>
      </c>
      <c r="F46834" s="1">
        <v>8.9396503102086803E-3</v>
      </c>
    </row>
    <row r="46835" spans="1:6" x14ac:dyDescent="0.25">
      <c r="A46835" s="2" t="str">
        <f t="shared" si="1479"/>
        <v>27780</v>
      </c>
      <c r="B46835" s="2" t="str">
        <f>"15722"</f>
        <v>15722</v>
      </c>
      <c r="C46835" s="1">
        <v>9.7537147629327293E-3</v>
      </c>
      <c r="D46835" s="1">
        <v>6.1080358847108197E-3</v>
      </c>
      <c r="E46835" s="1">
        <v>2.2542831379621202E-3</v>
      </c>
      <c r="F46835" s="1">
        <v>9.2498589960518796E-3</v>
      </c>
    </row>
    <row r="46836" spans="1:6" x14ac:dyDescent="0.25">
      <c r="A46836" s="2" t="str">
        <f t="shared" si="1479"/>
        <v>27780</v>
      </c>
      <c r="B46836" s="2" t="str">
        <f>"15962"</f>
        <v>15962</v>
      </c>
      <c r="C46836" s="1">
        <v>0</v>
      </c>
      <c r="D46836" s="1">
        <v>1.9087612139721301E-4</v>
      </c>
      <c r="E46836" s="1">
        <v>4.5085662759242499E-4</v>
      </c>
      <c r="F46836" s="1">
        <v>2.8200789622109399E-5</v>
      </c>
    </row>
    <row r="46837" spans="1:6" x14ac:dyDescent="0.25">
      <c r="A46837" s="2" t="str">
        <f t="shared" si="1479"/>
        <v>27780</v>
      </c>
      <c r="B46837" s="2" t="str">
        <f>"15960"</f>
        <v>15960</v>
      </c>
      <c r="C46837" s="1">
        <v>0</v>
      </c>
      <c r="D46837" s="1">
        <v>1.9087612139721301E-4</v>
      </c>
      <c r="E46837" s="1">
        <v>4.5085662759242499E-4</v>
      </c>
      <c r="F46837" s="1">
        <v>2.8200789622109399E-5</v>
      </c>
    </row>
    <row r="46838" spans="1:6" x14ac:dyDescent="0.25">
      <c r="A46838" s="2" t="str">
        <f t="shared" si="1479"/>
        <v>27780</v>
      </c>
      <c r="B46838" s="2" t="str">
        <f>"15714"</f>
        <v>15714</v>
      </c>
      <c r="C46838" s="1">
        <v>3.33737768463514E-2</v>
      </c>
      <c r="D46838" s="1">
        <v>3.2258064516128997E-2</v>
      </c>
      <c r="E46838" s="1">
        <v>3.6970243462578802E-2</v>
      </c>
      <c r="F46838" s="1">
        <v>3.34038353073886E-2</v>
      </c>
    </row>
    <row r="46839" spans="1:6" x14ac:dyDescent="0.25">
      <c r="A46839" s="2" t="str">
        <f t="shared" si="1479"/>
        <v>27780</v>
      </c>
      <c r="B46839" s="2" t="str">
        <f>"15905"</f>
        <v>15905</v>
      </c>
      <c r="C46839" s="1">
        <v>0.14291792067819001</v>
      </c>
      <c r="D46839" s="1">
        <v>9.3338423363237194E-2</v>
      </c>
      <c r="E46839" s="1">
        <v>6.5825067628494105E-2</v>
      </c>
      <c r="F46839" s="1">
        <v>0.13684433164128501</v>
      </c>
    </row>
    <row r="46840" spans="1:6" x14ac:dyDescent="0.25">
      <c r="A46840" s="2" t="str">
        <f t="shared" si="1479"/>
        <v>27780</v>
      </c>
      <c r="B46840" s="2" t="str">
        <f>"15904"</f>
        <v>15904</v>
      </c>
      <c r="C46840" s="1">
        <v>0.11789546664985801</v>
      </c>
      <c r="D46840" s="1">
        <v>0.214544760450467</v>
      </c>
      <c r="E46840" s="1">
        <v>0.179891794409377</v>
      </c>
      <c r="F46840" s="1">
        <v>0.12697405527354699</v>
      </c>
    </row>
    <row r="46841" spans="1:6" x14ac:dyDescent="0.25">
      <c r="A46841" s="2" t="str">
        <f t="shared" ref="A46841:A46858" si="1480">"30820"</f>
        <v>30820</v>
      </c>
      <c r="B46841" s="2" t="str">
        <f>"17750"</f>
        <v>17750</v>
      </c>
      <c r="C46841" s="1">
        <v>0</v>
      </c>
      <c r="D46841" s="1">
        <v>8.07102502017756E-4</v>
      </c>
      <c r="E46841" s="1">
        <v>0</v>
      </c>
      <c r="F46841" s="1">
        <v>4.9429093964707601E-5</v>
      </c>
    </row>
    <row r="46842" spans="1:6" x14ac:dyDescent="0.25">
      <c r="A46842" s="2" t="str">
        <f t="shared" si="1480"/>
        <v>30820</v>
      </c>
      <c r="B46842" s="2" t="str">
        <f>"17747"</f>
        <v>17747</v>
      </c>
      <c r="C46842" s="1">
        <v>6.8646649260226206E-2</v>
      </c>
      <c r="D46842" s="1">
        <v>4.4390637610976502E-2</v>
      </c>
      <c r="E46842" s="1">
        <v>1.3157894736842099E-2</v>
      </c>
      <c r="F46842" s="1">
        <v>6.5493549503237602E-2</v>
      </c>
    </row>
    <row r="46843" spans="1:6" x14ac:dyDescent="0.25">
      <c r="A46843" s="2" t="str">
        <f t="shared" si="1480"/>
        <v>30820</v>
      </c>
      <c r="B46843" s="2" t="str">
        <f>"17721"</f>
        <v>17721</v>
      </c>
      <c r="C46843" s="1">
        <v>4.4223237597911198E-2</v>
      </c>
      <c r="D46843" s="1">
        <v>3.6319612590799001E-2</v>
      </c>
      <c r="E46843" s="1">
        <v>7.5657894736842105E-2</v>
      </c>
      <c r="F46843" s="1">
        <v>4.4683900944095599E-2</v>
      </c>
    </row>
    <row r="46844" spans="1:6" x14ac:dyDescent="0.25">
      <c r="A46844" s="2" t="str">
        <f t="shared" si="1480"/>
        <v>30820</v>
      </c>
      <c r="B46844" s="2" t="str">
        <f>"17764"</f>
        <v>17764</v>
      </c>
      <c r="C46844" s="1">
        <v>7.6860313315926798E-2</v>
      </c>
      <c r="D46844" s="1">
        <v>0.102502017756255</v>
      </c>
      <c r="E46844" s="1">
        <v>4.7697368421052599E-2</v>
      </c>
      <c r="F46844" s="1">
        <v>7.7554248430626194E-2</v>
      </c>
    </row>
    <row r="46845" spans="1:6" x14ac:dyDescent="0.25">
      <c r="A46845" s="2" t="str">
        <f t="shared" si="1480"/>
        <v>30820</v>
      </c>
      <c r="B46845" s="2" t="str">
        <f>"17760"</f>
        <v>17760</v>
      </c>
      <c r="C46845" s="1">
        <v>1.5665796344647501E-2</v>
      </c>
      <c r="D46845" s="1">
        <v>1.1299435028248501E-2</v>
      </c>
      <c r="E46845" s="1">
        <v>0</v>
      </c>
      <c r="F46845" s="1">
        <v>1.4927586377341699E-2</v>
      </c>
    </row>
    <row r="46846" spans="1:6" x14ac:dyDescent="0.25">
      <c r="A46846" s="2" t="str">
        <f t="shared" si="1480"/>
        <v>30820</v>
      </c>
      <c r="B46846" s="2" t="str">
        <f>"17778"</f>
        <v>17778</v>
      </c>
      <c r="C46846" s="1">
        <v>5.7114882506527397E-3</v>
      </c>
      <c r="D46846" s="1">
        <v>1.6142050040355101E-3</v>
      </c>
      <c r="E46846" s="1">
        <v>0</v>
      </c>
      <c r="F46846" s="1">
        <v>5.2889130542237098E-3</v>
      </c>
    </row>
    <row r="46847" spans="1:6" x14ac:dyDescent="0.25">
      <c r="A46847" s="2" t="str">
        <f t="shared" si="1480"/>
        <v>30820</v>
      </c>
      <c r="B46847" s="2" t="str">
        <f>"17745"</f>
        <v>17745</v>
      </c>
      <c r="C46847" s="1">
        <v>0.50451479547432498</v>
      </c>
      <c r="D46847" s="1">
        <v>0.53268765133171903</v>
      </c>
      <c r="E46847" s="1">
        <v>0.75657894736842102</v>
      </c>
      <c r="F46847" s="1">
        <v>0.51381543176313504</v>
      </c>
    </row>
    <row r="46848" spans="1:6" x14ac:dyDescent="0.25">
      <c r="A46848" s="2" t="str">
        <f t="shared" si="1480"/>
        <v>30820</v>
      </c>
      <c r="B46848" s="2" t="str">
        <f>"17729"</f>
        <v>17729</v>
      </c>
      <c r="C46848" s="1">
        <v>2.3933855526544799E-3</v>
      </c>
      <c r="D46848" s="1">
        <v>1.6142050040355101E-3</v>
      </c>
      <c r="E46848" s="1">
        <v>0</v>
      </c>
      <c r="F46848" s="1">
        <v>2.2737383223765499E-3</v>
      </c>
    </row>
    <row r="46849" spans="1:6" x14ac:dyDescent="0.25">
      <c r="A46849" s="2" t="str">
        <f t="shared" si="1480"/>
        <v>30820</v>
      </c>
      <c r="B46849" s="2" t="str">
        <f>"16822"</f>
        <v>16822</v>
      </c>
      <c r="C46849" s="1">
        <v>3.7641427328111397E-2</v>
      </c>
      <c r="D46849" s="1">
        <v>2.17917675544794E-2</v>
      </c>
      <c r="E46849" s="1">
        <v>1.8092105263157798E-2</v>
      </c>
      <c r="F46849" s="1">
        <v>3.6083238594236497E-2</v>
      </c>
    </row>
    <row r="46850" spans="1:6" x14ac:dyDescent="0.25">
      <c r="A46850" s="2" t="str">
        <f t="shared" si="1480"/>
        <v>30820</v>
      </c>
      <c r="B46850" s="2" t="str">
        <f>"16841"</f>
        <v>16841</v>
      </c>
      <c r="C46850" s="1">
        <v>2.5021758050478601E-3</v>
      </c>
      <c r="D46850" s="1">
        <v>1.6142050040355101E-3</v>
      </c>
      <c r="E46850" s="1">
        <v>0</v>
      </c>
      <c r="F46850" s="1">
        <v>2.3725965103059601E-3</v>
      </c>
    </row>
    <row r="46851" spans="1:6" x14ac:dyDescent="0.25">
      <c r="A46851" s="2" t="str">
        <f t="shared" si="1480"/>
        <v>30820</v>
      </c>
      <c r="B46851" s="2" t="str">
        <f>"17748"</f>
        <v>17748</v>
      </c>
      <c r="C46851" s="1">
        <v>5.43951261966927E-5</v>
      </c>
      <c r="D46851" s="1">
        <v>1.6142050040355101E-3</v>
      </c>
      <c r="E46851" s="1">
        <v>0</v>
      </c>
      <c r="F46851" s="1">
        <v>1.4828728189412199E-4</v>
      </c>
    </row>
    <row r="46852" spans="1:6" x14ac:dyDescent="0.25">
      <c r="A46852" s="2" t="str">
        <f t="shared" si="1480"/>
        <v>30820</v>
      </c>
      <c r="B46852" s="2" t="str">
        <f>"17751"</f>
        <v>17751</v>
      </c>
      <c r="C46852" s="1">
        <v>0.174281984334203</v>
      </c>
      <c r="D46852" s="1">
        <v>0.221146085552865</v>
      </c>
      <c r="E46852" s="1">
        <v>5.7565789473684202E-2</v>
      </c>
      <c r="F46852" s="1">
        <v>0.17364440709801701</v>
      </c>
    </row>
    <row r="46853" spans="1:6" x14ac:dyDescent="0.25">
      <c r="A46853" s="2" t="str">
        <f t="shared" si="1480"/>
        <v>30820</v>
      </c>
      <c r="B46853" s="2" t="str">
        <f>"17726"</f>
        <v>17726</v>
      </c>
      <c r="C46853" s="1">
        <v>0</v>
      </c>
      <c r="D46853" s="1">
        <v>8.07102502017756E-4</v>
      </c>
      <c r="E46853" s="1">
        <v>0</v>
      </c>
      <c r="F46853" s="1">
        <v>4.9429093964707601E-5</v>
      </c>
    </row>
    <row r="46854" spans="1:6" x14ac:dyDescent="0.25">
      <c r="A46854" s="2" t="str">
        <f t="shared" si="1480"/>
        <v>30820</v>
      </c>
      <c r="B46854" s="2" t="str">
        <f>"17740"</f>
        <v>17740</v>
      </c>
      <c r="C46854" s="1">
        <v>6.5981288076588304E-2</v>
      </c>
      <c r="D46854" s="1">
        <v>2.0177562550443898E-2</v>
      </c>
      <c r="E46854" s="1">
        <v>3.125E-2</v>
      </c>
      <c r="F46854" s="1">
        <v>6.2132371113637397E-2</v>
      </c>
    </row>
    <row r="46855" spans="1:6" x14ac:dyDescent="0.25">
      <c r="A46855" s="2" t="str">
        <f t="shared" si="1480"/>
        <v>30820</v>
      </c>
      <c r="B46855" s="2" t="str">
        <f>"17779"</f>
        <v>17779</v>
      </c>
      <c r="C46855" s="1">
        <v>5.43951261966927E-5</v>
      </c>
      <c r="D46855" s="1">
        <v>8.07102502017756E-4</v>
      </c>
      <c r="E46855" s="1">
        <v>0</v>
      </c>
      <c r="F46855" s="1">
        <v>9.8858187929415202E-5</v>
      </c>
    </row>
    <row r="46856" spans="1:6" x14ac:dyDescent="0.25">
      <c r="A46856" s="2" t="str">
        <f t="shared" si="1480"/>
        <v>30820</v>
      </c>
      <c r="B46856" s="2" t="str">
        <f>"16871"</f>
        <v>16871</v>
      </c>
      <c r="C46856" s="1">
        <v>1.3054830287206199E-3</v>
      </c>
      <c r="D46856" s="1">
        <v>0</v>
      </c>
      <c r="E46856" s="1">
        <v>0</v>
      </c>
      <c r="F46856" s="1">
        <v>1.18629825515298E-3</v>
      </c>
    </row>
    <row r="46857" spans="1:6" x14ac:dyDescent="0.25">
      <c r="A46857" s="2" t="str">
        <f t="shared" si="1480"/>
        <v>30820</v>
      </c>
      <c r="B46857" s="2" t="str">
        <f>"16848"</f>
        <v>16848</v>
      </c>
      <c r="C46857" s="1">
        <v>0</v>
      </c>
      <c r="D46857" s="1">
        <v>8.07102502017756E-4</v>
      </c>
      <c r="E46857" s="1">
        <v>0</v>
      </c>
      <c r="F46857" s="1">
        <v>4.9429093964707601E-5</v>
      </c>
    </row>
    <row r="46858" spans="1:6" x14ac:dyDescent="0.25">
      <c r="A46858" s="2" t="str">
        <f t="shared" si="1480"/>
        <v>30820</v>
      </c>
      <c r="B46858" s="2" t="str">
        <f>"16845"</f>
        <v>16845</v>
      </c>
      <c r="C46858" s="1">
        <v>1.6318537859007801E-4</v>
      </c>
      <c r="D46858" s="1">
        <v>0</v>
      </c>
      <c r="E46858" s="1">
        <v>0</v>
      </c>
      <c r="F46858" s="1">
        <v>1.4828728189412199E-4</v>
      </c>
    </row>
    <row r="46859" spans="1:6" x14ac:dyDescent="0.25">
      <c r="A46859" s="2" t="str">
        <f t="shared" ref="A46859:A46885" si="1481">"23660"</f>
        <v>23660</v>
      </c>
      <c r="B46859" s="2" t="str">
        <f>"61488"</f>
        <v>61488</v>
      </c>
      <c r="C46859" s="1">
        <v>2.0642378494954899E-2</v>
      </c>
      <c r="D46859" s="1">
        <v>3.6945812807881698E-3</v>
      </c>
      <c r="E46859" s="1">
        <v>2.08783297336213E-2</v>
      </c>
      <c r="F46859" s="1">
        <v>1.9267564029404799E-2</v>
      </c>
    </row>
    <row r="46860" spans="1:6" x14ac:dyDescent="0.25">
      <c r="A46860" s="2" t="str">
        <f t="shared" si="1481"/>
        <v>23660</v>
      </c>
      <c r="B46860" s="2" t="str">
        <f>"61474"</f>
        <v>61474</v>
      </c>
      <c r="C46860" s="1">
        <v>4.1592852191327098E-3</v>
      </c>
      <c r="D46860" s="1">
        <v>2.0525451559934302E-3</v>
      </c>
      <c r="E46860" s="1">
        <v>0</v>
      </c>
      <c r="F46860" s="1">
        <v>3.7930918733845701E-3</v>
      </c>
    </row>
    <row r="46861" spans="1:6" x14ac:dyDescent="0.25">
      <c r="A46861" s="2" t="str">
        <f t="shared" si="1481"/>
        <v>23660</v>
      </c>
      <c r="B46861" s="2" t="str">
        <f>"61434"</f>
        <v>61434</v>
      </c>
      <c r="C46861" s="1">
        <v>2.7343449125779799E-3</v>
      </c>
      <c r="D46861" s="1">
        <v>0</v>
      </c>
      <c r="E46861" s="1">
        <v>0</v>
      </c>
      <c r="F46861" s="1">
        <v>2.3832701151354401E-3</v>
      </c>
    </row>
    <row r="46862" spans="1:6" x14ac:dyDescent="0.25">
      <c r="A46862" s="2" t="str">
        <f t="shared" si="1481"/>
        <v>23660</v>
      </c>
      <c r="B46862" s="2" t="str">
        <f>"61439"</f>
        <v>61439</v>
      </c>
      <c r="C46862" s="1">
        <v>3.42755911576677E-3</v>
      </c>
      <c r="D46862" s="1">
        <v>0</v>
      </c>
      <c r="E46862" s="1">
        <v>7.1994240460763104E-4</v>
      </c>
      <c r="F46862" s="1">
        <v>3.0210466248195701E-3</v>
      </c>
    </row>
    <row r="46863" spans="1:6" x14ac:dyDescent="0.25">
      <c r="A46863" s="2" t="str">
        <f t="shared" si="1481"/>
        <v>23660</v>
      </c>
      <c r="B46863" s="2" t="str">
        <f>"61572"</f>
        <v>61572</v>
      </c>
      <c r="C46863" s="1">
        <v>1.9294461988754501E-2</v>
      </c>
      <c r="D46863" s="1">
        <v>3.6945812807881698E-3</v>
      </c>
      <c r="E46863" s="1">
        <v>5.0395968322534098E-3</v>
      </c>
      <c r="F46863" s="1">
        <v>1.7354234500352402E-2</v>
      </c>
    </row>
    <row r="46864" spans="1:6" x14ac:dyDescent="0.25">
      <c r="A46864" s="2" t="str">
        <f t="shared" si="1481"/>
        <v>23660</v>
      </c>
      <c r="B46864" s="2" t="str">
        <f>"61449"</f>
        <v>61449</v>
      </c>
      <c r="C46864" s="1">
        <v>3.0424401139952199E-3</v>
      </c>
      <c r="D46864" s="1">
        <v>1.23152709359605E-3</v>
      </c>
      <c r="E46864" s="1">
        <v>0</v>
      </c>
      <c r="F46864" s="1">
        <v>2.7525091470578301E-3</v>
      </c>
    </row>
    <row r="46865" spans="1:6" x14ac:dyDescent="0.25">
      <c r="A46865" s="2" t="str">
        <f t="shared" si="1481"/>
        <v>23660</v>
      </c>
      <c r="B46865" s="2" t="str">
        <f>"61428"</f>
        <v>61428</v>
      </c>
      <c r="C46865" s="1">
        <v>3.3197257952707303E-2</v>
      </c>
      <c r="D46865" s="1">
        <v>5.3366174055829198E-3</v>
      </c>
      <c r="E46865" s="1">
        <v>2.8797696184305198E-3</v>
      </c>
      <c r="F46865" s="1">
        <v>2.9505555369071099E-2</v>
      </c>
    </row>
    <row r="46866" spans="1:6" x14ac:dyDescent="0.25">
      <c r="A46866" s="2" t="str">
        <f t="shared" si="1481"/>
        <v>23660</v>
      </c>
      <c r="B46866" s="2" t="str">
        <f>"61529"</f>
        <v>61529</v>
      </c>
      <c r="C46866" s="1">
        <v>1.2323808056689501E-3</v>
      </c>
      <c r="D46866" s="1">
        <v>4.1050903119868598E-4</v>
      </c>
      <c r="E46866" s="1">
        <v>0</v>
      </c>
      <c r="F46866" s="1">
        <v>1.1077170957671701E-3</v>
      </c>
    </row>
    <row r="46867" spans="1:6" x14ac:dyDescent="0.25">
      <c r="A46867" s="2" t="str">
        <f t="shared" si="1481"/>
        <v>23660</v>
      </c>
      <c r="B46867" s="2" t="str">
        <f>"61414"</f>
        <v>61414</v>
      </c>
      <c r="C46867" s="1">
        <v>1.44034506662558E-2</v>
      </c>
      <c r="D46867" s="1">
        <v>9.4417077175697802E-3</v>
      </c>
      <c r="E46867" s="1">
        <v>1.4398848092152599E-3</v>
      </c>
      <c r="F46867" s="1">
        <v>1.3393306703366701E-2</v>
      </c>
    </row>
    <row r="46868" spans="1:6" x14ac:dyDescent="0.25">
      <c r="A46868" s="2" t="str">
        <f t="shared" si="1481"/>
        <v>23660</v>
      </c>
      <c r="B46868" s="2" t="str">
        <f>"61410"</f>
        <v>61410</v>
      </c>
      <c r="C46868" s="1">
        <v>6.8050527613032402E-2</v>
      </c>
      <c r="D46868" s="1">
        <v>6.2807881773398994E-2</v>
      </c>
      <c r="E46868" s="1">
        <v>5.6155507559395197E-2</v>
      </c>
      <c r="F46868" s="1">
        <v>6.7067235070994505E-2</v>
      </c>
    </row>
    <row r="46869" spans="1:6" x14ac:dyDescent="0.25">
      <c r="A46869" s="2" t="str">
        <f t="shared" si="1481"/>
        <v>23660</v>
      </c>
      <c r="B46869" s="2" t="str">
        <f>"61544"</f>
        <v>61544</v>
      </c>
      <c r="C46869" s="1">
        <v>3.6586305168297001E-3</v>
      </c>
      <c r="D46869" s="1">
        <v>8.2101806239737196E-4</v>
      </c>
      <c r="E46869" s="1">
        <v>7.1994240460763104E-4</v>
      </c>
      <c r="F46869" s="1">
        <v>3.2895841025813101E-3</v>
      </c>
    </row>
    <row r="46870" spans="1:6" x14ac:dyDescent="0.25">
      <c r="A46870" s="2" t="str">
        <f t="shared" si="1481"/>
        <v>23660</v>
      </c>
      <c r="B46870" s="2" t="str">
        <f>"61458"</f>
        <v>61458</v>
      </c>
      <c r="C46870" s="1">
        <v>1.5751367172456201E-2</v>
      </c>
      <c r="D46870" s="1">
        <v>4.9261083743842296E-3</v>
      </c>
      <c r="E46870" s="1">
        <v>7.1994240460763104E-4</v>
      </c>
      <c r="F46870" s="1">
        <v>1.41653519519317E-2</v>
      </c>
    </row>
    <row r="46871" spans="1:6" x14ac:dyDescent="0.25">
      <c r="A46871" s="2" t="str">
        <f t="shared" si="1481"/>
        <v>23660</v>
      </c>
      <c r="B46871" s="2" t="str">
        <f>"61448"</f>
        <v>61448</v>
      </c>
      <c r="C46871" s="1">
        <v>6.7280289609489299E-2</v>
      </c>
      <c r="D46871" s="1">
        <v>4.8029556650246302E-2</v>
      </c>
      <c r="E46871" s="1">
        <v>5.6155507559395197E-2</v>
      </c>
      <c r="F46871" s="1">
        <v>6.5187472726662393E-2</v>
      </c>
    </row>
    <row r="46872" spans="1:6" x14ac:dyDescent="0.25">
      <c r="A46872" s="2" t="str">
        <f t="shared" si="1481"/>
        <v>23660</v>
      </c>
      <c r="B46872" s="2" t="str">
        <f>"61402"</f>
        <v>61402</v>
      </c>
      <c r="C46872" s="1">
        <v>4.3711006701070601E-2</v>
      </c>
      <c r="D46872" s="1">
        <v>0.10673234811165799</v>
      </c>
      <c r="E46872" s="1">
        <v>1.4398848092152599E-3</v>
      </c>
      <c r="F46872" s="1">
        <v>4.6893357054143797E-2</v>
      </c>
    </row>
    <row r="46873" spans="1:6" x14ac:dyDescent="0.25">
      <c r="A46873" s="2" t="str">
        <f t="shared" si="1481"/>
        <v>23660</v>
      </c>
      <c r="B46873" s="2" t="str">
        <f>"61401"</f>
        <v>61401</v>
      </c>
      <c r="C46873" s="1">
        <v>0.61064468920896497</v>
      </c>
      <c r="D46873" s="1">
        <v>0.71715927750410502</v>
      </c>
      <c r="E46873" s="1">
        <v>0.82073434125269895</v>
      </c>
      <c r="F46873" s="1">
        <v>0.62914974321103601</v>
      </c>
    </row>
    <row r="46874" spans="1:6" x14ac:dyDescent="0.25">
      <c r="A46874" s="2" t="str">
        <f t="shared" si="1481"/>
        <v>23660</v>
      </c>
      <c r="B46874" s="2" t="str">
        <f>"61466"</f>
        <v>61466</v>
      </c>
      <c r="C46874" s="1">
        <v>3.8511900177154698E-5</v>
      </c>
      <c r="D46874" s="1">
        <v>0</v>
      </c>
      <c r="E46874" s="1">
        <v>0</v>
      </c>
      <c r="F46874" s="1">
        <v>3.3567184720217501E-5</v>
      </c>
    </row>
    <row r="46875" spans="1:6" x14ac:dyDescent="0.25">
      <c r="A46875" s="2" t="str">
        <f t="shared" si="1481"/>
        <v>23660</v>
      </c>
      <c r="B46875" s="2" t="str">
        <f>"61489"</f>
        <v>61489</v>
      </c>
      <c r="C46875" s="1">
        <v>1.3671724562889899E-2</v>
      </c>
      <c r="D46875" s="1">
        <v>9.0311986863710995E-3</v>
      </c>
      <c r="E46875" s="1">
        <v>1.15190784737221E-2</v>
      </c>
      <c r="F46875" s="1">
        <v>1.31919035950454E-2</v>
      </c>
    </row>
    <row r="46876" spans="1:6" x14ac:dyDescent="0.25">
      <c r="A46876" s="2" t="str">
        <f t="shared" si="1481"/>
        <v>23660</v>
      </c>
      <c r="B46876" s="2" t="str">
        <f>"61472"</f>
        <v>61472</v>
      </c>
      <c r="C46876" s="1">
        <v>1.16691057536778E-2</v>
      </c>
      <c r="D46876" s="1">
        <v>3.28407224958949E-3</v>
      </c>
      <c r="E46876" s="1">
        <v>3.5997120230381501E-3</v>
      </c>
      <c r="F46876" s="1">
        <v>1.06072303715887E-2</v>
      </c>
    </row>
    <row r="46877" spans="1:6" x14ac:dyDescent="0.25">
      <c r="A46877" s="2" t="str">
        <f t="shared" si="1481"/>
        <v>23660</v>
      </c>
      <c r="B46877" s="2" t="str">
        <f>"61490"</f>
        <v>61490</v>
      </c>
      <c r="C46877" s="1">
        <v>3.8511900177154698E-5</v>
      </c>
      <c r="D46877" s="1">
        <v>0</v>
      </c>
      <c r="E46877" s="1">
        <v>0</v>
      </c>
      <c r="F46877" s="1">
        <v>3.3567184720217501E-5</v>
      </c>
    </row>
    <row r="46878" spans="1:6" x14ac:dyDescent="0.25">
      <c r="A46878" s="2" t="str">
        <f t="shared" si="1481"/>
        <v>23660</v>
      </c>
      <c r="B46878" s="2" t="str">
        <f>"61467"</f>
        <v>61467</v>
      </c>
      <c r="C46878" s="1">
        <v>1.9795116691057501E-2</v>
      </c>
      <c r="D46878" s="1">
        <v>1.23152709359605E-2</v>
      </c>
      <c r="E46878" s="1">
        <v>5.75953923686105E-3</v>
      </c>
      <c r="F46878" s="1">
        <v>1.8529085965560001E-2</v>
      </c>
    </row>
    <row r="46879" spans="1:6" x14ac:dyDescent="0.25">
      <c r="A46879" s="2" t="str">
        <f t="shared" si="1481"/>
        <v>23660</v>
      </c>
      <c r="B46879" s="2" t="str">
        <f>"61413"</f>
        <v>61413</v>
      </c>
      <c r="C46879" s="1">
        <v>0</v>
      </c>
      <c r="D46879" s="1">
        <v>4.1050903119868598E-4</v>
      </c>
      <c r="E46879" s="1">
        <v>0</v>
      </c>
      <c r="F46879" s="1">
        <v>3.3567184720217501E-5</v>
      </c>
    </row>
    <row r="46880" spans="1:6" x14ac:dyDescent="0.25">
      <c r="A46880" s="2" t="str">
        <f t="shared" si="1481"/>
        <v>23660</v>
      </c>
      <c r="B46880" s="2" t="str">
        <f>"61423"</f>
        <v>61423</v>
      </c>
      <c r="C46880" s="1">
        <v>3.8511900177154698E-5</v>
      </c>
      <c r="D46880" s="1">
        <v>0</v>
      </c>
      <c r="E46880" s="1">
        <v>0</v>
      </c>
      <c r="F46880" s="1">
        <v>3.3567184720217501E-5</v>
      </c>
    </row>
    <row r="46881" spans="1:6" x14ac:dyDescent="0.25">
      <c r="A46881" s="2" t="str">
        <f t="shared" si="1481"/>
        <v>23660</v>
      </c>
      <c r="B46881" s="2" t="str">
        <f>"61436"</f>
        <v>61436</v>
      </c>
      <c r="C46881" s="1">
        <v>1.6174998074404898E-2</v>
      </c>
      <c r="D46881" s="1">
        <v>2.46305418719211E-3</v>
      </c>
      <c r="E46881" s="1">
        <v>7.9193664506839404E-3</v>
      </c>
      <c r="F46881" s="1">
        <v>1.4668859722735E-2</v>
      </c>
    </row>
    <row r="46882" spans="1:6" x14ac:dyDescent="0.25">
      <c r="A46882" s="2" t="str">
        <f t="shared" si="1481"/>
        <v>23660</v>
      </c>
      <c r="B46882" s="2" t="str">
        <f>"61531"</f>
        <v>61531</v>
      </c>
      <c r="C46882" s="1">
        <v>6.9321420318878496E-4</v>
      </c>
      <c r="D46882" s="1">
        <v>0</v>
      </c>
      <c r="E46882" s="1">
        <v>0</v>
      </c>
      <c r="F46882" s="1">
        <v>6.0420932496391502E-4</v>
      </c>
    </row>
    <row r="46883" spans="1:6" x14ac:dyDescent="0.25">
      <c r="A46883" s="2" t="str">
        <f t="shared" si="1481"/>
        <v>23660</v>
      </c>
      <c r="B46883" s="2" t="str">
        <f>"61485"</f>
        <v>61485</v>
      </c>
      <c r="C46883" s="1">
        <v>1.1938689054917901E-2</v>
      </c>
      <c r="D46883" s="1">
        <v>3.28407224958949E-3</v>
      </c>
      <c r="E46883" s="1">
        <v>1.4398848092152599E-3</v>
      </c>
      <c r="F46883" s="1">
        <v>1.07414991104696E-2</v>
      </c>
    </row>
    <row r="46884" spans="1:6" x14ac:dyDescent="0.25">
      <c r="A46884" s="2" t="str">
        <f t="shared" si="1481"/>
        <v>23660</v>
      </c>
      <c r="B46884" s="2" t="str">
        <f>"61412"</f>
        <v>61412</v>
      </c>
      <c r="C46884" s="1">
        <v>2.31071401062928E-4</v>
      </c>
      <c r="D46884" s="1">
        <v>0</v>
      </c>
      <c r="E46884" s="1">
        <v>0</v>
      </c>
      <c r="F46884" s="1">
        <v>2.0140310832130501E-4</v>
      </c>
    </row>
    <row r="46885" spans="1:6" x14ac:dyDescent="0.25">
      <c r="A46885" s="2" t="str">
        <f t="shared" si="1481"/>
        <v>23660</v>
      </c>
      <c r="B46885" s="2" t="str">
        <f>"61430"</f>
        <v>61430</v>
      </c>
      <c r="C46885" s="1">
        <v>1.44804744666101E-2</v>
      </c>
      <c r="D46885" s="1">
        <v>2.8735632183907998E-3</v>
      </c>
      <c r="E46885" s="1">
        <v>2.8797696184305198E-3</v>
      </c>
      <c r="F46885" s="1">
        <v>1.2990500486724101E-2</v>
      </c>
    </row>
    <row r="46886" spans="1:6" x14ac:dyDescent="0.25">
      <c r="A46886" s="2" t="str">
        <f t="shared" ref="A46886:A46905" si="1482">"30660"</f>
        <v>30660</v>
      </c>
      <c r="B46886" s="2" t="str">
        <f>"62666"</f>
        <v>62666</v>
      </c>
      <c r="C46886" s="1">
        <v>2.2328050589429299E-2</v>
      </c>
      <c r="D46886" s="1">
        <v>1.1131725417439699E-2</v>
      </c>
      <c r="E46886" s="1">
        <v>0</v>
      </c>
      <c r="F46886" s="1">
        <v>2.08595828083438E-2</v>
      </c>
    </row>
    <row r="46887" spans="1:6" x14ac:dyDescent="0.25">
      <c r="A46887" s="2" t="str">
        <f t="shared" si="1482"/>
        <v>30660</v>
      </c>
      <c r="B46887" s="2" t="str">
        <f>"62656"</f>
        <v>62656</v>
      </c>
      <c r="C46887" s="1">
        <v>0.64095557810914205</v>
      </c>
      <c r="D46887" s="1">
        <v>0.79128014842300498</v>
      </c>
      <c r="E46887" s="1">
        <v>0.65914786967418504</v>
      </c>
      <c r="F46887" s="1">
        <v>0.65280694386112204</v>
      </c>
    </row>
    <row r="46888" spans="1:6" x14ac:dyDescent="0.25">
      <c r="A46888" s="2" t="str">
        <f t="shared" si="1482"/>
        <v>30660</v>
      </c>
      <c r="B46888" s="2" t="str">
        <f>"62643"</f>
        <v>62643</v>
      </c>
      <c r="C46888" s="1">
        <v>1.9595596845967601E-2</v>
      </c>
      <c r="D46888" s="1">
        <v>6.4935064935064896E-3</v>
      </c>
      <c r="E46888" s="1">
        <v>5.0125313283208E-3</v>
      </c>
      <c r="F46888" s="1">
        <v>1.81996360072798E-2</v>
      </c>
    </row>
    <row r="46889" spans="1:6" x14ac:dyDescent="0.25">
      <c r="A46889" s="2" t="str">
        <f t="shared" si="1482"/>
        <v>30660</v>
      </c>
      <c r="B46889" s="2" t="str">
        <f>"62693"</f>
        <v>62693</v>
      </c>
      <c r="C46889" s="1">
        <v>1.9517526739011601E-3</v>
      </c>
      <c r="D46889" s="1">
        <v>0</v>
      </c>
      <c r="E46889" s="1">
        <v>0</v>
      </c>
      <c r="F46889" s="1">
        <v>1.74996500069998E-3</v>
      </c>
    </row>
    <row r="46890" spans="1:6" x14ac:dyDescent="0.25">
      <c r="A46890" s="2" t="str">
        <f t="shared" si="1482"/>
        <v>30660</v>
      </c>
      <c r="B46890" s="2" t="str">
        <f>"62635"</f>
        <v>62635</v>
      </c>
      <c r="C46890" s="1">
        <v>2.7714887969396501E-2</v>
      </c>
      <c r="D46890" s="1">
        <v>3.71057513914656E-3</v>
      </c>
      <c r="E46890" s="1">
        <v>0</v>
      </c>
      <c r="F46890" s="1">
        <v>2.5129497410051702E-2</v>
      </c>
    </row>
    <row r="46891" spans="1:6" x14ac:dyDescent="0.25">
      <c r="A46891" s="2" t="str">
        <f t="shared" si="1482"/>
        <v>30660</v>
      </c>
      <c r="B46891" s="2" t="str">
        <f>"62682"</f>
        <v>62682</v>
      </c>
      <c r="C46891" s="1">
        <v>1.24131470060113E-2</v>
      </c>
      <c r="D46891" s="1">
        <v>5.5658627087198497E-3</v>
      </c>
      <c r="E46891" s="1">
        <v>2.5062656641604E-3</v>
      </c>
      <c r="F46891" s="1">
        <v>1.1619767604647901E-2</v>
      </c>
    </row>
    <row r="46892" spans="1:6" x14ac:dyDescent="0.25">
      <c r="A46892" s="2" t="str">
        <f t="shared" si="1482"/>
        <v>30660</v>
      </c>
      <c r="B46892" s="2" t="str">
        <f>"62548"</f>
        <v>62548</v>
      </c>
      <c r="C46892" s="1">
        <v>8.3535014442969693E-2</v>
      </c>
      <c r="D46892" s="1">
        <v>9.6474953617810694E-2</v>
      </c>
      <c r="E46892" s="1">
        <v>0.19298245614035001</v>
      </c>
      <c r="F46892" s="1">
        <v>8.7568248635027199E-2</v>
      </c>
    </row>
    <row r="46893" spans="1:6" x14ac:dyDescent="0.25">
      <c r="A46893" s="2" t="str">
        <f t="shared" si="1482"/>
        <v>30660</v>
      </c>
      <c r="B46893" s="2" t="str">
        <f>"62543"</f>
        <v>62543</v>
      </c>
      <c r="C46893" s="1">
        <v>1.2335076899055299E-2</v>
      </c>
      <c r="D46893" s="1">
        <v>4.6382189239332003E-3</v>
      </c>
      <c r="E46893" s="1">
        <v>1.00250626566416E-2</v>
      </c>
      <c r="F46893" s="1">
        <v>1.16897662046759E-2</v>
      </c>
    </row>
    <row r="46894" spans="1:6" x14ac:dyDescent="0.25">
      <c r="A46894" s="2" t="str">
        <f t="shared" si="1482"/>
        <v>30660</v>
      </c>
      <c r="B46894" s="2" t="str">
        <f>"62541"</f>
        <v>62541</v>
      </c>
      <c r="C46894" s="1">
        <v>3.1228042782418597E-4</v>
      </c>
      <c r="D46894" s="1">
        <v>9.2764378478664097E-4</v>
      </c>
      <c r="E46894" s="1">
        <v>0</v>
      </c>
      <c r="F46894" s="1">
        <v>3.49993000139997E-4</v>
      </c>
    </row>
    <row r="46895" spans="1:6" x14ac:dyDescent="0.25">
      <c r="A46895" s="2" t="str">
        <f t="shared" si="1482"/>
        <v>30660</v>
      </c>
      <c r="B46895" s="2" t="str">
        <f>"62634"</f>
        <v>62634</v>
      </c>
      <c r="C46895" s="1">
        <v>3.021313139199E-2</v>
      </c>
      <c r="D46895" s="1">
        <v>1.3914656771799601E-2</v>
      </c>
      <c r="E46895" s="1">
        <v>1.2531328320802001E-2</v>
      </c>
      <c r="F46895" s="1">
        <v>2.8489430211395699E-2</v>
      </c>
    </row>
    <row r="46896" spans="1:6" x14ac:dyDescent="0.25">
      <c r="A46896" s="2" t="str">
        <f t="shared" si="1482"/>
        <v>30660</v>
      </c>
      <c r="B46896" s="2" t="str">
        <f>"62519"</f>
        <v>62519</v>
      </c>
      <c r="C46896" s="1">
        <v>0</v>
      </c>
      <c r="D46896" s="1">
        <v>9.2764378478664097E-4</v>
      </c>
      <c r="E46896" s="1">
        <v>0</v>
      </c>
      <c r="F46896" s="1">
        <v>6.9998600027999403E-5</v>
      </c>
    </row>
    <row r="46897" spans="1:6" x14ac:dyDescent="0.25">
      <c r="A46897" s="2" t="str">
        <f t="shared" si="1482"/>
        <v>30660</v>
      </c>
      <c r="B46897" s="2" t="str">
        <f>"62518"</f>
        <v>62518</v>
      </c>
      <c r="C46897" s="1">
        <v>1.5145600749473E-2</v>
      </c>
      <c r="D46897" s="1">
        <v>1.3914656771799601E-2</v>
      </c>
      <c r="E46897" s="1">
        <v>0</v>
      </c>
      <c r="F46897" s="1">
        <v>1.4629707405851801E-2</v>
      </c>
    </row>
    <row r="46898" spans="1:6" x14ac:dyDescent="0.25">
      <c r="A46898" s="2" t="str">
        <f t="shared" si="1482"/>
        <v>30660</v>
      </c>
      <c r="B46898" s="2" t="str">
        <f>"61749"</f>
        <v>61749</v>
      </c>
      <c r="C46898" s="1">
        <v>7.0263096260441804E-4</v>
      </c>
      <c r="D46898" s="1">
        <v>0</v>
      </c>
      <c r="E46898" s="1">
        <v>0</v>
      </c>
      <c r="F46898" s="1">
        <v>6.2998740025199402E-4</v>
      </c>
    </row>
    <row r="46899" spans="1:6" x14ac:dyDescent="0.25">
      <c r="A46899" s="2" t="str">
        <f t="shared" si="1482"/>
        <v>30660</v>
      </c>
      <c r="B46899" s="2" t="str">
        <f>"61721"</f>
        <v>61721</v>
      </c>
      <c r="C46899" s="1">
        <v>9.3684128347255803E-4</v>
      </c>
      <c r="D46899" s="1">
        <v>0</v>
      </c>
      <c r="E46899" s="1">
        <v>0</v>
      </c>
      <c r="F46899" s="1">
        <v>8.39983200335993E-4</v>
      </c>
    </row>
    <row r="46900" spans="1:6" x14ac:dyDescent="0.25">
      <c r="A46900" s="2" t="str">
        <f t="shared" si="1482"/>
        <v>30660</v>
      </c>
      <c r="B46900" s="2" t="str">
        <f>"61723"</f>
        <v>61723</v>
      </c>
      <c r="C46900" s="1">
        <v>9.1029744710750204E-2</v>
      </c>
      <c r="D46900" s="1">
        <v>3.2467532467532402E-2</v>
      </c>
      <c r="E46900" s="1">
        <v>0.11779448621553799</v>
      </c>
      <c r="F46900" s="1">
        <v>8.7358252834943306E-2</v>
      </c>
    </row>
    <row r="46901" spans="1:6" x14ac:dyDescent="0.25">
      <c r="A46901" s="2" t="str">
        <f t="shared" si="1482"/>
        <v>30660</v>
      </c>
      <c r="B46901" s="2" t="str">
        <f>"62512"</f>
        <v>62512</v>
      </c>
      <c r="C46901" s="1">
        <v>1.4521039893824601E-2</v>
      </c>
      <c r="D46901" s="1">
        <v>2.7829313543599201E-3</v>
      </c>
      <c r="E46901" s="1">
        <v>0</v>
      </c>
      <c r="F46901" s="1">
        <v>1.32297354052918E-2</v>
      </c>
    </row>
    <row r="46902" spans="1:6" x14ac:dyDescent="0.25">
      <c r="A46902" s="2" t="str">
        <f t="shared" si="1482"/>
        <v>30660</v>
      </c>
      <c r="B46902" s="2" t="str">
        <f>"62613"</f>
        <v>62613</v>
      </c>
      <c r="C46902" s="1">
        <v>9.3684128347255803E-4</v>
      </c>
      <c r="D46902" s="1">
        <v>1.85528756957328E-3</v>
      </c>
      <c r="E46902" s="1">
        <v>0</v>
      </c>
      <c r="F46902" s="1">
        <v>9.79980400391992E-4</v>
      </c>
    </row>
    <row r="46903" spans="1:6" x14ac:dyDescent="0.25">
      <c r="A46903" s="2" t="str">
        <f t="shared" si="1482"/>
        <v>30660</v>
      </c>
      <c r="B46903" s="2" t="str">
        <f>"61754"</f>
        <v>61754</v>
      </c>
      <c r="C46903" s="1">
        <v>1.40526192520883E-3</v>
      </c>
      <c r="D46903" s="1">
        <v>0</v>
      </c>
      <c r="E46903" s="1">
        <v>0</v>
      </c>
      <c r="F46903" s="1">
        <v>1.25997480050398E-3</v>
      </c>
    </row>
    <row r="46904" spans="1:6" x14ac:dyDescent="0.25">
      <c r="A46904" s="2" t="str">
        <f t="shared" si="1482"/>
        <v>30660</v>
      </c>
      <c r="B46904" s="2" t="str">
        <f>"62671"</f>
        <v>62671</v>
      </c>
      <c r="C46904" s="1">
        <v>2.0454368022484098E-2</v>
      </c>
      <c r="D46904" s="1">
        <v>1.2987012987012899E-2</v>
      </c>
      <c r="E46904" s="1">
        <v>0</v>
      </c>
      <c r="F46904" s="1">
        <v>1.9319613607727801E-2</v>
      </c>
    </row>
    <row r="46905" spans="1:6" x14ac:dyDescent="0.25">
      <c r="A46905" s="2" t="str">
        <f t="shared" si="1482"/>
        <v>30660</v>
      </c>
      <c r="B46905" s="2" t="str">
        <f>"61751"</f>
        <v>61751</v>
      </c>
      <c r="C46905" s="1">
        <v>3.5131548130220899E-3</v>
      </c>
      <c r="D46905" s="1">
        <v>9.2764378478664097E-4</v>
      </c>
      <c r="E46905" s="1">
        <v>0</v>
      </c>
      <c r="F46905" s="1">
        <v>3.2199356012879701E-3</v>
      </c>
    </row>
    <row r="46906" spans="1:6" x14ac:dyDescent="0.25">
      <c r="A46906" s="2" t="str">
        <f t="shared" ref="A46906:A46927" si="1483">"27300"</f>
        <v>27300</v>
      </c>
      <c r="B46906" s="2" t="str">
        <f>"62695"</f>
        <v>62695</v>
      </c>
      <c r="C46906" s="1">
        <v>9.9562135112593805E-3</v>
      </c>
      <c r="D46906" s="1">
        <v>5.5803571428571404E-4</v>
      </c>
      <c r="E46906" s="1">
        <v>0</v>
      </c>
      <c r="F46906" s="1">
        <v>8.8077434744713006E-3</v>
      </c>
    </row>
    <row r="46907" spans="1:6" x14ac:dyDescent="0.25">
      <c r="A46907" s="2" t="str">
        <f t="shared" si="1483"/>
        <v>27300</v>
      </c>
      <c r="B46907" s="2" t="str">
        <f>"62667"</f>
        <v>62667</v>
      </c>
      <c r="C46907" s="1">
        <v>5.2126772310258503E-4</v>
      </c>
      <c r="D46907" s="1">
        <v>0</v>
      </c>
      <c r="E46907" s="1">
        <v>0</v>
      </c>
      <c r="F46907" s="1">
        <v>4.5873663929537999E-4</v>
      </c>
    </row>
    <row r="46908" spans="1:6" x14ac:dyDescent="0.25">
      <c r="A46908" s="2" t="str">
        <f t="shared" si="1483"/>
        <v>27300</v>
      </c>
      <c r="B46908" s="2" t="str">
        <f>"62668"</f>
        <v>62668</v>
      </c>
      <c r="C46908" s="1">
        <v>3.4403669724770602E-2</v>
      </c>
      <c r="D46908" s="1">
        <v>1.0044642857142801E-2</v>
      </c>
      <c r="E46908" s="1">
        <v>8.5054678007290396E-3</v>
      </c>
      <c r="F46908" s="1">
        <v>3.1423459791733499E-2</v>
      </c>
    </row>
    <row r="46909" spans="1:6" x14ac:dyDescent="0.25">
      <c r="A46909" s="2" t="str">
        <f t="shared" si="1483"/>
        <v>27300</v>
      </c>
      <c r="B46909" s="2" t="str">
        <f>"62611"</f>
        <v>62611</v>
      </c>
      <c r="C46909" s="1">
        <v>3.5967472894078301E-3</v>
      </c>
      <c r="D46909" s="1">
        <v>5.5803571428571404E-4</v>
      </c>
      <c r="E46909" s="1">
        <v>0</v>
      </c>
      <c r="F46909" s="1">
        <v>3.2111564750676599E-3</v>
      </c>
    </row>
    <row r="46910" spans="1:6" x14ac:dyDescent="0.25">
      <c r="A46910" s="2" t="str">
        <f t="shared" si="1483"/>
        <v>27300</v>
      </c>
      <c r="B46910" s="2" t="str">
        <f>"62612"</f>
        <v>62612</v>
      </c>
      <c r="C46910" s="1">
        <v>8.6009174311926593E-3</v>
      </c>
      <c r="D46910" s="1">
        <v>5.5803571428571404E-3</v>
      </c>
      <c r="E46910" s="1">
        <v>0</v>
      </c>
      <c r="F46910" s="1">
        <v>8.0278911876691499E-3</v>
      </c>
    </row>
    <row r="46911" spans="1:6" x14ac:dyDescent="0.25">
      <c r="A46911" s="2" t="str">
        <f t="shared" si="1483"/>
        <v>27300</v>
      </c>
      <c r="B46911" s="2" t="str">
        <f>"62363"</f>
        <v>62363</v>
      </c>
      <c r="C46911" s="1">
        <v>2.6063386155129197E-4</v>
      </c>
      <c r="D46911" s="1">
        <v>0</v>
      </c>
      <c r="E46911" s="1">
        <v>0</v>
      </c>
      <c r="F46911" s="1">
        <v>2.2936831964768999E-4</v>
      </c>
    </row>
    <row r="46912" spans="1:6" x14ac:dyDescent="0.25">
      <c r="A46912" s="2" t="str">
        <f t="shared" si="1483"/>
        <v>27300</v>
      </c>
      <c r="B46912" s="2" t="str">
        <f>"62694"</f>
        <v>62694</v>
      </c>
      <c r="C46912" s="1">
        <v>8.3924103419516199E-2</v>
      </c>
      <c r="D46912" s="1">
        <v>7.9241071428571397E-2</v>
      </c>
      <c r="E46912" s="1">
        <v>1.7010935601457999E-2</v>
      </c>
      <c r="F46912" s="1">
        <v>8.10128904995642E-2</v>
      </c>
    </row>
    <row r="46913" spans="1:6" x14ac:dyDescent="0.25">
      <c r="A46913" s="2" t="str">
        <f t="shared" si="1483"/>
        <v>27300</v>
      </c>
      <c r="B46913" s="2" t="str">
        <f>"62660"</f>
        <v>62660</v>
      </c>
      <c r="C46913" s="1">
        <v>0</v>
      </c>
      <c r="D46913" s="1">
        <v>5.5803571428571404E-4</v>
      </c>
      <c r="E46913" s="1">
        <v>0</v>
      </c>
      <c r="F46913" s="1">
        <v>4.5873663929538001E-5</v>
      </c>
    </row>
    <row r="46914" spans="1:6" x14ac:dyDescent="0.25">
      <c r="A46914" s="2" t="str">
        <f t="shared" si="1483"/>
        <v>27300</v>
      </c>
      <c r="B46914" s="2" t="str">
        <f>"62651"</f>
        <v>62651</v>
      </c>
      <c r="C46914" s="1">
        <v>3.5758965804837298E-2</v>
      </c>
      <c r="D46914" s="1">
        <v>0.15345982142857101</v>
      </c>
      <c r="E46914" s="1">
        <v>1.2150668286755699E-3</v>
      </c>
      <c r="F46914" s="1">
        <v>4.4130464700215602E-2</v>
      </c>
    </row>
    <row r="46915" spans="1:6" x14ac:dyDescent="0.25">
      <c r="A46915" s="2" t="str">
        <f t="shared" si="1483"/>
        <v>27300</v>
      </c>
      <c r="B46915" s="2" t="str">
        <f>"62670"</f>
        <v>62670</v>
      </c>
      <c r="C46915" s="1">
        <v>9.3828190158465297E-4</v>
      </c>
      <c r="D46915" s="1">
        <v>0</v>
      </c>
      <c r="E46915" s="1">
        <v>0</v>
      </c>
      <c r="F46915" s="1">
        <v>8.2572595073168405E-4</v>
      </c>
    </row>
    <row r="46916" spans="1:6" x14ac:dyDescent="0.25">
      <c r="A46916" s="2" t="str">
        <f t="shared" si="1483"/>
        <v>27300</v>
      </c>
      <c r="B46916" s="2" t="str">
        <f>"62665"</f>
        <v>62665</v>
      </c>
      <c r="C46916" s="1">
        <v>4.03982485404503E-2</v>
      </c>
      <c r="D46916" s="1">
        <v>1.171875E-2</v>
      </c>
      <c r="E46916" s="1">
        <v>1.2150668286755699E-3</v>
      </c>
      <c r="F46916" s="1">
        <v>3.6561310151841803E-2</v>
      </c>
    </row>
    <row r="46917" spans="1:6" x14ac:dyDescent="0.25">
      <c r="A46917" s="2" t="str">
        <f t="shared" si="1483"/>
        <v>27300</v>
      </c>
      <c r="B46917" s="2" t="str">
        <f>"62677"</f>
        <v>62677</v>
      </c>
      <c r="C46917" s="1">
        <v>5.2126772310258499E-5</v>
      </c>
      <c r="D46917" s="1">
        <v>0</v>
      </c>
      <c r="E46917" s="1">
        <v>0</v>
      </c>
      <c r="F46917" s="1">
        <v>4.5873663929538001E-5</v>
      </c>
    </row>
    <row r="46918" spans="1:6" x14ac:dyDescent="0.25">
      <c r="A46918" s="2" t="str">
        <f t="shared" si="1483"/>
        <v>27300</v>
      </c>
      <c r="B46918" s="2" t="str">
        <f>"62692"</f>
        <v>62692</v>
      </c>
      <c r="C46918" s="1">
        <v>4.5871559633027498E-2</v>
      </c>
      <c r="D46918" s="1">
        <v>4.9107142857142801E-2</v>
      </c>
      <c r="E46918" s="1">
        <v>2.0656136087484799E-2</v>
      </c>
      <c r="F46918" s="1">
        <v>4.5185558970594897E-2</v>
      </c>
    </row>
    <row r="46919" spans="1:6" x14ac:dyDescent="0.25">
      <c r="A46919" s="2" t="str">
        <f t="shared" si="1483"/>
        <v>27300</v>
      </c>
      <c r="B46919" s="2" t="str">
        <f>"62628"</f>
        <v>62628</v>
      </c>
      <c r="C46919" s="1">
        <v>2.0381567973311001E-2</v>
      </c>
      <c r="D46919" s="1">
        <v>1.5625E-2</v>
      </c>
      <c r="E46919" s="1">
        <v>0</v>
      </c>
      <c r="F46919" s="1">
        <v>1.9221065186476399E-2</v>
      </c>
    </row>
    <row r="46920" spans="1:6" x14ac:dyDescent="0.25">
      <c r="A46920" s="2" t="str">
        <f t="shared" si="1483"/>
        <v>27300</v>
      </c>
      <c r="B46920" s="2" t="str">
        <f>"62621"</f>
        <v>62621</v>
      </c>
      <c r="C46920" s="1">
        <v>2.79920767306088E-2</v>
      </c>
      <c r="D46920" s="1">
        <v>2.7901785714285702E-3</v>
      </c>
      <c r="E46920" s="1">
        <v>2.4301336573511502E-3</v>
      </c>
      <c r="F46920" s="1">
        <v>2.4955273177668699E-2</v>
      </c>
    </row>
    <row r="46921" spans="1:6" x14ac:dyDescent="0.25">
      <c r="A46921" s="2" t="str">
        <f t="shared" si="1483"/>
        <v>27300</v>
      </c>
      <c r="B46921" s="2" t="str">
        <f>"62638"</f>
        <v>62638</v>
      </c>
      <c r="C46921" s="1">
        <v>3.3726021684737199E-2</v>
      </c>
      <c r="D46921" s="1">
        <v>1.171875E-2</v>
      </c>
      <c r="E46921" s="1">
        <v>2.4301336573511502E-3</v>
      </c>
      <c r="F46921" s="1">
        <v>3.0735354832790399E-2</v>
      </c>
    </row>
    <row r="46922" spans="1:6" x14ac:dyDescent="0.25">
      <c r="A46922" s="2" t="str">
        <f t="shared" si="1483"/>
        <v>27300</v>
      </c>
      <c r="B46922" s="2" t="str">
        <f>"62663"</f>
        <v>62663</v>
      </c>
      <c r="C46922" s="1">
        <v>0</v>
      </c>
      <c r="D46922" s="1">
        <v>5.5803571428571404E-4</v>
      </c>
      <c r="E46922" s="1">
        <v>0</v>
      </c>
      <c r="F46922" s="1">
        <v>4.5873663929538001E-5</v>
      </c>
    </row>
    <row r="46923" spans="1:6" x14ac:dyDescent="0.25">
      <c r="A46923" s="2" t="str">
        <f t="shared" si="1483"/>
        <v>27300</v>
      </c>
      <c r="B46923" s="2" t="str">
        <f>"62610"</f>
        <v>62610</v>
      </c>
      <c r="C46923" s="1">
        <v>0</v>
      </c>
      <c r="D46923" s="1">
        <v>5.5803571428571404E-4</v>
      </c>
      <c r="E46923" s="1">
        <v>0</v>
      </c>
      <c r="F46923" s="1">
        <v>4.5873663929538001E-5</v>
      </c>
    </row>
    <row r="46924" spans="1:6" x14ac:dyDescent="0.25">
      <c r="A46924" s="2" t="str">
        <f t="shared" si="1483"/>
        <v>27300</v>
      </c>
      <c r="B46924" s="2" t="str">
        <f>"62631"</f>
        <v>62631</v>
      </c>
      <c r="C46924" s="1">
        <v>7.4541284403669703E-3</v>
      </c>
      <c r="D46924" s="1">
        <v>2.7901785714285702E-3</v>
      </c>
      <c r="E46924" s="1">
        <v>0</v>
      </c>
      <c r="F46924" s="1">
        <v>6.7893022615716303E-3</v>
      </c>
    </row>
    <row r="46925" spans="1:6" x14ac:dyDescent="0.25">
      <c r="A46925" s="2" t="str">
        <f t="shared" si="1483"/>
        <v>27300</v>
      </c>
      <c r="B46925" s="2" t="str">
        <f>"62650"</f>
        <v>62650</v>
      </c>
      <c r="C46925" s="1">
        <v>0.63151584653878201</v>
      </c>
      <c r="D46925" s="1">
        <v>0.64787946428571397</v>
      </c>
      <c r="E46925" s="1">
        <v>0.94046172539489603</v>
      </c>
      <c r="F46925" s="1">
        <v>0.64452497821000898</v>
      </c>
    </row>
    <row r="46926" spans="1:6" x14ac:dyDescent="0.25">
      <c r="A46926" s="2" t="str">
        <f t="shared" si="1483"/>
        <v>27300</v>
      </c>
      <c r="B46926" s="2" t="str">
        <f>"62601"</f>
        <v>62601</v>
      </c>
      <c r="C46926" s="1">
        <v>9.8519599666388596E-3</v>
      </c>
      <c r="D46926" s="1">
        <v>5.5803571428571404E-3</v>
      </c>
      <c r="E46926" s="1">
        <v>6.0753341433778798E-3</v>
      </c>
      <c r="F46926" s="1">
        <v>9.3582274416257605E-3</v>
      </c>
    </row>
    <row r="46927" spans="1:6" x14ac:dyDescent="0.25">
      <c r="A46927" s="2" t="str">
        <f t="shared" si="1483"/>
        <v>27300</v>
      </c>
      <c r="B46927" s="2" t="str">
        <f>"62082"</f>
        <v>62082</v>
      </c>
      <c r="C46927" s="1">
        <v>4.7956630525437796E-3</v>
      </c>
      <c r="D46927" s="1">
        <v>1.6741071428571399E-3</v>
      </c>
      <c r="E46927" s="1">
        <v>0</v>
      </c>
      <c r="F46927" s="1">
        <v>4.3579980733061104E-3</v>
      </c>
    </row>
    <row r="46928" spans="1:6" x14ac:dyDescent="0.25">
      <c r="A46928" s="2" t="str">
        <f t="shared" ref="A46928:A46959" si="1484">"44100"</f>
        <v>44100</v>
      </c>
      <c r="B46928" s="2" t="str">
        <f>"62776"</f>
        <v>62776</v>
      </c>
      <c r="C46928" s="1">
        <v>0</v>
      </c>
      <c r="D46928" s="1">
        <v>0</v>
      </c>
      <c r="E46928" s="1">
        <v>2.03998368013055E-4</v>
      </c>
      <c r="F46928" s="1">
        <v>8.0984774862325795E-6</v>
      </c>
    </row>
    <row r="46929" spans="1:6" x14ac:dyDescent="0.25">
      <c r="A46929" s="2" t="str">
        <f t="shared" si="1484"/>
        <v>44100</v>
      </c>
      <c r="B46929" s="2" t="str">
        <f>"62762"</f>
        <v>62762</v>
      </c>
      <c r="C46929" s="1">
        <v>0</v>
      </c>
      <c r="D46929" s="1">
        <v>1.02490519626934E-4</v>
      </c>
      <c r="E46929" s="1">
        <v>0</v>
      </c>
      <c r="F46929" s="1">
        <v>8.0984774862325795E-6</v>
      </c>
    </row>
    <row r="46930" spans="1:6" x14ac:dyDescent="0.25">
      <c r="A46930" s="2" t="str">
        <f t="shared" si="1484"/>
        <v>44100</v>
      </c>
      <c r="B46930" s="2" t="str">
        <f>"62722"</f>
        <v>62722</v>
      </c>
      <c r="C46930" s="1">
        <v>0</v>
      </c>
      <c r="D46930" s="1">
        <v>1.02490519626934E-4</v>
      </c>
      <c r="E46930" s="1">
        <v>0</v>
      </c>
      <c r="F46930" s="1">
        <v>8.0984774862325795E-6</v>
      </c>
    </row>
    <row r="46931" spans="1:6" x14ac:dyDescent="0.25">
      <c r="A46931" s="2" t="str">
        <f t="shared" si="1484"/>
        <v>44100</v>
      </c>
      <c r="B46931" s="2" t="str">
        <f>"62715"</f>
        <v>62715</v>
      </c>
      <c r="C46931" s="1">
        <v>0</v>
      </c>
      <c r="D46931" s="1">
        <v>1.02490519626934E-4</v>
      </c>
      <c r="E46931" s="1">
        <v>0</v>
      </c>
      <c r="F46931" s="1">
        <v>8.0984774862325795E-6</v>
      </c>
    </row>
    <row r="46932" spans="1:6" x14ac:dyDescent="0.25">
      <c r="A46932" s="2" t="str">
        <f t="shared" si="1484"/>
        <v>44100</v>
      </c>
      <c r="B46932" s="2" t="str">
        <f>"62711"</f>
        <v>62711</v>
      </c>
      <c r="C46932" s="1">
        <v>7.7779105135957205E-2</v>
      </c>
      <c r="D46932" s="1">
        <v>6.6003894639745805E-2</v>
      </c>
      <c r="E46932" s="1">
        <v>5.2019583843329199E-2</v>
      </c>
      <c r="F46932" s="1">
        <v>7.5826044703595705E-2</v>
      </c>
    </row>
    <row r="46933" spans="1:6" x14ac:dyDescent="0.25">
      <c r="A46933" s="2" t="str">
        <f t="shared" si="1484"/>
        <v>44100</v>
      </c>
      <c r="B46933" s="2" t="str">
        <f>"62692"</f>
        <v>62692</v>
      </c>
      <c r="C46933" s="1">
        <v>9.46508486413467E-4</v>
      </c>
      <c r="D46933" s="1">
        <v>5.1245259813467205E-4</v>
      </c>
      <c r="E46933" s="1">
        <v>2.03998368013055E-4</v>
      </c>
      <c r="F46933" s="1">
        <v>8.8273404599935204E-4</v>
      </c>
    </row>
    <row r="46934" spans="1:6" x14ac:dyDescent="0.25">
      <c r="A46934" s="2" t="str">
        <f t="shared" si="1484"/>
        <v>44100</v>
      </c>
      <c r="B46934" s="2" t="str">
        <f>"62661"</f>
        <v>62661</v>
      </c>
      <c r="C46934" s="1">
        <v>5.3574218211558397E-3</v>
      </c>
      <c r="D46934" s="1">
        <v>5.1245259813467205E-4</v>
      </c>
      <c r="E46934" s="1">
        <v>8.1599347205222304E-4</v>
      </c>
      <c r="F46934" s="1">
        <v>4.7942986718496903E-3</v>
      </c>
    </row>
    <row r="46935" spans="1:6" x14ac:dyDescent="0.25">
      <c r="A46935" s="2" t="str">
        <f t="shared" si="1484"/>
        <v>44100</v>
      </c>
      <c r="B46935" s="2" t="str">
        <f>"62563"</f>
        <v>62563</v>
      </c>
      <c r="C46935" s="1">
        <v>2.1916725632001099E-2</v>
      </c>
      <c r="D46935" s="1">
        <v>8.6092036486624893E-3</v>
      </c>
      <c r="E46935" s="1">
        <v>3.4679722562219501E-3</v>
      </c>
      <c r="F46935" s="1">
        <v>2.0132815030774201E-2</v>
      </c>
    </row>
    <row r="46936" spans="1:6" x14ac:dyDescent="0.25">
      <c r="A46936" s="2" t="str">
        <f t="shared" si="1484"/>
        <v>44100</v>
      </c>
      <c r="B46936" s="2" t="str">
        <f>"62530"</f>
        <v>62530</v>
      </c>
      <c r="C46936" s="1">
        <v>6.5704229882099898E-3</v>
      </c>
      <c r="D46936" s="1">
        <v>2.8697345495541601E-3</v>
      </c>
      <c r="E46936" s="1">
        <v>2.03998368013055E-3</v>
      </c>
      <c r="F46936" s="1">
        <v>6.0981535471331299E-3</v>
      </c>
    </row>
    <row r="46937" spans="1:6" x14ac:dyDescent="0.25">
      <c r="A46937" s="2" t="str">
        <f t="shared" si="1484"/>
        <v>44100</v>
      </c>
      <c r="B46937" s="2" t="str">
        <f>"62781"</f>
        <v>62781</v>
      </c>
      <c r="C46937" s="1">
        <v>0</v>
      </c>
      <c r="D46937" s="1">
        <v>0</v>
      </c>
      <c r="E46937" s="1">
        <v>2.03998368013055E-4</v>
      </c>
      <c r="F46937" s="1">
        <v>8.0984774862325795E-6</v>
      </c>
    </row>
    <row r="46938" spans="1:6" x14ac:dyDescent="0.25">
      <c r="A46938" s="2" t="str">
        <f t="shared" si="1484"/>
        <v>44100</v>
      </c>
      <c r="B46938" s="2" t="str">
        <f>"62757"</f>
        <v>62757</v>
      </c>
      <c r="C46938" s="1">
        <v>0</v>
      </c>
      <c r="D46938" s="1">
        <v>1.02490519626934E-4</v>
      </c>
      <c r="E46938" s="1">
        <v>0</v>
      </c>
      <c r="F46938" s="1">
        <v>8.0984774862325795E-6</v>
      </c>
    </row>
    <row r="46939" spans="1:6" x14ac:dyDescent="0.25">
      <c r="A46939" s="2" t="str">
        <f t="shared" si="1484"/>
        <v>44100</v>
      </c>
      <c r="B46939" s="2" t="str">
        <f>"62796"</f>
        <v>62796</v>
      </c>
      <c r="C46939" s="1">
        <v>0</v>
      </c>
      <c r="D46939" s="1">
        <v>0</v>
      </c>
      <c r="E46939" s="1">
        <v>4.0799673602611098E-4</v>
      </c>
      <c r="F46939" s="1">
        <v>1.6196954972465101E-5</v>
      </c>
    </row>
    <row r="46940" spans="1:6" x14ac:dyDescent="0.25">
      <c r="A46940" s="2" t="str">
        <f t="shared" si="1484"/>
        <v>44100</v>
      </c>
      <c r="B46940" s="2" t="str">
        <f>"62688"</f>
        <v>62688</v>
      </c>
      <c r="C46940" s="1">
        <v>2.4903281535732899E-3</v>
      </c>
      <c r="D46940" s="1">
        <v>5.1245259813467205E-4</v>
      </c>
      <c r="E46940" s="1">
        <v>0</v>
      </c>
      <c r="F46940" s="1">
        <v>2.2351797862001899E-3</v>
      </c>
    </row>
    <row r="46941" spans="1:6" x14ac:dyDescent="0.25">
      <c r="A46941" s="2" t="str">
        <f t="shared" si="1484"/>
        <v>44100</v>
      </c>
      <c r="B46941" s="2" t="str">
        <f>"62675"</f>
        <v>62675</v>
      </c>
      <c r="C46941" s="1">
        <v>2.7944973856149E-2</v>
      </c>
      <c r="D46941" s="1">
        <v>2.3265347955314101E-2</v>
      </c>
      <c r="E46941" s="1">
        <v>1.0811913504691901E-2</v>
      </c>
      <c r="F46941" s="1">
        <v>2.6895043731778399E-2</v>
      </c>
    </row>
    <row r="46942" spans="1:6" x14ac:dyDescent="0.25">
      <c r="A46942" s="2" t="str">
        <f t="shared" si="1484"/>
        <v>44100</v>
      </c>
      <c r="B46942" s="2" t="str">
        <f>"62536"</f>
        <v>62536</v>
      </c>
      <c r="C46942" s="1">
        <v>3.0325029176353799E-3</v>
      </c>
      <c r="D46942" s="1">
        <v>8.1992415701547601E-4</v>
      </c>
      <c r="E46942" s="1">
        <v>0</v>
      </c>
      <c r="F46942" s="1">
        <v>2.73728539034661E-3</v>
      </c>
    </row>
    <row r="46943" spans="1:6" x14ac:dyDescent="0.25">
      <c r="A46943" s="2" t="str">
        <f t="shared" si="1484"/>
        <v>44100</v>
      </c>
      <c r="B46943" s="2" t="str">
        <f>"62561"</f>
        <v>62561</v>
      </c>
      <c r="C46943" s="1">
        <v>2.21280818959575E-2</v>
      </c>
      <c r="D46943" s="1">
        <v>8.5067131290355608E-3</v>
      </c>
      <c r="E46943" s="1">
        <v>1.06079151366789E-2</v>
      </c>
      <c r="F46943" s="1">
        <v>2.0594428247489398E-2</v>
      </c>
    </row>
    <row r="46944" spans="1:6" x14ac:dyDescent="0.25">
      <c r="A46944" s="2" t="str">
        <f t="shared" si="1484"/>
        <v>44100</v>
      </c>
      <c r="B46944" s="2" t="str">
        <f>"62769"</f>
        <v>62769</v>
      </c>
      <c r="C46944" s="1">
        <v>0</v>
      </c>
      <c r="D46944" s="1">
        <v>1.02490519626934E-4</v>
      </c>
      <c r="E46944" s="1">
        <v>0</v>
      </c>
      <c r="F46944" s="1">
        <v>8.0984774862325795E-6</v>
      </c>
    </row>
    <row r="46945" spans="1:6" x14ac:dyDescent="0.25">
      <c r="A46945" s="2" t="str">
        <f t="shared" si="1484"/>
        <v>44100</v>
      </c>
      <c r="B46945" s="2" t="str">
        <f>"62766"</f>
        <v>62766</v>
      </c>
      <c r="C46945" s="1">
        <v>0</v>
      </c>
      <c r="D46945" s="1">
        <v>1.02490519626934E-4</v>
      </c>
      <c r="E46945" s="1">
        <v>0</v>
      </c>
      <c r="F46945" s="1">
        <v>8.0984774862325795E-6</v>
      </c>
    </row>
    <row r="46946" spans="1:6" x14ac:dyDescent="0.25">
      <c r="A46946" s="2" t="str">
        <f t="shared" si="1484"/>
        <v>44100</v>
      </c>
      <c r="B46946" s="2" t="str">
        <f>"62764"</f>
        <v>62764</v>
      </c>
      <c r="C46946" s="1">
        <v>0</v>
      </c>
      <c r="D46946" s="1">
        <v>0</v>
      </c>
      <c r="E46946" s="1">
        <v>2.03998368013055E-4</v>
      </c>
      <c r="F46946" s="1">
        <v>8.0984774862325795E-6</v>
      </c>
    </row>
    <row r="46947" spans="1:6" x14ac:dyDescent="0.25">
      <c r="A46947" s="2" t="str">
        <f t="shared" si="1484"/>
        <v>44100</v>
      </c>
      <c r="B46947" s="2" t="str">
        <f>"62723"</f>
        <v>62723</v>
      </c>
      <c r="C46947" s="1">
        <v>0</v>
      </c>
      <c r="D46947" s="1">
        <v>1.02490519626934E-4</v>
      </c>
      <c r="E46947" s="1">
        <v>0</v>
      </c>
      <c r="F46947" s="1">
        <v>8.0984774862325795E-6</v>
      </c>
    </row>
    <row r="46948" spans="1:6" x14ac:dyDescent="0.25">
      <c r="A46948" s="2" t="str">
        <f t="shared" si="1484"/>
        <v>44100</v>
      </c>
      <c r="B46948" s="2" t="str">
        <f>"62719"</f>
        <v>62719</v>
      </c>
      <c r="C46948" s="1">
        <v>0</v>
      </c>
      <c r="D46948" s="1">
        <v>0</v>
      </c>
      <c r="E46948" s="1">
        <v>2.03998368013055E-4</v>
      </c>
      <c r="F46948" s="1">
        <v>8.0984774862325795E-6</v>
      </c>
    </row>
    <row r="46949" spans="1:6" x14ac:dyDescent="0.25">
      <c r="A46949" s="2" t="str">
        <f t="shared" si="1484"/>
        <v>44100</v>
      </c>
      <c r="B46949" s="2" t="str">
        <f>"62791"</f>
        <v>62791</v>
      </c>
      <c r="C46949" s="1">
        <v>9.2169709890554206E-3</v>
      </c>
      <c r="D46949" s="1">
        <v>3.9561340575996702E-2</v>
      </c>
      <c r="E46949" s="1">
        <v>8.1599347205222304E-4</v>
      </c>
      <c r="F46949" s="1">
        <v>1.12811791383219E-2</v>
      </c>
    </row>
    <row r="46950" spans="1:6" x14ac:dyDescent="0.25">
      <c r="A46950" s="2" t="str">
        <f t="shared" si="1484"/>
        <v>44100</v>
      </c>
      <c r="B46950" s="2" t="str">
        <f>"62707"</f>
        <v>62707</v>
      </c>
      <c r="C46950" s="1">
        <v>3.3596456566287701E-2</v>
      </c>
      <c r="D46950" s="1">
        <v>2.7672440299272301E-2</v>
      </c>
      <c r="E46950" s="1">
        <v>8.5679314565483399E-3</v>
      </c>
      <c r="F46950" s="1">
        <v>3.2134758665370897E-2</v>
      </c>
    </row>
    <row r="46951" spans="1:6" x14ac:dyDescent="0.25">
      <c r="A46951" s="2" t="str">
        <f t="shared" si="1484"/>
        <v>44100</v>
      </c>
      <c r="B46951" s="2" t="str">
        <f>"62690"</f>
        <v>62690</v>
      </c>
      <c r="C46951" s="1">
        <v>1.33246340320342E-3</v>
      </c>
      <c r="D46951" s="1">
        <v>2.04981039253869E-4</v>
      </c>
      <c r="E46951" s="1">
        <v>6.1199510403916698E-4</v>
      </c>
      <c r="F46951" s="1">
        <v>1.21477162293488E-3</v>
      </c>
    </row>
    <row r="46952" spans="1:6" x14ac:dyDescent="0.25">
      <c r="A46952" s="2" t="str">
        <f t="shared" si="1484"/>
        <v>44100</v>
      </c>
      <c r="B46952" s="2" t="str">
        <f>"62673"</f>
        <v>62673</v>
      </c>
      <c r="C46952" s="1">
        <v>9.8326609753632103E-4</v>
      </c>
      <c r="D46952" s="1">
        <v>3.0747155888080299E-4</v>
      </c>
      <c r="E46952" s="1">
        <v>0</v>
      </c>
      <c r="F46952" s="1">
        <v>8.9083252348558402E-4</v>
      </c>
    </row>
    <row r="46953" spans="1:6" x14ac:dyDescent="0.25">
      <c r="A46953" s="2" t="str">
        <f t="shared" si="1484"/>
        <v>44100</v>
      </c>
      <c r="B46953" s="2" t="str">
        <f>"62670"</f>
        <v>62670</v>
      </c>
      <c r="C46953" s="1">
        <v>1.27273228512878E-2</v>
      </c>
      <c r="D46953" s="1">
        <v>6.6618837757507401E-3</v>
      </c>
      <c r="E46953" s="1">
        <v>3.4679722562219501E-3</v>
      </c>
      <c r="F46953" s="1">
        <v>1.1880466472303199E-2</v>
      </c>
    </row>
    <row r="46954" spans="1:6" x14ac:dyDescent="0.25">
      <c r="A46954" s="2" t="str">
        <f t="shared" si="1484"/>
        <v>44100</v>
      </c>
      <c r="B46954" s="2" t="str">
        <f>"62558"</f>
        <v>62558</v>
      </c>
      <c r="C46954" s="1">
        <v>1.45652034074305E-2</v>
      </c>
      <c r="D46954" s="1">
        <v>3.5871681869427E-3</v>
      </c>
      <c r="E46954" s="1">
        <v>9.3839249286005698E-3</v>
      </c>
      <c r="F46954" s="1">
        <v>1.3492063492063401E-2</v>
      </c>
    </row>
    <row r="46955" spans="1:6" x14ac:dyDescent="0.25">
      <c r="A46955" s="2" t="str">
        <f t="shared" si="1484"/>
        <v>44100</v>
      </c>
      <c r="B46955" s="2" t="str">
        <f>"62625"</f>
        <v>62625</v>
      </c>
      <c r="C46955" s="1">
        <v>3.84117036233815E-3</v>
      </c>
      <c r="D46955" s="1">
        <v>9.2241467664241005E-4</v>
      </c>
      <c r="E46955" s="1">
        <v>0</v>
      </c>
      <c r="F46955" s="1">
        <v>3.4580498866213102E-3</v>
      </c>
    </row>
    <row r="46956" spans="1:6" x14ac:dyDescent="0.25">
      <c r="A46956" s="2" t="str">
        <f t="shared" si="1484"/>
        <v>44100</v>
      </c>
      <c r="B46956" s="2" t="str">
        <f>"62767"</f>
        <v>62767</v>
      </c>
      <c r="C46956" s="1">
        <v>0</v>
      </c>
      <c r="D46956" s="1">
        <v>1.02490519626934E-4</v>
      </c>
      <c r="E46956" s="1">
        <v>0</v>
      </c>
      <c r="F46956" s="1">
        <v>8.0984774862325795E-6</v>
      </c>
    </row>
    <row r="46957" spans="1:6" x14ac:dyDescent="0.25">
      <c r="A46957" s="2" t="str">
        <f t="shared" si="1484"/>
        <v>44100</v>
      </c>
      <c r="B46957" s="2" t="str">
        <f>"62763"</f>
        <v>62763</v>
      </c>
      <c r="C46957" s="1">
        <v>0</v>
      </c>
      <c r="D46957" s="1">
        <v>1.02490519626934E-4</v>
      </c>
      <c r="E46957" s="1">
        <v>0</v>
      </c>
      <c r="F46957" s="1">
        <v>8.0984774862325795E-6</v>
      </c>
    </row>
    <row r="46958" spans="1:6" x14ac:dyDescent="0.25">
      <c r="A46958" s="2" t="str">
        <f t="shared" si="1484"/>
        <v>44100</v>
      </c>
      <c r="B46958" s="2" t="str">
        <f>"62706"</f>
        <v>62706</v>
      </c>
      <c r="C46958" s="1">
        <v>0</v>
      </c>
      <c r="D46958" s="1">
        <v>1.02490519626934E-4</v>
      </c>
      <c r="E46958" s="1">
        <v>1.01999184006527E-3</v>
      </c>
      <c r="F46958" s="1">
        <v>4.8590864917395497E-5</v>
      </c>
    </row>
    <row r="46959" spans="1:6" x14ac:dyDescent="0.25">
      <c r="A46959" s="2" t="str">
        <f t="shared" si="1484"/>
        <v>44100</v>
      </c>
      <c r="B46959" s="2" t="str">
        <f>"62705"</f>
        <v>62705</v>
      </c>
      <c r="C46959" s="1">
        <v>1.4647908032456899E-2</v>
      </c>
      <c r="D46959" s="1">
        <v>5.2782617607871202E-2</v>
      </c>
      <c r="E46959" s="1">
        <v>4.0799673602611098E-4</v>
      </c>
      <c r="F46959" s="1">
        <v>1.7095885973436899E-2</v>
      </c>
    </row>
    <row r="46960" spans="1:6" x14ac:dyDescent="0.25">
      <c r="A46960" s="2" t="str">
        <f t="shared" ref="A46960:A46988" si="1485">"44100"</f>
        <v>44100</v>
      </c>
      <c r="B46960" s="2" t="str">
        <f>"62704"</f>
        <v>62704</v>
      </c>
      <c r="C46960" s="1">
        <v>0.192058518116907</v>
      </c>
      <c r="D46960" s="1">
        <v>0.22076457927641599</v>
      </c>
      <c r="E46960" s="1">
        <v>0.37474500203998301</v>
      </c>
      <c r="F46960" s="1">
        <v>0.201579203109815</v>
      </c>
    </row>
    <row r="46961" spans="1:6" x14ac:dyDescent="0.25">
      <c r="A46961" s="2" t="str">
        <f t="shared" si="1485"/>
        <v>44100</v>
      </c>
      <c r="B46961" s="2" t="str">
        <f>"62701"</f>
        <v>62701</v>
      </c>
      <c r="C46961" s="1">
        <v>9.4650848641346704E-3</v>
      </c>
      <c r="D46961" s="1">
        <v>8.0250076867889694E-2</v>
      </c>
      <c r="E46961" s="1">
        <v>4.5287637698898403E-2</v>
      </c>
      <c r="F46961" s="1">
        <v>1.6480401684483299E-2</v>
      </c>
    </row>
    <row r="46962" spans="1:6" x14ac:dyDescent="0.25">
      <c r="A46962" s="2" t="str">
        <f t="shared" si="1485"/>
        <v>44100</v>
      </c>
      <c r="B46962" s="2" t="str">
        <f>"62684"</f>
        <v>62684</v>
      </c>
      <c r="C46962" s="1">
        <v>2.0290201339814899E-2</v>
      </c>
      <c r="D46962" s="1">
        <v>1.0966485600081901E-2</v>
      </c>
      <c r="E46962" s="1">
        <v>2.8559771521827798E-3</v>
      </c>
      <c r="F46962" s="1">
        <v>1.8861354065435602E-2</v>
      </c>
    </row>
    <row r="46963" spans="1:6" x14ac:dyDescent="0.25">
      <c r="A46963" s="2" t="str">
        <f t="shared" si="1485"/>
        <v>44100</v>
      </c>
      <c r="B46963" s="2" t="str">
        <f>"62642"</f>
        <v>62642</v>
      </c>
      <c r="C46963" s="1">
        <v>6.5244759743064203E-3</v>
      </c>
      <c r="D46963" s="1">
        <v>1.02490519626934E-3</v>
      </c>
      <c r="E46963" s="1">
        <v>4.0799673602611098E-4</v>
      </c>
      <c r="F46963" s="1">
        <v>5.8471007450599201E-3</v>
      </c>
    </row>
    <row r="46964" spans="1:6" x14ac:dyDescent="0.25">
      <c r="A46964" s="2" t="str">
        <f t="shared" si="1485"/>
        <v>44100</v>
      </c>
      <c r="B46964" s="2" t="str">
        <f>"62615"</f>
        <v>62615</v>
      </c>
      <c r="C46964" s="1">
        <v>2.15950965346762E-2</v>
      </c>
      <c r="D46964" s="1">
        <v>1.57835400225479E-2</v>
      </c>
      <c r="E46964" s="1">
        <v>1.06079151366789E-2</v>
      </c>
      <c r="F46964" s="1">
        <v>2.0699708454810398E-2</v>
      </c>
    </row>
    <row r="46965" spans="1:6" x14ac:dyDescent="0.25">
      <c r="A46965" s="2" t="str">
        <f t="shared" si="1485"/>
        <v>44100</v>
      </c>
      <c r="B46965" s="2" t="str">
        <f>"62613"</f>
        <v>62613</v>
      </c>
      <c r="C46965" s="1">
        <v>1.5925235018976101E-2</v>
      </c>
      <c r="D46965" s="1">
        <v>6.6618837757507401E-3</v>
      </c>
      <c r="E46965" s="1">
        <v>8.7719298245613996E-3</v>
      </c>
      <c r="F46965" s="1">
        <v>1.4909297052154101E-2</v>
      </c>
    </row>
    <row r="46966" spans="1:6" x14ac:dyDescent="0.25">
      <c r="A46966" s="2" t="str">
        <f t="shared" si="1485"/>
        <v>44100</v>
      </c>
      <c r="B46966" s="2" t="str">
        <f>"62515"</f>
        <v>62515</v>
      </c>
      <c r="C46966" s="1">
        <v>3.9790114040488501E-3</v>
      </c>
      <c r="D46966" s="1">
        <v>1.43486727477708E-3</v>
      </c>
      <c r="E46966" s="1">
        <v>1.2239902080783301E-3</v>
      </c>
      <c r="F46966" s="1">
        <v>3.6686103012633598E-3</v>
      </c>
    </row>
    <row r="46967" spans="1:6" x14ac:dyDescent="0.25">
      <c r="A46967" s="2" t="str">
        <f t="shared" si="1485"/>
        <v>44100</v>
      </c>
      <c r="B46967" s="2" t="str">
        <f>"62739"</f>
        <v>62739</v>
      </c>
      <c r="C46967" s="1">
        <v>0</v>
      </c>
      <c r="D46967" s="1">
        <v>1.02490519626934E-4</v>
      </c>
      <c r="E46967" s="1">
        <v>0</v>
      </c>
      <c r="F46967" s="1">
        <v>8.0984774862325795E-6</v>
      </c>
    </row>
    <row r="46968" spans="1:6" x14ac:dyDescent="0.25">
      <c r="A46968" s="2" t="str">
        <f t="shared" si="1485"/>
        <v>44100</v>
      </c>
      <c r="B46968" s="2" t="str">
        <f>"62716"</f>
        <v>62716</v>
      </c>
      <c r="C46968" s="1">
        <v>0</v>
      </c>
      <c r="D46968" s="1">
        <v>0</v>
      </c>
      <c r="E46968" s="1">
        <v>2.03998368013055E-4</v>
      </c>
      <c r="F46968" s="1">
        <v>8.0984774862325795E-6</v>
      </c>
    </row>
    <row r="46969" spans="1:6" x14ac:dyDescent="0.25">
      <c r="A46969" s="2" t="str">
        <f t="shared" si="1485"/>
        <v>44100</v>
      </c>
      <c r="B46969" s="2" t="str">
        <f>"62712"</f>
        <v>62712</v>
      </c>
      <c r="C46969" s="1">
        <v>4.1977191902298198E-2</v>
      </c>
      <c r="D46969" s="1">
        <v>9.7365993645587706E-3</v>
      </c>
      <c r="E46969" s="1">
        <v>3.44757241942064E-2</v>
      </c>
      <c r="F46969" s="1">
        <v>3.9131843213475799E-2</v>
      </c>
    </row>
    <row r="46970" spans="1:6" x14ac:dyDescent="0.25">
      <c r="A46970" s="2" t="str">
        <f t="shared" si="1485"/>
        <v>44100</v>
      </c>
      <c r="B46970" s="2" t="str">
        <f>"62708"</f>
        <v>62708</v>
      </c>
      <c r="C46970" s="1">
        <v>1.94355868812085E-2</v>
      </c>
      <c r="D46970" s="1">
        <v>4.1918622527416197E-2</v>
      </c>
      <c r="E46970" s="1">
        <v>4.0799673602611098E-4</v>
      </c>
      <c r="F46970" s="1">
        <v>2.0456754130223499E-2</v>
      </c>
    </row>
    <row r="46971" spans="1:6" x14ac:dyDescent="0.25">
      <c r="A46971" s="2" t="str">
        <f t="shared" si="1485"/>
        <v>44100</v>
      </c>
      <c r="B46971" s="2" t="str">
        <f>"62662"</f>
        <v>62662</v>
      </c>
      <c r="C46971" s="1">
        <v>0</v>
      </c>
      <c r="D46971" s="1">
        <v>1.02490519626934E-4</v>
      </c>
      <c r="E46971" s="1">
        <v>0</v>
      </c>
      <c r="F46971" s="1">
        <v>8.0984774862325795E-6</v>
      </c>
    </row>
    <row r="46972" spans="1:6" x14ac:dyDescent="0.25">
      <c r="A46972" s="2" t="str">
        <f t="shared" si="1485"/>
        <v>44100</v>
      </c>
      <c r="B46972" s="2" t="str">
        <f>"62629"</f>
        <v>62629</v>
      </c>
      <c r="C46972" s="1">
        <v>6.2037658172595302E-2</v>
      </c>
      <c r="D46972" s="1">
        <v>3.8433944860100398E-2</v>
      </c>
      <c r="E46972" s="1">
        <v>3.2843737250101902E-2</v>
      </c>
      <c r="F46972" s="1">
        <v>5.9013605442176799E-2</v>
      </c>
    </row>
    <row r="46973" spans="1:6" x14ac:dyDescent="0.25">
      <c r="A46973" s="2" t="str">
        <f t="shared" si="1485"/>
        <v>44100</v>
      </c>
      <c r="B46973" s="2" t="str">
        <f>"62689"</f>
        <v>62689</v>
      </c>
      <c r="C46973" s="1">
        <v>1.92977458394978E-3</v>
      </c>
      <c r="D46973" s="1">
        <v>1.02490519626934E-4</v>
      </c>
      <c r="E46973" s="1">
        <v>0</v>
      </c>
      <c r="F46973" s="1">
        <v>1.70877874959507E-3</v>
      </c>
    </row>
    <row r="46974" spans="1:6" x14ac:dyDescent="0.25">
      <c r="A46974" s="2" t="str">
        <f t="shared" si="1485"/>
        <v>44100</v>
      </c>
      <c r="B46974" s="2" t="str">
        <f>"62702"</f>
        <v>62702</v>
      </c>
      <c r="C46974" s="1">
        <v>0.175683002361676</v>
      </c>
      <c r="D46974" s="1">
        <v>0.13713231526083799</v>
      </c>
      <c r="E46974" s="1">
        <v>0.19991840065279401</v>
      </c>
      <c r="F46974" s="1">
        <v>0.17359896339488101</v>
      </c>
    </row>
    <row r="46975" spans="1:6" x14ac:dyDescent="0.25">
      <c r="A46975" s="2" t="str">
        <f t="shared" si="1485"/>
        <v>44100</v>
      </c>
      <c r="B46975" s="2" t="str">
        <f>"62545"</f>
        <v>62545</v>
      </c>
      <c r="C46975" s="1">
        <v>3.5654882789167498E-3</v>
      </c>
      <c r="D46975" s="1">
        <v>1.33237675515014E-3</v>
      </c>
      <c r="E46975" s="1">
        <v>4.0799673602611098E-4</v>
      </c>
      <c r="F46975" s="1">
        <v>3.2636864269517301E-3</v>
      </c>
    </row>
    <row r="46976" spans="1:6" x14ac:dyDescent="0.25">
      <c r="A46976" s="2" t="str">
        <f t="shared" si="1485"/>
        <v>44100</v>
      </c>
      <c r="B46976" s="2" t="str">
        <f>"62539"</f>
        <v>62539</v>
      </c>
      <c r="C46976" s="1">
        <v>5.2563383905679904E-3</v>
      </c>
      <c r="D46976" s="1">
        <v>4.6120733832120502E-3</v>
      </c>
      <c r="E46976" s="1">
        <v>4.4879640962872201E-3</v>
      </c>
      <c r="F46976" s="1">
        <v>5.1749271137026204E-3</v>
      </c>
    </row>
    <row r="46977" spans="1:6" x14ac:dyDescent="0.25">
      <c r="A46977" s="2" t="str">
        <f t="shared" si="1485"/>
        <v>44100</v>
      </c>
      <c r="B46977" s="2" t="str">
        <f>"62612"</f>
        <v>62612</v>
      </c>
      <c r="C46977" s="1">
        <v>9.1894027807132805E-6</v>
      </c>
      <c r="D46977" s="1">
        <v>0</v>
      </c>
      <c r="E46977" s="1">
        <v>0</v>
      </c>
      <c r="F46977" s="1">
        <v>8.0984774862325795E-6</v>
      </c>
    </row>
    <row r="46978" spans="1:6" x14ac:dyDescent="0.25">
      <c r="A46978" s="2" t="str">
        <f t="shared" si="1485"/>
        <v>44100</v>
      </c>
      <c r="B46978" s="2" t="str">
        <f>"62736"</f>
        <v>62736</v>
      </c>
      <c r="C46978" s="1">
        <v>0</v>
      </c>
      <c r="D46978" s="1">
        <v>0</v>
      </c>
      <c r="E46978" s="1">
        <v>2.03998368013055E-4</v>
      </c>
      <c r="F46978" s="1">
        <v>8.0984774862325795E-6</v>
      </c>
    </row>
    <row r="46979" spans="1:6" x14ac:dyDescent="0.25">
      <c r="A46979" s="2" t="str">
        <f t="shared" si="1485"/>
        <v>44100</v>
      </c>
      <c r="B46979" s="2" t="str">
        <f>"62726"</f>
        <v>62726</v>
      </c>
      <c r="C46979" s="1">
        <v>0</v>
      </c>
      <c r="D46979" s="1">
        <v>0</v>
      </c>
      <c r="E46979" s="1">
        <v>2.03998368013055E-4</v>
      </c>
      <c r="F46979" s="1">
        <v>8.0984774862325795E-6</v>
      </c>
    </row>
    <row r="46980" spans="1:6" x14ac:dyDescent="0.25">
      <c r="A46980" s="2" t="str">
        <f t="shared" si="1485"/>
        <v>44100</v>
      </c>
      <c r="B46980" s="2" t="str">
        <f>"62677"</f>
        <v>62677</v>
      </c>
      <c r="C46980" s="1">
        <v>1.07332224478731E-2</v>
      </c>
      <c r="D46980" s="1">
        <v>2.3572819514194902E-3</v>
      </c>
      <c r="E46980" s="1">
        <v>1.4279885760913899E-3</v>
      </c>
      <c r="F46980" s="1">
        <v>9.7019760285066408E-3</v>
      </c>
    </row>
    <row r="46981" spans="1:6" x14ac:dyDescent="0.25">
      <c r="A46981" s="2" t="str">
        <f t="shared" si="1485"/>
        <v>44100</v>
      </c>
      <c r="B46981" s="2" t="str">
        <f>"62666"</f>
        <v>62666</v>
      </c>
      <c r="C46981" s="1">
        <v>1.6540925005283899E-4</v>
      </c>
      <c r="D46981" s="1">
        <v>1.02490519626934E-4</v>
      </c>
      <c r="E46981" s="1">
        <v>0</v>
      </c>
      <c r="F46981" s="1">
        <v>1.53871072238419E-4</v>
      </c>
    </row>
    <row r="46982" spans="1:6" x14ac:dyDescent="0.25">
      <c r="A46982" s="2" t="str">
        <f t="shared" si="1485"/>
        <v>44100</v>
      </c>
      <c r="B46982" s="2" t="str">
        <f>"62520"</f>
        <v>62520</v>
      </c>
      <c r="C46982" s="1">
        <v>5.6790509184807998E-3</v>
      </c>
      <c r="D46982" s="1">
        <v>4.0996207850773801E-4</v>
      </c>
      <c r="E46982" s="1">
        <v>8.1599347205222304E-4</v>
      </c>
      <c r="F46982" s="1">
        <v>5.0696469063815997E-3</v>
      </c>
    </row>
    <row r="46983" spans="1:6" x14ac:dyDescent="0.25">
      <c r="A46983" s="2" t="str">
        <f t="shared" si="1485"/>
        <v>44100</v>
      </c>
      <c r="B46983" s="2" t="str">
        <f>"62765"</f>
        <v>62765</v>
      </c>
      <c r="C46983" s="1">
        <v>0</v>
      </c>
      <c r="D46983" s="1">
        <v>1.02490519626934E-4</v>
      </c>
      <c r="E46983" s="1">
        <v>0</v>
      </c>
      <c r="F46983" s="1">
        <v>8.0984774862325795E-6</v>
      </c>
    </row>
    <row r="46984" spans="1:6" x14ac:dyDescent="0.25">
      <c r="A46984" s="2" t="str">
        <f t="shared" si="1485"/>
        <v>44100</v>
      </c>
      <c r="B46984" s="2" t="str">
        <f>"62756"</f>
        <v>62756</v>
      </c>
      <c r="C46984" s="1">
        <v>0</v>
      </c>
      <c r="D46984" s="1">
        <v>9.2241467664241005E-4</v>
      </c>
      <c r="E46984" s="1">
        <v>2.03998368013055E-4</v>
      </c>
      <c r="F46984" s="1">
        <v>8.0984774862325802E-5</v>
      </c>
    </row>
    <row r="46985" spans="1:6" x14ac:dyDescent="0.25">
      <c r="A46985" s="2" t="str">
        <f t="shared" si="1485"/>
        <v>44100</v>
      </c>
      <c r="B46985" s="2" t="str">
        <f>"62693"</f>
        <v>62693</v>
      </c>
      <c r="C46985" s="1">
        <v>7.0850295439299302E-3</v>
      </c>
      <c r="D46985" s="1">
        <v>3.4846776673157702E-3</v>
      </c>
      <c r="E46985" s="1">
        <v>1.8359853121175001E-3</v>
      </c>
      <c r="F46985" s="1">
        <v>6.5921606737933203E-3</v>
      </c>
    </row>
    <row r="46986" spans="1:6" x14ac:dyDescent="0.25">
      <c r="A46986" s="2" t="str">
        <f t="shared" si="1485"/>
        <v>44100</v>
      </c>
      <c r="B46986" s="2" t="str">
        <f>"62703"</f>
        <v>62703</v>
      </c>
      <c r="C46986" s="1">
        <v>0.137510223210593</v>
      </c>
      <c r="D46986" s="1">
        <v>0.17782105155273101</v>
      </c>
      <c r="E46986" s="1">
        <v>0.17299061607507099</v>
      </c>
      <c r="F46986" s="1">
        <v>0.14210398445092301</v>
      </c>
    </row>
    <row r="46987" spans="1:6" x14ac:dyDescent="0.25">
      <c r="A46987" s="2" t="str">
        <f t="shared" si="1485"/>
        <v>44100</v>
      </c>
      <c r="B46987" s="2" t="str">
        <f>"62659"</f>
        <v>62659</v>
      </c>
      <c r="C46987" s="1">
        <v>0</v>
      </c>
      <c r="D46987" s="1">
        <v>1.02490519626934E-4</v>
      </c>
      <c r="E46987" s="1">
        <v>2.03998368013055E-4</v>
      </c>
      <c r="F46987" s="1">
        <v>1.6196954972465101E-5</v>
      </c>
    </row>
    <row r="46988" spans="1:6" x14ac:dyDescent="0.25">
      <c r="A46988" s="2" t="str">
        <f t="shared" si="1485"/>
        <v>44100</v>
      </c>
      <c r="B46988" s="2" t="str">
        <f>"62548"</f>
        <v>62548</v>
      </c>
      <c r="C46988" s="1">
        <v>1.83788055614265E-5</v>
      </c>
      <c r="D46988" s="1">
        <v>0</v>
      </c>
      <c r="E46988" s="1">
        <v>0</v>
      </c>
      <c r="F46988" s="1">
        <v>1.6196954972465101E-5</v>
      </c>
    </row>
    <row r="46989" spans="1:6" x14ac:dyDescent="0.25">
      <c r="A46989" s="2" t="str">
        <f t="shared" ref="A46989:A47001" si="1486">"48460"</f>
        <v>48460</v>
      </c>
      <c r="B46989" s="2" t="str">
        <f>"65775"</f>
        <v>65775</v>
      </c>
      <c r="C46989" s="1">
        <v>0.57224166280197297</v>
      </c>
      <c r="D46989" s="1">
        <v>0.76948318293683304</v>
      </c>
      <c r="E46989" s="1">
        <v>0.71348314606741503</v>
      </c>
      <c r="F46989" s="1">
        <v>0.592275487496699</v>
      </c>
    </row>
    <row r="46990" spans="1:6" x14ac:dyDescent="0.25">
      <c r="A46990" s="2" t="str">
        <f t="shared" si="1486"/>
        <v>48460</v>
      </c>
      <c r="B46990" s="2" t="str">
        <f>"65689"</f>
        <v>65689</v>
      </c>
      <c r="C46990" s="1">
        <v>2.1080146717821101E-4</v>
      </c>
      <c r="D46990" s="1">
        <v>0</v>
      </c>
      <c r="E46990" s="1">
        <v>0</v>
      </c>
      <c r="F46990" s="1">
        <v>1.8858673103760399E-4</v>
      </c>
    </row>
    <row r="46991" spans="1:6" x14ac:dyDescent="0.25">
      <c r="A46991" s="2" t="str">
        <f t="shared" si="1486"/>
        <v>48460</v>
      </c>
      <c r="B46991" s="2" t="str">
        <f>"65777"</f>
        <v>65777</v>
      </c>
      <c r="C46991" s="1">
        <v>1.0371432185168001E-2</v>
      </c>
      <c r="D46991" s="1">
        <v>1.64068908941755E-3</v>
      </c>
      <c r="E46991" s="1">
        <v>2.8089887640449398E-3</v>
      </c>
      <c r="F46991" s="1">
        <v>9.4670538980877305E-3</v>
      </c>
    </row>
    <row r="46992" spans="1:6" x14ac:dyDescent="0.25">
      <c r="A46992" s="2" t="str">
        <f t="shared" si="1486"/>
        <v>48460</v>
      </c>
      <c r="B46992" s="2" t="str">
        <f>"65688"</f>
        <v>65688</v>
      </c>
      <c r="C46992" s="1">
        <v>0</v>
      </c>
      <c r="D46992" s="1">
        <v>0</v>
      </c>
      <c r="E46992" s="1">
        <v>2.8089887640449398E-3</v>
      </c>
      <c r="F46992" s="1">
        <v>3.77173462075208E-5</v>
      </c>
    </row>
    <row r="46993" spans="1:6" x14ac:dyDescent="0.25">
      <c r="A46993" s="2" t="str">
        <f t="shared" si="1486"/>
        <v>48460</v>
      </c>
      <c r="B46993" s="2" t="str">
        <f>"65692"</f>
        <v>65692</v>
      </c>
      <c r="C46993" s="1">
        <v>2.5549137821999201E-2</v>
      </c>
      <c r="D46993" s="1">
        <v>6.5627563576702201E-3</v>
      </c>
      <c r="E46993" s="1">
        <v>2.8089887640449398E-3</v>
      </c>
      <c r="F46993" s="1">
        <v>2.3497906687285401E-2</v>
      </c>
    </row>
    <row r="46994" spans="1:6" x14ac:dyDescent="0.25">
      <c r="A46994" s="2" t="str">
        <f t="shared" si="1486"/>
        <v>48460</v>
      </c>
      <c r="B46994" s="2" t="str">
        <f>"65790"</f>
        <v>65790</v>
      </c>
      <c r="C46994" s="1">
        <v>1.7833804123276599E-2</v>
      </c>
      <c r="D46994" s="1">
        <v>6.1525840853158299E-3</v>
      </c>
      <c r="E46994" s="1">
        <v>8.4269662921348295E-3</v>
      </c>
      <c r="F46994" s="1">
        <v>1.6633349677516601E-2</v>
      </c>
    </row>
    <row r="46995" spans="1:6" x14ac:dyDescent="0.25">
      <c r="A46995" s="2" t="str">
        <f t="shared" si="1486"/>
        <v>48460</v>
      </c>
      <c r="B46995" s="2" t="str">
        <f>"65793"</f>
        <v>65793</v>
      </c>
      <c r="C46995" s="1">
        <v>0.12323453771238201</v>
      </c>
      <c r="D46995" s="1">
        <v>8.6956521739130405E-2</v>
      </c>
      <c r="E46995" s="1">
        <v>0.120786516853932</v>
      </c>
      <c r="F46995" s="1">
        <v>0.119865726247501</v>
      </c>
    </row>
    <row r="46996" spans="1:6" x14ac:dyDescent="0.25">
      <c r="A46996" s="2" t="str">
        <f t="shared" si="1486"/>
        <v>48460</v>
      </c>
      <c r="B46996" s="2" t="str">
        <f>"65789"</f>
        <v>65789</v>
      </c>
      <c r="C46996" s="1">
        <v>4.0642522871959103E-2</v>
      </c>
      <c r="D46996" s="1">
        <v>1.6406890894175501E-2</v>
      </c>
      <c r="E46996" s="1">
        <v>1.40449438202247E-2</v>
      </c>
      <c r="F46996" s="1">
        <v>3.8056802323388497E-2</v>
      </c>
    </row>
    <row r="46997" spans="1:6" x14ac:dyDescent="0.25">
      <c r="A46997" s="2" t="str">
        <f t="shared" si="1486"/>
        <v>48460</v>
      </c>
      <c r="B46997" s="2" t="str">
        <f>"65637"</f>
        <v>65637</v>
      </c>
      <c r="C46997" s="1">
        <v>2.27665584552468E-3</v>
      </c>
      <c r="D46997" s="1">
        <v>3.2813781788351101E-3</v>
      </c>
      <c r="E46997" s="1">
        <v>0</v>
      </c>
      <c r="F46997" s="1">
        <v>2.33847546486629E-3</v>
      </c>
    </row>
    <row r="46998" spans="1:6" x14ac:dyDescent="0.25">
      <c r="A46998" s="2" t="str">
        <f t="shared" si="1486"/>
        <v>48460</v>
      </c>
      <c r="B46998" s="2" t="str">
        <f>"65788"</f>
        <v>65788</v>
      </c>
      <c r="C46998" s="1">
        <v>1.0371432185168001E-2</v>
      </c>
      <c r="D46998" s="1">
        <v>1.23051681706316E-3</v>
      </c>
      <c r="E46998" s="1">
        <v>2.8089887640449398E-3</v>
      </c>
      <c r="F46998" s="1">
        <v>9.4293365518801995E-3</v>
      </c>
    </row>
    <row r="46999" spans="1:6" x14ac:dyDescent="0.25">
      <c r="A46999" s="2" t="str">
        <f t="shared" si="1486"/>
        <v>48460</v>
      </c>
      <c r="B46999" s="2" t="str">
        <f>"65626"</f>
        <v>65626</v>
      </c>
      <c r="C46999" s="1">
        <v>3.3348792107592999E-2</v>
      </c>
      <c r="D46999" s="1">
        <v>4.5118949958982699E-3</v>
      </c>
      <c r="E46999" s="1">
        <v>5.6179775280898797E-3</v>
      </c>
      <c r="F46999" s="1">
        <v>3.0324746350846699E-2</v>
      </c>
    </row>
    <row r="47000" spans="1:6" x14ac:dyDescent="0.25">
      <c r="A47000" s="2" t="str">
        <f t="shared" si="1486"/>
        <v>48460</v>
      </c>
      <c r="B47000" s="2" t="str">
        <f>"65548"</f>
        <v>65548</v>
      </c>
      <c r="C47000" s="1">
        <v>0.16025127534887601</v>
      </c>
      <c r="D47000" s="1">
        <v>0.10377358490565999</v>
      </c>
      <c r="E47000" s="1">
        <v>0.126404494382022</v>
      </c>
      <c r="F47000" s="1">
        <v>0.154603402104627</v>
      </c>
    </row>
    <row r="47001" spans="1:6" x14ac:dyDescent="0.25">
      <c r="A47001" s="2" t="str">
        <f t="shared" si="1486"/>
        <v>48460</v>
      </c>
      <c r="B47001" s="2" t="str">
        <f>"65609"</f>
        <v>65609</v>
      </c>
      <c r="C47001" s="1">
        <v>3.6679455289008798E-3</v>
      </c>
      <c r="D47001" s="1">
        <v>0</v>
      </c>
      <c r="E47001" s="1">
        <v>0</v>
      </c>
      <c r="F47001" s="1">
        <v>3.2814091200543101E-3</v>
      </c>
    </row>
    <row r="47002" spans="1:6" x14ac:dyDescent="0.25">
      <c r="A47002" s="2" t="str">
        <f t="shared" ref="A47002:A47014" si="1487">"36840"</f>
        <v>36840</v>
      </c>
      <c r="B47002" s="2" t="str">
        <f>"66042"</f>
        <v>66042</v>
      </c>
      <c r="C47002" s="1">
        <v>2.37551779524896E-2</v>
      </c>
      <c r="D47002" s="1">
        <v>0</v>
      </c>
      <c r="E47002" s="1">
        <v>2.1621621621621599E-2</v>
      </c>
      <c r="F47002" s="1">
        <v>2.2270844729233401E-2</v>
      </c>
    </row>
    <row r="47003" spans="1:6" x14ac:dyDescent="0.25">
      <c r="A47003" s="2" t="str">
        <f t="shared" si="1487"/>
        <v>36840</v>
      </c>
      <c r="B47003" s="2" t="str">
        <f>"66064"</f>
        <v>66064</v>
      </c>
      <c r="C47003" s="1">
        <v>2.3670639952658701E-3</v>
      </c>
      <c r="D47003" s="1">
        <v>0</v>
      </c>
      <c r="E47003" s="1">
        <v>0</v>
      </c>
      <c r="F47003" s="1">
        <v>2.1880128155036299E-3</v>
      </c>
    </row>
    <row r="47004" spans="1:6" x14ac:dyDescent="0.25">
      <c r="A47004" s="2" t="str">
        <f t="shared" si="1487"/>
        <v>36840</v>
      </c>
      <c r="B47004" s="2" t="str">
        <f>"66067"</f>
        <v>66067</v>
      </c>
      <c r="C47004" s="1">
        <v>0.60960351678079205</v>
      </c>
      <c r="D47004" s="1">
        <v>0.89144316730523598</v>
      </c>
      <c r="E47004" s="1">
        <v>0.83243243243243203</v>
      </c>
      <c r="F47004" s="1">
        <v>0.63006954755020705</v>
      </c>
    </row>
    <row r="47005" spans="1:6" x14ac:dyDescent="0.25">
      <c r="A47005" s="2" t="str">
        <f t="shared" si="1487"/>
        <v>36840</v>
      </c>
      <c r="B47005" s="2" t="str">
        <f>"66524"</f>
        <v>66524</v>
      </c>
      <c r="C47005" s="1">
        <v>1.09899399780201E-3</v>
      </c>
      <c r="D47005" s="1">
        <v>0</v>
      </c>
      <c r="E47005" s="1">
        <v>0</v>
      </c>
      <c r="F47005" s="1">
        <v>1.0158630929124001E-3</v>
      </c>
    </row>
    <row r="47006" spans="1:6" x14ac:dyDescent="0.25">
      <c r="A47006" s="2" t="str">
        <f t="shared" si="1487"/>
        <v>36840</v>
      </c>
      <c r="B47006" s="2" t="str">
        <f>"66528"</f>
        <v>66528</v>
      </c>
      <c r="C47006" s="1">
        <v>4.9032039901935904E-3</v>
      </c>
      <c r="D47006" s="1">
        <v>0</v>
      </c>
      <c r="E47006" s="1">
        <v>0</v>
      </c>
      <c r="F47006" s="1">
        <v>4.53231226068609E-3</v>
      </c>
    </row>
    <row r="47007" spans="1:6" x14ac:dyDescent="0.25">
      <c r="A47007" s="2" t="str">
        <f t="shared" si="1487"/>
        <v>36840</v>
      </c>
      <c r="B47007" s="2" t="str">
        <f>"66079"</f>
        <v>66079</v>
      </c>
      <c r="C47007" s="1">
        <v>3.0856369938287199E-2</v>
      </c>
      <c r="D47007" s="1">
        <v>8.9399744572158293E-3</v>
      </c>
      <c r="E47007" s="1">
        <v>1.62162162162162E-2</v>
      </c>
      <c r="F47007" s="1">
        <v>2.9303743064780799E-2</v>
      </c>
    </row>
    <row r="47008" spans="1:6" x14ac:dyDescent="0.25">
      <c r="A47008" s="2" t="str">
        <f t="shared" si="1487"/>
        <v>36840</v>
      </c>
      <c r="B47008" s="2" t="str">
        <f>"66078"</f>
        <v>66078</v>
      </c>
      <c r="C47008" s="1">
        <v>3.6097725927804497E-2</v>
      </c>
      <c r="D47008" s="1">
        <v>1.27713920817369E-2</v>
      </c>
      <c r="E47008" s="1">
        <v>3.24324324324324E-2</v>
      </c>
      <c r="F47008" s="1">
        <v>3.4617488473861001E-2</v>
      </c>
    </row>
    <row r="47009" spans="1:6" x14ac:dyDescent="0.25">
      <c r="A47009" s="2" t="str">
        <f t="shared" si="1487"/>
        <v>36840</v>
      </c>
      <c r="B47009" s="2" t="str">
        <f>"66006"</f>
        <v>66006</v>
      </c>
      <c r="C47009" s="1">
        <v>4.5650519908698901E-3</v>
      </c>
      <c r="D47009" s="1">
        <v>0</v>
      </c>
      <c r="E47009" s="1">
        <v>0</v>
      </c>
      <c r="F47009" s="1">
        <v>4.2197390013284297E-3</v>
      </c>
    </row>
    <row r="47010" spans="1:6" x14ac:dyDescent="0.25">
      <c r="A47010" s="2" t="str">
        <f t="shared" si="1487"/>
        <v>36840</v>
      </c>
      <c r="B47010" s="2" t="str">
        <f>"66092"</f>
        <v>66092</v>
      </c>
      <c r="C47010" s="1">
        <v>0.11184377377631199</v>
      </c>
      <c r="D47010" s="1">
        <v>3.3205619412515902E-2</v>
      </c>
      <c r="E47010" s="1">
        <v>4.8648648648648603E-2</v>
      </c>
      <c r="F47010" s="1">
        <v>0.106118621551926</v>
      </c>
    </row>
    <row r="47011" spans="1:6" x14ac:dyDescent="0.25">
      <c r="A47011" s="2" t="str">
        <f t="shared" si="1487"/>
        <v>36840</v>
      </c>
      <c r="B47011" s="2" t="str">
        <f>"66076"</f>
        <v>66076</v>
      </c>
      <c r="C47011" s="1">
        <v>0.105334347789331</v>
      </c>
      <c r="D47011" s="1">
        <v>2.2988505747126398E-2</v>
      </c>
      <c r="E47011" s="1">
        <v>2.1621621621621599E-2</v>
      </c>
      <c r="F47011" s="1">
        <v>9.9085723216378804E-2</v>
      </c>
    </row>
    <row r="47012" spans="1:6" x14ac:dyDescent="0.25">
      <c r="A47012" s="2" t="str">
        <f t="shared" si="1487"/>
        <v>36840</v>
      </c>
      <c r="B47012" s="2" t="str">
        <f>"66033"</f>
        <v>66033</v>
      </c>
      <c r="C47012" s="1">
        <v>3.8042099923915802E-3</v>
      </c>
      <c r="D47012" s="1">
        <v>0</v>
      </c>
      <c r="E47012" s="1">
        <v>0</v>
      </c>
      <c r="F47012" s="1">
        <v>3.51644916777369E-3</v>
      </c>
    </row>
    <row r="47013" spans="1:6" x14ac:dyDescent="0.25">
      <c r="A47013" s="2" t="str">
        <f t="shared" si="1487"/>
        <v>36840</v>
      </c>
      <c r="B47013" s="2" t="str">
        <f>"66095"</f>
        <v>66095</v>
      </c>
      <c r="C47013" s="1">
        <v>3.2547129934905702E-2</v>
      </c>
      <c r="D47013" s="1">
        <v>1.27713920817369E-2</v>
      </c>
      <c r="E47013" s="1">
        <v>1.0810810810810799E-2</v>
      </c>
      <c r="F47013" s="1">
        <v>3.1022895991247901E-2</v>
      </c>
    </row>
    <row r="47014" spans="1:6" x14ac:dyDescent="0.25">
      <c r="A47014" s="2" t="str">
        <f t="shared" si="1487"/>
        <v>36840</v>
      </c>
      <c r="B47014" s="2" t="str">
        <f>"66080"</f>
        <v>66080</v>
      </c>
      <c r="C47014" s="1">
        <v>3.32234339335531E-2</v>
      </c>
      <c r="D47014" s="1">
        <v>1.78799489144316E-2</v>
      </c>
      <c r="E47014" s="1">
        <v>1.62162162162162E-2</v>
      </c>
      <c r="F47014" s="1">
        <v>3.2038759084160297E-2</v>
      </c>
    </row>
    <row r="47015" spans="1:6" x14ac:dyDescent="0.25">
      <c r="A47015" s="2" t="str">
        <f t="shared" ref="A47015:A47027" si="1488">"37660"</f>
        <v>37660</v>
      </c>
      <c r="B47015" s="2" t="str">
        <f>"67337"</f>
        <v>67337</v>
      </c>
      <c r="C47015" s="1">
        <v>1.4375058340334101E-2</v>
      </c>
      <c r="D47015" s="1">
        <v>4.3243243243243201E-3</v>
      </c>
      <c r="E47015" s="1">
        <v>7.1174377224199198E-3</v>
      </c>
      <c r="F47015" s="1">
        <v>1.34239449618256E-2</v>
      </c>
    </row>
    <row r="47016" spans="1:6" x14ac:dyDescent="0.25">
      <c r="A47016" s="2" t="str">
        <f t="shared" si="1488"/>
        <v>37660</v>
      </c>
      <c r="B47016" s="2" t="str">
        <f>"67336"</f>
        <v>67336</v>
      </c>
      <c r="C47016" s="1">
        <v>6.4687762531503698E-2</v>
      </c>
      <c r="D47016" s="1">
        <v>0.04</v>
      </c>
      <c r="E47016" s="1">
        <v>3.91459074733096E-2</v>
      </c>
      <c r="F47016" s="1">
        <v>6.2169645104455003E-2</v>
      </c>
    </row>
    <row r="47017" spans="1:6" x14ac:dyDescent="0.25">
      <c r="A47017" s="2" t="str">
        <f t="shared" si="1488"/>
        <v>37660</v>
      </c>
      <c r="B47017" s="2" t="str">
        <f>"66776"</f>
        <v>66776</v>
      </c>
      <c r="C47017" s="1">
        <v>2.2402688322598701E-3</v>
      </c>
      <c r="D47017" s="1">
        <v>0</v>
      </c>
      <c r="E47017" s="1">
        <v>0</v>
      </c>
      <c r="F47017" s="1">
        <v>2.0135917442738399E-3</v>
      </c>
    </row>
    <row r="47018" spans="1:6" x14ac:dyDescent="0.25">
      <c r="A47018" s="2" t="str">
        <f t="shared" si="1488"/>
        <v>37660</v>
      </c>
      <c r="B47018" s="2" t="str">
        <f>"67335"</f>
        <v>67335</v>
      </c>
      <c r="C47018" s="1">
        <v>3.4070755157285498E-2</v>
      </c>
      <c r="D47018" s="1">
        <v>9.7297297297297206E-3</v>
      </c>
      <c r="E47018" s="1">
        <v>6.0498220640569297E-2</v>
      </c>
      <c r="F47018" s="1">
        <v>3.2804765500461401E-2</v>
      </c>
    </row>
    <row r="47019" spans="1:6" x14ac:dyDescent="0.25">
      <c r="A47019" s="2" t="str">
        <f t="shared" si="1488"/>
        <v>37660</v>
      </c>
      <c r="B47019" s="2" t="str">
        <f>"67357"</f>
        <v>67357</v>
      </c>
      <c r="C47019" s="1">
        <v>0.57584243442546401</v>
      </c>
      <c r="D47019" s="1">
        <v>0.643243243243243</v>
      </c>
      <c r="E47019" s="1">
        <v>0.61209964412811302</v>
      </c>
      <c r="F47019" s="1">
        <v>0.58192801409514205</v>
      </c>
    </row>
    <row r="47020" spans="1:6" x14ac:dyDescent="0.25">
      <c r="A47020" s="2" t="str">
        <f t="shared" si="1488"/>
        <v>37660</v>
      </c>
      <c r="B47020" s="2" t="str">
        <f>"67356"</f>
        <v>67356</v>
      </c>
      <c r="C47020" s="1">
        <v>0.12778866797349001</v>
      </c>
      <c r="D47020" s="1">
        <v>0.18594594594594499</v>
      </c>
      <c r="E47020" s="1">
        <v>0.22419928825622701</v>
      </c>
      <c r="F47020" s="1">
        <v>0.13457504824230199</v>
      </c>
    </row>
    <row r="47021" spans="1:6" x14ac:dyDescent="0.25">
      <c r="A47021" s="2" t="str">
        <f t="shared" si="1488"/>
        <v>37660</v>
      </c>
      <c r="B47021" s="2" t="str">
        <f>"67351"</f>
        <v>67351</v>
      </c>
      <c r="C47021" s="1">
        <v>1.0081209745169401E-2</v>
      </c>
      <c r="D47021" s="1">
        <v>2.16216216216216E-3</v>
      </c>
      <c r="E47021" s="1">
        <v>0</v>
      </c>
      <c r="F47021" s="1">
        <v>9.2289621612551293E-3</v>
      </c>
    </row>
    <row r="47022" spans="1:6" x14ac:dyDescent="0.25">
      <c r="A47022" s="2" t="str">
        <f t="shared" si="1488"/>
        <v>37660</v>
      </c>
      <c r="B47022" s="2" t="str">
        <f>"67330"</f>
        <v>67330</v>
      </c>
      <c r="C47022" s="1">
        <v>6.4127695323438802E-2</v>
      </c>
      <c r="D47022" s="1">
        <v>5.2972972972972897E-2</v>
      </c>
      <c r="E47022" s="1">
        <v>2.4911032028469698E-2</v>
      </c>
      <c r="F47022" s="1">
        <v>6.2337444416477802E-2</v>
      </c>
    </row>
    <row r="47023" spans="1:6" x14ac:dyDescent="0.25">
      <c r="A47023" s="2" t="str">
        <f t="shared" si="1488"/>
        <v>37660</v>
      </c>
      <c r="B47023" s="2" t="str">
        <f>"66753"</f>
        <v>66753</v>
      </c>
      <c r="C47023" s="1">
        <v>3.2670587137123099E-3</v>
      </c>
      <c r="D47023" s="1">
        <v>4.3243243243243201E-3</v>
      </c>
      <c r="E47023" s="1">
        <v>0</v>
      </c>
      <c r="F47023" s="1">
        <v>3.2720865844450002E-3</v>
      </c>
    </row>
    <row r="47024" spans="1:6" x14ac:dyDescent="0.25">
      <c r="A47024" s="2" t="str">
        <f t="shared" si="1488"/>
        <v>37660</v>
      </c>
      <c r="B47024" s="2" t="str">
        <f>"67342"</f>
        <v>67342</v>
      </c>
      <c r="C47024" s="1">
        <v>4.0978250723420102E-2</v>
      </c>
      <c r="D47024" s="1">
        <v>2.37837837837837E-2</v>
      </c>
      <c r="E47024" s="1">
        <v>1.06761565836298E-2</v>
      </c>
      <c r="F47024" s="1">
        <v>3.8929440389294398E-2</v>
      </c>
    </row>
    <row r="47025" spans="1:6" x14ac:dyDescent="0.25">
      <c r="A47025" s="2" t="str">
        <f t="shared" si="1488"/>
        <v>37660</v>
      </c>
      <c r="B47025" s="2" t="str">
        <f>"67332"</f>
        <v>67332</v>
      </c>
      <c r="C47025" s="1">
        <v>1.09213105572668E-2</v>
      </c>
      <c r="D47025" s="1">
        <v>1.0810810810810799E-2</v>
      </c>
      <c r="E47025" s="1">
        <v>0</v>
      </c>
      <c r="F47025" s="1">
        <v>1.06552563134491E-2</v>
      </c>
    </row>
    <row r="47026" spans="1:6" x14ac:dyDescent="0.25">
      <c r="A47026" s="2" t="str">
        <f t="shared" si="1488"/>
        <v>37660</v>
      </c>
      <c r="B47026" s="2" t="str">
        <f>"67354"</f>
        <v>67354</v>
      </c>
      <c r="C47026" s="1">
        <v>3.5190889573415401E-2</v>
      </c>
      <c r="D47026" s="1">
        <v>1.62162162162162E-2</v>
      </c>
      <c r="E47026" s="1">
        <v>7.1174377224199198E-3</v>
      </c>
      <c r="F47026" s="1">
        <v>3.3056464468495597E-2</v>
      </c>
    </row>
    <row r="47027" spans="1:6" x14ac:dyDescent="0.25">
      <c r="A47027" s="2" t="str">
        <f t="shared" si="1488"/>
        <v>37660</v>
      </c>
      <c r="B47027" s="2" t="str">
        <f>"67341"</f>
        <v>67341</v>
      </c>
      <c r="C47027" s="1">
        <v>1.6428638103239E-2</v>
      </c>
      <c r="D47027" s="1">
        <v>6.4864864864864801E-3</v>
      </c>
      <c r="E47027" s="1">
        <v>1.42348754448398E-2</v>
      </c>
      <c r="F47027" s="1">
        <v>1.56053360181223E-2</v>
      </c>
    </row>
    <row r="47028" spans="1:6" x14ac:dyDescent="0.25">
      <c r="A47028" s="2" t="str">
        <f t="shared" ref="A47028:A47042" si="1489">"23340"</f>
        <v>23340</v>
      </c>
      <c r="B47028" s="2" t="str">
        <f>"68788"</f>
        <v>68788</v>
      </c>
      <c r="C47028" s="1">
        <v>1.09751413049443E-4</v>
      </c>
      <c r="D47028" s="1">
        <v>0</v>
      </c>
      <c r="E47028" s="1">
        <v>0</v>
      </c>
      <c r="F47028" s="1">
        <v>9.56297217175098E-5</v>
      </c>
    </row>
    <row r="47029" spans="1:6" x14ac:dyDescent="0.25">
      <c r="A47029" s="2" t="str">
        <f t="shared" si="1489"/>
        <v>23340</v>
      </c>
      <c r="B47029" s="2" t="str">
        <f>"68026"</f>
        <v>68026</v>
      </c>
      <c r="C47029" s="1">
        <v>6.8484881742852402E-2</v>
      </c>
      <c r="D47029" s="1">
        <v>0.16983122362869099</v>
      </c>
      <c r="E47029" s="1">
        <v>2.5157232704402501E-3</v>
      </c>
      <c r="F47029" s="1">
        <v>7.5164961269962693E-2</v>
      </c>
    </row>
    <row r="47030" spans="1:6" x14ac:dyDescent="0.25">
      <c r="A47030" s="2" t="str">
        <f t="shared" si="1489"/>
        <v>23340</v>
      </c>
      <c r="B47030" s="2" t="str">
        <f>"68659"</f>
        <v>68659</v>
      </c>
      <c r="C47030" s="1">
        <v>0</v>
      </c>
      <c r="D47030" s="1">
        <v>5.2742616033755205E-4</v>
      </c>
      <c r="E47030" s="1">
        <v>0</v>
      </c>
      <c r="F47030" s="1">
        <v>4.78148608587549E-5</v>
      </c>
    </row>
    <row r="47031" spans="1:6" x14ac:dyDescent="0.25">
      <c r="A47031" s="2" t="str">
        <f t="shared" si="1489"/>
        <v>23340</v>
      </c>
      <c r="B47031" s="2" t="str">
        <f>"68633"</f>
        <v>68633</v>
      </c>
      <c r="C47031" s="1">
        <v>2.3322175273006601E-2</v>
      </c>
      <c r="D47031" s="1">
        <v>1.8459915611814301E-2</v>
      </c>
      <c r="E47031" s="1">
        <v>1.3836477987421301E-2</v>
      </c>
      <c r="F47031" s="1">
        <v>2.2520799464473499E-2</v>
      </c>
    </row>
    <row r="47032" spans="1:6" x14ac:dyDescent="0.25">
      <c r="A47032" s="2" t="str">
        <f t="shared" si="1489"/>
        <v>23340</v>
      </c>
      <c r="B47032" s="2" t="str">
        <f>"68057"</f>
        <v>68057</v>
      </c>
      <c r="C47032" s="1">
        <v>4.2199418317510798E-2</v>
      </c>
      <c r="D47032" s="1">
        <v>2.9535864978902902E-2</v>
      </c>
      <c r="E47032" s="1">
        <v>1.63522012578616E-2</v>
      </c>
      <c r="F47032" s="1">
        <v>4.0068853399636603E-2</v>
      </c>
    </row>
    <row r="47033" spans="1:6" x14ac:dyDescent="0.25">
      <c r="A47033" s="2" t="str">
        <f t="shared" si="1489"/>
        <v>23340</v>
      </c>
      <c r="B47033" s="2" t="str">
        <f>"68072"</f>
        <v>68072</v>
      </c>
      <c r="C47033" s="1">
        <v>2.1401525544641302E-3</v>
      </c>
      <c r="D47033" s="1">
        <v>0</v>
      </c>
      <c r="E47033" s="1">
        <v>1.2578616352201201E-3</v>
      </c>
      <c r="F47033" s="1">
        <v>1.91259443435019E-3</v>
      </c>
    </row>
    <row r="47034" spans="1:6" x14ac:dyDescent="0.25">
      <c r="A47034" s="2" t="str">
        <f t="shared" si="1489"/>
        <v>23340</v>
      </c>
      <c r="B47034" s="2" t="str">
        <f>"68621"</f>
        <v>68621</v>
      </c>
      <c r="C47034" s="1">
        <v>1.43225594029523E-2</v>
      </c>
      <c r="D47034" s="1">
        <v>1.0548523206751E-3</v>
      </c>
      <c r="E47034" s="1">
        <v>0</v>
      </c>
      <c r="F47034" s="1">
        <v>1.2575308405852499E-2</v>
      </c>
    </row>
    <row r="47035" spans="1:6" x14ac:dyDescent="0.25">
      <c r="A47035" s="2" t="str">
        <f t="shared" si="1489"/>
        <v>23340</v>
      </c>
      <c r="B47035" s="2" t="str">
        <f>"68649"</f>
        <v>68649</v>
      </c>
      <c r="C47035" s="1">
        <v>5.3778192394227001E-2</v>
      </c>
      <c r="D47035" s="1">
        <v>4.3776371308016801E-2</v>
      </c>
      <c r="E47035" s="1">
        <v>2.1383647798742099E-2</v>
      </c>
      <c r="F47035" s="1">
        <v>5.1640049727455201E-2</v>
      </c>
    </row>
    <row r="47036" spans="1:6" x14ac:dyDescent="0.25">
      <c r="A47036" s="2" t="str">
        <f t="shared" si="1489"/>
        <v>23340</v>
      </c>
      <c r="B47036" s="2" t="str">
        <f>"68025"</f>
        <v>68025</v>
      </c>
      <c r="C47036" s="1">
        <v>0.72627997585468895</v>
      </c>
      <c r="D47036" s="1">
        <v>0.710443037974683</v>
      </c>
      <c r="E47036" s="1">
        <v>0.92327044025157201</v>
      </c>
      <c r="F47036" s="1">
        <v>0.73233240891269002</v>
      </c>
    </row>
    <row r="47037" spans="1:6" x14ac:dyDescent="0.25">
      <c r="A47037" s="2" t="str">
        <f t="shared" si="1489"/>
        <v>23340</v>
      </c>
      <c r="B47037" s="2" t="str">
        <f>"68664"</f>
        <v>68664</v>
      </c>
      <c r="C47037" s="1">
        <v>9.1093672831037593E-3</v>
      </c>
      <c r="D47037" s="1">
        <v>0</v>
      </c>
      <c r="E47037" s="1">
        <v>0</v>
      </c>
      <c r="F47037" s="1">
        <v>7.93726690255331E-3</v>
      </c>
    </row>
    <row r="47038" spans="1:6" x14ac:dyDescent="0.25">
      <c r="A47038" s="2" t="str">
        <f t="shared" si="1489"/>
        <v>23340</v>
      </c>
      <c r="B47038" s="2" t="str">
        <f>"68045"</f>
        <v>68045</v>
      </c>
      <c r="C47038" s="1">
        <v>1.64627119574164E-4</v>
      </c>
      <c r="D47038" s="1">
        <v>0</v>
      </c>
      <c r="E47038" s="1">
        <v>0</v>
      </c>
      <c r="F47038" s="1">
        <v>1.4344458257626401E-4</v>
      </c>
    </row>
    <row r="47039" spans="1:6" x14ac:dyDescent="0.25">
      <c r="A47039" s="2" t="str">
        <f t="shared" si="1489"/>
        <v>23340</v>
      </c>
      <c r="B47039" s="2" t="str">
        <f>"68031"</f>
        <v>68031</v>
      </c>
      <c r="C47039" s="1">
        <v>4.1486034132689399E-2</v>
      </c>
      <c r="D47039" s="1">
        <v>2.53164556962025E-2</v>
      </c>
      <c r="E47039" s="1">
        <v>1.63522012578616E-2</v>
      </c>
      <c r="F47039" s="1">
        <v>3.9064741321602703E-2</v>
      </c>
    </row>
    <row r="47040" spans="1:6" x14ac:dyDescent="0.25">
      <c r="A47040" s="2" t="str">
        <f t="shared" si="1489"/>
        <v>23340</v>
      </c>
      <c r="B47040" s="2" t="str">
        <f>"68063"</f>
        <v>68063</v>
      </c>
      <c r="C47040" s="1">
        <v>7.7374746199857297E-3</v>
      </c>
      <c r="D47040" s="1">
        <v>0</v>
      </c>
      <c r="E47040" s="1">
        <v>1.2578616352201201E-3</v>
      </c>
      <c r="F47040" s="1">
        <v>6.7897102419431903E-3</v>
      </c>
    </row>
    <row r="47041" spans="1:6" x14ac:dyDescent="0.25">
      <c r="A47041" s="2" t="str">
        <f t="shared" si="1489"/>
        <v>23340</v>
      </c>
      <c r="B47041" s="2" t="str">
        <f>"68064"</f>
        <v>68064</v>
      </c>
      <c r="C47041" s="1">
        <v>2.7437853262360698E-4</v>
      </c>
      <c r="D47041" s="1">
        <v>0</v>
      </c>
      <c r="E47041" s="1">
        <v>0</v>
      </c>
      <c r="F47041" s="1">
        <v>2.39074304293774E-4</v>
      </c>
    </row>
    <row r="47042" spans="1:6" x14ac:dyDescent="0.25">
      <c r="A47042" s="2" t="str">
        <f t="shared" si="1489"/>
        <v>23340</v>
      </c>
      <c r="B47042" s="2" t="str">
        <f>"68044"</f>
        <v>68044</v>
      </c>
      <c r="C47042" s="1">
        <v>1.05910113592712E-2</v>
      </c>
      <c r="D47042" s="1">
        <v>1.0548523206751E-3</v>
      </c>
      <c r="E47042" s="1">
        <v>3.77358490566037E-3</v>
      </c>
      <c r="F47042" s="1">
        <v>9.4673424500334707E-3</v>
      </c>
    </row>
    <row r="47043" spans="1:6" x14ac:dyDescent="0.25">
      <c r="A47043" s="2" t="str">
        <f t="shared" ref="A47043:A47061" si="1490">"13100"</f>
        <v>13100</v>
      </c>
      <c r="B47043" s="2" t="str">
        <f>"68342"</f>
        <v>68342</v>
      </c>
      <c r="C47043" s="1">
        <v>2.5986078886310899E-3</v>
      </c>
      <c r="D47043" s="1">
        <v>0</v>
      </c>
      <c r="E47043" s="1">
        <v>0</v>
      </c>
      <c r="F47043" s="1">
        <v>2.26427300663108E-3</v>
      </c>
    </row>
    <row r="47044" spans="1:6" x14ac:dyDescent="0.25">
      <c r="A47044" s="2" t="str">
        <f t="shared" si="1490"/>
        <v>13100</v>
      </c>
      <c r="B47044" s="2" t="str">
        <f>"68465"</f>
        <v>68465</v>
      </c>
      <c r="C47044" s="1">
        <v>1.8561484918793499E-3</v>
      </c>
      <c r="D47044" s="1">
        <v>0</v>
      </c>
      <c r="E47044" s="1">
        <v>0</v>
      </c>
      <c r="F47044" s="1">
        <v>1.61733786187934E-3</v>
      </c>
    </row>
    <row r="47045" spans="1:6" x14ac:dyDescent="0.25">
      <c r="A47045" s="2" t="str">
        <f t="shared" si="1490"/>
        <v>13100</v>
      </c>
      <c r="B47045" s="2" t="str">
        <f>"68415"</f>
        <v>68415</v>
      </c>
      <c r="C47045" s="1">
        <v>3.0626450116009198E-2</v>
      </c>
      <c r="D47045" s="1">
        <v>3.9331366764994999E-3</v>
      </c>
      <c r="E47045" s="1">
        <v>1.74216027874564E-3</v>
      </c>
      <c r="F47045" s="1">
        <v>2.7090409186479002E-2</v>
      </c>
    </row>
    <row r="47046" spans="1:6" x14ac:dyDescent="0.25">
      <c r="A47046" s="2" t="str">
        <f t="shared" si="1490"/>
        <v>13100</v>
      </c>
      <c r="B47046" s="2" t="str">
        <f>"68310"</f>
        <v>68310</v>
      </c>
      <c r="C47046" s="1">
        <v>0.65679814385150803</v>
      </c>
      <c r="D47046" s="1">
        <v>0.87118977384464102</v>
      </c>
      <c r="E47046" s="1">
        <v>0.57491289198606199</v>
      </c>
      <c r="F47046" s="1">
        <v>0.67062914442827104</v>
      </c>
    </row>
    <row r="47047" spans="1:6" x14ac:dyDescent="0.25">
      <c r="A47047" s="2" t="str">
        <f t="shared" si="1490"/>
        <v>13100</v>
      </c>
      <c r="B47047" s="2" t="str">
        <f>"68381"</f>
        <v>68381</v>
      </c>
      <c r="C47047" s="1">
        <v>8.1670533642691397E-3</v>
      </c>
      <c r="D47047" s="1">
        <v>9.8328416912487693E-4</v>
      </c>
      <c r="E47047" s="1">
        <v>3.4843205574912801E-3</v>
      </c>
      <c r="F47047" s="1">
        <v>7.3588872715510201E-3</v>
      </c>
    </row>
    <row r="47048" spans="1:6" x14ac:dyDescent="0.25">
      <c r="A47048" s="2" t="str">
        <f t="shared" si="1490"/>
        <v>13100</v>
      </c>
      <c r="B47048" s="2" t="str">
        <f>"68328"</f>
        <v>68328</v>
      </c>
      <c r="C47048" s="1">
        <v>2.0510440835266801E-2</v>
      </c>
      <c r="D47048" s="1">
        <v>3.9331366764994999E-3</v>
      </c>
      <c r="E47048" s="1">
        <v>1.74216027874564E-3</v>
      </c>
      <c r="F47048" s="1">
        <v>1.82759178392366E-2</v>
      </c>
    </row>
    <row r="47049" spans="1:6" x14ac:dyDescent="0.25">
      <c r="A47049" s="2" t="str">
        <f t="shared" si="1490"/>
        <v>13100</v>
      </c>
      <c r="B47049" s="2" t="str">
        <f>"68422"</f>
        <v>68422</v>
      </c>
      <c r="C47049" s="1">
        <v>1.9675174013921101E-2</v>
      </c>
      <c r="D47049" s="1">
        <v>5.8997050147492599E-3</v>
      </c>
      <c r="E47049" s="1">
        <v>1.74216027874564E-3</v>
      </c>
      <c r="F47049" s="1">
        <v>1.7709849587578801E-2</v>
      </c>
    </row>
    <row r="47050" spans="1:6" x14ac:dyDescent="0.25">
      <c r="A47050" s="2" t="str">
        <f t="shared" si="1490"/>
        <v>13100</v>
      </c>
      <c r="B47050" s="2" t="str">
        <f>"68424"</f>
        <v>68424</v>
      </c>
      <c r="C47050" s="1">
        <v>1.8561484918793499E-4</v>
      </c>
      <c r="D47050" s="1">
        <v>0</v>
      </c>
      <c r="E47050" s="1">
        <v>0</v>
      </c>
      <c r="F47050" s="1">
        <v>1.6173378618793399E-4</v>
      </c>
    </row>
    <row r="47051" spans="1:6" x14ac:dyDescent="0.25">
      <c r="A47051" s="2" t="str">
        <f t="shared" si="1490"/>
        <v>13100</v>
      </c>
      <c r="B47051" s="2" t="str">
        <f>"68332"</f>
        <v>68332</v>
      </c>
      <c r="C47051" s="1">
        <v>2.78422273781902E-4</v>
      </c>
      <c r="D47051" s="1">
        <v>0</v>
      </c>
      <c r="E47051" s="1">
        <v>0</v>
      </c>
      <c r="F47051" s="1">
        <v>2.4260067928190101E-4</v>
      </c>
    </row>
    <row r="47052" spans="1:6" x14ac:dyDescent="0.25">
      <c r="A47052" s="2" t="str">
        <f t="shared" si="1490"/>
        <v>13100</v>
      </c>
      <c r="B47052" s="2" t="str">
        <f>"68357"</f>
        <v>68357</v>
      </c>
      <c r="C47052" s="1">
        <v>1.15081206496519E-2</v>
      </c>
      <c r="D47052" s="1">
        <v>0</v>
      </c>
      <c r="E47052" s="1">
        <v>1.74216027874564E-3</v>
      </c>
      <c r="F47052" s="1">
        <v>1.0108361636745901E-2</v>
      </c>
    </row>
    <row r="47053" spans="1:6" x14ac:dyDescent="0.25">
      <c r="A47053" s="2" t="str">
        <f t="shared" si="1490"/>
        <v>13100</v>
      </c>
      <c r="B47053" s="2" t="str">
        <f>"68318"</f>
        <v>68318</v>
      </c>
      <c r="C47053" s="1">
        <v>2.6264501160092799E-2</v>
      </c>
      <c r="D47053" s="1">
        <v>1.08161258603736E-2</v>
      </c>
      <c r="E47053" s="1">
        <v>0.16202090592334401</v>
      </c>
      <c r="F47053" s="1">
        <v>3.1295487627365302E-2</v>
      </c>
    </row>
    <row r="47054" spans="1:6" x14ac:dyDescent="0.25">
      <c r="A47054" s="2" t="str">
        <f t="shared" si="1490"/>
        <v>13100</v>
      </c>
      <c r="B47054" s="2" t="str">
        <f>"68301"</f>
        <v>68301</v>
      </c>
      <c r="C47054" s="1">
        <v>4.9744779582366498E-2</v>
      </c>
      <c r="D47054" s="1">
        <v>5.8997050147492599E-3</v>
      </c>
      <c r="E47054" s="1">
        <v>8.7108013937282208E-3</v>
      </c>
      <c r="F47054" s="1">
        <v>4.4234190522400102E-2</v>
      </c>
    </row>
    <row r="47055" spans="1:6" x14ac:dyDescent="0.25">
      <c r="A47055" s="2" t="str">
        <f t="shared" si="1490"/>
        <v>13100</v>
      </c>
      <c r="B47055" s="2" t="str">
        <f>"68458"</f>
        <v>68458</v>
      </c>
      <c r="C47055" s="1">
        <v>7.8886310904872307E-3</v>
      </c>
      <c r="D47055" s="1">
        <v>4.9164208456243799E-3</v>
      </c>
      <c r="E47055" s="1">
        <v>1.74216027874564E-3</v>
      </c>
      <c r="F47055" s="1">
        <v>7.3588872715510201E-3</v>
      </c>
    </row>
    <row r="47056" spans="1:6" x14ac:dyDescent="0.25">
      <c r="A47056" s="2" t="str">
        <f t="shared" si="1490"/>
        <v>13100</v>
      </c>
      <c r="B47056" s="2" t="str">
        <f>"68368"</f>
        <v>68368</v>
      </c>
      <c r="C47056" s="1">
        <v>5.5684454756380498E-4</v>
      </c>
      <c r="D47056" s="1">
        <v>0</v>
      </c>
      <c r="E47056" s="1">
        <v>0</v>
      </c>
      <c r="F47056" s="1">
        <v>4.8520135856380299E-4</v>
      </c>
    </row>
    <row r="47057" spans="1:6" x14ac:dyDescent="0.25">
      <c r="A47057" s="2" t="str">
        <f t="shared" si="1490"/>
        <v>13100</v>
      </c>
      <c r="B47057" s="2" t="str">
        <f>"68331"</f>
        <v>68331</v>
      </c>
      <c r="C47057" s="1">
        <v>4.0371229698375803E-2</v>
      </c>
      <c r="D47057" s="1">
        <v>6.8829891838741303E-3</v>
      </c>
      <c r="E47057" s="1">
        <v>1.74216027874564E-3</v>
      </c>
      <c r="F47057" s="1">
        <v>3.5824033640627501E-2</v>
      </c>
    </row>
    <row r="47058" spans="1:6" x14ac:dyDescent="0.25">
      <c r="A47058" s="2" t="str">
        <f t="shared" si="1490"/>
        <v>13100</v>
      </c>
      <c r="B47058" s="2" t="str">
        <f>"68309"</f>
        <v>68309</v>
      </c>
      <c r="C47058" s="1">
        <v>5.7540603248259804E-3</v>
      </c>
      <c r="D47058" s="1">
        <v>3.9331366764994999E-3</v>
      </c>
      <c r="E47058" s="1">
        <v>1.74216027874564E-3</v>
      </c>
      <c r="F47058" s="1">
        <v>5.4180818372958099E-3</v>
      </c>
    </row>
    <row r="47059" spans="1:6" x14ac:dyDescent="0.25">
      <c r="A47059" s="2" t="str">
        <f t="shared" si="1490"/>
        <v>13100</v>
      </c>
      <c r="B47059" s="2" t="str">
        <f>"68341"</f>
        <v>68341</v>
      </c>
      <c r="C47059" s="1">
        <v>1.17865429234338E-2</v>
      </c>
      <c r="D47059" s="1">
        <v>9.8328416912487693E-4</v>
      </c>
      <c r="E47059" s="1">
        <v>0</v>
      </c>
      <c r="F47059" s="1">
        <v>1.0350962316027799E-2</v>
      </c>
    </row>
    <row r="47060" spans="1:6" x14ac:dyDescent="0.25">
      <c r="A47060" s="2" t="str">
        <f t="shared" si="1490"/>
        <v>13100</v>
      </c>
      <c r="B47060" s="2" t="str">
        <f>"68358"</f>
        <v>68358</v>
      </c>
      <c r="C47060" s="1">
        <v>1.35498839907192E-2</v>
      </c>
      <c r="D47060" s="1">
        <v>9.8328416912487693E-4</v>
      </c>
      <c r="E47060" s="1">
        <v>1.74216027874564E-3</v>
      </c>
      <c r="F47060" s="1">
        <v>1.19683001779071E-2</v>
      </c>
    </row>
    <row r="47061" spans="1:6" x14ac:dyDescent="0.25">
      <c r="A47061" s="2" t="str">
        <f t="shared" si="1490"/>
        <v>13100</v>
      </c>
      <c r="B47061" s="2" t="str">
        <f>"68466"</f>
        <v>68466</v>
      </c>
      <c r="C47061" s="1">
        <v>9.18793503480278E-2</v>
      </c>
      <c r="D47061" s="1">
        <v>7.9646017699115002E-2</v>
      </c>
      <c r="E47061" s="1">
        <v>0.236933797909407</v>
      </c>
      <c r="F47061" s="1">
        <v>9.7606339964418504E-2</v>
      </c>
    </row>
    <row r="47062" spans="1:6" x14ac:dyDescent="0.25">
      <c r="A47062" s="2" t="str">
        <f t="shared" ref="A47062:A47091" si="1491">"24260"</f>
        <v>24260</v>
      </c>
      <c r="B47062" s="2" t="str">
        <f>"68835"</f>
        <v>68835</v>
      </c>
      <c r="C47062" s="1">
        <v>8.1577557368390109E-3</v>
      </c>
      <c r="D47062" s="1">
        <v>1.9032082653616001E-3</v>
      </c>
      <c r="E47062" s="1">
        <v>1.6116035455278001E-3</v>
      </c>
      <c r="F47062" s="1">
        <v>7.35954047747262E-3</v>
      </c>
    </row>
    <row r="47063" spans="1:6" x14ac:dyDescent="0.25">
      <c r="A47063" s="2" t="str">
        <f t="shared" si="1491"/>
        <v>24260</v>
      </c>
      <c r="B47063" s="2" t="str">
        <f>"68802"</f>
        <v>68802</v>
      </c>
      <c r="C47063" s="1">
        <v>3.7678267503961499E-2</v>
      </c>
      <c r="D47063" s="1">
        <v>0.16095704187058099</v>
      </c>
      <c r="E47063" s="1">
        <v>3.2232070910556002E-3</v>
      </c>
      <c r="F47063" s="1">
        <v>4.8208836577172599E-2</v>
      </c>
    </row>
    <row r="47064" spans="1:6" x14ac:dyDescent="0.25">
      <c r="A47064" s="2" t="str">
        <f t="shared" si="1491"/>
        <v>24260</v>
      </c>
      <c r="B47064" s="2" t="str">
        <f>"68801"</f>
        <v>68801</v>
      </c>
      <c r="C47064" s="1">
        <v>0.35424614120546899</v>
      </c>
      <c r="D47064" s="1">
        <v>0.32572050027188598</v>
      </c>
      <c r="E47064" s="1">
        <v>0.47864625302175601</v>
      </c>
      <c r="F47064" s="1">
        <v>0.35551452675846801</v>
      </c>
    </row>
    <row r="47065" spans="1:6" x14ac:dyDescent="0.25">
      <c r="A47065" s="2" t="str">
        <f t="shared" si="1491"/>
        <v>24260</v>
      </c>
      <c r="B47065" s="2" t="str">
        <f>"68869"</f>
        <v>68869</v>
      </c>
      <c r="C47065" s="1">
        <v>5.8688890193086397E-5</v>
      </c>
      <c r="D47065" s="1">
        <v>0</v>
      </c>
      <c r="E47065" s="1">
        <v>0</v>
      </c>
      <c r="F47065" s="1">
        <v>5.12859963586942E-5</v>
      </c>
    </row>
    <row r="47066" spans="1:6" x14ac:dyDescent="0.25">
      <c r="A47066" s="2" t="str">
        <f t="shared" si="1491"/>
        <v>24260</v>
      </c>
      <c r="B47066" s="2" t="str">
        <f>"68827"</f>
        <v>68827</v>
      </c>
      <c r="C47066" s="1">
        <v>5.8982334644051802E-3</v>
      </c>
      <c r="D47066" s="1">
        <v>1.08754758020663E-3</v>
      </c>
      <c r="E47066" s="1">
        <v>1.6116035455278001E-3</v>
      </c>
      <c r="F47066" s="1">
        <v>5.30810062312485E-3</v>
      </c>
    </row>
    <row r="47067" spans="1:6" x14ac:dyDescent="0.25">
      <c r="A47067" s="2" t="str">
        <f t="shared" si="1491"/>
        <v>24260</v>
      </c>
      <c r="B47067" s="2" t="str">
        <f>"68838"</f>
        <v>68838</v>
      </c>
      <c r="C47067" s="1">
        <v>4.5777334350607397E-3</v>
      </c>
      <c r="D47067" s="1">
        <v>8.1566068515497503E-4</v>
      </c>
      <c r="E47067" s="1">
        <v>8.0580177276390005E-4</v>
      </c>
      <c r="F47067" s="1">
        <v>4.10287970869554E-3</v>
      </c>
    </row>
    <row r="47068" spans="1:6" x14ac:dyDescent="0.25">
      <c r="A47068" s="2" t="str">
        <f t="shared" si="1491"/>
        <v>24260</v>
      </c>
      <c r="B47068" s="2" t="str">
        <f>"68872"</f>
        <v>68872</v>
      </c>
      <c r="C47068" s="1">
        <v>1.07400669053348E-2</v>
      </c>
      <c r="D47068" s="1">
        <v>1.6313213703099501E-3</v>
      </c>
      <c r="E47068" s="1">
        <v>8.0580177276390005E-4</v>
      </c>
      <c r="F47068" s="1">
        <v>9.56483832089647E-3</v>
      </c>
    </row>
    <row r="47069" spans="1:6" x14ac:dyDescent="0.25">
      <c r="A47069" s="2" t="str">
        <f t="shared" si="1491"/>
        <v>24260</v>
      </c>
      <c r="B47069" s="2" t="str">
        <f>"68883"</f>
        <v>68883</v>
      </c>
      <c r="C47069" s="1">
        <v>3.0283467339632601E-2</v>
      </c>
      <c r="D47069" s="1">
        <v>5.9815116911364798E-3</v>
      </c>
      <c r="E47069" s="1">
        <v>1.9339242546333599E-2</v>
      </c>
      <c r="F47069" s="1">
        <v>2.7643152037336201E-2</v>
      </c>
    </row>
    <row r="47070" spans="1:6" x14ac:dyDescent="0.25">
      <c r="A47070" s="2" t="str">
        <f t="shared" si="1491"/>
        <v>24260</v>
      </c>
      <c r="B47070" s="2" t="str">
        <f>"68882"</f>
        <v>68882</v>
      </c>
      <c r="C47070" s="1">
        <v>1.2911555842479001E-3</v>
      </c>
      <c r="D47070" s="1">
        <v>2.71886895051658E-4</v>
      </c>
      <c r="E47070" s="1">
        <v>0</v>
      </c>
      <c r="F47070" s="1">
        <v>1.1539349180706201E-3</v>
      </c>
    </row>
    <row r="47071" spans="1:6" x14ac:dyDescent="0.25">
      <c r="A47071" s="2" t="str">
        <f t="shared" si="1491"/>
        <v>24260</v>
      </c>
      <c r="B47071" s="2" t="str">
        <f>"68817"</f>
        <v>68817</v>
      </c>
      <c r="C47071" s="1">
        <v>3.2278889606197501E-4</v>
      </c>
      <c r="D47071" s="1">
        <v>0</v>
      </c>
      <c r="E47071" s="1">
        <v>0</v>
      </c>
      <c r="F47071" s="1">
        <v>2.8207297997281797E-4</v>
      </c>
    </row>
    <row r="47072" spans="1:6" x14ac:dyDescent="0.25">
      <c r="A47072" s="2" t="str">
        <f t="shared" si="1491"/>
        <v>24260</v>
      </c>
      <c r="B47072" s="2" t="str">
        <f>"68826"</f>
        <v>68826</v>
      </c>
      <c r="C47072" s="1">
        <v>5.3641645636481002E-2</v>
      </c>
      <c r="D47072" s="1">
        <v>6.4709081022294695E-2</v>
      </c>
      <c r="E47072" s="1">
        <v>4.5930701047542301E-2</v>
      </c>
      <c r="F47072" s="1">
        <v>5.4440085134753902E-2</v>
      </c>
    </row>
    <row r="47073" spans="1:6" x14ac:dyDescent="0.25">
      <c r="A47073" s="2" t="str">
        <f t="shared" si="1491"/>
        <v>24260</v>
      </c>
      <c r="B47073" s="2" t="str">
        <f>"68824"</f>
        <v>68824</v>
      </c>
      <c r="C47073" s="1">
        <v>1.8516344855918701E-2</v>
      </c>
      <c r="D47073" s="1">
        <v>2.4469820554649199E-3</v>
      </c>
      <c r="E47073" s="1">
        <v>4.8348106365833999E-3</v>
      </c>
      <c r="F47073" s="1">
        <v>1.65653768238582E-2</v>
      </c>
    </row>
    <row r="47074" spans="1:6" x14ac:dyDescent="0.25">
      <c r="A47074" s="2" t="str">
        <f t="shared" si="1491"/>
        <v>24260</v>
      </c>
      <c r="B47074" s="2" t="str">
        <f>"68820"</f>
        <v>68820</v>
      </c>
      <c r="C47074" s="1">
        <v>5.7808556840190104E-3</v>
      </c>
      <c r="D47074" s="1">
        <v>0</v>
      </c>
      <c r="E47074" s="1">
        <v>8.0580177276390005E-4</v>
      </c>
      <c r="F47074" s="1">
        <v>5.0773136395107299E-3</v>
      </c>
    </row>
    <row r="47075" spans="1:6" x14ac:dyDescent="0.25">
      <c r="A47075" s="2" t="str">
        <f t="shared" si="1491"/>
        <v>24260</v>
      </c>
      <c r="B47075" s="2" t="str">
        <f>"68873"</f>
        <v>68873</v>
      </c>
      <c r="C47075" s="1">
        <v>4.8711778860261699E-2</v>
      </c>
      <c r="D47075" s="1">
        <v>5.4377379010331697E-2</v>
      </c>
      <c r="E47075" s="1">
        <v>2.7397260273972601E-2</v>
      </c>
      <c r="F47075" s="1">
        <v>4.8567838551683402E-2</v>
      </c>
    </row>
    <row r="47076" spans="1:6" x14ac:dyDescent="0.25">
      <c r="A47076" s="2" t="str">
        <f t="shared" si="1491"/>
        <v>24260</v>
      </c>
      <c r="B47076" s="2" t="str">
        <f>"68640"</f>
        <v>68640</v>
      </c>
      <c r="C47076" s="1">
        <v>5.8688890193086397E-5</v>
      </c>
      <c r="D47076" s="1">
        <v>0</v>
      </c>
      <c r="E47076" s="1">
        <v>0</v>
      </c>
      <c r="F47076" s="1">
        <v>5.12859963586942E-5</v>
      </c>
    </row>
    <row r="47077" spans="1:6" x14ac:dyDescent="0.25">
      <c r="A47077" s="2" t="str">
        <f t="shared" si="1491"/>
        <v>24260</v>
      </c>
      <c r="B47077" s="2" t="str">
        <f>"68864"</f>
        <v>68864</v>
      </c>
      <c r="C47077" s="1">
        <v>1.30876225130582E-2</v>
      </c>
      <c r="D47077" s="1">
        <v>7.8847199564980892E-3</v>
      </c>
      <c r="E47077" s="1">
        <v>1.6116035455278001E-3</v>
      </c>
      <c r="F47077" s="1">
        <v>1.2231710131548499E-2</v>
      </c>
    </row>
    <row r="47078" spans="1:6" x14ac:dyDescent="0.25">
      <c r="A47078" s="2" t="str">
        <f t="shared" si="1491"/>
        <v>24260</v>
      </c>
      <c r="B47078" s="2" t="str">
        <f>"68831"</f>
        <v>68831</v>
      </c>
      <c r="C47078" s="1">
        <v>1.2324666940548099E-2</v>
      </c>
      <c r="D47078" s="1">
        <v>2.1750951604132601E-3</v>
      </c>
      <c r="E47078" s="1">
        <v>4.0290088638195E-3</v>
      </c>
      <c r="F47078" s="1">
        <v>1.11034182116573E-2</v>
      </c>
    </row>
    <row r="47079" spans="1:6" x14ac:dyDescent="0.25">
      <c r="A47079" s="2" t="str">
        <f t="shared" si="1491"/>
        <v>24260</v>
      </c>
      <c r="B47079" s="2" t="str">
        <f>"68876"</f>
        <v>68876</v>
      </c>
      <c r="C47079" s="1">
        <v>1.61394448030987E-3</v>
      </c>
      <c r="D47079" s="1">
        <v>2.71886895051658E-4</v>
      </c>
      <c r="E47079" s="1">
        <v>0</v>
      </c>
      <c r="F47079" s="1">
        <v>1.43600789804343E-3</v>
      </c>
    </row>
    <row r="47080" spans="1:6" x14ac:dyDescent="0.25">
      <c r="A47080" s="2" t="str">
        <f t="shared" si="1491"/>
        <v>24260</v>
      </c>
      <c r="B47080" s="2" t="str">
        <f>"68663"</f>
        <v>68663</v>
      </c>
      <c r="C47080" s="1">
        <v>7.8349668407770405E-3</v>
      </c>
      <c r="D47080" s="1">
        <v>1.08754758020663E-3</v>
      </c>
      <c r="E47080" s="1">
        <v>4.8348106365833999E-3</v>
      </c>
      <c r="F47080" s="1">
        <v>7.1031104956791498E-3</v>
      </c>
    </row>
    <row r="47081" spans="1:6" x14ac:dyDescent="0.25">
      <c r="A47081" s="2" t="str">
        <f t="shared" si="1491"/>
        <v>24260</v>
      </c>
      <c r="B47081" s="2" t="str">
        <f>"68628"</f>
        <v>68628</v>
      </c>
      <c r="C47081" s="1">
        <v>1.2442044720934299E-2</v>
      </c>
      <c r="D47081" s="1">
        <v>1.9032082653616001E-3</v>
      </c>
      <c r="E47081" s="1">
        <v>1.6116035455278001E-3</v>
      </c>
      <c r="F47081" s="1">
        <v>1.11034182116573E-2</v>
      </c>
    </row>
    <row r="47082" spans="1:6" x14ac:dyDescent="0.25">
      <c r="A47082" s="2" t="str">
        <f t="shared" si="1491"/>
        <v>24260</v>
      </c>
      <c r="B47082" s="2" t="str">
        <f>"68865"</f>
        <v>68865</v>
      </c>
      <c r="C47082" s="1">
        <v>1.7606667057925901E-4</v>
      </c>
      <c r="D47082" s="1">
        <v>0</v>
      </c>
      <c r="E47082" s="1">
        <v>0</v>
      </c>
      <c r="F47082" s="1">
        <v>1.53857989076082E-4</v>
      </c>
    </row>
    <row r="47083" spans="1:6" x14ac:dyDescent="0.25">
      <c r="A47083" s="2" t="str">
        <f t="shared" si="1491"/>
        <v>24260</v>
      </c>
      <c r="B47083" s="2" t="str">
        <f>"68875"</f>
        <v>68875</v>
      </c>
      <c r="C47083" s="1">
        <v>8.80333352896296E-5</v>
      </c>
      <c r="D47083" s="1">
        <v>0</v>
      </c>
      <c r="E47083" s="1">
        <v>0</v>
      </c>
      <c r="F47083" s="1">
        <v>7.6928994538041296E-5</v>
      </c>
    </row>
    <row r="47084" spans="1:6" x14ac:dyDescent="0.25">
      <c r="A47084" s="2" t="str">
        <f t="shared" si="1491"/>
        <v>24260</v>
      </c>
      <c r="B47084" s="2" t="str">
        <f>"68901"</f>
        <v>68901</v>
      </c>
      <c r="C47084" s="1">
        <v>1.46722225482716E-4</v>
      </c>
      <c r="D47084" s="1">
        <v>0</v>
      </c>
      <c r="E47084" s="1">
        <v>0</v>
      </c>
      <c r="F47084" s="1">
        <v>1.28214990896735E-4</v>
      </c>
    </row>
    <row r="47085" spans="1:6" x14ac:dyDescent="0.25">
      <c r="A47085" s="2" t="str">
        <f t="shared" si="1491"/>
        <v>24260</v>
      </c>
      <c r="B47085" s="2" t="str">
        <f>"68956"</f>
        <v>68956</v>
      </c>
      <c r="C47085" s="1">
        <v>7.3361112741358002E-4</v>
      </c>
      <c r="D47085" s="1">
        <v>0</v>
      </c>
      <c r="E47085" s="1">
        <v>0</v>
      </c>
      <c r="F47085" s="1">
        <v>6.4107495448367802E-4</v>
      </c>
    </row>
    <row r="47086" spans="1:6" x14ac:dyDescent="0.25">
      <c r="A47086" s="2" t="str">
        <f t="shared" si="1491"/>
        <v>24260</v>
      </c>
      <c r="B47086" s="2" t="str">
        <f>"68810"</f>
        <v>68810</v>
      </c>
      <c r="C47086" s="1">
        <v>1.56112447913609E-2</v>
      </c>
      <c r="D47086" s="1">
        <v>2.9907558455682399E-3</v>
      </c>
      <c r="E47086" s="1">
        <v>1.2087026591458499E-2</v>
      </c>
      <c r="F47086" s="1">
        <v>1.43087929840756E-2</v>
      </c>
    </row>
    <row r="47087" spans="1:6" x14ac:dyDescent="0.25">
      <c r="A47087" s="2" t="str">
        <f t="shared" si="1491"/>
        <v>24260</v>
      </c>
      <c r="B47087" s="2" t="str">
        <f>"68638"</f>
        <v>68638</v>
      </c>
      <c r="C47087" s="1">
        <v>2.9344445096543199E-5</v>
      </c>
      <c r="D47087" s="1">
        <v>0</v>
      </c>
      <c r="E47087" s="1">
        <v>0</v>
      </c>
      <c r="F47087" s="1">
        <v>2.56429981793471E-5</v>
      </c>
    </row>
    <row r="47088" spans="1:6" x14ac:dyDescent="0.25">
      <c r="A47088" s="2" t="str">
        <f t="shared" si="1491"/>
        <v>24260</v>
      </c>
      <c r="B47088" s="2" t="str">
        <f>"68816"</f>
        <v>68816</v>
      </c>
      <c r="C47088" s="1">
        <v>2.4355889430130802E-3</v>
      </c>
      <c r="D47088" s="1">
        <v>1.35943447525829E-3</v>
      </c>
      <c r="E47088" s="1">
        <v>0</v>
      </c>
      <c r="F47088" s="1">
        <v>2.2565838397825399E-3</v>
      </c>
    </row>
    <row r="47089" spans="1:6" x14ac:dyDescent="0.25">
      <c r="A47089" s="2" t="str">
        <f t="shared" si="1491"/>
        <v>24260</v>
      </c>
      <c r="B47089" s="2" t="str">
        <f>"68832"</f>
        <v>68832</v>
      </c>
      <c r="C47089" s="1">
        <v>2.2595222724338199E-2</v>
      </c>
      <c r="D47089" s="1">
        <v>3.2626427406199001E-3</v>
      </c>
      <c r="E47089" s="1">
        <v>3.2232070910556002E-3</v>
      </c>
      <c r="F47089" s="1">
        <v>2.01553965689668E-2</v>
      </c>
    </row>
    <row r="47090" spans="1:6" x14ac:dyDescent="0.25">
      <c r="A47090" s="2" t="str">
        <f t="shared" si="1491"/>
        <v>24260</v>
      </c>
      <c r="B47090" s="2" t="str">
        <f>"68803"</f>
        <v>68803</v>
      </c>
      <c r="C47090" s="1">
        <v>0.33079992957333099</v>
      </c>
      <c r="D47090" s="1">
        <v>0.35916258836324</v>
      </c>
      <c r="E47090" s="1">
        <v>0.38759065269943499</v>
      </c>
      <c r="F47090" s="1">
        <v>0.33528220119496299</v>
      </c>
    </row>
    <row r="47091" spans="1:6" x14ac:dyDescent="0.25">
      <c r="A47091" s="2" t="str">
        <f t="shared" si="1491"/>
        <v>24260</v>
      </c>
      <c r="B47091" s="2" t="str">
        <f>"68980"</f>
        <v>68980</v>
      </c>
      <c r="C47091" s="1">
        <v>1.17377780386172E-4</v>
      </c>
      <c r="D47091" s="1">
        <v>0</v>
      </c>
      <c r="E47091" s="1">
        <v>0</v>
      </c>
      <c r="F47091" s="1">
        <v>1.0257199271738801E-4</v>
      </c>
    </row>
    <row r="47092" spans="1:6" x14ac:dyDescent="0.25">
      <c r="A47092" s="2" t="str">
        <f t="shared" ref="A47092:A47116" si="1492">"28260"</f>
        <v>28260</v>
      </c>
      <c r="B47092" s="2" t="str">
        <f>"68849"</f>
        <v>68849</v>
      </c>
      <c r="C47092" s="1">
        <v>0</v>
      </c>
      <c r="D47092" s="1">
        <v>1.0169491525423701E-3</v>
      </c>
      <c r="E47092" s="1">
        <v>1.7445917655268602E-2</v>
      </c>
      <c r="F47092" s="1">
        <v>8.8857859160293201E-4</v>
      </c>
    </row>
    <row r="47093" spans="1:6" x14ac:dyDescent="0.25">
      <c r="A47093" s="2" t="str">
        <f t="shared" si="1492"/>
        <v>28260</v>
      </c>
      <c r="B47093" s="2" t="str">
        <f>"68861"</f>
        <v>68861</v>
      </c>
      <c r="C47093" s="1">
        <v>2.3223237982895901E-3</v>
      </c>
      <c r="D47093" s="1">
        <v>1.6949152542372801E-3</v>
      </c>
      <c r="E47093" s="1">
        <v>6.9783670621074599E-4</v>
      </c>
      <c r="F47093" s="1">
        <v>2.18971152930722E-3</v>
      </c>
    </row>
    <row r="47094" spans="1:6" x14ac:dyDescent="0.25">
      <c r="A47094" s="2" t="str">
        <f t="shared" si="1492"/>
        <v>28260</v>
      </c>
      <c r="B47094" s="2" t="str">
        <f>"68939"</f>
        <v>68939</v>
      </c>
      <c r="C47094" s="1">
        <v>7.7410793276319601E-4</v>
      </c>
      <c r="D47094" s="1">
        <v>3.38983050847457E-4</v>
      </c>
      <c r="E47094" s="1">
        <v>0</v>
      </c>
      <c r="F47094" s="1">
        <v>6.9816889340230297E-4</v>
      </c>
    </row>
    <row r="47095" spans="1:6" x14ac:dyDescent="0.25">
      <c r="A47095" s="2" t="str">
        <f t="shared" si="1492"/>
        <v>28260</v>
      </c>
      <c r="B47095" s="2" t="str">
        <f>"68836"</f>
        <v>68836</v>
      </c>
      <c r="C47095" s="1">
        <v>2.62828074314361E-2</v>
      </c>
      <c r="D47095" s="1">
        <v>6.7796610169491497E-3</v>
      </c>
      <c r="E47095" s="1">
        <v>1.2561060711793399E-2</v>
      </c>
      <c r="F47095" s="1">
        <v>2.3832947224778599E-2</v>
      </c>
    </row>
    <row r="47096" spans="1:6" x14ac:dyDescent="0.25">
      <c r="A47096" s="2" t="str">
        <f t="shared" si="1492"/>
        <v>28260</v>
      </c>
      <c r="B47096" s="2" t="str">
        <f>"68812"</f>
        <v>68812</v>
      </c>
      <c r="C47096" s="1">
        <v>1.35284576820996E-2</v>
      </c>
      <c r="D47096" s="1">
        <v>1.6949152542372801E-3</v>
      </c>
      <c r="E47096" s="1">
        <v>1.39567341242149E-3</v>
      </c>
      <c r="F47096" s="1">
        <v>1.18688711878391E-2</v>
      </c>
    </row>
    <row r="47097" spans="1:6" x14ac:dyDescent="0.25">
      <c r="A47097" s="2" t="str">
        <f t="shared" si="1492"/>
        <v>28260</v>
      </c>
      <c r="B47097" s="2" t="str">
        <f>"68959"</f>
        <v>68959</v>
      </c>
      <c r="C47097" s="1">
        <v>6.7642288410498297E-2</v>
      </c>
      <c r="D47097" s="1">
        <v>6.2372881355932198E-2</v>
      </c>
      <c r="E47097" s="1">
        <v>3.1402651779483599E-2</v>
      </c>
      <c r="F47097" s="1">
        <v>6.5500936181016101E-2</v>
      </c>
    </row>
    <row r="47098" spans="1:6" x14ac:dyDescent="0.25">
      <c r="A47098" s="2" t="str">
        <f t="shared" si="1492"/>
        <v>28260</v>
      </c>
      <c r="B47098" s="2" t="str">
        <f>"68945"</f>
        <v>68945</v>
      </c>
      <c r="C47098" s="1">
        <v>3.3176054261279801E-3</v>
      </c>
      <c r="D47098" s="1">
        <v>1.6949152542372801E-3</v>
      </c>
      <c r="E47098" s="1">
        <v>6.9783670621074599E-4</v>
      </c>
      <c r="F47098" s="1">
        <v>3.0465551712100499E-3</v>
      </c>
    </row>
    <row r="47099" spans="1:6" x14ac:dyDescent="0.25">
      <c r="A47099" s="2" t="str">
        <f t="shared" si="1492"/>
        <v>28260</v>
      </c>
      <c r="B47099" s="2" t="str">
        <f>"68924"</f>
        <v>68924</v>
      </c>
      <c r="C47099" s="1">
        <v>1.9610734296667601E-2</v>
      </c>
      <c r="D47099" s="1">
        <v>1.08474576271186E-2</v>
      </c>
      <c r="E47099" s="1">
        <v>5.5826936496859696E-3</v>
      </c>
      <c r="F47099" s="1">
        <v>1.8152391228459901E-2</v>
      </c>
    </row>
    <row r="47100" spans="1:6" x14ac:dyDescent="0.25">
      <c r="A47100" s="2" t="str">
        <f t="shared" si="1492"/>
        <v>28260</v>
      </c>
      <c r="B47100" s="2" t="str">
        <f>"68840"</f>
        <v>68840</v>
      </c>
      <c r="C47100" s="1">
        <v>5.0575051607195498E-2</v>
      </c>
      <c r="D47100" s="1">
        <v>8.1355932203389797E-3</v>
      </c>
      <c r="E47100" s="1">
        <v>1.81437543614794E-2</v>
      </c>
      <c r="F47100" s="1">
        <v>4.5127098473548899E-2</v>
      </c>
    </row>
    <row r="47101" spans="1:6" x14ac:dyDescent="0.25">
      <c r="A47101" s="2" t="str">
        <f t="shared" si="1492"/>
        <v>28260</v>
      </c>
      <c r="B47101" s="2" t="str">
        <f>"68972"</f>
        <v>68972</v>
      </c>
      <c r="C47101" s="1">
        <v>2.2117369507519899E-4</v>
      </c>
      <c r="D47101" s="1">
        <v>3.38983050847457E-4</v>
      </c>
      <c r="E47101" s="1">
        <v>0</v>
      </c>
      <c r="F47101" s="1">
        <v>2.22144647900733E-4</v>
      </c>
    </row>
    <row r="47102" spans="1:6" x14ac:dyDescent="0.25">
      <c r="A47102" s="2" t="str">
        <f t="shared" si="1492"/>
        <v>28260</v>
      </c>
      <c r="B47102" s="2" t="str">
        <f>"68869"</f>
        <v>68869</v>
      </c>
      <c r="C47102" s="1">
        <v>3.9258330875847798E-2</v>
      </c>
      <c r="D47102" s="1">
        <v>3.4576271186440598E-2</v>
      </c>
      <c r="E47102" s="1">
        <v>1.6050244242847098E-2</v>
      </c>
      <c r="F47102" s="1">
        <v>3.7764590143124603E-2</v>
      </c>
    </row>
    <row r="47103" spans="1:6" x14ac:dyDescent="0.25">
      <c r="A47103" s="2" t="str">
        <f t="shared" si="1492"/>
        <v>28260</v>
      </c>
      <c r="B47103" s="2" t="str">
        <f>"68858"</f>
        <v>68858</v>
      </c>
      <c r="C47103" s="1">
        <v>4.6446475965791802E-3</v>
      </c>
      <c r="D47103" s="1">
        <v>0</v>
      </c>
      <c r="E47103" s="1">
        <v>0</v>
      </c>
      <c r="F47103" s="1">
        <v>3.9986036622131904E-3</v>
      </c>
    </row>
    <row r="47104" spans="1:6" x14ac:dyDescent="0.25">
      <c r="A47104" s="2" t="str">
        <f t="shared" si="1492"/>
        <v>28260</v>
      </c>
      <c r="B47104" s="2" t="str">
        <f>"68848"</f>
        <v>68848</v>
      </c>
      <c r="C47104" s="1">
        <v>4.0179887938661098E-2</v>
      </c>
      <c r="D47104" s="1">
        <v>0.207796610169491</v>
      </c>
      <c r="E47104" s="1">
        <v>1.39567341242149E-3</v>
      </c>
      <c r="F47104" s="1">
        <v>5.4108089238678499E-2</v>
      </c>
    </row>
    <row r="47105" spans="1:6" x14ac:dyDescent="0.25">
      <c r="A47105" s="2" t="str">
        <f t="shared" si="1492"/>
        <v>28260</v>
      </c>
      <c r="B47105" s="2" t="str">
        <f>"68847"</f>
        <v>68847</v>
      </c>
      <c r="C47105" s="1">
        <v>0.32051754644647501</v>
      </c>
      <c r="D47105" s="1">
        <v>0.47084745762711799</v>
      </c>
      <c r="E47105" s="1">
        <v>0.35380321004884802</v>
      </c>
      <c r="F47105" s="1">
        <v>0.33610485227380898</v>
      </c>
    </row>
    <row r="47106" spans="1:6" x14ac:dyDescent="0.25">
      <c r="A47106" s="2" t="str">
        <f t="shared" si="1492"/>
        <v>28260</v>
      </c>
      <c r="B47106" s="2" t="str">
        <f>"68845"</f>
        <v>68845</v>
      </c>
      <c r="C47106" s="1">
        <v>0.347390150398112</v>
      </c>
      <c r="D47106" s="1">
        <v>0.17389830508474499</v>
      </c>
      <c r="E47106" s="1">
        <v>0.52407536636426999</v>
      </c>
      <c r="F47106" s="1">
        <v>0.33918314239471897</v>
      </c>
    </row>
    <row r="47107" spans="1:6" x14ac:dyDescent="0.25">
      <c r="A47107" s="2" t="str">
        <f t="shared" si="1492"/>
        <v>28260</v>
      </c>
      <c r="B47107" s="2" t="str">
        <f>"68982"</f>
        <v>68982</v>
      </c>
      <c r="C47107" s="1">
        <v>7.9991153052196892E-3</v>
      </c>
      <c r="D47107" s="1">
        <v>4.0677966101694898E-3</v>
      </c>
      <c r="E47107" s="1">
        <v>4.8848569434752197E-3</v>
      </c>
      <c r="F47107" s="1">
        <v>7.48944812922471E-3</v>
      </c>
    </row>
    <row r="47108" spans="1:6" x14ac:dyDescent="0.25">
      <c r="A47108" s="2" t="str">
        <f t="shared" si="1492"/>
        <v>28260</v>
      </c>
      <c r="B47108" s="2" t="str">
        <f>"68876"</f>
        <v>68876</v>
      </c>
      <c r="C47108" s="1">
        <v>2.6172220583898499E-2</v>
      </c>
      <c r="D47108" s="1">
        <v>8.1355932203389797E-3</v>
      </c>
      <c r="E47108" s="1">
        <v>9.0718771807397E-3</v>
      </c>
      <c r="F47108" s="1">
        <v>2.3706007425978198E-2</v>
      </c>
    </row>
    <row r="47109" spans="1:6" x14ac:dyDescent="0.25">
      <c r="A47109" s="2" t="str">
        <f t="shared" si="1492"/>
        <v>28260</v>
      </c>
      <c r="B47109" s="2" t="str">
        <f>"68855"</f>
        <v>68855</v>
      </c>
      <c r="C47109" s="1">
        <v>7.37245650250663E-5</v>
      </c>
      <c r="D47109" s="1">
        <v>0</v>
      </c>
      <c r="E47109" s="1">
        <v>0</v>
      </c>
      <c r="F47109" s="1">
        <v>6.3469899400209404E-5</v>
      </c>
    </row>
    <row r="47110" spans="1:6" x14ac:dyDescent="0.25">
      <c r="A47110" s="2" t="str">
        <f t="shared" si="1492"/>
        <v>28260</v>
      </c>
      <c r="B47110" s="2" t="str">
        <f>"68844"</f>
        <v>68844</v>
      </c>
      <c r="C47110" s="1">
        <v>1.5113535830138601E-3</v>
      </c>
      <c r="D47110" s="1">
        <v>3.38983050847457E-4</v>
      </c>
      <c r="E47110" s="1">
        <v>6.9783670621074599E-4</v>
      </c>
      <c r="F47110" s="1">
        <v>1.3646028371045E-3</v>
      </c>
    </row>
    <row r="47111" spans="1:6" x14ac:dyDescent="0.25">
      <c r="A47111" s="2" t="str">
        <f t="shared" si="1492"/>
        <v>28260</v>
      </c>
      <c r="B47111" s="2" t="str">
        <f>"68947"</f>
        <v>68947</v>
      </c>
      <c r="C47111" s="1">
        <v>1.84311412562665E-3</v>
      </c>
      <c r="D47111" s="1">
        <v>1.0169491525423701E-3</v>
      </c>
      <c r="E47111" s="1">
        <v>6.9783670621074599E-4</v>
      </c>
      <c r="F47111" s="1">
        <v>1.71368728380565E-3</v>
      </c>
    </row>
    <row r="47112" spans="1:6" x14ac:dyDescent="0.25">
      <c r="A47112" s="2" t="str">
        <f t="shared" si="1492"/>
        <v>28260</v>
      </c>
      <c r="B47112" s="2" t="str">
        <f>"68932"</f>
        <v>68932</v>
      </c>
      <c r="C47112" s="1">
        <v>4.7920967266293102E-4</v>
      </c>
      <c r="D47112" s="1">
        <v>0</v>
      </c>
      <c r="E47112" s="1">
        <v>0</v>
      </c>
      <c r="F47112" s="1">
        <v>4.1255434610136098E-4</v>
      </c>
    </row>
    <row r="47113" spans="1:6" x14ac:dyDescent="0.25">
      <c r="A47113" s="2" t="str">
        <f t="shared" si="1492"/>
        <v>28260</v>
      </c>
      <c r="B47113" s="2" t="str">
        <f>"68866"</f>
        <v>68866</v>
      </c>
      <c r="C47113" s="1">
        <v>1.59613683279268E-2</v>
      </c>
      <c r="D47113" s="1">
        <v>2.7118644067796599E-3</v>
      </c>
      <c r="E47113" s="1">
        <v>6.9783670621074599E-4</v>
      </c>
      <c r="F47113" s="1">
        <v>1.4026847767446201E-2</v>
      </c>
    </row>
    <row r="47114" spans="1:6" x14ac:dyDescent="0.25">
      <c r="A47114" s="2" t="str">
        <f t="shared" si="1492"/>
        <v>28260</v>
      </c>
      <c r="B47114" s="2" t="str">
        <f>"68981"</f>
        <v>68981</v>
      </c>
      <c r="C47114" s="1">
        <v>1.14273075788852E-3</v>
      </c>
      <c r="D47114" s="1">
        <v>0</v>
      </c>
      <c r="E47114" s="1">
        <v>0</v>
      </c>
      <c r="F47114" s="1">
        <v>9.8378344070324604E-4</v>
      </c>
    </row>
    <row r="47115" spans="1:6" x14ac:dyDescent="0.25">
      <c r="A47115" s="2" t="str">
        <f t="shared" si="1492"/>
        <v>28260</v>
      </c>
      <c r="B47115" s="2" t="str">
        <f>"68956"</f>
        <v>68956</v>
      </c>
      <c r="C47115" s="1">
        <v>1.2164553229135899E-3</v>
      </c>
      <c r="D47115" s="1">
        <v>3.38983050847457E-4</v>
      </c>
      <c r="E47115" s="1">
        <v>0</v>
      </c>
      <c r="F47115" s="1">
        <v>1.07898828980356E-3</v>
      </c>
    </row>
    <row r="47116" spans="1:6" x14ac:dyDescent="0.25">
      <c r="A47116" s="2" t="str">
        <f t="shared" si="1492"/>
        <v>28260</v>
      </c>
      <c r="B47116" s="2" t="str">
        <f>"68870"</f>
        <v>68870</v>
      </c>
      <c r="C47116" s="1">
        <v>7.3355942199941002E-3</v>
      </c>
      <c r="D47116" s="1">
        <v>1.3559322033898299E-3</v>
      </c>
      <c r="E47116" s="1">
        <v>6.9783670621074599E-4</v>
      </c>
      <c r="F47116" s="1">
        <v>6.4739297388213598E-3</v>
      </c>
    </row>
    <row r="47117" spans="1:6" x14ac:dyDescent="0.25">
      <c r="A47117" s="2" t="str">
        <f t="shared" ref="A47117:A47148" si="1493">"47300"</f>
        <v>47300</v>
      </c>
      <c r="B47117" s="2" t="str">
        <f>"93603"</f>
        <v>93603</v>
      </c>
      <c r="C47117" s="1">
        <v>1.09149613401219E-3</v>
      </c>
      <c r="D47117" s="1">
        <v>5.9184730339572299E-4</v>
      </c>
      <c r="E47117" s="1">
        <v>1.6286644951140001E-3</v>
      </c>
      <c r="F47117" s="1">
        <v>1.0674911042407901E-3</v>
      </c>
    </row>
    <row r="47118" spans="1:6" x14ac:dyDescent="0.25">
      <c r="A47118" s="2" t="str">
        <f t="shared" si="1493"/>
        <v>47300</v>
      </c>
      <c r="B47118" s="2" t="str">
        <f>"93633"</f>
        <v>93633</v>
      </c>
      <c r="C47118" s="1">
        <v>0</v>
      </c>
      <c r="D47118" s="1">
        <v>7.3980912924465401E-5</v>
      </c>
      <c r="E47118" s="1">
        <v>0</v>
      </c>
      <c r="F47118" s="1">
        <v>5.83328472262731E-6</v>
      </c>
    </row>
    <row r="47119" spans="1:6" x14ac:dyDescent="0.25">
      <c r="A47119" s="2" t="str">
        <f t="shared" si="1493"/>
        <v>47300</v>
      </c>
      <c r="B47119" s="2" t="str">
        <f>"93223"</f>
        <v>93223</v>
      </c>
      <c r="C47119" s="1">
        <v>1.8744975523035699E-2</v>
      </c>
      <c r="D47119" s="1">
        <v>1.5018125323666399E-2</v>
      </c>
      <c r="E47119" s="1">
        <v>1.6897394136807801E-2</v>
      </c>
      <c r="F47119" s="1">
        <v>1.83981800151665E-2</v>
      </c>
    </row>
    <row r="47120" spans="1:6" x14ac:dyDescent="0.25">
      <c r="A47120" s="2" t="str">
        <f t="shared" si="1493"/>
        <v>47300</v>
      </c>
      <c r="B47120" s="2" t="str">
        <f>"93218"</f>
        <v>93218</v>
      </c>
      <c r="C47120" s="1">
        <v>4.2483382461552501E-4</v>
      </c>
      <c r="D47120" s="1">
        <v>7.3980912924465401E-5</v>
      </c>
      <c r="E47120" s="1">
        <v>0</v>
      </c>
      <c r="F47120" s="1">
        <v>3.84996791693402E-4</v>
      </c>
    </row>
    <row r="47121" spans="1:6" x14ac:dyDescent="0.25">
      <c r="A47121" s="2" t="str">
        <f t="shared" si="1493"/>
        <v>47300</v>
      </c>
      <c r="B47121" s="2" t="str">
        <f>"93271"</f>
        <v>93271</v>
      </c>
      <c r="C47121" s="1">
        <v>7.8496218978960901E-3</v>
      </c>
      <c r="D47121" s="1">
        <v>4.73477842716579E-3</v>
      </c>
      <c r="E47121" s="1">
        <v>8.1433224755700293E-3</v>
      </c>
      <c r="F47121" s="1">
        <v>7.6124365630286404E-3</v>
      </c>
    </row>
    <row r="47122" spans="1:6" x14ac:dyDescent="0.25">
      <c r="A47122" s="2" t="str">
        <f t="shared" si="1493"/>
        <v>47300</v>
      </c>
      <c r="B47122" s="2" t="str">
        <f>"93258"</f>
        <v>93258</v>
      </c>
      <c r="C47122" s="1">
        <v>9.4639904314350806E-3</v>
      </c>
      <c r="D47122" s="1">
        <v>2.1306502922246E-2</v>
      </c>
      <c r="E47122" s="1">
        <v>4.07166123778501E-4</v>
      </c>
      <c r="F47122" s="1">
        <v>1.01382488479262E-2</v>
      </c>
    </row>
    <row r="47123" spans="1:6" x14ac:dyDescent="0.25">
      <c r="A47123" s="2" t="str">
        <f t="shared" si="1493"/>
        <v>47300</v>
      </c>
      <c r="B47123" s="2" t="str">
        <f>"93290"</f>
        <v>93290</v>
      </c>
      <c r="C47123" s="1">
        <v>6.8496284338010801E-3</v>
      </c>
      <c r="D47123" s="1">
        <v>2.8630613301768099E-2</v>
      </c>
      <c r="E47123" s="1">
        <v>4.07166123778501E-4</v>
      </c>
      <c r="F47123" s="1">
        <v>8.3824301464154403E-3</v>
      </c>
    </row>
    <row r="47124" spans="1:6" x14ac:dyDescent="0.25">
      <c r="A47124" s="2" t="str">
        <f t="shared" si="1493"/>
        <v>47300</v>
      </c>
      <c r="B47124" s="2" t="str">
        <f>"93277"</f>
        <v>93277</v>
      </c>
      <c r="C47124" s="1">
        <v>0.131541623910954</v>
      </c>
      <c r="D47124" s="1">
        <v>0.12554560923281699</v>
      </c>
      <c r="E47124" s="1">
        <v>0.14535830618892501</v>
      </c>
      <c r="F47124" s="1">
        <v>0.13146473779385101</v>
      </c>
    </row>
    <row r="47125" spans="1:6" x14ac:dyDescent="0.25">
      <c r="A47125" s="2" t="str">
        <f t="shared" si="1493"/>
        <v>47300</v>
      </c>
      <c r="B47125" s="2" t="str">
        <f>"93646"</f>
        <v>93646</v>
      </c>
      <c r="C47125" s="1">
        <v>6.73198214390755E-4</v>
      </c>
      <c r="D47125" s="1">
        <v>2.9592365169786101E-4</v>
      </c>
      <c r="E47125" s="1">
        <v>0</v>
      </c>
      <c r="F47125" s="1">
        <v>6.2416146532112205E-4</v>
      </c>
    </row>
    <row r="47126" spans="1:6" x14ac:dyDescent="0.25">
      <c r="A47126" s="2" t="str">
        <f t="shared" si="1493"/>
        <v>47300</v>
      </c>
      <c r="B47126" s="2" t="str">
        <f>"93631"</f>
        <v>93631</v>
      </c>
      <c r="C47126" s="1">
        <v>4.8104260756465598E-3</v>
      </c>
      <c r="D47126" s="1">
        <v>1.9235037360360999E-3</v>
      </c>
      <c r="E47126" s="1">
        <v>3.6644951140065102E-3</v>
      </c>
      <c r="F47126" s="1">
        <v>4.5499620836492996E-3</v>
      </c>
    </row>
    <row r="47127" spans="1:6" x14ac:dyDescent="0.25">
      <c r="A47127" s="2" t="str">
        <f t="shared" si="1493"/>
        <v>47300</v>
      </c>
      <c r="B47127" s="2" t="str">
        <f>"93527"</f>
        <v>93527</v>
      </c>
      <c r="C47127" s="1">
        <v>5.0980058953862997E-4</v>
      </c>
      <c r="D47127" s="1">
        <v>0</v>
      </c>
      <c r="E47127" s="1">
        <v>0</v>
      </c>
      <c r="F47127" s="1">
        <v>4.5499620836493001E-4</v>
      </c>
    </row>
    <row r="47128" spans="1:6" x14ac:dyDescent="0.25">
      <c r="A47128" s="2" t="str">
        <f t="shared" si="1493"/>
        <v>47300</v>
      </c>
      <c r="B47128" s="2" t="str">
        <f>"93212"</f>
        <v>93212</v>
      </c>
      <c r="C47128" s="1">
        <v>2.8757981973974E-4</v>
      </c>
      <c r="D47128" s="1">
        <v>3.6990456462232698E-4</v>
      </c>
      <c r="E47128" s="1">
        <v>4.07166123778501E-4</v>
      </c>
      <c r="F47128" s="1">
        <v>2.9749752085399202E-4</v>
      </c>
    </row>
    <row r="47129" spans="1:6" x14ac:dyDescent="0.25">
      <c r="A47129" s="2" t="str">
        <f t="shared" si="1493"/>
        <v>47300</v>
      </c>
      <c r="B47129" s="2" t="str">
        <f>"93201"</f>
        <v>93201</v>
      </c>
      <c r="C47129" s="1">
        <v>8.4966764923105002E-4</v>
      </c>
      <c r="D47129" s="1">
        <v>2.9592365169786101E-4</v>
      </c>
      <c r="E47129" s="1">
        <v>2.0358306188925001E-4</v>
      </c>
      <c r="F47129" s="1">
        <v>7.8749343755468704E-4</v>
      </c>
    </row>
    <row r="47130" spans="1:6" x14ac:dyDescent="0.25">
      <c r="A47130" s="2" t="str">
        <f t="shared" si="1493"/>
        <v>47300</v>
      </c>
      <c r="B47130" s="2" t="str">
        <f>"93207"</f>
        <v>93207</v>
      </c>
      <c r="C47130" s="1">
        <v>8.8888307919555997E-4</v>
      </c>
      <c r="D47130" s="1">
        <v>7.3980912924465401E-5</v>
      </c>
      <c r="E47130" s="1">
        <v>0</v>
      </c>
      <c r="F47130" s="1">
        <v>7.9916000699994103E-4</v>
      </c>
    </row>
    <row r="47131" spans="1:6" x14ac:dyDescent="0.25">
      <c r="A47131" s="2" t="str">
        <f t="shared" si="1493"/>
        <v>47300</v>
      </c>
      <c r="B47131" s="2" t="str">
        <f>"93227"</f>
        <v>93227</v>
      </c>
      <c r="C47131" s="1">
        <v>0</v>
      </c>
      <c r="D47131" s="1">
        <v>7.3980912924465401E-5</v>
      </c>
      <c r="E47131" s="1">
        <v>0</v>
      </c>
      <c r="F47131" s="1">
        <v>5.83328472262731E-6</v>
      </c>
    </row>
    <row r="47132" spans="1:6" x14ac:dyDescent="0.25">
      <c r="A47132" s="2" t="str">
        <f t="shared" si="1493"/>
        <v>47300</v>
      </c>
      <c r="B47132" s="2" t="str">
        <f>"93262"</f>
        <v>93262</v>
      </c>
      <c r="C47132" s="1">
        <v>3.9869020463918498E-4</v>
      </c>
      <c r="D47132" s="1">
        <v>4.4388547754679202E-4</v>
      </c>
      <c r="E47132" s="1">
        <v>4.07166123778501E-4</v>
      </c>
      <c r="F47132" s="1">
        <v>4.0249664586128401E-4</v>
      </c>
    </row>
    <row r="47133" spans="1:6" x14ac:dyDescent="0.25">
      <c r="A47133" s="2" t="str">
        <f t="shared" si="1493"/>
        <v>47300</v>
      </c>
      <c r="B47133" s="2" t="str">
        <f>"93260"</f>
        <v>93260</v>
      </c>
      <c r="C47133" s="1">
        <v>8.5620355422513501E-4</v>
      </c>
      <c r="D47133" s="1">
        <v>2.9592365169786101E-4</v>
      </c>
      <c r="E47133" s="1">
        <v>6.1074918566775196E-4</v>
      </c>
      <c r="F47133" s="1">
        <v>8.0499329172256803E-4</v>
      </c>
    </row>
    <row r="47134" spans="1:6" x14ac:dyDescent="0.25">
      <c r="A47134" s="2" t="str">
        <f t="shared" si="1493"/>
        <v>47300</v>
      </c>
      <c r="B47134" s="2" t="str">
        <f>"93267"</f>
        <v>93267</v>
      </c>
      <c r="C47134" s="1">
        <v>1.6326690675224301E-2</v>
      </c>
      <c r="D47134" s="1">
        <v>8.87770955093585E-3</v>
      </c>
      <c r="E47134" s="1">
        <v>4.6824104234527604E-3</v>
      </c>
      <c r="F47134" s="1">
        <v>1.54057049524587E-2</v>
      </c>
    </row>
    <row r="47135" spans="1:6" x14ac:dyDescent="0.25">
      <c r="A47135" s="2" t="str">
        <f t="shared" si="1493"/>
        <v>47300</v>
      </c>
      <c r="B47135" s="2" t="str">
        <f>"93291"</f>
        <v>93291</v>
      </c>
      <c r="C47135" s="1">
        <v>0.12832595865386501</v>
      </c>
      <c r="D47135" s="1">
        <v>0.18842938521861299</v>
      </c>
      <c r="E47135" s="1">
        <v>0.14576547231270301</v>
      </c>
      <c r="F47135" s="1">
        <v>0.13356472029399699</v>
      </c>
    </row>
    <row r="47136" spans="1:6" x14ac:dyDescent="0.25">
      <c r="A47136" s="2" t="str">
        <f t="shared" si="1493"/>
        <v>47300</v>
      </c>
      <c r="B47136" s="2" t="str">
        <f>"93654"</f>
        <v>93654</v>
      </c>
      <c r="C47136" s="1">
        <v>1.5686171985804E-3</v>
      </c>
      <c r="D47136" s="1">
        <v>1.6275800843382399E-3</v>
      </c>
      <c r="E47136" s="1">
        <v>1.2214983713355E-3</v>
      </c>
      <c r="F47136" s="1">
        <v>1.5633203056641099E-3</v>
      </c>
    </row>
    <row r="47137" spans="1:6" x14ac:dyDescent="0.25">
      <c r="A47137" s="2" t="str">
        <f t="shared" si="1493"/>
        <v>47300</v>
      </c>
      <c r="B47137" s="2" t="str">
        <f>"93670"</f>
        <v>93670</v>
      </c>
      <c r="C47137" s="1">
        <v>0</v>
      </c>
      <c r="D47137" s="1">
        <v>0</v>
      </c>
      <c r="E47137" s="1">
        <v>2.0358306188925001E-4</v>
      </c>
      <c r="F47137" s="1">
        <v>5.83328472262731E-6</v>
      </c>
    </row>
    <row r="47138" spans="1:6" x14ac:dyDescent="0.25">
      <c r="A47138" s="2" t="str">
        <f t="shared" si="1493"/>
        <v>47300</v>
      </c>
      <c r="B47138" s="2" t="str">
        <f>"93208"</f>
        <v>93208</v>
      </c>
      <c r="C47138" s="1">
        <v>0</v>
      </c>
      <c r="D47138" s="1">
        <v>7.3980912924465401E-5</v>
      </c>
      <c r="E47138" s="1">
        <v>0</v>
      </c>
      <c r="F47138" s="1">
        <v>5.83328472262731E-6</v>
      </c>
    </row>
    <row r="47139" spans="1:6" x14ac:dyDescent="0.25">
      <c r="A47139" s="2" t="str">
        <f t="shared" si="1493"/>
        <v>47300</v>
      </c>
      <c r="B47139" s="2" t="str">
        <f>"93219"</f>
        <v>93219</v>
      </c>
      <c r="C47139" s="1">
        <v>5.6208782949131002E-3</v>
      </c>
      <c r="D47139" s="1">
        <v>2.8852556040541502E-3</v>
      </c>
      <c r="E47139" s="1">
        <v>1.1400651465798E-2</v>
      </c>
      <c r="F47139" s="1">
        <v>5.5707869101090804E-3</v>
      </c>
    </row>
    <row r="47140" spans="1:6" x14ac:dyDescent="0.25">
      <c r="A47140" s="2" t="str">
        <f t="shared" si="1493"/>
        <v>47300</v>
      </c>
      <c r="B47140" s="2" t="str">
        <f>"93261"</f>
        <v>93261</v>
      </c>
      <c r="C47140" s="1">
        <v>0</v>
      </c>
      <c r="D47140" s="1">
        <v>7.3980912924465401E-5</v>
      </c>
      <c r="E47140" s="1">
        <v>0</v>
      </c>
      <c r="F47140" s="1">
        <v>5.83328472262731E-6</v>
      </c>
    </row>
    <row r="47141" spans="1:6" x14ac:dyDescent="0.25">
      <c r="A47141" s="2" t="str">
        <f t="shared" si="1493"/>
        <v>47300</v>
      </c>
      <c r="B47141" s="2" t="str">
        <f>"93275"</f>
        <v>93275</v>
      </c>
      <c r="C47141" s="1">
        <v>8.8953666969496907E-3</v>
      </c>
      <c r="D47141" s="1">
        <v>2.7816823259598999E-2</v>
      </c>
      <c r="E47141" s="1">
        <v>2.0358306188925001E-4</v>
      </c>
      <c r="F47141" s="1">
        <v>1.01382488479262E-2</v>
      </c>
    </row>
    <row r="47142" spans="1:6" x14ac:dyDescent="0.25">
      <c r="A47142" s="2" t="str">
        <f t="shared" si="1493"/>
        <v>47300</v>
      </c>
      <c r="B47142" s="2" t="str">
        <f>"93256"</f>
        <v>93256</v>
      </c>
      <c r="C47142" s="1">
        <v>7.85615780289017E-3</v>
      </c>
      <c r="D47142" s="1">
        <v>2.66331286528075E-3</v>
      </c>
      <c r="E47142" s="1">
        <v>1.8322475570032499E-3</v>
      </c>
      <c r="F47142" s="1">
        <v>7.2741060491162499E-3</v>
      </c>
    </row>
    <row r="47143" spans="1:6" x14ac:dyDescent="0.25">
      <c r="A47143" s="2" t="str">
        <f t="shared" si="1493"/>
        <v>47300</v>
      </c>
      <c r="B47143" s="2" t="str">
        <f>"93618"</f>
        <v>93618</v>
      </c>
      <c r="C47143" s="1">
        <v>6.2600898033346106E-2</v>
      </c>
      <c r="D47143" s="1">
        <v>5.1342753569579E-2</v>
      </c>
      <c r="E47143" s="1">
        <v>7.6140065146579797E-2</v>
      </c>
      <c r="F47143" s="1">
        <v>6.21011491570903E-2</v>
      </c>
    </row>
    <row r="47144" spans="1:6" x14ac:dyDescent="0.25">
      <c r="A47144" s="2" t="str">
        <f t="shared" si="1493"/>
        <v>47300</v>
      </c>
      <c r="B47144" s="2" t="str">
        <f>"93221"</f>
        <v>93221</v>
      </c>
      <c r="C47144" s="1">
        <v>3.6110875092319597E-2</v>
      </c>
      <c r="D47144" s="1">
        <v>2.8334689650070199E-2</v>
      </c>
      <c r="E47144" s="1">
        <v>6.0057003257328899E-2</v>
      </c>
      <c r="F47144" s="1">
        <v>3.6183865134457198E-2</v>
      </c>
    </row>
    <row r="47145" spans="1:6" x14ac:dyDescent="0.25">
      <c r="A47145" s="2" t="str">
        <f t="shared" si="1493"/>
        <v>47300</v>
      </c>
      <c r="B47145" s="2" t="str">
        <f>"93270"</f>
        <v>93270</v>
      </c>
      <c r="C47145" s="1">
        <v>6.7058385239312096E-3</v>
      </c>
      <c r="D47145" s="1">
        <v>4.4388547754679198E-3</v>
      </c>
      <c r="E47145" s="1">
        <v>2.23941368078175E-3</v>
      </c>
      <c r="F47145" s="1">
        <v>6.3991133407221602E-3</v>
      </c>
    </row>
    <row r="47146" spans="1:6" x14ac:dyDescent="0.25">
      <c r="A47146" s="2" t="str">
        <f t="shared" si="1493"/>
        <v>47300</v>
      </c>
      <c r="B47146" s="2" t="str">
        <f>"93265"</f>
        <v>93265</v>
      </c>
      <c r="C47146" s="1">
        <v>1.22417500539212E-2</v>
      </c>
      <c r="D47146" s="1">
        <v>1.33165643264037E-3</v>
      </c>
      <c r="E47146" s="1">
        <v>3.4609120521172602E-3</v>
      </c>
      <c r="F47146" s="1">
        <v>1.11299072507729E-2</v>
      </c>
    </row>
    <row r="47147" spans="1:6" x14ac:dyDescent="0.25">
      <c r="A47147" s="2" t="str">
        <f t="shared" si="1493"/>
        <v>47300</v>
      </c>
      <c r="B47147" s="2" t="str">
        <f>"93247"</f>
        <v>93247</v>
      </c>
      <c r="C47147" s="1">
        <v>3.4803694093502598E-2</v>
      </c>
      <c r="D47147" s="1">
        <v>2.7742842346674498E-2</v>
      </c>
      <c r="E47147" s="1">
        <v>3.4201954397394103E-2</v>
      </c>
      <c r="F47147" s="1">
        <v>3.4229714752377002E-2</v>
      </c>
    </row>
    <row r="47148" spans="1:6" x14ac:dyDescent="0.25">
      <c r="A47148" s="2" t="str">
        <f t="shared" si="1493"/>
        <v>47300</v>
      </c>
      <c r="B47148" s="2" t="str">
        <f>"93257"</f>
        <v>93257</v>
      </c>
      <c r="C47148" s="1">
        <v>0.15620812935863099</v>
      </c>
      <c r="D47148" s="1">
        <v>0.12480580010357301</v>
      </c>
      <c r="E47148" s="1">
        <v>0.19666123778501601</v>
      </c>
      <c r="F47148" s="1">
        <v>0.154891209239923</v>
      </c>
    </row>
    <row r="47149" spans="1:6" x14ac:dyDescent="0.25">
      <c r="A47149" s="2" t="str">
        <f t="shared" ref="A47149:A47165" si="1494">"47300"</f>
        <v>47300</v>
      </c>
      <c r="B47149" s="2" t="str">
        <f>"93666"</f>
        <v>93666</v>
      </c>
      <c r="C47149" s="1">
        <v>0</v>
      </c>
      <c r="D47149" s="1">
        <v>0</v>
      </c>
      <c r="E47149" s="1">
        <v>2.0358306188925001E-4</v>
      </c>
      <c r="F47149" s="1">
        <v>5.83328472262731E-6</v>
      </c>
    </row>
    <row r="47150" spans="1:6" x14ac:dyDescent="0.25">
      <c r="A47150" s="2" t="str">
        <f t="shared" si="1494"/>
        <v>47300</v>
      </c>
      <c r="B47150" s="2" t="str">
        <f>"93641"</f>
        <v>93641</v>
      </c>
      <c r="C47150" s="1">
        <v>6.5359049940850003E-6</v>
      </c>
      <c r="D47150" s="1">
        <v>0</v>
      </c>
      <c r="E47150" s="1">
        <v>0</v>
      </c>
      <c r="F47150" s="1">
        <v>5.83328472262731E-6</v>
      </c>
    </row>
    <row r="47151" spans="1:6" x14ac:dyDescent="0.25">
      <c r="A47151" s="2" t="str">
        <f t="shared" si="1494"/>
        <v>47300</v>
      </c>
      <c r="B47151" s="2" t="str">
        <f>"93286"</f>
        <v>93286</v>
      </c>
      <c r="C47151" s="1">
        <v>2.0300520911628001E-2</v>
      </c>
      <c r="D47151" s="1">
        <v>1.36864688910261E-2</v>
      </c>
      <c r="E47151" s="1">
        <v>1.8526058631921801E-2</v>
      </c>
      <c r="F47151" s="1">
        <v>1.9728168931925499E-2</v>
      </c>
    </row>
    <row r="47152" spans="1:6" x14ac:dyDescent="0.25">
      <c r="A47152" s="2" t="str">
        <f t="shared" si="1494"/>
        <v>47300</v>
      </c>
      <c r="B47152" s="2" t="str">
        <f>"93274"</f>
        <v>93274</v>
      </c>
      <c r="C47152" s="1">
        <v>0.16269174711276299</v>
      </c>
      <c r="D47152" s="1">
        <v>0.15558185988015</v>
      </c>
      <c r="E47152" s="1">
        <v>0.108713355048859</v>
      </c>
      <c r="F47152" s="1">
        <v>0.160584495129207</v>
      </c>
    </row>
    <row r="47153" spans="1:6" x14ac:dyDescent="0.25">
      <c r="A47153" s="2" t="str">
        <f t="shared" si="1494"/>
        <v>47300</v>
      </c>
      <c r="B47153" s="2" t="str">
        <f>"93673"</f>
        <v>93673</v>
      </c>
      <c r="C47153" s="1">
        <v>0</v>
      </c>
      <c r="D47153" s="1">
        <v>0</v>
      </c>
      <c r="E47153" s="1">
        <v>2.0358306188925001E-4</v>
      </c>
      <c r="F47153" s="1">
        <v>5.83328472262731E-6</v>
      </c>
    </row>
    <row r="47154" spans="1:6" x14ac:dyDescent="0.25">
      <c r="A47154" s="2" t="str">
        <f t="shared" si="1494"/>
        <v>47300</v>
      </c>
      <c r="B47154" s="2" t="str">
        <f>"93278"</f>
        <v>93278</v>
      </c>
      <c r="C47154" s="1">
        <v>4.6143489258240102E-3</v>
      </c>
      <c r="D47154" s="1">
        <v>2.3895834874602302E-2</v>
      </c>
      <c r="E47154" s="1">
        <v>2.0358306188925001E-4</v>
      </c>
      <c r="F47154" s="1">
        <v>6.0082832643061296E-3</v>
      </c>
    </row>
    <row r="47155" spans="1:6" x14ac:dyDescent="0.25">
      <c r="A47155" s="2" t="str">
        <f t="shared" si="1494"/>
        <v>47300</v>
      </c>
      <c r="B47155" s="2" t="str">
        <f>"93279"</f>
        <v>93279</v>
      </c>
      <c r="C47155" s="1">
        <v>7.8038705629374901E-3</v>
      </c>
      <c r="D47155" s="1">
        <v>3.3513353554782799E-2</v>
      </c>
      <c r="E47155" s="1">
        <v>2.0358306188925001E-4</v>
      </c>
      <c r="F47155" s="1">
        <v>9.6132532228898008E-3</v>
      </c>
    </row>
    <row r="47156" spans="1:6" x14ac:dyDescent="0.25">
      <c r="A47156" s="2" t="str">
        <f t="shared" si="1494"/>
        <v>47300</v>
      </c>
      <c r="B47156" s="2" t="str">
        <f>"93237"</f>
        <v>93237</v>
      </c>
      <c r="C47156" s="1">
        <v>0</v>
      </c>
      <c r="D47156" s="1">
        <v>7.3980912924465401E-5</v>
      </c>
      <c r="E47156" s="1">
        <v>0</v>
      </c>
      <c r="F47156" s="1">
        <v>5.83328472262731E-6</v>
      </c>
    </row>
    <row r="47157" spans="1:6" x14ac:dyDescent="0.25">
      <c r="A47157" s="2" t="str">
        <f t="shared" si="1494"/>
        <v>47300</v>
      </c>
      <c r="B47157" s="2" t="str">
        <f>"93230"</f>
        <v>93230</v>
      </c>
      <c r="C47157" s="1">
        <v>3.9215429964510003E-5</v>
      </c>
      <c r="D47157" s="1">
        <v>0</v>
      </c>
      <c r="E47157" s="1">
        <v>2.0358306188925001E-4</v>
      </c>
      <c r="F47157" s="1">
        <v>4.0832993058391098E-5</v>
      </c>
    </row>
    <row r="47158" spans="1:6" x14ac:dyDescent="0.25">
      <c r="A47158" s="2" t="str">
        <f t="shared" si="1494"/>
        <v>47300</v>
      </c>
      <c r="B47158" s="2" t="str">
        <f>"93235"</f>
        <v>93235</v>
      </c>
      <c r="C47158" s="1">
        <v>8.8692230769733503E-3</v>
      </c>
      <c r="D47158" s="1">
        <v>3.8470074720721999E-3</v>
      </c>
      <c r="E47158" s="1">
        <v>1.1197068403908699E-2</v>
      </c>
      <c r="F47158" s="1">
        <v>8.5399288339263798E-3</v>
      </c>
    </row>
    <row r="47159" spans="1:6" x14ac:dyDescent="0.25">
      <c r="A47159" s="2" t="str">
        <f t="shared" si="1494"/>
        <v>47300</v>
      </c>
      <c r="B47159" s="2" t="str">
        <f>"93675"</f>
        <v>93675</v>
      </c>
      <c r="C47159" s="1">
        <v>6.5359049940850003E-6</v>
      </c>
      <c r="D47159" s="1">
        <v>0</v>
      </c>
      <c r="E47159" s="1">
        <v>0</v>
      </c>
      <c r="F47159" s="1">
        <v>5.83328472262731E-6</v>
      </c>
    </row>
    <row r="47160" spans="1:6" x14ac:dyDescent="0.25">
      <c r="A47160" s="2" t="str">
        <f t="shared" si="1494"/>
        <v>47300</v>
      </c>
      <c r="B47160" s="2" t="str">
        <f>"93647"</f>
        <v>93647</v>
      </c>
      <c r="C47160" s="1">
        <v>1.8601185613165899E-2</v>
      </c>
      <c r="D47160" s="1">
        <v>1.2798697935932499E-2</v>
      </c>
      <c r="E47160" s="1">
        <v>4.4991856677524401E-2</v>
      </c>
      <c r="F47160" s="1">
        <v>1.8899842501312401E-2</v>
      </c>
    </row>
    <row r="47161" spans="1:6" x14ac:dyDescent="0.25">
      <c r="A47161" s="2" t="str">
        <f t="shared" si="1494"/>
        <v>47300</v>
      </c>
      <c r="B47161" s="2" t="str">
        <f>"93215"</f>
        <v>93215</v>
      </c>
      <c r="C47161" s="1">
        <v>2.8954059123796499E-3</v>
      </c>
      <c r="D47161" s="1">
        <v>4.2908929496189904E-3</v>
      </c>
      <c r="E47161" s="1">
        <v>1.2214983713355E-3</v>
      </c>
      <c r="F47161" s="1">
        <v>2.9574753543720402E-3</v>
      </c>
    </row>
    <row r="47162" spans="1:6" x14ac:dyDescent="0.25">
      <c r="A47162" s="2" t="str">
        <f t="shared" si="1494"/>
        <v>47300</v>
      </c>
      <c r="B47162" s="2" t="str">
        <f>"93272"</f>
        <v>93272</v>
      </c>
      <c r="C47162" s="1">
        <v>4.8365696956229002E-3</v>
      </c>
      <c r="D47162" s="1">
        <v>3.7730265591477299E-3</v>
      </c>
      <c r="E47162" s="1">
        <v>2.23941368078175E-3</v>
      </c>
      <c r="F47162" s="1">
        <v>4.6782943475471E-3</v>
      </c>
    </row>
    <row r="47163" spans="1:6" x14ac:dyDescent="0.25">
      <c r="A47163" s="2" t="str">
        <f t="shared" si="1494"/>
        <v>47300</v>
      </c>
      <c r="B47163" s="2" t="str">
        <f>"93244"</f>
        <v>93244</v>
      </c>
      <c r="C47163" s="1">
        <v>3.2025934471016502E-4</v>
      </c>
      <c r="D47163" s="1">
        <v>5.1786639047125805E-4</v>
      </c>
      <c r="E47163" s="1">
        <v>6.1074918566775196E-4</v>
      </c>
      <c r="F47163" s="1">
        <v>3.4416379863501102E-4</v>
      </c>
    </row>
    <row r="47164" spans="1:6" x14ac:dyDescent="0.25">
      <c r="A47164" s="2" t="str">
        <f t="shared" si="1494"/>
        <v>47300</v>
      </c>
      <c r="B47164" s="2" t="str">
        <f>"93615"</f>
        <v>93615</v>
      </c>
      <c r="C47164" s="1">
        <v>9.0718361317899798E-3</v>
      </c>
      <c r="D47164" s="1">
        <v>3.9209883849966702E-3</v>
      </c>
      <c r="E47164" s="1">
        <v>1.5675895765472299E-2</v>
      </c>
      <c r="F47164" s="1">
        <v>8.8549262089482501E-3</v>
      </c>
    </row>
    <row r="47165" spans="1:6" x14ac:dyDescent="0.25">
      <c r="A47165" s="2" t="str">
        <f t="shared" si="1494"/>
        <v>47300</v>
      </c>
      <c r="B47165" s="2" t="str">
        <f>"93292"</f>
        <v>93292</v>
      </c>
      <c r="C47165" s="1">
        <v>9.7437271651819202E-2</v>
      </c>
      <c r="D47165" s="1">
        <v>7.3906932011540999E-2</v>
      </c>
      <c r="E47165" s="1">
        <v>7.9600977198697007E-2</v>
      </c>
      <c r="F47165" s="1">
        <v>9.5070874409379905E-2</v>
      </c>
    </row>
    <row r="47166" spans="1:6" x14ac:dyDescent="0.25">
      <c r="A47166" s="2" t="str">
        <f t="shared" ref="A47166:A47181" si="1495">"34900"</f>
        <v>34900</v>
      </c>
      <c r="B47166" s="2" t="str">
        <f>"94576"</f>
        <v>94576</v>
      </c>
      <c r="C47166" s="1">
        <v>4.5103092783505098E-3</v>
      </c>
      <c r="D47166" s="1">
        <v>1.88679245283018E-3</v>
      </c>
      <c r="E47166" s="1">
        <v>1.7035775127768301E-3</v>
      </c>
      <c r="F47166" s="1">
        <v>4.1677776062642898E-3</v>
      </c>
    </row>
    <row r="47167" spans="1:6" x14ac:dyDescent="0.25">
      <c r="A47167" s="2" t="str">
        <f t="shared" si="1495"/>
        <v>34900</v>
      </c>
      <c r="B47167" s="2" t="str">
        <f>"94574"</f>
        <v>94574</v>
      </c>
      <c r="C47167" s="1">
        <v>7.7528994845360799E-2</v>
      </c>
      <c r="D47167" s="1">
        <v>0.120889487870619</v>
      </c>
      <c r="E47167" s="1">
        <v>0.11243611584327</v>
      </c>
      <c r="F47167" s="1">
        <v>8.2906498645823098E-2</v>
      </c>
    </row>
    <row r="47168" spans="1:6" x14ac:dyDescent="0.25">
      <c r="A47168" s="2" t="str">
        <f t="shared" si="1495"/>
        <v>34900</v>
      </c>
      <c r="B47168" s="2" t="str">
        <f>"94562"</f>
        <v>94562</v>
      </c>
      <c r="C47168" s="1">
        <v>0</v>
      </c>
      <c r="D47168" s="1">
        <v>2.6954177897574099E-4</v>
      </c>
      <c r="E47168" s="1">
        <v>5.6785917092561002E-4</v>
      </c>
      <c r="F47168" s="1">
        <v>4.2098763699639297E-5</v>
      </c>
    </row>
    <row r="47169" spans="1:6" x14ac:dyDescent="0.25">
      <c r="A47169" s="2" t="str">
        <f t="shared" si="1495"/>
        <v>34900</v>
      </c>
      <c r="B47169" s="2" t="str">
        <f>"94558"</f>
        <v>94558</v>
      </c>
      <c r="C47169" s="1">
        <v>0.455541237113402</v>
      </c>
      <c r="D47169" s="1">
        <v>0.33086253369272201</v>
      </c>
      <c r="E47169" s="1">
        <v>0.35150482680295198</v>
      </c>
      <c r="F47169" s="1">
        <v>0.43998821234616398</v>
      </c>
    </row>
    <row r="47170" spans="1:6" x14ac:dyDescent="0.25">
      <c r="A47170" s="2" t="str">
        <f t="shared" si="1495"/>
        <v>34900</v>
      </c>
      <c r="B47170" s="2" t="str">
        <f>"95476"</f>
        <v>95476</v>
      </c>
      <c r="C47170" s="1">
        <v>7.2487113402061804E-4</v>
      </c>
      <c r="D47170" s="1">
        <v>0</v>
      </c>
      <c r="E47170" s="1">
        <v>2.8392958546280501E-3</v>
      </c>
      <c r="F47170" s="1">
        <v>7.0164606166065499E-4</v>
      </c>
    </row>
    <row r="47171" spans="1:6" x14ac:dyDescent="0.25">
      <c r="A47171" s="2" t="str">
        <f t="shared" si="1495"/>
        <v>34900</v>
      </c>
      <c r="B47171" s="2" t="str">
        <f>"94503"</f>
        <v>94503</v>
      </c>
      <c r="C47171" s="1">
        <v>0.10333440721649401</v>
      </c>
      <c r="D47171" s="1">
        <v>5.6873315363881398E-2</v>
      </c>
      <c r="E47171" s="1">
        <v>7.1550255536626903E-2</v>
      </c>
      <c r="F47171" s="1">
        <v>9.7711230546862898E-2</v>
      </c>
    </row>
    <row r="47172" spans="1:6" x14ac:dyDescent="0.25">
      <c r="A47172" s="2" t="str">
        <f t="shared" si="1495"/>
        <v>34900</v>
      </c>
      <c r="B47172" s="2" t="str">
        <f>"94567"</f>
        <v>94567</v>
      </c>
      <c r="C47172" s="1">
        <v>4.5747422680412304E-3</v>
      </c>
      <c r="D47172" s="1">
        <v>4.04312668463611E-4</v>
      </c>
      <c r="E47172" s="1">
        <v>1.13571834185122E-3</v>
      </c>
      <c r="F47172" s="1">
        <v>4.0555142363985896E-3</v>
      </c>
    </row>
    <row r="47173" spans="1:6" x14ac:dyDescent="0.25">
      <c r="A47173" s="2" t="str">
        <f t="shared" si="1495"/>
        <v>34900</v>
      </c>
      <c r="B47173" s="2" t="str">
        <f>"94559"</f>
        <v>94559</v>
      </c>
      <c r="C47173" s="1">
        <v>0.198775773195876</v>
      </c>
      <c r="D47173" s="1">
        <v>0.29137466307277599</v>
      </c>
      <c r="E47173" s="1">
        <v>0.33049403747870498</v>
      </c>
      <c r="F47173" s="1">
        <v>0.211672583881786</v>
      </c>
    </row>
    <row r="47174" spans="1:6" x14ac:dyDescent="0.25">
      <c r="A47174" s="2" t="str">
        <f t="shared" si="1495"/>
        <v>34900</v>
      </c>
      <c r="B47174" s="2" t="str">
        <f>"94581"</f>
        <v>94581</v>
      </c>
      <c r="C47174" s="1">
        <v>2.3695231958762799E-2</v>
      </c>
      <c r="D47174" s="1">
        <v>7.1024258760107803E-2</v>
      </c>
      <c r="E47174" s="1">
        <v>1.13571834185122E-3</v>
      </c>
      <c r="F47174" s="1">
        <v>2.80658424664262E-2</v>
      </c>
    </row>
    <row r="47175" spans="1:6" x14ac:dyDescent="0.25">
      <c r="A47175" s="2" t="str">
        <f t="shared" si="1495"/>
        <v>34900</v>
      </c>
      <c r="B47175" s="2" t="str">
        <f>"94534"</f>
        <v>94534</v>
      </c>
      <c r="C47175" s="1">
        <v>1.6108247422680399E-5</v>
      </c>
      <c r="D47175" s="1">
        <v>0</v>
      </c>
      <c r="E47175" s="1">
        <v>0</v>
      </c>
      <c r="F47175" s="1">
        <v>1.40329212332131E-5</v>
      </c>
    </row>
    <row r="47176" spans="1:6" x14ac:dyDescent="0.25">
      <c r="A47176" s="2" t="str">
        <f t="shared" si="1495"/>
        <v>34900</v>
      </c>
      <c r="B47176" s="2" t="str">
        <f>"94573"</f>
        <v>94573</v>
      </c>
      <c r="C47176" s="1">
        <v>6.6527061855670101E-3</v>
      </c>
      <c r="D47176" s="1">
        <v>2.1428571428571401E-2</v>
      </c>
      <c r="E47176" s="1">
        <v>1.13571834185122E-3</v>
      </c>
      <c r="F47176" s="1">
        <v>8.0548967878643195E-3</v>
      </c>
    </row>
    <row r="47177" spans="1:6" x14ac:dyDescent="0.25">
      <c r="A47177" s="2" t="str">
        <f t="shared" si="1495"/>
        <v>34900</v>
      </c>
      <c r="B47177" s="2" t="str">
        <f>"94599"</f>
        <v>94599</v>
      </c>
      <c r="C47177" s="1">
        <v>4.45393041237113E-2</v>
      </c>
      <c r="D47177" s="1">
        <v>4.7304582210242502E-2</v>
      </c>
      <c r="E47177" s="1">
        <v>1.9875070982396301E-2</v>
      </c>
      <c r="F47177" s="1">
        <v>4.4217734805854503E-2</v>
      </c>
    </row>
    <row r="47178" spans="1:6" x14ac:dyDescent="0.25">
      <c r="A47178" s="2" t="str">
        <f t="shared" si="1495"/>
        <v>34900</v>
      </c>
      <c r="B47178" s="2" t="str">
        <f>"94508"</f>
        <v>94508</v>
      </c>
      <c r="C47178" s="1">
        <v>2.9542525773195799E-2</v>
      </c>
      <c r="D47178" s="1">
        <v>1.26684636118598E-2</v>
      </c>
      <c r="E47178" s="1">
        <v>2.2714366837024401E-3</v>
      </c>
      <c r="F47178" s="1">
        <v>2.7111603822567699E-2</v>
      </c>
    </row>
    <row r="47179" spans="1:6" x14ac:dyDescent="0.25">
      <c r="A47179" s="2" t="str">
        <f t="shared" si="1495"/>
        <v>34900</v>
      </c>
      <c r="B47179" s="2" t="str">
        <f>"95461"</f>
        <v>95461</v>
      </c>
      <c r="C47179" s="1">
        <v>3.2216494845360798E-5</v>
      </c>
      <c r="D47179" s="1">
        <v>0</v>
      </c>
      <c r="E47179" s="1">
        <v>0</v>
      </c>
      <c r="F47179" s="1">
        <v>2.80658424664262E-5</v>
      </c>
    </row>
    <row r="47180" spans="1:6" x14ac:dyDescent="0.25">
      <c r="A47180" s="2" t="str">
        <f t="shared" si="1495"/>
        <v>34900</v>
      </c>
      <c r="B47180" s="2" t="str">
        <f>"94591"</f>
        <v>94591</v>
      </c>
      <c r="C47180" s="1">
        <v>1.6108247422680399E-5</v>
      </c>
      <c r="D47180" s="1">
        <v>1.3477088948787001E-4</v>
      </c>
      <c r="E47180" s="1">
        <v>0</v>
      </c>
      <c r="F47180" s="1">
        <v>2.80658424664262E-5</v>
      </c>
    </row>
    <row r="47181" spans="1:6" x14ac:dyDescent="0.25">
      <c r="A47181" s="2" t="str">
        <f t="shared" si="1495"/>
        <v>34900</v>
      </c>
      <c r="B47181" s="2" t="str">
        <f>"94515"</f>
        <v>94515</v>
      </c>
      <c r="C47181" s="1">
        <v>5.0515463917525698E-2</v>
      </c>
      <c r="D47181" s="1">
        <v>4.4878706199460897E-2</v>
      </c>
      <c r="E47181" s="1">
        <v>0.103350369108461</v>
      </c>
      <c r="F47181" s="1">
        <v>5.1234195422461E-2</v>
      </c>
    </row>
    <row r="47182" spans="1:6" x14ac:dyDescent="0.25">
      <c r="A47182" s="2" t="str">
        <f t="shared" ref="A47182:A47206" si="1496">"17020"</f>
        <v>17020</v>
      </c>
      <c r="B47182" s="2" t="str">
        <f>"95916"</f>
        <v>95916</v>
      </c>
      <c r="C47182" s="1">
        <v>5.8184137711079099E-3</v>
      </c>
      <c r="D47182" s="1">
        <v>0</v>
      </c>
      <c r="E47182" s="1">
        <v>1.77683013503909E-4</v>
      </c>
      <c r="F47182" s="1">
        <v>5.14451834827475E-3</v>
      </c>
    </row>
    <row r="47183" spans="1:6" x14ac:dyDescent="0.25">
      <c r="A47183" s="2" t="str">
        <f t="shared" si="1496"/>
        <v>17020</v>
      </c>
      <c r="B47183" s="2" t="str">
        <f>"95967"</f>
        <v>95967</v>
      </c>
      <c r="C47183" s="1">
        <v>3.4065735145805097E-2</v>
      </c>
      <c r="D47183" s="1">
        <v>8.7063402642630298E-3</v>
      </c>
      <c r="E47183" s="1">
        <v>3.5536602700781799E-4</v>
      </c>
      <c r="F47183" s="1">
        <v>3.0737736107517299E-2</v>
      </c>
    </row>
    <row r="47184" spans="1:6" x14ac:dyDescent="0.25">
      <c r="A47184" s="2" t="str">
        <f t="shared" si="1496"/>
        <v>17020</v>
      </c>
      <c r="B47184" s="2" t="str">
        <f>"95926"</f>
        <v>95926</v>
      </c>
      <c r="C47184" s="1">
        <v>0.14346915378714001</v>
      </c>
      <c r="D47184" s="1">
        <v>0.189798217760934</v>
      </c>
      <c r="E47184" s="1">
        <v>0.26759061833688602</v>
      </c>
      <c r="F47184" s="1">
        <v>0.15222751556292899</v>
      </c>
    </row>
    <row r="47185" spans="1:6" x14ac:dyDescent="0.25">
      <c r="A47185" s="2" t="str">
        <f t="shared" si="1496"/>
        <v>17020</v>
      </c>
      <c r="B47185" s="2" t="str">
        <f>"95914"</f>
        <v>95914</v>
      </c>
      <c r="C47185" s="1">
        <v>1.01714492591219E-3</v>
      </c>
      <c r="D47185" s="1">
        <v>2.0485506504148301E-4</v>
      </c>
      <c r="E47185" s="1">
        <v>1.77683013503909E-4</v>
      </c>
      <c r="F47185" s="1">
        <v>9.2083834340420904E-4</v>
      </c>
    </row>
    <row r="47186" spans="1:6" x14ac:dyDescent="0.25">
      <c r="A47186" s="2" t="str">
        <f t="shared" si="1496"/>
        <v>17020</v>
      </c>
      <c r="B47186" s="2" t="str">
        <f>"95958"</f>
        <v>95958</v>
      </c>
      <c r="C47186" s="1">
        <v>0</v>
      </c>
      <c r="D47186" s="1">
        <v>0</v>
      </c>
      <c r="E47186" s="1">
        <v>1.77683013503909E-4</v>
      </c>
      <c r="F47186" s="1">
        <v>7.6102342430099901E-6</v>
      </c>
    </row>
    <row r="47187" spans="1:6" x14ac:dyDescent="0.25">
      <c r="A47187" s="2" t="str">
        <f t="shared" si="1496"/>
        <v>17020</v>
      </c>
      <c r="B47187" s="2" t="str">
        <f>"95974"</f>
        <v>95974</v>
      </c>
      <c r="C47187" s="1">
        <v>0</v>
      </c>
      <c r="D47187" s="1">
        <v>0</v>
      </c>
      <c r="E47187" s="1">
        <v>1.77683013503909E-4</v>
      </c>
      <c r="F47187" s="1">
        <v>7.6102342430099901E-6</v>
      </c>
    </row>
    <row r="47188" spans="1:6" x14ac:dyDescent="0.25">
      <c r="A47188" s="2" t="str">
        <f t="shared" si="1496"/>
        <v>17020</v>
      </c>
      <c r="B47188" s="2" t="str">
        <f>"95978"</f>
        <v>95978</v>
      </c>
      <c r="C47188" s="1">
        <v>0</v>
      </c>
      <c r="D47188" s="1">
        <v>0</v>
      </c>
      <c r="E47188" s="1">
        <v>1.77683013503909E-4</v>
      </c>
      <c r="F47188" s="1">
        <v>7.6102342430099901E-6</v>
      </c>
    </row>
    <row r="47189" spans="1:6" x14ac:dyDescent="0.25">
      <c r="A47189" s="2" t="str">
        <f t="shared" si="1496"/>
        <v>17020</v>
      </c>
      <c r="B47189" s="2" t="str">
        <f>"95966"</f>
        <v>95966</v>
      </c>
      <c r="C47189" s="1">
        <v>0.12402272198326</v>
      </c>
      <c r="D47189" s="1">
        <v>7.4976953805182794E-2</v>
      </c>
      <c r="E47189" s="1">
        <v>5.8635394456289902E-2</v>
      </c>
      <c r="F47189" s="1">
        <v>0.11757811905450399</v>
      </c>
    </row>
    <row r="47190" spans="1:6" x14ac:dyDescent="0.25">
      <c r="A47190" s="2" t="str">
        <f t="shared" si="1496"/>
        <v>17020</v>
      </c>
      <c r="B47190" s="2" t="str">
        <f>"95938"</f>
        <v>95938</v>
      </c>
      <c r="C47190" s="1">
        <v>2.0187740817680998E-2</v>
      </c>
      <c r="D47190" s="1">
        <v>2.1202499231793501E-2</v>
      </c>
      <c r="E47190" s="1">
        <v>1.10163468372423E-2</v>
      </c>
      <c r="F47190" s="1">
        <v>1.9870321608499102E-2</v>
      </c>
    </row>
    <row r="47191" spans="1:6" x14ac:dyDescent="0.25">
      <c r="A47191" s="2" t="str">
        <f t="shared" si="1496"/>
        <v>17020</v>
      </c>
      <c r="B47191" s="2" t="str">
        <f>"95928"</f>
        <v>95928</v>
      </c>
      <c r="C47191" s="1">
        <v>0.14135728508503501</v>
      </c>
      <c r="D47191" s="1">
        <v>0.26057564273276601</v>
      </c>
      <c r="E47191" s="1">
        <v>0.26421464108031201</v>
      </c>
      <c r="F47191" s="1">
        <v>0.155477085584694</v>
      </c>
    </row>
    <row r="47192" spans="1:6" x14ac:dyDescent="0.25">
      <c r="A47192" s="2" t="str">
        <f t="shared" si="1496"/>
        <v>17020</v>
      </c>
      <c r="B47192" s="2" t="str">
        <f>"95942"</f>
        <v>95942</v>
      </c>
      <c r="C47192" s="1">
        <v>2.4049443587245999E-3</v>
      </c>
      <c r="D47192" s="1">
        <v>0</v>
      </c>
      <c r="E47192" s="1">
        <v>5.3304904051172696E-4</v>
      </c>
      <c r="F47192" s="1">
        <v>2.14608605652881E-3</v>
      </c>
    </row>
    <row r="47193" spans="1:6" x14ac:dyDescent="0.25">
      <c r="A47193" s="2" t="str">
        <f t="shared" si="1496"/>
        <v>17020</v>
      </c>
      <c r="B47193" s="2" t="str">
        <f>"95917"</f>
        <v>95917</v>
      </c>
      <c r="C47193" s="1">
        <v>5.4391393919542104E-3</v>
      </c>
      <c r="D47193" s="1">
        <v>1.7412680528525999E-3</v>
      </c>
      <c r="E47193" s="1">
        <v>8.8841506751954501E-4</v>
      </c>
      <c r="F47193" s="1">
        <v>4.9694829606855197E-3</v>
      </c>
    </row>
    <row r="47194" spans="1:6" x14ac:dyDescent="0.25">
      <c r="A47194" s="2" t="str">
        <f t="shared" si="1496"/>
        <v>17020</v>
      </c>
      <c r="B47194" s="2" t="str">
        <f>"95973"</f>
        <v>95973</v>
      </c>
      <c r="C47194" s="1">
        <v>0.13773693873856699</v>
      </c>
      <c r="D47194" s="1">
        <v>0.157840827614462</v>
      </c>
      <c r="E47194" s="1">
        <v>0.14694385216773201</v>
      </c>
      <c r="F47194" s="1">
        <v>0.13962496765650401</v>
      </c>
    </row>
    <row r="47195" spans="1:6" x14ac:dyDescent="0.25">
      <c r="A47195" s="2" t="str">
        <f t="shared" si="1496"/>
        <v>17020</v>
      </c>
      <c r="B47195" s="2" t="str">
        <f>"95968"</f>
        <v>95968</v>
      </c>
      <c r="C47195" s="1">
        <v>1.1619587797708801E-2</v>
      </c>
      <c r="D47195" s="1">
        <v>5.1213766260370698E-3</v>
      </c>
      <c r="E47195" s="1">
        <v>1.06609808102345E-3</v>
      </c>
      <c r="F47195" s="1">
        <v>1.0684768877186E-2</v>
      </c>
    </row>
    <row r="47196" spans="1:6" x14ac:dyDescent="0.25">
      <c r="A47196" s="2" t="str">
        <f t="shared" si="1496"/>
        <v>17020</v>
      </c>
      <c r="B47196" s="2" t="str">
        <f>"95940"</f>
        <v>95940</v>
      </c>
      <c r="C47196" s="1">
        <v>1.6032962391497299E-3</v>
      </c>
      <c r="D47196" s="1">
        <v>4.0971013008296602E-4</v>
      </c>
      <c r="E47196" s="1">
        <v>3.5536602700781799E-4</v>
      </c>
      <c r="F47196" s="1">
        <v>1.46116497465791E-3</v>
      </c>
    </row>
    <row r="47197" spans="1:6" x14ac:dyDescent="0.25">
      <c r="A47197" s="2" t="str">
        <f t="shared" si="1496"/>
        <v>17020</v>
      </c>
      <c r="B47197" s="2" t="str">
        <f>"95965"</f>
        <v>95965</v>
      </c>
      <c r="C47197" s="1">
        <v>8.6405599469015798E-2</v>
      </c>
      <c r="D47197" s="1">
        <v>0.120659633309433</v>
      </c>
      <c r="E47197" s="1">
        <v>8.8663823738450595E-2</v>
      </c>
      <c r="F47197" s="1">
        <v>8.9047350877460005E-2</v>
      </c>
    </row>
    <row r="47198" spans="1:6" x14ac:dyDescent="0.25">
      <c r="A47198" s="2" t="str">
        <f t="shared" si="1496"/>
        <v>17020</v>
      </c>
      <c r="B47198" s="2" t="str">
        <f>"95976"</f>
        <v>95976</v>
      </c>
      <c r="C47198" s="1">
        <v>0</v>
      </c>
      <c r="D47198" s="1">
        <v>1.02427532520741E-4</v>
      </c>
      <c r="E47198" s="1">
        <v>0</v>
      </c>
      <c r="F47198" s="1">
        <v>7.6102342430099901E-6</v>
      </c>
    </row>
    <row r="47199" spans="1:6" x14ac:dyDescent="0.25">
      <c r="A47199" s="2" t="str">
        <f t="shared" si="1496"/>
        <v>17020</v>
      </c>
      <c r="B47199" s="2" t="str">
        <f>"95969"</f>
        <v>95969</v>
      </c>
      <c r="C47199" s="1">
        <v>0.13046176655661901</v>
      </c>
      <c r="D47199" s="1">
        <v>1.4339854552903801E-3</v>
      </c>
      <c r="E47199" s="1">
        <v>0.134328358208955</v>
      </c>
      <c r="F47199" s="1">
        <v>0.121040775635074</v>
      </c>
    </row>
    <row r="47200" spans="1:6" x14ac:dyDescent="0.25">
      <c r="A47200" s="2" t="str">
        <f t="shared" si="1496"/>
        <v>17020</v>
      </c>
      <c r="B47200" s="2" t="str">
        <f>"95930"</f>
        <v>95930</v>
      </c>
      <c r="C47200" s="1">
        <v>9.4818594788425204E-5</v>
      </c>
      <c r="D47200" s="1">
        <v>0</v>
      </c>
      <c r="E47200" s="1">
        <v>0</v>
      </c>
      <c r="F47200" s="1">
        <v>8.37125766731099E-5</v>
      </c>
    </row>
    <row r="47201" spans="1:6" x14ac:dyDescent="0.25">
      <c r="A47201" s="2" t="str">
        <f t="shared" si="1496"/>
        <v>17020</v>
      </c>
      <c r="B47201" s="2" t="str">
        <f>"95929"</f>
        <v>95929</v>
      </c>
      <c r="C47201" s="1">
        <v>0</v>
      </c>
      <c r="D47201" s="1">
        <v>2.0485506504148301E-4</v>
      </c>
      <c r="E47201" s="1">
        <v>0</v>
      </c>
      <c r="F47201" s="1">
        <v>1.5220468486019901E-5</v>
      </c>
    </row>
    <row r="47202" spans="1:6" x14ac:dyDescent="0.25">
      <c r="A47202" s="2" t="str">
        <f t="shared" si="1496"/>
        <v>17020</v>
      </c>
      <c r="B47202" s="2" t="str">
        <f>"95901"</f>
        <v>95901</v>
      </c>
      <c r="C47202" s="1">
        <v>6.5511029126548296E-4</v>
      </c>
      <c r="D47202" s="1">
        <v>0</v>
      </c>
      <c r="E47202" s="1">
        <v>0</v>
      </c>
      <c r="F47202" s="1">
        <v>5.7837780246875901E-4</v>
      </c>
    </row>
    <row r="47203" spans="1:6" x14ac:dyDescent="0.25">
      <c r="A47203" s="2" t="str">
        <f t="shared" si="1496"/>
        <v>17020</v>
      </c>
      <c r="B47203" s="2" t="str">
        <f>"95954"</f>
        <v>95954</v>
      </c>
      <c r="C47203" s="1">
        <v>5.9390919826568099E-2</v>
      </c>
      <c r="D47203" s="1">
        <v>1.8436955853733401E-3</v>
      </c>
      <c r="E47203" s="1">
        <v>6.9296375266524497E-3</v>
      </c>
      <c r="F47203" s="1">
        <v>5.2868297286190399E-2</v>
      </c>
    </row>
    <row r="47204" spans="1:6" x14ac:dyDescent="0.25">
      <c r="A47204" s="2" t="str">
        <f t="shared" si="1496"/>
        <v>17020</v>
      </c>
      <c r="B47204" s="2" t="str">
        <f>"95941"</f>
        <v>95941</v>
      </c>
      <c r="C47204" s="1">
        <v>7.4992888605390805E-4</v>
      </c>
      <c r="D47204" s="1">
        <v>2.0485506504148301E-4</v>
      </c>
      <c r="E47204" s="1">
        <v>5.3304904051172696E-4</v>
      </c>
      <c r="F47204" s="1">
        <v>7.0014155035691905E-4</v>
      </c>
    </row>
    <row r="47205" spans="1:6" x14ac:dyDescent="0.25">
      <c r="A47205" s="2" t="str">
        <f t="shared" si="1496"/>
        <v>17020</v>
      </c>
      <c r="B47205" s="2" t="str">
        <f>"95927"</f>
        <v>95927</v>
      </c>
      <c r="C47205" s="1">
        <v>4.9357388523502001E-2</v>
      </c>
      <c r="D47205" s="1">
        <v>0.10509064836628</v>
      </c>
      <c r="E47205" s="1">
        <v>7.1073205401563598E-4</v>
      </c>
      <c r="F47205" s="1">
        <v>5.1414742545775501E-2</v>
      </c>
    </row>
    <row r="47206" spans="1:6" x14ac:dyDescent="0.25">
      <c r="A47206" s="2" t="str">
        <f t="shared" si="1496"/>
        <v>17020</v>
      </c>
      <c r="B47206" s="2" t="str">
        <f>"95948"</f>
        <v>95948</v>
      </c>
      <c r="C47206" s="1">
        <v>4.4142365810138598E-2</v>
      </c>
      <c r="D47206" s="1">
        <v>4.9882208337601097E-2</v>
      </c>
      <c r="E47206" s="1">
        <v>1.6346837242359601E-2</v>
      </c>
      <c r="F47206" s="1">
        <v>4.3378335185156901E-2</v>
      </c>
    </row>
    <row r="47207" spans="1:6" x14ac:dyDescent="0.25">
      <c r="A47207" s="2" t="str">
        <f t="shared" ref="A47207:A47224" si="1497">"39780"</f>
        <v>39780</v>
      </c>
      <c r="B47207" s="2" t="str">
        <f>"96075"</f>
        <v>96075</v>
      </c>
      <c r="C47207" s="1">
        <v>7.64951321279554E-3</v>
      </c>
      <c r="D47207" s="1">
        <v>3.4527406128614501E-3</v>
      </c>
      <c r="E47207" s="1">
        <v>3.6719706242350002E-3</v>
      </c>
      <c r="F47207" s="1">
        <v>7.2427415814886797E-3</v>
      </c>
    </row>
    <row r="47208" spans="1:6" x14ac:dyDescent="0.25">
      <c r="A47208" s="2" t="str">
        <f t="shared" si="1497"/>
        <v>39780</v>
      </c>
      <c r="B47208" s="2" t="str">
        <f>"96007"</f>
        <v>96007</v>
      </c>
      <c r="C47208" s="1">
        <v>1.7385257301808001E-4</v>
      </c>
      <c r="D47208" s="1">
        <v>0</v>
      </c>
      <c r="E47208" s="1">
        <v>0</v>
      </c>
      <c r="F47208" s="1">
        <v>1.5676929830062001E-4</v>
      </c>
    </row>
    <row r="47209" spans="1:6" x14ac:dyDescent="0.25">
      <c r="A47209" s="2" t="str">
        <f t="shared" si="1497"/>
        <v>39780</v>
      </c>
      <c r="B47209" s="2" t="str">
        <f>"96059"</f>
        <v>96059</v>
      </c>
      <c r="C47209" s="1">
        <v>4.5201668984700899E-3</v>
      </c>
      <c r="D47209" s="1">
        <v>1.2947777298230401E-3</v>
      </c>
      <c r="E47209" s="1">
        <v>8.5679314565483399E-3</v>
      </c>
      <c r="F47209" s="1">
        <v>4.3895403524173799E-3</v>
      </c>
    </row>
    <row r="47210" spans="1:6" x14ac:dyDescent="0.25">
      <c r="A47210" s="2" t="str">
        <f t="shared" si="1497"/>
        <v>39780</v>
      </c>
      <c r="B47210" s="2" t="str">
        <f>"96080"</f>
        <v>96080</v>
      </c>
      <c r="C47210" s="1">
        <v>0.49596662030597999</v>
      </c>
      <c r="D47210" s="1">
        <v>0.649115235217954</v>
      </c>
      <c r="E47210" s="1">
        <v>0.761321909424724</v>
      </c>
      <c r="F47210" s="1">
        <v>0.51388975982943497</v>
      </c>
    </row>
    <row r="47211" spans="1:6" x14ac:dyDescent="0.25">
      <c r="A47211" s="2" t="str">
        <f t="shared" si="1497"/>
        <v>39780</v>
      </c>
      <c r="B47211" s="2" t="str">
        <f>"96090"</f>
        <v>96090</v>
      </c>
      <c r="C47211" s="1">
        <v>0</v>
      </c>
      <c r="D47211" s="1">
        <v>0</v>
      </c>
      <c r="E47211" s="1">
        <v>1.2239902080783301E-3</v>
      </c>
      <c r="F47211" s="1">
        <v>3.1353859660124102E-5</v>
      </c>
    </row>
    <row r="47212" spans="1:6" x14ac:dyDescent="0.25">
      <c r="A47212" s="2" t="str">
        <f t="shared" si="1497"/>
        <v>39780</v>
      </c>
      <c r="B47212" s="2" t="str">
        <f>"96092"</f>
        <v>96092</v>
      </c>
      <c r="C47212" s="1">
        <v>0</v>
      </c>
      <c r="D47212" s="1">
        <v>0</v>
      </c>
      <c r="E47212" s="1">
        <v>1.2239902080783301E-3</v>
      </c>
      <c r="F47212" s="1">
        <v>3.1353859660124102E-5</v>
      </c>
    </row>
    <row r="47213" spans="1:6" x14ac:dyDescent="0.25">
      <c r="A47213" s="2" t="str">
        <f t="shared" si="1497"/>
        <v>39780</v>
      </c>
      <c r="B47213" s="2" t="str">
        <f>"96029"</f>
        <v>96029</v>
      </c>
      <c r="C47213" s="1">
        <v>4.8678720445062502E-4</v>
      </c>
      <c r="D47213" s="1">
        <v>4.3159257660768202E-4</v>
      </c>
      <c r="E47213" s="1">
        <v>0</v>
      </c>
      <c r="F47213" s="1">
        <v>4.7030789490186197E-4</v>
      </c>
    </row>
    <row r="47214" spans="1:6" x14ac:dyDescent="0.25">
      <c r="A47214" s="2" t="str">
        <f t="shared" si="1497"/>
        <v>39780</v>
      </c>
      <c r="B47214" s="2" t="str">
        <f>"96078"</f>
        <v>96078</v>
      </c>
      <c r="C47214" s="1">
        <v>0</v>
      </c>
      <c r="D47214" s="1">
        <v>0</v>
      </c>
      <c r="E47214" s="1">
        <v>1.2239902080783301E-3</v>
      </c>
      <c r="F47214" s="1">
        <v>3.1353859660124102E-5</v>
      </c>
    </row>
    <row r="47215" spans="1:6" x14ac:dyDescent="0.25">
      <c r="A47215" s="2" t="str">
        <f t="shared" si="1497"/>
        <v>39780</v>
      </c>
      <c r="B47215" s="2" t="str">
        <f>"96076"</f>
        <v>96076</v>
      </c>
      <c r="C47215" s="1">
        <v>9.7357440890125102E-4</v>
      </c>
      <c r="D47215" s="1">
        <v>4.3159257660768202E-4</v>
      </c>
      <c r="E47215" s="1">
        <v>2.8151774785801699E-2</v>
      </c>
      <c r="F47215" s="1">
        <v>1.63040070232645E-3</v>
      </c>
    </row>
    <row r="47216" spans="1:6" x14ac:dyDescent="0.25">
      <c r="A47216" s="2" t="str">
        <f t="shared" si="1497"/>
        <v>39780</v>
      </c>
      <c r="B47216" s="2" t="str">
        <f>"96055"</f>
        <v>96055</v>
      </c>
      <c r="C47216" s="1">
        <v>5.25382475660639E-2</v>
      </c>
      <c r="D47216" s="1">
        <v>3.32326283987915E-2</v>
      </c>
      <c r="E47216" s="1">
        <v>3.05997552019583E-2</v>
      </c>
      <c r="F47216" s="1">
        <v>5.0573775631780199E-2</v>
      </c>
    </row>
    <row r="47217" spans="1:6" x14ac:dyDescent="0.25">
      <c r="A47217" s="2" t="str">
        <f t="shared" si="1497"/>
        <v>39780</v>
      </c>
      <c r="B47217" s="2" t="str">
        <f>"96061"</f>
        <v>96061</v>
      </c>
      <c r="C47217" s="1">
        <v>1.0431154381084801E-3</v>
      </c>
      <c r="D47217" s="1">
        <v>8.6318515321536404E-4</v>
      </c>
      <c r="E47217" s="1">
        <v>1.2239902080783301E-2</v>
      </c>
      <c r="F47217" s="1">
        <v>1.3168621057252101E-3</v>
      </c>
    </row>
    <row r="47218" spans="1:6" x14ac:dyDescent="0.25">
      <c r="A47218" s="2" t="str">
        <f t="shared" si="1497"/>
        <v>39780</v>
      </c>
      <c r="B47218" s="2" t="str">
        <f>"96074"</f>
        <v>96074</v>
      </c>
      <c r="C47218" s="1">
        <v>0</v>
      </c>
      <c r="D47218" s="1">
        <v>4.3159257660768202E-4</v>
      </c>
      <c r="E47218" s="1">
        <v>1.2239902080783301E-3</v>
      </c>
      <c r="F47218" s="1">
        <v>6.2707719320248298E-5</v>
      </c>
    </row>
    <row r="47219" spans="1:6" x14ac:dyDescent="0.25">
      <c r="A47219" s="2" t="str">
        <f t="shared" si="1497"/>
        <v>39780</v>
      </c>
      <c r="B47219" s="2" t="str">
        <f>"96063"</f>
        <v>96063</v>
      </c>
      <c r="C47219" s="1">
        <v>0</v>
      </c>
      <c r="D47219" s="1">
        <v>0</v>
      </c>
      <c r="E47219" s="1">
        <v>1.2239902080783301E-3</v>
      </c>
      <c r="F47219" s="1">
        <v>3.1353859660124102E-5</v>
      </c>
    </row>
    <row r="47220" spans="1:6" x14ac:dyDescent="0.25">
      <c r="A47220" s="2" t="str">
        <f t="shared" si="1497"/>
        <v>39780</v>
      </c>
      <c r="B47220" s="2" t="str">
        <f>"96021"</f>
        <v>96021</v>
      </c>
      <c r="C47220" s="1">
        <v>0.200834492350486</v>
      </c>
      <c r="D47220" s="1">
        <v>0.18299525248165699</v>
      </c>
      <c r="E47220" s="1">
        <v>0.13586291309669499</v>
      </c>
      <c r="F47220" s="1">
        <v>0.19787420831504299</v>
      </c>
    </row>
    <row r="47221" spans="1:6" x14ac:dyDescent="0.25">
      <c r="A47221" s="2" t="str">
        <f t="shared" si="1497"/>
        <v>39780</v>
      </c>
      <c r="B47221" s="2" t="str">
        <f>"95973"</f>
        <v>95973</v>
      </c>
      <c r="C47221" s="1">
        <v>1.0431154381084801E-3</v>
      </c>
      <c r="D47221" s="1">
        <v>0</v>
      </c>
      <c r="E47221" s="1">
        <v>0</v>
      </c>
      <c r="F47221" s="1">
        <v>9.4061578980372395E-4</v>
      </c>
    </row>
    <row r="47222" spans="1:6" x14ac:dyDescent="0.25">
      <c r="A47222" s="2" t="str">
        <f t="shared" si="1497"/>
        <v>39780</v>
      </c>
      <c r="B47222" s="2" t="str">
        <f>"96035"</f>
        <v>96035</v>
      </c>
      <c r="C47222" s="1">
        <v>4.1272600834492301E-2</v>
      </c>
      <c r="D47222" s="1">
        <v>1.2084592145015101E-2</v>
      </c>
      <c r="E47222" s="1">
        <v>6.1199510403916703E-3</v>
      </c>
      <c r="F47222" s="1">
        <v>3.8251708785351397E-2</v>
      </c>
    </row>
    <row r="47223" spans="1:6" x14ac:dyDescent="0.25">
      <c r="A47223" s="2" t="str">
        <f t="shared" si="1497"/>
        <v>39780</v>
      </c>
      <c r="B47223" s="2" t="str">
        <f>"95963"</f>
        <v>95963</v>
      </c>
      <c r="C47223" s="1">
        <v>1.05354659248956E-2</v>
      </c>
      <c r="D47223" s="1">
        <v>2.15796288303841E-3</v>
      </c>
      <c r="E47223" s="1">
        <v>0</v>
      </c>
      <c r="F47223" s="1">
        <v>9.6569887753182402E-3</v>
      </c>
    </row>
    <row r="47224" spans="1:6" x14ac:dyDescent="0.25">
      <c r="A47224" s="2" t="str">
        <f t="shared" si="1497"/>
        <v>39780</v>
      </c>
      <c r="B47224" s="2" t="str">
        <f>"96022"</f>
        <v>96022</v>
      </c>
      <c r="C47224" s="1">
        <v>0.18296244784422799</v>
      </c>
      <c r="D47224" s="1">
        <v>0.11350884764782</v>
      </c>
      <c r="E47224" s="1">
        <v>7.3439412484700099E-3</v>
      </c>
      <c r="F47224" s="1">
        <v>0.173418197780146</v>
      </c>
    </row>
    <row r="47225" spans="1:6" x14ac:dyDescent="0.25">
      <c r="A47225" s="2" t="str">
        <f t="shared" ref="A47225:A47235" si="1498">"38820"</f>
        <v>38820</v>
      </c>
      <c r="B47225" s="2" t="str">
        <f>"98382"</f>
        <v>98382</v>
      </c>
      <c r="C47225" s="1">
        <v>0.45410996448914398</v>
      </c>
      <c r="D47225" s="1">
        <v>0.39564336372846998</v>
      </c>
      <c r="E47225" s="1">
        <v>0.203703703703703</v>
      </c>
      <c r="F47225" s="1">
        <v>0.441800004227346</v>
      </c>
    </row>
    <row r="47226" spans="1:6" x14ac:dyDescent="0.25">
      <c r="A47226" s="2" t="str">
        <f t="shared" si="1498"/>
        <v>38820</v>
      </c>
      <c r="B47226" s="2" t="str">
        <f>"98331"</f>
        <v>98331</v>
      </c>
      <c r="C47226" s="1">
        <v>4.3923830405872298E-2</v>
      </c>
      <c r="D47226" s="1">
        <v>3.7740628166160001E-2</v>
      </c>
      <c r="E47226" s="1">
        <v>4.2022792022792001E-2</v>
      </c>
      <c r="F47226" s="1">
        <v>4.3351440468389998E-2</v>
      </c>
    </row>
    <row r="47227" spans="1:6" x14ac:dyDescent="0.25">
      <c r="A47227" s="2" t="str">
        <f t="shared" si="1498"/>
        <v>38820</v>
      </c>
      <c r="B47227" s="2" t="str">
        <f>"98363"</f>
        <v>98363</v>
      </c>
      <c r="C47227" s="1">
        <v>0.159512857789747</v>
      </c>
      <c r="D47227" s="1">
        <v>6.5349544072948296E-2</v>
      </c>
      <c r="E47227" s="1">
        <v>8.4757834757834702E-2</v>
      </c>
      <c r="F47227" s="1">
        <v>0.14943670605144599</v>
      </c>
    </row>
    <row r="47228" spans="1:6" x14ac:dyDescent="0.25">
      <c r="A47228" s="2" t="str">
        <f t="shared" si="1498"/>
        <v>38820</v>
      </c>
      <c r="B47228" s="2" t="str">
        <f>"98326"</f>
        <v>98326</v>
      </c>
      <c r="C47228" s="1">
        <v>2.1687838127696E-3</v>
      </c>
      <c r="D47228" s="1">
        <v>3.0395136778115501E-3</v>
      </c>
      <c r="E47228" s="1">
        <v>7.1225071225071196E-4</v>
      </c>
      <c r="F47228" s="1">
        <v>2.1982202870368399E-3</v>
      </c>
    </row>
    <row r="47229" spans="1:6" x14ac:dyDescent="0.25">
      <c r="A47229" s="2" t="str">
        <f t="shared" si="1498"/>
        <v>38820</v>
      </c>
      <c r="B47229" s="2" t="str">
        <f>"98324"</f>
        <v>98324</v>
      </c>
      <c r="C47229" s="1">
        <v>1.6087132677137201E-2</v>
      </c>
      <c r="D47229" s="1">
        <v>4.3566362715298797E-2</v>
      </c>
      <c r="E47229" s="1">
        <v>7.1225071225071196E-4</v>
      </c>
      <c r="F47229" s="1">
        <v>1.7923950032761898E-2</v>
      </c>
    </row>
    <row r="47230" spans="1:6" x14ac:dyDescent="0.25">
      <c r="A47230" s="2" t="str">
        <f t="shared" si="1498"/>
        <v>38820</v>
      </c>
      <c r="B47230" s="2" t="str">
        <f>"98381"</f>
        <v>98381</v>
      </c>
      <c r="C47230" s="1">
        <v>3.1220953788221799E-3</v>
      </c>
      <c r="D47230" s="1">
        <v>1.5197568389057701E-3</v>
      </c>
      <c r="E47230" s="1">
        <v>0</v>
      </c>
      <c r="F47230" s="1">
        <v>2.89573249350045E-3</v>
      </c>
    </row>
    <row r="47231" spans="1:6" x14ac:dyDescent="0.25">
      <c r="A47231" s="2" t="str">
        <f t="shared" si="1498"/>
        <v>38820</v>
      </c>
      <c r="B47231" s="2" t="str">
        <f>"98357"</f>
        <v>98357</v>
      </c>
      <c r="C47231" s="1">
        <v>0</v>
      </c>
      <c r="D47231" s="1">
        <v>2.53292806484295E-4</v>
      </c>
      <c r="E47231" s="1">
        <v>0.34401709401709402</v>
      </c>
      <c r="F47231" s="1">
        <v>1.0230179028132899E-2</v>
      </c>
    </row>
    <row r="47232" spans="1:6" x14ac:dyDescent="0.25">
      <c r="A47232" s="2" t="str">
        <f t="shared" si="1498"/>
        <v>38820</v>
      </c>
      <c r="B47232" s="2" t="str">
        <f>"98343"</f>
        <v>98343</v>
      </c>
      <c r="C47232" s="1">
        <v>0</v>
      </c>
      <c r="D47232" s="1">
        <v>2.53292806484295E-4</v>
      </c>
      <c r="E47232" s="1">
        <v>0</v>
      </c>
      <c r="F47232" s="1">
        <v>2.1136733529200301E-5</v>
      </c>
    </row>
    <row r="47233" spans="1:6" x14ac:dyDescent="0.25">
      <c r="A47233" s="2" t="str">
        <f t="shared" si="1498"/>
        <v>38820</v>
      </c>
      <c r="B47233" s="2" t="str">
        <f>"98305"</f>
        <v>98305</v>
      </c>
      <c r="C47233" s="1">
        <v>1.93045592125646E-3</v>
      </c>
      <c r="D47233" s="1">
        <v>7.5987841945288699E-4</v>
      </c>
      <c r="E47233" s="1">
        <v>2.1367521367521299E-2</v>
      </c>
      <c r="F47233" s="1">
        <v>2.4095876223288399E-3</v>
      </c>
    </row>
    <row r="47234" spans="1:6" x14ac:dyDescent="0.25">
      <c r="A47234" s="2" t="str">
        <f t="shared" si="1498"/>
        <v>38820</v>
      </c>
      <c r="B47234" s="2" t="str">
        <f>"98350"</f>
        <v>98350</v>
      </c>
      <c r="C47234" s="1">
        <v>0</v>
      </c>
      <c r="D47234" s="1">
        <v>2.53292806484295E-4</v>
      </c>
      <c r="E47234" s="1">
        <v>0</v>
      </c>
      <c r="F47234" s="1">
        <v>2.1136733529200301E-5</v>
      </c>
    </row>
    <row r="47235" spans="1:6" x14ac:dyDescent="0.25">
      <c r="A47235" s="2" t="str">
        <f t="shared" si="1498"/>
        <v>38820</v>
      </c>
      <c r="B47235" s="2" t="str">
        <f>"98362"</f>
        <v>98362</v>
      </c>
      <c r="C47235" s="1">
        <v>0.31914487952525</v>
      </c>
      <c r="D47235" s="1">
        <v>0.45162107396149898</v>
      </c>
      <c r="E47235" s="1">
        <v>0.302706552706552</v>
      </c>
      <c r="F47235" s="1">
        <v>0.32971190632199598</v>
      </c>
    </row>
    <row r="47236" spans="1:6" x14ac:dyDescent="0.25">
      <c r="A47236" s="2" t="str">
        <f t="shared" ref="A47236:A47261" si="1499">"16500"</f>
        <v>16500</v>
      </c>
      <c r="B47236" s="2" t="str">
        <f>"98531"</f>
        <v>98531</v>
      </c>
      <c r="C47236" s="1">
        <v>0.33342215905726202</v>
      </c>
      <c r="D47236" s="1">
        <v>0.47543859649122799</v>
      </c>
      <c r="E47236" s="1">
        <v>0.263636363636363</v>
      </c>
      <c r="F47236" s="1">
        <v>0.33989284978363798</v>
      </c>
    </row>
    <row r="47237" spans="1:6" x14ac:dyDescent="0.25">
      <c r="A47237" s="2" t="str">
        <f t="shared" si="1499"/>
        <v>16500</v>
      </c>
      <c r="B47237" s="2" t="str">
        <f>"98355"</f>
        <v>98355</v>
      </c>
      <c r="C47237" s="1">
        <v>2.5463374193166301E-3</v>
      </c>
      <c r="D47237" s="1">
        <v>7.0175438596491201E-4</v>
      </c>
      <c r="E47237" s="1">
        <v>6.6363636363636305E-2</v>
      </c>
      <c r="F47237" s="1">
        <v>6.0271996703070204E-3</v>
      </c>
    </row>
    <row r="47238" spans="1:6" x14ac:dyDescent="0.25">
      <c r="A47238" s="2" t="str">
        <f t="shared" si="1499"/>
        <v>16500</v>
      </c>
      <c r="B47238" s="2" t="str">
        <f>"98565"</f>
        <v>98565</v>
      </c>
      <c r="C47238" s="1">
        <v>1.03630011251258E-3</v>
      </c>
      <c r="D47238" s="1">
        <v>0</v>
      </c>
      <c r="E47238" s="1">
        <v>5.0454545454545398E-2</v>
      </c>
      <c r="F47238" s="1">
        <v>3.7605604780548102E-3</v>
      </c>
    </row>
    <row r="47239" spans="1:6" x14ac:dyDescent="0.25">
      <c r="A47239" s="2" t="str">
        <f t="shared" si="1499"/>
        <v>16500</v>
      </c>
      <c r="B47239" s="2" t="str">
        <f>"98533"</f>
        <v>98533</v>
      </c>
      <c r="C47239" s="1">
        <v>7.5797951086634596E-3</v>
      </c>
      <c r="D47239" s="1">
        <v>2.1052631578947299E-3</v>
      </c>
      <c r="E47239" s="1">
        <v>0</v>
      </c>
      <c r="F47239" s="1">
        <v>6.7484030496600001E-3</v>
      </c>
    </row>
    <row r="47240" spans="1:6" x14ac:dyDescent="0.25">
      <c r="A47240" s="2" t="str">
        <f t="shared" si="1499"/>
        <v>16500</v>
      </c>
      <c r="B47240" s="2" t="str">
        <f>"98582"</f>
        <v>98582</v>
      </c>
      <c r="C47240" s="1">
        <v>4.8261976668443098E-3</v>
      </c>
      <c r="D47240" s="1">
        <v>1.7543859649122801E-3</v>
      </c>
      <c r="E47240" s="1">
        <v>1.6818181818181802E-2</v>
      </c>
      <c r="F47240" s="1">
        <v>5.28023902740572E-3</v>
      </c>
    </row>
    <row r="47241" spans="1:6" x14ac:dyDescent="0.25">
      <c r="A47241" s="2" t="str">
        <f t="shared" si="1499"/>
        <v>16500</v>
      </c>
      <c r="B47241" s="2" t="str">
        <f>"98304"</f>
        <v>98304</v>
      </c>
      <c r="C47241" s="1">
        <v>6.0697578018594099E-3</v>
      </c>
      <c r="D47241" s="1">
        <v>3.5087719298245601E-4</v>
      </c>
      <c r="E47241" s="1">
        <v>6.81818181818181E-3</v>
      </c>
      <c r="F47241" s="1">
        <v>5.6923552441788504E-3</v>
      </c>
    </row>
    <row r="47242" spans="1:6" x14ac:dyDescent="0.25">
      <c r="A47242" s="2" t="str">
        <f t="shared" si="1499"/>
        <v>16500</v>
      </c>
      <c r="B47242" s="2" t="str">
        <f>"98568"</f>
        <v>98568</v>
      </c>
      <c r="C47242" s="1">
        <v>1.48042873216083E-4</v>
      </c>
      <c r="D47242" s="1">
        <v>0</v>
      </c>
      <c r="E47242" s="1">
        <v>0</v>
      </c>
      <c r="F47242" s="1">
        <v>1.28786317741603E-4</v>
      </c>
    </row>
    <row r="47243" spans="1:6" x14ac:dyDescent="0.25">
      <c r="A47243" s="2" t="str">
        <f t="shared" si="1499"/>
        <v>16500</v>
      </c>
      <c r="B47243" s="2" t="str">
        <f>"98579"</f>
        <v>98579</v>
      </c>
      <c r="C47243" s="1">
        <v>5.6256291822111603E-3</v>
      </c>
      <c r="D47243" s="1">
        <v>7.0175438596491201E-4</v>
      </c>
      <c r="E47243" s="1">
        <v>9.0909090909090898E-4</v>
      </c>
      <c r="F47243" s="1">
        <v>4.9969091283742001E-3</v>
      </c>
    </row>
    <row r="47244" spans="1:6" x14ac:dyDescent="0.25">
      <c r="A47244" s="2" t="str">
        <f t="shared" si="1499"/>
        <v>16500</v>
      </c>
      <c r="B47244" s="2" t="str">
        <f>"98591"</f>
        <v>98591</v>
      </c>
      <c r="C47244" s="1">
        <v>4.3998341919819897E-2</v>
      </c>
      <c r="D47244" s="1">
        <v>1.29824561403508E-2</v>
      </c>
      <c r="E47244" s="1">
        <v>1.6363636363636299E-2</v>
      </c>
      <c r="F47244" s="1">
        <v>4.0155573871831801E-2</v>
      </c>
    </row>
    <row r="47245" spans="1:6" x14ac:dyDescent="0.25">
      <c r="A47245" s="2" t="str">
        <f t="shared" si="1499"/>
        <v>16500</v>
      </c>
      <c r="B47245" s="2" t="str">
        <f>"98361"</f>
        <v>98361</v>
      </c>
      <c r="C47245" s="1">
        <v>2.0074613608100901E-2</v>
      </c>
      <c r="D47245" s="1">
        <v>2.1052631578947299E-3</v>
      </c>
      <c r="E47245" s="1">
        <v>3.6363636363636299E-2</v>
      </c>
      <c r="F47245" s="1">
        <v>1.96785493509169E-2</v>
      </c>
    </row>
    <row r="47246" spans="1:6" x14ac:dyDescent="0.25">
      <c r="A47246" s="2" t="str">
        <f t="shared" si="1499"/>
        <v>16500</v>
      </c>
      <c r="B47246" s="2" t="str">
        <f>"98522"</f>
        <v>98522</v>
      </c>
      <c r="C47246" s="1">
        <v>0</v>
      </c>
      <c r="D47246" s="1">
        <v>3.5087719298245601E-4</v>
      </c>
      <c r="E47246" s="1">
        <v>0</v>
      </c>
      <c r="F47246" s="1">
        <v>2.5757263548320599E-5</v>
      </c>
    </row>
    <row r="47247" spans="1:6" x14ac:dyDescent="0.25">
      <c r="A47247" s="2" t="str">
        <f t="shared" si="1499"/>
        <v>16500</v>
      </c>
      <c r="B47247" s="2" t="str">
        <f>"98596"</f>
        <v>98596</v>
      </c>
      <c r="C47247" s="1">
        <v>8.3496180493871003E-2</v>
      </c>
      <c r="D47247" s="1">
        <v>2.4561403508771899E-2</v>
      </c>
      <c r="E47247" s="1">
        <v>2.4545454545454499E-2</v>
      </c>
      <c r="F47247" s="1">
        <v>7.5829383886255902E-2</v>
      </c>
    </row>
    <row r="47248" spans="1:6" x14ac:dyDescent="0.25">
      <c r="A47248" s="2" t="str">
        <f t="shared" si="1499"/>
        <v>16500</v>
      </c>
      <c r="B47248" s="2" t="str">
        <f>"98593"</f>
        <v>98593</v>
      </c>
      <c r="C47248" s="1">
        <v>1.2820512820512799E-2</v>
      </c>
      <c r="D47248" s="1">
        <v>2.1052631578947299E-3</v>
      </c>
      <c r="E47248" s="1">
        <v>4.54545454545454E-4</v>
      </c>
      <c r="F47248" s="1">
        <v>1.1333195961261E-2</v>
      </c>
    </row>
    <row r="47249" spans="1:6" x14ac:dyDescent="0.25">
      <c r="A47249" s="2" t="str">
        <f t="shared" si="1499"/>
        <v>16500</v>
      </c>
      <c r="B47249" s="2" t="str">
        <f>"98356"</f>
        <v>98356</v>
      </c>
      <c r="C47249" s="1">
        <v>1.5840587434120899E-2</v>
      </c>
      <c r="D47249" s="1">
        <v>2.1052631578947299E-3</v>
      </c>
      <c r="E47249" s="1">
        <v>0.15772727272727199</v>
      </c>
      <c r="F47249" s="1">
        <v>2.2872450030908702E-2</v>
      </c>
    </row>
    <row r="47250" spans="1:6" x14ac:dyDescent="0.25">
      <c r="A47250" s="2" t="str">
        <f t="shared" si="1499"/>
        <v>16500</v>
      </c>
      <c r="B47250" s="2" t="str">
        <f>"98539"</f>
        <v>98539</v>
      </c>
      <c r="C47250" s="1">
        <v>0</v>
      </c>
      <c r="D47250" s="1">
        <v>3.5087719298245601E-4</v>
      </c>
      <c r="E47250" s="1">
        <v>3.1363636363636302E-2</v>
      </c>
      <c r="F47250" s="1">
        <v>1.8030084483824399E-3</v>
      </c>
    </row>
    <row r="47251" spans="1:6" x14ac:dyDescent="0.25">
      <c r="A47251" s="2" t="str">
        <f t="shared" si="1499"/>
        <v>16500</v>
      </c>
      <c r="B47251" s="2" t="str">
        <f>"98572"</f>
        <v>98572</v>
      </c>
      <c r="C47251" s="1">
        <v>3.7602889796885101E-3</v>
      </c>
      <c r="D47251" s="1">
        <v>3.5087719298245601E-4</v>
      </c>
      <c r="E47251" s="1">
        <v>0</v>
      </c>
      <c r="F47251" s="1">
        <v>3.2969297341850401E-3</v>
      </c>
    </row>
    <row r="47252" spans="1:6" x14ac:dyDescent="0.25">
      <c r="A47252" s="2" t="str">
        <f t="shared" si="1499"/>
        <v>16500</v>
      </c>
      <c r="B47252" s="2" t="str">
        <f>"98532"</f>
        <v>98532</v>
      </c>
      <c r="C47252" s="1">
        <v>0.32223011784212702</v>
      </c>
      <c r="D47252" s="1">
        <v>0.44315789473684197</v>
      </c>
      <c r="E47252" s="1">
        <v>0.16909090909090899</v>
      </c>
      <c r="F47252" s="1">
        <v>0.32242942509787698</v>
      </c>
    </row>
    <row r="47253" spans="1:6" x14ac:dyDescent="0.25">
      <c r="A47253" s="2" t="str">
        <f t="shared" si="1499"/>
        <v>16500</v>
      </c>
      <c r="B47253" s="2" t="str">
        <f>"98570"</f>
        <v>98570</v>
      </c>
      <c r="C47253" s="1">
        <v>4.7817848048794902E-2</v>
      </c>
      <c r="D47253" s="1">
        <v>7.7192982456140303E-3</v>
      </c>
      <c r="E47253" s="1">
        <v>3.6363636363636299E-2</v>
      </c>
      <c r="F47253" s="1">
        <v>4.4225221512466502E-2</v>
      </c>
    </row>
    <row r="47254" spans="1:6" x14ac:dyDescent="0.25">
      <c r="A47254" s="2" t="str">
        <f t="shared" si="1499"/>
        <v>16500</v>
      </c>
      <c r="B47254" s="2" t="str">
        <f>"98542"</f>
        <v>98542</v>
      </c>
      <c r="C47254" s="1">
        <v>8.4088351986735307E-3</v>
      </c>
      <c r="D47254" s="1">
        <v>3.5087719298245602E-3</v>
      </c>
      <c r="E47254" s="1">
        <v>1.3636363636363601E-3</v>
      </c>
      <c r="F47254" s="1">
        <v>7.6499072738512204E-3</v>
      </c>
    </row>
    <row r="47255" spans="1:6" x14ac:dyDescent="0.25">
      <c r="A47255" s="2" t="str">
        <f t="shared" si="1499"/>
        <v>16500</v>
      </c>
      <c r="B47255" s="2" t="str">
        <f>"98585"</f>
        <v>98585</v>
      </c>
      <c r="C47255" s="1">
        <v>8.8233552436785597E-3</v>
      </c>
      <c r="D47255" s="1">
        <v>2.1052631578947299E-3</v>
      </c>
      <c r="E47255" s="1">
        <v>1.1818181818181801E-2</v>
      </c>
      <c r="F47255" s="1">
        <v>8.4998969709457993E-3</v>
      </c>
    </row>
    <row r="47256" spans="1:6" x14ac:dyDescent="0.25">
      <c r="A47256" s="2" t="str">
        <f t="shared" si="1499"/>
        <v>16500</v>
      </c>
      <c r="B47256" s="2" t="str">
        <f>"98377"</f>
        <v>98377</v>
      </c>
      <c r="C47256" s="1">
        <v>2.6292414283176399E-2</v>
      </c>
      <c r="D47256" s="1">
        <v>1.01754385964912E-2</v>
      </c>
      <c r="E47256" s="1">
        <v>4.1363636363636297E-2</v>
      </c>
      <c r="F47256" s="1">
        <v>2.5963321656707099E-2</v>
      </c>
    </row>
    <row r="47257" spans="1:6" x14ac:dyDescent="0.25">
      <c r="A47257" s="2" t="str">
        <f t="shared" si="1499"/>
        <v>16500</v>
      </c>
      <c r="B47257" s="2" t="str">
        <f>"98336"</f>
        <v>98336</v>
      </c>
      <c r="C47257" s="1">
        <v>1.0925564043346899E-2</v>
      </c>
      <c r="D47257" s="1">
        <v>1.0526315789473599E-3</v>
      </c>
      <c r="E47257" s="1">
        <v>7.2727272727272701E-3</v>
      </c>
      <c r="F47257" s="1">
        <v>9.9938182567484001E-3</v>
      </c>
    </row>
    <row r="47258" spans="1:6" x14ac:dyDescent="0.25">
      <c r="A47258" s="2" t="str">
        <f t="shared" si="1499"/>
        <v>16500</v>
      </c>
      <c r="B47258" s="2" t="str">
        <f>"98330"</f>
        <v>98330</v>
      </c>
      <c r="C47258" s="1">
        <v>5.0334576893468295E-4</v>
      </c>
      <c r="D47258" s="1">
        <v>0</v>
      </c>
      <c r="E47258" s="1">
        <v>0</v>
      </c>
      <c r="F47258" s="1">
        <v>4.3787348032145001E-4</v>
      </c>
    </row>
    <row r="47259" spans="1:6" x14ac:dyDescent="0.25">
      <c r="A47259" s="2" t="str">
        <f t="shared" si="1499"/>
        <v>16500</v>
      </c>
      <c r="B47259" s="2" t="str">
        <f>"98564"</f>
        <v>98564</v>
      </c>
      <c r="C47259" s="1">
        <v>2.83057973589151E-2</v>
      </c>
      <c r="D47259" s="1">
        <v>4.2105263157894701E-3</v>
      </c>
      <c r="E47259" s="1">
        <v>6.0909090909090899E-2</v>
      </c>
      <c r="F47259" s="1">
        <v>2.8384504430249299E-2</v>
      </c>
    </row>
    <row r="47260" spans="1:6" x14ac:dyDescent="0.25">
      <c r="A47260" s="2" t="str">
        <f t="shared" si="1499"/>
        <v>16500</v>
      </c>
      <c r="B47260" s="2" t="str">
        <f>"98538"</f>
        <v>98538</v>
      </c>
      <c r="C47260" s="1">
        <v>5.4479777343518603E-3</v>
      </c>
      <c r="D47260" s="1">
        <v>1.7543859649122801E-3</v>
      </c>
      <c r="E47260" s="1">
        <v>0</v>
      </c>
      <c r="F47260" s="1">
        <v>4.8681228106325896E-3</v>
      </c>
    </row>
    <row r="47261" spans="1:6" x14ac:dyDescent="0.25">
      <c r="A47261" s="2" t="str">
        <f t="shared" si="1499"/>
        <v>16500</v>
      </c>
      <c r="B47261" s="2" t="str">
        <f>"98544"</f>
        <v>98544</v>
      </c>
      <c r="C47261" s="1">
        <v>0</v>
      </c>
      <c r="D47261" s="1">
        <v>3.5087719298245601E-4</v>
      </c>
      <c r="E47261" s="1">
        <v>0</v>
      </c>
      <c r="F47261" s="1">
        <v>2.5757263548320599E-5</v>
      </c>
    </row>
    <row r="47262" spans="1:6" x14ac:dyDescent="0.25">
      <c r="A47262" s="2" t="str">
        <f t="shared" ref="A47262:A47281" si="1500">"28420"</f>
        <v>28420</v>
      </c>
      <c r="B47262" s="2" t="str">
        <f>"99302"</f>
        <v>99302</v>
      </c>
      <c r="C47262" s="1">
        <v>1.81972032486282E-2</v>
      </c>
      <c r="D47262" s="1">
        <v>6.8269425847027707E-2</v>
      </c>
      <c r="E47262" s="1">
        <v>5.8156440825821404E-4</v>
      </c>
      <c r="F47262" s="1">
        <v>2.1582115219260501E-2</v>
      </c>
    </row>
    <row r="47263" spans="1:6" x14ac:dyDescent="0.25">
      <c r="A47263" s="2" t="str">
        <f t="shared" si="1500"/>
        <v>28420</v>
      </c>
      <c r="B47263" s="2" t="str">
        <f>"99346"</f>
        <v>99346</v>
      </c>
      <c r="C47263" s="1">
        <v>0</v>
      </c>
      <c r="D47263" s="1">
        <v>0</v>
      </c>
      <c r="E47263" s="1">
        <v>2.0354754289037501E-2</v>
      </c>
      <c r="F47263" s="1">
        <v>5.4717423591026299E-4</v>
      </c>
    </row>
    <row r="47264" spans="1:6" x14ac:dyDescent="0.25">
      <c r="A47264" s="2" t="str">
        <f t="shared" si="1500"/>
        <v>28420</v>
      </c>
      <c r="B47264" s="2" t="str">
        <f>"99345"</f>
        <v>99345</v>
      </c>
      <c r="C47264" s="1">
        <v>0</v>
      </c>
      <c r="D47264" s="1">
        <v>0</v>
      </c>
      <c r="E47264" s="1">
        <v>2.9078220412910702E-4</v>
      </c>
      <c r="F47264" s="1">
        <v>7.8167747987180405E-6</v>
      </c>
    </row>
    <row r="47265" spans="1:6" x14ac:dyDescent="0.25">
      <c r="A47265" s="2" t="str">
        <f t="shared" si="1500"/>
        <v>28420</v>
      </c>
      <c r="B47265" s="2" t="str">
        <f>"99337"</f>
        <v>99337</v>
      </c>
      <c r="C47265" s="1">
        <v>0.105554247031832</v>
      </c>
      <c r="D47265" s="1">
        <v>1.9172245891661499E-2</v>
      </c>
      <c r="E47265" s="1">
        <v>4.8560628089560902E-2</v>
      </c>
      <c r="F47265" s="1">
        <v>9.7365746892832006E-2</v>
      </c>
    </row>
    <row r="47266" spans="1:6" x14ac:dyDescent="0.25">
      <c r="A47266" s="2" t="str">
        <f t="shared" si="1500"/>
        <v>28420</v>
      </c>
      <c r="B47266" s="2" t="str">
        <f>"98930"</f>
        <v>98930</v>
      </c>
      <c r="C47266" s="1">
        <v>2.1285319236170998E-3</v>
      </c>
      <c r="D47266" s="1">
        <v>3.0432136335970699E-4</v>
      </c>
      <c r="E47266" s="1">
        <v>5.8156440825821404E-4</v>
      </c>
      <c r="F47266" s="1">
        <v>1.9463769248807901E-3</v>
      </c>
    </row>
    <row r="47267" spans="1:6" x14ac:dyDescent="0.25">
      <c r="A47267" s="2" t="str">
        <f t="shared" si="1500"/>
        <v>28420</v>
      </c>
      <c r="B47267" s="2" t="str">
        <f>"99353"</f>
        <v>99353</v>
      </c>
      <c r="C47267" s="1">
        <v>6.4388090689417504E-2</v>
      </c>
      <c r="D47267" s="1">
        <v>3.5301278149726098E-2</v>
      </c>
      <c r="E47267" s="1">
        <v>2.1227100901424802E-2</v>
      </c>
      <c r="F47267" s="1">
        <v>6.0986476979598199E-2</v>
      </c>
    </row>
    <row r="47268" spans="1:6" x14ac:dyDescent="0.25">
      <c r="A47268" s="2" t="str">
        <f t="shared" si="1500"/>
        <v>28420</v>
      </c>
      <c r="B47268" s="2" t="str">
        <f>"99335"</f>
        <v>99335</v>
      </c>
      <c r="C47268" s="1">
        <v>0</v>
      </c>
      <c r="D47268" s="1">
        <v>0</v>
      </c>
      <c r="E47268" s="1">
        <v>2.9078220412910702E-4</v>
      </c>
      <c r="F47268" s="1">
        <v>7.8167747987180405E-6</v>
      </c>
    </row>
    <row r="47269" spans="1:6" x14ac:dyDescent="0.25">
      <c r="A47269" s="2" t="str">
        <f t="shared" si="1500"/>
        <v>28420</v>
      </c>
      <c r="B47269" s="2" t="str">
        <f>"99343"</f>
        <v>99343</v>
      </c>
      <c r="C47269" s="1">
        <v>6.4728306857536602E-3</v>
      </c>
      <c r="D47269" s="1">
        <v>4.3619395414891404E-3</v>
      </c>
      <c r="E47269" s="1">
        <v>2.82058738005234E-2</v>
      </c>
      <c r="F47269" s="1">
        <v>6.8943953724693099E-3</v>
      </c>
    </row>
    <row r="47270" spans="1:6" x14ac:dyDescent="0.25">
      <c r="A47270" s="2" t="str">
        <f t="shared" si="1500"/>
        <v>28420</v>
      </c>
      <c r="B47270" s="2" t="str">
        <f>"99352"</f>
        <v>99352</v>
      </c>
      <c r="C47270" s="1">
        <v>0.14726125984664101</v>
      </c>
      <c r="D47270" s="1">
        <v>0.18086833029011901</v>
      </c>
      <c r="E47270" s="1">
        <v>8.8397790055248601E-2</v>
      </c>
      <c r="F47270" s="1">
        <v>0.14826858438208301</v>
      </c>
    </row>
    <row r="47271" spans="1:6" x14ac:dyDescent="0.25">
      <c r="A47271" s="2" t="str">
        <f t="shared" si="1500"/>
        <v>28420</v>
      </c>
      <c r="B47271" s="2" t="str">
        <f>"99320"</f>
        <v>99320</v>
      </c>
      <c r="C47271" s="1">
        <v>3.05234967243289E-2</v>
      </c>
      <c r="D47271" s="1">
        <v>5.6806654493812099E-3</v>
      </c>
      <c r="E47271" s="1">
        <v>1.1922070369293301E-2</v>
      </c>
      <c r="F47271" s="1">
        <v>2.8109122176190101E-2</v>
      </c>
    </row>
    <row r="47272" spans="1:6" x14ac:dyDescent="0.25">
      <c r="A47272" s="2" t="str">
        <f t="shared" si="1500"/>
        <v>28420</v>
      </c>
      <c r="B47272" s="2" t="str">
        <f>"99336"</f>
        <v>99336</v>
      </c>
      <c r="C47272" s="1">
        <v>0.188758908865684</v>
      </c>
      <c r="D47272" s="1">
        <v>0.34175289105295098</v>
      </c>
      <c r="E47272" s="1">
        <v>0.375690607734806</v>
      </c>
      <c r="F47272" s="1">
        <v>0.205573360431485</v>
      </c>
    </row>
    <row r="47273" spans="1:6" x14ac:dyDescent="0.25">
      <c r="A47273" s="2" t="str">
        <f t="shared" si="1500"/>
        <v>28420</v>
      </c>
      <c r="B47273" s="2" t="str">
        <f>"98944"</f>
        <v>98944</v>
      </c>
      <c r="C47273" s="1">
        <v>1.04681897882808E-4</v>
      </c>
      <c r="D47273" s="1">
        <v>3.0432136335970699E-4</v>
      </c>
      <c r="E47273" s="1">
        <v>0</v>
      </c>
      <c r="F47273" s="1">
        <v>1.1725162198076999E-4</v>
      </c>
    </row>
    <row r="47274" spans="1:6" x14ac:dyDescent="0.25">
      <c r="A47274" s="2" t="str">
        <f t="shared" si="1500"/>
        <v>28420</v>
      </c>
      <c r="B47274" s="2" t="str">
        <f>"99301"</f>
        <v>99301</v>
      </c>
      <c r="C47274" s="1">
        <v>0.236354278436401</v>
      </c>
      <c r="D47274" s="1">
        <v>0.19709880300263699</v>
      </c>
      <c r="E47274" s="1">
        <v>0.23756906077348</v>
      </c>
      <c r="F47274" s="1">
        <v>0.23336199484092801</v>
      </c>
    </row>
    <row r="47275" spans="1:6" x14ac:dyDescent="0.25">
      <c r="A47275" s="2" t="str">
        <f t="shared" si="1500"/>
        <v>28420</v>
      </c>
      <c r="B47275" s="2" t="str">
        <f>"99371"</f>
        <v>99371</v>
      </c>
      <c r="C47275" s="1">
        <v>1.7446982980468099E-5</v>
      </c>
      <c r="D47275" s="1">
        <v>0</v>
      </c>
      <c r="E47275" s="1">
        <v>0</v>
      </c>
      <c r="F47275" s="1">
        <v>1.5633549597436E-5</v>
      </c>
    </row>
    <row r="47276" spans="1:6" x14ac:dyDescent="0.25">
      <c r="A47276" s="2" t="str">
        <f t="shared" si="1500"/>
        <v>28420</v>
      </c>
      <c r="B47276" s="2" t="str">
        <f>"99354"</f>
        <v>99354</v>
      </c>
      <c r="C47276" s="1">
        <v>9.1797300951732899E-2</v>
      </c>
      <c r="D47276" s="1">
        <v>8.1456684925948403E-2</v>
      </c>
      <c r="E47276" s="1">
        <v>8.5199185809828396E-2</v>
      </c>
      <c r="F47276" s="1">
        <v>9.0823106386305003E-2</v>
      </c>
    </row>
    <row r="47277" spans="1:6" x14ac:dyDescent="0.25">
      <c r="A47277" s="2" t="str">
        <f t="shared" si="1500"/>
        <v>28420</v>
      </c>
      <c r="B47277" s="2" t="str">
        <f>"99330"</f>
        <v>99330</v>
      </c>
      <c r="C47277" s="1">
        <v>3.4457791386424499E-3</v>
      </c>
      <c r="D47277" s="1">
        <v>1.82592818015824E-3</v>
      </c>
      <c r="E47277" s="1">
        <v>5.8156440825821404E-4</v>
      </c>
      <c r="F47277" s="1">
        <v>3.2439615414679899E-3</v>
      </c>
    </row>
    <row r="47278" spans="1:6" x14ac:dyDescent="0.25">
      <c r="A47278" s="2" t="str">
        <f t="shared" si="1500"/>
        <v>28420</v>
      </c>
      <c r="B47278" s="2" t="str">
        <f>"99344"</f>
        <v>99344</v>
      </c>
      <c r="C47278" s="1">
        <v>2.1721493810682702E-3</v>
      </c>
      <c r="D47278" s="1">
        <v>4.05761817812943E-4</v>
      </c>
      <c r="E47278" s="1">
        <v>5.8156440825821404E-4</v>
      </c>
      <c r="F47278" s="1">
        <v>1.9932775736730998E-3</v>
      </c>
    </row>
    <row r="47279" spans="1:6" x14ac:dyDescent="0.25">
      <c r="A47279" s="2" t="str">
        <f t="shared" si="1500"/>
        <v>28420</v>
      </c>
      <c r="B47279" s="2" t="str">
        <f>"99350"</f>
        <v>99350</v>
      </c>
      <c r="C47279" s="1">
        <v>4.1715736306299198E-2</v>
      </c>
      <c r="D47279" s="1">
        <v>3.9257455873402299E-2</v>
      </c>
      <c r="E47279" s="1">
        <v>4.1872637394591398E-2</v>
      </c>
      <c r="F47279" s="1">
        <v>4.1530524505588903E-2</v>
      </c>
    </row>
    <row r="47280" spans="1:6" x14ac:dyDescent="0.25">
      <c r="A47280" s="2" t="str">
        <f t="shared" si="1500"/>
        <v>28420</v>
      </c>
      <c r="B47280" s="2" t="str">
        <f>"99326"</f>
        <v>99326</v>
      </c>
      <c r="C47280" s="1">
        <v>1.48299355333978E-3</v>
      </c>
      <c r="D47280" s="1">
        <v>2.0288090890647099E-3</v>
      </c>
      <c r="E47280" s="1">
        <v>1.5702239022971701E-2</v>
      </c>
      <c r="F47280" s="1">
        <v>1.9072930508872001E-3</v>
      </c>
    </row>
    <row r="47281" spans="1:6" x14ac:dyDescent="0.25">
      <c r="A47281" s="2" t="str">
        <f t="shared" si="1500"/>
        <v>28420</v>
      </c>
      <c r="B47281" s="2" t="str">
        <f>"99338"</f>
        <v>99338</v>
      </c>
      <c r="C47281" s="1">
        <v>5.9625064335749697E-2</v>
      </c>
      <c r="D47281" s="1">
        <v>2.1911138161898901E-2</v>
      </c>
      <c r="E47281" s="1">
        <v>2.2390229717941201E-2</v>
      </c>
      <c r="F47281" s="1">
        <v>5.5717970765262199E-2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CBSA_ZIP_032019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Long (Ctr), Siwei</dc:creator>
  <cp:lastModifiedBy>HUD User</cp:lastModifiedBy>
  <dcterms:created xsi:type="dcterms:W3CDTF">2019-04-12T15:39:34Z</dcterms:created>
  <dcterms:modified xsi:type="dcterms:W3CDTF">2019-04-12T15:39:35Z</dcterms:modified>
</cp:coreProperties>
</file>